
<file path=[Content_Types].xml><?xml version="1.0" encoding="utf-8"?>
<Types xmlns="http://schemas.openxmlformats.org/package/2006/content-type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drawings/vmlDrawing1.vml" ContentType="application/vnd.openxmlformats-officedocument.vmlDrawing"/>
  <Override PartName="/xl/media/image7897.jpg" ContentType="image/jpeg"/>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report" sheetId="1" r:id="rId1"/>
    <sheet name="Условия запроса" sheetId="2" r:id="rId3"/>
  </sheets>
  <calcPr fullCalcOnLoad="1" calcId="171027"/>
</workbook>
</file>

<file path=xl/sharedStrings.xml><?xml version="1.0" encoding="utf-8"?>
<sst xmlns="http://schemas.openxmlformats.org/spreadsheetml/2006/main">
  <si>
    <t>Выборка компаний</t>
  </si>
  <si>
    <t>№</t>
  </si>
  <si>
    <t>Наименование</t>
  </si>
  <si>
    <t>Регистрационный номер</t>
  </si>
  <si>
    <t>Код налогоплательщика</t>
  </si>
  <si>
    <t>Мои списки</t>
  </si>
  <si>
    <t>АВАНГАРД, ООО</t>
  </si>
  <si>
    <t>1173328005850</t>
  </si>
  <si>
    <t>3307022176</t>
  </si>
  <si>
    <t>"победители", "оккай"</t>
  </si>
  <si>
    <t>АЛЬБАТРОС, ООО</t>
  </si>
  <si>
    <t>1147746595457</t>
  </si>
  <si>
    <t>7724922443</t>
  </si>
  <si>
    <t>АЛЬФАМЕД, ООО</t>
  </si>
  <si>
    <t>1187746894895</t>
  </si>
  <si>
    <t>9718119263</t>
  </si>
  <si>
    <t>АЛЬЯНС, ООО УК</t>
  </si>
  <si>
    <t>1100280035415</t>
  </si>
  <si>
    <t>0278172612</t>
  </si>
  <si>
    <t>АРГУС-ЦС, ООО</t>
  </si>
  <si>
    <t>1127746176084</t>
  </si>
  <si>
    <t>7715908570</t>
  </si>
  <si>
    <t>АРЕТЕЙ, ООО</t>
  </si>
  <si>
    <t>1177746210256</t>
  </si>
  <si>
    <t>7716849944</t>
  </si>
  <si>
    <t>АС ПЕТЕРБУРГСКИЙ ЛАНДШАФТ, ООО</t>
  </si>
  <si>
    <t>1157847446866</t>
  </si>
  <si>
    <t>7841032980</t>
  </si>
  <si>
    <t>АСК ЛИДЕР, ООО</t>
  </si>
  <si>
    <t>1190400000966</t>
  </si>
  <si>
    <t>0400010758</t>
  </si>
  <si>
    <t>БЕБИГ, ООО</t>
  </si>
  <si>
    <t>1047796493690</t>
  </si>
  <si>
    <t>7743532463</t>
  </si>
  <si>
    <t>БЕЛГОРСТРОЙ, ООО СК</t>
  </si>
  <si>
    <t>1163123094672</t>
  </si>
  <si>
    <t>3123402869</t>
  </si>
  <si>
    <t>БИАНТ, ООО</t>
  </si>
  <si>
    <t>1167847232541</t>
  </si>
  <si>
    <t>7839065516</t>
  </si>
  <si>
    <t>ВАША БЕЗОПАСНОСТЬ, ООО</t>
  </si>
  <si>
    <t>1140280046818</t>
  </si>
  <si>
    <t>0276159180</t>
  </si>
  <si>
    <t>ВОЛГАРЕМСТРОЙ, ООО</t>
  </si>
  <si>
    <t>1142130016500</t>
  </si>
  <si>
    <t>2130147294</t>
  </si>
  <si>
    <t>ВОРОНЕЖФАСАД СТРОЙ, ООО</t>
  </si>
  <si>
    <t>1143668056091</t>
  </si>
  <si>
    <t>3662210252</t>
  </si>
  <si>
    <t>ГИФТЕЛЛА, ООО</t>
  </si>
  <si>
    <t>1147746189359</t>
  </si>
  <si>
    <t>7716767956</t>
  </si>
  <si>
    <t>ГРАНИТ, ООО</t>
  </si>
  <si>
    <t>1156451032000</t>
  </si>
  <si>
    <t>6411078244</t>
  </si>
  <si>
    <t>ДЕНЕБ, ООО</t>
  </si>
  <si>
    <t>1027801534067</t>
  </si>
  <si>
    <t>7802198358</t>
  </si>
  <si>
    <t>ДЖИ ДИ ПИ, ООО</t>
  </si>
  <si>
    <t>1157746174850</t>
  </si>
  <si>
    <t>9705031526</t>
  </si>
  <si>
    <t>ДСК МАГИСТРАЛЬ, ООО</t>
  </si>
  <si>
    <t>1125905003872</t>
  </si>
  <si>
    <t>5905291154</t>
  </si>
  <si>
    <t>ИВК МЕДИКЛ, ООО</t>
  </si>
  <si>
    <t>1109847035737</t>
  </si>
  <si>
    <t>7802735041</t>
  </si>
  <si>
    <t>ИДЕАЛПЛЮС, ООО</t>
  </si>
  <si>
    <t>1193328003659</t>
  </si>
  <si>
    <t>3327142880</t>
  </si>
  <si>
    <t>"победители"</t>
  </si>
  <si>
    <t>ИНТЕГРАЛ, ООО</t>
  </si>
  <si>
    <t>1155047010480</t>
  </si>
  <si>
    <t>5047173960</t>
  </si>
  <si>
    <t>ИНТЕРСТРОЙ-Н, ООО</t>
  </si>
  <si>
    <t>1155476062170</t>
  </si>
  <si>
    <t>5404012970</t>
  </si>
  <si>
    <t>КАНОН, ООО</t>
  </si>
  <si>
    <t>1097447011265</t>
  </si>
  <si>
    <t>7447158103</t>
  </si>
  <si>
    <t>КБУ, МБУ</t>
  </si>
  <si>
    <t>1202400009800</t>
  </si>
  <si>
    <t>2453021884</t>
  </si>
  <si>
    <t>КОНЦЕРН ТИТАН-2, АО</t>
  </si>
  <si>
    <t>1027812403035</t>
  </si>
  <si>
    <t>7827004484</t>
  </si>
  <si>
    <t>КОРМЕДИКАЛ, ООО</t>
  </si>
  <si>
    <t>1177746211103</t>
  </si>
  <si>
    <t>9718050653</t>
  </si>
  <si>
    <t>КСМЗ, АО</t>
  </si>
  <si>
    <t>1024400514071</t>
  </si>
  <si>
    <t>4401007314</t>
  </si>
  <si>
    <t>ЛАБЭКСПЕРТ, ООО</t>
  </si>
  <si>
    <t>1106671022820</t>
  </si>
  <si>
    <t>6671341810</t>
  </si>
  <si>
    <t>ЛЕКО, ООО</t>
  </si>
  <si>
    <t>1026103278629</t>
  </si>
  <si>
    <t>6164092516</t>
  </si>
  <si>
    <t>МЕГАСТРОЙИНВЕСТ, ООО</t>
  </si>
  <si>
    <t>1072031001580</t>
  </si>
  <si>
    <t>2013431689</t>
  </si>
  <si>
    <t>МЕДИАС, ООО</t>
  </si>
  <si>
    <t>1025900765758</t>
  </si>
  <si>
    <t>5903031337</t>
  </si>
  <si>
    <t>МЕДИПАЛ-ОНКО, ООО</t>
  </si>
  <si>
    <t>1027739237900</t>
  </si>
  <si>
    <t>7701213835</t>
  </si>
  <si>
    <t>МОТЭКС, ООО</t>
  </si>
  <si>
    <t>1107746446390</t>
  </si>
  <si>
    <t>5003079939</t>
  </si>
  <si>
    <t>МТК, ООО</t>
  </si>
  <si>
    <t>1143702009220</t>
  </si>
  <si>
    <t>3702726568</t>
  </si>
  <si>
    <t>НОВГОРОДФАРМАЦИЯ, АО</t>
  </si>
  <si>
    <t>1095321001687</t>
  </si>
  <si>
    <t>5321132777</t>
  </si>
  <si>
    <t>НПО АСТА, ЗАО</t>
  </si>
  <si>
    <t>1027739599788</t>
  </si>
  <si>
    <t>7718101777</t>
  </si>
  <si>
    <t>ОРЕНБУРГАВТОДОР, ООО</t>
  </si>
  <si>
    <t>1045608405040</t>
  </si>
  <si>
    <t>5612040270</t>
  </si>
  <si>
    <t>ОСТЕРМЕД, ООО</t>
  </si>
  <si>
    <t>1107746655312</t>
  </si>
  <si>
    <t>7701887665</t>
  </si>
  <si>
    <t>ПРЕСТИЖ, ООО</t>
  </si>
  <si>
    <t>1067847681208</t>
  </si>
  <si>
    <t>7806334160</t>
  </si>
  <si>
    <t>1135004000339</t>
  </si>
  <si>
    <t>5004025301</t>
  </si>
  <si>
    <t>ПРИМАВТОДОР, АО</t>
  </si>
  <si>
    <t>1062538079856</t>
  </si>
  <si>
    <t>2538099431</t>
  </si>
  <si>
    <t>ПРОГРЕСС ЛИФТ, ООО</t>
  </si>
  <si>
    <t>1077758269456</t>
  </si>
  <si>
    <t>7733615696</t>
  </si>
  <si>
    <t>ПРОФПРОЕКТ, ООО</t>
  </si>
  <si>
    <t>1136671010915</t>
  </si>
  <si>
    <t>6671421128</t>
  </si>
  <si>
    <t>ПСК СТРОЙМОНОЛИТ, ООО</t>
  </si>
  <si>
    <t>1085003004998</t>
  </si>
  <si>
    <t>5046072832</t>
  </si>
  <si>
    <t>ПСК, ООО</t>
  </si>
  <si>
    <t>1164205077057</t>
  </si>
  <si>
    <t>4212039127</t>
  </si>
  <si>
    <t>ПТФ КОРПУС, ООО</t>
  </si>
  <si>
    <t>1052504124133</t>
  </si>
  <si>
    <t>2539071132</t>
  </si>
  <si>
    <t>РАЙТ, ООО</t>
  </si>
  <si>
    <t>1151690026542</t>
  </si>
  <si>
    <t>1660240593</t>
  </si>
  <si>
    <t>РБТ, ООО</t>
  </si>
  <si>
    <t>1023402638346</t>
  </si>
  <si>
    <t>3442043870</t>
  </si>
  <si>
    <t>РЕГТАЙМ, ООО</t>
  </si>
  <si>
    <t>5187746014077</t>
  </si>
  <si>
    <t>9721073259</t>
  </si>
  <si>
    <t>РЕЗОН-А, ООО</t>
  </si>
  <si>
    <t>1036101003245</t>
  </si>
  <si>
    <t>6101033998</t>
  </si>
  <si>
    <t>РН-ЧЕЧЕННЕФТЕПРОДУКТ, ООО</t>
  </si>
  <si>
    <t>1082031003141</t>
  </si>
  <si>
    <t>2013433358</t>
  </si>
  <si>
    <t>РОСТОВАВТОДОР, ГУП РО</t>
  </si>
  <si>
    <t>1026100510589</t>
  </si>
  <si>
    <t>6101033099</t>
  </si>
  <si>
    <t>РУССТАНДАРТ, ООО</t>
  </si>
  <si>
    <t>1087746467368</t>
  </si>
  <si>
    <t>7718698722</t>
  </si>
  <si>
    <t>САЙЕНС МЕД, ООО</t>
  </si>
  <si>
    <t>1167847270645</t>
  </si>
  <si>
    <t>7838055995</t>
  </si>
  <si>
    <t>СИГМАФАРМ, ООО</t>
  </si>
  <si>
    <t>1185024005760</t>
  </si>
  <si>
    <t>5032294384</t>
  </si>
  <si>
    <t>СК СИСТЕМА, ООО СПЕЦИАЛИЗИРОВАННЫЙ ЗАСТРОЙЩИК</t>
  </si>
  <si>
    <t>1076450010867</t>
  </si>
  <si>
    <t>6452934991</t>
  </si>
  <si>
    <t>СК-ВОЛГА, ООО</t>
  </si>
  <si>
    <t>1125260001569</t>
  </si>
  <si>
    <t>5260321950</t>
  </si>
  <si>
    <t>СЛ ФАРМА, ООО</t>
  </si>
  <si>
    <t>5147746024290</t>
  </si>
  <si>
    <t>7722854188</t>
  </si>
  <si>
    <t>СПЕЦАВТОХОЗЯЙСТВО, СМУП</t>
  </si>
  <si>
    <t>1022900836606</t>
  </si>
  <si>
    <t>2902012819</t>
  </si>
  <si>
    <t>СТРОЙГРАД-1, ООО</t>
  </si>
  <si>
    <t>1066501068336</t>
  </si>
  <si>
    <t>6501171671</t>
  </si>
  <si>
    <t>СТРОЙКОМПЛЕКТ, ООО</t>
  </si>
  <si>
    <t>1105009003516</t>
  </si>
  <si>
    <t>5009075659</t>
  </si>
  <si>
    <t>СТРОЙОРИГИНАЛ, ООО</t>
  </si>
  <si>
    <t>1080536000027</t>
  </si>
  <si>
    <t>0536009686</t>
  </si>
  <si>
    <t>СТРОЙСЕРВИС, ООО</t>
  </si>
  <si>
    <t>1025602830615</t>
  </si>
  <si>
    <t>5639005354</t>
  </si>
  <si>
    <t>СУ 17, ООО</t>
  </si>
  <si>
    <t>1095038005127</t>
  </si>
  <si>
    <t>5038070951</t>
  </si>
  <si>
    <t>СУРСАД Г. ГРОЗНОГО, ООО</t>
  </si>
  <si>
    <t>1232000003113</t>
  </si>
  <si>
    <t>2014037460</t>
  </si>
  <si>
    <t>ТД НАЦИОНАЛЬНЫЙ ПРОЕКТ, ООО</t>
  </si>
  <si>
    <t>1157847172823</t>
  </si>
  <si>
    <t>7801280458</t>
  </si>
  <si>
    <t>ТЕХНОМЕД, ООО</t>
  </si>
  <si>
    <t>1126671000158</t>
  </si>
  <si>
    <t>6671386770</t>
  </si>
  <si>
    <t>ТОДЭП, АО</t>
  </si>
  <si>
    <t>1067203269726</t>
  </si>
  <si>
    <t>7203175930</t>
  </si>
  <si>
    <t>ТРЕСТ 7, ООО</t>
  </si>
  <si>
    <t>1186451021448</t>
  </si>
  <si>
    <t>6449091741</t>
  </si>
  <si>
    <t>ТРИЕСТА, ООО</t>
  </si>
  <si>
    <t>1197847204257</t>
  </si>
  <si>
    <t>7843014747</t>
  </si>
  <si>
    <t>ТУЛААВТОДОР, ГУ ТО</t>
  </si>
  <si>
    <t>1127154009113</t>
  </si>
  <si>
    <t>7107535259</t>
  </si>
  <si>
    <t>УКС БЕЛГОРОДСКОЙ ОБЛАСТИ, ОГБУ</t>
  </si>
  <si>
    <t>1023101662154</t>
  </si>
  <si>
    <t>3123012298</t>
  </si>
  <si>
    <t>УМПРЭО, ООО</t>
  </si>
  <si>
    <t>1077612003622</t>
  </si>
  <si>
    <t>7612038469</t>
  </si>
  <si>
    <t>УНИВЕРСАЛ, ООО</t>
  </si>
  <si>
    <t>1073128000593</t>
  </si>
  <si>
    <t>3128059613</t>
  </si>
  <si>
    <t>ФИРМА ФИНКО, ООО</t>
  </si>
  <si>
    <t>1027739628762</t>
  </si>
  <si>
    <t>7732016160</t>
  </si>
  <si>
    <t>ХАЛИФ, ООО</t>
  </si>
  <si>
    <t>1187746596916</t>
  </si>
  <si>
    <t>7727374731</t>
  </si>
  <si>
    <t>ЦЕНТР СОВРЕМЕННЫХ ТЕХНОЛОГИЙ, ООО</t>
  </si>
  <si>
    <t>1073123011598</t>
  </si>
  <si>
    <t>3123153147</t>
  </si>
  <si>
    <t>ЦЕНТРАЛЬНАЯ СТО, АО</t>
  </si>
  <si>
    <t>1036301043206</t>
  </si>
  <si>
    <t>6320011130</t>
  </si>
  <si>
    <t>ЭЛЬГИДА, ООО</t>
  </si>
  <si>
    <t>1147847021343</t>
  </si>
  <si>
    <t>7840501196</t>
  </si>
  <si>
    <t>ЭР ОПТИКС, ООО</t>
  </si>
  <si>
    <t>1027707001508</t>
  </si>
  <si>
    <t>7707309420</t>
  </si>
  <si>
    <t>ЭРЕДАС, ООО</t>
  </si>
  <si>
    <t>1077763131522</t>
  </si>
  <si>
    <t>7716592569</t>
  </si>
  <si>
    <t>ЭТАЛОН, ООО</t>
  </si>
  <si>
    <t>1022301980513</t>
  </si>
  <si>
    <t>2312051237</t>
  </si>
  <si>
    <t>ЭТАЛОН, ООО РК</t>
  </si>
  <si>
    <t>1197746595090</t>
  </si>
  <si>
    <t>7734429967</t>
  </si>
  <si>
    <t>ЮГ-ФАРМАЦИЯ, ООО</t>
  </si>
  <si>
    <t>1166196096153</t>
  </si>
  <si>
    <t>6162073229</t>
  </si>
  <si>
    <t>ЯРГАЗСТРОЙ, ООО</t>
  </si>
  <si>
    <t>1067606004894</t>
  </si>
  <si>
    <t>7606056854</t>
  </si>
  <si>
    <t>ЯРДОРМОСТ, АО</t>
  </si>
  <si>
    <t>1187627037070</t>
  </si>
  <si>
    <t>7627051656</t>
  </si>
  <si>
    <t>Отчет подготовлен Системой СПАРК. 22.04.2023 15:21:17 МСК</t>
  </si>
  <si>
    <t>Условия запроса</t>
  </si>
  <si>
    <t>Страна</t>
  </si>
  <si>
    <t>Россия</t>
  </si>
  <si>
    <t>Тип</t>
  </si>
  <si>
    <t>Компании · Россия</t>
  </si>
  <si>
    <t xml:space="preserve"/>
  </si>
  <si>
    <t>Статус</t>
  </si>
  <si>
    <t>Действующие, В состоянии банкротства, Ликвидируется</t>
  </si>
  <si>
    <t>Включая</t>
  </si>
  <si>
    <t>победители</t>
  </si>
  <si>
    <t>Ранжировать</t>
  </si>
  <si>
    <t>По возрастанию</t>
  </si>
  <si>
    <t>Адрес (место нахождения)</t>
  </si>
  <si>
    <t>Руководитель - ФИО</t>
  </si>
  <si>
    <t>Руководитель - ИНН</t>
  </si>
  <si>
    <t>Телефон</t>
  </si>
  <si>
    <t>Электронный адрес</t>
  </si>
  <si>
    <t>Совладельцы, Приоритетный</t>
  </si>
  <si>
    <t>Вид деятельности/отрасль</t>
  </si>
  <si>
    <t>Сводный индикатор</t>
  </si>
  <si>
    <t>Кредитный лимит, RUB</t>
  </si>
  <si>
    <t>Комментарий</t>
  </si>
  <si>
    <t>2022, Активы  всего, RUB</t>
  </si>
  <si>
    <t>2022, Собственный капитал, RUB</t>
  </si>
  <si>
    <t>2022, Выручка, RUB</t>
  </si>
  <si>
    <t>2022, Чистая прибыль (убыток), RUB</t>
  </si>
  <si>
    <t>Контактное лицо
ответственное за тендер</t>
  </si>
  <si>
    <t>Доп. телефон 1</t>
  </si>
  <si>
    <t>Доп. телефон 2</t>
  </si>
  <si>
    <t>Доп. телефон 3</t>
  </si>
  <si>
    <t>Мобильный телефон</t>
  </si>
  <si>
    <t>Регион</t>
  </si>
  <si>
    <t>Побед с 2016г.</t>
  </si>
  <si>
    <t>Обеспечено с 2016г.</t>
  </si>
  <si>
    <t>Участий с 2016г.</t>
  </si>
  <si>
    <t>Побед за сегодня</t>
  </si>
  <si>
    <t>Последняя победа</t>
  </si>
  <si>
    <t>Арбитражи поставщика
(последний месяц)</t>
  </si>
  <si>
    <t>Заявка уже обеспечена</t>
  </si>
  <si>
    <t>Выручка 2018г (т.р.)</t>
  </si>
  <si>
    <t>Чистая прибыль 2018г (т.р.)</t>
  </si>
  <si>
    <t>Валюта баланса 2018г (т.р.)</t>
  </si>
  <si>
    <t>Топ-банки победителя</t>
  </si>
  <si>
    <t>Последняя гарантия в реестре</t>
  </si>
  <si>
    <t>Директор (из ЕГРЮЛ)</t>
  </si>
  <si>
    <t>Адрес (из ЕГРЮЛ)</t>
  </si>
  <si>
    <t>Дата внесения в ЕГРЮЛ</t>
  </si>
  <si>
    <t>ОГРН</t>
  </si>
  <si>
    <t>ОКПО</t>
  </si>
  <si>
    <t>ОКТМО</t>
  </si>
  <si>
    <t>ОКАТО</t>
  </si>
  <si>
    <t>ОКВЭД</t>
  </si>
  <si>
    <t>Размер предприятия</t>
  </si>
  <si>
    <t>Предмет тендера</t>
  </si>
  <si>
    <t>Тип процедуры</t>
  </si>
  <si>
    <t>Торговая площадка</t>
  </si>
  <si>
    <t>Основной заказчик</t>
  </si>
  <si>
    <t>ИНН заказчика</t>
  </si>
  <si>
    <t>КПП заказчика</t>
  </si>
  <si>
    <t>Заказчиков</t>
  </si>
  <si>
    <t>Уникальные победители</t>
  </si>
  <si>
    <t>% снижения НМЦ</t>
  </si>
  <si>
    <t>Условия поставки</t>
  </si>
  <si>
    <t>Возможные проблемы поставщика</t>
  </si>
  <si>
    <t>Ссылка на протокол подведения итогов</t>
  </si>
  <si>
    <t>Менеджер</t>
  </si>
  <si>
    <t>Разделить базу</t>
  </si>
  <si>
    <t>Лот</t>
  </si>
  <si>
    <t>4 ВИДА, ООО</t>
  </si>
  <si>
    <t>143912, Московская обл, г.о. Балашиха, г Балашиха, ул Евстафьева, д. 1/9, помещ. 288</t>
  </si>
  <si>
    <t>Зарудный Виктор Алексеевич</t>
  </si>
  <si>
    <t>+7 (495) 5242728
+7 (495) 6427228
+7 (903) 7997273
+7 (495) 6427229</t>
  </si>
  <si>
    <t>zarudny@4vida.ru</t>
  </si>
  <si>
    <t>Домникова Дарья Александровна (5 000 руб., 50%)
Зарудный Виктор Алексеевич (5 000 руб., 50%)</t>
  </si>
  <si>
    <t>Деятельность по организации конференций и выставок</t>
  </si>
  <si>
    <t>Низкий риск</t>
  </si>
  <si>
    <t>28 670 000</t>
  </si>
  <si>
    <t>Отправлена клиенту</t>
  </si>
  <si>
    <t>"на фт заводил Пител"</t>
  </si>
  <si>
    <t>А-КЛИНИНГ, ООО</t>
  </si>
  <si>
    <t>140060, Московская обл., г. Люберцы, рабочий пос. Октябрьский, ул. Текстильщиков, д. 7А кв. 171</t>
  </si>
  <si>
    <t>Басангов Александр Сергеевич</t>
  </si>
  <si>
    <t>+7 (926) 3233636</t>
  </si>
  <si>
    <t>basangov@yandex.ru</t>
  </si>
  <si>
    <t>Басангов Александр Сергеевич (10 000 руб., 100%)</t>
  </si>
  <si>
    <t>Управление недвижимым имуществом за вознаграждение или на договорной основе</t>
  </si>
  <si>
    <t>Средний риск</t>
  </si>
  <si>
    <t>8 640 000</t>
  </si>
  <si>
    <t>ВКЛ-ПОС</t>
  </si>
  <si>
    <t>"Лист Microsoft Excel (2)", "на фт заводил Пител"</t>
  </si>
  <si>
    <t>АБАКСТРОЙ, ООО</t>
  </si>
  <si>
    <t>660135, Красноярский кр., г. Красноярск, ул. Взлетная, д. 5 стр. 1 пом. 28 (Бизнес-центр «Конструкция»)</t>
  </si>
  <si>
    <t>Крейнис Елена Александровна</t>
  </si>
  <si>
    <t>+7 (923) 2789298
+7 (923) 2126000
+7 (923) 2170456</t>
  </si>
  <si>
    <t>Хашиев Омар Даудович (30 000 руб., 66.66%)
Крейнис Елена Александровна (15 000 руб., 33.33%)</t>
  </si>
  <si>
    <t>Строительство жилых и нежилых зданий</t>
  </si>
  <si>
    <t>470 000</t>
  </si>
  <si>
    <t>КИК</t>
  </si>
  <si>
    <t>АВАНТАЖ, ООО</t>
  </si>
  <si>
    <t>300002, Тульская обл., г. Тула, ул. Луначарского, д. 16 этаж 2 пом. 2</t>
  </si>
  <si>
    <t>Енькова Елена Борисовна</t>
  </si>
  <si>
    <t>+7 (962) 2715222</t>
  </si>
  <si>
    <t>avantage71@yandex.ru, card@brent71.ru</t>
  </si>
  <si>
    <t>ЗЕЛЕНЫЙ ДОМ, ООО (5 000 руб., 50%)
Карцева Наталия Игоревна (5 000 руб., 50%)</t>
  </si>
  <si>
    <t>Торговля оптовая твердым, жидким и газообразным топливом и подобными продуктами</t>
  </si>
  <si>
    <t>650 000</t>
  </si>
  <si>
    <t>АВС ГРУПП, ООО</t>
  </si>
  <si>
    <t>111024, г. Москва, вн.тер.г. муниципальный округ Перово, ул 2-я Энтузиастов, д. 5, к. 1, помещ. 6/2, офис 45</t>
  </si>
  <si>
    <t>Каиров Вадим Казбекович</t>
  </si>
  <si>
    <t>+7 (905) 5998876</t>
  </si>
  <si>
    <t>Каиров Вадим Казбекович (150 000 руб., 100%)</t>
  </si>
  <si>
    <t>Высокий риск</t>
  </si>
  <si>
    <t>100 000</t>
  </si>
  <si>
    <t>ВКЛ-ПОС
ВКЛ-ЦФКК</t>
  </si>
  <si>
    <t>АВТОЛИГА, ООО</t>
  </si>
  <si>
    <t>630027, Новосибирская обл, г.о. город Новосибирск, г Новосибирск, ул Богдана Хмельницкого, д. 128, офис 1</t>
  </si>
  <si>
    <t>Кошкин Игорь Иванович</t>
  </si>
  <si>
    <t>+7 (383) 2873215</t>
  </si>
  <si>
    <t>autoliga@mail.ru, buh@ford-sibir.ru</t>
  </si>
  <si>
    <t>Кошкин Игорь Иванович (10 000 руб., 100%)</t>
  </si>
  <si>
    <t>Торговля розничная легковыми автомобилями и легкими автотранспортными средствами в специализированных магазинах</t>
  </si>
  <si>
    <t>21 430 000</t>
  </si>
  <si>
    <t>АВТОМОБИЛЬНОЕ БЮРО, ООО</t>
  </si>
  <si>
    <t>197101, г. Санкт-Петербург, вн.тер.г. муниципальный округ Кронверкское, ул Кронверкская, д. 21, литера А, помещ. 1-Н</t>
  </si>
  <si>
    <t>Карпов Александр Александрович</t>
  </si>
  <si>
    <t>+7 (812) 3893021</t>
  </si>
  <si>
    <t>al@autoburo.net</t>
  </si>
  <si>
    <t>Карпов Александр Александрович (10 000 руб., 100%)</t>
  </si>
  <si>
    <t>Торговля автотранспортными средствами</t>
  </si>
  <si>
    <t>5 390 000</t>
  </si>
  <si>
    <t>АВТОПАРК № 5 СПЕЦТРАНС, ООО</t>
  </si>
  <si>
    <t>195273, г. Санкт-Петербург, проспект Пискарёвский, д. 63 литера А офис 537</t>
  </si>
  <si>
    <t>Засядь-Волк Алексей Владимирович</t>
  </si>
  <si>
    <t>+7 (812) 9574650
+7 (812) 9574660
+7 (931) 2865207
+7 (921) 9047585
+7 (921) 9048786</t>
  </si>
  <si>
    <t>info@avtopark5.ru, lomovavf@mail.ru, voloshina@avtopark5.ru</t>
  </si>
  <si>
    <t>Засядь-Волк Алексей Владимирович (110 000 руб., 100%)</t>
  </si>
  <si>
    <t>Деятельность по чистке и уборке прочая, не включенная в другие группировки</t>
  </si>
  <si>
    <t>410 000</t>
  </si>
  <si>
    <t>ВКЛ-ПОС
ВКЛ-ПОС;ВКЛ-ЦФКК</t>
  </si>
  <si>
    <t>АВТОСБЫТ, ООО</t>
  </si>
  <si>
    <t>452680, Башкортостан респ., г. Нефтекамск, ул. Автозаводская, д. 10</t>
  </si>
  <si>
    <t>Газизов Рафаэль Амирзагитович</t>
  </si>
  <si>
    <t>+7 (347) 1320035
+7 (34783) 20035
+7 (34783) 28848</t>
  </si>
  <si>
    <t>avtosbyt@avtosbyt.ru, galina-avtosbyt@yandex.ru, info@avtosbyt.ru, linar@avtosbyt.ru, vagon@avtosbyt.ru</t>
  </si>
  <si>
    <t>Газизов Рафаэль Амирзагитович (6 000 руб., 60%)
Газизова Гульнара Альтафовна (4 000 руб., 40%)</t>
  </si>
  <si>
    <t>Производство кузовов для автотранспортных средств; производство прицепов и полуприцепов</t>
  </si>
  <si>
    <t>64 420 000</t>
  </si>
  <si>
    <t>Гарантия завершена</t>
  </si>
  <si>
    <t>АВТОЦЕНТР КАРДАН, ООО</t>
  </si>
  <si>
    <t>238310, Калининградская обл, м.о. Гурьевский, п Малое Исаково, ул Гурьевская, зд. 2В, стр. 1, офис 206</t>
  </si>
  <si>
    <t>Попов Вячеслав Александрович</t>
  </si>
  <si>
    <t>+7 (401) 2795979
+7 (900) 5650599</t>
  </si>
  <si>
    <t>manager1@kardan39.ru, popov@kardan39.ru</t>
  </si>
  <si>
    <t>Попов Вячеслав Александрович (10 000 руб., 100%)</t>
  </si>
  <si>
    <t>Торговля прочими автотранспортными средствами</t>
  </si>
  <si>
    <t>760 000</t>
  </si>
  <si>
    <t>АГРОИНВЕСТ, ООО</t>
  </si>
  <si>
    <t>352041, Краснодарский кр., Павловский район, станица Павловская, д. ТЕР СЕВ-ЗАП ОАО ПАВЛОВСКИЙ МЯСОКОМБИНАТ</t>
  </si>
  <si>
    <t>Малушко Эллина Николаевна</t>
  </si>
  <si>
    <t>+7 (928) 6608658
+7 (86191) 54270
+7 (918) 2277760</t>
  </si>
  <si>
    <t>Абдулмуслимов Аюб Асламбекович (181 800 руб., 100%)</t>
  </si>
  <si>
    <t>Выращивание овощей, бахчевых, корнеплодных и клубнеплодных культур, грибов и трюфелей</t>
  </si>
  <si>
    <t>АКРОПОЛЬ-М, ООО</t>
  </si>
  <si>
    <t>614012, Пермский край, г.о. Пермский, г Пермь, ул Веры Засулич, д. 42, офис 308</t>
  </si>
  <si>
    <t>Нефидов Манолис Феодорович</t>
  </si>
  <si>
    <t>+7 (902) 8343887
+7 (952) 3321666
+7 (3422) 233136
+7 (3422) 249736</t>
  </si>
  <si>
    <t>akropol-m@mail.ru, stroiremperm@gmail.com, stroiremperm@mail.ru</t>
  </si>
  <si>
    <t>Нефидов Манолис Феодорович (10 000 руб., 100%)</t>
  </si>
  <si>
    <t>880 000</t>
  </si>
  <si>
    <t>За весь период контрактов 22 шт. с общей суммой НМЦ 1 917 563 561,38 ? с БГУ 89398094,15 и БГИ 358 334 829,56 ?</t>
  </si>
  <si>
    <t>АМКОН-ДВ, ООО</t>
  </si>
  <si>
    <t>690033, Приморский край, г.о. Владивостокский, г Владивосток, пр-кт 100-летия Владивостока, д. 57Д, помещ. 3-7</t>
  </si>
  <si>
    <t>Милютин Артём Вячеславович</t>
  </si>
  <si>
    <t>+7 (421) 2944833
+7 (924) 2042277</t>
  </si>
  <si>
    <t>amkon-dv@mail.ru</t>
  </si>
  <si>
    <t>Милютин Артём Вячеславович (10 000 руб., 100%)</t>
  </si>
  <si>
    <t>Производство строительных металлических конструкций, изделий и их частей</t>
  </si>
  <si>
    <t>4 220 000</t>
  </si>
  <si>
    <t>Отклонена банком</t>
  </si>
  <si>
    <t>АРГУС, ООО</t>
  </si>
  <si>
    <t>190098, г. Санкт-Петербург, вн.тер.г. муниципальный округ Адмиралтейский округ, б-р Конногвардейский, д. 13, литера А, помещ. 7Н</t>
  </si>
  <si>
    <t>Васильев Иван Николаевич</t>
  </si>
  <si>
    <t>+7 (812) 3807491
+7 (931) 3428938
+7 (905) 2231791</t>
  </si>
  <si>
    <t>5441840@mail.ru, 89313428938@mail.ru</t>
  </si>
  <si>
    <t>Васильев Иван Николаевич (60 000 руб., 100%)</t>
  </si>
  <si>
    <t>1 030 000</t>
  </si>
  <si>
    <t>АСУ-ТЕРРА, ООО</t>
  </si>
  <si>
    <t>614068, Пермский кр., г. Пермь, ул. Крисанова, д. 19 кв. 182</t>
  </si>
  <si>
    <t>Ачкасов Юрий Владимирович</t>
  </si>
  <si>
    <t>+7 (902) 7969081
+7 (912) 4806097
+7 (922) 3443761</t>
  </si>
  <si>
    <t>info@asu-terra.ru</t>
  </si>
  <si>
    <t>Ачкасов Юрий Владимирович (10 000 руб., 51%)
Тотьмянин Сергей Валерьевич (9 900 руб., 49%)</t>
  </si>
  <si>
    <t>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t>
  </si>
  <si>
    <t>АТЛАНТ, ООО</t>
  </si>
  <si>
    <t>363333, Северная Осетия - Алания респ., Ардонский район, г. Ардон, ул. Пролетарская, д. 16</t>
  </si>
  <si>
    <t>Акоев Артур Викторович</t>
  </si>
  <si>
    <t>akoev_artur@mail.ru</t>
  </si>
  <si>
    <t>Акоев Артур Викторович (20 000 руб., 100%)</t>
  </si>
  <si>
    <t>Строительство автомобильных дорог и автомагистралей</t>
  </si>
  <si>
    <t>1 360 000</t>
  </si>
  <si>
    <t>БАЙРУС, ООО</t>
  </si>
  <si>
    <t>198097, г. Санкт-Петербург, ул. Маршала Говорова, д. 29 литера А офис 309</t>
  </si>
  <si>
    <t>Поздняков Сергей Петрович</t>
  </si>
  <si>
    <t>info@byrusholding.ru</t>
  </si>
  <si>
    <t>Поздняков Сергей Петрович (110 000 руб., 100%)</t>
  </si>
  <si>
    <t>5 960 000</t>
  </si>
  <si>
    <t>БАЛТАВТОНОМГАЗ ПАРТНЕР, ООО</t>
  </si>
  <si>
    <t>238324, Калининградская обл, м.о. Гурьевский, п Лазовское, литер А, помещ. 2</t>
  </si>
  <si>
    <t>Кудрявцев Артём Владимирович</t>
  </si>
  <si>
    <t>+7 (401) 2720107
+7 (906) 2387284
+7 (911) 8599966</t>
  </si>
  <si>
    <t>etp1488@eltox.ru, korona.office@mail.ru</t>
  </si>
  <si>
    <t>Кудрявцев Артём Владимирович (5 000 руб., 50%)
Пономарёв Вячеслав Владимирович (5 000 руб., 50%)</t>
  </si>
  <si>
    <t>Распределена в Банк</t>
  </si>
  <si>
    <t>БАЛТАВТОНОМГАЗ, ООО</t>
  </si>
  <si>
    <t>238324, Калининградская обл, м.о. Гурьевский, п Лазовское, литер А, помещ 1</t>
  </si>
  <si>
    <t>Пономарёв Вячеслав Владимирович</t>
  </si>
  <si>
    <t>+7 (401) 2720132
+7 (401) 2934739
+7 (401) 2935999
+7 (909) 7773607</t>
  </si>
  <si>
    <t>info@avtonomgaz39.ru, korona.office@mail.ru</t>
  </si>
  <si>
    <t>Производство санитарно-технических работ, монтаж отопительных систем и систем кондиционирования воздуха</t>
  </si>
  <si>
    <t>10 230 000</t>
  </si>
  <si>
    <t>БИЗНЕС ИВЕНТ, ООО</t>
  </si>
  <si>
    <t>109544, г. Москва, ул. Рабочая, д. 93 стр. 1 пом. 1 ком. 9 (Бизнес-центр «Новорогожский корпус 1»)</t>
  </si>
  <si>
    <t>Егорычева Екатерина Викторовна</t>
  </si>
  <si>
    <t>+7 (985) 4724022
+7 (926) 3055395
+7 (495) 9815000
+7 (800) 7008231
+7 (964) 5665817</t>
  </si>
  <si>
    <t>egorycheva@formika.ru, kaygorodova@formika.ru, kira@formika.ru, moskvitsova@innoprom.com, storozhenko@formika.ru</t>
  </si>
  <si>
    <t>Зверкова Ольга Николаевна (9 000 руб., 90%)
Егорычева Екатерина Викторовна (1 000 руб., 10%)</t>
  </si>
  <si>
    <t>17 700 000</t>
  </si>
  <si>
    <t>БИЗНЕС РЕШЕНИЯ, ООО</t>
  </si>
  <si>
    <t>115432, г. Москва, проезд Проектируемый 4062-Й, д. 6 стр. 2 этаж / ком. 6/8 (Бизнес-парк «PortPlaza строение 2»)</t>
  </si>
  <si>
    <t>Макеев Алексей Алексеевич</t>
  </si>
  <si>
    <t>+7 (910) 4652669</t>
  </si>
  <si>
    <t>info@sbs-consulting.ru</t>
  </si>
  <si>
    <t>Реброва Ирина Вадимовна (10 000 руб., 100%)</t>
  </si>
  <si>
    <t>Консультирование по вопросам коммерческой деятельности и управления</t>
  </si>
  <si>
    <t>18 730 000</t>
  </si>
  <si>
    <t>БИС, ООО</t>
  </si>
  <si>
    <t>197374, г. Санкт-Петербург, ул. Школьная, д. 3 литера А пом. 2-Н</t>
  </si>
  <si>
    <t>Шуляр Павел Владимирович</t>
  </si>
  <si>
    <t>+7 (812) 9036475
+7 (812) 9046475
+7 (905) 4762339
+7 (911) 2660200
+7 (981) 8879587</t>
  </si>
  <si>
    <t>bis812@mail.ru, direktor@baltinjservis.ru, info@bailtinjservis.ru, info@baltinjservis.ru</t>
  </si>
  <si>
    <t>Шуляр Павел Владимирович (10 000 руб., 100%)</t>
  </si>
  <si>
    <t>Деятельность по благоустройству ландшафта</t>
  </si>
  <si>
    <t>1 060 000</t>
  </si>
  <si>
    <t>Заявка отозвана клиентом;Отклонена банком;Отправлена клиенту;Распределена в Банк</t>
  </si>
  <si>
    <t>БУР-ИНСТРУМЕНТ ЭКСПОРТ, ООО</t>
  </si>
  <si>
    <t>454007, Челябинская обл., г. Челябинск, проспект Ленина, д. 2А неж. пом. 2 неж. пом. 96</t>
  </si>
  <si>
    <t>Липский Александр Владимирович</t>
  </si>
  <si>
    <t>+7 (3512) 003349
+7 (958) 2657545</t>
  </si>
  <si>
    <t>Липский Александр Владимирович (10 000 руб., 100%)</t>
  </si>
  <si>
    <t>Деятельность агентов по оптовой торговле прочими видами машин и промышленным оборудованием</t>
  </si>
  <si>
    <t>1 990 000</t>
  </si>
  <si>
    <t>БУРАТИНО, МБУК МТКИА</t>
  </si>
  <si>
    <t>455019, Челябинская обл, г.о. Магнитогорский, г Магнитогорск, пр-кт Пушкина, д. 19А, помещ. 101</t>
  </si>
  <si>
    <t>Смирнов Сергей Николаевич</t>
  </si>
  <si>
    <t>+7 (950) 7444993
+7 (3519) 313988
+7 (3519) 346841
+7 (3519) 348740
+7 (3519) 348777
+7 (3519) 351720</t>
  </si>
  <si>
    <t>info@tetri.su, teatikukli@mail.ni, teatrkukli@mail.ru</t>
  </si>
  <si>
    <t>Челябинская обл, МАГНИТОГОРСКИЙ ГОРОДСКОЙ ОКРУГ (n/a)</t>
  </si>
  <si>
    <t>Деятельность в области исполнительских искусств</t>
  </si>
  <si>
    <t>ВЕЛЕН, ООО</t>
  </si>
  <si>
    <t>236023, Калининградская обл, г.о. город Калининград, г Калининград, пер Щорса, д. 1, цокольный этаж 1</t>
  </si>
  <si>
    <t>Баранов Григорий Арсеньевич</t>
  </si>
  <si>
    <t>+7 (401) 2507366
+7 (921) 6148846
+7 (906) 2333658</t>
  </si>
  <si>
    <t>a.metlova39@gmail.com, baranovfff2010@yandex.ru, velenkenik@yandex.ru</t>
  </si>
  <si>
    <t>Баранов Григорий Арсеньевич (10 000 руб., 100%)</t>
  </si>
  <si>
    <t>Деятельность автомобильного грузового транспорта</t>
  </si>
  <si>
    <t>2 990 000</t>
  </si>
  <si>
    <t>За весь период контрактов 4 шт. на общую сумму НМЦ 1 644 096 001,32 ?</t>
  </si>
  <si>
    <t>ВИАДУК, СП ООО</t>
  </si>
  <si>
    <t>238210, Калининградская обл., Гвардейский район, г. Гвардейск, ул. Вокзальная, д. 22</t>
  </si>
  <si>
    <t>Клюкин Кирилл Игоревич</t>
  </si>
  <si>
    <t>+7 (40159) 31171
+7 (40159) 31898
+7 (40159) 31909
+7 (40159) 31929
+7 (40159) 31939
+7 (40159) 34176
+7 (40161) 63000</t>
  </si>
  <si>
    <t>gvardejskstat@baltnet.ru</t>
  </si>
  <si>
    <t>Совместное Латвийско-Литовское предприятие Общество с ограниченной ответственностью "Виадуктс" (16 400 руб., 80%)
Денисов Владимир Викторович (4 100 руб., 20%)</t>
  </si>
  <si>
    <t>ВКЛ-ПОС;КИК
КИК</t>
  </si>
  <si>
    <t>ВИАСТРОЙ, ООО</t>
  </si>
  <si>
    <t>238210, Калининградская обл., Гвардейский район, пос. Забарье, ул. Цветочная, д. 36</t>
  </si>
  <si>
    <t>Денисов Владимир Викторович</t>
  </si>
  <si>
    <t>+7 (921) 2654341</t>
  </si>
  <si>
    <t>via110011@mail.ru</t>
  </si>
  <si>
    <t>Денисов Владимир Викторович (8 000 руб., 80%)
Власова Ольга Владимировна (2 000 руб., 20%)</t>
  </si>
  <si>
    <t>5 460 000</t>
  </si>
  <si>
    <t>ВОЛХОВ-ЭКО, ООО</t>
  </si>
  <si>
    <t>187401, Ленинградская обл., Волховский район, г. Волхов, ул. Шумская, д. 1 пом. 34</t>
  </si>
  <si>
    <t>Дорофеев Евгений Леонидович</t>
  </si>
  <si>
    <t>ruziliy@glavbuh-m.ru</t>
  </si>
  <si>
    <t>Дорофеев Евгений Леонидович (10 000 руб., 100%)</t>
  </si>
  <si>
    <t>Производство нефтепродуктов</t>
  </si>
  <si>
    <t>ГАЗОНЫ УРАЛА, ООО</t>
  </si>
  <si>
    <t>457037, Челябинская обл., Пластовский район, с. Верхняя Кабанка, ул. Ветеранов, д. 2А пом. 5</t>
  </si>
  <si>
    <t>Пичкалев Никита Анатольевич</t>
  </si>
  <si>
    <t>+7 (3512) 420525
+7 (922) 3355908</t>
  </si>
  <si>
    <t>gazonyurala@yandex.ru, pichkalyov@mail.ru, uralgazon@mail.ru</t>
  </si>
  <si>
    <t>Чесноков Алексей Александрович (340 000 руб., 34%)
Глагольев Евгений Васильевич (330 000 руб., 33%)
Пичкалев Никита Анатольевич (330 000 руб., 33%)</t>
  </si>
  <si>
    <t>Предоставление услуг в области растениеводства</t>
  </si>
  <si>
    <t>2 400 000</t>
  </si>
  <si>
    <t>ГЕНМАСТЕР, ООО</t>
  </si>
  <si>
    <t>141281, Московская обл., г. Ивантеевка, ул. Трудовая, д. 3 этаж / ком. 3/67</t>
  </si>
  <si>
    <t>Шариков Юрий Александрович</t>
  </si>
  <si>
    <t>+7 (925) 8015602
+7 (977) 9798620
+7 (495) 5454580</t>
  </si>
  <si>
    <t>info@genmaster.ru, sharikov@genmaster.ru, tender@genmaster.ru</t>
  </si>
  <si>
    <t>Кирьяков Алексей Викторович (2 900 000 руб., 48.33%)
Шариков Юрий Александрович (2 900 000 руб., 48.33%)
Дроздов Алексей Викторович (200 000 руб., 3.33%)</t>
  </si>
  <si>
    <t>Ремонт электрического оборудования</t>
  </si>
  <si>
    <t>27 600 000</t>
  </si>
  <si>
    <t>ГК ПРОФ ИНЖИНИРИНГ, ООО</t>
  </si>
  <si>
    <t>105005, г. Москва, вн.тер.г. муниципальный округ Басманный, пер Аптекарский, д. 4, стр. 4, этаж 4, помещ. VIII</t>
  </si>
  <si>
    <t>Рябушенко Александр Сергеевич</t>
  </si>
  <si>
    <t>+7 (495) 7775497</t>
  </si>
  <si>
    <t>info@pecorp.ru</t>
  </si>
  <si>
    <t>Рябушенко Александр Сергеевич (1 000 000 руб., 100%)</t>
  </si>
  <si>
    <t>3 080 000</t>
  </si>
  <si>
    <t>ГОРОД КАФЕ, ООО</t>
  </si>
  <si>
    <t>432017, Ульяновская обл., г. Ульяновск, ул. Карла Либкнехта, д. 19А этаж 6 офис 609</t>
  </si>
  <si>
    <t>Кондрев Сергей Константинович</t>
  </si>
  <si>
    <t>+7 (473) 2584265
+7 (800) 2222811
+7 (8422) 249242
+7 (8422) 334554
+7 (8422) 335455
+7 (8422) 665445
+7 (844) 2277677
+7 (844) 2335445
+7 (902) 0051033
+7 (903) 3800325
+7 (920) 0051033
+7 (920) 4597535
+7 (8422) 214363
+7 (844) 2249249
+7 (903) 3380325</t>
  </si>
  <si>
    <t>a.kondrev@gorodkafe.cjm, a.telegova@gorodcafe.com, and649@mail.ru, and6942@mail.ru, and6942@yandex.ru, bumdou307.p@yandex.ru, e.mashenceva@darscompany.ru, e.mashenceva@gorodcafe.cjm, e.mashenceva@gorodcafe.com, gorodkafe@yandex.ru</t>
  </si>
  <si>
    <t>КОМБИНАТ СОЦИАЛЬНОГО ПИТАНИЯ, ООО (10 000 руб., 100%)</t>
  </si>
  <si>
    <t>Деятельность предприятий общественного питания по прочим видам организации питания</t>
  </si>
  <si>
    <t>198 480 000</t>
  </si>
  <si>
    <t>ДЕПАРТАМЕНТ ОКИС</t>
  </si>
  <si>
    <t>694240, Сахалинская обл., Поронайский район, г. Поронайск, ул. Октябрьская, д. 76</t>
  </si>
  <si>
    <t>Анисова Наталья Геннадьевна</t>
  </si>
  <si>
    <t>+7 (42431) 42633
+7 (424) 3150749</t>
  </si>
  <si>
    <t>АДМИНИСТРАЦИЯ ПОРОНАЙСКОГО ГОРОДСКОГО ОКРУГА (n/a)</t>
  </si>
  <si>
    <t>Деятельность органов местного самоуправления по управлению вопросами общего характера</t>
  </si>
  <si>
    <t>ДЖИАЙТИЭЛ, ООО</t>
  </si>
  <si>
    <t>115191, г. Москва, вн.тер.г. муниципальный округ Даниловский, ул Мытная, д. 66, помещ. 47 (Бизнес-центр на Ул. Мытная, 66)</t>
  </si>
  <si>
    <t>Смирнов Павел Владимирович</t>
  </si>
  <si>
    <t>+7 (495) 3699036</t>
  </si>
  <si>
    <t>info@jitl.ru</t>
  </si>
  <si>
    <t>ТК-ТЕНДЕР, ООО (15 000 руб., 50%)
Кушнарева Алёна Владимировна (7 500 руб., 25%)
Смирнов Павел Владимирович (7 500 руб., 25%)</t>
  </si>
  <si>
    <t>Деятельность вспомогательная прочая, связанная с перевозками</t>
  </si>
  <si>
    <t>4 680 000</t>
  </si>
  <si>
    <t>ДИЗТРАНС, ООО</t>
  </si>
  <si>
    <t>192012, г. Санкт-Петербург, вн.тер.г. муниципальный округ Рыбацкое, пр-кт Обуховской Обороны, д. 271, литера А, помещ. 1047 (Бизнес-центр «Обуховъ-центр»)</t>
  </si>
  <si>
    <t>Зозулина Эльвира Владимировна</t>
  </si>
  <si>
    <t>+7 (904) 5521057
+7 (981) 7182222
+7 (812) 4492404
+7 (812) 6333476
+7 (812) 7406936
+7 (905) 2006936
+7 (921) 9599424</t>
  </si>
  <si>
    <t>a-01042006@yandex.ru</t>
  </si>
  <si>
    <t>Зозулина Эльвира Владимировна (10 000 руб., 100%)</t>
  </si>
  <si>
    <t>4 800 000</t>
  </si>
  <si>
    <t>ДИПСТРОЙСЕРВИС, АО</t>
  </si>
  <si>
    <t>140180, Московская обл., г. Жуковский, ул. Спасателей, д. 7</t>
  </si>
  <si>
    <t>Желиостов Александр Владимирович</t>
  </si>
  <si>
    <t>+7 (495) 6104848
+7 (499) 6104848
+7 (906) 9551715</t>
  </si>
  <si>
    <t>info@zaodss.ru, prmorozov@gmail.com</t>
  </si>
  <si>
    <t>ДОРГЕОТЕХ, ООО</t>
  </si>
  <si>
    <t>190000, г. Санкт-Петербург, проспект Шаумяна, д. 8 к. 1 литера Ю</t>
  </si>
  <si>
    <t>Девятилов Алексей Николаевич</t>
  </si>
  <si>
    <t>+7 (812) 3477405</t>
  </si>
  <si>
    <t>info@dorgeoteh.ru, marketing@dorgeoteh.ru</t>
  </si>
  <si>
    <t>Девятилов Алексей Николаевич (10 000 руб., 100%)</t>
  </si>
  <si>
    <t>220 000</t>
  </si>
  <si>
    <t>606002, Нижегородская обл., г. Дзержинск, ул. Лермонтова, д. 20 корп. 127</t>
  </si>
  <si>
    <t>+7 (921) 9606901
+7 (800) 7759212
+7 (8313) 314480</t>
  </si>
  <si>
    <t>Девятилов Алексей Николаевич (5 000 руб., 50%)
Предкин Владимир Викторович (5 000 руб., 50%)</t>
  </si>
  <si>
    <t>Деятельность в области архитектуры, связанная с созданием архитектурного объекта</t>
  </si>
  <si>
    <t>ДОРИНВЕСТ РЯЗАНЬ, ООО</t>
  </si>
  <si>
    <t>390011, Рязанская обл, г.о. город Рязань, г Рязань, км 198 километр (Окружная дорога), стр. 2А, офис 1</t>
  </si>
  <si>
    <t>Карапетян Арестакес Сергеевич</t>
  </si>
  <si>
    <t>+7 (912) 8673336
+7 (915) 5983399
+7 (962) 3931705</t>
  </si>
  <si>
    <t>Карапетян Арестакес Сергеевич (10 000 руб., 100%)</t>
  </si>
  <si>
    <t>830 000</t>
  </si>
  <si>
    <t>ДСУ 17, ООО</t>
  </si>
  <si>
    <t>394018, Воронежская обл, г.о. город Воронеж, г Воронеж, ул Володарского, д. 70, офис 1</t>
  </si>
  <si>
    <t>Итунин Артём Григорьевич</t>
  </si>
  <si>
    <t>+7 (919) 2305839
+7 (473) 2111171
+7 (473) 2550748
+7 (473) 2727076
+7 (473) 2727078</t>
  </si>
  <si>
    <t>burmistrova@rekonenrgo.ru, info@dsy17.ru, info@ooo-rekon-energo.ru</t>
  </si>
  <si>
    <t>Сафронова Юлия Александровна (10 000 руб., 100%)</t>
  </si>
  <si>
    <t>34 660 000</t>
  </si>
  <si>
    <t>ЕВРОСПЕЦКАБЕЛЬ, ООО ТД</t>
  </si>
  <si>
    <t>644046, Омская обл., г. Омск, ул. Ипподромная, д. 2 к. 1 пом. 99</t>
  </si>
  <si>
    <t>Зайцев Андрей Викторович</t>
  </si>
  <si>
    <t>Зайцев Андрей Викторович (10 000 руб., 100%)</t>
  </si>
  <si>
    <t>Торговля оптовая производственным электротехническим оборудованием, машинами, аппаратурой и материалами</t>
  </si>
  <si>
    <t>1 160 000</t>
  </si>
  <si>
    <t>ЖИЛСТРОЙСЕРВИС, ООО</t>
  </si>
  <si>
    <t>301245, Тульская обл., Щекинский район, г. Щекино, ул. Победы, д. 16Г</t>
  </si>
  <si>
    <t>Семенов Михаил Игоревич</t>
  </si>
  <si>
    <t>+7 (910) 1532363</t>
  </si>
  <si>
    <t>Еремышко Геннадий Геннадьевич (5 000 руб., 50%)
ЖИЛСТРОЙСЕРВИС, ООО (5 000 руб., 50%)</t>
  </si>
  <si>
    <t>Управление эксплуатацией жилого фонда за вознаграждение или на договорной основе</t>
  </si>
  <si>
    <t>ЗАВОД МОСКАБЕЛЬ, ООО</t>
  </si>
  <si>
    <t>111024, г. Москва, ул. 2-Я Кабельная, д. 2 стр. 2</t>
  </si>
  <si>
    <t>Моряков Павел Валерьевич</t>
  </si>
  <si>
    <t>+7 (495) 6738294
+7 (495) 7777534
+7 (495) 6735281
+7 (495) 6738398
+7 (495) 7777500</t>
  </si>
  <si>
    <t>sale@ck.mkm.ru</t>
  </si>
  <si>
    <t>МКМ, АО (131 000 000 руб., 100%)</t>
  </si>
  <si>
    <t>Производство прочих проводов и кабелей для электронного и электрического оборудования</t>
  </si>
  <si>
    <t>63 440 000</t>
  </si>
  <si>
    <t>За весь период контрактов 10 шт. на общую сумму НМЦ 5 995 473 079,53 ?</t>
  </si>
  <si>
    <t>ЗАВОД-ЦЕНТР, ООО</t>
  </si>
  <si>
    <t>603004, Нижегородская обл, г.о. город Нижний Новгород, г Нижний Новгород, ул Юлиуса Фучика, д. 6А, офис 404</t>
  </si>
  <si>
    <t>Котельников Андрей Станиславович</t>
  </si>
  <si>
    <t>+7 (903) 6077701
+7 (920) 0152550
+7 (930) 8198901
+7 (960) 1878770</t>
  </si>
  <si>
    <t>a.yakovleva_nn@mail.ru, centr.zavod@yandex.ru, tarakanov@list.ru</t>
  </si>
  <si>
    <t>Котельников Андрей Станиславович (50 000 руб., 100%)</t>
  </si>
  <si>
    <t>Менее 100000</t>
  </si>
  <si>
    <t>ЗВЕЗДА-ЭНЕРГОКОМПЛЕКС, ООО</t>
  </si>
  <si>
    <t>198097, г. Санкт-Петербург, проспект Стачек, д. 47 литера Х пом. 2-Н офис 206</t>
  </si>
  <si>
    <t>Куклинский Кирилл Маратович</t>
  </si>
  <si>
    <t>+7 (812) 7770099
+7 (812) 7779001</t>
  </si>
  <si>
    <t>a_pashkova@energostar.com</t>
  </si>
  <si>
    <t>СТМ, АО (61 000 000 руб., 61%)
ЗВЕЗДА-ЭНЕРГЕТИКА, АО (39 000 000 руб., 39%)</t>
  </si>
  <si>
    <t>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</si>
  <si>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ЗИЗХУ РУС, ООО</t>
  </si>
  <si>
    <t>620014, Свердловская обл., г. Екатеринбург, пер. Центральный Рынок, д. 6 офис 220/2</t>
  </si>
  <si>
    <t>Задорин Кирилл Александрович</t>
  </si>
  <si>
    <t>+7 (950) 5416297
+7 (915) 0154629</t>
  </si>
  <si>
    <t>a.koshaeva@zizhurus.ru</t>
  </si>
  <si>
    <t>Торопова Ольга Александровна (1 000 000 руб., 100%)</t>
  </si>
  <si>
    <t>Торговля оптовая неспециализированная</t>
  </si>
  <si>
    <t>2 040 000</t>
  </si>
  <si>
    <t>ЗОДЧИЙ, ООО</t>
  </si>
  <si>
    <t>191015, г. Санкт-Петербург, вн.тер.г. муниципальный округ Смольнинское, пр-кт Суворовский, д. 61, литера А, помещ. 3-Н</t>
  </si>
  <si>
    <t>Лукьянов Сергей Владимирович</t>
  </si>
  <si>
    <t>+7 (495) 9661408
+7 (977) 6872128</t>
  </si>
  <si>
    <t>info@zodchiy.biz, sukhovetskiy@zodchiy.biz</t>
  </si>
  <si>
    <t>Лукьянов Сергей Владимирович (55 567 500 руб., 100%)</t>
  </si>
  <si>
    <t>10 950 000</t>
  </si>
  <si>
    <t>Заявка отозвана клиентом
Системная проверка не пройдена</t>
  </si>
  <si>
    <t>ЗОЛОРЕСУРС, ООО</t>
  </si>
  <si>
    <t>142900, Московская обл, г.о. Кашира, г Кашира, ул Советская, д. 3А, офис 1А</t>
  </si>
  <si>
    <t>Говоров Владислав Станиславович</t>
  </si>
  <si>
    <t>+7 (915) 0717167</t>
  </si>
  <si>
    <t>Говоров Владислав Станиславович (10 000 руб., 100%)</t>
  </si>
  <si>
    <t>Торговля оптовая прочими строительными материалами и изделиями</t>
  </si>
  <si>
    <t>портфель 31.10.2021_10 тыс_проверка</t>
  </si>
  <si>
    <t>ЗПК, ООО</t>
  </si>
  <si>
    <t>353240, Краснодарский край, м.р-н Северский, с.п. Северское, ст-ца Северская, ул Западная, стр. 37А</t>
  </si>
  <si>
    <t>Гостев Максим Васильевич</t>
  </si>
  <si>
    <t>+7 (938) 4743991
+7 (961) 2247294
+7 (900) 2589484
+7 (861) 2185217
+7 (861) 2247294
+7 (861) 2469222
+7 (900) 2428997</t>
  </si>
  <si>
    <t>krdgostev@gmail.com, zpk@zpk-prom.ru</t>
  </si>
  <si>
    <t>Гостев Максим Васильевич (500 000 руб., 50%)
Пеклич Евгений Иванович (500 000 руб., 50%)</t>
  </si>
  <si>
    <t>Производство подъемных кранов</t>
  </si>
  <si>
    <t>840 000</t>
  </si>
  <si>
    <t>За 3 года по 223ФЗ заключено  1 шт контрактов на сумму 36 558 325,00 ?</t>
  </si>
  <si>
    <t>ЗПТК, ООО</t>
  </si>
  <si>
    <t>630049, Новосибирская обл, г.о. город Новосибирск, г Новосибирск, пр-кт Красный, д. 200, офис 311 (Бизнес-центр «Адриатика»)</t>
  </si>
  <si>
    <t>Богданов Антон Владимирович</t>
  </si>
  <si>
    <t>+7 (383) 3632381
+7 (999) 4684514
+7 (383) 2132975</t>
  </si>
  <si>
    <t>abogdanov@ngs.ru, n.solod54@yandex.ru, office@zptk.ru, tender@zptk.ru, zptk@mail.ru</t>
  </si>
  <si>
    <t>Богданов Антон Владимирович (7 600 000 руб., 100%)</t>
  </si>
  <si>
    <t>Производство электромонтажных работ</t>
  </si>
  <si>
    <t>51 230 000</t>
  </si>
  <si>
    <t>ИМАТЕКС-ЕВРАЗИЯ, ООО</t>
  </si>
  <si>
    <t>420079, Татарстан респ., г. Казань, ул. Гипсовая, д. 24</t>
  </si>
  <si>
    <t>Андреев Александр Владимирович</t>
  </si>
  <si>
    <t>+7 (8432) 585760
+7 (917) 8147098
+7 (8432) 485760
+7 (917) 6147099
+7 (987) 2906358</t>
  </si>
  <si>
    <t>imateks@bk.ru</t>
  </si>
  <si>
    <t>Андреев Александр Владимирович (5 000 руб., 50%)
Малова Мария Сергеевна (5 000 руб., 50%)</t>
  </si>
  <si>
    <t>Торговля оптовая текстильными изделиями</t>
  </si>
  <si>
    <t>2 810 000</t>
  </si>
  <si>
    <t>ИНВИД-ИНВЕСТ, ООО</t>
  </si>
  <si>
    <t>403193, Волгоградская обл., Нехаевский район, хутор Верхнереченский</t>
  </si>
  <si>
    <t>Бурченко Василий Александрович</t>
  </si>
  <si>
    <t>+7 (84443) 56142
+7 (905) 3980707</t>
  </si>
  <si>
    <t>КРЕСТЬЯНСКОЕ ХОЗЯЙСТВО НИВА, ООО (6 379 979.98 руб., 100%)</t>
  </si>
  <si>
    <t>Выращивание зерновых культур</t>
  </si>
  <si>
    <t>15 600 000</t>
  </si>
  <si>
    <t>ИНПО, ООО</t>
  </si>
  <si>
    <t>197374, г. Санкт-Петербург, вн.тер.г. муниципальный округ № 65, ул Мебельная, д. 2, литера К, помещ. 512</t>
  </si>
  <si>
    <t>Гавриленко Андрей Фёдорович</t>
  </si>
  <si>
    <t>+7 (911) 4590342
+7 (911) 7590342
+7 (921) 1009423</t>
  </si>
  <si>
    <t>inpo39@inbox.ru, inpo39@mail.ru</t>
  </si>
  <si>
    <t>Гавриленко Андрей Фёдорович (10 000 руб., 100%)</t>
  </si>
  <si>
    <t>1 220 000</t>
  </si>
  <si>
    <t>Гарантия отправлена;Отклонена банком</t>
  </si>
  <si>
    <t>ИНТЕРИОН, ООО</t>
  </si>
  <si>
    <t>197342, г. Санкт-Петербург, ул. Сердобольская, д. 64 к. 1 литера А пом. 48-Н, ком. №10</t>
  </si>
  <si>
    <t>Наумов Дмитрий Леонидович</t>
  </si>
  <si>
    <t>+7 (911) 1351534</t>
  </si>
  <si>
    <t>mr.interion@mail.ru</t>
  </si>
  <si>
    <t>Наумов Дмитрий Леонидович (10 000 руб., 100%)</t>
  </si>
  <si>
    <t>540 000</t>
  </si>
  <si>
    <t>ИНФОСЕРВИС, ООО</t>
  </si>
  <si>
    <t>650021, Кемеровская область - Кузбасс, г. Кемерово, ул. Кирзавод 3 Бис стр. 2 офис 15</t>
  </si>
  <si>
    <t>Романов Виталий Олегович</t>
  </si>
  <si>
    <t>+7 (923) 4049744</t>
  </si>
  <si>
    <t>info@ins42.ru, vitall_s@mail.ru</t>
  </si>
  <si>
    <t>Романов Виталий Олегович (10 000 руб., 100%)</t>
  </si>
  <si>
    <t>Деятельность консультативная и работы в области компьютерных технологий</t>
  </si>
  <si>
    <t>29 040 000</t>
  </si>
  <si>
    <t>ИОТТ, АО</t>
  </si>
  <si>
    <t>140004, Московская обл., г. Люберцы, проспект Октябрьский, д. 411</t>
  </si>
  <si>
    <t>Тарахкало Игорь Владимирович</t>
  </si>
  <si>
    <t>+7 (916) 7470854
+7 (495) 5548547
+7 (495) 5588100
+7 (495) 5588674
+7 (495) 5588695
+7 (495) 5588881</t>
  </si>
  <si>
    <t>igd@igds.ru, iott@iott.ru</t>
  </si>
  <si>
    <t>Научные исследования и разработки в области естественных и технических наук прочие</t>
  </si>
  <si>
    <t>ИПК ЧУВАШИЯ, АО</t>
  </si>
  <si>
    <t>428019, Чувашская Республика - Чувашия, г. Чебоксары, проспект И.Я.Яковлева, д. 13</t>
  </si>
  <si>
    <t>Ключников Алексей Александрович</t>
  </si>
  <si>
    <t>+7 (8352) 635151
+7 (8352) 642501
+7 (8352) 203113
+7 (8352) 642401
+7 (8352) 642407
+7 (8352) 642421
+7 (8352) 642505
+7 (8352) 642536
+7 (8352) 642566
+7 (8352) 661916
+7 (967) 7967771</t>
  </si>
  <si>
    <t>chuvpres@cap.ru, gupipk@rambler.ru, l-110272@yandex.ru, marketing@ipk21.ru, office@ipk21.ru, orup@mail.ru, zakupki_ipk_chuv@mail.ru</t>
  </si>
  <si>
    <t>Печатание газет</t>
  </si>
  <si>
    <t>ИСТ, ООО</t>
  </si>
  <si>
    <t>197022, г. Санкт-Петербург, вн.тер.г. муниципальный округ Аптекарский остров, наб Аптекарская, д. 20, литера А, помещ. 22-Н, офис 703</t>
  </si>
  <si>
    <t>Анцупов Николай Константинович</t>
  </si>
  <si>
    <t>Анцупов Николай Константинович (145 000 руб., 58%)
Пушкин Михаил Сергеевич (105 000 руб., 42%)</t>
  </si>
  <si>
    <t>12 350 000</t>
  </si>
  <si>
    <t>ВКЛ-ЦФКК
КИК</t>
  </si>
  <si>
    <t>КАЗАНСКИЕ МЕТАЛЛОКОРПУСНЫЕ ИЗДЕЛИЯ, ООО</t>
  </si>
  <si>
    <t>422701, Татарстан респ., Высокогорский район, с. Высокая Гора, ул. Полковая, д. 4 пом. 36</t>
  </si>
  <si>
    <t>Шубин Станислав Александрович</t>
  </si>
  <si>
    <t>+7 (8432) 039660
+7 (927) 4444284</t>
  </si>
  <si>
    <t>Шубин Станислав Александрович (10 000 руб., 100%)</t>
  </si>
  <si>
    <t>Производство электрической распределительной и регулирующей аппаратуры</t>
  </si>
  <si>
    <t>14 420 000</t>
  </si>
  <si>
    <t>КАСКАД, ССПОК</t>
  </si>
  <si>
    <t>399949, Липецкая обл., Чаплыгинский район, д. Буховка, д. 19</t>
  </si>
  <si>
    <t>Тюленева Наталья Владимировна</t>
  </si>
  <si>
    <t>+7 (909) 2247256</t>
  </si>
  <si>
    <t>Торговля розничная молочными продуктами и яйцами в специализированных магазинах</t>
  </si>
  <si>
    <t>КАЯ, ООО</t>
  </si>
  <si>
    <t>121359, г. Москва, вн.тер.г. муниципальный округ Кунцево, ул Оршанская, д. 13, этаж 1, помещ. V, КОМ. 1</t>
  </si>
  <si>
    <t>Захарова Милана Карэновна</t>
  </si>
  <si>
    <t>+7 (495) 1390739
+7 (495) 9982323</t>
  </si>
  <si>
    <t>Мелкумов Левон Карэнович (20 000 руб., 100%)</t>
  </si>
  <si>
    <t>Деятельность рекламных агентств</t>
  </si>
  <si>
    <t>КВАРТИРЫ РЯЗАНИ, ООО</t>
  </si>
  <si>
    <t>390013, Рязанская обл, г.о. город Рязань, г Рязань, ул Вокзальная, д. 6, помещ./офис Н9/505</t>
  </si>
  <si>
    <t>Морозова Ирина Николаевна</t>
  </si>
  <si>
    <t>+7 (900) 9729135
+7 (910) 0500351
+7 (910) 8508051
+7 (920) 5003519
+7 (910) 5003519</t>
  </si>
  <si>
    <t>poplyowin2016@yandex.ru</t>
  </si>
  <si>
    <t>Буянов Андрей Юрьевич (10 000 руб., 100%)</t>
  </si>
  <si>
    <t>Деятельность агентств недвижимости за вознаграждение или на договорной основе</t>
  </si>
  <si>
    <t>7 800 000</t>
  </si>
  <si>
    <t>КДЦ Г.АЛЕЙСКА, МБУ</t>
  </si>
  <si>
    <t>658130, Алтайский кр., г. Алейск, ул. Первомайская, д. 84</t>
  </si>
  <si>
    <t>Шемякина Светлана Владимировна</t>
  </si>
  <si>
    <t>+7 (38553) 20318
+7 (38553) 20652
+7 (38553) 21385
+7 (38553) 21984
+7 (38553) 24583</t>
  </si>
  <si>
    <t>kdcale@rambler.ru</t>
  </si>
  <si>
    <t>МУНИЦИПАЛЬНОЕ ОБРАЗОВАНИЕ ГОРОД АЛЕЙСК АЛТАЙСКОГО КРАЯ (n/a)</t>
  </si>
  <si>
    <t>Деятельность учреждений культуры и искусства</t>
  </si>
  <si>
    <t>КМЗ, ООО</t>
  </si>
  <si>
    <t>192241, г. Санкт-Петербург, проспект Славы, д. 52 корп. / литера 1/А пом. 51Н</t>
  </si>
  <si>
    <t>Русин Анатолий Сергеевич</t>
  </si>
  <si>
    <t>+7 (911) 2222910
+7 (981) 7831371</t>
  </si>
  <si>
    <t>info@1kmz.ru, kmz_tender@kmz1.ru</t>
  </si>
  <si>
    <t>Даниленко Михаил Владимирович (50 677 194.78 руб., 100%)</t>
  </si>
  <si>
    <t>Строительство кораблей, судов и плавучих конструкций</t>
  </si>
  <si>
    <t>КВС, ООО</t>
  </si>
  <si>
    <t>188632, Ленинградская обл, м.р-н Всеволожский, г.п. Сертоловское, г Сертолово, мкр. Сертолово-2, ул Тихвинская, д. 8, к. 1, помещ. 1-Н, ч.п. 1-Н</t>
  </si>
  <si>
    <t>Единач Юрий Иванович</t>
  </si>
  <si>
    <t>+7 (812) 4489929
+7 (812) 4489930
+7 (812) 3441311
+7 (812) 6330950
+7 (812) 6705020
+7 (812) 6705030</t>
  </si>
  <si>
    <t>info@kvsspb.ru, l.drobinskaya@kvsspb.ru, torgy@kvsspb.ru, yanes5@mail.ru</t>
  </si>
  <si>
    <t>Трекин Владимир Владимирович (1 097 020 000 руб., 100%)</t>
  </si>
  <si>
    <t>Отказ из-за непредставления документов;Отклонена банком
Отклонена банком</t>
  </si>
  <si>
    <t>КОМПАНИЯ КАРУМ, ООО</t>
  </si>
  <si>
    <t>353960, Краснодарский кр., г. Новороссийск, с. Цемдолина, проезд Литейный, д. 8 этаж 2</t>
  </si>
  <si>
    <t>Умеров Артем Александрович</t>
  </si>
  <si>
    <t>+7 (918) 4817465
+7 (960) 4816633</t>
  </si>
  <si>
    <t>buh@karum.ru</t>
  </si>
  <si>
    <t>Умеров Артем Александрович (10 000 руб., 100%)</t>
  </si>
  <si>
    <t>Производство товарного бетона</t>
  </si>
  <si>
    <t>14 820 000</t>
  </si>
  <si>
    <t>За 3 года по 223ФЗ заключено  9 шт контрактов на сумму 1 102 090 840,02 ?</t>
  </si>
  <si>
    <t>КОМПАНИЯ КОРОНА, ООО</t>
  </si>
  <si>
    <t>153009, Ивановская обл, г.о. Иваново, г Иваново, ул Лежневская, д. 183, помещ. 204</t>
  </si>
  <si>
    <t>Зараев Геннадий Владимирович</t>
  </si>
  <si>
    <t>+7 (493) 2391193
+7 (493) 2391195
+7 (493) 2929885</t>
  </si>
  <si>
    <t>Зараев Геннадий Владимирович (20 000 руб., 100%)</t>
  </si>
  <si>
    <t>Торговля оптовая текстильными изделиями, кроме текстильных галантерейных изделий</t>
  </si>
  <si>
    <t>1 570 000</t>
  </si>
  <si>
    <t>КРАСНОЕ, ООО</t>
  </si>
  <si>
    <t>403132, Волгоградская обл., Урюпинский район, хутор Красный</t>
  </si>
  <si>
    <t>Смыков Вячеслав Анатольевич</t>
  </si>
  <si>
    <t>КРЕСТЬЯНСКОЕ ХОЗЯЙСТВО НИВА, ООО (12 718 500 руб., 100%)</t>
  </si>
  <si>
    <t>12 060 000</t>
  </si>
  <si>
    <t>КРЕСТЬЯНСКОЕ ХОЗЯЙСТВО НИВА, ООО</t>
  </si>
  <si>
    <t>403156, Волгоградская обл., Урюпинский район, пос. Искра</t>
  </si>
  <si>
    <t>+7 (84442) 43344
+7 (961) 0724664</t>
  </si>
  <si>
    <t>e.kochetova@agroniva34.ru</t>
  </si>
  <si>
    <t>Пчельников Илья Владимирович (10 000 руб., 50%)
Пчельников Кирилл Владимирович (10 000 руб., 50%)</t>
  </si>
  <si>
    <t>Выращивание зерновых (кроме риса), зернобобовых культур и семян масличных культур</t>
  </si>
  <si>
    <t>21 970 000</t>
  </si>
  <si>
    <t>ВКЛ-ПОС
НКЛ-ПОС</t>
  </si>
  <si>
    <t>КРОСТ-Д, ООО</t>
  </si>
  <si>
    <t>125212, г. Москва, ул. Адмирала Макарова, д. 6 стр. 13 этаж 3 ком. №1 (Бизнес-центр "Невский причал")</t>
  </si>
  <si>
    <t>Знутин Александр Сергеевич</t>
  </si>
  <si>
    <t>+7 (495) 7258045
+7 (495) 7258046
+7 (499) 1562140
+7 (499) 6730860</t>
  </si>
  <si>
    <t>garaeva@krost.net, glukhov@krost.net</t>
  </si>
  <si>
    <t>Козлова Ирина Георгиевна (9 000 руб., 90%)
Фирсанова Анастасия Юрьевна (1 000 руб., 10%)</t>
  </si>
  <si>
    <t>3 930 000</t>
  </si>
  <si>
    <t>Заявка взята на рассмотрение;Отклонена банком;Отправлена клиенту
Отказ из-за непредставления документов
Отклонена банком;Отправлена клиенту
Системная проверка не пройдена
Скоринг пройден</t>
  </si>
  <si>
    <t>КРЭД, ООО</t>
  </si>
  <si>
    <t>127015, г. Москва, ул. Новодмитровская, д. 2 к. 5 кв. 446</t>
  </si>
  <si>
    <t>Киков Виталий Сергеевич</t>
  </si>
  <si>
    <t>+7 (926) 2823128</t>
  </si>
  <si>
    <t>vkikov@gmail.com</t>
  </si>
  <si>
    <t>Киков Виталий Сергеевич (10 000 руб., 100%)</t>
  </si>
  <si>
    <t>44 410 000</t>
  </si>
  <si>
    <t>ВКЛ-ПОС
КИК</t>
  </si>
  <si>
    <t>КУБАНЬ-ТЭКС, ООО</t>
  </si>
  <si>
    <t>350059, Краснодарский кр., г. Краснодар, ул. Тихорецкая, д. 24/1 к</t>
  </si>
  <si>
    <t>Пискунов Сергей Анатольевич</t>
  </si>
  <si>
    <t>+7 (861) 2637844
+7 (861) 2637849</t>
  </si>
  <si>
    <t>kubantex@yandex.ru</t>
  </si>
  <si>
    <t>Тимофеев Виктор Викторович (10 000 руб., 100%)</t>
  </si>
  <si>
    <t>Деятельность автомобильного грузового транспорта и услуги по перевозкам</t>
  </si>
  <si>
    <t>на фт заводил Пител.xlsx</t>
  </si>
  <si>
    <t>КУБИС ТРАНС, ООО</t>
  </si>
  <si>
    <t>117393, г. Москва, ул. Профсоюзная, д. 56 этаж 14 ком. 18 (Торгово-офисный центр «Черемушки (Cherry Tower)»)</t>
  </si>
  <si>
    <t>Чайка Сергей Михайлович</t>
  </si>
  <si>
    <t>+7 (495) 7833067
+7 (915) 1129682
+7 (495) 5189152
+7 (499) 4605062
+7 (918) 0190077</t>
  </si>
  <si>
    <t>info@kubis.ru, m.zinenko@kubis.ru</t>
  </si>
  <si>
    <t>Чайка Сергей Михайлович (120 219 255.35 руб., 77%)
Шагин Евгений Леонидович (35 909 647.7 руб., 23%)</t>
  </si>
  <si>
    <t>17 040 000</t>
  </si>
  <si>
    <t>ЛАН-ПРОЕКТ, ООО</t>
  </si>
  <si>
    <t>123103, г. Москва, проспект Маршала Жукова, д. 74 к. 1</t>
  </si>
  <si>
    <t>Крохин Сергей Львович</t>
  </si>
  <si>
    <t>+7 (495) 2220202
+7 (495) 9261226
+7 (495) 9261725
+7 (495) 9267512
+7 (495) 9761275
+7 (86192) 61275
+7 (872) 2672499
+7 (495) 4000034
+7 (495) 5401275
+7 (495) 5401276
+7 (495) 9261275
+7 (495) 9261276</t>
  </si>
  <si>
    <t>lanproekt@mail.ru, lenas@mail.ru, sbelkina@lan-project.ru, sbelkina@lanproject.ru</t>
  </si>
  <si>
    <t>Крохин Сергей Львович (250 000 руб., 100%)</t>
  </si>
  <si>
    <t>Разработка компьютерного программного обеспечения</t>
  </si>
  <si>
    <t>60 470 000</t>
  </si>
  <si>
    <t>Системная проверка не пройдена</t>
  </si>
  <si>
    <t>ЛАНЕЛ, ООО</t>
  </si>
  <si>
    <t>125315, г. Москва, ул. Часовая, д. 28 к. 4 этаж 2 ком. 38А</t>
  </si>
  <si>
    <t>Урусов Андрей Викторович</t>
  </si>
  <si>
    <t>+7 (499) 6540446
+7 (499) 4262096
+7 (495) 4262096</t>
  </si>
  <si>
    <t>box@lanel-security.ru, urusov26@gmail.com</t>
  </si>
  <si>
    <t>Владимирова Елена Валерьевна (10 000 руб., 100%)</t>
  </si>
  <si>
    <t>Деятельность в области архитектуры</t>
  </si>
  <si>
    <t>1 890 000</t>
  </si>
  <si>
    <t>ЛЕДОВЫЙ СЕРВИС, ООО ГК</t>
  </si>
  <si>
    <t>125130, г. Москва, ул. Нарвская, д. 2 стр. 5 офис 203 (Офисное здание)</t>
  </si>
  <si>
    <t>Слепнев Павел Борисович</t>
  </si>
  <si>
    <t>+7 (495) 9685432
+7 (916) 1400068
+7 (967) 2001299</t>
  </si>
  <si>
    <t>Слепнев Павел Борисович (10 000 руб., 100%)</t>
  </si>
  <si>
    <t>Ремонт машин и оборудования</t>
  </si>
  <si>
    <t>4 560 000</t>
  </si>
  <si>
    <t>Гарантия отправлена;Распределена в Банк</t>
  </si>
  <si>
    <t>ЛИДЕР-СТРОЙ, ООО</t>
  </si>
  <si>
    <t>353320, Краснодарский кр., Абинский район, г. Абинск, ул. Интернациональная, д. 52</t>
  </si>
  <si>
    <t>Шубин Александр Сергеевич</t>
  </si>
  <si>
    <t>+7 (988) 3444773</t>
  </si>
  <si>
    <t>Шубин Александр Сергеевич (10 000 руб., 100%)</t>
  </si>
  <si>
    <t>ЛИДЕРСТРОЙ, ООО</t>
  </si>
  <si>
    <t>119331, г. Москва, вн.тер.г. муниципальный округ Ломоносовский, пр-кт Вернадского, д. 29, этаж/ком./офис 2/5А/14-6 (Офисное здание)</t>
  </si>
  <si>
    <t>Акаман Николай Владимирович</t>
  </si>
  <si>
    <t>Терехов Иван Иванович (10 000 руб., 100%)</t>
  </si>
  <si>
    <t>ЛИКСТРОЙ, ООО</t>
  </si>
  <si>
    <t>630049, Новосибирская обл, г.о. город Новосибирск, г Новосибирск, ул Дуси Ковальчук, д. 272/4, офис 1</t>
  </si>
  <si>
    <t>Шарипов Виктор Рашидович</t>
  </si>
  <si>
    <t>+7 (913) 9818939
+7 (913) 8936622</t>
  </si>
  <si>
    <t>lik_stroy@bk.ru, ooo.likstroy@mail.ru</t>
  </si>
  <si>
    <t>Фазлыева Наталья Евгеньевна (4 000 000 руб., 100%)</t>
  </si>
  <si>
    <t>720 000</t>
  </si>
  <si>
    <t>ЛОГИННОВАЦИИ, ООО</t>
  </si>
  <si>
    <t>105120, г. Москва, пер. Большой Полуярославский, д. 8 офис 602</t>
  </si>
  <si>
    <t>Джалиев Шамиль Нухаевич</t>
  </si>
  <si>
    <t>+7 (906) 7936480
+7 (499) 3229911
+7 (929) 9600030</t>
  </si>
  <si>
    <t>tn@log-innov.ru</t>
  </si>
  <si>
    <t>Джалиев Шамиль Нухаевич (1 000 000 руб., 100%)</t>
  </si>
  <si>
    <t>6 860 000</t>
  </si>
  <si>
    <t>ЛЮМИНОФОР, ООО</t>
  </si>
  <si>
    <t>629007, Ямало-Ненецкий а.о., г. Салехард, ул. Манчинского, д. 18 кв. 56</t>
  </si>
  <si>
    <t>Управляющая компания ЯМАЛЭКОСЕРВИС, АО</t>
  </si>
  <si>
    <t>03.04.2020</t>
  </si>
  <si>
    <t>+7 (349) 2243229
+7 (912) 9103177</t>
  </si>
  <si>
    <t>luminofor@89.ru</t>
  </si>
  <si>
    <t>ЯМАЛЭКОСЕРВИС, АО (10 000 руб., 100%)</t>
  </si>
  <si>
    <t>Сбор отходов</t>
  </si>
  <si>
    <t>430 000</t>
  </si>
  <si>
    <t>За весь период контрактов 1 шт. на общую сумму НМЦ 695 721 047,23 ?</t>
  </si>
  <si>
    <t>МЕГАПОЛИС, ООО</t>
  </si>
  <si>
    <t>108814, г. Москва, Сосенское пос., ул. Александры Монаховой, д. 23 кв. 228</t>
  </si>
  <si>
    <t>Галыбин Роман Владимирович</t>
  </si>
  <si>
    <t>+7 (920) 9030340</t>
  </si>
  <si>
    <t>megapolism19@yandex.ru</t>
  </si>
  <si>
    <t>Галыбин Роман Владимирович (20 000 руб., 100%)</t>
  </si>
  <si>
    <t>Производство прочих отделочных и завершающих работ</t>
  </si>
  <si>
    <t>7 420 000</t>
  </si>
  <si>
    <t>МЕРИНГ ИНЖИНИРИНГ, АО</t>
  </si>
  <si>
    <t>170100, Тверская обл., г. Тверь, ул. Московская, д. 82 пом. 621, этаж 6</t>
  </si>
  <si>
    <t>Нагайцев Михаил Александрович</t>
  </si>
  <si>
    <t>+7 (482) 2481080
+7 (482) 2481368
+7 (495) 7390814
+7 (800) 5050814</t>
  </si>
  <si>
    <t>kruglova@meringgroup.ru, sale@energoestore.ru</t>
  </si>
  <si>
    <t>Нагайцев Михаил Александрович (2 520 500 руб., 100%)</t>
  </si>
  <si>
    <t>Строительство инженерных коммуникаций для водоснабжения и водоотведения, газоснабжения</t>
  </si>
  <si>
    <t>26 350 000</t>
  </si>
  <si>
    <t>МЕТАГОН, ООО</t>
  </si>
  <si>
    <t>353909, Краснодарский край, г.о. город Новороссийск, г Новороссийск, ул 2-я Ж/д петля, д. 27</t>
  </si>
  <si>
    <t>Салманов Андрей Валериевич</t>
  </si>
  <si>
    <t>+7 (861) 7607423
+7 (86137) 63516
+7 (86146) 31122
+7 (86152) 26557
+7 (86169) 32283
+7 (900) 2675656
+7 (905) 4230808
+7 (908) 6779924
+7 (918) 1237001
+7 (918) 2187827
+7 (918) 2673067
+7 (918) 3266656
+7 (918) 4241734
+7 (918) 4454653
+7 (918) 4753968</t>
  </si>
  <si>
    <t>metagon@mail.ru, pravo@metagon.ru</t>
  </si>
  <si>
    <t>Темиев Рамзан Абуевич (151 200 руб., 90%)
Салманов Андрей Валериевич (16 800 руб., 10%)</t>
  </si>
  <si>
    <t>Торговля оптовая отходами и ломом</t>
  </si>
  <si>
    <t>3 020 000</t>
  </si>
  <si>
    <t>МОК, ООО</t>
  </si>
  <si>
    <t>142635, Московская обл., г. Орехово-Зуево, д. Губино, ул. Железнодорожная, д. 1 пом. 3</t>
  </si>
  <si>
    <t>Федяев Алексей Анатольевич</t>
  </si>
  <si>
    <t>+7 (495) 4720533</t>
  </si>
  <si>
    <t>info@mok-msk.info</t>
  </si>
  <si>
    <t>Винер Александр Миронович (5 000 руб., 50%)
Савиных Анатолий Анатольевич (5 000 руб., 50%)</t>
  </si>
  <si>
    <t>3 520 000</t>
  </si>
  <si>
    <t>СЗ АКСТРОЙ, ООО</t>
  </si>
  <si>
    <t>236001, Калининградская обл, г.о. город Калининград, г Калининград, ул Елизаветинская, д. 4, помещ. 15</t>
  </si>
  <si>
    <t>Байтаров Зейрали Мусаддинович</t>
  </si>
  <si>
    <t>+7 (401) 2735534
+7 (401) 2971543
+7 (981) 4538749
+7 (401) 2735354
+7 (401) 2791766
+7 (8617) 790005</t>
  </si>
  <si>
    <t>akstroy.kld@gmail.com, etp1453@eltox.ru, etp1453@xipi.ru</t>
  </si>
  <si>
    <t>Байтаров Сулейман Мавлуд Оглы (10 000 руб., 100%)</t>
  </si>
  <si>
    <t>Заявка взята на рассмотрение</t>
  </si>
  <si>
    <t>НАДЕЖДА, ООО</t>
  </si>
  <si>
    <t>344068, Ростовская обл., г. Ростов-На-Дону, ул. Бодрая, д. 55</t>
  </si>
  <si>
    <t>Тишина Ольга Сергеевна</t>
  </si>
  <si>
    <t>+7 (8632) 476111
+7 (928) 1134040</t>
  </si>
  <si>
    <t>Тишина Ольга Сергеевна (38 670 руб., 100%)</t>
  </si>
  <si>
    <t>Деятельность прочего сухопутного пассажирского транспорта</t>
  </si>
  <si>
    <t>НАУМЕН КОНСАЛТИНГ, ООО</t>
  </si>
  <si>
    <t>109147, г. Москва, ул. Воронцовская, д. 35Б к. 3 офис 518</t>
  </si>
  <si>
    <t>Управляющая компания НАУМЕН СОФТ, ООО</t>
  </si>
  <si>
    <t>+7 (495) 1459045
+7 (495) 5421753
+7 (495) 6446466
+7 (495) 7864365</t>
  </si>
  <si>
    <t>sales@naumen.ru, sshemelkin@naumen.ru</t>
  </si>
  <si>
    <t>НАУМЕН, АО (5 100 руб., 51%)
НАУМЕН СОФТ, ООО (4 900 руб., 49%)</t>
  </si>
  <si>
    <t>49 870 000</t>
  </si>
  <si>
    <t>Заявка взята на рассмотрение
Отклонена банком</t>
  </si>
  <si>
    <t>НЗСМ, ООО</t>
  </si>
  <si>
    <t>361624, Кабардино-Балкарская респ., Эльбрусский район, г. Тырныауз, ул. Энеева, д. 6 кв. 45</t>
  </si>
  <si>
    <t>Гемуев Калет Юсуфович</t>
  </si>
  <si>
    <t>+7 (928) 7168508
+7 (866) 2961088
+7 (928) 9516277</t>
  </si>
  <si>
    <t>kaletgemuev@mail.ru, nzs@mail.ru, ooo_nzsm@mail.ru</t>
  </si>
  <si>
    <t>Гемуев Калет Юсуфович (1 022 000 руб., 100%)</t>
  </si>
  <si>
    <t>Производство изделий из бетона для использования в строительстве</t>
  </si>
  <si>
    <t>1 050 000</t>
  </si>
  <si>
    <t>НИП, ООО</t>
  </si>
  <si>
    <t>428000, Чувашская Республика - Чувашия, г. Чебоксары, ул. Афанасьева, д. 8 офис 112</t>
  </si>
  <si>
    <t>Алексеев Андрей Васильевич</t>
  </si>
  <si>
    <t>+7 (905) 1976144
+7 (8352) 709911</t>
  </si>
  <si>
    <t>alekseevav81@mail.ru, info@nipdoc.ru</t>
  </si>
  <si>
    <t>Алексеев Андрей Васильевич (300 000 руб., 60%)
Федорин Роман Геннадьевич (200 000 руб., 40%)</t>
  </si>
  <si>
    <t>Строительство коммунальных объектов для обеспечения электроэнергией и телекоммуникациями</t>
  </si>
  <si>
    <t>6 050 000</t>
  </si>
  <si>
    <t>НОРД-СТРОЙ, ООО</t>
  </si>
  <si>
    <t>199406, г. Санкт-Петербург, вн.тер.г. муниципальный округ Гавань, пр-кт Малый В.О., д. 88, литера А, помещ. 2-Н, ОФИС 87</t>
  </si>
  <si>
    <t>Кучинов Алексей Алексеевич</t>
  </si>
  <si>
    <t>+7 (812) 3477978
+7 (812) 4491919</t>
  </si>
  <si>
    <t>findir@stroy-citi.spb.ru</t>
  </si>
  <si>
    <t>Кучинов Алексей Алексеевич (1 000 000 руб., 100%)</t>
  </si>
  <si>
    <t>122 600 000</t>
  </si>
  <si>
    <t>ОБОРОНЭЛЕКТРОНПРОЕКТ, АО</t>
  </si>
  <si>
    <t>119071, г. Москва, проезд 2-Й Донской, д. 4 стр. 1 офис 408А</t>
  </si>
  <si>
    <t>Пономаренко Григорий Николаевич</t>
  </si>
  <si>
    <t>+7 (499) 8259280
+7 (499) 8259580
+7 (8652) 550819
+7 (8652) 956317</t>
  </si>
  <si>
    <t>oboron@klasterfcp.ru</t>
  </si>
  <si>
    <t>Деятельность в области архитектуры, инженерных изысканий и предоставление технических консультаций в этих областях</t>
  </si>
  <si>
    <t>68 160 000</t>
  </si>
  <si>
    <t>ОВЕРТАЙМ, ООО</t>
  </si>
  <si>
    <t>119071, г. Москва, проспект Ленинский, д. 19 стр. 1 Э 2 пом. I К 27 офис каб. 227</t>
  </si>
  <si>
    <t>Ахмадов Имран Мусаевич</t>
  </si>
  <si>
    <t>Ахмадов Имран Мусаевич (10 000 руб., 100%)</t>
  </si>
  <si>
    <t>Торговля оптовая сжиженными углеводородными газами</t>
  </si>
  <si>
    <t>ОПК, ООО</t>
  </si>
  <si>
    <t>450093, Башкортостан респ., г. Уфа, ул. Пушкина, д. 33 к. 2 каб. 509</t>
  </si>
  <si>
    <t>Полетаев Руслан Владимирович</t>
  </si>
  <si>
    <t>+7 (3472) 921470
+7 (3472) 921471
+7 (3472) 924470
+7 (8352) 240240
+7 (855) 2599220
+7 (855) 2599224</t>
  </si>
  <si>
    <t>aleksandr.tarasov@fortdialog.ru, aygul.khaybullina@fortdialog.ru, dikungv@ak.transneft.ru, mariturek@mail.ru, oooopk@mail.ru, opk@fortdialog.ru, tatyana.saiteeva@fortdialog.ru</t>
  </si>
  <si>
    <t>РОСТОК НЧ, ООО (10 000 руб., 100%)</t>
  </si>
  <si>
    <t>Торговля оптовая компьютерами, периферийными устройствами к компьютерам и программным обеспечением</t>
  </si>
  <si>
    <t>4 110 000</t>
  </si>
  <si>
    <t>За весь период контрактов 9 шт. с общей суммой НМЦ 1 254 342 258,52 ? с БГУ 13996340,82 и БГИ 207 280 576,36 ?</t>
  </si>
  <si>
    <t>ОТДЕЛ ОБРАЗОВАНИЯ АДМИНИСТРАЦИИ ПЕРВОМАЙСКОГО РАЙОНА ОРЕНБУРГСКОЙ ОБЛАСТИ, МКУ</t>
  </si>
  <si>
    <t>461980, Оренбургская обл., Первомайский район, пос. Первомайский, ул. Мирная, д. 18 А</t>
  </si>
  <si>
    <t>Дружинин Александр Владимирович</t>
  </si>
  <si>
    <t>+7 (35348) 31405
+7 (35348) 32062</t>
  </si>
  <si>
    <t>АДМИНИСТРАЦИЯ ПЕРВОМАЙСКОГО РАЙОНА ОРЕНБУРГСКОЙ ОБЛАСТИ (n/a)</t>
  </si>
  <si>
    <t>ПИКАЛЕВСКАЯ ТОПЛИВНАЯ КОМПАНИЯ, ООО</t>
  </si>
  <si>
    <t>187602, Ленинградская обл., Бокситогорский район, г. Пикалево, ул. Металлургов, д. 1</t>
  </si>
  <si>
    <t>Вакурин Сергей Николаевич</t>
  </si>
  <si>
    <t>+7 (921) 9987827
+7 (81366) 40122
+7 (81366) 40656</t>
  </si>
  <si>
    <t>piktk@mail.ru, vsnnik@mail.ru</t>
  </si>
  <si>
    <t>Антипина Мария Константиновна (500 000 руб., 50%)
Вакурин Сергей Николаевич (500 000 руб., 50%)</t>
  </si>
  <si>
    <t>ПОЖАРНЫЙ МИР, ООО</t>
  </si>
  <si>
    <t>654029, Кемеровская область - Кузбасс, г.о. Новокузнецкий, г Новокузнецк, р-н Куйбышевский, ул Вокзальная, д. 52</t>
  </si>
  <si>
    <t>Сунцова Яна Владимировна</t>
  </si>
  <si>
    <t>+7 (913) 3258970
+7 (951) 2268967
+7 (3843) 719599
+7 (3843) 740574
+7 (904) 9634267</t>
  </si>
  <si>
    <t>ooo-pojmir@mail.ru, pojmir@mail.ru</t>
  </si>
  <si>
    <t>Прохоров Никита Юрьевич (10 000 руб., 100%)</t>
  </si>
  <si>
    <t>Торговля розничная прочая в специализированных магазинах</t>
  </si>
  <si>
    <t>ПОСТАВКОМ, ООО</t>
  </si>
  <si>
    <t>109382, г. Москва, ул. Люблинская, д. 141 пом. VI ком. 2 (Бизнес-центр "СиПиТи Евразия")</t>
  </si>
  <si>
    <t>Судариков Стас Сергеевич</t>
  </si>
  <si>
    <t>+7 (495) 6693889
+7 (926) 5757660
+7 (495) 7439848
+7 (800) 5503669
+7 (925) 8025204</t>
  </si>
  <si>
    <t>postavcom@gmail.com, postavcombuh@gmail.com, postavcomcorp@gmail.com</t>
  </si>
  <si>
    <t>Судариков Стас Сергеевич (10 000 руб., 100%)</t>
  </si>
  <si>
    <t>ПРЕМЬЕР, ООО</t>
  </si>
  <si>
    <t>115404, г. Москва, вн.тер.г. муниципальный округ Бирюлево Восточное, ул 6-я Радиальная, д. 5, к. 3, кв 677</t>
  </si>
  <si>
    <t>Мысик Андрей Николаевич</t>
  </si>
  <si>
    <t>+7 (353) 2213878
+7 (353) 2236925
+7 (35322) 72121</t>
  </si>
  <si>
    <t>jurist@056ru.ru</t>
  </si>
  <si>
    <t>Мысик Андрей Николаевич (10 000 руб., 100%)</t>
  </si>
  <si>
    <t>Торговля оптовая алкогольными напитками, включая пиво и пищевой этиловый спирт</t>
  </si>
  <si>
    <t>130 000</t>
  </si>
  <si>
    <t>ПРИССКО, ООО</t>
  </si>
  <si>
    <t>119034, г. Москва, ул. Пречистенка, д. 24/1 этаж 1 пом. II ком. 5</t>
  </si>
  <si>
    <t>Широков Илья Михайлович</t>
  </si>
  <si>
    <t>+7 (495) 2253620
+7 (495) 6278057
+7 (495) 6406931
+7 (495) 2801664
+7 (495) 2110539
+7 (495) 2807829
+7 (495) 6238612</t>
  </si>
  <si>
    <t>Широков Илья Михайлович (1 282 400 руб., 80%)
Мастеров Валерий Евгеньевич (320 600 руб., 20%)</t>
  </si>
  <si>
    <t>5 080 000</t>
  </si>
  <si>
    <t>ВКЛ-ЦФКК</t>
  </si>
  <si>
    <t>ПРОМРЕСУРС, ООО</t>
  </si>
  <si>
    <t>105005, г. Москва, вн.тер.г. муниципальный округ Басманный, ул Радио, д. 12, стр. 2, этаж 1, помещ./ком. I/44</t>
  </si>
  <si>
    <t>Рыля Илья Георгиевич</t>
  </si>
  <si>
    <t>+7 (495) 2121931
+7 (495) 6121931</t>
  </si>
  <si>
    <t>Рыля Илья Георгиевич (100 000 руб., 100%)</t>
  </si>
  <si>
    <t>Торговля оптовая за вознаграждение или на договорной основе</t>
  </si>
  <si>
    <t>2 680 000</t>
  </si>
  <si>
    <t>ПРОМСТРОЙМОСТ, ООО</t>
  </si>
  <si>
    <t>119071, г. Москва, проспект Ленинский, д. 15 Э 4 пом. II ком. 11 (Офисное здание «Ленинский 15»)</t>
  </si>
  <si>
    <t>Шавров Роман Александрович</t>
  </si>
  <si>
    <t>+7 (926) 5281413</t>
  </si>
  <si>
    <t>promstroymost@gmail.com</t>
  </si>
  <si>
    <t>Шавров Роман Александрович (320 000 руб., 100%)</t>
  </si>
  <si>
    <t>Строительство мостов и тоннелей</t>
  </si>
  <si>
    <t>ПРОМСТРОЙПРОЕКТ, ООО СК</t>
  </si>
  <si>
    <t>620091, Свердловская обл, г.о. город Екатеринбург, г Екатеринбург, пр-кт Космонавтов, д. 62, офис 2</t>
  </si>
  <si>
    <t>Машканцев Юрий Николаевич</t>
  </si>
  <si>
    <t>+7 (922) 0310409
+7 (343) 2642693
+7 (343) 2901962
+7 (343) 3801122
+7 (34675) 74732
+7 (34675) 74918</t>
  </si>
  <si>
    <t>ekb-delta@yandex.ru, ekb-promstroy@yandex.ru</t>
  </si>
  <si>
    <t>Машканцев Юрий Николаевич (100 000 руб., 100%)</t>
  </si>
  <si>
    <t>150 000</t>
  </si>
  <si>
    <t>ПРОМТЕХГРУПП, ООО</t>
  </si>
  <si>
    <t>111024, г. Москва, вн.тер.г. муниципальный округ Лефортово, ул Авиамоторная, д. 50, стр. 2, этаж 2, помещ./ком./офис XI/25/А83 (Офисный центр "Авиамоторная 50")</t>
  </si>
  <si>
    <t>Абдуллин Рустам Мухарамович</t>
  </si>
  <si>
    <t>+7 (903) 7977020
+7 (495) 1326214
+7 (925) 3804225</t>
  </si>
  <si>
    <t>info@promtehgroup.ru</t>
  </si>
  <si>
    <t>Абдуллин Рустам Мухарамович (22 000 руб., 100%)</t>
  </si>
  <si>
    <t>Подготовка строительной площадки</t>
  </si>
  <si>
    <t>810 000</t>
  </si>
  <si>
    <t>ПРОМТОРГ, ООО</t>
  </si>
  <si>
    <t>198095, г. Санкт-Петербург, вн.тер.г. муниципальный округ Московская застава, ш Митрофаньевское, д. 17, к. 2, литера Б, помещ. 1Н, офис 4</t>
  </si>
  <si>
    <t>Елизарова Ирина Николаевна</t>
  </si>
  <si>
    <t>+7 (961) 8104455</t>
  </si>
  <si>
    <t>promtorg.dmitry@mail.ru, promtorginfo@list.ru</t>
  </si>
  <si>
    <t>Елизарова Ирина Николаевна (10 000 руб., 100%)</t>
  </si>
  <si>
    <t>270 000</t>
  </si>
  <si>
    <t>ПСБ ЖИЛСТРОЙ, ООО</t>
  </si>
  <si>
    <t>191144, г. Санкт-Петербург, ул. Новгородская, д. 14 литера А пом. 303</t>
  </si>
  <si>
    <t>+7 (921) 9110239
+7 (812) 4388055
+7 (812) 4388066
+7 (921) 9110235</t>
  </si>
  <si>
    <t>7842307444@eo.tensor.ru, office@psb-zhilstroy.ru, zhilstroy@yandex.ru</t>
  </si>
  <si>
    <t>Коган Людмила Валентиновна (400 000 руб., 40%)
Кретов Александр Владимирович (400 000 руб., 40%)
Александров Владимир Анатольевич (100 000 руб., 10%)
Желиостов Александр Владимирович (100 000 руб., 10%)</t>
  </si>
  <si>
    <t>ПСМ, ООО</t>
  </si>
  <si>
    <t>141002, Московская обл., г. Мытищи, ул. Колпакова, д. 2 к. 10 пом. 213</t>
  </si>
  <si>
    <t>Астафуров Алексей Викторович</t>
  </si>
  <si>
    <t>+7 (916) 3646347
+7 (495) 4070694
+7 (495) 5864466
+7 (916) 1020173</t>
  </si>
  <si>
    <t>9163646347@mail.ru, psm2018@mail.ru</t>
  </si>
  <si>
    <t>Казанов Алексей Юрьевич (10 200 руб., 100%)</t>
  </si>
  <si>
    <t>202 830 000</t>
  </si>
  <si>
    <t>Мой черновик
Распределена в Банк</t>
  </si>
  <si>
    <t>ПУЛЬСАР-МСК, ООО</t>
  </si>
  <si>
    <t>127549, г. Москва, ул. Бибиревская, д. 2 к. 1 офис 023</t>
  </si>
  <si>
    <t>Морозов Алексей Игорьевич</t>
  </si>
  <si>
    <t>+7 (917) 5441810
+7 (963) 6236146
+7 (495) 1340669</t>
  </si>
  <si>
    <t>info@pulsar-msk.ru, tender@pulsar-msk.ru</t>
  </si>
  <si>
    <t>Морозов Алексей Игорьевич (10 000 руб., 100%)</t>
  </si>
  <si>
    <t>Торговля оптовая санитарно-техническим оборудованием</t>
  </si>
  <si>
    <t>39 390 000</t>
  </si>
  <si>
    <t>ПУСК, АО</t>
  </si>
  <si>
    <t>620024, Свердловская обл., г. Екатеринбург, ул. Ковыльная, д. 182</t>
  </si>
  <si>
    <t>Орныш Олег Ефимович</t>
  </si>
  <si>
    <t>+7 (343) 2615957
+7 (902) 4095009</t>
  </si>
  <si>
    <t>610 000</t>
  </si>
  <si>
    <t>Гарантия отправлена</t>
  </si>
  <si>
    <t>РЕКОНСТРУКЦИЯ, ООО</t>
  </si>
  <si>
    <t>184505, Мурманская обл., г. Мончегорск, ул. Котульского, д. 4 кв. 48</t>
  </si>
  <si>
    <t>Ястреб Николай Николаевич</t>
  </si>
  <si>
    <t>+7 (81536) 70006</t>
  </si>
  <si>
    <t>Ястреб Николай Николаевич (10 000 руб., 100%)</t>
  </si>
  <si>
    <t>Работы строительные отделочные</t>
  </si>
  <si>
    <t>33 990 000</t>
  </si>
  <si>
    <t>РЕМОС, АО</t>
  </si>
  <si>
    <t>127015, г. Москва, ул. Новодмитровская, д. 2 к. 1 пом. LXX ком. 1</t>
  </si>
  <si>
    <t>Таюкин Александр Сергеевич</t>
  </si>
  <si>
    <t>+7 (871) 2296387
+7 (999) 7687880
+7 (495) 1201180
+7 (495) 1201190
+7 (919) 2461835</t>
  </si>
  <si>
    <t>info@aoremos.ru, tayukin@aoremos.ru, tender@aoremos.ru</t>
  </si>
  <si>
    <t>Техническое обслуживание и ремонт автотранспортных средств</t>
  </si>
  <si>
    <t>РЕМСТРОЙКОМПЛЕКС, ООО НПХК</t>
  </si>
  <si>
    <t>191180, г. Санкт-Петербург, набережная Реки Фонтанки, д. 90 к. 2 литера Б офис 5-Н</t>
  </si>
  <si>
    <t>Гусев Валерий Викторович</t>
  </si>
  <si>
    <t>+7 (812) 6020792
+7 (921) 9620121
+7 (962) 6858562
+7 (812) 4046232</t>
  </si>
  <si>
    <t>remstroykompleks@mail.ru</t>
  </si>
  <si>
    <t>Абраменко Алексей Альбертович (5 000 руб., 50%)
Иноземцев Вячеслав Алексеевич (4 500 руб., 45%)
Гусев Валерий Викторович (500 руб., 5%)</t>
  </si>
  <si>
    <t>630 000</t>
  </si>
  <si>
    <t>РЕСУРС, ООО</t>
  </si>
  <si>
    <t>454080, Челябинская обл, г.о. Челябинский, вн.р-н Центральный, п Мелькомбинат 2 участок 1, д. 4, кв. 38</t>
  </si>
  <si>
    <t>Бабиков Станислав Валентинович</t>
  </si>
  <si>
    <t>Бабиков Станислав Валентинович (10 000 руб., 100%)</t>
  </si>
  <si>
    <t>РПЦ РЕСПУБЛИКИ МАРИЙ ЭЛ, ФЛ ФГУП РТРС</t>
  </si>
  <si>
    <t>424031, Марий Эл респ., г. Йошкар-Ола, ул. Осипенко, д. 50</t>
  </si>
  <si>
    <t>Шадрин Андрей Михайлович</t>
  </si>
  <si>
    <t>+7 (8362) 451563
+7 (8362) 454878</t>
  </si>
  <si>
    <t>РСПК, ООО</t>
  </si>
  <si>
    <t>141002, Московская обл., г. Мытищи, ул. Колпакова, д. 2 литера Е пом. 308</t>
  </si>
  <si>
    <t>Шипилов Василий Андреевич</t>
  </si>
  <si>
    <t>+7 (968) 9474302
+7 (495) 4060794
+7 (499) 3807006
+7 (916) 8107878
+7 (926) 5899898</t>
  </si>
  <si>
    <t>9265899898@mail.ru, ooorspk1@gmail.com, rspk_2012@mail.ru, s.alekseeva@stroiprestizh.ru</t>
  </si>
  <si>
    <t>Казанов Алексей Юрьевич (7 500 руб., 75%)
ПСМ, ООО (2 400 руб., 24%)
Астафуров Алексей Викторович (100 руб., 1%)</t>
  </si>
  <si>
    <t>136 930 000</t>
  </si>
  <si>
    <t>Гарантия отправлена
Гарантия отправлена;Заявка отозвана клиентом;Отклонена банком;Отправлена клиенту
Заявка отозвана клиентом;Отклонена банком</t>
  </si>
  <si>
    <t>РТГ, ООО</t>
  </si>
  <si>
    <t>121354, г. Москва, ул. Дорогобужская, д. 14 стр. 5 пом. 403</t>
  </si>
  <si>
    <t>Брагина Виктория Викторовна</t>
  </si>
  <si>
    <t>+7 (495) 1330962
+7 (916) 3111313</t>
  </si>
  <si>
    <t>bragindvrtg@gmail.com, resurstransgrupp@gmail.com</t>
  </si>
  <si>
    <t>Брагина Виктория Викторовна (10 000 руб., 100%)</t>
  </si>
  <si>
    <t>4 330 000</t>
  </si>
  <si>
    <t>ВКЛ-ПОС
ВКЛ-ПОС;КИК
КИК</t>
  </si>
  <si>
    <t>РУС-НПЗ, ООО</t>
  </si>
  <si>
    <t>195027, г. Санкт-Петербург, вн.тер.г. муниципальный округ Большая Охта, ул Магнитогорская, д. 51, литера Е, помещ. 1-Н, офис 109</t>
  </si>
  <si>
    <t>Кузнецов Алексей Александрович</t>
  </si>
  <si>
    <t>+7 (812) 2090012
+7 (812) 6037706</t>
  </si>
  <si>
    <t>aak@rusnpz.ru, buh@rusnpz.ru, info@rusnp.ru, info@rusnpz.ru</t>
  </si>
  <si>
    <t>Кузнецов Алексей Александрович (10 000 руб., 100%)</t>
  </si>
  <si>
    <t>РУСБЕРРИ ТРЕЙД, ООО</t>
  </si>
  <si>
    <t>199406, г. Санкт-Петербург, проспект Малый В.О., д. 88 литера А пом. 2Н офис 92</t>
  </si>
  <si>
    <t>Чеботарь Михаил Владимирович</t>
  </si>
  <si>
    <t>+7 (921) 6378010
+7 (800) 3010562
+7 (812) 2447292
+7 (812) 3477068
+7 (812) 9049081
+7 (81737) 21946</t>
  </si>
  <si>
    <t>m.v.chebotar@gmail.com</t>
  </si>
  <si>
    <t>РУСБЕРРИ, АО (6 510 000 руб., 100%)</t>
  </si>
  <si>
    <t>13 650 000</t>
  </si>
  <si>
    <t>РУСПРОМПАК, ООО</t>
  </si>
  <si>
    <t>141304, Московская обл, Сергиев Посад г, г.о. Сергиево-Посадский, ш Московское, д. 3А/1, помещ. 17</t>
  </si>
  <si>
    <t>Егоров Александр Николаевич</t>
  </si>
  <si>
    <t>+7 (925) 8722727
+7 (495) 7757265
+7 (800) 1007025</t>
  </si>
  <si>
    <t>info@rusprompack.ru</t>
  </si>
  <si>
    <t>Егоров Александр Николаевич (15 000 руб., 100%)</t>
  </si>
  <si>
    <t>190 000</t>
  </si>
  <si>
    <t>РУССОЙЛ, ООО</t>
  </si>
  <si>
    <t>191025, г. Санкт-Петербург, ул. Стремянная, д. 10 литера А пом. 14</t>
  </si>
  <si>
    <t>Меликсетян Карен Левонович</t>
  </si>
  <si>
    <t>+7 (921) 9237175
+7 (911) 0006104
+7 (800) 2226847
+7 (812) 4673211
+7 (812) 6122212
+7 (911) 0006182</t>
  </si>
  <si>
    <t>aadr@rossoil.ru, info@rossoil.ru, ml@rossoil.ru</t>
  </si>
  <si>
    <t>Перец Алексей Юрьевич (8 000 200 руб., 66.67%)
Меликсетян Карен Левонович (3 999 800 руб., 33.33%)</t>
  </si>
  <si>
    <t>65 310 000</t>
  </si>
  <si>
    <t>РУСЬМЕДСНАБ, ООО</t>
  </si>
  <si>
    <t>656906, Алтайский край, г.о. город Барнаул, г Барнаул, тракт Змеиногорский, д. 120/12, кв. 151</t>
  </si>
  <si>
    <t>Шарапова Юлия Викторовна</t>
  </si>
  <si>
    <t>+7 (385) 2504174
+7 (385) 2504295
+7 (903) 9105462
+7 (385) 2504184</t>
  </si>
  <si>
    <t>rusmedsnab2021@gmail.com, rusmedsnab2021@gmail.ru, rusmedsnab2021@mail.ru, rusmedsnab2021@qmail.com, rusmedsnad2021@gmail.com</t>
  </si>
  <si>
    <t>Шарапова Юлия Викторовна (10 000 руб., 100%)</t>
  </si>
  <si>
    <t>За 22 г по 44фз контрактов 13 шт. с нмц 44 776 296,39 ? с БГИ на сумму 4 665 791,09 ? с БГГО на 12 186,00 ? с авансированием до 0,00 ? с комиссией по БГИ  94 424,28 ? и с кв 821,49 ?</t>
  </si>
  <si>
    <t>РЭС ИНЖИНИРИНГ, ООО</t>
  </si>
  <si>
    <t>191036, г. Санкт-Петербург, ул. 4-Я Советская, д. 16/10 литера А пом. 19-Н ком. №2</t>
  </si>
  <si>
    <t>Тихонов Сергей Сергеевич</t>
  </si>
  <si>
    <t>+7 (499) 3444545
+7 (812) 2456118
+7 (981) 8468886
+7 (981) 8900296
+7 (988) 9833232</t>
  </si>
  <si>
    <t>info@res-e.ru</t>
  </si>
  <si>
    <t>Тихонов Сергей Сергеевич (5 100 000 руб., 51%)
РУСПОЛИМЕТ, АО (4 900 000 руб., 49%)</t>
  </si>
  <si>
    <t>Заявка отозвана клиентом</t>
  </si>
  <si>
    <t>С-СОФТ, ООО</t>
  </si>
  <si>
    <t>115516, г. Москва, вн.тер.г. муниципальный округ Царицыно, б-р Кавказский, д. 57, помещ. 303</t>
  </si>
  <si>
    <t>Галаев Дмитрий Александрович</t>
  </si>
  <si>
    <t>+7 (916) 2790110</t>
  </si>
  <si>
    <t>dg@c-soft.dev</t>
  </si>
  <si>
    <t>Новикова Наталья Сергеевна (10 000 руб., 100%)</t>
  </si>
  <si>
    <t>САВО ПЛЮС, ООО</t>
  </si>
  <si>
    <t>152901, Ярославская обл., Рыбинский район, г. Рыбинск, ул. Чкалова, д. 5</t>
  </si>
  <si>
    <t>Антипкин Александр Викторович</t>
  </si>
  <si>
    <t>+7 (910) 9783888
+7 (4855) 295060</t>
  </si>
  <si>
    <t>savo2007@mail.ru</t>
  </si>
  <si>
    <t>Антипкин Александр Викторович (100 000 руб., 100%)</t>
  </si>
  <si>
    <t>САЛТАНАТ, ООО</t>
  </si>
  <si>
    <t>123112, г. Москва, набережная Пресненская, д. 12 этаж / офис / пом. 44/4403/9 (Многофункциональный комплекс «Башня Федерация»)</t>
  </si>
  <si>
    <t>Сеттаров Леннур Рефатович</t>
  </si>
  <si>
    <t>Сеттаров Леннур Рефатович (20 000 руб., 100%)</t>
  </si>
  <si>
    <t>17 110 000</t>
  </si>
  <si>
    <t>САРТОРИУС РУС, ООО</t>
  </si>
  <si>
    <t>199178, г. Санкт-Петербург, лн. 5-Я В.О., д. 70 литера А пом. 102-109, 121-126/11Н</t>
  </si>
  <si>
    <t>Шохин Евгений Владимирович</t>
  </si>
  <si>
    <t>+7 (812) 3275323
+7 (812) 3075327
+7 (812) 3235723
+7 (812) 3730212
+7 (911) 9005108
+7 (495) 7481613
+7 (812) 3275327</t>
  </si>
  <si>
    <t>anastasia.ilina@sartorius.ru, anastasia.pavlenko@sartorius.com, anna.palshina@sartorius.com, anna.rogozhina@sartorius.com, arina.bakhtina@sartorius.com, evgenia.kirienko@sartorius.com, lilia.safarayn@sartorius.com, main@biohit.ru, oksana.grushevskaya@sartorius.com, rasha@sartorius.com</t>
  </si>
  <si>
    <t>КОМПАНИЯ "САРТОРИУС ЛАБ ХОЛДИНГ ГМБХ" (7 920 000 руб., 99%)
Sartorius Corporate Administration GmbH (80 000 руб., 1%)</t>
  </si>
  <si>
    <t>136 370 000</t>
  </si>
  <si>
    <t>За 3 года по 223ФЗ заключено  36 шт контрактов на сумму 20 693 132,23 ?</t>
  </si>
  <si>
    <t>СБС, ООО</t>
  </si>
  <si>
    <t>115432, г. Москва, проезд Проектируемый 4062-Й, д. 6 стр. 2 этаж / ком. 6/9 (Бизнес-парк «PortPlaza строение 2»)</t>
  </si>
  <si>
    <t>Тарасевич Александр Дмитриевич</t>
  </si>
  <si>
    <t>+7 (985) 2628025</t>
  </si>
  <si>
    <t>Тарасевич Александр Дмитриевич (10 000 руб., 100%)</t>
  </si>
  <si>
    <t>99 710 000</t>
  </si>
  <si>
    <t>СГ-СБЫТ, ООО</t>
  </si>
  <si>
    <t>119180, г. Москва, вн.тер.г. муниципальный округ Якиманка, ул Большая Полянка, д. 51А/9, пом. 1/1 ЭТАЖ 7, помещ./комн. I/27</t>
  </si>
  <si>
    <t>Баранов Андрей Владимирович</t>
  </si>
  <si>
    <t>Баранов Андрей Владимирович (310 000 руб., 100%)</t>
  </si>
  <si>
    <t>1 100 000</t>
  </si>
  <si>
    <t>СГС, ООО</t>
  </si>
  <si>
    <t>443099, Самарская обл., г. Самара, ул. Водников, д. 60 офис 615 (Бизнес-центр «Глобус»)</t>
  </si>
  <si>
    <t>Лупандин Андрей Вадимович</t>
  </si>
  <si>
    <t>+7 (812) 9035515
+7 (84627) 94859</t>
  </si>
  <si>
    <t>info@sgservice.org</t>
  </si>
  <si>
    <t>Лупандин Андрей Вадимович (606 000 руб., 60%)
Штейман Олег Михайлович (404 000 руб., 40%)</t>
  </si>
  <si>
    <t>57 630 000</t>
  </si>
  <si>
    <t>СДС, ООО</t>
  </si>
  <si>
    <t>678960, Саха /Якутия/ респ., Нерюнгринский район, г. Нерюнгри, тер. Тор Южная Якутия</t>
  </si>
  <si>
    <t>Суховерхов Василий Федорович</t>
  </si>
  <si>
    <t>+7 (41145) 33606
+7 (924) 4637583
+7 (41145) 35844
+7 (41145) 55127</t>
  </si>
  <si>
    <t>cdc678900@gmail.com, cdc@gkparitet.ru, sds@gkparitet.ru</t>
  </si>
  <si>
    <t>Суховерхов Василий Федорович (10 000 руб., 100%)</t>
  </si>
  <si>
    <t>291 460 000</t>
  </si>
  <si>
    <t>СИБИРЬ-НЕФТЕСТРОЙ, ООО</t>
  </si>
  <si>
    <t>650004, Кемеровская область - Кузбасс, г. Кемерово, ул. Соборная, д. 8 офис 520</t>
  </si>
  <si>
    <t>Шведчиков Александр Александрович</t>
  </si>
  <si>
    <t>Шведчиков Александр Александрович (10 000 руб., 100%)</t>
  </si>
  <si>
    <t>СИБИРЬСТРОЙСЕРВИС, ООО</t>
  </si>
  <si>
    <t>660111, Красноярский край, г.о. город Красноярск, г Красноярск, ул Башиловская, д. 4А, к. 3, стр. 11</t>
  </si>
  <si>
    <t>Узоликов Дмитрий Владимирович</t>
  </si>
  <si>
    <t>+7 (391) 2052290
+7 (391) 2945702
+7 (953) 5850511
+7 (391) 2232105
+7 (391) 2874000</t>
  </si>
  <si>
    <t>ovu@sss-kras.ru</t>
  </si>
  <si>
    <t>Узоликов Дмитрий Владимирович (300 000 руб., 100%)</t>
  </si>
  <si>
    <t>МЫТИЩИНСКАЯ ТЕПЛОСЕТЬ, АО</t>
  </si>
  <si>
    <t>141002, Московская обл., г. Мытищи, ул. Колпакова, д. 20 офис 17</t>
  </si>
  <si>
    <t>Казанов Алексей Юрьевич</t>
  </si>
  <si>
    <t>+7 (495) 5828721
+7 (499) 7755592
+7 (915) 3301094
+7 (495) 5830551
+7 (495) 5830700
+7 (495) 5830822
+7 (495) 5835592
+7 (495) 5838721
+7 (495) 5839710
+7 (495) 5839720
+7 (495) 5861121
+7 (495) 5861321
+7 (496) 5838721
+7 (49658) 30700
+7 (915) 3682668</t>
  </si>
  <si>
    <t>mailmt@m-teploset.ru, o.razduvaeva@m-teploset.ru, zteploset@mtu-net.ru</t>
  </si>
  <si>
    <t>694 360 000</t>
  </si>
  <si>
    <t>СК ВЕДАТИ, ООО</t>
  </si>
  <si>
    <t>655602, Хакасия респ., г. Саяногорск, микрорайон Советский, д. 29 кв. 41</t>
  </si>
  <si>
    <t>Гончаров Константин Викторович</t>
  </si>
  <si>
    <t>+7 (983) 2624444</t>
  </si>
  <si>
    <t>Гончаров Константин Викторович (10 000 руб., 100%)</t>
  </si>
  <si>
    <t>3 060 000</t>
  </si>
  <si>
    <t>СК ИНЖСТРОЙСЕРВИС, ООО</t>
  </si>
  <si>
    <t>121087, г. Москва, вн.тер.г. муниципальный округ Филевский парк, ул Заречная, д. 9, офис 405</t>
  </si>
  <si>
    <t>Прошин Дмитрий Николаевич</t>
  </si>
  <si>
    <t>+7 (495) 6494404</t>
  </si>
  <si>
    <t>ingstroyservic@yandex.ru</t>
  </si>
  <si>
    <t>Прошин Дмитрий Николаевич (10 500 руб., 100%)</t>
  </si>
  <si>
    <t>1 500 000</t>
  </si>
  <si>
    <t>ВКЛ-ПОС;ВКЛ-ЦФКК
КИК</t>
  </si>
  <si>
    <t>СК СПЕЦСТРОЙАЛЬЯНС, ООО</t>
  </si>
  <si>
    <t>115432, г. Москва, вн.тер.г. муниципальный округ Даниловский, пр-кт Андропова, д. 10, этаж/пом 9/190</t>
  </si>
  <si>
    <t>Гуледани Ираклий Нодарович</t>
  </si>
  <si>
    <t>+7 (985) 2943222</t>
  </si>
  <si>
    <t>ooossa000@gmail.com</t>
  </si>
  <si>
    <t>Гуледани Ираклий Нодарович (1 000 000 руб., 100%)</t>
  </si>
  <si>
    <t>2 920 000</t>
  </si>
  <si>
    <t>СК-ЭВЕРЕСТ, ООО</t>
  </si>
  <si>
    <t>355035, Ставропольский кр., г. Ставрополь, проспект Кулакова, д. 15Б пом. 9</t>
  </si>
  <si>
    <t>Лоскутов Даниил Юрьевич</t>
  </si>
  <si>
    <t>+7 (8652) 330080
+7 (8652) 330081
+7 (905) 4104117</t>
  </si>
  <si>
    <t>sk.everest26@gmail.com, sk.evtrest26@gmail.com</t>
  </si>
  <si>
    <t>Лоскутов Даниил Юрьевич (50 000 руб., 50%)
Лоскутова Светлана Энверовна (50 000 руб., 50%)</t>
  </si>
  <si>
    <t>9 810 000</t>
  </si>
  <si>
    <t>СМНУ 54, ООО</t>
  </si>
  <si>
    <t>630087, Новосибирская обл, г.о. город Новосибирск, г Новосибирск, ул Немировича-Данченко, д. 167, офис 408 (Бизнес-центр «на ул. Немировича-Данченко»)</t>
  </si>
  <si>
    <t>Гусев Василий Васильевич</t>
  </si>
  <si>
    <t>+7 (499) 6660090
+7 (985) 1210820
+7 (383) 2888890</t>
  </si>
  <si>
    <t>eliseeva@smnu54.ru, office@smnu54.ru, tender@smnu54.ru</t>
  </si>
  <si>
    <t>Гусев Василий Васильевич (833 400 руб., 83.34%)
Фатхудинов Никита Олегович (166 600 руб., 16.66%)</t>
  </si>
  <si>
    <t>3 400 000</t>
  </si>
  <si>
    <t>СМУ, ООО</t>
  </si>
  <si>
    <t>625063, Тюменская обл, г.о. город Тюмень, г Тюмень, ул Спасская, д. 26, этаж 2</t>
  </si>
  <si>
    <t>Кузнецов Яков Анатольевич</t>
  </si>
  <si>
    <t>+7 (345) 2531179
+7 (345) 2531691
+7 (345) 2232888
+7 (345) 2236407
+7 (345) 2638407
+7 (345) 2699564</t>
  </si>
  <si>
    <t>smu-zr@mail.ru</t>
  </si>
  <si>
    <t>Кузнецов Яков Анатольевич (13 000 руб., 100%)</t>
  </si>
  <si>
    <t>160 000</t>
  </si>
  <si>
    <t>СМЦ ИНБИТЕК, ООО</t>
  </si>
  <si>
    <t>308010, Белгородская обл., г. Белгород, ул. Гоголя, д. 15А офис 2</t>
  </si>
  <si>
    <t>Чернов Игорь Владленович</t>
  </si>
  <si>
    <t>+7 (920) 2077994</t>
  </si>
  <si>
    <t>belgorod@inbitek.ru</t>
  </si>
  <si>
    <t>Чернов Игорь Владленович (300 000 руб., 100%)</t>
  </si>
  <si>
    <t>440 000</t>
  </si>
  <si>
    <t>СОВРЕМЕННЫЕ ГОРНЫЕ РЕШЕНИЯ, ООО</t>
  </si>
  <si>
    <t>123022, г. Москва, вн.тер.г. муниципальный округ Пресненский, ул 2-я Звенигородская, д. 13, стр. 37</t>
  </si>
  <si>
    <t>Земцов Борис Олегович</t>
  </si>
  <si>
    <t>+7 (495) 5325452
+7 (495) 6564330
+7 (495) 7084330
+7 (926) 5776672</t>
  </si>
  <si>
    <t>info@sgr.net.ru</t>
  </si>
  <si>
    <t>Кочергин Виталий Сергеевич (7 000 руб., 70%)
Марейчев Евгений Андреевич (3 000 руб., 30%)</t>
  </si>
  <si>
    <t>СОЗДАНИЕ, ООО</t>
  </si>
  <si>
    <t>194356, г. Санкт-Петербург, проспект Энгельса, д. 132 к. 1 литера А пом. 34-Н офис 9</t>
  </si>
  <si>
    <t>Старский Алексей Вячеславович</t>
  </si>
  <si>
    <t>+7 (812) 4980203
+7 (921) 9041641
+7 (911) 7584498
+7 (911) 2108171</t>
  </si>
  <si>
    <t>chernichenkop@sozdaniye.ru, info@sozdaniye.ru, natastr83@mail.ru, olga.isaenko@sozdaniye.ru</t>
  </si>
  <si>
    <t>ГК ОСНОВА, ООО (500 000 руб., 50%)
Старский Алексей Вячеславович (500 000 руб., 50%)</t>
  </si>
  <si>
    <t>11 190 000</t>
  </si>
  <si>
    <t>Заявка взята на рассмотрение;Заявка изменена;Отклонена банком;Отправлена клиенту;Черновик
Заявка отозвана клиентом
Отклонена банком
Отправлена клиенту</t>
  </si>
  <si>
    <t>СОТЭКС, ООО</t>
  </si>
  <si>
    <t>188513, Ленинградская обл., Ломоносовский район, ул. 4-Й Микрорайон (Промышленная Зона Больше, д. ЗД. 16/10 пом. №1</t>
  </si>
  <si>
    <t>Коршунов Илья Николаевич</t>
  </si>
  <si>
    <t>+7 (921) 9582294
+7 (812) 7775557</t>
  </si>
  <si>
    <t>info@soteks.com, n.pleshakova@soteks.com, n/pleshakova@soteks.com</t>
  </si>
  <si>
    <t>Коршунов Илья Николаевич (99 000 руб., 99%)
Жуков Сергей Александрович (1 000 руб., 1%)</t>
  </si>
  <si>
    <t>10 060 000</t>
  </si>
  <si>
    <t>Заявка отозвана клиентом;Отклонена банком</t>
  </si>
  <si>
    <t>СОЭКС ИНЖИНИРИНГ, ООО</t>
  </si>
  <si>
    <t>620089, Свердловская обл., г. Екатеринбург, ул. Луганская, д. 2 пом. 95</t>
  </si>
  <si>
    <t>Белоусов Михаил Александрович</t>
  </si>
  <si>
    <t>+7 (925) 4521723
+7 (495) 4813993
+7 (926) 6350480</t>
  </si>
  <si>
    <t>info@soexeng.ru</t>
  </si>
  <si>
    <t>Белоусов Михаил Александрович (1 000 000 руб., 100%)</t>
  </si>
  <si>
    <t>34 610 000</t>
  </si>
  <si>
    <t>СОЮЗ, ООО</t>
  </si>
  <si>
    <t>676450, Амурская обл., г. Свободный, ул. Комарова, д. 19</t>
  </si>
  <si>
    <t>Зелинский Станислав Александрович</t>
  </si>
  <si>
    <t>+7 (41643) 23938
+7 (41643) 53038
+7 (41643) 54303
+7 (41643) 56922
+7 (41643) 56923
+7 (41643) 91205</t>
  </si>
  <si>
    <t>ooosouz_swob@mail.ru</t>
  </si>
  <si>
    <t>Зелинский Станислав Александрович (10 000 руб., 100%)</t>
  </si>
  <si>
    <t>1 460 000</t>
  </si>
  <si>
    <t>СП-СТИЛ, ООО</t>
  </si>
  <si>
    <t>197374, г. Санкт-Петербург, вн.тер.г. муниципальный округ № 65, ул Савушкина, д. 83, к. 3, литера А, офис 527, помещ. 2-Н</t>
  </si>
  <si>
    <t>Резеньков Алексей Викторович</t>
  </si>
  <si>
    <t>+7 (952) 2417020</t>
  </si>
  <si>
    <t>a.rezenkov@yandex.ru</t>
  </si>
  <si>
    <t>Резеньков Алексей Викторович (10 000 руб., 100%)</t>
  </si>
  <si>
    <t>3 800 000</t>
  </si>
  <si>
    <t>СПЕЦСТРОЙСЕРВИС, ООО</t>
  </si>
  <si>
    <t>366200, Чеченская респ., Гудермесский район, г. Гудермес, ул. Р.Кадырова, д. 67А ком. 12</t>
  </si>
  <si>
    <t>Исмаилов Вахита Магомедович</t>
  </si>
  <si>
    <t>+7 (928) 6434343
+7 (928) 6489751
+7 (938) 9932128
+7 (989) 9234244</t>
  </si>
  <si>
    <t>specstroy95@bk.ru</t>
  </si>
  <si>
    <t>Исмаилов Вахита Магомедович (10 000 руб., 100%)</t>
  </si>
  <si>
    <t>12 890 000</t>
  </si>
  <si>
    <t>СПМ, ООО</t>
  </si>
  <si>
    <t>394019, Воронежская обл., г. Воронеж, ул. Еремеева, д. 22 д пом. 37</t>
  </si>
  <si>
    <t>Привезенцев Александр Вячеславович</t>
  </si>
  <si>
    <t>+7 (473) 2342903
+7 (473) 2342904
+7 (473) 2342905
+7 (473) 2490579
+7 (473) 2914740
+7 (800) 2003605
+7 (910) 9444141</t>
  </si>
  <si>
    <t>spmvrn@mail.ru</t>
  </si>
  <si>
    <t>Привезенцев Александр Вячеславович (10 000 руб., 100%)</t>
  </si>
  <si>
    <t>ССК, ООО</t>
  </si>
  <si>
    <t>603135, Нижегородская обл., г. Нижний Новгород, ул. Снежная, д. 29А офис 2</t>
  </si>
  <si>
    <t>Саргсян Антон Меружанович</t>
  </si>
  <si>
    <t>+7 (831) 2188065
+7 (831) 2188066
+7 (963) 1113003</t>
  </si>
  <si>
    <t>ssk052@mail.ru</t>
  </si>
  <si>
    <t>Саргсян Антон Меружанович (10 000 руб., 100%)</t>
  </si>
  <si>
    <t>870 000</t>
  </si>
  <si>
    <t>СТИМ-КАЗАНЬ, ООО</t>
  </si>
  <si>
    <t>420051, Татарстан респ., г. Казань, ул. Тэцевская, д. ЗД 16 этаж 2 каб. 1</t>
  </si>
  <si>
    <t>Бурундуков Никита Петрович</t>
  </si>
  <si>
    <t>+7 (903) 3095307
+7 (910) 1199233
+7 (910) 7242176
+7 (917) 8737917
+7 (927) 6884614</t>
  </si>
  <si>
    <t>kazan@stim.by, kzn@stim.by, razmetka24@gmail.com, razmetka@stim24.ru</t>
  </si>
  <si>
    <t>Черненко Дмитрий Анатольевич (6 000 руб., 60%)
Черненко Игорь Анатольевич (4 000 руб., 40%)</t>
  </si>
  <si>
    <t>45 140 000</t>
  </si>
  <si>
    <t>За весь период контрактов 5 шт. с общей суммой НМЦ 359 243 430,47 ? с БГУ 34792157,53 и БГИ 162 513 679,47 ?</t>
  </si>
  <si>
    <t>СТРОЙ ПРЕСТИЖ, ООО</t>
  </si>
  <si>
    <t>141402, Московская обл, г.о. Химки, г Химки, ул Энгельса, д. 7/15, помещ. 31</t>
  </si>
  <si>
    <t>Рошка Александр Петрович</t>
  </si>
  <si>
    <t>+7 (4986) 214090
+7 (495) 5840885
+7 (903) 1879813
+7 (926) 6737247</t>
  </si>
  <si>
    <t>office@stroiprestizh.ru, strojprestig@mail.ru</t>
  </si>
  <si>
    <t>Рошка Александр Петрович (10 000 руб., 100%)</t>
  </si>
  <si>
    <t>9 530 000</t>
  </si>
  <si>
    <t>За весь период контрактов 15 шт. с общей суммой НМЦ 572 779 301,46 ? с БГУ 67890579,91 и БГИ 472 655 566,14 ?</t>
  </si>
  <si>
    <t>СТРОЙ ЭКСПЕРТ, ООО</t>
  </si>
  <si>
    <t>410031, Саратовская обл, г.о. город Саратов, г Саратов, ул им Рамаева Г. Г., д. 18, помещ. 1, ком. 7</t>
  </si>
  <si>
    <t>Никитин Владимир Николаевич</t>
  </si>
  <si>
    <t>+7 (8452) 212992
+7 (8452) 933313</t>
  </si>
  <si>
    <t>stroyexpertsaratov@gmail.com, troyexpertsaratov@gmail.com</t>
  </si>
  <si>
    <t>Чикало Иван Владимирович (19 980 руб., 66.60%)
Никитина Валерия Владимировна (10 020 руб., 33.40%)</t>
  </si>
  <si>
    <t>СТРОЙ-АЛЬЯНС-А, ООО</t>
  </si>
  <si>
    <t>125438, г. Москва, пер. 4-Й Лихачёвский, д. 9 этаж 1 ком. 35</t>
  </si>
  <si>
    <t>Аджамоглян Ашот Вараздатович</t>
  </si>
  <si>
    <t>+7 (903) 9778674</t>
  </si>
  <si>
    <t>Аджамоглян Ашот Вараздатович (10 000 руб., 100%)</t>
  </si>
  <si>
    <t>3 720 000</t>
  </si>
  <si>
    <t>СТРОЙИНВЕСТКОМПАНИ, ООО</t>
  </si>
  <si>
    <t>386101, Ингушетия Респ, г.о. город Назрань, тер Центральный округ, пр-кт И.Базоркина, д. 44, кв 20</t>
  </si>
  <si>
    <t>Ганиев Гапур Курейшович</t>
  </si>
  <si>
    <t>+7 (873) 2224096
+7 (928) 7328000
+7 (928) 0920001
+7 (928) 7320149
+7 (928) 7471466</t>
  </si>
  <si>
    <t>i.ivanov@gmail.com, stroyinvestk0mpani@yandex.ru, tumgoev.adam.75@mail.ru</t>
  </si>
  <si>
    <t>Ганиев Гапур Курейшович (10 000 руб., 100%)</t>
  </si>
  <si>
    <t>1 230 000</t>
  </si>
  <si>
    <t>СТРОЙКОМПОЗИТ-Н, ООО</t>
  </si>
  <si>
    <t>101000, г. Москва, вн.тер.г. муниципальный округ Басманный, пер Лялин, д. 16</t>
  </si>
  <si>
    <t>Ференс Антон Владимирович</t>
  </si>
  <si>
    <t>+7 (926) 5861641
+7 (926) 4004662
+7 (985) 2701100</t>
  </si>
  <si>
    <t>ferz3@rambler.ru</t>
  </si>
  <si>
    <t>Масальская Вера Степановна (800 000 руб., 80%)
Ференс Антон Владимирович (200 000 руб., 20%)</t>
  </si>
  <si>
    <t>13 240 000</t>
  </si>
  <si>
    <t>СТРОЙКОНТИНЕНТ, ООО</t>
  </si>
  <si>
    <t>454010, Челябинская обл., г. Челябинск, ул. Енисейская, д. 73</t>
  </si>
  <si>
    <t>Зеркин Антон Андреевич</t>
  </si>
  <si>
    <t>+7 (3512) 253249
+7 (3517) 769825
+7 (3517) 964834
+7 (351) 2396927
+7 (912) 3169999</t>
  </si>
  <si>
    <t>Аракелян Тигран Эдикович (10 000 руб., 100%)</t>
  </si>
  <si>
    <t>6 880 000</t>
  </si>
  <si>
    <t>СТРОЙМАГИСТРАЛЬ, ООО</t>
  </si>
  <si>
    <t>121552, г. Москва, ул. Ярцевская, д. 34 к. 1 Э 2 пом. I К 8 офис А</t>
  </si>
  <si>
    <t>Тарасов Дмитрий Владимирович</t>
  </si>
  <si>
    <t>+7 (499) 1408737
+7 (487) 2722303
+7 (487) 2722304
+7 (487) 2722306</t>
  </si>
  <si>
    <t>office@stroymagistral.com, stroymagistrall@mail.ru</t>
  </si>
  <si>
    <t>Тарасов Дмитрий Владимирович (10 000 руб., 100%)</t>
  </si>
  <si>
    <t>36 520 000</t>
  </si>
  <si>
    <t>Заявка отозвана клиентом;Распределена в Банк
Отклонена банком</t>
  </si>
  <si>
    <t>СТРОЙРЕМКОМПЛЕКТАЦИЯ, ООО</t>
  </si>
  <si>
    <t>140200, Московская обл., г. Воскресенск, ул. Октябрьская, д. 11 офис 5</t>
  </si>
  <si>
    <t>Ульянов Андрей Витальевич</t>
  </si>
  <si>
    <t>+7 (495) 2324242
+7 (49646) 11028
+7 (916) 6541071</t>
  </si>
  <si>
    <t>andrei.stroy@yandex.ru</t>
  </si>
  <si>
    <t>Ульянов Андрей Витальевич (10 000 руб., 100%)</t>
  </si>
  <si>
    <t>СТРОЙСНАБИНВЕСТ, ООО</t>
  </si>
  <si>
    <t>142100, Московская обл, г.о. Подольск, г Подольск, пр-кт Ленина, д. 144, помещ. 51, ком. 309</t>
  </si>
  <si>
    <t>Силуков Денис Валерьевич</t>
  </si>
  <si>
    <t>+7 (926) 5358770</t>
  </si>
  <si>
    <t>Силуков Денис Валерьевич (100 000 руб., 100%)</t>
  </si>
  <si>
    <t>СЭМ, АО</t>
  </si>
  <si>
    <t>188540, Ленинградская обл., г. Сосновый Бор, шоссе Копорское, д. 64</t>
  </si>
  <si>
    <t>Гобис Александр Александрович</t>
  </si>
  <si>
    <t>+7 (81369) 21586
+7 (81369) 22218
+7 (81369) 22462
+7 (81369) 22619
+7 (81369) 22761
+7 (81369) 73040
+7 (81369) 73930</t>
  </si>
  <si>
    <t>e.rusakova@titan2.ru, office@sem.titan2.ru, s.dzyuba@titan2.ru</t>
  </si>
  <si>
    <t>40 440 000</t>
  </si>
  <si>
    <t>СЭМ-ИНВЕСТ, ООО СЗ</t>
  </si>
  <si>
    <t>140008, Московская обл., г. Люберцы, ул. 3-Е Почтовое Отделение, д. 51 пом. V</t>
  </si>
  <si>
    <t>Беляев Михаил Александрович</t>
  </si>
  <si>
    <t>+7 (925) 5075772</t>
  </si>
  <si>
    <t>1@seminvest.ru, 1@сэм-инвест.рф, 5075772@bk.ru, trade@seminvest.ru</t>
  </si>
  <si>
    <t>Беляев Михаил Александрович (500 000 руб., 100%)</t>
  </si>
  <si>
    <t>ТД БУРНЕФТЕГАЗСНАБ, ООО</t>
  </si>
  <si>
    <t>142703, Московская обл, г.о. Ленинский, г Видное, ул Строительная, д. 3, помещ. 8, ком. 2</t>
  </si>
  <si>
    <t>Сокрута Станислав Сергеевич</t>
  </si>
  <si>
    <t>+7 (343) 2885607
+7 (3435) 406025
+7 (3517) 500038</t>
  </si>
  <si>
    <t>sss@tdbngs.ru</t>
  </si>
  <si>
    <t>Сокрута Станислав Сергеевич (1 004 500 руб., 100%)</t>
  </si>
  <si>
    <t>14 700 000</t>
  </si>
  <si>
    <t>ТД ЛЕНИНГРАДСКИЙ, ООО</t>
  </si>
  <si>
    <t>197375, г. Санкт-Петербург, ул. Вербная, д. 27 литера А этаж 4 пом. 5-Н, офис 423</t>
  </si>
  <si>
    <t>Рукавишников Сергей Александрович</t>
  </si>
  <si>
    <t>+7 (813) 7143469
+7 (812) 2416765
+7 (812) 3398553
+7 (812) 3398569
+7 (812) 4022869
+7 (900) 6282328
+7 (905) 3398560
+7 (812) 3398560
+7 (812) 3398589
+7 (813) 3398560
+7 (813) 3398561
+7 (905) 2144796
+7 (906) 2545383</t>
  </si>
  <si>
    <t>aea@rosmol.com, andreeva_ea@rkrgroup.ru, andrreeva_ea@rkrgroup.ru, dogorov@rkrgroup.ru, dogovor@rkgroup.ru, dogovor@rkrgroup.ru, golyanov_rs@rkrgroup.ru, info@rkgroup.ru, info@rkrgroup.ru, info@rkrgrour.ru</t>
  </si>
  <si>
    <t>Рукавишников Сергей Александрович (250 000 руб., 50%)
Садлуцкая Анна Глебовна (250 000 руб., 50%)</t>
  </si>
  <si>
    <t>7 940 000</t>
  </si>
  <si>
    <t>За весь период контрактов 16 шт. на общую сумму НМЦ 894 247 020,74 ?</t>
  </si>
  <si>
    <t>ТД ТЕХНОЛОГИИ, ООО</t>
  </si>
  <si>
    <t>107497, г. Москва, вн.тер.г. муниципальный округ Гольяново, ул Иркутская, д. 11, к. 1, этаж,помещение,комната,офис, 1,V,82,136</t>
  </si>
  <si>
    <t>Бережной Александр Сергеевич</t>
  </si>
  <si>
    <t>+7 (499) 2816710
+7 (968) 8846491</t>
  </si>
  <si>
    <t>info@tdtechnology.ru, tdtechnologyinfo@gmail.com</t>
  </si>
  <si>
    <t>Лебедева Анна Игоревна (100 000 руб., 100%)</t>
  </si>
  <si>
    <t>11 880 000</t>
  </si>
  <si>
    <t>ТЕПЛОДЕКОР, ООО</t>
  </si>
  <si>
    <t>198096, г. Санкт-Петербург, ул. Кронштадтская, д. 11 литера А пом. 47</t>
  </si>
  <si>
    <t>Коровин Михаил Юрьевич</t>
  </si>
  <si>
    <t>+7 (812) 9817993
+7 (911) 2982609</t>
  </si>
  <si>
    <t>info@teplodecor.ru</t>
  </si>
  <si>
    <t>Коровин Михаил Юрьевич (10 000 руб., 100%)</t>
  </si>
  <si>
    <t>600 000</t>
  </si>
  <si>
    <t>ТЕРМО-РЕШЕНИЯ, ООО</t>
  </si>
  <si>
    <t>305010, Курская обл., г. Курск, ул. Чапаева, д. 22-А</t>
  </si>
  <si>
    <t>Черных Нина Анатольевна</t>
  </si>
  <si>
    <t>+7 (499) 6538083</t>
  </si>
  <si>
    <t>Черных Нина Анатольевна (10 000 руб., 100%)</t>
  </si>
  <si>
    <t>10 610 000</t>
  </si>
  <si>
    <t>ТЕХНОЛОГИЯ СТРОИТЕЛЬСТВА, ООО</t>
  </si>
  <si>
    <t>141402, Московская обл., г. Химки, ул. Ленинградская, д. 29 офис 917, этаж 9</t>
  </si>
  <si>
    <t>Комкин Вадим Дмитриевич</t>
  </si>
  <si>
    <t>+7 (916) 5265788
+7 (968) 7067773</t>
  </si>
  <si>
    <t>vadimkomkin@mail.ru</t>
  </si>
  <si>
    <t>Комкин Вадим Дмитриевич (10 000 руб., 100%)</t>
  </si>
  <si>
    <t>510 000</t>
  </si>
  <si>
    <t>ТЕХНОЛОГИЯ, ООО</t>
  </si>
  <si>
    <t>426035, Удмуртская респ., г. Ижевск, ул. Грибоедова, д. 30А офис 1</t>
  </si>
  <si>
    <t>Поздеев Сергей Александрович</t>
  </si>
  <si>
    <t>+7 (3412) 958447</t>
  </si>
  <si>
    <t>tender@tizh.ru, tizh@tizh.ru</t>
  </si>
  <si>
    <t>Репин Александр Анатольевич (1 000 000 руб., 100%)</t>
  </si>
  <si>
    <t>9 180 000</t>
  </si>
  <si>
    <t>ТЕХНОЛОГИЯ-СЕРВИС, ООО</t>
  </si>
  <si>
    <t>614030, Пермский кр., г. Пермь, ул. Лобвинская, д. 20</t>
  </si>
  <si>
    <t>Савостин Сергей Иванович</t>
  </si>
  <si>
    <t>+7 (902) 4719502
+7 (342) 2850459
+7 (3422) 740285
+7 (3422) 740459
+7 (3422) 742083
+7 (3422) 743437
+7 (3422) 744299</t>
  </si>
  <si>
    <t>info@zaots.ru, savostinsi@zaots.ru</t>
  </si>
  <si>
    <t>Ватрубин Валерий Викторович (51 000 руб., 50%)
Савостин Сергей Иванович (51 000 руб., 50%)</t>
  </si>
  <si>
    <t>ВКЛ-ПОС;ВКЛ-ЦФКК</t>
  </si>
  <si>
    <t>ТЕХНОПРОЕКТ, ООО</t>
  </si>
  <si>
    <t>620089, Свердловская обл., г. Екатеринбург, ул. Луганская, д. 2 пом. 92</t>
  </si>
  <si>
    <t>Немытов Виталий Владимирович</t>
  </si>
  <si>
    <t>Григорьев Артем Александрович (1 000 000 руб., 100%)</t>
  </si>
  <si>
    <t>5 880 000</t>
  </si>
  <si>
    <t>ТИСА, ООО</t>
  </si>
  <si>
    <t>424007, Марий Эл респ., г. Йошкар-Ола, ул. Крылова, д. 53А пом. 1</t>
  </si>
  <si>
    <t>Аракелян Фрунзик Хачикович</t>
  </si>
  <si>
    <t>+7 (8362) 494995
+7 (917) 7003867
+7 (987) 7164557</t>
  </si>
  <si>
    <t>tisa.stroy@mai.ru, tisa.stroy@mail.ru, viktoria-yola@mail.ru; tisa.stroy@mail.ru</t>
  </si>
  <si>
    <t>Аракелян Фрунзик Хачикович (110 570 руб., 100%)</t>
  </si>
  <si>
    <t>16 720 000</t>
  </si>
  <si>
    <t>ТК АЗУР, ООО</t>
  </si>
  <si>
    <t>620146, Свердловская обл., г. Екатеринбург, ул. Волгоградская, д. 178 пом. 14</t>
  </si>
  <si>
    <t>Коваленко Андрей Юрьевич</t>
  </si>
  <si>
    <t>+7 (3433) 790371
+7 (3433) 790379
+7 (3433) 850335</t>
  </si>
  <si>
    <t>Гросс Евгения Владимировна (10 000 руб., 100%)</t>
  </si>
  <si>
    <t>2 980 000</t>
  </si>
  <si>
    <t>ТК ВОСТОК ЗАПАД ТРАНЗИТ, ООО</t>
  </si>
  <si>
    <t>124482, г. Москва, вн.тер.г. муниципальный округ Савелки, г Зеленоград, проезд Савёлкинский, д. 4, офис 2610</t>
  </si>
  <si>
    <t>Шупляков Александр Витальевич</t>
  </si>
  <si>
    <t>+7 (499) 9578100
+7 (929) 9305629
+7 (963) 6991045
+7 (980) 6537733
+7 (980) 7000389
+7 (980) 7000395
+7 (980) 7001498
+7 (495) 5403949
+7 (939) 7004880</t>
  </si>
  <si>
    <t>dsu.bsk@stim.by, manchak.valera@mail.ru, vzt.in@yandex.ru</t>
  </si>
  <si>
    <t>ТМ, ООО</t>
  </si>
  <si>
    <t>109382, г. Москва, вн.тер.г. муниципальный округ Люблино, ул Егорьевская, д. 7, стр. 16, этаж 2, помещ. I, КОМ. 34</t>
  </si>
  <si>
    <t>Шамарин Дмитрий Алексеевич</t>
  </si>
  <si>
    <t>+7 (964) 7220880
+7 (963) 6300228
+7 (977) 4663506</t>
  </si>
  <si>
    <t>Ворфоломеев Артем Викторович (65 500 руб., 50%)
Шамарин Дмитрий Алексеевич (65 500 руб., 50%)</t>
  </si>
  <si>
    <t>970 000</t>
  </si>
  <si>
    <t>ТОПРЕСУРС, ООО</t>
  </si>
  <si>
    <t>125315, г. Москва, вн.тер.г. муниципальный округ Аэропорт, пр-кт Ленинградский, д. 66, к. 2, кв. 133</t>
  </si>
  <si>
    <t>Ложников Дмитрий Борисович</t>
  </si>
  <si>
    <t>+7 (921) 1503340
+7 (921) 7082050
+7 (815) 2424530
+7 (815) 2782050
+7 (911) 3001231</t>
  </si>
  <si>
    <t>tr51@bk.ru</t>
  </si>
  <si>
    <t>Засуха Александр Александрович (10 000 руб., 50%)
Ложников Дмитрий Борисович (10 000 руб., 50%)</t>
  </si>
  <si>
    <t>1 550 000</t>
  </si>
  <si>
    <t>ТРАНССТРОЙ, ООО</t>
  </si>
  <si>
    <t>109652, г. Москва, ул. Люблинская, д. 165 к. 2 этаж 2 пом. 1 ком. 42А</t>
  </si>
  <si>
    <t>Сулейманов Нариман Халилуллаевич</t>
  </si>
  <si>
    <t>+7 (933) 0000025
+7 (985) 1915557
+7 (499) 7045454</t>
  </si>
  <si>
    <t>89851915557@mail.ru, nari@bk.ru, ns@tms.ru, ns@trns.ru</t>
  </si>
  <si>
    <t>Сулейманов Нариман Халилуллаевич (808 000 руб., 100%)</t>
  </si>
  <si>
    <t>35 010 000</t>
  </si>
  <si>
    <t>ТСК, ООО</t>
  </si>
  <si>
    <t>625003, Тюменская обл, г.о. город Тюмень, г Тюмень, ул Володарского, д. 14, этаж 2</t>
  </si>
  <si>
    <t>Галкин Павел Владимирович</t>
  </si>
  <si>
    <t>+7 (922) 2640640
+7 (922) 4899791
+7 (345) 2504505
+7 (345) 2560099</t>
  </si>
  <si>
    <t>paritet@paritet72.ru, tender@paritet72.ru, tumsk@mail.ru</t>
  </si>
  <si>
    <t>Медведев Сергей Витальевич (4 500 руб., 45%)
Галкин Павел Владимирович (4 000 руб., 40%)
Жалнин Денис Викторович (1 500 руб., 15%)</t>
  </si>
  <si>
    <t>ТСТ, ООО</t>
  </si>
  <si>
    <t>620016, Свердловская обл., г. Екатеринбург, ул. Амундсена стр. 103 этаж 2</t>
  </si>
  <si>
    <t>Ромодин Сергей Валерьевич</t>
  </si>
  <si>
    <t>+7 (343) 2221420
+7 (345) 2500665
+7 (345) 2600736
+7 (922) 1058383</t>
  </si>
  <si>
    <t>tender@tst-ur.ru, ural@tst-ur.ru</t>
  </si>
  <si>
    <t>Бызов Николай Олегович (10 000 руб., 100%)</t>
  </si>
  <si>
    <t>38 910 000</t>
  </si>
  <si>
    <t>УЛАГАНСТРОЙ, ООО</t>
  </si>
  <si>
    <t>649002, Алтай респ., г. Горно-Алтайск, ул. Промышленная, д. 3/1 к. 2 кв. 30/1</t>
  </si>
  <si>
    <t>Тымыев Алексей Юрьевич</t>
  </si>
  <si>
    <t>+7 (388) 2261444
+7 (388) 2223907
+7 (913) 6997418
+7 (913) 9995367</t>
  </si>
  <si>
    <t>Тойдонов Амыр Миронович (5 000 руб., 50%)
Тымыев Алексей Юрьевич (5 000 руб., 50%)</t>
  </si>
  <si>
    <t>5 150 000</t>
  </si>
  <si>
    <t>УПРАВЛЕНИЕ ОБРАЗОВАНИЯ</t>
  </si>
  <si>
    <t>624022, Свердловская обл., Сысертский район, г. Сысерть, ул. Ленина, д. 35</t>
  </si>
  <si>
    <t>Колясникова Оксана Сергеевна</t>
  </si>
  <si>
    <t>+7 (343) 2283578
+7 (34374) 21674
+7 (34374) 69174
+7 (34374) 71414</t>
  </si>
  <si>
    <t>АДМИНИСТРАЦИЯ МУНИЦИПАЛЬНОГО ОБРАЗОВАНИЯ СЫСЕРТСКИЙ РАЙОН (n/a)</t>
  </si>
  <si>
    <t>УРП, ООО</t>
  </si>
  <si>
    <t>624092, Свердловская обл., г. Верхняя Пышма, ул. Сергея Лазо, д. 37</t>
  </si>
  <si>
    <t>Пшеницина Ольга Алексеевна</t>
  </si>
  <si>
    <t>+7 (343) 3112935
+7 (3433) 112999
+7 (908) 6331778
+7 (966) 7081031</t>
  </si>
  <si>
    <t>info@mail.com, pshenitsina@yandex.ru, sladkiepodarki@bk.ru</t>
  </si>
  <si>
    <t>Пшеницина Ольга Алексеевна (100 000 руб., 100%)</t>
  </si>
  <si>
    <t>940 000</t>
  </si>
  <si>
    <t>УСК, ООО</t>
  </si>
  <si>
    <t>454090, Челябинская обл., г. Челябинск, ул. Свободы, д. 32 офис 201</t>
  </si>
  <si>
    <t>Кремлев Владимир Борисович</t>
  </si>
  <si>
    <t>+7 (351) 7296971
+7 (351) 7755346
+7 (343) 3720132
+7 (3512) 680505
+7 (351) 2659695
+7 (351) 7755345</t>
  </si>
  <si>
    <t>uralconstruction@bk.ru, usk74.info@gmail.com, usk74.info@mail.com</t>
  </si>
  <si>
    <t>Кремлев Владимир Борисович (10 000 руб., 100%)</t>
  </si>
  <si>
    <t>350 000</t>
  </si>
  <si>
    <t>ФИНСТРОЙ, АО</t>
  </si>
  <si>
    <t>117437, г. Москва, вн.тер.г. муниципальный округ Коньково, ул Академика Волгина, д. 33, помещ. I, кабинет 5</t>
  </si>
  <si>
    <t>Шепилов Сергей Анатольевич</t>
  </si>
  <si>
    <t>+7 (495) 3699828
+7 (495) 5042724
+7 (800) 5500220</t>
  </si>
  <si>
    <t>finstroim@mail.ru, info@fin-sm.ru</t>
  </si>
  <si>
    <t>128 420 000</t>
  </si>
  <si>
    <t>ФИРМА ЭНЕРГОЗАЩИТА, АО</t>
  </si>
  <si>
    <t>105120, г. Москва, ул. Земляной Вал, д. 39/1 к. 2</t>
  </si>
  <si>
    <t>Ходаренок Александра Владимировна</t>
  </si>
  <si>
    <t>+7 (39155) 50985
+7 (39155) 53300
+7 (39155) 56712
+7 (495) 9161247
+7 (495) 9163281
+7 (495) 9163717</t>
  </si>
  <si>
    <t>anna.bkbc@gmail.com, energozashita@egz.ru</t>
  </si>
  <si>
    <t>41 200 000</t>
  </si>
  <si>
    <t>Гарантия отправлена
Распределена в Банк</t>
  </si>
  <si>
    <t>ФОРТ ДИАЛОГ, АО</t>
  </si>
  <si>
    <t>450097, Башкортостан Респ, г.о. город Уфа, г Уфа, б-р Хадии Давлетшиной, д. 9, офис 203</t>
  </si>
  <si>
    <t>Полетаев Кирилл Владимирович</t>
  </si>
  <si>
    <t>+7 (495) 9819062
+7 (3472) 599224
+7 (3472) 921470
+7 (8362) 410730
+7 (8362) 410841
+7 (8362) 413007
+7 (8362) 551366
+7 (8362) 551391
+7 (855) 2383962
+7 (855) 2599131
+7 (855) 2599224</t>
  </si>
  <si>
    <t>dsales.yola@fortdialog.ru, lawyer@fort.tatarstan.ru, office.cheb@fortdialog.ru, office.chelny@fortdialog.ru, office@fortdialog.ru, tender.mos@fortdialog.ru</t>
  </si>
  <si>
    <t>780 000</t>
  </si>
  <si>
    <t>ФОРТ ДИАЛОГ, ООО</t>
  </si>
  <si>
    <t>450093, Башкортостан респ., г. Уфа, ул. Пушкина, д. 33 к. 2 офис 209</t>
  </si>
  <si>
    <t>+7 (906) 3344455
+7 (3472) 921470</t>
  </si>
  <si>
    <t>anastasiya.bagaeva@fortdialog.ru, info.cheb@fortdialog.ru, office.ufa@fortdialog.ru, olga.gorbunova@fortdialog.ru, torg@forddialog.ru, torg@fortdialog.ru, ufa@fortdialog.ru</t>
  </si>
  <si>
    <t>САЙГОН, ООО (8 613 руб., 86.13%)
Полетаев Кирилл Владимирович (1 387 руб., 13.87%)</t>
  </si>
  <si>
    <t>14 480 000</t>
  </si>
  <si>
    <t>Гарантия завершена;Мой черновик</t>
  </si>
  <si>
    <t>ХОТЬКОВСКИЙ АВТОМОСТ, ОАО</t>
  </si>
  <si>
    <t>141354, Московская обл., г. Сергиев Посад, пос. Мостовик, ул. Пионерская, д. 15Б</t>
  </si>
  <si>
    <t>Новиков Павел Владимирович</t>
  </si>
  <si>
    <t>+7 (49654) 33144
+7 (49654) 33444
+7 (495) 2624237
+7 (495) 2627309
+7 (49654) 33142
+7 (499) 4907174
+7 (905) 5122333</t>
  </si>
  <si>
    <t>avtomost@mail.ru, hamost@hamost.ru, havto@tsinet.ru</t>
  </si>
  <si>
    <t>1 324 350 000</t>
  </si>
  <si>
    <t>ХТК РЕСУРС, АО</t>
  </si>
  <si>
    <t>101000, г. Москва, ул. Большая Лубянка, д. 22 этаж 1 пом. III ком. 21</t>
  </si>
  <si>
    <t>Шонус Георгий Григорьевич</t>
  </si>
  <si>
    <t>58 480 000</t>
  </si>
  <si>
    <t>ХУНЗАХСКОЕ СТРОИТЕЛЬНО-ЭКСПЛУАТАЦИОННОЕ УПРАВЛЕНИЕ, ООО</t>
  </si>
  <si>
    <t>368273, Дагестан респ., Хунзахский район, с. Арани, ул. Кура Кураева, д. 2</t>
  </si>
  <si>
    <t>Гамзатов Магомед Гусейнович</t>
  </si>
  <si>
    <t>+7 (87233) 22239
+7 (988) 7774422
+7 (928) 5366005</t>
  </si>
  <si>
    <t>5401065@mail.ru, 7711@mail.ru, khunzakhskoeseu@mail.ru, oohseu@mail.ru, ooohseu@mail.ru, sey@mail.ru</t>
  </si>
  <si>
    <t>Гамзатов Гусейн Хадисович (595 000 руб., 100%)</t>
  </si>
  <si>
    <t>170 000</t>
  </si>
  <si>
    <t>ЦИУС ЕЭС, АО</t>
  </si>
  <si>
    <t>121353, г. Москва, вн.тер.г. муниципальный округ Можайский, ул Беловежская, д. 4 (Бизнес-центр «Western Gate»)</t>
  </si>
  <si>
    <t>Селькин Дмитрий Михайлович</t>
  </si>
  <si>
    <t>+7 (927) 6162121
+7 (495) 7106060
+7 (495) 7109060</t>
  </si>
  <si>
    <t>cius@fsk-ees.ru</t>
  </si>
  <si>
    <t>356 810 000</t>
  </si>
  <si>
    <t>Отклонена банком
Отклонена банком;Распределена в Банк</t>
  </si>
  <si>
    <t>ЧГЭС, АО</t>
  </si>
  <si>
    <t>369002, Карачаево-Черкесская Респ, г.о. Черкесский, г Черкесск, ул Космонавтов, влд. 102А</t>
  </si>
  <si>
    <t>Гочияев Заур Рашидович</t>
  </si>
  <si>
    <t>+7 (8652) 716696
+7 (878) 2254778
+7 (878) 2263566
+7 (878) 2270227
+7 (878) 2270256
+7 (878) 2270264
+7 (878) 2270268
+7 (878) 2270272
+7 (878) 2270782
+7 (878) 2280256
+7 (878) 2258520
+7 (878) 2265110
+7 (878) 2282294
+7 (878) 2283010
+7 (903) 4227715</t>
  </si>
  <si>
    <t>cheges@elset.org, chges@eiset.org, chges@elest.org, chges@elet.org, chgtes@elset.org, chqes@elset.orq, dogovor@elset.org, elset09@mail.ru, elset@mail.svkchr.ru, hges@elset.org</t>
  </si>
  <si>
    <t>3 090 000</t>
  </si>
  <si>
    <t>ЧЗСЭ ЭЛЕКТРОСИЛА, ООО</t>
  </si>
  <si>
    <t>428028, Чувашская Республика - Чувашия, г. Чебоксары, проезд Монтажный, д. 23</t>
  </si>
  <si>
    <t>Лапшин Александр Юриевич</t>
  </si>
  <si>
    <t>+7 (927) 8415332
+7 (8352) 230523
+7 (8352) 629373</t>
  </si>
  <si>
    <t>88002220707@karmal.ru, lavrenteva.pa@karmal.ru</t>
  </si>
  <si>
    <t>Меликян Гайк Гагикович (10 000 руб., 100%)</t>
  </si>
  <si>
    <t>ЭКОЙЛ, ООО</t>
  </si>
  <si>
    <t>452751, Башкортостан респ., Туймазинский район, г. Туймазы, ул. Островского, д. ЗД 53А офис 2113</t>
  </si>
  <si>
    <t>Дивеев Раиль Дамирович</t>
  </si>
  <si>
    <t>+7 (937) 4807007</t>
  </si>
  <si>
    <t>Дивеев Раиль Дамирович (10 000 руб., 100%)</t>
  </si>
  <si>
    <t>2 830 000</t>
  </si>
  <si>
    <t>ЭКОМОНТАЖ, ООО</t>
  </si>
  <si>
    <t>107014, г. Москва, вн.тер.г. муниципальный округ Сокольники, ул 1-я Боевская, д. 2/12, стр. 4, помещ. 1/1</t>
  </si>
  <si>
    <t>Чернов Олег Александрович</t>
  </si>
  <si>
    <t>+7 (4712) 740840
+7 (4712) 740940
+7 (910) 3122610
+7 (925) 4866181</t>
  </si>
  <si>
    <t>ecomontazh@mail.ru, ekomontazh@mail.ru, ekomontazhauk@mail.ru</t>
  </si>
  <si>
    <t>Колесова Светлана Васильевна (10 000 руб., 100%)</t>
  </si>
  <si>
    <t>7 790 000</t>
  </si>
  <si>
    <t>Отказ из-за непредставления документов</t>
  </si>
  <si>
    <t>ЭЛИТ, ООО</t>
  </si>
  <si>
    <t>420094, Татарстан Респ, г.о. город Казань, г Казань, ул Маршала Чуйкова, д. 2А, офис 314/3</t>
  </si>
  <si>
    <t>Кушко Евгений Викторович</t>
  </si>
  <si>
    <t>+7 (960) 0304807
+7 (843) 5267041
+7 (927) 6702608</t>
  </si>
  <si>
    <t>s.pitirimova@elit.llc</t>
  </si>
  <si>
    <t>Златов Дмитрий Сергеевич (10 000 руб., 100%)</t>
  </si>
  <si>
    <t>105 480 000</t>
  </si>
  <si>
    <t>Гарантия завершена
Распределена в Банк</t>
  </si>
  <si>
    <t>ЭЛПРО, ООО</t>
  </si>
  <si>
    <t>394018, Воронежская обл, г.о. город Воронеж, г Воронеж, ул Фридриха Энгельса, д. 56, офис 6</t>
  </si>
  <si>
    <t>Мануковский Сергей Михайлович</t>
  </si>
  <si>
    <t>+7 (950) 7618414
+7 (384) 2240132
+7 (384) 2780110
+7 (391) 2717342
+7 (473) 2284192</t>
  </si>
  <si>
    <t>gorelov100@list.ru</t>
  </si>
  <si>
    <t>Студеникина Елена Геннадьевна (13 000 руб., 100%)</t>
  </si>
  <si>
    <t>1 740 000</t>
  </si>
  <si>
    <t>Заявка взята на рассмотрение;Отклонена банком</t>
  </si>
  <si>
    <t>ЭЛСИ, АО</t>
  </si>
  <si>
    <t>188508, Ленинградская обл, м.р-н Ломоносовский, г.п. Виллозское, тер Северная часть промзоны Горелово, ул 4-я, д. 1</t>
  </si>
  <si>
    <t>Черкашин Геннадий Геннадьевич</t>
  </si>
  <si>
    <t>+7 (812) 7448011
+7 (812) 4499940
+7 (812) 4999923
+7 (812) 4999950</t>
  </si>
  <si>
    <t>g.g.cherkashin@elsy.ru, gavrilenko@elsy.ru, konareva@elsy.ru, secretary@elsy.ru</t>
  </si>
  <si>
    <t>66 310 000</t>
  </si>
  <si>
    <t>За весь период контрактов 5 шт. на общую сумму НМЦ 3 177 982 005,98 ?</t>
  </si>
  <si>
    <t>ЭЛСИТЕЛЕКОМ, ЗАО</t>
  </si>
  <si>
    <t>129281, г. Москва, проезд Староватутинский, д. 12 стр. 2 пом. 14</t>
  </si>
  <si>
    <t>Солдатенко Ольга Викторовна</t>
  </si>
  <si>
    <t>+7 (495) 1367997
+7 (499) 7980348
+7 (499) 7980428
+7 (499) 7980468</t>
  </si>
  <si>
    <t>post@elcitelecom.ru</t>
  </si>
  <si>
    <t>57 820 000</t>
  </si>
  <si>
    <t>За 3 года по 223ФЗ заключено  4 шт контрактов на сумму 153 880 362,26 ?</t>
  </si>
  <si>
    <t>ЭЛЬДЕКОР ХХI ПЛЮС, ООО</t>
  </si>
  <si>
    <t>305004, Курская обл., г. Курск, ул. Челюскинцев, д. 23 офис 2</t>
  </si>
  <si>
    <t>Коштоян Дереник Алексанович</t>
  </si>
  <si>
    <t>+7 (4712) 392128
+7 (471) 2342126
+7 (4712) 393127
+7 (4712) 388931
+7 (4712) 392126
+7 (4712) 392127</t>
  </si>
  <si>
    <t>392127@mail.ru</t>
  </si>
  <si>
    <t>Коштоян Дереник Алексанович (20 000 000 руб., 50%)
Коштоян Нуне Стефесоровна (20 000 000 руб., 50%)</t>
  </si>
  <si>
    <t>ЭС РИБС РУС, ООО</t>
  </si>
  <si>
    <t>603001, Нижегородская обл., г. Нижний Новгород, набережная Нижне-Волжская, д. 6/1 офис 215</t>
  </si>
  <si>
    <t>Ульянов Арташес Николаевич</t>
  </si>
  <si>
    <t>Ульянов Арташес Николаевич (30 000 руб., 100%)</t>
  </si>
  <si>
    <t>6 160 000</t>
  </si>
  <si>
    <t>ЭФ-ДИЗАЙН, ООО</t>
  </si>
  <si>
    <t>196140, г. Санкт-Петербург, пос. Шушары, шоссе Петербургское, д. 64 к. 1 литера А</t>
  </si>
  <si>
    <t>Цветков Дмитрий Сергеевич</t>
  </si>
  <si>
    <t>+7 (921) 9667189
+7 (931) 5780052
+7 (812) 2450444
+7 (812) 3212694</t>
  </si>
  <si>
    <t>info@ef-design.ru, n.senkevich@ant-konsalt.ru</t>
  </si>
  <si>
    <t>ЭФ-ИНТЕРНЭШНЛ, ООО (4 900 руб., 49%)
НЕВА-ИНТЕРНЭШНЛ, ООО (3 200 руб., 32%)
Воронков Сергей Георгиевич (1 200 руб., 12%)
Цветков Дмитрий Сергеевич (700 руб., 7%)</t>
  </si>
  <si>
    <t>17 260 000</t>
  </si>
  <si>
    <t>За весь период контрактов 4 шт. с общей суммой НМЦ 200 490 493,00 ? с БГУ 10245915 и БГИ 61 475 490,00 ?</t>
  </si>
  <si>
    <t>ЮГМТК, ООО</t>
  </si>
  <si>
    <t>357519, Ставропольский кр., г. Пятигорск, проспект Калинина, д. ЗД. 38_АСТР1 офис 27</t>
  </si>
  <si>
    <t>Ганаев Шавалу Лемаевич</t>
  </si>
  <si>
    <t>+7 (8793) 976073
+7 (879) 2278653
+7 (87933) 78653
+7 (928) 3688728</t>
  </si>
  <si>
    <t>ugmtk@mail.ru</t>
  </si>
  <si>
    <t>Ганаев Шавалу Лемаевич (10 000 руб., 100%)</t>
  </si>
  <si>
    <t>72 500 000</t>
  </si>
  <si>
    <t>ЮМАКС, ООО</t>
  </si>
  <si>
    <t>356802, Ставропольский кр., Буденновский район, г. Буденновск, проспект Чехова, д. 22</t>
  </si>
  <si>
    <t>Сивоконев Максим Николаевич</t>
  </si>
  <si>
    <t>+7 (86559) 55577
+7 (962) 0137937</t>
  </si>
  <si>
    <t>yumaks2013@mail.ru, yumaks@mail.ru, yumars2013@mail.ru</t>
  </si>
  <si>
    <t>Сивоконев Максим Николаевич (10 000 руб., 100%)</t>
  </si>
  <si>
    <t>9 580 000</t>
  </si>
  <si>
    <t>ЮНАЙТ, ООО</t>
  </si>
  <si>
    <t>614066, Пермский край, г.о. Пермский, г Пермь, ул Стахановская, д. 45, офис 434 (Бизнес-центр «Синица»)</t>
  </si>
  <si>
    <t>Глущенко Антон Юрьевич</t>
  </si>
  <si>
    <t>+7 (982) 4985407</t>
  </si>
  <si>
    <t>ynait@yandex.ru</t>
  </si>
  <si>
    <t>Глущенко Антон Юрьевич (10 050 руб., 100%)</t>
  </si>
  <si>
    <t>#СУВАРСТРОИТ, ООО</t>
  </si>
  <si>
    <t>1 СТРОЙЦЕНТР САТУРН-Р, ООО</t>
  </si>
  <si>
    <t>1 ЮВЕЛИРНАЯ СЕТЬ, АО</t>
  </si>
  <si>
    <t>12 ИСТОРИЙ, ООО</t>
  </si>
  <si>
    <t>1520 СИГНАЛ, ООО</t>
  </si>
  <si>
    <t>1С-БИТРИКС, ООО</t>
  </si>
  <si>
    <t>1С-СОФТКЛАБ, ООО</t>
  </si>
  <si>
    <t>2Б ПРОЕКТ, ООО</t>
  </si>
  <si>
    <t>2РС, ООО</t>
  </si>
  <si>
    <t>3М РОССИЯ, АО</t>
  </si>
  <si>
    <t>3М, ООО</t>
  </si>
  <si>
    <t>48 УНР, АО</t>
  </si>
  <si>
    <t>4Ф, ООО</t>
  </si>
  <si>
    <t>534 УНР, АО</t>
  </si>
  <si>
    <t>7 УТРА, ООО</t>
  </si>
  <si>
    <t>№ 9 Г. АМУРСКА, МБОУ СОШ</t>
  </si>
  <si>
    <t>А ГРУПП, ООО</t>
  </si>
  <si>
    <t>А ЗЕТ, ООО</t>
  </si>
  <si>
    <t>А СЕРИАЛ, ООО</t>
  </si>
  <si>
    <t>А-МОСТ, ООО</t>
  </si>
  <si>
    <t>А-СОЛЬ, ООО</t>
  </si>
  <si>
    <t>А-ТЕЛЕМАТИКА, ООО</t>
  </si>
  <si>
    <t>А.П.Р., ООО</t>
  </si>
  <si>
    <t>А1 АГРОХИМ, АО</t>
  </si>
  <si>
    <t>А101, ООО</t>
  </si>
  <si>
    <t>А7 АГРО-ОМК, ООО</t>
  </si>
  <si>
    <t>ААД, ООО</t>
  </si>
  <si>
    <t>ААТЗ, ООО</t>
  </si>
  <si>
    <t>ААЭМ, ООО</t>
  </si>
  <si>
    <t>АБ ЭНЕРГО, ООО</t>
  </si>
  <si>
    <t>АБ-МАРКЕТ, ООО</t>
  </si>
  <si>
    <t>АБАКАН ЭИР, ООО</t>
  </si>
  <si>
    <t>АБАКАНСКАЯ ТЭЦ, АО</t>
  </si>
  <si>
    <t>АББ, ООО</t>
  </si>
  <si>
    <t>АБЗ-1, АО</t>
  </si>
  <si>
    <t>АБЗ-ДОРСТРОЙ, АО</t>
  </si>
  <si>
    <t>АБИ ПРОДАКТ, АО</t>
  </si>
  <si>
    <t>АБП, ООО</t>
  </si>
  <si>
    <t>АБРАУ-ДЮРСО, ЗАО</t>
  </si>
  <si>
    <t>АБС ЦДС, ООО</t>
  </si>
  <si>
    <t>АБСОЛЮТ НЕДВИЖИМОСТЬ, ООО</t>
  </si>
  <si>
    <t>АБСОЛЮТ, ООО</t>
  </si>
  <si>
    <t>АБСОЛЮТСТРОЙКОМПЛЕКТ, ООО</t>
  </si>
  <si>
    <t>АВ-ТЕХНО, ООО</t>
  </si>
  <si>
    <t>АВ-ТЕХНОЛОГИЯ, АО</t>
  </si>
  <si>
    <t>АВА-ПЕТЕР, ООО</t>
  </si>
  <si>
    <t>АВА-ТРЕЙД, ООО</t>
  </si>
  <si>
    <t>АВАНГАРД ГРУПП, ООО</t>
  </si>
  <si>
    <t>АВАНГАРД-АГРО, АО</t>
  </si>
  <si>
    <t>АВАНГАРД-АГРО-ВОРОНЕЖ, ООО</t>
  </si>
  <si>
    <t>АВАНГАРД-АГРО-КУРСК, ООО</t>
  </si>
  <si>
    <t>АВАНГАРД-АГРО-ОРЕЛ, ООО</t>
  </si>
  <si>
    <t>АВАНГАРД-АГРО-ТРЭЙД, ООО</t>
  </si>
  <si>
    <t>АВАНГАРД-СТЕКЛО-ТРЭЙД, ООО</t>
  </si>
  <si>
    <t>АВАНТАЖ БИПИ, ООО</t>
  </si>
  <si>
    <t>АВГОЛ, ООО</t>
  </si>
  <si>
    <t>АВГУСТ, АО ФИРМА</t>
  </si>
  <si>
    <t>АВГУСТ, ООО</t>
  </si>
  <si>
    <t>АВГУСТ-АЛАБУГА, ООО</t>
  </si>
  <si>
    <t>АВЕКСИМА, ОАО</t>
  </si>
  <si>
    <t>АВЕЛАР СОЛАР ТЕХНОЛОДЖИ, ООО</t>
  </si>
  <si>
    <t>АВЕНИР, ООО ФИРМА</t>
  </si>
  <si>
    <t>АВЕНТЕЛЬ РУС, ООО</t>
  </si>
  <si>
    <t>АВЕСТА ФАРМАЦЕВТИКА, ООО</t>
  </si>
  <si>
    <t>АВЕТА, ООО</t>
  </si>
  <si>
    <t>АВЗ С-П, ООО</t>
  </si>
  <si>
    <t>АВИА СПЕЦ СЕРВИС, ООО</t>
  </si>
  <si>
    <t>АВИААВТОМАТИКА ИМ. В.В. ТАРАСОВА, АО</t>
  </si>
  <si>
    <t>АВИАГАЗЦЕНТР, ООО</t>
  </si>
  <si>
    <t>АВИАГЕН, ООО</t>
  </si>
  <si>
    <t>АВИАКОМПАНИЯ АВРОРА, АО</t>
  </si>
  <si>
    <t>АВИАКОМПАНИЯ АЗИМУТ, АО</t>
  </si>
  <si>
    <t>АВИАКОМПАНИЯ АЛРОСА, АО</t>
  </si>
  <si>
    <t>АВИАКОМПАНИЯ АНГАРА, АО</t>
  </si>
  <si>
    <t>АВИАКОМПАНИЯ ВОЛГА-ДНЕПР, ООО</t>
  </si>
  <si>
    <t>АВИАКОМПАНИЯ ИКАР, ООО</t>
  </si>
  <si>
    <t>АВИАКОМПАНИЯ ПОБЕДА, ООО</t>
  </si>
  <si>
    <t>АВИАКОМПАНИЯ РОЯЛ ФЛАЙТ, АО</t>
  </si>
  <si>
    <t>АВИАКОМПАНИЯ СЕВЕРО-ЗАПАД, ООО</t>
  </si>
  <si>
    <t>АВИАКОМПАНИЯ СИБИРЬ, АО</t>
  </si>
  <si>
    <t>АВИАКОМПАНИЯ ЮТЭЙР, ПАО</t>
  </si>
  <si>
    <t>АВИАПАРК, АО ТВК</t>
  </si>
  <si>
    <t>АВИАПРЕДПРИЯТИЕ ЕЛЬЦОВКА, АО</t>
  </si>
  <si>
    <t>АВИАСТАР-ТУ, ООО АВИАКОМПАНИЯ</t>
  </si>
  <si>
    <t>АВИАФЛЮИД ИНТЕРНЕШНЛ, ООО</t>
  </si>
  <si>
    <t>АВИДА, ЗАО МК</t>
  </si>
  <si>
    <t>АВИОР, ООО</t>
  </si>
  <si>
    <t>АВИТОН, ООО</t>
  </si>
  <si>
    <t>АВИЦЕННА, ООО</t>
  </si>
  <si>
    <t>АВК, АО</t>
  </si>
  <si>
    <t>АВК, ООО</t>
  </si>
  <si>
    <t>АВОСЬКА-ДВА, ООО</t>
  </si>
  <si>
    <t>АВП-ГРУПП, ООО</t>
  </si>
  <si>
    <t>АВС ФАРБЕН, ЗАО</t>
  </si>
  <si>
    <t>АВС-ЭЛЕКТРО, ООО</t>
  </si>
  <si>
    <t>АВТ-АМУР, ООО</t>
  </si>
  <si>
    <t>АВТО РИТЕЙЛ ДИАМАНТ, ООО</t>
  </si>
  <si>
    <t>АВТО СИТИ, ООО</t>
  </si>
  <si>
    <t>АВТО-АВАНГАРД, ООО</t>
  </si>
  <si>
    <t>АВТО-ЕВРО, АО</t>
  </si>
  <si>
    <t>АВТО-ПЭК, ООО</t>
  </si>
  <si>
    <t>АВТО-СПУТНИК ИМПОРТ, ООО</t>
  </si>
  <si>
    <t>АВТОАЛЬЯНС, ООО</t>
  </si>
  <si>
    <t>АВТОБАЙ, ООО</t>
  </si>
  <si>
    <t>АВТОБАН, ООО</t>
  </si>
  <si>
    <t>АВТОБАУ, АО</t>
  </si>
  <si>
    <t>АВТОБУСНЫЙ-ЦЕНТР СТОЛИЦА, ООО</t>
  </si>
  <si>
    <t>АВТОВАЗ, АО</t>
  </si>
  <si>
    <t>АВТОВОЛГАСТРОЙ, ООО</t>
  </si>
  <si>
    <t>АВТОГЕРМЕС БАЛАШИХА, ООО</t>
  </si>
  <si>
    <t>АВТОГЕРМЕС-ЗАПАД, ООО</t>
  </si>
  <si>
    <t>АВТОДОК, ООО</t>
  </si>
  <si>
    <t>АВТОДОК-СЕТЬ, ООО</t>
  </si>
  <si>
    <t>АВТОДОМ, АО</t>
  </si>
  <si>
    <t>АВТОДОР, АО</t>
  </si>
  <si>
    <t>АВТОДОР-21, ООО</t>
  </si>
  <si>
    <t>АВТОДОР-ИНЖИНИРИНГ, ООО</t>
  </si>
  <si>
    <t>АВТОДОРИНЖИНИРИНГ, ООО</t>
  </si>
  <si>
    <t>АВТОДОРОГИ, ООО</t>
  </si>
  <si>
    <t>АВТОДОРСТРОЙ, АО</t>
  </si>
  <si>
    <t>АВТОЗАВОДСКАЯ ТЭЦ, ООО</t>
  </si>
  <si>
    <t>АВТОКАР, ООО</t>
  </si>
  <si>
    <t>АВТОКАРТ-ЮГ, ООО</t>
  </si>
  <si>
    <t>АВТОКОМПАС, ООО</t>
  </si>
  <si>
    <t>АВТОКОНТРАКТЫ, ООО</t>
  </si>
  <si>
    <t>АВТОЛИДЕР-СЕВЕР, ООО</t>
  </si>
  <si>
    <t>АВТОМАШ-МБ, ООО</t>
  </si>
  <si>
    <t>АВТОМИР БОГЕМИЯ, ООО</t>
  </si>
  <si>
    <t>АВТОМИР ПРЕМЬЕР, ООО</t>
  </si>
  <si>
    <t>АВТОМИР ФВ, ООО</t>
  </si>
  <si>
    <t>АВТОМИР-ТЕНДЕР, ООО</t>
  </si>
  <si>
    <t>АВТОМИР-ТРЕЙД, ООО</t>
  </si>
  <si>
    <t>АВТОМОБИЛЬНАЯ КОМПАНИЯ-МОСТРАНС, ООО</t>
  </si>
  <si>
    <t>АВТОПАРК №1 СПЕЦТРАНС, АО</t>
  </si>
  <si>
    <t>АВТОПАРТС, АО</t>
  </si>
  <si>
    <t>АВТОПИТЕР, ООО</t>
  </si>
  <si>
    <t>АВТОПОЛЕ ДЖЕЙ, ООО</t>
  </si>
  <si>
    <t>АВТОПОЛЕ Н, ООО</t>
  </si>
  <si>
    <t>АВТОПОРТ, ООО</t>
  </si>
  <si>
    <t>АВТОПРОФИ, ООО</t>
  </si>
  <si>
    <t>АВТОРЕЛИЗ, ООО</t>
  </si>
  <si>
    <t>АВТОРИТЭЙЛ М, ООО</t>
  </si>
  <si>
    <t>АВТОРИТЭЙЛ ПРО, ООО</t>
  </si>
  <si>
    <t>АВТОРУСЬ ЛОГИСТИКА, ООО</t>
  </si>
  <si>
    <t>АВТОРУСЬ РИТЕЙЛ, ООО</t>
  </si>
  <si>
    <t>АВТОСПЕЦЦЕНТР СПОРТ, ООО</t>
  </si>
  <si>
    <t>АВТОСТЕКЛОТРЕЙД, АО</t>
  </si>
  <si>
    <t>АВТОСТИЛЬ, ООО</t>
  </si>
  <si>
    <t>АВТОСТЭЛС, ООО</t>
  </si>
  <si>
    <t>АВТОТЕХИНМАШ, ООО</t>
  </si>
  <si>
    <t>АВТОТЕХКОМ, ООО</t>
  </si>
  <si>
    <t>АВТОТЕХКОМПЛЕКТ, ООО</t>
  </si>
  <si>
    <t>АВТОТОР, АО</t>
  </si>
  <si>
    <t>АВТОТРАНС, ООО</t>
  </si>
  <si>
    <t>АВТОТРАНСКАЛИЙ, ООО</t>
  </si>
  <si>
    <t>АВТОТРАССА, ООО</t>
  </si>
  <si>
    <t>АВТОТРЕЙД-КРАСНОДАР, ООО</t>
  </si>
  <si>
    <t>АВТОФОРМ, ООО</t>
  </si>
  <si>
    <t>АВТОФОРМУЛА, АО</t>
  </si>
  <si>
    <t>АВТОФОРУМ, ООО</t>
  </si>
  <si>
    <t>АВТОФУРГОН, ООО</t>
  </si>
  <si>
    <t>АВТОХИМИЯ-ИНВЕСТ, ООО</t>
  </si>
  <si>
    <t>АВТОЦЕНТР МАКСИМУМ, ООО</t>
  </si>
  <si>
    <t>АВТОЦЕНТР ТАВРИДА, ООО</t>
  </si>
  <si>
    <t>АВТОЭКСПРЕСС, ООО</t>
  </si>
  <si>
    <t>АГАВА, ООО</t>
  </si>
  <si>
    <t>АГАМА ИСТРА, ООО</t>
  </si>
  <si>
    <t>АГАТ, ООО ТД</t>
  </si>
  <si>
    <t>АГГРЕКО ЕВРАЗИЯ, ООО</t>
  </si>
  <si>
    <t>АГЕНТСТВО ПО СТРАХОВАНИЮ ВКЛАДОВ, ГОСУДАРСТВЕННАЯ КОРПОРАЦИЯ</t>
  </si>
  <si>
    <t>АГИДЕЛЬ АВТО, ООО ТД</t>
  </si>
  <si>
    <t>АГМК, ООО</t>
  </si>
  <si>
    <t>АГРАНА ФРУТ МОСКОВСКИЙ РЕГИОН, ООО</t>
  </si>
  <si>
    <t>АГРАРНАЯ ГРУППА МП , АО СИБИРСКАЯ АГРАРНАЯ ГРУППА МЯСОПЕРЕРАБОТКА, АО</t>
  </si>
  <si>
    <t>АГРЕМАН, ООО</t>
  </si>
  <si>
    <t>АГРИСОВГАЗ, ООО</t>
  </si>
  <si>
    <t>АГРИТЕК, ООО</t>
  </si>
  <si>
    <t>АГРО ЗЕРНО ЮГ, ООО</t>
  </si>
  <si>
    <t>АГРО ЭКСПЕРТ ГРУП, ООО</t>
  </si>
  <si>
    <t>АГРО ЭКСПОРТ, ООО</t>
  </si>
  <si>
    <t>АГРО, ООО</t>
  </si>
  <si>
    <t>АГРО-АВТО, ООО</t>
  </si>
  <si>
    <t>АГРО-АЛЬЯНС, ООО</t>
  </si>
  <si>
    <t>АГРО-ДЕПАРТАМЕНТ, ООО</t>
  </si>
  <si>
    <t>АГРО-ИНВЕСТ, ООО</t>
  </si>
  <si>
    <t>АГРО-ЛИДЕР, ООО</t>
  </si>
  <si>
    <t>АГРО-МАРКЕТ, ООО</t>
  </si>
  <si>
    <t>АГРО-МАСТЕР, ООО</t>
  </si>
  <si>
    <t>АГРО-НОВА, ООО</t>
  </si>
  <si>
    <t>АГРО-ПАРТНЕР, ООО</t>
  </si>
  <si>
    <t>АГРОАСПЕКТ, ООО</t>
  </si>
  <si>
    <t>АГРОВИТЭКС, ООО</t>
  </si>
  <si>
    <t>АГРОГАРД-ОРЕЛ, ООО</t>
  </si>
  <si>
    <t>АГРОДИРЕКТ, ООО</t>
  </si>
  <si>
    <t>АГРОИМПОРТ, ООО</t>
  </si>
  <si>
    <t>АГРОИМПЭКС, ООО</t>
  </si>
  <si>
    <t>АГРОИНВЕСТГРУПП, ООО</t>
  </si>
  <si>
    <t>АГРОИНДУСТРИЯ, ООО</t>
  </si>
  <si>
    <t>АГРОИНИЦИАТИВА, ООО</t>
  </si>
  <si>
    <t>АГРОКЛУБ, ООО</t>
  </si>
  <si>
    <t>АГРОКОМБИНАТ МОСКОВСКИЙ, АО</t>
  </si>
  <si>
    <t>АГРОКОМПЛЕКС ИМ. Н.И.ТКАЧЕВА, АО ФИРМА</t>
  </si>
  <si>
    <t>АГРОКОМПЛЕКС НОВОКУБАНСКИЙ, ООО</t>
  </si>
  <si>
    <t>АГРОКОМПЛЕКС ПАВЛОВСКИЙ, АО</t>
  </si>
  <si>
    <t>АГРОКОМПЛЕКС РОСТОВСКИЙ, ООО</t>
  </si>
  <si>
    <t>АГРОКОНЦЕРН ПОКРОВСКИЙ, ООО</t>
  </si>
  <si>
    <t>АГРОКУЛЬТУРА ГРУПП, ООО</t>
  </si>
  <si>
    <t>АГРОКУЛЬТУРА-СТ, ООО ТД</t>
  </si>
  <si>
    <t>АГРОЛИГА, ООО</t>
  </si>
  <si>
    <t>АГРОМАРКЕТ, ООО</t>
  </si>
  <si>
    <t>АГРОНОВА-БЕЛГОРОД, АО</t>
  </si>
  <si>
    <t>АГРОНОВА-БРЯНСК, АО</t>
  </si>
  <si>
    <t>АГРОНОВА-ВОЛГА, АО</t>
  </si>
  <si>
    <t>АГРОНОВА-КРАСНОДАР, АО</t>
  </si>
  <si>
    <t>АГРОНОВА-ЛИПЕЦК, АО</t>
  </si>
  <si>
    <t>АГРОНОВА-ОРЕЛ, АО</t>
  </si>
  <si>
    <t>АГРОПАК, ООО</t>
  </si>
  <si>
    <t>АГРОПОСТАВКА МТ, ООО</t>
  </si>
  <si>
    <t>АГРОПРАЙМ, ООО</t>
  </si>
  <si>
    <t>АГРОПРИБОР, ЗАО</t>
  </si>
  <si>
    <t>АГРОПРОДУКТ, АО</t>
  </si>
  <si>
    <t>АГРОПРОДУКТ, ООО</t>
  </si>
  <si>
    <t>АГРОПРОМСЕРВИС, ООО</t>
  </si>
  <si>
    <t>АГРОПРОМСНАБ, ООО ПТП</t>
  </si>
  <si>
    <t>АГРОПРОМТРЕЙД, ООО</t>
  </si>
  <si>
    <t>АГРОПРОМШИНА, ООО</t>
  </si>
  <si>
    <t>АГРОПРОФ, ООО</t>
  </si>
  <si>
    <t>АГРОРЕСУРСЫ, ООО</t>
  </si>
  <si>
    <t>АГРОСИЛА ПТИЦЕФАБРИКА ПЕРМСКАЯ, АО</t>
  </si>
  <si>
    <t>АГРОСИЛА, АО</t>
  </si>
  <si>
    <t>АГРОСИЛА-КОММЕРЦИЯ, ООО</t>
  </si>
  <si>
    <t>АГРОСИЛА-МОЛОКО, ООО</t>
  </si>
  <si>
    <t>АГРОСНАБ, ООО</t>
  </si>
  <si>
    <t>АГРОСНАБСАХАР, ООО</t>
  </si>
  <si>
    <t>АГРОСОРОС ТРЕЙД, ООО</t>
  </si>
  <si>
    <t>АГРОСОРОС, ООО НПО</t>
  </si>
  <si>
    <t>АГРОСОЮЗ, ООО</t>
  </si>
  <si>
    <t>АГРОСОЮЗ-МАРКЕТ, ООО</t>
  </si>
  <si>
    <t>АГРОСТРОЙ, ООО</t>
  </si>
  <si>
    <t>АГРОСТРОЙПОДРЯД, ООО</t>
  </si>
  <si>
    <t>АГРОСФЕРА, ООО</t>
  </si>
  <si>
    <t>АГРОТЕК АЛЬЯНС, ООО</t>
  </si>
  <si>
    <t>АГРОТЕК, ООО</t>
  </si>
  <si>
    <t>АГРОТЕХ-ГАРАНТ, ООО</t>
  </si>
  <si>
    <t>АГРОТЕХНОЛОГИИ, ООО</t>
  </si>
  <si>
    <t>АГРОТОРГ ТРОИЦК, ООО</t>
  </si>
  <si>
    <t>АГРОТОРГ ЮГ, ООО</t>
  </si>
  <si>
    <t>АГРОТОРГ, ООО</t>
  </si>
  <si>
    <t>АГРОТРАК, ООО</t>
  </si>
  <si>
    <t>АГРОТЭК-ТМ, ООО</t>
  </si>
  <si>
    <t>АГРОФИД РУС, ООО</t>
  </si>
  <si>
    <t>АГРОФИРМА АРИАНТ, ООО</t>
  </si>
  <si>
    <t>АГРОФИРМА ДМИТРОВА ГОРА, АО</t>
  </si>
  <si>
    <t>АГРОФИРМА ДОРОНИЧИ, АО</t>
  </si>
  <si>
    <t>АГРОФИРМА ЗОЛОТАЯ НИВА, ООО</t>
  </si>
  <si>
    <t>АГРОФИРМА ОКТЯБРЬСКАЯ, АО</t>
  </si>
  <si>
    <t>АГРОФИРМА СЕЙМОВСКАЯ, ОАО</t>
  </si>
  <si>
    <t>АГРОФИРМА ТРИО, ООО</t>
  </si>
  <si>
    <t>АГРОФИРМА-ПЛЕМЗАВОД ПОБЕДА, ОАО</t>
  </si>
  <si>
    <t>АГРОХИМИНВЕСТ, ООО</t>
  </si>
  <si>
    <t>АГРОХИМИЧЕСКАЯ КОМПАНИЯ КУРСК, ООО</t>
  </si>
  <si>
    <t>АГРОХИМИЯ, ООО</t>
  </si>
  <si>
    <t>АГРОХИМСЕРВИС, ООО</t>
  </si>
  <si>
    <t>АГРОХИМЦЕНТР ТРЕЙД, ООО</t>
  </si>
  <si>
    <t>АГРОХОЛДИНГ ИВНЯНСКИЙ, ООО</t>
  </si>
  <si>
    <t>АГРОЦЕНТР, ООО</t>
  </si>
  <si>
    <t>АГРОЦЕНТРЗАХАРОВО, ООО</t>
  </si>
  <si>
    <t>АГРОЦЕНТРЛИСКИ, ООО</t>
  </si>
  <si>
    <t>АГРОЦЕНТРСБЫТ, ООО</t>
  </si>
  <si>
    <t>АГРОЦЕНТРТЕХНИКА, ООО</t>
  </si>
  <si>
    <t>АГРОЭКО-ВОРОНЕЖ, ООО</t>
  </si>
  <si>
    <t>АГРОЭКО-ВОСТОК, ООО</t>
  </si>
  <si>
    <t>АГРОЭКО-ПЕРЕРАБОТКА, ООО</t>
  </si>
  <si>
    <t>АГРОЭКО-ЮГ, ООО</t>
  </si>
  <si>
    <t>АГРУСХИМ-АЛАБУГА, ООО</t>
  </si>
  <si>
    <t>АД РУСС И КО, ТВ</t>
  </si>
  <si>
    <t>АДАМА РУС, ООО</t>
  </si>
  <si>
    <t>АДАМАНТ-СТРОЙ, ООО</t>
  </si>
  <si>
    <t>АДВ БЕНЧМАРК, ООО</t>
  </si>
  <si>
    <t>АДВ-СЕРВИС, ООО</t>
  </si>
  <si>
    <t>АДВА, ООО</t>
  </si>
  <si>
    <t>АДВАНС, ООО</t>
  </si>
  <si>
    <t>АДВАНТА, ООО</t>
  </si>
  <si>
    <t>АДВЕНСУМ, ООО</t>
  </si>
  <si>
    <t>АДВЕРТ.РУ, ООО</t>
  </si>
  <si>
    <t>АДЖЕНТА, ООО</t>
  </si>
  <si>
    <t>АДИДАС, ООО</t>
  </si>
  <si>
    <t>АДМИРАЛТЕЙСКОЕ, ООО</t>
  </si>
  <si>
    <t>АДС, ООО</t>
  </si>
  <si>
    <t>АДТ-АГРО, ООО</t>
  </si>
  <si>
    <t>АЕ ТРЕЙДИНГ, ООО</t>
  </si>
  <si>
    <t>АЗ РАРИТЭК, ООО</t>
  </si>
  <si>
    <t>АЗАТЮГСТРОЙ, ООО</t>
  </si>
  <si>
    <t>АЗБУКА СЫРА, ООО</t>
  </si>
  <si>
    <t>АЗИМУТ, ООО</t>
  </si>
  <si>
    <t>АЗИЯ ЛАЙФ, ООО</t>
  </si>
  <si>
    <t>АЗИЯГРУПКОМПАНИ, ООО</t>
  </si>
  <si>
    <t>АЗОТ МАЙНИНГ СЕРВИС, ООО</t>
  </si>
  <si>
    <t>АЗОТ ТРЕЙДИНГ, ООО</t>
  </si>
  <si>
    <t>АЗОТ-ВЗРЫВ, АО</t>
  </si>
  <si>
    <t>АЗОТТЕХ, ООО</t>
  </si>
  <si>
    <t>АЗТ, ООО</t>
  </si>
  <si>
    <t>АЗУР ЭЙР, ООО</t>
  </si>
  <si>
    <t>АИСТ, АО</t>
  </si>
  <si>
    <t>АИТ, ООО</t>
  </si>
  <si>
    <t>АЙ ПРОСПЕКТ, ООО</t>
  </si>
  <si>
    <t>АЙ ФЛАЙ, ООО</t>
  </si>
  <si>
    <t>АЙ ЭЙЧ ПИ АППЛАЕНСЕС СЕЙЛС, ООО</t>
  </si>
  <si>
    <t>АЙ ЭЙЧ ПИ АППЛАЕНСЕС, АО</t>
  </si>
  <si>
    <t>АЙ-БИ-ЭМ, ООО</t>
  </si>
  <si>
    <t>АЙ-ПЛАСТ, ООО</t>
  </si>
  <si>
    <t>АЙ-ТЕКО, АО</t>
  </si>
  <si>
    <t>АЙ.ЭР.ЭМ.СИ., ООО</t>
  </si>
  <si>
    <t>АЙБАРУС, ООО</t>
  </si>
  <si>
    <t>АЙБИИНВЕСТ, ООО</t>
  </si>
  <si>
    <t>АЙВИСИ РУС, ООО</t>
  </si>
  <si>
    <t>АЙДИ КОЛЛЕКТ, ООО</t>
  </si>
  <si>
    <t>АЙДИДЖИТАЛ, ООО</t>
  </si>
  <si>
    <t>АЙКОН ТАЙЕРС, ООО</t>
  </si>
  <si>
    <t>АЙКОН ШИНА, ООО</t>
  </si>
  <si>
    <t>АЙКРАФТ, ООО</t>
  </si>
  <si>
    <t>АЙРИЭЛТОР, ООО</t>
  </si>
  <si>
    <t>АЙРОН, ООО</t>
  </si>
  <si>
    <t>АЙСИЭЛ ТЕХНО, ООО</t>
  </si>
  <si>
    <t>АЙТИ ПАРТНЕР, ООО</t>
  </si>
  <si>
    <t>АЙТИИ ЭКСПО ИНТЕРНЕШНЛ, ООО</t>
  </si>
  <si>
    <t>АЙЭФСИЭМ ГРУПП, ООО</t>
  </si>
  <si>
    <t>АК БАРС СНАБ, ООО</t>
  </si>
  <si>
    <t>АК БАРС СТРОЙ, ООО ПСК</t>
  </si>
  <si>
    <t>АК ВОРОНЕЖ, ООО</t>
  </si>
  <si>
    <t>АК ГРАНАТ, ООО</t>
  </si>
  <si>
    <t>АК ЖДЯ, АО</t>
  </si>
  <si>
    <t>АК КОРВЕТ, АО</t>
  </si>
  <si>
    <t>АК НОРДСТАР, АО</t>
  </si>
  <si>
    <t>АК ПОКРОВСКИЙ, ООО</t>
  </si>
  <si>
    <t>АК ПОЛЯРНЫЕ АВИАЛИНИИ, АО</t>
  </si>
  <si>
    <t>АК СМАРТАВИА, АО</t>
  </si>
  <si>
    <t>АК ЭЙРБРИДЖКАРГО, ООО</t>
  </si>
  <si>
    <t>АК ЯКУТИЯ, АО</t>
  </si>
  <si>
    <t>АК ЯМАЛ , ООО АВИАКОМПАНИЯ ЯМАЛ, ООО</t>
  </si>
  <si>
    <t>АК ТАШ, ООО</t>
  </si>
  <si>
    <t>АКВАЛАЙН, АО</t>
  </si>
  <si>
    <t>АКВАМАК-ПРОЦЕССИНГ, ООО</t>
  </si>
  <si>
    <t>АКВАТОРИЯ, ООО</t>
  </si>
  <si>
    <t>АКВАТЭРРА, ООО</t>
  </si>
  <si>
    <t>АКВАФОР ЛАЙН, ООО</t>
  </si>
  <si>
    <t>АКВАФОР МАРКЕТИНГ, ЗАО</t>
  </si>
  <si>
    <t>АКВАФОР, ООО</t>
  </si>
  <si>
    <t>АКВИЛАНО, ООО</t>
  </si>
  <si>
    <t>АКВИЛОН, ООО</t>
  </si>
  <si>
    <t>АКВИОЙЛ, ООО</t>
  </si>
  <si>
    <t>АКЗО НОБЕЛЬ ДЕКОР, ЗАО</t>
  </si>
  <si>
    <t>АКЗО НОБЕЛЬ КОУТИНГС, ООО</t>
  </si>
  <si>
    <t>АКЗО НОБЕЛЬ ЛАКОКРАСКА, ООО</t>
  </si>
  <si>
    <t>АКИРА ОИЛ, ООО</t>
  </si>
  <si>
    <t>АККЕРМАНН ЦЕМЕНТ, ООО</t>
  </si>
  <si>
    <t>АККОНД, АО</t>
  </si>
  <si>
    <t>АККУ-ФЕРТРИБ, ООО</t>
  </si>
  <si>
    <t>АКРИЛ САЛАВАТ, ООО</t>
  </si>
  <si>
    <t>АКРИЛАН, ООО</t>
  </si>
  <si>
    <t>АКРОН, ПАО</t>
  </si>
  <si>
    <t>АКРОС, АО</t>
  </si>
  <si>
    <t>АКРОС, ООО</t>
  </si>
  <si>
    <t>АКС, ООО</t>
  </si>
  <si>
    <t>АКСЕЛЬ-МОТОРС СЕВЕР, ООО</t>
  </si>
  <si>
    <t>АКСЕЛЬ-МОТОРС, ООО</t>
  </si>
  <si>
    <t>АКСИОМА, АО</t>
  </si>
  <si>
    <t>АКСИОМА, ООО</t>
  </si>
  <si>
    <t>АКСТИМ, ООО</t>
  </si>
  <si>
    <t>АКТИВ-ТОРГ, ООО</t>
  </si>
  <si>
    <t>АКТИОН-АГРО, АО</t>
  </si>
  <si>
    <t>АКТИОН-ДИДЖИТАЛ, ООО</t>
  </si>
  <si>
    <t>АКТИОН-ПРЕСС, ООО</t>
  </si>
  <si>
    <t>АКТУМ, ООО</t>
  </si>
  <si>
    <t>АКУРА-С, ООО</t>
  </si>
  <si>
    <t>АКФ, ООО</t>
  </si>
  <si>
    <t>АКЦЕНТМЕД, ООО</t>
  </si>
  <si>
    <t>АЛ.КОМПАНИ, ООО</t>
  </si>
  <si>
    <t>АЛАБУГА ДЕВЕЛОПМЕНТ, ООО</t>
  </si>
  <si>
    <t>АЛАБУГА СОТЕ, ОАО</t>
  </si>
  <si>
    <t>АЛАЙ ГРУПП, ООО</t>
  </si>
  <si>
    <t>АЛАРМ-МОТОРС ЛАХТА, ООО</t>
  </si>
  <si>
    <t>АЛАРМ-МОТОРС ЮГО-ЗАПАД, ООО</t>
  </si>
  <si>
    <t>АЛБЕС МЕТ, ООО</t>
  </si>
  <si>
    <t>АЛБЫНСКИЙ РУДНИК, ООО</t>
  </si>
  <si>
    <t>АЛВИЗ, АО</t>
  </si>
  <si>
    <t>АЛВИСА, ООО</t>
  </si>
  <si>
    <t>АЛГОЙ, ООО</t>
  </si>
  <si>
    <t>АЛД АВТОМОТИВ, ООО</t>
  </si>
  <si>
    <t>АЛДАН, ООО ГДК</t>
  </si>
  <si>
    <t>АЛЕА, ООО</t>
  </si>
  <si>
    <t>АЛЕЙСКЗЕРНОПРОДУКТ ИМ.С.Н.СТАРОВОЙТОВА, ЗАО</t>
  </si>
  <si>
    <t>АЛЕКСЕЕВСКДОРСТРОЙ, ОАО</t>
  </si>
  <si>
    <t>АЛЕКСЕЕВСКИЙ БЕКОН, АО</t>
  </si>
  <si>
    <t>АЛЕКСЕЕВСКИЙ КОМБИКОРМОВЫЙ ЗАВОД, АО</t>
  </si>
  <si>
    <t>АЛЕКСИНСКАЯ БКФ, ООО</t>
  </si>
  <si>
    <t>АЛЕНФАРМА, ООО</t>
  </si>
  <si>
    <t>АЛЕФФ, ООО</t>
  </si>
  <si>
    <t>АЛИДИ, ООО ПРЕДПРИЯТИЕ</t>
  </si>
  <si>
    <t>АЛИДИ-НОРД, ООО</t>
  </si>
  <si>
    <t>АЛИДИ-ЦЕНТР, ООО</t>
  </si>
  <si>
    <t>АЛИОТ, ООО</t>
  </si>
  <si>
    <t>АЛИТЕР-АКСИ, ООО</t>
  </si>
  <si>
    <t>АЛК ГРУПП, ООО</t>
  </si>
  <si>
    <t>АЛКОГОЛЬНАЯ РЕГИОНАЛЬНАЯ КОМПАНИЯ, ООО</t>
  </si>
  <si>
    <t>АЛКОН ФАРМАЦЕВТИКА, ООО</t>
  </si>
  <si>
    <t>АЛКОПАК РУС, ООО</t>
  </si>
  <si>
    <t>АЛКОТОРГ, ООО</t>
  </si>
  <si>
    <t>АЛКОТРЭЙД 54, ООО</t>
  </si>
  <si>
    <t>АЛЛЕР ПЕТФУД, ООО</t>
  </si>
  <si>
    <t>АЛЛЕРГАН СНГ САРЛ, ООО</t>
  </si>
  <si>
    <t>АЛМАЗ УДОБРЕНИЯ, ООО</t>
  </si>
  <si>
    <t>АЛМАЗ, ООО</t>
  </si>
  <si>
    <t>АЛМАЗДОРТРАНС, ООО</t>
  </si>
  <si>
    <t>АЛМАЗЫ АНАБАРА, АО</t>
  </si>
  <si>
    <t>АЛОЙЛ, ЗАО</t>
  </si>
  <si>
    <t>АЛОКОЗАЙ-ИНТЕРНЕШНЛ, ООО</t>
  </si>
  <si>
    <t>АЛПЛА ООО</t>
  </si>
  <si>
    <t>АЛРОС, ООО</t>
  </si>
  <si>
    <t>АЛТАЙ-КОКС, АО</t>
  </si>
  <si>
    <t>АЛТАЙКРАЙЭНЕРГО, АО</t>
  </si>
  <si>
    <t>АЛТАЙСКАЯ БУРЕНКА, ООО</t>
  </si>
  <si>
    <t>АЛТАЙЭНЕРГОСБЫТ, АО</t>
  </si>
  <si>
    <t>АЛТИМА, ООО</t>
  </si>
  <si>
    <t>АЛТТРАНС, ОАО</t>
  </si>
  <si>
    <t>АЛТЫН ГРУПП, ООО СК</t>
  </si>
  <si>
    <t>АЛТЭКС-СТРОЙ, ООО</t>
  </si>
  <si>
    <t>АЛЬБИОГЕН, ООО</t>
  </si>
  <si>
    <t>АЛЬБИОН-2002, ООО</t>
  </si>
  <si>
    <t>АЛЬКОР И КО, ООО</t>
  </si>
  <si>
    <t>АЛЬМА, ООО</t>
  </si>
  <si>
    <t>АЛЬМАГЕСТ, ООО ТК</t>
  </si>
  <si>
    <t>АЛЬМАКОРГРУП, ООО</t>
  </si>
  <si>
    <t>АЛЬМИС-ИНТЕГРАЛ, ООО</t>
  </si>
  <si>
    <t>АЛЬПАРИ, ПК ООО ФИРМА</t>
  </si>
  <si>
    <t>АЛЬПСТРОЙСЕРВИС, ООО</t>
  </si>
  <si>
    <t>АЛЬТ-ЭРА, ООО</t>
  </si>
  <si>
    <t>АЛЬТАИР СМ, ООО</t>
  </si>
  <si>
    <t>АЛЬТАИР, ООО</t>
  </si>
  <si>
    <t>АЛЬТАИР, ООО ТД</t>
  </si>
  <si>
    <t>АЛЬТАСТРОЙ, ООО</t>
  </si>
  <si>
    <t>АЛЬТЕРНАТИВА, АО</t>
  </si>
  <si>
    <t>АЛЬТЕРНАТИВА, ООО</t>
  </si>
  <si>
    <t>АЛЬТЕРРА, ООО</t>
  </si>
  <si>
    <t>АЛЬТСТРОЙ, ООО</t>
  </si>
  <si>
    <t>АЛЬТУС, ООО</t>
  </si>
  <si>
    <t>АЛЬФА ВЛАДИМИР, ООО</t>
  </si>
  <si>
    <t>АЛЬФА ГРУПП, ООО ПК</t>
  </si>
  <si>
    <t>АЛЬФА ЖИВИКА, ООО</t>
  </si>
  <si>
    <t>АЛЬФА ИЖЕВСК, ООО</t>
  </si>
  <si>
    <t>АЛЬФА ЛАВАЛЬ ПОТОК, АО</t>
  </si>
  <si>
    <t>АЛЬФА ОРЕНБУРГ, ООО</t>
  </si>
  <si>
    <t>АЛЬФА ПЕНЗА, ООО</t>
  </si>
  <si>
    <t>АЛЬФА ПЕРМЬ, ООО</t>
  </si>
  <si>
    <t>АЛЬФА РЯЗАНЬ, ООО</t>
  </si>
  <si>
    <t>АЛЬФА СТРОЙ, ООО</t>
  </si>
  <si>
    <t>АЛЬФА СТРОЙ, ООО СК</t>
  </si>
  <si>
    <t>АЛЬФА, ООО</t>
  </si>
  <si>
    <t>АЛЬФА-КАПИТАЛ ГРУПП, ООО</t>
  </si>
  <si>
    <t>АЛЬФА-ЛИЗИНГ, ООО</t>
  </si>
  <si>
    <t>АЛЬФА-ЛОГИСТИК, ООО</t>
  </si>
  <si>
    <t>АЛЬФА-М, ООО</t>
  </si>
  <si>
    <t>АЛЬФА-МЕДИКА, АО</t>
  </si>
  <si>
    <t>АЛЬФА-СИНТЕЗ, ООО КОМПАНИЯ</t>
  </si>
  <si>
    <t>АЛЬФА-ТРАНЗИТ, ООО</t>
  </si>
  <si>
    <t>АЛЬФАКАБЕЛЬ, ООО</t>
  </si>
  <si>
    <t>АЛЬФАМОБИЛЬ, ООО</t>
  </si>
  <si>
    <t>АЛЬФАМОНОЛИТ, ООО</t>
  </si>
  <si>
    <t>АЛЬФАТЕХФОРМ, ООО</t>
  </si>
  <si>
    <t>АЛЬФАФАРМ, ООО</t>
  </si>
  <si>
    <t>АЛЬЯНС ПРОДЖЕКТС, ООО</t>
  </si>
  <si>
    <t>АЛЬЯНС СЕРВИС, ООО</t>
  </si>
  <si>
    <t>АЛЬЯНС, ООО</t>
  </si>
  <si>
    <t>АЛЬЯНС, ООО ГК</t>
  </si>
  <si>
    <t>АЛЬЯНС-НЕВА, ООО</t>
  </si>
  <si>
    <t>АЛЬЯНС-ЭНЕРГИЯ, ООО</t>
  </si>
  <si>
    <t>АЛЬЯНСНЕФТЕХИМ, ООО</t>
  </si>
  <si>
    <t>АЛЬЯНССПЕЦСТРОЙ, ООО ГК</t>
  </si>
  <si>
    <t>АЛЮТЕХ-М, ООО</t>
  </si>
  <si>
    <t>АЛЮТЕХ-ЮГ, ООО</t>
  </si>
  <si>
    <t>АМ МАТЕРИАЛС, ООО</t>
  </si>
  <si>
    <t>АМАЗОНЕ ООО</t>
  </si>
  <si>
    <t>АМВ ГРУПП, ООО</t>
  </si>
  <si>
    <t>АМДОКС СОЛЮШНЗ ЛТД, ООО</t>
  </si>
  <si>
    <t>АМЕГА, ООО</t>
  </si>
  <si>
    <t>АМЕРИА РУСС, ООО</t>
  </si>
  <si>
    <t>АМЕТИСТ-ЮГ, ООО</t>
  </si>
  <si>
    <t>АМЕТИСТОВОЕ, АО</t>
  </si>
  <si>
    <t>АМИЛКО, ООО</t>
  </si>
  <si>
    <t>АМИНОСИБ, АО</t>
  </si>
  <si>
    <t>АМКАПИТАЛ, ООО</t>
  </si>
  <si>
    <t>АМКК, ЗАО</t>
  </si>
  <si>
    <t>АММОНИЙ, АО</t>
  </si>
  <si>
    <t>АМНИВАРУС, ООО</t>
  </si>
  <si>
    <t>АМРЕСТ, ООО</t>
  </si>
  <si>
    <t>АМС, ООО</t>
  </si>
  <si>
    <t>АМС-МЕД, ООО</t>
  </si>
  <si>
    <t>АМТ, ООО</t>
  </si>
  <si>
    <t>АМТ-ГРУП, АО</t>
  </si>
  <si>
    <t>АМТЕК, ООО</t>
  </si>
  <si>
    <t>АМТЕЛ, ООО</t>
  </si>
  <si>
    <t>АМТП, ООО</t>
  </si>
  <si>
    <t>АМТЭК, ООО</t>
  </si>
  <si>
    <t>АМУР ЗОЛОТО, ООО</t>
  </si>
  <si>
    <t>АМУР МАШИНЕРИ, ООО</t>
  </si>
  <si>
    <t>АМУРАГРОКОМПЛЕКС, ООО</t>
  </si>
  <si>
    <t>АМУРСКАЯ ЛК, ООО</t>
  </si>
  <si>
    <t>АМУРСКИЙ БРОЙЛЕР, ООО</t>
  </si>
  <si>
    <t>АМУРСТАЛЬ, ООО</t>
  </si>
  <si>
    <t>АМУРТЕХИМПОРТ, ООО</t>
  </si>
  <si>
    <t>АМУРУГОЛЬ, АО</t>
  </si>
  <si>
    <t>АНБ, ООО</t>
  </si>
  <si>
    <t>АНГАРА ЛЕС, ООО</t>
  </si>
  <si>
    <t>АНГАРСКЦЕМЕНТ, АО</t>
  </si>
  <si>
    <t>АНГЕЛ ИСТ РУС, ООО</t>
  </si>
  <si>
    <t>АБ ИНБЕВ ЭФЕС, АО</t>
  </si>
  <si>
    <t>АНГК, ООО</t>
  </si>
  <si>
    <t>АНКОР КАДРОВЫЕ РЕШЕНИЯ, ООО</t>
  </si>
  <si>
    <t>АНКОР ФИНТЕК, ООО</t>
  </si>
  <si>
    <t>АНПЗ, ООО</t>
  </si>
  <si>
    <t>АНТ ЯПЫ, ООО</t>
  </si>
  <si>
    <t>АНТЕЙ СЕВЕР, ООО</t>
  </si>
  <si>
    <t>АНТЕЙ, ООО</t>
  </si>
  <si>
    <t>АНТК, ООО</t>
  </si>
  <si>
    <t>АНТР-АКТИВ, ООО</t>
  </si>
  <si>
    <t>АНТТЕК, ООО</t>
  </si>
  <si>
    <t>АП, АО</t>
  </si>
  <si>
    <t>АПЕКС ПЛЮС, ООО</t>
  </si>
  <si>
    <t>АПЕКС СЕКЬЮРИТИ, ООО</t>
  </si>
  <si>
    <t>АПК АГРОЭКО, ООО</t>
  </si>
  <si>
    <t>АПК АСТ КОМПАНИ М, ООО</t>
  </si>
  <si>
    <t>АПК АСТРАХАНСКИЙ, ООО</t>
  </si>
  <si>
    <t>АПК КАМСКИЙ, ООО</t>
  </si>
  <si>
    <t>АПК ПРОДОВОЛЬСТВЕННАЯ ПРОГРАММА, ООО</t>
  </si>
  <si>
    <t>АПК ПРОМАГРО, ООО</t>
  </si>
  <si>
    <t>АПК ЮНОСТЬ, ООО</t>
  </si>
  <si>
    <t>АПК, ООО</t>
  </si>
  <si>
    <t>АПК-КУРСК, ООО</t>
  </si>
  <si>
    <t>АПК-ЧЕРНОЗЕМЬЕ, ООО</t>
  </si>
  <si>
    <t>АПМК-БИЛДИНГ, ООО</t>
  </si>
  <si>
    <t>АПО АВРОРА, АО</t>
  </si>
  <si>
    <t>АПО АЛЕКО-ПОЛИМЕРЫ, ООО</t>
  </si>
  <si>
    <t>АПОГЕЙ, ООО</t>
  </si>
  <si>
    <t>АПОЛЛО КОНСТРАКШН, ООО</t>
  </si>
  <si>
    <t>АПРЕЛЬ 2014, ООО</t>
  </si>
  <si>
    <t>АПРЕЛЬ КАВКАЗ, ООО</t>
  </si>
  <si>
    <t>АПРЕЛЬ КУБАНЬ, ООО</t>
  </si>
  <si>
    <t>АПРЕЛЬ СЕВАСТОПОЛЬ, ООО</t>
  </si>
  <si>
    <t>АПТЕКА 36,6, ООО</t>
  </si>
  <si>
    <t>АПТЕКА 800, ООО</t>
  </si>
  <si>
    <t>АПТЕКА-А.В.Е, ООО</t>
  </si>
  <si>
    <t>АПТЕКА-А.В.Е-1, ООО</t>
  </si>
  <si>
    <t>АПТЕЧНАЯ СЕТЬ ОЗ, ООО</t>
  </si>
  <si>
    <t>АПТЕЧНАЯ СЕТЬ САМСОН-ФАРМА, ООО</t>
  </si>
  <si>
    <t>АПТЕЧНАЯ СЕТЬ ФАРМАКОПЕЙКА, ООО</t>
  </si>
  <si>
    <t>АПТЕЧНЫЙ СКЛАД КАЗАНЬ, ООО</t>
  </si>
  <si>
    <t>АПФ ФАНАГОРИЯ, ОАО</t>
  </si>
  <si>
    <t>АР ПЭКЭДЖИНГ, АО</t>
  </si>
  <si>
    <t>АРАГОН, ООО</t>
  </si>
  <si>
    <t>АРАЛ ПЛЮС, ЗАО</t>
  </si>
  <si>
    <t>АРБАВЕГО, ООО</t>
  </si>
  <si>
    <t>АРВАЛ, ООО</t>
  </si>
  <si>
    <t>АРВИАЙ (РАШЕН ВЕНЧУР ИНВЕСТМЕНТС), АО</t>
  </si>
  <si>
    <t>АРВИТЕКС, ООО</t>
  </si>
  <si>
    <t>АРВМ, ООО</t>
  </si>
  <si>
    <t>АРГО, АО</t>
  </si>
  <si>
    <t>АРДЖИЭС, ООО</t>
  </si>
  <si>
    <t>АРЕНА, ООО</t>
  </si>
  <si>
    <t>АРЕС ГРУПП, ООО</t>
  </si>
  <si>
    <t>АРИБ-СНАБ, ООО</t>
  </si>
  <si>
    <t>АРИОН, ООО</t>
  </si>
  <si>
    <t>АРИСТОН ТЕРМО РУСЬ, ООО</t>
  </si>
  <si>
    <t>АРИЭЛЬ МЕТАЛЛ, АО</t>
  </si>
  <si>
    <t>АРКАДА СТРОЙ УНИВЕРСАЛ, ООО</t>
  </si>
  <si>
    <t>АРКОН-ПРО, ООО</t>
  </si>
  <si>
    <t>АРКТИК-ЭНЕРГО, ООО</t>
  </si>
  <si>
    <t>АРКТИКА, ООО</t>
  </si>
  <si>
    <t>АРКТИКА, ООО ТД</t>
  </si>
  <si>
    <t>АРКТИКГАЗ, АО</t>
  </si>
  <si>
    <t>АРЛАЙТ РУС, ООО</t>
  </si>
  <si>
    <t>АРМАДА, АО</t>
  </si>
  <si>
    <t>АРМАТЕХ, ООО</t>
  </si>
  <si>
    <t>АРМАТУРНЫЙ ЗАВОД, ООО</t>
  </si>
  <si>
    <t>АРМСТРОНГ ВОРЛД ИНДАСТРИЗ, ООО</t>
  </si>
  <si>
    <t>АРНЕСТ, АО</t>
  </si>
  <si>
    <t>АРОМА МАРКЕТ, ООО</t>
  </si>
  <si>
    <t>АРОМА ТРЕЙД, АО</t>
  </si>
  <si>
    <t>АРОМАЛЮКС, ООО</t>
  </si>
  <si>
    <t>АРОСА, ООО</t>
  </si>
  <si>
    <t>АРПИ КАНОН МЕДИКАЛ СИСТЕМЗ, ООО</t>
  </si>
  <si>
    <t>АРПТ, АО</t>
  </si>
  <si>
    <t>АРСЕНАЛ ПЛЮС, ООО</t>
  </si>
  <si>
    <t>АРСЕНАЛ, ООО</t>
  </si>
  <si>
    <t>АРСЕНАЛ, ООО ИК</t>
  </si>
  <si>
    <t>АРСЕНАЛ-1, АО</t>
  </si>
  <si>
    <t>АРСТ, ООО</t>
  </si>
  <si>
    <t>АРСТЭМ-ЭНЕРГОТРЕЙД, ООО</t>
  </si>
  <si>
    <t>АРТ СОЗИДАНИЕ, ООО</t>
  </si>
  <si>
    <t>АРТ, ООО</t>
  </si>
  <si>
    <t>АРТ-МАРКЕТ ОПТ, ООО</t>
  </si>
  <si>
    <t>АРТЕКС, ООО</t>
  </si>
  <si>
    <t>АРТЕЛЬ СТАРАТЕЛЕЙ АНГАРА-СЕВЕР, ООО</t>
  </si>
  <si>
    <t>АРТЕЛЬ СТАРАТЕЛЕЙ ВИТИМ, ЗАО</t>
  </si>
  <si>
    <t>АРТЕЛЬ СТАРАТЕЛЕЙ ЗАПАДНАЯ, ООО</t>
  </si>
  <si>
    <t>АРТИКС ИС, ООО</t>
  </si>
  <si>
    <t>АРТИС-ДЕТСКОЕ ПИТАНИЕ, АО</t>
  </si>
  <si>
    <t>АРТПЛАСТ, АО</t>
  </si>
  <si>
    <t>АРТСТРОЙТЕХНОЛОГИЯ, ООО</t>
  </si>
  <si>
    <t>АРХАНГЕЛЬСКИЙ ФАНЕРНЫЙ ЗАВОД, АО</t>
  </si>
  <si>
    <t>АРХАНГЕЛЬСКИЙ ЦБК , АЦБК, АО</t>
  </si>
  <si>
    <t>АРХБУМ ТИССЬЮ ГРУПП, ООО</t>
  </si>
  <si>
    <t>АРХБУМ, АО</t>
  </si>
  <si>
    <t>АРХИМЕД, ООО</t>
  </si>
  <si>
    <t>АРЧА, ООО</t>
  </si>
  <si>
    <t>АС-БЮРО ПЛЮС, ООО</t>
  </si>
  <si>
    <t>АСБИС, ООО</t>
  </si>
  <si>
    <t>АСГ ТЕХНО СТРОЙ, ООО</t>
  </si>
  <si>
    <t>АСГ, ООО</t>
  </si>
  <si>
    <t>АСД, ООО</t>
  </si>
  <si>
    <t>АСЕРВИС, ООО</t>
  </si>
  <si>
    <t>АСК БЕЛАГРО-СЕРВИС, ООО</t>
  </si>
  <si>
    <t>АСК, АО</t>
  </si>
  <si>
    <t>АСК, ООО</t>
  </si>
  <si>
    <t>АСКОНА-ВЕК, ООО</t>
  </si>
  <si>
    <t>АСМ-АЛТАЙ, ООО</t>
  </si>
  <si>
    <t>АСНА, ООО</t>
  </si>
  <si>
    <t>АСП, ООО</t>
  </si>
  <si>
    <t>АСП-АКВА, ООО</t>
  </si>
  <si>
    <t>АСПЕКТ РУ, ООО</t>
  </si>
  <si>
    <t>АСПЭК ЕФИМОВСКИЙ, ООО</t>
  </si>
  <si>
    <t>АСР, ООО</t>
  </si>
  <si>
    <t>АССОЦИАЦИЯ СТРОИТЕЛЕЙ АЯМ, ООО</t>
  </si>
  <si>
    <t>АССТРА РУС, ООО</t>
  </si>
  <si>
    <t>АСТ, ООО</t>
  </si>
  <si>
    <t>АСТ-ИНТЕРНЭШНЛ ИНВАЭРОНМЭНТ, ООО</t>
  </si>
  <si>
    <t>АСТЕЛЛАС ФАРМА ПРОДАКШЕН, ООО</t>
  </si>
  <si>
    <t>АСТИЛ, ООО</t>
  </si>
  <si>
    <t>АСТМАРКЕТ, ООО</t>
  </si>
  <si>
    <t>АСТОН КРАХМАЛО-ПРОДУКТЫ, ООО</t>
  </si>
  <si>
    <t>АСТОН, АО</t>
  </si>
  <si>
    <t>АСТОР, АО</t>
  </si>
  <si>
    <t>АСТОР, ООО</t>
  </si>
  <si>
    <t>АСТОРИЯ КОСМЕТИК, ООО</t>
  </si>
  <si>
    <t>АСТРА, ООО</t>
  </si>
  <si>
    <t>АСТРАЗЕНЕКА ИНДАСТРИЗ, ООО</t>
  </si>
  <si>
    <t>АСТРАЗЕНЕКА ФАРМАСЬЮТИКАЛЗ, ООО</t>
  </si>
  <si>
    <t>АСТРАСТРОЙИНВЕСТ, ООО</t>
  </si>
  <si>
    <t>АСТРАХАНСКАЯ ЭНЕРГОСБЫТОВАЯ КОМПАНИЯ, ПАО</t>
  </si>
  <si>
    <t>АСТЭК, ООО</t>
  </si>
  <si>
    <t>АСФАЛЬТ, АО</t>
  </si>
  <si>
    <t>АСЭ, АО</t>
  </si>
  <si>
    <t>АТАК, ООО</t>
  </si>
  <si>
    <t>АТГ, ООО</t>
  </si>
  <si>
    <t>АТЕКС ГРУПП, ООО</t>
  </si>
  <si>
    <t>АТИ, ООО</t>
  </si>
  <si>
    <t>АТК ЯМАЛ, АО</t>
  </si>
  <si>
    <t>АТЛ РЕГИОНЫ, ООО</t>
  </si>
  <si>
    <t>АТЛАНТ АГРО, ООО</t>
  </si>
  <si>
    <t>АТЛАНТ, АО</t>
  </si>
  <si>
    <t>АТЛАНТА-С, ООО</t>
  </si>
  <si>
    <t>АТЛАНТИС-ПАК, ООО ПКФ</t>
  </si>
  <si>
    <t>АТЛАС КОПКО, АО</t>
  </si>
  <si>
    <t>АТЛАС ЧЕЙН, ООО</t>
  </si>
  <si>
    <t>АТЛАС, ООО</t>
  </si>
  <si>
    <t>АТЛАС-НТС, ООО</t>
  </si>
  <si>
    <t>АТМИС-САХАР, ОАО</t>
  </si>
  <si>
    <t>АТОЛ, ООО</t>
  </si>
  <si>
    <t>АТОММАШЭКСПОРТ, АО</t>
  </si>
  <si>
    <t>АТОМРЕДМЕТЗОЛОТО, АО</t>
  </si>
  <si>
    <t>АТОМСБЫТ, АО</t>
  </si>
  <si>
    <t>АТОМСТРОЙРЕЗЕРВ, ООО</t>
  </si>
  <si>
    <t>АТОМЭНЕРГОМАШ, АО</t>
  </si>
  <si>
    <t>АТОМЭНЕРГОПРОЕКТ, АО</t>
  </si>
  <si>
    <t>АТОМЭНЕРГОПРОМСБЫТ, АО</t>
  </si>
  <si>
    <t>АТОМЭНЕРГОРЕМОНТ, АО</t>
  </si>
  <si>
    <t>АТОМЭНЕРГОСБЫТ БИЗНЕС, ООО</t>
  </si>
  <si>
    <t>АТОМЭНЕРГОСБЫТ, АО</t>
  </si>
  <si>
    <t>АТОС АЙТИ СОЛЮШЕНС ЭНД СЕРВИСЕЗ, ООО</t>
  </si>
  <si>
    <t>АТРУС, ЗАО</t>
  </si>
  <si>
    <t>АТС СМОЛЬНОГО, СПБ ГУП</t>
  </si>
  <si>
    <t>АТТ ГРУПП, ООО</t>
  </si>
  <si>
    <t>АТТИКА ЛОГИСТИКА, ООО</t>
  </si>
  <si>
    <t>АТУ, ООО</t>
  </si>
  <si>
    <t>АТФ, АО</t>
  </si>
  <si>
    <t>АТЦ КУНЦЕВО, ООО</t>
  </si>
  <si>
    <t>АУР ВСЕВОЛОЖСК, ООО</t>
  </si>
  <si>
    <t>АУР НАРО-ФОМИНСК, ООО</t>
  </si>
  <si>
    <t>АУРУМ, ООО</t>
  </si>
  <si>
    <t>АУТСПАН ИНТЕРНЕШНЛ, ООО</t>
  </si>
  <si>
    <t>АФ ТРАНС ФОРВАРДИНГ, ООО</t>
  </si>
  <si>
    <t>АФ-ГРУПП ТОРГОВАЯ КОМПАНИЯ, ООО</t>
  </si>
  <si>
    <t>АФИВА, ООО</t>
  </si>
  <si>
    <t>АФИПСКИЙ НПЗ, ООО</t>
  </si>
  <si>
    <t>АЧИМ ДЕВЕЛОПМЕНТ, ООО</t>
  </si>
  <si>
    <t>АЧИМ СБЫТ, АО</t>
  </si>
  <si>
    <t>АЧИМГАЗ, АО</t>
  </si>
  <si>
    <t>АШАН, ООО</t>
  </si>
  <si>
    <t>АЭРО-ТРЕЙД, ООО</t>
  </si>
  <si>
    <t>АЭРО-ШЕРЕМЕТЬЕВО, АО</t>
  </si>
  <si>
    <t>АЭРОЗОЛЬ НОВОМОСКОВСК, ООО</t>
  </si>
  <si>
    <t>АЭРОМАР, АО</t>
  </si>
  <si>
    <t>АЭРОПОРТ ЕМЕЛЬЯНОВО, ООО</t>
  </si>
  <si>
    <t>АЭРОПОРТ КОЛЬЦОВО, ПАО</t>
  </si>
  <si>
    <t>АЭРОПОРТ МАХАЧКАЛА, АО</t>
  </si>
  <si>
    <t>АЭРОПОРТ НОРИЛЬСК, ООО</t>
  </si>
  <si>
    <t>АЭРОПОРТ СУРГУТ, АО</t>
  </si>
  <si>
    <t>АЭРОПОРТ ТОЛМАЧЕВО, АО</t>
  </si>
  <si>
    <t>АЭРОПОРТ ХРАБРОВО, АО</t>
  </si>
  <si>
    <t>АЭРОСКАН, ООО</t>
  </si>
  <si>
    <t>АЭРОФЛОТ ТЕХНИКС, ООО</t>
  </si>
  <si>
    <t>АЭРОФЬЮЭЛЗ, АО</t>
  </si>
  <si>
    <t>АЭРОЭКСПРЕСС, ООО</t>
  </si>
  <si>
    <t>АЭСК, ООО</t>
  </si>
  <si>
    <t>АЭХК, АО</t>
  </si>
  <si>
    <t>АЯКС, ООО</t>
  </si>
  <si>
    <t>АЯМТРАНССЕРВИС, ООО</t>
  </si>
  <si>
    <t>АЯН, АО</t>
  </si>
  <si>
    <t>Б-24, ООО</t>
  </si>
  <si>
    <t>Б. БРАУН АВИТУМ РУССЛАНД, ООО</t>
  </si>
  <si>
    <t>Б.БРАУН МЕДИКАЛ, ООО</t>
  </si>
  <si>
    <t>БАБИЛОН, ООО</t>
  </si>
  <si>
    <t>БАДАЛОВ, ООО</t>
  </si>
  <si>
    <t>БАЗАЛЬТ, ООО</t>
  </si>
  <si>
    <t>БАЗИС ПЛЮС, ООО</t>
  </si>
  <si>
    <t>БАЗИС, ООО</t>
  </si>
  <si>
    <t>БАЗИС-ТРЕЙД, ООО</t>
  </si>
  <si>
    <t>БАЗОВЫЕ МЕТАЛЛЫ, АО</t>
  </si>
  <si>
    <t>БАЙЕР, АО</t>
  </si>
  <si>
    <t>БАЙЕРСДОРФ, ООО</t>
  </si>
  <si>
    <t>БАЙКАЛ ГРУПП, ООО</t>
  </si>
  <si>
    <t>БАЙКАЛ-СЕРВИС ТК, ООО</t>
  </si>
  <si>
    <t>БАЙКАЛАКТИВ, ООО</t>
  </si>
  <si>
    <t>БАЙКАЛНЕФТЬ, ООО</t>
  </si>
  <si>
    <t>БАЙКАЛРУД, ООО</t>
  </si>
  <si>
    <t>БАЙКАЛЬСКАЯ ЭНЕРГЕТИЧЕСКАЯ КОМПАНИЯ, ООО</t>
  </si>
  <si>
    <t>БАЙКАЛЭНЕРГО, АО</t>
  </si>
  <si>
    <t>БАЙСАД Г. КИСЛОВОДСК, ЗАО</t>
  </si>
  <si>
    <t>БАЙТЕКС, ООО</t>
  </si>
  <si>
    <t>БАКСТЕР, АО КОМПАНИЯ</t>
  </si>
  <si>
    <t>БАЛТ-ФИШ ПЛЮС, ООО</t>
  </si>
  <si>
    <t>БАЛТИЙСКАЯ ГРУППА, АО</t>
  </si>
  <si>
    <t>БАЛТИЙСКАЯ ПРОМЫШЛЕННАЯ КОМПАНИЯ, АО</t>
  </si>
  <si>
    <t>БАЛТИЙСКИЙ ЛИЗИНГ, ООО</t>
  </si>
  <si>
    <t>БАЛТИК БУНКЕРИНГ, ООО</t>
  </si>
  <si>
    <t>БАЛТИНВЕСТСТРОЙ, ООО</t>
  </si>
  <si>
    <t>БАЛТКАМ, ООО</t>
  </si>
  <si>
    <t>БАЛТКО, ООО</t>
  </si>
  <si>
    <t>БАЛТМОСТСТРОЙ, ООО</t>
  </si>
  <si>
    <t>БАЛТТРАНССЕРВИС, ООО</t>
  </si>
  <si>
    <t>БАЛТЦЕЛ, АО</t>
  </si>
  <si>
    <t>БАМСТРОЙМЕХАНИЗАЦИЯ, АО</t>
  </si>
  <si>
    <t>БАНГ И БОНСОМЕР, ООО</t>
  </si>
  <si>
    <t>БАРИЛЛА РУС, ООО</t>
  </si>
  <si>
    <t>БАРИНОФФ, ООО</t>
  </si>
  <si>
    <t>БАРИОН, ООО</t>
  </si>
  <si>
    <t>БАРНАУЛЬСКАЯ ГЕНЕРАЦИЯ, АО</t>
  </si>
  <si>
    <t>БАРНАУЛЬСКАЯ ГОРЭЛЕКТРОСЕТЬ, АО</t>
  </si>
  <si>
    <t>БАРНАУЛЬСКИЙ ВРЗ, АО</t>
  </si>
  <si>
    <t>БАРНАУЛЬСКОЕ ДСУ № 4, ООО</t>
  </si>
  <si>
    <t>БАРРИ КАЛЛЕБАУТ НЛ РАША, ООО</t>
  </si>
  <si>
    <t>БАРРУС. ПРОЕКТНАЯ ЛОГИСТИКА, ООО</t>
  </si>
  <si>
    <t>БАРС ГРУП, АО</t>
  </si>
  <si>
    <t>БАРС-М, ООО</t>
  </si>
  <si>
    <t>БАРУС, ООО</t>
  </si>
  <si>
    <t>БАСТИОН, АО</t>
  </si>
  <si>
    <t>БАСФ, ООО</t>
  </si>
  <si>
    <t>БАТ-М, ООО</t>
  </si>
  <si>
    <t>БАТ-СПБ, АО</t>
  </si>
  <si>
    <t>БАУИНВЕСТ, ООО</t>
  </si>
  <si>
    <t>БАУСЕРВИС, ООО</t>
  </si>
  <si>
    <t>БАУТЕК, ООО</t>
  </si>
  <si>
    <t>БАУТРАНС, ООО</t>
  </si>
  <si>
    <t>БАУФАСАД-М, ООО</t>
  </si>
  <si>
    <t>БАУЦЕНТР РУС, ООО</t>
  </si>
  <si>
    <t>БАУШ ХЕЛС, ООО</t>
  </si>
  <si>
    <t>БАХЕТЛЕ-1, ООО</t>
  </si>
  <si>
    <t>БАШАВТОТРАНС РБ, ГУП</t>
  </si>
  <si>
    <t>БАШЕВРОКУБ, ООО ЗМК</t>
  </si>
  <si>
    <t>БАШИНФОРМСВЯЗЬ, ПАО</t>
  </si>
  <si>
    <t>БАШКИР-АГРОИНВЕСТ, ООО</t>
  </si>
  <si>
    <t>БАШКИРАВТОДОР, АО</t>
  </si>
  <si>
    <t>БАШКИРСКАЯ МЕДЬ , ООО БАШМЕДЬ, ООО</t>
  </si>
  <si>
    <t>БАШКИРСКАЯ МЯСНАЯ КОМПАНИЯ, ООО</t>
  </si>
  <si>
    <t>БАШКИРСКИЙ САХАР, ООО ТД</t>
  </si>
  <si>
    <t>БАШКИРЭНЕРГО, ООО</t>
  </si>
  <si>
    <t>БАШНЕФТЕГЕОФИЗИКА, АО</t>
  </si>
  <si>
    <t>БАШРТС, ООО</t>
  </si>
  <si>
    <t>БАШСПИРТ, АО</t>
  </si>
  <si>
    <t>ББ, ООО</t>
  </si>
  <si>
    <t>БВГ, ООО</t>
  </si>
  <si>
    <t>БВК, ООО</t>
  </si>
  <si>
    <t>БВТ БАРЬЕР РУС, АО</t>
  </si>
  <si>
    <t>БВТ, АО</t>
  </si>
  <si>
    <t>БВТ, ООО</t>
  </si>
  <si>
    <t>БГ МЕНЕДЖМЕНТ, ООО</t>
  </si>
  <si>
    <t>БГК, ООО</t>
  </si>
  <si>
    <t>БГК-ВН, ООО</t>
  </si>
  <si>
    <t>БГС, ООО ТРЕСТ</t>
  </si>
  <si>
    <t>БДР ТЕРМИЯ РУС, ООО</t>
  </si>
  <si>
    <t>БЕАТОН, АО</t>
  </si>
  <si>
    <t>БЕГЕМОТ, ООО</t>
  </si>
  <si>
    <t>БЕЗЕН ХЕЛСКЕА РУС, ООО</t>
  </si>
  <si>
    <t>БЕКАМ, ООО</t>
  </si>
  <si>
    <t>БЕКАРТ ЛИПЕЦК, ООО</t>
  </si>
  <si>
    <t>БЕКБОРН, ООО</t>
  </si>
  <si>
    <t>БЕКМЕН КУЛЬТЕР, ООО</t>
  </si>
  <si>
    <t>БЕКО, ООО</t>
  </si>
  <si>
    <t>БСК, ООО</t>
  </si>
  <si>
    <t>БЕЛАГРОТОРГ, ООО</t>
  </si>
  <si>
    <t>БЕЛАЯ ГОРА, ООО</t>
  </si>
  <si>
    <t>БЕЛАЯ ДАЧА ТРЕЙДИНГ, АО</t>
  </si>
  <si>
    <t>БЕЛАЯ ДОЛИНА, ООО ГК</t>
  </si>
  <si>
    <t>БЕЛГОРОДДОРСТРОЙ, ООО</t>
  </si>
  <si>
    <t>БЕЛГОРОДСКИЙ БРОЙЛЕР, ООО</t>
  </si>
  <si>
    <t>БЕЛГОРОДСКИЙ ЦЕМЕНТ, ЗАО</t>
  </si>
  <si>
    <t>БЕЛГОРОДЭНЕРГОСБЫТ, АО</t>
  </si>
  <si>
    <t>БЕЛГОРСОЛОД, ООО</t>
  </si>
  <si>
    <t>БЕЛГРАНКОРМ, ООО</t>
  </si>
  <si>
    <t>БЕЛДОРСТРОЙ, ООО</t>
  </si>
  <si>
    <t>БЕЛЕБЕЕВСКИЙ МОЛОЧНЫЙ КОМБИНАТ, АО</t>
  </si>
  <si>
    <t>БЕЛКАМНЕФТЬ ИМ. А.А. ВОЛКОВА, АО</t>
  </si>
  <si>
    <t>БЕЛКАМНЕФТЬ, ООО</t>
  </si>
  <si>
    <t>БЕЛКОММЕРЦ, ООО</t>
  </si>
  <si>
    <t>БЕЛЛА ВОСТОК, ООО</t>
  </si>
  <si>
    <t>БЕЛЛА, ООО</t>
  </si>
  <si>
    <t>БЕЛМОЛПРОДУКТ, ОАО</t>
  </si>
  <si>
    <t>БЕЛНЕФТЕХИМ-РОС, ООО</t>
  </si>
  <si>
    <t>БЕЛОБЛВОДОКАНАЛ, ГУП</t>
  </si>
  <si>
    <t>БЕЛОНИЯ М, ООО</t>
  </si>
  <si>
    <t>БЕЛОРЕЧЕНСКОЕ, СХАО</t>
  </si>
  <si>
    <t>БЕЛОРУСНЕФТЬ-СИБИРЬ, ООО</t>
  </si>
  <si>
    <t>БЕЛОРУССКАЯ САХАРНАЯ КОМПАНИЯ, ООО</t>
  </si>
  <si>
    <t>БЕЛРУСПРОДУКТ, ООО</t>
  </si>
  <si>
    <t>БЕЛУГА ГРУПП, ПАО</t>
  </si>
  <si>
    <t>БЕЛУГА МАРКЕТ ВЛАДИВОСТОК, ООО</t>
  </si>
  <si>
    <t>БЕЛУГА МАРКЕТ ВОСТОК, ООО</t>
  </si>
  <si>
    <t>БЕЛУГА МАРКЕТ ЗАПАД, ООО</t>
  </si>
  <si>
    <t>БЕЛУГА МАРКЕТ ХАБАРОВСК, ООО</t>
  </si>
  <si>
    <t>БЕЛУГА МАРКЕТ, ООО</t>
  </si>
  <si>
    <t>БЕЛЫЙ БАРС, ООО</t>
  </si>
  <si>
    <t>БЕЛЭНЕРГОМАШ-БЗЭМ, ООО</t>
  </si>
  <si>
    <t>БЕЛЯНКА, ООО</t>
  </si>
  <si>
    <t>БЕНЕТТОН РУССИЯ, ООО</t>
  </si>
  <si>
    <t>БЕНЗО-ТРАНЗИТ, ООО</t>
  </si>
  <si>
    <t>БЕНОФОН, ООО</t>
  </si>
  <si>
    <t>БЕНТЕК, ООО</t>
  </si>
  <si>
    <t>БЕРВЕЛ, ООО ЗВК</t>
  </si>
  <si>
    <t>БЕРГ ХОЛДИНГ, ООО</t>
  </si>
  <si>
    <t>БЕРГАУФ СТРОИТЕЛЬНЫЕ ТЕХНОЛОГИИ, ООО</t>
  </si>
  <si>
    <t>БЕРЕЖНАЯ АПТЕКА АПРЕЛЬ, ООО</t>
  </si>
  <si>
    <t>БЕРЕЗКАГАЗ ЮГРА, АО</t>
  </si>
  <si>
    <t>БЕРЕЗОВСКИЙ РУДНИК, ООО</t>
  </si>
  <si>
    <t>БЕРИКАП, ООО</t>
  </si>
  <si>
    <t>БЕРИНГЕР ИНГЕЛЬХАЙМ, ООО</t>
  </si>
  <si>
    <t>БЕРИНГПРОМУГОЛЬ, ООО</t>
  </si>
  <si>
    <t>БЕРКС, ООО</t>
  </si>
  <si>
    <t>БЕРЛИН-ФАРМА, ЗАО</t>
  </si>
  <si>
    <t>БЕРЛИН-ХЕМИ/А. МЕНАРИНИ, ООО</t>
  </si>
  <si>
    <t>БЕРЛИНГО, ООО</t>
  </si>
  <si>
    <t>БЕСТ, ООО</t>
  </si>
  <si>
    <t>БЕТА ГРУПП, ООО</t>
  </si>
  <si>
    <t>БЕТА ЖИВИКА, ООО</t>
  </si>
  <si>
    <t>БЕТА УФА, ООО</t>
  </si>
  <si>
    <t>БЕТАС, ООО</t>
  </si>
  <si>
    <t>БЕТОЛЮКС, ООО</t>
  </si>
  <si>
    <t>БЕТРИНГ, ООО</t>
  </si>
  <si>
    <t>БЗМИ, ООО</t>
  </si>
  <si>
    <t>БЗММК ИМ. В.А. СКЛЯРЕНКО, АО</t>
  </si>
  <si>
    <t>БЗТО, ООО</t>
  </si>
  <si>
    <t>БИ.СИ.СИ., ООО</t>
  </si>
  <si>
    <t>БИАЙЭЙ-ТЕХНОЛОДЖИЗ, ООО</t>
  </si>
  <si>
    <t>БИАКСПЛЕН, ООО</t>
  </si>
  <si>
    <t>БИБЛИО-ГЛОБУС ТУРОПЕРАТОР, ООО</t>
  </si>
  <si>
    <t>БИГ ДАЧМЕН, ООО</t>
  </si>
  <si>
    <t>БИГ, ООО</t>
  </si>
  <si>
    <t>БИГАМ-ИНВЕСТ, ООО</t>
  </si>
  <si>
    <t>БИЗКОММ, ООО</t>
  </si>
  <si>
    <t>БИЗНЕС ГРУПП, ООО</t>
  </si>
  <si>
    <t>БИЗНЕС МАРКЕТ, ООО</t>
  </si>
  <si>
    <t>БИЗНЕС ТЕЛЕКОМ-ИМПОРТ, ООО</t>
  </si>
  <si>
    <t>БИЗНЕС-НЕДВИЖИМОСТЬ, АО</t>
  </si>
  <si>
    <t>БИЗНЕСИНФОРМ, ООО</t>
  </si>
  <si>
    <t>БИЗНЕСРЕСУРС, ООО</t>
  </si>
  <si>
    <t>БИЗНЕСЦЕНТР, ООО</t>
  </si>
  <si>
    <t>БИЗОН, ООО</t>
  </si>
  <si>
    <t>БИЗОН-ТРЕЙД, ООО</t>
  </si>
  <si>
    <t>БИК СНГ, АО</t>
  </si>
  <si>
    <t>БИЛД, ООО</t>
  </si>
  <si>
    <t>БИЛДЭКС, ООО</t>
  </si>
  <si>
    <t>БИМБО КЬЮЭСАР РУС, ООО</t>
  </si>
  <si>
    <t>БИМК-КАРДИО-ВОЛГА, ООО</t>
  </si>
  <si>
    <t>БИН, ООО СК</t>
  </si>
  <si>
    <t>БИННОФАРМ ГРУПП, ООО</t>
  </si>
  <si>
    <t>БИО-РАД ЛАБОРАТОРИИ, ООО</t>
  </si>
  <si>
    <t>БИО-ТОН, ООО КОМПАНИЯ</t>
  </si>
  <si>
    <t>БИОАГРОСЕРВИС, ЗАО</t>
  </si>
  <si>
    <t>БИОВИТРУМ, ООО</t>
  </si>
  <si>
    <t>БИОЛАЙН, ООО</t>
  </si>
  <si>
    <t>БИОН, ООО</t>
  </si>
  <si>
    <t>БИОТЕ, ООО</t>
  </si>
  <si>
    <t>БИОТЕХ РОСВА, АО</t>
  </si>
  <si>
    <t>БИОТЕХНОС, ООО</t>
  </si>
  <si>
    <t>БИОФАРМА, ООО</t>
  </si>
  <si>
    <t>БИОФУД, ООО ТПК</t>
  </si>
  <si>
    <t>БИОХИМИК, АО</t>
  </si>
  <si>
    <t>БИОЭН НЕФТЕПРОДУКТ, ООО</t>
  </si>
  <si>
    <t>БИОЭН ТРЕЙД, ООО</t>
  </si>
  <si>
    <t>БИСИДЖИ, ООО</t>
  </si>
  <si>
    <t>БИТАЙР, ООО</t>
  </si>
  <si>
    <t>БИТУМ, ООО</t>
  </si>
  <si>
    <t>БИТУНОВА, ООО</t>
  </si>
  <si>
    <t>БИФОРКОМ ТЕК, ООО</t>
  </si>
  <si>
    <t>БИФРЕШ, ООО</t>
  </si>
  <si>
    <t>БК МАРАФОН, ООО</t>
  </si>
  <si>
    <t>БК ОЛИМП, ООО</t>
  </si>
  <si>
    <t>БК ПАРИ, ООО</t>
  </si>
  <si>
    <t>БК ПНГ, ООО</t>
  </si>
  <si>
    <t>БК ЦЕНТР, ООО</t>
  </si>
  <si>
    <t>БКД-СТРОЙ, ООО</t>
  </si>
  <si>
    <t>БКЕ ШЕЛЬФ, ООО</t>
  </si>
  <si>
    <t>БКЕ, ООО</t>
  </si>
  <si>
    <t>БКО ; АО БОРОВИЧСКИЙ КОМБИНАТ ОГНЕУПОРОВ, АО</t>
  </si>
  <si>
    <t>БКС, МУП</t>
  </si>
  <si>
    <t>БЛАГО-БАРНАУЛ, ООО</t>
  </si>
  <si>
    <t>БЛАГО-ОМСК, ООО</t>
  </si>
  <si>
    <t>БЛАГО-ЮГ, ООО</t>
  </si>
  <si>
    <t>БМВ РУСЛАНД ТРЕЙДИНГ, ООО</t>
  </si>
  <si>
    <t>БМГ, ООО</t>
  </si>
  <si>
    <t>БМК, АО</t>
  </si>
  <si>
    <t>БМК, ОАО</t>
  </si>
  <si>
    <t>БМП КОРОЛЕВ, ООО</t>
  </si>
  <si>
    <t>БМСНГ, ООО</t>
  </si>
  <si>
    <t>БНМ-3, ООО</t>
  </si>
  <si>
    <t>БОБРОВСКИЙ СЫРЗАВОД, ООО</t>
  </si>
  <si>
    <t>БОГАЕВСКИЙ КАРЬЕР, АО</t>
  </si>
  <si>
    <t>БОГДАНОВИЧСКИЙ КОМБИКОРМОВЫЙ ЗАВОД, АО</t>
  </si>
  <si>
    <t>БОГОЛЮБОВСКОЕ, ООО</t>
  </si>
  <si>
    <t>БОГОРОДСКИЕ ДЕЛИКАТЕСЫ, ООО</t>
  </si>
  <si>
    <t>БОГОСЛОВСКОЕ РУДОУПРАВЛЕНИЕ, АО</t>
  </si>
  <si>
    <t>БОГУЧАНСКАЯ ГЭС, АО</t>
  </si>
  <si>
    <t>БОЕ РАША, ООО</t>
  </si>
  <si>
    <t>БОЛИД, ЗАО</t>
  </si>
  <si>
    <t>БОЛОТНИНСКАЯ ГОФРОТАРА, ЗАО</t>
  </si>
  <si>
    <t>БОМЭЗ, ООО</t>
  </si>
  <si>
    <t>БОНАВА САНКТ-ПЕТЕРБУРГ, ООО</t>
  </si>
  <si>
    <t>БОНДЮЭЛЬ-КУБАНЬ, ООО</t>
  </si>
  <si>
    <t>БОНЕНКАМП, ООО</t>
  </si>
  <si>
    <t>БОНУМ, ООО</t>
  </si>
  <si>
    <t>БОРЕЦ, ООО</t>
  </si>
  <si>
    <t>БОРК-ИМПОРТ, ООО</t>
  </si>
  <si>
    <t>БОРМАШ, ООО</t>
  </si>
  <si>
    <t>БОРХИММАШ, АО</t>
  </si>
  <si>
    <t>БОС, ООО</t>
  </si>
  <si>
    <t>БОСНИС, ООО</t>
  </si>
  <si>
    <t>БОШ ТЕРМОТЕХНИКА, ООО</t>
  </si>
  <si>
    <t>БОЯРД, ООО</t>
  </si>
  <si>
    <t>БПВ-ОСТ, ООО</t>
  </si>
  <si>
    <t>БПЗ, ОАО</t>
  </si>
  <si>
    <t>БПЗ, ООО</t>
  </si>
  <si>
    <t>БРАМС-ОЙЛ, ООО</t>
  </si>
  <si>
    <t>БРАСОВСКИЕ СЫРЫ, ООО</t>
  </si>
  <si>
    <t>БРИДЕР, ООО</t>
  </si>
  <si>
    <t>БРИДЖСТОУН СНГ, ООО</t>
  </si>
  <si>
    <t>БРИДЖТАУН ФУДС, ЗАО</t>
  </si>
  <si>
    <t>БРИКСО, АО</t>
  </si>
  <si>
    <t>БРЛ, ООО</t>
  </si>
  <si>
    <t>БРОК-ИНВЕСТ-СЕРВИС И К, ЗАО ТФД</t>
  </si>
  <si>
    <t>БРОКЕРОЙЛ, ООО</t>
  </si>
  <si>
    <t>БРОНИРОВАНИЕ ГОСТИНИЦ, ООО</t>
  </si>
  <si>
    <t>БРТ, АО</t>
  </si>
  <si>
    <t>БРУСБОКС, ООО</t>
  </si>
  <si>
    <t>БРУСНИКА, ООО</t>
  </si>
  <si>
    <t>БРУСНИКА. ОБМЕН, ООО</t>
  </si>
  <si>
    <t>БРЯНСКАВТОДОР, АО</t>
  </si>
  <si>
    <t>БРЯНСКАГРОСТРОЙ, ООО</t>
  </si>
  <si>
    <t>БРЯНСКАЯ МЯСНАЯ КОМПАНИЯ, ООО</t>
  </si>
  <si>
    <t>БРЯНСКИЙ БРОЙЛЕР, ООО</t>
  </si>
  <si>
    <t>БРЯНСККОММУНЭНЕРГО, ГУП</t>
  </si>
  <si>
    <t>БРЯНСКСЕЛЬМАШ, АО</t>
  </si>
  <si>
    <t>БРЯНСКТРУБОПРОВОДСТРОЙ, ООО</t>
  </si>
  <si>
    <t>БРЯНСКФАРМАЦИЯ, ГУП</t>
  </si>
  <si>
    <t>БРЯНСКЭЛЕКТРО, ООО</t>
  </si>
  <si>
    <t>БСЗ, АО</t>
  </si>
  <si>
    <t>БСП, ОАО</t>
  </si>
  <si>
    <t>БСС, ООО</t>
  </si>
  <si>
    <t>БСХ БЫТОВЫЕ ПРИБОРЫ, ООО</t>
  </si>
  <si>
    <t>БТК, ООО</t>
  </si>
  <si>
    <t>БТЛ, ООО</t>
  </si>
  <si>
    <t>БТС-МОСТ, АО</t>
  </si>
  <si>
    <t>БТХ, ООО</t>
  </si>
  <si>
    <t>БУДЬ ЗДОРОВ!, ООО</t>
  </si>
  <si>
    <t>БУЕР, АО</t>
  </si>
  <si>
    <t>БУИНСКИЙ САХАР, ООО</t>
  </si>
  <si>
    <t>БУКАЕВ.РУ, ООО</t>
  </si>
  <si>
    <t>БУКВОЕД, ООО</t>
  </si>
  <si>
    <t>БУКЕТ ЧУВАШИИ, ОАО</t>
  </si>
  <si>
    <t>БУЛАТ, ООО</t>
  </si>
  <si>
    <t>БУМПАК, ООО</t>
  </si>
  <si>
    <t>БУМХИМИНВЕСТ, ООО</t>
  </si>
  <si>
    <t>БУНКЕР-ТРЕЙД, ООО</t>
  </si>
  <si>
    <t>БУР, ООО</t>
  </si>
  <si>
    <t>БУРГЕР РУС, ООО</t>
  </si>
  <si>
    <t>БУРИБАЕВСКИЙ ГОК, АО</t>
  </si>
  <si>
    <t>БУРИНТЕХ, ООО НПП</t>
  </si>
  <si>
    <t>БУРСЕРВИС, ООО</t>
  </si>
  <si>
    <t>БУРЭНЕРГО, ООО</t>
  </si>
  <si>
    <t>БУШЕ, ООО</t>
  </si>
  <si>
    <t>БФТ, ООО</t>
  </si>
  <si>
    <t>БХЗ, ОАО</t>
  </si>
  <si>
    <t>БХС, ООО</t>
  </si>
  <si>
    <t>БЫТПЛАСТ, ООО</t>
  </si>
  <si>
    <t>БЭЗРК, ОАО</t>
  </si>
  <si>
    <t>БЭК-РЕМОНТ, ООО</t>
  </si>
  <si>
    <t>БЭЛЛ ИНТЕГРАТОР, АО</t>
  </si>
  <si>
    <t>БЭЛС, ЗАО</t>
  </si>
  <si>
    <t>БЭСТ ПРАЙС, ООО</t>
  </si>
  <si>
    <t>БЭТ, АО</t>
  </si>
  <si>
    <t>БЮРО ХОЛДИНГ, ООО</t>
  </si>
  <si>
    <t>БЮРОКРАТ, ООО</t>
  </si>
  <si>
    <t>В КОНТАКТЕ, ООО</t>
  </si>
  <si>
    <t>ВЁРДАЗЕРНОПРОДУКТ, ООО</t>
  </si>
  <si>
    <t>ВАВИЛОН, ООО</t>
  </si>
  <si>
    <t>ВАГНЕР-АВТО, ООО</t>
  </si>
  <si>
    <t>ВАД, АО</t>
  </si>
  <si>
    <t>ВАДЕРШТАД, ООО</t>
  </si>
  <si>
    <t>ВАЗ, ОАО</t>
  </si>
  <si>
    <t>ВАЙЛДБЕРРИЗ, ООО</t>
  </si>
  <si>
    <t>ВАЙТ ТРЕВЕЛ, ООО</t>
  </si>
  <si>
    <t>ВАЛКУР, ООО</t>
  </si>
  <si>
    <t>ВАЛЛЕКС М, ООО</t>
  </si>
  <si>
    <t>ВАЛТА ПЕТ ПРОДАКТС, АО</t>
  </si>
  <si>
    <t>ВАЛФ-РУС, ООО</t>
  </si>
  <si>
    <t>ВАЛФЕКС-ПАЙП, ООО</t>
  </si>
  <si>
    <t>ВАЛЬТЕР ХЕМИ, ООО</t>
  </si>
  <si>
    <t>ВАМИН ТАТАРСТАН, ООО</t>
  </si>
  <si>
    <t>ВАРАНДЕЙСКИЙ ТЕРМИНАЛ, ООО</t>
  </si>
  <si>
    <t>ВАРИАНТ, ООО</t>
  </si>
  <si>
    <t>ВАРЬЕГАННЕФТЬ, ПАО</t>
  </si>
  <si>
    <t>ВАСИЛЬЕВСКАЯ ПТИЦЕФАБРИКА, АО</t>
  </si>
  <si>
    <t>ВБГ, ООО</t>
  </si>
  <si>
    <t>ВБД, АО</t>
  </si>
  <si>
    <t>ВВХК, ООО</t>
  </si>
  <si>
    <t>ВГОК, ОАО</t>
  </si>
  <si>
    <t>ВГСЧ, ФГУП</t>
  </si>
  <si>
    <t>ВЕГА, ООО</t>
  </si>
  <si>
    <t>ВЕЗЕРФОРД, ООО</t>
  </si>
  <si>
    <t>ВЕИР МИНЕРАЛЗ РФЗ, ООО</t>
  </si>
  <si>
    <t>ВЕКА РУС, ООО</t>
  </si>
  <si>
    <t>ВЕКТОР АВТО, ООО</t>
  </si>
  <si>
    <t>ВЕКТОР БРОКЕР, ООО</t>
  </si>
  <si>
    <t>ВЕКТОР ГРУПП, ООО</t>
  </si>
  <si>
    <t>ВЕКТОР ДИСТРИБЬЮШН, ООО</t>
  </si>
  <si>
    <t>ВЕКТОР, ООО</t>
  </si>
  <si>
    <t>ВЕКТОР-БЕСТ-ЕВРОПА, АО</t>
  </si>
  <si>
    <t>ВЕКТОР-БЕСТ, АО</t>
  </si>
  <si>
    <t>ВЕКТОР-ПЛЮС, ООО</t>
  </si>
  <si>
    <t>ВЕКТОР-С, ООО ТД</t>
  </si>
  <si>
    <t>ВЕКТОРФАРМ, ООО</t>
  </si>
  <si>
    <t>ВЕЛЕС АКТИВ, ООО</t>
  </si>
  <si>
    <t>ВЕЛЕС ЦЕНТР, ООО</t>
  </si>
  <si>
    <t>ВЕЛЕС, ООО</t>
  </si>
  <si>
    <t>ВЕЛЕС-СТРОЙ, ООО</t>
  </si>
  <si>
    <t>ВЕЛЕССТРОЙ, ООО</t>
  </si>
  <si>
    <t>ВЕЛЕССТРОЙ-СМУ, ООО</t>
  </si>
  <si>
    <t>ВЕЛЕССТРОЙМОНТАЖ, ООО</t>
  </si>
  <si>
    <t>ВЕЛИКОЛУКСКИЙ МОЛОЧНЫЙ КОМБИНАТ, ООО</t>
  </si>
  <si>
    <t>ВЕЛИКОЛУКСКИЙ СВИНОВОДЧЕСКИЙ КОМПЛЕКС, ООО</t>
  </si>
  <si>
    <t>ВЕЛКОМ, ООО ХОЛДИНГ</t>
  </si>
  <si>
    <t>ВЕЛЛ СЕРВИС, ООО</t>
  </si>
  <si>
    <t>ВЕЛТРЭЙД, ООО</t>
  </si>
  <si>
    <t>ВЕНТАЛЛ, ООО</t>
  </si>
  <si>
    <t>ВЕНТОГРИН, ООО</t>
  </si>
  <si>
    <t>ВЕНТРА СЕРВИСЕЗ СИ-АЙ-ЭС, ООО</t>
  </si>
  <si>
    <t>ВЕРАТЭК, ООО</t>
  </si>
  <si>
    <t>ВЕРИТАС ВЬЮ, ООО</t>
  </si>
  <si>
    <t>ВЕРОНА, ООО</t>
  </si>
  <si>
    <t>ВЕЛИКОЛУКСКИЙ МЯСОКОМБИНАТ, ОАО</t>
  </si>
  <si>
    <t>ВЕРТИКАЛЬ, АО</t>
  </si>
  <si>
    <t>ВЕРТИКАЛЬ, ООО</t>
  </si>
  <si>
    <t>ВЕРХНЕБАКАНСКИЙ ЦЕМЕНТНЫЙ ЗАВОД, ОАО</t>
  </si>
  <si>
    <t>ВЕРХНЕВОЛЖСКИЙ СМЦ, ООО</t>
  </si>
  <si>
    <t>ВЕРХНЕВОЛЖСКОЕ АТП, ООО</t>
  </si>
  <si>
    <t>ВЕРШИНА, ООО</t>
  </si>
  <si>
    <t>ВЕСТ-СЕРВИС, ООО</t>
  </si>
  <si>
    <t>ВЕСТА РЕГИОНЫ, ООО</t>
  </si>
  <si>
    <t>ВЕСТА, АО</t>
  </si>
  <si>
    <t>ВЕСТА, ООО</t>
  </si>
  <si>
    <t>ВЕСТЕЛ-СНГ, ООО</t>
  </si>
  <si>
    <t>ВЕСТЕРН ЭСТЕЙТ, ООО</t>
  </si>
  <si>
    <t>ВЕСТРЫБФЛОТ, ЗАО</t>
  </si>
  <si>
    <t>ВЕТ ГЕН, ООО</t>
  </si>
  <si>
    <t>ВЕТЕРАН, ООО</t>
  </si>
  <si>
    <t>ВЕТЕРИНАРНЫЙ СЕРВИС, ООО</t>
  </si>
  <si>
    <t>ВЕТПРОДАКС, ООО</t>
  </si>
  <si>
    <t>ВЕТРООГК, АО</t>
  </si>
  <si>
    <t>ВЗРЫВ ГРУПП, ООО</t>
  </si>
  <si>
    <t>ВИ ФРАЙ, ООО</t>
  </si>
  <si>
    <t>ВИ ХОЛДИНГ ДЕВЕЛОПМЕНТ, ООО</t>
  </si>
  <si>
    <t>ВИАЙДЖИ КАСТОМС, ООО</t>
  </si>
  <si>
    <t>ВИАЛ, ООО ТК</t>
  </si>
  <si>
    <t>ВИАС, ООО ПКФ</t>
  </si>
  <si>
    <t>ВИАТРИС, ООО</t>
  </si>
  <si>
    <t>ВИВАТ-ЛЮКС, ООО</t>
  </si>
  <si>
    <t>БОРИСХОФ ХОЛДИНГ, ООО</t>
  </si>
  <si>
    <t>ВИКО, ООО</t>
  </si>
  <si>
    <t>ВИКО-ИРКУТСК, ООО</t>
  </si>
  <si>
    <t>ВИКО-КРАСНОЯРСК, ООО</t>
  </si>
  <si>
    <t>ВИКОР, ОАО</t>
  </si>
  <si>
    <t>ВИКТОРИЯ +, ООО</t>
  </si>
  <si>
    <t>ВИКТОРИЯ БАЛТИЯ, ООО</t>
  </si>
  <si>
    <t>ВИЛЛАКО, ООО</t>
  </si>
  <si>
    <t>ВИЛМАП, ООО</t>
  </si>
  <si>
    <t>ВИЛС, ОАО</t>
  </si>
  <si>
    <t>ВИЛЬД РОССИЯ, ООО</t>
  </si>
  <si>
    <t>ВИЛЮЙСКАЯ ГЭС-3, АО</t>
  </si>
  <si>
    <t>ВИНК, ООО</t>
  </si>
  <si>
    <t>ВИНЛАБ-ЗАПАД, ООО</t>
  </si>
  <si>
    <t>ВИНО ОН-ЛАЙН АГ, ООО</t>
  </si>
  <si>
    <t>ВИНОКОНЬЯЧНЫЙ ДОМ АЛЬЯНС-1892, ООО</t>
  </si>
  <si>
    <t>ВИНОКОНЬЯЧНЫЙ ЗАВОД АЛЬЯНС-1892, ООО</t>
  </si>
  <si>
    <t>ВИНТЕК ПЛАСТИК, ООО</t>
  </si>
  <si>
    <t>ВИНТОРГ, ООО</t>
  </si>
  <si>
    <t>ВИОЛА, ООО</t>
  </si>
  <si>
    <t>ВИРТУМ, ООО</t>
  </si>
  <si>
    <t>ВИС, ООО</t>
  </si>
  <si>
    <t>ВИСТИНСКАЯ ТОПЛИВНАЯ КОМПАНИЯ, ООО</t>
  </si>
  <si>
    <t>ВИСТЛАН, ООО</t>
  </si>
  <si>
    <t>ВИТА ЛАЙН, ООО</t>
  </si>
  <si>
    <t>ВИТА ПЛЮС, ООО</t>
  </si>
  <si>
    <t>ВИТАЛ, ООО</t>
  </si>
  <si>
    <t>ВИТАМИНРУС, ООО</t>
  </si>
  <si>
    <t>ВИТАНТА, ООО</t>
  </si>
  <si>
    <t>ВК, ООО</t>
  </si>
  <si>
    <t>ВИТАСПЕКТР, ООО</t>
  </si>
  <si>
    <t>ВИТЕРРА РУС, ООО</t>
  </si>
  <si>
    <t>ВИТИМЭНЕРГОСБЫТ, АО</t>
  </si>
  <si>
    <t>ВИТО-1, ООО</t>
  </si>
  <si>
    <t>ВИТОМЭК, ООО</t>
  </si>
  <si>
    <t>ВИТТА КОМПАНИ, ООО</t>
  </si>
  <si>
    <t>ВИТЯЗЬ-АВТО, ООО</t>
  </si>
  <si>
    <t>ВЕЛЕС ПЛЮС, ООО</t>
  </si>
  <si>
    <t>ВИШНЕВОГОРСКИЙ ГОК, АО</t>
  </si>
  <si>
    <t>ВК ЦИФРОВЫЕ ТЕХНОЛОГИИ, ООО</t>
  </si>
  <si>
    <t>ВКЗ КИН, ООО</t>
  </si>
  <si>
    <t>ВКЗ, ОАО</t>
  </si>
  <si>
    <t>ВКМ, ООО</t>
  </si>
  <si>
    <t>ВКУСВИЛЛ, АО</t>
  </si>
  <si>
    <t>ВКУСНЫЙ ПРОДУКТ, ООО</t>
  </si>
  <si>
    <t>ВКУСТЕР, ООО</t>
  </si>
  <si>
    <t>ВЛАДИМИРСКИЙ СТАНДАРТ, ООО</t>
  </si>
  <si>
    <t>ВЛАДИМИРТЕПЛОГАЗ, ООО</t>
  </si>
  <si>
    <t>ВЛАДИНВЕСТ, АО</t>
  </si>
  <si>
    <t>ВЛАДКОН, ООО</t>
  </si>
  <si>
    <t>ВЛАДМОРРЫБПОРТ, ОАО</t>
  </si>
  <si>
    <t>ВЛАДТОРГ, ООО</t>
  </si>
  <si>
    <t>ВМК ИНВЕСТ, ООО</t>
  </si>
  <si>
    <t>ВМК, ООО</t>
  </si>
  <si>
    <t>ВМК, ПК</t>
  </si>
  <si>
    <t>ВМКТ, ООО</t>
  </si>
  <si>
    <t>ВМП, ООО</t>
  </si>
  <si>
    <t>ВМТ, ООО</t>
  </si>
  <si>
    <t>ВМТП, ПАО</t>
  </si>
  <si>
    <t>ВМЭС, АО</t>
  </si>
  <si>
    <t>ВНЕШИНТОРГ, ООО</t>
  </si>
  <si>
    <t>ВНЕШТОРГПЛАСТИК, ООО</t>
  </si>
  <si>
    <t>ВНИИАЭС, АО</t>
  </si>
  <si>
    <t>ВНИИЖТ, АО</t>
  </si>
  <si>
    <t>ВНМД, ОАО</t>
  </si>
  <si>
    <t>ВО ПРОМСЫРЬЕИМПОРТ, АО</t>
  </si>
  <si>
    <t>ВО ТЕХНОПРОМЭКСПОРТ, ООО</t>
  </si>
  <si>
    <t>ВОДА КРЫМА, ГУП РК</t>
  </si>
  <si>
    <t>ВОДОГРАЙ, ООО</t>
  </si>
  <si>
    <t>ВОДОКАНАЛ САНКТ-ПЕТЕРБУРГА, ГУП</t>
  </si>
  <si>
    <t>ВОДОКАНАЛ, МУП</t>
  </si>
  <si>
    <t>ВОДОКАНАЛ, МУП Г.СОЧИ</t>
  </si>
  <si>
    <t>ВОДОКАНАЛ, МУП ГОРОДА ХАБАРОВСКА</t>
  </si>
  <si>
    <t>ВОДОКОМФОРТ, ООО ФИРМА</t>
  </si>
  <si>
    <t>ВОДОХОДЪ, ООО</t>
  </si>
  <si>
    <t>ВОЕНТОРГ-РИТЕЙЛ, ООО</t>
  </si>
  <si>
    <t>ВОЗДВИЖЕНИЕ, ООО</t>
  </si>
  <si>
    <t>ВОЗДУШНЫЕ ВОРОТА СЕВЕРНОЙ СТОЛИЦЫ, ООО</t>
  </si>
  <si>
    <t>ВГТРК</t>
  </si>
  <si>
    <t>ВОЗРОЖДЕНИЕ ВВЦ, ООО</t>
  </si>
  <si>
    <t>ВОЛОГОДСКОЕ МОРОЖЕНОЕ, ООО</t>
  </si>
  <si>
    <t>ВОКСИС, ООО</t>
  </si>
  <si>
    <t>ВОЛГА АВТОДОР, ООО</t>
  </si>
  <si>
    <t>ВОЛГА ГРУП, ООО</t>
  </si>
  <si>
    <t>ВОЛГА ЦЕМЕНТ, АО</t>
  </si>
  <si>
    <t>ВОЛГА, АО</t>
  </si>
  <si>
    <t>ВОЛГА-АВТОДОР, ООО</t>
  </si>
  <si>
    <t>ВОЛГА-ФЛОТ, АО</t>
  </si>
  <si>
    <t>ВОЛГАБАС ВОЛЖСКИЙ, ООО</t>
  </si>
  <si>
    <t>ВОЛГАБАС, ООО</t>
  </si>
  <si>
    <t>ВОЛГАДОРСТРОЙ, ООО</t>
  </si>
  <si>
    <t>ВОЛГАЛОН ЛТД, ООО</t>
  </si>
  <si>
    <t>ВОЛГАНЕФТЕПРОДУКТ, ООО</t>
  </si>
  <si>
    <t>ВОЛГАРЕСУРС, ООО</t>
  </si>
  <si>
    <t>ВОЛГАСТРАП, ООО</t>
  </si>
  <si>
    <t>ВОЛГАТРЕЙД, ООО</t>
  </si>
  <si>
    <t>ВОЛГАЭНЕРГОСБЫТ, АО</t>
  </si>
  <si>
    <t>ВОЛГОГАЗ, АО</t>
  </si>
  <si>
    <t>ВОЛГОГРАДАГРОСНАБ, ООО</t>
  </si>
  <si>
    <t>ВОЛГОГРАДЭНЕРГОСБЫТ, ПАО</t>
  </si>
  <si>
    <t>ВОЛГОТЕХСНАБ, ООО</t>
  </si>
  <si>
    <t>БОРИСХОФ 1, ООО</t>
  </si>
  <si>
    <t>ВОЛГОФАРМ, ГУП</t>
  </si>
  <si>
    <t>ВОЛЖАНИН, ОАО</t>
  </si>
  <si>
    <t>ВОЛЖСКИЙ ОРГСИНТЕЗ, АО</t>
  </si>
  <si>
    <t>ВОЛМА, ООО</t>
  </si>
  <si>
    <t>ВОЛМА-ВОСКРЕСЕНСК, ООО</t>
  </si>
  <si>
    <t>ВОЛОВСКИЙ БРОЙЛЕР, ООО</t>
  </si>
  <si>
    <t>ВОЛОГДАГОРТЕПЛОСЕТЬ, АО</t>
  </si>
  <si>
    <t>ВОЛОГДАОБЛЭНЕРГО, АО</t>
  </si>
  <si>
    <t>ВОЛОГДАСКАН, ООО</t>
  </si>
  <si>
    <t>ВОЛОГОДАВТОДОР, ПАО</t>
  </si>
  <si>
    <t>ВОЛТАЙР-ПРОМ, АО</t>
  </si>
  <si>
    <t>ВОЛХОВЕЦ, ООО ПК</t>
  </si>
  <si>
    <t>ВОЛЬВО КАРС, ООО</t>
  </si>
  <si>
    <t>ВПЭС, МУПВ</t>
  </si>
  <si>
    <t>ВОРКУТАУГОЛЬ, АО</t>
  </si>
  <si>
    <t>ВОРОНЕЖКОМПЛЕКТ, ООО</t>
  </si>
  <si>
    <t>ВОРОНЕЖМАСЛОПРОДУКТ, ООО</t>
  </si>
  <si>
    <t>ВОРОНЕЖСИНТЕЗКАУЧУК, АО</t>
  </si>
  <si>
    <t>ВОРОНЕЖСКАЯ КОНДИТЕРСКАЯ ФАБРИКА, ОАО</t>
  </si>
  <si>
    <t>ВОРОНЕЖСКИЙ ТРАНСФОРМАТОР, ООО</t>
  </si>
  <si>
    <t>ВОРОНЕЖСКИЙ ШАМПИНЬОН, ООО</t>
  </si>
  <si>
    <t>ВОРОНЕЖСКИЙ, ПАО МОЛОЧНЫЙ КОМБИНАТ</t>
  </si>
  <si>
    <t>ВОРОНЕЖСТАЛЬМОСТ, АО</t>
  </si>
  <si>
    <t>ВОСКРЕСЕНСК-ХИМВОЛОКНО, АО</t>
  </si>
  <si>
    <t>ВОСТОК СОЛОД, ООО</t>
  </si>
  <si>
    <t>ВОСТОК, А/С</t>
  </si>
  <si>
    <t>ВОСТОК, ООО</t>
  </si>
  <si>
    <t>ВОСТОК-ЗАПАД, ООО</t>
  </si>
  <si>
    <t>ВОСТОК-ЛИЗИНГ, ООО</t>
  </si>
  <si>
    <t>ВОСТОК-РЕСУРС, ООО ТПК</t>
  </si>
  <si>
    <t>ВОСТОК-С, ООО</t>
  </si>
  <si>
    <t>ВОСТОК-ТРАНЗИТ, ООО</t>
  </si>
  <si>
    <t>ВОСТОКРЫБПРОМ, ООО</t>
  </si>
  <si>
    <t>ВОСТОКХИМВОЛОКНО, АО</t>
  </si>
  <si>
    <t>ВОСТОРГ 52, ООО</t>
  </si>
  <si>
    <t>ВОСТОРГ 61, ООО</t>
  </si>
  <si>
    <t>ВОСТОРГ 76, ООО</t>
  </si>
  <si>
    <t>ВОСТОЧНАЯ ТЕХНИКА, ООО</t>
  </si>
  <si>
    <t>ВОСТОЧНО-УРАЛЬСКИЙ ТЕРМИНАЛ, ООО</t>
  </si>
  <si>
    <t>ВОСТОЧНЫЕ БЕРНИКИ, ООО</t>
  </si>
  <si>
    <t>ВОСТОЧНЫЙ ПОЛЮС, ООО</t>
  </si>
  <si>
    <t>ВОСТОЧНЫЙ ПОРТ, АО</t>
  </si>
  <si>
    <t>ВОСТОЧНЫЙ ЭКСПРЕСС, ООО</t>
  </si>
  <si>
    <t>ВОСТОЧНЫЙ, ООО</t>
  </si>
  <si>
    <t>ВОСТРЯКОВО-2, ООО</t>
  </si>
  <si>
    <t>ВОСХОД, ООО</t>
  </si>
  <si>
    <t>ВОТЕРФОЛЛ ПРО, ООО</t>
  </si>
  <si>
    <t>ВОХТОГАЛЕСДРЕВ, ООО</t>
  </si>
  <si>
    <t>ВОЭ, АО</t>
  </si>
  <si>
    <t>ВСК, ООО</t>
  </si>
  <si>
    <t>ВПК-ОЙЛ, ООО</t>
  </si>
  <si>
    <t>ВПО СТАЛЬ, ООО</t>
  </si>
  <si>
    <t>ВПРОК-СЕРВИС, ООО</t>
  </si>
  <si>
    <t>ВПТ, ООО</t>
  </si>
  <si>
    <t>ВПТ-НЕФТЕМАШ, ООО</t>
  </si>
  <si>
    <t>ВРЗ, АО</t>
  </si>
  <si>
    <t>ВРК, ООО</t>
  </si>
  <si>
    <t>ВРК-1, АО</t>
  </si>
  <si>
    <t>ВРК-2, АО</t>
  </si>
  <si>
    <t>ВРМ, АО</t>
  </si>
  <si>
    <t>ВРП УРАЛ, ООО</t>
  </si>
  <si>
    <t>ВСГЦ, ООО</t>
  </si>
  <si>
    <t>ВСД, ООО</t>
  </si>
  <si>
    <t>ВСИ, АО</t>
  </si>
  <si>
    <t>ВСК, ППК</t>
  </si>
  <si>
    <t>ВСК-НЕФТЕСБЫТ, ООО</t>
  </si>
  <si>
    <t>ВСК-ТРЕЙД, ООО</t>
  </si>
  <si>
    <t>ВСМ-СЕРВИС, ООО</t>
  </si>
  <si>
    <t>ВСР, ООО</t>
  </si>
  <si>
    <t>ВСП, ООО</t>
  </si>
  <si>
    <t>ВТД ТД, ООО</t>
  </si>
  <si>
    <t>ВТЛ, ООО</t>
  </si>
  <si>
    <t>ВТОРАЛЮМИНПРОДУКТ, ООО ПК</t>
  </si>
  <si>
    <t>ВТОРМЕТ, ООО</t>
  </si>
  <si>
    <t>ВТОРМЕТ-БРЯНСК, ООО</t>
  </si>
  <si>
    <t>ВТОРМЕТ-ГАРАНТ, ООО</t>
  </si>
  <si>
    <t>ВТОРОЙ ВЕТРОПАРК ФРВ, ООО</t>
  </si>
  <si>
    <t>ВТОРРЕСУРС-ПЕРЕРАБОТКА, ООО</t>
  </si>
  <si>
    <t>ВТОРЧЕРМЕТ НЛМК ВОЛГА, ООО</t>
  </si>
  <si>
    <t>ВТОРЧЕРМЕТ НЛМК СИБИРЬ, ООО</t>
  </si>
  <si>
    <t>ВТОРЧЕРМЕТ НЛМК УРАЛ, ООО</t>
  </si>
  <si>
    <t>ВТОРЧЕРМЕТ НЛМК ЦЕНТР, ООО</t>
  </si>
  <si>
    <t>ВТОРЧЕРМЕТ НЛМК, ООО</t>
  </si>
  <si>
    <t>ВТОРЧЕРМЕТ, АО</t>
  </si>
  <si>
    <t>ВТС, ООО</t>
  </si>
  <si>
    <t>ВТУ, АО</t>
  </si>
  <si>
    <t>ВУДСТОК, АО</t>
  </si>
  <si>
    <t>ВУДФОКС, ООО</t>
  </si>
  <si>
    <t>ВФД, ООО</t>
  </si>
  <si>
    <t>ВЦМ СЕВЕР, ООО</t>
  </si>
  <si>
    <t>ВЦМ УРАЛ, ООО</t>
  </si>
  <si>
    <t>ВЧ-ГРУПП, ООО</t>
  </si>
  <si>
    <t>ВЫБОР, ООО</t>
  </si>
  <si>
    <t>ВЫБОРЖЕЦ, АО АГРОФИРМА</t>
  </si>
  <si>
    <t>ВЫМПЕЛКОМ, ПАО</t>
  </si>
  <si>
    <t>ВЫСОЧАЙШИЙ, ПАО</t>
  </si>
  <si>
    <t>ВЭЙ-ГРУПП, ООО</t>
  </si>
  <si>
    <t>ВЭЙТ, ООО</t>
  </si>
  <si>
    <t>ВЭК, АО</t>
  </si>
  <si>
    <t>ВЭЛКОРМ, ООО</t>
  </si>
  <si>
    <t>ВЭР, АО</t>
  </si>
  <si>
    <t>ВЯЗЬМА-БРУСИТ, ООО</t>
  </si>
  <si>
    <t>ВЯТАВТОДОР, АО</t>
  </si>
  <si>
    <t>ВЯТСКИЙ ФАНЕРНЫЙ КОМБИНАТ, ООО</t>
  </si>
  <si>
    <t>ГАГАРИНКОНСЕРВМОЛОКО, ЗАО</t>
  </si>
  <si>
    <t>ГАЗИНФОРМСЕРВИС, ООО</t>
  </si>
  <si>
    <t>ГАЗНЕФТЕТРЭЙДИНГ, ООО</t>
  </si>
  <si>
    <t>ГАЗНЕФТЕХОЛДИНГ, ООО</t>
  </si>
  <si>
    <t>ГАЗОЙЛ, ООО</t>
  </si>
  <si>
    <t>ГАЗПРОЕКТИНЖИНИРИНГ, АО</t>
  </si>
  <si>
    <t>ГАЗПРОМ АВИА, ООО АВИАПРЕДПРИЯТИЕ</t>
  </si>
  <si>
    <t>ГАЗПРОМ АВТОМАТИЗАЦИЯ, ПАО</t>
  </si>
  <si>
    <t>ГАЗПРОМ БУРЕНИЕ, ООО</t>
  </si>
  <si>
    <t>ГАЗПРОМ БЫТОВЫЕ СИСТЕМЫ, АО</t>
  </si>
  <si>
    <t>ГАЗПРОМ ВНИИГАЗ, ООО</t>
  </si>
  <si>
    <t>ГАЗПРОМ ГАЗНАДЗОР, ООО</t>
  </si>
  <si>
    <t>ГАЗПРОМ ГАЗОБЕЗОПАСНОСТЬ, ООО</t>
  </si>
  <si>
    <t>ГАЗПРОМ ГАЗОРАСПРЕДЕЛЕНИЕ БЕЛГОРОД, АО</t>
  </si>
  <si>
    <t>ГАЗПРОМ ГАЗОРАСПРЕДЕЛЕНИЕ ВЛАДИМИР, АО</t>
  </si>
  <si>
    <t>ГАЗПРОМ ГАЗОРАСПРЕДЕЛЕНИЕ ВОЛГОГРАД, ООО</t>
  </si>
  <si>
    <t>ГАЗПРОМ ГАЗОРАСПРЕДЕЛЕНИЕ ВОРОНЕЖ, ОАО</t>
  </si>
  <si>
    <t>ГАЗПРОМ ГАЗОРАСПРЕДЕЛЕНИЕ ДАЛЬНИЙ ВОСТОК, АО</t>
  </si>
  <si>
    <t>ГАЗПРОМ ГАЗОРАСПРЕДЕЛЕНИЕ КРАСНОДАР, АО</t>
  </si>
  <si>
    <t>ГАЗПРОМ ГАЗОРАСПРЕДЕЛЕНИЕ ЛЕНИНГРАДСКАЯ ОБЛАСТЬ, АО</t>
  </si>
  <si>
    <t>ГАЗПРОМ ГАЗОРАСПРЕДЕЛЕНИЕ ЛИПЕЦК, АО</t>
  </si>
  <si>
    <t>ГАЗПРОМ ГАЗОРАСПРЕДЕЛЕНИЕ НИЖНИЙ НОВГОРОД, ООО</t>
  </si>
  <si>
    <t>ГАЗПРОМ ГАЗОРАСПРЕДЕЛЕНИЕ ОРЕНБУРГ, АО</t>
  </si>
  <si>
    <t>ГАЗПРОМ ГАЗОРАСПРЕДЕЛЕНИЕ ПЕРМЬ, АО</t>
  </si>
  <si>
    <t>ГАЗПРОМ ГАЗОРАСПРЕДЕЛЕНИЕ РОСТОВ-НА-ДОНУ, ПАО</t>
  </si>
  <si>
    <t>ГАЗПРОМ ГАЗОРАСПРЕДЕЛЕНИЕ СЕВЕР, АО</t>
  </si>
  <si>
    <t>ГАЗПРОМ ГАЗОРАСПРЕДЕЛЕНИЕ СТАВРОПОЛЬ, АО</t>
  </si>
  <si>
    <t>ГАЗПРОМ ГАЗОРАСПРЕДЕЛЕНИЕ ТВЕРЬ, АО</t>
  </si>
  <si>
    <t>ГАЗПРОМ ГАЗОРАСПРЕДЕЛЕНИЕ ТОМСК, ООО</t>
  </si>
  <si>
    <t>ГАЗПРОМ ГАЗОРАСПРЕДЕЛЕНИЕ ТУЛА, АО</t>
  </si>
  <si>
    <t>ГАЗПРОМ ГАЗОРАСПРЕДЕЛЕНИЕ УФА, ПАО</t>
  </si>
  <si>
    <t>ГАЗПРОМ ГАЗОРАСПРЕДЕЛЕНИЕ, АО</t>
  </si>
  <si>
    <t>ГАЗПРОМ ГНП ПРОДАЖИ, ООО</t>
  </si>
  <si>
    <t>ГАЗПРОМ ГНП ХОЛДИНГ, ООО</t>
  </si>
  <si>
    <t>ГАЗПРОМ ДИАГНОСТИКА, АО</t>
  </si>
  <si>
    <t>ГАЗПРОМ ДОБЫЧА АСТРАХАНЬ, ООО</t>
  </si>
  <si>
    <t>ГАЗПРОМ ДОБЫЧА ИРКУТСК, ООО</t>
  </si>
  <si>
    <t>ГАЗПРОМ ДОБЫЧА КРАСНОДАР, ООО</t>
  </si>
  <si>
    <t>ГАЗПРОМ ДОБЫЧА НАДЫМ, ООО</t>
  </si>
  <si>
    <t>ГАЗПРОМ ДОБЫЧА НОЯБРЬСК, ООО</t>
  </si>
  <si>
    <t>ГАЗПРОМ ДОБЫЧА ОРЕНБУРГ, ООО</t>
  </si>
  <si>
    <t>ГАЗПРОМ ДОБЫЧА ТОМСК, АО</t>
  </si>
  <si>
    <t>ГАЗПРОМ ДОБЫЧА УРЕНГОЙ, ООО</t>
  </si>
  <si>
    <t>ГАЗПРОМ ДОБЫЧА ШЕЛЬФ ЮЖНО-САХАЛИНСК, ООО</t>
  </si>
  <si>
    <t>ГАЗПРОМ ДОБЫЧА ЯМБУРГ, ООО</t>
  </si>
  <si>
    <t>ГАЗПРОМ ИНВЕСТ, ООО</t>
  </si>
  <si>
    <t>ГАЗПРОМ ИНВЕСТГАЗИФИКАЦИЯ, ООО</t>
  </si>
  <si>
    <t>ГАЗПРОМ ИНФОРМ, ООО</t>
  </si>
  <si>
    <t>ГАЗПРОМ КАПИТАЛ, ООО</t>
  </si>
  <si>
    <t>ГАЗПРОМ КОМПЛЕКТАЦИЯ, ООО</t>
  </si>
  <si>
    <t>ГАЗПРОМ МЕЖРЕГИОНГАЗ АСТРАХАНЬ, ООО</t>
  </si>
  <si>
    <t>ГАЗПРОМ МЕЖРЕГИОНГАЗ БЕЛГОРОД, ООО</t>
  </si>
  <si>
    <t>ГАЗПРОМ МЕЖРЕГИОНГАЗ БРЯНСК, ООО</t>
  </si>
  <si>
    <t>ГАЗПРОМ МЕЖРЕГИОНГАЗ ВЕЛИКИЙ НОВГОРОД, ООО</t>
  </si>
  <si>
    <t>ГАЗПРОМ МЕЖРЕГИОНГАЗ ВЛАДИКАВКАЗ, ООО</t>
  </si>
  <si>
    <t>ГАЗПРОМ МЕЖРЕГИОНГАЗ ВЛАДИМИР, ООО</t>
  </si>
  <si>
    <t>ГАЗПРОМ МЕЖРЕГИОНГАЗ ВОЛГОГРАД, ООО</t>
  </si>
  <si>
    <t>ГАЗПРОМ МЕЖРЕГИОНГАЗ ВОЛОГДА, ООО</t>
  </si>
  <si>
    <t>ГАЗПРОМ МЕЖРЕГИОНГАЗ ВОРОНЕЖ, ООО</t>
  </si>
  <si>
    <t>ГАЗПРОМ МЕЖРЕГИОНГАЗ ГРОЗНЫЙ, ООО</t>
  </si>
  <si>
    <t>ГАЗПРОМ МЕЖРЕГИОНГАЗ ДАЛЬНИЙ ВОСТОК, ООО</t>
  </si>
  <si>
    <t>ГАЗПРОМ МЕЖРЕГИОНГАЗ ИВАНОВО, ООО</t>
  </si>
  <si>
    <t>ГАЗПРОМ МЕЖРЕГИОНГАЗ ИЖЕВСК, ООО</t>
  </si>
  <si>
    <t>ГАЗПРОМ МЕЖРЕГИОНГАЗ ЙОШКАР-ОЛА, ООО</t>
  </si>
  <si>
    <t>ГАЗПРОМ МЕЖРЕГИОНГАЗ КАЗАНЬ, АО</t>
  </si>
  <si>
    <t>ГАЗПРОМ МЕЖРЕГИОНГАЗ КАЛУГА, ООО</t>
  </si>
  <si>
    <t>ГАЗПРОМ МЕЖРЕГИОНГАЗ КЕМЕРОВО, ООО</t>
  </si>
  <si>
    <t>ГАЗПРОМ МЕЖРЕГИОНГАЗ КИРОВ, ООО</t>
  </si>
  <si>
    <t>ГАЗПРОМ МЕЖРЕГИОНГАЗ КРАСНОДАР, ООО</t>
  </si>
  <si>
    <t>ГАЗПРОМ МЕЖРЕГИОНГАЗ КУРГАН, ООО</t>
  </si>
  <si>
    <t>ГАЗПРОМ МЕЖРЕГИОНГАЗ КУРСК, ООО</t>
  </si>
  <si>
    <t>ГАЗПРОМ МЕЖРЕГИОНГАЗ ЛИПЕЦК, ООО</t>
  </si>
  <si>
    <t>ГАЗПРОМ МЕЖРЕГИОНГАЗ МАЙКОП, ООО</t>
  </si>
  <si>
    <t>ГАЗПРОМ МЕЖРЕГИОНГАЗ МАХАЧКАЛА, ООО</t>
  </si>
  <si>
    <t>ГАЗПРОМ МЕЖРЕГИОНГАЗ МОСКВА, ООО</t>
  </si>
  <si>
    <t>ГАЗПРОМ МЕЖРЕГИОНГАЗ НАЛЬЧИК, ООО</t>
  </si>
  <si>
    <t>ГАЗПРОМ МЕЖРЕГИОНГАЗ НИЖНИЙ НОВГОРОД, АО</t>
  </si>
  <si>
    <t>ГАЗПРОМ МЕЖРЕГИОНГАЗ НОВОСИБИРСК, ООО</t>
  </si>
  <si>
    <t>ГАЗПРОМ МЕЖРЕГИОНГАЗ ОМСК, ООО</t>
  </si>
  <si>
    <t>ГАЗПРОМ МЕЖРЕГИОНГАЗ ОРЁЛ, ООО</t>
  </si>
  <si>
    <t>ГАЗПРОМ МЕЖРЕГИОНГАЗ ОРЕНБУРГ, ООО</t>
  </si>
  <si>
    <t>ГАЗПРОМ МЕЖРЕГИОНГАЗ ПЕНЗА, ООО</t>
  </si>
  <si>
    <t>ГАЗПРОМ МЕЖРЕГИОНГАЗ ПЕРМЬ, ООО</t>
  </si>
  <si>
    <t>ГАЗПРОМ МЕЖРЕГИОНГАЗ ПСКОВ, ООО</t>
  </si>
  <si>
    <t>ГАЗПРОМ МЕЖРЕГИОНГАЗ РОСТОВ-НА-ДОНУ, ООО</t>
  </si>
  <si>
    <t>ГАЗПРОМ МЕЖРЕГИОНГАЗ РЯЗАНЬ, ООО</t>
  </si>
  <si>
    <t>ГАЗПРОМ МЕЖРЕГИОНГАЗ САМАРА, ООО</t>
  </si>
  <si>
    <t>ГАЗПРОМ МЕЖРЕГИОНГАЗ САНКТ-ПЕТЕРБУРГ, ООО</t>
  </si>
  <si>
    <t>ГАЗПРОМ МЕЖРЕГИОНГАЗ САРАНСК, ООО</t>
  </si>
  <si>
    <t>ГАЗПРОМ МЕЖРЕГИОНГАЗ САРАТОВ, ООО</t>
  </si>
  <si>
    <t>ГАЗПРОМ МЕЖРЕГИОНГАЗ СЕВЕР, ООО</t>
  </si>
  <si>
    <t>ГАЗПРОМ МЕЖРЕГИОНГАЗ СМОЛЕНСК, ООО</t>
  </si>
  <si>
    <t>ГАЗПРОМ МЕЖРЕГИОНГАЗ СТАВРОПОЛЬ, ООО</t>
  </si>
  <si>
    <t>ГАЗПРОМ МЕЖРЕГИОНГАЗ ТАМБОВ, ООО</t>
  </si>
  <si>
    <t>ГАЗПРОМ МЕЖРЕГИОНГАЗ ТВЕРЬ, ООО</t>
  </si>
  <si>
    <t>ГАЗПРОМ МЕЖРЕГИОНГАЗ ТУЛА, ООО</t>
  </si>
  <si>
    <t>ГАЗПРОМ МЕЖРЕГИОНГАЗ УЛЬЯНОВСК, ООО</t>
  </si>
  <si>
    <t>ГАЗПРОМ МЕЖРЕГИОНГАЗ УФА, ООО</t>
  </si>
  <si>
    <t>ГАЗПРОМ МЕЖРЕГИОНГАЗ УХТА, ООО</t>
  </si>
  <si>
    <t>ГАЗПРОМ МЕЖРЕГИОНГАЗ ЧЕБОКСАРЫ, ООО</t>
  </si>
  <si>
    <t>ГАЗПРОМ МЕЖРЕГИОНГАЗ ЧЕРКЕССК, ООО</t>
  </si>
  <si>
    <t>ГАЗПРОМ МЕЖРЕГИОНГАЗ ЯРОСЛАВЛЬ, ООО</t>
  </si>
  <si>
    <t>ГАЗПРОМ МЕЖРЕГИОНГАЗ, ООО</t>
  </si>
  <si>
    <t>ГАЗПРОМ МЕТАНОЛ, ООО</t>
  </si>
  <si>
    <t>ГАЗПРОМ МОРСКИЕ ПРОЕКТЫ, ООО</t>
  </si>
  <si>
    <t>ГАЗПРОМ НЕДРА, ООО</t>
  </si>
  <si>
    <t>ГАЗПРОМ НЕФТЕХИМ САЛАВАТ, ООО</t>
  </si>
  <si>
    <t>ГАЗПРОМ ПЕРЕРАБОТКА, ООО</t>
  </si>
  <si>
    <t>ГАЗПРОМ ПИТАНИЕ, ООО</t>
  </si>
  <si>
    <t>ГАЗПРОМ ПОДЗЕМРЕМОНТ УРЕНГОЙ, ООО</t>
  </si>
  <si>
    <t>ГАЗПРОМ ПРОЕКТИРОВАНИЕ, ООО</t>
  </si>
  <si>
    <t>ГАЗПРОМ СПГ ПОРТОВАЯ, ООО</t>
  </si>
  <si>
    <t>ГАЗПРОМ СТРОЙТЭК, ООО</t>
  </si>
  <si>
    <t>ГАЗПРОМ ТЕЛЕКОМ, ООО</t>
  </si>
  <si>
    <t>ГАЗПРОМ ТЕПЛОЭНЕРГО ВОЛОГДА, ООО</t>
  </si>
  <si>
    <t>ГАЗПРОМ ТЕПЛОЭНЕРГО МО, ООО</t>
  </si>
  <si>
    <t>ГАЗПРОМ ТРАНСГАЗ ВОЛГОГРАД, ООО</t>
  </si>
  <si>
    <t>ГАЗПРОМ ТРАНСГАЗ ЕКАТЕРИНБУРГ, ООО</t>
  </si>
  <si>
    <t>ГАЗПРОМ ТРАНСГАЗ КАЗАНЬ, ООО</t>
  </si>
  <si>
    <t>ГАЗПРОМ ТРАНСГАЗ КРАСНОДАР, ООО</t>
  </si>
  <si>
    <t>ГАЗПРОМ ТРАНСГАЗ МАХАЧКАЛА, ООО</t>
  </si>
  <si>
    <t>ГАЗПРОМ ТРАНСГАЗ САМАРА, ООО</t>
  </si>
  <si>
    <t>ГАЗПРОМ ТРАНСГАЗ САНКТ-ПЕТЕРБУРГ, ООО</t>
  </si>
  <si>
    <t>ГАЗПРОМ ТРАНСГАЗ САРАТОВ, ООО</t>
  </si>
  <si>
    <t>ГАЗПРОМ ТРАНСГАЗ СТАВРОПОЛЬ, ООО</t>
  </si>
  <si>
    <t>ГАЗПРОМ ТРАНСГАЗ СУРГУТ, ООО</t>
  </si>
  <si>
    <t>ГАЗПРОМ ТРАНСГАЗ ТОМСК, ООО</t>
  </si>
  <si>
    <t>ГАЗПРОМ ТРАНСГАЗ УФА, ООО</t>
  </si>
  <si>
    <t>ГАЗПРОМ ТРАНСГАЗ УХТА, ООО</t>
  </si>
  <si>
    <t>ГАЗПРОМ ТРАНСГАЗ ЧАЙКОВСКИЙ, ООО</t>
  </si>
  <si>
    <t>ГАЗПРОМ ТРАНСГАЗ ЮГОРСК, ООО</t>
  </si>
  <si>
    <t>ГАЗПРОМ ТРУБИНВЕСТ, АО</t>
  </si>
  <si>
    <t>ГАЗПРОМ ФЛОТ, ООО</t>
  </si>
  <si>
    <t>ГАЗПРОМ ШЕЛЬФПРОЕКТ, АО</t>
  </si>
  <si>
    <t>ГАЗПРОМ ЭКСПОРТ, ООО</t>
  </si>
  <si>
    <t>ГАЗПРОМ ЭНЕРГО, ООО</t>
  </si>
  <si>
    <t>ГАЗПРОМ ЮРГМ ДЕВЕЛОПМЕНТ, АО</t>
  </si>
  <si>
    <t>ГАЗПРОМ ЮРГМ ТРЕЙДИНГ, АО</t>
  </si>
  <si>
    <t>ГАЗПРОМ, ОКДЦ ПАО</t>
  </si>
  <si>
    <t>ГАЗПРОМ, ПАО</t>
  </si>
  <si>
    <t>ГАЗПРОМБАНК АВТОЛИЗИНГ, ООО</t>
  </si>
  <si>
    <t>ГАЗПРОМБАНК ЛИЗИНГ, АО</t>
  </si>
  <si>
    <t>ГАЗПРОМБАНК ЛИЗИНГ, ООО</t>
  </si>
  <si>
    <t>ГАЗПРОМНЕФТЬ ИТО, ООО</t>
  </si>
  <si>
    <t>ГАЗПРОМНЕФТЬ НТЦ, ООО</t>
  </si>
  <si>
    <t>ГАЗПРОМНЕФТЬ ЭНЕРГОСИСТЕМЫ, ООО</t>
  </si>
  <si>
    <t>ГАЗПРОМНЕФТЬ-АВТОМАТИЗАЦИЯ, ООО</t>
  </si>
  <si>
    <t>ГАЗПРОМНЕФТЬ-ВОСТОК, ООО</t>
  </si>
  <si>
    <t>ГАЗПРОМНЕФТЬ-ЗАПОЛЯРЬЕ, ООО</t>
  </si>
  <si>
    <t>ГАЗПРОМНЕФТЬ-ННГГФ, ООО</t>
  </si>
  <si>
    <t>ГАЗПРОМНЕФТЬ-ННГ, АО</t>
  </si>
  <si>
    <t>ГАЗПРОМНЕФТЬ-ОРЕНБУРГ, ООО</t>
  </si>
  <si>
    <t>ГАЗПРОМНЕФТЬ-ХАНТОС, ООО</t>
  </si>
  <si>
    <t>ГАЗПРОМНЕФТЬ-ЦР, ООО</t>
  </si>
  <si>
    <t>ГАЗПРОМНЕФТЬ-ЭНЕРГОСЕРВИС, ООО</t>
  </si>
  <si>
    <t>ГАЗПРОМНЕФТЬ-ЯМАЛ, ООО</t>
  </si>
  <si>
    <t>ГАЗПРОМТРАНС, ООО</t>
  </si>
  <si>
    <t>ГАЗСНАБИНВЕСТ, ООО</t>
  </si>
  <si>
    <t>ГАЗСТРОЙ, ООО</t>
  </si>
  <si>
    <t>ГАЗСТРОЙДЕТАЛЬ, АО</t>
  </si>
  <si>
    <t>ГАЗСТРОЙПРОЕКТ, АО</t>
  </si>
  <si>
    <t>ГАЗСТРОЙПРОМ, АО</t>
  </si>
  <si>
    <t>ГАЗТРАНССЕРВИС, ООО</t>
  </si>
  <si>
    <t>ГАЗЭКС, АО</t>
  </si>
  <si>
    <t>ГАЗПРОМ ЭНЕРГОСБЫТ, АО</t>
  </si>
  <si>
    <t>ГАЗЭНЕРГОСЕРВИС, АО</t>
  </si>
  <si>
    <t>ГАЗПРОМ ЭНЕРГОСБЫТ ТЮМЕНЬ, АО</t>
  </si>
  <si>
    <t>ГАЙСКИЙ ГОК, ПАО</t>
  </si>
  <si>
    <t>ГАЗПРОМ ЭНЕРГОСБЫТ БРЯНСК, ООО</t>
  </si>
  <si>
    <t>ГАЛА-ФОРМ, АО</t>
  </si>
  <si>
    <t>ГАЛАКТИКА, ООО</t>
  </si>
  <si>
    <t>ГАЛАКТИКА, ООО СПЕЦИАЛИЗИРОВАННЫЙ ЗАСТРОЙЩИК</t>
  </si>
  <si>
    <t>ГАЛАСТОР, ООО</t>
  </si>
  <si>
    <t>ГАЛЕРЕЯ-АЛЕКС, ООО</t>
  </si>
  <si>
    <t>ГАММА ТД, АО</t>
  </si>
  <si>
    <t>ГАММИ, ЗАО ПО</t>
  </si>
  <si>
    <t>БОРИСХОФ Т, ООО</t>
  </si>
  <si>
    <t>ГАРАНТ АВТО, ООО</t>
  </si>
  <si>
    <t>ГАРАНТ, ЗАО НПО</t>
  </si>
  <si>
    <t>ГАРАНТ, ООО</t>
  </si>
  <si>
    <t>ГАРАНТ-СВ, ООО</t>
  </si>
  <si>
    <t>ГАРМЕТ, ООО</t>
  </si>
  <si>
    <t>ГАРМОНИЯ, ООО</t>
  </si>
  <si>
    <t>ГАРМОНИЯ, ООО ПКФ</t>
  </si>
  <si>
    <t>ГАРТ, ООО</t>
  </si>
  <si>
    <t>ГАС, ООО</t>
  </si>
  <si>
    <t>ГАУФ РУС, ООО</t>
  </si>
  <si>
    <t>ГВАРДИОЛА, АО</t>
  </si>
  <si>
    <t>ГВАРДИЯ, ООО</t>
  </si>
  <si>
    <t>ГВСУ ЦЕНТР, АО ХК</t>
  </si>
  <si>
    <t>ГДК БЕРЕЛЕХ, АО</t>
  </si>
  <si>
    <t>ГЕА РЕФРИЖЕРЕЙШН РУС, ООО</t>
  </si>
  <si>
    <t>ГЕА ФАРМ ТЕХНОЛОДЖИЗ РУС, ООО</t>
  </si>
  <si>
    <t>ГЕДЕОН РИХТЕР ФАРМА, ООО</t>
  </si>
  <si>
    <t>ГЕКСА-НЕТКАНЫЕ МАТЕРИАЛЫ, ООО</t>
  </si>
  <si>
    <t>ГЕЛИОС ПЛЮС, ООО</t>
  </si>
  <si>
    <t>ГЕНПОДРЯД, ООО</t>
  </si>
  <si>
    <t>ГЕНПОДРЯДНЫЙ СТРОИТЕЛЬНЫЙ ТРЕСТ №3, ООО</t>
  </si>
  <si>
    <t>ГЕОИЗОЛ, ООО</t>
  </si>
  <si>
    <t>ГЕОКС РУС, ООО</t>
  </si>
  <si>
    <t>ГЕОЛАЙН, ООО</t>
  </si>
  <si>
    <t>ГЕОПРОГРЕСС, ООО</t>
  </si>
  <si>
    <t>ВОЗРОЖДЕНИЕ, ООО</t>
  </si>
  <si>
    <t>ГЕОРГИЕВСКИЙ, ООО</t>
  </si>
  <si>
    <t>ГЕОС, ООО</t>
  </si>
  <si>
    <t>ГЕОСТРОЙ, ООО</t>
  </si>
  <si>
    <t>ГЕОТЕК СЕЙСМОРАЗВЕДКА, ПАО</t>
  </si>
  <si>
    <t>ГЕРА, ООО ФИРМА</t>
  </si>
  <si>
    <t>ГЕРКУЛЕС-СИБИРЬ, ООО</t>
  </si>
  <si>
    <t>ГЕРМЕС, ООО</t>
  </si>
  <si>
    <t>ГЕСС? СИАЙЭС, ООО</t>
  </si>
  <si>
    <t>ГЕФЕСТ АГРО, ООО</t>
  </si>
  <si>
    <t>ГИАГИНСКИЙ, ОАО МОЛЗАВОД</t>
  </si>
  <si>
    <t>ГИДРОМАШСЕРВИС, АО</t>
  </si>
  <si>
    <t>ГИДРОРЕМОНТ-ВКК, АО</t>
  </si>
  <si>
    <t>ГИДРОСТРОЙ, АО</t>
  </si>
  <si>
    <t>ГИЛК, АО</t>
  </si>
  <si>
    <t>ГИПЕР, ООО</t>
  </si>
  <si>
    <t>ГИПЕРГЛОБУС, ООО</t>
  </si>
  <si>
    <t>ГИПРОТРУБОПРОВОД, АО</t>
  </si>
  <si>
    <t>ГИПРОТЮМЕННЕФТЕГАЗ, ПАО</t>
  </si>
  <si>
    <t>ГИРД-АВТОФУРГОН, ООО</t>
  </si>
  <si>
    <t>ГИРЕЙ-САХАР, ООО</t>
  </si>
  <si>
    <t>ГИФТ, ООО</t>
  </si>
  <si>
    <t>ГК АККОРД, ЗАО</t>
  </si>
  <si>
    <t>ГК АТЛАНТИС, ООО</t>
  </si>
  <si>
    <t>ГК БИЗНЕС ПАРТНЕР, ООО</t>
  </si>
  <si>
    <t>ГК ВЕРТИКАЛЬ, ООО</t>
  </si>
  <si>
    <t>ГК ГРАНИТ, ООО</t>
  </si>
  <si>
    <t>ГК ДАРНИЦА, ООО</t>
  </si>
  <si>
    <t>ГК ЕКС, АО</t>
  </si>
  <si>
    <t>ГК ИННОТЕХ, ООО</t>
  </si>
  <si>
    <t>ГК МЕГА ХОЛОД, ООО</t>
  </si>
  <si>
    <t>ГК МОНОЛИТ, АО</t>
  </si>
  <si>
    <t>ГК НОВОТРАНС, ООО</t>
  </si>
  <si>
    <t>ГК ОСНОВА, АО</t>
  </si>
  <si>
    <t>ГК ПАТ, ООО</t>
  </si>
  <si>
    <t>ГК РОСМОЛ, АО</t>
  </si>
  <si>
    <t>ГК САМОЛЕТ, ПАО</t>
  </si>
  <si>
    <t>ГК СБСВ-КЛЮЧАВТО, ООО</t>
  </si>
  <si>
    <t>ГК СЕВЕРАВТОДОР, АО</t>
  </si>
  <si>
    <t>ГК СИБИРЬЭНЕРГОИНЖИНИРИНГ, ООО</t>
  </si>
  <si>
    <t>ГК СПА, ООО</t>
  </si>
  <si>
    <t>ГК СТТ, АО</t>
  </si>
  <si>
    <t>ГК СЭТ, ООО</t>
  </si>
  <si>
    <t>ГК ТСС, ООО</t>
  </si>
  <si>
    <t>ГК УЛК, ООО</t>
  </si>
  <si>
    <t>ГК ЭЛЬФ, ООО</t>
  </si>
  <si>
    <t>ГК ЭТАЛОН, АО</t>
  </si>
  <si>
    <t>ГК ЮНИКОМ, ООО</t>
  </si>
  <si>
    <t>ГКЗ, ООО</t>
  </si>
  <si>
    <t>ГКУМП, ООО</t>
  </si>
  <si>
    <t>ГЛ ИНЖИНИРИНГ, ООО</t>
  </si>
  <si>
    <t>ГЛАВКАПСТРОЙ, ООО</t>
  </si>
  <si>
    <t>ГЛАВМАЗТОРГ, ООО</t>
  </si>
  <si>
    <t>ГЛАВНАЯ ДОРОГА, АО</t>
  </si>
  <si>
    <t>ГЛАВНАЯ ЛИНИЯ, ООО</t>
  </si>
  <si>
    <t>ГЛАВНОВОСИБИРСКСТРОЙ, АО</t>
  </si>
  <si>
    <t>ГЛАВРЫБТРЕСТ, ООО</t>
  </si>
  <si>
    <t>ГЛАВСТРОЙ-СПБ СПЕЦИАЛИЗИРОВАННЫЙ ЗАСТРОЙЩИК, ООО</t>
  </si>
  <si>
    <t>ГЛАВУПДК ПРИ МИД РОССИИ</t>
  </si>
  <si>
    <t>ГЛАВЭНЕРГО, ООО</t>
  </si>
  <si>
    <t>ГЛАВЭНЕРГОСБЫТ, ООО</t>
  </si>
  <si>
    <t>ГЛАКСОСМИТКЛЯЙН ТРЕЙДИНГ, АО</t>
  </si>
  <si>
    <t>ГЛАКСОСМИТКЛЯЙН ХЕЛСКЕР, АО</t>
  </si>
  <si>
    <t>ГЛИЦЕРИН СОЛЮШЕН, ООО</t>
  </si>
  <si>
    <t>ГЛОБАЛ МЕДИА СОЛЮШЕНС, ООО</t>
  </si>
  <si>
    <t>ГЛОБАЛ ТРАК СЕЙЛС, ООО</t>
  </si>
  <si>
    <t>ГЛОБАЛ ТРАК СЕРВИС, ООО</t>
  </si>
  <si>
    <t>ГЛОБАЛ ТРЕЙД, ООО</t>
  </si>
  <si>
    <t>ГЛОБАЛ ФАНКШНЛ ДРИНКС РУС, ООО</t>
  </si>
  <si>
    <t>ГЛОБАЛ ФАРМА, ООО</t>
  </si>
  <si>
    <t>ГЛОБАЛ-МАРКЕТ, ООО</t>
  </si>
  <si>
    <t>ГЛОБАЛВИТ, ООО</t>
  </si>
  <si>
    <t>ГЛОБАЛСТРОЙТЕХ, ООО</t>
  </si>
  <si>
    <t>ГЛОБАЛТРАК ЛОДЖИСТИК, ООО</t>
  </si>
  <si>
    <t>ГЛОБУС МАРКЕТ, ООО</t>
  </si>
  <si>
    <t>ГЛОБУС, ООО</t>
  </si>
  <si>
    <t>ГЛОБУС-ПРЕСС ХХI, ООО</t>
  </si>
  <si>
    <t>ГЛОБУС-СТАЛЬ, ООО</t>
  </si>
  <si>
    <t>ГЛОВИС РУС, ООО</t>
  </si>
  <si>
    <t>ГЛОРИЯ ДЖИНС, АО</t>
  </si>
  <si>
    <t>ГЛОУБАЙТ АНАЛИТИЧЕСКИЕ РЕШЕНИЯ, ООО</t>
  </si>
  <si>
    <t>ГЛТ МОСКВА, ООО</t>
  </si>
  <si>
    <t>ГМЗ ЛИСКИНСКИЙ, ООО</t>
  </si>
  <si>
    <t>ГМК ДАЛЬПОЛИМЕТАЛЛ, АО</t>
  </si>
  <si>
    <t>ГМС НЕФТЕМАШ, АО</t>
  </si>
  <si>
    <t>ГНИВЦ, АО</t>
  </si>
  <si>
    <t>ГНП СЕТЬ, ООО</t>
  </si>
  <si>
    <t>ГНС, ООО</t>
  </si>
  <si>
    <t>ГОДОВАЛОВ, ООО</t>
  </si>
  <si>
    <t>ГОЗНАК, АО</t>
  </si>
  <si>
    <t>ГОК ДЕНИСОВСКИЙ, АО</t>
  </si>
  <si>
    <t>ГОК ИНАГЛИНСКИЙ, АО</t>
  </si>
  <si>
    <t>ГОЛД ГРЕЙН, ООО</t>
  </si>
  <si>
    <t>ГОЛДЕР-ЭЛЕКТРОНИКС, ООО</t>
  </si>
  <si>
    <t>ГОЛЬФСТРИМ, ООО</t>
  </si>
  <si>
    <t>ГОР, ООО</t>
  </si>
  <si>
    <t>ГОР-СТРОЙ, ООО СПЕЦИАЛИЗИРОВАННЫЙ ЗАСТРОЙЩИК</t>
  </si>
  <si>
    <t>ГОРВОДОКАНАЛ, МУП Г. НОВОСИБИРСКА</t>
  </si>
  <si>
    <t>ГОРДИУМ, ООО</t>
  </si>
  <si>
    <t>ГОРЕВСКИЙ ГОК, АО</t>
  </si>
  <si>
    <t>ГОРЕНЬЕ БТ, ООО</t>
  </si>
  <si>
    <t>ГОРИЗОНТ, АО СК</t>
  </si>
  <si>
    <t>ГОРИЗОНТ, ООО</t>
  </si>
  <si>
    <t>ГОРКА, ООО</t>
  </si>
  <si>
    <t>ГОРНАЯ ЕВРАЗИЯ, ООО</t>
  </si>
  <si>
    <t>ГОРНО-АЛТАЙСК НЕФТЕПРОДУКТ, ООО</t>
  </si>
  <si>
    <t>ГОРНОЗАВОДСКЦЕМЕНТ, ООО</t>
  </si>
  <si>
    <t>ГОРНЯК-1, ООО</t>
  </si>
  <si>
    <t>ГОРОД 77, ООО</t>
  </si>
  <si>
    <t>ГОРОД, АО</t>
  </si>
  <si>
    <t>ГОРОДЕЦКИЙ МЗ, АО</t>
  </si>
  <si>
    <t>ГОРОДСКОЙ СУПЕРМАРКЕТ, ООО</t>
  </si>
  <si>
    <t>ГОРТРАНС, ЕМУП</t>
  </si>
  <si>
    <t>ГОРЭЛЕКТРОСЕТЬ, АО</t>
  </si>
  <si>
    <t>ГОСКОРПОРАЦИЯ ПО ОРВД, ФГУП</t>
  </si>
  <si>
    <t>ГОССЕЛАЙН ЛОГИСТИКС, ООО</t>
  </si>
  <si>
    <t>ГОСУДАРЕВ АМБАР, ООО</t>
  </si>
  <si>
    <t>ГОТЭК СЕВЕРО-ЗАПАД, АО</t>
  </si>
  <si>
    <t>ГОТЭК, АО</t>
  </si>
  <si>
    <t>ГОТЭК-ПОЛИПАК, АО</t>
  </si>
  <si>
    <t>ГОТЭК-ЦЕНТР, АО</t>
  </si>
  <si>
    <t>ГОФРОМАСТЕР, ООО КОМПАНИЯ</t>
  </si>
  <si>
    <t>ГОФРОТАРА, ООО</t>
  </si>
  <si>
    <t>ГП РАД, АО</t>
  </si>
  <si>
    <t>ГП-МФС, ООО</t>
  </si>
  <si>
    <t>ГПА ИНЖИНИРИНГ, ООО</t>
  </si>
  <si>
    <t>ГПБ РАЗВИТИЕ АКТИВОВ, ООО</t>
  </si>
  <si>
    <t>ГПБ-МЕТАЛЛИНВЕСТ, ООО</t>
  </si>
  <si>
    <t>ГПБ-ФАКТОРИНГ, ООО</t>
  </si>
  <si>
    <t>ГПК, АО</t>
  </si>
  <si>
    <t>ГПН-РАЗВИТИЕ, ООО</t>
  </si>
  <si>
    <t>ГПП РЕТКОН, ЗАО</t>
  </si>
  <si>
    <t>ГПФК, АО</t>
  </si>
  <si>
    <t>ГРАЙФ ПЕРМЬ, ООО</t>
  </si>
  <si>
    <t>ГРАМОТА, ООО</t>
  </si>
  <si>
    <t>ГРАНД ЛАЙН-СЗ, ООО</t>
  </si>
  <si>
    <t>ГРАНД ЛАЙН-ЦЕНТР, ООО</t>
  </si>
  <si>
    <t>ГРАНД СЕРВИС ЭКСПРЕСС, АО ТК</t>
  </si>
  <si>
    <t>ГРАНД-СТАР, ООО</t>
  </si>
  <si>
    <t>ГРАНД-ЧЕТРА, ООО</t>
  </si>
  <si>
    <t>ГКС, ООО НПП</t>
  </si>
  <si>
    <t>ГРАНДТОРГ, ООО</t>
  </si>
  <si>
    <t>ГРАНИ ТАГАНАЯ, ООО</t>
  </si>
  <si>
    <t>ГРАНИТ, ООО ДСК</t>
  </si>
  <si>
    <t>ГРАНОЛЮКС, ООО</t>
  </si>
  <si>
    <t>ГРАНТ СТРОЙ, ООО</t>
  </si>
  <si>
    <t>ГРАНТОРГ, ООО</t>
  </si>
  <si>
    <t>ГРАНУЛА, ООО</t>
  </si>
  <si>
    <t>ГРАНЬ, ООО</t>
  </si>
  <si>
    <t>ГРАСС, ООО</t>
  </si>
  <si>
    <t>ГРЕЙН ГЕЙТС, ООО</t>
  </si>
  <si>
    <t>ГРЕЙН СЕРВИС, ООО</t>
  </si>
  <si>
    <t>ГРЕЙНРУС ТРЕЙД, ООО</t>
  </si>
  <si>
    <t>ГРЕЙНРУС, ООО</t>
  </si>
  <si>
    <t>ГРИБНАЯ РАДУГА, ООО</t>
  </si>
  <si>
    <t>ГРИММЕ-РУСЬ, ООО</t>
  </si>
  <si>
    <t>ГРИН РЭЙ КУБАНЬ, ООО</t>
  </si>
  <si>
    <t>ГРИНАТОМ, АО</t>
  </si>
  <si>
    <t>ГРИНДЕКС РУС, ООО</t>
  </si>
  <si>
    <t>ГРИНЛАЙТ, ООО</t>
  </si>
  <si>
    <t>ГРИНФИЛДС-ЛОГИСТИКА, ООО</t>
  </si>
  <si>
    <t>ГРИФОН, ООО</t>
  </si>
  <si>
    <t>ГРИФФИН ТЕХНОЛОДЖИ, ООО</t>
  </si>
  <si>
    <t>ГРИЦ, АО</t>
  </si>
  <si>
    <t>ГРК АИР, АО</t>
  </si>
  <si>
    <t>ГРК БЫСТРИНСКОЕ, ООО</t>
  </si>
  <si>
    <t>ГРОЗГРАЖДАНСТРОЙ, ООО</t>
  </si>
  <si>
    <t>ГРОСС, ООО</t>
  </si>
  <si>
    <t>ГРОЭ, ООО</t>
  </si>
  <si>
    <t>ГРС, ООО</t>
  </si>
  <si>
    <t>ГРУЗОВАЯ КОМПАНИЯ, ООО</t>
  </si>
  <si>
    <t>ГРУППА БРИНЭКС, ООО</t>
  </si>
  <si>
    <t>ГРУППА ГРИН РЭЙ, ООО</t>
  </si>
  <si>
    <t>ГРУППА ИЛИМ, АО</t>
  </si>
  <si>
    <t>ГРУППА КОМПАНИЙ 1520, ООО</t>
  </si>
  <si>
    <t>ГРУППА КОМПАНИЙ ДЕМИДОВ, ООО</t>
  </si>
  <si>
    <t>ГРУППА КОМПАНИЙ МЕГА-АВТО, ООО</t>
  </si>
  <si>
    <t>ГРУППА КОМПАНИЙ МЕДСИ, АО</t>
  </si>
  <si>
    <t>ГРУППА КОМПАНИЙ ПРОВИАНТ, ООО</t>
  </si>
  <si>
    <t>ГРУППА КОМПАНИЙ ПТИ, ООО</t>
  </si>
  <si>
    <t>ГРУППА КОМПАНИЙ РУСАГРО, ООО</t>
  </si>
  <si>
    <t>ГРУППА КОМПАНИЙ СТИС, ООО</t>
  </si>
  <si>
    <t>ГРУППА ЛАДОГА, ООО</t>
  </si>
  <si>
    <t>ГРУППА ЛСР, ПАО</t>
  </si>
  <si>
    <t>ГРУППА МЕДИАЛАЙН, ООО</t>
  </si>
  <si>
    <t>ГРУППА ОРГСИНТЕЗ, АО</t>
  </si>
  <si>
    <t>ГРУППА ПРОДОВОЛЬСТВИЕ, ООО</t>
  </si>
  <si>
    <t>ГРУППА СЕБ-ВОСТОК, ЗАО</t>
  </si>
  <si>
    <t>ГРУППА СИНАРА, АО</t>
  </si>
  <si>
    <t>ГРУППА ТЕПЛОЛЮКС, ООО</t>
  </si>
  <si>
    <t>ГРУППА ТЕХНОКОМ, ООО</t>
  </si>
  <si>
    <t>ГРУПФОРМЕДИА, ООО</t>
  </si>
  <si>
    <t>ГРЭЙТ ФУДЗ ИНК., ООО</t>
  </si>
  <si>
    <t>ГРЮНВАЛЬД, ООО</t>
  </si>
  <si>
    <t>ГРЯЗИНСКИЙ САХАРНЫЙ ЗАВОД, ЗАО</t>
  </si>
  <si>
    <t>ГС КОНСТРАКШЕН, ООО</t>
  </si>
  <si>
    <t>ГСК КРАСНЫЙ ТРЕУГОЛЬНИК, ООО</t>
  </si>
  <si>
    <t>ГСП РЕМОНТ, ООО</t>
  </si>
  <si>
    <t>ГСП-1, ООО</t>
  </si>
  <si>
    <t>ГСП-2, ООО</t>
  </si>
  <si>
    <t>ГСП-ГСМ, ООО</t>
  </si>
  <si>
    <t>ГСП-КОМПЛЕКТАЦИЯ, ООО</t>
  </si>
  <si>
    <t>ГСП-МЕХАНИЗАЦИЯ, ООО</t>
  </si>
  <si>
    <t>ГСП-СЕРВИС, ООО</t>
  </si>
  <si>
    <t>ГСР ТЭЦ, АО</t>
  </si>
  <si>
    <t>ГСС, ООО</t>
  </si>
  <si>
    <t>ГТ ЭНЕРГО, АО</t>
  </si>
  <si>
    <t>ГТИ МЕНЕДЖМЕНТ, ООО</t>
  </si>
  <si>
    <t>ГТЛК, АО</t>
  </si>
  <si>
    <t>ГТС, СГМУП</t>
  </si>
  <si>
    <t>ГУБАХИНСКИЙ КОКС, ОАО</t>
  </si>
  <si>
    <t>ГУБЕРНСКИЕ АПТЕКИ, АО</t>
  </si>
  <si>
    <t>ГУБКИНСКИЙ МЯСОКОМБИНАТ, АО</t>
  </si>
  <si>
    <t>ГУД-ФУД ПОСТАВКА, ООО</t>
  </si>
  <si>
    <t>ГУДИЕР РАША, ООО</t>
  </si>
  <si>
    <t>ГУДСР, ООО</t>
  </si>
  <si>
    <t>ГУК-КРАСНОДАР, ООО</t>
  </si>
  <si>
    <t>ГУЛЛИВЕР, АО</t>
  </si>
  <si>
    <t>ГУЛЬКЕВИЧСКИЙ, ОАО АПСК</t>
  </si>
  <si>
    <t>ГУРТ, ООО</t>
  </si>
  <si>
    <t>ГУРЬЕВСК-СТАЛЬ, ООО</t>
  </si>
  <si>
    <t>ГУСАР, ООО</t>
  </si>
  <si>
    <t>ГХА, ООО</t>
  </si>
  <si>
    <t>ГЦ ТЕХНО, ООО</t>
  </si>
  <si>
    <t>ГЦСС, ФГУП</t>
  </si>
  <si>
    <t>ГЭК, ООО</t>
  </si>
  <si>
    <t>ГЭЛЛЭРИ СЕРВИС, ООО</t>
  </si>
  <si>
    <t>ГЭС, ООО</t>
  </si>
  <si>
    <t>ГЭС-СТРОЙ, ООО</t>
  </si>
  <si>
    <t>ГЭС-УРАЛ, ООО</t>
  </si>
  <si>
    <t>ГЭХ ИНЖИНИРИНГ, ООО</t>
  </si>
  <si>
    <t>Д ДИСТРИБЬЮШЕН, АО</t>
  </si>
  <si>
    <t>Д-ЛИНК ТРЕЙД, ООО</t>
  </si>
  <si>
    <t>Д.А.Р.О.М., ООО</t>
  </si>
  <si>
    <t>ДЁКЕ ЭКСТРУЖН, ООО</t>
  </si>
  <si>
    <t>ДЁЛЕР НФ И БИ, ООО</t>
  </si>
  <si>
    <t>ДАВЛЕКАНОВСКИЙ КХП №1, ООО</t>
  </si>
  <si>
    <t>ДАКОРТ-КРЫМ, ООО</t>
  </si>
  <si>
    <t>ДАЛЬ, ООО</t>
  </si>
  <si>
    <t>ДАЛЬАГРОЛИГА, ООО</t>
  </si>
  <si>
    <t>ДАЛЬКАМНЕФТЬ, ООО</t>
  </si>
  <si>
    <t>ДАЛЬЛЕСПРОМ, АО</t>
  </si>
  <si>
    <t>ДАЛЬНЕВОСТОЧНАЯ ВЕРФЬ, ООО</t>
  </si>
  <si>
    <t>ДАЛЬНЕВОСТОЧНОЕ ПОБЕРЕЖЬЕ, ООО</t>
  </si>
  <si>
    <t>ДАЛЬНЕВОСТОЧНЫЕ РЕСУРСЫ, АО СТАРАТЕЛЕЙ</t>
  </si>
  <si>
    <t>ДАЛЬНЕГОРСКИЙ ГОК, ООО</t>
  </si>
  <si>
    <t>ДАЛЬНЕФТЕПРОМ, ООО</t>
  </si>
  <si>
    <t>ГСП-4, ООО</t>
  </si>
  <si>
    <t>ДАЛЬРЕФТРАНС, ООО</t>
  </si>
  <si>
    <t>ДАЛЬТРАНСУГОЛЬ, АО</t>
  </si>
  <si>
    <t>ДАЛЬЦВЕТМЕТ, ООО</t>
  </si>
  <si>
    <t>ДАНИСКО, ЗАО</t>
  </si>
  <si>
    <t>ДАНЛЕКО, ООО</t>
  </si>
  <si>
    <t>ДАНОН РОССИЯ, АО</t>
  </si>
  <si>
    <t>ДАНОН ТРЕЙД, ООО</t>
  </si>
  <si>
    <t>ДАРЫ АРТЕМИДЫ, ООО</t>
  </si>
  <si>
    <t>ДАТАЛАЙН, ООО</t>
  </si>
  <si>
    <t>ДАТАПРО, ООО</t>
  </si>
  <si>
    <t>ДАУ ИЗОЛАН, ООО</t>
  </si>
  <si>
    <t>ГАЗПРОМ ТРАНСГАЗ МОСКВА, ООО</t>
  </si>
  <si>
    <t>ДВ НЕВАДА, ООО</t>
  </si>
  <si>
    <t>ДВ ТРЕЙДИНГ, ООО</t>
  </si>
  <si>
    <t>ДВ-АМУР, ООО</t>
  </si>
  <si>
    <t>ДВИЖЕНИЕ-КОМИ, ООО</t>
  </si>
  <si>
    <t>ДВМП, ПАО</t>
  </si>
  <si>
    <t>ГСП-7, ООО</t>
  </si>
  <si>
    <t>ДГК, АО</t>
  </si>
  <si>
    <t>ДДК, ООО</t>
  </si>
  <si>
    <t>ДЕ ХЁС, НПАО</t>
  </si>
  <si>
    <t>ДЕВИНО ТЕЛЕКОМ, ООО</t>
  </si>
  <si>
    <t>ДЕВОН, ООО ТД</t>
  </si>
  <si>
    <t>ДЕЙЛСФОРД МЁРЧАНТ АГРО, ООО</t>
  </si>
  <si>
    <t>ДЕЙЛСФОРД МЁРЧАНТ, ООО</t>
  </si>
  <si>
    <t>ДЕЙТАБЕЙС100К20, ООО</t>
  </si>
  <si>
    <t>ДЕКОН, ООО</t>
  </si>
  <si>
    <t>ДЕКОР, ООО ЗЛК</t>
  </si>
  <si>
    <t>ДЕКРА КОНСТРАКШН, АО</t>
  </si>
  <si>
    <t>ДЕЛАЙ МЕБЕЛЬ, ООО</t>
  </si>
  <si>
    <t>ДЕЛКО, ООО</t>
  </si>
  <si>
    <t>ДЕЛЛ, ООО</t>
  </si>
  <si>
    <t>ДЕЛОВОЙ КВАРТАЛ, АО</t>
  </si>
  <si>
    <t>ДЕЛОВОЙ ОФИС, ООО</t>
  </si>
  <si>
    <t>ДЕЛОВЫЕ ЛИНИИ, ООО</t>
  </si>
  <si>
    <t>ДЕЛОНГИ, ООО</t>
  </si>
  <si>
    <t>ДЕЛТРЕЙД, ООО</t>
  </si>
  <si>
    <t>ДЕЛФИН ДИСТРИБЬЮШЕН, ООО</t>
  </si>
  <si>
    <t>ДЕЛФИН ИНДАСТРИ, АО</t>
  </si>
  <si>
    <t>ДЕЛФУД, ООО</t>
  </si>
  <si>
    <t>ДЕЛЬРУС МРЦ, ООО</t>
  </si>
  <si>
    <t>ДЕЛЬРУС, ООО</t>
  </si>
  <si>
    <t>ГСП-6, ООО</t>
  </si>
  <si>
    <t>Дельта-Трейд, ООО</t>
  </si>
  <si>
    <t>ДЕЛЬТАЛИЗИНГ, ООО</t>
  </si>
  <si>
    <t>ДЕЛЬТАТОРГ, ООО</t>
  </si>
  <si>
    <t>ДЕЛЬФИН, ООО</t>
  </si>
  <si>
    <t>ДЕМЕТРА ТРЕЙДИНГ, ООО</t>
  </si>
  <si>
    <t>ДЕМЕТРА, ООО</t>
  </si>
  <si>
    <t>ДЕМИДЫЧ, ООО</t>
  </si>
  <si>
    <t>ДЕНВЬЮ ЛИМИТЭД, АО</t>
  </si>
  <si>
    <t>ДЕНДИ, ЗАО</t>
  </si>
  <si>
    <t>ДЕНТРО, ООО</t>
  </si>
  <si>
    <t>ДЕНТСПЛАЙ СИРОНА, ООО</t>
  </si>
  <si>
    <t>ДЕПАРТАМЕНТ ПРОДОВОЛЬСТВИЯ, АО</t>
  </si>
  <si>
    <t>ДЕПО ЭЛЕКТРОНИКС, ООО</t>
  </si>
  <si>
    <t>ДЕРБЕНТСКИЙ ВИННО-КОНЬЯЧНЫЙ КОМБИНАТ, ООО</t>
  </si>
  <si>
    <t>ДЕРЕВЯНКО В.И., КФХ</t>
  </si>
  <si>
    <t>КОНСИСТ- ОС, АО</t>
  </si>
  <si>
    <t>ДЕТСКИЙ МИР, ПАО</t>
  </si>
  <si>
    <t>ДЖ.Т.И. ДОНСКОЙ ТАБАК, ООО</t>
  </si>
  <si>
    <t>ДЖ.Т.И. РОССИЯ, ООО</t>
  </si>
  <si>
    <t>ДЖАК АВТОМОБИЛЬ, ООО</t>
  </si>
  <si>
    <t>ДЖЕЙ СИ БИ РАША, ООО</t>
  </si>
  <si>
    <t>ДЖЕЙ ЭС ЭЙ ГРУПП, ООО</t>
  </si>
  <si>
    <t>ДЖЕРМЭН СИД АЛЬЯНС РУСС, ООО</t>
  </si>
  <si>
    <t>ДЖИ ДИ ПИ +, ООО</t>
  </si>
  <si>
    <t>ДЖИ ПИ СИ РУС, ООО</t>
  </si>
  <si>
    <t>ДЖИ ЭФ СИ, ООО</t>
  </si>
  <si>
    <t>ДЖИ1 ИНТЕРТЕЙНМЕНТ, ООО</t>
  </si>
  <si>
    <t>ДЖИДИСИ СЕРВИСЕЗ, ООО</t>
  </si>
  <si>
    <t>ДЖИИ РУС, ООО</t>
  </si>
  <si>
    <t>ДЖИИ ХЭЛСКЕА, ООО</t>
  </si>
  <si>
    <t>ДЖИИКСО ЛОДЖИСТИКС, ООО</t>
  </si>
  <si>
    <t>ДЖИЛЕКС, ООО</t>
  </si>
  <si>
    <t>ДЖИЛИ-МОТОРС, ООО</t>
  </si>
  <si>
    <t>ДЖОДАС ЭКСПОИМ, ООО</t>
  </si>
  <si>
    <t>ДЖОЙ ГЛОБАЛ, ООО</t>
  </si>
  <si>
    <t>ДЖОКЕЙ РУС, ООО ТД</t>
  </si>
  <si>
    <t>ДЖОН ДИР РУСЬ, ООО</t>
  </si>
  <si>
    <t>ДЖОНСОН &amp; ДЖОНСОН, ООО</t>
  </si>
  <si>
    <t>ДЗЕН.ПЛАТФОРМА, ООО</t>
  </si>
  <si>
    <t>ДИ ФЕРРО, ООО</t>
  </si>
  <si>
    <t>ДИ ЭЛ ДЖИ, АО</t>
  </si>
  <si>
    <t>ДИАКОН, АО</t>
  </si>
  <si>
    <t>ДИАЛОГ СТОЛИЦА, ООО</t>
  </si>
  <si>
    <t>ДИАЛОГ, ООО</t>
  </si>
  <si>
    <t>ДИАЛОГ-ИНВЕСТ, ООО</t>
  </si>
  <si>
    <t>ДИАЛОГНАУКА, АО</t>
  </si>
  <si>
    <t>ДИАН НАО, ООО</t>
  </si>
  <si>
    <t>ДИАРСИ ЦЕНТР, ООО</t>
  </si>
  <si>
    <t>ДИАСОФТ, ООО</t>
  </si>
  <si>
    <t>ГЭХ СЕРВИС ГАЗОВЫХ ТУРБИН, ООО</t>
  </si>
  <si>
    <t>ДИВАН ТРЕЙД, ООО</t>
  </si>
  <si>
    <t>ДИВО АЛТАЯ, ООО</t>
  </si>
  <si>
    <t>ДИДЖИТАЛ АЛЬЯНС, АО</t>
  </si>
  <si>
    <t>ДИЕТА +, ООО</t>
  </si>
  <si>
    <t>ДИКСИ ЮГ, АО</t>
  </si>
  <si>
    <t>ДИЛМАС, ООО</t>
  </si>
  <si>
    <t>ДИМИТРОВГРАДХИММАШ, АО</t>
  </si>
  <si>
    <t>ДИНЕКС РУСЬ, ООО</t>
  </si>
  <si>
    <t>ДИНУР, ОАО</t>
  </si>
  <si>
    <t>ДИО ПЛАСТ, ООО</t>
  </si>
  <si>
    <t>ДИОРИТ-ТЕХНИС, ООО</t>
  </si>
  <si>
    <t>ДИПТРАНС, ООО</t>
  </si>
  <si>
    <t>ДИРЕКТ СТАР, ООО</t>
  </si>
  <si>
    <t>ДИСКАМ, ООО</t>
  </si>
  <si>
    <t>ДИСКИ-ШИНЫ, ООО</t>
  </si>
  <si>
    <t>ДИСКОНТ, ООО</t>
  </si>
  <si>
    <t>ДИХАУС, ООО</t>
  </si>
  <si>
    <t>ДК АПРЕЛЬ, ООО</t>
  </si>
  <si>
    <t>ДК ВОСТОК, ООО</t>
  </si>
  <si>
    <t>ДК КАРБОНАТНЫЕ МАТЕРИАЛЫ, ООО</t>
  </si>
  <si>
    <t>ДК ЛИТРУМ, ООО</t>
  </si>
  <si>
    <t>ДКА, АО</t>
  </si>
  <si>
    <t>Б1-КОНСАЛТ, ООО</t>
  </si>
  <si>
    <t>ДКС, АО</t>
  </si>
  <si>
    <t>ДЛ-ТРАНС, ООО</t>
  </si>
  <si>
    <t>ДЛС, ООО</t>
  </si>
  <si>
    <t>ДМЗ, АО</t>
  </si>
  <si>
    <t>ДМИ СЕРВИС, ООО</t>
  </si>
  <si>
    <t>ДМИТРОГОРСКИЙ МОЛОЧНЫЙ ЗАВОД, ООО</t>
  </si>
  <si>
    <t>ДМЛ, ООО</t>
  </si>
  <si>
    <t>ДМП-РМ, АО</t>
  </si>
  <si>
    <t>ДМС, ООО</t>
  </si>
  <si>
    <t>ДМУ, ООО</t>
  </si>
  <si>
    <t>ДНЕПР-ГОЛД, ООО</t>
  </si>
  <si>
    <t>ДНК-ТЕХНОЛОГИЯ, ООО</t>
  </si>
  <si>
    <t>ДНС РИТЕЙЛ, ООО</t>
  </si>
  <si>
    <t>ДОБРОЛЕК, ООО</t>
  </si>
  <si>
    <t>ДОБРЫНЯ, ООО</t>
  </si>
  <si>
    <t>ДОДО ФРАНЧАЙЗИНГ, ООО</t>
  </si>
  <si>
    <t>ДОК ЕНИСЕЙ, ООО</t>
  </si>
  <si>
    <t>ДОЛИНА ОВОЩЕЙ, ООО ТД</t>
  </si>
  <si>
    <t>ДОЛИНА СЕМЯН, ООО</t>
  </si>
  <si>
    <t>ДОМ МЕТАЛЛА, ООО</t>
  </si>
  <si>
    <t>ДОМ ОДЕЖДЫ, ООО</t>
  </si>
  <si>
    <t>ДОМ.РФ ИПОТЕЧНЫЙ АГЕНТ, ООО</t>
  </si>
  <si>
    <t>ДОМАШНИЙ ИНТЕРЬЕР, ООО</t>
  </si>
  <si>
    <t>ДОМЕЙН, ООО</t>
  </si>
  <si>
    <t>ДОМКЛИК, ООО</t>
  </si>
  <si>
    <t>ДОМКОР СТРОЙ, ООО</t>
  </si>
  <si>
    <t>ДОМОДЕДОВО ЭРФИЛД, ООО</t>
  </si>
  <si>
    <t>ДОМСТРОЙ-РАЗВИТИЕ, ООО</t>
  </si>
  <si>
    <t>ДОМТРАНСАВТО, ООО</t>
  </si>
  <si>
    <t>ДОН-ТЕКС, ООО</t>
  </si>
  <si>
    <t>ДОНАЛЬЯНС, ООО</t>
  </si>
  <si>
    <t>ДОНАЭРОДОРСТРОЙ, АО</t>
  </si>
  <si>
    <t>ДОНСКОЙ КАМЕНЬ, ООО</t>
  </si>
  <si>
    <t>ДОНУГОЛЬ, АО</t>
  </si>
  <si>
    <t>ДОРИНДА, АО</t>
  </si>
  <si>
    <t>ДОРКИНГ, ООО</t>
  </si>
  <si>
    <t>ДОРОГИ САХА, ЗАО</t>
  </si>
  <si>
    <t>ДОРОГИ ЧЕРНОЗЕМЬЯ, АО</t>
  </si>
  <si>
    <t>ДОРОГОБУЖ, ПАО</t>
  </si>
  <si>
    <t>КАЗАНСКИЙ ЖИРОВОЙ КОМБИНАТ, АО</t>
  </si>
  <si>
    <t>ДОРСЕРВИС, ООО</t>
  </si>
  <si>
    <t>ДОРСНАБ, ООО</t>
  </si>
  <si>
    <t>ДОРСТРОЙ, ООО</t>
  </si>
  <si>
    <t>АРКТУР, ООО</t>
  </si>
  <si>
    <t>ДОРСТРОЙСЕРВИС, ООО</t>
  </si>
  <si>
    <t>ДОРСТРОЙСИСТЕМ, ООО</t>
  </si>
  <si>
    <t>ДОРТЕХ, ООО</t>
  </si>
  <si>
    <t>ДОРТРАНССЕРВИС, ООО ФИРМА</t>
  </si>
  <si>
    <t>ДОРТРАНССТРОЙ, ООО</t>
  </si>
  <si>
    <t>ДОРХАН 21 ВЕК-НОВОСИБИРСК, ООО</t>
  </si>
  <si>
    <t>ДОРХАН-ТОРГОВЫЙ ДОМ, ООО</t>
  </si>
  <si>
    <t>ДОСТАВКА 24, ООО</t>
  </si>
  <si>
    <t>ДОШИРАК КОЯ, ООО</t>
  </si>
  <si>
    <t>ДОШИРАК РУС, ООО</t>
  </si>
  <si>
    <t>ДОШИРАК РЯЗАНЬ, ООО</t>
  </si>
  <si>
    <t>ДП ИСТРА-НУТРИЦИЯ, АО</t>
  </si>
  <si>
    <t>ДПЗ ПРОДАЖИ И МАРКЕТИНГ, ООО</t>
  </si>
  <si>
    <t>ДПЗ, ООО</t>
  </si>
  <si>
    <t>ДПО ПЛАСТИК, АО</t>
  </si>
  <si>
    <t>ДПТ, ООО</t>
  </si>
  <si>
    <t>ДР. РЕДДИ С ЛАБОРАТОРИС, ООО</t>
  </si>
  <si>
    <t>ДР.ТАЙСС НАТУРВАРЕН РУС, ООО</t>
  </si>
  <si>
    <t>ДРАГЦВЕТМЕТ, ООО</t>
  </si>
  <si>
    <t>ДРАЙЛОК ТЕКНОЛОДЖИЗ, ООО</t>
  </si>
  <si>
    <t>ДРИВИКС, ООО</t>
  </si>
  <si>
    <t>ДРСК, АО</t>
  </si>
  <si>
    <t>ДРТ КОНСАЛТИНГ, ООО</t>
  </si>
  <si>
    <t>ДРТ, АО</t>
  </si>
  <si>
    <t>ДРУЖБА НАРОДОВ НОВА, АО</t>
  </si>
  <si>
    <t>ДРУЖБА, ООО</t>
  </si>
  <si>
    <t>ДРУЗА, ООО</t>
  </si>
  <si>
    <t>ДС В ДФО УПРАВЛЕНИЯ ДЕЛАМИ ПРЕЗИДЕНТА РОССИЙСКОЙ ФЕДЕРАЦИИ, ФГУП</t>
  </si>
  <si>
    <t>ДС КОММЬЮНИКЕЙШН, ООО</t>
  </si>
  <si>
    <t>ДС СТРОЙ, ООО</t>
  </si>
  <si>
    <t>ДСЗ, АО</t>
  </si>
  <si>
    <t>ДСИО, АО</t>
  </si>
  <si>
    <t>ДСК АБЗ-ДОРСТРОЙ, ООО</t>
  </si>
  <si>
    <t>ДСК АВТОБАН, АО</t>
  </si>
  <si>
    <t>ДСК, ООО</t>
  </si>
  <si>
    <t>ДСК-ПРОИЗВОДСТВО, ООО</t>
  </si>
  <si>
    <t>ДСК1-РОСТОКИНО, ООО</t>
  </si>
  <si>
    <t>ДСМ НУТРИШНЛ ПРОДУКТС РУС, ООО</t>
  </si>
  <si>
    <t>ДССЛ-ПЕРВЫЙ, ООО</t>
  </si>
  <si>
    <t>ДСУ МОСТОСТРОЙ-11, ООО</t>
  </si>
  <si>
    <t>ДСУ-2, ЗАО</t>
  </si>
  <si>
    <t>ДСУ-3, ГУП</t>
  </si>
  <si>
    <t>ДТА, ООО</t>
  </si>
  <si>
    <t>ДТК ЯМАЛ, ООО</t>
  </si>
  <si>
    <t>ДТК, ООО ПКФ</t>
  </si>
  <si>
    <t>ДУ, ООО</t>
  </si>
  <si>
    <t>ДУБКИ, ООО КОМБИНАТ</t>
  </si>
  <si>
    <t>ДУБЛЬГИС, ООО</t>
  </si>
  <si>
    <t>ДУГАЛАК, ООО</t>
  </si>
  <si>
    <t>ДУКАТ, ООО КОМПАНИЯ</t>
  </si>
  <si>
    <t>ДУНАЙ, ООО</t>
  </si>
  <si>
    <t>ДФ РУСЛАНА, ООО</t>
  </si>
  <si>
    <t>ДФС, ООО</t>
  </si>
  <si>
    <t>ДФФ, ООО</t>
  </si>
  <si>
    <t>ДХЗ-ПРОИЗВОДСТВО, ООО</t>
  </si>
  <si>
    <t>ДХЛ ГЛОБАЛ ФОРВАРДИНГ, ООО</t>
  </si>
  <si>
    <t>ДХЛ ИНТЕРНЕШНЛ, АО</t>
  </si>
  <si>
    <t>ДЦ АЛТУФЬЕВО, ООО</t>
  </si>
  <si>
    <t>ДЫМОВСКОЕ КОЛБАСНОЕ ПРОИЗВОДСТВО, ООО</t>
  </si>
  <si>
    <t>ДЭК, ПАО</t>
  </si>
  <si>
    <t>ДЭМ, ООО</t>
  </si>
  <si>
    <t>ДЭМЗ, ООО</t>
  </si>
  <si>
    <t>ДЭП № 103, АО</t>
  </si>
  <si>
    <t>ДЭП № 33, АО</t>
  </si>
  <si>
    <t>ДЭХ, ООО</t>
  </si>
  <si>
    <t>ЕВРОСИБЭНЕРГО, АО</t>
  </si>
  <si>
    <t>ДЮНА-СТРОЙ, ООО</t>
  </si>
  <si>
    <t>ДЮРАСЕЛЛ РАША, ООО</t>
  </si>
  <si>
    <t>ДЯДЯ ВАНЯ ТРЕЙДИНГ, ООО</t>
  </si>
  <si>
    <t>Е-СТРОЙ, ООО</t>
  </si>
  <si>
    <t>Е.КАМПАНИ, ООО</t>
  </si>
  <si>
    <t>ЕАПТЕКА, ООО</t>
  </si>
  <si>
    <t>ЕВДАКОВО, ООО</t>
  </si>
  <si>
    <t>ЕВРАЗ ВАНАДИЙ ТУЛА, АО</t>
  </si>
  <si>
    <t>ЕВРАЗ КГОК, АО</t>
  </si>
  <si>
    <t>ЕВРАЗ МАРКЕТ, АО</t>
  </si>
  <si>
    <t>ЕВРАЗ СТИЛ БИЛДИНГ, ООО</t>
  </si>
  <si>
    <t>ЕВРАЗ ТК, ООО</t>
  </si>
  <si>
    <t>ЕВРАЗ, ООО</t>
  </si>
  <si>
    <t>ЕВРАЗИЙСКАЯ АЛКОГОЛЬНАЯ ГРУППА, АО</t>
  </si>
  <si>
    <t>ЕВРАЗИЯ, ООО</t>
  </si>
  <si>
    <t>ЕВРАЗИЯ-ТРАК, ООО</t>
  </si>
  <si>
    <t>ЕВРАЗЭНЕРГОТРАНС, ООО</t>
  </si>
  <si>
    <t>ЕВРАКОР, АО</t>
  </si>
  <si>
    <t>ЕВРО ДЕКОР И К, ООО</t>
  </si>
  <si>
    <t>ЕВРОГРАД, ООО</t>
  </si>
  <si>
    <t>ЕВРОДЕТАЛЬ, ООО</t>
  </si>
  <si>
    <t>ЕВРОДОМ ГРУПП, ООО</t>
  </si>
  <si>
    <t>АЛГОЛ ДВ, ООО</t>
  </si>
  <si>
    <t>ЕВРОКАРА-ПЛЮС, ООО</t>
  </si>
  <si>
    <t>ГЭХ СИСТЕМЫ КОНТРОЛЯ, ООО</t>
  </si>
  <si>
    <t>ЕВРОЛИФТМАШ, ООО ПО</t>
  </si>
  <si>
    <t>ЕВРОЛОГИСТИК, ООО</t>
  </si>
  <si>
    <t>ЕВРОМЕТФИЛМЗ, ЗАО</t>
  </si>
  <si>
    <t>ЕВРОПА, ООО</t>
  </si>
  <si>
    <t>ЕВРОПА, ООО ТОРГОВАЯ КОМПАНИЯ</t>
  </si>
  <si>
    <t>ЕВРОПАПИР, ООО</t>
  </si>
  <si>
    <t>ЕВРОПЕЙСКАЯ СТОЛИЦА, ООО</t>
  </si>
  <si>
    <t>ЕВРОПЛАН СЕРВИС, ООО</t>
  </si>
  <si>
    <t>ЕВРОПЛАСТ-ЕНИСЕЙПРОМ, ООО</t>
  </si>
  <si>
    <t>ЕВРОПОЛИМЕР, ООО</t>
  </si>
  <si>
    <t>ЕВРОРИТЕЙЛ, ООО</t>
  </si>
  <si>
    <t>ЕВРОСИБ СЕРВИС ЦЕНТР, ООО</t>
  </si>
  <si>
    <t>ЕВРОСИБ СПБ-ТС, АО</t>
  </si>
  <si>
    <t>ЕВРОСТИЛЬ, ООО</t>
  </si>
  <si>
    <t>ЕВРОСТРОЙПОДРЯД, ООО</t>
  </si>
  <si>
    <t>ЕВРОСТРОЙХОЛДИНГ+, ООО</t>
  </si>
  <si>
    <t>ЕВРОТЕХНИКА, АО</t>
  </si>
  <si>
    <t>ЕВРОТРАНС, ООО</t>
  </si>
  <si>
    <t>ЕВРОТРАНС, ПАО</t>
  </si>
  <si>
    <t>ЕВРОХИМ ТРЕЙДИНГ РУС, ООО</t>
  </si>
  <si>
    <t>ЕВРОХИМ-1 ФД, АО</t>
  </si>
  <si>
    <t>ЕВРОХИМ-БМУ, ООО</t>
  </si>
  <si>
    <t>ЕВРОХИМ-ВОЛГАКАЛИЙ, ООО</t>
  </si>
  <si>
    <t>ЕВРОХИМ-СЗ, АО</t>
  </si>
  <si>
    <t>ЕВРОХИМ-УКК, ООО</t>
  </si>
  <si>
    <t>ЕВРОХИМ-ЭНЕРГО, ООО</t>
  </si>
  <si>
    <t>ЕГОРЬЕВСК-ОБУВЬ, АО</t>
  </si>
  <si>
    <t>ЕДИНАЯ ЕВРОПА-ХОЛДИНГ, ОАО</t>
  </si>
  <si>
    <t>ЕДИНАЯ ЕВРОПА-ЭЛИТ, ООО</t>
  </si>
  <si>
    <t>ЕДИНАЯ ТОРГОВАЯ КОМПАНИЯ, АО</t>
  </si>
  <si>
    <t>ЕДИНЫЙ ОПЕРАТОР, ООО</t>
  </si>
  <si>
    <t>ЕКАТЕРИНБУРГ ЯБЛОКО, ООО</t>
  </si>
  <si>
    <t>ЕКАТЕРИНБУРГ-2000, ООО</t>
  </si>
  <si>
    <t>ЕКСЗ, АО</t>
  </si>
  <si>
    <t>ЕЛЕЦКИЙ АГРОКОМПЛЕКС, ООО</t>
  </si>
  <si>
    <t>ЕЛТРАНС+, ООО</t>
  </si>
  <si>
    <t>ЕМК, ООО</t>
  </si>
  <si>
    <t>ЕМСК, АО</t>
  </si>
  <si>
    <t>ЕМЦ, АО</t>
  </si>
  <si>
    <t>ЕНИГЮН, ООО</t>
  </si>
  <si>
    <t>ЕНИСЕЙ, ООО</t>
  </si>
  <si>
    <t>ДОНЭНЕРГО, АО</t>
  </si>
  <si>
    <t>ЕНИСЕЙСКАЯ ТГК (ТГК-13), АО</t>
  </si>
  <si>
    <t>ЕОЙЛ, ООО</t>
  </si>
  <si>
    <t>ЕПРС, АО</t>
  </si>
  <si>
    <t>ЕРМОЛИНО МОЛОКО, АО</t>
  </si>
  <si>
    <t>ЕРП, АО</t>
  </si>
  <si>
    <t>ЕСК, ООО</t>
  </si>
  <si>
    <t>ЕСКО, ООО</t>
  </si>
  <si>
    <t>ЕСТ, ООО</t>
  </si>
  <si>
    <t>ЕТГ АГРО, ООО</t>
  </si>
  <si>
    <t>ЕТК, АО</t>
  </si>
  <si>
    <t>ЕТК, ООО</t>
  </si>
  <si>
    <t>ЕТС, ООО</t>
  </si>
  <si>
    <t>ЕТС, СП ООО</t>
  </si>
  <si>
    <t>ЕТС- ХИМИЧЕСКИЕ МАТЕРИАЛЫ, ООО</t>
  </si>
  <si>
    <t>ЕТС-М, ООО</t>
  </si>
  <si>
    <t>ЕЭНС, АО</t>
  </si>
  <si>
    <t>ЕЭС-ГАРАНТ, ООО</t>
  </si>
  <si>
    <t>ЕЭСК, АО</t>
  </si>
  <si>
    <t>ЖБК-СТРОЙ, ООО</t>
  </si>
  <si>
    <t>ЖЕЛДОРАВТОМАТИЗАЦИЯ, АО</t>
  </si>
  <si>
    <t>ЖЕЛДОРПРОЕКТ, ООО</t>
  </si>
  <si>
    <t>ЖЕЛДОРРЕММАШ, АО</t>
  </si>
  <si>
    <t>ЖЕЛДОРСТРОЙ, ООО</t>
  </si>
  <si>
    <t>ЖЕЛДОРУЧЕТ, АО</t>
  </si>
  <si>
    <t>ЖЕЛДОРЭКСПЕДИЦИЯ, ООО</t>
  </si>
  <si>
    <t>ЖЕФКО, ООО</t>
  </si>
  <si>
    <t>ЖИВЫЕ ДИВАНЫ, ООО</t>
  </si>
  <si>
    <t>ЖИГУЛЕВСКОЕ ПИВО, АО</t>
  </si>
  <si>
    <t>ЖИЛИЩНАЯ ИНИЦИАТИВА, ООО</t>
  </si>
  <si>
    <t>ЖИЛСТРОЙ-МО, ООО</t>
  </si>
  <si>
    <t>ЖИРОВОЙ КОМБИНАТ, АО</t>
  </si>
  <si>
    <t>ЖКХ РС (Я), ГУП</t>
  </si>
  <si>
    <t>ЖЛПК, ООО</t>
  </si>
  <si>
    <t>ЖТК, АО</t>
  </si>
  <si>
    <t>ЗАБДОРСТРОЙ, ООО</t>
  </si>
  <si>
    <t>ЗАВКОМ, АО</t>
  </si>
  <si>
    <t>ЗАВОД АГРОКАБЕЛЬ, ООО</t>
  </si>
  <si>
    <t>ЗАВОД ГЕОСИНТЕТИЧЕСКИХ МАТЕРИАЛОВ, ООО</t>
  </si>
  <si>
    <t>ЗАВОД КДМ, ООО</t>
  </si>
  <si>
    <t>ЗАВОД КОПИР, АО</t>
  </si>
  <si>
    <t>ЗАВОД КПД, ООО</t>
  </si>
  <si>
    <t>ЗАВОД КРАСНОЕ СОРМОВО, ПАО</t>
  </si>
  <si>
    <t>ЗАВОД ЛОДЖИКРУФ, ООО</t>
  </si>
  <si>
    <t>ЗАВОД МАРС, АО</t>
  </si>
  <si>
    <t>ЗАВОД НАРТИС, ООО</t>
  </si>
  <si>
    <t>ЗАВОД НГО ТЕХНОВЕК, ООО</t>
  </si>
  <si>
    <t>ЗАВОД НЕФТЕГАЗОБОРУДОВАНИЕ, ООО</t>
  </si>
  <si>
    <t>ЗАВОД ПРЕМИКСОВ № 1, ЗАО</t>
  </si>
  <si>
    <t>ЗАВОД ПРОДМАШ, ОАО</t>
  </si>
  <si>
    <t>ЗАВОД ПСМ, ООО</t>
  </si>
  <si>
    <t>ЗАВОД СМАЗОЧНЫХ МАТЕРИАЛОВ ДЕВОН, ООО</t>
  </si>
  <si>
    <t>ЗАВОД ТЕХНО, ООО</t>
  </si>
  <si>
    <t>ЗАВОД ТЕХНОНИКОЛЬ-УЛЬЯНОВСК, ООО</t>
  </si>
  <si>
    <t>ЗАВОД ТЕХНОПЛЕКС, ООО</t>
  </si>
  <si>
    <t>ЗАВОД ТЕХНОФЛЕКС, ООО</t>
  </si>
  <si>
    <t>ЗАВОД УПАКОВОЧНЫХ ИЗДЕЛИЙ ТОКК И ООО ЗУИ ТОКК, ООО</t>
  </si>
  <si>
    <t>ЗАВОД ШИНГЛАС, ООО</t>
  </si>
  <si>
    <t>ЗАВОДОУКОВСКИЙ МАШЗАВОД, АО</t>
  </si>
  <si>
    <t>ЗАГРУЗКА, АО</t>
  </si>
  <si>
    <t>ЗАИНСКИЙ САХАР, АО</t>
  </si>
  <si>
    <t>ЗАЙЦЕВ, ООО КХ</t>
  </si>
  <si>
    <t>ЗАЛЕССКИЙ ФЕРМЕР, ООО</t>
  </si>
  <si>
    <t>ЗАПАДНАЯ, АО ГРК</t>
  </si>
  <si>
    <t>ЗАПСИБ МАГИСТРАЛЬ, ООО</t>
  </si>
  <si>
    <t>ЗАПСИБГАЗПРОМ-ГАЗИФИКАЦИЯ, ООО</t>
  </si>
  <si>
    <t>ЗАПСИБРУДА, ООО</t>
  </si>
  <si>
    <t>ЗАПЧАСТИ.24, ООО</t>
  </si>
  <si>
    <t>ЗАРАЙСКАЯ СЕЛЬХОЗХИМИЯ, ООО</t>
  </si>
  <si>
    <t>ЗАРЕЧНОЕ, ООО</t>
  </si>
  <si>
    <t>ЗАРНЕСТСЕРВИС, ООО</t>
  </si>
  <si>
    <t>ЗАРУБЕЖДИПСТРОЙ, ООО</t>
  </si>
  <si>
    <t>ЗАРУБЕЖНЕФТЬ, АО</t>
  </si>
  <si>
    <t>ЗАРУБЕЖНЕФТЬ-ДОБЫЧА ХАРЬЯГА, ООО</t>
  </si>
  <si>
    <t>ЗАС, АО</t>
  </si>
  <si>
    <t>ЗВЕЗДА 21, ООО</t>
  </si>
  <si>
    <t>ЗВЕЗДА НЕВЫ, ООО</t>
  </si>
  <si>
    <t>ЗВЕНИГОВСКИЙ, ООО МЯСОКОМБИНАТ</t>
  </si>
  <si>
    <t>ЗВЕНИГОВСКИЙ, СПК</t>
  </si>
  <si>
    <t>ЗГ СТРОЙМОНТАЖ, ООО</t>
  </si>
  <si>
    <t>ЗДОРОВАЯ ФЕРМА, ООО ТД</t>
  </si>
  <si>
    <t>ЗДОРОВЬЕ, ООО</t>
  </si>
  <si>
    <t>ЗДРАВСЕРВИС, ООО</t>
  </si>
  <si>
    <t>ЗЕЛЕНЫЕ ЛИНИИ, ООО</t>
  </si>
  <si>
    <t>ЗЕЛЕНЫЙ ГОРОД, ООО СПК</t>
  </si>
  <si>
    <t>ЗЕЛИНСКИЙ И РОЗЕН ПАРФЮМЕРИЯ, ООО</t>
  </si>
  <si>
    <t>ЗЕЛЬГРОС, ООО</t>
  </si>
  <si>
    <t>ЗЕМДОРСТРОЙ, ООО</t>
  </si>
  <si>
    <t>ЗЕМЕТЧИНСКИЙ САХАРНЫЙ ЗАВОД, АО</t>
  </si>
  <si>
    <t>ЗЕМЛЯКОФФ КРОП ПРОТЕКШЕН, ООО</t>
  </si>
  <si>
    <t>ЗЕМЛЯНСКМОЛОКО, ООО</t>
  </si>
  <si>
    <t>ЗЕНИТ, ООО</t>
  </si>
  <si>
    <t>ЗЕНИТ-АРЕНА, ООО</t>
  </si>
  <si>
    <t>ЗЕНТИВА ФАРМА, ООО</t>
  </si>
  <si>
    <t>ЗЕРНО-ТОРГ, ООО</t>
  </si>
  <si>
    <t>ЗЕРНО-ТРЕЙД, ООО</t>
  </si>
  <si>
    <t>ЗЕРНОВАЯ КОМПАНИЯ НОВОПЕТРОВСКАЯ, ООО</t>
  </si>
  <si>
    <t>ЗЕРНОВАЯ КОМПАНИЯ ЭФКО, ООО</t>
  </si>
  <si>
    <t>ЗЕРНОТОРГ, ООО</t>
  </si>
  <si>
    <t>ЗЕТТЕК, ООО</t>
  </si>
  <si>
    <t>ЗИКА, ООО</t>
  </si>
  <si>
    <t>ЗИО, АО</t>
  </si>
  <si>
    <t>ЗИО-ЗДОРОВЬЕ, ЗАО</t>
  </si>
  <si>
    <t>ЗИРАКС, ООО</t>
  </si>
  <si>
    <t>ЗИТАР, ООО</t>
  </si>
  <si>
    <t>ЗИТАР-СНАБ, ООО</t>
  </si>
  <si>
    <t>ЗК МАЙСКОЕ, ООО</t>
  </si>
  <si>
    <t>ЗК ОРЕНБУРГСКИЙ КОЛОС, ООО</t>
  </si>
  <si>
    <t>ЗК ЭФКО-К, ООО</t>
  </si>
  <si>
    <t>ЗКИ, АО</t>
  </si>
  <si>
    <t>ЗКПД ТДСК, ООО</t>
  </si>
  <si>
    <t>ЗКС, ООО</t>
  </si>
  <si>
    <t>ЗМК МОСТ, ООО</t>
  </si>
  <si>
    <t>ЗМК, АО</t>
  </si>
  <si>
    <t>ЗМК, ООО</t>
  </si>
  <si>
    <t>ЗМКФ СТАЛЬКОМПЛЕКТ, ООО</t>
  </si>
  <si>
    <t>ЗН ВОСТОК, ООО</t>
  </si>
  <si>
    <t>ЗНАМЕНСКИЙ СГЦ, ООО</t>
  </si>
  <si>
    <t>ЗНАМЯ, АО</t>
  </si>
  <si>
    <t>ГЭХ ТЕПЛОСТРОЙПРОЕКТ, АО</t>
  </si>
  <si>
    <t>ЗОК, АО</t>
  </si>
  <si>
    <t>ЗОЛОТАЯ КОРОНА, ЗАО</t>
  </si>
  <si>
    <t>ЗОЛОТАЯ РУСЬ, ООО ТД</t>
  </si>
  <si>
    <t>ЗОЛОТАЯ СЕМЕЧКА, ООО</t>
  </si>
  <si>
    <t>ЗОЛОТО СЕВЕРНОГО УРАЛА, АО</t>
  </si>
  <si>
    <t>ЗОЛОТО СЕЛИГДАРА, АО</t>
  </si>
  <si>
    <t>ЗОЛОТО ЫНЫКЧАНА, ООО СА</t>
  </si>
  <si>
    <t>ЗОЛОТОЙ СТАНДАРТ, ООО ТПЮД</t>
  </si>
  <si>
    <t>ЗОЛОТЫЕ ЛУГА, АО</t>
  </si>
  <si>
    <t>ЗООСТАНДАРТ, ООО</t>
  </si>
  <si>
    <t>ЗП, АО</t>
  </si>
  <si>
    <t>ЗПИ АЛЬТЕРНАТИВА, ООО</t>
  </si>
  <si>
    <t>ЗСК ГЛАССПРОМ, ООО</t>
  </si>
  <si>
    <t>ЗСК ПОЛИМЕРПРОФИЛЬ, ООО</t>
  </si>
  <si>
    <t>ЗССК, ООО</t>
  </si>
  <si>
    <t>ЗСЭМЗ, ООО</t>
  </si>
  <si>
    <t>ЗТИ ГРУПП, ООО</t>
  </si>
  <si>
    <t>ЗТИ МЕТАЛЛПАК, ООО</t>
  </si>
  <si>
    <t>ЗТКТ , ООО ЗЕРНОВОЙ ТЕРМИНАЛЬНЫЙ КОМПЛЕКС ТАМАНЬ, ООО</t>
  </si>
  <si>
    <t>ЗУБР ОВК, ЗАО</t>
  </si>
  <si>
    <t>ЗУМЛИОН КРАН, ООО</t>
  </si>
  <si>
    <t>ЗУМЛИОН ХЭВИ ИНДУСТРИ РУС, ООО</t>
  </si>
  <si>
    <t>И-ГРУПП, ООО</t>
  </si>
  <si>
    <t>И-МЕДИА, ООО</t>
  </si>
  <si>
    <t>ИА РИАЛВЕБ, ООО</t>
  </si>
  <si>
    <t>ИАТ, АО</t>
  </si>
  <si>
    <t>ИБС ИНФИНИСОФТ, ООО</t>
  </si>
  <si>
    <t>ИБС СОФТ, ООО</t>
  </si>
  <si>
    <t>ИБС ЭКСПЕРТИЗА, ООО</t>
  </si>
  <si>
    <t>ИБТ, ООО</t>
  </si>
  <si>
    <t>ИВ РОШЕ ВОСТОК, ООО</t>
  </si>
  <si>
    <t>ИВАНОВОЭНЕРГОСБЫТ, ООО</t>
  </si>
  <si>
    <t>ИВЕРС-АВТО, ООО</t>
  </si>
  <si>
    <t>ИВИ.РУ, ООО</t>
  </si>
  <si>
    <t>ИГ АБСОЛЮТ, ООО</t>
  </si>
  <si>
    <t>ИГЛ ЭНЕРДЖИ, ООО</t>
  </si>
  <si>
    <t>ИГРИСТЫЕ ВИНА, ЗАО</t>
  </si>
  <si>
    <t>ИДС БОРЖОМИ, ООО</t>
  </si>
  <si>
    <t>ИЖАВИА, АО</t>
  </si>
  <si>
    <t>ИЖНЕФТЕМАШ, ПАО</t>
  </si>
  <si>
    <t>ИЖТОРГМЕТАЛЛ, ЗАО</t>
  </si>
  <si>
    <t>ИЖЭНЕРГОСБЫТ, ООО</t>
  </si>
  <si>
    <t>ИЗБЕРДЕЕВСКИЙ ЭЛЕВАТОР, АО</t>
  </si>
  <si>
    <t>ИЗДАТЕЛЬСКАЯ ГРУППА АЗБУКА-АТТИКУС, ООО</t>
  </si>
  <si>
    <t>ИЗДАТЕЛЬСКИЙ ДОМ ПРОФ-ПРЕСС, ООО</t>
  </si>
  <si>
    <t>ИЗДАТЕЛЬСТВО АСТ, ООО</t>
  </si>
  <si>
    <t>ИЗДАТЕЛЬСТВО ПРОСВЕЩЕНИЕ, АО</t>
  </si>
  <si>
    <t>ИЗДАТЕЛЬСТВО ЭКСМО, ООО</t>
  </si>
  <si>
    <t>ИЗИ-МЕДИА, ООО</t>
  </si>
  <si>
    <t>ИЗМАЙЛОВО, ООО</t>
  </si>
  <si>
    <t>ИЗМАЛКОВСКИЙ ЭЛЕВАТОР, АО</t>
  </si>
  <si>
    <t>ИЗТТ, ООО</t>
  </si>
  <si>
    <t>ИК РЕГИОН, АО</t>
  </si>
  <si>
    <t>ИК ЭНЕРГИЯ, ООО</t>
  </si>
  <si>
    <t>ИКЕА ТОРГ, ООО</t>
  </si>
  <si>
    <t>ИКРА, ООО</t>
  </si>
  <si>
    <t>ИКС 5 ГИПЕР, ООО</t>
  </si>
  <si>
    <t>ИКС 5 НЕДВИЖИМОСТЬ, АО</t>
  </si>
  <si>
    <t>ИКС ОРЕХОВО-ЗУЕВО, ООО</t>
  </si>
  <si>
    <t>ИКС-ФАРМ, ООО</t>
  </si>
  <si>
    <t>ИКСЕЛЕРЕЙТ, ООО</t>
  </si>
  <si>
    <t>ИКФ СПАМИГ, ООО</t>
  </si>
  <si>
    <t>ИЛАН-НОРИЛЬСК, ООО</t>
  </si>
  <si>
    <t>ИЛЕКО, ООО</t>
  </si>
  <si>
    <t>ИЛИМ ГОФРА, АО</t>
  </si>
  <si>
    <t>ИЛИМ ТИМБЕР, ООО</t>
  </si>
  <si>
    <t>ИЛИМ-ТНП, ООО</t>
  </si>
  <si>
    <t>ИЛС, ООО</t>
  </si>
  <si>
    <t>ИЛЬ ДЕ БОТЭ, АО</t>
  </si>
  <si>
    <t>ИМ. В.И. ЛЕНИНА, РК</t>
  </si>
  <si>
    <t>ИМЕНИ ИЛЬИЧА, ОАО</t>
  </si>
  <si>
    <t>ИМБИАН ЛАБ, ООО</t>
  </si>
  <si>
    <t>ИМПЕРАТОРСКИЙ ТУЛЬСКИЙ ОРУЖЕЙНЫЙ ЗАВОД, ПАО</t>
  </si>
  <si>
    <t>ИМПЕРИАЛ ДАЙМОНД, ООО</t>
  </si>
  <si>
    <t>ИМПЕРИАЛ ДЬЮТИ ФРИ, АО</t>
  </si>
  <si>
    <t>ИМПЕРИАЛ, ООО</t>
  </si>
  <si>
    <t>ИНГКА СЕНТЕРС РУС ПРОПЕРТИ Б, ООО</t>
  </si>
  <si>
    <t>ИМПОРИА ТАЙЕРС, ООО</t>
  </si>
  <si>
    <t>ИМПОРИА ТРЕЙДИНГ, ООО</t>
  </si>
  <si>
    <t>ИМПОРТЛОГИСТИК, ООО</t>
  </si>
  <si>
    <t>ИМПОРТТЕЛЕКОМ, ООО</t>
  </si>
  <si>
    <t>ИМПРЕСС АРТ, ООО</t>
  </si>
  <si>
    <t>ИНГКА СЕНТЕРС РУС ПРОПЕРТИ А, ООО</t>
  </si>
  <si>
    <t>ИНГКА СЕНТЕРС РУС ОПЕРЭЙШН, ООО</t>
  </si>
  <si>
    <t>ОМК СТАЛЬНОЙ ПУТЬ, АО</t>
  </si>
  <si>
    <t>ИМПУЛЬС, ООО</t>
  </si>
  <si>
    <t>ИМПУЛЬС, ООО ТЕХНОПАРК</t>
  </si>
  <si>
    <t>КИРОВСКАЯ КЕРАМИКА, АО</t>
  </si>
  <si>
    <t>ИМПЭКС ЭЛЕКТРО, ООО</t>
  </si>
  <si>
    <t>ИМПЭКС, ООО</t>
  </si>
  <si>
    <t>ИМПЭКСНЕФТЕХИМ, ООО</t>
  </si>
  <si>
    <t>ИМПЭКСТРЕЙД, ООО</t>
  </si>
  <si>
    <t>ИМТ, ООО</t>
  </si>
  <si>
    <t>ИМТРЕЙД, ООО</t>
  </si>
  <si>
    <t>ИН-РИТЕЙЛ, ООО</t>
  </si>
  <si>
    <t>ИНАРКТИКА СЗ, ООО</t>
  </si>
  <si>
    <t>ИНАРКТИКА, ПАО</t>
  </si>
  <si>
    <t>ИНБЕВ ТРЕЙД, ООО</t>
  </si>
  <si>
    <t>ИНВЕНТА, ООО</t>
  </si>
  <si>
    <t>ИНВЕСТ АЛЬЯНС, АО</t>
  </si>
  <si>
    <t>ИНВЕСТ МЕНЕДЖМЕНТ, ООО</t>
  </si>
  <si>
    <t>ИНВЕСТ РАЗВИТИЕ, ООО</t>
  </si>
  <si>
    <t>ИНВЕСТ-УГЛЕСБЫТ, ООО</t>
  </si>
  <si>
    <t>ИНВЕСТГАРАНТ, ООО</t>
  </si>
  <si>
    <t>ИНВЕСТГЕОСЕРВИС, АО</t>
  </si>
  <si>
    <t>ИНВЕСТКОНЦЕПЦИЯ, ООО</t>
  </si>
  <si>
    <t>ИНВЕСТНЕФТЕТРЕЙД, ООО</t>
  </si>
  <si>
    <t>ИНВЕСТПРОФИ, ООО</t>
  </si>
  <si>
    <t>ИНВЕСТРЕСУРС, ООО</t>
  </si>
  <si>
    <t>ГАЗПРОМ ТРАНСГАЗ НИЖНИЙ НОВГОРОД, ООО</t>
  </si>
  <si>
    <t>ИНВЕСТСТРОЙ, ООО</t>
  </si>
  <si>
    <t>ИНВИТРО СПБ, ООО</t>
  </si>
  <si>
    <t>ИНВИТРО, ООО</t>
  </si>
  <si>
    <t>ИНВИТРО-МЕДСНАБ, ООО</t>
  </si>
  <si>
    <t>ИНВИТРО-СИБИРЬ, ООО</t>
  </si>
  <si>
    <t>ИНВИТРО-УРАЛ, ООО</t>
  </si>
  <si>
    <t>ИНГА, АО</t>
  </si>
  <si>
    <t>ИНГЕОКОМ КРК, АО</t>
  </si>
  <si>
    <t>ИНГРАД, ПАО</t>
  </si>
  <si>
    <t>ИНГРАДСТРОЙ, ООО СЗ</t>
  </si>
  <si>
    <t>ИНДУСТРИЯ СЕРВИС, АО</t>
  </si>
  <si>
    <t>ИНДЮШКИН ДВОР, ООО</t>
  </si>
  <si>
    <t>ИНЕЙ, ООО</t>
  </si>
  <si>
    <t>ИНЖЕНЕРНЫЕ ИЗЫСКАНИЯ, ООО</t>
  </si>
  <si>
    <t>ИНЖЕНЕРНЫЕ ТЕХНОЛОГИИ, ООО</t>
  </si>
  <si>
    <t>ИНЖЗАЩИТА, ООО</t>
  </si>
  <si>
    <t>ИНЖИНИРИНГ ГРУПП, ООО</t>
  </si>
  <si>
    <t>ИНЖСТРОЙ-ИННОВАЦИИ, ООО</t>
  </si>
  <si>
    <t>ИНК-ЗАПАД, АО</t>
  </si>
  <si>
    <t>ИНК-СТРОЙНЕФТЕГАЗ, ООО</t>
  </si>
  <si>
    <t>ИНК-ТКРС, ООО</t>
  </si>
  <si>
    <t>ИНКАТЕХ, ООО</t>
  </si>
  <si>
    <t>ИНКОМНЕФТЕРЕМОНТ, ООО</t>
  </si>
  <si>
    <t>ИНКОМНЕФТЬ, АО</t>
  </si>
  <si>
    <t>ИНКОМСИСТЕМ, ЗАО НИЦ</t>
  </si>
  <si>
    <t>ИНКОТЕК, ООО</t>
  </si>
  <si>
    <t>ИНКОТЕКС-СК, ООО</t>
  </si>
  <si>
    <t>ИНЛАЙН ГРУП, АО</t>
  </si>
  <si>
    <t>ИНЛАЙН ТЕЛЕКОМ СОЛЮШНС, ООО</t>
  </si>
  <si>
    <t>ИНМАКСО-ЛАКРА, ООО</t>
  </si>
  <si>
    <t>ИННОВАЦИОННАЯ МЕДИЦИНА, ООО</t>
  </si>
  <si>
    <t>ИННОВАЦИОННЫЕ РЕШЕНИЯ, ООО</t>
  </si>
  <si>
    <t>ИННОВАЦИОННЫЕ ТЕХНОЛОГИИ И РЕШЕНИЯ, ООО</t>
  </si>
  <si>
    <t>ИНОКСПОИНТ ГРУПП, ООО</t>
  </si>
  <si>
    <t>ИНОКСТРЕЙД, ООО</t>
  </si>
  <si>
    <t>ИНПАС КОМПАНИ, ООО</t>
  </si>
  <si>
    <t>ИНРОСТ-МСК, ООО</t>
  </si>
  <si>
    <t>ИНС, АО</t>
  </si>
  <si>
    <t>ИНСАЙТ, ООО ИМК</t>
  </si>
  <si>
    <t>ИНСИСТЕМС, АО</t>
  </si>
  <si>
    <t>ИНСИТЕХ, ООО</t>
  </si>
  <si>
    <t>ИНССТАЛЬ, ООО ПКФ</t>
  </si>
  <si>
    <t>ИНСТАМАРТ СЕРВИС, ООО</t>
  </si>
  <si>
    <t>ИНСТАНТА РУС, ООО</t>
  </si>
  <si>
    <t>ИНСТИТУТ ГИПРОНИКЕЛЬ, ООО</t>
  </si>
  <si>
    <t>ИНСТИТУТ ГИПРОСТРОЙМОСТ-САНКТ-ПЕТЕРБУРГ, АО</t>
  </si>
  <si>
    <t>ИНСТИТУТ МОСИНЖПРОЕКТ, ООО</t>
  </si>
  <si>
    <t>ИНСТИТУТ СТРОЙПРОЕКТ, АО</t>
  </si>
  <si>
    <t>ИНСТРОЙТЕХКОМ, ООО</t>
  </si>
  <si>
    <t>ИНТ-РЕСУРС, ООО</t>
  </si>
  <si>
    <t>ИНТЕГРА-БУРЕНИЕ, ООО</t>
  </si>
  <si>
    <t>ИНТЕГРА-СЕРВИСЫ, ООО</t>
  </si>
  <si>
    <t>ИНТЕГРАЦИЯ И РАЗВИТИЕ, АО</t>
  </si>
  <si>
    <t>ИНТЕК, ООО</t>
  </si>
  <si>
    <t>ИНТЕКО, АО</t>
  </si>
  <si>
    <t>ИНТЕЛЛЕКТУАЛЬНЫЕ СИСТЕМЫ, ООО</t>
  </si>
  <si>
    <t>ИНТЕЛМЕД, АО</t>
  </si>
  <si>
    <t>ИНТЕЛТРЕЙД, ООО</t>
  </si>
  <si>
    <t>ИНТЕР ГРЕЙН, ООО</t>
  </si>
  <si>
    <t>ИНТЕР РАО КАПИТАЛ, АО</t>
  </si>
  <si>
    <t>ИНТЕР РАО, ПАО</t>
  </si>
  <si>
    <t>ИНТЕР РАО-ИНЖИНИРИНГ, ООО</t>
  </si>
  <si>
    <t>ИНТЕР РАО-ИТ, ООО</t>
  </si>
  <si>
    <t>ИНТЕР РАО-ЭЛЕКТРОГЕНЕРАЦИЯ, АО</t>
  </si>
  <si>
    <t>ИНТЕР-РУС, ООО</t>
  </si>
  <si>
    <t>ИНТЕРАКТИВНЫЕ СИСТЕМЫ, ООО</t>
  </si>
  <si>
    <t>ИНТЕРВЕТ, ООО</t>
  </si>
  <si>
    <t>ИНТЕРДИСП ГРУПП, АО</t>
  </si>
  <si>
    <t>ИНТЕРДИСП РУС, ООО</t>
  </si>
  <si>
    <t>ИНТЕРИНСТРУМЕНТ-КОМПЛЕКТСЕРВИС, АО</t>
  </si>
  <si>
    <t>ИНТЕРКОМ, ООО</t>
  </si>
  <si>
    <t>ИНТЕРЛАЙН ТРЕЙД, ООО</t>
  </si>
  <si>
    <t>ИНТЕРЛЕК, ООО</t>
  </si>
  <si>
    <t>ИНТЕРЛИЗИНГ, ООО</t>
  </si>
  <si>
    <t>ИНТЕРМЕТГРУПП, ООО</t>
  </si>
  <si>
    <t>ИНТЕРМЕТТРЕЙД, ООО</t>
  </si>
  <si>
    <t>ИНТЕРНЕТ РЕШЕНИЯ, ООО</t>
  </si>
  <si>
    <t>ИНТЕРНЭШНЛ РЕСТОРАНТ БРЭНДС, ООО</t>
  </si>
  <si>
    <t>ИНТЕРНЭШНЛ ТОБАККО ГРУПП ВОЛГА, ООО</t>
  </si>
  <si>
    <t>ИНТЕРНЭШНЛ ТОБАККО ГРУПП, ООО</t>
  </si>
  <si>
    <t>ИНТЕРПАК, ООО</t>
  </si>
  <si>
    <t>ИНТЕРПАРТНЕР, ООО ФИРМА</t>
  </si>
  <si>
    <t>ИНТЕРПЛАСТИК 2001, ООО</t>
  </si>
  <si>
    <t>ИНТЕРПОЛ, ООО СК</t>
  </si>
  <si>
    <t>ИНТЕРПРИНТ САМАРА, ООО</t>
  </si>
  <si>
    <t>ИНТЕРСТРОЙ, ООО</t>
  </si>
  <si>
    <t>ИНТЕРТЕХЭЛЕКТРО, АО</t>
  </si>
  <si>
    <t>ИНТЕРФАКС, АО</t>
  </si>
  <si>
    <t>ИНТЕРШИНА, ООО</t>
  </si>
  <si>
    <t>ИНТЕРЬЕРНЫЕ РЕШЕНИЯ, ООО</t>
  </si>
  <si>
    <t>ИНТЕРЭНЕРГО СТРОЙМОНТАЖ, ООО</t>
  </si>
  <si>
    <t>ИНТЕРЭНЕРГО, ООО</t>
  </si>
  <si>
    <t>ИНТЕСМО, ООО</t>
  </si>
  <si>
    <t>ИНТЕХ, ООО НПП</t>
  </si>
  <si>
    <t>ИНТРАРОС, АО</t>
  </si>
  <si>
    <t>ИНТРОПЛАСТИКА, ООО</t>
  </si>
  <si>
    <t>ИНТЭК, ООО</t>
  </si>
  <si>
    <t>ИНФАМЕД К, ООО</t>
  </si>
  <si>
    <t>ИНФАПРИМ, АО</t>
  </si>
  <si>
    <t>ИНФАПРИМ, ЗАО</t>
  </si>
  <si>
    <t>ИНФОБИП, ООО</t>
  </si>
  <si>
    <t>ИНФОКОМЭКСИМ, ООО</t>
  </si>
  <si>
    <t>ИНФОЛИНК, АО</t>
  </si>
  <si>
    <t>ИНФОРКОМ-СЕТЬ, ООО</t>
  </si>
  <si>
    <t>ИНФОРМ, ООО</t>
  </si>
  <si>
    <t>ИНФОРМАЦИОННОЕ АГЕНТСТВО ИНТЕРФАКС, АО</t>
  </si>
  <si>
    <t>ИНФОРМАЦИОННЫЕ СИСТЕМЫ, ООО</t>
  </si>
  <si>
    <t>ИНФОРМЗАЩИТА, АО НИП</t>
  </si>
  <si>
    <t>ИНФОСИСТЕМЫ ДЖЕТ, АО</t>
  </si>
  <si>
    <t>ИНФОСЭЛ, АО</t>
  </si>
  <si>
    <t>ИНФОТЕК-БАЛТИКА М, АО</t>
  </si>
  <si>
    <t>ИНФОТЕКС, АО</t>
  </si>
  <si>
    <t>ИНФРАСТРУКТУРА ТК, ООО</t>
  </si>
  <si>
    <t>ЗСК, ООО</t>
  </si>
  <si>
    <t>ИОКОГАВА ЭЛЕКТРИК СНГ, ООО</t>
  </si>
  <si>
    <t>ИОМЗ, АО</t>
  </si>
  <si>
    <t>ИОНООБМЕННЫЕ ТЕХНОЛОГИИ, АО</t>
  </si>
  <si>
    <t>ИПИГАЗ, ООО</t>
  </si>
  <si>
    <t>ИПП, ООО</t>
  </si>
  <si>
    <t>ИПСЕН, ООО</t>
  </si>
  <si>
    <t>ИПСОС КОМКОН, ООО</t>
  </si>
  <si>
    <t>ИР ДЕВЕЛОПМЕНТ, ООО</t>
  </si>
  <si>
    <t>ИРАЭРО, АО АВИАКОМПАНИЯ</t>
  </si>
  <si>
    <t>ИРБИС, ООО</t>
  </si>
  <si>
    <t>ИРБИТСКИЙ МОЛОЧНЫЙ ЗАВОД, АО</t>
  </si>
  <si>
    <t>ИРВИН 2, ООО</t>
  </si>
  <si>
    <t>ИРВИН, ООО</t>
  </si>
  <si>
    <t>ИРГИРЕДМЕТ, АО</t>
  </si>
  <si>
    <t>ИРДОН, ООО</t>
  </si>
  <si>
    <t>ИРЖТРАНС, ООО</t>
  </si>
  <si>
    <t>ИРЗ ТЭК, ООО</t>
  </si>
  <si>
    <t>ИРКУТСКИЙ МАСЛОЖИРКОМБИНАТ, ООО</t>
  </si>
  <si>
    <t>ИРКУТСККАБЕЛЬ, АО</t>
  </si>
  <si>
    <t>ИРКУТСКЭНЕРГО, АО</t>
  </si>
  <si>
    <t>ИРКУТСКЭНЕРГОСБЫТ, ООО</t>
  </si>
  <si>
    <t>ИРМЕНЬ, ЗАО ПЛЕМЗАВОД</t>
  </si>
  <si>
    <t>ИРНА, ООО ТПК</t>
  </si>
  <si>
    <t>ИРОКИНДА, ООО</t>
  </si>
  <si>
    <t>ИРЭ-ПОЛЮС, ООО НТО</t>
  </si>
  <si>
    <t>ИСК ПЕТРОИНЖИНИРИНГ, ООО</t>
  </si>
  <si>
    <t>ИСКИТИМСКИЕ КОРМА, ООО ТД</t>
  </si>
  <si>
    <t>ИСКИТИМЦЕМЕНТ, АО</t>
  </si>
  <si>
    <t>ИСКОЖ, АО</t>
  </si>
  <si>
    <t>ИСКРА, АО</t>
  </si>
  <si>
    <t>ИСКРА, ПАО НПО</t>
  </si>
  <si>
    <t>ИСРАТЭК С, ООО</t>
  </si>
  <si>
    <t>ИССИ СПИРИТС, ООО</t>
  </si>
  <si>
    <t>ИСТ КОНТЕХ, ООО</t>
  </si>
  <si>
    <t>ИСТ ТРЕЙД КОНСАЛТ, ООО</t>
  </si>
  <si>
    <t>ИСТ ТРЕЙД, ООО</t>
  </si>
  <si>
    <t>ИСТ-ВЕСТ ЛОДЖИСТИКС, ООО</t>
  </si>
  <si>
    <t>ИСТ-КОЛЫМА, ООО</t>
  </si>
  <si>
    <t>ИСТЛАЙНСЕВЕН, ООО</t>
  </si>
  <si>
    <t>ИСТОК, ООО</t>
  </si>
  <si>
    <t>ИСУЗУ РУС, АО</t>
  </si>
  <si>
    <t>ИСХЗК, ООО</t>
  </si>
  <si>
    <t>ИСЦ УГМК, АО</t>
  </si>
  <si>
    <t>ИТЕКО РЕСУРС, АО</t>
  </si>
  <si>
    <t>ИТЕКО РОССИЯ, ООО</t>
  </si>
  <si>
    <t>ИТЕРА, АО</t>
  </si>
  <si>
    <t>ИТЕРН, ООО</t>
  </si>
  <si>
    <t>ИТЗ, АО</t>
  </si>
  <si>
    <t>ИТПЗ, ООО</t>
  </si>
  <si>
    <t>ИТРАКО, АО</t>
  </si>
  <si>
    <t>ИФК, АО</t>
  </si>
  <si>
    <t>ИФС КАПИТАЛ, ООО</t>
  </si>
  <si>
    <t>ИФСК АРКС, ООО</t>
  </si>
  <si>
    <t>ИЦ ГАЗИНФОРМПЛАСТ, ООО</t>
  </si>
  <si>
    <t>ИЦ ЕВРОПЕЙСКАЯ ЭЛЕКТРОТЕХНИКА, ООО</t>
  </si>
  <si>
    <t>ИЦ ЭАК, ООО</t>
  </si>
  <si>
    <t>ИЦ ЭНЕРГОСТРОЙ, ООО</t>
  </si>
  <si>
    <t>ИШИМСКИЙ МЯСОКОМБИНАТ, ООО</t>
  </si>
  <si>
    <t>ИЭ ЖКХ, АО</t>
  </si>
  <si>
    <t>ИЭСК, ОАО</t>
  </si>
  <si>
    <t>ЙОКОХАМА Р.П.З., ООО</t>
  </si>
  <si>
    <t>ЙОШКАР-ОЛИНСКИЙ МЯСОКОМБИНАТ, АО</t>
  </si>
  <si>
    <t>К+31, АО</t>
  </si>
  <si>
    <t>К-ТЕЛЕКОМ, ООО</t>
  </si>
  <si>
    <t>К2 ИНТЕГРАЦИЯ, АО</t>
  </si>
  <si>
    <t>КА ЭКСПОРТ, ООО</t>
  </si>
  <si>
    <t>КА, ООО ТД</t>
  </si>
  <si>
    <t>КАБЕЛЬНЫЙ ЗАВОД АЛЮР, ООО</t>
  </si>
  <si>
    <t>КАБЕЛЬНЫЙ ЗАВОД КАБЭКС, ООО</t>
  </si>
  <si>
    <t>КАБМЕТ, ООО</t>
  </si>
  <si>
    <t>КАБЭЛК, ООО</t>
  </si>
  <si>
    <t>КАВКАЗЦЕМЕНТ, АО</t>
  </si>
  <si>
    <t>КАЗАНСКАЯ МЕЛЬНИЦА, ООО</t>
  </si>
  <si>
    <t>КАЗАНСКИЙ МОЛОЧНЫЙ КОМБИНАТ, ООО</t>
  </si>
  <si>
    <t>КАЗАНЬ РЕАЛ ЭСТЕЙТ, ООО</t>
  </si>
  <si>
    <t>КАЗАНЬКОМПРЕССОРМАШ, АО</t>
  </si>
  <si>
    <t>КАЗАНЬОРГСИНТЕЗ, ПАО</t>
  </si>
  <si>
    <t>КАЗДОРСТРОЙ, ОАО</t>
  </si>
  <si>
    <t>КАЗМЕТРОСТРОЙ, АО</t>
  </si>
  <si>
    <t>КАЗПРОМ, ООО</t>
  </si>
  <si>
    <t>КАЗЬМИНСКИЙ, СПК КОЛХОЗ-ПЛЕМЗАВОД</t>
  </si>
  <si>
    <t>КАЗЭНЕРГО, АО</t>
  </si>
  <si>
    <t>КАЛЕВАЛА, ООО ДОК</t>
  </si>
  <si>
    <t>КАЛИНИНГРАДНЕФТЕПРОДУКТ, ООО</t>
  </si>
  <si>
    <t>КАЛИНИНГРАДСКАЯ ГЕНЕРАЦИЯ, ООО</t>
  </si>
  <si>
    <t>КАЛИНИНГРАДСКИЙ ЯНТАРНЫЙ КОМБИНАТ, АО</t>
  </si>
  <si>
    <t>КАЛИНИНГРАДТЕПЛОСЕТЬ, МП</t>
  </si>
  <si>
    <t>КАЛМАНСКИЙ КХП, ООО</t>
  </si>
  <si>
    <t>КАЛУГАГЛАВСНАБ, АО</t>
  </si>
  <si>
    <t>КАЛУГАРЕМПУТЬМАШ-СЕРВИС, ООО ПТК</t>
  </si>
  <si>
    <t>КАЛУГАФАРМАЦИЯ, ГП</t>
  </si>
  <si>
    <t>КАЛУЖСКАЯ НИВА, ООО</t>
  </si>
  <si>
    <t>КАЛУЖСКАЯ СБЫТОВАЯ КОМПАНИЯ, ПАО</t>
  </si>
  <si>
    <t>КАЛЦРУ, ООО</t>
  </si>
  <si>
    <t>КАМА, ООО</t>
  </si>
  <si>
    <t>КАМА-ПЛАСТИК, ООО</t>
  </si>
  <si>
    <t>КАМАВТОКОМПЛЕКТ-ИЖЕВСК, ООО</t>
  </si>
  <si>
    <t>КАМАЗЦЕНТР-КУРГАН, ООО</t>
  </si>
  <si>
    <t>КАМЕЛОТ-А, ООО</t>
  </si>
  <si>
    <t>КАМЕНСКАЯ БКФ, АО</t>
  </si>
  <si>
    <t>КАМЕРТОН, ООО КА</t>
  </si>
  <si>
    <t>КАМИ-ГРУПП, ООО</t>
  </si>
  <si>
    <t>КАММИНЗ, ООО</t>
  </si>
  <si>
    <t>КАМПАН, ООО</t>
  </si>
  <si>
    <t>КАМПАРИ РУС, ООО</t>
  </si>
  <si>
    <t>КАМПИНА, ООО</t>
  </si>
  <si>
    <t>КАМСКИЙ БЕКОН, ООО</t>
  </si>
  <si>
    <t>КАМСС, ООО</t>
  </si>
  <si>
    <t>КАМСС-СЕРВИС, ООО</t>
  </si>
  <si>
    <t>КАМТЭКС-ХИМПРОМ, АО</t>
  </si>
  <si>
    <t>КАМЦЕНТР, ООО</t>
  </si>
  <si>
    <t>КАМЧАТКА КРАБ, ООО</t>
  </si>
  <si>
    <t>КАМЧАТСКОЕ ЗОЛОТО, АО</t>
  </si>
  <si>
    <t>ДПД РУС, АО</t>
  </si>
  <si>
    <t>КАН.СТРОЙ, ООО</t>
  </si>
  <si>
    <t>КАНДИ С.Н.Г., ООО</t>
  </si>
  <si>
    <t>КАНОН РУ, ООО</t>
  </si>
  <si>
    <t>КАПИТАЛ ГРУП, ООО</t>
  </si>
  <si>
    <t>КАПИТАЛ-СИТИ, ООО</t>
  </si>
  <si>
    <t>КАПИТЕЛЬ, ООО</t>
  </si>
  <si>
    <t>КАПО, ООО</t>
  </si>
  <si>
    <t>КАПРОН, ООО</t>
  </si>
  <si>
    <t>КАПСТРОЙ, ООО ТОРГОВЫЙ ДОМ</t>
  </si>
  <si>
    <t>КАР АЦ, ООО</t>
  </si>
  <si>
    <t>КАРАВАЙ КУБАНИ, ООО ТД</t>
  </si>
  <si>
    <t>КАРАВАЙ, ОАО</t>
  </si>
  <si>
    <t>КАРАВАН 24, ООО</t>
  </si>
  <si>
    <t>КАРАТ, АО</t>
  </si>
  <si>
    <t>КАРАТ-1, АО</t>
  </si>
  <si>
    <t>КАРАЧИНСКИЙ ИСТОЧНИК, ООО</t>
  </si>
  <si>
    <t>КАРБОН УГОЛЬ, ООО</t>
  </si>
  <si>
    <t>КАРГИЛЛ, ООО</t>
  </si>
  <si>
    <t>КАРД-ИНФО СЕРВИС, ООО</t>
  </si>
  <si>
    <t>КАРДИОМЕДИКС, ООО</t>
  </si>
  <si>
    <t>КАРИ, ООО</t>
  </si>
  <si>
    <t>КАРКАДЕ, ООО</t>
  </si>
  <si>
    <t>КАРКАС МОНОЛИТ, ООО</t>
  </si>
  <si>
    <t>КАРЛ ЦЕЙСС, ООО</t>
  </si>
  <si>
    <t>КАРМАРТ, ООО</t>
  </si>
  <si>
    <t>КАРТЛИ, ООО</t>
  </si>
  <si>
    <t>КАРТОНТАРА, ООО</t>
  </si>
  <si>
    <t>КАРЬЕР-СЕРВИС, ООО</t>
  </si>
  <si>
    <t>КАРЬЕРНЫЕ МАШИНЫ, ООО</t>
  </si>
  <si>
    <t>КАСКАД, ООО</t>
  </si>
  <si>
    <t>КАСКАД-ЭНЕРГО, ООО</t>
  </si>
  <si>
    <t>КАСКАД-ЭНЕРГОСБЫТ, ООО</t>
  </si>
  <si>
    <t>КАСТАМОНУ ИНТЕГРЕЙТЕД ВУД ИНДАСТРИ, ООО</t>
  </si>
  <si>
    <t>КАСТОР, ООО</t>
  </si>
  <si>
    <t>КАСТОРАМА РУС, ООО</t>
  </si>
  <si>
    <t>КАТАВСКИЙ ЦЕМЕНТ, АО</t>
  </si>
  <si>
    <t>КАТЕРПИЛЛАР ТОСНО, ООО</t>
  </si>
  <si>
    <t>КАТКОНЕФТЬ, ООО</t>
  </si>
  <si>
    <t>КАТОБЬНЕФТЬ, ООО</t>
  </si>
  <si>
    <t>КАТОЙЛ-ДРИЛЛИНГ, ООО</t>
  </si>
  <si>
    <t>КАТРЕН, АО НПК</t>
  </si>
  <si>
    <t>КАТЮША, ООО МК</t>
  </si>
  <si>
    <t>КАУСТИК, АО</t>
  </si>
  <si>
    <t>КАШЕМИР КАПИТАЛ, ООО</t>
  </si>
  <si>
    <t>КАШИРСКИЙ ДВОР-СЕВЕРЯНИН, АО</t>
  </si>
  <si>
    <t>КАШИРСКИЙ РО, ООО</t>
  </si>
  <si>
    <t>КБ ПОЖАРНОЙ АВТОМАТИКИ, ООО</t>
  </si>
  <si>
    <t>КБ РЖД-МЕДИЦИНА ИМ.Н.А.СЕМАШКО, ЧУЗ</t>
  </si>
  <si>
    <t>КБК ЧЕРЁМУШКИ, АО</t>
  </si>
  <si>
    <t>КБК ЧЕРЕМУШКИ, ОАО</t>
  </si>
  <si>
    <t>КВ АГРО, АО</t>
  </si>
  <si>
    <t>КВАДРА, АО</t>
  </si>
  <si>
    <t>КВАНТ, ООО</t>
  </si>
  <si>
    <t>КВАРЦ ГРУПП, ООО</t>
  </si>
  <si>
    <t>КВИН, ООО</t>
  </si>
  <si>
    <t>КВИНТМАДИ, АО</t>
  </si>
  <si>
    <t>КВК ГРУПП, ООО</t>
  </si>
  <si>
    <t>КВРЗ НОВОТРАНС, ООО</t>
  </si>
  <si>
    <t>КВС ИНТЕРНЭШНЛ, ООО</t>
  </si>
  <si>
    <t>КВС РУС, ООО</t>
  </si>
  <si>
    <t>КВС-СТРОЙ, ООО</t>
  </si>
  <si>
    <t>КВУ, ООО</t>
  </si>
  <si>
    <t>КГ СТРОЙ СИСТЕМЫ, ООО</t>
  </si>
  <si>
    <t>КГК, ПАО</t>
  </si>
  <si>
    <t>КД-ОЙЛ, ООО</t>
  </si>
  <si>
    <t>КДВ ВОРОНЕЖ, ООО</t>
  </si>
  <si>
    <t>КДВ ГРУПП, ООО</t>
  </si>
  <si>
    <t>КДВ КРАСНОДАР, ООО</t>
  </si>
  <si>
    <t>КДВ МИНУСИНСК, ООО</t>
  </si>
  <si>
    <t>КДВ НИЖНИЙ ТАГИЛ, ООО</t>
  </si>
  <si>
    <t>КДВ НОВОСИБИРСК, ООО</t>
  </si>
  <si>
    <t>КДВ ПАВЛОВСКИЙ ПОСАД, ЗАО</t>
  </si>
  <si>
    <t>КДВ ТУЛА, ООО</t>
  </si>
  <si>
    <t>КДВ ЯШКИНО, ООО</t>
  </si>
  <si>
    <t>КДЛ ДОМОДЕДОВО-ТЕСТ, ООО</t>
  </si>
  <si>
    <t>КДЛ ТЕСТ, ООО</t>
  </si>
  <si>
    <t>КДП, ЗАО</t>
  </si>
  <si>
    <t>КДС, ООО</t>
  </si>
  <si>
    <t>КЕДР, ООО</t>
  </si>
  <si>
    <t>КЕЙ ТИ ЭН ДЖИ ГЛОБАЛ РУС, ООО</t>
  </si>
  <si>
    <t>КЕЙ ТИ ЭН ДЖИ РУС, ООО</t>
  </si>
  <si>
    <t>КЕЛЛОГГ РУС, ООО</t>
  </si>
  <si>
    <t>КЕМДЕЛ, ООО</t>
  </si>
  <si>
    <t>КЕМЕРОВО-ТОРГ, ООО</t>
  </si>
  <si>
    <t>КЕМЕРОВОСПЕЦСТРОЙ, АО</t>
  </si>
  <si>
    <t>КЕМЕРОВСКАЯ ГЕНЕРАЦИЯ, АО</t>
  </si>
  <si>
    <t>КЕМИКАЛ КОМПОНЕНТС ЭНД КОМПАУНДС, ООО</t>
  </si>
  <si>
    <t>КЕМПАРТНЕРС, ООО</t>
  </si>
  <si>
    <t>КЕНМЕР ГРАДНЯ, ООО</t>
  </si>
  <si>
    <t>КЕНМЕР, ООО</t>
  </si>
  <si>
    <t>КАМЧАТСКЭНЕРГО, ПАО</t>
  </si>
  <si>
    <t>КЕРАМА МАРАЦЦИ, ООО</t>
  </si>
  <si>
    <t>КЕРАМА ЦЕНТР, ООО</t>
  </si>
  <si>
    <t>КЕРАМИК, АО</t>
  </si>
  <si>
    <t>КЕРХЕР, ООО</t>
  </si>
  <si>
    <t>КЕРЧЕНСКИЙ МЕТАЛЛУРГИЧЕСКИЙ ЗАВОД, АО</t>
  </si>
  <si>
    <t>КЕХ ЕКОММЕРЦ, ООО</t>
  </si>
  <si>
    <t>КЖД, ФГУП</t>
  </si>
  <si>
    <t>КБ РЖД-МЕДИЦИНА Г. ЧЕЛЯБИНСК, ЧУЗ</t>
  </si>
  <si>
    <t>КЗ РОСТСЕЛЬМАШ, ООО</t>
  </si>
  <si>
    <t>КЗ ЦВЕТЛИТ, ООО</t>
  </si>
  <si>
    <t>КЗ ЭКСПЕРТ-КАБЕЛЬ, ООО</t>
  </si>
  <si>
    <t>КЗМ, ООО</t>
  </si>
  <si>
    <t>КЗМК, АО</t>
  </si>
  <si>
    <t>КЗНМ, ООО</t>
  </si>
  <si>
    <t>КЗОЦМ, АО</t>
  </si>
  <si>
    <t>КЗПМ, ООО</t>
  </si>
  <si>
    <t>КЗСК, АО</t>
  </si>
  <si>
    <t>КЗФ, ПАО</t>
  </si>
  <si>
    <t>КЗХ БИРЮСА, ОАО</t>
  </si>
  <si>
    <t>КЗХ, ООО</t>
  </si>
  <si>
    <t>КИА РОССИЯ И СНГ, ООО</t>
  </si>
  <si>
    <t>КИВИ, АО</t>
  </si>
  <si>
    <t>КИЗЛЯРСКИЙ КОНЬЯЧНЫЙ ЗАВОД, АО</t>
  </si>
  <si>
    <t>КИМБЕРЛИ-КЛАРК, ООО</t>
  </si>
  <si>
    <t>КИОСЕРА ДОКУМЕНТ СОЛЮШЕНЗ РУС, ООО</t>
  </si>
  <si>
    <t>КИРЕЛИС, ООО</t>
  </si>
  <si>
    <t>КИРИШИАВТОСЕРВИС, ООО</t>
  </si>
  <si>
    <t>КИРОВ ТАЙР, ООО ПК</t>
  </si>
  <si>
    <t>КИРОВМОЛКОМБИНАТ (ЗАО КМК ), ЗАО</t>
  </si>
  <si>
    <t>КИРУС, ООО</t>
  </si>
  <si>
    <t>ЗЕМТЕК МАЙНИНГ, ООО</t>
  </si>
  <si>
    <t>КИСТОУН ЛОДЖИСТИКС, ООО</t>
  </si>
  <si>
    <t>КИТ СТРОЙ, ООО</t>
  </si>
  <si>
    <t>КИТ.ТК, ООО</t>
  </si>
  <si>
    <t>КИТАЙСТРОЙ, ООО</t>
  </si>
  <si>
    <t>КИФАТО МК, ООО</t>
  </si>
  <si>
    <t>КК ОЗЕРСКИЙ СУВЕНИР, ООО</t>
  </si>
  <si>
    <t>ККЗ, ОАО</t>
  </si>
  <si>
    <t>ККЗ, ООО</t>
  </si>
  <si>
    <t>ККПД, АО</t>
  </si>
  <si>
    <t>ККХП, АО</t>
  </si>
  <si>
    <t>КЛААС ВОСТОК, ООО</t>
  </si>
  <si>
    <t>КЛААС, ООО</t>
  </si>
  <si>
    <t>КЛАКСОН ПЛЮС, ООО</t>
  </si>
  <si>
    <t>КЛЕВЕР, АО</t>
  </si>
  <si>
    <t>КЛЕМАН, ООО</t>
  </si>
  <si>
    <t>КЛИК.РУ, ООО</t>
  </si>
  <si>
    <t>КЛИМАТ, ООО</t>
  </si>
  <si>
    <t>КЛИНИКА ЕКАТЕРИНИНСКАЯ, ООО</t>
  </si>
  <si>
    <t>КЛИНИКА ЛМС, ООО</t>
  </si>
  <si>
    <t>КЛС-ТРЕЙД, ООО</t>
  </si>
  <si>
    <t>КЛЮЧАВТО АВТОМОБИЛИ С ПРОБЕГОМ, ООО</t>
  </si>
  <si>
    <t>КМ, АО</t>
  </si>
  <si>
    <t>КМ-СТРОЙ, ООО</t>
  </si>
  <si>
    <t>КМА-ЭНЕРГОСБЫТ, ООО</t>
  </si>
  <si>
    <t>КМЗ, ПАО</t>
  </si>
  <si>
    <t>КМК, ООО</t>
  </si>
  <si>
    <t>КМК ТЭМПО, АО</t>
  </si>
  <si>
    <t>КМКК, ЗАО</t>
  </si>
  <si>
    <t>КМП ВОСТОК, ООО</t>
  </si>
  <si>
    <t>КМП УРАЛ, ООО</t>
  </si>
  <si>
    <t>КМП ЮГ, ООО</t>
  </si>
  <si>
    <t>КМП, ООО</t>
  </si>
  <si>
    <t>КМПЗ, ООО</t>
  </si>
  <si>
    <t>КМС, АО</t>
  </si>
  <si>
    <t>КНАУФ ГИПС БАЙКАЛ, ООО</t>
  </si>
  <si>
    <t>КНАУФ ГИПС КОЛПИНО, ООО</t>
  </si>
  <si>
    <t>КНАУФ ГИПС КУБАНЬ, ООО</t>
  </si>
  <si>
    <t>КНАУФ ГИПС НОВОМОСКОВСК, ООО</t>
  </si>
  <si>
    <t>КНАУФ ГИПС ЧЕЛЯБИНСК, ООО</t>
  </si>
  <si>
    <t>КНАУФ ГИПС, ООО</t>
  </si>
  <si>
    <t>КНАУФ ИНСУЛЕЙШН, ООО</t>
  </si>
  <si>
    <t>КНАУФ ПЕТРОБОРД, АО</t>
  </si>
  <si>
    <t>КНГК-ИНПЗ, ООО</t>
  </si>
  <si>
    <t>КНГФ, ОАО</t>
  </si>
  <si>
    <t>КНИЖНЫЙ МЕГАПОЛИС, ООО</t>
  </si>
  <si>
    <t>КНП, АО</t>
  </si>
  <si>
    <t>КНС ГРУПП, ООО</t>
  </si>
  <si>
    <t>КНЯГИНЯ, ООО</t>
  </si>
  <si>
    <t>КНЯЖЕНИКА, ООО</t>
  </si>
  <si>
    <t>КО СЛАВЯНКА, ООО</t>
  </si>
  <si>
    <t>КОВДОРСКИЙ ГОК, АО</t>
  </si>
  <si>
    <t>КОГАЛЫМ НПО-СЕРВИС, ООО</t>
  </si>
  <si>
    <t>КОГАЛЫМСКОЕ УТТ, ООО</t>
  </si>
  <si>
    <t>КОКС, ПАО</t>
  </si>
  <si>
    <t>КОЛБАСЫ ОТ ФАБРИКИ КАЧЕСТВА, ООО</t>
  </si>
  <si>
    <t>КОЛВИ, ООО</t>
  </si>
  <si>
    <t>КОЛГЕЙТ-ПАЛМОЛИВ, АО</t>
  </si>
  <si>
    <t>КОЛЕСА ДАРОМ.РУ, ООО</t>
  </si>
  <si>
    <t>КОЛИБРИ, ООО</t>
  </si>
  <si>
    <t>КОЛОМЕНСКИЙ, ЗАО БКК</t>
  </si>
  <si>
    <t>КОЛОМЕНСКОЕ ПОЛЕ, ООО</t>
  </si>
  <si>
    <t>КОЛОРЛОН, ООО КОМПАНИЯ</t>
  </si>
  <si>
    <t>КОЛХОЗ ИМ. БЕКЕРЕВА, АО</t>
  </si>
  <si>
    <t>КОЛЫМАВЗРЫВПРОМ, АО</t>
  </si>
  <si>
    <t>КОЛЫМАНЕФТЕПРОДУКТ, ООО</t>
  </si>
  <si>
    <t>КОЛЫМАЭНЕРГО, ПАО</t>
  </si>
  <si>
    <t>КОЛЫМСКАЯ РОССЫПЬ, АО</t>
  </si>
  <si>
    <t>КОМАВТО, ООО</t>
  </si>
  <si>
    <t>КОМАЦУ МЭНУФЭКЧУРИНГ РУС, ООО</t>
  </si>
  <si>
    <t>КОМАЦУ СНГ, ООО</t>
  </si>
  <si>
    <t>КОМБИНАТ АЛТАЙТАРА, ООО</t>
  </si>
  <si>
    <t>КОМБИНАТ МАГНЕЗИТ, ПАО</t>
  </si>
  <si>
    <t>КОМБИНАТ ПИТАНИЯ, ООО</t>
  </si>
  <si>
    <t>КОМБИНАТ ПИЩЕВОЙ ХОРОШИЙ ВКУС, АО</t>
  </si>
  <si>
    <t>КОМБИНАТ ПОЛУФАБРИКАТОВ СИБИРСКИЙ ГУРМАН, ООО</t>
  </si>
  <si>
    <t>КОМЕК МАШИНЕРИ, ООО</t>
  </si>
  <si>
    <t>КОМЕТА, ООО</t>
  </si>
  <si>
    <t>КОМИ ЭНЕРГОСБЫТОВАЯ КОМПАНИЯ, АО</t>
  </si>
  <si>
    <t>КОМИТАС, ООО</t>
  </si>
  <si>
    <t>КОМИТЕКС ЛИН, ООО</t>
  </si>
  <si>
    <t>КОМИТЕКС, АО</t>
  </si>
  <si>
    <t>КОМИТЕПЛОЭНЕРГО, ООО</t>
  </si>
  <si>
    <t>КОМКОР, АО</t>
  </si>
  <si>
    <t>КОММЕРЦИАЛ-ЦЕНТР, ООО</t>
  </si>
  <si>
    <t>КОММЕРЧЕСКИЙ ЦЕНТР РИЧ, ООО</t>
  </si>
  <si>
    <t>КОММУНАРОВСКИЙ РУДНИК, АО</t>
  </si>
  <si>
    <t>КОМОС ГРУПП, ООО</t>
  </si>
  <si>
    <t>КОМПАНИЯ А8, ООО</t>
  </si>
  <si>
    <t>КОМПАНИЯ АВТОКАРД, ООО</t>
  </si>
  <si>
    <t>КОМПАНИЯ АГОРА, ООО</t>
  </si>
  <si>
    <t>КОМПАНИЯ АЛЬФА, ООО</t>
  </si>
  <si>
    <t>КОМПАНИЯ АНГСТРЕМ ТРЕЙДИНГ, ООО</t>
  </si>
  <si>
    <t>КОМПАНИЯ АПРЕЛЬ, ООО</t>
  </si>
  <si>
    <t>КОМПАНИЯ АРНЕСТ, ОАО</t>
  </si>
  <si>
    <t>КОМПАНИЯ АРТАЛ, ООО</t>
  </si>
  <si>
    <t>КОМПАНИЯ АЭРОДАР, ООО</t>
  </si>
  <si>
    <t>КОМПАНИЯ АЮСС, ООО</t>
  </si>
  <si>
    <t>КОМПАНИЯ БИО, ООО</t>
  </si>
  <si>
    <t>КОМПАНИЯ БИС, ООО</t>
  </si>
  <si>
    <t>КОМПАНИЯ БЛАГО, ООО</t>
  </si>
  <si>
    <t>КОМПАНИЯ В.И.К., ООО</t>
  </si>
  <si>
    <t>КОМПАНИЯ ВОСТСИБУГОЛЬ, ООО</t>
  </si>
  <si>
    <t>КОМПАНИЯ ГРАЙН, ООО</t>
  </si>
  <si>
    <t>КОМПАНИЯ КИЛЬ-КАЗАНЬ, ООО</t>
  </si>
  <si>
    <t>КОМПАНИЯ КОЛОС, АО</t>
  </si>
  <si>
    <t>КОМПАНИЯ КРУС-3, ООО</t>
  </si>
  <si>
    <t>КОМПАНИЯ ЛАГУНА, ЗАО</t>
  </si>
  <si>
    <t>КОМПАНИЯ ЛУИС ДРЕЙФУС ВОСТОК, ООО</t>
  </si>
  <si>
    <t>КОМПАНИЯ ЛУИС+, ООО</t>
  </si>
  <si>
    <t>КОМПАНИЯ МЕТРОПОЛИС, ООО</t>
  </si>
  <si>
    <t>КОМПАНИЯ НАЛКО, ООО</t>
  </si>
  <si>
    <t>КОМПАНИЯ НЕФТЕМАРКЕТ, ООО</t>
  </si>
  <si>
    <t>КОМПАНИЯ НИПЕТОЙЛ, ООО</t>
  </si>
  <si>
    <t>КОМПАНИЯ ОРГАНИКА, ООО</t>
  </si>
  <si>
    <t>КОМПАНИЯ ПОЛЯРНОЕ СИЯНИЕ, ООО</t>
  </si>
  <si>
    <t>КОМПАНИЯ ПОТЕНЦИАЛ, ООО</t>
  </si>
  <si>
    <t>КОМПАНИЯ РАС, ООО</t>
  </si>
  <si>
    <t>КОМПАНИЯ РБТ, ООО</t>
  </si>
  <si>
    <t>КОМПАНИЯ РОСИНКА, АО</t>
  </si>
  <si>
    <t>КОМПАНИЯ РУССКИЙ СТАНДАРТ, ЗАО</t>
  </si>
  <si>
    <t>КОМПАНИЯ СИМ-АВТО, ООО</t>
  </si>
  <si>
    <t>КОМПАНИЯ СМАЙЛИ, ООО</t>
  </si>
  <si>
    <t>КОМПАНИЯ СПЕЦМОНТАЖПРОЕКТ, ООО</t>
  </si>
  <si>
    <t>КОМПАНИЯ СТИМУЛ, ООО</t>
  </si>
  <si>
    <t>КОМПАНИЯ ТЕНЗОР, ООО</t>
  </si>
  <si>
    <t>КОМПАНИЯ ТЕХНОСТРОЙ, ООО</t>
  </si>
  <si>
    <t>КОМПАНИЯ ТРАНСТЕЛЕКОМ, АО</t>
  </si>
  <si>
    <t>КОМПАНИЯ УФАОЙЛ, АО</t>
  </si>
  <si>
    <t>КОМПАНИЯ ФАРМСТОР, ООО</t>
  </si>
  <si>
    <t>КОМПАНИЯ ХАБАРОВСКАЯ ФАРМАЦИЯ, ООО</t>
  </si>
  <si>
    <t>КОМПАНИЯ ХЕЛИКОН, ООО</t>
  </si>
  <si>
    <t>КОМПАНИЯ ЦЕНТР, ООО</t>
  </si>
  <si>
    <t>КОМПАНИЯ ШУГАР, ООО</t>
  </si>
  <si>
    <t>КОМПАНИЯ ЭЛИТГРУПП, ООО</t>
  </si>
  <si>
    <t>КОМПАНИЯ ЮНИЛЭНД-ЕКАТЕРИНБУРГ, АО</t>
  </si>
  <si>
    <t>КОМПАС ФУДС, ООО</t>
  </si>
  <si>
    <t>КОМПЛЕКС-ОЙЛ, ООО</t>
  </si>
  <si>
    <t>КОМПЛЕКСНОЕ ОБЕСПЕЧЕНИЕ РЕГИОНОВ, ООО</t>
  </si>
  <si>
    <t>КОМПЛЕКСНЫЕ ПОСТАВКИ, ООО</t>
  </si>
  <si>
    <t>КОМПЛЕКСНЫЙ ТЕРМИНАЛ, ООО</t>
  </si>
  <si>
    <t>КОМПЛЕКТ-СЕРВИС, ООО</t>
  </si>
  <si>
    <t>КОМПЛЕКТСЕРВИС, АО</t>
  </si>
  <si>
    <t>КОМПЛЕКТСТРОЙ, ООО</t>
  </si>
  <si>
    <t>КОМПЛЕКТЭНЕРГО, ООО</t>
  </si>
  <si>
    <t>КОМПТЕК, ООО</t>
  </si>
  <si>
    <t>КОМПЭЛ, АО</t>
  </si>
  <si>
    <t>КОМСТРОЙ, ООО</t>
  </si>
  <si>
    <t>КОМТРАНС ЮГ, ООО ПТЦ</t>
  </si>
  <si>
    <t>КОМТРАНС, ООО</t>
  </si>
  <si>
    <t>КОМУС, ООО</t>
  </si>
  <si>
    <t>КОМФИЛЮКС, ООО</t>
  </si>
  <si>
    <t>КОНАР, АО</t>
  </si>
  <si>
    <t>КОНДИТЕР КУБАНИ, ООО</t>
  </si>
  <si>
    <t>КОНДИТЕРСКАЯ ФАБРИКА ВОЛЖАНКА, ООО</t>
  </si>
  <si>
    <t>КОНДИТЕРСКИЙ КОНЦЕРН БАБАЕВСКИЙ, ОАО</t>
  </si>
  <si>
    <t>КОНДОПОЖСКИЙ ЦБК, АО</t>
  </si>
  <si>
    <t>КОНКОРД, ООО</t>
  </si>
  <si>
    <t>КОНСЕРВ-ТРЕЙД, ООО</t>
  </si>
  <si>
    <t>КОНСЕРВНОЕ ПРЕДПРИЯТИЕ РУССКОЕ ПОЛЕ-АЛБАШИ, ООО</t>
  </si>
  <si>
    <t>КОНСОНАНС, ООО</t>
  </si>
  <si>
    <t>КОНСТАНЦИЯ КУБАНЬ, ЗАО</t>
  </si>
  <si>
    <t>КОНСТРАКШН, ООО</t>
  </si>
  <si>
    <t>КОНСУЛЬТАЦИОННО-ЭКСПЕРТНЫЙ ЦЕНТР, ООО</t>
  </si>
  <si>
    <t>КОНТАКТ, АО</t>
  </si>
  <si>
    <t>КОНТЕЙНЕКС-МОНОЛИТ, ООО</t>
  </si>
  <si>
    <t>КОНТИ-РУС, АО</t>
  </si>
  <si>
    <t>КОНТИНЕНТ, ООО</t>
  </si>
  <si>
    <t>КОНТИНЕНТ-ЛОГИСТИК, ООО</t>
  </si>
  <si>
    <t>КОНТИНЕНТАЛ КАЛУГА, ООО</t>
  </si>
  <si>
    <t>КОНТИНЕНТАЛ ТАЙРС РУС, ООО</t>
  </si>
  <si>
    <t>КОНТИНЕНТАЛЬ, ООО</t>
  </si>
  <si>
    <t>КОНТРАКТ, АО</t>
  </si>
  <si>
    <t>КОНТРАКТСЕРВИС, ООО</t>
  </si>
  <si>
    <t>КОНТРОЛ ЛИЗИНГ, ООО</t>
  </si>
  <si>
    <t>КОНТУР СПБ, ООО</t>
  </si>
  <si>
    <t>КОНФИТРЕЙД, ООО</t>
  </si>
  <si>
    <t>КОНФЛЕКС СПБ, ЗАО</t>
  </si>
  <si>
    <t>КОНЦЕПТ ГРУП, ООО</t>
  </si>
  <si>
    <t>КОНЦЕРН МОНАРХ, ООО</t>
  </si>
  <si>
    <t>КОНЦЕРН ПОКРОВСКИЙ, ООО ТД</t>
  </si>
  <si>
    <t>КОНЦЕРН РОССИУМ, ООО</t>
  </si>
  <si>
    <t>КОНЦЕРН РОСЭНЕРГОАТОМ, АО</t>
  </si>
  <si>
    <t>КОНЦЕССИИ ВОДОСНАБЖЕНИЯ, ООО</t>
  </si>
  <si>
    <t>КОНЦЕССИИ ТЕПЛОСНАБЖЕНИЯ, ООО</t>
  </si>
  <si>
    <t>ГРУП АТЛАНТИК ТЕПЛОЛЮКС, ООО</t>
  </si>
  <si>
    <t>КОПЕЙКА-М.О., ООО</t>
  </si>
  <si>
    <t>КОПЕЙКА-МОСКВА, ООО</t>
  </si>
  <si>
    <t>КОПЕЙКА-САРОВ, ООО</t>
  </si>
  <si>
    <t>КОПЕЙСКИЙ МАШЗАВОД, АО</t>
  </si>
  <si>
    <t>КОРАЛАЙНА ИНЖИНИРИНГ, АО</t>
  </si>
  <si>
    <t>КОРАЛЛ, ООО</t>
  </si>
  <si>
    <t>КОРВЕТ НГО, ООО</t>
  </si>
  <si>
    <t>КОРВЕТ, ООО</t>
  </si>
  <si>
    <t>КОРД-БУНКЕР, ООО</t>
  </si>
  <si>
    <t>КОРЕНОВСКСАХАР, АО</t>
  </si>
  <si>
    <t>КОРЗИНКА-6, ООО</t>
  </si>
  <si>
    <t>КОРИБ, ООО ТД</t>
  </si>
  <si>
    <t>КОРМОВИТ, ООО</t>
  </si>
  <si>
    <t>КОРНЕТ, ООО</t>
  </si>
  <si>
    <t>КОРНЕТ, ООО ТД</t>
  </si>
  <si>
    <t>КОРОЛЬ ДИВАНОВ, ООО</t>
  </si>
  <si>
    <t>КОРОЛЬ СЫРОВ, ООО ТД</t>
  </si>
  <si>
    <t>КОРОНА-ФУД, ООО</t>
  </si>
  <si>
    <t>КОРОТОЯКСКИЙ ЭЛЕВАТОР, АО</t>
  </si>
  <si>
    <t>КОРПОРАТИВНЫЙ УНИВЕРСИТЕТ СБЕРБАНКА, АНО ДПО</t>
  </si>
  <si>
    <t>КОРПОРАТИВНЫЙ ЦЕНТР ИКС 5, ООО</t>
  </si>
  <si>
    <t>КОРПОРАЦИЯ АК ЭСКМ, ООО</t>
  </si>
  <si>
    <t>КОРПОРАЦИЯ АТОМСТРОЙКОМПЛЕКС, АО</t>
  </si>
  <si>
    <t>КОРПОРАЦИЯ ГЛОРИЯ ДЖИНС, АО</t>
  </si>
  <si>
    <t>КОРПОРАЦИЯ ГРИНН, АО</t>
  </si>
  <si>
    <t>КОРПОРАЦИЯ МАЛКОМ, ЗАО</t>
  </si>
  <si>
    <t>КОРПОРАЦИЯ МЕТАЛЛИНВЕСТ, ООО</t>
  </si>
  <si>
    <t>КОРПОРАЦИЯ МОССТРОЙТРАНС, ООО</t>
  </si>
  <si>
    <t>КОРПОРАЦИЯ Р-ИНДУСТРИЯ, ООО</t>
  </si>
  <si>
    <t>КОРРУС-ТЕХНИКС, ООО</t>
  </si>
  <si>
    <t>КОРС НОВОМОСКОВСК, ООО</t>
  </si>
  <si>
    <t>КОРСАР, ООО</t>
  </si>
  <si>
    <t>КОРТ, ООО</t>
  </si>
  <si>
    <t>КОРТЕВА АГРИСАЕНС РУС, ООО</t>
  </si>
  <si>
    <t>КОРТЭ, ООО</t>
  </si>
  <si>
    <t>КОРУС КОНСАЛТИНГ СНГ, ООО</t>
  </si>
  <si>
    <t>КОРФ, ООО</t>
  </si>
  <si>
    <t>КОРЯКЭНЕРГО, АО</t>
  </si>
  <si>
    <t>КОСМОС-НЕФТЬ-ГАЗ, ООО ФПК</t>
  </si>
  <si>
    <t>КОСМОФАРМ, ООО</t>
  </si>
  <si>
    <t>КОСТРОМСКАЯ СБЫТОВАЯ КОМПАНИЯ , ПАО КСК, ПАО</t>
  </si>
  <si>
    <t>КОТАНИ, ООО</t>
  </si>
  <si>
    <t>КОТТОН КЛАБ, ООО</t>
  </si>
  <si>
    <t>КОУДАЙС МКОРМА, ООО</t>
  </si>
  <si>
    <t>КОФ ПАЛИТРА, ООО</t>
  </si>
  <si>
    <t>КОФЕЙНАЯ КОМПАНИЯ ВОКРУГ СВЕТА, ООО</t>
  </si>
  <si>
    <t>КОФЕЙНЫЙ ДОМ ХОРСЪ, ООО</t>
  </si>
  <si>
    <t>КОФКО ИНТЕРНЭШНЛ РУ, ООО</t>
  </si>
  <si>
    <t>КПВР СПЛАВ, ЗАО</t>
  </si>
  <si>
    <t>КПК, ООО</t>
  </si>
  <si>
    <t>КПО ЕГОРЬЕВСК, ООО</t>
  </si>
  <si>
    <t>КПС-УРАЛ, ООО</t>
  </si>
  <si>
    <t>КПФ МИЛОРАДА, ООО</t>
  </si>
  <si>
    <t>КРАЙДЭО, АО</t>
  </si>
  <si>
    <t>КРАЙЖИЛКОМРЕСУРС, АО</t>
  </si>
  <si>
    <t>КРАЙТЕПЛОЭНЕРГО, ГУП СК</t>
  </si>
  <si>
    <t>КРАСАВА, ООО</t>
  </si>
  <si>
    <t>КРАСАВИА, АО</t>
  </si>
  <si>
    <t>КРАСИНДОРСТРОЙ, ООО</t>
  </si>
  <si>
    <t>КРАСКОМ, ООО</t>
  </si>
  <si>
    <t>КРАСЛЕСИНВЕСТ, АО</t>
  </si>
  <si>
    <t>КРАСНАЯ ПОЛЯНА, НАО</t>
  </si>
  <si>
    <t>КРАСНОАРМЕЙСКОЕ ДРСУ, ООО</t>
  </si>
  <si>
    <t>КРАСНОБОР, ЗАО</t>
  </si>
  <si>
    <t>КРАСНОБОРСКОЕ, ООО</t>
  </si>
  <si>
    <t>КРАСНОГВАРДЕЙСКИЙ МОЛОЧНЫЙ ЗАВОД, ООО</t>
  </si>
  <si>
    <t>КРАСНОГОРСК МЭЙДЖОР, ООО</t>
  </si>
  <si>
    <t>КРАСНОГОРСКАЯ ТЕПЛОСЕТЬ, АО</t>
  </si>
  <si>
    <t>КРАСНОГОРСКИЙ КАФ, АО</t>
  </si>
  <si>
    <t>КРАСНОГОРСКЛЕКСРЕДСТВА, АО</t>
  </si>
  <si>
    <t>КРАСНОДАР ВОДОКАНАЛ, ООО</t>
  </si>
  <si>
    <t>КРАСНОДАРЗООВЕТСНАБ, ЗАО</t>
  </si>
  <si>
    <t>КРАСНОДАРИНВЕСТСТРОЙ, ООО СЗ</t>
  </si>
  <si>
    <t>КРАСНОЕ ЭХО, ООО</t>
  </si>
  <si>
    <t>КРАСНОКАМЕНСКАЯ, ООО ЦОФ</t>
  </si>
  <si>
    <t>КРАСНОЯРСК ЗЕРНО, ООО</t>
  </si>
  <si>
    <t>КРАСНОЯРСКАЯ ГЭС, АО</t>
  </si>
  <si>
    <t>КРАСНОЯРСКАЯ ТЭЦ-1, АО</t>
  </si>
  <si>
    <t>КРАСНОЯРСКИЙ ЦЕМЕНТ, ООО</t>
  </si>
  <si>
    <t>КРАСНОЯРСКЭНЕРГОКОМПЛЕКТ, ООО ТПК</t>
  </si>
  <si>
    <t>КРАСНОЯРСКЭНЕРГОСБЫТ, ПАО</t>
  </si>
  <si>
    <t>КРАСНОЯРУЖСКАЯ ЗЕРНОВАЯ КОМПАНИЯ, ЗАО</t>
  </si>
  <si>
    <t>КРАСНОЯРУЖСКИЙ САХАРНИК, ООО</t>
  </si>
  <si>
    <t>КРАСНЫЙ КВАДРАТ, ООО</t>
  </si>
  <si>
    <t>КРАСНЫЙ ОКТЯБРЬ, ПАО</t>
  </si>
  <si>
    <t>КРАСНЫЙ ЯКОРЬ, АО</t>
  </si>
  <si>
    <t>КРАСО, ООО МТК</t>
  </si>
  <si>
    <t>КРАСРИТЕЙЛ, ООО</t>
  </si>
  <si>
    <t>КРАСЦВЕТМЕТ, ОАО</t>
  </si>
  <si>
    <t>КРАСЭКО, АО</t>
  </si>
  <si>
    <t>КРАСЭКО-ЭЛЕКТРО, ООО</t>
  </si>
  <si>
    <t>КРАТ, ООО</t>
  </si>
  <si>
    <t>КРАФТТРАНС АТЛАС, ООО</t>
  </si>
  <si>
    <t>КРАФТХАЙНЦ ВОСТОК, ООО</t>
  </si>
  <si>
    <t>КРАХМАЛОПРОДУКТ, ОАО</t>
  </si>
  <si>
    <t>КРЕДИТИНВЕСТ, ООО</t>
  </si>
  <si>
    <t>КРЕС НЕВА, ООО</t>
  </si>
  <si>
    <t>КРИВЕЦ-САХАР, АО</t>
  </si>
  <si>
    <t>КРИГА, ООО</t>
  </si>
  <si>
    <t>КРИОГАЗ-ВЫСОЦК, ООО</t>
  </si>
  <si>
    <t>КРИПТО-ПРО, ООО</t>
  </si>
  <si>
    <t>КРИСТ И КО, ООО</t>
  </si>
  <si>
    <t>КРИСТАЛЛ, АО</t>
  </si>
  <si>
    <t>КРИСТАЛЛ, ООО</t>
  </si>
  <si>
    <t>КРИСТАЛЛ-2, ОАО</t>
  </si>
  <si>
    <t>КЭПТ, АО</t>
  </si>
  <si>
    <t>КРК, ООО</t>
  </si>
  <si>
    <t>КРКА ФАРМА, ООО</t>
  </si>
  <si>
    <t>КРКА-РУС, ООО</t>
  </si>
  <si>
    <t>КРО, АО</t>
  </si>
  <si>
    <t>КРО, ООО</t>
  </si>
  <si>
    <t>КРОВЕЛЬНЫЙ ЦЕНТР, ООО</t>
  </si>
  <si>
    <t>КРОВЛЯ И ИЗОЛЯЦИЯ, ООО</t>
  </si>
  <si>
    <t>КРОЙЛ, ООО</t>
  </si>
  <si>
    <t>КРОК ИНКОРПОРЕЙТЕД, ЗАО</t>
  </si>
  <si>
    <t>КРОКУС, АО</t>
  </si>
  <si>
    <t>КРОКУС-ХМ, ООО</t>
  </si>
  <si>
    <t>КРОН, ООО</t>
  </si>
  <si>
    <t>КРОНА, ООО</t>
  </si>
  <si>
    <t>КРОНОС, ООО</t>
  </si>
  <si>
    <t>КРОНОШПАН БАШКОРТОСТАН, ООО</t>
  </si>
  <si>
    <t>КРОНОШПАН КАЛУГА, ООО</t>
  </si>
  <si>
    <t>КРОНОШПАН ОСБ, ООО</t>
  </si>
  <si>
    <t>КРОНОШПАН, ООО</t>
  </si>
  <si>
    <t>КРОСС ТЕХНОЛОДЖИС, АО</t>
  </si>
  <si>
    <t>КРОСС ТРЕЙДИНГ, ООО</t>
  </si>
  <si>
    <t>КРОТЕКС, АО</t>
  </si>
  <si>
    <t>КРС-СЕРВИС, ООО</t>
  </si>
  <si>
    <t>КРТ , ОАО КУРСКРЕЗИНОТЕХНИКА, ОАО</t>
  </si>
  <si>
    <t>КРУ-ВЗРЫВПРОМ, ООО</t>
  </si>
  <si>
    <t>КРУЗ, ООО</t>
  </si>
  <si>
    <t>КРЦ ЭФКО-КАСКАД, ООО</t>
  </si>
  <si>
    <t>КРЫМ ОИЛ, ООО</t>
  </si>
  <si>
    <t>КРЫМАВТОДОР, ГУП РК</t>
  </si>
  <si>
    <t>КРЫМГАЗСЕТИ, ГУП РК</t>
  </si>
  <si>
    <t>КРЫМТЕПЛОКОММУНЭНЕРГО, ГУП РК</t>
  </si>
  <si>
    <t>КРЫМТЭЦ, АО</t>
  </si>
  <si>
    <t>КРЫМФРУКТ, ООО</t>
  </si>
  <si>
    <t>КРЫМХЛЕБ, АО</t>
  </si>
  <si>
    <t>КРЫМЭНЕРГО, ГУП РК</t>
  </si>
  <si>
    <t>КС ГОК, ООО</t>
  </si>
  <si>
    <t>КС МО, ГУП МО</t>
  </si>
  <si>
    <t>КСА ДОЙТАГ РАША, ООО</t>
  </si>
  <si>
    <t>КСЕНЬЕВСКИЙ ПРИИСК, АО</t>
  </si>
  <si>
    <t>КСЕРОКС (СНГ), ООО</t>
  </si>
  <si>
    <t>КСК №3, ООО</t>
  </si>
  <si>
    <t>КСК СТРОЙ, ООО</t>
  </si>
  <si>
    <t>КСК, АО</t>
  </si>
  <si>
    <t>КСК, ООО</t>
  </si>
  <si>
    <t>КСМ, ООО</t>
  </si>
  <si>
    <t>КСОП, АО</t>
  </si>
  <si>
    <t>КСП, ООО</t>
  </si>
  <si>
    <t>КСТ ЭНЕРГО ИНЖИНИРИНГ, ООО</t>
  </si>
  <si>
    <t>КСТ, ООО</t>
  </si>
  <si>
    <t>КТЗ, ООО</t>
  </si>
  <si>
    <t>КТК ТЕЛЕКОМ, ООО</t>
  </si>
  <si>
    <t>КТК, АО</t>
  </si>
  <si>
    <t>КТК, ООО</t>
  </si>
  <si>
    <t>КТК-Р, АО</t>
  </si>
  <si>
    <t>КТСП, ЗАО</t>
  </si>
  <si>
    <t>КТТ, ООО</t>
  </si>
  <si>
    <t>КТТУ, МУП</t>
  </si>
  <si>
    <t>КТЦ МЕТАЛЛОКОНСТРУКЦИЯ, АО</t>
  </si>
  <si>
    <t>КТЭ, ООО</t>
  </si>
  <si>
    <t>КУБАНСКИЙ БЕКОН, АО</t>
  </si>
  <si>
    <t>КУБАНСКИЙ КОМБИНАТ ХЛЕБОПРОДУКТОВ, ООО</t>
  </si>
  <si>
    <t>КУБАНСКИЕ МАСЛА, ООО</t>
  </si>
  <si>
    <t>КУБАНСКОЕ, ООО ИСК</t>
  </si>
  <si>
    <t>КУБАНЬ-ВИНО, ООО</t>
  </si>
  <si>
    <t>КУБАНЬ-ПАПИР, ООО</t>
  </si>
  <si>
    <t>КУБАНЬ-СТРОЙ, ООО</t>
  </si>
  <si>
    <t>КУБАНЬ-ТИ, ООО</t>
  </si>
  <si>
    <t>КУБАНЬ-ФОРВАРД, ООО</t>
  </si>
  <si>
    <t>КУБАНЬАЛКООПТ, ООО</t>
  </si>
  <si>
    <t>КУБАНЬМАСЛО-ЕМЗ, ООО</t>
  </si>
  <si>
    <t>КУБАНЬОПТПРОДТОРГ, ЗАО</t>
  </si>
  <si>
    <t>КУБИК, ООО</t>
  </si>
  <si>
    <t>КУДЕЗ, ООО</t>
  </si>
  <si>
    <t>КУДРЯШОВСКИЙ МЯСОКОМБИНАТ, ООО</t>
  </si>
  <si>
    <t>КУДРЯШОВСКОЕ, АО</t>
  </si>
  <si>
    <t>КУДЬМИНСКАЯ НЕФТЕБАЗА, ООО</t>
  </si>
  <si>
    <t>КУЕДИНСКИЙ МЯСОКОМБИНАТ, ООО</t>
  </si>
  <si>
    <t>КУЗБАСС МАЙНИНГ, ООО</t>
  </si>
  <si>
    <t>КПР, ООО</t>
  </si>
  <si>
    <t>КУЗБАССДОРСТРОЙ, ООО</t>
  </si>
  <si>
    <t>КУЗБАССТРАНСЦЕМЕНТ, ООО</t>
  </si>
  <si>
    <t>КУЗБАССУГОЛЬ, ООО</t>
  </si>
  <si>
    <t>КУЗБАССЭНЕРГО, АО</t>
  </si>
  <si>
    <t>КУЗБАССЭНЕРГОСБЫТ, ПАО</t>
  </si>
  <si>
    <t>КУЗНЕЦКАЯ ТЭЦ, АО</t>
  </si>
  <si>
    <t>КУЗНЕЦКИЕ МЕТАЛЛОКОНСТРУКЦИИ, ООО</t>
  </si>
  <si>
    <t>КУЗНЕЦКИЙ ТЕХНОПАРК, ООО</t>
  </si>
  <si>
    <t>КУЗНЕЦКИНВЕСТСТРОЙ, АО</t>
  </si>
  <si>
    <t>КУЗНИЦА, ООО</t>
  </si>
  <si>
    <t>КУЗОЦМ, АО</t>
  </si>
  <si>
    <t>КУК, ООО</t>
  </si>
  <si>
    <t>КУКМОРСКИЙ ЗАВОД МЕТАЛЛОПОСУДЫ, АО</t>
  </si>
  <si>
    <t>КУЛЬТУРА, ООО</t>
  </si>
  <si>
    <t>КУМЗ, ОАО</t>
  </si>
  <si>
    <t>КУПЕРВИЖН РУС, ООО</t>
  </si>
  <si>
    <t>КУПИШУЗ, ООО</t>
  </si>
  <si>
    <t>КУРАТЬЕ, ООО</t>
  </si>
  <si>
    <t>КУРГАНСКАЯ ТЭЦ, ООО</t>
  </si>
  <si>
    <t>КУРГАНСТАЛЬМОСТ, ЗАО</t>
  </si>
  <si>
    <t>КУРГАНХИММАШ, ООО</t>
  </si>
  <si>
    <t>КУРИЛЬСКИЙ РЫБАК, ЗАО</t>
  </si>
  <si>
    <t>КУРС ГРУП ДИСТРИБЬЮШН, ООО</t>
  </si>
  <si>
    <t>КУРСК АГРОАКТИВ, ООО</t>
  </si>
  <si>
    <t>КУРСК-АГРО, ООО</t>
  </si>
  <si>
    <t>КУРСКАГРОТЕРМИНАЛ, ООО</t>
  </si>
  <si>
    <t>КУРСКИЙ ЗАВОД КПД ИМ. А.Ф. ДЕРИГЛАЗОВА, АО</t>
  </si>
  <si>
    <t>КУРЬЕР-РЕГИОН СТОЛИЦА, ООО</t>
  </si>
  <si>
    <t>КУХМАСТЕР, ООО</t>
  </si>
  <si>
    <t>КФ БЕЛОГОРЬЕ, АО</t>
  </si>
  <si>
    <t>КФ, АО</t>
  </si>
  <si>
    <t>КФТТ, АО</t>
  </si>
  <si>
    <t>КХП ТИХОРЕЦКИЙ, АО</t>
  </si>
  <si>
    <t>КХПС, АО</t>
  </si>
  <si>
    <t>КХР, АО</t>
  </si>
  <si>
    <t>КЦ ШЕРЕМЕТЬЕВО, ООО</t>
  </si>
  <si>
    <t>КЦ, АО</t>
  </si>
  <si>
    <t>КЦСОР, ГАУ СО МО</t>
  </si>
  <si>
    <t>КЧХК, ООО ТД</t>
  </si>
  <si>
    <t>КШТЭ ВОСТОК, ООО</t>
  </si>
  <si>
    <t>КЭН-ПАК ЗАВОД УПАКОВКИ, ООО</t>
  </si>
  <si>
    <t>КЭНК, ООО</t>
  </si>
  <si>
    <t>КЭПТ НАЛОГИ И КОНСУЛЬТИРОВАНИЕ, ООО</t>
  </si>
  <si>
    <t>КЭС, ООО</t>
  </si>
  <si>
    <t>КЭС-МУЛЬТИЭНЕРГЕТИКА, ЗАО</t>
  </si>
  <si>
    <t>КЭСП, ООО</t>
  </si>
  <si>
    <t>КЭТЛОГИСТИК, ООО</t>
  </si>
  <si>
    <t>КЮЗ КАРАТОВ, ООО</t>
  </si>
  <si>
    <t>Л ДИСТРИБЬЮШЕН, АО</t>
  </si>
  <si>
    <t>Л ОКСИТАН РУС, ООО</t>
  </si>
  <si>
    <t>Л ОРЕАЛЬ, АО</t>
  </si>
  <si>
    <t>Л-ПАК, ООО</t>
  </si>
  <si>
    <t>Л.АРГО, АО</t>
  </si>
  <si>
    <t>ЛА РЕДУТ РУС, ООО</t>
  </si>
  <si>
    <t>ЛАБ ИНДАСТРИЗ, ООО</t>
  </si>
  <si>
    <t>ЛАБИРИНТ-ВОЛГА, ООО</t>
  </si>
  <si>
    <t>ЛАБИРИНТ-М, ООО</t>
  </si>
  <si>
    <t>ЛАБИРИНТ.РУ, ООО</t>
  </si>
  <si>
    <t>ЛАБОРАТОРИЯ АЛИСЫ, ООО</t>
  </si>
  <si>
    <t>ЛАБОРАТОРИЯ ВС, ООО</t>
  </si>
  <si>
    <t>ЛАБОРАТОРИЯ ГЕМОТЕСТ, ООО</t>
  </si>
  <si>
    <t>ЛАБОРАТОРИЯ КАСПЕРСКОГО, АО</t>
  </si>
  <si>
    <t>ЛАБОРАТОРИЯ СОВРЕМЕННОГО ЗДОРОВЬЯ, ООО</t>
  </si>
  <si>
    <t>ЛАВА, ООО</t>
  </si>
  <si>
    <t>ЛАДА ИЖЕВСК, ООО</t>
  </si>
  <si>
    <t>ЛАДА-ИМИДЖ, АО</t>
  </si>
  <si>
    <t>ЛАДА-СЕРВИС, АО</t>
  </si>
  <si>
    <t>ЛАДОГА, ООО</t>
  </si>
  <si>
    <t>ЛАЙОН КОММЬЮНИКЕЙШНЗ, ООО</t>
  </si>
  <si>
    <t>ЛАКИ МОТОРС, ЗАО</t>
  </si>
  <si>
    <t>ЛАКИФИШ, ООО</t>
  </si>
  <si>
    <t>ЛАКРА СИНТЕЗ, ООО</t>
  </si>
  <si>
    <t>ЛАКСА ТРЕЙДИНГ, АО</t>
  </si>
  <si>
    <t>ЛАКТАЛИС ВОСТОК, АО</t>
  </si>
  <si>
    <t>ЛАКТАЛИС ИСТРА, ООО</t>
  </si>
  <si>
    <t>ЛАКТАЛИС МК, ООО</t>
  </si>
  <si>
    <t>ЛАКТИС, АО</t>
  </si>
  <si>
    <t>ЛАЛ-1520, ООО</t>
  </si>
  <si>
    <t>ЛАМАКС, ООО</t>
  </si>
  <si>
    <t>ЛАНДАТА, АО НТЦ</t>
  </si>
  <si>
    <t>ЛАНДИС, ООО</t>
  </si>
  <si>
    <t>ЛАНИТ ТРЕЙДИНГ, ООО</t>
  </si>
  <si>
    <t>ЛАНИТ, АО</t>
  </si>
  <si>
    <t>ЛАНИТ-ИНТЕГРАЦИЯ, ООО</t>
  </si>
  <si>
    <t>ЛАНИТ-ТЕХНОЛОГИИ, ООО</t>
  </si>
  <si>
    <t>ЛАНМАКС, ООО</t>
  </si>
  <si>
    <t>ЛАНПРИНТ, ООО</t>
  </si>
  <si>
    <t>ЛАНТАНА-АВТО, ООО</t>
  </si>
  <si>
    <t>ЛАНЦЕТ, АО</t>
  </si>
  <si>
    <t>ЛАРИНА-ЭЛЕКТРОНИКС, ООО</t>
  </si>
  <si>
    <t>ЛАРТА ГЛАСС РОСТОВ, ООО</t>
  </si>
  <si>
    <t>ЛАРТА ГЛАСС РЯЗАНЬ, ООО</t>
  </si>
  <si>
    <t>ЛАССЕЛСБЕРГЕР, ООО</t>
  </si>
  <si>
    <t>ЛАФАРЖ НЕРУДНЫЕ МАТЕРИАЛЫ И БЕТОН, ООО</t>
  </si>
  <si>
    <t>ЛВЗ САРАНСКИЙ, ООО</t>
  </si>
  <si>
    <t>ЛВЗ ТОПАЗ, АО</t>
  </si>
  <si>
    <t>ЛГ МАШИНЕРИ, ООО</t>
  </si>
  <si>
    <t>ЛГ ЭЛЕКТРОНИКС РУС, ООО</t>
  </si>
  <si>
    <t>ЛГЖТ, АО</t>
  </si>
  <si>
    <t>ЛГР, АО</t>
  </si>
  <si>
    <t>ЛГСС, АО</t>
  </si>
  <si>
    <t>ЛДЦ МИБС, ООО</t>
  </si>
  <si>
    <t>ЛЕБЕДИНСКИЙ ГОК, АО</t>
  </si>
  <si>
    <t>ЛЕБЕДИНСКИЙ ТОРГОВЫЙ ДОМ, ЗАО</t>
  </si>
  <si>
    <t>ЛЕБЕДЯНСКИЙ САХАРНЫЙ ЗАВОД, ОАО</t>
  </si>
  <si>
    <t>ЛЕБЕДЯНЬМОЛОКО, ООО</t>
  </si>
  <si>
    <t>ЛЕВ, ООО</t>
  </si>
  <si>
    <t>ЛЕВИ ШТРАУСС МОСКВА, ООО</t>
  </si>
  <si>
    <t>ЛЕВИТ, ООО</t>
  </si>
  <si>
    <t>ЛЕВИТЭК, ООО</t>
  </si>
  <si>
    <t>ЛЕГАТ, ООО</t>
  </si>
  <si>
    <t>ЛЕГЕНДА КОНСТРАКШН, ООО</t>
  </si>
  <si>
    <t>ЛЕГЕНДА, ООО</t>
  </si>
  <si>
    <t>ЛЕГЕНДАГРО, ООО ТОРГОВЫЙ ДОМ</t>
  </si>
  <si>
    <t>ЛЕГО, ООО</t>
  </si>
  <si>
    <t>ЛЕГПРОМРЕСУРС, АО</t>
  </si>
  <si>
    <t>ЛЕГРАН, ООО</t>
  </si>
  <si>
    <t>ЛИФТКОННЕКТ, АО</t>
  </si>
  <si>
    <t>ЛЕДВАНС, АО</t>
  </si>
  <si>
    <t>ЛЕКОПТ, ООО</t>
  </si>
  <si>
    <t>ЛЕКС, ООО</t>
  </si>
  <si>
    <t>ЛЕКСИОН ДЕВЕЛОПМЕНТ, ООО</t>
  </si>
  <si>
    <t>ЛЕМАКС, ООО</t>
  </si>
  <si>
    <t>ЛЕМКЕН-РУС, ООО</t>
  </si>
  <si>
    <t>ЛЕНГИПРОНЕФТЕХИМ, ООО</t>
  </si>
  <si>
    <t>ЛЕНГИПРОТРАНС, АО</t>
  </si>
  <si>
    <t>ЛЕНИНОГОРСКРЕМСЕРВИС, ООО</t>
  </si>
  <si>
    <t>СКИФ, ООО</t>
  </si>
  <si>
    <t>ЛЕНМОНТАЖ, ООО</t>
  </si>
  <si>
    <t>ЛЕНСПЕЦСМУ-КОМФОРТ, ООО</t>
  </si>
  <si>
    <t>ЛЕНСПЕЦСМУ-РЕКОНСТРУКЦИЯ, АО</t>
  </si>
  <si>
    <t>ЛЕНТЕХСТРОЙ, ООО</t>
  </si>
  <si>
    <t>ЛЕНТЕХСТРОМ, АО</t>
  </si>
  <si>
    <t>ЛЕОН, ООО</t>
  </si>
  <si>
    <t>ЛЕПСЕ, АО</t>
  </si>
  <si>
    <t>ЛЕСАН ФАРМА, ООО</t>
  </si>
  <si>
    <t>ЛЕСОЗАВОД 25, ЗАО</t>
  </si>
  <si>
    <t>ЛЕСОСИБИРСКИЙ ЛДК № 1, АО</t>
  </si>
  <si>
    <t>ЛЕСРЕСУРС, ООО</t>
  </si>
  <si>
    <t>ЛЕСТЕЙТ, ООО</t>
  </si>
  <si>
    <t>ЛЗТК, ООО</t>
  </si>
  <si>
    <t>ЛИ РУС, ООО</t>
  </si>
  <si>
    <t>ЛИБОЙЛ, ООО</t>
  </si>
  <si>
    <t>ЛИБХЕРР-РУСЛАНД, ООО</t>
  </si>
  <si>
    <t>ЛИВНЫ САХАР, ООО</t>
  </si>
  <si>
    <t>ЛИГА, ООО</t>
  </si>
  <si>
    <t>ЛИГАС, ООО</t>
  </si>
  <si>
    <t>ЛИДЕР, ООО</t>
  </si>
  <si>
    <t>ЛИДЕР-М, ООО</t>
  </si>
  <si>
    <t>ЛИДЕРТЕКС, ООО</t>
  </si>
  <si>
    <t>КЛЮЧАВТО-ТРЕЙД, ООО</t>
  </si>
  <si>
    <t>ЛИЗПЛАН РУС, ООО</t>
  </si>
  <si>
    <t>ЛИКАРД, ООО</t>
  </si>
  <si>
    <t>АТОМТЕХЭНЕРГО, АО</t>
  </si>
  <si>
    <t>ЛИКОФЛЕКС, ООО</t>
  </si>
  <si>
    <t>ЛИЛЛИ ФАРМА, ООО</t>
  </si>
  <si>
    <t>ЛИМАК КОНСТРАКШН, ООО</t>
  </si>
  <si>
    <t>ЛИМАН, ООО</t>
  </si>
  <si>
    <t>ЛИМАТОНУПАКОВКА, ООО</t>
  </si>
  <si>
    <t>ЛИМКОРМ, ООО</t>
  </si>
  <si>
    <t>ЛИМАК, АО</t>
  </si>
  <si>
    <t>ЛИНДЕ МАТЕРИАЛ ХЭНДЛИНГ РУС, ООО</t>
  </si>
  <si>
    <t>ЛИНДЭЙЛИ, ООО</t>
  </si>
  <si>
    <t>ЛИНЗА, ООО</t>
  </si>
  <si>
    <t>ЛИНЗМАСТЕР, ООО</t>
  </si>
  <si>
    <t>ЛИНИЯ 7, ООО</t>
  </si>
  <si>
    <t>ЛИНКОР, ООО</t>
  </si>
  <si>
    <t>ЛИОН, ООО</t>
  </si>
  <si>
    <t>ЛИОН-ТРЕЙД, ООО</t>
  </si>
  <si>
    <t>ЛИПЕЦКЦЕМЕНТ, АО</t>
  </si>
  <si>
    <t>ЛИСКИМОНТАЖКОНСТРУКЦИЯ, АО</t>
  </si>
  <si>
    <t>ЛИСКИСАХАР, АО</t>
  </si>
  <si>
    <t>ЛИСТЕРРА, ООО</t>
  </si>
  <si>
    <t>ЛИТ, ООО НПО</t>
  </si>
  <si>
    <t>ЛИТВУД, ООО</t>
  </si>
  <si>
    <t>ЛИТРЕС, ООО</t>
  </si>
  <si>
    <t>ЛК ЕВРОПЛАН, ПАО</t>
  </si>
  <si>
    <t>ЛК ЭВОЛЮЦИЯ, ООО</t>
  </si>
  <si>
    <t>ЛК, ООО</t>
  </si>
  <si>
    <t>ЛКЗ, АО</t>
  </si>
  <si>
    <t>ЛКМ И ТЕХНОЛОГИИ, ООО</t>
  </si>
  <si>
    <t>ЛКС, ООО</t>
  </si>
  <si>
    <t>ЛКХП КИРОВА, ОАО</t>
  </si>
  <si>
    <t>ЛМА, ООО</t>
  </si>
  <si>
    <t>ЛМЛ И КО, ООО</t>
  </si>
  <si>
    <t>ЛМС, ООО</t>
  </si>
  <si>
    <t>ЛН ДИСТРИБЬЮЦИЯ, ООО</t>
  </si>
  <si>
    <t>ЛОГИСТИК-ЦЕНТР, ООО</t>
  </si>
  <si>
    <t>ЛОГИСТИКА АЛЬТЕРНАТИВА, ООО</t>
  </si>
  <si>
    <t>ЛОГИСТИКА СИБИРСКИХ МАГИСТРАЛЕЙ, ООО</t>
  </si>
  <si>
    <t>ЛОГИСТИЧЕСКАЯ КОМПАНИЯ ЦЕРТА, ООО</t>
  </si>
  <si>
    <t>ЛОГОПАРК МЕНЕДЖМЕНТ, ООО</t>
  </si>
  <si>
    <t>ЛОГОПЕР, ООО</t>
  </si>
  <si>
    <t>ГОРОДСКАЯ ПЕРСПЕКТИВА, ООО</t>
  </si>
  <si>
    <t>ЛОДЕ, ООО</t>
  </si>
  <si>
    <t>ЛОМТОРГ, ООО</t>
  </si>
  <si>
    <t>ЛОМЭНЕРДЖИ, ООО</t>
  </si>
  <si>
    <t>ЛОНМАДИ, АО</t>
  </si>
  <si>
    <t>ЛОРЕНЦ СНЭК-УОРЛД РАША, ООО</t>
  </si>
  <si>
    <t>ЛОРП, ПАО</t>
  </si>
  <si>
    <t>ЛОРРИ, АО</t>
  </si>
  <si>
    <t>ЛОТАН, ООО</t>
  </si>
  <si>
    <t>ЛОТТЕ КФ РУС, ООО</t>
  </si>
  <si>
    <t>ЛОТТЕ РУС, АО</t>
  </si>
  <si>
    <t>ЛОЭСК, АО</t>
  </si>
  <si>
    <t>ЛПЗ СЕГАЛ, ООО</t>
  </si>
  <si>
    <t>ЛПК КИПЕЛОВО, АО</t>
  </si>
  <si>
    <t>ЛРС, ООО</t>
  </si>
  <si>
    <t>ЛСК, АО</t>
  </si>
  <si>
    <t>ЛСР, ООО</t>
  </si>
  <si>
    <t>ЛСР. БАЗОВЫЕ, АО</t>
  </si>
  <si>
    <t>ЛСР. БЕТОН, ООО</t>
  </si>
  <si>
    <t>ЛСР. НЕДВИЖИМОСТЬ-СЗ, ООО</t>
  </si>
  <si>
    <t>ЛСР. СТЕНОВЫЕ, ООО</t>
  </si>
  <si>
    <t>ЛСР. СТРОИТЕЛЬСТВО-СЗ, ООО</t>
  </si>
  <si>
    <t>ЛСР. СТРОИТЕЛЬСТВО-УРАЛ, ООО</t>
  </si>
  <si>
    <t>ЛСТ ГЕНПОДРЯД, ООО</t>
  </si>
  <si>
    <t>ЛТБ, ООО</t>
  </si>
  <si>
    <t>ЛТК СВОБОДНЫЙ СОКОЛ, ООО</t>
  </si>
  <si>
    <t>ЛТС, ООО</t>
  </si>
  <si>
    <t>ЛУДИНГ, ООО</t>
  </si>
  <si>
    <t>ЛУДИНГ-ТРЕЙД, ООО</t>
  </si>
  <si>
    <t>ЛУЖНИКИ, АО</t>
  </si>
  <si>
    <t>ЛУЗАЛЕС, ООО</t>
  </si>
  <si>
    <t>ЛУИ ВЮИТТОН ВОСТОК, ООО</t>
  </si>
  <si>
    <t>ЛУИДОР, ООО</t>
  </si>
  <si>
    <t>ЛУИДОР, ООО ПКФ</t>
  </si>
  <si>
    <t>ЛУИДОР-УФА, ООО</t>
  </si>
  <si>
    <t>ЛУИС+, ООО</t>
  </si>
  <si>
    <t>ЛУКАВТО, ООО</t>
  </si>
  <si>
    <t>ЛУКБЕЛОЙЛ, ООО</t>
  </si>
  <si>
    <t>ЛУКОЙЛ, ПАО</t>
  </si>
  <si>
    <t>ЛУКОЙЛ-АИК, ООО</t>
  </si>
  <si>
    <t>ЛУКОЙЛ-АСТРАХАНЬЭНЕРГО, ООО</t>
  </si>
  <si>
    <t>ЛУКОЙЛ-АЭРО, ООО</t>
  </si>
  <si>
    <t>ЛУКОЙЛ-АЭРО-ВОСТОК, ООО</t>
  </si>
  <si>
    <t>ЛУКОЙЛ-АЭРО-ЗАПАД, ООО</t>
  </si>
  <si>
    <t>ЛУКОЙЛ-ВОЛГОГРАДНЕФТЕПЕРЕРАБОТКА, ООО</t>
  </si>
  <si>
    <t>ЛУКОЙЛ-ВОЛГОГРАДЭНЕРГО, ООО</t>
  </si>
  <si>
    <t>ЛУКОЙЛ-ЗАПАДНАЯ СИБИРЬ, ООО</t>
  </si>
  <si>
    <t>ЛУКОЙЛ-ИНЖИНИРИНГ, ООО</t>
  </si>
  <si>
    <t>ЛУКОЙЛ-МЦПБ, ООО</t>
  </si>
  <si>
    <t>ЛУКОЙЛ-КМН, ООО</t>
  </si>
  <si>
    <t>ЛУКОЙЛ-КОМИ, ООО</t>
  </si>
  <si>
    <t>ЛУКОЙЛ-КУБАНЬЭНЕРГО, ООО</t>
  </si>
  <si>
    <t>ЛУКОЙЛ-МАРИНБУНКЕР, ООО</t>
  </si>
  <si>
    <t>ЛУКОЙЛ-НИЖЕГОРОДНЕФТЕОРГСИНТЕЗ, ООО</t>
  </si>
  <si>
    <t>ЛУКОЙЛ-НИЖНЕВОЛЖСКНЕФТЬ, ООО</t>
  </si>
  <si>
    <t>ЛУКОЙЛ-ПЕРМНЕФТЕОРГСИНТЕЗ, ООО</t>
  </si>
  <si>
    <t>ЛУКОЙЛ-ПЕРМЬ, ООО</t>
  </si>
  <si>
    <t>ЛУКОЙЛ-РЕЗЕРВНЕФТЕПРОДУКТ, ООО</t>
  </si>
  <si>
    <t>ЛУКОЙЛ-РНП-ТРЕЙДИНГ, ООО</t>
  </si>
  <si>
    <t>ЛУКОЙЛ-РОСТОВЭНЕРГО, ООО</t>
  </si>
  <si>
    <t>ЛУКОЙЛ-СЕВЕРО-ЗАПАДНЕФТЕПРОДУКТ, ООО</t>
  </si>
  <si>
    <t>ЛУКОЙЛ-СТАВРОПОЛЬЭНЕРГО, ООО</t>
  </si>
  <si>
    <t>ЛУКОЙЛ-ТЕХНОЛОГИИ, ООО</t>
  </si>
  <si>
    <t>ЛУКОЙЛ-ТРАНС, ООО</t>
  </si>
  <si>
    <t>ЛУКОЙЛ-УНП, ООО</t>
  </si>
  <si>
    <t>ЛУКОЙЛ-УРАЛНЕФТЕПРОДУКТ, ООО</t>
  </si>
  <si>
    <t>ЛУКОЙЛ-ЦЕНТРНЕФТЕПРОДУКТ, ООО</t>
  </si>
  <si>
    <t>ЛУКОЙЛ-ЭКОЭНЕРГО, ООО</t>
  </si>
  <si>
    <t>ЛУКОЙЛ-ЭНЕРГОСЕРВИС, ООО</t>
  </si>
  <si>
    <t>ЛУКОЙЛ-ЭНЕРГОСЕТИ, ООО</t>
  </si>
  <si>
    <t>ЛУКОЙЛ-ЮГНЕФТЕПРОДУКТ, ООО</t>
  </si>
  <si>
    <t>ЛУКОМ-А, ООО ТЕХЦЕНТР</t>
  </si>
  <si>
    <t>ЛУНДА, ООО</t>
  </si>
  <si>
    <t>ЛУНСИН, ООО</t>
  </si>
  <si>
    <t>ЛУР, АО</t>
  </si>
  <si>
    <t>ГЭХ ТЭР, ООО</t>
  </si>
  <si>
    <t>ЛУХОВИЦКИЕ ОВОЩИ, ООО</t>
  </si>
  <si>
    <t>ЛЫТКАРИНСКИЙ ЗАВОД ОПТИЧЕСКОГО СТЕКЛА, АО ЛЗОС АО</t>
  </si>
  <si>
    <t>ЛЫТКАРИНСКИЙ МПЗ, ЗАО</t>
  </si>
  <si>
    <t>ЛЭМ, ООО</t>
  </si>
  <si>
    <t>ЛЭСК, ОАО</t>
  </si>
  <si>
    <t>ЛЮБЕРЕЦКАЯ ТЕПЛОСЕТЬ, АО</t>
  </si>
  <si>
    <t>ЛЮБИНСКИЙ МКК, АО</t>
  </si>
  <si>
    <t>ЛЮКС ТРЕЙД, ООО</t>
  </si>
  <si>
    <t>ЛЯМБДА, ООО</t>
  </si>
  <si>
    <t>М ДИСТРИБЬЮШН, ООО</t>
  </si>
  <si>
    <t>М ЛОГИСТИК, ООО</t>
  </si>
  <si>
    <t>М ПАРТС, ООО</t>
  </si>
  <si>
    <t>М, АО</t>
  </si>
  <si>
    <t>М-БЕТОН, ООО</t>
  </si>
  <si>
    <t>М-ИНВЕСТ, ООО</t>
  </si>
  <si>
    <t>М-ПЛАСТИКА, ООО</t>
  </si>
  <si>
    <t>М-ПРОМТЕХ, ООО</t>
  </si>
  <si>
    <t>М-ТРАСТ, ООО</t>
  </si>
  <si>
    <t>М.П.А. МЕДИЦИНСКИЕ ПАРТНЕРЫ, ООО</t>
  </si>
  <si>
    <t>М5, ООО</t>
  </si>
  <si>
    <t>М7 ТРАК, ООО</t>
  </si>
  <si>
    <t>М7-СОФТ, ООО</t>
  </si>
  <si>
    <t>МАГАДАННЕФТО, ООО</t>
  </si>
  <si>
    <t>МАГАДАНТРАЛФЛОТ, ООО</t>
  </si>
  <si>
    <t>МАГАДАНЭНЕРГО, ПАО</t>
  </si>
  <si>
    <t>МАГАЗИНЫ БОСКО, ООО</t>
  </si>
  <si>
    <t>МАГИСТРАЛЬ СЕВЕРНОЙ СТОЛИЦЫ, ООО</t>
  </si>
  <si>
    <t>МАГИСТРАЛЬ, ООО</t>
  </si>
  <si>
    <t>МАГИСТРАЛЬ-1, ООО</t>
  </si>
  <si>
    <t>МАГИСТРАЛЬ-ЮГ, ООО</t>
  </si>
  <si>
    <t>МАГЛЮГ, АО НПФ</t>
  </si>
  <si>
    <t>МАГМА ХД, ООО</t>
  </si>
  <si>
    <t>МАГМА-СТРОЙ, ООО СЗ</t>
  </si>
  <si>
    <t>МАГНА АВТОМОТИВ РУС, АО</t>
  </si>
  <si>
    <t>ЕВРОСИБЭНЕРГО-ГИДРОГЕНЕРАЦИЯ, ООО</t>
  </si>
  <si>
    <t>МАГНИТ ФАРМА, ООО</t>
  </si>
  <si>
    <t>МАГНИТ, ООО</t>
  </si>
  <si>
    <t>МАГНУМ, ООО</t>
  </si>
  <si>
    <t>МАЗ ЦЕНТР ЧЕЛЯБИНСК, ООО</t>
  </si>
  <si>
    <t>МАЗ-РУС, ООО</t>
  </si>
  <si>
    <t>МАЗМАРКЕТ, ООО</t>
  </si>
  <si>
    <t>МАЙ 07, ООО</t>
  </si>
  <si>
    <t>МАЙ, ООО</t>
  </si>
  <si>
    <t>МАЙ-ФУДС, ООО</t>
  </si>
  <si>
    <t>МАЙКРОСОФТ РУС, ООО</t>
  </si>
  <si>
    <t>МАЙНИНГ СОЛЮШНС, АО</t>
  </si>
  <si>
    <t>МАЙНТЕК МАШИНЕРИ, ООО</t>
  </si>
  <si>
    <t>МАК, АО</t>
  </si>
  <si>
    <t>МАКАРУН, ООО</t>
  </si>
  <si>
    <t>МАКПРОМ, ООО</t>
  </si>
  <si>
    <t>МАКС, ООО</t>
  </si>
  <si>
    <t>МАКСИДОМ, ООО</t>
  </si>
  <si>
    <t>МАКСИМА ГРУПП, ООО</t>
  </si>
  <si>
    <t>МАКСИМА ЛОГИСТИК, ООО</t>
  </si>
  <si>
    <t>МАКСИМАТЕЛЕКОМ, АО</t>
  </si>
  <si>
    <t>МАКСИМУМ ПРИМОРСКИЙ, ООО</t>
  </si>
  <si>
    <t>МАКСИТРАСТ, ООО</t>
  </si>
  <si>
    <t>МАКФА, АО</t>
  </si>
  <si>
    <t>МАЛОМЫРСКИЙ РУДНИК, ООО</t>
  </si>
  <si>
    <t>МАМРУКО, ООО</t>
  </si>
  <si>
    <t>МАН ТРАК ЭНД БАС РУС, ООО</t>
  </si>
  <si>
    <t>МАНГО РИТЕЙЛ, ООО</t>
  </si>
  <si>
    <t>МАНГО ТЕЛЕКОМ, ООО</t>
  </si>
  <si>
    <t>МАНЕЖНАЯ ПЛОЩАДЬ, ООО</t>
  </si>
  <si>
    <t>МАНН+ХУММЕЛЬ, ООО</t>
  </si>
  <si>
    <t>МАНТРАК ВОСТОК, ООО</t>
  </si>
  <si>
    <t>МАРГАРОН, ООО</t>
  </si>
  <si>
    <t>МАРЕВЕН ФУД СЭНТРАЛ, ООО</t>
  </si>
  <si>
    <t>МАРИИНСКИЙ ЛВЗ, АО</t>
  </si>
  <si>
    <t>МАРИЙСКАВТОДОР, АО</t>
  </si>
  <si>
    <t>МАРИН БРЭНД, ООО</t>
  </si>
  <si>
    <t>МАРИН ЭКСПРЕСС, ООО</t>
  </si>
  <si>
    <t>МАРИЯ-РА, ООО</t>
  </si>
  <si>
    <t>МАРКА РУС, ООО</t>
  </si>
  <si>
    <t>МАРКЕТ ЛАЙН, ООО</t>
  </si>
  <si>
    <t>ГАЗПРОМ ПХГ, ООО</t>
  </si>
  <si>
    <t>МАРКЕТ-ТВ, ООО</t>
  </si>
  <si>
    <t>МАРКЕТ.ТРЕЙД, ООО</t>
  </si>
  <si>
    <t>МАРКЕТПЛЕЙС, ООО</t>
  </si>
  <si>
    <t>МАРР РУССИЯ, ООО</t>
  </si>
  <si>
    <t>МАРС, ООО</t>
  </si>
  <si>
    <t>МАРСАЛА, ООО</t>
  </si>
  <si>
    <t>МАРТИН, ООО</t>
  </si>
  <si>
    <t>МАРУГА, ООО</t>
  </si>
  <si>
    <t>МАРЧЕГАЛИЯ РУ, ООО</t>
  </si>
  <si>
    <t>МАРЭМ+, ООО</t>
  </si>
  <si>
    <t>МАС АЛЬБИОН, ООО</t>
  </si>
  <si>
    <t>МАС СИДС, ООО</t>
  </si>
  <si>
    <t>МАС, ООО</t>
  </si>
  <si>
    <t>МАСКИО-ГАСПАРДО РУССИЯ, ООО</t>
  </si>
  <si>
    <t>МАСЛЕНИЦА, ООО</t>
  </si>
  <si>
    <t>МАСЛОЗАВОД НЫТВЕНСКИЙ, ООО</t>
  </si>
  <si>
    <t>МАСЛОЗАВОД ТРЕТЬЯКОВСКИЙ, ООО</t>
  </si>
  <si>
    <t>МАСЛОКОМБИНАТ ЧАНОВСКИЙ, АО</t>
  </si>
  <si>
    <t>МАССИМО ДУТТИ, ООО</t>
  </si>
  <si>
    <t>МАСТ, ООО</t>
  </si>
  <si>
    <t>МАСТЕР КЕМИКАЛЗ, ООО</t>
  </si>
  <si>
    <t>МАСТЕР КЛИНИНГ, ООО</t>
  </si>
  <si>
    <t>МАСТЕР МЕТАЛЛ, АО</t>
  </si>
  <si>
    <t>МАСТЕР ЭД, ООО</t>
  </si>
  <si>
    <t>МАСТЕРБАТЧ СВ, ООО</t>
  </si>
  <si>
    <t>МАСИКС, ООО</t>
  </si>
  <si>
    <t>МАСТЕРС, ООО</t>
  </si>
  <si>
    <t>МАСТЕРФАСТ, АО</t>
  </si>
  <si>
    <t>МАСТЕРФУД, ООО</t>
  </si>
  <si>
    <t>МАУ, АО</t>
  </si>
  <si>
    <t>МАШПРОМ, ООО</t>
  </si>
  <si>
    <t>МАШСТАЛЬПРОМ, ЗАО</t>
  </si>
  <si>
    <t>МАШТЕХСТРОЙ, ООО</t>
  </si>
  <si>
    <t>МАЯК, ОАО</t>
  </si>
  <si>
    <t>МАЯК, ООО</t>
  </si>
  <si>
    <t>МАЯК-ТЕХНОЦЕЛЛ, ООО</t>
  </si>
  <si>
    <t>МАЯКПРИНТ, ООО</t>
  </si>
  <si>
    <t>МБ-АВТО, ООО</t>
  </si>
  <si>
    <t>МБ-БЕЛЯЕВО, АО</t>
  </si>
  <si>
    <t>МБ-ИЗМАЙЛОВО, ООО</t>
  </si>
  <si>
    <t>МБА, ФГУП</t>
  </si>
  <si>
    <t>МБК, ООО</t>
  </si>
  <si>
    <t>МБК-М, ООО</t>
  </si>
  <si>
    <t>МБК-УРАЛ, ООО</t>
  </si>
  <si>
    <t>МБС СТРОИТЕЛЬНЫЕ СИСТЕМЫ, ООО</t>
  </si>
  <si>
    <t>МБТ, ООО</t>
  </si>
  <si>
    <t>МВМ, ООО</t>
  </si>
  <si>
    <t>МВР, ООО</t>
  </si>
  <si>
    <t>МВС ГРУП, ООО</t>
  </si>
  <si>
    <t>МГ-ФЛОТ, ООО</t>
  </si>
  <si>
    <t>МГК СВЕТОВЫЕ ТЕХНОЛОГИИ, ООО</t>
  </si>
  <si>
    <t>МГЛ МЕТРО ГРУП ЛОГИСТИКС, ООО</t>
  </si>
  <si>
    <t>МД ПРОЕКТ 2000, АО</t>
  </si>
  <si>
    <t>МДА-ГРУПП, ООО</t>
  </si>
  <si>
    <t>МДВ ГРУПП, ООО</t>
  </si>
  <si>
    <t>МЕБЕЛЬ СТИЛЬ, ООО</t>
  </si>
  <si>
    <t>МЕБЕЛЬДИЗАЙНПРОЕКТ, ООО</t>
  </si>
  <si>
    <t>МЕБЕЛЬНАЯ КОМПАНИЯ ЛЕРОМ, ООО</t>
  </si>
  <si>
    <t>МЕБЕЛЬНАЯ ФАБРИКА МАРИЯ, ООО</t>
  </si>
  <si>
    <t>МЕГА БЕЛАЯ ДАЧА, ООО</t>
  </si>
  <si>
    <t>МЕГА ЮРМА, ООО</t>
  </si>
  <si>
    <t>МЕГА-СТРОЙ-М, ООО</t>
  </si>
  <si>
    <t>МЕГАКОМ, ООО</t>
  </si>
  <si>
    <t>МЕГАЛАЙН, ООО</t>
  </si>
  <si>
    <t>МЕГАМЕЙД, АО</t>
  </si>
  <si>
    <t>МЕГАМИКС, ООО</t>
  </si>
  <si>
    <t>МЕГАПАК, ООО</t>
  </si>
  <si>
    <t>МЕГАСПОРТ, ООО</t>
  </si>
  <si>
    <t>МЕГАСТОР, ООО</t>
  </si>
  <si>
    <t>МЕГАФОН РИТЕЙЛ, АО</t>
  </si>
  <si>
    <t>МЕДВЕДЬ, ООО</t>
  </si>
  <si>
    <t>МЕДВЕЖИЙ РУЧЕЙ, ООО</t>
  </si>
  <si>
    <t>МЕДИА КЛУБ, ООО</t>
  </si>
  <si>
    <t>МЕДИА ПЛЮС, АО</t>
  </si>
  <si>
    <t>МЕДИА СЕРВИС АБВ, ООО</t>
  </si>
  <si>
    <t>МЕДИА ТРЕЙД, ООО</t>
  </si>
  <si>
    <t>МЕДИЛОН-ФАРМИМЭКС, ООО</t>
  </si>
  <si>
    <t>МЕДИЛЮКС-ТМ, ООО</t>
  </si>
  <si>
    <t>МЕДИНТОРГ, АО</t>
  </si>
  <si>
    <t>МЕДИПАЛ ЭКСПОРТ, ООО</t>
  </si>
  <si>
    <t>МЕДИПАЛ, ООО</t>
  </si>
  <si>
    <t>МЕДИТЕРРАНЕАН ШИППИНГ КОМПАНИ РУСЬ, ООО</t>
  </si>
  <si>
    <t>МЕДИЦИНА, АО</t>
  </si>
  <si>
    <t>МЕДПРОМ КАПИТАЛ, ООО</t>
  </si>
  <si>
    <t>МЕДСИ 2, АО</t>
  </si>
  <si>
    <t>МЕДСНАБ, ООО</t>
  </si>
  <si>
    <t>МЕДТЕХНИКА РБ, ООО</t>
  </si>
  <si>
    <t>МЕДТЕХНИКА, ООО</t>
  </si>
  <si>
    <t>МЕДТРОНИК, ООО</t>
  </si>
  <si>
    <t>МЕДЧЕСТА-М, ООО</t>
  </si>
  <si>
    <t>МЕДЭКСПОРТ-СЕВЕРНАЯ ЗВЕЗДА, ООО</t>
  </si>
  <si>
    <t>МЕЖДУНАРОДНАЯ АЛЮМИНИЕВАЯ КОМПАНИЯ, ООО</t>
  </si>
  <si>
    <t>МЕЖДУНАРОДНЫЙ АЭРОПОРТ ВНУКОВО, АО</t>
  </si>
  <si>
    <t>МЕЖДУНАРОДНЫЙ АЭРОПОРТ КАЗАНЬ, АО</t>
  </si>
  <si>
    <t>МЕЖДУНАРОДНЫЙ АЭРОПОРТ СОЧИ АО МАС, АО</t>
  </si>
  <si>
    <t>МЕЖДУРЕЧЬЕ, АО</t>
  </si>
  <si>
    <t>МЕЖЕНИНОВСКАЯ ПТИЦЕФАБРИКА, ООО</t>
  </si>
  <si>
    <t>МЕЖРАЙОННЫЙ ЩЁЛКОВСКИЙ ВОДОКАНАЛ, МУП</t>
  </si>
  <si>
    <t>МЕЖРЕГИОНСБЫТ, ООО</t>
  </si>
  <si>
    <t>МЕЛЕУЗОВСКИЕ МИНЕРАЛЬНЫЕ УДОБРЕНИЯ, АО</t>
  </si>
  <si>
    <t>МЕЛЕУЗОВСКИЙ МКК, ООО</t>
  </si>
  <si>
    <t>МЕЛЕУЗОВСКИЙ МЯСОКОМБИНАТ, ООО</t>
  </si>
  <si>
    <t>МЕЛОФОН, ООО</t>
  </si>
  <si>
    <t>МЕЛСТОН ИНЖИНИРИНГ, ООО</t>
  </si>
  <si>
    <t>МЕЛСТОН-СЕРВИС, ООО</t>
  </si>
  <si>
    <t>МЕЛТЭК, ООО</t>
  </si>
  <si>
    <t>МЕЛЬКОМБИНАТ №3, АО</t>
  </si>
  <si>
    <t>МЕЛЬКОМБИНАТ, ОАО</t>
  </si>
  <si>
    <t>МЕРИДИАН, АО</t>
  </si>
  <si>
    <t>МЕРИДИАН, ООО</t>
  </si>
  <si>
    <t>МЕРКАТОР КАЛУГА, ООО</t>
  </si>
  <si>
    <t>МЕРКАТОР ХОЛДИНГ, ООО</t>
  </si>
  <si>
    <t>МЕРКУРИ МОДА, ООО</t>
  </si>
  <si>
    <t>МЕРКУРИЙ, АО</t>
  </si>
  <si>
    <t>МЕРКУРИЙ, ООО</t>
  </si>
  <si>
    <t>МЕРКУРИЙ, ООО ТПП</t>
  </si>
  <si>
    <t>МЕРЛИОН, ООО</t>
  </si>
  <si>
    <t>МЕРСЕДЕС-БЕНЦ РУС, АО</t>
  </si>
  <si>
    <t>МЕРСЕДЕС-БЕНЦ ФАЙНЕНШЛ СЕРВИСЕС РУС, ООО</t>
  </si>
  <si>
    <t>МЕРЦ ФАРМА, ООО</t>
  </si>
  <si>
    <t>МЕСА, ООО</t>
  </si>
  <si>
    <t>МЕТ КОН, ООО</t>
  </si>
  <si>
    <t>МЕТА-ЕКАТЕРИНБУРГ, ООО</t>
  </si>
  <si>
    <t>МЕТА-САМАРА, ООО</t>
  </si>
  <si>
    <t>МЕТА-ТРЕЙД, ООО</t>
  </si>
  <si>
    <t>МЕТА-ЧЕЛЯБИНСК, ООО</t>
  </si>
  <si>
    <t>МЕТАБО ЕВРАЗИЯ, ООО</t>
  </si>
  <si>
    <t>МЕТАДИНЕА, ООО</t>
  </si>
  <si>
    <t>МЕТАЛЛИНВЕСТ, ООО ПК</t>
  </si>
  <si>
    <t>МЕТАЛЛОИНВЕСТЛИЗИНГ, АО</t>
  </si>
  <si>
    <t>МЕТАЛЛОПЛАСТ, ООО</t>
  </si>
  <si>
    <t>МЕТАЛЛОТОРГ, АО</t>
  </si>
  <si>
    <t>МЕТАЛЛПРОД, ООО</t>
  </si>
  <si>
    <t>МЕТАЛЛПРОМ, ООО</t>
  </si>
  <si>
    <t>МЕТАЛЛСЕРВИС, АО</t>
  </si>
  <si>
    <t>МЕТАЛЛСЕРВИС-МОСКВА, ООО</t>
  </si>
  <si>
    <t>МЕТАЛЛСЕРВИС-НС, ООО</t>
  </si>
  <si>
    <t>МЕТАЛЛСЕРВИС-ХАБАРОВСК, ООО</t>
  </si>
  <si>
    <t>МЕТАЛЛЭНЕРГОФИНАНС, ООО</t>
  </si>
  <si>
    <t>МЕТАФРАКС КЕМИКАЛС, АО</t>
  </si>
  <si>
    <t>МЕТАФРАКС ТРЕЙДИНГ, ООО</t>
  </si>
  <si>
    <t>МЕТАХИМ, ООО</t>
  </si>
  <si>
    <t>МЕТИЗМАШ, ООО НПП</t>
  </si>
  <si>
    <t>МЕТИНВЕСТ ЕВРАЗИЯ, ООО</t>
  </si>
  <si>
    <t>МЕТПРОМГРУПП, ООО</t>
  </si>
  <si>
    <t>МЕТРА НЕФТЬ, ООО</t>
  </si>
  <si>
    <t>МЕТРО КЭШ ЭНД КЕРРИ, ООО</t>
  </si>
  <si>
    <t>МЕТРОВАГОНМАШ-СЕРВИС, ООО</t>
  </si>
  <si>
    <t>МЕТРОНОМ, ООО</t>
  </si>
  <si>
    <t>МЕТРОТРАНССТРОЙ, АО</t>
  </si>
  <si>
    <t>МЕТСО ОУТОТЕК, ООО</t>
  </si>
  <si>
    <t>МЕФФЕРТ ПРОДАКШН, ООО</t>
  </si>
  <si>
    <t>МЕТАЛЛУРГИЧЕСКИЙ ЗАВОД ЭЛЕКТРОСТАЛЬ, АО</t>
  </si>
  <si>
    <t>МЕХАНИК, ООО</t>
  </si>
  <si>
    <t>МЕЧЕЛ-КОКС, ООО</t>
  </si>
  <si>
    <t>МЕЧЕЛ-МАТЕРИАЛЫ, ООО</t>
  </si>
  <si>
    <t>МЕЧЕЛ-СЕРВИС, ООО</t>
  </si>
  <si>
    <t>МЕЧЕЛ-ТРАНС, ООО</t>
  </si>
  <si>
    <t>МЕЧЕЛ-ЭНЕРГО, ООО</t>
  </si>
  <si>
    <t>МЗ БАЛАКОВО, АО</t>
  </si>
  <si>
    <t>МЗК, ООО</t>
  </si>
  <si>
    <t>МКР, ООО</t>
  </si>
  <si>
    <t>МИАКОМ СПБ, ООО</t>
  </si>
  <si>
    <t>МИКОМ-С, ООО</t>
  </si>
  <si>
    <t>МИКОЯНОВСКИЙ МЯСОКОМБИНАТ, ЗАО</t>
  </si>
  <si>
    <t>МИКС ДИСТРИБЬЮЦИЯ, ООО</t>
  </si>
  <si>
    <t>МИЛЕ СНГ, ООО</t>
  </si>
  <si>
    <t>МИЛК МАРКЕТ, ООО</t>
  </si>
  <si>
    <t>МИЛКОМ, АО</t>
  </si>
  <si>
    <t>МИЛКЭКСПРЕСС, ООО</t>
  </si>
  <si>
    <t>МИЛТИ, ООО</t>
  </si>
  <si>
    <t>МИЛФУДС, ООО</t>
  </si>
  <si>
    <t>МИНДРЕЙ МЕДИКАЛ РУС, ООО</t>
  </si>
  <si>
    <t>МИНИМАКС, ООО</t>
  </si>
  <si>
    <t>МИНСКИЙ МОЛОЧНЫЙ ЗАВОД № 1, ООО</t>
  </si>
  <si>
    <t>МИНСКИЙ ТРАНСФОРМАТОР, ООО</t>
  </si>
  <si>
    <t>МИП-СТРОЙ № 1, ООО</t>
  </si>
  <si>
    <t>МИП-СТРОЙ № 2, ООО</t>
  </si>
  <si>
    <t>МИР БАКАЛЕИ, ООО</t>
  </si>
  <si>
    <t>МИР ИНСТРУМЕНТА, ООО</t>
  </si>
  <si>
    <t>МИР УПАКОВКИ, АО</t>
  </si>
  <si>
    <t>МИР ХОЛОДА, ООО</t>
  </si>
  <si>
    <t>МИРАТЕХ, ООО НПК</t>
  </si>
  <si>
    <t>МИРАТОРГ ЗАПАД, ООО</t>
  </si>
  <si>
    <t>МИРАТОРГ-БЕЛГОРОД, ООО</t>
  </si>
  <si>
    <t>МИРАТОРГ-КУРСК, ООО</t>
  </si>
  <si>
    <t>МИРАТОРГ-ОРЕЛ, ООО</t>
  </si>
  <si>
    <t>МИРДОРТЕХНИКА, ООО</t>
  </si>
  <si>
    <t>МИРС, ООО</t>
  </si>
  <si>
    <t>МИРТЕК, ООО</t>
  </si>
  <si>
    <t>МИРТЕК, ООО ТД</t>
  </si>
  <si>
    <t>МИРТЕХ, ООО</t>
  </si>
  <si>
    <t>МИРТЕХ-КУБАНЬ, ООО</t>
  </si>
  <si>
    <t>МИРУС МЕДИКАЛ, ООО</t>
  </si>
  <si>
    <t>МИСТЕРИЯ, ООО</t>
  </si>
  <si>
    <t>МИСТРАЛЬ АЛКО, ООО</t>
  </si>
  <si>
    <t>МИСТРАЛЬ ТРЕЙДИНГ, ООО</t>
  </si>
  <si>
    <t>МИТПРОМ, ООО</t>
  </si>
  <si>
    <t>МИХАЙЛОВСКИЙ ГОК ИМ. А.В. ВАРИЧЕВА, АО</t>
  </si>
  <si>
    <t>МИХЕЕВСКИЙ ГОК, АО</t>
  </si>
  <si>
    <t>МИЦУБИСИ МОТОРС РУС, ООО</t>
  </si>
  <si>
    <t>МИШЕЛЬ И К, ООО</t>
  </si>
  <si>
    <t>МИШЛЕН, ООО</t>
  </si>
  <si>
    <t>МИШН ФУДС СТУПИНО, ООО</t>
  </si>
  <si>
    <t>МК ОМК-ЭКОМЕТАЛЛ, ООО</t>
  </si>
  <si>
    <t>МК ПРОМСТРОЙМЕТАЛЛ ТРЕЙД, ООО</t>
  </si>
  <si>
    <t>МК РОСА, ООО</t>
  </si>
  <si>
    <t>МК СИБИРСКОЕ ЗДОРОВЬЕ, ООО</t>
  </si>
  <si>
    <t>МК ТЕХНЭКС, ООО</t>
  </si>
  <si>
    <t>МКЗ, ООО</t>
  </si>
  <si>
    <t>МКМ, ООО</t>
  </si>
  <si>
    <t>МКМ-ЛОГИСТИКА, ООО</t>
  </si>
  <si>
    <t>МКО, ООО</t>
  </si>
  <si>
    <t>МКП, ЗАО</t>
  </si>
  <si>
    <t>МКС, АО</t>
  </si>
  <si>
    <t>МКСМ, АО СПЕЦИАЛИЗИРОВАННЫЙ ЗАСТРОЙЩИК</t>
  </si>
  <si>
    <t>МИСК, АО</t>
  </si>
  <si>
    <t>МКХП-СИТНО, АО</t>
  </si>
  <si>
    <t>МКС, ООО</t>
  </si>
  <si>
    <t>МЛК, ООО</t>
  </si>
  <si>
    <t>МЛРЗ МИЛОРЕМ, АО</t>
  </si>
  <si>
    <t>ММК-ЛМЗ, ООО</t>
  </si>
  <si>
    <t>ММК-ЛУЧ, ООО</t>
  </si>
  <si>
    <t>ММК-СЕРВИС, ООО</t>
  </si>
  <si>
    <t>ММК-УГОЛЬ, ООО</t>
  </si>
  <si>
    <t>ММС ИНТЕРНЭШНЛ, ООО</t>
  </si>
  <si>
    <t>ММСК, ООО</t>
  </si>
  <si>
    <t>ММТП, АО</t>
  </si>
  <si>
    <t>ММУС, АО</t>
  </si>
  <si>
    <t>ММЦ, ООО</t>
  </si>
  <si>
    <t>МНГСК, АО</t>
  </si>
  <si>
    <t>МНК, ООО</t>
  </si>
  <si>
    <t>МНОГО ЛОСОСЯ, ООО</t>
  </si>
  <si>
    <t>МНОГО МЕБЕЛИ, ООО</t>
  </si>
  <si>
    <t>МНОГОВЕРШИННОЕ, АО</t>
  </si>
  <si>
    <t>МНХК, ООО</t>
  </si>
  <si>
    <t>МОБИЛБЕТОН, ООО</t>
  </si>
  <si>
    <t>МОБИЛИДИ, ООО</t>
  </si>
  <si>
    <t>МОБИЛИС, ООО</t>
  </si>
  <si>
    <t>МОБИЛЬНЫЕ ГТЭС, АО</t>
  </si>
  <si>
    <t>МОЛОЧНЫЙ КОМБИНАТ ЭНГЕЛЬССКИЙ ; ООО МКЭ, ООО</t>
  </si>
  <si>
    <t>МОБИС МОДУЛЬ СНГ, ООО</t>
  </si>
  <si>
    <t>МОБИС ПАРТС СНГ, ООО</t>
  </si>
  <si>
    <t>МОДЕРН ВЕЙ КРОСС БОРДЕР ЛОГИСТИКС РУС, ООО</t>
  </si>
  <si>
    <t>МОДЕРН ГЛАСС, ООО</t>
  </si>
  <si>
    <t>МОДЕРН МАШИНЕРИ ФАР ИСТ, ООО</t>
  </si>
  <si>
    <t>МОДИ, ООО</t>
  </si>
  <si>
    <t>МОДНЫЙ КОНТИНЕНТ, АО</t>
  </si>
  <si>
    <t>МОДУЛЬ, ООО</t>
  </si>
  <si>
    <t>МОДУМ-ТРАНС, ООО</t>
  </si>
  <si>
    <t>МОДЦ, АО</t>
  </si>
  <si>
    <t>МОЕ ЛЕТО, ООО ТД</t>
  </si>
  <si>
    <t>МОЛВЕСТ, АО</t>
  </si>
  <si>
    <t>МОЛЗАВОД НОВЫЙ, ООО</t>
  </si>
  <si>
    <t>МОЛКОМ, АО</t>
  </si>
  <si>
    <t>МОЛЛ, ООО</t>
  </si>
  <si>
    <t>МОЛОКО, АО</t>
  </si>
  <si>
    <t>МОЛОКО, ВАЛУЙСКОЕ ОАО</t>
  </si>
  <si>
    <t>МОЛОКО, ООО</t>
  </si>
  <si>
    <t>МОЛОПАК, ООО</t>
  </si>
  <si>
    <t>МОЛОЧНЫЕ ПРОДУКТЫ РУСАГРО, ООО</t>
  </si>
  <si>
    <t>МОЛОЧНЫЙ КИТ, ООО</t>
  </si>
  <si>
    <t>МОЛПРОМКУБАНЬ, ООО</t>
  </si>
  <si>
    <t>МОЛСБЫТ, ООО</t>
  </si>
  <si>
    <t>МОЛСЕРВИС, ЗАО</t>
  </si>
  <si>
    <t>МОМСКОЕ РАЙОННОЕ ПОЖАРНОЕ ОБЩЕСТВО, ООО</t>
  </si>
  <si>
    <t>МОН ДЭЛИС РУСЬ, ООО</t>
  </si>
  <si>
    <t>МЕГАФОН, ПАО</t>
  </si>
  <si>
    <t>МОНАРХ СИБИРЬ, ООО</t>
  </si>
  <si>
    <t>МОНАРХ, ООО</t>
  </si>
  <si>
    <t>МОНАРХ-УКС, ООО</t>
  </si>
  <si>
    <t>МОНДИ АРАМИЛЬ, ООО</t>
  </si>
  <si>
    <t>МОНДИ ПЕРЕСЛАВЛЬ, ООО</t>
  </si>
  <si>
    <t>МОНДИ СЛПК, АО</t>
  </si>
  <si>
    <t>МОНЕРОН, ООО</t>
  </si>
  <si>
    <t>МОНОКРИСТАЛЛ, АО</t>
  </si>
  <si>
    <t>МОНОКРИСТАЛЛ, ООО</t>
  </si>
  <si>
    <t>МОНОЛИТ, ООО</t>
  </si>
  <si>
    <t>МОНОЛИТ-СТРОЙ, ООО</t>
  </si>
  <si>
    <t>МОНОЛИТСТРОЙ, ООО</t>
  </si>
  <si>
    <t>МОНОЛИТТЕХСТРОЙ, ООО</t>
  </si>
  <si>
    <t>МОНОПОЛИЯ, ООО</t>
  </si>
  <si>
    <t>МОНОПОЛИЯ.ОНЛАЙН, ООО</t>
  </si>
  <si>
    <t>МОНТ, ООО</t>
  </si>
  <si>
    <t>МОНТАЖ ПЛЮС, ООО</t>
  </si>
  <si>
    <t>АМИКО, НПАО</t>
  </si>
  <si>
    <t>МОНТАЖСТАЛЬКОНСТРУКЦИЯ, ООО</t>
  </si>
  <si>
    <t>МОНЭКС ТРЕЙДИНГ, ООО</t>
  </si>
  <si>
    <t>МОРДОВСКАЯ ЭНЕРГОСБЫТОВАЯ КОМПАНИЯ, ПАО</t>
  </si>
  <si>
    <t>МОРДОВСКИЙ БЕКОН, ЗАО</t>
  </si>
  <si>
    <t>МОРДОВЦЕМЕНТ, АО</t>
  </si>
  <si>
    <t>МОРЕ ПИВА, ООО</t>
  </si>
  <si>
    <t>МОРЕМОЛЛ, АО</t>
  </si>
  <si>
    <t>МОРЕОДОР, ООО</t>
  </si>
  <si>
    <t>МОРО, ООО</t>
  </si>
  <si>
    <t>МОРОЗКО, ООО</t>
  </si>
  <si>
    <t>МОРОЗОВКА, ЗАО</t>
  </si>
  <si>
    <t>МОРПОРТ СПБ, АО</t>
  </si>
  <si>
    <t>МОРСКАЯ ЗВЕЗДА, ООО</t>
  </si>
  <si>
    <t>МОРСКИЕ РЕСУРСЫ, ООО</t>
  </si>
  <si>
    <t>МОРСКОЕ АГЕНТСТВО СИЛМАР, ООО</t>
  </si>
  <si>
    <t>МОРСКОЙ ТЕРМИНАЛ ТАМАНЬ, ООО</t>
  </si>
  <si>
    <t>МОРСКОЙ ТРАСТ, ООО</t>
  </si>
  <si>
    <t>МОРТОН-РСО, ООО</t>
  </si>
  <si>
    <t>МОСАВТОСАНТРАНС, ГУП АВТОКОМБИНАТ</t>
  </si>
  <si>
    <t>МОСАВТОШИНА, ООО</t>
  </si>
  <si>
    <t>МОСВОДОКАНАЛ, АО</t>
  </si>
  <si>
    <t>МОСВОДОСТОК, ГУП</t>
  </si>
  <si>
    <t>МОСВТОРМЕТ, ООО</t>
  </si>
  <si>
    <t>МОСГАЗ, АО</t>
  </si>
  <si>
    <t>МОСГИПРОТРАНС, АО</t>
  </si>
  <si>
    <t>МОСГОРТРАНС, ГУП</t>
  </si>
  <si>
    <t>МОСЗООВЕТСНАБ, ООО НПП</t>
  </si>
  <si>
    <t>МОСИНЖПРОЕКТ, АО</t>
  </si>
  <si>
    <t>МОСКАПСТРОЙ СУ-1, ООО</t>
  </si>
  <si>
    <t>МОСКАПСТРОЙ, АО</t>
  </si>
  <si>
    <t>МОСКАПСТРОЙ-ИНЖИНИРИНГ, ООО</t>
  </si>
  <si>
    <t>МОСКАРТ, ООО</t>
  </si>
  <si>
    <t>МОСКВА КАРГО, ООО</t>
  </si>
  <si>
    <t>МОСКВИЧ, АО МАЗ</t>
  </si>
  <si>
    <t>МОСКВОРЕЧЬЕ ТРЕЙДИНГ, ООО</t>
  </si>
  <si>
    <t>МОСКОВСКИЙ МЕТРОПОЛИТЕН, ГУП</t>
  </si>
  <si>
    <t>МОСКОВСКИЙ ЗАВОД ФИЗПРИБОР, ООО</t>
  </si>
  <si>
    <t>МОСКОВСКИЙ ЛРЗ, АО</t>
  </si>
  <si>
    <t>МОСКОВСКИЙ ЦЕНТР ДЕРМАТОВЕНЕРОЛОГИИ И КОСМЕТОЛОГИИ, ГБУЗ</t>
  </si>
  <si>
    <t>МОСКОКС, АО</t>
  </si>
  <si>
    <t>МОСКОЛЛЕКТОР, АО</t>
  </si>
  <si>
    <t>МОСЛИФТ, АО</t>
  </si>
  <si>
    <t>МОСМЕДЫНЬАГРОПРОМ, АО</t>
  </si>
  <si>
    <t>МОСМЕТРОСТРОЙ, АО</t>
  </si>
  <si>
    <t>МОСОБЛГАЗ, АО</t>
  </si>
  <si>
    <t>МОСОБЛГАЗПОСТАВКА, ООО</t>
  </si>
  <si>
    <t>МОСОБЛЕИРЦ, ООО</t>
  </si>
  <si>
    <t>МОСОБЛЭНЕРГО, АО</t>
  </si>
  <si>
    <t>МОСПРОЕКТ-3, АО</t>
  </si>
  <si>
    <t>МОСПРОМСТРОЙ, АО</t>
  </si>
  <si>
    <t>МОСПРОМСТРОЙ-М, ООО</t>
  </si>
  <si>
    <t>МОСРЕГИОНГАЗ, ООО</t>
  </si>
  <si>
    <t>МОСТ, ООО</t>
  </si>
  <si>
    <t>МОСТОВИК, ООО</t>
  </si>
  <si>
    <t>МОСТОЖЕЛЕЗОБЕТОНКОНСТРУКЦИЯ, АО</t>
  </si>
  <si>
    <t>МОСТООТРЯД-47, ООО ФСК</t>
  </si>
  <si>
    <t>МОСТОСТРОЙ-11, АО</t>
  </si>
  <si>
    <t>МОСТОТРЕСТ, ПАО</t>
  </si>
  <si>
    <t>МОСТОТРЕСТ136, ООО</t>
  </si>
  <si>
    <t>МОСТРАНСАВТО, АО</t>
  </si>
  <si>
    <t>МОСЭНЕРГО, ПАО</t>
  </si>
  <si>
    <t>МОСЭНЕРГОСБЫТ, АО</t>
  </si>
  <si>
    <t>МОТЕХС-РУС, ООО</t>
  </si>
  <si>
    <t>ОККАМ ИКС, ООО</t>
  </si>
  <si>
    <t>МОТУС ТРАК, ООО</t>
  </si>
  <si>
    <t>МОФАРМ, ООО</t>
  </si>
  <si>
    <t>МОЭК, ПАО</t>
  </si>
  <si>
    <t>МОЭСК-ИНЖИНИРИНГ, АО</t>
  </si>
  <si>
    <t>МП, ООО</t>
  </si>
  <si>
    <t>МПЗ АГРО-БЕЛОГОРЬЕ, ООО</t>
  </si>
  <si>
    <t>МПЗ ЛУНЁВО, ООО</t>
  </si>
  <si>
    <t>МПЗ МОСКВОРЕЦКИЙ, ООО</t>
  </si>
  <si>
    <t>МПЗ МЯСНИЦКИЙ РЯД, ООО</t>
  </si>
  <si>
    <t>МПЗ РУБЛЕВСКИЙ, ООО</t>
  </si>
  <si>
    <t>МПЗ, ООО</t>
  </si>
  <si>
    <t>МПИТ, ООО</t>
  </si>
  <si>
    <t>МПК АТЯШЕВСКИЙ, ООО</t>
  </si>
  <si>
    <t>МПК ТОСНЕНСКИЙ, ООО</t>
  </si>
  <si>
    <t>МПК, ЗАО</t>
  </si>
  <si>
    <t>МПК, ООО</t>
  </si>
  <si>
    <t>МПО СКОМОРОШКА, ООО</t>
  </si>
  <si>
    <t>МПП ЮЖНОЕ, ООО</t>
  </si>
  <si>
    <t>МПС КОМПЛЕКСНЫЕ РЕШЕНИЯ, ООО</t>
  </si>
  <si>
    <t>МПС, ООО</t>
  </si>
  <si>
    <t>МПЦ, ООО</t>
  </si>
  <si>
    <t>МР ГРУПП, АО</t>
  </si>
  <si>
    <t>МР-ТРАЙДИНГ, ООО</t>
  </si>
  <si>
    <t>МРГТ, ООО</t>
  </si>
  <si>
    <t>МРК, ООО</t>
  </si>
  <si>
    <t>МРС, ООО</t>
  </si>
  <si>
    <t>МРСК УРАЛА, ОАО</t>
  </si>
  <si>
    <t>МРТС, АО</t>
  </si>
  <si>
    <t>МРТС-СТРОЙМОНТАЖ, ООО</t>
  </si>
  <si>
    <t>МУЛТОН ПАРТНЕРС, ООО</t>
  </si>
  <si>
    <t>МС-77, ООО</t>
  </si>
  <si>
    <t>МС-БУНКЕР, ООО</t>
  </si>
  <si>
    <t>МС-ГРУПП, ООО</t>
  </si>
  <si>
    <t>МСВ, ООО</t>
  </si>
  <si>
    <t>МСД ФАРМАСЬЮТИКАЛС, ООО</t>
  </si>
  <si>
    <t>МСЗ, АО</t>
  </si>
  <si>
    <t>МСИА, ООО</t>
  </si>
  <si>
    <t>МСК РИТЕЙЛ, ООО</t>
  </si>
  <si>
    <t>МСК ЭНЕРГО, АО</t>
  </si>
  <si>
    <t>МСК ЭНЕРГО, ООО</t>
  </si>
  <si>
    <t>МСК, ООО</t>
  </si>
  <si>
    <t>МСК-1, ООО</t>
  </si>
  <si>
    <t>МСК-НТ, ООО</t>
  </si>
  <si>
    <t>МСС, ООО</t>
  </si>
  <si>
    <t>МССЗ (АО), СЗ</t>
  </si>
  <si>
    <t>МСТ, ООО</t>
  </si>
  <si>
    <t>МСУ 18, ООО</t>
  </si>
  <si>
    <t>МТ ППК, АО</t>
  </si>
  <si>
    <t>МТ РУССИЯ, ООО</t>
  </si>
  <si>
    <t>МТЗ ТРАНСМАШ, АО</t>
  </si>
  <si>
    <t>МТК РОСБЕРГ ЦЕНТР, ООО</t>
  </si>
  <si>
    <t>МТК ФР, ООО</t>
  </si>
  <si>
    <t>МТЛ, АО</t>
  </si>
  <si>
    <t>МТО СТОРМОВЪ, ООО</t>
  </si>
  <si>
    <t>МТС ДИДЖИТАЛ, ООО</t>
  </si>
  <si>
    <t>МТС, ПАО</t>
  </si>
  <si>
    <t>МТТ, АО</t>
  </si>
  <si>
    <t>МТЭР ЦТС, ООО</t>
  </si>
  <si>
    <t>МУЗЫКАНТ, ООО</t>
  </si>
  <si>
    <t>МУЛТОН, АО</t>
  </si>
  <si>
    <t>МУЛЬТИКАРТА, ООО</t>
  </si>
  <si>
    <t>МУЛЬТИПРО, ООО ТК</t>
  </si>
  <si>
    <t>МУМТ, АО</t>
  </si>
  <si>
    <t>МУРАШИНСКИЙ ФАНЕРНЫЙ ЗАВОД, ООО</t>
  </si>
  <si>
    <t>МУРИНО 117, ООО</t>
  </si>
  <si>
    <t>МУРМАН СИФУД, ООО КОМПАНИЯ</t>
  </si>
  <si>
    <t>МУРМАНСКАЯ ТЭЦ, АО</t>
  </si>
  <si>
    <t>МУРМАНСКИЙ ТРАЛОВЫЙ ФЛОТ ИЛИ ПАО МТФ, ПАО</t>
  </si>
  <si>
    <t>МУРОМ, ЗАО</t>
  </si>
  <si>
    <t>МУРОМЕЦ, АО</t>
  </si>
  <si>
    <t>МУРОМСКИЙ ЗАВОД ТРАНСПУТЬМАШ, ООО</t>
  </si>
  <si>
    <t>МУСА МОТОРС ДЖЕЙ ЭЛ ЭР, ООО</t>
  </si>
  <si>
    <t>МУСОРОУБОРОЧНАЯ КОМПАНИЯ, АО</t>
  </si>
  <si>
    <t>МУСТАНГ ТЕХНОЛОГИИ КОРМЛЕНИЯ, ООО</t>
  </si>
  <si>
    <t>МФ-КОМПЛЕКТ, ООО</t>
  </si>
  <si>
    <t>МФИ СОФТ, ООО</t>
  </si>
  <si>
    <t>МФК БИОРИТМ, ООО</t>
  </si>
  <si>
    <t>МФК ДЖАМИЛЬКО, АО</t>
  </si>
  <si>
    <t>МФК СЕВЕРО-ЗАПАД, НАО</t>
  </si>
  <si>
    <t>МФС, АО</t>
  </si>
  <si>
    <t>МФС, ООО</t>
  </si>
  <si>
    <t>МФС-6, АО</t>
  </si>
  <si>
    <t>МФЦ КАПИТАЛ, ООО</t>
  </si>
  <si>
    <t>МФЮА; МОСКОВСКИЙ ФИНАНСОВО-ЮРИДИЧЕСКИЙ УНИВЕРСИТЕТ МФЮА</t>
  </si>
  <si>
    <t>МХК ЕВРОХИМ, АО</t>
  </si>
  <si>
    <t>МЦ НТТ, АО</t>
  </si>
  <si>
    <t>МЦОЗ, ООО</t>
  </si>
  <si>
    <t>МЦПСП, ООО</t>
  </si>
  <si>
    <t>МЦЭ-ИНЖИНИРИНГ, ООО</t>
  </si>
  <si>
    <t>МЫСКОВСКАЯ ГОРОДСКАЯ БОЛЬНИЦА, ГБУЗ</t>
  </si>
  <si>
    <t>МЭЗ АМУРСКИЙ, ООО</t>
  </si>
  <si>
    <t>МЭЗ ЮГ РУСИ, ООО</t>
  </si>
  <si>
    <t>МЭЙДЖОР АВТО КОМПЛЕКС, ООО</t>
  </si>
  <si>
    <t>МЭЙДЖОР АВТО РИГА, ООО</t>
  </si>
  <si>
    <t>МЭЙДЖОР АВТО ЦЕНТР, ООО</t>
  </si>
  <si>
    <t>МЭЙДЖОР АВТОМОБИЛИ, ООО</t>
  </si>
  <si>
    <t>МЭЙДЖОР КАРГО СЕРВИС, ООО</t>
  </si>
  <si>
    <t>МЭЙДЖОР ЛИЗИНГ, ООО</t>
  </si>
  <si>
    <t>МЭЙДЖОР ПРОФИ, ООО</t>
  </si>
  <si>
    <t>МЭЙДЖОР ТЕРМИНАЛ, ООО</t>
  </si>
  <si>
    <t>МЭЙДЖОР ЭКСПРЕСС, ООО</t>
  </si>
  <si>
    <t>МЭЙДЖОР-АВТО, ООО</t>
  </si>
  <si>
    <t>МЭЙДЖОРСЕРВИСМ, ООО</t>
  </si>
  <si>
    <t>МЭЙН СИСТЕМС, ООО</t>
  </si>
  <si>
    <t>МЭК, АО</t>
  </si>
  <si>
    <t>МЭК, ООО</t>
  </si>
  <si>
    <t>МЭЛ, АО</t>
  </si>
  <si>
    <t>МЭЛОН ФЭШН ГРУП, АО</t>
  </si>
  <si>
    <t>МЭНПАУЭР, ООО</t>
  </si>
  <si>
    <t>МЭРИ КЭЙ, АО</t>
  </si>
  <si>
    <t>МЭС, АО</t>
  </si>
  <si>
    <t>МЮЗ, АО</t>
  </si>
  <si>
    <t>МЮНЦ ГРУПП, ООО</t>
  </si>
  <si>
    <t>МЯСКО, ООО</t>
  </si>
  <si>
    <t>МЯСНАЯ ГАЛЕРЕЯ, ЗАО</t>
  </si>
  <si>
    <t>МЯСНОВЪ-77, ООО</t>
  </si>
  <si>
    <t>МЯСНОФФ-ДОН, ООО</t>
  </si>
  <si>
    <t>МЯСОКОМБИНАТ БЕССОНОВСКИЙ, ООО</t>
  </si>
  <si>
    <t>МЯСОКОМБИНАТ БОБРОВСКИЙ, ООО</t>
  </si>
  <si>
    <t>МЯСОКОМБИНАТ ВСЕВОЛОЖСКИЙ, ООО</t>
  </si>
  <si>
    <t>МЯСОКОМБИНАТ ДРУЖБА НАРОДОВ, ООО</t>
  </si>
  <si>
    <t>МЯСОКОМБИНАТ КЛИНСКИЙ, АО</t>
  </si>
  <si>
    <t>МЯСОКОМБИНАТ КУНГУРСКИЙ, ООО</t>
  </si>
  <si>
    <t>МЯСОКОМБИНАТ ПАВЛОВСКАЯ СЛОБОДА, ООО</t>
  </si>
  <si>
    <t>МЯСОКОМБИНАТ РАМЕНСКИЙ, АО</t>
  </si>
  <si>
    <t>МЯСОКОМБИНАТ ЭКО, ООО</t>
  </si>
  <si>
    <t>МЯСОПЕРЕРАБАТЫВАЮЩИЙ ЗАВОД РЕМИТ, ООО</t>
  </si>
  <si>
    <t>МЯСОПТИЦЕКОМБИНАТ КАНЕВСКОЙ, ООО</t>
  </si>
  <si>
    <t>МЯСТОРГ, ООО МП</t>
  </si>
  <si>
    <t>Н-МЕДИА, ООО</t>
  </si>
  <si>
    <t>НАБЕРЕЖНОЧЕЛНИНСКИЙ ЭЛЕВАТОР, АО</t>
  </si>
  <si>
    <t>НАВАСТРОЙ, ООО</t>
  </si>
  <si>
    <t>НАВИГАТОР ПЛЮС, ООО</t>
  </si>
  <si>
    <t>НАВИГАТОР, ООО</t>
  </si>
  <si>
    <t>НАВИЕН РУС, ООО</t>
  </si>
  <si>
    <t>НАВИНИЯ РУС, ООО</t>
  </si>
  <si>
    <t>НАВИОЙЛ, ООО</t>
  </si>
  <si>
    <t>НАВИСФАРМ, ООО</t>
  </si>
  <si>
    <t>НАД, ООО</t>
  </si>
  <si>
    <t>НАДЕЖДА, АО</t>
  </si>
  <si>
    <t>НАДЕЖДА-ФАРМ, ООО ГК</t>
  </si>
  <si>
    <t>НАДЕЖДИНСКИЙ МЕТАЛЛУРГИЧЕСКИЙ ЗАВОД, ПАО</t>
  </si>
  <si>
    <t>НАЗАРОВОАГРОСНАБ, АО</t>
  </si>
  <si>
    <t>НАЗАРОВСКАЯ ГРЭС, АО</t>
  </si>
  <si>
    <t>НАЗАРОВСКОЕ, ЗАО</t>
  </si>
  <si>
    <t>НАЙК, ООО</t>
  </si>
  <si>
    <t>СОВМЕСТНОЕ ПРЕДПРИЯТИЕ ЕВРАЗИЯ М4, АО</t>
  </si>
  <si>
    <t>НАК МАШИНЕРИ, ООО</t>
  </si>
  <si>
    <t>НАНОЛЕК, ООО</t>
  </si>
  <si>
    <t>НАНОТЕХ, ООО</t>
  </si>
  <si>
    <t>НАНОФАРМ, ООО</t>
  </si>
  <si>
    <t>МЕТРОСТРОЙ СЕВЕРНОЙ СТОЛИЦЫ, АО</t>
  </si>
  <si>
    <t>НАТ, ООО</t>
  </si>
  <si>
    <t>НАТУРА ПРО, ООО</t>
  </si>
  <si>
    <t>НАТУРА СИБЕРИКА, ООО</t>
  </si>
  <si>
    <t>НАТЭК-НЕФТЕХИММАШ, ЗАО НПО</t>
  </si>
  <si>
    <t>НАФТА ОЙЛ, ООО</t>
  </si>
  <si>
    <t>НАФТА, ООО</t>
  </si>
  <si>
    <t>НАФТА-ЦЕНТР, ООО</t>
  </si>
  <si>
    <t>НАФТАИНВЕСТ, ООО</t>
  </si>
  <si>
    <t>НАФТАТРАНС ПЛЮС, ООО ТК</t>
  </si>
  <si>
    <t>НАФТАТРАНС, ООО</t>
  </si>
  <si>
    <t>НАХОДКА, ООО</t>
  </si>
  <si>
    <t>НАХОДКИНСКИЙ МТП, АО</t>
  </si>
  <si>
    <t>НАЦИМБИО, АО</t>
  </si>
  <si>
    <t>НАЦИОНАЛЬНАЯ БАШЕННАЯ КОМПАНИЯ, АО</t>
  </si>
  <si>
    <t>НАЦИОНАЛЬНАЯ СПУТНИКОВАЯ КОМПАНИЯ, НАО</t>
  </si>
  <si>
    <t>НАЦИОНАЛЬНАЯ ФРУКТОВАЯ КОМПАНИЯ, ООО</t>
  </si>
  <si>
    <t>НАЯДА, ООО</t>
  </si>
  <si>
    <t>НОВОСИБИРСКИЙ МЕЛЬКОМБИНАТ № 1, ООО</t>
  </si>
  <si>
    <t>НБАМР, ПАО</t>
  </si>
  <si>
    <t>НВ-СЕРВИС, ООО</t>
  </si>
  <si>
    <t>НВ-ТРЕЙД, ООО</t>
  </si>
  <si>
    <t>НВБС, АО</t>
  </si>
  <si>
    <t>НВК, ООО</t>
  </si>
  <si>
    <t>НВО, АНО</t>
  </si>
  <si>
    <t>НГ-БУРЕНИЕ, ООО</t>
  </si>
  <si>
    <t>НГДУ ВОСТОЧНАЯ СИБИРЬ, ООО</t>
  </si>
  <si>
    <t>НГК РЕСУРС, ООО</t>
  </si>
  <si>
    <t>НГКМ, ООО</t>
  </si>
  <si>
    <t>НГС, ООО</t>
  </si>
  <si>
    <t>НГТ, ООО</t>
  </si>
  <si>
    <t>НГТИИ, ООО</t>
  </si>
  <si>
    <t>НДА ДЕЛОВАЯ МЕДИЦИНСКАЯ КОМПАНИЯ, ООО</t>
  </si>
  <si>
    <t>НЕВА МИЛК, ООО</t>
  </si>
  <si>
    <t>НЕВА ТРЕЙД, ООО</t>
  </si>
  <si>
    <t>НЕВА, ООО ТД</t>
  </si>
  <si>
    <t>НЕВАДА-ВОСТОК, ООО</t>
  </si>
  <si>
    <t>НЕВАЛАЙН, ООО</t>
  </si>
  <si>
    <t>НЕВАСТАР, ООО</t>
  </si>
  <si>
    <t>НЕВСКАЯ БУМАГА, ООО</t>
  </si>
  <si>
    <t>НЕВСКАЯ КОСМЕТИКА, АО</t>
  </si>
  <si>
    <t>НЕВСКАЯ ТРУБОПРОВОДНАЯ КОМПАНИЯ, ООО</t>
  </si>
  <si>
    <t>НЕВСКИЕ СЫРЫ, ООО</t>
  </si>
  <si>
    <t>НЕВСКИЙ МАЗУТ, ООО</t>
  </si>
  <si>
    <t>НЕВСКИЙ СИНДИКАТ, ООО</t>
  </si>
  <si>
    <t>НЕВСКИЙ ЭКОЛОГИЧЕСКИЙ ОПЕРАТОР, АО</t>
  </si>
  <si>
    <t>НЕГУСНЕФТЬ, АО</t>
  </si>
  <si>
    <t>НЕД-ЦЕНТР, ООО</t>
  </si>
  <si>
    <t>НЕДРА-К, ООО</t>
  </si>
  <si>
    <t>НЕЙВА, АРТЕЛЬ</t>
  </si>
  <si>
    <t>КОНЦЕРН ОТ, ООО</t>
  </si>
  <si>
    <t>НЕКТАР, ООО ФИРМА</t>
  </si>
  <si>
    <t>НЕЛТ-РИТЕЙЛ, ООО</t>
  </si>
  <si>
    <t>НЕО КЕМИКАЛ, ООО</t>
  </si>
  <si>
    <t>НЕО-ГАРАНТ, ООО ТК</t>
  </si>
  <si>
    <t>НЕО-ТРЕЙД, ООО</t>
  </si>
  <si>
    <t>НЕО-ФАРМ, ООО</t>
  </si>
  <si>
    <t>МОСКОВСКОЕ ПРОП, АО</t>
  </si>
  <si>
    <t>НЕОПРОФ, ООО</t>
  </si>
  <si>
    <t>НЕОТЕХНИКА, ООО</t>
  </si>
  <si>
    <t>НЕОТРЕЙД, ООО</t>
  </si>
  <si>
    <t>НЕОФАРМ СЕВЕРО-ЗАПАД, ООО</t>
  </si>
  <si>
    <t>НЕОФЛЕКС КОНСАЛТИНГ, АО</t>
  </si>
  <si>
    <t>НЕРУД ЦЕНТР, ООО</t>
  </si>
  <si>
    <t>НЕРУДНАЯ ЛОГИСТИЧЕСКАЯ КОМПАНИЯ, ООО</t>
  </si>
  <si>
    <t>НЕСКО САНКТ-ПЕТЕРБУРГ, АО</t>
  </si>
  <si>
    <t>НЕТВЕЛЛ, ООО</t>
  </si>
  <si>
    <t>НЕТКАНИКА, ООО</t>
  </si>
  <si>
    <t>НЕТКРЭКЕР, ООО</t>
  </si>
  <si>
    <t>НЕФТЕАВТОМАТИКА, АО</t>
  </si>
  <si>
    <t>НЕФТЕБИТУМ, ООО</t>
  </si>
  <si>
    <t>НЕФТЕГАЗИНКОР, АО</t>
  </si>
  <si>
    <t>НЕФТЕГАЗСТРОЙ, ООО</t>
  </si>
  <si>
    <t>НЕФТЕЛАЙН ТРЕЙД, ООО</t>
  </si>
  <si>
    <t>НЕФТЕПРОДУКТ-ЦЕНТР, ООО</t>
  </si>
  <si>
    <t>НЕФТЕРЕСУРС, ООО</t>
  </si>
  <si>
    <t>НЕФТЕТРАНССЕРВИС, АО</t>
  </si>
  <si>
    <t>НЕФТЕХИМКОМПЛЕКТ, ООО</t>
  </si>
  <si>
    <t>НЕФТИКА-КАРД, ООО</t>
  </si>
  <si>
    <t>НЕФТЬ, ООО</t>
  </si>
  <si>
    <t>НЕФТЬ-ГАЗ, ООО</t>
  </si>
  <si>
    <t>НЕФТЬИНВЕСТ, АО</t>
  </si>
  <si>
    <t>НЗЛ, АО</t>
  </si>
  <si>
    <t>НЗМ, ООО ГСИ ВОЛГОГРАДСКАЯ ФИРМА</t>
  </si>
  <si>
    <t>НЗНП ИНЖИНИРИНГ, ООО</t>
  </si>
  <si>
    <t>НЗНП ТРЕЙД, ООО</t>
  </si>
  <si>
    <t>НЗНП, АО</t>
  </si>
  <si>
    <t>НЗРМ, ООО</t>
  </si>
  <si>
    <t>НЗТ, ООО</t>
  </si>
  <si>
    <t>НИВА, ООО</t>
  </si>
  <si>
    <t>НИЕНШАНЦ-АВТОМАТИКА, ООО</t>
  </si>
  <si>
    <t>НИЖАВТОДОРСТРОЙ, ООО</t>
  </si>
  <si>
    <t>НИЖБЕЛ, ООО</t>
  </si>
  <si>
    <t>НИЖЕГОРОДЕЦ ВОСТОК, ООО</t>
  </si>
  <si>
    <t>НИЖЕГОРОДЕЦ ДЕЛЬТА, ООО</t>
  </si>
  <si>
    <t>НИЖЕГОРОДСКИЕ МОТОРЫ, ООО</t>
  </si>
  <si>
    <t>НИЖЕГОРОДСКИЙ ВОДОКАНАЛ, АО</t>
  </si>
  <si>
    <t>НИЖЕГОРОДСКИЙ ТД БЕЛШИНА, ООО</t>
  </si>
  <si>
    <t>НИЖНЕКАМСКАЯ ТЭЦ, ООО</t>
  </si>
  <si>
    <t>НИЖНЕКАМСКНЕФТЕХИМ, ПАО</t>
  </si>
  <si>
    <t>НИЖНЕКАМСКТЕХУГЛЕРОД, АО</t>
  </si>
  <si>
    <t>НИЖНЕКАМСКШИНА, ПАО</t>
  </si>
  <si>
    <t>НИЖЭКОЛОГИЯ-НН, ООО</t>
  </si>
  <si>
    <t>НИИ ТРАНСНЕФТЬ, ООО</t>
  </si>
  <si>
    <t>НИИАС, АО</t>
  </si>
  <si>
    <t>НИИЭФА-ЭНЕРГО, ООО</t>
  </si>
  <si>
    <t>НИКА, ООО</t>
  </si>
  <si>
    <t>НИКА-ПЕТРОТЭК, ООО</t>
  </si>
  <si>
    <t>НИПТ, ООО</t>
  </si>
  <si>
    <t>НИКА-Х, ООО</t>
  </si>
  <si>
    <t>НИКАМА, ООО</t>
  </si>
  <si>
    <t>НИКАМЕД, ООО</t>
  </si>
  <si>
    <t>НИКО, ООО</t>
  </si>
  <si>
    <t>НИКО-ОЙЛ ДВ, ООО</t>
  </si>
  <si>
    <t>НИКОГЛАСС, ООО</t>
  </si>
  <si>
    <t>НИКОЛЬ-ПАК ИМПЕРИАЛ, ООО</t>
  </si>
  <si>
    <t>НИПИ НГ ПЕТОН, ООО</t>
  </si>
  <si>
    <t>НИПИГАЗ, АО</t>
  </si>
  <si>
    <t>НИПИГОРМАШ, НАО</t>
  </si>
  <si>
    <t>НИССА, ООО</t>
  </si>
  <si>
    <t>НИССАН МЭНУФЭКЧУРИНГ РУС, ООО</t>
  </si>
  <si>
    <t>НИТА-ФАРМ, ООО</t>
  </si>
  <si>
    <t>НИТРО СИБИРЬ, АО</t>
  </si>
  <si>
    <t>НИТРО СИБИРЬ-КУЗБАСС, АО</t>
  </si>
  <si>
    <t>НИТЭК, ООО</t>
  </si>
  <si>
    <t>НИША, ООО</t>
  </si>
  <si>
    <t>НК ДЖАКС, ООО</t>
  </si>
  <si>
    <t>НК НЕФТИСА, АО</t>
  </si>
  <si>
    <t>НК ЯНГПУР, АО</t>
  </si>
  <si>
    <t>НКЗ, ЗАО</t>
  </si>
  <si>
    <t>НКМ НОРД, ООО</t>
  </si>
  <si>
    <t>НКНП, ООО</t>
  </si>
  <si>
    <t>НКТ, ООО</t>
  </si>
  <si>
    <t>НКХП, ПАО</t>
  </si>
  <si>
    <t>НЛ КОНТИНЕНТ, ООО</t>
  </si>
  <si>
    <t>НЛК, АО</t>
  </si>
  <si>
    <t>НЛМК-КАЛУГА, ООО</t>
  </si>
  <si>
    <t>НЛМК-МЕТИЗ, ООО</t>
  </si>
  <si>
    <t>НЛМК-УРАЛ, АО</t>
  </si>
  <si>
    <t>НЛЭ, АО</t>
  </si>
  <si>
    <t>НМ, ООО</t>
  </si>
  <si>
    <t>НМ, ООО ТД</t>
  </si>
  <si>
    <t>НМЖК, АО ТД</t>
  </si>
  <si>
    <t>НМЗ ИМ. КУЗЬМИНА, АО</t>
  </si>
  <si>
    <t>НМК, ООО ТК</t>
  </si>
  <si>
    <t>НМСК, ООО</t>
  </si>
  <si>
    <t>НМТ, ООО</t>
  </si>
  <si>
    <t>НМЦ СУВАГ, АНО</t>
  </si>
  <si>
    <t>НН ТЕХНИЧЕСКИЕ СЕРВИСЫ, ООО</t>
  </si>
  <si>
    <t>ННК-БУНКЕР, ООО</t>
  </si>
  <si>
    <t>ННК-ОРЕНБУРГНЕФТЕГАЗ, ООО</t>
  </si>
  <si>
    <t>ННПП, ООО</t>
  </si>
  <si>
    <t>НОВА ГРУПП, ООО</t>
  </si>
  <si>
    <t>НОВА РОЛЛ-С, ООО</t>
  </si>
  <si>
    <t>НОВА, ООО</t>
  </si>
  <si>
    <t>НОВАВИНД, АО</t>
  </si>
  <si>
    <t>НОВАКАРД, АО</t>
  </si>
  <si>
    <t>НОВАКОМ, ООО</t>
  </si>
  <si>
    <t>НОВАПОРТ-ГСМ, АО</t>
  </si>
  <si>
    <t>НОВАРТИС НЕВА, ООО</t>
  </si>
  <si>
    <t>НОВАРТИС ФАРМА, ООО</t>
  </si>
  <si>
    <t>НОВАТОР, ООО</t>
  </si>
  <si>
    <t>НОВАТЭК -АЗК, ООО</t>
  </si>
  <si>
    <t>НОВАТЭК МОСКОВСКАЯ ОБЛАСТЬ, ООО</t>
  </si>
  <si>
    <t>НОВАТЭК НТЦ, ООО</t>
  </si>
  <si>
    <t>НОВАТЭК, ПАО</t>
  </si>
  <si>
    <t>НОВАТЭК- ЧЕЛЯБИНСК, ООО</t>
  </si>
  <si>
    <t>НОВАТЭК-КОСТРОМА, ООО</t>
  </si>
  <si>
    <t>НОВАТЭК-МУРМАНСК, ООО</t>
  </si>
  <si>
    <t>НОВАТЭК-ПЕРМЬ, ООО</t>
  </si>
  <si>
    <t>НОВАТЭК-ПУРОВСКИЙ ЗПК, ООО</t>
  </si>
  <si>
    <t>НОВАТЭК-ТАРКОСАЛЕНЕФТЕГАЗ, ООО</t>
  </si>
  <si>
    <t>НОВАТЭК-УСТЬ-ЛУГА, ООО</t>
  </si>
  <si>
    <t>НОВАТЭК-ЭНЕРГО, ООО</t>
  </si>
  <si>
    <t>НОВАТЭК-ЮРХАРОВНЕФТЕГАЗ, ООО</t>
  </si>
  <si>
    <t>НОВАЦЕНТР К, ООО</t>
  </si>
  <si>
    <t>НОВАЯ БОЛЬНИЦА, ООО МО</t>
  </si>
  <si>
    <t>НОВАЯ ГОРНАЯ УК, ООО</t>
  </si>
  <si>
    <t>НОВАЯ ЛИНИЯ, ООО</t>
  </si>
  <si>
    <t>НОВАЯ ЛОГИСТИЧЕСКАЯ, ООО</t>
  </si>
  <si>
    <t>НОВАЯ СТОЛИЦА, АО</t>
  </si>
  <si>
    <t>НОВГОРОДНЕФТЕПРОДУКТ, ООО</t>
  </si>
  <si>
    <t>НОВГОРОДПРОДУКТ, ООО</t>
  </si>
  <si>
    <t>НОВГОРОДСКИЙ БЕКОН, ООО</t>
  </si>
  <si>
    <t>НОВИТЭН, ООО</t>
  </si>
  <si>
    <t>НОВО НОРДИСК, ООО</t>
  </si>
  <si>
    <t>НОВО ПАКАДЖИНГ ББ, ООО</t>
  </si>
  <si>
    <t>НОВО-БАРЫШЕВСКАЯ, ЗАО ПТИЦЕФАБРИКА</t>
  </si>
  <si>
    <t>НОВО-КЕМЕРОВСКАЯ ТЭЦ, АО</t>
  </si>
  <si>
    <t>НОВО-РЯЗАНСКАЯ ТЭЦ, ООО</t>
  </si>
  <si>
    <t>НОВО-ТРЕЙД, ООО</t>
  </si>
  <si>
    <t>НОВО-ШИРОКИНСКИЙ РУДНИК, АО</t>
  </si>
  <si>
    <t>НОВОАНГАРСКИЙ ОБОГАТИТЕЛЬНЫЙ КОМБИНАТ, ООО</t>
  </si>
  <si>
    <t>НОВОБОРИСОВСКОЕ ХПП, ОАО</t>
  </si>
  <si>
    <t>НОВОГОР-ПРИКАМЬЕ, ООО</t>
  </si>
  <si>
    <t>НОВОЕНИСЕЙСКИЙ ЛЕСОХИМИЧЕСКИЙ КОМПЛЕКС, АО</t>
  </si>
  <si>
    <t>НОВОЛЕКС, ООО ХК</t>
  </si>
  <si>
    <t>НОВОМЕТ-ПЕРМЬ, АО</t>
  </si>
  <si>
    <t>НОВОМОСКОВСКИЙ МЕЛЬКОМБИНАТ, ЗАО</t>
  </si>
  <si>
    <t>НОВОМОСКОВСКИЙ ХЛОР, ООО</t>
  </si>
  <si>
    <t>НОВОРОСМЕТАЛЛ, ООО</t>
  </si>
  <si>
    <t>НОВОРОССИЙСКИЙ ПРОКАТНЫЙ ЗАВОД, ООО</t>
  </si>
  <si>
    <t>НОВОСИБИРСКАВТОДОР, АО</t>
  </si>
  <si>
    <t>НОВОСИБИРСКАЯ ПТИЦЕФАБРИКА, АО</t>
  </si>
  <si>
    <t>НОВОСИБИРСКХЛЕБОПРОДУКТ, АО</t>
  </si>
  <si>
    <t>НОВОСИБИРСКЭНЕРГОСБЫТ, АО</t>
  </si>
  <si>
    <t>НОВОСТАЛЬ-М ЛОГИСТИК, ООО</t>
  </si>
  <si>
    <t>НОВОТЕЛЕКОМ, ООО</t>
  </si>
  <si>
    <t>НОВОТЕХ, ООО</t>
  </si>
  <si>
    <t>НОВОТРАНС, АО ХК</t>
  </si>
  <si>
    <t>НОВЫЕ ОБЛАЧНЫЕ ТЕХНОЛОГИИ, ООО</t>
  </si>
  <si>
    <t>НОВЫЕ СТРОИТЕЛЬНЫЕ ТЕХНОЛОГИИ, ООО</t>
  </si>
  <si>
    <t>НОВЫЕ ТЕХНОЛОГИИ, ООО</t>
  </si>
  <si>
    <t>НОВЫЕ ФЕРМЫ, ООО</t>
  </si>
  <si>
    <t>НОВЫЙ АЙ ТИ ПРОЕКТ, ООО</t>
  </si>
  <si>
    <t>НОВЫЙ ДОМ ИНВЕСТ, ООО</t>
  </si>
  <si>
    <t>НОВЫЙ ЗАВОД, ООО</t>
  </si>
  <si>
    <t>НОВЫЙ КНИЖНЫЙ М, ООО</t>
  </si>
  <si>
    <t>НОВЭКС, ООО</t>
  </si>
  <si>
    <t>НОЙТЭК ЛОДЖИСТИКС РУС, ООО</t>
  </si>
  <si>
    <t>НОРБЕЛ, ООО</t>
  </si>
  <si>
    <t>НОРД, АО</t>
  </si>
  <si>
    <t>НОРД, ООО</t>
  </si>
  <si>
    <t>НОРДГРИД, ООО</t>
  </si>
  <si>
    <t>НОРДЛОГИСТИК, ООО</t>
  </si>
  <si>
    <t>НОРДМЕТАЛЛ, ООО</t>
  </si>
  <si>
    <t>НОРДФАСАД, ООО</t>
  </si>
  <si>
    <t>НОРДЭКС, ООО</t>
  </si>
  <si>
    <t>НОРЕБО РУ, АО</t>
  </si>
  <si>
    <t>НОРИЛЬСКГАЗПРОМ, АО</t>
  </si>
  <si>
    <t>НОРИЛЬСКИЙ ОБЕСПЕЧИВАЮЩИЙ КОМПЛЕКС, ООО</t>
  </si>
  <si>
    <t>НОРИЛЬСКНИКЕЛЬРЕМОНТ, ООО</t>
  </si>
  <si>
    <t>НОРИЛЬСКТРАНСГАЗ, АО</t>
  </si>
  <si>
    <t>НОРМАЛЬ+, ООО</t>
  </si>
  <si>
    <t>НОРМАН СПБ, ООО</t>
  </si>
  <si>
    <t>НОРМАН, ООО</t>
  </si>
  <si>
    <t>НОРНИКЕЛЬ СПУТНИК, ООО</t>
  </si>
  <si>
    <t>НОРРЕКСИМ РУС, АО</t>
  </si>
  <si>
    <t>НОРТГАЗ, ЗАО</t>
  </si>
  <si>
    <t>НОРТЕКС, ООО</t>
  </si>
  <si>
    <t>НОРЭЙЛ, ООО</t>
  </si>
  <si>
    <t>НОСИМО, ООО</t>
  </si>
  <si>
    <t>НОФ, ГП НО</t>
  </si>
  <si>
    <t>НП НЧ КБК ИМ.С.П.ТИТОВА, ЗАОР</t>
  </si>
  <si>
    <t>НП ПОДОЛЬСККАБЕЛЬ, АО</t>
  </si>
  <si>
    <t>НПК ТЕХНОЛОГ, ЗАО</t>
  </si>
  <si>
    <t>НПК ХИМСТРОЙЭНЕРГО, ООО</t>
  </si>
  <si>
    <t>НПК, АО</t>
  </si>
  <si>
    <t>НПК, ООО</t>
  </si>
  <si>
    <t>НПО АКОНИТ, АО</t>
  </si>
  <si>
    <t>НПО ГОРИЗОНТ, ООО</t>
  </si>
  <si>
    <t>НПО ЗАВОД ВОЛНА, АО</t>
  </si>
  <si>
    <t>НПО ЗАВОД ХИМИЧЕСКИХ РЕАГЕНТОВ, ООО</t>
  </si>
  <si>
    <t>НПО КРИПТЕН, АО</t>
  </si>
  <si>
    <t>НПО МИР, ООО</t>
  </si>
  <si>
    <t>НПО ПЕТРОВАКС ФАРМ, ООО</t>
  </si>
  <si>
    <t>НПО ПРОМЕТ, ООО</t>
  </si>
  <si>
    <t>НПО ПУТЕВЫЕ ТЕХНОЛОГИИ, ООО</t>
  </si>
  <si>
    <t>НПО РАДИОЗАВОД ИМ. А.С. ПОПОВА, АО</t>
  </si>
  <si>
    <t>НПО РУСАВТОДОР, ООО</t>
  </si>
  <si>
    <t>НПО САУТ, ООО</t>
  </si>
  <si>
    <t>НПО СТЕКЛОПЛАСТИК, АО</t>
  </si>
  <si>
    <t>НПОТЭЛ, АО</t>
  </si>
  <si>
    <t>НПП БУРЕНИЕ, ООО</t>
  </si>
  <si>
    <t>НПП НЕФТЕХИМ, ООО</t>
  </si>
  <si>
    <t>НПП НЕФТЕХИМИЯ, ООО</t>
  </si>
  <si>
    <t>НПП РОГНЕДА, ООО</t>
  </si>
  <si>
    <t>НПП СИББУРМАШ, ООО</t>
  </si>
  <si>
    <t>НПП СТРОЙТЭК, ООО</t>
  </si>
  <si>
    <t>НПФ ВЫМПЕЛ, ООО</t>
  </si>
  <si>
    <t>НПФ ЗАВОД ИЗМЕРОН, ООО</t>
  </si>
  <si>
    <t>НПФ МАТЕРИА МЕДИКА ХОЛДИНГ, ООО</t>
  </si>
  <si>
    <t>НПФ МЕРИДИАН, АО</t>
  </si>
  <si>
    <t>НПФ ХЕЛИКС, ООО</t>
  </si>
  <si>
    <t>НПЦ ВТД, ООО</t>
  </si>
  <si>
    <t>НПЦ РАЗВИТИЕ, ООО</t>
  </si>
  <si>
    <t>НПЭК, АО</t>
  </si>
  <si>
    <t>НРА, ООО</t>
  </si>
  <si>
    <t>НС-ОЙЛ, ООО</t>
  </si>
  <si>
    <t>НСГД И/ИЛИ ООО НАДЫМСТРОЙГАЗДОБЫЧА, ООО</t>
  </si>
  <si>
    <t>НСД, ЗАО</t>
  </si>
  <si>
    <t>НСЗ, АО</t>
  </si>
  <si>
    <t>НСК ОХ, ООО</t>
  </si>
  <si>
    <t>НСК, ООО</t>
  </si>
  <si>
    <t>НСН, ООО</t>
  </si>
  <si>
    <t>НСПГУ, ООО</t>
  </si>
  <si>
    <t>НСПК, АО</t>
  </si>
  <si>
    <t>НСПЛАВ, ООО</t>
  </si>
  <si>
    <t>НСРЗ, АО</t>
  </si>
  <si>
    <t>НСС, ООО</t>
  </si>
  <si>
    <t>НСТЭЦ, ООО</t>
  </si>
  <si>
    <t>НСХ АЗИЯ ДРИЛЛИНГ, ООО</t>
  </si>
  <si>
    <t>НТ СЕРВИС, ООО</t>
  </si>
  <si>
    <t>НТ, ООО</t>
  </si>
  <si>
    <t>НТ-Б, ООО</t>
  </si>
  <si>
    <t>НСТ, ООО</t>
  </si>
  <si>
    <t>НТГМ, ООО</t>
  </si>
  <si>
    <t>НТК, АО</t>
  </si>
  <si>
    <t>НТК, ООО</t>
  </si>
  <si>
    <t>НТПЗ, ООО</t>
  </si>
  <si>
    <t>НТПК, ООО</t>
  </si>
  <si>
    <t>НТПО, ООО</t>
  </si>
  <si>
    <t>НТС ГРАДИЕНТ, ООО</t>
  </si>
  <si>
    <t>НТС, ООО</t>
  </si>
  <si>
    <t>НТСК, ООО</t>
  </si>
  <si>
    <t>НТТ, ООО</t>
  </si>
  <si>
    <t>НТФФ ПОЛИСАН, ООО</t>
  </si>
  <si>
    <t>НТЦ ИЗМЕРИТЕЛЬ, ООО</t>
  </si>
  <si>
    <t>НТЦ РОТЕК, ООО</t>
  </si>
  <si>
    <t>НТЦ СИНЕРГИЯ, ООО</t>
  </si>
  <si>
    <t>НТЦ ФСК ЕЭС, АО</t>
  </si>
  <si>
    <t>НТЦ ЭНЕРГОАВТОМАТИЗАЦИЯ, ООО</t>
  </si>
  <si>
    <t>НТЦМ, ООО</t>
  </si>
  <si>
    <t>НТЭК, АО</t>
  </si>
  <si>
    <t>НТЭСК, АО</t>
  </si>
  <si>
    <t>НУБК, ООО</t>
  </si>
  <si>
    <t>НУТРИЦИЯ, ООО</t>
  </si>
  <si>
    <t>НУТЭП, ООО</t>
  </si>
  <si>
    <t>НУФ, ООО</t>
  </si>
  <si>
    <t>НФ АК ПРАКТИК, АО</t>
  </si>
  <si>
    <t>НХК АРИКОН, АО</t>
  </si>
  <si>
    <t>НХП-ОПТ, ООО</t>
  </si>
  <si>
    <t>НХП-ПИСТОН, ООО</t>
  </si>
  <si>
    <t>НХРС, ООО</t>
  </si>
  <si>
    <t>НХС, АО</t>
  </si>
  <si>
    <t>НХТК, ООО</t>
  </si>
  <si>
    <t>НЦ, ОАО</t>
  </si>
  <si>
    <t>НЦИ, ООО</t>
  </si>
  <si>
    <t>НЧТЗ, ООО</t>
  </si>
  <si>
    <t>НЬЮ ГРАУНД, АО</t>
  </si>
  <si>
    <t>НЬЮ ЙОРКЕР РИТЕЙЛ РУС, ООО</t>
  </si>
  <si>
    <t>НЬЮ ЙОРКЕР РУС, ООО</t>
  </si>
  <si>
    <t>НЬЮ ЙОРКЕР ФЭШН РИТЕЙЛ РУС, ООО</t>
  </si>
  <si>
    <t>НЬЮ ФОРЕСТ ПРО, АО</t>
  </si>
  <si>
    <t>НЬЮБИО, ООО</t>
  </si>
  <si>
    <t>НЬЮМЕДТЕХ, ООО</t>
  </si>
  <si>
    <t>НЬЮТЕК СЕРВИСЕЗ, ООО</t>
  </si>
  <si>
    <t>НЬЮТЕХ ВЕЛЛ СЕРВИС, ООО</t>
  </si>
  <si>
    <t>НЬЮТОН-СЕРВИС, ООО</t>
  </si>
  <si>
    <t>НЬЮФЭШН, ООО</t>
  </si>
  <si>
    <t>НЭК, ООО</t>
  </si>
  <si>
    <t>НЭПТ, АО</t>
  </si>
  <si>
    <t>НЭСК, АО</t>
  </si>
  <si>
    <t>НЭСК-ЭЛЕКТРОСЕТИ, АО</t>
  </si>
  <si>
    <t>НЭСКО, ООО</t>
  </si>
  <si>
    <t>НЭУ, ООО</t>
  </si>
  <si>
    <t>НЭФИС КОСМЕТИКС, АО</t>
  </si>
  <si>
    <t>О КЕЙ, ООО</t>
  </si>
  <si>
    <t>О-СИ-ЭС-СОЛЮШНЗ, ООО</t>
  </si>
  <si>
    <t>О-СИ-ЭС-ЦЕНТР, ООО</t>
  </si>
  <si>
    <t>ОАЗИС, ООО</t>
  </si>
  <si>
    <t>ОАС, АО</t>
  </si>
  <si>
    <t>ОБД, АО</t>
  </si>
  <si>
    <t>ОБИ ПРЯМОЙ ИМПОРТ И ПОСТАВКИ, ООО</t>
  </si>
  <si>
    <t>ОБИ ФЦ ООО</t>
  </si>
  <si>
    <t>ОБЛАСТНОЕ ДРСУ, ГУП ТО</t>
  </si>
  <si>
    <t>ОБЛАЧНЫЕ ТЕХНОЛОГИИ, ООО</t>
  </si>
  <si>
    <t>ОБЛКОММУНЭНЕРГО, АО</t>
  </si>
  <si>
    <t>ОБЛКОММУНЭНЕРГО, ОГУЭП</t>
  </si>
  <si>
    <t>УГРК, ООО</t>
  </si>
  <si>
    <t>ОБОЗ ДИДЖИТАЛ, ООО</t>
  </si>
  <si>
    <t>ОБРАЗОВАТЕЛЬНЫЕ ТЕХНОЛОГИИ ЯНДЕКСА, АНО ДПО</t>
  </si>
  <si>
    <t>ОБСМЭ, ГБУЗ ТО</t>
  </si>
  <si>
    <t>ОБУВНАЯ ФИРМА ЮНИЧЕЛ, АО</t>
  </si>
  <si>
    <t>ОБУХОВСКИЙ МЯСОКОМБИНАТ, ООО</t>
  </si>
  <si>
    <t>ОБУХОВСКИЙ ЩЕБЗАВОД, ООО</t>
  </si>
  <si>
    <t>ОБЪЕДИНЕНИЕ ИНГЕОКОМ, АО</t>
  </si>
  <si>
    <t>ОБЪЕДИНЕНИЕ СОЮЗПИЩЕПРОМ, ООО</t>
  </si>
  <si>
    <t>ОБЪЕДИНЕННАЯ КОМПАНИЯ РУСТЕХНОЛОГИИ МУРОМ, ООО</t>
  </si>
  <si>
    <t>ОБЪЕДИНЕННЫЕ КОНДИТЕРЫ, ООО</t>
  </si>
  <si>
    <t>ОБЪЕДИНЕННЫЕ ПЕНЗЕНСКИЕ ЛВЗ, ООО</t>
  </si>
  <si>
    <t>ОВОЩЕВОД, ООО</t>
  </si>
  <si>
    <t>ОГК-2, ПАО</t>
  </si>
  <si>
    <t>ОГНЕУПОР, ООО</t>
  </si>
  <si>
    <t>ОГНЕУПОРЫ, БОГДАНОВИЧСКОЕ ОАО</t>
  </si>
  <si>
    <t>ОДЕЖДА 3000, АО</t>
  </si>
  <si>
    <t>ОДИННАДЦАТЫЙ ВЕТРОПАРК ФРВ, ООО</t>
  </si>
  <si>
    <t>ОДИНЦОВСКАЯ КОНДИТЕРСКАЯ ФАБРИКА, ООО</t>
  </si>
  <si>
    <t>ОДН ЧУС ИМ. Э.Э. ИСМАИЛОВА, ГУП</t>
  </si>
  <si>
    <t>ОЗЁРСКИЙ ПРОДУКТ, ООО</t>
  </si>
  <si>
    <t>ОЗК ТРЕЙДИНГ, ООО</t>
  </si>
  <si>
    <t>ОЗК ЦЕНТР, ООО</t>
  </si>
  <si>
    <t>ОЗНА-ИЗМЕРИТЕЛЬНЫЕ СИСТЕМЫ, АО</t>
  </si>
  <si>
    <t>ОЗОН ФАРМ, ООО</t>
  </si>
  <si>
    <t>ОЗСК, ООО</t>
  </si>
  <si>
    <t>ОИРП, ПАО</t>
  </si>
  <si>
    <t>ОЙЛ РЕСУРС ГРУПП, ООО</t>
  </si>
  <si>
    <t>ОЙЛ ТЕХНОЛОДЖИС, ООО</t>
  </si>
  <si>
    <t>ОЙЛ-СЕРВИС, ООО</t>
  </si>
  <si>
    <t>ОЙЛГАЗТЭТ, АО</t>
  </si>
  <si>
    <t>ОЙЛПАМП СЕРВИС, ООО</t>
  </si>
  <si>
    <t>ОЙЛРОССА, ООО</t>
  </si>
  <si>
    <t>ОЙНА, А/С</t>
  </si>
  <si>
    <t>ОК СШС, ООО</t>
  </si>
  <si>
    <t>ОКА МОЛОКО, ООО</t>
  </si>
  <si>
    <t>ОКАХИМ, ООО КОМПАНИЯ</t>
  </si>
  <si>
    <t>ОКБ ЗЕНИТ, АО</t>
  </si>
  <si>
    <t>ОКЕАНРЫБФЛОТ, АО</t>
  </si>
  <si>
    <t>ОКИЛ-САТО, ООО</t>
  </si>
  <si>
    <t>ОКН, ООО</t>
  </si>
  <si>
    <t>ОКНО ТВ, ООО</t>
  </si>
  <si>
    <t>ОКС, ПАО</t>
  </si>
  <si>
    <t>ОКСКОЕ, АО</t>
  </si>
  <si>
    <t>ОКТАН100, ООО</t>
  </si>
  <si>
    <t>ОКТИОН, ООО</t>
  </si>
  <si>
    <t>ОКТОБЛУ, ООО</t>
  </si>
  <si>
    <t>ОКТЯБРЬСКАЯ, ЗАО ПТИЦЕФАБРИКА</t>
  </si>
  <si>
    <t>ОКТЯБРЬСКОЕ УБР, ООО</t>
  </si>
  <si>
    <t>ОКТЯБРЬСКОЕ, АО</t>
  </si>
  <si>
    <t>ОКУЛОВСКАЯ БУМАЖНАЯ ФАБРИКА, ООО</t>
  </si>
  <si>
    <t>ОЛВИН, ООО</t>
  </si>
  <si>
    <t>ОЛИМП-ТАГАНРОГ, ООО</t>
  </si>
  <si>
    <t>ОЛИМП-ТРЕЙД, ООО</t>
  </si>
  <si>
    <t>ОЛИМПАС МОСКВА, ООО</t>
  </si>
  <si>
    <t>ОЛИМПСИТИСТРОЙ, ООО</t>
  </si>
  <si>
    <t>ОЛЛТЕК, ООО</t>
  </si>
  <si>
    <t>ОЛСАМ, ООО</t>
  </si>
  <si>
    <t>ОЛЫМСКИЙ САХАРНЫЙ ЗАВОД, ООО</t>
  </si>
  <si>
    <t>РЫБОЛОВЕЦКАЯ КОМПАНИЯ СОГРА ИЛИ АО РК СОГРА, АО</t>
  </si>
  <si>
    <t>ОМА, ООО</t>
  </si>
  <si>
    <t>ОМБ, ООО</t>
  </si>
  <si>
    <t>ОМД-МТ, ООО</t>
  </si>
  <si>
    <t>ОМЕГА МЕТАЛЛ, ООО</t>
  </si>
  <si>
    <t>ОМЕГА ТРЕЙД, ООО</t>
  </si>
  <si>
    <t>ОМЕГА ЭНЕРДЖИ, ООО</t>
  </si>
  <si>
    <t>ОМЕГА, ООО</t>
  </si>
  <si>
    <t>ОМЗМ-МЕТАЛЛ, АО</t>
  </si>
  <si>
    <t>ОМИА УРАЛ, ООО</t>
  </si>
  <si>
    <t>ОМК МАРКЕТ, АО</t>
  </si>
  <si>
    <t>ОМКИРМЕТ-ПЛЮС, ООО</t>
  </si>
  <si>
    <t>ОМОЛОНСКАЯ ЗОЛОТОРУДНАЯ КОМПАНИЯ, ООО</t>
  </si>
  <si>
    <t>ОМПК, АО</t>
  </si>
  <si>
    <t>ОМС-ЦЕНТР, ООО</t>
  </si>
  <si>
    <t>ОМСК РТС, АО</t>
  </si>
  <si>
    <t>ОМСКВИНПРОМ, ООО</t>
  </si>
  <si>
    <t>ОМСКВОДОКАНАЛ, АО</t>
  </si>
  <si>
    <t>ОМСКИЙ КАУЧУК, АО</t>
  </si>
  <si>
    <t>ОМСКИЙ ЭМЗ, АО</t>
  </si>
  <si>
    <t>ОМСКТЕХУГЛЕРОД, ООО</t>
  </si>
  <si>
    <t>ОМСКЭЛЕКТРО, АО</t>
  </si>
  <si>
    <t>ОМУС-1, АО</t>
  </si>
  <si>
    <t>ОНДУЛИН, ООО</t>
  </si>
  <si>
    <t>ОНДУЛИН-С.М., ООО</t>
  </si>
  <si>
    <t>ОНЕЖСКИЙ ЛДК, АО</t>
  </si>
  <si>
    <t>ОНИКС, ООО</t>
  </si>
  <si>
    <t>ОНЛАЙН КАРДС, ООО</t>
  </si>
  <si>
    <t>ОНЛАЙН ТРЕЙД, ООО</t>
  </si>
  <si>
    <t>ОНЛАЙН ТРЕЙДИНГ, ООО</t>
  </si>
  <si>
    <t>ОНЛАЙН-ГИПЕРМАРКЕТ, ООО</t>
  </si>
  <si>
    <t>ОНТЭКС РУ, ООО</t>
  </si>
  <si>
    <t>ООО ШТЕРН ИНГРЕДИЕНТС, КТ</t>
  </si>
  <si>
    <t>ОП КРАСНАЯ ТАЛКА, ООО</t>
  </si>
  <si>
    <t>ОПАЛУБОЧНЫЕ СИСТЕМЫ, ЗАО</t>
  </si>
  <si>
    <t>ОПЕН КОМПЬЮТЕР СОЛЮШНЗ, ООО</t>
  </si>
  <si>
    <t>ОПК, АО</t>
  </si>
  <si>
    <t>ОПТАН ИНВЕСТ, ООО</t>
  </si>
  <si>
    <t>ОПТАН-КАЗАНЬ, ООО</t>
  </si>
  <si>
    <t>ОПТАН-УФА, ООО</t>
  </si>
  <si>
    <t>ОПТИК-ВИЖН, ООО</t>
  </si>
  <si>
    <t>ОПТИК-КЛУБ, ООО</t>
  </si>
  <si>
    <t>ОПТИКОМ, АО</t>
  </si>
  <si>
    <t>ОПТИКСЕРВИС, ООО</t>
  </si>
  <si>
    <t>ОПТИМА ЛОГ, ООО</t>
  </si>
  <si>
    <t>ОПТИМА СЕРВИС, ООО</t>
  </si>
  <si>
    <t>ОПТИМА, ООО</t>
  </si>
  <si>
    <t>РОССЕТИ СЕВЕРО-ЗАПАД, ПАО</t>
  </si>
  <si>
    <t>ОПТИМАТРАНС, ООО</t>
  </si>
  <si>
    <t>ОПТИМУС, ООО</t>
  </si>
  <si>
    <t>ОПТОВАЯ ШВЕЙНАЯ КОМПАНИЯ, ООО</t>
  </si>
  <si>
    <t>ОПТТОРГ, ООО</t>
  </si>
  <si>
    <t>ОПТТОРГХОЛДИНГ, ООО</t>
  </si>
  <si>
    <t>ОПУС ТД, ООО</t>
  </si>
  <si>
    <t>ОПХ, ООО</t>
  </si>
  <si>
    <t>ОРЁЛ, ООО</t>
  </si>
  <si>
    <t>ОРБИТА, АО</t>
  </si>
  <si>
    <t>ОРГАНИЗАТОР, ООО</t>
  </si>
  <si>
    <t>ОРБИТА, ООО</t>
  </si>
  <si>
    <t>ОРГАНИК ФАРМАСЬЮТИКАЛЗ, ООО</t>
  </si>
  <si>
    <t>ОРГАНИКА НЕВА, ООО</t>
  </si>
  <si>
    <t>ОРГТЕХСТРОЙ, ООО</t>
  </si>
  <si>
    <t>ОРДА, ООО ТК</t>
  </si>
  <si>
    <t>ОРЕЛ-АГРО-ПРОДУКТ, ООО</t>
  </si>
  <si>
    <t>ОРЕЛМАСЛО, АО</t>
  </si>
  <si>
    <t>ОРЕЛМАСЛО, ООО</t>
  </si>
  <si>
    <t>ОРЕЛПРОДУКТ, АО</t>
  </si>
  <si>
    <t>ОРЕН-КАРТ, ООО</t>
  </si>
  <si>
    <t>ОРЕНБИВ, ООО</t>
  </si>
  <si>
    <t>ОРЕНБУРГ-РЕАЛСТРОЙ, ООО</t>
  </si>
  <si>
    <t>ОРЕНБУРГКОММУНЭЛЕКТРОСЕТЬ, АО</t>
  </si>
  <si>
    <t>ОРЕНБУРГНЕФТЕОТДАЧА, АО</t>
  </si>
  <si>
    <t>ОРЕНБУРГРЕМДОРСТРОЙ, ГУП</t>
  </si>
  <si>
    <t>ОРЕНБУРГСКИЕ МИНЕРАЛЫ, АО</t>
  </si>
  <si>
    <t>ОРЕХПРОМ, АО</t>
  </si>
  <si>
    <t>ОРИКА СИАЙЭС, АО</t>
  </si>
  <si>
    <t>ОРИМИ КФ, ООО</t>
  </si>
  <si>
    <t>ОРИМИ ТРЭЙД, ООО</t>
  </si>
  <si>
    <t>ОРИМИ ЦЕНТР, ООО</t>
  </si>
  <si>
    <t>ОРИМИ ЭКСПОРТ, ООО</t>
  </si>
  <si>
    <t>ОРИМИ, ООО</t>
  </si>
  <si>
    <t>ОРИОН ИНТЕРНЕЙШНЛ ЕВРО, ООО</t>
  </si>
  <si>
    <t>ОРИОН ФАРМА, ООО</t>
  </si>
  <si>
    <t>ОРИОН, ООО</t>
  </si>
  <si>
    <t>ОСР, ООО</t>
  </si>
  <si>
    <t>ОРИОН-МОТОРС, ООО</t>
  </si>
  <si>
    <t>ОРИС ПРОМ, ООО</t>
  </si>
  <si>
    <t>ОРИФЛЭЙМ КОСМЕТИКС, ООО</t>
  </si>
  <si>
    <t>ОРЛОВСКИЙ ЭНЕРГОСБЫТ, ООО</t>
  </si>
  <si>
    <t>ОРМА ГРУПП, ООО</t>
  </si>
  <si>
    <t>ОРМАТЕК, АО</t>
  </si>
  <si>
    <t>ОРМКО, ООО</t>
  </si>
  <si>
    <t>ОРСКНЕФТЕОРГСИНТЕЗ, ПАО</t>
  </si>
  <si>
    <t>ОРФЕ, АО</t>
  </si>
  <si>
    <t>ОРФЕЙ, ООО</t>
  </si>
  <si>
    <t>ОСЗ, ООО</t>
  </si>
  <si>
    <t>ОСИРИС, ООО</t>
  </si>
  <si>
    <t>ОСК 1520, ООО</t>
  </si>
  <si>
    <t>ОСК, АО</t>
  </si>
  <si>
    <t>ОСК, ООО НПТК</t>
  </si>
  <si>
    <t>ОСК, ООО</t>
  </si>
  <si>
    <t>ОСС, ООО</t>
  </si>
  <si>
    <t>ОССП, ООО</t>
  </si>
  <si>
    <t>ОССТЕМ, ООО</t>
  </si>
  <si>
    <t>ОСТИН, ООО</t>
  </si>
  <si>
    <t>ОСТРОВ САХАЛИН, ЗАО</t>
  </si>
  <si>
    <t>ОСТРОВ, ООО</t>
  </si>
  <si>
    <t>ОСТРОВНОЙ, ООО РЫБОКОМБИНАТ</t>
  </si>
  <si>
    <t>ОСУ-2, ООО</t>
  </si>
  <si>
    <t>ОТДЕЛСТРОЙ, ЗАО</t>
  </si>
  <si>
    <t>ОТДОХНИ-77, ООО</t>
  </si>
  <si>
    <t>ОТЕЧЕСТВЕННЫЙ ПРОДУКТ, ООО ПКО</t>
  </si>
  <si>
    <t>ОТИСИФАРМ, АО</t>
  </si>
  <si>
    <t>ОТКРЫТЫЕ ТЕХНОЛОГИИ 98, АО</t>
  </si>
  <si>
    <t>ОТКРЫТЫЕ ТЕХНОЛОГИИ, ООО</t>
  </si>
  <si>
    <t>ОТКРЫТЫЙ ЛИЗИНГ, ООО</t>
  </si>
  <si>
    <t>ОТЛК ЕРА, АО</t>
  </si>
  <si>
    <t>ОТР 2000, ООО</t>
  </si>
  <si>
    <t>ОТРАДА, ООО</t>
  </si>
  <si>
    <t>ОТРАДНОЕ, ООО</t>
  </si>
  <si>
    <t>ОТС-ГРУПП, ООО</t>
  </si>
  <si>
    <t>ОТТ, ООО</t>
  </si>
  <si>
    <t>ОТТО БОКК СЕРВИС, ООО</t>
  </si>
  <si>
    <t>ОТЦР, ООО</t>
  </si>
  <si>
    <t>ОТЭКО, АО</t>
  </si>
  <si>
    <t>ОТЭКО-ПОРТСЕРВИС, ООО</t>
  </si>
  <si>
    <t>ОТЭКО-ТЕРМИНАЛ, ООО</t>
  </si>
  <si>
    <t>ОУК ЮЖКУЗБАССУГОЛЬ, АО</t>
  </si>
  <si>
    <t>ОФ ПТК, ООО</t>
  </si>
  <si>
    <t>ОФИС ПРЕМЬЕР, АО</t>
  </si>
  <si>
    <t>ОФИС-ИМПЭКС, ООО</t>
  </si>
  <si>
    <t>ОФИСМАГ, ООО</t>
  </si>
  <si>
    <t>ОФИСМАГ-ПОВОЛЖЬЕ, ООО</t>
  </si>
  <si>
    <t>ОФИСМАГ-РТ, ООО</t>
  </si>
  <si>
    <t>ОФФПРАЙС, ООО</t>
  </si>
  <si>
    <t>ОХОТА, ООО</t>
  </si>
  <si>
    <t>ОХОТСКАЯ ГГК, АО</t>
  </si>
  <si>
    <t>ОХРАНА РОСГВАРДИИ, ФГУП</t>
  </si>
  <si>
    <t>ОЦРВ, ООО</t>
  </si>
  <si>
    <t>ОЧАКОВО, АО МПБК</t>
  </si>
  <si>
    <t>ОЭК, АО</t>
  </si>
  <si>
    <t>ОЭК, ООО</t>
  </si>
  <si>
    <t>ОЭМК ИМ. А.А. УГАРОВА, АО</t>
  </si>
  <si>
    <t>ОЭСКЬЮ ТРЕЙДИНГ, ООО</t>
  </si>
  <si>
    <t>ПАБЛИК ТОТЕМ, ООО</t>
  </si>
  <si>
    <t>ПАВЛИК, АО</t>
  </si>
  <si>
    <t>ПАВЛОВСКАГРОПРОДУКТ, АО</t>
  </si>
  <si>
    <t>ПАВЛОВСКАЯ, ООО АГРОФИРМА</t>
  </si>
  <si>
    <t>ПАВЛОВСКАЯ, ООО ПТИЦЕФАБРИКА</t>
  </si>
  <si>
    <t>ПАВЛОВСКИЙ ДОК, ООО</t>
  </si>
  <si>
    <t>ПАВЛОВСКИЙ МОЛОЧНЫЙ ЗАВОД, АО</t>
  </si>
  <si>
    <t>ПАВЛОВСКИЙ МЯСОКОМБИНАТ, ОАО</t>
  </si>
  <si>
    <t>ПАВЛОВСКИЙ САХАРНЫЙ ЗАВОД, ООО</t>
  </si>
  <si>
    <t>ПАД, МУП</t>
  </si>
  <si>
    <t>ПАКЕР СЕРВИС, ООО</t>
  </si>
  <si>
    <t>ПАКЕТТИ-ГРУПП, ООО</t>
  </si>
  <si>
    <t>ПАКПРЕСТУС, ООО</t>
  </si>
  <si>
    <t>ПАКС-ТРЕЙД, ООО</t>
  </si>
  <si>
    <t>ПАЛЛАДА, ООО</t>
  </si>
  <si>
    <t>ПАЛМА, ООО</t>
  </si>
  <si>
    <t>ПАЛЬМА, ООО</t>
  </si>
  <si>
    <t>ПАН ЭЛЕКТРИК, ООО ТД</t>
  </si>
  <si>
    <t>ПАНАВТО, ООО</t>
  </si>
  <si>
    <t>ПАНАМАКС, ООО</t>
  </si>
  <si>
    <t>ПРЕССМАН ПРЕМИУМ ПЭКЕДЖИНГ НОВГОРОД, ООО</t>
  </si>
  <si>
    <t>ПРЕССМАН СОФТ ПЭКЕДЖИНГ НОВГОРОД, ООО</t>
  </si>
  <si>
    <t>ПАНАЦЕЯ, ООО</t>
  </si>
  <si>
    <t>ПАНДА, ООО ФИРМА</t>
  </si>
  <si>
    <t>РОССЕТИ СИБИРЬ, ПАО</t>
  </si>
  <si>
    <t>ПАНКЛУБ, АО</t>
  </si>
  <si>
    <t>ПАО МАССАНДРА, АО</t>
  </si>
  <si>
    <t>ПАПИРУС, ООО</t>
  </si>
  <si>
    <t>ПАПИРЮГ, ООО</t>
  </si>
  <si>
    <t>ПАРАЛЛЕЛЬ, ООО</t>
  </si>
  <si>
    <t>ПАРАМЕТР, ООО</t>
  </si>
  <si>
    <t>ПАРАЦЕЛЬС, ООО</t>
  </si>
  <si>
    <t>ПАРИТЕТ, ООО</t>
  </si>
  <si>
    <t>ПАРИТЕТ-ЦЕНТР, ООО</t>
  </si>
  <si>
    <t>ПАРК ДЕВЕЛОПМЕНТ, ООО</t>
  </si>
  <si>
    <t>ПАРКНЕФТЬ, ООО</t>
  </si>
  <si>
    <t>ПАРТЕРРА, ООО</t>
  </si>
  <si>
    <t>ПАРТНЕР АЙ ДИ, ООО</t>
  </si>
  <si>
    <t>ПАРТНЕР, ООО</t>
  </si>
  <si>
    <t>ПАРТНЕРЫ КРАСНОЯРСК, ООО</t>
  </si>
  <si>
    <t>ПАРТНЕРЫ НОЯБРЬСК, ООО</t>
  </si>
  <si>
    <t>ПАРУС, ООО</t>
  </si>
  <si>
    <t>ПАСИФИК КРАБ, ООО</t>
  </si>
  <si>
    <t>ПАСКЕР ЛТД, ООО</t>
  </si>
  <si>
    <t>ПАССАЖИРАВТОТРАНС, СПБ ГУП</t>
  </si>
  <si>
    <t>ПАУЛЬ ХАРТМАНН, ООО</t>
  </si>
  <si>
    <t>ПАУЭР ИНТЕРНЭШНЛ-ШИНЫ, ООО</t>
  </si>
  <si>
    <t>ПАУЭР ТЕЛЕКОМ, ООО</t>
  </si>
  <si>
    <t>ПАЧЕЛМСКОЕ ХОЗЯЙСТВО, ООО</t>
  </si>
  <si>
    <t>ПБК, АО</t>
  </si>
  <si>
    <t>ПБКК, АО</t>
  </si>
  <si>
    <t>ПБТФ, ПАО</t>
  </si>
  <si>
    <t>ПВС МВД РОССИИ, ФГУП</t>
  </si>
  <si>
    <t>ПВ-ОРЕНБУРГ, ООО</t>
  </si>
  <si>
    <t>ПВ-ЦЕНТР, ООО</t>
  </si>
  <si>
    <t>ПВВ, АО</t>
  </si>
  <si>
    <t>ПВП АБС, ООО</t>
  </si>
  <si>
    <t>ПГ МЕТРАН, АО</t>
  </si>
  <si>
    <t>ПГ ФОСФОРИТ, ООО</t>
  </si>
  <si>
    <t>ПГК, АО</t>
  </si>
  <si>
    <t>ПЕГАС ФАРМ, ООО</t>
  </si>
  <si>
    <t>ПЕГАС-АГРО, ООО</t>
  </si>
  <si>
    <t>ПЕЖО СИТРОЕН РУС, ООО</t>
  </si>
  <si>
    <t>ПЕЛИСКЕР, ООО</t>
  </si>
  <si>
    <t>ПЕНЗАМОЛИНВЕСТ, ООО</t>
  </si>
  <si>
    <t>ПЕНЗЕНСКАЯ КОНДИТЕРСКАЯ ФАБРИКА, ЗАО</t>
  </si>
  <si>
    <t>ПЕНЗЕНСКИЙ КОМБИНАТ ХЛЕБОПРОДУКТОВ, ОАО</t>
  </si>
  <si>
    <t>РОССЕТИ ЦЕНТР, ПАО</t>
  </si>
  <si>
    <t>ПЕПСИКО ХОЛДИНГС, ООО</t>
  </si>
  <si>
    <t>ПЕРВАЯ ЛИНИЯ, ООО</t>
  </si>
  <si>
    <t>ПЕРВАЯ ОБРАЗЦОВАЯ ТИПОГРАФИЯ, АО</t>
  </si>
  <si>
    <t>ПЕРВОЕ РЕШЕНИЕ, ООО</t>
  </si>
  <si>
    <t>ПЕРВОМАЙСКИЙ, ООО ВМП</t>
  </si>
  <si>
    <t>ПЕРВООСНОВА, АО</t>
  </si>
  <si>
    <t>ПЕРВЫЙ ДСК, ООО</t>
  </si>
  <si>
    <t>ПЕРВЫЙ ЗАВОД, ООО</t>
  </si>
  <si>
    <t>ПЕРВЫЙ ХЛЕБОКОМБИНАТ, АО</t>
  </si>
  <si>
    <t>ПЕРЕКРЕСТОК ВКУСОВ, АО</t>
  </si>
  <si>
    <t>ПЕРЕКРЕСТОК-2000, ООО</t>
  </si>
  <si>
    <t>ПЕРЕЛЕШИНСКИЙ САХАРНЫЙ КОМБИНАТ , ООО ПСК, ООО</t>
  </si>
  <si>
    <t>ПЕРИ, ООО</t>
  </si>
  <si>
    <t>ПЕРММЕТАЛЛ, АО</t>
  </si>
  <si>
    <t>ПЕРМНЕФТЕОТДАЧА, ООО</t>
  </si>
  <si>
    <t>ПЕРМСКИЙ МУКОМОЛЬНЫЙ ЗАВОД, АО</t>
  </si>
  <si>
    <t>ПЕРМЭНЕРГОСБЫТ, ПАО</t>
  </si>
  <si>
    <t>ПЕРСПЕКТИВА, ООО</t>
  </si>
  <si>
    <t>ПЕРСПЕКТИВА-2А, ООО</t>
  </si>
  <si>
    <t>ПЕРФЕТТИ ВАН МЕЛЛЕ, ООО</t>
  </si>
  <si>
    <t>ПЕСТРАВСКИЙ, ООО МАСЛОЗАВОД</t>
  </si>
  <si>
    <t>ПЕСТРЕЧИНКА, ООО</t>
  </si>
  <si>
    <t>ПЕТ РИТЕЙЛ, ООО</t>
  </si>
  <si>
    <t>ПЕТЕРБУРГ ПРОДАКТС ИНТЕРНЕШНЛ, ООО</t>
  </si>
  <si>
    <t>ПЕТЕРБУРГГАЗ, ООО</t>
  </si>
  <si>
    <t>ПЕТЕРБУРГСКАЯ СБЫТОВАЯ КОМПАНИЯ, АО</t>
  </si>
  <si>
    <t>ПЕТЕРБУРГСКИЕ АПТЕКИ, АО</t>
  </si>
  <si>
    <t>ПЕТЕРБУРГСКИЙ МЕЛЬНИЧНЫЙ КОМБИНАТ, АО</t>
  </si>
  <si>
    <t>ПЕТЕРБУРГСКИЙ МЕТРОПОЛИТЕН, ГУП</t>
  </si>
  <si>
    <t>ПЕТЕРБУРГТЕПЛОЭНЕРГО, ООО</t>
  </si>
  <si>
    <t>ПЕТЕРБУРГЦЕМЕНТ, ООО</t>
  </si>
  <si>
    <t>ПЕТОН КОНСТРАКШН, ООО</t>
  </si>
  <si>
    <t>ПЕТРО, ООО</t>
  </si>
  <si>
    <t>ПЕТРО-ХЭХУА, ООО</t>
  </si>
  <si>
    <t>ПЕТРОБУМАГА, ООО</t>
  </si>
  <si>
    <t>ОРАНЖ БИЗНЕС СЕРВИСЕЗ, ООО</t>
  </si>
  <si>
    <t>ПЕТРОВСКИЙ СПБ, ООО</t>
  </si>
  <si>
    <t>ПЕТРОГАРАНТ, ООО</t>
  </si>
  <si>
    <t>ПЕТРОИНЖИНИРИНГ, ООО</t>
  </si>
  <si>
    <t>ПЕТРОЛ-СЕРВИС, ООО</t>
  </si>
  <si>
    <t>ПЕТРОЛЕСПОРТ, АО</t>
  </si>
  <si>
    <t>ПЕТРОЛЕУМ ТРЕЙДИНГ, ООО</t>
  </si>
  <si>
    <t>ПЕТРОЛИУМ ТРЕЙД, ООО</t>
  </si>
  <si>
    <t>ПЕТРОЛКОМПАНИ, ООО</t>
  </si>
  <si>
    <t>ПЕТРОПЛАСТ, ООО</t>
  </si>
  <si>
    <t>ПЕТРОПРОФИЛЬ ПЛЮС, ООО</t>
  </si>
  <si>
    <t>ПЕТРОСИНТЕЗ, ООО</t>
  </si>
  <si>
    <t>ПЕТРОСТРИМ, ООО</t>
  </si>
  <si>
    <t>ПЕТРОТЕКС, ООО ТД</t>
  </si>
  <si>
    <t>ПЕТРОТРЕЙД, ООО</t>
  </si>
  <si>
    <t>ПЕТРОТРЕЙД, ООО ТК</t>
  </si>
  <si>
    <t>ПЕТРОТРЕЙД-М, ООО</t>
  </si>
  <si>
    <t>ПЕТРОХЛЕБ-КУБАНЬ, ООО</t>
  </si>
  <si>
    <t>ПЕТРУС, АО</t>
  </si>
  <si>
    <t>ПЗБМ, ООО</t>
  </si>
  <si>
    <t>ПЗМ, ООО</t>
  </si>
  <si>
    <t>ПЗСП, АО</t>
  </si>
  <si>
    <t>ПЗЦМ , АО ПРИОКСКИЙ ЗАВОД ЦВЕТНЫХ МЕТАЛЛОВ, АО</t>
  </si>
  <si>
    <t>ПИВОВАРЕННАЯ КОМПАНИЯ БАЛТИКА, ООО</t>
  </si>
  <si>
    <t>ПИВСТАР, ООО</t>
  </si>
  <si>
    <t>ПИК СЗ, ПАО</t>
  </si>
  <si>
    <t>ПИК, ООО ПРЕДПРИЯТИЕ</t>
  </si>
  <si>
    <t>ПИК-ИНВЕСТПРОЕКТ, ООО</t>
  </si>
  <si>
    <t>ПИК-ИНДУСТРИЯ, АО</t>
  </si>
  <si>
    <t>ПИК-КОМФОРТ, ООО</t>
  </si>
  <si>
    <t>ПИК-МОДУЛЬ, ООО</t>
  </si>
  <si>
    <t>ПИК-ПРОФИЛЬ, ООО</t>
  </si>
  <si>
    <t>ПИКСЕЛЬ, ООО</t>
  </si>
  <si>
    <t>ПИЛАР, ООО</t>
  </si>
  <si>
    <t>ПИЛЕНГА, ЗАО</t>
  </si>
  <si>
    <t>ПИОНЕР ТРЕЙД, ООО</t>
  </si>
  <si>
    <t>ПИР, ООО</t>
  </si>
  <si>
    <t>ПИР, ООО ТД</t>
  </si>
  <si>
    <t>ПИР-ПАК, ООО</t>
  </si>
  <si>
    <t>ПИРЕЛЛИ ТАЙР РУССИЯ, ООО</t>
  </si>
  <si>
    <t>ПИСКАРЕВСКИЙ МОЛЗАВОД, ООО</t>
  </si>
  <si>
    <t>ПИТ-ПРОДУКТ, ООО</t>
  </si>
  <si>
    <t>ПИТЕЙНЫЙ ДОМ, ООО</t>
  </si>
  <si>
    <t>ПИТЕРАВТО, ООО</t>
  </si>
  <si>
    <t>ПИТЕРБАСЦЕНТР, ООО</t>
  </si>
  <si>
    <t>ПИТЕРГРАД, ООО</t>
  </si>
  <si>
    <t>ПИЦЦА РЕСТОРАНТС, ООО</t>
  </si>
  <si>
    <t>ПИЩЕВЫЕ ИНГРЕДИЕНТЫ, ООО</t>
  </si>
  <si>
    <t>ПК АКВАЛАЙФ, ООО</t>
  </si>
  <si>
    <t>ПК ГЕРКУЛЕС, ООО</t>
  </si>
  <si>
    <t>ПК ЛИДЕР, ООО</t>
  </si>
  <si>
    <t>ПК ПРИНТПРОФ, ООО</t>
  </si>
  <si>
    <t>ПК ПРОМТРАКТОР, ООО</t>
  </si>
  <si>
    <t>ПК РЕАЛИТ, ООО</t>
  </si>
  <si>
    <t>ПК САЗИ, ООО</t>
  </si>
  <si>
    <t>ПК СТАЛЬПРОКАТ, ООО</t>
  </si>
  <si>
    <t>ПК СТАНК, ООО</t>
  </si>
  <si>
    <t>ПК ХК ЭЛЕКТРОЗАВОД, АО</t>
  </si>
  <si>
    <t>ПК ЭЛИТГРУПП ИНВЕСТ, ООО</t>
  </si>
  <si>
    <t>ПК ЮЖ, ООО</t>
  </si>
  <si>
    <t>ПК-КАПРИЗ, ООО</t>
  </si>
  <si>
    <t>ПКБ, НАО</t>
  </si>
  <si>
    <t>ПКНМ, ООО</t>
  </si>
  <si>
    <t>ПКС, ООО</t>
  </si>
  <si>
    <t>ПКТ, АО</t>
  </si>
  <si>
    <t>ПКТ, ООО</t>
  </si>
  <si>
    <t>ПКФ ГИС НЕФТЕСЕРВИС, ООО</t>
  </si>
  <si>
    <t>ПКФ ДИПОС, ООО</t>
  </si>
  <si>
    <t>ПКФ КОНТУР, ООО</t>
  </si>
  <si>
    <t>ПКФ НБ-ЦЕНТР, ООО</t>
  </si>
  <si>
    <t>ПКФ РЕГИОН, ООО</t>
  </si>
  <si>
    <t>ПКФ САНК, ООО</t>
  </si>
  <si>
    <t>ПКХП, ОАО</t>
  </si>
  <si>
    <t>ПЛ, ООО</t>
  </si>
  <si>
    <t>ПЛ-ИНФОРМ, ООО</t>
  </si>
  <si>
    <t>ПЛАЙТЕРРА, АО</t>
  </si>
  <si>
    <t>ПЛАНЕТА ЗДОРОВЬЯ ХОЛДИНГ, ООО</t>
  </si>
  <si>
    <t>ПЛАНЕТА НЕДВИЖИМОСТЬ, ООО</t>
  </si>
  <si>
    <t>ПЛАНЕТА СПОРТ, ООО</t>
  </si>
  <si>
    <t>ПЛАНЕТА УВЛЕЧЕНИЙ, АО</t>
  </si>
  <si>
    <t>ПЛАНЕТА-СИРИУС, ООО</t>
  </si>
  <si>
    <t>ПЛАНЕТА-ЦЕНТР, ООО</t>
  </si>
  <si>
    <t>ПЛАНЕТАМОЛЛ-КРАСНОЯРСК, ООО</t>
  </si>
  <si>
    <t>ПЛАСТИК РЕПАБЛИК, ООО</t>
  </si>
  <si>
    <t>ПЛАСТИКА ОКОН, ООО</t>
  </si>
  <si>
    <t>ПЛАСТПРОФИЛЬ, ООО</t>
  </si>
  <si>
    <t>РОССЕТИ ЦЕНТР И ПРИВОЛЖЬЕ, ПАО</t>
  </si>
  <si>
    <t>ПЛАТФОРМИКС, ООО</t>
  </si>
  <si>
    <t>ПЛЕЙРИКС, ООО</t>
  </si>
  <si>
    <t>ПЛЕМЗАВОД УРОЖАЙ, ОАО</t>
  </si>
  <si>
    <t>ПЛЕМЗАВОД-ЮБИЛЕЙНЫЙ, ЗАО</t>
  </si>
  <si>
    <t>ПЛЭЙТУДЭЙ СНГ, АО</t>
  </si>
  <si>
    <t>ПМБК, ООО</t>
  </si>
  <si>
    <t>ПМК, ООО</t>
  </si>
  <si>
    <t>ПМК-57, ООО</t>
  </si>
  <si>
    <t>ПМП, ООО</t>
  </si>
  <si>
    <t>ПМХ-ВТОРМЕТ, ООО</t>
  </si>
  <si>
    <t>ПМХ-ТРАНСПОРТ, ООО</t>
  </si>
  <si>
    <t>ПМЦ 2015, ООО</t>
  </si>
  <si>
    <t>ПНГИ, ООО</t>
  </si>
  <si>
    <t>ПНК, АО</t>
  </si>
  <si>
    <t>ПНПЗ, ООО</t>
  </si>
  <si>
    <t>ПНППК, ПАО</t>
  </si>
  <si>
    <t>ПНТ, АО</t>
  </si>
  <si>
    <t>ПО БЕЖИЦКАЯ СТАЛЬ, АО</t>
  </si>
  <si>
    <t>ПО ВОЗРОЖДЕНИЕ, АО</t>
  </si>
  <si>
    <t>ПО ЕЛАЗ, АО</t>
  </si>
  <si>
    <t>ПО КУРГАНИНСКАГРОХИМ, АО</t>
  </si>
  <si>
    <t>ПО МЕТАЛЛИСТ, ООО</t>
  </si>
  <si>
    <t>ПО РОСДОРСТРОЙ, АО</t>
  </si>
  <si>
    <t>ПО САХАЛИНРЫБАКСОЮЗ, ООО</t>
  </si>
  <si>
    <t>ПО ТОПЧИХИНСКИЙ МЕЛЬКОМБИНАТ, ООО</t>
  </si>
  <si>
    <t>ПО ТРАНСГАЗ, ООО</t>
  </si>
  <si>
    <t>ПО ЭХЗ, АО</t>
  </si>
  <si>
    <t>ПОБЕДИТЕЛЬ, ООО</t>
  </si>
  <si>
    <t>ПОВВ, МУП</t>
  </si>
  <si>
    <t>ПОВОЛЖЬЕ+, ООО</t>
  </si>
  <si>
    <t>ПОГОДА В ДОМЕ, ООО ГК</t>
  </si>
  <si>
    <t>ПОДЗЕМБУРГАЗ, ПАО</t>
  </si>
  <si>
    <t>ПОДМОСКОВИЯ, АО</t>
  </si>
  <si>
    <t>ПОДЪЕМНЫЕ МАШИНЫ, АО</t>
  </si>
  <si>
    <t>ПОЗИТИВ ТЕКНОЛОДЖИЗ, АО</t>
  </si>
  <si>
    <t>ПОЗИТРОН, ООО</t>
  </si>
  <si>
    <t>РОССЕТИ ТЮМЕНЬ, АО</t>
  </si>
  <si>
    <t>ПОИСК ЗОЛОТО, АО</t>
  </si>
  <si>
    <t>ПОКАЧЕВСКОЕ УТТ, ООО</t>
  </si>
  <si>
    <t>ПОКРОВСКИЙ РУДНИК, АО</t>
  </si>
  <si>
    <t>ПОКРОВСКИЙ ХЛЕБ, АО</t>
  </si>
  <si>
    <t>ПОЛ-ХОЛЛ, ООО</t>
  </si>
  <si>
    <t>ПОЛАИР-ИМПЕКС, ООО</t>
  </si>
  <si>
    <t>ПОЛАИР-НЕДВИЖИМОСТЬ, АО</t>
  </si>
  <si>
    <t>ПОЛАР СИФУД РАША, ООО</t>
  </si>
  <si>
    <t>ПОЛАР, ООО</t>
  </si>
  <si>
    <t>ПОЛАТИ, ООО</t>
  </si>
  <si>
    <t>ПОЛИГАЛЬ ВОСТОК, ООО</t>
  </si>
  <si>
    <t>ПОЛИГРАФИЯ-СЛАВЯНКА, ООО</t>
  </si>
  <si>
    <t>ПОЛИГРАФОФОРМЛЕНИЕ-ФЛЕКСО , ООО ПОФ-ФЛЕКСО, ООО</t>
  </si>
  <si>
    <t>СТОКОВ МАШИННОЕ ОБОРУДОВАНИЕ, АО</t>
  </si>
  <si>
    <t>ПОЛИМЕР, ООО</t>
  </si>
  <si>
    <t>ПРИСТЕНСКАЯ ЗЕРНОВАЯ КОМПАНИЯ, ООО</t>
  </si>
  <si>
    <t>ПОЛИМЕРДОР, ООО</t>
  </si>
  <si>
    <t>ПОЛИМЕРКОМПЛЕКТ, ООО</t>
  </si>
  <si>
    <t>ПОЛИМЕРТРУБСТРОЙ, ООО</t>
  </si>
  <si>
    <t>РОССЕТИ ЛЕНЭНЕРГО, ПАО</t>
  </si>
  <si>
    <t>ПОЛИМЕТАЛЛ ДВ, ООО</t>
  </si>
  <si>
    <t>ПОЛИМЕТАЛЛ УК, АО</t>
  </si>
  <si>
    <t>ПОЛИНИ ИМПОРТ, ООО</t>
  </si>
  <si>
    <t>ПОЛИОМ, ООО</t>
  </si>
  <si>
    <t>ПОЛИПЛАСТ НОВОМОСКОВСК, ООО</t>
  </si>
  <si>
    <t>ПОЛИПЛАСТ СЕВЕРО-ЗАПАД, ООО</t>
  </si>
  <si>
    <t>ПОЛИПЛАСТ-УРАЛСИБ, ООО</t>
  </si>
  <si>
    <t>ПОЛИПЛЕКС, ООО</t>
  </si>
  <si>
    <t>ПОЛИСТРОЙПЛАСТ, ООО</t>
  </si>
  <si>
    <t>ПОЛИТЕХСТРОЙ, АО</t>
  </si>
  <si>
    <t>ПОЛИТЭК ПАЙП, ООО</t>
  </si>
  <si>
    <t>ПОЛИТЭР, ООО</t>
  </si>
  <si>
    <t>ПОЛИЭКС, АО</t>
  </si>
  <si>
    <t>ПОЛИЭФ, АО</t>
  </si>
  <si>
    <t>ПОЛЮС ЛОГИСТИКА, АО</t>
  </si>
  <si>
    <t>ПОЛЮС СТРОЙ, ООО</t>
  </si>
  <si>
    <t>ПОЛЮС+, ООО</t>
  </si>
  <si>
    <t>ПОРОНАЙ, ООО</t>
  </si>
  <si>
    <t>ПОРТ ВАНИНО, АО</t>
  </si>
  <si>
    <t>ПОРТ ВЕРА, ООО</t>
  </si>
  <si>
    <t>ПОРТ ВЫСОЦКИЙ, ООО</t>
  </si>
  <si>
    <t>ПОРТАТИВНАЯ ТЕХНИКА, ООО</t>
  </si>
  <si>
    <t>ПОРТЭНЕРГО, ООО</t>
  </si>
  <si>
    <t>ПОСТЭКСПРЕСС, ООО</t>
  </si>
  <si>
    <t>ПОСУДА, ООО</t>
  </si>
  <si>
    <t>ПОСУДА-ЦЕНТР СЕРВИС, ООО</t>
  </si>
  <si>
    <t>ПОТЕНЦИАЛ, ООО</t>
  </si>
  <si>
    <t>ПОФ ПЭКЭДЖИНГ, ООО</t>
  </si>
  <si>
    <t>ПОЧТА РОССИИ, АО</t>
  </si>
  <si>
    <t>ПОЧТА СЕРВИС, ООО</t>
  </si>
  <si>
    <t>ПОШК, ООО</t>
  </si>
  <si>
    <t>ПП ГОФРОКОМБИНАТ, ООО</t>
  </si>
  <si>
    <t>ППГ, ООО</t>
  </si>
  <si>
    <t>ППГХО, ПАО</t>
  </si>
  <si>
    <t>ППП, ФГУП</t>
  </si>
  <si>
    <t>ППР, ООО</t>
  </si>
  <si>
    <t>ПР И СС, ООО</t>
  </si>
  <si>
    <t>ПРАВИЛЬНЫЙ ВЫБОР, ООО</t>
  </si>
  <si>
    <t>ПРАДО, ООО</t>
  </si>
  <si>
    <t>ПРАЙД-А, ООО</t>
  </si>
  <si>
    <t>ПРАЙДЕКС КОНСТРАКШН, ООО</t>
  </si>
  <si>
    <t>ПРАЙМ ТОП ИНДАСТРИ, ООО</t>
  </si>
  <si>
    <t>ПРАЙМ ТОП, ООО</t>
  </si>
  <si>
    <t>ПРАНАФАРМ, ООО</t>
  </si>
  <si>
    <t>ПРЕДПРИЯТИЕ КАРА АЛТЫН, ЗАО</t>
  </si>
  <si>
    <t>ПРЕДПРИЯТИЕ РЕТЕКС, ООО</t>
  </si>
  <si>
    <t>ПРЕДПРИЯТИЕ СТРОЙКОМПЛЕКТ, ООО</t>
  </si>
  <si>
    <t>ПРЕДПРИЯТИЕ УИС ГПСУ, АО</t>
  </si>
  <si>
    <t>ПРЕМИУМ ПРОДУКТ, ООО</t>
  </si>
  <si>
    <t>ПРЕМИУМ, ООО</t>
  </si>
  <si>
    <t>ПРЕМИУМАВТО, ООО</t>
  </si>
  <si>
    <t>ПРЕМЬЕРСТРОЙ, АО</t>
  </si>
  <si>
    <t>ПРЕОБРАЖЕНСКНЕФТЬ, АО</t>
  </si>
  <si>
    <t>ПРЕЧИСТЕНСКИЙ МОЛОЧНЫЙ ПРОДУКТ, ООО</t>
  </si>
  <si>
    <t>ПРИАНГАРСКИЙ ЛПК, ООО</t>
  </si>
  <si>
    <t>ПРИБОРОСТРОЕНИЕ, ООО</t>
  </si>
  <si>
    <t>ПРИВЕТ, ООО</t>
  </si>
  <si>
    <t>ПРИВОДЫ АУМА, ООО</t>
  </si>
  <si>
    <t>ПРИВОЛЖЬЕ-ТРАНС, ООО ТК</t>
  </si>
  <si>
    <t>ПРИИСК СОЛОВЬЁВСКИЙ, АО</t>
  </si>
  <si>
    <t>ПРИИСК УДЕРЕЙСКИЙ, АО</t>
  </si>
  <si>
    <t>ПРИИСК УСТЬ-КАРА, АО</t>
  </si>
  <si>
    <t>ПРИКАМСКИЙ КАРТОН, ООО</t>
  </si>
  <si>
    <t>ПРИЛЕНСКИЙ, ООО</t>
  </si>
  <si>
    <t>ПРИМАГРО, АО</t>
  </si>
  <si>
    <t>ПРИМАФАРМ, ООО</t>
  </si>
  <si>
    <t>ПРИМОРСКИЙ ВОДОКАНАЛ, КГУП</t>
  </si>
  <si>
    <t>ПРИМОРСКУГОЛЬ, ООО</t>
  </si>
  <si>
    <t>ПРИНТ КОЛОР, ООО</t>
  </si>
  <si>
    <t>ПРИНЦЕПС, ООО</t>
  </si>
  <si>
    <t>ПРИОНЕЖСКАЯ ГОРНАЯ КОМПАНИЯ, ООО</t>
  </si>
  <si>
    <t>ПРИОРАТ КАДАСТР, ООО</t>
  </si>
  <si>
    <t>ПРИОРИТЕТ ГРУПП, ООО</t>
  </si>
  <si>
    <t>ПРИОРИТЕТ ТРЕЙД, ООО</t>
  </si>
  <si>
    <t>ПРИОРИТЕТ, ООО</t>
  </si>
  <si>
    <t>ПРИОСКОЛЬЕ, АО</t>
  </si>
  <si>
    <t>ПРИРОДНЫЕ РЕСУРСЫ, ООО</t>
  </si>
  <si>
    <t>ПРОИЗВОДСТВЕННАЯ КОМПАНИЯ БОРЕЦ ООО ПК БОРЕЦ, ООО</t>
  </si>
  <si>
    <t>ПРО ВОСТОК, ООО</t>
  </si>
  <si>
    <t>ПРО ТКО, АО</t>
  </si>
  <si>
    <t>ПРО.МЕД.ЦС, АО</t>
  </si>
  <si>
    <t>ПРОАПТЕКА, ООО</t>
  </si>
  <si>
    <t>ПРОВИЗИЯ, ООО</t>
  </si>
  <si>
    <t>ПРОВИМИ, ООО</t>
  </si>
  <si>
    <t>ПРОГРАММНЫЙ ПРОДУКТ, ООО</t>
  </si>
  <si>
    <t>ПРОГРЕСС, АО</t>
  </si>
  <si>
    <t>ПРОГРЕСС, ООО</t>
  </si>
  <si>
    <t>ПРОГРЕССОР, ООО</t>
  </si>
  <si>
    <t>ПРОГРУПП ЛОГИСТИК, ООО</t>
  </si>
  <si>
    <t>ПРОДИМЕКС, ООО</t>
  </si>
  <si>
    <t>ПРОДИНВЕСТ, ООО</t>
  </si>
  <si>
    <t>ПРОДЛОГИСТИКА, ООО</t>
  </si>
  <si>
    <t>ПРОДМАГ, ООО</t>
  </si>
  <si>
    <t>ПРОДМИР, ООО</t>
  </si>
  <si>
    <t>ПРОДМИТ, ООО</t>
  </si>
  <si>
    <t>ПРОДО ПТИЦЕФАБРИКА КАЛУЖСКАЯ, АО</t>
  </si>
  <si>
    <t>ПРОДО ПТИЦЕФАБРИКА СИБИРСКАЯ, АО</t>
  </si>
  <si>
    <t>ПРОДО ТЮМЕНСКИЙ БРОЙЛЕР, АО</t>
  </si>
  <si>
    <t>ПРОДСНАБАЛТАЙ, ООО</t>
  </si>
  <si>
    <t>ПРОДСТАР-ТОРГОВЫЙ ДОМ, ООО</t>
  </si>
  <si>
    <t>ПРОДТОРГ, АО</t>
  </si>
  <si>
    <t>ПРОДУКТЫ МИРА, ООО</t>
  </si>
  <si>
    <t>ПРОДУКТЫ ОТ ТИТАНА, ООО</t>
  </si>
  <si>
    <t>ПРОДУКТЫ ПИТАНИЯ КОМБИНАТ, ООО</t>
  </si>
  <si>
    <t>ПРОДЭКС, ООО</t>
  </si>
  <si>
    <t>ПРОЕКТ 111, ООО</t>
  </si>
  <si>
    <t>ПРОЕКТ ФИНАНС, ООО</t>
  </si>
  <si>
    <t>ПРОЕКТ-ДЕВЕЛОПМЕНТ, ООО</t>
  </si>
  <si>
    <t>ПРОЕКТ-ИНВЕСТ, ООО</t>
  </si>
  <si>
    <t>ПРОЕКТНОЕ БЮРО АПЕКС, ООО</t>
  </si>
  <si>
    <t>ПРОЕКТСК, ООО</t>
  </si>
  <si>
    <t>ПРОЕКТСТРОЙСЕРВИС, ООО</t>
  </si>
  <si>
    <t>ПРОИЗВОДСТВЕННЫЙ ХОЛДИНГ МЕРКУРИЙ, ООО</t>
  </si>
  <si>
    <t>ПРОКАТМОНТАЖ, АО</t>
  </si>
  <si>
    <t>ПРОКОНСИМ, ЗАО ФИРМА</t>
  </si>
  <si>
    <t>ПРОКСИМА, АО КОМПАНИЯ</t>
  </si>
  <si>
    <t>ПРОКСИМА, ООО</t>
  </si>
  <si>
    <t>ПРОКТЕР ЭНД ГЭМБЛ ДИСТРИБЬЮТОРСКАЯ КОМПАНИЯ, ООО</t>
  </si>
  <si>
    <t>ПРОКТЕР ЭНД ГЭМБЛ-НОВОМОСКОВСК, ООО</t>
  </si>
  <si>
    <t>ПРОЛЕТАРИЙ СПБ, ООО</t>
  </si>
  <si>
    <t>ПРОЛЕТАРИЙ, АО</t>
  </si>
  <si>
    <t>ПРОЛЕТАРСКИЙ ЗАВОД, ПАО</t>
  </si>
  <si>
    <t>ПРОМ.МЕДИК.РУСЬ., АО</t>
  </si>
  <si>
    <t>ПРОМАЛЬЯНС, ООО</t>
  </si>
  <si>
    <t>ПРОМАСФАЛЬТ, ООО</t>
  </si>
  <si>
    <t>ПРОМБЕТОН, ООО</t>
  </si>
  <si>
    <t>ПРОМГАЗСЕРВИС, ООО</t>
  </si>
  <si>
    <t>ПРОМЕТЕЙ, ООО</t>
  </si>
  <si>
    <t>ПРОМЖЕЛДОРТРАНС, ООО</t>
  </si>
  <si>
    <t>ПРОМИМПЭКС, ООО</t>
  </si>
  <si>
    <t>ПРОМИНТЕЛ-АГРО, ООО</t>
  </si>
  <si>
    <t>ПРОМИС, АО</t>
  </si>
  <si>
    <t>ПРОМКАБЕЛЬ, ООО</t>
  </si>
  <si>
    <t>ПРОМКОМПЛЕКТ СИНТЕЗ, ООО</t>
  </si>
  <si>
    <t>ПРОМКОМПЛЕКТАЦИЯ, ООО</t>
  </si>
  <si>
    <t>ПРОМКОНСЕРВЫ, ООО</t>
  </si>
  <si>
    <t>ПРОМКОУТ, ООО</t>
  </si>
  <si>
    <t>ПРОМЛЕС, ООО</t>
  </si>
  <si>
    <t>ПРОМЛИТ, ООО</t>
  </si>
  <si>
    <t>ПРОММАШ, ООО</t>
  </si>
  <si>
    <t>ПРОМОЙЛ, ООО</t>
  </si>
  <si>
    <t>ПРОМОМЕД ДМ, ООО</t>
  </si>
  <si>
    <t>ПРОМОРЕ, ООО</t>
  </si>
  <si>
    <t>ПРОМПЛАСТ-14, ООО</t>
  </si>
  <si>
    <t>ПРОМРЕСУРС, ООО ГК</t>
  </si>
  <si>
    <t>НЕФТЕГАЗ И ЭНЕРГЕТИКА, ООО</t>
  </si>
  <si>
    <t>ПРОМСИНТЕЗ, АО</t>
  </si>
  <si>
    <t>ПРОМСТЕКЛО, ООО</t>
  </si>
  <si>
    <t>ПРОМСТРОЙ, ООО</t>
  </si>
  <si>
    <t>ПРОМСТРОЙКОНТРАКТ, АО</t>
  </si>
  <si>
    <t>ПРОМТЕХРЕСУРС, ООО</t>
  </si>
  <si>
    <t>РОССЕТИ МОСКОВСКИЙ РЕГИОН , ПАО РОССЕТИ МР, ПАО</t>
  </si>
  <si>
    <t>ПРОМУГОЛЬСЕРВИС, ООО</t>
  </si>
  <si>
    <t>ПРОМФИНСТРОЙ, АО</t>
  </si>
  <si>
    <t>ПРОМЦВЕТМЕТ, ООО</t>
  </si>
  <si>
    <t>ПРОМЭКО, ООО</t>
  </si>
  <si>
    <t>ПРОМЭКС, ООО</t>
  </si>
  <si>
    <t>ПРОСВЕЩЕНИЕ, АО</t>
  </si>
  <si>
    <t>ПРОСВЕЩЕНИЕ, ООО</t>
  </si>
  <si>
    <t>ПРОСОФТ-СИСТЕМЫ, ООО</t>
  </si>
  <si>
    <t>ПРОСТОР 103, ООО</t>
  </si>
  <si>
    <t>ПРОСТОР, ООО</t>
  </si>
  <si>
    <t>ПРОТЕК, ООО</t>
  </si>
  <si>
    <t>ПРОТЕК-СВМ, ООО</t>
  </si>
  <si>
    <t>ПРОТЕКТОР, ООО</t>
  </si>
  <si>
    <t>ПРОТЭК, ООО</t>
  </si>
  <si>
    <t>ПРОФАЙН РУС, ЗАО</t>
  </si>
  <si>
    <t>ПРОФГАЗСТРОЙ, ООО</t>
  </si>
  <si>
    <t>ПРОФЕССИОНАЛЬНЫЙ СТРОИТЕЛЬ, АО</t>
  </si>
  <si>
    <t>ПРОФИ, ООО</t>
  </si>
  <si>
    <t>ПРОФИЛЬ ТРЕЙД, ООО</t>
  </si>
  <si>
    <t>ПРОФИЛЬДООРС, ООО</t>
  </si>
  <si>
    <t>ПРОФИЛЬМЕТ, ООО</t>
  </si>
  <si>
    <t>ПРОФИТ-ЛИГА, ООО</t>
  </si>
  <si>
    <t>ПРОФИТМЕД, ЗАО</t>
  </si>
  <si>
    <t>ПРОФКОНД, ООО</t>
  </si>
  <si>
    <t>ПРОФМЕТАЛЛ, ООО</t>
  </si>
  <si>
    <t>ПРОФПОТОК, ООО</t>
  </si>
  <si>
    <t>ПРОФСЕРВИС, АО</t>
  </si>
  <si>
    <t>ПРОФСЕРВИСТРЕЙД, ООО</t>
  </si>
  <si>
    <t>ПОДОЛЬСКАЯ ТЕПЛОСЕТЬ, МУП</t>
  </si>
  <si>
    <t>ПРОФФАСАДСТРОЙ, ООО</t>
  </si>
  <si>
    <t>ПРОФХОЛОД, ООО</t>
  </si>
  <si>
    <t>ПРОФЭНЕРГО, ООО</t>
  </si>
  <si>
    <t>ПРОХОРОВСКИЙ КОМБИКОРМОВЫЙ ЗАВОД, ООО</t>
  </si>
  <si>
    <t>ПРР, ООО</t>
  </si>
  <si>
    <t>ПСА ВИС-АВТО, АО</t>
  </si>
  <si>
    <t>ПСБ ЛИЗИНГ, ООО</t>
  </si>
  <si>
    <t>ПСЕЛЬСКОЕ, ООО</t>
  </si>
  <si>
    <t>ПСК МАГИСТРАЛЬ КОНСТРАКШН, ООО</t>
  </si>
  <si>
    <t>ПСК ОМСКДИЗЕЛЬ, ООО</t>
  </si>
  <si>
    <t>ПСК СТРОЙИНВЕСТ, ООО</t>
  </si>
  <si>
    <t>ПСК ФАРМА, ООО</t>
  </si>
  <si>
    <t>ПСКОВВТОРМЕТ, АО</t>
  </si>
  <si>
    <t>ПСКОВНЕФТЕПРОДУКТ, ООО</t>
  </si>
  <si>
    <t>ПСКОВЭНЕРГОСБЫТ, АО</t>
  </si>
  <si>
    <t>ПСМА РУС, ООО</t>
  </si>
  <si>
    <t>ПСМК, ООО</t>
  </si>
  <si>
    <t>ПСО КАЗАНЬ, ООО</t>
  </si>
  <si>
    <t>ПСО-13, АО</t>
  </si>
  <si>
    <t>ПСП-2, ООО</t>
  </si>
  <si>
    <t>ПСС, ООО</t>
  </si>
  <si>
    <t>ПССФ, АО</t>
  </si>
  <si>
    <t>ПСФ КРОСТ, ООО СЗ</t>
  </si>
  <si>
    <t>ПТБ КРОНОС, ООО</t>
  </si>
  <si>
    <t>ПТБ ФАКТОР, ООО</t>
  </si>
  <si>
    <t>ПТВС, ООО</t>
  </si>
  <si>
    <t>ПТЖБ, АО</t>
  </si>
  <si>
    <t>ПТИЦЕВОДЧЕСКИЙ КОМПЛЕКС АК БАРС, ООО</t>
  </si>
  <si>
    <t>ПТИЦЕФАБРИКА АКАШЕВСКАЯ, ООО</t>
  </si>
  <si>
    <t>ПТИЦЕФАБРИКА БАШКИРСКАЯ, АО</t>
  </si>
  <si>
    <t>ПТИЦЕФАБРИКА ВЕРХНЕВОЛЖСКАЯ, АО</t>
  </si>
  <si>
    <t>ПТИЦЕФАБРИКА ЗЕЛЕНЕЦКАЯ, АО</t>
  </si>
  <si>
    <t>ПТИЦЕФАБРИКА КОМСОМОЛЬСКАЯ, АО</t>
  </si>
  <si>
    <t>ПТИЦЕФАБРИКА КРАСНОДОНСКАЯ, АО</t>
  </si>
  <si>
    <t>ПТИЦЕФАБРИКА РЕФТИНСКАЯ, АО</t>
  </si>
  <si>
    <t>ПТИЦЕФАБРИКА РОСКАР, АО</t>
  </si>
  <si>
    <t>ПТИЦЕФАБРИКА СВЕРДЛОВСКАЯ, АО</t>
  </si>
  <si>
    <t>ПТИЦЕФАБРИКА СЕВЕРНАЯ, АО</t>
  </si>
  <si>
    <t>ПТИЦЕФАБРИКА СИНЯВИНСКАЯ, АО</t>
  </si>
  <si>
    <t>ПТИЦЕФАБРИКА ЧАМЗИНСКАЯ, АО</t>
  </si>
  <si>
    <t>ПТИЦЕФАБРИКА ЧЕЛЯБИНСКАЯ, АО</t>
  </si>
  <si>
    <t>ПТИЦЕФАБРИКА ЭЛИНАР-БРОЙЛЕР, ООО</t>
  </si>
  <si>
    <t>ПТК ВАКУМПАК-М, ООО</t>
  </si>
  <si>
    <t>ПТК ДЕЛЬТА, ООО</t>
  </si>
  <si>
    <t>ПТК ТЕХНОСТИЛЬ, ООО</t>
  </si>
  <si>
    <t>ПТК УГОЛЬ, ООО</t>
  </si>
  <si>
    <t>ПТК, ООО</t>
  </si>
  <si>
    <t>ПТК-МЯСПРОМ, ООО</t>
  </si>
  <si>
    <t>ПТО ОСНОВА, ООО</t>
  </si>
  <si>
    <t>ПТП, ООО</t>
  </si>
  <si>
    <t>ПТР-НЕФТЕПРОДУКТ, ООО</t>
  </si>
  <si>
    <t>ПТФ ИНСКАЯ, ООО</t>
  </si>
  <si>
    <t>ПУД, ООО</t>
  </si>
  <si>
    <t>ПУМА-РУС, ООО</t>
  </si>
  <si>
    <t>ПУРАТОС, АО</t>
  </si>
  <si>
    <t>ПФ ВИС, ООО</t>
  </si>
  <si>
    <t>ПФ СКБ КОНТУР, АО</t>
  </si>
  <si>
    <t>ПФАЙЗЕР ИННОВАЦИИ, ООО</t>
  </si>
  <si>
    <t>ПФВ, ООО</t>
  </si>
  <si>
    <t>ПФК ЦСКА, АО</t>
  </si>
  <si>
    <t>ПЭК, ООО</t>
  </si>
  <si>
    <t>ПЭС, АО</t>
  </si>
  <si>
    <t>ПЭСТ, ООО</t>
  </si>
  <si>
    <t>ПЯТИГОРСКИЕ ЭЛЕКТРИЧЕСКИЕ СЕТИ, АО</t>
  </si>
  <si>
    <t>ПЯТНАДЦАТЫЙ ВЕТРОПАРК ФРВ, ООО</t>
  </si>
  <si>
    <t>Р-ВОСТОК, ООО</t>
  </si>
  <si>
    <t>Р-ИНДУСТРИЯ, ООО</t>
  </si>
  <si>
    <t>Р-КЛИМАТ, ООО</t>
  </si>
  <si>
    <t>Р-МОТОРС ЛАДА, ООО</t>
  </si>
  <si>
    <t>Р-С, ООО</t>
  </si>
  <si>
    <t>Р-СТРОЙ, ООО</t>
  </si>
  <si>
    <t>Р-ФАРМ, АО</t>
  </si>
  <si>
    <t>Р.Т.Д., ООО</t>
  </si>
  <si>
    <t>Р/К ВОСТОК-1, АО</t>
  </si>
  <si>
    <t>РАВИС-ПТИЦЕФАБРИКА СОСНОВСКАЯ, ООО</t>
  </si>
  <si>
    <t>ТОМСКОЕ МОЛОКО, ООО</t>
  </si>
  <si>
    <t>РАДИУС, ООО</t>
  </si>
  <si>
    <t>РАДНИКА, ООО</t>
  </si>
  <si>
    <t>РАДУГА СИНТЕЗ, ООО</t>
  </si>
  <si>
    <t>РАДУГА ЦИНК ЛИСТ, ООО</t>
  </si>
  <si>
    <t>РОССЕТИ ВОЛГА, ПАО</t>
  </si>
  <si>
    <t>РАЕВСАХАР, ООО</t>
  </si>
  <si>
    <t>РАЗВИТИЕ МАЛЫХ ФОРМАТОВ, ООО</t>
  </si>
  <si>
    <t>РОССЕТИ КУБАНЬ, ПАО</t>
  </si>
  <si>
    <t>РАЗВИТИЕ, ООО</t>
  </si>
  <si>
    <t>РАЗРЕЗ АРШАНОВСКИЙ, ООО</t>
  </si>
  <si>
    <t>РАЗРЕЗ БЕРЕЗОВСКИЙ, ООО</t>
  </si>
  <si>
    <t>РАЗРЕЗ БУНГУРСКИЙ-СЕВЕРНЫЙ, ООО</t>
  </si>
  <si>
    <t>РАЗРЕЗ ВОСТОЧНЫЙ, ООО</t>
  </si>
  <si>
    <t>РАЗРЕЗ ИРЕТСКИЙ, ООО</t>
  </si>
  <si>
    <t>РАЗРЕЗ КИЙЗАССКИЙ, ООО</t>
  </si>
  <si>
    <t>РАЗРЕЗ КИРБИНСКИЙ, ООО</t>
  </si>
  <si>
    <t>РАЗРЕЗ ПЕРМЯКОВСКИЙ, ООО</t>
  </si>
  <si>
    <t>РАЗРЕЗ КОЛЫВАНСКИЙ, АО</t>
  </si>
  <si>
    <t>РАЗРЕЗ РАСПАДСКИЙ, АО</t>
  </si>
  <si>
    <t>РАЗРЕЗ СТЕПАНОВСКИЙ, АО</t>
  </si>
  <si>
    <t>РАЗРЕЗ ТУГНУЙСКИЙ, АО</t>
  </si>
  <si>
    <t>РАЗРЕЗ ХАРАНОРСКИЙ, АО</t>
  </si>
  <si>
    <t>РАЗРЕЗ ЧЕРЕМХОВУГОЛЬ, ООО</t>
  </si>
  <si>
    <t>РАЙВАЛ, ООО ТЗК</t>
  </si>
  <si>
    <t>РАЙФФАЙЗЕН АГРО, ООО</t>
  </si>
  <si>
    <t>РАЙФФАЙЗЕН-ЛИЗИНГ, ООО</t>
  </si>
  <si>
    <t>РАЛЬФ РИНГЕР РИТЕЙЛ, ООО</t>
  </si>
  <si>
    <t>РАЛЬФ РИНГЕР, АО</t>
  </si>
  <si>
    <t>РАМЕНСКАЯ ТЕПЛОСЕТЬ, АО</t>
  </si>
  <si>
    <t>РАМЕНСКИЙ КОМБИНАТ ХЛЕБОПРОДУКТОВ, АО</t>
  </si>
  <si>
    <t>РАМЕНСКИЙ КОНДИТЕРСКИЙ КОМБИНАТ, ООО</t>
  </si>
  <si>
    <t>РОССЕТИ СЕВЕРНЫЙ КАВКАЗ, ПАО</t>
  </si>
  <si>
    <t>РАНБАКСИ, АО</t>
  </si>
  <si>
    <t>РАНДЕВУ, ООО</t>
  </si>
  <si>
    <t>РАНОЙЛ, ООО</t>
  </si>
  <si>
    <t>РАПАРТ СЕРВИСЕЗ, ООО</t>
  </si>
  <si>
    <t>РАППОРТО, ООО</t>
  </si>
  <si>
    <t>РАРУС-СОФТ, ООО</t>
  </si>
  <si>
    <t>РАСПАДСКАЯ, ПАО</t>
  </si>
  <si>
    <t>РАСПАДСКАЯ-КОКСОВАЯ, АО</t>
  </si>
  <si>
    <t>РАССВЕТ, АО</t>
  </si>
  <si>
    <t>РАССВЕТ, ООО</t>
  </si>
  <si>
    <t>РАСУ, АО</t>
  </si>
  <si>
    <t>РАТ, ООО</t>
  </si>
  <si>
    <t>РАТИМИР, ООО</t>
  </si>
  <si>
    <t>РАФТ, ООО</t>
  </si>
  <si>
    <t>РАЦИН, АО</t>
  </si>
  <si>
    <t>РБ ЛИЗИНГ, ООО</t>
  </si>
  <si>
    <t>РБ ФАКТОРИНГ, ООО</t>
  </si>
  <si>
    <t>РБА-МБ, ООО</t>
  </si>
  <si>
    <t>РБЕ, ООО</t>
  </si>
  <si>
    <t>РБК, ООО</t>
  </si>
  <si>
    <t>РБС, ООО</t>
  </si>
  <si>
    <t>РВГ-ТП, ООО</t>
  </si>
  <si>
    <t>РВК-ВОРОНЕЖ, ООО</t>
  </si>
  <si>
    <t>РВО ГРУПП, ООО</t>
  </si>
  <si>
    <t>РГД, АО</t>
  </si>
  <si>
    <t>РГМЭК, ООО</t>
  </si>
  <si>
    <t>РГП, ООО</t>
  </si>
  <si>
    <t>РДП.РУ, ООО</t>
  </si>
  <si>
    <t>РЕ ТРЭЙДИНГ, ООО</t>
  </si>
  <si>
    <t>РЕ:БАС, ООО</t>
  </si>
  <si>
    <t>РЕАКТИВ, ООО</t>
  </si>
  <si>
    <t>РЕАЛ ЭСТЕЙТ ГРУПП, ООО</t>
  </si>
  <si>
    <t>РЕАЛ, ООО</t>
  </si>
  <si>
    <t>РЕВАДА, ООО</t>
  </si>
  <si>
    <t>РЕВАДА-НЕВА, ООО</t>
  </si>
  <si>
    <t>РЕВАНШ, ООО</t>
  </si>
  <si>
    <t>РЕВО ЧАРДЖ РУС, ООО</t>
  </si>
  <si>
    <t>РЕГАРД МСК, ООО</t>
  </si>
  <si>
    <t>РЕГЕНТ ГОЛД, ООО</t>
  </si>
  <si>
    <t>РЕГИНАС, ООО</t>
  </si>
  <si>
    <t>РЕГИОН 50, ООО</t>
  </si>
  <si>
    <t>РЕГИОН РИТЕЙЛ, ООО</t>
  </si>
  <si>
    <t>РЕГИОН, ООО</t>
  </si>
  <si>
    <t>РЕГИОН-САРАТОВ, ООО ТК</t>
  </si>
  <si>
    <t>РЕГИОН-ТРЕЙД, ООО</t>
  </si>
  <si>
    <t>РЕГИОНЖИЛСТРОЙ, ООО</t>
  </si>
  <si>
    <t>РЕГИОНИНВЕСТ, ООО</t>
  </si>
  <si>
    <t>РЕГИОНСНАБ, ООО</t>
  </si>
  <si>
    <t>РЕГИОНТРАНССЕРВИС, ООО</t>
  </si>
  <si>
    <t>РЕГИСТРАТУРА.РУ, ООО</t>
  </si>
  <si>
    <t>РЕГСТАЭР-М, ООО</t>
  </si>
  <si>
    <t>РЕД БУЛЛ (РУС), ООО</t>
  </si>
  <si>
    <t>РЕД ВИНГС, АО</t>
  </si>
  <si>
    <t>РЕД СКИЛЛ, ООО</t>
  </si>
  <si>
    <t>РГК, ООО</t>
  </si>
  <si>
    <t>РЕЗИНЕКС РУС, АО</t>
  </si>
  <si>
    <t>РЕЗОЛ, ООО</t>
  </si>
  <si>
    <t>РЕИЛГО, ООО</t>
  </si>
  <si>
    <t>РЕЙЛ КАРГО ЛОГИСТИКС-РУС, ООО</t>
  </si>
  <si>
    <t>РЕЙЛ1520, ООО</t>
  </si>
  <si>
    <t>РЕЙЛТРАНССЕРВИС, ООО</t>
  </si>
  <si>
    <t>РЕЙМА, ООО</t>
  </si>
  <si>
    <t>РЕКИТТ БЕНКИЗЕР ХЭЛСКЭР, ООО</t>
  </si>
  <si>
    <t>РЕКИТТ БЕНКИЗЕР, ООО</t>
  </si>
  <si>
    <t>РЕКОНСТРУКЦИЯ И РАЗВИТИЕ, ООО</t>
  </si>
  <si>
    <t>РЕКОНЭНЕРГО, ЗАО</t>
  </si>
  <si>
    <t>РЕКОРД ТРЕЙД, ООО</t>
  </si>
  <si>
    <t>РЕЛЬЕФ-ЦЕНТР, ООО</t>
  </si>
  <si>
    <t>РЕМОНТЁР, ООО</t>
  </si>
  <si>
    <t>РЕМПУТЬ, ООО</t>
  </si>
  <si>
    <t>РЕМСЕРВИС, ООО</t>
  </si>
  <si>
    <t>РЕМСТРОЙКОМПЛЕКТ, ООО</t>
  </si>
  <si>
    <t>РЕМЭКС, ООО</t>
  </si>
  <si>
    <t>РЕМЭКС, ООО ПКФ</t>
  </si>
  <si>
    <t>РЕНЕЙССАНС КОНСТРАКШН, АО</t>
  </si>
  <si>
    <t>РЕНЕЙССАНС ХЭВИ ИНДАСТРИС, ООО</t>
  </si>
  <si>
    <t>РЕСТОР, НАО</t>
  </si>
  <si>
    <t>РЕСТОР, ООО</t>
  </si>
  <si>
    <t>РЕНЕССАНС, ООО ТД</t>
  </si>
  <si>
    <t>РЕНЕССАНС-РЕСТАВРАЦИЯ, АО</t>
  </si>
  <si>
    <t>РЕНОВАЦИИ, ФОНД</t>
  </si>
  <si>
    <t>РЕНСТРОЙДЕТАЛЬ, ООО</t>
  </si>
  <si>
    <t>РЕНТ-КЭПИТЛ, ООО</t>
  </si>
  <si>
    <t>РЕНТСОФТ, ООО</t>
  </si>
  <si>
    <t>РЕНУС ИНТЕРМОДАЛ СИСТЕМС, ООО</t>
  </si>
  <si>
    <t>РЕСО-ЛИЗИНГ, ООО</t>
  </si>
  <si>
    <t>РЕСПИК, ООО</t>
  </si>
  <si>
    <t>РЕСТОРАНСЕРВИС ПЛЮС, ООО</t>
  </si>
  <si>
    <t>РЕСТРО, ООО</t>
  </si>
  <si>
    <t>РЕСУРС НАФТА, ООО</t>
  </si>
  <si>
    <t>РЕСУРС ТРЕЙДИНГ, ООО</t>
  </si>
  <si>
    <t>РЕСУРС, ООО МЭЗ</t>
  </si>
  <si>
    <t>РЕСУРС-ВОЛГА, ООО ТК</t>
  </si>
  <si>
    <t>РТА ЭЙР ЭНД СИ, АО</t>
  </si>
  <si>
    <t>РЕСУРС-МЕДИА, ООО</t>
  </si>
  <si>
    <t>РЕСУРС-ЮГ, ООО ТК</t>
  </si>
  <si>
    <t>РЕСУРСИНВЕСТСТРОЙ, ООО</t>
  </si>
  <si>
    <t>РЕСУРСТРАНС, ООО</t>
  </si>
  <si>
    <t>РЕСУРСЫ АЛБАЗИНО, ООО</t>
  </si>
  <si>
    <t>РЕТТЕНМАЙЕР РУС, ООО</t>
  </si>
  <si>
    <t>РЕФОРМ-ИНЖИНИРИНГ, ООО</t>
  </si>
  <si>
    <t>РЕФОРМА, ООО</t>
  </si>
  <si>
    <t>РЕФСЕРВИС, АО</t>
  </si>
  <si>
    <t>РЕХАУ ПРОДУКЦИОН, ООО</t>
  </si>
  <si>
    <t>РЕХАУ, ООО</t>
  </si>
  <si>
    <t>РЕЧСЕРВИС, ООО</t>
  </si>
  <si>
    <t>РЖД БИЗНЕС АКТИВ, АО</t>
  </si>
  <si>
    <t>РЖД ИНТЕРНЕШНЛ, ООО</t>
  </si>
  <si>
    <t>РЖД ЛОГИСТИКА, АО</t>
  </si>
  <si>
    <t>РЖД-ЗДОРОВЬЕ, АО</t>
  </si>
  <si>
    <t>РЖД-ТБ, ООО</t>
  </si>
  <si>
    <t>РЖД-ТЕХСЕРВИС, ООО</t>
  </si>
  <si>
    <t>РЖДСТРОЙ, АО</t>
  </si>
  <si>
    <t>РЖЕВЗЕРНОПРОДУКТ, ООО</t>
  </si>
  <si>
    <t>РЗ АГРО СЕРВИС, ООО</t>
  </si>
  <si>
    <t>РЗ ОЦМ, ПАО</t>
  </si>
  <si>
    <t>РЗЗ, ЗАО</t>
  </si>
  <si>
    <t>РЗК РЕСУРС, ООО</t>
  </si>
  <si>
    <t>РЗК, АО</t>
  </si>
  <si>
    <t>РИВЕРКОМ, ООО</t>
  </si>
  <si>
    <t>РИГИЛ, ООО</t>
  </si>
  <si>
    <t>РИГЛА, ООО</t>
  </si>
  <si>
    <t>РИГЛА-МО, ООО</t>
  </si>
  <si>
    <t>РИД ОЙЛ-ПЕРМЬ, ООО</t>
  </si>
  <si>
    <t>РИДАН, ООО</t>
  </si>
  <si>
    <t>РИИТЭК, ООО</t>
  </si>
  <si>
    <t>РИКВЭСТ-СЕРВИС, ООО</t>
  </si>
  <si>
    <t>РИКЕР ВОСТОК, ООО</t>
  </si>
  <si>
    <t>РИМА, АО</t>
  </si>
  <si>
    <t>РИМБУНАН ХИДЖАУ МДФ, ООО</t>
  </si>
  <si>
    <t>РИР, АО</t>
  </si>
  <si>
    <t>РИТЕЙЛ ИМПОРТ, ООО</t>
  </si>
  <si>
    <t>РИТЕЙЛ ЛОГИСТИК, ООО</t>
  </si>
  <si>
    <t>РИТЕЙЛ ПРОПЕРТИ 6, ООО</t>
  </si>
  <si>
    <t>РИТЕЙЛ СЕРВИС, ООО</t>
  </si>
  <si>
    <t>РИТЕЙЛ, ООО</t>
  </si>
  <si>
    <t>РИТЕЙЛСЕРВИС 27, ООО</t>
  </si>
  <si>
    <t>РИТЕЙЛСЕРВИС 42, ООО</t>
  </si>
  <si>
    <t>РК, ООО</t>
  </si>
  <si>
    <t>РИТТЕР СПОРТ ШОКОЛАД, ООО</t>
  </si>
  <si>
    <t>РИТЭК, ООО</t>
  </si>
  <si>
    <t>РИФ АМЕТИСТ, ООО</t>
  </si>
  <si>
    <t>РИФ, ООО</t>
  </si>
  <si>
    <t>РУСТ РОССИЯ, АО</t>
  </si>
  <si>
    <t>РИФ-МИКРОМРАМОР, ООО</t>
  </si>
  <si>
    <t>РИФАР, АО</t>
  </si>
  <si>
    <t>РИЧ ФЭМИЛИ, ООО</t>
  </si>
  <si>
    <t>РК НОВОТРАНС, ООО</t>
  </si>
  <si>
    <t>РК ПОЛЯРНОЕ МОРЕ+, ООО</t>
  </si>
  <si>
    <t>РК-ГРАНД, ООО</t>
  </si>
  <si>
    <t>РК-НЕФТЕСЕРВИС, ООО</t>
  </si>
  <si>
    <t>РК-РЕГИОН, ООО</t>
  </si>
  <si>
    <t>РКЗ-ТАВР, ООО</t>
  </si>
  <si>
    <t>РКИ, АО</t>
  </si>
  <si>
    <t>РКК, ООО</t>
  </si>
  <si>
    <t>РКС-ИНЖИНИРИНГ, ООО</t>
  </si>
  <si>
    <t>РКС-ЭНЕРГО, ООО</t>
  </si>
  <si>
    <t>РЛС, ООО</t>
  </si>
  <si>
    <t>РМ АГРО, ООО</t>
  </si>
  <si>
    <t>РМ, АО</t>
  </si>
  <si>
    <t>РМК, ООО</t>
  </si>
  <si>
    <t>РМК-СНАБЖЕНИЕ, ООО</t>
  </si>
  <si>
    <t>РММТ, ООО</t>
  </si>
  <si>
    <t>РМНТК НЕФТЕОТДАЧА, ООО</t>
  </si>
  <si>
    <t>РМПТС, МУП</t>
  </si>
  <si>
    <t>РН-ОЙЛ, ООО</t>
  </si>
  <si>
    <t>РН-СПЕКТР, ООО</t>
  </si>
  <si>
    <t>РН-ЭНЕРГО, ООО</t>
  </si>
  <si>
    <t>РНГ СНАБЖЕНИЕ, ООО</t>
  </si>
  <si>
    <t>РНГ, АО</t>
  </si>
  <si>
    <t>РНК, ООО</t>
  </si>
  <si>
    <t>РНТК, ООО</t>
  </si>
  <si>
    <t>РОБЕРТ БОШ САРАТОВ, ООО</t>
  </si>
  <si>
    <t>РОБЕРТ БОШ, ООО</t>
  </si>
  <si>
    <t>РОВЕН-РЕГИОНЫ, ООО</t>
  </si>
  <si>
    <t>РОВЕНЬКИ-МАСЛОСЫРЗАВОД, ООО</t>
  </si>
  <si>
    <t>РОГСИБАЛ, ООО</t>
  </si>
  <si>
    <t>РСК, ООО</t>
  </si>
  <si>
    <t>РОДИНА, АО</t>
  </si>
  <si>
    <t>РОДНИК И К, ООО</t>
  </si>
  <si>
    <t>РОДНИК, ООО</t>
  </si>
  <si>
    <t>РОДНИК, ООО ПК</t>
  </si>
  <si>
    <t>РОДОЛИТ, ООО</t>
  </si>
  <si>
    <t>РОДСТОР ГРУПП, ООО</t>
  </si>
  <si>
    <t>РОЗА МИРА, ООО</t>
  </si>
  <si>
    <t>РОЗА ХУТОР, ООО</t>
  </si>
  <si>
    <t>РОЗАН ФАЙНЭНС, АО</t>
  </si>
  <si>
    <t>РОЗНИЦА К-1, ООО</t>
  </si>
  <si>
    <t>РОЗТЕХ 27, ООО</t>
  </si>
  <si>
    <t>РОКАДА-ДЕНТ, ООО</t>
  </si>
  <si>
    <t>РОКВУЛ, ООО</t>
  </si>
  <si>
    <t>РОКВУЛ-ВОЛГА, ООО</t>
  </si>
  <si>
    <t>РОКВУЛ-СЕВЕР, ООО</t>
  </si>
  <si>
    <t>РОКИТСОФТ, ООО</t>
  </si>
  <si>
    <t>РОКСЭТ-С, ООО</t>
  </si>
  <si>
    <t>РОЛИЗ, ООО</t>
  </si>
  <si>
    <t>РОЛЬФ МОТОРС, ООО</t>
  </si>
  <si>
    <t>РОЛЬФ ЭСТЕЙТ САНКТ-ПЕТЕРБУРГ, ООО</t>
  </si>
  <si>
    <t>РОЛЬФ, АО</t>
  </si>
  <si>
    <t>РОМАКС, ООО</t>
  </si>
  <si>
    <t>СТОКОВ ФИНАНСОВЫЕ УСЛУГИ, ООО</t>
  </si>
  <si>
    <t>РОМЕКС-КУБАНЬ, ООО</t>
  </si>
  <si>
    <t>РОМОДАНОВОСАХАР, ООО</t>
  </si>
  <si>
    <t>РОМСАТ, ООО</t>
  </si>
  <si>
    <t>РОНА, ООО</t>
  </si>
  <si>
    <t>РОНЕТЕК, ООО</t>
  </si>
  <si>
    <t>СОВКОМБАНК ФАКТОРИНГ, ООО</t>
  </si>
  <si>
    <t>РОСАГРОЛИЗИНГ, АО</t>
  </si>
  <si>
    <t>РОСАЛЬЯНС, ООО</t>
  </si>
  <si>
    <t>ПЕЧЕНГАСТРОЙ, ООО</t>
  </si>
  <si>
    <t>РОСГОСЦИРК, ФКП</t>
  </si>
  <si>
    <t>РОСДОРСТРОЙ ,ООО РДС, ООО</t>
  </si>
  <si>
    <t>РОСЖЕЛДОРПРОЕКТ, АО</t>
  </si>
  <si>
    <t>РОСИНЖИНИРИНГ, АО</t>
  </si>
  <si>
    <t>РОСИНТЕР РЕСТОРАНТС, ООО</t>
  </si>
  <si>
    <t>РОСКОНГРЕСС, ФОНД</t>
  </si>
  <si>
    <t>РОСЛАВЛЬСКИЙ ВРЗ, АО</t>
  </si>
  <si>
    <t>РОСМИКС, ООО</t>
  </si>
  <si>
    <t>РОСМОРПОРТ, ФГУП</t>
  </si>
  <si>
    <t>РОСМЭН, ООО</t>
  </si>
  <si>
    <t>РОСПРОМСТРОЙ, ООО</t>
  </si>
  <si>
    <t>РОСРЫБФЛОТ, ООО</t>
  </si>
  <si>
    <t>РОССБИЛДИНГ, ООО</t>
  </si>
  <si>
    <t>РОССЕТИ ЯНТАРЬ, АО</t>
  </si>
  <si>
    <t>РОССОШАНСКОЕ ДРСУ № 1, ООО</t>
  </si>
  <si>
    <t>РОСТ-С, АО</t>
  </si>
  <si>
    <t>РОСТА-НЕФТЕПРОДУКТ, ООО</t>
  </si>
  <si>
    <t>РОСТАГРО, ООО</t>
  </si>
  <si>
    <t>РОСТАГРОКОМПЛЕКС, ООО</t>
  </si>
  <si>
    <t>РОСТАГРОПРОДУКТ, ООО</t>
  </si>
  <si>
    <t>РОСТЕРМИНАЛУГОЛЬ, АО</t>
  </si>
  <si>
    <t>РОСТЛАЙН АГРОСЕРВИС, ООО</t>
  </si>
  <si>
    <t>РОСТОВАГРОИМПЕКС, ООО</t>
  </si>
  <si>
    <t>РОСТОВВОДОКАНАЛ, АО</t>
  </si>
  <si>
    <t>РОСТОВСКИЕ ТЕПЛОВЫЕ СЕТИ, ООО</t>
  </si>
  <si>
    <t>РОСТОВСКИЙ БРОЙЛЕР, ООО</t>
  </si>
  <si>
    <t>РОСТОВСКИЙ ЗЕРНОВОЙ ТЕРМИНАЛ, ООО</t>
  </si>
  <si>
    <t>РОСТОВСКИЙ ПРЕССОВО-РАСКРОЙНЫЙ ЗАВОД , ООО РПРЗ, ООО</t>
  </si>
  <si>
    <t>РОСТОВСТРОЙ, ООО</t>
  </si>
  <si>
    <t>РОСТРА-РД, ООО</t>
  </si>
  <si>
    <t>РОСТСТАЛЬ, ООО</t>
  </si>
  <si>
    <t>РОСТТЕРМ, ООО</t>
  </si>
  <si>
    <t>РОСШИНА-ИНВЕСТ, ООО</t>
  </si>
  <si>
    <t>РОТ ФРОНТ, ОАО</t>
  </si>
  <si>
    <t>РОУД ГРУПП, ООО</t>
  </si>
  <si>
    <t>РОШ ДИАБЕТЕС КЕА РУС, ООО</t>
  </si>
  <si>
    <t>РОШ ДИАГНОСТИКА РУС, ООО</t>
  </si>
  <si>
    <t>РОШАЛЬСКИЙ ЗАВОД ПЛАСТИФИКАТОРОВ, ООО</t>
  </si>
  <si>
    <t>РОЯЛ ФРЕШ, ООО</t>
  </si>
  <si>
    <t>РПК, ООО</t>
  </si>
  <si>
    <t>РПК-ВЫСОЦК ЛУКОЙЛ-II, ООО</t>
  </si>
  <si>
    <t>РПНИ ИЖЕМДИ, АУ РА</t>
  </si>
  <si>
    <t>РПС, АО</t>
  </si>
  <si>
    <t>РРА, ООО</t>
  </si>
  <si>
    <t>РРК, АО</t>
  </si>
  <si>
    <t>РРТ, ООО</t>
  </si>
  <si>
    <t>РС, ООО</t>
  </si>
  <si>
    <t>РСВ, ООО</t>
  </si>
  <si>
    <t>РСГ-АКАДЕМИЧЕСКОЕ, АО СЗ</t>
  </si>
  <si>
    <t>РСК, АО</t>
  </si>
  <si>
    <t>РСС ИНЖИНИРИНГ, ООО</t>
  </si>
  <si>
    <t>РСТ-ГЕНПОДРЯД, ООО</t>
  </si>
  <si>
    <t>РСТ-ЭНЕРГО, ООО</t>
  </si>
  <si>
    <t>РСУ УПРАВЛЕНИЯ ДЕЛАМИ ПРЕЗИДЕНТА РОССИЙСКОЙ ФЕДЕРАЦИИ, ФГУП</t>
  </si>
  <si>
    <t>РСУ, ООО</t>
  </si>
  <si>
    <t>РСХ, ООО</t>
  </si>
  <si>
    <t>РСХБ ФАКТОРИНГ, ООО</t>
  </si>
  <si>
    <t>РСХБ-ИНТЕХ, ООО</t>
  </si>
  <si>
    <t>РТ ЛАБС, АО</t>
  </si>
  <si>
    <t>РТ, АО</t>
  </si>
  <si>
    <t>РТ-ФИНАНС, АО</t>
  </si>
  <si>
    <t>РТ-ЭНЕРГО, ООО</t>
  </si>
  <si>
    <t>РТИТС, ООО</t>
  </si>
  <si>
    <t>РТК ИБ, ООО</t>
  </si>
  <si>
    <t>РТК ИТ, ООО</t>
  </si>
  <si>
    <t>РТК ЦТ, ООО</t>
  </si>
  <si>
    <t>РТК, АО</t>
  </si>
  <si>
    <t>РТК, НАО ПКП</t>
  </si>
  <si>
    <t>РТК, ООО</t>
  </si>
  <si>
    <t>РТКОММ.РУ, АО</t>
  </si>
  <si>
    <t>РТЛ, ООО</t>
  </si>
  <si>
    <t>РТР, ООО</t>
  </si>
  <si>
    <t>РТРС</t>
  </si>
  <si>
    <t>РТС-ТЕНДЕР, ООО</t>
  </si>
  <si>
    <t>РУ КМЗ, ООО</t>
  </si>
  <si>
    <t>РУАНТ, ООО</t>
  </si>
  <si>
    <t>РТП, ООО</t>
  </si>
  <si>
    <t>РУБЕЖ, ООО</t>
  </si>
  <si>
    <t>РУБИКОН, ООО</t>
  </si>
  <si>
    <t>РУБИТЕХ, ООО</t>
  </si>
  <si>
    <t>РУДНИК АЛЕКСАНДРОВСКИЙ, АО</t>
  </si>
  <si>
    <t>РУДНИК ВАЛУНИСТЫЙ, ООО</t>
  </si>
  <si>
    <t>РУДНИК КАРАЛЬВЕЕМ, АО</t>
  </si>
  <si>
    <t>РУДСТРОЙ, ООО</t>
  </si>
  <si>
    <t>РУЗКОМ, ООО</t>
  </si>
  <si>
    <t>РУЗСКИЙ КУПАЖНЫЙ ЗАВОД, ООО</t>
  </si>
  <si>
    <t>РУЗСКИЙ РО, ООО</t>
  </si>
  <si>
    <t>РУЗХИММАШ, АО</t>
  </si>
  <si>
    <t>РУК, ООО</t>
  </si>
  <si>
    <t>РУЛОГ, ООО</t>
  </si>
  <si>
    <t>РУМЕТА, ООО</t>
  </si>
  <si>
    <t>РУНО-РЕСУРС, ООО</t>
  </si>
  <si>
    <t>РУС-ОЙЛЭКС, ООО</t>
  </si>
  <si>
    <t>РУСАГРО-БАЛАКОВО, ООО</t>
  </si>
  <si>
    <t>РУСАГРО-БЕЛГОРОД, ООО</t>
  </si>
  <si>
    <t>РУСАГРО-ЗАКУПКИ, ООО</t>
  </si>
  <si>
    <t>РУСАГРО-ИНВЕСТ, ООО</t>
  </si>
  <si>
    <t>РУСАГРО-ПРИМОРЬЕ, ООО</t>
  </si>
  <si>
    <t>РУСАГРО-САРАТОВ, ООО</t>
  </si>
  <si>
    <t>РУСАГРО-ТАМБОВ, ООО</t>
  </si>
  <si>
    <t>РУСАГРОТРАНС, ООО</t>
  </si>
  <si>
    <t>РУСАЛ БРАТСК, ПАО</t>
  </si>
  <si>
    <t>РУСАН ЭКСПОРТ, ООО</t>
  </si>
  <si>
    <t>РУСАТОМ ОВЕРСИЗ, АО РАОС, АО</t>
  </si>
  <si>
    <t>РУСАТОМ СЕРВИС, АО</t>
  </si>
  <si>
    <t>РУСБЕЛПРОМ, ООО</t>
  </si>
  <si>
    <t>РУСБИЗНЕССТРОЙ, ООО</t>
  </si>
  <si>
    <t>РУСБУНКЕР, ООО</t>
  </si>
  <si>
    <t>РУСБУРМАШ, АО</t>
  </si>
  <si>
    <t>РУСВИНИЛ, ООО</t>
  </si>
  <si>
    <t>РУСВИНТОРГ, ООО</t>
  </si>
  <si>
    <t>РУСГАЗБУРЕНИЕ, ООО</t>
  </si>
  <si>
    <t>РУСГАЗШЕЛЬФ, ООО</t>
  </si>
  <si>
    <t>РУСГИДРО, ПАО</t>
  </si>
  <si>
    <t>РУСДЖЕТ, АО</t>
  </si>
  <si>
    <t>РУСИНВЕСТ, ООО</t>
  </si>
  <si>
    <t>РУСКАН ДИСТРИБЬЮШН, ООО</t>
  </si>
  <si>
    <t>РУСКАН, АО</t>
  </si>
  <si>
    <t>РУСКАТ, ООО</t>
  </si>
  <si>
    <t>РУСКОН, ООО</t>
  </si>
  <si>
    <t>РУСКОНТРАКТОР, ООО</t>
  </si>
  <si>
    <t>РУСЛАЙН, АО АК</t>
  </si>
  <si>
    <t>РУСЛАН-1, ООО ТК</t>
  </si>
  <si>
    <t>РУСМАН, ООО</t>
  </si>
  <si>
    <t>РУСМАШЭНЕРГО, ООО</t>
  </si>
  <si>
    <t>РУСМЕДКОМ, АО</t>
  </si>
  <si>
    <t>РУСМЕТ, ООО</t>
  </si>
  <si>
    <t>РОССЕТИ ЮГ, ПАО</t>
  </si>
  <si>
    <t>РУСМЕТПРОМ, ООО</t>
  </si>
  <si>
    <t>РУСОЛОВО, ПАО</t>
  </si>
  <si>
    <t>РУСРЕМСТРОЙ, ООО</t>
  </si>
  <si>
    <t>РУСС АУТДОР, ООО</t>
  </si>
  <si>
    <t>РУСС-МОДУЛЬ, ООО</t>
  </si>
  <si>
    <t>РУССБИТУМ, ООО</t>
  </si>
  <si>
    <t>РУССБЛАНКОИЗДАТ, ООО</t>
  </si>
  <si>
    <t>РУССВЕЛЛ, ООО</t>
  </si>
  <si>
    <t>РУССЕЛЬТОРГ, ООО</t>
  </si>
  <si>
    <t>РУССИНТЕГРАЛ-ПИОНЕР, ООО</t>
  </si>
  <si>
    <t>РУССКАЯ АГРАРНАЯ ГРУППА, ООО</t>
  </si>
  <si>
    <t>РУССКАЯ АРМАТУРА, ООО</t>
  </si>
  <si>
    <t>РУССКАЯ ЛАБОРАТОРИЯ, АО НДЦ НПФ</t>
  </si>
  <si>
    <t>РУССКАЯ РЕСУРСНАЯ КОМПАНИЯ-СИБИРЬ, ООО</t>
  </si>
  <si>
    <t>РУССКАЯ СВИНИНА, ООО</t>
  </si>
  <si>
    <t>РУССКИЕ БАШНИ, АО</t>
  </si>
  <si>
    <t>РУССКИЕ МЕЛЬНИЦЫ, ООО</t>
  </si>
  <si>
    <t>РУССКИЕ ФОНДЫ, АО</t>
  </si>
  <si>
    <t>РУССКИЙ АВТОБУС, ООО ТЦ</t>
  </si>
  <si>
    <t>РУССКИЙ БИСКВИТ, АО</t>
  </si>
  <si>
    <t>РУССКИЙ ДОМ, АО</t>
  </si>
  <si>
    <t>РУССКИЙ ЛОСОСЬ, ООО</t>
  </si>
  <si>
    <t>РУССКИЙ ПРОДУКТ, АО</t>
  </si>
  <si>
    <t>РУССКИЙ РАЗГУЛЯЙКА, ООО</t>
  </si>
  <si>
    <t>РУССКИЙ РЫБНЫЙ МИР, ООО</t>
  </si>
  <si>
    <t>РУССКИЙ СЕВЕР, ООО</t>
  </si>
  <si>
    <t>РУССКИЙ СТАНДАРТ-СЕРВИС, ООО</t>
  </si>
  <si>
    <t>РУССКИЙ УГОЛЬ, АО</t>
  </si>
  <si>
    <t>РУССКИЙ ХЛЕБ, ООО</t>
  </si>
  <si>
    <t>РУССКОЕ МОЛОКО, ООО</t>
  </si>
  <si>
    <t>РУССКОЕ МОРЕ, АО</t>
  </si>
  <si>
    <t>РУССКОЕ СТРЕЛКОВОЕ ОРУЖИЕ, ООО</t>
  </si>
  <si>
    <t>РУССНЕФТЬ, ПАО НК</t>
  </si>
  <si>
    <t>РУССОЙЛ 24, ООО</t>
  </si>
  <si>
    <t>РУССОЛЬ, ООО</t>
  </si>
  <si>
    <t>РУССОЦКАПИТАЛ, ООО</t>
  </si>
  <si>
    <t>РУСТ ИНК., ЗАО</t>
  </si>
  <si>
    <t>РУСТА, ООО</t>
  </si>
  <si>
    <t>РУСТАРК, ООО</t>
  </si>
  <si>
    <t>РУСТЕКС, ООО</t>
  </si>
  <si>
    <t>РУСТОН, ООО</t>
  </si>
  <si>
    <t>РУСТОРГ, ООО ТД</t>
  </si>
  <si>
    <t>РУСТОРГОЙЛ, ООО</t>
  </si>
  <si>
    <t>РУСТРАНС, ООО</t>
  </si>
  <si>
    <t>РУСТРЕЙДНЕФТЕПРОДУКТ, ООО</t>
  </si>
  <si>
    <t>РУСТРЕСТ, ООО СК</t>
  </si>
  <si>
    <t>РУСТЭК-МАГИСТРАЛЬ, ООО</t>
  </si>
  <si>
    <t>РУСФЕН, ООО</t>
  </si>
  <si>
    <t>РУСФИНАНС, ООО</t>
  </si>
  <si>
    <t>РУСХИМСЕТЬ, АО</t>
  </si>
  <si>
    <t>РУСХИМСЕТЬ-САНКТ-ПЕТЕРБУРГ, АО</t>
  </si>
  <si>
    <t>РУСЭНЕРГО, ООО</t>
  </si>
  <si>
    <t>РУСЭНЕРГОРЕСУРС, ООО</t>
  </si>
  <si>
    <t>РУСЭНЕРГОСБЫТ СИБИРЬ, ООО</t>
  </si>
  <si>
    <t>РУСЭНЕРГОСБЫТ, ООО</t>
  </si>
  <si>
    <t>РУТГЕРС СЕВЕРТАР, ООО</t>
  </si>
  <si>
    <t>РУТЭК, ООО</t>
  </si>
  <si>
    <t>РФП ЛЕСОЗАГОТОВКА, АО</t>
  </si>
  <si>
    <t>РФС</t>
  </si>
  <si>
    <t>РЫБЗАВОД ЗА РОДИНУ, ООО</t>
  </si>
  <si>
    <t>РЫБПРОМИНВЕСТ ИЛИ АО РПИ, АО</t>
  </si>
  <si>
    <t>РЭ, АО</t>
  </si>
  <si>
    <t>РЭИН, АО</t>
  </si>
  <si>
    <t>РЭЙД-21, ООО</t>
  </si>
  <si>
    <t>РЭЙЛ ПРО, ООО</t>
  </si>
  <si>
    <t>РЭЙЛТЕХ, ООО</t>
  </si>
  <si>
    <t>РЭК, ООО</t>
  </si>
  <si>
    <t>РЭМЗ, ООО</t>
  </si>
  <si>
    <t>РЭПХ, АО</t>
  </si>
  <si>
    <t>РЭС, АО</t>
  </si>
  <si>
    <t>РЭСК, ПАО</t>
  </si>
  <si>
    <t>РЭТ, АО</t>
  </si>
  <si>
    <t>РЯБИНОВОЕ, ООО</t>
  </si>
  <si>
    <t>РЯЗАНСКИЕ КОМБИКОРМА, ООО</t>
  </si>
  <si>
    <t>РЯЗАНСКИЙ, ООО АМК</t>
  </si>
  <si>
    <t>РЯЗАНЬАВТОДОР, АО</t>
  </si>
  <si>
    <t>РЯЗАНЬАГРОХИМ, ООО</t>
  </si>
  <si>
    <t>С 7 ИНЖИНИРИНГ, ООО</t>
  </si>
  <si>
    <t>С 7 ТРЭВЕЛ РИТЭЙЛ, ООО</t>
  </si>
  <si>
    <t>С-ВИТЯЗЬ, ООО</t>
  </si>
  <si>
    <t>С-ДОК, АО</t>
  </si>
  <si>
    <t>С-ИМПОРТС, ООО</t>
  </si>
  <si>
    <t>С-МАРКЕТ, ООО</t>
  </si>
  <si>
    <t>С-МАРКЕТИНГ, ООО</t>
  </si>
  <si>
    <t>С.О.В.А., ООО</t>
  </si>
  <si>
    <t>СЁРКЛ КЕЙ РОССИЯ, ООО</t>
  </si>
  <si>
    <t>САБОН, ООО</t>
  </si>
  <si>
    <t>САД-ГИГАНТ, АО</t>
  </si>
  <si>
    <t>САДАКОЙЛ, ООО</t>
  </si>
  <si>
    <t>САДОВАЯ ТЕХНИКА И ИНСТРУМЕНТЫ, ООО</t>
  </si>
  <si>
    <t>САДОВОЕ КОЛЬЦО, АО</t>
  </si>
  <si>
    <t>САДЫ ПРИДОНЬЯ, АО</t>
  </si>
  <si>
    <t>САЛАВАТИНВЕСТ, ООО</t>
  </si>
  <si>
    <t>САЛАВАТСТЕКЛО, АО</t>
  </si>
  <si>
    <t>САЛАВАТСТРОЙТЭК, АО</t>
  </si>
  <si>
    <t>САЛЕХАРДЭНЕРГО, АО</t>
  </si>
  <si>
    <t>САЛЬЯН, ООО</t>
  </si>
  <si>
    <t>САЛЮТ-ТОРГ, ООО</t>
  </si>
  <si>
    <t>САЛЮТДЕВАЙСЫ, ООО</t>
  </si>
  <si>
    <t>САМАРА-ВЭМ, АО</t>
  </si>
  <si>
    <t>САМАРААГРОПРОМПЕРЕРАБОТКА, АО</t>
  </si>
  <si>
    <t>САМАРАТРАНССТРОЙ, ООО</t>
  </si>
  <si>
    <t>САМАРАЭНЕРГО, ПАО</t>
  </si>
  <si>
    <t>САМАРСКИЕ КОММУНАЛЬНЫЕ СИСТЕМЫ, ООО</t>
  </si>
  <si>
    <t>САМАРСКИЙ СТРОЙФАРФОР, ООО</t>
  </si>
  <si>
    <t>САМГЭС, АО</t>
  </si>
  <si>
    <t>САМОЛЕТ-СЕРВИС, ООО</t>
  </si>
  <si>
    <t>САМОТЛОР ТРАКТ, ООО</t>
  </si>
  <si>
    <t>САМСУНГ ЭЛЕКТРОНИКС РУС КАЛУГА, ООО</t>
  </si>
  <si>
    <t>САН КЕМИКЭЛ, АО</t>
  </si>
  <si>
    <t>Т ПЛЮС, ПАО</t>
  </si>
  <si>
    <t>САНАМ ПРО, ООО</t>
  </si>
  <si>
    <t>САНАТОРИЙ ЗАПОЛЯРЬЕ, ООО</t>
  </si>
  <si>
    <t>САНДВИК МАЙНИНГ ЭНД КОНСТРАКШН СНГ, ООО</t>
  </si>
  <si>
    <t>САНДОЗ, АО</t>
  </si>
  <si>
    <t>САНИМПЕКС, ООО</t>
  </si>
  <si>
    <t>САНИТА САНТЕХНИКА, ООО</t>
  </si>
  <si>
    <t>САНКТ-ПЕТЕРБУРГСКАЯ КУРИНАЯ КОМПАНИЯ, ООО</t>
  </si>
  <si>
    <t>САНЛАЙТ ЭНЕРДЖИ, ООО</t>
  </si>
  <si>
    <t>САНОФИ РОССИЯ, АО</t>
  </si>
  <si>
    <t>ОДИНЦОВСКАЯ ТЕПЛОСЕТЬ, АО</t>
  </si>
  <si>
    <t>САНТЕЛ, ООО</t>
  </si>
  <si>
    <t>САНТЕХКОМПЛЕКТ, ООО</t>
  </si>
  <si>
    <t>САНТЕХНИКА-ОНЛАЙН, ООО</t>
  </si>
  <si>
    <t>САНТОР, ООО</t>
  </si>
  <si>
    <t>САП СНГ, ООО</t>
  </si>
  <si>
    <t>САРАНСККАБЕЛЬ, ООО</t>
  </si>
  <si>
    <t>САРАТОВОРГСИНТЕЗ, ООО</t>
  </si>
  <si>
    <t>САРАТОВСКИЙ МПК РЕСУРС, ООО</t>
  </si>
  <si>
    <t>САРАТОВЭНЕРГО, ПАО</t>
  </si>
  <si>
    <t>САРИЯ БИО-ИНДАСТРИС ВОЛГА, ООО</t>
  </si>
  <si>
    <t>САРМИЧ, ООО СЗ</t>
  </si>
  <si>
    <t>САРТОРИУС СТЕДИМ РУС, ООО</t>
  </si>
  <si>
    <t>САСКО-НАВИГАТОР, АО</t>
  </si>
  <si>
    <t>САТ, ООО</t>
  </si>
  <si>
    <t>САТЕЛЛИТ, ООО</t>
  </si>
  <si>
    <t>СЗ ПРИГОРОД ЛЕСНОЕ, ООО</t>
  </si>
  <si>
    <t>САТУРН-Р-АВТО, ООО</t>
  </si>
  <si>
    <t>САФ-НЕВА, ООО</t>
  </si>
  <si>
    <t>САФЬЯНОВСКАЯ МЕДЬ, АО</t>
  </si>
  <si>
    <t>САХАЛИН ДВОПТ, ООО</t>
  </si>
  <si>
    <t>САХАЛИН ЛИЗИНГ ФЛОТ, АО</t>
  </si>
  <si>
    <t>САХАЛИН-ИНЖИНИРИНГ, АО</t>
  </si>
  <si>
    <t>САХАЛИН-ШЕЛЬФ-СЕРВИС, СП ООО</t>
  </si>
  <si>
    <t>САХАЛИНЭНЕРГО, ПАО</t>
  </si>
  <si>
    <t>САХАНЕФТЕГАЗСБЫТ, АО</t>
  </si>
  <si>
    <t>САХАРНЫЙ ЗАВОД СВОБОДА, АО</t>
  </si>
  <si>
    <t>САХАРНЫЙ КОМБИНАТ КОЛПНЯНСКИЙ, ООО</t>
  </si>
  <si>
    <t>САХАРНЫЙ КОМБИНАТ ТИХОРЕЦКИЙ, ЗАО</t>
  </si>
  <si>
    <t>САХАТРАНСНЕФТЕГАЗ, АО</t>
  </si>
  <si>
    <t>САХАЭНЕРГО, АО</t>
  </si>
  <si>
    <t>САХКОМСТРОЙ, ООО</t>
  </si>
  <si>
    <t>САХМП, ОАО</t>
  </si>
  <si>
    <t>САЯНМОЛОКО, ООО</t>
  </si>
  <si>
    <t>САЯНСКИЙ БРОЙЛЕР, ООО</t>
  </si>
  <si>
    <t>САЯНСКХИМПЛАСТ, АО</t>
  </si>
  <si>
    <t>СБ БЛАГОСОСТОЯНИЕ, ООО</t>
  </si>
  <si>
    <t>СБ ЛОГИСТИК, ООО</t>
  </si>
  <si>
    <t>СБ ФИНАНС ХОЛДИНГ, ООО</t>
  </si>
  <si>
    <t>СБД, ООО</t>
  </si>
  <si>
    <t>СБЕРБАНК ФАКТОРИНГ, ООО</t>
  </si>
  <si>
    <t>СБЕРБАНК-СЕРВИС, ООО</t>
  </si>
  <si>
    <t>СБЕРБАНК-ФИНАНС, ООО</t>
  </si>
  <si>
    <t>СБЕРКЛЮЧ, ООО</t>
  </si>
  <si>
    <t>СБЕРЛОГИСТИКА, ООО</t>
  </si>
  <si>
    <t>СБЕРТЕХ, АО</t>
  </si>
  <si>
    <t>СБСВ-КЛЮЧАВТО ОЛИМП, ООО</t>
  </si>
  <si>
    <t>СБТ, ООО</t>
  </si>
  <si>
    <t>СБТ-АЛЬЯНС, ООО</t>
  </si>
  <si>
    <t>СБТ-СТРОЙ, ООО</t>
  </si>
  <si>
    <t>СБЫТЭНЕРГО, ООО</t>
  </si>
  <si>
    <t>СВ РИТЕЙЛ, ООО</t>
  </si>
  <si>
    <t>СВАРГО ГРУПП, ООО</t>
  </si>
  <si>
    <t>СВГК, ООО</t>
  </si>
  <si>
    <t>СВЕЗА ВЕРХНЯЯ СИНЯЧИХА, НАО</t>
  </si>
  <si>
    <t>СВЕЗА КОСТРОМА, НАО</t>
  </si>
  <si>
    <t>СВЕЗА УРАЛЬСКИЙ, ООО</t>
  </si>
  <si>
    <t>СВЕЗА УСТЬ-ИЖОРА, НАО</t>
  </si>
  <si>
    <t>СВЕЗА-ЛЕС, ООО</t>
  </si>
  <si>
    <t>СВЕРДЛОВСКАВТОДОР, АО</t>
  </si>
  <si>
    <t>СВЕТ ЭНЕРГИЯ, ООО</t>
  </si>
  <si>
    <t>СВЕТ, АО</t>
  </si>
  <si>
    <t>СВЕТЛОЕ, ООО</t>
  </si>
  <si>
    <t>СВЕТЛЫЙ ПУТЬ, ООО</t>
  </si>
  <si>
    <t>СВЕТОГОРСКИЙ ЦБК, НПАО</t>
  </si>
  <si>
    <t>СИБАГРОПРОМСТРОЙ, АО</t>
  </si>
  <si>
    <t>СВИНОКОМПЛЕКС КАЛИНОВСКИЙ, ООО</t>
  </si>
  <si>
    <t>СВИНОКОМПЛЕКС КРАСНОЯРСКИЙ, АО</t>
  </si>
  <si>
    <t>СВИНОКОМПЛЕКС УРАЛЬСКИЙ, АО</t>
  </si>
  <si>
    <t>СВИСС КРОНО, ООО</t>
  </si>
  <si>
    <t>СВИТ ЛАЙФ ФУДСЕРВИС, ООО</t>
  </si>
  <si>
    <t>СВИФТ-РУС, ООО</t>
  </si>
  <si>
    <t>СВЛОГРУС, ООО</t>
  </si>
  <si>
    <t>СВОБОДНЕНСКАЯ ТЭС, ООО</t>
  </si>
  <si>
    <t>СВОТЧ ГРУП (РУС), ООО</t>
  </si>
  <si>
    <t>СВС, ООО</t>
  </si>
  <si>
    <t>СВС-АГРО, ООО</t>
  </si>
  <si>
    <t>СВСЭСС, ООО</t>
  </si>
  <si>
    <t>СВЯЗЬ-ТЕЛЕКОМ, ООО</t>
  </si>
  <si>
    <t>СВЯЗЬСТРОЙДЕТАЛЬ, ООО ТД</t>
  </si>
  <si>
    <t>СВЯЗЬТРАНСНЕФТЬ, АО</t>
  </si>
  <si>
    <t>СВЯТОГОР, АО</t>
  </si>
  <si>
    <t>СГ-ТРАНС, АО</t>
  </si>
  <si>
    <t>СГК, ООО</t>
  </si>
  <si>
    <t>СГМК, АО</t>
  </si>
  <si>
    <t>СГТ-ВОСТОК, ООО</t>
  </si>
  <si>
    <t>СГЭС, ООО</t>
  </si>
  <si>
    <t>СД РУС, ООО</t>
  </si>
  <si>
    <t>СДЕЛАЙ СВОИМИ РУКАМИ СЕВЕРО-ЗАПАД, ООО</t>
  </si>
  <si>
    <t>СДЕЛАЙ СВОИМИ РУКАМИ, ООО</t>
  </si>
  <si>
    <t>СДС-СТРОЙ, ООО</t>
  </si>
  <si>
    <t>СДС-ТРЕЙД, ООО ТД</t>
  </si>
  <si>
    <t>СДС-УГОЛЬ, АО ХК</t>
  </si>
  <si>
    <t>СДС-ФУДС, ООО</t>
  </si>
  <si>
    <t>СДФ, ООО</t>
  </si>
  <si>
    <t>СДЭК-ГЛОБАЛ, ООО</t>
  </si>
  <si>
    <t>СЕАЛ, ООО</t>
  </si>
  <si>
    <t>СЕБРЯКОВЦЕМЕНТ, АО</t>
  </si>
  <si>
    <t>СЕВА САНТЕ АНИМАЛЬ, ООО</t>
  </si>
  <si>
    <t>СЕВЕНТЕХ, ООО</t>
  </si>
  <si>
    <t>СЕВЕР МИНЕРАЛС, АО</t>
  </si>
  <si>
    <t>СЕВЕР, ООО</t>
  </si>
  <si>
    <t>СЕВЕР-СКАН АВТО, ООО</t>
  </si>
  <si>
    <t>СЕВЕРАЛМАЗ, АО</t>
  </si>
  <si>
    <t>СЕВЕРМАШ, АО ПО</t>
  </si>
  <si>
    <t>СЕВЕРНАЯ КАРОЛИНА ФАРМА, ООО</t>
  </si>
  <si>
    <t>СЕВЕРНЕФТЕГАЗПРОМ, ОАО</t>
  </si>
  <si>
    <t>СЕВЕРНОЕ ЗОЛОТО, ООО</t>
  </si>
  <si>
    <t>СЕВЕРНОЕ МОЛОКО, ОАО</t>
  </si>
  <si>
    <t>СЕВЕРНЫЙ ВЕТЕР, ООО</t>
  </si>
  <si>
    <t>СЕВЕРНЫЙ ПУТЬ, ООО</t>
  </si>
  <si>
    <t>СЕВЕРО-ВОСТОЧНОЕ ДСУ, ГУП ДХ АК</t>
  </si>
  <si>
    <t>РОССЕТИ ЦИФРА, АО</t>
  </si>
  <si>
    <t>СЕВЕРО-ЗАПАДНЫЙ, ООО</t>
  </si>
  <si>
    <t>СЕВКАВРЕНТГЕН-Д, ООО</t>
  </si>
  <si>
    <t>СЕВЛЕСПИЛ, ООО</t>
  </si>
  <si>
    <t>СЕВНОР МЕНЕДЖМЕНТ, ООО</t>
  </si>
  <si>
    <t>СЕВЭНЕРГОСБЫТ, ООО</t>
  </si>
  <si>
    <t>СЕГЕЖА ГРУПП, ПАО</t>
  </si>
  <si>
    <t>СЕГЕЖСКАЯ УПАКОВКА, ООО</t>
  </si>
  <si>
    <t>СЕГЕЖСКИЙ ЦБК, АО</t>
  </si>
  <si>
    <t>СЕДРУС, ООО</t>
  </si>
  <si>
    <t>СЕЗОННАЯ КОЛЛЕКЦИЯ, ООО</t>
  </si>
  <si>
    <t>СЕКВОЙЯ, ООО</t>
  </si>
  <si>
    <t>СЕЛАНИКАР, ООО</t>
  </si>
  <si>
    <t>СЕЛДИКО, ООО</t>
  </si>
  <si>
    <t>СЕЛЕКТ, ООО</t>
  </si>
  <si>
    <t>СЕЛЕКТЕЛ, ООО</t>
  </si>
  <si>
    <t>СЕЛЕНА ВОСТОК, ООО</t>
  </si>
  <si>
    <t>СЕЛЕНГИНСКИЙ ЦКК, ОАО</t>
  </si>
  <si>
    <t>САКУРА, ООО</t>
  </si>
  <si>
    <t>СЕЛТИНГ, ООО</t>
  </si>
  <si>
    <t>СЕЛЬТА, ООО</t>
  </si>
  <si>
    <t>СЕМАКС МЕТАЛЛ, ООО</t>
  </si>
  <si>
    <t>СЕМЕЙНАЯ АПТЕКА АПРЕЛЬ, ООО</t>
  </si>
  <si>
    <t>СЕМЕЙНЫЙ ДОКТОР, АО</t>
  </si>
  <si>
    <t>СЕМЕЙНЫЙ ОТДЫХ, ООО</t>
  </si>
  <si>
    <t>СЕМУШКА, ООО</t>
  </si>
  <si>
    <t>СЕНГИЛЕЕВСКИЙ ЦЕМЕНТНЫЙ ЗАВОД, ООО</t>
  </si>
  <si>
    <t>СЕНТЯБРЬ, ООО</t>
  </si>
  <si>
    <t>СЕРВИКО, ООО</t>
  </si>
  <si>
    <t>СЕРВИОНИКА, ООО</t>
  </si>
  <si>
    <t>СЕРВИС ПЛЮС, ООО</t>
  </si>
  <si>
    <t>СЕРВИС ЦЕНТР ЭПУ, ООО</t>
  </si>
  <si>
    <t>СЕРВИС-ИНТЕГРАТОР, ООО</t>
  </si>
  <si>
    <t>СЕРВИС-НЕДВИЖИМОСТЬ, АО</t>
  </si>
  <si>
    <t>СЕРВИС-ТЕЛЕМАТИКА, ООО</t>
  </si>
  <si>
    <t>СЗТК, АО</t>
  </si>
  <si>
    <t>СЕРВИСНЫЙ ЦЕНТР СБМ, ООО</t>
  </si>
  <si>
    <t>СЕРВИССНАБ, ООО</t>
  </si>
  <si>
    <t>СЕРВОЛЮКС ВОСТОК, ООО</t>
  </si>
  <si>
    <t>СЕРВЬЕ, АО</t>
  </si>
  <si>
    <t>СЕРЕБРО МАГАДАНА, АО</t>
  </si>
  <si>
    <t>СЕРЕБРЯНСКИЙ ЦЕМЕНТНЫЙ ЗАВОД, ООО</t>
  </si>
  <si>
    <t>СЕРОВТЕХСТАЛЬ, ООО ТД</t>
  </si>
  <si>
    <t>СЕРТЭКС СПБ, ООО</t>
  </si>
  <si>
    <t>СЕТЕВАЯ КОМПАНИЯ, АО</t>
  </si>
  <si>
    <t>СЕТЬ СВЯЗНОЙ, ООО</t>
  </si>
  <si>
    <t>СЖС ВОСТОК ЛИМИТЕД, АО</t>
  </si>
  <si>
    <t>СЗ БУХТА ЛЭНД, ООО</t>
  </si>
  <si>
    <t>СЗ ИСК БУДМАР, ООО</t>
  </si>
  <si>
    <t>СЗ ККПД-ИНВЕСТ, ООО</t>
  </si>
  <si>
    <t>СЗ ЛСР. НЕДВИЖИМОСТЬ-М, АО</t>
  </si>
  <si>
    <t>СЗ ЛСР. ОБЪЕКТ-М, ООО</t>
  </si>
  <si>
    <t>СЗ НОВЫЙ ГОРИЗОНТ, АО</t>
  </si>
  <si>
    <t>СЗ НОВЫЙ ГОРОД, ООО</t>
  </si>
  <si>
    <t>СЗ САМОЛЕТ ДЕВЕЛОПМЕНТ, ООО</t>
  </si>
  <si>
    <t>СЗ СТРОЙКОМ, ООО</t>
  </si>
  <si>
    <t>СЗ УЭЗ, АО</t>
  </si>
  <si>
    <t>СЗ ФОНД ЖИЛИЩНОГО СТРОИТЕЛЬСТВА, ООО</t>
  </si>
  <si>
    <t>СЗ, АО</t>
  </si>
  <si>
    <t>СЗ-3 ЮСИ КУБАНЬ, ООО</t>
  </si>
  <si>
    <t>СЗ-ПОТОК, ООО</t>
  </si>
  <si>
    <t>СЗКК, ООО</t>
  </si>
  <si>
    <t>СЗЛ, ОАО</t>
  </si>
  <si>
    <t>СЗППК, АО</t>
  </si>
  <si>
    <t>СЗССП, АО</t>
  </si>
  <si>
    <t>СЗТК, ООО</t>
  </si>
  <si>
    <t>ТЕХНОЛОГИИ ДОВЕРИЯ-КОНСУЛЬТИРОВАНИЕ, ООО</t>
  </si>
  <si>
    <t>СЗУ ОМТ, ООО</t>
  </si>
  <si>
    <t>СЗФ, АО</t>
  </si>
  <si>
    <t>СЗФК, АО</t>
  </si>
  <si>
    <t>СЗЭМК, ООО</t>
  </si>
  <si>
    <t>СИ МОТОРС, ООО</t>
  </si>
  <si>
    <t>СИ ЭН ЖИ ЭС ИНЖЕНИРИНГ, ООО</t>
  </si>
  <si>
    <t>СИ ЭС СИ ЛТД, ООО</t>
  </si>
  <si>
    <t>СИАЛЬ, ООО</t>
  </si>
  <si>
    <t>СИАР ТРЕЙДИНГ, ООО</t>
  </si>
  <si>
    <t>СИАРСИСИ РУС, ООО</t>
  </si>
  <si>
    <t>СИБ-ДАМЕЛЬ, ООО</t>
  </si>
  <si>
    <t>СИБАГРО ТРЕЙД, ООО</t>
  </si>
  <si>
    <t>СИБАГРО, АО</t>
  </si>
  <si>
    <t>СИБАГРО, ООО МСК</t>
  </si>
  <si>
    <t>СИББУРМАШ, ООО ППН</t>
  </si>
  <si>
    <t>СЗ Р-СТРОЙ, ООО</t>
  </si>
  <si>
    <t>СИБИАР, АО</t>
  </si>
  <si>
    <t>СЗ КАРЬЕРОУПРАВЛЕНИЕ, ООО</t>
  </si>
  <si>
    <t>СИБИРСКАЯ ГЕНЕРИРУЮЩАЯ КОМПАНИЯ, ООО</t>
  </si>
  <si>
    <t>СИБИРСКАЯ КОНЦЕССИОННАЯ КОМПАНИЯ, ООО</t>
  </si>
  <si>
    <t>СИБИРСКАЯ НИВА, ООО</t>
  </si>
  <si>
    <t>СИБИРСКАЯ ОЛИВА, ООО</t>
  </si>
  <si>
    <t>СИБИРСКИЕ КОЛБАСЫ, ООО</t>
  </si>
  <si>
    <t>СИБИРСКИЙ ГУРМАН-НОВОСИБИРСК, ООО</t>
  </si>
  <si>
    <t>СИБИРСКИЙ ПРОДУКТ, ООО</t>
  </si>
  <si>
    <t>СИБИРСКИЙ РЕГИОН, ООО ТК</t>
  </si>
  <si>
    <t>СИБИРЬ-ПОЛИМЕТАЛЛЫ, АО</t>
  </si>
  <si>
    <t>СОВКОМБАНК ТЕХНОЛОГИИ, ООО</t>
  </si>
  <si>
    <t>СИБИРЬ-ТРЕЙД, ООО</t>
  </si>
  <si>
    <t>СИБИРЬЛЕС, ООО</t>
  </si>
  <si>
    <t>СИБИРЬЭНЕРГОТРЕЙД, ООО</t>
  </si>
  <si>
    <t>СИБИРЯК, ООО УСК</t>
  </si>
  <si>
    <t>СИБКАБЕЛЬ, АО</t>
  </si>
  <si>
    <t>СИБКОМСЕЛЬМАШ, ООО</t>
  </si>
  <si>
    <t>СИБМЕТ, ООО</t>
  </si>
  <si>
    <t>СИБМЕТСНАБ, ООО</t>
  </si>
  <si>
    <t>СИБМОЛ, ООО</t>
  </si>
  <si>
    <t>СИБНА, ООО</t>
  </si>
  <si>
    <t>СИБНЕФТЕМАШ, АО</t>
  </si>
  <si>
    <t>СЗ ДСК, АО</t>
  </si>
  <si>
    <t>СИБНЕФТЕХИМТРЕЙД, ООО</t>
  </si>
  <si>
    <t>СИБОЙЛ, ООО</t>
  </si>
  <si>
    <t>ГОРЭЛЕКТРОТРАНС, СПБ ГУП</t>
  </si>
  <si>
    <t>СИБОЛЕУМ, АО</t>
  </si>
  <si>
    <t>СИБПРОДЦЕНТР, ООО</t>
  </si>
  <si>
    <t>СИБПРОМ БУНКЕР, ООО</t>
  </si>
  <si>
    <t>СИБПРОМ, ООО</t>
  </si>
  <si>
    <t>СИБПРОМСТРОЙ, ООО ДСК</t>
  </si>
  <si>
    <t>СИБСАХАР, ООО</t>
  </si>
  <si>
    <t>СИБСТЕКЛО, ООО</t>
  </si>
  <si>
    <t>СИБУГОЛЬ, ООО</t>
  </si>
  <si>
    <t>СИБУР ДИДЖИТАЛ, ООО</t>
  </si>
  <si>
    <t>СИБУР, ООО</t>
  </si>
  <si>
    <t>СИБУР-НЕФТЕХИМ, АО</t>
  </si>
  <si>
    <t>СИБУР-ХИМПРОМ, АО</t>
  </si>
  <si>
    <t>СИБУРТЮМЕНЬГАЗ, АО</t>
  </si>
  <si>
    <t>СИБУРЭНЕРГОМЕНЕДЖМЕНТ, АО</t>
  </si>
  <si>
    <t>СИБЭКО, АО</t>
  </si>
  <si>
    <t>СИБЭНЕРГОУГОЛЬ, ООО</t>
  </si>
  <si>
    <t>СИБЭР, АО</t>
  </si>
  <si>
    <t>СИГМА МАРИН ТЕХНОЛОДЖИ, ООО</t>
  </si>
  <si>
    <t>СИГМА ХОЛДИНГ, ООО</t>
  </si>
  <si>
    <t>СИГМА, АО</t>
  </si>
  <si>
    <t>СИГМА, ООО</t>
  </si>
  <si>
    <t>СИГМА, ООО ТД</t>
  </si>
  <si>
    <t>СИГНИФАЙ ЕВРАЗИЯ, ООО</t>
  </si>
  <si>
    <t>СИЛД ЭЙР КАУСТИК, АО</t>
  </si>
  <si>
    <t>СИЛК ВЭЙ, ООО</t>
  </si>
  <si>
    <t>СИЛКВЕЙ, ООО</t>
  </si>
  <si>
    <t>СИЛУЭТ, ООО ПКФ</t>
  </si>
  <si>
    <t>СИЛЬВЕР-АВТО ГРУПП, ООО</t>
  </si>
  <si>
    <t>СИМА-ЛЕНД, ООО ТД</t>
  </si>
  <si>
    <t>СИМАМАРТ, ООО</t>
  </si>
  <si>
    <t>СИМАОПТ, ООО</t>
  </si>
  <si>
    <t>СИМБАТ, ООО</t>
  </si>
  <si>
    <t>СИМБИО, ООО</t>
  </si>
  <si>
    <t>СИМБИРСОФТ, ООО</t>
  </si>
  <si>
    <t>СИМЕНС ЗДРАВООХРАНЕНИЕ, ООО</t>
  </si>
  <si>
    <t>СИМЕНС МОБИЛЬНОСТЬ, ООО</t>
  </si>
  <si>
    <t>СИМЕНС, ООО</t>
  </si>
  <si>
    <t>СИМОСТ, ООО</t>
  </si>
  <si>
    <t>СИМПЛ, ООО КОМПАНИЯ</t>
  </si>
  <si>
    <t>СИМПЛЕКС, ООО НПП</t>
  </si>
  <si>
    <t>СИМРАЙЗ РОГОВО, ООО</t>
  </si>
  <si>
    <t>СИМТЭК, ООО</t>
  </si>
  <si>
    <t>СИНАРА-ДЕВЕЛОПМЕНТ, АО</t>
  </si>
  <si>
    <t>СИНАРАПРОМТРАНС, ООО</t>
  </si>
  <si>
    <t>СИНАРАСТРОЙКОМПЛЕКТ, ООО</t>
  </si>
  <si>
    <t>СИНГЕНТА, ООО</t>
  </si>
  <si>
    <t>СИНЕМА ПАРК, АО</t>
  </si>
  <si>
    <t>СИНЕРГЕТИК, ООО</t>
  </si>
  <si>
    <t>СИНЕРГИЯ ОЙЛ ГРУПП, ООО</t>
  </si>
  <si>
    <t>СИНЕРГИЯ, УНИВЕРСИТЕТ</t>
  </si>
  <si>
    <t>РАЗРЕЗ ТАЛТЭК, ООО</t>
  </si>
  <si>
    <t>СИНТЕЗ-РЕСУРС, ООО</t>
  </si>
  <si>
    <t>СИНТЕК, ООО</t>
  </si>
  <si>
    <t>СИНТЗ, АО</t>
  </si>
  <si>
    <t>СИНТО, ООО</t>
  </si>
  <si>
    <t>СИРЕНА-ТРЭВЕЛ, АО</t>
  </si>
  <si>
    <t>СИРЕНЦ ГЛОБАЛ МЕРЧАНТС ВОСТОК, ООО</t>
  </si>
  <si>
    <t>СИСКО СОЛЮШЕНЗ, ООО</t>
  </si>
  <si>
    <t>СИСМЕКС РУС, ООО</t>
  </si>
  <si>
    <t>СИСТЕМА ПБО, ООО</t>
  </si>
  <si>
    <t>СИСТЕМА ПЛЮС, АО</t>
  </si>
  <si>
    <t>СИСТЕМА ТЕЛЕКОМ АКТИВЫ, ООО</t>
  </si>
  <si>
    <t>СИСТЕМА, АО</t>
  </si>
  <si>
    <t>СИСТЕМА, ПАО АФК</t>
  </si>
  <si>
    <t>СИСТЕМА-К, ООО</t>
  </si>
  <si>
    <t>СИСТЕМНЫЙ СОФТ, ООО</t>
  </si>
  <si>
    <t>СИСТЕМОТЕХНИКА, ООО</t>
  </si>
  <si>
    <t>СИСТЕМЫ ГАЗОВОЙ АВТОМАТИКИ, ООО</t>
  </si>
  <si>
    <t>СИТИ XXI ВЕК, ООО</t>
  </si>
  <si>
    <t>СИТИ КЛИМАТ, ООО</t>
  </si>
  <si>
    <t>СИТИ РЕСТОРАНТС, ООО</t>
  </si>
  <si>
    <t>СИТИ СТРОЙ, ООО</t>
  </si>
  <si>
    <t>СИТИЛИНК, ООО</t>
  </si>
  <si>
    <t>СИТИМАТИК, АО</t>
  </si>
  <si>
    <t>СИТИСТРОЙ-МО, ООО</t>
  </si>
  <si>
    <t>СИТИЭНЕРГО, ООО</t>
  </si>
  <si>
    <t>СИТРАС, ООО</t>
  </si>
  <si>
    <t>СИТРОНИКС, АО</t>
  </si>
  <si>
    <t>СИФУД ИНДАСТРИЗ, ООО</t>
  </si>
  <si>
    <t>СИЭНЭЙЧ ИНДАСТРИАЛ РУССИЯ, ООО</t>
  </si>
  <si>
    <t>СК №1, ООО</t>
  </si>
  <si>
    <t>СК АВТОДОР, ООО</t>
  </si>
  <si>
    <t>СК АЛТАЙКРАЙЭНЕРГО, АО</t>
  </si>
  <si>
    <t>СК АЛЬФА-ГРУПП, ООО</t>
  </si>
  <si>
    <t>СК БИТЭКС, АО</t>
  </si>
  <si>
    <t>СК БСФ, АО</t>
  </si>
  <si>
    <t>СК ДАЛЬПИТЕРСТРОЙ, ООО</t>
  </si>
  <si>
    <t>СК ЕВРОМОНОЛИТ, ООО</t>
  </si>
  <si>
    <t>СК ИНВЕСТКАПИТАЛ, ООО</t>
  </si>
  <si>
    <t>СК КАМЕНКА, ООО</t>
  </si>
  <si>
    <t>СК КОРОЧА, ЗАО</t>
  </si>
  <si>
    <t>СК КРОНОС, ООО</t>
  </si>
  <si>
    <t>СК ЛЕНИНГРАДСКИЙ, ЗАО</t>
  </si>
  <si>
    <t>СК ЛИДЕР, ООО</t>
  </si>
  <si>
    <t>СК МОСТ, АО</t>
  </si>
  <si>
    <t>СК МЫ-ЗА!, ООО</t>
  </si>
  <si>
    <t>СК НАСЛЕДИЕ, ООО</t>
  </si>
  <si>
    <t>СК ОРИОН ПЛЮС, ООО</t>
  </si>
  <si>
    <t>СК ПЕТРОАЛЬЯНС, ООО</t>
  </si>
  <si>
    <t>СК РУСВЕЛДИНГ, ООО</t>
  </si>
  <si>
    <t>СК РУСВЬЕТПЕТРО, ООО</t>
  </si>
  <si>
    <t>СК РЫБА, ООО</t>
  </si>
  <si>
    <t>СК СЕВЕРНАЯ ГАВАНЬ, ООО</t>
  </si>
  <si>
    <t>СК СУ, ФГУП</t>
  </si>
  <si>
    <t>СК ТРАНЗИТ-СВ, ООО</t>
  </si>
  <si>
    <t>СК ТРЕЙД, ООО</t>
  </si>
  <si>
    <t>СК ФЛАН-М, АО</t>
  </si>
  <si>
    <t>СК ХИМСПЕЦСТРОЙ, ООО</t>
  </si>
  <si>
    <t>СК ЭВЕРЕСТ, ООО</t>
  </si>
  <si>
    <t>СК, ООО</t>
  </si>
  <si>
    <t>СК-68, ООО</t>
  </si>
  <si>
    <t>СК-ТРЕЙД, ООО</t>
  </si>
  <si>
    <t>СКА, ООО</t>
  </si>
  <si>
    <t>СКАДАР, ООО</t>
  </si>
  <si>
    <t>СКАЕНГ, ОАНО ДПО</t>
  </si>
  <si>
    <t>СКАЙФУД, ООО</t>
  </si>
  <si>
    <t>СКАЛА, ООО</t>
  </si>
  <si>
    <t>СКАЛА-Р, ООО</t>
  </si>
  <si>
    <t>СКАНДОЙЛ М, ООО</t>
  </si>
  <si>
    <t>СКАНИЯ ЛИЗИНГ, ООО</t>
  </si>
  <si>
    <t>СКАРТЕЛ, ООО</t>
  </si>
  <si>
    <t>СКИДКИНО, ООО</t>
  </si>
  <si>
    <t>СКИЛБОКС, ООО</t>
  </si>
  <si>
    <t>СКК, АО</t>
  </si>
  <si>
    <t>СКЛ, ООО</t>
  </si>
  <si>
    <t>СКЛР, ООО</t>
  </si>
  <si>
    <t>СКОЛКОВО, МОСКОВСКАЯ ШКОЛА УПРАВЛЕНИЯ</t>
  </si>
  <si>
    <t>СКОПИНФАРМ, ООО</t>
  </si>
  <si>
    <t>СКП ТАТНЕФТЬ-АК БАРС, ООО</t>
  </si>
  <si>
    <t>СКС ДОЛИНА, ООО</t>
  </si>
  <si>
    <t>СКС, ООО</t>
  </si>
  <si>
    <t>СКФ АРКТИКА, ООО</t>
  </si>
  <si>
    <t>СКФ ШЕЛЬФ, ООО</t>
  </si>
  <si>
    <t>СКХ, ООО</t>
  </si>
  <si>
    <t>СКЦ, АО</t>
  </si>
  <si>
    <t>СКЭК, ОАО</t>
  </si>
  <si>
    <t>СЛАВКОМ, ООО</t>
  </si>
  <si>
    <t>СЛАВКОФЕ, ООО</t>
  </si>
  <si>
    <t>СЛАВЯНКА-СНАБ, ООО</t>
  </si>
  <si>
    <t>СЛАВЯНКА-ТОРГ, ООО</t>
  </si>
  <si>
    <t>СЛАВЯНСК ЭКО, ООО</t>
  </si>
  <si>
    <t>СЗ САМОЛЕТ-ТОМИЛИНО, ООО</t>
  </si>
  <si>
    <t>СЛАВЯНСКИЙ КОНСЕРВНЫЙ КОМБИНАТ, ООО</t>
  </si>
  <si>
    <t>СЛАДКАЯ ЖИЗНЬ Н.Н., ООО</t>
  </si>
  <si>
    <t>СЛАДКАЯ ЖИЗНЬ ПЛЮС, ООО</t>
  </si>
  <si>
    <t>СЛАДКАЯ СЛОБОДА, ООО</t>
  </si>
  <si>
    <t>СЛАДКИЙ ОРЕШЕК, ООО</t>
  </si>
  <si>
    <t>СЛАДКОВСКО-ЗАРЕЧНОЕ, ООО</t>
  </si>
  <si>
    <t>СЛАДОНЕЖ, ОАО</t>
  </si>
  <si>
    <t>СЛК ЦЕМЕНТ, ООО</t>
  </si>
  <si>
    <t>СПЕЦИАЛИЗИРОВАННЫЙ ЗАСТРОЙЩИК ЛИХОБОРЫ, ООО</t>
  </si>
  <si>
    <t>СЛЦ ТМ, ООО</t>
  </si>
  <si>
    <t>СМ-ИНЖ, ООО</t>
  </si>
  <si>
    <t>СМ-ЛОГИСТИК, ООО</t>
  </si>
  <si>
    <t>СМ-СТ, ООО</t>
  </si>
  <si>
    <t>СМАЙНЭКС КОНСТРАКШН, ООО</t>
  </si>
  <si>
    <t>СМАК, АО</t>
  </si>
  <si>
    <t>СМАРТ КОНСТРАКШН, ООО</t>
  </si>
  <si>
    <t>СМАРТ КОНТЕЙНЕР, ООО</t>
  </si>
  <si>
    <t>СМАРТ ЛОГИСТИК, ООО</t>
  </si>
  <si>
    <t>СМАРТ МЕНЕДЖМЕНТ, ООО</t>
  </si>
  <si>
    <t>СМАРТ ПЕТРОЛЕУМ, ООО</t>
  </si>
  <si>
    <t>СМАРТ ТЕКНОЛОДЖИС, ООО</t>
  </si>
  <si>
    <t>СМАРТ, ООО</t>
  </si>
  <si>
    <t>СМАРТ-ТРЕЙД, ООО</t>
  </si>
  <si>
    <t>СМАРТЛОГ, АО</t>
  </si>
  <si>
    <t>СМАРТТУЛЗ, ООО</t>
  </si>
  <si>
    <t>СМЕРФИТ КАППА РУС, АО</t>
  </si>
  <si>
    <t>СМИТ ЭНД НЕФЬЮ, ООО</t>
  </si>
  <si>
    <t>СМК, ООО</t>
  </si>
  <si>
    <t>СМЛ, ООО</t>
  </si>
  <si>
    <t>СМНМ-ВИКО, ИСК, ООО</t>
  </si>
  <si>
    <t>СМОЛЕНСКИЙ КХП, ООО</t>
  </si>
  <si>
    <t>СМОЛЕНСКРЕГИОНТЕПЛОЭНЕРГО, ООО</t>
  </si>
  <si>
    <t>СМП, ОАО</t>
  </si>
  <si>
    <t>СМП-НЕФТЕГАЗ, АО</t>
  </si>
  <si>
    <t>СМС ГРУП, ООО</t>
  </si>
  <si>
    <t>СМС ТРАФИК, ООО</t>
  </si>
  <si>
    <t>СМС-ЦЕНТР, ООО</t>
  </si>
  <si>
    <t>СМТ №11, ООО</t>
  </si>
  <si>
    <t>СМТ БШСУ, ООО</t>
  </si>
  <si>
    <t>СМТ НЛМК, ООО</t>
  </si>
  <si>
    <t>СМТ, АО</t>
  </si>
  <si>
    <t>СМТ, ООО</t>
  </si>
  <si>
    <t>СМТ-СТРОЙ, ООО</t>
  </si>
  <si>
    <t>СМУ № 7, ООО</t>
  </si>
  <si>
    <t>СМУ-1 МЕТРОСТРОЯ, ООО</t>
  </si>
  <si>
    <t>СМУ-1, ООО</t>
  </si>
  <si>
    <t>СМУ-12 МОСМЕТРОСТРОЯ, ООО</t>
  </si>
  <si>
    <t>СМУ-161, ООО</t>
  </si>
  <si>
    <t>СМУ-2, ООО</t>
  </si>
  <si>
    <t>СМУ-8 МЕТРОСТРОЯ, ООО</t>
  </si>
  <si>
    <t>СМУ-ДОНДОРСТРОЙ, АО</t>
  </si>
  <si>
    <t>СМУ-СЕВЕРНАЯ ДОЛИНА, ООО</t>
  </si>
  <si>
    <t>СМУ-ЮНТОЛОВО, ООО</t>
  </si>
  <si>
    <t>СМЦ СТАМИ, ООО</t>
  </si>
  <si>
    <t>СНАБАГРОХИМ, ООО</t>
  </si>
  <si>
    <t>СЕРГИЕВО-ПОСАДСКИЙ РО, ООО</t>
  </si>
  <si>
    <t>СНАБСЕРВИС, ООО</t>
  </si>
  <si>
    <t>СНВ КАРГО, ООО</t>
  </si>
  <si>
    <t>СНГК, ООО</t>
  </si>
  <si>
    <t>СНЕЖИНСКАЯ ООШ, МБОУ</t>
  </si>
  <si>
    <t>СНПХ, АО</t>
  </si>
  <si>
    <t>СНС-ХОЛДИНГ, ООО</t>
  </si>
  <si>
    <t>СНХК, ООО</t>
  </si>
  <si>
    <t>СНЭМА-СЕРВИС, ООО</t>
  </si>
  <si>
    <t>СО ТВЕРЬНЕФТЕПРОДУКТ, ООО</t>
  </si>
  <si>
    <t>СОВИНТЕРАВТОСЕРВИС, АО</t>
  </si>
  <si>
    <t>СОВКО КАПИТАЛ ПАРТНЕРС, МКАО</t>
  </si>
  <si>
    <t>СОВКОМБАНК ЛИЗИНГ, ООО</t>
  </si>
  <si>
    <t>СОВРЕМЕННЫЕ ГОРНЫЕ ТЕХНОЛОГИИ, ООО</t>
  </si>
  <si>
    <t>СОВРЕМЕННЫЕ ТЕХНОЛОГИИ, ООО</t>
  </si>
  <si>
    <t>СОВРУДНИК, ООО</t>
  </si>
  <si>
    <t>СОВФРАХТ, АО</t>
  </si>
  <si>
    <t>СОВЭКС, АО</t>
  </si>
  <si>
    <t>СОГЛАСИЕ, ООО</t>
  </si>
  <si>
    <t>СМС, ООО</t>
  </si>
  <si>
    <t>СКАНДИ ПАКК, ООО</t>
  </si>
  <si>
    <t>СОДРУЖЕСТВО, ООО ТОРГОВЫЙ ДОМ</t>
  </si>
  <si>
    <t>СОДРУЖЕСТВО-ПРОТЕИН, ООО</t>
  </si>
  <si>
    <t>СОДРУЖЕСТВО-СОЯ, ЗАО</t>
  </si>
  <si>
    <t>СПЕЦИАЛИЗИРОВАННЫЙ ЗАСТРОЙЩИК САМОЛЕТ-АЛХИМОВО, ООО</t>
  </si>
  <si>
    <t>СОКАР РУС, ООО</t>
  </si>
  <si>
    <t>СОЛАР СТАФФ РУС, ООО</t>
  </si>
  <si>
    <t>СОЛАР ТУРБИНС СИАЙЭС, ООО</t>
  </si>
  <si>
    <t>СОЛАР, ООО</t>
  </si>
  <si>
    <t>СОЛГАР ВИТАМИН, ООО</t>
  </si>
  <si>
    <t>СОЛГОН, АО</t>
  </si>
  <si>
    <t>СОЛЕНИС ЕВРАЗИЯ, ООО</t>
  </si>
  <si>
    <t>СОЛИД-СИБИРЬ, ООО</t>
  </si>
  <si>
    <t>СОЛИД-СМОЛЕНСК, ООО</t>
  </si>
  <si>
    <t>СОЛИД-ТОВАРНЫЕ РЫНКИ, АО</t>
  </si>
  <si>
    <t>СОЛИКАМСКБУМПРОМ, АО</t>
  </si>
  <si>
    <t>СОЛЛЕРС СЕРВИС МЕНЕДЖМЕНТ, ООО</t>
  </si>
  <si>
    <t>СОЛНЕЧНОГОРСКИЙ ЗАВОД ЕВРОПЛАСТ, АО</t>
  </si>
  <si>
    <t>СОЛНЕЧНЫЙ ВЕТЕР, АО</t>
  </si>
  <si>
    <t>СОЛНЕЧНЫЙ ДАР, ООО</t>
  </si>
  <si>
    <t>СОЛНЕЧНЫЙ СВЕТ, ООО</t>
  </si>
  <si>
    <t>СОЛОМЕНСКИЙ ЛЕСОЗАВОД, ООО</t>
  </si>
  <si>
    <t>СОЛЬФЕР, ООО</t>
  </si>
  <si>
    <t>СОМЗ, ОАО</t>
  </si>
  <si>
    <t>СКР, ООО</t>
  </si>
  <si>
    <t>СОНИ ЭЛЕКТРОНИКС, АО</t>
  </si>
  <si>
    <t>СОНИКАВТО.РУ, ООО</t>
  </si>
  <si>
    <t>СОРЖИН, ООО</t>
  </si>
  <si>
    <t>СОРМОВСКАЯ КОНДИТЕРСКАЯ ФАБРИКА, ЗАО</t>
  </si>
  <si>
    <t>СОРОЧИНСКИЙ МЭЗ, ООО</t>
  </si>
  <si>
    <t>СОРСО-СТР, ООО</t>
  </si>
  <si>
    <t>СОТ, АО</t>
  </si>
  <si>
    <t>СОУДАЛ, ООО</t>
  </si>
  <si>
    <t>СОФИЙСКАЯ, ООО ТК</t>
  </si>
  <si>
    <t>СОФКО, ООО</t>
  </si>
  <si>
    <t>СОФТ ЛОДЖИСТИК, ООО</t>
  </si>
  <si>
    <t>СОФТЛАЙН ИНТЕГРАЦИЯ, ООО</t>
  </si>
  <si>
    <t>СОФТЛАЙН ИНТЕРНЕТ ТРЕЙД, ООО</t>
  </si>
  <si>
    <t>СОФТЛАЙН ПРОЕКТЫ, ООО</t>
  </si>
  <si>
    <t>СОФТЛАЙН, АО</t>
  </si>
  <si>
    <t>СОЧИ-ПАРК, АО</t>
  </si>
  <si>
    <t>СОЭНЕРГО+, ООО</t>
  </si>
  <si>
    <t>СОЮЗ АВТОДОР, ООО</t>
  </si>
  <si>
    <t>СОЮЗ СВ. ИОАННА ВОИНА, ООО</t>
  </si>
  <si>
    <t>СОЮЗ, ООО ПК</t>
  </si>
  <si>
    <t>СОЮЗ-ВИНО, ООО</t>
  </si>
  <si>
    <t>СОЮЗ-ЛОГИСТИК, ООО</t>
  </si>
  <si>
    <t>СОЮЗ-ПОЛИМЕР ЛОГИСТИК, ООО ПТК</t>
  </si>
  <si>
    <t>СОЮЗ-ЦЕНТР, ООО КМДК</t>
  </si>
  <si>
    <t>СОЮЗАГРОХИМ, ООО</t>
  </si>
  <si>
    <t>СОЮЗДОНСТРОЙ, ООО</t>
  </si>
  <si>
    <t>СОЮЗМЕТАЛЛСЕРВИС, ООО</t>
  </si>
  <si>
    <t>СОЮЗОПТТОРГ, ООО</t>
  </si>
  <si>
    <t>СОЮЗПАК, ООО</t>
  </si>
  <si>
    <t>СОЮЗСНАБ, АО</t>
  </si>
  <si>
    <t>СОЮЗСПЕЦОДЕЖДА, ООО</t>
  </si>
  <si>
    <t>СОЯ АНК, ООО</t>
  </si>
  <si>
    <t>СП АВТОБАН, ООО</t>
  </si>
  <si>
    <t>СП БИЗНЕС КАР, ООО</t>
  </si>
  <si>
    <t>СП ВИС-МОС, ООО</t>
  </si>
  <si>
    <t>СП ГРАНИФЕРТ, ООО</t>
  </si>
  <si>
    <t>СП МЕКАМИНЕФТЬ, ЗАО</t>
  </si>
  <si>
    <t>СП ПРАКТИКА, ООО</t>
  </si>
  <si>
    <t>СП УРОЖАЙ, ООО</t>
  </si>
  <si>
    <t>СП-ЦЕНТР, ООО</t>
  </si>
  <si>
    <t>СПАР МИДДЛ ВОЛГА, ООО</t>
  </si>
  <si>
    <t>СПАР ТУЛА, ООО</t>
  </si>
  <si>
    <t>СПАР-ТОМСК, ООО</t>
  </si>
  <si>
    <t>СТК, ООО</t>
  </si>
  <si>
    <t>СПАССКЦЕМЕНТ, АО</t>
  </si>
  <si>
    <t>СПБ НЕДВИЖИМОСТЬ, ООО</t>
  </si>
  <si>
    <t>СПБ ОБРАЗЦОВАЯ ТИПОГРАФИЯ, ЗАО</t>
  </si>
  <si>
    <t>СПБ ЦДЖ, АО</t>
  </si>
  <si>
    <t>СПБШУП, ЧОУ ДПО</t>
  </si>
  <si>
    <t>СПГ, ООО ТД</t>
  </si>
  <si>
    <t>СПГЭС, ЗАО</t>
  </si>
  <si>
    <t>СПГЭС, ООО</t>
  </si>
  <si>
    <t>СПД, ООО</t>
  </si>
  <si>
    <t>СПЕЙС, ООО</t>
  </si>
  <si>
    <t>СПЕКТА ИНТЕРПАК, ООО</t>
  </si>
  <si>
    <t>СПЕКТР ТРЕЙД, ООО</t>
  </si>
  <si>
    <t>СПЕКТР, ООО</t>
  </si>
  <si>
    <t>СПЕКТР-ЛЮКССТРОЙ, ООО</t>
  </si>
  <si>
    <t>СПЕКТРУМ, ООО</t>
  </si>
  <si>
    <t>СПЕКТРУМ-ХОЛДИНГ, ООО</t>
  </si>
  <si>
    <t>СПЕЦАВТОБАЗА, ЕМУП</t>
  </si>
  <si>
    <t>СПЕЦГАЗТЕХСЕРВИС, ООО</t>
  </si>
  <si>
    <t>СПЕЦГАЗТРАНС, АО</t>
  </si>
  <si>
    <t>СПЕЦДОРПРОЕКТ, ООО</t>
  </si>
  <si>
    <t>СПЕЦИАЛИЗИРОВАННЫЙ ЗАСТРОЙЩИК АЛЬТЕРА ПАРК, ООО</t>
  </si>
  <si>
    <t>СПЕЦИАЛИЗИРОВАННЫЙ ЗАСТРОЙЩИК БОЛЬШАЯ ОЧАКОВСКАЯ, ООО</t>
  </si>
  <si>
    <t>СПЕЦИАЛИЗИРОВАННЫЙ ЗАСТРОЙЩИК ВАТУТИНКИ, ООО</t>
  </si>
  <si>
    <t>СПЕЦИАЛИЗИРОВАННЫЙ ЗАСТРОЙЩИК КОТАР, ООО</t>
  </si>
  <si>
    <t>СПЕЦИАЛИЗИРОВАННЫЙ ЗАСТРОЙЩИК ЛЗСМИК, АО</t>
  </si>
  <si>
    <t>СПЕЦИАЛИЗИРОВАННЫЙ ЗАСТРОЙЩИК ЛСР. УРАЛ, ООО</t>
  </si>
  <si>
    <t>СПЕЦИАЛИЗИРОВАННЫЙ ЗАСТРОЙЩИК М.СТРОЙ, ООО</t>
  </si>
  <si>
    <t>СПЕЦИАЛИЗИРОВАННЫЙ ЗАСТРОЙЩИК МИЦ-ИНВЕСТСТРОЙ, ООО</t>
  </si>
  <si>
    <t>СПЕЦИАЛИЗИРОВАННЫЙ ЗАСТРОЙЩИК ОТДЕЛСТРОЙ, ООО</t>
  </si>
  <si>
    <t>СПЕЦИАЛИЗИРОВАННЫЙ ЗАСТРОЙЩИК ПИ ГРУПП, ООО</t>
  </si>
  <si>
    <t>СПЕЦИАЛИЗИРОВАННЫЙ ЗАСТРОЙЩИК ПИК-РЕГИОН, АО</t>
  </si>
  <si>
    <t>СПЕЦИАЛИЗИРОВАННЫЙ ЗАСТРОЙЩИК ПРАЙМ ПАРК, ООО</t>
  </si>
  <si>
    <t>СПЕЦИАЛИЗИРОВАННЫЙ ЗАСТРОЙЩИК РЕАЛИНВЕСТ, ООО</t>
  </si>
  <si>
    <t>СПЕЦИАЛИЗИРОВАННЫЙ ЗАСТРОЙЩИК СИНАРА-ДЕВЕЛОПМЕНТ, ООО</t>
  </si>
  <si>
    <t>СПЕЦИАЛИЗИРОВАННЫЙ ЗАСТРОЙЩИК СР-ГРУПП, ООО</t>
  </si>
  <si>
    <t>СПЕЦИАЛИЗИРОВАННЫЙ ЗАСТРОЙЩИК ССК, ООО</t>
  </si>
  <si>
    <t>СПЕЦИАЛИЗИРОВАННЫЙ ЗАСТРОЙЩИК СТРОИТЕЛЬНЫЙ ТРЕСТ, АО</t>
  </si>
  <si>
    <t>СПЕЦИАЛИЗИРОВАННЫЙ ЗАСТРОЙЩИК СТ-НОВОСЕЛЬЕ, ООО</t>
  </si>
  <si>
    <t>СПЕЦИАЛЬНЫЕ СТАЛИ И СПЛАВЫ, ООО</t>
  </si>
  <si>
    <t>СПЕЦИНЖСТРОЙ, ООО</t>
  </si>
  <si>
    <t>СПЕЦКОМПАНИ, ООО</t>
  </si>
  <si>
    <t>СПЕЦИАЛИЗИРОВАННЫЙ ЗАСТРОЙЩИК ЭТАЛОН СТРОЙ, ООО</t>
  </si>
  <si>
    <t>СПЕЦМЕТАЛЛ, ООО</t>
  </si>
  <si>
    <t>СПЕЦМЕТАЛЛОМОНТАЖ, ООО</t>
  </si>
  <si>
    <t>СПАРТА, ООО</t>
  </si>
  <si>
    <t>СПЕЦОБЪЕДИНЕНИЕ ЮГО-ЗАПАД, ООО</t>
  </si>
  <si>
    <t>СПЕЦПЕТРОСЕРВИС, ООО</t>
  </si>
  <si>
    <t>СПЕЦПРОЕКТ-2, ООО</t>
  </si>
  <si>
    <t>СПЕЦПРОФАЛЬЯНС, ООО</t>
  </si>
  <si>
    <t>СПЕЦСИТИСТРОЙ, ООО</t>
  </si>
  <si>
    <t>СПЕЦСТРОЙ-Р, ООО</t>
  </si>
  <si>
    <t>СПЕЦСТРОЙМОНТАЖ, ООО</t>
  </si>
  <si>
    <t>СПЕЦСУ, АО</t>
  </si>
  <si>
    <t>СПЕЦТРАНСГАРАНТ, ООО</t>
  </si>
  <si>
    <t>СПЕЦТРАНСГРУПП, ООО</t>
  </si>
  <si>
    <t>СПЕЦЦЕНТР, ООО</t>
  </si>
  <si>
    <t>СПЕЦЭНЕРГОГРУПП, ООО</t>
  </si>
  <si>
    <t>СПЕЦЭНЕРГОТРАНС, АО</t>
  </si>
  <si>
    <t>СПЕЦИАЛИЗИРОВАННЫЙ ЗАСТРОЙЩИК ТЮС, ООО</t>
  </si>
  <si>
    <t>СПК КУРНИКОВ, ООО</t>
  </si>
  <si>
    <t>СПК, АО</t>
  </si>
  <si>
    <t>СПК, ООО</t>
  </si>
  <si>
    <t>СПК-МАГИСТРАЛЬ, ООО</t>
  </si>
  <si>
    <t>СПК-ЮГ, ООО</t>
  </si>
  <si>
    <t>СПЛАТ ГЛОБАЛ, ООО</t>
  </si>
  <si>
    <t>СПЛАТ, ООО</t>
  </si>
  <si>
    <t>СПМ-ЖИЛСТРОЙ, ООО</t>
  </si>
  <si>
    <t>СПМК, АО</t>
  </si>
  <si>
    <t>СПК 33, ООО</t>
  </si>
  <si>
    <t>СПО, ООО</t>
  </si>
  <si>
    <t>СПОРТ ФОРУМ, ООО</t>
  </si>
  <si>
    <t>СПОРТМАСТЕР, ООО</t>
  </si>
  <si>
    <t>СПП ЮГ, ООО</t>
  </si>
  <si>
    <t>СПП, АО ПМК</t>
  </si>
  <si>
    <t>СПП, ООО</t>
  </si>
  <si>
    <t>СПС, ООО</t>
  </si>
  <si>
    <t>СПС-ХОЛОД, ООО</t>
  </si>
  <si>
    <t>СПСЗ, ООО</t>
  </si>
  <si>
    <t>СПУТНИК ТРЕЙД, ООО</t>
  </si>
  <si>
    <t>СПУТНИК, ООО</t>
  </si>
  <si>
    <t>СПФО, ООО</t>
  </si>
  <si>
    <t>СПХ, ООО ТД</t>
  </si>
  <si>
    <t>СРАВНИ.РУ, ООО</t>
  </si>
  <si>
    <t>СРП, ООО О</t>
  </si>
  <si>
    <t>СРТ-ВОРОНЕЖ, ООО</t>
  </si>
  <si>
    <t>ССБ, ООО</t>
  </si>
  <si>
    <t>ССД, АО</t>
  </si>
  <si>
    <t>ССК ГАЗРЕГИОН, ООО</t>
  </si>
  <si>
    <t>ТЕХНОЛОГИИ ДОВЕРИЯ-АУДИТ, АО</t>
  </si>
  <si>
    <t>ССК, АО</t>
  </si>
  <si>
    <t>ССЛ-КОНТУР, ООО</t>
  </si>
  <si>
    <t>ССР, ООО</t>
  </si>
  <si>
    <t>ССТ-М, ООО</t>
  </si>
  <si>
    <t>СТ ТАУЭРС, ООО</t>
  </si>
  <si>
    <t>СТ-СТРОЙ, ООО</t>
  </si>
  <si>
    <t>СТА ЛОГИСТИК ЦЕНТР, ООО</t>
  </si>
  <si>
    <t>СТА, ООО</t>
  </si>
  <si>
    <t>СТАВРОЛЕН, ООО</t>
  </si>
  <si>
    <t>СТАВРОПОЛЬКОММУНЭЛЕКТРО, ГУП СК</t>
  </si>
  <si>
    <t>СТАВРОПОЛЬКРАЙВОДОКАНАЛ, ГУП СК</t>
  </si>
  <si>
    <t>СТАВРОПОЛЬНЕФТЕГАЗ, ООО</t>
  </si>
  <si>
    <t>СТАВРОПОЛЬСАХАР, АО</t>
  </si>
  <si>
    <t>СТАВРОПОЛЬСКИЙ БРОЙЛЕР, ООО</t>
  </si>
  <si>
    <t>СТАВРОПОЛЬСТРОЙОПТОРГ, АО КПК</t>
  </si>
  <si>
    <t>СТАВРОПОЛЬЭНЕРГОСБЫТ, ПАО</t>
  </si>
  <si>
    <t>СТАЛКЕР-КОНСАЛТИНГ, ООО</t>
  </si>
  <si>
    <t>СТАЛЬ-ИНВЕСТ, ООО</t>
  </si>
  <si>
    <t>СТАЛЬГРАД, ООО</t>
  </si>
  <si>
    <t>СТАЛЬМОСТ, АО</t>
  </si>
  <si>
    <t>СТАЛЬНЫЕ РЕШЕНИЯ, ООО</t>
  </si>
  <si>
    <t>СТАЛЬПРОМ, ООО</t>
  </si>
  <si>
    <t>СТАЛЬТЕХНО, ООО</t>
  </si>
  <si>
    <t>СТАЛЬТРАНСКОМ, ООО</t>
  </si>
  <si>
    <t>СТАЛЬЭКС, ООО</t>
  </si>
  <si>
    <t>СТАНДАРТ КАЧЕСТВА, ООО</t>
  </si>
  <si>
    <t>СТАНДАРТ ОЙЛ, ООО</t>
  </si>
  <si>
    <t>СТАНДАРТ, ООО</t>
  </si>
  <si>
    <t>СТАНКИ.РУ, ООО</t>
  </si>
  <si>
    <t>СТАРАТЕЛИ, ООО</t>
  </si>
  <si>
    <t>СТАРКОМ, ООО</t>
  </si>
  <si>
    <t>СТАРОДВОРСКИЕ КОЛБАСЫ, ЗАО</t>
  </si>
  <si>
    <t>СТАРТ.РУ, ООО</t>
  </si>
  <si>
    <t>СТАРТЕК ДЕРБАУ, ООО</t>
  </si>
  <si>
    <t>СТАРТЕН, ООО</t>
  </si>
  <si>
    <t>СТАРТРАНС, ООО</t>
  </si>
  <si>
    <t>СТАРТТЕХ, ООО</t>
  </si>
  <si>
    <t>СТАТУС, ООО</t>
  </si>
  <si>
    <t>СТАУТ, ООО</t>
  </si>
  <si>
    <t>ШАХТА ПОЛОСУХИНСКАЯ, АО</t>
  </si>
  <si>
    <t>СТГ ИНЖИНИРИНГ, ООО</t>
  </si>
  <si>
    <t>СТГ, ОАО</t>
  </si>
  <si>
    <t>СТГ-АВТОМАГИСТРАЛЬ, ООО</t>
  </si>
  <si>
    <t>СТГ-ВОСТОК, ООО</t>
  </si>
  <si>
    <t>СТГ-ЗАПАД, ООО</t>
  </si>
  <si>
    <t>СТГ-СЕРВИС, ООО</t>
  </si>
  <si>
    <t>СТГ-СИБИРЬ, АО</t>
  </si>
  <si>
    <t>СТГТ, ООО</t>
  </si>
  <si>
    <t>СТД ПЕТРОВИЧ, ООО</t>
  </si>
  <si>
    <t>СТД СТРОЙУДАЧА, ООО</t>
  </si>
  <si>
    <t>СТЕЛЛАР КОНСТРАКШН, ООО</t>
  </si>
  <si>
    <t>СТЕРЭКС ПАК, ООО</t>
  </si>
  <si>
    <t>СТЗ, АО</t>
  </si>
  <si>
    <t>СТИ, ООО</t>
  </si>
  <si>
    <t>СТИЛ ТЕХНОЛОДЖИ КОМПАНИ, ООО</t>
  </si>
  <si>
    <t>СПЕЦИАЛИЗИРОВАННЫЙ ЗАСТРОЙЩИК ТИРОН, ООО</t>
  </si>
  <si>
    <t>СТИМ, ООО</t>
  </si>
  <si>
    <t>СТИМУЛ, ООО</t>
  </si>
  <si>
    <t>СТИНЕРЖИ, ООО</t>
  </si>
  <si>
    <t>СТК ПЕТРОЛ ПЛЮС, ООО</t>
  </si>
  <si>
    <t>СТК-АГРО, ООО</t>
  </si>
  <si>
    <t>СТК-КОМПЛЕКТАЦИЯ, ООО</t>
  </si>
  <si>
    <t>СТМ, ООО</t>
  </si>
  <si>
    <t>СТМ-ГРУПП, ООО</t>
  </si>
  <si>
    <t>СТМ-РЕШЕНИЯ, ООО</t>
  </si>
  <si>
    <t>СТН-Б, АО</t>
  </si>
  <si>
    <t>СТН-М, АО</t>
  </si>
  <si>
    <t>СТН-П, АО</t>
  </si>
  <si>
    <t>СТН-СИБ, АО</t>
  </si>
  <si>
    <t>СТНГ, АО</t>
  </si>
  <si>
    <t>СТОК ПАРТС, ООО</t>
  </si>
  <si>
    <t>СТОКМАНН, АО</t>
  </si>
  <si>
    <t>СТОЛИЧКИ, ООО СЕТЬ СОЦИАЛЬНЫХ АПТЕК</t>
  </si>
  <si>
    <t>СТОЛИЧНЫЕ АПТЕКИ, АО</t>
  </si>
  <si>
    <t>СТОЛИЧНЫЕ ПОСТАВКИ, ООО</t>
  </si>
  <si>
    <t>СТОМ, ООО ФИРМА</t>
  </si>
  <si>
    <t>СТОМАТОРГ, ООО</t>
  </si>
  <si>
    <t>СТОПЭКСПРЕСС, ООО</t>
  </si>
  <si>
    <t>СТОРХАН, ООО</t>
  </si>
  <si>
    <t>СТОУН-XXI, ООО</t>
  </si>
  <si>
    <t>СТР КОНСТРАКШН, ООО</t>
  </si>
  <si>
    <t>СТРЕЛА, ООО</t>
  </si>
  <si>
    <t>СТРЕЛЕЦ, АО</t>
  </si>
  <si>
    <t>СТРИМ, ООО</t>
  </si>
  <si>
    <t>СТРИНГ, ООО КОМПАНИЯ</t>
  </si>
  <si>
    <t>СТРОИТЕЛЬНАЯ КОМПАНИЯ БРИЗ, ООО</t>
  </si>
  <si>
    <t>СТРОИТЕЛЬНАЯ КОМПАНИЯ МИС, ООО</t>
  </si>
  <si>
    <t>СТРОИТЕЛЬНАЯ КОМПАНИЯ ПИОНЕР, ООО</t>
  </si>
  <si>
    <t>СТРОИТЕЛЬНЫЕ МАТЕРИАЛЫ, ООО</t>
  </si>
  <si>
    <t>СТРОИТЕЛЬНЫЕ ТЕХНОЛОГИИ, ООО</t>
  </si>
  <si>
    <t>СТРОИТЕЛЬНЫЙ ДВОР, ООО</t>
  </si>
  <si>
    <t>СТРОИТЕЛЬНЫЙ ДВОР. КОМПЛЕКТАЦИЯ, ООО</t>
  </si>
  <si>
    <t>СТРОЙ БИЗНЕС ИНВЕСТ, ООО</t>
  </si>
  <si>
    <t>СТРОЙ ИНВЕСТ ПРОЕКТ, ООО</t>
  </si>
  <si>
    <t>СТРОЙ ПРОГРЕСС, ООО</t>
  </si>
  <si>
    <t>СТРОЙ ТЕХНО ИНЖЕНЕРИНГ, ООО</t>
  </si>
  <si>
    <t>СТРОЙ-ИНЖИНИРИНГ, ООО</t>
  </si>
  <si>
    <t>СТРОЙ-РЕСУРС, ООО СЗ</t>
  </si>
  <si>
    <t>СТРОЙ-ТРЕСТ, АО</t>
  </si>
  <si>
    <t>СТРОЙБАЗА №1, ООО ПКФ</t>
  </si>
  <si>
    <t>СТРОЙГАЗКОМПЛЕКТ, ООО</t>
  </si>
  <si>
    <t>СТРОЙГРАД, ООО</t>
  </si>
  <si>
    <t>СТРОЙДОРСЕРВИС, ООО</t>
  </si>
  <si>
    <t>СТРОЙЖЕЛДОРПРОЕКТ, ООО</t>
  </si>
  <si>
    <t>СТРОЙЖЕЛДОРПРОЕКТ-СЦБ, ООО</t>
  </si>
  <si>
    <t>СТРОЙЖИЛПРОМ, ООО</t>
  </si>
  <si>
    <t>СТРОЙИМПОРТТЕХНИКА, ООО</t>
  </si>
  <si>
    <t>СТРОЙИНДУСТРИЯ, ООО</t>
  </si>
  <si>
    <t>СТРОЙИНЖСЕРВИС-2, ООО</t>
  </si>
  <si>
    <t>СТРОЙКОМПЛЕКС, ООО</t>
  </si>
  <si>
    <t>СТРОЙКОНСАЛТГРУПП, ООО</t>
  </si>
  <si>
    <t>СТРОЙКРАФТ, ООО</t>
  </si>
  <si>
    <t>СТРОЙМАРКЕТ, ООО</t>
  </si>
  <si>
    <t>СТРОЙМАСТЕР, ООО</t>
  </si>
  <si>
    <t>СТРОЙМЕХАНИЗАЦИЯ, ООО</t>
  </si>
  <si>
    <t>СТРОЙМЕХТРАНС, АО</t>
  </si>
  <si>
    <t>СТРОЙМИР, ООО</t>
  </si>
  <si>
    <t>СТРОЙМОНОЛИТ, ООО</t>
  </si>
  <si>
    <t>СТРОЙМОНТАЖ, ООО</t>
  </si>
  <si>
    <t>СТРОЙМОНТАЖ-14, ООО</t>
  </si>
  <si>
    <t>СТРОЙНИК, ООО</t>
  </si>
  <si>
    <t>СТРОЙПАРТНЁР, ООО</t>
  </si>
  <si>
    <t>СТРОЙПЛАТФОРМА, ООО</t>
  </si>
  <si>
    <t>СТРОЙПОСТАВКА, ООО</t>
  </si>
  <si>
    <t>СТРОЙПРО, ООО</t>
  </si>
  <si>
    <t>СТРОЙПРОЕКТ, ООО</t>
  </si>
  <si>
    <t>ТЕХКОМСЕРВИС-ПОДМОСКОВЬЕ, ООО</t>
  </si>
  <si>
    <t>СТРОЙПРОЕКТСЕРВИС, ООО</t>
  </si>
  <si>
    <t>СТРОЙРЕГИОН, НАО</t>
  </si>
  <si>
    <t>СТРОЙСЕРВИС ДВ, ООО</t>
  </si>
  <si>
    <t>СТРОЙСЕРВИС, АО</t>
  </si>
  <si>
    <t>СТРОЙСИСТЕМА, ООО</t>
  </si>
  <si>
    <t>СТРОЙСИТИ, ООО</t>
  </si>
  <si>
    <t>СТРОЙСТАНДАРТ, ООО</t>
  </si>
  <si>
    <t>СТРОЙТЕРМИНАЛ ЦЕНТР КРАСОК, ООО</t>
  </si>
  <si>
    <t>СТРОЙТЕРМИНАЛ, ООО</t>
  </si>
  <si>
    <t>СТРОЙТЕХНИКА, ООО</t>
  </si>
  <si>
    <t>СТРОЙТЕХНОЛОДЖИ, ООО</t>
  </si>
  <si>
    <t>СТРОЙТОРГОВЛЯ, ООО</t>
  </si>
  <si>
    <t>СТРОЙТРАНСГАЗ ТРУБОПРОВОДСТРОЙ, ООО</t>
  </si>
  <si>
    <t>СТРОЙТЭК, АО СТРОИТЕЛЬНАЯ КОМПАНИЯ</t>
  </si>
  <si>
    <t>СТРОЙУНИВЕРСАЛ, ООО</t>
  </si>
  <si>
    <t>СТРОЙФИНАНСГРУПП, ООО</t>
  </si>
  <si>
    <t>СТРОЙХОЛДИНГ-ТРЕЙД, ООО</t>
  </si>
  <si>
    <t>СТРОЙЭНЕРГОКОМ, ООО</t>
  </si>
  <si>
    <t>СТРОЙЮГРЕГИОН, ООО</t>
  </si>
  <si>
    <t>СТРОНГ ТЕХНИК, ООО</t>
  </si>
  <si>
    <t>СТС, ООО</t>
  </si>
  <si>
    <t>СТУДЕНЕЦКИЙ МУКОМОЛЬНЫЙ ЗАВОД, ОАО</t>
  </si>
  <si>
    <t>СТУПИНСКИЙ ХИМИЧЕСКИЙ ЗАВОД, АО</t>
  </si>
  <si>
    <t>СТЭП, ООО</t>
  </si>
  <si>
    <t>СУ 910, ООО</t>
  </si>
  <si>
    <t>СУ 911, ООО</t>
  </si>
  <si>
    <t>СУ 925, ООО</t>
  </si>
  <si>
    <t>СУ № 905, ООО</t>
  </si>
  <si>
    <t>СУ №2, ОАО</t>
  </si>
  <si>
    <t>СУ №24, ООО</t>
  </si>
  <si>
    <t>СУ №926, ООО</t>
  </si>
  <si>
    <t>СУ СКАЙЛАЙН, ООО</t>
  </si>
  <si>
    <t>СУ ТДСК, АО</t>
  </si>
  <si>
    <t>СУ ЭДЕЛЬВЕЙС, ООО</t>
  </si>
  <si>
    <t>СУ-10 ФУНДАМЕНТСТРОЙ, АО</t>
  </si>
  <si>
    <t>СУ-10, ООО</t>
  </si>
  <si>
    <t>СУ-111, АО</t>
  </si>
  <si>
    <t>СУ-2007, ООО</t>
  </si>
  <si>
    <t>СУ-4, АО</t>
  </si>
  <si>
    <t>СУ-555, ООО ГК</t>
  </si>
  <si>
    <t>СУ-56, ООО</t>
  </si>
  <si>
    <t>СУ-7 РИТМ, АО</t>
  </si>
  <si>
    <t>СУ-873, ООО</t>
  </si>
  <si>
    <t>СУ-909, ОАО</t>
  </si>
  <si>
    <t>СУ-М, ООО</t>
  </si>
  <si>
    <t>СУАР-ГРУПП, ООО</t>
  </si>
  <si>
    <t>СУБАРУ МОТОР, ООО</t>
  </si>
  <si>
    <t>СУДАРУШКА, ООО</t>
  </si>
  <si>
    <t>СУМЗ , АО СРЕДНЕУРАЛЬСКИЙ МЕДЕПЛАВИЛЬНЫЙ ЗАВОД, АО</t>
  </si>
  <si>
    <t>СУМИТЕК ИНТЕРНЕЙШНЛ, ООО</t>
  </si>
  <si>
    <t>СУПЕРВЭЙВ ГРУПП, ООО</t>
  </si>
  <si>
    <t>СУПЕРСТРОЙ XXI, ООО</t>
  </si>
  <si>
    <t>СУПЛЕР, ООО КОМПАНИЯ</t>
  </si>
  <si>
    <t>СУР, ООО</t>
  </si>
  <si>
    <t>СУРГУТСКОЕ РСУ, ООО</t>
  </si>
  <si>
    <t>СУСУМАНЗОЛОТО, АО</t>
  </si>
  <si>
    <t>СУФФЛЕ АГРО РУС, ООО</t>
  </si>
  <si>
    <t>СУХОНСКИЙ КБК, ООО</t>
  </si>
  <si>
    <t>СУЭК, АО</t>
  </si>
  <si>
    <t>СУЭК-КРАСНОЯРСК, АО</t>
  </si>
  <si>
    <t>СУЭК-КУЗБАСС, АО</t>
  </si>
  <si>
    <t>СУЭК-ФИНАНС, ООО</t>
  </si>
  <si>
    <t>СУЭК-ХАКАСИЯ, ООО</t>
  </si>
  <si>
    <t>СУЭНКО, АО</t>
  </si>
  <si>
    <t>СУЭС, ООО</t>
  </si>
  <si>
    <t>СФ АЛМАЗ, ПАО</t>
  </si>
  <si>
    <t>СФ СТРОЙСЕРВИС, ООО</t>
  </si>
  <si>
    <t>СФЕРА, ООО</t>
  </si>
  <si>
    <t>СФЗ, ООО</t>
  </si>
  <si>
    <t>СФТ ПАКЕДЖИНГ, ООО</t>
  </si>
  <si>
    <t>СФТ ТРЕЙДИНГ, ООО</t>
  </si>
  <si>
    <t>СФФ ГЛОСТЕР, ООО</t>
  </si>
  <si>
    <t>СХП НОВОМАРКОВСКОЕ, ООО</t>
  </si>
  <si>
    <t>СХТ, АО</t>
  </si>
  <si>
    <t>СЦЛ, ЗАО</t>
  </si>
  <si>
    <t>СЦМ, ООО</t>
  </si>
  <si>
    <t>СЫР СТАРОДУБСКИЙ, ТНВ</t>
  </si>
  <si>
    <t>СЫРОДЕЛЬНЫЙ КОМБИНАТ ИЧАЛКОВСКИЙ, ООО</t>
  </si>
  <si>
    <t>СЫРЫ КУБАНИ, ООО</t>
  </si>
  <si>
    <t>СЭ, АО</t>
  </si>
  <si>
    <t>СЭГЗ, АО</t>
  </si>
  <si>
    <t>СЭМ, ООО</t>
  </si>
  <si>
    <t>СЭРК, ООО</t>
  </si>
  <si>
    <t>СЭТЛ СИТИ, ООО</t>
  </si>
  <si>
    <t>СЭТЛ СТРОЙ, ООО</t>
  </si>
  <si>
    <t>СЭТЛ ИНВЕСТ, ООО</t>
  </si>
  <si>
    <t>СЭТЛ, ООО</t>
  </si>
  <si>
    <t>СЮЙГУН РУ, ООО</t>
  </si>
  <si>
    <t>Т И К ПРОДУКТЫ, ЗАО</t>
  </si>
  <si>
    <t>Т-СЕРВИС ЛОГИСТИКС, ООО</t>
  </si>
  <si>
    <t>Т-ТРАНС, ООО</t>
  </si>
  <si>
    <t>Т.Б.М., ООО</t>
  </si>
  <si>
    <t>Т1 ИННОВАЦИИ, ООО</t>
  </si>
  <si>
    <t>Т1, ООО</t>
  </si>
  <si>
    <t>Т2 МОБАЙЛ, ООО</t>
  </si>
  <si>
    <t>ТА БИТУМ, ООО</t>
  </si>
  <si>
    <t>ТАБЕР ТРЕЙД, ООО</t>
  </si>
  <si>
    <t>ТАБЛОДЖИКС, ООО</t>
  </si>
  <si>
    <t>ТАБЫШ, ООО</t>
  </si>
  <si>
    <t>ТАГМЕТ, АО</t>
  </si>
  <si>
    <t>ТАГРАС-РС, ООО</t>
  </si>
  <si>
    <t>ТАИФ-НК АЗС, ООО</t>
  </si>
  <si>
    <t>ТАЙДИ-СИТИ, ООО</t>
  </si>
  <si>
    <t>ТАЙМЫРГЕОФИЗИКА, АО</t>
  </si>
  <si>
    <t>ТАЙРИКУ-ИГИРМА ГРУПП, ООО</t>
  </si>
  <si>
    <t>ТАКЕДА ФАРМАСЬЮТИКАЛС, ООО</t>
  </si>
  <si>
    <t>ТАКСОМОТОРНЫЙ ПАРК № 20, ООО</t>
  </si>
  <si>
    <t>ТАЛАН, ООО</t>
  </si>
  <si>
    <t>ТАЛАНТ И УСПЕХ, ФОНД</t>
  </si>
  <si>
    <t>ТАЛИСМАН, ООО</t>
  </si>
  <si>
    <t>ТАЛИЦКОЕ МОЛОКО, ООО</t>
  </si>
  <si>
    <t>ТАЛМЕР, ООО</t>
  </si>
  <si>
    <t>ТАЛСПЕЦСТРОЙ, ООО</t>
  </si>
  <si>
    <t>ТАЛТЭК, АО</t>
  </si>
  <si>
    <t>ТАМБОВСКАЯ ИНДЕЙКА, ООО</t>
  </si>
  <si>
    <t>ТАМБОВСКАЯ ЭНЕРГОСБЫТОВАЯ КОМПАНИЯ, ПАО</t>
  </si>
  <si>
    <t>ТАМБОВСКИЙ БЕКОН, ООО</t>
  </si>
  <si>
    <t>ТАМБОВСКИЙ БРОЙЛЕР, ООО</t>
  </si>
  <si>
    <t>ТАМЕРЛАН, ООО</t>
  </si>
  <si>
    <t>ТАМИ И КО, ООО</t>
  </si>
  <si>
    <t>ТАНГСТОУН, ООО РАЗ</t>
  </si>
  <si>
    <t>ТАНДЕР, АО</t>
  </si>
  <si>
    <t>ТАНЕКО, АО</t>
  </si>
  <si>
    <t>ТАРА.РУ, ООО</t>
  </si>
  <si>
    <t>ТАРГОН, ООО</t>
  </si>
  <si>
    <t>ТАРДАН ГОЛД, ООО</t>
  </si>
  <si>
    <t>ТАРДИСФАРМ, ООО</t>
  </si>
  <si>
    <t>ТАРКЕТТ РУС, АО</t>
  </si>
  <si>
    <t>ТАРКЕТТ СОММЕР, ООО</t>
  </si>
  <si>
    <t>ТАРКЕТТ, АО</t>
  </si>
  <si>
    <t>ТАТАВТОДОР, АО</t>
  </si>
  <si>
    <t>ТАТБУНКЕР, ООО</t>
  </si>
  <si>
    <t>ТАТБУРНЕФТЬ, ООО</t>
  </si>
  <si>
    <t>ТАТЕХ, АО</t>
  </si>
  <si>
    <t>ТАТЛИЗИНГ, ГУП РТ</t>
  </si>
  <si>
    <t>ТАТНЕФТЕДОР, ООО</t>
  </si>
  <si>
    <t>ТАТНЕФТЕПРОВОДСТРОЙ, АО</t>
  </si>
  <si>
    <t>ТАТНЕФТЕПРОМ, АО</t>
  </si>
  <si>
    <t>ТАТНЕФТЕПРОМ-ЗЮЗЕЕВНЕФТЬ, АО</t>
  </si>
  <si>
    <t>ТАТНЕФТЬ ИМ. В.Д. ШАШИНА, ПАО</t>
  </si>
  <si>
    <t>ТАТНЕФТЬ-АЗС-СЕВЕРО-ЗАПАД, ООО</t>
  </si>
  <si>
    <t>ТАТНЕФТЬ-АКТИВ, ООО</t>
  </si>
  <si>
    <t>ТАТНЕФТЬ-КАБЕЛЬ, ООО</t>
  </si>
  <si>
    <t>ТАТНЕФТЬ-САМАРА, ООО</t>
  </si>
  <si>
    <t>ТАТНЕФТЬ-ТРАНС, ООО</t>
  </si>
  <si>
    <t>ТАТОЙЛГАЗ, АО</t>
  </si>
  <si>
    <t>ТАТПРОФ, АО</t>
  </si>
  <si>
    <t>ТАТСПИРТПРОМ, АО</t>
  </si>
  <si>
    <t>ТАТТЕЛЕКОМ, ПАО</t>
  </si>
  <si>
    <t>ТАТТЕХМЕДФАРМ, ГУП</t>
  </si>
  <si>
    <t>ТАТЬЯНА, ООО</t>
  </si>
  <si>
    <t>ТАТЭМ, АО</t>
  </si>
  <si>
    <t>ТАТЭНЕРГО, АО</t>
  </si>
  <si>
    <t>ТАТЭНЕРГОСБЫТ, АО</t>
  </si>
  <si>
    <t>ТАУРУС, АО</t>
  </si>
  <si>
    <t>ТБИЛИССКИЙ САХАРНЫЙ ЗАВОД, ЗАО</t>
  </si>
  <si>
    <t>ТБФ, АО</t>
  </si>
  <si>
    <t>ТВ, ООО</t>
  </si>
  <si>
    <t>ТВВД, АО</t>
  </si>
  <si>
    <t>ТВЕРСКОЙ БРОЙЛЕР, ООО</t>
  </si>
  <si>
    <t>ТВИД ТЕХНОЛОДЖИ, ООО</t>
  </si>
  <si>
    <t>ТВК ЮЖНЫЙ, ООО</t>
  </si>
  <si>
    <t>ТВК-КУБАНЬ, ООО</t>
  </si>
  <si>
    <t>ТВК-Р, ООО</t>
  </si>
  <si>
    <t>ТВОЕ, ООО</t>
  </si>
  <si>
    <t>ТВОЯ СЕТЬ, ООО</t>
  </si>
  <si>
    <t>ТВС, АО</t>
  </si>
  <si>
    <t>ТВС, ООО</t>
  </si>
  <si>
    <t>ТВСЗ, АО</t>
  </si>
  <si>
    <t>ТВЭЛ, АО</t>
  </si>
  <si>
    <t>ТВЭЛ-СТРОЙ, АО</t>
  </si>
  <si>
    <t>ТГ РУСЖДТРАНС, ООО</t>
  </si>
  <si>
    <t>ТГ СОЮЗ, ООО</t>
  </si>
  <si>
    <t>ТГК-11, АО</t>
  </si>
  <si>
    <t>ТГК-14, ПАО</t>
  </si>
  <si>
    <t>ТГК-16, АО</t>
  </si>
  <si>
    <t>ТГК-2 ЭНЕРГОСБЫТ, ООО</t>
  </si>
  <si>
    <t>ТГК-2, ПАО</t>
  </si>
  <si>
    <t>ТГС, ООО</t>
  </si>
  <si>
    <t>ТД АБРАУ, ООО</t>
  </si>
  <si>
    <t>ТД АБСОЛЮТ, ООО</t>
  </si>
  <si>
    <t>ТД АВЕРС, ООО</t>
  </si>
  <si>
    <t>ТД АВТОХИТ, ООО</t>
  </si>
  <si>
    <t>ТД АГРО-БЕЛОГОРЬЕ, ООО</t>
  </si>
  <si>
    <t>ТД АГРОКОМПЛЕКС, ООО</t>
  </si>
  <si>
    <t>ТД АЗ УРАЛ, ООО</t>
  </si>
  <si>
    <t>ТД АККОНД, ООО</t>
  </si>
  <si>
    <t>ТД АКУЛЬЧЕВ, ООО</t>
  </si>
  <si>
    <t>ТД АЛЬСКОМ, ООО</t>
  </si>
  <si>
    <t>ТД АМР, ООО</t>
  </si>
  <si>
    <t>ТД АРЕАЛ, ООО</t>
  </si>
  <si>
    <t>ТД АРОМА, АО</t>
  </si>
  <si>
    <t>ТД АСКОНА, ООО</t>
  </si>
  <si>
    <t>ТД БАЛТИЙСКИЙ БЕРЕГ, ООО</t>
  </si>
  <si>
    <t>ТД БАРС, ООО</t>
  </si>
  <si>
    <t>ТД БАТЭ, ООО</t>
  </si>
  <si>
    <t>ТД БЕЛАЗ, АО</t>
  </si>
  <si>
    <t>ТД БЕЛОГОРЬЕ, ООО</t>
  </si>
  <si>
    <t>ТД ВАКУМПАК, ООО</t>
  </si>
  <si>
    <t>ТД ВКУСНЫЕ КОНСЕРВЫ, ООО</t>
  </si>
  <si>
    <t>ТД ВЭЛАН, ООО</t>
  </si>
  <si>
    <t>ТД ГЕФЕСТ, ООО</t>
  </si>
  <si>
    <t>ТД ГЛОБАЛ ФУДС, ООО</t>
  </si>
  <si>
    <t>ТД ГУМ, АО</t>
  </si>
  <si>
    <t>ТД ДМИТРОГОРСКИЙ ПРОДУКТ, ООО</t>
  </si>
  <si>
    <t>ТД ЕВРОСИБЭНЕРГО, ООО</t>
  </si>
  <si>
    <t>ТД ЗЕРНО ЗАВОЛЖЬЯ, ООО</t>
  </si>
  <si>
    <t>ТД ИНВЕСТПРОМ-ОПТ, ООО</t>
  </si>
  <si>
    <t>ТД КЕЙЭСПИ СТИЛ, ООО</t>
  </si>
  <si>
    <t>ТД КОМПЛЕКС АГРО, ООО</t>
  </si>
  <si>
    <t>ТД КРАХМАЛПРОДУКТ, ООО</t>
  </si>
  <si>
    <t>ТД КРЫМСКИЙ СТАТУС, ООО</t>
  </si>
  <si>
    <t>ТД КУДО, ООО</t>
  </si>
  <si>
    <t>ТД КУЩЕВСКИЙ, ООО</t>
  </si>
  <si>
    <t>ТД КХЗ, ООО</t>
  </si>
  <si>
    <t>ТД КЬЮТЭК, ООО</t>
  </si>
  <si>
    <t>ТД Л-ПАК, ООО</t>
  </si>
  <si>
    <t>ТД ЛАЗУРИТ, ООО</t>
  </si>
  <si>
    <t>ТД ЛЕКРОН, ООО</t>
  </si>
  <si>
    <t>ТД ЛИОН, ООО</t>
  </si>
  <si>
    <t>ТД ЛОГОС, ООО</t>
  </si>
  <si>
    <t>ТД М-К, ООО</t>
  </si>
  <si>
    <t>ТД МЕГА-ДОН, ООО</t>
  </si>
  <si>
    <t>ТД МЕГАПОЛИС, ООО</t>
  </si>
  <si>
    <t>ТД МИНДАЛЬ, ООО</t>
  </si>
  <si>
    <t>ТД МИР КОЛБАС, ООО</t>
  </si>
  <si>
    <t>ТД МИР СВАРКИ, ООО</t>
  </si>
  <si>
    <t>ТД МОЛКОМ, ООО</t>
  </si>
  <si>
    <t>ТД МТЗ, ООО</t>
  </si>
  <si>
    <t>ТД МТЗ-СТАВРОПОЛЬ, ООО</t>
  </si>
  <si>
    <t>ТД НЕВА, ООО</t>
  </si>
  <si>
    <t>ТД НЗСП, ООО</t>
  </si>
  <si>
    <t>ТД ОВК, ООО</t>
  </si>
  <si>
    <t>ТД ОРИОН, ООО</t>
  </si>
  <si>
    <t>ТД ПАРТНЕР, АО</t>
  </si>
  <si>
    <t>ТД ПОВОЛЖЬЕ, ООО</t>
  </si>
  <si>
    <t>ТД ПОЛИМЕТАЛЛ, ООО</t>
  </si>
  <si>
    <t>ТД ПРЕМИУМ ТАБАККО, ООО</t>
  </si>
  <si>
    <t>ТД ПРО АКВА, ООО</t>
  </si>
  <si>
    <t>ТД ПРОДСЕРВИС, ООО</t>
  </si>
  <si>
    <t>ТД ПРОПЛЕКС, ООО</t>
  </si>
  <si>
    <t>ТД РЕГИОНПРОМСЕРВИС, ООО</t>
  </si>
  <si>
    <t>ТД РИФ, ООО</t>
  </si>
  <si>
    <t>ТД РУССКИЙ АЛКОГОЛЬ-МОСКВА, ООО</t>
  </si>
  <si>
    <t>ТД РУССКИЙ ХОЛОДЪ, АО</t>
  </si>
  <si>
    <t>ТД РФП, ООО</t>
  </si>
  <si>
    <t>ТД САТУРН, ООО</t>
  </si>
  <si>
    <t>ТД СВЕТЛОЯРСКИЕ НЕФТЕПРОДУКТЫ, ООО</t>
  </si>
  <si>
    <t>ТД СВИНПРОМ, АО</t>
  </si>
  <si>
    <t>ТД СЕВЕР, ООО</t>
  </si>
  <si>
    <t>ТД СИБИРЬ, ООО</t>
  </si>
  <si>
    <t>ТД СТИНЕРЖИ, ООО</t>
  </si>
  <si>
    <t>ТД СТОЛИЦА, ООО</t>
  </si>
  <si>
    <t>ТД СФЕРА, ООО</t>
  </si>
  <si>
    <t>ТД ТИНКО, ООО</t>
  </si>
  <si>
    <t>ТД ТОЛЕДО, ООО</t>
  </si>
  <si>
    <t>ТД ТОРЭКС, ООО</t>
  </si>
  <si>
    <t>ТД ТРАКТ, АО</t>
  </si>
  <si>
    <t>ТД ТРАНС-ОЙЛ, ООО</t>
  </si>
  <si>
    <t>ТД ТРАНССЕРВИС, ООО</t>
  </si>
  <si>
    <t>ТД ТРЕЙД-ЮГ, ООО</t>
  </si>
  <si>
    <t>ТД ТРИЯ, ООО</t>
  </si>
  <si>
    <t>ТД ТУЛА-СТАЛЬ, ООО</t>
  </si>
  <si>
    <t>ТД ТЭС, ООО</t>
  </si>
  <si>
    <t>ТД ТЯЖПРЕССМАШ , ООО ТД ТПМ, ООО</t>
  </si>
  <si>
    <t>ТД УЛЬТРА ФИШ, ООО</t>
  </si>
  <si>
    <t>ТД УНКОМТЕХ, ООО</t>
  </si>
  <si>
    <t>ТД УРАЛ, ООО</t>
  </si>
  <si>
    <t>ТД УРАЛДОЛОМИТ, ООО</t>
  </si>
  <si>
    <t>ТД УРАЛЭНЕРГО, ООО</t>
  </si>
  <si>
    <t>ТД УСПЕХ, ООО</t>
  </si>
  <si>
    <t>ТД ФОРМАТ, ООО</t>
  </si>
  <si>
    <t>ТД ФРЕГАТ, ООО</t>
  </si>
  <si>
    <t>ТД ФТК, ООО</t>
  </si>
  <si>
    <t>ТД ХАЙЛОН-РУС, ООО</t>
  </si>
  <si>
    <t>ТД ХАЛМЕК, ООО</t>
  </si>
  <si>
    <t>ТД ХИМАГРО, ООО</t>
  </si>
  <si>
    <t>ТД ХОЛДИНГ-ЦЕНТР, ПАО</t>
  </si>
  <si>
    <t>ТД ЦУМ, ОАО</t>
  </si>
  <si>
    <t>ТД ЧЕЛНЫ-ХЛЕБ, ООО</t>
  </si>
  <si>
    <t>ТД ЧЕРКИЗОВО, ООО</t>
  </si>
  <si>
    <t>ТД ЧЕРНОЗЕМЬЕ, ООО</t>
  </si>
  <si>
    <t>ТД ШАХУНСКОЕ МОЛОКО, ООО</t>
  </si>
  <si>
    <t>ТД ШКУРЕНКО, ООО</t>
  </si>
  <si>
    <t>ТД ЭКОМЯСПРОМ, ООО</t>
  </si>
  <si>
    <t>ТД ЭКОНИВА МОЛОЧНЫЕ ПРОДУКТЫ, ООО</t>
  </si>
  <si>
    <t>ТД ЭКОНО-ТЕХ, ООО</t>
  </si>
  <si>
    <t>ТД ЭКСИМПАК-РОТОПРИНТ, ООО</t>
  </si>
  <si>
    <t>ТД ЭКСПЕРТ-КАБЕЛЬ, ООО</t>
  </si>
  <si>
    <t>ТД ЭКСПРОФ, ООО</t>
  </si>
  <si>
    <t>ТД ЭЛЕКТРОТЕХМОНТАЖ, ООО</t>
  </si>
  <si>
    <t>ТД ЮЖНЫЙ, ООО</t>
  </si>
  <si>
    <t>ТД-ВИК, ООО</t>
  </si>
  <si>
    <t>ТД-МКМ, ООО</t>
  </si>
  <si>
    <t>ТД-ХОЛДИНГ, ООО</t>
  </si>
  <si>
    <t>ТД-ЭКОПРОДУКТ, АО</t>
  </si>
  <si>
    <t>ТДА, ООО</t>
  </si>
  <si>
    <t>ТДВ, ООО</t>
  </si>
  <si>
    <t>ТДК, ООО</t>
  </si>
  <si>
    <t>ТДКБГ, ООО</t>
  </si>
  <si>
    <t>ТДМ, ООО</t>
  </si>
  <si>
    <t>ТДМД, ООО</t>
  </si>
  <si>
    <t>ТДС, ООО</t>
  </si>
  <si>
    <t>ТДСК, ОАО</t>
  </si>
  <si>
    <t>ТДСК, АО</t>
  </si>
  <si>
    <t>ТЕВА, ООО</t>
  </si>
  <si>
    <t>ТЕК-КОМ ПРОИЗВОДСТВО, ООО</t>
  </si>
  <si>
    <t>ТЕКЛЮБ, ООО</t>
  </si>
  <si>
    <t>ТЕКОН-ИНЖИНИРИНГ, АО</t>
  </si>
  <si>
    <t>ТЕЛЕКОМ ИНТЕГРАЦИЯ, ООО</t>
  </si>
  <si>
    <t>ТЕЛЕМАТИЧЕСКИЕ РЕШЕНИЯ, ООО</t>
  </si>
  <si>
    <t>ТЕЛЕРИТЕЙЛ, ООО</t>
  </si>
  <si>
    <t>ТЕЛС ГЛОБАЛ, ООО</t>
  </si>
  <si>
    <t>ТЕЛС-РУС, ООО</t>
  </si>
  <si>
    <t>ТЕМЕРСО, АО</t>
  </si>
  <si>
    <t>ТЕМП АВТО ФКДД, ООО</t>
  </si>
  <si>
    <t>ТЕНДЕРМАРКЕТ, ООО</t>
  </si>
  <si>
    <t>ТЕПЛИЧНЫЙ КОМБИНАТ МАЙСКИЙ, ООО</t>
  </si>
  <si>
    <t>ТЕПЛО КОЛОМНЫ, МУП</t>
  </si>
  <si>
    <t>ТЕПЛОВАЯ КОМПАНИЯ, МП Г. ОМСКА</t>
  </si>
  <si>
    <t>ТЕПЛОВОДОХРАН, ООО НПП</t>
  </si>
  <si>
    <t>ТЕПЛОВОЕ ОБОРУДОВАНИЕ, ООО</t>
  </si>
  <si>
    <t>ТЕПЛОСЕТЬ САНКТ-ПЕТЕРБУРГА, АО</t>
  </si>
  <si>
    <t>ТЕПЛОСЕТЬ, АО</t>
  </si>
  <si>
    <t>ТЕПЛОСЕТЬ, ООО</t>
  </si>
  <si>
    <t>ТЕПЛОСФЕРА, ООО</t>
  </si>
  <si>
    <t>ТЕПЛОФИКАЦИЯ, МП ТРЕСТ</t>
  </si>
  <si>
    <t>ТЕПЛОЭНЕРГО, АО</t>
  </si>
  <si>
    <t>ТЕПЛОЭНЕРГО, ООО</t>
  </si>
  <si>
    <t>ТЕПЛОЭНЕРГОСЕРВИС, АО</t>
  </si>
  <si>
    <t>ТЕПЛЫЙ ДОМ СМ, ЗАО</t>
  </si>
  <si>
    <t>ТЕРЕМ, ООО</t>
  </si>
  <si>
    <t>ТЕРЕМОК-ИНВЕСТ, АО</t>
  </si>
  <si>
    <t>ТЕРЕМОК-РУССКИЕ БЛИНЫ, ООО</t>
  </si>
  <si>
    <t>ТЕРЕМЪ, ООО</t>
  </si>
  <si>
    <t>ТЕРМИНАЛ АСТАФЬЕВА, АО</t>
  </si>
  <si>
    <t>ТЕРМИНАЛ ЕМЕЛЬЯНОВО, ООО</t>
  </si>
  <si>
    <t>ТЕБОЙЛ РУС, ООО</t>
  </si>
  <si>
    <t>ТГК-1, ПАО</t>
  </si>
  <si>
    <t>ТЕРМИНАЛ-ЮГ, ООО</t>
  </si>
  <si>
    <t>ТЕРМОЛЮКС, ООО</t>
  </si>
  <si>
    <t>ТЕРМОПОЛИМЕР, ООО</t>
  </si>
  <si>
    <t>ТЕРНЕЙЛЕС, ОАО</t>
  </si>
  <si>
    <t>ТЕРНЕФТЕГАЗ, ЗАО</t>
  </si>
  <si>
    <t>ТЕРРА ГРУПП, ООО</t>
  </si>
  <si>
    <t>ТЕРРАЛИНК, ООО</t>
  </si>
  <si>
    <t>ТЕСЕ СИСТЕМС, ООО</t>
  </si>
  <si>
    <t>ТЕСТОРИ, ООО</t>
  </si>
  <si>
    <t>ТЕХАВТОЦЕНТР, ООО</t>
  </si>
  <si>
    <t>ТЕХВЭБ, ООО</t>
  </si>
  <si>
    <t>ТЕХИНКОМ ПИТЕР, ООО</t>
  </si>
  <si>
    <t>ТЕХИНКОМ-АВТО, ООО</t>
  </si>
  <si>
    <t>ТЕХИНКОМ-КОМТРАНС, ООО</t>
  </si>
  <si>
    <t>ТЕХИНКОМ-СПЕЦТЕХ, ООО</t>
  </si>
  <si>
    <t>ТЕХИНСНАБ, ООО</t>
  </si>
  <si>
    <t>ТЕХКОМПАНИЯ ОНОР, ООО</t>
  </si>
  <si>
    <t>ТЕХКОМПАНИЯ ХУАВЭЙ, ООО</t>
  </si>
  <si>
    <t>ТЕХКОНСУР, ООО</t>
  </si>
  <si>
    <t>ТЕХКОРМ НУТРИШЕН, ООО</t>
  </si>
  <si>
    <t>ТЕХМАШЮНИТ, ООО</t>
  </si>
  <si>
    <t>ТЕХМЕТ, ООО</t>
  </si>
  <si>
    <t>ТД ТМК, АО</t>
  </si>
  <si>
    <t>ТЕХНИКА ДЛЯ БИЗНЕСА, ООО</t>
  </si>
  <si>
    <t>ТЕХНО-КАСКАД, ООО</t>
  </si>
  <si>
    <t>ТЕХНО-ТЕМП, ООО</t>
  </si>
  <si>
    <t>ТЕХНОАВИА-САНКТ-ПЕТЕРБУРГ, ООО</t>
  </si>
  <si>
    <t>ТЕХНОАЛЬЯНС, ООО ТД</t>
  </si>
  <si>
    <t>ТЕХНОГРУПП, ООО</t>
  </si>
  <si>
    <t>ТЕХНОДОМ, ООО</t>
  </si>
  <si>
    <t>ТЕХНОКОНЦЕПТ, ООО</t>
  </si>
  <si>
    <t>ТЕХНОЛАЙТ, ООО</t>
  </si>
  <si>
    <t>ТЕХНОЛОГИИ И ПРОЕКТЫ, ООО</t>
  </si>
  <si>
    <t>ТЕХНОЛОГИИ ОФС, АО</t>
  </si>
  <si>
    <t>ТЕХНОЛОГИИ УСПЕХА, ООО</t>
  </si>
  <si>
    <t>ТЕХНОЛОГИЧЕСКАЯ КОМПАНИЯ ШЛЮМБЕРЖЕ, ООО</t>
  </si>
  <si>
    <t>ТЕХНОЛОГИЯ БУРЕНИЯ, ООО</t>
  </si>
  <si>
    <t>ТЕХНОЛОГИЯ ЛЕКАРСТВ, ООО</t>
  </si>
  <si>
    <t>ТЕХНОЛОГИЯ ПРО, ООО</t>
  </si>
  <si>
    <t>ТЕХНОЛОГИЯ СИБИРИ, ООО</t>
  </si>
  <si>
    <t>ТЕХНОМАШ, ООО</t>
  </si>
  <si>
    <t>ТЕХНОМЕТ, ООО</t>
  </si>
  <si>
    <t>ТЕХНОМИР, ООО</t>
  </si>
  <si>
    <t>ТЕХНОНИКОЛЬ, ООО</t>
  </si>
  <si>
    <t>ТЕХНОНИКОЛЬ-СТРОИТЕЛЬНЫЕ СИСТЕМЫ, ООО</t>
  </si>
  <si>
    <t>ТГК, АО</t>
  </si>
  <si>
    <t>ТЕХНОПАРК-ЦЕНТР, ООО</t>
  </si>
  <si>
    <t>ТЕХНОПРОМ, ООО</t>
  </si>
  <si>
    <t>ТЕХНОСЕЙЛ, ООО</t>
  </si>
  <si>
    <t>ТЕХНОСИНЕРГИЯ, ООО</t>
  </si>
  <si>
    <t>ТЕХНОСИСТЕМА, ООО</t>
  </si>
  <si>
    <t>ТЕХНОСПЕЦСТРОЙ, ООО</t>
  </si>
  <si>
    <t>ТЕХНОСТАЙЛ, ООО</t>
  </si>
  <si>
    <t>ТЕХНОСТИЛЬ ПРЕМИУМ, ООО</t>
  </si>
  <si>
    <t>ТЕХНОСТРОЙ, ООО</t>
  </si>
  <si>
    <t>ТЕХНОСФЕРА ИНЖИНИРИНГ, ООО</t>
  </si>
  <si>
    <t>ТЕХНОСФЕРА, ООО</t>
  </si>
  <si>
    <t>ТЕХНОТОРГ, АО</t>
  </si>
  <si>
    <t>ТЕХНОТРЕЙД, ООО</t>
  </si>
  <si>
    <t>ТЕХНОТРОН, ООО</t>
  </si>
  <si>
    <t>ТЕХНОФАРМ, ООО</t>
  </si>
  <si>
    <t>ТЕХНОЭКСПОРТ, ООО</t>
  </si>
  <si>
    <t>ТЕХНРАЙЗ, ООО</t>
  </si>
  <si>
    <t>ТЕХОИЛ, ООО</t>
  </si>
  <si>
    <t>ТЕХПОЛИМЕР, ЗАО</t>
  </si>
  <si>
    <t>ТЕХПОЛИМЕР, ООО</t>
  </si>
  <si>
    <t>ТЕХПОСТАВКА 10, ООО</t>
  </si>
  <si>
    <t>ТЕХПРОМ, ООО ТД</t>
  </si>
  <si>
    <t>ТЕХПРОМКОМПЛЕКТ, ООО</t>
  </si>
  <si>
    <t>ТЕХПРОМТОРГ, ООО</t>
  </si>
  <si>
    <t>ТЕХСЕРВИС, ООО</t>
  </si>
  <si>
    <t>ТЕХСЕРВИС-БЛАГОВЕЩЕНСК, АО</t>
  </si>
  <si>
    <t>ТЕХСЕРВИС-ХАБАРОВСК, ООО</t>
  </si>
  <si>
    <t>ТЕХСТРОЙ, ООО</t>
  </si>
  <si>
    <t>ТЕХЦЕНТР СУМОТОРИ, ООО</t>
  </si>
  <si>
    <t>ТЕХЮГСНАБ, ООО</t>
  </si>
  <si>
    <t>ТЗК АЭРОФЬЮЭЛЗ, ООО</t>
  </si>
  <si>
    <t>ТЗК ВОЛГА, ООО</t>
  </si>
  <si>
    <t>ТЗК КРЫЛАТСКИЙ, ООО</t>
  </si>
  <si>
    <t>ТЗК-АЭРО, ООО</t>
  </si>
  <si>
    <t>ТЗНПО, ООО</t>
  </si>
  <si>
    <t>ТЗПМ, ООО</t>
  </si>
  <si>
    <t>ТЗРК, АО</t>
  </si>
  <si>
    <t>ТИ ПИ ВИ СИ-АЙ-ЭС, ООО</t>
  </si>
  <si>
    <t>ТИ ЭС СИ ТИ МЕНЕДЖМЕНТ, ООО УК</t>
  </si>
  <si>
    <t>ТИЗОЛ, АО</t>
  </si>
  <si>
    <t>ТИККУРИЛА, ООО</t>
  </si>
  <si>
    <t>ТИМАШЕВСКИЕ ОВОЩИ, ООО</t>
  </si>
  <si>
    <t>ТИМБЕРМАШ БАЙКАЛ, ООО</t>
  </si>
  <si>
    <t>ТИМБЕРТРАНС, ООО</t>
  </si>
  <si>
    <t>ТИМОША, ООО</t>
  </si>
  <si>
    <t>ТИНКА, ООО</t>
  </si>
  <si>
    <t>ТИНЬКОФФ МОБАЙЛ, ООО</t>
  </si>
  <si>
    <t>ТИНЬКОФФ ЦЕНТР РАЗРАБОТКИ, ООО</t>
  </si>
  <si>
    <t>ТИПОГРАФИЯ ИНДУСТРИЯ ЦВЕТА, ООО</t>
  </si>
  <si>
    <t>ТИПОГРАФИЯ ПЕЧАТНЯ, ООО</t>
  </si>
  <si>
    <t>ЧЕРНЫШИХИНСКИЙ МЯСОКОМБИНАТ, ООО</t>
  </si>
  <si>
    <t>ТИТАН ТЕХНОЛОДЖИ ПАЙПЛАЙН, ООО</t>
  </si>
  <si>
    <t>ТИТАН, ООО ПКП</t>
  </si>
  <si>
    <t>ТИТАН-ИНТЕР-ТРЕЙД, ООО</t>
  </si>
  <si>
    <t>ТИХВИНСПЕЦМАШ, АО</t>
  </si>
  <si>
    <t>ТИХОРЕЦК-НАФТА, ООО</t>
  </si>
  <si>
    <t>ТК АГАТ-ЛОГИСТИК, ООО</t>
  </si>
  <si>
    <t>ТК АГРОС, ООО</t>
  </si>
  <si>
    <t>ТК АЗС-ИНВЕСТ, ООО</t>
  </si>
  <si>
    <t>ТК АЙСБЕРГ, ООО</t>
  </si>
  <si>
    <t>ТК АКСИОН, ООО</t>
  </si>
  <si>
    <t>ТК АЛЬФА, АО</t>
  </si>
  <si>
    <t>ТК АТЛАС, ООО</t>
  </si>
  <si>
    <t>ТК БИКОМ, ООО</t>
  </si>
  <si>
    <t>ТК БРОЗЭКС, ООО</t>
  </si>
  <si>
    <t>ТК ВИКТОРИЯ, ООО</t>
  </si>
  <si>
    <t>ТК ВЫМПЕЛ, ООО</t>
  </si>
  <si>
    <t>ТК ДВ АЛЬЯНС, ООО</t>
  </si>
  <si>
    <t>ТК ЕЛЕЦКИЕ ОВОЩИ, ООО</t>
  </si>
  <si>
    <t>ТК ЗЕЛЕНАЯ ЛИНИЯ, ООО</t>
  </si>
  <si>
    <t>ТК ИНАГРО, ООО</t>
  </si>
  <si>
    <t>ТК ИРБИС, ООО</t>
  </si>
  <si>
    <t>ТК КОММАШ-ГРАЗ, ООО</t>
  </si>
  <si>
    <t>ТК КОНДИТЕРСКИЙ МИР, ООО</t>
  </si>
  <si>
    <t>ТК ЛЕТО, ООО</t>
  </si>
  <si>
    <t>ТК ЛИПЕЦКАГРО, ООО</t>
  </si>
  <si>
    <t>ТК МАГНУМ ОЙЛ, ООО</t>
  </si>
  <si>
    <t>ТК МЕГАПОЛИС, АО</t>
  </si>
  <si>
    <t>ТК МИРАТОРГ, ООО</t>
  </si>
  <si>
    <t>ТК НОВГОРОДСКАЯ, ООО</t>
  </si>
  <si>
    <t>ТК ОМЗ, ООО</t>
  </si>
  <si>
    <t>ТК ОСНОВА, ООО</t>
  </si>
  <si>
    <t>ТК ПРОГРЕСС, ООО</t>
  </si>
  <si>
    <t>ТК ПРОТОН, ООО</t>
  </si>
  <si>
    <t>ТК ПЭППЭЛЛ, ООО</t>
  </si>
  <si>
    <t>ТК РБ, АО</t>
  </si>
  <si>
    <t>ТК РЕГИОН 42, ООО</t>
  </si>
  <si>
    <t>ТК РЕСУРС, ООО</t>
  </si>
  <si>
    <t>ТК РУСГИДРО, АО</t>
  </si>
  <si>
    <t>ТК САХАР, ООО</t>
  </si>
  <si>
    <t>ТК СЕВЕРНЫЙ ПРОЕКТ, ООО</t>
  </si>
  <si>
    <t>ТК СТАЛЬИНТЕКС ТРЕЙД, ООО</t>
  </si>
  <si>
    <t>ТК ТЕРРИТОРИЯ, ООО</t>
  </si>
  <si>
    <t>ТК ТРАНЗИТСИТИ, ООО</t>
  </si>
  <si>
    <t>ТК ЭКСПЕРТ-КАБЕЛЬ, ООО</t>
  </si>
  <si>
    <t>ТК ЭЛЕВАТОР, ООО</t>
  </si>
  <si>
    <t>ТК ЮГНЕФТЕПРОДУКТ, ООО</t>
  </si>
  <si>
    <t>ТК ЯРВЕТ, ООО</t>
  </si>
  <si>
    <t>ТК-ВИКТОРИЯ, ООО</t>
  </si>
  <si>
    <t>ТК9.РУ, ООО</t>
  </si>
  <si>
    <t>ТКК, ООО</t>
  </si>
  <si>
    <t>ТКЛЦ, ООО</t>
  </si>
  <si>
    <t>ТКП , ТКП, АО</t>
  </si>
  <si>
    <t>ТКФ КОРПАС, ООО</t>
  </si>
  <si>
    <t>ТЛГ, ООО</t>
  </si>
  <si>
    <t>ТЛД ЭКСПО, ООО</t>
  </si>
  <si>
    <t>ТЛК ВЛ ЛОДЖИСТИК, ООО</t>
  </si>
  <si>
    <t>ТЛК СЭТ, ООО</t>
  </si>
  <si>
    <t>ТЛС, АО</t>
  </si>
  <si>
    <t>ТЛЦ, ООО</t>
  </si>
  <si>
    <t>ТМ ИНВЕСТ, ООО</t>
  </si>
  <si>
    <t>ТМЗ, ООО ТД</t>
  </si>
  <si>
    <t>ТМК МЕТА, ООО</t>
  </si>
  <si>
    <t>ТМК НГС-НИЖНЕВАРТОВСК, АО</t>
  </si>
  <si>
    <t>ТМК ОПТТОРГ, ООО</t>
  </si>
  <si>
    <t>ТМК СТАЛЬНЫЕ ТЕХНОЛОГИИ, ООО</t>
  </si>
  <si>
    <t>ТМК ТРУБНЫЙ СЕРВИС, ООО</t>
  </si>
  <si>
    <t>ТМК, АО</t>
  </si>
  <si>
    <t>ТМК, ООО</t>
  </si>
  <si>
    <t>ТМК-КПВ, АО</t>
  </si>
  <si>
    <t>ТМК-ЯМЗ, ООО</t>
  </si>
  <si>
    <t>ТМС ГРУПП, УК ООО</t>
  </si>
  <si>
    <t>ТМТП, АО</t>
  </si>
  <si>
    <t>ТН-АВИАСЕРВИС, ООО</t>
  </si>
  <si>
    <t>ТН-АЗС-ЗАПАД, ООО</t>
  </si>
  <si>
    <t>ТН-СЕРВИС, ООО</t>
  </si>
  <si>
    <t>ТНГ, АО</t>
  </si>
  <si>
    <t>ТНГ- ГЕОСЕЙС, ООО</t>
  </si>
  <si>
    <t>ТНГ-ГРУПП, ООО</t>
  </si>
  <si>
    <t>ТНГ-ЮГРАСЕРВИС, ООО</t>
  </si>
  <si>
    <t>ТНК, ООО</t>
  </si>
  <si>
    <t>ТНН, АО</t>
  </si>
  <si>
    <t>ТНП-МЕНЕДЖМЕНТ, ООО</t>
  </si>
  <si>
    <t>ТНС ЭНЕРГО ВЕЛИКИЙ НОВГОРОД, ООО</t>
  </si>
  <si>
    <t>ТНС ЭНЕРГО ВОРОНЕЖ, ПАО</t>
  </si>
  <si>
    <t>ТНС ЭНЕРГО КАРЕЛИЯ, АО</t>
  </si>
  <si>
    <t>ТНС ЭНЕРГО КУБАНЬ, ПАО</t>
  </si>
  <si>
    <t>ТНС ЭНЕРГО МАРИЙ ЭЛ, ПАО</t>
  </si>
  <si>
    <t>ТНС ЭНЕРГО НН, ПАО</t>
  </si>
  <si>
    <t>ТНС ЭНЕРГО ПЕНЗА, ООО</t>
  </si>
  <si>
    <t>ТНС ЭНЕРГО РОСТОВ-НА-ДОНУ, ПАО</t>
  </si>
  <si>
    <t>ТНС ЭНЕРГО ТУЛА, АО</t>
  </si>
  <si>
    <t>ТНС ЭНЕРГО ЯРОСЛАВЛЬ, ПАО</t>
  </si>
  <si>
    <t>ТНС ЭНЕРГО, ПАО ГК</t>
  </si>
  <si>
    <t>ТНТ, АО</t>
  </si>
  <si>
    <t>ТО-6 МЕТРОСТРОЯ, ООО</t>
  </si>
  <si>
    <t>ТОВАРНОЕ ХОЗЯЙСТВО, ООО</t>
  </si>
  <si>
    <t>ТОВАРНЫЙ ДВОР РПК, ООО</t>
  </si>
  <si>
    <t>ТМГ, ООО</t>
  </si>
  <si>
    <t>ТОЙОТА МОТОР, ООО</t>
  </si>
  <si>
    <t>ТОКАРЕВСКАЯ ПТИЦЕФАБРИКА, ОАО</t>
  </si>
  <si>
    <t>ТОЛМАЧЁВСКИЙ, ООО ТК</t>
  </si>
  <si>
    <t>ТОМИНСКИЙ ГОК, АО</t>
  </si>
  <si>
    <t>ТОМЛЕСДРЕВ, ООО</t>
  </si>
  <si>
    <t>ТОММОЛОКО, ЗАО</t>
  </si>
  <si>
    <t>ТОМСКАЯ ГЕНЕРАЦИЯ, АО</t>
  </si>
  <si>
    <t>ТОМСККАБЕЛЬ, ООО</t>
  </si>
  <si>
    <t>ТОМСКНЕФТЬ ВНК, АО</t>
  </si>
  <si>
    <t>ТОМСКОЕ ПИВО, ОАО</t>
  </si>
  <si>
    <t>ТОМСКРТС, АО</t>
  </si>
  <si>
    <t>ТОМСКЭНЕРГОСБЫТ, АО</t>
  </si>
  <si>
    <t>ТОМФЛЕКС, ООО</t>
  </si>
  <si>
    <t>ТОН-АВТО, АО</t>
  </si>
  <si>
    <t>ТОНАР, ООО МЗ</t>
  </si>
  <si>
    <t>ТОННЕЛЬ-2001, ООО</t>
  </si>
  <si>
    <t>ТОП ГРЕЙН Л.Т.Д., ООО</t>
  </si>
  <si>
    <t>ТОП ЛУБРИКАНТС, ООО</t>
  </si>
  <si>
    <t>ТОП ХАУС, ООО</t>
  </si>
  <si>
    <t>ТОП ЭНЕРГО, ООО</t>
  </si>
  <si>
    <t>ТОПИНВЕСТ, ООО</t>
  </si>
  <si>
    <t>ТОПКИНСКИЙ ЦЕМЕНТ, ООО</t>
  </si>
  <si>
    <t>ТОПКРАН-ПРОЕКТ, ООО</t>
  </si>
  <si>
    <t>ТОПЛИВНЫЕ СИСТЕМЫ, ООО</t>
  </si>
  <si>
    <t>ТОППРОМ, АО</t>
  </si>
  <si>
    <t>ТОПТРЕЙД, ООО</t>
  </si>
  <si>
    <t>ТОР, ООО ТД</t>
  </si>
  <si>
    <t>ТОРГ-КЛАССИК, ООО</t>
  </si>
  <si>
    <t>ТОРГМАСТЕР, ООО</t>
  </si>
  <si>
    <t>ТОРГМОЛЛ, ООО</t>
  </si>
  <si>
    <t>ТОРГОВАЯ ГРУППА ГЛОБАЛ-ВЕТ, ООО</t>
  </si>
  <si>
    <t>ТОРГОВАЯ КОМПАНИЯ АБРИС, ООО</t>
  </si>
  <si>
    <t>ТОРГОВАЯ КОМПАНИЯ АКМ, ООО</t>
  </si>
  <si>
    <t>ТОРГОВАЯ КОМПАНИЯ НЕРЕЙ, ООО</t>
  </si>
  <si>
    <t>ТОРГОВАЯ КОМПАНИЯ РУСЬ-МАТУШКА, ООО</t>
  </si>
  <si>
    <t>ТОРГОВАЯ ПРОМЫШЛЕННАЯ КОМПАНИЯ, ООО</t>
  </si>
  <si>
    <t>ТОРГОВОЕ БЮРО, ООО</t>
  </si>
  <si>
    <t>ТОРГОВЫЕ ДОМА НЕВИС, ЗАО</t>
  </si>
  <si>
    <t>ТОРГОВЫЙ ДОМ АГРОХОЛДИНГ СТЕПЬ, ООО</t>
  </si>
  <si>
    <t>ТОРГОВЫЙ ДОМ АЛБЕС ЦЕНТР, ООО</t>
  </si>
  <si>
    <t>ТОРГОВЫЙ ДОМ АРОМА, ЗАО</t>
  </si>
  <si>
    <t>ТОРГОВЫЙ ДОМ БМЗ, ООО</t>
  </si>
  <si>
    <t>ТОРГОВЫЙ ДОМ БФ, ООО</t>
  </si>
  <si>
    <t>ТОРГОВЫЙ ДОМ ВДС, ООО</t>
  </si>
  <si>
    <t>ТОРГОВЫЙ ДОМ ВКТ, ООО</t>
  </si>
  <si>
    <t>ТОРГОВЫЙ ДОМ ВЫБОРЖЕЦ, ООО</t>
  </si>
  <si>
    <t>ТОРГОВЫЙ ДОМ ГЛАСС ДЕКОР, ООО</t>
  </si>
  <si>
    <t>ТОРГОВЫЙ ДОМ ДОМИНАНТ, ООО</t>
  </si>
  <si>
    <t>ТОРГОВЫЙ ДОМ ЗЕМЛЯНСКМОЛОКО, ООО</t>
  </si>
  <si>
    <t>ТОРГОВЫЙ ДОМ КАМДОРСНАБ, ООО</t>
  </si>
  <si>
    <t>ТОРГОВЫЙ ДОМ ЛАБАЗ, ООО</t>
  </si>
  <si>
    <t>ТОРГОВЫЙ ДОМ МТЗ-СЕВЕРО-ЗАПАД, ООО</t>
  </si>
  <si>
    <t>ТОРГОВЫЙ ДОМ МТЗ-СИБИРЬ, ООО</t>
  </si>
  <si>
    <t>ТОРГОВЫЙ ДОМ НЕФТЕМАРКЕТ, ООО</t>
  </si>
  <si>
    <t>ТОРГОВЫЙ ДОМ НЛМК, ООО</t>
  </si>
  <si>
    <t>ТОРГОВЫЙ ДОМ ПЕРЕКРЕСТОК, АО</t>
  </si>
  <si>
    <t>ТОРГОВЫЙ ДОМ ПИНСКДРЕВ, ООО</t>
  </si>
  <si>
    <t>ТОРГОВЫЙ ДОМ ПРОМЫШЛЕННОСТЬ, ООО</t>
  </si>
  <si>
    <t>ТОРГОВЫЙ ДОМ ПРОСВЕЩЕНИЕ-РЕГИОН, ООО</t>
  </si>
  <si>
    <t>ТОРГОВЫЙ ДОМ РЕАЛЪ, ООО</t>
  </si>
  <si>
    <t>ТОРГОВЫЙ ДОМ РОСТ, ООО</t>
  </si>
  <si>
    <t>ТОРГОВЫЙ ДОМ РУБЛЕВСКИЙ, ООО</t>
  </si>
  <si>
    <t>ТОРГОВЫЙ ДОМ СКК, ООО</t>
  </si>
  <si>
    <t>ТОРГОВЫЙ ДОМ ТАЛОСТО, ООО</t>
  </si>
  <si>
    <t>ТОРГОВЫЙ ДОМ ТЕРМЕКС, ООО</t>
  </si>
  <si>
    <t>ТОРГОВЫЙ ДОМ ТРАНС-АЛЬФА, ООО</t>
  </si>
  <si>
    <t>ТОРГОВЫЙ ДОМ ФЛОРИН, ООО</t>
  </si>
  <si>
    <t>ТОРГОВЫЙ ДОМ ХОЛОД, ООО</t>
  </si>
  <si>
    <t>ТОРГОВЫЙ ДОМ ЭЙ ДЖИ, ООО</t>
  </si>
  <si>
    <t>ТОРГОВЫЙ ДОМ ЭКСМО, ООО</t>
  </si>
  <si>
    <t>ТОРГОВЫЙ ДОМ ЭНЕРГО, ООО</t>
  </si>
  <si>
    <t>ТОРГОВЫЙ ДОМ ЮЖНО-СИБИРСКИЙ, АО</t>
  </si>
  <si>
    <t>ТОРГОВЫЙ ПОРТ ПОСЬЕТ, АО</t>
  </si>
  <si>
    <t>ТОРГОВЫЙ ХОЛДИНГ ЛОТОС, ООО</t>
  </si>
  <si>
    <t>ТОРГОВЫЙ ЦЕНТР ПИАСТРЕЛЛА, АО</t>
  </si>
  <si>
    <t>ТОРГОВЫЙ ДОМ ТРАКТ, АО</t>
  </si>
  <si>
    <t>ТОРГСЕРВИС 102, ООО</t>
  </si>
  <si>
    <t>ТОРГСЕРВИС 22, ООО</t>
  </si>
  <si>
    <t>ТОРГСЕРВИС 238, ООО</t>
  </si>
  <si>
    <t>ТОРГСЕРВИС 25, ООО</t>
  </si>
  <si>
    <t>ТОРГСЕРВИС 27, ООО</t>
  </si>
  <si>
    <t>ТОРГСЕРВИС 34, ООО</t>
  </si>
  <si>
    <t>ТОРГСЕРВИС 342, ООО</t>
  </si>
  <si>
    <t>ТОРГСЕРВИС 37, ООО</t>
  </si>
  <si>
    <t>ТОРГСЕРВИС 39, ООО</t>
  </si>
  <si>
    <t>ТОРГСЕРВИС 43, ООО</t>
  </si>
  <si>
    <t>ТОРГСЕРВИС 52, ООО</t>
  </si>
  <si>
    <t>ТОРГСЕРВИС 55, ООО</t>
  </si>
  <si>
    <t>ТОРГСЕРВИС 58, ООО</t>
  </si>
  <si>
    <t>ТОРГСЕРВИС 59, ООО</t>
  </si>
  <si>
    <t>ТОРГСЕРВИС 61, ООО</t>
  </si>
  <si>
    <t>ТОРГСЕРВИС 63, ООО</t>
  </si>
  <si>
    <t>ТОРГСЕРВИС 66, ООО</t>
  </si>
  <si>
    <t>ТОРГСЕРВИС 71, ООО</t>
  </si>
  <si>
    <t>ТОРГСЕРВИС 72, ООО</t>
  </si>
  <si>
    <t>ТОРГСЕРВИС 75, ООО</t>
  </si>
  <si>
    <t>ТОРГСЕРВИС 78, ООО</t>
  </si>
  <si>
    <t>ТОРГСНАБ СЕРВИС, ООО</t>
  </si>
  <si>
    <t>ТОРНЕТКОМ, ООО</t>
  </si>
  <si>
    <t>ТОРЭКС, ООО</t>
  </si>
  <si>
    <t>ТОСК, АО</t>
  </si>
  <si>
    <t>ТОСОЛ-СИНТЕЗ ТРЕЙДИНГ, ООО</t>
  </si>
  <si>
    <t>ТОЧИНВЕСТ, АО</t>
  </si>
  <si>
    <t>ТОЧКА, АО</t>
  </si>
  <si>
    <t>ТП, ООО</t>
  </si>
  <si>
    <t>ТПАС, ООО</t>
  </si>
  <si>
    <t>ТПГ ГЛАСС ДЕКОР, ООО</t>
  </si>
  <si>
    <t>ТПИ, ООО</t>
  </si>
  <si>
    <t>ТПК БАЛТПТИЦЕПРОМ, ООО</t>
  </si>
  <si>
    <t>ТПК КАМА, ООО</t>
  </si>
  <si>
    <t>ТПК ЛИСКИМОНТАЖКОНСТРУКЦИЯ, ООО</t>
  </si>
  <si>
    <t>ТПК МТЗ-ТАТАРСТАН, ООО</t>
  </si>
  <si>
    <t>ТПК СТЕНОВА, ООО</t>
  </si>
  <si>
    <t>ТПК, ООО</t>
  </si>
  <si>
    <t>ТПНК, ООО</t>
  </si>
  <si>
    <t>ТПП ВКУСНЫЕ КОНСЕРВЫ, ООО</t>
  </si>
  <si>
    <t>ТПР, ООО</t>
  </si>
  <si>
    <t>ТПС, ООО</t>
  </si>
  <si>
    <t>ТПУ ДМИТРОВСКАЯ, ООО</t>
  </si>
  <si>
    <t>ТР-ЛИНК, ООО</t>
  </si>
  <si>
    <t>ТРАЕКТОРИЯ-СЕРВИС, ООО</t>
  </si>
  <si>
    <t>ТРАКМОТОРС, ООО</t>
  </si>
  <si>
    <t>ТРАКРЕСУРС-РЕГИОН, ООО</t>
  </si>
  <si>
    <t>ТРАКС ВОСТОК РУС, ООО</t>
  </si>
  <si>
    <t>ТРАКТОРОДЕТАЛЬ ГРУПП, ООО</t>
  </si>
  <si>
    <t>ТРАКХОЛДИНГ, ООО</t>
  </si>
  <si>
    <t>ТРАКЬЯ ГЛАСС РУС, АО</t>
  </si>
  <si>
    <t>ТРАЛФЛОТ, АО</t>
  </si>
  <si>
    <t>ТРАНЗИТ КАРГО, ООО</t>
  </si>
  <si>
    <t>ТРАНЗИТ, ООО</t>
  </si>
  <si>
    <t>ТРАНЗИТСЕРВИСРЕСУРС, ООО</t>
  </si>
  <si>
    <t>ТРАНКОМ СТРОЙ, ООО</t>
  </si>
  <si>
    <t>ТРАНС СИНЕРГИЯ, ООО</t>
  </si>
  <si>
    <t>ТРАНС-АЛЬФА, АО</t>
  </si>
  <si>
    <t>ТРАНС-БАЛТ, ООО</t>
  </si>
  <si>
    <t>ТРАНС-НЕФТЬ, ООО</t>
  </si>
  <si>
    <t>ТРАНСАЗС, ЗАО</t>
  </si>
  <si>
    <t>ТРАНСАВТОЛИЗ, ООО</t>
  </si>
  <si>
    <t>ТРАНСАТЛАНТИК ИНТЕРНЕЙШНЛ, АО</t>
  </si>
  <si>
    <t>ТРАНСБУНКЕР-НОВО ООО ТРБ-НОВО, ООО</t>
  </si>
  <si>
    <t>ТРАНСГРУПП, ООО</t>
  </si>
  <si>
    <t>ТРАНСИМ ЛОГИСТИК, ООО</t>
  </si>
  <si>
    <t>ТРАНСИМПЕРИАЛ, ООО</t>
  </si>
  <si>
    <t>ТРАНСКОМ-ЛОГИСТИКА, ООО</t>
  </si>
  <si>
    <t>ТРАНСКОНТЕЙНЕР, ПАО</t>
  </si>
  <si>
    <t>ТРАНСЛЕС, ООО</t>
  </si>
  <si>
    <t>ТРАНСМЕТКОКС, ООО</t>
  </si>
  <si>
    <t>ТРАНСМЕХСЕРВИС, ООО</t>
  </si>
  <si>
    <t>ТРАНСНАФТА, ООО</t>
  </si>
  <si>
    <t>ТРАНСНЕФТЕПРОДУКТ, АО</t>
  </si>
  <si>
    <t>ТРАНСНЕФТЬ НАДЗОР, ООО</t>
  </si>
  <si>
    <t>ТРАНСНЕФТЬ ФИНАНС, ООО</t>
  </si>
  <si>
    <t>ТРАНСНЕФТЬ-БАЛТИКА, ООО</t>
  </si>
  <si>
    <t>ТРАНСНЕФТЬ-ВЕРХНЯЯ ВОЛГА, АО</t>
  </si>
  <si>
    <t>ТРАНСНЕФТЬ-ВОСТОК, ООО</t>
  </si>
  <si>
    <t>ТРАНСНЕФТЬ-ДАЛЬНИЙ ВОСТОК, ООО</t>
  </si>
  <si>
    <t>ТРАНСНЕФТЬ-ДИАСКАН, АО</t>
  </si>
  <si>
    <t>ТРАНСНЕФТЬ-ДРУЖБА, АО</t>
  </si>
  <si>
    <t>ТРАНСНЕФТЬ-ЗАПАДНАЯ СИБИРЬ, АО</t>
  </si>
  <si>
    <t>ТРАНСНЕФТЬ-МЕТРОЛОГИЯ, АО</t>
  </si>
  <si>
    <t>ТРАНСНЕФТЬ-ПОРТ КОЗЬМИНО, ООО</t>
  </si>
  <si>
    <t>ТРАНСНЕФТЬ-ПОРТ ПРИМОРСК, ООО</t>
  </si>
  <si>
    <t>ТРАНСНЕФТЬ-ПРИВОЛГА, АО</t>
  </si>
  <si>
    <t>ТРАНСНЕФТЬ-ПРИКАМЬЕ, АО</t>
  </si>
  <si>
    <t>ТРАНСНЕФТЬ-СЕВЕР, АО</t>
  </si>
  <si>
    <t>ТРАНСНЕФТЬ-СЕРВИС, ООО</t>
  </si>
  <si>
    <t>ТРАНСНЕФТЬ-СИБИРЬ, АО</t>
  </si>
  <si>
    <t>ТРАНСНЕФТЬ-ТЕХНОЛОГИИ, ООО</t>
  </si>
  <si>
    <t>ТРАНСНЕФТЬ-УРАЛ, АО</t>
  </si>
  <si>
    <t>ТРАНСНЕФТЬЭНЕРГО, ООО</t>
  </si>
  <si>
    <t>ТРАНСОЙЛПРОДУКТ, ООО</t>
  </si>
  <si>
    <t>ТРАНСПНЕВМАТИКА, АО</t>
  </si>
  <si>
    <t>ТРАНСПОЛИМЕР, ООО НПО</t>
  </si>
  <si>
    <t>ТРАНСПОРТ ДЕВЕЛОПМЕНТ ГРУПП, ООО</t>
  </si>
  <si>
    <t>ТРАНССЕРВИС, ООО</t>
  </si>
  <si>
    <t>ТРАНСПОРТНЫЕ ТЕХНОЛОГИИ, ООО</t>
  </si>
  <si>
    <t>ТРАНСПОРТНЫЙ КОМПЛЕКС, ООО</t>
  </si>
  <si>
    <t>ТРАНСПОРТНЫЙ ЦЕНТР, ООО</t>
  </si>
  <si>
    <t>ТРАНСПРОЦЕССИНГ АН, ООО</t>
  </si>
  <si>
    <t>ТРАНСРЕМКОМ, ООО</t>
  </si>
  <si>
    <t>ТРАНСРЕСУРС, ООО</t>
  </si>
  <si>
    <t>ТРАНССЕРВИСЭНЕРГО, АО</t>
  </si>
  <si>
    <t>ТРАНССИБМЕТАЛЛ, ООО</t>
  </si>
  <si>
    <t>ТРАНСФИН-М, ПАО</t>
  </si>
  <si>
    <t>ТРАНСХОЛДЛИЗИНГ, АО</t>
  </si>
  <si>
    <t>ТРАНСЭЛЕКТРОМОНТАЖ, АО</t>
  </si>
  <si>
    <t>ТРАНСЭНЕРГО, ООО</t>
  </si>
  <si>
    <t>ТРАПЕЗА, ООО</t>
  </si>
  <si>
    <t>ТРАСКО, ООО</t>
  </si>
  <si>
    <t>ТРАССА ГСМ, ООО</t>
  </si>
  <si>
    <t>ТРАССА-СК, АО</t>
  </si>
  <si>
    <t>ТРЕЙД МЕНЕДЖМЕНТ, ООО</t>
  </si>
  <si>
    <t>ТРЕЙД ОНЛАЙН, ООО</t>
  </si>
  <si>
    <t>ТРЕЙД-ЛОГИСТИК, ООО</t>
  </si>
  <si>
    <t>ТРЕЙД-СЕРВИС, ООО</t>
  </si>
  <si>
    <t>ТРЕЙДАЛ, ООО</t>
  </si>
  <si>
    <t>ТРЕЙДИНГ ТРАНЗИТ, ООО ЛК</t>
  </si>
  <si>
    <t>ТРЕЙДКОН, ООО</t>
  </si>
  <si>
    <t>ТРЕЙДПРОЕКТ, ООО</t>
  </si>
  <si>
    <t>ТРЕСТ ЗСГС, ООО</t>
  </si>
  <si>
    <t>ТРЕСТ КХМ, АО</t>
  </si>
  <si>
    <t>ТРЕСТ МАГНИТОСТРОЙ, ООО</t>
  </si>
  <si>
    <t>ТРЕСТ РОССЭМ, ООО</t>
  </si>
  <si>
    <t>ТРЕСТ СЗЭМ, ЗАО</t>
  </si>
  <si>
    <t>ТРЕСТ УТСС, АО</t>
  </si>
  <si>
    <t>ТРЕСТ, АО</t>
  </si>
  <si>
    <t>ТРЕСТСАН, ООО</t>
  </si>
  <si>
    <t>ТРЕТИЙ ПАРК, АО</t>
  </si>
  <si>
    <t>ТРЕХСОСЕНСКИЙ, ООО</t>
  </si>
  <si>
    <t>ТРИ-С ФУД РИТЕЙЛ, ООО</t>
  </si>
  <si>
    <t>ТРИАЛ МАРКЕТ, ООО</t>
  </si>
  <si>
    <t>ТРИАТЛОН, НОООРС</t>
  </si>
  <si>
    <t>ТРИМЕТ, ООО</t>
  </si>
  <si>
    <t>ТРИО-ИНВЕСТ, ООО</t>
  </si>
  <si>
    <t>ТРИСМЕГИСТ РУС, ООО</t>
  </si>
  <si>
    <t>ТРИТОН ТРЕЙД, ООО</t>
  </si>
  <si>
    <t>ТРИТОН, ООО</t>
  </si>
  <si>
    <t>ТРИУМФ, ООО</t>
  </si>
  <si>
    <t>ТСК АЛЬЯНС, ООО</t>
  </si>
  <si>
    <t>ТРК, ПАО</t>
  </si>
  <si>
    <t>ТРОИЦКНЕФТЬ, ЗАО</t>
  </si>
  <si>
    <t>ТРОПАРЕВО, ЗАО</t>
  </si>
  <si>
    <t>ТРУБОДЕТАЛЬ, АО</t>
  </si>
  <si>
    <t>ТРУБОПРОВОДНЫЕ ПОКРЫТИЯ И ТЕХНОЛОГИИ, ООО</t>
  </si>
  <si>
    <t>ТРУБОСТРОЙ, ООО</t>
  </si>
  <si>
    <t>ТРУД, АО</t>
  </si>
  <si>
    <t>ТС АНИКС, ООО</t>
  </si>
  <si>
    <t>ТС ИНТЕГРАЦИЯ, ООО</t>
  </si>
  <si>
    <t>ТС КОМАНДОР, ООО</t>
  </si>
  <si>
    <t>ТС СТРОЙ, ООО</t>
  </si>
  <si>
    <t>ТС-ИННОТЕХ, ООО</t>
  </si>
  <si>
    <t>ТСАЦ ИЮЛЬ, ООО</t>
  </si>
  <si>
    <t>ТСБ СЕВЕР, ООО</t>
  </si>
  <si>
    <t>ТСГ АСАЧА, АО</t>
  </si>
  <si>
    <t>ТСЗ ТИТРАН-ЭКСПРЕСС, АО</t>
  </si>
  <si>
    <t>ТСЗ, ООО</t>
  </si>
  <si>
    <t>ТСК МОСЭНЕРГО, ООО</t>
  </si>
  <si>
    <t>ТСК СКОЛКОВО, ООО</t>
  </si>
  <si>
    <t>ТСК СТРОЙТЕХМАШ, ООО</t>
  </si>
  <si>
    <t>ТСК ТЕХНОЛОДЖИ, ООО</t>
  </si>
  <si>
    <t>ТСК, АО</t>
  </si>
  <si>
    <t>ТСК-20, ООО</t>
  </si>
  <si>
    <t>ТСМ, ООО</t>
  </si>
  <si>
    <t>ТСТ-ТРАНС, ООО</t>
  </si>
  <si>
    <t>ТТ РУС, ООО</t>
  </si>
  <si>
    <t>ТТ-ТРЭВЕЛ, ООО</t>
  </si>
  <si>
    <t>ТТК, АО</t>
  </si>
  <si>
    <t>ТТК, ООО</t>
  </si>
  <si>
    <t>ТТК-ЕКАТЕРИНБУРГ, АО</t>
  </si>
  <si>
    <t>ТТК-СВЯЗЬ, ООО</t>
  </si>
  <si>
    <t>ТТК-СПЕЦСЕРВИС, ООО</t>
  </si>
  <si>
    <t>ТТЛ, ООО</t>
  </si>
  <si>
    <t>ТТМ ЦЕНТР, ООО</t>
  </si>
  <si>
    <t>ТТМ-ЦЕНТР, ООО</t>
  </si>
  <si>
    <t>ТТПЗ, ООО</t>
  </si>
  <si>
    <t>ТТС РОКАДА, ООО</t>
  </si>
  <si>
    <t>ТТЦ ОСТАНКИНО, ФГУП</t>
  </si>
  <si>
    <t>ТУГНУЙСКАЯ ОБОГАТИТЕЛЬНАЯ ФАБРИКА, ООО</t>
  </si>
  <si>
    <t>ТУЙМААДА-НЕФТЬ, АО НК</t>
  </si>
  <si>
    <t>ТУЛААВТОСЕРВИС, АО</t>
  </si>
  <si>
    <t>ТУЛАЖЕЛДОРМАШ, АО</t>
  </si>
  <si>
    <t>ТУЛАТЕПЛОСЕТЬ, АО</t>
  </si>
  <si>
    <t>ТУЛАТОЧМАШ, АО</t>
  </si>
  <si>
    <t>ТУЛАЧЕРМЕТ, АО</t>
  </si>
  <si>
    <t>ТУЛЬСКИЙ ВИНОКУРЕННЫЙ ЗАВОД 1911, ООО</t>
  </si>
  <si>
    <t>ТУЛЬСКИЙ ПОСТАВЩИК, ООО</t>
  </si>
  <si>
    <t>ТУРБАСЛИНСКИЕ БРОЙЛЕРЫ, АО</t>
  </si>
  <si>
    <t>ТУРБАСЛИНСКИЙ БРОЙЛЕР, ООО ТД</t>
  </si>
  <si>
    <t>ТУРНИФ, АО</t>
  </si>
  <si>
    <t>ТФЗ, ООО</t>
  </si>
  <si>
    <t>ТФМ-СПЕЦТЕХНИКА, ООО</t>
  </si>
  <si>
    <t>ТФН, ООО</t>
  </si>
  <si>
    <t>ТХМ, АО</t>
  </si>
  <si>
    <t>ТЦ БЫТПЛАСТ, ООО</t>
  </si>
  <si>
    <t>ТЦ ВОСТОК, ООО</t>
  </si>
  <si>
    <t>ТЦ КУНЦЕВО ЛИМИТЕД, ООО</t>
  </si>
  <si>
    <t>ТЦ НОВОРИЖСКИЙ, ООО</t>
  </si>
  <si>
    <t>ТЦ СОКОЛЬНИКИ, ООО</t>
  </si>
  <si>
    <t>ТЫМЛАТСКИЙ РЫБОКОМБИНАТ, ООО</t>
  </si>
  <si>
    <t>ТЭ, ООО</t>
  </si>
  <si>
    <t>ТЭК ВОСТОК, ООО</t>
  </si>
  <si>
    <t>ТЭК ИНФОРМ, ООО</t>
  </si>
  <si>
    <t>ТЭК ЛИДЕРТРАНС, ООО</t>
  </si>
  <si>
    <t>ТЭК ОЛИМП, ООО</t>
  </si>
  <si>
    <t>ТЭК СПБ, ГУП</t>
  </si>
  <si>
    <t>ТЭК, АО</t>
  </si>
  <si>
    <t>ТЭКАР ГРУПП, ООО</t>
  </si>
  <si>
    <t>ТЭКСВЯЗЬИНЖИНИРИНГ, ООО</t>
  </si>
  <si>
    <t>ТЭЛКО, ООО</t>
  </si>
  <si>
    <t>ТЭО, ООО</t>
  </si>
  <si>
    <t>ТЭС, ООО</t>
  </si>
  <si>
    <t>ТЮМЕНСКИЙ АККУМУЛЯТОРНЫЙ ЗАВОД, АО</t>
  </si>
  <si>
    <t>ТЮМЕНЬ ВОДОКАНАЛ, ООО</t>
  </si>
  <si>
    <t>ТЮМЕНЬ-ТОРГ, ООО</t>
  </si>
  <si>
    <t>ТЮМЕНЬАГРОМАШ, АО</t>
  </si>
  <si>
    <t>ТЮМЕНЬМОЛОКО, ООО</t>
  </si>
  <si>
    <t>ТЮМЕНЬТЕЛ, АО</t>
  </si>
  <si>
    <t>ТЯЖПРЕССМАШ, ПАО</t>
  </si>
  <si>
    <t>У СЕРВИС +, ООО</t>
  </si>
  <si>
    <t>УВА-МОЛОКО, ООО</t>
  </si>
  <si>
    <t>УВАДРЕВ-ХОЛДИНГ, ООО</t>
  </si>
  <si>
    <t>УВЗ-ТРАНС, АО</t>
  </si>
  <si>
    <t>УВМ-СТАЛЬ, ООО</t>
  </si>
  <si>
    <t>УВО МИНТРАНСА РОССИИ, ФГУП</t>
  </si>
  <si>
    <t>УГЛИ КУЗБАССА, ООО</t>
  </si>
  <si>
    <t>УГЛИЧКАБЕЛЬ, ООО</t>
  </si>
  <si>
    <t>УГМЗ, ООО</t>
  </si>
  <si>
    <t>УГМК-ВЦМ, АО</t>
  </si>
  <si>
    <t>УГМК-ЗДОРОВЬЕ, ООО</t>
  </si>
  <si>
    <t>УГМК-ТЕЛЕКОМ, ООО</t>
  </si>
  <si>
    <t>УГМК-ТРАНС, ООО</t>
  </si>
  <si>
    <t>УГОЛЬНАЯ КОМПАНИЯ БУРЯТИИ, ООО</t>
  </si>
  <si>
    <t>УГОЛЬНАЯ КОМПАНИЯ СЕВЕРНЫЙ КУЗБАСС, АО</t>
  </si>
  <si>
    <t>УГОЛЬНЫЙ РАЗРЕЗ, ООО</t>
  </si>
  <si>
    <t>УГС, КП</t>
  </si>
  <si>
    <t>УДК СНГ, ООО</t>
  </si>
  <si>
    <t>УДМУРТАВТОДОР, АО</t>
  </si>
  <si>
    <t>УДС НЕФТЬ, ООО</t>
  </si>
  <si>
    <t>УЗПМ, ООО</t>
  </si>
  <si>
    <t>УК АНЖЕРСКАЯ-ЮЖНАЯ, ООО</t>
  </si>
  <si>
    <t>УК БЛАГО, ООО</t>
  </si>
  <si>
    <t>УК БСМ, ООО</t>
  </si>
  <si>
    <t>УК ВМС, ООО</t>
  </si>
  <si>
    <t>УК Г. СТАВРОПОЛЯ, ООО</t>
  </si>
  <si>
    <t>УК ДЕЛО, ООО</t>
  </si>
  <si>
    <t>УК КУЗБАССРАЗРЕЗУГОЛЬ, АО</t>
  </si>
  <si>
    <t>УК КЭР-ХОЛДИНГ, ООО</t>
  </si>
  <si>
    <t>УК МКАПИТАЛ, ООО</t>
  </si>
  <si>
    <t>УК ПЕРЕКРЕСТОК, ООО</t>
  </si>
  <si>
    <t>УК ПЖКХ, ООО</t>
  </si>
  <si>
    <t>УК ПО ОБРАЩЕНИЮ С ОТХОДАМИ В ЛЕНИНГРАДСКОЙ ОБЛАСТИ, АО</t>
  </si>
  <si>
    <t>УК РАЗРЕЗ МАЙРЫХСКИЙ, ООО</t>
  </si>
  <si>
    <t>УК РАЗРЕЗ СТЕПНОЙ, АО</t>
  </si>
  <si>
    <t>УК РОСНАНО, ООО</t>
  </si>
  <si>
    <t>УК СИБИРСКАЯ, АО</t>
  </si>
  <si>
    <t>УК СИСТЕМА-СЕРВИС, ООО</t>
  </si>
  <si>
    <t>УК СМ. СИТИ, ООО</t>
  </si>
  <si>
    <t>УК СТАРТ, АО</t>
  </si>
  <si>
    <t>УК ТАТСПЕЦТРАНСПОРТ, ООО</t>
  </si>
  <si>
    <t>УК ТНХМ, ООО</t>
  </si>
  <si>
    <t>УК ТРАНСТЕХСЕРВИС, ООО</t>
  </si>
  <si>
    <t>УК ЭФКО, АО</t>
  </si>
  <si>
    <t>УК ЮГК, ООО</t>
  </si>
  <si>
    <t>УКБП, АО</t>
  </si>
  <si>
    <t>УКС ИКС И Д, АО</t>
  </si>
  <si>
    <t>УКС, АО</t>
  </si>
  <si>
    <t>УКТ-99, ООО</t>
  </si>
  <si>
    <t>УКХП, АО</t>
  </si>
  <si>
    <t>УКЦ, ООО</t>
  </si>
  <si>
    <t>УЛЬТРА ФИШ, ООО</t>
  </si>
  <si>
    <t>УЛЬТРАМАР, ООО</t>
  </si>
  <si>
    <t>УЛЬЯНОВСКСАХАР, АО</t>
  </si>
  <si>
    <t>УЛЬЯНОВСКЭНЕРГО, АО</t>
  </si>
  <si>
    <t>УМ ГЕОИЗОЛ, ООО</t>
  </si>
  <si>
    <t>УМ-4, АО</t>
  </si>
  <si>
    <t>УМЕКОН, АО</t>
  </si>
  <si>
    <t>УМЗ, АО</t>
  </si>
  <si>
    <t>УМИТАТ, ОАО</t>
  </si>
  <si>
    <t>УМК, ООО</t>
  </si>
  <si>
    <t>УМК-СТАЛЬ, ООО</t>
  </si>
  <si>
    <t>УММ 2, АО</t>
  </si>
  <si>
    <t>УМНЫЙ РИТЕЙЛ, ООО</t>
  </si>
  <si>
    <t>УМПШ, ООО</t>
  </si>
  <si>
    <t>УНАГРАНДЕ КОМПАНИ, АО</t>
  </si>
  <si>
    <t>УНИ-БЛОК, ООО</t>
  </si>
  <si>
    <t>УНИВЕРСАЛ МЕД СЕРВИС, ООО</t>
  </si>
  <si>
    <t>УНИВЕРСАЛ ПЛЮС, ЧУ ПО</t>
  </si>
  <si>
    <t>УНИВЕРСАЛ, АО ФИРМА ОРТ</t>
  </si>
  <si>
    <t>УНИВЕРСАЛ-ЭЛЕКТРИК, ООО</t>
  </si>
  <si>
    <t>ЯКУТУГОЛЬ, АО ХК</t>
  </si>
  <si>
    <t>УНИВЕРСАЛЬНАЯ ЛИЗИНГОВАЯ КОМПАНИЯ, АО</t>
  </si>
  <si>
    <t>УНИВЕРСАМЫ БЕГЕМАГ, ООО</t>
  </si>
  <si>
    <t>УК ГРУППА ГАЗ, ООО</t>
  </si>
  <si>
    <t>УНИКОМ, ООО</t>
  </si>
  <si>
    <t>УНИТЕХ, ООО</t>
  </si>
  <si>
    <t>УНИФЛЕКС, ООО</t>
  </si>
  <si>
    <t>УНР-524 ПОЛИМЕРТЕПЛО, ООО</t>
  </si>
  <si>
    <t>УНТС, ООО</t>
  </si>
  <si>
    <t>УПАКОВКА И СЕРВИС, ООО</t>
  </si>
  <si>
    <t>УПАКОВОЧНЫЕ СИСТЕМЫ, АО</t>
  </si>
  <si>
    <t>УПАКС-ЮНИТИ, ООО</t>
  </si>
  <si>
    <t>УПК, ООО</t>
  </si>
  <si>
    <t>УПНП И КРС, АО</t>
  </si>
  <si>
    <t>УПРАВЛЕНИЕ АЗС, ООО</t>
  </si>
  <si>
    <t>УПРАВЛЕНИЕ СОЦИАЛЬНЫХ ОБЪЕКТОВ, ООО</t>
  </si>
  <si>
    <t>УПРАВЛЯЮЩАЯ КОМПАНИЯ БХХ ОРГХИМ , АО</t>
  </si>
  <si>
    <t>УПРАВЛЯЮЩАЯ КОМПАНИЯ КУРОРТМАКС, ООО</t>
  </si>
  <si>
    <t>УПРАВЛЯЮЩАЯ КОМПАНИЯ НКС, ООО</t>
  </si>
  <si>
    <t>УПТК СК МОСТ, ООО</t>
  </si>
  <si>
    <t>УПТК-65, ООО</t>
  </si>
  <si>
    <t>УПТК-ЭТАЛОН, АО</t>
  </si>
  <si>
    <t>УПФ, ООО</t>
  </si>
  <si>
    <t>УРАЛ ЛОГИСТИКА, ООО</t>
  </si>
  <si>
    <t>УРАЛ СТ, ООО</t>
  </si>
  <si>
    <t>УРАЛ-ФАКТОР, ООО</t>
  </si>
  <si>
    <t>УРАЛ-ФАКТОР, ООО ТД</t>
  </si>
  <si>
    <t>УРАЛ-ХОЛОД, ООО</t>
  </si>
  <si>
    <t>УРАЛАСБЕСТ, ПАО</t>
  </si>
  <si>
    <t>УРАЛБИОВЕТ, АО</t>
  </si>
  <si>
    <t>УРАЛБРОЙЛЕР, АО</t>
  </si>
  <si>
    <t>УРАЛБУМАГА, ООО</t>
  </si>
  <si>
    <t>УРАЛБУМАГА, ООО ТД</t>
  </si>
  <si>
    <t>УРАЛВТОРМЕТ, ООО ПГ</t>
  </si>
  <si>
    <t>УРАЛВТОРМЕТ, ООО ПО</t>
  </si>
  <si>
    <t>УРАЛДОМНОРЕМОНТ-ЕКАТЕРИНБУРГ, ООО</t>
  </si>
  <si>
    <t>УРАЛДОРТЕХНОЛОГИИ, ООО</t>
  </si>
  <si>
    <t>УРАЛИНТЕРЬЕР, ООО</t>
  </si>
  <si>
    <t>УРАЛКАЛИЙ-РЕМОНТ, ООО</t>
  </si>
  <si>
    <t>УРАЛМОСТОСТРОЙ, АО</t>
  </si>
  <si>
    <t>УРАЛНЕФТЕМАШ, ООО</t>
  </si>
  <si>
    <t>УРАЛНЕФТЕПРОДУКТ, ООО</t>
  </si>
  <si>
    <t>УРАЛОЙЛ, ООО</t>
  </si>
  <si>
    <t>УРАЛПЛИТ, ООО</t>
  </si>
  <si>
    <t>УРАЛПРОММЕТАЛЛ, ООО</t>
  </si>
  <si>
    <t>УРАЛПРОМСТРОЙ, ООО</t>
  </si>
  <si>
    <t>УРАЛПРОТЕКТ, ООО</t>
  </si>
  <si>
    <t>УРАЛРЕДМЕТ, АО</t>
  </si>
  <si>
    <t>УРАЛСИБГИДРОСТРОЙ, АО</t>
  </si>
  <si>
    <t>УРАЛСИБТРЕЙД, ООО ТД</t>
  </si>
  <si>
    <t>УРАЛСПЕЦТРАНС, ООО</t>
  </si>
  <si>
    <t>УРАЛТЕХСТАЛЬ, ООО ТД</t>
  </si>
  <si>
    <t>УРАЛТОРГПРЕД, ООО</t>
  </si>
  <si>
    <t>УРАЛТРУБПРОМ, ОАО</t>
  </si>
  <si>
    <t>УРАЛХИМ-ТРАНС, ООО</t>
  </si>
  <si>
    <t>УРАЛЦИНК, ООО</t>
  </si>
  <si>
    <t>УРАЛЧЕРМЕТ, АО</t>
  </si>
  <si>
    <t>УРАЛЬСКАЯ АЛЮМИНИЕВАЯ КОМПАНИЯ, ООО</t>
  </si>
  <si>
    <t>УРАЛЬСКАЯ ГОРНО-МЕТАЛЛУРГИЧЕСКАЯ КОМПАНИЯ , ОАО УГМК, ОАО</t>
  </si>
  <si>
    <t>УРАЛЬСКАЯ МЕТАЛЛОБАЗА, ООО ТД</t>
  </si>
  <si>
    <t>УРАЛЬСКАЯ МЯСНАЯ КОМПАНИЯ, ООО</t>
  </si>
  <si>
    <t>УРАЛЬСКАЯ НЕФТЕХИМИЧЕСКАЯ КОМПАНИЯ, ООО</t>
  </si>
  <si>
    <t>УРАЛЬСКАЯ СТАЛЬ, АО</t>
  </si>
  <si>
    <t>УРАЛЬСКАЯ ТРАНСПОРТНАЯ КОМПАНИЯ, ООО</t>
  </si>
  <si>
    <t>УРАЛЬСКИЕ АВИАЛИНИИ, ОАО АК</t>
  </si>
  <si>
    <t>УРАЛЬСКИЙ БРОЙЛЕР, ООО</t>
  </si>
  <si>
    <t>УРАЛЬСКИЙ ЛЕС, ООО</t>
  </si>
  <si>
    <t>УРАЛЭЛЕКТРОМЕДЬ, АО</t>
  </si>
  <si>
    <t>УРАЛЭНЕРГОМОНТАЖ , АО ПО УЭМ, АО ПО</t>
  </si>
  <si>
    <t>УРАЛЭНЕРГОСБЫТ, ООО</t>
  </si>
  <si>
    <t>УРАНИУМ УАН ГРУП, АО</t>
  </si>
  <si>
    <t>УРГАЛУГОЛЬ, АО</t>
  </si>
  <si>
    <t>УРЕНГОЙДОРСТРОЙ, ООО</t>
  </si>
  <si>
    <t>УРСА ЕВРАЗИЯ, ООО</t>
  </si>
  <si>
    <t>УРСТ, АО</t>
  </si>
  <si>
    <t>УСГ, ООО</t>
  </si>
  <si>
    <t>УСК НОВЫЙ ГОРОД, АО</t>
  </si>
  <si>
    <t>УСОЛЬСКИЙ СВИНОКОМПЛЕКС, СХПК</t>
  </si>
  <si>
    <t>УСПЕНСКИЙ САХАРНИК, АО</t>
  </si>
  <si>
    <t>УСПК, АО</t>
  </si>
  <si>
    <t>УСТ. СИБИРСКИЙ РЕГИОН, ООО</t>
  </si>
  <si>
    <t>УСТЬ-КУТСКИЙ ГПЗ, ООО</t>
  </si>
  <si>
    <t>УСТЬ-ЛУГА ОЙЛ, АО</t>
  </si>
  <si>
    <t>УСТЬ-СРЕДНЕКАНГЭССТРОЙ, АО</t>
  </si>
  <si>
    <t>УСТЭК, АО</t>
  </si>
  <si>
    <t>УСТЭК-ЧЕЛЯБИНСК, АО</t>
  </si>
  <si>
    <t>УТС ТЕХНОНИКОЛЬ, ООО</t>
  </si>
  <si>
    <t>УТТ, АО</t>
  </si>
  <si>
    <t>УТТИСТ-БУРСЕРВИС, ООО</t>
  </si>
  <si>
    <t>УТТУ, ООО</t>
  </si>
  <si>
    <t>УФА-АВИАГАЗ, АО</t>
  </si>
  <si>
    <t>УФАВОДОКАНАЛ, ГУП РБ</t>
  </si>
  <si>
    <t>УФАНЕТ, АО</t>
  </si>
  <si>
    <t>УХП, ПАО</t>
  </si>
  <si>
    <t>УЦСБ, ООО</t>
  </si>
  <si>
    <t>УЦСК САНТЕХКОМПЛЕКТ-УРАЛ, ООО</t>
  </si>
  <si>
    <t>УЧАЛИНСКИЙ ГОК, АО</t>
  </si>
  <si>
    <t>УЧАСТОК КОКСОВЫЙ, ООО</t>
  </si>
  <si>
    <t>УЧЕБНО-ОПЫТНЫЙ МОЛОЧНЫЙ ЗАВОД ВГМХА ИМ. Н.В. ВЕРЕЩАГИНА, АО</t>
  </si>
  <si>
    <t>УЧИ.РУ, ООО</t>
  </si>
  <si>
    <t>УЭЗ-СТРОЙ, ООО</t>
  </si>
  <si>
    <t>УЭСК, АО</t>
  </si>
  <si>
    <t>УЭХК, АО</t>
  </si>
  <si>
    <t>Ф.А. ЛОГИСТИК, ООО</t>
  </si>
  <si>
    <t>Ф.О.Н., ООО</t>
  </si>
  <si>
    <t>ФЁСТ ЛОГИСТИК, ООО</t>
  </si>
  <si>
    <t>ФАБЕРЛИК, АО</t>
  </si>
  <si>
    <t>ФАБРИКА НАСТОЯЩЕГО МОРОЖЕНОГО, ООО</t>
  </si>
  <si>
    <t>ФАБРИКА РТТ, ООО</t>
  </si>
  <si>
    <t>ФАБРИКА ШАРМ, ООО</t>
  </si>
  <si>
    <t>ФАБРИКА ЮУК, ООО</t>
  </si>
  <si>
    <t>ФАБРИКОН, ООО</t>
  </si>
  <si>
    <t>ФАВ-ВОСТОЧНАЯ ЕВРОПА, ООО</t>
  </si>
  <si>
    <t>ФАВОРИТ МОТОРС АВТОКВАРТАЛ, ООО</t>
  </si>
  <si>
    <t>ФАВОРИТ МОТОРС ГРУПП, ООО</t>
  </si>
  <si>
    <t>ФАВОРИТ МОТОРС ЭНЕРДЖИ, ООО</t>
  </si>
  <si>
    <t>ФАВОРИТ ТРЕЙД, АО</t>
  </si>
  <si>
    <t>ФАЙН ИНГРЕДИЕНТС, АО</t>
  </si>
  <si>
    <t>ФАКЕЛ-СПЕЦОДЕЖДА, ООО</t>
  </si>
  <si>
    <t>ФАКТОР, ООО</t>
  </si>
  <si>
    <t>ФАРВЕРК, ООО</t>
  </si>
  <si>
    <t>ФАРЕС, ООО</t>
  </si>
  <si>
    <t>ФАРМ КОНСТРАКШЕН, ООО</t>
  </si>
  <si>
    <t>ФАРМ, АО</t>
  </si>
  <si>
    <t>ФАРМ-ПРОЕКТ, ООО</t>
  </si>
  <si>
    <t>ФАРМ-ТРЭЙД, ООО</t>
  </si>
  <si>
    <t>ФАРМАИМПЕКС, ООО</t>
  </si>
  <si>
    <t>ФАРМАКТИВЫ КАПИТАЛ, ООО</t>
  </si>
  <si>
    <t>ФАРМАМЕД, АО</t>
  </si>
  <si>
    <t>ФАРМАМОНДО, ООО</t>
  </si>
  <si>
    <t>ФАРМАСИНТЕЗ-НОРД, АО</t>
  </si>
  <si>
    <t>ФАРМАЦЕВТ ПЛЮС, АО</t>
  </si>
  <si>
    <t>ФАРМАЦЕВТ, ЗАО</t>
  </si>
  <si>
    <t>ФАРМАЦИЯ, ГУПАО</t>
  </si>
  <si>
    <t>ФАРМГАРАНТ, ООО</t>
  </si>
  <si>
    <t>ФАРМИМЭКС, АО</t>
  </si>
  <si>
    <t>ФАРМКОМПЛЕКС, ООО</t>
  </si>
  <si>
    <t>ФАРМКОМПЛЕКТ, ООО</t>
  </si>
  <si>
    <t>ФАРМЛАЙН, ООО</t>
  </si>
  <si>
    <t>ФАРМЛЕНД, АО</t>
  </si>
  <si>
    <t>ФАРМЛИГА, ООО</t>
  </si>
  <si>
    <t>ФАРМЛОГИСТИКА, ООО</t>
  </si>
  <si>
    <t>ФАРМПЕРСПЕКТИВА, АО</t>
  </si>
  <si>
    <t>ФАРМПРОГРЕСС, ООО</t>
  </si>
  <si>
    <t>ФАРМСЕРВИС, ООО</t>
  </si>
  <si>
    <t>ФАРМСТАНДАРТ, АО</t>
  </si>
  <si>
    <t>ФАРМТЕК, ООО</t>
  </si>
  <si>
    <t>ФАРМФОРВАРД, ООО</t>
  </si>
  <si>
    <t>ФАРН, ЗАО</t>
  </si>
  <si>
    <t>ФАСАД СТРОЙ, ООО</t>
  </si>
  <si>
    <t>ФАСАДНЫЕ РЕШЕНИЯ, ООО</t>
  </si>
  <si>
    <t>ФАСТЛЭНД, ООО</t>
  </si>
  <si>
    <t>ФАТТУРА, ООО</t>
  </si>
  <si>
    <t>ФГБНУ БУРЯТСКИЙ НИИСХ</t>
  </si>
  <si>
    <t>ФГК, АО</t>
  </si>
  <si>
    <t>ФГП ВО ЖДТ РОССИИ</t>
  </si>
  <si>
    <t>ФЕМКО-МЕНЕДЖМЕНТ, ООО</t>
  </si>
  <si>
    <t>ФЕНИКС, ОАО</t>
  </si>
  <si>
    <t>ФЕНИКС, ООО</t>
  </si>
  <si>
    <t>ФЕНИКС, ООО ТФК</t>
  </si>
  <si>
    <t>ФЕНСМА, ООО</t>
  </si>
  <si>
    <t>ФЕРРАТЕК-ЮГ, ООО</t>
  </si>
  <si>
    <t>ФЕРРЕРО РУССИЯ, ЗАО</t>
  </si>
  <si>
    <t>ФЕРРОНИ ЙОШКАР-ОЛА, ООО</t>
  </si>
  <si>
    <t>ФЕРРОНИ ТОЛЬЯТТИ, ООО</t>
  </si>
  <si>
    <t>ФЕРРОНИ, ООО</t>
  </si>
  <si>
    <t>ФЕРРУМ, ООО</t>
  </si>
  <si>
    <t>ФЕРРУМ-РЕГИОН, ООО</t>
  </si>
  <si>
    <t>ФЕРТОИНГ, ООО</t>
  </si>
  <si>
    <t>ФЕС ПРОДУКТ, ООО</t>
  </si>
  <si>
    <t>ФЕСТИНА-ИНВЕСТ, АО</t>
  </si>
  <si>
    <t>ФИЛАКСКОМ, ООО</t>
  </si>
  <si>
    <t>ФИЛИ-БЕЙКЕР, ООО</t>
  </si>
  <si>
    <t>ФИЛИМОНОВСКИЙ МОЛОЧНОКОНСЕРВНЫЙ КОМБИНАТ, ООО</t>
  </si>
  <si>
    <t>ФИЛИП МОРРИС ИЖОРА, АО</t>
  </si>
  <si>
    <t>ФИЛИПС, ООО</t>
  </si>
  <si>
    <t>ФИЛОСОФИЯ.ИТ, ООО</t>
  </si>
  <si>
    <t>ФИЛЬЕ ПРОПЕРТИ, ООО</t>
  </si>
  <si>
    <t>ФИНВАЛ ЭНЕРГО, АО</t>
  </si>
  <si>
    <t>ФИНК-ГРУПП, ООО</t>
  </si>
  <si>
    <t>ФИНК-РЕК, ООО</t>
  </si>
  <si>
    <t>ФИНСИБ, АО</t>
  </si>
  <si>
    <t>ФИНТРАНС ГЛ, ООО</t>
  </si>
  <si>
    <t>ФИРМА ГАЛЕН, ЗАО</t>
  </si>
  <si>
    <t>ФМСМ, ООО</t>
  </si>
  <si>
    <t>ФИРМА ЕВРОСЕРВИС, АО</t>
  </si>
  <si>
    <t>ФИРМА КУЛЬТБЫТСТРОЙ, АО</t>
  </si>
  <si>
    <t>ФИРМА ПРОМХИМ, ООО</t>
  </si>
  <si>
    <t>ФИРМА РАДИУС-СЕРВИС, ООО</t>
  </si>
  <si>
    <t>ФИРМА САМАН, ООО</t>
  </si>
  <si>
    <t>ФИРМА СЕВЗАПМЕТАЛЛ, ООО</t>
  </si>
  <si>
    <t>ФИРМА СОЛНЫШКО, ООО</t>
  </si>
  <si>
    <t>ФИРМА ТВЕМА, АО</t>
  </si>
  <si>
    <t>ФИРМА ТРАНСГАРАНТ, ООО</t>
  </si>
  <si>
    <t>ФИРМА ТЭС, ООО</t>
  </si>
  <si>
    <t>ФИРМЕННЫЕ РЕШЕНИЯ, ООО</t>
  </si>
  <si>
    <t>ФИРМЕННЫЙ ТОРГОВЫЙ ДОМ ЦАРИЦЫНО, АО</t>
  </si>
  <si>
    <t>ФИРН М, ООО</t>
  </si>
  <si>
    <t>ФИТ, ООО</t>
  </si>
  <si>
    <t>ФИТНЕС ФУД, ООО</t>
  </si>
  <si>
    <t>ФИТО, ООО НПФ</t>
  </si>
  <si>
    <t>ФИТОКОСМЕТИК, ООО</t>
  </si>
  <si>
    <t>ФИШАЙЛАНД, ООО</t>
  </si>
  <si>
    <t>ФК АВИКОН, ООО</t>
  </si>
  <si>
    <t>ФК ГОРИЗОНТ, ООО</t>
  </si>
  <si>
    <t>ФК ГРАНД КАПИТАЛ ВЛАДИВОСТОК, ООО</t>
  </si>
  <si>
    <t>ФК ГРАНД КАПИТАЛ ВОЛГОГРАД, ООО</t>
  </si>
  <si>
    <t>ФК ГРАНД КАПИТАЛ ВОРОНЕЖ, ООО</t>
  </si>
  <si>
    <t>ФК ГРАНД КАПИТАЛ ЕКАТЕРИНБУРГ, ООО</t>
  </si>
  <si>
    <t>ФК ГРАНД КАПИТАЛ КРАСНОДАР, ООО</t>
  </si>
  <si>
    <t>ФК ГРАНД КАПИТАЛ КРАСНОЯРСК, ООО</t>
  </si>
  <si>
    <t>ФК ГРАНД КАПИТАЛ НОВОСИБИРСК, ООО</t>
  </si>
  <si>
    <t>ФК ГРАНД КАПИТАЛ САНКТ-ПЕТЕРБУРГ, ООО</t>
  </si>
  <si>
    <t>ФК ГРАНД КАПИТАЛ СМОЛЕНСК, ООО</t>
  </si>
  <si>
    <t>ФК ГРАНД КАПИТАЛ ТЮМЕНЬ, ООО</t>
  </si>
  <si>
    <t>ФК ГРАНД КАПИТАЛ ЧЕБОКСАРЫ, ООО</t>
  </si>
  <si>
    <t>ФК ГРАНД КАПИТАЛ, ООО</t>
  </si>
  <si>
    <t>ФК ДИНАМО-МОСКВА, АО</t>
  </si>
  <si>
    <t>ФК ЗЕНИТ, АО</t>
  </si>
  <si>
    <t>ФК ЛОКОМОТИВ, АО</t>
  </si>
  <si>
    <t>ФК ПУЛЬС, ООО</t>
  </si>
  <si>
    <t>ФК СПАРТАК-МОСКВА, АО</t>
  </si>
  <si>
    <t>ФККГРУП, ООО</t>
  </si>
  <si>
    <t>ФКПЧФ БОБИМЭКС ТМ, ООО</t>
  </si>
  <si>
    <t>ФЛАГМАН, ООО</t>
  </si>
  <si>
    <t>ФЛЕКС ФИЛМС РУС, ООО</t>
  </si>
  <si>
    <t>ФЛЕКСОПРИНТ, ООО</t>
  </si>
  <si>
    <t>ФЛОТ НМТП, АО</t>
  </si>
  <si>
    <t>ФЛЭТ И КО, ООО</t>
  </si>
  <si>
    <t>ФЛЭШ ЭНЕРДЖИ, ООО</t>
  </si>
  <si>
    <t>ФМ ЛОЖИСТИК ВОСТОК, АО</t>
  </si>
  <si>
    <t>ФММР, ООО</t>
  </si>
  <si>
    <t>ФМРУС, АО</t>
  </si>
  <si>
    <t>ФН МАШИНЫ, ООО</t>
  </si>
  <si>
    <t>ФН СЕРВИС, ООО</t>
  </si>
  <si>
    <t>ФОДД АЙ ДИ, ООО</t>
  </si>
  <si>
    <t>ФОДД КОНСТРАКШН, АО</t>
  </si>
  <si>
    <t>ФОДД, АО</t>
  </si>
  <si>
    <t>ФОЛЬКСВАГЕН ГРУП РУС, ООО</t>
  </si>
  <si>
    <t>ФОМЛАЙН, ООО</t>
  </si>
  <si>
    <t>ФОНД СЕРВИС, ООО</t>
  </si>
  <si>
    <t>ФОНКОР, ООО</t>
  </si>
  <si>
    <t>ФОРАТЕК ЭТС, АО</t>
  </si>
  <si>
    <t>ФОРВАРД, АО</t>
  </si>
  <si>
    <t>ФОРВАРД, ООО СК</t>
  </si>
  <si>
    <t>ФОРВАРД-АВТО, ООО</t>
  </si>
  <si>
    <t>ФОРВАРД-ТРЕЙД, ООО</t>
  </si>
  <si>
    <t>ФОРЕСИЯ АУТОМОТИВ ДЕВЕЛОПМЕНТ, ООО</t>
  </si>
  <si>
    <t>ФОРЕСТ, ООО</t>
  </si>
  <si>
    <t>ФОРМАТ, ООО</t>
  </si>
  <si>
    <t>ФОРМАТ, ООО СК</t>
  </si>
  <si>
    <t>ФОРМУЛА АВТО ПЛЮС, ООО</t>
  </si>
  <si>
    <t>ФОРМУЛА-ФР, ООО</t>
  </si>
  <si>
    <t>ФОРПОСТ, ООО СК</t>
  </si>
  <si>
    <t>ФОРС-ЦЕНТР РАЗРАБОТКИ, ООО</t>
  </si>
  <si>
    <t>ФОРТ, ООО</t>
  </si>
  <si>
    <t>ЦВ ПРОТЕК, АО</t>
  </si>
  <si>
    <t>ФОРТЕ МЕТАЛС ГМБХ, ООО</t>
  </si>
  <si>
    <t>ФОРТЕ ПРОМ ГМБХ, ООО</t>
  </si>
  <si>
    <t>ФОРТЕ ХОУМ ГМБХ, ООО</t>
  </si>
  <si>
    <t>ФОРТЕИНВЕСТ, АО</t>
  </si>
  <si>
    <t>ФОРТИС, ООО</t>
  </si>
  <si>
    <t>ФОРТУМ, ПАО</t>
  </si>
  <si>
    <t>ФОРТУНА, ООО</t>
  </si>
  <si>
    <t>ФОРУМ ЭЛЕКТРО, АО</t>
  </si>
  <si>
    <t>ФОРУМ-ГРУПП, АО</t>
  </si>
  <si>
    <t>ФОРЭС, ООО</t>
  </si>
  <si>
    <t>ФОСАГРО, ПАО</t>
  </si>
  <si>
    <t>ФОСАГРО-БЕЛГОРОД, ООО</t>
  </si>
  <si>
    <t>ФОСАГРО-ВОЛГА, ООО</t>
  </si>
  <si>
    <t>ФОСАГРО-ДОН, ООО</t>
  </si>
  <si>
    <t>ФОСАГРО-КУБАНЬ, ООО</t>
  </si>
  <si>
    <t>ФОСАГРО-КУРСК, ООО</t>
  </si>
  <si>
    <t>ФОСАГРО-ЛИПЕЦК, ООО</t>
  </si>
  <si>
    <t>ФОСАГРО-ОРЕЛ, ООО</t>
  </si>
  <si>
    <t>ФОСАГРО-СЕВЕРОЗАПАД, ООО</t>
  </si>
  <si>
    <t>ФОСАГРО-СТАВРОПОЛЬ, ООО</t>
  </si>
  <si>
    <t>ФОСАГРО-ТАМБОВ, ООО</t>
  </si>
  <si>
    <t>ФОСФОРЕЛЬ, ООО</t>
  </si>
  <si>
    <t>ФОСФОХИМ, АО</t>
  </si>
  <si>
    <t>ФПГ ЭНЕРГОКОНТРАКТ, АО</t>
  </si>
  <si>
    <t>ФПК, АО</t>
  </si>
  <si>
    <t>ФРАКДЖЕТ-ВОЛГА, ООО</t>
  </si>
  <si>
    <t>ФРАКДЖЕТ-СТРОЙ, ООО</t>
  </si>
  <si>
    <t>ФРЕЗЕНИУС КАБИ, ООО</t>
  </si>
  <si>
    <t>ФРЕЗЕНИУС НЕФРОКЕА ООО</t>
  </si>
  <si>
    <t>ФРЕЗЕНИУС СП, АО</t>
  </si>
  <si>
    <t>ФРЕЙТ ЛИНК, АО</t>
  </si>
  <si>
    <t>ФРЕШ АВТО ГАЗ, ООО</t>
  </si>
  <si>
    <t>ФРЕШ ДИЛЕР, ООО</t>
  </si>
  <si>
    <t>ФРЕШ МАРКЕТ, ООО</t>
  </si>
  <si>
    <t>ФРЕШФУДСИСТЕМ, ООО</t>
  </si>
  <si>
    <t>ФРИГОГЛАСС ЕВРАЗИЯ, ООО</t>
  </si>
  <si>
    <t>ФРИО ЛОГИСТИК, ООО</t>
  </si>
  <si>
    <t>ФРИТО ЛЕЙ МАНУФАКТУРИНГ, ООО</t>
  </si>
  <si>
    <t>ФРОЙДЕНБЕРГ ПОЛИТЕКС, ООО</t>
  </si>
  <si>
    <t>ФРОНЕРИ РУС, ООО</t>
  </si>
  <si>
    <t>ФРУТЕЛЛА, ООО</t>
  </si>
  <si>
    <t>ФРЯНОВСКИЙ КЕРАМИЧЕСКИЙ ЗАВОД, ООО</t>
  </si>
  <si>
    <t>ФТК СОТРАНС, ООО</t>
  </si>
  <si>
    <t>ФУД ТИМ, ООО</t>
  </si>
  <si>
    <t>ФУД-ТРЕЙД, ООО</t>
  </si>
  <si>
    <t>ФУКС ОЙЛ, ООО</t>
  </si>
  <si>
    <t>ФУНДЕР-УВА, ООО</t>
  </si>
  <si>
    <t>ФУРМАНОВСКОЕ, ООО</t>
  </si>
  <si>
    <t>ФУТБОЛЬНЫЙ КЛУБ КРАСНОДАР, ООО</t>
  </si>
  <si>
    <t>ФУЯО СТЕКЛО РУС, ООО</t>
  </si>
  <si>
    <t>ФФБ, ООО</t>
  </si>
  <si>
    <t>ФЬЮЕЛ МЕНЕДЖМЕНТ АЗС, ООО</t>
  </si>
  <si>
    <t>ФЭС-АГРО, ООО</t>
  </si>
  <si>
    <t>ХАБАРОВСКАЯ ТОПЛИВНАЯ КОМПАНИЯ , ООО ХТК, ООО</t>
  </si>
  <si>
    <t>ХАВЕЙЛ МОТОР МАНУФЭКЧУРИНГ РУС, ООО</t>
  </si>
  <si>
    <t>ХАВЕЙЛ МОТОР РУС, ООО</t>
  </si>
  <si>
    <t>ХАВЕН, ООО</t>
  </si>
  <si>
    <t>ХАИР, ООО</t>
  </si>
  <si>
    <t>ХАЙ ВЭЙ ГРУПП, ООО</t>
  </si>
  <si>
    <t>ХАЙГЕР БАС РУС, ООО</t>
  </si>
  <si>
    <t>ХАЙДЕЛЬБЕРГЦЕМЕНТ РУС, ООО</t>
  </si>
  <si>
    <t>ХАЙДЖЕНИК, АО</t>
  </si>
  <si>
    <t>ХАЙДЖИН ТЕКНОЛОДЖИЗ, ООО</t>
  </si>
  <si>
    <t>ХАМАЛЬ-ТРЭЙДИНГ, ООО</t>
  </si>
  <si>
    <t>ХАНКУК ТАЙР РУС, ООО</t>
  </si>
  <si>
    <t>ХАНСЕЛ, ООО</t>
  </si>
  <si>
    <t>ХАНТСМАН-НМГ, АО</t>
  </si>
  <si>
    <t>ХАР, ООО</t>
  </si>
  <si>
    <t>ХАРМАН РУС СИАЙЭС, ООО</t>
  </si>
  <si>
    <t>ХАРОВСКЛЕСПРОМ, ООО</t>
  </si>
  <si>
    <t>ХАРТИЯ, ООО</t>
  </si>
  <si>
    <t>ХАТБЕР-М, ООО</t>
  </si>
  <si>
    <t>ХАЯТ КИМЬЯ, ООО</t>
  </si>
  <si>
    <t>ХАЯТ МАРКЕТИНГ, ООО</t>
  </si>
  <si>
    <t>ХГ НПРО УРАЛ, ООО</t>
  </si>
  <si>
    <t>ХЕКНИ ЭКСПРЕСС, ООО</t>
  </si>
  <si>
    <t>ХЕЛИ-ДРАЙВ С-З, ООО</t>
  </si>
  <si>
    <t>ХЕЛЛМАНН, ООО</t>
  </si>
  <si>
    <t>ХЕНДЭ ВИА РУС, ООО</t>
  </si>
  <si>
    <t>ХЕНДЭ МОТОР СНГ, ООО</t>
  </si>
  <si>
    <t>ХЕСОН РУС, ООО</t>
  </si>
  <si>
    <t>ХЕТТИХ РУС, ООО</t>
  </si>
  <si>
    <t>ХИКВИЖН, ООО</t>
  </si>
  <si>
    <t>ХИЛТИ ДИСТРИБЬЮШН ЛТД, АО</t>
  </si>
  <si>
    <t>ХИМДИЛИНГ ПРО, ООО</t>
  </si>
  <si>
    <t>ХИМИЧЕСКАЯ ИНДУСТРИЯ, ООО</t>
  </si>
  <si>
    <t>ХИМПАРТНЕРЫ, ООО</t>
  </si>
  <si>
    <t>ХИМПРОМ, ООО</t>
  </si>
  <si>
    <t>ХИМПРОМ, ПАО</t>
  </si>
  <si>
    <t>ХИМПЭК, АО ТД</t>
  </si>
  <si>
    <t>ХИМПЭК, ЗАО ТК</t>
  </si>
  <si>
    <t>ХИМСНАБ, ООО</t>
  </si>
  <si>
    <t>ХИМСТАЛЬКОН-ИНЖИНИРИНГ, ООО</t>
  </si>
  <si>
    <t>ХИМСТАНДАРТ, ООО</t>
  </si>
  <si>
    <t>ХИНО МОТОРС, ООО</t>
  </si>
  <si>
    <t>ХИТ МАШИНЕРИ, ООО</t>
  </si>
  <si>
    <t>ХК КОРАЛЛ, ООО</t>
  </si>
  <si>
    <t>ХК МЕТАЛЛОИНВЕСТ, АО</t>
  </si>
  <si>
    <t>ХК ЭВОЛЮЦИЯ, АО</t>
  </si>
  <si>
    <t>ХК ЭЛИНАР, ООО</t>
  </si>
  <si>
    <t>ХКА, ООО</t>
  </si>
  <si>
    <t>ХКА, ООО ТД</t>
  </si>
  <si>
    <t>ХКМ ЕВРАЗИЯ, ООО</t>
  </si>
  <si>
    <t>ХЛАДОКОМБИНАТ ПАРТНЕР, ООО</t>
  </si>
  <si>
    <t>ХЛЕБНЫЙ ДОМ, ООО</t>
  </si>
  <si>
    <t>ХЛЕБОЗАВОД №16 (СПЕЦИАЛИЗИРОВАННЫЙ ЗАСТРОЙЩИК), АО</t>
  </si>
  <si>
    <t>ХЛЕБПРОМ, ОАО</t>
  </si>
  <si>
    <t>ХЛОПКОВАЯ БАЗА, ЗАО</t>
  </si>
  <si>
    <t>ХМДС, АО</t>
  </si>
  <si>
    <t>ХМЗ, АО</t>
  </si>
  <si>
    <t>ХММР, ООО</t>
  </si>
  <si>
    <t>ХМТП, АО</t>
  </si>
  <si>
    <t>ХОККЕЙНЫЙ КЛУБ СКА, ООО</t>
  </si>
  <si>
    <t>ХОЛДИНГ АКВА, ООО</t>
  </si>
  <si>
    <t>ХОЛДИНГ КОРОЛЕВСКИЙ, ООО</t>
  </si>
  <si>
    <t>ХОЛДИНГ МСС, ООО</t>
  </si>
  <si>
    <t>ХОЛДИНГ ПРОТЭК, ООО</t>
  </si>
  <si>
    <t>ХОЛДИНГ ЭРСО, АО</t>
  </si>
  <si>
    <t>ХОЛДИНГ-УРАЛ-ДОН, ООО</t>
  </si>
  <si>
    <t>ХОЛЛИФУД, ООО</t>
  </si>
  <si>
    <t>ХОЛСИМ (РУС) СМ, ООО</t>
  </si>
  <si>
    <t>ХОЛСИМ(РУС), ООО</t>
  </si>
  <si>
    <t>ХОМ ШОППИНГ РАША, ООО</t>
  </si>
  <si>
    <t>ХОППИ ЮНИОН, ООО</t>
  </si>
  <si>
    <t>ХОРОШЕЕ ДЕЛО, ООО</t>
  </si>
  <si>
    <t>ХОРОШЕЕ ДЕЛО. МОРДОВИЯ, ООО</t>
  </si>
  <si>
    <t>ХОРШ РУСЬ, ООО</t>
  </si>
  <si>
    <t>ХОУМАППЛАЙНС, ООО</t>
  </si>
  <si>
    <t>ХОХЛАНД РУССЛАНД, ООО</t>
  </si>
  <si>
    <t>ХПП ЕЛАНЬ-КОЛЕНО, ООО</t>
  </si>
  <si>
    <t>ХРМК, АО</t>
  </si>
  <si>
    <t>ХУАДЯНЬ-ТЕНИНСКАЯ ТЭЦ, ООО</t>
  </si>
  <si>
    <t>ХУЗАНГАЕВСКОЕ, ООО</t>
  </si>
  <si>
    <t>ХУСКВАРНА, ООО</t>
  </si>
  <si>
    <t>ХЬЮЛЕТТ ПАККАРД ЭНТЕРПРАЙЗ, ООО</t>
  </si>
  <si>
    <t>ХЭДХАНТЕР, ООО</t>
  </si>
  <si>
    <t>ХЭЛП-ОЙЛ, АО</t>
  </si>
  <si>
    <t>ХЭСК, ООО</t>
  </si>
  <si>
    <t>ХЭХУА-РУС, ООО</t>
  </si>
  <si>
    <t>ЦАРИЦЫНО, ОАО</t>
  </si>
  <si>
    <t>ЦАТР-АУДИТОРСКИЕ УСЛУГИ, ООО</t>
  </si>
  <si>
    <t>ЦБА, АО</t>
  </si>
  <si>
    <t>ЦБИ, ООО</t>
  </si>
  <si>
    <t>ЦВЕТОЧНЫЙ АЛЬЯНС, ООО</t>
  </si>
  <si>
    <t>ЦДС, АО</t>
  </si>
  <si>
    <t>ЦЕНТАВР, ООО</t>
  </si>
  <si>
    <t>ЦЕНТР БЫТОВОЙ ТЕХНИКИ, ООО</t>
  </si>
  <si>
    <t>ЦЕНТР ДИСТРИБЬЮЦИИ, ООО</t>
  </si>
  <si>
    <t>ЦЕНТР ОМЕГА, НАО</t>
  </si>
  <si>
    <t>ЭЙЧ ЭНД ЭМ, ООО</t>
  </si>
  <si>
    <t>ЦЕНТР ПЕРЕДОВОГО ЗЕМЛЕДЕЛИЯ, ООО</t>
  </si>
  <si>
    <t>ЦЕНТР ПОДРЯДОВ АСК, ООО</t>
  </si>
  <si>
    <t>ЦЕНТР РЕСТРУКТУРИЗАЦИИ, ООО</t>
  </si>
  <si>
    <t>ЦЕНТР САНТЕХНИКИ, ООО</t>
  </si>
  <si>
    <t>ЦЕНТР СИБТРАНСКОМПЛЕКТАЦИЯ, ООО</t>
  </si>
  <si>
    <t>ЦЕНТР ТЕХНИЧЕСКОГО ОБОРУДОВАНИЯ, ООО</t>
  </si>
  <si>
    <t>ЦЕНТР ТО, ООО</t>
  </si>
  <si>
    <t>ЦЕНТР ХРАНЕНИЯ ДАННЫХ, ООО</t>
  </si>
  <si>
    <t>ЦЕНТР ЦЕМЕНТИРОВАНИЯ СКВАЖИН, ООО</t>
  </si>
  <si>
    <t>ЦЕНТР, СПБ ГУДП</t>
  </si>
  <si>
    <t>ЦЕНТР-ИНВЕСТ, АО</t>
  </si>
  <si>
    <t>ЦЕНТРАЛЬНАЯ ППК, АО</t>
  </si>
  <si>
    <t>ЦЕНТРГАЗСЕРВИС, АО</t>
  </si>
  <si>
    <t>ЦЕНТРГЕКО, ООО</t>
  </si>
  <si>
    <t>ЦЕНТРМЕТАЛЛИНВЕСТ, ООО ТД</t>
  </si>
  <si>
    <t>ЦЕНТРОПОЛИМЕР, ООО</t>
  </si>
  <si>
    <t>ЦЕНТРСВЕТ, ООО</t>
  </si>
  <si>
    <t>ЦЕНТРЭНЕРГОГАЗ, АО</t>
  </si>
  <si>
    <t>ЦЕНТРЭНЕРГОХОЛДИНГ, ПАО</t>
  </si>
  <si>
    <t>ЦЕППЕЛИН РУСЛАНД, ООО</t>
  </si>
  <si>
    <t>ЦЕСЛА, ОАО</t>
  </si>
  <si>
    <t>ЦИТАДЕЛЬ, ЗАО</t>
  </si>
  <si>
    <t>ЦИТАДЕЛЬ, ООО</t>
  </si>
  <si>
    <t>ЦИФРОВАЯ ЛОГИСТИКА, ООО</t>
  </si>
  <si>
    <t>ЦИФРОВЫЕ АКТИВЫ, ООО</t>
  </si>
  <si>
    <t>ЦИФРОВЫЕ ТЕХНОЛОГИИ, ООО</t>
  </si>
  <si>
    <t>ЦИФРОМЕД, ООО</t>
  </si>
  <si>
    <t>ЦКБ МТ РУБИН, АО</t>
  </si>
  <si>
    <t>ЦКБ РЖД-МЕДИЦИНА, ЧУЗ</t>
  </si>
  <si>
    <t>ЦКБМ, АО</t>
  </si>
  <si>
    <t>ЦКК, ООО</t>
  </si>
  <si>
    <t>ЦКР, ООО</t>
  </si>
  <si>
    <t>ЦКС, ООО</t>
  </si>
  <si>
    <t>ЦМ, ООО</t>
  </si>
  <si>
    <t>ЦМС, АО</t>
  </si>
  <si>
    <t>ЦМТ, ООО</t>
  </si>
  <si>
    <t>ЦМТ, ПАО</t>
  </si>
  <si>
    <t>ЦОУ, АО</t>
  </si>
  <si>
    <t>ЦПИ-АРИАНТ, ООО</t>
  </si>
  <si>
    <t>ЦПК, ООО</t>
  </si>
  <si>
    <t>ЦПЛ, АО</t>
  </si>
  <si>
    <t>ЦПСИК, ООО</t>
  </si>
  <si>
    <t>ЦРП ПЕТЕРБУРГСКАЯ НЕДВИЖИМОСТЬ, ООО</t>
  </si>
  <si>
    <t>ЦРПИ, АО</t>
  </si>
  <si>
    <t>ЦСК, ООО ТД</t>
  </si>
  <si>
    <t>ЦТВ, АО</t>
  </si>
  <si>
    <t>ЦТК, ООО</t>
  </si>
  <si>
    <t>ЦУГИ, ГУП</t>
  </si>
  <si>
    <t>ЦУП ЧЭАЗ, ООО</t>
  </si>
  <si>
    <t>ЦФТ, ЗАО</t>
  </si>
  <si>
    <t>ЦЧ АПК, ООО</t>
  </si>
  <si>
    <t>ЦЭУ, АО</t>
  </si>
  <si>
    <t>ЧАГОДОЩЕНСКИЙ СТЕКЛОЗАВОД И К , ООО ЧСЗ И К, ООО</t>
  </si>
  <si>
    <t>ЧАЙНА ФОРКЛИФТ, ООО</t>
  </si>
  <si>
    <t>ЧАНЪАНЬ МОТОРС РУС, ООО</t>
  </si>
  <si>
    <t>ЧАСТНАЯ ПИВОВАРНЯ АФАНАСИЙ, ООО</t>
  </si>
  <si>
    <t>ЧГГК, АО</t>
  </si>
  <si>
    <t>ЧЕБАРКУЛЬСКАЯ ПТИЦА, ООО</t>
  </si>
  <si>
    <t>ЧЕБАРКУЛЬСКОЕ МОЛОКО, АО</t>
  </si>
  <si>
    <t>ЧЕБОКСАРСКОЕ ПРЕДПРИЯТИЕ СЕСПЕЛЬ, ЗАО</t>
  </si>
  <si>
    <t>ЧЕЛНЫ ЛОГИСТИК, ООО</t>
  </si>
  <si>
    <t>ЧЕЛНЫ ХОЛОД, ОАО</t>
  </si>
  <si>
    <t>ЧЕЛНЫ-БРОЙЛЕР, ООО</t>
  </si>
  <si>
    <t>ЧЕЛНЫХЛЕБОПРОДУКТ, АО</t>
  </si>
  <si>
    <t>ЧЕЛЯБВТОРМЕТ, ОАО</t>
  </si>
  <si>
    <t>ЧЕЛЯБКРАНСБЫТ, ЗАО</t>
  </si>
  <si>
    <t>ЧЕЛЯБСНАБКОМПЛЕКТ, ООО ТД</t>
  </si>
  <si>
    <t>ЧЕПЕЦКНЕФТЕПРОДУКТ, ООО</t>
  </si>
  <si>
    <t>ЧЕРЕМНОВСКИЙ САХАРНЫЙ ЗАВОД, ОАО</t>
  </si>
  <si>
    <t>ЧЕРИ АВТОМОБИЛИ РУС, АО</t>
  </si>
  <si>
    <t>ЧЕРКИЗОВО-КАШИРА, АО</t>
  </si>
  <si>
    <t>ЧЕРКИЗОВО-МАСЛА, ООО</t>
  </si>
  <si>
    <t>ЧЕРКИЗОВО-РАСТЕНИЕВОДСТВО, ООО</t>
  </si>
  <si>
    <t>ЧЕРКИЗОВО-СВИНОВОДСТВО, ООО</t>
  </si>
  <si>
    <t>ЧЕРМЕТ, ООО ТК</t>
  </si>
  <si>
    <t>ЧЕРНИГОВЕЦ, АО</t>
  </si>
  <si>
    <t>ЧЕРНОЗЕМЬЕ, ООО</t>
  </si>
  <si>
    <t>ЧЕРНОМОРТРАНСНЕФТЬ, АО</t>
  </si>
  <si>
    <t>ЧЕТВЕРТАЯ КОНЦЕССИОННАЯ КОМПАНИЯ, ООО</t>
  </si>
  <si>
    <t>ЧЕТВЕРТЫЙ ВЕТРОПАРК ФРВ, ООО</t>
  </si>
  <si>
    <t>ЧЕХОВСАХАР, ООО</t>
  </si>
  <si>
    <t>ЧЕЧЕНЦЕМЕНТ, АО</t>
  </si>
  <si>
    <t>ЧЕЧЕНЭНЕРГО, АО</t>
  </si>
  <si>
    <t>ЧЗМЭК, ООО</t>
  </si>
  <si>
    <t>ЧЗПСН-ПРОФНАСТИЛ, ПАО</t>
  </si>
  <si>
    <t>ЧИБО СНГ, ООО</t>
  </si>
  <si>
    <t>ЧИЗМАРКЕТ, ООО</t>
  </si>
  <si>
    <t>ЧИП И ДИП, ЗАО</t>
  </si>
  <si>
    <t>ЧИПИТА САНКТ-ПЕТЕРБУРГ, ООО</t>
  </si>
  <si>
    <t>ЧИРКЕЙГЭССТРОЙ, АО</t>
  </si>
  <si>
    <t>ЧИСТАЯ ЛИНИЯ, ООО</t>
  </si>
  <si>
    <t>ЧИСТОГОРСКИЙ, ООО СПК</t>
  </si>
  <si>
    <t>ЧИСТОПОЛЬСКИЙ, ООО ЗРМ</t>
  </si>
  <si>
    <t>ЧИТАЭНЕРГОСБЫТ, АО</t>
  </si>
  <si>
    <t>ЧИШМИНСКИЙ МЭЗ, ООО</t>
  </si>
  <si>
    <t>ЧКПЗ, ПАО</t>
  </si>
  <si>
    <t>ЧКТС, МУП</t>
  </si>
  <si>
    <t>ЧЛМЗ, АО</t>
  </si>
  <si>
    <t>ЧМЗ, АО</t>
  </si>
  <si>
    <t>ЧМЗ, ОАО</t>
  </si>
  <si>
    <t>ЧМПЗ, АО</t>
  </si>
  <si>
    <t>ЧНГ ГАЗИФИКАЦИЯ, ООО</t>
  </si>
  <si>
    <t>ЧОО СПАРТА, ООО</t>
  </si>
  <si>
    <t>ЧСБ, ООО ЧОО</t>
  </si>
  <si>
    <t>ЧСЗ, ОАО</t>
  </si>
  <si>
    <t>ЧСЗ-ЛИПЕЦК, ООО</t>
  </si>
  <si>
    <t>ЧТК, АО</t>
  </si>
  <si>
    <t>ЧУВАШХЛЕБОПРОДУКТ, АО</t>
  </si>
  <si>
    <t>ЧУКОТСНАБ, АО</t>
  </si>
  <si>
    <t>ЧУКОТЭНЕРГО, АО</t>
  </si>
  <si>
    <t>ЧФМК, АО</t>
  </si>
  <si>
    <t>ЧЦЗ, АО</t>
  </si>
  <si>
    <t>ЧЭМК, АО</t>
  </si>
  <si>
    <t>ЧЭТА, ООО</t>
  </si>
  <si>
    <t>ШААЗ, АО</t>
  </si>
  <si>
    <t>ШАМСА-МАРКЕТ, ООО</t>
  </si>
  <si>
    <t>ШАНЕЛЬ, ООО</t>
  </si>
  <si>
    <t>ШАНС ТРЕЙД, ООО</t>
  </si>
  <si>
    <t>ШАНС ЭНТЕРПРАЙЗ, ООО</t>
  </si>
  <si>
    <t>ШАНХАЙ СПЕЦТЕХНИКА, ООО</t>
  </si>
  <si>
    <t>ШАТЕ-М ПЛЮС, ООО</t>
  </si>
  <si>
    <t>ШАТТДЕКОР, ООО</t>
  </si>
  <si>
    <t>ШАТУРА, АО МК</t>
  </si>
  <si>
    <t>ШАХТА БАЙКАИМСКАЯ, ООО</t>
  </si>
  <si>
    <t>ШАХТА БЕЛОВСКАЯ, ЗАО</t>
  </si>
  <si>
    <t>ШАХТА ИМ.С.Д.ТИХОВА, ООО</t>
  </si>
  <si>
    <t>ШАХТА ЛИСТВЯЖНАЯ, ООО</t>
  </si>
  <si>
    <t>ШАХТА ОСИННИКОВСКАЯ, ООО</t>
  </si>
  <si>
    <t>ШАХТА ЮБИЛЕЙНАЯ, ООО</t>
  </si>
  <si>
    <t>ШАХТИНСКАЯ КЕРАМИКА, ООО</t>
  </si>
  <si>
    <t>ШАХТОУПРАВЛЕНИЕ МАЙСКОЕ, ООО</t>
  </si>
  <si>
    <t>ШАХТОУПРАВЛЕНИЕ ОБУХОВСКАЯ, АО</t>
  </si>
  <si>
    <t>ШАХТОУПРАВЛЕНИЕ САДКИНСКОЕ, ООО</t>
  </si>
  <si>
    <t>ШЕЛКО, ООО</t>
  </si>
  <si>
    <t>ШЕЛЬФ-2000, ООО</t>
  </si>
  <si>
    <t>ШЕНКЕР, АО</t>
  </si>
  <si>
    <t>ШЕРЕМЕТЬЕВО БЕЗОПАСНОСТЬ, АО</t>
  </si>
  <si>
    <t>ШЕРЕМЕТЬЕВО ВИП, ООО</t>
  </si>
  <si>
    <t>ШЕРЕМЕТЬЕВО ХЭНДЛИНГ, ООО</t>
  </si>
  <si>
    <t>ШЕСТАКИ, АО РАЗРЕЗ</t>
  </si>
  <si>
    <t>ШЕШМАОЙЛ, АО</t>
  </si>
  <si>
    <t>ШИНИНВЕСТ, ООО</t>
  </si>
  <si>
    <t>ШИНСЕРВИС, ООО</t>
  </si>
  <si>
    <t>ШКДП, ООО</t>
  </si>
  <si>
    <t>ШКОЛЬНИК-ЮЗ, ООО</t>
  </si>
  <si>
    <t>ШЛАКСЕРВИС, ООО</t>
  </si>
  <si>
    <t>ШЛЮМБЕРЖЕ ВОСТОК, ООО</t>
  </si>
  <si>
    <t>ШМИТЦ КАРГОБУЛЛ РУССЛАНД, ООО</t>
  </si>
  <si>
    <t>ШОЙБУЛАКСКИЙ, АО ПЗ</t>
  </si>
  <si>
    <t>ШОП ТВ, ООО</t>
  </si>
  <si>
    <t>ШСУ, ООО</t>
  </si>
  <si>
    <t>ШТК, АО</t>
  </si>
  <si>
    <t>ШТОРК, ООО</t>
  </si>
  <si>
    <t>ШТРАБАГ, АО</t>
  </si>
  <si>
    <t>ШТРАУМАНН, ООО</t>
  </si>
  <si>
    <t>ШТРАУС, ООО</t>
  </si>
  <si>
    <t>ШУКО ИНТЕРНАЦИОНАЛ МОСКВА, АО</t>
  </si>
  <si>
    <t>ЩЕКИНОАЗОТ, АО</t>
  </si>
  <si>
    <t>ЩЕКИНОАЗОТ, ООО ТД</t>
  </si>
  <si>
    <t>ЩЕЛКОВО АГРОХИМ, АО</t>
  </si>
  <si>
    <t>ЩЕЛКОВСКИЙ МПК, ООО</t>
  </si>
  <si>
    <t>ЩЗТ, АО</t>
  </si>
  <si>
    <t>ЩИГРОВСКИЙ КХП, АО</t>
  </si>
  <si>
    <t>ЩЛЗ, АО</t>
  </si>
  <si>
    <t>Э.П.Ф., ООО</t>
  </si>
  <si>
    <t>ЭББВИ, ООО</t>
  </si>
  <si>
    <t>ЭББОТТ ЛЭБОРАТОРИЗ, ООО</t>
  </si>
  <si>
    <t>ЭВАЛАР, ЗАО</t>
  </si>
  <si>
    <t>ЭВЕРЕСТ, АО ФГ</t>
  </si>
  <si>
    <t>ЭВЕРЕСТ, ООО</t>
  </si>
  <si>
    <t>ЭВЕРЕСТ, ООО ПКФ</t>
  </si>
  <si>
    <t>ЭВЕРЕСТ-Д, ООО</t>
  </si>
  <si>
    <t>ЭВИОСИС ПЭКЭДЖИНГ КУБАНЬ, ООО</t>
  </si>
  <si>
    <t>ЭВОНИК ХИМИЯ, ООО</t>
  </si>
  <si>
    <t>ЭВОТОР, ООО</t>
  </si>
  <si>
    <t>ЭВРИКА, ООО</t>
  </si>
  <si>
    <t>ЭВЭНКС, ООО</t>
  </si>
  <si>
    <t>ЭГГЕР ДРЕВПРОДУКТ ГАГАРИН, ООО</t>
  </si>
  <si>
    <t>ЭГГЕР ДРЕВПРОДУКТ ШУЯ, ООО</t>
  </si>
  <si>
    <t>ЭГИДА+, ООО</t>
  </si>
  <si>
    <t>ЭГИДА ПОВОЛЖЬЕ, ООО</t>
  </si>
  <si>
    <t>ЭГИДА-ТРЕЙД, ООО</t>
  </si>
  <si>
    <t>ЭДАС ПАК, АО</t>
  </si>
  <si>
    <t>ЭДВАНТА, ООО</t>
  </si>
  <si>
    <t>ЭДЕЛЬВЕЙС Л, ООО</t>
  </si>
  <si>
    <t>ЭДЕМ, ООО</t>
  </si>
  <si>
    <t>ЭДЕН ГАРДЕН, ООО</t>
  </si>
  <si>
    <t>ЭДИЛ-ИМПОРТ, ООО</t>
  </si>
  <si>
    <t>ЭЙ ДЖИ СИ ФЛЭТ ГЛАСС КЛИН, ООО</t>
  </si>
  <si>
    <t>ЭЙ КЕЙ РАША, ООО</t>
  </si>
  <si>
    <t>ЭЙ ЭНД ДИ РУС, ООО</t>
  </si>
  <si>
    <t>ЭЙ-ПИ ТРЕЙД, ООО</t>
  </si>
  <si>
    <t>ЭЙ-СИ-РЕЙЛ, ООО</t>
  </si>
  <si>
    <t>ЭЙВОН БЬЮТИ ПРОДАКТС КОМПАНИ, ООО</t>
  </si>
  <si>
    <t>ЭЙРТРАНСС, ООО</t>
  </si>
  <si>
    <t>ЭЙЧ ЭНЕРДЖИ, ООО</t>
  </si>
  <si>
    <t>ЭЙЧПИ ИНК, ООО</t>
  </si>
  <si>
    <t>ЭК ВОСТОК, АО</t>
  </si>
  <si>
    <t>ЭК СТИ, ООО</t>
  </si>
  <si>
    <t>ЭК, АО</t>
  </si>
  <si>
    <t>ЭКВИТИПЛЮС, АО</t>
  </si>
  <si>
    <t>ЭКЗ, АО</t>
  </si>
  <si>
    <t>ЭКЗО-ФРУТ, ООО</t>
  </si>
  <si>
    <t>ЭКМ ХОЛДИНГ, ООО</t>
  </si>
  <si>
    <t>ЭКО ЛЭНД, ООО</t>
  </si>
  <si>
    <t>ЭКО ШИППИНГ, ООО</t>
  </si>
  <si>
    <t>ЭКО-КУЛЬТУРА-ТРЕЙД, ООО</t>
  </si>
  <si>
    <t>ЭКО-МЕД-С М, ООО</t>
  </si>
  <si>
    <t>ЭКОГАЗСЕРВИС, ООО</t>
  </si>
  <si>
    <t>ЭКОДОК, ООО</t>
  </si>
  <si>
    <t>ЭКОДОР, ООО ФИРМА</t>
  </si>
  <si>
    <t>ЭКОЛАБ, АО</t>
  </si>
  <si>
    <t>ЭКОЛАЙН, ООО</t>
  </si>
  <si>
    <t>ЭКОЛАЙН-ВОСКРЕСЕНСК, ООО</t>
  </si>
  <si>
    <t>ЭКОЛАЙФ, ООО</t>
  </si>
  <si>
    <t>ЭКОЛЕСПРОМ, ООО</t>
  </si>
  <si>
    <t>ЭКОЛОГИЧЕСКИЕ ПРОДУКТЫ, ООО</t>
  </si>
  <si>
    <t>ЭКОМИЛК, ООО</t>
  </si>
  <si>
    <t>ЭКОМИКС, ООО</t>
  </si>
  <si>
    <t>ЭКОНИВА МОЛОКО ВОРОНЕЖ, ООО</t>
  </si>
  <si>
    <t>ЭКОНИВА-СЕМЕНА, ООО</t>
  </si>
  <si>
    <t>ЭКОНИВА-ТЕХНИКА, ООО</t>
  </si>
  <si>
    <t>ЭКОНИВА-ЧЕРНОЗЕМЬЕ, ООО</t>
  </si>
  <si>
    <t>ЭКОНИВААГРО, ООО</t>
  </si>
  <si>
    <t>ЭКОНИВАСИБИРЬ, ООО</t>
  </si>
  <si>
    <t>ЭКОНИКА, ООО</t>
  </si>
  <si>
    <t>ЭКОНОМ, ООО</t>
  </si>
  <si>
    <t>ЭКООЙЛ, АО</t>
  </si>
  <si>
    <t>ЭКОПЛАСТИКС, ООО</t>
  </si>
  <si>
    <t>ЭКОПОЛЕ, ООО</t>
  </si>
  <si>
    <t>ЭКОПТИЦА, СПССПК</t>
  </si>
  <si>
    <t>ЭКОРЕСУРС, ООО</t>
  </si>
  <si>
    <t>ЭКОС, ЗАО</t>
  </si>
  <si>
    <t>ЭКОС, ООО</t>
  </si>
  <si>
    <t>ЭКОСТРОЙРЕСУРС, ООО</t>
  </si>
  <si>
    <t>ЭКОТЕХПРОМ, ГУП</t>
  </si>
  <si>
    <t>ЭКОТЕХПРОМ, ООО</t>
  </si>
  <si>
    <t>ЭКОТОЛ-СЕРВИС, ООО</t>
  </si>
  <si>
    <t>ЭКОТОН, ООО</t>
  </si>
  <si>
    <t>ЭКОФАРМ ПЛЮС, ООО</t>
  </si>
  <si>
    <t>ЭКОЦЕНТР, ООО</t>
  </si>
  <si>
    <t>ЭКСАР, АО</t>
  </si>
  <si>
    <t>ЭКСИМ ПАСИФИК, ООО</t>
  </si>
  <si>
    <t>ЭКСИСТ-ЗАКУПКА, ООО</t>
  </si>
  <si>
    <t>ЭКСКЛЮЗИВ, ООО</t>
  </si>
  <si>
    <t>ЭКСПЕРТ, ООО</t>
  </si>
  <si>
    <t>ЭКСПЕРТ-ЛИЗИНГ, ООО</t>
  </si>
  <si>
    <t>ЭКСПЕРТСТРОЙПРОЕКТ, ООО</t>
  </si>
  <si>
    <t>ЭКСПО ГЛАСС, ООО</t>
  </si>
  <si>
    <t>ЭКСПО ЛАЙН, ООО</t>
  </si>
  <si>
    <t>ЭКСПОМОБИЛИТИ, ООО</t>
  </si>
  <si>
    <t>ЭКСПОРТ ГРУПП, ООО</t>
  </si>
  <si>
    <t>ЭКСПОЦЕНТР, АО</t>
  </si>
  <si>
    <t>ЭКСПРЕСС-КУБАНЬ ООО</t>
  </si>
  <si>
    <t>ЭКСПРОФ, ООО</t>
  </si>
  <si>
    <t>ЭКТОН, ООО</t>
  </si>
  <si>
    <t>ЭЛ5-ЭНЕРГО, ПАО</t>
  </si>
  <si>
    <t>ЭЛАНКО РУС, ООО</t>
  </si>
  <si>
    <t>ЭЛАСТОКАМ, ООО</t>
  </si>
  <si>
    <t>ЭЛЕВАТОР, ООО</t>
  </si>
  <si>
    <t>ЭЛЕВЕЛ, ООО</t>
  </si>
  <si>
    <t>ЭЛЕККОМ ЛОГИСТИК, ООО</t>
  </si>
  <si>
    <t>ЭЛЕКОНД, АО</t>
  </si>
  <si>
    <t>ЭЛЕКТРИЧЕСКИЕ ТЕХНОЛОГИИ, ООО</t>
  </si>
  <si>
    <t>ЭЛЕКТРОКАБЕЛЬ НН, ООО НКЗ</t>
  </si>
  <si>
    <t>ЭЛЕКТРОКОМПЛЕКТСЕРВИС, ЗАО</t>
  </si>
  <si>
    <t>ЭЛЕКТРОНСТРОЙ, АО</t>
  </si>
  <si>
    <t>ЭЛЕКТРОРЕШЕНИЯ, ООО</t>
  </si>
  <si>
    <t>ЭЛЕКТРОСЕТЕВАЯ СТРОИТЕЛЬНАЯ КОМПАНИЯ, ООО</t>
  </si>
  <si>
    <t>ЭЛЕКТРОСЕТЬ, АО</t>
  </si>
  <si>
    <t>ЭЛЕКТРОСНАБСБЫТ, АО</t>
  </si>
  <si>
    <t>ЭЛЕКТРОТЯЖМАШ-ПРИВОД, ООО</t>
  </si>
  <si>
    <t>ЭЛЕКТРОУРАЛМОНТАЖ, АО</t>
  </si>
  <si>
    <t>ЭЛЕКТРОЦЕНТРОМОНТАЖ, АО</t>
  </si>
  <si>
    <t>ЭЛЕКТРОЩИТ-СТРОЙСИСТЕМА, ООО</t>
  </si>
  <si>
    <t>ЭЛЕМЕНТ ЛИЗИНГ, ООО</t>
  </si>
  <si>
    <t>ЭЛЕМЕНТ-ТРЕЙД, ООО</t>
  </si>
  <si>
    <t>ЭЛИНАР-БРОЙЛЕР, ООО</t>
  </si>
  <si>
    <t>ЭЛИС ФЭШН РУС, АО</t>
  </si>
  <si>
    <t>ЭЛИТ ТРЕЙД, ООО ТД</t>
  </si>
  <si>
    <t>ЭЛИТА-ЦЕНТР, ООО</t>
  </si>
  <si>
    <t>ЭЛИТПОСТАВКА, ООО</t>
  </si>
  <si>
    <t>ЭЛИТСТРОЙ, ООО</t>
  </si>
  <si>
    <t>ЭЛКАМ, ООО</t>
  </si>
  <si>
    <t>ЭЛКО РУС, ООО</t>
  </si>
  <si>
    <t>ЭЛКОМ, ООО</t>
  </si>
  <si>
    <t>ЭЛЛАДА ИНТЕРТРЕЙД, ООО</t>
  </si>
  <si>
    <t>ЭЛЛАДА, ООО</t>
  </si>
  <si>
    <t>ЭЛЛИ, ООО</t>
  </si>
  <si>
    <t>ЭЛНА, ООО ВФ</t>
  </si>
  <si>
    <t>ЭЛП, ООО</t>
  </si>
  <si>
    <t>ЭЛСИ МАЙНИНГ ВОСТОК, ООО</t>
  </si>
  <si>
    <t>ЭЛСИ СТАЛЬКОНСТРУКЦИЯ, ЗАО</t>
  </si>
  <si>
    <t>ЭЛСИБ ПАО, НПО</t>
  </si>
  <si>
    <t>ЭЛТЕЗА, ОАО</t>
  </si>
  <si>
    <t>ЭЛТЕХ КОМПОНЕНТ, ООО</t>
  </si>
  <si>
    <t>ЭЛТЕХНОРД, ООО</t>
  </si>
  <si>
    <t>ЭЛЬБРУС СПИРИТС, ООО</t>
  </si>
  <si>
    <t>ЭЛЬГА-ДОРОГА, ООО</t>
  </si>
  <si>
    <t>ЭЛЬГА-ТРАНС, ООО</t>
  </si>
  <si>
    <t>ЭЛЬГАУГОЛЬ, ООО</t>
  </si>
  <si>
    <t>ЭЛЬФ ФИЛЛИНГ, АО</t>
  </si>
  <si>
    <t>ЭМ-ДЖИ РУСЛАНД, ООО</t>
  </si>
  <si>
    <t>ЭМ-СИ БАУХЕМИ, ООО</t>
  </si>
  <si>
    <t>ЭМДЖИКОМ, ООО</t>
  </si>
  <si>
    <t>ЭМЕКС.РУ, ООО</t>
  </si>
  <si>
    <t>ЭМЕРСОН, ООО</t>
  </si>
  <si>
    <t>ЭМПИЛС, ЗАО</t>
  </si>
  <si>
    <t>ЭН ЭС СИ, ООО</t>
  </si>
  <si>
    <t>ЭНВИЖН ГРУП, АО</t>
  </si>
  <si>
    <t>ЭНГС, ООО</t>
  </si>
  <si>
    <t>ЭНЕРГЕТИЧЕСКИЕ ТЕХНОЛОГИИ, ООО ИК</t>
  </si>
  <si>
    <t>ЭНЕРГЕТИЧЕСКОЕ СТРОИТЕЛЬСТВО, ООО</t>
  </si>
  <si>
    <t>ЭНЕРГИЯ ОМ, ООО</t>
  </si>
  <si>
    <t>ЭНЕРГИЯ ЮГА, ООО</t>
  </si>
  <si>
    <t>ЭНЕРГИЯ, ООО</t>
  </si>
  <si>
    <t>ЭНЕРГО ОЙЛ, ООО</t>
  </si>
  <si>
    <t>ЭНЕРГО-ГАЗ-НОЯБРЬСК, АО</t>
  </si>
  <si>
    <t>ЭНЕРГОВЕКТОР, ООО</t>
  </si>
  <si>
    <t>ЭНЕРГОКОМПЛЕКТ, ООО</t>
  </si>
  <si>
    <t>ЭНЕРГОКОМФОРТ . КАРЕЛИЯ, ООО</t>
  </si>
  <si>
    <t>ЭНЕРГОМЕРА, АО</t>
  </si>
  <si>
    <t>ЭНЕРГОМОНТАЖ, ООО</t>
  </si>
  <si>
    <t>ЭНЕРГОНЕФТЬ ТОМСК, ООО</t>
  </si>
  <si>
    <t>ЭНЕРГОПИТЕР, ООО</t>
  </si>
  <si>
    <t>ЭНЕРГОПРОМСБЫТ, ООО</t>
  </si>
  <si>
    <t>ЭНЕРГОРЕМОНТ ПЛЮС, АО</t>
  </si>
  <si>
    <t>ЭНЕРГОРОК-1, ООО</t>
  </si>
  <si>
    <t>ЭНЕРГОСБЫТ ПЛЮС, АО</t>
  </si>
  <si>
    <t>ЭНЕРГОСБЫТ, АО</t>
  </si>
  <si>
    <t>ЭНЕРГОСБЫТХОЛДИНГ, ООО</t>
  </si>
  <si>
    <t>ЭНЕРГОСЕРВИС СЕВЕРО-ЗАПАДА, АО</t>
  </si>
  <si>
    <t>ЭНЕРГОСЕРВИС-2, ООО УК</t>
  </si>
  <si>
    <t>ЭНЕРГОСЕТЬ, ООО</t>
  </si>
  <si>
    <t>ЭНЕРГОСИСТЕМА, ООО</t>
  </si>
  <si>
    <t>ЭНЕРГОСПЕЦМОНТАЖ, АО</t>
  </si>
  <si>
    <t>ЭНЕРГОСТРОЙ, ЗАО</t>
  </si>
  <si>
    <t>ЭНЕРГОСТРОЙ, ООО</t>
  </si>
  <si>
    <t>ЭНЕРГОСТРОЙКОМПЛЕКС, ООО</t>
  </si>
  <si>
    <t>ЭНЕРГОСФЕРА, ООО</t>
  </si>
  <si>
    <t>ЭНЕРГОТЕХСЕРВИС, ООО</t>
  </si>
  <si>
    <t>ЭНЕРГОТРАНЗИТ, ООО</t>
  </si>
  <si>
    <t>ЭНЕРГОТРЕЙД, ООО</t>
  </si>
  <si>
    <t>ЭНЕРМЕТ, ООО</t>
  </si>
  <si>
    <t>ЭНИКОМ, ООО</t>
  </si>
  <si>
    <t>ЭНКА ТЦ, ООО</t>
  </si>
  <si>
    <t>ЭНКИ КОНСТРАКШН, ООО</t>
  </si>
  <si>
    <t>ЭНТУЗИАСТ-С, ООО</t>
  </si>
  <si>
    <t>ЭОС, ООО</t>
  </si>
  <si>
    <t>ЭПАМ СИСТЭМЗ, ООО</t>
  </si>
  <si>
    <t>ЭПИДБИОМЕД-ИМПЭКС, ООО</t>
  </si>
  <si>
    <t>ЭПИРОК РУС, ООО</t>
  </si>
  <si>
    <t>ЭПИЦЕНТР, ООО</t>
  </si>
  <si>
    <t>ЭПК, АО</t>
  </si>
  <si>
    <t>ЭПОХА ВОЗРОЖДЕНИЯ, ООО</t>
  </si>
  <si>
    <t>ЭППЛ РУС, ООО</t>
  </si>
  <si>
    <t>ЭПРОМЕТ, ООО</t>
  </si>
  <si>
    <t>ЭПУ СЕРВИС, ООО</t>
  </si>
  <si>
    <t>ЭР-ТЕЛЕКОМ ХОЛДИНГ, АО</t>
  </si>
  <si>
    <t>ЭРА ЭЙЧ ПИ СИ ДИСТРИБЬЮШН, ООО</t>
  </si>
  <si>
    <t>ЭРА, АО</t>
  </si>
  <si>
    <t>ЭРА, ООО</t>
  </si>
  <si>
    <t>ЭРИА, ООО</t>
  </si>
  <si>
    <t>ЭРИСМАНН, ООО</t>
  </si>
  <si>
    <t>ЭРКАФАРМ СЕВЕРО-ЗАПАД, ООО</t>
  </si>
  <si>
    <t>ЭРКАФАРМ, АО</t>
  </si>
  <si>
    <t>ЭРКОН, ООО</t>
  </si>
  <si>
    <t>ЭРКОНПРОДУКТ, ООО</t>
  </si>
  <si>
    <t>ЭРМАНН, ООО</t>
  </si>
  <si>
    <t>ЭРТЕН, ООО</t>
  </si>
  <si>
    <t>ЭС БИ СИ МЕДИА, ООО</t>
  </si>
  <si>
    <t>ЭС ДЖИ БИОТЕХ, АО</t>
  </si>
  <si>
    <t>ЭС.СИ. ДЖОНСОН, ООО</t>
  </si>
  <si>
    <t>ЭСВ, ООО</t>
  </si>
  <si>
    <t>ЭСДИДЖИ, ООО</t>
  </si>
  <si>
    <t>ЭСК КРАСНОЕ СОРМОВО, ООО</t>
  </si>
  <si>
    <t>ЭСК РУСГИДРО, АО</t>
  </si>
  <si>
    <t>ЭСК ЭНЕРГОМОСТ, ООО</t>
  </si>
  <si>
    <t>ЭСК ЭНЕРГОСТАНДАРТ, ООО</t>
  </si>
  <si>
    <t>ЭСКБ, ООО</t>
  </si>
  <si>
    <t>ЭСКК, ООО</t>
  </si>
  <si>
    <t>ЭСКОРТ СЕРВИС, ООО</t>
  </si>
  <si>
    <t>ЭСО КЧХК, ООО</t>
  </si>
  <si>
    <t>ЭСПЕРАНС, ООО</t>
  </si>
  <si>
    <t>ЭССЕН ПРОДАКШН АГ, АО</t>
  </si>
  <si>
    <t>ЭССИТИ, ООО</t>
  </si>
  <si>
    <t>ЭСТ, АО</t>
  </si>
  <si>
    <t>ЭСТА КОНСТРАКШЕН, ООО</t>
  </si>
  <si>
    <t>ЭСТЕ ЛАУДЕР КОМПАНИЗ, ООО</t>
  </si>
  <si>
    <t>ЭСТРАЛИН ПС, ООО</t>
  </si>
  <si>
    <t>ЭСЭФАЙ, ПАО</t>
  </si>
  <si>
    <t>ЭТАЛОН ЛЕНСПЕЦСМУ, АО</t>
  </si>
  <si>
    <t>ЭТАЛОН ПЕРСПЕКТИВА, АО</t>
  </si>
  <si>
    <t>ЭТАЛОН-СТРОЙ, ООО</t>
  </si>
  <si>
    <t>ЭТК, ООО</t>
  </si>
  <si>
    <t>ЭФ5 СЕРВИС, ООО</t>
  </si>
  <si>
    <t>ЭФКО ПИЩЕВЫЕ ИНГРЕДИЕНТЫ, ООО</t>
  </si>
  <si>
    <t>ЭФКО, АО</t>
  </si>
  <si>
    <t>ЭФКО-СЕМЕНА, ООО</t>
  </si>
  <si>
    <t>Ю-ТЕК, ООО</t>
  </si>
  <si>
    <t>Ю-ТИ-ДЖИ, АО</t>
  </si>
  <si>
    <t>ЮАИЗ, АО</t>
  </si>
  <si>
    <t>ЮАНЬ ДУН, ООО</t>
  </si>
  <si>
    <t>ЮВ И С, ООО СК</t>
  </si>
  <si>
    <t>ЮВЕЛИТ, АО</t>
  </si>
  <si>
    <t>ЮВИ МСК, ООО</t>
  </si>
  <si>
    <t>ЮВМ, ООО</t>
  </si>
  <si>
    <t>ЮВМ-23, ООО</t>
  </si>
  <si>
    <t>ЮГ ПОЛИМЕР, ООО</t>
  </si>
  <si>
    <t>ЮГ РУСИ, АО</t>
  </si>
  <si>
    <t>ЮГ-АВТО ЭКСПЕРТ, ООО</t>
  </si>
  <si>
    <t>ЮГ-АВТО, ООО АВТОЦЕНТР</t>
  </si>
  <si>
    <t>ЮГ-БИЗНЕСПАРТНЕР, ООО</t>
  </si>
  <si>
    <t>ЮГ-ФАРМ, ООО</t>
  </si>
  <si>
    <t>ЮГБУНКЕРСЕРВИС-РОСТОВ, ООО</t>
  </si>
  <si>
    <t>ЮГК, АО</t>
  </si>
  <si>
    <t>ЮГНЕФТЕПРОДУКТ, ООО</t>
  </si>
  <si>
    <t>ЮГО-ВОСТОК АГРО, ООО</t>
  </si>
  <si>
    <t>ЮГО-ВОСТОЧНАЯ АГРОГРУППА, ООО</t>
  </si>
  <si>
    <t>ЮГО-ЗАПАДНАЯ ТЭЦ, АО</t>
  </si>
  <si>
    <t>ЮГОРСКИЙ ЛЕСОПРОМЫШЛЕННЫЙ ХОЛДИНГ, АО</t>
  </si>
  <si>
    <t>ЮГПРОМ, ООО</t>
  </si>
  <si>
    <t>ЮГРА ТРАНС СТРОЙ ЛЕС, ООО</t>
  </si>
  <si>
    <t>ЮГРАГИДРОСТРОЙ, ООО УК</t>
  </si>
  <si>
    <t>ЮГРАНЕФТЕСТРОЙ, ООО</t>
  </si>
  <si>
    <t>ЮЖМОРРЫБФЛОТ, АО</t>
  </si>
  <si>
    <t>ЮЖНАЯ ГАРДАРИКА, ООО</t>
  </si>
  <si>
    <t>ЮЖНАЯ КОРОНА-БКЗ, ООО</t>
  </si>
  <si>
    <t>ЮЖНАЯ, ООО АГРОФИРМА</t>
  </si>
  <si>
    <t>ЮЖНАЯТОПЛИВНАЯКОМПАНИЯ, ООО</t>
  </si>
  <si>
    <t>ЮЖНО-КУРИЛЬСКИЙ РЫБОКОМБИНАТ, ООО ПКФ</t>
  </si>
  <si>
    <t>ЮЖНЫЙ КУЗБАСС, ПАО</t>
  </si>
  <si>
    <t>ЮЖНЫЙ ПОЛЮС, ООО</t>
  </si>
  <si>
    <t>ЮЖНЫЙ, АО АГРОКОМБИНАТ</t>
  </si>
  <si>
    <t>ЮК ГРЭС, ПАО</t>
  </si>
  <si>
    <t>ЮКАТЕКС-ЮГРА, ООО</t>
  </si>
  <si>
    <t>ЮКМП, ООО</t>
  </si>
  <si>
    <t>ЮКОЛА-НЕФТЬ, ООО</t>
  </si>
  <si>
    <t>ЮЛА, АНО</t>
  </si>
  <si>
    <t>ЮЛИУС МАЙНЛ РУССЛАНД, ООО</t>
  </si>
  <si>
    <t>ЮНАЙТЕД БОТТЛИНГ ГРУПП, ООО</t>
  </si>
  <si>
    <t>ЮНАЙТЕД ПЕТРОКЕМИКАЛС, ООО</t>
  </si>
  <si>
    <t>ЮНАЙТЭД ТРЭЙДИНГ, ООО</t>
  </si>
  <si>
    <t>ЮНГХАЙНРИХ ПОДЪЕМНО-ПОГРУЗОЧНАЯ ТЕХНИКА ООО</t>
  </si>
  <si>
    <t>ЮНИГАЗ, ООО</t>
  </si>
  <si>
    <t>ЮНИДЕНТ, ЗАО</t>
  </si>
  <si>
    <t>ЮНИКЛО (РУС), ООО</t>
  </si>
  <si>
    <t>ЮНИКОМ, ООО</t>
  </si>
  <si>
    <t>ЮНИКОНТ, ООО</t>
  </si>
  <si>
    <t>ЮНИКОСМЕТИК, ООО</t>
  </si>
  <si>
    <t>ЮНИКРЕДИТ ЛИЗИНГ, ООО</t>
  </si>
  <si>
    <t>ЮНИКС, ООО</t>
  </si>
  <si>
    <t>ЮНИКСТАР 3, ООО</t>
  </si>
  <si>
    <t>ЮНИЛЕВЕР РУСЬ, ООО</t>
  </si>
  <si>
    <t>ЮНИЛИН, ООО</t>
  </si>
  <si>
    <t>ЮНИОН ПОЛИМЕР ТЕХНОЛОДЖИ, ООО</t>
  </si>
  <si>
    <t>ЮНИПРО, ПАО</t>
  </si>
  <si>
    <t>ЮНИРЕСТ, ООО</t>
  </si>
  <si>
    <t>ЮНИС, АО</t>
  </si>
  <si>
    <t>ЮНИСТРОЙ, ООО</t>
  </si>
  <si>
    <t>ЮНИТЭК, ООО</t>
  </si>
  <si>
    <t>ЮНИФРОСТ, ООО</t>
  </si>
  <si>
    <t>ЮНЭКТ ТРЕЙД, ООО</t>
  </si>
  <si>
    <t>ЮПИТЕР 9, ООО</t>
  </si>
  <si>
    <t>ЮПИТЕР, ООО</t>
  </si>
  <si>
    <t>ЮПЛ, ООО</t>
  </si>
  <si>
    <t>ЮПМ-КЮММЕНЕ ЧУДОВО, ООО</t>
  </si>
  <si>
    <t>ЮПМ-КЮММЕНЕ, ООО</t>
  </si>
  <si>
    <t>ЮРАЛ, ООО</t>
  </si>
  <si>
    <t>ЮРВЕС, ООО</t>
  </si>
  <si>
    <t>ЮРИДИЧЕСКАЯ ФИРМА ГОРОДИССКИЙ И ПАРТНЕРЫ, ООО</t>
  </si>
  <si>
    <t>ЮРЭСК, АО</t>
  </si>
  <si>
    <t>ЮСБ ФАРМА ЛОГИСТИКС, ООО</t>
  </si>
  <si>
    <t>ЮСЕН ЛОДЖИСТИКС РУС, ООО</t>
  </si>
  <si>
    <t>ЮСИДЖИ, ООО</t>
  </si>
  <si>
    <t>ЮСК, ООО</t>
  </si>
  <si>
    <t>ЮСС, ООО</t>
  </si>
  <si>
    <t>ЮССА, ООО</t>
  </si>
  <si>
    <t>ЮТА, ООО</t>
  </si>
  <si>
    <t>ЮТАРА, ООО</t>
  </si>
  <si>
    <t>ЮТЕКС РУ, ООО</t>
  </si>
  <si>
    <t>ЮТК, ООО</t>
  </si>
  <si>
    <t>ЮТЭЙР, АО</t>
  </si>
  <si>
    <t>ЮТЭЙР-ВЕРТОЛЕТНЫЕ УСЛУГИ, АО</t>
  </si>
  <si>
    <t>ЮТЭЙР-ИНЖИНИРИНГ, АО</t>
  </si>
  <si>
    <t>ЮТЭК-РЕГИОНАЛЬНЫЕ СЕТИ, АО</t>
  </si>
  <si>
    <t>ЮТЭК-ТЕХНО, ООО</t>
  </si>
  <si>
    <t>ЮФЕНАЛ ТРЕЙД, ООО</t>
  </si>
  <si>
    <t>ЮЭСК, АО</t>
  </si>
  <si>
    <t>ЯВК, АО</t>
  </si>
  <si>
    <t>ЯГК, ООО</t>
  </si>
  <si>
    <t>ЯДРАН-СТРОЙ, ООО</t>
  </si>
  <si>
    <t>ЯДРИНМОЛОКО, ОАО</t>
  </si>
  <si>
    <t>ЯЖДК, АО</t>
  </si>
  <si>
    <t>ЯЗАКИ ВОЛГА, ООО</t>
  </si>
  <si>
    <t>ЯЗДА, АО</t>
  </si>
  <si>
    <t>ЯКОБС ДАУ ЭГБЕРТС РУС, ООО</t>
  </si>
  <si>
    <t>ЯКОВ И ПАРТНЁРЫ, ООО</t>
  </si>
  <si>
    <t>ЯКОВЛЕВСКАЯ ЧАЕРАЗВЕСОЧНАЯ ФАБРИКА, ООО</t>
  </si>
  <si>
    <t>ЯКОВЛЕВСКИЙ КОМБИКОРМОВЫЙ ЗАВОД, ООО</t>
  </si>
  <si>
    <t>ЯКУТСКЭНЕРГО, ПАО</t>
  </si>
  <si>
    <t>ЯКУТСТРОЙПРОЕКТ, ООО</t>
  </si>
  <si>
    <t>ЯКУТЦЕМЕНТ, АО ПО</t>
  </si>
  <si>
    <t>ЯКШИНО, ООО МК</t>
  </si>
  <si>
    <t>ЯМАЛ СПГ, ОАО</t>
  </si>
  <si>
    <t>ЯМАЛГОССНАБ, АО</t>
  </si>
  <si>
    <t>ЯМАЛДОРСТРОЙ, АО</t>
  </si>
  <si>
    <t>ЯМАЛКОММУНЭНЕРГО, АО</t>
  </si>
  <si>
    <t>ЯМАЛТРАНССТРОЙ, АО</t>
  </si>
  <si>
    <t>ЯММИ ГРУП, ООО</t>
  </si>
  <si>
    <t>ЯМСЫ, АО</t>
  </si>
  <si>
    <t>ЯНДЕКС МУЗЫКА, ООО</t>
  </si>
  <si>
    <t>ЯНДЕКС, ООО</t>
  </si>
  <si>
    <t>ЯНДЕКС.ВЕРТИКАЛИ, ООО</t>
  </si>
  <si>
    <t>ЯНДЕКС.ЕДА, ООО</t>
  </si>
  <si>
    <t>ЯНДЕКС.ЛАВКА, ООО</t>
  </si>
  <si>
    <t>ЯНДЕКС.ОБЛАКО, ООО</t>
  </si>
  <si>
    <t>ЯНДЕКС.ТАКСИ, ООО</t>
  </si>
  <si>
    <t>ЯНТА, ООО</t>
  </si>
  <si>
    <t>ЯНТАРЬЭНЕРГОСБЫТ, АО</t>
  </si>
  <si>
    <t>ЯРГЕО, ООО</t>
  </si>
  <si>
    <t>ЯРКАМП, ООО</t>
  </si>
  <si>
    <t>ЯРМЕТ, ООО</t>
  </si>
  <si>
    <t>ЯРМОЛПРОД, ООО</t>
  </si>
  <si>
    <t>ЯРОСЛАВСКИЙ БРОЙЛЕР, АО</t>
  </si>
  <si>
    <t>ЯРОСЛАВСКИЙ ВРЗ РЕМПУТЬМАШ, АО</t>
  </si>
  <si>
    <t>ЯРОСЛАВСКИЙ ЗАВОД ПВП, АО</t>
  </si>
  <si>
    <t>ЯРСК, ООО</t>
  </si>
  <si>
    <t>ЯСИ, ООО</t>
  </si>
  <si>
    <t>ЯСТРО-ПЕРЕРАБОТКА, ООО</t>
  </si>
  <si>
    <t>ЯТУ ИМЕНИ В.Ю.ОРЛОВА, АО</t>
  </si>
  <si>
    <t>ЯТЭК, ПАО</t>
  </si>
  <si>
    <t>ЯХОНТ, ООО ТК</t>
  </si>
  <si>
    <t>420107, Татарстан респ., г. Казань, ул. Спартаковская, д. 6 офис 511 (Торгово-развлекательный центр «Сувар Плаза»)</t>
  </si>
  <si>
    <t>614015, Пермский кр., г. Пермь, ул. Куйбышева, д. 37 офис 720 (Торгово-офисный центр «Алмаз»)</t>
  </si>
  <si>
    <t>115172, г. Москва, вн.тер.г. муниципальный округ Таганский, ул Большие Каменщики, д. 9, стр. С, помещ. 17</t>
  </si>
  <si>
    <t>620043, Свердловская обл, г.о. город Екатеринбург, г Екатеринбург, пер Шамарский, д. 5, кв. 21</t>
  </si>
  <si>
    <t>129344, г. Москва, ул. Лётчика Бабушкина, д. 1 стр. 2</t>
  </si>
  <si>
    <t>109544, г. Москва, бульвар Энтузиастов, д. 2 этаж 13 помещения 8-19 (Деловой центр «Golden Gate»)</t>
  </si>
  <si>
    <t>119180, г. Москва, ул. Большая Полянка, д. 7/10 стр. 3 этаж 6 пом. 11 ком. 34</t>
  </si>
  <si>
    <t>117342, г. Москва, вн.тер.г. муниципальный округ Коньково, ул Бутлерова, д. 17Б, помещ. 60Е/11/2, офис 295 (Бизнес-центр «Fresh»)</t>
  </si>
  <si>
    <t>404122, Волгоградская обл., г. Волжский, ул. Кирова, д. 19</t>
  </si>
  <si>
    <t>108811, г. Москва, км. Киевское Шоссе 22-Й (П Московский), домовладение 6 стр. 1</t>
  </si>
  <si>
    <t>295047, Крым респ., г. Симферополь, ул. Героев Сталинграда, д. 8/3 офис 216</t>
  </si>
  <si>
    <t>125315, г. Москва, вн.тер.г. муниципальный округ Сокол, пр-кт Ленинградский, д. 80, к. 16, этаж 5, помещ. I</t>
  </si>
  <si>
    <t>125284, г. Москва, проспект Ленинградский, д. 31 стр. 3 этаж / пом. 4/6</t>
  </si>
  <si>
    <t>141013, Московская обл, г.о. Мытищи, г Мытищи, ул Силикатная, влд. 36, стр. 2</t>
  </si>
  <si>
    <t>394065, Воронежская обл, г.о. город Воронеж, г Воронеж, пр-кт Патриотов, д. 61Б, офис 203</t>
  </si>
  <si>
    <t>682645, Хабаровский кр., г. Амурск, проспект Комсомольский, д. 81 к. А</t>
  </si>
  <si>
    <t>129164, г. Москва, бульвар Ракетный, д. 16 пом. XXXIV, этаж 10 (Бизнес-центр "Алексеевская башня")</t>
  </si>
  <si>
    <t>142072, Московская обл., г. Домодедово, тер. Триколор (Востряково Мкр.) стр. 4</t>
  </si>
  <si>
    <t>115088, г. Москва, ул. Новоостаповская, д. 5 стр. 3 ком. В2-22</t>
  </si>
  <si>
    <t>428000, Чувашская Республика - Чувашия, г. Чебоксары, проспект И.Я.Яковлева, д. 2А пом. 6/ этаж I,II</t>
  </si>
  <si>
    <t>197022, г. Санкт-Петербург, набережная Аптекарская, д. 20 литера А пом. / офис 19-Н/621</t>
  </si>
  <si>
    <t>127015, г. Москва, вн.тер.г. муниципальный округ Савеловский, ул Вятская, д. 27, стр. 20, эт. 1, пом./ком. II/3 (Бизнес-парк «Фактория строение 20»)</t>
  </si>
  <si>
    <t>109428, г. Москва, ул. Зарайская, д. 21 ком. 306 (Деловой дом "Зарайский")</t>
  </si>
  <si>
    <t>394018, Воронежская обл., г. Воронеж, ул. 9 Января, д. 68Б офис 507 (Бизнес-центр «Этажи»)</t>
  </si>
  <si>
    <t>108814, г. Москва, Сосенское пос., пос. Коммунарка, ул. Фитарёвская, д. 14 стр. 1</t>
  </si>
  <si>
    <t>460022, Оренбургская обл., г. Оренбург, ул. Кавказская, владение 2 каб. 4/3</t>
  </si>
  <si>
    <t>674637, Забайкальский кр., Агинский район, с. Амитхаша, ул. Горная, д. 6 кв. 1</t>
  </si>
  <si>
    <t>665800, Иркутская обл., г. Ангарск, квартал 53 (Первый Промышленный Массив Тер.) стр. 1 офис ОБЪЕКТ 1034</t>
  </si>
  <si>
    <t>142103, Московская обл., г. Подольск, ул. Железнодорожная, д. 2</t>
  </si>
  <si>
    <t>644024, Омская обл., г. Омск, ул. Гагарина, д. 8 к. 2</t>
  </si>
  <si>
    <t>236006, Калининградская обл., г. Калининград, ул. Больничная, д. 24 пом. 21</t>
  </si>
  <si>
    <t>123112, г. Москва, набережная Пресненская, д. 12 ком. А37 (Многофункциональный комплекс «Башня Федерация»)</t>
  </si>
  <si>
    <t>655017, Хакасия Респ, г.о. город Абакан, г Абакан, р-н Абаканской ТЭЦ</t>
  </si>
  <si>
    <t>117335, г. Москва, проспект Нахимовский, д. 58 офис 5А.R5 (Бизнес-центр «iCube»)</t>
  </si>
  <si>
    <t>195009, г. Санкт-Петербург, ул. Арсенальная, д. 66</t>
  </si>
  <si>
    <t>196602, г. Санкт-Петербург, г. Пушкин, ул. Гусарская, д. 30 литера А пом. 1-Н офис 5</t>
  </si>
  <si>
    <t>600009, Владимирская обл., г. Владимир, ул. Полины Осипенко, д. 41 офис 326</t>
  </si>
  <si>
    <t>105122, г. Москва, вн.тер.г. муниципальный округ Гольяново, ш Щёлковское, д. 5, стр. 1, офис 519/2 (Бизнес-центр "Сокол")</t>
  </si>
  <si>
    <t>353995, Краснодарский кр., г. Новороссийск, с. Абрау-Дюрсо, ул. Промышленная, д. 19</t>
  </si>
  <si>
    <t>117405, г. Москва, ул. Дорожная, д. 21 стр. 1</t>
  </si>
  <si>
    <t>119270, г. Москва, набережная Фрунзенская, д. 54 ком. 118</t>
  </si>
  <si>
    <t>650004, Кемеровская область - Кузбасс, г. Кемерово, ул. Большевистская, д. 2 кв. 106</t>
  </si>
  <si>
    <t>450106, Башкортостан респ., г. Уфа, бульвар Дуванский, д. 30 пом. 31</t>
  </si>
  <si>
    <t>123317, г. Москва, вн.тер.г. муниципальный округ Пресненский, пер Стрельбищенский, д. 30, стр. 1А, ком. 322 (Бизнес-центр в Стрельбищенском Переулке, 30С1А)</t>
  </si>
  <si>
    <t>400120, Волгоградская обл., г. Волгоград, ул. Череповецкая, д. 23</t>
  </si>
  <si>
    <t>675004, Амурская обл, г.о. город Благовещенск, г Благовещенск, ул Амурская, д. 229/1, этаж 4</t>
  </si>
  <si>
    <t>191014, г. Санкт-Петербург, проспект Литейный, д. 55А литера А пом. 3-Н ком. 31 этаж 1</t>
  </si>
  <si>
    <t>396931, Воронежская обл, м.р-н Семилукский, с.п. Семилукское, с Ендовище, ул Калинина, зд. 1А</t>
  </si>
  <si>
    <t>127030, г. Москва, вн.тер.г. муниципальный округ Тверской, ул Сущёвская, д. 25, стр. 1, помещ. 1/4 (Бизнес-центр «Атмосфера строение 1»)</t>
  </si>
  <si>
    <t>197374, г. Санкт-Петербург, проспект Приморский, д. 54 к. 4 литера А</t>
  </si>
  <si>
    <t>187000, Ленинградская обл., Тосненский район, г. Тосно, набережная Пушкинская, д. 1</t>
  </si>
  <si>
    <t>422418, Татарстан респ., Буинский район, с. Кайбицы, ул. Центральная, д. 1</t>
  </si>
  <si>
    <t>303320, Орловская обл., Свердловский район, пгт. Змиёвка, ул. 8 Марта, д. 18</t>
  </si>
  <si>
    <t>397837, Воронежская обл., Острогожский район, пос. Элеваторный, ул. Рабочая, д. 1</t>
  </si>
  <si>
    <t>306024, Курская обл., Золотухинский район, с. 1-Е Новоспасское</t>
  </si>
  <si>
    <t>303320, Орловская обл., Свердловский район, д. Котовка</t>
  </si>
  <si>
    <t>115035, г. Москва, ул. Садовническая, д. 24 стр. 6</t>
  </si>
  <si>
    <t>119180, г. Москва, ул. Большая Якиманка, д. 1 этаж 3 ком. 3.8</t>
  </si>
  <si>
    <t>344010, Ростовская обл, г.о. город Ростов-на-Дону, г Ростов-на-Дону, ул Петренко, д. 2, помещ. 63</t>
  </si>
  <si>
    <t>301605, Тульская обл., Узловский район, г. Узловая, ул. Дружбы, стр. 1</t>
  </si>
  <si>
    <t>142432, Московская обл., г. Черноголовка, ул. Центральная, д. 20А</t>
  </si>
  <si>
    <t>196158, г. Санкт-Петербург, ул. Звёздная, д. 1 литера А</t>
  </si>
  <si>
    <t>423601, Татарстан респ., Елабужский район, ул. Ш-2 (Оэз Алабуга Тер.), д. ЗД. 6/5</t>
  </si>
  <si>
    <t>125284, г. Москва, проспект Ленинградский, д. 31А стр. 1</t>
  </si>
  <si>
    <t>117342, г. Москва, ул. Профсоюзная, д. 65 к. 1 пом. XLVI ком. 5</t>
  </si>
  <si>
    <t>356236, Ставропольский кр., Шпаковский район, хутор Вязники, ззд. Весенний, д. 2</t>
  </si>
  <si>
    <t>194044, г. Санкт-Петербург, проспект Большой Сампсониевский, д. 61 к. 2 литера А пом. Ц-2</t>
  </si>
  <si>
    <t>117105, г. Москва, проезд Нагорный, д. 12 к. 1</t>
  </si>
  <si>
    <t>121357, г. Москва, вн.тер.г. муниципальный округ Можайский, ул Верейская, д. 17, ком. 57-64 (Бизнес-центр «Vereyskaya Plaza 2»)</t>
  </si>
  <si>
    <t>141305, Московская обл, Сергиев Посад г, г.о. Сергиево-Посадский, ул Центральная, д. 1/11</t>
  </si>
  <si>
    <t>634041, Томская обл, г.о. город Томск, г Томск, ул Вершинина, д. 17Г, офис 23</t>
  </si>
  <si>
    <t>305040, Курская обл., г. Курск, ул. Запольная, д. 47</t>
  </si>
  <si>
    <t>119334, г. Москва, ул. Вавилова, д. 5 к. 3 этаж Т пом. I К 89</t>
  </si>
  <si>
    <t>301036, Тульская обл., Ясногорский район, д. Каменка, ул. Весенняя, д. 20</t>
  </si>
  <si>
    <t>693023, Сахалинская обл., г. Южно-Сахалинск, ул. Алексея Максимовича Горького, д. 50 к. А</t>
  </si>
  <si>
    <t>344022, Ростовская обл., г. Ростов-На-Дону, ул. Суворова, д. 91 офис 801 этаж 8 (Бизнес-центр «Лига Наций»)</t>
  </si>
  <si>
    <t>, Саха /Якутия/ Респ, м.р-н Мирнинский, г.п. город Мирный, г Мирный, ш Алмазников, зд. 5/1, этаж 2</t>
  </si>
  <si>
    <t>664009, Иркутская обл., г. Иркутск, ул. Ширямова, д. 2</t>
  </si>
  <si>
    <t>432064, Ульяновская обл., г. Ульяновск, ул. Карбышева, д. 14</t>
  </si>
  <si>
    <t>460036, Оренбургская обл, г.о. город Оренбург, г Оренбург, ул Карагандинская, д. 58/1, этаж 3, помещ. 4, КАБИНЕТ 9</t>
  </si>
  <si>
    <t>108811, г. Москва, км. Киевское Шоссе 22-Й (П Московский), домовладение 4 стр. 1</t>
  </si>
  <si>
    <t>119071, г. Москва, ул. Стасовой, д. 2Б</t>
  </si>
  <si>
    <t>196191, г. Санкт-Петербург, пл. Конституции, д. 7 литера А пом. 71Н</t>
  </si>
  <si>
    <t>633104, Новосибирская обл., г. Обь, проспект Мозжерина, д. 10 офис 201</t>
  </si>
  <si>
    <t>628012, Ханты-Мансийский Автономный Округ - Югра, г. Ханты-Мансийск, тер. Аэропорт</t>
  </si>
  <si>
    <t>125252, г. Москва, бульвар Ходынский, д. 4</t>
  </si>
  <si>
    <t>630051, Новосибирская обл., г. Новосибирск, ул. Ползунова, д. 15</t>
  </si>
  <si>
    <t>125040, г. Москва, проспект Ленинградский, д. 5 стр. 7 ком. 17</t>
  </si>
  <si>
    <t>125493, г. Москва, ул. Флотская, д. 5 к. А офис 514</t>
  </si>
  <si>
    <t>309516, Белгородская обл., г. Старый Оскол, тер. Северная Промкомзона</t>
  </si>
  <si>
    <t>117041, г. Москва, вн.тер.г. муниципальный округ Южное Бутово, ул Адмирала Руднева, д. 20, помещ. 3Н/3 (Офисный центр "Варяг")</t>
  </si>
  <si>
    <t>194100, г. Санкт-Петербург, ул. Литовская, д. 4 литера А</t>
  </si>
  <si>
    <t>125424, г. Москва, туп. Сходненский, д. 4 этаж 4 офис 410</t>
  </si>
  <si>
    <t>123181, г. Москва, проезд Неманский, д. 5 к. 1 кв. 287</t>
  </si>
  <si>
    <t>119331, г. Москва, вн.тер.г. муниципальный округ Ломоносовский, пр-кт Вернадского, д. 29, помещ. 1/6 (Офисное здание)</t>
  </si>
  <si>
    <t>115211, г. Москва, ул. Борисовские Пруды, д. 14 к. 4</t>
  </si>
  <si>
    <t>423603, Татарстан Респ, м.р-н Елабужский, г.п. город Елабуга, г Елабуга, пр-кт Нефтяников, д. 1, кабинет 302</t>
  </si>
  <si>
    <t>396670, Воронежская обл., Ольховатский район, пос. Бугаевка, ул. Ломоносова, д. 84</t>
  </si>
  <si>
    <t>394026, Воронежская обл, г.о. город Воронеж, г Воронеж, ул Текстильщиков, д. 2Ж, помещ. 1</t>
  </si>
  <si>
    <t>675000, Амурская обл., г. Благовещенск, ул. Ленина, д. 140/1</t>
  </si>
  <si>
    <t>614025, Пермский кр., г. Пермь, ул. Героев Хасана, д. 105 к. 3 пом. 1</t>
  </si>
  <si>
    <t>143420, Московская обл., г. Красногорск, д. Михалково, дор. Балтия, д. 25 км. ТСК литера 1Б этаж ЦОКПОМ1 каб. 94</t>
  </si>
  <si>
    <t>143420, Московская обл., г. Красногорск, д. Михалково, дор. Балтия, д. 25 км. ТОРГОВО-СЕРВИСНЫЙ ЦЕНТР BMW</t>
  </si>
  <si>
    <t>129272, г. Москва, вн.тер.г. муниципальный округ Мещанский, пр-кт Олимпийский, д. 26, стр. 1, помещ. II</t>
  </si>
  <si>
    <t>109428, г. Москва, проезд 1-Й Вязовский, д. 4 стр. 19 этаж 3 ком. 60</t>
  </si>
  <si>
    <t>394033, Воронежская обл., г. Воронеж, проспект Ленинский, д. 172Ж пом. 4</t>
  </si>
  <si>
    <t>119421, г. Москва, ул. Новаторов, д. 8 к. 2 пом. IV</t>
  </si>
  <si>
    <t>143006, Московская обл., г. Одинцово, ул. Внуковская, д. 9 литера Э пом. 4</t>
  </si>
  <si>
    <t>410031, Саратовская обл., г. Саратов, набережная Космонавтов, д. 8 пом. 9</t>
  </si>
  <si>
    <t>117465, г. Москва, ул. Генерала Тюленева, д. 4А стр. 3 (Бизнес-центр «Теплый Стан»)</t>
  </si>
  <si>
    <t>422624, Татарстан респ., Лаишевский район, с. Столбище, ул. Луговая, д. 19/1</t>
  </si>
  <si>
    <t>445024, Самарская обл., г. Тольятти, шоссе Южное, д. 36</t>
  </si>
  <si>
    <t>443124, Самарская обл, г.о. Самара, вн.р-н Промышленный, г Самара, просека 6-я, д. 140, офис 60</t>
  </si>
  <si>
    <t>143912, Московская обл., г. Балашиха, шоссе Западная Коммунальная Зона Энтузиастов, д. 12А</t>
  </si>
  <si>
    <t>109444, г. Москва, ул. Сормовская, д. 21А стр. 9</t>
  </si>
  <si>
    <t>141983, Московская обл., г. Дубна, ул. Программистов, д. 4 стр. 3 офис 307</t>
  </si>
  <si>
    <t>141980, Московская обл., г. Дубна, ул. Правды, д. 33 пом. 11</t>
  </si>
  <si>
    <t>125252, г. Москва, ул. Зорге, д. 17 стр. 1</t>
  </si>
  <si>
    <t>650055, Кемеровская область - Кузбасс, г. Кемерово, ул. Федоровского, д. ЗД. 5</t>
  </si>
  <si>
    <t>248029, Калужская обл, г.о. город Калуга, г Калуга, ул Гурьянова, д. 32</t>
  </si>
  <si>
    <t>127006, г. Москва, бульвар Страстной, д. 9 этаж 3 пом. XV ком. 7 (Бизнес-центр «Пушкинский Дом»)</t>
  </si>
  <si>
    <t>446011, Самарская обл., г. Сызрань, ул. Котовского, д. 2</t>
  </si>
  <si>
    <t>163039, Архангельская обл., г. Архангельск, ул. Дорожников, д. 6</t>
  </si>
  <si>
    <t>628422, Ханты-Мансийский Автономный Округ - Югра, г. Сургут, ул. Индустриальная, д. 27</t>
  </si>
  <si>
    <t>603004, Нижегородская обл., г. Нижний Новгород, проспект Ленина, д. 88</t>
  </si>
  <si>
    <t>142718, Московская обл., г. Видное, пос. Битца, ул. Нагорная стр. 11, ПАВИЛЬОН 2-46А-Б</t>
  </si>
  <si>
    <t>350007, Краснодарский кр., г. Краснодар, ул. Индустриальная, д. 6 этаж 3 офис 2</t>
  </si>
  <si>
    <t>117279, г. Москва, ул. Миклухо-Маклая, д. 34 Э 0 пом. IV К 37 офис 195</t>
  </si>
  <si>
    <t>603089, Нижегородская обл., г. Нижний Новгород, ул. Гаражная, д. 9 офис 305 (Бизнес-центр «Орион»)</t>
  </si>
  <si>
    <t>452419, Башкортостан респ., Иглинский район, км. 1491 Км 600 М Самара-Уфа-Челябинск (Авто</t>
  </si>
  <si>
    <t>140011, Московская обл., г. Люберцы, шоссе Новорязанское, владение 11</t>
  </si>
  <si>
    <t>107497, г. Москва, ул. Иркутская, д. 5/6 стр. 1 этаж / пом. 2/218</t>
  </si>
  <si>
    <t>107497, г. Москва, ул. Иркутская, д. 5/6 стр. 1 пом. 321</t>
  </si>
  <si>
    <t>107497, г. Москва, вн.тер.г. муниципальный округ Гольяново, ул Иркутская, д. 5/6, стр. 1, этаж 2, помещ. 203</t>
  </si>
  <si>
    <t>142116, Московская обл., г. Подольск, ул. Ульяновых, д. 1 пом. 6</t>
  </si>
  <si>
    <t>196105, г. Санкт-Петербург, проспект Люботинский, д. 7</t>
  </si>
  <si>
    <t>143005, Московская обл., г. Одинцово, ул. Чикина, д. 14 пом. 8</t>
  </si>
  <si>
    <t>196626, г. Санкт-Петербург, пос. Шушары, проспект Новгородский, д. 26 к. 3 стр. 3 пом. 1.03</t>
  </si>
  <si>
    <t>188693, Ленинградская обл, м.р-н Всеволожский, г.п. Заневское, г. Кудрово, пр-кт Строителей, зд. 39, торг. зал 2-Н</t>
  </si>
  <si>
    <t>188692, Ленинградская обл., Всеволожский район, г. Кудрово, проспект Строителей, д. ЗД. 31 пом. 2-Н</t>
  </si>
  <si>
    <t>125445, г. Москва, ул. Правобережная, д. 1</t>
  </si>
  <si>
    <t>423885, Татарстан респ., Тукаевский район, с. Мусабай-Завод, ул. Ленина, д. 32В пом. 1</t>
  </si>
  <si>
    <t>117105, г. Москва, проезд Нагатинский 1-Й, д. 6 стр. 1 ком. 319Б</t>
  </si>
  <si>
    <t>123007, г. Москва, проезд 3-Й Хорошёвский, д. 1 стр. 1 ком. 1 ( пом. VIII, этаж 5)</t>
  </si>
  <si>
    <t>603028, Нижегородская обл, г.о. город Нижний Новгород, г Нижний Новгород, ш Комсомольское, д. 5В, скл. 5 ПОМЕЩ. 15</t>
  </si>
  <si>
    <t>117186, г. Москва, ул. Нагорная, д. 33 к. 1</t>
  </si>
  <si>
    <t>117186, г. Москва, вн.тер.г. муниципальный округ Котловка, ул Нагорная, д. 33, к. 1, ком. 18 ЭТАЖ 2</t>
  </si>
  <si>
    <t>109029, г. Москва, проезд Михайловский, д. 3 стр. 3 пом. I, этаж 2, ком. 1</t>
  </si>
  <si>
    <t>123060, г. Москва, ул. Маршала Соколовского, д. 3 этаж / пом. / ком. 3/I/21 (Бизнес-центр «Соколовского 3»)</t>
  </si>
  <si>
    <t>198152, г. Санкт-Петербург, ул. Краснопутиловская, д. 65 литера А пом. 5-Н №3</t>
  </si>
  <si>
    <t>109428, г. Москва, проспект Рязанский, д. 22 к. 2 этаж 7 пом. XIII ком. 23</t>
  </si>
  <si>
    <t>214032, Смоленская обл., г. Смоленск, ул. Лавочкина, д. 104 пом. 11</t>
  </si>
  <si>
    <t>195009, г. Санкт-Петербург, вн.тер.г. муниципальный округ Финляндский округ, пр-кт Кондратьевский, д. 2, к. 4, литера А, помещ. 9Н, офис 504/1</t>
  </si>
  <si>
    <t>606025, Нижегородская обл., г. Дзержинск, ул. Грибоедова, д. 22/11 офис 3</t>
  </si>
  <si>
    <t>236013, Калининградская обл., г. Калининград, ул. Магнитогорская, д. 4 литера А, 1-ЭТАЖ каб. 129</t>
  </si>
  <si>
    <t>450106, Башкортостан респ., г. Уфа, бульвар Дуванский, д. 30 пом. 18</t>
  </si>
  <si>
    <t>618400, Пермский кр., г. Березники, ул. Парижской Коммуны, д. 4</t>
  </si>
  <si>
    <t>412900, Саратовская обл., г. Вольск, ул. Станционная, д. 3</t>
  </si>
  <si>
    <t>350005, Краснодарский кр., г. Краснодар, ул. Им. Дзержинского, д. 231/Б пом. 105</t>
  </si>
  <si>
    <t>105082, г. Москва, ул. Малая Почтовая, д. 12 стр. 1</t>
  </si>
  <si>
    <t>117449, г. Москва, вн.тер.г. муниципальный округ Академический, ул Шверника, д. 18, к. 1, помещ. 3П</t>
  </si>
  <si>
    <t>141014, Московская обл., г. Мытищи, ул. Красноармейская, владение 39 стр. 1 этаж 1 пом. 14</t>
  </si>
  <si>
    <t>117041, г. Москва, ул. Адмирала Руднева, д. 4 этаж 5 офис 6Г (Бизнес-центр "Фрегат")</t>
  </si>
  <si>
    <t>119454, г. Москва, вн.тер.г. муниципальный округ Проспект Вернадского, ул Коштоянца, д. 12, этаж 1, ПОМЕЩЕНИЕ IIБ, ком. 4</t>
  </si>
  <si>
    <t>197374, г. Санкт-Петербург, дор. Торфяная, д. 8 корп. 3, литера А</t>
  </si>
  <si>
    <t>295022, Крым респ., г. Симферополь, ул. Кубанская, д. 21А литера Б офис 2</t>
  </si>
  <si>
    <t>630007, Новосибирская обл, г.о. город Новосибирск, г Новосибирск, ул Советская, д. 5, этаж 4, помещ. 26 (Бизнес-центр «Кронос»)</t>
  </si>
  <si>
    <t>420088, Татарстан респ., г. Казань, проспект Победы, д. 159 офис 1003 (Азинский)</t>
  </si>
  <si>
    <t>143581, Московская обл., г. Истра, д. Лешково, д. 210</t>
  </si>
  <si>
    <t>423820, Татарстан респ., г. Набережные Челны, ул. Магистральная, д. 9</t>
  </si>
  <si>
    <t>625019, Тюменская обл., г. Тюмень, тракт Старый Тобольский 2 Км, д. 8 к. 1</t>
  </si>
  <si>
    <t>109240, г. Москва, ул. Высоцкого, д. 4</t>
  </si>
  <si>
    <t>450065, Башкортостан респ., г. Уфа, ул. Дмитрия Донского, д. 65 к. 2</t>
  </si>
  <si>
    <t>682643, Хабаровский кр., г. Амурск, шоссе Машиностроителей, д. 5</t>
  </si>
  <si>
    <t>142203, Московская обл., г. Серпухов, ул. Фестивальная, д. 5</t>
  </si>
  <si>
    <t>634537, Томская обл., Томский район, ул. 12 Км (Тракт Томск-Итатка Тер.), стр. 2</t>
  </si>
  <si>
    <t>150046, Ярославская обл., г. Ярославль, ул. Большие Полянки, д. 7</t>
  </si>
  <si>
    <t>249092, Калужская обл., Малоярославецкий район, г. Малоярославец, ул. Мирная, д. 3</t>
  </si>
  <si>
    <t>216527, Смоленская обл., Рославльский район, д. Козловка, ул. Мира, д. 46</t>
  </si>
  <si>
    <t>344006, Ростовская обл, г.о. город Ростов-на-Дону, г Ростов-на-Дону, ул Нижнебульварная, д. 6, офис 4, ЭТАЖ 9 (Бизнес-центр «5 морей»)</t>
  </si>
  <si>
    <t>107023, г. Москва, ул. Большая Семёновская, д. 40 стр. 13 этаж 08 пом. 811</t>
  </si>
  <si>
    <t>352330, Краснодарский кр., Усть-Лабинский район, г. Усть-Лабинск, ул. Коминтерна, д. 101 офис Б/Н</t>
  </si>
  <si>
    <t>150030, Ярославская обл., г. Ярославль, ул. Пожарского, д. 9 литера А-Н пом. 24</t>
  </si>
  <si>
    <t>141734, Московская обл, г.о. Лобня, г Лобня, проезд Краснополянский, д. 1, кабинет 217</t>
  </si>
  <si>
    <t>197373, г. Санкт-Петербург, проспект Шуваловский, д. 28</t>
  </si>
  <si>
    <t>400050, Волгоградская обл., г. Волгоград, ул. Хиросимы, д. 6 пом. 1</t>
  </si>
  <si>
    <t>249414, Калужская обл., Людиновский район, д. Заболотье, тер. Тепличный Комплекс, ТЕР ТЕПЛИЧНЫЙ КОМПЛЕКС стр. 4</t>
  </si>
  <si>
    <t>394033, Воронежская обл., г. Воронеж, ул. Витрука, д. 15А</t>
  </si>
  <si>
    <t>440045, Пензенская обл, г.о. город Пенза, г Пенза, ул 65-летия Победы, д. 16, помещ. 2</t>
  </si>
  <si>
    <t>644022, Омская обл, г.о. город Омск, г Омск, б-р Архитекторов, д. 50</t>
  </si>
  <si>
    <t>125504, г. Москва, вн.тер.г. муниципальный округ Западное Дегунино, ш Дмитровское, д. 71Б, этаж 7, помещ. 18/7 (Бизнес-центр "7One")</t>
  </si>
  <si>
    <t>355041, Ставропольский кр., г. Ставрополь, ул. Л.Толстого, д. 53 ком. 44</t>
  </si>
  <si>
    <t>127549, г. Москва, шоссе Алтуфьевское, д. 60</t>
  </si>
  <si>
    <t>141009, Московская обл., г. Мытищи, проспект Олимпийский стр. 10 пом. / офис 2/804</t>
  </si>
  <si>
    <t>303170, Орловская обл., Покровский район, пгт. Покровское, ул. Первомайская, д. 2</t>
  </si>
  <si>
    <t>660061, Красноярский кр., г. Красноярск, ул. Калинина, д. 85 офис 1-07</t>
  </si>
  <si>
    <t>143421, Московская обл, г.о. Красногорск, тер. автодорога Балтия, км 26-й, д. 5, стр. 5/2, офис 405</t>
  </si>
  <si>
    <t>188508, Ленинградская обл., Ломоносовский район, ул. 4-Я (Северная Часть Промзоны Горелово Тер), 4-АЯ УЛИЦА д. 9 офис 1210</t>
  </si>
  <si>
    <t>460038, Оренбургская обл., г. Оренбург, проспект Дзержинского, д. 2/2 каб. 512</t>
  </si>
  <si>
    <t>300041, Тульская обл., г. Тула, ул. Сойфера, д. 14</t>
  </si>
  <si>
    <t>125040, г. Москва, вн.тер.г. муниципальный округ Беговой, ул Нижняя, д. 14, стр. 1, этаж 1, кабинет 32 (Бизнес-центр «Petrovsky»)</t>
  </si>
  <si>
    <t>394036, Воронежская обл., г. Воронеж, проспект Революции, д. 9А офис 8</t>
  </si>
  <si>
    <t>108813, г. Москва, Московский пос., г. Московский, ул. Солнечная, домовладение 2 стр. 25</t>
  </si>
  <si>
    <t>353100, Краснодарский кр., Выселковский район, станица Выселки, ул. Степная, д. 1</t>
  </si>
  <si>
    <t>352240, Краснодарский кр., Новокубанский район, г. Новокубанск, ул. Красная, д. 11 литера А офис 22</t>
  </si>
  <si>
    <t>352042, Краснодарский край, м.р-н Павловский, с.п. Павловское, ст-ца Павловская, ул Спартаковская, д. 1, помещ. 28</t>
  </si>
  <si>
    <t>346841, Ростовская обл., Неклиновский район, с. Андреево-Мелентьево, ул. Победы, д. 1</t>
  </si>
  <si>
    <t>353733, Краснодарский кр., Каневской район, станица Каневская, ул. Западная, д. 69 офис 41</t>
  </si>
  <si>
    <t>142902, Московская обл., г. Кашира, ул. Советский Проспект, д. 4</t>
  </si>
  <si>
    <t>353715, Краснодарский кр., Каневской район, станица Челбасская, ул. Набережная, д. 139 офис 24</t>
  </si>
  <si>
    <t>127299, г. Москва, ул. Большая Академическая, д. 5</t>
  </si>
  <si>
    <t>356145, Ставропольский кр., Изобильненский район, г. Изобильный, ул. Транспортная, д. 2/2</t>
  </si>
  <si>
    <t>308002, Белгородская обл., г. Белгород, проспект Б.Хмельницкого, д. 111 (Бизнес-центр «Энергомаш»)</t>
  </si>
  <si>
    <t>242225, Брянская обл., Брянский район, с. Глинищево</t>
  </si>
  <si>
    <t>603000, Нижегородская обл., г. Нижний Новгород, ул. Соревнования, д. 1</t>
  </si>
  <si>
    <t>353800, Краснодарский кр., Красноармейский район, станица Полтавская, ул. Народная, д. 10</t>
  </si>
  <si>
    <t>399610, Липецкая обл., Лебедянский район, г. Лебедянь, ул. Л.Толстого, д. 71</t>
  </si>
  <si>
    <t>302035, Орловская обл., г. Орёл, ул. Октябрьская, д. 35</t>
  </si>
  <si>
    <t>117041, г. Москва, вн.тер.г. муниципальный округ Южное Бутово, ул Адмирала Лазарева, д. 52, к. 3, помещ. 7/1</t>
  </si>
  <si>
    <t>309070, Белгородская обл., Яковлевский район, г. Строитель, ул. Октябрьская, д. 14 ком. 4</t>
  </si>
  <si>
    <t>347900, Ростовская обл., г. Таганрог, ул. Адмирала Крюйса, д. 27</t>
  </si>
  <si>
    <t>140152, Московская обл., г. Раменское, пос. Мирный, ул. Лесная, стр. 30</t>
  </si>
  <si>
    <t>238340, Калининградская обл., г. Светлый, ул. Гагарина, д. 65</t>
  </si>
  <si>
    <t>649000, Алтай респ., г. Горно-Алтайск, ул. Чорос-Гуркина Г.И., д. 39/12 пом. 306</t>
  </si>
  <si>
    <t>423800, Татарстан респ., г. Набережные Челны, проезд Производственный, д. 19</t>
  </si>
  <si>
    <t>305023, Курская обл., г. Курск, пер. Литовский 2-Й, д. 5 офис 1</t>
  </si>
  <si>
    <t>396420, Воронежская обл., Павловский район, г. Павловск, ул. Строительная, д. 8 к. А</t>
  </si>
  <si>
    <t>121354, г. Москва, вн.тер.г. муниципальный округ Можайский, ул Дорогобужская, д. 14, этаж 1, помещ. 101А (Склад)</t>
  </si>
  <si>
    <t>119021, г. Москва, вн.тер.г. муниципальный округ Хамовники, ул Льва Толстого, д. 5, стр. 2</t>
  </si>
  <si>
    <t>614060, Пермский кр., г. Пермь, ул. Степана Разина, д. 34</t>
  </si>
  <si>
    <t>630559, Новосибирская обл., рабочий пос. Кольцово, зона Абк, д. ЗД. 5 офис 21</t>
  </si>
  <si>
    <t>614503, Пермский кр., Пермский район, тер. Агросила Птицефабрика Пермская</t>
  </si>
  <si>
    <t>423730, Татарстан респ., Актанышский район, д. Аняково, ул. Нефтяников, д. 56</t>
  </si>
  <si>
    <t>423800, Татарстан респ., г. Набережные Челны, проспект Им Мусы Джалиля, д. 29/2 каб. 411</t>
  </si>
  <si>
    <t>423800, Татарстан респ., г. Набережные Челны, проспект Им Мусы Джалиля, д. 29/2 офис 411</t>
  </si>
  <si>
    <t>400087, Волгоградская обл., г. Волгоград, ул. Невская, д. 13А</t>
  </si>
  <si>
    <t>399787, Липецкая обл., г. Елец, площадка Сахарного Завода, д. 9В</t>
  </si>
  <si>
    <t>394042, Воронежская обл., г. Воронеж, ул. Димитрова, д. 27 офис 31</t>
  </si>
  <si>
    <t>394042, Воронежская обл., г. Воронеж, ул. Димитрова, д. 27 офис 21</t>
  </si>
  <si>
    <t>346841, Ростовская обл, м.р-н Неклиновский, с.п. Андреево-Мелентьевское, п Сухосарматка, ул Лесная, влд. 30, помещ. 22</t>
  </si>
  <si>
    <t>410005, Саратовская обл., г. Саратов, ул. Им Пугачева Е.И., д. 159 офис 410</t>
  </si>
  <si>
    <t>680000, Хабаровский кр., г. Хабаровск, ул. Сергеевская, д. 14</t>
  </si>
  <si>
    <t>300034, Тульская обл., г. Тула, ул. Революции, д. 39 пом. 309/ этаж 3</t>
  </si>
  <si>
    <t>656063, Алтайский кр., г. Барнаул, проспект Космонавтов, д. 30</t>
  </si>
  <si>
    <t>121609, г. Москва, ул. Осенняя, д. 11 этаж 6 пом. 1 (Бизнес-центр «Крылатский 2»)</t>
  </si>
  <si>
    <t>350047, Краснодарский край, г.о. город Краснодар, г Краснодар, ул им. Академика Трубилина, д. 128, помещ. 13, 21, 22, 22/1, 23, 24, 25</t>
  </si>
  <si>
    <t>350047, Краснодарский край, г.о. город Краснодар, г Краснодар, ул 1-я Линия, д. 103</t>
  </si>
  <si>
    <t>394087, Воронежская обл., г. Воронеж, ул. Ломоносова, д. 114/14</t>
  </si>
  <si>
    <t>393672, Тамбовская обл., Жердевский район, г. Жердевка, ул. Заводская, д. 28 к. А</t>
  </si>
  <si>
    <t>457111, Челябинская обл., г. Троицк, ул. Автодромная, д. 100</t>
  </si>
  <si>
    <t>143003, Московская обл, Одинцово г, г.о. Одинцовский, ул Маршала Неделина, д. 6Б, этаж 5/ ПОМ. 12</t>
  </si>
  <si>
    <t>191025, г. Санкт-Петербург, проспект Невский, д. 90/92</t>
  </si>
  <si>
    <t>, Новосибирская обл, м.р-н Новосибирский, с.п. Верх-Тулинский сельсовет, с Верх-Тула, ул. Дорожная, зд. 9, этаж 2</t>
  </si>
  <si>
    <t>129110, г. Москва, вн.тер.г. муниципальный округ Мещанский, ул Щепкина, д. 49, помещ. II, ком. 30, ЭТАЖ 2 (Бизнес-центр на Ул. Щепкина, 49)</t>
  </si>
  <si>
    <t>301051, Тульская обл, м.р-н Ясногорский, с.п. Ревякинское, д Тайдаково, ул Набережная, д. 1А, офис 308 АДМ.-БЫТ. ПРИСТРОЙКА</t>
  </si>
  <si>
    <t>457011, Челябинская обл., Увельский район, с. Рождественка, ул. Совхозная, д. 2</t>
  </si>
  <si>
    <t>171290, Тверская обл., Конаковский район, с. Дмитрова Гора, ул. Центральная, д. 3А</t>
  </si>
  <si>
    <t>610912, Кировская обл., г. Киров, пос. Дороничи, ул. Октябрьская, д. 6</t>
  </si>
  <si>
    <t>356003, Ставропольский кр., Новоалександровский район, г. Новоалександровск, ул. Урицкого, д. 1</t>
  </si>
  <si>
    <t>431503, Мордовия респ., Лямбирский район, с. Большая Елховка, ул. Заводская, д. 12</t>
  </si>
  <si>
    <t>606072, Нижегородская обл., Володарский район, г. Володарск, тер. Мичуринское Отделение, д. ЗД. 6</t>
  </si>
  <si>
    <t>399512, Липецкая обл., Долгоруковский район, с. Дубовец</t>
  </si>
  <si>
    <t>353730, Краснодарский кр., Каневской район, станица Каневская, ул. Горького, д. 123</t>
  </si>
  <si>
    <t>119334, г. Москва, набережная Андреевская, д. 1 ЦОКОЛЬ пом. IV ком. 1-7</t>
  </si>
  <si>
    <t>306530, Курская обл., г. Щигры, ул. Лазарева, д. 17</t>
  </si>
  <si>
    <t>361330, Кабардино-Балкарская респ., Урванский район, г. Нарткала, ул. Степная, д. 1</t>
  </si>
  <si>
    <t>656056, Алтайский кр., г. Барнаул, ул. Пушкина, д. 12</t>
  </si>
  <si>
    <t>392550, Тамбовская обл., Тамбовский район, пос. Совхоза Селезневский, ул. Магистральная, д. 13</t>
  </si>
  <si>
    <t>309110, Белгородская обл., Ивнянский район, рабочий пос. Ивня, ул. Шоссейная, д. 25</t>
  </si>
  <si>
    <t>460528, Оренбургская обл., Оренбургский район, с. Ивановка, ул. Производственная, д. 3</t>
  </si>
  <si>
    <t>143007, Московская обл., г. Одинцово, шоссе Можайское, д. 20 этаж / пом. 2/213</t>
  </si>
  <si>
    <t>397961, Воронежская обл., Лискинский район, с. Средний Икорец, ул. 30 Лет Победы, д. 30-А литера Л</t>
  </si>
  <si>
    <t>143517, Московская обл., г. Истра, пос. Станции Холщёвики, тер. Истра-Хлебопродукт стр. 1</t>
  </si>
  <si>
    <t>656905, Алтайский кр., г. Барнаул, проезд Южный, д. 37А</t>
  </si>
  <si>
    <t>394077, Воронежская обл., г. Воронеж, бульвар Победы, д. 19 офис 1</t>
  </si>
  <si>
    <t>396420, Воронежская обл., Павловский район, г. Павловск, ул. Гоголя, д. 40Б пом. 1 офис 4</t>
  </si>
  <si>
    <t>423601, Татарстан респ., Елабужский район, ул. Ш-2 (Оэз Алабуга Тер.), д. ЗД 19/1 корп. АБК пом. 10</t>
  </si>
  <si>
    <t>111524, г. Москва, ул. Электродная, д. 2 стр. 12-13-14 этаж 4, пом. 1, ком. 2</t>
  </si>
  <si>
    <t>105064, г. Москва, ул. Земляной Вал, д. 9 этаж 5 пом. I ком. 8 (Бизнес-центр «Citydel»)</t>
  </si>
  <si>
    <t>190031, г. Санкт-Петербург, набережная Канала Грибоедова, д. 56_58 литера пом. 19Н/6</t>
  </si>
  <si>
    <t>115054, г. Москва, вн.тер.г. муниципальный округ Замоскворечье, наб Космодамианская, д. 52, стр. 1, этаж 5, помещ. i, часть ком. 77, раб. место 2 (Бизнес-центр «Riverside Towers»)</t>
  </si>
  <si>
    <t>196006, г. Санкт-Петербург, ул. Цветочная, д. 16 литера П пом. 4,6</t>
  </si>
  <si>
    <t>346703, Ростовская обл., Аксайский район, хутор Ленина, ул. Логопарк, д. 1 к. 1</t>
  </si>
  <si>
    <t>115054, г. Москва, вн.тер.г. муниципальный округ Замоскворечье, наб Космодамианская, д. 52, стр. 1, этаж 5, помещ. I, ЧАСТЬ КОМ. 77, Р.М. 4 (Бизнес-центр «Riverside Towers»)</t>
  </si>
  <si>
    <t>105118, г. Москва, вн.тер.г. муниципальный округ Соколиная гора, ул Буракова, д. 29, этаж 1, помещ. 3 (Бизнес-центр «Буракова, 29»)</t>
  </si>
  <si>
    <t>121354, г. Москва, вн.тер.г. муниципальный округ Можайский, ул Дорогобужская, д. 14, стр. 40</t>
  </si>
  <si>
    <t>107113, г. Москва, ул. Лобачика, д. 17 этаж 6 каб. 23</t>
  </si>
  <si>
    <t>115582, г. Москва, вн.тер.г. муниципальный округ Орехово-Борисово Южное, ш Каширское, д. 108, к. 1, помещ. 1</t>
  </si>
  <si>
    <t>121614, г. Москва, ул. Крылатская, д. 15</t>
  </si>
  <si>
    <t>192102, г. Санкт-Петербург, ул. Бухарестская, д. 1 литера А пом. 56Н-17, офис 610</t>
  </si>
  <si>
    <t>141501, Московская обл, г.о. Химки, г Химки, пр-кт Юбилейный, д. 77, помещ. 1 ПОМЕЩЕНИЕ 8</t>
  </si>
  <si>
    <t>236005, Калининградская обл, г.о. город Калининград, г Калининград, ул Камская, д. 42, офис 3, литер Е</t>
  </si>
  <si>
    <t>143581, Московская обл., г. Истра, с. Павловская Слобода, ул. Ленина, д. ЗД. 78 пом. 8, этаж 1</t>
  </si>
  <si>
    <t>423895, Татарстан респ., Тукаевский район, с. Нижний Суык-Су, ул. Сармановская, д. 12</t>
  </si>
  <si>
    <t>353461, Краснодарский кр., г. Геленджик, ул. Крымская, д. 19 литера А пом. 6</t>
  </si>
  <si>
    <t>422191, Татарстан респ., Мамадышский район, г. Мамадыш, ул. Давыдова, д. 155 ком. 15</t>
  </si>
  <si>
    <t>129075, г. Москва, вн.тер.г. муниципальный округ Останкинский, ул Аргуновская, д. 2, к. 2, этаж/помещ. 2/V, ком. 14</t>
  </si>
  <si>
    <t>115516, г. Москва, бульвар Кавказский, д. 57 стр. 2 пом. 319</t>
  </si>
  <si>
    <t>630041, Новосибирская обл, г.о. город Новосибирск, г Новосибирск, ул 2-я Станционная, д. 48/1, офис 205</t>
  </si>
  <si>
    <t>121151, г. Москва, вн.тер.г. муниципальный округ Дорогомилово, ул Можайский Вал, д. 8, этаж 11, помещ. LХХХI, КОМ.7, ОФИС 23 (Многофункциональный комплекс «Atlantic»)</t>
  </si>
  <si>
    <t>117420, г. Москва, ул. Профсоюзная, д. 57 этаж 9 пом. II ком. 63 (Бизнес-центр «Нииполиграфмаш»)</t>
  </si>
  <si>
    <t>121151, г. Москва, вн.тер.г. муниципальный округ Дорогомилово, ул Можайский Вал, д. 8, этаж 11, помещ. LХХХI, КОМ.7, ОФИС 15 (Многофункциональный комплекс «Atlantic»)</t>
  </si>
  <si>
    <t>618400, Пермский кр., г. Березники, ул. Химиков, д. 7</t>
  </si>
  <si>
    <t>123182, г. Москва, ул. Авиационная, д. 77 к. 1 этаж 2 Ч. пом. I</t>
  </si>
  <si>
    <t>660135, Красноярский кр., г. Красноярск, ул. Взлетная, д. 57 пом. 29 (Бизнес-центр «На Взлетной, 57»)</t>
  </si>
  <si>
    <t>196084, г. Санкт-Петербург, проспект Лиговский, д. 281</t>
  </si>
  <si>
    <t>690001, Приморский кр., г. Владивосток, ул. Дальзаводская, д. 2</t>
  </si>
  <si>
    <t>123112, г. Москва, вн.тер.г. муниципальный округ Пресненский, наб Пресненская, д. 6, стр. 2, этаж 11/ПОМ I/КОМ 50 (Деловой комплекс "Империя")</t>
  </si>
  <si>
    <t>119415, г. Москва, проспект Вернадского, д. 37 к. 2</t>
  </si>
  <si>
    <t>125040, г. Москва, вн.тер.г. муниципальный округ Беговой, пр-кт Ленинградский, д. 15, стр. 10, этаж 1 (Бизнес-центр «Большевик строение 10»)</t>
  </si>
  <si>
    <t>398040, Липецкая обл., г. Липецк, пл. Металлургов, д. 2</t>
  </si>
  <si>
    <t>650040, Кемеровская область - Кузбасс, г. Кемерово, ул. Баумана, д. 57Б</t>
  </si>
  <si>
    <t>423578, Татарстан респ., Нижнекамский район, г. Нижнекамск, проспект Химиков, д. 38</t>
  </si>
  <si>
    <t>119119, г. Москва, проспект Ленинский, д. 42 к. 6 пом. IV, ком. 9</t>
  </si>
  <si>
    <t>119049, г. Москва, вн.тер.г. муниципальный округ Якиманка, ул Большая Якиманка, д. 35, стр. 1, помещ. 1/3</t>
  </si>
  <si>
    <t>195067, г. Санкт-Петербург, проспект Непокорённых, д. 63 литера К37 пом. 3Н</t>
  </si>
  <si>
    <t>124489, г. Москва, г. Зеленоград к. 601-А кв. 2 этаж</t>
  </si>
  <si>
    <t>302026, Орловская обл., г. Орёл, ул. Итальянская, д. 6 пом. 1</t>
  </si>
  <si>
    <t>121096, г. Москва, ул. Василисы Кожиной, д. 1 офис д. 13 (Бизнес-парк «G 10» Строящийся)</t>
  </si>
  <si>
    <t>197110, г. Санкт-Петербург, ул. Лодейнопольская, д. 5 литера А офис 604</t>
  </si>
  <si>
    <t>188640, Ленинградская обл., Всеволожский район, г. Всеволожск, ул. Автомобильная, д. 14</t>
  </si>
  <si>
    <t>115191, г. Москва, ул. Большая Тульская, д. 43 этаж 4 пом. 44</t>
  </si>
  <si>
    <t>107023, г. Москва, ул. Электрозаводская, д. 27 стр. 8 пом. I этаж 5 (Деловой центр «ЛеФОРТ строение 8»)</t>
  </si>
  <si>
    <t>344019, Ростовская обл., г. Ростов-На-Дону, ул. 14-Я Линия, д. 50 офис 706</t>
  </si>
  <si>
    <t>422616, Татарстан респ., Лаишевский район, с. Усады, ул. Дорожная, д. 42</t>
  </si>
  <si>
    <t>117513, г. Москва, вн.тер.г. муниципальный округ Теплый Стан, ул Островитянова, д. 4, подъезд/этаж 3/25, пом/каб XLA/4</t>
  </si>
  <si>
    <t>107140, г. Москва, ул. Верхняя Красносельская, д. 3 стр. 2 пом. I</t>
  </si>
  <si>
    <t>107113, г. Москва, ул. 3-Я Рыбинская, д. 18 стр. 22 этаж 4 пом. VIII ком. 46</t>
  </si>
  <si>
    <t>420006, Татарстан респ., г. Казань, ул. Васильченко, д. 31 к. 1 офис 40</t>
  </si>
  <si>
    <t>420073, Татарстан респ., г. Казань, ул. Аделя Кутуя, д. ЗД. 118 пом. 23А</t>
  </si>
  <si>
    <t>394016, Воронежская обл., г. Воронеж, проспект Московский, д. 19Б офис 418 (Бизнес-центр «Столица»)</t>
  </si>
  <si>
    <t>196626, г. Санкт-Петербург, пос. Шушары, ул. Ленина, д. 2</t>
  </si>
  <si>
    <t>678900, Саха /Якутия/ респ., Алданский у., г. Алдан, ул. Маяковского, д. 14</t>
  </si>
  <si>
    <t>640027, Курганская обл., г. Курган, ул. Бурова-Петрова, стр. 120</t>
  </si>
  <si>
    <t>660075, Красноярский кр., г. Красноярск, ул. Маерчака, д. 31А</t>
  </si>
  <si>
    <t>353730, Краснодарский кр., Каневской район, станица Каневская, ул. Октябрьская, д. 83 офис 48</t>
  </si>
  <si>
    <t>677014, Саха /Якутия/ респ., г. Якутск, ул. Жуковского, д. 10</t>
  </si>
  <si>
    <t>163053, Архангельская обл., г. Архангельск, пос. Талажский Авиагородок, ул. Аэропорт Архангельск</t>
  </si>
  <si>
    <t>141411, г. Москва, шоссе Международное, д. 28Б стр. 3 (Бизнес-парк «SkyPoint Гамма»)</t>
  </si>
  <si>
    <t>677014, Саха /Якутия/ респ., г. Якутск, ул. Быковского, д. 9</t>
  </si>
  <si>
    <t>125047, г. Москва, пер. 4-Й Лесной, д. 4</t>
  </si>
  <si>
    <t>420025, Татарстан респ., г. Казань, пер. Дуслык, д. 8 офис 1001</t>
  </si>
  <si>
    <t>369000, Карачаево-Черкесская респ., г. Черкесск, ул. 1-Я Подгорная, д. 45</t>
  </si>
  <si>
    <t>450112, Башкортостан респ., г. Уфа, ул. Максима Горького, д. 85</t>
  </si>
  <si>
    <t>195279, г. Санкт-Петербург, шоссе Революции, д. 69 к. 6 литера А</t>
  </si>
  <si>
    <t>117105, г. Москва, шоссе Варшавское, д. 1А этаж -1 пом. 1 ком. 39В</t>
  </si>
  <si>
    <t>141402, Московская обл., г. Химки, квартал Клязьма, д. 4 д стр. 2 ком. 26</t>
  </si>
  <si>
    <t>197110, г. Санкт-Петербург, ул. Пионерская, д. 27А</t>
  </si>
  <si>
    <t>197110, г. Санкт-Петербург, ул. Пионерская, д. 27 литера А</t>
  </si>
  <si>
    <t>117041, г. Москва, ул. Бартеневская, д. 10 пом. 21</t>
  </si>
  <si>
    <t>396110, Воронежская обл., Верхнехавский район, с. Верхняя Хава, ул. Железнодорожная, д. 120</t>
  </si>
  <si>
    <t>115054, г. Москва, ул. Дубининская, д. 35 этаж 12 пом. 80 ком. 1-5</t>
  </si>
  <si>
    <t>143909, Московская обл., г. Балашиха, проезд Покровский, д. 9</t>
  </si>
  <si>
    <t>125445, г. Москва, ул. Смольная, д. 24 д этаж 3 ком. № 24 (Бизнес-центр «Meridian»)</t>
  </si>
  <si>
    <t>142602, Московская обл., г. Орехово-Зуево, ул. Совхозная, д. 38</t>
  </si>
  <si>
    <t>690025, Приморский кр., г. Владивосток, ул. Успенского, д. 39 офис 1</t>
  </si>
  <si>
    <t>462360, Оренбургская обл., г. Новотроицк, ул. Запад (5.4 Км Тер.), д. ЗД. 5</t>
  </si>
  <si>
    <t>428022, Чувашская Республика - Чувашия, г. Чебоксары, проезд Складской, д. 16</t>
  </si>
  <si>
    <t>119311, г. Москва, проспект Вернадского, д. 8А (Бизнес-центр «Silver House»)</t>
  </si>
  <si>
    <t>453256, Башкортостан респ., г. Салават, ул. Молодогвардейцев, д. 30</t>
  </si>
  <si>
    <t>600016, Владимирская обл., г. Владимир, ул. Большая Нижегородская, д. 81Г</t>
  </si>
  <si>
    <t>173012, Новгородская обл., г. Великий Новгород</t>
  </si>
  <si>
    <t>683016, Камчатский кр., г. Петропавловск-Камчатский, ул. Мишенная, д. 131 стр. 13</t>
  </si>
  <si>
    <t>117485, г. Москва, ул. Академика Волгина, д. 2Б стр. 2 офис 27</t>
  </si>
  <si>
    <t>125040, г. Москва, ул. Скаковая, д. 36 этаж / пом. / ком. 2/XXV/253</t>
  </si>
  <si>
    <t>675011, Амурская обл., г. Благовещенск, ул. Мухина, д. 73</t>
  </si>
  <si>
    <t>195220, г. Санкт-Петербург, дор. Кушелевская, д. 14 литера А пом. 62</t>
  </si>
  <si>
    <t>199106, г. Санкт-Петербург, ул. Шкиперский Проток, д. 21 к. 2 литера А пом. 1</t>
  </si>
  <si>
    <t>111394, г. Москва, ул. Перовская, д. 66 к. 7 ком. 4</t>
  </si>
  <si>
    <t>141006, Московская обл., г. Мытищи, шоссе Волковское, владение 5А стр. 1 офис 404, 412 (Бизнес-центр «Волковский корпус 2»)</t>
  </si>
  <si>
    <t>115054, г. Москва, пл. Павелецкая, д. 2 стр. 2 (Бизнес-центр "Павелецкая Тауэр")</t>
  </si>
  <si>
    <t>142784, г. Москва, км. Киевское Шоссе 22-Й (П Московский), домовладение 4 стр. 2 офис 914Г, блок Г, этаж 9</t>
  </si>
  <si>
    <t>610020, Кировская обл., г. Киров, ул. Карла Маркса, д. 4А каб. 113</t>
  </si>
  <si>
    <t>123022, г. Москва, вн.тер.г. муниципальный округ Пресненский, пер 1-й Земельный, д. 1, этаж 15, ком. 1511А</t>
  </si>
  <si>
    <t>123022, г. Москва, вн.тер.г. муниципальный округ Пресненский, пер 1-й Земельный, д. 1, этаж 10, ком. 1001</t>
  </si>
  <si>
    <t>614045, Пермский кр., г. Пермь, ул. Газеты Звезда, д. 24А офис 609 (Бизнес-центр «Капитель»)</t>
  </si>
  <si>
    <t>115114, г. Москва, ул. Дербеневская, д. 20 офис 21 (Бизнес-парк «Кожевники»)</t>
  </si>
  <si>
    <t>141006, Московская обл., г. Мытищи, проезд 4536, владение 8 офис 53</t>
  </si>
  <si>
    <t>344006, Ростовская обл., г. Ростов-На-Дону, ул. Большая Садовая, д. 99 ком. 5-5В-6-6Б-6В</t>
  </si>
  <si>
    <t>630032, Новосибирская обл., г. Новосибирск, ул. Большая, д. 254/2 пом. 13</t>
  </si>
  <si>
    <t>423601, Татарстан Респ, м.р-н Елабужский, г.п. город Елабуга, тер. ОЭЗ Алабуга, ул Ш-2, к. 4, помещ. 8, 9, 11, 12, 13, 14</t>
  </si>
  <si>
    <t>423604, Татарстан респ., Елабужский район, г. Елабуга, ул. Казанская, д. 104</t>
  </si>
  <si>
    <t>423570, Татарстан респ., Нижнекамский район, г. Нижнекамск, ул. Сююмбике, д. 6 кв. 36</t>
  </si>
  <si>
    <t>197374, г. Санкт-Петербург, ул. Савушкина, д. 108 литера А</t>
  </si>
  <si>
    <t>194355, г. Санкт-Петербург, пос. Парголово, шоссе Выборгское, д. 23 корп. 1 литера А</t>
  </si>
  <si>
    <t>142700, Московская обл., г. Видное, тер. Южная Промзона, владение 8 ком. 29</t>
  </si>
  <si>
    <t>675004, Амурская обл., г. Благовещенск, ул. Ленина, д. 140/1</t>
  </si>
  <si>
    <t>163001, Архангельская обл., г. Архангельск, набережная Северной Двины, д. 120</t>
  </si>
  <si>
    <t>121059, г. Москва, ул. Киевская, д. 7 этаж 7 пом. литера В ком. 40, 41 (Бизнес-центр «Legion 3»)</t>
  </si>
  <si>
    <t>119136, г. Москва, вн.тер.г. муниципальный округ Раменки, пр-д 1-й Сетуньский, д. 10, стр. 13, офис 503</t>
  </si>
  <si>
    <t>115093, г. Москва, ул. Павловская, д. 7 (Бизнес-центр «Павловский 1»)</t>
  </si>
  <si>
    <t>685000, Магаданская обл., г. Магадан, ул. Билибина, д. 2-А каб. 39</t>
  </si>
  <si>
    <t>354395, Краснодарский кр., г. Сочи, с. Орел-Изумруд, ул. Дачная, д. 11 пом. 1</t>
  </si>
  <si>
    <t>658130, Алтайский кр., г. Алейск, ул. Первомайская, д. 81</t>
  </si>
  <si>
    <t>422900, Татарстан респ., Алексеевский район, пгт. Алексеевское, ул. Чистопольская, д. 3</t>
  </si>
  <si>
    <t>309820, Белгородская обл., Алексеевский район, с. Матрено-Гезово, ул. Центральная, д. 65</t>
  </si>
  <si>
    <t>309850, Белгородская обл., Алексеевский район, г. Алексеевка, ул. Магистральная, д. 19</t>
  </si>
  <si>
    <t>301361, Тульская обл., Алексинский район, г. Алексин, пл. Победы, д. 19А</t>
  </si>
  <si>
    <t>344000, Ростовская обл, г.о. город Ростов-на-Дону, г Ростов-на-Дону, пр-кт Чехова, д. 71/187, ком. 720, помещ. 18,19-20,20А</t>
  </si>
  <si>
    <t>119361, г. Москва, ул. Озёрная, д. 42 пом. I ком. 14Б (Бизнес-центр «Озерная»)</t>
  </si>
  <si>
    <t>607684, Нижегородская обл., Кстовский район, пос. Ждановский, ул. Придорожная, д. 12</t>
  </si>
  <si>
    <t>607684, Нижегородская обл., Кстовский район, пос. Ждановский, ул. Придорожная, д. 12 пом. 4</t>
  </si>
  <si>
    <t>394004, Воронежская обл., г. Воронеж, набережная Авиастроителей, д. 28А офис 2</t>
  </si>
  <si>
    <t>117405, г. Москва, вн.тер.г. муниципальный округ Чертаново Южное, ш Варшавское, д. 170Б, стр. 4, этаж/помещ. 2/I, ком. 11А</t>
  </si>
  <si>
    <t>191144, г. Санкт-Петербург, ул. Новгородская, д. 16 литера А</t>
  </si>
  <si>
    <t>141290, Московская обл., г. Красноармейск, ул. Лермонтова, д. 2 офис 36</t>
  </si>
  <si>
    <t>443544, Самарская обл., Волжский район, с. Курумоч, ул. Ново-Садовая, д. 1Б ком. 5</t>
  </si>
  <si>
    <t>125315, г. Москва, проспект Ленинградский, д. 72 к. 3</t>
  </si>
  <si>
    <t>243600, Брянская обл., Злынковский район, г. Злынка, ул. Коммунальная, д. 10 офис 2</t>
  </si>
  <si>
    <t>422772, Татарстан респ., Пестречинский район, д. Старое Кощаково, ул. Складская, д. 2</t>
  </si>
  <si>
    <t>142410, Московская обл., г. Ногинск, ул. Инициативная, д. 11А пом. 20</t>
  </si>
  <si>
    <t>188663, Ленинградская обл., Всеволожский район, пос. Кузьмоловский, ул. Ленинградское Шоссе, д. ЗД. 2А</t>
  </si>
  <si>
    <t>109004, г. Москва, ул. Станиславского, д. 21 стр. 2 пом. № I (Бизнес-центр «Фабрика Станиславского строение 2»)</t>
  </si>
  <si>
    <t>357340, Ставропольский кр., г. Лермонтов, ул. Промышленная, д. 7 ком. 60</t>
  </si>
  <si>
    <t>125212, г. Москва, шоссе Головинское, д. 5 к. 1 пом. 6014</t>
  </si>
  <si>
    <t>678144, Саха /Якутия/ Респ, м.р-н Ленский, г.п. город Ленск, г Ленск, ул Победы, д. 69В</t>
  </si>
  <si>
    <t>677027, Саха /Якутия/ респ., г. Якутск, ул. Кирова, д. 18 блок Б</t>
  </si>
  <si>
    <t>423930, Татарстан респ., Бавлинский район, г. Бавлы, ул. Энгельса, д. 63</t>
  </si>
  <si>
    <t>129110, г. Москва, проспект Мира, д. 33 к. 1 этаж / пом. / ком. 5/I/3-6,9-11, часть 1</t>
  </si>
  <si>
    <t>140090, Московская обл., г. Дзержинский, ул. Академика Жукова, д. 12</t>
  </si>
  <si>
    <t>141700, Московская обл., г. Долгопрудный, проезд Лихачевский, д. 30</t>
  </si>
  <si>
    <t>659107, Алтайский кр., г. Заринск, ул. Притаежная, д. 2</t>
  </si>
  <si>
    <t>656002, Алтайский кр., г. Барнаул, ул. Воровского, д. 163</t>
  </si>
  <si>
    <t>659405, Алтайский кр., Зональный район, с. Буланиха, ул. Школьная, д. 1 к. Б</t>
  </si>
  <si>
    <t>656038, Алтайский край, г.о. город Барнаул, г Барнаул, б-р Обской, д. 30</t>
  </si>
  <si>
    <t>350012, Краснодарский кр., г. Краснодар, ул. Западный Обход, д. 40/3 каб. 24</t>
  </si>
  <si>
    <t>656039, Алтайский кр., г. Барнаул, тракт Павловский, д. 28</t>
  </si>
  <si>
    <t>420102, Татарстан респ., г. Казань, ул. Серова, д. 46 пом. 1009</t>
  </si>
  <si>
    <t>603141, Нижегородская обл., г. Нижний Новгород, пос. Черепичный, д. 14 каб. 36</t>
  </si>
  <si>
    <t>115201, г. Москва, шоссе Каширское, д. 22К4 стр. 7 этаж 3 пом. №5</t>
  </si>
  <si>
    <t>123022, г. Москва, ул. 2-Я Звенигородская, д. 13 стр. 37 этаж 3 пом. I ком. 2</t>
  </si>
  <si>
    <t>129085, г. Москва, бульвар Звёздный, д. 21 стр. 1 офис 18</t>
  </si>
  <si>
    <t>603002, Нижегородская обл., г. Нижний Новгород, ул. Канавинская, д. 25</t>
  </si>
  <si>
    <t>119261, г. Москва, проспект Ленинский, д. 72/2</t>
  </si>
  <si>
    <t>117216, г. Москва, ул. Старокачаловская, д. 8 этаж 1/2 ком. 2,2А,3,9-27,29-46</t>
  </si>
  <si>
    <t>115114, г. Москва, набережная Павелецкая, д. 2 стр. 1 этаж 1 ком. 145 (Бизнес-центр «River Side»)</t>
  </si>
  <si>
    <t>127576, г. Москва, вн.тер.г. муниципальный округ Лианозово, ул Илимская, д. 5, к. 2</t>
  </si>
  <si>
    <t>119048, г. Москва, вн.тер.г. муниципальный округ Хамовники, ул Лужники, д. 24, стр. 9, этаж 3, помещ. I, КОМ. 70 (Бизнес-центр на Ул. Лужники, 24С9)</t>
  </si>
  <si>
    <t>117186, г. Москва, вн.тер.г. муниципальный округ Котловка, ул Ремизова, д. 11, к. 1, помещ. 24</t>
  </si>
  <si>
    <t>190020, г. Санкт-Петербург, вн.тер.г. муниципальный округ Екатерингофский, ул Бумажная, д. 16, к. 1, литера А, помещ. 22-Н ОФИС 326</t>
  </si>
  <si>
    <t>295026, Крым Респ, г.о. Симферополь, г Симферополь, ул Набережная имени 60-летия СССР, д. 69, помещ. 312</t>
  </si>
  <si>
    <t>347740, Ростовская обл., Зерноградский район, г. Зерноград, ул. Им Шукшина, д. 1</t>
  </si>
  <si>
    <t>644007, Омская обл, г.о. город Омск, г Омск, ул Фрунзе, д. 80, офис 101 (Бизнес-центр «Флагман»)</t>
  </si>
  <si>
    <t>394029, Воронежская обл., г. Воронеж, проспект Ленинский, д. 15 ком. 411А</t>
  </si>
  <si>
    <t>195009, г. Санкт-Петербург, ул. Комсомола, д. 1-3 литера АУ пом. 6-Н</t>
  </si>
  <si>
    <t>153006, Ивановская обл., г. Иваново, проезд 15-Й, д. 10</t>
  </si>
  <si>
    <t>195027, г. Санкт-Петербург, проспект Шаумяна, д. 4 к. 1 литера А пом. 3Н офис 214</t>
  </si>
  <si>
    <t>186670, Карелия респ., Лоухский район, пгт. Чупа, ул. Железнодорожная, д. 25 офис кв. 3</t>
  </si>
  <si>
    <t>214031, Смоленская обл, г.о. город Смоленск, г Смоленск, ул Индустриальная, д. 2А, офис 306</t>
  </si>
  <si>
    <t>143409, Московская обл., г. Красногорск, ул. Успенская, д. 5 пом. 15 офис 636</t>
  </si>
  <si>
    <t>656048, Алтайский кр., г. Барнаул, тракт Павловский, д. 206Б</t>
  </si>
  <si>
    <t>124460, г. Москва, вн.тер.г. муниципальный округ Матушкино, г Зеленоград, пр-кт Генерала Алексеева, д. 16, этаж 2, помещ. I/КОМ. 16</t>
  </si>
  <si>
    <t>680038, Хабаровский кр., г. Хабаровск, ул. Яшина, д. 38Б офис 304</t>
  </si>
  <si>
    <t>600022, Владимирская обл., г. Владимир, ул. Верхняя Дуброва, д. 5 ком. 1-13</t>
  </si>
  <si>
    <t>111674, г. Москва, ул. 2-Я Вольская, д. 34 корп. / стр. 2/18 пом. 5</t>
  </si>
  <si>
    <t>620143, Свердловская обл., г. Екатеринбург, ул. Уральских Рабочих, д. 28 пом. 84</t>
  </si>
  <si>
    <t>426011, Удмуртская респ., г. Ижевск, ул. Удмуртская, д. 300</t>
  </si>
  <si>
    <t>141060, Московская обл., г. Королёв, ул. Советская (Болшево Мкр), д. 73</t>
  </si>
  <si>
    <t>460001, Оренбургская обл., г. Оренбург, ул. Карла Маркса, д. 135</t>
  </si>
  <si>
    <t>440031, Пензенская обл., г. Пенза, ул. Кижеватова, д. 26</t>
  </si>
  <si>
    <t>614056, Пермский кр., г. Пермь, ул. Гашкова, д. 5</t>
  </si>
  <si>
    <t>390000, Рязанская обл., г. Рязань, ул. Введенская, д. 80 литера А пом. Н27</t>
  </si>
  <si>
    <t>620100, Свердловская обл., г. Екатеринбург, ул. Ткачей стр. 25 офис 807 (Бизнес-центр «Clever Park»)</t>
  </si>
  <si>
    <t>107023, г. Москва, ул. Электрозаводская, д. 24 стр. 3 офис 220.1 (Бизнес-центр «Преображенский корпус В»)</t>
  </si>
  <si>
    <t>344002, Ростовская обл, г.о. город Ростов-на-Дону, г Ростов-на-Дону, пер Семашко, д. 71, помещ. 20/ЭТАЖ 1/ЛИТЕР А</t>
  </si>
  <si>
    <t>690035, Приморский край, г.о. Владивостокский, г Владивосток, ул Калинина, д. 8, помещ. 124</t>
  </si>
  <si>
    <t>129110, г. Москва, вн.тер.г. муниципальный округ Мещанский, ул Большая Переяславская, д. 46, стр. 2, этаж 4, помещ. I, КОМ. 47</t>
  </si>
  <si>
    <t>119435, г. Москва, вн.тер.г. муниципальный округ Хамовники, пер Большой Саввинский, д. 11, подъезд/помещ. 3/III, этаж/ком. 9/2Р</t>
  </si>
  <si>
    <t>125475, г. Москва, ул. Клинская, д. 12 пом. II ( ком. 9-13)</t>
  </si>
  <si>
    <t>125493, г. Москва, ул. Авангардная, д. 3 пом. I этаж 4 офис 2402 (Многофункциональный комплекс «Сатурн»)</t>
  </si>
  <si>
    <t>614031, Пермский кр., г. Пермь, ул. Докучаева, д. 33 офис 423</t>
  </si>
  <si>
    <t>680000, Хабаровский кр., г. Хабаровск, ул. Калинина, д. 8 пом. 3 офис 25</t>
  </si>
  <si>
    <t>115201, г. Москва, вн.тер.г. муниципальный округ Нагатино-Садовники, ш Старокаширское, д. 2, к. 2, этаж 4, помещ. I КОМН 10</t>
  </si>
  <si>
    <t>129110, г. Москва, ул. Большая Переяславская, д. 46 стр. 2 этаж 4, пом. I к. 16,17</t>
  </si>
  <si>
    <t>620026, Свердловская обл., г. Екатеринбург, ул. Розы Люксембург стр. 49 офис 602 (Бизнес-центр «Онегин Плаза»)</t>
  </si>
  <si>
    <t>115035, г. Москва, вн.тер.г. муниципальный округ Якиманка, пер 1-й Кадашёвский, д. 13, стр. 1</t>
  </si>
  <si>
    <t>141092, Московская обл, г.о. Королёв, г Королёв, мкр Юбилейный, ул Лесная, д. 14А, помещ. 14, кабинет 7</t>
  </si>
  <si>
    <t>123242, г. Москва, вн.тер.г. муниципальный округ Пресненский, б-р Новинский, д. 31, помещ. 1/6 (Торгово-офисный центр «Новинский пассаж»)</t>
  </si>
  <si>
    <t>350000, Краснодарский край, г.о. город Краснодар, г Краснодар, ул Красноармейская, д. 100, офис 401</t>
  </si>
  <si>
    <t>109316, г. Москва, вн.тер.г. муниципальный округ Текстильщики, пр-кт Волгоградский, д. 43, к. 3</t>
  </si>
  <si>
    <t>, Свердловская обл, г.о. город Екатеринбург, г Екатеринбург, ул Азина, стр. 18Е, офис 5</t>
  </si>
  <si>
    <t>424000, Марий Эл респ., г. Йошкар-Ола, ул. Пушкина, д. 30 пом. 14</t>
  </si>
  <si>
    <t>391030, Рязанская Область обл., Клепиковский район, г. Спас-Клепики, ул. Московская, д. 4</t>
  </si>
  <si>
    <t>197198, г. Санкт-Петербург, проспект Малый П.С., д. 3 литера А</t>
  </si>
  <si>
    <t>143003, Московская обл, Одинцово г, г.о. Одинцовский, ул Маршала Жукова, д. 32, этаж/помещ. 4/1, офис №408</t>
  </si>
  <si>
    <t>119330, г. Москва, ул. Мосфильмовская, д. 17Б мансарда пом. II ком. 9</t>
  </si>
  <si>
    <t>143006, Московская обл., г. Одинцово, ул. Внуковская, д. 9</t>
  </si>
  <si>
    <t>350056, Краснодарский кр., г. Краснодар, пос. Индустриальный, Почтовое Отделение № 56</t>
  </si>
  <si>
    <t>115054, г. Москва, пер. Стремянный, д. 23/19</t>
  </si>
  <si>
    <t>142100, Московская обл., г. Подольск, ул. Комсомольская, д. 1 к. БЫТОВОЙ офис 704</t>
  </si>
  <si>
    <t>105082, г. Москва, вн.тер.г. муниципальный округ Басманный, ул Большая Почтовая, д. 26, стр. 1</t>
  </si>
  <si>
    <t>127473, г. Москва, ул. Краснопролетарская, д. 36 этаж 3 пом. I (Бизнес-центр «Amber Plaza»)</t>
  </si>
  <si>
    <t>614055, Пермский кр., г. Пермь, ул. Промышленная, д. 123А</t>
  </si>
  <si>
    <t>117218, г. Москва, ул. Кржижановского, д. 17 к. 1</t>
  </si>
  <si>
    <t>356800, Ставропольский край, м.о. Будённовский, г Буденновск, ул Розы Люксембург, зд. 35А, стр. 1</t>
  </si>
  <si>
    <t>683001, Камчатский край, г.о. Петропавловск-Камчатский, г Петропавловск-Камчатский, ул Ленинская, д. 59, этаж 13, помещ. 51</t>
  </si>
  <si>
    <t>346130, Ростовская обл., Миллеровский район, г. Миллерово, ул. Промышленная, д. 22</t>
  </si>
  <si>
    <t>627750, Тюменская обл., г. Ишим, ул. Чкалова, д. 22 офис 203</t>
  </si>
  <si>
    <t>309852, Белгородская обл., Алексеевский район, г. Алексеевка, ул. Тимирязева, д. 10</t>
  </si>
  <si>
    <t>423650, Татарстан респ., Менделеевский район, г. Менделеевск, тер. Промзона</t>
  </si>
  <si>
    <t>192249, г. Санкт-Петербург, вн.тер.г. муниципальный округ Александровский, ул Софийская, д. 60, литера АМ, скл. 2</t>
  </si>
  <si>
    <t>199034, г. Санкт-Петербург, проспект Большой В.О., д. 18 литера А пом. 48-Н ком. 8</t>
  </si>
  <si>
    <t>194044, г. Санкт-Петербург, набережная Выборгская, д. 29 литера А пом. 330</t>
  </si>
  <si>
    <t>109147, г. Москва, вн.тер.г. муниципальный округ Таганский, ул Рогожский Вал, д. 10, этаж/помещ. 12/№182</t>
  </si>
  <si>
    <t>199034, г. Санкт-Петербург, лн. 14-Я В.О., д. 7 литера А</t>
  </si>
  <si>
    <t>350000, Краснодарский кр., г. Краснодар, ул. Им. Гоголя, д. 63</t>
  </si>
  <si>
    <t>123022, г. Москва, ул. 1905 Года, д. 10А стр. 1 этаж 8 пом. №11</t>
  </si>
  <si>
    <t>117556, г. Москва, ул. Фруктовая, д. 14 офис 5</t>
  </si>
  <si>
    <t>195279, г. Санкт-Петербург, вн.тер.г. муниципальный округ Ржевка, ш Революции, д. 69, литера А, помещ. 56Н, офис 208 (Бизнес-центр «Scandinavian (Скандинавиан)»)</t>
  </si>
  <si>
    <t>163026, Архангельская обл, г.о. город Архангельск, г Архангельск, ул Космонавта Комарова, д. 14, стр. 2</t>
  </si>
  <si>
    <t>129343, г. Москва, проезд Серебрякова, д. 14 стр. 15 ком. 5 (Бизнес-парк «Silver Stone»)</t>
  </si>
  <si>
    <t>682571, Хабаровский кр., Аяно-Майский район, с. Аян, ул. Октябрьская, д. 11</t>
  </si>
  <si>
    <t>680009, Хабаровский кр., г. Хабаровск, ул. Промышленная, д. 20</t>
  </si>
  <si>
    <t>675002, Амурская обл., г. Благовещенск, ул. Амурская, д. 17</t>
  </si>
  <si>
    <t>682640, Хабаровский кр., г. Амурск, шоссе Машиностроителей, д. 6 к. А</t>
  </si>
  <si>
    <t>675020, Амурская обл., г. Благовещенск, ул. Пограничная, д. 200</t>
  </si>
  <si>
    <t>681000, Хабаровский кр., г. Комсомольск-На-Амуре, ул. Вагонная, д. 30</t>
  </si>
  <si>
    <t>675000, Амурская обл., г. Благовещенск, ул. Фрунзе, д. 48 офис 3</t>
  </si>
  <si>
    <t>676770, Амурская обл., г. Райчихинск, ул. Победы, д. 28</t>
  </si>
  <si>
    <t>680018, Хабаровский край, г.о. город Хабаровск, г Хабаровск, ул Кирова, д. 1/25, офис 40</t>
  </si>
  <si>
    <t>105005, г. Москва, вн.тер.г. муниципальный округ Басманный, ул Бауманская, д. 9, этаж 3, помещ./ком. 3/33</t>
  </si>
  <si>
    <t>663491, Красноярский кр., Кежемский район, г. Кодинск, проспект Ленинского Комсомола, д. 14 к. А офис 23</t>
  </si>
  <si>
    <t>665809, Иркутская обл., г. Ангарск, квартал 4 (Первый Промышленный Массив Тер.), стр. 1</t>
  </si>
  <si>
    <t>399850, Липецкая обл., Данковский район, г. Данков, ул. Льва Толстого, д. 36 офис 1</t>
  </si>
  <si>
    <t>141607, Московская обл., г. Клин, ул. Московская, д. 28</t>
  </si>
  <si>
    <t>652104, Кемеровская область - Кузбасс, г.о. Анжеро-Судженский, г Анжеро-Судженск, п/р Район промплощадки Яйского НПЗ</t>
  </si>
  <si>
    <t>109316, г. Москва, проезд Остаповский, д. 5 стр. 6 офис 211 этаж 2</t>
  </si>
  <si>
    <t>109316, г. Москва, вн.тер.г. муниципальный округ Нижегородский, проезд Остаповский, д. 5/1, стр. 1, этаж 9, ком. 904</t>
  </si>
  <si>
    <t>634009, Томская обл., г. Томск, проспект Ленина, д. 147</t>
  </si>
  <si>
    <t>121087, г. Москва, проезд Береговой, д. 5А к. 1 этаж 6 пом. III</t>
  </si>
  <si>
    <t>183038, Мурманская обл., г. Мурманск, ул. Траловая, д. 49 офис 31</t>
  </si>
  <si>
    <t>690039, Приморский кр., г. Владивосток, ул. Енисейская, д. 23 д офис 502</t>
  </si>
  <si>
    <t>450037, Башкортостан респ., г. Уфа, ул. Комсомольская, д. 27 офис 28</t>
  </si>
  <si>
    <t>346530, Ростовская обл, г.о. город Шахты, г Шахты, пер Путиловский, зд. 2В</t>
  </si>
  <si>
    <t>121087, г. Москва, проезд Береговой, д. 5А к. 1 этаж / пом. 5/I</t>
  </si>
  <si>
    <t>680000, Хабаровский кр., г. Хабаровск, ул. Муравьева-Амурского, д. 2</t>
  </si>
  <si>
    <t>344090, Ростовская обл., г. Ростов-На-Дону, ул. Доватора, д. 160 к. 1</t>
  </si>
  <si>
    <t>108814, г. Москва, Сосенское пос., д. Сосенки, ул. Сосновая, д. 1Б этаж 7 офис 715-727</t>
  </si>
  <si>
    <t>127434, г. Москва, ул. Дубки, д. 6 этаж / офис 1/1-26</t>
  </si>
  <si>
    <t>416025, Астраханская обл., Харабалинский район, с. Заволжское, ул. Интернациональная, д. 28 литера А</t>
  </si>
  <si>
    <t>423800, Татарстан респ., г. Набережные Челны, проезд Производственный, д. 26/25</t>
  </si>
  <si>
    <t>423606, Татарстан респ., Елабужский район, г. Елабуга, ул. Марджани, д. 22 кв. 65</t>
  </si>
  <si>
    <t>309514, Белгородская обл., г. Старый Оскол, ул. Ленина, д. 71/12</t>
  </si>
  <si>
    <t>303900, Орловская обл., Урицкий район, пгт. Нарышкино, ул. Ревкова, д. 28 литера А пом. 5</t>
  </si>
  <si>
    <t>117303, г. Москва, вн.тер.г. муниципальный округ Зюзино, ул Малая Юшуньская, д. 1, к. 1, этаж 3, помещ. I, КОМ. 30,30А,30Б,30В</t>
  </si>
  <si>
    <t>307174, Курская обл., г. Железногорск, ул. Воинов-Интернационалистов стр. 7/1</t>
  </si>
  <si>
    <t>423450, Татарстан респ., Альметьевский район, г. Альметьевск, ул. Базовая, д. 40</t>
  </si>
  <si>
    <t>398002, Липецкая обл., г. Липецк, ул. Тельмана, д. 11</t>
  </si>
  <si>
    <t>346780, Ростовская обл., г. Азов, пер. Некрасова, д. 47</t>
  </si>
  <si>
    <t>620014, Свердловская обл., г. Екатеринбург, ул. Шейнкмана, д. 88 пом. 1006</t>
  </si>
  <si>
    <t>115533, г. Москва, вн.тер.г. муниципальный округ Нагатино-Садовники, ул Нагатинская, д. 5, этаж 3, офис 311</t>
  </si>
  <si>
    <t>350024, Краснодарский край, г.о. город Краснодар, г Краснодар, ул Агрохимическая, д. 114, помещ. 7</t>
  </si>
  <si>
    <t>350089, Краснодарский край, г.о. город Краснодар, г Краснодар, пр-кт Чекистов, д. 34/1, помещ. 13</t>
  </si>
  <si>
    <t>350007, Краснодарский кр., г. Краснодар, ул. Речная, д. 4 пом. 12</t>
  </si>
  <si>
    <t>350089, Краснодарский кр., г. Краснодар, проспект Чекистов, д. 34 к. 1 офис 4</t>
  </si>
  <si>
    <t>121165, г. Москва, вн.тер.г. муниципальный округ Дорогомилово, пр-кт Кутузовский, д. 26, к. 1, подв. 0, ком. 5</t>
  </si>
  <si>
    <t>140181, Московская обл., г. Жуковский, пл. Московская, д. 1А каб. 3</t>
  </si>
  <si>
    <t>115093, г. Москва, ул. Большая Серпуховская, д. 48 стр. 1 ком. 3</t>
  </si>
  <si>
    <t>121108, г. Москва, вн.тер.г. муниципальный округ Фили-Давыдково, ул Ивана Франко, д. 8, эт./пом. 18/I, ком./оф. 47/3 (Бизнес-центр «Kutuzoff Tower»)</t>
  </si>
  <si>
    <t>105064, г. Москва, ул. Земляной Вал, д. 42/20</t>
  </si>
  <si>
    <t>125040, г. Москва, проспект Ленинградский, д. 23 этаж 1 пом. III ком. 1</t>
  </si>
  <si>
    <t>628404, Ханты-Мансийский Автономный Округ - Югра, г. Сургут, проспект Набережный, д. 6/1</t>
  </si>
  <si>
    <t>350072, Краснодарский кр., г. Краснодар, ул. Зиповская, д. 16 литера А пом. 22</t>
  </si>
  <si>
    <t>353540, Краснодарский кр., Темрюкский район, пос. Сенной, ул. Мира, д. 49</t>
  </si>
  <si>
    <t>188510, Ленинградская обл, м.р-н Ломоносовский, г.п. Виллозское, тер Южная часть промзоны Горелово, ш Волхонское, д. 4/2, стр. 1, этаж 2, ОФИС 31</t>
  </si>
  <si>
    <t>630526, Новосибирская обл., Новосибирский район, проезд Автомобилистов, д. 12 каб. 15</t>
  </si>
  <si>
    <t>143002, Московская обл., г. Одинцово, ул. Полевая, д. 9А</t>
  </si>
  <si>
    <t>115419, г. Москва, проезд 5-Й Донской, д. 4, этаж 5 пом. 1 ком. 17, часть</t>
  </si>
  <si>
    <t>115280, г. Москва, ул. Ленинская Слобода, д. 26 этаж 5 (Бизнес-центр «Omega Plaza Омега-2 корпус А»)</t>
  </si>
  <si>
    <t>109029, г. Москва, ул. Средняя Калитниковская, д. 28 стр. 4 этаж / пом. / ком. 1/VIII/8</t>
  </si>
  <si>
    <t>109044, г. Москва, вн.тер.г. муниципальный округ Южнопортовый, пер 3-й Крутицкий, д. 11, помещ. XLVIII, ком. 46</t>
  </si>
  <si>
    <t>115280, г. Москва, вн.тер.г. муниципальный округ Даниловский, ул Ленинская Слобода, д. 19, пом 242 (Многофункциональный комплекс «Омега Плаза»)</t>
  </si>
  <si>
    <t>299011, г. Севастополь, вн.тер.г. Ленинский муниципальный округ, ул Катерная, зд. 47А, стр. 2</t>
  </si>
  <si>
    <t>192249, г. Санкт-Петербург, ул. Софийская, д. 58 к. 2 литера А пом. 12-Н, офис 43</t>
  </si>
  <si>
    <t>115093, г. Москва, пер. Партийный, д. 1 к. 11 ком. 34 этаж 3</t>
  </si>
  <si>
    <t>630015, Новосибирская обл, г.о. город Новосибирск, г Новосибирск, ул Николая Островского, зд. 257А, этаж 3</t>
  </si>
  <si>
    <t>368323, Дагестан Респ, м.р-н Левашинский, с.п. сельсовет Мекегинский, с Мекеги, пр-д Гамидова Гамида Мустафаевича 4-й А, д. 5</t>
  </si>
  <si>
    <t>690088, Приморский кр., г. Владивосток, ул. Деревенская, д. 14 офис 33</t>
  </si>
  <si>
    <t>188676, Ленинградская обл., Всеволожский район, г. Всеволожск, промзона Производственная Зона Города Всеволожска, ул. Индустриальная, д. №9 к. литера А</t>
  </si>
  <si>
    <t>129110, г. Москва, вн.тер.г. муниципальный округ Мещанский, пер Напрудный, д. 10, стр. 4</t>
  </si>
  <si>
    <t>420081, Татарстан респ., г. Казань, проспект Альберта Камалеева, д. 28/9 этаж 1 пом. / офис 1123/1</t>
  </si>
  <si>
    <t>400048, Волгоградская обл., г. Волгоград, проспект Им. Маршала Советского Союза Г.К.Жукова, д. 106 офис 5</t>
  </si>
  <si>
    <t>184511, Мурманская обл., г. Мончегорск, проспект Металлургов, д. 45 к. 2</t>
  </si>
  <si>
    <t>301661, Тульская обл., Новомосковский район, г. Новомосковск, шоссе Комсомольское, д. 72 каб. 1</t>
  </si>
  <si>
    <t>352181, Краснодарский кр., Гулькевичский район, с. Отрадо-Ольгинское, ул. Победы литера Б</t>
  </si>
  <si>
    <t>629309, Ямало-Ненецкий а.о., г. Новый Уренгой, микрорайон Славянский, МИКРОРАЙОН СЛАВЯНСКИЙ д. 9 этаж 6 каб. 607</t>
  </si>
  <si>
    <t>101000, г. Москва, пер. Уланский, д. 22 стр. 1 пом. / этаж / офис I/5/501</t>
  </si>
  <si>
    <t>302028, Орловская обл., г. Орёл, ул. Салтыкова-Щедрина, д. 21 пом. 13 офис ОФИСЫ №№234;232</t>
  </si>
  <si>
    <t>142117, Московская обл, г.о. Подольск, д Северово, ул Станционная, д. 24, помещ. 1</t>
  </si>
  <si>
    <t>450053, Башкортостан респ., г. Уфа, проспект Октября, д. 132/3 пом. 2-18, этаж 10 (Бизнес-центр «КПД»)</t>
  </si>
  <si>
    <t>119285, г. Москва, ул. Мосфильмовская, д. 38А (Бизнес-центр на Ул. Мосфильмовская, 38А)</t>
  </si>
  <si>
    <t>357107, Ставропольский кр., г. Невинномысск, ул. Комбинатская, д. 6</t>
  </si>
  <si>
    <t>121087, г. Москва, вн.тер.г. муниципальный округ Филевский парк, пр-д Береговой, д. 5, стр. 1</t>
  </si>
  <si>
    <t>143002, Московская обл, Одинцово г, г.о. Одинцовский, ул Полевая, д. 17/2, ком. 69</t>
  </si>
  <si>
    <t>198095, г. Санкт-Петербург, вн.тер.г. муниципальный округ Измайловское, ш Митрофаньевское, д. 2, к. 9, литера В, помещ. 107</t>
  </si>
  <si>
    <t>129090, г. Москва, вн.тер.г. муниципальный округ Красносельский, ул Большая Спасская, д. 20, стр. 3, этаж 1, помещ. III, КОМ. 1</t>
  </si>
  <si>
    <t>119421, г. Москва, вн.тер.г. муниципальный округ Обручевский, пр-кт Ленинский, д. 111, к. 1, этаж 5, ком. 129</t>
  </si>
  <si>
    <t>129327, г. Москва, ул. Ленская, д. 2/21 ком. 315</t>
  </si>
  <si>
    <t>115114, г. Москва, пер. 1-Й Дербеневский, д. 5 офис 207</t>
  </si>
  <si>
    <t>364050, Чеченская респ., г. Грозный, ул. Восточная Объездная (Байсангуровский Р-Н), д. 21</t>
  </si>
  <si>
    <t>115573, г. Москва, ул. Мусы Джалиля, д. 8 к. 1 пом. VI, офис 4Р, этаж 1</t>
  </si>
  <si>
    <t>188660, Ленинградская обл, м.р-н Всеволожский, с.п. Бугровское, п Бугры, ул Английская, д. 6, помещ. 17Н, офис 1</t>
  </si>
  <si>
    <t>127521, г. Москва, проезд Анненский, д. 3 стр. 1</t>
  </si>
  <si>
    <t>620075, Свердловская обл., г. Екатеринбург, ул. Белинского/Красноармейская стр. 9/26</t>
  </si>
  <si>
    <t>197342, г. Санкт-Петербург, набережная Ушаковская, д. 3 к. 1 стр. 1 офис 518</t>
  </si>
  <si>
    <t>364014, Чеченская Респ, г.о. город Грозный, г Грозный, р-н Ахматовский, ул Петропавловское шоссе, д. 29</t>
  </si>
  <si>
    <t>675028, Амурская обл., г. Благовещенск, ул. Текстильная, д. 118 литера А5 пом. 207 этаж 2</t>
  </si>
  <si>
    <t>188354, Ленинградская обл., Гатчинский район, шоссе Киевское (Большое Верево Тер), д. 2</t>
  </si>
  <si>
    <t>660004, Красноярский кр., г. Красноярск, ул. 26 Бакинских Комиссаров, д. 1 д к. 4 офис 2-06</t>
  </si>
  <si>
    <t>666910, Иркутская обл., г. Бодайбо, ул. Труда, д. 24</t>
  </si>
  <si>
    <t>671560, Бурятия респ., Муйский район, пгт. Таксимо, ул. 70 Лет Октября, д. ЗД. 57</t>
  </si>
  <si>
    <t>115191, г. Москва, ул. Мытная, д. 66 пом. 5 (Бизнес-центр на Ул. Мытная, 66)</t>
  </si>
  <si>
    <t>195276, г. Санкт-Петербург, проспект Культуры, д. 31 к. 1 литера А этаж / пом. / ком. 1/7Н/5</t>
  </si>
  <si>
    <t>115516, г. Москва, бульвар Кавказский, д. 26 этаж 1 пом. I ком. 5А</t>
  </si>
  <si>
    <t>117405, г. Москва, ул. Дорожная, д. 54К4 стр. 20 каб. 114А</t>
  </si>
  <si>
    <t>164900, Архангельская обл., г. Новодвинск, ул. Фронтовых Бригад, д. 14</t>
  </si>
  <si>
    <t>164900, Архангельская обл., г. Новодвинск, ул. Мельникова, д. 1</t>
  </si>
  <si>
    <t>249020, Калужская обл., Боровский район, д. Добрино, проезд 6-Й Восточный, д. ЗД. 8</t>
  </si>
  <si>
    <t>143443, Московская обл., г. Красногорск, ул. Широкая (Опалиха Мкр.), д. 2А этаж 1/ пом. 10</t>
  </si>
  <si>
    <t>422000, Татарстан респ., Арский район, г. Арск, ул. Вокзальная, д. 1</t>
  </si>
  <si>
    <t>620143, Свердловская обл., г. Екатеринбург, ул. Уральских Рабочих, д. 28 пом. 87</t>
  </si>
  <si>
    <t>125445, г. Москва, вн.тер.г. муниципальный округ Ховрино, ул Смольная, д. 24Д (Бизнес-центр «Meridian»)</t>
  </si>
  <si>
    <t>143003, Московская обл, Одинцово г, г.о. Одинцовский, ул Маршала Неделина, д. 6Б, помещ. 7</t>
  </si>
  <si>
    <t>143150, Московская обл, г.о. Рузский, п Горбово, ул Центральная, д. 1А</t>
  </si>
  <si>
    <t>143985, Московская обл., г. Балашиха, ул. Автозаводская (Железнодорожный Мкр.), д. 20</t>
  </si>
  <si>
    <t>660017, Красноярский кр., г. Красноярск, проспект Мира, д. 102 офис 0-01</t>
  </si>
  <si>
    <t>141281, Московская обл., г. Ивантеевка, проезд Санаторный, д. 1 к. 5 офис 312</t>
  </si>
  <si>
    <t>160000, Вологодская обл, г.о. город Вологда, г Вологда, пр-кт Победы, д. 67А, помещ. 4</t>
  </si>
  <si>
    <t>119571, г. Москва, проспект Вернадского, д. 92 к. 1 офис 46</t>
  </si>
  <si>
    <t>309850, Белгородская обл., Алексеевский район, г. Алексеевка, ул. Фрунзе, д. 2</t>
  </si>
  <si>
    <t>369111, Карачаево-Черкесская Респ, м.р-н Абазинский, с.п. Псыжское, аул Псыж, ул Шоссейная, зд. 135А</t>
  </si>
  <si>
    <t>601914, Владимирская обл., г. Ковров, ул. Комсомольская, д. 116Г стр. 25 пом. I, 4 этаж , офис 26</t>
  </si>
  <si>
    <t>656070, Алтайский кр., г. Барнаул, ул. Власихинская, д. 198</t>
  </si>
  <si>
    <t>129226, г. Москва, ул. Докукина, д. 16 стр. 1 этаж 6 (Бизнес-центр на Ул. Докукина, 16К1)</t>
  </si>
  <si>
    <t>117246, г. Москва, проезд Научный, д. 10 этаж 5 пом. 9 ком. 514</t>
  </si>
  <si>
    <t>141401, Московская обл, г.о. Химки, г Химки, ул Рабочая, д. 2А, к. 22А, офис 301</t>
  </si>
  <si>
    <t>606000, Нижегородская обл., г. Дзержинск, Нижегородское Ш 2, д. 2 к. 4</t>
  </si>
  <si>
    <t>187620, Ленинградская обл., Бокситогорский район, пос. Ефимовский, ул. Гагарина, д. 30</t>
  </si>
  <si>
    <t>618421, Пермский кр., г. Березники, ул. Загородная, д. 29</t>
  </si>
  <si>
    <t>121596, г. Москва, ул. Горбунова, д. 2 стр. 3 офис пом. II ком. 4 каб. 3 (Бизнес центр "Гранд Сетунь Плаза")</t>
  </si>
  <si>
    <t>129164, г. Москва, бульвар Ракетный, д. 16 этаж 8 (Бизнес-центр "Алексеевская башня")</t>
  </si>
  <si>
    <t>350012, Краснодарский кр., г. Краснодар, Книисх Им. П.П.Лукьяненко Центральная Усадьба</t>
  </si>
  <si>
    <t>117216, г. Москва, ул. Старокачаловская, д. 3 к. 3</t>
  </si>
  <si>
    <t>109147, г. Москва, ул. Марксистская, д. 16 (Бизнес-квартал «Московская школа управления Сколково»)</t>
  </si>
  <si>
    <t>140200, Московская обл, Воскресенск г, г.о. Воскресенск, ул Гаражная, зд. 11, этаж/помещ. 2/3</t>
  </si>
  <si>
    <t>416500, Астраханская обл., г. Ахтубинск, ул. Ленина, д. 165</t>
  </si>
  <si>
    <t>391520, Рязанская обл., Шиловский район, д. Ибредь, ул. Заводская, д. ЗД. 1А</t>
  </si>
  <si>
    <t>344002, Ростовская обл., г. Ростов-На-Дону, ул. 1-Я Луговая, д. 3Б</t>
  </si>
  <si>
    <t>188663, Ленинградская обл., Всеволожский район, пос. Кузьмоловский, ул. Заводская, д. ЗД. 75</t>
  </si>
  <si>
    <t>127427, г. Москва, вн.тер.г. муниципальный округ Марфино, ул Большая Марфинская, д. 1, к. 2, этаж/помещ. 1/IX, ком./офис 8/B-01</t>
  </si>
  <si>
    <t>105082, г. Москва, пл. Спартаковская, д. 14 стр. 4 этаж 3 ком. 1</t>
  </si>
  <si>
    <t>460060, Оренбургская обл, г.о. город Оренбург, г Оренбург, ул Серебряной Росы, д. 1/1, помещ. 2</t>
  </si>
  <si>
    <t>249006, Калужская обл., Боровский район, д. Добрино, проезд 1-Й Восточный, владение 8</t>
  </si>
  <si>
    <t>123112, г. Москва, проезд 1-Й Красногвардейский, д. 21 стр. 1 этаж 30 ком. 13-14</t>
  </si>
  <si>
    <t>620109, Свердловская обл., г. Екатеринбург, ул. Заводская, д. 45 д офис 405</t>
  </si>
  <si>
    <t>414000, Астраханская обл, г.о. город Астрахань, г Астрахань, ул Бакинская, стр. 149, помещ. 1</t>
  </si>
  <si>
    <t>141109, Московская обл., г. Щёлково, ул. Талсинская, д. 24А пом. 50</t>
  </si>
  <si>
    <t>675005, Амурская обл., г. Благовещенск, пер. Советский, д. 65/1</t>
  </si>
  <si>
    <t>603006, Нижегородская обл., г. Нижний Новгород, пл. Свободы, д. 3</t>
  </si>
  <si>
    <t>125635, г. Москва, ул. Ангарская, д. 13</t>
  </si>
  <si>
    <t>443125, Самарская обл., г. Самара, ул. Губанова, д. 3 ком. 509</t>
  </si>
  <si>
    <t>140055, Московская обл., г. Котельники, микрорайон Белая Дача Промышленная Зона, ПРОМЗОНА ООО "ТЕХНОПРОМ", Е офис 303</t>
  </si>
  <si>
    <t>127051, г. Москва, вн.тер.г. муниципальный округ Мещанский, ул Трубная, д. 28, стр. 2, помещ. 1, ком. 1 (Бизнес-центр на Ул. Трубная, 28С2)</t>
  </si>
  <si>
    <t>629003, Ямало-Ненецкий а.о., г. Салехард, ул. Авиационная, владение 27</t>
  </si>
  <si>
    <t>196066, г. Санкт-Петербург, проспект Московский, д. 212 офис 5034 (Бизнес-центр «Московский, 212 (Дом Советов)»)</t>
  </si>
  <si>
    <t>214014, Смоленская обл., г. Смоленск, ул. 8 Марта, д. 20 офис 10</t>
  </si>
  <si>
    <t>302009, Орловская обл., г. Орёл, ул. Северная, д. 9 офис 12</t>
  </si>
  <si>
    <t>109004, г. Москва, вн.тер.г. муниципальный округ Таганский, ул Александра Солженицына, д. 31, стр. 1, этаж 4, помещ. I, КОМ. 5, ОФИС 403</t>
  </si>
  <si>
    <t>191015, г. Санкт-Петербург, ул. Шпалерная, д. 51 литера А пом. 2-Н №401 ( офис 428)</t>
  </si>
  <si>
    <t>119330, г. Москва, вн.тер.г. муниципальный округ Раменки, пр-кт Университетский, д. 12 (Бизнес-центр «Воробьевский»)</t>
  </si>
  <si>
    <t>664007, Иркутская обл., г. Иркутск, ул. Карла Либкнехта, стр. 94 офис 401 (Деловой центр «Silver»)</t>
  </si>
  <si>
    <t>127106, г. Москва, вн.тер.г. муниципальный округ Марфино, ул Гостиничная, д. 4, к. 9, этаж 1, помещ. II, КОМ.23</t>
  </si>
  <si>
    <t>346703, Ростовская обл., Аксайский район, хутор Ленина, ул. Онучкина, д. 72</t>
  </si>
  <si>
    <t>141402, Московская обл., г. Химки, шоссе Вашутинское, д. 15 (Многофункциональный комплекс на Вашутинском Шоссе, 15)</t>
  </si>
  <si>
    <t>197046, г. Санкт-Петербург, вн.тер.г. муниципальный округ Посадский, наб Петроградская, д. 36, литера А, помещ. 1-Н, ком. 228 (Бизнес-центр «Линкор»)</t>
  </si>
  <si>
    <t>344065, Ростовская обл., г. Ростов-На-Дону, ул. 50-Летия Ростсельмаша, д. 3 ком. часть 2 офис 207</t>
  </si>
  <si>
    <t>350018, Краснодарский край, г.о. город Краснодар, г Краснодар, ул Сормовская, д. 7/13, ком. 5</t>
  </si>
  <si>
    <t>442246, Пензенская обл., Каменский район, г. Каменка, ул. Производственная, д. 80</t>
  </si>
  <si>
    <t>129085, г. Москва, вн.тер.г. муниципальный округ Останкинский, ул Годовикова, д. 9, стр. 17, этаж 4, помещ. 5</t>
  </si>
  <si>
    <t>347387, Ростовская обл., г. Волгодонск, ул. К.Маркса, д. 44</t>
  </si>
  <si>
    <t>109004, г. Москва, пер. Большой Дровяной, д. 22</t>
  </si>
  <si>
    <t>394018, Воронежская обл., г. Воронеж, ул. Дзержинского, д. 12А</t>
  </si>
  <si>
    <t>603107, Нижегородская обл., г. Нижний Новгород, проспект Гагарина, д. 65 офис 2</t>
  </si>
  <si>
    <t>119017, г. Москва, ул. Большая Ордынка, д. 24</t>
  </si>
  <si>
    <t>107996, г. Москва, ул. Бакунинская, д. 7 стр. 1</t>
  </si>
  <si>
    <t>117105, г. Москва, набережная Новоданиловская, д. 4А этаж 7 пом. II к. 22И (Бизнес-центр «Новоданиловский Дом»)</t>
  </si>
  <si>
    <t>115432, г. Москва, проезд Проектируемый 4062-Й, д. 6 стр. 2 пом. 26 ( этаж 4) (Бизнес-парк «PortPlaza строение 2»)</t>
  </si>
  <si>
    <t>115432, г. Москва, вн.тер.г. муниципальный округ Даниловский, проезд Проектируемый 4062-й, д. 6, стр. 25 (Бизнес-парк «PortPlaza строение 25»)</t>
  </si>
  <si>
    <t>115432, г. Москва, проезд Проектируемый 4062-Й, д. 6 стр. 25 (Бизнес-парк «PortPlaza строение 25»)</t>
  </si>
  <si>
    <t>115191, г. Москва, вн.тер.г. муниципальный округ Даниловский, ул Большая Тульская, д. 11, этаж 4, помещ. 1</t>
  </si>
  <si>
    <t>152151, Ярославская обл., Ростовский район, г. Ростов, ул. Луначарского, д. 48</t>
  </si>
  <si>
    <t>191060, г. Санкт-Петербург, вн.тер.г. муниципальный округ Смольнинское, проезд Смольный, д. 1, литера Б</t>
  </si>
  <si>
    <t>108814, г. Москва, км. Калужское Шоссе 22-Й (П Сосенское), д. 10 этаж 2 пом. 1 СЕКТ. А к. 2</t>
  </si>
  <si>
    <t>187046, Ленинградская обл, м.р-н Тосненский, г.п. Фёдоровское, д Аннолово, проезд 2-й Вертикальный, д. 9, к. 1, офис 20-22</t>
  </si>
  <si>
    <t>455007, Челябинская обл., г. Магнитогорск, ул. Пржевальского, д. 4 каб. 1</t>
  </si>
  <si>
    <t>163030, Архангельская обл., г. Архангельск, проспект Ленинградский, д. 324</t>
  </si>
  <si>
    <t>143025, Московская обл., г. Одинцово, с. Немчиновка, ул. Московская, д. 61 ком. 405</t>
  </si>
  <si>
    <t>188640, Ленинградская обл., Всеволожский район, г. Всеволожск, шоссе Южное, д. 132 к. 2</t>
  </si>
  <si>
    <t>143325, Московская обл., г. Наро-Фоминск, пос. Новая Ольховка, ул. Заводская, д. 1</t>
  </si>
  <si>
    <t>143082, Московская обл., г. Одинцово, д. Раздоры, км. 1-Й (Рублево-Успенское Шоссе Тер.), д. 1 этаж / ком. 3/14-15</t>
  </si>
  <si>
    <t>123182, г. Москва, ул. Авиационная, д. 77 к. 1</t>
  </si>
  <si>
    <t>143408, Московская обл., г. Красногорск, бульвар Космонавтов, д. 1 пом. 78</t>
  </si>
  <si>
    <t>127051, г. Москва, вн.тер.г. муниципальный округ Мещанский, б-р Цветной, д. 30, стр. 1, ком. 43 (Бизнес-центр)</t>
  </si>
  <si>
    <t>115114, г. Москва, вн.тер.г. муниципальный округ Даниловский, проезд 3-й Павелецкий, д. 7, к. 1, помещ. VIII/ЦОКОЛЬ, помещ./ком. VIII/1</t>
  </si>
  <si>
    <t>353236, Краснодарский кр., Северский район, пгт. Афипский, тер. Промзона</t>
  </si>
  <si>
    <t>629303, Ямало-Ненецкий АО, г.о. город Новый Уренгой, г Новый Уренгой, ул Имени Захаренкова В.С., д. 11</t>
  </si>
  <si>
    <t>196158, г. Санкт-Петербург, вн.тер.г. муниципальный округ Звездное, ш Пулковское, д. 28, литера А, помещ. 24-Н, Ч.П. 4-15, 47 (Офисное здание «Пулково Стар»)</t>
  </si>
  <si>
    <t>629309, Ямало-Ненецкий а.о., г. Новый Уренгой, микрорайон Славянский, д. 10</t>
  </si>
  <si>
    <t>141031, Московская обл, г.о. Мытищи, г Мытищи, ш Осташковское, д. 1</t>
  </si>
  <si>
    <t>197022, г. Санкт-Петербург, ул. Инструментальная, д. 3 литера Х офис 1</t>
  </si>
  <si>
    <t>141426, Московская обл., г. Химки, шоссе Шереметьевское, д. 15 пом. I</t>
  </si>
  <si>
    <t>301651, Тульская обл., Новомосковский район, г. Новомосковск, ул. Свободы, д. 8</t>
  </si>
  <si>
    <t>141426, Московская обл., г. Химки, шоссе Шереметьевское, д. ВЛ.31</t>
  </si>
  <si>
    <t>663013, Красноярский край, м.р-н Емельяновский, г.п. поселок Емельяново, пгт Емельяново, тер. Аэропорт Красноярск, стр. 2</t>
  </si>
  <si>
    <t>620025, Свердловская обл., г. Екатеринбург, ул. Спутников, д. 6</t>
  </si>
  <si>
    <t>368530, Дагестан респ., Карабудахкентский район, с. Карабудахкент, тер. Аэропорт</t>
  </si>
  <si>
    <t>663340, Красноярский край, г.о. город Норильск, г Норильск, тер Аэропорт Норильск, стр. 1</t>
  </si>
  <si>
    <t>628422, Ханты-Мансийский Автономный Округ - Югра, г. Сургут, ул. Аэрофлотская, д. 49/1</t>
  </si>
  <si>
    <t>633104, Новосибирская обл., г. Обь, проспект Мозжерина, д. 8А каб. 1</t>
  </si>
  <si>
    <t>238315, Калининградская обл., Гурьевский район, пос. Храброво</t>
  </si>
  <si>
    <t>127055, г. Москва, вн.тер.г. муниципальный округ Марьина роща, пер Перуновский, д. 3, стр. 2, этаж 2, помещ. 11</t>
  </si>
  <si>
    <t>141411, г. Москва, шоссе Международное, д. 28Б стр. 1 пом. 21 этаж 4 (Бизнес-парк «Skypoint»)</t>
  </si>
  <si>
    <t>125493, г. Москва, ул. Флотская, д. 5КА офис 505</t>
  </si>
  <si>
    <t>141400, Московская обл., г. Химки, тер. Шереметьево Международный Аэропорт, тер. Международный Аэропорт Шереметьево</t>
  </si>
  <si>
    <t>420088, Татарстан респ., г. Казань, ул. Академика Губкина, д. 30Г</t>
  </si>
  <si>
    <t>665814, Иркутская обл., г. Ангарск, квартал 2 (Южный Массив Тер.), стр. 100</t>
  </si>
  <si>
    <t>346782, Ростовская обл., г. Азов, ул. Кондаурова, д. 54</t>
  </si>
  <si>
    <t>677005, Саха /Якутия/ Респ, г.о. город Якутск, г Якутск, ул Курашова, д. 44А, этаж 8</t>
  </si>
  <si>
    <t>655004, Хакасия респ., г. Абакан, ул. Советская, д. 207</t>
  </si>
  <si>
    <t>652617, Кемеровская область - Кузбасс, г.о. Беловский, пгт Грамотеино, тракт Кузнецкий, зд. 2, соор. 1, офис 22</t>
  </si>
  <si>
    <t>199178, г. Санкт-Петербург, лн. 18-Я В.О., д. 29 литера З пом. 37-Н, ком. 9</t>
  </si>
  <si>
    <t>191040, г. Санкт-Петербург, ул. Пушкинская, д. 10</t>
  </si>
  <si>
    <t>142718, Московская обл., г. Видное, с. Булатниково, шоссе Симферопольское, д. 3 этаж / ком. 4/400</t>
  </si>
  <si>
    <t>141707, Московская обл., г. Долгопрудный, проезд Промышленный, д. 12</t>
  </si>
  <si>
    <t>192019, г. Санкт-Петербург, ул. Седова, д. 11 литера А пом. 14-Н офис 743</t>
  </si>
  <si>
    <t>352230, Краснодарский кр., Новокубанский район, станица Советская, ул. К.Либкнехта, д. 36</t>
  </si>
  <si>
    <t>115280, г. Москва, ул. Мастеркова, д. 1 кв. 192</t>
  </si>
  <si>
    <t>443022, Самарская обл., г. Самара, шоссе Заводское, д. 20</t>
  </si>
  <si>
    <t>689450, Чукотский окр., Билибинский район, тер. Месторождение Кекура</t>
  </si>
  <si>
    <t>107113, г. Москва, ул. 3-Я Рыбинская, д. 18 стр. 2</t>
  </si>
  <si>
    <t>105064, г. Москва, ул. Земляной Вал, д. 9 этаж 5 пом. II ком. 3 (Бизнес-центр «Citydel»)</t>
  </si>
  <si>
    <t>664003, Иркутская обл., г. Иркутск, ул. Киевская, д. 9А офис 305</t>
  </si>
  <si>
    <t>140105, Московская обл., г. Раменское, ул. Карла Маркса, д. 5/3 ком. 23</t>
  </si>
  <si>
    <t>670031, Бурятия респ., г. Улан-Удэ, ул. Павлова, д. 5 кв. 29</t>
  </si>
  <si>
    <t>672039, Забайкальский край, г.о. город Чита, г Чита, ул Проезжая, д. 46, помещ. 2, ком. 503</t>
  </si>
  <si>
    <t>674632, Забайкальский кр., Александрово-Заводский район, с. Бутунтай, тер. Тор Забайкалье</t>
  </si>
  <si>
    <t>664011, Иркутская обл., г. Иркутск, ул. Сухэ-Батора, д. 3 каб. 405</t>
  </si>
  <si>
    <t>664043, Иркутская обл., г. Иркутск, бульвар Рябикова, д. 67</t>
  </si>
  <si>
    <t>357700, Ставропольский кр., г. Кисловодск, ул. Промышленная, д. 24</t>
  </si>
  <si>
    <t>461630, Оренбургская обл., г. Бугуруслан, ул. Ленинградская, д. ЗД. 51</t>
  </si>
  <si>
    <t>125171, г. Москва, шоссе Ленинградское, д. 16А стр. 1 (Бизнес-центр "Метрополис")</t>
  </si>
  <si>
    <t>180091, Псковская обл, м.р-н Псковский, с.п. Логозовская волость, д Щиглицы, д. 1А, стр. 2</t>
  </si>
  <si>
    <t>199106, г. Санкт-Петербург, ул. Наличная, д. 5 литера А пом. 8Н</t>
  </si>
  <si>
    <t>192288, г. Санкт-Петербург, ул. Малая Бухарестская, д. 5 к. 2 кв. 39</t>
  </si>
  <si>
    <t>190103, г. Санкт-Петербург, ул. 10-Я Красноармейская, д. 22 литера А</t>
  </si>
  <si>
    <t>236039, Калининградская обл., г. Калининград, ул. А.Суворова, д. 40 пом. XII</t>
  </si>
  <si>
    <t>197198, г. Санкт-Петербург, проспект Добролюбова, д. 17 литера С пом. 11-Н</t>
  </si>
  <si>
    <t>195197, г. Санкт-Петербург, проспект Полюстровский, д. 54</t>
  </si>
  <si>
    <t>109428, г. Москва, проспект Рязанский, д. 24 к. 2 ком. / пом. 18/XIX</t>
  </si>
  <si>
    <t>198516, г. Санкт-Петербург, г. Петергоф, проспект Санкт-Петербургский, д. 60 литера А пом. 255</t>
  </si>
  <si>
    <t>195197, г. Санкт-Петербург, проспект Металлистов, д. 115 литера А офис 707</t>
  </si>
  <si>
    <t>197136, г. Санкт-Петербург, ул. Подковырова, д. 16/65 литера А пом. 5-Н</t>
  </si>
  <si>
    <t>676290, Амурская обл., г. Тында, ул. Школьная, д. 3 А</t>
  </si>
  <si>
    <t>125124, г. Москва, ул. Правды, д. 26 этаж / пом. / ком. 5/XXIII/1А (Бизнес-центр «Северное Сияние»)</t>
  </si>
  <si>
    <t>141503, Московская обл., г. Солнечногорск, туп. Бутырский, д. 1</t>
  </si>
  <si>
    <t>141013, Московская обл., г. Мытищи, ул. Угольная, д. 4А офис 5</t>
  </si>
  <si>
    <t>115230, г. Москва, шоссе Каширское, д. 3К2 стр. 4 пом. 34</t>
  </si>
  <si>
    <t>656037, Алтайский кр., г. Барнаул, ул. Бриллиантовая, д. 2</t>
  </si>
  <si>
    <t>656015, Алтайский кр., г. Барнаул, ул. Деповская, д. 19</t>
  </si>
  <si>
    <t>656004, Алтайский кр., г. Барнаул, ул. Водопроводная, д. 122</t>
  </si>
  <si>
    <t>656922, Алтайский кр., г. Барнаул, ул. Трактовая, д. 11 офис 301</t>
  </si>
  <si>
    <t>142300, Московская обл., г. Чехов, ул. Уездная, владение 18 стр. 1</t>
  </si>
  <si>
    <t>107497, г. Москва, ул. Монтажная, д. 9 стр. 1 Э 3 пом. IV К 13 офис 88 (Бизнес центр "Мандарин" )</t>
  </si>
  <si>
    <t>420012, Татарстан респ., г. Казань, ул. Некрасова, д. 9 офис 11</t>
  </si>
  <si>
    <t>117292, г. Москва, вн.тер.г. муниципальный округ Академический, пр-кт Нахимовский, д. 52/27, этаж 1, ком./офис Б/88</t>
  </si>
  <si>
    <t>119334, г. Москва, проспект Ленинский, д. 32 этаж / пом. / ком. 1/IВ/1</t>
  </si>
  <si>
    <t>614025, Пермский край, г.о. Пермский, г Пермь, ул Героев Хасана, д. 104</t>
  </si>
  <si>
    <t>125167, г. Москва, вн.тер.г. муниципальный округ Хорошевский, пр-кт Ленинградский, д. 37А, к. 4, этаж/помещ./ком. 4/XVI/45</t>
  </si>
  <si>
    <t>121099, г. Москва, пер. 2-Й Смоленский, д. 1/4 этаж 4</t>
  </si>
  <si>
    <t>197229, г. Санкт-Петербург, ул. 3-Я Конная Лахта, д. 38 литера А</t>
  </si>
  <si>
    <t>123242, г. Москва, бульвар Новинский, д. 31 этаж / пом. / ком. 8/I/41 (Торгово-офисный центр «Новинский пассаж»)</t>
  </si>
  <si>
    <t>142116, Московская обл, г.о. Подольск, п Сельхозтехника, ш Домодедовское, д. 20К, соор. 1, рабочее место 9</t>
  </si>
  <si>
    <t>301032, Тульская обл., Ясногорский район, г. Ясногорск, ул. Заводская, д. 3 литера 53</t>
  </si>
  <si>
    <t>109431, г. Москва, ул. Привольная, д. 70 к. 1 этаж 2 пом. XII ком. 3Л</t>
  </si>
  <si>
    <t>111141, г. Москва, вн.тер.г. муниципальный округ Перово, пр-кт Зелёный, д. 2, этаж 4, ком. 2</t>
  </si>
  <si>
    <t>236029, Калининградская обл., г. Калининград, ул. А.Невского, д. 205</t>
  </si>
  <si>
    <t>115162, г. Москва, ул. Шаболовка, д. 31 стр. 5 (Бизнес-парк «Шаболовка-31 строение 5»)</t>
  </si>
  <si>
    <t>420107, Татарстан респ., г. Казань, ул. Павлюхина, д. 57 офис 203</t>
  </si>
  <si>
    <t>450015, Башкортостан респ., г. Уфа, ул. Карла Маркса, д. 35</t>
  </si>
  <si>
    <t>452683, Башкортостан респ., г. Нефтекамск, ул. Автозаводская, д. 1 Ю</t>
  </si>
  <si>
    <t>450077, Башкортостан респ., г. Уфа, ул. Ленина, д. 30</t>
  </si>
  <si>
    <t>452173, Башкортостан респ., Чишминский район, рабочий пос. Чишмы, ул. Мира, д. 1</t>
  </si>
  <si>
    <t>450078, Башкортостан респ., г. Уфа, ул. Кирова, д. 128А</t>
  </si>
  <si>
    <t>453803, Башкортостан респ., Хайбуллинский район, д. Петропавловский, ул. Юбилейная, д. 9/1</t>
  </si>
  <si>
    <t>452740, Башкортостан респ., Благоварский район, с. Языково, ул. Пушкина, д. 19</t>
  </si>
  <si>
    <t>450077, Башкортостан Респ, г.о. город Уфа, г Уфа, пл Верхнеторговая, д. 4, офис 912</t>
  </si>
  <si>
    <t>450096, Башкортостан респ., г. Уфа, ул. Комсомольская, д. 126</t>
  </si>
  <si>
    <t>450077, Башкортостан респ., г. Уфа, ул. Ленина, д. 13</t>
  </si>
  <si>
    <t>450112, Башкортостан респ., г. Уфа, ул. Ульяновых, д. 59</t>
  </si>
  <si>
    <t>450078, Башкортостан респ., г. Уфа, ул. Ветошникова, д. 97</t>
  </si>
  <si>
    <t>462404, Оренбургская обл., г. Орск, ул. Нефтяников, д. 12 пом. 1</t>
  </si>
  <si>
    <t>143040, Московская обл., Одинцовский район, г. Голицыно, тер. Минское Шоссе 43 Км, д. 1</t>
  </si>
  <si>
    <t>454010, Челябинская обл., г. Челябинск, ул. Енисейская, д. 52</t>
  </si>
  <si>
    <t>142400, Московская обл, Ногинск г, г.о. Богородский, тер Ногинск-Технопарк, д. 2</t>
  </si>
  <si>
    <t>450071, Башкортостан респ., г. Уфа, ул. Ростовская, д. 18</t>
  </si>
  <si>
    <t>117418, г. Москва, вн.тер.г. муниципальный округ Черемушки, ул Зюзинская, д. 6, к. 2, помещ. II, ком 22</t>
  </si>
  <si>
    <t>354207, Краснодарский край, г.о. город-курорт Сочи, г Сочи, ул Лучезарная, д. 16, помещ. 44</t>
  </si>
  <si>
    <t>450059, Башкортостан респ., г. Уфа, ул. Рихарда Зорге, д. 3</t>
  </si>
  <si>
    <t>175450, Новгородская обл., Крестецкий район, д. Новое Рахино к. 106А</t>
  </si>
  <si>
    <t>450077, Башкортостан Респ, г.о. город Уфа, г Уфа, ул Цюрупы, д. 78, этаж 1</t>
  </si>
  <si>
    <t>129164, г. Москва, пер. Зубарев, д. 15 к. 1 этаж 3, пом. 1, ком. 67Г</t>
  </si>
  <si>
    <t>194021, г. Санкт-Петербург, вн.тер.г. муниципальный округ Пискаревка, ул Политехническая, д. 9, литера Б, офис 501-514, 516-520 (Бизнес-центр на Ул. Политехническая, 9Б)</t>
  </si>
  <si>
    <t>393250, Тамбовская обл., г. Рассказово, ул. Маяковского, д. 4</t>
  </si>
  <si>
    <t>123022, г. Москва, ул. Сергея Макеева, д. 13 (Бизнес-центр «Marr Plaza»)</t>
  </si>
  <si>
    <t>125212, г. Москва, ул. Адмирала Макарова, д. 6 стр. 13 этаж 1 часть помещения 6 (Бизнес-центр "Невский причал")</t>
  </si>
  <si>
    <t>398010, Липецкая обл., Грязинский район, г. Грязи, тер. Оэз Ппт Липецк, стр. 27 к. 6</t>
  </si>
  <si>
    <t>649000, Алтай респ., г. Горно-Алтайск, ул. Чорос-Гуркина Г.И., д. 39/12 пом. 303</t>
  </si>
  <si>
    <t>109004, г. Москва, ул. Станиславского, д. 21 стр. 3 (Бизнес-центр «Фабрика Станиславского»)</t>
  </si>
  <si>
    <t>601021, Владимирская обл., Киржачский район, д. Федоровское, ул. Сельская, д. 49</t>
  </si>
  <si>
    <t>442930, Пензенская обл., Бековский район, пос. Сахзавод, ул. Заводская, д. 16</t>
  </si>
  <si>
    <t>309290, Белгородская обл., г. Шебекино, ул. Дачная, д. 1</t>
  </si>
  <si>
    <t>682449, Хабаровский край, м.р-н Николаевский, г.п. рабочий поселок Многовершинный, рп Многовершинный, ул Светлая, д. 25, этаж/кабинет 4/420</t>
  </si>
  <si>
    <t>140053, Московская обл., г. Котельники, проезд Яничкин, д. 4</t>
  </si>
  <si>
    <t>413112, Саратовская обл., г. Энгельс, ул. Томская, д. 49</t>
  </si>
  <si>
    <t>308015, Белгородская обл., г. Белгород, ул. Везельская, д. 81А офис 301</t>
  </si>
  <si>
    <t>308009, Белгородская обл, г.о. город Белгород, г Белгород, ул Производственная, д. 4, этаж 2, помещ. 1-20</t>
  </si>
  <si>
    <t>308015, Белгородская обл., г. Белгород, ул. Сумская, площадка ЦЕМЗАВОДА</t>
  </si>
  <si>
    <t>308009, Белгородская обл., г. Белгород, ул. Николая Чумичова, д. 37</t>
  </si>
  <si>
    <t>308006, Белгородская обл., г. Белгород, ул. Корочанская, д. 85А</t>
  </si>
  <si>
    <t>309300, Белгородская обл., Ракитянский район, пос. Пролетарский, шоссе Борисовское, д. 1</t>
  </si>
  <si>
    <t>308024, Белгородская обл., г. Белгород, ул. Мокроусова, д. 23А офис 517</t>
  </si>
  <si>
    <t>452000, Башкортостан респ., Белебеевский район, г. Белебей, ул. Восточная, д. 78</t>
  </si>
  <si>
    <t>426004, Удмуртская респ., г. Ижевск, ул. Пастухова, д. 100</t>
  </si>
  <si>
    <t>426004, Удмуртская респ., г. Ижевск, ул. Пастухова, д. 98 к. А</t>
  </si>
  <si>
    <t>652600, Кемеровская область - Кузбасс, г. Белово, ул. Октябрьская, д. 31 к. А</t>
  </si>
  <si>
    <t>140301, Московская обл., г. Егорьевск, ул. Промышленная, д. 9</t>
  </si>
  <si>
    <t>308009, Белгородская обл., г. Белгород, ул. Михайловское Шоссе, д. 14</t>
  </si>
  <si>
    <t>127015, г. Москва, ул. Большая Новодмитровская, д. 23 стр. 3 этаж 8 ком. 1</t>
  </si>
  <si>
    <t>308001, Белгородская обл., г. Белгород, ул. 3 Интернационала, д. 40</t>
  </si>
  <si>
    <t>119454, г. Москва, проспект Вернадского, д. 24 офис 3</t>
  </si>
  <si>
    <t>665479, Иркутская обл., Усольский район, рабочий пос. Белореченский</t>
  </si>
  <si>
    <t>629830, Ямало-Ненецкий а.о., г. Губкинский, тер. Панель 8, владение 52 стр. 2</t>
  </si>
  <si>
    <t>119180, г. Москва, ул. Большая Полянка, д. 42 стр. 1 офис 418</t>
  </si>
  <si>
    <t>127015, г. Москва, ул. Новодмитровская, д. 5А стр. 1 этаж 18 офис 1804 (Бизнес-центр на Ул. Новодмитровская, 5Ас1)</t>
  </si>
  <si>
    <t>143180, Московская обл., г. Звенигород, ул. Пролетарская, д. 40А пом. 112</t>
  </si>
  <si>
    <t>692519, Приморский кр., г. Уссурийск, ул. Калинина, д. 39</t>
  </si>
  <si>
    <t>650025, Кемеровская область - Кузбасс, г. Кемерово, ул. Рукавишникова, д. 10А</t>
  </si>
  <si>
    <t>143090, Московская обл., г. Краснознаменск, ул. Связистов, д. 12А ком. №18</t>
  </si>
  <si>
    <t>680000, Хабаровский кр., г. Хабаровск, ул. Муравьева-Амурского, д. 4 офис 601. 512</t>
  </si>
  <si>
    <t>143180, Московская обл., г. Звенигород, ул. Пролетарская, д. 40А</t>
  </si>
  <si>
    <t>420111, Татарстан Респ, г.о. город Казань, г Казань, ул Баумана, д. 9А, помещ. 15</t>
  </si>
  <si>
    <t>308006, Белгородская обл., г. Белгород, ул. Волчанская, д. 165</t>
  </si>
  <si>
    <t>309273, Белгородская обл., Шебекинский район, с. Белянка, ул. Комсомольская, д. ЗД. 57</t>
  </si>
  <si>
    <t>123001, г. Москва, ул. Садовая-Кудринская, д. 32 стр. 1 пом. XI (Бизнес-центр «Бронная Плаза»)</t>
  </si>
  <si>
    <t>675028, Амурская обл., г. Благовещенск, ул. Студенческая, д. 19</t>
  </si>
  <si>
    <t>364020, Чеченская Респ, г.о. город Грозный, г Грозный, р-н Ахматовский, ул Н.А.Назарбаева, д. 87/9, этаж/офис 1/36</t>
  </si>
  <si>
    <t>625019, Тюменская обл., г. Тюмень, тракт Старый Тобольский 2 Км, д. 8А</t>
  </si>
  <si>
    <t>390000, Рязанская Область обл., г. Рязань, ул. Право-Лыбедская, д. 40 офис Н29 (Бизнес-центр «Капитал»)</t>
  </si>
  <si>
    <t>115093, г. Москва, пер. 1-Й Щипковский, д. 1 этаж 3 пом. I ком. 8,9</t>
  </si>
  <si>
    <t>620014, Свердловская обл., г. Екатеринбург, ул. Шейнкмана, д. 75</t>
  </si>
  <si>
    <t>350007, Краснодарский кр., г. Краснодар, ул. Им. Захарова, д. 25 офис 1</t>
  </si>
  <si>
    <t>628011, Ханты-Мансийский Автономный Округ - Югра, г. Ханты-Мансийск, ул. Энгельса, д. 60</t>
  </si>
  <si>
    <t>623700, Свердловская обл., г. Березовский, ул. Березовский Тракт, д. 1</t>
  </si>
  <si>
    <t>606440, Нижегородская обл., г. Бор, ул. Кольцова, д. 71</t>
  </si>
  <si>
    <t>125171, г. Москва, шоссе Ленинградское, д. 16А стр. 3</t>
  </si>
  <si>
    <t>689100, Чукотский окр., Анадырский район, пгт. Беринговский, ул. Мандрикова, д. 3</t>
  </si>
  <si>
    <t>125438, г. Москва, ул. Автомоторная, д. 4А стр. 21 этаж 2 пом. I ком. 2 (Бизнес-центр «Автомоторная 4»)</t>
  </si>
  <si>
    <t>248926, Калужская обл., г. Калуга, проезд 2-Й Автомобильный, д. 5</t>
  </si>
  <si>
    <t>123317, г. Москва, набережная Пресненская, д. 10 (Бизнес-центр «Naberezhnaya Tower»)</t>
  </si>
  <si>
    <t>390044, Рязанская обл., г. Рязань, ул. Зафабричная, д. 14 офис 15</t>
  </si>
  <si>
    <t>121609, г. Москва, вн.тер.г. муниципальный округ Крылатское, ш Рублёвское, д. 40, к. 1, этаж 1, помещ. / ком. I / 34</t>
  </si>
  <si>
    <t>197022, г. Санкт-Петербург, вн.тер.г. муниципальный округ Аптекарский остров, наб Аптекарская, д. 20, литера А, офис 227</t>
  </si>
  <si>
    <t>620143, Свердловская обл., г. Екатеринбург, ул. Уральских Рабочих, д. 28 пом. 85</t>
  </si>
  <si>
    <t>450071, Башкортостан респ., г. Уфа, ул. 50 Лет Ссср, д. 47</t>
  </si>
  <si>
    <t>141701, Московская обл., г. Долгопрудный, проезд Строителей, д. 1</t>
  </si>
  <si>
    <t>129110, г. Москва, вн.тер.г. муниципальный округ Мещанский, ул Средняя Переяславская, д. 27, стр. 1, помещ. 1Н</t>
  </si>
  <si>
    <t>344011, Ростовская обл., г. Ростов-На-Дону, пер. Доломановский, д. 70 к. д. , этаж 7 пом. 2</t>
  </si>
  <si>
    <t>308019, Белгородская обл., г. Белгород, ул. Магистральная, д. 55</t>
  </si>
  <si>
    <t>309341, Белгородская обл., Борисовский район, пос. Борисовка, ул. Новоборисовская, д. 24</t>
  </si>
  <si>
    <t>606440, Нижегородская обл., г. Бор, шоссе Стеклозаводское, д. 1 литера А6 этаж 2 офис 207</t>
  </si>
  <si>
    <t>194100, г. Санкт-Петербург, проспект Лесной, д. 64 литера А</t>
  </si>
  <si>
    <t>196084, г. Санкт-Петербург, вн.тер.г. муниципальный округ Московская застава, пр-кт Московский, д. 94, литера А, помещ. 10-Н</t>
  </si>
  <si>
    <t>606425, Нижегородская обл., Балахнинский район, рабочий пос. Гидроторф, ул. Административная, д. 17</t>
  </si>
  <si>
    <t>123376, г. Москва, ул. Красная Пресня, д. 28 пом. 517</t>
  </si>
  <si>
    <t>119034, г. Москва, ул. Пречистенка, д. 28 кв. 2</t>
  </si>
  <si>
    <t>108830, г. Москва, Вороновское пос., квартал 830, владение 8Б стр. 5</t>
  </si>
  <si>
    <t>150048, Ярославская обл., г. Ярославль, шоссе Силикатное, д. 15</t>
  </si>
  <si>
    <t>117105, г. Москва, вн.тер.г. муниципальный округ Нагатино-Садовники, проезд Нагатинский 1-й, д. 6, стр. 1</t>
  </si>
  <si>
    <t>127006, г. Москва, ул. Краснопролетарская, д. 2/4 стр. 13 ком. 3 этаж 2 (Бизнес-центр «Garden Ring Building»)</t>
  </si>
  <si>
    <t>141407, Московская обл., г. Химки, ул. Бабакина, д. 5-А этаж / пом. 7/707</t>
  </si>
  <si>
    <t>109341, г. Москва, ул. Люблинская, д. 151 пом. 328/2 (Бизнес-центр "Марьино")</t>
  </si>
  <si>
    <t>101000, г. Москва, вн.тер.г. муниципальный округ Красносельский, пер Милютинский, д. 13, стр. 1, этаж 5, помещение/комната I/20</t>
  </si>
  <si>
    <t>123104, г. Москва, бульвар Тверской, д. 13 стр. 1 пом. 459, этаж 4</t>
  </si>
  <si>
    <t>455013, Челябинская обл., г. Магнитогорск, ул. Сульфидная, д. 1 стр. 5 каб. 7</t>
  </si>
  <si>
    <t>683031, Камчатский кр., г. Петропавловск-Камчатский, ул. Топоркова, д. 9/6 кв. 1</t>
  </si>
  <si>
    <t>105066, г. Москва, ул. Ольховская, д. 4 к. 2 офис 515</t>
  </si>
  <si>
    <t>344093, Ростовская обл., г. Ростов-На-Дону, ул. Днепропетровская, д. 81/1</t>
  </si>
  <si>
    <t>127273, г. Москва, вн.тер.г. муниципальный округ Отрадное, ул Отрадная, д. 2Б, стр. 9, эт./помещ. 2/15 (Бизнес-центр «Фаза II здание Б»)</t>
  </si>
  <si>
    <t>450057, Башкортостан респ., г. Уфа, ул. Пушкина, д. 109 офис 1</t>
  </si>
  <si>
    <t>155523, Ивановская обл., Фурмановский район, д. Бакшеево, д. 23</t>
  </si>
  <si>
    <t>119633, г. Москва, ул. Новоорловская, д. 3 стр. 1</t>
  </si>
  <si>
    <t>109044, г. Москва, пер. 4-Й Крутицкий, д. 14</t>
  </si>
  <si>
    <t>446370, Самарская обл., Красноярский район, с. Красный Яр, ул. Дорожная, д. 25Б ком. 29</t>
  </si>
  <si>
    <t>115114, г. Москва, вн.тер.г. муниципальный округ Даниловский, ул Кожевническая, д. 14, стр. 5, этаж 3, помещ. 17 (Бизнес-центр «Black and White 14с5»)</t>
  </si>
  <si>
    <t>105064, г. Москва, пер. Нижний Сусальный, д. 5 стр. 5А офис</t>
  </si>
  <si>
    <t>446172, Самарская обл., Пестравский район, с. Марьевка, ул. Советская, д. 1В</t>
  </si>
  <si>
    <t>344116, Ростовская обл., г. Ростов-На-Дону, ул. 2-Я Володарского, д. 76/23А корп. А1 офис А103</t>
  </si>
  <si>
    <t>199106, г. Санкт-Петербург, проспект Большой В.О., д. 68 литера А</t>
  </si>
  <si>
    <t>197022, г. Санкт-Петербург, вн.тер.г. муниципальный округ Аптекарский остров, ул Профессора Попова, д. 23, литера Е, помещ. 3Н/5Н, ком. 208 (Деловой квартал «Гайот корпус Е»)</t>
  </si>
  <si>
    <t>125599, г. Москва, ул. Бусиновская Горка, д. 2 стр. 2 этаж 6 пом. XIII ком. 1 (Административное здание)</t>
  </si>
  <si>
    <t>109651, г. Москва, вн.тер.г. муниципальный округ Марьино, ул Перерва, д. 19, стр. 3, ком. 34</t>
  </si>
  <si>
    <t>248903, Калужская обл., г. Калуга, с. Росва, тер. Биотехнологический Комплекс-Росва (Индустриальный Парк Росва Тер), БИОТЕХНОЛОГИЧЕСКИЙ КОМПЛЕКС-РОСВА. КОМПЛЕКС ГЛУБО</t>
  </si>
  <si>
    <t>115432, г. Москва, проспект Андропова, д. 18 к. 6 пом. XI ком. 7</t>
  </si>
  <si>
    <t>344064, Ростовская обл., г. Ростов-На-Дону, ул. Вавилова, З д. 63 д стр. 1</t>
  </si>
  <si>
    <t>153000, Ивановская обл., г. Иваново, ул. Смирнова, д. 105Б пом. 67</t>
  </si>
  <si>
    <t>430030, Мордовия респ., г. Саранск, ул. Васенко, д. 15А</t>
  </si>
  <si>
    <t>121596, г. Москва, ул. Горбунова, д. 2 стр. 3 этаж / пом. / ком. 9/II/27 (Бизнес центр "Гранд Сетунь Плаза")</t>
  </si>
  <si>
    <t>109147, г. Москва, ул. Таганская, д. 13 стр. 3 офис 1</t>
  </si>
  <si>
    <t>125047, г. Москва, ул. Гашека, д. 6 этаж 9 (Бизнес-центр «Ducat Place 3»)</t>
  </si>
  <si>
    <t>664043, Иркутская обл., г. Иркутск, ул. Ракитная, д. 20</t>
  </si>
  <si>
    <t>453256, Башкортостан респ., г. Салават, ул. Молодогвардейцев, д. 60 к. 1</t>
  </si>
  <si>
    <t>141142, Московская обл., г. Лосино-Петровский, пос. Биокомбината, д. 6Б пом. 4/2</t>
  </si>
  <si>
    <t>109316, г. Москва, вн.тер.г. муниципальный округ Печатники, пр-кт Волгоградский, д. 42, к. 5, помещ. I, ком. 115</t>
  </si>
  <si>
    <t>140005, Московская обл., г. Люберцы, ул. Комсомольская, д. 15А этаж / пом. 10/7 (Бизнес-центр «Легион»)</t>
  </si>
  <si>
    <t>107113, г. Москва, ул. Маленковская, д. 32 стр. 3 (Бизнес-центр "Сокольники Плаза")</t>
  </si>
  <si>
    <t>123290, г. Москва, шоссе Шелепихинское, д. 11 к. 2 этаж / пом. / ком. ЦОКОЛЬ/I/18</t>
  </si>
  <si>
    <t>109316, г. Москва, проспект Волгоградский, д. 43 к. 3 этаж 1 пом. II ком. 80</t>
  </si>
  <si>
    <t>115230, г. Москва, вн.тер.г. муниципальный округ Нагорный, проезд Электролитный, д. 5Б, помещ. 39/9</t>
  </si>
  <si>
    <t>142700, Московская обл., г. Видное, шоссе Белокаменное, д. 20 СКЛАД/ пом. 38</t>
  </si>
  <si>
    <t>107014, г. Москва, вн.тер.г. муниципальный округ Сокольники, ул Большая Остроумовская, д. 12, помещ. IV, ком. 9</t>
  </si>
  <si>
    <t>416109, Астраханская обл., Наримановский район, пос. Трусово, ул. Северная, д. 7</t>
  </si>
  <si>
    <t>123298, г. Москва, ул. Народного Ополчения, д. 40 к. 2</t>
  </si>
  <si>
    <t>174411, Новгородская обл., Боровичский район, г. Боровичи, ул. Международная, д. 1</t>
  </si>
  <si>
    <t>143903, Московская обл., г. Балашиха, ул. Белякова, д. 2</t>
  </si>
  <si>
    <t>656922, Алтайский кр., г. Барнаул, ул. Трактовая, д. 3 д пом. 1</t>
  </si>
  <si>
    <t>646800, Омская обл., Таврический район, рабочий пос. Таврическое, ул. Аграрная, д. 1 пом. 1</t>
  </si>
  <si>
    <t>397033, Воронежская обл., Эртильский район, г. Эртиль, ул. Феоктистова, д. 21А офис 1</t>
  </si>
  <si>
    <t>125315, г. Москва, вн.тер.г. муниципальный округ Аэропорт, пр-кт Ленинградский, д. 70</t>
  </si>
  <si>
    <t>601213, Владимирская обл., Собинский район, тер. Завод Бакулин Моторс Групп, ЗД. Б/Н этаж 1 пом. 1</t>
  </si>
  <si>
    <t>656063, Алтайский кр., г. Барнаул, проспект Космонавтов, д. 63</t>
  </si>
  <si>
    <t>675000, Амурская обл., г. Благовещенск, шоссе Игнатьевское, д. 22</t>
  </si>
  <si>
    <t>308032, Белгородская обл., г. Белгород, ул. Привольная, д. 5</t>
  </si>
  <si>
    <t>197046, г. Санкт-Петербург, вн.тер.г. муниципальный округ Посадский, наб Петроградская, д. 20, литера А, помещ. 110, каб. 212А</t>
  </si>
  <si>
    <t>241027, Брянская обл., г. Брянск, ул. 50-Й Армии, д. 2Б</t>
  </si>
  <si>
    <t>141080, Московская обл., г. Королёв, проспект Космонавтов, д. 27 пом. V ком. 3</t>
  </si>
  <si>
    <t>432072, Ульяновская обл., г. Ульяновск, проезд Инженерный 11-Й, д. 52 стр. 1</t>
  </si>
  <si>
    <t>243111, Брянская обл, м.р-н Клинцовский, с.п. Первомайское, п Первое Мая, ул Скачковская, зд. 51А</t>
  </si>
  <si>
    <t>397727, Воронежская обл., Бобровский район, с. Тройня, ул. Молодежная, д. 25</t>
  </si>
  <si>
    <t>129337, г. Москва, ул. Вешних Вод, д. 14 пом. I, ком. Б 13, 3 этаж</t>
  </si>
  <si>
    <t>623532, Свердловская обл., Богдановичский район, г. Богданович, ул. Степана Разина, д. 64</t>
  </si>
  <si>
    <t>663412, Красноярский кр., Мотыгинский район, пос. Новоангарск, ул. 1-Й Квартал, д. 1</t>
  </si>
  <si>
    <t>, Московская обл, г.о. Щёлково, тер. Транспортная, стр. 3, помещ. 1</t>
  </si>
  <si>
    <t>624449, Свердловская обл., г. Краснотурьинск, ул. Октябрьская, д. 28</t>
  </si>
  <si>
    <t>663491, Красноярский кр., Кежемский район, г. Кодинск, ул. Промышленная, д. ЗД. 3</t>
  </si>
  <si>
    <t>143440, Московская обл., Красногорский район, пос. Путилково, тер. Гринвуд стр. 7 пом. 110</t>
  </si>
  <si>
    <t>127018, г. Москва, проезд Марьиной Рощи 3-Й, д. 40 стр. 1 офис 101</t>
  </si>
  <si>
    <t>633340, Новосибирская обл., Болотнинский район, г. Болотное, ул. Комитетская, д. 8</t>
  </si>
  <si>
    <t>443099, Самарская обл, г.о. Самара, вн.р-н Самарский, г Самара, ул Степана Разина, д. 126, этаж 1, ком. 3</t>
  </si>
  <si>
    <t>191025, г. Санкт-Петербург, проспект Невский, д. 114-116 литера А</t>
  </si>
  <si>
    <t>353211, Краснодарский кр., Динской район, станица Новотитаровская, ул. Крайняя, д. 18 к. Б</t>
  </si>
  <si>
    <t>188506, Ленинградская обл, м.р-н Ломоносовский, г.п. Виллозское, д Малое Карлино, ш Пушкинское, д. 41А, стр. 1</t>
  </si>
  <si>
    <t>344091, Ростовская обл, г.о. город Ростов-на-Дону, г Ростов-на-Дону, ул Пескова, зд. 1, стр. 1, помещ. 206</t>
  </si>
  <si>
    <t>143154, Московская обл., Рузский район, д. Марьино; Д/О Борец</t>
  </si>
  <si>
    <t>108811, г. Москва, Московский пос., квартал 32, владение 17А стр. 1 этаж 3 пом. 104</t>
  </si>
  <si>
    <t>397340, Воронежская обл., Поворинский район, с. Пески, ул. Пролетарская, д. 59</t>
  </si>
  <si>
    <t>397164, Воронежская обл., Борисоглебский район, г. Борисоглебск, ул. Проходная, д. 4А</t>
  </si>
  <si>
    <t>620075, Свердловская обл., г. Екатеринбург, ул. Малышева, д. 51 офис 37/05 (Бизнес-центр «Высоцкий»)</t>
  </si>
  <si>
    <t>356000, Ставропольский кр., Новоалександровский район, г. Новоалександровск, ул. Ленина, д. 26</t>
  </si>
  <si>
    <t>115201, г. Москва, ул. Котляковская, д. 3 стр. 1 пом. XXVI,ЧЕРДАК, каб. 15А</t>
  </si>
  <si>
    <t>620041, Свердловская обл., г. Екатеринбург, ул. Смазчиков, д. 2 кв. 28</t>
  </si>
  <si>
    <t>107497, г. Москва, ул. Иркутская, д. 11 к. 1 этаж 7 пом. 37 ком. 33</t>
  </si>
  <si>
    <t>656922, Алтайский кр., г. Барнаул, ул. Трактовая, д. 35</t>
  </si>
  <si>
    <t>659445, Алтайский кр., Целинный район, с. Бочкари, ул. Молодежная, д. 1А</t>
  </si>
  <si>
    <t>683016, Камчатский край, г.о. Петропавловск-Камчатский, г Петропавловск-Камчатский, пер Чуркина, д. 12</t>
  </si>
  <si>
    <t>242300, Брянская обл., Брасовский район, рабочий пос. Локоть, ул. Дзержинского, д. 2</t>
  </si>
  <si>
    <t>679016, Еврейская Аобл, г.о. город Биробиджан, г Биробиджан, ул Индустриальная, д. 2В</t>
  </si>
  <si>
    <t>115114, г. Москва, вн.тер.г. муниципальный округ Замоскворечье, ул Летниковская, д. 2, стр. 3, этаж/помещ. 8/I, ком. 1</t>
  </si>
  <si>
    <t>600026, Владимирская обл., г. Владимир, ул. Куйбышева, д. 3</t>
  </si>
  <si>
    <t>123001, г. Москва, пер. Мамоновский, д. 4 стр. 1 этаж / пом. / ком. 1/II/1-13,13А</t>
  </si>
  <si>
    <t>142701, Московская обл., г. Видное, ул. Ольховая, д. 9 пом. 11</t>
  </si>
  <si>
    <t>140060, Московская обл., г. Люберцы, рабочий пос. Октябрьский, ул. Дорожная, д. 10</t>
  </si>
  <si>
    <t>119146, г. Москва, проспект Комсомольский, д. 7 стр. 2 этаж 3 ком. 8</t>
  </si>
  <si>
    <t>119435, г. Москва, вн.тер.г. муниципальный округ Хамовники, пер Большой Саввинский, д. 12, стр. 16</t>
  </si>
  <si>
    <t>413856, Саратовская обл., г. Балаково</t>
  </si>
  <si>
    <t>241903, Брянская обл., г. Брянск, рабочий пос. Большое Полпино, пер. Октябрьский, д. 2-А</t>
  </si>
  <si>
    <t>625003, Тюменская обл., г. Тюмень, ул. Кирова, д. 40 этаж 2</t>
  </si>
  <si>
    <t>241050, Брянская обл., г. Брянск, ул. Дуки, д. 80 офис 414</t>
  </si>
  <si>
    <t>241050, Брянская обл., г. Брянск, ул. Красноармейская, д. 138 этаж 3, помещения 3,4</t>
  </si>
  <si>
    <t>242221, Брянская обл., Трубчевский район, пос. Прогресс, ул. Белгородская, д. 2</t>
  </si>
  <si>
    <t>241050, Брянская обл., г. Брянск, проспект Станке Димитрова, д. 98</t>
  </si>
  <si>
    <t>241050, Брянская обл., г. Брянск, ул. Дуки, д. 78</t>
  </si>
  <si>
    <t>241020, Брянская обл., г. Брянск, проспект Московский, д. 86</t>
  </si>
  <si>
    <t>105118, г. Москва, вн.тер.г. муниципальный округ Перово, ш Энтузиастов, д. 34, помещ. 8/2, комн./офис 15/1Д (Бизнес-центр «StreamLine Plaza»)</t>
  </si>
  <si>
    <t>241050, Брянская обл., г. Брянск, проспект Станке Димитрова, д. 49А</t>
  </si>
  <si>
    <t>241050, Брянская обл, г.о. город Брянск, г Брянск, пр-кт Станке Димитрова, д. 5В</t>
  </si>
  <si>
    <t>618400, Пермский кр., г. Березники, ул. Новосодовая, д. 19</t>
  </si>
  <si>
    <t>628680, Ханты-Мансийский Автономный Округ - Югра, г. Мегион, ул. Александра Жагрина, д. 13</t>
  </si>
  <si>
    <t>450112, Башкортостан респ., г. Уфа, ул. Цветочная, д. 3 к. 2</t>
  </si>
  <si>
    <t>119361, г. Москва, пер. 5-Й Очаковский, д. 3 этаж 1 пом. III ком. 19</t>
  </si>
  <si>
    <t>197375, г. Санкт-Петербург, ул. Маршала Новикова, д. 28 к. 2 литера А</t>
  </si>
  <si>
    <t>198515, г. Санкт-Петербург, г. Петергоф, ул. Карла Сименса, д. 1 литера А</t>
  </si>
  <si>
    <t>198035, г. Санкт-Петербург, ул. Межевой Канал, д. 8 литера А пом. 7Н</t>
  </si>
  <si>
    <t>119421, г. Москва, вн.тер.г. муниципальный округ Обручевский, пр-кт Ленинский, д. 111, к. 1, помещ. 24Н, офис 291</t>
  </si>
  <si>
    <t>125445, г. Москва, ул. Смольная, д. 24А этаж 10 часть пом. №3 (Бизнес-центр «Меридиан»)</t>
  </si>
  <si>
    <t>117292, г. Москва, вн.тер.г. муниципальный округ Академический, пр-кт 60-летия Октября, д. 10А, помещ. 1/5 (Бизнес-центр «Принципал Плаза»)</t>
  </si>
  <si>
    <t>143900, Московская обл., г. Балашиха, ул. Проектная (Гагарина Мкр.), д. 12 пом. 1, этаж 1</t>
  </si>
  <si>
    <t>344002, Ростовская обл., г. Ростов-На-Дону, ул. Большая Садовая, д. 63</t>
  </si>
  <si>
    <t>194100, г. Санкт-Петербург, ул. Новолитовская, д. 37А литера А пом. 1Н,2Н</t>
  </si>
  <si>
    <t>422430, Татарстан респ., Буинский район, г. Буинск, ул. Строительная, д. 6</t>
  </si>
  <si>
    <t>603089, Нижегородская обл., г. Нижний Новгород, ул. Рыбинская, д. 58</t>
  </si>
  <si>
    <t>191040, г. Санкт-Петербург, проспект Лиговский, д. 43-45 литера А пом. 19-Н офис 441</t>
  </si>
  <si>
    <t>428022, Чувашская Республика - Чувашия, г. Чебоксары, проезд Соляное, д. 7</t>
  </si>
  <si>
    <t>121471, г. Москва, ул. Рябиновая, д. 26 стр. 2 этаж 7 ком. 2 (Бизнес-центр "West Plaza")</t>
  </si>
  <si>
    <t>398007, Липецкая обл, г.о. город Липецк, г Липецк, ул Ковалева, влд. 125А, офис 17</t>
  </si>
  <si>
    <t>614068, Пермский кр., г. Пермь, ул. Монастырская, д. 175 этаж 2</t>
  </si>
  <si>
    <t>420108, Татарстан респ., г. Казань, ул. Портовая, д. 23 офис 1</t>
  </si>
  <si>
    <t>694914, Сахалинская обл., Углегорский район, с. Бошняково, ул. Центральная, д. 20</t>
  </si>
  <si>
    <t>119002, г. Москва, ул. Арбат, д. 29</t>
  </si>
  <si>
    <t>453821, Башкортостан респ., Хайбуллинский район, с. Бурибай, ул. Горького, д. 49</t>
  </si>
  <si>
    <t>450029, Башкортостан респ., г. Уфа, ул. Юбилейная, д. 4/1</t>
  </si>
  <si>
    <t>169711, Коми респ., г. Усинск, ул. Комсомольская, д. 23</t>
  </si>
  <si>
    <t>629306, Ямало-Ненецкий а.о., г. Новый Уренгой, ул. Магистральная, д. 30 стр. 1</t>
  </si>
  <si>
    <t>191014, г. Санкт-Петербург, ул. Восстания, д. 10 /51 литера А пом. 1Н</t>
  </si>
  <si>
    <t>308001, Белгородская обл., г. Белгород, пл. Литвинова, д. 9 пом. 1,2,3,4,5,7,8</t>
  </si>
  <si>
    <t>157003, Костромская обл., Буйский район, г. Буй, ул. Чапаева, д. 1</t>
  </si>
  <si>
    <t>665717, Иркутская обл., г. Братск, ул. Коммунальная (Центральный Ж/Р), д. 5А/1</t>
  </si>
  <si>
    <t>111141, г. Москва, ул. Кусковская, д. 37/60</t>
  </si>
  <si>
    <t>664050, Иркутская обл, г.о. город Иркутск, г Иркутск, ул Байкальская, д. 259</t>
  </si>
  <si>
    <t>143409, Московская обл., г. Красногорск, ул. Успенская, д. 4А этаж / офис 5/523А (Деловой центр «Панорама»)</t>
  </si>
  <si>
    <t>143930, Московская обл., г. Балашиха, ул. Гражданская (Салтыковка Мкр.), д. 5</t>
  </si>
  <si>
    <t>141401, Московская обл., г. Химки, ул. Победы, д. 11</t>
  </si>
  <si>
    <t>129090, г. Москва, ул. Каланчевская, д. 35 (Бизнес-центр на Ул. Каланчёвская, 35)</t>
  </si>
  <si>
    <t>119017, г. Москва, вн.тер.г. муниципальный округ Замоскворечье, ул Пятницкая, д. 37, помещ. 1/1 (Бизнес-центр)</t>
  </si>
  <si>
    <t>142305, Московская обл., г. Чехов, ул. Угловая, владение 2/1 стр. 1</t>
  </si>
  <si>
    <t>191024, г. Санкт-Петербург, ул. Херсонская, д. 12-14 литера А пом. 1-Н</t>
  </si>
  <si>
    <t>391860, Рязанская Область обл., Сараевский район, рабочий пос. Сараи, ул. Маяковского, д. 1 к. 0 кв. 0</t>
  </si>
  <si>
    <t>649440, Алтай Респ, м.р-н Онгудайский, с.п. Онгудайское, с Онгудай, ул Юбилейная, д. 14, кв. 2</t>
  </si>
  <si>
    <t>196210, г. Санкт-Петербург, вн.тер.г. муниципальный округ Пулковский меридиан, ул Стартовая, д. 5, литера А, помещ. 1-Н ЧАСТЬ 75</t>
  </si>
  <si>
    <t>160019, Вологодская обл., г. Вологда, ул. Чернышевского, д. 133</t>
  </si>
  <si>
    <t>394033, Воронежская обл., г. Воронеж, ул. Землячки, д. 21 офис 40</t>
  </si>
  <si>
    <t>404119, Волгоградская обл, г.о. город Волжский, г Волжский, ул им Ф.Г.Логинова, д. 169</t>
  </si>
  <si>
    <t>142181, Московская обл, г.о. Подольск, д Коледино, тер. Индустриальный парк Коледино, д. 6, стр. 1</t>
  </si>
  <si>
    <t>127055, г. Москва, пер. Порядковый, д. 21 офис 401 (Бизнес-центр в Порядковом Переулке, 21)</t>
  </si>
  <si>
    <t>690001, Приморский кр., г. Владивосток, ул. Экипажная, д. 1 каб. 303 этаж 3</t>
  </si>
  <si>
    <t>117630, г. Москва, шоссе Старокалужское, д. 62 этаж 3 пом. I ком. 60 (Бизнес-центр «Валлекс»)</t>
  </si>
  <si>
    <t>115230, г. Москва, шоссе Варшавское, д. 42 ком. 3134 (Бизнес-центр «Варшавский»)</t>
  </si>
  <si>
    <t>601650, Владимирская обл., Александровский район, г. Александров, ул. Ленина, д. 13 к. 7 этаж 7 офис 703</t>
  </si>
  <si>
    <t>129223, г. Москва, вн.тер.г. муниципальный округ Останкинский, пр-кт Мира, д. 119, стр. 553, офис 26</t>
  </si>
  <si>
    <t>142410, Московская обл., г. Ногинск, шоссе Электростальское, д. 27Б помещения № 16, 17, 21</t>
  </si>
  <si>
    <t>420061, Татарстан респ., г. Казань, ул. Николая Ершова, д. 28А офис 507</t>
  </si>
  <si>
    <t>166700, Ненецкий а.о., Заполярный район, рабочий пос. Искателей, ул. Россихина, д. 4</t>
  </si>
  <si>
    <t>680011, Хабаровский кр., г. Хабаровск, ул. Металлистов, д. 1А каб. 206</t>
  </si>
  <si>
    <t>628463, Ханты-Мансийский Автономный Округ - Югра, г. Радужный, промзона Южная Промышленная Зона, ул. Индустриальная стр. 51</t>
  </si>
  <si>
    <t>442762, Пензенская обл., Бессоновский район, д. Васильевка, ул. Центральная, д. 70</t>
  </si>
  <si>
    <t>601213, Владимирская обл., Собинский район, тер. Завод Бакулин Моторс Групп, ЗД. Б/Н этаж 2 пом. 1</t>
  </si>
  <si>
    <t>127591, г. Москва, шоссе Дмитровское, д. 108 (Торговый центр «на Дмитровском шоссе»)</t>
  </si>
  <si>
    <t>606034, Нижегородская обл., г. Дзержинск, проспект Циолковского, д. 79 пом. Р2 офис 7-14</t>
  </si>
  <si>
    <t>622002, Свердловская обл., г. Нижний Тагил, ул. Фрунзе, д. 17</t>
  </si>
  <si>
    <t>115193, г. Москва, ул. Петра Романова, д. 7 стр. 1</t>
  </si>
  <si>
    <t>690068, Приморский край, г.о. Владивостокский, г Владивосток, ул Магнитогорская, д. 4, офис 806</t>
  </si>
  <si>
    <t>125047, г. Москва, пер. 4-Й Лесной, д. 4 этаж 13</t>
  </si>
  <si>
    <t>119180, г. Москва, ул. Большая Полянка, д. 2 стр. 2 этаж 2, пом. II, ком. 8</t>
  </si>
  <si>
    <t>108807, г. Москва, Первомайское пос., д. Губцево, ул. Дорожная, д. 10</t>
  </si>
  <si>
    <t>117303, г. Москва, ул. Каховка, д. 11 к. 1</t>
  </si>
  <si>
    <t>119285, г. Москва, шоссе Воробьёвское, д. 6 пом. 3 (Бизнес-центр «Воробьёвское 6»)</t>
  </si>
  <si>
    <t>248033, Калужская обл, г.о. город Калуга, г Калуга, проезд 1-й Академический, д. 5, помещ. 205</t>
  </si>
  <si>
    <t>125362, г. Москва, ул. Свободы, д. 29 этаж 3 пом. I ком. 41 (Деловой центр «Свобода Мебель East Bridge»)</t>
  </si>
  <si>
    <t>344114, Ростовская обл., г. Ростов-На-Дону, ул. Орбитальная, д. 82/1 кв. 169</t>
  </si>
  <si>
    <t>115093, г. Москва, ул. Люсиновская, д. 39 стр. 5 этаж 2 пом. III ком. 4</t>
  </si>
  <si>
    <t>664007, Иркутская обл., г. Иркутск, ул. Октябрьской Революции, д. 1/4 этаж 3 офис 114 (Бизнес-центр «Терра»)</t>
  </si>
  <si>
    <t>108802, г. Москва, вн.тер.г. поселение Сосенское, д Николо-Хованское, д. 1011В</t>
  </si>
  <si>
    <t>630559, Новосибирская обл., рабочий пос. Кольцово, зона Научно-Производственная, к. 36 ком. 211</t>
  </si>
  <si>
    <t>243302, Брянская обл, м.р-н Унечский, г.п. Унечское, г Унеча, ул Залинейная, д. 2, этаж 3, ком. 31</t>
  </si>
  <si>
    <t>432012, Ульяновская обл., г. Ульяновск, ул. Луначарского, д. 23В пом. 2</t>
  </si>
  <si>
    <t>109544, г. Москва, бульвар Энтузиастов, д. 2 этаж / ком. 16/31 (Деловой центр «Golden Gate»)</t>
  </si>
  <si>
    <t>123007, г. Москва, шоссе Хорошёвское, д. 32А этаж 5 пом. XVI ком. 24-26 (Бизнес-центр "Солид-Кама")</t>
  </si>
  <si>
    <t>141090, Московская обл., г. Королёв, ул. А.И.Нестеренко (Юбилейный Мкр), д. 9 пом. 7</t>
  </si>
  <si>
    <t>393995, Тамбовская обл., Пичаевский район, пос. Вернадовка, пер. Земетчинский, д. 7А офис 2</t>
  </si>
  <si>
    <t>236003, Калининградская обл, г.о. город Калининград, г Калининград, пр-кт Московский, д. 201, офис 209</t>
  </si>
  <si>
    <t>129164, г. Москва, ул. Ярославская, д. 8 к. 2 офис 213</t>
  </si>
  <si>
    <t>125047, г. Москва, ул. 2-Я Тверская-Ямская, д. 10</t>
  </si>
  <si>
    <t>353900, Краснодарский край, г.о. город Новороссийск, г Новороссийск, ул Карла Маркса, д. 23, помещ 6</t>
  </si>
  <si>
    <t>123557, г. Москва, пер. Тишинский Ср., д. 28 этаж 4 ком. 21 (Бизнес-центр «Чайка Плаза 2»)</t>
  </si>
  <si>
    <t>182112, Псковская обл., г. Великие Луки, ул. Новосокольническая, д. 32</t>
  </si>
  <si>
    <t>182111, Псковская обл., г. Великие Луки, ул. Литейная, д. 17</t>
  </si>
  <si>
    <t>646024, Омская обл., Исилькульский район, г. Исилькуль, ул. Ленина, д. 47</t>
  </si>
  <si>
    <t>117437, г. Москва, вн.тер.г. муниципальный округ Коньково, ул Академика Арцимовича, д. 17, этаж/помещ. 1/V, ком./офис 8/Р-06</t>
  </si>
  <si>
    <t>115172, г. Москва, ул. Народная, д. 14 стр. 3 этаж 3 пом. I ком. 3 (Бизнес-центр на Ул. Народная, 14С3)</t>
  </si>
  <si>
    <t>249032, Калужская обл., г. Обнинск, шоссе Киевское, д. 100</t>
  </si>
  <si>
    <t>649000, Алтай респ., г. Горно-Алтайск, ул. В.И.Чаптынова, д. 26/1 пом. 8 офис 1</t>
  </si>
  <si>
    <t>129090, г. Москва, вн.тер.г. муниципальный округ Мещанский, пр-кт Мира, д. 42, этаж 4, помещ. I КОМ. 13</t>
  </si>
  <si>
    <t>450077, Башкортостан респ., г. Уфа, пл. Верхнеторговая, д. 4 офис Б4070-72</t>
  </si>
  <si>
    <t>191040, г. Санкт-Петербург, вн.тер.г. муниципальный округ Лиговка-Ямская, пр-кт Лиговский, д. 52, литера К, помещ. 1Н, офис 16</t>
  </si>
  <si>
    <t>117218, г. Москва, ул. Кедрова, д. 14 к. 1</t>
  </si>
  <si>
    <t>142701, Московская обл., г. Видное, шоссе Белокаменное, владение 18 этаж 2, пом. 7</t>
  </si>
  <si>
    <t>129110, г. Москва, ул. Щепкина, д. 49 каб. 16, пом. I этаж 5 (Бизнес-центр на Ул. Щепкина, 49)</t>
  </si>
  <si>
    <t>107078, г. Москва, вн.тер.г. муниципальный округ Красносельский, ул Маши Порываевой, д. 34, этаж/помещ. 4/III, ком. 81 (Бизнес-центр «Домников»)</t>
  </si>
  <si>
    <t>142403, Московская обл., г. Ногинск, пер. Аптечный, д. 1 пом. 78</t>
  </si>
  <si>
    <t>249032, Калужская обл., г. Обнинск, ул. Курчатова, д. 31А пом. 7 офис 3</t>
  </si>
  <si>
    <t>353971, Краснодарский кр., г. Новороссийск, пос. Верхнебаканский, ул. Орловская, д. 11</t>
  </si>
  <si>
    <t>153520, Ивановская обл., Ивановский район, с. Ново-Талицы, ул. Цветаева, д. 1/2</t>
  </si>
  <si>
    <t>170007, Тверская обл., г. Тверь, ул. Шишкова, д. 92</t>
  </si>
  <si>
    <t>350001, Краснодарский кр., г. Краснодар, ул. Им. Вишняковой, д. 2 литера С офис 15</t>
  </si>
  <si>
    <t>198504, г. Санкт-Петербург, г. Петергоф, шоссе Гостилицкое, д. 137 литера А пом. 1-Н каб. 62</t>
  </si>
  <si>
    <t>142104, Московская обл., г. Подольск, ул. Свердлова, д. 30 к. 1</t>
  </si>
  <si>
    <t>610014, Кировская обл., г. Киров, ул. Производственная, д. 24</t>
  </si>
  <si>
    <t>350010, Краснодарский край, г.о. город Краснодар, г Краснодар, ул Ростовское Шоссе, д. 22Б</t>
  </si>
  <si>
    <t>601655, Владимирская обл., Александровский район, г. Александров, ул. Гагарина, д. 16</t>
  </si>
  <si>
    <t>143085, Московская обл, г.о. Одинцовский, рп Заречье, ул Весенняя, д. 2, к. 1, этаж 6, помещ. 27-29</t>
  </si>
  <si>
    <t>236000, Калининградская обл., г. Калининград, ул. Комсомольская, д. 27А</t>
  </si>
  <si>
    <t>191180, г. Санкт-Петербург, набережная Реки Фонтанки, д. 76 кв. 21А</t>
  </si>
  <si>
    <t>461046, Оренбургская обл., г. Бузулук, ул. Магистральная, д. 7</t>
  </si>
  <si>
    <t>127081, г. Москва, проезд Дежнёва, д. 1 этаж 7 пом. IX ком. 11 (Бизнес-центр «Дежнев Плаза»)</t>
  </si>
  <si>
    <t>129329, г. Москва, ул. Кольская, д. 2 к. 4 этаж 6 пом. 16-18</t>
  </si>
  <si>
    <t>115093, г. Москва, ул. Щипок, д. 18 стр. 2 этаж 3 пом. I ком. 8 (Бизнес-центр на Ул. Щипок, 18С2)</t>
  </si>
  <si>
    <t>652707, Кемеровская область - Кузбасс, г.о. Киселевский, г Киселевск, ул Юргинская, д. 1, этаж 1, помещ. 10</t>
  </si>
  <si>
    <t>398010, Липецкая обл., Грязинский район, г. Грязи, тер. Оэз Ппт Липецк, стр. 67</t>
  </si>
  <si>
    <t>115035, г. Москва, ул. Садовническая, д. 3 пом. 21 (Офисное здание)</t>
  </si>
  <si>
    <t>121087, г. Москва, ул. Барклая, д. 6 стр. 5 офис 22 этаж 3 (Бизнес-центр «Barklay Plaza (Барклай Плаза)» )</t>
  </si>
  <si>
    <t>454091, Челябинская обл, г.о. Челябинский, вн.р-н Центральный, г Челябинск, ул Маркса, д. 131, офис 306/2</t>
  </si>
  <si>
    <t>660062, Красноярский кр., г. Красноярск, ул. Телевизорная, д. 15</t>
  </si>
  <si>
    <t>125315, г. Москва, вн.тер.г. муниципальный округ Аэропорт, пр-кт Ленинградский, д. 72, к. 4, этаж 2, помещ./ком. 9/1</t>
  </si>
  <si>
    <t>295001, Крым респ., г. Симферополь, ул. Крылова, д. 139А пом. 5</t>
  </si>
  <si>
    <t>123290, г. Москва, ул. 2-Я Магистральная, д. 18 стр. 1</t>
  </si>
  <si>
    <t>660111, Красноярский кр., г. Красноярск, ул. Пограничников, д. 9 стр. 12 каб. 38</t>
  </si>
  <si>
    <t>664024, Иркутская обл., г. Иркутск, ул. Трактовая, д. 18А офис 15</t>
  </si>
  <si>
    <t>660111, Красноярский кр., г. Красноярск, ул. Пограничников, д. ЗД 9 ком. 1-2, 4</t>
  </si>
  <si>
    <t>353021, Краснодарский кр., Новопокровский район, станица Новопокровская, ул. Заводская, д. 1</t>
  </si>
  <si>
    <t>140304, Московская обл., г. Егорьевск, д. Селиваниха, д. 1Е корп. №4</t>
  </si>
  <si>
    <t>236003, Калининградская обл., г. Калининград, проспект Московский, д. 183А</t>
  </si>
  <si>
    <t>601143, Владимирская обл., Петушинский район, г. Петушки, ул. Нижегородская, д. 20</t>
  </si>
  <si>
    <t>127106, г. Москва, вн.тер.г. муниципальный округ Отрадное, проезд Нововладыкинский, д. 8, стр. 4, этаж 2, офис 202 (Бизнес-центр «Красивый дом»)</t>
  </si>
  <si>
    <t>121596, г. Москва, ул. Горбунова, д. 2 (Бизнес-центр «Grand Setun Plaza»)</t>
  </si>
  <si>
    <t>121059, г. Москва, набережная Бережковская, д. 16А стр. 2 (Бизнес-парк «RiverSide Station 16Ас2»)</t>
  </si>
  <si>
    <t>678196, Саха /Якутия/ респ., Мирнинский у., пос. Светлый, ул. Воропая, д. 22 к. А</t>
  </si>
  <si>
    <t>196006, г. Санкт-Петербург, вн.тер.г. муниципальный округ Московская застава, пр-кт Лиговский, д. 254, литера В, помещ. 7-Н, №4</t>
  </si>
  <si>
    <t>143090, Московская обл., г. Краснознаменск, ул. Победы, д. 26 (Бизнес-центр на Ул. Победы, 26)</t>
  </si>
  <si>
    <t>119619, г. Москва, проезд Новомещерский, д. 9 стр. 1</t>
  </si>
  <si>
    <t>236006, Калининградская обл., г. Калининград, проспект Ленинский, д. 30А этаж 6 офис 4</t>
  </si>
  <si>
    <t>238150, Калининградская обл., г. Черняховск, ул. Гоголя, д. 9А</t>
  </si>
  <si>
    <t>142256, Московская обл., г. Серпухов, пос. Шарапова-Охота, тер. Ооо Винтек Пластик стр. 1</t>
  </si>
  <si>
    <t>140000, Московская обл., г. Люберцы, проезд Котельнический, д. 27А этаж 3 каб. 1</t>
  </si>
  <si>
    <t>199178, г. Санкт-Петербург, лн. 18-Я В.О., д. 29 литера А пом. 1-Н ком. 154</t>
  </si>
  <si>
    <t>455034, Челябинская обл, г.о. Магнитогорский, г Магнитогорск, ул 50-летия Магнитки, д. 41, этаж 1, помещ. 1</t>
  </si>
  <si>
    <t>115230, г. Москва, вн.тер.г. муниципальный округ Нагатино-Садовники, ш Каширское, д. 3, к. 2, стр. 2, помещ. 1, офис 42</t>
  </si>
  <si>
    <t>129343, г. Москва, ул. Уржумская, д. 4</t>
  </si>
  <si>
    <t>198035, г. Санкт-Петербург, ул. Межевой Канал, д. 3 к. 2 литера А пом. 7-Н ком. 10</t>
  </si>
  <si>
    <t>111141, г. Москва, ул. Плеханова, д. 7 этаж 3 ком. 12 (Бизнес-центр «Плеханова 7»)</t>
  </si>
  <si>
    <t>443099, Самарская обл, г.о. Самара, вн.р-н Самарский, г Самара, ул Куйбышева, д. 110</t>
  </si>
  <si>
    <t>433769, Ульяновская обл., Кузоватовский район, рабочий пос. Кузоватово, ул. Советская, д. 1</t>
  </si>
  <si>
    <t>660031, Красноярский край, г.о. город Красноярск, г Красноярск, ул Айвазовского, зд. 57, стр. 13, помещ. 17</t>
  </si>
  <si>
    <t>117574, г. Москва, вн.тер.г. муниципальный округ Ясенево, км МКАД 38-й, влд. 4Б, стр. 1, помещ. 2/1</t>
  </si>
  <si>
    <t>117420, г. Москва, вн.тер.г. муниципальный округ Черемушки, ул Профсоюзная, д. 57, помещ/ком/оф III/42/410 (Бизнес-центр «Нииполиграфмаш»)</t>
  </si>
  <si>
    <t>125167, г. Москва, проспект Ленинградский, д. 39 стр. 79 (Бизнес-центр «SkyLight Башня А»)</t>
  </si>
  <si>
    <t>620026, Свердловская обл., г. Екатеринбург, ул. Розы Люксембург стр. 49 пом. 804 (Бизнес-центр «Онегин Плаза»)</t>
  </si>
  <si>
    <t>107140, г. Москва, пер. Московско-Казанский, д. 11-15 ком. 30</t>
  </si>
  <si>
    <t>666904, Иркутская обл., г. Бодайбо, пер. Почтовый, д. 1А</t>
  </si>
  <si>
    <t>107143, г. Москва, ул. Пермская, д. 1 стр. 5 этаж 1 пом. 1 ком. 7</t>
  </si>
  <si>
    <t>123056, г. Москва, ул. Юлиуса Фучика, д. 6 стр. 2 этаж 2 пом. 2 (Бизнес-центр «Тишинский»)</t>
  </si>
  <si>
    <t>143912, Московская обл., г. Балашиха, шоссе Западная Коммунальная Зона Энтузиастов, владение 1А пом. 1</t>
  </si>
  <si>
    <t>684032, Камчатский кр., Елизовский район, с. Николаевка, микрорайон Энтузиастов, стр. 1</t>
  </si>
  <si>
    <t>109444, г. Москва, ул. Ферганская, д. 6 стр. 1 этаж / пом. 3/7</t>
  </si>
  <si>
    <t>456825, Челябинская обл., Каслинский район, рабочий пос. Вишневогорск, ул. Ленина, д. 61</t>
  </si>
  <si>
    <t>125167, г. Москва, проспект Ленинградский, д. 39 стр. 79 этаж 17 (Бизнес-центр «SkyLight Башня А»)</t>
  </si>
  <si>
    <t>143421, Московская обл., г. Красногорск, пос. Ильинское-Усово, ул. Центральная Усадьба, д. 3,3Б,3В,3Г</t>
  </si>
  <si>
    <t>400063, Волгоградская обл., г. Волгоград, ул. Мачтозаводская, д. 1</t>
  </si>
  <si>
    <t>309540, Белгородская обл., г. Старый Оскол, площадка Строительная Проезд М-4 (Станция Котел Промузел Тер) к. 6</t>
  </si>
  <si>
    <t>142432, Московская обл, г.о. Черноголовка, г Черноголовка, ул Лесная, д. 9, помещ. 9</t>
  </si>
  <si>
    <t>127411, г. Москва, шоссе Дмитровское, д. 161А пом. I ком. №2 (Бизнес-центр на Дмитровском Шоссе, 161А)</t>
  </si>
  <si>
    <t>188662, Ленинградская обл., Всеволожский район, г. Мурино, ул. Оборонная, д. 2 к. 3 пом. 22-Н</t>
  </si>
  <si>
    <t>600910, Владимирская обл., г. Радужный, квартал 13/13, д. 20</t>
  </si>
  <si>
    <t>600005, Владимирская обл., г. Владимир, ул. Мира, д. 15В этаж 2 каб. 201</t>
  </si>
  <si>
    <t>119180, г. Москва, ул. Большая Полянка, д. 23 стр. 1 1 этаж пом. II ком. 1</t>
  </si>
  <si>
    <t>601240, Владимирская обл., Собинский район, г. Лакинск, проспект Ленина, д. 71 офис 10</t>
  </si>
  <si>
    <t>690012, Приморский кр., г. Владивосток, ул. Березовая, д. 25</t>
  </si>
  <si>
    <t>690034, Приморский кр., г. Владивосток, ул. Фадеева, д. 49 кв. 5</t>
  </si>
  <si>
    <t>249094, Калужская обл., Малоярославецкий район, г. Малоярославец, ул. Калужская, д. 64</t>
  </si>
  <si>
    <t>422700, Татарстан респ., Высокогорский район, д. Калинино, ул. Березовая, д. 1Б офис 2</t>
  </si>
  <si>
    <t>160017, Вологодская обл., г. Вологда, шоссе Пошехонское, д. 14</t>
  </si>
  <si>
    <t>690012, Приморский кр., г. Владивосток, ул. Березовая, д. 25 корп. 28 офис 310</t>
  </si>
  <si>
    <t>620016, Свердловская обл., г. Екатеринбург, ул. Амундсена, д. 101 офис 1</t>
  </si>
  <si>
    <t>191144, г. Санкт-Петербург, ул. Новгородская, д. 14 литера А</t>
  </si>
  <si>
    <t>690065, Приморский кр., г. Владивосток, ул. Стрельникова, д. 9</t>
  </si>
  <si>
    <t>400017, Волгоградская обл., г. Волгоград, ул. Им. Адмирала Ушакова, д. 11 офис 201</t>
  </si>
  <si>
    <t>115088, г. Москва, вн.тер.г. муниципальный округ Печатники, ул Угрешская, д. 14, стр. 1, офис 501 (Бизнес-центр "Угрешский")</t>
  </si>
  <si>
    <t>141532, Московская обл., г. Солнечногорск, д. Радумля, микрорайон Механического Завода №1 стр. 20/1 этаж 3 пом. 31</t>
  </si>
  <si>
    <t>109507, г. Москва, ул. Ферганская, д. 25</t>
  </si>
  <si>
    <t>129626, г. Москва, ул. 3-Я Мытищинская, д. 10</t>
  </si>
  <si>
    <t>173008, Новгородская обл., г. Великий Новгород, шоссе Сырковское, д. 25</t>
  </si>
  <si>
    <t>121099, г. Москва, бульвар Новинский, д. 13 стр. 4</t>
  </si>
  <si>
    <t>119019, г. Москва, ул. Новый Арбат, д. 15 стр. 2</t>
  </si>
  <si>
    <t>295013, Крым респ., г. Симферополь, ул. Киевская, д. 1А</t>
  </si>
  <si>
    <t>600021, Владимирская обл., г. Владимир, ул. Пушкарская, д. 46 офис 1</t>
  </si>
  <si>
    <t>191015, г. Санкт-Петербург, ул. Кавалергардская, д. 42</t>
  </si>
  <si>
    <t>420087, Татарстан респ., г. Казань, ул. Родины, д. 9</t>
  </si>
  <si>
    <t>620075, Свердловская обл., г. Екатеринбург, ул. Царская, д. 4</t>
  </si>
  <si>
    <t>354065, Краснодарский кр., г. Сочи, ул. Гагарина (Центральный Р-Н), д. 73</t>
  </si>
  <si>
    <t>680000, Хабаровский кр., г. Хабаровск, пер. Топографический, д. 12</t>
  </si>
  <si>
    <t>115114, г. Москва, ул. Кожевническая, д. 16 стр. 4</t>
  </si>
  <si>
    <t>125040, г. Москва, проспект Ленинградский, д. 15 стр. 14 этаж / пом. 4/V (Бизнес-центр «Большевик строение 14»)</t>
  </si>
  <si>
    <t>125319, г. Москва, проезд Кочновский, д. 5 стр. 7 этаж 3 пом. II</t>
  </si>
  <si>
    <t>117218, г. Москва, ул. Кржижановского, д. 15 к. 5 этаж / офис 5/512Б</t>
  </si>
  <si>
    <t>196140, г. Санкт-Петербург, шоссе Пулковское, д. 41 литера ЗИ</t>
  </si>
  <si>
    <t>125040, г. Москва, вн.тер.г. муниципальный округ Беговой, ул 5-я Ямского Поля, д. 19-21, стр. 1</t>
  </si>
  <si>
    <t>129223, г. Москва, проспект Мира, д. 119 стр. 23</t>
  </si>
  <si>
    <t>160021, Вологодская обл., г. Вологда, ул. Александра Клубова, д. 87</t>
  </si>
  <si>
    <t>620075, Свердловская обл., г. Екатеринбург, ул. Розы Люксембург стр. 19 этаж 4</t>
  </si>
  <si>
    <t>420073, Татарстан респ., г. Казань, ул. Седова, д. 2В каб. 310</t>
  </si>
  <si>
    <t>119021, г. Москва, ул. Тимура Фрунзе, д. 11 стр. 1 этаж / пом. / ком. 2/IV/2 (Бизнес-центр «Красная Роза Демидов»)</t>
  </si>
  <si>
    <t>412919, Саратовская обл., г. Вольск, рабочий пос. Клены, ул. Хальзова, д. 1</t>
  </si>
  <si>
    <t>606407, Нижегородская обл., Балахнинский район, г. Балахна, ул. Горького, д. 1</t>
  </si>
  <si>
    <t>420029, Татарстан Респ, г.о. город Казань, г Казань, ул Сибирский Тракт, д. 34В, к. 2, помещ. 373</t>
  </si>
  <si>
    <t>603001, Нижегородская обл., г. Нижний Новгород, пл. Маркина, д. 15А</t>
  </si>
  <si>
    <t>404131, Волгоградская обл., г. Волжский, ул. Пушкина, д. 67 пом. 5</t>
  </si>
  <si>
    <t>404131, Волгоградская обл., г. Волжский, ул. Пушкина, д. 67</t>
  </si>
  <si>
    <t>420066, Татарстан Респ, г.о. город Казань, г Казань, ул Чистопольская, зд. 3В, помещ. 1001</t>
  </si>
  <si>
    <t>445007, Самарская обл., г. Тольятти, ул. Новозаводская, д. 6</t>
  </si>
  <si>
    <t>443114, Самарская обл., г. Самара, проспект Кирова, д. 393А</t>
  </si>
  <si>
    <t>119607, г. Москва, ул. Лобачевского, д. 100 к. 3 Э 1 пом. VII К 6 О 1</t>
  </si>
  <si>
    <t>156019, Костромская обл., г. Кострома, ул. Зеленая, д. 10</t>
  </si>
  <si>
    <t>410005, Саратовская обл, г.о. город Саратов, г Саратов, ул им Рахова В.Г., д. 169/171, помещ. 180</t>
  </si>
  <si>
    <t>603004, Нижегородская обл, г.о. город Нижний Новгород, г Нижний Новгород, пр-кт Ильича, д. 5, этаж 3 ПОМЕЩ. 1</t>
  </si>
  <si>
    <t>603024, Нижегородская обл., г. Нижний Новгород, ул. Максима Горького, д. 193</t>
  </si>
  <si>
    <t>400001, Волгоградская обл., г. Волгоград, ул. Козловская, д. 14</t>
  </si>
  <si>
    <t>400075, Волгоградская обл., г. Волгоград, ул. Моторная (Рабочий Поселок Гумрак Тер.), д. 9 д</t>
  </si>
  <si>
    <t>129337, г. Москва, шоссе Ярославское, д. 36</t>
  </si>
  <si>
    <t>400075, Волгоградская обл., г. Волгоград, проезд Аптечный, д. 1</t>
  </si>
  <si>
    <t>152968, Ярославская обл., Рыбинский район, пос. Ермаково</t>
  </si>
  <si>
    <t>404117, Волгоградская обл., г. Волжский, ул. Александрова, д. 100</t>
  </si>
  <si>
    <t>461343, Оренбургская обл., Беляевский район, пос. Дубенский, ул. Заводская, д. 1 каб. 2</t>
  </si>
  <si>
    <t>140200, Московская обл., г. Воскресенск, ул. Кирова, д. 3 к. 1</t>
  </si>
  <si>
    <t>301570, Тульская обл., Воловский район, пос. Волово, ул. Слепцова, д. 5</t>
  </si>
  <si>
    <t>160012, Вологодская обл., г. Вологда, ул. Яшина, д. 8А</t>
  </si>
  <si>
    <t>160014, Вологодская обл., г. Вологда, ул. Горького, д. 99</t>
  </si>
  <si>
    <t>160002, Вологодская обл., г. Вологда, ул. Гагарина, д. 83А</t>
  </si>
  <si>
    <t>160019, Вологодская обл., г. Вологда, ул. Комсомольская, д. 55</t>
  </si>
  <si>
    <t>404103, Волгоградская обл., г. Волжский, ул. 7-Я Автодорога, д. 25 к. А</t>
  </si>
  <si>
    <t>173008, Новгородская обл., г. Великий Новгород, шоссе Сырковское, д. 24</t>
  </si>
  <si>
    <t>141402, Московская обл., г. Химки, ул. Ленинградская, владение 39 стр. 5 (Бизнес-парк «Химки Бизнес Парк»)</t>
  </si>
  <si>
    <t>690033, Приморский кр., г. Владивосток, ул. Гамарника, д. 3</t>
  </si>
  <si>
    <t>169908, Коми респ., г. Воркута, ул. Ленина, д. 62</t>
  </si>
  <si>
    <t>394038, Воронежская обл., г. Воронеж, ул. Дорожная, д. 36 корп. И</t>
  </si>
  <si>
    <t>394052, Воронежская обл., г. Воронеж, пер. Новый, д. 12 кв. 233</t>
  </si>
  <si>
    <t>394014, Воронежская обл., г. Воронеж, проспект Ленинский, д. 2</t>
  </si>
  <si>
    <t>394030, Воронежская обл., г. Воронеж, ул. Кольцовская, д. 40</t>
  </si>
  <si>
    <t>394056, Воронежская обл., г. Воронеж, ул. Солдатское Поле стр. 299Р</t>
  </si>
  <si>
    <t>396321, Воронежская обл, м.р-н Новоусманский, с.п. Рогачёвское, с Рогачевка, ул Мира, зд. 57, помещ. 104</t>
  </si>
  <si>
    <t>394016, Воронежская обл., г. Воронеж, ул. 45 Стрелковой Дивизии, д. 259</t>
  </si>
  <si>
    <t>394028, Воронежская обл., г. Воронеж, ул. Волгоградская, д. 39 офис 201</t>
  </si>
  <si>
    <t>140207, Московская обл., г. Воскресенск, д. Ратмирово, ул. Набережная, д. 2</t>
  </si>
  <si>
    <t>420054, Татарстан респ., г. Казань, ул. Тихорецкая, д. 5</t>
  </si>
  <si>
    <t>682571, Хабаровский кр., Аяно-Майский район, с. Аян</t>
  </si>
  <si>
    <t>140033, Московская обл., г. Люберцы, рабочий пос. Малаховка, шоссе Быковское, д. 55А</t>
  </si>
  <si>
    <t>667010, Тыва респ., г. Кызыл, ул. Сукпакская, д. 1</t>
  </si>
  <si>
    <t>141441, Московская обл, г.о. Химки, д Елино, ул Зеленоградская, д. 1</t>
  </si>
  <si>
    <t>423452, Татарстан респ., Альметьевский район, г. Альметьевск, ул. Ленина, д. 15 офис 506А</t>
  </si>
  <si>
    <t>426008, Удмуртская респ., г. Ижевск, ул. Максима Горького, д. 68 каб. 501</t>
  </si>
  <si>
    <t>420111, Татарстан респ., г. Казань, ул. Чернышевского, д. ЗД 8 пом. 2.2</t>
  </si>
  <si>
    <t>353562, Краснодарский кр., Славянский район, г. Славянск-На-Кубани, ул. Дружбы Народов, д. 65/2 офис 3</t>
  </si>
  <si>
    <t>682800, Хабаровский кр., г. Советская Гавань, ул. Пионерская, д. 14 офис 410</t>
  </si>
  <si>
    <t>194044, г. Санкт-Петербург, ул. Гельсингфорсская, д. 3 литера И помещения 104-109</t>
  </si>
  <si>
    <t>603089, Нижегородская обл., г. Нижний Новгород, ул. Полтавская, д. 32 офис 21</t>
  </si>
  <si>
    <t>344094, Ростовская обл, г.о. город Ростов-на-Дону, г Ростов-на-Дону, ул Можайская, д. 40, офис 342</t>
  </si>
  <si>
    <t>150044, Ярославская обл., г. Ярославль, шоссе Промышленное, д. 55А каб. 1</t>
  </si>
  <si>
    <t>630001, Новосибирская обл., г. Новосибирск, ул. Дуси Ковальчук, д. 1</t>
  </si>
  <si>
    <t>692941, Приморский кр., г. Находка, ул. Внутрипортовая (Поселок Врангель Мкр.), д. 30А</t>
  </si>
  <si>
    <t>300028, Тульская обл., г. Тула, ул. 9 Мая, д. 1 офис 112</t>
  </si>
  <si>
    <t>690003, Приморский кр., г. Владивосток, ул. Станюковича, д. 46 этаж 5</t>
  </si>
  <si>
    <t>692941, Приморский кр., г. Находка, ул. Внутрипортовая (Поселок Врангель Мкр.), д. 47</t>
  </si>
  <si>
    <t>117105, г. Москва, набережная Новоданиловская, д. 6 к. 1 этаж 7 офис 704</t>
  </si>
  <si>
    <t>427023, Удмуртская респ., Завьяловский район, с. Италмас, д. 15</t>
  </si>
  <si>
    <t>117403, г. Москва, проезд Востряковский, д. 22А</t>
  </si>
  <si>
    <t>192249, г. Санкт-Петербург, ул. Софийская, д. 60 литера АМ корп. 9 камера 1</t>
  </si>
  <si>
    <t>346510, Ростовская обл., г. Шахты, ул. Шапкина, д. 2А</t>
  </si>
  <si>
    <t>162040, Вологодская обл., Грязовецкий район, рабочий пос. Вохтога, ул. Железнодорожная, д. 83 офис 18</t>
  </si>
  <si>
    <t>400075, Волгоградская обл., г. Волгоград, ул. Им. Шопена, д. 13</t>
  </si>
  <si>
    <t>692941, Приморский кр., г. Находка, ул. Внутрипортовая (Поселок Врангель Мкр.), д. 14А</t>
  </si>
  <si>
    <t>632640, Новосибирская обл., Коченевский район, рабочий пос. Коченево, ул. Промышленная, д. 17</t>
  </si>
  <si>
    <t>143007, Московская обл., г. Одинцово, ул. Молодежная, д. 46 кв. 2 этаж офис 218</t>
  </si>
  <si>
    <t>423832, Татарстан респ., г. Набережные Челны, проспект Хасана Туфана, д. 45А кв. 4Н</t>
  </si>
  <si>
    <t>121069, г. Москва, пер. Скатертный, д. 5А</t>
  </si>
  <si>
    <t>107078, г. Москва, пер. Орликов, д. 5 стр. 2 этаж / каб. 1/76 (Бизнес-центр "Orlikov plaza")</t>
  </si>
  <si>
    <t>453130, Башкортостан респ., г. Стерлитамак, ул. Гоголя, д. 124</t>
  </si>
  <si>
    <t>143405, Московская обл., г. Красногорск, шоссе Ильинское, д. 1А этаж / пом. 5/1.3</t>
  </si>
  <si>
    <t>105066, г. Москва, ул. Нижняя Красносельская, д. 40/12 к. 2 этаж 5 ком. 14</t>
  </si>
  <si>
    <t>105005, г. Москва, набережная Академика Туполева, д. 15 к. 2 офис 27</t>
  </si>
  <si>
    <t>622005, Свердловская обл., г. Нижний Тагил, ул. Индустриальная, д. 78А</t>
  </si>
  <si>
    <t>182113, Псковская обл., г. Великие Луки, проспект Октябрьский, д. 125 пом. 20,21</t>
  </si>
  <si>
    <t>119435, г. Москва, набережная Саввинская, д. 15 этаж 6 пом. 5 (Бизнес-центр «Японский дом»)</t>
  </si>
  <si>
    <t>105066, г. Москва, вн.тер.г. муниципальный округ Басманный, ул Нижняя Красносельская, д. 40/12, к. 2, этаж/офис 4/421/17</t>
  </si>
  <si>
    <t>125212, г. Москва, вн.тер.г. муниципальный округ Войковский, ул Адмирала Макарова, д. 6, стр. 1</t>
  </si>
  <si>
    <t>123242, г. Москва, вн.тер.г. муниципальный округ Пресненский, ул Зоологическая, д. 10, этаж 5 ПОМ.8, ком. 3</t>
  </si>
  <si>
    <t>123242, г. Москва, вн.тер.г. муниципальный округ Пресненский, ул Зоологическая, д. 10, этаж/пом. 4/3, ком. 3</t>
  </si>
  <si>
    <t>127018, г. Москва, вн.тер.г. муниципальный округ Марьина роща, ул Двинцев, д. 12, к. 1, помещ. 1, ком. 16-38</t>
  </si>
  <si>
    <t>445043, Самарская обл., г. Тольятти, ул. Борковская, д. 17 офис 1</t>
  </si>
  <si>
    <t>123308, г. Москва, вн.тер.г. муниципальный округ Хорошево-Мневники, ул 3-я Хорошёвская, д. 2, стр. 1, помещ. 18/6</t>
  </si>
  <si>
    <t>344103, Ростовская обл., г. Ростов-На-Дону, пер. Доблестный, д. 8 этаж / офис 1/102</t>
  </si>
  <si>
    <t>192102, г. Санкт-Петербург, ул. Бухарестская, д. 22 к. 2 литера д пом. 1-Н офис 115</t>
  </si>
  <si>
    <t>111674, г. Москва, ул. 2-Я Вольская, д. 34 корп. 2 стр. 4</t>
  </si>
  <si>
    <t>125438, г. Москва, ул. Автомоторная, д. 1/3 стр. 2 пом. 601 (Бизнес-центр )</t>
  </si>
  <si>
    <t>656922, Алтайский кр., г. Барнаул, ул. Весенняя, д. 19</t>
  </si>
  <si>
    <t>652421, Кемеровская область - Кузбасс, г. Березовский, ул. Н.Барзас, д. 59</t>
  </si>
  <si>
    <t>660050, Красноярский кр., г. Красноярск, ул. Спортивная, д. 120</t>
  </si>
  <si>
    <t>241029, Брянская обл., г. Брянск, пер. Кравцова, стр. 2В пом. 1</t>
  </si>
  <si>
    <t>119049, г. Москва, вн.тер.г. муниципальный округ Замоскворечье, пер 1-й Добрынинский, д. 19, стр. 6, помещ. 2/П</t>
  </si>
  <si>
    <t>123112, г. Москва, вн.тер.г. муниципальный округ Пресненский, наб Пресненская, д. 10, этаж 14, БЛОК Б, помещ. 12 (Бизнес-центр «Naberezhnaya Tower»)</t>
  </si>
  <si>
    <t>654006, Кемеровская область - Кузбасс, г. Новокузнецк, пл. Побед (Центральный Р-Н), д. 1 к. 233</t>
  </si>
  <si>
    <t>603003, Нижегородская обл., г. Нижний Новгород, ул. Свободы, д. 15 офис 603 (Специализированный торговый центр «Союзный»)</t>
  </si>
  <si>
    <t>630096, Новосибирская обл., г. Новосибирск, ул. Станционная, д. 82</t>
  </si>
  <si>
    <t>620024, Свердловская обл., г. Екатеринбург, ул. Новинская, д. 3</t>
  </si>
  <si>
    <t>141006, Московская обл., Мытищи г.о., г. Мытищи, проезд 4530-Й, владение 4А стр. 1</t>
  </si>
  <si>
    <t>620024, Свердловская обл., г. Екатеринбург, ул. Новинская, стр. 3</t>
  </si>
  <si>
    <t>399774, Липецкая обл., г. Елец, ул. Рязано-Уральская, д. 7</t>
  </si>
  <si>
    <t>129075, г. Москва, вн.тер.г. муниципальный округ Останкинский, ул Аргуновская, д. 2, к. 2, этаж 2, помещ. V КОМ. 5</t>
  </si>
  <si>
    <t>682860, Хабаровский кр., Ванинский район, рабочий пос. Ванино, ул. Пионерская, д. 38</t>
  </si>
  <si>
    <t>125315, г. Москва, проспект Ленинградский, д. 66 офис ПОДВАЛ пом. XII ком. 9А</t>
  </si>
  <si>
    <t>680054, Хабаровский край, г.о. город Хабаровск, г Хабаровск, ул Трехгорная, д. 86, кв. 5</t>
  </si>
  <si>
    <t>603124, Нижегородская обл, г.о. город Нижний Новгород, г Нижний Новгород, ш Московское, д. 300, скл. 3</t>
  </si>
  <si>
    <t>123290, г. Москва, вн.тер.г. муниципальный округ Пресненский, ш Шелепихинское, д. 11, к. 1, помещ. 1/2</t>
  </si>
  <si>
    <t>623701, Свердловская обл, г.о. Березовский, г Березовский, ул Строителей, д. 4, помещ. 201</t>
  </si>
  <si>
    <t>660031, Красноярский кр., г. Красноярск, ул. 26 Бакинских Комиссаров, д. ЗД. 1Е стр. 260 офис 2-03</t>
  </si>
  <si>
    <t>143051, Московская обл., г. Одинцово, рабочий пос. Большие Вязёмы, ул. Городок-17 стр. 12</t>
  </si>
  <si>
    <t>188688, Ленинградская обл, м.р-н Всеволожский, с.п. Колтушское, промзона Нижняя, проезд Центральный, д. 7, стр. 1</t>
  </si>
  <si>
    <t>127083, г. Москва, ул. 8 Марта, д. 10 стр. 14</t>
  </si>
  <si>
    <t>666902, Иркутская обл., г. Бодайбо, ул. Березовая, д. 17</t>
  </si>
  <si>
    <t>660125, Красноярский край, г.о. город Красноярск, г Красноярск, ул Шумяцкого, д. 10, этаж 2 ПОМЕЩ. 5 КОМ. 27</t>
  </si>
  <si>
    <t>196084, г. Санкт-Петербург, проспект Московский, д. 97 литера А пом. 15-Н</t>
  </si>
  <si>
    <t>675004, Амурская обл., г. Благовещенск, ул. 50 Лет Октября, д. 13/1</t>
  </si>
  <si>
    <t>188669, Ленинградская обл., Всеволожский район, г. Мурино, ул. Центральная, д. 46 офис 205</t>
  </si>
  <si>
    <t>123112, г. Москва, вн.тер.г. муниципальный округ Пресненский, наб Пресненская, д. 12, помещ. 8/50 (Многофункциональный комплекс «Башня Федерация»)</t>
  </si>
  <si>
    <t>215110, Смоленская обл, м.р-н Вяземский, с.п. Степаниковское, тер Промышленная база ГОКа, тер Квартал 1</t>
  </si>
  <si>
    <t>610014, Кировская обл., г. Киров, ул. Грибоедова, д. 1</t>
  </si>
  <si>
    <t>610013, Кировская обл., г. Киров, ул. Коммуны, д. 1</t>
  </si>
  <si>
    <t>215010, Смоленская обл., Гагаринский район, г. Гагарин, ул. Молодежная, д. 1</t>
  </si>
  <si>
    <t>198096, г. Санкт-Петербург, ул. Кронштадтская, д. 10 литера А</t>
  </si>
  <si>
    <t>129085, г. Москва, бульвар Звёздный, д. 21 стр. 1 этаж 4, пом. I, ком. 34-35</t>
  </si>
  <si>
    <t>629306, Ямало-Ненецкий а.о., г. Новый Уренгой, ул. Молодежная, д. 3 кв. 49</t>
  </si>
  <si>
    <t>630099, Новосибирская обл., г. Новосибирск, проспект Красный, д. 17 этаж 12 пом. 6</t>
  </si>
  <si>
    <t>394007, Воронежская обл., г. Воронеж, проспект Ленинский, д. 119</t>
  </si>
  <si>
    <t>108824, г. Москва, Рязановское пос., пос. Рязаново, тер. Остафьево Аэропорт</t>
  </si>
  <si>
    <t>117405, г. Москва, вн.тер.г. муниципальный округ Чертаново Южное, ул Кирпичные Выемки, д. 3, помещ. VI, ком. 21</t>
  </si>
  <si>
    <t>117420, г. Москва, ул. Намёткина, д. 12А (Бизнес-центр «Газойл Плаза»)</t>
  </si>
  <si>
    <t>195027, г. Санкт-Петербург, проспект Металлистов, д. 7 литера А офис 212</t>
  </si>
  <si>
    <t>195112, г. Санкт-Петербург, вн.тер.г. муниципальный округ Малая Охта, пр-кт Малоохтинский, д. 45, литера А, помещ. 2-Н, офис 812 (Бизнес-центр «Eightedges»)</t>
  </si>
  <si>
    <t>117418, г. Москва, ул. Новочерёмушкинская, д. 65 (Бизнес-центр на Ул. Новочерёмушкинская, 65)</t>
  </si>
  <si>
    <t>108814, г. Москва, Сосенское пос., пос. Газопровод, д. 101 к. 5</t>
  </si>
  <si>
    <t>308023, Белгородская обл., г. Белгород, пер. 5-Й Заводской, д. 38</t>
  </si>
  <si>
    <t>600017, Владимирская обл., г. Владимир, ул. Краснознамённая, д. 3</t>
  </si>
  <si>
    <t>403003, Волгоградская обл., Городищенский район, рабочий пос. Городище, пер. Красного Октября, д. 27</t>
  </si>
  <si>
    <t>394018, Воронежская обл., г. Воронеж, ул. Никитинская, д. 50А</t>
  </si>
  <si>
    <t>680011, Хабаровский кр., г. Хабаровск, ул. Брестская, д. 51</t>
  </si>
  <si>
    <t>350051, Краснодарский кр., г. Краснодар, ул. Строителей, д. 23</t>
  </si>
  <si>
    <t>, Ленинградская обл, м.р-н Ломоносовский, г.п. Аннинское, гп Новоселье, наб Реки Кикенки, зд. 3</t>
  </si>
  <si>
    <t>398059, Липецкая обл., г. Липецк, ул. М.И. Неделина, д. 25</t>
  </si>
  <si>
    <t>603022, Нижегородская обл, г.о. город Нижний Новгород, г Нижний Новгород, ул Пушкина, д. 18</t>
  </si>
  <si>
    <t>460000, Оренбургская обл., г. Оренбург, ул. Краснознаменная, д. 39</t>
  </si>
  <si>
    <t>614000, Пермский кр., г. Пермь, ул. Петропавловская, д. 43</t>
  </si>
  <si>
    <t>344022, Ростовская обл., г. Ростов-На-Дону, проспект Кировский, д. 40 к. А</t>
  </si>
  <si>
    <t>625013, Тюменская обл., г. Тюмень, ул. Энергетиков, д. 163</t>
  </si>
  <si>
    <t>355029, Ставропольский кр., г. Ставрополь, проспект Кулакова, д. 1А</t>
  </si>
  <si>
    <t>170026, Тверская обл., г. Тверь, ул. Фурманова, д. 12/4</t>
  </si>
  <si>
    <t>634021, Томская обл., г. Томск, проспект Фрунзе, д. 170А</t>
  </si>
  <si>
    <t>300012, Тульская обл., г. Тула, ул. Мориса Тореза, д. 5А</t>
  </si>
  <si>
    <t>450059, Башкортостан респ., г. Уфа, ул. Новосибирская, д. 2 к. 4</t>
  </si>
  <si>
    <t>197110, г. Санкт-Петербург, набережная Адмирала Лазарева, д. 24 литера А (Бизнес-центр «Trinity Place»)</t>
  </si>
  <si>
    <t>199034, г. Санкт-Петербург, вн.тер.г. муниципальный округ № 7, линия 13-я В.О., д. 14, литера Б, помещ. 4-Н, ЧАСТЬ № 18</t>
  </si>
  <si>
    <t>199034, г. Санкт-Петербург, вн.тер.г. муниципальный округ № 7, линия 13-я В.О., д. 14, литера Б, помещ. 8-Н, ЧАСТЬ №38</t>
  </si>
  <si>
    <t>196158, г. Санкт-Петербург, вн.тер.г. муниципальный округ Звездное, ш Пулковское, д. 40, к. 4, литера Д, помещ. D8039</t>
  </si>
  <si>
    <t>414000, Астраханская обл., г. Астрахань, ул. Ленина, стр. 30</t>
  </si>
  <si>
    <t>664007, Иркутская обл., г. Иркутск, ул. Нижняя Набережная, д. 14</t>
  </si>
  <si>
    <t>350063, Краснодарский кр., г. Краснодар, ул. Кубанская Набережная, д. 62 (Бизнес-центр «Аскона»)</t>
  </si>
  <si>
    <t>629736, Ямало-Ненецкий АО, м.о. Надымский район, г Надым, ул Пионерская, стр. 14</t>
  </si>
  <si>
    <t>629806, Ямало-Ненецкий а.о., г. Ноябрьск, ул. Республики, д. 20</t>
  </si>
  <si>
    <t>460058, Оренбургская обл., г. Оренбург, ул. Чкалова, д. 1/2 (Бизнес-центр «Союз»)</t>
  </si>
  <si>
    <t>634009, Томская обл., г. Томск, ул. Большая Подгорная, д. 73</t>
  </si>
  <si>
    <t>629307, Ямало-Ненецкий а.о., г. Новый Уренгой, ул. Железнодорожная, д. 8</t>
  </si>
  <si>
    <t>693020, Сахалинская обл., г. Южно-Сахалинск, ул. Курильская, д. 40</t>
  </si>
  <si>
    <t>629306, Ямало-Ненецкий а.о., г. Новый Уренгой, ул. Геологоразведчиков, д. 9</t>
  </si>
  <si>
    <t>196210, г. Санкт-Петербург, ул. Стартовая, д. 6 литера д (Многофункциональный комплекс «Аэропортсити Санкт-Петербург»)</t>
  </si>
  <si>
    <t>190098, г. Санкт-Петербург, вн.тер.г. муниципальный округ Адмиралтейский округ, ул Галерная, д. 20-22, литера А, этаж 3, ком. 318</t>
  </si>
  <si>
    <t>117447, г. Москва, ул. Большая Черёмушкинская, д. 13 стр. 3</t>
  </si>
  <si>
    <t>194044, г. Санкт-Петербург, вн.тер.г. муниципальный округ Сампсониевское, пр-кт Большой Сампсониевский, д. 28, к. 2, литера Д, помещ. 43-Н, помещ. 58</t>
  </si>
  <si>
    <t>196105, г. Санкт-Петербург, проспект Московский, д. 139 к. 1 стр. 1 пом. 1-Н (Ч.П. 231)</t>
  </si>
  <si>
    <t>414000, Астраханская обл., г. Астрахань, пл. Шаумяна, д. 2</t>
  </si>
  <si>
    <t>308009, Белгородская обл., г. Белгород, проспект Славы, д. 41</t>
  </si>
  <si>
    <t>241050, Брянская обл., г. Брянск, ул. Советская, д. 79</t>
  </si>
  <si>
    <t>173025, Новгородская обл., г. Великий Новгород, ул. Попова, д. 10 каб. 1</t>
  </si>
  <si>
    <t>362040, Северная Осетия - Алания респ., г. Владикавказ, ул. Максима Горького, д. 6</t>
  </si>
  <si>
    <t>600017, Владимирская обл., г. Владимир, ул. Мира, д. 34 этаж 4 офис 402 (Бизнес-центр «Вфм»)</t>
  </si>
  <si>
    <t>400001, Волгоградская обл., г. Волгоград, ул. Ковровская, д. 13</t>
  </si>
  <si>
    <t>160004, Вологодская обл., г. Вологда, ул. Октябрьская, д. 51</t>
  </si>
  <si>
    <t>394006, Воронежская обл., г. Воронеж, пер. Красноармейский, д. 12 к. А</t>
  </si>
  <si>
    <t>364051, Чеченская респ., г. Грозный, ул. Дадин-Айбики, д. 18 к. А</t>
  </si>
  <si>
    <t>153002, Ивановская обл., г. Иваново, ул. Жиделева, д. 17-А</t>
  </si>
  <si>
    <t>426035, Удмуртская респ., г. Ижевск, ул. Серова, д. 79</t>
  </si>
  <si>
    <t>424016, Марий Эл респ., г. Йошкар-Ола, ул. Луначарского, д. 34</t>
  </si>
  <si>
    <t>420015, Татарстан респ., г. Казань, ул. Подлужная, д. 19</t>
  </si>
  <si>
    <t>248025, Калужская обл., г. Калуга, ул. Зерновая, д. 40</t>
  </si>
  <si>
    <t>650066, Кемеровская область - Кузбасс, г. Кемерово, проспект Ленина, д. 74 к. А</t>
  </si>
  <si>
    <t>610004, Кировская обл., г. Киров, ул. Казанская, д. 18</t>
  </si>
  <si>
    <t>350000, Краснодарский кр., г. Краснодар, ул. Им. Ленина, д. 40/1</t>
  </si>
  <si>
    <t>640018, Курганская обл., г. Курган, ул. Гоголя, д. 78/1</t>
  </si>
  <si>
    <t>305035, Курская обл., г. Курск, ул. Энгельса, д. 8</t>
  </si>
  <si>
    <t>398059, Липецкая обл., г. Липецк, ул. Фрунзе, д. 11</t>
  </si>
  <si>
    <t>385000, Адыгея респ., г. Майкоп, ул. Пионерская, д. 276</t>
  </si>
  <si>
    <t>367000, Дагестан респ., г. Махачкала, ул. Магомеда Ярагского, д. 1</t>
  </si>
  <si>
    <t>108814, г. Москва, вн.тер.г. поселение Сосенское, п Газопровод, д. 101, к. 10</t>
  </si>
  <si>
    <t>360017, Кабардино-Балкарская респ., г. Нальчик, ул. Мечникова, д. 89</t>
  </si>
  <si>
    <t>603000, Нижегородская обл., г. Нижний Новгород, набережная Верхне-Волжская, д. 5</t>
  </si>
  <si>
    <t>630132, Новосибирская обл., г. Новосибирск, ул. Советская, д. 77</t>
  </si>
  <si>
    <t>644100, Омская обл, г.о. город Омск, г Омск, пр-кт Королева, д. 1А</t>
  </si>
  <si>
    <t>302028, Орловская обл., г. Орёл, ул. Ленина, д. 30</t>
  </si>
  <si>
    <t>460000, Оренбургская обл., г. Оренбург, ул. Постникова, д. 9Б</t>
  </si>
  <si>
    <t>440061, Пензенская обл., г. Пенза, ул. Пролетарская, д. 80</t>
  </si>
  <si>
    <t>614015, Пермский кр., г. Пермь, ул. Петропавловская, д. 54</t>
  </si>
  <si>
    <t>180016, Псковская обл., г. Псков, проспект Рижский, д. 20</t>
  </si>
  <si>
    <t>344006, Ростовская обл., г. Ростов-На-Дону, проспект Ворошиловский, д. 20/17</t>
  </si>
  <si>
    <t>390000, Рязанская Область обл., г. Рязань, ул. Соборная, д. 23</t>
  </si>
  <si>
    <t>443099, Самарская обл., г. Самара, ул. Водников, д. 24-26</t>
  </si>
  <si>
    <t>190000, г. Санкт-Петербург, ул. Галерная, д. 20-22 литера А</t>
  </si>
  <si>
    <t>430005, Мордовия респ., г. Саранск, ул. Большевистская, д. 11Б</t>
  </si>
  <si>
    <t>410012, Саратовская обл., г. Саратов, ул. Им Горького А.М., д. 41</t>
  </si>
  <si>
    <t>214019, Смоленская обл., г. Смоленск, проезд Трамвайный, д. 10</t>
  </si>
  <si>
    <t>355037, Ставропольский кр., г. Ставрополь, ул. Доваторцев, д. 42А</t>
  </si>
  <si>
    <t>392000, Тамбовская обл., г. Тамбов, ул. Интернациональная, д. 11А</t>
  </si>
  <si>
    <t>170100, Тверская обл., г. Тверь, ул. Крылова, д. 40/29</t>
  </si>
  <si>
    <t>300012, Тульская обл., г. Тула, проспект Ленина, д. 79</t>
  </si>
  <si>
    <t>432017, Ульяновская обл., г. Ульяновск, ул. Кузнецова, д. 5А</t>
  </si>
  <si>
    <t>169311, Коми респ., г. Ухта, ул. 30 Лет Октября, д. 1-А</t>
  </si>
  <si>
    <t>428031, Чувашская Республика - Чувашия, г. Чебоксары, ул. 324 Стрелковой Дивизии, д. 28 к. А</t>
  </si>
  <si>
    <t>369001, Карачаево-Черкесская респ., г. Черкесск, ул. Космонавтов, д. 60А</t>
  </si>
  <si>
    <t>150014, Ярославская обл., г. Ярославль, ул. Рыбинская, д. 20</t>
  </si>
  <si>
    <t>197110, г. Санкт-Петербург, набережная Адмирала Лазарева, д. 24 литера А</t>
  </si>
  <si>
    <t>634067, Томская обл., г. Томск, тракт Кузовлевский, д. 2 стр. 169</t>
  </si>
  <si>
    <t>660075, Красноярский кр., г. Красноярск, ул. Маерчака, д. 10 (Бизнес-центр «Баланс»)</t>
  </si>
  <si>
    <t>194044, г. Санкт-Петербург, ул. Смолячкова, д. 6 к. 1 стр. 1 офис 901</t>
  </si>
  <si>
    <t>117420, г. Москва, ул. Намёткина, д. 16</t>
  </si>
  <si>
    <t>196128, г. Санкт-Петербург, ул. Благодатная, д. 10 стр. 1 пом. 18-Н (Бизнес-центр на Ул. Благодатная, 10С1)</t>
  </si>
  <si>
    <t>191036, г. Санкт-Петербург, проспект Суворовский, д. 16/13 литера А пом. 19Н</t>
  </si>
  <si>
    <t>196128, г. Санкт-Петербург, вн.тер.г. муниципальный округ Московская застава, пр-кт Московский, д. 151, к. 2, литера А, помещ./этаж/офис 1-Н/1/5</t>
  </si>
  <si>
    <t>162602, Вологодская обл., г. Череповец, ул. Пролетарская, д. 59</t>
  </si>
  <si>
    <t>142214, Московская обл., г. Серпухов, ул. Звездная, д. 4 пом. 76</t>
  </si>
  <si>
    <t>400074, Волгоградская обл., г. Волгоград, ул. Рабоче-Крестьянская, д. 58</t>
  </si>
  <si>
    <t>620075, Свердловская обл., г. Екатеринбург, ул. Клары Цеткин стр. 14</t>
  </si>
  <si>
    <t>420073, Татарстан респ., г. Казань, ул. Аделя Кутуя, д. 41</t>
  </si>
  <si>
    <t>350051, Краснодарский кр., г. Краснодар, ул. Им. Дзержинского, д. 36</t>
  </si>
  <si>
    <t>367030, Дагестан респ., г. Махачкала, туп. 3-Й Хаджи Булача, стр. 13</t>
  </si>
  <si>
    <t>443068, Самарская обл., г. Самара, ул. Ново-Садовая, д. 106А стр. 1</t>
  </si>
  <si>
    <t>196128, г. Санкт-Петербург, вн.тер.г. муниципальный округ Московская застава, ул Варшавская, д. 3, к. 2, литера Б</t>
  </si>
  <si>
    <t>410009, Саратовская обл., г. Саратов, проспект Им 50 Лет Октября, д. ЗД. 118А стр. 1 стр. 1</t>
  </si>
  <si>
    <t>355035, Ставропольский кр., г. Ставрополь, проспект Октябрьской Революции, д. 6</t>
  </si>
  <si>
    <t>628412, Ханты-Мансийский Автономный Округ - Югра, г. Сургут, ул. Университетская, д. 1</t>
  </si>
  <si>
    <t>634029, Томская обл., г. Томск, проспект Фрунзе, д. 9</t>
  </si>
  <si>
    <t>450054, Башкортостан респ., г. Уфа, ул. Рихарда Зорге, д. 59</t>
  </si>
  <si>
    <t>169300, Коми респ., г. Ухта, набережная Газовиков, д. 10/1</t>
  </si>
  <si>
    <t>617760, Пермский кр., г. Чайковский, бульвар Приморский, д. 30</t>
  </si>
  <si>
    <t>628260, Ханты-Мансийский Автономный Округ - Югра, г. Югорск, ул. Мира, д. 15</t>
  </si>
  <si>
    <t>156901, Костромская обл., г. Волгореченск, ул. Магистральная, д. 1</t>
  </si>
  <si>
    <t>196105, г. Санкт-Петербург, проспект Московский, д. 139 к. 1 стр. 1 пом. 1-Н (Ч.П.530)</t>
  </si>
  <si>
    <t>119071, г. Москва, вн.тер.г. муниципальный округ Донской, пр-кт Ленинский, д. 15А, этаж 9 (Бизнес-центр «Gorky Park Tower»)</t>
  </si>
  <si>
    <t>191023, г. Санкт-Петербург, пл. Островского, д. 2А литера А</t>
  </si>
  <si>
    <t>117647, г. Москва, вн.тер.г. муниципальный округ Ясенево, ул Профсоюзная, д. 125 (Бизнес-центр «Профсоюзная 125»)</t>
  </si>
  <si>
    <t>196210, г. Санкт-Петербург, ул. Внуковская, д. 2 литера А пом. 111Н/ЧП9</t>
  </si>
  <si>
    <t>191014, г. Санкт-Петербург, вн.тер.г. муниципальный округ Смольнинское, ул Парадная, д. 7, литера А, помещ. 6-Н, офис 31</t>
  </si>
  <si>
    <t>117420, г. Москва, ул. Намёткина, д. 16 к. 4</t>
  </si>
  <si>
    <t>197229, г. Санкт-Петербург, вн.тер.г. муниципальный округ Лахта-Ольгино, пр-кт Лахтинский, д. 2, к. 3, стр. 1</t>
  </si>
  <si>
    <t>117342, г. Москва, ул. Миклухо-Маклая, д. 40 ком. 50</t>
  </si>
  <si>
    <t>117342, г. Москва, ул. Миклухо-Маклая, д. 40 пом. / ком. IV/50</t>
  </si>
  <si>
    <t>629001, Ямало-Ненецкий а.о., г. Салехард, ул. Губкина, д. 1 офис 7</t>
  </si>
  <si>
    <t>190013, г. Санкт-Петербург, проспект Московский, д. 60/129 литера А часть помещения 1-Н ком. 195-207</t>
  </si>
  <si>
    <t>190000, г. Санкт-Петербург, набережная Реки Мойки, д. 75-79 литера д</t>
  </si>
  <si>
    <t>629800, Ямало-Ненецкий а.о., г. Ноябрьск, тер. Пелей Промузел, ПРОМЗОНА</t>
  </si>
  <si>
    <t>629809, Ямало-Ненецкий а.о., г. Ноябрьск, тер. Промузел Пелей, Панель Xvi, ПРОМЗОНА</t>
  </si>
  <si>
    <t>634045, Томская обл., г. Томск, ул. Нахимова, д. 13А стр. 1</t>
  </si>
  <si>
    <t>629305, Ямало-Ненецкий АО, г.о. город Новый Уренгой, г Новый Уренгой, ул Таежная, д. 30А, кабинет 508</t>
  </si>
  <si>
    <t>629809, Ямало-Ненецкий а.о., г. Ноябрьск, тер. Промузел Пелей, Панель Xv, д. 24</t>
  </si>
  <si>
    <t>629807, Ямало-Ненецкий а.о., г. Ноябрьск, ул. Ленина, д. 59/87</t>
  </si>
  <si>
    <t>460024, Оренбургская обл., г. Оренбург, ул. Краснознаменная, д. 56/1</t>
  </si>
  <si>
    <t>628011, Ханты-Мансийский Автономный Округ - Югра, г. Ханты-Мансийск, ул. Ленина, д. 56</t>
  </si>
  <si>
    <t>196084, г. Санкт-Петербург, ул. Киевская, д. 5 к. 4 Ч пом. 64-Н пом. 1 офис 5502</t>
  </si>
  <si>
    <t>117218, г. Москва, ул. Кржижановского, д. 14 к. 3 пом. XVII ком. 39</t>
  </si>
  <si>
    <t>629002, Ямало-Ненецкий а.о., г. Салехард, ул. Мира, д. 43А</t>
  </si>
  <si>
    <t>410031, Саратовская обл., г. Саратов, ул. Им Некрасова Н.А., д. 49А</t>
  </si>
  <si>
    <t>119021, г. Москва, вн.тер.г. муниципальный округ Хамовники, ул Льва Толстого, д. 5, стр. 2, помещ. 1/Н</t>
  </si>
  <si>
    <t>300026, Тульская обл., г. Тула, ул. Скуратовская, д. 108</t>
  </si>
  <si>
    <t>188352, Ленинградская обл., Гатчинский район, д. Алапурская, д. 13А</t>
  </si>
  <si>
    <t>196084, г. Санкт-Петербург, ул. Ташкентская, д. 3 к. 3 литера Б этаж / ком. 22/22</t>
  </si>
  <si>
    <t>119017, г. Москва, ул. Пятницкая, д. 37 Э 2 пом. I К 1 офис 112 (Бизнес-центр)</t>
  </si>
  <si>
    <t>623400, Свердловская обл., г. Каменск-Уральский, ул. Мусоргского, д. 4</t>
  </si>
  <si>
    <t>119526, г. Москва, проспект Вернадского, д. 101 к. 3</t>
  </si>
  <si>
    <t>117393, г. Москва, вн.тер.г. муниципальный округ Обручевский, ул Профсоюзная, д. 56, этаж 9, помещ. 41 (Торгово-офисный центр «Черемушки (Cherry Tower)»)</t>
  </si>
  <si>
    <t>628426, Ханты-Мансийский Автономный Округ - Югра, г. Сургут, проспект Мира, д. 43</t>
  </si>
  <si>
    <t>462633, Оренбургская обл., г. Гай, ул. Промышленная, д. 1</t>
  </si>
  <si>
    <t>107031, г. Москва, туп. Кисельный, д. 3 стр. 1 этаж / офис 3/1</t>
  </si>
  <si>
    <t>196006, г. Санкт-Петербург, проспект Лиговский, д. 254 литера К офис 400</t>
  </si>
  <si>
    <t>188301, Ленинградская обл., Гатчинский район, г. Гатчина, ул. 120 Гатчинской Дивизии, д. 1</t>
  </si>
  <si>
    <t>167000, Коми респ., г. Сыктывкар, ул. Южная, д. 7</t>
  </si>
  <si>
    <t>119034, г. Москва, ул. Пречистенка, д. 40/2 стр. 3 этаж 3 пом. 1 ком. 4</t>
  </si>
  <si>
    <t>119034, г. Москва, вн.тер.г. муниципальный округ Хамовники, ул Пречистенка, д. 40/2, стр. 1, этаж 3, помещ. XXIII (Офисно-жилой комплекс)</t>
  </si>
  <si>
    <t>119002, г. Москва, ул. Арбат, д. 44 стр. 1 пом. II часть ком. 5, ПОДВАЛ</t>
  </si>
  <si>
    <t>141506, Московская обл., г. Солнечногорск, ул. Красная, д. 58 пом. 8 этаж 7</t>
  </si>
  <si>
    <t>606210, Нижегородская обл., Лысковский район, г. Лысково, ул. Мичурина, д. 51</t>
  </si>
  <si>
    <t>108811, г. Москва, Московский пос., квартал 34, домовладение 2 стр. 1</t>
  </si>
  <si>
    <t>119180, г. Москва, ул. Большая Полянка, д. 7/10 стр. 3 пом. 2 ком. 17</t>
  </si>
  <si>
    <t>129337, г. Москва, ул. Красная Сосна, д. 30 стр. 1</t>
  </si>
  <si>
    <t>197345, г. Санкт-Петербург, ул. Оптиков, д. 22 литера А пом. 1-Н, офис 36</t>
  </si>
  <si>
    <t>127473, г. Москва, пер. 1-Й Волконский, д. 11 стр. 2 пом. 4</t>
  </si>
  <si>
    <t>298688, Крым респ., г. Ялта, с. Оползневое, ул. Генерала Острякова, д. 9</t>
  </si>
  <si>
    <t>141009, Московская обл., Мытищи г.о., г. Мытищи, ул. Колонцова, д. 4</t>
  </si>
  <si>
    <t>121170, г. Москва, вн.тер.г. муниципальный округ Дорогомилово, пр-кт Кутузовский, д. 36, стр. 6, этаж 4, пом/ком I/2,3 (Специализированный торговый центр «Азбука вкуса»)</t>
  </si>
  <si>
    <t>603028, Нижегородская обл., г. Нижний Новгород, ул. Металлистов, д. 1</t>
  </si>
  <si>
    <t>660115, Красноярский кр., г. Красноярск, ул. Норильская, д. 34 пом. 515</t>
  </si>
  <si>
    <t>196210, г. Санкт-Петербург, вн.тер.г. муниципальный округ Пулковский меридиан, ул Стартовая, д. 8, литера А, этаж 5</t>
  </si>
  <si>
    <t>121357, г. Москва, ул. Верейская, д. 29 стр. 134 ком. 56 (Бизнес-центр «Vereyskaya Plaza 3»)</t>
  </si>
  <si>
    <t>117393, г. Москва, ул. Архитектора Власова, д. 55 пом. 6 (Бизнес-центр «Воронцово»)</t>
  </si>
  <si>
    <t>356035, Ставропольский кр., Красногвардейский район, пос. Штурм, ул. Дачная, д. 8</t>
  </si>
  <si>
    <t>109147, г. Москва, ул. Воронцовская, д. 21А стр. 1</t>
  </si>
  <si>
    <t>685000, Магаданская обл., г. Магадан, ул. Билибина, д. 2-А офис 32</t>
  </si>
  <si>
    <t>127273, г. Москва, ул. Отрадная, д. 2Б стр. 9 этаж 10 каб. 1 (Бизнес-центр «Фаза II здание Б»)</t>
  </si>
  <si>
    <t>127273, г. Москва, ул. Отрадная, д. 2Б стр. 9 этаж 10 каб. 98 (Бизнес-центр «Фаза II здание Б»)</t>
  </si>
  <si>
    <t>119049, г. Москва, пер. 4-Й Добрынинский, д. 8 Э 7 пом. д. 07-I ком. 12</t>
  </si>
  <si>
    <t>143405, Московская обл., г. Красногорск, д. Гольево, ул. Центральная, д. 3 литера А,А1,А2,А, пом. 304</t>
  </si>
  <si>
    <t>344002, Ростовская обл., г. Ростов-На-Дону, ул. Московская, д. 63 офис 36</t>
  </si>
  <si>
    <t>195297, г. Санкт-Петербург, проспект Светлановский, д. 115 к. 1 литера А пом. 27-Н</t>
  </si>
  <si>
    <t>450097, Башкортостан Респ, г.о. город Уфа, г Уфа, б-р Хадии Давлетшиной, д. 11/1А, этаж 3</t>
  </si>
  <si>
    <t>197046, г. Санкт-Петербург, ул. Большая Посадская, д. 12 литера А пом. 107-Н</t>
  </si>
  <si>
    <t>127015, г. Москва, ул. Большая Новодмитровская, д. 23 стр. 3 этаж 5 пом. I ком. 1</t>
  </si>
  <si>
    <t>141407, Московская обл, г.о. Химки, г Химки, ул Бабакина, д. 5А, помещ. 313 (Бизнес-центр «Кристалл»)</t>
  </si>
  <si>
    <t>460038, Оренбургская обл., г. Оренбург, проспект Дзержинского, д. 2/2 пом. 18</t>
  </si>
  <si>
    <t>306212, Курская обл., Пристенский район, с. Нагольное, ул. Центральная, д. 1</t>
  </si>
  <si>
    <t>143090, Московская обл., г. Краснознаменск, ул. Строителей, д. 15</t>
  </si>
  <si>
    <t>663090, Красноярский край, г.о. город Дивногорск, г Дивногорск, проезд Нижний, зд. 13/11, помещ. 9</t>
  </si>
  <si>
    <t>354000, Краснодарский кр., г. Сочи, ул. Орджоникидзе (Центральный Р-Н), д. 11 пом. 21</t>
  </si>
  <si>
    <t>625023, Тюменская обл., г. Тюмень, ул. Республики, д. 173</t>
  </si>
  <si>
    <t>127015, г. Москва, ул. Бутырская, д. 87 офис 5 (Бизнес-центр на Ул. Бутырская, 87)</t>
  </si>
  <si>
    <t>630025, Новосибирская обл., г. Новосибирск, ул. Электровозная, д. 1</t>
  </si>
  <si>
    <t>192102, г. Санкт-Петербург, ул. Витебская Сортировочная, д. 34 литера И офис 37</t>
  </si>
  <si>
    <t>109012, г. Москва, пер. Малый Черкасский, д. 2 пом. XIV ком. 13</t>
  </si>
  <si>
    <t>105066, г. Москва, вн.тер.г. муниципальный округ Басманный, ул Нижняя Красносельская, д. 35, стр. 9, этаж 7, ком./офис 1/5</t>
  </si>
  <si>
    <t>385600, Адыгея респ., Гиагинский район, станица Гиагинская, ул. Ленина, д. 142</t>
  </si>
  <si>
    <t>109129, г. Москва, ул. 8-Я Текстильщиков, д. 11 пом. I ком. 34 офис 527</t>
  </si>
  <si>
    <t>119421, г. Москва, ул. Новаторов, д. 1</t>
  </si>
  <si>
    <t>694530, Сахалинская обл., Курильский район, г. Курильск, ул. Заречная, д. 11 к. А</t>
  </si>
  <si>
    <t>192102, г. Санкт-Петербург, ул. Бухарестская, д. 24 к. 1 литера А пом. № 24 ВХОД 15-Н офис 312 3 этаж</t>
  </si>
  <si>
    <t>196140, г. Санкт-Петербург, ул. Шереметьевская, д. 13 литера А офис 502</t>
  </si>
  <si>
    <t>141109, Московская обл., г. Щёлково, проспект Пролетарский, д. 18</t>
  </si>
  <si>
    <t>119334, г. Москва, ул. Вавилова, д. 24 к. 1</t>
  </si>
  <si>
    <t>625000, Тюменская обл., г. Тюмень, ул. Республики, д. 62</t>
  </si>
  <si>
    <t>456313, Челябинская обл., г. Миасс, ул. Севастопольская, д. 1А</t>
  </si>
  <si>
    <t>352162, Краснодарский кр., Гулькевичский район, пгт. Гирей, ул. Октябрьская, д. 2</t>
  </si>
  <si>
    <t>440015, Пензенская обл., г. Пенза, ул. Аустрина, д. 169</t>
  </si>
  <si>
    <t>142180, Московская обл., г. Подольск, ул. Индустриальная (Климовск Мкр.), д. 11</t>
  </si>
  <si>
    <t>238460, Калининградская обл., Багратионовский район, пос. Совхозное, ул. Победы, д. 1</t>
  </si>
  <si>
    <t>460005, Оренбургская обл., г. Оренбург, ул. Макаровой-Мутновой, д. 161 стр. 1</t>
  </si>
  <si>
    <t>196158, г. Санкт-Петербург, шоссе Московское, д. 15А литера В офис 2</t>
  </si>
  <si>
    <t>197110, г. Санкт-Петербург, набережная Гребного Канала, д. 1 стр. 1 пом. 91-Н</t>
  </si>
  <si>
    <t>195067, г. Санкт-Петербург, ул. Маршала Тухачевского, д. 24 литера А пом. / офис 2-Н/127</t>
  </si>
  <si>
    <t>150001, Ярославская обл., г. Ярославль, ул. Большая Федоровская, д. 63 пом. 1-6,8,9</t>
  </si>
  <si>
    <t>123112, г. Москва, вн.тер.г. муниципальный округ Пресненский, наб Пресненская, д. 12, этаж 57, офис 9 (Многофункциональный комплекс «Башня Федерация»)</t>
  </si>
  <si>
    <t>180004, Псковская обл., г. Псков, ул. Советской Армии, д. 56 каб. 3</t>
  </si>
  <si>
    <t>188310, Ленинградская обл, м.р-н Гатчинский, г.п. Гатчинское, г Гатчина, ул Авиатриссы Зверевой, д. 14, помещ. 18-Н</t>
  </si>
  <si>
    <t>107078, г. Москва, пер. Орликов, д. 5 стр. 1А офис В (Бизнес-центр «Orlikov Plaza строение 1А»)</t>
  </si>
  <si>
    <t>142702, Московская обл., г. Видное, рабочий пос. Бутово, тер. Жилой Комплекс Бутово-Парк, д. 18 к. 1 пом. 59</t>
  </si>
  <si>
    <t>125445, г. Москва, вн.тер.г. муниципальный округ Левобережный, ш Ленинградское, д. 130, к. 1, этаж/помещ. 1/XIV, ком./офис 4/17/2</t>
  </si>
  <si>
    <t>454090, Челябинская обл., г. Челябинск, ул. Тимирязева, д. 5</t>
  </si>
  <si>
    <t>143082, Московская обл, г.о. Одинцовский, д Раздоры, ул Липовой Рощи, д. 1, к. 3, помещ. 18, ком. 3</t>
  </si>
  <si>
    <t>353290, Краснодарский кр., г. Горячий Ключ, ул. Революции, д. 4 офис 1</t>
  </si>
  <si>
    <t>628422, Ханты-Мансийский Автономный Округ - Югра, г. Сургут, ул. Промышленная, д. 5</t>
  </si>
  <si>
    <t>660079, Красноярский кр., г. Красноярск, ул. Лесопильщиков, д. 156 стр. 11</t>
  </si>
  <si>
    <t>123056, г. Москва, вн.тер.г. муниципальный округ Пресненский, ул Большая Грузинская, д. 30А, стр. 1, помещ. 414</t>
  </si>
  <si>
    <t>603004, Нижегородская обл, г.о. город Нижний Новгород, г Нижний Новгород, пр-кт Ленина, д. 107, кабинет 219</t>
  </si>
  <si>
    <t>119571, г. Москва, проспект Ленинский, д. 158 этаж / пом. / ком. / офис 2/II/30/0237</t>
  </si>
  <si>
    <t>141281, Московская обл., г. Ивантеевка, проезд Санаторный, д. 1 к. 4А пом. / ком. 1/22</t>
  </si>
  <si>
    <t>165210, Архангельская обл, м.о. Устьянский, рп Октябрьский, ул Заводская, д. 17, офис 1</t>
  </si>
  <si>
    <t>300026, Тульская обл., г. Тула, ул. Киреевская, д. 39</t>
  </si>
  <si>
    <t>197348, г. Санкт-Петербург, проспект Богатырский, д. 2, литера А каб. 4.12</t>
  </si>
  <si>
    <t>690089, Приморский кр., г. Владивосток, ул. Тухачевского, д. 48А</t>
  </si>
  <si>
    <t>427629, Удмуртская респ., г. Глазов, тракт Красногорский, д. 15</t>
  </si>
  <si>
    <t>392028, Тамбовская обл., г. Тамбов, ул. Бастионная, д. 1 офис 8 (Производственный комплекс)</t>
  </si>
  <si>
    <t>199106, г. Санкт-Петербург, вн.тер.г. муниципальный округ Гавань, ул. Шкиперский проток, д. 12, к. 2, стр. 1, помещ. 1Н, часть помещ. 409</t>
  </si>
  <si>
    <t>125212, г. Москва, ул. Адмирала Макарова, д. 6 стр. 13 литера А часть пом. №100 этаж 2 (Бизнес-центр "Невский причал")</t>
  </si>
  <si>
    <t>127322, г. Москва, вн.тер.г. муниципальный округ Бутырский, ул Добролюбова, д. 29/16, помещ. 35/2</t>
  </si>
  <si>
    <t>117556, г. Москва, шоссе Варшавское, д. 95 к. 1 этаж - 1 ком. 18</t>
  </si>
  <si>
    <t>117574, г. Москва, проезд Одоевского, д. 2А пом. XI ком. 17 офис 405 (Бизнес-центр «Голубино»)</t>
  </si>
  <si>
    <t>630091, Новосибирская обл., г. Новосибирск, ул. Каменская, д. 64А офис 114</t>
  </si>
  <si>
    <t>117623, г. Москва, ул. 2-Я Мелитопольская, д. 21 к. 2 Э 1 пом. Х К 1 офис 31</t>
  </si>
  <si>
    <t>199034, г. Санкт-Петербург, вн.тер.г. муниципальный округ № 7, наб Лейтенанта Шмидта, д. 5/16, литера А, помещ. 2-Н, КОМ.№65</t>
  </si>
  <si>
    <t>119034, г. Москва, ул. Пречистенка, д. 20</t>
  </si>
  <si>
    <t>190020, г. Санкт-Петербург, вн.тер.г. муниципальный округ Екатерингофский, ул Лифляндская, д. 6, литера Д, офис 403, раб. место 1,2,3 (Бизнес-центр «Интеграл»)</t>
  </si>
  <si>
    <t>650000, Кемеровская область - Кузбасс, г.о. Кемеровский, г Кемерово, пр-кт Кузнецкий, д. 30, офис 311</t>
  </si>
  <si>
    <t>125167, г. Москва, проспект Ленинградский, д. 37А к. 4 Э 3 пом. XV ком. 1</t>
  </si>
  <si>
    <t>123112, г. Москва, набережная Пресненская, д. 10 пом. III, ком. 9, этаж 6 (Бизнес-центр «Naberezhnaya Tower»)</t>
  </si>
  <si>
    <t>141270, Московская обл., г. Пушкино, рабочий пос. Софрино, ул. Победы, д. 10 этаж / пом. 3/302</t>
  </si>
  <si>
    <t>115280, г. Москва, вн.тер.г. муниципальный округ Даниловский, ул Ленинская Слобода, д. 26, стр. 3, этаж 2, ПОМЕЩ. I, КОМ. 43</t>
  </si>
  <si>
    <t>115035, г. Москва, набережная Овчинниковская, д. 22/24 стр. 1 пом. 36</t>
  </si>
  <si>
    <t>105082, г. Москва, ул. Большая Почтовая, д. 22 к. 5 этаж 3 пом. 8-9</t>
  </si>
  <si>
    <t>119048, г. Москва, вн.тер.г. муниципальный округ Хамовники, ул Лужники, д. 24, стр. 22, этаж 1, ком. 117</t>
  </si>
  <si>
    <t>123112, г. Москва, набережная Пресненская, д. 6 стр. 2 пом. 1 ком. 21 (Деловой комплекс "Империя")</t>
  </si>
  <si>
    <t>121087, г. Москва, вн.тер.г. муниципальный округ Филевский парк, ул Барклая, д. 6, стр. 5, этаж 1, ком. 101/3 (Бизнес-центр «Barklay Plaza (Барклай Плаза)» )</t>
  </si>
  <si>
    <t>634021, Томская обл., г. Томск, ул. Кулагина, д. 6А стр. 6</t>
  </si>
  <si>
    <t>125315, г. Москва, проспект Ленинградский, д. 72 к. 2 этаж 5 пом. VII ком. 12А</t>
  </si>
  <si>
    <t>111116, г. Москва, ул. Авиамоторная, д. 6 стр. 8 пом. / ком. II/13</t>
  </si>
  <si>
    <t>142407, Московская обл., г. Ногинск, ул. 5-Ая Доможировская, д. 51</t>
  </si>
  <si>
    <t>420111, Татарстан респ., г. Казань, ул. Лево-Булачная, д. 28 пом. 1002</t>
  </si>
  <si>
    <t>117452, г. Москва, вн.тер.г. муниципальный округ Зюзино, б-р Черноморский, д. 17, к. 1, помещ. 5/3/5</t>
  </si>
  <si>
    <t>433300, Ульяновская обл., г. Новоульяновск, проезд Промышленный, д. 7Б</t>
  </si>
  <si>
    <t>123056, г. Москва, вн.тер.г. муниципальный округ Пресненский, ул Юлиуса Фучика, д. 6, стр. 2, этаж/помещ. 4/5 (Бизнес-центр «Тишинский»)</t>
  </si>
  <si>
    <t>141100, Московская обл., г. Щёлково, ул. Советская, д. 16 стр. 2 пом. 204</t>
  </si>
  <si>
    <t>197374, г. Санкт-Петербург, ул. Савушкина, д. 126 литера Б пом. 62-Н</t>
  </si>
  <si>
    <t>344090, Ростовская обл., г. Ростов-На-Дону, проспект Стачки, д. 184</t>
  </si>
  <si>
    <t>119530, г. Москва, вн.тер.г. муниципальный округ Очаково-Матвеевское, ш. Очаковское, д. 28, стр. 2, этаж/помещ 5/V, ком. 1 (Бизнес-парк "Дорохoff" (Дорохофф))</t>
  </si>
  <si>
    <t>111024, г. Москва, вн.тер.г. муниципальный округ Перово, ул 2-я Энтузиастов, д. 5, к. 40, помещ. 34/3</t>
  </si>
  <si>
    <t>397908, Воронежская обл., Лискинский район, г. Лиски, ул. Индустриальная, д. 15</t>
  </si>
  <si>
    <t>692446, Приморский кр., г. Дальнегорск, проспект 50 Лет Октября, д. 93</t>
  </si>
  <si>
    <t>625001, Тюменская обл., г. Тюмень, ул. Военная, д. 44</t>
  </si>
  <si>
    <t>125373, г. Москва, проезд Походный, домовладение 3 стр. 1</t>
  </si>
  <si>
    <t>194044, г. Санкт-Петербург, проспект Большой Сампсониевский, д. 64 литера Е пом. 2-Н, этаж 4, каб. 103, офис 401 (Бизнес-центр на Большом Сампсониевсом Проспекте, 64Е)</t>
  </si>
  <si>
    <t>119002, г. Москва, пер. Большой Николопесковский, д. 13 пом. I ком. 3</t>
  </si>
  <si>
    <t>121352, г. Москва, бульвар Славянский, д. 9 к. 1 этаж 1 пом. II ком. 50А</t>
  </si>
  <si>
    <t>197046, г. Санкт-Петербург, тер. Петропавловская Крепость, д. 3 литера Г</t>
  </si>
  <si>
    <t>678960, Саха /Якутия/ респ., Нерюнгринский район, г. Нерюнгри, тер. 1.7 Км На Юг От Устья Ручья Дежневка, стр. 1</t>
  </si>
  <si>
    <t>410064, Саратовская обл., г. Саратов, ул. Им Тархова С.Ф., д. 19В пом. 123</t>
  </si>
  <si>
    <t>117452, г. Москва, бульвар Черноморский, д. 17 к. 1 этаж 4 офис 401 каб. 3</t>
  </si>
  <si>
    <t>117218, г. Москва, ул. Большая Черёмушкинская, д. 34 ком. 64-65</t>
  </si>
  <si>
    <t>109044, г. Москва, ул. Динамовская, д. 1А этаж 4 пом. III К 5 офис 404 (Бизнес-центр)</t>
  </si>
  <si>
    <t>364047, Чеченская респ., г. Грозный, пер. Гудермесский 5-Й, д. 27</t>
  </si>
  <si>
    <t>630099, Новосибирская обл., г. Новосибирск, ул. Революции, д. 5</t>
  </si>
  <si>
    <t>121087, г. Москва, вн.тер.г. муниципальный округ Филевский парк, пр-д Багратионовский, д. 7, к. 20В, офис 622</t>
  </si>
  <si>
    <t>663412, Красноярский кр., Мотыгинский район, пос. Новоангарск, ул. 1-Й Квартал, д. 1 каб. 8</t>
  </si>
  <si>
    <t>119180, г. Москва, набережная Якиманская, д. 4 стр. 1 этаж пом. ком. 3 I 55 (Бизнес-квартал «Голутвинская Слобода»)</t>
  </si>
  <si>
    <t>660075, Красноярский край, г.о. город Красноярск, г Красноярск, ул Маерчака, д. 38, антресоль/этаж № 1/№ 10, помещ. 802</t>
  </si>
  <si>
    <t>628520, Ханты-Мансийский Автономный Округ - Югра, Ханты-Мансийский район, пос. Горноправдинск, ул. Дорожная, д. 2 к. д</t>
  </si>
  <si>
    <t>656031, Алтайский кр., г. Барнаул, проспект Строителей, д. 117</t>
  </si>
  <si>
    <t>620075, Свердловская обл., г. Екатеринбург, ул. Мамина-Сибиряка стр. 145 офис 6424</t>
  </si>
  <si>
    <t>115304, г. Москва, ул. Каспийская, д. 22 к. 1 стр. 5 Э 5 пом. IX К 17А офис 59</t>
  </si>
  <si>
    <t>620144, Свердловская обл., г. Екатеринбург, ул. Московская, д. 195 кв. 814</t>
  </si>
  <si>
    <t>649000, Алтай респ., г. Горно-Алтайск, ул. Комсомольская, д. 4</t>
  </si>
  <si>
    <t>618820, Пермский край, г.о. Горнозаводский, г Горнозаводск, тер. Горнозаводскцемент, зд. 1</t>
  </si>
  <si>
    <t>694740, Сахалинская обл., Невельский район, г. Невельск, ул. Береговая, д. 84</t>
  </si>
  <si>
    <t>111020, г. Москва, ул. Сторожевая, д. 26 стр. 1 пом. № 315 (Бизнес-центр на Ул. Сторожевая, 26С1)</t>
  </si>
  <si>
    <t>123290, г. Москва, туп. 1-Й Магистральный, д. 11 стр. 1 этаж 2 пом. IV ком. 2</t>
  </si>
  <si>
    <t>606503, Нижегородская обл., Городецкий район, г. Городец, ул. Республиканская, д. 91</t>
  </si>
  <si>
    <t>115054, г. Москва, ул. Валовая, д. 8/18</t>
  </si>
  <si>
    <t>620142, Свердловская обл., г. Екатеринбург, ул. Фрунзе, д. 26</t>
  </si>
  <si>
    <t>628615, Ханты-Мансийский Автономный Округ - Югра, г. Нижневартовск, ул. Северная, д. 54А к. 1</t>
  </si>
  <si>
    <t>125167, г. Москва, проспект Ленинградский, д. 37 к. 7</t>
  </si>
  <si>
    <t>123007, г. Москва, ул. 3-Я Магистральная, д. 18 стр. 14</t>
  </si>
  <si>
    <t>422490, Татарстан респ., Дрожжановский район, пос. Ж/Д Станция Бурундуки, ул. Элеваторная, д. ЗД 1А</t>
  </si>
  <si>
    <t>188682, Ленинградская обл., Всеволожский район, д. Новосаратовка, д. 6 литера А офис 1</t>
  </si>
  <si>
    <t>307170, Курская обл, г.о. город Железногорск, г Железногорск, мкр Промплощадка-3, зд. 15/1</t>
  </si>
  <si>
    <t>307170, Курская обл, г.о. город Железногорск, г Железногорск, мкр Промплощадка-3, зд. 12/9</t>
  </si>
  <si>
    <t>301661, Тульская обл., Новомосковский район, г. Новомосковск, шоссе Комсомольское, д. 64</t>
  </si>
  <si>
    <t>630533, Новосибирская обл., Новосибирский район, пос. Красный Яр, тер. Промышленная, д. ЗД. 1 этаж 3 пом. 17</t>
  </si>
  <si>
    <t>308009, Белгородская обл., г. Белгород, ул. Волчанская, д. 141</t>
  </si>
  <si>
    <t>121596, г. Москва, ул. Горбунова, д. 2 стр. 3 пом. II этаж 8 ком. 5Е (Бизнес центр "Гранд Сетунь Плаза")</t>
  </si>
  <si>
    <t>121471, г. Москва, ул. Рябиновая, д. 22А стр. 2</t>
  </si>
  <si>
    <t>119071, г. Москва, проспект Ленинский, д. 15 (Офисное здание «Ленинский 15»)</t>
  </si>
  <si>
    <t>117418, г. Москва, ул. Новочерёмушкинская, д. 63 пом. Х, этаж 4 ком. 31</t>
  </si>
  <si>
    <t>117418, г. Москва, ул. Новочерёмушкинская, д. 63 ком. 101</t>
  </si>
  <si>
    <t>117418, г. Москва, ул. Новочерёмушкинская, д. 63</t>
  </si>
  <si>
    <t>399053, Липецкая обл., Грязинский район, г. Грязи, ул. Чайковского, д. 4</t>
  </si>
  <si>
    <t>197198, г. Санкт-Петербург, пер. Зоологический, д. 2-4 литера Б</t>
  </si>
  <si>
    <t>666901, Иркутская обл., г. Бодайбо, ул. Лесная, д. 62</t>
  </si>
  <si>
    <t>107078, г. Москва, пер. Докучаев, д. 3 стр. 1</t>
  </si>
  <si>
    <t>614025, Пермский кр., г. Пермь, ул. Героев Хасана, д. 74</t>
  </si>
  <si>
    <t>127322, г. Москва, проезд Огородный, д. 20 стр. 27 пом. 13 (Бизнес-центр «Огородный, 20 строение 27»)</t>
  </si>
  <si>
    <t>194292, г. Санкт-Петербург, пер. 6-Й Верхний, д. 12 литера А пом. 403 (Бизнес-центр «Парнас Центр»)</t>
  </si>
  <si>
    <t>249191, Калужская обл, м.р-н Жуковский, г.п. город Жуков, г Жуков, ул Коммунистическая, зд. 2А, офис 7</t>
  </si>
  <si>
    <t>115088, г. Москва, вн.тер.г. муниципальный округ Печатники, проезд 2-й Южнопортовый, д. 20А, стр. 4, эт./помещ. 3/IV</t>
  </si>
  <si>
    <t>350066, Краснодарский кр., г. Краснодар, ул. Сормовская, д. 98 каб. 37/1</t>
  </si>
  <si>
    <t>101000, г. Москва, вн.тер.г. муниципальный округ Красносельский, пер Уланский, д. 22, стр. 1, этаж 6, ком/офис 83/9</t>
  </si>
  <si>
    <t>420111, Татарстан респ., г. Казань, ул. Тази Гиззата, д. 3</t>
  </si>
  <si>
    <t>630005, Новосибирская обл, г.о. город Новосибирск, г Новосибирск, ул Демьяна Бедного, д. 57, офис 24/1</t>
  </si>
  <si>
    <t>456216, Челябинская обл., г. Златоуст, проезд Парковый, д. 2 офис 27</t>
  </si>
  <si>
    <t>603003, Нижегородская обл, г.о. город Нижний Новгород, г Нижний Новгород, ул Дмитрия Павлова, д. 13А, офис 9</t>
  </si>
  <si>
    <t>123610, г. Москва, вн.тер.г. муниципальный округ Пресненский, наб Краснопресненская, д. 12, помещ. 1/13 (Бизнес-центр «Центр Международной Торговли»)</t>
  </si>
  <si>
    <t>350066, Краснодарский кр., г. Краснодар, ул. Бородинская, д. 14 пом. 311</t>
  </si>
  <si>
    <t>675028, Амурская обл., г. Благовещенск, ул. Текстильная, д. 118 литера А5 этаж 3 пом. 2</t>
  </si>
  <si>
    <t>620100, Свердловская обл., г. Екатеринбург, тракт Сибирский, д. 12 стр. 7 офис 202А (Бизнес-парк «Деловой Квартал»)</t>
  </si>
  <si>
    <t>420087, Татарстан респ., г. Казань, ул. Родины, д. 20Б</t>
  </si>
  <si>
    <t>150001, Ярославская обл., г. Ярославль, ул. 2-Я Мельничная, д. 36 к. 3 пом. 1-12</t>
  </si>
  <si>
    <t>125047, г. Москва, вн.тер.г. муниципальный округ Тверской, ул 1-я Тверская-Ямская, д. 21</t>
  </si>
  <si>
    <t>214012, Смоленская обл., г. Смоленск, ул. Ново-Ленинградская, д. 11 кв. 5</t>
  </si>
  <si>
    <t>119048, г. Москва, пер. Учебный, д. 4 стр. 1 ком. 9</t>
  </si>
  <si>
    <t>119048, г. Москва, пер. Учебный, д. 4 стр. 1 ком. 6</t>
  </si>
  <si>
    <t>305000, Курская обл., г. Курск, ул. Володарского, д. 70 офис 4/1</t>
  </si>
  <si>
    <t>249080, Калужская обл., Малоярославецкий район, с. Детчино, ул. Индустриальная, д. 3</t>
  </si>
  <si>
    <t>352041, Краснодарский кр., Павловский район, станица Павловская, ул. Хлебная, д. 4</t>
  </si>
  <si>
    <t>117556, г. Москва, шоссе Варшавское, д. 74 к. 3</t>
  </si>
  <si>
    <t>654018, Кемеровская область - Кузбасс, г. Новокузнецк, ул. Полесская (Куйбышевский Р-Н), д. 15 этаж 1</t>
  </si>
  <si>
    <t>109428, г. Москва, проспект Рязанский, д. 8А стр. 1 Э 4 П VI К 75,76 офис 417 (Бизнес-центр «Рязанский»)</t>
  </si>
  <si>
    <t>346703, Ростовская обл., Аксайский район, хутор Маяковского, ул. Заводская, д. 49</t>
  </si>
  <si>
    <t>196240, г. Санкт-Петербург, вн.тер.г. муниципальный округ Новоизмайловское, ул Варшавская, д. 71, к. 2, литера А, кв. 17</t>
  </si>
  <si>
    <t>423100, Татарстан респ., Черемшанский район, с. Черемшан, ул. Советская, д. 32 пом. 316</t>
  </si>
  <si>
    <t>692183, Приморский кр., Красноармейский район, пгт. Восток, ул. Набережная, д. 3</t>
  </si>
  <si>
    <t>672038, Забайкальский край, г.о. город Чита, г Чита, ул Шилова, д. 99Г, соор. 1</t>
  </si>
  <si>
    <t>364037, Чеченская Респ, г.о. город Грозный, г Грозный, р-н Ахматовский, ул Чайковского, д. 14</t>
  </si>
  <si>
    <t>117342, г. Москва, ул. Бутлерова, д. 17Б пом. XI ком. 60 Е</t>
  </si>
  <si>
    <t>125212, г. Москва, шоссе Ленинградское, д. 39 стр. 2 этаж 3 пом. 2 (Многофункциональный комплекс «Marina Business Park»)</t>
  </si>
  <si>
    <t>105005, г. Москва, ул. Радио, д. 24 к. 1 этаж 5 пом. VIII</t>
  </si>
  <si>
    <t>107140, г. Москва, ул. Верхняя Красносельская, д. 16</t>
  </si>
  <si>
    <t>423823, Татарстан Респ, г.о. город Набережные Челны, г Набережные Челны, пр-кт Сююмбике, д. 26, офис 409</t>
  </si>
  <si>
    <t>119071, г. Москва, проспект Ленинский, д. 29 стр. 5</t>
  </si>
  <si>
    <t>191025, г. Санкт-Петербург, ул. Марата, д. 17</t>
  </si>
  <si>
    <t>129090, г. Москва, проспект Мира, д. 24 стр. 1 (Бизнес-центр «Проспект Мира 24»)</t>
  </si>
  <si>
    <t>630108, Новосибирская обл., г. Новосибирск, ул. Станционная, д. 38 офис 135</t>
  </si>
  <si>
    <t>192102, г. Санкт-Петербург, ул. Бухарестская, д. 1 литера А пом. 11-Н офис 4</t>
  </si>
  <si>
    <t>123056, г. Москва, пер. Грузинский, д. 3А</t>
  </si>
  <si>
    <t>390013, Рязанская Область обл., г. Рязань, ул. Чкалова, д. 10А офис 10</t>
  </si>
  <si>
    <t>141011, Московская обл., г. Мытищи, ул. Коммунистическая, владение 21А стр. 1 пом. 1</t>
  </si>
  <si>
    <t>392000, Тамбовская обл., г. Тамбов, ул. Студенецкая Набережная, д. 20В этаж / пом. 3/303</t>
  </si>
  <si>
    <t>141402, Московская обл., г. Химки, ул. Ленинградская, стр. 25 (Бизнес-центр «Mebe One Khimki Plaza»)</t>
  </si>
  <si>
    <t>196158, г. Санкт-Петербург, шоссе Московское, д. 13 к. 6 литера А Б д</t>
  </si>
  <si>
    <t>190031, г. Санкт-Петербург, ул. Казанская, д. 36ЛИТЕРБ этаж 4 пом. 32-Н (18) каб. 404</t>
  </si>
  <si>
    <t>603024, Нижегородская обл, г.о. город Нижний Новгород, г Нижний Новгород, ул Невзоровых, д. 87, помещ. 10</t>
  </si>
  <si>
    <t>123112, г. Москва, вн.тер.г. муниципальный округ Пресненский, наб Пресненская, д. 12, этаж/помещение 16/9.5 (Многофункциональный комплекс «Башня Федерация»)</t>
  </si>
  <si>
    <t>656043, Алтайский кр., г. Барнаул, ул. Пролетарская, д. 76 офис 202</t>
  </si>
  <si>
    <t>125171, г. Москва, шоссе Ленинградское, д. 16А стр. 3 пом. XII</t>
  </si>
  <si>
    <t>620026, Свердловская обл., г. Екатеринбург, ул. Розы Люксембург, д. 51</t>
  </si>
  <si>
    <t>141008, Московская обл., г. Мытищи, проезд Проектируемый 5274 стр. 7</t>
  </si>
  <si>
    <t>347711, Ростовская обл., Кагальницкий район, пос. Мокрый Батай, ул. Зеленая, д. ЗД. 9</t>
  </si>
  <si>
    <t>127051, г. Москва, вн.тер.г. муниципальный округ Мещанский, б-р Цветной, д. 2, эт/пом/ком 3/II/9А (Многофункциональный комплекс «Легенда Цветного»)</t>
  </si>
  <si>
    <t>119297, г. Москва, вн.тер.г. поселение Московский, кв-л 32, д. 17В, стр. 1</t>
  </si>
  <si>
    <t>238312, Калининградская обл., Гурьевский район, пос. Прибрежное, ул. Калининградское Шоссе, д. 1 пом. 1</t>
  </si>
  <si>
    <t>399053, Липецкая обл., Грязинский район, г. Грязи, ул. Крылова, д. 4</t>
  </si>
  <si>
    <t>121087, г. Москва, вн.тер.г. муниципальный округ Филевский парк, пр-д Береговой, д. 3, подъезд/этаж 4/1, помещ./ком. 519Н/8</t>
  </si>
  <si>
    <t>190020, г. Санкт-Петербург, набережная Обводного Канала, д. 138 к. 2 литера АТ, пом. 46Н</t>
  </si>
  <si>
    <t>117420, г. Москва, вн.тер.г. муниципальный округ Черемушки, ул Намёткина, д. 12А, этаж 4, ком. 411 (Бизнес-центр «Газойл Плаза»)</t>
  </si>
  <si>
    <t>196084, г. Санкт-Петербург, вн.тер.г. муниципальный округ Московская застава, ул Ташкентская, д. 3, к. 3, литера Б, этаж 14, ком. 1420</t>
  </si>
  <si>
    <t>196084, г. Санкт-Петербург, ул. Ташкентская, д. 3 к. 3 литера Б этаж / ком. 11/14</t>
  </si>
  <si>
    <t>196084, г. Санкт-Петербург, ул. Ташкентская, д. 3 к. 3 литера Б этаж / ком. 7/20</t>
  </si>
  <si>
    <t>196084, г. Санкт-Петербург, ул. Ташкентская, д. 3 к. 3 литера Б этаж / ком. 13/14</t>
  </si>
  <si>
    <t>196084, г. Санкт-Петербург, ул. Ташкентская, д. 3 к. 3 литера Б этаж / пом. 17/1718</t>
  </si>
  <si>
    <t>196084, г. Санкт-Петербург, вн.тер.г. муниципальный округ Московская застава, ул Ташкентская, д. 3, к. 3, литера Б, этаж 6, ком. 0627</t>
  </si>
  <si>
    <t>196653, г. Санкт-Петербург, вн.тер.г. город Колпино, г Колпино, ул Финляндская, д. 5, литера А, помещ. 7-Н, ком. 10</t>
  </si>
  <si>
    <t>121357, г. Москва, вн.тер.г. муниципальный округ Можайский, ул Верейская, д. 17, этаж 3, офис 301А (Бизнес-центр «Vereyskaya Plaza 2»)</t>
  </si>
  <si>
    <t>117292, г. Москва, проспект Нахимовский, д. 52/27 этаж 1 ком. Б офис 27</t>
  </si>
  <si>
    <t>105066, г. Москва, ул. Нижняя Красносельская, д. 39 стр. 1 пом. XVIII ком. 21</t>
  </si>
  <si>
    <t>629008, Ямало-Ненецкий а.о., г. Салехард, ул. Республики, д. 73 ком. 100</t>
  </si>
  <si>
    <t>628403, Ханты-Мансийский Автономный Округ - Югра, г. Сургут, ул. Маяковского, д. 15</t>
  </si>
  <si>
    <t>618250, Пермский кр., г. Губаха, ул. Торговая, д. 1</t>
  </si>
  <si>
    <t>660049, Красноярский кр., г. Красноярск, проспект Мира, д. 75</t>
  </si>
  <si>
    <t>309182, Белгородская обл., г. Губкин, ул. Логовая, д. 1</t>
  </si>
  <si>
    <t>125315, г. Москва, ул. Часовая, д. 28 к. 4 этаж 1 ком. 67</t>
  </si>
  <si>
    <t>620100, Свердловская обл., г. Екатеринбург, тракт Сибирский, д. 34Б</t>
  </si>
  <si>
    <t>350002, Краснодарский кр., г. Краснодар, ул. Садовая, д. 112</t>
  </si>
  <si>
    <t>432023, Ульяновская обл., г. Ульяновск, ул. Профсоюзная, д. 58</t>
  </si>
  <si>
    <t>352192, Краснодарский кр., Гулькевичский район, г. Гулькевичи, ул. Энергетиков, д. 29</t>
  </si>
  <si>
    <t>143402, Московская обл., г. Красногорск, квартал Коммунальный, д. 3</t>
  </si>
  <si>
    <t>652780, Кемеровская область - Кузбасс, Гурьевский район, г. Гурьевск, ул. Ю.Гагарина, д. 1</t>
  </si>
  <si>
    <t>601506, Владимирская обл., г. Гусь-Хрустальный, ул. Транспортная, д. 57</t>
  </si>
  <si>
    <t>117418, г. Москва, ул. Новочерёмушкинская, д. 65 офис 807 (Бизнес-центр на Ул. Новочерёмушкинская, 65)</t>
  </si>
  <si>
    <t>125363, г. Москва, ул. Сходненская, д. 46/14 пом. VII ком. 1</t>
  </si>
  <si>
    <t>129626, г. Москва, ул. 1-Я Мытищинская, д. 17</t>
  </si>
  <si>
    <t>241525, Брянская обл, м.р-н Брянский, с.п. Глинищевское, с Глинищево, ул Заводская, стр. 1</t>
  </si>
  <si>
    <t>121170, г. Москва, вн.тер.г. муниципальный округ Дорогомилово, ул Неверовского, д. 10, стр. 3, этаж/пом. 5/11, ком./офис 8/32 (Бизнес-центр "Crosswall" (Кроссволл))</t>
  </si>
  <si>
    <t>117393, г. Москва, ул. Академика Пилюгина, д. 22 этаж 17 пом. XXXIX ком. 1 (Бизнес-центр «Алгоритм»)</t>
  </si>
  <si>
    <t>629306, Ямало-Ненецкий АО, г.о. город Новый Уренгой, г Новый Уренгой, ул Промысловая, д. 45</t>
  </si>
  <si>
    <t>450098, Башкортостан респ., г. Уфа, ул. Рудольфа Нуреева, д. 21 литера А</t>
  </si>
  <si>
    <t>121059, г. Москва, ул. Брянская, д. 5 этаж 4 пом. I ком. 1-10 (Бизнес-центр «Европа Билдинг»)</t>
  </si>
  <si>
    <t>115304, г. Москва, ул. Каспийская, д. 22 к. 1 стр. 5 пом. VII К 31А этаж 3</t>
  </si>
  <si>
    <t>390043, Рязанская Область обл., г. Рязань, проезд Шабулина, д. 16</t>
  </si>
  <si>
    <t>195220, г. Санкт-Петербург, ул. Гжатская, д. 22 к. 2 кв. 224</t>
  </si>
  <si>
    <t>141802, Московская обл., г. Дмитров, ул. Космонавтов, д. 59</t>
  </si>
  <si>
    <t>141734, Московская обл., г. Лобня, шоссе Краснополянское, д. 4</t>
  </si>
  <si>
    <t>453402, Башкортостан респ., Давлекановский район, г. Давлеканово, ул. Элеваторская, д. 4</t>
  </si>
  <si>
    <t>295047, Крым респ., г. Симферополь, ул. Героев Сталинграда, д. 1А</t>
  </si>
  <si>
    <t>309341, Белгородская обл., Борисовский район, пос. Борисовка, ул. Грайворонская, д. 342</t>
  </si>
  <si>
    <t>692525, Приморский кр., г. Уссурийск, ул. Краснознаменная, д. 196</t>
  </si>
  <si>
    <t>683024, Камчатский кр., г. Петропавловск-Камчатский, ул. Владивостокская, д. 37</t>
  </si>
  <si>
    <t>680000, Хабаровский кр., г. Хабаровск, ул. Пушкина, д. 23А</t>
  </si>
  <si>
    <t>692828, Приморский кр., Шкотовский район, пос. Подъяпольское, ул. Прибрежная, д. 2 офис 21</t>
  </si>
  <si>
    <t>680011, Хабаровский кр., г. Хабаровск, ул. Джамбула, д. 80/1 пом. 14</t>
  </si>
  <si>
    <t>680000, Хабаровский кр., г. Хабаровск, ул. Гоголя, д. 23А</t>
  </si>
  <si>
    <t>692446, Приморский кр., г. Дальнегорск, проспект 50 Лет Октября, д. ЗД. 192/206</t>
  </si>
  <si>
    <t>101000, г. Москва, вн.тер.г. муниципальный округ Красносельский, ул Мясницкая, д. 41, стр. 5, этаж 4, кабинет 7А</t>
  </si>
  <si>
    <t>, г. Санкт-Петербург, ул. Ташкентская, д. 3 к. 3 литера Б этаж / ком. 11/26</t>
  </si>
  <si>
    <t>690065, Приморский кр., г. Владивосток, ул. Морозова, д. 7 к. А кв. 4 этаж</t>
  </si>
  <si>
    <t>682860, Хабаровский кр., Ванинский район, тер. Мыс Мучукей-Дуа корп. СООР. 1</t>
  </si>
  <si>
    <t>673771, Забайкальский кр., Могочинский район, ст. Кислый Ключ</t>
  </si>
  <si>
    <t>121614, г. Москва, ул. Крылатская, д. 17 к. 3</t>
  </si>
  <si>
    <t>420102, Татарстан респ., г. Казань, ул. 2-Я Юго-Западная, д. 3 пом. 1120 блок 7</t>
  </si>
  <si>
    <t>127015, г. Москва, ул. Вятская, д. 27 к. 13-14</t>
  </si>
  <si>
    <t>143421, Московская обл., Красногорский район, автодор. Балтия, тер. 26 Км Бизнес-Центр Рига-Ленд, стр. В</t>
  </si>
  <si>
    <t>188641, Ленинградская обл., Всеволожский район, пос. Ковалево, ул. Поперечная, д. 15 каб. 2208</t>
  </si>
  <si>
    <t>111020, г. Москва, ул. Боровая, д. 7 стр. 10 пом. VII этаж 2 ком. 8-13 (Бизнес Центр )</t>
  </si>
  <si>
    <t>111024, г. Москва, ул. Авиамоторная, д. 69</t>
  </si>
  <si>
    <t>600016, Владимирская обл., г. Владимир, ул. Большая Нижегородская, д. 81</t>
  </si>
  <si>
    <t>680006, Хабаровский кр., г. Хабаровск, ул. Индустриальная, д. 14 каб. 24</t>
  </si>
  <si>
    <t>194292, г. Санкт-Петербург, вн.тер.г. муниципальный округ № 15, пер 5-й Верхний, д. 1, к. 3, литера Б, ком. 35</t>
  </si>
  <si>
    <t>680023, Хабаровский кр., г. Хабаровск, ул. Республиканская, д. 17 литера А этаж 3 пом. 13</t>
  </si>
  <si>
    <t>105005, г. Москва, вн.тер.г. муниципальный округ Басманный, ул Бауманская, д. 7, стр. 1, помещ. 22/1 (Бизнес-центр «Central Yard»)</t>
  </si>
  <si>
    <t>115184, г. Москва, вн.тер.г. муниципальный округ Замоскворечье, ул Новокузнецкая, д. 7/11, стр. 1, этаж 3, КАБ 338</t>
  </si>
  <si>
    <t>196084, г. Санкт-Петербург, ул. Ташкентская, д. 3 к. 3 литера Б этаж / ком. 16/23</t>
  </si>
  <si>
    <t>680000, Хабаровский кр., г. Хабаровск, ул. Фрунзе, д. 49</t>
  </si>
  <si>
    <t>690001, Приморский кр., г. Владивосток, ул. Муравьева-Амурского, д. 21 офис 10</t>
  </si>
  <si>
    <t>601243, Владимирская обл., Собинский район, г. Лакинск, проспект Ленина, д. 42</t>
  </si>
  <si>
    <t>109443, г. Москва, ул. Юных Ленинцев, д. 83 к. 4 офис 41</t>
  </si>
  <si>
    <t>620049, Свердловская обл., г. Екатеринбург, пер. Автоматики, д. 4А офис 409А</t>
  </si>
  <si>
    <t>117447, г. Москва, ул. Большая Черёмушкинская, д. 13 стр. 4 пом. II ком. 25</t>
  </si>
  <si>
    <t>121433, г. Москва, вн.тер.г. муниципальный округ Фили-Давыдково, ул Малая Филёвская, д. 54, этаж 1, помещ. I КОМ. 1-5</t>
  </si>
  <si>
    <t>125212, г. Москва, ул. Адмирала Макарова, д. 6 стр. 13 этаж 1 часть пом. 58 (Бизнес-центр "Невский причал")</t>
  </si>
  <si>
    <t>127411, г. Москва, вн.тер.г. муниципальный округ Дмитровский, ш Дмитровское, д. 157, стр. 9, комната/этаж №163/3 (Бизнес-центр "Гефест")</t>
  </si>
  <si>
    <t>123182, г. Москва, ул. Авиационная, д. 77 этаж 3 пом. 1 офис 214</t>
  </si>
  <si>
    <t>127299, г. Москва, вн.тер.г. муниципальный округ Коптево, ул Космонавта Волкова, д. 22, стр. 1, ком. 506</t>
  </si>
  <si>
    <t>423889, Татарстан респ., Тукаевский район, д. Тавларово, ул. Алмаз, д. 52</t>
  </si>
  <si>
    <t>123112, г. Москва, вн.тер.г. муниципальный округ Пресненский, наб Пресненская, д. 10, этаж 3, ПОМЕЩ.III, КОМ.14 (Бизнес-центр «Naberezhnaya Tower»)</t>
  </si>
  <si>
    <t>119021, г. Москва, вн.тер.г. муниципальный округ Хамовники, ул Тимура Фрунзе, д. 11, к. 2, этаж 2, пом./ком. II/8</t>
  </si>
  <si>
    <t>143401, Московская обл, г.о. Красногорск, г Красногорск, б-р Строителей, д. 4, к. 1, этаж/кабинет 2/221</t>
  </si>
  <si>
    <t>196210, г. Санкт-Петербург, ул. Стартовая, д. 8 литера А офис 132</t>
  </si>
  <si>
    <t>127030, г. Москва, ул. Сущёвская, д. 27 стр. 3</t>
  </si>
  <si>
    <t>344019, Ростовская обл., г. Ростов-На-Дону, ул. Советская, д. 63 офис 1</t>
  </si>
  <si>
    <t>141201, Московская обл., г. Пушкино, шоссе Ярославское, д. 1А этаж 5 ком. 503</t>
  </si>
  <si>
    <t>141201, Московская обл., г. Пушкино, шоссе Ярославское, д. 1А этаж 4 ком. 400</t>
  </si>
  <si>
    <t>125599, г. Москва, ул. Ижорская, д. 3 пом. 1 ком. 39</t>
  </si>
  <si>
    <t>121108, г. Москва, ул. Ивана Франко, д. 4 к. 1 этаж 1 пом. III ком. 67</t>
  </si>
  <si>
    <t>121108, г. Москва, ул. Ивана Франко, д. 4 к. 1 офис 64</t>
  </si>
  <si>
    <t>196084, г. Санкт-Петербург, ул. Ташкентская, д. 3 к. 3 литера Б этаж / ком. 16/15</t>
  </si>
  <si>
    <t>423457, Татарстан респ., Альметьевский район, г. Альметьевск, ул. Мира, д. 6</t>
  </si>
  <si>
    <t>690090, Приморский край, г.о. Владивостокский, г Владивосток, пер Ланинский, зд. 2</t>
  </si>
  <si>
    <t>634027, Томская обл., г. Томск, пер. Мостовой, д. 1Б стр. 1 офис 13</t>
  </si>
  <si>
    <t>450039, Башкортостан респ., г. Уфа, ул. Сельская Богородская, д. 51</t>
  </si>
  <si>
    <t>350049, Краснодарский кр., г. Краснодар, ул. Красных Партизан, д. 200 этаж / пом. 6,7/81,87</t>
  </si>
  <si>
    <t>350020, Краснодарский край, г.о. город Краснодар, г Краснодар, ул Коммунаров, д. 237/1, ком. 1</t>
  </si>
  <si>
    <t>614013, Пермский кр., г. Пермь, ул. Спешилова, д. 61</t>
  </si>
  <si>
    <t>115114, г. Москва, вн.тер.г. муниципальный округ Замоскворечье, ул Летниковская, д. 2, стр. 3</t>
  </si>
  <si>
    <t>191015, г. Санкт-Петербург, пер. Фуражный, д. 3 литера К пом. 1Н ( офис 206)</t>
  </si>
  <si>
    <t>141401, Московская обл., г. Химки, ул. Рабочая, д. 2А стр. 31 пом. 24</t>
  </si>
  <si>
    <t>431313, Мордовия респ., Ковылкинский район, с. Мордовское Коломасово, ул. Молодежная, д. 16</t>
  </si>
  <si>
    <t>115432, г. Москва, проспект Андропова, д. 18 к. 6 офис ОФИСЫ 1 39 40</t>
  </si>
  <si>
    <t>420054, Татарстан респ., г. Казань, ул. Тульская, д. 56</t>
  </si>
  <si>
    <t>143402, Московская обл., г. Красногорск, тер. Коммунальная Зона Красногорск-Митино, д. 12</t>
  </si>
  <si>
    <t>368608, Дагестан респ., г. Дербент, ул. Карьерная, д. 1 к. А</t>
  </si>
  <si>
    <t>352200, Краснодарский кр., Новокубанский район, станица Бесскорбная, ул. Московская, д. 155</t>
  </si>
  <si>
    <t>119415, г. Москва, проспект Вернадского, д. 37 к. 3</t>
  </si>
  <si>
    <t>344002, Ростовская обл., г. Ростов-На-Дону, ул. 1-Я Луговая, д. 17</t>
  </si>
  <si>
    <t>123112, г. Москва, проезд 1-Й Красногвардейский, д. 15 офис ЭТАЖИ 28-32</t>
  </si>
  <si>
    <t>109004, г. Москва, пер. Товарищеский, д. 31 стр. 5</t>
  </si>
  <si>
    <t>107045, г. Москва, ул. Трубная, д. 12 кв. 1А (Бизнес-центр «Millenium House»)</t>
  </si>
  <si>
    <t>121609, г. Москва, шоссе Рублёвское, д. 28 этаж / пом. / ком. 19/I/1 (Бизнес-центр «Profico»)</t>
  </si>
  <si>
    <t>127083, г. Москва, ул. Мишина, д. 35 этаж 5. офис 519-522</t>
  </si>
  <si>
    <t>121087, г. Москва, вн.тер.г. муниципальный округ Филевский парк, ул Барклая, д. 6, стр. 3, этаж 1, помещ./ком. XII-2/11 (Бизнес-центр «Барклай Парк»)</t>
  </si>
  <si>
    <t>115093, г. Москва, пер. 1-Й Щипковский, д. 25</t>
  </si>
  <si>
    <t>344011, Ростовская обл, г.о. город Ростов-на-Дону, г Ростов-на-Дону, пер Доломановский, д. 70Д, помещ. 2-3, 10-17 (Бизнес-центр «Гвардейский»)</t>
  </si>
  <si>
    <t>117105, г. Москва, проезд Нагорный, д. 10 к. 2 ком. 211</t>
  </si>
  <si>
    <t>690003, Приморский кр., г. Владивосток, ул. Станюковича, д. 3</t>
  </si>
  <si>
    <t>422616, Татарстан респ., Лаишевский район, с. Усады, ул. Дорожная, д. 42 корп. 2 офис 835</t>
  </si>
  <si>
    <t>123112, г. Москва, набережная Пресненская, д. 10 пом. \ этаж \ ком. I\11\40 (Бизнес-центр «Naberezhnaya Tower»)</t>
  </si>
  <si>
    <t>123112, г. Москва, вн.тер.г. муниципальный округ Пресненский, наб Пресненская, д. 10, помещ. I ЭТАЖ 14, ком. 30 (Бизнес-центр «Naberezhnaya Tower»)</t>
  </si>
  <si>
    <t>123022, г. Москва, вн.тер.г. муниципальный округ Пресненский, ул Сергея Макеева, д. 13, помещ. XIV ЭТАЖ 2, ком. 53 (Бизнес-центр «Marr Plaza»)</t>
  </si>
  <si>
    <t>142180, Московская обл., г. Подольск, ул. Индустриальная (Климовск Мкр.), д. 9</t>
  </si>
  <si>
    <t>127018, г. Москва, вн.тер.г. муниципальный округ Марьина роща, ул Двинцев, д. 12, к. 1, этаж 5, пом/ком I/8</t>
  </si>
  <si>
    <t>140200, Московская обл., г. Воскресенск, ул. Московская, д. 45 литера М офис 4</t>
  </si>
  <si>
    <t>654063, Кемеровская область - Кузбасс, Прокопьевский район, пос. Калачево, ул. Мира, д. ЗД. 15</t>
  </si>
  <si>
    <t>142072, Московская обл., г. Домодедово, тер. Триколор (Востряково Мкр.) стр. 14 этаж / пом. 3/2</t>
  </si>
  <si>
    <t>460037, Оренбургская обл, г.о. город Оренбург, г Оренбург, ул 1-й проезд Донгузский, зд. 78</t>
  </si>
  <si>
    <t>121614, г. Москва, ул. Крылатская, д. 17 к. 2</t>
  </si>
  <si>
    <t>115035, г. Москва, ул. Садовническая, д. 82 стр. 2 пом. 4А29 (Бизнес-парк «Аврора»)</t>
  </si>
  <si>
    <t>301212, Тульская обл., Щекинский район, рабочий пос. Первомайский, ул. Административная, д. 16 литера В,В1 пом. 202</t>
  </si>
  <si>
    <t>125167, г. Москва, проспект Ленинградский, д. 37 к. 9 Э 2 пом. XXII К 22 офис 22</t>
  </si>
  <si>
    <t>142290, Московская обл., г. Пущино, ул. Грузовая, д. 1А</t>
  </si>
  <si>
    <t>111116, г. Москва, ул. Авиамоторная, д. 6 стр. 2</t>
  </si>
  <si>
    <t>125284, г. Москва, вн.тер.г. муниципальный округ Беговой, пр-кт Ленинградский, д. 31А, стр. 1, помещ. 3/20</t>
  </si>
  <si>
    <t>356003, Ставропольский кр., Новоалександровский район, г. Новоалександровск, ул. Урицкого, д. 11Б</t>
  </si>
  <si>
    <t>105066, г. Москва, проезд Елоховский, д. 3 стр. 2</t>
  </si>
  <si>
    <t>141204, Московская обл., г. Пушкино, ул. Грибоедова, д. 7 пом. 204 офис №1</t>
  </si>
  <si>
    <t>142813, Московская обл., г. Ступино, с. Старая Ситня, км. 5-Й (Автодорога Ступино-Малино Тер.), владение 1 стр. 1</t>
  </si>
  <si>
    <t>127018, г. Москва, ул. Полковая, д. 3 стр. 14 ком. 303 (Бизнес-парк «Шереметьевский строение 14»)</t>
  </si>
  <si>
    <t>192007, г. Санкт-Петербург, ул. Тамбовская, д. 12 литера А пом. 13Н</t>
  </si>
  <si>
    <t>129110, г. Москва, вн.тер.г. муниципальный округ Мещанский, ул Большая Переяславская, д. 10, этаж 1, помещ. V КОМ. 13</t>
  </si>
  <si>
    <t>659010, Алтайский край, м.р-н Павловский, с.п. Новозоринский сельсовет, п Новые Зори, ул Промышленная, влд. 5В</t>
  </si>
  <si>
    <t>121359, г. Москва, ул. Академика Павлова, д. 25</t>
  </si>
  <si>
    <t>190031, г. Санкт-Петербург, ул. Гороховая, д. 45 литера А часть пом. 30-Н, Р. М. №1</t>
  </si>
  <si>
    <t>142119, Московская обл., г. Подольск, ул. Юбилейная, д. 32А</t>
  </si>
  <si>
    <t>692910, Приморский кр., г. Находка, ул. Пограничная, д. 72</t>
  </si>
  <si>
    <t>433511, Ульяновская обл., г. Димитровград, ул. Куйбышева, д. 256</t>
  </si>
  <si>
    <t>188300, Ленинградская обл., Гатчинский район, г. Гатчина, ул. Индустриальная, д. 20Б</t>
  </si>
  <si>
    <t>623103, Свердловская обл., г. Первоуральск, ул. Ильича, д. 1</t>
  </si>
  <si>
    <t>420061, Татарстан респ., г. Казань, ул. Николая Ершова, д. 1 "А" офис 1001 (Торговый центр «Корстон»)</t>
  </si>
  <si>
    <t>347800, Ростовская обл., г. Каменск-Шахтинский, ул. Ворошилова, д. 152</t>
  </si>
  <si>
    <t>109004, г. Москва, вн.тер.г. муниципальный округ Таганский, ул Станиславского, д. 6, стр. 1, этаж 2, кабинет 201</t>
  </si>
  <si>
    <t>107061, г. Москва, пл. Преображенская, д. 8 (Бизнес-центр «Preo 8»)</t>
  </si>
  <si>
    <t>683006, Камчатский кр., г. Петропавловск-Камчатский, проспект Победы, д. 20 пом. 16</t>
  </si>
  <si>
    <t>423800, Татарстан респ., г. Набережные Челны, проспект Казанский, д. ЗД 217 офис 1</t>
  </si>
  <si>
    <t>672020, Забайкальский кр., г. Чита, ул. Лазо, д. 40 стр. 5 пом. 1</t>
  </si>
  <si>
    <t>105066, г. Москва, ул. Доброслободская, д. 5 стр. 1 ком. 10</t>
  </si>
  <si>
    <t>350089, Краснодарский кр., г. Краснодар, проспект Чекистов, д. 34 к. 1</t>
  </si>
  <si>
    <t>692491, Приморский край, м.р-н Надеждинский, с.п. Надеждинское, п Новый, ул Центральная, д. 1А, стр. 1, офис 301</t>
  </si>
  <si>
    <t>301122, Тульская обл., Ленинский район, пос. Барсуки, ул. Пролетарская, д. 15 каб. 3</t>
  </si>
  <si>
    <t>420100, Татарстан респ., г. Казань, ул. Закиева, д. 3А пом. 19</t>
  </si>
  <si>
    <t>141212, Московская обл., г. Пушкино, пос. Лесные Поляны, микрорайон Полянка, д. 43</t>
  </si>
  <si>
    <t>115035, г. Москва, набережная Садовническая, д. 77 стр. 1</t>
  </si>
  <si>
    <t>170025, Тверская обл., г. Тверь, ул. Бочкина, д. 15</t>
  </si>
  <si>
    <t>196210, г. Санкт-Петербург, ул. Внуковская, д. 2 литера А</t>
  </si>
  <si>
    <t>630078, Новосибирская обл, г.о. город Новосибирск, г Новосибирск, ул Ватутина, д. 17, офис 4</t>
  </si>
  <si>
    <t>119119, г. Москва, проспект Ленинский, д. 42К1_2_3</t>
  </si>
  <si>
    <t>680042, Хабаровский кр., г. Хабаровск, ул. Воронежская, д. 140Б</t>
  </si>
  <si>
    <t>171290, Тверская обл., Конаковский район, с. Дмитрова Гора</t>
  </si>
  <si>
    <t>140181, Московская обл., г. Жуковский, ул. Энергетическая, д. 9 этаж 1 ком. 26</t>
  </si>
  <si>
    <t>690001, Приморский кр., г. Владивосток, ул. Пушкинская, д. 109 офис 301</t>
  </si>
  <si>
    <t>129226, г. Москва, ул. Сельскохозяйственная, д. 16А этаж 5 ком. 10</t>
  </si>
  <si>
    <t>156019, Костромская обл., г. Кострома, ул. Базовая, д. 17 литера А офис 4</t>
  </si>
  <si>
    <t>140000, Московская обл., г. Люберцы, ул. Красная, д. 1 этаж / пом. / ком. 7/72/5</t>
  </si>
  <si>
    <t>685000, Магаданская обл, г.о. город Магадан, г Магадан, ул Болдырева, д. 6</t>
  </si>
  <si>
    <t>117587, г. Москва, вн.тер.г. муниципальный округ Чертаново Северное, ш Варшавское, д. 125Ж, к. 5, этаж 1, ПОМ.12</t>
  </si>
  <si>
    <t>690068, Приморский кр., г. Владивосток, проспект 100-Летия Владивостока, д. 155 корп. 3 офис 5</t>
  </si>
  <si>
    <t>115446, г. Москва, проезд Коломенский, д. 13А этаж 5 пом. VII ком. 8 (Бизнес-центр в Коломенском Проезде, 13А)</t>
  </si>
  <si>
    <t>399420, Липецкая обл., Добринский район, ст. Плавица</t>
  </si>
  <si>
    <t>167001, Коми респ., г. Сыктывкар, проспект Октябрьский, д. 16</t>
  </si>
  <si>
    <t>662521, Красноярский кр., Березовский район, пгт. Березовка, ул. Трактовая, д. 87/1</t>
  </si>
  <si>
    <t>191186, г. Санкт-Петербург, вн.тер.г. муниципальный округ Дворцовый округ, наб Реки Мойки, д. 7, литера А, помещ. 1-Н, Ч. ПОМ. 127</t>
  </si>
  <si>
    <t>355035, Ставропольский кр., г. Ставрополь, ул. Маршала Жукова, д. 7 пом. 191</t>
  </si>
  <si>
    <t>119530, г. Москва, вн.тер.г. муниципальный округ Очаково-Матвеевское, ш. Очаковское, д. 34, этаж 7, помещ. XIII, КОМ. 10 (Бизнес-центр "West Park")</t>
  </si>
  <si>
    <t>173003, Новгородская обл., г. Великий Новгород, ул. Большая Санкт-Петербургская, д. 39 пом. 7 (Торговый центр «Волна»)</t>
  </si>
  <si>
    <t>125009, г. Москва, ул. Воздвиженка, д. 10 пом. XI ком. 177 (Бизнес-центр «Гамма»)</t>
  </si>
  <si>
    <t>123290, г. Москва, проезд 1-Й Магистральный, д. 11 стр. 1 пом. II этаж 2 ком. 54</t>
  </si>
  <si>
    <t>354392, Краснодарский кр., г. Сочи, с. Эстосадок, набережная Времена Года, д. 11 офис 202</t>
  </si>
  <si>
    <t>121170, г. Москва, проспект Кутузовский, д. 32 к. 1</t>
  </si>
  <si>
    <t>423800, Татарстан респ., г. Набережные Челны, ул. Старосармановская, д. ЗД 11 этаж 2 каб. 209</t>
  </si>
  <si>
    <t>142015, Московская обл., г. Домодедово, тер. Аэропорт Домодедово стр. 9</t>
  </si>
  <si>
    <t>141011, Московская обл., Мытищи г.о., г. Мытищи, ул. Парковая 3-Я, д. 25А</t>
  </si>
  <si>
    <t>142000, Московская обл, г.о. Домодедово, г Домодедово, мкр. Центральный, ул Станционная, стр. 13, этаж 1, помещ. 2</t>
  </si>
  <si>
    <t>109548, г. Москва, ул. Шоссейная, д. 1 к. 2 офис 21</t>
  </si>
  <si>
    <t>346910, Ростовская обл., г. Новошахтинск, ул. Вокзальная, д. 16</t>
  </si>
  <si>
    <t>107031, г. Москва, бульвар Страстной, д. 8А этаж 4 ком. 14-23 (Бизнес-центр «на Страстном»)</t>
  </si>
  <si>
    <t>301122, Тульская обл, г.о. город Тула, п Барсуки, ул Пролетарская, д. 15, помещ. 5</t>
  </si>
  <si>
    <t>346316, Ростовская обл, м.р-н Красносулинский, с.п. Михайловское, п Молодежный, ул Степная, зд. 5, стр. 1, этаж 1, помещ. 1</t>
  </si>
  <si>
    <t>195213, г. Санкт-Петербург, проспект Заневский, д. 65 к. 1 литера А пом. 2</t>
  </si>
  <si>
    <t>143904, Московская обл, г.о. Балашиха, г Балашиха, ул Советская, д. 16, этаж 1, пом/оф 43Н/2</t>
  </si>
  <si>
    <t>677000, Саха /Якутия/ респ., г. Якутск, ул. 50 Лет Советской Армии, д. 49</t>
  </si>
  <si>
    <t>394033, Воронежская обл., г. Воронеж, ул. Землячки, д. 25</t>
  </si>
  <si>
    <t>215753, Смоленская обл., Дорогобужский район, г. Дорогобуж, тер. Промплощадка Пао Дорогобуж</t>
  </si>
  <si>
    <t>422617, Татарстан респ., Лаишевский район, с. Усады, ул. Ласковая, д. 1</t>
  </si>
  <si>
    <t>129626, г. Москва, вн.тер.г. муниципальный округ Алексеевский, ул 1-я Мытищинская, д. 3, стр. 1, офис 617</t>
  </si>
  <si>
    <t>352916, Краснодарский кр., г. Армавир, ул. Тоннельная, д. 21 литера А пом. 15</t>
  </si>
  <si>
    <t>346720, Ростовская обл., Аксайский район, г. Аксай, ул. Пороховая Балка, д. 6</t>
  </si>
  <si>
    <t>663305, Красноярский кр., г. Норильск, ул. Кирова, д. 20А кв. 2</t>
  </si>
  <si>
    <t>628486, Ханты-Мансийский Автономный Округ - Югра, г. Когалым, ул. Озерная, д. 5</t>
  </si>
  <si>
    <t>420087, Татарстан респ., г. Казань, ул. Родины, д. 8 офис 5</t>
  </si>
  <si>
    <t>121357, г. Москва, вн.тер.г. муниципальный округ Можайский, ул Верейская, д. 29, стр. 134, ком. 14 ЭТАЖ 2 (Бизнес-центр «Vereyskaya Plaza 3»)</t>
  </si>
  <si>
    <t>385230, Адыгея респ., Теучежский район, аул Понежукай, ул. Октябрьская, д. 33 к. А</t>
  </si>
  <si>
    <t>450022, Башкортостан респ., г. Уфа, ул. Минигали Губайдуллина, д. 19 к. 2 этаж / офис 2/85</t>
  </si>
  <si>
    <t>630511, Новосибирская обл., Новосибирский район, тер. Промышленная Зона, д. ЗД. 20/4</t>
  </si>
  <si>
    <t>143002, Московская обл., г. Одинцово, с. Акулово, ул. Новая, д. 120 стр. 1 офис 529</t>
  </si>
  <si>
    <t>142031, Московская обл., г. Домодедово, км. 35-Й (А-105 Тер.), стр. 1/4</t>
  </si>
  <si>
    <t>140128, Московская обл., г. Раменское, пос. Совхоза Раменское, ул. Производственная, уч. №1</t>
  </si>
  <si>
    <t>119602, г. Москва, ул. Мичуринский Проспект.Олимпийская Деревня, д. 1 к. 1 пом. \ ком. 1\2</t>
  </si>
  <si>
    <t>390047, Рязанская Область обл., г. Рязань, р-н Карцево, д. 6</t>
  </si>
  <si>
    <t>143500, Московская обл., г. Истра, ул. Московская, д. 48</t>
  </si>
  <si>
    <t>216400, Смоленская обл., г. Десногорск, тер. Коммунально-Складская Зона</t>
  </si>
  <si>
    <t>216400, Смоленская обл., г. Десногорск, тер. Коммунально-Складская Зона стр. 3 офис 9</t>
  </si>
  <si>
    <t>606000, Нижегородская обл., г. Дзержинск, шоссе Игумновское, д. 15А</t>
  </si>
  <si>
    <t>142015, Московская обл., г. Домодедово, тер. Аэропорт Домодедово стр. 1</t>
  </si>
  <si>
    <t>115035, г. Москва, набережная Овчинниковская, д. 20 стр. 1 (Бизнес-центр «Central City Tower»)</t>
  </si>
  <si>
    <t>142434, Московская обл, г.о. Богородский, д Новое Подвязново, тер Промплощадка N 1, д. 2, стр. 1, помещ. 304</t>
  </si>
  <si>
    <t>121069, г. Москва, пер. Столовый, д. 6 ком. 36</t>
  </si>
  <si>
    <t>423601, Татарстан респ., Елабужский район, ул. Ш-1 (Оэз Алабуга Тер.), стр. 1/3</t>
  </si>
  <si>
    <t>115432, г. Москва, ул. Трофимова, домовладение 14 стр. 1 этаж / пом. / ком. 4/V/12 (Бизнес-центр на Ул. Трофимова, 14С1)</t>
  </si>
  <si>
    <t>675004, Амурская обл., г. Благовещенск, ул. Шевченко, д. 32</t>
  </si>
  <si>
    <t>125047, г. Москва, ул. Лесная, д. 5 (Бизнес-центр «Белая Площадь»)</t>
  </si>
  <si>
    <t>297000, Крым респ., Красногвардейский район, пгт. Красногвардейское, ул. Полевая, д. 7</t>
  </si>
  <si>
    <t>241525, Брянская обл., Брянский район, с. Глинищево, ул. Главная, стр. 1 к. 1</t>
  </si>
  <si>
    <t>666902, Иркутская обл., г. Бодайбо, ул. Солнечная, д. 16</t>
  </si>
  <si>
    <t>101000, г. Москва, вн.тер.г. муниципальный округ Красносельский, ул Мясницкая, д. 47</t>
  </si>
  <si>
    <t>115280, г. Москва, ул. Ленинская Слобода, д. 19 этаж 3 Ч. к. 21Ф (Многофункциональный комплекс «Омега Плаза»)</t>
  </si>
  <si>
    <t>119330, г. Москва, ул. Мосфильмовская, д. 70 этаж ПОДЗЕМНЫЙ 4 ком. 52 1А (Торгово-развлекательный центр «ЖК «Воробьевы горы»»)</t>
  </si>
  <si>
    <t>664007, Иркутская обл., г. Иркутск, ул. Декабрьских Событий, д. 88</t>
  </si>
  <si>
    <t>188300, Ленинградская обл., Гатчинский район, г. Гатчина, проспект 25 Октября, д. 42А пом. 2 офис 244</t>
  </si>
  <si>
    <t>119571, г. Москва, проспект Вернадского, д. 92 к. 1 этаж / пом. 1,2/XIV,XXXII</t>
  </si>
  <si>
    <t>171470, Тверская обл., пгт. Кесова Гора, ул. Строительная, д. 34</t>
  </si>
  <si>
    <t>123007, г. Москва, ул. 5-Я Магистральная, д. 4</t>
  </si>
  <si>
    <t>123007, г. Москва, проезд 3-Й Хорошёвский, д. 3 этаж 2 пом. I ком. 4</t>
  </si>
  <si>
    <t>129343, г. Москва, ул. Амундсена, д. 2 стр. 18 этаж 1 пом. I ком. 2</t>
  </si>
  <si>
    <t>423800, Татарстан респ., г. Набережные Челны, проспект Им Мусы Джалиля, д. 29/2</t>
  </si>
  <si>
    <t>105082, г. Москва, ул. Бакунинская, д. 71 этаж 5 офис 1 (Бизнес-центр на Бакунинской)</t>
  </si>
  <si>
    <t>625019, Тюменская обл, г.о. город Тюмень, г Тюмень, ул Республики, д. 270, стр. 5</t>
  </si>
  <si>
    <t>392526, Тамбовская обл, г.о. город Тамбов, п Строитель, ул Дорожно-Строительная, д. 50А</t>
  </si>
  <si>
    <t>600023, Владимирская обл., г. Владимир, шоссе Судогодское, д. 5</t>
  </si>
  <si>
    <t>422060, Татарстан респ., Сабинский район, пгт. Богатые Сабы, ул. Объездная, д. 1А</t>
  </si>
  <si>
    <t>629350, Ямало-Ненецкий а.о., Тазовский район, пос. Тазовский, микрорайон Маргулова, д. 3 офис 2</t>
  </si>
  <si>
    <t>352905, Краснодарский кр., г. Армавир, ул. Карла Маркса, д. 88 литера Ж каб. 51</t>
  </si>
  <si>
    <t>160019, Вологодская обл., г. Вологда, ул. Комсомольская, д. 39</t>
  </si>
  <si>
    <t>410530, Саратовская обл., г. Саратов, пос. Дубки</t>
  </si>
  <si>
    <t>630048, Новосибирская обл., г. Новосибирск, пл. Им. Карла Маркса, д. 7 этаж 13</t>
  </si>
  <si>
    <t>150034, Ярославская обл, г.о. город Ярославль, г Ярославль, ул Спартаковская, зд. 1К, стр. 1</t>
  </si>
  <si>
    <t>440015, Пензенская обл., г. Пенза, ул. Аустрина, д. 63 к. 7</t>
  </si>
  <si>
    <t>690037, Приморский кр., г. Владивосток, ул. Адмирала Юмашева, д. 14Г офис 4</t>
  </si>
  <si>
    <t>298100, Крым респ., г. Феодосия, ул. 8 Марта, д. 3 офис 27</t>
  </si>
  <si>
    <t>142015, Московская обл., г. Домодедово, тер. Аэропорт Домодедово стр. 22</t>
  </si>
  <si>
    <t>155808, Ивановская обл., г. Кинешма, ул. Производственная, д. 1</t>
  </si>
  <si>
    <t>127083, г. Москва, ул. 8 Марта, д. 14 (Бизнес-центр «Кулон Билдинг»)</t>
  </si>
  <si>
    <t>141031, Московская обл., г. Мытищи, пос. Нагорное, км. Мкад 85-Й (Тпз Алтуфьево Тер), владение 5 стр. 4 этаж / пом. 1/1</t>
  </si>
  <si>
    <t>121609, г. Москва, ул. Крылатская, д. 37</t>
  </si>
  <si>
    <t>690091, Приморский кр., г. Владивосток, ул. Тигровая, д. 19</t>
  </si>
  <si>
    <t>142015, Московская обл, г.о. Домодедово, тер Аэропорт Домодедово, стр. 18/5</t>
  </si>
  <si>
    <t>403531, Волгоградская обл., г. Фролово, ул. Строителей, д. 128А офис 1/1</t>
  </si>
  <si>
    <t>452765, Башкортостан респ., Туймазинский район, с. Кандры, ул. Чапаева, д. 49</t>
  </si>
  <si>
    <t>601443, Владимирская обл., Вязниковский район, г. Вязники, ул. Большая Московская, д. 60</t>
  </si>
  <si>
    <t>663091, Красноярский кр., г. Дивногорск, ул. Чкалова, д. 165 этаж 1 пом. / ком. 2/3</t>
  </si>
  <si>
    <t>620142, Свердловская обл., г. Екатеринбург, ул. 8 Марта стр. 49 офис 415 (Бизнес-центр «Arena»)</t>
  </si>
  <si>
    <t>125171, г. Москва, шоссе Ленинградское, д. 16А стр. 1 этаж 9 (Бизнес-центр "Метрополис")</t>
  </si>
  <si>
    <t>140014, Московская обл., г. Люберцы, ул. Огуречная, д. 3</t>
  </si>
  <si>
    <t>620014, Свердловская обл., г. Екатеринбург, ул. Московская стр. 16 офис 102</t>
  </si>
  <si>
    <t>127473, г. Москва, вн.тер.г. муниципальный округ Тверской, ул Краснопролетарская, д. 16, стр. 2, помещ. 1/5 (Бизнес-центр «Новослободский 16с2»)</t>
  </si>
  <si>
    <t>119270, г. Москва, набережная Фрунзенская, д. 42 этаж Ц пом. I ком. 2</t>
  </si>
  <si>
    <t>396510, Воронежская обл., Каменский район, пгт. Каменка, ул. Мира, д. 30</t>
  </si>
  <si>
    <t>300016, Тульская обл., г. Тула, ул. Пржевальского, д. 1</t>
  </si>
  <si>
    <t>624351, Свердловская обл., г. Качканар, ул. Свердлова, д. 2</t>
  </si>
  <si>
    <t>347913, Ростовская обл, г.о. город Таганрог, г Таганрог, ул Химическая, д. 9</t>
  </si>
  <si>
    <t>117105, г. Москва, вн.тер.г. муниципальный округ Нагатино-Садовники, ул Нагатинская, д. 3А, стр. 5</t>
  </si>
  <si>
    <t>121353, г. Москва, ул. Беловежская, д. 4 (Бизнес-центр «Western Gate»)</t>
  </si>
  <si>
    <t>140103, Московская обл., г. Раменское, шоссе 4-Й Км Донинское</t>
  </si>
  <si>
    <t>620010, Свердловская обл., г. Екатеринбург, ул. Водная, д. 19 офис 5</t>
  </si>
  <si>
    <t>355000, Ставропольский кр., г. Ставрополь, ул. 4 Промышленная, д. 1А офис 16</t>
  </si>
  <si>
    <t>654063, Кемеровская область - Кузбасс, г. Новокузнецк, ул. Рудокопровая (Центральный Р-Н), д. 4</t>
  </si>
  <si>
    <t>101000, г. Москва, ул. Мясницкая, д. 46 стр. 7 пом. / ком. III/2</t>
  </si>
  <si>
    <t>105425, г. Москва, ул. Парковая 3-Я, д. 55 этаж 3 пом. XIII</t>
  </si>
  <si>
    <t>630063, Новосибирская обл., г. Новосибирск, ул. Нижегородская, д. 270/1 офис 12</t>
  </si>
  <si>
    <t>214012, Смоленская обл., г. Смоленск, ул. Ново-Московская, д. 2/8 офис 218/1</t>
  </si>
  <si>
    <t>350042, Краснодарский кр., г. Краснодар, ул. Мопр, д. 18 этаж 3 пом. 6</t>
  </si>
  <si>
    <t>125315, г. Москва, проезд 2-Й Амбулаторный, д. 10 этаж 2 пом. 207</t>
  </si>
  <si>
    <t>450080, Башкортостан респ., г. Уфа, ул. Менделеева, д. 140 к. 1</t>
  </si>
  <si>
    <t>105318, г. Москва, вн.тер.г. муниципальный округ Соколиная гора, ул Щербаковская, д. 3, этаж 8, помещ./ком. II/4,4А,4Б (Деловой центр "Щербаковский")</t>
  </si>
  <si>
    <t>140080, Московская обл., г. Лыткарино, тер. Детский Городок Зил к. 48</t>
  </si>
  <si>
    <t>630039, Новосибирская обл, г.о. город Новосибирск, г Новосибирск, ул Автогенная, д. 126, помещ. 6 (Торговый центр «Гигант»)</t>
  </si>
  <si>
    <t>344022, Ростовская обл., г. Ростов-На-Дону, пер. Журавлева, д. 61</t>
  </si>
  <si>
    <t>142800, Московская обл., Ступинский район, г. Ступино, км. Старокаширское Шоссе 100-Й, д. 1</t>
  </si>
  <si>
    <t>305048, Курская обл., г. Курск, проспект Дружбы, д. ЗД. 9А</t>
  </si>
  <si>
    <t>656070, Алтайский кр., г. Барнаул, ул. Власихинская, д. 192</t>
  </si>
  <si>
    <t>129110, г. Москва, ул. Большая Переяславская, д. 46 стр. 2 этаж 4 пом. I ком. 28</t>
  </si>
  <si>
    <t>194044, г. Санкт-Петербург, вн.тер.г. муниципальный округ Сампсониевское, ул Смолячкова, д. 12, к. 2, литера А, помещ. 11-Н, ЭТАЖ 4, ПОМЕЩ. 402</t>
  </si>
  <si>
    <t>119049, г. Москва, ул. Коровий Вал, д. 5</t>
  </si>
  <si>
    <t>662500, Красноярский кр., г. Сосновоборск, ул. Заводская, д. 1 стр. 41</t>
  </si>
  <si>
    <t>346717, Ростовская обл., Аксайский район, пос. Октябрьский, ул. Ленина, д. 1/11 офис 1</t>
  </si>
  <si>
    <t>236048, Калининградская обл., г. Калининград, ул. Аксакова, д. 76 кв. 17</t>
  </si>
  <si>
    <t>192007, г. Санкт-Петербург, набережная Обводного Канала, д. 72 стр. 1 пом. 296</t>
  </si>
  <si>
    <t>197046, г. Санкт-Петербург, ул. Мичуринская, д. 4</t>
  </si>
  <si>
    <t>423821, Татарстан респ., г. Набережные Челны, проспект Сююмбике, д. 64 кв. 120</t>
  </si>
  <si>
    <t>123112, г. Москва, набережная Пресненская, д. 2 этаж 4 офис 412 (Торгово-развлекательный центр «Афимолл Сити»)</t>
  </si>
  <si>
    <t>420111, Татарстан респ., г. Казань, ул. Московская, д. ЗД 32 пом. 22 этаж 2</t>
  </si>
  <si>
    <t>443044, Самарская обл., г. Самара, пос. Зубчаниновка, ул. Магистральная, д. 80 литера Г</t>
  </si>
  <si>
    <t>197343, г. Санкт-Петербург, вн.тер.г. муниципальный округ Ланское, ул Земледельческая, д. 5, к. 2, литера А, помещ. 5-Н, ком. 1-1</t>
  </si>
  <si>
    <t>141044, Московская обл., г. Мытищи, д. Афанасово, ул. Березовая Роща, владение 2</t>
  </si>
  <si>
    <t>115054, г. Москва, ул. Дубининская, д. 53 стр. 6 (Бизнес-центр «Квартал Сити 53с6»)</t>
  </si>
  <si>
    <t>121087, г. Москва, проезд Багратионовский, д. 7 к. 20В офис №325</t>
  </si>
  <si>
    <t>352636, Краснодарский кр., г. Белореченск</t>
  </si>
  <si>
    <t>404354, Волгоградская обл, м.р-н Котельниковский, г.п. Котельниковское, г Котельниково, ул Ленина, д. 7, помещ. II</t>
  </si>
  <si>
    <t>188480, Ленинградская обл., Кингисеппский район, промзона Фосфорит, проезд 2-Й, стр. 8</t>
  </si>
  <si>
    <t>618460, Пермский кр., Усольский район, г. Усолье, ул. Свободы, д. 138А</t>
  </si>
  <si>
    <t>301651, Тульская обл., Новомосковский район, г. Новомосковск, ул. Связи, д. 10 офис 312</t>
  </si>
  <si>
    <t>140305, Московская обл., г. Егорьевск, ул. Владимирская, д. 8</t>
  </si>
  <si>
    <t>105062, г. Москва, ул. Машкова, д. 1</t>
  </si>
  <si>
    <t>129515, г. Москва, ул. Академика Королева, д. 9 к. 5 офис Э 1 П II К 8 О 1</t>
  </si>
  <si>
    <t>453124, Башкортостан респ., г. Стерлитамак, ул. Карла Маркса, д. 101</t>
  </si>
  <si>
    <t>127006, г. Москва, бульвар Страстной, д. 9 этаж А1 пом. XIII ком. 18 (Бизнес-центр «Пушкинский Дом»)</t>
  </si>
  <si>
    <t>620014, Свердловская обл, г.о. город Екатеринбург, г Екатеринбург, ул Сакко и Ванцетти, д. 62, офис 306</t>
  </si>
  <si>
    <t>620075, Свердловская обл., г. Екатеринбург, ул. Мамина-Сибиряка, д. 85 этаж 8 офис 29</t>
  </si>
  <si>
    <t>397431, Воронежская обл., Новохоперский район, рабочий пос. Елань-Коленовский, проспект Кольцова, д. 1</t>
  </si>
  <si>
    <t>399749, Липецкая обл., Елецкий район, пос. Маяк, ул. Советская, д. 2</t>
  </si>
  <si>
    <t>117638, г. Москва, вн.тер.г. муниципальный округ Зюзино, ул Одесская, д. 2, этаж 13, офис 05 (Бизнес-центр «Lotos»)</t>
  </si>
  <si>
    <t>127473, г. Москва, ул. Селезневская, д. 11Б этаж / пом. / ком. 2/II/22-25</t>
  </si>
  <si>
    <t>301842, Тульская обл., Ефремовский район, г. Ефремов, ул. Ленинградская, д. 147</t>
  </si>
  <si>
    <t>129090, г. Москва, ул. Щепкина, д. 35</t>
  </si>
  <si>
    <t>115280, г. Москва, вн.тер.г. муниципальный округ Даниловский, ул Ленинская Слобода, д. 21, к. 1, помещ. 53</t>
  </si>
  <si>
    <t>169711, Коми респ., г. Усинск, ул. Строителей, д. 8</t>
  </si>
  <si>
    <t>344006, Ростовская обл., г. Ростов-На-Дону, ул. Пушкинская, д. 162</t>
  </si>
  <si>
    <t>660021, Красноярский кр., г. Красноярск, ул. Бограда, д. 144А</t>
  </si>
  <si>
    <t>143421, Московская обл, г.о. Красногорск, тер. автодорога Балтия, км 26-й, д. 5, стр. 6, помещ. 22, ком. 5, ОФИС 209</t>
  </si>
  <si>
    <t>628600, Ханты-Мансийский Автономный Округ - Югра, г. Нижневартовск, ул. 2п-2 Юго-Западный Промышленный Узел, д. 97 стр. 3 офис ПАНЕЛЬ 25</t>
  </si>
  <si>
    <t>249039, Калужская обл., г. Обнинск, ул. Курчатова, д. 53</t>
  </si>
  <si>
    <t>660049, Красноярский кр., г. Красноярск, ул. Бограда, д. 15</t>
  </si>
  <si>
    <t>403731, Волгоградская обл., Еланский район, рабочий пос. Елань, ул. Калинина, д. 74</t>
  </si>
  <si>
    <t>121596, г. Москва, ул. Горбунова, д. 2 стр. 3 ком. 35 этаж 4 пом. II (Бизнес центр "Гранд Сетунь Плаза")</t>
  </si>
  <si>
    <t>188480, Ленинградская обл., Кингисеппский район, г. Кингисепп, проспект Карла Маркса, д. 4</t>
  </si>
  <si>
    <t>105066, г. Москва, вн.тер.г. муниципальный округ Басманный, ул Нижняя Красносельская, д. 40/12, к. 20, этаж 6, офис 605</t>
  </si>
  <si>
    <t>620075, Свердловская обл., г. Екатеринбург, проспект Ленина стр. 38</t>
  </si>
  <si>
    <t>214000, Смоленская обл., г. Смоленск, ул. Тенишевой, д. 4А помещения 1, 2</t>
  </si>
  <si>
    <t>125167, г. Москва, проспект Ленинградский, д. 37 пом. 46 ком. 21 (Бизнес-центр «Аэродом»)</t>
  </si>
  <si>
    <t>198216, г. Санкт-Петербург, проспект Ленинский, д. 140 литера Л</t>
  </si>
  <si>
    <t>121357, г. Москва, ул. Верейская, д. 29 стр. 33 этаж 4 ком. 1 (Бизнес-центр «Верейская Плаза III 33»)</t>
  </si>
  <si>
    <t>620144, Свердловская обл., г. Екатеринбург, ул. Сурикова, д. 48</t>
  </si>
  <si>
    <t>143421, Московская обл, г.о. Красногорск, тер. автодорога Балтия, км 26-й, д. 5, стр. 3, офис 4012</t>
  </si>
  <si>
    <t>620014, Свердловская обл., г. Екатеринбург, ул. Бориса Ельцина, д. 1 (Бизнес-центр «Президент»)</t>
  </si>
  <si>
    <t>614033, Пермский край, г.о. Пермский, г Пермь, ул Василия Васильева, д. 3М, помещ. 16, ком. 5/1</t>
  </si>
  <si>
    <t>105064, г. Москва, ул. Старая Басманная, д. 14/2 стр. 4</t>
  </si>
  <si>
    <t>129301, г. Москва, проспект Мира, д. 186 к. 1 пом. 16-4</t>
  </si>
  <si>
    <t>127018, г. Москва, ул. Октябрьская, д. 5 стр. 8</t>
  </si>
  <si>
    <t>620076, Свердловская обл, г.о. город Екатеринбург, г Екатеринбург, ул Щербакова, д. 35, помещ. 49, офис 8</t>
  </si>
  <si>
    <t>107078, г. Москва, вн.тер.г. муниципальный округ Басманный, ул Новая Басманная, д. 14, стр. 2, каб. 23</t>
  </si>
  <si>
    <t>105187, г. Москва, вн.тер.г. муниципальный округ Соколиная гора, ул Вольная, д. 35, стр. 19, помещ. 312 (Бизнес-центр «Техпром»)</t>
  </si>
  <si>
    <t>107061, г. Москва, вн.тер.г. муниципальный округ Преображенское, пл Преображенская, д. 8 (Бизнес-центр «Preo 8»)</t>
  </si>
  <si>
    <t>141006, Московская обл., г. Мытищи, проспект Олимпийский, владение 13 стр. 1 офис Б-250</t>
  </si>
  <si>
    <t>443010, Самарская обл., г. Самара, проспект Волжский, д. 4</t>
  </si>
  <si>
    <t>656031, Алтайский кр., г. Барнаул, ул. Крупской, д. 86 пом. Н-1</t>
  </si>
  <si>
    <t>142714, Московская обл., г. Видное, д. Мисайлово, бульвар Литературный (Пригород Лесное Мкр.), д. 4 пом. 629</t>
  </si>
  <si>
    <t>620085, Свердловская обл., г. Екатеринбург, ул. Титова, д. 27</t>
  </si>
  <si>
    <t>677027, Саха /Якутия/ респ., г. Якутск, ул. Кирова, д. 18А</t>
  </si>
  <si>
    <t>169045, Коми респ., Усть-Вымский район, пгт. Жешарт, ул. Гагарина, д. 1</t>
  </si>
  <si>
    <t>107078, г. Москва, ул. Новорязанская, д. 12</t>
  </si>
  <si>
    <t>129626, г. Москва, вн.тер.г. муниципальный округ Алексеевский, пр-кт Мира, д. 102, к. 1, этаж 8, ком./офис 6/3В</t>
  </si>
  <si>
    <t>392000, Тамбовская обл., г. Тамбов, ул. Советская, д. 51</t>
  </si>
  <si>
    <t>174352, Новгородская обл., Окуловский район, г. Окуловка, ул. Титова, д. 11</t>
  </si>
  <si>
    <t>663093, Красноярский кр., г. Дивногорск, проезд Нижний, д. 13/3</t>
  </si>
  <si>
    <t>214012, Смоленская обл., г. Смоленск, ул. Ударников, д. 1</t>
  </si>
  <si>
    <t>425350, Марий Эл респ., г. Козьмодемьянск, ул. Гагарина, д. 10</t>
  </si>
  <si>
    <t>456313, Челябинская обл., г. Миасс, ул. Севастопольская, д. 0</t>
  </si>
  <si>
    <t>603003, Нижегородская обл., г. Нижний Новгород, ул. Баррикад, д. 1</t>
  </si>
  <si>
    <t>390047, Рязанская обл., г. Рязань, р-н Восточный Промузел, д. 21</t>
  </si>
  <si>
    <t>172010, Тверская обл., г. Торжок, ул. Луначарского, д. 121</t>
  </si>
  <si>
    <t>162608, Вологодская обл, г.о. город Череповец, г Череповец, ш Северное, д. 40В</t>
  </si>
  <si>
    <t>427436, Удмуртская респ., г. Воткинск, ул. 6 Километр Камской Ж/Д Пл-Ка Сива</t>
  </si>
  <si>
    <t>410080, Саратовская обл, г.о. город Саратов, г Саратов, пр-кт Строителей, зд. 39Н, стр. 6</t>
  </si>
  <si>
    <t>309261, Белгородская обл., Шебекинский район, с. Ржевка, ул. Первомайская, д. 39А</t>
  </si>
  <si>
    <t>443022, Самарская обл., г. Самара, шоссе Заводское, д. 11</t>
  </si>
  <si>
    <t>150000, Ярославская обл., г. Ярославль, ул. Республиканская, д. 73</t>
  </si>
  <si>
    <t>450029, Башкортостан респ., г. Уфа, ул. Юбилейная, д. 7 к. 2</t>
  </si>
  <si>
    <t>390047, Рязанская обл., г. Рязань, р-н Восточный Промузел, д. 21 стр. 58</t>
  </si>
  <si>
    <t>433300, Ульяновская обл., г. Новоульяновск, проезд Промышленный, д. №5Ц</t>
  </si>
  <si>
    <t>390042, Рязанская обл., г. Рязань, ул. Прижелезнодорожная, д. 5</t>
  </si>
  <si>
    <t>140150, Московская обл., г. Раменское, рабочий пос. Быково, ул. Верхняя, д. 30</t>
  </si>
  <si>
    <t>390047, Рязанская обл., г. Рязань, р-н Восточный Промузел, д. 21 к. 58</t>
  </si>
  <si>
    <t>627144, Тюменская обл., г. Заводоуковск, ул. Заводская, д. 1А</t>
  </si>
  <si>
    <t>115280, г. Москва, вн.тер.г. муниципальный округ Даниловский, ул Ленинская Слобода, д. 26, помещ. 4Н/1 (Бизнес-центр «Omega Plaza Омега-2 корпус А»)</t>
  </si>
  <si>
    <t>423521, Татарстан респ., Заинский район, г. Заинск, ул. Заводская, д. 1</t>
  </si>
  <si>
    <t>658586, Алтайский край, м.р-н Тюменцевский, с.п. Грязновский сельсовет, с Грязново, ул Центральная, влд. 20</t>
  </si>
  <si>
    <t>238630, Калининградская обл., Полесский район, г. Полесск, ул. Железнодорожная, д. 24 "А" к. 1</t>
  </si>
  <si>
    <t>678730, Саха /Якутия/ респ., Оймяконский у., пгт. Усть-Нера, проезд Северный, д. 12</t>
  </si>
  <si>
    <t>630087, Новосибирская обл, г.о. город Новосибирск, г Новосибирск, ул Новогодняя, д. 24/1, ком. 217</t>
  </si>
  <si>
    <t>625059, Тюменская обл., г. Тюмень, тракт Велижанский, 6км</t>
  </si>
  <si>
    <t>652992, Кемеровская область - Кузбасс, Таштагольский район, г. Таштагол, ул. Геологическая, д. 61</t>
  </si>
  <si>
    <t>117420, г. Москва, ул. Намёткина, д. 14 к. 1 пом. / этаж / ком. I/5/503</t>
  </si>
  <si>
    <t>140602, Московская обл., г. Зарайск, ул. Московская, д. 29В офис 1</t>
  </si>
  <si>
    <t>396024, Воронежская обл., Рамонский район, с. Ступино, ул. Зубарева, д. 3 офис 1</t>
  </si>
  <si>
    <t>101000, г. Москва, вн.тер.г. муниципальный округ Басманный, пер Армянский, д. 9, стр. 1, помещ. 35/110/1 (Офисное здание)</t>
  </si>
  <si>
    <t>107076, г. Москва, пер. Колодезный, д. 3 стр. 25 этаж / офис 2/5209 (Бизнес-центр «Бизнес Сквер»)</t>
  </si>
  <si>
    <t>101000, г. Москва, вн.тер.г. муниципальный округ Басманный, пер Армянский, д. 9, стр. 1, помещ. 35/110/1, офис 2 (Офисное здание)</t>
  </si>
  <si>
    <t>142155, Московская обл., г. Подольск, проезд Металлургов (Львовский Мкр.), д. 3К</t>
  </si>
  <si>
    <t>429965, Чувашская Республика - Чувашия, г. Новочебоксарск, ул. Промышленная, д. 73 к. 1 ком. 408</t>
  </si>
  <si>
    <t>196105, г. Санкт-Петербург, вн.тер.г. муниципальный округ Гагаринское, пр-кт Витебский, д. 17, к. 1, литера А</t>
  </si>
  <si>
    <t>425070, Марий Эл респ., Звениговский район, пос. Шелангер, ул. 60-Летия Победы, д. 2А</t>
  </si>
  <si>
    <t>425070, Марий Эл респ., Звениговский район, пос. Шелангер, ул. 60-Летия Победы, д. 2</t>
  </si>
  <si>
    <t>129337, г. Москва, ул. Вешних Вод, д. 14 пом. I, ком. Б 24, 3 этаж</t>
  </si>
  <si>
    <t>454100, Челябинская обл., г. Челябинск, проспект Комсомольский, д. 90 офис 710</t>
  </si>
  <si>
    <t>352330, Краснодарский кр., Усть-Лабинский район, г. Усть-Лабинск, ул. Ленина, д. 87-З</t>
  </si>
  <si>
    <t>300000, Тульская обл., г. Тула, ул. Советская, д. 64 офис 7</t>
  </si>
  <si>
    <t>143405, Московская обл., г. Красногорск, туп. Ильинский, д. 6 корп. ИТК 35 каб. 60</t>
  </si>
  <si>
    <t>198216, г. Санкт-Петербург, проспект Ленинский, д. 140 литера Е</t>
  </si>
  <si>
    <t>111033, г. Москва, ул. Самокатная, д. 4 стр. 6 этаж 1 пом. 1 ком. 1,1А,1Б,2,9 часть</t>
  </si>
  <si>
    <t>117546, г. Москва, вн.тер.г. муниципальный округ Бирюлево Западное, ул Подольских Курсантов, д. 26, стр. 1</t>
  </si>
  <si>
    <t>394016, Воронежская обл, г.о. город Воронеж, г Воронеж, пр-кт Московский, д. 53, офис 1106</t>
  </si>
  <si>
    <t>442000, Пензенская обл., Земетчинский район, рабочий пос. Земетчино, проезд Заводской, д. 1</t>
  </si>
  <si>
    <t>108811, г. Москва, Московский пос., д. Румянцево, ул. Верхняя, д. 5Б</t>
  </si>
  <si>
    <t>396920, Воронежская обл., Семилукский район, с. Землянск, ул. Строителей, д. 19 к. А</t>
  </si>
  <si>
    <t>350059, Краснодарский кр., г. Краснодар, ул. Ялтинская, д. 14 офис 305</t>
  </si>
  <si>
    <t>197110, г. Санкт-Петербург, ал. Футбольная, д. 1 стр. 1</t>
  </si>
  <si>
    <t>127030, г. Москва, вн.тер.г. муниципальный округ Тверской, ул Новослободская, д. 31, стр. 4, помещ. VI (Бизнес-центр на Ул. Новослободская, 31С4)</t>
  </si>
  <si>
    <t>344006, Ростовская обл., г. Ростов-На-Дону, ул. Нижнебульварная, д. 6 ком. 28ДА (Бизнес-центр «5 морей»)</t>
  </si>
  <si>
    <t>347922, Ростовская обл., г. Таганрог, ул. Комсомольский Спуск, д. 1 этаж / ком. 4 этаж , ком. 18</t>
  </si>
  <si>
    <t>353582, Краснодарский кр., Славянский район, хутор Галицын, ул. Мира, д. 10</t>
  </si>
  <si>
    <t>307145, Курская обл., Железногорский район, с. Линец, ул. Южная, д. 91 этаж / каб. 3/318</t>
  </si>
  <si>
    <t>142180, Московская обл., г. Подольск, ул. Ленина (Климовск Мкр.), д. 1 ком. 96</t>
  </si>
  <si>
    <t>141733, Московская обл., г. Лобня, ул. Гагарина, д. 14</t>
  </si>
  <si>
    <t>142115, Московская обл., г. Подольск, ул. Машиностроителей, д. 23</t>
  </si>
  <si>
    <t>404171, Волгоградская обл., Светлоярский район, рабочий пос. Светлый Яр, микрорайон 4-Й, д. 6</t>
  </si>
  <si>
    <t>125047, г. Москва, вн.тер.г. муниципальный округ Тверской, ул Фадеева, д. 7, стр. 1, помещ. 1/Н, помещ. РМ 15</t>
  </si>
  <si>
    <t>125047, г. Москва, пер. 4-Й Лесной, д. 4 этаж 4 пом. I ком. 58Б</t>
  </si>
  <si>
    <t>689400, Чукотский окр., Чаунский район, г. Певек, ул. Обручева, д. 27</t>
  </si>
  <si>
    <t>460000, Оренбургская обл., г. Оренбург, ул. Кирова, д. 12 офис 213</t>
  </si>
  <si>
    <t>309850, Белгородская обл., Алексеевский район, г. Алексеевка, ул. Фрунзе, д. 4</t>
  </si>
  <si>
    <t>620103, Свердловская обл., г. Екатеринбург, ул. Окружная, д. 1</t>
  </si>
  <si>
    <t>634021, Томская обл., г. Томск, ул. Елизаровых, д. 79 к. 1</t>
  </si>
  <si>
    <t>456770, Челябинская обл., г. Снежинск, ул. Широкая, д. 78</t>
  </si>
  <si>
    <t>644505, Омская обл., Омский район, пос. Горячий Ключ, ул. Железнодорожная, д. 16</t>
  </si>
  <si>
    <t>422540, Татарстан респ., Зеленодольский район, г. Зеленодольск, ул. Карла Маркса, д. ЗД. 48</t>
  </si>
  <si>
    <t>413116, Саратовская обл., г. Энгельс, проспект Строителей, д. 68</t>
  </si>
  <si>
    <t>170508, Тверская обл., Калининский район, пос. Заволжский, д. 1В</t>
  </si>
  <si>
    <t>620075, Свердловская обл., г. Екатеринбург, ул. Мамина-Сибиряка стр. 145 офис 260</t>
  </si>
  <si>
    <t>125167, г. Москва, проспект Ленинградский, д. 37 этаж 5 (Бизнес-центр «Аэродом»)</t>
  </si>
  <si>
    <t>302004, Орловская обл, г.о. город Орёл, г Орёл, ул Ливенская, д. 3</t>
  </si>
  <si>
    <t>652708, Кемеровская область - Кузбасс, г. Киселевск, ул. Ускатная, д. 6А</t>
  </si>
  <si>
    <t>105066, г. Москва, ул. Нижняя Красносельская, д. 28 стр. 2</t>
  </si>
  <si>
    <t>641875, Курганская обл., г. Шадринск, ул. Герцена, д. 30</t>
  </si>
  <si>
    <t>630102, Новосибирская обл., г. Новосибирск, ул. Кирова, д. 86</t>
  </si>
  <si>
    <t>680013, Хабаровский кр., г. Хабаровск, ул. Карла Маркса, д. 144Б</t>
  </si>
  <si>
    <t>344037, Ростовская обл., г. Ростов-На-Дону, пл. Толстого, д. 8</t>
  </si>
  <si>
    <t>624449, Свердловская обл., г. Краснотурьинск, ул. Карпинского, д. 4</t>
  </si>
  <si>
    <t>678900, Саха /Якутия/ респ., Алданский у., г. Алдан, ул. 26 Пикет, д. 12</t>
  </si>
  <si>
    <t>678635, Саха /Якутия/ респ., Усть-Майский у., пос. Солнечный</t>
  </si>
  <si>
    <t>125047, г. Москва, вн.тер.г. муниципальный округ Тверской, ул 1-я Брестская, д. 35, этаж 5 КАБИНЕТ 514 Б</t>
  </si>
  <si>
    <t>625014, Тюменская обл., г. Тюмень, тракт Ялуторовский 11 Км, д. 7</t>
  </si>
  <si>
    <t>129110, г. Москва, вн.тер.г. муниципальный округ Мещанский, пер Протопоповский, д. 19, стр. 13, этаж 1, каб. 10,11</t>
  </si>
  <si>
    <t>249191, Калужская обл., Жуковский район, г. Жуков, ул. Коммунистическая, д. ЗД 18</t>
  </si>
  <si>
    <t>452615, Башкортостан респ., г. Октябрьский, ул. 8 Марта, д. 9 к. А</t>
  </si>
  <si>
    <t>141326, Московская обл., г. Сергиев Посад, с. Бужаниново, ул. Полевая, д. 35</t>
  </si>
  <si>
    <t>301000, Тульская обл., Заокский район, рабочий пос. Заокский, шоссе Нечаевское, д. 19</t>
  </si>
  <si>
    <t>628331, Ханты-Мансийский Автономный Округ - Югра, Нефтеюганский район, пгт. Пойковский, тер. Промзона, стр. 59А</t>
  </si>
  <si>
    <t>654006, Кемеровская область - Кузбасс, г. Новокузнецк, проезд Производственный (Центральный Р-Н), д. 31 к. Б</t>
  </si>
  <si>
    <t>143581, Московская обл., г. Истра, с. Павловская Слобода, ул. Ленина, д. ЗД. 80 пом. 201</t>
  </si>
  <si>
    <t>141733, Московская обл., г. Лобня, ул. Гагарина, д. 16</t>
  </si>
  <si>
    <t>353535, Краснодарский кр., Темрюкский район, пос. Волна, д. 1500М ЗАПАДНЕЕ</t>
  </si>
  <si>
    <t>141052, Московская обл., г. Мытищи, д. Сухарево, д. 133 каб. 13</t>
  </si>
  <si>
    <t>143440, Московская обл., Красногорский район, пос. Путилково, тер. Гринвуд, ОФИСНО-ОБЩЕСТВЕННЫЙ КОМПЛЕКС ЗАО "ГРИНВУД" стр. 17</t>
  </si>
  <si>
    <t>109316, г. Москва, проспект Волгоградский, д. 26 стр. 1 пом. 401, 402 (Бизнес-центр "Россия")</t>
  </si>
  <si>
    <t>107023, г. Москва, вн.тер.г. муниципальный округ Преображенское, ул Электрозаводская, д. 24, этаж/помещ./ком. 1/II/103 (Бизнес-центр «Преображенский»)</t>
  </si>
  <si>
    <t>197110, г. Санкт-Петербург, вн.тер.г. муниципальный округ Чкаловское, пр-кт Константиновский, д. 11, литера А, помещ. 1-Н №№ 90-92, офис 316</t>
  </si>
  <si>
    <t>197374, г. Санкт-Петербург, ул. Школьная, д. 96 литера А пом. 144</t>
  </si>
  <si>
    <t>123060, г. Москва, вн.тер.г. муниципальный округ Щукино, проезд 1-й Волоколамский, д. 10, стр. 1, этаж/помещ. 1/I, ком. 58</t>
  </si>
  <si>
    <t>127434, г. Москва, шоссе Дмитровское, д. 9Б этаж 5 пом. XIII ком. 14 (Бизнес-центр «на Дмитровском»)</t>
  </si>
  <si>
    <t>127434, г. Москва, шоссе Дмитровское, д. 9Б этаж 5 пом. XIII ком. 6 (Бизнес-центр «на Дмитровском»)</t>
  </si>
  <si>
    <t>115162, г. Москва, вн.тер.г. муниципальный округ Даниловский, ул Хавская, д. 11, этаж/помещение/комната 6/I/15 (Бизнес-центр на Ул. Хавская, 11)</t>
  </si>
  <si>
    <t>153002, Ивановская обл., г. Иваново, ул. Жиделева, д. 31</t>
  </si>
  <si>
    <t>630088, Новосибирская обл, г.о. город Новосибирск, г Новосибирск, проезд Северный, зд. 24/3, офис 1</t>
  </si>
  <si>
    <t>127015, г. Москва, ул. Большая Новодмитровская, д. 23 стр. 5 этаж 4 каб. 408</t>
  </si>
  <si>
    <t>119270, г. Москва, вн.тер.г. муниципальный округ Хамовники, наб Лужнецкая, д. 2/4, стр. 4, этаж антресоль 4, ком. 68 (Бизнес-центр «Art Plaza»)</t>
  </si>
  <si>
    <t>119034, г. Москва, вн.тер.г. муниципальный округ Хамовники, пер 2-й Обыденский, д. 1А, этаж 1, помещ. I</t>
  </si>
  <si>
    <t>195027, г. Санкт-Петербург, набережная Свердловская, д. 34</t>
  </si>
  <si>
    <t>123100, г. Москва, пер. Студенецкий, д. 3</t>
  </si>
  <si>
    <t>427000, Удмуртская респ., Завьяловский район, тер. Аэропорт</t>
  </si>
  <si>
    <t>426063, Удмуртская респ., г. Ижевск, ул. Орджоникидзе, д. 2</t>
  </si>
  <si>
    <t>426063, Удмуртская респ., г. Ижевск, ул. Мельничная, д. 46</t>
  </si>
  <si>
    <t>426008, Удмуртская респ., г. Ижевск, ул. Удмуртская, д. 304 офис 506</t>
  </si>
  <si>
    <t>393070, Тамбовская обл., Петровский район, с. Петровское, ул. Гагарина, д. 7</t>
  </si>
  <si>
    <t>115093, г. Москва, вн.тер.г. муниципальный округ Даниловский, пер Партийный, д. 1, к. 25</t>
  </si>
  <si>
    <t>346720, Ростовская обл., Аксайский район, г. Аксай, ул. Шолохова, д. 1-Б литера А офис 1</t>
  </si>
  <si>
    <t>129085, г. Москва, бульвар Звёздный, д. 21 стр. 1 ком. 705, пом. I, 7 этаж</t>
  </si>
  <si>
    <t>127473, г. Москва, вн.тер.г. муниципальный округ Тверской, ул Краснопролетарская, д. 16, стр. 3, помещ. 1Н (Бизнес-центр «Новослободский 16с3»)</t>
  </si>
  <si>
    <t>123308, г. Москва, ул. Зорге, д. 1 стр. 1 этаж 20 каб. 2013</t>
  </si>
  <si>
    <t>117574, г. Москва, вн.тер.г. муниципальный округ Ясенево, пр-кт Новоясеневский, д. 1, стр. 4, помещ. №37</t>
  </si>
  <si>
    <t>143912, Московская обл., г. Балашиха, шоссе Западная Коммунальная Зона Энтузиастов, д. 2 каб. 268 АВТОЦЕНТР № 1</t>
  </si>
  <si>
    <t>399000, Липецкая обл., Измалковский район, с. Измалково, ул. Островского, д. 1</t>
  </si>
  <si>
    <t>426052, Удмуртская респ., г. Ижевск, ул. Лесозаводская, д. 23/110</t>
  </si>
  <si>
    <t>123112, г. Москва, вн.тер.г. муниципальный округ Пресненский, проезд 1-й Красногвардейский, д. 22, стр. 1, этаж 25, помещ. А25, ком. 6</t>
  </si>
  <si>
    <t>197101, г. Санкт-Петербург, проспект Каменноостровский, д. 10 литера М пом. / офис 20-Н/9</t>
  </si>
  <si>
    <t>141400, Московская обл., г. Химки, микрорайон "Икеа" к. 1</t>
  </si>
  <si>
    <t>115114, г. Москва, вн.тер.г. муниципальный округ Замоскворечье, ул Летниковская, д. 4, стр. 5, этаж МАНСАРДА, помещ. /офис 5 / 40</t>
  </si>
  <si>
    <t>109029, г. Москва, ул. Средняя Калитниковская, д. 28 стр. 4</t>
  </si>
  <si>
    <t>196191, г. Санкт-Петербург, ул. Варшавская, д. 25 к. 2 литера А</t>
  </si>
  <si>
    <t>142611, Московская обл, Орехово-Зуево г, г.о. Орехово-Зуевский, ул Лапина, д. 68, офис 15</t>
  </si>
  <si>
    <t>123154, г. Москва, бульвар Генерала Карбышева, д. 8 стр. 3 ком. 22</t>
  </si>
  <si>
    <t>127410, г. Москва, вн.тер.г. муниципальный округ Отрадное, ш Алтуфьевское, д. 33Г, помещ. V, ком. 18</t>
  </si>
  <si>
    <t>191187, г. Санкт-Петербург, проспект Литейный, д. 11 литера А пом. 1-Н, каб. №128, 1 этаж</t>
  </si>
  <si>
    <t>663305, Красноярский кр., г. Норильск, ул. Талнахская, д. 39А офис 205</t>
  </si>
  <si>
    <t>456012, Челябинская обл., Ашинский район, г. Аша, ул. Омская, д. 2А</t>
  </si>
  <si>
    <t>188321, Ленинградская обл., Гатчинский район, г. Коммунар, ул. Павловская, д. 13</t>
  </si>
  <si>
    <t>191167, г. Санкт-Петербург, набережная Синопская, д. 22 литера А пом. 921</t>
  </si>
  <si>
    <t>165650, Архангельская обл., г. Коряжма, ул. Имени Дыбцына, д. 42</t>
  </si>
  <si>
    <t>680030, Хабаровский кр., г. Хабаровск, ул. Павловича, д. 13 литера Т Т1 офис 312</t>
  </si>
  <si>
    <t>115035, г. Москва, ул. Садовническая, д. 20/13 стр. 2</t>
  </si>
  <si>
    <t>115054, г. Москва, вн.тер.г. муниципальный округ Замоскворечье, наб Космодамианская, д. 52, стр. 3, этаж/пом. 6/I, ком. 24 (Бизнес-центр «Riverside Towers 52с3»)</t>
  </si>
  <si>
    <t>683905, Камчатский кр., г. Петропавловск-Камчатский, ул. Космонавтов, д. 40</t>
  </si>
  <si>
    <t>353740, Краснодарский кр., Ленинградский район, станица Ленинградская, ул. Кооперации, д. 127</t>
  </si>
  <si>
    <t>630559, Новосибирская обл, г.о. рабочий поселок Кольцово, рп Кольцово, ул Садовая, д. 2/7, этаж 2, помещ. 2</t>
  </si>
  <si>
    <t>300041, Тульская обл., г. Тула, ул. Советская, д. 1-А</t>
  </si>
  <si>
    <t>125502, г. Москва, вн.тер.г. муниципальный округ Ховрино, ул Лавочкина, д. 19, этаж/помещ. 2/36</t>
  </si>
  <si>
    <t>141400, Московская обл., г. Химки, тер. Шереметьево Международный Аэропорт, ЦЕНТР "АЭРОЭКСПРЕСС" пом. 5 (5.122)</t>
  </si>
  <si>
    <t>194100, г. Санкт-Петербург, ул. Кантемировская, д. 12 литера А</t>
  </si>
  <si>
    <t>141402, Московская обл., г. Химки, ул. Ленинградская, владение 39 стр. 5 пом. ОВ0107С5 (Бизнес-парк «Химки Бизнес Парк»)</t>
  </si>
  <si>
    <t>125047, г. Москва, вн.тер.г. муниципальный округ Тверской, ул 1-я Тверская-Ямская, д. 23, стр. 1, эт. 6, пом/ком V/11-12</t>
  </si>
  <si>
    <t>127473, г. Москва, вн.тер.г. муниципальный округ Тверской, ул Краснопролетарская, д. 36 (Бизнес-центр «Amber Plaza»)</t>
  </si>
  <si>
    <t>140073, Московская обл, г.о. Люберцы, рп Томилино, тер. Логистический центр, ш Рязанское, к. 3</t>
  </si>
  <si>
    <t>121352, г. Москва, вн.тер.г. муниципальный округ Фили-Давыдково, ул Давыдковская, д. 5, этаж 2, ком. 18</t>
  </si>
  <si>
    <t>141205, Московская обл., г. Пушкино, проспект Московский, д. 55 к. АДМ. "ЗД. А" пом. 26</t>
  </si>
  <si>
    <t>141402, Московская обл., г. Химки, ул. Ленинградская, владение 39 стр. 5 пом. ОВ0107С4 (Бизнес-парк «Химки Бизнес Парк»)</t>
  </si>
  <si>
    <t>115184, г. Москва, вн.тер.г. муниципальный округ Замоскворечье, наб Озерковская, д. 28, стр. 2, этаж 5, ком. 32 (Бизнес-центр «Аквамарин 2»)</t>
  </si>
  <si>
    <t>665814, Иркутская обл., г. Ангарск, квартал 3 (Южный Массив Тер.), стр. 1</t>
  </si>
  <si>
    <t>142062, Московская обл., г. Домодедово, с. Растуново, тер. Импульс</t>
  </si>
  <si>
    <t>249440, Калужская обл., Кировский район, г. Киров, ул. Максима Горького, д. 46</t>
  </si>
  <si>
    <t>129090, г. Москва, вн.тер.г. муниципальный округ Мещанский, пер Ботанический, д. 5 (Бизнес-центр «Ботанический 5»)</t>
  </si>
  <si>
    <t>141402, Московская обл., г. Химки, шоссе Вашутинское, владение 18 пом. 27</t>
  </si>
  <si>
    <t>127299, г. Москва, вн.тер.г. муниципальный округ Войковский, ул Космонавта Волкова, д. 6А, этаж 2, помещ. XXV, ком. 21</t>
  </si>
  <si>
    <t>460050, Оренбургская обл., г. Оренбург, ул. Терешковой, д. 263/2 пом. 11.1</t>
  </si>
  <si>
    <t>155048, Ивановская обл., Тейковский район, г. Тейково, ул. Сергеевская, д. 10</t>
  </si>
  <si>
    <t>690001, Приморский кр., г. Владивосток, ул. Металлистов, д. 5 пом. 23</t>
  </si>
  <si>
    <t>197136, г. Санкт-Петербург, ул. Всеволода Вишневского, д. 12 литера А пом. 2-Н, к. 703 (Бизнес-центр «Резон»)</t>
  </si>
  <si>
    <t>183038, Мурманская обл., г. Мурманск, ул. Коминтерна, д. 7</t>
  </si>
  <si>
    <t>184371, Мурманская обл, м.р-н Кольский, с.п. Ура-Губа, с Ура-Губа, ул Рыбацкая, д. 45/2</t>
  </si>
  <si>
    <t>129626, г. Москва, вн.тер.г. муниципальный округ Алексеевский, пер Кулаков, д. 9, стр. 1, помещ. 39 (Бизнес-центр в Кулаковом Переулке, 9С1)</t>
  </si>
  <si>
    <t>249026, Калужская обл., Боровский район, г. Ермолино, ул. Заречная, д. 5</t>
  </si>
  <si>
    <t>121309, г. Москва, ул. Барклая, д. 13 стр. 2 ком. 30</t>
  </si>
  <si>
    <t>457218, Челябинская обл, м.р-н Варненский, с.п. Катенинское, п Красноармейский, п/р Владение 3, стр. 1</t>
  </si>
  <si>
    <t>652707, Кемеровская область - Кузбасс, г. Киселевск, ул. Юргинская, д. 1</t>
  </si>
  <si>
    <t>394087, Воронежская обл., г. Воронеж, ул. Ломоносова, д. 114/7 пом. неж офис 1</t>
  </si>
  <si>
    <t>117036, г. Москва, проспект 60-Летия Октября, д. 10А пом. XXII (Бизнес-центр «Принципал Плаза»)</t>
  </si>
  <si>
    <t>107553, г. Москва, проезд Окружной, д. 8 стр. 1 ком. 66</t>
  </si>
  <si>
    <t>350051, Краснодарский кр., г. Краснодар, ул. Шоссе Нефтяников, д. 28 пом. 19 (Торгово-офисный центр «НьюТон»)</t>
  </si>
  <si>
    <t>127051, г. Москва, ул. Трубная, д. 28 стр. 2 пом. I (Бизнес-центр на Ул. Трубная, 28С2)</t>
  </si>
  <si>
    <t>123112, г. Москва, набережная Пресненская, д. 8 стр. 1 этаж 15 пом. I ком. 1 (Бизнес-центр «Многофункциональный комплекс Москва-Сити «Город Столиц»»)</t>
  </si>
  <si>
    <t>660127, Красноярский край, г.о. город Красноярск, г Красноярск, ул Мате Залки, д. 11, помещ. 204</t>
  </si>
  <si>
    <t>603000, Нижегородская обл., г. Нижний Новгород, ул. Звездинка, д. 11</t>
  </si>
  <si>
    <t>160012, Вологодская обл., г. Вологда, ул. Козленская, д. 119А</t>
  </si>
  <si>
    <t>350002, Краснодарский кр., г. Краснодар, ул. Им. Леваневского, д. 185 офис 15</t>
  </si>
  <si>
    <t>196105, г. Санкт-Петербург, ул. Благодатная, д. 18 литера А</t>
  </si>
  <si>
    <t>125047, г. Москва, ул. 4-Я Тверская-Ямская, д. 16 к. 3 этаж 3 пом. I ком. 3</t>
  </si>
  <si>
    <t>115516, г. Москва, вн.тер.г. муниципальный округ Царицыно, ул Промышленная, д. 10, этаж/помещ./ком. 1/XVIII/16</t>
  </si>
  <si>
    <t>630049, Новосибирская обл., г. Новосибирск, проспект Красный, д. 218/2</t>
  </si>
  <si>
    <t>454091, Челябинская обл., г. Челябинск, ул. Российская, д. 275</t>
  </si>
  <si>
    <t>628012, Ханты-Мансийский Автономный Округ - Югра, г. Ханты-Мансийск, ул. Рознина, д. 146/2</t>
  </si>
  <si>
    <t>105064, г. Москва, пер. Яковоапостольский, д. 5 стр. 1 каб. 4</t>
  </si>
  <si>
    <t>127006, г. Москва, вн.тер.г. муниципальный округ Тверской, ул Краснопролетарская, д. 4, этаж 5, ком. 38 (Бизнес-центр «Эрмитаж Плаза»)</t>
  </si>
  <si>
    <t>603006, Нижегородская обл, г.о. город Нижний Новгород, г Нижний Новгород, ул Максима Горького, д. 117, офис 411 (Бизнес-центр «Столица»)</t>
  </si>
  <si>
    <t>300002, Тульская обл, г.о. город Тула, г Тула, ул Сакко и Ванцетти, д. 8, помещ. 1</t>
  </si>
  <si>
    <t>346483, Ростовская обл., Октябрьский район, рабочий пос. Каменоломни, ул. Дзержинского, д. 2Б пом. 24</t>
  </si>
  <si>
    <t>192249, г. Санкт-Петербург, ул. Софийская, д. 54 литера А пом. 4Н</t>
  </si>
  <si>
    <t>162608, Вологодская обл., г. Череповец, ул. Мира, д. 30</t>
  </si>
  <si>
    <t>191167, г. Санкт-Петербург, ул. Херсонская, д. 39 литера А пом. 4-Н, офис 218,219,220 (Бизнес-центр «Александровский»)</t>
  </si>
  <si>
    <t>355021, Ставропольский край, г.о. город Ставрополь, г Ставрополь, ул Пирогова, д. 37, помещ. 192</t>
  </si>
  <si>
    <t>354073, Краснодарский край, г.о. город-курорт Сочи, г Сочи, ул Пластунская, д. 202</t>
  </si>
  <si>
    <t>117449, г. Москва, ул. Карьер, д. 2 стр. 9 Э 3 пом. 16</t>
  </si>
  <si>
    <t>142700, Московская обл., г. Видное, шоссе Белокаменное, д. 9 ком. 110</t>
  </si>
  <si>
    <t>664007, Иркутская обл, г.о. город Иркутск, г Иркутск, ул Октябрьской Революции, д. 1, помещ. 5 (Бизнес-центр «Терра»)</t>
  </si>
  <si>
    <t>664007, Иркутская обл., г. Иркутск, ул. Октябрьской Революции, д. 1/4 офис Т1001 (Бизнес-центр «Терра»)</t>
  </si>
  <si>
    <t>664007, Иркутская обл., г. Иркутск, ул. Октябрьской Революции, д. 1/4 офис 901 (Бизнес-центр «Терра»)</t>
  </si>
  <si>
    <t>445007, Самарская обл, г.о. Тольятти, г Тольятти, ул Новозаводская, влд. 2А, стр. 209, офис 210</t>
  </si>
  <si>
    <t>392000, Тамбовская обл, г.о. город Тамбов, г Тамбов, ул Студенецкая, д. 16А, к. 1, помещ. 7, каб. 3</t>
  </si>
  <si>
    <t>628611, Ханты-Мансийский Автономный Округ - Югра, г.о. Нижневартовск, г Нижневартовск, ул Мира, д. 60А, офис 34</t>
  </si>
  <si>
    <t>420029, Татарстан респ., г. Казань, ул. Пионерская, д. 17</t>
  </si>
  <si>
    <t>690054, Приморский кр., г. Владивосток, ул. 3-Я Шоссейная, д. 21 каб. 18</t>
  </si>
  <si>
    <t>105484, г. Москва, ул. 16-Я Парковая, д. 26 к. 2 офис 2301А</t>
  </si>
  <si>
    <t>125284, г. Москва, шоссе Хорошёвское, д. 38 к. 1 этаж 3, пом. I , ком. 35</t>
  </si>
  <si>
    <t>115419, г. Москва, проезд 5-Й Донской, д. 4 этаж 6 пом. I ком. 7,8</t>
  </si>
  <si>
    <t>142450, Московская обл., г. Старая Купавна, ул. Дорожная, д. 5</t>
  </si>
  <si>
    <t>105203, г. Москва, вн.тер.г. муниципальный округ Восточное Измайлово, ул Нижняя Первомайская, д. 44, этаж ЦОКОЛЬ, пом/ком XII/8, 9</t>
  </si>
  <si>
    <t>195027, г. Санкт-Петербург, вн.тер.г. муниципальный округ Финляндский округ, пр-кт Пискарёвский, д. 2, к. 2, стр. 1, помещ. 721</t>
  </si>
  <si>
    <t>105066, г. Москва, ул. Нижняя Красносельская, д. 35 стр. 9 этаж / ком. / офис 2/10/210</t>
  </si>
  <si>
    <t>109004, г. Москва, вн.тер.г. муниципальный округ Таганский, ул Николоямская, д. 29, стр. 2, помещ. 4 (Бизнес-центр «Ямской Двор»)</t>
  </si>
  <si>
    <t>140053, Московская обл., г. Котельники, шоссе Дзержинское, д. 4 пом. 201</t>
  </si>
  <si>
    <t>115419, г. Москва, проезд 2-Й Верхний Михайловский, д. 9 стр. 2 этаж 4 ком. 50Б,50В,50Г</t>
  </si>
  <si>
    <t>454080, Челябинская обл, г.о. Челябинский, вн.р-н Центральный, г Челябинск, ул Лесопарковая, д. 7, помещ. 224/2</t>
  </si>
  <si>
    <t>461042, Оренбургская обл., г. Бузулук, ул. Московская, д. 2</t>
  </si>
  <si>
    <t>664075, Иркутская обл., г. Иркутск, ул. Байкальская, д. 239 ком. 2-74</t>
  </si>
  <si>
    <t>129075, г. Москва, вн.тер.г. муниципальный округ Останкинский, проезд Мурманский, д. 14, к. 1, этаж 4, литера/ком. А/26</t>
  </si>
  <si>
    <t>117393, г. Москва, вн.тер.г. муниципальный округ Обручевский, ул Профсоюзная, д. 76, офис 11</t>
  </si>
  <si>
    <t>454010, Челябинская обл., г. Челябинск, ул. Енисейская, д. 32</t>
  </si>
  <si>
    <t>115035, г. Москва, вн.тер.г. муниципальный округ Замоскворечье, ул Садовническая, д. 9А, этаж/помещ./ком. 5/I/1</t>
  </si>
  <si>
    <t>129110, г. Москва, ул. Гиляровского, д. 57 стр. 4 пом. I этаж 9 ком. 17</t>
  </si>
  <si>
    <t>195220, г. Санкт-Петербург, проспект Гражданский, д. 11</t>
  </si>
  <si>
    <t>197198, г. Санкт-Петербург, ул. Яблочкова, д. 7 к. 2 литера А</t>
  </si>
  <si>
    <t>101000, г. Москва, пер. Сверчков, д. 4/1 стр. 1</t>
  </si>
  <si>
    <t>196158, г. Санкт-Петербург, проспект Дунайский, д. 13 к. 2 офис ЛИТА</t>
  </si>
  <si>
    <t>119002, г. Москва, вн.тер.г. муниципальный округ Арбат, пер Калошин, д. 4, стр. 1, помещ. IV-7 (Офисное здание «Деловой центр»)</t>
  </si>
  <si>
    <t>129110, г. Москва, вн.тер.г. муниципальный округ Мещанский, пр-кт Мира, д. 62, стр. 1, этаж 3, ком. 5</t>
  </si>
  <si>
    <t>625048, Тюменская обл, г.о. город Тюмень, г Тюмень, ул Новгородская, д. 10, кабинет 201</t>
  </si>
  <si>
    <t>115114, г. Москва, ул. Летниковская, д. 9 стр. 1</t>
  </si>
  <si>
    <t>625042, Тюменская обл, г.о. город Тюмень, г Тюмень, ул Федюнинского, д. 30, к. 1, этаж 1</t>
  </si>
  <si>
    <t>194044, г. Санкт-Петербург, ул. Гельсингфорсская, д. 3 литера И помещения 204А, 204Б</t>
  </si>
  <si>
    <t>364016, Чеченская респ., г. Грозный, ул. Хансолта Чапаевича Дачиева (Байсангуровский Р-Н), домовладение 72</t>
  </si>
  <si>
    <t>107078, г. Москва, ул. Садовая-Спасская, д. 28</t>
  </si>
  <si>
    <t>109147, г. Москва, ул. Марксистская, д. 34 стр. 5 ком. 10</t>
  </si>
  <si>
    <t>191124, г. Санкт-Петербург, ул. Новгородская, д. 23 литера А пом. 157Н</t>
  </si>
  <si>
    <t>109004, г. Москва, ул. Александра Солженицына, д. 27 ком. 41 (Бизнес-центр)</t>
  </si>
  <si>
    <t>352380, Краснодарский кр., Кавказский район, г. Кропоткин, ул. Машиностроительная, д. 17/1 стр. 1</t>
  </si>
  <si>
    <t>119435, г. Москва, ул. Большая Пироговская, д. 27 стр. 1 этаж ЧЕР пом. VI ком. 30</t>
  </si>
  <si>
    <t>119435, г. Москва, ул. Большая Пироговская, д. 27 к. 2</t>
  </si>
  <si>
    <t>119435, г. Москва, ул. Большая Пироговская, д. 27 стр. 4</t>
  </si>
  <si>
    <t>119435, г. Москва, ул. Большая Пироговская, д. 27 стр. 3</t>
  </si>
  <si>
    <t>119435, г. Москва, ул. Большая Пироговская, д. 27 стр. 1</t>
  </si>
  <si>
    <t>115516, г. Москва, вн.тер.г. муниципальный округ Царицыно, ул Промышленная, д. 11А, стр. 22, помещ. 5/2</t>
  </si>
  <si>
    <t>654086, Кемеровская область - Кузбасс, г. Новокузнецк, ул. Новаторов (Орджоникидзевский Р-Н), д. 3 кв. 33</t>
  </si>
  <si>
    <t>143345, Московская обл., г. Наро-Фоминск, рабочий пос. Селятино, ул. Промышленная, д. 81/1</t>
  </si>
  <si>
    <t>195112, г. Санкт-Петербург, пл. Карла Фаберже, д. 8 литера Б пом. 22-Н, офис 401 (Бизнес-центр «Русские самоцветы Золотая Долина»)</t>
  </si>
  <si>
    <t>115093, г. Москва, ул. Люсиновская, д. 36 к. 1</t>
  </si>
  <si>
    <t>143405, Московская обл, г.о. Красногорск, д Гольево, ул Центральная, д. 1, этаж 1, помещ. I, КОМНАТА 10</t>
  </si>
  <si>
    <t>460021, Оренбургская обл., г. Оренбург, ул. Мало-Луговая, д. 3/1 этаж / офис 5/507</t>
  </si>
  <si>
    <t>630099, Новосибирская обл, г.о. город Новосибирск, г Новосибирск, ул Фрунзе, д. 80, офис 626 (Бизнес-центр «На Фрунзе»)</t>
  </si>
  <si>
    <t>140000, Московская обл., г. Люберцы, ул. Транспортная, д. 5</t>
  </si>
  <si>
    <t>194044, г. Санкт-Петербург, набережная Пироговская, д. 17 к. 1А офис 302</t>
  </si>
  <si>
    <t>123112, г. Москва, набережная Пресненская, д. 8 стр. 1 пом. IN ком. 7 этаж 11 (Бизнес-центр «Многофункциональный комплекс Москва-Сити «Город Столиц»»)</t>
  </si>
  <si>
    <t>420066, Татарстан респ., г. Казань, ул. Солдатская, д. 8 пом. 24</t>
  </si>
  <si>
    <t>123112, г. Москва, набережная Пресненская, д. 10 пом. I этаж 41 ком. 6 (Бизнес-центр «Naberezhnaya Tower»)</t>
  </si>
  <si>
    <t>125130, г. Москва, проезд Старопетровский, д. 11 к. 1 этаж 2 ( пом. IX)</t>
  </si>
  <si>
    <t>400048, Волгоградская обл., г. Волгоград, ул. Томская, д. 7</t>
  </si>
  <si>
    <t>125047, г. Москва, ул. 1-Я Тверская-Ямская, д. 21</t>
  </si>
  <si>
    <t>456612, Челябинская обл., г. Копейск, ул. Кемеровская, д. 1А</t>
  </si>
  <si>
    <t>426027, Удмуртская респ., г. Ижевск, ул. Промышленная, д. 2</t>
  </si>
  <si>
    <t>121096, г. Москва, ул. Олеко Дундича, д. 3 пом. 1 ком. 2</t>
  </si>
  <si>
    <t>197110, г. Санкт-Петербург, ул. Большая Разночинная, д. 16 литера А офис 507</t>
  </si>
  <si>
    <t>443548, Самарская обл., Волжский район, пгт. Смышляевка литера 22 кв. 9</t>
  </si>
  <si>
    <t>353535, Краснодарский край, м.р-н Темрюкский, с.п. Таманское, п Волна, ул Таманская, д. 8, помещ. 9</t>
  </si>
  <si>
    <t>107045, г. Москва, пер. Просвирин, д. 4</t>
  </si>
  <si>
    <t>127006, г. Москва, ул. 1-Я Тверская-Ямская, д. 2 стр. 1</t>
  </si>
  <si>
    <t>142029, Московская обл, г.о. Домодедово, г Домодедово, мкр. Северный, ул Логистическая, стр. 11, офис 304</t>
  </si>
  <si>
    <t>197101, г. Санкт-Петербург, ул. Мира, д. 3 литера А пом. / ком. 1Н/353</t>
  </si>
  <si>
    <t>123308, г. Москва, вн.тер.г. муниципальный округ Хорошево-Мневники, пр-д 2-й Силикатный, д. 34, стр. 1</t>
  </si>
  <si>
    <t>400029, Волгоградская обл., г. Волгоград, ул. 40 Лет Влксм, д. 55</t>
  </si>
  <si>
    <t>450071, Башкортостан Респ, г.о. город Уфа, г Уфа, ул Ростовская, д. 24, офис 10А</t>
  </si>
  <si>
    <t>690001, Приморский кр., г. Владивосток, ул. Пушкинская, д. 87</t>
  </si>
  <si>
    <t>107140, г. Москва, пер. 3-Й Новый, д. 5 стр. 1 этаж 2 пом. I каб. 2</t>
  </si>
  <si>
    <t>410080, Саратовская обл., г. Саратов, проспект Строителей, д. 35</t>
  </si>
  <si>
    <t>238420, Калининградская обл., Багратионовский район, г. Багратионовск, ул. Коммунальная, д. 12</t>
  </si>
  <si>
    <t>123060, г. Москва, ул. Маршала Рыбалко, д. 2 к. 8</t>
  </si>
  <si>
    <t>143500, Московская обл., г. Истра, ул. Московская, д. 52</t>
  </si>
  <si>
    <t>109544, г. Москва, бульвар Энтузиастов, д. 2 этаж / ком. 21/1 (Деловой центр «Golden Gate»)</t>
  </si>
  <si>
    <t>105066, г. Москва, вн.тер.г. муниципальный округ Басманный, ул Нижняя Красносельская, д. 35, стр. 9, помещ. 59/3</t>
  </si>
  <si>
    <t>115582, г. Москва, ул. Домодедовская, д. 24 к. 3</t>
  </si>
  <si>
    <t>142072, Московская обл., г. Домодедово, с. Долматово, ул. Дорожная, д. 16</t>
  </si>
  <si>
    <t>115093, г. Москва, ул. Люсиновская, д. 36 стр. 1 (Бизнес-центр «на Люсиновской»)</t>
  </si>
  <si>
    <t>108811, г. Москва, вн.тер.г. поселение Московский, км Киевское шоссе 22-й (п Московский), двлд. 4, стр. 2, этаж 7, офис 728Г</t>
  </si>
  <si>
    <t>129090, г. Москва, ул. Мещанская, д. 7 стр. 1 этаж 3 пом. 3</t>
  </si>
  <si>
    <t>127015, г. Москва, ул. Большая Новодмитровская, д. 14 стр. 2 этаж 6 ком. 13 офис 2.654</t>
  </si>
  <si>
    <t>105318, г. Москва, вн.тер.г. муниципальный округ Соколиная гора, ул Мироновская, д. 33, стр. 26, этаж 3, помещ./кабинет I/1</t>
  </si>
  <si>
    <t>109544, г. Москва, бульвар Энтузиастов, д. 2 пом. 27 (Деловой центр «Golden Gate»)</t>
  </si>
  <si>
    <t>127083, г. Москва, ул. Мишина, д. 56 стр. 2 этаж 2 пом. IX ком. 29 (Бизнес-центр «Мишина, 56 56с2»)</t>
  </si>
  <si>
    <t>101000, г. Москва, вн.тер.г. муниципальный округ Красносельский, пер Милютинский, д. 9, стр. 1, этаж 4, ком. 1</t>
  </si>
  <si>
    <t>663330, Красноярский край, г.о. город Норильск, г Норильск, ул Таймырская, д. 8</t>
  </si>
  <si>
    <t>129110, г. Москва, ул. Самарская, д. 1 этаж 4 (Многофункциональный комплекс «Новион»)</t>
  </si>
  <si>
    <t>426033, Удмуртская респ., г. Ижевск, ул. 30 Лет Победы, д. 12</t>
  </si>
  <si>
    <t>121309, г. Москва, ул. Барклая, д. 13 стр. 2 этаж 5 ком. 37</t>
  </si>
  <si>
    <t>109428, г. Москва, проспект Рязанский, д. 22 к. 2 этаж 7 пом. XIII ком. 19</t>
  </si>
  <si>
    <t>353900, Краснодарский кр., г. Новороссийск, ул. Магистральная, д. 4</t>
  </si>
  <si>
    <t>109147, г. Москва, вн.тер.г. муниципальный округ Таганский, ул Таганская, д. 17-23, этаж 2, помещ. I,КОМ.16,18,18А,18Б,18В,19-27,30-36,36А,38,39А,39Б,39В (Бизнес-центр «Мосэнка 4 Парк Тауэрс»)</t>
  </si>
  <si>
    <t>107140, г. Москва, ул. Верхняя Красносельская, д. 3 стр. 2</t>
  </si>
  <si>
    <t>127006, г. Москва, ул. Краснопролетарская, д. 2/4 стр. 13 ком. 3 этаж 4 (Бизнес-центр «Garden Ring Building»)</t>
  </si>
  <si>
    <t>664009, Иркутская обл., г. Иркутск, ул. Советская, д. 139А</t>
  </si>
  <si>
    <t>600000, Владимирская обл., г. Владимир, ул. Кремлёвская, д. 12</t>
  </si>
  <si>
    <t>623850, Свердловская обл., г. Ирбит, ул. Елизарьевых, д. 3</t>
  </si>
  <si>
    <t>140000, Московская обл., г. Люберцы, ул. Котельническая, д. 13 пом. 11, ком. 1</t>
  </si>
  <si>
    <t>140000, Московская обл., г. Люберцы, ул. Котельническая, д. 13 этаж 2, ком. 7</t>
  </si>
  <si>
    <t>664025, Иркутская обл., г. Иркутск, бульвар Гагарина, д. 38</t>
  </si>
  <si>
    <t>362002, Северная Осетия - Алания Респ, г.о. город Владикавказ, г Владикавказ, ул Курская, д. 1, помещ. 2</t>
  </si>
  <si>
    <t>344000, Ростовская обл., г. Ростов-На-Дону, проспект Соколова, д. 53/182 офис 304</t>
  </si>
  <si>
    <t>426034, Удмуртская респ., г. Ижевск, ул. Базисная, д. 19</t>
  </si>
  <si>
    <t>664050, Иркутская обл., г. Иркутск, ул. Байкальская, д. 265</t>
  </si>
  <si>
    <t>666033, Иркутская обл., г. Шелехов, ул. Индустриальная, д. 1</t>
  </si>
  <si>
    <t>664011, Иркутская обл., г. Иркутск, ул. Сухэ-Батора, д. 3</t>
  </si>
  <si>
    <t>664033, Иркутская обл., г. Иркутск, ул. Лермонтова, д. 257 (Бизнес-центр «Академический»)</t>
  </si>
  <si>
    <t>633272, Новосибирская обл., Ордынский район, с. Верх-Ирмень, микрорайон Агрогородок, д. 17/2</t>
  </si>
  <si>
    <t>692911, Приморский кр., г. Находка, ул. Луначарского, д. 9</t>
  </si>
  <si>
    <t>670045, Бурятия респ., г. Улан-Удэ, ул. Шаляпина, д. 5В этаж / офис 3/39</t>
  </si>
  <si>
    <t>141190, Московская обл, г.о. Фрязино, г Фрязино, пл имени академика Б.А.Введенского, д. 3, стр. 5</t>
  </si>
  <si>
    <t>117393, г. Москва, вн.тер.г. муниципальный округ Ломоносовский, ул Академика Пилюгина, д. 22 (Бизнес-центр «Алгоритм»)</t>
  </si>
  <si>
    <t>633204, Новосибирская обл., г. Искитим, ул. Элеваторная, д. 5</t>
  </si>
  <si>
    <t>633209, Новосибирская обл., г. Искитим, ул. Заводская, д. 1А</t>
  </si>
  <si>
    <t>610020, Кировская обл., г. Киров, ул. Карла Маркса, д. 4</t>
  </si>
  <si>
    <t>662255, Красноярский кр., Ужурский район, г. Ужур, ул. Ленина, д. 82Б</t>
  </si>
  <si>
    <t>614038, Пермский кр., г. Пермь, ул. Академика Веденеева, д. 28</t>
  </si>
  <si>
    <t>121471, г. Москва, ул. Рябиновая, д. 26 стр. 2 пом. III этаж 2 ком. 21 (Бизнес-центр "West Plaza")</t>
  </si>
  <si>
    <t>672016, Забайкальский край, г.о. город Чита, г Чита, ул Дивизионная, д. 3, стр. 21, этаж/каб. 2/1</t>
  </si>
  <si>
    <t>664047, Иркутская обл., г. Иркутск, ул. Карла Либкнехта, д. 125 офис 501</t>
  </si>
  <si>
    <t>664007, Иркутская обл, г.о. город Иркутск, г Иркутск, ул Красноказачья, стр. 16</t>
  </si>
  <si>
    <t>685007, Магаданская обл., г. Магадан, ул. Транспортная, д. 1 этаж 2</t>
  </si>
  <si>
    <t>142784, г. Москва, км. Киевское Шоссе 22-Й (П Московский), домовладение 4 стр. 5 этаж 6 БЛ Е офис 621Е</t>
  </si>
  <si>
    <t>397906, Воронежская обл., Лискинский район, г. Лиски, ул. Александра Матросова, д. 63</t>
  </si>
  <si>
    <t>432061, Ульяновская обл., г. Ульяновск, ул. Азовская, д. 97А</t>
  </si>
  <si>
    <t>453203, Башкортостан Респ, м.р-н Ишимбайский, г.п. город Ишимбай, г Ишимбай, тер. Промзона Левый берег, зд. 19А, стр. 8, этаж 2, помещ. 7</t>
  </si>
  <si>
    <t>624091, Свердловская обл., г. Верхняя Пышма, проспект Успенский, д. 1 офис 802</t>
  </si>
  <si>
    <t>607630, Нижегородская обл, г.о. город Нижний Новгород, сп. Кудьма, ул Индустриальная, зд. 8, помещ. 25</t>
  </si>
  <si>
    <t>607600, Нижегородская обл., Богородский район, г. Богородск, ул. Ленина, д. 135 пом. 3</t>
  </si>
  <si>
    <t>249001, Калужская обл., Боровский район, г. Балабаново, ул. Ворошилова, д. 1</t>
  </si>
  <si>
    <t>127572, г. Москва, ул. Угличская, д. 16 этаж 2, пом. 73 (Бизнес-центр)</t>
  </si>
  <si>
    <t>423800, Татарстан респ., г. Набережные Челны, ул. Металлургическая, д. 123 офис 207</t>
  </si>
  <si>
    <t>196650, г. Санкт-Петербург, г. Колпино, тер. Ижорский Завод, д. 32 литера АЩ пом. / ком. 17-Н/12</t>
  </si>
  <si>
    <t>195027, г. Санкт-Петербург, ул. Партизанская, д. 11</t>
  </si>
  <si>
    <t>394004, Воронежская обл, г.о. город Воронеж, г Воронеж, пр-кт Ленинский, д. 43А, офис 502</t>
  </si>
  <si>
    <t>141402, Московская обл, г.о. Химки, г Химки, ул Ленинградская, влд. 39, стр. 6, офис ОВ02_05_B1 (Бизнес-парк «Химки Бизнес Парк здание 2»)</t>
  </si>
  <si>
    <t>117342, г. Москва, вн.тер.г. муниципальный округ Коньково, ул Обручева, д. 52, стр. 1, этаж 4, помещ. 4.1 (Бизнес-центр на Ул. Обручева, 52С1)</t>
  </si>
  <si>
    <t>634003, Томская обл., г. Томск, пер. Телевизионный, д. 3 стр. 1</t>
  </si>
  <si>
    <t>121354, г. Москва, вн.тер.г. муниципальный округ Можайский, ул Дорогобужская, д. 14 (Склад)</t>
  </si>
  <si>
    <t>123007, г. Москва, ул. 1-Я Магистральная, д. 17 стр. 5 этаж 3</t>
  </si>
  <si>
    <t>390011, Рязанская обл., г. Рязань, шоссе Куйбышевское, д. 14А офис 20</t>
  </si>
  <si>
    <t>627705, Тюменская обл., г. Ишим, ул. Республики, д. 1</t>
  </si>
  <si>
    <t>125047, г. Москва, пер. 1-Й Тверской-Ямской, д. 18 этаж / ком. 3/12</t>
  </si>
  <si>
    <t>398010, Липецкая обл., Грязинский район, г. Грязи, тер. Оэз Ппт Липецк, стр. 47 к. 11</t>
  </si>
  <si>
    <t>424006, Марий Эл респ., г. Йошкар-Ола, проезд Кокшайский, д. 44</t>
  </si>
  <si>
    <t>119415, г. Москва, ул. Лобачевского, д. 42 стр. 4</t>
  </si>
  <si>
    <t>350089, Краснодарский кр., г. Краснодар, проспект Чекистов, д. 33 к. 2</t>
  </si>
  <si>
    <t>105082, г. Москва, ул. Фридриха Энгельса, д. 75 стр. 11 пом. 702Б (Бизнес-центр «Пальмира»)</t>
  </si>
  <si>
    <t>198095, г. Санкт-Петербург, ул. Маршала Говорова, д. 49 литера А офис 702.1</t>
  </si>
  <si>
    <t>199034, г. Санкт-Петербург, лн. 17-Я В.О., д. 4-6 литера Е пом. офис 1НТ417-1 (Бизнес-центр «Ситилинк»)</t>
  </si>
  <si>
    <t>182115, Псковская обл., г. Великие Луки, ул. Гоголя, д. 3Б</t>
  </si>
  <si>
    <t>623280, Свердловская обл, г.о. Ревда, г Ревда, ул Привокзальная, влд. 2А, офис 4</t>
  </si>
  <si>
    <t>620075, Свердловская обл., г. Екатеринбург, ул. Мамина-Сибиряка стр. 145 офис 262</t>
  </si>
  <si>
    <t>119421, г. Москва, проспект Ленинский, д. 111 к. 1 этаж 2 офис 220</t>
  </si>
  <si>
    <t>369300, Карачаево-Черкесская респ., Усть-Джегутинский район, г. Усть-Джегута, уч. Промплощадка Цемзавода</t>
  </si>
  <si>
    <t>420006, Татарстан респ., г. Казань, ул. Хлебозаводская, д. 3 офис 12</t>
  </si>
  <si>
    <t>420088, Татарстан респ., г. Казань, ул. Академика Арбузова, д. 7 литера Ж офис 3</t>
  </si>
  <si>
    <t>123001, г. Москва, ул. Садовая-Кудринская, д. 32 стр. 1 (Бизнес-центр «Бронная Плаза»)</t>
  </si>
  <si>
    <t>420029, Татарстан респ., г. Казань, ул. Халитова, д. 1</t>
  </si>
  <si>
    <t>420051, Татарстан респ., г. Казань, ул. Беломорская, д. 101</t>
  </si>
  <si>
    <t>420094, Татарстан респ., г. Казань, ул. Короленко, д. 89 офис 5</t>
  </si>
  <si>
    <t>420202, Татарстан респ., г. Казань, ул. Коротченко, д. 4</t>
  </si>
  <si>
    <t>115172, г. Москва, ул. Народная, д. 8 Э/ пом. / ком. 4/V/3</t>
  </si>
  <si>
    <t>357010, Ставропольский кр., Кочубеевский район, с. Казьминское, ул. Советская, д. 48</t>
  </si>
  <si>
    <t>420021, Татарстан респ., г. Казань, ул. Габдуллы Тукая, д. ЗД. 162</t>
  </si>
  <si>
    <t>185013, Карелия респ., г. Петрозаводск, шоссе Шуйское (Северная Промзона Р-Н), д. 80</t>
  </si>
  <si>
    <t>236022, Калининградская обл., г. Калининград, ул. Комсомольская, д. 22Б</t>
  </si>
  <si>
    <t>238580, Калининградская обл., пгт. Янтарный, ул. Балебина, д. 1</t>
  </si>
  <si>
    <t>236022, Калининградская обл., г. Калининград, ул. Нарвская, д. 58</t>
  </si>
  <si>
    <t>659030, Алтайский кр., Калманский район, с. Новороманово, ул. Строительная, д. 33</t>
  </si>
  <si>
    <t>248017, Калужская обл., г. Калуга, ул. Азаровская, д. 2 офис 607</t>
  </si>
  <si>
    <t>248008, Калужская обл., г. Калуга, ул. Литвиновская, д. 1</t>
  </si>
  <si>
    <t>248000, Калужская обл., г. Калуга, ул. Театральная, д. 34</t>
  </si>
  <si>
    <t>249130, Калужская обл., Перемышльский район, д. Хохловка</t>
  </si>
  <si>
    <t>248001, Калужская обл., г. Калуга, пер. Суворова, д. 8</t>
  </si>
  <si>
    <t>142704, г. Москва, Сосенское пос., ул. Калужское Шоссе 21 Км, ТОРГОВО-РАЗВЛЕКАТЕЛЬНЫЙ ЦЕНТР "МЕГА" пом. 8164</t>
  </si>
  <si>
    <t>617060, Пермский кр., г. Краснокамск, ул. Шоссейная, д. 11</t>
  </si>
  <si>
    <t>107023, г. Москва, вн.тер.г. муниципальный округ Соколиная гора, ул Измайловский Вал, д. 30, этаж 4, ком. 408 (Бизнес-центр на Ул. Измайловский Вал, 30)</t>
  </si>
  <si>
    <t>427000, Удмуртская респ., Завьяловский район, квартал Мартьяновский, д. 1 офис 20</t>
  </si>
  <si>
    <t>640027, Курганская обл., г. Курган, ул. Дзержинского, д. 68 офис 205</t>
  </si>
  <si>
    <t>634057, Томская обл., г. Томск, проспект Мира, д. 20</t>
  </si>
  <si>
    <t>172110, Тверская обл., г. Кувшиново, ул. Октябрьская, д. 5</t>
  </si>
  <si>
    <t>109044, г. Москва, пер. 2-Й Динамовский, д. 3 кв. 7</t>
  </si>
  <si>
    <t>107023, г. Москва, ул. Большая Семёновская, д. 40 стр. 13 этаж 3 пом. 307</t>
  </si>
  <si>
    <t>141407, Московская обл, г.о. Химки, г Химки, ул Бабакина, д. 5А, помещ. 104 (Бизнес-центр «Кристалл»)</t>
  </si>
  <si>
    <t>350005, Краснодарский кр., г. Краснодар, ул. Им. Героя Пешкова, д. 5 этаж / пом. 1/36</t>
  </si>
  <si>
    <t>115088, г. Москва, вн.тер.г. муниципальный округ Печатники, проезд 2-й Южнопортовый, д. 14/22, стр. 1, этаж 3 ПОМ. IX КАБ.2</t>
  </si>
  <si>
    <t>142800, Московская обл., г. Ступино, ул. Ситенка, д. 10</t>
  </si>
  <si>
    <t>423800, Татарстан респ., г. Набережные Челны, проезд Хлебный, д. 7</t>
  </si>
  <si>
    <t>187342, Ленинградская обл, м.р-н Кировский, г.п. Кировское, г Кировск, ул Пионерская, д. 14, офис №4</t>
  </si>
  <si>
    <t>195273, г. Санкт-Петербург, проспект Пискарёвский, д. 146 к. 1 стр. 1 офис 2</t>
  </si>
  <si>
    <t>614047, Пермский кр., г. Пермь, ул. Соликамская, д. 293</t>
  </si>
  <si>
    <t>142717, Московская обл., г. Видное, с. Беседы, проезд Промышленный, владение 8 стр. 1</t>
  </si>
  <si>
    <t>690066, Приморский кр., г. Владивосток, ул. Шилкинская, д. 7Б офис 4</t>
  </si>
  <si>
    <t>107023, г. Москва, ул. Электрозаводская, д. 27 стр. 8 этаж 4 пом. XVI ком. 34 (Деловой центр «ЛеФОРТ строение 8»)</t>
  </si>
  <si>
    <t>400119, Волгоградская обл, г.о. город-герой Волгоград, г Волгоград, ул им. Карла Маркса, влд. 13, помещ. 1</t>
  </si>
  <si>
    <t>125167, г. Москва, вн.тер.г. муниципальный округ Хорошевский, пр-кт Ленинградский, д. 37, помещ. 24, ком. 10 (Бизнес-центр «Аэродом»)</t>
  </si>
  <si>
    <t>109028, г. Москва, набережная Серебряническая, д. 29 этаж 8/ пом. 1/ ком. 1 (Бизнес-центр «Silver City»)</t>
  </si>
  <si>
    <t>123112, г. Москва, набережная Пресненская, д. 8 стр. 1 (Бизнес-центр «Многофункциональный комплекс Москва-Сити «Город Столиц»»)</t>
  </si>
  <si>
    <t>456873, Челябинская обл, г.о. Кыштымский, г Кыштым, ул Парижской Коммуны, д. 2А</t>
  </si>
  <si>
    <t>121351, г. Москва, ул. Бобруйская, д. 10 к. 1</t>
  </si>
  <si>
    <t>420034, Татарстан респ., г. Казань, ул. Проточная, д. 8 офис 809</t>
  </si>
  <si>
    <t>603002, Нижегородская обл., г. Нижний Новгород, ул. Советская, д. 20 пом. П9 офис 38Б</t>
  </si>
  <si>
    <t>119048, г. Москва, ул. Лужники, д. 24 стр. 9 этаж 3 пом. II ком. 3 (Бизнес-центр на Ул. Лужники, 24С9)</t>
  </si>
  <si>
    <t>115201, г. Москва, ул. Котляковская, д. 3 стр. 6 этаж 2, пом. 9</t>
  </si>
  <si>
    <t>350001, Краснодарский кр., г. Краснодар, ул. Ставропольская, д. 206 офис 401</t>
  </si>
  <si>
    <t>191167, г. Санкт-Петербург, ул. Херсонская, д. 22</t>
  </si>
  <si>
    <t>127562, г. Москва, вн.тер.г. муниципальный округ Отрадное, ш Алтуфьевское, д. 6, помещ. IV</t>
  </si>
  <si>
    <t>127254, г. Москва, ул. Руставели, владение 14 стр. 11 (Бизнес-центр на Ул. Руставели, 14С11)</t>
  </si>
  <si>
    <t>183038, Мурманская обл., г. Мурманск, ул. Шмидта, д. 43 кв. 521</t>
  </si>
  <si>
    <t>632224, Новосибирская обл., Чановский район, кп. Озеро-Карачи, ул. Лесная, д. 1</t>
  </si>
  <si>
    <t>654006, Кемеровская область - Кузбасс, г. Новокузнецк, проспект Дружбы (Центральный Р-Н), д. 39 пом. 512</t>
  </si>
  <si>
    <t>301847, Тульская обл., Ефремовский район, г. Ефремов, ул. Молодежная, д. 10</t>
  </si>
  <si>
    <t>191119, г. Санкт-Петербург, проспект Лиговский, д. 123 литера А пом. 19Н офис 1</t>
  </si>
  <si>
    <t>119071, г. Москва, проезд 2-Й Донской, д. 4 стр. 1 этаж 3</t>
  </si>
  <si>
    <t>107140, г. Москва, ул. Русаковская, д. 13 (Бизнес-центр «Бородино Плаза»)</t>
  </si>
  <si>
    <t>236022, Калининградская обл., г. Калининград, проспект Мира, д. 81</t>
  </si>
  <si>
    <t>603022, Нижегородская обл., г. Нижний Новгород, ул. Тимирязева, д. 15 к. 2 офис 512</t>
  </si>
  <si>
    <t>109028, г. Москва, набережная Серебряническая, д. 29 этаж 4 пом. 1 ком. 21 (Бизнес-центр «Silver City»)</t>
  </si>
  <si>
    <t>195297, Ленинградская обл., Всеволожский район, тер. Транспортная, д. 6 пом. 101</t>
  </si>
  <si>
    <t>420107, Татарстан респ., г. Казань, ул. Спартаковская, д. 6 офис 1209 (Торгово-развлекательный центр «Сувар Плаза»)</t>
  </si>
  <si>
    <t>385012, Адыгея респ., г. Майкоп, пер. Профсоюзный, д. 2</t>
  </si>
  <si>
    <t>197022, г. Санкт-Петербург, ул. Инструментальная, д. 3 литера Б пом. 15Н ком. 7</t>
  </si>
  <si>
    <t>660052, Красноярский кр., г. Красноярск, ул. Затонская, д. 62</t>
  </si>
  <si>
    <t>117418, г. Москва, ул. Зюзинская, д. 6 к. 2 этаж 2 пом. XIV ком. 23</t>
  </si>
  <si>
    <t>248017, Калужская обл., г. Калуга, ул. Московская, д. 302 офис 21</t>
  </si>
  <si>
    <t>248017, Калужская обл., г. Калуга, ул. Московская, д. 302 офис 22</t>
  </si>
  <si>
    <t>423601, Татарстан респ., Елабужский район, ул. Ш-3 (Оэз Алабуга Тер.), д. ЗД. 3/3</t>
  </si>
  <si>
    <t>123610, г. Москва, набережная Краснопресненская, д. 12 этаж / пом. / ком. 12/IАЖ/61-78 (Бизнес-центр «Центр Международной Торговли»)</t>
  </si>
  <si>
    <t>115114, г. Москва, набережная Дербеневская, д. 7 стр. 8 (Бизнес-квартал «Новоспасский строение 8»)</t>
  </si>
  <si>
    <t>456110, Челябинская обл., Катав-Ивановский район, г. Катав-Ивановск, ул. Цементников, д. 1 к. А</t>
  </si>
  <si>
    <t>187000, Ленинградская обл., Тосненский район, г. Тосно, шоссе Московское, д. 1/1</t>
  </si>
  <si>
    <t>628481, Ханты-Мансийский Автономный Округ - Югра, г. Когалым, ул. Янтарная, д. 8</t>
  </si>
  <si>
    <t>628600, Ханты-Мансийский Автономный Округ - Югра, г. Нижневартовск, ПРОМЗОНА</t>
  </si>
  <si>
    <t>630559, Новосибирская обл., рабочий пос. Кольцово, проспект Академика Сандахчиева, д. ЗД. 11</t>
  </si>
  <si>
    <t>242600, Брянская обл., Дятьковский район, г. Дятьково, ул. Городок Строителей, д. 21 к. 1 офис 1</t>
  </si>
  <si>
    <t>400097, Волгоградская обл., г. Волгоград, ул. 40 Лет Влксм, д. 57</t>
  </si>
  <si>
    <t>125009, г. Москва, ул. Воздвиженка, д. 4/7 стр. 2 этаж 5 пом. II ком. 1Н</t>
  </si>
  <si>
    <t>129226, г. Москва, проспект Мира, д. 211 к. 2 этаж 4 пом. I ком. 10</t>
  </si>
  <si>
    <t>142002, Московская обл., г. Домодедово, ул. Текстильщиков (Западный Мкр.) стр. 1Б этаж / офис ; этаж / пом. 5/503-510; 2/201</t>
  </si>
  <si>
    <t>410040, Саратовская обл, г.о. город Саратов, г Саратов, пр-кт им 50 лет Октября, д. 108, этаж 8, помещ. 11</t>
  </si>
  <si>
    <t>109386, г. Москва, ул. Ставропольская, домовладение 23 к. 1</t>
  </si>
  <si>
    <t>109377, г. Москва, ул. Академика Скрябина, д. 9К2 стр. 3</t>
  </si>
  <si>
    <t>117420, г. Москва, ул. Намёткина, д. 10А (Бизнес-центр на Ул. Намёткина, 10А)</t>
  </si>
  <si>
    <t>420054, Татарстан респ., г. Казань, ул. Тихорецкая, д. 5 офис 332</t>
  </si>
  <si>
    <t>300012, Тульская обл., г. Тула, ул. Тимирязева, д. 99В (Бизнес-центр на Ул. Тимирязева, 99В)</t>
  </si>
  <si>
    <t>124460, г. Москва, г. Зеленоград, проезд 4801-Й, д. 7 стр. 5</t>
  </si>
  <si>
    <t>115280, г. Москва, ул. Автозаводская, д. 14</t>
  </si>
  <si>
    <t>614030, Пермский кр., г. Пермь, ул. Писарева, д. 2А к. 1</t>
  </si>
  <si>
    <t>141441, Московская обл, г.о. Химки, д Елино, тер. Промышленная зона, стр. 1, этаж 3, помещ. 210</t>
  </si>
  <si>
    <t>295047, Крым респ., г. Симферополь, ул. Узловая, д. 6</t>
  </si>
  <si>
    <t>142927, Московская обл., г. Кашира, ул. Новослободская (Ожерелье Мкр.), д. 46А</t>
  </si>
  <si>
    <t>117105, г. Москва, вн.тер.г. муниципальный округ Донской, наб Новоданиловская, д. 4А, помещ. 12/1/7 (Бизнес-центр «Новоданиловский Дом»)</t>
  </si>
  <si>
    <t>398008, Липецкая обл., г. Липецк, пл. Петра Великого, владение 2</t>
  </si>
  <si>
    <t>194292, г. Санкт-Петербург, пер. 5-Й Верхний, д. 1 к. 5 литера А пом. 1-Н офис 56</t>
  </si>
  <si>
    <t>121151, г. Москва, ул. Можайский Вал, д. 8 этаж 13 пом. XCI ком. 5-10,13,14 (Многофункциональный комплекс «Atlantic»)</t>
  </si>
  <si>
    <t>192102, г. Санкт-Петербург, ул. Салова, д. 45 литера Ж пом. / ком. 1-Н/17</t>
  </si>
  <si>
    <t>640000, Курганская обл., г. Курган, проспект Конституции, д. 29А</t>
  </si>
  <si>
    <t>450077, Башкортостан респ., г. Уфа, ул. Цюрупы, д. 75 офис 74</t>
  </si>
  <si>
    <t>396039, Воронежская обл., Рамонский район, д. Богданово, ул. Лесная, д. 31</t>
  </si>
  <si>
    <t>353040, Краснодарский кр., Белоглинский район, с. Белая Глина, ул. Степная, д. 37</t>
  </si>
  <si>
    <t>662605, Красноярский кр., г. Минусинск, ул. Крекерная, д. 8</t>
  </si>
  <si>
    <t>622022, Свердловская обл., г. Нижний Тагил, ул. Фрунзе, д. 83</t>
  </si>
  <si>
    <t>630040, Новосибирская обл., Новосибирский район, пос. Озерный, ул. Промышленная, д. 22</t>
  </si>
  <si>
    <t>142505, Московская обл., г. Павловский Посад, шоссе Мишутинское, д. 4Б</t>
  </si>
  <si>
    <t>300045, Тульская обл, г.о. город Тула, г Тула, ш Новомосковское, зд. 54, помещ. 3, ОФИС 318, ЭТАЖ 3</t>
  </si>
  <si>
    <t>652010, Кемеровская область - Кузбасс, Яшкинский район, пгт. Яшкино, ул. Молодежная, д. 1А</t>
  </si>
  <si>
    <t>142000, Московская обл., г. Домодедово, ул. Каширское Шоссе (Северный Мкр.), д. 7 офис 515</t>
  </si>
  <si>
    <t>142001, Московская обл., г. Домодедово, ул. Каширское Шоссе (Северный Мкр.), д. 7 офис 515А</t>
  </si>
  <si>
    <t>115407, г. Москва, ул. Якорная, д. 6</t>
  </si>
  <si>
    <t>654066, Кемеровская область - Кузбасс, г. Новокузнецк, проспект Октябрьский (Центральный Р-Н), д. 59А</t>
  </si>
  <si>
    <t>298112, Крым респ., г. Феодосия, шоссе Керченское, д. 38</t>
  </si>
  <si>
    <t>249020, Калужская обл., Боровский район, д. Добрино, проезд 2-Й Восточный, д. владение 3 кв. стр. 1Б пом. 1</t>
  </si>
  <si>
    <t>249020, Калужская обл., Боровский район, д. Добрино, проезд 2-Й Восточный, владение 3</t>
  </si>
  <si>
    <t>394033, Воронежская обл., г. Воронеж, ул. Витрука, д. 4</t>
  </si>
  <si>
    <t>115114, г. Москва, вн.тер.г. муниципальный округ Даниловский, проезд 3-й Павелецкий, д. 7, к. 1, помещ. VIII/ЦОКОЛЬ, помещ./ком. VIII/4</t>
  </si>
  <si>
    <t>650066, Кемеровская область - Кузбасс, г. Кемерово, проспект Ленина, д. 90 к. 5 пом. 46 офис 7</t>
  </si>
  <si>
    <t>650000, Кемеровская область - Кузбасс, г. Кемерово, ул. Николая Островского, д. 16</t>
  </si>
  <si>
    <t>650000, Кемеровская область - Кузбасс, г. Кемерово, проспект Кузнецкий, д. 30</t>
  </si>
  <si>
    <t>123112, г. Москва, вн.тер.г. муниципальный округ Пресненский, наб Пресненская, д. 12, офис 6406 (Многофункциональный комплекс «Башня Федерация»)</t>
  </si>
  <si>
    <t>119415, г. Москва, вн.тер.г. муниципальный округ Проспект Вернадского, пр-кт Вернадского, д. 41, стр. 1, эт./помещ. 7/I, каб. 718</t>
  </si>
  <si>
    <t>119192, г. Москва, проспект Мичуринский, д. 11 к. 3 Э 1, пом. XI, ком. 39</t>
  </si>
  <si>
    <t>129626, г. Москва, ул. Маломосковская, д. 22 стр. 1 офис Э 3 П II К 96, 97, 98 (Бизнес-центр "Антарис")</t>
  </si>
  <si>
    <t>683000, Камчатский кр., г. Петропавловск-Камчатский, ул. Набережная, д. 10</t>
  </si>
  <si>
    <t>302024, Орловская обл., г. Орёл, ул. Итальянская, д. 5</t>
  </si>
  <si>
    <t>302024, Орловская обл., г. Орёл, ул. Итальянская, д. 5 пом. 1 офис 2</t>
  </si>
  <si>
    <t>362021, Северная Осетия - Алания респ., г. Владикавказ, ул. Керамическая, д. 1</t>
  </si>
  <si>
    <t>125195, г. Москва, шоссе Ленинградское, д. 47 стр. 2 этаж 2 пом. VI ком. 8</t>
  </si>
  <si>
    <t>298306, Крым респ., г. Керчь, ул. Веры Белик, д. 12</t>
  </si>
  <si>
    <t>125196, г. Москва, ул. Лесная, д. 7 этаж 15 ком. 1 (Бизнес-центр «Белые Сады»)</t>
  </si>
  <si>
    <t>295051, Крым респ., г. Симферополь, ул. Павленко, д. 34</t>
  </si>
  <si>
    <t>454091, Челябинская обл., г. Челябинск, ул. Цвиллинга, д. 41</t>
  </si>
  <si>
    <t>344029, Ростовская обл., г. Ростов-На-Дону, ул. Менжинского, д. 2 (Бизнес-центр «Форум»)</t>
  </si>
  <si>
    <t>430006, Мордовия респ., г. Саранск, шоссе Александровское, д. 22 каб. 23</t>
  </si>
  <si>
    <t>302209, Орловская обл., Орловский район, с/п Платоновское, ул. Раздольная, д. 105 пом. 14А</t>
  </si>
  <si>
    <t>350000, Краснодарский кр., г. Краснодар, ул. Им. Захарова, д. 10/2 офис 401</t>
  </si>
  <si>
    <t>607014, Нижегородская обл., г. Кулебаки, ул. Некрасова, д. 12</t>
  </si>
  <si>
    <t>393191, Тамбовская обл., г. Котовск, ул. Кирпичная, д. 1Е</t>
  </si>
  <si>
    <t>610016, Кировская обл., г. Киров, проспект Октябрьский, д. 18</t>
  </si>
  <si>
    <t>423570, Татарстан респ., Нижнекамский район, г. Нижнекамск, ул. Заводская, д. 48Б</t>
  </si>
  <si>
    <t>171252, Тверская обл., Конаковский район, г. Конаково, ул. Промышленная, д. 1</t>
  </si>
  <si>
    <t>624013, Свердловская обл., Сысертский район, пос. Двуреченск</t>
  </si>
  <si>
    <t>660123, Красноярский кр., г. Красноярск, проспект Им.Газеты "Красноярский Рабочий", д. 29</t>
  </si>
  <si>
    <t>628486, Ханты-Мансийский Автономный Округ - Югра, г. Когалым, ул. Ноябрьская, стр. 13</t>
  </si>
  <si>
    <t>115054, г. Москва, ул. Валовая, д. 26 (Бизнес-центр «Lighthouse»)</t>
  </si>
  <si>
    <t>117405, г. Москва, ул. Дорожная, д. 60 стр. 19 этаж 2 офис 12</t>
  </si>
  <si>
    <t>368830, Дагестан респ., г. Кизляр, ул. Орджоникидзе, д. 60</t>
  </si>
  <si>
    <t>142800, Московская обл., г. Ступино, ул. Ситенка, владение 15</t>
  </si>
  <si>
    <t>129110, г. Москва, ул. Щепкина, д. 51/4 стр. 2 (Бизнес-центр «Щепкинский»)</t>
  </si>
  <si>
    <t>140000, Московская обл., г. Люберцы, ул. Котельническая, д. 15В</t>
  </si>
  <si>
    <t>197046, г. Санкт-Петербург, ул. Малая Посадская, д. 28/2 стр. 1 пом. 1Н офис 212</t>
  </si>
  <si>
    <t>610020, Кировская обл., г. Киров, ул. Энергетиков, д. 15 стр. 3</t>
  </si>
  <si>
    <t>610035, Кировская обл., г. Киров, ул. Воровского, д. 105</t>
  </si>
  <si>
    <t>364029, Чеченская респ., г. Грозный, ул. Восточная Объездная, д. 21</t>
  </si>
  <si>
    <t>123022, г. Москва, вн.тер.г. муниципальный округ Пресненский, ш Звенигородское, д. 18/20, к. 1, этаж 2, помещ. I</t>
  </si>
  <si>
    <t>190031, г. Санкт-Петербург, вн.тер.г. муниципальный округ Сенной округ, ул Ефимова, д. 4А, литера А, помещ. 27Н, офис 629</t>
  </si>
  <si>
    <t>423810, Татарстан респ., г. Набережные Челны, проспект Хасана Туфана, д. 12 офис 0703 (Бизнес-центр «2.18»)</t>
  </si>
  <si>
    <t>620085, Свердловская обл., г. Екатеринбург, ул. 8 Марта стр. 212 офис 335 (Торгово-деловой комплекс «Астор»)</t>
  </si>
  <si>
    <t>117638, г. Москва, вн.тер.г. муниципальный округ Зюзино, ул Одесская, д. 2, этаж/помещ./ком. 16/III/2.2 (Бизнес-центр «Lotos»)</t>
  </si>
  <si>
    <t>143500, Московская обл., г. Истра, проезд Железнодорожный, д. 5Б этаж 4 каб. 1</t>
  </si>
  <si>
    <t>140560, Московская обл., г. Озёры, ул. Ленина, д. 13 литера М каб. 3</t>
  </si>
  <si>
    <t>431350, Мордовия респ., г. Ковылкино, ул. Добролюбова, д. 1</t>
  </si>
  <si>
    <t>249841, Калужская обл, м.р-н Дзержинский, с.п. деревня Жилетово, д Жилетово, ул Промышленная, д. 1, стр. 5</t>
  </si>
  <si>
    <t>403080, Волгоградская обл., Иловлинский район, ст. Качалино, ул. Байкальская, д. 29А</t>
  </si>
  <si>
    <t>344016, Ростовская обл., г. Ростов-На-Дону, пер. 1-Й Машиностроительный, д. 5</t>
  </si>
  <si>
    <t>305025, Курская обл., г. Курск, проезд Магистральный, д. 22Г</t>
  </si>
  <si>
    <t>125167, г. Москва, вн.тер.г. муниципальный округ Аэропорт, пр-кт Ленинградский, д. 36, стр. 9, этаж/ком. 7/15 (Бизнес-центр «Арена Парк корпус 9»)</t>
  </si>
  <si>
    <t>350039, Краснодарский край, г.о. город Краснодар, г Краснодар, проезд Мирный, д. 16, офис 10</t>
  </si>
  <si>
    <t>160002, Вологодская обл., г. Вологда, ул. Гагарина, д. 41 кв. 79</t>
  </si>
  <si>
    <t>344065, Ростовская обл., г. Ростов-На-Дону, ул. 50-Летия Ростсельмаша, д. 2-6/22</t>
  </si>
  <si>
    <t>347660, Ростовская обл., Егорлыкский район, станица Егорлыкская, ул. Вишневая, д. 2А</t>
  </si>
  <si>
    <t>125364, г. Москва, ул. Свободы, д. 50</t>
  </si>
  <si>
    <t>192029, г. Санкт-Петербург, проспект Обуховской Обороны, д. 76 к. 4 литера пом. / офис 7-Н/309</t>
  </si>
  <si>
    <t>350022, Краснодарский кр., г. Краснодар, ул. Им. Героя Яцкова И.В., д. 2/2</t>
  </si>
  <si>
    <t>119146, г. Москва, проспект Комсомольский, д. 28 этаж 1, 3 пом. III, VI</t>
  </si>
  <si>
    <t>141402, Московская обл., г. Химки, ул. Ленинградская, стр. 25 пом. 10 этаж 17 (Бизнес-центр «Mebe One Khimki Plaza»)</t>
  </si>
  <si>
    <t>353290, Краснодарский кр., г. Горячий Ключ, ул. Революции, д. 4 литера А офис 16</t>
  </si>
  <si>
    <t>606340, Нижегородская обл., Княгининский район, г. Княгинино, ул. Свободы, д. 7</t>
  </si>
  <si>
    <t>610020, Кировская обл., г. Киров, ул. Карла Маркса, д. 4А</t>
  </si>
  <si>
    <t>195271, г. Санкт-Петербург, проспект Кондратьевский, д. 62 к. 7 пом. 25-Н</t>
  </si>
  <si>
    <t>307170, Курская обл, г.о. город Железногорск, г Железногорск, пер Автолюбителей, д. 5</t>
  </si>
  <si>
    <t>300903, Тульская обл., г. Тула, пос. Косая Гора, шоссе Орловское, д. 4</t>
  </si>
  <si>
    <t>123112, г. Москва, набережная Пресненская, д. 6 стр. 2 этаж 47 часть пом. 4726 (Деловой комплекс "Империя")</t>
  </si>
  <si>
    <t>141607, Московская обл., г. Клин, шоссе Волоколамское, д. 33 стр. 4</t>
  </si>
  <si>
    <t>423800, Татарстан респ., г. Набережные Челны, ул. Моторная, д. 38</t>
  </si>
  <si>
    <t>353181, Краснодарский кр., Кореновский район, г. Кореновск, ул. Тимашевская, д. 16</t>
  </si>
  <si>
    <t>633236, Новосибирская обл., Искитимский район, пос. Керамкомбинат, ул. Широкая, д. 24 этаж 2 пом. 25</t>
  </si>
  <si>
    <t>625017, Тюменская обл, г.о. город Тюмень, г Тюмень, ул Сергея Ильюшина, д. 1, стр. 5, этаж 1, помещ. 6</t>
  </si>
  <si>
    <t>346707, Ростовская обл, м.р-н Аксайский, с.п. Ленинское, тер. Автодороги Ростов-на-Дону - Волгодонск, км 1, зд. 1, стр. 2, этаж 2, помещ. 1</t>
  </si>
  <si>
    <t>141734, Московская обл., г. Лобня, ул. Лейтенанта Бойко, д. 104А корп. ЗД. 2 этаж / пом. 1/5</t>
  </si>
  <si>
    <t>690014, Приморский край, г.о. Владивостокский, г Владивосток, ул Фонвизина, д. 2, помещ. 100Н</t>
  </si>
  <si>
    <t>357217, Ставропольский кр., Минераловодский район, пос. Анджиевский, ул. Заводская, д. 1</t>
  </si>
  <si>
    <t>669401, Иркутская обл., Нукутский район, пос. Новонукутский, ул. Ленина, д. 9</t>
  </si>
  <si>
    <t>196652, г. Санкт-Петербург, г. Колпино, ул. Загородная, д. 9 к. 3</t>
  </si>
  <si>
    <t>352586, Краснодарский кр., Мостовский район, пгт. Псебай, ул. Вишневая, д. 35</t>
  </si>
  <si>
    <t>301661, Тульская обл., Новомосковский район, г. Новомосковск, ул. Гражданская, д. 14</t>
  </si>
  <si>
    <t>454081, Челябинская обл., г. Челябинск, ул. Валдайская, д. 15В</t>
  </si>
  <si>
    <t>143405, Московская обл., г. Красногорск, ул. Центральная, д. 139</t>
  </si>
  <si>
    <t>142804, Московская обл., г. Ступино, ул. Индустриальная, д. 2</t>
  </si>
  <si>
    <t>188320, Ленинградская обл., Гатчинский район, г. Коммунар, ул. Павловская, д. 9</t>
  </si>
  <si>
    <t>143401, Московская обл, г.о. Красногорск, г Красногорск, ул Международная, д. 14, этаж 5, помещ. СЕКЦИЯ 5-001</t>
  </si>
  <si>
    <t>628486, Ханты-Мансийский Автономный Округ - Югра, г. Когалым, ул. Геофизиков, д. 4</t>
  </si>
  <si>
    <t>191002, г. Санкт-Петербург, пер. Щербаков, д. 12 литера А пом. 112 офис 611А</t>
  </si>
  <si>
    <t>660021, Красноярский кр., г. Красноярск, ул. Декабристов, д. 30 пом. 25, 26</t>
  </si>
  <si>
    <t>123376, г. Москва, ул. Рочдельская, д. 15 стр. 15 этаж 4, пом. IV, ком. 4 (Бизнес-центр на Ул. Рочдельская, 15С15)</t>
  </si>
  <si>
    <t>603152, Нижегородская обл., г. Нижний Новгород, ул. Кащенко, д. 6 пом. 1</t>
  </si>
  <si>
    <t>117545, г. Москва, вн.тер.г. муниципальный округ Чертаново Центральное, ул Подольских Курсантов, д. 3, этаж 2, ком/офис 56/220</t>
  </si>
  <si>
    <t>309506, Белгородская обл., г. Старый Оскол, ул. Первой Конной Армии, д. 65</t>
  </si>
  <si>
    <t>184141, Мурманская обл., Ковдорский район, г. Ковдор, ул. Сухачева, д. 5</t>
  </si>
  <si>
    <t>628486, Ханты-Мансийский Автономный Округ - Югра, г. Когалым, ул. Центральная, д. 10</t>
  </si>
  <si>
    <t>628486, Ханты-Мансийский Автономный Округ - Югра, г. Когалым, ул. Центральная, д. 3</t>
  </si>
  <si>
    <t>650021, Кемеровская область - Кузбасс, г. Кемерово, ул. 1-Я Стахановская, д. 6</t>
  </si>
  <si>
    <t>443082, Самарская обл., г. Самара, ул. Клиническая, д. 154 литера АА1А2, офис 2Б</t>
  </si>
  <si>
    <t>119361, г. Москва, ул. Большая Очаковская, д. 47А стр. 1 каб. 63</t>
  </si>
  <si>
    <t>121614, г. Москва, ул. Крылатская, д. 17 к. 1</t>
  </si>
  <si>
    <t>423578, Татарстан респ., Нижнекамский район, г. Нижнекамск, ул. Студенческая, д. ЗД 21А</t>
  </si>
  <si>
    <t>450095, Башкортостан Респ, г.о. город Уфа, г Уфа, ул Рядовая, д. 9, кв 7</t>
  </si>
  <si>
    <t>115230, г. Москва, проезд Хлебозаводский, д. 7</t>
  </si>
  <si>
    <t>142181, Московская обл, г.о. Подольск, д Коледино, тер. Индустриальный парк Коледино, д. 21, стр. 1, этаж 3, ком. 1</t>
  </si>
  <si>
    <t>630052, Новосибирская обл., г. Новосибирск, ул. Толмачевская, д. 19А</t>
  </si>
  <si>
    <t>688713, Камчатский кр., Карагинский район, с. Ивашка, ул. Школьная, д. 4</t>
  </si>
  <si>
    <t>686110, Магаданская обл., Хасынский район, пгт. Палатка, ул. Центральная, домовладение 51</t>
  </si>
  <si>
    <t>685000, Магаданская обл., г. Магадан, ул. Билибина, д. 2-А</t>
  </si>
  <si>
    <t>685030, Магаданская обл., г. Магадан, ул. Пролетарская, д. 84 к. 2</t>
  </si>
  <si>
    <t>685017, Магаданская обл., г. Магадан, ул. Советская, д. 23</t>
  </si>
  <si>
    <t>603092, Нижегородская обл., г. Нижний Новгород, шоссе Московское, д. 302 к. 3 офис 2</t>
  </si>
  <si>
    <t>150521, Ярославская обл., Ярославский район, пос. Нагорный, ул. Индустриальная стр. 1</t>
  </si>
  <si>
    <t>123060, г. Москва, проезд 1-Й Волоколамский, д. 10</t>
  </si>
  <si>
    <t>656922, Алтайский кр., г. Барнаул, ул. Попова, д. 187</t>
  </si>
  <si>
    <t>456910, Челябинская обл., Саткинский район, г. Сатка, ул. Солнечная, д. 34</t>
  </si>
  <si>
    <t>197198, г. Санкт-Петербург, ул. Красного Курсанта, д. 25 литера д этаж / пом. 4/№91</t>
  </si>
  <si>
    <t>620137, Свердловская обл., г. Екатеринбург, ул. Вилонова стр. 35</t>
  </si>
  <si>
    <t>630520, Новосибирская обл., Новосибирский район, пос. Красный Восток</t>
  </si>
  <si>
    <t>620024, Свердловская обл., г. Екатеринбург, шоссе Елизаветинское, стр. 42</t>
  </si>
  <si>
    <t>352240, Краснодарский кр., Новокубанский район, г. Новокубанск, ул. Шоссейная, д. 59/1</t>
  </si>
  <si>
    <t>167000, Коми респ., г. Сыктывкар, ул. Первомайская, д. 70</t>
  </si>
  <si>
    <t>125212, г. Москва, шоссе Головинское, д. 5 к. 1 офис 10015/1</t>
  </si>
  <si>
    <t>167981, Коми респ., г. Сыктывкар, ул. 2-Я Промышленная, д. 10</t>
  </si>
  <si>
    <t>167004, Коми Респ, г.о. Сыктывкар, г Сыктывкар, ш Сысольское, стр. 9, ком. 209</t>
  </si>
  <si>
    <t>117519, г. Москва, шоссе Варшавское, д. 133</t>
  </si>
  <si>
    <t>127576, г. Москва, ул. Илимская, д. 5 к. 2 пом. Z302</t>
  </si>
  <si>
    <t>301848, Тульская обл., Ефремовский район, г. Ефремов, ул. Московская Застава, д. 1 офис 20</t>
  </si>
  <si>
    <t>655211, Хакасия респ., Ширинский район, с. Коммунар, ул. Советская, д. 15</t>
  </si>
  <si>
    <t>127015, г. Москва, ул. Новодмитровская, д. 2 к. 1 пом. XLI ком. 1 этаж 5</t>
  </si>
  <si>
    <t>214018, Смоленская обл., г. Смоленск, проспект Гагарина, д. 22 ком. 80 (Бизнес-центр «На Гагарина, 22»)</t>
  </si>
  <si>
    <t>603024, Нижегородская обл, г.о. город Нижний Новгород, г Нижний Новгород, ул Генкиной, д. 46, помещ. П5</t>
  </si>
  <si>
    <t>123007, г. Москва, проезд 2-Й Хорошёвский, д. 7 стр. 1 пом. I этаж 3 ком. 1</t>
  </si>
  <si>
    <t>117292, г. Москва, ул. Кедрова, д. 21 к. 1 ком. 19</t>
  </si>
  <si>
    <t>198035, г. Санкт-Петербург, ул. Шотландская, д. 6 литера А пом. 300</t>
  </si>
  <si>
    <t>350002, Краснодарский кр., г. Краснодар, ул. Северная, д. 353 офис 303</t>
  </si>
  <si>
    <t>101000, г. Москва, вн.тер.г. муниципальный округ Басманный, проезд Лубянский, д. 27/1, стр. 1 (Торгово-офисный центр «Китай Город»)</t>
  </si>
  <si>
    <t>142033, Московская обл., г. Домодедово, д. Проводы, тер. Логистический Центр стр. 1 офис 304</t>
  </si>
  <si>
    <t>680030, Хабаровский кр., г. Хабаровск, ул. Павловича, д. 13 литера Е2 офис 302Б</t>
  </si>
  <si>
    <t>305004, Курская обл, г.о. город Курск, г Курск, ул Ленина, зд. 67А, офис 101</t>
  </si>
  <si>
    <t>119180, г. Москва, ул. Полянка Б., д. 2 стр. 2 пом. / ком. I/8 (Бизнес-центр )</t>
  </si>
  <si>
    <t>352900, Краснодарский кр., г. Армавир, ул. Воровского, д. 57</t>
  </si>
  <si>
    <t>350087, Краснодарский кр., г. Краснодар, ул. Ростовское Шоссе, д. 66</t>
  </si>
  <si>
    <t>664025, Иркутская обл, г.о. город Иркутск, г Иркутск, ул Сухэ-Батора, д. 4</t>
  </si>
  <si>
    <t>450520, Башкортостан Респ, м.р-н Уфимский, с.п. Зубовский сельсовет, тер. Кузнецовский родник, зд. 1</t>
  </si>
  <si>
    <t>410028, Саратовская обл., г. Саратов, ул. Советская, д. 10</t>
  </si>
  <si>
    <t>420101, Татарстан Респ, г.о. город Казань, г Казань, ул Профессора Камая, д. 15А, помещ. 1006</t>
  </si>
  <si>
    <t>188660, Ленинградская обл., Всеволожский район, д. Мистолово, ул. Людмилы Кедриной, стр. 20 к. 1</t>
  </si>
  <si>
    <t>199106, г. Санкт-Петербург, лн. 26-Я В.О., д. 15 к. 2 литера А пом. 176-Н офис 1</t>
  </si>
  <si>
    <t>127486, г. Москва, ул. Дегунинская, д. 1 к. 2 ком. 8-04</t>
  </si>
  <si>
    <t>125375, г. Москва, ул. Тверская, д. 12 стр. 1</t>
  </si>
  <si>
    <t>109052, г. Москва, ул. Смирновская, д. 25 стр. 15 этаж 3 пом. 09А (Бизнес-центр «Смирновский строение 15»)</t>
  </si>
  <si>
    <t>640003, Курганская обл., г. Курган, ул. Тимофея Невежина, д. 3 стр. 10</t>
  </si>
  <si>
    <t>115114, г. Москва, ул. Летниковская, д. 10 стр. 4 ком. 24, этаж 6 (Бизнес-центр "Святогор-4")</t>
  </si>
  <si>
    <t>460008, Оренбургская обл., г. Оренбург, ул. Целинная (Поселок Ростоши Мкр.), д. 23</t>
  </si>
  <si>
    <t>127566, г. Москва, шоссе Алтуфьевское, д. 48 к. 1 Э 3 пом. I ком. 4-8</t>
  </si>
  <si>
    <t>344064, Ростовская обл., г. Ростов-На-Дону, ул. Вавилова, д. 59 д</t>
  </si>
  <si>
    <t>141201, Московская обл, Пушкино г, г.о. Пушкинский, ш Кудринское, д. 6, к. ГЛАВНЫЙ ПРОИЗВОДСТВЕННЫЙ ЭТАЖ 3, помещ. 323</t>
  </si>
  <si>
    <t>450061, Башкортостан респ., г. Уфа, ул. Интернациональная, д. 105 к. 1</t>
  </si>
  <si>
    <t>344022, Ростовская обл., г. Ростов-На-Дону, ул. Береговая, д. 67</t>
  </si>
  <si>
    <t>454008, Челябинская обл, г.о. Челябинский, вн.р-н Курчатовский, г Челябинск, ул Производственная, д. 8Б, офис 303</t>
  </si>
  <si>
    <t>398032, Липецкая обл., г. Липецк, проезд Универсальный, д. 11</t>
  </si>
  <si>
    <t>123610, г. Москва, набережная Краснопресненская, д. 12 корп. ПОДЪЕЗД 3 этаж 15 офис 1507</t>
  </si>
  <si>
    <t>125130, г. Москва, вн.тер.г. муниципальный округ Войковский, ул Выборгская, д. 22, стр. 3, этаж 2, ком. 40</t>
  </si>
  <si>
    <t>620078, Свердловская обл., г. Екатеринбург, ул. Библиотечная, д. 50 офис 209</t>
  </si>
  <si>
    <t>664025, Иркутская обл., г. Иркутск, ул. Сурикова, д. 6</t>
  </si>
  <si>
    <t>690074, Приморский кр., г. Владивосток, ул. Снеговая, д. 34 офис 1</t>
  </si>
  <si>
    <t>150001, Ярославская обл., г. Ярославль, проспект Московский, д. 12</t>
  </si>
  <si>
    <t>248000, Калужская обл., г. Калуга, ул. Достоевского, д. 25</t>
  </si>
  <si>
    <t>121357, г. Москва, ул. Верейская, д. 29 стр. 33 этаж 6 ком. 12 (Бизнес-центр «Верейская Плаза III 33»)</t>
  </si>
  <si>
    <t>450096, Башкортостан респ., г. Уфа, ул. Энтузиастов, д. 6</t>
  </si>
  <si>
    <t>117292, г. Москва, ул. Гримау, д. 10</t>
  </si>
  <si>
    <t>680031, Хабаровский кр., г. Хабаровск, ул. Карла Маркса, д. 182 литера А,А1,А2 пом. 221</t>
  </si>
  <si>
    <t>119619, г. Москва, проезд Новомещерский, д. 9 стр. 1 ком. 11</t>
  </si>
  <si>
    <t>650051, Кемеровская область - Кузбасс, г. Кемерово, проспект Кузнецкий, д. 137А офис 204</t>
  </si>
  <si>
    <t>109341, г. Москва, ул. Привольная, д. 70 пом. XXXV (Бизнес-центр «Жулебино»)</t>
  </si>
  <si>
    <t>117420, г. Москва, ул. Профсоюзная, д. 57 этаж 3 пом. II ком. 12 (Бизнес-центр «Нииполиграфмаш»)</t>
  </si>
  <si>
    <t>620102, Свердловская обл., г. Екатеринбург, ул. Серафимы Дерябиной стр. 24 (Офисное здание «Премиум»)</t>
  </si>
  <si>
    <t>301847, Тульская обл., Ефремовский район, г. Ефремов, ул. Молодежная, д. 10 к. ПРОИЗВ офис 2.05/2 этаж</t>
  </si>
  <si>
    <t>142500, Московская обл., г. Павловский Посад, пер. Дзержинского, д. 5 пом. 4</t>
  </si>
  <si>
    <t>123610, г. Москва, набережная Краснопресненская, д. 12 ПОД 6 этаж 5 пом. 520 (Бизнес-центр «Центр Международной Торговли»)</t>
  </si>
  <si>
    <t>119415, г. Москва, вн.тер.г. муниципальный округ Проспект Вернадского, пр-кт Вернадского, д. 41, стр. 1, эт/пом/ком 6/I/63</t>
  </si>
  <si>
    <t>350080, Краснодарский кр., г. Краснодар, ул. Им. Тюляева, д. 4/1 кв. 1-24</t>
  </si>
  <si>
    <t>192007, г. Санкт-Петербург, вн.тер.г. муниципальный округ Волковское, наб Обводного канала, д. 60, литера А, этаж/помещение 2/1Н, часть помещения 81-83</t>
  </si>
  <si>
    <t>692519, Приморский кр., г. Уссурийск, ул. Некрасова, д. 22 офис 511</t>
  </si>
  <si>
    <t>125413, г. Москва, ул. Солнечногорская, д. 4 стр. 10 мансарда</t>
  </si>
  <si>
    <t>109316, г. Москва, проспект Волгоградский, д. 42 к. 42А пом. 12</t>
  </si>
  <si>
    <t>428003, Чувашская Республика - Чувашия, г. Чебоксары, проспект И.Я.Яковлева, д. 3А пом. Б503</t>
  </si>
  <si>
    <t>119180, г. Москва, ул. Большая Якиманка, д. 22 пом. XV ком. 21 этаж 3</t>
  </si>
  <si>
    <t>109316, г. Москва, проспект Волгоградский, д. 28А пом. / этаж / ком. I этаж 3 ком. 6</t>
  </si>
  <si>
    <t>117105, г. Москва, вн.тер.г. муниципальный округ Нагатино-Садовники, ул Нагатинская, д. 1, стр. 2, этаж 4, офис 414</t>
  </si>
  <si>
    <t>117545, г. Москва, ул. Дорожная, д. 3 к. 20 пом. II ком. 3А</t>
  </si>
  <si>
    <t>454082, Челябинская обл., г. Челябинск, тракт Троицкий, д. 72В офис 10</t>
  </si>
  <si>
    <t>111250, г. Москва, вн.тер.г. муниципальный округ Лефортово, проезд Завода Серп и Молот, д. 10, этаж 7, помещ./ком. XXXIX/23 (Бизнес-центр «Интеграл»)</t>
  </si>
  <si>
    <t>142450, Московская обл, г.о. Богородский, тер. автомобильная дорога М-7 Волга, км 37-й, д. 8, офисное помещение 217</t>
  </si>
  <si>
    <t>454010, Челябинская обл., г. Челябинск, ул. Енисейская, д. 8</t>
  </si>
  <si>
    <t>350072, Краснодарский кр., г. Краснодар, ул. Солнечная, д. 15/4 пом. 13 6-ГО ЭТАЖА</t>
  </si>
  <si>
    <t>432035, Ульяновская обл., г. Ульяновск, проспект Гая, д. 81</t>
  </si>
  <si>
    <t>107140, г. Москва, ул. Малая Красносельская, д. 7</t>
  </si>
  <si>
    <t>186220, Карелия респ., Кондопожский район, г. Кондопога, ул. Промышленная, д. ЗД. 2</t>
  </si>
  <si>
    <t>214020, Смоленская обл., г. Смоленск, ул. Индустриальная, д. 9А корп. ЗД. АКБ 1</t>
  </si>
  <si>
    <t>455022, Челябинская обл, г.о. Магнитогорский, г Магнитогорск, ш Белорецкое, д. 7, стр. 1</t>
  </si>
  <si>
    <t>353700, Краснодарский кр., Каневской район, станица Новоминская, ул. Советская, д. 24</t>
  </si>
  <si>
    <t>119034, г. Москва, ул. Остоженка, д. 10 офис 600 (Бизнес-центр «Остоженка 10»)</t>
  </si>
  <si>
    <t>352700, Краснодарский кр., Тимашевский район, г. Тимашевск, ул. Гибридная, д. 2</t>
  </si>
  <si>
    <t>108802, г. Москва, вн.тер.г. поселение Сосенское, ул Николо-Хованская, д. 28, стр. 5, этаж 7, ком. 269-272 (Многофункциональный комплекс «Николин Парк»)</t>
  </si>
  <si>
    <t>125047, г. Москва, ул. 2-Я Брестская, д. 8 пом. XII, ком. 15А</t>
  </si>
  <si>
    <t>424000, Марий Эл респ., г. Йошкар-Ола, ул. Карла Маркса, д. 133</t>
  </si>
  <si>
    <t>601900, Владимирская обл., г. Ковров, ул. Локомотивная, д. 11 стр. 5</t>
  </si>
  <si>
    <t>305000, Курская обл., г. Курск, ул. Золотая, д. 13</t>
  </si>
  <si>
    <t>119571, г. Москва, проспект Ленинский, д. 158 Э 3 пом. I К 140 офис 0340</t>
  </si>
  <si>
    <t>660115, Красноярский кр., г. Красноярск, ул. Тотмина, д. 35А</t>
  </si>
  <si>
    <t>630020, Новосибирская обл., г. Новосибирск, ул. Окружная, д. 29В</t>
  </si>
  <si>
    <t>248903, Калужская обл., г. Калуга, с. Козлово</t>
  </si>
  <si>
    <t>125040, г. Москва, вн.тер.г. муниципальный округ Беговой, пр-кт Ленинградский, д. 15, стр. 15 (Бизнес-центр «Большевик строение 15»)</t>
  </si>
  <si>
    <t>624251, Свердловская обл., г. Заречный, ул. Промзона Бзск стр. 2</t>
  </si>
  <si>
    <t>129090, г. Москва, ул. Мещанская, д. 7 стр. 1 офис 15</t>
  </si>
  <si>
    <t>385132, Адыгея Респ, м.р-н Тахтамукайский, г.п. Энемское, пгт Энем, ул Седина, д. 64, этаж 1, помещ. 4</t>
  </si>
  <si>
    <t>107078, г. Москва, вн.тер.г. муниципальный округ Красносельский, ул Каланчевская, д. 15А, этаж 4, ком. 28 (Бизнес-центр)</t>
  </si>
  <si>
    <t>196105, г. Санкт-Петербург, вн.тер.г. муниципальный округ Московская застава, пр-кт Юрия Гагарина, д. 1, литера А, помещ. 78-Н, ком. № 533</t>
  </si>
  <si>
    <t>109382, г. Москва, ул. Судакова, д. 10 офис 304 (Бизнес-центр «Судакова Плаза»)</t>
  </si>
  <si>
    <t>195273, г. Санкт-Петербург, проспект Шафировский, д. 6 к. А</t>
  </si>
  <si>
    <t>190031, г. Санкт-Петербург, ул. Казанская, д. 25 литера А офис 304</t>
  </si>
  <si>
    <t>353730, Краснодарский кр., Каневской район, станица Каневская, ул. Горького, д. 123 каб. 42</t>
  </si>
  <si>
    <t>353730, Краснодарский край, м.р-н Каневской, с.п. Каневское, ст-ца Каневская, ул Горького, д. 123, офис 80</t>
  </si>
  <si>
    <t>123112, г. Москва, вн.тер.г. муниципальный округ Пресненский, проезд 1-й Красногвардейский, д. 22, стр. 1, этаж 25, помещ. А25, ком. 10</t>
  </si>
  <si>
    <t>400050, Волгоградская обл., г. Волгоград, ул. Им. Пархоменко, д. 47А</t>
  </si>
  <si>
    <t>400066, Волгоградская обл., г. Волгоград, ул. Порт-Саида, д. 16А</t>
  </si>
  <si>
    <t>141008, Московская обл., г. Мытищи, Проектируемый Проезд 5274 стр. 7</t>
  </si>
  <si>
    <t>109029, г. Москва, ул. Средняя Калитниковская, д. 28 стр. 4 этаж 1 пом. XI ком. 1</t>
  </si>
  <si>
    <t>127560, г. Москва, ул. Конёнкова, д. 5</t>
  </si>
  <si>
    <t>607189, Нижегородская обл., г. Саров, ул. Силкина, д. 30</t>
  </si>
  <si>
    <t>456618, Челябинская обл., г. Копейск, ул. Ленина, д. 24</t>
  </si>
  <si>
    <t>105005, г. Москва, пер. Посланников, д. 5 стр. 1</t>
  </si>
  <si>
    <t>672020, Забайкальский кр., г. Чита, ул. Лазо, д. 116 пом. 2</t>
  </si>
  <si>
    <t>171940, Тверская обл., Бежецкий район, д. Алексеевское, д. 5</t>
  </si>
  <si>
    <t>117420, г. Москва, ул. Профсоюзная, д. 57 этаж 5, пом. 27 (Бизнес-центр «Нииполиграфмаш»)</t>
  </si>
  <si>
    <t>140181, Московская обл, г.о. Жуковский, г Жуковский, ул Жуковского, стр. 31, офис 310</t>
  </si>
  <si>
    <t>183039, Мурманская обл., г. Мурманск, ул. Полярные Зори, д. 21 к. 3</t>
  </si>
  <si>
    <t>353183, Краснодарский кр., Кореновский район, г. Кореновск, ул. Коммунистическая, д. 7</t>
  </si>
  <si>
    <t>398501, Липецкая обл., Липецкий район, с. Кузьминские Отвержки, ул. Котовского, д. 2Б</t>
  </si>
  <si>
    <t>423877, Татарстан респ., Тукаевский район, тер. Малошильнинское С/П, пер. Цыганский 2, д. 8 офис 2А</t>
  </si>
  <si>
    <t>125212, г. Москва, ул. Выборгская, д. 16 стр. 4</t>
  </si>
  <si>
    <t>454010, Челябинская обл, г.о. Челябинский, вн.р-н Ленинский, г Челябинск, ул Енисейская, д. 8, стр. 16</t>
  </si>
  <si>
    <t>454010, Челябинская обл, г.о. Челябинский, вн.р-н Ленинский, г Челябинск, ул Енисейская, д. 8, стр. 16, помещ. 25</t>
  </si>
  <si>
    <t>410531, Саратовская обл, г.о. город Саратов, с Клещевка, ул Вольская, зд. 1/12, стр. 1</t>
  </si>
  <si>
    <t>620039, Свердловская обл., г. Екатеринбург, пер. Никольский, д. 1</t>
  </si>
  <si>
    <t>141400, Московская обл., г. Химки, проезд Северный к. 1</t>
  </si>
  <si>
    <t>658798, Алтайский кр., Хабарский район, пос. Целинный, ул. Ленина, д. 1</t>
  </si>
  <si>
    <t>117997, г. Москва, ул. Вавилова, д. 19</t>
  </si>
  <si>
    <t>350911, Краснодарский кр., г. Краснодар, ул. Трамвайная, д. 5</t>
  </si>
  <si>
    <t>620075, Свердловская обл., г. Екатеринбург, ул. Белинского, стр. 39</t>
  </si>
  <si>
    <t>302042, Орловская обл., г. Орёл, шоссе Кромское, д. 4 (Торгово-развлекательный центр «ТРК Мегакомплекс Гринн с гостиничным комплексом 4 звезды»)</t>
  </si>
  <si>
    <t>392000, Тамбовская обл., г. Тамбов, ул. Московская, д. 4А</t>
  </si>
  <si>
    <t>394028, Воронежская обл., г. Воронеж, проезд Монтажный, д. 26 офис 405</t>
  </si>
  <si>
    <t>123308, г. Москва, ул. Мнёвники, д. 1 (Бизнес-центр на Ул. Мнёвники, 1)</t>
  </si>
  <si>
    <t>197342, г. Санкт-Петербург, ул. Сердобольская, д. 64 к. 1 литера А пом. 27-Н, ком. 2</t>
  </si>
  <si>
    <t>143964, Московская обл, г.о. Реутов, г Реутов, ул Железнодорожная, д. 21, офис 214</t>
  </si>
  <si>
    <t>300012, Тульская обл, г.о. город Тула, г Тула, ул Рязанская, д. 38, помещ. 202, КОРПУС ГЛАВНЫЙ, ЛИТ. А,А1,А2, 2 ЭТАЖ (Торгово-офисный центр ««Автосити»»)</t>
  </si>
  <si>
    <t>356000, Ставропольский кр., Новоалександровский район, г. Новоалександровск, ул. Сиреневая, д. 54</t>
  </si>
  <si>
    <t>344011, Ростовская обл., г. Ростов-На-Дону, ул. Тельмана, д. 21</t>
  </si>
  <si>
    <t>344022, Ростовская обл., г. Ростов-На-Дону, ул. Суворова, д. 91 офис 6 (Бизнес-центр «Лига Наций»)</t>
  </si>
  <si>
    <t>105082, г. Москва, вн.тер.г. муниципальный округ Басманный, пл Спартаковская, д. 14, стр. 3, этаж/ком. 2/9, офис 64</t>
  </si>
  <si>
    <t>194100, г. Санкт-Петербург, проспект Большой Сампсониевский, д. 68 литера Н пом. 1Н</t>
  </si>
  <si>
    <t>121357, г. Москва, вн.тер.г. муниципальный округ Можайский, ул Верейская, д. 5, эт/пом/часть ком 2/I/27</t>
  </si>
  <si>
    <t>683013, Камчатский кр., г. Петропавловск-Камчатский, ул. Озерная, д. 41</t>
  </si>
  <si>
    <t>394019, Воронежская обл., г. Воронеж, ул. 9 Января, д. 180 литера 16А офис 415</t>
  </si>
  <si>
    <t>107076, г. Москва, ул. Стромынка, д. 19 к. 2 пом. 128 ком. 7</t>
  </si>
  <si>
    <t>156013, Костромская обл., г. Кострома, проспект Мира, д. 37-39/28</t>
  </si>
  <si>
    <t>115114, г. Москва, набережная Дербеневская, д. 11 стр. А офис 76 (Бизнес-центр «Диод»)</t>
  </si>
  <si>
    <t>143985, Московская обл., г. Балашиха, д. Соболиха, пер. 1-Й Липовый, д. 4</t>
  </si>
  <si>
    <t>143985, Московская обл., г. Балашиха, д. Соболиха, пер. 1-Й Липовый, владение 4</t>
  </si>
  <si>
    <t>123022, г. Москва, ул. Трехгорный Вал, д. 22 стр. 1 этаж 3/ ком. 8</t>
  </si>
  <si>
    <t>143983, Московская обл., г. Балашиха, ул. Керамическая (Керамик Мкр.) стр. 1-Ж</t>
  </si>
  <si>
    <t>152151, Ярославская обл., Ростовский район, г. Ростов, ул. Пролетарская, д. 40 стр. 2</t>
  </si>
  <si>
    <t>129626, г. Москва, пер. Дроболитейный, д. 2</t>
  </si>
  <si>
    <t>394036, Воронежская обл., г. Воронеж, ул. Фридриха Энгельса, д. 25Б офис 330 (Бизнес-центр «Бик-3»)</t>
  </si>
  <si>
    <t>390047, Рязанская Область обл., г. Рязань, р-н Песочня, д. 2 стр. 2</t>
  </si>
  <si>
    <t>353183, Краснодарский кр., Кореновский район, г. Кореновск, ул. Маяковского, д. 18</t>
  </si>
  <si>
    <t>140317, Московская обл., г. Егорьевск, д. Поцелуево, д. 53</t>
  </si>
  <si>
    <t>454006, Челябинская обл., г. Челябинск, ул. Российская, д. 61А неж. пом. 5</t>
  </si>
  <si>
    <t>129085, г. Москва, ул. Годовикова, д. 9 стр. 16</t>
  </si>
  <si>
    <t>660075, Красноярский кр., г. Красноярск, ул. Маерчака, д. 4</t>
  </si>
  <si>
    <t>350020, Краснодарский кр., г. Краснодар, ул. Рашпилевская, д. 181 пом. 40/2</t>
  </si>
  <si>
    <t>355037, Ставропольский кр., г. Ставрополь, ул. Шпаковская, д. 76 к. 6</t>
  </si>
  <si>
    <t>660041, Красноярский кр., г. Красноярск, ул. Академика Киренского, д. ЗД. 87Б пом. 15 каб. 7</t>
  </si>
  <si>
    <t>660022, Красноярский кр., г. Красноярск, ул. Аэровокзальная, д. 9 д</t>
  </si>
  <si>
    <t>660021, Красноярский кр., г. Красноярск, ул. Робеспьера, д. 7 каб. 17</t>
  </si>
  <si>
    <t>660049, Красноярский кр., г. Красноярск, ул. Парижской Коммуны, д. 41</t>
  </si>
  <si>
    <t>660135, Красноярский край, г.о. город Красноярск, г Красноярск, ул Молокова, д. 37А, помещ. 94 (Бизнес-центр «Капитал»)</t>
  </si>
  <si>
    <t>354000, Краснодарский кр., г. Сочи, ул. Северная (Центральный Р-Н), д. 14 к. А</t>
  </si>
  <si>
    <t>353800, Краснодарский кр., Красноармейский район, станица Полтавская, ул. Центральная, д. 1/2</t>
  </si>
  <si>
    <t>301121, Тульская обл., Ленинский район, пос. Рассвет</t>
  </si>
  <si>
    <t>196240, г. Санкт-Петербург, шоссе Пулковское, д. 19 литера А</t>
  </si>
  <si>
    <t>385300, Адыгея респ., Красногвардейский район, с. Красногвардейское, ул. Первомайская, д. 20</t>
  </si>
  <si>
    <t>143420, Московская обл., г. Красногорск, д. Михалково, дор. Балтия, д. 25 км. ТСК АВТОС FORD литера 10Б этаж 1 пом. 1 каб. 1</t>
  </si>
  <si>
    <t>143402, Московская обл., г. Красногорск, ул. Жуковского, д. 9</t>
  </si>
  <si>
    <t>425090, Марий Эл респ., Звениговский район, пгт. Красногорский, ул. Ленина, д. 53</t>
  </si>
  <si>
    <t>143444, Московская обл., г. Красногорск, ул. Мира (Опалиха Мкр.), д. 25</t>
  </si>
  <si>
    <t>350062, Краснодарский кр., г. Краснодар, ул. Им. Каляева, д. 198</t>
  </si>
  <si>
    <t>350059, Краснодарский кр., г. Краснодар, ул. Онежская, д. 37</t>
  </si>
  <si>
    <t>350080, Краснодарский кр., г. Краснодар, ул. Красноармейская, д. 40 помещения 5/1, 17</t>
  </si>
  <si>
    <t>109316, г. Москва, проспект Волгоградский, д. 35 пом. 614 (Бизнес-центр «Энергоавтоматика»)</t>
  </si>
  <si>
    <t>652726, Кемеровская область - Кузбасс, г. Киселевск, ул. Стандартная, д. ЗД. 1Б</t>
  </si>
  <si>
    <t>660075, Красноярский кр., г. Красноярск, ул. Маерчака, д. ЗД 8/1 офис 3</t>
  </si>
  <si>
    <t>663090, Красноярский край, г.о. город Дивногорск, г Дивногорск, проезд Нижний, д. 37, помещ. 1</t>
  </si>
  <si>
    <t>660021, Красноярский кр., г. Красноярск, ул. Бограда, д. 144 к. А</t>
  </si>
  <si>
    <t>660019, Красноярский кр., г. Красноярск, ул. Краснопресненская, д. 1</t>
  </si>
  <si>
    <t>660061, Красноярский кр., г. Красноярск, ул. Калинина, д. 53А пом. 4</t>
  </si>
  <si>
    <t>660017, Красноярский кр., г. Красноярск, ул. Дубровинского, д. 43</t>
  </si>
  <si>
    <t>309420, Белгородская обл., Краснояружский район, пос. Красная Яруга, ул. Парковая, д. 38</t>
  </si>
  <si>
    <t>309421, Белгородская обл., Краснояружский район, пос. Красная Яруга, ул. Полевая, д. 1</t>
  </si>
  <si>
    <t>127427, г. Москва, ул. Академика Королева, д. 12 этаж 12 пом. IB ком. 4</t>
  </si>
  <si>
    <t>107140, г. Москва, ул. Малая Красносельская, д. 7 стр. 24</t>
  </si>
  <si>
    <t>129164, г. Москва, бульвар Ракетный, д. 16 офис 513 (Бизнес-центр "Алексеевская башня")</t>
  </si>
  <si>
    <t>105005, г. Москва, пер. Посланников, д. 9 стр. 1 ком. 15</t>
  </si>
  <si>
    <t>660013, Красноярский кр., г. Красноярск, ул. Энергетиков, д. 58Г пом. 11 офис 28</t>
  </si>
  <si>
    <t>660123, Красноярский кр., г. Красноярск, проезд Транспортный, д. 1</t>
  </si>
  <si>
    <t>660049, Красноярский край, г.о. город Красноярск, г Красноярск, пр-кт Мира, д. 10, помещ. 55 (Торгово-офисный центр «Офисно-деловой центр Метрополь»)</t>
  </si>
  <si>
    <t>662970, Красноярский кр., г. Железногорск, ул. Восточная, д. ЗД. 12 пом. 314</t>
  </si>
  <si>
    <t>686410, Магаданская обл., Омсукчанский район, пгт. Омсукчан, ул. Октябрьская, д. ЗД. 3</t>
  </si>
  <si>
    <t>105122, г. Москва, шоссе Щёлковское, д. 5 стр. 1 офис 509 (Бизнес-центр "Сокол")</t>
  </si>
  <si>
    <t>187330, Ленинградская обл., Кировский район, г. Отрадное, ул. Центральная, д. 4А</t>
  </si>
  <si>
    <t>393723, Тамбовская обл., Первомайский район, пос. Заводской</t>
  </si>
  <si>
    <t>357205, Ставропольский кр., г. Минеральные Воды, тер. Аэропорт</t>
  </si>
  <si>
    <t>188508, Ленинградская обл., Ломоносовский район, тер. Юж.Ч.Промзоны Горелово, д. ВОЛХОНСКОЕ ШОССЕ 4/8</t>
  </si>
  <si>
    <t>307024, Курская обл., Мантуровский район, с. Сейм</t>
  </si>
  <si>
    <t>603105, Нижегородская обл, г.о. город Нижний Новгород, г Нижний Новгород, ул Белинского, д. 55А, помещ. П30 (Деловой центр «Сенатор»)</t>
  </si>
  <si>
    <t>188909, Ленинградская обл., Выборгский район, проезд Кислицинский (Высоцкая Тер.), д. 3 стр. 96</t>
  </si>
  <si>
    <t>105037, г. Москва, вн.тер.г. муниципальный округ Измайлово, проезд Измайловский, д. 10, к. 2, помещ. 4/1</t>
  </si>
  <si>
    <t>123592, г. Москва, ул. Кулакова, д. 20 стр. 1А пом. XIII этаж 3 ком. 15 (Многофункциональный комплекс «Технопарк Орбита»)</t>
  </si>
  <si>
    <t>397605, Воронежская обл., Калачеевский район, пос. Пригородный, ул. Космонавтов, д. 1</t>
  </si>
  <si>
    <t>393362, Тамбовская обл., г. Кирсанов, ул. Заводская, д. 1</t>
  </si>
  <si>
    <t>352700, Краснодарский кр., Тимашевский район, г. Тимашевск, ул. Красная, д. 87 офис 11</t>
  </si>
  <si>
    <t>352242, Краснодарский кр., Новокубанский район, г. Новокубанск, ул. Победы, д. 18</t>
  </si>
  <si>
    <t>129090, г. Москва, проспект Олимпийский, д. 16 стр. 5 этаж 3 пом. I ком. 24Е (Бизнес-центр «Олимпик Холл»)</t>
  </si>
  <si>
    <t>352691, Краснодарский кр., Апшеронский район, г. Апшеронск, ул. Индустриальная, д. 4</t>
  </si>
  <si>
    <t>143500, Московская обл., г. Истра, ул. Московская, д. 50</t>
  </si>
  <si>
    <t>450093, Башкортостан Респ, г.о. город Уфа, г Уфа, ул Пушкина, д. 45, к. 2, офис 13/14/15</t>
  </si>
  <si>
    <t>450093, Башкортостан Респ, г.о. город Уфа, г Уфа, ул Пушкина, д. 45, к. 2, офис 12</t>
  </si>
  <si>
    <t>350063, Краснодарский кр., г. Краснодар, ул. Коммунаров, д. 31 литера В этаж 2</t>
  </si>
  <si>
    <t>109428, г. Москва, проспект Рязанский, д. 10 стр. 18 этаж 4 ком. 1 (Бизнес-центр «Хамелеон»)</t>
  </si>
  <si>
    <t>454014, Челябинская обл., г. Челябинск, ул. Солнечная, д. 7 офис 521А</t>
  </si>
  <si>
    <t>105082, г. Москва, ул. Большая Почтовая, д. 26В стр. 2</t>
  </si>
  <si>
    <t>143401, Московская обл., г. Красногорск, ул. Международная, д. 18</t>
  </si>
  <si>
    <t>628007, Ханты-Мансийский Автономный Округ - Югра, г. Ханты-Мансийск, ул. Строителей, д. 1</t>
  </si>
  <si>
    <t>614090, Пермский кр., г. Пермь, ул. Лодыгина, д. 57</t>
  </si>
  <si>
    <t>433600, Ульяновская обл., Цильнинский район, рабочий пос. Цильна, ул. Промышленная, д. 2</t>
  </si>
  <si>
    <t>121471, г. Москва, ул. Рябиновая, д. 26 стр. 2 этаж / каб. 2/206/2 (Бизнес-центр "West Plaza")</t>
  </si>
  <si>
    <t>450069, Башкортостан респ., Уфимский район, ул. Венская (Индустриальный Парк Мкр), владение 100 к. 3</t>
  </si>
  <si>
    <t>249406, Калужская обл., Людиновский район, г. Людиново, ул. К.Либкнехта, д. 3 пом. 18</t>
  </si>
  <si>
    <t>450028, Башкортостан респ., Уфимский район, ул. Венская (Индустриальный Парк Мкр), владение 100/3</t>
  </si>
  <si>
    <t>140341, Московская обл., г. Егорьевск, пос. Новый, владение 100</t>
  </si>
  <si>
    <t>125284, г. Москва, проспект Ленинградский, д. 31А стр. 1 этаж /П/К 24/I/16</t>
  </si>
  <si>
    <t>107031, г. Москва, ул. Рождественка, д. 5/7 стр. 2 Э 3, пом. V, К 4, офис 202 (Бизнес-центр)</t>
  </si>
  <si>
    <t>142715, Московская обл, г.о. Ленинский, п совхоза им. Ленина, км МКАД 24, зд. 2</t>
  </si>
  <si>
    <t>423458, Татарстан респ., Альметьевский район, г. Альметьевск, ул. Производственная, д. 2 литера Ж, каб. 1</t>
  </si>
  <si>
    <t>305018, Курская обл., г. Курск, проспект Ленинского Комсомола, д. ЗД. 2</t>
  </si>
  <si>
    <t>650054, Кемеровская область - Кузбасс, г. Кемерово, бульвар Пионерский, д. ЗД. 4А</t>
  </si>
  <si>
    <t>117036, г. Москва, ул. Профсоюзная, д. 3 офис 637 (Бизнес-центр)</t>
  </si>
  <si>
    <t>299007, г. Севастополь, ул. Олега Кошевого, д. 1-А</t>
  </si>
  <si>
    <t>295022, Крым респ., г. Симферополь, ул. Кечкеметская, д. 184/1А</t>
  </si>
  <si>
    <t>295001, Крым респ., г. Симферополь, ул. Училищная, д. 42 А</t>
  </si>
  <si>
    <t>295026, Крым респ., г. Симферополь, ул. Гайдара, д. 3А</t>
  </si>
  <si>
    <t>295493, Крым респ., г. Симферополь, пгт. Грэсовский, ул. Монтажная, д. 1</t>
  </si>
  <si>
    <t>295022, Крым респ., г. Симферополь, ул. Жени Дерюгиной, д. 1Б каб. 1</t>
  </si>
  <si>
    <t>295013, Крым респ., г. Симферополь, ул. Севастопольская, д. 51А</t>
  </si>
  <si>
    <t>295034, Крым респ., г. Симферополь, ул. Киевская, д. 74/6</t>
  </si>
  <si>
    <t>679000, Еврейская обл., г. Биробиджан, проспект 60-Летия Ссср, д. 22Б</t>
  </si>
  <si>
    <t>142605, Московская обл, Орехово-Зуево г, г.о. Орехово-Зуевский, ул Северная, д. 59</t>
  </si>
  <si>
    <t>625019, Тюменская обл., г. Тюмень, тракт Старый Тобольский 2 Км, д. 8 стр. 111</t>
  </si>
  <si>
    <t>673750, Забайкальский кр., Могочинский район, пгт. Ксеньевка, ул. Приисковая, д. 6</t>
  </si>
  <si>
    <t>129085, г. Москва, вн.тер.г. муниципальный округ Останкинский, ул Годовикова, д. 9, стр. 3 (Бизнес-парк «Калибр строение 3»)</t>
  </si>
  <si>
    <t>119571, г. Москва, вн.тер.г. муниципальный округ Тропарево-Никулино, пр-кт Вернадского, д. 92, к. 1, помещ. XIV, ком. 8, ЭТАЖ 1</t>
  </si>
  <si>
    <t>143405, Московская обл, г.о. Красногорск, г Красногорск, ш Ильинское, д. 1А, помещ. 6А</t>
  </si>
  <si>
    <t>353902, Краснодарский кр., г. Новороссийск, шоссе Сухумское, д. 21</t>
  </si>
  <si>
    <t>420012, Татарстан респ., г. Казань, ул. Муштари, д. ЗД 12 ПОДВ. № 1 пом. № 3 ком. 4-7</t>
  </si>
  <si>
    <t>357111, Ставропольский кр., г. Невинномысск, ул. Монтажная, д. 18А</t>
  </si>
  <si>
    <t>105064, г. Москва, вн.тер.г. муниципальный округ Басманный, туп Басманный, д. 6А, стр. 1, этаж 3, помещ. 313,314,315</t>
  </si>
  <si>
    <t>142600, Московская обл., г. Орехово-Зуево, проезд Заготзерно, д. 10 офис №1</t>
  </si>
  <si>
    <t>305000, Курская обл., г. Курск, ул. Горького, д. ЗД. 45 пом. XII</t>
  </si>
  <si>
    <t>141270, Московская обл., г. Пушкино, рабочий пос. Софрино, ул. Патриарха Пимена, д. 71</t>
  </si>
  <si>
    <t>194356, г. Санкт-Петербург, вн.тер.г. муниципальный округ Шувалово-Озерки, тер. Шувалово, ул Береговая, д. 24, литера А, кв. 20</t>
  </si>
  <si>
    <t>198035, г. Санкт-Петербург, вн.тер.г. муниципальный округ Морские ворота, ул Двинская, д. 14А, литера А, помещ. 1-Н, ОФИС №201</t>
  </si>
  <si>
    <t>107370, г. Москва, вн.тер.г. муниципальный округ Богородское, ш Открытое, д. 14, этаж 2, помещ. II, КОМНАТА № 6</t>
  </si>
  <si>
    <t>236004, Калининградская обл., г. Калининград, ул. Яблочная, д. 40/42</t>
  </si>
  <si>
    <t>650000, Кемеровская область - Кузбасс, г. Кемерово, ул. 50 Лет Октября, д. 4</t>
  </si>
  <si>
    <t>167001, Коми респ., г. Сыктывкар, ул. Димитрова, д. 10</t>
  </si>
  <si>
    <t>198504, г. Санкт-Петербург, г. Петергоф, ул. Первого Мая, д. 89А литера Е</t>
  </si>
  <si>
    <t>353900, Краснодарский кр., г. Новороссийск, тер. Приморский Округ Морской Терминал</t>
  </si>
  <si>
    <t>198096, г. Санкт-Петербург, Угольная Гавань, Элеваторная Площадка, д. 22 литера Щ</t>
  </si>
  <si>
    <t>194044, г. Санкт-Петербург, проспект Финляндский, д. 4 литера А пом офис 14-Н-1409 (Бизнес-центр «Петровский Форт»)</t>
  </si>
  <si>
    <t>350033, Краснодарский кр., г. Краснодар, ул. Мира, д. 65</t>
  </si>
  <si>
    <t>432042, Ульяновская обл., г. Ульяновск, шоссе Московское, д. 22Б</t>
  </si>
  <si>
    <t>350058, Краснодарский край, г.о. город Краснодар, г Краснодар, ул им. Селезнева, д. 199, помещ. 301</t>
  </si>
  <si>
    <t>352042, Краснодарский кр., Павловский район, станица Павловская, ул. Спартаковская, д. 1</t>
  </si>
  <si>
    <t>350072, Краснодарский кр., г. Краснодар, ул. Солнечная, д. 15/4</t>
  </si>
  <si>
    <t>352380, Краснодарский край, м.р-н Кавказский, г.п. Кропоткинское, г. Кропоткин, ул Сетевая, д. 12, офис 201</t>
  </si>
  <si>
    <t>369228, Карачаево-Черкесская респ., Карачаевский район, пгт. Новый Карачай, ул. К-Х.Лайпанова, д. 7 к. А</t>
  </si>
  <si>
    <t>353531, Краснодарский кр., Темрюкский район, станица Старотитаровская, ул. Заводская, д. 2</t>
  </si>
  <si>
    <t>350916, Краснодарский кр., г. Краснодар, ул. Им. Калинина, д. 1 офис 13</t>
  </si>
  <si>
    <t>350000, Краснодарский край, г.о. город Краснодар, г Краснодар, ул Красноармейская, д. 40, помещ. 5</t>
  </si>
  <si>
    <t>352631, Краснодарский край, м.р-н Белореченский, г.п. Белореченское, г Белореченск, ул Бригадная, д. 1Б</t>
  </si>
  <si>
    <t>350002, Краснодарский край, г.о. город Краснодар, г Краснодар, ул Северная, д. 357, помещ. 511</t>
  </si>
  <si>
    <t>350080, Краснодарский кр., г. Краснодар, ул. Уральская, д. 95 офис 146</t>
  </si>
  <si>
    <t>301847, Тульская обл., Ефремовский район, г. Ефремов, микрорайон Южный</t>
  </si>
  <si>
    <t>350080, Краснодарский кр., г. Краснодар, ул. Уральская, д. 95</t>
  </si>
  <si>
    <t>623428, Свердловская обл., г. Каменск-Уральский, проспект Победы, д. 11</t>
  </si>
  <si>
    <t>630512, Новосибирская обл, м.р-н Новосибирский, с.п. Криводановский сельсовет, тер 1-я Промышленная зона, зд. 19</t>
  </si>
  <si>
    <t>630511, Новосибирская обл., Новосибирский район, с. Криводановка, пер. Садовый, д. 2</t>
  </si>
  <si>
    <t>603005, Нижегородская обл., г. Нижний Новгород, набережная Верхне-Волжская, д. 8/59 офис 6</t>
  </si>
  <si>
    <t>617700, Пермский кр., Куединский район, пос. Куеда, ул. Гагарина, д. 103</t>
  </si>
  <si>
    <t>653045, Кемеровская область - Кузбасс, г. Прокопьевск, ул. Ноградская, д. 40</t>
  </si>
  <si>
    <t>185003, Карелия респ., г. Петрозаводск, ул. Варламова (Голиковка Р-Н), д. 72</t>
  </si>
  <si>
    <t>650991, Кемеровская область - Кузбасс, г. Кемерово, проспект Кузнецкий, д. 4</t>
  </si>
  <si>
    <t>630099, Новосибирская обл., г. Новосибирск, ул. Максима Горького, д. 24/1</t>
  </si>
  <si>
    <t>127030, г. Москва, вн.тер.г. муниципальный округ Тверской, ул Сущёвская, д. 27, стр. 2, помещ. III, комн. 6 (Бизнес-центр "Атмосфера")</t>
  </si>
  <si>
    <t>650036, Кемеровская область - Кузбасс, г. Кемерово, проспект Ленина, д. 90/4</t>
  </si>
  <si>
    <t>654006, Кемеровская область - Кузбасс, г. Новокузнецк, ул. Чайкиной (Центральный Р-Н), д. 21А к. 6</t>
  </si>
  <si>
    <t>442530, Пензенская обл., г. Кузнецк, ул. Белинского, д. ЗД 8А/6</t>
  </si>
  <si>
    <t>654007, Кемеровская область - Кузбасс, г. Новокузнецк, ул. Орджоникидзе (Центральный Р-Н), д. 35 офис 1405</t>
  </si>
  <si>
    <t>403882, Волгоградская обл., г. Камышин, тер. Промзона, д. 5 здание СКЛАДА ЛИТЬЯ И ПОКОВОК</t>
  </si>
  <si>
    <t>127591, г. Москва, шоссе Дмитровское, д. 100 к. 2 этаж 6 офис 600А</t>
  </si>
  <si>
    <t>623400, Свердловская обл., г. Каменск-Уральский, ул. Лермонтова, д. 40</t>
  </si>
  <si>
    <t>693007, Сахалинская обл., г. Южно-Сахалинск, ул. Чехова, д. 71</t>
  </si>
  <si>
    <t>422111, Татарстан респ., Кукморский район, г. Кукмор, ул. Ленина, д. 154</t>
  </si>
  <si>
    <t>241050, Брянская обл., г. Брянск, бульвар Гагарина, д. 14</t>
  </si>
  <si>
    <t>623405, Свердловская обл., г. Каменск-Уральский, ул. Заводская, д. 5</t>
  </si>
  <si>
    <t>123112, г. Москва, набережная Пресненская, д. 6 стр. 2 этаж / пом. / ком. 17/I/1707А (Деловой комплекс "Империя")</t>
  </si>
  <si>
    <t>123308, г. Москва, проспект Маршала Жукова, д. 1 стр. 1 (Бизнес-центр «1 Zhukov»)</t>
  </si>
  <si>
    <t>620050, Свердловская обл., г. Екатеринбург, ул. Техническая, д. 32 офис 54</t>
  </si>
  <si>
    <t>640014, Курганская обл., г. Курган, проспект Маршала Голикова, д. 39</t>
  </si>
  <si>
    <t>640023, Курганская обл., г. Курган, ул. Загородная, д. 3</t>
  </si>
  <si>
    <t>640021, Курганская обл., г. Курган, ул. Химмашевская, д. 16</t>
  </si>
  <si>
    <t>694535, Сахалинская обл., Курильский район, с. Рейдово</t>
  </si>
  <si>
    <t>108823, г. Москва, Рязановское п, пос. Знамя Октября, домовладение 51 к. 5 каб. 121</t>
  </si>
  <si>
    <t>305000, Курская обл, г.о. город Курск, г Курск, ул Александра Невского, зд. 8В, этаж 2, офис 4</t>
  </si>
  <si>
    <t>306700, Курская обл., Касторенский район, рабочий пос. Касторное, ул. Советская, д. 10/1 офис 2</t>
  </si>
  <si>
    <t>305018, Курская обл., г. Курск, проезд Льговский Поворот, д. 18</t>
  </si>
  <si>
    <t>119021, г. Москва, вн.тер.г. муниципальный округ Хамовники, ул Льва Толстого, д. 5, стр. 1, помещ. 2, ЭТ.7, КОМ.16 (Б-707) (Бизнес-центр «Льва Толстого 5»)</t>
  </si>
  <si>
    <t>443528, Самарская обл., Волжский район, пгт. Стройкерамика к. 8</t>
  </si>
  <si>
    <t>308032, Белгородская обл., г. Белгород, ул. Промышленная, д. 19</t>
  </si>
  <si>
    <t>654032, Кемеровская область - Кузбасс, г. Новокузнецк, ул. Обнорского (Кузнецкий Р-Н), д. 170</t>
  </si>
  <si>
    <t>305026, Курская обл., г. Курск, проспект Ленинского Комсомола, д. 74</t>
  </si>
  <si>
    <t>352122, Краснодарский кр., Тихорецкий район, г. Тихорецк, ул. Почтовая, д. 2 пом. 112-116</t>
  </si>
  <si>
    <t>309506, Белгородская обл., г. Старый Оскол, ул. Первой Конной Армии</t>
  </si>
  <si>
    <t>350019, Краснодарский край, г.о. город Краснодар, г Краснодар, ул им. Дзержинского, д. 100, помещ. 94 (Торгово-развлекательный центр «Красная Площадь»)</t>
  </si>
  <si>
    <t>141402, Московская обл., г. Химки, шоссе Ленинградское стр. 21 А пом. 16</t>
  </si>
  <si>
    <t>399784, Липецкая обл., г. Елец, ул. Радиотехническая, д. 5 каб. 302</t>
  </si>
  <si>
    <t>143590, Московская обл., г. Истра, д. Турово, тер. Соц Лесная Поляна</t>
  </si>
  <si>
    <t>613048, Кировская обл., г. Кирово-Чепецк, ул. Производственная, д. 6</t>
  </si>
  <si>
    <t>115114, г. Москва, набережная Дербеневская, д. 7 стр. 4 (Бизнес-квартал «Новоспасский строение 4»)</t>
  </si>
  <si>
    <t>143604, Московская обл., г. Волоколамск, ул. Ямская, д. 25</t>
  </si>
  <si>
    <t>650000, Кемеровская область - Кузбасс, г. Кемерово, ул. Николая Островского, д. 32 офис 209</t>
  </si>
  <si>
    <t>123112, г. Москва, набережная Пресненская, д. 10 этаж , пом. , ком. 31,I,13 (Бизнес-центр «Naberezhnaya Tower»)</t>
  </si>
  <si>
    <t>350000, Краснодарский кр., г. Краснодар, ул. Гимназическая, д. 55/1</t>
  </si>
  <si>
    <t>614002, Пермский кр., г. Пермь, ул. Чернышевского, д. 11 к. А</t>
  </si>
  <si>
    <t>423570, Татарстан респ., Нижнекамский район, г. Нижнекамск, ул. Заводская, д. ЗД. 2 к. 1 пом. 9</t>
  </si>
  <si>
    <t>142718, Московская обл., г. Видное, пос. Битца, ул. Нагорная стр. 11А</t>
  </si>
  <si>
    <t>129085, г. Москва, ул. Большая Марьинская, д. 9 стр. 1 этаж 3 пом. I ком. 33 (Бизнес-центр «Фкв-Центр»)</t>
  </si>
  <si>
    <t>196158, г. Санкт-Петербург, шоссе Московское, д. 13 к. 9 литера А</t>
  </si>
  <si>
    <t>119049, г. Москва, ул. Шаболовка, д. 10 к. 2 этаж 1 пом. I часть ком. 2</t>
  </si>
  <si>
    <t>119180, г. Москва, пер. 4-Й Голутвинский, д. 1/8 стр. 1-2</t>
  </si>
  <si>
    <t>398007, Липецкая обл, г.о. город Липецк, г Липецк, ул Ковалева, влд. 125А, офис 1</t>
  </si>
  <si>
    <t>142700, Московская обл, г.о. Ленинский, г Видное, ш Белокаменное, д. 20, этаж 3, помещ. 10</t>
  </si>
  <si>
    <t>107045, г. Москва, пер. Малый Головин, д. 5</t>
  </si>
  <si>
    <t>107045, г. Москва, пер. Колокольников, д. 11 (Бизнес-центр «Europa House»)</t>
  </si>
  <si>
    <t>603087, Нижегородская обл., г. Нижний Новгород, ул. Композитора Касьянова, д. 5 пом. П3</t>
  </si>
  <si>
    <t>117042, г. Москва, ул. Южнобутовская, д. 69</t>
  </si>
  <si>
    <t>129626, г. Москва, ул. Маломосковская, д. 22 стр. 1 этаж ЦОКОЛЬНЫЙ пом. 1 ком. 62 (Бизнес-центр "Антарис")</t>
  </si>
  <si>
    <t>119021, г. Москва, вн.тер.г. муниципальный округ Хамовники, ул Льва Толстого, д. 16, этаж 5, помещ/часть комнаты IV/1 (Офисное здание)</t>
  </si>
  <si>
    <t>196006, г. Санкт-Петербург, ул. Цветочная, д. 18 литера Б офис 303 (Бизнес-парк на Цветочной 18Б)</t>
  </si>
  <si>
    <t>123112, г. Москва, вн.тер.г. муниципальный округ Пресненский, наб Пресненская, д. 12, этаж 45, ком./пом. 82/3 (Многофункциональный комплекс «Башня Федерация»)</t>
  </si>
  <si>
    <t>125212, г. Москва, шоссе Ленинградское, д. 39А стр. 2 (Бизнес-центр «Олимпия Парк»)</t>
  </si>
  <si>
    <t>633004, Новосибирская обл., г. Бердск, ул. Химзаводская, д. 11/20</t>
  </si>
  <si>
    <t>215111, Смоленская обл., Вяземский район, г. Вязьма, ул. 25 Октября, д. 53</t>
  </si>
  <si>
    <t>426068, Удмуртская респ., г. Ижевск, ул. Автозаводская, д. 5</t>
  </si>
  <si>
    <t>445043, Самарская обл., г. Тольятти, ул. Северная, д. 81</t>
  </si>
  <si>
    <t>445043, Самарская обл, г.о. Тольятти, г Тольятти, ш Южное, влд. 113Б, офис 302</t>
  </si>
  <si>
    <t>194292, г. Санкт-Петербург, ул. Домостроительная, д. 14 литера А пом. 428</t>
  </si>
  <si>
    <t>125040, г. Москва, вн.тер.г. муниципальный округ Беговой, пр-кт Ленинградский, д. 15, стр. 1, этаж 4, помещ. VI, КОМ. 17 (Бизнес-центр «Большевик»)</t>
  </si>
  <si>
    <t>620103, Свердловская обл., г. Екатеринбург, ул. Селькоровская, д. 22 кв. 96</t>
  </si>
  <si>
    <t>196158, г. Санкт-Петербург, проспект Космонавтов, д. 61 к. 2 кв. 178</t>
  </si>
  <si>
    <t>129343, г. Москва, вн.тер.г. муниципальный округ Свиблово, проезд Серебрякова, д. 4, стр. 1, офис 204</t>
  </si>
  <si>
    <t>143581, Московская обл., г. Истра, д. Лешково, д. 180 офис 85</t>
  </si>
  <si>
    <t>143581, Московская обл., г. Истра, д. Лешково, д. 180</t>
  </si>
  <si>
    <t>143581, Московская обл., г. Истра, д. Лешково, д. 180 ком. 117</t>
  </si>
  <si>
    <t>173016, Новгородская обл., г. Великий Новгород, проспект Александра Корсунова, д. 12Б</t>
  </si>
  <si>
    <t>125284, г. Москва, проспект Ленинградский, д. 31А стр. 1 этаж 25, пом. I, ком. 13А</t>
  </si>
  <si>
    <t>115035, г. Москва, вн.тер.г. муниципальный округ Замоскворечье, наб Космодамианская, д. 4/22, к. Б, помещ. 8Н, ком. 3, ОФИС 13</t>
  </si>
  <si>
    <t>105082, г. Москва, вн.тер.г. муниципальный округ Басманный, ул Большая Почтовая, д. 26, стр. 1, эт/пом/ком/оф 4/I/3/1</t>
  </si>
  <si>
    <t>105066, г. Москва, ул. Доброслободская, д. 5 этаж 2 ком. 9</t>
  </si>
  <si>
    <t>129075, г. Москва, проезд Мурманский, д. 14 к. 1 этаж 5 пом. А ком. 11</t>
  </si>
  <si>
    <t>105066, г. Москва, вн.тер.г. муниципальный округ Басманный, ул Доброслободская, д. 5, помещ. I, этаж/ком. 2/17Д</t>
  </si>
  <si>
    <t>125009, г. Москва, пер. Газетный, д. 9 стр. 7 этаж 1 пом. I ком. 4</t>
  </si>
  <si>
    <t>129075, г. Москва, проезд Мурманский, д. 14 к. 1 этаж 2 пом. A ком. 112</t>
  </si>
  <si>
    <t>142784, г. Москва, км. Киевское Шоссе 22-Й (П Московский), домовладение 6 стр. 1</t>
  </si>
  <si>
    <t>129344, г. Москва, вн.тер.г. муниципальный округ Бабушкинский, ул Искры, д. 17А, стр. 3, этаж 5, офис 3/5/П-5/2/1 (Бизнес-центр «Линия 17Ас3»)</t>
  </si>
  <si>
    <t>603093, Нижегородская обл., г. Нижний Новгород, ул. Деловая, д. 7</t>
  </si>
  <si>
    <t>107553, г. Москва, ул. Черкизовская Б., д. 24А стр. 1 офис 527 (Бизнес-центр "Эталон Плаза")</t>
  </si>
  <si>
    <t>350080, Краснодарский кр., г. Краснодар, ул. Им. Демуса М.Н., д. 14</t>
  </si>
  <si>
    <t>, Ростовская обл, м.р-н Красносулинский, г.п. Красносулинское, г Красный Сулин, ул Содружества, зд. 1</t>
  </si>
  <si>
    <t>390011, Рязанская Область обл., г. Рязань, р-н Южный Промузел, д. 17А</t>
  </si>
  <si>
    <t>450520, Башкортостан респ., Уфимский район, с. Зубово, ул. Электрозаводская, д. 8</t>
  </si>
  <si>
    <t>185525, Карелия респ., Прионежский район, пос. Деревянка</t>
  </si>
  <si>
    <t>430003, Мордовия респ., г. Саранск, проспект Ленина, д. 58А</t>
  </si>
  <si>
    <t>141201, Московская обл., г. Пушкино, ул. Октябрьская, д. 46</t>
  </si>
  <si>
    <t>624006, Свердловская обл., Сысертский район, пос. Большой Исток, ул. Свердлова, д. 42А офис 309</t>
  </si>
  <si>
    <t>143160, Московская обл, г.о. Рузский, тер. Минское шоссе, км 86-й, д. 9</t>
  </si>
  <si>
    <t>140011, Московская обл, г.о. Люберцы, г Люберцы, ул Юбилейная, д. 5А, ч. 1</t>
  </si>
  <si>
    <t>143907, Московская обл., г. Балашиха, ул. Белякова, д. 1А</t>
  </si>
  <si>
    <t>196158, г. Санкт-Петербург, шоссе Пулковское, д. 30 литера А</t>
  </si>
  <si>
    <t>194354, г. Санкт-Петербург, ул. Есенина, д. 2 корп. 3 литера А</t>
  </si>
  <si>
    <t>309191, Белгородская обл., г. Губкин, промзона Промплощадка Лгока</t>
  </si>
  <si>
    <t>344093, Ростовская обл., г. Ростов-На-Дону, ул. Днепропетровская, д. 50В</t>
  </si>
  <si>
    <t>399645, Липецкая обл., Лебедянский район, пос. Сахарного Завода, пл. Заводская, д. 1</t>
  </si>
  <si>
    <t>399610, Липецкая обл., Лебедянский район, г. Лебедянь, ул. Южная, д. 6</t>
  </si>
  <si>
    <t>620072, Свердловская обл., г. Екатеринбург, бульвар Сиреневый, д. 2</t>
  </si>
  <si>
    <t>125171, г. Москва, вн.тер.г. муниципальный округ Войковский, ш Ленинградское, д. 16А, стр. 3, этаж 3, офис 92</t>
  </si>
  <si>
    <t>443099, Самарская обл., г. Самара, ул. Максима Горького, д. 125/2</t>
  </si>
  <si>
    <t>109125, г. Москва, вн.тер.г. муниципальный округ Текстильщики, проезд 1-й Саратовский, д. 4, каб. 2</t>
  </si>
  <si>
    <t>196210, г. Санкт-Петербург, ул. Стартовая, д. 8 литера А офис 307, каб. 2</t>
  </si>
  <si>
    <t>109028, г. Москва, вн.тер.г. муниципальный округ Басманный, пер Подкопаевский, д. 7, стр. 1, этаж 2</t>
  </si>
  <si>
    <t>692539, Приморский кр., г. Уссурийск, пос. Тимирязевский, ул. Михайловское Шоссе, д. 48 пом. 3</t>
  </si>
  <si>
    <t>125047, г. Москва, вн.тер.г. муниципальный округ Тверской, ул 2-я Брестская, д. 48, этаж 6, помещ. 30</t>
  </si>
  <si>
    <t>142116, Московская обл., г. Подольск, ул. Лобачева, д. 13 офис 415 (Бизнес-центр «Лобачево»)</t>
  </si>
  <si>
    <t>105066, г. Москва, вн.тер.г. муниципальный округ Басманный, ул Нижняя Красносельская, д. 40/12, к. 2, этаж 3, ком. 1</t>
  </si>
  <si>
    <t>125284, г. Москва, проспект Ленинградский, д. 31АСТР1</t>
  </si>
  <si>
    <t>214020, Смоленская обл., г. Смоленск, ул. Индустриальная, д. 9А</t>
  </si>
  <si>
    <t>107497, г. Москва, ул. Монтажная, д. 9 стр. 1 этаж 3, пом. IV ком. 13 (Бизнес центр "Мандарин" )</t>
  </si>
  <si>
    <t>184209, Мурманская обл, м.о. город Апатиты, г Апатиты, ул Ленина, д. 27, офис 310</t>
  </si>
  <si>
    <t>143002, Московская обл., г. Одинцово, ул. Железнодорожная, д. 19 стр. 7 ком. 214</t>
  </si>
  <si>
    <t>347913, Ростовская обл., г. Таганрог, ул. Николаевское Шоссе, д. 10 к. В</t>
  </si>
  <si>
    <t>249080, Калужская обл., Малоярославецкий район, с. Детчино, ул. Индустриальная, д. 2</t>
  </si>
  <si>
    <t>196084, г. Санкт-Петербург, вн.тер.г. муниципальный округ Московская застава, наб Обводного канала, д. 94, литера А</t>
  </si>
  <si>
    <t>196105, г. Санкт-Петербург, проспект Московский, д. 143</t>
  </si>
  <si>
    <t>423254, Татарстан респ., Лениногорский район, г. Лениногорск, ул. Чайковского, д. 9А к. 9/1</t>
  </si>
  <si>
    <t>188502, Ленинградская обл., Ломоносовский район, д. Горбунки, промзона Орлинская Зона, д. ЗД. 37</t>
  </si>
  <si>
    <t>188670, Ленинградская обл., Всеволожский район, м. Углово, д. 18/67 пом. 11</t>
  </si>
  <si>
    <t>197348, г. Санкт-Петербург, проспект Богатырский, д. 2 литера А каб. 7.01</t>
  </si>
  <si>
    <t>197348, г. Санкт-Петербург, проспект Богатырский, д. 2 литера А каб. 5.01</t>
  </si>
  <si>
    <t>197110, г. Санкт-Петербург, вн.тер.г. муниципальный округ Чкаловское, пр-кт Левашовский, д. 12, литера А, помещ. 1-Н, часть помещения 464</t>
  </si>
  <si>
    <t>193144, г. Санкт-Петербург, ул. Старорусская, д. 5/3</t>
  </si>
  <si>
    <t>123290, г. Москва, шоссе Шелепихинское, д. 11 к. 2 этаж / пом. / ком. ЦОКОЛЬ/I/24</t>
  </si>
  <si>
    <t>610006, Кировская обл., г. Киров, проспект Октябрьский, д. 24</t>
  </si>
  <si>
    <t>344092, Ростовская обл., г. Ростов-На-Дону, ул. Волкова, д. 18</t>
  </si>
  <si>
    <t>163025, Архангельская обл., г. Архангельск, ул. Постышева, д. 26</t>
  </si>
  <si>
    <t>662543, Красноярский кр., г. Лесосибирск, ул. Белинского, д. 16Е</t>
  </si>
  <si>
    <t>664022, Иркутская обл., г. Иркутск, ул. Кожова стр. 11/1 офис 4-1</t>
  </si>
  <si>
    <t>117638, г. Москва, ул. Одесская, д. 2 этаж / пом. / ком. 5/VII/26 (Бизнес-центр «Lotos»)</t>
  </si>
  <si>
    <t>398010, Липецкая обл., Грязинский район, г. Грязи, тер. Оэз Ппт Липецк, стр. 50 к. 3</t>
  </si>
  <si>
    <t>443010, Самарская обл, г.о. Самара, вн.р-н Ленинский, г Самара, ул Чапаевская, д. 188, комнаты 1-2 (ПЕРВЫЙ ЭТАЖ)</t>
  </si>
  <si>
    <t>398540, Липецкая обл., Липецкий район, с. Сенцово, ул. Рапсовая, д. 1</t>
  </si>
  <si>
    <t>121059, г. Москва, ул. 1-Я Бородинская, д. 5</t>
  </si>
  <si>
    <t>303801, Орловская обл., Ливенский район, пос. Сахзаводской</t>
  </si>
  <si>
    <t>108814, г. Москва, вн.тер.г. поселение Сосенское, км Калужское шоссе 24-й (п Сосенское), д. 1, стр. 1, помещ. 1Н/3 (Бизнес-центр «Высота»)</t>
  </si>
  <si>
    <t>141196, Московская обл., г. Фрязино, проезд Окружной, д. 11А</t>
  </si>
  <si>
    <t>196191, г. Санкт-Петербург, пл. Конституции, д. 7 литера А пом. 18Н офис 711</t>
  </si>
  <si>
    <t>108823, г. Москва, Рязановское пос., шоссе Рязановское, д. 20 стр. 1 пом. 52</t>
  </si>
  <si>
    <t>117246, г. Москва, проезд Научный, д. 17 этаж 7 пом. XXXI каб. 15 (Бизнес-центр «Научный проезд 17»)</t>
  </si>
  <si>
    <t>117246, г. Москва, проезд Научный, д. 17 этаж 7 пом. XXXIII (Бизнес-центр «Научный проезд 17»)</t>
  </si>
  <si>
    <t>153009, Ивановская обл., Ивановский район, д. Игнатово, ул. Деревенская, д. 94</t>
  </si>
  <si>
    <t>353290, Краснодарский кр., г. Горячий Ключ, ул. Революции, д. 4 офис 8</t>
  </si>
  <si>
    <t>115432, г. Москва, проспект Андропова, д. 18 стр. 6 (Бизнес-центр «Nagatino i-land Немецкий центр (Лейбниц)»)</t>
  </si>
  <si>
    <t>115035, г. Москва, вн.тер.г. муниципальный округ Замоскворечье, ул Большая Ордынка, д. 3</t>
  </si>
  <si>
    <t>115432, г. Москва, проезд Проектируемый 4062-Й, д. 6 стр. 2 пом. 501 ( этаж 5) (Бизнес-парк «PortPlaza строение 2»)</t>
  </si>
  <si>
    <t>196641, г. Санкт-Петербург, пос. Металлострой, проезд Северный, д. 15 литера А пом. 1-Н</t>
  </si>
  <si>
    <t>123112, г. Москва, набережная Пресненская, д. 10 (Бизнес-центр «Naberezhnaya Tower»)</t>
  </si>
  <si>
    <t>123112, г. Москва, вн.тер.г. муниципальный округ Пресненский, наб Пресненская, д. 8, стр. 1, помещ. 1Н/15 (Бизнес-центр «Многофункциональный комплекс Москва-Сити «Город Столиц»»)</t>
  </si>
  <si>
    <t>353900, Краснодарский край, г.о. город Новороссийск, г Новороссийск, ул Мира, д. 3, офис 111</t>
  </si>
  <si>
    <t>155523, Ивановская обл., Фурмановский район, г. Фурманов, ул. Демьяна Бедного, д. 69 помещения 1-20</t>
  </si>
  <si>
    <t>309290, Белгородская обл., г. Шебекино, ул. Ржевское Шоссе, д. 29А</t>
  </si>
  <si>
    <t>398059, Липецкая обл., г. Липецк, ул. Барашева, д. 3 к. А</t>
  </si>
  <si>
    <t>117648, г. Москва, ул. Годовикова, д. 9 стр. 1 пом. 4.14.6</t>
  </si>
  <si>
    <t>192236, г. Санкт-Петербург, ул. Софийская, д. 8 к. 1 пом. 2-Н</t>
  </si>
  <si>
    <t>127083, г. Москва, ул. Мишина, д. 56 стр. 2 этаж 1 офис 10 (Бизнес-центр «Мишина, 56 56с2»)</t>
  </si>
  <si>
    <t>111250, г. Москва, проезд Завода Серп И Молот, д. 6 к. 1 этаж 3 301</t>
  </si>
  <si>
    <t>614018, Пермский кр., г. Пермь, ул. 3-Я Набережная, д. 46А</t>
  </si>
  <si>
    <t>188641, Ленинградская обл, м.р-н Всеволожский, г.п. Всеволожское, п Ковалево, ул Поперечная, д. 15, офис 31</t>
  </si>
  <si>
    <t>614077, Пермский кр., г. Пермь, ул. Крупской, д. 79А (Торговый центр «Кит»)</t>
  </si>
  <si>
    <t>614077, Пермский край, г.о. Пермский, г Пермь, ул Крупской, д. 79А, этаж 3, офис 1 (Торговый центр «Кит»)</t>
  </si>
  <si>
    <t>398007, Липецкая обл., г. Липецк, ул. Ковалева, владение 126Б этаж / офис 2/5</t>
  </si>
  <si>
    <t>397907, Воронежская обл., Лискинский район, г. Лиски, ул. Монтажников, д. 1</t>
  </si>
  <si>
    <t>397902, Воронежская обл., Лискинский район, г. Лиски, ул. Воронежская, д. 9</t>
  </si>
  <si>
    <t>119285, г. Москва, ул. Минская, д. 1Г к. 3 этаж 2 офис XXI</t>
  </si>
  <si>
    <t>129090, г. Москва, пер. Протопоповский, д. 25КБ этаж 4, пом. I, ком. 30</t>
  </si>
  <si>
    <t>601967, Владимирская обл, м.р-н Ковровский, г.п. поселок Доброград, п Доброград, б-р Звездный, зд. 1, этаж 1, помещ. 5</t>
  </si>
  <si>
    <t>123112, г. Москва, проезд 1-Й Красногвардейский, д. 15 этаж 28</t>
  </si>
  <si>
    <t>115201, г. Москва, ул. Котляковская, д. 8 этаж , пом. 3,337 (Деловой центр «Мосэлектроприбор»)</t>
  </si>
  <si>
    <t>629001, Ямало-Ненецкий окр., г. Салехард, ул. Губкина, д. 1 офис 7</t>
  </si>
  <si>
    <t>644504, Омская обл., Омский район, с. Лузино, ул. Транспортная, д. 19</t>
  </si>
  <si>
    <t>123112, г. Москва, вн.тер.г. муниципальный округ Пресненский, наб Пресненская, д. 12, этаж 36, ком. 39 (Многофункциональный комплекс «Башня Федерация»)</t>
  </si>
  <si>
    <t>630099, Новосибирская обл., г. Новосибирск, ул. Максима Горького, д. 14 этаж 2</t>
  </si>
  <si>
    <t>192019, г. Санкт-Петербург, проспект Обуховской Обороны, д. 45 литера БС</t>
  </si>
  <si>
    <t>450071, Башкортостан Респ, г.о. город Уфа, г Уфа, ул Николая Ковалёва, д. 6, помещ. 10</t>
  </si>
  <si>
    <t>108808, г. Москва, Первомайское пос., пос. Первомайское, ул. Центральная, д. 32 этаж ПОДВАЛ пом. ПОДВАЛЬНОЕ 33 офис 99</t>
  </si>
  <si>
    <t>606440, Нижегородская обл., г. Бор, ул. Луначарского, д. 15 пом. 44</t>
  </si>
  <si>
    <t>443066, Самарская обл., г. Самара, пер. Безымянный 2-Й, д. 1 офис 326</t>
  </si>
  <si>
    <t>663316, Красноярский кр., г. Норильск, ул. Октябрьская, д. 31</t>
  </si>
  <si>
    <t>350072, Краснодарский кр., г. Краснодар, ул. Солнечная, д. 15/5 НОМЕР ком. ПО ПЛАНУ СТРОЕНИЯ 25 4 этаж</t>
  </si>
  <si>
    <t>199106, г. Санкт-Петербург, вн.тер.г. муниципальный округ Гавань, пр-кт Средний В.О., д. 88, литера А, помещ./офис 42-Н / 713/1</t>
  </si>
  <si>
    <t>191119, г. Санкт-Петербург, вн.тер.г. муниципальный округ Лиговка-Ямская, ул Черняховского, д. 6/10, литера А, помещ. 15-Н, офис №19</t>
  </si>
  <si>
    <t>140150, Московская обл., г. Раменское, рабочий пос. Быково, ул. Аэропортовская, д. 14</t>
  </si>
  <si>
    <t>129110, г. Москва, ул. Самарская, д. 1 этаж 3 пом. I Ч.К 35 (Многофункциональный комплекс «Новион»)</t>
  </si>
  <si>
    <t>197198, г. Санкт-Петербург, проспект Добролюбова, д. 8 литера А пом. 1-Н офис 400</t>
  </si>
  <si>
    <t>109028, г. Москва, набережная Серебряническая, д. 29 этаж 2 пом. I ком. 51-61 64-70 (Бизнес-центр «Silver City»)</t>
  </si>
  <si>
    <t>119313, г. Москва, вн.тер.г. муниципальный округ Ломоносовский, ул Гарибальди, д. 7, помещ. 7/1</t>
  </si>
  <si>
    <t>196084, г. Санкт-Петербург, ул. Заозёрная, д. 8 к. 2 литера А офис 115</t>
  </si>
  <si>
    <t>141441, Московская обл, г.о. Химки, д Елино, тер. Промышленная зона, стр. 1, этаж 3, помещ. 211</t>
  </si>
  <si>
    <t>191024, г. Санкт-Петербург, ул. 2-Я Советская, д. 27/2 литера А пом. 56Н</t>
  </si>
  <si>
    <t>677000, Саха /Якутия/ респ., г. Якутск, ул. Дзержинского, д. 2</t>
  </si>
  <si>
    <t>620050, Свердловская обл., г. Екатеринбург, ул. Монтажников стр. 2_Б</t>
  </si>
  <si>
    <t>142703, Московская обл, г.о. Ленинский, г Видное, ул Советская, влд. 10/1, офис/каб/пом 13/204/1</t>
  </si>
  <si>
    <t>249030, Калужская обл., г. Обнинск, шоссе Киевское, д. 106</t>
  </si>
  <si>
    <t>121099, г. Москва, бульвар Новинский, д. 8 стр. 2</t>
  </si>
  <si>
    <t>187342, Ленинградская обл., Кировский район, г. Кировск, ул. Ладожская, д. 3А</t>
  </si>
  <si>
    <t>660111, Красноярский кр., г. Красноярск, ул. Пограничников, д. 42 стр. 15 этаж 3 каб. 3</t>
  </si>
  <si>
    <t>160000, Вологодская обл., г. Вологда, ул. Козленская, д. 42 офис 501</t>
  </si>
  <si>
    <t>173003, Новгородская обл., г. Великий Новгород, ул. Большая Санкт-Петербургская, д. 56</t>
  </si>
  <si>
    <t>188950, Ленинградская обл., Выборгский район, г. Каменногорск, ул. Горная, д. 3</t>
  </si>
  <si>
    <t>422060, Татарстан респ., Сабинский район, пгт. Богатые Сабы, ул. Заводская, д. 19 пом. 1000, этаж 2, каб. №34</t>
  </si>
  <si>
    <t>188751, Ленинградская обл, м.р-н Приозерский, г.п. Кузнечнинское, гп Кузнечное, ул Заводская, д. 8, каб. 203</t>
  </si>
  <si>
    <t>199155, г. Санкт-Петербург, проспект Кима, д. 19 литера А этаж / каб. 3/331</t>
  </si>
  <si>
    <t>190031, г. Санкт-Петербург, ул. Казанская, д. 36ЛИТЕРБ пом. 29Н(310)</t>
  </si>
  <si>
    <t>187330, Ленинградская обл., Кировский район, г. Отрадное, шоссе Никольское, д. 55 каб. 201</t>
  </si>
  <si>
    <t>194292, г. Санкт-Петербург, пер. 3-Й Верхний, д. 5 литера Т пом. / каб. 2-Н, 3-Н/277</t>
  </si>
  <si>
    <t>620072, Свердловская обл., г. Екатеринбург, ул. 40-Летия Комсомола, д. 34</t>
  </si>
  <si>
    <t>188304, Ленинградская обл, м.р-н Гатчинский, г.п. Гатчинское, г Гатчина, ул Карла Маркса, зд. 16А, помещ. 17Н, помещ. 1</t>
  </si>
  <si>
    <t>656049, Алтайский кр., г. Барнаул, ул. Пролетарская, д. 146А офис 312</t>
  </si>
  <si>
    <t>398007, Липецкая обл., г. Липецк, пл. Заводская, д. 1 владение</t>
  </si>
  <si>
    <t>188640, Ленинградская обл, м.р-н Всеволожский, г.п. Всеволожское, г Всеволожск, пр-кт Всеволожский, д. 41, офис 3.6</t>
  </si>
  <si>
    <t>121471, г. Москва, вн.тер.г. муниципальный округ Очаково-Матвеевское, ул Рябиновая, д. 55, стр. 2, помещ. 4-1, этаж/ком. 1/6</t>
  </si>
  <si>
    <t>121471, г. Москва, вн.тер.г. муниципальный округ Очаково-Матвеевское, ул Рябиновая, д. 55, стр. 2, помещ. 4-1, этаж/ком. 1/3</t>
  </si>
  <si>
    <t>119048, г. Москва, вн.тер.г. муниципальный округ Хамовники, ул Лужники, д. 24, стр. 9, помещ. 1/3 (Бизнес-центр на Ул. Лужники, 24С9)</t>
  </si>
  <si>
    <t>167981, Коми респ., г. Сыктывкар, ул. 1-Я Промышленная, д. 8</t>
  </si>
  <si>
    <t>107031, г. Москва, ул. Дмитровка Б., д. 18/10</t>
  </si>
  <si>
    <t>603028, Нижегородская обл., г. Нижний Новгород, шоссе Московское, д. 94А</t>
  </si>
  <si>
    <t>603028, Нижегородская обл., г. Нижний Новгород, шоссе Московское, д. 86А пом. 7</t>
  </si>
  <si>
    <t>450112, Башкортостан респ., г. Уфа, ул. Интернациональная, д. 20</t>
  </si>
  <si>
    <t>125124, г. Москва, ул. 1-Я Ямского Поля, д. 28 этаж 3 пом. XV ком. 2</t>
  </si>
  <si>
    <t>115035, г. Москва, вн.тер.г. муниципальный округ Замоскворечье, ул Большая Ордынка, д. 1</t>
  </si>
  <si>
    <t>410038, Саратовская обл, г.о. город Саратов, г Саратов, пр-д 2-й Соколовогорский, д. 2, ком. 307</t>
  </si>
  <si>
    <t>101000, г. Москва, бульвар Сретенский, д. 11 (Бизнес-центр на Сретенском Бульваре, 11)</t>
  </si>
  <si>
    <t>628484, Ханты-Мансийский Автономный Округ - Югра, г. Когалым, ул. Мира, д. 23 к. А</t>
  </si>
  <si>
    <t>414052, Астраханская обл, г.о. город Астрахань, г Астрахань, ул Августовская, стр. 11В/2, офис 22</t>
  </si>
  <si>
    <t>109028, г. Москва, бульвар Покровский, д. 3 стр. 1</t>
  </si>
  <si>
    <t>625017, Тюменская обл, г.о. город Тюмень, г Тюмень, ул Андрея Туполева, д. 11, помещ. 6</t>
  </si>
  <si>
    <t>443901, Самарская обл., г. Самара, тер. Аэропорт Курумоч, д. 30</t>
  </si>
  <si>
    <t>400029, Волгоградская обл., г. Волгоград, ул. Им. Моцарта, д. 17 к. 2 каб. 201</t>
  </si>
  <si>
    <t>628484, Ханты-Мансийский Автономный Округ - Югра, г. Когалым, ул. Прибалтийская, д. 20</t>
  </si>
  <si>
    <t>400066, Волгоградская обл., г. Волгоград, ул. Комсомольская, д. 16</t>
  </si>
  <si>
    <t>236039, Калининградская обл., г. Калининград, ул. Киевская, д. 23</t>
  </si>
  <si>
    <t>169710, Коми респ., г. Усинск, ул. Нефтяников, д. 31</t>
  </si>
  <si>
    <t>350911, Краснодарский кр., г. Краснодар, ул. Трамвайная, д. 13</t>
  </si>
  <si>
    <t>109028, г. Москва, вн.тер.г. муниципальный округ Басманный, б-р Покровский, д. 3, стр. 1, помещ. I, ком. № 22</t>
  </si>
  <si>
    <t>607650, Нижегородская обл., Кстовский район, г. Кстово, шоссе Центральное (Промышленный Р-Н), д. 9</t>
  </si>
  <si>
    <t>414000, Астраханская обл., г. Астрахань, ул. Адмиралтейская, д. 1 к. 2</t>
  </si>
  <si>
    <t>614055, Пермский кр., г. Пермь, ул. Промышленная, д. 84</t>
  </si>
  <si>
    <t>614068, Пермский кр., г. Пермь, ул. Ленина, д. 62</t>
  </si>
  <si>
    <t>115035, г. Москва, ул. Большая Ордынка, д. 1</t>
  </si>
  <si>
    <t>344022, Ростовская обл., г. Ростов-На-Дону, ул. Береговая, д. 69 к. 3</t>
  </si>
  <si>
    <t>197022, г. Санкт-Петербург, набережная Аптекарская, д. 8 литера А</t>
  </si>
  <si>
    <t>356800, Ставропольский кр., Буденновский район, г. Буденновск, ул. Розы Люксембург, д. 1</t>
  </si>
  <si>
    <t>109028, г. Москва, бульвар Покровский, д. 3 стр. 1 этаж 2 пом. I ком. 124</t>
  </si>
  <si>
    <t>169300, Коми респ., г. Ухта, ул. Заводская, д. 11</t>
  </si>
  <si>
    <t>450057, Башкортостан респ., г. Уфа, ул. Цюрупы, д. 16</t>
  </si>
  <si>
    <t>129110, г. Москва, вн.тер.г. муниципальный округ Мещанский, пр-кт Олимпийский, д. 5, стр. 1</t>
  </si>
  <si>
    <t>344002, Ростовская обл, г.о. город Ростов-на-Дону, г Ростов-на-Дону, ул Социалистическая, д. 59, офис 405</t>
  </si>
  <si>
    <t>127055, г. Москва, вн.тер.г. муниципальный округ Тверской, ул Сущёвский Вал, д. 2, этаж 5, помещ. 23</t>
  </si>
  <si>
    <t>109028, г. Москва, бульвар Покровский, д. 3 стр. 1 ком. 22</t>
  </si>
  <si>
    <t>350033, Краснодарский кр., г. Краснодар, ул. Ставропольская, д. 2/1</t>
  </si>
  <si>
    <t>119121, г. Москва, пер. Земледельческий, д. 4 этаж 2 ком. №1</t>
  </si>
  <si>
    <t>119435, г. Москва, набережная Саввинская, д. 15 (Бизнес-центр «Японский дом»)</t>
  </si>
  <si>
    <t>667010, Тыва респ., г. Кызыл, ул. Калинина, д. 124А</t>
  </si>
  <si>
    <t>692001, Приморский кр., Пожарский район, пгт. Лучегорск</t>
  </si>
  <si>
    <t>117246, г. Москва, ул. Херсонская, д. 43 к. 3 этаж / пом. / ком. 7/XVI/3</t>
  </si>
  <si>
    <t>, Московская обл, г.о. Луховицы, п совхоза "Астапово", тер. тепличного комбината Луховицкие овощи, стр. 1</t>
  </si>
  <si>
    <t>140080, Московская обл., г. Лыткарино, ул. Парковая, д. 1</t>
  </si>
  <si>
    <t>140082, Московская обл., г. Лыткарино, микрорайон 6-Й стр. 4А</t>
  </si>
  <si>
    <t>108811, г. Москва, км. Киевское Шоссе 22-Й (П Московский), домовладение 4 стр. 1 блок А этаж 9</t>
  </si>
  <si>
    <t>398024, Липецкая обл., г. Липецк, проспект Победы, д. 87А</t>
  </si>
  <si>
    <t>140006, Московская обл., г. Люберцы, ул. Строителей, д. 8</t>
  </si>
  <si>
    <t>646176, Омская обл., Любинский район, рабочий пос. Красный Яр, ул. Съездовская, д. 10</t>
  </si>
  <si>
    <t>107023, г. Москва, пер. Медовый, д. 5 стр. 1 этаж 2 пом. 15Б (Бизнес-центр «Улей Плаза»)</t>
  </si>
  <si>
    <t>143403, Московская обл, г.о. Красногорск, г Красногорск, ул Речная, д. 20, к. 2, помещ. XXXVII</t>
  </si>
  <si>
    <t>141006, Московская обл., г. Мытищи, ул. Воронина стр. 15/2 пом. 5А</t>
  </si>
  <si>
    <t>416425, Астраханская обл., Лиманский район, с. Оля, ул. Чкалова, д. 29</t>
  </si>
  <si>
    <t>129085, г. Москва, вн.тер.г. муниципальный округ Останкинский, пр-кт Мира, д. 101, стр. 1, эт/пом/ком/оф 4/I/7/15 (Бизнес-центр «Гипромез»)</t>
  </si>
  <si>
    <t>191144, г. Санкт-Петербург, пер. Дегтярный, д. 11 литера Б (Бизнес-центр «Невская ратуша Бизнес-центр 3»)</t>
  </si>
  <si>
    <t>109390, г. Москва, вн.тер.г. муниципальный округ Текстильщики, ул Чистова, д. 6А, этаж/пом/ком 1/IV/9</t>
  </si>
  <si>
    <t>, г. Москва, вн.тер.г. муниципальный округ Головинский, б-р Кронштадтский, д. 3А, этаж 4, помещ. 401</t>
  </si>
  <si>
    <t>142411, Московская обл., г. Ногинск, д. Молзино, ул. Советская, д. 85</t>
  </si>
  <si>
    <t>119435, г. Москва, вн.тер.г. муниципальный округ Хамовники, ул Малая Пироговская, д. 14, стр. 5, помещ. II, ком. 2</t>
  </si>
  <si>
    <t>394028, Воронежская обл., г. Воронеж, ул. Чебышева, д. 36 офис 83</t>
  </si>
  <si>
    <t>127083, г. Москва, ул. 8 Марта, д. 1 стр. 12 этаж 4, пом. XXVIII, ком. 4 (Бизнес-центр "Трио")</t>
  </si>
  <si>
    <t>214533, Смоленская обл, м.р-н Смоленский, с.п. Дивасовское, тер. Ред Лайн, зд. 2, офис 301</t>
  </si>
  <si>
    <t>423885, Татарстан респ., Тукаевский район, с. Мусабай-Завод, ул. Ленина, д. 32В пом. 2</t>
  </si>
  <si>
    <t>420129, Татарстан респ., г. Казань, ул. Уртак, д. 2Б кв. 3</t>
  </si>
  <si>
    <t>685000, Магаданская обл., г. Магадан, шоссе Портовое, д. 201</t>
  </si>
  <si>
    <t>683016, Камчатский кр., г. Петропавловск-Камчатский, ул. Мишенная, д. 131 офис 25</t>
  </si>
  <si>
    <t>685000, Магаданская обл., г. Магадан, ул. Советская, д. ЗД. 24</t>
  </si>
  <si>
    <t>109012, г. Москва, пл. Красная, д. 3 этаж 2 пом. LXVIА ком. 1 (Торгово-развлекательный центр «ГУМ»)</t>
  </si>
  <si>
    <t>191186, г. Санкт-Петербург, вн.тер.г. муниципальный округ Дворцовый округ, пер Волынский, д. 3А, литера А, помещ. 63-Н</t>
  </si>
  <si>
    <t>119361, г. Москва, ул. Озёрная, д. 42 пом. 42 (Бизнес-центр «Озерная»)</t>
  </si>
  <si>
    <t>111674, г. Москва, ул. Рождественская, д. 34 пом. XIX</t>
  </si>
  <si>
    <t>117335, г. Москва, вн.тер.г. муниципальный округ Черемушки, ул Архитектора Власова, д. 21, к. 2, кв. 53</t>
  </si>
  <si>
    <t>109428, г. Москва, ул. Зарайская, д. 21 пом. 309 офис 0702 (Деловой дом "Зарайский")</t>
  </si>
  <si>
    <t>431700, Мордовия респ., Чамзинский район, рабочий пос. Чамзинка, ул. Республиканская, д. 28</t>
  </si>
  <si>
    <t>430005, Мордовия Респ, г.о. Саранск, г Саранск, ул Л.Толстого, д. 14</t>
  </si>
  <si>
    <t>603041, Нижегородская обл., г. Нижний Новгород, проспект Молодежный, д. 82</t>
  </si>
  <si>
    <t>664003, Иркутская обл., г. Иркутск, ул. Тимирязева стр. 4</t>
  </si>
  <si>
    <t>350072, Краснодарский кр., г. Краснодар, ул. Солнечная, д. 15/4 литера д каб. 3200/1 3-ГО ЭТАЖА</t>
  </si>
  <si>
    <t>644024, Омская обл., г. Омск, ул. Декабристов, д. 45 к. 1 пом. 19</t>
  </si>
  <si>
    <t>140187, Московская обл., г. Жуковский, ул. Мясищева, д. 1 пом. 608 (Бизнес-центр «Чайка»)</t>
  </si>
  <si>
    <t>454006, Челябинская обл., г. Челябинск, ул. Российская, д. 110 стр. 1 офис 309</t>
  </si>
  <si>
    <t>143440, Московская обл., Красногорский район, пос. Путилково, тер. Гринвуд стр. 31 пом. 120</t>
  </si>
  <si>
    <t>127282, г. Москва, вн.тер.г. муниципальный округ Северное Медведково, ул Полярная, д. 31В, стр. 1, этаж/помещ./ком. 3 / I / 6</t>
  </si>
  <si>
    <t>347463, Ростовская обл., Зимовниковский район, пос. Зимовники, пер. Лесной, д. 3</t>
  </si>
  <si>
    <t>141191, Московская обл., г. Фрязино, ул. Озерная, д. 1А</t>
  </si>
  <si>
    <t>141100, Московская обл, г.о. Щёлково, г Щёлково, пер 1-й Советский, д. 25, этаж 2, помещ. 31</t>
  </si>
  <si>
    <t>115230, г. Москва, шоссе Варшавское, д. 42 офис 4300 (Бизнес-центр «Варшавский»)</t>
  </si>
  <si>
    <t>119435, г. Москва, пер. Большой Саввинский, д. 12 стр. 18 офис 304</t>
  </si>
  <si>
    <t>443901, Самарская обл., г. Самара, тер. Аэропорт Самара</t>
  </si>
  <si>
    <t>119602, г. Москва, ул. Академика Анохина, д. 38 к. 1 этаж 1 пом. II ком. 6К</t>
  </si>
  <si>
    <t>412304, Саратовская обл., г. Балашов, ул. Пригородная, д. 10</t>
  </si>
  <si>
    <t>115114, г. Москва, набережная Дербеневская, д. 11 офис 512Б (Бизнес-центр «Полларс»)</t>
  </si>
  <si>
    <t>195220, г. Санкт-Петербург, ул. Фаворского, д. 12</t>
  </si>
  <si>
    <t>123376, г. Москва, вн.тер.г. муниципальный округ Пресненский, ул Красная Пресня, д. 24, этаж 7 ПОМЕЩ. I, каб. 61</t>
  </si>
  <si>
    <t>107023, г. Москва, пл. Семёновская, д. 1А (Бизнес-центр «Соколиная Гора»)</t>
  </si>
  <si>
    <t>127006, г. Москва, пер. Старопименовский, д. 10</t>
  </si>
  <si>
    <t>195299, г. Санкт-Петербург, ул. Руставели, д. 53 литера А пом. 201</t>
  </si>
  <si>
    <t>115230, г. Москва, вн.тер.г. муниципальный округ Нагорный, проезд Электролитный, д. 3, стр. 6, этаж 03, помещ. 04</t>
  </si>
  <si>
    <t>123001, г. Москва, пер. Вспольный, д. 5 стр. 1 офис 1</t>
  </si>
  <si>
    <t>385421, Адыгея респ., Кошехабльский район, аул Егерухай, ул. Школьная, д. 73</t>
  </si>
  <si>
    <t>117485, г. Москва, вн.тер.г. муниципальный округ Коньково, ул Обручева, д. 30/1, стр. 1, этаж 11, ПОМЕЩ. XIV, КОМ. 1-3, 5-25 (Бизнес-центр «Кругозор»)</t>
  </si>
  <si>
    <t>199034, г. Санкт-Петербург, вн.тер.г. муниципальный округ № 7, линия 17-я В.О., д. 4-6, литера В, офис А-223</t>
  </si>
  <si>
    <t>117420, г. Москва, ул. Профсоюзная, д. 57 ком. 84 (Бизнес-центр «Нииполиграфмаш»)</t>
  </si>
  <si>
    <t>107140, г. Москва, ул. Верхняя Красносельская, д. 3 стр. 1 этаж / офис 4/402</t>
  </si>
  <si>
    <t>141407, Московская обл., г. Химки, ул. Панфилова, д. 19 к. 4</t>
  </si>
  <si>
    <t>606440, Нижегородская обл., г. Бор, шоссе Стеклозаводское, д. 15</t>
  </si>
  <si>
    <t>194292, г. Санкт-Петербург, пер. 5-Й Верхний, д. 1 литера Б</t>
  </si>
  <si>
    <t>142214, Московская обл., г. Серпухов, д. Ивановское, тер. Маревен Фуд Сэнтрал</t>
  </si>
  <si>
    <t>652154, Кемеровская область - Кузбасс, Мариинский район, г. Мариинск, ул. Пальчикова, д. 28</t>
  </si>
  <si>
    <t>424003, Марий Эл респ., г. Йошкар-Ола, ул. Свердлова, д. 54 этаж 3,4</t>
  </si>
  <si>
    <t>690091, Приморский кр., г. Владивосток, ул. Лазо, д. 8 офис 2</t>
  </si>
  <si>
    <t>190068, г. Санкт-Петербург, ул. Большая Подьяческая, д. 25 литера А пом. 7-Н</t>
  </si>
  <si>
    <t>656049, Алтайский кр., г. Барнаул, ул. Мерзликина, д. 5 ("Премьер", бизнес-центр)</t>
  </si>
  <si>
    <t>193079, г. Санкт-Петербург, набережная Октябрьская, д. 104 к. 47 / литера А пом. 2Н</t>
  </si>
  <si>
    <t>196105, г. Санкт-Петербург, проспект Московский, д. 139 к. 1 стр. 1 пом. 1-Н (Ч.П. 350)</t>
  </si>
  <si>
    <t>109451, г. Москва, ул. Братиславская, д. 14 этаж 1 пом. XIX офис 1Ф</t>
  </si>
  <si>
    <t>121099, г. Москва, вн.тер.г. муниципальный округ Арбат, б-р Новинский, д. 8 (Торговый центр «Lotte Plaza»)</t>
  </si>
  <si>
    <t>105082, г. Москва, пл. Спартаковская, д. 16/15 стр. 6 (Бизнес-центр на Спартаковской строение 6)</t>
  </si>
  <si>
    <t>143006, Московская обл., г. Одинцово, ул. Восточная, д. 5</t>
  </si>
  <si>
    <t>142800, Московская обл., г. Ступино, ул. Ситенка, д. 12</t>
  </si>
  <si>
    <t>123308, г. Москва, вн.тер.г. муниципальный округ Хорошево-Мневники, ул Мнёвники, д. 3, к. 1</t>
  </si>
  <si>
    <t>142455, Московская обл., г. Электроугли, ул. Центральная, д. 109</t>
  </si>
  <si>
    <t>129337, г. Москва, шоссе Ярославское, д. 1 стр. 1 ком. 5</t>
  </si>
  <si>
    <t>600016, Владимирская обл., г. Владимир, ул. Большая Нижегородская, д. 92Б</t>
  </si>
  <si>
    <t>121096, г. Москва, ул. Василисы Кожиной, д. 1 этаж 5 пом. I ком. 68 (Бизнес-парк «G 10» Строящийся)</t>
  </si>
  <si>
    <t>664022, Иркутская обл, г.о. город Иркутск, г Иркутск, ул Седова, стр. 42/2, офис 314</t>
  </si>
  <si>
    <t>350020, Краснодарский кр., г. Краснодар, ул. Коммунаров, д. 268 литера А офис 2</t>
  </si>
  <si>
    <t>629007, Ямало-Ненецкий а.о., г. Салехард, ул. Республики, д. 9</t>
  </si>
  <si>
    <t>404130, Волгоградская обл., г. Волжский, ул. Пушкина, д. 117 к. Б</t>
  </si>
  <si>
    <t>115114, г. Москва, вн.тер.г. муниципальный округ Даниловский, ул Кожевническая, д. 14, стр. 5, этаж/помещение 10/XX, ком. 13 (Бизнес-центр «Black and White 14с5»)</t>
  </si>
  <si>
    <t>617000, Пермский кр., Нытвенский район, г. Нытва, ул. Комарова, д. 37</t>
  </si>
  <si>
    <t>397156, Воронежская обл., Борисоглебский район, с. Третьяки, ул. Ленинская, д. 35</t>
  </si>
  <si>
    <t>632201, Новосибирская обл, м.р-н Чановский, г.п. рабочий поселок Чаны, рп Чаны, ул Ленина, д. 260, кабинет 302</t>
  </si>
  <si>
    <t>420097, Татарстан респ., г. Казань, ул. Зинина, д. 8</t>
  </si>
  <si>
    <t>129128, г. Москва, платф. Северянин, владение 6 стр. 1</t>
  </si>
  <si>
    <t>140060, Московская обл., г. Люберцы, рабочий пос. Октябрьский, ул. Дорожная, д. 10В пом. 1</t>
  </si>
  <si>
    <t>121609, г. Москва, бульвар Осенний, д. 23 этаж 4 пом. I ком. 10 (Бизнес-центр «Крылатский»)</t>
  </si>
  <si>
    <t>108807, г. Москва, Первомайское пос., пос. Первомайское, ул. Рабочая, д. 3</t>
  </si>
  <si>
    <t>344002, Ростовская обл, г.о. город Ростов-на-Дону, г Ростов-на-Дону, ул Шоссейная, д. 2Д, офис 6</t>
  </si>
  <si>
    <t>127473, г. Москва, ул. Краснопролетарская, д. 16 стр. 1 этаж 3 пом. II ком. 17(Ч)18(Ч)19(Ч) (Бизнес-центр «Новослободский»)</t>
  </si>
  <si>
    <t>117292, г. Москва, ул. Профсоюзная, д. 3 пом. 409 (Бизнес-центр)</t>
  </si>
  <si>
    <t>117587, г. Москва, ул. Днепропетровская, д. 2 этаж 3 пом. XVII, ком. №42 (Торгово-развлекательный центр «Глобал сити-2»)</t>
  </si>
  <si>
    <t>450056, Башкортостан Респ, м.р-н Уфимский, с.п. Булгаковский сельсовет, с Булгаково, мкр Аэропорт, д. 131</t>
  </si>
  <si>
    <t>346428, Ростовская обл, г.о. город Новочеркасск, г Новочеркасск, ул Просвещения, д. 155Б, помещ. 303</t>
  </si>
  <si>
    <t>107078, г. Москва, ул. Каланчевская, д. 15</t>
  </si>
  <si>
    <t>119530, г. Москва, шоссе Очаковское, д. 44 этаж 2 пом. 6</t>
  </si>
  <si>
    <t>440007, Пензенская обл., г. Пенза, ул. Бумажников, д. 1</t>
  </si>
  <si>
    <t>664081, Иркутская обл., г. Иркутск, ул. Депутатская, д. 84/1 пом. 2</t>
  </si>
  <si>
    <t>143430, Московская обл., г. Красногорск, д. Желябино, д. ПРОИЗВ-СКЛА д. КОМПЛ этаж / офис 2/110</t>
  </si>
  <si>
    <t>117485, г. Москва, вн.тер.г. муниципальный округ Обручевский, ул Академика Волгина, д. 6А, стр. 3</t>
  </si>
  <si>
    <t>143912, Московская обл., г. Балашиха, шоссе Западная Коммунальная Зона Энтузиастов, владение 2 каб. 2030 АВТОЦЕНТР № 2</t>
  </si>
  <si>
    <t>121471, г. Москва, ул. Рябиновая, д. 43</t>
  </si>
  <si>
    <t>355003, Ставропольский кр., г. Ставрополь, ул. М.Морозова, д. 55</t>
  </si>
  <si>
    <t>111033, г. Москва, ул. Золоторожский Вал, д. 11 стр. 21 (Бизнес-центр «Maxima Plaza»)</t>
  </si>
  <si>
    <t>450028, Башкортостан респ., Уфимский район, проезд Второй (Индустриальный Парк Мкр), д. ЗД 1</t>
  </si>
  <si>
    <t>142113, Московская обл., г. Подольск, пос. Молодёжный, ул. Промышленная, д. 5</t>
  </si>
  <si>
    <t>183038, Мурманская обл., г. Мурманск, проезд Портовый, д. 19</t>
  </si>
  <si>
    <t>105066, г. Москва, ул. Нижняя Красносельская, д. 40/12 к. 20 этаж 5 пом. II ком. 3</t>
  </si>
  <si>
    <t>141281, Московская обл., г. Ивантеевка, проезд Санаторный, д. 1 к. 21</t>
  </si>
  <si>
    <t>, Московская обл, г.о. Красногорск, д Путилково, тер. Гринвуд, стр. 17, этаж 6, помещ. 311</t>
  </si>
  <si>
    <t>368730, Дагестан респ., Ахтынский район, с. Ахты, ул. Ленина, д. 18 " д. " пом. 1</t>
  </si>
  <si>
    <t>127273, г. Москва, ул. Отрадная, д. 2Б стр. 7 (Бизнес-центр «Отрадный»)</t>
  </si>
  <si>
    <t>142400, Московская обл., г. Ногинск, тер. Ногинск-Технопарк, д. 8</t>
  </si>
  <si>
    <t>117209, г. Москва, вн.тер.г. муниципальный округ Черемушки, пр-кт Севастопольский, д. 24, к. 1</t>
  </si>
  <si>
    <t>450511, Башкортостан респ., Уфимский район, с. Михайловка, ул. Вишневая, д. 5</t>
  </si>
  <si>
    <t>188640, Ленинградская обл., Всеволожский район, ул. 3-Я Центральная (Бриллиант Тер. Днп), д. 72</t>
  </si>
  <si>
    <t>238324, Калининградская обл., Гурьевский район, пос. Моршанское, пер. 1-Й Спортивный, д. 6</t>
  </si>
  <si>
    <t>625019, Тюменская обл., г. Тюмень, ул. Воровского, д. 33 кв. 143</t>
  </si>
  <si>
    <t>442960, Пензенская обл., г. Заречный, проезд Фабричный к. 11</t>
  </si>
  <si>
    <t>410015, Саратовская обл., г. Саратов, ул. Им Орджоникидзе Г.К., д. 24</t>
  </si>
  <si>
    <t>140055, Московская обл., г. Котельники, проезд 1-Й Покровский, д. 5</t>
  </si>
  <si>
    <t>428903, Чувашская Республика - Чувашия, м.о. Чебоксарский, д Лапсары, ул Луговая, влд. 31, кабинет 23</t>
  </si>
  <si>
    <t>142000, Московская обл., г. Домодедово, ул. Логистическая (Северный Мкр.), д. 1</t>
  </si>
  <si>
    <t>142718, Московская обл., г. Видное, с. Булатниково, шоссе Симферопольское, д. 3 пом. 115</t>
  </si>
  <si>
    <t>194044, г. Санкт-Петербург, ул. Гельсингфорсская, д. 4 к. 1 литера В пом. 17Н</t>
  </si>
  <si>
    <t>188689, Ленинградская обл., Всеволожский район, пос. Янино-1, ул. Шоссейная (Производственная Зона Янино Тер.), д. ЗД. 114/1 Ч/ пом. 8</t>
  </si>
  <si>
    <t>400123, Волгоградская обл., г. Волгоград, ул. Хрустальная, д. 107 офис 1</t>
  </si>
  <si>
    <t>142715, Московская обл, г.о. Ленинский, г Видное, тер Промзона ВЗ ГИАП, к. 452</t>
  </si>
  <si>
    <t>140053, Московская обл., г. Котельники, проезд Яничкин, д. 2 этаж / пом. 4/21</t>
  </si>
  <si>
    <t>111250, г. Москва, проезд Завода Серп И Молот, д. 3 к. 2 ком. 2</t>
  </si>
  <si>
    <t>364018, Чеченская респ., г. Грозный, ул. Боевая (Байсангуровский Р-Н), д. 23</t>
  </si>
  <si>
    <t>127006, г. Москва, пер. Оружейный, д. 41 офис 558 (Многофункциональный комплекс «Оружейный»)</t>
  </si>
  <si>
    <t>152071, Ярославская обл., Даниловский район, г. Данилов, ул. Деповская, д. 22 кв. 1</t>
  </si>
  <si>
    <t>663316, Красноярский кр., г. Норильск, ул. Горная, д. 13</t>
  </si>
  <si>
    <t>101000, г. Москва, вн.тер.г. муниципальный округ Красносельский, ул Мясницкая, д. 41, стр. 1, помещ. 1, ЭТАЖ 2</t>
  </si>
  <si>
    <t>109004, г. Москва, ул. Станиславского, д. 21 стр. 5 (Бизнес-центр «Фабрика Станиславского строение 5»)</t>
  </si>
  <si>
    <t>107014, г. Москва, ул. Большая Остроумовская, д. 13 офис Э/П/К ЦОКОЛЬ/II/23</t>
  </si>
  <si>
    <t>117447, г. Москва, ул. Большая Черёмушкинская, д. 13 стр. 4 этаж 2 пом. I ком. 18</t>
  </si>
  <si>
    <t>600017, Владимирская обл., г. Владимир, ул. Краснознамённая, д. 4</t>
  </si>
  <si>
    <t>119019, г. Москва, пер. Лебяжий, д. 8/4 стр. 2</t>
  </si>
  <si>
    <t>127055, г. Москва, ул. Сущёвская, д. 19 стр. 5 пом. I офис 206</t>
  </si>
  <si>
    <t>105082, г. Москва, вн.тер.г. муниципальный округ Басманный, ул Фридриха Энгельса, д. 75, стр. 21, этаж 2, офис 214 (Бизнес-центр «Иткол-Бауманская»)</t>
  </si>
  <si>
    <t>105082, г. Москва, ул. Фридриха Энгельса, д. 75 стр. 21 этаж 4, офис 403Б (Бизнес-центр «Иткол-Бауманская»)</t>
  </si>
  <si>
    <t>105082, г. Москва, ул. Фридриха Энгельса, д. 75 стр. 21 офис 216 (Бизнес-центр «Иткол-Бауманская»)</t>
  </si>
  <si>
    <t>196084, г. Санкт-Петербург, проспект Московский, д. 97 литера А пом. 20Н 23Н 25Н</t>
  </si>
  <si>
    <t>125047, г. Москва, пер. 2-Й Тверской-Ямской, д. 10</t>
  </si>
  <si>
    <t>195279, г. Санкт-Петербург, вн.тер.г. муниципальный округ Ржевка, ш Революции, д. 69, литера А, помещ. 12-Н, помещ. 401 (Бизнес-центр «Scandinavian (Скандинавиан)»)</t>
  </si>
  <si>
    <t>119021, г. Москва, ул. Большая Пироговская, д. 7</t>
  </si>
  <si>
    <t>125362, г. Москва, вн.тер.г. муниципальный округ Покровское-Стрешнево, ул Тушинская, д. 16, этаж 4, ком. 42/2</t>
  </si>
  <si>
    <t>450096, Башкортостан респ., г. Уфа, ул. Рязанская, д. 5</t>
  </si>
  <si>
    <t>197110, г. Санкт-Петербург, вн.тер.г. муниципальный округ Чкаловское, наб Песочная, д. 42, к. 2, литера А, офис №404, рабочее место 1</t>
  </si>
  <si>
    <t>123112, г. Москва, вн.тер.г. муниципальный округ Пресненский, наб Пресненская, д. 10, этаж/помещ./ком. 9/III/41 (Бизнес-центр «Naberezhnaya Tower»)</t>
  </si>
  <si>
    <t>355035, Ставропольский кр., г. Ставрополь, проспект Кулакова, д. 8 к. Г</t>
  </si>
  <si>
    <t>109388, г. Москва, ул. Гурьянова, д. 30 офис 105 (Многофункциональный комплекс «Серф-Плаза»)</t>
  </si>
  <si>
    <t>142506, Московская обл., г. Павловский Посад, ул. 1 Мая, д. 105</t>
  </si>
  <si>
    <t>119027, г. Москва, ул. 2-Я Рейсовая, д. 2 к. 3</t>
  </si>
  <si>
    <t>420017, Татарстан респ., Лаишевский район, пос. Аэропорт</t>
  </si>
  <si>
    <t>354340, Краснодарский кр., г. Сочи, тер. Аэропорт</t>
  </si>
  <si>
    <t>652870, Кемеровская область - Кузбасс, г. Междуреченск, ул. Кузнецкая, д. 1А</t>
  </si>
  <si>
    <t>634537, Томская обл., Томский район, пос. Копылово, д. 0</t>
  </si>
  <si>
    <t>141100, Московская обл., г. Щёлково, ул. Свирская, д. 1</t>
  </si>
  <si>
    <t>108811, г. Москва, км. Киевское Шоссе 22-Й (П Московский), домовладение 4 стр. 2 офис 605/1</t>
  </si>
  <si>
    <t>453856, Башкортостан респ., Мелеузовский район, г. Мелеуз, пл. Химзавода</t>
  </si>
  <si>
    <t>453851, Башкортостан респ., Мелеузовский район, г. Мелеуз, ул. Ленина, д. 35</t>
  </si>
  <si>
    <t>453852, Башкортостан респ., Мелеузовский район, г. Мелеуз, ул. Совхозная, д. 5</t>
  </si>
  <si>
    <t>117218, г. Москва, ул. Кржижановского, д. 14 к. 3 пом. XVI ком. 22</t>
  </si>
  <si>
    <t>197022, г. Санкт-Петербург, набережная Аптекарская, д. 20 литера А офис 802</t>
  </si>
  <si>
    <t>191015, г. Санкт-Петербург, ул. Шпалерная, д. 54/2 литера А</t>
  </si>
  <si>
    <t>653016, Кемеровская область - Кузбасс, г. Прокопьевск, ул. Участковая, д. 2</t>
  </si>
  <si>
    <t>123007, г. Москва, ул. 1-Я Магистральная, д. 14 стр. 9</t>
  </si>
  <si>
    <t>170100, Тверская обл., г. Тверь, ул. Вокзальная, д. 9</t>
  </si>
  <si>
    <t>125599, г. Москва, ул. Ижорская, д. 7</t>
  </si>
  <si>
    <t>119002, г. Москва, вн.тер.г. муниципальный округ Хамовники, пер Сивцев Вражек, д. 29/16, помещ. III, ком. 8</t>
  </si>
  <si>
    <t>127015, г. Москва, вн.тер.г. муниципальный округ Бутырский, ул Новодмитровская, д. 2, к. 2, этаж 17, помещ. XLIV</t>
  </si>
  <si>
    <t>620089, Свердловская обл., г. Екатеринбург, пер. Базовый, д. 38 офис 304</t>
  </si>
  <si>
    <t>248033, Калужская обл., г. Калуга, ул. Энергетиков, д. 2</t>
  </si>
  <si>
    <t>123001, г. Москва, пер. Мамоновский, д. 4 стр. 1 этаж / пом. / ком. 2/III/3</t>
  </si>
  <si>
    <t>143082, Московская обл., г. Одинцово, д. Барвиха, д. 114 стр. 2 этаж 1 пом. 100</t>
  </si>
  <si>
    <t>656037, Алтайский край, г.о. город Барнаул, г Барнаул, пр-кт Ленина, д. 156А, офис 111</t>
  </si>
  <si>
    <t>119415, г. Москва, вн.тер.г. муниципальный округ Проспект Вернадского, пр-кт Вернадского, д. 41, стр. 1, помещ. I, ком. 20,20А</t>
  </si>
  <si>
    <t>115404, г. Москва, вн.тер.г. муниципальный округ Бирюлево Восточное, ул Педагогическая, д. 10, кв. 11</t>
  </si>
  <si>
    <t>455020, Челябинская обл., г. Магнитогорск, ул. Магнитная, д. 158А офис 1</t>
  </si>
  <si>
    <t>129344, г. Москва, вн.тер.г. муниципальный округ Свиблово, ул Енисейская, д. 1, стр. 1, офис Б301 (Бизнес-центр «Лира»)</t>
  </si>
  <si>
    <t>683042, Камчатский кр., г. Петропавловск-Камчатский, ул. Дальняя, д. 28/1</t>
  </si>
  <si>
    <t>355000, Ставропольский кр., г. Ставрополь, проспект Кулакова, д. 14Б литера Г этаж 3 офис КАБИНЕТЫ 35, 36</t>
  </si>
  <si>
    <t>143401, Московская обл., г. Красногорск, бульвар Строителей, д. 4 к. 1 этаж 8, каб. 819</t>
  </si>
  <si>
    <t>125167, г. Москва, проспект Ленинградский, д. 39А (Бизнес-центр «Мерседес Плаза»)</t>
  </si>
  <si>
    <t>125124, г. Москва, ул. 3-Я Ямского Поля, д. 2 к. 26 этаж 2 пом. VII ком. 29</t>
  </si>
  <si>
    <t>115035, г. Москва, ул. Садовническая, д. 35 стр. 2 этаж 4 офис 5</t>
  </si>
  <si>
    <t>450005, Башкортостан респ., г. Уфа, ул. 50-Летия Октября, д. 16 каб. 1</t>
  </si>
  <si>
    <t>620026, Свердловская обл, г.о. город Екатеринбург, г Екатеринбург, ул Розы Люксембург, стр. 64, этаж 8, помещ. 28</t>
  </si>
  <si>
    <t>443017, Самарская обл., г. Самара, ул. Гродненская, д. 17</t>
  </si>
  <si>
    <t>450095, Башкортостан Респ, г.о. город Уфа, г Уфа, ул Чебоксарская, д. 12, этаж 3, помещ. 9/2</t>
  </si>
  <si>
    <t>454091, Челябинская обл, г.о. Челябинский, вн.р-н Советский, г Челябинск, ул Цвиллинга, д. 60, офис 2-7, ЭТАЖ 4</t>
  </si>
  <si>
    <t>127273, г. Москва, ал. Берёзовая, д. 5А стр. 7 (Бизнес-центр «Березовая аллея 5Ас7»)</t>
  </si>
  <si>
    <t>142603, Московская обл., г. Орехово-Зуево, ул. Дзержинского, д. 34 офис 305 (Производственно-складской комплекс «Производственно- складской комплекс»  (Ярославское ш.))</t>
  </si>
  <si>
    <t>354002, Краснодарский кр., г. Сочи, проспект Курортный (Хостинский Р-Н), д. 75 пом. 238</t>
  </si>
  <si>
    <t>141092, Московская обл, г.о. Королёв, г Королёв, мкр Юбилейный, ул Лесная, д. 14Б, помещ. 048</t>
  </si>
  <si>
    <t>191123, г. Санкт-Петербург, вн.тер.г. муниципальный округ Смольнинское, ул Радищева, д. 39, литера В, помещ. 48 (Бизнес-центр на Ул. Радищева, 39В)</t>
  </si>
  <si>
    <t>150521, Ярославская обл., г. Ярославль, ул. Гагарина, д. 75</t>
  </si>
  <si>
    <t>127006, г. Москва, вн.тер.г. муниципальный округ Тверской, ул Краснопролетарская, д. 4, помещ. 1/1 (Бизнес-центр «Эрмитаж Плаза»)</t>
  </si>
  <si>
    <t>455019, Челябинская обл, г.о. Магнитогорский, г Магнитогорск, ул Курако, д. 6, к. 1, этаж 1, помещ. 102</t>
  </si>
  <si>
    <t>109428, г. Москва, ул. Стахановская, д. 19</t>
  </si>
  <si>
    <t>109428, г. Москва, ул. Стахановская, д. 19 стр. 54 этаж 2 КАБИНЕТЫ 4, 5</t>
  </si>
  <si>
    <t>630108, Новосибирская обл., г. Новосибирск, ул. Станционная, д. 28 пом. 5</t>
  </si>
  <si>
    <t>680032, Хабаровский кр., г. Хабаровск, ул. Автономная, д. 12</t>
  </si>
  <si>
    <t>618250, Пермский кр., г. Губаха</t>
  </si>
  <si>
    <t>614000, Пермский кр., г. Пермь, ул. Советская, д. 67</t>
  </si>
  <si>
    <t>115035, г. Москва, набережная Космодамианская, д. 4/22 к. Б, ПОМЕЩЕНИЕМ VIII ком. 6</t>
  </si>
  <si>
    <t>454084, Челябинская обл., г. Челябинск, проспект Победы, д. 177 офис 111Б2</t>
  </si>
  <si>
    <t>121096, г. Москва, ул. Василисы Кожиной, д. 1 пом. / ком. I/8 (Бизнес-парк «G 10» Строящийся)</t>
  </si>
  <si>
    <t>115093, г. Москва, ул. Павловская, д. 27/29 стр. 1</t>
  </si>
  <si>
    <t>423578, Татарстан Респ, м.р-н Нижнекамский, г.п. город Нижнекамск, г Нижнекамск, ул Студенческая, д. 8, помещ. 2</t>
  </si>
  <si>
    <t>125445, г. Москва, шоссе Ленинградское, д. 71Г</t>
  </si>
  <si>
    <t>141009, Московская обл., г. Мытищи, ул. Колонцова, д. 4</t>
  </si>
  <si>
    <t>150030, Ярославская обл., г. Ярославль, ул. Старая Костромская, д. 1 к. А офис 227</t>
  </si>
  <si>
    <t>123308, г. Москва, вн.тер.г. муниципальный округ Хорошевский, ул Зорге, д. 1, помещ. I, ком. 1-16, 31-41</t>
  </si>
  <si>
    <t>196158, г. Санкт-Петербург, вн.тер.г. муниципальный округ Звездное, ш Пулковское, д. 40, к. 4, литера А, помещ. В8046</t>
  </si>
  <si>
    <t>142407, Московская обл., г. Ногинск, тер. Ногинск-Технопарк, д. 14</t>
  </si>
  <si>
    <t>144002, Московская обл., г. Электросталь, ул. Железнодорожная, д. 1</t>
  </si>
  <si>
    <t>162622, Вологодская обл., г. Череповец, шоссе Северное, д. 75</t>
  </si>
  <si>
    <t>454047, Челябинская обл., г. Челябинск, ул. Павелецкая 2-Я, д. 14</t>
  </si>
  <si>
    <t>127083, г. Москва, ул. Мишина, д. 35 офис 201</t>
  </si>
  <si>
    <t>125167, г. Москва, ул. Красноармейская, д. 1 каб. 134 (Бизнес-центр «Петровский дом»)</t>
  </si>
  <si>
    <t>413810, Саратовская обл., Балаковский район, с. Быков Отрог, шоссе Металлургов, д. 2</t>
  </si>
  <si>
    <t>430006, Мордовия респ., г. Саранск, ул. Промышленная 1-Я, д. 41</t>
  </si>
  <si>
    <t>109235, г. Москва, вн.тер.г. муниципальный округ Печатники, наб. Курьяновская, д. 6, стр. 1, этаж/помещ. 2/1, ком. 16</t>
  </si>
  <si>
    <t>197022, г. Санкт-Петербург, вн.тер.г. муниципальный округ Аптекарский остров, наб Реки Карповки, д. 5, литера Г, помещ. 2Н, ком. 14</t>
  </si>
  <si>
    <t>117393, г. Москва, вн.тер.г. муниципальный округ Обручевский, ул Архитектора Власова, д. 33, помещ. 24, 25</t>
  </si>
  <si>
    <t>109316, г. Москва, ул. Талалихина, д. 41 стр. 14</t>
  </si>
  <si>
    <t>127018, г. Москва, ул. Полковая, д. 3 этаж 3 пом. I ком. 10 (Бизнес-парк «Шереметьевский на ул. Полковая, 3»)</t>
  </si>
  <si>
    <t>125284, г. Москва, проспект Ленинградский, д. 31А стр. 1 этаж 8 пом. I ком. 1</t>
  </si>
  <si>
    <t>352925, Краснодарский кр., г. Армавир, ул. Мичурина, д. 2 литера А пом. 9</t>
  </si>
  <si>
    <t>426039, Удмуртская респ., г. Ижевск, шоссе Воткинское, д. 178</t>
  </si>
  <si>
    <t>140492, Московская обл, г.о. Коломна, д Зарудня, кв-л 0010811, стр. 4, помещ. 97</t>
  </si>
  <si>
    <t>109316, г. Москва, ул. Талалихина, д. 41 стр. 4 пом. I этаж 1 ком. 1</t>
  </si>
  <si>
    <t>170540, Тверская обл., Калининский район, с/п Бурашевское, промзона Боровлево-2, д. КОМПЛЕКС 2</t>
  </si>
  <si>
    <t>129090, г. Москва, вн.тер.г. муниципальный округ Мещанский, пр-кт Олимпийский, д. 16, стр. 5, ан./пом. 4/I, ком. 7, 11А (Бизнес-центр «Олимпик Холл»)</t>
  </si>
  <si>
    <t>196006, г. Санкт-Петербург, проспект Лиговский, д. 260</t>
  </si>
  <si>
    <t>197183, г. Санкт-Петербург, вн.тер.г. муниципальный округ Ланское, аллея Липовая, д. 9, литера А, часть помещ. 50Н, ком. 208 (Бизнес-центр «Приморский»)</t>
  </si>
  <si>
    <t>344013, Ростовская обл., г. Ростов-На-Дону, ул. Мечникова, д. 112 к. Г офис 504</t>
  </si>
  <si>
    <t>101000, г. Москва, пер. Девяткин, д. 5 стр. 3 ком. 204</t>
  </si>
  <si>
    <t>125252, г. Москва, бульвар Ходынский, д. 8 этаж 2 пом. 2-2</t>
  </si>
  <si>
    <t>142700, Московская обл., г. Видное, ул. Радиальная 3-Я, д. 8 пом. 1-Н, ком. 2</t>
  </si>
  <si>
    <t>188650, Ленинградская обл., Всеволожский район, г. Сертолово, ул. Песочная (Сертолово-1 Мкр.), д. 14 к. 1</t>
  </si>
  <si>
    <t>156009, Костромская обл., г. Кострома, ул. Юбилейная, д. 24 литера д пом. 60</t>
  </si>
  <si>
    <t>123022, г. Москва, ул. 2-Я Звенигородская, д. 13 стр. 43 этаж / пом. / ком. 3/VII/39,40</t>
  </si>
  <si>
    <t>236038, Калининградская обл., Гурьевский район, пос. Невское, ул. Совхозная, д. 12</t>
  </si>
  <si>
    <t>309070, Белгородская обл., Яковлевский район, г. Строитель, ул. 2-Я Заводская, д. 17</t>
  </si>
  <si>
    <t>307120, Курская обл., Фатежский район, с. Верхний Любаж, ул. Западная, владение 6</t>
  </si>
  <si>
    <t>303205, Орловская обл., Кромской район, с. Бельдяжки, д. ЗД. 201 каб. 7</t>
  </si>
  <si>
    <t>123308, г. Москва, ул. Мнёвники, д. 6 этаж 4 пом. I ком. 26 (Бизнес-центр)</t>
  </si>
  <si>
    <t>117519, г. Москва, вн.тер.г. муниципальный округ Чертаново Центральное, ул Кировоградская, д. 13А</t>
  </si>
  <si>
    <t>355037, Ставропольский кр., г. Ставрополь, ул. Доваторцев, д. 33А</t>
  </si>
  <si>
    <t>347927, Ростовская обл., г. Таганрог, ул. Поляковское Шоссе, д. 15-К</t>
  </si>
  <si>
    <t>410017, Саратовская обл., г. Саратов, ул. Новоузенская, д. 8</t>
  </si>
  <si>
    <t>350059, Краснодарский кр., г. Краснодар, ул. Уральская, д. 134</t>
  </si>
  <si>
    <t>115114, г. Москва, ул. Кожевническая, д. 10 стр. 1 пом. 2-8,12-18 этаж 06 (Бизнес-центр «Спутник»)</t>
  </si>
  <si>
    <t>117465, г. Москва, ул. Генерала Тюленева, д. 41А</t>
  </si>
  <si>
    <t>121170, г. Москва, ул. Поклонная, д. 3 этаж 5 пом. 95 (Деловой центр «Парк Победы»)</t>
  </si>
  <si>
    <t>121170, г. Москва, вн.тер.г. муниципальный округ Дорогомилово, ул Поклонная, д. 3, этаж 5, помещ. 28 (Деловой центр «Парк Победы»)</t>
  </si>
  <si>
    <t>658007, Алтайский кр., Тальменский район, пос. Среднесибирский, ул. Юбилейная, д. 2 каб. 1</t>
  </si>
  <si>
    <t>307170, Курская обл., г. Железногорск, ул. Ленина, д. 21</t>
  </si>
  <si>
    <t>457218, Челябинская обл., Варненский район, пос. Красноармейский, промзона Владение 1, стр. 1</t>
  </si>
  <si>
    <t>248001, Калужская обл, г.о. город Калуга, г Калуга, ул Кирова, зд. 2, помещ. 3 ОФИС 507</t>
  </si>
  <si>
    <t>142072, Московская обл., г. Домодедово, тер. Триколор (Востряково Мкр.) стр. 24</t>
  </si>
  <si>
    <t>142641, Московская обл., г. Орехово-Зуево, д. Давыдово, ул. Заводская, д. 1</t>
  </si>
  <si>
    <t>142802, Московская обл., г. Ступино, ул. Достоевского, д. 1 пом. 1</t>
  </si>
  <si>
    <t>115184, г. Москва, набережная Озерковская, д. 28 стр. 1</t>
  </si>
  <si>
    <t>125430, г. Москва, ул. Митинская, д. 16 этаж 14 пом. 1406Б (Многофункциональный комплекс "YES" (Йес))</t>
  </si>
  <si>
    <t>658391, Алтайский кр., Шипуновский район, с. Шипуново, ул. Шукшина, д. 1А</t>
  </si>
  <si>
    <t>630004, Новосибирская обл., г. Новосибирск, ул. Ленина, д. 48 этаж 3 офис 36</t>
  </si>
  <si>
    <t>620017, Свердловская обл., г. Екатеринбург, проспект Космонавтов, д. 11Б литера д</t>
  </si>
  <si>
    <t>143604, Московская обл., г. Волоколамск, ул. Ямская, д. 33 к. А</t>
  </si>
  <si>
    <t>620027, Свердловская обл., г. Екатеринбург, ул. Вокзальная стр. 12 офис 208</t>
  </si>
  <si>
    <t>109542, г. Москва, проспект Рязанский, д. 86/1 стр. 3 этаж / пом. / ком. 3/IV/16/4 (Бизнес-центр «Apple Tower строение 3»)</t>
  </si>
  <si>
    <t>420107, Татарстан респ., г. Казань, ул. Островского, д. 84 офис 407 (Бизнес-центр на Ул. Островского, 84)</t>
  </si>
  <si>
    <t>143132, Московская обл., г. Руза, рабочий пос. Тучково, ул. Партизан, д. 49</t>
  </si>
  <si>
    <t>355037, Ставропольский кр., г. Ставрополь, ул. Доваторцев, д. 36</t>
  </si>
  <si>
    <t>125371, г. Москва, шоссе Волоколамское, д. 81 к. 2</t>
  </si>
  <si>
    <t>117630, г. Москва, ул. Обручева, д. 23 этаж 8, каб. 7</t>
  </si>
  <si>
    <t>455013, Челябинская обл, г.о. Магнитогорский, г Магнитогорск, ул Лазника, д. 19, офис 1</t>
  </si>
  <si>
    <t>117418, г. Москва, ул. Зюзинская, д. 6 к. 2 пом. XV ком. 34</t>
  </si>
  <si>
    <t>630024, Новосибирская обл., г. Новосибирск, ул. Ватутина, д. 38В этаж 3 пом. 1</t>
  </si>
  <si>
    <t>124498, г. Москва, г. Зеленоград, проспект Георгиевский, д. 5 ТЕХ этаж 5 пом. I ком. 40</t>
  </si>
  <si>
    <t>125284, г. Москва, проспект Ленинградский, д. 31АСТР1 этаж 16 пом. I ком. 1, 16</t>
  </si>
  <si>
    <t>393761, Тамбовская обл., г. Мичуринск, ул. Привокзальная, д. 1</t>
  </si>
  <si>
    <t>618909, Пермский кр., г. Лысьва, ул. Революции, д. 58</t>
  </si>
  <si>
    <t>117574, г. Москва, проспект Новоясеневский, д. 6</t>
  </si>
  <si>
    <t>109316, г. Москва, ул. Талалихина, д. 41 стр. 29 этаж 5 пом. 504,505</t>
  </si>
  <si>
    <t>652607, Кемеровская область - Кузбасс, г. Белово, ул. 1-Й Телеут, д. 27</t>
  </si>
  <si>
    <t>117418, г. Москва, ул. Новочерёмушкинская, д. 69 этаж 12 пом. 2 ком. 9</t>
  </si>
  <si>
    <t>462275, Оренбургская обл., г. Медногорск, ул. Заводская, д. 1</t>
  </si>
  <si>
    <t>183038, Мурманская обл., г. Мурманск, проезд Портовый, д. 22</t>
  </si>
  <si>
    <t>115035, г. Москва, ул. Садовническая, д. 8</t>
  </si>
  <si>
    <t>191186, г. Санкт-Петербург, пер. Чебоксарский, д. 1/6 литера А</t>
  </si>
  <si>
    <t>109052, г. Москва, ул. Газгольдерная, д. 12</t>
  </si>
  <si>
    <t>142432, Московская обл., г. Черноголовка, ул. Соединительная, д. 2</t>
  </si>
  <si>
    <t>109029, г. Москва, вн.тер.г. муниципальный округ Нижегородский, ул Средняя Калитниковская, д. 28, стр. 4, этаж/пом/ком 1/VIII/№48</t>
  </si>
  <si>
    <t>410531, Саратовская обл, г.о. город Саратов, с Клещевка, ул Вольская, зд. 1/6, стр. 2, этаж 2</t>
  </si>
  <si>
    <t>682449, Хабаровский край, м.р-н Николаевский, г.п. рабочий поселок Многовершинный, рп Многовершинный, ул Светлая, д. 25, этаж 5, кабинет 501</t>
  </si>
  <si>
    <t>119034, г. Москва, вн.тер.г. муниципальный округ Хамовники, ул Пречистенка, д. 17/9, оф. 1/П</t>
  </si>
  <si>
    <t>450096, Башкортостан Респ, г.о. город Уфа, г Уфа, ул Лесотехникума, д. 26/2, офис ТЕХНИЧЕСКИЙ ЭТАЖ Б/Н</t>
  </si>
  <si>
    <t>117105, г. Москва, шоссе Варшавское, д. 1 стр. 1-2 офис А709</t>
  </si>
  <si>
    <t>107023, г. Москва, ул. Электрозаводская, д. 52 стр. 4 этаж 3, пом. 5 (Бизнес-центр «Колибрис строение 4»)</t>
  </si>
  <si>
    <t>121353, г. Москва, ул. Беловежская, д. 4 блок Б (Бизнес-центр «Western Gate»)</t>
  </si>
  <si>
    <t>197701, г. Санкт-Петербург, г. Сестрорецк, шоссе Левашовское, д. 20 к. 2 стр. 1</t>
  </si>
  <si>
    <t>123112, г. Москва, набережная Пресненская, д. 6 стр. 2 (Деловой комплекс "Империя")</t>
  </si>
  <si>
    <t>121471, г. Москва, вн.тер.г. муниципальный округ Можайский, ул Гродненская, д. 10, этаж/помещ./ком. 1/II/8</t>
  </si>
  <si>
    <t>454007, Челябинская обл., г. Челябинск, проспект Ленина, д. 3 каб. 312</t>
  </si>
  <si>
    <t>685004, Магаданская обл., г. Магадан, ул. Речная, д. ЗД. 79/1</t>
  </si>
  <si>
    <t>115054, г. Москва, ул. Валовая, д. 35 (Бизнес-центр «Wall Street»)</t>
  </si>
  <si>
    <t>121151, г. Москва, набережная Тараса Шевченко, д. 23А этаж цок. 02 пом. I Ч. ком. 72 (Бизнес-центр «Башня 2000 (Башня Багратион)»)</t>
  </si>
  <si>
    <t>121609, г. Москва, вн.тер.г. муниципальный округ Крылатское, ул Осенняя, д. 23, оф. 69А, ком. 114А</t>
  </si>
  <si>
    <t>195112, г. Санкт-Петербург, проспект Малоохтинский, д. 64 литера Б пом. 24Н (Бизнес-центр «Санкт-Петербург Плаза корпус 2»)</t>
  </si>
  <si>
    <t>119180, г. Москва, набережная Якиманская, д. 4 стр. 1 (Бизнес-квартал «Голутвинская Слобода»)</t>
  </si>
  <si>
    <t>143404, Московская обл., г. Красногорск, ул. Райцентр, д. 8-А</t>
  </si>
  <si>
    <t>109316, г. Москва, вн.тер.г. муниципальный округ Текстильщики, пр-кт Волгоградский, д. 41, к. 2</t>
  </si>
  <si>
    <t>385633, Адыгея респ., Гиагинский район, пос. Новый, ул. Веселая, д. 1 к. А</t>
  </si>
  <si>
    <t>440031, Пензенская обл., г. Пенза, ул. Курская, д. 70</t>
  </si>
  <si>
    <t>454080, Челябинская обл., г. Челябинск, ул. Труда, д. 166 офис 7</t>
  </si>
  <si>
    <t>606910, Нижегородская обл., г. Шахунья, ул. Пархоменко, д. 16</t>
  </si>
  <si>
    <t>309993, Белгородская обл., Валуйский район, г. Валуйки, ул. Суржикова, д. 76</t>
  </si>
  <si>
    <t>243550, Брянская обл., Погарский район, пгт. Погар, ул. Полевая, д. 2</t>
  </si>
  <si>
    <t>142300, Московская обл., г. Чехов, шоссе Симферопольское, д. 2</t>
  </si>
  <si>
    <t>446800, Самарская обл., Кошкинский район, с. Кошки, квартал 4-Й, д. 12 пом. 1</t>
  </si>
  <si>
    <t>620027, Свердловская обл., г. Екатеринбург, ул. Мамина-Сибиряка стр. 36 офис 200</t>
  </si>
  <si>
    <t>352925, Краснодарский кр., г. Армавир, ул. Мичурина, д. 2 литера А пом. 24</t>
  </si>
  <si>
    <t>119619, г. Москва, ул. Производственная, д. 11 стр. 8 этаж 3 ком. 24</t>
  </si>
  <si>
    <t>153006, Ивановская обл., г. Иваново, проезд 11-Й, д. 13 литера А17 офис 1-20</t>
  </si>
  <si>
    <t>678860, Саха /Якутия/ респ., Момский у., с. Хонуу, ул. Им. Егора Старостина, д. 10</t>
  </si>
  <si>
    <t>601123, Владимирская обл., Петушинский район, г. Покров, ул. Франца Штольверка, д. 10</t>
  </si>
  <si>
    <t>127006, г. Москва, пер. Оружейный, д. 41 (Многофункциональный комплекс «Оружейный»)</t>
  </si>
  <si>
    <t>630108, Новосибирская обл., г. Новосибирск, ул. Станционная, д. 30А к. 15 этаж 3</t>
  </si>
  <si>
    <t>123298, г. Москва, ул. 3-Я Хорошёвская, д. 7 стр. 3</t>
  </si>
  <si>
    <t>624000, Свердловская обл., Сысертский район, г. Арамиль, ул. Клубная, д. 25</t>
  </si>
  <si>
    <t>152025, Ярославская обл., г. Переславль-Залесский, пл. Менделеева, д. 2-Г к. 55</t>
  </si>
  <si>
    <t>167026, Коми респ., г. Сыктывкар, проспект Бумажников, д. 2</t>
  </si>
  <si>
    <t>355035, Ставропольский кр., г. Ставрополь, проспект Кулакова, д. 4 к. 1 офис 73</t>
  </si>
  <si>
    <t>355035, Ставропольский кр., г. Ставрополь, проспект Кулакова, д. 4 к. 1 офис 67</t>
  </si>
  <si>
    <t>350012, Краснодарский кр., г. Краснодар, ул. Заполярная, д. 35 к. 10 офис 18</t>
  </si>
  <si>
    <t>197110, г. Санкт-Петербург, вн.тер.г. муниципальный округ округ Петровский, ул Большая Разночинная, д. 14, литера А, помещ. 404, 414</t>
  </si>
  <si>
    <t>115184, г. Москва, пер. Средний Овчинниковский, д. 12</t>
  </si>
  <si>
    <t>660077, Красноярский кр., г. Красноярск, ул. 78 Добровольческой Бригады, д. 15 пом. 266 (Бизнес-центр «Первая башня»)</t>
  </si>
  <si>
    <t>625023, Тюменская обл., г. Тюмень, ул. Харьковская, д. 83А к. 4 офис 312</t>
  </si>
  <si>
    <t>119435, г. Москва, пер. Большой Саввинский, д. 9 стр. 1 ком. 34 этаж 4</t>
  </si>
  <si>
    <t>196158, г. Санкт-Петербург, ул. Звёздная, д. 1 литера А пом. 17Н</t>
  </si>
  <si>
    <t>123557, г. Москва, ул. Пресненский Вал, д. 14 этаж 10 пом. I ком. 13 (Офисное здание «Административно-офисное здание на Пресненскому Валу, д.14»)</t>
  </si>
  <si>
    <t>456800, Челябинская обл., г. Верхний Уфалей, ул. Чкалова, д. 26</t>
  </si>
  <si>
    <t>117556, г. Москва, вн.тер.г. муниципальный округ Нагорный, ул Фруктовая, д. 8, к. 3</t>
  </si>
  <si>
    <t>117105, г. Москва, ул. Нагатинская, д. 1 стр. 14 офис ОФИСЫ 1-14</t>
  </si>
  <si>
    <t>125124, г. Москва, ул. Правды, д. 26 этаж 11 пом. XXIX ком. 1 (Бизнес-центр «Северное Сияние»)</t>
  </si>
  <si>
    <t>430001, Мордовия респ., г. Саранск, ул. Большевистская, д. 117 к. А</t>
  </si>
  <si>
    <t>431700, Мордовия респ., Чамзинский район, рабочий пос. Чамзинка, ул. Лесная, д. ЗД. 3Б</t>
  </si>
  <si>
    <t>, Мордовия Респ, м.р-н Чамзинский, г.п. Комсомольское, рп Комсомольский, ул Промышленная, д. 1</t>
  </si>
  <si>
    <t>664024, Иркутская обл., г. Иркутск, ул. Трактовая, д. 18А каб. 5</t>
  </si>
  <si>
    <t>354068, Краснодарский кр., г. Сочи, ул. Новая Заря (Центральный Р-Н), д. 7</t>
  </si>
  <si>
    <t>117292, г. Москва, ул. Профсоюзная, д. 3 офис 412 (Бизнес-центр)</t>
  </si>
  <si>
    <t>119361, г. Москва, ул. Большая Очаковская, д. 47А стр. 1 пом. 64 этаж 7</t>
  </si>
  <si>
    <t>188641, Ленинградская обл., Всеволожский район, пос. Ковалево, ул. Поперечная, д. 15</t>
  </si>
  <si>
    <t>188679, Ленинградская обл., Всеволожский район, пос. Имени Морозова, ул. Чекалова, д. 3</t>
  </si>
  <si>
    <t>198035, г. Санкт-Петербург, ул. Межевой Канал, д. 5 литера А-А1 офис 203</t>
  </si>
  <si>
    <t>236039, Калининградская обл., г. Калининград, ул. А.Суворова, д. 57 каб. 405</t>
  </si>
  <si>
    <t>121087, г. Москва, ул. Тучковская, д. 9А ком. 16 (Бизнес-центр на Ул. Тучковская, 9А)</t>
  </si>
  <si>
    <t>198095, г. Санкт-Петербург, пер. Майков, д. 8 к. 1, литера А пом. 8Н, офис 215</t>
  </si>
  <si>
    <t>353535, Краснодарский край, м.р-н Темрюкский, с.п. Таманское, п Волна, тер. Морской порт Тамань, д. 2, офис 1</t>
  </si>
  <si>
    <t>111024, г. Москва, ул. Душинская, д. 7 стр. 1 этаж 3 часть ком. 327 (Бизнес-центр )</t>
  </si>
  <si>
    <t>121087, г. Москва, ул. Большая Филёвская, д. 2</t>
  </si>
  <si>
    <t>127254, г. Москва, проезд Огородный, д. 9А стр. 1 (Торговый центр «Азимут»)</t>
  </si>
  <si>
    <t>105005, г. Москва, пер. Плетешковский, д. 2 (Бизнес-центр в Плетешковском Переулке, 2)</t>
  </si>
  <si>
    <t>119017, г. Москва, ул. Новокузнецкая, д. 26/8 стр. 1</t>
  </si>
  <si>
    <t>115054, г. Москва, вн.тер.г. муниципальный округ Замоскворечье, пер 5-й Монетчиковский, д. 18, ком. 12/5</t>
  </si>
  <si>
    <t>105120, г. Москва, пер. Мрузовский, д. 11 стр. 1</t>
  </si>
  <si>
    <t>129626, г. Москва, ул. Павла Корчагина, д. 2 этаж 5 пом. I ком. 18 (Бизнес-центр «Павла Корчагина 2»)</t>
  </si>
  <si>
    <t>125195, г. Москва, вн.тер.г. муниципальный округ Левобережный, ш Ленинградское, д. 59</t>
  </si>
  <si>
    <t>115432, г. Москва, ул. 5-Я Кожуховская, д. 16</t>
  </si>
  <si>
    <t>101000, г. Москва, пер. Сверчков, д. 4/1</t>
  </si>
  <si>
    <t>123056, г. Москва, вн.тер.г. муниципальный округ Пресненский, ул 2-я Брестская, д. 5, помещ. 1/1</t>
  </si>
  <si>
    <t>249096, Калужская обл., Малоярославецкий район, г. Малоярославец, ул. Кутузова, д. 28 пом. 67</t>
  </si>
  <si>
    <t>141402, Московская обл., г. Химки, шоссе Шереметьевское, владение 28</t>
  </si>
  <si>
    <t>109316, г. Москва, проспект Волгоградский, д. 42 к. 36</t>
  </si>
  <si>
    <t>111524, г. Москва, ул. Электродная, д. 2 стр. 12-13-14 этаж 4, пом. II, ком. 2</t>
  </si>
  <si>
    <t>129110, г. Москва, проспект Мира, д. 41 стр. 2 (Бизнес-центр на Проспекте Мира, 41С2)</t>
  </si>
  <si>
    <t>105066, г. Москва, ул. Нижняя Красносельская, д. 40/12 к. 20 этаж 7 офис 729</t>
  </si>
  <si>
    <t>111524, г. Москва, проезд Фрезер, д. 2</t>
  </si>
  <si>
    <t>119071, г. Москва, проспект Ленинский, д. 17</t>
  </si>
  <si>
    <t>142700, Московская обл, г.о. Ленинский, г Видное, ш Белокаменное, влд. 13</t>
  </si>
  <si>
    <t>129090, г. Москва, пер. 1-Й Коптельский, д. 16 стр. 4</t>
  </si>
  <si>
    <t>125040, г. Москва, проспект Ленинградский, д. 26 к. 1</t>
  </si>
  <si>
    <t>249950, Калужская обл., Медынский район, г. Медынь, ул. Карла Либкнехта, д. 133</t>
  </si>
  <si>
    <t>127051, г. Москва, бульвар Цветной, д. 17 пом. 14</t>
  </si>
  <si>
    <t>143082, Московская обл., г. Одинцово, д. Раздоры, км. 1-Й (Рублево-Успенское Шоссе Тер.), д. 1 корп. / этаж Б/9 каб. 901</t>
  </si>
  <si>
    <t>143026, Московская обл., г. Одинцово, рабочий пос. Новоивановское, шоссе Можайское, владение 165 пом. 4(2 этаж )</t>
  </si>
  <si>
    <t>142281, Московская обл, г.о. Протвино, г Протвино, ул Ленина, д. 22, помещ. 215</t>
  </si>
  <si>
    <t>143421, Московская обл, г.о. Красногорск, автодорога Балтия, тер 26 км бизнес-центр Рига-Ленд, этаж 7, помещ. 2, ком. 1</t>
  </si>
  <si>
    <t>107031, г. Москва, ул. Кузнецкий Мост, д. 3 стр. 1 каб. 1305</t>
  </si>
  <si>
    <t>127994, г. Москва, ул. Дмитровка М., д. 23/15 стр. 1</t>
  </si>
  <si>
    <t>127994, г. Москва, ул. Дмитровка М., д. 23/15 стр. 1 ком. 319</t>
  </si>
  <si>
    <t>108820, г. Москва, Мосрентген пос., км. Киевское Ш 21-Й, д. 3 стр. 1 этаж 3 пом. LXXI</t>
  </si>
  <si>
    <t>117246, г. Москва, проезд Научный, д. 13 этаж / пом. / ком. 8/XIII/14 (Бизнес-центр в Научном Проезде, 13)</t>
  </si>
  <si>
    <t>440026, Пензенская обл, г.о. город Пенза, г Пенза, ул Карла Маркса, д. 34</t>
  </si>
  <si>
    <t>129090, г. Москва, пер. Протопоповский, д. 25КБ</t>
  </si>
  <si>
    <t>108833, г. Москва, Михайлово-Ярцевское пос., пос. Шишкин Лес, д. 44 стр. 1 этаж / ком. 2/24</t>
  </si>
  <si>
    <t>628408, Ханты-Мансийский Автономный Округ - Югра, г. Сургут, ул. Энергетиков, д. 26</t>
  </si>
  <si>
    <t>121087, г. Москва, ул. Барклая, д. 6 стр. 5 (Бизнес-центр «Barklay Plaza (Барклай Плаза)» )</t>
  </si>
  <si>
    <t>123182, г. Москва, ул. Щукинская, д. 2 этаж 5 пом. 41</t>
  </si>
  <si>
    <t>141402, Московская обл., г. Химки, ул. Пролетарская, д. 18</t>
  </si>
  <si>
    <t>117312, г. Москва, ул. Вавилова, д. 9</t>
  </si>
  <si>
    <t>214031, Смоленская обл., г. Смоленск, ул. Смольянинова, д. 3</t>
  </si>
  <si>
    <t>121609, г. Москва, вн.тер.г. муниципальный округ Крылатское, б-р Осенний, д. 23, этаж 4, помещ. I/ КОМ. 9 (Бизнес-центр «Крылатский»)</t>
  </si>
  <si>
    <t>357112, Ставропольский край, г.о. город Невинномысск, г Невинномысск, ул Менделеева, стр. 37, помещ. 9</t>
  </si>
  <si>
    <t>105082, г. Москва, ул. Фридриха Энгельса, д. 75 стр. 21 этаж 4 офис 402Т1 (Бизнес-центр «Иткол-Бауманская»)</t>
  </si>
  <si>
    <t>119526, г. Москва, проспект Вернадского, д. 101 к. 3 этаж / каб. 20/2017</t>
  </si>
  <si>
    <t>115088, г. Москва, ул. Южнопортовая, д. 17 стр. 3</t>
  </si>
  <si>
    <t>123007, г. Москва, шоссе Каширское, д. 70 к. 3 этаж 3 каб. 16</t>
  </si>
  <si>
    <t>308019, Белгородская обл., г. Белгород, ул. Ворошилова, д. 2Б</t>
  </si>
  <si>
    <t>109028, г. Москва, пер. Хохловский, д. 16 стр. 1 этаж 4 пом. II каб. 3-4 (Бизнес-центр в Хохловском Переулке, 16С1)</t>
  </si>
  <si>
    <t>115201, г. Москва, ул. Котляковская, д. 3 стр. 26</t>
  </si>
  <si>
    <t>143006, Московская обл., г. Одинцово, проезд Транспортный, д. 7</t>
  </si>
  <si>
    <t>121596, г. Москва, ул. Горбунова, д. 4 стр. 3</t>
  </si>
  <si>
    <t>300004, Тульская обл., г. Тула, ул. Щегловская Засека, д. 31 к. 3 офис 321</t>
  </si>
  <si>
    <t>432072, Ульяновская обл., г. Ульяновск, проезд Инженерный 7-Й, д. 1 пом. 252</t>
  </si>
  <si>
    <t>197343, г. Санкт-Петербург, ул. Матроса Железняка, д. 57 литера А пом. 101-Н офис 215</t>
  </si>
  <si>
    <t>431800, Мордовия респ., Атяшевский район, рабочий пос. Атяшево</t>
  </si>
  <si>
    <t>187032, Ленинградская обл., Тосненский район, пос. Тельмана, ул. Красноборская Дорога, д. 6</t>
  </si>
  <si>
    <t>141009, Московская обл., г. Мытищи, пл. Вокзальная, д. 2</t>
  </si>
  <si>
    <t>457410, Челябинская обл, м.р-н Агаповский, с.п. Буранное, п Буранный, ул Автомобилистов, зд. 12А</t>
  </si>
  <si>
    <t>650055, Кемеровская область - Кузбасс, г. Кемерово, проспект Кузнецкий, д. 99</t>
  </si>
  <si>
    <t>352192, Краснодарский кр., Гулькевичский район, г. Гулькевичи, тер. Промзона стр. 1Г офис 3</t>
  </si>
  <si>
    <t>127006, г. Москва, вн.тер.г. муниципальный округ Тверской, ул Дмитровка М., д. 25, стр. 2, этаж 1, ком. 15</t>
  </si>
  <si>
    <t>107564, г. Москва, ул. Краснобогатырская, д. 6 стр. 1 пом. 09 (Бизнес-центр «Villa Riva»)</t>
  </si>
  <si>
    <t>430006, Мордовия респ., г. Саранск, шоссе Александровское, д. 7</t>
  </si>
  <si>
    <t>127015, г. Москва, ул. Новодмитровская, д. 2 к. 2 пом. XXXI</t>
  </si>
  <si>
    <t>141031, Московская обл, г.о. Мытищи, п Нагорное, ул Центральная, влд. 3, стр. 1, этаж 3, помещ. 33</t>
  </si>
  <si>
    <t>194044, г. Санкт-Петербург, проспект Большой Сампсониевский, д. 28 к. 2 литера д пом. 45-Н, №1-55</t>
  </si>
  <si>
    <t>455000, Челябинская обл., г. Магнитогорск, ул. Кирова, д. 93 к. ИНЖЕНЕРНЫЙ каб. 220</t>
  </si>
  <si>
    <t>420054, Татарстан респ., г. Казань, пер. Безымянный, д. 35 пом. 9</t>
  </si>
  <si>
    <t>620026, Свердловская обл., г. Екатеринбург, ул. Мамина-Сибиряка, стр. 140</t>
  </si>
  <si>
    <t>117292, г. Москва, ул. Новочерёмушкинская, д. 18</t>
  </si>
  <si>
    <t>163050, Архангельская обл., г. Архангельск, ул. Дрейера, д. 12 стр. 1</t>
  </si>
  <si>
    <t>119633, г. Москва, вн.тер.г. муниципальный округ Ново-Переделкино, ул Новоорловская, д. 7</t>
  </si>
  <si>
    <t>123007, г. Москва, ул. 3-Я Магистральная, д. 12 стр. 1 этаж 3 офис 131 ком. 21</t>
  </si>
  <si>
    <t>683031, Камчатский кр., г. Петропавловск-Камчатский, ул. Топоркова, д. 9/6 пом. 1</t>
  </si>
  <si>
    <t>107078, г. Москва, вн.тер.г. муниципальный округ Красносельский, пер Орликов, д. 5, стр. 1А, этаж/ком. 1/115 (Бизнес-центр «Orlikov Plaza строение 1А»)</t>
  </si>
  <si>
    <t>656056, Алтайский кр., г. Барнаул, ул. Пролетарская, д. 50</t>
  </si>
  <si>
    <t>119049, г. Москва, ул. Шаболовка, д. 10 к. 2</t>
  </si>
  <si>
    <t>602262, Владимирская обл., г. Муром, ул. Стахановская, д. 22А</t>
  </si>
  <si>
    <t>117485, г. Москва, ул. Обручева, д. 30/1 стр. 2 этаж / пом. / ком. 3/XXIIБ/С №№8 ПО 29 (Бизнес-центр «Кругозор строение 2»)</t>
  </si>
  <si>
    <t>142701, Московская обл, г.о. Ленинский, д Пуговичино, тер Промзона Пуговичино, влд. 4, ком. 4.05</t>
  </si>
  <si>
    <t>141079, Московская обл., г. Королёв, ул. Гагарина, д. 10А пом. 011</t>
  </si>
  <si>
    <t>119607, г. Москва, ул. Раменки, д. 17 к. 1</t>
  </si>
  <si>
    <t>141100, Московская обл, г.о. Щёлково, г Щёлково, ул Заречная, стр. 117В, офис 1</t>
  </si>
  <si>
    <t>123423, г. Москва, вн.тер.г. муниципальный округ Хорошево-Мневники, ул Нижние Мнёвники, д. 37А</t>
  </si>
  <si>
    <t>111024, г. Москва, вн.тер.г. муниципальный округ Лефортово, ул Авиамоторная, д. 10, к. 1, этаж 4, пом./комн. XII/30</t>
  </si>
  <si>
    <t>115407, г. Москва, ул. Речников, д. 7</t>
  </si>
  <si>
    <t>197341, г. Санкт-Петербург, шоссе Фермское, д. 32 литера А пом. 81Н, офис 1</t>
  </si>
  <si>
    <t>143050, Московская обл., г. Одинцово, д. Малые Вязёмы, проезд Петровский, владение 2 стр. 2 офис 316</t>
  </si>
  <si>
    <t>170002, Тверская обл., г. Тверь, ул. Коминтерна, д. 18</t>
  </si>
  <si>
    <t>123112, г. Москва, набережная Пресненская, д. 10 этаж 25 пом. I ком. 13 (Бизнес-центр «Naberezhnaya Tower»)</t>
  </si>
  <si>
    <t>125047, г. Москва, ул. Лесная, д. 28 стр. 3</t>
  </si>
  <si>
    <t>302025, Орловская обл., г. Орёл, шоссе Московское, д. 173</t>
  </si>
  <si>
    <t>121471, г. Москва, шоссе Можайское, д. 25 ком. №3. 45-47</t>
  </si>
  <si>
    <t>121151, г. Москва, ул. Можайский Вал, д. 8 этаж / пом. / ком. 13/XCI/7 (Многофункциональный комплекс «Atlantic»)</t>
  </si>
  <si>
    <t>105118, г. Москва, шоссе Измайловское, д. 6 пом. 12</t>
  </si>
  <si>
    <t>143401, Московская обл., г. Красногорск, бульвар Строителей, д. 4 к. 1 пом. / этаж / ком. XX/8/7</t>
  </si>
  <si>
    <t>115432, г. Москва, вн.тер.г. муниципальный округ Даниловский, пр-кт Андропова, д. 18, к. 9, этаж 16, помещ. 35</t>
  </si>
  <si>
    <t>109147, г. Москва, ул. Марксистская, д. 4</t>
  </si>
  <si>
    <t>109147, г. Москва, ул. Марксистская, д. 22 стр. 1 (Бизнес-центр)</t>
  </si>
  <si>
    <t>109429, г. Москва, ул. Верхние Поля, д. 51 стр. 1</t>
  </si>
  <si>
    <t>119180, г. Москва, ул. Большая Полянка, д. 2 стр. 2 пом. I ком. 24</t>
  </si>
  <si>
    <t>192236, г. Санкт-Петербург, ул. Софийская, д. 14 литера А</t>
  </si>
  <si>
    <t>109147, г. Москва, ул. Воронцовская, д. 43 стр. 1</t>
  </si>
  <si>
    <t>125196, г. Москва, вн.тер.г. муниципальный округ Тверской, пер 4-й Лесной, д. 13, эт./пом./ком. 7/I/11</t>
  </si>
  <si>
    <t>613711, Кировская обл., Мурашинский район, г. Мураши, ул. Гаражная, д. 10</t>
  </si>
  <si>
    <t>192236, г. Санкт-Петербург, ул. Софийская, д. 6 к. 8 стр. 1 пом. 1-Н офис 11</t>
  </si>
  <si>
    <t>183038, Мурманская обл., г. Мурманск, ул. Карла Маркса, д. 28</t>
  </si>
  <si>
    <t>183038, Мурманская обл, г.о. город Мурманск, г Мурманск, ул Шмидта, соор. 14</t>
  </si>
  <si>
    <t>183038, Мурманская обл, г.о. город Мурманск, г Мурманск, ул Шмидта, д. 43, офис 401</t>
  </si>
  <si>
    <t>602253, Владимирская обл., г. Муром, проезд Кирова, д. 21</t>
  </si>
  <si>
    <t>446100, Самарская обл., г. Чапаевск, ул. Пионерская, д. 2</t>
  </si>
  <si>
    <t>602240, Владимирская обл., г. Муром, проезд Меленковский, д. 6</t>
  </si>
  <si>
    <t>123290, г. Москва, ул. 2-Я Магистральная, д. 18 стр. 22</t>
  </si>
  <si>
    <t>350051, Краснодарский кр., г. Краснодар, ул. Рашпилевская, д. 325</t>
  </si>
  <si>
    <t>117513, г. Москва, проспект Ленинский, д. 137 к. 1 пом. II</t>
  </si>
  <si>
    <t>141446, Московская обл., г. Химки, ул. Центральная (Подрезково Мкр.), д. 2/5</t>
  </si>
  <si>
    <t>603093, Нижегородская обл., г. Нижний Новгород, ул. Родионова, д. 192 к. 1</t>
  </si>
  <si>
    <t>115093, г. Москва, ул. Большая Серпуховская, д. 8/7 стр. 2</t>
  </si>
  <si>
    <t>107031, г. Москва, пл. Трубная, д. 2 этаж 1 пом. I ком. 55 (Многофункциональный комплекс «Neglinnaya Plaza»)</t>
  </si>
  <si>
    <t>194362, г. Санкт-Петербург, пос. Парголово, шоссе Выборгское, д. 224 корп. Л.А</t>
  </si>
  <si>
    <t>123007, г. Москва, проезд 3-Й Хорошёвский, д. 1А стр. 2</t>
  </si>
  <si>
    <t>107061, г. Москва, пл. Преображенская, д. 8 этаж 7 пом. XLV (Бизнес-центр «Preo 8»)</t>
  </si>
  <si>
    <t>125493, г. Москва, ул. Флотская, д. 5Б</t>
  </si>
  <si>
    <t>660022, Красноярский край, г.о. город Красноярск, г Красноярск, ул Партизана Железняка, д. 35А, помещ. 11 (Бизнес-центр «Сириус»)</t>
  </si>
  <si>
    <t>115191, г. Москва, ул. Серпуховский Вал, д. 17 к. 1</t>
  </si>
  <si>
    <t>108811, г. Москва, км. Киевское Шоссе 22-Й (П Московский), домовладение 6 стр. 1 этаж , пом. , ком. 5,1,17</t>
  </si>
  <si>
    <t>455022, Челябинская обл., г. Магнитогорск, шоссе Белорецкое, д. 11 каб. 216</t>
  </si>
  <si>
    <t>397741, Воронежская обл, м.р-н Бобровский, с.п. Хреновское, с Хреновое, ул Красная, стр. 59В</t>
  </si>
  <si>
    <t>462800, Оренбургская обл., Новоорский район, пос. Новоорск, ул. Новая, д. 7/1 офис 4</t>
  </si>
  <si>
    <t>652849, Кемеровская область - Кузбасс, г. Мыски, бульвар Юбилейный, д. 2</t>
  </si>
  <si>
    <t>676850, Амурская обл., г. Белогорск, ул. Производственная, д. 18</t>
  </si>
  <si>
    <t>143420, Московская обл., г. Красногорск, км. 25 к. ТОРГ. СКЛ. КОМПЛЕКС ком. 2</t>
  </si>
  <si>
    <t>143420, Московская обл., г. Красногорск, д. Михалково, дор. Балтия, д. 25 км. ТСК АВТ PEUGEOT литера 9Б этаж 1 пом. 1 каб. 1</t>
  </si>
  <si>
    <t>143420, Московская обл., г. Красногорск, км. 25, СКЛАД. КОМП. КУЛ. БАЛТ ком. 67</t>
  </si>
  <si>
    <t>143420, Московская обл., г. Красногорск, км. 25, СКЛАД. КОМП КУЛ. БАЛТ ком. 1</t>
  </si>
  <si>
    <t>143420, Московская обл., г. Красногорск, д. Михалково, ВБЛИЗИ МИХАЛКОВО здание СКЛАДСКОГО КОМПЛЕКСА литера 1Б</t>
  </si>
  <si>
    <t>143420, Московская обл., Красногорский район, пос. Архангельское, д. 25 км. А/М "БАЛТИЯ" корп. СКЛАДСКОЙ КОМПЛЕКС "КУЛОН БАЛТИЯ" ИНВ № 30-7153/1 каб. 119</t>
  </si>
  <si>
    <t>143420, Московская обл., г. Красногорск, д. Михалково здание СКЛАДСКОГО корп. , литера 1Б</t>
  </si>
  <si>
    <t>143420, Московская обл., г. Красногорск, д. Михалково, ЗД. СКЛАДСКОГО КОМПЛЕКСА литера 1Б пом. 92</t>
  </si>
  <si>
    <t>143420, Московская обл., г. Красногорск, км. 25, СКЛАД. КОМП КУЛ. БАЛТ пом. 43</t>
  </si>
  <si>
    <t>143420, Московская обл, г.о. Красногорск, д Михалково, дор Балтия, влд. 24, литер 1Б, этаж 2 ПОМЕЩ. 23</t>
  </si>
  <si>
    <t>140009, Московская обл., г. Люберцы, ул. Митрофанова, д. 20А офис 18</t>
  </si>
  <si>
    <t>603155, Нижегородская обл., г. Нижний Новгород, ул. Максима Горького, д. 195 пом. 18, офис 301 (Бизнес-центр «Пентхаус Палас»)</t>
  </si>
  <si>
    <t>455038, Челябинская обл., г. Магнитогорск, ул. Советской Армии, д. 8 к. 1</t>
  </si>
  <si>
    <t>107143, г. Москва, проезд 2-Й Иртышский, д. 11</t>
  </si>
  <si>
    <t>190103, г. Санкт-Петербург, ул. 10-Я Красноармейская, д. 22 литера А пом. 1-Н 6 этаж</t>
  </si>
  <si>
    <t>125124, г. Москва, ул. 3-Я Ямского Поля, д. 2 к. 13 этаж 4 пом. XII ком. 36А</t>
  </si>
  <si>
    <t>125445, г. Москва, ул. Смольная, д. 24 д (Бизнес-центр «Meridian»)</t>
  </si>
  <si>
    <t>183034, Мурманская обл., г. Мурманск, ул. Свердлова, д. 39 к. 1</t>
  </si>
  <si>
    <t>115533, г. Москва, ул. Нагатинская, д. 5</t>
  </si>
  <si>
    <t>123182, г. Москва, ул. Щукинская, д. 2 этаж 2 ком. 39Е</t>
  </si>
  <si>
    <t>620049, Свердловская обл., г. Екатеринбург, ул. Софьи Ковалевской, д. 3 офис 305</t>
  </si>
  <si>
    <t>600009, Владимирская обл., г. Владимир, ул. Полины Осипенко, д. 65 офис 10</t>
  </si>
  <si>
    <t>115372, г. Москва, ул. Бирюлёвская, д. 38</t>
  </si>
  <si>
    <t>344055, Ростовская обл., г. Ростов-На-Дону, ул. Совхозная, д. 2 к. А</t>
  </si>
  <si>
    <t>308581, Белгородская обл., Белгородский район, с. Бессоновка, ул. Партизанская, д. 7А</t>
  </si>
  <si>
    <t>397700, Воронежская обл., Бобровский район, г. Бобров, ул. Комсомольская, д. 1</t>
  </si>
  <si>
    <t>188640, Ленинградская обл., Всеволожский район, г. Всеволожск, проспект Всеволожский, д. 116 литера А1</t>
  </si>
  <si>
    <t>297012, Крым респ., Красногвардейский район, с. Петровка, тер. Промышленная Зона, стр. 1</t>
  </si>
  <si>
    <t>141601, Московская обл., г. Клин, ул. Дурыманова, д. 12</t>
  </si>
  <si>
    <t>617472, Пермский кр., г. Кунгур, ул. Боровая, д. 2</t>
  </si>
  <si>
    <t>143581, Московская обл., г. Истра, с. Павловская Слобода, ул. Ленина, д. 75</t>
  </si>
  <si>
    <t>140109, Московская обл., г. Раменское, ул. Красноармейская, д. 131 ком. 10</t>
  </si>
  <si>
    <t>141895, Московская обл., г. Дмитров, пос. Совхоза Останкино, ул. Дорожная стр. 59</t>
  </si>
  <si>
    <t>142111, Московская обл., г. Подольск, проезд Художественный, д. 2 д</t>
  </si>
  <si>
    <t>353720, Краснодарский кр., Каневской район, станица Стародеревянковская, ул. Комсомольская, д. 31</t>
  </si>
  <si>
    <t>352193, Краснодарский кр., Гулькевичский район, г. Гулькевичи, ул. Тимирязева, д. 2А</t>
  </si>
  <si>
    <t>107061, г. Москва, ул. Хромова, д. 20 (Бизнес-центр )</t>
  </si>
  <si>
    <t>423847, Татарстан респ., Тукаевский район, д. Малая Шильна, ул. Элеваторская, д. 18</t>
  </si>
  <si>
    <t>394026, Воронежская обл., г. Воронеж, ул. Краснодонская, д. 22 офис 1</t>
  </si>
  <si>
    <t>355035, Ставропольский кр., г. Ставрополь, шоссе Старомарьевское, д. 21</t>
  </si>
  <si>
    <t>624134, Свердловская обл., г. Новоуральск, ул. Чурина, д. 8А</t>
  </si>
  <si>
    <t>117342, г. Москва, вн.тер.г. муниципальный округ Коньково, ул Профсоюзная, д. 65, к. 1, этаж 16, ком. 5.01</t>
  </si>
  <si>
    <t>127273, г. Москва, ул. Отрадная, д. 2Б стр. 1 (Бизнес-центр «Фаза II здание А»)</t>
  </si>
  <si>
    <t>127473, г. Москва, вн.тер.г. муниципальный округ Тверской, пер 2-й Самотёчный, д. 4, эт./помещ. 1/V, ком. 24/25</t>
  </si>
  <si>
    <t>142143, Московская обл, г.о. Подольск, с Покров, ул Полевая, д. 1, литер Б2, скл. 3, помещ. 76</t>
  </si>
  <si>
    <t>603000, Нижегородская обл., г. Нижний Новгород, ул. Костина, д. 13 пом. 28 ком. 7</t>
  </si>
  <si>
    <t>307800, Курская обл., Суджанский район, г. Суджа, ул. К.Маркса, д. 31</t>
  </si>
  <si>
    <t>393192, Тамбовская обл., г. Котовск, ул. Октябрьская, д. 12</t>
  </si>
  <si>
    <t>624992, Свердловская обл., г. Серов, ул. Агломератчиков, д. 6</t>
  </si>
  <si>
    <t>662202, Красноярский кр., г. Назарово, ул. 1-Я Коммунальная, д. 4</t>
  </si>
  <si>
    <t>662217, Красноярский кр., Назаровский район, пос. Степной, ул. Школьная, д. 15</t>
  </si>
  <si>
    <t>117485, г. Москва, ул. Обручева, д. 30/1 стр. 2 (Бизнес-центр «Кругозор строение 2»)</t>
  </si>
  <si>
    <t>142000, Московская обл., г. Домодедово, ул. Логистическая (Северный Мкр.), д. 1/7 этаж / пом. 3/33</t>
  </si>
  <si>
    <t>143405, Московская обл., г. Красногорск, шоссе Ильинское, д. 1А пом. / ком. 38/1 /04</t>
  </si>
  <si>
    <t>127055, г. Москва, ул. Бутырский Вал, д. 68/70 стр. 1 этаж 2 пом. I ком. 23-37 (Бизнес-центр «BakerPlaza»)</t>
  </si>
  <si>
    <t>141503, Московская обл., г. Солнечногорск, ул. Обуховская, д. 9А ком. №6</t>
  </si>
  <si>
    <t>344114, Ростовская обл., г. Ростов-На-Дону, ул. Беляева, д. 28/60 кв. 1</t>
  </si>
  <si>
    <t>196247, г. Санкт-Петербург, пл. Конституции, д. 3 к. 2 литера А пом. 67Н Р.М.3 этаж 21</t>
  </si>
  <si>
    <t>109548, г. Москва, ул. Шоссейная, д. 1 к. 1 пом. III каб. 22</t>
  </si>
  <si>
    <t>197110, г. Санкт-Петербург, вн.тер.г. муниципальный округ Чкаловское, ул Барочная, д. 10, к. 1, литера А, офис 425</t>
  </si>
  <si>
    <t>117418, г. Москва, ул. Зюзинская, д. 6 к. 2 пом. XV ком. 26</t>
  </si>
  <si>
    <t>357207, Ставропольский кр., Минераловодский район, г. Минеральные Воды, ул. Бештаугорская, д. 7В офис 13</t>
  </si>
  <si>
    <t>119334, г. Москва, проспект Ленинский, д. 41/2 пом. VIII ком. 1,2</t>
  </si>
  <si>
    <t>644010, Омская обл., г. Омск, бульвар Мартынова, д. 5</t>
  </si>
  <si>
    <t>111123, г. Москва, вн.тер.г. муниципальный округ Перово, ул Плеханова, д. 4А, этаж 11, помещ. ХХХ, КОМНАТА 14К (Бизнес-центр «Юникон»)</t>
  </si>
  <si>
    <t>123112, г. Москва, набережная Пресненская, д. 6 стр. 2 этаж / пом. 23/I (Деловой комплекс "Империя")</t>
  </si>
  <si>
    <t>630041, Новосибирская обл., г. Новосибирск, ул. Хинганская, д. 1</t>
  </si>
  <si>
    <t>127473, г. Москва, вн.тер.г. муниципальный округ Тверской, ул Селезневская, д. 11А, стр. 2, помещ. 2/3</t>
  </si>
  <si>
    <t>121096, г. Москва, ул. Василисы Кожиной, д. 1 к. 1 этаж 19 ком. 14</t>
  </si>
  <si>
    <t>692904, Приморский кр., г. Находка, ул. Портовая, д. 22</t>
  </si>
  <si>
    <t>127473, г. Москва, пер. 2-Й Волконский, д. 10</t>
  </si>
  <si>
    <t>143409, Московская обл, г.о. Красногорск, г Красногорск, ул Успенская, д. 3, помещ. I, офис 307 (Деловой центр «Успенский корпус 1»)</t>
  </si>
  <si>
    <t>196105, г. Санкт-Петербург, проспект Московский, д. 139 к. 1 стр. 1 пом. 10-Н</t>
  </si>
  <si>
    <t>603058, Нижегородская обл., г. Нижний Новгород, ул. Героя Попова, д. 43В офис 2</t>
  </si>
  <si>
    <t>692904, Приморский кр., г. Находка, ул. Портовая, д. 3А</t>
  </si>
  <si>
    <t>630083, Новосибирская обл., г. Новосибирск, ул. Большевистская, д. 135 пом. 25</t>
  </si>
  <si>
    <t>692911, Приморский кр., г. Находка, ул. Макарова, д. 5</t>
  </si>
  <si>
    <t>115093, г. Москва, пер. Партийный, д. 1 к. 58 стр. 3 офис 320</t>
  </si>
  <si>
    <t>115093, г. Москва, пер. Партийный, д. 1 к. 57 стр. 2</t>
  </si>
  <si>
    <t>115280, г. Москва, ул. Ленинская Слобода, д. 19 (Многофункциональный комплекс «Омега Плаза»)</t>
  </si>
  <si>
    <t>115184, г. Москва, пер. Озерковский, д. 12 (Офисное здание)</t>
  </si>
  <si>
    <t>119048, г. Москва, ул. Ефремова, д. 12 стр. 2 этаж / пом. / ком. /ЧК 6/XIV/3/4,9,10,24,26,27,1,2 (Бизнес-центр «Арбат»)</t>
  </si>
  <si>
    <t>121059, г. Москва, ул. Брянская, д. 5 пом. I ком. 9 этаж 11 (Бизнес-центр «Европа Билдинг»)</t>
  </si>
  <si>
    <t>115088, г. Москва, вн.тер.г. муниципальный округ Печатники, ул Угрешская, д. 2, стр. 15 (Бизнес-квартал «IQ-Park строение 15»)</t>
  </si>
  <si>
    <t>682460, Хабаровский кр., г. Николаевск-На-Амуре, ул. Советская, д. 126</t>
  </si>
  <si>
    <t>141506, Московская обл., г. Солнечногорск, шоссе 61 Км Ленинградское, д. 3</t>
  </si>
  <si>
    <t>192007, г. Санкт-Петербург, ул. Расстанная, д. 18 литера Б пом. 8 Н офис 3 (Бизнес-центр «18.93»)</t>
  </si>
  <si>
    <t>452680, Башкортостан респ., г. Нефтекамск, ул. Индустриальная, д. 15 к. А</t>
  </si>
  <si>
    <t>443532, Самарская обл., Волжский район, пос. Верхняя Подстепновка, ул. Специалистов, д. 29А</t>
  </si>
  <si>
    <t>196247, г. Санкт-Петербург, вн.тер.г. муниципальный округ Новоизмайловское, пл Конституции, д. 3, к. 2, литера А, пом. 64Н</t>
  </si>
  <si>
    <t>199034, г. Санкт-Петербург, вн.тер.г. муниципальный округ № 7, линия 16-я В.О., д. 7, литера А, помещ. 1-Н, часть №97</t>
  </si>
  <si>
    <t>162604, Вологодская обл., г. Череповец, шоссе Кирилловское, д. 47</t>
  </si>
  <si>
    <t>199155, г. Санкт-Петербург, вн.тер.г. муниципальный округ Остров Декабристов, ул Уральская, д. 17, к. 1, литера Д, помещ. 1-Н, 5-Н, офис 212</t>
  </si>
  <si>
    <t>117292, г. Москва, вн.тер.г. муниципальный округ Академический, ул Профсоюзная, д. 3 (Бизнес-центр)</t>
  </si>
  <si>
    <t>680510, Хабаровский кр., Хабаровский район, с. Тополево, ул. Центральная, д. 2 литера д каб. 31</t>
  </si>
  <si>
    <t>198095, г. Санкт-Петербург, вн.тер.г. муниципальный округ Измайловское, ш Митрофаньевское, д. 2, к. 9, литера В, помещ. 85</t>
  </si>
  <si>
    <t>192249, г. Санкт-Петербург, ул. Софийская, д. 60 литера АЩ корп. 32 камера 1</t>
  </si>
  <si>
    <t>190000, г. Санкт-Петербург, бульвар Конногвардейский, д. 4 литера А пом. 50-Н ком. 1-3,6</t>
  </si>
  <si>
    <t>192029, г. Санкт-Петербург, проспект Обуховской Обороны, д. 80</t>
  </si>
  <si>
    <t>188477, Ленинградская обл., Кингисеппский район, д. Вистино, МОРСКОЙ ТОРГОВЫЙ ПОРТ УСТЬ-ЛУГА корп. КОМПЛЕКС НАЛИВНЫХ ГРУЗОВ,ТЕРМИНАЛ ПЕРЕВАЛКИ НЕФТИ</t>
  </si>
  <si>
    <t>162604, Вологодская обл., г. Череповец, шоссе Кирилловское, д. 47 офис 3</t>
  </si>
  <si>
    <t>192019, г. Санкт-Петербург, шоссе Глухоозёрское, д. 15</t>
  </si>
  <si>
    <t>194044, г. Санкт-Петербург, ул. Смолячкова, д. 19 литера А офис 704</t>
  </si>
  <si>
    <t>195009, г. Санкт-Петербург, вн.тер.г. муниципальный округ Финляндский округ, ул Арсенальная, д. 1, к. 2, литера А, помещ. 1Н-23(ЧАСТЬ)</t>
  </si>
  <si>
    <t>628463, Ханты-Мансийский Автономный Округ - Югра, г. Радужный, промзона Южная Промышленная Зона, ул. Индустриальная стр. 60</t>
  </si>
  <si>
    <t>115054, г. Москва, вн.тер.г. муниципальный округ Замоскворечье, ул Щипок, д. 11, стр. 1, помещ./этаж II/2, ком. 9 (Бизнес-центр на Ул. Щипок, 11С1)</t>
  </si>
  <si>
    <t>460000, Оренбургская обл., г. Оренбург, ул. Пушкинская, д. 26</t>
  </si>
  <si>
    <t>624192, Свердловская обл., Невьянский район, г. Невьянск, ул. Вайнера, д. 86Б</t>
  </si>
  <si>
    <t>111396, г. Москва, ул. Фрязевская, д. 10 этаж 5; пом. VI; ком. 9;Ч. ком. 13</t>
  </si>
  <si>
    <t>443022, Самарская обл., г. Самара, проезд Мальцева, д. 9</t>
  </si>
  <si>
    <t>115230, г. Москва, проезд Хлебозаводский, д. 7 стр. 9 этаж 8 пом. XV ком. 18И/5 (Бизнес-центр "Калейдоскоп")</t>
  </si>
  <si>
    <t>606031, Нижегородская обл., г. Дзержинск, проспект Циолковского, д. 71</t>
  </si>
  <si>
    <t>650044, Кемеровская область - Кузбасс, г. Кемерово, ул. Нахимова, д. 30 пом. 538</t>
  </si>
  <si>
    <t>, Ростовская обл, м.р-н Мясниковский, с.п. Чалтырское, тер Юго-Восточная промзона, зд. 10, стр. 2</t>
  </si>
  <si>
    <t>117246, г. Москва, ул. Обручева, д. 55А этаж 1 пом. VII ком. 1</t>
  </si>
  <si>
    <t>125412, г. Москва, вн.тер.г. муниципальный округ Западное Дегунино, ш Коровинское, д. 17А</t>
  </si>
  <si>
    <t>192019, г. Санкт-Петербург, вн.тер.г. муниципальный округ Невская застава, ул Седова, д. 11, к. 2, литера А, помещ. 10Н-18-22</t>
  </si>
  <si>
    <t>121354, г. Москва, ул. Дорогобужская, д. 14 этаж 3 пом. 304 (Склад)</t>
  </si>
  <si>
    <t>445045, Самарская обл., г. Тольятти, ул. Громовой, д. 56 ком. 3</t>
  </si>
  <si>
    <t>123423, г. Москва, вн.тер.г. муниципальный округ Хорошево-Мневники, пр-кт Маршала Жукова, д. 43, к. 3, помещ. 3/1 ЭТАЖ 2, ком. 43</t>
  </si>
  <si>
    <t>127015, г. Москва, ул. Вятская, д. 35 стр. 4 (Деловой центр «Бизнес Центр Вятка»)</t>
  </si>
  <si>
    <t>117393, г. Москва, вн.тер.г. муниципальный округ Обручевский, ул Профсоюзная, д. 56, помещ. 1/7 (Торгово-офисный центр «Черемушки (Cherry Tower)»)</t>
  </si>
  <si>
    <t>620144, Свердловская обл, г.о. город Екатеринбург, г Екатеринбург, ул Союзная, д. 8, офис 2</t>
  </si>
  <si>
    <t>193149, Ленинградская обл, м.р-н Всеволожский, г.п. Свердловское, д Новосаратовка, ул Покровская дорога, д. 8А, помещ. 1, ОФИС 38</t>
  </si>
  <si>
    <t>115114, г. Москва, пер. 1-Й Дербеневский, д. 5 этаж 4 пом. 405 ком. 20-34</t>
  </si>
  <si>
    <t>123242, г. Москва, ул. Заморёнова, д. 5А этаж 1 пом. 8-12</t>
  </si>
  <si>
    <t>115114, г. Москва, ул. Кожевническая, д. 7 стр. 1 этаж 3 31</t>
  </si>
  <si>
    <t>450005, Башкортостан респ., г. Уфа, ул. 50-Летия Октября, д. 24</t>
  </si>
  <si>
    <t>353232, Краснодарский кр., Северский район, пгт. Ильский, Битумный Завод Мкр., д. 1</t>
  </si>
  <si>
    <t>101000, г. Москва, вн.тер.г. муниципальный округ Басманный, пер Архангельский, д. 1, стр. 1, помещ. 1/3</t>
  </si>
  <si>
    <t>248017, Калужская обл., г. Калуга, ул. Азаровская, д. 2 офис 701</t>
  </si>
  <si>
    <t>170100, Тверская обл, г.о. город Тверь, г Тверь, ул Вокзальная, д. 9, этаж 3, пом/каб 4/31</t>
  </si>
  <si>
    <t>121596, г. Москва, ул. Горбунова, д. 2 стр. 204 этаж 5 пом. II ком. 26</t>
  </si>
  <si>
    <t>656922, Алтайский кр., г. Барнаул, проспект Энергетиков, д. 29</t>
  </si>
  <si>
    <t>143001, Московская обл, г.о. Одинцовский, рп Новоивановское, ул Западная, стр. 180, этаж 18, помещ. 11</t>
  </si>
  <si>
    <t>197374, г. Санкт-Петербург, вн.тер.г. муниципальный округ № 65, ул Савушкина, д. 83, к. 3, литера А, помещ. 2-Н Ч.П. №219, офис 507-508</t>
  </si>
  <si>
    <t>119415, г. Москва, ул. Удальцова, д. 1 к. 1 пом. VIII, этаж 1</t>
  </si>
  <si>
    <t>654079, Кемеровская область - Кузбасс, г. Новокузнецк, ул. Невского (Куйбышевский Р-Н), д. 1А каб. 208</t>
  </si>
  <si>
    <t>410031, Саратовская обл., г. Саратов, ул. Комсомольская, д. 52 литера ЕЕ1Е2 офис 5 ком. 1</t>
  </si>
  <si>
    <t>461048, Оренбургская обл., г. Бузулук, ул. Заречная, д. 6</t>
  </si>
  <si>
    <t>192029, г. Санкт-Петербург, проспект Обуховской Обороны, д. 51</t>
  </si>
  <si>
    <t>416200, Астраханская обл., Енотаевский район, с. Енотаевка, ул. Днепровская, д. 9</t>
  </si>
  <si>
    <t>119048, г. Москва, проспект Комсомольский, д. 42 стр. 3 ком. 31 (Бизнес-центр на Комсомольском Проспекте, 42С3)</t>
  </si>
  <si>
    <t>628690, Ханты-Мансийский Автономный Округ - Югра, г. Мегион, пгт. Высокий, ул. Путейская, д. 1 каб. 2</t>
  </si>
  <si>
    <t>346392, Ростовская обл, м.р-н Красносулинский, с.п. Киселевское, тер автомобильной дороги общего пользования федерального значения А-270, км 882-й, зд. 1</t>
  </si>
  <si>
    <t>, Новосибирская обл, г.о. город Новосибирск, г Новосибирск, ул Твардовского, д. 3/10, офис 34</t>
  </si>
  <si>
    <t>353901, Краснодарский кр., г. Новороссийск, ул. Портовая, д. 14А</t>
  </si>
  <si>
    <t>443080, Самарская обл, г.о. Самара, вн.р-н Октябрьский, г Самара, ш Московское, д. 47, помещ. 1Н</t>
  </si>
  <si>
    <t>199155, г. Санкт-Петербург, вн.тер.г. муниципальный округ Остров Декабристов, ул Уральская, д. 13, литера Б, помещ. 2Н</t>
  </si>
  <si>
    <t>603135, Нижегородская обл., г. Нижний Новгород, ул. Снежная, д. 29А офис 1</t>
  </si>
  <si>
    <t>603043, Нижегородская обл., г. Нижний Новгород, ул. Героя Советского Союза Поющева, д. 16 к. В</t>
  </si>
  <si>
    <t>603028, Нижегородская обл., г. Нижний Новгород, шоссе Комсомольское, д. 14А литера К, офис 1</t>
  </si>
  <si>
    <t>603002, Нижегородская обл., г. Нижний Новгород, шоссе Московское, д. 34 каб. 23</t>
  </si>
  <si>
    <t>603016, Нижегородская обл, г.о. город Нижний Новгород, г Нижний Новгород, пр-кт Ленина, д. 88, к. 62, этаж 1 ОФИС 110</t>
  </si>
  <si>
    <t>603086, Нижегородская обл., г. Нижний Новгород, ул. Керченская, д. 15А</t>
  </si>
  <si>
    <t>603127, Нижегородская обл., г. Нижний Новгород, ул. Коновалова, д. 10 офис 105</t>
  </si>
  <si>
    <t>423570, Татарстан респ., Нижнекамский район, г. Нижнекамск, тер. Промзона</t>
  </si>
  <si>
    <t>423574, Татарстан респ., Нижнекамский район, г. Нижнекамск, ул. Соболековская, д. ЗД. 23 офис 129</t>
  </si>
  <si>
    <t>423570, Татарстан респ., Нижнекамский район, г. Нижнекамск</t>
  </si>
  <si>
    <t>423570, Татарстан респ., Нижнекамский район, г. Нижнекамск, тер. Промзона, д. ЗД. 116 к. 1 офис 1</t>
  </si>
  <si>
    <t>603105, Нижегородская обл., г. Нижний Новгород, ул. Ошарская, д. 95 пом. П3 (Бизнес-парк «Ошарская, 95»)</t>
  </si>
  <si>
    <t>117186, г. Москва, проспект Севастопольский, д. 47А (Бизнес-центр «Нахимов»)</t>
  </si>
  <si>
    <t>109029, г. Москва, ул. Нижегородская, д. 27 стр. 1</t>
  </si>
  <si>
    <t>196641, г. Санкт-Петербург, пос. Металлострой, шоссе "Металлострой", Дорога На Металлострой, д. 3 к. 2</t>
  </si>
  <si>
    <t>170024, Тверская обл, г.о. город Тверь, г Тверь, пр-кт Николая Корыткова, д. 3, ком. 403</t>
  </si>
  <si>
    <t>196191, г. Санкт-Петербург, вн.тер.г. муниципальный округ Новоизмайловское, ул Бассейная, д. 21, литера А, помещ. 35-Н, ком. 1012</t>
  </si>
  <si>
    <t>620075, Свердловская обл., г. Екатеринбург, ул. Толмачева, д. 22 кв. 5</t>
  </si>
  <si>
    <t>603163, Нижегородская обл., г. Нижний Новгород, ул. Германа Лопатина, д. 8 пом. П5 (Бизнес-центр «Печеры»)</t>
  </si>
  <si>
    <t>127015, г. Москва, вн.тер.г. муниципальный округ Бутырский, ул Новодмитровская, д. 2Б</t>
  </si>
  <si>
    <t>119019, г. Москва, вн.тер.г. муниципальный округ Арбат, пер Филипповский, д. 9, этаж 2, ком. 1</t>
  </si>
  <si>
    <t>127015, г. Москва, проезд Бумажный, д. 14 стр. 2</t>
  </si>
  <si>
    <t>690001, Приморский кр., г. Владивосток, ул. Светланская, д. 167 кв. 317</t>
  </si>
  <si>
    <t>690001, Приморский кр., г. Владивосток, ул. Светланская, д. 167 кв. 318</t>
  </si>
  <si>
    <t>140204, Московская обл., г. Воскресенск, ул. Промплощадка, д. 5А</t>
  </si>
  <si>
    <t>603028, Нижегородская обл., г. Нижний Новгород, пер. Спортсменский, д. 11</t>
  </si>
  <si>
    <t>450071, Башкортостан респ., г. Уфа, проспект Салавата Юлаева, д. 58</t>
  </si>
  <si>
    <t>625048, Тюменская обл., г. Тюмень, ул. 50 Лет Октября, д. 14 (Торговый центр «Магеллан»)</t>
  </si>
  <si>
    <t>620024, Свердловская обл., г. Екатеринбург, ул. Симская стр. 1 офис 19</t>
  </si>
  <si>
    <t>659303, Алтайский кр., г. Бийск, ул. Вали Максимовой, д. 103 офис 1</t>
  </si>
  <si>
    <t>194294, г. Санкт-Петербург, пос. Парголово, проспект Комендантский, д. 140 литера А</t>
  </si>
  <si>
    <t>410010, Саратовская обл., г. Саратов, ул. Им Осипова В.И., д. 1</t>
  </si>
  <si>
    <t>105066, г. Москва, ул. Старая Басманная, д. 13 кв. 3</t>
  </si>
  <si>
    <t>650991, Кемеровская область - Кузбасс, г. Кемерово, ул. Черняховского, д. 2 пом. 6</t>
  </si>
  <si>
    <t>603104, Нижегородская обл., г. Нижний Новгород, проспект Гагарина, д. 62 пом. П2</t>
  </si>
  <si>
    <t>191015, г. Санкт-Петербург, ул. Таврическая, д. 37 литера А пом. 16Н</t>
  </si>
  <si>
    <t>123112, г. Москва, вн.тер.г. муниципальный округ Пресненский, проезд 1-й Красногвардейский, д. 22, стр. 2, помещ. 656</t>
  </si>
  <si>
    <t>125375, г. Москва, вн.тер.г. муниципальный округ Тверской, ул Тверская, д. 22/2, к. 1, этаж 5, ком. 5-34</t>
  </si>
  <si>
    <t>107113, г. Москва, ул. Сокольнический Вал, д. 2А (Бизнес-центр на Ул. Сокольнический Вал, 2А)</t>
  </si>
  <si>
    <t>309641, Белгородская обл., Новооскольский район, г. Новый Оскол, ул. Бондарева, д. 2</t>
  </si>
  <si>
    <t>191015, г. Санкт-Петербург, ул. Шпалерная, д. 54 литера В пом. 25-Н</t>
  </si>
  <si>
    <t>461040, Оренбургская обл, г.о. город Бузулук, г Бузулук, ул Рабочая, зд. 68Б</t>
  </si>
  <si>
    <t>188472, Ленинградская обл, м.р-н Кингисеппский, с.п. Усть-Лужское, п Усть-Луга, кв-л Ленрыба, д. 2, помещ. 11</t>
  </si>
  <si>
    <t>353901, Краснодарский кр., г. Новороссийск, ул. Элеваторная, д. 22</t>
  </si>
  <si>
    <t>630099, Новосибирская обл., г. Новосибирск, ул. Ядринцевская, д. 53/1 офис 1015 (Бизнес-центр на Ул. Ядринцевская, 53/1)</t>
  </si>
  <si>
    <t>610008, Кировская обл., г. Киров, ул. Советская (Нововятский), д. 28</t>
  </si>
  <si>
    <t>249020, Калужская обл., Боровский район, с. Ворсино, ул. Лыскина, владение 6 стр. 1</t>
  </si>
  <si>
    <t>623700, Свердловская обл., г. Березовский, ул. Кольцевая, д. 5</t>
  </si>
  <si>
    <t>623280, Свердловская обл., г. Ревда, ул. Карла Либкнехта, д. ЗД. 3</t>
  </si>
  <si>
    <t>353900, Краснодарский кр., г. Новороссийск, ул. Мира, д. 2</t>
  </si>
  <si>
    <t>630102, Новосибирская обл., г. Новосибирск, ул. Зыряновская, д. (55) офис 13</t>
  </si>
  <si>
    <t>117105, г. Москва, вн.тер.г. муниципальный округ Нагатино-Садовники, ш Варшавское, д. 35, стр. 1, этаж/часть офиса 6/П606 (Бизнес-центр "River Plaza")</t>
  </si>
  <si>
    <t>603950, Нижегородская обл., г. Нижний Новгород, шоссе Жиркомбината, д. 11</t>
  </si>
  <si>
    <t>630108, Новосибирская обл., г. Новосибирск, ул. Станционная, д. 28</t>
  </si>
  <si>
    <t>121471, г. Москва, ул. Рябиновая, д. 45 этаж 3 пом. III ком. 11</t>
  </si>
  <si>
    <t>129515, г. Москва, ул. Академика Королева, д. 13 стр. 1 пом. I ком. 18А (Бизнес центр "Мосавто"/Бизнес центр ГИНЦВЕТМЕТ)</t>
  </si>
  <si>
    <t>353900, Краснодарский кр., г. Новороссийск, ул. Магистральная, д. 6</t>
  </si>
  <si>
    <t>107031, г. Москва, ул. Каретный Ряд, д. 5/10 стр. 2</t>
  </si>
  <si>
    <t>195220, г. Санкт-Петербург, вн.тер.г. муниципальный округ Гражданка, пр-кт Гражданский, д. 11, литера А, ком. 391</t>
  </si>
  <si>
    <t>690091, Приморский кр., г. Владивосток, ул. Фонтанная, д. 55</t>
  </si>
  <si>
    <t>461040, Оренбургская обл, г.о. город Бузулук, г Бузулук, ул Кирова, двлд. 88</t>
  </si>
  <si>
    <t>606388, Нижегородская обл., Вадский район, с. Елховка, ул. Молодежная, д. 2А</t>
  </si>
  <si>
    <t>123317, г. Москва, вн.тер.г. муниципальный округ Пресненский, ул Антонова-Овсеенко, д. 15, стр. 3, этаж 2, офис 201 (Бизнес-центр )</t>
  </si>
  <si>
    <t>141205, Московская обл., г. Пушкино, шоссе Кудринское, д. 2-А стр. 3</t>
  </si>
  <si>
    <t>446204, Самарская обл., г. Новокуйбышевск, ул. Дзержинского, д. 36</t>
  </si>
  <si>
    <t>109028, г. Москва, вн.тер.г. муниципальный округ Басманный, пер Хохловский, д. 15, помещ. 3П</t>
  </si>
  <si>
    <t>115093, г. Москва, ул. Щипок, д. 18 стр. 2 этаж 3 пом. I ком. 10 (Бизнес-центр на Ул. Щипок, 18С2)</t>
  </si>
  <si>
    <t>603024, Нижегородская обл., г. Нижний Новгород, ул. Невзоровых, д. 49 пом. 9</t>
  </si>
  <si>
    <t>603074, Нижегородская обл., г. Нижний Новгород, шоссе Сормовское, д. 1 кв. 1</t>
  </si>
  <si>
    <t>633104, Новосибирская обл., г. Обь, проспект Мозжерина, д. 8А каб. 97</t>
  </si>
  <si>
    <t>197350, г. Санкт-Петербург, вн.тер.г. муниципальный округ Коломяги, дор В Каменку, д. 40, к. 3, литера А</t>
  </si>
  <si>
    <t>296102, Крым респ., г. Джанкой, ул. Первомайская, д. 62</t>
  </si>
  <si>
    <t>454048, Челябинская обл., г. Челябинск, ул. Курчатова, д. 6</t>
  </si>
  <si>
    <t>119415, г. Москва, вн.тер.г. муниципальный округ Проспект Вернадского, ул Удальцова, д. 2</t>
  </si>
  <si>
    <t>625026, Тюменская обл., г. Тюмень, ул. 50 Лет Влксм, д. 53</t>
  </si>
  <si>
    <t>629850, Ямало-Ненецкий а.о., Пуровский район, г. Тарко-Сале, ул. Победы, д. 22-А</t>
  </si>
  <si>
    <t>454091, Челябинская обл., г. Челябинск, проспект Ленина, д. 42 к. А</t>
  </si>
  <si>
    <t>156005, Костромская обл., г. Кострома, ул. Лесная, д. 37</t>
  </si>
  <si>
    <t>183025, Мурманская обл., г. Мурманск, ул. Сполохи, д. 4А (Бизнес-центр «Сполохи»)</t>
  </si>
  <si>
    <t>614000, Пермский кр., г. Пермь, ул. Петропавловская, д. 41</t>
  </si>
  <si>
    <t>629880, Ямало-Ненецкий окр., Пуровский район, д. Лимбей</t>
  </si>
  <si>
    <t>629850, Ямало-Ненецкий а.о., Пуровский район, г. Тарко-Сале, ул. Тарасова, д. 28</t>
  </si>
  <si>
    <t>188477, Ленинградская обл., Кингисеппский район, д. Вистино, ул. Школьная, д. 5</t>
  </si>
  <si>
    <t>629851, Ямало-Ненецкий окр., Пуровский район, г. Тарко-Сале, зона Промышленная</t>
  </si>
  <si>
    <t>629309, Ямало-Ненецкий а.о., г. Новый Уренгой, микрорайон Славянский, МИКРОРАЙОН СЛАВЯНСКИЙ д. 9 этаж 8 каб. 804</t>
  </si>
  <si>
    <t>295022, Крым респ., г. Симферополь, проспект Победы, д. 245</t>
  </si>
  <si>
    <t>620109, Свердловская обл., г. Екатеринбург, ул. Заводская, д. 29</t>
  </si>
  <si>
    <t>654080, Кемеровская область - Кузбасс, г. Новокузнецк, ул. Кирова (Центральный Р-Н), д. 69</t>
  </si>
  <si>
    <t>141407, Московская обл., г. Химки, ул. Панфилова, д. 2 пом. 3</t>
  </si>
  <si>
    <t>123112, г. Москва, ул. Тестовская, д. 10 этаж 23 пом. 1 ком. Ч.1 (Бизнес-квартал «Симоновский»)</t>
  </si>
  <si>
    <t>140304, Московская обл., г. Егорьевск, шоссе Коломенское, д. 2</t>
  </si>
  <si>
    <t>173002, Новгородская обл., г. Великий Новгород, ул. Германа, д. 20</t>
  </si>
  <si>
    <t>173008, Новгородская обл., г. Великий Новгород, ул. Северная, д. 17 офис 1</t>
  </si>
  <si>
    <t>173525, Новгородская обл., Новгородский район, д. Чечулино, ул. Воцкая, д. 10</t>
  </si>
  <si>
    <t>173001, Новгородская обл., г. Великий Новгород, ул. Большая Санкт-Петербургская, д. 14</t>
  </si>
  <si>
    <t>398024, Липецкая обл., г. Липецк, проспект Победы, д. 87 к. А</t>
  </si>
  <si>
    <t>121614, г. Москва, ул. Крылатская, д. 15 офис 41</t>
  </si>
  <si>
    <t>249000, Калужская обл., Боровский район, г. Балабаново, ул. Лермонтова, д. 2</t>
  </si>
  <si>
    <t>630554, Новосибирская обл., Новосибирский район, с. Барышево, ул. Ленина, д. 160</t>
  </si>
  <si>
    <t>420111, Татарстан респ., г. Казань, ул. Пушкина, д. 12 офис 401</t>
  </si>
  <si>
    <t>353900, Краснодарский кр., г. Новороссийск, ул. Энгельса, д. 7 кв. 314</t>
  </si>
  <si>
    <t>673634, Забайкальский кр., Газимуро-Заводский район, с. Широкая</t>
  </si>
  <si>
    <t>663412, Красноярский кр., Мотыгинский район, пос. Новоангарск, ул. 1-Й Квартал, д. 1 каб. 7</t>
  </si>
  <si>
    <t>309365, Белгородская обл., Борисовский район, с. Беленькое, ул. Песчаная, д. 21</t>
  </si>
  <si>
    <t>614065, Пермский кр., г. Пермь, ул. Свиязева, д. 35</t>
  </si>
  <si>
    <t>662546, Красноярский кр., г. Лесосибирск, ул. 40 Лет Октября, д. 1</t>
  </si>
  <si>
    <t>630007, Новосибирская обл., г. Новосибирск, ул. Серебренниковская, д. 19/1 офис 401</t>
  </si>
  <si>
    <t>614065, Пермский кр., г. Пермь, шоссе Космонавтов, д. 395</t>
  </si>
  <si>
    <t>301652, Тульская обл., Новомосковский район, г. Новомосковск, ул. Новая, д. 1</t>
  </si>
  <si>
    <t>301651, Тульская обл., Новомосковский район, г. Новомосковск, ул. Связи, д. 10 к. 720</t>
  </si>
  <si>
    <t>353909, Краснодарский кр., г. Новороссийск, ул. Ж/Д Петля Парк А, д. 2 км</t>
  </si>
  <si>
    <t>346519, Ростовская обл., г. Шахты, ул. Чаплыгина, д. 54</t>
  </si>
  <si>
    <t>630099, Новосибирская обл, г.о. город Новосибирск, г Новосибирск, ул Каменская, д. 19</t>
  </si>
  <si>
    <t>633220, Новосибирская обл., Искитимский район, ст. Евсино</t>
  </si>
  <si>
    <t>630078, Новосибирская обл., г. Новосибирск, ул. Выставочная, д. 15/2 офис 10</t>
  </si>
  <si>
    <t>630099, Новосибирская обл., г. Новосибирск, ул. Орджоникидзе, д. 32</t>
  </si>
  <si>
    <t>353320, Краснодарский кр., Абинский район, г. Абинск, ул. Промышленная, д. 4 каб. 111</t>
  </si>
  <si>
    <t>630099, Новосибирская обл., г. Новосибирск, ул. Семьи Шамшиных, д. 22/1 офис 309</t>
  </si>
  <si>
    <t>142602, Московская обл., г. Орехово-Зуево, ул. Володарского, д. 106 этаж 1 ком. 25</t>
  </si>
  <si>
    <t>670000, Бурятия респ., г. Улан-Удэ, ул. Борсоева, д. 19Б пом. 27 (Многофункциональный комплекс «Бурятский Деловой Центр»)</t>
  </si>
  <si>
    <t>420500, Татарстан респ., Верхнеуслонский район, г. Иннополис, ул. Университетская, д. 7 офис 302</t>
  </si>
  <si>
    <t>141402, Московская обл, г.о. Химки, г Химки, ул Панфилова, влд. 19, стр. 1, этаж/помещение 10/4-9, 13-17</t>
  </si>
  <si>
    <t>422980, Татарстан респ., Чистопольский район, г. Чистополь, ул. К.Маркса, д. ЗД. 168С</t>
  </si>
  <si>
    <t>350002, Краснодарский кр., г. Краснодар, ул. Им. Леваневского, д. 185 офис 12</t>
  </si>
  <si>
    <t>442140, Пензенская обл., Нижнеломовский район, с. Овчарное, ул. Луговая, д. 41</t>
  </si>
  <si>
    <t>115487, г. Москва, ул. Нагатинская, д. 16 стр. 9 пом. VII ком. 15 офис 5 (Бизнес-центр "Imagine Plaza" (Имеджин Плаза))</t>
  </si>
  <si>
    <t>198097, г. Санкт-Петербург, проспект Стачек, д. 47 литера А пом. 260 (Бизнес-центр «Шереметев»)</t>
  </si>
  <si>
    <t>603016, Нижегородская обл., г. Нижний Новгород, ул. Монастырка, д. 20 пом. 5</t>
  </si>
  <si>
    <t>194044, г. Санкт-Петербург, набережная Выборгская, д. 29 литера А пом. 17-Н офис 226</t>
  </si>
  <si>
    <t>656023, Алтайский кр., г. Барнаул, ул. Германа Титова, д. 13</t>
  </si>
  <si>
    <t>123001, г. Москва, пер. Трёхпрудный, д. 9 стр. 1 офис 006 (Бизнес-центр на Трёхпрудном 9с1)</t>
  </si>
  <si>
    <t>125599, г. Москва, ул. Бусиновская Горка, д. 2 стр. 2 этаж 4 офис 401 (Административное здание)</t>
  </si>
  <si>
    <t>150000, Ярославская обл, г.о. город Ярославль, г Ярославль, ул Ушинского, д. 6А, ком. 9-14, ЭТАЖ 2</t>
  </si>
  <si>
    <t>659333, Алтайский кр., г. Бийск, ул. Иркутская, д. 1/41 каб. 26</t>
  </si>
  <si>
    <t>190020, г. Санкт-Петербург, проспект Нарвский, д. 14 к. 2 литера А пом. 6Н офис 7</t>
  </si>
  <si>
    <t>630087, Новосибирская обл., г. Новосибирск, ул. Немировича-Данченко, д. 165 офис 611</t>
  </si>
  <si>
    <t>123060, г. Москва, ул. Берзарина, д. 36 стр. 1 этаж / пом. / ком. 1/26/104 (Бизнес-центр «Берзарина 36»)</t>
  </si>
  <si>
    <t>195265, г. Санкт-Петербург, вн.тер.г. муниципальный округ № 21, пр-кт Гражданский, д. 113, к. 3, литера А, кв. 258</t>
  </si>
  <si>
    <t>364903, Чеченская респ., г. Грозный, проспект Им В.В.Путина, д. 30 кв. 3</t>
  </si>
  <si>
    <t>183038, Мурманская обл, г.о. город Мурманск, г Мурманск, ул Шмидта, д. 43, офис 201</t>
  </si>
  <si>
    <t>663318, Красноярский кр., г. Норильск, ул. Орджоникидзе, д. 14 к. А каб. 208</t>
  </si>
  <si>
    <t>663319, Красноярский кр., г. Норильск, ул. Нансена, д. 64</t>
  </si>
  <si>
    <t>663305, Красноярский кр., г. Норильск, ул. Павлова, д. 17</t>
  </si>
  <si>
    <t>663318, Красноярский кр., г. Норильск, пл. Газовиков Заполярья, д. 1</t>
  </si>
  <si>
    <t>115054, г. Москва, вн.тер.г. муниципальный округ Замоскворечье, пер 5-й Монетчиковский, д. 16, этаж/помещ. 0/II, ком./офис 2/52</t>
  </si>
  <si>
    <t>192019, г. Санкт-Петербург, набережная Обводного Канала, д. 14 литера А офис №211-217</t>
  </si>
  <si>
    <t>394068, Воронежская обл., г. Воронеж, микрорайон Жилой Массив Ясенки, д. 5 офис 6</t>
  </si>
  <si>
    <t>125130, г. Москва, проезд Старопетровский, д. 11 к. 2 ком. 511</t>
  </si>
  <si>
    <t>117246, г. Москва, проезд Научный, д. 8 стр. 1 этаж 1 пом. IV офис 113 (Бизнес-центр «Научный 8»)</t>
  </si>
  <si>
    <t>629309, Ямало-Ненецкий а.о., г. Новый Уренгой, микрорайон Славянский, д. 9 этаж 3 каб. 305</t>
  </si>
  <si>
    <t>101000, г. Москва, пер. Армянский, д. 4 пом. 1 этаж 1 ком. 3</t>
  </si>
  <si>
    <t>630049, Новосибирская обл., г. Новосибирск, проспект Красный, д. 182/1 офис 1005 (Деловой центр «Европа II очередь»)</t>
  </si>
  <si>
    <t>123290, г. Москва, вн.тер.г. муниципальный округ Хорошево-Мневники, проезд Причальный, д. 2, помещ. XIX 4 ЭТАЖ, ком. 16</t>
  </si>
  <si>
    <t>603141, Нижегородская обл, г.о. город Нижний Новгород, г Нижний Новгород, ул Геологов, д. 6, помещ. П8</t>
  </si>
  <si>
    <t>423800, Татарстан респ., г. Набережные Челны, ул. Народная, д. 1</t>
  </si>
  <si>
    <t>142103, Московская обл., г. Подольск, ул. Бронницкая, д. 11</t>
  </si>
  <si>
    <t>195248, г. Санкт-Петербург, проспект Ириновский, д. 1 (Специализированный торговый центр «Ириновские ряды»)</t>
  </si>
  <si>
    <t>119435, г. Москва, вн.тер.г. муниципальный округ Хамовники, ул Малая Пироговская, д. 18, стр. 1, помещ. XI, ком. 16</t>
  </si>
  <si>
    <t>105066, г. Москва, ул. Нижняя Красносельская, д. 39 стр. 1 пом. XX, ком. № 2</t>
  </si>
  <si>
    <t>630091, Новосибирская обл., г. Новосибирск, ул. Крылова, д. 28/1</t>
  </si>
  <si>
    <t>457650, Челябинская обл., Нагайбакский район, с. Фершампенуаз, ул. Речная, д. 1</t>
  </si>
  <si>
    <t>160004, Вологодская обл., г. Вологда, ул. Ударников, д. 34</t>
  </si>
  <si>
    <t>198095, г. Санкт-Петербург, ул. Маршала Говорова, д. 29 литера Н</t>
  </si>
  <si>
    <t>163045, Архангельская обл., г. Архангельск, шоссе Талажское, д. 23</t>
  </si>
  <si>
    <t>141981, Московская обл., г. Дубна, ул. Приборостроителей, д. 2 корп. ЗД. 1Б пом. 204</t>
  </si>
  <si>
    <t>644105, Омская обл., г. Омск, ул. Успешная, д. 51</t>
  </si>
  <si>
    <t>142143, Московская обл., г. Подольск, с. Покров, ул. Сосновая, д. 1</t>
  </si>
  <si>
    <t>301602, Тульская обл., Узловский район, г. Узловая, ул. Дубовская, д. 2А</t>
  </si>
  <si>
    <t>123100, г. Москва, набережная Краснопресненская, д. 12 корп. ПОДЪЕЗД 7 этаж 15 пом. 1501 ком. 45</t>
  </si>
  <si>
    <t>127287, г. Москва, вн.тер.г. муниципальный округ Савеловский, ул Хуторская 2-я, д. 29, стр. 4</t>
  </si>
  <si>
    <t>115280, г. Москва, вн.тер.г. муниципальный округ Даниловский, ул Ленинская Слобода, д. 26, офис 511, помещ. 1 (Бизнес-центр «Omega Plaza Омега-2 корпус А»)</t>
  </si>
  <si>
    <t>620027, Свердловская обл., г. Екатеринбург, ул. Челюскинцев, д. 15</t>
  </si>
  <si>
    <t>141551, Московская обл., г. Солнечногорск, рабочий пос. Андреевка к. 3А</t>
  </si>
  <si>
    <t>424006, Марий Эл респ., г. Йошкар-Ола, ул. Строителей, д. 99</t>
  </si>
  <si>
    <t>443110, Самарская обл., г. Самара, ул. Мичурина, д. 64 ком. 21</t>
  </si>
  <si>
    <t>350007, Краснодарский кр., г. Краснодар, ул. Им. Захарова, д. 4</t>
  </si>
  <si>
    <t>109429, г. Москва, квартал Капотня 2-Й, д. 1 к. 13</t>
  </si>
  <si>
    <t>142450, Московская обл., г. Старая Купавна, ул. Дорожная, д. 4Б</t>
  </si>
  <si>
    <t>625031, Тюменская обл., г. Тюмень, ул. Ветеранов Труда, д. 58А</t>
  </si>
  <si>
    <t>620144, Свердловская обл., г. Екатеринбург, ул. Сурикова, д. 53 офис 213</t>
  </si>
  <si>
    <t>410002, Саратовская обл., г. Саратов, ул. Московская, д. 66</t>
  </si>
  <si>
    <t>191144, г. Санкт-Петербург, ул. Новгородская, д. 13 (Бизнес-центр «Новгородский»)</t>
  </si>
  <si>
    <t>127473, г. Москва, пер. 3-Й Самотёчный, д. 9</t>
  </si>
  <si>
    <t>197198, г. Санкт-Петербург, ул. Блохина, д. 19</t>
  </si>
  <si>
    <t>194044, г. Санкт-Петербург, проспект Большой Сампсониевский, д. 20 литера А</t>
  </si>
  <si>
    <t>115533, г. Москва, ул. Нагатинская, д. 5 этаж 4 офис 402</t>
  </si>
  <si>
    <t>107078, г. Москва, вн.тер.г. муниципальный округ Красносельский, пер Орликов, д. 5, стр. 2, этаж 05, помещ. 04-05 (Бизнес-центр "Orlikov plaza")</t>
  </si>
  <si>
    <t>121087, г. Москва, проезд Багратионовский, д. 7 к. 2 этаж 04 пом. 450-450А</t>
  </si>
  <si>
    <t>125284, г. Москва, вн.тер.г. муниципальный округ Беговой, пр-кт Ленинградский, д. 29, к. 4, этаж/помещ. 2/XI, ком. 6</t>
  </si>
  <si>
    <t>433870, Ульяновская обл., Новоспасский район, рабочий пос. Новоспасское, ул. Заводская, д. 6А</t>
  </si>
  <si>
    <t>119180, г. Москва, ул. Малая Полянка, д. 2 пом. II ком. 36,37,38</t>
  </si>
  <si>
    <t>628600, Ханты-Мансийский Автономный Округ - Югра, г. Нижневартовск, ул. Индустриальная, д. 36 к. 16</t>
  </si>
  <si>
    <t>630004, Новосибирская обл., г. Новосибирск, ул. Ленина, д. 52 каб. 304А (Бизнес-центр «На Ленина»)</t>
  </si>
  <si>
    <t>115093, г. Москва, вн.тер.г. муниципальный округ Даниловский, пер Партийный, д. 1, к. 58, стр. 2, этаж/офис А4/27</t>
  </si>
  <si>
    <t>354383, Краснодарский край, ф.т. Сириус, пгт. Сириус, ул Поселок Мирный, д. 2А, этаж 1, помещ. 14-24</t>
  </si>
  <si>
    <t>109004, г. Москва, ул. Станиславского, д. 21 стр. 18 (Бизнес-центр «Фабрика Станиславского строение 18»)</t>
  </si>
  <si>
    <t>115184, г. Москва, ул. Большая Татарская, д. 11</t>
  </si>
  <si>
    <t>462353, Оренбургская обл., г. Новотроицк, ул. Промышленная, д. 43</t>
  </si>
  <si>
    <t>692913, Приморский кр., г. Находка, проспект Находкинский, д. 59</t>
  </si>
  <si>
    <t>628680, Ханты-Мансийский Автономный Округ - Югра, г. Мегион, ул. Александра Жагрина, д. 24</t>
  </si>
  <si>
    <t>453252, Башкортостан респ., г. Салават, ул. Молодогвардейцев, д. ЗД. 54 стр. 1</t>
  </si>
  <si>
    <t>618703, Пермский кр., г. Добрянка, рабочий пос. Полазна, ул. Трухина, д. 83</t>
  </si>
  <si>
    <t>689450, Чукотский а.о., Билибинский район, г. Билибино, ул. Берзина, д. 6</t>
  </si>
  <si>
    <t>121059, г. Москва, вн.тер.г. муниципальный округ Дорогомилово, ул Брянская, д. 5, этаж 10,ПОМЕЩ. I, ком. 1 (Бизнес-центр «Европа Билдинг»)</t>
  </si>
  <si>
    <t>109029, г. Москва, вн.тер.г. муниципальный округ Таганский, ул Нижегородская, д. 32, стр. 5, этаж/помещ 2/1, ком. 8</t>
  </si>
  <si>
    <t>350015, Краснодарский край, г.о. город Краснодар, г Краснодар, ул Путевая, д. 1, офис 702 (Бизнес-центр «IQ»)</t>
  </si>
  <si>
    <t>628614, Ханты-Мансийский Автономный Округ - Югра, г. Нижневартовск, ул. 2п-2, д. 36</t>
  </si>
  <si>
    <t>143401, Московская обл., г. Красногорск, бульвар Строителей, д. 4 к. 1 пом. XXX</t>
  </si>
  <si>
    <t>433870, Ульяновская обл., Новоспасский район, рабочий пос. Новоспасское, ул. Заводская, д. 65 офис 10</t>
  </si>
  <si>
    <t>123290, г. Москва, вн.тер.г. муниципальный округ Хорошевский, ул 2-я Магистральная, д. 14Г, стр. 1, этаж ЦОКОЛЬНЫЙ, офис 011</t>
  </si>
  <si>
    <t>142438, Московская обл., г. Ногинск, д. 58КМ. АВТОМАГИСТРАЛИ МОСКВА-Н.НОВГОРОД корп. ПРОМПЛОЩАДКА № 2</t>
  </si>
  <si>
    <t>125047, г. Москва, ул. 4-Я Тверская-Ямская, д. 26/8 стр. 1 этаж П пом. V ком. 4А</t>
  </si>
  <si>
    <t>663319, Красноярский кр., г. Норильск, пл. Металлургов, д. 9</t>
  </si>
  <si>
    <t>129301, г. Москва, ул. Бориса Галушкина, д. 14 к. 1</t>
  </si>
  <si>
    <t>107140, г. Москва, пл. Комсомольская, д. 4АСООР1 пом. / ком. / этаж 3/14/2</t>
  </si>
  <si>
    <t>630007, Новосибирская обл., г. Новосибирск, ул. Серебренниковская, д. 4 офис 40</t>
  </si>
  <si>
    <t>115230, г. Москва, проезд Нагатинский 1-Й, д. 10 стр. 1 этаж 13 (Бизнес-центр «Newton Plaza»)</t>
  </si>
  <si>
    <t>192102, г. Санкт-Петербург, ул. Салова, д. 72 к. 2 литера А</t>
  </si>
  <si>
    <t>115191, г. Москва, вн.тер.г. муниципальный округ Даниловский, пер Холодильный, д. 3, к. 1, стр. 3, офис 3237</t>
  </si>
  <si>
    <t>107140, г. Москва, вн.тер.г. муниципальный округ Красносельский, ул Нижняя Красносельская, д. 5, стр. 6, ком. 03</t>
  </si>
  <si>
    <t>121087, г. Москва, вн.тер.г. муниципальный округ Филевский парк, ул Барклая, д. 6, стр. 3, этаж 5, офис 510 (Бизнес-центр «Барклай Парк»)</t>
  </si>
  <si>
    <t>115201, г. Москва, шоссе Каширское, д. 22 к. 3</t>
  </si>
  <si>
    <t>450071, Башкортостан респ., г. Уфа, проспект Салавата Юлаева, д. 58 офис 401</t>
  </si>
  <si>
    <t>117342, г. Москва, вн.тер.г. муниципальный округ Коньково, ул Бутлерова, д. 17, помещ. 263/5 (Торгово-офисный центр «Офисный центр Neo Geo»)</t>
  </si>
  <si>
    <t>663305, Красноярский кр., г. Норильск, ул. Ветеранов, д. 19</t>
  </si>
  <si>
    <t>622001, Свердловская обл, г.о. город Нижний Тагил, г Нижний Тагил, ул Красноармейская, д. 60</t>
  </si>
  <si>
    <t>629306, Ямало-Ненецкий а.о., г. Новый Уренгой, ул. Промысловая, д. 27</t>
  </si>
  <si>
    <t>353902, Краснодарский кр., г. Новороссийск, шоссе Сухумское, д. 17А</t>
  </si>
  <si>
    <t>346130, Ростовская обл., Миллеровский район, г. Миллерово, ул. Промышленная, д. 1</t>
  </si>
  <si>
    <t>603155, Нижегородская обл., г. Нижний Новгород, ул. Ульянова, д. 47 кв. 3</t>
  </si>
  <si>
    <t>115114, г. Москва, набережная Павелецкая, д. 2 стр. 2 Э 4 пом. 73 (Бизнес-центр "Павелецкая Тауэр")</t>
  </si>
  <si>
    <t>614033, Пермский кр., г. Пермь, ул. Бахаревская, д. 53 офис 3</t>
  </si>
  <si>
    <t>420061, Татарстан респ., г. Казань, ул. Николая Ершова, д. 16 пом. 38</t>
  </si>
  <si>
    <t>143002, Московская обл., г. Одинцово, ул. Садовая, д. 3 этаж / каб. 4/403</t>
  </si>
  <si>
    <t>654080, Кемеровская область - Кузбасс, г. Новокузнецк, проспект Пионерский (Центральный Р-Н), д. 58 пом. 133</t>
  </si>
  <si>
    <t>117393, г. Москва, ул. Академика Пилюгина, д. 22 пом. XL ком. 10 (Бизнес-центр «Алгоритм»)</t>
  </si>
  <si>
    <t>353902, Краснодарский кр., г. Новороссийск, шоссе Сухумское, д. 60</t>
  </si>
  <si>
    <t>420500, Татарстан респ., Верхнеуслонский район, г. Иннополис, ул. Университетская, д. 7</t>
  </si>
  <si>
    <t>423800, Татарстан респ., г. Набережные Челны, ул. Моторная, д. ЗД 11А пом. / офис 1004/1</t>
  </si>
  <si>
    <t>614081, Пермский кр., г. Пермь, ул. Кронштадтская, д. 35</t>
  </si>
  <si>
    <t>115114, г. Москва, ул. Летниковская, д. 16 (Бизнес-центр «Сибирский Альянс»)</t>
  </si>
  <si>
    <t>682860, Хабаровский кр., Ванинский район, рабочий пос. Ванино, ул. Молодежная, д. 14 этаж / ком. 1/2</t>
  </si>
  <si>
    <t>403244, Волгоградская обл, м.р-н Алексеевский, с.п. Шарашенское, х Шарашенский, д. 324</t>
  </si>
  <si>
    <t>111033, г. Москва, ул. Волочаевская, д. 40Г стр. 4 пом. 1.16 этаж 1</t>
  </si>
  <si>
    <t>115162, г. Москва, ул. Шаболовка, д. 31Г пом. 6 антресоль этаж 4 (Бизнес-центр «Шаболовка»)</t>
  </si>
  <si>
    <t>628309, Ханты-Мансийский Автономный Округ - Югра, г. Нефтеюганск, ул. Сургутская, д. 14 стр. 1</t>
  </si>
  <si>
    <t>660079, Красноярский край, г.о. город Красноярск, г Красноярск, ул Мусоргского, зд. 3/12</t>
  </si>
  <si>
    <t>115088, г. Москва, проезд 2-Й Южнопортовый, д. 20А стр. 4 пом. I, ком. № Б</t>
  </si>
  <si>
    <t>350051, Краснодарский кр., г. Краснодар, ул. Рашпилевская, д. 256 офис 7</t>
  </si>
  <si>
    <t>127018, г. Москва, ул. Сущёвский Вал, д. 5 стр. 3 этаж 4 ком. 9</t>
  </si>
  <si>
    <t>350033, Краснодарский кр., г. Краснодар, пер. Переправный, д. 13 офис 101</t>
  </si>
  <si>
    <t>350033, Краснодарский кр., г. Краснодар, пер. Переправный, д. 13 офис 103 А</t>
  </si>
  <si>
    <t>628611, Ханты-Мансийский Автономный Округ - Югра, г. Нижневартовск, ул. Ленина, д. 34 к. А</t>
  </si>
  <si>
    <t>629851, Ямало-Ненецкий а.о., Пуровский район, г. Тарко-Сале, ул. Промышленная, д. 16</t>
  </si>
  <si>
    <t>420021, Татарстан респ., г. Казань, ул. Габдуллы Тукая, д. 152</t>
  </si>
  <si>
    <t>195213, г. Санкт-Петербург, проспект Заневский, д. 65 к. 1 литера А пом. 1</t>
  </si>
  <si>
    <t>190031, г. Санкт-Петербург, проспект Московский, д. 2/6 литера А пом. 2Н офис 113</t>
  </si>
  <si>
    <t>108811, г. Москва, км. Киевское Шоссе 22-Й (П Московский), домовладение 6 стр. 1 ком. 7</t>
  </si>
  <si>
    <t>450028, Башкортостан респ., г. Уфа, ул. Гвардейская, д. 57 к. 1 литера А1, пом. 172 ( этаж 1)</t>
  </si>
  <si>
    <t>454106, Челябинская обл., г. Челябинск, ул. Северо-Крымская, д. 20 офис 210</t>
  </si>
  <si>
    <t>350059, Краснодарский кр., г. Краснодар, ул. Тихорецкая, д. 20</t>
  </si>
  <si>
    <t>125252, г. Москва, ул. Авиаконструктора Микояна, д. 12 Э 9 П I ком. 29 (Бизнес-центр «Линкор»)</t>
  </si>
  <si>
    <t>141400, Московская обл., г. Химки, микрорайон Икеа к. 3</t>
  </si>
  <si>
    <t>634009, Томская обл., г. Томск, пер. Сакко, д. 27</t>
  </si>
  <si>
    <t>117312, г. Москва, ул. Вавилова, д. 23 стр. 1 ком. N1.207</t>
  </si>
  <si>
    <t>620102, Свердловская обл., г. Екатеринбург, ул. Московская стр. 48Г офис 2</t>
  </si>
  <si>
    <t>664009, Иркутская обл., г. Иркутск, ул. Ширямова, д. 54</t>
  </si>
  <si>
    <t>127015, г. Москва, ул. Вятская, д. 27 стр. 13 этаж / пом. / ком. 3/VII/18 (Бизнес-парк «Фактория строение 13»)</t>
  </si>
  <si>
    <t>119021, г. Москва, ул. Тимура Фрунзе, д. 11 к. 2</t>
  </si>
  <si>
    <t>625032, Тюменская обл., г. Тюмень, ул. Юрия Семовских, д. 14</t>
  </si>
  <si>
    <t>454008, Челябинская обл., г. Челябинск, ул. Чайковского, д. 20</t>
  </si>
  <si>
    <t>309500, Белгородская обл., г. Старый Оскол</t>
  </si>
  <si>
    <t>119019, г. Москва, вн.тер.г. муниципальный округ Хамовники, пер Большой Афанасьевский, д. 8, стр. 3</t>
  </si>
  <si>
    <t>454080, Челябинская обл., г. Челябинск, пос. Мелькомбинат 2 Участок 1, д. 37</t>
  </si>
  <si>
    <t>602210, Владимирская обл, г.о. округ Муром, п фабрики им. П.Л. Войкова, д. 88</t>
  </si>
  <si>
    <t>115184, г. Москва, пер. 2-Й Новокузнецкий, д. 13/15 стр. 1</t>
  </si>
  <si>
    <t>440000, Пензенская обл., г. Пенза, ул. Московская, д. 56/34 литера А этаж 3 помещения 39-41</t>
  </si>
  <si>
    <t>404103, Волгоградская обл., г. Волжский, ул. Александрова, д. 59</t>
  </si>
  <si>
    <t>356126, Ставропольский кр., Изобильненский район, пос. Солнечнодольск</t>
  </si>
  <si>
    <t>455019, Челябинская обл., г. Магнитогорск, ул. Кирова, д. 93 к. ЛАБОРАТОРНО-КОНТОРСКИЙ каб. 311</t>
  </si>
  <si>
    <t>623530, Свердловская обл., Богдановичский район, г. Богданович, ул. Гагарина, д. 2</t>
  </si>
  <si>
    <t>115191, г. Москва, вн.тер.г. муниципальный округ Даниловский, пер Холодильный, д. 3, к. 1, стр. 3</t>
  </si>
  <si>
    <t>123112, г. Москва, набережная Пресненская, д. 10 блок Б этаж 5 пом. 3</t>
  </si>
  <si>
    <t>143050, Московская обл, г.о. Одинцовский, д Малые Вязёмы, д. 20</t>
  </si>
  <si>
    <t>364022, Чеченская респ., г. Грозный, ул. Э.Э.Исмаилова, д. 4</t>
  </si>
  <si>
    <t>129329, г. Москва, ул. Кольская, д. 2 к. 6 этаж 7, пом. XI, ком. 27</t>
  </si>
  <si>
    <t>344003, Ростовская обл, г.о. город Ростов-на-Дону, г Ростов-на-Дону, пр-кт Буденновский, зд. 62/2, этаж МАНСАРДА, помещ. 11 (Бизнес-центр «Gedon»)</t>
  </si>
  <si>
    <t>123242, г. Москва, вн.тер.г. муниципальный округ Пресненский, ул Садовая-Кудринская, д. 11, стр. 1, ком. 542,544 (Бизнес-центр «Workingline»)</t>
  </si>
  <si>
    <t>452607, Башкортостан респ., г. Октябрьский, ул. Северная, д. 60</t>
  </si>
  <si>
    <t>445043, Самарская обл, г.о. Тольятти, тер. ОЭЗ ППТ, мгстр. 3-я, зд. 11, стр. 1</t>
  </si>
  <si>
    <t>188306, Ленинградская обл., Гатчинский район, г. Гатчина, тер. Промзона-1, кв-л 7</t>
  </si>
  <si>
    <t>625002, Тюменская обл., г. Тюмень, ул. Пароходская, д. 31</t>
  </si>
  <si>
    <t>249833, Калужская обл., Дзержинский район, г. Кондрово, ул. Ленина, д. 44 пом. 98</t>
  </si>
  <si>
    <t>127055, г. Москва, ул. Новослободская, д. 41 этаж 4 пом. I ком. 25 (Бизнес-центр «Чайка Плаза 7»)</t>
  </si>
  <si>
    <t>452000, Башкортостан респ., г. Октябрьский, ул. Кызыл Маяк, д. ЗД. 76/4</t>
  </si>
  <si>
    <t>460038, Оренбургская обл., г. Оренбург, проспект Дзержинского, домовладение 2/2 каб. 209</t>
  </si>
  <si>
    <t>628616, Ханты-Мансийский Автономный Округ - Югра, г. Нижневартовск, ул. Кузоваткина, д. 7</t>
  </si>
  <si>
    <t>109012, г. Москва, вн.тер.г. муниципальный округ Тверской, ул Ильинка, д. 4, помещ. 101-102, ком. 1 (Торгово-офисный центр «Гостиный двор»)</t>
  </si>
  <si>
    <t>667010, Тыва респ., г. Кызыл, ул. Сукпакская, д. 7</t>
  </si>
  <si>
    <t>654015, Кемеровская область - Кузбасс, г. Новокузнецк, шоссе Кузнецкое (Кузнецкий Р-Н), д. 9</t>
  </si>
  <si>
    <t>390006, Рязанская обл., г. Рязань, ул. Щедрина, д. 44 литера А пом. Н1</t>
  </si>
  <si>
    <t>606000, Нижегородская обл., г. Дзержинск, шоссе Речное, д. 2А к. 1 пом. 1</t>
  </si>
  <si>
    <t>649000, Алтай респ., г. Горно-Алтайск, ул. Чорос-Гуркина Г.И., д. 39/12 офис 205</t>
  </si>
  <si>
    <t>683003, Камчатский кр., г. Петропавловск-Камчатский, ул. Ленинградская, д. 27</t>
  </si>
  <si>
    <t>196641, г. Санкт-Петербург, пос. Металлострой, проезд Северный, д. 15 литера А</t>
  </si>
  <si>
    <t>143420, Московская обл, г.о. Красногорск, п Архангельское, тер. Музей техники, стр. 8, помещ. 2, офис 304</t>
  </si>
  <si>
    <t>127427, г. Москва, вн.тер.г. муниципальный округ Останкинский, ул Академика Королева, д. 12, этаж 1, помещ. IА, КОМ. 145</t>
  </si>
  <si>
    <t>107031, г. Москва, ул. Петровка, д. 27 пом. 1 ком. 8 этаж 2 (Бизнес-центр «Венский дом»)</t>
  </si>
  <si>
    <t>390540, Рязанская Область обл., Рязанский район, пос. Окский стр. 6</t>
  </si>
  <si>
    <t>125047, г. Москва, вн.тер.г. муниципальный округ Тверской, ул 1-я Брестская, д. 35, кабинет 609</t>
  </si>
  <si>
    <t>141206, Московская обл., г. Пушкино, ул. Лесная, д. 67</t>
  </si>
  <si>
    <t>115280, г. Москва, вн.тер.г. муниципальный округ Даниловский, ул Автозаводская, д. 23А, к. 2</t>
  </si>
  <si>
    <t>630126, Новосибирская обл., г. Новосибирск, ул. Выборная, д. 211</t>
  </si>
  <si>
    <t>452607, Башкортостан респ., г. Октябрьский, ул. Малая, д. ЗД 2 офис 1</t>
  </si>
  <si>
    <t>193230, г. Санкт-Петербург, пер. Челиева, д. 13 к. 3 литера Т пом. 2 (613)</t>
  </si>
  <si>
    <t>143421, Московская обл., Красногорский район, автодор. Балтия, км. 26, БИЗНЕС-ЦЕНТР "РИГА ЛЕНД" стр. Б 2</t>
  </si>
  <si>
    <t>347905, Ростовская обл., г. Таганрог, ул. Дзержинского, д. 111/21 кв. 1</t>
  </si>
  <si>
    <t>121357, г. Москва, ул. Верейская, д. 29А этаж 3 ком. 14</t>
  </si>
  <si>
    <t>614077, Пермский кр., г. Пермь, ул. Крупской, д. 79 к. А</t>
  </si>
  <si>
    <t>107023, г. Москва, ул. Электрозаводская, д. 27 стр. 8 (Деловой центр «ЛеФОРТ строение 8»)</t>
  </si>
  <si>
    <t>115230, г. Москва, ул. Нагатинская, д. 2 к. 4</t>
  </si>
  <si>
    <t>105062, г. Москва, пер. Подсосенский, д. 26 стр. 3 этаж 2 (Офисное здание)</t>
  </si>
  <si>
    <t>394036, Воронежская обл., г. Воронеж, проспект Революции, д. 51 офис 2</t>
  </si>
  <si>
    <t>306716, Курская обл., Касторенский район, пгт. Олымский, ул. 20 Лет Победы, д. 1</t>
  </si>
  <si>
    <t>163069, Архангельская обл., г. Архангельск, набережная Северной Двины, д. 112 к. 3 офис 307</t>
  </si>
  <si>
    <t>125167, г. Москва, вн.тер.г. муниципальный округ Хорошевский, пр-кт Ленинградский, д. 39, стр. 80, этаж 19, помещ. 1 (Бизнес-центр «Skylight»)</t>
  </si>
  <si>
    <t>125047, г. Москва, ул. 4-Я Тверская-Ямская, д. 16 к. 3</t>
  </si>
  <si>
    <t>117149, г. Москва, вн.тер.г. муниципальный округ Зюзино, ул Азовская, д. 6, к. 3, помещ. 7,БЛОК 6/1,ЭТАЖ 6</t>
  </si>
  <si>
    <t>117485, г. Москва, ул. Профсоюзная, д. 84/32 стр. 5</t>
  </si>
  <si>
    <t>410005, Саратовская обл, г.о. город Саратов, г Саратов, ул им Рахова В.Г., д. 187/213, ком. 428</t>
  </si>
  <si>
    <t>109004, г. Москва, вн.тер.г. муниципальный округ Таганский, пер Товарищеский, д. 8, стр. 1</t>
  </si>
  <si>
    <t>105005, г. Москва, ул. Малая Почтовая, д. 2/2 стр. 6</t>
  </si>
  <si>
    <t>644035, Омская обл., г. Омск, ул. Комбинатская, д. 13</t>
  </si>
  <si>
    <t>115054, г. Москва, вн.тер.г. муниципальный округ Замоскворечье, наб Космодамианская, д. 52, стр. 4 (Бизнес-центр «Riverside Towers 52с4»)</t>
  </si>
  <si>
    <t>141112, Московская обл, г.о. Щёлково, г Щёлково, ул Московская, стр. 27Б, к. 1, помещ. 201</t>
  </si>
  <si>
    <t>105005, г. Москва, вн.тер.г. муниципальный округ Басманный, ул Бауманская, д. 58А, помещ. 2/1</t>
  </si>
  <si>
    <t>685007, Магаданская обл., г. Магадан, ул. Транспортная, д. 1</t>
  </si>
  <si>
    <t>127254, г. Москва, проезд Огородный, д. 18</t>
  </si>
  <si>
    <t>121170, г. Москва, ул. Кульнева, д. 3 стр. 1 этаж 6 пом. VIII ком. 35 (Бизнес-центр «Бородинский»)</t>
  </si>
  <si>
    <t>644037, Омская обл., г. Омск, ул. Партизанская, д. 10</t>
  </si>
  <si>
    <t>644105, Омская обл., г. Омск, ул. Разъездная, д. 14 литера Б</t>
  </si>
  <si>
    <t>644042, Омская обл., г. Омск, ул. Маяковского, д. 2</t>
  </si>
  <si>
    <t>644035, Омская обл., г. Омск, проспект Губкина, д. 30</t>
  </si>
  <si>
    <t>644073, Омская обл., г. Омск, ул. Электрификаторов, д. 7</t>
  </si>
  <si>
    <t>125284, г. Москва, проспект Ленинградский, д. 31А стр. 1 этаж 18 пом. 1 ком. 15В</t>
  </si>
  <si>
    <t>644027, Омская обл., г. Омск, ул. Л. Чайкиной, д. 8</t>
  </si>
  <si>
    <t>644089, Омская обл., г. Омск, проезд Доковский, д. 2</t>
  </si>
  <si>
    <t>117393, г. Москва, ул. Профсоюзная, д. 56 этаж 5 пом. 23 ком. 32 (Торгово-офисный центр «Черемушки (Cherry Tower)»)</t>
  </si>
  <si>
    <t>603064, Нижегородская обл., г. Нижний Новгород, ул. Окская Гавань, д. 11</t>
  </si>
  <si>
    <t>164840, Архангельская обл., Онежский район, г. Онега, ул. Гутина, д. 2</t>
  </si>
  <si>
    <t>630108, Новосибирская обл., г. Новосибирск, ул. Станционная, д. 30А корп. ОБЪЕКТ 611 пом. 79</t>
  </si>
  <si>
    <t>214025, Смоленская обл., г. Смоленск, ул. Нормандия-Неман, д. 35 офис 306 (Торгово-деловой комплекс «Неман»)</t>
  </si>
  <si>
    <t>123182, г. Москва, ул. Щукинская, д. 2 этаж 3 пом. 50</t>
  </si>
  <si>
    <t>117042, г. Москва, ул. Академика Понтрягина, д. 21 к. 1 пом. VII ком. 1</t>
  </si>
  <si>
    <t>109029, г. Москва, вн.тер.г. муниципальный округ Нижегородский, ул Средняя Калитниковская, д. 28, стр. 4, этаж/пом/ком 1/VIII/№55</t>
  </si>
  <si>
    <t>105064, г. Москва, ул. Земляной Вал, д. 9 этаж / пом. / ком. 10/I/3 (Бизнес-центр «Citydel»)</t>
  </si>
  <si>
    <t>195027, г. Санкт-Петербург, набережная Свердловская, д. 38 литера В</t>
  </si>
  <si>
    <t>153005, Ивановская обл., г. Иваново, ул. Сосновая, д. 28</t>
  </si>
  <si>
    <t>398007, Липецкая обл., г. Липецк, ул. Ковалева, владение 125</t>
  </si>
  <si>
    <t>129344, г. Москва, вн.тер.г. муниципальный округ Бабушкинский, ул Искры, д. 17А, стр. 2, этаж 2, офис 2/2/П-1 (Бизнес-центр «Линия 17Ас2»)</t>
  </si>
  <si>
    <t>140563, Московская обл., г. Озёры, ул. Ленина, д. 209</t>
  </si>
  <si>
    <t>142600, Московская обл, Орехово-Зуево г, г.о. Орехово-Зуевский, проезд Заготзерно, д. 10, офис 7</t>
  </si>
  <si>
    <t>111524, г. Москва, ул. Электродная, д. 2 стр. 12-13-14 этаж 3 пом. IV ком. 2 офис 3</t>
  </si>
  <si>
    <t>422094, Татарстан респ., Тюлячинский район, с. Большие Нырси, ул. Школьная, д. 8 пом. 1</t>
  </si>
  <si>
    <t>450047, Башкортостан респ., г. Уфа, ул. Менделеева, д. 9</t>
  </si>
  <si>
    <t>119334, г. Москва, вн.тер.г. муниципальный округ Донской, ул Вавилова, д. 5, к. 3, помещ. I, КОМ. 5, ЭТАЖ Т1</t>
  </si>
  <si>
    <t>123290, г. Москва, ул. 2-Я Магистральная, д. 14Г стр. 1 этаж 3 офис 303</t>
  </si>
  <si>
    <t>115404, г. Москва, ул. Ряжская, д. 13 к. 1 этаж 4 пом. I К 19</t>
  </si>
  <si>
    <t>630008, Новосибирская обл., г. Новосибирск, ул. Сакко И Ванцетти, д. 77 этаж 5</t>
  </si>
  <si>
    <t>143441, Московская обл., г. Красногорск, д. Путилково, тер. Гринвуд стр. 23 пом. 256, этаж 4</t>
  </si>
  <si>
    <t>140073, Московская обл., г. Люберцы, рабочий пос. Томилино, микрорайон Птицефабрика стр. 7М</t>
  </si>
  <si>
    <t>109428, г. Москва, вн.тер.г. муниципальный округ Рязанский, пр-кт Рязанский, д. 22, к. 2, этаж 8, помещ./ком. XIV/4</t>
  </si>
  <si>
    <t>119415, г. Москва, ул. Удальцова, д. 1 литера А</t>
  </si>
  <si>
    <t>129626, г. Москва, ул. 2-Я Мытищинская, д. 2 стр. 2 этаж 1; пом. IV; ком. 7</t>
  </si>
  <si>
    <t>196247, г. Санкт-Петербург, пл. Конституции, д. 3 литера А пом. 16Н</t>
  </si>
  <si>
    <t>190020, г. Санкт-Петербург, ул. Лифляндская, д. 6 литера д пом. 315 (Бизнес-центр «Интеграл»)</t>
  </si>
  <si>
    <t>442241, Пензенская обл, м.р-н Каменский, г.п. город Каменка, г Каменка, ул Белинская, д. 56, офис 1</t>
  </si>
  <si>
    <t>107497, г. Москва, вн.тер.г. муниципальный округ Гольяново, ул Амурская, д. 7, стр. 4, помещ. 1, ком. 1-9</t>
  </si>
  <si>
    <t>440058, Пензенская обл., г. Пенза, ул. Бийская, д. 1Г офис 14</t>
  </si>
  <si>
    <t>620137, Свердловская обл., г. Екатеринбург, ул. Учителей, д. 10 литера А</t>
  </si>
  <si>
    <t>105064, г. Москва, пер. Нижний Сусальный, д. 5 стр. 5А этаж 1 пом. I ком. 13</t>
  </si>
  <si>
    <t>193230, г. Санкт-Петербург, ул. Тельмана, д. 24 литера А</t>
  </si>
  <si>
    <t>620050, Свердловская обл., г. Екатеринбург, ул. Монтажников, д. 2Б офис 162</t>
  </si>
  <si>
    <t>656037, Алтайский кр., г. Барнаул, проспект Ленина, д. 156А офис 306</t>
  </si>
  <si>
    <t>101000, г. Москва, пер. Девяткин, д. 5 стр. 3 ком. 113</t>
  </si>
  <si>
    <t>117418, г. Москва, ул. Новочерёмушкинская, д. 63 пом. VIII этаж 2 ком. 37</t>
  </si>
  <si>
    <t>174350, Новгородская обл., Окуловский район, тер. 2-Ой Км Автодороги Окуловка-Кулотино, д. 1 стр. 2 пом. 17</t>
  </si>
  <si>
    <t>196066, г. Санкт-Петербург, проспект Ленинский, д. 161 к. 2 литера А офис 5-С</t>
  </si>
  <si>
    <t>353290, Краснодарский край, г.о. город Горячий Ключ, г Горячий Ключ, ул Революции, д. 4, офис 19</t>
  </si>
  <si>
    <t>662314, Красноярский кр., г. Шарыпово, микрорайон 5-Й, д. 3 офис 1</t>
  </si>
  <si>
    <t>303205, Орловская обл., Кромской район, с. Бельдяжки, д. ЗД. 201</t>
  </si>
  <si>
    <t>302043, Орловская обл., г. Орёл, пер. Маслозаводской, д. 21</t>
  </si>
  <si>
    <t>108810, г. Москва, вн.тер.г. поселение Марушкинское, д Крёкшино, проезд Терминальный, д. 3, стр. 4, этаж 2, ком. 64Е</t>
  </si>
  <si>
    <t>460048, Оренбургская обл., г. Оренбург, проспект Победы, д. 164</t>
  </si>
  <si>
    <t>462114, Оренбургская обл., Саракташский район, с. Черный Отрог, ул. Дорожная, д. 50</t>
  </si>
  <si>
    <t>460036, Оренбургская обл., г. Оренбург, ул. Лесозащитная, д. 18</t>
  </si>
  <si>
    <t>460021, Оренбургская обл, г.о. город Оренбург, г Оренбург, ул 60 лет Октября, д. 30/2</t>
  </si>
  <si>
    <t>461634, Оренбургская обл., г. Бугуруслан, ул. Фруктовая, д. 15</t>
  </si>
  <si>
    <t>460021, Оренбургская обл., г. Оренбург, ул. 60 Лет Октября, д. 1/9 к. 2</t>
  </si>
  <si>
    <t>462781, Оренбургская обл., г. Ясный, ул. Ленина, д. 7</t>
  </si>
  <si>
    <t>350063, Краснодарский кр., г. Краснодар, ул. Советская, д. 30 (ЦЕНТР МЕЖДУНАРОДНОЙ ТОРГОВЛИ)</t>
  </si>
  <si>
    <t>125315, г. Москва, проспект Ленинградский, д. 72 к. 1 этаж 8 пом. XIV ком. 1,2,3,4,5,6,8,9</t>
  </si>
  <si>
    <t>188682, Ленинградская обл., Всеволожский район, пос. Имени Свердлова, микрорайон 1-Й, д. 15 каб. 201</t>
  </si>
  <si>
    <t>188682, Ленинградская обл., Всеволожский район, пос. Имени Свердлова, микрорайон 1-Й, уч. 15/4</t>
  </si>
  <si>
    <t>195197, г. Санкт-Петербург, проспект Кондратьевский, д. 15 к. 2 литера З офис 236</t>
  </si>
  <si>
    <t>195220, г. Санкт-Петербург, ул. Фаворского, д. 12 литера В офис 296</t>
  </si>
  <si>
    <t>108811, г. Москва, км. Киевское Шоссе 22-Й (П Московский), домовладение 6 стр. 1 этаж 3 пом. II ком. 18</t>
  </si>
  <si>
    <t>119034, г. Москва, пер. Сеченовский, д. 6 стр. 3</t>
  </si>
  <si>
    <t>143002, Московская обл., г. Одинцово, шоссе Можайское, д. 80Б этаж , ком. 2, 213Б</t>
  </si>
  <si>
    <t>196158, г. Санкт-Петербург, вн.тер.г. муниципальный округ Звездное, ш Пулковское, д. 14, стр. 6, помещ. 691 ОФ. 3 Р.М. 2</t>
  </si>
  <si>
    <t>660015, Красноярский кр., Емельяновский район, пос. Солонцы, проспект Котельникова, д. 16</t>
  </si>
  <si>
    <t>101000, г. Москва, пер. Кривоколенный, д. 5 стр. 4 этаж 4 пом. I ком. 11</t>
  </si>
  <si>
    <t>119048, г. Москва, ул. Усачёва, д. 37 к. 1</t>
  </si>
  <si>
    <t>302020, Орловская обл., г. Орёл, ул. Полесская, д. 28К</t>
  </si>
  <si>
    <t>115230, г. Москва, проезд Хлебозаводский, д. 7 стр. 9 этаж 4 пом. XI ком. 5Ц (Бизнес-центр "Калейдоскоп")</t>
  </si>
  <si>
    <t>115230, г. Москва, проезд Хлебозаводский, д. 7 стр. 9 этаж 3 пом. X ком. 36 (Бизнес-центр "Калейдоскоп")</t>
  </si>
  <si>
    <t>195112, г. Санкт-Петербург, проспект Малоохтинский, д. 64 литера В пом. 26Н (Бизнес-центр «Санкт-Петербург Плаза корпус 3»)</t>
  </si>
  <si>
    <t>462407, Оренбургская обл., г. Орск, ул. Гончарова, д. 1А</t>
  </si>
  <si>
    <t>117556, г. Москва, ул. Фруктовая, д. 3А ком. ПРАВЛЕНИЯ</t>
  </si>
  <si>
    <t>355000, Ставропольский кр., г. Ставрополь, ул. Доваторцев, д. 140</t>
  </si>
  <si>
    <t>601503, Владимирская обл., г. Гусь-Хрустальный, ул. Интернациональная, д. 114</t>
  </si>
  <si>
    <t>392036, Тамбовская обл., г. Тамбов, ул. Носовская, д. 3 д этаж / ком. 3/4</t>
  </si>
  <si>
    <t>105082, г. Москва, пер. Переведеновский, д. 13 стр. 5</t>
  </si>
  <si>
    <t>649006, Алтай респ., г. Горно-Алтайск, проспект Коммунистический, д. 68 пом. 328</t>
  </si>
  <si>
    <t>396670, Воронежская обл., Ольховатский район, рабочий пос. Ольховатка, ул. Жуковского, д. 6</t>
  </si>
  <si>
    <t>129110, г. Москва, ул. Гиляровского, д. 57 стр. 1 этаж 1 пом. 18 (Бизнес-центр «Гиляровского 57»)</t>
  </si>
  <si>
    <t>600005, Владимирская обл., г. Владимир, ул. Тракторная, д. 45 офис 100 (Торговый центр «Мегаторг»)</t>
  </si>
  <si>
    <t>119270, г. Москва, набережная Лужнецкая, д. 10А стр. 3 этаж 3 пом. 1 ком. 14</t>
  </si>
  <si>
    <t>117279, г. Москва, ул. Миклухо-Маклая, д. 34 антресоль 1 пом. XII ком. 3-8, 10-18</t>
  </si>
  <si>
    <t>123112, г. Москва, набережная Пресненская, д. 6 стр. 2 этаж 13 пом. I ком. 23 (Деловой комплекс "Империя")</t>
  </si>
  <si>
    <t>115432, г. Москва, проспект Андропова, д. 18 к. 7 этаж 8 офис 1</t>
  </si>
  <si>
    <t>117420, г. Москва, ул. Профсоюзная, д. 61А (Торгово-развлекательный центр «Калужский»)</t>
  </si>
  <si>
    <t>693010, Сахалинская обл., г. Южно-Сахалинск, пер. Алтайский, д. 15</t>
  </si>
  <si>
    <t>190005, г. Санкт-Петербург, набережная Обводного Канала, д. 118А литера Х офис 218</t>
  </si>
  <si>
    <t>694520, Сахалинская обл., Южно-Курильский район, с. Малокурильское, ул. Советская, д. 8 литера В каб. 1</t>
  </si>
  <si>
    <t>302038, Орловская обл., Орловский район, ул. Раздольная, д. 101</t>
  </si>
  <si>
    <t>620075, Свердловская обл., г. Екатеринбург, ул. Белинского, д. 39</t>
  </si>
  <si>
    <t>238400, Калининградская обл., Правдинский район, г. Правдинск, ул. Дружбинское Шоссе, д. 4 пом. 8</t>
  </si>
  <si>
    <t>123112, г. Москва, ул. Тестовская, д. 10 этаж 12 пом. II ком. 29 (Бизнес-квартал «Симоновский»)</t>
  </si>
  <si>
    <t>115280, г. Москва, ул. Ленинская Слобода, д. 19 стр. 6 (Бизнес-центр «Omega Plaza строение 6»)</t>
  </si>
  <si>
    <t>630007, Новосибирская обл., г. Новосибирск, ул. Коммунистическая, д. 2 офис 301 (Бизнес-центр «Евразия»)</t>
  </si>
  <si>
    <t>115114, г. Москва, ул. Летниковская, д. 10 стр. 4 пом. / этаж / офис 1/8/3 (Бизнес-центр "Святогор-4")</t>
  </si>
  <si>
    <t>107078, г. Москва, ул. Садовая-Черногрязская, д. 8 стр. 7 (Бизнес-квартал «Юсупов Двор»)</t>
  </si>
  <si>
    <t>127474, г. Москва, вн.тер.г. муниципальный округ Бескудниковский, ш Дмитровское, д. 60А, этаж 1, ПОМЕЩ. IA, ком. 18 (Бизнес-центр «Лихоборский»)</t>
  </si>
  <si>
    <t>350915, Краснодарский кр., г. Краснодар, станица Елизаветинская, ул. Энергетиков, д. 3 литера Г17 пом. 2</t>
  </si>
  <si>
    <t>443083, Самарская обл., г. Самара, ул. Победы, д. 4А офис 11</t>
  </si>
  <si>
    <t>143440, Московская обл, г.о. Красногорск, д Путилково, тер. Гринвуд, стр. 1, литер 9Б, помещ. 234</t>
  </si>
  <si>
    <t>142455, Московская обл, г.о. Богородский, тер. Носовихинское шоссе, ул 26-ой километр, д. 1, этаж/кабинет 3/319</t>
  </si>
  <si>
    <t>143440, Московская обл, г.о. Красногорск, д Путилково, тер. Гринвуд, стр. 7</t>
  </si>
  <si>
    <t>107140, г. Москва, ул. Верхняя Красносельская, д. 3 стр. 1 ком. 601</t>
  </si>
  <si>
    <t>115093, г. Москва, пер. 1-Й Щипковский, д. 3</t>
  </si>
  <si>
    <t>353535, Краснодарский кр., Темрюкский район, пос. Волна, ул. Таманская, д. 8</t>
  </si>
  <si>
    <t>654006, Кемеровская область - Кузбасс, г. Новокузнецк, проспект Курако (Куйбышевский Р-Н), д. 33</t>
  </si>
  <si>
    <t>192019, г. Санкт-Петербург, вн.тер.г. муниципальный округ Невская застава, ул Седова, д. 11, литера А, помещ. 928</t>
  </si>
  <si>
    <t>115432, г. Москва, проезд Проектируемый 4062-Й, д. 6 стр. 16 этаж / пом. 2/№7А (Бизнес-центр "Port Plaza")</t>
  </si>
  <si>
    <t>394026, Воронежская обл., г. Воронеж, ул. 45 Стрелковой Дивизии, д. 261А</t>
  </si>
  <si>
    <t>394026, Воронежская обл., г. Воронеж, ул. 45 Стрелковой Дивизии, д. 261А пом. 25</t>
  </si>
  <si>
    <t>142006, Московская обл., г. Домодедово, ул. Заборье (Востряково Мкр.), д. 2 д к. 10</t>
  </si>
  <si>
    <t>400059, Волгоградская обл, г.о. город-герой Волгоград, г Волгоград, ул им. Никитина, д. 2, помещ. 17</t>
  </si>
  <si>
    <t>394026, Воронежская обл., г. Воронеж, ул. 45 Стрелковой Дивизии, д. 261-А</t>
  </si>
  <si>
    <t>115280, г. Москва, ул. Ленинская Слобода, д. 19 этаж 1 офис 41X1 д (Многофункциональный комплекс «Омега Плаза»)</t>
  </si>
  <si>
    <t>156009, Костромская обл, г.о. город Кострома, г Кострома, ул Юбилейная, д. 28И, помещ. 3</t>
  </si>
  <si>
    <t>680000, Хабаровский кр., г. Хабаровск, ул. Истомина, д. 51А офис 909 (Бизнес-центр "Капитал")</t>
  </si>
  <si>
    <t>127473, г. Москва, ул. Делегатская, д. 5 стр. 1 (Бизнес-центр на Ул. Делегатская, 5С1)</t>
  </si>
  <si>
    <t>107078, г. Москва, ул. Каланчевская, д. 13 ком. 1 (Бизнес-центр)</t>
  </si>
  <si>
    <t>121471, г. Москва, ул. Рябиновая, д. 44</t>
  </si>
  <si>
    <t>115035, г. Москва, набережная Раушская, д. 8 (Бизнес-центр на Раушской, 8)</t>
  </si>
  <si>
    <t>117246, г. Москва, проезд Научный, д. 17 этаж 6, пом. XI, ком. 1 (Бизнес-центр «Научный проезд 17»)</t>
  </si>
  <si>
    <t>644042, Омская обл., г. Омск, проспект Карла Маркса, д. 41/15</t>
  </si>
  <si>
    <t>309515, Белгородская обл., г. Старый Оскол, проспект Алексея Угарова, д. 218 здание 2</t>
  </si>
  <si>
    <t>123308, г. Москва, проспект Маршала Жукова, д. 2 пом. I пом. 3В</t>
  </si>
  <si>
    <t>142000, Московская обл., г. Домодедово, тер. Паблик Проперти (Центральный Мкр.) стр. 1</t>
  </si>
  <si>
    <t>685000, Магаданская обл., г. Магадан, проспект Ленина, д. 3</t>
  </si>
  <si>
    <t>396420, Воронежская обл., Павловский район, г. Павловск, ул. Строительная, д. 8</t>
  </si>
  <si>
    <t>606108, Нижегородская обл., Павловский район, г. Павлово, ул. Вокзальная, д. 64</t>
  </si>
  <si>
    <t>606135, Нижегородская обл., Павловский район, д. Долгово, д. 1А</t>
  </si>
  <si>
    <t>656038, Алтайский кр., г. Барнаул, проспект Комсомольский, д. 120 каб. 201</t>
  </si>
  <si>
    <t>603006, Нижегородская обл., г. Нижний Новгород, ул. Варварская, д. 40А пом. 5</t>
  </si>
  <si>
    <t>352040, Краснодарский кр., Павловский район, станица Павловская, тер. Промзона</t>
  </si>
  <si>
    <t>352041, Краснодарский кр., Павловский район, станица Павловская, ул. Ворошилова, д. 2</t>
  </si>
  <si>
    <t>423800, Татарстан респ., г. Набережные Челны, проезд Резервный, д. 42/4</t>
  </si>
  <si>
    <t>117105, г. Москва, шоссе Варшавское, д. 1 стр. 6 офис 27 (БЦ "W Plaza 2")</t>
  </si>
  <si>
    <t>142184, Московская обл., г. Подольск, проспект 50 Лет Октября (Климовск Мкр.), д. 21А к. ПРОИЗВОДСТВЕННО-СКЛ каб. 12</t>
  </si>
  <si>
    <t>115093, г. Москва, ул. Люсиновская, д. 39 стр. 5 этаж 5 пом. I ком. 3,3А</t>
  </si>
  <si>
    <t>141420, Московская обл., г. Химки, микрорайон Сходня, ул. Горная (Сходня Мкр.), д. 21А офис 13</t>
  </si>
  <si>
    <t>344068, Ростовская обл, г.о. город Ростов-на-Дону, г Ростов-на-Дону, ул Евдокимова, д. 102Б, помещ. 59</t>
  </si>
  <si>
    <t>350072, Краснодарский кр., г. Краснодар, ул. Тополиная, д. 14 этаж 2 каб. 12</t>
  </si>
  <si>
    <t>355042, Ставропольский кр., г. Ставрополь, ул. Доваторцев, д. 47 к. Б</t>
  </si>
  <si>
    <t>141407, Московская обл., г. Химки, ул. Панфилова, владение 21 стр. 1 этаж / пом. 8/0802 (Деловой центр «Кантри Парк Кантри Парк III»)</t>
  </si>
  <si>
    <t>143085, Московская обл., г. Одинцово, рабочий пос. Заречье, ул. Торговая, д. 4 стр. 1</t>
  </si>
  <si>
    <t>394014, Воронежская обл., г. Воронеж, ул. Лебедева, д. 10 офис 21</t>
  </si>
  <si>
    <t>173008, Новгородская обл., г. Великий Новгород, ул. Рабочая, д. 15</t>
  </si>
  <si>
    <t>173008, Новгородская обл., г. Великий Новгород, ул. Рабочая, д. 9</t>
  </si>
  <si>
    <t>121596, г. Москва, вн.тер.г. муниципальный округ Можайский, ул Горбунова, д. 2, стр. 3, помещ. 35 (Бизнес центр "Гранд Сетунь Плаза")</t>
  </si>
  <si>
    <t>350063, Краснодарский кр., г. Краснодар, ул. Кубанская Набережная, д. 45 этаж 7 (Бизнес-центр «Премьер»)</t>
  </si>
  <si>
    <t>298650, Крым респ., г. Ялта, пгт. Массандра, ул. Винодела Егорова, д. 9</t>
  </si>
  <si>
    <t>109387, г. Москва, ул. Люблинская, д. 55 пом. 13, этаж 3</t>
  </si>
  <si>
    <t>350916, Краснодарский кр., г. Краснодар, ул. Им. Калинина, д. 1 офис 8</t>
  </si>
  <si>
    <t>346516, Ростовская обл., г. Шахты, пер. Доронина, д. 2Б ком. 5</t>
  </si>
  <si>
    <t>125040, г. Москва, вн.тер.г. муниципальный округ Беговой, ул Скаковая, д. 17, стр. 1 (Бизнес-центр «Rgr Plaza»)</t>
  </si>
  <si>
    <t>123592, г. Москва, бульвар Строгинский, д. 14 к. 4</t>
  </si>
  <si>
    <t>117519, г. Москва, шоссе Варшавское, д. 133 этаж 4 пом. 434</t>
  </si>
  <si>
    <t>150054, Ярославская обл., г. Ярославль, ул. Чкалова, д. 2 офис 1130</t>
  </si>
  <si>
    <t>354340, Краснодарский край, ф.т. Сириус, пгт. Сириус, пр-кт Континентальный, д. 6</t>
  </si>
  <si>
    <t>142701, Московская обл, г.о. Ленинский, г Видное, ул Ольховая, д. 9, помещ. 11, ком. 14</t>
  </si>
  <si>
    <t>630024, Новосибирская обл, г.о. город Новосибирск, г Новосибирск, ул Ватутина, зд. 38Д, помещ. 3.3</t>
  </si>
  <si>
    <t>194044, г. Санкт-Петербург, набережная Выборгская, д. 29 литера А пом. 9-Н, 18-Н офис №222</t>
  </si>
  <si>
    <t>683006, Камчатский кр., г. Петропавловск-Камчатский, ул. Чубарова, д. 16/4</t>
  </si>
  <si>
    <t>111024, г. Москва, ул. 5-Я Кабельная, д. 2Б стр. 1 ком. 2-7-Г</t>
  </si>
  <si>
    <t>142000, Московская обл, г.о. Домодедово, г Домодедово, мкр. Центральный, ул Корнеева, д. 8, этаж 3, ПАВИЛЬОН 318</t>
  </si>
  <si>
    <t>660099, Красноярский кр., г. Красноярск, ул. Обороны, д. 21А</t>
  </si>
  <si>
    <t>127410, г. Москва, вн.тер.г. муниципальный округ Отрадное, ш Алтуфьевское, д. 37, стр. 1</t>
  </si>
  <si>
    <t>197110, г. Санкт-Петербург, ул. Большая Разночинная, д. 14 литера А пом. 107</t>
  </si>
  <si>
    <t>690066, Приморский кр., г. Владивосток, ул. Шилкинская, д. 7Б офис 2</t>
  </si>
  <si>
    <t>107199, г. Москва, проезд Черницынский, д. 3 стр. 1 этаж 2 офис 121</t>
  </si>
  <si>
    <t>195197, г. Санкт-Петербург, проспект Полюстровский, д. 39</t>
  </si>
  <si>
    <t>115114, г. Москва, ул. Кожевническая, д. 7 стр. 1</t>
  </si>
  <si>
    <t>129515, г. Москва, ул. Академика Королева, д. 8 к. 3</t>
  </si>
  <si>
    <t>620014, Свердловская обл., г. Екатеринбург, ул. Хохрякова, д. 72 офис 306</t>
  </si>
  <si>
    <t>440028, Пензенская обл., г. Пенза, проспект Победы, д. 42 пом. 23</t>
  </si>
  <si>
    <t>107078, г. Москва, вн.тер.г. муниципальный округ Красносельский, ул Маши Порываевой, д. 34, этаж/помещ. 4/III, ком. 1 (Бизнес-центр «Домников»)</t>
  </si>
  <si>
    <t>295047, Крым респ., г. Симферополь, ул. Героев Сталинграда, д. 12</t>
  </si>
  <si>
    <t>692998, Приморский кр., Лазовский район, пгт. Преображение, ул. Портовая, д. 1</t>
  </si>
  <si>
    <t>125167, г. Москва, проспект Ленинградский, д. 37 к. 11</t>
  </si>
  <si>
    <t>461043, Оренбургская обл., г. Бузулук, ул. Объездная, д. 9</t>
  </si>
  <si>
    <t>127106, г. Москва, проезд Нововладыкинский, д. 8 стр. 5 офис / этаж 403/4 (Бизнес-центр)</t>
  </si>
  <si>
    <t>652870, Кемеровская область - Кузбасс, г.о. Междуреченский, г Междуреченск, ул Кузнецкая, д. 1А</t>
  </si>
  <si>
    <t>628617, Ханты-Мансийский Автономный Округ - Югра, г. Нижневартовск, ул. Чапаева, д. 79 офис 1001</t>
  </si>
  <si>
    <t>454103, Челябинская обл, г.о. Челябинский, вн.р-н Центральный, г Челябинск, пр-кт Новоградский, д. 15</t>
  </si>
  <si>
    <t>188452, Ленинградская обл., Кингисеппский район, промзона Фосфорит</t>
  </si>
  <si>
    <t>105066, г. Москва, ул. Новорязанская, д. 24</t>
  </si>
  <si>
    <t>109147, г. Москва, вн.тер.г. муниципальный округ Таганский, ул Марксистская, д. 34, к. 10, этаж 4, помещ. 1, КОМНАТА 24</t>
  </si>
  <si>
    <t>443528, Самарская обл., Волжский район, пгт. Стройкерамика, тер. Животноводческая Ферма</t>
  </si>
  <si>
    <t>105120, г. Москва, вн.тер.г. муниципальный округ Таганский, пер 2-й Сыромятнический, д. 1, этаж 9, помещ. I К. 112</t>
  </si>
  <si>
    <t>121353, г. Москва, шоссе Сколковское, д. 31 стр. 2 этаж 7 пом. I ком. 24 (Офисное здание «Бизнес центр «Можайский»»)</t>
  </si>
  <si>
    <t>440015, Пензенская обл., г. Пенза, ул. Аустрина, д. 178</t>
  </si>
  <si>
    <t>440034, Пензенская обл., г. Пенза, ул. Калинина, д. 112А</t>
  </si>
  <si>
    <t>440032, Пензенская обл., г. Пенза, проезд Сибирский, д. 11</t>
  </si>
  <si>
    <t>119017, г. Москва, ул. Малая Ордынка, д. 15</t>
  </si>
  <si>
    <t>141580, Московская обл., г. Солнечногорск, тер. Свободной Экономической Зоны Шерризон стр. 1</t>
  </si>
  <si>
    <t>620039, Свердловская обл., г. Екатеринбург, пер. Никольский стр. 1</t>
  </si>
  <si>
    <t>115054, г. Москва, ул. Валовая, д. 28 (Бизнес-парк «Сытинъ на ул. Валовая, 28»)</t>
  </si>
  <si>
    <t>105082, г. Москва, ул. Фридриха Энгельса, д. 75 стр. 5 П VIII К 1 офис 613 этаж 1 (Бизнес-центр )</t>
  </si>
  <si>
    <t>690012, Приморский кр., г. Владивосток, ул. Полтавская, д. ЗД. 18 офис 2</t>
  </si>
  <si>
    <t>620026, Свердловская обл., г. Екатеринбург, ул. Гоголя, д. 36 кв. 1104 (Бизнес-центр «Капитал»)</t>
  </si>
  <si>
    <t>123007, г. Москва, проезд 3-Й Хорошёвский, д. 3 этаж / пом. / ком. 2/I/6</t>
  </si>
  <si>
    <t>249845, Калужская обл., Дзержинский район, пос. Полотняный Завод, стр. ИНВ. № 14/1635 литера стр. 1 ком. 17</t>
  </si>
  <si>
    <t>454090, Челябинская обл., г. Челябинск, ул. 3-Го Интернационала, д. 107</t>
  </si>
  <si>
    <t>396160, Воронежская обл., Панинский район, рабочий пос. Перелешинский, ул. Ленина, д. 1</t>
  </si>
  <si>
    <t>108820, г. Москва, Мосрентген пос., пос. Завода Мосрентген, ул. Героя России Соломатина, домовладение 6 к. 10 пом. 9</t>
  </si>
  <si>
    <t>614990, Пермский кр., г. Пермь, ул. Героев Хасана, д. 92</t>
  </si>
  <si>
    <t>618703, Пермский кр., г. Добрянка, рабочий пос. Полазна, ул. Трухина, д. 70</t>
  </si>
  <si>
    <t>614068, Пермский кр., г. Пермь, ул. Сергея Данщина, д. 1 к. А</t>
  </si>
  <si>
    <t>614007, Пермский кр., г. Пермь, ул. Тимирязева, д. 37</t>
  </si>
  <si>
    <t>634061, Томская обл., г. Томск, проспект Фрунзе, д. 92А</t>
  </si>
  <si>
    <t>141014, Московская обл., Мытищи г.о., г. Мытищи, ул. Веры Волошиной, д. 19/16</t>
  </si>
  <si>
    <t>173000, Новгородская обл, г.о. Великий Новгород, г Великий Новгород, ул Славная, д. 46, помещ. 4, ком. 101</t>
  </si>
  <si>
    <t>125310, г. Москва, ул. Митинская, д. 55 к. 1 пом. 16</t>
  </si>
  <si>
    <t>143581, Московская обл., г. Истра, д. Лешково, д. 209</t>
  </si>
  <si>
    <t>446160, Самарская обл., Пестравский район, с. Пестравка, ул. Степная, д. 7</t>
  </si>
  <si>
    <t>422527, Татарстан респ., Зеленодольский район, с. Осиново, УЛИЦА площадка ПТИЦЕКОМПЛЕКС офис З-ДАНИЕ 1</t>
  </si>
  <si>
    <t>115230, г. Москва, вн.тер.г. муниципальный округ Нагорный, ш Варшавское, д. 42, этаж 1, ком. 1134 (Бизнес-центр «Варшавский»)</t>
  </si>
  <si>
    <t>196140, г. Санкт-Петербург, пос. Шушары, шоссе Пулковское, д. 54 литера А</t>
  </si>
  <si>
    <t>191180, г. Санкт-Петербург, набережная Реки Фонтанки, д. 90 к. 1, литера А</t>
  </si>
  <si>
    <t>195009, г. Санкт-Петербург, ул. Михайлова, д. 11 (Бизнес-центр на Ул. Михайлова, 11)</t>
  </si>
  <si>
    <t>197349, г. Санкт-Петербург, ул. Ольховая, д. 4</t>
  </si>
  <si>
    <t>196240, г. Санкт-Петербург, проезд 4-Й Предпортовый, д. 5</t>
  </si>
  <si>
    <t>190013, г. Санкт-Петербург, проспект Московский, д. 28</t>
  </si>
  <si>
    <t>196006, г. Санкт-Петербург, вн.тер.г. муниципальный округ Московская застава, пр-кт Лиговский, д. 266, стр. 1, офис 11.1-Н.199</t>
  </si>
  <si>
    <t>188561, Ленинградская обл., Сланцевский район, г. Сланцы, ул. Ломоносова, д. 25А</t>
  </si>
  <si>
    <t>450096, Башкортостан респ., г. Уфа, ул. Шафиева, д. 44 офис 303</t>
  </si>
  <si>
    <t>198206, г. Санкт-Петербург, шоссе Петергофское, д. 71</t>
  </si>
  <si>
    <t>117393, г. Москва, ул. Академика Пилюгина, д. 22 этаж 19 пом. XLI ком. 1-10,27,28,32-34 (Бизнес-центр «Алгоритм»)</t>
  </si>
  <si>
    <t>197022, г. Санкт-Петербург, вн.тер.г. муниципальный округ Аптекарский остров, ул Профессора Попова, д. 23, литера Д, помещ. 19Н ОФИС 121, ком. 2 (Деловой квартал «Гайот корпус Д»)</t>
  </si>
  <si>
    <t>107031, г. Москва, ул. Петровка, д. 15/13 стр. 5 этаж 1 пом. I ком. 22-32 (Бизнес-центр «Петровка 15»)</t>
  </si>
  <si>
    <t>188480, Ленинградская обл., Кингисеппский район, г. Кингисепп, ул. Профилакторная, д. 2</t>
  </si>
  <si>
    <t>117342, г. Москва, ул. Бутлерова, д. 17Б этаж 2 П XI К 60Е офис 153 (Бизнес-центр «Fresh»)</t>
  </si>
  <si>
    <t>117630, г. Москва, тер. Воронцовский Парк, д. 3А</t>
  </si>
  <si>
    <t>423452, Татарстан респ., Альметьевский район, г. Альметьевск, ул. Ленина, д. 15 каб. 509А</t>
  </si>
  <si>
    <t>198095, г. Санкт-Петербург, остров Гладкий, д. 1</t>
  </si>
  <si>
    <t>119435, г. Москва, ул. Малая Пироговская, д. 8 пом. LXVI этаж 2 ком. 8,9</t>
  </si>
  <si>
    <t>121354, г. Москва, ул. Дорогобужская, д. 14 пом. 306 (Склад)</t>
  </si>
  <si>
    <t>107031, г. Москва, туп. Кисельный, д. 3 стр. 1 офис 2</t>
  </si>
  <si>
    <t>197375, г. Санкт-Петербург, ул. Вербная, д. 27 литера А пом. 7-Н (№29)</t>
  </si>
  <si>
    <t>192102, г. Санкт-Петербург, вн.тер.г. муниципальный округ Волковское, ул Бухарестская, д. 1, литера А, помещ. 42Н-20, офис 206-А</t>
  </si>
  <si>
    <t>119285, г. Москва, вн.тер.г. муниципальный округ Раменки, км МЖД Киевское 5-й, д. 1, стр. 1, этаж 3, помещ. 26/3, ОФИС 26/3-11/2-WP</t>
  </si>
  <si>
    <t>115230, г. Москва, проезд Нагатинский 1-Й, д. 10 стр. 1 пом. XLVIII (Бизнес-центр «Newton Plaza»)</t>
  </si>
  <si>
    <t>127106, г. Москва, проезд Нововладыкинский, д. 8 стр. 3 этаж 3 ком. 300-302; 314 (Бизнес-центр «Красивый дом строение 3»)</t>
  </si>
  <si>
    <t>125212, г. Москва, шоссе Ленинградское, д. 46 пом. VI ком. 5</t>
  </si>
  <si>
    <t>143421, Московская обл, г.о. Красногорск, тер. автодорога Балтия, км 26-й, д. 5, стр. 5/2, этаж 1, помещ. 6</t>
  </si>
  <si>
    <t>125167, г. Москва, вн.тер.г. муниципальный округ Аэропорт, аллея Нарышкинская, д. 5, стр. 2, помещ. III, ком. 5,60,63,64 (Бизнес-центр «Кенинк строение 2»)</t>
  </si>
  <si>
    <t>350000, Краснодарский кр., г. Краснодар, ул. Красная, д. 124 к. Б кв. 60</t>
  </si>
  <si>
    <t>141006, Московская обл., Мытищи г.о., г. Мытищи, проспект Олимпийский, д. 46 к. 4</t>
  </si>
  <si>
    <t>249844, Калужская обл., Дзержинский район, пос. Полотняный Завод, ул. Трудовая, д. 2</t>
  </si>
  <si>
    <t>141270, Московская обл., г. Пушкино, рабочий пос. Софрино, ул. Патриарха Пимена, д. 25А к. 1 ком. 7</t>
  </si>
  <si>
    <t>614031, Пермский кр., г. Пермь, ул. Докучаева, д. 31</t>
  </si>
  <si>
    <t>391303, Рязанская Область обл., г. Касимов, микрорайон Приокский</t>
  </si>
  <si>
    <t>194292, г. Санкт-Петербург, пер. 6-Й Верхний, д. 3</t>
  </si>
  <si>
    <t>309506, Белгородская обл., г. Старый Оскол, ул. Первой Конной Армии, д. 67 пом. 20</t>
  </si>
  <si>
    <t>123242, г. Москва, ул. Баррикадная, д. 19 стр. 1 (Бизнес-центр «Баррикадная 19»)</t>
  </si>
  <si>
    <t>603116, Нижегородская обл., г. Нижний Новгород, ул. Тонкинская, д. 7А офис П.1</t>
  </si>
  <si>
    <t>119618, г. Москва, вн.тер.г. муниципальный округ Солнцево, ул Домостроительная, д. 1, к. 2, эт/каб 2/18</t>
  </si>
  <si>
    <t>123060, г. Москва, вн.тер.г. муниципальный округ Щукино, ул Маршала Соколовского, д. 3, этаж 5, помещ. II КОМ. 2,4 (Бизнес-центр «Соколовского 3»)</t>
  </si>
  <si>
    <t>119530, г. Москва, проезд Стройкомбината, д. 1 стр. 107 этаж ЦОКОЛЬ пом. 13</t>
  </si>
  <si>
    <t>121471, г. Москва, ул. Рябиновая, д. 22А стр. 2 этаж 2 ком. 206</t>
  </si>
  <si>
    <t>129075, г. Москва, вн.тер.г. муниципальный округ Останкинский, ул Аргуновская, д. 2, к. 1, этаж 16, офис 1606</t>
  </si>
  <si>
    <t>108811, г. Москва, км. Киевское Шоссе 22-Й (П Московский), домовладение 6 стр. 1 этаж 5 ком. 33</t>
  </si>
  <si>
    <t>656049, Алтайский кр., г. Барнаул, ул. Пролетарская, д. 146А офис 305</t>
  </si>
  <si>
    <t>117186, г. Москва, ул. Нагорная, д. 24 к. 9 Э/ пом. /К 1/II/2Ж</t>
  </si>
  <si>
    <t>121170, г. Москва, ул. Кульнева, д. 3 стр. 1 ком. 42 (Бизнес-центр «Бородинский»)</t>
  </si>
  <si>
    <t>117335, г. Москва, ул. Вавилова, д. 69/75 офис 802 (Бизнес-центр «Дизайн Мода»)</t>
  </si>
  <si>
    <t>105120, г. Москва, вн.тер.г. муниципальный округ Таганский, пер 2-й Сыромятнический, д. 1, этаж/помещ. 5/I, ком. 24,35</t>
  </si>
  <si>
    <t>195253, г. Санкт-Петербург, проспект Лапинский, д. 3</t>
  </si>
  <si>
    <t>187322, Ленинградская обл, м.р-н Кировский, г.п. Синявинское, дор Подъезд к Синявинским высотам от автодороги Кола, зд. 2, к. 1</t>
  </si>
  <si>
    <t>385012, Адыгея респ., г. Майкоп, ул. Пушкина, д. 153</t>
  </si>
  <si>
    <t>198504, г. Санкт-Петербург, г. Петергоф, шоссе Гостилицкое, д. 137 литера А</t>
  </si>
  <si>
    <t>187015, Ленинградская обл, м.р-н Тосненский, г.п. Красноборское, гп Красный Бор, ул Промышленная, д. 3, помещ. I, ПОМЕЩЕНИЕ №103</t>
  </si>
  <si>
    <t>195197, г. Санкт-Петербург, ул. Минеральная, д. 13 литера А пом. 10Н офис 206</t>
  </si>
  <si>
    <t>129090, г. Москва, вн.тер.г. муниципальный округ Мещанский, пр-кт Олимпийский, д. 16, стр. 5, помещ. 3/1/2 (Бизнес-центр «Олимпик Холл»)</t>
  </si>
  <si>
    <t>353553, Краснодарский край, м.р-н Темрюкский, с.п. Таманское, п Волна, тер. Морской порт Тамань, д. 1, этаж 3, помещ. 3</t>
  </si>
  <si>
    <t>142432, Московская обл, г.о. Богородский, тер. Парк Черноголовский, стр. 1</t>
  </si>
  <si>
    <t>658046, Алтайский край, м.р-н Первомайский, с.п. Санниковский сельсовет, с Санниково, мкр. Промышленный, зд. 19, офис 4</t>
  </si>
  <si>
    <t>140030, Московская обл., г. Люберцы, рабочий пос. Малаховка, ул. Гаражная, д. 3</t>
  </si>
  <si>
    <t>236022, Калининградская обл., г. Калининград, ул. К.Маркса, д. 18 литера "А" каб. 325</t>
  </si>
  <si>
    <t>428028, Чувашская Республика - Чувашия, г. Чебоксары, проспект Тракторостроителей, д. 101 литера / блок 39Е/В каб. 411</t>
  </si>
  <si>
    <t>249030, Калужская обл., г. Обнинск, шоссе Киевское, д. 57 ЗД. АБК (3 этаж )</t>
  </si>
  <si>
    <t>140005, Московская обл., г. Люберцы, ул. Комсомольская, д. 15А пом. / ком. 13/8 (Бизнес-центр «Легион»)</t>
  </si>
  <si>
    <t>140070, Московская обл., г. Люберцы, рабочий пос. Томилино, ул. Пионерская, стр. 1-Б пом. 17</t>
  </si>
  <si>
    <t>350063, Краснодарский кр., г. Краснодар, ул. Коммунаров, д. 31 литера Б офис 5</t>
  </si>
  <si>
    <t>107023, г. Москва, ул. Электрозаводская, д. 21</t>
  </si>
  <si>
    <t>117420, г. Москва, ул. Профсоюзная, д. 57 этаж 8 пом. II ком. 9 (Бизнес-центр «Нииполиграфмаш»)</t>
  </si>
  <si>
    <t>142455, Московская обл., г. Электроугли, ул. Железнодорожная, д. 22 этаж 2, ком. 210</t>
  </si>
  <si>
    <t>650003, Кемеровская область - Кузбасс, г. Кемерово, проспект Химиков, д. 23А кв. 161</t>
  </si>
  <si>
    <t>614070, Пермский кр., г. Пермь, ул. Техническая, д. 5</t>
  </si>
  <si>
    <t>353560, Краснодарский кр., Славянский район, г. Славянск-На-Кубани, ул. Привокзальная, д. 7 офис 3</t>
  </si>
  <si>
    <t>198096, г. Санкт-Петербург, вн.тер.г. муниципальный округ Автово, дор На Турухтанные острова, д. 30, стр. 2, помещ. 1-Н, ком. 309</t>
  </si>
  <si>
    <t>236039, Калининградская обл., г. Калининград, ул. А.Суворова, д. 46А этаж 3 литера IV</t>
  </si>
  <si>
    <t>450078, Башкортостан респ., г. Уфа, ул. Кирова, д. 52 пом. 1, 20, 22-26 (На Кирова, деловой центр (ОАО "Уральский лизинговый центр"))</t>
  </si>
  <si>
    <t>125009, г. Москва, ул. Тверская, д. 12 стр. 8 пом. V этаж ЦОК ком. 21</t>
  </si>
  <si>
    <t>105523, г. Москва, шоссе Щёлковское, д. 100 к. 106 АН/ пом. / ком. 1/V/2</t>
  </si>
  <si>
    <t>344038, Ростовская обл, г.о. город Ростов-на-Дону, г Ростов-на-Дону, ул Нансена, зд. 103М, помещ. 4, ком. 22</t>
  </si>
  <si>
    <t>620014, Свердловская обл., г. Екатеринбург, проспект Ленина стр. 25 офис 4.113 (Торговый центр «Европа»)</t>
  </si>
  <si>
    <t>195176, г. Санкт-Петербург, проспект Пискарёвский, д. 25 литера А пом. 17-Н офис 609-1</t>
  </si>
  <si>
    <t>173502, Новгородская обл., Новгородский район, д. Подберезье</t>
  </si>
  <si>
    <t>690001, Приморский край, г.о. Владивостокский, г Владивосток, ул Дальзаводская, д. 2, помещ. 22</t>
  </si>
  <si>
    <t>192289, г. Санкт-Петербург, ул. Малая Балканская, д. 57 литера А пом. 69</t>
  </si>
  <si>
    <t>431105, Мордовия респ., Зубово-Полянский район, рабочий пос. Умет, ул. Ленинская, д. 1</t>
  </si>
  <si>
    <t>614000, Пермский кр., г. Пермь, проспект Комсомольский, д. 1 ПОДЪЕЗД 2, этаж 4, пом. 33</t>
  </si>
  <si>
    <t>450077, Башкортостан респ., г. Уфа, ул. Октябрьской Революции, д. 34 офис 2</t>
  </si>
  <si>
    <t>299023, г. Севастополь, ул. Семипалатинская, д. 2Б</t>
  </si>
  <si>
    <t>105554, г. Москва, ул. 11-Я Парковая, д. 9/35 этаж 1, пом. V</t>
  </si>
  <si>
    <t>107497, г. Москва, проезд 2-Й Иртышский, д. 2Б стр. 2</t>
  </si>
  <si>
    <t>644027, Омская обл., г. Омск, ул. Индустриальная, д. 11Б</t>
  </si>
  <si>
    <t>660125, Красноярский кр., г. Красноярск, ул. 9 Мая, д. 77 (Торгово-развлекательный центр «Планета»)</t>
  </si>
  <si>
    <t>141108, Московская обл, г.о. Щёлково, г Щёлково, ул Заводская, д. 2, стр./помещ. 142/516Б</t>
  </si>
  <si>
    <t>141196, Московская обл, г.о. Фрязино, г Фрязино, проезд Окружной, д. 14, стр. 1</t>
  </si>
  <si>
    <t>141100, Московская обл., г. Щёлково, тер. Агрохим стр. 2</t>
  </si>
  <si>
    <t>603001, Нижегородская обл., г. Нижний Новгород, ул. Рождественская, д. 33</t>
  </si>
  <si>
    <t>127434, г. Москва, шоссе Дмитровское, д. 9Б ком. этаж 5 ком. 512В (Бизнес-центр «на Дмитровском»)</t>
  </si>
  <si>
    <t>160009, Вологодская обл., г. Вологда, ул. Путейская, д. 22</t>
  </si>
  <si>
    <t>353701, Краснодарский кр., Каневской район, станица Новоминская, ул. Дружбы, д. 49</t>
  </si>
  <si>
    <t>627705, Тюменская обл., Ишимский район, с. Стрехнино, км. 4 Сорокинского Тракта</t>
  </si>
  <si>
    <t>121096, г. Москва, ул. Василисы Кожиной, д. 1 этаж 9 офис д. 5.4 (Бизнес-парк «G 10» Строящийся)</t>
  </si>
  <si>
    <t>125196, г. Москва, вн.тер.г. муниципальный округ Тверской, ул Лесная, д. 3, этаж 3 ПОМЕЩ. II, ком. 29 (Торговый центр «Тверская застава»)</t>
  </si>
  <si>
    <t>357502, Ставропольский кр., г. Пятигорск, ул. Ермолова, д. 38</t>
  </si>
  <si>
    <t>636840, Томская обл., Асиновский район, г. Асино, ул. Имени В.В.Липатова, д. 18</t>
  </si>
  <si>
    <t>440011, Пензенская обл., г. Пенза, ул. Вяземского, д. 33Б</t>
  </si>
  <si>
    <t>300016, Тульская обл., г. Тула, ул. Пржевальского, д. 2</t>
  </si>
  <si>
    <t>107113, г. Москва, ул. Шумкина, д. 20 стр. 1 пом. I ком. 16 (Бизнес-центр )</t>
  </si>
  <si>
    <t>400038, Волгоградская обл., г. Волгоград, ул. Портовская (Рабочий Поселок Горьковский, д. 15 офис 109</t>
  </si>
  <si>
    <t>117587, г. Москва, шоссе Варшавское, д. 125Ж к. 6 этаж 13 ком. 16</t>
  </si>
  <si>
    <t>107078, г. Москва, вн.тер.г. муниципальный округ Красносельский, ул Каланчевская, д. 13, ком. 30 (Бизнес-центр)</t>
  </si>
  <si>
    <t>629880, Ямало-Ненецкий а.о., Пуровский район, пос. Пуровск, тер. Промзона</t>
  </si>
  <si>
    <t>614007, Пермский кр., г. Пермь, ул. 25 Октября, д. 106</t>
  </si>
  <si>
    <t>198096, г. Санкт-Петербург, площадка Элеваторная (Угольная Гавань), д. 32</t>
  </si>
  <si>
    <t>241035, Брянская обл., г. Брянск, ул. Сталелитейная, д. 1 к. А офис 1</t>
  </si>
  <si>
    <t>198095, г. Санкт-Петербург, пер. Михайловский, д. 4А литера А пом 1-Н,2-Н офис 157</t>
  </si>
  <si>
    <t>423601, Татарстан Респ, м.р-н Елабужский, г.п. город Елабуга, тер. Промышленная площадка Алабуга, ул 13, зд. 6</t>
  </si>
  <si>
    <t>352430, Краснодарский кр., Курганинский район, г. Курганинск, ул. Милиционерская, д. 62</t>
  </si>
  <si>
    <t>249020, Калужская обл, м.р-н Боровский, с.п. село Ворсино, д Добрино, пр-д 2-й Восточный, влд. 2</t>
  </si>
  <si>
    <t>175400, Новгородская обл., Валдайский район, г. Валдай, проспект Васильева, д. 16 литера Б</t>
  </si>
  <si>
    <t>630099, Новосибирская обл., г. Новосибирск, ул. Фрунзе, д. 80 ком. 617 (Бизнес-центр «На Фрунзе»)</t>
  </si>
  <si>
    <t>121471, г. Москва, ул. Рябиновая, д. 26 стр. 10 этаж 2, офис 2-43</t>
  </si>
  <si>
    <t>663690, Красноярский кр., г. Зеленогорск, ул. Первая Промышленная, д. 1</t>
  </si>
  <si>
    <t>195112, г. Санкт-Петербург, проспект Шаумяна, д. 49 литера А пом. 5-Н ком. 23 офис 105</t>
  </si>
  <si>
    <t>454020, Челябинская обл., г. Челябинск, ул. Варненская, д. 13</t>
  </si>
  <si>
    <t>446029, Самарская обл, г.о. Сызрань, г Сызрань, ул Жукова, д. 3, офис 1</t>
  </si>
  <si>
    <t>432048, Ульяновская обл., г. Ульяновск, ул. Кирова, д. 77 ком. 4А</t>
  </si>
  <si>
    <t>141108, Московская обл., г. Щёлково, ул. Буровая, д. 20</t>
  </si>
  <si>
    <t>142100, Московская обл., г. Подольск, проспект Революционный, д. 54А офис 58</t>
  </si>
  <si>
    <t>182112, Псковская обл., г. Великие Луки, ул. Корниенко, д. 6</t>
  </si>
  <si>
    <t>107241, г. Москва, шоссе Щёлковское, д. 23А пом. V ком. 30 (Деловой центр "Союз Деловых Людей")</t>
  </si>
  <si>
    <t>344103, Ростовская обл, г.о. город Ростов-на-Дону, г Ростов-на-Дону, ул Доватора, д. 156/2, офис 307</t>
  </si>
  <si>
    <t>628408, Ханты-Мансийский Автономный Округ - Югра, г. Сургут, ул. Университетская, д. 4</t>
  </si>
  <si>
    <t>678730, Саха /Якутия/ респ., Оймяконский у., пгт. Усть-Нера, ул. Полярная, д. 7 офис 10</t>
  </si>
  <si>
    <t>628661, Ханты-Мансийский Автономный Округ - Югра, г. Покачи, ул. Аганская, д. 11</t>
  </si>
  <si>
    <t>676150, Амурская обл., Магдагачинский район, с. Тыгда, ул. Советская, д. 17</t>
  </si>
  <si>
    <t>614010, Пермский кр., г. Пермь, ул. Маршрутная, д. 13</t>
  </si>
  <si>
    <t>625013, Тюменская обл., г. Тюмень, ул. 50 Лет Октября, д. 122</t>
  </si>
  <si>
    <t>425000, Марий Эл респ., г. Волжск, ул. Мамасево, д. 1 каб. 51</t>
  </si>
  <si>
    <t>425000, Марий Эл респ., г. Волжск, ул. Промбаза, д. 1</t>
  </si>
  <si>
    <t>249185, Калужская обл., Жуковский район, г. Кременки, ул. Старые Кременки, д. 90</t>
  </si>
  <si>
    <t>109469, г. Москва, ул. Братиславская, д. 26 этаж 2 П.XLI Ч. к. 79/ офис 205В</t>
  </si>
  <si>
    <t>629400, Ямало-Ненецкий а.о., г. Лабытнанги, ул. Южная, Ж/ д. №28ССМП-619</t>
  </si>
  <si>
    <t>141006, Московская обл., г. Мытищи, проспект Олимпийский стр. 29А офис 402 (Бизнес-центр «Волковский»)</t>
  </si>
  <si>
    <t>142620, Московская обл, г.о. Орехово-Зуевский, г Куровское, ул Советская, д. 105, офис 65</t>
  </si>
  <si>
    <t>188508, Ленинградская обл., Ломоносовский район, шоссе Волхонское (Сев.Ч.Промзоны Горелово Тер), д. 7А пом. А206</t>
  </si>
  <si>
    <t>248030, Калужская обл., г. Калуга, ул. Суворова, д. 29</t>
  </si>
  <si>
    <t>614033, Пермский кр., г. Пермь, ул. Бахаревская, д. 53 офис 20</t>
  </si>
  <si>
    <t>216400, Смоленская обл., г. Десногорск, тер. Коммунально-Складская Зона стр. 2 офис 24</t>
  </si>
  <si>
    <t>306213, Курская обл., Пристенский район, с. Средняя Ольшанка, ул. Заречная, д. 30</t>
  </si>
  <si>
    <t>390011, Рязанская обл., г. Рязань, шоссе Ряжское, д. 20 офис Н10</t>
  </si>
  <si>
    <t>191119, г. Санкт-Петербург, вн.тер.г. муниципальный округ Владимирский округ, ул Социалистическая, д. 14, литера А, помещ. 26-Н, оф. 701</t>
  </si>
  <si>
    <t>620000, Свердловская обл, г.о. город Екатеринбург, г Екатеринбург, пр-кт Ленина, стр. 25, помещ. 0.133 (Торговый центр «Европа»)</t>
  </si>
  <si>
    <t>197227, г. Санкт-Петербург, вн.тер.г. муниципальный округ Озеро Долгое, ул Гаккелевская, д. 21, литера А</t>
  </si>
  <si>
    <t>680000, Хабаровский кр., г. Хабаровск, ул. Тургенева, д. 26 к. А офис 207</t>
  </si>
  <si>
    <t>198216, г. Санкт-Петербург, проспект Народного Ополчения, д. 2 офис 1025 (Бизнес-центр «Галс»)</t>
  </si>
  <si>
    <t>121471, г. Москва, вн.тер.г. муниципальный округ Очаково-Матвеевское, ул Рябиновая, д. 26, стр. 2, этаж/помещ. 2/3/2А, ком. 18 (Бизнес-центр "West Plaza")</t>
  </si>
  <si>
    <t>644035, Омская обл., г. Омск, тракт Красноярский, стр. 137</t>
  </si>
  <si>
    <t>301661, Тульская обл., Новомосковский район, г. Новомосковск, шоссе Комсомольское, д. 72 офис 1</t>
  </si>
  <si>
    <t>188452, Ленинградская обл., Кингисеппский район, промзона Фосфорит, проезд Транспортный стр. 1</t>
  </si>
  <si>
    <t>623104, Свердловская обл., г. Первоуральск, Заводская, д. 3</t>
  </si>
  <si>
    <t>453434, Башкортостан респ., Благовещенский район, г. Благовещенск, ул. Социалистическая, д. 42 к. Б</t>
  </si>
  <si>
    <t>119530, г. Москва, ул. Генерала Дорохова, д. 20 стр. 1</t>
  </si>
  <si>
    <t>123112, г. Москва, вн.тер.г. муниципальный округ Пресненский, наб Пресненская, д. 8, стр. 1, этаж 12, помещ. 16Э (Бизнес-центр «Многофункциональный комплекс Москва-Сити «Город Столиц»»)</t>
  </si>
  <si>
    <t>127254, г. Москва, проезд Огородный, д. 5 стр. 4 этаж 2 ком. 18</t>
  </si>
  <si>
    <t>420006, Татарстан респ., г. Казань, ул. Рахимова, д. 63В пом. 1</t>
  </si>
  <si>
    <t>614042, Пермский кр., г. Пермь, ул. Гальперина, д. 8 офис 301</t>
  </si>
  <si>
    <t>453430, Башкортостан респ., Благовещенский район, г. Благовещенск, ул. Социалистическая, д. 71</t>
  </si>
  <si>
    <t>660075, Красноярский край, г.о. город Красноярск, г Красноярск, ул Маерчака, д. 10, помещ. 194, кабинет 1310 (Бизнес-центр «Баланс»)</t>
  </si>
  <si>
    <t>660075, Красноярский край, г.о. город Красноярск, г Красноярск, ул Маерчака, д. 10, помещ. 196 (Бизнес-центр «Баланс»)</t>
  </si>
  <si>
    <t>344016, Ростовская обл., г. Ростов-На-Дону, пер. 1-Й Машиностроительный, д. 15А</t>
  </si>
  <si>
    <t>682860, Хабаровский кр., Ванинский район, рабочий пос. Ванино, ул. Железнодорожная, д. 1</t>
  </si>
  <si>
    <t>692828, Приморский кр., Шкотовский район, пос. Подъяпольское, ул. 40 Лет Октября, д. 15А</t>
  </si>
  <si>
    <t>188909, Ленинградская обл., Выборгский район, г. Высоцк, ул. Кировская, д. 3</t>
  </si>
  <si>
    <t>190031, г. Санкт-Петербург, набережная Реки Фонтанки, д. 109 литера А пом. 13-Н</t>
  </si>
  <si>
    <t>188472, Ленинградская обл., Кингисеппский район, Тер. Морской Порт Усть-Луга Южный Район Кв-Л 4.3, д. 1</t>
  </si>
  <si>
    <t>173024, Новгородская обл, г.о. Великий Новгород, г Великий Новгород, пр-кт Мира, д. 6, кв. 67</t>
  </si>
  <si>
    <t>606470, Нижегородская обл, г.о. город Бор, г Бор, п/р Ситники-1, д. 11, к. 1</t>
  </si>
  <si>
    <t>630039, Новосибирская обл., г. Новосибирск, ул. Никитина, д. 112А этаж 2</t>
  </si>
  <si>
    <t>197022, г. Санкт-Петербург, вн.тер.г. муниципальный округ Аптекарский остров, пр-кт Медиков, д. 5, литера В, помещ. 7Н, офис 237</t>
  </si>
  <si>
    <t>425350, Марий Эл респ., г. Козьмодемьянск, ул. Быстрова, д. 1</t>
  </si>
  <si>
    <t>188508, Ленинградская обл., Ломоносовский район, шоссе Волхонское (Южная Часть Промзоны Горелово Тер), ВОЛХОНСКОЕ ШОССЕ д. 4</t>
  </si>
  <si>
    <t>125252, г. Москва, вн.тер.г. муниципальный округ Хорошевский, ул 3-я Песчаная, д. 2А</t>
  </si>
  <si>
    <t>119454, г. Москва, вн.тер.г. муниципальный округ Проспект Вернадского, пр-кт Вернадского, д. 18, этаж 2, помещ. 20</t>
  </si>
  <si>
    <t>105066, г. Москва, ул. Нижняя Красносельская, д. 40/12 к. 6 офис 209</t>
  </si>
  <si>
    <t>142505, Московская обл., г. Павловский Посад, шоссе Мишутинское, д. 66Б</t>
  </si>
  <si>
    <t>117292, г. Москва, вн.тер.г. муниципальный округ Академический, ул Дмитрия Ульянова, д. 7А, помещ. I, ком. 7 (Бизнес-центр «Май»)</t>
  </si>
  <si>
    <t>674673, Забайкальский кр., Краснокаменский район, г. Краснокаменск, проспект Строителей, д. 11</t>
  </si>
  <si>
    <t>125047, г. Москва, ул. 2-Я Тверская-Ямская, д. 16</t>
  </si>
  <si>
    <t>125315, г. Москва, вн.тер.г. муниципальный округ Аэропорт, пр-кт Ленинградский, д. 72, к. 2, помещ. VIII, ком. 1</t>
  </si>
  <si>
    <t>197022, г. Санкт-Петербург, вн.тер.г. муниципальный округ Аптекарский остров, ул Академика Павлова, д. 14, к. 2, литера Ж, помещ. 165</t>
  </si>
  <si>
    <t>620102, Свердловская обл., г. Екатеринбург, ул. Серафимы Дерябиной стр. 24 офис 704 (Офисное здание «Премиум»)</t>
  </si>
  <si>
    <t>426008, Удмуртская респ., г. Ижевск, ул. Пушкинская, д. 268 литера Е пом. 107</t>
  </si>
  <si>
    <t>659323, Алтайский кр., г. Бийск, ул. Крайняя, д. 116</t>
  </si>
  <si>
    <t>117452, г. Москва, вн.тер.г. муниципальный округ Зюзино, ул Азовская, д. 15А, помещ. VII</t>
  </si>
  <si>
    <t>119119, г. Москва, вн.тер.г. муниципальный округ Гагаринский, пр-кт Ленинский, д. 42, к. 1-2-3, этаж/помещ. 1/II, ком. 38,39</t>
  </si>
  <si>
    <t>398516, Липецкая обл, м.р-н Липецкий, с.п. Косыревский сельсовет, с Косыревка, ул Советская, д. 61А</t>
  </si>
  <si>
    <t>443068, Самарская обл., г. Самара, ул. Ново-Садовая, д. 106 к. 81</t>
  </si>
  <si>
    <t>423450, Татарстан респ., Альметьевский район, г. Альметьевск, ул. Шевченко, д. 48</t>
  </si>
  <si>
    <t>153006, Ивановская обл., г. Иваново, ул. Смирнова, д. 100</t>
  </si>
  <si>
    <t>624006, Свердловская обл., Сысертский район, пос. Большой Исток, ул. Свердлова, д. 42 к. А</t>
  </si>
  <si>
    <t>660079, Красноярский край, г.о. город Красноярск, г Красноярск, ул 60 лет Октября, д. 119Д</t>
  </si>
  <si>
    <t>195009, г. Санкт-Петербург, ул. Ватутина, д. 19 литера А офис 309</t>
  </si>
  <si>
    <t>446462, Самарская обл., г. Кинель, пгт. Усть-Кинельский, пер. Шоссейный, д. 7</t>
  </si>
  <si>
    <t>692519, Приморский кр., г. Уссурийск, ул. Некрасова, д. 22 офис 302</t>
  </si>
  <si>
    <t>422524, Татарстан Респ, м.р-н Зеленодольский, с.п. Большеключинское, с Большие Ключи, ул Татарстан, д. 13</t>
  </si>
  <si>
    <t>117418, г. Москва, ул. Новочерёмушкинская, д. 69 пом. II ком. 11</t>
  </si>
  <si>
    <t>460038, Оренбургская обл., г. Оренбург, проспект Дзержинского, д. 2/2 каб. 209</t>
  </si>
  <si>
    <t>152430, Ярославская обл., Первомайский район, рабочий пос. Пречистое, ул. Заводская, д. 8А</t>
  </si>
  <si>
    <t>663491, Красноярский край, м.р-н Кежемский, г.п. город Кодинск, г Кодинск, ул Пионерная, зд. 18, офис 313</t>
  </si>
  <si>
    <t>125130, г. Москва, ул. Зои И Александра Космодемьянских, д. 34 стр. 3 ком. 1 (Бизнес-центр на Ул. Зои И Александра Космодемьянских, 34С3)</t>
  </si>
  <si>
    <t>655017, Хакасия респ., г. Абакан, ул. Тельмана, д. 91 кв. 21</t>
  </si>
  <si>
    <t>125362, г. Москва, проезд Строительный, д. 7А к. 28 офис 132-136</t>
  </si>
  <si>
    <t>603003, Нижегородская обл., г. Нижний Новгород, ул. Коминтерна, д. 139 пом. П20</t>
  </si>
  <si>
    <t>676271, Амурская обл., Тындинский район, с. Соловьевск, ул. Советская, д. 47</t>
  </si>
  <si>
    <t>660032, Красноярский кр., г. Красноярск, ул. Дубенского, д. 4 к. 1 офис 203</t>
  </si>
  <si>
    <t>672039, Забайкальский кр., г. Чита, ул. Петровско-Заводская, д. 29 кв. 43</t>
  </si>
  <si>
    <t>614037, Пермский кр., г. Пермь, ул. Бумажников, д. 1</t>
  </si>
  <si>
    <t>115088, г. Москва, вн.тер.г. муниципальный округ Печатники, ул Угрешская, д. 2, стр. 73 (Бизнес-центр «IQ-Park строение 73»)</t>
  </si>
  <si>
    <t>690062, Приморский кр., г. Владивосток, ул. Нефтеветка, д. 8</t>
  </si>
  <si>
    <t>692519, Приморский кр., г. Уссурийск, ул. Тимирязева, д. 29 этаж 3</t>
  </si>
  <si>
    <t>121059, г. Москва, вн.тер.г. муниципальный округ Дорогомилово, ул 1-я Бородинская, д. 2А, этаж 6, помещ. I, КОМНАТА 5, ЧАСТЬ КОМНАТ 8,9</t>
  </si>
  <si>
    <t>692841, Приморский кр., Шкотовский район, пос. Штыково, ул. Центральная, д. 5</t>
  </si>
  <si>
    <t>690090, Приморский кр., г. Владивосток, ул. Тигровая, д. 29</t>
  </si>
  <si>
    <t>142000, Московская обл., г. Домодедово, ул. Краснодарская (Северный Мкр.) стр. 4</t>
  </si>
  <si>
    <t>455019, Челябинская обл., г. Магнитогорск, проспект Пушкина, д. 1А неж. пом. 6</t>
  </si>
  <si>
    <t>, Карелия Респ, м.р-н Пряжинский, с.п. Чалнинское, ст Падозеро, месторожд. Промышленная площадка Чевжавара, к. 1</t>
  </si>
  <si>
    <t>194156, г. Санкт-Петербург, вн.тер.г. муниципальный округ Светлановское, ул Орбели, д. 8, литера Д, кв. 59</t>
  </si>
  <si>
    <t>422060, Татарстан респ., Сабинский район, пгт. Богатые Сабы, ул. Заводская, д. 19 пом. 1000</t>
  </si>
  <si>
    <t>350038, Краснодарский край, г.о. город Краснодар, г Краснодар, ул Северная, д. 443, помещ. 417</t>
  </si>
  <si>
    <t>456317, Челябинская обл., г. Миасс, ул. 8 Марта, д. 4</t>
  </si>
  <si>
    <t>420073, Татарстан респ., г. Казань, ул. Гвардейская, д. 45А офис 307</t>
  </si>
  <si>
    <t>309615, Белгородская обл., Новооскольский район, тер. Станция Холки</t>
  </si>
  <si>
    <t>123112, г. Москва, вн.тер.г. муниципальный округ Пресненский, наб Пресненская, д. 6, стр. 2, этаж 13, помещ. 2 (Деловой комплекс "Империя")</t>
  </si>
  <si>
    <t>121467, г. Москва, ул. Молдавская, д. 5 (Бизнес-центр «Grandkonsalt»)</t>
  </si>
  <si>
    <t>115280, г. Москва, вн.тер.г. муниципальный округ Даниловский, пр-кт Лихачёва, д. 15, помещ. 2/1</t>
  </si>
  <si>
    <t>614081, Пермский край, г.о. Пермский, г Пермь, ул Плеханова, д. 51В</t>
  </si>
  <si>
    <t>115193, г. Москва, ул. 7-Я Кожуховская, д. 15 стр. 1 пом. 4 этаж 4</t>
  </si>
  <si>
    <t>127282, г. Москва, ул. Чермянская, д. 2 стр. 1</t>
  </si>
  <si>
    <t>350080, Краснодарский кр., г. Краснодар, ул. Уральская, д. ДOМ 95</t>
  </si>
  <si>
    <t>125167, г. Москва, проспект Ленинградский, д. 37 к. 9</t>
  </si>
  <si>
    <t>119019, г. Москва, пер. Большой Знаменский, д. 2 стр. 7 этаж / ком. 1/21/27</t>
  </si>
  <si>
    <t>398902, Липецкая обл., г. Липецк, ул. Ангарская, владение 2</t>
  </si>
  <si>
    <t>197022, г. Санкт-Петербург, проспект Большой П.С., д. 100 литера А пом. №11</t>
  </si>
  <si>
    <t>173021, Новгородская обл., г. Великий Новгород, ул. Нехинская, д. 59В кв. 23</t>
  </si>
  <si>
    <t>350062, Краснодарский край, г.о. город Краснодар, г Краснодар, ул им. Воровского, д. 233, ком. 29</t>
  </si>
  <si>
    <t>248033, Калужская обл., г. Калуга, шоссе Одоевское, д. 2А</t>
  </si>
  <si>
    <t>121170, г. Москва, ул. Кульнева, д. 3 стр. 1 ком. 38 (Бизнес-центр «Бородинский»)</t>
  </si>
  <si>
    <t>649000, Алтай респ., г. Горно-Алтайск, ул. В.И.Чаптынова, д. 26/1 пом. 8 офис 2</t>
  </si>
  <si>
    <t>612961, Кировская обл., Вятскополянский район, г. Вятские Поляны, ул. Советская, д. 51 пом. 1008</t>
  </si>
  <si>
    <t>445007, Самарская обл., г. Тольятти, ул. Новозаводская, д. 10 офис 14</t>
  </si>
  <si>
    <t>115516, г. Москва, бульвар Кавказский, д. 57</t>
  </si>
  <si>
    <t>107143, г. Москва, вн.тер.г. муниципальный округ Метрогородок, ш Открытое, д. 13, стр. 1, ком. 6</t>
  </si>
  <si>
    <t>249842, Калужская обл., Дзержинский район, с. Имени Льва Толстого, д. 0</t>
  </si>
  <si>
    <t>644527, Омская обл., Омский район, пос. Ростовка, д. 38</t>
  </si>
  <si>
    <t>, Тюменская обл, м.р-н Тюменский, с.п. Каскаринское, тер. ФАД Тюмень-Тобольск-Ханты-Мансийск, км 27-ой, стр. 181, помещ. 202</t>
  </si>
  <si>
    <t>656037, Алтайский кр., г. Барнаул, проспект Калинина, д. 116/101</t>
  </si>
  <si>
    <t>197374, г. Санкт-Петербург, ул. Стародеревенская, д. 13 литера А пом. 2Н</t>
  </si>
  <si>
    <t>109029, г. Москва, вн.тер.г. муниципальный округ Нижегородский, ул Средняя Калитниковская, д. 28, стр. 4, этаж/пом/ком 1/XII/№36</t>
  </si>
  <si>
    <t>670034, Бурятия респ., г. Улан-Удэ, ул. Дзержинского, д. 1</t>
  </si>
  <si>
    <t>236034, Калининградская обл., г. Калининград, ул. Дзержинского, д. 244А</t>
  </si>
  <si>
    <t>423600, Татарстан респ., Елабужский район, г. Елабуга, шоссе Окружное, д. 7</t>
  </si>
  <si>
    <t>190031, г. Санкт-Петербург, проспект Московский, д. 10-12 литера В пом. 83-Н</t>
  </si>
  <si>
    <t>127549, г. Москва, ул. Пришвина, д. 8 к. 2 офис 518</t>
  </si>
  <si>
    <t>620100, Свердловская обл., г. Екатеринбург, ул. Ткачей, д. 23 офис 3.17 (Бизнес-центр «Clever Park здание Б»)</t>
  </si>
  <si>
    <t>690014, Приморский край, г.о. Владивостокский, г Владивосток, пр-кт Народный, зд. 11В, офис 307</t>
  </si>
  <si>
    <t>115114, г. Москва, набережная Дербеневская, д. 7 стр. 9 (Бизнес-квартал «Новоспасский строение 9»)</t>
  </si>
  <si>
    <t>450001, Башкортостан респ., г. Уфа, ул. Бабушкина, д. 8 к. А офис 3</t>
  </si>
  <si>
    <t>629400, Ямало-Ненецкий а.о., г. Лабытнанги, ул. Гагарина, д. 75</t>
  </si>
  <si>
    <t>303034, Орловская обл., г. Мценск, ул. Комсомольская, д. 109</t>
  </si>
  <si>
    <t>455007, Челябинская обл., г. Магнитогорск, ул. Кирова, д. 104 к. Б</t>
  </si>
  <si>
    <t>121059, г. Москва, набережная Бережковская, д. 20 стр. 88 этаж 2 пом. I ком. № 13</t>
  </si>
  <si>
    <t>630033, Новосибирская обл., г. Новосибирск, ул. Брюллова, д. 6А</t>
  </si>
  <si>
    <t>644005, Омская обл., г. Омск, пер. Красный, д. 2 пом. 4</t>
  </si>
  <si>
    <t>125171, г. Москва, шоссе Ленинградское, д. 16А стр. 2</t>
  </si>
  <si>
    <t>301653, Тульская обл., Новомосковский район, г. Новомосковск, шоссе Комсомольское, д. 64</t>
  </si>
  <si>
    <t>190020, г. Санкт-Петербург, ул. Бумажная, д. 16 к. 1, литера А пом. 15-Н, офис 222</t>
  </si>
  <si>
    <t>243500, Брянская обл., Суражский район, г. Сураж, ул. Фабричная, д. 1</t>
  </si>
  <si>
    <t>192029, г. Санкт-Петербург, ул. Дудко, д. 3</t>
  </si>
  <si>
    <t>115193, г. Москва, вн.тер.г. муниципальный округ Южнопортовый, ул 7-я Кожуховская, д. 15, стр. 1, подв. -, помещ. 24</t>
  </si>
  <si>
    <t>630004, Новосибирская обл, г.о. город Новосибирск, г Новосибирск, ул Челюскинцев, д. 14/2, офис 420 (Бизнес-центр «Байт-Ариэль»)</t>
  </si>
  <si>
    <t>115054, г. Москва, вн.тер.г. муниципальный округ Замоскворечье, ул Большая Пионерская, д. 15, стр. 1, этаж/помещ. 1/II, ком./офис 2/1А</t>
  </si>
  <si>
    <t>119049, г. Москва, пер. 1-Й Добрынинский, д. 15/7</t>
  </si>
  <si>
    <t>195067, г. Санкт-Петербург, проспект Маршала Блюхера, д. 78 литера Б пом. 3Н</t>
  </si>
  <si>
    <t>142153, Московская обл., г. Подольск, д. Новоселки, тер. Технопарка, д. 3 к. 1</t>
  </si>
  <si>
    <t>620016, Свердловская обл., г. Екатеринбург, ул. Амундсена, д. 107 офис 410</t>
  </si>
  <si>
    <t>622042, Свердловская обл., г. Нижний Тагил, ул. Победы, д. 51</t>
  </si>
  <si>
    <t>420087, Татарстан респ., г. Казань, ул. Бухарская, д. 4А офис 3</t>
  </si>
  <si>
    <t>603009, Нижегородская обл., г. Нижний Новгород, проспект Гагарина, д. 164 (Бизнес-центр на Проспекте Гагарина, 164)</t>
  </si>
  <si>
    <t>610998, Кировская обл., г. Киров, ул. Потребкооперации, д. 6А каб. 215</t>
  </si>
  <si>
    <t>121552, г. Москва, ул. Оршанская, д. 5 пом. II этаж 3 ком. 4 (Бизнес-центр «Молодежный»)</t>
  </si>
  <si>
    <t>142400, Московская обл., г. Ногинск, ул. Рогожская, д. 89 офис 211</t>
  </si>
  <si>
    <t>214015, Смоленская обл., г. Смоленск, ул. Парковая, д. 2</t>
  </si>
  <si>
    <t>198097, г. Санкт-Петербург, проспект Стачек, д. 47 литера А пом. 63,64, офис 252 (Бизнес-центр «Шереметев»)</t>
  </si>
  <si>
    <t>142111, Московская обл., г. Подольск, проспект Юных Ленинцев, д. 41 офис 5</t>
  </si>
  <si>
    <t>428028, Чувашская Республика - Чувашия, г. Чебоксары, проспект Тракторостроителей, д. 101 литера 35, часть 1 пом. 203</t>
  </si>
  <si>
    <t>109382, г. Москва, вн.тер.г. муниципальный округ Люблино, ул Судакова, д. 10 (Бизнес-центр «Судакова Плаза»)</t>
  </si>
  <si>
    <t>614055, Пермский кр., г. Пермь, ул. Промышленная, д. 155Б ком. 7</t>
  </si>
  <si>
    <t>129090, г. Москва, проспект Мира, д. 13 стр. 1 офис 107/2</t>
  </si>
  <si>
    <t>140000, Московская обл., г. Люберцы, ул. Красная, д. 1 литера Ф,Ф1, Ф2, Ф3, Ф4</t>
  </si>
  <si>
    <t>197198, г. Санкт-Петербург, проспект Большой П.С., д. 29А литера Б офис 305</t>
  </si>
  <si>
    <t>119633, г. Москва, ул. Новоорловская, д. 7А офис 302</t>
  </si>
  <si>
    <t>630007, Новосибирская обл., г. Новосибирск, ул. Кривощековская, д. 15 к. 3 офис 301</t>
  </si>
  <si>
    <t>305048, Курская обл., г. Курск, проспект Дружбы, д. 9 к. А</t>
  </si>
  <si>
    <t>105120, г. Москва, вн.тер.г. муниципальный округ Таганский, пер 2-й Сыромятнический, д. 1, этаж 7, помещ. 85</t>
  </si>
  <si>
    <t>446100, Самарская обл., г. Чапаевск, ул. Куйбышева, д. 1</t>
  </si>
  <si>
    <t>390000, Рязанская Область обл., г. Рязань, ул. Кудрявцева, д. 25 литера А пом. Н1</t>
  </si>
  <si>
    <t>350072, Краснодарский кр., г. Краснодар, ул. Зиповская, д. 5 литера Б офис 61</t>
  </si>
  <si>
    <t>107031, г. Москва, бульвар Страстной, д. 8А этаж 4 пом. 1 БЛ 401 (Бизнес-центр «на Страстном»)</t>
  </si>
  <si>
    <t>119421, г. Москва, ул. Обручева, д. 13Б</t>
  </si>
  <si>
    <t>129110, г. Москва, ул. Щепкина, д. 49 пом. 424 этаж 4 (Бизнес-центр на Ул. Щепкина, 49)</t>
  </si>
  <si>
    <t>115114, г. Москва, проезд 2-Й Павелецкий, д. 3 стр. 2</t>
  </si>
  <si>
    <t>654212, Кемеровская область - Кузбасс, Новокузнецкий район, квартал 0804002, д. ЗД. 1АК</t>
  </si>
  <si>
    <t>109429, г. Москва, квартал Капотня 2-Й, д. 20</t>
  </si>
  <si>
    <t>123308, г. Москва, проспект Маршала Жукова, д. 2К2 стр. 1 пом. 35</t>
  </si>
  <si>
    <t>630084, Новосибирская обл., г. Новосибирск, ул. Авиастроителей, д. 39Б</t>
  </si>
  <si>
    <t>192289, г. Санкт-Петербург, проезд Грузовой, д. 33 к. 2</t>
  </si>
  <si>
    <t>127473, г. Москва, вн.тер.г. муниципальный округ Тверской, ул Краснопролетарская, д. 16, стр. 3, этаж/помещение/комната 3/I/10(ЧАСТЬ) (Бизнес-центр «Новослободский 16с3»)</t>
  </si>
  <si>
    <t>127473, г. Москва, ул. Краснопролетарская, д. 16 стр. 3 этаж / пом. / ком. 4/I/1 ( часть ) (Бизнес-центр «Новослободский 16с3»)</t>
  </si>
  <si>
    <t>620102, Свердловская обл., г. Екатеринбург, ул. Волгоградская стр. 194А</t>
  </si>
  <si>
    <t>630027, Новосибирская обл, г.о. город Новосибирск, г Новосибирск, ул Объединения, д. 59, ком. 1</t>
  </si>
  <si>
    <t>115054, г. Москва, ул. Большая Пионерская, д. 15 стр. 1 пом. II</t>
  </si>
  <si>
    <t>152265, Ярославская обл., Некрасовский район, с. Черная Заводь, ул. Речная, д. 3</t>
  </si>
  <si>
    <t>115201, г. Москва, шоссе Каширское, д. 22 к. 4 стр. 7</t>
  </si>
  <si>
    <t>125362, г. Москва, вн.тер.г. муниципальный округ Южное Тушино, проезд Строительный, д. 7А, к. 7</t>
  </si>
  <si>
    <t>394028, Воронежская обл., г. Воронеж, проезд Монтажный, д. 3 офис 1 (Складской комплекс «Базис»)</t>
  </si>
  <si>
    <t>115419, г. Москва, проезд 2-Й Рощинский, д. 8</t>
  </si>
  <si>
    <t>123557, г. Москва, пер. Электрический, д. 3/10 стр. 1 офис 529 (Бизнес-центр в Электрическом Переулке, 3/10С1)</t>
  </si>
  <si>
    <t>121170, г. Москва, вн.тер.г. муниципальный округ Дорогомилово, пр-кт Кутузовский, д. 36, стр. 23, помещ. 1/3 (Бизнес-парк «Завод Казакова строение 23»)</t>
  </si>
  <si>
    <t>170028, Тверская обл, г.о. город Тверь, г Тверь, ул 2-я Лукина, д. 9, помещ. IV-2, ПОМЕЩ.66</t>
  </si>
  <si>
    <t>125466, г. Москва, ул. Соколово-Мещерская, д. 14 к. 1 офис 7</t>
  </si>
  <si>
    <t>108827, г. Москва, Щаповское пос., пос. Курилово стр. 6</t>
  </si>
  <si>
    <t>119530, г. Москва, шоссе Очаковское, д. 42 стр. 16 этаж 1 пом. 2 ( каб. 3,4,5)</t>
  </si>
  <si>
    <t>344064, Ростовская обл., г. Ростов-На-Дону, пер. Технологический, д. 8 д</t>
  </si>
  <si>
    <t>127521, г. Москва, проезд 17-Й Марьиной Рощи, д. 13 стр. 5</t>
  </si>
  <si>
    <t>105066, г. Москва, ул. Ольховская, д. 45 стр. 1 этаж 3 пом. VIII ком. 2 (Бизнес-центр)</t>
  </si>
  <si>
    <t>142840, Московская обл., г. Ступино, рабочий пос. Михнево, ул. Донбасская, владение 75</t>
  </si>
  <si>
    <t>350033, Краснодарский кр., г. Краснодар, ул. Ставропольская, д. 78 офис 206</t>
  </si>
  <si>
    <t>109004, г. Москва, пер. Известковый, д. 7 стр. 2 этаж 1 пом. 1-5-4 (Бизнес-центр в Известковом Переулке, 7С2)</t>
  </si>
  <si>
    <t>125167, г. Москва, вн.тер.г. муниципальный округ Хорошевский, пр-кт Ленинградский, д. 47, стр. 2, этаж 2, помещ.,ком. 2/1,24А (Бизнес-центр «Avion»)</t>
  </si>
  <si>
    <t>142114, Московская обл., г. Подольск, ул. Гайдара, д. 11</t>
  </si>
  <si>
    <t>117218, г. Москва, вн.тер.г. муниципальный округ Котловка, ул Кржижановского, д. 29, к. 2, помещ. 7, ком. 2</t>
  </si>
  <si>
    <t>141100, Московская обл., г. Щёлково, тер. Агрохим стр. 58</t>
  </si>
  <si>
    <t>199034, г. Санкт-Петербург, вн.тер.г. муниципальный округ № 7, линия 16-я В.О., д. 7, литера Б, часть №14, помещ. 16-Н ОФИС 6205</t>
  </si>
  <si>
    <t>309000, Белгородская обл., Прохоровский район, пгт. Прохоровка, ул. Первомайская, д. 161</t>
  </si>
  <si>
    <t>123112, г. Москва, набережная Пресненская, д. 8 стр. 1 Э 10 П-К IN-11 ком. 35 (Бизнес-центр «Многофункциональный комплекс Москва-Сити «Город Столиц»»)</t>
  </si>
  <si>
    <t>445054, Самарская обл., г. Тольятти, ул. Индустриальная, д. 7</t>
  </si>
  <si>
    <t>109052, г. Москва, ул. Смирновская, д. 10 стр. 22 ком. 8</t>
  </si>
  <si>
    <t>307910, Курская обл., Беловский район, с. Белая, ул. Журавского, д. 2</t>
  </si>
  <si>
    <t>119361, г. Москва, ул. Озёрная, д. 42 пом. 210 (Бизнес-центр «Озерная»)</t>
  </si>
  <si>
    <t>644073, Омская обл, г.о. город Омск, г Омск, ул Волгоградская, д. 88</t>
  </si>
  <si>
    <t>422350, Татарстан Респ, м.р-н Апастовский, г.п. поселок городского типа Апастово, пгт Апастово, ул Октябрьская, зд. 48, оф. 20</t>
  </si>
  <si>
    <t>141983, Московская обл, г.о. Дубна, г Дубна, ул Программистов, д. 5, стр. 1</t>
  </si>
  <si>
    <t>620075, Свердловская обл., г. Екатеринбург, ул. Первомайская, д. 56 офис 703</t>
  </si>
  <si>
    <t>191015, г. Санкт-Петербург, ул. 9-Я Советская, д. 4-6 литера А офис 225А</t>
  </si>
  <si>
    <t>180017, Псковская обл., г. Псков, ул. Советская, д. 118</t>
  </si>
  <si>
    <t>180000, Псковская обл., г. Псков, проспект Октябрьский, д. 4</t>
  </si>
  <si>
    <t>180000, Псковская обл., г. Псков, ул. Калинина, д. 17</t>
  </si>
  <si>
    <t>197348, г. Санкт-Петербург, проспект Коломяжский, д. 18 литера А пом. 107-Н ( офис №5-107)</t>
  </si>
  <si>
    <t>248903, Калужская обл., г. Калуга, с. Росва</t>
  </si>
  <si>
    <t>663316, Красноярский кр., г. Норильск, ул. Октябрьская, д. 14</t>
  </si>
  <si>
    <t>420015, Татарстан респ., г. Казань, ул. Толстого, д. 14А</t>
  </si>
  <si>
    <t>143500, Московская обл., г. Истра, пер. Чеховский, д. 5</t>
  </si>
  <si>
    <t>238403, Калининградская обл., Правдинский район, пос. Ермаково</t>
  </si>
  <si>
    <t>109469, г. Москва, ул. Белореченская, д. 34 к. 1 этаж 1 пом. Х ком. 3</t>
  </si>
  <si>
    <t>243550, Брянская обл., Погарский район, пгт. Погар, ул. Октябрьская, д. 41</t>
  </si>
  <si>
    <t>125212, г. Москва, ул. Адмирала Макарова, д. 6 стр. 13 этаж 3, пом. № 3 (Бизнес-центр "Невский причал")</t>
  </si>
  <si>
    <t>117628, г. Москва, вн.тер.г. муниципальный округ Северное Бутово, ул Знаменские Садки, д. 11, помещ. 3/1, ком. 6</t>
  </si>
  <si>
    <t>129329, г. Москва, ул. Кольская, д. 2 к. 6 этаж 12, пом. XVI, ком. 20</t>
  </si>
  <si>
    <t>678174, Саха /Якутия/ респ., Мирнинский у., г. Мирный, проспект Ленинградский, д. 7 к. 4</t>
  </si>
  <si>
    <t>617050, Пермский кр., г. Краснокамск, рабочий пос. Оверята, ул. Комсомольская, д. 2</t>
  </si>
  <si>
    <t>422780, Татарстан респ., Пестречинский район, с. Ленино-Кокушкино</t>
  </si>
  <si>
    <t>425400, Марий Эл респ., Советский район, пгт. Советский, ул. Шоссейная, д. 30</t>
  </si>
  <si>
    <t>450580, Башкортостан респ., Уфимский район, с. Авдон</t>
  </si>
  <si>
    <t>170554, Тверская обл, м.р-н Калининский, с.п. Верхневолжское, тер Птицефабрика Верхневолжская, зд. 72</t>
  </si>
  <si>
    <t>168200, Коми респ., Сыктывдинский район, с. Зеленец, шоссе Ухтинское, д. 125</t>
  </si>
  <si>
    <t>617407, Пермский кр., Кунгурский район, пос. Комсомольский, ул. Успешная, д. 1</t>
  </si>
  <si>
    <t>403071, Волгоградская обл., Иловлинский район, рабочий пос. Иловля</t>
  </si>
  <si>
    <t>624285, Свердловская обл., пгт. Рефтинский</t>
  </si>
  <si>
    <t>188855, Ленинградская обл., Выборгский район, шоссе Выборгское (Первомайская Тер.), стр. 100</t>
  </si>
  <si>
    <t>620082, Свердловская обл., г. Екатеринбург, ул. Сажинская, д. 6</t>
  </si>
  <si>
    <t>187322, Ленинградская обл., Кировский район, дор. Под-Зд К Синявинским Высотам От А/Д Кола, д. ЗД. 1А</t>
  </si>
  <si>
    <t>187326, Ленинградская обл., Кировский район, пос. Приладожский</t>
  </si>
  <si>
    <t>431711, Мордовия респ., Чамзинский район, с. Сабур-Мачкасы, ул. Заводская, д. 1 офис 1</t>
  </si>
  <si>
    <t>117246, г. Москва, вн.тер.г. муниципальный округ Черемушки, проезд Научный, д. 17, этаж 3, помещ. Х (Бизнес-центр «Научный проезд 17»)</t>
  </si>
  <si>
    <t>143325, Московская обл., г. Наро-Фоминск, пос. Новая Ольховка</t>
  </si>
  <si>
    <t>107140, г. Москва, вн.тер.г. муниципальный округ Красносельский, ул Верхняя Красносельская, д. 2/1, стр. 1</t>
  </si>
  <si>
    <t>162602, Вологодская обл., г. Череповец, проспект Московский, д. 51 к. А</t>
  </si>
  <si>
    <t>301261, Тульская обл, м.р-н Киреевский, г.п. город Киреевск, г Киреевск, тер. завода, зд. 3, помещ. 28, ЭТ 2</t>
  </si>
  <si>
    <t>654006, Кемеровская область - Кузбасс, г. Новокузнецк, ул. Черноморская (Куйбышевский Р-Н), д. 1</t>
  </si>
  <si>
    <t>344095, Ростовская обл, г.о. город Ростов-на-Дону, г Ростов-на-Дону, ул Штахановского, влд. 29А, этаж 4, помещ. 401</t>
  </si>
  <si>
    <t>142918, Московская обл., г. Кашира, пос. Зендиково, ул. Шоссейная, д. 3</t>
  </si>
  <si>
    <t>344111, Ростовская обл., г. Ростов-На-Дону, ул. Петрожицкого, д. 8Б</t>
  </si>
  <si>
    <t>188910, Ленинградская обл., Выборгский район, тер. Приморская, ПРОЕЗД ПОРТОВЫЙ д. 10 офис 116</t>
  </si>
  <si>
    <t>121433, г. Москва, вн.тер.г. муниципальный округ Фили-Давыдково, ул Малая Филёвская, д. 46, этаж 2, помещ. 6</t>
  </si>
  <si>
    <t>652648, Кемеровская область - Кузбасс, Беловский район, д. Осиновка, ул. Фабричная, д. 3</t>
  </si>
  <si>
    <t>295024, Крым респ., г. Симферополь, ул. Севастопольская, д. 35 литера А пом. 7</t>
  </si>
  <si>
    <t>142121, Московская обл., г. Подольск, ул. Станционная, В РАЙОНЕ ДЕРЕВНИ СЕВЕРОВО д. 18</t>
  </si>
  <si>
    <t>188300, Ленинградская обл., Гатчинский район, г. Гатчина, ул. 7 Армии, д. 22А пом. 10</t>
  </si>
  <si>
    <t>620144, Свердловская обл., г. Екатеринбург, ул. Народной Воли стр. 19А</t>
  </si>
  <si>
    <t>123112, г. Москва, набережная Пресненская, д. 10 этаж 22 (Бизнес-центр «Naberezhnaya Tower»)</t>
  </si>
  <si>
    <t>427027, Удмуртская респ., Завьяловский район, с. Вараксино</t>
  </si>
  <si>
    <t>125252, г. Москва, ул. 3-Я Песчаная, д. 2А</t>
  </si>
  <si>
    <t>109428, г. Москва, проезд 1-Й Вязовский, д. 4 стр. 19</t>
  </si>
  <si>
    <t>195009, г. Санкт-Петербург, вн.тер.г. муниципальный округ Финляндский округ, ул Михайлова, д. 10, литера А, помещ. 1Н</t>
  </si>
  <si>
    <t>420015, Татарстан Респ, г.о. город Казань, г Казань, ул Пушкина, зд. 80, офис 315</t>
  </si>
  <si>
    <t>357502, Ставропольский кр., г. Пятигорск, ул. Дунаевского, д. 9</t>
  </si>
  <si>
    <t>123112, г. Москва, вн.тер.г. муниципальный округ Пресненский, наб Пресненская, д. 10, этаж 15, БЛОК Б, помещ. 15 (Бизнес-центр «Naberezhnaya Tower»)</t>
  </si>
  <si>
    <t>197342, г. Санкт-Петербург, ул. Сердобольская, д. 64 к. 1 литера А пом. 26-Н ком. 15</t>
  </si>
  <si>
    <t>117420, г. Москва, вн.тер.г. муниципальный округ Черемушки, ул Намёткина, д. 11, помещ. I/П</t>
  </si>
  <si>
    <t>119049, г. Москва, ул. Большая Якиманка, д. 35 стр. 1 этаж 3 пом. I ком. 4</t>
  </si>
  <si>
    <t>198330, г. Санкт-Петербург, ул. Маршала Захарова, д. 41 литера А</t>
  </si>
  <si>
    <t>117638, г. Москва, ул. Одесская, д. 2 этаж 7 пом. VIII ком. 27/31/32 (Бизнес-центр «Lotos»)</t>
  </si>
  <si>
    <t>121357, г. Москва, вн.тер.г. муниципальный округ Можайский, ул Верейская, д. 29, стр. 33, помещ. ЭТАЖ 2, КОМНАТА 23 (Бизнес-центр «Верейская Плаза III 33»)</t>
  </si>
  <si>
    <t>123154, г. Москва, ул. Берзарина, д. 19 к. 1</t>
  </si>
  <si>
    <t>140108, Московская обл., г. Раменское, ул. Красноармейская, д. 131А ком. 2</t>
  </si>
  <si>
    <t>690106, Приморский кр., г. Владивосток, проспект Красного Знамени, д. 42</t>
  </si>
  <si>
    <t>456513, Челябинская обл., Сосновский район, пос. Рощино</t>
  </si>
  <si>
    <t>634517, Томская обл., Томский район, д. Нелюбино, ул. Дорожная, д. 30</t>
  </si>
  <si>
    <t>670018, Бурятия Респ, м.р-н Иволгинский, с.п. Нижнеиволгинское, у Хойтобэе, ул Баян-Гол, д. 20А</t>
  </si>
  <si>
    <t>197374, г. Санкт-Петербург, дор. Торфяная, д. 7 литера А Ч.П. 4Н каб. №11 (Многофункциональный комплекс «Гулливер»)</t>
  </si>
  <si>
    <t>690105, Приморский край, г.о. Владивостокский, г Владивосток, ул Русская, д. 94А, этаж 1 ПОМЕЩЕНИЕ 42</t>
  </si>
  <si>
    <t>142455, Московская обл., Ногинский район, г. Электроугли, ул. Центральная, д. 110</t>
  </si>
  <si>
    <t>400048, Волгоградская обл., г. Волгоград, шоссе Авиаторов, д. 8</t>
  </si>
  <si>
    <t>410031, Саратовская обл., г. Саратов, ул. Первомайская, д. 42/44</t>
  </si>
  <si>
    <t>452122, Башкортостан респ., Альшеевский район, с. Раевский, ул. Магистральная, д. 2</t>
  </si>
  <si>
    <t>109029, г. Москва, ул. Средняя Калитниковская, д. 28 стр. 4 этаж 1 пом. VIII ком. 54</t>
  </si>
  <si>
    <t>350033, Краснодарский кр., г. Краснодар, ул. Ставропольская, д. 2А</t>
  </si>
  <si>
    <t>107023, г. Москва, ул. Электрозаводская, д. 52 стр. 8-12 офис 23</t>
  </si>
  <si>
    <t>655682, Хакасия респ., Алтайский район, с. Аршаново, ул. Ленина, д. 69</t>
  </si>
  <si>
    <t>653212, Кемеровская область - Кузбасс, м.о. Прокопьевский, п Калачево, ул Мира, д. 9, стр. 16</t>
  </si>
  <si>
    <t>654102, Кемеровская область - Кузбасс, г. Новокузнецк, ул. Ливинская (Куйбышевский Р-Н), д. 38</t>
  </si>
  <si>
    <t>633216, Новосибирская обл., Искитимский район, рабочий пос. Линево, проспект Мира, д. 16 пом. / каб. 1/1</t>
  </si>
  <si>
    <t>665415, Иркутская обл, г.о. город Черемхово, г Черемхово, ул Лермонтова, д. 1, помещ. 10</t>
  </si>
  <si>
    <t>652840, Кемеровская область - Кузбасс, г. Мыски, ул. Советская, д. 50</t>
  </si>
  <si>
    <t>655016, Хакасия Респ, г.о. город Абакан, г Абакан, пр-кт Дружбы Народов, д. 43, помещ. 405Н, ком. 20</t>
  </si>
  <si>
    <t>652673, Кемеровская область - Кузбасс, м.о. Беловский, с Каракан</t>
  </si>
  <si>
    <t>633224, Новосибирская обл., Искитимский район, пос. Листвянский, ул. Советская, д. 2А</t>
  </si>
  <si>
    <t>652870, Кемеровская область - Кузбасс, г. Междуреченск, ул. Мира, д. 106 офис 213</t>
  </si>
  <si>
    <t>654102, Кемеровская область - Кузбасс, г.о. Новокузнецкий, г Новокузнецк, р-н Куйбышевский, ул Погрузочная, зд. 60Б, помещ. 333</t>
  </si>
  <si>
    <t>671353, Бурятия респ., Мухоршибирский район, пос. Саган-Нур, проспект 70 Лет Октября, д. 49</t>
  </si>
  <si>
    <t>674607, Забайкальский кр., Борзинский район, пгт. Шерловая Гора</t>
  </si>
  <si>
    <t>665413, Иркутская обл., г. Черемхово, ул. Парковая, д. 1</t>
  </si>
  <si>
    <t>620024, Свердловская обл., г. Екатеринбург, шоссе Елизаветинское, д. 28 пом. 25</t>
  </si>
  <si>
    <t>356000, Ставропольский кр., Новоалександровский район, г. Новоалександровск, тер. Промзона</t>
  </si>
  <si>
    <t>119121, г. Москва, пл. Смоленская-Сенная, д. 28</t>
  </si>
  <si>
    <t>107143, г. Москва, шоссе Открытое, д. 18 стр. 1</t>
  </si>
  <si>
    <t>107143, г. Москва, вн.тер.г. муниципальный округ Метрогородок, ш Открытое, д. 18, стр. 1, этаж 2П, КАБ. 19</t>
  </si>
  <si>
    <t>140104, Московская обл., г. Раменское, проезд Деревообделочный, д. 2А</t>
  </si>
  <si>
    <t>140152, Московская обл., г. Раменское, пос. Дружба</t>
  </si>
  <si>
    <t>140152, Московская обл., г. Раменское, д. Кузнецово, ул. Центральная стр. 180</t>
  </si>
  <si>
    <t>357506, Ставропольский кр., г. Пятигорск, ул. Подстанционная, д. 13А</t>
  </si>
  <si>
    <t>107023, г. Москва, ул. Электрозаводская, д. 27 стр. 8 пом. 14/1 (Деловой центр «ЛеФОРТ строение 8»)</t>
  </si>
  <si>
    <t>125040, г. Москва, вн.тер.г. муниципальный округ Беговой, ул Скаковая, д. 17, стр. 2, ком. 2 (Бизнес-центр «Ргр»)</t>
  </si>
  <si>
    <t>119331, г. Москва, вн.тер.г. муниципальный округ Ломоносовский, ул Марии Ульяновой, д. 16, кв. 53</t>
  </si>
  <si>
    <t>115280, г. Москва, вн.тер.г. муниципальный округ Даниловский, ул Ленинская Слобода, д. 26, этаж -3, помещ./ком. IV/130 (Бизнес-центр «Omega Plaza Омега-2 корпус А»)</t>
  </si>
  <si>
    <t>119021, г. Москва, вн.тер.г. муниципальный округ Хамовники, ул Льва Толстого, д. 23, стр. 4, этаж/помещ. 1/II, ком. 7</t>
  </si>
  <si>
    <t>117036, г. Москва, ул. Дмитрия Ульянова, д. 9/11 к. 2 этаж ЦОКОЛЬНЫЙ ком. 1-Б</t>
  </si>
  <si>
    <t>652870, Кемеровская область - Кузбасс, г. Междуреченск, ул. Мира, д. 106</t>
  </si>
  <si>
    <t>652870, Кемеровская область - Кузбасс, г. Междуреченск, ул. Мира, д. 106 офис 424</t>
  </si>
  <si>
    <t>352330, Краснодарский кр., Усть-Лабинский район, г. Усть-Лабинск, ул. Тельмана, д. 47 офис 10</t>
  </si>
  <si>
    <t>182115, Псковская обл., г. Великие Луки, ул. Вокзальная, д. 34 пом. 1001 каб. 20</t>
  </si>
  <si>
    <t>115230, г. Москва, шоссе Каширское, д. 3К2 стр. 16 этаж 6, каб. 6.02</t>
  </si>
  <si>
    <t>350010, Краснодарский кр., г. Краснодар, ул. Зиповская, д. 5 литера Э офис 206</t>
  </si>
  <si>
    <t>121087, г. Москва, вн.тер.г. муниципальный округ Филевский парк, ул Барклая, д. 6, стр. 5, помещ. 23В/6 (Бизнес-центр «Barklay Plaza (Барклай Плаза)» )</t>
  </si>
  <si>
    <t>690054, Приморский кр., г. Владивосток, ул. 3-Я Шоссейная, д. 21</t>
  </si>
  <si>
    <t>107150, г. Москва, вн.тер.г. муниципальный округ Богородское, ул Бойцовая, д. 27, этаж 3, офис 316</t>
  </si>
  <si>
    <t>420111, Татарстан респ., г. Казань, ул. Федосеевская, д. 36 офис 422</t>
  </si>
  <si>
    <t>107078, г. Москва, ул. Маши Порываевой, д. 34 пом. III, ком. 80, этаж 4 (Бизнес-центр «Домников»)</t>
  </si>
  <si>
    <t>107078, г. Москва, ул. Маши Порываевой, д. 34 пом. III, ком. 38, этаж 6 (Бизнес-центр «Домников»)</t>
  </si>
  <si>
    <t>125130, г. Москва, вн.тер.г. муниципальный округ Войковский, ул Выборгская, д. 22, стр. 3, этаж 2, ком. 83</t>
  </si>
  <si>
    <t>115280, г. Москва, вн.тер.г. муниципальный округ Даниловский, проезд 1-й Автозаводский, д. 4, к. 1, помещ. II</t>
  </si>
  <si>
    <t>453701, Башкортостан респ., Учалинский район, г. Учалы, ул. Энергетиков, д. 27Б</t>
  </si>
  <si>
    <t>109028, г. Москва, ул. Земляной Вал, д. 50А /8 стр. 2, этаж 12/ ком. 25</t>
  </si>
  <si>
    <t>115409, г. Москва, вн.тер.г. муниципальный округ Москворечье-Сабурово, ш Каширское, д. 49</t>
  </si>
  <si>
    <t>394038, Воронежская обл., г. Воронеж, ул. Пеше-Стрелецкая, д. 90</t>
  </si>
  <si>
    <t>129626, г. Москва, вн.тер.г. муниципальный округ Алексеевский, пер Кулаков, д. 9, стр. 1, помещ. 26 (Бизнес-центр в Кулаковом Переулке, 9С1)</t>
  </si>
  <si>
    <t>121357, г. Москва, ул. Верейская, д. 29 стр. 134 этаж 7 ком. 17 (Бизнес-центр «Vereyskaya Plaza 3»)</t>
  </si>
  <si>
    <t>390000, Рязанская Область обл., г. Рязань, ул. Радищева, д. 61 (Бизнес-центр на Радищева)</t>
  </si>
  <si>
    <t>628600, Ханты-Мансийский Автономный Округ - Югра, г. Нижневартовск, ул. 1пс Северный Промышленный Узел, д. 8</t>
  </si>
  <si>
    <t>121205, г. Москва, бульвар Большой (Сколково Инновационного Центра Тер), д. 42 стр. 1 этаж / пом. /РАБ 0 (ЦОКОЛЬНЫЙ)/156/8</t>
  </si>
  <si>
    <t>115114, г. Москва, набережная Шлюзовая, д. 4 (Многофункциональный комплекс «Rosso Riva»)</t>
  </si>
  <si>
    <t>195253, г. Санкт-Петербург, шоссе Революции, д. 58-А литера А пом. 20-22</t>
  </si>
  <si>
    <t>127051, г. Москва, вн.тер.г. муниципальный округ Тверской, пер Малый Каретный, д. 11, стр. 2, этаж 2</t>
  </si>
  <si>
    <t>107564, г. Москва, ул. Краснобогатырская, д. 6 стр. 1 пом. 03 (Бизнес-центр «Villa Riva»)</t>
  </si>
  <si>
    <t>440015, Пензенская обл., г. Пенза, ул. Аустрина, д. 169 пом. 29</t>
  </si>
  <si>
    <t>344034, Ростовская обл., г. Ростов-На-Дону, ул. Портовая, д. 250 к. 96 ком. 5</t>
  </si>
  <si>
    <t>117246, г. Москва, проезд Научный, д. 19 этаж 8 ком. 112 (Бизнес-центр «9 Acres»)</t>
  </si>
  <si>
    <t>190005, г. Санкт-Петербург, проспект Измайловский, д. 29 литера И пом. 21 Н, ком. 12</t>
  </si>
  <si>
    <t>410506, Саратовская обл., г. Саратов, тер. Вольский Тракт, стр. 14</t>
  </si>
  <si>
    <t>125167, г. Москва, вн.тер.г. муниципальный округ Хорошевский, ул Викторенко, д. 5, стр. 1, этаж 14 (Бизнес-центр «Victory Plaza»)</t>
  </si>
  <si>
    <t>121601, г. Москва, бульвар Филёвский, д. 39 этаж 1, пом. 1, ком. 15</t>
  </si>
  <si>
    <t>197375, г. Санкт-Петербург, вн.тер.г. муниципальный округ Юнтолово, пр-кт Шуваловский, д. 32, к. 2, литера А, помещ. ЧАСТЬ ПОМЕЩЕНИЯ 2Н, ком. 39</t>
  </si>
  <si>
    <t>454021, Челябинская обл., г. Челябинск, ул. Братьев Кашириных, д. 141 к. А</t>
  </si>
  <si>
    <t>141013, Московская обл., Мытищи г.о., г. Мытищи, ул. Силикатная, владение 55В стр. 1 пом. № 5</t>
  </si>
  <si>
    <t>142784, г. Москва, км. Киевское Шоссе 22-Й (П Московский), домовладение 4 стр. 1 этаж 6 блок А</t>
  </si>
  <si>
    <t>671340, Бурятия респ., Мухоршибирский район, с. Мухоршибирь, ул. Рабочая, д. 1</t>
  </si>
  <si>
    <t>410002, Саратовская обл., г. Саратов, набережная Космонавтов, д. 1А</t>
  </si>
  <si>
    <t>443022, Самарская обл., г. Самара, туп. Управленческий, д. 7</t>
  </si>
  <si>
    <t>119121, г. Москва, бульвар Смоленский, д. 19 стр. 1 пом. I</t>
  </si>
  <si>
    <t>140053, Московская обл., г. Котельники, проезд Яничкин, д. 2 часть пом. 14</t>
  </si>
  <si>
    <t>660005, Красноярский кр., г. Красноярск, ул. Краснодарская, д. 40 д</t>
  </si>
  <si>
    <t>105066, г. Москва, ул. Нижняя Красносельская, д. 40/12 к. 2 ком. 24 ( этаж 5)</t>
  </si>
  <si>
    <t>127030, г. Москва, вн.тер.г. муниципальный округ Тверской, ул Новослободская, д. 16, этаж 4, помещ. 7 (Торгово-офисный центр «Новослободская 16-18»)</t>
  </si>
  <si>
    <t>119415, г. Москва, проспект Вернадского, д. 41 стр. 1 этаж 8 пом. I ком. 25</t>
  </si>
  <si>
    <t>129515, г. Москва, ул. Цандера, д. 8 этаж / ком. 2/17</t>
  </si>
  <si>
    <t>107140, г. Москва, пер. 3-Й Новый, д. 5 стр. 1 пом. V, каб. 6, этаж 3</t>
  </si>
  <si>
    <t>123022, г. Москва, вн.тер.г. муниципальный округ Пресненский, ул 2-я Звенигородская, д. 13, стр. 42, этаж 5, ком. 1</t>
  </si>
  <si>
    <t>197101, г. Санкт-Петербург, ул. Мира, д. 36 стр. 1 пом. 19-Н</t>
  </si>
  <si>
    <t>119048, г. Москва, вн.тер.г. муниципальный округ Хамовники, ул Лужники, д. 24, стр. 19, этаж 2, помещ. 1</t>
  </si>
  <si>
    <t>620014, Свердловская обл., г. Екатеринбург, ул. Челюскинцев, д. 2 офис 116 (Деловой центр «Микрон»)</t>
  </si>
  <si>
    <t>119002, г. Москва, вн.тер.г. муниципальный округ Арбат, ул Арбат, д. 10, этаж 4, ПОМ. I, ч. ком. 2 (Бизнес-центр «Midland Plaza»)</t>
  </si>
  <si>
    <t>620075, Свердловская обл., г. Екатеринбург, ул. Луначарского, д. 80 офис 405/1</t>
  </si>
  <si>
    <t>127473, г. Москва, ул. Краснопролетарская, д. 16 стр. 2 этаж 2 пом. I ком. 9 часть (Бизнес-центр «Новослободский 16с2»)</t>
  </si>
  <si>
    <t>115114, г. Москва, набережная Шлюзовая, д. 4 этаж 3 (Многофункциональный комплекс «Rosso Riva»)</t>
  </si>
  <si>
    <t>115114, г. Москва, вн.тер.г. муниципальный округ Замоскворечье, наб Шлюзовая, д. 4 (Многофункциональный комплекс «Rosso Riva»)</t>
  </si>
  <si>
    <t>420021, Татарстан респ., г. Казань, ул. Галиаскара Камала, д. 41 офис 613А</t>
  </si>
  <si>
    <t>125284, г. Москва, вн.тер.г. муниципальный округ Хорошевский, ш Хорошёвское, д. 32А, помещ. XIII, ком. 42 (Бизнес-центр "Солид-Кама")</t>
  </si>
  <si>
    <t>390044, Рязанская Область обл., г. Рязань, ул. Зафабричная, д. 14</t>
  </si>
  <si>
    <t>115093, г. Москва, пер. Серпуховский, д. 1-3-5 стр. 3 этаж 3 пом. I</t>
  </si>
  <si>
    <t>455019, Челябинская обл., г. Магнитогорск, ул. Кирова, д. 93 к. АБЗ УПРАВЛЕНИЕ ЛОГИСТИКИ каб. 7</t>
  </si>
  <si>
    <t>117587, г. Москва, шоссе Варшавское, д. 125Ж к. 6 этаж 11 ком. 12</t>
  </si>
  <si>
    <t>628320, Ханты-Мансийский Автономный Округ - Югра, Нефтеюганский район, пос. Сингапай, д. УЛ СУРГУТСКАЯ 14 стр. 6 офис 1</t>
  </si>
  <si>
    <t>628407, Ханты-Мансийский Автономный Округ - Югра, г. Сургут, ул. Рационализаторов, д. 14</t>
  </si>
  <si>
    <t>628401, Ханты-Мансийский Автономный Округ - Югра, г. Сургут, ул. Рационализаторов, д. 14</t>
  </si>
  <si>
    <t>123112, г. Москва, вн.тер.г. муниципальный округ Пресненский, проезд 1-й Красногвардейский, д. 22, стр. 1, этаж 16</t>
  </si>
  <si>
    <t>194021, г. Санкт-Петербург, ул. Шателена, д. 26 литера А пом. 152</t>
  </si>
  <si>
    <t>121108, г. Москва, ул. Ивана Франко, д. 8 этаж 15 пом. I ком. 6 (Бизнес-центр «Kutuzoff Tower»)</t>
  </si>
  <si>
    <t>420111, Татарстан респ., г. Казань, ул. Карла Маркса, д. 29/14 офис 4</t>
  </si>
  <si>
    <t>140103, Московская обл., г. Раменское, шоссе 4-Й Км Донинское, к. АДМИНИСТРАТИВНЫЙ этаж 2 пом. 1</t>
  </si>
  <si>
    <t>191124, г. Санкт-Петербург, ул. Орловская, д. 1 к. 2 литера А пом. 10Н</t>
  </si>
  <si>
    <t>109012, г. Москва, вн.тер.г. муниципальный округ Тверской, ул Ильинка, д. 13 (Бизнес-центр на Ул. Ильинка, 13)</t>
  </si>
  <si>
    <t>195030, г. Санкт-Петербург, ул. Коммуны, д. 67 литера АП</t>
  </si>
  <si>
    <t>398002, Липецкая обл., г. Липецк, ул. Космонавтов, д. 6 офис 111 (Бизнес-центр «Космос»)</t>
  </si>
  <si>
    <t>143401, Московская обл, г.о. Красногорск, г Красногорск, б-р Строителей, д. 4, к. 1, этаж 7, кабинет 722</t>
  </si>
  <si>
    <t>196006, г. Санкт-Петербург, вн.тер.г. город Петергоф, ул Цветочная, д. 18, литера А, помещ. 2-Н (214)</t>
  </si>
  <si>
    <t>117105, г. Москва, проезд Нагорный, д. 6 стр. 8</t>
  </si>
  <si>
    <t>117420, г. Москва, вн.тер.г. муниципальный округ Черемушки, ул Намёткина, д. 14, к. 2, этаж/помещ/ком 4/I/415</t>
  </si>
  <si>
    <t>117630, г. Москва, вн.тер.г. муниципальный округ Обручевский, ш Старокалужское, д. 62, этаж 5, пом. №i КОМНАТА №92 (Бизнес-центр «Валлекс»)</t>
  </si>
  <si>
    <t>410010, Саратовская обл., г. Саратов, ул. Им Академика Навашина С.Г., д. 8</t>
  </si>
  <si>
    <t>101000, г. Москва, пер. Хохловский, д. 3 стр. 1 пом. I, ком. 1-4</t>
  </si>
  <si>
    <t>119048, г. Москва, ул. Лужники, д. 24 стр. 19 этаж / пом. 1/3</t>
  </si>
  <si>
    <t>457000, Челябинская обл., Увельский район, пос. Увельский, ул. Железнодорожная, д. 59</t>
  </si>
  <si>
    <t>654007, Кемеровская область - Кузбасс, г. Новокузнецк, проспект Н.С.Ермакова (Центральный Р-Н), д. 9А пом. 457А</t>
  </si>
  <si>
    <t>357101, Ставропольский край, г.о. город Невинномысск, г Невинномысск, ул Матросова, зд. 8, к. А</t>
  </si>
  <si>
    <t>119285, г. Москва, вн.тер.г. муниципальный округ Раменки, км МЖД Киевское 5-й, д. 1, стр. 1, ком. 40</t>
  </si>
  <si>
    <t>115114, г. Москва, вн.тер.г. муниципальный округ Даниловский, наб Дербеневская, д. 7, стр. 18 (Бизнес-квартал «Новоспасский строение 18»)</t>
  </si>
  <si>
    <t>143405, Московская обл., г. Красногорск, туп. Ильинский, д. 9 офис 113</t>
  </si>
  <si>
    <t>119435, г. Москва, пер. Большой Саввинский, д. 11 этаж 4 пом. 1</t>
  </si>
  <si>
    <t>664039, Иркутская обл., г. Иркутск, ул. Клары Цеткин, д. 16 этаж 2 пом. 1</t>
  </si>
  <si>
    <t>125124, г. Москва, ул. Правды, д. 24 стр. 4 пом. 1 ком. 37</t>
  </si>
  <si>
    <t>682643, Хабаровский кр., г. Амурск, шоссе Машиностроителей, д. 2</t>
  </si>
  <si>
    <t>115280, г. Москва, ул. Ленинская Слобода, д. 19 стр. 1 (Бизнес-центр на Ул. Ленинская Слобода, 19С1)</t>
  </si>
  <si>
    <t>101000, г. Москва, вн.тер.г. муниципальный округ Басманный, ул Мясницкая, д. 46, стр. 1, этаж 2, ком. 24 (Бизнес-центр на Ул. Мясницкая, 46С1)</t>
  </si>
  <si>
    <t>195426, г. Санкт-Петербург, ул. Хасанская, д. 1 к. 2, литера А офис 2</t>
  </si>
  <si>
    <t>105066, г. Москва, ул. Нижняя Красносельская, д. 40/12 к. 20 этаж 10</t>
  </si>
  <si>
    <t>, Московская обл, г.о. Раменский, д Трошково, тер. автодорога Егорьевское шоссе, км 36-й, стр. 2</t>
  </si>
  <si>
    <t>117186, г. Москва, ул. Нагорная, д. 3А этаж / пом. / ком. 3/I/3</t>
  </si>
  <si>
    <t>678144, Саха /Якутия/ Респ, м.р-н Ленский, г.п. город Ленск, г Ленск, ул Победы, д. 107, этаж 2, помещ. 17</t>
  </si>
  <si>
    <t>105066, г. Москва, вн.тер.г. муниципальный округ Басманный, ул Ольховская, д. 4, к. 2, этаж 2, помещ. 02</t>
  </si>
  <si>
    <t>101000, г. Москва, пер. Архангельский, д. 10А</t>
  </si>
  <si>
    <t>107078, г. Москва, ул. Маши Порываевой, д. 34 (Бизнес-центр «Домников»)</t>
  </si>
  <si>
    <t>129110, г. Москва, вн.тер.г. муниципальный округ Мещанский, пр-кт Олимпийский, д. 18/1</t>
  </si>
  <si>
    <t>107174, г. Москва, ул. Садовая-Черногрязская, д. 3А стр. 3</t>
  </si>
  <si>
    <t>129090, г. Москва, ул. Каланчевская, д. 35 пом. 33 (Бизнес-центр на Ул. Каланчёвская, 35)</t>
  </si>
  <si>
    <t>105005, г. Москва, пер. Елизаветинский, д. 12 стр. 1 (Бизнес-центр «Елизаветинский»)</t>
  </si>
  <si>
    <t>170100, Тверская обл, г.о. город Тверь, г Тверь, ул Вокзальная, д. 20, ком. 1, ЭТАЖ 1</t>
  </si>
  <si>
    <t>107031, г. Москва, ул. Кузнецкий Мост, д. 21/5 офис 611 Э 6 пом. I К 8 (Бизнес-центр на Ул. Кузнецкий Мост, 21/5)</t>
  </si>
  <si>
    <t>623280, Свердловская обл., г. Ревда, ул. Комбинатская, д. ЗД. 1</t>
  </si>
  <si>
    <t>658220, Алтайский кр., г. Рубцовск, ул. Арычная, д. 8</t>
  </si>
  <si>
    <t>344011, Ростовская обл., г. Ростов-На-Дону, пер. Доломановский, д. 70 к. д. , этаж 9 ком. 26</t>
  </si>
  <si>
    <t>191124, г. Санкт-Петербург, ул. Ставропольская, д. 10 литера А пом. 345</t>
  </si>
  <si>
    <t>344000, Ростовская обл., г. Ростов-На-Дону, пер. Певчий, д. 4 кв. 15</t>
  </si>
  <si>
    <t>198216, г. Санкт-Петербург, проспект Народного Ополчения, д. 22 литера П пом. №26Н</t>
  </si>
  <si>
    <t>115201, г. Москва, шоссе Каширское, д. 22 к. 4(1)</t>
  </si>
  <si>
    <t>141707, Московская обл., г. Долгопрудный, проспект Пацаева, д. 7 корп. 2</t>
  </si>
  <si>
    <t>614990, Пермский кр., г. Пермь, ул. Монастырская, д. 4А</t>
  </si>
  <si>
    <t>143581, Московская обл., г. Истра, д. Лешково, д. 217</t>
  </si>
  <si>
    <t>142034, Московская обл., г. Видное, пос. Мещерино, тер. Зона Придорожного Сервиса Автодороги Мкад -Аэропорт Домодедово, владение 2 стр. 1 ком. 310</t>
  </si>
  <si>
    <t>107023, г. Москва, пл. Журавлёва, д. 10 стр. 3 этаж 1 пом. 30 офис 301</t>
  </si>
  <si>
    <t>125362, г. Москва, ул. Водников, д. 2 стр. 2 (Бизнес-парк «Водники 2с2»)</t>
  </si>
  <si>
    <t>119017, г. Москва, пер. Пыжевский, д. 5 стр. 1 этаж 3 П 1 офис 305 К 33,34,62</t>
  </si>
  <si>
    <t>680020, Хабаровский кр., г. Хабаровск, ул. Шеронова, д. 75</t>
  </si>
  <si>
    <t>119017, г. Москва, вн.тер.г. муниципальный округ Якиманка, ул Большая Ордынка, д. 40, стр. 1</t>
  </si>
  <si>
    <t>350072, Краснодарский кр., г. Краснодар, ул. Солнечная, д. 15/5 литера Б ком. 3 1-Й этаж</t>
  </si>
  <si>
    <t>140143, Московская обл., г. Раменское, пос. Родники, ул. Трудовая, д. 10 СКЛАД/ литера / пом. 3/1Б/II</t>
  </si>
  <si>
    <t>119285, г. Москва, ул. Минская, д. 1Г к. 1 этаж 1 пом. V</t>
  </si>
  <si>
    <t>192212, г. Санкт-Петербург, вн.тер.г. муниципальный округ Купчино, пр-кт Славы, д. 4, литера А, помещ. 29-Н, 30-Н, ком. 7</t>
  </si>
  <si>
    <t>680032, Хабаровский кр., г. Хабаровск, ул. Зеленая, д. 3А офис 104</t>
  </si>
  <si>
    <t>454091, Челябинская обл, г.о. Челябинский, вн.р-н Центральный, г Челябинск, ул Елькина, д. 45А, офис 804, помещ. 12,13</t>
  </si>
  <si>
    <t>350900, Краснодарский кр., г. Краснодар, ул. Пригородная, д. 96 офис 101</t>
  </si>
  <si>
    <t>119048, г. Москва, вн.тер.г. муниципальный округ Хамовники, ул Лужники, д. 24, стр. 9 (Бизнес-центр на Ул. Лужники, 24С9)</t>
  </si>
  <si>
    <t>443041, Самарская обл., г. Самара, ул. Ленинская, д. 120А</t>
  </si>
  <si>
    <t>140730, Московская обл., г. Рошаль, ул. 2-Й Пятилетки</t>
  </si>
  <si>
    <t>390013, Рязанская Область обл., г. Рязань, ул. Чкалова, д. 10А</t>
  </si>
  <si>
    <t>129344, г. Москва, ул. Енисейская, д. 1 стр. 1 (Бизнес-центр «Лира»)</t>
  </si>
  <si>
    <t>457388, Челябинская обл., Карталинский район, с. Еленинка, ул. Молодежная, д. 2 офис 1</t>
  </si>
  <si>
    <t>462635, Оренбургская обл, г.о. Гайский, г Гай, проезд Технологический, соор. 18</t>
  </si>
  <si>
    <t>630015, Новосибирская обл, г.о. город Новосибирск, г Новосибирск, ул Королева, д. 40, к. 40, помещ. 1 ЭТАЖА</t>
  </si>
  <si>
    <t>125167, г. Москва, проспект Ленинградский, д. 44А стр. 3 пом. 3</t>
  </si>
  <si>
    <t>184376, Мурманская обл., Кольский район, с. Минькино, д. 150Б</t>
  </si>
  <si>
    <t>186810, Карелия респ., Питкярантский район, пос. Остров Пусунсаари, д. 1</t>
  </si>
  <si>
    <t>445007, Самарская обл, г.о. Тольятти, г Тольятти, ул Новозаводская, влд. 2А, стр. 209, офис 208</t>
  </si>
  <si>
    <t>125493, г. Москва, ул. Нарвская, д. 21 ком. К6</t>
  </si>
  <si>
    <t>344018, Ростовская обл., г. Ростов-На-Дону, проспект Буденновский, д. 99</t>
  </si>
  <si>
    <t>295015, Крым респ., г. Симферополь, ул. Жуковского, д. 25 офис 205</t>
  </si>
  <si>
    <t>680022, Хабаровский край, г.о. город Хабаровск, г Хабаровск, ул Воронежская, д. 47А, этаж/помещ. 4/30-42</t>
  </si>
  <si>
    <t>394028, Воронежская обл, г.о. город Воронеж, г Воронеж, ул Волгоградская, д. 46А, ком. 28</t>
  </si>
  <si>
    <t>187320, Ленинградская обл., Кировский район, г. Шлиссельбург, ул. Жука, д. 3 пом. 204</t>
  </si>
  <si>
    <t>660064, Красноярский кр., г. Красноярск, ул. Академика Вавилова, д. 1 стр. 10 офис 337/1</t>
  </si>
  <si>
    <t>152914, Ярославская обл., Рыбинский район, г. Рыбинск, ул. Толбухина, д. 22</t>
  </si>
  <si>
    <t>390028, Рязанская обл., г. Рязань, ул. Прижелезнодорожная, д. 24А литера А</t>
  </si>
  <si>
    <t>620075, Свердловская обл, г.о. город Екатеринбург, г Екатеринбург, ул Горького, стр. 57, офис 12.19</t>
  </si>
  <si>
    <t>680045, Хабаровский кр., г. Хабаровск, ул. Краснореченская, д. 118 офис 306</t>
  </si>
  <si>
    <t>390044, Рязанская Область обл., г. Рязань, ул. Костычева, д. 15А</t>
  </si>
  <si>
    <t>236039, Калининградская обл., г. Калининград, ул. Б.Хмельницкого, д. 57-59 литера А пом. IV</t>
  </si>
  <si>
    <t>665835, Иркутская обл., г. Ангарск, микрорайон 29, д. 9А этаж 2 офис 1</t>
  </si>
  <si>
    <t>143440, Московская обл, г.о. Красногорск, д Путилково, тер. Гринвуд, стр. 23, этаж 2, помещ. 129</t>
  </si>
  <si>
    <t>129090, г. Москва, пер. Троицкий 1-Й, д. 12 к. 5 пом. 50</t>
  </si>
  <si>
    <t>129090, г. Москва, пер. Троицкий 1-Й, д. 12 к. 5</t>
  </si>
  <si>
    <t>129090, г. Москва, ул. Щепкина, д. 25/20 пом. / ком. V / 4</t>
  </si>
  <si>
    <t>413105, Саратовская обл., г. Энгельс, проспект Фридриха Энгельса, д. 139</t>
  </si>
  <si>
    <t>141402, Московская обл., г. Химки, шоссе Вашутинское, владение 24 (Бизнес-центр «Штаб-Квартира Роберт Бош»)</t>
  </si>
  <si>
    <t>344103, Ростовская обл., г. Ростов-На-Дону, ул. Доватора, владение 150</t>
  </si>
  <si>
    <t>309740, Белгородская обл., Ровеньский район, пос. Ровеньки, ул. М.Горького, д. 135</t>
  </si>
  <si>
    <t>119034, г. Москва, проезд Соймоновский, д. 7 к. 1</t>
  </si>
  <si>
    <t>108813, г. Москва, вн.тер.г. поселение Московский, г. Московский, ул Московская, д. 3, помещ. 5/1</t>
  </si>
  <si>
    <t>353715, Краснодарский кр., Каневской район, станица Челбасская, ул. Красная, д. 119</t>
  </si>
  <si>
    <t>141004, Московская обл., Мытищи г.о., г. Мытищи, ул. Силикатная, д. 17</t>
  </si>
  <si>
    <t>400138, Волгоградская обл., г. Волгоград, ул. Им. Солнечникова, д. 9 пом. 1</t>
  </si>
  <si>
    <t>443022, Самарская обл., г. Самара, ул. Ветлянская, д. 50</t>
  </si>
  <si>
    <t>630110, Новосибирская обл., г. Новосибирск, ул. Богдана Хмельницкого, д. 90 офис 9</t>
  </si>
  <si>
    <t>690068, Приморский кр., г. Владивосток, проспект 100-Летия Владивостока, д. 155 корп. 1 пом. 25</t>
  </si>
  <si>
    <t>119017, г. Москва, пер. Старомонетный, д. 37 к. 1</t>
  </si>
  <si>
    <t>123308, г. Москва, проезд 2-Й Силикатный, д. 34 стр. 1 пом. I ком. 7</t>
  </si>
  <si>
    <t>143090, Московская обл., г. Краснознаменск, ул. Связистов, д. 9/4</t>
  </si>
  <si>
    <t>680009, Хабаровский кр., г. Хабаровск, ул. Промышленная, д. 12А офис 2</t>
  </si>
  <si>
    <t>420107, Татарстан респ., г. Казань, ул. Петербургская, д. 26</t>
  </si>
  <si>
    <t>143985, Московская обл., г. Балашиха, ул. Автозаводская (Железнодорожный Мкр.), д. 48А</t>
  </si>
  <si>
    <t>423601, Татарстан респ., Елабужский район, ул. Ш-2 (Оэз Алабуга Тер.) стр. 10/3</t>
  </si>
  <si>
    <t>188800, Ленинградская обл., Выборгский район, г. Выборг, ул. Промышленная, д. 3 к. 5</t>
  </si>
  <si>
    <t>119048, г. Москва, ул. Доватора, д. 4/7</t>
  </si>
  <si>
    <t>610000, Кировская обл., г. Киров, ул. Московская, д. 2А каб. 1</t>
  </si>
  <si>
    <t>683016, Камчатский кр., г. Петропавловск-Камчатский, ул. Мишенная, д. 131 офис 24</t>
  </si>
  <si>
    <t>108814, г. Москва, Сосенское пос., пос. Газопровод, тер. 39-Ый Км Мкад(Внешняя Сторона), владение 7</t>
  </si>
  <si>
    <t>196105, г. Санкт-Петербург, проспект Витебский, д. 17 к. 6 литера Б О</t>
  </si>
  <si>
    <t>141410, Московская обл, г.о. Химки, г Химки, ш Ленинградское, влд. 21</t>
  </si>
  <si>
    <t>394014, Воронежская обл., г. Воронеж, ул. Лебедева, д. 10 офис 49/2</t>
  </si>
  <si>
    <t>141407, Московская обл., г. Химки, ул. Панфилова, владение 19 (Бизнес-центр «Кантри Парк Химки»)</t>
  </si>
  <si>
    <t>350019, Краснодарский кр., г. Краснодар, ул. Им. Дзержинского, д. 100 литера Т пом. 2</t>
  </si>
  <si>
    <t>431601, Мордовия респ., Ромодановский район, пос. Ромоданово, ул. Сахарников, д. 1</t>
  </si>
  <si>
    <t>364020, Чеченская Респ, г.о. город Грозный, г Грозный, р-н Ахматовский, ул Н.А.Назарбаева, д. 87/9, этаж/офис 2/13</t>
  </si>
  <si>
    <t>443096, Самарская обл, г.о. Самара, вн.р-н Ленинский, г Самара, ул Дачная, д. 15, помещ. 87,88,89</t>
  </si>
  <si>
    <t>119049, г. Москва, пер. 1-Й Добрынинский, д. 15/7 этаж 2 ком. 2/3</t>
  </si>
  <si>
    <t>115114, г. Москва, ул. Кожевническая, д. 14 (Бизнес-центр «Black and White»)</t>
  </si>
  <si>
    <t>125124, г. Москва, ул. Правды, д. 26 (Бизнес-центр «Северное Сияние»)</t>
  </si>
  <si>
    <t>196247, г. Санкт-Петербург, вн.тер.г. муниципальный округ Новоизмайловское, пр-кт Ленинский, д. 151, литера А, помещ. 9</t>
  </si>
  <si>
    <t>184507, Мурманская обл., г. Мончегорск, тер. Промплощадка Кгмк</t>
  </si>
  <si>
    <t>109012, г. Москва, ул. Пушечная, д. 4 стр. 1 ; 3</t>
  </si>
  <si>
    <t>119415, г. Москва, вн.тер.г. муниципальный округ Проспект Вернадского, пр-кт Вернадского, д. 41, стр. 1, помещ. 1, ком. 45</t>
  </si>
  <si>
    <t>127051, г. Москва, пл. Малая Сухаревская, д. 10</t>
  </si>
  <si>
    <t>194044, г. Санкт-Петербург, ул. Гельсингфорсская, д. 2 литера А</t>
  </si>
  <si>
    <t>111024, г. Москва, ул. Душинская, д. 7 стр. 1 (Бизнес-центр )</t>
  </si>
  <si>
    <t>123610, г. Москва, набережная Краснопресненская, д. 12 ПОДЪЕЗД 7 пом. 1101 (Бизнес-центр «Центр Международной Торговли»)</t>
  </si>
  <si>
    <t>216501, Смоленская обл., Рославльский район, г. Рославль, ул. Энгельса, д. 20</t>
  </si>
  <si>
    <t>119618, г. Москва, вн.тер.г. муниципальный округ Солнцево, ш. Боровское, д. 4, стр. 1, этаж/кабинет 3/305</t>
  </si>
  <si>
    <t>127030, г. Москва, ул. Сущёвская, д. 19 стр. 7</t>
  </si>
  <si>
    <t>117465, г. Москва, вн.тер.г. муниципальный округ Теплый Стан, ул Генерала Тюленева, д. 29, к. 1, ком. 3,2,1, ПОМЕЩ. II, 1 ЭТАЖ</t>
  </si>
  <si>
    <t>663606, Красноярский край, г.о. город Канск, г Канск, км 9 Тасеевского тракта, зд. 1, стр. 13, помещ. 10</t>
  </si>
  <si>
    <t>683020, Камчатский кр., г. Петропавловск-Камчатский, ул. Дальняя, д. 28/1</t>
  </si>
  <si>
    <t>194044, г. Санкт-Петербург, вн.тер.г. муниципальный округ Сампсониевское, ул Гельсингфорсская, д. 2, литера А, помещ. 9Н, офис 45</t>
  </si>
  <si>
    <t>236022, Калининградская обл., г. Калининград, ул. Театральная, д. 34</t>
  </si>
  <si>
    <t>396659, Воронежская обл., Россошанский район, г. Россошь, пл. Октябрьская, д. 160 офис 1</t>
  </si>
  <si>
    <t>119019, г. Москва, бульвар Никитский, д. 12 пом. 3</t>
  </si>
  <si>
    <t>460050, Оренбургская обл., г. Оренбург, ул. Терешковой, д. 263/2 пом. 202</t>
  </si>
  <si>
    <t>630102, Новосибирская обл., г. Новосибирск, ул. Нижегородская, д. 4 офис 313</t>
  </si>
  <si>
    <t>141255, Московская обл, г.о. Пушкинский, д Петушки, тер. шоссе Братовщина-Ельдигино, км 6-й, д. 1, стр. 13</t>
  </si>
  <si>
    <t>141261, Московская обл., г. Пушкино, рабочий пос. Правдинский, ул. Железнодорожная, д. 6-А кв. 202</t>
  </si>
  <si>
    <t>188480, Ленинградская обл., Кингисеппский район, г. Кингисепп, ул. Химиков, д. 5В</t>
  </si>
  <si>
    <t>394030, Воронежская обл., г. Воронеж, пер. Бакунинский, д. 11 офис 613 (Бизнес-центр «Viel»)</t>
  </si>
  <si>
    <t>346789, Ростовская обл., г. Азов, ул. Пушкина, д. 110</t>
  </si>
  <si>
    <t>346905, Ростовская обл., г. Новошахтинск, ул. Газопроводная, д. 21 каб. 60</t>
  </si>
  <si>
    <t>344022, Ростовская обл, г.о. город Ростов-на-Дону, г Ростов-на-Дону, ул Максима Горького, зд. 293</t>
  </si>
  <si>
    <t>344055, Ростовская обл., г. Ростов-На-Дону, ул. Пескова, д. 17 каб. 114</t>
  </si>
  <si>
    <t>346630, Ростовская обл, м.р-н Семикаракорский, г.п. Семикаракорское, г Семикаракорск, ул А.А.Араканцева, зд. 31А</t>
  </si>
  <si>
    <t>344002, Ростовская обл., г. Ростов-На-Дону, ул. 1-Я Луговая, д. 42</t>
  </si>
  <si>
    <t>344002, Ростовская обл, г.о. город Ростов-на-Дону, г Ростов-на-Дону, пр-кт Буденновский, зд. 36, ком. 405</t>
  </si>
  <si>
    <t>344072, Ростовская обл., г. Ростов-На-Дону, ул. Вересаева, д. 101/3 стр. 1 офис 3</t>
  </si>
  <si>
    <t>347910, Ростовская обл., г. Таганрог, ул. Ленина, д. 214</t>
  </si>
  <si>
    <t>198323, г. Санкт-Петербург, шоссе Волхонское, д. 112 литера А пом. 4-Н ком. 16</t>
  </si>
  <si>
    <t>390011, Рязанская Область обл., г. Рязань, км. 197 Километр (Окружная Дорога), д. 1 этаж / каб. 2/14</t>
  </si>
  <si>
    <t>350007, Краснодарский кр., г. Краснодар, пос. Индустриальный, ул. Им. Осокина Е.А., д. 7/5 литера д офис 2</t>
  </si>
  <si>
    <t>115184, г. Москва, пер. 2-Й Новокузнецкий, д. 13/15</t>
  </si>
  <si>
    <t>142116, Московская обл, г.о. Подольск, г Подольск, ул Лобачева, д. 13, офис 508 (Бизнес-центр «Лобачево»)</t>
  </si>
  <si>
    <t>107031, г. Москва, пл. Трубная, д. 2 пом. I ком. 42Б (Многофункциональный комплекс «Neglinnaya Plaza»)</t>
  </si>
  <si>
    <t>107031, г. Москва, пл. Трубная, д. 2 (Многофункциональный комплекс «Neglinnaya Plaza»)</t>
  </si>
  <si>
    <t>140732, Московская обл., г. Рошаль, ул. Косякова, д. 18</t>
  </si>
  <si>
    <t>353991, Краснодарский кр., г. Новороссийск, с. Гайдук, ул. Новороссийское Шоссе, д. 32</t>
  </si>
  <si>
    <t>140053, Московская обл., г. Котельники, проезд Угрешский, д. 3А пом. 11</t>
  </si>
  <si>
    <t>188909, Ленинградская обл., Выборгский район, г. Высоцк, ул. Пихтовая, д. 1</t>
  </si>
  <si>
    <t>649743, Алтай респ., Улаганский район, с. Акташ, ул. Парковая, д. 32</t>
  </si>
  <si>
    <t>143180, Московская обл., г. Звенигород, ул. Пролетарская, д. 40А пом. 93</t>
  </si>
  <si>
    <t>125284, г. Москва, вн.тер.г. муниципальный округ Беговой, пр-кт Ленинградский, д. 31А, стр. 1, помещ. 4/20/11</t>
  </si>
  <si>
    <t>196158, г. Санкт-Петербург, вн.тер.г. муниципальный округ Звездное, ш Пулковское, д. 36, к. 2, литера А, помещ. 39</t>
  </si>
  <si>
    <t>170028, Тверская обл, г.о. город Тверь, г Тверь, пр-кт Победы, д. 71, помещ. 5</t>
  </si>
  <si>
    <t>196140, г. Санкт-Петербург, шоссе Пулковское, д. 46 к. 2</t>
  </si>
  <si>
    <t>127055, г. Москва, ул. Бутырский Вал, д. 68/70 стр. 1 этаж 2 пом. I ком. 4 (Бизнес-центр «BakerPlaza»)</t>
  </si>
  <si>
    <t>620014, Свердловская обл., г. Екатеринбург, проспект Ленина, д. 5 литера Л офис 301 (Бизнес-центр «Самолет»)</t>
  </si>
  <si>
    <t>194362, г. Санкт-Петербург, пос. Парголово, шоссе Выборгское, д. 503 к. 3</t>
  </si>
  <si>
    <t>603000, Нижегородская обл, г.о. город Нижний Новгород, г Нижний Новгород, ул Ковалихинская, д. 8, помещ. 704 (Торгово-офисный центр «Центр Международной Торговли»)</t>
  </si>
  <si>
    <t>420043, Татарстан респ., г. Казань, ул. Чехова, д. 57 пом. 2</t>
  </si>
  <si>
    <t>117630, г. Москва, вн.тер.г. муниципальный округ Обручевский, ул Академика Челомея, д. 3, к. 2, помещ. XIV</t>
  </si>
  <si>
    <t>115114, г. Москва, ул. Летниковская, д. 10 стр. 1 ком. 23 (Бизнес-центр «Святогор»)</t>
  </si>
  <si>
    <t>105064, г. Москва, пер. Малый Казённый, д. 3</t>
  </si>
  <si>
    <t>641010, Курганская обл., Щучанский район, г. Щучье, ул. Озерная, д. 1</t>
  </si>
  <si>
    <t>187110, Ленинградская обл., Киришский район, г. Кириши, шоссе Волховское, д. 11Е к. 2</t>
  </si>
  <si>
    <t>123112, г. Москва, набережная Пресненская, д. 10 стр. 2, 17 этаж пом. III</t>
  </si>
  <si>
    <t>119034, г. Москва, вн.тер.г. муниципальный округ Хамовники, пер Гагаринский, д. 3, этаж 2, ком. 40 (Бизнес-центр)</t>
  </si>
  <si>
    <t>141402, Московская обл., г. Химки, ул. Пролетарская, д. 23 ком. 101</t>
  </si>
  <si>
    <t>155250, Ивановская обл, м.р-н Родниковский, г.п. Родниковское, г Родники, ул Советская, д. 20/3А, офис 1</t>
  </si>
  <si>
    <t>119048, г. Москва, ул. Усачёва, д. 24 (Бизнес-центр на Ул. Усачёва, 24)</t>
  </si>
  <si>
    <t>115054, г. Москва, вн.тер.г. муниципальный округ Замоскворечье, пер Стремянный, д. 11, помещ. 1 (Офисно-гостиничный комплекс)</t>
  </si>
  <si>
    <t>127015, г. Москва, ул. Вятская, д. 27 стр. 16 этаж 2 пом. I ком. 16 (Бизнес-парк «Фактория строение 16»)</t>
  </si>
  <si>
    <t>125009, г. Москва, пер. Никитский, д. 7 стр. 1 этаж / пом. / ком. 2/I/58</t>
  </si>
  <si>
    <t>108811, г. Москва, км. Киевское Шоссе 22-Й (П Московский), домовладение 6 стр. 1 офис Е434</t>
  </si>
  <si>
    <t>125284, г. Москва, вн.тер.г. муниципальный округ Беговой, пр-кт Ленинградский, д. 35, стр. 1, этаж/помещ. 4/I, ком. 49</t>
  </si>
  <si>
    <t>109147, г. Москва, ул. Воронцовская, д. 5 стр. 2</t>
  </si>
  <si>
    <t>620133, Свердловская обл., г. Екатеринбург, ул. Шарташская, стр. 19 офис 107</t>
  </si>
  <si>
    <t>121353, г. Москва, шоссе Сколковское, д. 31 стр. 2 этаж 4 пом. I ком. 4 (Офисное здание «Бизнес центр «Можайский»»)</t>
  </si>
  <si>
    <t>107140, г. Москва, ул. Верхняя Красносельская, д. 2/1 стр. 3 Э/ пом. /К/ офис 3/I/4/1</t>
  </si>
  <si>
    <t>109382, г. Москва, ул. Судакова, д. 10 каб. 505 этаж 5 (Бизнес-центр «Судакова Плаза»)</t>
  </si>
  <si>
    <t>601021, Владимирская обл., Киржачский район, г. Киржач, микрорайон Красный Октябрь, ул. Первомайская, д. 1 к. ГЛАВНЫЙ этаж / каб. 2/5</t>
  </si>
  <si>
    <t>129515, г. Москва, ул. Академика Королева, д. 13 стр. 1 (Бизнес центр "Мосавто"/Бизнес центр ГИНЦВЕТМЕТ)</t>
  </si>
  <si>
    <t>121151, г. Москва, набережная Тараса Шевченко, д. 23А этаж 25 пом. № 1 (Бизнес-центр «Башня 2000 (Башня Багратион)»)</t>
  </si>
  <si>
    <t>109052, г. Москва, проспект Рязанский, д. 2 (Торговый центр «Город 2-я очередь»)</t>
  </si>
  <si>
    <t>142003, Московская обл., г. Домодедово, ул. Рабочая (Западный Мкр.), д. 44А пом. 4 каб. 202Б</t>
  </si>
  <si>
    <t>140326, Московская обл., г. Егорьевск, с. Лелечи стр. 61Б</t>
  </si>
  <si>
    <t>410056, Саратовская обл., г. Саратов, ул. Ульяновская, д. 25</t>
  </si>
  <si>
    <t>398059, Липецкая обл., г. Липецк, пл. Петра Великого, д. 5 офис 404</t>
  </si>
  <si>
    <t>129085, г. Москва, вн.тер.г. муниципальный округ Останкинский, ул Годовикова, д. 9, стр. 17, этаж 8, помещ. 5</t>
  </si>
  <si>
    <t>673742, Забайкальский кр., Могочинский район, пос. Давенда</t>
  </si>
  <si>
    <t>689000, Чукотский АО, г.о. Анадырь, г Анадырь, ул Южная, зд. 1/2</t>
  </si>
  <si>
    <t>689450, Чукотский а.о., Билибинский район, тер. Рудник Каральвеем, д. СООР. 1/1 этаж / каб. II/16</t>
  </si>
  <si>
    <t>143150, Московская обл., г. Руза, пос. Горбово, ул. Центральная, д. 1А</t>
  </si>
  <si>
    <t>143500, Московская обл., г. Истра, ул. Московская, д. 48 офис 37</t>
  </si>
  <si>
    <t>, Мордовия Респ, м.р-н Рузаевский, г.п. Рузаевка, г Рузаевка, ул Титова, д. 16, стр. 1</t>
  </si>
  <si>
    <t>654006, Кемеровская область - Кузбасс, г. Новокузнецк, проспект Курако (Куйбышевский Р-Н), д. 33 офис 201</t>
  </si>
  <si>
    <t>119633, г. Москва, ул. Новоорловская, д. 3 стр. 6</t>
  </si>
  <si>
    <t>123308, г. Москва, вн.тер.г. муниципальный округ Хорошево-Мневники, пр-д 2-й Силикатный, д. 34, стр. 1, этаж 1, помещ. VI, КОМ. 1</t>
  </si>
  <si>
    <t>119435, г. Москва, ул. Малая Пироговская, д. 1 стр. 6 офис 1</t>
  </si>
  <si>
    <t>196084, г. Санкт-Петербург, пер. Детский, д. 5 литера А пом. 10Н № 8</t>
  </si>
  <si>
    <t>413808, Саратовская обл., Балаковский район, пос. Затонский пом. 205</t>
  </si>
  <si>
    <t>309994, Белгородская обл., Валуйский район, г. Валуйки, пер. Степной, д. 34</t>
  </si>
  <si>
    <t>410065, Саратовская обл, г.о. город Саратов, г Саратов, туп 2-й Красноармейский, д. 1А, офис 404</t>
  </si>
  <si>
    <t>692651, Приморский край, м.р-н Михайловский, с.п. Михайловское, с Михайловка, ул Лесная, зд. 2, ком. 23</t>
  </si>
  <si>
    <t>410065, Саратовская обл., г. Саратов, проспект Им 50 Лет Октября, д. 112А пом. 204</t>
  </si>
  <si>
    <t>393401, Тамбовская обл., Знаменский район, рабочий пос. Знаменка</t>
  </si>
  <si>
    <t>107014, г. Москва, вн.тер.г. муниципальный округ Сокольники, ул 2-я Боевская, д. 3</t>
  </si>
  <si>
    <t>665708, Иркутская обл, г.о. город Братск, г Братск, ж/р Центральный, пл-ка Промзона БрАЗа</t>
  </si>
  <si>
    <t>656056, Алтайский кр., г. Барнаул, ул. Гоголя, д. 36 офис 500 ("Форум", бизнес-центр (ООО "УК Форум"))</t>
  </si>
  <si>
    <t>115280, г. Москва, ул. Ленинская Слобода, д. 26 этаж / пом. / ком. 2/4/25 (Бизнес-центр «Omega Plaza Омега-2 корпус А»)</t>
  </si>
  <si>
    <t>117335, г. Москва, проспект Нахимовский, д. 58 этаж 9 пом. XXVI (Бизнес-центр «iCube»)</t>
  </si>
  <si>
    <t>214522, Смоленская обл., Смоленский район, д. Красная Горка, д. 51 каб. 6</t>
  </si>
  <si>
    <t>129626, г. Москва, ул. 2-Я Мытищинская, д. 2 стр. 2 Э 1 пом. IV К 30 офис 1</t>
  </si>
  <si>
    <t>353900, Краснодарский кр., г. Новороссийск, ул. Советов, д. 55 секция 3 пом. XIV</t>
  </si>
  <si>
    <t>607650, Нижегородская обл., Кстовский район, г. Кстово, микрорайон Западный Квартал Русвинил</t>
  </si>
  <si>
    <t>115516, г. Москва, ул. Промышленная, д. 11 стр. 2 пом. VIII этаж 1 ком. 10</t>
  </si>
  <si>
    <t>117420, г. Москва, ул. Намёткина, д. 12А пом. 14, этаж 17 (Бизнес-центр «Газойл Плаза»)</t>
  </si>
  <si>
    <t>121357, г. Москва, ул. Верейская, д. 29 стр. 34 этаж / пом. /К 7/I/1,4</t>
  </si>
  <si>
    <t>660017, Красноярский кр., г. Красноярск, ул. Дубровинского, д. 43 стр. 1</t>
  </si>
  <si>
    <t>140187, Московская обл., г. Жуковский, ул. Мясищева, д. 1 пом. 419 (Бизнес-центр «Чайка»)</t>
  </si>
  <si>
    <t>115035, г. Москва, вн.тер.г. муниципальный округ Замоскворечье, ул Садовническая, д. 12, этаж/офис 2/16</t>
  </si>
  <si>
    <t>141870, Московская обл., г. Дмитров, д. Кузяево, д. 70</t>
  </si>
  <si>
    <t>445007, Самарская обл., г. Тольятти, ул. Новозаводская, д. 2А кв. 20</t>
  </si>
  <si>
    <t>353960, Краснодарский кр., г. Новороссийск, с. Кирилловка, ул. Ж/Д Петля 2-Я</t>
  </si>
  <si>
    <t>143421, Московская обл, г.о. Красногорск, тер. автодорога Балтия, км 26-й, д. 5, стр. 5/2, этаж 6, офис 601</t>
  </si>
  <si>
    <t>248035, Калужская обл., г. Калуга, ул. Взлетная, д. 46 офис 204</t>
  </si>
  <si>
    <t>117292, г. Москва, ул. Кржижановского, д. 5 к. 2</t>
  </si>
  <si>
    <t>620130, Свердловская обл., г. Екатеринбург, пер. Трактористов, д. 4 пом. 1</t>
  </si>
  <si>
    <t>603004, Нижегородская обл., г. Нижний Новгород, проспект Ленина, д. 111 каб. 327</t>
  </si>
  <si>
    <t>199155, г. Санкт-Петербург, ул. Уральская, д. 17 корп. 3 литера Е пом. 24Н, офис 3</t>
  </si>
  <si>
    <t>620075, Свердловская обл., г. Екатеринбург, ул. Первомайская, д. 56 офис 623</t>
  </si>
  <si>
    <t>344002, Ростовская обл, г.о. город Ростов-на-Дону, г Ростов-на-Дону, ул Большая Садовая, д. 49/42</t>
  </si>
  <si>
    <t>125130, г. Москва, ул. Выборгская, д. 22 стр. 2 пом. 1</t>
  </si>
  <si>
    <t>119049, г. Москва, проспект Ленинский, д. 6 стр. 7 пом. III ком. 47 этаж 3</t>
  </si>
  <si>
    <t>420054, Татарстан респ., г. Казань, ул. Техническая, д. 52 офис 222, этаж 2</t>
  </si>
  <si>
    <t>125167, г. Москва, вн.тер.г. муниципальный округ Аэропорт, пр-кт Ленинградский, д. 36, стр. 41, помещ. 7</t>
  </si>
  <si>
    <t>350910, Краснодарский край, г.о. город Краснодар, г Краснодар, тер. Пашковский жилой массив, ул Бородинская, д. 137, к. 1, помещ. 172</t>
  </si>
  <si>
    <t>366310, Чеченская респ., г. Аргун, ул. Шоссейная, д. ЗД. 110А этаж / пом. 5/№11</t>
  </si>
  <si>
    <t>107140, г. Москва, вн.тер.г. муниципальный округ Красносельский, ул Верхняя Красносельская, д. 2/1, стр. 3, этаж 2, помещ./ком. I/22</t>
  </si>
  <si>
    <t>125212, г. Москва, вн.тер.г. муниципальный округ Головинский, б-р Кронштадтский, д. 7А, ком. 16 (Бизнес-центр «Кронштадтский»)</t>
  </si>
  <si>
    <t>117292, г. Москва, ул. Гримау, д. 10 этаж / пом. 3/25</t>
  </si>
  <si>
    <t>390000, Рязанская обл., г. Рязань, ул. Ленина, д. 21 пом. 15 (Торговый центр «Атрон Сити»)</t>
  </si>
  <si>
    <t>125362, г. Москва, ул. Вишнёвая, д. 9 к. 1 этаж 2 офис 205</t>
  </si>
  <si>
    <t>197101, г. Санкт-Петербург, пер. Пушкарский, д. 9 литера А пом. 3-Н, часть 1</t>
  </si>
  <si>
    <t>630007, Новосибирская обл., г. Новосибирск, ул. Спартака, д. 8/4 ПОДЪЕЗД 2 офис 15</t>
  </si>
  <si>
    <t>347851, Ростовская обл., Каменский район, рабочий пос. Глубокий, пер. Переездный, д. 54Б офис 15</t>
  </si>
  <si>
    <t>107078, г. Москва, вн.тер.г. муниципальный округ Красносельский, ул Маши Порываевой, д. 34, этаж/помещ. 4/III, ком. 73 (Бизнес-центр «Домников»)</t>
  </si>
  <si>
    <t>390029, Рязанская обл., г. Рязань, ул. Чкалова, д. 48В пом. 2</t>
  </si>
  <si>
    <t>121151, г. Москва, набережная Тараса Шевченко, д. 23А этаж / пом. / ком. 19/I/41 (Бизнес-центр «Башня 2000 (Башня Багратион)»)</t>
  </si>
  <si>
    <t>606100, Нижегородская обл., Павловский район, г. Павлово, ул. Конопляная, д. 8 каб. 5</t>
  </si>
  <si>
    <t>162606, Вологодская обл., г. Череповец, ул. Карла Маркса, д. 25</t>
  </si>
  <si>
    <t>305001, Курская обл., г. Курск, ул. Гайдара, д. 26 пом. 210</t>
  </si>
  <si>
    <t>184410, Мурманская обл., Печенгский район, пос. Лиинахамари, ул. Северная, д. 1</t>
  </si>
  <si>
    <t>249080, Калужская обл., Малоярославецкий район, с. Детчино, ул. Московская, д. 77</t>
  </si>
  <si>
    <t>660115, Красноярский край, г.о. город Красноярск, г Красноярск, ул Калинина, д. 175, стр. 10/1</t>
  </si>
  <si>
    <t>142138, г. Москва, Щаповское пос., пос. Курилово, ул. Центральная, д. 15 пом. 1</t>
  </si>
  <si>
    <t>160009, Вологодская обл., г. Вологда, ул. 3 Интернационала, д. 39</t>
  </si>
  <si>
    <t>105187, г. Москва, ул. Ткацкая, д. 38 ком. 12</t>
  </si>
  <si>
    <t>107031, г. Москва, ул. Петровка, д. 10 4 этаж , ком. 1-13 (Торгово-офисный центр «Петровский Пассаж»)</t>
  </si>
  <si>
    <t>142116, Московская обл., г. Подольск, ул. Лобачева, д. 19 пом. 120</t>
  </si>
  <si>
    <t>117449, г. Москва, ул. Карьер, д. 2А стр. 2 этаж 3 офис 309 (Бизнес-центр на Ул. Карьер, 2Ас2)</t>
  </si>
  <si>
    <t>142400, Московская обл., г. Ногинск, ст. Захарово</t>
  </si>
  <si>
    <t>426006, Удмуртская респ., г. Ижевск, проезд Им Дерябина, д. 2/193 пом. 49</t>
  </si>
  <si>
    <t>115054, г. Москва, ул. Пятницкая, д. 69 (Бизнес-центр «Чайка Плаза 9»)</t>
  </si>
  <si>
    <t>199106, г. Санкт-Петербург, лн. 24-Я В.О., д. 3-7 литера Б офис 501 ЧП 42 пом. 1-Н</t>
  </si>
  <si>
    <t>460009, Оренбургская обл, г.о. город Оренбург, г Оренбург, ул Цвиллинга, зд. 61/1</t>
  </si>
  <si>
    <t>121170, г. Москва, вн.тер.г. муниципальный округ Дорогомилово, ул Кульнева, д. 3, стр. 1, этаж/помещение 1/III, ком. 34 (Бизнес-центр «Бородинский»)</t>
  </si>
  <si>
    <t>196140, г. Санкт-Петербург, пос. Шушары, шоссе Пулковское, д. 52 литера А</t>
  </si>
  <si>
    <t>142455, Московская обл, г.о. Богородский, г Электроугли, ул Заводская, д. 4, стр. 4, ком. 222</t>
  </si>
  <si>
    <t>352189, Краснодарский кр., Гулькевичский район, пгт. Красносельский, ул. Промышленная, д. 6</t>
  </si>
  <si>
    <t>140090, Московская обл., г. Дзержинский, ул. Энергетиков, д. 20 стр. 1 пом. 2</t>
  </si>
  <si>
    <t>143440, Московская обл, г.о. Красногорск, д Путилково, тер. Гринвуд, стр. 17, этаж 5, помещ. 230</t>
  </si>
  <si>
    <t>117186, г. Москва, вн.тер.г. муниципальный округ Котловка, ул Нагорная, д. 24, к. 3, кв. 15</t>
  </si>
  <si>
    <t>606440, Нижегородская обл., г. Бор, ул. Луначарского, д. 15 пом. 43</t>
  </si>
  <si>
    <t>107045, г. Москва, пер. Просвирин, д. 6</t>
  </si>
  <si>
    <t>123112, г. Москва, вн.тер.г. муниципальный округ Пресненский, наб Пресненская, д. 12, помещ. 6/6 (Многофункциональный комплекс «Башня Федерация»)</t>
  </si>
  <si>
    <t>141900, Московская обл., г. Талдом, шоссе Юркинское, д. 2Б</t>
  </si>
  <si>
    <t>125047, г. Москва, ул. 1-Я Тверская-Ямская, д. 14 этаж / пом. / ком. 3/I/8</t>
  </si>
  <si>
    <t>115230, г. Москва, вн.тер.г. муниципальный округ Нагатино-Садовники, ш Каширское, д. 3, к. 2, стр. 2, этаж 5, помещ. 1</t>
  </si>
  <si>
    <t>125445, г. Москва, вн.тер.г. муниципальный округ Ховрино, ул Смольная, д. 22, помещ. 1/1</t>
  </si>
  <si>
    <t>, Московская обл, г.о. Богородский, г Старая Купавна, ул Бетонная, д. 17, стр. 3</t>
  </si>
  <si>
    <t>192019, г. Санкт-Петербург, ул. Седова, д. 11 литера А пом. 917</t>
  </si>
  <si>
    <t>115035, г. Москва, ул. Садовническая, д. 14 стр. 9 офис 304</t>
  </si>
  <si>
    <t>119048, г. Москва, проспект Комсомольский, д. 42 стр. 3 этаж 4 пом. 2 ком. 18 (Бизнес-центр на Комсомольском Проспекте, 42С3)</t>
  </si>
  <si>
    <t>660021, Красноярский край, г.о. город Красноярск, г Красноярск, ул Бограда, д. 118</t>
  </si>
  <si>
    <t>119048, г. Москва, проспект Комсомольский, д. 42 стр. 3 этаж 4, пом. 7 (Бизнес-центр на Комсомольском Проспекте, 42С3)</t>
  </si>
  <si>
    <t>125040, г. Москва, ул. Расковой, д. 22Б</t>
  </si>
  <si>
    <t>680000, Хабаровский кр., г. Хабаровск, ул. Пушкина, д. 23 к. А</t>
  </si>
  <si>
    <t>119992, г. Москва, набережная Лужнецкая, д. 8 стр. 1</t>
  </si>
  <si>
    <t>238345, Калининградская обл., г. Светлый, пос. Взморье, ул. Заливная, д. 2А этаж 2 каб. 1</t>
  </si>
  <si>
    <t>183038, Мурманская обл., г. Мурманск, ул. Шмидта, д. 43 офис 301</t>
  </si>
  <si>
    <t>607232, Нижегородская обл., г. Арзамас, ул. Победы, д. 9</t>
  </si>
  <si>
    <t>119180, г. Москва, пер. Старомонетный, д. 26</t>
  </si>
  <si>
    <t>450026, Башкортостан респ., г. Уфа, ул. Трамвайная, д. 2/11 офис 2-43</t>
  </si>
  <si>
    <t>121596, г. Москва, ул. Горбунова, д. 2 стр. 3 этаж 8 пом. II ком. 21 (Бизнес центр "Гранд Сетунь Плаза")</t>
  </si>
  <si>
    <t>129110, г. Москва, пер. Напрудный, д. 15 этаж / пом. / ком. 3/I/1</t>
  </si>
  <si>
    <t>121151, г. Москва, ул. Можайский Вал, д. 8 этаж 6 пом. LXI ком. 17 (Многофункциональный комплекс «Atlantic»)</t>
  </si>
  <si>
    <t>152914, Ярославская обл., Рыбинский район, г. Рыбинск, ул. Толбухина, д. 33</t>
  </si>
  <si>
    <t>152900, Ярославская обл., Рыбинский район, г. Рыбинск, тракт Ярославский, д. 68</t>
  </si>
  <si>
    <t>192029, г. Санкт-Петербург, проспект Обуховской Обороны, д. 51 литера АФ</t>
  </si>
  <si>
    <t>630102, Новосибирская обл., г. Новосибирск, ул. Якушева, д. 16А</t>
  </si>
  <si>
    <t>390005, Рязанская обл., г. Рязань, ул. Дзержинского, д. 21А</t>
  </si>
  <si>
    <t>115088, г. Москва, вн.тер.г. муниципальный округ Южнопортовый, ул Шарикоподшипниковская, д. 4, стр. 15</t>
  </si>
  <si>
    <t>391860, Рязанская Область обл., Сараевский район, рабочий пос. Сараи, ул. 1 Мая, д. 32</t>
  </si>
  <si>
    <t>390013, Рязанская Область обл., г. Рязань, шоссе Михайловское, д. 268</t>
  </si>
  <si>
    <t>390011, Рязанская Область обл., г. Рязань, шоссе Куйбышевское, д. 35</t>
  </si>
  <si>
    <t>390027, Рязанская обл, г.о. город Рязань, г Рязань, ул Лермонтова, д. 8, к. 1</t>
  </si>
  <si>
    <t>142015, Московская обл., г. Домодедово, тер. Аэропорт Домодедово к. 6/1</t>
  </si>
  <si>
    <t>107031, г. Москва, вн.тер.г. муниципальный округ Тверской, ул Петровка, д. 7, помещ. XIX/ЭТАЖ 4, ком. 51 (Бизнес-центр «Женевский дом»)</t>
  </si>
  <si>
    <t>198329, г. Санкт-Петербург, ул. Тамбасова, д. 12 литера А ОФИСНОЕ пом. №377</t>
  </si>
  <si>
    <t>162132, Вологодская обл., Сокольский район, г. Сокол, ул. Луговая, д. 1</t>
  </si>
  <si>
    <t>123308, г. Москва, ул. 4-Я Магистральная, д. 11 стр. 2 пом. V ком. 83</t>
  </si>
  <si>
    <t>121471, г. Москва, вн.тер.г. муниципальный округ Очаково-Матвеевское, ул Рябиновая, д. 44, этаж 5, помещ. 1 КОМНАТА 50</t>
  </si>
  <si>
    <t>117312, г. Москва, вн.тер.г. муниципальный округ Академический, ул Вавилова, д. 19, этаж 3, помещ. В.03.016</t>
  </si>
  <si>
    <t>363753, Северная Осетия - Алания Респ, м.р-н Моздокский, г.п. Моздокское, г Моздок, ул Кирова, влд. 90, офис 17</t>
  </si>
  <si>
    <t>191119, г. Санкт-Петербург, вн.тер.г. муниципальный округ Владимирский округ, ул Марата, д. 69-71, литера А, помещ. 11-Н</t>
  </si>
  <si>
    <t>117485, г. Москва, вн.тер.г. муниципальный округ Обручевский, ул Академика Волгина, д. 2Б, стр. 2</t>
  </si>
  <si>
    <t>353565, Краснодарский кр., Славянский район, пос. Совхозный, ул. Школьная, д. 615</t>
  </si>
  <si>
    <t>423452, Татарстан респ., Альметьевский район, г. Альметьевск, ул. Радищева, д. 55 офис 209</t>
  </si>
  <si>
    <t>105082, г. Москва, ул. Большая Почтовая, д. 40 стр. 1 этаж 3 ком. 7А</t>
  </si>
  <si>
    <t>403027, Волгоградская обл, м.р-н Городищенский, с.п. Паньшинское, п Сады Придонья</t>
  </si>
  <si>
    <t>453266, Башкортостан Респ, г.о. город Салават, г Салават, ул Октябрьская, д. 37</t>
  </si>
  <si>
    <t>453253, Башкортостан респ., г. Салават, ул. Индустриальная, д. 18</t>
  </si>
  <si>
    <t>119311, г. Москва, проспект Вернадского, д. 6 (Торгово-развлекательный центр «Капитолий Вернадского»)</t>
  </si>
  <si>
    <t>629007, Ямало-Ненецкий а.о., г. Салехард, ул. Свердлова, д. 39</t>
  </si>
  <si>
    <t>368608, Дагестан Респ, г.о. город Дербент, г Дербент, ул 345 Дагестанской Стрелковой Дивизии, д. 17, кв 63</t>
  </si>
  <si>
    <t>450028, Башкортостан респ., г. Уфа, ул. Гвардейская, д. 55А пом. 91</t>
  </si>
  <si>
    <t>121170, г. Москва, проспект Кутузовский, д. 32 каб. 6.24 (Многофункциональный комплекс «President Plaza»)</t>
  </si>
  <si>
    <t>443022, Самарская обл., г. Самара, шоссе Заводское, д. 7 литера К</t>
  </si>
  <si>
    <t>446250, Самарская обл., Безенчукский район, пгт. Безенчук, тер. Северо-Западная Промзона, д. 2</t>
  </si>
  <si>
    <t>443126, Самарская обл., г. Самара, ул. Молодогвардейская, д. 198 помещения 1-15</t>
  </si>
  <si>
    <t>443079, Самарская обл., г. Самара, проезд Георгия Митирева, д. 9</t>
  </si>
  <si>
    <t>443056, Самарская обл., г. Самара, ул. Луначарского, д. 56</t>
  </si>
  <si>
    <t>443528, Самарская обл., Волжский район, пгт. Стройкерамика</t>
  </si>
  <si>
    <t>443079, Самарская обл., г. Самара, ул. Гагарина, д. 22 стр. 1</t>
  </si>
  <si>
    <t>108824, г. Москва, вн.тер.г. поселение Рязановское, ш Остафьевское, д. 12, к. 1, помещ. 2Н</t>
  </si>
  <si>
    <t>141014, Московская обл., г. Мытищи, ул. Веры Волошиной, д. 19/16 офис 423</t>
  </si>
  <si>
    <t>249022, Калужская обл., Боровский район, д. Коряково, проезд 1-Й Северный, д. 1</t>
  </si>
  <si>
    <t>143346, Московская обл., г. Наро-Фоминск, рабочий пос. Калининец, тер. Промышленная стр. 9</t>
  </si>
  <si>
    <t>143421, Московская обл, г.о. Красногорск, тер. автодорога Балтия, км 26-й, д. 5, стр. 3, офис 506</t>
  </si>
  <si>
    <t>115114, г. Москва, вн.тер.г. муниципальный округ Даниловский, пер 1-й Дербеневский, д. 5</t>
  </si>
  <si>
    <t>354008, Краснодарский кр., г. Сочи, ул. Пирогова (Центральный Р-Н), д. 10</t>
  </si>
  <si>
    <t>119049, г. Москва, пер. 4-Й Добрынинский, д. 8 офис д. 08</t>
  </si>
  <si>
    <t>125315, г. Москва, вн.тер.г. муниципальный округ Аэропорт, пр-кт Ленинградский, д. 70, этаж 8, офис 8.03</t>
  </si>
  <si>
    <t>199106, г. Санкт-Петербург, вн.тер.г. муниципальный округ Гавань, линия Кожевенная, д. 34, литера А, помещ. № 1349, офис 17.518</t>
  </si>
  <si>
    <t>443548, Самарская обл., Волжский район, пгт. Смышляевка, тер. Смп 854 этаж / офис 1/11</t>
  </si>
  <si>
    <t>, Ленинградская обл, м.р-н Всеволожский, г.п. Свердловское, п/р Центральное отделение, д. 40, к. 1</t>
  </si>
  <si>
    <t>123112, г. Москва, вн.тер.г. муниципальный округ Пресненский, наб Пресненская, д. 12, башня/этаж ЗАПАД/39, ком. 1 (Многофункциональный комплекс «Башня Федерация»)</t>
  </si>
  <si>
    <t>125375, г. Москва, ул. Тверская, д. 22 (Бизнес-центр «Summit»)</t>
  </si>
  <si>
    <t>143002, Московская обл., г. Одинцово, ул. Южная, д. 4</t>
  </si>
  <si>
    <t>119049, г. Москва, ул. Мытная, д. 7 стр. 1</t>
  </si>
  <si>
    <t>142703, Московская обл, г.о. Ленинский, г Видное, ш Белокаменное, д. 1, к. 4, помещ. 50</t>
  </si>
  <si>
    <t>117638, г. Москва, ул. Одесская, д. 2 пом. II ком. 14 этаж 10 (Бизнес-центр «Lotos»)</t>
  </si>
  <si>
    <t>117405, г. Москва, ул. Дорожная, д. 54 к. 4 стр. 11 этаж 2 пом. 201</t>
  </si>
  <si>
    <t>115054, г. Москва, набережная Космодамианская, д. 52 стр. 2 (Бизнес-центр «Riverside Towers 52с2»)</t>
  </si>
  <si>
    <t>430001, Мордовия респ., г. Саранск, ул. Строительная, д. 3</t>
  </si>
  <si>
    <t>410059, Саратовская обл., г. Саратов, пл. Советско-Чехословацкой Дружбы, д. Б/Н</t>
  </si>
  <si>
    <t>410004, Саратовская обл, г.о. город Саратов, г Саратов, ул Набережная, д. 22, этаж 1, каб. 4</t>
  </si>
  <si>
    <t>410005, Саратовская обл., г. Саратов, ул. Им Зарубина В.С., д. ЗД. 150 стр. 3</t>
  </si>
  <si>
    <t>423601, Татарстан респ., Елабужский район, ул. Ш-2 (Оэз Алабуга Тер.) к. 17/1</t>
  </si>
  <si>
    <t>431430, Мордовия респ., Инсарский район, г. Инсар, ул. Строительная, д. 139</t>
  </si>
  <si>
    <t>199178, г. Санкт-Петербург, лн. 5-Я В.О., д. 70 литера А пом. 110-120,128-130/11Н</t>
  </si>
  <si>
    <t>127486, г. Москва, ул. Дегунинская, д. 1 к. 2 этаж 2 ком. 7</t>
  </si>
  <si>
    <t>630039, Новосибирская обл., г. Новосибирск, ул. Днепровская, д. 34 офис 301</t>
  </si>
  <si>
    <t>620085, Свердловская обл., г. Екатеринбург, ул. Селькоровская, д. 36 помещения 25-29 ( этаж 1)</t>
  </si>
  <si>
    <t>142721, Московская обл., г. Видное, д. Мисайлово, бульвар Литературный (Пригород Лесное Мкр.), д. 4 пом. 629</t>
  </si>
  <si>
    <t>614015, Пермский кр., г. Пермь, ул. Куйбышева, д. 37 офис 703 (Торгово-офисный центр «Алмаз»)</t>
  </si>
  <si>
    <t>394028, Воронежская обл., г. Воронеж, ул. Димитрова, д. 110</t>
  </si>
  <si>
    <t>623750, Свердловская обл., Режевской район, г. Реж</t>
  </si>
  <si>
    <t>693012, Сахалинская обл., г. Южно-Сахалинск, ул. Шлакоблочная, д. 24А/2</t>
  </si>
  <si>
    <t>683016, Камчатский кр., г. Петропавловск-Камчатский, ул. Мишенная, д. 131 офис 23</t>
  </si>
  <si>
    <t>693020, Сахалинская обл., г. Южно-Сахалинск, ул. Ленина, д. 69</t>
  </si>
  <si>
    <t>694620, Сахалинская обл., Холмский район, г. Холмск, ул. Лесозаводская, д. 159</t>
  </si>
  <si>
    <t>693020, Сахалинская обл., г. Южно-Сахалинск, проспект Коммунистический, д. 43</t>
  </si>
  <si>
    <t>677000, Саха /Якутия/ респ., г. Якутск, ул. Чиряева, д. 3</t>
  </si>
  <si>
    <t>352332, Краснодарский кр., Усть-Лабинский район, г. Усть-Лабинск, ул. Монтажная, д. 1</t>
  </si>
  <si>
    <t>303412, Орловская обл., Колпнянский район, пгт. Колпна, ул. Терешковой, д. 1</t>
  </si>
  <si>
    <t>352111, Краснодарский кр., Тихорецкий район, пос. Малороссийский, ул. Мичурина, д. 1</t>
  </si>
  <si>
    <t>677027, Саха /Якутия/ респ., г. Якутск, ул. Кирова, д. 18В офис 501</t>
  </si>
  <si>
    <t>678400, Саха /Якутия/ респ., Булунский у., пос. Тикси, ул. Морская, д. 5/1</t>
  </si>
  <si>
    <t>693004, Сахалинская обл., г. Южно-Сахалинск, ул. Ленина, д. 384 к. Б/1 офис 24</t>
  </si>
  <si>
    <t>694620, Сахалинская обл., Холмский район, г. Холмск, ул. Победы, д. 18 к. А</t>
  </si>
  <si>
    <t>662710, Красноярский кр., Шушенский район, пгт. Шушенское, квартал Мкк, д. 1 к. А</t>
  </si>
  <si>
    <t>666304, Иркутская обл, г.о. город Саянск, тер агропромышленный комплекс квартал 2 птицефабрика, д. 2, офис ПТИЦЕФАБРИКА № 2</t>
  </si>
  <si>
    <t>666301, Иркутская обл., г. Саянск, тер. Промышленный Узел Промплощадка</t>
  </si>
  <si>
    <t>121087, г. Москва, вн.тер.г. муниципальный округ Филевский парк, ул Барклая, д. 6, стр. 5, помещ. 8Н, офис 45 (Бизнес-центр «Barklay Plaza (Барклай Плаза)» )</t>
  </si>
  <si>
    <t>620100, Свердловская обл., г. Екатеринбург, пер. Буторина, д. 9</t>
  </si>
  <si>
    <t>117312, г. Москва, ул. Вавилова, д. 19 этаж 3, пом. D.03.001</t>
  </si>
  <si>
    <t>125284, г. Москва, вн.тер.г. муниципальный округ Беговой, пр-кт Ленинградский, д. 31А, стр. 1, этаж/ помещ. 27/I, ком. 10</t>
  </si>
  <si>
    <t>117246, г. Москва, вн.тер.г. муниципальный округ Черемушки, проезд Научный, д. 17 (Бизнес-центр «Научный проезд 17»)</t>
  </si>
  <si>
    <t>125284, г. Москва, проспект Ленинградский, д. 31АСТР1 пом. I</t>
  </si>
  <si>
    <t>127018, г. Москва, вн.тер.г. муниципальный округ Марьина роща, ул Сущёвский Вал, д. 18 (Бизнес-центр «Новосущевский»)</t>
  </si>
  <si>
    <t>119002, г. Москва, пер. Сивцев Вражек, д. 29/16</t>
  </si>
  <si>
    <t>119435, г. Москва, пер. Большой Саввинский, д. 12 стр. 9</t>
  </si>
  <si>
    <t>117420, г. Москва, вн.тер.г. муниципальный округ Черемушки, ул Намёткина, д. 12А, помещ. XVII, ком. 9 (Бизнес-центр «Газойл Плаза»)</t>
  </si>
  <si>
    <t>117105, г. Москва, набережная Новоданиловская, д. 10 (Бизнес-центр «Даниловский форт»)</t>
  </si>
  <si>
    <t>450078, Башкортостан респ., г. Уфа, ул. Революционная, д. 221 офис 401 (Альдо, бизнес-центр)</t>
  </si>
  <si>
    <t>121096, г. Москва, ул. 2-Я Филевская, д. 7 к. 6 пом. III ком. 6</t>
  </si>
  <si>
    <t>195279, г. Санкт-Петербург, вн.тер.г. муниципальный округ Пороховые, пр-кт Индустриальный, д. 44, к. 2, литера А, помещ. 10-Н, ОФИС №607</t>
  </si>
  <si>
    <t>308015, Белгородская обл., г. Белгород, ул. Пушкина, д. 49А офис 514</t>
  </si>
  <si>
    <t>129343, г. Москва, проезд Серебрякова, д. 4 стр. 1 офис 31А</t>
  </si>
  <si>
    <t>119146, г. Москва, проспект Комсомольский, д. 32</t>
  </si>
  <si>
    <t>443010, Самарская обл., г. Самара, ул. Льва Толстого, д. 18А стр. 7</t>
  </si>
  <si>
    <t>624691, Свердловская обл., Алапаевский район, пгт. Верхняя Синячиха, ул. Кедровая, д. 1</t>
  </si>
  <si>
    <t>156961, Костромская обл., г. Кострома, ул. Комсомольская, д. 2</t>
  </si>
  <si>
    <t>617005, Пермский кр., Нытвенский район, рабочий пос. Уральский, ул. Московская, владение 1А</t>
  </si>
  <si>
    <t>196643, г. Санкт-Петербург, пос. Понтонный, ул. Фанерная, д. 5</t>
  </si>
  <si>
    <t>196643, г. Санкт-Петербург, пос. Понтонный, ул. Фанерная, д. 5 литера А офис 203</t>
  </si>
  <si>
    <t>620014, Свердловская обл., г. Екатеринбург, ул. Московская стр. 11</t>
  </si>
  <si>
    <t>115191, г. Москва, пер. Гамсоновский, д. 2 этаж 2 пом. 45 офис В (Бизнес-центр «ЗАО «Центр-Т»»)</t>
  </si>
  <si>
    <t>427792, Удмуртская респ., г. Можга, ул. Свердловский Бульвар, д. 39</t>
  </si>
  <si>
    <t>680000, Хабаровский кр., г. Хабаровск, ул. Муравьева-Амурского, д. 18 офис 219</t>
  </si>
  <si>
    <t>399760, Липецкая обл., Елецкий район, с. Каменское, ул. Октябрьская, д. 2 Б</t>
  </si>
  <si>
    <t>188990, Ленинградская обл., Выборгский район, г. Светогорск, ул. Заводская, д. 17</t>
  </si>
  <si>
    <t>660077, Красноярский кр., г. Красноярск, ул. Авиаторов, д. 19 (Бизнес-центр «Сибирь»)</t>
  </si>
  <si>
    <t>309026, Белгородская обл., Прохоровский район, с. Холодное, ул. Юбилейная, д. ЗД. 14 пом. 38</t>
  </si>
  <si>
    <t>663060, Красноярский кр., Большемуртинский район, пгт. Большая Мурта, ул. Октябрьская, д. ЗД. 93 стр. 2</t>
  </si>
  <si>
    <t>157510, Костромская обл., Шарьинский район, г. Шарья, пгт. Ветлужский, ул. Центральная, д. 4</t>
  </si>
  <si>
    <t>603058, Нижегородская обл., г. Нижний Новгород, ул. Героя Попова, д. 43В офис 1</t>
  </si>
  <si>
    <t>117105, г. Москва, набережная Новоданиловская, д. 6 к. 1 этаж / офис 7/711</t>
  </si>
  <si>
    <t>115280, г. Москва, ул. Ленинская Слобода, д. 26 офис этаж 2 пом. IV ком. 106 (Бизнес-центр «Omega Plaza Омега-2 корпус А»)</t>
  </si>
  <si>
    <t>676435, Амурская обл, м.р-н Свободненский, с.п. Дмитриевский сельсовет, п Юхта, зд. 1</t>
  </si>
  <si>
    <t>105120, г. Москва, пер. 2-Й Сыромятнический, д. 1 этаж 8, пом. I, ком. 25</t>
  </si>
  <si>
    <t>150000, Ярославская обл., г. Ярославль, набережная Волжская, д. 45/1 кв. 16</t>
  </si>
  <si>
    <t>346310, Ростовская обл, г.о. город Зверево, г Зверево, ул Советская, зд. 122, офис 2</t>
  </si>
  <si>
    <t>422111, Татарстан респ., Кукморский район, г. Кукмор, ул. Восточная, д. 5 офис 1</t>
  </si>
  <si>
    <t>111141, г. Москва, ул. Кусковская, д. 20А пом. ХА ком. 23 этаж 4 (Бизнес-центр «Кусково»)</t>
  </si>
  <si>
    <t>115088, г. Москва, ул. Южнопортовая, д. 9А стр. 1 ком. 3</t>
  </si>
  <si>
    <t>117420, г. Москва, ул. Намёткина, д. 12 стр. 1</t>
  </si>
  <si>
    <t>624330, Свердловская обл., г. Красноуральск, ул. Кирова, д. 2</t>
  </si>
  <si>
    <t>117393, г. Москва, ул. Академика Пилюгина, д. 22 пом. XXVII ком. 8 (Бизнес-центр «Алгоритм»)</t>
  </si>
  <si>
    <t>123112, г. Москва, набережная Пресненская, д. 6 стр. 2 пом. 4724 (Деловой комплекс "Империя")</t>
  </si>
  <si>
    <t>665459, Иркутская обл., г. Усолье-Сибирское, ул. Стопани, д. СООР. 26</t>
  </si>
  <si>
    <t>654041, Кемеровская область - Кузбасс, г.о. Новокузнецкий, г Новокузнецк, р-н Центральный, ул Кутузова, д. 37А, этаж 4, помещ. 406</t>
  </si>
  <si>
    <t>628404, Ханты-Мансийский Автономный Округ - Югра, г. Сургут, шоссе Нефтеюганское, д. 15</t>
  </si>
  <si>
    <t>141801, Московская обл, Дмитров г, г.о. Дмитровский, ул Профессиональная, д. 177, к. 2, помещ. 2</t>
  </si>
  <si>
    <t>197229, г. Санкт-Петербург, проспект Лахтинский, д. 85 (Торговый центр «Аура»)</t>
  </si>
  <si>
    <t>108814, г. Москва, вн.тер.г. поселение Сосенское, ш Калужское 21-й км, влд. 3А, стр. 8, помещ. А3</t>
  </si>
  <si>
    <t>650066, Кемеровская область - Кузбасс, г. Кемерово, проспект Притомский, д. 7/5 пом. 101</t>
  </si>
  <si>
    <t>650036, Кемеровская область - Кузбасс, г. Кемерово, ул. Терешковой, д. 45</t>
  </si>
  <si>
    <t>650066, Кемеровская область - Кузбасс, г. Кемерово, проспект Притомский, д. 7/2</t>
  </si>
  <si>
    <t>121357, г. Москва, вн.тер.г. муниципальный округ Можайский, ул Верейская, д. 29, стр. 134, этаж 4, ком. 30 (Бизнес-центр «Vereyskaya Plaza 3»)</t>
  </si>
  <si>
    <t>142718, Московская обл., г. Видное, с. Булатниково, шоссе Симферопольское, д. 3 пом. 101</t>
  </si>
  <si>
    <t>630007, Новосибирская обл., г. Новосибирск, ул. Кривощековская, д. 15 к. 1 этаж 1,2</t>
  </si>
  <si>
    <t>620050, Свердловская обл., г. Екатеринбург, ул. Монтажников стр. 19/1 офис 3</t>
  </si>
  <si>
    <t>403342, Волгоградская обл., г. Михайловка, ул. Индустриальная, д. 2</t>
  </si>
  <si>
    <t>109428, г. Москва, проспект Рязанский, д. 16 корп. АДМ</t>
  </si>
  <si>
    <t>125284, г. Москва, шоссе Хорошёвское, д. 32А ПОД 9 Э 4 офис 415-1 (Бизнес-центр "Солид-Кама")</t>
  </si>
  <si>
    <t>196158, г. Санкт-Петербург, шоссе Пулковское, д. 40 корп. 4 литера д офис С4070</t>
  </si>
  <si>
    <t>649002, Алтай респ., г. Горно-Алтайск, ул. Заринская, д. 39 кв. 34</t>
  </si>
  <si>
    <t>680038, Хабаровский кр., г. Хабаровск, ул. Серышева, д. 34 офис 24</t>
  </si>
  <si>
    <t>141532, Московская обл., г. Солнечногорск, д. Радумля, тер. Техцентр стр. 49/4 офис 28</t>
  </si>
  <si>
    <t>163069, Архангельская обл., г. Архангельск, ул. Карла Маркса, д. 15</t>
  </si>
  <si>
    <t>119119, г. Москва, проспект Ленинский, д. 42 к. 1-2-3 этаж 1 К 11-39</t>
  </si>
  <si>
    <t>196084, г. Санкт-Петербург, ул. Ломаная, д. 5 к. А3 (№ 1), литера А пом. № 1Н (210)</t>
  </si>
  <si>
    <t>629380, Ямало-Ненецкий а.о., Красноселькупский район, с. Красноселькуп, ул. Ленина, д. 22</t>
  </si>
  <si>
    <t>689000, Чукотский а.о., г. Анадырь, ул. Южная, д. 1/2</t>
  </si>
  <si>
    <t>162000, Вологодская обл., Грязовецкий район, г. Грязовец, ул. Соколовская, д. 59</t>
  </si>
  <si>
    <t>125319, г. Москва, вн.тер.г. муниципальный округ Аэропорт, ул Коккинаки, д. 4, помещ. 2/1</t>
  </si>
  <si>
    <t>121357, г. Москва, ул. Кременчугская, д. 4 к. 1 этаж 1 пом. I ком. 13</t>
  </si>
  <si>
    <t>658083, Алтайский кр., г. Новоалтайск, ул. Дорожная, д. 7</t>
  </si>
  <si>
    <t>107023, г. Москва, пер. Семёновский, д. 15 ком. 32</t>
  </si>
  <si>
    <t>196240, г. Санкт-Петербург, ул. Кубинская, д. 75 к. 1 литера И пом. 2-Н/ офис 401</t>
  </si>
  <si>
    <t>361115, Кабардино-Балкарская респ., Майский район, г. Майский, ул. 9 Мая, д. 181</t>
  </si>
  <si>
    <t>167026, Коми респ., г. Сыктывкар, ул. Лесная, д. 2/4</t>
  </si>
  <si>
    <t>101000, г. Москва, пер. Армянский, д. 7 пом. XII; ком. 5</t>
  </si>
  <si>
    <t>299014, г. Севастополь, ул. Рыбаков, д. 7</t>
  </si>
  <si>
    <t>123112, г. Москва, вн.тер.г. муниципальный округ Пресненский, наб Пресненская, д. 10, этаж 45, кабинет 15 (Бизнес-центр «Naberezhnaya Tower»)</t>
  </si>
  <si>
    <t>186420, Карелия респ., Сегежский район, г. Сегежа, ул. Заводская, д. 1</t>
  </si>
  <si>
    <t>125252, г. Москва, ул. Зорге, д. 28 к. 1 этаж / пом. / ком. 5/6/42</t>
  </si>
  <si>
    <t>123182, г. Москва, ул. Щукинская, д. 2 этаж 1 ком. 91</t>
  </si>
  <si>
    <t>630007, Новосибирская обл, г.о. город Новосибирск, г Новосибирск, ул Октябрьская, д. 34, этаж 2</t>
  </si>
  <si>
    <t>129515, г. Москва, ул. Академика Королева, д. 13 стр. 1 пом. I ком. 63; 64 этаж 3 (Бизнес центр "Мосавто"/Бизнес центр ГИНЦВЕТМЕТ)</t>
  </si>
  <si>
    <t>123308, г. Москва, проспект Маршала Жукова, д. 2 к. 2 стр. 1</t>
  </si>
  <si>
    <t>394055, Воронежская обл., г. Воронеж, ул. Депутатская, д. 11А пом. IХ В литера П/А офис 1</t>
  </si>
  <si>
    <t>196006, г. Санкт-Петербург, ул. Цветочная, д. 21 литера А</t>
  </si>
  <si>
    <t>108811, г. Москва, км. Киевское Шоссе 22-Й (П Московский), домовладение 4 стр. / блок 1/А этаж 8</t>
  </si>
  <si>
    <t>671247, Бурятия респ., Кабанский район, пгт. Селенгинск, д. 0 кв. 0</t>
  </si>
  <si>
    <t>173003, Новгородская обл., г. Великий Новгород, ул. Большая Санкт-Петербургская, д. 39 пом. 15 (Торговый центр «Волна»)</t>
  </si>
  <si>
    <t>241020, Брянская обл., г. Брянск, ул. Тухачевского, д. 3А</t>
  </si>
  <si>
    <t>350072, Краснодарский кр., г. Краснодар, ул. Солнечная, д. 15/5</t>
  </si>
  <si>
    <t>344002, Ростовская обл, г.о. город Ростов-на-Дону, г Ростов-на-Дону, ул Социалистическая, д. 74, офис 310 (Бизнес-центр «Купеческий Двор»)</t>
  </si>
  <si>
    <t>123242, г. Москва, ул. Баррикадная, д. 19 стр. 3 (Бизнес-центр на Ул. Баррикадная, 19С3)</t>
  </si>
  <si>
    <t>298600, Крым респ., г. Ялта, ул. Дражинского, д. 50 литера А пом. 3-14</t>
  </si>
  <si>
    <t>127018, г. Москва, ул. 2-Я Ямская, д. 9 Э 3 пом. I ком. 22</t>
  </si>
  <si>
    <t>433381, Ульяновская обл., Сенгилеевский район, рабочий пос. Цемзавод, ул. Кооперативная, д. 5А</t>
  </si>
  <si>
    <t>399200, Липецкая обл, м.р-н Задонский, с.п. Болховской сельсовет, д Малое Панарино, ул Липовая, д. 35, помещ. 47</t>
  </si>
  <si>
    <t>664024, Иркутская обл., г. Иркутск, ул. Трактовая, д. 18 (Торговый центр «Авалон Сити»)</t>
  </si>
  <si>
    <t>119119, г. Москва, проспект Ленинский, д. 42 к. 1-2-3 пом. II ком. 22</t>
  </si>
  <si>
    <t>654066, Кемеровская область - Кузбасс, г.о. Новокузнецкий, г Новокузнецк, р-н Центральный, ул Тольятти, д. 9Б, офис 709</t>
  </si>
  <si>
    <t>628305, Ханты-Мансийский Автономный Округ - Югра, г. Нефтеюганск, пос. Промышленная Зона Пионерная, ул. Проезд 5п стр. 3/1</t>
  </si>
  <si>
    <t>117218, г. Москва, вн.тер.г. муниципальный округ Академический, ул Кржижановского, д. 14, к. 3, помещ. XXII, ком. 1-9</t>
  </si>
  <si>
    <t>197348, г. Санкт-Петербург, проспект Богатырский, д. 2 литера А каб. 2.34</t>
  </si>
  <si>
    <t>127015, г. Москва, ул. Вятская, д. 27 стр. 20 пом. IV, ком. 3, 2-Й этаж (Бизнес-парк «Фактория строение 20»)</t>
  </si>
  <si>
    <t>197342, г. Санкт-Петербург, вн.тер.г. муниципальный округ Ланское, ул Сердобольская, д. 64, к. 1, литера А, помещ. 17-Н, ком. 1,7,8, ОФИС 212А</t>
  </si>
  <si>
    <t>117420, г. Москва, вн.тер.г. муниципальный округ Черемушки, ул Намёткина, д. 12А, этаж/помещ. 14/XXI, ком. 9 (Бизнес-центр «Газойл Плаза»)</t>
  </si>
  <si>
    <t>163016, Архангельская обл., г. Архангельск, проспект Ленинградский, д. 386 стр. 24</t>
  </si>
  <si>
    <t>123423, г. Москва, ул. Саляма Адиля, д. 2 к. 1 этаж 2 пом. I</t>
  </si>
  <si>
    <t>125196, г. Москва, ул. Лесная, д. 7 этаж 7/8/9 (Бизнес-центр «Белые Сады»)</t>
  </si>
  <si>
    <t>391720, Рязанская обл., Михайловский район, рабочий пос. Октябрьский, ул. Кооперативная, д. 1</t>
  </si>
  <si>
    <t>454038, Челябинская обл., г. Челябинск, ул. Строительная, д. 25 пом. 3</t>
  </si>
  <si>
    <t>192289, г. Санкт-Петербург, ул. Софийская, д. 95 литера В пом. 84 85</t>
  </si>
  <si>
    <t>420094, Татарстан респ., г. Казань, ул. Бондаренко, д. 3</t>
  </si>
  <si>
    <t>123007, г. Москва, проезд 2-Й Хорошёвский, д. 9 к. 2 этаж 5 ком. 4</t>
  </si>
  <si>
    <t>115432, г. Москва, проспект Андропова, д. 18 к. 7 пом. XI-КОМН 1,2,4,5; 6 этаж</t>
  </si>
  <si>
    <t>142714, Московская обл., г. Видное, с. Остров, ул. Индустриальная, д. 5 пом. 42</t>
  </si>
  <si>
    <t>350000, Краснодарский кр., г. Краснодар, ул. Одесская, д. 41</t>
  </si>
  <si>
    <t>344002, Ростовская обл., г. Ростов-На-Дону, ул. Социалистическая, д. 74 офис 19А, 11 этаж (Бизнес-центр «Купеческий Двор»)</t>
  </si>
  <si>
    <t>115280, г. Москва, ул. Автозаводская, д. 22 пом. 336</t>
  </si>
  <si>
    <t>115280, г. Москва, ул. Автозаводская, д. 22 этаж 2 пом. V ком. 267</t>
  </si>
  <si>
    <t>660064, Красноярский кр., г. Красноярск, ул. Капитанская, д. 14 пом. 349</t>
  </si>
  <si>
    <t>140016, Московская обл., г. Люберцы, ул. Барыкина (Зенино Жк Самолёт Мкр.), д. 2 пом. 4Н</t>
  </si>
  <si>
    <t>108836, г. Москва, ул. Футбольная, д. 17 этаж / офис 2/202</t>
  </si>
  <si>
    <t>123056, г. Москва, ул. 2-Я Брестская, д. 29А</t>
  </si>
  <si>
    <t>680000, Хабаровский кр., г. Хабаровск, ул. Московская, д. 7 пом. IV(4) (Бизнес-центр «На Московской»)</t>
  </si>
  <si>
    <t>296002, Крым респ., г. Красноперекопск, ул. Проектная, д. 1</t>
  </si>
  <si>
    <t>350005, Краснодарский край, г.о. город Краснодар, г Краснодар, ул Конгрессная, д. 31, офис 2, помещ. 4</t>
  </si>
  <si>
    <t>191014, г. Санкт-Петербург, ул. Рылеева, д. 3 литера А пом. 7Н офис 2/1</t>
  </si>
  <si>
    <t>123112, г. Москва, вн.тер.г. муниципальный округ Пресненский, наб Пресненская, д. 12, этаж 58, ОФИС 1 (Многофункциональный комплекс «Башня Федерация»)</t>
  </si>
  <si>
    <t>353741, Краснодарский кр., Ленинградский район, станица Ленинградская, ул. Заводская, д. 1</t>
  </si>
  <si>
    <t>190068, г. Санкт-Петербург, вн.тер.г. муниципальный округ Коломна, пр-кт Римского-Корсакова, д. 47, литера А, помещ. 6-Н</t>
  </si>
  <si>
    <t>194292, г. Санкт-Петербург, пер. 6-Й Верхний, д. 7</t>
  </si>
  <si>
    <t>196006, г. Санкт-Петербург, ул. Цветочная, д. 18 литера А пом. 2-Н офис 311, 319</t>
  </si>
  <si>
    <t>125047, г. Москва, ул. Бутырский Вал, д. 10 (Бизнес-центр «Белая Площадь»)</t>
  </si>
  <si>
    <t>197110, г. Санкт-Петербург, вн.тер.г. муниципальный округ Чкаловское, ул Большая Зеленина, д. 24, стр. 1, помещ. 97-Н, помещ. 3.3,3.4,3.5,3.6</t>
  </si>
  <si>
    <t>624992, Свердловская обл., г. Серов, ул. Нахабина, д. 1</t>
  </si>
  <si>
    <t>184227, Мурманская обл., г. Кировск, пос. Коашва, д. 26</t>
  </si>
  <si>
    <t>191144, г. Санкт-Петербург, ул. 6-Я Советская, д. 21/2</t>
  </si>
  <si>
    <t>690001, Приморский край, г.о. Владивостокский, г Владивосток, ул Светланская, д. 83, офис 421</t>
  </si>
  <si>
    <t>105066, г. Москва, ул. Нижняя Красносельская, д. 35 стр. 64 этаж 6, пом. I, ком. 18</t>
  </si>
  <si>
    <t>115230, г. Москва, шоссе Варшавское, д. 47 к. 4 часть пом. XXII этаж 14 ком. 18</t>
  </si>
  <si>
    <t>614000, Пермский кр., г. Пермь, ул. Ленина, д. 58 пом. 226 (Бизнес-центр «Любимов»)</t>
  </si>
  <si>
    <t>143410, Московская обл, г.о. Красногорск, г Красногорск, ул Спасская, д. 1А, этаж 2, помещ. №87</t>
  </si>
  <si>
    <t>117485, г. Москва, вн.тер.г. муниципальный округ Коньково, ул Обручева, д. 30/1, стр. 1, этаж 5 ПОМЕЩ.VIII, ком. 1-31 (Бизнес-центр «Кругозор»)</t>
  </si>
  <si>
    <t>652500, Кемеровская область - Кузбасс, г. Ленинск-Кузнецкий, проспект Кирова, д. 13А</t>
  </si>
  <si>
    <t>630129, Новосибирская обл., г. Новосибирск, ул. Богдана Хмельницкого, д. 131/1 этаж 2</t>
  </si>
  <si>
    <t>625061, Тюменская обл., г. Тюмень, ул. Производственная, д. 17 стр. 1</t>
  </si>
  <si>
    <t>625504, Тюменская обл., Тюменский район, рабочий пос. Боровский, пос. Южный стр. 4</t>
  </si>
  <si>
    <t>142791, г. Москва, Сосенское пос., д. Сосенки, ул. Ясеневая, д. 3 пом. 951</t>
  </si>
  <si>
    <t>630096, Новосибирская обл., г. Новосибирск, ул. Станционная, д. 78</t>
  </si>
  <si>
    <t>634049, Томская обл., г. Томск, тракт Иркутский, д. 27/6 стр. 14</t>
  </si>
  <si>
    <t>115054, г. Москва, ул. Дубининская, д. 53 стр. 5 этаж / пом. / ком. 2/V/1 (Бизнес-центр «Квартал Сити»)</t>
  </si>
  <si>
    <t>630007, Новосибирская обл, г.о. город Новосибирск, г Новосибирск, ул Советская, д. 5, этаж/часть помещ. 5/8 (Бизнес-центр «Кронос»)</t>
  </si>
  <si>
    <t>633564, Новосибирская обл., Маслянинский район, рабочий пос. Маслянино, ул. Коммунистическая, д. 27 каб. 22</t>
  </si>
  <si>
    <t>634506, Томская обл., Томский район, ул. 4 Км (Автодорога Новомихайловка- Светлый Тер.), д. СООР. 6 каб. 21</t>
  </si>
  <si>
    <t>644016, Омская обл., г. Омск, пер. 8-Й Семиреченский, д. 1 офис 207</t>
  </si>
  <si>
    <t>630520, Новосибирская обл., Новосибирский район, пос. Красный Восток, ул. Советская, д. ЗД. 1 к. 1</t>
  </si>
  <si>
    <t>630009, Новосибирская обл., г. Новосибирск, ул. Дунайская, д. 19/1 этаж 2</t>
  </si>
  <si>
    <t>197229, г. Санкт-Петербург, вн.тер.г. муниципальный округ Лахта-Ольгино, ул Новая, д. 51, к. 3, стр. 1, помещ. 1-Н</t>
  </si>
  <si>
    <t>107078, г. Москва, вн.тер.г. муниципальный округ Красносельский, пер Орликов, д. 3Б, этаж 6/7, помещ./ком. XXII,XXIV/5,6,6А,6Б,7,7(А,Б,В,Г)/2,2А,3-22,24-29,31-35,38,39,50,50А-Д</t>
  </si>
  <si>
    <t>123060, г. Москва, ул. Маршала Соколовского, д. 3 этаж 5 пом. I ком. 3 (Бизнес-центр «Соколовского 3»)</t>
  </si>
  <si>
    <t>658252, Алтайский кр., Рубцовский район, пос. Потеряевка, тер. Промплощадка Рубцовского Рудника корп. ПРОМПЛОЩАДКА РУБЦОВСКОГО РУДНИКА</t>
  </si>
  <si>
    <t>143007, Московская обл, Одинцово г, г.о. Одинцовский, ул Вокзальная, д. 3Б, помещ. 49, ком. 307</t>
  </si>
  <si>
    <t>630087, Новосибирская обл., г. Новосибирск, проспект Карла Маркса, д. 30 ком. 425</t>
  </si>
  <si>
    <t>636850, Томская обл., Зырянский район, с. Зырянское, ул. Калинина, д. 24/1</t>
  </si>
  <si>
    <t>650066, Кемеровская область - Кузбасс, г.о. Кемеровский, г Кемерово, пр-кт Октябрьский, д. 2Б, часть помещ. 902, офис 910</t>
  </si>
  <si>
    <t>660077, Красноярский кр., г. Красноярск, ул. Батурина, д. 1</t>
  </si>
  <si>
    <t>634003, Томская обл., г. Томск, ул. Пушкина, д. 46</t>
  </si>
  <si>
    <t>633351, Новосибирская обл., Болотнинский район, с. Ача, ул. Молодежная, д. 4</t>
  </si>
  <si>
    <t>623700, Свердловская обл., г. Березовский, пос. Цоф, тер. П.Цоф, д. 12 офис 21</t>
  </si>
  <si>
    <t>630110, Новосибирская обл., г. Новосибирск, ул. Богдана Хмельницкого, д. 47</t>
  </si>
  <si>
    <t>123308, г. Москва, проспект Маршала Жукова, д. 2 Э 2 П I ком. 79</t>
  </si>
  <si>
    <t>119421, г. Москва, вн.тер.г. муниципальный округ Обручевский, пр-кт Ленинский, д. 111, к. 1, помещ. 24Н</t>
  </si>
  <si>
    <t>625511, Тюменская обл, м.р-н Тюменский, с.п. Ембаевское, тер. ФАД Тюмень-Тобольск-Ханты-Мансийск, км 15-ый, стр. 15</t>
  </si>
  <si>
    <t>394038, Воронежская обл, г.о. город Воронеж, г Воронеж, ул Пеше-Стрелецкая, д. 95, литер А1 ОФИС 300</t>
  </si>
  <si>
    <t>625055, Тюменская обл., г. Тюмень, ул. Пражская, д. 17</t>
  </si>
  <si>
    <t>677008, Саха /Якутия/ респ., г. Якутск, ул. Лермонтова, д. 78</t>
  </si>
  <si>
    <t>196105, г. Санкт-Петербург, ул. Сызранская, д. 15</t>
  </si>
  <si>
    <t>656037, Алтайский край, г.о. город Барнаул, г Барнаул, пр-кт Ленина, д. 156А, офис 101</t>
  </si>
  <si>
    <t>644076, Омская обл., г. Омск, дор. Окружная, д. 7 офис 1</t>
  </si>
  <si>
    <t>690091, Приморский кр., г. Владивосток, проспект Океанский, д. 17 офис 408 (Бизнес-центр «Fresh Plaza»)</t>
  </si>
  <si>
    <t>649000, Алтай респ., г. Горно-Алтайск, ул. Чорос-Гуркина Г.И., д. 39/14 пом. 306</t>
  </si>
  <si>
    <t>628406, Ханты-Мансийский Автономный Округ - Югра, г. Сургут, ул. Базовая, д. 2 к. 1 помещения 30, 31</t>
  </si>
  <si>
    <t>656054, Алтайский кр., г. Барнаул, ул. Антона Петрова, д. 190</t>
  </si>
  <si>
    <t>630047, Новосибирская обл, г.о. город Новосибирск, г Новосибирск, ул Даргомыжского, зд. 8А/1, помещ. 1, этаж/офис 2/26</t>
  </si>
  <si>
    <t>660001, Красноярский кр., г. Красноярск, ул. Менжинского, д. 12 к. Г</t>
  </si>
  <si>
    <t>626150, Тюменская обл., г. Тобольск, тер. Восточный Промышленный Район-Квартал 5, владение 2 стр. 25 каб. 213</t>
  </si>
  <si>
    <t>117218, г. Москва, ул. Кржижановского, д. 16 к. 3</t>
  </si>
  <si>
    <t>606000, Нижегородская обл., г. Дзержинск, шоссе Автозаводское, д. 65</t>
  </si>
  <si>
    <t>614055, Пермский кр., г. Пермь, ул. Промышленная, д. 98</t>
  </si>
  <si>
    <t>628606, Ханты-Мансийский Автономный Округ - Югра, г. Нижневартовск, ул. Омская, д. 1</t>
  </si>
  <si>
    <t>630099, Новосибирская обл., г. Новосибирск, ул. Чаплыгина, д. 57</t>
  </si>
  <si>
    <t>654102, Кемеровская область - Кузбасс, г. Новокузнецк, ул. Погрузочная (Куйбышевский Р-Н), д. ЗД. 60Б каб. 327</t>
  </si>
  <si>
    <t>650036, Кемеровская область - Кузбасс, г. Кемерово, проспект Ленина, д. 90/3 офис 315</t>
  </si>
  <si>
    <t>680000, Хабаровский кр., г. Хабаровск, ул. Калинина, д. 83А офис 1</t>
  </si>
  <si>
    <t>456604, Челябинская обл., г. Копейск, проспект Победы, д. 28</t>
  </si>
  <si>
    <t>683016, Камчатский кр., г. Петропавловск-Камчатский, ул. Мишенная, д. 106 кв. 10</t>
  </si>
  <si>
    <t>394068, Воронежская обл., г. Воронеж, ул. Хользунова, д. 35 офис 1</t>
  </si>
  <si>
    <t>195009, г. Санкт-Петербург, набережная Свердловская, д. 4 литера Б (Бизнес-центр «Феникс»)</t>
  </si>
  <si>
    <t>344022, Ростовская обл, г.о. город Ростов-на-Дону, г Ростов-на-Дону, ул Суворова, д. 91, этаж 10, ком. 38 (Бизнес-центр «Лига Наций»)</t>
  </si>
  <si>
    <t>127018, г. Москва, вн.тер.г. муниципальный округ Марьина роща, ул Двинцев, д. 12, к. 1, этаж 2, помещ. 1, КОМ.1</t>
  </si>
  <si>
    <t>400097, Волгоградская обл., г. Волгоград, ул. 40 Лет Влксм, д. 57Н</t>
  </si>
  <si>
    <t>446218, Самарская обл, г.о. Новокуйбышевск, г Новокуйбышевск, ул Свердлова, д. 2, ком. 1</t>
  </si>
  <si>
    <t>129085, г. Москва, проезд Ольминского, д. 3А стр. 3 этаж 2, пом. II, ком. 13 (Бизнес-центр в Ольминском Проезде, 3)</t>
  </si>
  <si>
    <t>150000, Ярославская обл., г. Ярославль, ул. Свободы, д. 2 этаж 5 пом. 54</t>
  </si>
  <si>
    <t>453509, Башкортостан респ., Белорецкий район, г. Белорецк, ул. Ленина, д. 41 каб. 203</t>
  </si>
  <si>
    <t>620010, Свердловская обл., г. Екатеринбург, ул. Черняховского стр. 86 офис 44</t>
  </si>
  <si>
    <t>620010, Свердловская обл., г. Екатеринбург, ул. Черняховского стр. 86 корп. 8</t>
  </si>
  <si>
    <t>620010, Свердловская обл., г. Екатеринбург, ул. Черняховского, д. 86 офис 16</t>
  </si>
  <si>
    <t>119619, г. Москва, ул. Производственная, д. 11 стр. 8 пом. 27</t>
  </si>
  <si>
    <t>125212, г. Москва, шоссе Головинское, д. 5 к. 1 пом. 8020 этаж 8</t>
  </si>
  <si>
    <t>432071, Ульяновская обл., г. Ульяновск, проспект Нариманова, д. 1 стр. 2 (Бизнес-центр «Кристалл корпус 2»)</t>
  </si>
  <si>
    <t>115093, г. Москва, ул. Дубининская, д. 96</t>
  </si>
  <si>
    <t>115184, г. Москва, ул. Большая Татарская, д. 9 этаж / пом. / ком. 5/I/55</t>
  </si>
  <si>
    <t>115184, г. Москва, ул. Большая Татарская, д. 9</t>
  </si>
  <si>
    <t>693004, Сахалинская обл, г.о. город Южно-Сахалинск, г Южно-Сахалинск, ул имени И.П. Фархутдинова, д. 3, офис 214</t>
  </si>
  <si>
    <t>125167, г. Москва, вн.тер.г. муниципальный округ Аэропорт, ул Степана Супруна, д. 3, этаж/помещение ПОДВАЛ/I-II, ком. 11</t>
  </si>
  <si>
    <t>603003, Нижегородская обл, г.о. город Нижний Новгород, г Нижний Новгород, ул Коминтерна, д. 139, помещ. П34</t>
  </si>
  <si>
    <t>108835, г. Москва, вн.тер.г. поселение Роговское, кв-л 612, д. 8, стр. 2, офис 1</t>
  </si>
  <si>
    <t>644048, Омская обл, г.о. город Омск, г Омск, пр-кт Карла Маркса, д. 52А, офис 3</t>
  </si>
  <si>
    <t>620026, Свердловская обл., г. Екатеринбург, ул. Розы Люксембург стр. 51 пом. 206</t>
  </si>
  <si>
    <t>620026, Свердловская обл., г. Екатеринбург, ул. Белинского, д. 86 секция / этаж / пом. 7/16/9</t>
  </si>
  <si>
    <t>620026, Свердловская обл, г.о. город Екатеринбург, г Екатеринбург, ул Розы Люксембург, стр. 51, помещ. 97</t>
  </si>
  <si>
    <t>115114, г. Москва, ул. Летниковская, д. 2 стр. 3</t>
  </si>
  <si>
    <t>121151, г. Москва, вн.тер.г. муниципальный округ Дорогомилово, пр-кт Кутузовский, д. 21, помещ. 1/1</t>
  </si>
  <si>
    <t>603001, Нижегородская обл., г. Нижний Новгород, набережная Нижне-Волжская, д. 6 к. 1 офис 306</t>
  </si>
  <si>
    <t>664022, Иркутская обл., г. Иркутск, ул. Кожова, д. 14/3 пом. 43 (Бизнес-центр на Ул. Кожова, 14/3)</t>
  </si>
  <si>
    <t>129090, г. Москва, ул. Мещанская, д. 9/14 стр. 1</t>
  </si>
  <si>
    <t>129164, г. Москва, вн.тер.г. муниципальный округ Алексеевский, б-р Ракетный, д. 16, этаж 8, помещ. XXXII КОМ.6 ОФИС 821 (Бизнес-центр "Алексеевская башня")</t>
  </si>
  <si>
    <t>191011, г. Санкт-Петербург, ул. Садовая, д. 12 литера А пом. 30-Н часть ОФИСА 9</t>
  </si>
  <si>
    <t>156014, Костромская обл., г. Кострома, ул. Индустриальная, д. 7А</t>
  </si>
  <si>
    <t>249030, Калужская обл., г. Обнинск, шоссе Киевское, д. 57 офис 4</t>
  </si>
  <si>
    <t>623400, Свердловская обл., г. Каменск-Уральский, ул. Заводской Проезд, д. 1</t>
  </si>
  <si>
    <t>125167, г. Москва, проспект Ленинградский, д. 37 к. 12 этаж 4 ком. 42</t>
  </si>
  <si>
    <t>107996, г. Москва, ул. Кузнецкий Мост, д. 21/5 этаж 5, пом. II, ком. 44-47 (Бизнес-центр на Ул. Кузнецкий Мост, 21/5)</t>
  </si>
  <si>
    <t>121614, г. Москва, ул. Крылатская, д. 17 к. 4 этаж 2 пом. I ком. 28</t>
  </si>
  <si>
    <t>123290, г. Москва, туп. 1-Й Магистральный, д. 11 стр. 10 этаж 2 пом. V ком. 1-23, 25-39</t>
  </si>
  <si>
    <t>127030, г. Москва, вн.тер.г. муниципальный округ Тверской, ул Сущёвская, д. 21, этаж 4, пом/оф I/429 (Бизнес-центр "Молодая Гвардия")</t>
  </si>
  <si>
    <t>125009, г. Москва, ул. Моховая, д. 13 стр. 1 пом. XIII ком. 2 (Бизнес-центр «На Моховой»)</t>
  </si>
  <si>
    <t>650992, Кемеровская область - Кузбасс, г. Кемерово, проспект Советский, д. 6 офис 1</t>
  </si>
  <si>
    <t>125009, г. Москва, ул. Моховая, д. 13 стр. 1 (Бизнес-центр «На Моховой»)</t>
  </si>
  <si>
    <t>109052, г. Москва, вн.тер.г. муниципальный округ Нижегородский, ул Смирновская, д. 25, стр. 9, помещ. 1Н</t>
  </si>
  <si>
    <t>125373, г. Москва, проезд Походный, д. 4 к. 1 этаж 7 пом. XII ком. 19 офис 702</t>
  </si>
  <si>
    <t>125239, г. Москва, ул. Коптевская, д. 73 стр. 1 этаж 1 пом. 1</t>
  </si>
  <si>
    <t>115280, г. Москва, вн.тер.г. муниципальный округ Даниловский, ул Ленинская Слобода, д. 26, помещ. 37/63 (Бизнес-центр «Omega Plaza Омега-2 корпус А»)</t>
  </si>
  <si>
    <t>156000, Костромская обл., г. Кострома, проспект Текстильщиков, д. 40/39 пом. 2</t>
  </si>
  <si>
    <t>625018, Тюменская обл, г.о. город Тюмень, г Тюмень, ул Кремлевская, д. 112, к. 3, кв. 174</t>
  </si>
  <si>
    <t>119019, г. Москва, вн.тер.г. муниципальный округ Арбат, ул Новый Арбат, д. 21, этаж 24, помещ./ком. I/41 (Бизнес-центр «Новый Арбат 21»)</t>
  </si>
  <si>
    <t>620014, Свердловская обл., г. Екатеринбург, ул. 8 Марта, д. 8 д пом. 17</t>
  </si>
  <si>
    <t>105122, г. Москва, шоссе Щёлковское, д. 7 стр. 1 этаж , пом. , ком. 1, I, 51</t>
  </si>
  <si>
    <t>119435, г. Москва, вн.тер.г. муниципальный округ Хамовники, пер Большой Саввинский, д. 12, стр. 6, этаж 1, помещ. IV, КОМ. 1-33, 35-53</t>
  </si>
  <si>
    <t>143441, Московская обл., г. Красногорск, д. Путилково, ЗД. "КОНТОРА-ПРОХОДНАЯ" к. АОЗТ "ПТИЦЕФАБРИКА офис "КРАСНОГОРСКАЯ</t>
  </si>
  <si>
    <t>123290, г. Москва, ул. 2-Я Магистральная, д. 5А стр. 5</t>
  </si>
  <si>
    <t>107140, г. Москва, ул. Верхняя Красносельская, д. 3А</t>
  </si>
  <si>
    <t>109316, г. Москва, вн.тер.г. муниципальный округ Южнопортовый, пр-кт Волгоградский, д. 32, к. 31, этаж 3, помещ. 2</t>
  </si>
  <si>
    <t>249091, Калужская обл., Малоярославецкий район, г. Малоярославец, ул. Радищева, д. 4</t>
  </si>
  <si>
    <t>423800, Татарстан респ., г. Набережные Челны, ул. Промышленная, д. 61/44</t>
  </si>
  <si>
    <t>117246, г. Москва, вн.тер.г. муниципальный округ Черемушки, проезд Научный, д. 19, помещ. 6Д (Бизнес-центр «9 Acres»)</t>
  </si>
  <si>
    <t>127006, г. Москва, бульвар Страстной, д. 9 этаж 1 пом. V ком. 2 (Бизнес-центр «Пушкинский Дом»)</t>
  </si>
  <si>
    <t>107076, г. Москва, вн.тер.г. муниципальный округ Сокольники, пер Колодезный, д. 2А, стр. 1, помещ. 40Н</t>
  </si>
  <si>
    <t>141727, Московская обл., г. Долгопрудный, пер. Лаврушенский (Павельцево Мкр), д. 15</t>
  </si>
  <si>
    <t>694550, Сахалинская обл., Северо-Курильский район, г. Северо-Курильск, ул. Набережная, д. 2</t>
  </si>
  <si>
    <t>188361, Ленинградская обл., Гатчинский район, пос. Новый Свет, д. 33 офис 1</t>
  </si>
  <si>
    <t>194156, г. Санкт-Петербург, ул. Сердобольская, д. 1 литера А пом. 25Н</t>
  </si>
  <si>
    <t>420039, Татарстан респ., г. Казань, ул. Гагарина, д. 99 пом. 19А</t>
  </si>
  <si>
    <t>197342, г. Санкт-Петербург, вн.тер.г. муниципальный округ Ланское, наб Ушаковская, д. 3, к. 1, стр. 1, офис 616</t>
  </si>
  <si>
    <t>309220, Белгородская обл., Корочанский район, тер. Зао Ск Короча</t>
  </si>
  <si>
    <t>249034, Калужская обл, г.о. город Обнинск, г Обнинск, ул Гагарина, д. 20А, офис 312</t>
  </si>
  <si>
    <t>353741, Краснодарский кр., Ленинградский район, станица Ленинградская, ул. Заводская, д. 1 к. А</t>
  </si>
  <si>
    <t>111116, г. Москва, вн.тер.г. муниципальный округ Лефортово, ул Авиамоторная, д. 6, стр. 8</t>
  </si>
  <si>
    <t>119192, г. Москва, проспект Мичуринский, д. 9 к. 4</t>
  </si>
  <si>
    <t>301133, Тульская обл., Ленинский район, пос. Петровский, ул. Летчика Пирожкова, д. 1 пом. 46</t>
  </si>
  <si>
    <t>117405, г. Москва, вн.тер.г. муниципальный округ Чертаново Южное, ш Варшавское, д. 145, к. 8, этаж 5, помещ. IV-5-1</t>
  </si>
  <si>
    <t>188688, Ленинградская обл., Всеволожский район, проезд Центральный (Нижняя Промзона), стр. 2 офис 203</t>
  </si>
  <si>
    <t>443086, Самарская обл., г. Самара, ул. Скляренко, д. 26 (Бизнес-центр «Панорама»)</t>
  </si>
  <si>
    <t>674159, Забайкальский кр., Каларский район, пгт. Новая Чара, ул. Юбилейная, д. 42А пом. 1</t>
  </si>
  <si>
    <t>127422, г. Москва, проезд Дмитровский, д. 10 стр. 1</t>
  </si>
  <si>
    <t>121552, г. Москва, ул. Островная, д. 2 (Бизнес-центр «Островная 2»)</t>
  </si>
  <si>
    <t>197343, г. Санкт-Петербург, ул. Матроса Железняка, д. 57 литера А пом. 128-Н</t>
  </si>
  <si>
    <t>357625, Ставропольский кр., г. Ессентуки, ул. Пятигорская, д. 121</t>
  </si>
  <si>
    <t>660006, Красноярский кр., г. Красноярск, ул. Свердловская, д. 98</t>
  </si>
  <si>
    <t>141407, Московская обл., г. Химки, шоссе Ленинградское, владение 5 пом. 189 (Торгово-развлекательный центр «Лига»)</t>
  </si>
  <si>
    <t>109044, г. Москва, ул. Динамовская, д. 1А этаж 3 пом. II ком. 15 (Бизнес-центр)</t>
  </si>
  <si>
    <t>618400, Пермский кр., г. Березники, шоссе Чуртанское, д. 15</t>
  </si>
  <si>
    <t>117638, г. Москва, ул. Азовская, д. 6 к. 3 этаж 8 пом. 803</t>
  </si>
  <si>
    <t>125167, г. Москва, вн.тер.г. муниципальный округ Аэропорт, пр-кт Ленинградский, д. 36, стр. 41, помещ. 6</t>
  </si>
  <si>
    <t>188669, Ленинградская обл., Всеволожский район, г. Мурино, ул. Кооперативная, д. 24 литера А-А</t>
  </si>
  <si>
    <t>117623, г. Москва, вн.тер.г. муниципальный округ Южное Бутово, ул 2-я Мелитопольская, д. 21, к. 2, помещ. 3/1, офис 121</t>
  </si>
  <si>
    <t>603064, Нижегородская обл., г. Нижний Новгород, проезд Восточный, д. 5</t>
  </si>
  <si>
    <t>664025, Иркутская обл., г. Иркутск, ул. Сурикова, д. 6 офис 1</t>
  </si>
  <si>
    <t>183016, Мурманская обл., г. Мурманск, ул. Софьи Перовской, д. 17 каб. 104</t>
  </si>
  <si>
    <t>109004, г. Москва, вн.тер.г. муниципальный округ Таганский, ул Александра Солженицына, д. 23А, стр. 4, этаж/помещ. 1/III, ком. 1</t>
  </si>
  <si>
    <t>141304, Московская обл., г. Сергиев Посад, проспект Красной Армии, д. 4А этаж / офис 3/ №7</t>
  </si>
  <si>
    <t>195197, г. Санкт-Петербург, проспект Кондратьевский, д. 15 к. 2 литера З офис 238-2</t>
  </si>
  <si>
    <t>129085, г. Москва, вн.тер.г. муниципальный округ Останкинский, ул Годовикова, д. 9, стр. 17, этаж 7, помещ. 7</t>
  </si>
  <si>
    <t>105082, г. Москва, пл. Спартаковская, д. 10 стр. 12-12А, этаж 1 пом. I, ком. 25</t>
  </si>
  <si>
    <t>117485, г. Москва, ул. Обручева, д. 30/1 стр. 2 этаж 5 (Бизнес-центр «Кругозор строение 2»)</t>
  </si>
  <si>
    <t>127006, г. Москва, пер. Оружейный, д. 41 офис 48 (Многофункциональный комплекс «Оружейный»)</t>
  </si>
  <si>
    <t>440058, Пензенская обл., г. Пенза, ул. Бийская, владение 1Г офис 18</t>
  </si>
  <si>
    <t>121596, г. Москва, вн.тер.г. муниципальный округ Можайский, ул Горбунова, д. 2, стр. 3, помещ. II, ком. 39А (Бизнес центр "Гранд Сетунь Плаза")</t>
  </si>
  <si>
    <t>443022, Самарская обл, г.о. Самара, вн.р-н Советский, г Самара, ул Кабельная, д. 9, этаж 3, помещ. 36</t>
  </si>
  <si>
    <t>198095, г. Санкт-Петербург, пер. Химический, д. 1 литера АВ офис 416</t>
  </si>
  <si>
    <t>123112, г. Москва, ул. Тестовская, д. 10 офис 1302 (Бизнес-квартал «Симоновский»)</t>
  </si>
  <si>
    <t>143026, Московская обл., г. Одинцово, д. Сколково, ул. Новая, д. 100</t>
  </si>
  <si>
    <t>391800, Рязанская обл., Скопинский район, тер. Промышленная Зона N 1, д. ЗД. 1</t>
  </si>
  <si>
    <t>420015, Татарстан респ., г. Казань, ул. Карла Маркса, д. 71</t>
  </si>
  <si>
    <t>117042, г. Москва, вн.тер.г. муниципальный округ Южное Бутово, ул Горчакова, д. 1, к. 3, этаж/помещ. 1/III, ком. 2А</t>
  </si>
  <si>
    <t>630530, Новосибирская обл., Новосибирский район, с. Каменка, ул. Каменская, д. 8/1</t>
  </si>
  <si>
    <t>191186, г. Санкт-Петербург, набережная Реки Мойки, д. 3 литера А</t>
  </si>
  <si>
    <t>393030, Тамбовская обл., Никифоровский район, с. Сабуро-Покровское, ул. Полевая, д. 2Б</t>
  </si>
  <si>
    <t>143082, Московская обл., г. Одинцово, д. Раздоры, км. 61-Й (Мкад Тер.), стр. 1 этаж 3 офис 18</t>
  </si>
  <si>
    <t>650000, Кемеровская область - Кузбасс, г. Кемерово, ул. Кузбасская, д. 6</t>
  </si>
  <si>
    <t>445007, Самарская обл., г. Тольятти, проезд Тупиковый, д. 26 офис 2</t>
  </si>
  <si>
    <t>108851, г. Москва, г. Щербинка, ул. Восточная, д. 17 офис 221</t>
  </si>
  <si>
    <t>309506, Белгородская обл, г.о. Старооскольский, г Старый Оскол, ул Первой Конной Армии, зд. 65, офис 405</t>
  </si>
  <si>
    <t>350020, Краснодарский кр., г. Краснодар, ул. Им. Бабушкина, д. 250</t>
  </si>
  <si>
    <t>140060, Московская обл., г. Люберцы, пос. Мирный, ул. Пограничная, д. 33 офис 6</t>
  </si>
  <si>
    <t>353560, Краснодарский кр., Славянский район, г. Славянск-На-Кубани, ул. Гриня, д. 5</t>
  </si>
  <si>
    <t>603070, Нижегородская обл., г. Нижний Новгород, ул. Сергея Есенина, д. 10</t>
  </si>
  <si>
    <t>603058, Нижегородская обл., г. Нижний Новгород, ул. Героя Попова, д. 43В офис 4</t>
  </si>
  <si>
    <t>610035, Кировская обл., г. Киров, ул. Производственная, д. 35</t>
  </si>
  <si>
    <t>141554, Московская обл., г. Солнечногорск, д. Мелечкино стр. 123</t>
  </si>
  <si>
    <t>460006, Оренбургская обл., г. Оренбург, ул. Комсомольская, д. 40</t>
  </si>
  <si>
    <t>644105, Омская обл., г. Омск, ул. 22 Партсъезда, д. 51</t>
  </si>
  <si>
    <t>624803, Свердловская обл., Сухоложский район, г. Сухой Лог, ул. Кунарская, д. 20</t>
  </si>
  <si>
    <t>127238, г. Москва, проезд 3-Й Нижнелихоборский, д. 1 стр. 1 этаж 3/ пом. I/ ком. 5</t>
  </si>
  <si>
    <t>428000, Чувашская Республика - Чувашия, г.о. город Чебоксары, г Чебоксары, пр-кт Мира, д. 1, административное зд. 2, офис 601</t>
  </si>
  <si>
    <t>660049, Красноярский кр., г. Красноярск, ул. Карла Маркса, д. 95 к. 1 офис 303</t>
  </si>
  <si>
    <t>446205, Самарская обл., г. Новокуйбышевск, ул. Л.Толстого, д. 21 каб. 223</t>
  </si>
  <si>
    <t>622034, Свердловская обл., г. Нижний Тагил, проспект Ленина, д. 59 офис 80</t>
  </si>
  <si>
    <t>119017, г. Москва, набережная Кадашёвская, д. 6/1/2 стр. 1 этаж 6 пом. I ком. 34</t>
  </si>
  <si>
    <t>620027, Свердловская обл., г. Екатеринбург, ул. Свердлова, д. 8</t>
  </si>
  <si>
    <t>121205, г. Москва, ул. Нобеля (Сколково Инновационного Центра Т, д. 5 офис 3/27,28,29,1,2,3</t>
  </si>
  <si>
    <t>236022, Калининградская обл, г.о. город Калининград, г Калининград, ул С.Разина, д. 27</t>
  </si>
  <si>
    <t>190020, г. Санкт-Петербург, вн.тер.г. муниципальный округ Екатерингофский, ул Лифляндская, д. 6, к. 6, литера С, офис 105</t>
  </si>
  <si>
    <t>115516, г. Москва, ул. Промышленная, д. 11А стр. 38 этаж 2 пом. I ком. 6А</t>
  </si>
  <si>
    <t>105064, г. Москва, пер. Нижний Сусальный, д. 5 стр. 17 этаж 4 П I К 6 СТ 10</t>
  </si>
  <si>
    <t>125040, г. Москва, ул. Верхняя, д. 20 к. 1 этаж 1 пом. XIX</t>
  </si>
  <si>
    <t>108811, г. Москва, км. Киевское Шоссе 22-Й (П Московский), домовладение 6 стр. 1 пом. XXV ком. 1Ж</t>
  </si>
  <si>
    <t>115404, г. Москва, вн.тер.г. муниципальный округ Бирюлево Восточное, ул Ряжская, д. 13, к. 1, помещ. I, ком. 2-1</t>
  </si>
  <si>
    <t>660012, Красноярский кр., г. Красноярск, ул. Карамзина, д. 25 пом. 17</t>
  </si>
  <si>
    <t>450096, Башкортостан респ., г. Уфа, ул. Энтузиастов, д. 6 каб. 33,34</t>
  </si>
  <si>
    <t>115114, г. Москва, вн.тер.г. муниципальный округ Даниловский, ул Кожевническая, д. 14, стр. 5, помещ. XVIII, ком. 15 (Бизнес-центр «Black and White 14с5»)</t>
  </si>
  <si>
    <t>140143, Московская обл, г.о. Раменский, дп Родники, ул Трудовая, д. 10, помещ. 1, ЭТАЖ 3, КОМ 319</t>
  </si>
  <si>
    <t>115516, г. Москва, ул. Промышленная, д. 9</t>
  </si>
  <si>
    <t>105120, г. Москва, пер. 2-Й Сыромятнический, д. 1 этаж 9 пом. 1 ком. 1</t>
  </si>
  <si>
    <t>445045, Самарская обл, г.о. Тольятти, г Тольятти, ул Громовой, влд. 31, стр. 4, помещ. 202</t>
  </si>
  <si>
    <t>353380, Краснодарский кр., Крымский район, г. Крымск, ул. Ленина, д. 196 офис 15</t>
  </si>
  <si>
    <t>693004, Сахалинская обл., г. Южно-Сахалинск, ул. Им Б.Н.Егорова, д. 39 каб. 209</t>
  </si>
  <si>
    <t>214000, Смоленская обл., г. Смоленск, ул. Ново-Московская, д. 15</t>
  </si>
  <si>
    <t>214020, Смоленская обл., г. Смоленск, ул. Шевченко, д. 77 к. А</t>
  </si>
  <si>
    <t>163000, Архангельская обл., г. Архангельск, набережная Северной Двины, д. 36</t>
  </si>
  <si>
    <t>423461, Татарстан респ., Альметьевский район, г. Альметьевск, проспект Строителей, д. 57</t>
  </si>
  <si>
    <t>123112, г. Москва, вн.тер.г. муниципальный округ Пресненский, наб Пресненская, д. 10, этаж 15 (Бизнес-центр «Naberezhnaya Tower»)</t>
  </si>
  <si>
    <t>115088, г. Москва, проезд 2-Й Южнопортовый, д. 20А стр. 4 ПОДЪЕЗД 1 этаж 2 П 2</t>
  </si>
  <si>
    <t>123112, г. Москва, набережная Пресненская, д. 12 офис А35 (Многофункциональный комплекс «Башня Федерация»)</t>
  </si>
  <si>
    <t>354395, Краснодарский кр., г. Сочи, ул. Гастелло (Адлерский Р-Н), д. 43 пом. 36</t>
  </si>
  <si>
    <t>618426, Пермский кр., г. Березники, ул. Загородная, д. 3С</t>
  </si>
  <si>
    <t>398017, Липецкая обл., г. Липецк, ул. Фестивальная, д. 10</t>
  </si>
  <si>
    <t>129090, г. Москва, пер. Астраханский, д. 17/27 стр. 2</t>
  </si>
  <si>
    <t>190020, г. Санкт-Петербург, вн.тер.г. муниципальный округ Екатерингофский, ул Бумажная, д. 4, литера А, офис 312.1</t>
  </si>
  <si>
    <t>140055, Московская обл., г. Котельники, шоссе Дзержинское, д. 2 этаж 5, пом. 521</t>
  </si>
  <si>
    <t>125009, г. Москва, пер. Большой Кисловский, д. 1/1/12 стр. 2</t>
  </si>
  <si>
    <t>127051, г. Москва, вн.тер.г. муниципальный округ Тверской, б-р Цветной, д. 17, этаж/помещ./ком. 2/I/22</t>
  </si>
  <si>
    <t>620146, Свердловская обл., г. Екатеринбург, ул. Ясная, д. 33 кв. 13</t>
  </si>
  <si>
    <t>107143, г. Москва, вн.тер.г. муниципальный округ Гольяново, проезд 1-й Иртышский, д. 2, стр. 6, этаж/помещ./ком. 3/V/11</t>
  </si>
  <si>
    <t>143405, Московская обл., г. Красногорск, шоссе Ильинское, д. 1А пом. 7</t>
  </si>
  <si>
    <t>620075, Свердловская обл, г.о. город Екатеринбург, г Екатеринбург, ул Мамина-Сибиряка, стр. 101, помещ. 452 (Бизнес-центр «Манхэттен»)</t>
  </si>
  <si>
    <t>109052, г. Москва, вн.тер.г. муниципальный округ Нижегородский, ул Газгольдерная, д. 8, стр. 11, этаж/помещ./ком. 2/III/36</t>
  </si>
  <si>
    <t>344000, Ростовская обл., г. Ростов-На-Дону, ул. Красноармейская, д. 176/46</t>
  </si>
  <si>
    <t>199034, г. Санкт-Петербург, вн.тер.г. муниципальный округ № 7, наб Лейтенанта Шмидта, д. 5/16, литера А, помещ. 2-Н, КОМ. 88, РАБОЧЕЕ МЕСТО №1</t>
  </si>
  <si>
    <t>199034, г. Санкт-Петербург, вн.тер.г. муниципальный округ № 7, наб Лейтенанта Шмидта, д. 5/16, литера А, помещ. 2-Н, КОМ. 10</t>
  </si>
  <si>
    <t>620066, Свердловская обл., г. Екатеринбург, ул. Академическая, д. 18 офис 216</t>
  </si>
  <si>
    <t>650070, Кемеровская область - Кузбасс, г. Кемерово, ул. Свободы, д. 7 кв. 39</t>
  </si>
  <si>
    <t>141204, Московская обл., г. Пушкино, ул. Грибоедова, д. 7 офис 508</t>
  </si>
  <si>
    <t>353320, Краснодарский край, м.р-н Абинский, г.п. Абинское, г Абинск, ул Мира, д. 7Б, стр. 1</t>
  </si>
  <si>
    <t>129329, г. Москва, ул. Кольская, 1 стр. 1 этаж 3 пом. 1 К25</t>
  </si>
  <si>
    <t>117452, г. Москва, вн.тер.г. муниципальный округ Зюзино, б-р Черноморский, д. 17, к. 1, помещ. 5/3/5, офис 84</t>
  </si>
  <si>
    <t>652648, Кемеровская область - Кузбасс, м.о. Беловский, п Снежинский, ул Советская, д. 12</t>
  </si>
  <si>
    <t>628600, Ханты-Мансийский Автономный Округ - Югра, г. Нижневартовск, ул. Индустриальная, д. 95 стр. 1</t>
  </si>
  <si>
    <t>143002, Московская обл., г. Одинцово, ул. Западная, д. 13 этаж / офис 5/511</t>
  </si>
  <si>
    <t>194044, г. Санкт-Петербург, проспект Большой Сампсониевский, д. 4-6 литера А пом. 3-Н Ч. пом. 123 офис 301</t>
  </si>
  <si>
    <t>170100, Тверская обл., г. Тверь, ул. Новоторжская, д. 6</t>
  </si>
  <si>
    <t>142718, Московская обл., г. Видное, с. Булатниково, шоссе Симферопольское, д. 3 каб. 401</t>
  </si>
  <si>
    <t>236006, Калининградская обл, г.о. город Калининград, г Калининград, б-р Солнечный, д. 25, помещ. Г/33</t>
  </si>
  <si>
    <t>123100, г. Москва, вн.тер.г. муниципальный округ Пресненский, наб Краснопресненская, д. 14, стр. 1, этаж 14, помещ. 512 (Бизнес-центр «Park Tower»)</t>
  </si>
  <si>
    <t>650066, Кемеровская область - Кузбасс, г. Кемерово, проспект Ленина, д. 90 к. 5 офис 84</t>
  </si>
  <si>
    <t>115432, г. Москва, проезд 2-Й Южнопортовый, д. 12А к. 1 стр. 6</t>
  </si>
  <si>
    <t>663282, Красноярский кр., Северо-Енисейский район, пос. Северо-Енисейский, ул. Набережная, д. 1 корп. (АБК)</t>
  </si>
  <si>
    <t>121096, г. Москва, вн.тер.г. муниципальный округ Филевский парк, ул Василисы Кожиной, д. 1, к. 1, кабинет 611, ЭТАЖ 6</t>
  </si>
  <si>
    <t>196210, г. Санкт-Петербург, ул. Пилотов, д. 35</t>
  </si>
  <si>
    <t>627111, Тюменская обл, г.о. Заводоуковский, тер. автодорога Тюмень-Ялуторовск-Ишим-Омск, км 118-й, зд. 1</t>
  </si>
  <si>
    <t>125371, г. Москва, проезд 3-Й Тушинский, д. 2</t>
  </si>
  <si>
    <t>141281, Московская обл., г. Ивантеевка, ул. Железнодорожная, д. 1</t>
  </si>
  <si>
    <t>238340, Калининградская обл., г. Светлый, ул. Гагарина, д. 65 офис 420</t>
  </si>
  <si>
    <t>238340, Калининградская обл., г. Светлый, ул. Гагарина, д. 75 офис I-23</t>
  </si>
  <si>
    <t>108824, г. Москва, вн.тер.г. поселение Рязановское, ш Остафьевское, д. 12, к. 1, помещ. 1Н</t>
  </si>
  <si>
    <t>121151, г. Москва, ул. Можайский Вал, д. 8 этаж 9 каб. 9.15 (Многофункциональный комплекс «Atlantic»)</t>
  </si>
  <si>
    <t>125364, г. Москва, ул. Свободы, д. 50 стр. 3</t>
  </si>
  <si>
    <t>121609, г. Москва, бульвар Осенний, д. 23 (Бизнес-центр «Крылатский»)</t>
  </si>
  <si>
    <t>115035, г. Москва, набережная Овчинниковская, д. 20 стр. 1 этаж 12 офис 37 (Бизнес-центр «Central City Tower»)</t>
  </si>
  <si>
    <t>121170, г. Москва, проспект Кутузовский, д. 36 стр. 3 офис 315Б (Бизнес-парк "Завод Казакова")</t>
  </si>
  <si>
    <t>662265, Красноярский кр., Ужурский район, с. Солгон, ул. Харченко, д. ЗД. 5</t>
  </si>
  <si>
    <t>115114, г. Москва, вн.тер.г. муниципальный округ Даниловский, наб Дербеневская, д. 7, стр. 16 (Бизнес-квартал «Новоспасский строение 16»)</t>
  </si>
  <si>
    <t>664025, Иркутская обл., г. Иркутск, ул. Чкалова, стр. 15</t>
  </si>
  <si>
    <t>214000, Смоленская обл, г.о. город Смоленск, г Смоленск, ул Студенческая, д. 7, офис 3</t>
  </si>
  <si>
    <t>125284, г. Москва, шоссе Хорошёвское, д. 32А Э/ пом. / ком. 7/XXXI/1-14 (Бизнес-центр "Солид-Кама")</t>
  </si>
  <si>
    <t>618548, Пермский кр., г. Соликамск, ул. Коммунистическая, д. 21</t>
  </si>
  <si>
    <t>423601, Татарстан респ., Елабужский район, ул. Ш-2 (Оэз Алабуга Тер.) к. 1/1</t>
  </si>
  <si>
    <t>141532, Московская обл., г. Солнечногорск, д. Радумля, микрорайон Механического Завода №1 стр. 20/1 этаж 3 пом. 31,32</t>
  </si>
  <si>
    <t>460035, Оренбургская обл, г.о. город Оренбург, г Оренбург, ул Пролетарская, д. 247/2, офис №501</t>
  </si>
  <si>
    <t>356100, Ставропольский край, г.о. Изобильненский, ст-ца Новотроицкая, тер Новотроицкая, стр. 06/093601/37</t>
  </si>
  <si>
    <t>121108, г. Москва, ул. Герасима Курина, д. 10 к. 1 пом. I каб. 308</t>
  </si>
  <si>
    <t>186130, Карелия респ., Пряжинский район, пос. Чална, ул. Первомайская, д. 11А</t>
  </si>
  <si>
    <t>620133, Свердловская обл, г.о. город Екатеринбург, г Екатеринбург, ул Луначарского, соор. 31, этаж 5, ком. 514</t>
  </si>
  <si>
    <t>617560, Пермский кр., Суксунский район, рабочий пос. Суксун, ул. Колхозная, д. 1</t>
  </si>
  <si>
    <t>117405, г. Москва, вн.тер.г. муниципальный округ Чертаново Южное, ш Варшавское, д. 170Б, стр. 4, этаж 2, помещ. 2, КОМН 10Б</t>
  </si>
  <si>
    <t>123103, г. Москва, проезд Карамышевский, д. 6 (Бизнес-центр «Серебряный Дом»)</t>
  </si>
  <si>
    <t>680539, Хабаровский кр., Хабаровский район, с. Мирное, пер. Солнечный, д. 6 офис 100</t>
  </si>
  <si>
    <t>216470, Смоленская обл., Починковский район, пос. Стодолище, ул. Советская, д. 124 пом. 11</t>
  </si>
  <si>
    <t>603003, Нижегородская обл., г. Нижний Новгород, ул. Базарная, д. 10</t>
  </si>
  <si>
    <t>461900, Оренбургская обл., г. Сорочинск, ул. Староэлеваторская, д. 4</t>
  </si>
  <si>
    <t>117420, г. Москва, вн.тер.г. муниципальный округ Черемушки, ул Намёткина, д. 11, этаж 1/ПОМЕЩ. I, ком. 21/ОФИС 1</t>
  </si>
  <si>
    <t>456656, Челябинская обл., г. Копейск, ул. Космонавтов, д. 26</t>
  </si>
  <si>
    <t>142400, Московская обл, Ногинск г, г.о. Богородский, тер Ногинск-Технопарк, д. 16, помещ. 4</t>
  </si>
  <si>
    <t>127473, г. Москва, вн.тер.г. муниципальный округ Тверской, ул Селезневская, д. 11Б, помещ. ЭТАЖ 4 ПОМ. 2, ком. 4-6</t>
  </si>
  <si>
    <t>680011, Хабаровский кр., г. Хабаровск, ул. Джамбула, д. 80/1 пом. 16</t>
  </si>
  <si>
    <t>119021, г. Москва, вн.тер.г. муниципальный округ Хамовники, ул Льва Толстого, д. 5, стр. 1, этаж 3, ПОМЕЩ. 1, КОМ. 11 (А-304) (Бизнес-центр «Льва Толстого 5»)</t>
  </si>
  <si>
    <t>119121, г. Москва, вн.тер.г. муниципальный округ Хамовники, ул Бурденко, д. 14, к. А, этаж 6, ПОМЕЩ. № 1, КАБИНЕТ 9</t>
  </si>
  <si>
    <t>119021, г. Москва, вн.тер.г. муниципальный округ Хамовники, ул Льва Толстого, д. 5, стр. 1, этаж 3, ПОМЕЩ. 1, КОМ. №2, 2А (А-311) (Бизнес-центр «Льва Толстого 5»)</t>
  </si>
  <si>
    <t>354340, Краснодарский край, ф.т. Сириус, пгт. Сириус, ул Чемпионов, д. 3, офис 230</t>
  </si>
  <si>
    <t>119619, г. Москва, ул. 6-Я Новые Сады, д. 2 ЦОКОЛЬ; пом. I; ком. 1-3</t>
  </si>
  <si>
    <t>155120, Ивановская обл., Лежневский район, тер. Севернее Д. Гулиха (Административное Здание), уч. 2</t>
  </si>
  <si>
    <t>119136, г. Москва, проезд 3-Й Сетуньский, д. 10</t>
  </si>
  <si>
    <t>630099, Новосибирская обл., г. Новосибирск, ул. Фрунзе, д. 80 офис 426-427 (Бизнес-центр «На Фрунзе»)</t>
  </si>
  <si>
    <t>353370, Краснодарский кр., Крымский район, станица Варениковская, ул. Леваневского, д. 100</t>
  </si>
  <si>
    <t>432026, Ульяновская обл., г. Ульяновск, шоссе Московское, д. 3 офис 216</t>
  </si>
  <si>
    <t>456618, Челябинская обл., г. Копейск, ул. Полевая, д. 44</t>
  </si>
  <si>
    <t>249000, Калужская обл., Боровский район, г. Балабаново, пл. 50 Лет Октября, д. 3</t>
  </si>
  <si>
    <t>117452, г. Москва, бульвар Симферопольский, д. 29 к. 8</t>
  </si>
  <si>
    <t>107031, г. Москва, ул. Кузнецкий Мост, д. 21/5 ком. 129А (Бизнес-центр на Ул. Кузнецкий Мост, 21/5)</t>
  </si>
  <si>
    <t>119002, г. Москва, вн.тер.г. муниципальный округ Арбат, ул Арбат, д. 36/2, стр. 6, помещ. 2/1</t>
  </si>
  <si>
    <t>195248, г. Санкт-Петербург, проспект Ириновский, д. 2 литера Л пом. № 119/Е</t>
  </si>
  <si>
    <t>129085, г. Москва, ул. Годовикова, д. 9 стр. 16 ПОД 16.1 этаж 2 пом. 2.3</t>
  </si>
  <si>
    <t>143405, Московская обл., г. Красногорск, туп. Ильинский, д. 6</t>
  </si>
  <si>
    <t>115093, г. Москва, ул. Большая Серпуховская, д. 36 этаж 1 пом. I ком. 3</t>
  </si>
  <si>
    <t>675028, Амурская обл., г. Благовещенск, ул. Промышленная, д. 7</t>
  </si>
  <si>
    <t>119049, г. Москва, пер. 4-Й Добрынинский, д. 8 этаж Т1 пом. I ком. 7,8</t>
  </si>
  <si>
    <t>117452, г. Москва, проспект Балаклавский, д. 26</t>
  </si>
  <si>
    <t>117638, г. Москва, ул. Криворожская, д. 21 к. 3 этаж 2 пом. 3 ком. 1-10</t>
  </si>
  <si>
    <t>445005, Самарская обл., г. Тольятти, ул. Новозаводская, д. 6</t>
  </si>
  <si>
    <t>628684, Ханты-Мансийский Автономный Округ - Югра, г. Мегион, ул. Западная, д. 31 к. 18</t>
  </si>
  <si>
    <t>109518, г. Москва, проезд 1-Й Грайвороновский, д. 20 стр. 36 офис 507</t>
  </si>
  <si>
    <t>453477, Башкортостан респ., Аургазинский район, с. Староабсалямово, ул. Ленина</t>
  </si>
  <si>
    <t>634006, Томская обл., г. Томск, ул. Пушкина, д. 59/1</t>
  </si>
  <si>
    <t>603058, Нижегородская обл., г. Нижний Новгород, ул. Героя Попова, д. 43В офис 15</t>
  </si>
  <si>
    <t>300036, Тульская обл., г. Тула, ул. Маршала Жукова, д. 5</t>
  </si>
  <si>
    <t>634003, Томская обл., г. Томск, проспект Комсомольский, д. 13Б (Торгово-развлекательный центр «Изумрудный город»)</t>
  </si>
  <si>
    <t>620073, Свердловская обл., г. Екатеринбург, ул. Родонитовая, д. 32 кв. 31</t>
  </si>
  <si>
    <t>420080, Татарстан респ., г. Казань, ул. Восстания, д. 49 офис 13</t>
  </si>
  <si>
    <t>692239, Приморский кр., г. Спасск-Дальний, ул. Цементная, д. 2</t>
  </si>
  <si>
    <t>191014, г. Санкт-Петербург, ул. Некрасова, д. 14А литера А пом. 22-Н №36</t>
  </si>
  <si>
    <t>197374, г. Санкт-Петербург, ул. Мебельная, д. 3 литера А</t>
  </si>
  <si>
    <t>190031, г. Санкт-Петербург, пер. Гривцова, д. 20 литера В</t>
  </si>
  <si>
    <t>199178, г. Санкт-Петербург, лн. 4-Я В.О., д. 65А офис 304Н</t>
  </si>
  <si>
    <t>117638, г. Москва, ул. Одесская, д. 2 этаж 12 ком. 12.02 (Бизнес-центр «Lotos»)</t>
  </si>
  <si>
    <t>410017, Саратовская обл., г. Саратов, ул. Белоглинская, д. 40</t>
  </si>
  <si>
    <t>628327, Ханты-Мансийский Автономный Округ - Югра, м.р-н Нефтеюганский, с.п. Салым, п Салым, ул Юбилейная, стр. 15</t>
  </si>
  <si>
    <t>390046, Рязанская обл., г. Рязань, ул. Маяковского, д. 1А стр. 2 пом. 100</t>
  </si>
  <si>
    <t>357551, Ставропольский край, г.о. город-курорт Пятигорск, п Свободы, ул 1-я Набережная, д. 40</t>
  </si>
  <si>
    <t>192236, г. Санкт-Петербург, ул. Софийская, д. 8 к. 1 пом. 14-Н, офис 7.07</t>
  </si>
  <si>
    <t>141201, Московская обл., г. Пушкино, ул. Новая, д. 16 пом. 219 этаж 2</t>
  </si>
  <si>
    <t>144010, Московская обл., г. Электросталь, ул. Ялагина, д. 3 помещения 10-14,16,17</t>
  </si>
  <si>
    <t>109089, г. Москва, ул. Угрешская, д. 2 стр. 57 (Бизнес-центр «IQ-Park строение 57»)</t>
  </si>
  <si>
    <t>620102, Свердловская обл., г. Екатеринбург, ул. Посадская, д. 3</t>
  </si>
  <si>
    <t>452740, Башкортостан респ., Благоварский район, с. Языково, ул. Молодежная, д. 104</t>
  </si>
  <si>
    <t>123112, г. Москва, вн.тер.г. муниципальный округ Пресненский, наб Пресненская, д. 8, стр. 1, этаж 10, помещ. IN КОМ 12 (Бизнес-центр «Многофункциональный комплекс Москва-Сити «Город Столиц»»)</t>
  </si>
  <si>
    <t>115201, г. Москва, пер. 1-Й Котляковский, д. 3</t>
  </si>
  <si>
    <t>125167, г. Москва, проспект Ленинградский, д. 37А к. 14</t>
  </si>
  <si>
    <t>119361, г. Москва, ул. Большая Очаковская, д. 2</t>
  </si>
  <si>
    <t>123056, г. Москва, ул. 2-Я Брестская, д. 29А этаж 4 пом. I ком. 3</t>
  </si>
  <si>
    <t>140011, Московская обл., г. Люберцы, шоссе Новорязанское, д. 7 пом. 11</t>
  </si>
  <si>
    <t>107497, г. Москва, вн.тер.г. муниципальный округ Гольяново, ул Амурская, д. 7, стр. 3</t>
  </si>
  <si>
    <t>620072, Свердловская обл., г. Екатеринбург, ул. 40-Летия Комсомола, д. 34 пом. 306</t>
  </si>
  <si>
    <t>143500, Московская обл., г. Истра, проезд Охотничий, д. 7 пом. 8/1</t>
  </si>
  <si>
    <t>195297, г. Санкт-Петербург, проспект Светлановский, д. 115 корп. 1, литера А пом. 25Н</t>
  </si>
  <si>
    <t>111033, г. Москва, ул. Золоторожский Вал, д. 11 стр. 20 этаж 3, пом. 34</t>
  </si>
  <si>
    <t>141802, Московская обл, Дмитров г, г.о. Дмитровский, ул Космонавтов, д. 52, часть помещ. 54</t>
  </si>
  <si>
    <t>119017, г. Москва, ул. Большая Ордынка, д. 44 стр. 2 ком. 2 этаж 2</t>
  </si>
  <si>
    <t>140011, Московская обл., г. Люберцы, шоссе Новорязанское, д. 7 пом. 38</t>
  </si>
  <si>
    <t>620026, Свердловская обл., г. Екатеринбург, ул. Розы Люксембург стр. 51 пом. 271</t>
  </si>
  <si>
    <t>443011, Самарская обл., г. Самара, ул. Ново-Садовая, д. 160 д стр. 1</t>
  </si>
  <si>
    <t>195271, г. Санкт-Петербург, проспект Кондратьевский, д. 62 к. 4 литера А пом. 4-Н, каб. 2</t>
  </si>
  <si>
    <t>188507, Ленинградская обл, м.р-н Ломоносовский, г.п. Аннинское, гп Новоселье, ул Невская, д. 4, помещ. 24Н, офис № 3</t>
  </si>
  <si>
    <t>117218, г. Москва, ул. Кржижановского, д. 15 к. 5 этаж 2 П V К 203 офис 1</t>
  </si>
  <si>
    <t>117218, г. Москва, ул. Кржижановского, д. 29 к. 1 этаж 3 пом. I ком. 37</t>
  </si>
  <si>
    <t>111020, г. Москва, ул. Боровая, д. 7 стр. 10 этаж / пом. / ком. 3/XII/11 офис 4А (Бизнес Центр )</t>
  </si>
  <si>
    <t>236023, Калининградская обл., г. Калининград, проспект Советский, д. 187 офис 16</t>
  </si>
  <si>
    <t>455044, Челябинская обл, г.о. Магнитогорский, г Магнитогорск, пр-кт Карла Маркса, д. 81, к. 1, кабинет 4</t>
  </si>
  <si>
    <t>192102, г. Санкт-Петербург, вн.тер.г. муниципальный округ Волковское, ул Бухарестская, д. 32, литера А, помещ. ЧАСТЬ 12-Н, ком. 14 (Торговый центр «ТРК «Континент» на Бухарестской»)</t>
  </si>
  <si>
    <t>127015, г. Москва, вн.тер.г. муниципальный округ Бутырский, ул Новодмитровская, д. 2, к. 1, этаж 6, помещ. XLV КОМ. 1Б</t>
  </si>
  <si>
    <t>121471, г. Москва, ул. Рябиновая, д. 26 стр. 2 ком. 2 (Бизнес-центр "West Plaza")</t>
  </si>
  <si>
    <t>119415, г. Москва, проспект Вернадского, д. 41 стр. 1 этаж 3 пом. 1 ком. 21 21А</t>
  </si>
  <si>
    <t>129626, г. Москва, вн.тер.г. муниципальный округ Алексеевский, пер Кулаков, д. 9, стр. 1, помещ. 20 (Бизнес-центр в Кулаковом Переулке, 9С1)</t>
  </si>
  <si>
    <t>105005, г. Москва, ул. Бауманская, д. 43/1 стр. 1 офис 528 пом. III</t>
  </si>
  <si>
    <t>117246, г. Москва, проезд Научный, д. 19 этаж 1 ком. 95 (Бизнес-центр «9 Acres»)</t>
  </si>
  <si>
    <t>115404, г. Москва, ул. 6-Я Радиальная, д. 28 стр. 11 каб. 1</t>
  </si>
  <si>
    <t>115280, г. Москва, ул. Ленинская Слобода, д. 19 этаж / ком. 1/41Х1-2 (Многофункциональный комплекс «Омега Плаза»)</t>
  </si>
  <si>
    <t>692760, Приморский кр., г. Артем, ул. Кирова, д. 33</t>
  </si>
  <si>
    <t>117393, г. Москва, вн.тер.г. муниципальный округ Ломоносовский, ул Академика Пилюгина, д. 22, помещ. XXVI, ком. 20 (Бизнес-центр «Алгоритм»)</t>
  </si>
  <si>
    <t>660015, Красноярский край, м.р-н Емельяновский, с.п. Солонцовский сельсовет, с/с Солонцовский, тер. Автодороги Байкал, стр. 13/4, офис 1</t>
  </si>
  <si>
    <t>125252, г. Москва, ул. Зорге, д. 28 к. 1 пом. IV ком. 1-16</t>
  </si>
  <si>
    <t>117342, г. Москва, ул. Профсоюзная, д. 65 к. 1 этаж 18 пом. XLIV ком. 5.01</t>
  </si>
  <si>
    <t>308012, Белгородская обл., г. Белгород, ул. Костюкова, д. 36 д этаж / пом. 5/10 (Бизнес-центр «Владимирский»)</t>
  </si>
  <si>
    <t>410036, Саратовская обл., г. Саратов, шоссе Ново-Астраханское, д. 75</t>
  </si>
  <si>
    <t>614064, Пермский кр., г. Пермь, ул. Героев Хасана, д. ЗД 45А</t>
  </si>
  <si>
    <t>620027, Свердловская обл., г. Екатеринбург, ул. Вокзальная, д. 12</t>
  </si>
  <si>
    <t>620066, Свердловская обл, г.о. город Екатеринбург, г Екатеринбург, ул Академическая, д. 18, офис 430</t>
  </si>
  <si>
    <t>107031, г. Москва, вн.тер.г. муниципальный округ Мещанский, ул Кузнецкий Мост, д. 21/5, этаж 6, помещ. I, КОМ.17-24 (Бизнес-центр на Ул. Кузнецкий Мост, 21/5)</t>
  </si>
  <si>
    <t>630112, Новосибирская обл., г. Новосибирск, проспект Дзержинского, д. 1/1 офис 73</t>
  </si>
  <si>
    <t>355037, Ставропольский кр., г. Ставрополь, ул. Доваторцев, д. 38А</t>
  </si>
  <si>
    <t>352192, Краснодарский кр., Гулькевичский район, г. Гулькевичи, ул. Олимпийская, д. 12 уч. 2 пом. 20</t>
  </si>
  <si>
    <t>174350, Новгородская обл., Окуловский район, тер. 2-Ой Км Автодороги Окуловка-Кулотино, д. 1 стр. 2 пом. 19</t>
  </si>
  <si>
    <t>174350, Новгородская обл., Окуловский район, тер. 2-Ой Км Автодороги Окуловка-Кулотино, д. 1 стр. 2 пом. 15</t>
  </si>
  <si>
    <t>423800, Татарстан респ., г. Набережные Челны, проезд Индустриальный, д. 33</t>
  </si>
  <si>
    <t>143409, Московская обл., г. Красногорск, ул. Светлая, д. 3А стр. 2</t>
  </si>
  <si>
    <t>141364, Московская обл., г. Сергиев Посад, д. Наугольное, д. 55</t>
  </si>
  <si>
    <t>121471, г. Москва, шоссе Можайское, д. 29 этаж 1 пом. VI К 39 офис 56</t>
  </si>
  <si>
    <t>125080, г. Москва, шоссе Волоколамское, д. 2 ком. 104 (Офисное здание)</t>
  </si>
  <si>
    <t>117420, г. Москва, ул. Намёткина, д. 6 к. 1</t>
  </si>
  <si>
    <t>160000, Вологодская обл., г. Вологда, ул. Зосимовская, д. 49</t>
  </si>
  <si>
    <t>346630, Ростовская обл., Семикаракорский район, г. Семикаракорск, ул. А.А.Араканцева, д. 33</t>
  </si>
  <si>
    <t>628624, Ханты-Мансийский Автономный Округ - Югра, г. Нижневартовск, ул. Ленина, д. 21 кв. 77</t>
  </si>
  <si>
    <t>117437, г. Москва, ул. Миклухо-Маклая, д. 18 к. 2 ком. 102</t>
  </si>
  <si>
    <t>352902, Краснодарский кр., г. Армавир, ул. Железнодорожная, д. 63/1</t>
  </si>
  <si>
    <t>309850, Белгородская обл., Алексеевский район, г. Алексеевка, ул. Заводская, д. 7</t>
  </si>
  <si>
    <t>123112, г. Москва, вн.тер.г. муниципальный округ Пресненский, наб Пресненская, д. 12, этаж 37, ОФИС 1 (Многофункциональный комплекс «Башня Федерация»)</t>
  </si>
  <si>
    <t>634015, Томская обл., г. Томск, ул. Айвазовского, д. 29</t>
  </si>
  <si>
    <t>192102, г. Санкт-Петербург, ул. Стрельбищенская, д. 12 литера А пом. 58-Н</t>
  </si>
  <si>
    <t>141336, Московская обл, г.о. Сергиево-Посадский, с Иудино, двлд. 5, ком. 38</t>
  </si>
  <si>
    <t>197374, г. Санкт-Петербург, ул. Оптиков, д. 4 корп. 2 литера А</t>
  </si>
  <si>
    <t>123022, г. Москва, вн.тер.г. муниципальный округ Пресненский, ул Большая Декабрьская, д. 3, стр. 2, эт/ком 2/5</t>
  </si>
  <si>
    <t>107061, г. Москва, вн.тер.г. муниципальный округ Преображенское, ул Хромова, д. 20, этаж 2, оф. 26 (Бизнес-центр )</t>
  </si>
  <si>
    <t>140500, Московская обл., г. Луховицы, ул. Пушкина стр. 403/32 офис 105</t>
  </si>
  <si>
    <t>117638, г. Москва, ул. Одесская, д. 2 этаж 12 ком. 12.33 (Бизнес-центр «Lotos»)</t>
  </si>
  <si>
    <t>109544, г. Москва, бульвар Энтузиастов, д. 2 этаж 26 (Деловой центр «Golden Gate»)</t>
  </si>
  <si>
    <t>678900, Саха /Якутия/ респ., Алданский у., г. Алдан, квартал 2-Й, д. 5</t>
  </si>
  <si>
    <t>394036, Воронежская обл., г. Воронеж, проспект Революции, д. 58</t>
  </si>
  <si>
    <t>141801, Московская обл., г. Дмитров, ул. Профессиональная, д. 177 к. 2 этаж /ПОМЕЩЕН 1/8</t>
  </si>
  <si>
    <t>115088, г. Москва, ул. Южнопортовая, д. 7А</t>
  </si>
  <si>
    <t>119415, г. Москва, проспект Вернадского, д. 53 (Бизнес-центр «Дружба»)</t>
  </si>
  <si>
    <t>125284, г. Москва, проспект Ленинградский, д. 31А стр. 1 этаж 9</t>
  </si>
  <si>
    <t>443079, Самарская обл., г. Самара, ул. Гагарина, д. 22</t>
  </si>
  <si>
    <t>142116, Московская обл, г.о. Подольск, п Сельхозтехника, ш Домодедовское, д. 51, стр. 1, помещ. 57</t>
  </si>
  <si>
    <t>119530, г. Москва, шоссе Очаковское, д. 18 стр. 6</t>
  </si>
  <si>
    <t>420107, Татарстан респ., г. Казань, ул. Островского, д. 84 офис 421 (Бизнес-центр на Ул. Островского, 84)</t>
  </si>
  <si>
    <t>117556, г. Москва, шоссе Варшавское, д. 79 к. 2 этаж 5 пом. 8 ком. 1 ( часть )</t>
  </si>
  <si>
    <t>123112, г. Москва, вн.тер.г. муниципальный округ Пресненский, проезд 1-й Красногвардейский, д. 22, стр. 2, ком./этаж 112/1, ч. помещ. В116.1</t>
  </si>
  <si>
    <t>195271, г. Санкт-Петербург, проспект Кондратьевский, д. 62 к. 4 литера А</t>
  </si>
  <si>
    <t>420012, Татарстан Респ, г.о. город Казань, г Казань, ул Волкова, д. 59, помещ. 41</t>
  </si>
  <si>
    <t>391190, Рязанская Область обл., Старожиловский район, рабочий пос. Старожилово, ул. Железнодорожная, д. 18 к. А офис НЕТ</t>
  </si>
  <si>
    <t>355041, Ставропольский край, г.о. город Ставрополь, г Ставрополь, ул Лермонтова, д. 300</t>
  </si>
  <si>
    <t>355037, Ставропольский край, г.о. город Ставрополь, г Ставрополь, ул Доваторцев, д. 35А</t>
  </si>
  <si>
    <t>356884, Ставропольский кр., Нефтекумский район, г. Нефтекумск, ул. 50 Лет Пионерии, д. 5</t>
  </si>
  <si>
    <t>356145, Ставропольский кр., Изобильненский район, г. Изобильный, ул. Бонивура, д. 11</t>
  </si>
  <si>
    <t>356240, Ставропольский край, м.о. Шпаковский, г Михайловск, ул Бройлерная, зд. 13</t>
  </si>
  <si>
    <t>356236, Ставропольский кр., Шпаковский район, с. Верхнерусское, ззд. Тупиковый, д. 4</t>
  </si>
  <si>
    <t>357633, Ставропольский кр., г. Ессентуки, ул. Большевистская, д. 59А</t>
  </si>
  <si>
    <t>124498, г. Москва, г. Зеленоград, проспект Георгиевский, д. 5 ТЕХ. этаж 5 пом. I ком. 36-47</t>
  </si>
  <si>
    <t>344103, Ростовская обл., г. Ростов-На-Дону, ул. Доватора, д. 191/30</t>
  </si>
  <si>
    <t>191023, г. Санкт-Петербург, набережная Реки Фонтанки, д. 59 литера А пом. , офис 6-Н,303</t>
  </si>
  <si>
    <t>690065, Приморский кр., г. Владивосток, ул. Стрельникова, д. 3 офис 13В</t>
  </si>
  <si>
    <t>625000, Тюменская обл., г. Тюмень, ул. Герцена, д. 53 этаж 4 пом. 31</t>
  </si>
  <si>
    <t>115093, г. Москва, ул. Большая Серпуховская, д. 14/13 стр. 1 ком. 14</t>
  </si>
  <si>
    <t>455037, Челябинская обл., г. Магнитогорск, проспект Ленина, д. 89 офис 611</t>
  </si>
  <si>
    <t>141407, Московская обл, г.о. Химки, г Химки, ул Панфилова, влд. 21, стр. 1, этаж 20, помещ. 20 (Деловой центр «Кантри Парк Кантри Парк III»)</t>
  </si>
  <si>
    <t>125040, г. Москва, ул. Скаковая, д. 17 стр. 3 этаж ЦОКОЛЬНЫЙ ком. 23</t>
  </si>
  <si>
    <t>121170, г. Москва, вн.тер.г. муниципальный округ Дорогомилово, пр-кт Кутузовский, д. 36, стр. 6, помещ. 1/4 (Специализированный торговый центр «Азбука вкуса»)</t>
  </si>
  <si>
    <t>127055, г. Москва, вн.тер.г. муниципальный округ Тверской, ул Лесная, д. 43, этаж 4, помещ. I - КОМНАТА 46 (Офисное здание «Офисы на Лесной»)</t>
  </si>
  <si>
    <t>353560, Краснодарский кр., Славянский район, г. Славянск-На-Кубани, ул. Юных Коммунаров, д. 62</t>
  </si>
  <si>
    <t>607222, Нижегородская обл., г. Арзамас, ул. Казанская, д. 4 к. 1</t>
  </si>
  <si>
    <t>121151, г. Москва, ул. Можайский Вал, д. 8Б этаж / ком. 4/11 (Бизнес-центр «Fortune House»)</t>
  </si>
  <si>
    <t>107023, г. Москва, ул. Большая Семёновская, д. 40 стр. 13 этаж 03 пом. 304</t>
  </si>
  <si>
    <t>140080, Московская обл., г. Лыткарино, тер. Промзона Тураево к. 13</t>
  </si>
  <si>
    <t>191186, г. Санкт-Петербург, набережная Реки Мойки, д. 7 литера А пом. 1Н, офис 719</t>
  </si>
  <si>
    <t>600009, Владимирская обл., г. Владимир, ул. Полины Осипенко, д. 41 офис 210</t>
  </si>
  <si>
    <t>117342, г. Москва, ул. Бутлерова, д. 17Б Э/ пом. /К/ офис 2/XI/60Ж/6 (Бизнес-центр «Fresh»)</t>
  </si>
  <si>
    <t>620131, Свердловская обл., г. Екатеринбург, ул. Металлургов, д. 84 пом. 26 (Специализированный торговый центр «Специализированный ТЦ»)</t>
  </si>
  <si>
    <t>143906, Московская обл., г. Балашиха, ул. Кольцевая (Янтарный Мкр.), д. 3 к. 3 пом. 7,8,9,V,VI</t>
  </si>
  <si>
    <t>141580, Московская обл., г. Химки, д. Пикино, ул. Транспортная, уч. 1 стр. 1 этаж / ком. 1/1.12</t>
  </si>
  <si>
    <t>108814, г. Москва, вн.тер.г. поселение Сосенское, км Калужское шоссе 24-й (п Сосенское), д. 1, стр. 1, помещ. 6H/7 (Бизнес-центр «Высота»)</t>
  </si>
  <si>
    <t>660064, Красноярский кр., г. Красноярск, ул. Капитанская, д. 12 кв. 157</t>
  </si>
  <si>
    <t>191144, г. Санкт-Петербург, вн.тер.г. муниципальный округ Смольнинское, ул Моисеенко, д. 41, литера Б, помещ. №4, ЭТАЖ 2, ОФИС 1</t>
  </si>
  <si>
    <t>654038, Кемеровская область - Кузбасс, г. Новокузнецк, шоссе Есауловское (Заводской Р-Н), д. 11</t>
  </si>
  <si>
    <t>119330, г. Москва, проспект Университетский, д. 12 (Бизнес-центр «Воробьевский»)</t>
  </si>
  <si>
    <t>167026, Коми респ., г. Сыктывкар, проспект Бумажников, д. 4</t>
  </si>
  <si>
    <t>142542, Московская обл., г. Павловский Посад, д. Кузнецы, ул. Новая, д. 1/1 офис 4</t>
  </si>
  <si>
    <t>690014, Приморский край, г.о. Владивостокский, г Владивосток, ул Огарева, д. 5</t>
  </si>
  <si>
    <t>236006, Калининградская обл, г.о. город Калининград, г Калининград, ул Октябрьская, д. 8, офис 307 (Офисное здание «Рыбная биржа»)</t>
  </si>
  <si>
    <t>123290, г. Москва, вн.тер.г. муниципальный округ Хорошевский, туп 1-й Магистральный, д. 5А, блок/этаж/офис С/2/203</t>
  </si>
  <si>
    <t>650066, Кемеровская область - Кузбасс, г. Кемерово, проспект Октябрьский, д. 2 неж. пом. 1, этаж 4</t>
  </si>
  <si>
    <t>188510, Ленинградская обл, м.р-н Ломоносовский, г.п. Виллозское, тер Южная часть промзоны Горелово, ул Сименса, д. 1</t>
  </si>
  <si>
    <t>192249, г. Санкт-Петербург, ул. Софийская, д. 59 к. 2 стр. 1 пом. 44</t>
  </si>
  <si>
    <t>194044, г. Санкт-Петербург, ул. Гельсингфорсская, д. 4 к. 1, литера В пом. 15Н, офис 37</t>
  </si>
  <si>
    <t>121087, г. Москва, проезд Береговой, д. 5А к. 1 этаж 6 пом. IV</t>
  </si>
  <si>
    <t>453149, Башкортостан респ., Стерлитамакский район, с. Большой Куганак, ул. Мажита Гафури, д. 24</t>
  </si>
  <si>
    <t>623388, Свердловская обл., г. Полевской, ул. Вершинина, д. 7</t>
  </si>
  <si>
    <t>127055, г. Москва, вн.тер.г. муниципальный округ Тверской, ул Бутырский Вал, д. 68/70, стр. 1, офис 54 (Бизнес-центр «BakerPlaza»)</t>
  </si>
  <si>
    <t>121471, г. Москва, вн.тер.г. муниципальный округ Очаково-Матвеевское, ул Рябиновая, д. 26, стр. 10, этаж/помещ. 2/2-34</t>
  </si>
  <si>
    <t>141055, Московская обл., г. Лобня, ул. Лейтенанта Бойко, д. 104А ЦЕХ 8 этаж 1 пом. 5</t>
  </si>
  <si>
    <t>111024, г. Москва, ул. Душинская, д. 7 стр. 1 офис этаж / пом. 4/420 (Бизнес-центр )</t>
  </si>
  <si>
    <t>124482, г. Москва, г. Зеленоград, проезд Савёлкинский, д. 4 офис 2611</t>
  </si>
  <si>
    <t>196142, г. Санкт-Петербург, вн.тер.г. муниципальный округ Звездное, ул Пулковская, д. 8, к. 1, литера А, кв. 311</t>
  </si>
  <si>
    <t>109341, г. Москва, ул. Люблинская, д. 151 пом. 232 (Бизнес-центр "Марьино")</t>
  </si>
  <si>
    <t>125315, г. Москва, вн.тер.г. муниципальный округ Аэропорт, пр-кт Ленинградский, д. 72, к. 2, помещ. VIII, ком. 8</t>
  </si>
  <si>
    <t>400075, Волгоградская обл., г. Волгоград, рабочий пос. Гумрак, ул. Моторная (Рабочий Поселок Гумрак Тер.), д. 9Г офис 203</t>
  </si>
  <si>
    <t>193079, г. Санкт-Петербург, вн.тер.г. муниципальный округ Народный, наб Октябрьская, д. 104, к. 25, литера АЖ, помещ. 3-Н, ком. 1-12</t>
  </si>
  <si>
    <t>644083, Омская обл, г.о. город Омск, г Омск, ул Химиков, д. 56, помещ 7</t>
  </si>
  <si>
    <t>117393, г. Москва, ул. Академика Пилюгина, д. 24</t>
  </si>
  <si>
    <t>690003, Приморский край, г.о. Владивостокский, г Владивосток, ул Станюковича, д. 46, этаж 5, помещ. 25</t>
  </si>
  <si>
    <t>450022, Башкортостан респ., г. Уфа, ул. Степана Злобина, д. 13 каб. 19</t>
  </si>
  <si>
    <t>117405, г. Москва, ул. Кирпичные Выемки, владение 7 стр. 1 ком. 18</t>
  </si>
  <si>
    <t>196105, г. Санкт-Петербург, проспект Юрия Гагарина, д. 1 литера А офис 708</t>
  </si>
  <si>
    <t>630087, Новосибирская обл., г. Новосибирск, проспект Карла Маркса, д. 30/1 офис 601 (Бизнес-центр на Проспекте Карла Маркса, 30/1)</t>
  </si>
  <si>
    <t>196210, г. Санкт-Петербург, ул. Стартовая, д. 8 литера А</t>
  </si>
  <si>
    <t>143420, Московская обл., г. Красногорск, д. Михалково, дор. Балтия, д. 25 км. ТСК литера 1Б1 этаж ЦОКПОМ1 ком. 123</t>
  </si>
  <si>
    <t>123610, г. Москва, набережная Краснопресненская, д. 12 офис 1001 (Бизнес-центр «Центр Международной Торговли»)</t>
  </si>
  <si>
    <t>117393, г. Москва, ул. Гарибальди, д. 26 к. 5 этаж 1 пом. I</t>
  </si>
  <si>
    <t>125239, г. Москва, проезд Черепановых, д. 6 стр. 1</t>
  </si>
  <si>
    <t>127238, г. Москва, проезд 3-Й Нижнелихоборский, д. 1А стр. 6 этаж №2 , ком. 25Б</t>
  </si>
  <si>
    <t>353733, Краснодарский край, м.р-н Каневской, с.п. Каневское, ст-ца Каневская, ул Ленина, д. 136, ком. 5/1</t>
  </si>
  <si>
    <t>117485, г. Москва, ул. Профсоюзная, д. 88/20 этаж А1 пом. I ком. 35</t>
  </si>
  <si>
    <t>197198, г. Санкт-Петербург, вн.тер.г. муниципальный округ округ Петровский, пр-кт Большой П.С., д. 18, литера А, помещ. 18-Н, ком. 1-11</t>
  </si>
  <si>
    <t>143002, Московская обл., г. Одинцово, с. Акулово, ул. Новая, д. 120 стр. 1 офис 530</t>
  </si>
  <si>
    <t>123056, г. Москва, пер. Малый Тишинский, д. 14-16</t>
  </si>
  <si>
    <t>127486, г. Москва, вн.тер.г. муниципальный округ Западное Дегунино, ул Дегунинская, д. 7, помещ. 3Н, этаж 1, 2</t>
  </si>
  <si>
    <t>143500, Московская обл., г. Истра, ул. 25 Лет Октября, д. 9 кв. 124-125-126</t>
  </si>
  <si>
    <t>183038, Мурманская обл., г. Мурманск, ул. Шмидта, д. 43 пом. XIII, офис 211, этаж 2</t>
  </si>
  <si>
    <t>115432, г. Москва, проезд Проектируемый 4062-Й, д. 6 стр. 2 ком. 22 (Бизнес-парк «PortPlaza строение 2»)</t>
  </si>
  <si>
    <t>170028, Тверская обл., г. Тверь, ул. Коминтерна, д. 48</t>
  </si>
  <si>
    <t>191040, г. Санкт-Петербург, проспект Лиговский, д. 30 литера А (Торгово-развлекательный центр «Galeria (Галерея)»)</t>
  </si>
  <si>
    <t>109651, г. Москва, ул. Иловайская, д. 10А</t>
  </si>
  <si>
    <t>119435, г. Москва, ул. Малая Пироговская, д. 3 этаж 2 пом. I ком. 8</t>
  </si>
  <si>
    <t>350075, Краснодарский кр., г. Краснодар, ул. Полтавская, д. 77</t>
  </si>
  <si>
    <t>107045, г. Москва, вн.тер.г. муниципальный округ Красносельский, пер Рыбников, д. 4, этаж/помещ./ком. 1/VIII/10</t>
  </si>
  <si>
    <t>625032, Тюменская обл., г. Тюмень, ул. Панфиловцев, д. 86 офис 201</t>
  </si>
  <si>
    <t>625019, Тюменская обл, г.о. город Тюмень, г Тюмень, ул 50 лет Октября, д. 109, к. 4, офис 12</t>
  </si>
  <si>
    <t>127018, г. Москва, вн.тер.г. муниципальный округ Марьина роща, ул Полковая, д. 3, стр. 2, помещ. 1В/6</t>
  </si>
  <si>
    <t>107023, г. Москва, вн.тер.г. муниципальный округ Преображенское, ул Малая Семёновская, д. 9, стр. 8, помещ. V, ком. 3-4 ЭТАЖ А2</t>
  </si>
  <si>
    <t>188640, Ленинградская обл, м.р-н Всеволожский, г.п. Всеволожское, г Всеволожск, пр-кт Всеволожский, д. 14А, помещ. 2 ОФИС №07</t>
  </si>
  <si>
    <t>107023, г. Москва, вн.тер.г. муниципальный округ Соколиная гора, пер Медовый, д. 5, стр. 1, этаж ТЕХ.1, ком. 11В,11Г,11Д (Бизнес-центр «Улей Плаза»)</t>
  </si>
  <si>
    <t>420107, Татарстан Респ, г.о. город Казань, г Казань, ул Петербургская, зд. 40Б, помещ. 1003 (Бизнес-центр на Ул. Петербургская, 40Б)</t>
  </si>
  <si>
    <t>143442, Московская обл., г. Красногорск, пос. Отрадное, ул. Клубная, д. 5 пом. / офис I/105</t>
  </si>
  <si>
    <t>454080, Челябинская обл., г. Челябинск, проспект Ленина, д. 71 пом. 23</t>
  </si>
  <si>
    <t>191123, г. Санкт-Петербург, ул. Радищева, д. 39 литера В Ч. пом. / ком. 1-Н/15 (Бизнес-центр на Ул. Радищева, 39В)</t>
  </si>
  <si>
    <t>184682, Мурманская обл., г. Снежногорск, ул. Павла Стеблина, д. 45</t>
  </si>
  <si>
    <t>680003, Хабаровский кр., г. Хабаровск, проспект 60-Летия Октября, д. 178Б</t>
  </si>
  <si>
    <t>127018, г. Москва, вн.тер.г. муниципальный округ Марьина роща, ул 2-я Ямская, д. 4, этаж 6, помещ. 22</t>
  </si>
  <si>
    <t>129090, г. Москва, туп. Спасский, д. 2 стр. 1 этаж 5 ком. 1-19</t>
  </si>
  <si>
    <t>117461, г. Москва, вн.тер.г. муниципальный округ Черемушки, ул Каховка, д. 20А (Бизнес-центр на Ул. Каховка, 20А)</t>
  </si>
  <si>
    <t>125315, г. Москва, проезд 2-Й Амбулаторный, д. 10 этаж 4 пом. 415</t>
  </si>
  <si>
    <t>347386, Ростовская обл., г. Волгодонск, ул. Маршала Кошевого, д. 56 кв. 110</t>
  </si>
  <si>
    <t>143403, Московская обл., г. Красногорск, ул. Лесная, д. 10</t>
  </si>
  <si>
    <t>121087, г. Москва, проезд Багратионовский, д. 12А стр. 4</t>
  </si>
  <si>
    <t>115054, г. Москва, вн.тер.г. муниципальный округ Замоскворечье, ул Дубининская, д. 17, стр. 13</t>
  </si>
  <si>
    <t>115054, г. Москва, вн.тер.г. муниципальный округ Замоскворечье, ул Дубининская, д. 17, стр. 13, помещ. 13</t>
  </si>
  <si>
    <t>129090, г. Москва, проспект Мира, д. 19 стр. 1 Э 1 пом. I К 6Б офис 16 (Бизнес-центр )</t>
  </si>
  <si>
    <t>195197, г. Санкт-Петербург, ул. Минеральная, д. 13 литера А пом. 10Н</t>
  </si>
  <si>
    <t>628404, Ханты-Мансийский Автономный Округ - Югра, г. Сургут, ул. Григория Кукуевицкого, д. 13 к. 1</t>
  </si>
  <si>
    <t>368530, Дагестан респ., Карабудахкентский район, с. Карабудахкент, ул. Заречная, д. 4</t>
  </si>
  <si>
    <t>454008, Челябинская обл., г. Челябинск, ул. Автодорожная, д. 6</t>
  </si>
  <si>
    <t>140050, Московская обл., г. Люберцы, пос. Красково, шоссе Егорьевское, д. 3</t>
  </si>
  <si>
    <t>117420, г. Москва, вн.тер.г. муниципальный округ Черемушки, ул Профсоюзная, д. 57, помещ. 1\2 (Бизнес-центр «Нииполиграфмаш»)</t>
  </si>
  <si>
    <t>109542, г. Москва, проспект Рязанский, д. 86/1 стр. 3 пом. 21А этаж 2 (Бизнес-центр «Apple Tower строение 3»)</t>
  </si>
  <si>
    <t>123557, г. Москва, вн.тер.г. муниципальный округ Пресненский, пер Электрический, д. 3/10, стр. 3, эт/пом/ком 5/5/2</t>
  </si>
  <si>
    <t>105187, г. Москва, ул. 1-Я Измайловского Зверинца, д. 19А стр. 12 пом. 1 ком. 9</t>
  </si>
  <si>
    <t>620075, Свердловская обл, г.о. город Екатеринбург, г Екатеринбург, пр-кт Ленина, д. 41, офис 45</t>
  </si>
  <si>
    <t>620100, Свердловская обл., г. Екатеринбург, тракт Сибирский стр. 12/3 офис 314 (Бизнес-парк «Деловой Квартал строение 3»)</t>
  </si>
  <si>
    <t>142001, Московская обл., г. Домодедово, ул. Каширское Шоссе (Северный Мкр.), д. 4 к. 1 пом. 2 (2 этаж )</t>
  </si>
  <si>
    <t>125367, г. Москва, вн.тер.г. муниципальный округ Покровское-Стрешнево, пр-д Полесский, д. 16, стр. 1, помещ. 6/1А (Бизнес-центр «Полесский»)</t>
  </si>
  <si>
    <t>364016, Чеченская Респ, г.о. город Грозный, г Грозный, р-н Байсангуровский, ул 8 Марта, д. 3, офис 1</t>
  </si>
  <si>
    <t>141076, Московская обл., г. Королёв, ул. Мичурина, д. 21"А" пом. VIII</t>
  </si>
  <si>
    <t>188330, Ленинградская обл., Гатчинский район, пос. Сиверский, тер. Промзона, д. Б/Н литера А пом. 54</t>
  </si>
  <si>
    <t>664074, Иркутская обл., г. Иркутск, ул. Леси Украинки, д. 35 кв. 101</t>
  </si>
  <si>
    <t>142701, Московская обл, г.о. Ленинский, г Видное, ул Завидная, д. 17, помещ./каб. 2/6-А</t>
  </si>
  <si>
    <t>129337, г. Москва, проезд Хибинский, д. 20 этаж 3 пом. 25 офис 307</t>
  </si>
  <si>
    <t>650055, Кемеровская область - Кузбасс, г. Кемерово, проспект Кузнецкий, д. 121</t>
  </si>
  <si>
    <t>109044, г. Москва, пер. Лавров, д. 6 стр. 1</t>
  </si>
  <si>
    <t>646800, Омская обл., пер. Дорожный, д. 1</t>
  </si>
  <si>
    <t>143960, Московская обл., г. Реутов, ул. Транспортная, д. 11 пом. 002</t>
  </si>
  <si>
    <t>141006, Московская обл., Мытищи г.о., г. Мытищи, ул. Сукромка, д. 22 пом. VI</t>
  </si>
  <si>
    <t>191119, г. Санкт-Петербург, вн.тер.г. муниципальный округ Владимирский округ, ул Воронежская, д. 5, литера А, офис 131, помещ. 11-Н</t>
  </si>
  <si>
    <t>117628, г. Москва, ул. Куликовская, д. 12 этаж 4 пом. VII ( ком. 3) офис 512А (Бизнес центр "Куликовский")</t>
  </si>
  <si>
    <t>121351, г. Москва, вн.тер.г. муниципальный округ Кунцево, ул Ивана Франко, д. 48</t>
  </si>
  <si>
    <t>308017, Белгородская обл., г. Белгород, ул. Княгини Волковой, д. 4 офис 411</t>
  </si>
  <si>
    <t>350005, Краснодарский край, г.о. город Краснодар, г Краснодар, ул Конгрессная, д. 31, офис 6, помещ. 9</t>
  </si>
  <si>
    <t>143050, Московская обл, г.о. Одинцовский, д Малые Вязёмы, ш Можайское, влд. 5, стр. 1, этаж 1, ком. 12</t>
  </si>
  <si>
    <t>188643, Ленинградская обл., Всеволожский район, г. Всеволожск, шоссе Колтушское, д. 298 офис 17</t>
  </si>
  <si>
    <t>121357, г. Москва, ул. Верейская, д. 29 стр. 134 этаж 5 ком. 1 (Бизнес-центр «Vereyskaya Plaza 3»)</t>
  </si>
  <si>
    <t>620144, Свердловская обл., г. Екатеринбург, ул. Сурикова, д. 53 офис 222</t>
  </si>
  <si>
    <t>125239, г. Москва, вн.тер.г. муниципальный округ Коптево, проезд Фармацевтический, д. 3, этаж 2, помещ. 2</t>
  </si>
  <si>
    <t>194044, г. Санкт-Петербург, пер. Зеленков, д. 7А литера Ж пом. 1Н</t>
  </si>
  <si>
    <t>107497, г. Москва, проезд 2-Й Иртышский, д. 2А стр. 3</t>
  </si>
  <si>
    <t>119435, г. Москва, вн.тер.г. муниципальный округ Хамовники, ул Малая Пироговская, д. 18, стр. 1, помещ. XI, ком. 15</t>
  </si>
  <si>
    <t>353924, Краснодарский кр., г. Новороссийск, ул. Котанова, д. 6 офис 402</t>
  </si>
  <si>
    <t>111394, г. Москва, ул. Перовская, д. 61/2 стр. 1 (Бизнес-центр)</t>
  </si>
  <si>
    <t>107140, г. Москва, вн.тер.г. муниципальный округ Красносельский, пл Комсомольская, д. 3/30, стр. 4, офис 429</t>
  </si>
  <si>
    <t>442227, Пензенская обл., Каменский район, ст. Студенец, ул. Станционная, д. 1</t>
  </si>
  <si>
    <t>142803, Московская обл., г. Ступино, ул. Фрунзе, владение 9/14</t>
  </si>
  <si>
    <t>195027, г. Санкт-Петербург, вн.тер.г. муниципальный округ Финляндский округ, пр-кт Пискарёвский, д. 2, к. 2, стр. 1, офис 731</t>
  </si>
  <si>
    <t>142200, Московская обл., г. Серпухов, пл. Ленина, д. 7</t>
  </si>
  <si>
    <t>142300, Московская обл., г. Чехов, ул. Офицерский Поселок, д. 51</t>
  </si>
  <si>
    <t>394026, Воронежская обл., г. Воронеж, проспект Московский, д. 7Е офис 1 (Бизнес-центр «Плаза»)</t>
  </si>
  <si>
    <t>603032, Нижегородская обл, г.о. город Нижний Новгород, г Нижний Новгород, ул Героя Советского Союза Сафронова, д. 5</t>
  </si>
  <si>
    <t>142100, Московская обл., г. Подольск, проспект Ленина, д. 144</t>
  </si>
  <si>
    <t>214013, Смоленская обл., г. Смоленск, ул. Черняховского, д. 4 кв. 1</t>
  </si>
  <si>
    <t>625023, Тюменская обл., г. Тюмень, ул. Одесская, д. 9 к. А</t>
  </si>
  <si>
    <t>117342, г. Москва, ул. Бутлерова, д. 17 этаж 1 ком. 123 (Торгово-офисный центр «Офисный центр Neo Geo»)</t>
  </si>
  <si>
    <t>634021, Томская обл., г. Томск, ул. Елизаровых, д. 79/1</t>
  </si>
  <si>
    <t>199178, г. Санкт-Петербург, набережная Реки Смоленки, д. 33 литера А пом. 132Н</t>
  </si>
  <si>
    <t>127018, г. Москва, ул. Полковая, д. 3 стр. 5 этаж Т пом. V ком. 1, 3-9 (Бизнес-парк «Шереметьевский строение 5»)</t>
  </si>
  <si>
    <t>117335, г. Москва, ул. Вавилова, д. 69/75 пом. I, ком. 7, офис 806 (Бизнес-центр «Дизайн Мода»)</t>
  </si>
  <si>
    <t>108814, г. Москва, Сосенское пос., пос. Коммунарка, ул. Фитарёвская, д. 13 стр. 1</t>
  </si>
  <si>
    <t>693012, Сахалинская обл., г. Южно-Сахалинск, ул. Украинская, д. 24</t>
  </si>
  <si>
    <t>107014, г. Москва, ул. Матросская Тишина, д. 1А стр. 1А</t>
  </si>
  <si>
    <t>197374, г. Санкт-Петербург, ул. Стародеревенская, д. 11 к. 2 литера А пом. 428 этаж 4</t>
  </si>
  <si>
    <t>105064, г. Москва, пер. Большой Казённый, д. 5</t>
  </si>
  <si>
    <t>400075, Волгоградская обл., г. Волгоград, проезд Дорожников, д. 5 ком. 21</t>
  </si>
  <si>
    <t>628611, Ханты-Мансийский Автономный Округ - Югра, г. Нижневартовск, ул. Нефтяников, д. 46 к. А</t>
  </si>
  <si>
    <t>117461, г. Москва, вн.тер.г. муниципальный округ Зюзино, ул Херсонская, д. 5, к. 2, эт./помещ. 1/I, ком./офис 3/М-06</t>
  </si>
  <si>
    <t>192012, г. Санкт-Петербург, вн.тер.г. муниципальный округ Обуховский, пр-кт Обуховской Обороны, д. 112, к. 2, литера И, этаж 2, помещ. 204</t>
  </si>
  <si>
    <t>115280, г. Москва, ул. Автозаводская, д. 21А этаж 2</t>
  </si>
  <si>
    <t>394040, Воронежская обл., г. Воронеж, ул. Латненская, д. 5 офис 1А</t>
  </si>
  <si>
    <t>623280, Свердловская обл., г. Ревда, ул. Среднеуральская, д. 1</t>
  </si>
  <si>
    <t>119017, г. Москва, вн.тер.г. муниципальный округ Якиманка, ул Большая Ордынка, д. 40, стр. 2, этаж 3, помещ. 1</t>
  </si>
  <si>
    <t>193149, Ленинградская обл., Всеволожский район, пос. Красная Заря, д. 15</t>
  </si>
  <si>
    <t>141304, Московская обл., г. Сергиев Посад, ул. Фабричная, д. 7 пом. 6, 10</t>
  </si>
  <si>
    <t>694910, Сахалинская обл., Углегорский район, пгт. Шахтерск, ул. Ленина, д. 16А</t>
  </si>
  <si>
    <t>628452, Ханты-Мансийский Автономный Округ - Югра, Сургутский район, пос. Солнечный, промзона Производственная База N 2, ПРОИЗВОДСТВЕННАЯ база №2</t>
  </si>
  <si>
    <t>685017, Магаданская обл., г. Магадан, проспект Карла Маркса, д. 19/17</t>
  </si>
  <si>
    <t>399059, Липецкая обл., Грязинский район, г. Грязи, ул. Хлебозаводская, д. 7</t>
  </si>
  <si>
    <t>162135, Вологодская обл., Сокольский район, г. Сокол, пл. Печаткина, д. 4 офис 1</t>
  </si>
  <si>
    <t>115054, г. Москва, ул. Дубининская, д. 53 стр. 7 (Бизнес-центр «Квартал Сити»)</t>
  </si>
  <si>
    <t>660049, Красноярский кр., г. Красноярск, ул. Ленина, д. 35 стр. 2</t>
  </si>
  <si>
    <t>652507, Кемеровская область - Кузбасс, г. Ленинск-Кузнецкий, ул. Васильева, д. 1</t>
  </si>
  <si>
    <t>655162, Хакасия респ., г. Черногорск, ул. Советская, д. 40</t>
  </si>
  <si>
    <t>625023, Тюменская обл., г. Тюмень, ул. Одесская, д. 27</t>
  </si>
  <si>
    <t>625019, Тюменская обл, г.о. город Тюмень, г Тюмень, ул Чекистов, д. 26</t>
  </si>
  <si>
    <t>197198, г. Санкт-Петербург, вн.тер.г. муниципальный округ округ Петровский, пр-кт Петровский, д. 26, литера Ч, офис 1</t>
  </si>
  <si>
    <t>301138, Тульская обл., Ленинский район, пос. Иншинский, д. 21 офис 19, 2 этаж</t>
  </si>
  <si>
    <t>196105, г. Санкт-Петербург, вн.тер.г. муниципальный округ Гагаринское, пр-кт Космонавтов, д. 11, литера Б, помещ. 76</t>
  </si>
  <si>
    <t>115583, г. Москва, шоссе Каширское, д. 65 корп. К 3 кв. 513</t>
  </si>
  <si>
    <t>197110, г. Санкт-Петербург, вн.тер.г. муниципальный округ Чкаловское, пр-кт Константиновский, д. 11, литера А, помещ. 1-Н № 93, офис 318</t>
  </si>
  <si>
    <t>167026, Коми респ., г. Сыктывкар, шоссе Ухтинское, стр. 66</t>
  </si>
  <si>
    <t>125009, г. Москва, вн.тер.г. муниципальный округ Арбат, пер Романов, д. 4, стр. 2, этаж 2, помещ. VI</t>
  </si>
  <si>
    <t>129085, г. Москва, проезд Ольминского, д. 3А стр. 3 офис 926 (Бизнес-центр в Ольминском Проезде, 3)</t>
  </si>
  <si>
    <t>350078, Краснодарский кр., г. Краснодар, ул. Им. Ивана Кияшко, д. 6 офис 43</t>
  </si>
  <si>
    <t>396702, Воронежская обл., Кантемировский район, с. Новомарковка, ул. Советская, д. 14</t>
  </si>
  <si>
    <t>107078, г. Москва, ул. Новорязанская, д. 18 стр. 13 этаж 3 пом. 9А</t>
  </si>
  <si>
    <t>634009, Томская обл., г. Томск, ул. Набережная Реки Томи, д. 29</t>
  </si>
  <si>
    <t>620066, Свердловская обл, г.о. город Екатеринбург, г Екатеринбург, ул Академическая, д. 18, офис 309</t>
  </si>
  <si>
    <t>243240, Брянская обл., г. Стародуб, ул. Краснооктябрьская, д. 115</t>
  </si>
  <si>
    <t>431655, Мордовия респ., Ичалковский район, с. Ичалки, ул. Мира, д. ЗД. 2</t>
  </si>
  <si>
    <t>353100, Краснодарский кр., Выселковский район, станица Выселки, пер. Полевой, д. 14</t>
  </si>
  <si>
    <t>127018, г. Москва, ул. Двинцев, д. 12 к. 1 этаж 6 пом. I ком. 15</t>
  </si>
  <si>
    <t>427961, Удмуртская респ., г. Сарапул, ул. Электрозаводская, д. 15</t>
  </si>
  <si>
    <t>190020, г. Санкт-Петербург, набережная Обводного Канала, д. 199-201 литера Ф пом. 409Н (Деловой квартал «Обводный двор корпус Ф»)</t>
  </si>
  <si>
    <t>123242, г. Москва, бульвар Новинский, д. 31 пом. 1,2 (Торгово-офисный центр «Новинский пассаж»)</t>
  </si>
  <si>
    <t>197342, г. Санкт-Петербург, вн.тер.г. муниципальный округ Ланское, наб Ушаковская, д. 3, к. 1, стр. 1, офис 509Б</t>
  </si>
  <si>
    <t>197342, г. Санкт-Петербург, набережная Ушаковская, д. 3 к. 1 стр. 1 офис 507</t>
  </si>
  <si>
    <t>197342, г. Санкт-Петербург, вн.тер.г. муниципальный округ Ланское, наб Ушаковская, д. 3, к. 1, стр. 1, офис 409</t>
  </si>
  <si>
    <t>197342, г. Санкт-Петербург, набережная Ушаковская, д. 3 к. 1 стр. 1 офис 714</t>
  </si>
  <si>
    <t>119619, г. Москва, проезд Новомещерский, д. 9 стр. 1 этаж 1 пом. V ком. 21</t>
  </si>
  <si>
    <t>121357, г. Москва, шоссе Можайское, д. 3/1 стр. 1</t>
  </si>
  <si>
    <t>123112, г. Москва, набережная Пресненская, д. 8 стр. 1 этаж / пом. / ком. 9/1/1 (Бизнес-центр «Многофункциональный комплекс Москва-Сити «Город Столиц»»)</t>
  </si>
  <si>
    <t>344116, Ростовская обл, г.о. город Ростов-на-Дону, г Ростов-на-Дону, ул Батуринская, д. 13/1, офис 1</t>
  </si>
  <si>
    <t>141006, Московская обл., г. Мытищи, шоссе Волковское, владение 15 стр. 1 офис 603</t>
  </si>
  <si>
    <t>107497, г. Москва, ул. Иркутская, д. 11 к. 1 Э 1 пом. 5 К 64 офис 2008</t>
  </si>
  <si>
    <t>111395, г. Москва, ул. Юности, д. 13 офис 221</t>
  </si>
  <si>
    <t>119180, г. Москва, вн.тер.г. муниципальный округ Якиманка, ул Большая Полянка, д. 51А/9, пом. 1/1, этаж 5, помещение i, комната 1</t>
  </si>
  <si>
    <t>115280, г. Москва, ул. Ленинская Слобода, д. 19 ком. 21В (Многофункциональный комплекс «Омега Плаза»)</t>
  </si>
  <si>
    <t>143080, Московская обл, г.о. Одинцовский, дп Лесной Городок, ул Энергетиков, д. 8, к. 3, помещ. 1</t>
  </si>
  <si>
    <t>423877, Татарстан Респ, м.р-н Тукаевский, с.п. Нижнесуыксинское, тер. Производственно-промышленный комплекс, ул Магистральная, д. 1, помещ. 23</t>
  </si>
  <si>
    <t>347905, Ростовская обл., г. Таганрог, ул. Заводская, д. 1</t>
  </si>
  <si>
    <t>423458, Татарстан респ., Альметьевский район, г. Альметьевск, ул. Производственная, д. 2 каб. 201</t>
  </si>
  <si>
    <t>420097, Татарстан Респ, г.о. город Казань, г Казань, ул Зинина, д. 10, офис 507</t>
  </si>
  <si>
    <t>142700, Московская обл., г. Видное, шоссе Белокаменное, д. 20 этаж / ком. 5/17</t>
  </si>
  <si>
    <t>647000, Красноярский кр., Таймырский Долгано-Ненецкий район, г. Дудинка, ул. Рабочая, д. 42</t>
  </si>
  <si>
    <t>664007, Иркутская обл, г.о. город Иркутск, г Иркутск, ул Декабрьских Событий, д. 125, офис 408</t>
  </si>
  <si>
    <t>119048, г. Москва, ул. Усачёва, д. 2 стр. 1 (Бизнес-центр «Фьюжн Парк»)</t>
  </si>
  <si>
    <t>115280, г. Москва, ул. Автозаводская, д. 11 этаж 4 пом. 27</t>
  </si>
  <si>
    <t>197348, г. Санкт-Петербург, ул. Генерала Хрулёва, д. 8 к. 4 стр. 1 каб. 1</t>
  </si>
  <si>
    <t>354340, Краснодарский кр., пгт. Сириус, проспект Олимпийский, д. 40</t>
  </si>
  <si>
    <t>675028, Амурская обл., г. Благовещенск, ул. Промышленная, д. 5/3</t>
  </si>
  <si>
    <t>623620, Свердловская обл., Талицкий район, пос. Троицкий, ул. Мира, д. 87</t>
  </si>
  <si>
    <t>127006, г. Москва, вн.тер.г. муниципальный округ Тверской, пер Оружейный, д. 41, этаж/помещение 5/5.06 (Многофункциональный комплекс «Оружейный»)</t>
  </si>
  <si>
    <t>628186, Ханты-Мансийский Автономный Округ - Югра, г. Нягань, ул. Лазарева, д. 30 к. 1</t>
  </si>
  <si>
    <t>129164, г. Москва, бульвар Ракетный, д. 16 этаж 6 П XXX К 32 офис 605 (Бизнес-центр "Алексеевская башня")</t>
  </si>
  <si>
    <t>392000, Тамбовская обл., г. Тамбов, ул. Студенецкая, д. 16А к. 1 пом. 16</t>
  </si>
  <si>
    <t>392000, Тамбовская обл., г. Тамбов, ул. Советская, д. 104/14</t>
  </si>
  <si>
    <t>, Тамбовская обл, м.р-н Жердевский, с.п. Бурнакский сельсовет, тер. Бурнакская, стр. 61Б</t>
  </si>
  <si>
    <t>393550, Тамбовская обл., Токаревский район, рабочий пос. Токаревка, ул. Трудовая, д. 2 этаж 2 ком. 9</t>
  </si>
  <si>
    <t>400105, Волгоградская обл., г. Волгоград, ул. Им. Маршала Еременко, д. 100</t>
  </si>
  <si>
    <t>141402, Московская обл, г.о. Химки, г Химки, ул Репина, д. 34, этаж 6, помещ. 623 (Бизнес-центр «Helios Country»)</t>
  </si>
  <si>
    <t>390017, Рязанская Область обл., г. Рязань, шоссе Ряжское, д. 20 литера Ф</t>
  </si>
  <si>
    <t>350002, Краснодарский кр., г. Краснодар, ул. Им. Леваневского, д. 185</t>
  </si>
  <si>
    <t>196641, г. Санкт-Петербург, пос. Металлострой, дор. На Металлострой, д. 5 к. 66 литера А офис СКЛ. 4</t>
  </si>
  <si>
    <t>107078, г. Москва, ул. Маши Порываевой, д. 34 этаж 21 пом. II ком. 1 (Бизнес-центр «Домников»)</t>
  </si>
  <si>
    <t>667001, Тыва респ., г. Кызыл, ул. Пушкина, д. 68</t>
  </si>
  <si>
    <t>111141, г. Москва, ул. Плеханова, д. 7 этаж / пом. / ком. 4/I/25 (Бизнес-центр «Плеханова 7»)</t>
  </si>
  <si>
    <t>115432, г. Москва, проспект Андропова, д. 18 к. 7</t>
  </si>
  <si>
    <t>141004, Московская обл., г. Мытищи, ул. Силикатная, владение 19А стр. 1, литера А2 офис 6, этаж 3</t>
  </si>
  <si>
    <t>446300, Самарская обл., г. Отрадный, промзона Промышленная Зона - 1, д. 1</t>
  </si>
  <si>
    <t>420012, Татарстан респ., г. Казань, ул. Достоевского, д. 18/75</t>
  </si>
  <si>
    <t>420108, Татарстан респ., г. Казань, ул. Портовая, д. 23 офис 9</t>
  </si>
  <si>
    <t>423450, Татарстан респ., Альметьевский район, г. Альметьевск, ул. Мусы Джалиля, д. 51</t>
  </si>
  <si>
    <t>423450, Татарстан респ., Альметьевский район, г. Альметьевск, ул. Маяковского, д. 116</t>
  </si>
  <si>
    <t>420087, Татарстан респ., г. Казань, ул. Карбышева, д. 5А</t>
  </si>
  <si>
    <t>423450, Татарстан респ., Альметьевский район, г. Альметьевск, ул. Полевая, д. 1А</t>
  </si>
  <si>
    <t>420087, Татарстан респ., г. Казань, ул. Родины, д. 20</t>
  </si>
  <si>
    <t>423458, Татарстан респ., Альметьевский район, г. Альметьевск, ул. Маяковского, д. 116</t>
  </si>
  <si>
    <t>423024, Татарстан респ., Нурлатский район, с. Мамыково</t>
  </si>
  <si>
    <t>423450, Татарстан респ., Альметьевский район, г. Альметьевск, ул. Ленина, д. 75</t>
  </si>
  <si>
    <t>196158, г. Санкт-Петербург, шоссе Пулковское, д. 32-А</t>
  </si>
  <si>
    <t>423458, Татарстан респ., Альметьевский район, г. Альметьевск, ул. Объездная, д. 5</t>
  </si>
  <si>
    <t>423931, Татарстан респ., Бавлинский район, г. Бавлы, ул. Промышленная, д. 28</t>
  </si>
  <si>
    <t>423462, Татарстан респ., Альметьевский район, г. Альметьевск, ул. Советская, д. 165А</t>
  </si>
  <si>
    <t>423464, Татарстан респ., Альметьевский район, г. Альметьевск, ул. Тухватуллина, д. 2А</t>
  </si>
  <si>
    <t>423800, Татарстан респ., г. Набережные Челны, ул. Профильная, д. 53</t>
  </si>
  <si>
    <t>420111, Татарстан респ., г. Казань, ул. Баумана, д. 44/8 (КРЦ "Родина")</t>
  </si>
  <si>
    <t>420061, Татарстан респ., г. Казань, ул. Николая Ершова, д. 57</t>
  </si>
  <si>
    <t>420021, Татарстан респ., г. Казань, ул. Нариманова, д. 63</t>
  </si>
  <si>
    <t>347760, Ростовская обл., Целинский район, пос. Целина, ул. Транспортная, д. 2А</t>
  </si>
  <si>
    <t>420132, Татарстан респ., г. Казань, ул. Адоратского, д. 50А офис 201</t>
  </si>
  <si>
    <t>420021, Татарстан Респ, г.о. город Казань, г Казань, ул Марселя Салимжанова, д. 1</t>
  </si>
  <si>
    <t>420059, Татарстан респ., г. Казань, ул. Павлюхина, д. 110В</t>
  </si>
  <si>
    <t>183038, Мурманская обл., г. Мурманск, ул. Шмидта, д. 43 пом. XIII, офис 206-А, этаж 2</t>
  </si>
  <si>
    <t>352362, Краснодарский кр., Тбилисский район, станица Тбилисская, ул. Мира, д. 1</t>
  </si>
  <si>
    <t>249831, Калужская обл., Дзержинский район, г. Кондрово, ул. Маяковского, д. 1</t>
  </si>
  <si>
    <t>105005, г. Москва, вн.тер.г. муниципальный округ Басманный, ул Радио, д. 24, к. 1, этаж/помещ. 4/VII, ком. 9А</t>
  </si>
  <si>
    <t>127287, г. Москва, проезд Петровско-Разумовский, д. 16 этаж 1 пом. VI ком. 2-6</t>
  </si>
  <si>
    <t>172369, Тверская обл, м.о. Ржевский, п Есинка, зд. 26</t>
  </si>
  <si>
    <t>105118, г. Москва, вн.тер.г. муниципальный округ Перово, ш Энтузиастов, д. 34, помещ. I, ком. 15 Ж (Бизнес-центр «StreamLine Plaza»)</t>
  </si>
  <si>
    <t>346703, Ростовская обл., Аксайский район, хутор Ленина, тер. Автодороги М 4 Дон</t>
  </si>
  <si>
    <t>353531, Краснодарский кр., Темрюкский район, станица Старотитаровская, ул. Ростовская, д. 192</t>
  </si>
  <si>
    <t>350020, Краснодарский край, г.о. город Краснодар, г Краснодар, ул Красная, д. 202, помещ. 28</t>
  </si>
  <si>
    <t>119180, г. Москва, вн.тер.г. муниципальный округ Якиманка, ул Большая Полянка, д. 51А/9, пом./этаж 1/1, 5, помещ./ком. I, 38</t>
  </si>
  <si>
    <t>620027, Свердловская обл., г. Екатеринбург, ул. Мамина-Сибиряка стр. 36 офис 415/11</t>
  </si>
  <si>
    <t>107140, г. Москва, вн.тер.г. муниципальный округ Красносельский, ул Краснопрудная, д. 30-34, стр. 3</t>
  </si>
  <si>
    <t>117342, г. Москва, ул. Бутлерова, д. 17 этаж 3 ком. 95 офис 67 (Торгово-офисный центр «Офисный центр Neo Geo»)</t>
  </si>
  <si>
    <t>187556, Ленинградская обл., Тихвинский район, г. Тихвин, площадка Промплощадка, д. 6 к. 1 офис 207</t>
  </si>
  <si>
    <t>115230, г. Москва, вн.тер.г. муниципальный округ Нагатино-Садовники, ш Варшавское, д. 47, к. 4, помещ. XV</t>
  </si>
  <si>
    <t>107078, г. Москва, ул. Новорязанская, д. 18 стр. 10-12 пом. 11</t>
  </si>
  <si>
    <t>180004, Псковская обл., г. Псков, ул. Железнодорожная, д. 43</t>
  </si>
  <si>
    <t>672000, Забайкальский кр., г. Чита, ул. Профсоюзная, д. 23</t>
  </si>
  <si>
    <t>420015, Татарстан Респ, г.о. город Казань, г Казань, ул Пушкина, зд. 80, офис 311</t>
  </si>
  <si>
    <t>163001, Архангельская обл., г. Архангельск, проспект Обводный Канал, д. 101 каб. 506</t>
  </si>
  <si>
    <t>150003, Ярославская обл., г. Ярославль, ул. Пятницкая, д. 6</t>
  </si>
  <si>
    <t>197022, г. Санкт-Петербург, ул. Академика Павлова, д. 14 к. 2 литера Ж пом. 169</t>
  </si>
  <si>
    <t>117519, г. Москва, шоссе Варшавское, д. 138</t>
  </si>
  <si>
    <t>353600, Краснодарский кр., Староминский район, станица Староминская, ул. Толстого, д. 2</t>
  </si>
  <si>
    <t>630088, Новосибирская обл., г. Новосибирск, ул. Петухова, д. 71А</t>
  </si>
  <si>
    <t>308012, Белгородская обл., г. Белгород, ул. Костюкова, д. 34Б каб. 1</t>
  </si>
  <si>
    <t>353125, Краснодарский кр., Выселковский район, станица Выселки, ул. Степная, д. 1</t>
  </si>
  <si>
    <t>456304, Челябинская обл., г. Миасс, проспект Автозаводцев, д. 1</t>
  </si>
  <si>
    <t>428003, Чувашская Республика - Чувашия, г. Чебоксары, проезд Хозяйственный, д. 11А</t>
  </si>
  <si>
    <t>423600, Татарстан респ., Елабужский район, г. Елабуга, ул. Марджани, д. 16 кв. 5</t>
  </si>
  <si>
    <t>623391, Свердловская обл., г. Полевской, р-н Восточный Промышленный стр. 1/3А офис 1</t>
  </si>
  <si>
    <t>119019, г. Москва, пер. Нащокинский, д. 12 стр. 2</t>
  </si>
  <si>
    <t>123100, г. Москва, вн.тер.г. муниципальный округ Пресненский, ул Мантулинская, д. 9, к. 2, помещ. 1Н/2</t>
  </si>
  <si>
    <t>121087, г. Москва, проезд Береговой, д. 5 стр. 1</t>
  </si>
  <si>
    <t>195009, г. Санкт-Петербург, ул. Минеральная, д. 29 к. 2 литера А</t>
  </si>
  <si>
    <t>420004, Татарстан респ., г. Казань, ул. Горьковское Шоссе, д. 47 офис 65</t>
  </si>
  <si>
    <t>143409, Московская обл., г. Красногорск, ул. Успенская, д. 3 пом. I офис 503.2-5</t>
  </si>
  <si>
    <t>117041, г. Москва, ул. Адмирала Лазарева, д. 68</t>
  </si>
  <si>
    <t>129110, г. Москва, ул. Гиляровского, д. 65 стр. 1 этаж / пом. / ком. 4/XIV/1 (Бизнес-центр)</t>
  </si>
  <si>
    <t>140060, Московская обл., г. Люберцы, рабочий пос. Октябрьский, ул. Советская, д. 14</t>
  </si>
  <si>
    <t>344022, Ростовская обл, г.о. город Ростов-на-Дону, г Ростов-на-Дону, ул Суворова, д. 91, офис 38 (Бизнес-центр «Лига Наций»)</t>
  </si>
  <si>
    <t>353560, Краснодарский кр., Славянский район, г. Славянск-На-Кубани, ул. Троицкая, д. 246 кв. 10</t>
  </si>
  <si>
    <t>108811, г. Москва, км. Боровское Шоссе 29-Й (П Внуковское), владение 4 стр. 2 ком. 313</t>
  </si>
  <si>
    <t>109012, г. Москва, пл. Красная, д. 3 ком. 8 (Торгово-развлекательный центр «ГУМ»)</t>
  </si>
  <si>
    <t>141552, Московская обл., г. Солнечногорск, рабочий пос. Ржавки, микрорайон №2, ПРОИЗВОДСТВЕННО-СКЛАДСКОЙ корп. 4</t>
  </si>
  <si>
    <t>664007, Иркутская обл., г. Иркутск, ул. Рабочая, д. 22 офис 509</t>
  </si>
  <si>
    <t>398059, Липецкая обл., г. Липецк, пл. Петра Великого, д. 5 офис 504</t>
  </si>
  <si>
    <t>344002, Ростовская обл., г. Ростов-На-Дону, пер. Соборный, д. 19 офис 309</t>
  </si>
  <si>
    <t>117105, г. Москва, набережная Новоданиловская, д. 6 пом. XXXVIII ком. 1-3 (Многофункциональный комплекс «Данилов Плаза» Строящийся)</t>
  </si>
  <si>
    <t>656008, Алтайский кр., г. Барнаул, ул. Никитина, д. 163 офис 222</t>
  </si>
  <si>
    <t>620902, Свердловская обл, г.о. город Екатеринбург, г Екатеринбург, км Сибирский тракт 1, стр. 8, офис 534</t>
  </si>
  <si>
    <t>142715, Московская обл, г.о. Ленинский, д Апаринки, влд. 5, стр. 7, часть помещения 15</t>
  </si>
  <si>
    <t>142455, Московская обл., г. Электроугли, ул. Заводская, д. 4 стр. 5 каб. 309</t>
  </si>
  <si>
    <t>352030, Краснодарский кр., Кущевский район, станица Кущевская, пер. Кубанский, д. 96Г</t>
  </si>
  <si>
    <t>115419, г. Москва, проезд 2-Й Верхний Михайловский, д. 9</t>
  </si>
  <si>
    <t>121471, г. Москва, ул. Рябиновая, д. 26 стр. 2 этаж 7 ком. 63 (Бизнес-центр "West Plaza")</t>
  </si>
  <si>
    <t>394038, Воронежская обл., г. Воронеж, ул. Пеше-Стрелецкая, д. 74 этаж 4 пом. 2</t>
  </si>
  <si>
    <t>238311, Калининградская обл., Гурьевский район, пос. Большое Исаково, ул. Калининградская, д. 2Е</t>
  </si>
  <si>
    <t>214031, Смоленская обл, г.о. город Смоленск, г Смоленск, ул Индустриальная, д. 9А, офис 1,2</t>
  </si>
  <si>
    <t>105082, г. Москва, вн.тер.г. муниципальный округ Басманный, пер 2-й Ирининский, д. 3, этаж 2, ПОМ III, КАБ 24, КОМ 201</t>
  </si>
  <si>
    <t>623405, Свердловская обл., г. Каменск-Уральский, ул. 2-Я Рабочая, д. 2А</t>
  </si>
  <si>
    <t>344018, Ростовская обл., г. Ростов-На-Дону, пер. Доломановский, д. 118 этаж 1 пом. 25</t>
  </si>
  <si>
    <t>196626, г. Санкт-Петербург, пос. Шушары, шоссе Московское, д. 161 к. 10 литера Б</t>
  </si>
  <si>
    <t>445045, Самарская обл., г. Тольятти, ул. Громовой, д. 56 ком. 25</t>
  </si>
  <si>
    <t>302004, Орловская обл., г. Орёл, ул. Ливенская, д. 78</t>
  </si>
  <si>
    <t>630052, Новосибирская обл., г. Новосибирск, ул. Троллейная, д. 85 офис 1</t>
  </si>
  <si>
    <t>142074, Московская обл., г. Домодедово, с. Долматово, ул. Дорожная, д. 16</t>
  </si>
  <si>
    <t>355041, Ставропольский кр., г. Ставрополь, ул. Лермонтова, д. 234/1</t>
  </si>
  <si>
    <t>142180, Московская обл., г. Подольск, ул. Ленина (Климовск Мкр.), д. 1 ком. 1 ЛИТЕЙНЫЙ ЦЕХ</t>
  </si>
  <si>
    <t>630004, Новосибирская обл., г. Новосибирск, проспект Димитрова, д. 7 офис 611/2</t>
  </si>
  <si>
    <t>119002, г. Москва, ул. Арбат, д. 10 этаж 4, пом. I, Ч. ком. 2 (Бизнес-центр «Midland Plaza»)</t>
  </si>
  <si>
    <t>141407, Московская обл, г.о. Химки, г Химки, ул Бабакина, д. 5А, помещ. 402 (Бизнес-центр «Кристалл»)</t>
  </si>
  <si>
    <t>105082, г. Москва, ул. Большая Почтовая, д. 26В стр. 2 этаж 2 пом. I ком. 1А</t>
  </si>
  <si>
    <t>603035, Нижегородская обл., г. Нижний Новгород, ул. Чаадаева, д. 1 литера ММ1 офис 9</t>
  </si>
  <si>
    <t>198216, г. Санкт-Петербург, проспект Народного Ополчения, д. 2 офис 1089 (Бизнес-центр «Галс»)</t>
  </si>
  <si>
    <t>111024, г. Москва, ул. 2-Я Энтузиастов, д. 5 к. 1 этаж 2 ком. 9 (РМ40)</t>
  </si>
  <si>
    <t>129626, г. Москва, пер. Кулаков, д. 9А стр. 1 этаж 2 пом. I ком. 13</t>
  </si>
  <si>
    <t>620033, Свердловская обл., г. Екатеринбург, ул. Краснодарская, д. 11</t>
  </si>
  <si>
    <t>142111, Московская обл., г. Подольск, ул. Вишневая, д. 3</t>
  </si>
  <si>
    <t>630132, Новосибирская обл., г. Новосибирск, проспект Димитрова, д. 7 офис 709Г</t>
  </si>
  <si>
    <t>344003, Ростовская обл., г. Ростов-На-Дону, проспект Михаила Нагибина, д. 7А кв. 5</t>
  </si>
  <si>
    <t>129344, г. Москва, ул. Енисейская, д. 1 стр. 1 пом. 217 (Бизнес-центр «Лира»)</t>
  </si>
  <si>
    <t>188641, Ленинградская обл., Всеволожский район, пос. Ковалево, ул. Поперечная, д. 15 каб. 3226(28)</t>
  </si>
  <si>
    <t>680000, Хабаровский край, г.о. город Хабаровск, г Хабаровск, ул Пушкина, д. 23А, офис 211</t>
  </si>
  <si>
    <t>127081, г. Москва, ул. Молодцова, д. 14 стр. 6 ком. 1 пом. III</t>
  </si>
  <si>
    <t>404171, Волгоградская обл., Светлоярский район, рабочий пос. Светлый Яр, ул. Дорожная, д. ЗД. 5А офис 214</t>
  </si>
  <si>
    <t>121351, г. Москва, ул. Молодогвардейская, д. 59 этаж / пом. /К 3/I/4</t>
  </si>
  <si>
    <t>196626, г. Санкт-Петербург, пос. Шушары, шоссе Московское, д. 161 корп. 10 литера Л пом. 1-Н офис №№35-41, 43,55-69</t>
  </si>
  <si>
    <t>630052, Новосибирская обл., г. Новосибирск, ул. Толмачевская, д. 15/1 офис 2А</t>
  </si>
  <si>
    <t>109341, г. Москва, ул. Люблинская, д. 151 этаж / пом. / ком. 2/232/1-3,16-21 (Бизнес-центр "Марьино")</t>
  </si>
  <si>
    <t>141031, Московская обл., г. Мытищи, пос. Нагорное, шоссе Липкинское стр. 1А/1 пом. 39</t>
  </si>
  <si>
    <t>367004, Дагестан Респ, г.о. город Махачкала, вн.р-н Ленинский район, г Махачкала, ул Бейбулатова, д. 28</t>
  </si>
  <si>
    <t>129110, г. Москва, ул. Щепкина, д. 47 стр. 1</t>
  </si>
  <si>
    <t>603014, Нижегородская обл., г. Нижний Новгород, ул. Коминтерна, д. 30А офис 11</t>
  </si>
  <si>
    <t>410086, Саратовская обл., г. Саратов, ул. Елшанская, д. 37</t>
  </si>
  <si>
    <t>109429, г. Москва, дор. Мкад 14 Километр, д. 10</t>
  </si>
  <si>
    <t>649006, Алтай респ., г. Горно-Алтайск, проспект Коммунистический, д. 68 пом. 324</t>
  </si>
  <si>
    <t>393192, Тамбовская обл., г. Котовск, ул. Красногвардейская, д. 16</t>
  </si>
  <si>
    <t>141008, Московская обл, г.о. Мытищи, г Мытищи, ул Лётная, стр. 19, помещ. 311.3</t>
  </si>
  <si>
    <t>347366, Ростовская обл., г. Волгодонск, ул. Портовая, д. 1</t>
  </si>
  <si>
    <t>115419, г. Москва, проезд 2-Й Верхний Михайловский, д. 9 каб. 304</t>
  </si>
  <si>
    <t>295493, Крым Респ, г.о. Симферополь, пгт Грэсовский, ул Кржижановского, зд. 38, офис 501/1</t>
  </si>
  <si>
    <t>115230, г. Москва, вн.тер.г. муниципальный округ Нагатино-Садовники, проезд Хлебозаводский, д. 7, стр. 9, этаж/помещ 3/Х, ком. 9Ж (Бизнес-центр "Калейдоскоп")</t>
  </si>
  <si>
    <t>108811, г. Москва, Мосрентген пос., км. Киевское Ш 21-Й, домовладение 3 стр. 1 пом. CXIX</t>
  </si>
  <si>
    <t>119331, г. Москва, ул. Кравченко, д. 12 этаж / пом. / ком. 1/I/4</t>
  </si>
  <si>
    <t>620017, Свердловская обл., г. Екатеринбург, ул. Фронтовых Бригад, д. 15 офис 305</t>
  </si>
  <si>
    <t>620075, Свердловская обл, г.о. город Екатеринбург, г Екатеринбург, ул Розы Люксембург, стр. 22, офис 803 (Бизнес-центр «Грин Парк»)</t>
  </si>
  <si>
    <t>197374, г. Санкт-Петербург, ул. Стародеревенская, д. 11 к. 2 литера А этаж 4 офис 429</t>
  </si>
  <si>
    <t>142200, Московская обл, г.о. Серпухов, г Серпухов, ул Ворошилова, д. 56, помещ. 9</t>
  </si>
  <si>
    <t>162135, Вологодская обл., Сокольский район, г. Сокол, ул. Беднякова, д. ЗД. 3 офис 1</t>
  </si>
  <si>
    <t>119021, г. Москва, бульвар Зубовский, д. 13 стр. 1 пом. 1 каб. 3</t>
  </si>
  <si>
    <t>620026, Свердловская обл., г. Екатеринбург, ул. Розы Люксембург, д. 49 офис 705 (Бизнес-центр «Онегин Плаза»)</t>
  </si>
  <si>
    <t>119331, г. Москва, проспект Вернадского, д. 29 (Офисное здание)</t>
  </si>
  <si>
    <t>117545, г. Москва, ул. Дорожная, д. 3 к. 7А</t>
  </si>
  <si>
    <t>117461, г. Москва, ул. Каховка, д. 27 пом. 1, этаж 1К96 (Торговый центр «Бухарест»)</t>
  </si>
  <si>
    <t>125009, г. Москва, ул. Петровка, д. 2 стр. 1</t>
  </si>
  <si>
    <t>423814, Татарстан респ., г. Набережные Челны, проспект Московский, д. 72А</t>
  </si>
  <si>
    <t>143060, Московская обл., г. Одинцово, пос. Часцы к. 3</t>
  </si>
  <si>
    <t>398001, Липецкая обл., г. Липецк, пл. Петра Великого, д. 3 офис 413</t>
  </si>
  <si>
    <t>603065, Нижегородская обл., г. Нижний Новгород, ул. Дьяконова, д. 2 В</t>
  </si>
  <si>
    <t>644005, Омская обл., г. Омск, пер. Красный, д. 2 офис 8</t>
  </si>
  <si>
    <t>347560, Ростовская обл., Песчанокопский район, с. Развильное, ул. Жолоба, д. 38А</t>
  </si>
  <si>
    <t>397926, Воронежская обл., Лискинский район, с. Щучье, ул. Советская, д. 33</t>
  </si>
  <si>
    <t>142701, Московская обл, г.о. Ленинский, г Видное, ул Ольховая, д. 9, помещ. 11, ком. 9</t>
  </si>
  <si>
    <t>188640, Ленинградская обл, м.р-н Всеволожский, г.п. Всеволожское, г Всеволожск, пр-кт Всеволожский, д. 120, помещ. 211</t>
  </si>
  <si>
    <t>302209, Орловская обл., Орловский район, с/п Платоновское, ул. Раздольная, д. 105 пом. 8</t>
  </si>
  <si>
    <t>127106, г. Москва, вн.тер.г. муниципальный округ Марфино, ул Гостиничная, д. 5, этаж 4 ПОМЕЩ. I, ком. 32 ОФИС 413 (Бизнес-центр «Иткол-Владыкино»)</t>
  </si>
  <si>
    <t>191144, г. Санкт-Петербург, вн.тер.г. муниципальный округ Смольнинское, ул 7-я Советская, д. 44, литера Б, этаж 6, ком. 118</t>
  </si>
  <si>
    <t>346719, Ростовская обл, м.р-н Аксайский, с.п. Щепкинское, п Красный, ул Дорожная, зд. 1/11, помещ. 1</t>
  </si>
  <si>
    <t>140050, Московская обл., г. Люберцы, пос. Красково, шоссе Егорьевское, д. 3А офис 33</t>
  </si>
  <si>
    <t>142703, Московская обл, г.о. Ленинский, г Видное, ул Строительная, д. 3, помещ. 10</t>
  </si>
  <si>
    <t>125130, г. Москва, вн.тер.г. муниципальный округ Войковский, ул Зои и Александра Космодемьянских, д. 26/21, стр. 1, этаж 3, помещ. III/ КОМНАТА 20/1</t>
  </si>
  <si>
    <t>141031, Московская обл., г. Мытищи, пос. Нагорное, шоссе Липкинское, стр. 1А/1</t>
  </si>
  <si>
    <t>680009, Хабаровский кр., г. Хабаровск, ул. Промышленная, д. 20 литера C</t>
  </si>
  <si>
    <t>628312, Ханты-Мансийский Автономный Округ - Югра, г. Нефтеюганск, проезд 6п, стр. 33/4</t>
  </si>
  <si>
    <t>153000, Ивановская обл., г. Иваново, ул. Смирнова, д. 105Б пом. 97</t>
  </si>
  <si>
    <t>117405, г. Москва, ул. Дорожная, д. 60Б этаж 6 офис 647 (Бизнес-центр «Аннино Плаза»)</t>
  </si>
  <si>
    <t>455021, Челябинская обл, г.о. Магнитогорский, г Магнитогорск, ул Ворошилова, д. 28, офис 502</t>
  </si>
  <si>
    <t>141006, Московская обл., г. Мытищи, проспект Олимпийский, владение 29 стр. 2 этаж / офис 7/2 (Многофункциональный комплекс «Формат»)</t>
  </si>
  <si>
    <t>236022, Калининградская обл, г.о. город Калининград, г Калининград, ш Люблинское, д. 6, помещ. 59</t>
  </si>
  <si>
    <t>625014, Тюменская обл., г. Тюмень, ул. Республики, д. 253</t>
  </si>
  <si>
    <t>170540, Тверская обл, м.р-н Калининский, с.п. Бурашевское, промзона Боровлево-2, стр. 1В, пом. 2.11</t>
  </si>
  <si>
    <t>142702, Московская обл., г. Видное, ул. Павловская, д. 14Б пом. 205</t>
  </si>
  <si>
    <t>123423, г. Москва, ул. 3-Я Хорошёвская, д. 20</t>
  </si>
  <si>
    <t>117420, г. Москва, вн.тер.г. муниципальный округ Черемушки, ул Намёткина, д. 12А, помещ. XXII, ком. 9,10,12-14 (Бизнес-центр «Газойл Плаза»)</t>
  </si>
  <si>
    <t>125196, г. Москва, вн.тер.г. муниципальный округ Тверской, ул Лесная, д. 3, этаж 4, помещ. II, КОМН. 1 (Торговый центр «Тверская застава»)</t>
  </si>
  <si>
    <t>127521, г. Москва, ул. Веткина, д. 4 этаж 4 пом. XIII ком. 45</t>
  </si>
  <si>
    <t>127015, г. Москва, ул. Новодмитровская, д. 2 к. 1 пом. LXIII ком. 3</t>
  </si>
  <si>
    <t>125130, г. Москва, проезд Старопетровский, д. 7А стр. 25 ПОД 3 этаж 3 ком. 1</t>
  </si>
  <si>
    <t>664053, Иркутская обл., г. Иркутск, ул. Розы Люксембург, д. 222</t>
  </si>
  <si>
    <t>350900, Краснодарский край, г.о. город Краснодар, г Краснодар, ул им. Дзержинского, д. 229/5</t>
  </si>
  <si>
    <t>423800, Татарстан респ., г. Набережные Челны, проспект Казанский, д. ЗД 215/1 офис 209/1</t>
  </si>
  <si>
    <t>422527, Татарстан респ., Зеленодольский район, с. Осиново, ул. Гагарина, д. 15</t>
  </si>
  <si>
    <t>140411, Московская обл., г. Коломна, проспект Кирова, д. 64</t>
  </si>
  <si>
    <t>644116, Омская обл., г. Омск, ул. 24-Я Северная, д. 125 к. А</t>
  </si>
  <si>
    <t>390027, Рязанская обл., г. Рязань, ул. Новая, д. 51В литера Ж неж. пом. Н2</t>
  </si>
  <si>
    <t>187002, Ленинградская обл., Тосненский район, г. Тосно, шоссе Московское, д. 44</t>
  </si>
  <si>
    <t>196211, г. Санкт-Петербург, ул. Бассейная, д. 73 к. 2 литера А</t>
  </si>
  <si>
    <t>141077, Московская обл., г. Королёв, ул. 50-Летия Влксм, д. 2 А</t>
  </si>
  <si>
    <t>119049, г. Москва, вн.тер.г. муниципальный округ Якиманка, пр-кт Ленинский, д. 4, стр. 1А, помещ. 1/2</t>
  </si>
  <si>
    <t>192012, г. Санкт-Петербург, вн.тер.г. муниципальный округ Обуховский, пр-кт Обуховской Обороны, д. 112, к. 2, литера И, помещ. 620</t>
  </si>
  <si>
    <t>455045, Челябинская обл., г. Магнитогорск, ул. Бориса Ручьева, д. 5 к. А</t>
  </si>
  <si>
    <t>603086, Нижегородская обл., г. Нижний Новгород, бульвар Мира, д. 14</t>
  </si>
  <si>
    <t>199155, г. Санкт-Петербург, вн.тер.г. муниципальный округ Остров Декабристов, пер Декабристов, д. 20, литера А, помещ. 2-Н</t>
  </si>
  <si>
    <t>677001, Саха /Якутия/ респ., г. Якутск, пер. Энергетиков, д. 1А</t>
  </si>
  <si>
    <t>115230, г. Москва, шоссе Варшавское, д. 46 к. 2 этаж 7</t>
  </si>
  <si>
    <t>117418, г. Москва, проспект Нахимовский, д. 47 этаж 15 пом. I ком. 25</t>
  </si>
  <si>
    <t>129281, г. Москва, ул. Менжинского, д. 38К2 стр. 2 этаж 1 пом. №IIIБ ком. 2</t>
  </si>
  <si>
    <t>191144, г. Санкт-Петербург, проспект Суворовский, д. 33 литера А пом. 8Н</t>
  </si>
  <si>
    <t>140170, Московская обл., г. Бронницы, ул. Центральная, д. 2</t>
  </si>
  <si>
    <t>690012, Приморский кр., г. Владивосток, ул. Херсонская, д. 5 каб. 25</t>
  </si>
  <si>
    <t>690091, Приморский край, г.о. Владивостокский, г Владивосток, ул Корабельная Набережная, д. 10, помещ. 54</t>
  </si>
  <si>
    <t>125196, г. Москва, ул. Лесная, д. 9 этаж 3 (Бизнес-центр «Белые Сады здание Б»)</t>
  </si>
  <si>
    <t>197198, г. Санкт-Петербург, проспект Добролюбова, д. 16 к. 2А пом. 54Н</t>
  </si>
  <si>
    <t>350051, Краснодарский край, г.о. город Краснодар, г Краснодар, ул Монтажников, д. 1/4, помещ. 1906 (БЦ SAS)</t>
  </si>
  <si>
    <t>644043, Омская обл, г.о. город Омск, г Омск, ул Фрунзе, д. 1, к. 4, офис 703Б</t>
  </si>
  <si>
    <t>450061, Башкортостан респ., г. Уфа, ул. Интернациональная, д. 105/1 офис 19</t>
  </si>
  <si>
    <t>692152, Приморский кр., Тернейский район, пгт. Пластун</t>
  </si>
  <si>
    <t>629380, Ямало-Ненецкий а.о., Красноселькупский район, с. Красноселькуп, тер. Промышленная Зона, д. СООР. 11 стр. 2</t>
  </si>
  <si>
    <t>108811, г. Москва, км. Киевское Шоссе 22-Й (П Московский), домовладение 4 стр. 1 этаж 7 блок А офис 719А</t>
  </si>
  <si>
    <t>108813, г. Москва, Московский пос., г. Московский, ул. Хабарова, д. 2 этаж 7 офис 15/45/WP (Торгово-деловой комплекс «Новомосковский»)</t>
  </si>
  <si>
    <t>143421, Московская обл, г.о. Красногорск, тер. автодорога Балтия, км 26-й, д. 5, стр. 6, этаж 5, помещ. 14 КОМ. 3</t>
  </si>
  <si>
    <t>420034, Татарстан респ., г. Казань, ул. Лушникова, д. 10 кв. 34</t>
  </si>
  <si>
    <t>142712, Московская обл., г. Видное, д. Горки, тер. Промзона, владение 20 стр. 1, ком. 64</t>
  </si>
  <si>
    <t>630007, Новосибирская обл, г.о. город Новосибирск, г Новосибирск, пр-кт Красный, д. 1, офис 219</t>
  </si>
  <si>
    <t>192289, г. Санкт-Петербург, проезд Грузовой, д. 27 литера А пом. 17</t>
  </si>
  <si>
    <t>115093, г. Москва, вн.тер.г. муниципальный округ Замоскворечье, ул Люсиновская, д. 39, стр. 5, помещ. 2/3</t>
  </si>
  <si>
    <t>109240, г. Москва, вн.тер.г. муниципальный округ Таганский, ул Верхняя Радищевская, д. 6, стр. 1, этаж 1, офис 101</t>
  </si>
  <si>
    <t>117342, г. Москва, вн.тер.г. муниципальный округ Коньково, ул Бутлерова, д. 17, этаж 3, помещ. 136 (Торгово-офисный центр «Офисный центр Neo Geo»)</t>
  </si>
  <si>
    <t>344002, Ростовская обл., г. Ростов-На-Дону, проспект Буденновский, д. 21/50 ком. 2</t>
  </si>
  <si>
    <t>121614, г. Москва, вн.тер.г. муниципальный округ Крылатское, ул Крылатская, д. 17, к. 3, этаж 4, помещ./ком. I/1-26, 32, 46-47</t>
  </si>
  <si>
    <t>127015, г. Москва, вн.тер.г. муниципальный округ Бутырский, ул Большая Новодмитровская, д. 14, стр. 1, помещ. I, ком. 99</t>
  </si>
  <si>
    <t>397902, Воронежская обл., Лискинский район, г. Лиски, ул. Воронежская, д. 41</t>
  </si>
  <si>
    <t>125315, г. Москва, проезд 2-Й Амбулаторный, д. 10 этаж 4 пом. 411</t>
  </si>
  <si>
    <t>620039, Свердловская обл., г. Екатеринбург, ул. 22 Партсъезда, д. 15 офис 2</t>
  </si>
  <si>
    <t>620026, Свердловская обл., г. Екатеринбург, ул. Розы Люксембург стр. 51</t>
  </si>
  <si>
    <t>603124, Нижегородская обл., г. Нижний Новгород, шоссе Московское, д. 294 д офис 314</t>
  </si>
  <si>
    <t>115172, г. Москва, вн.тер.г. муниципальный округ Таганский, ул Большие Каменщики, д. 9, стр. С</t>
  </si>
  <si>
    <t>350066, Краснодарский кр., г. Краснодар, ул. Бородинская, д. 160/3</t>
  </si>
  <si>
    <t>192029, г. Санкт-Петербург, ул. Бабушкина, д. 19 литера А</t>
  </si>
  <si>
    <t>454045, Челябинская обл., г. Челябинск, ул. Маслобазовая, д. 7 офис 7</t>
  </si>
  <si>
    <t>140090, Московская обл, г.о. Дзержинский, г Дзержинский, ул Энергетиков, д. 1, эт/пом 1/41</t>
  </si>
  <si>
    <t>302527, Орловская обл., Орловский район, д. Становое, ул. Школьная, д. 6К литера А1 А3</t>
  </si>
  <si>
    <t>117638, г. Москва, шоссе Варшавское, д. 56 стр. 2 этаж 2 пом. II ком. 3</t>
  </si>
  <si>
    <t>410005, Саратовская обл., г. Саратов, ул. Большая Горная, д. 324 офис 204 (2-Й этаж )</t>
  </si>
  <si>
    <t>143440, Московская обл., Красногорский район, пос. Путилково, тер. Гринвуд стр. 7 офис 190</t>
  </si>
  <si>
    <t>123112, г. Москва, вн.тер.г. муниципальный округ Пресненский, проезд 1-й Красногвардейский, д. 22, стр. 1, этаж/помещ. 8/8.23, место 174</t>
  </si>
  <si>
    <t>156022, Костромская обл, г.о. город Кострома, г Кострома, ул Голубкова, д. 12А, помещ. 1, ком. 46</t>
  </si>
  <si>
    <t>624194, Свердловская обл., г. Невьянск, ул. Демьяна Бедного, д. 47 к. 1</t>
  </si>
  <si>
    <t>141401, Московская обл., г. Химки, ул. Рабочая, д. 2А стр. 31 пом. 21</t>
  </si>
  <si>
    <t>603116, Нижегородская обл., г. Нижний Новгород, ул. Маршала Казакова, д. 3А офис 9 (Бизнес-центр «Малахит»)</t>
  </si>
  <si>
    <t>644033, Омская обл, г.о. город Омск, г Омск, ул Красный Путь, д. 143, офис 303</t>
  </si>
  <si>
    <t>191119, г. Санкт-Петербург, проспект Лиговский, д. 111-113-115 литера Б пом. 401</t>
  </si>
  <si>
    <t>624191, Свердловская обл., Невьянский район, г. Невьянск, ул. Демьяна Бедного, д. 47</t>
  </si>
  <si>
    <t>123112, г. Москва, набережная Пресненская, д. 8 стр. 1 пом. 484С ком. 2 (Бизнес-центр «Многофункциональный комплекс Москва-Сити «Город Столиц»»)</t>
  </si>
  <si>
    <t>150023, Ярославская обл., г. Ярославль, ул. Гагарина, д. 62 офис 2</t>
  </si>
  <si>
    <t>129281, г. Москва, проезд Олонецкий, д. 4 к. 2 этаж 4 ком. 15</t>
  </si>
  <si>
    <t>664043, Иркутская обл., г. Иркутск, ул. Сергеева стр. 3/6</t>
  </si>
  <si>
    <t>129110, г. Москва, ул. Гиляровского, д. 47 стр. 5 этаж 5 пом. I ком. 13</t>
  </si>
  <si>
    <t>101000, г. Москва, ул. Мясницкая, д. 46 стр. 7 пом. I ком. 1</t>
  </si>
  <si>
    <t>108811, г. Москва, Московский пос., квартал 32, владение 17А стр. 1 этаж 3 пом. 74</t>
  </si>
  <si>
    <t>191014, г. Санкт-Петербург, ул. Маяковского, д. 22-24 литера А пом. 16Н</t>
  </si>
  <si>
    <t>123060, г. Москва, проезд 1-Й Волоколамский, д. 10 этаж 2 пом. I ком. 19</t>
  </si>
  <si>
    <t>129347, г. Москва, ул. Холмогорская, д. 6 корп. / стр. 2/2 этаж 1 ком. 1</t>
  </si>
  <si>
    <t>119530, г. Москва, шоссе Очаковское, д. 34 пом. VII ком. 21 (Бизнес-центр "West Park")</t>
  </si>
  <si>
    <t>649002, Алтай Респ, г.о. город Горно-Алтайск, г Горно-Алтайск, пр-кт Коммунистический, д. 109/6, к. 2, помещ. 4, офис 7</t>
  </si>
  <si>
    <t>625504, Тюменская обл., Тюменский район, рабочий пос. Боровский, ул. Советская, д. 11/1</t>
  </si>
  <si>
    <t>121059, г. Москва, вн.тер.г. муниципальный округ Дорогомилово, наб Бережковская, д. 16, к. 2, ком. 403</t>
  </si>
  <si>
    <t>301247, Тульская обл., Щекинский район, г. Щекино, ул. Болдина, д. 115 офис 32</t>
  </si>
  <si>
    <t>190031, г. Санкт-Петербург, ул. Малая Морская, д. 18 стр. 1 пом. 1-Н офис № 109</t>
  </si>
  <si>
    <t>199178, г. Санкт-Петербург, лн. 8-Я В.О., д. 77 литера Б пом. 2-Н офис № 14</t>
  </si>
  <si>
    <t>188553, Ленинградская обл., Сланцевский район, д. Овсище, д. 10 пом. 4</t>
  </si>
  <si>
    <t>150030, Ярославская обл., г. Ярославль, проспект Московский, д. 74 офис 203</t>
  </si>
  <si>
    <t>350063, Краснодарский кр., г. Краснодар, ул. Кубанская Набережная, д. 45 офис 110 (Бизнес-центр «Премьер»)</t>
  </si>
  <si>
    <t>394036, Воронежская обл, г.о. город Воронеж, г Воронеж, ул Степана Разина, д. 53, офис 109</t>
  </si>
  <si>
    <t>141092, Московская обл, г.о. Королёв, г Королёв, мкр Юбилейный, ул Лесная, д. 14А, помещ. 13, кабинет 8</t>
  </si>
  <si>
    <t>141364, Московская обл., г. Сергиев Посад, рабочий пос. Скоропусковский, ПРОИЗВОДСТВЕННАЯ ЗОНА д. 28/4 ком. 67</t>
  </si>
  <si>
    <t>420073, Татарстан респ., г. Казань, ул. Волочаевская, д. 4 пом. 1065</t>
  </si>
  <si>
    <t>123308, г. Москва, вн.тер.г. муниципальный округ Хорошево-Мневники, ул Мнёвники, д. 3, к. 1, этаж 7, КОМНАТА №715</t>
  </si>
  <si>
    <t>663090, Красноярский кр., г. Дивногорск, ул. Нижний Проезд, д. 13/6</t>
  </si>
  <si>
    <t>663090, Красноярский край, г.о. город Дивногорск, г Дивногорск, проезд Нижний, зд. 13/13, этаж 1, ком. 9</t>
  </si>
  <si>
    <t>344091, Ростовская обл, г.о. город Ростов-на-Дону, г Ростов-на-Дону, ул Малиновского, влд. 3, офис 115</t>
  </si>
  <si>
    <t>454038, Челябинская обл., г. Челябинск, ул. Хлебозаводская, д. 3 офис 1</t>
  </si>
  <si>
    <t>115230, г. Москва, вн.тер.г. муниципальный округ Нагорный, проезд Электролитный, д. 3, стр. 2 (Бизнес-центр "Фаворит")</t>
  </si>
  <si>
    <t>630089, Новосибирская обл., г. Новосибирск, ул. Бориса Богаткова, д. 218 кв. 104</t>
  </si>
  <si>
    <t>129329, г. Москва, ул. Кольская, 1 стр. 1 этаж 8 пом. I ком. 5</t>
  </si>
  <si>
    <t>129343, г. Москва, вн.тер.г. муниципальный округ Свиблово, проезд Серебрякова, д. 6, этаж 4, помещ. 64 (Деловой центр "Серебрякова")</t>
  </si>
  <si>
    <t>680032, Хабаровский кр., г. Хабаровск, пер. Камышовый, д. 15</t>
  </si>
  <si>
    <t>115419, г. Москва, вн.тер.г. муниципальный округ Якиманка, ул Академика Петровского, д. 5, стр. 1</t>
  </si>
  <si>
    <t>692770, Приморский кр., г. Артем, ул. 1-Я Рабочая, д. 91</t>
  </si>
  <si>
    <t>344002, Ростовская обл., г. Ростов-На-Дону, пер. Соборный, д. 19 офис 400</t>
  </si>
  <si>
    <t>125252, г. Москва, бульвар Ходынский, д. 5 к. 1 , этаж 2 пом. VII</t>
  </si>
  <si>
    <t>400066, Волгоградская обл., г. Волгоград, ул. Комсомольская, д. 16 пом. 12</t>
  </si>
  <si>
    <t>426069, Удмуртская респ., г. Ижевск, ул. Песочная, д. 11 офис 1</t>
  </si>
  <si>
    <t>680031, Хабаровский край, г.о. город Хабаровск, г Хабаровск, ш Матвеевское, д. 49В</t>
  </si>
  <si>
    <t>625014, Тюменская обл., г. Тюмень, ул. 2-Й Км Старого Тобольского Тракта, д. 8 к. 25</t>
  </si>
  <si>
    <t>353535, Краснодарский край, м.р-н Темрюкский, с.п. Таманское, п Волна, тер. Промышленная, д. 1, помещ. 1</t>
  </si>
  <si>
    <t>678730, Саха /Якутия/ респ., Оймяконский у., пгт. Усть-Нера, ул. Ленина, д. 33</t>
  </si>
  <si>
    <t>196626, г. Санкт-Петербург, пос. Шушары, шоссе Московское, д. 177 литера А</t>
  </si>
  <si>
    <t>397903, Воронежская обл., Лискинский район, г. Лиски, ул. Фестивальная, д. 61-А офис 1</t>
  </si>
  <si>
    <t>624223, Свердловская обл., г. Нижняя Тура, ул. Малышева, д. 59</t>
  </si>
  <si>
    <t>192289, г. Санкт-Петербург, проспект Девятого Января, д. 15 к. 3</t>
  </si>
  <si>
    <t>352700, Краснодарский кр., Тимашевский район, г. Тимашевск, ул. Братьев Степановых, д. 145 к. А</t>
  </si>
  <si>
    <t>664035, Иркутская обл., г. Иркутск, ул. Шевцова, стр. 1/2</t>
  </si>
  <si>
    <t>666781, Иркутская обл, м.р-н Усть-Кутский, г.п. Усть-Кутское, г Усть-Кут, ул Пролетарская, стр. 1А, офис 307</t>
  </si>
  <si>
    <t>140091, Московская обл., г. Дзержинский, ул. Энергетиков, д. 42 литера 1-1Б этаж / ком. 3/8</t>
  </si>
  <si>
    <t>156013, Костромская обл., г. Кострома, ул. Галичская, д. 126Г</t>
  </si>
  <si>
    <t>125212, г. Москва, шоссе Головинское, д. 5 к. 1 этаж / пом. 25/25022</t>
  </si>
  <si>
    <t>127287, г. Москва, вн.тер.г. муниципальный округ Савеловский, ул Хуторская 2-я, д. 38А, стр. 26, этаж/помещ 4/VIII, ком. 10 (Бизнес-центр «MirLand 38Ас26»)</t>
  </si>
  <si>
    <t>196006, г. Санкт-Петербург, ул. Цветочная, д. 6 литера М</t>
  </si>
  <si>
    <t>188640, Ленинградская обл., Всеволожский район, г. Всеволожск, ул. Пожвинская, д. 4А пом. 209</t>
  </si>
  <si>
    <t>607699, Нижегородская обл., Кстовский район, с. Чернышиха, д. 70</t>
  </si>
  <si>
    <t>188540, Ленинградская обл., г. Сосновый Бор, шоссе Копорское, д. 70 каб. 33</t>
  </si>
  <si>
    <t>163000, Архангельская обл., г. Архангельск, ул. Поморская, д. 7 (Бизнес-центр «На Поморской»)</t>
  </si>
  <si>
    <t>187556, Ленинградская обл., Тихвинский район, г. Тихвин, площадка Промплощадка, д. 6 к. 1 офис 176</t>
  </si>
  <si>
    <t>352104, Краснодарский кр., Тихорецкий район, пос. Парковый, тер. Промзона, д. 35</t>
  </si>
  <si>
    <t>603064, Нижегородская обл., г. Нижний Новгород, ул. Окская Гавань, д. 12</t>
  </si>
  <si>
    <t>188361, Ленинградская обл., Гатчинский район, пос. Новый Свет, д. 112 литера В-В1</t>
  </si>
  <si>
    <t>125284, г. Москва, проспект Ленинградский, д. 31 стр. 3 этаж 3 пом. 1,3</t>
  </si>
  <si>
    <t>420061, Татарстан респ., г. Казань, ул. Николая Ершова, д. 1А офис 1124 (Торговый центр «Корстон»)</t>
  </si>
  <si>
    <t>410005, Саратовская обл, г.о. город Саратов, г Саратов, ул Большая Садовая, д. 239, офис 415 (Деловой центр «Навигатор»)</t>
  </si>
  <si>
    <t>170008, Тверская обл., г. Тверь, ул. Озерная, д. 14 к. 1</t>
  </si>
  <si>
    <t>456780, Челябинская обл., г. Озерск, ул. Свердлова, д. 14</t>
  </si>
  <si>
    <t>142700, Московская обл., г. Видное, шоссе Белокаменное, д. 7А офис 1</t>
  </si>
  <si>
    <t>623704, Свердловская обл., г. Березовский, тер. П.Первомайский, стр. 24</t>
  </si>
  <si>
    <t>115477, г. Москва, проспект Пролетарский, д. 14/49 к. 1 пом. 14Н</t>
  </si>
  <si>
    <t>115093, г. Москва, ул. Большая Серпуховская, д. 25 стр. 2 этаж 1 пом. III ком. 3</t>
  </si>
  <si>
    <t>690091, Приморский край, г.о. Владивостокский, г Владивосток, ул Луцкого, д. 16, помещ. 4(2)</t>
  </si>
  <si>
    <t>399751, Липецкая обл., Елецкий район, тер. Тепличный Комбинат Елецкие Овощи корп. СООР. 1</t>
  </si>
  <si>
    <t>141402, Московская обл., г. Химки, ул. Союзная, д. 7 литера А, этаж / пом. 2/42</t>
  </si>
  <si>
    <t>420081, Татарстан Респ, г.о. город Казань, г Казань, ул Габдуллы Кариева, д. 10, помещ. 1007</t>
  </si>
  <si>
    <t>603093, Нижегородская обл., г. Нижний Новгород, ул. Деловая, д. 5 офис 58</t>
  </si>
  <si>
    <t>614068, Пермский кр., г. Пермь, ул. Сергея Данщина, д. 1А</t>
  </si>
  <si>
    <t>432045, Ульяновская обл., г. Ульяновск, шоссе Московское, д. 6 литера М этаж 2 пом. 3</t>
  </si>
  <si>
    <t>399851, Липецкая обл, м.р-н Данковский, с.п. Новоникольский сельсовет, тер. Тепличный комбинат, зд. 4/1, помещ. 1-Н, ОФИС 1</t>
  </si>
  <si>
    <t>125124, г. Москва, вн.тер.г. муниципальный округ Беговой, ул 1-я Ямского Поля, д. 17, к. 12</t>
  </si>
  <si>
    <t>142718, Московская обл., г. Видное, с. Булатниково, шоссе Симферопольское, д. 3 пом. 6</t>
  </si>
  <si>
    <t>142000, Московская обл., г. Домодедово, тер. Трио-Инвест-Ям (Центральный Мкр.) стр. 3 этаж 3, пом. 25</t>
  </si>
  <si>
    <t>175000, Новгородская обл., Батецкий район, пос. Батецкий, ул. Лесная, д. ЗД. 3А</t>
  </si>
  <si>
    <t>105066, г. Москва, ул. Нижняя Красносельская, д. 21 пом. I ком. 1</t>
  </si>
  <si>
    <t>115184, г. Москва, вн.тер.г. муниципальный округ Замоскворечье, ул Большая Татарская, д. 35, стр. 7-9</t>
  </si>
  <si>
    <t>197349, г. Санкт-Петербург, проспект Королёва, д. 29 к. 1 литера Б пом. 1Н ком. 7</t>
  </si>
  <si>
    <t>195197, г. Санкт-Петербург, проспект Кондратьевский, д. 58</t>
  </si>
  <si>
    <t>344002, Ростовская обл., г. Ростов-На-Дону, ул. 2-Я Луговая, д. 5</t>
  </si>
  <si>
    <t>107023, г. Москва, ул. Электрозаводская, д. 20 офис 7</t>
  </si>
  <si>
    <t>654014, Кемеровская область - Кузбасс, Новокузнецкий район, с. Сосновка, ул. Туркменская, д. 62Б</t>
  </si>
  <si>
    <t>127299, г. Москва, вн.тер.г. муниципальный округ Войковский, ул Космонавта Волкова, д. 6А, этаж 2, помещ. XXV, ком. 22</t>
  </si>
  <si>
    <t>656056, Алтайский кр., г. Барнаул, ул. Гоголя, д. 36 офис 700 ("Форум", бизнес-центр (ООО "УК Форум"))</t>
  </si>
  <si>
    <t>655619, Хакасия респ., г. Саяногорск, рабочий пос. Черемушки, д. 101</t>
  </si>
  <si>
    <t>649000, Алтай респ., г. Горно-Алтайск, проспект Коммунистический, д. 35 офис 202</t>
  </si>
  <si>
    <t>163069, Архангельская обл, г.о. город Архангельск, г Архангельск, наб Северной Двины, д. 57, этаж 4</t>
  </si>
  <si>
    <t>115093, г. Москва, вн.тер.г. муниципальный округ Замоскворечье, ул Люсиновская, д. 39, стр. 5, э/п/к 4/III/3</t>
  </si>
  <si>
    <t>101000, г. Москва, вн.тер.г. муниципальный округ Красносельский, ул Мясницкая, д. 35, стр. 2, этаж 9 ПОМЕЩ. 1 КОМ. 16 (Бизнес-центр на Ул. Мясницкая, 35С2)</t>
  </si>
  <si>
    <t>422060, Татарстан респ., Сабинский район, пгт. Богатые Сабы, ул. А.Каримуллина, д. 32 кв. 3</t>
  </si>
  <si>
    <t>115432, г. Москва, проспект Андропова, д. 18 к. 7 этаж 5 офис 1</t>
  </si>
  <si>
    <t>150040, Ярославская обл, г.о. город Ярославль, г Ярославль, ул Победы, зд. 22, стр. 4, офис 407</t>
  </si>
  <si>
    <t>119415, г. Москва, проспект Вернадского, д. 39 этаж 6 пом. 1 ком. 26 (Бизнес-центр «Вернадский»)</t>
  </si>
  <si>
    <t>129344, г. Москва, ул. Лётчика Бабушкина, д. 1 к. 3 ком. 11</t>
  </si>
  <si>
    <t>195030, г. Санкт-Петербург, ул. Потапова, д. 25 стр. 1 пом. 309</t>
  </si>
  <si>
    <t>663316, Красноярский кр., г. Норильск, ул. Октябрьская, д. 31 пом. 12</t>
  </si>
  <si>
    <t>123056, г. Москва, ул. Большая Грузинская, д. 59 стр. 1</t>
  </si>
  <si>
    <t>129515, г. Москва, ул. Академика Королева, д. 13 стр. 1 ком. 51,51А,51Б, пом. I этаж 3 (Бизнес центр "Мосавто"/Бизнес центр ГИНЦВЕТМЕТ)</t>
  </si>
  <si>
    <t>119285, г. Москва, вн.тер.г. муниципальный округ Раменки, км МЖД Киевское 5-й, д. 1, стр. 1, помещ. 6/3</t>
  </si>
  <si>
    <t>634024, Томская обл., г. Томск, ул. Лпк 2-Й Поселок, д. 111 стр. 16 офис 6</t>
  </si>
  <si>
    <t>690065, Приморский край, г.о. Владивостокский, г Владивосток, ул Стрельникова, д. 5, этаж 5, помещ. 508</t>
  </si>
  <si>
    <t>117342, г. Москва, ул. Профсоюзная, д. 65 к. 1 этаж 18 пом. XLIV ком. 5.03</t>
  </si>
  <si>
    <t>115114, г. Москва, вн.тер.г. муниципальный округ Даниловский, пер 1-й Кожевнический, д. 6, стр. 1, помещ. 8/4</t>
  </si>
  <si>
    <t>196084, г. Санкт-Петербург, вн.тер.г. муниципальный округ Московская застава, пр-кт Московский, д. 97, литера А, помещ. 33-Н, ОФИС 1</t>
  </si>
  <si>
    <t>111672, г. Москва, ул. Суздальская, д. 46</t>
  </si>
  <si>
    <t>454010, Челябинская обл., г. Челябинск, ул. Гагарина, д. 8 к. А</t>
  </si>
  <si>
    <t>620026, Свердловская обл, г.о. город Екатеринбург, г Екатеринбург, ул Розы Люксембург, стр. 64, этаж 8, помещ. 9</t>
  </si>
  <si>
    <t>628637, Ханты-Мансийский Автономный Округ - Югра, Нижневартовский район, тер. Самотлорское Месторождение Нефти, тер. Нижневартовская База По Ремонту Труб, стр. 1</t>
  </si>
  <si>
    <t>603002, Нижегородская обл., г. Нижний Новгород, ул. Марата, д. 25</t>
  </si>
  <si>
    <t>454129, Челябинская обл., г. Челябинск, ул. Машиностроителей, д. 21</t>
  </si>
  <si>
    <t>629805, Ямало-Ненецкий АО, г.о. город Ноябрьск, г Ноябрьск, тер промузел на ж/д станции Ноябрьская, д. 3, офис 208</t>
  </si>
  <si>
    <t>300045, Тульская обл., г. Тула, ул. Некрасова, д. 7</t>
  </si>
  <si>
    <t>301840, Тульская обл., Ефремовский район, г. Ефремов, ул. Словацкого Восстания, д. 25 офис 7</t>
  </si>
  <si>
    <t>215805, Смоленская обл., Ярцевский район, г. Ярцево, ул. 1-Я Литейная стр. 3 каб. 107</t>
  </si>
  <si>
    <t>423450, Татарстан Респ, м.р-н Альметьевский, г.п. город Альметьевск, г Альметьевск, тракт Объездной, д. 1А, помещ. 202</t>
  </si>
  <si>
    <t>352800, Краснодарский кр., Туапсинский район, г. Туапсе, бульвар Морской, д. 2</t>
  </si>
  <si>
    <t>121205, г. Москва, тер. Сколково Инновационного Центра, бульвар Большой, д. 62 этаж 2 пом. 56</t>
  </si>
  <si>
    <t>423450, Татарстан Респ, м.р-н Альметьевский, г.п. город Альметьевск, г Альметьевск, ул Объездная, д. 5, ком. 206</t>
  </si>
  <si>
    <t>423236, Татарстан респ., Бугульминский район, г. Бугульма, ул. Климента Ворошилова, д. 21</t>
  </si>
  <si>
    <t>628671, Ханты-Мансийский Автономный Округ - Югра, г. Лангепас, ул. Молодёжная, д. 26</t>
  </si>
  <si>
    <t>123112, г. Москва, вн.тер.г. муниципальный округ Пресненский, наб Пресненская, д. 6, стр. 2, этаж 31, помещ. Х (Деловой комплекс "Империя")</t>
  </si>
  <si>
    <t>454010, Челябинская обл., г. Челябинск, ул. Енисейская, д. 8С</t>
  </si>
  <si>
    <t>123103, г. Москва, проспект Маршала Жукова, д. 78 к. 4 офис 601</t>
  </si>
  <si>
    <t>173009, Новгородская обл., г. Великий Новгород, ул. Псковская, д. 13</t>
  </si>
  <si>
    <t>394029, Воронежская обл., г. Воронеж, ул. Меркулова, д. 7 к. А</t>
  </si>
  <si>
    <t>185016, Карелия респ., г. Петрозаводск, бульвар Интернационалистов (Древлянка Р-Н), д. 17А</t>
  </si>
  <si>
    <t>424019, Марий Эл респ., г. Йошкар-Ола, ул. Йывана Кырли, д. 21В</t>
  </si>
  <si>
    <t>603950, Нижегородская обл., г. Нижний Новгород, ул. Бекетова, д. 3В</t>
  </si>
  <si>
    <t>440039, Пензенская обл., г. Пенза, ул. Гагарина, стр. 11Б</t>
  </si>
  <si>
    <t>344022, Ростовская обл., г. Ростов-На-Дону, пер. Журавлева, д. 47</t>
  </si>
  <si>
    <t>300041, Тульская обл., г. Тула, ул. Каминского, д. 31А (Бизнес-центр «Галакс»)</t>
  </si>
  <si>
    <t>150040, Ярославская обл., г. Ярославль, проспект Ленина, д. 21Б</t>
  </si>
  <si>
    <t>127006, г. Москва, пер. Настасьинский, д. 4 к. 1</t>
  </si>
  <si>
    <t>353913, Краснодарский кр., г. Новороссийск, проспект Ленина, д. 37 офис 315</t>
  </si>
  <si>
    <t>123376, г. Москва, ул. Красная Пресня, д. 28 к. 1-2</t>
  </si>
  <si>
    <t>413090, Саратовская обл., г. Маркс, проспект Ленина, д. 100/2</t>
  </si>
  <si>
    <t>390013, Рязанская обл., г. Рязань, шоссе Михайловское, д. 67</t>
  </si>
  <si>
    <t>123308, г. Москва, вн.тер.г. муниципальный округ Хорошево-Мневники, пр-кт Маршала Жукова, д. 4, помещ. V, ком. 26 (Бизнес-центр на Проспекте Маршала Жукова, 4)</t>
  </si>
  <si>
    <t>625026, Тюменская обл., г. Тюмень, ул. Республики, д. 143 к. 2</t>
  </si>
  <si>
    <t>141031, Московская обл, г.о. Мытищи, п Вешки, тер. ТПЗ Алтуфьево, км МКАД 84, влд. 5, стр. 1</t>
  </si>
  <si>
    <t>393550, Тамбовская обл., Токаревский район, рабочий пос. Токаревка, ул. Трудовая, д. 2</t>
  </si>
  <si>
    <t>633100, Новосибирская обл., Новосибирский район, с. Толмачево, ул. Советская, д. 142</t>
  </si>
  <si>
    <t>456537, Челябинская обл, м.р-н Сосновский, с.п. Томинское, тер. Томинский горно-обогатительный комбинат, стр. 1</t>
  </si>
  <si>
    <t>634024, Томская обл., г. Томск, ул. Лпк 2-Й Поселок, д. 109/3 офис 43</t>
  </si>
  <si>
    <t>309085, Белгородская обл., Яковлевский район, пос. Томаровка, ул. Промышленная, д. 7</t>
  </si>
  <si>
    <t>634041, Томская обл., г. Томск, проспект Кирова, д. 36</t>
  </si>
  <si>
    <t>634059, Томская обл., г. Томск, ул. Смирнова, д. 3</t>
  </si>
  <si>
    <t>636780, Томская обл., г. Стрежевой, ул. Буровиков, д. 23</t>
  </si>
  <si>
    <t>634028, Томская обл., г. Томск, тракт Московский, д. 46</t>
  </si>
  <si>
    <t>634050, Томская обл., г. Томск, пер. Нахановича, д. 4А</t>
  </si>
  <si>
    <t>634034, Томская обл., г. Томск, ул. Котовского, д. 19</t>
  </si>
  <si>
    <t>634040, Томская обл., г. Томск, ул. Владимира Высоцкого, д. 28 стр. 2</t>
  </si>
  <si>
    <t>445032, Самарская обл., г. Тольятти, ул. Воскресенская, д. 16</t>
  </si>
  <si>
    <t>142635, Московская обл., г. Орехово-Зуево, д. Губино, ул. 1-Я Ленинская, д. 76 к. А</t>
  </si>
  <si>
    <t>127051, г. Москва, бульвар Цветной, д. 17 пом. 1 ком. 43</t>
  </si>
  <si>
    <t>344006, Ростовская обл, г.о. город Ростов-на-Дону, г Ростов-на-Дону, пр-кт Ворошиловский, д. 26, этаж 3, помещ. 2</t>
  </si>
  <si>
    <t>125196, г. Москва, вн.тер.г. муниципальный округ Тверской, ул Лесная, д. 7, этаж 6, ком. 62 (Бизнес-центр «Белые Сады»)</t>
  </si>
  <si>
    <t>191025, г. Санкт-Петербург, ул. Марата, д. 14 литера А пом. 6Н</t>
  </si>
  <si>
    <t>143409, Московская обл, г.о. Красногорск, г Красногорск, ул Успенская, д. 5, этаж 7, ПОМЕЩ. 16, ОФИС 7012 (Деловой центр «Успенский»)</t>
  </si>
  <si>
    <t>123007, г. Москва, ул. 5-Я Магистральная, д. 12 этаж 5 пом. Х ком. 24</t>
  </si>
  <si>
    <t>652300, Кемеровская область - Кузбасс, м.о. Топкинский, г Топки, тер. Промплощадка ООО Топкинский цемент</t>
  </si>
  <si>
    <t>109548, г. Москва, ул. Шоссейная, д. 1 к. 2 пом. I этаж 2 каб. №31А</t>
  </si>
  <si>
    <t>628616, Ханты-Мансийский Автономный Округ - Югра, г. Нижневартовск, ул. Мира, д. 14/П кв. 38</t>
  </si>
  <si>
    <t>654007, Кемеровская область - Кузбасс, г. Новокузнецк, проспект Н.С.Ермакова (Центральный Р-Н), д. 9-А</t>
  </si>
  <si>
    <t>195027, г. Санкт-Петербург, шоссе Революции, д. 3 к. 1 литера А офис 908</t>
  </si>
  <si>
    <t>630099, Новосибирская обл., г. Новосибирск, ул. Чаплыгина, д. 2/1 офис 503 (Бизнес-центр «На Чаплыгина 2/1»)</t>
  </si>
  <si>
    <t>656056, Алтайский кр., г. Барнаул, ул. Интернациональная, д. 25 офис 22</t>
  </si>
  <si>
    <t>115280, г. Москва, вн.тер.г. муниципальный округ Даниловский, ул Ленинская Слобода, д. 19, этаж 5, ком. 21Ш-7-21Ш-17 (Многофункциональный комплекс «Омега Плаза»)</t>
  </si>
  <si>
    <t>111399, г. Москва, ул. Металлургов, д. 62 к. 1</t>
  </si>
  <si>
    <t>107023, г. Москва, ул. Суворовская, д. 2А этаж 2 каб. 4 ком. 213</t>
  </si>
  <si>
    <t>105066, г. Москва, ул. Спартаковская, д. 21 этаж / пом. / ком. 1/I/2</t>
  </si>
  <si>
    <t>690012, Приморский кр., г. Владивосток, ул. Калинина, д. 42</t>
  </si>
  <si>
    <t>427968, Удмуртская респ., г. Сарапул, ул. Индустриальная, д. 30</t>
  </si>
  <si>
    <t>301664, Тульская обл., Новомосковский район, г. Новомосковск, ул. Маяковского, д. 18</t>
  </si>
  <si>
    <t>354200, Краснодарский кр., г. Сочи, ул. Лазарева (Лазаревский Р-Н), д. 66</t>
  </si>
  <si>
    <t>197342, г. Санкт-Петербург, ул. Торжковская, д. 1 литера А</t>
  </si>
  <si>
    <t>353715, Краснодарский кр., Каневской район, станица Челбасская, ул. Набережная, д. 139 офис 26</t>
  </si>
  <si>
    <t>142700, Московская обл., г. Видное, тер. Южная Промзона, владение 7 к. 7 пом. 101</t>
  </si>
  <si>
    <t>195009, г. Санкт-Петербург, ул. Минеральная, д. 23 корп. Л.А</t>
  </si>
  <si>
    <t>125167, г. Москва, вн.тер.г. муниципальный округ Аэропорт, аллея Театральная, д. 3, стр. 1 (Торгово-офисный центр «Динамо»)</t>
  </si>
  <si>
    <t>198097, г. Санкт-Петербург, проспект Стачек, д. 47А (Бизнес-центр «Шереметев»)</t>
  </si>
  <si>
    <t>109029, г. Москва, вн.тер.г. муниципальный округ Нижегородский, ул Скотопрогонная, д. 27/26, стр. 1, этаж 4, помещ. 9 (Бизнес-центр «РТС «РТС» Таганский»)</t>
  </si>
  <si>
    <t>214032, Смоленская обл., г. Смоленск, ул. Лавочкина, д. 100Б стр. 1 офис 3</t>
  </si>
  <si>
    <t>603028, Нижегородская обл., г. Нижний Новгород, шоссе Московское, д. 52 литера П, пом. 18</t>
  </si>
  <si>
    <t>188640, Ленинградская обл, м.р-н Всеволожский, с.п. Колтушское, промзона Нижняя, проезд Центральный, стр. 2</t>
  </si>
  <si>
    <t>142703, Московская обл., г. Видное, ул. Донбасская, д. 2 стр. 13 офис 917</t>
  </si>
  <si>
    <t>125252, г. Москва, ул. Куусинена, д. 21А ЦОКОЛЬ пом. IX ком. 1,2,2А,2Б,2В,2Г,3,4; пом. VI</t>
  </si>
  <si>
    <t>396920, Воронежская обл., Семилукский район, с. Землянск, ул. Строителей, д. 19А</t>
  </si>
  <si>
    <t>422250, Татарстан респ., Балтасинский район, пгт. Балтаси, ул. Сибирский Тракт, д. 17</t>
  </si>
  <si>
    <t>109029, г. Москва, ул. Средняя Калитниковская, д. 28 стр. 4 пом. / ком. №XVII/№40</t>
  </si>
  <si>
    <t>162677, Вологодская обл., Череповецкий район, пос. Тоншалово, ул. Мелиораторов, д. 1А</t>
  </si>
  <si>
    <t>630541, Новосибирская обл., Новосибирский район, пос. Элитный, шоссе Советское, д. 9</t>
  </si>
  <si>
    <t>105064, г. Москва, вн.тер.г. муниципальный округ Басманный, ул Старая Басманная, д. 12, стр. 1, этаж 6, помещ. 6-33</t>
  </si>
  <si>
    <t>249000, Калужская обл., Боровский район, г. Балабаново, зона Промышленная</t>
  </si>
  <si>
    <t>125373, г. Москва, проезд Походный, домовладение 14 этаж 1 пом. II Ч ком. 32 (Бизнес-центр «GS Тушино»)</t>
  </si>
  <si>
    <t>198216, г. Санкт-Петербург, проспект Народного Ополчения, д. 10 литера А пом. 188Н, 89Н офис 11</t>
  </si>
  <si>
    <t>191186, г. Санкт-Петербург, набережная Реки Мойки, д. 7 литера А Ч. пом. / офис 1Н/401</t>
  </si>
  <si>
    <t>121596, г. Москва, вн.тер.г. муниципальный округ Можайский, ул Горбунова, д. 4, к. 1</t>
  </si>
  <si>
    <t>443022, Самарская обл, г.о. Самара, вн.р-н Советский, г Самара, ул Кабельная, д. 9, офис 103</t>
  </si>
  <si>
    <t>196105, г. Санкт-Петербург, ул. Кузнецовская, д. 52</t>
  </si>
  <si>
    <t>187002, Ленинградская обл, м.р-н Тосненский, г.п. Тосненское, г Тосно, ш Московское, д. 44, офис 1</t>
  </si>
  <si>
    <t>160004, Вологодская обл., г. Вологда, шоссе Белозерское, д. 3 каб. 2</t>
  </si>
  <si>
    <t>620075, Свердловская обл., г. Екатеринбург, проспект Ленина, д. 52Б</t>
  </si>
  <si>
    <t>630073, Новосибирская обл., г. Новосибирск, проспект Карла Маркса, д. 57 офис 510</t>
  </si>
  <si>
    <t>127566, г. Москва, шоссе Алтуфьевское, д. 44 Э 5 П VII Ч ком. 12 (Бизнес-центр «Бизнес центр «Альтеза»»)</t>
  </si>
  <si>
    <t>119017, г. Москва, пер. Пыжевский, д. 5 стр. 1 этаж 2 офис 201(4)</t>
  </si>
  <si>
    <t>196627, г. Санкт-Петербург, пос. Шушары, шоссе Московское, д. 235 литера А пом. 225</t>
  </si>
  <si>
    <t>692705, Приморский кр., Хасанский район, пгт. Посьет, ул. Портовая, д. 41</t>
  </si>
  <si>
    <t>185014, Карелия респ., г. Петрозаводск, проспект Лесной (Древлянка Р-Н), д. 47 офис 9</t>
  </si>
  <si>
    <t>620103, Свердловская обл., г. Екатеринбург, ул. Окружная, д. 3</t>
  </si>
  <si>
    <t>450027, Башкортостан респ., г. Уфа, ул. Индустриальное Шоссе, д. 112/1</t>
  </si>
  <si>
    <t>656002, Алтайский кр., г. Барнаул, ул. П.С.Кулагина, д. 28 офис 561</t>
  </si>
  <si>
    <t>664025, Иркутская обл, г.о. город Иркутск, г Иркутск, ул Сурикова, д. 4</t>
  </si>
  <si>
    <t>692751, Приморский кр., г. Артем, ул. Кирова, д. 73 каб. 1</t>
  </si>
  <si>
    <t>680000, Хабаровский край, г.о. город Хабаровск, г Хабаровск, ул Дзержинского, д. 65, офис 1108 (Бизнес-центр «Felix City»)</t>
  </si>
  <si>
    <t>400010, Волгоградская обл., г. Волгоград, ул. Качинцев, д. 87</t>
  </si>
  <si>
    <t>654066, Кемеровская область - Кузбасс, г. Новокузнецк, ул. Транспортная (Центральный Р-Н), д. ЗД 89 к. 2</t>
  </si>
  <si>
    <t>153022, Ивановская обл., г. Иваново, ул. 1-Я Межевая, д. 8 каб. 7</t>
  </si>
  <si>
    <t>238758, Калининградская обл., г. Советск, ул. Александра Невского, д. 2Г этаж 1 офис 2</t>
  </si>
  <si>
    <t>610008, Кировская обл., г. Киров, ул. Трактовая (Слобода Сошени Тер.), д. 1/4</t>
  </si>
  <si>
    <t>606503, Нижегородская обл., Городецкий район, г. Городец, ул. Республиканская, д. 86А офис 1</t>
  </si>
  <si>
    <t>644070, Омская обл., г. Омск, ул. Звездова, д. 39 пом. 4П</t>
  </si>
  <si>
    <t>440013, Пензенская обл, г.о. город Пенза, г Пенза, ул Дружбы, зд. 27</t>
  </si>
  <si>
    <t>614058, Пермский кр., г. Пермь, ул. Трамвайная, д. стр. 33 корп. 6</t>
  </si>
  <si>
    <t>344091, Ростовская обл., г. Ростов-На-Дону, ул. Каширская, д. 5 офис 11</t>
  </si>
  <si>
    <t>443101, Самарская обл., г. Самара, пер. Утевский, д. 10 стр. 1</t>
  </si>
  <si>
    <t>620085, Свердловская обл., г. Екатеринбург, ул. 8 Марта стр. 212 офис 331 (Торгово-деловой комплекс «Астор»)</t>
  </si>
  <si>
    <t>301138, Тульская обл., Ленинский район, пос. Петровский, ул. Парковая, д. 7А офис 3</t>
  </si>
  <si>
    <t>625032, Тюменская обл., г. Тюмень, ул. Тимирязева, д. 9 офис 104</t>
  </si>
  <si>
    <t>672042, Забайкальский кр., г. Чита, туп. Солдатский, д. 2</t>
  </si>
  <si>
    <t>190020, г. Санкт-Петербург, ул. Лифляндская, д. 6 к. 6 литера С офис 310</t>
  </si>
  <si>
    <t>119034, г. Москва, вн.тер.г. муниципальный округ Хамовники, ул Пречистенка, д. 40/2, стр. 1, помещ. XIX ЭТАЖ 2 (Офисно-жилой комплекс)</t>
  </si>
  <si>
    <t>107078, г. Москва, вн.тер.г. муниципальный округ Басманный, ул Новая Басманная, д. 14, стр. 4, этаж МАНСАРДА, ком. 210</t>
  </si>
  <si>
    <t>410086, Саратовская обл., г. Саратов, ул. Елшанская, д. 5</t>
  </si>
  <si>
    <t>392000, Тамбовская обл., г. Тамбов, ул. Студенецкая, д. 10</t>
  </si>
  <si>
    <t>606000, Нижегородская обл., г. Дзержинск, ул. Ватутина, д. 31А каб. 25</t>
  </si>
  <si>
    <t>390028, Рязанская обл., г. Рязань, ул. Прижелезнодорожная, д. 52 стр. 19</t>
  </si>
  <si>
    <t>109240, г. Москва, ул. Верхняя Радищевская, д. 2/1 стр. 5 пом. I, этаж 3, ком. 4</t>
  </si>
  <si>
    <t>107023, г. Москва, ул. Электрозаводская, д. 24 стр. 3 этаж 3 ком. 307 (Бизнес-центр «Преображенский корпус В»)</t>
  </si>
  <si>
    <t>196624, г. Санкт-Петербург, вн.тер.г. поселок Шушары, проезд 2-й Бадаевский, д. 3, к. 2, стр. 1, офис 1</t>
  </si>
  <si>
    <t>142600, Московская обл, Орехово-Зуево г, г.о. Орехово-Зуевский, проезд Заготзерно, д. 10, офис 3</t>
  </si>
  <si>
    <t>105066, г. Москва, пер. Токмаков, д. 5 стр. 1 этаж 3 пом. I ком. 3-13</t>
  </si>
  <si>
    <t>236001, Калининградская обл, г.о. город Калининград, г Калининград, мкр. Александра Космодемьянского</t>
  </si>
  <si>
    <t>127006, г. Москва, ул. Краснопролетарская, д. 7 пом. 34</t>
  </si>
  <si>
    <t>123112, г. Москва, набережная Пресненская, д. 8 стр. 1 этаж 10 пом. IN-КОМН.11 каб. №40 (Бизнес-центр «Многофункциональный комплекс Москва-Сити «Город Столиц»»)</t>
  </si>
  <si>
    <t>423601, Татарстан респ., Елабужский район, ул. 9 (Промышленная Площадка Алабуга Тер.), д. 1</t>
  </si>
  <si>
    <t>196642, г. Санкт-Петербург, пос. Петро-Славянка, ул. Софийская, д. 118 к. 2 стр. 1 пом. 42 офис 216</t>
  </si>
  <si>
    <t>353440, Краснодарский кр., Анапский район, г. Анапа, ул. Ленина, д. 163</t>
  </si>
  <si>
    <t>188300, Ленинградская обл., Гатчинский район, г. Гатчина, ул. Чехова, д. 11А пом. 25</t>
  </si>
  <si>
    <t>141720, Московская обл., г. Долгопрудный, ул. Южная (Шереметьевский Мкр), д. 1 стр. 33 этаж / ком. 3/45 ( часть )</t>
  </si>
  <si>
    <t>142191, г. Москва, г. Троицк, шоссе Калужское, д. 20 пом. 2</t>
  </si>
  <si>
    <t>123112, г. Москва, набережная Пресненская, д. 8 стр. 1 этаж / офис 13/5,6,7 (Бизнес-центр «Многофункциональный комплекс Москва-Сити «Город Столиц»»)</t>
  </si>
  <si>
    <t>125167, г. Москва, ул. 4-Я 8 Марта, д. 6А этаж 11 пом. XVII ком. 27</t>
  </si>
  <si>
    <t>107023, г. Москва, ул. Электрозаводская, д. 27 стр. 7 пом. V ком. 2,3,7-13 (Деловой центр «ЛеФОРТ строение 7»)</t>
  </si>
  <si>
    <t>446541, Самарская обл., Сергиевский район, с. Сергиевск, ул. Заводская, д. ЗД. 9 стр. 1</t>
  </si>
  <si>
    <t>111123, г. Москва, шоссе Энтузиастов, д. 31 стр. 38 офис Э 2 П 1 К 15 (Торговый центр «Техно блок 31»)</t>
  </si>
  <si>
    <t>423800, Татарстан респ., г. Набережные Челны, тракт Альметьевский, д. 28</t>
  </si>
  <si>
    <t>423800, Татарстан респ., г. Набережные Челны, проезд Производственный, д. 47</t>
  </si>
  <si>
    <t>197101, г. Санкт-Петербург, вн.тер.г. муниципальный округ Посадский, ул Большая Монетная, д. 16, к. 30, литера А, помещ. 9-Н, №41</t>
  </si>
  <si>
    <t>141201, Московская обл., г. Пушкино, шоссе Ярославское, д. 2В офис 401</t>
  </si>
  <si>
    <t>423601, Татарстан респ., Елабужский район, ул. Ш-2 (Оэз Алабуга Тер.) стр. 12/7</t>
  </si>
  <si>
    <t>680038, Хабаровский кр., г. Хабаровск, ул. Серышева, д. 34 офис 34</t>
  </si>
  <si>
    <t>663302, Красноярский кр., г. Норильск, проспект Ленинский, д. 13 кв. 16.17</t>
  </si>
  <si>
    <t>690065, Приморский кр., г. Владивосток, ул. Крыгина, д. 40</t>
  </si>
  <si>
    <t>109147, г. Москва, ул. Большая Андроньевская, д. 23</t>
  </si>
  <si>
    <t>140180, Московская обл, г.о. Жуковский, г Жуковский, ул Мичурина, д. 7, стр. 13, помещ. 19</t>
  </si>
  <si>
    <t>107045, г. Москва, вн.тер.г. муниципальный округ Мещанский, пер Последний, д. 24, эт/ пом/ ком 1/ II/ 15</t>
  </si>
  <si>
    <t>160004, Вологодская обл., г. Вологда, шоссе Белозерское, д. 3 пом. 3</t>
  </si>
  <si>
    <t>188300, Ленинградская обл., Гатчинский район, г. Гатчина, ул. Хохлова, д. 6 литера Ж пом. 14</t>
  </si>
  <si>
    <t>603107, Нижегородская обл., г. Нижний Новгород, проспект Гагарина, д. 101 к. 5 кв. 454</t>
  </si>
  <si>
    <t>107140, г. Москва, вн.тер.г. муниципальный округ Красносельский, туп Красносельский, д. 4, стр. 9</t>
  </si>
  <si>
    <t>111141, г. Москва, ул. Плеханова, д. 13 стр. 8 пом. 13</t>
  </si>
  <si>
    <t>129110, г. Москва, вн.тер.г. муниципальный округ Мещанский, ул Гиляровского, д. 57, стр. 4, ком. 18</t>
  </si>
  <si>
    <t>353903, Краснодарский кр., г. Новороссийск, ул. Волочаевская, д. 1</t>
  </si>
  <si>
    <t>413726, Саратовская обл., г. Пугачев, зона Северная Промышленная, д. 4</t>
  </si>
  <si>
    <t>117342, г. Москва, ул. Бутлерова, д. 17Б этаж 2 П XI К 60Е офис 177 (Бизнес-центр «Fresh»)</t>
  </si>
  <si>
    <t>125167, г. Москва, ул. Викторенко, д. 5 стр. 1 этаж 12 ком. 8 (Бизнес-центр «Victory Plaza»)</t>
  </si>
  <si>
    <t>423458, Татарстан Респ, м.р-н Альметьевский, г.п. город Альметьевск, г Альметьевск, ул Сургутская, д. 21А, помещ. 7</t>
  </si>
  <si>
    <t>141402, Московская обл, г.о. Химки, г Химки, ул Ленинградская, влд. 39, стр. 6, офис 3 (ЭТАЖ 6) (Бизнес-парк «Химки Бизнес Парк здание 2»)</t>
  </si>
  <si>
    <t>119435, г. Москва, пер. Большой Саввинский, д. 11 корп. ПОДЪЕЗД 3 этаж 7, ПРАВОЕ КРЫЛО</t>
  </si>
  <si>
    <t>142105, Московская обл, г.о. Подольск, г Подольск, ул Большая Серпуховская, д. 43, стр. 11, помещ. 3, этаж офис 3 3Б</t>
  </si>
  <si>
    <t>350000, Краснодарский кр., г. Краснодар, ул. Красноармейская, д. 100 офис 91</t>
  </si>
  <si>
    <t>115184, г. Москва, пер. Вишняковский, д. 2</t>
  </si>
  <si>
    <t>119180, г. Москва, ул. Большая Полянка, д. 57</t>
  </si>
  <si>
    <t>123112, г. Москва, набережная Пресненская, д. 4 стр. 2 этаж 21 пом. 21.01.1 (Многофункциональный комплекс «Москва-Сити Башня Эволюция»)</t>
  </si>
  <si>
    <t>195009, г. Санкт-Петербург, набережная Арсенальная, д. 11 литера А</t>
  </si>
  <si>
    <t>603006, Нижегородская обл., г. Нижний Новгород, пер. Гранитный, д. 4/1</t>
  </si>
  <si>
    <t>665734, Иркутская обл., г. Братск, ул. Олимпийская (Энергетик Ж/Р), д. 14</t>
  </si>
  <si>
    <t>680020, Хабаровский кр., г. Хабаровск, ул. Запарина, д. 1</t>
  </si>
  <si>
    <t>140501, Московская обл., г. Луховицы, ул. Куйбышева, д. 7</t>
  </si>
  <si>
    <t>241020, Брянская обл., г. Брянск, ул. Уральская, д. 113</t>
  </si>
  <si>
    <t>644033, Омская обл., г. Омск, ул. Красный Путь, д. 111 к. 1</t>
  </si>
  <si>
    <t>123112, г. Москва, набережная Пресненская, д. 4 стр. 2 (Многофункциональный комплекс «Москва-Сити Башня Эволюция»)</t>
  </si>
  <si>
    <t>692941, Приморский кр., г. Находка, ул. Нижне-Набережная (Поселок Врангель Мкр.), д. 78</t>
  </si>
  <si>
    <t>188910, Ленинградская обл., Выборгский район, проезд Портовый (Приморская Тер.), д. 7</t>
  </si>
  <si>
    <t>443020, Самарская обл., г. Самара, ул. Ленинская, д. 100</t>
  </si>
  <si>
    <t>420081, Татарстан респ., г. Казань, ул. Патриса Лумумбы, д. 20 к. 1</t>
  </si>
  <si>
    <t>169300, Коми респ., г. Ухта, проспект А.И.Зерюнова, д. 2/1</t>
  </si>
  <si>
    <t>353913, Краснодарский кр., г. Новороссийск, проспект Ленина, д. 37</t>
  </si>
  <si>
    <t>625027, Тюменская обл., г. Тюмень, ул. Республики, д. 139</t>
  </si>
  <si>
    <t>125252, г. Москва, ул. 3-Я Песчаная, д. 2А БАШНЯ ЮГО-ВОСТОЧНАЯ (СИНЯЯ) этаж 10 пом. 1005</t>
  </si>
  <si>
    <t>450008, Башкортостан респ., г. Уфа, ул. Крупской, д. 10</t>
  </si>
  <si>
    <t>123112, г. Москва, набережная Пресненская, д. 4 стр. 2 этаж 7 пом. 07.17.1 (Многофункциональный комплекс «Москва-Сити Башня Эволюция»)</t>
  </si>
  <si>
    <t>423800, Татарстан Респ, г.о. город Набережные Челны, г Набережные Челны, пер им Сергея Есенина, д. 2, помещ. 24</t>
  </si>
  <si>
    <t>607760, Нижегородская обл., г. Первомайск, ул. Мочалина, д. 2А</t>
  </si>
  <si>
    <t>129090, г. Москва, ул. Щепкина, д. 33 этаж / пом. / ком. 3/I/48 (Деловой центр «Etmia»)</t>
  </si>
  <si>
    <t>117335, г. Москва, ул. Вавилова, д. 69/75 этаж / ком. 6/24/6 (Бизнес-центр «Дизайн Мода»)</t>
  </si>
  <si>
    <t>634024, Томская обл., г. Томск, ул. Лпк 2-Й Поселок, д. 111 стр. 7</t>
  </si>
  <si>
    <t>620085, Свердловская обл., г. Екатеринбург, пер. Коллективный, д. 19 кв. 76</t>
  </si>
  <si>
    <t>143026, Московская обл, г.о. Одинцовский, рп Новоивановское, ш Можайское, влд. 165, этаж 2, блок D</t>
  </si>
  <si>
    <t>107045, г. Москва, пер. Пушкарёв, д. 7</t>
  </si>
  <si>
    <t>117648, г. Москва, микрорайон Северное Чертаново, д. 6 к. 603 пом. III ком. 4</t>
  </si>
  <si>
    <t>129226, г. Москва, ул. Докукина, д. 8 стр. 2 этаж 3 пом. 51А (Бизнес-центр «Ультрамарин»)</t>
  </si>
  <si>
    <t>107078, г. Москва, вн.тер.г. муниципальный округ Красносельский, ул Каланчевская, д. 6, стр. 3, этаж 6, неж.пом 1-16, А, Б</t>
  </si>
  <si>
    <t>443065, Самарская обл., г. Самара, ул. Вологодская, д. 14Б офис 206</t>
  </si>
  <si>
    <t>119313, г. Москва, проспект Ленинский, д. 95 этаж / пом. / офис ЦОК/Х/69</t>
  </si>
  <si>
    <t>630087, Новосибирская обл., г. Новосибирск, проспект Карла Маркса, д. 30/1 офис 439 (Бизнес-центр на Проспекте Карла Маркса, 30/1)</t>
  </si>
  <si>
    <t>107078, г. Москва, вн.тер.г. муниципальный округ Красносельский, ул Маши Порываевой, д. 34, этаж/помещ./ком. 3/III/1 (Бизнес-центр «Домников»)</t>
  </si>
  <si>
    <t>119017, г. Москва, пер. Большой Толмачёвский, д. 16</t>
  </si>
  <si>
    <t>105064, г. Москва, ул. Старая Басманная, д. 11А</t>
  </si>
  <si>
    <t>603134, Нижегородская обл., г. Нижний Новгород, ул. Костина, д. 2 офис 18</t>
  </si>
  <si>
    <t>125319, г. Москва, ул. Черняховского, д. 5 к. 1 этаж / пом. / ком. 1/IV/18-20</t>
  </si>
  <si>
    <t>143420, Московская обл., г. Красногорск, пос. Архангельское, тер. Музей Техники, стр. 8</t>
  </si>
  <si>
    <t>142455, Московская обл., г. Электроугли, шоссе Носовихинское, владение 1 корп. 26 КМ</t>
  </si>
  <si>
    <t>142703, Московская обл, г.о. Ленинский, г Видное, ул Донбасская, д. 2, стр. 10, этаж 3 ОФИС 721</t>
  </si>
  <si>
    <t>117638, г. Москва, вн.тер.г. муниципальный округ Зюзино, ул Одесская, д. 2, этаж 2, ком. 53 (Бизнес-центр «Lotos»)</t>
  </si>
  <si>
    <t>630099, Новосибирская обл., г. Новосибирск, ул. Орджоникидзе, д. 37/1 офис 211</t>
  </si>
  <si>
    <t>443125, Самарская обл, г.о. Самара, вн.р-н Промышленный, г Самара, ул Губанова, д. 3, офис 512-20</t>
  </si>
  <si>
    <t>214032, Смоленская обл., г. Смоленск, ул. Маршала Еременко, д. 40 ком. 10</t>
  </si>
  <si>
    <t>125464, г. Москва, вн.тер.г. муниципальный округ Митино, ш Волоколамское, д. 142, этаж/помещ. 6/I, часть комн./офис 26/615 (Бизнес-центр «Ирбис»)</t>
  </si>
  <si>
    <t>190013, г. Санкт-Петербург, ул. Рузовская, д. 8 литера Б</t>
  </si>
  <si>
    <t>127051, г. Москва, вн.тер.г. муниципальный округ Мещанский, ул Трубная, д. 28, стр. 2, помещ. I, ком. 11 (Бизнес-центр на Ул. Трубная, 28С2)</t>
  </si>
  <si>
    <t>628403, Ханты-Мансийский Автономный Округ - Югра, г. Сургут, ул. Университетская, д. 7 этаж 3 В ОСЯХ 10-15 РЯДЫ А-Н блок Б</t>
  </si>
  <si>
    <t>115035, г. Москва, набережная Кадашёвская, д. 36 стр. 5</t>
  </si>
  <si>
    <t>455025, Челябинская обл., г. Магнитогорск, ул. Гагарина, д. 50 офис 3</t>
  </si>
  <si>
    <t>620026, Свердловская обл, г.о. город Екатеринбург, г Екатеринбург, ул Куйбышева, стр. 44, этаж 17, помещ. 22</t>
  </si>
  <si>
    <t>197183, г. Санкт-Петербург, ул. Полевая Сабировская, д. 42 литера А пом. 313</t>
  </si>
  <si>
    <t>108814, г. Москва, вн.тер.г. поселение Сосенское, км Калужское шоссе 24-й (п Сосенское), д. 1, стр. 1, помещ. 1Н/6 (Бизнес-центр «Высота»)</t>
  </si>
  <si>
    <t>197342, г. Санкт-Петербург, ул. Белоостровская, д. 19 литера Б</t>
  </si>
  <si>
    <t>443052, Самарская обл., г. Самара, проспект Кирова, д. 73В каб. 18</t>
  </si>
  <si>
    <t>107564, г. Москва, вн.тер.г. муниципальный округ Богородское, ул Краснобогатырская, д. 38, стр. 2, этаж 4, помещ./ком. I/1</t>
  </si>
  <si>
    <t>105005, г. Москва, вн.тер.г. муниципальный округ Басманный, наб Академика Туполева, д. 15, к. 22, помещ. 601</t>
  </si>
  <si>
    <t>606044, Нижегородская обл., г. Дзержинск, шоссе Желнинское, д. 5А</t>
  </si>
  <si>
    <t>625019, Тюменская обл., г. Тюмень, ул. Республики, д. 278А стр. 1</t>
  </si>
  <si>
    <t>142000, Московская обл., г. Домодедово, тер. Трио-Инвест-Ям (Центральный Мкр.) стр. 3</t>
  </si>
  <si>
    <t>196105, г. Санкт-Петербург, вн.тер.г. муниципальный округ Московская застава, пр-кт Московский, д. 139, к. 2, литера А, помещ. 162-Н, ОФИС 6</t>
  </si>
  <si>
    <t>420029, Татарстан респ., г. Казань, ул. Журналистов, д. 62 ("Уницентр", торгово-офисный центр)</t>
  </si>
  <si>
    <t>141100, Московская обл., г. Щёлково, тер. Жегаловская Промышленная, стр. 10 к. 2 пом. 1</t>
  </si>
  <si>
    <t>115162, г. Москва, вн.тер.г. муниципальный округ Якиманка, ул Мытная, д. 46, стр. 5, этаж/офис 3/302, помещ./ком. I/4,5,6,7,8,9 (Бизнес-центр «Монетный Двор»)</t>
  </si>
  <si>
    <t>121609, г. Москва, вн.тер.г. муниципальный округ Крылатское, ул Осенняя, д. 23, этаж/комната/офис 9/114А\126А</t>
  </si>
  <si>
    <t>142111, Московская обл., г. Подольск, ул. Окружная, д. 2В стр. 1 ком. 2</t>
  </si>
  <si>
    <t>620012, Свердловская обл., г. Екатеринбург, ул. Уральских Рабочих, д. 28</t>
  </si>
  <si>
    <t>423190, Татарстан респ., Новошешминский район, с. Новошешминск, ул. Советская, д. 80 пом. 1000</t>
  </si>
  <si>
    <t>143232, Московская обл., г. Можайск, с. Тропарёво, ул. Советская, д. 15</t>
  </si>
  <si>
    <t>454904, Челябинская обл., г. Челябинск, ул. Челябинская, д. 23</t>
  </si>
  <si>
    <t>404103, Волгоградская обл., г. Волжский, ул. Александрова, д. 63</t>
  </si>
  <si>
    <t>423800, Татарстан респ., г. Набережные Челны, проезд Резервный, д. 51/2 этаж 3</t>
  </si>
  <si>
    <t>664017, Иркутская обл., г. Иркутск, ул. Академическая, д. 5А</t>
  </si>
  <si>
    <t>659315, Алтайский кр., г. Бийск, ул. Социалистическая, д. 5/1 офис 305</t>
  </si>
  <si>
    <t>111395, г. Москва, ул. Юности, д. 13А каб. 28</t>
  </si>
  <si>
    <t>660064, Красноярский кр., г. Красноярск, ул. Академика Вавилова, д. 1 стр. 51/1</t>
  </si>
  <si>
    <t>199406, г. Санкт-Петербург, вн.тер.г. муниципальный округ Гавань, пр-кт Средний В.О., д. 85, литера У, офис 1, помещ. 10Н</t>
  </si>
  <si>
    <t>111395, г. Москва, вн.тер.г. муниципальный округ Вешняки, ул Юности, д. 13А, кабинет №26-1</t>
  </si>
  <si>
    <t>620135, Свердловская обл., г. Екатеринбург, ул. Шефская стр. 116А</t>
  </si>
  <si>
    <t>192249, г. Санкт-Петербург, ул. Софийская, д. 60 литера АБ к. 31</t>
  </si>
  <si>
    <t>684000, Камчатский кр., Елизовский район, г. Елизово, ул. Мурманская, д. 17 каб. 7</t>
  </si>
  <si>
    <t>187556, Ленинградская обл., Тихвинский район, г. Тихвин, площадка Промплощадка, д. 6 к. 2 офис 8/60</t>
  </si>
  <si>
    <t>352701, Краснодарский кр., Тимашевский район, г. Тимашевск, ул. Транспортная, д. 19</t>
  </si>
  <si>
    <t>119618, г. Москва, вн.тер.г. поселение Московский, км МКАД 47-й, д. 31А, стр. 1, этаж 4 ЛИТ. А1, ком. 8</t>
  </si>
  <si>
    <t>143085, Московская обл., г. Одинцово, рабочий пос. Заречье, ул. Торговая стр. 2 этаж , офис 1, 10</t>
  </si>
  <si>
    <t>129337, г. Москва, вн.тер.г. муниципальный округ Ярославский, проезд Хибинский, д. 20, этаж/офис/помещ. 1/101/1</t>
  </si>
  <si>
    <t>107061, г. Москва, ул. Хромова, д. 20 этаж 1 офис 1-60 (Бизнес-центр )</t>
  </si>
  <si>
    <t>392008, Тамбовская обл., г. Тамбов, ул. Пирогова, д. 22А</t>
  </si>
  <si>
    <t>127051, г. Москва, бульвар Цветной, д. 17 ком. 20</t>
  </si>
  <si>
    <t>625005, Тюменская обл., г. Тюмень, ул. Ломоносова, д. 46</t>
  </si>
  <si>
    <t>364024, Чеченская Респ, г.о. город Грозный, г Грозный, р-н Ахматовский, пр-кт А.А.Кадырова, д. 37, этаж/кабинет 6/2</t>
  </si>
  <si>
    <t>143026, Московская обл., г. Одинцово, рабочий пос. Новоивановское, ул. Агрохимиков, д. 15 к. А этаж / пом. 1/009/7</t>
  </si>
  <si>
    <t>119034, г. Москва, ул. Льва Толстого, д. 23 стр. 3 пом. III ком. 1 (Бизнес-центр «Льва Толстого 23»)</t>
  </si>
  <si>
    <t>125167, г. Москва, вн.тер.г. муниципальный округ Хорошевский, ул Викторенко, д. 5, стр. 1 (Бизнес-центр «Victory Plaza»)</t>
  </si>
  <si>
    <t>654007, Кемеровская область - Кузбасс, г. Новокузнецк, проспект Н.С.Ермакова (Центральный Р-Н), д. 9А офис 321</t>
  </si>
  <si>
    <t>634050, Томская обл., г. Томск, пл. Батенькова, д. 2 офис 221</t>
  </si>
  <si>
    <t>620017, Свердловская обл., г. Екатеринбург, ул. Фронтовых Бригад, д. 15 офис 7</t>
  </si>
  <si>
    <t>121357, г. Москва, ул. Верейская, д. 29 стр. 33 этаж /Ч. ком. 6/4 (Бизнес-центр «Верейская Плаза III 33»)</t>
  </si>
  <si>
    <t>628609, Ханты-Мансийский Автономный Округ - Югра, г. Нижневартовск, ул. Кузоваткина, д. 15 корп. ПАНЕЛЬ 18</t>
  </si>
  <si>
    <t>105066, г. Москва, ул. Нижняя Красносельская, д. 35 стр. 9 этаж 8, ком. 1</t>
  </si>
  <si>
    <t>390047, Рязанская обл., г. Рязань, р-н Карцево, д. 7</t>
  </si>
  <si>
    <t>140060, Московская обл., г. Люберцы, рабочий пос. Октябрьский, ул. Ленина, д. 57 стр. 1 пом. 21</t>
  </si>
  <si>
    <t>115477, г. Москва, ул. Кантемировская, д. 59А Э 2 пом. П-207-1</t>
  </si>
  <si>
    <t>445015, Самарская обл., г. Тольятти, ул. Никонова, д. 43 ком. 12</t>
  </si>
  <si>
    <t>105082, г. Москва, пл. Спартаковская, д. 10 стр. 10 этаж 1 пом. IV ком. 11 (Бизнес-центр «Флеш Ланж»)</t>
  </si>
  <si>
    <t>127427, г. Москва, ул. Академика Королева, д. 12</t>
  </si>
  <si>
    <t>671353, Бурятия респ., Мухоршибирский район, пос. Саган-Нур, ул. Трактовая, д. 1</t>
  </si>
  <si>
    <t>677005, Саха /Якутия/ респ., г. Якутск, ул. Курашова, д. 46</t>
  </si>
  <si>
    <t>300012, Тульская обл., г. Тула, ул. Рязанская, д. 7 пом. 6</t>
  </si>
  <si>
    <t>300005, Тульская обл., г. Тула, ул. Привокзальная, д. 25</t>
  </si>
  <si>
    <t>300001, Тульская обл., г. Тула, ул. К.Маркса, д. 28</t>
  </si>
  <si>
    <t>300041, Тульская обл., г. Тула, ул. Коминтерна, д. 24</t>
  </si>
  <si>
    <t>301733, Тульская обл., Кимовский район, пос. Пронь, ул. Заводская, д. ЗД. 10 стр. 23 пом. 9</t>
  </si>
  <si>
    <t>301760, Тульская обл., г. Донской, микрорайон Центральный, ул. Ленина, д. 5</t>
  </si>
  <si>
    <t>453430, Башкортостан респ., Благовещенский район, г. Благовещенск, ул. Социалистическая, д. 47</t>
  </si>
  <si>
    <t>187556, Ленинградская обл., Тихвинский район, г. Тихвин, площадка Промплощадка, д. 8 офис 201</t>
  </si>
  <si>
    <t>654005, Кемеровская область - Кузбасс, г. Новокузнецк, ул. Орджоникидзе (Центральный Р-Н), д. 28А офис 301</t>
  </si>
  <si>
    <t>108811, г. Москва, Московский пос., д. Говорово, км. Мкад 47</t>
  </si>
  <si>
    <t>309540, Белгородская обл, г.о. Старооскольский, г Старый Оскол, тер станция Котел промузел, пл-ка Монтажная проезд Ш-6, стр. 3</t>
  </si>
  <si>
    <t>109202, г. Москва, шоссе Перовское, д. 18/1</t>
  </si>
  <si>
    <t>188681, Ленинградская обл., Всеволожский район, промзона Коммунально-Складская Зона Коркинская, проезд 1-Й, д. 1</t>
  </si>
  <si>
    <t>143420, Московская обл., г. Красногорск, д. Михалково, дор. Балтия, д. 25 км. ТСК ТСЦ TOYOTA литера 2Б этаж 1 каб. 2</t>
  </si>
  <si>
    <t>143420, Московская обл., г. Красногорск, км. 25, ТОРГ.-СКЛ. КОМПЛЕКС ком. 82</t>
  </si>
  <si>
    <t>688710, Камчатский кр., Карагинский район, с. Тымлат, ул. Набережная, д. 30</t>
  </si>
  <si>
    <t>121596, г. Москва, вн.тер.г. муниципальный округ Можайский, ул Горбунова, д. 2, стр. 3, этаж/пом/ком/офис 8/II/12/813 (Бизнес центр "Гранд Сетунь Плаза")</t>
  </si>
  <si>
    <t>665824, Иркутская обл., г. Ангарск, квартал 206, д. 3 пом. 201А201Б</t>
  </si>
  <si>
    <t>117292, г. Москва, ул. Вавилова, д. 57А офис 310</t>
  </si>
  <si>
    <t>423831, Татарстан респ., г. Набережные Челны, проспект Чулман, д. 50 пом. 1042</t>
  </si>
  <si>
    <t>423602, Татарстан респ., Елабужский район, г. Елабуга, ул. Тази Гиззата, д. 1А офис ПАВ. 5Б</t>
  </si>
  <si>
    <t>190031, г. Санкт-Петербург, ул. Малая Морская, д. 12 литера А</t>
  </si>
  <si>
    <t>445027, Самарская обл., г. Тольятти, ул. Фрунзе, д. 31А ком. 10</t>
  </si>
  <si>
    <t>119002, г. Москва, вн.тер.г. муниципальный округ Хамовники, пер Денежный, д. 7, к. 2, помещ. 2/П</t>
  </si>
  <si>
    <t>123290, г. Москва, вн.тер.г. муниципальный округ Хорошевский, туп 1-й Магистральный, д. 5А, блок/этаж С/4, офис 402</t>
  </si>
  <si>
    <t>197136, г. Санкт-Петербург, ул. Профессора Попова, д. 37 литера Щ пом. 1-Н ком. 95 (Бизнес-центр «Сенатор 37Щ»)</t>
  </si>
  <si>
    <t>625023, Тюменская обл., г. Тюмень, ул. Харьковская, д. 75 к. 1 офис 301</t>
  </si>
  <si>
    <t>443082, Самарская обл., г. Самара, ул. Речная, д. 27</t>
  </si>
  <si>
    <t>625037, Тюменская обл., г. Тюмень, ул. Ямская, д. 103</t>
  </si>
  <si>
    <t>625007, Тюменская обл., г. Тюмень, ул. 30 Лет Победы, д. 31</t>
  </si>
  <si>
    <t>620142, Свердловская обл, г.о. город Екатеринбург, г Екатеринбург, ул Машинная, д. 1Б, к. 1, офис 9</t>
  </si>
  <si>
    <t>625019, Тюменская обл., г. Тюмень, ул. Республики, д. 252 к. 8</t>
  </si>
  <si>
    <t>625016, Тюменская обл., г. Тюмень, ул. 30 Лет Победы, д. 35</t>
  </si>
  <si>
    <t>625049, Тюменская обл., г. Тюмень, ул. Кремлевская, д. 39А стр. 2</t>
  </si>
  <si>
    <t>390042, Рязанская Область обл., г. Рязань, ул. Промышленная, д. 5</t>
  </si>
  <si>
    <t>115142, г. Москва, ул. Речников, д. 29 стр. 3</t>
  </si>
  <si>
    <t>426049, Удмуртская респ., г. Ижевск, ул. Гагарина, д. 46</t>
  </si>
  <si>
    <t>426062, Удмуртская респ., г. Ижевск, ул. Спортивная, д. 77</t>
  </si>
  <si>
    <t>105005, г. Москва, ул. Радио, д. 24 к. 1</t>
  </si>
  <si>
    <t>620014, Свердловская обл, г.о. город Екатеринбург, г Екатеринбург, ул Хохрякова, д. 72, офис 221, помещ. 52-54</t>
  </si>
  <si>
    <t>119071, г. Москва, проезд 2-Й Донской, д. 8</t>
  </si>
  <si>
    <t>119002, г. Москва, пер. Денежный, д. 7 к. 2 этаж 2 ком. 11 РМ 1</t>
  </si>
  <si>
    <t>152616, Ярославская обл., Угличский район, г. Углич, шоссе Камышевское, д. 10</t>
  </si>
  <si>
    <t>450112, Башкортостан респ., г. Уфа, ул. Путейская, д. 1/5</t>
  </si>
  <si>
    <t>624093, Свердловская обл., г. Верхняя Пышма, ул. Бажова, д. 28</t>
  </si>
  <si>
    <t>620144, Свердловская обл., г. Екатеринбург, ул. Шейнкмана, д. 113 кв. 521</t>
  </si>
  <si>
    <t>624090, Свердловская обл., г. Верхняя Пышма, проспект Успенский, д. 1 ком. 801</t>
  </si>
  <si>
    <t>127051, г. Москва, пер. Большой Каретный, д. 21 стр. 1 этаж , офис 1, 107</t>
  </si>
  <si>
    <t>195009, г. Санкт-Петербург, ул. Арсенальная, д. 1 к. 2 литера А пом. 1Н-84,85,86-103</t>
  </si>
  <si>
    <t>652427, Кемеровская область - Кузбасс, г. Березовский, ул. Матросова, д. 1</t>
  </si>
  <si>
    <t>671374, Бурятия респ., Бичурский район, с. Окино-Ключи, ул. Центральная, д. 16</t>
  </si>
  <si>
    <t>127473, г. Москва, вн.тер.г. муниципальный округ Тверской, ул Краснопролетарская, д. 16, стр. 2, этаж 3, помещ./ком. I/9 (Бизнес-центр «Новослободский 16с2»)</t>
  </si>
  <si>
    <t>121099, г. Москва, бульвар Новинский, д. 8 офис ЭТАЖИ 11-12 (Торговый центр «Lotte Plaza»)</t>
  </si>
  <si>
    <t>426021, Удмуртская респ., г. Ижевск, ул. Олега Кошевого, д. 18</t>
  </si>
  <si>
    <t>426035, Удмуртская респ., г. Ижевск, ул. Им Репина, д. 35/1 кв. 106</t>
  </si>
  <si>
    <t>614000, Пермский кр., г. Пермь, ул. Монастырская, д. 2</t>
  </si>
  <si>
    <t>652432, Кемеровская область - Кузбасс, Кемеровский район, пос. Арсентьевка, тер. Шахта Анжерская-Южная, ЗД. АБК</t>
  </si>
  <si>
    <t>196084, г. Санкт-Петербург, ул. Киевская, д. 5 литера А8 офис 1</t>
  </si>
  <si>
    <t>129090, г. Москва, проспект Олимпийский, д. 16 стр. 5 этаж 4 пом. I (Бизнес-центр «Олимпик Холл»)</t>
  </si>
  <si>
    <t>400075, Волгоградская обл., г. Волгоград, ул. Жигулевская, д. 14 офис 4</t>
  </si>
  <si>
    <t>355008, Ставропольский кр., г. Ставрополь, ул. Войтика, д. 4/1 пом. 18</t>
  </si>
  <si>
    <t>119049, г. Москва, ул. Донская, д. 15 каб. 717</t>
  </si>
  <si>
    <t>420036, Татарстан Респ, г.о. город Казань, г Казань, ул Восход, зд. 45А, к. 3, офис 415</t>
  </si>
  <si>
    <t>107140, г. Москва, ул. Верхняя Красносельская, д. 3 стр. 1 этаж 6 офис 606</t>
  </si>
  <si>
    <t>634041, Томская обл., г. Томск, проспект Кирова, д. 51А стр. 15</t>
  </si>
  <si>
    <t>420087, Татарстан респ., г. Казань, ул. Родины, д. 8 офис 10</t>
  </si>
  <si>
    <t>188800, Ленинградская обл., Выборгский район, г. Выборг, ул. Кривоносова, д. 13 пом. 28</t>
  </si>
  <si>
    <t>655682, Хакасия респ., Алтайский район, с/с Аршановский, тер. Разрез Майрыхский стр. 1</t>
  </si>
  <si>
    <t>655162, Хакасия респ., г. Черногорск, ул. Советская, д. 058</t>
  </si>
  <si>
    <t>117292, г. Москва, проспект 60-Летия Октября, д. 10А офис 801 (Бизнес-центр «Принципал Плаза»)</t>
  </si>
  <si>
    <t>654007, Кемеровская область - Кузбасс, г. Новокузнецк, проспект Н.С.Ермакова (Центральный Р-Н), д. 5 пом. 121</t>
  </si>
  <si>
    <t>423450, Татарстан респ., Альметьевский район, г. Альметьевск, ул. Базовая, д. 2</t>
  </si>
  <si>
    <t>660064, Красноярский кр., г. Красноярск, ул. Капитанская, д. 14 пом. 349, офис 2-07</t>
  </si>
  <si>
    <t>192283, г. Санкт-Петербург, вн.тер.г. муниципальный округ Балканский, ул Бухарестская, д. 89, литера А, помещ. 12Н</t>
  </si>
  <si>
    <t>423450, Татарстан респ., Альметьевский район, г. Альметьевск, ул. Маяковского, д. 127</t>
  </si>
  <si>
    <t>423556, Татарстан респ., Нижнекамский район, г. Нижнекамск, ул. Чистопольская, д. 33</t>
  </si>
  <si>
    <t>423831, Татарстан респ., г. Набережные Челны, проспект Чулман, д. 111 пом. 23</t>
  </si>
  <si>
    <t>115035, г. Москва, набережная Овчинниковская, д. 20 стр. 1 офис 1304 (Бизнес-центр «Central City Tower»)</t>
  </si>
  <si>
    <t>457035, Челябинская обл., Пластовский район, г. Пласт, ул. Кооперативная, д. 20 офис 210</t>
  </si>
  <si>
    <t>432071, Ульяновская обл., г. Ульяновск, ул. Крымова, д. 10А</t>
  </si>
  <si>
    <t>121170, г. Москва, проспект Кутузовский, д. 36 стр. 11 этаж 4 пом. I ком. 14-15 (Бизнес-парк «Завод Казакова строение 11»)</t>
  </si>
  <si>
    <t>620075, Свердловская обл., г. Екатеринбург, ул. Первомайская, д. 56 этаж 7 офис 58</t>
  </si>
  <si>
    <t>450018, Башкортостан респ., г. Уфа, ул. Элеваторная, д. 1</t>
  </si>
  <si>
    <t>614042, Пермский кр., г. Пермь, ул. Гальперина, д. 6 к. 6 кв. 24</t>
  </si>
  <si>
    <t>188480, Ленинградская обл., Кингисеппский район, г. Кингисепп, проспект Карла Маркса, д. 43 пом. 5</t>
  </si>
  <si>
    <t>433600, Ульяновская обл., Цильнинский район, рабочий пос. Цильна, ул. Олега Кошевого, д. 2</t>
  </si>
  <si>
    <t>432028, Ульяновская обл., г. Ульяновск, проспект 50-Летия Влксм, д. 23А</t>
  </si>
  <si>
    <t>196608, г. Санкт-Петербург, г. Пушкин, ул. Новодеревенская, д. 17 офис 205</t>
  </si>
  <si>
    <t>123007, г. Москва, ул. 4-Я Магистральная, д. 7 стр. 2А этаж / каб. 3/4</t>
  </si>
  <si>
    <t>620049, Свердловская обл., г. Екатеринбург, ул. Первомайская, д. 120</t>
  </si>
  <si>
    <t>432048, Ульяновская обл., г. Ульяновск, ул. Локомотивная, д. 17</t>
  </si>
  <si>
    <t>123458, г. Москва, ул. Маршала Прошлякова, д. 20 стр. 1</t>
  </si>
  <si>
    <t>301602, Тульская обл., Узловский район, г. Узловая, шоссе Дубовское, д. 3</t>
  </si>
  <si>
    <t>455007, Челябинская обл., г. Магнитогорск, ул. Коммунальная, д. 10 стр. 1</t>
  </si>
  <si>
    <t>624097, Свердловская обл., г. Верхняя Пышма, проспект Успенский, д. 125 каб. 66</t>
  </si>
  <si>
    <t>620014, Свердловская обл., г. Екатеринбург, ул. Вайнера, д. 34 к. Б</t>
  </si>
  <si>
    <t>192019, г. Санкт-Петербург, ул. Седова, д. 11 литера А этаж 6, пом. 627</t>
  </si>
  <si>
    <t>694910, Сахалинская обл., Углегорский район, пгт. Шахтерск, ул. Портовая, д. 10</t>
  </si>
  <si>
    <t>242440, Брянская обл., Севский район, г. Севск, ул. Ленина, д. 130</t>
  </si>
  <si>
    <t>188304, Ленинградская обл., Гатчинский район, г. Гатчина, ул. Ополченцев-Балтийцев, д. 42А каб. 2</t>
  </si>
  <si>
    <t>420054, Татарстан респ., г. Казань, ул. Поперечно-Авангардная, д. 25А пом. 402</t>
  </si>
  <si>
    <t>161440, Вологодская обл., Никольский район, г. Никольск, ул. Красная, д. 72</t>
  </si>
  <si>
    <t>170040, Тверская обл., г. Тверь, проспект Николая Корыткова, д. 15Б</t>
  </si>
  <si>
    <t>194064, г. Санкт-Петербург, проспект Тихорецкий, д. 14 к. 1 литера А пом. 70</t>
  </si>
  <si>
    <t>678967, Саха /Якутия/ респ., Нерюнгринский район, г. Нерюнгри, проспект Ленина, д. 3 к. 1</t>
  </si>
  <si>
    <t>123112, г. Москва, вн.тер.г. муниципальный округ Пресненский, наб Пресненская, д. 12, помещ. 1/57 (Многофункциональный комплекс «Башня Федерация»)</t>
  </si>
  <si>
    <t>630102, Новосибирская обл., г. Новосибирск, ул. Восход, д. 20 ком. 502 (Бизнес-центр «Восход-20»)</t>
  </si>
  <si>
    <t>603004, Нижегородская обл, г.о. город Нижний Новгород, г Нижний Новгород, пр-кт Ленина, д. 88, офис 115</t>
  </si>
  <si>
    <t>432045, Ульяновская обл., г. Ульяновск, шоссе Московское, д. 14А офис 41</t>
  </si>
  <si>
    <t>141401, Московская обл., г. Химки, ул. Рабочая, д. 2А к. 22А офис 213А</t>
  </si>
  <si>
    <t>127576, г. Москва, ул. Илимская, д. 5 к. 2</t>
  </si>
  <si>
    <t>198103, г. Санкт-Петербург, ул. Дровяная, д. 9</t>
  </si>
  <si>
    <t>117198, г. Москва, проспект Ленинский, д. 113/1 офис д. 103 (Бизнес-центр «Park Place Moscow»)</t>
  </si>
  <si>
    <t>141006, Московская обл., г. Мытищи, шоссе Волковское, владение 5А стр. 1 офис 406А/4 (Бизнес-центр «Волковский корпус 2»)</t>
  </si>
  <si>
    <t>129226, г. Москва, ул. Вильгельма Пика, д. 8</t>
  </si>
  <si>
    <t>614025, Пермский кр., г. Пермь, ул. Героев Хасана, д. 76 литера Щ</t>
  </si>
  <si>
    <t>188477, Ленинградская обл., Кингисеппский район, тер. Морской Торговый Порт Усть-Луга (Вис), тер. Универсальный Перегрузочный Комплекс стр. 1</t>
  </si>
  <si>
    <t>446368, Самарская обл., Красноярский район, пос. Светлое Поле, зона Промышленная, д. 9А</t>
  </si>
  <si>
    <t>644010, Омская обл., г. Омск, ул. Масленникова, д. 70 неж. пом. 1П ПЕРВЫЙ этаж пом. 5</t>
  </si>
  <si>
    <t>628486, Ханты-Мансийский Автономный Округ - Югра, г. Когалым, ул. Ноябрьская, д. 4</t>
  </si>
  <si>
    <t>603105, Нижегородская обл., г. Нижний Новгород, ул. Белинского, д. 55А пом. П24 (Деловой центр «Сенатор»)</t>
  </si>
  <si>
    <t>353431, Краснодарский край, г.о. город-курорт Анапа, ст-ца Анапская, ул Виноградная, д. 24</t>
  </si>
  <si>
    <t>123112, г. Москва, набережная Пресненская, д. 8 стр. 1 этаж 11 (Бизнес-центр «Многофункциональный комплекс Москва-Сити «Город Столиц»»)</t>
  </si>
  <si>
    <t>142113, Московская обл., г. Подольск, д. Большое Толбино, д. 45</t>
  </si>
  <si>
    <t>195043, г. Санкт-Петербург, шоссе Рябовское, д. 120 литера А офис 311</t>
  </si>
  <si>
    <t>197348, г. Санкт-Петербург, проспект Богатырский, д. 2 литера А каб. 2.07</t>
  </si>
  <si>
    <t>427630, Удмуртская респ., г. Глазов, ул. Удмуртская, д. 63</t>
  </si>
  <si>
    <t>123001, г. Москва, пер. Благовещенский, д. 5 этаж /Ч. пом. /К 1/II/1</t>
  </si>
  <si>
    <t>456320, Челябинская обл., г. Миасс, проспект Макеева, д. 56</t>
  </si>
  <si>
    <t>121596, г. Москва, ул. Горбунова, д. 2 стр. 204 этаж 8 пом. II ком. 40</t>
  </si>
  <si>
    <t>121170, г. Москва, проспект Кутузовский, д. 36 стр. 23 этаж 6 ком. 621 (Бизнес-парк «Завод Казакова строение 23»)</t>
  </si>
  <si>
    <t>454080, Челябинская обл., г. Челябинск, ул. Лесопарковая, д. 7А офис 43</t>
  </si>
  <si>
    <t>624261, Свердловская обл., г. Асбест, ул. Уральская, д. 66</t>
  </si>
  <si>
    <t>620007, Свердловская обл., г. Екатеринбург, км. Сибирский Тракт 14</t>
  </si>
  <si>
    <t>456889, Челябинская обл., Аргаяшский район, пос. Ишалино, Железнодорожная Станция</t>
  </si>
  <si>
    <t>614025, Пермский кр., г. Пермь, тракт Бродовский, д. 11</t>
  </si>
  <si>
    <t>614037, Пермский кр., г. Пермь, ул. Сухумская, д. 4</t>
  </si>
  <si>
    <t>620027, Свердловская обл., г. Екатеринбург, пер. Красный стр. 7 офис 202</t>
  </si>
  <si>
    <t>620026, Свердловская обл., г. Екатеринбург, ул. Белинского стр. 83 офис 914</t>
  </si>
  <si>
    <t>620143, Свердловская обл., г. Екатеринбург, ул. Культуры, д. 8 ком. 36</t>
  </si>
  <si>
    <t>620075, Свердловская обл., г. Екатеринбург, ул. Луначарского, д. 80 этаж / офис 4/408</t>
  </si>
  <si>
    <t>620137, Свердловская обл., г. Екатеринбург, ул. Шефская, д. 2 корп. Б-1</t>
  </si>
  <si>
    <t>618541, Пермский кр., г. Соликамск, ул. Мира, д. 14</t>
  </si>
  <si>
    <t>450006, Башкортостан респ., г. Уфа, ул. 6-Я Пристань</t>
  </si>
  <si>
    <t>454008, Челябинская обл., г. Челябинск, ул. Каслинская, д. 26А пом. 8</t>
  </si>
  <si>
    <t>450096, Башкортостан респ., г. Уфа, ул. Шафиева, д. 52 офис 105</t>
  </si>
  <si>
    <t>614000, Пермский кр., г. Пермь, ул. Сибирская, д. 4</t>
  </si>
  <si>
    <t>620010, Свердловская обл., г. Екатеринбург, ул. Черняховского, д. 106 офис 148</t>
  </si>
  <si>
    <t>620100, Свердловская обл, г.о. город Екатеринбург, г Екатеринбург, тракт Сибирский, стр. 12/3, строение 7, офис 505 (Бизнес-парк «Деловой Квартал строение 3»)</t>
  </si>
  <si>
    <t>620049, Свердловская обл., г. Екатеринбург, пер. Автоматики, д. 1 пом. 44</t>
  </si>
  <si>
    <t>455022, Челябинская обл, г.о. Магнитогорский, г Магнитогорск, ш Белорецкое, д. 19, стр. 1</t>
  </si>
  <si>
    <t>624092, Свердловская обл., г. Верхняя Пышма, ул. Петрова, д. 59</t>
  </si>
  <si>
    <t>640020, Курганская обл, г.о. город Курган, г Курган, ул Куйбышева, д. 36, помещ. 13</t>
  </si>
  <si>
    <t>630008, Новосибирская обл, г.о. город Новосибирск, г Новосибирск, ул Толстого, д. 133, помещ. Т204</t>
  </si>
  <si>
    <t>454087, Челябинская обл, г.о. Челябинский, вн.р-н Советский, г Челябинск, ул Рылеева, д. 16, офис 416</t>
  </si>
  <si>
    <t>614033, Пермский кр., г. Пермь, ул. Куйбышева, д. 132</t>
  </si>
  <si>
    <t>623107, Свердловская обл., г. Первоуральск, ул. Сакко И Ванцетти, д. 28</t>
  </si>
  <si>
    <t>620102, Свердловская обл., г. Екатеринбург, ул. Посадская стр. 20</t>
  </si>
  <si>
    <t>620014, Свердловская обл., г. Екатеринбург, ул. Шейнкмана стр. 55 офис 17.00</t>
  </si>
  <si>
    <t>125504, г. Москва, вн.тер.г. муниципальный округ Западное Дегунино, ш Дмитровское, д. 85, помещ. 220</t>
  </si>
  <si>
    <t>624091, Свердловская обл., г. Верхняя Пышма, проспект Успенский, д. 1</t>
  </si>
  <si>
    <t>620014, Свердловская обл., г. Екатеринбург, ул. Малышева стр. 36 офис 211</t>
  </si>
  <si>
    <t>456720, Челябинская обл., Кунашакский район, пос. Муслюмово, Железнодорожная Станция, тер. Кунашакская Птицефабрика, д. 1</t>
  </si>
  <si>
    <t>394018, Воронежская обл., г. Воронеж, ул. Платонова, д. 4 офис 511</t>
  </si>
  <si>
    <t>462353, Оренбургская обл., г. Новотроицк, ул. Заводская, д. 1</t>
  </si>
  <si>
    <t>119121, г. Москва, ул. Плющиха, д. 42 пом. II ком. 1-5 этаж 1</t>
  </si>
  <si>
    <t>620025, Свердловская обл., г. Екатеринбург, пер. Утренний, д. 1-Г</t>
  </si>
  <si>
    <t>461431, Оренбургская обл, м.р-н Сакмарский, с.п. Татаро-Каргалинский сельсовет, с Татарская Каргала, ул Дорожная, д. 30, этаж 2, КАБ 27</t>
  </si>
  <si>
    <t>450052, Башкортостан респ., г. Уфа, ул. Достоевского, д. 29 пом. 1, к. 30</t>
  </si>
  <si>
    <t>623704, Свердловская обл., г. Березовский, ул. Транспортников, д. 50А</t>
  </si>
  <si>
    <t>454090, Челябинская обл, г.о. Челябинский, вн.р-н Центральный, г Челябинск, пр-кт Ленина, д. 28Д, помещ. 4 (ЭТАЖ 3), офис 6 (Бизнес-центр «Бовид»)</t>
  </si>
  <si>
    <t>682031, Хабаровский кр., Верхнебуреинский район, рабочий пос. Чегдомын, ул. Магистральная, стр. 2</t>
  </si>
  <si>
    <t>629305, Ямало-Ненецкий а.о., г. Новый Уренгой, ул. Магистральная, д. 8</t>
  </si>
  <si>
    <t>196191, г. Санкт-Петербург, проспект Ленинский, д. 168 (Бизнес-центр «Энергия»)</t>
  </si>
  <si>
    <t>123557, г. Москва, ул. Климашкина, д. 22 стр. 2</t>
  </si>
  <si>
    <t>454006, Челябинская обл., г. Челябинск, ул. Российская, д. 110 стр. 1 офис 512</t>
  </si>
  <si>
    <t>660064, Красноярский кр., г. Красноярск, ул. Капитанская, д. 14 пом. 349, офис 2-16</t>
  </si>
  <si>
    <t>352451, Краснодарский кр., Успенский район, с. Успенское, ул. Ленина, д. 291</t>
  </si>
  <si>
    <t>620058, Свердловская обл., г. Екатеринбург, проспект Космонавтов, д. 101-Б</t>
  </si>
  <si>
    <t>630088, Новосибирская обл., г. Новосибирск, ул. Сибиряков-Гвардейцев, д. 51/5 офис 310</t>
  </si>
  <si>
    <t>664007, Иркутская обл., г. Иркутск, проспект Большой Литейный, д. 4 офис А1001 (Бизнес-центр «Астра»)</t>
  </si>
  <si>
    <t>188477, Ленинградская обл., Кингисеппский район, тер. Морской Торговый Порт Усть-Луга (Вис) корп. КОМПЛЕКС НАЛИВНЫХ ГРУЗОВ</t>
  </si>
  <si>
    <t>680017, Хабаровский край, г.о. город Хабаровск, г Хабаровск, ул Ленина, д. 57, помещ. IV (23-58)</t>
  </si>
  <si>
    <t>625023, Тюменская обл., г. Тюмень, ул. Одесская, д. 5</t>
  </si>
  <si>
    <t>454080, Челябинская обл., г. Челябинск, ул. Энгельса, д. 3 каб. 410</t>
  </si>
  <si>
    <t>125284, г. Москва, проспект Ленинградский, д. 31А стр. 1 этаж 3 пом. I ком. 2,3,5,6,11А,11Б</t>
  </si>
  <si>
    <t>628183, Ханты-Мансийский Автономный Округ - Югра, г. Нягань, проезд 8-Й, д. 1 корп. 11</t>
  </si>
  <si>
    <t>117420, г. Москва, ул. Намёткина, д. 12А этаж 19 (Бизнес-центр «Газойл Плаза»)</t>
  </si>
  <si>
    <t>169710, Коми респ., г. Усинск, ул. Промышленная, д. 12</t>
  </si>
  <si>
    <t>450030, Башкортостан респ., г. Уфа, ул. Индустриальное Шоссе, д. ЗД. 119</t>
  </si>
  <si>
    <t>450098, Башкортостан респ., г. Уфа, ул. Российская, д. 157 к. 2</t>
  </si>
  <si>
    <t>450001, Башкортостан респ., г. Уфа, проспект Октября, д. 4/3</t>
  </si>
  <si>
    <t>622012, Свердловская обл., г. Нижний Тагил, шоссе Северное, д. 21</t>
  </si>
  <si>
    <t>620100, Свердловская обл., г. Екатеринбург, ул. Ткачей, д. 6</t>
  </si>
  <si>
    <t>620137, Свердловская обл., г. Екатеринбург, ул. Учителей, д. 34 офис 215</t>
  </si>
  <si>
    <t>453700, Башкортостан респ., Учалинский район, г. Учалы, ул. Горнозаводская, д. 2</t>
  </si>
  <si>
    <t>652700, Кемеровская область - Кузбасс, г. Киселевск, ул. Сетевая, д. 32</t>
  </si>
  <si>
    <t>160555, Вологодская обл., г. Вологда, пгт. Молочное, ул. Панкратова, д. 15</t>
  </si>
  <si>
    <t>121069, г. Москва, пер. Столовый, д. 4 стр. 4 кв. 1</t>
  </si>
  <si>
    <t>125047, г. Москва, ул. 1-Я Брестская, д. 42 пом. 2</t>
  </si>
  <si>
    <t>620016, Свердловская обл., г. Екатеринбург, пос. Совхозный, ул. Гаражная, д. 6 к. Б</t>
  </si>
  <si>
    <t>624130, Свердловская обл., г. Новоуральск, ул. Дзержинского, д. ЗД. 2</t>
  </si>
  <si>
    <t>125413, г. Москва, проезд Солнечногорский, д. 4</t>
  </si>
  <si>
    <t>127562, г. Москва, ул. Декабристов, д. 8 (Торгово-деловой комплекс на Ул. Декабристов, 8)</t>
  </si>
  <si>
    <t>606000, Нижегородская обл., г. Дзержинск, шоссе Игумновское, д. 1</t>
  </si>
  <si>
    <t>117403, г. Москва, ул. Никопольская, д. 4</t>
  </si>
  <si>
    <t>353181, Краснодарский кр., Кореновский район, г. Кореновск, пер. Радужный, д. 1</t>
  </si>
  <si>
    <t>141981, Московская обл., г. Дубна, ул. Академика Алексея Сисакяна, д. 5</t>
  </si>
  <si>
    <t>214025, Смоленская обл., г. Смоленск, туп. Чуриловский, д. 6/2</t>
  </si>
  <si>
    <t>456554, Челябинская обл., г. Коркино, ул. 30 Лет Влксм, д. 189А</t>
  </si>
  <si>
    <t>108811, г. Москва, км. Киевское Шоссе 22-Й (П Московский), домовладение 6 стр. 1 ком. 95</t>
  </si>
  <si>
    <t>117246, г. Москва, вн.тер.г. муниципальный округ Черемушки, проезд Научный, д. 17, помещ. XII (Бизнес-центр «Научный проезд 17»)</t>
  </si>
  <si>
    <t>140073, Московская обл., г. Люберцы, рабочий пос. Томилино, микрорайон Птицефабрика, владение 2С2 пом. 13</t>
  </si>
  <si>
    <t>140073, Московская обл., г. Люберцы, рабочий пос. Томилино, микрорайон Птицефабрика, литера 2С2 офис 15</t>
  </si>
  <si>
    <t>143968, Московская обл., г. Реутов, ул. Мкад 2 Км, д. 7 пом. 15</t>
  </si>
  <si>
    <t>117186, г. Москва, вн.тер.г. муниципальный округ Котловка, ул Нагорная, д. 24, к. 9, эт./помещ. 1/II, ком. 6Е</t>
  </si>
  <si>
    <t>191187, г. Санкт-Петербург, ул. Чайковского, д. 15</t>
  </si>
  <si>
    <t>127282, г. Москва, проезд Чермянский, д. 7 офис 2415 (Бизнес-центр «Чермянский»)</t>
  </si>
  <si>
    <t>121552, г. Москва, ул. Ярцевская, д. 19 пом. CLVI (Бизнес-центр «Кунцево Плаза»)</t>
  </si>
  <si>
    <t>123308, г. Москва, вн.тер.г. муниципальный округ Хорошево-Мневники, ул Мнёвники, д. 3, к. 1, этаж 5, ком. 511</t>
  </si>
  <si>
    <t>690001, Приморский край, г.о. Владивостокский, г Владивосток, ул Пушкинская, д. 40, офис 201, помещ. 3</t>
  </si>
  <si>
    <t>238411, Калининградская обл., Правдинский район, пос. Костромино</t>
  </si>
  <si>
    <t>115280, г. Москва, ул. Ленинская Слобода, д. 26 пом. XXXII этаж 5 ком. 91 (Бизнес-центр «Omega Plaza Омега-2 корпус А»)</t>
  </si>
  <si>
    <t>107370, г. Москва, ул. Тюменская, д. 5 стр. 15</t>
  </si>
  <si>
    <t>355007, Ставропольский кр., г. Ставрополь, ул. Огородная, д. 2 к. В</t>
  </si>
  <si>
    <t>625031, Тюменская обл., г. Тюмень, ул. Ветеранов Труда, д. 58 стр. 18</t>
  </si>
  <si>
    <t>107140, г. Москва, пер. Леснорядский, д. 18 стр. 2 этаж 3 пом. I каб. 5</t>
  </si>
  <si>
    <t>109382, г. Москва, ул. Судакова, д. 10 этаж 4 каб. 414 (Бизнес-центр «Судакова Плаза»)</t>
  </si>
  <si>
    <t>109428, г. Москва, проспект Рязанский, д. 16 стр. 1 этаж 7 пом. I ком. 3</t>
  </si>
  <si>
    <t>194356, г. Санкт-Петербург, дор. В Каменку, д. 74 пом. 1-Н (Бизнес-центр «Новоорловский»)</t>
  </si>
  <si>
    <t>344009, Ростовская обл., г. Ростов-На-Дону, проспект Шолохова, д. 211 ком. 10</t>
  </si>
  <si>
    <t>344065, Ростовская обл., г. Ростов-На-Дону, пер. Беломорский, д. 94</t>
  </si>
  <si>
    <t>163062, Архангельская обл., г. Архангельск, ул. Папанина, д. 19</t>
  </si>
  <si>
    <t>665806, Иркутская обл., г. Ангарск, квартал 18, д. 4</t>
  </si>
  <si>
    <t>125009, г. Москва, ул. Дмитровка Б., д. 7/5 стр. 5</t>
  </si>
  <si>
    <t>119285, г. Москва, шоссе Воробьёвское, д. 6 офис ПОМЕЩЕН 23 КАБИН 32 (Бизнес-центр «Воробьёвское 6»)</t>
  </si>
  <si>
    <t>603009, Нижегородская обл., г. Нижний Новгород, проспект Гагарина, д. 37 д пом. П23</t>
  </si>
  <si>
    <t>124460, г. Москва, вн.тер.г. муниципальный округ Силино, г Зеленоград, пр-кт Генерала Алексеева, д. 42, стр. 1, этаж 2, помещ. 60-63</t>
  </si>
  <si>
    <t>450065, Башкортостан респ., г. Уфа, ул. Буревестника, д. 12 офис 4</t>
  </si>
  <si>
    <t>364024, Чеченская респ., г. Грозный, ул. Гражданская, д. 67</t>
  </si>
  <si>
    <t>121471, г. Москва, шоссе Можайское, д. 29 этаж 1 пом. VI ком. 39 офис 57</t>
  </si>
  <si>
    <t>248901, Калужская обл., г. Калуга, ул. Труда, д. 30А ком. 7</t>
  </si>
  <si>
    <t>141075, Московская обл., г. Королёв, ул. Исаева, д. 2А</t>
  </si>
  <si>
    <t>350018, Краснодарский кр., г. Краснодар, ул. Сормовская, д. 7 литера Г офис 139</t>
  </si>
  <si>
    <t>141701, Московская обл., г. Долгопрудный, проезд Лихачевский, д. 5 корп. Б</t>
  </si>
  <si>
    <t>142700, Московская обл., г. Видное, шоссе Белокаменное, д. 7А</t>
  </si>
  <si>
    <t>121096, г. Москва, ул. Василисы Кожиной, д. 1 этаж 13 пом. I ком. 23 (Бизнес-парк «G 10» Строящийся)</t>
  </si>
  <si>
    <t>660077, Красноярский кр., г. Красноярск, ул. 78 Добровольческой Бригады, д. 14 к. А кв. 211</t>
  </si>
  <si>
    <t>119071, г. Москва, проспект Ленинский, д. 15 этаж ,П,К, офис 3,IV,7,313 (Офисное здание «Ленинский 15»)</t>
  </si>
  <si>
    <t>142718, Московская обл., г. Видное, с. Булатниково, шоссе Симферопольское, д. 3 этаж / каб. 7/301</t>
  </si>
  <si>
    <t>125375, г. Москва, бульвар Тверской, д. 26А</t>
  </si>
  <si>
    <t>127018, г. Москва, вн.тер.г. муниципальный округ Марьина роща, проезд Марьиной Рощи 3-й, д. 40, стр. 1, помещ. 22/22</t>
  </si>
  <si>
    <t>670045, Бурятия респ., г. Улан-Удэ, ул. Третьякова, д. 25З</t>
  </si>
  <si>
    <t>620026, Свердловская обл., г. Екатеринбург, ул. Куйбышева, д. 44</t>
  </si>
  <si>
    <t>105120, г. Москва, пер. Костомаровский, д. 2</t>
  </si>
  <si>
    <t>693020, Сахалинская обл., г. Южно-Сахалинск, ул. Курильская, д. 38</t>
  </si>
  <si>
    <t>683000, Камчатский кр., г. Петропавловск-Камчатский, ул. Ленинская, д. 26</t>
  </si>
  <si>
    <t>214010, Смоленская обл, м.р-н Смоленский, с.п. Корохоткинское, д Магалинщина, ул Заречная, зд. 3Б, офис 4</t>
  </si>
  <si>
    <t>127287, г. Москва, ул. Хуторская 2-Я, д. 38А стр. 26 (Бизнес-центр «MirLand 38Ас26»)</t>
  </si>
  <si>
    <t>423800, Татарстан респ., г. Набережные Челны, проезд Индустриальный, д. 37</t>
  </si>
  <si>
    <t>119330, г. Москва, ул. Мосфильмовская, д. 17Б мансарда пом. II ком. 8</t>
  </si>
  <si>
    <t>350900, Краснодарский край, г.о. город Краснодар, г Краснодар, ул Оливковая, д. 1, к. 61, кв. 1</t>
  </si>
  <si>
    <t>601211, Владимирская обл., Собинский район, с. Ворша, тер. Кондитерская Фабрика Ферреро</t>
  </si>
  <si>
    <t>425200, Марий Эл респ., Медведевский район, пгт. Медведево, ул. Железнодорожная, д. 11</t>
  </si>
  <si>
    <t>445000, Самарская обл., г. Тольятти, шоссе Поволжское, владение 3 офис 4</t>
  </si>
  <si>
    <t>353208, Краснодарский кр., Динской район, пос. Агроном, ул. Гаражная, д. 1Б/3</t>
  </si>
  <si>
    <t>603000, Нижегородская обл., г. Нижний Новгород, ул. Нестерова, д. 22 пом. 5,6</t>
  </si>
  <si>
    <t>630091, Новосибирская обл., г. Новосибирск, ул. Державина, д. 13 офис 4/3</t>
  </si>
  <si>
    <t>630091, Новосибирская обл., г. Новосибирск, ул. Советская, д. 52 офис 211</t>
  </si>
  <si>
    <t>196158, г. Санкт-Петербург, шоссе Пулковское, д. 40 к. 4 литера А офис А 7060</t>
  </si>
  <si>
    <t>141840, Московская обл., г. Яхрома, ул. Заречная, владение 6</t>
  </si>
  <si>
    <t>121471, г. Москва, ул. Рябиновая, д. 43А пом. 16</t>
  </si>
  <si>
    <t>109117, г. Москва, вн.тер.г. муниципальный округ Кузьминки, ул Окская, д. 8, к. 2, эт/п/к/оф 1/III/1/28</t>
  </si>
  <si>
    <t>121087, г. Москва, проезд Береговой, д. 4/6 стр. 4</t>
  </si>
  <si>
    <t>663620, Красноярский кр., Канский район, с. Филимоново, ул. Трактовая, д. 30 стр. 25</t>
  </si>
  <si>
    <t>188508, Ленинградская обл, м.р-н Ломоносовский, г.п. Виллозское, тер Северная часть промзоны Горелово, ш Волхонское, д. 7</t>
  </si>
  <si>
    <t>107023, г. Москва, ул. Измайловский Вал, д. 30 (Бизнес-центр на Ул. Измайловский Вал, 30)</t>
  </si>
  <si>
    <t>107140, г. Москва, ул. Верхняя Красносельская, д. 3А этаж 5 пом. 6</t>
  </si>
  <si>
    <t>105094, г. Москва, вн.тер.г. муниципальный округ Соколиная гора, ул Золотая, д. 11, стр. 2, помещ. 214</t>
  </si>
  <si>
    <t>680000, Хабаровский кр., г. Хабаровск, ул. Шеронова, д. 103 кв. 89</t>
  </si>
  <si>
    <t>125009, г. Москва, пер. Романов, д. 3 стр. 6 пом. 3 этаж 1 ком. 009Б</t>
  </si>
  <si>
    <t>630015, Новосибирская обл., г. Новосибирск, ул. Электрозаводская, д. 4 этаж 3 офис 308</t>
  </si>
  <si>
    <t>191119, г. Санкт-Петербург, ул. Тюшина, д. 11 к. А</t>
  </si>
  <si>
    <t>117420, г. Москва, вн.тер.г. муниципальный округ Черемушки, ул Намёткина, д. 8, стр. 1, этаж 4, офис 419</t>
  </si>
  <si>
    <t>127051, г. Москва, бульвар Цветной, д. 2 (Многофункциональный комплекс «Легенда Цветного»)</t>
  </si>
  <si>
    <t>142717, Московская обл, г.о. Ленинский, п Развилка, тер Квартал 1, влд. 7, помещ. КАБИНЕТ 160</t>
  </si>
  <si>
    <t>660079, Красноярский кр., г. Красноярск, ул. Мусоргского, д. ЗД. 18</t>
  </si>
  <si>
    <t>369415, Карачаево-Черкесская респ., Хабезский район, аул Малый Зеленчук, ул. Ш.Шакова, д. ЗД. 2А к. 1</t>
  </si>
  <si>
    <t>614531, Пермский кр., Пермский район, пос. Ферма, ул. Нефтяников, д. 25</t>
  </si>
  <si>
    <t>420087, Татарстан респ., г. Казань, ул. Аделя Кутуя, д. 159</t>
  </si>
  <si>
    <t>192148, г. Санкт-Петербург, ул. Пинегина, д. 4</t>
  </si>
  <si>
    <t>190020, г. Санкт-Петербург, набережная Обводного Канала, д. 223/225 литера М</t>
  </si>
  <si>
    <t>107140, г. Москва, пер. 1-Й Красносельский, д. 3 пом. I ком. 75</t>
  </si>
  <si>
    <t>143441, Московская обл., г. Красногорск, д. Путилково, тер. Гринвуд, тер. "ГРИНВУД" стр. 23 этаж 1 помещения №№ 71,72</t>
  </si>
  <si>
    <t>295493, Крым Респ, г.о. Симферополь, пгт Грэсовский, ул Кржижановского, зд. 38, офис 402</t>
  </si>
  <si>
    <t>198152, г. Санкт-Петербург, вн.тер.г. муниципальный округ Автово, ул Краснопутиловская, д. 67, литера А, помещ. 1-Н, офис 366</t>
  </si>
  <si>
    <t>109235, г. Москва, набережная Курьяновская, д. 11 каб. 83</t>
  </si>
  <si>
    <t>108804, г. Москва, вн.тер.г. поселение Кокошкино, дп Кокошкино, ул Дзержинского, д. 4А</t>
  </si>
  <si>
    <t>115184, г. Москва, вн.тер.г. муниципальный округ Замоскворечье, ул Новокузнецкая, д. 7/11, стр. 1, этаж 3, КАБ. 338</t>
  </si>
  <si>
    <t>445007, Самарская обл, г.о. Тольятти, г Тольятти, проезд Тупиковый, влд. 26</t>
  </si>
  <si>
    <t>108802, г. Москва, вн.тер.г. поселение Сосенское, д Николо-Хованское, д. 1000Д, офис 301</t>
  </si>
  <si>
    <t>140108, Московская обл., г. Раменское, ул. Михалевича, д. 49 офис 310</t>
  </si>
  <si>
    <t>195027, г. Санкт-Петербург, вн.тер.г. муниципальный округ Финляндский округ, наб Свердловская, д. 44, литера Ю, офис 702</t>
  </si>
  <si>
    <t>123557, г. Москва, вн.тер.г. муниципальный округ Пресненский, пер Электрический, д. 3/10, стр. 3, ком. 8, офис 306Б</t>
  </si>
  <si>
    <t>141407, Московская обл, г.о. Химки, г Химки, ул Строителей, д. 4В, этаж 1, помещ. 4</t>
  </si>
  <si>
    <t>690054, Приморский кр., г. Владивосток, ул. 2-Я Шоссейная, д. 1 каб. 125</t>
  </si>
  <si>
    <t>400016, Волгоградская обл., г. Волгоград, проспект Волжский, д. 4К</t>
  </si>
  <si>
    <t>394033, Воронежская обл, г.о. город Воронеж, г Воронеж, ул Землячки, д. 21, помещ. 55-63</t>
  </si>
  <si>
    <t>620057, Свердловская обл., г. Екатеринбург, ул. Таганская, д. 60</t>
  </si>
  <si>
    <t>350072, Краснодарский кр., г. Краснодар, ул. Московская, д. 109 офис 5</t>
  </si>
  <si>
    <t>660048, Красноярский кр., г. Красноярск, ул. Караульная, д. 5А пом. 2 ком. 13</t>
  </si>
  <si>
    <t>630068, Новосибирская обл, г.о. город Новосибирск, г Новосибирск, ул Приграничная, д. 1/4</t>
  </si>
  <si>
    <t>196626, г. Санкт-Петербург, пос. Шушары, шоссе Московское, д. 161 к. 10 литера Л</t>
  </si>
  <si>
    <t>214030, Смоленская обл., г. Смоленск, шоссе Краснинское, д. 14 пом. 14Б</t>
  </si>
  <si>
    <t>625059, Тюменская обл., г. Тюмень, ул. Тимофея Чаркова, д. 10</t>
  </si>
  <si>
    <t>428022, Чувашская Республика - Чувашия, г. Чебоксары, проезд Складской, д. 6 пом. 13</t>
  </si>
  <si>
    <t>125284, г. Москва, проспект Ленинградский, д. 31А стр. 1 этаж / пом. 14/1</t>
  </si>
  <si>
    <t>125167, г. Москва, вн.тер.г. муниципальный округ Аэропорт, пр-кт Ленинградский, д. 36, этаж 3, помещ. 198</t>
  </si>
  <si>
    <t>197022, г. Санкт-Петербург, ул. Профессора Попова, д. 37 литера Щ офис 831 (Бизнес-центр «Сенатор 37Щ»)</t>
  </si>
  <si>
    <t>107553, г. Москва, ул. Черкизовская Б., д. 125 к. 1</t>
  </si>
  <si>
    <t>141402, Московская обл., г. Химки, ул. Ленинградская, д. 29 этаж 2 каб. 98</t>
  </si>
  <si>
    <t>105082, г. Москва, вн.тер.г. муниципальный округ Басманный, ул Фридриха Энгельса, д. 75, стр. 21, этаж 4, помещ. 407 (Бизнес-центр «Иткол-Бауманская»)</t>
  </si>
  <si>
    <t>129626, г. Москва, ул. 3-Я Мытищинская, д. 10 стр. 7 этаж 1 пом. III ком. 2</t>
  </si>
  <si>
    <t>141595, Московская обл., г. Солнечногорск, д. Ложки</t>
  </si>
  <si>
    <t>117393, г. Москва, вн.тер.г. муниципальный округ Обручевский, ул Профсоюзная, д. 56, этаж/помещ. 3/XIX, ком. 176 (Торгово-офисный центр «Черемушки (Cherry Tower)»)</t>
  </si>
  <si>
    <t>142821, Московская обл, г.о. Ступино, д Шматово, ул Индустриальная, влд. 33</t>
  </si>
  <si>
    <t>115201, г. Москва, ул. Котляковская, д. 3 стр. 19</t>
  </si>
  <si>
    <t>353900, Краснодарский кр., г. Новороссийск, ул. Мира, д. 2 к. И</t>
  </si>
  <si>
    <t>117418, г. Москва, вн.тер.г. муниципальный округ Черемушки, пр-кт Нахимовский, д. 31, к. 3, помещ. 2/1/8</t>
  </si>
  <si>
    <t>344011, Ростовская обл, г.о. город Ростов-на-Дону, г Ростов-на-Дону, пер Доломановский, д. 70Д, этаж 14, помещ. 14-43 (Бизнес-центр «Гвардейский»)</t>
  </si>
  <si>
    <t>141727, Московская обл., г. Долгопрудный, шоссе Новое (Павельцево Мкр), д. 34 стр. 4</t>
  </si>
  <si>
    <t>143002, Московская обл, Одинцово г, г.о. Одинцовский, ул Южная, д. 16</t>
  </si>
  <si>
    <t>127273, г. Москва, ул. Отрадная, д. 2Б стр. 1 этаж 8 (Бизнес-центр «Фаза II здание А»)</t>
  </si>
  <si>
    <t>141407, Московская обл, г.о. Химки, г Химки, ул Панфилова, влд. 21, стр. 1, этаж 16, помещ. 3 (Деловой центр «Кантри Парк Кантри Парк III»)</t>
  </si>
  <si>
    <t>141407, Московская обл, г.о. Химки, г Химки, ул Панфилова, влд. 21, стр. 1, этаж 16, помещ. 2 (Деловой центр «Кантри Парк Кантри Парк III»)</t>
  </si>
  <si>
    <t>117630, г. Москва, ул. Обручева, д. 23 к. 3 пом. XXI ком. 8З</t>
  </si>
  <si>
    <t>119571, г. Москва, проспект Ленинский, д. 148 этаж 1 пом. 2 ком. 21</t>
  </si>
  <si>
    <t>119571, г. Москва, проспект Ленинский, д. 148</t>
  </si>
  <si>
    <t>248926, Калужская обл., г. Калуга, ул. Автомобильная, д. 1</t>
  </si>
  <si>
    <t>127474, г. Москва, вн.тер.г. муниципальный округ Бескудниковский, ш Дмитровское, д. 60А, помещ. XII, ком. 22 (Бизнес-центр «Лихоборский»)</t>
  </si>
  <si>
    <t>117418, г. Москва, ул. Новочерёмушкинская, д. 63 Э/ пом. / ком. 1/VI/92</t>
  </si>
  <si>
    <t>142200, Московская обл, г.о. Серпухов, г Серпухов, пл Ленина, д. 4, этаж 2 ПОМЕЩ.18</t>
  </si>
  <si>
    <t>620017, Свердловская обл., г. Екатеринбург, ул. Фронтовых Бригад, д. 33</t>
  </si>
  <si>
    <t>450081, Башкортостан респ., г. Уфа, ул. Российская, д. 15 этаж 1</t>
  </si>
  <si>
    <t>454090, Челябинская обл, г.о. Челябинский, вн.р-н Центральный, г Челябинск, ул Маркса, д. 38, офис 606 (Бизнес-центр «Аркаим Плаза»)</t>
  </si>
  <si>
    <t>614068, Пермский край, г.о. Пермский, г Пермь, ул Решетникова, д. 4, офис 301</t>
  </si>
  <si>
    <t>628426, Ханты-Мансийский Автономный Округ - Югра, г. Сургут, ул. Маяковского, д. 53</t>
  </si>
  <si>
    <t>248903, Калужская обл., г. Калуга, тер. Промзона Индустриальный Парк Росва, д. ЗД 30 пом. 3</t>
  </si>
  <si>
    <t>197341, г. Санкт-Петербург, бульвар Серебристый, д. 21 литера А пом. 40-Н Р. М. 3</t>
  </si>
  <si>
    <t>190000, г. Санкт-Петербург, бульвар Конногвардейский, д. 4 литера А пом. 50-Н ком. 4</t>
  </si>
  <si>
    <t>644527, Омская обл., Омский район, пос. Ростовка, д. 23</t>
  </si>
  <si>
    <t>620100, Свердловская обл., г. Екатеринбург, ул. Ткачей, д. 23 офис 604 (Бизнес-центр «Clever Park здание Б»)</t>
  </si>
  <si>
    <t>150044, Ярославская обл., г. Ярославль, ул. Базовая, д. 3 офис 233</t>
  </si>
  <si>
    <t>109443, г. Москва, проспект Волгоградский, д. 139 офис 10</t>
  </si>
  <si>
    <t>115088, г. Москва, ул. Шарикоподшипниковская, д. 4 к. 2 этаж МАНС пом. VI ком. 21</t>
  </si>
  <si>
    <t>129272, г. Москва, туп. Трифоновский, д. 3 стр. 1 этаж 2</t>
  </si>
  <si>
    <t>195030, г. Санкт-Петербург, проспект Ириновский, д. 22 к. 3 литера А пом. 1Н, ком. 2</t>
  </si>
  <si>
    <t>390540, Рязанская обл, м.р-н Рязанский, с.п. Окское, д Ялтуново, тер. фармацевтического комплекса, стр. 1А</t>
  </si>
  <si>
    <t>115201, г. Москва, шоссе Каширское, д. 22 к. 4</t>
  </si>
  <si>
    <t>346404, Ростовская обл, г.о. город Новочеркасск, г Новочеркасск, ш Харьковское, д. 10, офис 37</t>
  </si>
  <si>
    <t>346404, Ростовская обл, г.о. город Новочеркасск, г Новочеркасск, ш Харьковское, д. 10, офис 27</t>
  </si>
  <si>
    <t>344002, Ростовская обл., г. Ростов-На-Дону, ул. Красноармейская, д. 142 к. 50 кв. 321</t>
  </si>
  <si>
    <t>127055, г. Москва, ул. Новослободская, д. 41 этаж 6 пом. I (Бизнес-центр «Чайка Плаза 7»)</t>
  </si>
  <si>
    <t>105064, г. Москва, пер. Нижний Сусальный, д. 5 стр. 19 этаж 2 пом. XII ком. №17</t>
  </si>
  <si>
    <t>123112, г. Москва, набережная Пресненская, д. 10 этаж 15 пом. 20 (Бизнес-центр «Naberezhnaya Tower»)</t>
  </si>
  <si>
    <t>344037, Ростовская обл., г. Ростов-На-Дону, ул. 20-Я Линия, д. 22</t>
  </si>
  <si>
    <t>108811, г. Москва, вн.тер.г. поселение Московский, км Киевское шоссе 22-й (п Московский), двлд. 6, стр. 1, офис 3/2, помещ./ком. IV/16</t>
  </si>
  <si>
    <t>127083, г. Москва, ул. 8 Марта, д. 1 стр. 12 пом. XXXI ком. 3 (Бизнес-центр "Трио")</t>
  </si>
  <si>
    <t>620014, Свердловская обл., г. Екатеринбург, ул. Хохрякова, д. 48 кв. 127</t>
  </si>
  <si>
    <t>620026, Свердловская обл., г. Екатеринбург, ул. Розы Люксембург стр. 49 офис 705 (Бизнес-центр «Онегин Плаза»)</t>
  </si>
  <si>
    <t>119333, г. Москва, проспект Ленинский, д. 55/1 стр. 1</t>
  </si>
  <si>
    <t>309560, Белгородская обл., Чернянский район, пос. Чернянка, база МИНЕРАЛЬНЫХ УДОБРЕНИЙ</t>
  </si>
  <si>
    <t>607400, Нижегородская обл., г. Перевоз, ул. Промзона, д. ЗД. 4</t>
  </si>
  <si>
    <t>344068, Ростовская обл., г. Ростов-На-Дону, проспект Михаила Нагибина, д. 30И (Бизнес-центр «Аметист»)</t>
  </si>
  <si>
    <t>350004, Краснодарский кр., г. Краснодар, ул. Им. Передерия, д. 71/1</t>
  </si>
  <si>
    <t>305025, Курская обл., г. Курск, проезд Магистральный, д. 36</t>
  </si>
  <si>
    <t>398024, Липецкая обл., г. Липецк, ул. П.А. Папина, д. 2</t>
  </si>
  <si>
    <t>303900, Орловская обл., Урицкий район, пгт. Нарышкино, пер. Промышленный, д. 22 к. А</t>
  </si>
  <si>
    <t>162625, Вологодская обл, г.о. город Череповец, г Череповец, ш Северное, д. 77</t>
  </si>
  <si>
    <t>356532, Ставропольский кр., Петровский район, г. Светлоград, микрорайон Промзона, д. ЗД. 12</t>
  </si>
  <si>
    <t>393741, Тамбовская обл., Мичуринский район, пос. Зеленый Гай, ул. Новая Площадка, д. 10</t>
  </si>
  <si>
    <t>394065, Воронежская обл., г. Воронеж, проспект Патриотов, д. 65-Н</t>
  </si>
  <si>
    <t>445007, Самарская обл., г. Тольятти, ул. Новозаводская, д. 2 д</t>
  </si>
  <si>
    <t>117292, г. Москва, вн.тер.г. муниципальный округ Академический, ул Профсоюзная, д. 3, этаж 6, помещ. 612 (Бизнес-центр)</t>
  </si>
  <si>
    <t>413111, Саратовская обл., г. Энгельс, проспект Фридриха Энгельса, д. 207</t>
  </si>
  <si>
    <t>117246, г. Москва, вн.тер.г. муниципальный округ Черемушки, проезд Научный, д. 19, помещ. 9 (Бизнес-центр «9 Acres»)</t>
  </si>
  <si>
    <t>125167, г. Москва, проспект Ленинградский, д. 37 к. 9 этаж 3 пом. XXIV, ком. 15</t>
  </si>
  <si>
    <t>119334, г. Москва, вн.тер.г. муниципальный округ Гагаринский, пр-кт Ленинский, д. 41/2, помещ. IIB, ком. 41</t>
  </si>
  <si>
    <t>115088, г. Москва, ул. Угрешская, д. 2 стр. 6 ком. 09</t>
  </si>
  <si>
    <t>123308, г. Москва, проспект Маршала Жукова, д. 4 (Бизнес-центр на Проспекте Маршала Жукова, 4)</t>
  </si>
  <si>
    <t>115230, г. Москва, проезд Хлебозаводский, д. 7 стр. 9 этаж 8 пом. XV ком. 18П/(РМ20Б) (Бизнес-центр "Калейдоскоп")</t>
  </si>
  <si>
    <t>346720, Ростовская обл., Аксайский район, г. Аксай, проспект Аксайский, д. 19 ком. 19</t>
  </si>
  <si>
    <t>142842, Московская обл., г. Ступино, д. Сидорово, ул. Дорожная, владение 2 А</t>
  </si>
  <si>
    <t>300012, Тульская обл., г. Тула, ул. Михеева, д. 11Б офис 1, этаж 1</t>
  </si>
  <si>
    <t>302031, Орловская обл., г. Орёл, шоссе Новосильское, д. 20А</t>
  </si>
  <si>
    <t>142000, Московская обл., г. Домодедово, тер. Трио-Инвест-Ям (Центральный Мкр.) стр. 4</t>
  </si>
  <si>
    <t>142900, Московская обл., г. Кашира, ул. Меженинова, д. 5</t>
  </si>
  <si>
    <t>606522, Нижегородская обл., Городецкий район, г. Заволжье, ул. Железнодорожная, д. 1 стр. 45</t>
  </si>
  <si>
    <t>115054, г. Москва, набережная Космодамианская, д. 52 стр. 1 этаж 4 пом. II офис 4 (Бизнес-центр «Riverside Towers»)</t>
  </si>
  <si>
    <t>354000, Краснодарский край, г.о. город-курорт Сочи, г Сочи, ул Роз, д. 48А, помещ. 10,11,12,13,14</t>
  </si>
  <si>
    <t>141147, Московская обл., г. Щёлково, рабочий пос. Фряново, ул. Молодежная, д. 15</t>
  </si>
  <si>
    <t>187015, Ленинградская обл, м.р-н Тосненский, г.п. Красноборское, гп Красный Бор, ул Промышленная, д. 3, помещ. 138</t>
  </si>
  <si>
    <t>141800, Московская обл, Дмитров г, г.о. Дмитровский, ул Внуковская, д. 66, стр. 1, офис/этаж 2/2</t>
  </si>
  <si>
    <t>248903, Калужская обл., г. Калуга, с. Росва, тер. Индустриальный Парк Росва</t>
  </si>
  <si>
    <t>427261, Удмуртская респ., Увинский район, пос. Ува, ул. Заводская, д. 1 к. 0 кв. 0</t>
  </si>
  <si>
    <t>238300, Калининградская обл., Гурьевский район, г. Гурьевск, ул. Калининградское Шоссе, д. 21 к. А каб. 108</t>
  </si>
  <si>
    <t>248926, Калужская обл., г. Калуга, проезд 1-Й Автомобильный, д. 6</t>
  </si>
  <si>
    <t>301320, Тульская обл., Веневский район, г. Венев, шоссе Тульское, д. ЗД. 3А</t>
  </si>
  <si>
    <t>123298, г. Москва, ул. 3-Я Хорошёвская, д. 18 к. 2 офис 203</t>
  </si>
  <si>
    <t>355003, Ставропольский кр., г. Ставрополь, ул. Дзержинского, д. 162</t>
  </si>
  <si>
    <t>680009, Хабаровский край, г.о. город Хабаровск, г Хабаровск, ул Невская, д. 47</t>
  </si>
  <si>
    <t>301637, Тульская обл., Узловский район, ул. Индустриальная (Индустриальный Парк Тер.), д. ЗД. 11</t>
  </si>
  <si>
    <t>117342, г. Москва, ул. Профсоюзная, д. 65 к. 1 пом. XLIII ком. 5</t>
  </si>
  <si>
    <t>121374, г. Москва, шоссе Можайское, д. 2 этаж / пом. / ком. 1/XIIIА/1</t>
  </si>
  <si>
    <t>423872, Татарстан Респ, г.о. город Набережные Челны, г Набережные Челны, ул Корпорация Хайер, зд. 130</t>
  </si>
  <si>
    <t>123112, г. Москва, вн.тер.г. муниципальный округ Пресненский, наб Пресненская, д. 12, этаж 76, помещ. 7601 (Многофункциональный комплекс «Башня Федерация»)</t>
  </si>
  <si>
    <t>141431, г. Москва, ул. Комсомольская, д. 3А стр. 2 пом. 3.6 этаж 3</t>
  </si>
  <si>
    <t>142105, Московская обл, г.о. Подольск, г Подольск, ул Большая Серпуховская, д. 43, стр. 6, помещ. 2, офис 306</t>
  </si>
  <si>
    <t>142701, Московская обл., г. Видное, шоссе Белокаменное, владение 18</t>
  </si>
  <si>
    <t>603141, Нижегородская обл., г. Нижний Новгород, пос. Черепичный, д. 14</t>
  </si>
  <si>
    <t>192174, г. Санкт-Петербург, вн.тер.г. муниципальный округ Обуховский, ул Седова, д. 118, литера С, кв. 15</t>
  </si>
  <si>
    <t>125315, г. Москва, вн.тер.г. муниципальный округ Аэропорт, пр-кт Ленинградский, д. 72, к. 4, этаж 1 ПОМЕЩ. I, ком. 1.35А, 1.35B, 1.36, 1.37, 1.38, 1.39</t>
  </si>
  <si>
    <t>117342, г. Москва, вн.тер.г. муниципальный округ Коньково, ул Бутлерова, д. 17, этаж 5, ком. 239 (Торгово-офисный центр «Офисный центр Neo Geo»)</t>
  </si>
  <si>
    <t>249035, Калужская обл, г.о. город Обнинск, г Обнинск, ш Киевское, зд. 2, стр. 10</t>
  </si>
  <si>
    <t>121099, г. Москва, бульвар Новинский, д. 8 этаж 16 офис 1601 (Торговый центр «Lotte Plaza»)</t>
  </si>
  <si>
    <t>127018, г. Москва, ул. Двинцев, д. 12 к. 1</t>
  </si>
  <si>
    <t>162251, Вологодская обл., Харовский район, г. Харовск, ул. Красное Знамя, д. 25</t>
  </si>
  <si>
    <t>127106, г. Москва, вн.тер.г. муниципальный округ Отрадное, проезд Нововладыкинский, д. 8Б</t>
  </si>
  <si>
    <t>117623, г. Москва, ул. 2-Я Мелитопольская, владение 4А стр. 40 этаж 4, пом. 26</t>
  </si>
  <si>
    <t>423601, Татарстан респ., Елабужский район, ул. Ш-2 (Оэз Алабуга Тер.), д. 4/1</t>
  </si>
  <si>
    <t>123112, г. Москва, набережная Пресненская, д. 6 стр. 2 этаж 27 (Деловой комплекс "Империя")</t>
  </si>
  <si>
    <t>456790, Челябинская обл., г. Озерск, ул. Музрукова, д. 43 офис 206</t>
  </si>
  <si>
    <t>127572, г. Москва, ул. Угличская, д. 16 пом. 962Б (Бизнес-центр)</t>
  </si>
  <si>
    <t>196210, г. Санкт-Петербург, ул. Пилотов, д. 56 литера А пом. 112</t>
  </si>
  <si>
    <t>125212, г. Москва, вн.тер.г. муниципальный округ Головинский, ш Головинское, д. 5, к. 1, этаж 10,ОФИС 10022</t>
  </si>
  <si>
    <t>197701, г. Санкт-Петербург, вн.тер.г. город Сестрорецк, ш Левашовское, д. 20, к. 3, стр. 1</t>
  </si>
  <si>
    <t>123112, г. Москва, вн.тер.г. муниципальный округ Пресненский, проезд 1-й Красногвардейский, д. 21, стр. 1, этаж/этаж 31/32</t>
  </si>
  <si>
    <t>107553, г. Москва, вн.тер.г. муниципальный округ Преображенское, ул 1-я Пугачевская, д. 25, стр. 1, этаж 1, помещ. 1.3</t>
  </si>
  <si>
    <t>143985, Московская обл., г. Балашиха, ул. Автозаводская (Железнодорожный Мкр.), д. 52</t>
  </si>
  <si>
    <t>125315, г. Москва, проспект Ленинградский, д. 72 к. 4 этаж 9</t>
  </si>
  <si>
    <t>141402, Московская обл., г. Химки, ул. Ленинградская стр. 25 ком. 15.26 (Бизнес-центр «Mebe One Khimki Plaza»)</t>
  </si>
  <si>
    <t>123001, г. Москва, ул. Садовая-Кудринская, д. 32 стр. 2</t>
  </si>
  <si>
    <t>350038, Краснодарский кр., г. Краснодар, ул. Им. Володарского, д. 61 офис 1</t>
  </si>
  <si>
    <t>119530, г. Москва, шоссе Очаковское, д. 28 стр. 2 этаж 2 пом. II ком. 29 (Бизнес-парк "Дорохoff" (Дорохофф))</t>
  </si>
  <si>
    <t>614042, Пермский край, г.о. Пермский, г Пермь, ул Сивашская, д. 7, к. 1</t>
  </si>
  <si>
    <t>111524, г. Москва, ул. Электродная, д. 2 стр. 12-13-14 этаж 3 пом. IV ком. 16 офис 20</t>
  </si>
  <si>
    <t>429965, Чувашская Республика - Чувашия, г. Новочебоксарск, ул. Промышленная, д. 101</t>
  </si>
  <si>
    <t>123376, г. Москва, ул. Красная Пресня, д. 28 ком. 5 (310А)</t>
  </si>
  <si>
    <t>125424, г. Москва, шоссе Волоколамское, д. 75 к. 1</t>
  </si>
  <si>
    <t>350059, Краснодарский кр., г. Краснодар, ул. Им. Васнецова, д. 39 ком. 5 этаж 5</t>
  </si>
  <si>
    <t>410004, Саратовская обл., г. Саратов, ул. Набережная, д. 22</t>
  </si>
  <si>
    <t>665806, Иркутская обл., г. Ангарск, квартал 14, д. 1 кв. 309/1</t>
  </si>
  <si>
    <t>125464, г. Москва, вн.тер.г. муниципальный округ Митино, ш Волоколамское, д. 142, этаж 6 ПОМЕЩ. I, ком. 1 (Бизнес-центр «Ирбис»)</t>
  </si>
  <si>
    <t>129110, г. Москва, вн.тер.г. муниципальный округ Мещанский, ул Щепкина, д. 58, стр. 3, этаж 2, помещ. IV ОФИС 205 (Бизнес-центр)</t>
  </si>
  <si>
    <t>119048, г. Москва, вн.тер.г. муниципальный округ Хамовники, ул Кооперативная, д. 4, к. 15, помещ. 1/3</t>
  </si>
  <si>
    <t>121609, г. Москва, шоссе Рублёвское, д. 28 этаж / пом. / ком. 22/I/25 (Бизнес-центр «Profico»)</t>
  </si>
  <si>
    <t>119034, г. Москва, вн.тер.г. муниципальный округ Хамовники, пер Гагаринский, д. 25, помещение/этаж VIII/4, ком. 11</t>
  </si>
  <si>
    <t>143322, Московская обл., г. Наро-Фоминск, с. Атепцево, пл. Купца Алешина, владение 1 каб. 212</t>
  </si>
  <si>
    <t>620028, Свердловская обл., г. Екатеринбург, ул. Мельникова, д. 2</t>
  </si>
  <si>
    <t>620028, Свердловская обл., г. Екатеринбург, ул. Долорес Ибаррури стр. 2 офис 1002</t>
  </si>
  <si>
    <t>170518, Тверская обл, м.р-н Калининский, с.п. Никулинское, тер. Лебедево, ул Маршала Василевского, д. 1</t>
  </si>
  <si>
    <t>675020, Амурская обл., г. Благовещенск, ул. Чайковского, д. 315 офис 3</t>
  </si>
  <si>
    <t>196084, г. Санкт-Петербург, ул. Смоленская, д. 18А</t>
  </si>
  <si>
    <t>123022, г. Москва, ул. 2-Я Звенигородская, д. 13 стр. 42 пом. I</t>
  </si>
  <si>
    <t>454014, Челябинская обл., г. Челябинск, ул. Молодогвардейцев, д. 2А</t>
  </si>
  <si>
    <t>140108, Московская обл., г. Раменское, ул. Михалевича, д. 116 ком. 27</t>
  </si>
  <si>
    <t>628426, Ханты-Мансийский Автономный Округ - Югра, г. Сургут, ул. Маяковского, д. 38</t>
  </si>
  <si>
    <t>660079, Красноярский край, г.о. город Красноярск, г Красноярск, ул Александра Матросова, зд. 30, стр. 49</t>
  </si>
  <si>
    <t>197701, г. Санкт-Петербург, г. Сестрорецк, шоссе Левашовское, д. 20 стр. 1</t>
  </si>
  <si>
    <t>647460, Красноярский кр., Таймырский Долгано-Ненецкий район, с. Хатанга, ул. Советская, д. 42</t>
  </si>
  <si>
    <t>193231, г. Санкт-Петербург, вн.тер.г. муниципальный округ Правобережный, пр-кт Российский, д. 6, стр. 1, помещ. 11-Н</t>
  </si>
  <si>
    <t>357635, Ставропольский кр., г. Ессентуки, ул. Новопятигорская, д. 4 этаж / пом. 2/27</t>
  </si>
  <si>
    <t>141075, Московская обл., г. Королёв, проспект Космонавтов, д. 15 офис LXX</t>
  </si>
  <si>
    <t>191186, г. Санкт-Петербург, вн.тер.г. муниципальный округ Дворцовый округ, пер Волынский, д. 3А, литера А, помещ. 63-Н, ком. 1</t>
  </si>
  <si>
    <t>121601, г. Москва, бульвар Филёвский, д. 39 этаж 1 пом. 1 ком. 9</t>
  </si>
  <si>
    <t>347701, Ростовская обл., Кагальницкий район, станица Кагальницкая, ул. Привокзальная, д. 1</t>
  </si>
  <si>
    <t>644005, Омская обл., г. Омск, пер. Красный, д. 2 пом. 3</t>
  </si>
  <si>
    <t>140414, Московская обл., г. Коломна, ул. Цементников, д. 1</t>
  </si>
  <si>
    <t>412902, Саратовская обл., г. Вольск, ул. Цементников, д. 1</t>
  </si>
  <si>
    <t>111024, г. Москва, вн.тер.г. муниципальный округ Лефортово, ул 2-я Кабельная, д. 2, стр. 6, этаж 4, помещ. 2</t>
  </si>
  <si>
    <t>431770, Мордовия респ., Дубенский район, с. Дубенки, ул. 2-Ой Микрорайон, д. 77</t>
  </si>
  <si>
    <t>432012, Ульяновская обл., г. Ульяновск, ул. Луначарского, д. 23-В пом. 3</t>
  </si>
  <si>
    <t>399921, Липецкая обл., Чаплыгинский район, пос. Рощинский</t>
  </si>
  <si>
    <t>140182, Московская обл., г. Жуковский, ул. Гудкова, д. 21 этаж 1 пом. 14</t>
  </si>
  <si>
    <t>140126, Московская обл, г.о. Раменский, п Раменской агрохимстанции (РАОС), д. 16</t>
  </si>
  <si>
    <t>397420, Воронежская обл., Новохоперский район, с. Елань-Колено, ул. Деревягина, д. 17 пом. 4</t>
  </si>
  <si>
    <t>680033, Хабаровский край, г.о. город Хабаровск, г Хабаровск, ул Адмиральская, д. 10</t>
  </si>
  <si>
    <t>150506, Ярославская обл., Ярославский район, ст. Тенино, д. ЗД. 6</t>
  </si>
  <si>
    <t>422898, Татарстан респ., Алькеевский район, с. Сиктерме-Хузангаево, ул. Нижняя, д. 1А</t>
  </si>
  <si>
    <t>141400, Московская обл., г. Химки, ул. Ленинградская, д. ВЛ.39 стр. 6 пом. № ОВ02_04 (Бизнес-парк «Химки Бизнес Парк здание 2»)</t>
  </si>
  <si>
    <t>125171, г. Москва, шоссе Ленинградское, д. 16АСТР3</t>
  </si>
  <si>
    <t>129085, г. Москва, ул. Годовикова, д. 9 стр. 10 (Бизнес-парк «Калибр»)</t>
  </si>
  <si>
    <t>187111, Ленинградская обл., Киришский район, г. Кириши, ул. Мира, д. 13</t>
  </si>
  <si>
    <t>184250, Мурманская обл., г. Кировск, ул. Парковая, д. 14</t>
  </si>
  <si>
    <t>117393, г. Москва, ул. Академика Пилюгина, д. 22 пом. XLI (Бизнес-центр «Алгоритм»)</t>
  </si>
  <si>
    <t>115516, г. Москва, бульвар Кавказский, д. 58 стр. 1</t>
  </si>
  <si>
    <t>119027, г. Москва, тер. Внуково Аэропорт, д. 3 к. 1</t>
  </si>
  <si>
    <t>190020, г. Санкт-Петербург, проспект Нарвский, д. 14 к. 2 литера А пом. 6Н офис 1</t>
  </si>
  <si>
    <t>117218, г. Москва, ул. Дмитрия Ульянова, д. 42</t>
  </si>
  <si>
    <t>107031, г. Москва, ул. Кузнецкий Мост, д. 19 к. 2</t>
  </si>
  <si>
    <t>141006, Московская обл., г. Мытищи, шоссе Волковское, владение 5А стр. 1 офис 706 (Бизнес-центр «Волковский корпус 2»)</t>
  </si>
  <si>
    <t>141400, Московская обл., г. Химки, ул. Ленинградская, д. 9 офис ПОМЕЩЕНЕИЕ 002</t>
  </si>
  <si>
    <t>141402, Московская обл., г. Химки, ул. Ленинградская, владение 39 стр. 6 этаж / офис 7/3, 11 (Бизнес-парк «Химки Бизнес Парк здание 2»)</t>
  </si>
  <si>
    <t>354349, Краснодарский край, ф.т. Сириус, пгт. Сириус, б-р Надежд, д. 18</t>
  </si>
  <si>
    <t>141402, Московская обл, г.о. Химки, г Химки, ул Ленинградская, влд. 39, стр. 6, помещ. ОВ02_02А_06 (Бизнес-парк «Химки Бизнес Парк здание 2»)</t>
  </si>
  <si>
    <t>650021, Кемеровская область - Кузбасс, г. Кемерово, ул. Грузовая, д. 1 каб. 308А</t>
  </si>
  <si>
    <t>620026, Свердловская обл., г. Екатеринбург, ул. Белинского стр. 39 офис 620</t>
  </si>
  <si>
    <t>410005, Саратовская обл., г. Саратов, ул. Им Пугачева Е.И., д. 147/151 кв. 805</t>
  </si>
  <si>
    <t>350059, Краснодарский кр., г. Краснодар, ул. Новороссийская, д. 236 литера Е пом. 3</t>
  </si>
  <si>
    <t>628422, Ханты-Мансийский Автономный Округ - Югра, г.о. Сургут, г Сургут, ул Домостроителей, д. 5, офис 313</t>
  </si>
  <si>
    <t>650065, Кемеровская область - Кузбасс, г. Кемерово, проспект Ленинградский, д. 15 к. А кв. 74</t>
  </si>
  <si>
    <t>450050, Башкортостан Респ, г.о. город Уфа, г Уфа, ул Дагестанская, д. 25, помещ. 1</t>
  </si>
  <si>
    <t>109316, г. Москва, проезд Остаповский, д. 22 стр. 16</t>
  </si>
  <si>
    <t>629305, Ямало-Ненецкий а.о., г. Новый Уренгой, ул. Магистральная, ЗАПАДНАЯ ПРОМЗОНА ПАНЕЛЬ д</t>
  </si>
  <si>
    <t>199406, г. Санкт-Петербург, проспект Малый В.О., д. 68</t>
  </si>
  <si>
    <t>129090, г. Москва, ул. Гиляровского, д. 4 к. 1</t>
  </si>
  <si>
    <t>115054, г. Москва, пл. Павелецкая, д. 1А</t>
  </si>
  <si>
    <t>300004, Тульская обл., г. Тула, ул. Щегловская Засека, д. 31 офис 332</t>
  </si>
  <si>
    <t>101000, г. Москва, ул. Мясницкая, д. 44/1 стр. 4 этаж 1 часть помещения 1</t>
  </si>
  <si>
    <t>196084, г. Санкт-Петербург, ул. Парковая, д. 6 литера Л пом. 13Н №17</t>
  </si>
  <si>
    <t>107023, г. Москва, вн.тер.г. муниципальный округ Соколиная гора, ул Измайловский Вал, д. 30, этаж 4, ком. 415 (Бизнес-центр на Ул. Измайловский Вал, 30)</t>
  </si>
  <si>
    <t>123592, г. Москва, ул. Кулакова, д. 20 стр. 1А пом. XIV этаж 3 ком. 5 (Многофункциональный комплекс «Технопарк Орбита»)</t>
  </si>
  <si>
    <t>141112, Московская обл., г. Щёлково, ул. Московская, д. 1 пом. 102</t>
  </si>
  <si>
    <t>199106, г. Санкт-Петербург, вн.тер.г. муниципальный округ Гавань, ул. Шкиперский проток, д. 12, к. 2, стр. 1, этаж 7, помещ. 1Н, Ч.П. 2266</t>
  </si>
  <si>
    <t>143441, Московская обл., Красногорский район, пос. Путилково, ул. 69 Км Мкад, ООК ЗАО ГРИНВУД стр. 31</t>
  </si>
  <si>
    <t>188561, Ленинградская обл., Сланцевский район, г. Сланцы, шоссе Кингисеппское, д. 1</t>
  </si>
  <si>
    <t>305022, Курская обл., г. Курск, ул. Щигровская 1-Я, д. 52</t>
  </si>
  <si>
    <t>127055, г. Москва, вн.тер.г. муниципальный округ Марьина роща, ул Образцова, д. 4А, к. 1, этаж 8, помещ. I</t>
  </si>
  <si>
    <t>117312, г. Москва, ул. Вавилова, д. 19</t>
  </si>
  <si>
    <t>123112, г. Москва, вн.тер.г. муниципальный округ Пресненский, ул Тестовская, д. 10, этаж 12, помещ./ком. I/1 (Бизнес-квартал «Симоновский»)</t>
  </si>
  <si>
    <t>191119, г. Санкт-Петербург, ул. Марата, д. 90</t>
  </si>
  <si>
    <t>129128, г. Москва, ул. Будайская, д. 2</t>
  </si>
  <si>
    <t>190020, г. Санкт-Петербург, набережная Обводного Канала, д. 138 к. 1 литера Б</t>
  </si>
  <si>
    <t>303026, Орловская обл., Мценский район, пос. Воля, ул. Магистральная, д. 2А</t>
  </si>
  <si>
    <t>398020, Липецкая обл, г.о. город Липецк, г Липецк, ул Ленина, д. 36</t>
  </si>
  <si>
    <t>454090, Челябинская обл., г. Челябинск, ул. Маркса, д. 38 офис 201 (Бизнес-центр «Аркаим Плаза»)</t>
  </si>
  <si>
    <t>109029, г. Москва, проезд Сибирский, д. 2 стр. 9 этаж 3 ком. 82</t>
  </si>
  <si>
    <t>143912, Московская обл., г. Балашиха, проезд Покровский, д. 4 этаж 1 ОФИСЫ 114,115</t>
  </si>
  <si>
    <t>198097, г. Санкт-Петербург, ул. Трефолева, д. 2 литера Р пом. 2Н пом. 169 (А)</t>
  </si>
  <si>
    <t>397702, Воронежская обл., Бобровский район, г. Бобров, ул. Им.Кирова, д. 9 офис 306</t>
  </si>
  <si>
    <t>123610, г. Москва, набережная Краснопресненская, д. 12 (Бизнес-центр «Центр Международной Торговли»)</t>
  </si>
  <si>
    <t>624132, Свердловская обл, г.о. Новоуральский, г Новоуральск, ул Фрунзе, зд. 9, помещ. 27-34,36-41</t>
  </si>
  <si>
    <t>454036, Челябинская обл., г. Челябинск, ул. Радонежская, д. 5</t>
  </si>
  <si>
    <t>125196, г. Москва, вн.тер.г. муниципальный округ Тверской, ул Лесная, д. 20, стр. 1, помещ. 1/1</t>
  </si>
  <si>
    <t>121170, г. Москва, вн.тер.г. муниципальный округ Дорогомилово, ул Поклонная, д. 3, этаж 3/ПОМЕЩ. 120 (Деловой центр «Парк Победы»)</t>
  </si>
  <si>
    <t>123007, г. Москва, вн.тер.г. муниципальный округ Хорошевский, проезд 2-й Хорошёвский, д. 9, к. 2, этаж 5, ком. 6-8</t>
  </si>
  <si>
    <t>197342, г. Санкт-Петербург, вн.тер.г. муниципальный округ Ланское, наб Ушаковская, д. 3, к. 1, стр. 1, офис 323</t>
  </si>
  <si>
    <t>107078, г. Москва, вн.тер.г. муниципальный округ Красносельский, ул Маши Порываевой, д. 34, этаж 17, помещение/комната II/1 (Бизнес-центр «Домников»)</t>
  </si>
  <si>
    <t>143003, Московская обл, Одинцово г, г.о. Одинцовский, ул Маршала Неделина, д. 6А, этаж 7</t>
  </si>
  <si>
    <t>125167, г. Москва, проспект Ленинградский, д. 37А к. 4 этаж / пом. / ком. 10/XXII/1</t>
  </si>
  <si>
    <t>242600, Брянская обл., Дятьковский район, г. Дятьково, ул. Котовского, д. 50</t>
  </si>
  <si>
    <t>111024, г. Москва, ул. 5-Я Кабельная, д. 12 стр. 6</t>
  </si>
  <si>
    <t>119435, г. Москва, пер. Большой Саввинский, д. 11</t>
  </si>
  <si>
    <t>630559, Новосибирская обл, г.о. рабочий поселок Кольцово, рп Кольцово, ул Технопарковая, стр. 1, офис 208</t>
  </si>
  <si>
    <t>394016, Воронежская обл., г. Воронеж, проспект Московский, д. 19 к. Б офис 12</t>
  </si>
  <si>
    <t>121099, г. Москва, вн.тер.г. муниципальный округ Арбат, б-р Новинский, д. 13, стр. 4, помещ. I, ком. 11</t>
  </si>
  <si>
    <t>162400, Вологодская обл., Чагодощенский район, рабочий пос. Чагода, ул. Кооперативная, д. 1</t>
  </si>
  <si>
    <t>115516, г. Москва, ул. Бакинская, д. 16 кв. 118</t>
  </si>
  <si>
    <t>117587, г. Москва, шоссе Варшавское, д. 118 к. 1 этаж 15 пом. XLVII ком. 4 И 5</t>
  </si>
  <si>
    <t>170028, Тверская обл., г. Тверь, ул. Коминтерна, д. 95</t>
  </si>
  <si>
    <t>456404, Челябинская обл., Чебаркульский район, пос. Тимирязевский, ул. Мичурина, д. 3</t>
  </si>
  <si>
    <t>456440, Челябинская обл., г. Чебаркуль, ул. Дзержинского, д. 1</t>
  </si>
  <si>
    <t>428021, Чувашская Республика - Чувашия, г. Чебоксары, ул. Ленинградская, д. 36 пом. 5</t>
  </si>
  <si>
    <t>423800, Татарстан респ., г. Набережные Челны, проезд Хлебный, д. 21</t>
  </si>
  <si>
    <t>423800, Татарстан Респ, г.о. город Набережные Челны, г Набережные Челны, проезд Хлебный, соор. 47</t>
  </si>
  <si>
    <t>423800, Татарстан респ., г. Набережные Челны, ул. Имени Батенчука Е.Н., д. 3</t>
  </si>
  <si>
    <t>423800, Татарстан Респ, м.р-н Тукаевский, с.п. Мелекесское, тер. Промышленная зона, ул Элеваторная, д. 1</t>
  </si>
  <si>
    <t>454008, Челябинская обл., г. Челябинск, ул. Автодорожная, д. 1А</t>
  </si>
  <si>
    <t>454119, Челябинская обл., г. Челябинск, шоссе Копейское, д. 38 офис 13</t>
  </si>
  <si>
    <t>613047, Кировская обл., г. Кирово-Чепецк, ул. Ленина, д. 22 офис 12</t>
  </si>
  <si>
    <t>613048, Кировская обл., г. Кирово-Чепецк, ул. Мелиораторов (Пригородный Кв-Л), д. 26</t>
  </si>
  <si>
    <t>659020, Алтайский кр., Павловский район, с. Черемное, пер. Станционный, д. 1</t>
  </si>
  <si>
    <t>127495, г. Москва, вн.тер.г. муниципальный округ Северный, ш Дмитровское, д. 163А, к. 2, помещ. II ЭТАЖ 11</t>
  </si>
  <si>
    <t>142931, Московская обл., г. Кашира, д. Топканово, ул. Черкизовская (Мясопереработка Тер.), д. 1 пом. 1, каб. 1</t>
  </si>
  <si>
    <t>399776, Липецкая обл, г.о. город Елец, г Елец, ул Черкизовская, зд. 1, кабинет 1</t>
  </si>
  <si>
    <t>396870, Воронежская обл., Нижнедевицкий район, с. Нижнедевицк, ул. Советская, д. 35 каб. 13</t>
  </si>
  <si>
    <t>399870, Липецкая обл., Лев-Толстовский район, пос. Лев Толстой, ул. Садовая, д. 1</t>
  </si>
  <si>
    <t>620133, Свердловская обл., г. Екатеринбург, ул. Кузнечная, д. 81 офис 34</t>
  </si>
  <si>
    <t>652420, Кемеровская область - Кузбасс, г. Березовский</t>
  </si>
  <si>
    <t>399540, Липецкая обл., Тербунский район, с. Тербуны, ул. Дорожная, д. 1Б</t>
  </si>
  <si>
    <t>353902, Краснодарский край, г.о. город Новороссийск, г Новороссийск, ш Сухумское, д. 85, к. 1</t>
  </si>
  <si>
    <t>143409, Московская обл., г. Красногорск, ул. Успенская, д. 4А этаж / офис 4/423А (Деловой центр «Панорама»)</t>
  </si>
  <si>
    <t>123112, г. Москва, вн.тер.г. муниципальный округ Пресненский, наб Пресненская, д. 10, этаж 5, БЛОК Б, помещ. 14 (Бизнес-центр «Naberezhnaya Tower»)</t>
  </si>
  <si>
    <t>142301, Московская обл., г. Чехов, ул. Производственная, д. 1</t>
  </si>
  <si>
    <t>366303, Чеченская респ., Шалинский район, пос. Чири-Юрт</t>
  </si>
  <si>
    <t>364020, Чеченская респ., г. Грозный, ул. Старопромысловское Шоссе, д. 6</t>
  </si>
  <si>
    <t>454038, Челябинская обл., г. Челябинск, ул. Хлебозаводская, д. 5 офис 32 (Производственно-складской комплекс)</t>
  </si>
  <si>
    <t>454081, Челябинская обл., г. Челябинск, ул. Валдайская, д. 7 корп. АБК, офис 35</t>
  </si>
  <si>
    <t>125284, г. Москва, шоссе Хорошёвское, д. 32А (Бизнес-центр "Солид-Кама")</t>
  </si>
  <si>
    <t>107497, г. Москва, ул. Монтажная, д. 9 стр. 1 этаж 3 пом. IV ком. 12 (Бизнес центр "Мандарин" )</t>
  </si>
  <si>
    <t>129110, г. Москва, ул. Гиляровского, д. 39 стр. 1</t>
  </si>
  <si>
    <t>198320, г. Санкт-Петербург, г. Красное Село, ул. Свободы, д. 50 литера д</t>
  </si>
  <si>
    <t>357431, Ставропольский край, г.о. город-курорт Железноводск, п Иноземцево, ул Гагарина, д. 2Н, помещ. 93</t>
  </si>
  <si>
    <t>141707, Московская обл., г. Долгопрудный, ул. Виноградная, д. 9В</t>
  </si>
  <si>
    <t>654235, Кемеровская область - Кузбасс, Новокузнецкий район, пос. Чистогорский</t>
  </si>
  <si>
    <t>423600, Татарстан респ., Елабужский район, г. Елабуга, шоссе Окружное, д. 6Б</t>
  </si>
  <si>
    <t>672039, Забайкальский кр., г. Чита, ул. Бабушкина, д. 38</t>
  </si>
  <si>
    <t>452171, Башкортостан респ., Чишминский район, рабочий пос. Чишмы, ул. Ленина, д. 121</t>
  </si>
  <si>
    <t>454012, Челябинская обл., г. Челябинск, ул. Горелова, д. 12</t>
  </si>
  <si>
    <t>454048, Челябинская обл, г.о. Челябинский, вн.р-н Советский, г Челябинск, ул Елькина, д. 112, этаж 7, офис 709</t>
  </si>
  <si>
    <t>162600, Вологодская обл., г. Череповец, ул. Стройиндустрии, д. 12</t>
  </si>
  <si>
    <t>618200, Пермский кр., г. Чусовой, ул. Трудовая, д. 13</t>
  </si>
  <si>
    <t>427622, Удмуртская респ., г. Глазов, ул. Белова, д. 7</t>
  </si>
  <si>
    <t>454119, Челябинская обл., г. Челябинск, шоссе Копейское, д. 38</t>
  </si>
  <si>
    <t>107143, г. Москва, ул. Пермская, д. 5</t>
  </si>
  <si>
    <t>295000, Крым респ., г. Симферополь, проспект Кирова, д. 29/1 офис 408</t>
  </si>
  <si>
    <t>683023, Камчатский край, г.о. Петропавловск-Камчатский, г Петропавловск-Камчатский, пр-кт Победы, д. 27/1, оф. 403, помещ. 24-27</t>
  </si>
  <si>
    <t>367009, Дагестан респ., г. Махачкала, ул. Керимова, д. 7</t>
  </si>
  <si>
    <t>398010, Липецкая обл., Грязинский район, г. Грязи, тер. Оэз Ппт Липецк, стр. 20 корп. К 1</t>
  </si>
  <si>
    <t>689202, Чукотский а.о., Иультинский район, пгт. Эгвекинот, ул. Ленина, д. 12</t>
  </si>
  <si>
    <t>428022, Чувашская Республика - Чувашия, г. Чебоксары, проезд Соляное, д. 1 к. А</t>
  </si>
  <si>
    <t>689000, Чукотский а.о., г. Анадырь, ул. Южная, д. 4</t>
  </si>
  <si>
    <t>689000, Чукотский АО, г.о. Анадырь, г Анадырь, ул Куркутского, зд. 34</t>
  </si>
  <si>
    <t>162604, Вологодская обл., г. Череповец, ул. Проезжая, д. 4</t>
  </si>
  <si>
    <t>454008, Челябинская обл., г. Челябинск, тракт Свердловский, д. 24</t>
  </si>
  <si>
    <t>454081, Челябинская обл., г. Челябинск, ул. Героев Танкограда, д. 80П стр. 80</t>
  </si>
  <si>
    <t>428022, Чувашская Республика - Чувашия, г. Чебоксары, проезд Автозаправочный, д. 24</t>
  </si>
  <si>
    <t>641876, Курганская обл., г. Шадринск, ул. Свердлова, д. 1</t>
  </si>
  <si>
    <t>683902, Камчатский кр., г. Петропавловск-Камчатский, проспект Победы, д. 67</t>
  </si>
  <si>
    <t>127051, г. Москва, бульвар Цветной, д. 2 этаж / пом. / ком. 7/I/9 (Многофункциональный комплекс «Легенда Цветного»)</t>
  </si>
  <si>
    <t>394033, Воронежская обл., г. Воронеж, ул. Димитрова, д. 53А офис 2</t>
  </si>
  <si>
    <t>399750, Липецкая обл., Елецкий район, тер. Оэз Ппт Липецк, д. ЗД. 1 офис 15</t>
  </si>
  <si>
    <t>672038, Забайкальский кр., г. Чита, ул. Шилова, д. 29 пом. 32</t>
  </si>
  <si>
    <t>142116, Московская обл., г. Подольск, пос. Сельхозтехника, шоссе Домодедовское, д. 22 ком. 12-14, этаж 2</t>
  </si>
  <si>
    <t>142324, Московская обл., г. Чехов, д. Люторецкое, тер. Промзона Люторецкое, владение 2</t>
  </si>
  <si>
    <t>140700, Московская обл., г. Шатура, проезд Ботинский, д. 37</t>
  </si>
  <si>
    <t>652661, Кемеровская область - Кузбасс, Беловский район, с. Мохово</t>
  </si>
  <si>
    <t>652673, Кемеровская область - Кузбасс, Беловский район, с. Каракан</t>
  </si>
  <si>
    <t>652515, Кемеровская область - Кузбасс, г. Ленинск-Кузнецкий, ул. Зварыгина, д. 18 к. А</t>
  </si>
  <si>
    <t>652614, Кемеровская область - Кузбасс, г. Белово, пгт. Грамотеино, микрорайон Листвяжный, д. 1</t>
  </si>
  <si>
    <t>652804, Кемеровская область - Кузбасс, г. Осинники, ул. Шахтовая, д. 3</t>
  </si>
  <si>
    <t>654038, Кемеровская область - Кузбасс, г. Новокузнецк, проезд Щедрухинский (Заводской Р-Н), д. 17</t>
  </si>
  <si>
    <t>346516, Ростовская обл., г. Шахты, пер. Доронина, д. 2-Б</t>
  </si>
  <si>
    <t>652711, Кемеровская область - Кузбасс, Прокопьевский район, пос. Октябрьский, пер. Школьный, д. 4</t>
  </si>
  <si>
    <t>346311, Ростовская обл., г. Зверево, ул. Рижская, д. 13</t>
  </si>
  <si>
    <t>347017, Ростовская обл., Белокалитвинский район, хутор Голубинка</t>
  </si>
  <si>
    <t>121351, г. Москва, ул. Партизанская, д. 35 к. 3 офис 6</t>
  </si>
  <si>
    <t>142060, Московская обл., г. Домодедово, ул. Коммуны Герольд (Барыбино Мкр), д. 1В</t>
  </si>
  <si>
    <t>101000, г. Москва, ул. Маросейка, д. 9/2 стр. 8 пом. I</t>
  </si>
  <si>
    <t>141426, Московская обл., г. Химки, шоссе Шереметьевское, владение 6К</t>
  </si>
  <si>
    <t>141402, Московская обл, г.о. Химки, г Химки, ш Международное, стр. 1Е, помещ. 260</t>
  </si>
  <si>
    <t>141425, Московская обл., г. Химки, ул. Авиационная, владение 8 пом. 505 (Бизнес-центр «Аэро-Плаза»)</t>
  </si>
  <si>
    <t>652780, Кемеровская область - Кузбасс, Гурьевский район, г. Гурьевск</t>
  </si>
  <si>
    <t>423452, Татарстан респ., Альметьевский район, г. Альметьевск, ул. Ленина, д. 15</t>
  </si>
  <si>
    <t>454045, Челябинская обл., г. Челябинск, ул. Потребительская 2-Я, д. 22</t>
  </si>
  <si>
    <t>115487, г. Москва, ул. Садовники, д. 11А стр. 3</t>
  </si>
  <si>
    <t>162562, Вологодская обл., Шекснинский район, рабочий пос. Шексна, ул. Первомайская, д. 22</t>
  </si>
  <si>
    <t>117342, г. Москва, ул. Бутлерова, д. 17Б этаж /Ч.П./ офис 7/37/718 (Бизнес-центр «Fresh»)</t>
  </si>
  <si>
    <t>455002, Челябинская обл., г. Магнитогорск, ул. Кирова, д. 93 к. АБЗ ОТД. ПРИГОТ. ППШ</t>
  </si>
  <si>
    <t>693022, Сахалинская обл., г. Южно-Сахалинск, ул. Восточная, д. 20А</t>
  </si>
  <si>
    <t>121471, г. Москва, ул. Рябиновая, д. 26 стр. 1 ком. 1А(303В) (Бизнес-центр "West plaza")</t>
  </si>
  <si>
    <t>425210, Марий Эл респ., Медведевский район, с. Шойбулак, ул. Мира, д. 15</t>
  </si>
  <si>
    <t>115432, г. Москва, вн.тер.г. муниципальный округ Даниловский, ул Трофимова, д. 2А</t>
  </si>
  <si>
    <t>453700, Башкортостан респ., Учалинский район, г. Учалы, ул. Горнозаводская, д. 8</t>
  </si>
  <si>
    <t>653208, Кемеровская область - Кузбасс, Прокопьевский район, с. Большая Талда, стр. Абк Ооо Шахта Кыргайская</t>
  </si>
  <si>
    <t>115114, г. Москва, ул. Летниковская, д. 2 стр. 1 этаж 10 (Бизнес-центр «Vivaldi Plaza»)</t>
  </si>
  <si>
    <t>125130, г. Москва, проезд Старопетровский, д. 1А офис 3А1</t>
  </si>
  <si>
    <t>119571, г. Москва, проспект Ленинский, д. 119А (Многофункциональный комплекс на Ленинском Проспекте, 119А)</t>
  </si>
  <si>
    <t>601670, Владимирская обл., Александровский район, г. Струнино, ул. Толстого, д. 2А</t>
  </si>
  <si>
    <t>141504, Московская обл., г. Солнечногорск, ул. Разина, д. 8</t>
  </si>
  <si>
    <t>301212, Тульская обл., Щекинский район, рабочий пос. Первомайский, ул. Симферопольская, д. 19</t>
  </si>
  <si>
    <t>301212, Тульская обл., Щекинский район, рабочий пос. Первомайский, ул. Симферопольская, д. 7 каб. 301</t>
  </si>
  <si>
    <t>141108, Московская обл., г. Щёлково, ул. Заводская, д. 2 к. 142 ком. 204</t>
  </si>
  <si>
    <t>141140, Московская обл., г. Лосино-Петровский, рабочий пос. Свердловский, ул. Центральная, стр. 1 к. 1</t>
  </si>
  <si>
    <t>301591, Тульская обл., Воловский район, пос. Казачка, ул. Железнодорожная, д. 10</t>
  </si>
  <si>
    <t>306530, Курская обл., г. Щигры, ул. Мичурина, д. 2 к. А</t>
  </si>
  <si>
    <t>108851, г. Москва, г. Щербинка, ул. Первомайская, д. 6 этаж / каб. 2/201</t>
  </si>
  <si>
    <t>392028, Тамбовская обл., г. Тамбов, ул. Ипподромная, д. 25 к. Г</t>
  </si>
  <si>
    <t>125196, г. Москва, ул. Лесная, д. 7 этаж / пом. 4 / 1 (Бизнес-центр «Белые Сады»)</t>
  </si>
  <si>
    <t>659332, Алтайский кр., г. Бийск, ул. Социалистическая, д. 23/6</t>
  </si>
  <si>
    <t>123104, г. Москва, вн.тер.г. муниципальный округ Пресненский, пер Большой Палашёвский, д. 3, помещ. 1/1, ком. 11</t>
  </si>
  <si>
    <t>123022, г. Москва, вн.тер.г. муниципальный округ Пресненский, ул Трехгорный Вал, д. 22, стр. 1, эт./помещ. 1/4</t>
  </si>
  <si>
    <t>194044, г. Санкт-Петербург, пер. Зеленков, д. 7А литера З пом. 5-Н, офис 65</t>
  </si>
  <si>
    <t>355021, Ставропольский кр., г. Ставрополь, проезд 4 Юго-Западный, д. 5</t>
  </si>
  <si>
    <t>606026, Нижегородская обл., г. Дзержинск, бульвар Мира, д. 28 к. А кв. 45</t>
  </si>
  <si>
    <t>352702, Краснодарский кр., Тимашевский район, г. Тимашевск, ул. Гибридная, д. 2А</t>
  </si>
  <si>
    <t>115114, г. Москва, ул. Кожевническая, д. 14 стр. 5 (Бизнес-центр «Black and White 14с5»)</t>
  </si>
  <si>
    <t>141402, Московская обл, г.о. Химки, г Химки, ул Репина, д. 2/27, этаж 2, помещ. 12 (Бизнес-центр «Норд Плаза»)</t>
  </si>
  <si>
    <t>119002, г. Москва, вн.тер.г. муниципальный округ Арбат, пер Кривоарбатский, д. 13, стр. 1, помещ. 1/П</t>
  </si>
  <si>
    <t>620102, Свердловская обл., г. Екатеринбург, ул. Радищева, д. 63 кв. 6</t>
  </si>
  <si>
    <t>215010, Смоленская обл., Гагаринский район, г. Гагарин, проезд Эжвинский, д. 1</t>
  </si>
  <si>
    <t>155908, Ивановская обл., Шуйский район, г. Шуя, шоссе Южное, д. 1</t>
  </si>
  <si>
    <t>420079, Татарстан Респ, г.о. город Казань, г Казань, ул 2-я Красноборская, зд. 30, к. 17</t>
  </si>
  <si>
    <t>603000, Нижегородская обл, г.о. город Нижний Новгород, г Нижний Новгород, ул Ильинская, д. 85, к. 1, помещ. 4 ОФИС1</t>
  </si>
  <si>
    <t>420032, Татарстан респ., г. Казань, ул. Краснококшайская, д. 47</t>
  </si>
  <si>
    <t>142700, Московская обл, г.о. Ленинский, г Видное, промзона Северная промзона, зд. 17, стр. 1</t>
  </si>
  <si>
    <t>125367, г. Москва, ул. Габричевского, д. 5 к. 1 пом. I</t>
  </si>
  <si>
    <t>398032, Липецкая обл., г. Липецк, проезд Универсальный, д. 14А</t>
  </si>
  <si>
    <t>664011, Иркутская обл., г. Иркутск, ул. Горького, д. 36Б офис III-15 (Бизнес-центр «Maxim»)</t>
  </si>
  <si>
    <t>121471, г. Москва, ул. Рябиновая, д. 26 стр. 2 пом. III этаж 2 ком. 24 (Бизнес-центр "West Plaza")</t>
  </si>
  <si>
    <t>140125, Московская обл., г. Раменское, с. Михайловская Слобода, ул. Промышленная, д. 1 стр. 1 этаж 1</t>
  </si>
  <si>
    <t>141667, Московская обл., г. Клин, с. Спас-Заулок, ул. Сосновый Бор, д. 36</t>
  </si>
  <si>
    <t>107023, г. Москва, вн.тер.г. муниципальный округ Соколиная гора, пер Медовый, д. 5, стр. 1, этаж 2, ком. 10 (Бизнес-центр «Улей Плаза»)</t>
  </si>
  <si>
    <t>117545, г. Москва, ул. Дорожная, д. 3 к. 6 ком. 8Б</t>
  </si>
  <si>
    <t>680015, Хабаровский кр., г. Хабаровск, ул. Суворова, д. 82А литера С,С1</t>
  </si>
  <si>
    <t>109147, г. Москва, ул. Марксистская, д. 34 к. 8 пом. I ком. 26</t>
  </si>
  <si>
    <t>143325, Московская обл, г.о. Наро-Фоминский, п Новая Ольховка, ул Промышленная, д. 3, стр. 1</t>
  </si>
  <si>
    <t>115230, г. Москва, шоссе Каширское, д. 3К2 стр. 4 этаж 3 ком. 54</t>
  </si>
  <si>
    <t>117335, г. Москва, проспект Нахимовский, д. 58 этаж 10 ком. 30 (Бизнес-центр «iCube»)</t>
  </si>
  <si>
    <t>125130, г. Москва, вн.тер.г. муниципальный округ Войковский, проезд Старопетровский, д. 11, к. 1, этаж 1, помещ. 97</t>
  </si>
  <si>
    <t>107045, г. Москва, вн.тер.г. муниципальный округ Красносельский, пер Просвирин, д. 4</t>
  </si>
  <si>
    <t>190005, г. Санкт-Петербург, проспект Троицкий, д. 12 литера А пом. 4Н</t>
  </si>
  <si>
    <t>194044, г. Санкт-Петербург, пер. Зеленков, д. 7А литера З пом. 5-Н офис 104</t>
  </si>
  <si>
    <t>663013, Красноярский край, м.р-н Емельяновский, г.п. поселок Емельяново, пгт Емельяново, тер. Аэропорт Красноярск, стр. 2, помещ. 2,3,4 ЭТАЖ 5</t>
  </si>
  <si>
    <t>601785, Владимирская обл., Кольчугинский район, г. Кольчугино, ул. К.Маркса, д. 3</t>
  </si>
  <si>
    <t>143026, Московская обл., г. Одинцово, рабочий пос. Новоивановское, ул. Агрохимиков, д. 15 к. А этаж / пом. 1/009/3</t>
  </si>
  <si>
    <t>450071, Башкортостан респ., г. Уфа, ул. Рязанская, д. 10 этаж / офис 3/25</t>
  </si>
  <si>
    <t>190020, г. Санкт-Петербург, вн.тер.г. муниципальный округ Екатерингофский, ул Бумажная, д. 9, к. 1, литера А, помещ. 11-Н, офис 410</t>
  </si>
  <si>
    <t>163018, Архангельская обл., г. Архангельск, ул. Причальная Исакогорки, д. 8 стр. 1</t>
  </si>
  <si>
    <t>109029, г. Москва, вн.тер.г. муниципальный округ Нижегородский, проезд Михайловский, д. 3, стр. 66, этаж/пом,/ком ПОДВАЛ/2/30 (Деловой центр)</t>
  </si>
  <si>
    <t>111033, г. Москва, ул. Самокатная, д. 2А стр. 1 пом. 105 ком. 3 офис 2</t>
  </si>
  <si>
    <t>196655, г. Санкт-Петербург, г. Колпино, шоссе Вознесенское, д. 75</t>
  </si>
  <si>
    <t>125212, г. Москва, ул. Адмирала Макарова, д. 6 стр. 13 этаж 2 часть ком. №23 (Бизнес-центр "Невский причал")</t>
  </si>
  <si>
    <t>129323, г. Москва, ул. Снежная, д. 20 этаж 2</t>
  </si>
  <si>
    <t>115114, г. Москва, ул. Летниковская, д. 10 стр. 4 ком. 1-46, этаж 6 (Бизнес-центр "Святогор-4")</t>
  </si>
  <si>
    <t>105005, г. Москва, вн.тер.г. муниципальный округ Басманный, ул Радио, д. 24, к. 1, этаж 7, помещ. 717</t>
  </si>
  <si>
    <t>109542, г. Москва, проспект Рязанский, д. 86/1 стр. 3 этаж 2 пом. 12 (Бизнес-центр «Apple Tower строение 3»)</t>
  </si>
  <si>
    <t>140105, Московская обл., г. Раменское, ул. Чугунова, д. 15А этаж / пом. 1/12</t>
  </si>
  <si>
    <t>117628, г. Москва, ул. Ратная, д. 2А ком. 5</t>
  </si>
  <si>
    <t>125080, г. Москва, шоссе Волоколамское, д. 1 стр. 1 этаж 4 пом. V ком. 85 (Бизнес центр "Проектный институт")</t>
  </si>
  <si>
    <t>115114, г. Москва, вн.тер.г. муниципальный округ Даниловский, наб Павелецкая, д. 2, стр. 1 (Бизнес-центр «River Side»)</t>
  </si>
  <si>
    <t>121357, г. Москва, ул. Верейская, д. 17 этаж 2 пом. 213 (Бизнес-центр «Vereyskaya Plaza 2»)</t>
  </si>
  <si>
    <t>394088, Воронежская обл., г. Воронеж, бульвар Победы, д. 50А офис 12</t>
  </si>
  <si>
    <t>397704, Воронежская обл., Бобровский район, г. Бобров, ул. 60 Лет Октября, д. 20 каб. 2</t>
  </si>
  <si>
    <t>143003, Московская обл, Одинцово г, г.о. Одинцовский, ул Маршала Неделина, д. 6Б, помещ. 6</t>
  </si>
  <si>
    <t>397920, Воронежская обл., Лискинский район, с. Залужное, ул. Центральная, д. 36 офис 1</t>
  </si>
  <si>
    <t>633102, Новосибирская обл., г. Обь, тракт Омский, д. ЗД. 2/3</t>
  </si>
  <si>
    <t>625013, Тюменская обл., г. Тюмень, ул. Пермякова, д. 7/1 офис 528</t>
  </si>
  <si>
    <t>672030, Забайкальский кр., г. Чита, микрорайон Девичья Сопка, д. 1 кв-л 1</t>
  </si>
  <si>
    <t>392521, Тамбовская обл., Тамбовский район, с. Большая Липовица, ул. Советская, д. 77А</t>
  </si>
  <si>
    <t>125040, г. Москва, ул. Скаковая, д. 32 стр. 2 офис 42 (Бизнес-центр «Ландрат»)</t>
  </si>
  <si>
    <t>394018, Воронежская обл., г. Воронеж, ул. Станкевича, д. 36 офис 86 (Бизнес-центр «Воронеж-Сити Форум»)</t>
  </si>
  <si>
    <t>398501, Липецкая обл., Липецкий район, с. Кузьминские Отвержки, ул. Рудничная, д. 1 литера А</t>
  </si>
  <si>
    <t>625059, Тюменская обл., г. Тюмень, тракт Велижанский 9 Км, д. 18 стр. 1</t>
  </si>
  <si>
    <t>620075, Свердловская обл., г. Екатеринбург, ул. Первомайская, стр. 15 офис 304 (Бизнес-центр «Вознесенский»)</t>
  </si>
  <si>
    <t>115230, г. Москва, вн.тер.г. муниципальный округ Нагорный, проезд Электролитный, д. 3, стр. 2, этаж 1, ком. 85 (Бизнес-центр "Фаворит")</t>
  </si>
  <si>
    <t>443083, Самарская обл., г. Самара, ул. Победы, д. 14 офис 1</t>
  </si>
  <si>
    <t>119180, г. Москва, ул. Большая Полянка, д. 42 стр. 1</t>
  </si>
  <si>
    <t>140080, Московская обл, г.о. Лыткарино, г Лыткарино, тер промзона Тураево, стр. 14, литер Р, этаж 2, помещ. 12</t>
  </si>
  <si>
    <t>105005, г. Москва, ул. Радио, д. 7 стр. 1 этаж 2 ком. 12</t>
  </si>
  <si>
    <t>628383, Ханты-Мансийский Автономный Округ - Югра, г. Пыть-Ях, тракт Тепловский (Центральная Промышленная Зона) стр. 5/1</t>
  </si>
  <si>
    <t>404171, Волгоградская обл., Светлоярский район, рабочий пос. Светлый Яр, ул. Дорожная, д. 5А офис 222</t>
  </si>
  <si>
    <t>115054, г. Москва, вн.тер.г. муниципальный округ Замоскворечье, наб Озерковская, д. 50, стр. 1, этаж ЧЕРДАК, помещ. I/ КОМ. 24/ ОФИС 503 (Бизнес-центр )</t>
  </si>
  <si>
    <t>109544, г. Москва, бульвар Энтузиастов, д. 2 этаж 19 офис 21 (Деловой центр «Golden Gate»)</t>
  </si>
  <si>
    <t>117638, г. Москва, ул. Одесская, д. 2 этаж 9 пом. IIБ ком. 1-5 БАШНЯ В (Бизнес-центр «Lotos»)</t>
  </si>
  <si>
    <t>107113, г. Москва, проспект Поперечный, д. 1Б офис 119</t>
  </si>
  <si>
    <t>195027, г. Санкт-Петербург, ул. Партизанская, д. 15 к. 1 литера А</t>
  </si>
  <si>
    <t>129110, г. Москва, вн.тер.г. муниципальный округ Мещанский, ул Гиляровского, д. 57, стр. 1 (Бизнес-центр «Гиляровского 57»)</t>
  </si>
  <si>
    <t>386102, Ингушетия респ., г. Назрань, тер. Центральный Округ, ул. Ялтинская, д. 12</t>
  </si>
  <si>
    <t>454090, Челябинская обл., г. Челябинск, ул. Труда, д. 64А офис 509</t>
  </si>
  <si>
    <t>129344, г. Москва, ул. Енисейская, д. 1 стр. 1 этаж / пом. 4/422 (Бизнес-центр «Лира»)</t>
  </si>
  <si>
    <t>601570, Владимирская обл., Гусь-Хрустальный район, г. Курлово, ул. Володарского, д. 1 пом. 27</t>
  </si>
  <si>
    <t>350051, Краснодарский кр., г. Краснодар, ул. Севастопольская, д. 5 офис 7</t>
  </si>
  <si>
    <t>107078, г. Москва, ул. Каланчевская, д. 29 стр. 2 офис 602</t>
  </si>
  <si>
    <t>190005, г. Санкт-Петербург, ул. 6-Я Красноармейская, д. 5-7 литера А пом. / ком. 2-Н/3</t>
  </si>
  <si>
    <t>123100, г. Москва, набережная Краснопресненская, д. 14</t>
  </si>
  <si>
    <t>385110, Адыгея респ., Тахтамукайский район, пос. Прикубанский, ул. Промзона, д. 6</t>
  </si>
  <si>
    <t>625061, Тюменская обл., г. Тюмень, ул. Производственная, д. 25</t>
  </si>
  <si>
    <t>394006, Воронежская обл., г. Воронеж, ул. Ворошилова, д. 1А пом. 3</t>
  </si>
  <si>
    <t>620014, Свердловская обл., г. Екатеринбург, ул. Хохрякова, д. 10 (Бизнес-центр «Палладиум»)</t>
  </si>
  <si>
    <t>123112, г. Москва, набережная Пресненская, д. 10 этаж 16 пом. 1Б ком. 13 (Бизнес-центр «Naberezhnaya Tower»)</t>
  </si>
  <si>
    <t>453316, Башкортостан респ., г. Кумертау, с. Маячный, ул. Железнодорожная, д. 1</t>
  </si>
  <si>
    <t>111524, г. Москва, ул. Электродная, д. 13А стр. 2 пом. 22</t>
  </si>
  <si>
    <t>428027, Чувашская Республика - Чувашия, г. Чебоксары, проспект И.Я.Яковлева, д. 3 офис 908</t>
  </si>
  <si>
    <t>427968, Удмуртская респ., г. Сарапул, ул. Калинина, д. 3</t>
  </si>
  <si>
    <t>620078, Свердловская обл., г. Екатеринбург, ул. Малышева стр. 164 офис 2</t>
  </si>
  <si>
    <t>607651, Нижегородская обл, м.о. Кстовский, г Кстово, ул Школьная, д. 2, помещ. 1/2</t>
  </si>
  <si>
    <t>630005, Новосибирская обл., г. Новосибирск, ул. Гоголя, д. 23 офис 5</t>
  </si>
  <si>
    <t>197348, г. Санкт-Петербург, проспект Коломяжский, д. 18 литера А пом. 130Н, офис 5-130</t>
  </si>
  <si>
    <t>127273, г. Москва, ул. Отрадная, д. 2Б стр. 9 этаж 5 (Бизнес-центр «Фаза II здание Б»)</t>
  </si>
  <si>
    <t>115093, г. Москва, вн.тер.г. муниципальный округ Даниловский, ул Павловская, д. 6, этаж 4, помещ. IА КОМ. 1К (Бизнес-центр «Мосфинанс»)</t>
  </si>
  <si>
    <t>141013, Московская обл., г. Мытищи, ул. Угольная, д. 1</t>
  </si>
  <si>
    <t>125375, г. Москва, вн.тер.г. муниципальный округ Тверской, ул Тверская, д. 22, помещ. II, ком. 4 (Бизнес-центр «Summit»)</t>
  </si>
  <si>
    <t>121467, г. Москва, ул. Молдавская, д. 5 офис 521 (Бизнес-центр «Grandkonsalt»)</t>
  </si>
  <si>
    <t>620133, Свердловская обл., г. Екатеринбург, ул. Кузнечная, стр. 92</t>
  </si>
  <si>
    <t>121059, г. Москва, набережная Бережковская, д. 18А</t>
  </si>
  <si>
    <t>443048, Самарская обл., г. Самара, пос. Красная Глинка, шоссе Красноглинское, д. 20 пом. 1</t>
  </si>
  <si>
    <t>121170, г. Москва, проспект Кутузовский, д. 36 стр. 41 (Бизнес-парк «Завод Казакова строение 41»)</t>
  </si>
  <si>
    <t>620000, Свердловская обл., г. Екатеринбург, ул. Щербакова, д. 4 (Торговый центр «Екатерининский»)</t>
  </si>
  <si>
    <t>344019, Ростовская обл., г. Ростов-На-Дону, ул. 20-Я Линия, д. 4</t>
  </si>
  <si>
    <t>664024, Иркутская обл., г. Иркутск, ул. Трактовая, д. 20 офис 5</t>
  </si>
  <si>
    <t>214020, Смоленская обл, г.о. город Смоленск, г Смоленск, ул Шевченко, д. 86, этаж 2, офис 14</t>
  </si>
  <si>
    <t>195027, г. Санкт-Петербург, вн.тер.г. муниципальный округ Большая Охта, ул Миронова, д. 6, литера А, офис 11, р.м. 9</t>
  </si>
  <si>
    <t>107370, г. Москва, шоссе Открытое, д. 12 стр. 35</t>
  </si>
  <si>
    <t>308023, Белгородская обл, г.о. город Белгород, г Белгород, проезд Промышленный, д. 3, офис 01</t>
  </si>
  <si>
    <t>614064, Пермский кр., г. Пермь, ул. Усольская, д. ЗД. 15Б офис 307</t>
  </si>
  <si>
    <t>143440, Московская обл., Красногорский район, пос. Путилково, тер. Гринвуд стр. 7 офис 506</t>
  </si>
  <si>
    <t>192102, г. Санкт-Петербург, ул. Витебская Сортировочная, д. 34 литера И офис 38</t>
  </si>
  <si>
    <t>236013, Калининградская обл., г. Калининград, ул. Магнитогорская, д. 4 литера д. 4 д. 4 каб. 1</t>
  </si>
  <si>
    <t>191002, г. Санкт-Петербург, вн.тер.г. муниципальный округ Владимирский округ, пр-кт Владимирский, д. 23, литера А, этаж 7, часть помещ. 8-Н (Ч.П.10, Ч.П.13-14, ЧАСТЬ Ч.П.15)</t>
  </si>
  <si>
    <t>656058, Алтайский кр., г. Барнаул, ул. Шумакова, д. 23А офис 100 (Бизнес-центр «Статус»)</t>
  </si>
  <si>
    <t>123290, г. Москва, вн.тер.г. муниципальный округ Хорошевский, туп 1-й Магистральный, д. 5А, блок С, этаж 4 ОФИС 402</t>
  </si>
  <si>
    <t>123308, г. Москва, ул. Зорге, д. 5 стр. 3</t>
  </si>
  <si>
    <t>678960, Саха /Якутия/ Респ, м.р-н Нерюнгринский, г.п. город Нерюнгри, г Нерюнгри, пр-кт Ленина, д. 27, этаж 2, помещ. 200</t>
  </si>
  <si>
    <t>630024, Новосибирская обл., г. Новосибирск, ул. Сибиряков-Гвардейцев, д. 50</t>
  </si>
  <si>
    <t>630088, Новосибирская обл., г. Новосибирск, ул. Сибиряков-Гвардейцев, д. 56</t>
  </si>
  <si>
    <t>127343, г. Москва, ул. Сибиряковская, д. 5</t>
  </si>
  <si>
    <t>196247, г. Санкт-Петербург, пл. Конституции, д. 3 литера А пом. 15-Н</t>
  </si>
  <si>
    <t>197374, г. Санкт-Петербург, ул. Савушкина, д. 83 к. 3 литера А этаж /ЧП/ офис 5/2-Н/№512</t>
  </si>
  <si>
    <t>361401, Кабардино-Балкарская респ., Чегемский район, г. Чегем, ул. Героя России Кярова А.С., д. 34</t>
  </si>
  <si>
    <t>678962, Саха /Якутия/ Респ, м.р-н Нерюнгринский, г.п. город Нерюнгри, г Нерюнгри, ул Лужников, д. 3, к. 2, помещ. 212</t>
  </si>
  <si>
    <t>676282, Амурская обл., г. Тында, ул. Мохортова, д. 10 офис 213</t>
  </si>
  <si>
    <t>678962, Саха /Якутия/ Респ, м.р-н Нерюнгринский, г.п. город Нерюнгри, г Нерюнгри, ул Лужников, д. 3, к. 2</t>
  </si>
  <si>
    <t>142455, Московская обл., Ногинский район, г. Электроугли, пер. Банный, д. 9 этаж / ком. 3/65</t>
  </si>
  <si>
    <t>141400, Московская обл., г. Химки, ул. Бутаково, д. 4</t>
  </si>
  <si>
    <t>197373, г. Санкт-Петербург, проспект Авиаконструкторов, д. 35 к. 4 литера А офис 202</t>
  </si>
  <si>
    <t>127051, г. Москва, бульвар Цветной, д. 25 стр. 3 этаж 1 пом. I ком. 15 (Офисное здание «Мосэнка Плаза 2»)</t>
  </si>
  <si>
    <t>140090, Московская обл., г. Дзержинский, ул. Энергетиков, д. 22 к. 1 офис 201</t>
  </si>
  <si>
    <t>115054, г. Москва, ул. Дубининская, д. 53 стр. 5 этаж 4 ком. 7Б (Бизнес-центр «Квартал Сити»)</t>
  </si>
  <si>
    <t>344016, Ростовская обл., г. Ростов-На-Дону, пер. 1-Й Машиностроительный, д. 21</t>
  </si>
  <si>
    <t>188544, Ленинградская обл., г. Сосновый Бор, ул. Петра Великого, д. 9 офис 226</t>
  </si>
  <si>
    <t>109316, г. Москва, вн.тер.г. муниципальный округ Южнопортовый, пр-кт Волгоградский, д. 32, к. 31, этаж 3, ком. W321</t>
  </si>
  <si>
    <t>117036, г. Москва, ул. Гримау, д. 10А стр. 1 ком. 5</t>
  </si>
  <si>
    <t>125504, г. Москва, вн.тер.г. муниципальный округ Западное Дегунино, ш Дмитровское, д. 71Б, помещ. 8/3 ЭТАЖ 3 (Бизнес-центр "7One")</t>
  </si>
  <si>
    <t>197101, г. Санкт-Петербург, ул. Кропоткина, д. 1 литера И (Бизнес-центр «Сенатор Литера И»)</t>
  </si>
  <si>
    <t>115211, г. Москва, ул. Борисовские Пруды, д. 10 к. 5 этаж 2 ком. 4 офис 7</t>
  </si>
  <si>
    <t>400011, Волгоградская обл., г. Волгоград, ул. Электролесовская, д. 76</t>
  </si>
  <si>
    <t>367000, Дагестан респ., г. Махачкала, ул. Магидова, д. 132 к. А</t>
  </si>
  <si>
    <t>629806, Ямало-Ненецкий окр., г. Ноябрьск, ул. 60 Лет Ссср, д. 29</t>
  </si>
  <si>
    <t>450074, Башкортостан респ., г. Уфа, ул. Габдуллы Амантая, д. 6 к. 1</t>
  </si>
  <si>
    <t>620137, Свердловская обл, г.о. город Екатеринбург, г Екатеринбург, ул Сулимова, д. 6А, офис 8/2</t>
  </si>
  <si>
    <t>185035, Карелия респ., г. Петрозаводск, ул. Кирова (Центр Р-Н), д. 49А этаж 1</t>
  </si>
  <si>
    <t>355000, Ставропольский кр., г. Ставрополь, ул. Ленина, д. 415 офис 294 (Бизнес-центр «На Ленина»)</t>
  </si>
  <si>
    <t>192236, г. Санкт-Петербург, ул. Софийская, д. 6 к. 8 офис 324</t>
  </si>
  <si>
    <t>636785, Томская обл., г. Стрежевой, ул. Строителей, д. 95</t>
  </si>
  <si>
    <t>192102, г. Санкт-Петербург, ул. Бухарестская, д. 1 литера А офис 609</t>
  </si>
  <si>
    <t>119017, г. Москва, ул. Большая Ордынка, д. 48</t>
  </si>
  <si>
    <t>111250, г. Москва, проезд Завода Серп И Молот, д. 6 к. 1 пом. 13</t>
  </si>
  <si>
    <t>143421, Московская обл, г.о. Красногорск, тер. автодорога Балтия, км 26-й, д. 5, стр. 3, офис 323</t>
  </si>
  <si>
    <t>198096, г. Санкт-Петербург, площадка Элеваторная (Угольная Гавань), д. 16 к. 7 литера А пом. 3</t>
  </si>
  <si>
    <t>143421, Московская обл, г.о. Красногорск, тер. автодорога Балтия, км 26-й, д. 5, стр. 3, офис 513</t>
  </si>
  <si>
    <t>454020, Челябинская обл., г. Челябинск, ул. Энгельса, д. 99 офис 9</t>
  </si>
  <si>
    <t>119048, г. Москва, вн.тер.г. муниципальный округ Хамовники, пр-кт Комсомольский, д. 42, стр. 3, помещ. 1, ком. 14 (Бизнес-центр на Комсомольском Проспекте, 42С3)</t>
  </si>
  <si>
    <t>188300, Ленинградская обл, м.р-н Гатчинский, г.п. Гатчинское, г Гатчина, ул Соборная, д. 10А, помещ. 1</t>
  </si>
  <si>
    <t>, Дагестан Респ, г.о. город Махачкала, вн.р-н Ленинский район, г Махачкала, ул Юсупова, зд. 55И, этаж 1</t>
  </si>
  <si>
    <t>119435, г. Москва, вн.тер.г. муниципальный округ Хамовники, ул Малая Пироговская, д. 18, стр. 1, помещ. XI - КОМН. 19</t>
  </si>
  <si>
    <t>129090, г. Москва, пер. Протопоповский, д. 17 стр. 3 пом. 6</t>
  </si>
  <si>
    <t>127410, г. Москва, шоссе Алтуфьевское, д. 43 стр. 1 каб. 12 этаж 10</t>
  </si>
  <si>
    <t>620085, Свердловская обл., г. Екатеринбург, ул. Монтерская, д. 3 к. 2 кв. 1</t>
  </si>
  <si>
    <t>105066, г. Москва, вн.тер.г. муниципальный округ Басманный, ул Нижняя Красносельская, д. 40/12, к. 20, этаж 6, офис 614</t>
  </si>
  <si>
    <t>129085, г. Москва, вн.тер.г. муниципальный округ Останкинский, пр-кт Мира, д. 101, стр. 1, помещ. 1/4, ком./офис 14/195 (Бизнес-центр «Гипромез»)</t>
  </si>
  <si>
    <t>690088, Приморский кр., г. Владивосток, ул. Деревенская, д. 21</t>
  </si>
  <si>
    <t>625504, Тюменская обл., Тюменский район, рабочий пос. Боровский, пос. Южный стр. 8</t>
  </si>
  <si>
    <t>654006, Кемеровская область - Кузбасс, г. Новокузнецк, ул. Орджоникидзе (Центральный Р-Н), д. 12 офис 7</t>
  </si>
  <si>
    <t>121099, г. Москва, вн.тер.г. муниципальный округ Арбат, пл Смоленская, д. 3, помещ. 1/8 (Бизнес-центр «Смоленский пассаж»)</t>
  </si>
  <si>
    <t>450103, Башкортостан респ., г. Уфа, ул. Габдуллы Амантая, д. 6 к. 1</t>
  </si>
  <si>
    <t>607060, Нижегородская обл., г. Выкса, тер. Проммикрорайон N16, ОАО "ВМЗ" уч. "НИЖНИЙ ЗАВОД" здание 1</t>
  </si>
  <si>
    <t>680006, Хабаровский кр., г. Хабаровск, ул. Индустриальная, д. 14 каб. 67</t>
  </si>
  <si>
    <t>127273, г. Москва, вн.тер.г. муниципальный округ Отрадное, проезд Нововладыкинский, д. 12А, этаж ПЕРВЫЙ УРОВЕНЬ МАНСАРДЫ, помещ. 35</t>
  </si>
  <si>
    <t>443022, Самарская обл, г.о. Самара, вн.р-н Советский, г Самара, ш Заводское, д. 14, к. 3, офис 201</t>
  </si>
  <si>
    <t>117105, г. Москва, вн.тер.г. муниципальный округ Нагорный, ш Варшавское, д. 26, этаж 2, ч. нежил. помещ. 8 (Бизнес-центр «Варшавская Плаза»)</t>
  </si>
  <si>
    <t>115404, г. Москва, ул. 9-Я Радиальная, д. 2</t>
  </si>
  <si>
    <t>115193, г. Москва, ул. 7-Я Кожуховская, д. 20</t>
  </si>
  <si>
    <t>123022, г. Москва, ул. Сергея Макеева, д. 13 пом. XVIIIА 6 этаж (Бизнес-центр «Marr Plaza»)</t>
  </si>
  <si>
    <t>105082, г. Москва, вн.тер.г. муниципальный округ Басманный, ул Большая Почтовая, д. 18/20, стр. 15, помещ. 10/2</t>
  </si>
  <si>
    <t>620144, Свердловская обл., г. Екатеринбург, ул. Фрунзе, д. 96 к. В</t>
  </si>
  <si>
    <t>123592, г. Москва, ул. Кулакова, д. 20 стр. 1А этаж 5 пом. XVII ком. 47 (Многофункциональный комплекс «Технопарк Орбита»)</t>
  </si>
  <si>
    <t>125009, г. Москва, пер. Романов, д. 4 стр. 2 этаж 6 пом. II ком. 54</t>
  </si>
  <si>
    <t>430001, Мордовия респ., г. Саранск, ул. Строительная, д. 1 пом. 2</t>
  </si>
  <si>
    <t>628483, Ханты-Мансийский Автономный Округ - Югра, г. Когалым, ул. Октябрьская, д. 10</t>
  </si>
  <si>
    <t>614066, Пермский край, г.о. Пермский, г Пермь, ш Космонавтов, д. 111И, к. 2</t>
  </si>
  <si>
    <t>196105, г. Санкт-Петербург, вн.тер.г. муниципальный округ Московская застава, пр-кт Московский, д. 158, литера Б, помещ. 5Н, ком. 8 (Бизнес-центр на Московском Проспекте, 158Б)</t>
  </si>
  <si>
    <t>190031, г. Санкт-Петербург, пер. Гривцова, д. 1/64</t>
  </si>
  <si>
    <t>390047, Рязанская Область обл., г. Рязань, ул. Новоселковская, д. 17</t>
  </si>
  <si>
    <t>105120, г. Москва, вн.тер.г. муниципальный округ Басманный, ул Нижняя Сыромятническая, д. 11, к. Б, этаж/помещение 4/I, ком. 30</t>
  </si>
  <si>
    <t>140207, Московская обл., г. Воскресенск, с. Новлянское, ул. Сельская, д. 10 стр. 1</t>
  </si>
  <si>
    <t>194021, г. Санкт-Петербург, проспект 2-Й Муринский, д. 51 литера А пом. 22-Н</t>
  </si>
  <si>
    <t>105005, г. Москва, вн.тер.г. муниципальный округ Басманный, ул Бакунинская, д. 14, стр. 1, этаж 3, помещ. I, КОМНАТА 5А</t>
  </si>
  <si>
    <t>123610, г. Москва, вн.тер.г. муниципальный округ Пресненский, наб Краснопресненская, д. 12, помещ. 1/18 (Бизнес-центр «Центр Международной Торговли»)</t>
  </si>
  <si>
    <t>214019, Смоленская обл, г.о. город Смоленск, г Смоленск, п Тихвинка, д. 46Б, этаж 2, ком. 10</t>
  </si>
  <si>
    <t>140126, Московская обл., г. Раменское, пос. Раменской Агрохимстанции (Раос), д. 15</t>
  </si>
  <si>
    <t>347460, Ростовская обл., Зимовниковский район, пос. Зимовники, ул. Савина, д. 3</t>
  </si>
  <si>
    <t>117218, г. Москва, ул. Кржижановского, д. 29 к. 2 этаж 2 пом. VII ком. 14</t>
  </si>
  <si>
    <t>601125, Владимирская обл., Петушинский район, п Вольгинский, ул. Владимирская, д. 18 офис 26</t>
  </si>
  <si>
    <t>141407, Московская обл., г. Химки, ул. Панфилова, д. 19 стр. 1</t>
  </si>
  <si>
    <t>600000, Владимирская обл., г. Владимир, проспект Октябрьский, д. 10А этаж 3 пом. 3-2</t>
  </si>
  <si>
    <t>143500, Московская обл., г. Истра, ул. Пролетарская, д. 1 V пом. 9</t>
  </si>
  <si>
    <t>117393, г. Москва, ул. Архитектора Власова, д. 51 каб. 46</t>
  </si>
  <si>
    <t>620050, Свердловская обл., г. Екатеринбург, ул. Маневровая, д. 42</t>
  </si>
  <si>
    <t>394004, Воронежская обл., г. Воронеж, проспект Ленинский, д. 43А</t>
  </si>
  <si>
    <t>450022, Башкортостан Респ, г.о. город Уфа, г Уфа, ул Менделеева, д. 132</t>
  </si>
  <si>
    <t>650066, Кемеровская область - Кузбасс, г. Кемерово, проспект Октябрьский, д. 53/2</t>
  </si>
  <si>
    <t>115404, г. Москва, ул. Бирюлёвская, д. 1 к. 3</t>
  </si>
  <si>
    <t>613040, Кировская обл., г. Кирово-Чепецк, пер. Пожарный, д. 9</t>
  </si>
  <si>
    <t>119049, г. Москва, пер. 1-Й Добрынинский, д. 19 стр. 6 пом. III ком. 1 этаж 1</t>
  </si>
  <si>
    <t>445037, Самарская обл., г. Тольятти, проезд Новый, д. 3 офис 95</t>
  </si>
  <si>
    <t>117218, г. Москва, ул. Кржижановского, д. 14 к. 3</t>
  </si>
  <si>
    <t>140090, Московская обл, г.о. Дзержинский, г Дзержинский, ул Энергетиков, д. 20, помещ. 2</t>
  </si>
  <si>
    <t>115088, г. Москва, ул. Угрешская, д. 2 стр. 91 этаж 3 пом. 03 (Бизнес-центр «IQ-Park строение 91»)</t>
  </si>
  <si>
    <t>127051, г. Москва, бульвар Цветной, д. 2 этаж 5 (Многофункциональный комплекс «Легенда Цветного»)</t>
  </si>
  <si>
    <t>111024, г. Москва, ул. 2-Я Кабельная, д. 2 стр. 24</t>
  </si>
  <si>
    <t>115184, г. Москва, вн.тер.г. муниципальный округ Замоскворечье, пер Большой Овчинниковский, д. 16, эт. 4, помещ. 424</t>
  </si>
  <si>
    <t>197348, г. Санкт-Петербург, проспект Богатырский, д. 2 литера А</t>
  </si>
  <si>
    <t>197374, г. Санкт-Петербург, проспект Приморский, д. 54 к. 1 литера А</t>
  </si>
  <si>
    <t>160010, Вологодская обл., Вологодский район, пос. Кувшиново, ул. Майская, д. 2 пом. 20</t>
  </si>
  <si>
    <t>414000, Астраханская обл., г. Астрахань, ул. Свердлова, д. 47</t>
  </si>
  <si>
    <t>630099, Новосибирская обл., г. Новосибирск, ул. Орджоникидзе, д. 37/1 офис 313</t>
  </si>
  <si>
    <t>350910, Краснодарский кр., г. Краснодар, ул. Им. Фадеева (Пашковский Жилой Массив Тер, д. 212 офис 74</t>
  </si>
  <si>
    <t>117638, г. Москва, ул. Одесская, д. 2 этаж 18 ком. 33 (Бизнес-центр «Lotos»)</t>
  </si>
  <si>
    <t>457040, Челябинская обл., г. Южноуральск, ул. Заводская, д. 1Е офис 214</t>
  </si>
  <si>
    <t>675028, Амурская обл., г. Благовещенск, ул. Студенческая, д. 15</t>
  </si>
  <si>
    <t>628414, Ханты-Мансийский Автономный Округ - Югра, г.о. Сургут, г Сургут, ул Саянская, д. 16</t>
  </si>
  <si>
    <t>156019, Костромская обл, г.о. город Кострома, г Кострома, ул Зеленая, д. 3, литер Б,Б1,Б2, помещ. 108</t>
  </si>
  <si>
    <t>107078, г. Москва, вн.тер.г. муниципальный округ Красносельский, ул Новорязанская, д. 18, стр. 2 (Бизнес-парк «Stendhal 18с2»)</t>
  </si>
  <si>
    <t>119571, г. Москва, проспект Вернадского, д. 92 к. 1 пом. XIV/ ком. 39/ этаж 1</t>
  </si>
  <si>
    <t>170028, Тверская обл, г.о. город Тверь, г Тверь, ул 2-я Лукина, д. 9, помещ. IV-2, ПОМЕЩ.15</t>
  </si>
  <si>
    <t>344111, Ростовская обл., г. Ростов-На-Дону, ул. 50-Летия Октября, д. 33/1 литера А офис 14</t>
  </si>
  <si>
    <t>385100, Адыгея респ., Тахтамукайский район, аул Тахтамукай, ул. Краснодарская, д. 1</t>
  </si>
  <si>
    <t>385100, Адыгея респ., Тахтамукайский район, аул Тахтамукай, ул. Краснодарская, д. 3</t>
  </si>
  <si>
    <t>350000, Краснодарский кр., г. Краснодар, ул. Гимназическая, д. 65 офис 305,308 (Бизнес-центр «Централь»)</t>
  </si>
  <si>
    <t>357623, Ставропольский кр., г. Ессентуки, ул. Фридриха Энгельса, д. 38А</t>
  </si>
  <si>
    <t>344003, Ростовская обл., г. Ростов-На-Дону, пер. Соборный, д. 70/128 офис 4</t>
  </si>
  <si>
    <t>457020, Челябинская обл., г. Пласт, тер. Шахта Центральная</t>
  </si>
  <si>
    <t>352430, Краснодарский кр., Курганинский район, г. Курганинск, ул. Матросова, д. 132</t>
  </si>
  <si>
    <t>352147, Краснодарский кр., Кавказский район, станица Казанская, д. ПРИМЕРНО 500М ПО НАПРАВЛЕНИЮ НА СЕВЕР к. ОТ ОРИЕНТИРА СТ. КАЗАНСКАЯ</t>
  </si>
  <si>
    <t>393370, Тамбовская обл., Кирсановский район, с. Голынщина, ул. Совхозная, д. 23</t>
  </si>
  <si>
    <t>198328, г. Санкт-Петербург, ул. Доблести, д. 1</t>
  </si>
  <si>
    <t>628011, Ханты-Мансийский Автономный Округ - Югра, г. Ханты-Мансийск, ул. Рознина, д. 71</t>
  </si>
  <si>
    <t>356240, Ставропольский кр., Шпаковский район, г. Михайловск, ул. Объездная, д. 9</t>
  </si>
  <si>
    <t>628380, Ханты-Мансийский Автономный Округ - Югра, г. Пыть-Ях, зона Южная Промышленная стр. 3</t>
  </si>
  <si>
    <t>630079, Новосибирская обл, г.о. город Новосибирск, г Новосибирск, ул Немировича-Данченко, д. 49, офис 16</t>
  </si>
  <si>
    <t>628681, Ханты-Мансийский Автономный Округ - Югра, г. Мегион, ул. Южная, д. 7</t>
  </si>
  <si>
    <t>692954, Приморский кр., г. Находка, ул. Заводская (Поселок Ливадия Мкр.), д. 16</t>
  </si>
  <si>
    <t>344019, Ростовская обл., г. Ростов-На-Дону, пер. Краснофлотский, д. 22 офис 5</t>
  </si>
  <si>
    <t>352750, Краснодарский кр., Брюховецкий район, станица Брюховецкая, ул. Привокзальная, д. 2А</t>
  </si>
  <si>
    <t>353556, Краснодарский край, м.р-н Темрюкский, с.п. Таманское, ст-ца Тамань, ул Карла Маркса, д. 158</t>
  </si>
  <si>
    <t>347879, Ростовская обл, г.о. город Гуково, г Гуково, ул Криничная, д. 59, этаж/кабинет 2/44</t>
  </si>
  <si>
    <t>694500, Сахалинская обл., Южно-Курильский район, пгт. Южно-Курильск, ул. Заводская, д. 17</t>
  </si>
  <si>
    <t>652877, Кемеровская область - Кузбасс, г. Междуреченск, ул. Юности, д. 6</t>
  </si>
  <si>
    <t>352394, Краснодарский кр., Кавказский район, г. Кропоткин, ул. Шоссейная, д. 26</t>
  </si>
  <si>
    <t>369312, Карачаево-Черкесская Респ, м.р-н Абазинский, с.п. Кубинское, аул Кубина, тер. Производственная площадка Агрокомбината Южный</t>
  </si>
  <si>
    <t>652740, Кемеровская область - Кузбасс, г. Калтан, ул. Комсомольская, д. 20</t>
  </si>
  <si>
    <t>628181, Ханты-Мансийский Автономный Округ - Югра, г. Нягань, ул. Ленина, д. 3 кв. 4</t>
  </si>
  <si>
    <t>614534, Пермский кр., Пермский район, пос. Юг</t>
  </si>
  <si>
    <t>410038, Саратовская обл, г.о. город Саратов, г Саратов, пр-д 5-й Соколовогорский, зд. 9А, стр. 1</t>
  </si>
  <si>
    <t>627705, Тюменская обл, м.р-н Ишимский, с.п. Стрехнинское, тер Заря</t>
  </si>
  <si>
    <t>109316, г. Москва, проезд Сибирский, д. 2 стр. 25 офис 8</t>
  </si>
  <si>
    <t>170039, Тверская обл., г. Тверь, ул. Паши Савельевой, д. 84</t>
  </si>
  <si>
    <t>249032, Калужская обл., г. Обнинск, шоссе Киевское, д. 63</t>
  </si>
  <si>
    <t>121357, г. Москва, ул. Верейская, д. 29 стр. 33 Э 5, ком. 7-11; 16 (Бизнес-центр «Верейская Плаза III 33»)</t>
  </si>
  <si>
    <t>127018, г. Москва, ул. Полковая, д. 3 стр. 5 этаж 2А ком. 9 (Бизнес-парк «Шереметьевский строение 5»)</t>
  </si>
  <si>
    <t>644024, Омская обл., г. Омск, ул. Т.К.Щербанева, д. 35 офис 1001</t>
  </si>
  <si>
    <t>129110, г. Москва, ул. Гиляровского, д. 57 стр. 1 (Бизнес-центр «Гиляровского 57»)</t>
  </si>
  <si>
    <t>105064, г. Москва, ул. Земляной Вал, д. 9 этаж 8 ком. 14-65 (Бизнес-центр «Citydel»)</t>
  </si>
  <si>
    <t>420081, Татарстан респ., г. Казань, ул. Габдуллы Кариева, д. 3 к. 1 пом. 1030,18</t>
  </si>
  <si>
    <t>214031, Смоленская обл., г. Смоленск, ул. Индустриальная, д. 5</t>
  </si>
  <si>
    <t>129515, г. Москва, ул. Академика Королева, д. 13 стр. 1 этаж 3 ком. 17А (Бизнес центр "Мосавто"/Бизнес центр ГИНЦВЕТМЕТ)</t>
  </si>
  <si>
    <t>195273, г. Санкт-Петербург, проспект Пискарёвский, д. 63 к. 6 литера А пом. 5-Н офис 11</t>
  </si>
  <si>
    <t>125009, г. Москва, ул. Дмитровка Б., д. 5/6 стр. 2</t>
  </si>
  <si>
    <t>187110, Ленинградская обл., Киришский район, г. Кириши, шоссе Энтузиастов, д. 22</t>
  </si>
  <si>
    <t>191023, г. Санкт-Петербург, ул. Садовая, д. 14/52 литера А пом. 9-Н</t>
  </si>
  <si>
    <t>606002, Нижегородская обл., г. Дзержинск, ул. Лермонтова, д. 22</t>
  </si>
  <si>
    <t>141304, Московская обл., г. Сергиев Посад, ул. Фабричная, д. 7 пом. 13</t>
  </si>
  <si>
    <t>628406, Ханты-Мансийский Автономный Округ - Югра, г. Сургут, ул. Энергостроителей, д. 23 корп. СООР. 34</t>
  </si>
  <si>
    <t>125130, г. Москва, проезд Старопетровский, д. 11 к. 1 этаж 3 ( пом. X)</t>
  </si>
  <si>
    <t>143421, Московская обл, г.о. Красногорск, тер. автодорога Балтия, км 26-й, д. 5, стр. 3, офис 104</t>
  </si>
  <si>
    <t>109028, г. Москва, пер. Тессинский, д. 5 стр. 1 этаж 5 ком. 1Е</t>
  </si>
  <si>
    <t>650528, Кемеровская область - Кузбасс, Кемеровский район, с. Силино, ул. Луговая, д. 9</t>
  </si>
  <si>
    <t>195027, г. Санкт-Петербург, ул. Якорная, д. 17 литера А офис 208</t>
  </si>
  <si>
    <t>144001, Московская обл., г. Электросталь, проезд Криулинский, д. 5 корп. ЗД. 36 ком. 6</t>
  </si>
  <si>
    <t>305528, Курская обл., Курский район, д. Селиховы Дворы, ул. Городская, д. 21 офис 1</t>
  </si>
  <si>
    <t>664025, Иркутская обл., г. Иркутск, ул. Степана Разина, д. 6 офис 301А</t>
  </si>
  <si>
    <t>115184, г. Москва, ул. Большая Татарская, д. 9 этаж 4 пом. 1 офис 10</t>
  </si>
  <si>
    <t>174210, Новгородская обл., Чудовский район, г. Чудово, ул. Державина</t>
  </si>
  <si>
    <t>191025, г. Санкт-Петербург, ул. Маяковского, д. 3Б литера А</t>
  </si>
  <si>
    <t>117246, г. Москва, вн.тер.г. муниципальный округ Черемушки, проезд Научный, д. 17, помещ. 40/16 (Бизнес-центр «Научный проезд 17»)</t>
  </si>
  <si>
    <t>125464, г. Москва, шоссе Волоколамское, д. 142 офис 536 (Бизнес-центр «Ирбис»)</t>
  </si>
  <si>
    <t>129090, г. Москва, ул. Большая Спасская, д. 25 стр. 3</t>
  </si>
  <si>
    <t>628012, Ханты-Мансийский Автономный Округ - Югра, г. Ханты-Мансийск, ул. Ленина, д. 52/1</t>
  </si>
  <si>
    <t>123112, г. Москва, проезд 1-Й Красногвардейский, д. 15 офис 2, ком. 35, пом. 1, этаж 13</t>
  </si>
  <si>
    <t>115191, г. Москва, пер. Гамсоновский, д. 5 стр. 2 этаж 3 пом. V (Бизнес-центр «Гамма 5с2»)</t>
  </si>
  <si>
    <t>111141, г. Москва, вн.тер.г. муниципальный округ Перово, ул Перовская, д. 31, этаж/помещ. 2/V, ком. 14А</t>
  </si>
  <si>
    <t>352630, Краснодарский кр., Белореченский район, г. Белореченск, ул. Победы, д. 132</t>
  </si>
  <si>
    <t>344103, Ростовская обл., г. Ростов-На-Дону, ул. Малиновского, д. 9/15 литера Б офис 1</t>
  </si>
  <si>
    <t>628001, Ханты-Мансийский Автономный Округ - Югра, г. Ханты-Мансийск, ул. Ледовая, д. 11 кв. 15</t>
  </si>
  <si>
    <t>603000, Нижегородская обл., г. Нижний Новгород, ул. Костина, д. 13 пом. 28 ком. 20</t>
  </si>
  <si>
    <t>119435, г. Москва, вн.тер.г. муниципальный округ Хамовники, пер Большой Саввинский, д. 12, стр. 18, этаж, помещ. 2, IV, ком. 9</t>
  </si>
  <si>
    <t>601301, Владимирская обл., Камешковский район, г. Камешково, ул. Дорожная, д. 10</t>
  </si>
  <si>
    <t>353991, Краснодарский кр., г. Новороссийск, промзона Кирилловская, д. 5</t>
  </si>
  <si>
    <t>626020, Тюменская обл., Нижнетавдинский район, с. Нижняя Тавда, ул. Октябрьская, д. 4</t>
  </si>
  <si>
    <t>628301, Ханты-Мансийский Автономный Округ - Югра, г. Нефтеюганск, ул. Ленина к. 18/1</t>
  </si>
  <si>
    <t>625025, Тюменская обл, г.о. город Тюмень, г Тюмень, ул Интернациональная, д. 187</t>
  </si>
  <si>
    <t>628011, Ханты-Мансийский Автономный Округ - Югра, г. Ханты-Мансийск, ул. Привольная, д. 15</t>
  </si>
  <si>
    <t>141732, Московская обл., г. Лобня, ул. Московская, д. 7 пом. 32</t>
  </si>
  <si>
    <t>410005, Саратовская обл., г. Саратов, ул. Им Посадского И.Н., д. 164 кв. 2</t>
  </si>
  <si>
    <t>683009, Камчатский кр., г. Петропавловск-Камчатский, ул. Тундровая, д. 2</t>
  </si>
  <si>
    <t>150003, Ярославская обл., г. Ярославль, проспект Ленина, д. 1А</t>
  </si>
  <si>
    <t>677000, Саха /Якутия/ респ., г. Якутск, ул. Орджоникидзе, д. 36/1 офис 802</t>
  </si>
  <si>
    <t>420061, Татарстан респ., г. Казань, ул. Николая Ершова, д. 1А пом. 975 (Торговый центр «Корстон»)</t>
  </si>
  <si>
    <t>429060, Чувашская Республика - Чувашия, Ядринский район, г. Ядрин, ул. 50 Лет Октября, д. 105</t>
  </si>
  <si>
    <t>629305, Ямало-Ненецкий а.о., г. Новый Уренгой, ул. 26 Съезда Кпсс, д. 3</t>
  </si>
  <si>
    <t>606504, Нижегородская обл., Городецкий район, г. Городец, ул. Динамо, д. 1А</t>
  </si>
  <si>
    <t>150051, Ярославская обл., г. Ярославль, проспект Машиностроителей, д. 81</t>
  </si>
  <si>
    <t>188508, Ленинградская обл., Ломоносовский район, проезд 8-Й (Сев.Ч.Промзоны Горелово Тер), д. 1</t>
  </si>
  <si>
    <t>142152, Московская обл., г. Подольск, д. Яковлево, ул. Шоссейная, д. 1 офис 63</t>
  </si>
  <si>
    <t>309061, Белгородская обл., Яковлевский район, хутор Крапивенские Дворы</t>
  </si>
  <si>
    <t>677001, Саха /Якутия/ респ., г. Якутск, ул. Федора Попова, д. 14</t>
  </si>
  <si>
    <t>129090, г. Москва, пер. Троицкий 1-Й, д. 12 к. 5 пом. 207</t>
  </si>
  <si>
    <t>678020, Саха /Якутия/ респ., Хангаласский у., пос. Мохсоголлох, ул. Заводская, д. 32</t>
  </si>
  <si>
    <t>127495, г. Москва, шоссе Дмитровское, д. 163А к. 2 пом. 8.15</t>
  </si>
  <si>
    <t>629700, Ямало-Ненецкий а.о., Ямальский район, с. Яр-Сале, ул. Худи Сэроко, д. 25 к. А</t>
  </si>
  <si>
    <t>629002, Ямало-Ненецкий а.о., г. Салехард, ул. Республики, д. 128</t>
  </si>
  <si>
    <t>119415, г. Москва, проспект Вернадского, д. 41 стр. 1 этаж / пом. / ком. 4/I/26</t>
  </si>
  <si>
    <t>629004, Ямало-Ненецкий а.о., г. Салехард, ул. Республики, д. 67 офис 600</t>
  </si>
  <si>
    <t>629404, Ямало-Ненецкий окр., г. Лабытнанги, ул. Обская, д. 39</t>
  </si>
  <si>
    <t>355035, Ставропольский кр., г. Ставрополь, ул. Маршала Жукова, д. 2</t>
  </si>
  <si>
    <t>683016, Камчатский кр., г. Петропавловск-Камчатский, ул. Мишенная, д. 131 стр. 13 офис 308</t>
  </si>
  <si>
    <t>115035, г. Москва, ул. Садовническая, д. 82 стр. 2 пом. 10А05 (Бизнес-парк «Аврора»)</t>
  </si>
  <si>
    <t>119021, г. Москва, ул. Льва Толстого, д. 16 (Офисное здание)</t>
  </si>
  <si>
    <t>115035, г. Москва, ул. Садовническая, д. 82 стр. 2 пом. 3А06 (Бизнес-парк «Аврора»)</t>
  </si>
  <si>
    <t>115035, г. Москва, ул. Садовническая, д. 82 стр. 2 пом. 3В14 (Бизнес-парк «Аврора»)</t>
  </si>
  <si>
    <t>123112, г. Москва, вн.тер.г. муниципальный округ Пресненский, проезд 1-й Красногвардейский, д. 22, стр. 1, этаж 12, помещ. 12-40</t>
  </si>
  <si>
    <t>119021, г. Москва, ул. Льва Толстого, д. 16 пом. 528 (Офисное здание)</t>
  </si>
  <si>
    <t>123112, г. Москва, проезд 1-Й Красногвардейский, д. 21 стр. 1 пом. 36.9 этаж 36</t>
  </si>
  <si>
    <t>236005, Калининградская обл., г. Калининград, ул. Дарвина, д. 10</t>
  </si>
  <si>
    <t>629736, Ямало-Ненецкий а.о., г. Надым, ул. Зверева, д. 12/1</t>
  </si>
  <si>
    <t>150510, Ярославская обл., Ярославский район, д. Кузнечиха (Кузнечихинский С.О.), ул. Индустриальная, д. 4</t>
  </si>
  <si>
    <t>150521, Ярославская обл., Ярославский район, пос. Щедрино, ул. Московская стр. 6А офис 204</t>
  </si>
  <si>
    <t>214038, Смоленская обл., г. Смоленск, ул. Кловская, д. 40А офис 1</t>
  </si>
  <si>
    <t>150030, Ярославская обл., г. Ярославль, ул. Пожарского, д. 17</t>
  </si>
  <si>
    <t>152961, Ярославская обл., Рыбинский район, пос. Октябрьский</t>
  </si>
  <si>
    <t>150020, Ярославская обл., г. Ярославль, ул. 4-Я Пролетарская, д. 3</t>
  </si>
  <si>
    <t>152120, Ярославская обл., Ростовский район, г. Ростов, шоссе Варницкое, д. 3</t>
  </si>
  <si>
    <t>660118, Красноярский кр., г. Красноярск, ул. Полигонная, д. 8</t>
  </si>
  <si>
    <t>107076, г. Москва, пер. Колодезный, д. 3 стр. 26 блок VII ком. 6-9 (Бизнес-центр «Бизнес Сквер Бизнес Сквер»)</t>
  </si>
  <si>
    <t>644047, Омская обл., г. Омск, ул. 11-Я Восточная, д. 3</t>
  </si>
  <si>
    <t>150023, Ярославская обл., г. Ярославль, ул. Гагарина, д. 74А</t>
  </si>
  <si>
    <t>678214, Саха /Якутия/ респ., Вилюйский у., пос. Кысыл-Сыр, ул. Ленина, д. 4</t>
  </si>
  <si>
    <t>141401, Московская обл., г. Химки, проспект Ленинский, д. 2Б пом. 3</t>
  </si>
  <si>
    <t>Писарева Юлия Олеговна</t>
  </si>
  <si>
    <t>Халявин Андрей Алексеевич</t>
  </si>
  <si>
    <t>Баранов Дмитрий Александрович</t>
  </si>
  <si>
    <t>Хохлов Иван Николаевич</t>
  </si>
  <si>
    <t>Михеева Елена Игоревна</t>
  </si>
  <si>
    <t>Рыжиков Сергей Владимирович</t>
  </si>
  <si>
    <t>Мелихова Татьяна Павловна</t>
  </si>
  <si>
    <t>Бажанов Андрей Владимирович</t>
  </si>
  <si>
    <t>Локтионов Сергей Александрович</t>
  </si>
  <si>
    <t>Богатырев Евгений Валерьевич</t>
  </si>
  <si>
    <t>Куделин Сергей Игоревич</t>
  </si>
  <si>
    <t>Маазов Магомед Гитиномагомедович</t>
  </si>
  <si>
    <t>Казачкин Александр Олегович</t>
  </si>
  <si>
    <t>Шабанов Ислам Гаджиибрагимович</t>
  </si>
  <si>
    <t>Пилюгин Владимир Алексеевич</t>
  </si>
  <si>
    <t>Силина Ольга Егоровна</t>
  </si>
  <si>
    <t>Зайцев Алексей Николаевич</t>
  </si>
  <si>
    <t>Заборских Андрей Иванович</t>
  </si>
  <si>
    <t>Калита Татьяна Николаевна</t>
  </si>
  <si>
    <t>Пауков Александр Викторович</t>
  </si>
  <si>
    <t>Павлов Алексей Петрович</t>
  </si>
  <si>
    <t>Туленко Екатерина Сергеевна</t>
  </si>
  <si>
    <t>Овчаренко Роман Владимирович</t>
  </si>
  <si>
    <t>Данилиди Игнатий Сергеевич</t>
  </si>
  <si>
    <t>Сироткин Степан Сергеевич</t>
  </si>
  <si>
    <t>Бушенков Александр Юрьевич</t>
  </si>
  <si>
    <t>Евстифейкин Кирилл Владимирович</t>
  </si>
  <si>
    <t>Вергизаев Илья Александрович</t>
  </si>
  <si>
    <t>Коробовская Ольга Владимировна</t>
  </si>
  <si>
    <t>Игнатенко Борис Данилович</t>
  </si>
  <si>
    <t>Грибов Александр Владимирович</t>
  </si>
  <si>
    <t>Управляющая компания СИБИРСКАЯ ГЕНЕРИРУЮЩАЯ КОМПАНИЯ, ООО</t>
  </si>
  <si>
    <t>Ветохина Ольга Юрьевна</t>
  </si>
  <si>
    <t>Калинин Владимир Валентинович</t>
  </si>
  <si>
    <t>Гиндин Леонид Александрович</t>
  </si>
  <si>
    <t>Трифонова Татьяна Владимировна</t>
  </si>
  <si>
    <t>Родионов Игорь Владимирович</t>
  </si>
  <si>
    <t>Управляющая компания АБРАУ-ДЮРСО, ПАО</t>
  </si>
  <si>
    <t>Управляющая компания ЦДС, АО</t>
  </si>
  <si>
    <t>Штрейс Анна Михайловна</t>
  </si>
  <si>
    <t>Горобец Евгений Михайлович</t>
  </si>
  <si>
    <t>Буйлаков Михаил Александрович</t>
  </si>
  <si>
    <t>Иванов Степан Владимирович</t>
  </si>
  <si>
    <t>Гребенников Виталий Анатольевич</t>
  </si>
  <si>
    <t>Шепелев Евгений Сергеевич</t>
  </si>
  <si>
    <t>Соколова Ольга Александровна</t>
  </si>
  <si>
    <t>Солодов Сергей Евгеньевич</t>
  </si>
  <si>
    <t>Испалатов Юрий Владимирович</t>
  </si>
  <si>
    <t>Письменный Антон Сергеевич</t>
  </si>
  <si>
    <t>Рябошапка Олег Васильевич</t>
  </si>
  <si>
    <t>Курчаткин Николай Григорьевич</t>
  </si>
  <si>
    <t>Киркин Алексей Николаевич</t>
  </si>
  <si>
    <t>Космирова Наталья Васильевна</t>
  </si>
  <si>
    <t>Лерман Сергей Евгеньевич</t>
  </si>
  <si>
    <t>Летягин Евгений Анатольевич</t>
  </si>
  <si>
    <t>Пантелеева Ольга Сергеевна</t>
  </si>
  <si>
    <t>Родин Владимир Николаевич</t>
  </si>
  <si>
    <t>Божаров Юрий Юрьевич</t>
  </si>
  <si>
    <t>Насонов Эдуард</t>
  </si>
  <si>
    <t>Данилов Михаил Евгеньевич</t>
  </si>
  <si>
    <t>Кречетова Анна Ильинична</t>
  </si>
  <si>
    <t>Алин Владимир Львович</t>
  </si>
  <si>
    <t>Ткаченко Елена Васильевна</t>
  </si>
  <si>
    <t>Шахрай Игорь Степанович</t>
  </si>
  <si>
    <t>Квачев Валерий Викторович</t>
  </si>
  <si>
    <t>Бузынин Борис Юрьевич</t>
  </si>
  <si>
    <t>Инасаридзе Миндиа Вахтангович</t>
  </si>
  <si>
    <t>Плешков Игорь Валентинович</t>
  </si>
  <si>
    <t>Касьянов Александр Алексеевич</t>
  </si>
  <si>
    <t>Неганов Андрей Николаевич</t>
  </si>
  <si>
    <t>Попов Александр Николаевич</t>
  </si>
  <si>
    <t>Мазанов Сергей Владимирович</t>
  </si>
  <si>
    <t>Стародубцев Валерий Валентинович</t>
  </si>
  <si>
    <t>Сухоребрик Константин Петрович</t>
  </si>
  <si>
    <t>Екжанов Павел Александрович</t>
  </si>
  <si>
    <t>Гулов Андрей Александрович</t>
  </si>
  <si>
    <t>Саламатов Сергей Эдуардович</t>
  </si>
  <si>
    <t>Аксёнов Игорь Борисович</t>
  </si>
  <si>
    <t>Соловьев Петр Константинович</t>
  </si>
  <si>
    <t>Тыщук Дмитрий Иванович</t>
  </si>
  <si>
    <t>Михайлов Вадим Викторович</t>
  </si>
  <si>
    <t>Саврасов Владимир Владимирович</t>
  </si>
  <si>
    <t>Клебанов Вадим Анатольевич</t>
  </si>
  <si>
    <t>Мартиросов Андрей Зарменович</t>
  </si>
  <si>
    <t>Свердлов Михаил Аркадьевич</t>
  </si>
  <si>
    <t>Крапивин Павел Александрович</t>
  </si>
  <si>
    <t>Коваленко Дмитрий Викторович</t>
  </si>
  <si>
    <t>Матюхин Евгений Александрович</t>
  </si>
  <si>
    <t>Ушаков Сергей Геннадьевич</t>
  </si>
  <si>
    <t>Соковишина Ольга Александровна</t>
  </si>
  <si>
    <t>Шебаленков Илья Геннадьевич</t>
  </si>
  <si>
    <t>Каплин Алишер Абдурахманович</t>
  </si>
  <si>
    <t>Белов Владимир Владимирович</t>
  </si>
  <si>
    <t>Мисникевич Татьяна Владимировна</t>
  </si>
  <si>
    <t>Чернышев Андрей Васильевич</t>
  </si>
  <si>
    <t>Прошин Андрей Владимирович</t>
  </si>
  <si>
    <t>Ащеулов Вадим Сергеевич</t>
  </si>
  <si>
    <t>Шишкина Наталья Ивановна</t>
  </si>
  <si>
    <t>Лысак Юрий Алексеевич</t>
  </si>
  <si>
    <t>Нередков Сергей Александрович</t>
  </si>
  <si>
    <t>Бахтиаров Михаил Александрович</t>
  </si>
  <si>
    <t>Паршенцев Дмитрий Николаевич</t>
  </si>
  <si>
    <t>Руколь Елена Валериановна</t>
  </si>
  <si>
    <t>Иевлев Дмитрий Владимирович</t>
  </si>
  <si>
    <t>Спивак Олег Игоревич</t>
  </si>
  <si>
    <t>Бондаренко Юрий Николаевич</t>
  </si>
  <si>
    <t>Лагун Дмитрий Александрович</t>
  </si>
  <si>
    <t>Киракосян Тигран Араратович</t>
  </si>
  <si>
    <t>Тарасов Владислав Владимирович</t>
  </si>
  <si>
    <t>Смольяков Андрей Владимирович</t>
  </si>
  <si>
    <t>Соколов Максим Юрьевич</t>
  </si>
  <si>
    <t>Петров Алексей Сергеевич</t>
  </si>
  <si>
    <t>Полунин Дмитрий Викторович</t>
  </si>
  <si>
    <t>Управляющая компания УК АВТОДОК, ООО</t>
  </si>
  <si>
    <t>Ольховский Андрей Сергеевич</t>
  </si>
  <si>
    <t>Сиротенко Михаил Николаевич</t>
  </si>
  <si>
    <t>Минасян Мартирос Вайричович</t>
  </si>
  <si>
    <t>Могильный Константин Витальевич</t>
  </si>
  <si>
    <t>Зогин Александр Михайлович</t>
  </si>
  <si>
    <t>Беляев Павел Владимирович</t>
  </si>
  <si>
    <t>Юсупов Иса Магомедгаджиевич</t>
  </si>
  <si>
    <t>Маруськин Андрей Владимирович</t>
  </si>
  <si>
    <t>Жирохова Елена Александровна</t>
  </si>
  <si>
    <t>Беликов Николай Александрович</t>
  </si>
  <si>
    <t>Веселовский Иван Александрович</t>
  </si>
  <si>
    <t>Соколов Илья Андреевич</t>
  </si>
  <si>
    <t>Секирин Андрей Александрович</t>
  </si>
  <si>
    <t>Конеченков Александр Сергеевич</t>
  </si>
  <si>
    <t>Грошенков Виталий Олегович</t>
  </si>
  <si>
    <t>Щучко Дмитрий Болеславович</t>
  </si>
  <si>
    <t>Григорьев Владимир Алексеевич</t>
  </si>
  <si>
    <t>Рябушко Владимир Николаевич</t>
  </si>
  <si>
    <t>Пархоменко Александр Владимирович</t>
  </si>
  <si>
    <t>Язев Анатолий Владимирович</t>
  </si>
  <si>
    <t>Мещанинов Александр Михайлович</t>
  </si>
  <si>
    <t>Иванков Иван Владимирович</t>
  </si>
  <si>
    <t>Управляющая компания АВТОПОЛЕ ФИНАНС, ООО</t>
  </si>
  <si>
    <t>Снопков Денис Олегович</t>
  </si>
  <si>
    <t>Сумина Наталия Александровна</t>
  </si>
  <si>
    <t>Аглямов Раис Фассахетдинович</t>
  </si>
  <si>
    <t>Степанова Илона Сергеевна</t>
  </si>
  <si>
    <t>Петрунин Денис Евгеньевич</t>
  </si>
  <si>
    <t>Вихарев Иван Николаевич</t>
  </si>
  <si>
    <t>Сухотина Татьяна Андреевна</t>
  </si>
  <si>
    <t>Кузнецов Игорь Алексеевич</t>
  </si>
  <si>
    <t>Забелкин Алексей Николаевич</t>
  </si>
  <si>
    <t>Орлов Алексей Анатольевич</t>
  </si>
  <si>
    <t>Юрченко Тарас Петрович</t>
  </si>
  <si>
    <t>Рубан Дмитрий Петрович</t>
  </si>
  <si>
    <t>Дроздов Игорь Геннадьевич</t>
  </si>
  <si>
    <t>Пыжьянов Андрей Владиславович</t>
  </si>
  <si>
    <t>Хохлова Любовь Валентиновна</t>
  </si>
  <si>
    <t>Земский Олег Викторович</t>
  </si>
  <si>
    <t>Наумов Станислав Александрович</t>
  </si>
  <si>
    <t>Рапарович Андрей Владимирович</t>
  </si>
  <si>
    <t>Киракосян Гагик Араратович</t>
  </si>
  <si>
    <t>Смолькин Игорь Валериевич</t>
  </si>
  <si>
    <t>Хвоенко Оксана Ивановна</t>
  </si>
  <si>
    <t>Недоруб Виталий Александрович</t>
  </si>
  <si>
    <t>Новиков Алексей Александрович</t>
  </si>
  <si>
    <t>Цыганков Владимир Владимирович</t>
  </si>
  <si>
    <t>Управляющая компания УК ЦЕНЗОР, ООО</t>
  </si>
  <si>
    <t>Голованов Виктор Сергеевич</t>
  </si>
  <si>
    <t>Морозов Андрей Сергеевич</t>
  </si>
  <si>
    <t>Кузьмина Анастасия Сергеевна</t>
  </si>
  <si>
    <t>Горелов Владимир Анатольевич</t>
  </si>
  <si>
    <t>Хабибуллин Ришат Фоатович</t>
  </si>
  <si>
    <t>Русскин Дмитрий Александрович</t>
  </si>
  <si>
    <t>Мельников Андрей Геннадьевич</t>
  </si>
  <si>
    <t>Николаев Вадим Евгеньевич</t>
  </si>
  <si>
    <t>Кипоть Вадим Анатольевич</t>
  </si>
  <si>
    <t>Ануфриенко Алексей Викторович</t>
  </si>
  <si>
    <t>Управляющая компания СИБАГРО, АО</t>
  </si>
  <si>
    <t>Рождественский Алексей Юрьевич</t>
  </si>
  <si>
    <t>Якибчук Максим Михайлович</t>
  </si>
  <si>
    <t>Андросов Александр Михайлович</t>
  </si>
  <si>
    <t>Нарожный Дмитрий Вадимович</t>
  </si>
  <si>
    <t>Музылев Кирилл Никитич</t>
  </si>
  <si>
    <t>Казиев Азим Магомедалиевич</t>
  </si>
  <si>
    <t>Золотов Дмитрий Николаевич</t>
  </si>
  <si>
    <t>Управляющая компания КОРПОРАТИВНЫЙ ЦЕНТР ИКС 5, ООО</t>
  </si>
  <si>
    <t>Вязников Александр Николаевич</t>
  </si>
  <si>
    <t>Поляков Анатолий Дмитриевич</t>
  </si>
  <si>
    <t>Гурский Игорь Анатольевич</t>
  </si>
  <si>
    <t>Неклюдов Алексей Геннадиевич</t>
  </si>
  <si>
    <t>Миронов Сергей Николаевич</t>
  </si>
  <si>
    <t>Ищенко Тамара Петровна</t>
  </si>
  <si>
    <t>Карпеев Сергей Григорьевич</t>
  </si>
  <si>
    <t>Хайнов Василий Валерьевич</t>
  </si>
  <si>
    <t>Журавлева Ирина Валерьевна</t>
  </si>
  <si>
    <t>Управляющая компания АГРОГАРД, АО</t>
  </si>
  <si>
    <t>Калинин Николай Борисович</t>
  </si>
  <si>
    <t>Мататов Давид Писахович</t>
  </si>
  <si>
    <t>Хаеш Сергей Анатольевич</t>
  </si>
  <si>
    <t>Камчатный Сергей Александрович</t>
  </si>
  <si>
    <t>Чугунов Сергей Львович</t>
  </si>
  <si>
    <t>Юров Геннадий Юрьевич</t>
  </si>
  <si>
    <t>Таратута Дмитрий Борисович</t>
  </si>
  <si>
    <t>Сидоров Сергей Сергеевич</t>
  </si>
  <si>
    <t>Хворостина Евгений Николаевич</t>
  </si>
  <si>
    <t>Быканов Константин Николаевич</t>
  </si>
  <si>
    <t>Клещ Иван Николаевич</t>
  </si>
  <si>
    <t>Братишко Владимир Вячеславович</t>
  </si>
  <si>
    <t>Черненко Юлия Юрьевна</t>
  </si>
  <si>
    <t>Чернышов Владимир Николаевич</t>
  </si>
  <si>
    <t>Ширин Владимир Александрович</t>
  </si>
  <si>
    <t>Васильев Андрей Викторович</t>
  </si>
  <si>
    <t>Масалыкин Алексей Викторович</t>
  </si>
  <si>
    <t>Мезенцев Олег Владимирович</t>
  </si>
  <si>
    <t>Белоногий Геннадий Михайлович</t>
  </si>
  <si>
    <t>Саенко Алексей Иванович</t>
  </si>
  <si>
    <t>Вавильченков Сергей Васильевич</t>
  </si>
  <si>
    <t>Маловатер Александр Борисович</t>
  </si>
  <si>
    <t>Деев Владимир Николаевич</t>
  </si>
  <si>
    <t>Бруева Виктория Александровна</t>
  </si>
  <si>
    <t>Соловьев Константин Владимирович</t>
  </si>
  <si>
    <t>Алимов Александр Николаевич</t>
  </si>
  <si>
    <t>Лалаян Нельсон Араратович</t>
  </si>
  <si>
    <t>Управляющая компания СОДРУЖЕСТВО, ООО УК</t>
  </si>
  <si>
    <t>Николаев Максим Викторович</t>
  </si>
  <si>
    <t>Арзамасов Артем Алексеевич</t>
  </si>
  <si>
    <t>Вялых Сергей Владимирович</t>
  </si>
  <si>
    <t>Скутнев Виктор Иванович</t>
  </si>
  <si>
    <t>Ишутин Аркадий Александрович</t>
  </si>
  <si>
    <t>Егизарян Ирина Анатольевна</t>
  </si>
  <si>
    <t>Насыров Рустам Рашидович</t>
  </si>
  <si>
    <t>Шрейдер Виталий Александрович</t>
  </si>
  <si>
    <t>Управляющая компания АГРОСИЛА, АО</t>
  </si>
  <si>
    <t>Барсукова Светлана Геннадьевна</t>
  </si>
  <si>
    <t>Азаров Сергей Васильевич</t>
  </si>
  <si>
    <t>Управляющая компания АГРОСЕРВИС, ООО</t>
  </si>
  <si>
    <t>Смирнова Светлана Владимировна</t>
  </si>
  <si>
    <t>Еремеев Герман Геннадьевич</t>
  </si>
  <si>
    <t>Шейкин Андрей Викторович</t>
  </si>
  <si>
    <t>Глухарев Алексей Алексеевич</t>
  </si>
  <si>
    <t>Габдрахманов Рафаил Гафурзянович</t>
  </si>
  <si>
    <t>Юрков Иван Геннадьевич</t>
  </si>
  <si>
    <t>Ситникова Татьяна Александровна</t>
  </si>
  <si>
    <t>Тимошенко Сергей Владимирович</t>
  </si>
  <si>
    <t>Грушко Николай Геннадьевич</t>
  </si>
  <si>
    <t>Грушко Геннадий Николаевич</t>
  </si>
  <si>
    <t>Евсеев Александр Васильевич</t>
  </si>
  <si>
    <t>Сорокин Павел Владимирович</t>
  </si>
  <si>
    <t>Шпица Ольга Геннадьевна</t>
  </si>
  <si>
    <t>Грушин Максим Юрьевич</t>
  </si>
  <si>
    <t>Макаленко Виктор Николаевич</t>
  </si>
  <si>
    <t>Шеин Константин Георгиевич</t>
  </si>
  <si>
    <t>Виздак Тамаш</t>
  </si>
  <si>
    <t>Борисов Андрей Викторович</t>
  </si>
  <si>
    <t>Дородных Денис Игоревич</t>
  </si>
  <si>
    <t>Кондюрин Павел Алексеевич</t>
  </si>
  <si>
    <t>Перевертайлов Александр Алексеевич</t>
  </si>
  <si>
    <t>Андин Александр Иванович</t>
  </si>
  <si>
    <t>Седов Леонид Константинович</t>
  </si>
  <si>
    <t>Управляющая компания ГК ТРИО, ООО</t>
  </si>
  <si>
    <t>Фищук Геннадий Владимирович</t>
  </si>
  <si>
    <t>Горелов Вадим Евгеньевич</t>
  </si>
  <si>
    <t>Управляющая компания ЕВРОХИМСЕРВИС, ООО УК</t>
  </si>
  <si>
    <t>Тлакадугов Хазрит Камбулатович</t>
  </si>
  <si>
    <t>Эйсмонт Татьяна Васильевна</t>
  </si>
  <si>
    <t>Управляющая компания ОКТЯБРЬСКОЕ, АО</t>
  </si>
  <si>
    <t>Нефедов Сергей Викторович</t>
  </si>
  <si>
    <t>Лактионов Олег Викторович</t>
  </si>
  <si>
    <t>Иванищев Николай Николаевич</t>
  </si>
  <si>
    <t>Грибов Михаил Владимирович</t>
  </si>
  <si>
    <t>Савостин Александр Александрович</t>
  </si>
  <si>
    <t>Найденов Евгений Анатольевич</t>
  </si>
  <si>
    <t>Управляющая компания АГРОЭКО-МЕНЕДЖМЕНТ, ООО</t>
  </si>
  <si>
    <t>Дудников Сергей Егорович</t>
  </si>
  <si>
    <t>Корольков Геннадий Афиногентович</t>
  </si>
  <si>
    <t>Белов Александр Владимирович</t>
  </si>
  <si>
    <t>Аксенов Александр Анатольевич</t>
  </si>
  <si>
    <t>Комиссарова Ирина Анатольевна</t>
  </si>
  <si>
    <t>Бойко Алексей Владимирович</t>
  </si>
  <si>
    <t>Стебихов Сергей Александрович</t>
  </si>
  <si>
    <t>Исхаков Раиф Шайдуллович</t>
  </si>
  <si>
    <t>Ланкович Андрей Владимирович</t>
  </si>
  <si>
    <t>Мокеев Дмитрий Вячеславич</t>
  </si>
  <si>
    <t>Виноградов Юрий Александрович</t>
  </si>
  <si>
    <t>Королева Ольга Викторовна</t>
  </si>
  <si>
    <t>Соколов Антон Валентинович</t>
  </si>
  <si>
    <t>Шляков Алексей Борисович</t>
  </si>
  <si>
    <t>Задорожный Роман Анатольевич</t>
  </si>
  <si>
    <t>Долгов Дмитрий Александрович</t>
  </si>
  <si>
    <t>Пухов Олег Георгиевич</t>
  </si>
  <si>
    <t>Шпорт Юрий Александрович</t>
  </si>
  <si>
    <t>Озеров Рахим Александрович</t>
  </si>
  <si>
    <t>Фатыхов Алексей Ринатович</t>
  </si>
  <si>
    <t>Баранов Олег Владимирович</t>
  </si>
  <si>
    <t>Литвиченко Денис Олегович</t>
  </si>
  <si>
    <t>Вальштейн Олег Ильич</t>
  </si>
  <si>
    <t>Черниловский Илья Александрович</t>
  </si>
  <si>
    <t>Книга Ольга Владиленовна</t>
  </si>
  <si>
    <t>Тихонов Виталий Александрович</t>
  </si>
  <si>
    <t>Агафонов Михаил Анатольевич</t>
  </si>
  <si>
    <t>Королев Евгений Борисович</t>
  </si>
  <si>
    <t>Ракша Леонид Леонидович</t>
  </si>
  <si>
    <t>Скрыпников Евгений Витальевич</t>
  </si>
  <si>
    <t>Крисюк Андрей Иванович</t>
  </si>
  <si>
    <t>Романовский Кирилл Васильевич</t>
  </si>
  <si>
    <t>Арыман Диана Хасановна</t>
  </si>
  <si>
    <t>Пронин Денис Александрович</t>
  </si>
  <si>
    <t>Ермоленко Александр Александрович</t>
  </si>
  <si>
    <t>Подшивалов Виталий Вячеславович</t>
  </si>
  <si>
    <t>Слободенюк Сергей Васильевич</t>
  </si>
  <si>
    <t>Донцов Максим Максимович</t>
  </si>
  <si>
    <t>Герасимов Вячеслав Витальевич</t>
  </si>
  <si>
    <t>Чернов Михаил Александрович</t>
  </si>
  <si>
    <t>Васильев Александр Александрович</t>
  </si>
  <si>
    <t>Баранов Антон Владимирович</t>
  </si>
  <si>
    <t>Пантюхов Андрей Геннадьевич</t>
  </si>
  <si>
    <t>Валынкин Сергей Юрьевич</t>
  </si>
  <si>
    <t>Григорьев Дмитрий Константинович</t>
  </si>
  <si>
    <t>Пышный Вадим Юрьевич</t>
  </si>
  <si>
    <t>Степанов Евгений Витальевич</t>
  </si>
  <si>
    <t>Макаричев Александр Александрович</t>
  </si>
  <si>
    <t>Завгородний Дмитрий Георгиевич</t>
  </si>
  <si>
    <t>Воробьев Павел Андреевич</t>
  </si>
  <si>
    <t>Багаутдинов Наиль Гимадиевич</t>
  </si>
  <si>
    <t>Якупов Азат Харисович</t>
  </si>
  <si>
    <t>Управляющая компания ПРОДИМЕКС АГРО, ООО УК</t>
  </si>
  <si>
    <t>Ярошевич Юрий Михайлович</t>
  </si>
  <si>
    <t>Шимохин Василий Владимирович</t>
  </si>
  <si>
    <t>Чернов Павел Анатольевич</t>
  </si>
  <si>
    <t>Мохов Леонид Витальевич</t>
  </si>
  <si>
    <t>Мишарев Максим Николаевич</t>
  </si>
  <si>
    <t>Винокуров Семен Викторович</t>
  </si>
  <si>
    <t>Чернышев Сергей Евгеньевич</t>
  </si>
  <si>
    <t>Андреев Виталий Александрович</t>
  </si>
  <si>
    <t>Винокуров Андрей Семенович</t>
  </si>
  <si>
    <t>Озерной Валерий Павлович</t>
  </si>
  <si>
    <t>Ахметов Газинур Абдулович</t>
  </si>
  <si>
    <t>Управляющая компания УК АКВАЛАЙН, ООО</t>
  </si>
  <si>
    <t>Макаренко Олег Анатольевич</t>
  </si>
  <si>
    <t>Фридкин Александр Михайлович</t>
  </si>
  <si>
    <t>Асратян Карен Юрьевич</t>
  </si>
  <si>
    <t>Красков Михаил Игоревич</t>
  </si>
  <si>
    <t>Селезнев Дмитрий Николаевич</t>
  </si>
  <si>
    <t>Либерман Леонид Иосифович</t>
  </si>
  <si>
    <t>Кузьмин Александр Юрьевич</t>
  </si>
  <si>
    <t>Управляющая компания УК БЛАГО, ООО</t>
  </si>
  <si>
    <t>Бирюков Константин Николаевич</t>
  </si>
  <si>
    <t>Величко Николай Анатольевич</t>
  </si>
  <si>
    <t>Соболь Наталия Валерьевна</t>
  </si>
  <si>
    <t>Фидорищенко Сергей Сергеевич</t>
  </si>
  <si>
    <t>Гриневич Александр Юрьевич</t>
  </si>
  <si>
    <t>Морозов Константин Михайлович</t>
  </si>
  <si>
    <t>Иванов Валерий Николаевич</t>
  </si>
  <si>
    <t>Клюева Елена Витальевна</t>
  </si>
  <si>
    <t>Бабаян Араик Анатольевич</t>
  </si>
  <si>
    <t>Кузин Олег Рудольфович</t>
  </si>
  <si>
    <t>Куницкий Владимир Яковлевич</t>
  </si>
  <si>
    <t>Овчинников Андрей Юрьевич</t>
  </si>
  <si>
    <t>Рябцев Петр Леонидович</t>
  </si>
  <si>
    <t>Трюхан Геннадий Сергеевич</t>
  </si>
  <si>
    <t>Управляющая компания РКС-ХОЛДИНГ, ООО</t>
  </si>
  <si>
    <t>Кузьмин Андрей Сергеевич</t>
  </si>
  <si>
    <t>Костюкова Марина Николаевна</t>
  </si>
  <si>
    <t>Якупов Вадим Анатольевич</t>
  </si>
  <si>
    <t>Диланян Вартан Петрович</t>
  </si>
  <si>
    <t>Хвостикова Александра</t>
  </si>
  <si>
    <t>Гыйльфанов Айрат Зулфатович</t>
  </si>
  <si>
    <t>Стариков Алексей Николаевич</t>
  </si>
  <si>
    <t>Козлова Елена Николаевна</t>
  </si>
  <si>
    <t>Кузнецов Дмитрий Владимирович</t>
  </si>
  <si>
    <t>Астахов Андрей Сергеевич</t>
  </si>
  <si>
    <t>Кривда Валерий Павлович</t>
  </si>
  <si>
    <t>Каширин Николай Викторович</t>
  </si>
  <si>
    <t>Сюмак Виталий Сергеевич</t>
  </si>
  <si>
    <t>Бочихин Сергей Владимирович</t>
  </si>
  <si>
    <t>Алексеева Татьяна Михайловна</t>
  </si>
  <si>
    <t>Сафин Айрат Фархатович</t>
  </si>
  <si>
    <t>Кабанов Евгений Сергеевич</t>
  </si>
  <si>
    <t>Цепелев Денис Юрьевич</t>
  </si>
  <si>
    <t>Зверев Андрей Константинович</t>
  </si>
  <si>
    <t>Управляющая компания АТЛАС МАЙНИНГ, ООО</t>
  </si>
  <si>
    <t>Шевчук Наталия Леонидовна</t>
  </si>
  <si>
    <t>Новицкий Дмитрий Валерьевич</t>
  </si>
  <si>
    <t>Александров Александр Валерьевич</t>
  </si>
  <si>
    <t>Рогов Константин Вячеславович</t>
  </si>
  <si>
    <t>Готовцев Иван Яковлевич</t>
  </si>
  <si>
    <t>Бутуриди Михаил Анатольевич</t>
  </si>
  <si>
    <t>Старовойтова Алла Петровна</t>
  </si>
  <si>
    <t>Саттаров Марат Дамирович</t>
  </si>
  <si>
    <t>Управляющая компания УК РБПИ ГРУПП, ООО</t>
  </si>
  <si>
    <t>Управляющая компания СФТ МЕНЕДЖМЕНТ, ООО</t>
  </si>
  <si>
    <t>Нефедов Сергей Николаевич</t>
  </si>
  <si>
    <t>Пономарев Николай Николаевич</t>
  </si>
  <si>
    <t>Сурков Олег Александрович</t>
  </si>
  <si>
    <t>Бахтенко Владислав Андреевич</t>
  </si>
  <si>
    <t>Киселев Андрей Владимирович</t>
  </si>
  <si>
    <t>Васильев Игорь Юрьевич</t>
  </si>
  <si>
    <t>Жидков Андрей Борисович</t>
  </si>
  <si>
    <t>Нежурина Марина Игоревна</t>
  </si>
  <si>
    <t>Кацков Андрей Владимирович</t>
  </si>
  <si>
    <t>Костецкая Ольга</t>
  </si>
  <si>
    <t>Федоренко Людмила Викторовна</t>
  </si>
  <si>
    <t>Феоктистов Андрей Анатольевич</t>
  </si>
  <si>
    <t>Туленцев Александр Викторович</t>
  </si>
  <si>
    <t>Валов Михаил Юрьевич</t>
  </si>
  <si>
    <t>Наследухова Нина Львовна</t>
  </si>
  <si>
    <t>Байкалов Вячеслав Николаевич</t>
  </si>
  <si>
    <t>Усачёв Тимофей Владимирович</t>
  </si>
  <si>
    <t>Ерёмин Алексей Сергеевич</t>
  </si>
  <si>
    <t>Маринычев Павел Алексеевич</t>
  </si>
  <si>
    <t>Вафин Риф Вакилович</t>
  </si>
  <si>
    <t>Мохаммад Надир Шах Джума Хан</t>
  </si>
  <si>
    <t>Нидерахер Марко</t>
  </si>
  <si>
    <t>Панченков Алексей Георгиевич</t>
  </si>
  <si>
    <t>Валяс Вадим Иванович</t>
  </si>
  <si>
    <t>Приб Сергей Николаевич</t>
  </si>
  <si>
    <t>Глумов Юрий Александрович</t>
  </si>
  <si>
    <t>Нагорнов Валерий Анатольевич</t>
  </si>
  <si>
    <t>Сейранян Мамикон Сергеевич</t>
  </si>
  <si>
    <t>Карлов Александр Александрович</t>
  </si>
  <si>
    <t>Сафин Марат Зулфятович</t>
  </si>
  <si>
    <t>Митричев Сергей Анатольевич</t>
  </si>
  <si>
    <t>Красильников Михаил Алексеевич</t>
  </si>
  <si>
    <t>Дубровская Елена Владимировна</t>
  </si>
  <si>
    <t>Фролов Андрей Сергеевич</t>
  </si>
  <si>
    <t>Саляев Игорь Батрович</t>
  </si>
  <si>
    <t>Володина Татьяна Владимировна</t>
  </si>
  <si>
    <t>Управляющая компания КВАНТ, ООО</t>
  </si>
  <si>
    <t>Хачатурян Роберт Юрикович</t>
  </si>
  <si>
    <t>Афонский Алексей Владимирович</t>
  </si>
  <si>
    <t>Улубаш Йылмаз</t>
  </si>
  <si>
    <t>Бугров Юрий Сергеевич</t>
  </si>
  <si>
    <t>Мамлеев Рустам Кямилевич</t>
  </si>
  <si>
    <t>Бабашов Артур Леонидович</t>
  </si>
  <si>
    <t>Болдин Владимир Анатольевич</t>
  </si>
  <si>
    <t>Тряпышко Вячеслав Витальевич</t>
  </si>
  <si>
    <t>Берестовский Андрей Анатольевич</t>
  </si>
  <si>
    <t>Баланев Андрей Николаевич</t>
  </si>
  <si>
    <t>Куркин Дмитрий Николаевич</t>
  </si>
  <si>
    <t>Прокофьев Сергей Мариевич</t>
  </si>
  <si>
    <t>Старков Денис Алексеевич</t>
  </si>
  <si>
    <t>Абдулова Ксения Игоревна</t>
  </si>
  <si>
    <t>Кейзер Виталий Анатольевич</t>
  </si>
  <si>
    <t>Кривощёков Анатолий Сергеевич</t>
  </si>
  <si>
    <t>Корнийчук Анатолий Валерьевич</t>
  </si>
  <si>
    <t>Ильин Михаил Юрьевич</t>
  </si>
  <si>
    <t>Момотов Евгений Альбертович</t>
  </si>
  <si>
    <t>Чичаев Андрей Александрович</t>
  </si>
  <si>
    <t>Управляющая компания ЖИВИКА ЦЕНТР, ООО</t>
  </si>
  <si>
    <t>Липаев Кирилл Юрьевич</t>
  </si>
  <si>
    <t>Литвинов Антон Николаевич</t>
  </si>
  <si>
    <t>Цыкова Ксения Анатольевна</t>
  </si>
  <si>
    <t>Мухин Максим Павлович</t>
  </si>
  <si>
    <t>Лихачева Мария Александровна</t>
  </si>
  <si>
    <t>Осокин Александр Сергеевич</t>
  </si>
  <si>
    <t>Кабанов Евгений Александрович</t>
  </si>
  <si>
    <t>Харьков Дмитрий Васильевич</t>
  </si>
  <si>
    <t>Старшинов Александр Васильевич</t>
  </si>
  <si>
    <t>Сапронов Алексей Александрович</t>
  </si>
  <si>
    <t>Новикова Вероника Николаевна</t>
  </si>
  <si>
    <t>Капука Игорь Владимирович</t>
  </si>
  <si>
    <t>Михайленко Константин Викторович</t>
  </si>
  <si>
    <t>Козлов Павел Владимирович</t>
  </si>
  <si>
    <t>Петров Михаил Владимирович</t>
  </si>
  <si>
    <t>Смолянинова Ирина Вячеславовна</t>
  </si>
  <si>
    <t>Сватков Алексей Владимирович</t>
  </si>
  <si>
    <t>Коржавин Павел Александрович</t>
  </si>
  <si>
    <t>Поддьяков Дмитрий Андреевич</t>
  </si>
  <si>
    <t>Катин Вячеслав Владимирович</t>
  </si>
  <si>
    <t>Пышняк Артем Валерьевич</t>
  </si>
  <si>
    <t>Остальцев Антон Сергеевич</t>
  </si>
  <si>
    <t>Герасименко Алексей Алексеевич</t>
  </si>
  <si>
    <t>Захаров Евгений Сергеевич</t>
  </si>
  <si>
    <t>Кекуль Евгений Петрович</t>
  </si>
  <si>
    <t>Машанин Владимир Иванович</t>
  </si>
  <si>
    <t>Беляков Дмитрий Дмитриевич</t>
  </si>
  <si>
    <t>Дудин Дмитрий Васильевич</t>
  </si>
  <si>
    <t>Ахриев Сандро Алиханович</t>
  </si>
  <si>
    <t>Гвоздков Игорь Александрович</t>
  </si>
  <si>
    <t>Дружинин Алексей Андреевич</t>
  </si>
  <si>
    <t>Велиев Георгий Владимирович</t>
  </si>
  <si>
    <t>Волосянникова Оксана Владимировна</t>
  </si>
  <si>
    <t>Мухутдинов Саяр Вагабович</t>
  </si>
  <si>
    <t>Зыков Алексей Владимирович</t>
  </si>
  <si>
    <t>Намазов Руслан Имамалиевич</t>
  </si>
  <si>
    <t>Паламарчук Светлана Дмитриевна</t>
  </si>
  <si>
    <t>Хайдаров Артем Азатович</t>
  </si>
  <si>
    <t>Астабатцян Карен Грантович</t>
  </si>
  <si>
    <t>Чесноков Евгений Григорьевич</t>
  </si>
  <si>
    <t>Управляющая компания ИНТЕРМИНЕРАЛС, ООО</t>
  </si>
  <si>
    <t>Болдырев Сергей Леонидович</t>
  </si>
  <si>
    <t>Петров Александр Анатольевич</t>
  </si>
  <si>
    <t>Петров Владимир Николаевич</t>
  </si>
  <si>
    <t>Никитенко Иван Сергеевич</t>
  </si>
  <si>
    <t>Макаров Дмитрий Юрьевич</t>
  </si>
  <si>
    <t>Белёва Ирина Олеговна</t>
  </si>
  <si>
    <t>Сенча Ксения Юрьевна</t>
  </si>
  <si>
    <t>Варгасов Алексей Николаевич</t>
  </si>
  <si>
    <t>Махаев Владимир Александрович</t>
  </si>
  <si>
    <t>Цобкалло Михаил Сергеевич</t>
  </si>
  <si>
    <t>Яковлев Александр Васильевич</t>
  </si>
  <si>
    <t>Гольцов Александр Леонидович</t>
  </si>
  <si>
    <t>Трухин Вадим Вячеславович</t>
  </si>
  <si>
    <t>Щеглов Дмитрий Александрович</t>
  </si>
  <si>
    <t>Горяев Цецен Николаевич</t>
  </si>
  <si>
    <t>Минасян Армен Геворгович</t>
  </si>
  <si>
    <t>Бажаев Эльбрус Наибович</t>
  </si>
  <si>
    <t>Крупский Антон Сергеевич</t>
  </si>
  <si>
    <t>Управляющая компания УК ААК, ООО</t>
  </si>
  <si>
    <t>Кривель Павел Михайлович</t>
  </si>
  <si>
    <t>Михайлов Андрей Анатольевич</t>
  </si>
  <si>
    <t>Фрейдин Григорий Яковлевич</t>
  </si>
  <si>
    <t>Голудько Татьяна Владимировна</t>
  </si>
  <si>
    <t>Ведерников Олег Валерьевич</t>
  </si>
  <si>
    <t>Кохан Владимир Анатольевич</t>
  </si>
  <si>
    <t>Пляскота Николай Владимирович</t>
  </si>
  <si>
    <t>Тарасюк Сергей Александрович</t>
  </si>
  <si>
    <t>Управляющая компания ХК СИБЦЕМ, АО</t>
  </si>
  <si>
    <t>Цинь Цзяньхуа</t>
  </si>
  <si>
    <t>Дурдыев Ораз Алиевич</t>
  </si>
  <si>
    <t>Истамгулов Александр Валерьевич</t>
  </si>
  <si>
    <t>Управляющая компания МЕНЕДЖМЕНТ КОНСАЛТИНГ, ООО</t>
  </si>
  <si>
    <t>Гредасова Мария Николаевна</t>
  </si>
  <si>
    <t>Акай Генджай</t>
  </si>
  <si>
    <t>Бакаляр Юрий Николаевич</t>
  </si>
  <si>
    <t>Поломарь Андрей Михайлович</t>
  </si>
  <si>
    <t>Габдрахманов Айдар Владикович</t>
  </si>
  <si>
    <t>Корень Дмитрий Александрович</t>
  </si>
  <si>
    <t>Куру Рамазан</t>
  </si>
  <si>
    <t>Михайлов Александр Николаевич</t>
  </si>
  <si>
    <t>Минин Геннадий Викторович</t>
  </si>
  <si>
    <t>Туаев Батраз Александрович</t>
  </si>
  <si>
    <t>Магомедхажиев Руслан Сайдумович</t>
  </si>
  <si>
    <t>Зайцев Михаил Яковлевич</t>
  </si>
  <si>
    <t>Хабибуллина Гульназ Зиннуровна</t>
  </si>
  <si>
    <t>Мутигуллин Рифат Махмутович</t>
  </si>
  <si>
    <t>Негинский Антон Геннадьевич</t>
  </si>
  <si>
    <t>Стахов Максим Игоревич</t>
  </si>
  <si>
    <t>Бресь Иосиф Станиславович</t>
  </si>
  <si>
    <t>Насибуллин Ринат Азгамович</t>
  </si>
  <si>
    <t>Уваркин Александр Сергеевич</t>
  </si>
  <si>
    <t>Кузнецова Ольга Николаевна</t>
  </si>
  <si>
    <t>Синицина Екатерина Сергеевна</t>
  </si>
  <si>
    <t>Власова Евгения Викторовна</t>
  </si>
  <si>
    <t>Анисимов Вадим Георгиевич</t>
  </si>
  <si>
    <t>Кузин Александр Владимирович</t>
  </si>
  <si>
    <t>Минаева Юлия Анатольевна</t>
  </si>
  <si>
    <t>Филиппов Александр Павлович</t>
  </si>
  <si>
    <t>Дождикова Ирина Андреевна</t>
  </si>
  <si>
    <t>Милютин Сергей Геннадьевич</t>
  </si>
  <si>
    <t>Романишин Петр Евгеньевич</t>
  </si>
  <si>
    <t>Скворцов Константин Анатольевич</t>
  </si>
  <si>
    <t>Колесниченко Иван Анатольевич</t>
  </si>
  <si>
    <t>Крамаренко Елена Александровна</t>
  </si>
  <si>
    <t>Демидов Михаил Алексеевич</t>
  </si>
  <si>
    <t>Захарова Наталья Сергеевна</t>
  </si>
  <si>
    <t>Лобанов Виктор Викторович</t>
  </si>
  <si>
    <t>Самойлов Кирилл Олегович</t>
  </si>
  <si>
    <t>Шишков Павел Геннадьевич</t>
  </si>
  <si>
    <t>Тен Юлия Антоновна</t>
  </si>
  <si>
    <t>Агафонов Михаил Викторович</t>
  </si>
  <si>
    <t>Логинов Роман Валерьевич</t>
  </si>
  <si>
    <t>Джапарбеков Шамиль Магомедович</t>
  </si>
  <si>
    <t>Сулеев Дмитрий Петрович</t>
  </si>
  <si>
    <t>Кукуть Сергей Витальевич</t>
  </si>
  <si>
    <t>Круглов Андрей Александрович</t>
  </si>
  <si>
    <t>Малышев Герман Борисович</t>
  </si>
  <si>
    <t>Зурабова Лидия Абдурахмановна</t>
  </si>
  <si>
    <t>Евтеев Андрей Юрьевич</t>
  </si>
  <si>
    <t>Ширяев Александр Александрович</t>
  </si>
  <si>
    <t>Гайбарян Ованес Арутюнович</t>
  </si>
  <si>
    <t>Порхун Павел Андреевич</t>
  </si>
  <si>
    <t>Осадчий Сергей Александрович</t>
  </si>
  <si>
    <t>Кулешин Эдуард Иванович</t>
  </si>
  <si>
    <t>Мамонова Елена Алексеевна</t>
  </si>
  <si>
    <t>Ибрагимов Ренат Фаукатович</t>
  </si>
  <si>
    <t>Филиппов Андрей Николаевич</t>
  </si>
  <si>
    <t>Поповкина Елена Юрьевна</t>
  </si>
  <si>
    <t>Кондрашина Ирина Николаевна</t>
  </si>
  <si>
    <t>Кардашев Владислав Владимирович</t>
  </si>
  <si>
    <t>Копытина Виктория Валентиновна</t>
  </si>
  <si>
    <t>Леоненко Сергей Васильевич</t>
  </si>
  <si>
    <t>Чередниченко Денис Витальевич</t>
  </si>
  <si>
    <t>Дударев Денис Олегович</t>
  </si>
  <si>
    <t>Латыпова Алла Валерьевна</t>
  </si>
  <si>
    <t>Пашаев Масхуд Вахарсолтаевич</t>
  </si>
  <si>
    <t>Чеботарев Владислав Сергеевич</t>
  </si>
  <si>
    <t>Лаптев Арсений Викторович</t>
  </si>
  <si>
    <t>Соломоник Галина Алексеевна</t>
  </si>
  <si>
    <t>Дворцов Алексей Михайлович</t>
  </si>
  <si>
    <t>Влащенко Игорь Сергеевич</t>
  </si>
  <si>
    <t>Яхъяев Осман Магомедович</t>
  </si>
  <si>
    <t>Юркова Тамара Анатольевна</t>
  </si>
  <si>
    <t>Попадинец Иван Михайлович</t>
  </si>
  <si>
    <t>Гурьянов Алексей Егорович</t>
  </si>
  <si>
    <t>Жарков Юрий Васильевич</t>
  </si>
  <si>
    <t>Назаров Валерий Иванович</t>
  </si>
  <si>
    <t>Тарасова Юлия Валерьевна</t>
  </si>
  <si>
    <t>Ляско Михаил Всеволодович</t>
  </si>
  <si>
    <t>Новиков Андрей Валериевич</t>
  </si>
  <si>
    <t>Ушаков Александр Вячеславович</t>
  </si>
  <si>
    <t>Бурчаловский Павел Клавдиевич</t>
  </si>
  <si>
    <t>Зылев Дмитрий Игоревич</t>
  </si>
  <si>
    <t>Галахова Ирина Александровна</t>
  </si>
  <si>
    <t>Шерстнева Ирина Алексеевна</t>
  </si>
  <si>
    <t>Руденская Наталья Валентиновна</t>
  </si>
  <si>
    <t>Мингазов Минтимер Вагизович</t>
  </si>
  <si>
    <t>Галямов Эдуард Ринатович</t>
  </si>
  <si>
    <t>Садков Алексей Витальевич</t>
  </si>
  <si>
    <t>Столбовских Елена Борисовна</t>
  </si>
  <si>
    <t>Перман Евгений Сергеевич</t>
  </si>
  <si>
    <t>Белов Виталий Юрьевич</t>
  </si>
  <si>
    <t>Шовгеня Владимир Евгеньевич</t>
  </si>
  <si>
    <t>Васькова Татьяна Александровна</t>
  </si>
  <si>
    <t>Кольев Кирилл Игоревич</t>
  </si>
  <si>
    <t>Стопычев Алексей Николаевич</t>
  </si>
  <si>
    <t>Гогов Рустам Абубекирович</t>
  </si>
  <si>
    <t>Ершов Роман Владимирович</t>
  </si>
  <si>
    <t>Геронимус Михаил Юрьевич</t>
  </si>
  <si>
    <t>Шишкин Александр Валериевич</t>
  </si>
  <si>
    <t>Рассказов Максим Дмитриевич</t>
  </si>
  <si>
    <t>Кузнецов Иван Дмитриевич</t>
  </si>
  <si>
    <t>Зайцев Леонид Иванович</t>
  </si>
  <si>
    <t>Шик Андрей</t>
  </si>
  <si>
    <t>Варфоломеев Владислав Игоревич</t>
  </si>
  <si>
    <t>Фролов Егор Алексеевич</t>
  </si>
  <si>
    <t>Гончаренко Татьяна Николаевна</t>
  </si>
  <si>
    <t>Щербакова Дарья Анатольевна</t>
  </si>
  <si>
    <t>Рафаилов Леонид Соломонович</t>
  </si>
  <si>
    <t>Феркович Виктор Владиславович</t>
  </si>
  <si>
    <t>Хворостовский Игорь Станиславович</t>
  </si>
  <si>
    <t>Багаева Татьяна Михайловна</t>
  </si>
  <si>
    <t>Леонов Алексей Юрьевич</t>
  </si>
  <si>
    <t>Управляющая компания АСТОН, ООО УК</t>
  </si>
  <si>
    <t>Кузнецов Василий Михайлович</t>
  </si>
  <si>
    <t>Петросян Гаяне Володяевна</t>
  </si>
  <si>
    <t>Загурская Ольга Владимировна</t>
  </si>
  <si>
    <t>Севрюков Вячеслав Николаевич</t>
  </si>
  <si>
    <t>Пяцкий Геннадий Александрович</t>
  </si>
  <si>
    <t>Панарина Ирина Викторовна</t>
  </si>
  <si>
    <t>Туманов Роман Павлович</t>
  </si>
  <si>
    <t>Сидоркин Вадим Юрьевич</t>
  </si>
  <si>
    <t>Шпак Евгений Сергеевич</t>
  </si>
  <si>
    <t>Сенотрусов Андрей Павлович</t>
  </si>
  <si>
    <t>Локшин Александр Маркович</t>
  </si>
  <si>
    <t>Управляющая компания АШАН, ООО</t>
  </si>
  <si>
    <t>Корнев Евгений Владимирович</t>
  </si>
  <si>
    <t>Кулик Дмитрий Иванович</t>
  </si>
  <si>
    <t>Данилов Михаил Алексеевич</t>
  </si>
  <si>
    <t>Лобачев Артём Олегович</t>
  </si>
  <si>
    <t>Мартынов Михаил Алексеевич</t>
  </si>
  <si>
    <t>Беляева Анна Николаевна</t>
  </si>
  <si>
    <t>Сурков Максим Владимирович</t>
  </si>
  <si>
    <t>Малюк Олег Александрович</t>
  </si>
  <si>
    <t>Ястребов Евгений Яковлевич</t>
  </si>
  <si>
    <t>Сосипаторов Владимир Анатольевич</t>
  </si>
  <si>
    <t>Управляющая компания ИННОВАЦИИ, ООО</t>
  </si>
  <si>
    <t>Сидоров Алексей Владимирович</t>
  </si>
  <si>
    <t>Переплётчиков Игорь Дмитриевич</t>
  </si>
  <si>
    <t>Цибулин Владимир Анатольевич</t>
  </si>
  <si>
    <t>Коробков Антон Николаевич</t>
  </si>
  <si>
    <t>Пичугин Александр Евгеньевич</t>
  </si>
  <si>
    <t>Кутилина Татьяна Николаевна</t>
  </si>
  <si>
    <t>Харченко Андрей Геннадьевич</t>
  </si>
  <si>
    <t>Колчина Оксана Александровна</t>
  </si>
  <si>
    <t>Куликов Сергей Сергеевич</t>
  </si>
  <si>
    <t>Верховцев Владимир Николаевич</t>
  </si>
  <si>
    <t>Рябцев Максим Львович</t>
  </si>
  <si>
    <t>Краснов Артем Александрович</t>
  </si>
  <si>
    <t>Котов Игорь Владимирович</t>
  </si>
  <si>
    <t>Топчиян Рубен Мигружанович</t>
  </si>
  <si>
    <t>Майер Наталья Юрьевна</t>
  </si>
  <si>
    <t>Петров Сергей Владимирович</t>
  </si>
  <si>
    <t>Юдина Кира Владимировна</t>
  </si>
  <si>
    <t>Конюшенко Петр Петрович</t>
  </si>
  <si>
    <t>Декало Алексей Николаевич</t>
  </si>
  <si>
    <t>Мирзоев Таир Мехбала Оглы</t>
  </si>
  <si>
    <t>Захаров Андрей Александрович</t>
  </si>
  <si>
    <t>Абрамов Омар Дмитриевич</t>
  </si>
  <si>
    <t>Тарнаева Алина Владимировна</t>
  </si>
  <si>
    <t>Шишкин Виктор Юрьевич</t>
  </si>
  <si>
    <t>Зарубин Сергей Викторович</t>
  </si>
  <si>
    <t>Управляющая компания ТЦ КУНЦЕВО ЛИМИТЕД, ООО</t>
  </si>
  <si>
    <t>Исаев Александр Сергеевич</t>
  </si>
  <si>
    <t>Бондарев Александр Михайлович</t>
  </si>
  <si>
    <t>Де Суманта Кумар</t>
  </si>
  <si>
    <t>Венский Евгений Сергеевич</t>
  </si>
  <si>
    <t>Шутов Иван Андреевич</t>
  </si>
  <si>
    <t>Афанасьев Иван Сергеевич</t>
  </si>
  <si>
    <t>Осипович Олег Валерьевич</t>
  </si>
  <si>
    <t>Голубничий Григорий Александрович</t>
  </si>
  <si>
    <t>Мартинович Иван</t>
  </si>
  <si>
    <t>Зоренко Андрей Сергеевич</t>
  </si>
  <si>
    <t>Котов Борис Аркадьевич</t>
  </si>
  <si>
    <t>Джао Владимир Юнь-Дзэнович</t>
  </si>
  <si>
    <t>Метцлер Андрей Владимирович</t>
  </si>
  <si>
    <t>Управляющая компания АЭРОПОРТЫ РЕГИОНОВ, АО УК</t>
  </si>
  <si>
    <t>Рамазанов Саид Загидиевич</t>
  </si>
  <si>
    <t>Колесников Андрей Александрович</t>
  </si>
  <si>
    <t>Дьячков Евгений Вячеславович</t>
  </si>
  <si>
    <t>Янкилевич Евгений Якирович</t>
  </si>
  <si>
    <t>Корытный Александр Семенович</t>
  </si>
  <si>
    <t>Стороженко Александр Андреевич</t>
  </si>
  <si>
    <t>Коробович Михаил Юрьевич</t>
  </si>
  <si>
    <t>Миняйло Юрий Александрович</t>
  </si>
  <si>
    <t>Акимов Андрей Валерьевич</t>
  </si>
  <si>
    <t>Сулейманов Рифнур Хайдарович</t>
  </si>
  <si>
    <t>Глушенков Вячеслав Валерьевич</t>
  </si>
  <si>
    <t>Панюков Дмитрий Владимирович</t>
  </si>
  <si>
    <t>Азаров Николай Викторович</t>
  </si>
  <si>
    <t>Нежевец Геннадий Григорьевич</t>
  </si>
  <si>
    <t>Дудинец Денис Сергеевич</t>
  </si>
  <si>
    <t>Коваленко Алексей</t>
  </si>
  <si>
    <t>Тйаги Судханшу</t>
  </si>
  <si>
    <t>Самборский Игорь Валентинович</t>
  </si>
  <si>
    <t>Рустамли Закир Гариб Оглы</t>
  </si>
  <si>
    <t>Управляющая компания БАЗАЛЬТ МЕНЕДЖМЕНТ, ООО</t>
  </si>
  <si>
    <t>Тамазов Рустам Хизирович</t>
  </si>
  <si>
    <t>Антонюк Вячеслав Сергеевич</t>
  </si>
  <si>
    <t>Солодов Евгений Витальевич</t>
  </si>
  <si>
    <t>Управляющая компания РДМ, ООО</t>
  </si>
  <si>
    <t>Хессманн Нильс Йоханнес В.</t>
  </si>
  <si>
    <t>Андронова Анастасия Геннадьевна</t>
  </si>
  <si>
    <t>Кузнецов Андрей Леонидович</t>
  </si>
  <si>
    <t>Толкачев Владимир Александрович</t>
  </si>
  <si>
    <t>Бородин Антон Валерьевич</t>
  </si>
  <si>
    <t>Щеглов Алексей Сергеевич</t>
  </si>
  <si>
    <t>Чжэн И</t>
  </si>
  <si>
    <t>Причко Олег Николаевич</t>
  </si>
  <si>
    <t>Потапов Владимир Васильевич</t>
  </si>
  <si>
    <t>Садыхов Эдуард Михайлович</t>
  </si>
  <si>
    <t>Бажанов Игорь Юрьевич</t>
  </si>
  <si>
    <t>Катаев Алексей Николаевич</t>
  </si>
  <si>
    <t>Мамонтов Сергей Александрович</t>
  </si>
  <si>
    <t>Филиппов Михаил Геннадьевич</t>
  </si>
  <si>
    <t>Каледина Диана Евгеньевна</t>
  </si>
  <si>
    <t>Корчагов Дмитрий Викторович</t>
  </si>
  <si>
    <t>Смищенко Роман Анатольевич</t>
  </si>
  <si>
    <t>Калинина Валентина Ивановна</t>
  </si>
  <si>
    <t>Новицкий Владислав Львович</t>
  </si>
  <si>
    <t>Садовников Сергей Олегович</t>
  </si>
  <si>
    <t>Пьяных Евгений Сергеевич</t>
  </si>
  <si>
    <t>Прокофьев Кирилл Владимирович</t>
  </si>
  <si>
    <t>Баскин Григорий Львович</t>
  </si>
  <si>
    <t>Отливан Денис Александрович</t>
  </si>
  <si>
    <t>Эванс Инга</t>
  </si>
  <si>
    <t>Путилин Михаил Михайлович</t>
  </si>
  <si>
    <t>Хафизова Надежда Рафаиловна</t>
  </si>
  <si>
    <t>Катерищук Александр Евгеньевич</t>
  </si>
  <si>
    <t>Кабаев Сергей Иванович</t>
  </si>
  <si>
    <t>Кунгурцев Алексей Владимирович</t>
  </si>
  <si>
    <t>Данилин Николай Владимирович</t>
  </si>
  <si>
    <t>Отфанн Патрик Франсуа Ж.</t>
  </si>
  <si>
    <t>Пастухов Денис Геннадьевич</t>
  </si>
  <si>
    <t>Ахмеров Тимур Маратович</t>
  </si>
  <si>
    <t>Королев Николай Игоревич</t>
  </si>
  <si>
    <t>Костин Алексей Анатольевич</t>
  </si>
  <si>
    <t>Рериг Кристоф Дитер</t>
  </si>
  <si>
    <t>Алиев Низами Корхмазович</t>
  </si>
  <si>
    <t>Лундберг Сергей Владимирович</t>
  </si>
  <si>
    <t>Мюллер Фридрих</t>
  </si>
  <si>
    <t>Новицкий Андрей Владимирович</t>
  </si>
  <si>
    <t>Абай Утку</t>
  </si>
  <si>
    <t>Муранов Алексей Юрьевич</t>
  </si>
  <si>
    <t>Желудков Николай Евгеньевич</t>
  </si>
  <si>
    <t>Курандин Александр Юрьевич</t>
  </si>
  <si>
    <t>Хотько Дмитрий Семёнович</t>
  </si>
  <si>
    <t>Латыпова Муслима Хабриевна</t>
  </si>
  <si>
    <t>Самиев Надир Салимзянович</t>
  </si>
  <si>
    <t>Ковшов Евгений Андреевич</t>
  </si>
  <si>
    <t>Нищев Сергей Константинович</t>
  </si>
  <si>
    <t>Малеев Александр Викторович</t>
  </si>
  <si>
    <t>Юланов Ильдар Гизитдинович</t>
  </si>
  <si>
    <t>Туленков Александр Федорович</t>
  </si>
  <si>
    <t>Зайнуллин Ринат Мударисович</t>
  </si>
  <si>
    <t>Израйлев Алексей Владимирович</t>
  </si>
  <si>
    <t>Гурин Сергей Владимирович</t>
  </si>
  <si>
    <t>Адиев Рустем Явдатович</t>
  </si>
  <si>
    <t>Дубровский Тимофей Анатольевич</t>
  </si>
  <si>
    <t>Абдрахимов Раиф Рамазанович</t>
  </si>
  <si>
    <t>Чешин Андрей Владимирович</t>
  </si>
  <si>
    <t>Цыпин Александр Владимирович</t>
  </si>
  <si>
    <t>Пыхов Данила Сергеевич</t>
  </si>
  <si>
    <t>Рязанов Вадим Анатольевич</t>
  </si>
  <si>
    <t>Тулаев Александр Игорьевич</t>
  </si>
  <si>
    <t>Ли Яков Анатольевич</t>
  </si>
  <si>
    <t>Данченко Валерий Васильевич</t>
  </si>
  <si>
    <t>Лариошкин Виктор Анатольевич</t>
  </si>
  <si>
    <t>Галицкий Сергей Анатольевич</t>
  </si>
  <si>
    <t>Ахмадуллин Марат Фидаевич</t>
  </si>
  <si>
    <t>Салазкин Юрий Валерьевич</t>
  </si>
  <si>
    <t>Переверзев Александр Анатольевич</t>
  </si>
  <si>
    <t>Толстых Дмитрий Александрович</t>
  </si>
  <si>
    <t>Волкова Ольга Николаевна</t>
  </si>
  <si>
    <t>Геллер Александр</t>
  </si>
  <si>
    <t>Потапенко Александр Николаевич</t>
  </si>
  <si>
    <t>Позин Герман Евгеньевич</t>
  </si>
  <si>
    <t>Остроумов Константин Борисович</t>
  </si>
  <si>
    <t>Арыкан Йусуф Арман</t>
  </si>
  <si>
    <t>Исаев Алексей Евгеньевич</t>
  </si>
  <si>
    <t>Никулин Юрий Иванович</t>
  </si>
  <si>
    <t>Саитов Ильнар Зуфарович</t>
  </si>
  <si>
    <t>Михайлов Алексей Сергеевич</t>
  </si>
  <si>
    <t>Дарчинян Мадат Размикович</t>
  </si>
  <si>
    <t>Соляр Александр Васильевич</t>
  </si>
  <si>
    <t>Андросов Эдуард Владимирович</t>
  </si>
  <si>
    <t>Тимофеев Макар Андреевич</t>
  </si>
  <si>
    <t>Букин Олег Борисович</t>
  </si>
  <si>
    <t>Якушев Михаил Вячеславович</t>
  </si>
  <si>
    <t>Степашов Николай Евгеньевич</t>
  </si>
  <si>
    <t>Линкевич Евгений Тадеевич</t>
  </si>
  <si>
    <t>Арсибеков Дмитрий Витальевич</t>
  </si>
  <si>
    <t>Зубков Олег Геннадьевич</t>
  </si>
  <si>
    <t>Егоров Валерий Кириллович</t>
  </si>
  <si>
    <t>Горковенко Ежи</t>
  </si>
  <si>
    <t>Вашак Збигнев</t>
  </si>
  <si>
    <t>Степовой Олег Владимирович</t>
  </si>
  <si>
    <t>Тумаш Денис Иванович</t>
  </si>
  <si>
    <t>Николаев Александр Викторович</t>
  </si>
  <si>
    <t>Костюков Александр Александрович</t>
  </si>
  <si>
    <t>Франтенко Гавриил Степанович</t>
  </si>
  <si>
    <t>Гузов Дмитрий Семенович</t>
  </si>
  <si>
    <t>Сидоренко Александр Николаевич</t>
  </si>
  <si>
    <t>Цевелидзе Мамука Анзориевич</t>
  </si>
  <si>
    <t>Прохоров Константин Анатольевич</t>
  </si>
  <si>
    <t>Глухов Дмитрий Анатольевич</t>
  </si>
  <si>
    <t>Касьянович Максим Юрьевич</t>
  </si>
  <si>
    <t>Яблоков Евгений Владимирович</t>
  </si>
  <si>
    <t>Семешко Андрей Николаевич</t>
  </si>
  <si>
    <t>Крачковский Александр Борисович</t>
  </si>
  <si>
    <t>Баринова Луиза Шамильевна</t>
  </si>
  <si>
    <t>Управляющая компания ОМК, АО</t>
  </si>
  <si>
    <t>Управляющая компания КОЛОСИНВЕСТ, АО</t>
  </si>
  <si>
    <t>Григорьев Андрей Вячеславович</t>
  </si>
  <si>
    <t>Матвеев Антон Александрович</t>
  </si>
  <si>
    <t>Курманов Ибрагим Ахметович</t>
  </si>
  <si>
    <t>Федоровских Олег Александрович</t>
  </si>
  <si>
    <t>Медведев Юрий Викторович</t>
  </si>
  <si>
    <t>Варакса Дмитрий Иванович</t>
  </si>
  <si>
    <t>Павин Антон Алексеевич</t>
  </si>
  <si>
    <t>Кирсанов Алексей Владимирович</t>
  </si>
  <si>
    <t>Набиуллин Фарит Минниахметович</t>
  </si>
  <si>
    <t>Лицкевич Сергей Борисович</t>
  </si>
  <si>
    <t>Кёнке Оливер Райнер</t>
  </si>
  <si>
    <t>Управляющая компания БЕРИНГУГОЛЬИНВЕСТ, ООО</t>
  </si>
  <si>
    <t>Шевченко Дмитрий Евгеньевич</t>
  </si>
  <si>
    <t>Моисеев Виктор Михайлович</t>
  </si>
  <si>
    <t>Григорьев Юрий Владимирович</t>
  </si>
  <si>
    <t>Щербаков Андрей Александрович</t>
  </si>
  <si>
    <t>Светлосанова Софья Владимировна</t>
  </si>
  <si>
    <t>Латыпов Рафаэль Рафисович</t>
  </si>
  <si>
    <t>Куликов Виктор Викторович</t>
  </si>
  <si>
    <t>Журило Анатолий Иосифович</t>
  </si>
  <si>
    <t>Коломейцев Александр Викторович</t>
  </si>
  <si>
    <t>Шишин Александр Павлович</t>
  </si>
  <si>
    <t>Скляренко Виктор Владимирович</t>
  </si>
  <si>
    <t>Лабазин Герман Юрьевич</t>
  </si>
  <si>
    <t>Никифоров Игорь Сергеевич</t>
  </si>
  <si>
    <t>Безрукин Григорий Вячеславович</t>
  </si>
  <si>
    <t>Петров Андрей Николаевич</t>
  </si>
  <si>
    <t>Полушина Екатерина Борисовна</t>
  </si>
  <si>
    <t>Котов Игорь Дмитриевич</t>
  </si>
  <si>
    <t>Саргин Борис Викторович</t>
  </si>
  <si>
    <t>Бисеров Михаил Геннадьевич</t>
  </si>
  <si>
    <t>Колодей Сергей Михайлович</t>
  </si>
  <si>
    <t>Бондарчук Алексей Сергеевич</t>
  </si>
  <si>
    <t>Чергештов Гурген Григорьевич</t>
  </si>
  <si>
    <t>Дворникова Елена Аркадьевна</t>
  </si>
  <si>
    <t>Коротин Павел Николаевич</t>
  </si>
  <si>
    <t>Подсыпанин Сергей Сергеевич</t>
  </si>
  <si>
    <t>Гутникова Мария Евгеньевна</t>
  </si>
  <si>
    <t>Кустов Дмитрий Сергеевич</t>
  </si>
  <si>
    <t>Самарцев Дмитрий Викторович</t>
  </si>
  <si>
    <t>Суховенко Сергей Леонидович</t>
  </si>
  <si>
    <t>Черковская Наталия Валериевна</t>
  </si>
  <si>
    <t>Хасанов Рустам Рафаилович</t>
  </si>
  <si>
    <t>Марков Константин Эдуардович</t>
  </si>
  <si>
    <t>Шарабакин Юрий Викторович</t>
  </si>
  <si>
    <t>Тетушкина Наталья Владимировна</t>
  </si>
  <si>
    <t>Налбандян Ваагн Суренович</t>
  </si>
  <si>
    <t>Муратов Рустем Булатович</t>
  </si>
  <si>
    <t>Шестаков Александр Яковлевич</t>
  </si>
  <si>
    <t>Логачева Ирина Валерьевна</t>
  </si>
  <si>
    <t>Аникеев Евгений Александрович</t>
  </si>
  <si>
    <t>Заводовский Дмитрий Валерьевич</t>
  </si>
  <si>
    <t>Семенова Татьяна Алексеевна</t>
  </si>
  <si>
    <t>Бударина Ирина Александровна</t>
  </si>
  <si>
    <t>Никошин Владимир Витальевич</t>
  </si>
  <si>
    <t>Родионов Сергей Петрович</t>
  </si>
  <si>
    <t>Галка Екатерина Александровна</t>
  </si>
  <si>
    <t>Крылова Ирина Анатольевна</t>
  </si>
  <si>
    <t>Маклакова Надежда Николаевна</t>
  </si>
  <si>
    <t>Управляющая компания ПРОМОМЕД ДМ, ООО</t>
  </si>
  <si>
    <t>Фандей Денис Николаевич</t>
  </si>
  <si>
    <t>Серегин Артем Сергеевич</t>
  </si>
  <si>
    <t>Волков Михаил Евгеньевич</t>
  </si>
  <si>
    <t>Тюменцев Антон Геннадьевич</t>
  </si>
  <si>
    <t>Донцов Дмитрий Юрьевич</t>
  </si>
  <si>
    <t>Фокин Антон Валерьевич</t>
  </si>
  <si>
    <t>Черный Георгий Александрович</t>
  </si>
  <si>
    <t>Новичихин Андрей Николаевич</t>
  </si>
  <si>
    <t>Вилкова Наталья Борисовна</t>
  </si>
  <si>
    <t>Козявкин Сергей Геннадьевич</t>
  </si>
  <si>
    <t>Градинарь Максим Анатольевич</t>
  </si>
  <si>
    <t>Управляющая компания ПНГ МЕНЕДЖМЕНТ, ООО</t>
  </si>
  <si>
    <t>Бобров Вячеслав Валентинович</t>
  </si>
  <si>
    <t>Панков Олег Геннадиевич</t>
  </si>
  <si>
    <t>Воробьев Евгений Владимирович</t>
  </si>
  <si>
    <t>Управляющая компания ЕВРАЗИЯ МЕНЕДЖМЕНТ, ООО</t>
  </si>
  <si>
    <t>Новиков Николай Александрович</t>
  </si>
  <si>
    <t>Говричев Николай Игоревич</t>
  </si>
  <si>
    <t>Шрамко Ирина Анатольевна</t>
  </si>
  <si>
    <t>Бакулин Алексей Анатольевич</t>
  </si>
  <si>
    <t>Кишкина Наталья Ивановна</t>
  </si>
  <si>
    <t>Анищенко Надежда Ивановна</t>
  </si>
  <si>
    <t>Сафинина Алина Александровна</t>
  </si>
  <si>
    <t>Согомонян Елена Ивановна</t>
  </si>
  <si>
    <t>Рябцев Алексей Геннадьевич</t>
  </si>
  <si>
    <t>Бирюков Дмитрий Юрьевич</t>
  </si>
  <si>
    <t>Гловер Джеффри Скотт</t>
  </si>
  <si>
    <t>Костюшин Максим Вячеславович</t>
  </si>
  <si>
    <t>Герасимов Владимир Альбертович</t>
  </si>
  <si>
    <t>Горбунов Игорь Николаевич</t>
  </si>
  <si>
    <t>Гребнев Владимир Георгиевич</t>
  </si>
  <si>
    <t>Управляющая компания УК НОК ГРУПП, ООО</t>
  </si>
  <si>
    <t>Багин Андрей Валерьевич</t>
  </si>
  <si>
    <t>Кальянов Сергей Николаевич</t>
  </si>
  <si>
    <t>Кобяков Владислав Игоревич</t>
  </si>
  <si>
    <t>Сюй Цзяньхун</t>
  </si>
  <si>
    <t>Бабанова Людмила Юрьевна</t>
  </si>
  <si>
    <t>Томилов Алексей Николаевич</t>
  </si>
  <si>
    <t>Павлов Олег Викторович</t>
  </si>
  <si>
    <t>Черная Мария Владимировна</t>
  </si>
  <si>
    <t>Елисеева Екатерина Анатольевна</t>
  </si>
  <si>
    <t>Кузнецова Наталья Евгеньевна</t>
  </si>
  <si>
    <t>Михайленко Александр Сергеевич</t>
  </si>
  <si>
    <t>Заболотный Вадим Георгиевич</t>
  </si>
  <si>
    <t>Иконников Дмитрий Александрович</t>
  </si>
  <si>
    <t>Мицкевич Павел Владимирович</t>
  </si>
  <si>
    <t>Илясов Олег Александрович</t>
  </si>
  <si>
    <t>Управляющая компания БРУСНИКА. СТРОИТЕЛЬСТВО И ДЕВЕЛОПМЕНТ, ООО</t>
  </si>
  <si>
    <t>Уманец Александр Иванович</t>
  </si>
  <si>
    <t>Нечепаев Юрий Викторович</t>
  </si>
  <si>
    <t>Вильданов Вадим Загитович</t>
  </si>
  <si>
    <t>Севрюков Павел Александрович</t>
  </si>
  <si>
    <t>Рыбников Алексей Анатольевич</t>
  </si>
  <si>
    <t>Смагин Вадим Петрович</t>
  </si>
  <si>
    <t>Арушанян Вардгес Каренович</t>
  </si>
  <si>
    <t>Беленчиков Александр Викторович</t>
  </si>
  <si>
    <t>Филиппова Валентина Георгиевна</t>
  </si>
  <si>
    <t>Касаткина Марина Викторовна</t>
  </si>
  <si>
    <t>Лимаров Максим Александрович</t>
  </si>
  <si>
    <t>Сарана Александр Владимирович</t>
  </si>
  <si>
    <t>Арсенюк Владислав Владимирович</t>
  </si>
  <si>
    <t>Колесникова Вера Андреевна</t>
  </si>
  <si>
    <t>Шамшурова Виктория Евгеньевна</t>
  </si>
  <si>
    <t>Титов Александр Степанович</t>
  </si>
  <si>
    <t>Мелконян Артак Сарибекович</t>
  </si>
  <si>
    <t>Ерошенко Владимир Владимирович</t>
  </si>
  <si>
    <t>Передельский Сергей Владимирович</t>
  </si>
  <si>
    <t>Шлимович Евгений Леонидович</t>
  </si>
  <si>
    <t>Петров Николай Алексеевич</t>
  </si>
  <si>
    <t>Граборов Александр Николаевич</t>
  </si>
  <si>
    <t>Шилин Андрей Сергеевич</t>
  </si>
  <si>
    <t>Шестов Виктор Вениаминович</t>
  </si>
  <si>
    <t>Иванов Михаил Михайлович</t>
  </si>
  <si>
    <t>Капшуков Федор Алексеевич</t>
  </si>
  <si>
    <t>Давыдов Эдуард Маликович</t>
  </si>
  <si>
    <t>Лавринец Андрей Иванович</t>
  </si>
  <si>
    <t>Комаров Геннадий Николаевич</t>
  </si>
  <si>
    <t>Управляющая компания БЭСК, АО</t>
  </si>
  <si>
    <t>Тушкевич Игорь Алексеевич</t>
  </si>
  <si>
    <t>Карачун Александр Иванович</t>
  </si>
  <si>
    <t>Кашин Илья Борисович</t>
  </si>
  <si>
    <t>Пустовалов Антон Викторович</t>
  </si>
  <si>
    <t>Дзюбенко Сергей Владимирович</t>
  </si>
  <si>
    <t>Стрекалов Дмитрий Викторович</t>
  </si>
  <si>
    <t>Попов Александр Владимирович</t>
  </si>
  <si>
    <t>Михалкина Татьяна Николаевна</t>
  </si>
  <si>
    <t>Крылова Елена Вячеславовна</t>
  </si>
  <si>
    <t>Кузнецов Андрей Евгеньевич</t>
  </si>
  <si>
    <t>Погребной Валерий Трофимович</t>
  </si>
  <si>
    <t>Военнова Наталья Леонидовна</t>
  </si>
  <si>
    <t>Репин Дмитрий Евгеньевич</t>
  </si>
  <si>
    <t>Круглов Дмитрий Павлович</t>
  </si>
  <si>
    <t>Комаров Александр Германович</t>
  </si>
  <si>
    <t>Каранчук Петр Сергеевич</t>
  </si>
  <si>
    <t>Радаева Наталья Германовна</t>
  </si>
  <si>
    <t>Макаров Владимир Владимирович</t>
  </si>
  <si>
    <t>Вегнер Станислав Николаевич</t>
  </si>
  <si>
    <t>Медовый Дмитрий</t>
  </si>
  <si>
    <t>Аблаев Рустам Борганитдинович</t>
  </si>
  <si>
    <t>Ишбаев Гниятулла Гарифуллович</t>
  </si>
  <si>
    <t>Микаилов Максуд Рафиг Оглы</t>
  </si>
  <si>
    <t>Дендюк Александр Владимирович</t>
  </si>
  <si>
    <t>Зубцова Инна Викторовна</t>
  </si>
  <si>
    <t>Моносов Александр Наумович</t>
  </si>
  <si>
    <t>Новиков Илья Петрович</t>
  </si>
  <si>
    <t>Драцкий Иван Сергеевич</t>
  </si>
  <si>
    <t>Бобров Владимир Владимирович</t>
  </si>
  <si>
    <t>Хараман Александр Васильевич</t>
  </si>
  <si>
    <t>Борисычев Андрей Владимирович</t>
  </si>
  <si>
    <t>Латин Юрий Эдуардович</t>
  </si>
  <si>
    <t>Синяков Дмитрий Владимирович</t>
  </si>
  <si>
    <t>Кирсанов Дмитрий Николаевич</t>
  </si>
  <si>
    <t>Мельников Сергей Сергеевич</t>
  </si>
  <si>
    <t>Леусенко Евгений Анатольевич</t>
  </si>
  <si>
    <t>Балясников Павел Александрович</t>
  </si>
  <si>
    <t>Управляющая компания УПРАВЛЯЮЩАЯ КОМПАНИЯ ВК, ООО</t>
  </si>
  <si>
    <t>Леонова Ирина Владимировна</t>
  </si>
  <si>
    <t>Кабакова Ирина Михайловна</t>
  </si>
  <si>
    <t>Румянцев Константин Анатольевич</t>
  </si>
  <si>
    <t>Абрамов Валерий Вячеславович</t>
  </si>
  <si>
    <t>Жилкин Евгений Николаевич</t>
  </si>
  <si>
    <t>Костров Сергей Вячеславович</t>
  </si>
  <si>
    <t>Бакальчук Татьяна Владимировна</t>
  </si>
  <si>
    <t>Логинов Иван Сергеевич</t>
  </si>
  <si>
    <t>Орлов Алексей Васильевич</t>
  </si>
  <si>
    <t>Данилов Владимир Владимирович</t>
  </si>
  <si>
    <t>Головченко Ирина Викторовна</t>
  </si>
  <si>
    <t>Шальнов Николай Валентинович</t>
  </si>
  <si>
    <t>Лбов Тихон Александрович</t>
  </si>
  <si>
    <t>Сорокин Константин Александрович</t>
  </si>
  <si>
    <t>Мухамадеев Айрат Фаритович</t>
  </si>
  <si>
    <t>Управляющая компания ЛУКОЙЛ-ТРАНС, ООО</t>
  </si>
  <si>
    <t>Дежуров Андрей Станиславович</t>
  </si>
  <si>
    <t>Ильясов Рустем Ахмерович</t>
  </si>
  <si>
    <t>Зудин Максим Юрьевич</t>
  </si>
  <si>
    <t>Кузьмищев Дмитрий Анатольевич</t>
  </si>
  <si>
    <t>Михайлов Максим Викторович</t>
  </si>
  <si>
    <t>Реймов Ринат Жамильевич</t>
  </si>
  <si>
    <t>Рыбакин Дмитрий Васильевич</t>
  </si>
  <si>
    <t>Медведев Николай Владимирович</t>
  </si>
  <si>
    <t>Корсаков Сергей Андреевич</t>
  </si>
  <si>
    <t>Королев Александр Евгеньевич</t>
  </si>
  <si>
    <t>Кузьмин Олег Владимирович</t>
  </si>
  <si>
    <t>Таранушич Андрей Витальевич</t>
  </si>
  <si>
    <t>Бутаев Андрей Георгиевич</t>
  </si>
  <si>
    <t>Кудрявцев Валерий Евгеньевич</t>
  </si>
  <si>
    <t>Лазарева Наталья Владимировна</t>
  </si>
  <si>
    <t>Абраамян Оганнес Арутюнович</t>
  </si>
  <si>
    <t>Кудинов Валерий Александрович</t>
  </si>
  <si>
    <t>Веприков Павел Анатольевич</t>
  </si>
  <si>
    <t>Кундельский Руслан Валентинович</t>
  </si>
  <si>
    <t>Хусаинов Мурат Даукенович</t>
  </si>
  <si>
    <t>Тарасенко Ольга Владимировна</t>
  </si>
  <si>
    <t>Федоськин Сергей Викторович</t>
  </si>
  <si>
    <t>Рождественский Александр Викторович</t>
  </si>
  <si>
    <t>Подгузов Евгений Васильевич</t>
  </si>
  <si>
    <t>Коржавин Алексей Иванович</t>
  </si>
  <si>
    <t>Горох Дмитрий Николаевич</t>
  </si>
  <si>
    <t>Трунцас Александр Петрович</t>
  </si>
  <si>
    <t>Кожухов Алексей Викторович</t>
  </si>
  <si>
    <t>Пизанов Алексей Валерьевич</t>
  </si>
  <si>
    <t>Дмитриев Олег Владимирович</t>
  </si>
  <si>
    <t>Управляющая компания ГК КАБОШ, ООО</t>
  </si>
  <si>
    <t>Подвальный Владимир Абрамович</t>
  </si>
  <si>
    <t>Величев Иван Николаевич</t>
  </si>
  <si>
    <t>Сутчева Надежда Игоревна</t>
  </si>
  <si>
    <t>Щербакова Людмила Ивановна</t>
  </si>
  <si>
    <t>Чернышев Сергей Вадимович</t>
  </si>
  <si>
    <t>Мироненко Евгений Владимирович</t>
  </si>
  <si>
    <t>Ефросинин Юрий Евгеньевич</t>
  </si>
  <si>
    <t>Сайфранов Рустем Масалимович</t>
  </si>
  <si>
    <t>Полякова Наталья Анатольевна</t>
  </si>
  <si>
    <t>Кравченко Татьяна Владимировна</t>
  </si>
  <si>
    <t>Сорокин Сергей Иванович</t>
  </si>
  <si>
    <t>Кузьмина Ольга Валентиновна</t>
  </si>
  <si>
    <t>Дуринин Дмитрий Евгеньевич</t>
  </si>
  <si>
    <t>Управляющая компания ПБК, АО</t>
  </si>
  <si>
    <t>Петровичев Виталий Александрович</t>
  </si>
  <si>
    <t>Евдоков Владимир Иванович</t>
  </si>
  <si>
    <t>Управляющая компания ГАЗМЕТАЛЛПРОЕКТ, ООО</t>
  </si>
  <si>
    <t>Наранович Элеонора Викторовна</t>
  </si>
  <si>
    <t>Демкин Олег Олегович</t>
  </si>
  <si>
    <t>Махненко Евгений Викторович</t>
  </si>
  <si>
    <t>Паскипарт Леонид Германович</t>
  </si>
  <si>
    <t>Энгельсон Михаил Алексеевич</t>
  </si>
  <si>
    <t>Руокко Винченцо</t>
  </si>
  <si>
    <t>Левченко Владимир Николаевич</t>
  </si>
  <si>
    <t>Оден Хасан Йюксел</t>
  </si>
  <si>
    <t>Управляющая компания МИЛЛХАУС, ООО</t>
  </si>
  <si>
    <t>Левченко Сергей Викторович</t>
  </si>
  <si>
    <t>Шумега Андрей Романович</t>
  </si>
  <si>
    <t>Степанов Денис Евгеньевич</t>
  </si>
  <si>
    <t>Хабаров Борис Константинович</t>
  </si>
  <si>
    <t>Цыганков Игорь Николаевич</t>
  </si>
  <si>
    <t>Назаров Григорий Анатольевич</t>
  </si>
  <si>
    <t>Борисенко Владислав Владимирович</t>
  </si>
  <si>
    <t>Ван Ден Берг Ирина Владимировна</t>
  </si>
  <si>
    <t>Мельников Иван Сергеевич</t>
  </si>
  <si>
    <t>Минакова Наталья Васильевна</t>
  </si>
  <si>
    <t>Яшков Павел Владимирович</t>
  </si>
  <si>
    <t>Чувычилов Виталий Борисович</t>
  </si>
  <si>
    <t>Скударнов Сергей Владимирович</t>
  </si>
  <si>
    <t>Сивцев Михаил Александрович</t>
  </si>
  <si>
    <t>Гераськин Тимофей Юрьевич</t>
  </si>
  <si>
    <t>Ляшенко Руслан Геннадьевич</t>
  </si>
  <si>
    <t>Чубов Роман Анатольевич</t>
  </si>
  <si>
    <t>Хромов Максим Валерьевич</t>
  </si>
  <si>
    <t>Конбас Николай Александрович</t>
  </si>
  <si>
    <t>Соловьёв Игорь Александрович</t>
  </si>
  <si>
    <t>Жуников Олег Викторович</t>
  </si>
  <si>
    <t>Кудояров Кирилл Евгеньевич</t>
  </si>
  <si>
    <t>Тарасов Павел Юрьевич</t>
  </si>
  <si>
    <t>Чечулин Дмитрий Михайлович</t>
  </si>
  <si>
    <t>Сазонова Ольга Анатольевна</t>
  </si>
  <si>
    <t>Управляющая компания ЯГК, ООО</t>
  </si>
  <si>
    <t>Хазов Петр Евгеньевич</t>
  </si>
  <si>
    <t>Виноградов Сергей Александрович</t>
  </si>
  <si>
    <t>Алексеева Галина Александровна</t>
  </si>
  <si>
    <t>Русинов Дмитрий Александрович</t>
  </si>
  <si>
    <t>Кудрявцев Игорь Владимирович</t>
  </si>
  <si>
    <t>Эсе Исмаил</t>
  </si>
  <si>
    <t>Лукманов Родион Альфредович</t>
  </si>
  <si>
    <t>Коненков Дмитрий Игоревич</t>
  </si>
  <si>
    <t>Кравец Елена Олеговна</t>
  </si>
  <si>
    <t>Варзов Сергей Сергеевич</t>
  </si>
  <si>
    <t>Федорко Александер</t>
  </si>
  <si>
    <t>Паренков Сергей Анатольевич</t>
  </si>
  <si>
    <t>Минаев Александр Михайлович</t>
  </si>
  <si>
    <t>Науменко Наталья Дмитриевна</t>
  </si>
  <si>
    <t>Рейнгольд Раиса Андреевна</t>
  </si>
  <si>
    <t>Рудаков Денис Вадимович</t>
  </si>
  <si>
    <t>Казанцева Любовь Геннадьевна</t>
  </si>
  <si>
    <t>Барсуков Александр Петрович</t>
  </si>
  <si>
    <t>Золотухин Алексей Витальевич</t>
  </si>
  <si>
    <t>Борисенко Евгений Аркадьевич</t>
  </si>
  <si>
    <t>Гришак Дмитрий Витальевич</t>
  </si>
  <si>
    <t>Гребенщикова Наталья Исааковна</t>
  </si>
  <si>
    <t>Чудаков Дмитрий</t>
  </si>
  <si>
    <t>Давыдова Ольга Викторовна</t>
  </si>
  <si>
    <t>Селезнев Степан Владимирович</t>
  </si>
  <si>
    <t>Пронин Александр Юрьевич</t>
  </si>
  <si>
    <t>Коньков Геннадий Николаевич</t>
  </si>
  <si>
    <t>Лавров Алексей Петрович</t>
  </si>
  <si>
    <t>Шульженко Михаил Васильевич</t>
  </si>
  <si>
    <t>Ширшов Константин Викторович</t>
  </si>
  <si>
    <t>Фарафонов Алексей Владимирович</t>
  </si>
  <si>
    <t>Пантелеев Евгений Николаевич</t>
  </si>
  <si>
    <t>Баранов Сергей Анатольевич</t>
  </si>
  <si>
    <t>Платонов Максим Александрович</t>
  </si>
  <si>
    <t>Никитин Сергей Сергеевич</t>
  </si>
  <si>
    <t>Лебедев Святослав Валерьевич</t>
  </si>
  <si>
    <t>Сердюков Владимир Сергеевич</t>
  </si>
  <si>
    <t>Шевченко Александр Сергеевич</t>
  </si>
  <si>
    <t>Никитин Виталий Львович</t>
  </si>
  <si>
    <t>Шершнев Владимир Семенович</t>
  </si>
  <si>
    <t>Шайхутдинов Рафис Табрисович</t>
  </si>
  <si>
    <t>Парменова Надежда Михайловна</t>
  </si>
  <si>
    <t>Бузанов Владимир Владимирович</t>
  </si>
  <si>
    <t>Субботина Ольга Юрьевна</t>
  </si>
  <si>
    <t>Быстров Михаил Александрович</t>
  </si>
  <si>
    <t>Управляющая компания ТРАНСПОРТНАЯ ГРУППА ФЕСКО, ООО</t>
  </si>
  <si>
    <t>Рыбин Алексей Александрович</t>
  </si>
  <si>
    <t>Брагинец Анна Валерьевна</t>
  </si>
  <si>
    <t>Варагин Алексей Викторович</t>
  </si>
  <si>
    <t>Тухветов Фарит Тимурович</t>
  </si>
  <si>
    <t>Нисанов Геннадий Борисович</t>
  </si>
  <si>
    <t>Силантьев Михаил Викторович</t>
  </si>
  <si>
    <t>Бородин Виктор Николаевич</t>
  </si>
  <si>
    <t>Новик Максим Владимирович</t>
  </si>
  <si>
    <t>Калугин Иван Валерьевич</t>
  </si>
  <si>
    <t>Волков Сергей Николаевич</t>
  </si>
  <si>
    <t>Егоров Андрей Юрьевич</t>
  </si>
  <si>
    <t>Гусев Антон Александрович</t>
  </si>
  <si>
    <t>Юрковский Денис Вячеславович</t>
  </si>
  <si>
    <t>Трость Андрей Владимирович</t>
  </si>
  <si>
    <t>Долинер Леонид Эллевич</t>
  </si>
  <si>
    <t>Багаутдинов Ришат Диасович</t>
  </si>
  <si>
    <t>Минаев Борислав Юрьевич</t>
  </si>
  <si>
    <t>Дзагоев Владимир Русланович</t>
  </si>
  <si>
    <t>Сергеев Леонид Владимирович</t>
  </si>
  <si>
    <t>Добродеев Олег Борисович</t>
  </si>
  <si>
    <t>Безуглов Кирилл Андреевич</t>
  </si>
  <si>
    <t>Пуздрова Надежда Викторовна</t>
  </si>
  <si>
    <t>Гоняева Юлия Михайловна</t>
  </si>
  <si>
    <t>Матвеев Андрей Вадимович</t>
  </si>
  <si>
    <t>Лыгин Дмитрий Валентинович</t>
  </si>
  <si>
    <t>Григорьев Сергей Викторович</t>
  </si>
  <si>
    <t>Пондарь Сергей Иосифович</t>
  </si>
  <si>
    <t>Нигматуллин Ратмир Анварович</t>
  </si>
  <si>
    <t>Виноградов Павел Аркадьевич</t>
  </si>
  <si>
    <t>Бакулин Анатолий Васильевич</t>
  </si>
  <si>
    <t>Кравцов Михаил Владимирович</t>
  </si>
  <si>
    <t>Гранфельд Игорь Юрьевич</t>
  </si>
  <si>
    <t>Поляков Константин Сергеевич</t>
  </si>
  <si>
    <t>Лошкарев Евгений Александрович</t>
  </si>
  <si>
    <t>Фёдоров Юрий Борисович</t>
  </si>
  <si>
    <t>Тевс Юрий Владимирович</t>
  </si>
  <si>
    <t>Чилташ Мухаммет Чагры</t>
  </si>
  <si>
    <t>Рачковский Андрей Геннадьевич</t>
  </si>
  <si>
    <t>Гафуров Джамшед Саторович</t>
  </si>
  <si>
    <t>Кауль Дмитрий Михайлович</t>
  </si>
  <si>
    <t>Максимов Алексей Леонидович</t>
  </si>
  <si>
    <t>Управляющая компания БОРИСХОФ ХОЛДИНГ, ООО</t>
  </si>
  <si>
    <t>Бахина Елена Аркадьевна</t>
  </si>
  <si>
    <t>Костева Людмила Юрьевна</t>
  </si>
  <si>
    <t>Юров Виктор Васильевич</t>
  </si>
  <si>
    <t>Управляющая компания УК ВОЛМА, ООО</t>
  </si>
  <si>
    <t>Заднепровский Валерий Владимирович</t>
  </si>
  <si>
    <t>Спасенков Николай Васильевич</t>
  </si>
  <si>
    <t>Цветков Алексей Александрович</t>
  </si>
  <si>
    <t>Пахомов Дмитрий Федорович</t>
  </si>
  <si>
    <t>Колпаков Николай Николаевич</t>
  </si>
  <si>
    <t>Шилина Ольга Александровна</t>
  </si>
  <si>
    <t>Прокофьев Игорь Алексеевич</t>
  </si>
  <si>
    <t>Соузен Сабри</t>
  </si>
  <si>
    <t>Родькин Алексей Сергеевич</t>
  </si>
  <si>
    <t>Управляющая компания ВОРКУТИНСКАЯ УПРАВЛЯЮЩАЯ КОМПАНИЯ, ООО</t>
  </si>
  <si>
    <t>Ушаков Олег Иванович</t>
  </si>
  <si>
    <t>Исаков Вадим Валерьевич</t>
  </si>
  <si>
    <t>Золототрубов Вячеслав Николаевич</t>
  </si>
  <si>
    <t>Управляющая компания ОБЪЕДИНЕННЫЕ КОНДИТЕРЫ, ООО</t>
  </si>
  <si>
    <t>Иванов Игорь Александрович</t>
  </si>
  <si>
    <t>Кибалюк Алексей Леонидович</t>
  </si>
  <si>
    <t>Лосев Анатолий Николаевич</t>
  </si>
  <si>
    <t>Боровиков Андрей Владимирович</t>
  </si>
  <si>
    <t>Ким Александр Аркадьевич</t>
  </si>
  <si>
    <t>Прохоров Дмитрий Владимирович</t>
  </si>
  <si>
    <t>Юдаков Николай Михайлович</t>
  </si>
  <si>
    <t>Путов Владимир Викторович</t>
  </si>
  <si>
    <t>Уюсов Сергей Васильевич</t>
  </si>
  <si>
    <t>Довгий Александр Адамович</t>
  </si>
  <si>
    <t>Галиахметов Айрат Гумарович</t>
  </si>
  <si>
    <t>Асадуллаев Роман Фахраддинович</t>
  </si>
  <si>
    <t>Вильдеев Кирилл Борисович</t>
  </si>
  <si>
    <t>Жолобов Сергей Юрьевич</t>
  </si>
  <si>
    <t>Управляющая компания РУССКАЯ РЫБОПРОМЫШЛЕННАЯ КОМПАНИЯ, ООО</t>
  </si>
  <si>
    <t>Хван Валерий Вячеславович</t>
  </si>
  <si>
    <t>Пронькина Наталья Сергеевна</t>
  </si>
  <si>
    <t>Тиханова Надежда Юрьевна</t>
  </si>
  <si>
    <t>Лучников Игорь Валерьевич</t>
  </si>
  <si>
    <t>Ворстер Герхард Рудольф</t>
  </si>
  <si>
    <t>Востриков Сергей Михайлович</t>
  </si>
  <si>
    <t>Лобышкин Евгений Львович</t>
  </si>
  <si>
    <t>Киселев Сергей Николаевич</t>
  </si>
  <si>
    <t>Управляющая компания УРАЛЬСКАЯ ГОРНО-МЕТАЛЛУРГИЧЕСКАЯ КОМПАНИЯ , ОАО УГМК, ОАО</t>
  </si>
  <si>
    <t>Керимова Сюе Мэй</t>
  </si>
  <si>
    <t>Управляющая компания КОМОС ГРУПП, ООО</t>
  </si>
  <si>
    <t>Ларина Татьяна Алексеевна</t>
  </si>
  <si>
    <t>Иванов Виктор Константинович</t>
  </si>
  <si>
    <t>Попова Ирина Геннадьевна</t>
  </si>
  <si>
    <t>Управляющая компания ГРУППА МЕГАПОЛИС, ООО</t>
  </si>
  <si>
    <t>Говорушко Александр Викторович</t>
  </si>
  <si>
    <t>Змановская Ирина Михайловна</t>
  </si>
  <si>
    <t>Управляющая компания УК ГЛОБАЛ ПОРТС, ООО</t>
  </si>
  <si>
    <t>Беленецкий Евгений Анатольевич</t>
  </si>
  <si>
    <t>Граделева Ирина Анатольевна</t>
  </si>
  <si>
    <t>Романовская Рамиля Фаргатовна</t>
  </si>
  <si>
    <t>Мартинович Александр Леонидович</t>
  </si>
  <si>
    <t>Ильясов Альберт Александрович</t>
  </si>
  <si>
    <t>Самоукин Алексей Анатольевич</t>
  </si>
  <si>
    <t>Болдырев Дмитрий Сергеевич</t>
  </si>
  <si>
    <t>Белюгин Владимир Николаевич</t>
  </si>
  <si>
    <t>Михальчук Вадим Сергеевич</t>
  </si>
  <si>
    <t>Долгов Павел Сергеевич</t>
  </si>
  <si>
    <t>Максимов Ян Анатольевич</t>
  </si>
  <si>
    <t>Шудрикова Ирина Юрьевна</t>
  </si>
  <si>
    <t>Федоров Алексей Игоревич</t>
  </si>
  <si>
    <t>Калинин Павел Викторович</t>
  </si>
  <si>
    <t>Белков Андрей Владимирович</t>
  </si>
  <si>
    <t>Ардапкина Наталья Евгеньевна</t>
  </si>
  <si>
    <t>Макармыжин Михаил Иванович</t>
  </si>
  <si>
    <t>Пономаренко Сергей Александрович</t>
  </si>
  <si>
    <t>Олейникова Анастасия Олеговна</t>
  </si>
  <si>
    <t>Смирнов Андрей Викторович</t>
  </si>
  <si>
    <t>Васильев Сергей Викторович</t>
  </si>
  <si>
    <t>Соколов Андрей Геннадьевич</t>
  </si>
  <si>
    <t>Качапин Илья Анатольевич</t>
  </si>
  <si>
    <t>Катермин Андрей Владимирович</t>
  </si>
  <si>
    <t>Ластовка Николай Сергеевич</t>
  </si>
  <si>
    <t>Управляющая компания ВТОРМЕТ, ООО</t>
  </si>
  <si>
    <t>Деменев Александр Евгеньевич</t>
  </si>
  <si>
    <t>Гришкевич Николай Леонидович</t>
  </si>
  <si>
    <t>Журавлев Виктор Владимирович</t>
  </si>
  <si>
    <t>Управляющая компания ФНГ 4, ООО</t>
  </si>
  <si>
    <t>Чегодаев Владимир Николаевич</t>
  </si>
  <si>
    <t>Михалёв Андрей Вячеславович</t>
  </si>
  <si>
    <t>Копцев Евгений Иванович</t>
  </si>
  <si>
    <t>Нелюбин Игорь Алексеевич</t>
  </si>
  <si>
    <t>Юдин Антон Владимирович</t>
  </si>
  <si>
    <t>Софронов Александр Борисович</t>
  </si>
  <si>
    <t>Сапрыкин Константин Геннадьевич</t>
  </si>
  <si>
    <t>Сибгатуллин Рафис Мансурович</t>
  </si>
  <si>
    <t>Управляющая компания УК ВТУ, ООО</t>
  </si>
  <si>
    <t>Савинов Федор Андреевич</t>
  </si>
  <si>
    <t>Короткова Анастасия Александровна</t>
  </si>
  <si>
    <t>Балуков Сергей Александрович</t>
  </si>
  <si>
    <t>Рябыкин Денис Евгеньевич</t>
  </si>
  <si>
    <t>Пермяков Илья Сергеевич</t>
  </si>
  <si>
    <t>Сташкевич Артём Викторович</t>
  </si>
  <si>
    <t>Захаренков Сергей Анатольевич</t>
  </si>
  <si>
    <t>Заклёпкин Александр Павлович</t>
  </si>
  <si>
    <t>ИСМАИЛОВ РАШИД РУСТАМ ОГЛЫ</t>
  </si>
  <si>
    <t>Гостев Сергей Викторович</t>
  </si>
  <si>
    <t>Оганесян Аветик Мкртичевич</t>
  </si>
  <si>
    <t>Воронов Александр Сергеевич</t>
  </si>
  <si>
    <t>Шашмурин Михаил Вадимович</t>
  </si>
  <si>
    <t>Краснобаев Александр Валентинович</t>
  </si>
  <si>
    <t>Ерохин Юрий Алексеевич</t>
  </si>
  <si>
    <t>Управляющая компания РГХО, ООО</t>
  </si>
  <si>
    <t>Вепрев Алексей Владимирович</t>
  </si>
  <si>
    <t>Вихарев Константин Викторович</t>
  </si>
  <si>
    <t>Лукинов Александр Алексеевич</t>
  </si>
  <si>
    <t>Глыбовский Сергей Иосифович</t>
  </si>
  <si>
    <t>Гусева Юлия Дмитриевна</t>
  </si>
  <si>
    <t>Десятов Константин Александрович</t>
  </si>
  <si>
    <t>Букреев Алексей Михайлович</t>
  </si>
  <si>
    <t>Белый Сергей Николаевич</t>
  </si>
  <si>
    <t>Овчаренко Андрей Станиславович</t>
  </si>
  <si>
    <t>Бобриков Николай Михайлович</t>
  </si>
  <si>
    <t>Сугаипов Денис Асадуллаевич</t>
  </si>
  <si>
    <t>Самсоненко Алексей Георгиевич</t>
  </si>
  <si>
    <t>Недзвецкий Максим Юрьевич</t>
  </si>
  <si>
    <t>Лукъянчиков Михаил Иванович</t>
  </si>
  <si>
    <t>Сорокин Анатолий Александрович</t>
  </si>
  <si>
    <t>Выродов Константин Владимирович</t>
  </si>
  <si>
    <t>Конышев Алексей Владимирович</t>
  </si>
  <si>
    <t>Сидоров Александр Николаевич</t>
  </si>
  <si>
    <t>Зубарев Константин Вячеславович</t>
  </si>
  <si>
    <t>Шперлинг Георгий Владимирович</t>
  </si>
  <si>
    <t>Нараев Геннадий Павлович</t>
  </si>
  <si>
    <t>Бузин Вячеслав Анатольевич</t>
  </si>
  <si>
    <t>Карасиков Сергей Николаевич</t>
  </si>
  <si>
    <t>Комиссаров Сергей Юрьевич</t>
  </si>
  <si>
    <t>Бородин Дмитрий Александрович</t>
  </si>
  <si>
    <t>Черезов Сергей Борисович</t>
  </si>
  <si>
    <t>Ревенко Владимир Юрьевич</t>
  </si>
  <si>
    <t>Управляющая компания ГАЗПРОМ МЕЖРЕГИОНГАЗ СЕВЕР, ООО</t>
  </si>
  <si>
    <t>Маслин Олег Витальевич</t>
  </si>
  <si>
    <t>Светашов Андрей Николаевич</t>
  </si>
  <si>
    <t>Чернюк Олег Владимирович</t>
  </si>
  <si>
    <t>Воробьев Николай Юрьевич</t>
  </si>
  <si>
    <t>Управляющая компания ГАЗПРОМ МЕЖРЕГИОНГАЗ УФА, ООО</t>
  </si>
  <si>
    <t>Управляющая компания ГАЗПРОМ МЕЖРЕГИОНГАЗ, ООО</t>
  </si>
  <si>
    <t>Миронов Дмитрий Анатольевич</t>
  </si>
  <si>
    <t>Иванин Сергей Евгеньевич</t>
  </si>
  <si>
    <t>Скрынников Сергей Владимирович</t>
  </si>
  <si>
    <t>Мельниченко Андрей Викторович</t>
  </si>
  <si>
    <t>Татаринов Андрей Олегович</t>
  </si>
  <si>
    <t>Щёголев Дмитрий Павлович</t>
  </si>
  <si>
    <t>Джалябов Антон Александрович</t>
  </si>
  <si>
    <t>Николаев Олег Александрович</t>
  </si>
  <si>
    <t>Кутепов Виталий Анатольевич</t>
  </si>
  <si>
    <t>Корякин Александр Юрьевич</t>
  </si>
  <si>
    <t>Гурьянов Валерий Владимирович</t>
  </si>
  <si>
    <t>Касьяненко Андрей Александрович</t>
  </si>
  <si>
    <t>Тюрин Вячеслав Александрович</t>
  </si>
  <si>
    <t>Врублевская Юлия Саввична</t>
  </si>
  <si>
    <t>Бурушкин Алексей Анатольевич</t>
  </si>
  <si>
    <t>Воробьев Всеволод Станиславович</t>
  </si>
  <si>
    <t>Кузнецов Александр Владимирович</t>
  </si>
  <si>
    <t>Харисов Радик Ленартович</t>
  </si>
  <si>
    <t>Буглаев Олег Владимирович</t>
  </si>
  <si>
    <t>Белов Андрей Алексеевич</t>
  </si>
  <si>
    <t>Кодзаев Алан Хаджимуратович</t>
  </si>
  <si>
    <t>Гаранин Олег Евгеньевич</t>
  </si>
  <si>
    <t>Шахбазов Юрий Викторович</t>
  </si>
  <si>
    <t>Баймурадов Ломали Вахидович</t>
  </si>
  <si>
    <t>Мазалов Сергей Владимирович</t>
  </si>
  <si>
    <t>Вершинин Алексей Павлович</t>
  </si>
  <si>
    <t>Еремин Александр Николаевич</t>
  </si>
  <si>
    <t>Тагиров Айдар Энгелевич</t>
  </si>
  <si>
    <t>Ковалев Виталий Николаевич</t>
  </si>
  <si>
    <t>Рытенков Владимир Юрьевич</t>
  </si>
  <si>
    <t>Чиликин Александр Юрьевич</t>
  </si>
  <si>
    <t>Осетров Дмитрий Николаевич</t>
  </si>
  <si>
    <t>Агафонов Владимир Александрович</t>
  </si>
  <si>
    <t>Екутеч Аслан Джабраилович</t>
  </si>
  <si>
    <t>Мурадов Ризван Усманович</t>
  </si>
  <si>
    <t>Тельнов Олег Владимирович</t>
  </si>
  <si>
    <t>Вороков Залим Владимирович</t>
  </si>
  <si>
    <t>Домаренко Игорь Викторович</t>
  </si>
  <si>
    <t>Еловик Евгений Александрович</t>
  </si>
  <si>
    <t>Грачев Александр Викторович</t>
  </si>
  <si>
    <t>Борисов Игорь Николаевич</t>
  </si>
  <si>
    <t>Басников Олег Викторович</t>
  </si>
  <si>
    <t>Савичев Андрей Владимирович</t>
  </si>
  <si>
    <t>Смирнов Михаил Андреевич</t>
  </si>
  <si>
    <t>Бондарчук Андрей Сергеевич</t>
  </si>
  <si>
    <t>Портнов Владислав Борисович</t>
  </si>
  <si>
    <t>Башунов Вячеслав Владимирович</t>
  </si>
  <si>
    <t>Назаров Виктор Иванович</t>
  </si>
  <si>
    <t>Стоянов Сергей Валерьевич</t>
  </si>
  <si>
    <t>Стефанов Роман Евгеньевич</t>
  </si>
  <si>
    <t>Камеко Владимир Николаевич</t>
  </si>
  <si>
    <t>Лукманов Альберт Рауфович</t>
  </si>
  <si>
    <t>Курлыгин Павел Александрович</t>
  </si>
  <si>
    <t>Бусыгин Александр Александрович</t>
  </si>
  <si>
    <t>Дергачев Олег Леонтьевич</t>
  </si>
  <si>
    <t>Сибиряков Олег Эрнстович</t>
  </si>
  <si>
    <t>Густов Сергей Вадимович</t>
  </si>
  <si>
    <t>Козлов Дмитрий Петрович</t>
  </si>
  <si>
    <t>Зенин Сергей Геннадьевич</t>
  </si>
  <si>
    <t>Черепанов Всеволод Владимирович</t>
  </si>
  <si>
    <t>Управляющая компания РГД ПС, ООО</t>
  </si>
  <si>
    <t>Ишмурзин Айрат Вильсурович</t>
  </si>
  <si>
    <t>Пышко Елена Валерьевна</t>
  </si>
  <si>
    <t>Дерягин Алексей Викторович</t>
  </si>
  <si>
    <t>Вагарин Владимир Анатольевич</t>
  </si>
  <si>
    <t>Стуков Антон Владимирович</t>
  </si>
  <si>
    <t>Сочнев Алексей Игоревич</t>
  </si>
  <si>
    <t>Кузьменко Николай Григорьевич</t>
  </si>
  <si>
    <t>Ганичев Дмитрий Леонидович</t>
  </si>
  <si>
    <t>Васин Вячеслав Владимирович</t>
  </si>
  <si>
    <t>Марамыгин Юрий Александрович</t>
  </si>
  <si>
    <t>Крюков Алексей Вячеславович</t>
  </si>
  <si>
    <t>Усманов Рустем Ринатович</t>
  </si>
  <si>
    <t>Васюков Денис Александрович</t>
  </si>
  <si>
    <t>Астанин Александр Юрьевич</t>
  </si>
  <si>
    <t>Субботин Владимир Анатольевич</t>
  </si>
  <si>
    <t>Фокин Георгий Анатольевич</t>
  </si>
  <si>
    <t>Миронов Владимир Валерьевич</t>
  </si>
  <si>
    <t>Завгороднев Алексей Васильевич</t>
  </si>
  <si>
    <t>Ваховский Олег Викторович</t>
  </si>
  <si>
    <t>Бородин Владислав Иванович</t>
  </si>
  <si>
    <t>Шарипов Шамиль Гусманович</t>
  </si>
  <si>
    <t>Баранов Андрей Дмитриевич</t>
  </si>
  <si>
    <t>Олейников Алексей Владимирович</t>
  </si>
  <si>
    <t>Созонов Петр Михайлович</t>
  </si>
  <si>
    <t>Золотов Кирилл Вадимович</t>
  </si>
  <si>
    <t>Шамалов Юрий Васильевич</t>
  </si>
  <si>
    <t>Коробков Александр Николаевич</t>
  </si>
  <si>
    <t>Хандога Дмитрий Викторович</t>
  </si>
  <si>
    <t>Дятлов Роман Евгеньевич</t>
  </si>
  <si>
    <t>Неуймин Кирилл Валерьевич</t>
  </si>
  <si>
    <t>Лебедев Николай Николаевич</t>
  </si>
  <si>
    <t>Миллер Алексей Борисович</t>
  </si>
  <si>
    <t>Маркова Лилия Викторовна</t>
  </si>
  <si>
    <t>Калинкин Максим Юрьевич</t>
  </si>
  <si>
    <t>Поздняков Кирилл Григорьевич</t>
  </si>
  <si>
    <t>Вашкевич Алексей Александрович</t>
  </si>
  <si>
    <t>Управляющая компания ГПН-НЕФТЕСЕРВИС, ООО</t>
  </si>
  <si>
    <t>Коланда Вячеслав Михайлович</t>
  </si>
  <si>
    <t>Раздобудько Иван Владимирович</t>
  </si>
  <si>
    <t>Крупеников Владимир Борисович</t>
  </si>
  <si>
    <t>Огородов Алексей Валерьевич</t>
  </si>
  <si>
    <t>Капуста Евгений Викторович</t>
  </si>
  <si>
    <t>Фёдоров Сергей Иванович</t>
  </si>
  <si>
    <t>Поперлюков Алексей Сергеевич</t>
  </si>
  <si>
    <t>Белов Алексей Анатольевич</t>
  </si>
  <si>
    <t>Овечкин Алексей Васильевич</t>
  </si>
  <si>
    <t>Мироненко Максим Владимирович</t>
  </si>
  <si>
    <t>Явисенко Елена Валерьевна</t>
  </si>
  <si>
    <t>Гришин Павел Александрович</t>
  </si>
  <si>
    <t>Ильин Валентин Михайлович</t>
  </si>
  <si>
    <t>Рогожин Вячеслав Владимирович</t>
  </si>
  <si>
    <t>Ткаченко Николай Витальевич</t>
  </si>
  <si>
    <t>Бойченко Александр Сергеевич</t>
  </si>
  <si>
    <t>Боровиков Валерий Владимирович</t>
  </si>
  <si>
    <t>Аширов Станислав Олегович</t>
  </si>
  <si>
    <t>Якжин Сергей Викторович</t>
  </si>
  <si>
    <t>Бычкова Татьяна Валентиновна</t>
  </si>
  <si>
    <t>Управляющая компания ГАЗПРОМ ЭНЕРГОСБЫТ ТЮМЕНЬ, АО</t>
  </si>
  <si>
    <t>Потапов Андрей Сергеевич</t>
  </si>
  <si>
    <t>Пинчуков Дмитрий Владимирович</t>
  </si>
  <si>
    <t>Зыкина Елена Васильевна</t>
  </si>
  <si>
    <t>Сурмалян Арутюн Арменакович</t>
  </si>
  <si>
    <t>Фокин Матвей Михайлович</t>
  </si>
  <si>
    <t>Лозицкий Владислав Александрович</t>
  </si>
  <si>
    <t>Парамонов Григорий Владимирович</t>
  </si>
  <si>
    <t>Изюменко Андрей Михайлович</t>
  </si>
  <si>
    <t>Сухарев Николай Андреевич</t>
  </si>
  <si>
    <t>Сибирцев Василий Васильевич</t>
  </si>
  <si>
    <t>Веселова Татьяна Геннадьевна</t>
  </si>
  <si>
    <t>Чижов Петр Николаевич</t>
  </si>
  <si>
    <t>Удальцов Артем Эдуардович</t>
  </si>
  <si>
    <t>Надыршин Юрий Владимирович</t>
  </si>
  <si>
    <t>Глотов Андрей Викторович</t>
  </si>
  <si>
    <t>Гарнатка Роман Николаевич</t>
  </si>
  <si>
    <t>Шапиро Даниил Вульфович</t>
  </si>
  <si>
    <t>Хлуднев Михаил Владимирович</t>
  </si>
  <si>
    <t>Ломакин Евгений Вячеславович</t>
  </si>
  <si>
    <t>Шахова Анна Ивановна</t>
  </si>
  <si>
    <t>Лихачев Михаил Владимирович</t>
  </si>
  <si>
    <t>Чепель Анатолий Николаевич</t>
  </si>
  <si>
    <t>Ротару Вадим Иванович</t>
  </si>
  <si>
    <t>Варади Аттила</t>
  </si>
  <si>
    <t>Бунин Алексей Федорович</t>
  </si>
  <si>
    <t>Клименко Владимир Александрович</t>
  </si>
  <si>
    <t>Емельянова Наталья Николаевна</t>
  </si>
  <si>
    <t>Мухаметов Айрат Маратович</t>
  </si>
  <si>
    <t>Лашкова Елена Борисовна</t>
  </si>
  <si>
    <t>Шувалов Сергей Витальевич</t>
  </si>
  <si>
    <t>Мкртичян Андрей Григорьевич</t>
  </si>
  <si>
    <t>Фахретдинов Виль Камилович</t>
  </si>
  <si>
    <t>Управляющая компания МИРАТОРГ-БЕЛГОРОД, ООО</t>
  </si>
  <si>
    <t>Петров Олег Иванович</t>
  </si>
  <si>
    <t>Петлин Андрей Александрович</t>
  </si>
  <si>
    <t>Щеглов Николай Александрович</t>
  </si>
  <si>
    <t>Согрин Дмитрий Александрович</t>
  </si>
  <si>
    <t>Гаспарян Армен Мнацаканович</t>
  </si>
  <si>
    <t>Боленков Андрей Викторович</t>
  </si>
  <si>
    <t>Матвеев Александр Владимирович</t>
  </si>
  <si>
    <t>Романов Владимир Игоревич</t>
  </si>
  <si>
    <t>Соловейчик Михаил Сергеевич</t>
  </si>
  <si>
    <t>Гусейнов Шамиль Сергеевич</t>
  </si>
  <si>
    <t>Управляющая компания УК ГРУППА ГМС, ООО</t>
  </si>
  <si>
    <t>Ханцев Алексей Владимирович</t>
  </si>
  <si>
    <t>Светликов Юрий Николаевич</t>
  </si>
  <si>
    <t>Жарницкий Михаил Яковлевич</t>
  </si>
  <si>
    <t>Плаксин Максим Георгиевич</t>
  </si>
  <si>
    <t>Шаар Фолькер</t>
  </si>
  <si>
    <t>Еремин Андрей Евгеньевич</t>
  </si>
  <si>
    <t>Белоус Евгений Иосифович</t>
  </si>
  <si>
    <t>Умняков Сергей Николаевич</t>
  </si>
  <si>
    <t>Гульянц Ольга Сергеевна</t>
  </si>
  <si>
    <t>Козлова Наталья Вячеславовна</t>
  </si>
  <si>
    <t>Бхагат Кешав</t>
  </si>
  <si>
    <t>Балабаев Жанабай Айткалиевич</t>
  </si>
  <si>
    <t>Кузнецов Алексей Валерьевич</t>
  </si>
  <si>
    <t>Евдокимов Андрей Сергеевич</t>
  </si>
  <si>
    <t>Устименко Виктория Николаевна</t>
  </si>
  <si>
    <t>Власов Алексей Евгеньевич</t>
  </si>
  <si>
    <t>Харитонов Дмитрий Сергеевич</t>
  </si>
  <si>
    <t>Кирилёнок Татьяна Сергеевна</t>
  </si>
  <si>
    <t>Константинов Игорь Владимирович</t>
  </si>
  <si>
    <t>Гончаров Константин Анатольевич</t>
  </si>
  <si>
    <t>Попов Евгений Владимирович</t>
  </si>
  <si>
    <t>Токарев Андрей Владиславович</t>
  </si>
  <si>
    <t>Ерёмин Дмитрий Владимирович</t>
  </si>
  <si>
    <t>Елистратов Антон Николаевич</t>
  </si>
  <si>
    <t>Сергеев Виктор Алексеевич</t>
  </si>
  <si>
    <t>Лебедев Александр Владимирович</t>
  </si>
  <si>
    <t>Ермолаев Владимир Владимирович</t>
  </si>
  <si>
    <t>Совада Йоханн Рафаэль</t>
  </si>
  <si>
    <t>Марков Олег Михайлович</t>
  </si>
  <si>
    <t>Кузнецов Денис Вадимович</t>
  </si>
  <si>
    <t>Сорокин Владимир Геннадьевич</t>
  </si>
  <si>
    <t>Буторин Владимир Федорович</t>
  </si>
  <si>
    <t>Кобылин Игорь Викторович</t>
  </si>
  <si>
    <t>Щербина Геннадий Филиппович</t>
  </si>
  <si>
    <t>Орех Виталий Анатольевич</t>
  </si>
  <si>
    <t>Антипин Евгений Владимирович</t>
  </si>
  <si>
    <t>Ходаковский Виталий Александрович</t>
  </si>
  <si>
    <t>Горшков Алексей Игоревич</t>
  </si>
  <si>
    <t>Быткин Александр Анатольевич</t>
  </si>
  <si>
    <t>Плахов Михаил Владимирович</t>
  </si>
  <si>
    <t>Котов Иван Александрович</t>
  </si>
  <si>
    <t>Святобогов Игорь Анатольевич</t>
  </si>
  <si>
    <t>Богданов Роман Вячеславович</t>
  </si>
  <si>
    <t>Константинов Юрий Викторович</t>
  </si>
  <si>
    <t>Фатин Вячеслав Николаевич</t>
  </si>
  <si>
    <t>Рябинин Роман Олегович</t>
  </si>
  <si>
    <t>Лавров Кирилл Александрович</t>
  </si>
  <si>
    <t>Стрижак Юлия Витальевна</t>
  </si>
  <si>
    <t>Геращенко Ольга Валерьевна</t>
  </si>
  <si>
    <t>Митраков Дмитрий Анатольевич</t>
  </si>
  <si>
    <t>Молибог Николай Петрович</t>
  </si>
  <si>
    <t>Серов Михаил Витальевич</t>
  </si>
  <si>
    <t>Соболь Сергей Борисович</t>
  </si>
  <si>
    <t>Москалев Владимир Борисович</t>
  </si>
  <si>
    <t>Малюта Светлана Александровна</t>
  </si>
  <si>
    <t>Беленький-Гордонов Николай Наумович</t>
  </si>
  <si>
    <t>Бржезицкая Елена Анатольевна</t>
  </si>
  <si>
    <t>Денисов Дмитрий Станиславович</t>
  </si>
  <si>
    <t>Зиновьев Александр Львович</t>
  </si>
  <si>
    <t>Пряморуков Руслан Михайлович</t>
  </si>
  <si>
    <t>Павлов Владислав Сергеевич</t>
  </si>
  <si>
    <t>Тарасенко Оксана Валентиновна</t>
  </si>
  <si>
    <t>Чекмарёва Наталья Николаевна</t>
  </si>
  <si>
    <t>Нарядько Олег Александрович</t>
  </si>
  <si>
    <t>Сметанников Константин Юрьевич</t>
  </si>
  <si>
    <t>Пак Унёнг</t>
  </si>
  <si>
    <t>Булатова Лилия Валентиновна</t>
  </si>
  <si>
    <t>Управляющая компания УПРАВЛЯЮЩАЯ КОМПАНИЯ ГЛОУБАЙТ, ООО</t>
  </si>
  <si>
    <t>Федяев Павел Юрьевич</t>
  </si>
  <si>
    <t>Воронин Олег Николаевич</t>
  </si>
  <si>
    <t>Зуев Глеб Юрьевич</t>
  </si>
  <si>
    <t>Богатырев Олег Геннадьевич</t>
  </si>
  <si>
    <t>Камолин Александр Валерьевич</t>
  </si>
  <si>
    <t>Екомасов Артем Михайлович</t>
  </si>
  <si>
    <t>Годовалов Андрей Юрьевич</t>
  </si>
  <si>
    <t>Трачук Аркадий Владимирович</t>
  </si>
  <si>
    <t>Управляющая компания УК КОЛМАР, ООО</t>
  </si>
  <si>
    <t>Аськов Дмитрий Николаевич</t>
  </si>
  <si>
    <t>Янмаев Сергей Владимирович</t>
  </si>
  <si>
    <t>Сибгатуллин Самат Минсагитович</t>
  </si>
  <si>
    <t>Алфёрова Елена Алексеевна</t>
  </si>
  <si>
    <t>Абдусаламов Асланбек Ибрагимович</t>
  </si>
  <si>
    <t>Похил Юрий Николаевич</t>
  </si>
  <si>
    <t>Рымарь Михаил Александрович</t>
  </si>
  <si>
    <t>Ван Хунвэй</t>
  </si>
  <si>
    <t>Змеева Екатерина Сергеевна</t>
  </si>
  <si>
    <t>Шишкин Артём Васильевич</t>
  </si>
  <si>
    <t>Жуков Дмитрий Сергеевич</t>
  </si>
  <si>
    <t>Мансуров Владимир Александрович</t>
  </si>
  <si>
    <t>Исьянов Максим Александрович</t>
  </si>
  <si>
    <t>Бонев Александр Станиславович</t>
  </si>
  <si>
    <t>Гостеев Евгений Александрович</t>
  </si>
  <si>
    <t>Ильин Виталий Олегович</t>
  </si>
  <si>
    <t>Бутовский Игорь Алексеевич</t>
  </si>
  <si>
    <t>Коваль Виктор Александрович</t>
  </si>
  <si>
    <t>Сапельников Кирилл Александрович</t>
  </si>
  <si>
    <t>Квасникова Нина Ивановна</t>
  </si>
  <si>
    <t>Сологуб Денис Николаевич</t>
  </si>
  <si>
    <t>Нугаев Сергей Николаевич</t>
  </si>
  <si>
    <t>Елин Юрий Алексеевич</t>
  </si>
  <si>
    <t>Бобылев Дмитрий Владимирович</t>
  </si>
  <si>
    <t>Арделян Олег Владимирович</t>
  </si>
  <si>
    <t>Салахов Васил Вазыхович</t>
  </si>
  <si>
    <t>Бородин Сергей Александрович</t>
  </si>
  <si>
    <t>Власов Александр Алексеевич</t>
  </si>
  <si>
    <t>Дунат Алексей Романович</t>
  </si>
  <si>
    <t>Куров Андрей Николаевич</t>
  </si>
  <si>
    <t>Диденко Игорь Анатольевич</t>
  </si>
  <si>
    <t>Лагутин Александр Николаевич</t>
  </si>
  <si>
    <t>Кокуш Юрий Иосифович</t>
  </si>
  <si>
    <t>Карапетян Ерванд Оникович</t>
  </si>
  <si>
    <t>Кучкин Сергей Валентинович</t>
  </si>
  <si>
    <t>Вермишян Геворк Арутюнович</t>
  </si>
  <si>
    <t>Матясов Григорий Николаевич</t>
  </si>
  <si>
    <t>Робу Корнелиу Иванович</t>
  </si>
  <si>
    <t>Ковалевич Валерий Яковлевич</t>
  </si>
  <si>
    <t>Сарваров Айдар Расимович</t>
  </si>
  <si>
    <t>Харичев Владимир Яковлевич</t>
  </si>
  <si>
    <t>Потапов Алексей Михайлович</t>
  </si>
  <si>
    <t>Савинов Константин Юрьевич</t>
  </si>
  <si>
    <t>Милёхин Виктор Алексеевич</t>
  </si>
  <si>
    <t>Сухов Алим Хусаинович</t>
  </si>
  <si>
    <t>Королёв Юрий Алексеевич</t>
  </si>
  <si>
    <t>Ганов Александр Николаевич</t>
  </si>
  <si>
    <t>Варданян Арарат Мергелосович</t>
  </si>
  <si>
    <t>Алексеев Евгений Леонидович</t>
  </si>
  <si>
    <t>Юманкин Илья Анатольевич</t>
  </si>
  <si>
    <t>Рейдер Дмитрий Викторович</t>
  </si>
  <si>
    <t>Мостинец Сергей Иванович</t>
  </si>
  <si>
    <t>Едигарян Рудольф Мартинович</t>
  </si>
  <si>
    <t>Кожевников Максим Анатольевич</t>
  </si>
  <si>
    <t>Соловьева Елена Владимировна</t>
  </si>
  <si>
    <t>Лиманов Сергей Васильевич</t>
  </si>
  <si>
    <t>Демидов Андрей Владимирович</t>
  </si>
  <si>
    <t>Анисимов Леонид Витальевич</t>
  </si>
  <si>
    <t>Рожков Дмитрий Владимирович</t>
  </si>
  <si>
    <t>Алиев Илья Вячеславович</t>
  </si>
  <si>
    <t>Марков Николай Иванович</t>
  </si>
  <si>
    <t>Визир Дмитрий Михайлович</t>
  </si>
  <si>
    <t>Морозов Дмитрий Алексеевич</t>
  </si>
  <si>
    <t>Колубаев Александр Викторович</t>
  </si>
  <si>
    <t>Русанов Юрий Иванович</t>
  </si>
  <si>
    <t>Управляющая компания ГРУППА ГРИН РЭЙ, ООО</t>
  </si>
  <si>
    <t>Ермолаев Михаил Юрьевич</t>
  </si>
  <si>
    <t>Кондеев Дмитрий Петрович</t>
  </si>
  <si>
    <t>Ивайкин Андрей Викторович</t>
  </si>
  <si>
    <t>Вейс Сергей Леонидович</t>
  </si>
  <si>
    <t>Гулуа Роман Зурабиевич</t>
  </si>
  <si>
    <t>Болгов Александр Леонидович</t>
  </si>
  <si>
    <t>Головко Виктор Юрьевич</t>
  </si>
  <si>
    <t>Шепета Владимир Иванович</t>
  </si>
  <si>
    <t>Хайдаев Казбек Вараевич</t>
  </si>
  <si>
    <t>Бенда Владимир Андреевич</t>
  </si>
  <si>
    <t>Ревтюк Александр Васильевич</t>
  </si>
  <si>
    <t>Кошелев Николай Владимирович</t>
  </si>
  <si>
    <t>Управляющая компания УК ДЕМЕТРА-ХОЛДИНГ, ООО</t>
  </si>
  <si>
    <t>Харисов Айдар Завдатович</t>
  </si>
  <si>
    <t>Гуревич Галина Александровна</t>
  </si>
  <si>
    <t>Соснина Ксения Николаевна</t>
  </si>
  <si>
    <t>Крапивин Алексей Андреевич</t>
  </si>
  <si>
    <t>Козлов Максим Павлович</t>
  </si>
  <si>
    <t>Еганов Сергей Борисович</t>
  </si>
  <si>
    <t>Брусилова Елена Анатольевна</t>
  </si>
  <si>
    <t>Костин Вадим Вячеславович</t>
  </si>
  <si>
    <t>Богомолов Владимир Михайлович</t>
  </si>
  <si>
    <t>Липатов Тимур Владимирович</t>
  </si>
  <si>
    <t>Ляшко Алексей Валериевич</t>
  </si>
  <si>
    <t>Евстратьев Владимир Борисович</t>
  </si>
  <si>
    <t>Молчанов Андрей Юрьевич</t>
  </si>
  <si>
    <t>Кравченко Андрей Анатольевич</t>
  </si>
  <si>
    <t>Кузнецов Ярослав Евгеньевич</t>
  </si>
  <si>
    <t>Глухов Дементий Михайлович</t>
  </si>
  <si>
    <t>Алегр Себастьен</t>
  </si>
  <si>
    <t>Ходоровский Михаил Яковлевич</t>
  </si>
  <si>
    <t>Тарасов Сергей Витальевич</t>
  </si>
  <si>
    <t>Филобок Сергей Викторович</t>
  </si>
  <si>
    <t>Колосова Мария Леонидовна</t>
  </si>
  <si>
    <t>Поляков Максим Михайлович</t>
  </si>
  <si>
    <t>Драч Алексей Леонидович</t>
  </si>
  <si>
    <t>Балалыкин Сергей Юрьевич</t>
  </si>
  <si>
    <t>Рачиков Роман Николаевич</t>
  </si>
  <si>
    <t>Синельников Евгений Борисович</t>
  </si>
  <si>
    <t>Никишенков Евгений Михайлович</t>
  </si>
  <si>
    <t>Сильченко Михаил Сергеевич</t>
  </si>
  <si>
    <t>Вершинин Дмитрий Андреевич</t>
  </si>
  <si>
    <t>Спирин Николай Иванович</t>
  </si>
  <si>
    <t>Николаев Денис Валерьевич</t>
  </si>
  <si>
    <t>Флигинских Андрей Николаевич</t>
  </si>
  <si>
    <t>Управляющая компания УК ГСР ЭНЕРГО, АО</t>
  </si>
  <si>
    <t>Ковалев Виталий Анатольевич</t>
  </si>
  <si>
    <t>Туголуков Сергей Викторович</t>
  </si>
  <si>
    <t>Богомолов Вадим Владимирович</t>
  </si>
  <si>
    <t>Дитрих Евгений Иванович</t>
  </si>
  <si>
    <t>Юркин Василий Николаевич</t>
  </si>
  <si>
    <t>Прохоренко Семен Владимирович</t>
  </si>
  <si>
    <t>Попова Алена Михайловна</t>
  </si>
  <si>
    <t>Управляющая компания АГРОПРОМЫШЛЕННАЯ ГРУППА БВК, АО УК</t>
  </si>
  <si>
    <t>Оразбеков Булат Парухович</t>
  </si>
  <si>
    <t>Смирнова Анастасия Юрьевна</t>
  </si>
  <si>
    <t>Истомин Владислав Викторович</t>
  </si>
  <si>
    <t>Головченко Людмила Анатольевна</t>
  </si>
  <si>
    <t>Сорокина Елена Алексеевна</t>
  </si>
  <si>
    <t>Филоненко Наталья Викторовна</t>
  </si>
  <si>
    <t>Дудкина Ольга Ивановна</t>
  </si>
  <si>
    <t>Дворянчиков Владимир Николаевич</t>
  </si>
  <si>
    <t>Карачков Сергей Михайлович</t>
  </si>
  <si>
    <t>Гафаров Дамир Ришатович</t>
  </si>
  <si>
    <t>Заузолков Андрей Александрович</t>
  </si>
  <si>
    <t>Гайченя Иван Алексеевич</t>
  </si>
  <si>
    <t>Прудников Андрей Николаевич</t>
  </si>
  <si>
    <t>Комарова Мария Александровна</t>
  </si>
  <si>
    <t>Юркова Наталия Ивановна</t>
  </si>
  <si>
    <t>Олешко Вадим Валериевич</t>
  </si>
  <si>
    <t>Абзалов Кадим Агзямович</t>
  </si>
  <si>
    <t>Потапов Павел Юрьевич</t>
  </si>
  <si>
    <t>Обрайен Ирина Витальевна</t>
  </si>
  <si>
    <t>Липпинг Владимир Эрикович</t>
  </si>
  <si>
    <t>Храмов Дмитрий Сергеевич</t>
  </si>
  <si>
    <t>Дядченко Михаил Геннадиевич</t>
  </si>
  <si>
    <t>Запевалов Вадим Валентинович</t>
  </si>
  <si>
    <t>Матвеева Ирина Викторовна</t>
  </si>
  <si>
    <t>Федько Илья Михайлович</t>
  </si>
  <si>
    <t>Хреновский Павел Владиленович</t>
  </si>
  <si>
    <t>Чаплыгин Владимир Валентинович</t>
  </si>
  <si>
    <t>Вальтфогель Дмитрий Михайлович</t>
  </si>
  <si>
    <t>Здобин Иван Александрович</t>
  </si>
  <si>
    <t>Арыков Алексей Владимирович</t>
  </si>
  <si>
    <t>Горохов Виктор Станиславович</t>
  </si>
  <si>
    <t>Бормашенко Андрей Владимирович</t>
  </si>
  <si>
    <t>Леонтьев Сергей Николаевич</t>
  </si>
  <si>
    <t>Еремин Михаил Александрович</t>
  </si>
  <si>
    <t>Гречкин Андрей Юрьевич</t>
  </si>
  <si>
    <t>Управляющая компания НТК, АО</t>
  </si>
  <si>
    <t>Управляющая компания МАНГАЗЕЯ МАЙНИНГ, ООО</t>
  </si>
  <si>
    <t>Росляков Николай Валентинович</t>
  </si>
  <si>
    <t>Мошкин Сергей Сергеевич</t>
  </si>
  <si>
    <t>Каппетти Чарли Виктор Хенрикус</t>
  </si>
  <si>
    <t>Аверков Денис Владимирович</t>
  </si>
  <si>
    <t>Крюков Сергей Викторович</t>
  </si>
  <si>
    <t>Богданчиков Евгений Сергеевич</t>
  </si>
  <si>
    <t>Аникин Сергей Владимирович</t>
  </si>
  <si>
    <t>Бабаков Александр Владимирович</t>
  </si>
  <si>
    <t>Волков Лев Евгеньевич</t>
  </si>
  <si>
    <t>Ахмедчин Сергей Саидович</t>
  </si>
  <si>
    <t>Ананьев Вячеслав Валерьевич</t>
  </si>
  <si>
    <t>Киселев Иван Сергеевич</t>
  </si>
  <si>
    <t>Плотников Юрий Олегович</t>
  </si>
  <si>
    <t>Ильковский Константин Константинович</t>
  </si>
  <si>
    <t>Моспанова Елена Сергеевна</t>
  </si>
  <si>
    <t>Матвеев Александр Анатольевич</t>
  </si>
  <si>
    <t>Пенев Сергей Игоревич</t>
  </si>
  <si>
    <t>Черепанов Юрий Владимирович</t>
  </si>
  <si>
    <t>Тугалёва Наталья Михайловна</t>
  </si>
  <si>
    <t>Свешникова Екатерина Владимировна</t>
  </si>
  <si>
    <t>Михайловский Сергей Владимирович</t>
  </si>
  <si>
    <t>Лебедев Дмитрий Николаевич</t>
  </si>
  <si>
    <t>Денисов Сергей Александрович</t>
  </si>
  <si>
    <t>Веселовский Владимир Вячеславович</t>
  </si>
  <si>
    <t>Ашуралиев Санджар Анварбекович</t>
  </si>
  <si>
    <t>Алюшина Наталия Владимировна</t>
  </si>
  <si>
    <t>Морозов Роман Александрович</t>
  </si>
  <si>
    <t>Волков Алексей Максимович</t>
  </si>
  <si>
    <t>Мадани Фарид</t>
  </si>
  <si>
    <t>Кальницкий Алексей Анатольевич</t>
  </si>
  <si>
    <t>Андрющенко Анатолий Анатольевич</t>
  </si>
  <si>
    <t>Никитин Андрей Геннадьевич</t>
  </si>
  <si>
    <t>Переходенко Евгений Петрович</t>
  </si>
  <si>
    <t>Зыков Александр Владимирович</t>
  </si>
  <si>
    <t>Нагайцев Александр Васильевич</t>
  </si>
  <si>
    <t>Федотов Игорь Владиславович</t>
  </si>
  <si>
    <t>Семенова Виктория Анатольевна</t>
  </si>
  <si>
    <t>Гончарук Максим Владимирович</t>
  </si>
  <si>
    <t>Белакова Эльвира Наиловна</t>
  </si>
  <si>
    <t>Терегулов Азат Ильсурович</t>
  </si>
  <si>
    <t>Воронцов Андрей Валерьевич</t>
  </si>
  <si>
    <t>Никитин Владислав Валерьевич</t>
  </si>
  <si>
    <t>Цой Павел Геннадьевич</t>
  </si>
  <si>
    <t>Силин Дмитрий Симонович</t>
  </si>
  <si>
    <t>Исаев Антон Николаевич</t>
  </si>
  <si>
    <t>Управляющая компания ТАНГОДА, ООО</t>
  </si>
  <si>
    <t>Левин Кирилл Геннадьевич</t>
  </si>
  <si>
    <t>Мухамедшина Рима Жамиловна</t>
  </si>
  <si>
    <t>Зенин Евгений Владимирович</t>
  </si>
  <si>
    <t>Шарапутдинов Музгар Курбанович</t>
  </si>
  <si>
    <t>Деревянко Виктор Иванович</t>
  </si>
  <si>
    <t>Лысачев Михаил Николаевич</t>
  </si>
  <si>
    <t>Давыдова Мария Сергеевна</t>
  </si>
  <si>
    <t>Лавриков Сергей Николаевич</t>
  </si>
  <si>
    <t>Никольский Евгений</t>
  </si>
  <si>
    <t>Хэ Синьчэн</t>
  </si>
  <si>
    <t>Петрова Светлана Юрьевна</t>
  </si>
  <si>
    <t>Киселев Станислав Владимирович</t>
  </si>
  <si>
    <t>Ерёмин Геннадий Иванович</t>
  </si>
  <si>
    <t>Шадрин Павел Юрьевич</t>
  </si>
  <si>
    <t>Кремнев Антон Юрьевич</t>
  </si>
  <si>
    <t>Начаркин Виталий Александрович</t>
  </si>
  <si>
    <t>Тсифетакис Стилианос</t>
  </si>
  <si>
    <t>Дьячков Виктор Васильевич</t>
  </si>
  <si>
    <t>Ференци Бела</t>
  </si>
  <si>
    <t>Легезина Елена Николаевна</t>
  </si>
  <si>
    <t>Губанов Дмитрий Николаевич</t>
  </si>
  <si>
    <t>Новикова Анастасия Михайловна</t>
  </si>
  <si>
    <t>Чжан Шоухэ</t>
  </si>
  <si>
    <t>Парсад Сингх Шаши Шанкар</t>
  </si>
  <si>
    <t>Шерак Роберт Джон</t>
  </si>
  <si>
    <t>Семенов Алексей Валерьевич</t>
  </si>
  <si>
    <t>Мовчан Ирина Викторовна</t>
  </si>
  <si>
    <t>Погодина Екатерина Борисовна</t>
  </si>
  <si>
    <t>Любицкий Владимир Алексеевич</t>
  </si>
  <si>
    <t>Крапивин Виктор Александрович</t>
  </si>
  <si>
    <t>Иванов Алексей Владимирович</t>
  </si>
  <si>
    <t>Борисов Евгений Александрович</t>
  </si>
  <si>
    <t>Барабаш Алексей Владимирович</t>
  </si>
  <si>
    <t>Сердюк Виктор Александрович</t>
  </si>
  <si>
    <t>Евстратов Владимир Викторович</t>
  </si>
  <si>
    <t>Матело Светлана Константиновна</t>
  </si>
  <si>
    <t>Рощупкин Олег Митрофанович</t>
  </si>
  <si>
    <t>Вишневский Александр Андреевич</t>
  </si>
  <si>
    <t>Агеев Владимир Альбертович</t>
  </si>
  <si>
    <t>Кузьмин Сергей Васильевич</t>
  </si>
  <si>
    <t>Раздумина Анна Борисовна</t>
  </si>
  <si>
    <t>Мехтиев Тимур Этибарович</t>
  </si>
  <si>
    <t>Управляющая компания ДИКСИ ГРУПП, АО</t>
  </si>
  <si>
    <t>Михновец Алла Васильевна</t>
  </si>
  <si>
    <t>Михайлин Сергей Михайлович</t>
  </si>
  <si>
    <t>Пянковский Роман</t>
  </si>
  <si>
    <t>Борзов Константин Владимирович</t>
  </si>
  <si>
    <t>Нигмедзянов Ильдар Владимирович</t>
  </si>
  <si>
    <t>Кудинов Александр Викторович</t>
  </si>
  <si>
    <t>Доронин Василий Геннадьевич</t>
  </si>
  <si>
    <t>Осина Екатерина Борисовна</t>
  </si>
  <si>
    <t>Калман Елена Васильевна</t>
  </si>
  <si>
    <t>Тазиев Дамир Мулланурович</t>
  </si>
  <si>
    <t>Баданов Булат Юрьевич</t>
  </si>
  <si>
    <t>Родный Юрий Алексеевич</t>
  </si>
  <si>
    <t>Шамои Асад Фероевич</t>
  </si>
  <si>
    <t>Рыбка Денис Георгиевич</t>
  </si>
  <si>
    <t>Саляхов Рамиль Наилевич</t>
  </si>
  <si>
    <t>Осташко Владимир Яковлевич</t>
  </si>
  <si>
    <t>Дурглишвили Валерий Владимирович</t>
  </si>
  <si>
    <t>Колпашников Дмитрий Николаевич</t>
  </si>
  <si>
    <t>Лашкевич Александр Александрович</t>
  </si>
  <si>
    <t>Истратий Андрей Владимирович</t>
  </si>
  <si>
    <t>Лихачёва Любовь Викторовна</t>
  </si>
  <si>
    <t>Воронкевич Алексей Павлович</t>
  </si>
  <si>
    <t>Любимский Александр Георгиевич</t>
  </si>
  <si>
    <t>Обухова Татьяна Львовна</t>
  </si>
  <si>
    <t>Оганисян Гагик Оганесович</t>
  </si>
  <si>
    <t>Семянников Сергей Геннадьевич</t>
  </si>
  <si>
    <t>Гутиев Батраз Владимирович</t>
  </si>
  <si>
    <t>Колин Владимир Васильевич</t>
  </si>
  <si>
    <t>Копылов Николай Анатольевич</t>
  </si>
  <si>
    <t>Дёмкина Татьяна Николаевна</t>
  </si>
  <si>
    <t>Арустамов Владимир Ромеович</t>
  </si>
  <si>
    <t>Петелин Андрей Алексеевич</t>
  </si>
  <si>
    <t>Гайдуцкий Юрий Михайлович</t>
  </si>
  <si>
    <t>Управляющая компания УК РОСТ, ООО</t>
  </si>
  <si>
    <t>Дьяков Андрей Павлович</t>
  </si>
  <si>
    <t>Корнилова Екатерина Александровна</t>
  </si>
  <si>
    <t>Крапивина Евгения Александровна</t>
  </si>
  <si>
    <t>Управляющая компания ДОМ.РФ УПРАВЛЕНИЕ АКТИВАМИ, ООО</t>
  </si>
  <si>
    <t>Зайонц Александр Леонидович</t>
  </si>
  <si>
    <t>Перов Павел Валерьевич</t>
  </si>
  <si>
    <t>Лейпи Алексей Федорович</t>
  </si>
  <si>
    <t>Сорокин Владимир Леонидович</t>
  </si>
  <si>
    <t>Павлов Андрей Николаевич</t>
  </si>
  <si>
    <t>Григорян Эдгар Грачикович</t>
  </si>
  <si>
    <t>Варданян Рафаэль Смбатович</t>
  </si>
  <si>
    <t>Черепков Илья Валерьевич</t>
  </si>
  <si>
    <t>Зайналабдиев Умар Саидович</t>
  </si>
  <si>
    <t>Иванов Владимир Юрьевич</t>
  </si>
  <si>
    <t>Герасименко Олег Александрович</t>
  </si>
  <si>
    <t>Старков Алексей Константинович</t>
  </si>
  <si>
    <t>Управляющая компания О КЕЙ МЕНЕДЖМЕНТ, ООО</t>
  </si>
  <si>
    <t>Сасикова Мадина Хасановна</t>
  </si>
  <si>
    <t>Малышев Валерий Георгиевич</t>
  </si>
  <si>
    <t>Слюсарь Александр Алексеевич</t>
  </si>
  <si>
    <t>Максимов Дмитрий Анатольевич</t>
  </si>
  <si>
    <t>Пинчук Антон Геннадьевич</t>
  </si>
  <si>
    <t>Никитин Сергей Владимирович</t>
  </si>
  <si>
    <t>Пашкевич Александр Иванович</t>
  </si>
  <si>
    <t>Руденко Игорь Николаевич</t>
  </si>
  <si>
    <t>Снурницын Сергей Дмитриевич</t>
  </si>
  <si>
    <t>Резниченко Александр Александрович</t>
  </si>
  <si>
    <t>Бружев Ауес Даутович</t>
  </si>
  <si>
    <t>Хабаху Аскер Гиссович</t>
  </si>
  <si>
    <t>Гилимьянов Дмитрий Маратович</t>
  </si>
  <si>
    <t>Чичёв Виталий Владимирович</t>
  </si>
  <si>
    <t>Сердюк Николай Григорьевич</t>
  </si>
  <si>
    <t>Бабаян Айк Сашаевич</t>
  </si>
  <si>
    <t>Ким Хенву</t>
  </si>
  <si>
    <t>Хван Чжэ Хо</t>
  </si>
  <si>
    <t>Ким Тэго</t>
  </si>
  <si>
    <t>Семина Татьяна Олеговна</t>
  </si>
  <si>
    <t>Новичкова Наталья Павловна</t>
  </si>
  <si>
    <t>Преферансов Александр Геннадьевич</t>
  </si>
  <si>
    <t>Караваев Юрий Александрович</t>
  </si>
  <si>
    <t>Ярыгин Денис Валерьевич</t>
  </si>
  <si>
    <t>Советкин Дмитрий Владиславович</t>
  </si>
  <si>
    <t>Глухов Владислав Викторович</t>
  </si>
  <si>
    <t>Малышев Виктор Георгиевич</t>
  </si>
  <si>
    <t>Павлов Андрей Георгиевич</t>
  </si>
  <si>
    <t>Котов Андрей Андреевич</t>
  </si>
  <si>
    <t>Бакай Александр Васильевич</t>
  </si>
  <si>
    <t>Балашов Павел Анатольевич</t>
  </si>
  <si>
    <t>Токарев Игорь Валерьевич</t>
  </si>
  <si>
    <t>Джарим Адам Шахметович</t>
  </si>
  <si>
    <t>Данякин Павел Николаевич</t>
  </si>
  <si>
    <t>Игнатьев Николай Борисович</t>
  </si>
  <si>
    <t>Бабкин Дмитрий Александрович</t>
  </si>
  <si>
    <t>Лю Цзинь</t>
  </si>
  <si>
    <t>Управляющая компания ДОНСТРОЙ, ООО</t>
  </si>
  <si>
    <t>Жовницкий Альберт Васильевич</t>
  </si>
  <si>
    <t>Смирнов Роман Сергеевич</t>
  </si>
  <si>
    <t>Андреев Алексей Владимирович</t>
  </si>
  <si>
    <t>Голубев Сергей Васильевич</t>
  </si>
  <si>
    <t>Чугайнов Андрей Николаевич</t>
  </si>
  <si>
    <t>Управляющая компания ПЕРВЫЙ ДСК, ООО</t>
  </si>
  <si>
    <t>Теняев Александр Александрович</t>
  </si>
  <si>
    <t>Олейник Игорь Валерьевич</t>
  </si>
  <si>
    <t>Карякин Валерий Юрьевич</t>
  </si>
  <si>
    <t>Зудин Роман Владимирович</t>
  </si>
  <si>
    <t>Немков Алексей Николаевич</t>
  </si>
  <si>
    <t>Сорокин Дмитрий Игоревич</t>
  </si>
  <si>
    <t>Балаев Вячеслав Александрович</t>
  </si>
  <si>
    <t>Дорошенко Милана Андреевна</t>
  </si>
  <si>
    <t>Быков Сергей Вениаминович</t>
  </si>
  <si>
    <t>Максимова Оксана Николаевна</t>
  </si>
  <si>
    <t>Лукьянов Денис Викторович</t>
  </si>
  <si>
    <t>Лобов Денис Сергеевич</t>
  </si>
  <si>
    <t>Головач Андрей Андреевич</t>
  </si>
  <si>
    <t>Мишин Дмитрий Васильевич</t>
  </si>
  <si>
    <t>Антонов Владимир Федорович</t>
  </si>
  <si>
    <t>Лебедев Виталий Владимирович</t>
  </si>
  <si>
    <t>Савинов Евгений Александрович</t>
  </si>
  <si>
    <t>Бочкова Наталья Борисовна</t>
  </si>
  <si>
    <t>Жарков Дмитрий Алексеевич</t>
  </si>
  <si>
    <t>Тимашов Роман Валерьевич</t>
  </si>
  <si>
    <t>Дуда Егор Анатольевич</t>
  </si>
  <si>
    <t>Управляющая компания ЭСК РУСГИДРО, АО</t>
  </si>
  <si>
    <t>Герасимов Николай Михайлович</t>
  </si>
  <si>
    <t>Зотов Павел Александрович</t>
  </si>
  <si>
    <t>Баженов Павел Львович</t>
  </si>
  <si>
    <t>Меркулов Сергей Владимирович</t>
  </si>
  <si>
    <t>Ковалев Алексей Викторович</t>
  </si>
  <si>
    <t>Хардиков Михаил Юрьевич</t>
  </si>
  <si>
    <t>Невмержицкий Виктор Леонидович</t>
  </si>
  <si>
    <t>Коротаев Юрий Евгеньевич</t>
  </si>
  <si>
    <t>Кузнецов Валерий Михайлович</t>
  </si>
  <si>
    <t>Арбузов Евгений Вадимович</t>
  </si>
  <si>
    <t>Беляков Алексей Георгиевич</t>
  </si>
  <si>
    <t>Перелетов Валерьян Валентинович</t>
  </si>
  <si>
    <t>Петрюченко Алексей Николаевич</t>
  </si>
  <si>
    <t>Управляющая компания ЕВРАЗ, ООО</t>
  </si>
  <si>
    <t>Береза Наталия Викторовна</t>
  </si>
  <si>
    <t>Беденко Максим Юрьевич</t>
  </si>
  <si>
    <t>Иванов Алексей Александрович</t>
  </si>
  <si>
    <t>Прокофьева Елена Викторовна</t>
  </si>
  <si>
    <t>Молокитин Виктор Андреевич</t>
  </si>
  <si>
    <t>Бабченко Роман Васильевич</t>
  </si>
  <si>
    <t>Беспалов Илья Николаевич</t>
  </si>
  <si>
    <t>Горный Виталий Владимирович</t>
  </si>
  <si>
    <t>Павлова Натэлла Феликсовна</t>
  </si>
  <si>
    <t>Тонких Андрей Витальевич</t>
  </si>
  <si>
    <t>Бобров Евгений Сергеевич</t>
  </si>
  <si>
    <t>Борисенко Юрий Витальевич</t>
  </si>
  <si>
    <t>Гутченко Виталий Джанович</t>
  </si>
  <si>
    <t>Каюмов Рушан Мидхатович</t>
  </si>
  <si>
    <t>Козловский Игорь Валерьевич</t>
  </si>
  <si>
    <t>Богданов Николай Васильевич</t>
  </si>
  <si>
    <t>Федоров Дмитрий Сергеевич</t>
  </si>
  <si>
    <t>Сериков Дмитрий Викторович</t>
  </si>
  <si>
    <t>Мокаев Имам Эдуардович</t>
  </si>
  <si>
    <t>Шевелев Павел Владимирович</t>
  </si>
  <si>
    <t>Перевозчиков Александр Алексеевич</t>
  </si>
  <si>
    <t>Синегубов Борис Борисович</t>
  </si>
  <si>
    <t>Иванов Антон Павлович</t>
  </si>
  <si>
    <t>Мизюра Сергей Николаевич</t>
  </si>
  <si>
    <t>Владимцева Светлана Викторовна</t>
  </si>
  <si>
    <t>Кузьмин Павел Павлович</t>
  </si>
  <si>
    <t>Чунаев Лев Анатольевич</t>
  </si>
  <si>
    <t>Управляющая компания ЕВРОСИБ-АВТО-УК, АО</t>
  </si>
  <si>
    <t>Атемасов Иван Владимирович</t>
  </si>
  <si>
    <t>Гайсин Ильнар Ленарович</t>
  </si>
  <si>
    <t>Яковлев Игорь Анатольевич</t>
  </si>
  <si>
    <t>Казилов Владимир Александрович</t>
  </si>
  <si>
    <t>Смирнов Вадим Николаевич</t>
  </si>
  <si>
    <t>Старшинова Мария Анатольевна</t>
  </si>
  <si>
    <t>Алексеенков Олег Олегович</t>
  </si>
  <si>
    <t>Дьяченко Екатерина Владимировна</t>
  </si>
  <si>
    <t>Федотов Александр Геннадьевич</t>
  </si>
  <si>
    <t>Управляющая компания МХК ЕВРОХИМ, АО</t>
  </si>
  <si>
    <t>Ерошевич Евгений Николаевич</t>
  </si>
  <si>
    <t>Сорокин Сергей Викторович</t>
  </si>
  <si>
    <t>Грибов Евгений Анатольевич</t>
  </si>
  <si>
    <t>Беспалов Константин Викторович</t>
  </si>
  <si>
    <t>Урманов Анвар Фаритович</t>
  </si>
  <si>
    <t>Нигметзянов Марсель Ильшатович</t>
  </si>
  <si>
    <t>Ковалева Ольга Викторовна</t>
  </si>
  <si>
    <t>Артемасов Алексей Геннадьевич</t>
  </si>
  <si>
    <t>Управляющая компания УК ПРОДИМЕКС-САХАР, ООО</t>
  </si>
  <si>
    <t>Жданов Геннадий Владимирович</t>
  </si>
  <si>
    <t>Авдеев Михаил Борисович</t>
  </si>
  <si>
    <t>Лупинос Игорь Владимирович</t>
  </si>
  <si>
    <t>Управляющая компания МЕНЕДЖМЕНТ БУДУЩЕГО, ООО</t>
  </si>
  <si>
    <t>Сушков Алексей Игоревич</t>
  </si>
  <si>
    <t>Топорков Михаил Викторович</t>
  </si>
  <si>
    <t>Срабонянц Владимир Григорьевич</t>
  </si>
  <si>
    <t>Насыров Евгений Зинурович</t>
  </si>
  <si>
    <t>Цибин Сергей Владимирович</t>
  </si>
  <si>
    <t>Управляющая компания ПРОДУКТЫ ЕРМОЛИНО, АО</t>
  </si>
  <si>
    <t>Управляющая компания НОРНИКЕЛЬ-ЕРП, ООО</t>
  </si>
  <si>
    <t>Согласнова Наталья Сергеевна</t>
  </si>
  <si>
    <t>Ган Владимир Иванович</t>
  </si>
  <si>
    <t>Зуйков Игорь Валентинович</t>
  </si>
  <si>
    <t>Егоров Владислав Вадимович</t>
  </si>
  <si>
    <t>Управляющая компания Т ПЛЮС, ПАО</t>
  </si>
  <si>
    <t>Зубков Владимир Владимирович</t>
  </si>
  <si>
    <t>Ракчеев Сергей Юрьевич</t>
  </si>
  <si>
    <t>Школа Андрей Анатольевич</t>
  </si>
  <si>
    <t>Ткаченко Светлана Алексеевна</t>
  </si>
  <si>
    <t>Дудин Юрий Михайлович</t>
  </si>
  <si>
    <t>Кононов Константин Владимирович</t>
  </si>
  <si>
    <t>Меновщиков Константин Владимирович</t>
  </si>
  <si>
    <t>Стенин Павел Васильевич</t>
  </si>
  <si>
    <t>Стюнякова Инна Владимировна</t>
  </si>
  <si>
    <t>Маврин Александр Николаевич</t>
  </si>
  <si>
    <t>Исмаилзадэ Вусал Махмуд Оглы</t>
  </si>
  <si>
    <t>Управляющая компания УК ЖЕЛДОРЭКСПЕДИЦИЯ, ООО</t>
  </si>
  <si>
    <t>Селедкова Валерия Борисовна</t>
  </si>
  <si>
    <t>Воробьев Олег Васильевич</t>
  </si>
  <si>
    <t>Яук Владимир Владимирович</t>
  </si>
  <si>
    <t>Гатилов Юрий Александрович</t>
  </si>
  <si>
    <t>Никулин Максим Сергеевич</t>
  </si>
  <si>
    <t>Корой Наталья Евгеньевна</t>
  </si>
  <si>
    <t>Чикачев Виталий Семенович</t>
  </si>
  <si>
    <t>Чекотун Богдан Олегович</t>
  </si>
  <si>
    <t>Торощин Сергей Леонидович</t>
  </si>
  <si>
    <t>Деревякина Надежда Александровна</t>
  </si>
  <si>
    <t>Булах Сергей Витальевич</t>
  </si>
  <si>
    <t>Управляющая компания УК ФЛАГМАН, ООО</t>
  </si>
  <si>
    <t>Владимиров Сергей Леонтьевич</t>
  </si>
  <si>
    <t>Соловьева Ольга Александровна</t>
  </si>
  <si>
    <t>Полежаев Юрий Михайлович</t>
  </si>
  <si>
    <t>Кудрявцев Дмитрий Борисович</t>
  </si>
  <si>
    <t>Першин Михаил Николаевич</t>
  </si>
  <si>
    <t>Спиряков Евгений Евгеньевич</t>
  </si>
  <si>
    <t>Ключников Валерий Николаевич</t>
  </si>
  <si>
    <t>Владимиров Олег Валерьевич</t>
  </si>
  <si>
    <t>Парамонов Юрий Николаевич</t>
  </si>
  <si>
    <t>Слуцкая Татьяна Геннадьевна</t>
  </si>
  <si>
    <t>Балановский Алексей Георгиевич</t>
  </si>
  <si>
    <t>Макаров Георгий Владимирович</t>
  </si>
  <si>
    <t>Медведев Андрей Евгеньевич</t>
  </si>
  <si>
    <t>Пиянзин Сергей Валентинович</t>
  </si>
  <si>
    <t>Ткачев Василий Владимирович</t>
  </si>
  <si>
    <t>Шустов Владимир Анатольевич</t>
  </si>
  <si>
    <t>Рындин Дмитрий Николаевич</t>
  </si>
  <si>
    <t>Колядов Дмитрий Николаевич</t>
  </si>
  <si>
    <t>Стоянова Елена Юрьевна</t>
  </si>
  <si>
    <t>Брязгунов Игорь Владимирович</t>
  </si>
  <si>
    <t>Гордеев Максим Сергеевич</t>
  </si>
  <si>
    <t>Львов Андрей Геннадьевич</t>
  </si>
  <si>
    <t>Зайцев Анатолий Иванович</t>
  </si>
  <si>
    <t>Кириллов Владимир Владимирович</t>
  </si>
  <si>
    <t>Семенов Иван Николаевич</t>
  </si>
  <si>
    <t>Андреев Андрей Сергеевич</t>
  </si>
  <si>
    <t>Сливкин Игорь Викторович</t>
  </si>
  <si>
    <t>Баглык Андрей Васильевич</t>
  </si>
  <si>
    <t>Пшестанчик Павел Спартакович</t>
  </si>
  <si>
    <t>Ликольд Алексей Евграфович</t>
  </si>
  <si>
    <t>Ниценко Сергей Георгиевич</t>
  </si>
  <si>
    <t>Попов Игорь Владимирович</t>
  </si>
  <si>
    <t>Тимофеев Александр Евгеньевич</t>
  </si>
  <si>
    <t>Кудряшов Сергей Иванович</t>
  </si>
  <si>
    <t>Сидоров Игорь Николаевич</t>
  </si>
  <si>
    <t>Цыденов Андрей Геннадьевич</t>
  </si>
  <si>
    <t>Егоров Владимир Олегович</t>
  </si>
  <si>
    <t>Рыжкин Валерий Викторович</t>
  </si>
  <si>
    <t>Казанкова Наталия Ивановна</t>
  </si>
  <si>
    <t>Казанков Иван Иванович</t>
  </si>
  <si>
    <t>Фильчагов Дмитрий Валерьевич</t>
  </si>
  <si>
    <t>Попова Виктория Викторовна</t>
  </si>
  <si>
    <t>Слепов Юрий Васильевич</t>
  </si>
  <si>
    <t>Автаев Игорь Владимирович</t>
  </si>
  <si>
    <t>Русанова Елена Петровна</t>
  </si>
  <si>
    <t>Шмидт Дмитрий Александрович</t>
  </si>
  <si>
    <t>Никулин Дмитрий Игоревич</t>
  </si>
  <si>
    <t>Хартенштайн Аксель Дитер</t>
  </si>
  <si>
    <t>Василян Саркис Тельманович</t>
  </si>
  <si>
    <t>Сорванов Дмитрий Геннадиевич</t>
  </si>
  <si>
    <t>Романов Андрей Евгеньевич</t>
  </si>
  <si>
    <t>Бровко Сергей Сергеевич</t>
  </si>
  <si>
    <t>Литвинов Владимир Анатольевич</t>
  </si>
  <si>
    <t>Виноградов Александр Валерьевич</t>
  </si>
  <si>
    <t>Миталимов Тарлан Таджатинович</t>
  </si>
  <si>
    <t>Едуш Алексей Михайлович</t>
  </si>
  <si>
    <t>Управляющая компания УК НАЦИОНАЛЬ, ООО</t>
  </si>
  <si>
    <t>Алешникова Валентина Васильевна</t>
  </si>
  <si>
    <t>Гвоздев Дмитрий Владимирович</t>
  </si>
  <si>
    <t>Манукян Ваагн Хачикович</t>
  </si>
  <si>
    <t>Зюзя Сергей Юрьевич</t>
  </si>
  <si>
    <t>Сдобнов Максим Николаевич</t>
  </si>
  <si>
    <t>Сафонов Николай Викторович</t>
  </si>
  <si>
    <t>Клейбанов Михаил Семенович</t>
  </si>
  <si>
    <t>Тавлинцев Михаил Геннадиевич</t>
  </si>
  <si>
    <t>Винокуров Олег Евгеньевич</t>
  </si>
  <si>
    <t>Управляющая компания ПОЛИМЕТАЛЛ УК, АО</t>
  </si>
  <si>
    <t>Уразаев Марат Рифатович</t>
  </si>
  <si>
    <t>Стебаев Сергей Владимирович</t>
  </si>
  <si>
    <t>Лукьянченко Александр Альбертович</t>
  </si>
  <si>
    <t>Ефремов Николай Борисович</t>
  </si>
  <si>
    <t>Белошицкий Евгений Алексеевич</t>
  </si>
  <si>
    <t>Двойных Олег Валерьевич</t>
  </si>
  <si>
    <t>Галиев Ауфар Зуфарович</t>
  </si>
  <si>
    <t>Столбун Максим Леонидович</t>
  </si>
  <si>
    <t>Родин Александр Анатольевич</t>
  </si>
  <si>
    <t>Курбанов Роберт Борисович</t>
  </si>
  <si>
    <t>Исмагилов Азамат Фаритович</t>
  </si>
  <si>
    <t>Климова Елена Николаевна</t>
  </si>
  <si>
    <t>Галкин Леонид Андреевич</t>
  </si>
  <si>
    <t>Любушкин Роман Викторович</t>
  </si>
  <si>
    <t>Лебедев Александр Алексеевич</t>
  </si>
  <si>
    <t>Попов Алексей Юрьевич</t>
  </si>
  <si>
    <t>Шевелев Евгений Климентьевич</t>
  </si>
  <si>
    <t>Барабанов Дмитрий Николаевич</t>
  </si>
  <si>
    <t>Балыков Борис Борисович</t>
  </si>
  <si>
    <t>Татаринов Сергей Михайлович</t>
  </si>
  <si>
    <t>Попов Юрий Александрович</t>
  </si>
  <si>
    <t>Тувальбаев Булат Гарифович</t>
  </si>
  <si>
    <t>Чемеренко Евгения Юрьевна</t>
  </si>
  <si>
    <t>Лемешев Константин Валерьевич</t>
  </si>
  <si>
    <t>Рыбачев Сергей Викторович</t>
  </si>
  <si>
    <t>Фахретдинов Раиль Камилович</t>
  </si>
  <si>
    <t>Соколов Андрей Валентинович</t>
  </si>
  <si>
    <t>Околота Сергей Георгиевич</t>
  </si>
  <si>
    <t>Кононов Виктор Николаевич</t>
  </si>
  <si>
    <t>Попов Максим Геннадьевич</t>
  </si>
  <si>
    <t>Оганесян Гамлет Маратович</t>
  </si>
  <si>
    <t>Оганесян Айк Маратович</t>
  </si>
  <si>
    <t>Гнатко Сергей Андреевич</t>
  </si>
  <si>
    <t>Бабаев Азер Кахраман Оглы</t>
  </si>
  <si>
    <t>Байло Илья Александрович</t>
  </si>
  <si>
    <t>Лю Ина</t>
  </si>
  <si>
    <t>Татошвили Майя Владимировна</t>
  </si>
  <si>
    <t>Грусовский Яков Вячеславович</t>
  </si>
  <si>
    <t>Управляющая компания УК РИАЛВЕБ, ООО</t>
  </si>
  <si>
    <t>Коротаев Алексей Михайлович</t>
  </si>
  <si>
    <t>Эйделанд Павел Вадимович</t>
  </si>
  <si>
    <t>Забежинский Леонид Вениаминович</t>
  </si>
  <si>
    <t>Кочаров Григорий Ованесович</t>
  </si>
  <si>
    <t>Воробьёв Сергей Александрович</t>
  </si>
  <si>
    <t>Дюшоссуа Филипп, Кристиан, Жан, Рене</t>
  </si>
  <si>
    <t>Митрофанов Андрей Сергеевич</t>
  </si>
  <si>
    <t>Науман Эдуард Ленарович</t>
  </si>
  <si>
    <t>Васильков Николай Александрович</t>
  </si>
  <si>
    <t>Смирнова Наталья Михайловна</t>
  </si>
  <si>
    <t>Кебадзе Александр Сергеевич</t>
  </si>
  <si>
    <t>Дудко Юрий Владимирович</t>
  </si>
  <si>
    <t>Жаданов Александр Николаевич</t>
  </si>
  <si>
    <t>Синельников Александр Сергеевич</t>
  </si>
  <si>
    <t>Управляющая компания РИМЕРА, АО</t>
  </si>
  <si>
    <t>Управляющая компания ИТМ, ЗАО УК</t>
  </si>
  <si>
    <t>Перевозчиков Сергей Валерьевич</t>
  </si>
  <si>
    <t>Манаенкова Людмила Ильинична</t>
  </si>
  <si>
    <t>Горская Татьяна Владимировна</t>
  </si>
  <si>
    <t>Шалай Святослав Геннадьевич</t>
  </si>
  <si>
    <t>Гришков Павел Анатольевич</t>
  </si>
  <si>
    <t>Климишин Дмитрий Александрович</t>
  </si>
  <si>
    <t>Капьев Евгений Викторович</t>
  </si>
  <si>
    <t>Смышляев Михаил Владимирович</t>
  </si>
  <si>
    <t>Немод Павел Даниелович</t>
  </si>
  <si>
    <t>Управляющая компания ПАРАДИГМА-ФИНАНС, ООО</t>
  </si>
  <si>
    <t>Швец Максим Георгиевич</t>
  </si>
  <si>
    <t>Тухтаева Джаннат Рахматуллаевна</t>
  </si>
  <si>
    <t>Вергасов Рустам Равильевич</t>
  </si>
  <si>
    <t>Ханссон Пер Йоран Ингемар</t>
  </si>
  <si>
    <t>Борисик Александр Павлович</t>
  </si>
  <si>
    <t>Попов Андрей Михайлович</t>
  </si>
  <si>
    <t>Управляющая компания ИКС, ООО</t>
  </si>
  <si>
    <t>Пипко Андрей Григорьевич</t>
  </si>
  <si>
    <t>Аксенов Андрей Игоревич</t>
  </si>
  <si>
    <t>Корнева Надежда Николаевна</t>
  </si>
  <si>
    <t>Будылин Владимир Константинович</t>
  </si>
  <si>
    <t>Белобров Александр Иванович</t>
  </si>
  <si>
    <t>Управляющая компания ГРУППА ИЛИМ, АО</t>
  </si>
  <si>
    <t>Советников Александр Александрович</t>
  </si>
  <si>
    <t>Ярыгина Ирина Рудольфовна</t>
  </si>
  <si>
    <t>Владимиров Юрий Михайлович</t>
  </si>
  <si>
    <t>Гущина Ирина Андреевна</t>
  </si>
  <si>
    <t>Дроздов Евгений Николаевич</t>
  </si>
  <si>
    <t>Тарусов Сергей Борисович</t>
  </si>
  <si>
    <t>Пойденко Виталий Сергеевич</t>
  </si>
  <si>
    <t>Осипова Вероника Викторовна</t>
  </si>
  <si>
    <t>Курилов Илья Николаевич</t>
  </si>
  <si>
    <t>Бугаев Владимир Васильевич</t>
  </si>
  <si>
    <t>Акулова Ольга Владимировна</t>
  </si>
  <si>
    <t>Кацанов Алексей Владимирович</t>
  </si>
  <si>
    <t>Управляющая компания ИНГКА СЕНТЕРС РУС ОПЕРЭЙШН, ООО</t>
  </si>
  <si>
    <t>Чеканова Валентина Геннадьевна</t>
  </si>
  <si>
    <t>Бирюков Евгений Викторович</t>
  </si>
  <si>
    <t>Спиридонов Владимир Николаевич</t>
  </si>
  <si>
    <t>Черноиванов Игорь Иванович</t>
  </si>
  <si>
    <t>Кулик Виктор Николаевич</t>
  </si>
  <si>
    <t>Трофимова Софья Юрьевна</t>
  </si>
  <si>
    <t>Чернявский Виталий Валерьевич</t>
  </si>
  <si>
    <t>Помухин Михаил Викторович</t>
  </si>
  <si>
    <t>Михалев Валерий Васильевич</t>
  </si>
  <si>
    <t>Брянцев Дмитрий Васильевич</t>
  </si>
  <si>
    <t>Терехов Роман Викторович</t>
  </si>
  <si>
    <t>Управляющая компания УПРАВЛЯЮЩАЯ КОМПАНИЯ ЦЕНТР СИТИ, АО</t>
  </si>
  <si>
    <t>Мельников Дмитрий Николаевич</t>
  </si>
  <si>
    <t>Комаров Андрей Иванович</t>
  </si>
  <si>
    <t>Татлыев Роберт Рушанович</t>
  </si>
  <si>
    <t>Сиротин Валерий Викторович</t>
  </si>
  <si>
    <t>Соснов Илья Геннадьевич</t>
  </si>
  <si>
    <t>Геринг Андрей Андреевич</t>
  </si>
  <si>
    <t>Шемаханов Андрей Юрьевич</t>
  </si>
  <si>
    <t>Терских Сергей Анатольевич</t>
  </si>
  <si>
    <t>Сунгуров Алексей Николаевич</t>
  </si>
  <si>
    <t>Сизиков Артем Александрович</t>
  </si>
  <si>
    <t>Смирнов Сергей Анатольевич</t>
  </si>
  <si>
    <t>Оробинский Сергей Александрович</t>
  </si>
  <si>
    <t>Королев Андрей Владимирович</t>
  </si>
  <si>
    <t>Небараков Владимир Юрьевич</t>
  </si>
  <si>
    <t>Ханмамедов Эмиль Рамизович</t>
  </si>
  <si>
    <t>Бабин Павел Владимирович</t>
  </si>
  <si>
    <t>Ибрагимов Павел Мидехатович</t>
  </si>
  <si>
    <t>Садовский Олег Владимирович</t>
  </si>
  <si>
    <t>Никитин Василий Геннадьевич</t>
  </si>
  <si>
    <t>Федотовский Александр Борисович</t>
  </si>
  <si>
    <t>Трунов Сергей Александрович</t>
  </si>
  <si>
    <t>Чернер Елена Леонидовна</t>
  </si>
  <si>
    <t>Островский Александр Юрьевич</t>
  </si>
  <si>
    <t>Пелевин Сергей Викторович</t>
  </si>
  <si>
    <t>Хамидулин Александр Сергеевич</t>
  </si>
  <si>
    <t>Потлов Даниил Анатольевич</t>
  </si>
  <si>
    <t>Сичевой Константин Михайлович</t>
  </si>
  <si>
    <t>Чекрыжов Павел Александрович</t>
  </si>
  <si>
    <t>Качура Сергей Анатольевич</t>
  </si>
  <si>
    <t>Тайг Андрей Радомирович</t>
  </si>
  <si>
    <t>Дедикин Александр Алексеевич</t>
  </si>
  <si>
    <t>Плешанов Михаил Владимирович</t>
  </si>
  <si>
    <t>Крылов Виктор Николаевич</t>
  </si>
  <si>
    <t>Круглов Дмитрий Александрович</t>
  </si>
  <si>
    <t>Скопинцев Александр Николаевич</t>
  </si>
  <si>
    <t>Суворкин Андрей Виталиевич</t>
  </si>
  <si>
    <t>Самаркин-Джарский Константин Геннадьевич</t>
  </si>
  <si>
    <t>Новосёлова Анна Викторовна</t>
  </si>
  <si>
    <t>Дурнаев Евгений Анатольевич</t>
  </si>
  <si>
    <t>Лукьянов Алексей Сергеевич</t>
  </si>
  <si>
    <t>Дорошенко Александр Николаевич</t>
  </si>
  <si>
    <t>Аксенов Александр Викторович</t>
  </si>
  <si>
    <t>Остудин Владимир Николаевич</t>
  </si>
  <si>
    <t>Гусаков Сергей Игоревич</t>
  </si>
  <si>
    <t>Акбаров Давронбек Джаббаралиевич</t>
  </si>
  <si>
    <t>Рапопорт Ефим Фульевич</t>
  </si>
  <si>
    <t>Козлов Игорь Игоревич</t>
  </si>
  <si>
    <t>Неёлов Николай Валентинович</t>
  </si>
  <si>
    <t>Ромашкин Алексей Иванович</t>
  </si>
  <si>
    <t>Петров Евгений Анатольевич</t>
  </si>
  <si>
    <t>Собко Геннадий Эдуардович</t>
  </si>
  <si>
    <t>Мохамед Али Вуада Хуссейнович</t>
  </si>
  <si>
    <t>Синявин Андрей Станиславович</t>
  </si>
  <si>
    <t>Грознов Антон Викторович</t>
  </si>
  <si>
    <t>Федоров Сергей Александрович</t>
  </si>
  <si>
    <t>Губарев Олег Владимирович</t>
  </si>
  <si>
    <t>Коробов Илья Владимирович</t>
  </si>
  <si>
    <t>Зарипов Дмитрий Фаритович</t>
  </si>
  <si>
    <t>Садчиков Антон Анатольевич</t>
  </si>
  <si>
    <t>Наумова Наталия Сергеевна</t>
  </si>
  <si>
    <t>Пермяков Игорь Германович</t>
  </si>
  <si>
    <t>Чинбаев Ильдар Аллямович</t>
  </si>
  <si>
    <t>Максимов Андрей Валерьевич</t>
  </si>
  <si>
    <t>Глухов Павел Анатольевич</t>
  </si>
  <si>
    <t>Акинчиц Надежда Владимировна</t>
  </si>
  <si>
    <t>Вартомо Александр Ахмадиевич</t>
  </si>
  <si>
    <t>Рутман Илья Юрьевич</t>
  </si>
  <si>
    <t>Черкесов Рустам Хасанович</t>
  </si>
  <si>
    <t>Царев Михаил Владимирович</t>
  </si>
  <si>
    <t>Килейников Юрий Анатольевич</t>
  </si>
  <si>
    <t>Кипкаев Павел Валентинович</t>
  </si>
  <si>
    <t>Управляющая компания ИНТЕГРА МЕНЕДЖМЕНТ, ООО</t>
  </si>
  <si>
    <t>Когут Владислав Николаевич</t>
  </si>
  <si>
    <t>Ким Сергей Романович</t>
  </si>
  <si>
    <t>Багашев Шамиль Хадитович</t>
  </si>
  <si>
    <t>Малунов Николай Сергеевич</t>
  </si>
  <si>
    <t>Лебедев Геннадий Викторович</t>
  </si>
  <si>
    <t>Иванов Павел Валерьевич</t>
  </si>
  <si>
    <t>Ворсин Владимир Петрович</t>
  </si>
  <si>
    <t>Ковальчук Борис Юрьевич</t>
  </si>
  <si>
    <t>Карамышев Антон Владимирович</t>
  </si>
  <si>
    <t>Валов Александр Григорьевич</t>
  </si>
  <si>
    <t>Управляющая компания ИНТЕР РАО-УПРАВЛЕНИЕ ЭЛЕКТРОГЕНЕРАЦИЕЙ, ООО</t>
  </si>
  <si>
    <t>Мочалов Валентин Александрович</t>
  </si>
  <si>
    <t>Комаров Дмитрий Юрьевич</t>
  </si>
  <si>
    <t>Семченков Константин Александрович</t>
  </si>
  <si>
    <t>Кормановский Владимир Витальевич</t>
  </si>
  <si>
    <t>Энгстром Ян Хуго</t>
  </si>
  <si>
    <t>Турашев Сергей Николаевич</t>
  </si>
  <si>
    <t>Горин Павел Алексеевич</t>
  </si>
  <si>
    <t>Кудрявцев Станислав Евгеньевич</t>
  </si>
  <si>
    <t>Абуталиев Фархад Фарадеевич</t>
  </si>
  <si>
    <t>Савинов Сергей Анатольевич</t>
  </si>
  <si>
    <t>Уколов Дмитрий Яковлевич</t>
  </si>
  <si>
    <t>Балашев Игорь Владимирович</t>
  </si>
  <si>
    <t>Гейль Александр Владимирович</t>
  </si>
  <si>
    <t>Хафизулин Артур Хатымович</t>
  </si>
  <si>
    <t>Кожанов Алексей Сергеевич</t>
  </si>
  <si>
    <t>Белозоров Алексей Викторович</t>
  </si>
  <si>
    <t>Середенин Олег Валерьевич</t>
  </si>
  <si>
    <t>Смирнов Сергей Юрьевич</t>
  </si>
  <si>
    <t>Атаев Сергей Викторович</t>
  </si>
  <si>
    <t>Кашка Сергей Викторович</t>
  </si>
  <si>
    <t>Федуров Виталий Валерьевич</t>
  </si>
  <si>
    <t>Тряпко Алексей Валериевич</t>
  </si>
  <si>
    <t>Бабяк Владимир Владимирович</t>
  </si>
  <si>
    <t>Комиссар Михаил Витальевич</t>
  </si>
  <si>
    <t>Иванов Сергей Александрович</t>
  </si>
  <si>
    <t>Смирнов Родион Олегович</t>
  </si>
  <si>
    <t>Колпаков Александр Викторович</t>
  </si>
  <si>
    <t>Завгородний Алексей Валерьевич</t>
  </si>
  <si>
    <t>Анохин Дмитрий Викторович</t>
  </si>
  <si>
    <t>Поляков Дмитрий Владимирович</t>
  </si>
  <si>
    <t>Ханенко Александр Владимирович</t>
  </si>
  <si>
    <t>Островский Артем Михайлович</t>
  </si>
  <si>
    <t>Бойко Антон Александрович</t>
  </si>
  <si>
    <t>Скрипченко Сергей Геннадьевич</t>
  </si>
  <si>
    <t>Грязнова Екатерина Васильевна</t>
  </si>
  <si>
    <t>Резникова Руслана Шагитовна</t>
  </si>
  <si>
    <t>Земелькин Сергей Олегович</t>
  </si>
  <si>
    <t>Управляющая компания СИ ГРУПП, АО</t>
  </si>
  <si>
    <t>Никин Михаил Павлович</t>
  </si>
  <si>
    <t>Легков Алексей Александрович</t>
  </si>
  <si>
    <t>Хоменя Михаил Александрович</t>
  </si>
  <si>
    <t>Ефимов Петр Валентинович</t>
  </si>
  <si>
    <t>Молодых Олег Эдуардович</t>
  </si>
  <si>
    <t>Мартиросян Сергей Сашикович</t>
  </si>
  <si>
    <t>Куренной Валерий Владимирович</t>
  </si>
  <si>
    <t>Чапчаев Андрей Анатольевич</t>
  </si>
  <si>
    <t>Долгих Александр Викторович</t>
  </si>
  <si>
    <t>Крюков Игорь Александрович</t>
  </si>
  <si>
    <t>Резанов Александр Владимирович</t>
  </si>
  <si>
    <t>Кузнецов Антон Юрьевич</t>
  </si>
  <si>
    <t>Копытин Юрий Анатольевич</t>
  </si>
  <si>
    <t>Басалай Евгений Федорович</t>
  </si>
  <si>
    <t>Мурашко Максим Геннадиевич</t>
  </si>
  <si>
    <t>Зотова Ирина Александровна</t>
  </si>
  <si>
    <t>Рысева Екатерина Борисовна</t>
  </si>
  <si>
    <t>Осеев Илья Олегович</t>
  </si>
  <si>
    <t>Лапин Юрий Владимирович</t>
  </si>
  <si>
    <t>Карпов Игорь Владимирович</t>
  </si>
  <si>
    <t>Бачериков Григорий Александрович</t>
  </si>
  <si>
    <t>Степанов Михаил Юрьевич</t>
  </si>
  <si>
    <t>Печенин Евгений Юрьевич</t>
  </si>
  <si>
    <t>Уртаева Марина Хазбиевна</t>
  </si>
  <si>
    <t>Сердюкова Мария Валериевна</t>
  </si>
  <si>
    <t>Манохин Александр Евгеньевич</t>
  </si>
  <si>
    <t>Баймашева Тамара Ивановна</t>
  </si>
  <si>
    <t>Управляющая компания УПРАВЛЯЮЩАЯ КОМПАНИЯ УНКОМТЕХ, АО</t>
  </si>
  <si>
    <t>Харитонов Андрей Юрьевич</t>
  </si>
  <si>
    <t>Бугаков Олег Юрьевич</t>
  </si>
  <si>
    <t>Сон Виталий Борисович</t>
  </si>
  <si>
    <t>Управляющая компания НОРДГОЛД МЕНЕДЖМЕНТ, ООО</t>
  </si>
  <si>
    <t>Евтихиев Николай Николаевич</t>
  </si>
  <si>
    <t>Герасименко Александр Петрович</t>
  </si>
  <si>
    <t>Титов Александр Витальевич</t>
  </si>
  <si>
    <t>Иванов Александр Григорьевич</t>
  </si>
  <si>
    <t>Толстиков Сергей Юрьевич</t>
  </si>
  <si>
    <t>Юрасов Сергей Павлович</t>
  </si>
  <si>
    <t>Управляющая компания УК АЛЬЯНС, ООО</t>
  </si>
  <si>
    <t>Каракайа Ахмет</t>
  </si>
  <si>
    <t>Казанец Артем Сергеевич</t>
  </si>
  <si>
    <t>Управляющая компания УК ИСТ ТРЕЙД, ООО</t>
  </si>
  <si>
    <t>Васильев Игорь Васильевич</t>
  </si>
  <si>
    <t>Кузаков Валентин Владимирович</t>
  </si>
  <si>
    <t>Пичугин Владимир Викторович</t>
  </si>
  <si>
    <t>Вдовин Руслан Вячеславович</t>
  </si>
  <si>
    <t>Горлье Фабрис, Жан-Франсуа</t>
  </si>
  <si>
    <t>Ренжин Игорь Михайлович</t>
  </si>
  <si>
    <t>Тунгусов Владимир Алексеевич</t>
  </si>
  <si>
    <t>Пудов Иван Николаевич</t>
  </si>
  <si>
    <t>Калашников Дмитрий Алексеевич</t>
  </si>
  <si>
    <t>Апанасов Владимир Александрович</t>
  </si>
  <si>
    <t>Иванов Кирилл Аркадьевич</t>
  </si>
  <si>
    <t>Асатурян Александр Рафаэльович</t>
  </si>
  <si>
    <t>Тихонов Павел Владимирович</t>
  </si>
  <si>
    <t>Кампф Эдуард</t>
  </si>
  <si>
    <t>Туркин Сергей Сергеевич</t>
  </si>
  <si>
    <t>Соловьева Татьяна Сергеевна</t>
  </si>
  <si>
    <t>Денисов Алексей Сергеевич</t>
  </si>
  <si>
    <t>Управляющая компания КОМПАНИЯ ОЙЛТИМ, ООО</t>
  </si>
  <si>
    <t>Каленков Илья Анатольевич</t>
  </si>
  <si>
    <t>Сеу Сильвиян Иванович</t>
  </si>
  <si>
    <t>Коновалов Денис Викторович</t>
  </si>
  <si>
    <t>Рыбаков Иван Владимирович</t>
  </si>
  <si>
    <t>Чайка Елена Алексеевна</t>
  </si>
  <si>
    <t>Вишняков Александр Владимирович</t>
  </si>
  <si>
    <t>Такаока Тацуя</t>
  </si>
  <si>
    <t>Нигмадзянов Рамиль Зулькафирович</t>
  </si>
  <si>
    <t>Грицаенко Денис Юрьевич</t>
  </si>
  <si>
    <t>Управляющая компания АЙСИ ИНВЕСТ, АО</t>
  </si>
  <si>
    <t>Белогуров Константин Владимирович</t>
  </si>
  <si>
    <t>Матюшин Дмитрий Александрович</t>
  </si>
  <si>
    <t>Бобров Алексей Петрович</t>
  </si>
  <si>
    <t>Кириллов Юрий Константинович</t>
  </si>
  <si>
    <t>Бахтерев Сергей Иванович</t>
  </si>
  <si>
    <t>Никитин Даниил Алексеевич</t>
  </si>
  <si>
    <t>Сокольцов Владимир Юрьевич</t>
  </si>
  <si>
    <t>Гайнетдинов Анас Миннуллович</t>
  </si>
  <si>
    <t>Сафин Айрат Фоатович</t>
  </si>
  <si>
    <t>Орехов Александр Владимирович</t>
  </si>
  <si>
    <t>Рахимов Марат Мулахмедович</t>
  </si>
  <si>
    <t>Степанова Наталия Владимировна</t>
  </si>
  <si>
    <t>Шумский Сергей Александрович</t>
  </si>
  <si>
    <t>Абдулхаков Рустам Рифгатович</t>
  </si>
  <si>
    <t>Касрадзе Клименти Григорьевич</t>
  </si>
  <si>
    <t>Бердников Игорь Владимирович</t>
  </si>
  <si>
    <t>Алфеев Андрей Альбертович</t>
  </si>
  <si>
    <t>Зацепин Михаил Иванович</t>
  </si>
  <si>
    <t>Федосеев Максим Владимирович</t>
  </si>
  <si>
    <t>Саттаров Руслан Исламович</t>
  </si>
  <si>
    <t>Лисичко Олег Анатольевич</t>
  </si>
  <si>
    <t>Дубровин Александр Вячеславович</t>
  </si>
  <si>
    <t>Афонин Виктор Васильевич</t>
  </si>
  <si>
    <t>Управляющая компания ЭКОНИВА-АПК ХОЛДИНГ, ООО</t>
  </si>
  <si>
    <t>Новикова Галина Владимировна</t>
  </si>
  <si>
    <t>Турано Марко</t>
  </si>
  <si>
    <t>Писарев Максим Александрович</t>
  </si>
  <si>
    <t>Выдрин Игорь Юрьевич</t>
  </si>
  <si>
    <t>Емельянов Сергей Леонидович</t>
  </si>
  <si>
    <t>Воробьев Алексей Николаевич</t>
  </si>
  <si>
    <t>Фоминцев Александр Геннадьевич</t>
  </si>
  <si>
    <t>Аджамян Моника Агитовна</t>
  </si>
  <si>
    <t>Даниленко Александр Юрьевич</t>
  </si>
  <si>
    <t>Михайлина Ольга Игоревна</t>
  </si>
  <si>
    <t>Зайцев Игорь Валентинович</t>
  </si>
  <si>
    <t>Романо Лука</t>
  </si>
  <si>
    <t>Бирер Ханс Томас</t>
  </si>
  <si>
    <t>Салахов Ленар Айдарович</t>
  </si>
  <si>
    <t>Хомяков Сергей Васильевич</t>
  </si>
  <si>
    <t>Бреднева Оксана Олеговна</t>
  </si>
  <si>
    <t>Иванов Валерий Евгеньевич</t>
  </si>
  <si>
    <t>Управляющая компания РУССКИЙ КРАБ, ООО</t>
  </si>
  <si>
    <t>Воинов Николай Юрьевич</t>
  </si>
  <si>
    <t>Торопов Гавриил Владимирович</t>
  </si>
  <si>
    <t>Мишин Глеб Борисович</t>
  </si>
  <si>
    <t>Степанова Марина Александровна</t>
  </si>
  <si>
    <t>Кондрашов Виктор Викторович</t>
  </si>
  <si>
    <t>Сычев Александр Николаевич</t>
  </si>
  <si>
    <t>Нежнов Руслан Сергеевич</t>
  </si>
  <si>
    <t>Минаев Константин Владимирович</t>
  </si>
  <si>
    <t>Индык Сергей Витальевич</t>
  </si>
  <si>
    <t>Кашапов Айрат Маннурович</t>
  </si>
  <si>
    <t>Жёлобов Владимир Владимирович</t>
  </si>
  <si>
    <t>Цымбал Ирина Александровна</t>
  </si>
  <si>
    <t>Трофимов Андрей Юрьевич</t>
  </si>
  <si>
    <t>Попович Наталья Владимировна</t>
  </si>
  <si>
    <t>Гребнев Евгений Юрьевич</t>
  </si>
  <si>
    <t>Хританков Владимир Федорович</t>
  </si>
  <si>
    <t>Валетов Олег Владиславович</t>
  </si>
  <si>
    <t>Кляйн Олег Робертович</t>
  </si>
  <si>
    <t>Никитюк Игорь Борисович</t>
  </si>
  <si>
    <t>Крутиков Роман Николаевич</t>
  </si>
  <si>
    <t>Устинов Иван Александрович</t>
  </si>
  <si>
    <t>Чернышев Дмитрий Михайлович</t>
  </si>
  <si>
    <t>Аляпин Дмитрий Иванович</t>
  </si>
  <si>
    <t>Сенин Дмитрий Андреевич</t>
  </si>
  <si>
    <t>Барнабишвили Марат Важаевич</t>
  </si>
  <si>
    <t>Багиев Олег Владимирович</t>
  </si>
  <si>
    <t>Пестрикова Полина Геннадьевна</t>
  </si>
  <si>
    <t>Балакина Татьяна Валерьевна</t>
  </si>
  <si>
    <t>Руднев Андрей Александрович</t>
  </si>
  <si>
    <t>Погосов Сергей Гивиевич</t>
  </si>
  <si>
    <t>Кылыч Али Кюршад</t>
  </si>
  <si>
    <t>Титаренко Юрий Владимирович</t>
  </si>
  <si>
    <t>Соколов Дмитрий Александрович</t>
  </si>
  <si>
    <t>Любимцев Вячеслав Сергеевич</t>
  </si>
  <si>
    <t>Корецкий Игорь Анатольевич</t>
  </si>
  <si>
    <t>Управляющая компания ПЕТРО ВЕЛТ ТЕХНОЛОДЖИС, ООО</t>
  </si>
  <si>
    <t>Конобеев Леонид Валентинович</t>
  </si>
  <si>
    <t>Управляющая компания МЕБЕЛЬНАЯ ГРУППА ДЯТЬКОВО, ООО</t>
  </si>
  <si>
    <t>Управляющая компания НИКОХИМ, ООО</t>
  </si>
  <si>
    <t>Ежов Александр Владимирович</t>
  </si>
  <si>
    <t>Дидерихс Денис Владимирович</t>
  </si>
  <si>
    <t>Управляющая компания УК РЕГИОНАЛЬНЫЙ ОПЕРАТОР, ООО</t>
  </si>
  <si>
    <t>Егоров Андрей Владимирович</t>
  </si>
  <si>
    <t>Явися Андрей Михайлович</t>
  </si>
  <si>
    <t>Мамаев Дмитрий Викторович</t>
  </si>
  <si>
    <t>Мугандин Юрий Валерьевич</t>
  </si>
  <si>
    <t>Валиева Ирина Евгеньевна</t>
  </si>
  <si>
    <t>Сухотина Ксения Анатольевна</t>
  </si>
  <si>
    <t>Писаревский Денис Олегович</t>
  </si>
  <si>
    <t>Етонов Михаил Павлович</t>
  </si>
  <si>
    <t>Ивлев Евгений Геннадьевич</t>
  </si>
  <si>
    <t>Демшин Сергей Михайлович</t>
  </si>
  <si>
    <t>Соколова Лина Викторовна</t>
  </si>
  <si>
    <t>Злотницкий Виктор Васильевич</t>
  </si>
  <si>
    <t>Михов Альберт Николаевич</t>
  </si>
  <si>
    <t>Яшнев Алексей Иосифович</t>
  </si>
  <si>
    <t>Бруевич Игорь Владимирович</t>
  </si>
  <si>
    <t>Трекин Владимир Владимирович</t>
  </si>
  <si>
    <t>Данилов Илья Александрович</t>
  </si>
  <si>
    <t>Сальцев Алексей Анатольевич</t>
  </si>
  <si>
    <t>Прибылев Александр Сергеевич</t>
  </si>
  <si>
    <t>Квашнина Диана Рафаилевна</t>
  </si>
  <si>
    <t>Трифонов Александр Викторович</t>
  </si>
  <si>
    <t>Яночкин Антон Игоревич</t>
  </si>
  <si>
    <t>Федчишен Анатолий Алексеевич</t>
  </si>
  <si>
    <t>Шапранова Татьяна Николаевна</t>
  </si>
  <si>
    <t>Сулина Оксана Равилевна</t>
  </si>
  <si>
    <t>Микаянская Оксана Валентиновна</t>
  </si>
  <si>
    <t>Кевбрина Алла Сергеевна</t>
  </si>
  <si>
    <t>Макеева Елена Викторовна</t>
  </si>
  <si>
    <t>Леонов Юрий Витальевич</t>
  </si>
  <si>
    <t>Черковский Дмитрий Сергеевич</t>
  </si>
  <si>
    <t>Лазебных Валерий Анатольевич</t>
  </si>
  <si>
    <t>Нижегородцев Юрий Александрович</t>
  </si>
  <si>
    <t>Терещенко Александр Геннадиевич</t>
  </si>
  <si>
    <t>Онг Даева</t>
  </si>
  <si>
    <t>Пак Юн Че</t>
  </si>
  <si>
    <t>Коновалова Светлана Михайловна</t>
  </si>
  <si>
    <t>Никитина Майя Геннадьевна</t>
  </si>
  <si>
    <t>Выприцкий Александр Николаевич</t>
  </si>
  <si>
    <t>Никонов Эдгар Рубенович</t>
  </si>
  <si>
    <t>Суд Горав</t>
  </si>
  <si>
    <t>Крамер Юрий Михайлович</t>
  </si>
  <si>
    <t>Жигалин Евгений Григорьевич</t>
  </si>
  <si>
    <t>Новиков Алексей Николаевич</t>
  </si>
  <si>
    <t>Ашихмин Игорь Анатольевич</t>
  </si>
  <si>
    <t>Лобанов Александр Николаевич</t>
  </si>
  <si>
    <t>Дзагоев Лев Матвеевич</t>
  </si>
  <si>
    <t>Васильев Игорь Алексеевич</t>
  </si>
  <si>
    <t>Макогонов Андрей Николаевич</t>
  </si>
  <si>
    <t>Управляющая компания АВИТО МЕНЕДЖМЕНТ, ООО</t>
  </si>
  <si>
    <t>Гончаров Михаил Валерьевич</t>
  </si>
  <si>
    <t>Царев Алексей Петрович</t>
  </si>
  <si>
    <t>Мальцев Валерий Викторович</t>
  </si>
  <si>
    <t>Ежелев Юрий Валерьевич</t>
  </si>
  <si>
    <t>Кутенев Сергей Николаевич</t>
  </si>
  <si>
    <t>Муллагалиев Владимир Шайхелгалиевич</t>
  </si>
  <si>
    <t>Боровинский Алексей Александрович</t>
  </si>
  <si>
    <t>Стригоцкий Сергей Анатольевич</t>
  </si>
  <si>
    <t>Иванов Игорь Константинович</t>
  </si>
  <si>
    <t>Шинкаренко Александр Павлович</t>
  </si>
  <si>
    <t>Управляющая компания УК МИДЮРАЛ, АО</t>
  </si>
  <si>
    <t>Петров Михаил Васильевич</t>
  </si>
  <si>
    <t>Ольберг Денис Валериевич</t>
  </si>
  <si>
    <t>Джонг Санг Гвон</t>
  </si>
  <si>
    <t>Волков Евгений Витальевич</t>
  </si>
  <si>
    <t>Дружинин Евгений Анатольевич</t>
  </si>
  <si>
    <t>Кретов Сергей Викторович</t>
  </si>
  <si>
    <t>Учикура Масаказу</t>
  </si>
  <si>
    <t>Кириенко Людмила Николаевна</t>
  </si>
  <si>
    <t>Фарбман Валерий Евсеевич</t>
  </si>
  <si>
    <t>Ветошкин Андрей Леонидович</t>
  </si>
  <si>
    <t>Сураева Любовь Федоровна</t>
  </si>
  <si>
    <t>Эртуханов Магомед Гиланиевич</t>
  </si>
  <si>
    <t>Андрианов Сергей Владимирович</t>
  </si>
  <si>
    <t>Кузнецов Андрей Андреевич</t>
  </si>
  <si>
    <t>Семенов Андрей Леонидович</t>
  </si>
  <si>
    <t>Попов Михаил Михайлович</t>
  </si>
  <si>
    <t>Чжао Сяоцзя</t>
  </si>
  <si>
    <t>Айрапетян Айрапет Михаелович</t>
  </si>
  <si>
    <t>Ходакова Наталья Васильевна</t>
  </si>
  <si>
    <t>Никитин Николай Юрьевич</t>
  </si>
  <si>
    <t>Кононов Григорий Петрович</t>
  </si>
  <si>
    <t>Андреев Роман Эдуардович</t>
  </si>
  <si>
    <t>Павлов Евгений Александрович</t>
  </si>
  <si>
    <t>Управляющая компания АПК СТОЙЛЕНСКАЯ НИВА, ООО</t>
  </si>
  <si>
    <t>Хачидзе Георгий Нугзарович</t>
  </si>
  <si>
    <t>Новгородов Дмитрий Николаевич</t>
  </si>
  <si>
    <t>Кубасова Ольга Валентиновна</t>
  </si>
  <si>
    <t>Виноградов Александр Михайлович</t>
  </si>
  <si>
    <t>Клещёв Андрей Владимирович</t>
  </si>
  <si>
    <t>Штарев Алексей Викторович</t>
  </si>
  <si>
    <t>Будагов Ильгар Джахан Оглы</t>
  </si>
  <si>
    <t>Волков Виталий Юрьевич</t>
  </si>
  <si>
    <t>Миронович Филипп Александрович</t>
  </si>
  <si>
    <t>Игнатьева Виктория Борисовна</t>
  </si>
  <si>
    <t>Управляющая компания ГК СБСВ-КЛЮЧАВТО, ООО</t>
  </si>
  <si>
    <t>Волков Сергей Валерьевич</t>
  </si>
  <si>
    <t>Управляющая компания АПХ ДОРОНИЧИ, ООО</t>
  </si>
  <si>
    <t>Кагиров Радик Рафикович</t>
  </si>
  <si>
    <t>Муханова Ирина Сергеевна</t>
  </si>
  <si>
    <t>Управляющая компания САТКИНСКИЙ ИНВЕСТИЦИОННЫЙ ХОЛДИНГ, ООО</t>
  </si>
  <si>
    <t>Снежневский Владимир Валерьевич</t>
  </si>
  <si>
    <t>Бабаджанян Карапет Хачикович</t>
  </si>
  <si>
    <t>Шарифуллин Радик Фаилович</t>
  </si>
  <si>
    <t>Московцев Игорь Владимирович</t>
  </si>
  <si>
    <t>Ефремов Юрий Валерьевич</t>
  </si>
  <si>
    <t>Масленников Андрей Николаевич</t>
  </si>
  <si>
    <t>Михайлов Леонид Александрович</t>
  </si>
  <si>
    <t>Онищук Виктор Николаевич</t>
  </si>
  <si>
    <t>Домрачев Дмитрий Николаевич</t>
  </si>
  <si>
    <t>Деревенчук Юрий Сергеевич</t>
  </si>
  <si>
    <t>Мичник Наталья Андреевна</t>
  </si>
  <si>
    <t>Качур Всеволод Петрович</t>
  </si>
  <si>
    <t>Степикин Сергей Иванович</t>
  </si>
  <si>
    <t>Мичков Сергей Викторович</t>
  </si>
  <si>
    <t>Третьяков Леонид Алексеевич</t>
  </si>
  <si>
    <t>Сергунин Алексей Борисович</t>
  </si>
  <si>
    <t>Корепанова Елена Павловна</t>
  </si>
  <si>
    <t>Вишняков Павел Викторович</t>
  </si>
  <si>
    <t>Михайлов Юрий Анатольевич</t>
  </si>
  <si>
    <t>Управляющая компания КНГК, ООО</t>
  </si>
  <si>
    <t>Байбурин Эдуард Ринатович</t>
  </si>
  <si>
    <t>Ручка Алексей Анатольевич</t>
  </si>
  <si>
    <t>Золотарев Борис Николаевич</t>
  </si>
  <si>
    <t>Морозов Никита Львович</t>
  </si>
  <si>
    <t>Фатуев Сергей Михайлович</t>
  </si>
  <si>
    <t>Бондаренко Марина Александровна</t>
  </si>
  <si>
    <t>Управляющая компания УК СЛАВЯНКА, ООО</t>
  </si>
  <si>
    <t>Володин Александр Валерьевич</t>
  </si>
  <si>
    <t>Аржанников Евгений Егорович</t>
  </si>
  <si>
    <t>Управляющая компания ПМХ, ООО УК</t>
  </si>
  <si>
    <t>Юсупов Илдар Хакимович</t>
  </si>
  <si>
    <t>Трубецкой Михаил Александрович</t>
  </si>
  <si>
    <t>Бачаалани Иссам</t>
  </si>
  <si>
    <t>Сидякин Дмитрий Игоревич</t>
  </si>
  <si>
    <t>Кислицина Людмила Анатольевна</t>
  </si>
  <si>
    <t>Козлов Дмитрий Владимирович</t>
  </si>
  <si>
    <t>Семенец Николай Владимирович</t>
  </si>
  <si>
    <t>Тулупов Александр Александрович</t>
  </si>
  <si>
    <t>Борзенко Константин Викторович</t>
  </si>
  <si>
    <t>Усольцев Александр Александрович</t>
  </si>
  <si>
    <t>Багаутдинов Радий Равильевич</t>
  </si>
  <si>
    <t>Шефер Александр Федорович</t>
  </si>
  <si>
    <t>Домничев Андрей Николаевич</t>
  </si>
  <si>
    <t>Хосоя Казуши</t>
  </si>
  <si>
    <t>Морита Ёшихиро</t>
  </si>
  <si>
    <t>Лазарев Андрей Викторович</t>
  </si>
  <si>
    <t>Верзаков Василий Александрович</t>
  </si>
  <si>
    <t>Козьмин Эдуард Александрович</t>
  </si>
  <si>
    <t>Управляющая компания СИБИРСКИЙ ГУРМАН, ООО УК</t>
  </si>
  <si>
    <t>Зуев Александр Сергеевич</t>
  </si>
  <si>
    <t>Малых Анатолий Геннадьевич</t>
  </si>
  <si>
    <t>Борисова Елена Николаевна</t>
  </si>
  <si>
    <t>Григорян Лилит Артуровна</t>
  </si>
  <si>
    <t>Иванус Михаил Николаевич</t>
  </si>
  <si>
    <t>Пошуменский Андрей Семёнович</t>
  </si>
  <si>
    <t>Новицкий Григорий Григорьевич</t>
  </si>
  <si>
    <t>Шумейко Валерий Анатольевич</t>
  </si>
  <si>
    <t>Шакиров Марат Хайдарович</t>
  </si>
  <si>
    <t>Управляющая компания УК ЮГК, ООО</t>
  </si>
  <si>
    <t>Шутов Андрей Васильевич</t>
  </si>
  <si>
    <t>Праневич Дмитрий Михайлович</t>
  </si>
  <si>
    <t>Пучков Максим Евгеньевич</t>
  </si>
  <si>
    <t>Шалопанов Александр Борисович</t>
  </si>
  <si>
    <t>Нугманов Марат Вильданович</t>
  </si>
  <si>
    <t>Васильев Леонид Анатольевич</t>
  </si>
  <si>
    <t>Бруяка Валерий Валентинович</t>
  </si>
  <si>
    <t>Сагал Елена Михайловна</t>
  </si>
  <si>
    <t>Шукуров Сардар Асдан Оглы</t>
  </si>
  <si>
    <t>Гапоненко Виктория Борисовна</t>
  </si>
  <si>
    <t>Шилинцева Юлия Николаевна</t>
  </si>
  <si>
    <t>Белякин Андрей Альбертович</t>
  </si>
  <si>
    <t>Польщиков Алексей Михайлович</t>
  </si>
  <si>
    <t>Шкута Владимир Павлович</t>
  </si>
  <si>
    <t>Мастернак Евгений Анатольевич</t>
  </si>
  <si>
    <t>Родионов Олег Владимирович</t>
  </si>
  <si>
    <t>Мелихов Евгений Викторович</t>
  </si>
  <si>
    <t>Сидоров Сергей Николаевич</t>
  </si>
  <si>
    <t>Елютина Ксения Михайловна</t>
  </si>
  <si>
    <t>Авраменко Александр Александрович</t>
  </si>
  <si>
    <t>Чейшвили Григорий Нодарович</t>
  </si>
  <si>
    <t>Гладчук Пауло</t>
  </si>
  <si>
    <t>Вьюнышев Николай Валентинович</t>
  </si>
  <si>
    <t>Урбанович Александр Владимирович</t>
  </si>
  <si>
    <t>Шестакова Екатерина Николаевна</t>
  </si>
  <si>
    <t>Морунова Ирина Ивановна</t>
  </si>
  <si>
    <t>Кудашкин Михаил Степанович</t>
  </si>
  <si>
    <t>Комягин Валерий Николаевич</t>
  </si>
  <si>
    <t>Лиджиев Анатолий Владимирович</t>
  </si>
  <si>
    <t>Кузьменко Александр Леонидович</t>
  </si>
  <si>
    <t>Трофимов Юрий Васильевич</t>
  </si>
  <si>
    <t>Кашин Андрей Николаевич</t>
  </si>
  <si>
    <t>Саакян Сурен Ашотович</t>
  </si>
  <si>
    <t>Хмель Михаил Дмитриевич</t>
  </si>
  <si>
    <t>Бычков Владимир Владимирович</t>
  </si>
  <si>
    <t>Управляющая компания ТОРГОВАЯ КОМПАНИЯ СМАЙЛИ, ООО</t>
  </si>
  <si>
    <t>Гетманенко Анатолий Викторович</t>
  </si>
  <si>
    <t>Орлова Татьяна Валерьевна</t>
  </si>
  <si>
    <t>Уваров Сергей Васильевич</t>
  </si>
  <si>
    <t>Журавель Елена Вячеславовна</t>
  </si>
  <si>
    <t>Кравцов Роман Васильевич</t>
  </si>
  <si>
    <t>Фаттахов Ринат Рашитович</t>
  </si>
  <si>
    <t>Наумочкин Валерий Васильевич</t>
  </si>
  <si>
    <t>Хомичук Александр Юрьевич</t>
  </si>
  <si>
    <t>Кириллов Виссарион Арчилович</t>
  </si>
  <si>
    <t>Соловьев Константин Васильевич</t>
  </si>
  <si>
    <t>Муратов Ильнур Равилевич</t>
  </si>
  <si>
    <t>Акопов Вадим Армаисович</t>
  </si>
  <si>
    <t>Платун Галина Фридриховна</t>
  </si>
  <si>
    <t>Варавва Андрей Сергеевич</t>
  </si>
  <si>
    <t>Хальзов Владимир Александрович</t>
  </si>
  <si>
    <t>Каратыш Кирилл Николаевич</t>
  </si>
  <si>
    <t>Кохтырев Илья Васильевич</t>
  </si>
  <si>
    <t>Нечипуренко Юрий Владимирович</t>
  </si>
  <si>
    <t>Подкорытов Алексей Федорович</t>
  </si>
  <si>
    <t>Чирсков Владимир Вячеславович</t>
  </si>
  <si>
    <t>Крикунчик Максим Борисович</t>
  </si>
  <si>
    <t>Баженов Никита Евгеньевич</t>
  </si>
  <si>
    <t>Статкевич Андрей Геннадьевич</t>
  </si>
  <si>
    <t>Залётов Алексей Николаевич</t>
  </si>
  <si>
    <t>Управляющая компания РБА-МЕНЕДЖМЕНТ, ООО</t>
  </si>
  <si>
    <t>Шанаев Илья Михайлович</t>
  </si>
  <si>
    <t>Климов Сергей Сергеевич</t>
  </si>
  <si>
    <t>Павлов Дмитрий Владимирович</t>
  </si>
  <si>
    <t>Гречишкин Константин Алексеевич</t>
  </si>
  <si>
    <t>Айрапетян Хачатур Геворгович</t>
  </si>
  <si>
    <t>Бондаренко Валерий Вячеславович</t>
  </si>
  <si>
    <t>Климкин Алексей Михайлович</t>
  </si>
  <si>
    <t>Управляющая компания КАРЕЛИЯ ПАЛП, ООО</t>
  </si>
  <si>
    <t>Шахов Михаил Васильевич</t>
  </si>
  <si>
    <t>Леготин Евгений Борисович</t>
  </si>
  <si>
    <t>Иващенко Вадим Леонидович</t>
  </si>
  <si>
    <t>Орлов Игорь Сергеевич</t>
  </si>
  <si>
    <t>Семенец Александр Анатольевич</t>
  </si>
  <si>
    <t>Ашуров Эльхан Арлибович</t>
  </si>
  <si>
    <t>Пчельников Андрей Георгиевич</t>
  </si>
  <si>
    <t>Коробейников Андрей Витальевич</t>
  </si>
  <si>
    <t>Несмашный Олег Владимирович</t>
  </si>
  <si>
    <t>Управляющая компания ПРОМТ, ООО</t>
  </si>
  <si>
    <t>Золоторевский Сергей Федорович</t>
  </si>
  <si>
    <t>Матузко Николай Анатольевич</t>
  </si>
  <si>
    <t>Черников Алексей Николаевич</t>
  </si>
  <si>
    <t>Антипов Анатолий Петрович</t>
  </si>
  <si>
    <t>Барвинок Владимир Васильевич</t>
  </si>
  <si>
    <t>Голубев Игорь Африкантович</t>
  </si>
  <si>
    <t>Андрух Андрей Григорьевич</t>
  </si>
  <si>
    <t>Иванов Олег Павлович</t>
  </si>
  <si>
    <t>Копалиани Зураб Зурабович</t>
  </si>
  <si>
    <t>Коновалов Михаил Иванович</t>
  </si>
  <si>
    <t>Яценко Владислав Валериевич</t>
  </si>
  <si>
    <t>Камалов Фарид Шамилевич</t>
  </si>
  <si>
    <t>Амбарцумян Сергей Александрович</t>
  </si>
  <si>
    <t>Кашуба Станислав Михайлович</t>
  </si>
  <si>
    <t>Тимошенко Евгений Юрьевич</t>
  </si>
  <si>
    <t>Шелопутов Вячеслав Александрович</t>
  </si>
  <si>
    <t>Петров Андрей Ювенальевич</t>
  </si>
  <si>
    <t>Цыбульников Дмитрий Васильевич</t>
  </si>
  <si>
    <t>Лебедев Сергей Александрович</t>
  </si>
  <si>
    <t>Мелентьев Виталий Владимирович</t>
  </si>
  <si>
    <t>Куковенко Александр Эрикович</t>
  </si>
  <si>
    <t>Мельников Иван Александрович</t>
  </si>
  <si>
    <t>Киселёв Михаил Валерьевич</t>
  </si>
  <si>
    <t>Чудновец Александр Владимирович</t>
  </si>
  <si>
    <t>Ходоев Андрей Евгеньевич</t>
  </si>
  <si>
    <t>Галюс Петр Лешек</t>
  </si>
  <si>
    <t>Пыкин Андрей Георгиевич</t>
  </si>
  <si>
    <t>Буторин Павел Владимирович</t>
  </si>
  <si>
    <t>Воробьев Михаил Викторович</t>
  </si>
  <si>
    <t>Собакарь Владимир Борисович</t>
  </si>
  <si>
    <t>Вышегородцев Алексей Викторович</t>
  </si>
  <si>
    <t>Кожевников Андрей Михайлович</t>
  </si>
  <si>
    <t>Подвысоцкая Виктория Владимировна</t>
  </si>
  <si>
    <t>Будрис Александр Альгио</t>
  </si>
  <si>
    <t>Башилов Юрий Борисович</t>
  </si>
  <si>
    <t>Семыкина Вера Николаевна</t>
  </si>
  <si>
    <t>Данилов Денис Владимирович</t>
  </si>
  <si>
    <t>Новиков Олег Григорьевич</t>
  </si>
  <si>
    <t>Шехтерман Игорь Владимирович</t>
  </si>
  <si>
    <t>Суббота Евгений Демьянович</t>
  </si>
  <si>
    <t>Минкин Олег Шмарьевич</t>
  </si>
  <si>
    <t>Мельников Владимир Владимирович</t>
  </si>
  <si>
    <t>Воронина Анастасия Геннадьевна</t>
  </si>
  <si>
    <t>Кузнецов Андрей Юрьевич</t>
  </si>
  <si>
    <t>Старцев Евгений Олегович</t>
  </si>
  <si>
    <t>Чочуа Мераби Профильевич</t>
  </si>
  <si>
    <t>Гаврилов Александр Егорович</t>
  </si>
  <si>
    <t>Батталова Энися Мунировна</t>
  </si>
  <si>
    <t>Управляющая компания КОРС ГРУПП, ООО</t>
  </si>
  <si>
    <t>Грибанов Сергей Анатольевич</t>
  </si>
  <si>
    <t>Гайдуков Олег Николаевич</t>
  </si>
  <si>
    <t>Рут Роман Николаевич</t>
  </si>
  <si>
    <t>Янова Елена Александровна</t>
  </si>
  <si>
    <t>Салтовский Алексей Викторович</t>
  </si>
  <si>
    <t>Кондращенко Татьяна Евгеньевна</t>
  </si>
  <si>
    <t>Шевцов Александр Петрович</t>
  </si>
  <si>
    <t>Чернявская Татьяна Анатольевна</t>
  </si>
  <si>
    <t>Управляющая компания УК РУСЭНЕРГОКАПИТАЛ, ОАО</t>
  </si>
  <si>
    <t>Терещенко Кирилл Александрович</t>
  </si>
  <si>
    <t>Ренев Дмитрий Станиславович</t>
  </si>
  <si>
    <t>Гараев Ильдар Талгатович</t>
  </si>
  <si>
    <t>Мударисов Тимур Мусяевич</t>
  </si>
  <si>
    <t>Орел Федор Антонович</t>
  </si>
  <si>
    <t>Соколова Маргарита Львовна</t>
  </si>
  <si>
    <t>Потапов Владимир Валентинович</t>
  </si>
  <si>
    <t>Каширин Денис Александрович</t>
  </si>
  <si>
    <t>Гайвас Артур Савельевич</t>
  </si>
  <si>
    <t>Колышкин Денис Геннадьевич</t>
  </si>
  <si>
    <t>Управляющая компания МКМ-ЛОГИСТИКА, ООО</t>
  </si>
  <si>
    <t>Иманов Радмир Нариманович</t>
  </si>
  <si>
    <t>Раев Леонид Васильевич</t>
  </si>
  <si>
    <t>Кузьмин Андрей Павлович</t>
  </si>
  <si>
    <t>Быков Геннадий Васильевич</t>
  </si>
  <si>
    <t>Анисимов Олег Анатольевич</t>
  </si>
  <si>
    <t>Артемьев Александр Викторович</t>
  </si>
  <si>
    <t>Иванов Александр Валерьевич</t>
  </si>
  <si>
    <t>Гончеров Олег Васильевич</t>
  </si>
  <si>
    <t>Шубин Олег Владимирович</t>
  </si>
  <si>
    <t>Перепечаева Янина Александровна</t>
  </si>
  <si>
    <t>Немна Александр Валерьевич</t>
  </si>
  <si>
    <t>Рябков Юрий Николаевич</t>
  </si>
  <si>
    <t>Аутлев Азамат Хамедович</t>
  </si>
  <si>
    <t>Шалагин Александр Викторович</t>
  </si>
  <si>
    <t>Ураев Николай Николаевич</t>
  </si>
  <si>
    <t>Малинка Вячеслав Олегович</t>
  </si>
  <si>
    <t>Павлюченко Дмитрий Иванович</t>
  </si>
  <si>
    <t>Яровая Людмила Дмитриевна</t>
  </si>
  <si>
    <t>Лондарь Александр Николаевич</t>
  </si>
  <si>
    <t>Клегг Дмитрий Юрьевич</t>
  </si>
  <si>
    <t>Бендин Дмитрий Юрьевич</t>
  </si>
  <si>
    <t>Игнатьев Виталий Николаевич</t>
  </si>
  <si>
    <t>Комиссаренко Евгений Валерьевич</t>
  </si>
  <si>
    <t>Игошин Виктор Владимирович</t>
  </si>
  <si>
    <t>Яковенко Николай Анатольевич</t>
  </si>
  <si>
    <t>Кривицкий Илья Александрович</t>
  </si>
  <si>
    <t>Вихарев Алексей Петрович</t>
  </si>
  <si>
    <t>Управляющая компания КРАСО, ООО УК</t>
  </si>
  <si>
    <t>Шевелева Ольга Николаевна</t>
  </si>
  <si>
    <t>Дягилев Михаил Владимирович</t>
  </si>
  <si>
    <t>Чернов Андрей Вениаминович</t>
  </si>
  <si>
    <t>Михайленко Игорь Петрович</t>
  </si>
  <si>
    <t>Морозов Юрий Анатольевич</t>
  </si>
  <si>
    <t>Димитренко Иннокентий Андреевич</t>
  </si>
  <si>
    <t>Гукасян Мелине Генриковна</t>
  </si>
  <si>
    <t>Стельмах Татьяна Андреевна</t>
  </si>
  <si>
    <t>Сарана Михаил Михайлович</t>
  </si>
  <si>
    <t>Купреев Павел Викторович</t>
  </si>
  <si>
    <t>Карамушко Геннадий Васильевич</t>
  </si>
  <si>
    <t>Спридзгаль Павел Николаевич</t>
  </si>
  <si>
    <t>Чирятьев Александр Станиславович</t>
  </si>
  <si>
    <t>Чернова Наталья Георгиевна</t>
  </si>
  <si>
    <t>Минаков Максим Александрович</t>
  </si>
  <si>
    <t>Пятахин Сергей Викторович</t>
  </si>
  <si>
    <t>Бубенок Андрей Васильевич</t>
  </si>
  <si>
    <t>Боклогов Борис Юрьевич</t>
  </si>
  <si>
    <t>Климанова Людмила Вадимовна</t>
  </si>
  <si>
    <t>Солдатова Марина Владимировна</t>
  </si>
  <si>
    <t>Радченко Наталья Александровна</t>
  </si>
  <si>
    <t>Зупан Петер</t>
  </si>
  <si>
    <t>Басов Дмитрий Борисович</t>
  </si>
  <si>
    <t>Иванютин Андрей Владимирович</t>
  </si>
  <si>
    <t>Мишнев Александр Александрович</t>
  </si>
  <si>
    <t>Неверов Даниил Александрович</t>
  </si>
  <si>
    <t>Кашкарев Виталий Борисович</t>
  </si>
  <si>
    <t>Бобровников Борис Леонидович</t>
  </si>
  <si>
    <t>Агаларов Арас Искендер Оглы</t>
  </si>
  <si>
    <t>Ткаченко Александр Константинович</t>
  </si>
  <si>
    <t>Фролов Петр Николаевич</t>
  </si>
  <si>
    <t>Бутов Станислав Александрович</t>
  </si>
  <si>
    <t>Головин Василий Борисович</t>
  </si>
  <si>
    <t>Управляющая компания КРОНОШПАН ГМХ, ООО</t>
  </si>
  <si>
    <t>Чугунов Евгений Игоревич</t>
  </si>
  <si>
    <t>Магаммадзаде Джавидан Мамад Оглы</t>
  </si>
  <si>
    <t>Дадашев Эльдар Рамиз Оглы</t>
  </si>
  <si>
    <t>Каримов Руслан Азгарович</t>
  </si>
  <si>
    <t>Управляющая компания РАБЭКС ГРУПП, ООО</t>
  </si>
  <si>
    <t>Борисенко Евгений Владимирович</t>
  </si>
  <si>
    <t>Горшков Александр Юрьевич</t>
  </si>
  <si>
    <t>Суровикова Ирина Сергеевна</t>
  </si>
  <si>
    <t>Макарь Александр Тимофеевич</t>
  </si>
  <si>
    <t>Демин Максим Васильевич</t>
  </si>
  <si>
    <t>Надточаев Дмитрий Михайлович</t>
  </si>
  <si>
    <t>Селиванов Эдуард Анатольевич</t>
  </si>
  <si>
    <t>Целый Тарас Дмитриевич</t>
  </si>
  <si>
    <t>Ташкинов Вячеслав Николаевич</t>
  </si>
  <si>
    <t>Венжега Андрей Васильевич</t>
  </si>
  <si>
    <t>Цурканенко Андрей Михайлович</t>
  </si>
  <si>
    <t>Ложкин Владимир Геннадьевич</t>
  </si>
  <si>
    <t>Берняков Игорь Николаевич</t>
  </si>
  <si>
    <t>Жарков Михаил Сергеевич</t>
  </si>
  <si>
    <t>Литуев Егор Викторович</t>
  </si>
  <si>
    <t>Бобров Максим Вячеславович</t>
  </si>
  <si>
    <t>Баранов Александр Анатольевич</t>
  </si>
  <si>
    <t>Купреев Владимир Александрович</t>
  </si>
  <si>
    <t>Труханович Александр Николаевич</t>
  </si>
  <si>
    <t>Попов Дмитрий Валерьевич</t>
  </si>
  <si>
    <t>Белоус Юрий Владимирович</t>
  </si>
  <si>
    <t>Магусанов Олег Касимович</t>
  </si>
  <si>
    <t>Арутюнов Владимир Владимирович</t>
  </si>
  <si>
    <t>Артемов Николай Евгеньевич</t>
  </si>
  <si>
    <t>Очкасов Александр Владимирович</t>
  </si>
  <si>
    <t>Цыкин Антон Григорьевич</t>
  </si>
  <si>
    <t>Васильев Игорь Николаевич</t>
  </si>
  <si>
    <t>Коротин Владимир Юрьевич</t>
  </si>
  <si>
    <t>Управляющая компания ККТ, АО</t>
  </si>
  <si>
    <t>Муртазин Ринат Фазилович</t>
  </si>
  <si>
    <t>Горбань Николай Николаевич</t>
  </si>
  <si>
    <t>Управляющая компания УПРАВЛЕНИЕ ТРАНСПОРТНЫМИ АКТИВАМИ, ООО</t>
  </si>
  <si>
    <t>Жарков Антон Владимирович</t>
  </si>
  <si>
    <t>Грачев Александр Константинович</t>
  </si>
  <si>
    <t>Щербина Андрей Александрович</t>
  </si>
  <si>
    <t>Хайров Руслан Зирякович</t>
  </si>
  <si>
    <t>Адаменко Алексей Алексеевич</t>
  </si>
  <si>
    <t>Братоев Денис Владимирович</t>
  </si>
  <si>
    <t>Веселовский Сергей Иванович</t>
  </si>
  <si>
    <t>Салпагаров Асхат Анзорович</t>
  </si>
  <si>
    <t>Емельянович Виктория Ивановна</t>
  </si>
  <si>
    <t>Минин Кирилл Геннадьевич</t>
  </si>
  <si>
    <t>Коваленко Наталия Николаевна</t>
  </si>
  <si>
    <t>Балаев Кадир Мамед-Оглы</t>
  </si>
  <si>
    <t>Гуев Денис Дмитриевич</t>
  </si>
  <si>
    <t>Иванько Андрей Сергеевич</t>
  </si>
  <si>
    <t>Коченов Эдуард Черменович</t>
  </si>
  <si>
    <t>Кайдаш Николай Александрович</t>
  </si>
  <si>
    <t>Андреев Дмитрий Юрьевич</t>
  </si>
  <si>
    <t>Арсланова Наталья Степановна</t>
  </si>
  <si>
    <t>Мерзляков Валерий Валентинович</t>
  </si>
  <si>
    <t>Мустафаев Акиф Сабир Оглы</t>
  </si>
  <si>
    <t>Кириченко Игорь Андреевич</t>
  </si>
  <si>
    <t>Ефремов Игорь Николаевич</t>
  </si>
  <si>
    <t>Кухта Алексей Анатольевич</t>
  </si>
  <si>
    <t>Ильин Константин Геннадьевич</t>
  </si>
  <si>
    <t>Петров Леонид Прохорович</t>
  </si>
  <si>
    <t>Индык Лев Юдович</t>
  </si>
  <si>
    <t>Браташов Дмитрий Алексеевич</t>
  </si>
  <si>
    <t>Баранов Сергей Липатович</t>
  </si>
  <si>
    <t>Управляющая компания ЧКПЗ, ПАО</t>
  </si>
  <si>
    <t>Мантрова Анна Дмитриевна</t>
  </si>
  <si>
    <t>Радько Василий Викторович</t>
  </si>
  <si>
    <t>Ким Родион Павлович</t>
  </si>
  <si>
    <t>Загидуллин Азат Ясавиевич</t>
  </si>
  <si>
    <t>Зайцев Андрей Валерьевич</t>
  </si>
  <si>
    <t>Казаков Павел Андреевич</t>
  </si>
  <si>
    <t>Калмис Джери Кристофер</t>
  </si>
  <si>
    <t>Власкин Александр Владимирович</t>
  </si>
  <si>
    <t>Карапетян Станислав Сейранович</t>
  </si>
  <si>
    <t>Парышев Дмитрий Николаевич</t>
  </si>
  <si>
    <t>Афраймович Артем Маркович</t>
  </si>
  <si>
    <t>Савинкин Александр Владимирович</t>
  </si>
  <si>
    <t>Рябцева Анастасия Васильевна</t>
  </si>
  <si>
    <t>Нагорных Владимир Иванович</t>
  </si>
  <si>
    <t>Овчаров Игорь Вольтович</t>
  </si>
  <si>
    <t>Дериглазов Игорь Анатольевич</t>
  </si>
  <si>
    <t>Емельянов Дмитрий Александрович</t>
  </si>
  <si>
    <t>Жирнов Андрей Валентинович</t>
  </si>
  <si>
    <t>Сиротенко Сергей Иванович</t>
  </si>
  <si>
    <t>Коренная Кристина Александровна</t>
  </si>
  <si>
    <t>Косилов Владимир Михайлович</t>
  </si>
  <si>
    <t>Чернецкий Евгений Николаевич</t>
  </si>
  <si>
    <t>Ишин Дмитрий Александрович</t>
  </si>
  <si>
    <t>Катов Дмитрий Алексеевич</t>
  </si>
  <si>
    <t>Еремейцев Дмитрий Владимирович</t>
  </si>
  <si>
    <t>Потапов Денис Викторович</t>
  </si>
  <si>
    <t>Колас Мартин Пьер</t>
  </si>
  <si>
    <t>Давидян Арсен Владимирович</t>
  </si>
  <si>
    <t>Куруч Петр Иванович</t>
  </si>
  <si>
    <t>Борисова Алевтина Николаевна</t>
  </si>
  <si>
    <t>Виноградова Татьяна Станиславовна</t>
  </si>
  <si>
    <t>Шелеманов Александр Сергеевич</t>
  </si>
  <si>
    <t>Якупов Алмаз Мавлетович</t>
  </si>
  <si>
    <t>Вершков Андрей Николаевич</t>
  </si>
  <si>
    <t>Демчак Андрей Владимирович</t>
  </si>
  <si>
    <t>Клюшкин Сергей Александрович</t>
  </si>
  <si>
    <t>Коваленко Ростислав Петрович</t>
  </si>
  <si>
    <t>Батурин Сергей Владимирович</t>
  </si>
  <si>
    <t>Авдонина Светлана Николаевна</t>
  </si>
  <si>
    <t>Гусев Игорь Гельевич</t>
  </si>
  <si>
    <t>Быковских Сергей Львович</t>
  </si>
  <si>
    <t>Мурашова Олеся Юрьевна</t>
  </si>
  <si>
    <t>Ханжихужин Денис Рамазанович</t>
  </si>
  <si>
    <t>Булич Илона Вячеславовна</t>
  </si>
  <si>
    <t>Мельник Сергей Васильевич</t>
  </si>
  <si>
    <t>Викарук Лариса Ивановна</t>
  </si>
  <si>
    <t>Газиев Рудем Ризванович</t>
  </si>
  <si>
    <t>Касперский Евгений Валентинович</t>
  </si>
  <si>
    <t>Харченко Лариса Владимировна</t>
  </si>
  <si>
    <t>Жарский Дмитрий Иванович</t>
  </si>
  <si>
    <t>Богачев Александр Васильевич</t>
  </si>
  <si>
    <t>Тихомиров Алексей Валерьевич</t>
  </si>
  <si>
    <t>Шиляева Лилия Мударисовна</t>
  </si>
  <si>
    <t>Иванов Дмитрий Евгеньевич</t>
  </si>
  <si>
    <t>Белоглазов Сергей Владимирович</t>
  </si>
  <si>
    <t>Кузнецов Дмитрий Николаевич</t>
  </si>
  <si>
    <t>Мартынов Андрей Анатольевич</t>
  </si>
  <si>
    <t>Двинский Михаил Борисович</t>
  </si>
  <si>
    <t>Гришин Игорь Евгеньевич</t>
  </si>
  <si>
    <t>Солдаткин Алексей Иванович</t>
  </si>
  <si>
    <t>Управляющая компания НИКОН, ООО</t>
  </si>
  <si>
    <t>Халилова Анастасия Николаевна</t>
  </si>
  <si>
    <t>Кылосова Наталья Александровна</t>
  </si>
  <si>
    <t>Чибисов Геннадий Иванович</t>
  </si>
  <si>
    <t>Саламатов Сергей Владимирович</t>
  </si>
  <si>
    <t>Васильковский Александр Анатольевич</t>
  </si>
  <si>
    <t>Казин Алексей Дмитриевич</t>
  </si>
  <si>
    <t>Башилов Виталий Юрьевич</t>
  </si>
  <si>
    <t>Орешников Алексей Юрьевич</t>
  </si>
  <si>
    <t>Мохов Игорь Борисович</t>
  </si>
  <si>
    <t>Дудин Иван Викторович</t>
  </si>
  <si>
    <t>Смирнов Сергей Алексеевич</t>
  </si>
  <si>
    <t>Ковальчук Ирина Григорьевна</t>
  </si>
  <si>
    <t>Бражник Евгений Петрович</t>
  </si>
  <si>
    <t>Нежевенко Константин Владимирович</t>
  </si>
  <si>
    <t>Моисеев Алексей Сергеевич</t>
  </si>
  <si>
    <t>Покровский Роман Витальевич</t>
  </si>
  <si>
    <t>Гончаров Максим Владимирович</t>
  </si>
  <si>
    <t>Чапайкин Кирилл Кириллович</t>
  </si>
  <si>
    <t>Управляющая компания РУСТ РОССИЯ, АО</t>
  </si>
  <si>
    <t>Герасименко Антон Юрьевич</t>
  </si>
  <si>
    <t>Ро Ёнгнам</t>
  </si>
  <si>
    <t>Управляющая компания ЛЮБЕРЕЦКИЙ ВОДОКАНАЛ, АО</t>
  </si>
  <si>
    <t>Карловский Алексей Александрович</t>
  </si>
  <si>
    <t>Беляков Владимир Анатольевич</t>
  </si>
  <si>
    <t>Архипкина Мария Михайловна</t>
  </si>
  <si>
    <t>Управляющая компания МЕТАЛЛОИНВЕСТ, ООО УК</t>
  </si>
  <si>
    <t>Лебединский Юрий Алексеевич</t>
  </si>
  <si>
    <t>Фокин Сергей Владимирович</t>
  </si>
  <si>
    <t>Мельников Сергей Фёдорович</t>
  </si>
  <si>
    <t>Самарина Инна Антоновна</t>
  </si>
  <si>
    <t>Посполитак Сергей Алексеевич</t>
  </si>
  <si>
    <t>Шуликин Николай Константинович</t>
  </si>
  <si>
    <t>Осипов Алексей Сергеевич</t>
  </si>
  <si>
    <t>Управляющая компания ЛЕГЕНДА, ООО</t>
  </si>
  <si>
    <t>Дылюк Андрей Сергеевич</t>
  </si>
  <si>
    <t>Цао Цзиньлян</t>
  </si>
  <si>
    <t>Чихачев Евгений Борисович</t>
  </si>
  <si>
    <t>Сидорков Алексей Александрович</t>
  </si>
  <si>
    <t>Некрасова Людмила Ивановна</t>
  </si>
  <si>
    <t>Самкович Алексей Евгеньевич</t>
  </si>
  <si>
    <t>Крутова Анна Владимировна</t>
  </si>
  <si>
    <t>Назарова Лилия Валерьяновна</t>
  </si>
  <si>
    <t>Лаптев Никита Александрович</t>
  </si>
  <si>
    <t>Романенко Андрей Владимирович</t>
  </si>
  <si>
    <t>Управляющая компания ЛЕМАКС, АО ТПО</t>
  </si>
  <si>
    <t>Петерс Иван Иванович</t>
  </si>
  <si>
    <t>Лебедской-Тамбиев Михаил Андреевич</t>
  </si>
  <si>
    <t>Голубовский Дмитрий Викторович</t>
  </si>
  <si>
    <t>Даутов Данис Нафисович</t>
  </si>
  <si>
    <t>Волкович Андрей Леонидович</t>
  </si>
  <si>
    <t>Голубов Андрей Маркович</t>
  </si>
  <si>
    <t>Алексеев Артем Васильевич</t>
  </si>
  <si>
    <t>Панин Сергей Александрович</t>
  </si>
  <si>
    <t>Вебер Анатолий Анатольевич</t>
  </si>
  <si>
    <t>Ласута Борис Андреевич</t>
  </si>
  <si>
    <t>Трусова Ольга Ивановна</t>
  </si>
  <si>
    <t>Мамаев Геннадий Александрович</t>
  </si>
  <si>
    <t>Данилевская Галина Юрьевна</t>
  </si>
  <si>
    <t>Крылов Дмитрий Александрович</t>
  </si>
  <si>
    <t>Гавренев Евгений Рудольфович</t>
  </si>
  <si>
    <t>Богданов Антон Викторович</t>
  </si>
  <si>
    <t>Кундюков Тимофей Владимирович</t>
  </si>
  <si>
    <t>Севостьянов Иван Валерьевич</t>
  </si>
  <si>
    <t>Фадеева Елена Валерьевна</t>
  </si>
  <si>
    <t>Клеймёнов Александр Владимирович</t>
  </si>
  <si>
    <t>Шенк Бернхард Йозеф</t>
  </si>
  <si>
    <t>Ситников Дмитрий Андреевич</t>
  </si>
  <si>
    <t>Кривошеев Виталий Владимирович</t>
  </si>
  <si>
    <t>Гутенев Александр Борисович</t>
  </si>
  <si>
    <t>Соколова Татьяна Алексеевна</t>
  </si>
  <si>
    <t>Спрысков Сергей Владимирович</t>
  </si>
  <si>
    <t>Салимшин Рустам Рифович</t>
  </si>
  <si>
    <t>Потапенко Артём Викторович</t>
  </si>
  <si>
    <t>Соловенчук Виктория Леонидовна</t>
  </si>
  <si>
    <t>Филиппов Алексей Викторович</t>
  </si>
  <si>
    <t>Марков Юрий Михайлович</t>
  </si>
  <si>
    <t>Дубов Алексей Валентинович</t>
  </si>
  <si>
    <t>Ибрагимова Екатерина Александровна</t>
  </si>
  <si>
    <t>Озат Хасан Эмре</t>
  </si>
  <si>
    <t>Анисимов Марк</t>
  </si>
  <si>
    <t>Мельников Вадим Михайлович</t>
  </si>
  <si>
    <t>Лебедев Валентин Юрьевич</t>
  </si>
  <si>
    <t>Рощупкина Анна Борисовна</t>
  </si>
  <si>
    <t>Антонов Павел Владимирович</t>
  </si>
  <si>
    <t>Стотыка Николай Борисович</t>
  </si>
  <si>
    <t>Картамышев Антон Викторович</t>
  </si>
  <si>
    <t>Малльманн Аксель Матиас</t>
  </si>
  <si>
    <t>Бычин Василий Николаевич</t>
  </si>
  <si>
    <t>Якушев Петр Алексеевич</t>
  </si>
  <si>
    <t>Трубина Наталья Александровна</t>
  </si>
  <si>
    <t>Трубин Сергей Владимирович</t>
  </si>
  <si>
    <t>Цивилев Сергей Анатольевич</t>
  </si>
  <si>
    <t>Алгинина Людмила Владимировна</t>
  </si>
  <si>
    <t>Кораблев Александр Петрович</t>
  </si>
  <si>
    <t>Маслов Олег Александрович</t>
  </si>
  <si>
    <t>Анурьев Сергей Валерьевич</t>
  </si>
  <si>
    <t>Заглядин Олег Владимирович</t>
  </si>
  <si>
    <t>Давыдов Алексей Михайлович</t>
  </si>
  <si>
    <t>Мельников Алексей Сергеевич</t>
  </si>
  <si>
    <t>Шаламов Евгений Алексеевич</t>
  </si>
  <si>
    <t>Виллер Елена Борисовна</t>
  </si>
  <si>
    <t>Бадалов Артур Григорьевич</t>
  </si>
  <si>
    <t>Махмудов Рагим Фикрет Оглы</t>
  </si>
  <si>
    <t>Наумкин Александр Николаевич</t>
  </si>
  <si>
    <t>Завгородний Дмитрий Александрович</t>
  </si>
  <si>
    <t>Цыпленков Виталий Витальевич</t>
  </si>
  <si>
    <t>Рыстаков Роман Вячеславович</t>
  </si>
  <si>
    <t>Шевелёв Николай Владимирович</t>
  </si>
  <si>
    <t>Фадеева Екатерина Юрьевна</t>
  </si>
  <si>
    <t>Потапов Виталий Евгеньевич</t>
  </si>
  <si>
    <t>Варфоломеев Василий Анатольевич</t>
  </si>
  <si>
    <t>Гюнай Эрай</t>
  </si>
  <si>
    <t>Панин Олег Владимирович</t>
  </si>
  <si>
    <t>Кузнецова Лариса Сергеевна</t>
  </si>
  <si>
    <t>Арефьев Алексей Алексеевич</t>
  </si>
  <si>
    <t>Ларионов Сергей Александрович</t>
  </si>
  <si>
    <t>Хаустов Олег Игоревич</t>
  </si>
  <si>
    <t>Шорох Анна Андреевна</t>
  </si>
  <si>
    <t>Ким Чжун Ен</t>
  </si>
  <si>
    <t>Андерсен Мортен Бундгорд</t>
  </si>
  <si>
    <t>Демин Андрей Александрович</t>
  </si>
  <si>
    <t>Киселёв Леонид Андреевич</t>
  </si>
  <si>
    <t>Потапенко Федор Михайлович</t>
  </si>
  <si>
    <t>Кваснюк Леонид Яковлевич</t>
  </si>
  <si>
    <t>Управляющая компания УК ЛСК, ООО</t>
  </si>
  <si>
    <t>Лишиленко Петр Иванович</t>
  </si>
  <si>
    <t>Бегоулев Сергей Анатольевич</t>
  </si>
  <si>
    <t>Нестеров Виталий Александрович</t>
  </si>
  <si>
    <t>Возиянов Михаил Владимирович</t>
  </si>
  <si>
    <t>Маковеев Сергей Васильевич</t>
  </si>
  <si>
    <t>Пилиповский Дмитрий Гарьевич</t>
  </si>
  <si>
    <t>Буженинов Евгений Леонидович</t>
  </si>
  <si>
    <t>Орешко Артём Анатольевич</t>
  </si>
  <si>
    <t>Теслин Антон Андреевич</t>
  </si>
  <si>
    <t>Долматов Сергей Юрьевич</t>
  </si>
  <si>
    <t>Смирнов Сергей Александрович</t>
  </si>
  <si>
    <t>Ананьева Людмила Викторовна</t>
  </si>
  <si>
    <t>Веревко Андрей Евгеньевич</t>
  </si>
  <si>
    <t>Рожок Валентин Александрович</t>
  </si>
  <si>
    <t>Гамзян Мери Григорьевна</t>
  </si>
  <si>
    <t>Гусев Сергей Владимирович</t>
  </si>
  <si>
    <t>Ставцева Елена Валерьевна</t>
  </si>
  <si>
    <t>Шапошников Сергей Анатольевич</t>
  </si>
  <si>
    <t>Чистова-Макарова Елена Викторовна</t>
  </si>
  <si>
    <t>Иванов Роман Николаевич</t>
  </si>
  <si>
    <t>Зотов Алексей Николаевич</t>
  </si>
  <si>
    <t>Воробьев Вадим Николаевич</t>
  </si>
  <si>
    <t>Басарабец Игорь Валерьевич</t>
  </si>
  <si>
    <t>Замерлов Роман Евгеньевич</t>
  </si>
  <si>
    <t>Браун Владимир Александрович</t>
  </si>
  <si>
    <t>Бояркин Владимир Николаевич</t>
  </si>
  <si>
    <t>Косов Владимир Алексеевич</t>
  </si>
  <si>
    <t>Иванов Александр Петрович</t>
  </si>
  <si>
    <t>Зимин Михаил Юрьевич</t>
  </si>
  <si>
    <t>Зубарев Владислав Петрович</t>
  </si>
  <si>
    <t>Воеводкин Вадим Леонидович</t>
  </si>
  <si>
    <t>Корунов Александр Александрович</t>
  </si>
  <si>
    <t>Кесслер Юрий Александрович</t>
  </si>
  <si>
    <t>Голованев Александр Сергеевич</t>
  </si>
  <si>
    <t>Безе Ярослав Игоревич</t>
  </si>
  <si>
    <t>Управляющая компания ЛУКОЙЛ-АЭРО, ООО</t>
  </si>
  <si>
    <t>Богданов Андрей Юрьевич</t>
  </si>
  <si>
    <t>Ляшко Николай Николаевич</t>
  </si>
  <si>
    <t>Андронов Сергей Михайлович</t>
  </si>
  <si>
    <t>Третьяков Олег Владимирович</t>
  </si>
  <si>
    <t>Егоров Виктор Викторович</t>
  </si>
  <si>
    <t>Бородин Илья Викторович</t>
  </si>
  <si>
    <t>Хитров Максим Юрьевич</t>
  </si>
  <si>
    <t>Кренкель Эрнст Теодорович</t>
  </si>
  <si>
    <t>Махнев Алексей Викторович</t>
  </si>
  <si>
    <t>Иванов Алексей Юрьевич</t>
  </si>
  <si>
    <t>Абузяров Айдар Суфиянович</t>
  </si>
  <si>
    <t>Гаврилец Андрей Иванович</t>
  </si>
  <si>
    <t>Федоров Александр Борисович</t>
  </si>
  <si>
    <t>Управляющая компания ЛУКОЙЛ-ЭНЕРГОСЕТИ, ООО</t>
  </si>
  <si>
    <t>Шашин Алексей Валерьевич</t>
  </si>
  <si>
    <t>Ежов Юрий Юрьевич</t>
  </si>
  <si>
    <t>Стреха Дмитрий Павлович</t>
  </si>
  <si>
    <t>Юханссон Бу Маттиас</t>
  </si>
  <si>
    <t>Ли Кайвэнь</t>
  </si>
  <si>
    <t>Самойленко Алексей Геннадьевич</t>
  </si>
  <si>
    <t>Амирханов Зураб Султан-Гиреевич</t>
  </si>
  <si>
    <t>Игнатов Александр Николаевич</t>
  </si>
  <si>
    <t>Даниленко Татьяна Александровна</t>
  </si>
  <si>
    <t>Мураткин Александр Михайлович</t>
  </si>
  <si>
    <t>Харин Алексей Николаевич</t>
  </si>
  <si>
    <t>Болотный Эдуард Васильевич</t>
  </si>
  <si>
    <t>Вальтер Геннадий Фридрихович</t>
  </si>
  <si>
    <t>Управляющая компания ГУЛЛИВЕР ГРУПП, ООО</t>
  </si>
  <si>
    <t>Егоров Андрей Александрович</t>
  </si>
  <si>
    <t>Ким Евгений Евгеньевич</t>
  </si>
  <si>
    <t>Мельников Александр Валерьевич</t>
  </si>
  <si>
    <t>Яремко Константин Игоревич</t>
  </si>
  <si>
    <t>Комаров Александр Александрович</t>
  </si>
  <si>
    <t>Лебедев Алексей Анатольевич</t>
  </si>
  <si>
    <t>Машенин Андрей Александрович</t>
  </si>
  <si>
    <t>Пахомов Вадим Александрович</t>
  </si>
  <si>
    <t>Костин Евгений Викторович</t>
  </si>
  <si>
    <t>Бударин Виталий Александрович</t>
  </si>
  <si>
    <t>Алексеев Эдуард Борисович</t>
  </si>
  <si>
    <t>Каток Сергей Васильевич</t>
  </si>
  <si>
    <t>Киршин Александр Сергеевич</t>
  </si>
  <si>
    <t>Гаянов Ленар Исламович</t>
  </si>
  <si>
    <t>Коваленко Олег Павлович</t>
  </si>
  <si>
    <t>Милотворский Владимир Эвальдович</t>
  </si>
  <si>
    <t>Гугуберидзе Теймураз Владимирович</t>
  </si>
  <si>
    <t>Лукьянова Елена Яковлевна</t>
  </si>
  <si>
    <t>Бочков Денис Александрович</t>
  </si>
  <si>
    <t>Борисовец Дмитрий Леонидович</t>
  </si>
  <si>
    <t>Паньков Александр Павлович</t>
  </si>
  <si>
    <t>Саакян Сос Вачаганович</t>
  </si>
  <si>
    <t>Сиушов Сергей Иванович</t>
  </si>
  <si>
    <t>Казаков Михаил Александрович</t>
  </si>
  <si>
    <t>Смолин Илья Алексеевич</t>
  </si>
  <si>
    <t>Кузнецов Сергей Владимирович</t>
  </si>
  <si>
    <t>Буйлов Сергей Юрьевич</t>
  </si>
  <si>
    <t>Егоян Карен Грачьевич</t>
  </si>
  <si>
    <t>Орлов Андрей Витальевич</t>
  </si>
  <si>
    <t>Захаров Дмитрий Олегович</t>
  </si>
  <si>
    <t>Корончик Сергей Николаевич</t>
  </si>
  <si>
    <t>Чижиков Александр Владимирович</t>
  </si>
  <si>
    <t>Магомадов Мовсар Рамзанович</t>
  </si>
  <si>
    <t>Конев Сергей Викторович</t>
  </si>
  <si>
    <t>Костин Сергей Васильевич</t>
  </si>
  <si>
    <t>Орндорфф Бенджамин Оуэн</t>
  </si>
  <si>
    <t>Даутов Равиль Рожанович</t>
  </si>
  <si>
    <t>Четинелли Мустафа Ата</t>
  </si>
  <si>
    <t>Королев Илья Николаевич</t>
  </si>
  <si>
    <t>Гуров Андрей Николаевич</t>
  </si>
  <si>
    <t>Ложинский Роман Станиславович</t>
  </si>
  <si>
    <t>Новосельцев Александр Николаевич</t>
  </si>
  <si>
    <t>Можаева Светлана Александровна</t>
  </si>
  <si>
    <t>Фалин Николай Анатольевич</t>
  </si>
  <si>
    <t>Лобанов Денис Валерьевич</t>
  </si>
  <si>
    <t>Плясунков Михаил Александрович</t>
  </si>
  <si>
    <t>Управляющая компания УК М-ГРУПП, ООО</t>
  </si>
  <si>
    <t>Мамруков Руслан Довлетчериевич</t>
  </si>
  <si>
    <t>Селев Павел Юрьевич</t>
  </si>
  <si>
    <t>Вохомский Тимур Андреевич</t>
  </si>
  <si>
    <t>Бызов Дмитрий Владимирович</t>
  </si>
  <si>
    <t>Чамкин Сергей Алексеевич</t>
  </si>
  <si>
    <t>Черносвитова Елена Васильевна</t>
  </si>
  <si>
    <t>Эскандер Эмад Адиб Фахми</t>
  </si>
  <si>
    <t>Храмцов Александр Валентинович</t>
  </si>
  <si>
    <t>До Суан Хоанг</t>
  </si>
  <si>
    <t>Бедарев Михаил Владимирович</t>
  </si>
  <si>
    <t>Козырев Евгений Владимирович</t>
  </si>
  <si>
    <t>Серяев Евгений Александрович</t>
  </si>
  <si>
    <t>Кузьмин Андрей Валерьевич</t>
  </si>
  <si>
    <t>Ракшин Александр Федорович</t>
  </si>
  <si>
    <t>Булум Айдыноглу Йешим</t>
  </si>
  <si>
    <t>Заборская Ольга Ивановна</t>
  </si>
  <si>
    <t>Сафонов Игорь Александрович</t>
  </si>
  <si>
    <t>Масык Анастасия Михайловна</t>
  </si>
  <si>
    <t>Звонкова Екатерина Владимировна</t>
  </si>
  <si>
    <t>Малышев Сергей Константинович</t>
  </si>
  <si>
    <t>Старостенко Игорь Владимирович</t>
  </si>
  <si>
    <t>Батруни Махер</t>
  </si>
  <si>
    <t>Долгова Наталия Александровна</t>
  </si>
  <si>
    <t>Кравченко Лилия Фаритовна</t>
  </si>
  <si>
    <t>Карапетян Артем Карленович</t>
  </si>
  <si>
    <t>Ли Готти Филиппо</t>
  </si>
  <si>
    <t>Архипченко Александр Юрьевич</t>
  </si>
  <si>
    <t>Булдыгина Ирина Николаевна</t>
  </si>
  <si>
    <t>Краснянская Оксана Леонидовна</t>
  </si>
  <si>
    <t>Шварц Леонид Семенович</t>
  </si>
  <si>
    <t>Соколенко Павел Анатольевич</t>
  </si>
  <si>
    <t>Жирнов Николай Александрович</t>
  </si>
  <si>
    <t>Ашихмин Владислав Юрьевич</t>
  </si>
  <si>
    <t>Верховых Андрей Николаевич</t>
  </si>
  <si>
    <t>Игумнов Дмитрий Владимирович</t>
  </si>
  <si>
    <t>Управляющая компания БЕРШКА СНГ, ООО</t>
  </si>
  <si>
    <t>Макаров Сергей Александрович</t>
  </si>
  <si>
    <t>Управляющая компания ЧЕМПИОН ЭКС СЕРВИСИЗ, ООО</t>
  </si>
  <si>
    <t>Уткин Александр Витальевич</t>
  </si>
  <si>
    <t>Постников Владимир Владимирович</t>
  </si>
  <si>
    <t>Купреев Анатолий Александрович</t>
  </si>
  <si>
    <t>Фомцов Владимир Дмитриевич</t>
  </si>
  <si>
    <t>Шульга Сергей Викторович</t>
  </si>
  <si>
    <t>Смирнов Алексей Викторович</t>
  </si>
  <si>
    <t>Ефремова Татьяна Сергеевна</t>
  </si>
  <si>
    <t>Садыков Мехрубон Хилолиддинович</t>
  </si>
  <si>
    <t>Андреев Александр Вадимович</t>
  </si>
  <si>
    <t>Войтегина Марина Дмитриевна</t>
  </si>
  <si>
    <t>Акимова Елена Вячеславовна</t>
  </si>
  <si>
    <t>Кононов Максим Вениаминович</t>
  </si>
  <si>
    <t>Вдонин Владимир Васильевич</t>
  </si>
  <si>
    <t>Управляющая компания ИКС5-ВОСТОЧНАЯ СИБИРЬ, ООО</t>
  </si>
  <si>
    <t>Голубев Владимир Александрович</t>
  </si>
  <si>
    <t>Мищенко Анатолий Валерьевич</t>
  </si>
  <si>
    <t>Бурлаков Максим Вячеславович</t>
  </si>
  <si>
    <t>Суставов Илья Константинович</t>
  </si>
  <si>
    <t>Косенкова Светлана Константиновна</t>
  </si>
  <si>
    <t>Будущев Сергей Николаевич</t>
  </si>
  <si>
    <t>Бабаян Михаил Вигенович</t>
  </si>
  <si>
    <t>Фролов Павел Владимирович</t>
  </si>
  <si>
    <t>Ветлов Сергей Анатольевич</t>
  </si>
  <si>
    <t>Ужахов Билан Абдурахимович</t>
  </si>
  <si>
    <t>Горячев Сергей Юрьевич</t>
  </si>
  <si>
    <t>Соболев Евгений Владимирович</t>
  </si>
  <si>
    <t>Магомедов Асхабали Агабекович</t>
  </si>
  <si>
    <t>Налогин Дмитрий Олегович</t>
  </si>
  <si>
    <t>Управляющая компания МЕТРО КЭШ ЭНД КЕРРИ, ООО</t>
  </si>
  <si>
    <t>Нормантович Татьяна Олеговна</t>
  </si>
  <si>
    <t>Ахмадов Муса Доттаевич</t>
  </si>
  <si>
    <t>Халиев Илья Эльбрусович</t>
  </si>
  <si>
    <t>Дьяченко Виталий Павлович</t>
  </si>
  <si>
    <t>Горинов Александр Сергеевич</t>
  </si>
  <si>
    <t>Лега Роман Валентинович</t>
  </si>
  <si>
    <t>Кац Ефим Ильич</t>
  </si>
  <si>
    <t>Мужель Люк Ролан Виктор</t>
  </si>
  <si>
    <t>Панин Иван Алексеевич</t>
  </si>
  <si>
    <t>Воропаев Евгений Иванович</t>
  </si>
  <si>
    <t>Бражевский Сергей Викторович</t>
  </si>
  <si>
    <t>Корупятник Геннадий Павлович</t>
  </si>
  <si>
    <t>Капчиц Филипп Сергеевич</t>
  </si>
  <si>
    <t>Фризен Василий Генрихович</t>
  </si>
  <si>
    <t>Глушаков Алексей Николаевич</t>
  </si>
  <si>
    <t>Николаев Юрий Викторович</t>
  </si>
  <si>
    <t>Колмыков Александр Михайлович</t>
  </si>
  <si>
    <t>Аброкова Елена Владимировна</t>
  </si>
  <si>
    <t>Умаров Ибрагим Шараниевич</t>
  </si>
  <si>
    <t>Борзилов Давид Георгиевич</t>
  </si>
  <si>
    <t>Мирзаханян Оганнес Карапетович</t>
  </si>
  <si>
    <t>Зайцев Владимир Игнатьевич</t>
  </si>
  <si>
    <t>Барабанов Алексей Львович</t>
  </si>
  <si>
    <t>Емельянов Роман Александрович</t>
  </si>
  <si>
    <t>Бондаренко Андрей Леонидович</t>
  </si>
  <si>
    <t>Бартенев Дмитрий Павлович</t>
  </si>
  <si>
    <t>Сачевкин Василий Альбертович</t>
  </si>
  <si>
    <t>Тишман Михаил Иосифович</t>
  </si>
  <si>
    <t>Шаталин Дмитрий Александрович</t>
  </si>
  <si>
    <t>Управляющая компания МЕДИПАЛ, ООО</t>
  </si>
  <si>
    <t>Шальнев Игорь Михайлович</t>
  </si>
  <si>
    <t>Назаров Антон Юрьевич</t>
  </si>
  <si>
    <t>Ройтберг Григорий Ефимович</t>
  </si>
  <si>
    <t>Балдин Андрей Валерьевич</t>
  </si>
  <si>
    <t>Абрамов Игорь Сергеевич</t>
  </si>
  <si>
    <t>Громозда Кирилл Станиславович</t>
  </si>
  <si>
    <t>Аминев Рустам Айратович</t>
  </si>
  <si>
    <t>Аносов Андрей Викторович</t>
  </si>
  <si>
    <t>Плясунова Елена Викторовна</t>
  </si>
  <si>
    <t>Сараджан Александр Александрович</t>
  </si>
  <si>
    <t>Милютин Олег Геннадьевич</t>
  </si>
  <si>
    <t>Кононенко Василий Александрович</t>
  </si>
  <si>
    <t>Сапрыкин Дмитрий Петрович</t>
  </si>
  <si>
    <t>Романцов Сергей Анатольевич</t>
  </si>
  <si>
    <t>Управляющая компания АЭРОДИНАМИКА, ООО</t>
  </si>
  <si>
    <t>Управляющая компания НОВАЯ ГОРНАЯ УК, ООО</t>
  </si>
  <si>
    <t>Халецкий Федор Николаевич</t>
  </si>
  <si>
    <t>Цыварев Александр Петрович</t>
  </si>
  <si>
    <t>Иванова Оксана Виталиевна</t>
  </si>
  <si>
    <t>Дьяк Роман Анатольевич</t>
  </si>
  <si>
    <t>Малахова Лариса Георгиевна</t>
  </si>
  <si>
    <t>Авласевич Олег Иванович</t>
  </si>
  <si>
    <t>Ляпустин Игорь Витальевич</t>
  </si>
  <si>
    <t>Лапшин Олег Николаевич</t>
  </si>
  <si>
    <t>Тихомиров Роман Викторович</t>
  </si>
  <si>
    <t>Караваев Николай Сергеевич</t>
  </si>
  <si>
    <t>Маркина Людмила Николаевна</t>
  </si>
  <si>
    <t>Старовойтов Олег Дмитриевич</t>
  </si>
  <si>
    <t>Комлев Алексей Вячеславович</t>
  </si>
  <si>
    <t>Печерица Сергей Владимирович</t>
  </si>
  <si>
    <t>Крупенко Игорь Васильевич</t>
  </si>
  <si>
    <t>Королев Максим Олегович</t>
  </si>
  <si>
    <t>Храмцов Игорь Александрович</t>
  </si>
  <si>
    <t>Белогорцев Александр Владимирович</t>
  </si>
  <si>
    <t>Катлицкий Юрий Александрович</t>
  </si>
  <si>
    <t>Харлан Юрий Александрович</t>
  </si>
  <si>
    <t>Хусаинов Дамир Шавкатович</t>
  </si>
  <si>
    <t>Воробьев Игорь Валерьевич</t>
  </si>
  <si>
    <t>Любушкин Сергей Борисович</t>
  </si>
  <si>
    <t>Власов Алексей Александрович</t>
  </si>
  <si>
    <t>Шевцова Лилия Юрьевна</t>
  </si>
  <si>
    <t>Могилин Константин Анатольевич</t>
  </si>
  <si>
    <t>Михайлов Борис Сергеевич</t>
  </si>
  <si>
    <t>Королева Наталья Анатольевна</t>
  </si>
  <si>
    <t>Степанова Ольга Валерьевна</t>
  </si>
  <si>
    <t>Колковский Вячеслав Александрович</t>
  </si>
  <si>
    <t>Аглиуллин Артур Венерович</t>
  </si>
  <si>
    <t>Гафуров Вадим Анисович</t>
  </si>
  <si>
    <t>Саватеев Игорь Леонардович</t>
  </si>
  <si>
    <t>Кузнецов Валерий Леонидович</t>
  </si>
  <si>
    <t>Усик Иван Сергеевич</t>
  </si>
  <si>
    <t>Канцеров Андрей Вадимович</t>
  </si>
  <si>
    <t>Управляющая компания УК МЕТАФРАКС ГРУПП, ООО</t>
  </si>
  <si>
    <t>Абдуалинов Мрат Болтаевич</t>
  </si>
  <si>
    <t>Цороев Харон Бисолтович</t>
  </si>
  <si>
    <t>Кадников Михаил Валентинович</t>
  </si>
  <si>
    <t>Баскакова Дарья Петровна</t>
  </si>
  <si>
    <t>Белоусов Александр Сергеевич</t>
  </si>
  <si>
    <t>Манченко Александр Петрович</t>
  </si>
  <si>
    <t>Долбенев Алексей Иванович</t>
  </si>
  <si>
    <t>Управляющая компания УК РЕГИОНБИЗНЕСПРОЕКТ, АО</t>
  </si>
  <si>
    <t>Логинов Владимир Анатольевич</t>
  </si>
  <si>
    <t>Леонтьев Андрей Георгиевич</t>
  </si>
  <si>
    <t>Чащин Александр Юрьевич</t>
  </si>
  <si>
    <t>Баукин Петр Вячеславович</t>
  </si>
  <si>
    <t>Ахапкина Наталья Валерьевна</t>
  </si>
  <si>
    <t>Шабуров Артем Алексеевич</t>
  </si>
  <si>
    <t>Толай Йоханнес Мария</t>
  </si>
  <si>
    <t>Павлов Андрей Валерьевич</t>
  </si>
  <si>
    <t>Суппес Валерий Рейнгольдович</t>
  </si>
  <si>
    <t>Гаранов Сергей Увайсович</t>
  </si>
  <si>
    <t>Соловьев Андрей Олегович</t>
  </si>
  <si>
    <t>Королев Александр Николаевич</t>
  </si>
  <si>
    <t>Шильников Евгений Владимирович</t>
  </si>
  <si>
    <t>Управляющая компания АПАТИТ, АО</t>
  </si>
  <si>
    <t>Управляющая компания УК МЕЧЕЛ-МАЙНИНГ, ООО</t>
  </si>
  <si>
    <t>Пархомчук Николай Владимирович</t>
  </si>
  <si>
    <t>Полянский Леонид Анатольевич</t>
  </si>
  <si>
    <t>Управляющая компания УК МЕЧЕЛ -ТРАНС, ООО</t>
  </si>
  <si>
    <t>Фоменко Алексей Валерьевич</t>
  </si>
  <si>
    <t>Сычев Александр Владимирович</t>
  </si>
  <si>
    <t>Кейзер Анатолий Анатольевич</t>
  </si>
  <si>
    <t>Гукасян Артур Юрьевич</t>
  </si>
  <si>
    <t>Чиквашвили Давид Даниелович</t>
  </si>
  <si>
    <t>Трунов Сергей Иванович</t>
  </si>
  <si>
    <t>Якимов Алексей Михайлович</t>
  </si>
  <si>
    <t>Колесов Олег Леонардович</t>
  </si>
  <si>
    <t>Ким Сергей Власович</t>
  </si>
  <si>
    <t>Управляющая компания ПК, ООО</t>
  </si>
  <si>
    <t>Кружалина Наталья Ивановна</t>
  </si>
  <si>
    <t>Морозюк Дмитрий Вячеславович</t>
  </si>
  <si>
    <t>Сои Викас</t>
  </si>
  <si>
    <t>Сюн Вэй</t>
  </si>
  <si>
    <t>Новикова Ирина Владимировна</t>
  </si>
  <si>
    <t>Сапрыкин Василий Евгеньевич</t>
  </si>
  <si>
    <t>Маслаков Константин Владимирович</t>
  </si>
  <si>
    <t>Ревин Денис Павлович</t>
  </si>
  <si>
    <t>Кочетков Дмитрий Григорьевич</t>
  </si>
  <si>
    <t>Шумейко Валерий Вячеславович</t>
  </si>
  <si>
    <t>Хомич Алексей Иванович</t>
  </si>
  <si>
    <t>Мусинов Дмитрий Евгеньевич</t>
  </si>
  <si>
    <t>Попков Борис Владимирович</t>
  </si>
  <si>
    <t>Малькова Жанна Анатольевна</t>
  </si>
  <si>
    <t>Прохоров Владимир Иванович</t>
  </si>
  <si>
    <t>Куликовский Сергей Михайлович</t>
  </si>
  <si>
    <t>Управляющая компания АГРОХОЛДИНГ ИВНЯНСКИЙ, ООО</t>
  </si>
  <si>
    <t>Янич Мирослав</t>
  </si>
  <si>
    <t>Кожанов Кирилл Евгеньевич</t>
  </si>
  <si>
    <t>Ступак Игорь Александрович</t>
  </si>
  <si>
    <t>Колесникова Яна Александровна</t>
  </si>
  <si>
    <t>Краттли Кирилл Витальевич</t>
  </si>
  <si>
    <t>Покотилов Михаил Борисович</t>
  </si>
  <si>
    <t>Хухорев Владимир Викторович</t>
  </si>
  <si>
    <t>Сытник Ливиу</t>
  </si>
  <si>
    <t>Гордеев Евгений Олегович</t>
  </si>
  <si>
    <t>Воркин Владимир Михайлович</t>
  </si>
  <si>
    <t>Сизиков Александр Васильевич</t>
  </si>
  <si>
    <t>Сакамото Ёшихиро</t>
  </si>
  <si>
    <t>Буряченко Роман Александрович</t>
  </si>
  <si>
    <t>Молоканов Дмитрий Николаевич</t>
  </si>
  <si>
    <t>Мельникова Наталья Борисовна</t>
  </si>
  <si>
    <t>Девяткин Сергей Владимирович</t>
  </si>
  <si>
    <t>Богославский Григорий Григорьевич</t>
  </si>
  <si>
    <t>Вайнер Вадим Евгеньевич</t>
  </si>
  <si>
    <t>Гороховская Наталия Германовна</t>
  </si>
  <si>
    <t>Филимонов Юрий Владимирович</t>
  </si>
  <si>
    <t>Стоян Виталий Владимирович</t>
  </si>
  <si>
    <t>Старцев Александр Николаевич</t>
  </si>
  <si>
    <t>Управляющая компания ЭКОЛОГИЧЕСКОЕ УПРАВЛЕНИЕ, ООО</t>
  </si>
  <si>
    <t>Управляющая компания МИРРИКО МЕНЕДЖМЕНТ, ООО</t>
  </si>
  <si>
    <t>Кеменов Алексей Алексеевич</t>
  </si>
  <si>
    <t>Анисимов Сергей Владимирович</t>
  </si>
  <si>
    <t>Гончаров Андрей Сергеевич</t>
  </si>
  <si>
    <t>Хайдаров Фарит Рифович</t>
  </si>
  <si>
    <t>Феслер Вячеслав Яковлевич</t>
  </si>
  <si>
    <t>Корнеев Алексей Евгеньевич</t>
  </si>
  <si>
    <t>Антимонов Александр Петрович</t>
  </si>
  <si>
    <t>Майзанов Вадим Борисович</t>
  </si>
  <si>
    <t>Урлапов Василий Геннадьевич</t>
  </si>
  <si>
    <t>Коршиков Алексей Николаевич</t>
  </si>
  <si>
    <t>Кузнецов Алексей Владимирович</t>
  </si>
  <si>
    <t>Положенко Павел Владимирович</t>
  </si>
  <si>
    <t>Александрович Владимир Валерьевич</t>
  </si>
  <si>
    <t>Харченко Владимир Федорович</t>
  </si>
  <si>
    <t>Чумаченко Денис Николаевич</t>
  </si>
  <si>
    <t>Исхаков Ильфат Ильдусович</t>
  </si>
  <si>
    <t>Рыкованов Алексей Евгеньевич</t>
  </si>
  <si>
    <t>Шумаков Геннадий Александрович</t>
  </si>
  <si>
    <t>Хабалаева Инга Анзориевна</t>
  </si>
  <si>
    <t>Ерин Олег Николаевич</t>
  </si>
  <si>
    <t>Управляющая компания УК ЧЕРНОГОЛОВКА, ООО</t>
  </si>
  <si>
    <t>Менделеев Яков Михайлович</t>
  </si>
  <si>
    <t>Гнилов Антон Николаевич</t>
  </si>
  <si>
    <t>Капустина Анна Николаевна</t>
  </si>
  <si>
    <t>Басыров Рустем Рашитович</t>
  </si>
  <si>
    <t>Халецкая Галина Павловна</t>
  </si>
  <si>
    <t>Скрябина Наталья Юрьевна</t>
  </si>
  <si>
    <t>Глотов Артём Владимирович</t>
  </si>
  <si>
    <t>Коноплев Вадим Алексеевич</t>
  </si>
  <si>
    <t>Ли Ги Сан</t>
  </si>
  <si>
    <t>Хо Чжонхун</t>
  </si>
  <si>
    <t>Ольшанский Николай Викторович</t>
  </si>
  <si>
    <t>Дедович Михаил Владимирович</t>
  </si>
  <si>
    <t>Шафеев Даниил Рафаилович</t>
  </si>
  <si>
    <t>Девяцкий Павел Евгеньевич</t>
  </si>
  <si>
    <t>Петровнина Ольга Валерьевна</t>
  </si>
  <si>
    <t>Савкина Наталия Алексеевна</t>
  </si>
  <si>
    <t>Альтшуллер Александр Абрамович</t>
  </si>
  <si>
    <t>Артяков Дмитрий Владимирович</t>
  </si>
  <si>
    <t>Афанасьев Михаил Валентинович</t>
  </si>
  <si>
    <t>Строкатова Елена Михайловна</t>
  </si>
  <si>
    <t>Купин Александр Анатольевич</t>
  </si>
  <si>
    <t>Жуков Андрей Николаевич</t>
  </si>
  <si>
    <t>Худякова Юлия Викторовна</t>
  </si>
  <si>
    <t>Управляющая компания УК ШАХУНСКОЕ МОЛОКО, ООО</t>
  </si>
  <si>
    <t>Юрченко Виктор Николаевич</t>
  </si>
  <si>
    <t>Шарма Радж Анирудхович</t>
  </si>
  <si>
    <t>Кистайкина Жанна Вячеславовна</t>
  </si>
  <si>
    <t>Пехотин Игорь Юрьевич</t>
  </si>
  <si>
    <t>Галимова Лилия Раифовна</t>
  </si>
  <si>
    <t>Решетникова Ирина Валентиновна</t>
  </si>
  <si>
    <t>Колесов Владимир Павлович</t>
  </si>
  <si>
    <t>Родионов Александр Анатольевич</t>
  </si>
  <si>
    <t>Помбухчан Хачатур Эдуардович</t>
  </si>
  <si>
    <t>Головня Геннадий Владимирович</t>
  </si>
  <si>
    <t>Гукасян Армен Аванесович</t>
  </si>
  <si>
    <t>Полукаров Александр Витальевич</t>
  </si>
  <si>
    <t>Ривкин Никита Владиславович</t>
  </si>
  <si>
    <t>Пеллер Клаус Херберт</t>
  </si>
  <si>
    <t>Пашов Павел Дмитриевич</t>
  </si>
  <si>
    <t>Качалов Олег Викторович</t>
  </si>
  <si>
    <t>Адзинова Валентина Анатольевна</t>
  </si>
  <si>
    <t>Козлов Андрей Сергеевич</t>
  </si>
  <si>
    <t>Афанасьев Александр Викторович</t>
  </si>
  <si>
    <t>Мичурин Владимир Валериевич</t>
  </si>
  <si>
    <t>Хмелёв Александр Александрович</t>
  </si>
  <si>
    <t>Билалов Расул Кирманович</t>
  </si>
  <si>
    <t>Борщун Андрей Сергеевич</t>
  </si>
  <si>
    <t>Управляющая компания МОНОПОЛИЯ, АО</t>
  </si>
  <si>
    <t>Москалев Дмитрий Владиславович</t>
  </si>
  <si>
    <t>Агафонов Дмитрий Михайлович</t>
  </si>
  <si>
    <t>Блинов Николай Николаевич</t>
  </si>
  <si>
    <t>Осипов Евгений Владимирович</t>
  </si>
  <si>
    <t>Коренков Алексей Викторович</t>
  </si>
  <si>
    <t>Лялькин Виталий Александрович</t>
  </si>
  <si>
    <t>Букин Олег Владимирович</t>
  </si>
  <si>
    <t>Марачков Сергей Владимирович</t>
  </si>
  <si>
    <t>Кац Вадим Моисеевич</t>
  </si>
  <si>
    <t>Управляющая компания ТПС НЕДВИЖИМОСТЬ, АО</t>
  </si>
  <si>
    <t>Габидуллин Ренат Равильевич</t>
  </si>
  <si>
    <t>Гумбатов Роман Сабирович</t>
  </si>
  <si>
    <t>Кузнецов Юрий Валерьевич</t>
  </si>
  <si>
    <t>Жирнов Сергей Алексеевич</t>
  </si>
  <si>
    <t>Бирюков Олег Евгеньевич</t>
  </si>
  <si>
    <t>Косарева Эльвира Викторовна</t>
  </si>
  <si>
    <t>Афанасьев Роман Александрович</t>
  </si>
  <si>
    <t>Лынник Виктор Михайлович</t>
  </si>
  <si>
    <t>Громов Артем Александрович</t>
  </si>
  <si>
    <t>Духовный Геннадий Лазаревич</t>
  </si>
  <si>
    <t>Подольский Андрей Борисович</t>
  </si>
  <si>
    <t>Господарик Андрей Михайлович</t>
  </si>
  <si>
    <t>Пономаренко Александр Михайлович</t>
  </si>
  <si>
    <t>Ишханян Константин Рафаэлович</t>
  </si>
  <si>
    <t>Романов Дмитрий Константинович</t>
  </si>
  <si>
    <t>Гасангаджиев Гасан Гизбуллагович</t>
  </si>
  <si>
    <t>Мицук Игорь Владимирович</t>
  </si>
  <si>
    <t>Асаул Николай Анатольевич</t>
  </si>
  <si>
    <t>Сморугов Александр Алексеевич</t>
  </si>
  <si>
    <t>Кравцов Юрий Николаевич</t>
  </si>
  <si>
    <t>Ермак Роман Сергеевич</t>
  </si>
  <si>
    <t>Третьякова Светлана Тимофеевна</t>
  </si>
  <si>
    <t>Управляющая компания МОСКАПСТРОЙ, АО</t>
  </si>
  <si>
    <t>Пашкин Алексей Валерьевич</t>
  </si>
  <si>
    <t>Федоренко Владимир Анатольевич</t>
  </si>
  <si>
    <t>Пронин Дмитрий Валентинович</t>
  </si>
  <si>
    <t>Козловский Виктор Николаевич</t>
  </si>
  <si>
    <t>Серчугов Евгений Николаевич</t>
  </si>
  <si>
    <t>Добриков Павел Валерьевич</t>
  </si>
  <si>
    <t>Потекаев Николай Николаевич</t>
  </si>
  <si>
    <t>Панкратов Олег Александрович</t>
  </si>
  <si>
    <t>Авакян Вардан Нахапетович</t>
  </si>
  <si>
    <t>Управляющая компания ЭКОНИВА-ПРОДУКТЫ ПИТАНИЯ, ООО</t>
  </si>
  <si>
    <t>Жуков Сергей Анатольевич</t>
  </si>
  <si>
    <t>Баранов Игорь Анатольевич</t>
  </si>
  <si>
    <t>Цепляев Дмитрий Сергеевич</t>
  </si>
  <si>
    <t>Савельев Олег Юрьевич</t>
  </si>
  <si>
    <t>Бойко Владимир Александрович</t>
  </si>
  <si>
    <t>Меркулова Анна Дмитриевна</t>
  </si>
  <si>
    <t>Гурьев Олег Игоревич</t>
  </si>
  <si>
    <t>Григорян Арен Альбертович</t>
  </si>
  <si>
    <t>Назаренко Евгений Владимирович</t>
  </si>
  <si>
    <t>Устинов Андрей Александрович</t>
  </si>
  <si>
    <t>Колмаков Роман Анатольевич</t>
  </si>
  <si>
    <t>Тельнов Дмитрий Александрович</t>
  </si>
  <si>
    <t>Пирогов Олег Александрович</t>
  </si>
  <si>
    <t>Руссу Николай Александрович</t>
  </si>
  <si>
    <t>Подерёгин Александр Николаевич</t>
  </si>
  <si>
    <t>Шахназарян Ашот Эдуардович</t>
  </si>
  <si>
    <t>Кайгородов Сергей Владимирович</t>
  </si>
  <si>
    <t>Управляющая компания ГАЗПРОМ ЭНЕРГОХОЛДИНГ, ООО</t>
  </si>
  <si>
    <t>Ковалев Андрей Викторович</t>
  </si>
  <si>
    <t>Геленкова Ирина Аркадьевна</t>
  </si>
  <si>
    <t>Тронь Марина Ивановна</t>
  </si>
  <si>
    <t>Кокорева Юлия Ивановна</t>
  </si>
  <si>
    <t>Иноземцев Александр Валерьевич</t>
  </si>
  <si>
    <t>Козлов Денис Николаевич</t>
  </si>
  <si>
    <t>Королькова Наталья Валерьевна</t>
  </si>
  <si>
    <t>Громова Ирина Анатольевна</t>
  </si>
  <si>
    <t>Бакшук Дмитрий Игоревич</t>
  </si>
  <si>
    <t>Ромащенко Сергей Геннадьевич</t>
  </si>
  <si>
    <t>Борзенков Николай Алексеевич</t>
  </si>
  <si>
    <t>Еремеева Екатерина Владимировна</t>
  </si>
  <si>
    <t>Большухин Вячеслав Николаевич</t>
  </si>
  <si>
    <t>Бирюков Владислав Валентинович</t>
  </si>
  <si>
    <t>Селихов Вячеслав Юрьевич</t>
  </si>
  <si>
    <t>Дементьев Игорь Владимирович</t>
  </si>
  <si>
    <t>Управляющая компания УРАЛ- СИТНО, ООО</t>
  </si>
  <si>
    <t>Симонов Сергей Александрович</t>
  </si>
  <si>
    <t>Гугасян Светлана Михайловна</t>
  </si>
  <si>
    <t>Дейнеко Андрей Дмитриевич</t>
  </si>
  <si>
    <t>Литинецкая Мария Александровна</t>
  </si>
  <si>
    <t>Мустафаев Файяз Низами Оглы</t>
  </si>
  <si>
    <t>Савостенок Татьяна Эдуардовна</t>
  </si>
  <si>
    <t>Ширяев Олег Петрович</t>
  </si>
  <si>
    <t>Гимадиев Рустем Сахабутдинович</t>
  </si>
  <si>
    <t>Пятигор Александр Михайлович</t>
  </si>
  <si>
    <t>Дурнин Владимир Борисович</t>
  </si>
  <si>
    <t>Коробец Евгений Николаевич</t>
  </si>
  <si>
    <t>Ружевич Александар</t>
  </si>
  <si>
    <t>Зарипов Марсель Ниязович</t>
  </si>
  <si>
    <t>Рубцов Игорь Викторович</t>
  </si>
  <si>
    <t>Апалькин Константин Викторович</t>
  </si>
  <si>
    <t>Фрей Марк</t>
  </si>
  <si>
    <t>Управляющая компания ВСП, АО</t>
  </si>
  <si>
    <t>Сысоев Леонид Александрович</t>
  </si>
  <si>
    <t>Волков Валерий Евгеньевич</t>
  </si>
  <si>
    <t>Холостов Евгений Андреевич</t>
  </si>
  <si>
    <t>Семиколенов Александр Викторович</t>
  </si>
  <si>
    <t>Лаврентьев Александр Андреевич</t>
  </si>
  <si>
    <t>Блохин Игорь Юрьевич</t>
  </si>
  <si>
    <t>Бамбозов Вадим Валерьевич</t>
  </si>
  <si>
    <t>Торлин Михаил Александрович</t>
  </si>
  <si>
    <t>Кашеваров Борис Юрьевич</t>
  </si>
  <si>
    <t>Зотов Константин Владимирович</t>
  </si>
  <si>
    <t>Калиновский Михаил Иванович</t>
  </si>
  <si>
    <t>Воронцов Константин Владимирович</t>
  </si>
  <si>
    <t>Евреинов Семен Игоревич</t>
  </si>
  <si>
    <t>Егоренков Николай Анатольевич</t>
  </si>
  <si>
    <t>Валухов Роман Владимирович</t>
  </si>
  <si>
    <t>Лашманов Валерий Владимирович</t>
  </si>
  <si>
    <t>Дмитренко Анатолий Юрьевич</t>
  </si>
  <si>
    <t>Эйлазов Али Байларович</t>
  </si>
  <si>
    <t>Брукс Елена Валентиновна</t>
  </si>
  <si>
    <t>Воробьева Оксана Сергеевна</t>
  </si>
  <si>
    <t>Николаев Вячеслав Константинович</t>
  </si>
  <si>
    <t>Биккужин Рамиль Азаматович</t>
  </si>
  <si>
    <t>Сухорослов Андрей Анатольевич</t>
  </si>
  <si>
    <t>Сомов Юрий Вячеславович</t>
  </si>
  <si>
    <t>Косьер Владимир</t>
  </si>
  <si>
    <t>Подольский Дмитрий Владимирович</t>
  </si>
  <si>
    <t>Гуревич Дмитрий Григорьевич</t>
  </si>
  <si>
    <t>Барвин Олег Олегович</t>
  </si>
  <si>
    <t>Самоделкин Андрей Николаевич</t>
  </si>
  <si>
    <t>Управляющая компания БИЗНЕС ПОЛИС, ООО</t>
  </si>
  <si>
    <t>Хижняков Владимир Алексеевич</t>
  </si>
  <si>
    <t>Назаров Станислав Валентинович</t>
  </si>
  <si>
    <t>Гуляев Андрей Юрьевич</t>
  </si>
  <si>
    <t>Тихонова Ольга Владимировна</t>
  </si>
  <si>
    <t>Морозов Сергей Валентинович</t>
  </si>
  <si>
    <t>Баляев Вадим Михайлович</t>
  </si>
  <si>
    <t>Облогин Валерий Игоревич</t>
  </si>
  <si>
    <t>Управляющая компания УК МУСТАНГ, ООО</t>
  </si>
  <si>
    <t>Никитин Владимир Борисович</t>
  </si>
  <si>
    <t>Фомин Михаил Михайлович</t>
  </si>
  <si>
    <t>Волков Александр Владимирович</t>
  </si>
  <si>
    <t>Балашова Кира Владимировна</t>
  </si>
  <si>
    <t>Руденко Сергей Николаевич</t>
  </si>
  <si>
    <t>Рогачев Денис Викторович</t>
  </si>
  <si>
    <t>Управляющая компания МКТ, ООО</t>
  </si>
  <si>
    <t>Нестеренко Виктор Иванович</t>
  </si>
  <si>
    <t>Мартынов Кирилл Аркадьевич</t>
  </si>
  <si>
    <t>Забелин Алексей Григорьевич</t>
  </si>
  <si>
    <t>Ширяев Олег Владимирович</t>
  </si>
  <si>
    <t>Шишмарев Сергей Александрович</t>
  </si>
  <si>
    <t>Кочубеев Юрий Николаевич</t>
  </si>
  <si>
    <t>Елисеев Иван Александрович</t>
  </si>
  <si>
    <t>Горбунов Сергей Сергеевич</t>
  </si>
  <si>
    <t>Кочетов Юрий Иванович</t>
  </si>
  <si>
    <t>Баклан Евгений Владимирович</t>
  </si>
  <si>
    <t>Тутукин Дмитрий Николаевич</t>
  </si>
  <si>
    <t>Зубарев Дмитрий Игоревич</t>
  </si>
  <si>
    <t>Летуновская Татьяна Дмитриевна</t>
  </si>
  <si>
    <t>Ходоров Вячеслав Владимирович</t>
  </si>
  <si>
    <t>Смирнова Татьяна Андреевна</t>
  </si>
  <si>
    <t>Зайцев Александр Константинович</t>
  </si>
  <si>
    <t>Довженок Александр Валерьевич</t>
  </si>
  <si>
    <t>Родиков Руслан Святославович</t>
  </si>
  <si>
    <t>Уржумцев Михаил Михайлович</t>
  </si>
  <si>
    <t>Оськина Надежда Юрьевна</t>
  </si>
  <si>
    <t>Соколова Алла Вадимовна</t>
  </si>
  <si>
    <t>Истомина Алла Павловна</t>
  </si>
  <si>
    <t>Першаков Николай Владимирович</t>
  </si>
  <si>
    <t>Цеджинов Кирилл Евгеньевич</t>
  </si>
  <si>
    <t>Кузнецова Светлана Владимировна</t>
  </si>
  <si>
    <t>Управляющая компания АБИ ПРОДАКТ, АО</t>
  </si>
  <si>
    <t>Кегелес Александр Евсеевич</t>
  </si>
  <si>
    <t>Пестрякова Марина Александровна</t>
  </si>
  <si>
    <t>Сысталюк Павел Сергеевич</t>
  </si>
  <si>
    <t>Алексашин Павел Викторович</t>
  </si>
  <si>
    <t>Орлов Игорь Николаевич</t>
  </si>
  <si>
    <t>Рыжова Светлана Германовна</t>
  </si>
  <si>
    <t>Демин Денис Олегович</t>
  </si>
  <si>
    <t>Баер Нисон Александрович</t>
  </si>
  <si>
    <t>Пятница Павел Витальевич</t>
  </si>
  <si>
    <t>Зайцев Олег Борисович</t>
  </si>
  <si>
    <t>Черненко Иван Вячеславович</t>
  </si>
  <si>
    <t>Елогян Михаил Юрьевич</t>
  </si>
  <si>
    <t>Орлов Дмитрий Владимирович</t>
  </si>
  <si>
    <t>Нахатакян Наири Вараздатович</t>
  </si>
  <si>
    <t>Чадунели Игорь Роениевич</t>
  </si>
  <si>
    <t>Агаева Ксения Николаевна</t>
  </si>
  <si>
    <t>Ким Енхун</t>
  </si>
  <si>
    <t>Скатин Алексей Владимирович</t>
  </si>
  <si>
    <t>Згодько Михаил Андреевич</t>
  </si>
  <si>
    <t>Голодаева Анна Сергеевна</t>
  </si>
  <si>
    <t>Иванов Илья Петрович</t>
  </si>
  <si>
    <t>Нестерук Александр Анатольевич</t>
  </si>
  <si>
    <t>Хорошков Александр Леонидович</t>
  </si>
  <si>
    <t>Управляющая компания УМК-СТАЛЬ, ООО</t>
  </si>
  <si>
    <t>Масальский Анатолий Борисович</t>
  </si>
  <si>
    <t>Исаев Валерий Андреевич</t>
  </si>
  <si>
    <t>Генусов Борис Леонидович</t>
  </si>
  <si>
    <t>Куразов Эрисхан Зурабович</t>
  </si>
  <si>
    <t>Валишев Рустям Роэльевич</t>
  </si>
  <si>
    <t>Некрасов Михаил Сергеевич</t>
  </si>
  <si>
    <t>Дементьева Наталья Леонидовна</t>
  </si>
  <si>
    <t>Новикова Оксана Александровна</t>
  </si>
  <si>
    <t>Петров Кирилл Феликсович</t>
  </si>
  <si>
    <t>Мокляк Юрий Александрович</t>
  </si>
  <si>
    <t>Либ Феликс Григорьевич</t>
  </si>
  <si>
    <t>Серебряков Александр Сергеевич</t>
  </si>
  <si>
    <t>Груздева Юлия Сергеевна</t>
  </si>
  <si>
    <t>Гарин Юрий Борисович</t>
  </si>
  <si>
    <t>Пастухов Павел Константинович</t>
  </si>
  <si>
    <t>Ачапкин Сергей Александрович</t>
  </si>
  <si>
    <t>Головня Игорь Олегович</t>
  </si>
  <si>
    <t>Степченков Андрей Анатольевич</t>
  </si>
  <si>
    <t>Управляющая компания АВ-МЕНЕДЖМЕНТ, ООО</t>
  </si>
  <si>
    <t>Григорьев Владимир Сергеевич</t>
  </si>
  <si>
    <t>Загорский Андрей Юрьевич</t>
  </si>
  <si>
    <t>Управляющая компания СЕРВИС-ТЕЛЕКОМ, ООО ГК</t>
  </si>
  <si>
    <t>Полозова Елена Анатольевна</t>
  </si>
  <si>
    <t>Вдовина Екатерина Вадимовна</t>
  </si>
  <si>
    <t>Грязных Евгений Валерьевич</t>
  </si>
  <si>
    <t>Беляев Сергей Иванович</t>
  </si>
  <si>
    <t>Шуматов Александр Валентинович</t>
  </si>
  <si>
    <t>Иванов Владимир Сергеевич</t>
  </si>
  <si>
    <t>Будаев Максим Владимирович</t>
  </si>
  <si>
    <t>Соколов Андрей Алексеевич</t>
  </si>
  <si>
    <t>Михайлов Дмитрий Игоревич</t>
  </si>
  <si>
    <t>Управляющая компания НАФТАГАЗ, АО</t>
  </si>
  <si>
    <t>Мезенцев Михаил Анатольевич</t>
  </si>
  <si>
    <t>Харитонов Павел Владимирович</t>
  </si>
  <si>
    <t>Кямяря Владимир Альбертович</t>
  </si>
  <si>
    <t>Дильмиев Нурихан Шамсулбаянович</t>
  </si>
  <si>
    <t>Елатомцев Антон Сергеевич</t>
  </si>
  <si>
    <t>Алексеев Алексей Александрович</t>
  </si>
  <si>
    <t>Николаенко Александр Иванович</t>
  </si>
  <si>
    <t>Зюков Владимир Владимирович</t>
  </si>
  <si>
    <t>Семенченко Наталья Николаевна</t>
  </si>
  <si>
    <t>Нармаматов Рустам Баймуратович</t>
  </si>
  <si>
    <t>Дубик Вадим Геннадьевич</t>
  </si>
  <si>
    <t>Николаева Анна Юрьевна</t>
  </si>
  <si>
    <t>Каргаев Исмаил Ибрагимович</t>
  </si>
  <si>
    <t>Сазанов Андрей Анатольевич</t>
  </si>
  <si>
    <t>Хамлай Константин Викторович</t>
  </si>
  <si>
    <t>Веселков Дмитрий Евгеньевич</t>
  </si>
  <si>
    <t>Захарова Наталья Юрьевна</t>
  </si>
  <si>
    <t>Шарков Денис Валентинович</t>
  </si>
  <si>
    <t>Горшкова Екатерина Сергеевна</t>
  </si>
  <si>
    <t>Якименко Валентин Вячеславович</t>
  </si>
  <si>
    <t>Королев Максим Алексеевич</t>
  </si>
  <si>
    <t>Коннов Михаил Федорович</t>
  </si>
  <si>
    <t>Тихонов Михаил Николаевич</t>
  </si>
  <si>
    <t>Семенов Дмитрий Геннадьевич</t>
  </si>
  <si>
    <t>Сиваков Герман Иванович</t>
  </si>
  <si>
    <t>Рагимов Фуад Алигейдар Оглы</t>
  </si>
  <si>
    <t>Федюшкин Владимир Вячеславович</t>
  </si>
  <si>
    <t>Кудреватых Глеб Валерьевич</t>
  </si>
  <si>
    <t>Юров Алексей Борисович</t>
  </si>
  <si>
    <t>Иванушкин Олег Михайлович</t>
  </si>
  <si>
    <t>Хубутия Бидзина Нодариевич</t>
  </si>
  <si>
    <t>Балакирев Андрей Владимирович</t>
  </si>
  <si>
    <t>Малицкая Ирина Николаевна</t>
  </si>
  <si>
    <t>Чумаков Александр Анатольевич</t>
  </si>
  <si>
    <t>Дружинин Кирилл Игоревич</t>
  </si>
  <si>
    <t>Рубан Олег Викторович</t>
  </si>
  <si>
    <t>Шагин Евгений Леонидович</t>
  </si>
  <si>
    <t>Галимов Алексей Фаридович</t>
  </si>
  <si>
    <t>Геллер Владимир Андреевич</t>
  </si>
  <si>
    <t>Управляющая компания СМАРТДИРЕКТ, ООО</t>
  </si>
  <si>
    <t>Управляющая компания ИНВАСТА, ООО</t>
  </si>
  <si>
    <t>Гроднева Галина Александровна</t>
  </si>
  <si>
    <t>Панебратец Филипп Александрович</t>
  </si>
  <si>
    <t>Сопильняк Олег Петрович</t>
  </si>
  <si>
    <t>Костин Сергей Михайлович</t>
  </si>
  <si>
    <t>Мхоян Сергей Владимирович</t>
  </si>
  <si>
    <t>Меньшенин Игорь Леонидович</t>
  </si>
  <si>
    <t>Долгополов Евгений Владимирович</t>
  </si>
  <si>
    <t>Абрамов Николай Петрович</t>
  </si>
  <si>
    <t>Петрова Ольга Алексеевна</t>
  </si>
  <si>
    <t>Балабина Ирина Викторовна</t>
  </si>
  <si>
    <t>Куриленко Дмитрий Васильевич</t>
  </si>
  <si>
    <t>Селяев Владимир Вадимович</t>
  </si>
  <si>
    <t>Махов Станислав Анатольевич</t>
  </si>
  <si>
    <t>Щеглов Юрий Валентинович</t>
  </si>
  <si>
    <t>Шубин Алексей Анатольевич</t>
  </si>
  <si>
    <t>Белый Алексей Васильевич</t>
  </si>
  <si>
    <t>Шергин Алексей Сергеевич</t>
  </si>
  <si>
    <t>Штейников Евгений Вячеславович</t>
  </si>
  <si>
    <t>Управляющая компания НЗНП МЕНЕДЖМЕНТ, АО</t>
  </si>
  <si>
    <t>Хромова Екатерина Вадимовна</t>
  </si>
  <si>
    <t>Андронова Светлана Юрьевна</t>
  </si>
  <si>
    <t>Кузнецов Антон Игоревич</t>
  </si>
  <si>
    <t>Петросян Усик Гагикович</t>
  </si>
  <si>
    <t>Натокин Геннадий Владимирович</t>
  </si>
  <si>
    <t>Володченко Валерий Леонидович</t>
  </si>
  <si>
    <t>Управляющая компания ТЕПЛОЭНЕРГО, АО</t>
  </si>
  <si>
    <t>Андреев Александр Александрович</t>
  </si>
  <si>
    <t>Юмангулов Алексей Рашидович</t>
  </si>
  <si>
    <t>Фаляхов Марат Инилович</t>
  </si>
  <si>
    <t>Управляющая компания ТАНЕКО, АО</t>
  </si>
  <si>
    <t>Управляющая компания ТАТШИНА, ООО</t>
  </si>
  <si>
    <t>Паршин Андрей Владимирович</t>
  </si>
  <si>
    <t>Наумов Андрей Олегович</t>
  </si>
  <si>
    <t>Долгий Александр Игоревич</t>
  </si>
  <si>
    <t>Тюриков Андрей Михайлович</t>
  </si>
  <si>
    <t>Коваль Александр Николаевич</t>
  </si>
  <si>
    <t>Степанов Алексей Ярославович</t>
  </si>
  <si>
    <t>Ноаров Владимир Борисович</t>
  </si>
  <si>
    <t>Зинченко Екатерина Анатольевна</t>
  </si>
  <si>
    <t>Шаитов Сергей Эдуардович</t>
  </si>
  <si>
    <t>Великородный Андрей Алексеевич</t>
  </si>
  <si>
    <t>Юрыгин Павел Владимирович</t>
  </si>
  <si>
    <t>Кушнеревич Юрий Михайлович</t>
  </si>
  <si>
    <t>Семикин Дмитрий Николаевич</t>
  </si>
  <si>
    <t>Мнушкин Игорь Анатольевич</t>
  </si>
  <si>
    <t>Евстафьев Дмитрий Владимирович</t>
  </si>
  <si>
    <t>Парыгин Денис Михайлович</t>
  </si>
  <si>
    <t>Лопаткин Александр Николаевич</t>
  </si>
  <si>
    <t>Миронов Иван Викторович</t>
  </si>
  <si>
    <t>Смыков Виктор Владимирович</t>
  </si>
  <si>
    <t>Жученко Евгений Иванович</t>
  </si>
  <si>
    <t>Бугаев Николай Васильевич</t>
  </si>
  <si>
    <t>Беляков Илья Евгеньевич</t>
  </si>
  <si>
    <t>Шафир Аркадий Ехильевич</t>
  </si>
  <si>
    <t>Котляров Сергей Иванович</t>
  </si>
  <si>
    <t>Зарубин Андрей Леонидович</t>
  </si>
  <si>
    <t>Поляков Александр Викторович</t>
  </si>
  <si>
    <t>Рябченко Сергей Владимирович</t>
  </si>
  <si>
    <t>Ермаков Сергей Николаевич</t>
  </si>
  <si>
    <t>Управляющая компания РУСИНВЕСТ, ООО</t>
  </si>
  <si>
    <t>Поздин Алексей Александрович</t>
  </si>
  <si>
    <t>Деменков Денис Борисович</t>
  </si>
  <si>
    <t>Правдивый Владимир Викторович</t>
  </si>
  <si>
    <t>Цуканов Руслан Алексеевич</t>
  </si>
  <si>
    <t>Крулик Алексей Игоревич</t>
  </si>
  <si>
    <t>Ким Сергей Станиславович</t>
  </si>
  <si>
    <t>Шаляев Сергей Васильевич</t>
  </si>
  <si>
    <t>Петрушин Максим Геннадьевич</t>
  </si>
  <si>
    <t>Ерастов Александр Геннадьевич</t>
  </si>
  <si>
    <t>Зеленкин Григорий Михайлович</t>
  </si>
  <si>
    <t>Хагасова Заират Асланбиевна</t>
  </si>
  <si>
    <t>Егоров Сергей Юрьевич</t>
  </si>
  <si>
    <t>Коростелев Данила Борисович</t>
  </si>
  <si>
    <t>Ковальчук Дмитрий Николаевич</t>
  </si>
  <si>
    <t>Уляшкин Сергей Анатольевич</t>
  </si>
  <si>
    <t>Шиманский Александр Анатольевич</t>
  </si>
  <si>
    <t>Подоксик Александр Владимирович</t>
  </si>
  <si>
    <t>Управляющая компания КОМПАНИЯ НОВА РОЛЛ, ООО</t>
  </si>
  <si>
    <t>Кайденко Анна Викторовна</t>
  </si>
  <si>
    <t>Саухин Дмитрий Николаевич</t>
  </si>
  <si>
    <t>Крупнов Владимир Анатольевич</t>
  </si>
  <si>
    <t>Галынин Андрей Иванович</t>
  </si>
  <si>
    <t>Гиршик Борис Зямович</t>
  </si>
  <si>
    <t>Шаповал Леонид</t>
  </si>
  <si>
    <t>Колерова Наталья Андреевна</t>
  </si>
  <si>
    <t>Смирнов Вячеслав Михайлович</t>
  </si>
  <si>
    <t>Мерабишвили Теймураз Петрович</t>
  </si>
  <si>
    <t>Соловьев Владимир Владимирович</t>
  </si>
  <si>
    <t>Михельсон Леонид Викторович</t>
  </si>
  <si>
    <t>Ромасенко Вадим Владимирович</t>
  </si>
  <si>
    <t>Смирнов Дмитрий Михайлович</t>
  </si>
  <si>
    <t>Оборин Петр Геннадьевич</t>
  </si>
  <si>
    <t>Курлыков Александр Васильевич</t>
  </si>
  <si>
    <t>Попов Дмитрий Геннадьевич</t>
  </si>
  <si>
    <t>Васильев Сергей Михайлович</t>
  </si>
  <si>
    <t>Анищенко Дмитрий Васильевич</t>
  </si>
  <si>
    <t>Иванов Григорий Григорьевич</t>
  </si>
  <si>
    <t>Иваненков Дмитрий Александрович</t>
  </si>
  <si>
    <t>Романенко Александра Сергеевна</t>
  </si>
  <si>
    <t>Лившиц Вадим Романович</t>
  </si>
  <si>
    <t>Кобяков Андрей Владимирович</t>
  </si>
  <si>
    <t>Пузанов Владимир Михайлович</t>
  </si>
  <si>
    <t>Куст Сергей Анатольевич</t>
  </si>
  <si>
    <t>Исаев Андрей Викторович</t>
  </si>
  <si>
    <t>Серебренников Андрей Викторович</t>
  </si>
  <si>
    <t>Дмитриева Олеся Вячеславовна</t>
  </si>
  <si>
    <t>Нисанов Роман Геннадьевич</t>
  </si>
  <si>
    <t>Тихонов Роман Владимирович</t>
  </si>
  <si>
    <t>Иванищева Ирина Геннадьевна</t>
  </si>
  <si>
    <t>Федоров Сергей Владимирович</t>
  </si>
  <si>
    <t>Подойма Ирина Афанасьевна</t>
  </si>
  <si>
    <t>Климкина Елена Павловна</t>
  </si>
  <si>
    <t>Григоренко Роман Олегович</t>
  </si>
  <si>
    <t>Кочкин Алексей Николаевич</t>
  </si>
  <si>
    <t>Шевлякова Юлия Евгеньевна</t>
  </si>
  <si>
    <t>Филиппов Евгений Викторович</t>
  </si>
  <si>
    <t>Перельман Максим Олегович</t>
  </si>
  <si>
    <t>Горбунов Павел Викторович</t>
  </si>
  <si>
    <t>Синигибский Сергей Анатольевич</t>
  </si>
  <si>
    <t>Ахвледиани Джемал Зурабович</t>
  </si>
  <si>
    <t>Сторчак Иван Владимирович</t>
  </si>
  <si>
    <t>Воробьёв Анатолий Анатольевич</t>
  </si>
  <si>
    <t>Лесик Сергей Петрович</t>
  </si>
  <si>
    <t>Соколов Сергей Львович</t>
  </si>
  <si>
    <t>Дашьян Карэн Николаевич</t>
  </si>
  <si>
    <t>Латышев Игорь Владимирович</t>
  </si>
  <si>
    <t>Семьянова Татьяна Владимировна</t>
  </si>
  <si>
    <t>Дурандин Олег Юрьевич</t>
  </si>
  <si>
    <t>Калякин Павел Игоревич</t>
  </si>
  <si>
    <t>Соснин Дмитрий Александрович</t>
  </si>
  <si>
    <t>Игнатов Евгений Иванович</t>
  </si>
  <si>
    <t>Журавлева Марина Вячеславовна</t>
  </si>
  <si>
    <t>Лащенко Дарья Юрьевна</t>
  </si>
  <si>
    <t>Ткачев Станислав Игоревич</t>
  </si>
  <si>
    <t>Игнатюк Алексей Сергеевич</t>
  </si>
  <si>
    <t>Тарасов Денис Олегович</t>
  </si>
  <si>
    <t>Маркова Ольга Викторовна</t>
  </si>
  <si>
    <t>Нойманн Екатерина Александровна</t>
  </si>
  <si>
    <t>Сербиновский Алексей Михайлович</t>
  </si>
  <si>
    <t>Киркоров Алексей Николаевич</t>
  </si>
  <si>
    <t>Федерко Родион Степанович</t>
  </si>
  <si>
    <t>Денисенкова Анна Ивановна</t>
  </si>
  <si>
    <t>Никулин Владимир Владимирович</t>
  </si>
  <si>
    <t>Зеленев Олег Евгеньевич</t>
  </si>
  <si>
    <t>Лапушкин Роман Юрьевич</t>
  </si>
  <si>
    <t>Седиев Абу Саид-Абдулович</t>
  </si>
  <si>
    <t>Смирнов Сергей Евгеньевич</t>
  </si>
  <si>
    <t>Чистов Андрей Юрьевич</t>
  </si>
  <si>
    <t>Паятелев Игорь Михайлович</t>
  </si>
  <si>
    <t>Довгаль Виталий Владимирович</t>
  </si>
  <si>
    <t>Шилыковский Марк Игоревич</t>
  </si>
  <si>
    <t>Кравченко Михаил Иванович</t>
  </si>
  <si>
    <t>Шилова Галина Николаевна</t>
  </si>
  <si>
    <t>Макринова Дарья Леонидовна</t>
  </si>
  <si>
    <t>Лопацинский Антон Михайлович</t>
  </si>
  <si>
    <t>Круглов Павел Евгеньевич</t>
  </si>
  <si>
    <t>Крамаровский Вячеслав Леонидович</t>
  </si>
  <si>
    <t>Якушин Владимир Петрович</t>
  </si>
  <si>
    <t>Пенкин Олег Владимирович</t>
  </si>
  <si>
    <t>Шубин Алексей Евгеньевич</t>
  </si>
  <si>
    <t>Ястребов Павел Викторович</t>
  </si>
  <si>
    <t>Фомичёв Андрей Геннадьевич</t>
  </si>
  <si>
    <t>Громов Михаил Николаевич</t>
  </si>
  <si>
    <t>Изория Вахтанг Шалвович</t>
  </si>
  <si>
    <t>Гаврош Дмитрий Александрович</t>
  </si>
  <si>
    <t>Шпаков Валерий Васильевич</t>
  </si>
  <si>
    <t>Тепляков Денис Александрович</t>
  </si>
  <si>
    <t>Викторов Дмитрий Витальевич</t>
  </si>
  <si>
    <t>Рахимов Дамир Альмирович</t>
  </si>
  <si>
    <t>Кулык Николай Викторович</t>
  </si>
  <si>
    <t>Круцяк Ольга Валентиновна</t>
  </si>
  <si>
    <t>Лисовский Александр Львович</t>
  </si>
  <si>
    <t>Беляев Александр Николаевич</t>
  </si>
  <si>
    <t>Матвеев Александр Константинович</t>
  </si>
  <si>
    <t>Петров Евгений Валерьевич</t>
  </si>
  <si>
    <t>Баклушин Денис Олегович</t>
  </si>
  <si>
    <t>Управляющая компания КОРПОРАЦИЯ ПОПОВ РАДИО, АО</t>
  </si>
  <si>
    <t>Литвиненко Дмитрий Владимирович</t>
  </si>
  <si>
    <t>Веселов Евгений Васильевич</t>
  </si>
  <si>
    <t>Трофимов Александр Николаевич</t>
  </si>
  <si>
    <t>Сапрыкин Вячеслав Викторович</t>
  </si>
  <si>
    <t>Попов Иван Иванович</t>
  </si>
  <si>
    <t>Шакун Александр Никитович</t>
  </si>
  <si>
    <t>Жалюк Роман Владимирович</t>
  </si>
  <si>
    <t>Варганов Анатолий Евгеньевич</t>
  </si>
  <si>
    <t>Витязев Дмитрий Олегович</t>
  </si>
  <si>
    <t>Копылов Владимир Петрович</t>
  </si>
  <si>
    <t>Степанов Андрей Робертович</t>
  </si>
  <si>
    <t>Альтов Павел Семенович</t>
  </si>
  <si>
    <t>Баскаков Павел Михайлович</t>
  </si>
  <si>
    <t>Копанев Александр Алексеевич</t>
  </si>
  <si>
    <t>Андрейчук Юрий Владимирович</t>
  </si>
  <si>
    <t>Налимов Сергей Вениаминович</t>
  </si>
  <si>
    <t>Клокова Марина Геннадьевна</t>
  </si>
  <si>
    <t>Арчакова Ирина Валентиновна</t>
  </si>
  <si>
    <t>Толстоган Алексей Владимирович</t>
  </si>
  <si>
    <t>Роон Евгений Викторович</t>
  </si>
  <si>
    <t>Гафаров Руслан Рафкатович</t>
  </si>
  <si>
    <t>Солдатов Сергей Юрьевич</t>
  </si>
  <si>
    <t>Азаров Александр Александрович</t>
  </si>
  <si>
    <t>Бабиков Олег Анатольевич</t>
  </si>
  <si>
    <t>Райкин Эдуард Семенович</t>
  </si>
  <si>
    <t>Парфенов Игорь Борисович</t>
  </si>
  <si>
    <t>Баранов Павел Геннадьевич</t>
  </si>
  <si>
    <t>Комлев Владимир Валерьевич</t>
  </si>
  <si>
    <t>Юрченко Алексей Анатольевич</t>
  </si>
  <si>
    <t>Старовойтов Сергей Сергеевич</t>
  </si>
  <si>
    <t>Еремин Олег Викторович</t>
  </si>
  <si>
    <t>Мильто Егор Сергеевич</t>
  </si>
  <si>
    <t>Сучок Сергей Николаевич</t>
  </si>
  <si>
    <t>Шошкин Сергей Павлович</t>
  </si>
  <si>
    <t>Юнов Константин Владленович</t>
  </si>
  <si>
    <t>Дольникова Елена Ивановна</t>
  </si>
  <si>
    <t>Савельев Петр Александрович</t>
  </si>
  <si>
    <t>Назаренко Леонтий Павлович</t>
  </si>
  <si>
    <t>Кузнецов Михаил Варфоломеевич</t>
  </si>
  <si>
    <t>Ломов Дмитрий Александрович</t>
  </si>
  <si>
    <t>Погосова Инна Вячеславовна</t>
  </si>
  <si>
    <t>Чалый Олег Юрьевич</t>
  </si>
  <si>
    <t>Артемьев Сергей Петрович</t>
  </si>
  <si>
    <t>Коселовская Ирина Александровна</t>
  </si>
  <si>
    <t>Слуцкая Юлия Анатольевна</t>
  </si>
  <si>
    <t>Бочкарев Александр Николаевич</t>
  </si>
  <si>
    <t>Лукаш Виктор Викторович</t>
  </si>
  <si>
    <t>Борисов Дмитрий Александрович</t>
  </si>
  <si>
    <t>Журавлев Андрей Иванович</t>
  </si>
  <si>
    <t>Мустаев Павел Тимофеевич</t>
  </si>
  <si>
    <t>Тонкий Вениамин Игоревич</t>
  </si>
  <si>
    <t>Епифанов Андрей Михайлович</t>
  </si>
  <si>
    <t>Шестопалов Павел Александрович</t>
  </si>
  <si>
    <t>Халецкий Игорь Борисович</t>
  </si>
  <si>
    <t>Липин Сергей Валерьевич</t>
  </si>
  <si>
    <t>Московкин Сергей Александрович</t>
  </si>
  <si>
    <t>Шимко Тарас Ярославович</t>
  </si>
  <si>
    <t>Матвиенко Юрий Викторович</t>
  </si>
  <si>
    <t>Вещугин Игорь Александрович</t>
  </si>
  <si>
    <t>Чикунов Иван Юрьевич</t>
  </si>
  <si>
    <t>Бичурин Виктор Михайлович</t>
  </si>
  <si>
    <t>Ясавеев Руслан Хамитович</t>
  </si>
  <si>
    <t>Поснов Виталий Викторович</t>
  </si>
  <si>
    <t>Степанов Юрий Владимирович</t>
  </si>
  <si>
    <t>Салимов Олег Вахмуратович</t>
  </si>
  <si>
    <t>Солодухин Константин Юрьевич</t>
  </si>
  <si>
    <t>Минхаеров Ринат Раисович</t>
  </si>
  <si>
    <t>Старцев Юрий Германович</t>
  </si>
  <si>
    <t>Калль Флориан Тобиас</t>
  </si>
  <si>
    <t>Матюшков Евгений Владимирович</t>
  </si>
  <si>
    <t>Савков Дмитрий Иванович</t>
  </si>
  <si>
    <t>Рожков Игорь Петрович</t>
  </si>
  <si>
    <t>Данельянц Александр Осипович</t>
  </si>
  <si>
    <t>Кардымон Дмитрий Викторович</t>
  </si>
  <si>
    <t>Фадеев Андрей Владимирович</t>
  </si>
  <si>
    <t>Колбасина Екатерина Николаевна</t>
  </si>
  <si>
    <t>Тенгелиди Сергей Юрьевич</t>
  </si>
  <si>
    <t>Зайцева Лидия Георгиевна</t>
  </si>
  <si>
    <t>Росинский Евгений Викторович</t>
  </si>
  <si>
    <t>Никончук Дмитрий Александрович</t>
  </si>
  <si>
    <t>Управляющая компания ЭК ВОСТОК, АО</t>
  </si>
  <si>
    <t>Управляющая компания ИНВЕСТГЕОСЕРВИС, АО</t>
  </si>
  <si>
    <t>Лаврикова Дина Фаридовна</t>
  </si>
  <si>
    <t>Васильев Андрей Михайлович</t>
  </si>
  <si>
    <t>Черненко Александр Владимирович</t>
  </si>
  <si>
    <t>Леонов Андрей Сергеевич</t>
  </si>
  <si>
    <t>Князев Андрей Анатольевич</t>
  </si>
  <si>
    <t>Залуцкий Александр Леонидович</t>
  </si>
  <si>
    <t>Калюжный Иван Андреевич</t>
  </si>
  <si>
    <t>Нурмагомедов Магомедбашир Абдулаевич</t>
  </si>
  <si>
    <t>Максимов Валерий Петрович</t>
  </si>
  <si>
    <t>Буданов Дмитрий Владимирович</t>
  </si>
  <si>
    <t>Анфиногенов Александр Юрьевич</t>
  </si>
  <si>
    <t>Березовская Светлана Валентиновна</t>
  </si>
  <si>
    <t>Колчин Максим Петрович</t>
  </si>
  <si>
    <t>Бражник Сергей Александрович</t>
  </si>
  <si>
    <t>Калашников Александр Александрович</t>
  </si>
  <si>
    <t>Денисенко Владимир Степанович</t>
  </si>
  <si>
    <t>Мелехин Александр Юрьевич</t>
  </si>
  <si>
    <t>Кидяев Сергей Владиславович</t>
  </si>
  <si>
    <t>Филонов Вячеслав Дмитриевич</t>
  </si>
  <si>
    <t>Лай Сюэмэй</t>
  </si>
  <si>
    <t>Андрюшкин Дмитрий Александрович</t>
  </si>
  <si>
    <t>Барбашов Игорь Валентинович</t>
  </si>
  <si>
    <t>Сударев Юрий Владимирович</t>
  </si>
  <si>
    <t>Чевычелов Андрей Витальевич</t>
  </si>
  <si>
    <t>Юрков Алексей Вячеславович</t>
  </si>
  <si>
    <t>Коробка Алексей Валерьевич</t>
  </si>
  <si>
    <t>Управляющая компания ВЕТРОПАРКИ ФРВ, ООО</t>
  </si>
  <si>
    <t>Малюк Дмитрий Владимирович</t>
  </si>
  <si>
    <t>Центроев Сулимбек Баудинович</t>
  </si>
  <si>
    <t>Халилов Ярахмед Хейрудинович</t>
  </si>
  <si>
    <t>Кичатов Александр Юрьевич</t>
  </si>
  <si>
    <t>Антоненко Дмитрий Александрович</t>
  </si>
  <si>
    <t>Юмагулов Вильдан Фуатович</t>
  </si>
  <si>
    <t>Управляющая компания УПРАВЛЯЮЩАЯ КОМПАНИЯ, ООО</t>
  </si>
  <si>
    <t>Кулешов Петр Петрович</t>
  </si>
  <si>
    <t>Управляющая компания МРФ, ООО</t>
  </si>
  <si>
    <t>Управляющая компания УК ОРГ, АО</t>
  </si>
  <si>
    <t>Гайнуллин Юрис Фидаилович</t>
  </si>
  <si>
    <t>Ишмухаметов Ирек Ахатович</t>
  </si>
  <si>
    <t>Иванов Евгений Валерьевич</t>
  </si>
  <si>
    <t>Назаров Исаак Леонидович</t>
  </si>
  <si>
    <t>Дудко Олег Викторович</t>
  </si>
  <si>
    <t>Ивушкин Константин Анатольевич</t>
  </si>
  <si>
    <t>Елизаров Сергей Викторович</t>
  </si>
  <si>
    <t>Сутула Юлия Петровна</t>
  </si>
  <si>
    <t>Новоселов Евгений Аликович</t>
  </si>
  <si>
    <t>Окулов Денис Викторович</t>
  </si>
  <si>
    <t>Павлов Юрий Валерьевич</t>
  </si>
  <si>
    <t>Лукашина Наталия Валерьевна</t>
  </si>
  <si>
    <t>Корзун Алексей Александрович</t>
  </si>
  <si>
    <t>Лякин Олег Владимирович</t>
  </si>
  <si>
    <t>Елизарова Надежда Евгеньевна</t>
  </si>
  <si>
    <t>Мкртчян Нерсес Вардгесович</t>
  </si>
  <si>
    <t>Анжелар Жереми Кристиан Этьен</t>
  </si>
  <si>
    <t>Подойма Олег Николаевич</t>
  </si>
  <si>
    <t>Гиниатуллин Рамиль Рафаэлович</t>
  </si>
  <si>
    <t>Жалнин Максим Михайлович</t>
  </si>
  <si>
    <t>Прилуцкий Сергей Николаевич</t>
  </si>
  <si>
    <t>Пикар Оливье</t>
  </si>
  <si>
    <t>Симаков Максим Ильич</t>
  </si>
  <si>
    <t>Боровых Николай Вячеславович</t>
  </si>
  <si>
    <t>Ершов Виталий Анатольевич</t>
  </si>
  <si>
    <t>Жуков Антон Михайлович</t>
  </si>
  <si>
    <t>Папазян Тиран Тагворович</t>
  </si>
  <si>
    <t>Краснов Павел Эдуардович</t>
  </si>
  <si>
    <t>Управляющая компания УПРАВЛЯЮЩАЯ КОМПАНИЯ МНГСК, ООО</t>
  </si>
  <si>
    <t>Кузовлев Михаил Вячеславович</t>
  </si>
  <si>
    <t>Ануфриев Николай Эдуардович</t>
  </si>
  <si>
    <t>Иванова Светлана Владимировна</t>
  </si>
  <si>
    <t>Шаманов Александр Александрович</t>
  </si>
  <si>
    <t>Локтионов Александр Сергеевич</t>
  </si>
  <si>
    <t>Магранин Егор Юрьевич</t>
  </si>
  <si>
    <t>Куропаткин Сергей Иванович</t>
  </si>
  <si>
    <t>Макаров Олег Валентинович</t>
  </si>
  <si>
    <t>Рыбалов Роман Аркадьевич</t>
  </si>
  <si>
    <t>Сергеевых Марина Борисовна</t>
  </si>
  <si>
    <t>Кожакаев Самат Толевгазыевич</t>
  </si>
  <si>
    <t>Борисовский Игорь Валерьевич</t>
  </si>
  <si>
    <t>Тиунов Кирилл Валерьевич</t>
  </si>
  <si>
    <t>Хилько Олег Михайлович</t>
  </si>
  <si>
    <t>Управляющая компания АСГ, ООО</t>
  </si>
  <si>
    <t>Козлов Павел Гаврилович</t>
  </si>
  <si>
    <t>Иванилов Сергей Владимирович</t>
  </si>
  <si>
    <t>Григорьева Алена Валентиновна</t>
  </si>
  <si>
    <t>Поддубняк Алексей Николаевич</t>
  </si>
  <si>
    <t>Жуковский Андрей Александрович</t>
  </si>
  <si>
    <t>Ландль Роман Викторович</t>
  </si>
  <si>
    <t>Нежкин Андрей Николаевич</t>
  </si>
  <si>
    <t>Можжерин Андрей Борисович</t>
  </si>
  <si>
    <t>Варакин Александр Леонидович</t>
  </si>
  <si>
    <t>Калиниченко Сергей Николаевич</t>
  </si>
  <si>
    <t>Волосенков Алексей Борисович</t>
  </si>
  <si>
    <t>Посеуков Сергей Витальевич</t>
  </si>
  <si>
    <t>Ражба Алексей Яковлевич</t>
  </si>
  <si>
    <t>Чулков Евгений Викторович</t>
  </si>
  <si>
    <t>Управляющая компания ШТЕРН ИНГРЕДИЕНТС, ООО</t>
  </si>
  <si>
    <t>Чугунов Валерий Викторович</t>
  </si>
  <si>
    <t>Босхолов Сергей Павлович</t>
  </si>
  <si>
    <t>Федин Алексей Владимирович</t>
  </si>
  <si>
    <t>Митрохина Юлия Андреевна</t>
  </si>
  <si>
    <t>Русаков Андрей Анатольевич</t>
  </si>
  <si>
    <t>Урупин Александр Олегович</t>
  </si>
  <si>
    <t>Моряшов Андрей Александрович</t>
  </si>
  <si>
    <t>Абунагимов Наиль Рустамович</t>
  </si>
  <si>
    <t>Поликарпова Светлана Геннадьевна</t>
  </si>
  <si>
    <t>Тарараксина Тамара Николаевна</t>
  </si>
  <si>
    <t>Рогожко Максим Валерьевич</t>
  </si>
  <si>
    <t>Строганцев Андрей Николаевич</t>
  </si>
  <si>
    <t>Властопуло Георгий Константинович</t>
  </si>
  <si>
    <t>Яровой Анатолий Геннадьевич</t>
  </si>
  <si>
    <t>Дорохова Людмила Алексеевна</t>
  </si>
  <si>
    <t>Ретивкина Наталья Сергеевна</t>
  </si>
  <si>
    <t>Демьянов Евгений Геннадиевич</t>
  </si>
  <si>
    <t>Пидник Артем Юрьевич</t>
  </si>
  <si>
    <t>Федорова Ксения Дмитриевна</t>
  </si>
  <si>
    <t>Денисенко Сергей Александрович</t>
  </si>
  <si>
    <t>Колосков Сергей Олегович</t>
  </si>
  <si>
    <t>Сергачев Олег Владимирович</t>
  </si>
  <si>
    <t>Жаркова Светлана Валерьевна</t>
  </si>
  <si>
    <t>Зайцев Иван Сергеевич</t>
  </si>
  <si>
    <t>Полименакос Георгиос</t>
  </si>
  <si>
    <t>Любимова Елена Николаевна</t>
  </si>
  <si>
    <t>Мельников Алексей Витальевич</t>
  </si>
  <si>
    <t>Управляющая компания МИП-СТРОЙ № 1, ООО</t>
  </si>
  <si>
    <t>Салугин Павел Сергеевич</t>
  </si>
  <si>
    <t>Железнов Андрей Юрьевич</t>
  </si>
  <si>
    <t>Усков Александр Владимирович</t>
  </si>
  <si>
    <t>Салимгареев Ринат Рафаилович</t>
  </si>
  <si>
    <t>Павлов Владимир Евгеньевич</t>
  </si>
  <si>
    <t>Тарасов Игорь Владиславович</t>
  </si>
  <si>
    <t>Мирошниченко Олег Юрьевич</t>
  </si>
  <si>
    <t>Коновал Александр Яковлевич</t>
  </si>
  <si>
    <t>Курра Марино</t>
  </si>
  <si>
    <t>Кузнецов Александр Николаевич</t>
  </si>
  <si>
    <t>Астафьев Юрий Викторович</t>
  </si>
  <si>
    <t>Управляющая компания ЗАРУБЕЖНЕФТЬ-ДОБЫЧА САМАРА, ООО</t>
  </si>
  <si>
    <t>Шумских Виталий Владимирович</t>
  </si>
  <si>
    <t>Гольм Андрей Альбертович</t>
  </si>
  <si>
    <t>Схаляхо Марат Казбекович</t>
  </si>
  <si>
    <t>Гринин Вячеслав Юрьевич</t>
  </si>
  <si>
    <t>Управляющая компания ОРИМИ, ООО</t>
  </si>
  <si>
    <t>Евневич Александр Анатольевич</t>
  </si>
  <si>
    <t>Симаков Владислав Иванович</t>
  </si>
  <si>
    <t>Тухман Алексей Исаакович</t>
  </si>
  <si>
    <t>Соколов Михаил Дмитриевич</t>
  </si>
  <si>
    <t>Пак Чонг Рюль</t>
  </si>
  <si>
    <t>Гонцова Наталья Леонидовна</t>
  </si>
  <si>
    <t>Кутьин Алексей Владимирович</t>
  </si>
  <si>
    <t>Бородаев Андрей Владимирович</t>
  </si>
  <si>
    <t>Муслимов Магомед Хамзатович</t>
  </si>
  <si>
    <t>Кобыльняк Олег Анатольевич</t>
  </si>
  <si>
    <t>Кузнецов Игорь Николаевич</t>
  </si>
  <si>
    <t>Алакбаров Катрин</t>
  </si>
  <si>
    <t>Юрьев Юрий Николаевич</t>
  </si>
  <si>
    <t>Степанова Юлия Викторовна</t>
  </si>
  <si>
    <t>Полях Владимир Александрович</t>
  </si>
  <si>
    <t>Шавырин Андрей Александрович</t>
  </si>
  <si>
    <t>Дудников Юрий Владимирович</t>
  </si>
  <si>
    <t>Балестрини Аттилио</t>
  </si>
  <si>
    <t>Кривко Владимир Иванович</t>
  </si>
  <si>
    <t>Пенечко Сергей Викторович</t>
  </si>
  <si>
    <t>Белков Владимир Владимирович</t>
  </si>
  <si>
    <t>Клевакин Сергей Валерьевич</t>
  </si>
  <si>
    <t>Худокормов Олег Вячеславович</t>
  </si>
  <si>
    <t>Гальперин Григорий Львович</t>
  </si>
  <si>
    <t>Пахуров Константин Игоревич</t>
  </si>
  <si>
    <t>Новиков Александр Александрович</t>
  </si>
  <si>
    <t>Трофимов Олег Борисович</t>
  </si>
  <si>
    <t>Ли Чжэ Ву</t>
  </si>
  <si>
    <t>Долматов Денис Вадимович</t>
  </si>
  <si>
    <t>Горшечников Андрей Олегович</t>
  </si>
  <si>
    <t>Жаднов Владимир Александрович</t>
  </si>
  <si>
    <t>Закревский Руслан Александрович</t>
  </si>
  <si>
    <t>Володин Максим Александрович</t>
  </si>
  <si>
    <t>Беляев Евгений Васильевич</t>
  </si>
  <si>
    <t>Горшечникова Елена Васильевна</t>
  </si>
  <si>
    <t>Медникова Ольга Борисовна</t>
  </si>
  <si>
    <t>Гизатуллин Олег Фаритович</t>
  </si>
  <si>
    <t>Красильников Кирилл Петрович</t>
  </si>
  <si>
    <t>Гром Алексей Николаевич</t>
  </si>
  <si>
    <t>Манохин Сергей Юрьевич</t>
  </si>
  <si>
    <t>Евтеева Наталья Александровна</t>
  </si>
  <si>
    <t>Управляющая компания УК РЕСУРС, ООО</t>
  </si>
  <si>
    <t>Бобренев Алексей Владимирович</t>
  </si>
  <si>
    <t>Цуканова Наталья Викторовна</t>
  </si>
  <si>
    <t>Костин Андрей Анатольевич</t>
  </si>
  <si>
    <t>Нужденкова Татьяна Валерьевна</t>
  </si>
  <si>
    <t>Цыбульский Виталий Игоревич</t>
  </si>
  <si>
    <t>Захарченко Станислав Иванович</t>
  </si>
  <si>
    <t>Управляющая компания РУК, ООО</t>
  </si>
  <si>
    <t>Медведева Валентина Викторовна</t>
  </si>
  <si>
    <t>Ганаев Андрей Николаевич</t>
  </si>
  <si>
    <t>Трифонов Игорь Александрович</t>
  </si>
  <si>
    <t>Родоманов Роман Евгеньевич</t>
  </si>
  <si>
    <t>Васильев Олег Владимирович</t>
  </si>
  <si>
    <t>Кривцов Владимир Анатольевич</t>
  </si>
  <si>
    <t>Коваленко Петр Николаевич</t>
  </si>
  <si>
    <t>Шелестов Владимир Сергеевич</t>
  </si>
  <si>
    <t>Азанов Олег Александрович</t>
  </si>
  <si>
    <t>Кузнецов Андрей Анатольевич</t>
  </si>
  <si>
    <t>Трошанов Денис Сергеевич</t>
  </si>
  <si>
    <t>Кочетов Алексей Андреевич</t>
  </si>
  <si>
    <t>Прохоров Евгений Сергеевич</t>
  </si>
  <si>
    <t>Сазонов Сергей Михайлович</t>
  </si>
  <si>
    <t>Баранов Юрий Алексеевич</t>
  </si>
  <si>
    <t>Токаренко Евгений Борисович</t>
  </si>
  <si>
    <t>Сурнова Светлана Владимировна</t>
  </si>
  <si>
    <t>Николишин Игорь Владимирович</t>
  </si>
  <si>
    <t>Галкин Александр Васильевич</t>
  </si>
  <si>
    <t>Управляющая компания УК РУССКОЕ ПОЛЕ, ООО</t>
  </si>
  <si>
    <t>Гильманов Алексей Абакирович</t>
  </si>
  <si>
    <t>Сергеенкова Юлия Константиновна</t>
  </si>
  <si>
    <t>Козлова Виктория Геннадьевна</t>
  </si>
  <si>
    <t>Запорожцев Игорь Григорьевич</t>
  </si>
  <si>
    <t>Анисимов Марат Александрович</t>
  </si>
  <si>
    <t>Управляющая компания СЕРВИС МЕНЕДЖМЕНТ, ООО</t>
  </si>
  <si>
    <t>Шохин Илья Вячеславович</t>
  </si>
  <si>
    <t>Хайбина Нина Владимировна</t>
  </si>
  <si>
    <t>Зыкова Елена Викторовна</t>
  </si>
  <si>
    <t>Ковригина Ольга Владимировна</t>
  </si>
  <si>
    <t>Власенков Артем Октаевич</t>
  </si>
  <si>
    <t>Асланов Константин Данилович</t>
  </si>
  <si>
    <t>Вышкварко Сергей Алексеевич</t>
  </si>
  <si>
    <t>Митяева Наталья Владимировна</t>
  </si>
  <si>
    <t>Петрова Оксана Григорьевна</t>
  </si>
  <si>
    <t>Мамедов Эльдар Айдынович</t>
  </si>
  <si>
    <t>Шхид Максим Риадович</t>
  </si>
  <si>
    <t>Хахвичамиашвили Борис Теймуразович</t>
  </si>
  <si>
    <t>Липский Андрей Алексеевич</t>
  </si>
  <si>
    <t>Акилин Павел Евгеньевич</t>
  </si>
  <si>
    <t>Шишко Владимир Николаевич</t>
  </si>
  <si>
    <t>Пугачёв Алексей Петрович</t>
  </si>
  <si>
    <t>Хананов Рустэм Робертович</t>
  </si>
  <si>
    <t>Лысенко Андрей Юрьевич</t>
  </si>
  <si>
    <t>Управляющая компания УК ЮНИТАЙЛ, ООО</t>
  </si>
  <si>
    <t>Белоусов Артем Александрович</t>
  </si>
  <si>
    <t>Аванесян Стелла Валерьевна</t>
  </si>
  <si>
    <t>Антипов Андрей Александрович</t>
  </si>
  <si>
    <t>Виноградов Олег Александрович</t>
  </si>
  <si>
    <t>Габдрахманов Габдрашит Габдльсаматович</t>
  </si>
  <si>
    <t>Григорьев Александр Сергеевич</t>
  </si>
  <si>
    <t>Кудрявцев Александр Александрович</t>
  </si>
  <si>
    <t>Демин Александр Владиславович</t>
  </si>
  <si>
    <t>Баранов Алексей Юрьевич</t>
  </si>
  <si>
    <t>Кугаевская Ирина Ивановна</t>
  </si>
  <si>
    <t>Гаврилов Станислав Вадимович</t>
  </si>
  <si>
    <t>Управляющая компания МЕГАПРОФИТ УК, ООО</t>
  </si>
  <si>
    <t>Александров Владимир Геннадьевич</t>
  </si>
  <si>
    <t>Вальтер Александр Борисович</t>
  </si>
  <si>
    <t>Попов Алексей Николаевич</t>
  </si>
  <si>
    <t>Лызин Андрей Вячеславович</t>
  </si>
  <si>
    <t>Широкова Ольга Викторовна</t>
  </si>
  <si>
    <t>Дробница Евгений Александрович</t>
  </si>
  <si>
    <t>Барменков Дмитрий Владимирович</t>
  </si>
  <si>
    <t>Управляющая компания УК РУСМОЛКО, ООО</t>
  </si>
  <si>
    <t>Чермашенцев Евгений Николаевич</t>
  </si>
  <si>
    <t>Хмельницкий Алексей Михайлович</t>
  </si>
  <si>
    <t>Налабордин Сергей Иванович</t>
  </si>
  <si>
    <t>Молодиевский Олег Апполонович</t>
  </si>
  <si>
    <t>Неохотник Елена Евгеньевна</t>
  </si>
  <si>
    <t>Морошкина Юлия Владимировна</t>
  </si>
  <si>
    <t>Бачев Василий Александрович</t>
  </si>
  <si>
    <t>Дружинин Антон Викторович</t>
  </si>
  <si>
    <t>Каратаев Сергей Михайлович</t>
  </si>
  <si>
    <t>Раковский Олег Николаевич</t>
  </si>
  <si>
    <t>Линник Светлана Анатольевна</t>
  </si>
  <si>
    <t>Володин Алексей Сергеевич</t>
  </si>
  <si>
    <t>Истратов Андрей Анатольевич</t>
  </si>
  <si>
    <t>Столярова Наталья Борисовна</t>
  </si>
  <si>
    <t>Абриталин Олег Петрович</t>
  </si>
  <si>
    <t>Маковский Игорь Владимирович</t>
  </si>
  <si>
    <t>Клюкин Николай Геннадьевич</t>
  </si>
  <si>
    <t>Соскин Яков Григорьевич</t>
  </si>
  <si>
    <t>Туриченко Иван Владимирович</t>
  </si>
  <si>
    <t>Петленко Станислав Васильевич</t>
  </si>
  <si>
    <t>Рогозин Михаил Юрьевич</t>
  </si>
  <si>
    <t>Устенко Павел Анатольевич</t>
  </si>
  <si>
    <t>Сенчищев Вячеслав Николаевич</t>
  </si>
  <si>
    <t>Чика Харийс</t>
  </si>
  <si>
    <t>Хлопов Александр Владимирович</t>
  </si>
  <si>
    <t>Окишев Сергей Анатольевич</t>
  </si>
  <si>
    <t>Шершаков Игорь Валерьевич</t>
  </si>
  <si>
    <t>Шайбаков Эдуард Анасович</t>
  </si>
  <si>
    <t>Верховых Вадим Игоревич</t>
  </si>
  <si>
    <t>Миронов Сергей Витальевич</t>
  </si>
  <si>
    <t>Быстров Павел Александрович</t>
  </si>
  <si>
    <t>Ахсан Мухаммад Афнан</t>
  </si>
  <si>
    <t>Астафуров Николай Владимирович</t>
  </si>
  <si>
    <t>Чепурский Дмитрий Сергеевич</t>
  </si>
  <si>
    <t>Васадзе Леван Шиоевич</t>
  </si>
  <si>
    <t>Гаврилова Ольга Владимировна</t>
  </si>
  <si>
    <t>Лобко Константин Викторович</t>
  </si>
  <si>
    <t>Кропачев Сергей Николаевич</t>
  </si>
  <si>
    <t>Позенко Анжела Александровна</t>
  </si>
  <si>
    <t>Буркова Анна Владимировна</t>
  </si>
  <si>
    <t>Козин Евгений Германович</t>
  </si>
  <si>
    <t>Осина Елена Владимировна</t>
  </si>
  <si>
    <t>Соловьев Андрей Николаевич</t>
  </si>
  <si>
    <t>Круглов Даниил Дмитриевич</t>
  </si>
  <si>
    <t>Чжао Фэн</t>
  </si>
  <si>
    <t>Тихонова Юлия Ивановна</t>
  </si>
  <si>
    <t>Овчаренко Сергей Валерьевич</t>
  </si>
  <si>
    <t>Харитонов Владимир Александрович</t>
  </si>
  <si>
    <t>Похлебаев Дмитрий Евгеньевич</t>
  </si>
  <si>
    <t>Гавриков Алексей Владимирович</t>
  </si>
  <si>
    <t>Управляющая компания ШЕШМАОЙЛ, ООО УК</t>
  </si>
  <si>
    <t>Вендров Денис Валентинович</t>
  </si>
  <si>
    <t>Казаников Илья Александрович</t>
  </si>
  <si>
    <t>Николаев Вадим Сергеевич</t>
  </si>
  <si>
    <t>Бережной Алексей Сергеевич</t>
  </si>
  <si>
    <t>Дворников Антон Петрович</t>
  </si>
  <si>
    <t>Бова Георгий Вадимович</t>
  </si>
  <si>
    <t>Яковлев Олег Сергеевич</t>
  </si>
  <si>
    <t>Федоровский Евгений Владимирович</t>
  </si>
  <si>
    <t>Расуева Зарина Александровна</t>
  </si>
  <si>
    <t>Громилов Андрей Викторович</t>
  </si>
  <si>
    <t>Ламнев Олег Дмитрович</t>
  </si>
  <si>
    <t>Фисик Максим Васильевич</t>
  </si>
  <si>
    <t>Клетченков Артём Игоревич</t>
  </si>
  <si>
    <t>Миронова Валентина Геннадьевна</t>
  </si>
  <si>
    <t>Кулагин Николай Александрович</t>
  </si>
  <si>
    <t>Демкин Евгений Николаевич</t>
  </si>
  <si>
    <t>Малахов Игорь Витальевич</t>
  </si>
  <si>
    <t>Шерстенников Денис Владимирович</t>
  </si>
  <si>
    <t>Управляющая компания УК АГАТ, ООО</t>
  </si>
  <si>
    <t>Поландов Иван Николаевич</t>
  </si>
  <si>
    <t>Чкалин Александр Валерьевич</t>
  </si>
  <si>
    <t>Белов Алексей Яковлевич</t>
  </si>
  <si>
    <t>Рябченков Игорь Олегович</t>
  </si>
  <si>
    <t>Розанов Илья Владимирович</t>
  </si>
  <si>
    <t>Князев Виктор Юрьевич</t>
  </si>
  <si>
    <t>Разбегаев Павел Викторович</t>
  </si>
  <si>
    <t>Управляющая компания Т2 МОБАЙЛ, ООО</t>
  </si>
  <si>
    <t>Климчук Артем Сергеевич</t>
  </si>
  <si>
    <t>Зусман Михаил Валерьевич</t>
  </si>
  <si>
    <t>Никульчев Алексей Викторович</t>
  </si>
  <si>
    <t>Егоров Александр Викторович</t>
  </si>
  <si>
    <t>Ди Савойа Аоста Аймоне</t>
  </si>
  <si>
    <t>Соколова Ольга Николаевна</t>
  </si>
  <si>
    <t>Хуаз Оксана Набиевна</t>
  </si>
  <si>
    <t>Лыков Юрий Николаевич</t>
  </si>
  <si>
    <t>Урбанович Мария Викторовна</t>
  </si>
  <si>
    <t>Котик Владимир Петрович</t>
  </si>
  <si>
    <t>Рубиновски Даниэль Альфред</t>
  </si>
  <si>
    <t>Аверцев Сергей Владимирович</t>
  </si>
  <si>
    <t>Заставнюк Сергей Витальевич</t>
  </si>
  <si>
    <t>Лиманский Андрей Николаевич</t>
  </si>
  <si>
    <t>Сабуров Андрей Викторович</t>
  </si>
  <si>
    <t>Титов Александр Иванович</t>
  </si>
  <si>
    <t>Шкалин Павел Анатольевич</t>
  </si>
  <si>
    <t>Гладков Сергей Александрович</t>
  </si>
  <si>
    <t>Коваленко Валерий Васильевич</t>
  </si>
  <si>
    <t>Арушанян Сергей Геворгович</t>
  </si>
  <si>
    <t>Грашкин Виталий Анатольевич</t>
  </si>
  <si>
    <t>Управляющая компания УК ЮЖ, ООО</t>
  </si>
  <si>
    <t>Глазунов Владимир Валентинович</t>
  </si>
  <si>
    <t>Клековкин Николай Игоревич</t>
  </si>
  <si>
    <t>Лукоянов Данил Владимирович</t>
  </si>
  <si>
    <t>Крахмазов Армен Липович</t>
  </si>
  <si>
    <t>Пересецкий Евгений Ефимович</t>
  </si>
  <si>
    <t>Валиуллин Аскар Салаватович</t>
  </si>
  <si>
    <t>Посунько Сергей Николаевич</t>
  </si>
  <si>
    <t>Кочергин Павел Владимирович</t>
  </si>
  <si>
    <t>Горбенко Геннадий Викторович</t>
  </si>
  <si>
    <t>Прокопов Евгений Анатольевич</t>
  </si>
  <si>
    <t>Анкудинов Сергей Викторович</t>
  </si>
  <si>
    <t>Верига Николай Степанович</t>
  </si>
  <si>
    <t>Местулов Валерий Евгеньевич</t>
  </si>
  <si>
    <t>Сурков Александр Анатольевич</t>
  </si>
  <si>
    <t>Никоноров Сергей Александрович</t>
  </si>
  <si>
    <t>Казаков Евгений Геннадьевич</t>
  </si>
  <si>
    <t>Аронова Наталия Владимировна</t>
  </si>
  <si>
    <t>Булгакова Елена Дмитриевна</t>
  </si>
  <si>
    <t>Филонова Елена Анатольевна</t>
  </si>
  <si>
    <t>Гончар Станислав Николаевич</t>
  </si>
  <si>
    <t>Триппель Александр Фридрихович</t>
  </si>
  <si>
    <t>Халявин Ярослав Алексеевич</t>
  </si>
  <si>
    <t>Солодовникова Елена Анатольевна</t>
  </si>
  <si>
    <t>Буханова Татьяна Евгеньевна</t>
  </si>
  <si>
    <t>Колян Авет Володяевич</t>
  </si>
  <si>
    <t>Управляющая компания РОССЕТИ ЦЕНТР, ПАО</t>
  </si>
  <si>
    <t>Полихрониди Георгий Диогенович</t>
  </si>
  <si>
    <t>Антипова Наталья Валерьевна</t>
  </si>
  <si>
    <t>Гордиенко Андрей Валерьевич</t>
  </si>
  <si>
    <t>Мамонтов Сергей Николаевич</t>
  </si>
  <si>
    <t>Рябчук Елена Михайловна</t>
  </si>
  <si>
    <t>Осетров Денис Викторович</t>
  </si>
  <si>
    <t>Сухарев Константин Борисович</t>
  </si>
  <si>
    <t>Барченко Галина Анатольевна</t>
  </si>
  <si>
    <t>Осипов Алексей Витальевич</t>
  </si>
  <si>
    <t>Лидов Максим Алексеевич</t>
  </si>
  <si>
    <t>Орешкин Михаил Викторович</t>
  </si>
  <si>
    <t>Петрушенко Сергей Павлович</t>
  </si>
  <si>
    <t>Управляющая компания УК ПНК, ООО</t>
  </si>
  <si>
    <t>Петрухин Евгений Владимирович</t>
  </si>
  <si>
    <t>Андреев Алексей Гурьевич</t>
  </si>
  <si>
    <t>Грызлов Владимир Юрьевич</t>
  </si>
  <si>
    <t>Дульцев Сергей Иванович</t>
  </si>
  <si>
    <t>Клобертанс Михаил Юрьевич</t>
  </si>
  <si>
    <t>Галимов Камиль Салманович</t>
  </si>
  <si>
    <t>Степанов Роман Николаевич</t>
  </si>
  <si>
    <t>Кулаков Виталий Игоревич</t>
  </si>
  <si>
    <t>Перов Владимир Геннадьевич</t>
  </si>
  <si>
    <t>Амельченко Владимир Валерьевич</t>
  </si>
  <si>
    <t>Филимонов Сергей Васильевич</t>
  </si>
  <si>
    <t>Исрафилов Магомед Абусолтаевич</t>
  </si>
  <si>
    <t>Хабиров Сергей Зинфирович</t>
  </si>
  <si>
    <t>Ишков Максим Владимирович</t>
  </si>
  <si>
    <t>Маторнов Александр Андреевич</t>
  </si>
  <si>
    <t>Управляющая компания ЕРМОЛИНО, АО</t>
  </si>
  <si>
    <t>Сидоренков Николай Владимирович</t>
  </si>
  <si>
    <t>Баранов Денис Сергеевич</t>
  </si>
  <si>
    <t>Витковский Андрей Викторович</t>
  </si>
  <si>
    <t>Кинаш Олег Алексеевич</t>
  </si>
  <si>
    <t>Каздобин Андрей Витальевич</t>
  </si>
  <si>
    <t>Швалев Юрий Владимирович</t>
  </si>
  <si>
    <t>Сурулев Алексей Анатольевич</t>
  </si>
  <si>
    <t>Голубцов Андрей Сергеевич</t>
  </si>
  <si>
    <t>Управляющая компания КАПИТАЛ-ИНВЕСТ, ООО</t>
  </si>
  <si>
    <t>Кукушкин Сергей Александрович</t>
  </si>
  <si>
    <t>Кузнецов-Сербский Константин Михайлович</t>
  </si>
  <si>
    <t>Журавлев Евгений Сергеевич</t>
  </si>
  <si>
    <t>Полыгалов Федор Александрович</t>
  </si>
  <si>
    <t>Зазыгин Александр Александрович</t>
  </si>
  <si>
    <t>Свинционник Максим Вячеславович</t>
  </si>
  <si>
    <t>Гороховский Григорий Алексеевич</t>
  </si>
  <si>
    <t>Яворский Сергей Анатольевич</t>
  </si>
  <si>
    <t>Попова Елена Анатольевна</t>
  </si>
  <si>
    <t>Кмита Александр Романович</t>
  </si>
  <si>
    <t>Корбула Виолетта Викторовна</t>
  </si>
  <si>
    <t>Нелеп Александра Владимировна</t>
  </si>
  <si>
    <t>Харин Сергей Владимирович</t>
  </si>
  <si>
    <t>Кузьмин Игорь Анатольевич</t>
  </si>
  <si>
    <t>Галкин Андрей Анатольевич</t>
  </si>
  <si>
    <t>Несис Виталий Натанович</t>
  </si>
  <si>
    <t>Евдокимов Павел Олегович</t>
  </si>
  <si>
    <t>Ковалёв Александр Федорович</t>
  </si>
  <si>
    <t>Бушманов Александр Станиславович</t>
  </si>
  <si>
    <t>Горобец Илья Игоревич</t>
  </si>
  <si>
    <t>Починок Сергей Кириллович</t>
  </si>
  <si>
    <t>Делюкин Сергей Николаевич</t>
  </si>
  <si>
    <t>Горохов Алексей Владимирович</t>
  </si>
  <si>
    <t>Миронов Игорь Евгеньевич</t>
  </si>
  <si>
    <t>Молочкин Сергей Александрович</t>
  </si>
  <si>
    <t>Управляющая компания ДАБЛ Ю ТИ ДЖИ, ООО</t>
  </si>
  <si>
    <t>Романенко Павел Михайлович</t>
  </si>
  <si>
    <t>Шило Алексей Александрович</t>
  </si>
  <si>
    <t>Управляющая компания УК ПОЛЮС, ООО</t>
  </si>
  <si>
    <t>Асерчев Александр Вячеславович</t>
  </si>
  <si>
    <t>Дмитраков Евгений Станиславович</t>
  </si>
  <si>
    <t>Диев Евгений Александрович</t>
  </si>
  <si>
    <t>Татаренко Виталий Николаевич</t>
  </si>
  <si>
    <t>Управляющая компания ЭНБИКОМ ГРУПП, ООО</t>
  </si>
  <si>
    <t>Управляющая компания УК СИБУР-ПОРТЭНЕРГО, ООО</t>
  </si>
  <si>
    <t>Черников Егор Вячеславович</t>
  </si>
  <si>
    <t>Гюрбюз Дениз</t>
  </si>
  <si>
    <t>Красовский Алексей Владимирович</t>
  </si>
  <si>
    <t>Устинов Михаил Сергеевич</t>
  </si>
  <si>
    <t>Мухамадеев Радик Римович</t>
  </si>
  <si>
    <t>Савченко Евгений Васильевич</t>
  </si>
  <si>
    <t>Волков Михаил Юрьевич</t>
  </si>
  <si>
    <t>Новиков Евгений Эдуардович</t>
  </si>
  <si>
    <t>Невский Дмитрий Валерьевич</t>
  </si>
  <si>
    <t>Говоров Сергей Юрьевич</t>
  </si>
  <si>
    <t>Бартунов Олег Сергеевич</t>
  </si>
  <si>
    <t>Киселев Иван Александрович</t>
  </si>
  <si>
    <t>Губин Павел Евгеньевич</t>
  </si>
  <si>
    <t>Добрых Игорь Фёдорович</t>
  </si>
  <si>
    <t>Грибков Александр Геннадьевич</t>
  </si>
  <si>
    <t>Балобанов Константин Николаевич</t>
  </si>
  <si>
    <t>Никитин Юрий Александрович</t>
  </si>
  <si>
    <t>Бренев Кирилл Сергеевич</t>
  </si>
  <si>
    <t>Петренко Дмитрий Васильевич</t>
  </si>
  <si>
    <t>Бакулин Олег Витальевич</t>
  </si>
  <si>
    <t>Мишина Елена Алексеевна</t>
  </si>
  <si>
    <t>Саттаров Айдар Ильдарович</t>
  </si>
  <si>
    <t>Суханова Анастасия Александровна</t>
  </si>
  <si>
    <t>Поддубицкий Николай Викторович</t>
  </si>
  <si>
    <t>Анашкин Михаил Анатольевич</t>
  </si>
  <si>
    <t>Шишкова Елена Александровна</t>
  </si>
  <si>
    <t>Широков Алексей Владимирович</t>
  </si>
  <si>
    <t>Ким Юрий Львович</t>
  </si>
  <si>
    <t>Сафин Азат Равилевич</t>
  </si>
  <si>
    <t>Самодед Александр Львович</t>
  </si>
  <si>
    <t>Шилов Андрей Владимирович</t>
  </si>
  <si>
    <t>Баяндин Константин Андреевич</t>
  </si>
  <si>
    <t>Батынская Ирина Вячеславовна</t>
  </si>
  <si>
    <t>Поносов Георгий Иванович</t>
  </si>
  <si>
    <t>Бирюков Александр Владимирович</t>
  </si>
  <si>
    <t>Сидоров Федор Валентинович</t>
  </si>
  <si>
    <t>Вагнер Виктор Андреевич</t>
  </si>
  <si>
    <t>Котельников Валерий Павлович</t>
  </si>
  <si>
    <t>Кириллов Александр Петрович</t>
  </si>
  <si>
    <t>Фокин Александр Юрьевич</t>
  </si>
  <si>
    <t>Ширшов Алексей Николаевич</t>
  </si>
  <si>
    <t>Пахомов Алексей Александрович</t>
  </si>
  <si>
    <t>Турчанинов Валерий Николаевич</t>
  </si>
  <si>
    <t>Белый Сергей Юрьевич</t>
  </si>
  <si>
    <t>Печурина Лилия Михайловна</t>
  </si>
  <si>
    <t>Морозов Сергей Вячеславович</t>
  </si>
  <si>
    <t>Сычев Семен Михайлович</t>
  </si>
  <si>
    <t>Ментигов Билал Алиевич</t>
  </si>
  <si>
    <t>Насыбуллин Фарит Гильмуллович</t>
  </si>
  <si>
    <t>Нудьга Станислав Александрович</t>
  </si>
  <si>
    <t>Понамарев Сергей Александрович</t>
  </si>
  <si>
    <t>Насыбуллин Рафаэль Фаритович</t>
  </si>
  <si>
    <t>Колабухов Иван Вячеславович</t>
  </si>
  <si>
    <t>Спроге Игорь Евгеньевич</t>
  </si>
  <si>
    <t>Хартвиг Роберт Отто Хайнц</t>
  </si>
  <si>
    <t>Дефассье Лоран, Луи, Клод</t>
  </si>
  <si>
    <t>Микаберидзе Степан Александрович</t>
  </si>
  <si>
    <t>Мусиалек Иржи</t>
  </si>
  <si>
    <t>Коротков Евгений Дмитриевич</t>
  </si>
  <si>
    <t>Мальцев Дмитрий Сергеевич</t>
  </si>
  <si>
    <t>Лауритзен Джон Гари</t>
  </si>
  <si>
    <t>Подобайло Николай Николаевич</t>
  </si>
  <si>
    <t>Медунова Наталья Александровна</t>
  </si>
  <si>
    <t>Воронцов Егор Михайлович</t>
  </si>
  <si>
    <t>Милютин Александр Александрович</t>
  </si>
  <si>
    <t>Стягов Игорь Валерьевич</t>
  </si>
  <si>
    <t>Просецкий Евгений Викторович</t>
  </si>
  <si>
    <t>Алексахин Виктор Владиславович</t>
  </si>
  <si>
    <t>Прудников Евгений Алексеевич</t>
  </si>
  <si>
    <t>Управляющая компания НИЛСЭ, ООО</t>
  </si>
  <si>
    <t>Медведев Денис Анатольевич</t>
  </si>
  <si>
    <t>Дроздова Надежда Васильевна</t>
  </si>
  <si>
    <t>Михолап Владимир Борисович</t>
  </si>
  <si>
    <t>Ефремов Евгений Владимирович</t>
  </si>
  <si>
    <t>Сахно Сергей Владимирович</t>
  </si>
  <si>
    <t>Цальцалько Александр Васильевич</t>
  </si>
  <si>
    <t>Кокорина Оксана Васильевна</t>
  </si>
  <si>
    <t>Низовцев Антон Алексеевич</t>
  </si>
  <si>
    <t>Доронин Алексей Владимирович</t>
  </si>
  <si>
    <t>Управляющая компания КОМПАНИЯ ТИТАН, ООО</t>
  </si>
  <si>
    <t>Управляющая компания УПРАВЛЯЮЩАЯ КОМПАНИЯ ПРОДУКТЫ ПИТАНИЯ, ООО</t>
  </si>
  <si>
    <t>Зенина Наталья Сергеевна</t>
  </si>
  <si>
    <t>Боровков Павел Сергеевич</t>
  </si>
  <si>
    <t>Гончаров Алексей Павлович</t>
  </si>
  <si>
    <t>Павлов Владимир Игоревич</t>
  </si>
  <si>
    <t>Снегирев Кирилл Сергеевич</t>
  </si>
  <si>
    <t>Матвеев Юрий Михайлович</t>
  </si>
  <si>
    <t>Афанасьев Константин Анатольевич</t>
  </si>
  <si>
    <t>Варвянский Игорь Анатольевич</t>
  </si>
  <si>
    <t>Генералов Владимир Иванович</t>
  </si>
  <si>
    <t>Альбедиль Константин Александрович</t>
  </si>
  <si>
    <t>Федосеев Олег Михайлович</t>
  </si>
  <si>
    <t>Плосков Сергей Александрович</t>
  </si>
  <si>
    <t>Башкиров Андрей Николаевич</t>
  </si>
  <si>
    <t>Елагина Анна Вячеславовна</t>
  </si>
  <si>
    <t>Ермолов Игорь Сергеевич</t>
  </si>
  <si>
    <t>Ковтунов Николай Викторович</t>
  </si>
  <si>
    <t>Исполов Михаил Викторович</t>
  </si>
  <si>
    <t>Шатькова Маргарита Сергеевна</t>
  </si>
  <si>
    <t>Михальков Михаил Николаевич</t>
  </si>
  <si>
    <t>Кирносов Василий Игоревич</t>
  </si>
  <si>
    <t>Маннапов Айрат Мусаллимович</t>
  </si>
  <si>
    <t>Андреевская Марина Алексеевна</t>
  </si>
  <si>
    <t>Бутылов Андрей Валерьевич</t>
  </si>
  <si>
    <t>Прох Максим Геннадьевич</t>
  </si>
  <si>
    <t>Бердышев Владислав Владимирович</t>
  </si>
  <si>
    <t>Хузин Харис Азатович</t>
  </si>
  <si>
    <t>Слиняков Евгений Евгеньевич</t>
  </si>
  <si>
    <t>Шаманаев Андрей Николаевич</t>
  </si>
  <si>
    <t>Логинов Александр Игоревич</t>
  </si>
  <si>
    <t>Суздалев Алексей Анатольевич</t>
  </si>
  <si>
    <t>Горбань Игорь Алексеевич</t>
  </si>
  <si>
    <t>Королёва Светлана Анатольевна</t>
  </si>
  <si>
    <t>Лепешкин Илья Вячеславович</t>
  </si>
  <si>
    <t>Управляющая компания УК ТМ, ООО</t>
  </si>
  <si>
    <t>Новиков Владимир Михайлович</t>
  </si>
  <si>
    <t>Махнев Дмитрий Борисович</t>
  </si>
  <si>
    <t>Ефремов Александр Игоревич</t>
  </si>
  <si>
    <t>Алышев Виктор Викторович</t>
  </si>
  <si>
    <t>Борисова Татьяна Владимировна</t>
  </si>
  <si>
    <t>Пушкарев Игорь Леонидович</t>
  </si>
  <si>
    <t>Дьяконов Сергей Александрович</t>
  </si>
  <si>
    <t>Полторацкий Николай Викторович</t>
  </si>
  <si>
    <t>Титов Олег Владимирович</t>
  </si>
  <si>
    <t>Яковлев Александр Николаевич</t>
  </si>
  <si>
    <t>Стрельцов Александр Владимирович</t>
  </si>
  <si>
    <t>Оганян Гайк Сергеевич</t>
  </si>
  <si>
    <t>Курилюк Петр Любомирович</t>
  </si>
  <si>
    <t>Караулов Дмитрий Владимирович</t>
  </si>
  <si>
    <t>Чувашин Антон Сергеевич</t>
  </si>
  <si>
    <t>Синютин Петр Алексеевич</t>
  </si>
  <si>
    <t>Андреянов Алексей Владимирович</t>
  </si>
  <si>
    <t>Мангоянов Михаил Вячеславович</t>
  </si>
  <si>
    <t>Губернаторов Андрей Валентинович</t>
  </si>
  <si>
    <t>Русанов Сергей Витольдович</t>
  </si>
  <si>
    <t>Гайфулин Марат Марсович</t>
  </si>
  <si>
    <t>Третьяк Наталья Владимировна</t>
  </si>
  <si>
    <t>Кожевников Михаил Юрьевич</t>
  </si>
  <si>
    <t>Распутин Александр Станиславович</t>
  </si>
  <si>
    <t>Лобач Кирилл Анатольевич</t>
  </si>
  <si>
    <t>Израилов Игорь Гилилович</t>
  </si>
  <si>
    <t>Музяев Вадим Геннадиевич</t>
  </si>
  <si>
    <t>Ларин Алексей Петрович</t>
  </si>
  <si>
    <t>Провоторова Екатерина Игоревна</t>
  </si>
  <si>
    <t>Полянский Лев Николаевич</t>
  </si>
  <si>
    <t>Ермакова Елена Владимировна</t>
  </si>
  <si>
    <t>Пронин Олег Викторович</t>
  </si>
  <si>
    <t>Шрейдер Анатолий Владимирович</t>
  </si>
  <si>
    <t>Беляев Андрей Николаевич</t>
  </si>
  <si>
    <t>Гаджиева Лейла Ямудиновна</t>
  </si>
  <si>
    <t>Кузнецов Борис Юрьевич</t>
  </si>
  <si>
    <t>Мамонтов Александр Викторович</t>
  </si>
  <si>
    <t>Юшка Николай Константинович</t>
  </si>
  <si>
    <t>Свирин Дмитрий Олегович</t>
  </si>
  <si>
    <t>Прогрущенко Александр Петрович</t>
  </si>
  <si>
    <t>Тарасов Алексей Геннадьевич</t>
  </si>
  <si>
    <t>Мушинский Денис Игоревич</t>
  </si>
  <si>
    <t>Орлов Сергей Александрович</t>
  </si>
  <si>
    <t>Гапонов Петр Владимирович</t>
  </si>
  <si>
    <t>Мусаипов Оразбай Темирбулатович</t>
  </si>
  <si>
    <t>Токмаков Сергей Валентинович</t>
  </si>
  <si>
    <t>Андреев Сергей Анатольевич</t>
  </si>
  <si>
    <t>Самойленко Константин Леонидович</t>
  </si>
  <si>
    <t>Стребкова Елена Владимировна</t>
  </si>
  <si>
    <t>Маттис Сергей Георгиевич</t>
  </si>
  <si>
    <t>Золотарев Алексей Михайлович</t>
  </si>
  <si>
    <t>Плеханов Борис Александрович</t>
  </si>
  <si>
    <t>Комнацкий Виктор Иванович</t>
  </si>
  <si>
    <t>Яруллин Ленар Раисович</t>
  </si>
  <si>
    <t>Шапиро Евгения Игоревна</t>
  </si>
  <si>
    <t>Расковалова Наталья Геннадьевна</t>
  </si>
  <si>
    <t>Конопа Александр Валерьевич</t>
  </si>
  <si>
    <t>Стечкевич Дмитрий Любомирович</t>
  </si>
  <si>
    <t>Малешин Юрий Владимирович</t>
  </si>
  <si>
    <t>Горшкова Светлана Васильевна</t>
  </si>
  <si>
    <t>Спыну Евгений Андреевич</t>
  </si>
  <si>
    <t>Тимарев Сергей Александрович</t>
  </si>
  <si>
    <t>Лямцев Петр Егорович</t>
  </si>
  <si>
    <t>Зиганшин Равиль Хабибуллович</t>
  </si>
  <si>
    <t>Воротнин Юрий Иванович</t>
  </si>
  <si>
    <t>Жуков Федор Михайлович</t>
  </si>
  <si>
    <t>Данильченко Евгений Михайлович</t>
  </si>
  <si>
    <t>Добашин Алексей Алексеевич</t>
  </si>
  <si>
    <t>Аракелян Владислав Размикович</t>
  </si>
  <si>
    <t>Лунгу Сергей Михайлович</t>
  </si>
  <si>
    <t>Шардаков Владимир Викторович</t>
  </si>
  <si>
    <t>Разутдинов Рамиль Равкатович</t>
  </si>
  <si>
    <t>Андреев Сергей Павлович</t>
  </si>
  <si>
    <t>Пусько Андрей Николаевич</t>
  </si>
  <si>
    <t>Дяченко Сергей Александрович</t>
  </si>
  <si>
    <t>Кучер Юрий Николаевич</t>
  </si>
  <si>
    <t>Черный Николай Михайлович</t>
  </si>
  <si>
    <t>Управляющая компания УК ТРАСТ-ПА, ООО</t>
  </si>
  <si>
    <t>Зорин Евгений Михайлович</t>
  </si>
  <si>
    <t>Засыпкин Александр Леонидович</t>
  </si>
  <si>
    <t>Смирнов Роман Валентинович</t>
  </si>
  <si>
    <t>Рогалев Александр Сергеевич</t>
  </si>
  <si>
    <t>Срина Бури</t>
  </si>
  <si>
    <t>Холдоенко Артур Михайлович</t>
  </si>
  <si>
    <t>Наруков Евгений Сергеевич</t>
  </si>
  <si>
    <t>Зотов Александр Владимирович</t>
  </si>
  <si>
    <t>Ефремов Олег Николаевич</t>
  </si>
  <si>
    <t>Алескеров Тимур Расимович</t>
  </si>
  <si>
    <t>Салько Василий Андреевич</t>
  </si>
  <si>
    <t>Емелин Данил Георгиевич</t>
  </si>
  <si>
    <t>Дронов Максим Валерьевич</t>
  </si>
  <si>
    <t>Панова Светлана Валерьевна</t>
  </si>
  <si>
    <t>Бондарев Юрий Владимирович</t>
  </si>
  <si>
    <t>Волынец Сергей Васильевич</t>
  </si>
  <si>
    <t>Ковалев Максим Игоревич</t>
  </si>
  <si>
    <t>Карбышев Андрей Викторович</t>
  </si>
  <si>
    <t>Мариморович Евгений Витальевич</t>
  </si>
  <si>
    <t>Пигальская Виктория Александровна</t>
  </si>
  <si>
    <t>Петренко Наталья Анатольевна</t>
  </si>
  <si>
    <t>Юдин Сергей Сергеевич</t>
  </si>
  <si>
    <t>Сродных Михаил Юрьевич</t>
  </si>
  <si>
    <t>Иванов Никита Алексеевич</t>
  </si>
  <si>
    <t>Бабаев Роман Юрьевич</t>
  </si>
  <si>
    <t>Фирсова Ирина Владимировна</t>
  </si>
  <si>
    <t>Муровец Алексей Юрьевич</t>
  </si>
  <si>
    <t>Сагунов Марат Фаритович</t>
  </si>
  <si>
    <t>Писаренко Вячеслав Иванович</t>
  </si>
  <si>
    <t>Лашков Александр Борисович</t>
  </si>
  <si>
    <t>Токовенко Евгений Владимирович</t>
  </si>
  <si>
    <t>Скулачева Анна Валерьевна</t>
  </si>
  <si>
    <t>Корж Елена Александровна</t>
  </si>
  <si>
    <t>Абьян Левон Аршакович</t>
  </si>
  <si>
    <t>Нуриев Константин Сергеевич</t>
  </si>
  <si>
    <t>Игнатьев Василий Геннадьевич</t>
  </si>
  <si>
    <t>Бабенко Юрий</t>
  </si>
  <si>
    <t>Сайфулин Александр Николаевич</t>
  </si>
  <si>
    <t>Ишмаметьев Андрей Александрович</t>
  </si>
  <si>
    <t>Безбородов Алексей Николаевич</t>
  </si>
  <si>
    <t>Хабудаев Радий Михайлович</t>
  </si>
  <si>
    <t>Селикаев Руслан Рахимович</t>
  </si>
  <si>
    <t>Монастырёв Александр Вячеславович</t>
  </si>
  <si>
    <t>Руцкий Евгений Игоревич</t>
  </si>
  <si>
    <t>Хэ Лиган</t>
  </si>
  <si>
    <t>Гаврилов Александр Ильич</t>
  </si>
  <si>
    <t>Байгузин Сергей Раисович</t>
  </si>
  <si>
    <t>Дулёва Марина Игоревна</t>
  </si>
  <si>
    <t>Эбзеев Борис Борисович</t>
  </si>
  <si>
    <t>Худов Леонид Викторович</t>
  </si>
  <si>
    <t>Лунев Владимир Георгиевич</t>
  </si>
  <si>
    <t>Исаков Андрей Валериевич</t>
  </si>
  <si>
    <t>Неживилов Александр Николаевич</t>
  </si>
  <si>
    <t>Управляющая компания УК ЭЛСИ, ООО</t>
  </si>
  <si>
    <t>Управляющая компания УК ЭЛСИ МЫСКИ, ООО</t>
  </si>
  <si>
    <t>Виноградов Максим Валерьевич</t>
  </si>
  <si>
    <t>Подкорытов Евгений Викторович</t>
  </si>
  <si>
    <t>Камышанов Михаил Дмитриевич</t>
  </si>
  <si>
    <t>Каинов Александр Иванович</t>
  </si>
  <si>
    <t>Управляющая компания КОМПАНИЯ ВОСТСИБУГОЛЬ, ООО</t>
  </si>
  <si>
    <t>Лукин Сергей Рудольфович</t>
  </si>
  <si>
    <t>Хомич Михаил Григорьевич</t>
  </si>
  <si>
    <t>Милованов Виталий Анатольевич</t>
  </si>
  <si>
    <t>Управляющая компания РАЛЬФ РИНГЕР МЕНЕДЖМЕНТ, ООО</t>
  </si>
  <si>
    <t>Варлачев Алексей Владимирович</t>
  </si>
  <si>
    <t>Омельчук Андрей Владимирович</t>
  </si>
  <si>
    <t>Савинкин Дмитрий Владимирович</t>
  </si>
  <si>
    <t>Левченко Роман Алексеевич</t>
  </si>
  <si>
    <t>Валиев Артур Камилевич</t>
  </si>
  <si>
    <t>Андрианов Михаил Александрович</t>
  </si>
  <si>
    <t>Зубова Мария Александровна</t>
  </si>
  <si>
    <t>Лукашевичус Денис Ромальдасович</t>
  </si>
  <si>
    <t>Молчанова Маргарита Сергеевна</t>
  </si>
  <si>
    <t>Дубовиков Дмитрий Николаевич</t>
  </si>
  <si>
    <t>Герасимова Вера Васильевна</t>
  </si>
  <si>
    <t>Бутко Андрей Борисович</t>
  </si>
  <si>
    <t>Бандюк Дмитрий Сергеевич</t>
  </si>
  <si>
    <t>Жаркова Мария Анатольевна</t>
  </si>
  <si>
    <t>Труш Антоний Александрович</t>
  </si>
  <si>
    <t>Комиссаров Дмитрий Сергеевич</t>
  </si>
  <si>
    <t>Самодуров Денис Викторович</t>
  </si>
  <si>
    <t>Кудрявцев Гурам Андреевич</t>
  </si>
  <si>
    <t>Мельников Борис Александрович</t>
  </si>
  <si>
    <t>Романенко Роман Викторович</t>
  </si>
  <si>
    <t>Шокин Андрей Геннадьевич</t>
  </si>
  <si>
    <t>Буканов Алексей Анатольевич</t>
  </si>
  <si>
    <t>Григорьев Василий Сергеевич</t>
  </si>
  <si>
    <t>Слобожанин Анатолий Анатольевич</t>
  </si>
  <si>
    <t>Николаенко Олег Николаевич</t>
  </si>
  <si>
    <t>Киндра Евгения Михайловна</t>
  </si>
  <si>
    <t>Махов Константин Анатольевич</t>
  </si>
  <si>
    <t>Шишкин Илья Александрович</t>
  </si>
  <si>
    <t>Фоменко Владислав Владимирович</t>
  </si>
  <si>
    <t>Никифоров Дмитрий Александрович</t>
  </si>
  <si>
    <t>Пилюгина Анна Александровна</t>
  </si>
  <si>
    <t>Ерошенко Алексей Валентинович</t>
  </si>
  <si>
    <t>Парумбегов Роман Альбертович</t>
  </si>
  <si>
    <t>Кулиев Роман Владимирович</t>
  </si>
  <si>
    <t>Ивашкин Петр Юрьевич</t>
  </si>
  <si>
    <t>Бувшинкова Ирина Аркадьевна</t>
  </si>
  <si>
    <t>Черенков Василий Владимирович</t>
  </si>
  <si>
    <t>Владимиров Сергей Викторович</t>
  </si>
  <si>
    <t>Карпова Людмила Владимировна</t>
  </si>
  <si>
    <t>Иксанов Артур Агидельевич</t>
  </si>
  <si>
    <t>Чирков Виталий Юрьевич</t>
  </si>
  <si>
    <t>Феликсов Алексей Владимирович</t>
  </si>
  <si>
    <t>Рыбаков Василий Петрович</t>
  </si>
  <si>
    <t>Лаушкин Николай Игоревич</t>
  </si>
  <si>
    <t>Томилин Алексей Николаевич</t>
  </si>
  <si>
    <t>Бредний Раиса Иннокентьевна</t>
  </si>
  <si>
    <t>Бедин Олег Геннадьевич</t>
  </si>
  <si>
    <t>Тугушев Рушан Искандерович</t>
  </si>
  <si>
    <t>Управляющая компания РЕГИОНСТРОЙ, ООО ГК</t>
  </si>
  <si>
    <t>Дайгородов Алексей Эдуардович</t>
  </si>
  <si>
    <t>Зименко Василий Александрович</t>
  </si>
  <si>
    <t>Бойченко Александр Николаевич</t>
  </si>
  <si>
    <t>Ерофеев Сергей Владимирович</t>
  </si>
  <si>
    <t>Борисова Гульнара Рамилевна</t>
  </si>
  <si>
    <t>Козлова Оксана Георгиевна</t>
  </si>
  <si>
    <t>Солодилин Евгений Александрович</t>
  </si>
  <si>
    <t>Крылов Роман Валерьевич</t>
  </si>
  <si>
    <t>Гильмутдинов Ленар Аминович</t>
  </si>
  <si>
    <t>Авруцкий Георгий Владимирович</t>
  </si>
  <si>
    <t>Евтеев Денис Викторович</t>
  </si>
  <si>
    <t>Халилов Рахман Искендер Оглы</t>
  </si>
  <si>
    <t>Ким Ирина Васильевна</t>
  </si>
  <si>
    <t>Круглов Александр Александрович</t>
  </si>
  <si>
    <t>Сапогова Леля Энгельсовна</t>
  </si>
  <si>
    <t>Пети Эрик Георг Фернанд</t>
  </si>
  <si>
    <t>Радакович Игорь</t>
  </si>
  <si>
    <t>Сидоров Алексей Викторович</t>
  </si>
  <si>
    <t>Балчугов Филипп Иванович</t>
  </si>
  <si>
    <t>Платонов Алексей Юрьевич</t>
  </si>
  <si>
    <t>Наумов Сергей Викторович</t>
  </si>
  <si>
    <t>Казаков Олег Владимирович</t>
  </si>
  <si>
    <t>Зайцева Илона Леонидовна</t>
  </si>
  <si>
    <t>Мегела Сергей Васильевич</t>
  </si>
  <si>
    <t>Егоров Алексей Борисович</t>
  </si>
  <si>
    <t>Сарапин Виктор Алексеевич</t>
  </si>
  <si>
    <t>Тарасюк Александр Владимирович</t>
  </si>
  <si>
    <t>Власенко Андрей Юрьевич</t>
  </si>
  <si>
    <t>Кайтукти Константин Петрович</t>
  </si>
  <si>
    <t>Грудовой Тимур Станиславович</t>
  </si>
  <si>
    <t>Макаридзе Амиран Давидович</t>
  </si>
  <si>
    <t>Селило Иван Янович</t>
  </si>
  <si>
    <t>Константинов Анатолий Васильевич</t>
  </si>
  <si>
    <t>Эге Нешет</t>
  </si>
  <si>
    <t>Викулин Евгений Евгеньевич</t>
  </si>
  <si>
    <t>Савицкая Марина Юрьевна</t>
  </si>
  <si>
    <t>Дуллаерт Кристоф Ашил М.</t>
  </si>
  <si>
    <t>Мокин Андрей Петрович</t>
  </si>
  <si>
    <t>Куликова Римма Владимировна</t>
  </si>
  <si>
    <t>Ликучев Денис Александрович</t>
  </si>
  <si>
    <t>Хохлов Алексей Юрьевич</t>
  </si>
  <si>
    <t>Чекмарев Дмитрий Александрович</t>
  </si>
  <si>
    <t>Халяпин Евгений Владимирович</t>
  </si>
  <si>
    <t>Зяблин Виталий Владимирович</t>
  </si>
  <si>
    <t>Тимошенко Михаил Анатольевич</t>
  </si>
  <si>
    <t>Нефедов Александр Леонидович</t>
  </si>
  <si>
    <t>Согоян Рубен Бартегович</t>
  </si>
  <si>
    <t>Свенцицкий Игорь Витальевич</t>
  </si>
  <si>
    <t>Попов Руслан Васильевич</t>
  </si>
  <si>
    <t>Межгихов Марат Мусалимович</t>
  </si>
  <si>
    <t>Лаукарт Ирина Владимировна</t>
  </si>
  <si>
    <t>Управляющая компания РЕСУРС ГРУПП, ООО</t>
  </si>
  <si>
    <t>Шарабарин Алексей Викторович</t>
  </si>
  <si>
    <t>Фафанов Роман Геннадьевич</t>
  </si>
  <si>
    <t>Гиниз Угур</t>
  </si>
  <si>
    <t>Никитин Павел Валерьевич</t>
  </si>
  <si>
    <t>Бакулин Михаил Владимирович</t>
  </si>
  <si>
    <t>Гайнуллин Константин Римович</t>
  </si>
  <si>
    <t>Управляющая компания СТАРВЕЙ ЛОГИСТИКА, ООО</t>
  </si>
  <si>
    <t>Сараев Вячеслав Геннадьевич</t>
  </si>
  <si>
    <t>Столяров Сергей Алексеевич</t>
  </si>
  <si>
    <t>Мурев Дмитрий Иовчович</t>
  </si>
  <si>
    <t>Бродовский Максим Михайлович</t>
  </si>
  <si>
    <t>Куртов Александр Александрович</t>
  </si>
  <si>
    <t>Ветряк Иван Викторович</t>
  </si>
  <si>
    <t>Соловьев Сергей Вячеславович</t>
  </si>
  <si>
    <t>Горшенин Андрей Валентинович</t>
  </si>
  <si>
    <t>Мак Фарлан Стефан Гэвин Теодор</t>
  </si>
  <si>
    <t>Марадуда Константин Владимирович</t>
  </si>
  <si>
    <t>Кормильцев Николай Викторович</t>
  </si>
  <si>
    <t>Дивлеткильдеев Алексей Наилевич</t>
  </si>
  <si>
    <t>Пустоваров Виталий Сергеевич</t>
  </si>
  <si>
    <t>Лагвилава Гоча Игориевич</t>
  </si>
  <si>
    <t>Пронюшкин Денис Владимирович</t>
  </si>
  <si>
    <t>Шапиро Михаил Александрович</t>
  </si>
  <si>
    <t>Добрянский Александр Вячеславович</t>
  </si>
  <si>
    <t>Козлов Александр Сергеевич</t>
  </si>
  <si>
    <t>Асадов Шахин Шамиль Оглы</t>
  </si>
  <si>
    <t>Джегрий Марина Игоревна</t>
  </si>
  <si>
    <t>Тионг Чионг Хунг</t>
  </si>
  <si>
    <t>Верещаков Алексей Васильевич</t>
  </si>
  <si>
    <t>Кормилицын Алексей Анатольевич</t>
  </si>
  <si>
    <t>Коробова Вероника Владимировна</t>
  </si>
  <si>
    <t>Болдырев Андрей Викторович</t>
  </si>
  <si>
    <t>Грибко Ринат Николаевич</t>
  </si>
  <si>
    <t>Ульссон Андреас Ларс Уно Эрик</t>
  </si>
  <si>
    <t>Нургалиев Ренат Галеевич</t>
  </si>
  <si>
    <t>Бушуев Александр Владимирович</t>
  </si>
  <si>
    <t>Сбоев Михаил Анатольевич</t>
  </si>
  <si>
    <t>Блинов Илья Сергеевич</t>
  </si>
  <si>
    <t>Прохоров Алексей Александрович</t>
  </si>
  <si>
    <t>Пеньков Александр Сергеевич</t>
  </si>
  <si>
    <t>Ткачук Валерий Витальевич</t>
  </si>
  <si>
    <t>Иванов Иван Сергеевич</t>
  </si>
  <si>
    <t>Загоровский Владимир Николаевич</t>
  </si>
  <si>
    <t>Малышев Константин Сергеевич</t>
  </si>
  <si>
    <t>Устинов Максим Викторович</t>
  </si>
  <si>
    <t>Управляющая компания ГРУППА АГРОКОМ, ООО</t>
  </si>
  <si>
    <t>Сапронюк Дмитрий Викторович</t>
  </si>
  <si>
    <t>Управляющая компания НТК, ООО</t>
  </si>
  <si>
    <t>Борисенкова Евгения Николаевна</t>
  </si>
  <si>
    <t>Гайрабеков Бислан Исанович</t>
  </si>
  <si>
    <t>Аужин Алексей Александрович</t>
  </si>
  <si>
    <t>Можейко Леонид Чеславович</t>
  </si>
  <si>
    <t>Маврыкин Валерий Валерьевич</t>
  </si>
  <si>
    <t>Семкин Александр Владимирович</t>
  </si>
  <si>
    <t>Краснов Александр Юрьевич</t>
  </si>
  <si>
    <t>Кануков Денис Евгеньевич</t>
  </si>
  <si>
    <t>Семенов Николай Иванович</t>
  </si>
  <si>
    <t>Бойко Владимир Кириллович</t>
  </si>
  <si>
    <t>Пчельников Павел Юрьевич</t>
  </si>
  <si>
    <t>Кулыгин Николай Владимирович</t>
  </si>
  <si>
    <t>Ракитин Владимир Сергеевич</t>
  </si>
  <si>
    <t>Морозов Владимир Витальевич</t>
  </si>
  <si>
    <t>Уртаев Руслан Владимирович</t>
  </si>
  <si>
    <t>Ковальчук Александр Александрович</t>
  </si>
  <si>
    <t>Кривошеев Андрей Моисеевич</t>
  </si>
  <si>
    <t>Кириченко Илья Игоревич</t>
  </si>
  <si>
    <t>Заскалько Леонид Николаевич</t>
  </si>
  <si>
    <t>Лосев Иван Викторович</t>
  </si>
  <si>
    <t>Сакун Борис Владиславович</t>
  </si>
  <si>
    <t>Костенко Зоя Викторовна</t>
  </si>
  <si>
    <t>Лазутин Андрей Андреевич</t>
  </si>
  <si>
    <t>Евстафьев Николай Владимирович</t>
  </si>
  <si>
    <t>Ивочкина Елена Владимировна</t>
  </si>
  <si>
    <t>Богданов Иван Валерьевич</t>
  </si>
  <si>
    <t>Дыга Никита Максимович</t>
  </si>
  <si>
    <t>Моисеев Валерий Геннадьевич</t>
  </si>
  <si>
    <t>Белокобыльский Александр Юрьевич</t>
  </si>
  <si>
    <t>Айбазов Олег Умарович</t>
  </si>
  <si>
    <t>Ситникова Елена Борисовна</t>
  </si>
  <si>
    <t>Управляющая компания УК РОЗТЕХ, ООО</t>
  </si>
  <si>
    <t>Максимов Александр Анатольевич</t>
  </si>
  <si>
    <t>Потокер Марина Александровна</t>
  </si>
  <si>
    <t>Шаховский Станислав Станиславович</t>
  </si>
  <si>
    <t>Суслов Илья Константинович</t>
  </si>
  <si>
    <t>Трушкова Юлия Евгеньевна</t>
  </si>
  <si>
    <t>Карпекина Екатерина Валерьевна</t>
  </si>
  <si>
    <t>Виноградова Светлана Викторовна</t>
  </si>
  <si>
    <t>Дубовой Александр Сергеевич</t>
  </si>
  <si>
    <t>Сергеева Екатерина Владимировна</t>
  </si>
  <si>
    <t>Фомин Алексей Викторович</t>
  </si>
  <si>
    <t>Атласов Александр Иванович</t>
  </si>
  <si>
    <t>Юсупов Сала Салманович</t>
  </si>
  <si>
    <t>Пенина Елена Николаевна</t>
  </si>
  <si>
    <t>Карташов Василий Александрович</t>
  </si>
  <si>
    <t>Черных Сергей Иванович</t>
  </si>
  <si>
    <t>Косов Павел Николаевич</t>
  </si>
  <si>
    <t>Степанов Александр Владимирович</t>
  </si>
  <si>
    <t>Никитин Сергей Викторович</t>
  </si>
  <si>
    <t>Беляков Сергей Григорьевич</t>
  </si>
  <si>
    <t>Капустин Игорь Александрович</t>
  </si>
  <si>
    <t>Тихонов Алексей Борисович</t>
  </si>
  <si>
    <t>Швайко Дмитрий Борисович</t>
  </si>
  <si>
    <t>Костеева Маргарита Валерьевна</t>
  </si>
  <si>
    <t>Стуглев Александр Анатольевич</t>
  </si>
  <si>
    <t>Черняк Юрий Александрович</t>
  </si>
  <si>
    <t>Тюрксевер Нихат</t>
  </si>
  <si>
    <t>Пылин Сергей Владимирович</t>
  </si>
  <si>
    <t>Маркоткин Михаил Юрьевич</t>
  </si>
  <si>
    <t>Шульпин Михаил Владимирович</t>
  </si>
  <si>
    <t>Руденко Олег Геннадьевич</t>
  </si>
  <si>
    <t>Александров Павел Владимирович</t>
  </si>
  <si>
    <t>Ярошев Валерий Анатольевич</t>
  </si>
  <si>
    <t>Текеев Алисолтан Абуюсуфович</t>
  </si>
  <si>
    <t>Дегтярев Николай Владимирович</t>
  </si>
  <si>
    <t>Управляющая компания РОСТА, ООО ГК</t>
  </si>
  <si>
    <t>Еремеев Борис Георгиевич</t>
  </si>
  <si>
    <t>Макарова Галина Алексеевна</t>
  </si>
  <si>
    <t>Ткаченко Олег Николаевич</t>
  </si>
  <si>
    <t>Грошев Михаил Игоревич</t>
  </si>
  <si>
    <t>Тарасов Игорь Евгеньевич</t>
  </si>
  <si>
    <t>Поркшеев Михаил Сиропович</t>
  </si>
  <si>
    <t>Управляющая компания ЛУКОЙЛ-РОСТОВЭНЕРГО, ООО</t>
  </si>
  <si>
    <t>Гавриленко Андрей Анатольевич</t>
  </si>
  <si>
    <t>Мамедов Абас Рамазанович</t>
  </si>
  <si>
    <t>Майоров Павел Павлович</t>
  </si>
  <si>
    <t>Струков Иван Викторович</t>
  </si>
  <si>
    <t>Ульянов Андрей Сергеевич</t>
  </si>
  <si>
    <t>Андрющенко Алексей Викторович</t>
  </si>
  <si>
    <t>Багаев Иван Владимирович</t>
  </si>
  <si>
    <t>Менчиков Михаил Владиславович</t>
  </si>
  <si>
    <t>Давыдов Владимир Александрович</t>
  </si>
  <si>
    <t>Аксенов Алексей Васильевич</t>
  </si>
  <si>
    <t>Карпухин Владимир Валерьевич</t>
  </si>
  <si>
    <t>Воронкова Анна Михайловна</t>
  </si>
  <si>
    <t>Соколухин Сергей Владимирович</t>
  </si>
  <si>
    <t>Егер Ольга Александровна</t>
  </si>
  <si>
    <t>Сенаторов Александр Александрович</t>
  </si>
  <si>
    <t>Яманова Людмила Аилдашевна</t>
  </si>
  <si>
    <t>Эфендиев Эмин Гаджимурад Оглы</t>
  </si>
  <si>
    <t>Сираев Данис Радикович</t>
  </si>
  <si>
    <t>Дангауэр Дмитрий Сергеевич</t>
  </si>
  <si>
    <t>Управляющая компания АВТОХОЛДИНГ РРТ, ООО</t>
  </si>
  <si>
    <t>Храбров Дмитрий Александрович</t>
  </si>
  <si>
    <t>Падош Балаж</t>
  </si>
  <si>
    <t>Ланцов Сергей Николаевич</t>
  </si>
  <si>
    <t>Лейтис Игорь Михайлович</t>
  </si>
  <si>
    <t>Дуканов Олег Михайлович</t>
  </si>
  <si>
    <t>Таунов Александр Юрьевич</t>
  </si>
  <si>
    <t>Золотарев Дмитрий Леонидович</t>
  </si>
  <si>
    <t>Черников Денис Александрович</t>
  </si>
  <si>
    <t>Козлов Андрей Эдуардович</t>
  </si>
  <si>
    <t>Рябков Михаил Владимирович</t>
  </si>
  <si>
    <t>Управляющая компания УПРАВЛЯЮЩАЯ КОМПАНИЯ РУСДЖАМ, ООО</t>
  </si>
  <si>
    <t>Яценко Михаил Анатольевич</t>
  </si>
  <si>
    <t>Сандуковский Михаил Александрович</t>
  </si>
  <si>
    <t>Алания Тенгиз Мамукович</t>
  </si>
  <si>
    <t>Смугалов Игорь Борисович</t>
  </si>
  <si>
    <t>Кондратьев Андрей Валерьевич</t>
  </si>
  <si>
    <t>Готлиб Дмитрий Игоревич</t>
  </si>
  <si>
    <t>Замков Антон Сергеевич</t>
  </si>
  <si>
    <t>Горбатов Дмитрий Алексеевич</t>
  </si>
  <si>
    <t>Ерохин Виталий Владимирович</t>
  </si>
  <si>
    <t>Губанов Андрей Борисович</t>
  </si>
  <si>
    <t>Филанович Павел Олегович</t>
  </si>
  <si>
    <t>Давыдов Юрий Наумович</t>
  </si>
  <si>
    <t>Шагиахметов Сергей Юрикович</t>
  </si>
  <si>
    <t>Ратиев Сергей Юрьевич</t>
  </si>
  <si>
    <t>Крижичевская Татьяна Александровна</t>
  </si>
  <si>
    <t>Шмаков Сергей Геннадьевич</t>
  </si>
  <si>
    <t>Романченко Андрей Юрьевич</t>
  </si>
  <si>
    <t>Лишенков Владимир Николаевич</t>
  </si>
  <si>
    <t>Шаламов Валентин Викторович</t>
  </si>
  <si>
    <t>Жигадло Александр Брониславович</t>
  </si>
  <si>
    <t>Юров Максим Александрович</t>
  </si>
  <si>
    <t>Гусарова Анна Владимировна</t>
  </si>
  <si>
    <t>Лемякин Михаил Владимирович</t>
  </si>
  <si>
    <t>Ведёхин Игорь Анатольевич</t>
  </si>
  <si>
    <t>Домрачев Андрей Владимирович</t>
  </si>
  <si>
    <t>Управляющая компания ЗОЛОТЫЕ ПРОЕКТЫ, ООО УК</t>
  </si>
  <si>
    <t>Волошин Александр Васильевич</t>
  </si>
  <si>
    <t>Горбунков Михаил Владимирович</t>
  </si>
  <si>
    <t>Управляющая компания УК РМ РЕЙЛ, ООО</t>
  </si>
  <si>
    <t>Мельниченко Владимир Федорович</t>
  </si>
  <si>
    <t>Новак Кристиан</t>
  </si>
  <si>
    <t>Алныкин Николай Алексеевич</t>
  </si>
  <si>
    <t>Тернавская Наталья Анатольевна</t>
  </si>
  <si>
    <t>Подолян Роман Валентинович</t>
  </si>
  <si>
    <t>Зинуров Дмитрий Ринатович</t>
  </si>
  <si>
    <t>Анисимов Эдуард Анатольевич</t>
  </si>
  <si>
    <t>Романов Михаил Николаевич</t>
  </si>
  <si>
    <t>Лабурцев Дмитрий Евгеньевич</t>
  </si>
  <si>
    <t>Наханович Даниил Александрович</t>
  </si>
  <si>
    <t>Васильев Дмитрий Николаевич</t>
  </si>
  <si>
    <t>Управляющая компания РУСАЛ МЕНЕДЖМЕНТ, АО</t>
  </si>
  <si>
    <t>Пеньков Алексей Сергеевич</t>
  </si>
  <si>
    <t>Пакерманов Евгений Маркович</t>
  </si>
  <si>
    <t>Сальков Евгений Александрович</t>
  </si>
  <si>
    <t>Сируть Владимир Валерьевич</t>
  </si>
  <si>
    <t>Лазарев Сергей Владимирович</t>
  </si>
  <si>
    <t>Управляющая компания ЦБУ ЭКСПЕРТ, ООО</t>
  </si>
  <si>
    <t>Носырев Глеб Михайлович</t>
  </si>
  <si>
    <t>Назаров Сергей Александрович</t>
  </si>
  <si>
    <t>Винокуров Алексей Николаевич</t>
  </si>
  <si>
    <t>Загребельный Евгений Валерьевич</t>
  </si>
  <si>
    <t>Мигунов Алексей Юрьевич</t>
  </si>
  <si>
    <t>Хмарин Виктор Викторович</t>
  </si>
  <si>
    <t>Парнев Михаил Львович</t>
  </si>
  <si>
    <t>Кондрашев Иван Александрович</t>
  </si>
  <si>
    <t>Шалаев Валерий Алексеевич</t>
  </si>
  <si>
    <t>Колюх Николай Иосифович</t>
  </si>
  <si>
    <t>Адамов Артур Александрович</t>
  </si>
  <si>
    <t>Городилов Александр Викторович</t>
  </si>
  <si>
    <t>Кургинян Айказ Арцрунович</t>
  </si>
  <si>
    <t>Епифанов Игорь Вячеславович</t>
  </si>
  <si>
    <t>Остроумова Екатерина Борисовна</t>
  </si>
  <si>
    <t>Мороз Александр Вячеславович</t>
  </si>
  <si>
    <t>Берсенев Дмитрий Евгеньевич</t>
  </si>
  <si>
    <t>Панов Сергей Николаевич</t>
  </si>
  <si>
    <t>Радько Николай Викторович</t>
  </si>
  <si>
    <t>Зарипов Руслан Рустамович</t>
  </si>
  <si>
    <t>Мирзоян Роберт Георгиевич</t>
  </si>
  <si>
    <t>Приходько Евгений Николаевич</t>
  </si>
  <si>
    <t>Гакаев Рашид Аднанович</t>
  </si>
  <si>
    <t>Горбатов Николай Владимирович</t>
  </si>
  <si>
    <t>Руссков Дмитрий Игоревич</t>
  </si>
  <si>
    <t>Тужилкина Виктория Александровна</t>
  </si>
  <si>
    <t>Коригов Хас-Магомед Султан-Гиреевич</t>
  </si>
  <si>
    <t>Сандин Юрий Семенович</t>
  </si>
  <si>
    <t>Тимошенко Надежда Анатольевна</t>
  </si>
  <si>
    <t>Шпигель Михаил Яковлевич</t>
  </si>
  <si>
    <t>Бондаренко Елена Владимировна</t>
  </si>
  <si>
    <t>Михайлюков Анатолий Павлович</t>
  </si>
  <si>
    <t>Управляющая компания ГРЕЙН ХОЛДИНГ, ООО УПРАВЛЯЮЩАЯ КОМПАНИЯ</t>
  </si>
  <si>
    <t>Васильев Сергей Анатольевич</t>
  </si>
  <si>
    <t>Киреев Антон Валерьевич</t>
  </si>
  <si>
    <t>Юганов Максим Анатольевич</t>
  </si>
  <si>
    <t>Морозов Владимир Александрович</t>
  </si>
  <si>
    <t>Тихонов Павел Александрович</t>
  </si>
  <si>
    <t>Граудин Владимир Константинович</t>
  </si>
  <si>
    <t>Колобашкин Константин Викторович</t>
  </si>
  <si>
    <t>Исаев Евгений Николаевич</t>
  </si>
  <si>
    <t>Сыропятов Виталий Геннадьевич</t>
  </si>
  <si>
    <t>Анчикова Оксана Валерьевна</t>
  </si>
  <si>
    <t>Карасёва Татьяна Александровна</t>
  </si>
  <si>
    <t>Остапченко Станислав Андреевич</t>
  </si>
  <si>
    <t>Бойцова Ольга Александровна</t>
  </si>
  <si>
    <t>Толочек Евгений Викторович</t>
  </si>
  <si>
    <t>Управляющая компания РУССОЙЛ, ООО</t>
  </si>
  <si>
    <t>Черный Сергей Васильевич</t>
  </si>
  <si>
    <t>Красина Ирина Анатольевна</t>
  </si>
  <si>
    <t>Рудаков Олег Владимирович</t>
  </si>
  <si>
    <t>Козырев Роман Сергеевич</t>
  </si>
  <si>
    <t>Дениз Махир</t>
  </si>
  <si>
    <t>Гао Сяочэн</t>
  </si>
  <si>
    <t>Богородская Елизавета Юрьевна</t>
  </si>
  <si>
    <t>Дубовцев Сергей Владимирович</t>
  </si>
  <si>
    <t>Дегтярев Олег Евгеньевич</t>
  </si>
  <si>
    <t>Николаев Владимир Алексеевич</t>
  </si>
  <si>
    <t>Горбунов Александр Владимирович</t>
  </si>
  <si>
    <t>Воронин Сергей Олегович</t>
  </si>
  <si>
    <t>Токмак Эврен</t>
  </si>
  <si>
    <t>Тихобаева Надежда Дмитриевна</t>
  </si>
  <si>
    <t>Черятов Александр Юрьевич</t>
  </si>
  <si>
    <t>Волков Константин Сергеевич</t>
  </si>
  <si>
    <t>Белов Андрей Александрович</t>
  </si>
  <si>
    <t>Заикина Лариса Дмитриевна</t>
  </si>
  <si>
    <t>Антипенко Василий Леонидович</t>
  </si>
  <si>
    <t>Андронов Михаил Сергеевич</t>
  </si>
  <si>
    <t>Кузнецов Андрей Вадимович</t>
  </si>
  <si>
    <t>Кучеренко Василий Васильевич</t>
  </si>
  <si>
    <t>И Эдуард Канчунович</t>
  </si>
  <si>
    <t>Дюков Александр Валерьевич</t>
  </si>
  <si>
    <t>Толстобров Леонид Николаевич</t>
  </si>
  <si>
    <t>Шперлинг Андрей Васильевич</t>
  </si>
  <si>
    <t>Зотеева Анастасия Геннадиевна</t>
  </si>
  <si>
    <t>Ибрагимов Закир Фуатович</t>
  </si>
  <si>
    <t>Корякин Михаил Николаевич</t>
  </si>
  <si>
    <t>Поспелов Владимир Егорович</t>
  </si>
  <si>
    <t>Орехов Алексей Вячеславович</t>
  </si>
  <si>
    <t>Управляющая компания ПРИСМИАН РУС, ООО</t>
  </si>
  <si>
    <t>Кузенёв Сергей Юрьевич</t>
  </si>
  <si>
    <t>Шароватов Дмитрий Вячеславович</t>
  </si>
  <si>
    <t>Агуреев Владимир Юрьевич</t>
  </si>
  <si>
    <t>Склюев Павел Петрович</t>
  </si>
  <si>
    <t>Подоль Станислав Рудольфович</t>
  </si>
  <si>
    <t>Руденко Сергей Александрович</t>
  </si>
  <si>
    <t>Бродский Владимир Аркадьевич</t>
  </si>
  <si>
    <t>Щербаков Игорь Викторович</t>
  </si>
  <si>
    <t>Дмитрук Екатерина Сергеевна</t>
  </si>
  <si>
    <t>Демкович Богдан Иосифович</t>
  </si>
  <si>
    <t>Пастухов Константин Владимирович</t>
  </si>
  <si>
    <t>Плужников Алексей Владимирович</t>
  </si>
  <si>
    <t>Пронин Александр Львович</t>
  </si>
  <si>
    <t>Дамизов Игорь Владимирович</t>
  </si>
  <si>
    <t>Монахова Ольга Вениаминовна</t>
  </si>
  <si>
    <t>Алиев Ровшан Музаффар Оглы</t>
  </si>
  <si>
    <t>Зайнутдинов Зариф Закирович</t>
  </si>
  <si>
    <t>Вышенский Олег Михайлович</t>
  </si>
  <si>
    <t>Карнейчик Юрий Александрович</t>
  </si>
  <si>
    <t>Подколзин Александр Валерьевич</t>
  </si>
  <si>
    <t>Управляющая компания УК САДЫ ПРИДОНЬЯ, ООО</t>
  </si>
  <si>
    <t>Казаков Рустам Сеитович</t>
  </si>
  <si>
    <t>Агуреев Сергей Алексеевич</t>
  </si>
  <si>
    <t>Штепа Сергей Вячеславович</t>
  </si>
  <si>
    <t>Стратий Юрий Федорович</t>
  </si>
  <si>
    <t>Джамалов Риад Дербетович</t>
  </si>
  <si>
    <t>Управляющая компания УК САЛЮТ, ООО</t>
  </si>
  <si>
    <t>Сорокин Евгений Владимирович</t>
  </si>
  <si>
    <t>Говорухин Павел Иванович</t>
  </si>
  <si>
    <t>Сурков Сергей Юрьевич</t>
  </si>
  <si>
    <t>Дербенев Олег Александрович</t>
  </si>
  <si>
    <t>Мисюля Павел Алексеевич</t>
  </si>
  <si>
    <t>Сулейманов Ильнар Минтагирович</t>
  </si>
  <si>
    <t>Ахинько Андрей Александрович</t>
  </si>
  <si>
    <t>Шакиров Андрей Шамильевич</t>
  </si>
  <si>
    <t>Хан Соккын</t>
  </si>
  <si>
    <t>Иванов Андрей Александрович</t>
  </si>
  <si>
    <t>Вилесов Александр Игоревич</t>
  </si>
  <si>
    <t>Ростампур Юсеф Хасан</t>
  </si>
  <si>
    <t>Меренков Сергей Александрович</t>
  </si>
  <si>
    <t>Никоненков Дмитрий Валентинович</t>
  </si>
  <si>
    <t>Флоренцано Манлио</t>
  </si>
  <si>
    <t>Россошанский Сергей Викторович</t>
  </si>
  <si>
    <t>Потапова Юлия Алексеевна</t>
  </si>
  <si>
    <t>Смоляк Борис Наумович</t>
  </si>
  <si>
    <t>Управляющая компания СОЛАР СИСТЕМС, ООО</t>
  </si>
  <si>
    <t>Симакова Анжела Николаевна</t>
  </si>
  <si>
    <t>Скворцов Егор Владимирович</t>
  </si>
  <si>
    <t>Павлов Владимир Валерьевич</t>
  </si>
  <si>
    <t>Царукян Микаел Багратович</t>
  </si>
  <si>
    <t>Стегачева Наталья Павловна</t>
  </si>
  <si>
    <t>Торгованов Александр Вадимович</t>
  </si>
  <si>
    <t>Житникова Ксения Александровна</t>
  </si>
  <si>
    <t>Матыцина Анна Николаевна</t>
  </si>
  <si>
    <t>Шулындин Владимир Владимирович</t>
  </si>
  <si>
    <t>Самченко Андрей Александрович</t>
  </si>
  <si>
    <t>Екимова Элина Николаевна</t>
  </si>
  <si>
    <t>Спирягин Валерий Викторович</t>
  </si>
  <si>
    <t>Киреев Александр Николаевич</t>
  </si>
  <si>
    <t>Ларионова Ольга Александровна</t>
  </si>
  <si>
    <t>Ким Александр Сергеевич</t>
  </si>
  <si>
    <t>Глазов Роман Валерьевич</t>
  </si>
  <si>
    <t>Мальцев Дмитрий Александрович</t>
  </si>
  <si>
    <t>Марканов Денис Юрьевич</t>
  </si>
  <si>
    <t>Санников Андрей Кельсиевич</t>
  </si>
  <si>
    <t>Купин Иван Владимирович</t>
  </si>
  <si>
    <t>Ким Александр Денхалович</t>
  </si>
  <si>
    <t>Альперович Роман Викторович</t>
  </si>
  <si>
    <t>Кацев Леонид Ильич</t>
  </si>
  <si>
    <t>Иртов Сергей Викторович</t>
  </si>
  <si>
    <t>Лебедев Виктор Николаевич</t>
  </si>
  <si>
    <t>Собакарь Борис Борисович</t>
  </si>
  <si>
    <t>Жук Сергей Анатольевич</t>
  </si>
  <si>
    <t>Мартынов Николай</t>
  </si>
  <si>
    <t>Колодезников Алексей Засимович</t>
  </si>
  <si>
    <t>Алексеев Гаврил Николаевич</t>
  </si>
  <si>
    <t>Тен Эрнст</t>
  </si>
  <si>
    <t>Симанихин Сергей Сергеевич</t>
  </si>
  <si>
    <t>Левицкий Валерий Анатольевич</t>
  </si>
  <si>
    <t>Романовский Александр Ростиславович</t>
  </si>
  <si>
    <t>Мельник Николай Викторович</t>
  </si>
  <si>
    <t>Гусев Илья Игоревич</t>
  </si>
  <si>
    <t>Мишина Татьяна Александровна</t>
  </si>
  <si>
    <t>Обручев Владимир Борисович</t>
  </si>
  <si>
    <t>Тарр Джонатан Эдвардс</t>
  </si>
  <si>
    <t>Лысенко Игорь Евгеньевич</t>
  </si>
  <si>
    <t>Евтушенко Алексей Юрьевич</t>
  </si>
  <si>
    <t>Некрасов Максим Юрьевич</t>
  </si>
  <si>
    <t>Усков Дмитрий Александрович</t>
  </si>
  <si>
    <t>Ананьев Роман Владимирович</t>
  </si>
  <si>
    <t>Поляков Николай Валерьевич</t>
  </si>
  <si>
    <t>Бака Владимир Георгиевич</t>
  </si>
  <si>
    <t>Аветисян Иван Владимирович</t>
  </si>
  <si>
    <t>Управляющая компания СВЕЗА-ЛЕС, ООО</t>
  </si>
  <si>
    <t>Фришман Анатолий Семенович</t>
  </si>
  <si>
    <t>Пастухов Андрей Петрович</t>
  </si>
  <si>
    <t>Цзян Сяндун</t>
  </si>
  <si>
    <t>Крюков Андрей Сергеевич</t>
  </si>
  <si>
    <t>Фукалов Геннадий Евгеньевич</t>
  </si>
  <si>
    <t>Воронцов Владимир Александрович</t>
  </si>
  <si>
    <t>Габидуллин Тимур Махмудович</t>
  </si>
  <si>
    <t>Мурадян Камо Алексанович</t>
  </si>
  <si>
    <t>Папе Лутц</t>
  </si>
  <si>
    <t>Базыль Алексей Викторович</t>
  </si>
  <si>
    <t>Дин Лэй</t>
  </si>
  <si>
    <t>Пакари Сирил Поль Бернард</t>
  </si>
  <si>
    <t>Заев Михаил Сергеевич</t>
  </si>
  <si>
    <t>Иванова Юлия Сергеевна</t>
  </si>
  <si>
    <t>Сурнаков Владимир Сергеевич</t>
  </si>
  <si>
    <t>Сутулов Вячеслав Сергеевич</t>
  </si>
  <si>
    <t>Кашапов Искандер Анасович</t>
  </si>
  <si>
    <t>Швалев Михаил Иванович</t>
  </si>
  <si>
    <t>Макаров Александр Владимирович</t>
  </si>
  <si>
    <t>Яровенко Юрий Юрьевич</t>
  </si>
  <si>
    <t>Калетин Сергей Владимирович</t>
  </si>
  <si>
    <t>Назарова Марина Георгиевна</t>
  </si>
  <si>
    <t>Козяков Сергей Александрович</t>
  </si>
  <si>
    <t>Краев Денис Александрович</t>
  </si>
  <si>
    <t>Белоус Евгений Владимирович</t>
  </si>
  <si>
    <t>Пак Мен Чер</t>
  </si>
  <si>
    <t>Управляющая компания СГ РУС, ООО</t>
  </si>
  <si>
    <t>Изосимов Константин Юрьевич</t>
  </si>
  <si>
    <t>Антропов Евгений Юрьевич</t>
  </si>
  <si>
    <t>Дерябин Юрий Сергеевич</t>
  </si>
  <si>
    <t>Смирнов Глеб Владимирович</t>
  </si>
  <si>
    <t>Пронин Сергей Иванович</t>
  </si>
  <si>
    <t>Гольдорт Леонид Яковлевич</t>
  </si>
  <si>
    <t>Дутов Александр Владимирович</t>
  </si>
  <si>
    <t>Рогачев Сергей Петрович</t>
  </si>
  <si>
    <t>Равилов Ильгар Минихамедович</t>
  </si>
  <si>
    <t>Каюшкин Сергей Владимирович</t>
  </si>
  <si>
    <t>Управляющая компания СМ МЕНЕДЖМЕНТ, АО</t>
  </si>
  <si>
    <t>Арефьева Юлия Владимировна</t>
  </si>
  <si>
    <t>Бабиков Тарас Борисович</t>
  </si>
  <si>
    <t>Санатулов Равиль Шамильевич</t>
  </si>
  <si>
    <t>Степанов Олег Викторович</t>
  </si>
  <si>
    <t>Чикунов Олег Викторович</t>
  </si>
  <si>
    <t>Дмитрук Владимир Владимирович</t>
  </si>
  <si>
    <t>Управляющая компания ЧГГК, АО</t>
  </si>
  <si>
    <t>Ночёвка Антон Алексеевич</t>
  </si>
  <si>
    <t>Швецов Игорь Васильевич</t>
  </si>
  <si>
    <t>Фрыгин Андрей Витальевич</t>
  </si>
  <si>
    <t>Сомов Роман Витальевич</t>
  </si>
  <si>
    <t>Архипов Александр Геннадьевич</t>
  </si>
  <si>
    <t>Борисов Алексей Николаевич</t>
  </si>
  <si>
    <t>Хуштов Бетал Зуберович</t>
  </si>
  <si>
    <t>Магий Михаил Юрьевич</t>
  </si>
  <si>
    <t>Четвертных Валерий Владимирович</t>
  </si>
  <si>
    <t>Борягин Руслан Валерьевич</t>
  </si>
  <si>
    <t>Шамолин Михаил Валерьевич</t>
  </si>
  <si>
    <t>Ситников Алексей Владимирович</t>
  </si>
  <si>
    <t>Поделенюк Петр Петрович</t>
  </si>
  <si>
    <t>Управляющая компания УК СЕДРУС, ООО</t>
  </si>
  <si>
    <t>Сарычев Александр Дмитриевич</t>
  </si>
  <si>
    <t>Гросуль Андрей Александрович</t>
  </si>
  <si>
    <t>Ланнегранд Маттье,Гийом</t>
  </si>
  <si>
    <t>Четвериков Александр</t>
  </si>
  <si>
    <t>Эфендиева Наталья Вячеславовна</t>
  </si>
  <si>
    <t>Любимов Олег Игоревич</t>
  </si>
  <si>
    <t>Саглам Серкан</t>
  </si>
  <si>
    <t>Деева Лилия Васильевна</t>
  </si>
  <si>
    <t>Синцова Александра Валерьевна</t>
  </si>
  <si>
    <t>Клеутин Сергей Николаевич</t>
  </si>
  <si>
    <t>Миханьков Александр Сергеевич</t>
  </si>
  <si>
    <t>Алейников Сергей Федорович</t>
  </si>
  <si>
    <t>Графова Юлия Вячеславовна</t>
  </si>
  <si>
    <t>Цыренова Елена Вячеславовна</t>
  </si>
  <si>
    <t>Петросян Давид Робертович</t>
  </si>
  <si>
    <t>Сагитов Ильдус Амирханович</t>
  </si>
  <si>
    <t>Мальгин Роман Андреевич</t>
  </si>
  <si>
    <t>Захаров Виктор Леонидович</t>
  </si>
  <si>
    <t>Ельцов Александр Сергеевич</t>
  </si>
  <si>
    <t>Рудинов Виталий Владимирович</t>
  </si>
  <si>
    <t>Мартыненко Анатолий Евгеньевич</t>
  </si>
  <si>
    <t>Управляющая компания УК СЕРВИС-ИНТЕГРАТОР, ООО</t>
  </si>
  <si>
    <t>Дюмин Николай Иванович</t>
  </si>
  <si>
    <t>Дурнов Денис Викторович</t>
  </si>
  <si>
    <t>Ермишин Юрий Евгеньевич</t>
  </si>
  <si>
    <t>Управляющая компания ГАЗПРОМ БУРЕНИЕ, ООО</t>
  </si>
  <si>
    <t>Нифантьев Алексей Евгеньевич</t>
  </si>
  <si>
    <t>Адылов Алишер Вафоевич</t>
  </si>
  <si>
    <t>Ростовцева Яна Георгиевна</t>
  </si>
  <si>
    <t>Батыжев Денис Заурбекович</t>
  </si>
  <si>
    <t>Панюшкин Анатолий Анатольевич</t>
  </si>
  <si>
    <t>Чубарев Денис Анатолиевич</t>
  </si>
  <si>
    <t>Фардиев Ильшат Шаехович</t>
  </si>
  <si>
    <t>Тарабурин Андрей Владимирович</t>
  </si>
  <si>
    <t>Озеров Олег Борисович</t>
  </si>
  <si>
    <t>Кравцов Александр Константинович</t>
  </si>
  <si>
    <t>Алиферова Наталья Владимировна</t>
  </si>
  <si>
    <t>Яценко Дмитрий Геннадьевич</t>
  </si>
  <si>
    <t>Чайковский Александр Сергеевич</t>
  </si>
  <si>
    <t>Васильев Денис Евгеньевич</t>
  </si>
  <si>
    <t>Шувалов Никита Андреевич</t>
  </si>
  <si>
    <t>Коршикова Елена Валентиновна</t>
  </si>
  <si>
    <t>Суниев Альберт Альфатович</t>
  </si>
  <si>
    <t>Мазепа Сергей Федорович</t>
  </si>
  <si>
    <t>Управляющая компания РУССКИЙ ВОДОРОД, АО</t>
  </si>
  <si>
    <t>Павлов Алексей Алексеевич</t>
  </si>
  <si>
    <t>Кононыхин Сергей Анатольевич</t>
  </si>
  <si>
    <t>Чумаченко Максим Викторович</t>
  </si>
  <si>
    <t>Петренко Иван Иванович</t>
  </si>
  <si>
    <t>Мирон Артем Сергеевич</t>
  </si>
  <si>
    <t>Скуковская Татьяна Игоревна</t>
  </si>
  <si>
    <t>Соболев Антон Леонидович</t>
  </si>
  <si>
    <t>Магрилов Михаил Михайлович</t>
  </si>
  <si>
    <t>Надух Алексей Владимирович</t>
  </si>
  <si>
    <t>Фадеев Валерий Иванович</t>
  </si>
  <si>
    <t>Созинов Евгений Александрович</t>
  </si>
  <si>
    <t>Пахомов Андрей Владимирович</t>
  </si>
  <si>
    <t>Морозов Илья Александрович</t>
  </si>
  <si>
    <t>Алексеев Сергей Степанович</t>
  </si>
  <si>
    <t>Белобородов Сергей Михайлович</t>
  </si>
  <si>
    <t>Тазиев Марат Миргазиянович</t>
  </si>
  <si>
    <t>Затонец Александр Дмитриевич</t>
  </si>
  <si>
    <t>Мэн Тао</t>
  </si>
  <si>
    <t>Павлюкович Андрей Николаевич</t>
  </si>
  <si>
    <t>Мигачев Олег Сергеевич</t>
  </si>
  <si>
    <t>Ильиных Сергей Евгеньевич</t>
  </si>
  <si>
    <t>Лукиянов Иван Иванович</t>
  </si>
  <si>
    <t>Минальтов Алексей Геннадьевич</t>
  </si>
  <si>
    <t>Кравцов Алексей Николаевич</t>
  </si>
  <si>
    <t>Кушнир Виктор Васильевич</t>
  </si>
  <si>
    <t>Собканюк Екатерина Мефодиевна</t>
  </si>
  <si>
    <t>Басов Максим Дмитриевич</t>
  </si>
  <si>
    <t>Федоров Андрей Вадимович</t>
  </si>
  <si>
    <t>Севостьянов Вячеслав Владимирович</t>
  </si>
  <si>
    <t>Калалб Лилиан Семенович</t>
  </si>
  <si>
    <t>Пеллетье Этьен Луи Ришар</t>
  </si>
  <si>
    <t>Горох Виталий Алексеевич</t>
  </si>
  <si>
    <t>Рязанцев Вадим Александрович</t>
  </si>
  <si>
    <t>Литовченко Вячеслав Владимирович</t>
  </si>
  <si>
    <t>Кириллов Кирилл Михайлович</t>
  </si>
  <si>
    <t>Новиков Александр Владимирович</t>
  </si>
  <si>
    <t>Максимов Сергей Александрович</t>
  </si>
  <si>
    <t>Егоров Владимир Владимирович</t>
  </si>
  <si>
    <t>Управляющая компания ХКА, ООО</t>
  </si>
  <si>
    <t>Чеснокова Нина Климентьевна</t>
  </si>
  <si>
    <t>Митришкин Виктор Анатольевич</t>
  </si>
  <si>
    <t>Козел Виктор Сергеевич</t>
  </si>
  <si>
    <t>Бойко Павел Николаевич</t>
  </si>
  <si>
    <t>Глухов Сергей Петрович</t>
  </si>
  <si>
    <t>Соболев Андрей Иванович</t>
  </si>
  <si>
    <t>Гузенко Олег Николаевич</t>
  </si>
  <si>
    <t>Черных Сергей Викторович</t>
  </si>
  <si>
    <t>Минкин Денис Юрьевич</t>
  </si>
  <si>
    <t>Стрельчук Василий Васильевич</t>
  </si>
  <si>
    <t>Смирнов Константин Владимирович</t>
  </si>
  <si>
    <t>Москвитин Илья Юрьевич</t>
  </si>
  <si>
    <t>Лобанов Александр Сергеевич</t>
  </si>
  <si>
    <t>Кожаев Андрей Владимирович</t>
  </si>
  <si>
    <t>Мининков Сергей Михайлович</t>
  </si>
  <si>
    <t>Мор Антон Павлович</t>
  </si>
  <si>
    <t>Александров Александр Сергеевич</t>
  </si>
  <si>
    <t>Мельникова Алиса Валериевна</t>
  </si>
  <si>
    <t>Карисалов Михаил Юрьевич</t>
  </si>
  <si>
    <t>Владимиров Дмитрий Владимирович</t>
  </si>
  <si>
    <t>Рассказов Данил Владимирович</t>
  </si>
  <si>
    <t>Паршев Сергей Сергеевич</t>
  </si>
  <si>
    <t>Малюков Виталий Владимирович</t>
  </si>
  <si>
    <t>Першин Сергей Игоревич</t>
  </si>
  <si>
    <t>Яковлев Михаил Вячеславович</t>
  </si>
  <si>
    <t>Базикалов Игорь Викторович</t>
  </si>
  <si>
    <t>Иванова Надежда Николаевна</t>
  </si>
  <si>
    <t>Филичкин Дмитрий Викторович</t>
  </si>
  <si>
    <t>Родионов Александр Владимирович</t>
  </si>
  <si>
    <t>Солдаткин Сергей Сергеевич</t>
  </si>
  <si>
    <t>Литвиненко Нина Багратовна</t>
  </si>
  <si>
    <t>Погодаев Кирилл Вадимович</t>
  </si>
  <si>
    <t>Митрошкин Антон Анатольевич</t>
  </si>
  <si>
    <t>Птушкин Константин Александрович</t>
  </si>
  <si>
    <t>Гаврилюк Андрей Викторович</t>
  </si>
  <si>
    <t>Платонова Елена Борисовна</t>
  </si>
  <si>
    <t>Ставицкий Андрей Витальевич</t>
  </si>
  <si>
    <t>Обоскалов Константин Владиславович</t>
  </si>
  <si>
    <t>Бычков Анатолий Викторович</t>
  </si>
  <si>
    <t>Андреев Олег Юрьевич</t>
  </si>
  <si>
    <t>Флоринский Алексей Сергеевич</t>
  </si>
  <si>
    <t>Штер Маркус Ханс Вернер</t>
  </si>
  <si>
    <t>Либеров Александр</t>
  </si>
  <si>
    <t>Пяк Эрнест Тясэнович</t>
  </si>
  <si>
    <t>Каширин Максим Сергеевич</t>
  </si>
  <si>
    <t>Березкин Сергей Вячеславович</t>
  </si>
  <si>
    <t>Денисенко Виктор Евгеньевич</t>
  </si>
  <si>
    <t>Дронов Максим Александрович</t>
  </si>
  <si>
    <t>Уфимцев Тимур Александрович</t>
  </si>
  <si>
    <t>Репин Лев Андреевич</t>
  </si>
  <si>
    <t>Тазетдинов Валентин Иреклеевич</t>
  </si>
  <si>
    <t>Бельдюшкин Константин Алексеевич</t>
  </si>
  <si>
    <t>Васясин Алексей Валентинович</t>
  </si>
  <si>
    <t>Зюзин Алексей Юрьевич</t>
  </si>
  <si>
    <t>Ляховчук Михаил Александрович</t>
  </si>
  <si>
    <t>Красильников Андрей Викторович</t>
  </si>
  <si>
    <t>Хомматов Алексей Равильевич</t>
  </si>
  <si>
    <t>Михалёв Алексей Германович</t>
  </si>
  <si>
    <t>Морозов Сергей Владимирович</t>
  </si>
  <si>
    <t>Михин Никита Валерьевич</t>
  </si>
  <si>
    <t>Управляющая компания ТМК, ПАО</t>
  </si>
  <si>
    <t>Управляющая компания УК ТРАСТ, ООО</t>
  </si>
  <si>
    <t>Баскаков Михаил Юрьевич</t>
  </si>
  <si>
    <t>Беляков Максим Борисович</t>
  </si>
  <si>
    <t>Горюшина Наталья Германовна</t>
  </si>
  <si>
    <t>Козырева Елена Александровна</t>
  </si>
  <si>
    <t>Пароев Олег Юрьевич</t>
  </si>
  <si>
    <t>Хренков Виктор Платонович</t>
  </si>
  <si>
    <t>Сидоров Олег Борисович</t>
  </si>
  <si>
    <t>Наумов Максим Евгеньевич</t>
  </si>
  <si>
    <t>Ситдеков Тагир Алиевич</t>
  </si>
  <si>
    <t>Горбатова Оксана Геннадьевна</t>
  </si>
  <si>
    <t>Пантелеев Илья Владимирович</t>
  </si>
  <si>
    <t>Сироткин Алексей Александрович</t>
  </si>
  <si>
    <t>Койда Максим Александрович</t>
  </si>
  <si>
    <t>Цветкова Любовь Константиновна</t>
  </si>
  <si>
    <t>Шарабаев Антон Анатольевич</t>
  </si>
  <si>
    <t>Яхтанциди Анастасий Александрович</t>
  </si>
  <si>
    <t>Пушкарев Олег Павлович</t>
  </si>
  <si>
    <t>Лозовский Александр Михайлович</t>
  </si>
  <si>
    <t>Колдунов Алексей Александрович</t>
  </si>
  <si>
    <t>Управляющая компания ЮРЭНЕРГОКОНСАЛТ , АО ЮЭК, АО</t>
  </si>
  <si>
    <t>Управляющая компания НЬЮ ИММО СЕРВИСИЗ, ООО</t>
  </si>
  <si>
    <t>Пожидаев Николай Николаевич</t>
  </si>
  <si>
    <t>Розентур Роман Юрьевич</t>
  </si>
  <si>
    <t>Мураховский Михаил Викторович</t>
  </si>
  <si>
    <t>Омельченко Александра Алексеевна</t>
  </si>
  <si>
    <t>Шайдуллин Рамиль Фоатович</t>
  </si>
  <si>
    <t>Латыпов Ильдус Линзович</t>
  </si>
  <si>
    <t>Волчков Павел Борисович</t>
  </si>
  <si>
    <t>Литвиненко Александр Яковлевич</t>
  </si>
  <si>
    <t>Скоров Аркадий Анатольевич</t>
  </si>
  <si>
    <t>Козлова Елена Вениаминовна</t>
  </si>
  <si>
    <t>Абдуллин Алмаз Наилевич</t>
  </si>
  <si>
    <t>Еременко Илья Анатольевич</t>
  </si>
  <si>
    <t>Бершакова Марина Николаевна</t>
  </si>
  <si>
    <t>Пучков Андрей Николаевич</t>
  </si>
  <si>
    <t>Герасимов Николай Васильевич</t>
  </si>
  <si>
    <t>Крапивин Роман Николаевич</t>
  </si>
  <si>
    <t>Гаврилин Роман Игоревич</t>
  </si>
  <si>
    <t>Кондратенков Антон Олегович</t>
  </si>
  <si>
    <t>Вихарев Алексей Евгеньевич</t>
  </si>
  <si>
    <t>Карапетов Артем Григорьевич</t>
  </si>
  <si>
    <t>Дрозд Александр Николаевич</t>
  </si>
  <si>
    <t>Кулаков Алексей Олегович</t>
  </si>
  <si>
    <t>Удовин Владимир Петрович</t>
  </si>
  <si>
    <t>Колесников Владимир Юрьевич</t>
  </si>
  <si>
    <t>Руденко Сергей Павлович</t>
  </si>
  <si>
    <t>Левшин Игорь Алексеевич</t>
  </si>
  <si>
    <t>Фатеев Леонид Иванович</t>
  </si>
  <si>
    <t>Балуев Игорь Борисович</t>
  </si>
  <si>
    <t>Карбовничий Сергей Александрович</t>
  </si>
  <si>
    <t>Грачёв Игорь Вячеславович</t>
  </si>
  <si>
    <t>Еремина Валерия Валерьевна</t>
  </si>
  <si>
    <t>Ракушин Алексей Владиславович</t>
  </si>
  <si>
    <t>Сидоров Борис Валентинович</t>
  </si>
  <si>
    <t>Боярский Владислав Валерьевич</t>
  </si>
  <si>
    <t>Дробин Борис Леонидович</t>
  </si>
  <si>
    <t>Пирцхалава Георгий Немович</t>
  </si>
  <si>
    <t>Митрофанова Марина Алексеевна</t>
  </si>
  <si>
    <t>Урусов Виктор Александрович</t>
  </si>
  <si>
    <t>Василевицкий Яков Моисеевич</t>
  </si>
  <si>
    <t>Юрченко Александр Анатольевич</t>
  </si>
  <si>
    <t>Забуга Дмитрий Юрьевич</t>
  </si>
  <si>
    <t>Дементьев Дмитрий Александрович</t>
  </si>
  <si>
    <t>Крутов Дмитрий Валерьевич</t>
  </si>
  <si>
    <t>Ключников Валерий Федорович</t>
  </si>
  <si>
    <t>Рыжий Игорь Валерьевич</t>
  </si>
  <si>
    <t>Им Тэхон</t>
  </si>
  <si>
    <t>Ким Александр Анатольевич</t>
  </si>
  <si>
    <t>Нижарадзе Инга Александровна</t>
  </si>
  <si>
    <t>Усманов Мансур Мидехатович</t>
  </si>
  <si>
    <t>Минбаева Кумушай Садырбековна</t>
  </si>
  <si>
    <t>Гаденова Наталья Александровна</t>
  </si>
  <si>
    <t>Малышев Юрий Геннадьевич</t>
  </si>
  <si>
    <t>Управляющая компания СКФ АРКТИКА, ООО</t>
  </si>
  <si>
    <t>Кучерявый Владимир Владимирович</t>
  </si>
  <si>
    <t>Ларионов Владимир Александрович</t>
  </si>
  <si>
    <t>Волков Дмитрий Иванович</t>
  </si>
  <si>
    <t>Демидов Евгений Валентинович</t>
  </si>
  <si>
    <t>Власенко Григорий Григорьевич</t>
  </si>
  <si>
    <t>Агаджанян Константин Рафикович</t>
  </si>
  <si>
    <t>Исхаков Рустам Ильфатович</t>
  </si>
  <si>
    <t>Степанян Армен Аркадьевич</t>
  </si>
  <si>
    <t>Шитов Дмитрий Александрович</t>
  </si>
  <si>
    <t>Полозов Владимир Алексович</t>
  </si>
  <si>
    <t>Гукасян Эдуард Самвелович</t>
  </si>
  <si>
    <t>Барышников Андрей Владимирович</t>
  </si>
  <si>
    <t>Лейбович Евгений Сергеевич</t>
  </si>
  <si>
    <t>Иммореев Андрей Игоревич</t>
  </si>
  <si>
    <t>Матюшкин Олег Александрович</t>
  </si>
  <si>
    <t>Беляков Сергей Владимирович</t>
  </si>
  <si>
    <t>Польский Алексей Анатольевич</t>
  </si>
  <si>
    <t>Демиралай Селим Оздин</t>
  </si>
  <si>
    <t>Фуфаров Владилен Владимирович</t>
  </si>
  <si>
    <t>Шуршалин Сергей Борисович</t>
  </si>
  <si>
    <t>Баишев Шамиль Исмаилович</t>
  </si>
  <si>
    <t>Иванов Вячеслав Юрьевич</t>
  </si>
  <si>
    <t>Карамнова Жанна Васильевна</t>
  </si>
  <si>
    <t>Курамшин Расим Альбертович</t>
  </si>
  <si>
    <t>Сметана Андрей Юрьевич</t>
  </si>
  <si>
    <t>Гончаренко Антон Александрович</t>
  </si>
  <si>
    <t>Павлов Сергей Александрович</t>
  </si>
  <si>
    <t>Кракович Сергей Владимирович</t>
  </si>
  <si>
    <t>Соколов Павел Владимирович</t>
  </si>
  <si>
    <t>Воротников Максим Николаевич</t>
  </si>
  <si>
    <t>Стром Юн-Улов Патрик</t>
  </si>
  <si>
    <t>Сябренко Елена Михайловна</t>
  </si>
  <si>
    <t>Лосев Сергей Анатольевич</t>
  </si>
  <si>
    <t>Табулов Борис Анатольевич</t>
  </si>
  <si>
    <t>Будневский Вадим Викторович</t>
  </si>
  <si>
    <t>Мазур Александр Николаевич</t>
  </si>
  <si>
    <t>Гаврилов Денис Валерьевич</t>
  </si>
  <si>
    <t>Антонов Яков Михайлович</t>
  </si>
  <si>
    <t>Шабалин Олег Николаевич</t>
  </si>
  <si>
    <t>Рулева Елена Леонидовна</t>
  </si>
  <si>
    <t>Рытиков Алексей Викторович</t>
  </si>
  <si>
    <t>Холяпин Александр Владимирович</t>
  </si>
  <si>
    <t>Ласковец Андрей Викторович</t>
  </si>
  <si>
    <t>Кузвесов Михаил Юрьевич</t>
  </si>
  <si>
    <t>Соколов Сергей Викторович</t>
  </si>
  <si>
    <t>Беляева Валентина Яковлевна</t>
  </si>
  <si>
    <t>Трощенков Сергей Валерьевич</t>
  </si>
  <si>
    <t>Манукян-Буровцов Армен Александрович</t>
  </si>
  <si>
    <t>Костомаров Андрей Николаевич</t>
  </si>
  <si>
    <t>Иванов Александр Васильевич</t>
  </si>
  <si>
    <t>Ерыпалов Андрей Владимирович</t>
  </si>
  <si>
    <t>Ким Севастьян Бонович</t>
  </si>
  <si>
    <t>Кузнецов Александр Львович</t>
  </si>
  <si>
    <t>Кузнецов Александр Евгеньевич</t>
  </si>
  <si>
    <t>Сорокин Николай Александрович</t>
  </si>
  <si>
    <t>Никоненко Дмитрий Николаевич</t>
  </si>
  <si>
    <t>Юрчак Юрий Николаевич</t>
  </si>
  <si>
    <t>Зайцев Андрей Васильевич</t>
  </si>
  <si>
    <t>Елфимов Олег Геннадьевич</t>
  </si>
  <si>
    <t>Старожук Григорий Геннадьевич</t>
  </si>
  <si>
    <t>Колмычков Сергей Сергеевич</t>
  </si>
  <si>
    <t>Калуцкий Антон Олегович</t>
  </si>
  <si>
    <t>Семенчук Лариса Валерьевна</t>
  </si>
  <si>
    <t>Мастяева Оксана Владимировна</t>
  </si>
  <si>
    <t>Галимьянов Ильфат Даниярович</t>
  </si>
  <si>
    <t>Соболев Андрей Алексеевич</t>
  </si>
  <si>
    <t>Васильев Владимир Александрович</t>
  </si>
  <si>
    <t>Исангулов Амир Рамилевич</t>
  </si>
  <si>
    <t>Латыпов Рубен Нуретдинович</t>
  </si>
  <si>
    <t>Чельдиев Артур Амурханович</t>
  </si>
  <si>
    <t>Басистова Анна Алексеевна</t>
  </si>
  <si>
    <t>Зырянов Вячеслав Валериевич</t>
  </si>
  <si>
    <t>Козыренко Юрий Викторович</t>
  </si>
  <si>
    <t>Курбанов Руслан Магамедович</t>
  </si>
  <si>
    <t>Решетнева Надежда Александровна</t>
  </si>
  <si>
    <t>Бахмет Андрей Анатольевич</t>
  </si>
  <si>
    <t>Подойников Павел Петрович</t>
  </si>
  <si>
    <t>Бондарчук Алексей Владимирович</t>
  </si>
  <si>
    <t>Валухова Наталья Владимировна</t>
  </si>
  <si>
    <t>Цыганкова Светлана Сергеевна</t>
  </si>
  <si>
    <t>Махмуд Руфат Нахид Оглы</t>
  </si>
  <si>
    <t>Шинкаренко Роман</t>
  </si>
  <si>
    <t>Кривых Сергей Евгеньевич</t>
  </si>
  <si>
    <t>Попова Наталия Викторовна</t>
  </si>
  <si>
    <t>Эртюрк Мурат Хакан</t>
  </si>
  <si>
    <t>Мельниченко Борис Владимирович</t>
  </si>
  <si>
    <t>Хренов Федор Александрович</t>
  </si>
  <si>
    <t>Ставицкий Евгений Петрович</t>
  </si>
  <si>
    <t>Коршунов Николай Сергеевич</t>
  </si>
  <si>
    <t>Почуканец Дмитрий Игоревич</t>
  </si>
  <si>
    <t>Баранов Виктор Иванович</t>
  </si>
  <si>
    <t>Ширинов Адиль Шамиль Оглы</t>
  </si>
  <si>
    <t>Беляев Леонид Михайлович</t>
  </si>
  <si>
    <t>Управляющая компания АВЕЛАР СОЛАР ТЕХНОЛОДЖИ, ООО</t>
  </si>
  <si>
    <t>Берлин Лев Владимирович</t>
  </si>
  <si>
    <t>Данилов Игорь Борисович</t>
  </si>
  <si>
    <t>Пладов Андрей Викторович</t>
  </si>
  <si>
    <t>Нажметдинов Максим Валерьевич</t>
  </si>
  <si>
    <t>Колчанов Иван Александрович</t>
  </si>
  <si>
    <t>Кудлай Николай Николаевич</t>
  </si>
  <si>
    <t>Викрамасекера Максим</t>
  </si>
  <si>
    <t>Ганцгорн Александр Эдуардович</t>
  </si>
  <si>
    <t>Еманов Илья Александрович</t>
  </si>
  <si>
    <t>Рябов Роман Андреевич</t>
  </si>
  <si>
    <t>Сильвестров Алексей Сергеевич</t>
  </si>
  <si>
    <t>Макиенко Денис Александрович</t>
  </si>
  <si>
    <t>Белецкий Владислав Владимирович</t>
  </si>
  <si>
    <t>Петрушин Максим Валентинович</t>
  </si>
  <si>
    <t>Суворов Сергей Владимирович</t>
  </si>
  <si>
    <t>Котусов Владислав Валентинович</t>
  </si>
  <si>
    <t>Разуваев Владимир Эдуардович</t>
  </si>
  <si>
    <t>Кузнецова Людмила Александровна</t>
  </si>
  <si>
    <t>Краснов Евгений Владимирович</t>
  </si>
  <si>
    <t>Голдобин Максим Анатольевич</t>
  </si>
  <si>
    <t>Ваганов Алексей Викторович</t>
  </si>
  <si>
    <t>Чуркин Евгений Александрович</t>
  </si>
  <si>
    <t>Федотова Дарья Андреевна</t>
  </si>
  <si>
    <t>Ерёмина Марина Леонидовна</t>
  </si>
  <si>
    <t>Фендель Владимир Викторович</t>
  </si>
  <si>
    <t>Управляющая компания ОСК, АО</t>
  </si>
  <si>
    <t>Петелин Александр Александрович</t>
  </si>
  <si>
    <t>Борцов Сергей Михайлович</t>
  </si>
  <si>
    <t>Антонов Сергей Александрович</t>
  </si>
  <si>
    <t>Постников Александр Владимирович</t>
  </si>
  <si>
    <t>Недбаева Юлия Александровна</t>
  </si>
  <si>
    <t>Гамшеев Юрий Викторович</t>
  </si>
  <si>
    <t>Инюточкин Степан Павлович</t>
  </si>
  <si>
    <t>Давыдов Алексей Алексеевич</t>
  </si>
  <si>
    <t>Исупов Алексей Александрович</t>
  </si>
  <si>
    <t>Ярош Руслан Вячеславович</t>
  </si>
  <si>
    <t>Ардамаков Даниил Сергеевич</t>
  </si>
  <si>
    <t>Ефремов Андрей Геннадьевич</t>
  </si>
  <si>
    <t>Ямашкин Алексей Васильевич</t>
  </si>
  <si>
    <t>Ханнанов Ильгиз Наилевич</t>
  </si>
  <si>
    <t>Управляющая компания СТРОЙ ПАРК, ООО</t>
  </si>
  <si>
    <t>Подлесов Анатолий Алексеевич</t>
  </si>
  <si>
    <t>Гуреев Владимир Николаевич</t>
  </si>
  <si>
    <t>Тризна Максим Викторович</t>
  </si>
  <si>
    <t>Черных Александр Олегович</t>
  </si>
  <si>
    <t>Умаров Сабир Садыкович</t>
  </si>
  <si>
    <t>Управляющая компания ВОСТОКЦЕМЕНТ, ООО</t>
  </si>
  <si>
    <t>Левин Павел Игоревич</t>
  </si>
  <si>
    <t>Филатов Алексей Геннадьевич</t>
  </si>
  <si>
    <t>Зубарев Денис Юрьевич</t>
  </si>
  <si>
    <t>Бикмурзин Ринад Хайдарович</t>
  </si>
  <si>
    <t>Козин Сергей Валентинович</t>
  </si>
  <si>
    <t>Медведева Юлия Павловна</t>
  </si>
  <si>
    <t>Парамошин Денис Васильевич</t>
  </si>
  <si>
    <t>Мягков Олег Евгеньевич</t>
  </si>
  <si>
    <t>Денисова Валерия Игоревна</t>
  </si>
  <si>
    <t>Мусаелян Ваган Арегович</t>
  </si>
  <si>
    <t>Аксененков Алексей Евгеньевич</t>
  </si>
  <si>
    <t>Новожилов Павел Гурьевич</t>
  </si>
  <si>
    <t>Карпена Ольга Владимировна</t>
  </si>
  <si>
    <t>Иванов Владимир Филиппович</t>
  </si>
  <si>
    <t>Зубова Наталья Владимировна</t>
  </si>
  <si>
    <t>Яппаров Рушан Рауфович</t>
  </si>
  <si>
    <t>Шаров Денис Юрьевич</t>
  </si>
  <si>
    <t>Антонович Константин Анатольевич</t>
  </si>
  <si>
    <t>Фрадкин Андрей Вячеславович</t>
  </si>
  <si>
    <t>Романов Максим Сергеевич</t>
  </si>
  <si>
    <t>Камских Дмитрий Викторович</t>
  </si>
  <si>
    <t>Тиньгаев Алексей Валерьевич</t>
  </si>
  <si>
    <t>Власов Сергей Евгеньевич</t>
  </si>
  <si>
    <t>Голубев Вадим Валентинович</t>
  </si>
  <si>
    <t>Третьяков Владимир Александрович</t>
  </si>
  <si>
    <t>Окунь Марк Леонидович</t>
  </si>
  <si>
    <t>Управляющая компания РНТ ХОЛДИНГ, ООО</t>
  </si>
  <si>
    <t>Щуров Алексей Васильевич</t>
  </si>
  <si>
    <t>Управляющая компания ПРАЙМ ПАРК, ООО УК</t>
  </si>
  <si>
    <t>Кузнецов Игорь Александрович</t>
  </si>
  <si>
    <t>Кондратенко Кирилл Константинович</t>
  </si>
  <si>
    <t>Мурзагалиев Булат Нурманович</t>
  </si>
  <si>
    <t>Берсиров Беслан Рамазанович</t>
  </si>
  <si>
    <t>Берсиров Анзор Бесланович</t>
  </si>
  <si>
    <t>Кириллов Тимофей Александрович</t>
  </si>
  <si>
    <t>Черняев Александр Николаевич</t>
  </si>
  <si>
    <t>Серебрякова Наталья Дмитриевна</t>
  </si>
  <si>
    <t>Качанович Александр Николаевич</t>
  </si>
  <si>
    <t>Каримова Ирина Рамилевна</t>
  </si>
  <si>
    <t>Рощина Олеся Владиславовна</t>
  </si>
  <si>
    <t>Карпов Григорий Алексеевич</t>
  </si>
  <si>
    <t>Дегтярев Анатолий Иванович</t>
  </si>
  <si>
    <t>Гончарова Светлана Николаевна</t>
  </si>
  <si>
    <t>Бращин Олег Юрьевич</t>
  </si>
  <si>
    <t>Аристов Александр Витальевич</t>
  </si>
  <si>
    <t>Овечкин Алексей Павлович</t>
  </si>
  <si>
    <t>Васюк Сергей Николаевич</t>
  </si>
  <si>
    <t>Сарамуд Евгений Васильевич</t>
  </si>
  <si>
    <t>Зайченко Иван Олегович</t>
  </si>
  <si>
    <t>Москаленко Павел Васильевич</t>
  </si>
  <si>
    <t>Махмудов Мурат Басырович</t>
  </si>
  <si>
    <t>Брындин Дмитрий Александрович</t>
  </si>
  <si>
    <t>Привалов Владимир Анатольевич</t>
  </si>
  <si>
    <t>Дзидзигури Давид Бичикоевич</t>
  </si>
  <si>
    <t>Рамазанов Рустам Габтилфаритович</t>
  </si>
  <si>
    <t>Мнацаканян Армен Жораевич</t>
  </si>
  <si>
    <t>Суетин Виктор Петрович</t>
  </si>
  <si>
    <t>Кутловский Павел Викторович</t>
  </si>
  <si>
    <t>Сухнев Алексей Юрьевич</t>
  </si>
  <si>
    <t>Пчелинцева Ирина Николаевна</t>
  </si>
  <si>
    <t>Еникеева Анна Николаевна</t>
  </si>
  <si>
    <t>Дрожжин Александр Игоревич</t>
  </si>
  <si>
    <t>Гарибян Геннадий Вячеславович</t>
  </si>
  <si>
    <t>Демин Евгений Валерьевич</t>
  </si>
  <si>
    <t>Селиверстов Алексей Александрович</t>
  </si>
  <si>
    <t>Алиев Али Камильевич</t>
  </si>
  <si>
    <t>Максимов Александр Андреевич</t>
  </si>
  <si>
    <t>Макаров Евгений Викторович</t>
  </si>
  <si>
    <t>Шебанов Андрей Андреевич</t>
  </si>
  <si>
    <t>Пещерский Алексей Валерьевич</t>
  </si>
  <si>
    <t>Прянишников Николай Николаевич</t>
  </si>
  <si>
    <t>Луцкович Виктор Евгеньевич</t>
  </si>
  <si>
    <t>Шевченко Валерий Иванович</t>
  </si>
  <si>
    <t>Калетынец Дмитрий Сергеевич</t>
  </si>
  <si>
    <t>Страхов Леонид Борисович</t>
  </si>
  <si>
    <t>Хашиг Владимир Леонидович</t>
  </si>
  <si>
    <t>Ильин Дмитрий Вячеславович</t>
  </si>
  <si>
    <t>Филиппенко Алексей Александрович</t>
  </si>
  <si>
    <t>Хорошилов Виктор Николаевич</t>
  </si>
  <si>
    <t>Малкин Лев Шаевич</t>
  </si>
  <si>
    <t>Михайлов Андрей Юрьевич</t>
  </si>
  <si>
    <t>Топчубаев Александр Григорьевич</t>
  </si>
  <si>
    <t>Новикова Алёна Юрьевна</t>
  </si>
  <si>
    <t>Норгард Томас</t>
  </si>
  <si>
    <t>Управляющая компания СПГ, АО</t>
  </si>
  <si>
    <t>Леонидов Сергей Иванович</t>
  </si>
  <si>
    <t>Шкварко Владимир Николаевич</t>
  </si>
  <si>
    <t>Управляющая компания ЦЕНТРТОРГ, ООО КФ</t>
  </si>
  <si>
    <t>Анисимов Алексей Сергеевич</t>
  </si>
  <si>
    <t>Гараев Сергей Иванович</t>
  </si>
  <si>
    <t>Филиппова Елизавета Владимировна</t>
  </si>
  <si>
    <t>Котов Александр Николаевич</t>
  </si>
  <si>
    <t>Мухаметшин Виль Сабирович</t>
  </si>
  <si>
    <t>Батыркаев Марат Халилович</t>
  </si>
  <si>
    <t>Пасечник Анна Игоревна</t>
  </si>
  <si>
    <t>Цулеискири Сулхан Темурович</t>
  </si>
  <si>
    <t>Песен Огюн</t>
  </si>
  <si>
    <t>Зинин Андрей Октябринович</t>
  </si>
  <si>
    <t>Вовчик Евгений Александрович</t>
  </si>
  <si>
    <t>Угурчиев Адсалам Юсупович</t>
  </si>
  <si>
    <t>Афонин Анатолий Викторович</t>
  </si>
  <si>
    <t>Ягубов Игорь Владимирович</t>
  </si>
  <si>
    <t>Акимов Вячеслав Владимирович</t>
  </si>
  <si>
    <t>Управляющая компания ЦГК ХОЛДИНГ, ООО</t>
  </si>
  <si>
    <t>Чуриков Андрей Александрович</t>
  </si>
  <si>
    <t>Жибуль Андрей Николаевич</t>
  </si>
  <si>
    <t>Демченко Сергей Николаевич</t>
  </si>
  <si>
    <t>Дзиов Александр Геннадьевич</t>
  </si>
  <si>
    <t>Лопатин Александр Александрович</t>
  </si>
  <si>
    <t>Долмазов Леван Саркисович</t>
  </si>
  <si>
    <t>Магомедов Сергей Мехманович</t>
  </si>
  <si>
    <t>Юзефович Игорь Сергеевич</t>
  </si>
  <si>
    <t>Позняк Николай Евгеньевич</t>
  </si>
  <si>
    <t>Лысюк Алик Евгеньевич</t>
  </si>
  <si>
    <t>Рожкова Лариса Петровна</t>
  </si>
  <si>
    <t>Нестеров Михаил Алексеевич</t>
  </si>
  <si>
    <t>Мохова Анна Николаевна</t>
  </si>
  <si>
    <t>Бледнов Александр Сергеевич</t>
  </si>
  <si>
    <t>Авакьян Аршак Ервандович</t>
  </si>
  <si>
    <t>Басов Дмитрий Юрьевич</t>
  </si>
  <si>
    <t>Петров Александр Сергеевич</t>
  </si>
  <si>
    <t>Кутихин Сергей Владимирович</t>
  </si>
  <si>
    <t>Ларин Павел Евгеньевич</t>
  </si>
  <si>
    <t>Рязанов Сергей Владимирович</t>
  </si>
  <si>
    <t>Гудумак Дмитрий Геннадиевич</t>
  </si>
  <si>
    <t>Волков Сергей Владимирович</t>
  </si>
  <si>
    <t>Гришков Сергей Егорович</t>
  </si>
  <si>
    <t>Бадалян Артем Вигенович</t>
  </si>
  <si>
    <t>Галиев Виталий Робертович</t>
  </si>
  <si>
    <t>Фролов Денис Владимирович</t>
  </si>
  <si>
    <t>Отпущенникова Евгения Викторовна</t>
  </si>
  <si>
    <t>Гургуров Сергей Викторович</t>
  </si>
  <si>
    <t>Трифонов Дмитрий Николаевич</t>
  </si>
  <si>
    <t>Резник Марк Абрамович</t>
  </si>
  <si>
    <t>Коваленко Григорий Анатольевич</t>
  </si>
  <si>
    <t>Кошелев Евгений Владимирович</t>
  </si>
  <si>
    <t>Ржанников Дмитрий Сергеевич</t>
  </si>
  <si>
    <t>Шапочка Максим Вячеславович</t>
  </si>
  <si>
    <t>Мариинский Сергей Сергеевич</t>
  </si>
  <si>
    <t>Лебедев Александр Серафимович</t>
  </si>
  <si>
    <t>Мовчан Евгений Михайлович</t>
  </si>
  <si>
    <t>Скорлупкин Владимир Геннадьевич</t>
  </si>
  <si>
    <t>Кайряк Николай</t>
  </si>
  <si>
    <t>Голобородкин Дмитрий Сергеевич</t>
  </si>
  <si>
    <t>Вирцер Евгений Владимирович</t>
  </si>
  <si>
    <t>Пугач Валерий Александрович</t>
  </si>
  <si>
    <t>Баранов Владимир Павлович</t>
  </si>
  <si>
    <t>Голякевич Денис Григорьевич</t>
  </si>
  <si>
    <t>Дарцаева Хава Умарпашаевна</t>
  </si>
  <si>
    <t>Носиков Григорий Александрович</t>
  </si>
  <si>
    <t>Ильяшенко Павел Валерьевич</t>
  </si>
  <si>
    <t>Бару Илья Эммануилович</t>
  </si>
  <si>
    <t>Безденежных Николай Владимирович</t>
  </si>
  <si>
    <t>Яковенко Игорь Сергеевич</t>
  </si>
  <si>
    <t>Ахметова Гузель Рамилевна</t>
  </si>
  <si>
    <t>Шаталина Маргарита Александровна</t>
  </si>
  <si>
    <t>Лев Леонид Ионович</t>
  </si>
  <si>
    <t>Никифоров Илья Владимирович</t>
  </si>
  <si>
    <t>Лаврененко Алексей Юрьевич</t>
  </si>
  <si>
    <t>Левкин Геннадий Геннадьевич</t>
  </si>
  <si>
    <t>Котелевская Светлана Николаевна</t>
  </si>
  <si>
    <t>Григоренко Юрий Вячеславович</t>
  </si>
  <si>
    <t>Шиян Виктор Васильевич</t>
  </si>
  <si>
    <t>Недобежкин Александр Вячеславович</t>
  </si>
  <si>
    <t>Девлетбаева Эльмира Хамзиновна</t>
  </si>
  <si>
    <t>Богачев Дмитрий Владимирович</t>
  </si>
  <si>
    <t>Стогнушенко Кирилл Сергеевич</t>
  </si>
  <si>
    <t>Кудрин Вячеслав Борисович</t>
  </si>
  <si>
    <t>Горшков Игорь Николаевич</t>
  </si>
  <si>
    <t>Фёдоров Геннадий Вениаминович</t>
  </si>
  <si>
    <t>Мельникова Елена Андреевна</t>
  </si>
  <si>
    <t>Прокофьев Роман Геннадьевич</t>
  </si>
  <si>
    <t>Зубков Дмитрий Александрович</t>
  </si>
  <si>
    <t>Мазикин Кирилл Александрович</t>
  </si>
  <si>
    <t>Фадеев Вадим Валерьевич</t>
  </si>
  <si>
    <t>Дешевых Александр Леонидович</t>
  </si>
  <si>
    <t>Пантелеев Андрей Юрьевич</t>
  </si>
  <si>
    <t>Мороз Анастасия Николаевна</t>
  </si>
  <si>
    <t>Панкратов Петр Сергеевич</t>
  </si>
  <si>
    <t>Эшанкулов Алижан</t>
  </si>
  <si>
    <t>Моринова Елена Николаевна</t>
  </si>
  <si>
    <t>Дышеков Вячеслав Хасаншевич</t>
  </si>
  <si>
    <t>Кузнецов Геннадий Борисович</t>
  </si>
  <si>
    <t>Канбеков Ильмир Амирович</t>
  </si>
  <si>
    <t>Ульянов Родион Романович</t>
  </si>
  <si>
    <t>Кокуровский Вячеслав Валерьевич</t>
  </si>
  <si>
    <t>Лячек Антон Владимирович</t>
  </si>
  <si>
    <t>Плисс Алексей Петрович</t>
  </si>
  <si>
    <t>Пухненков Дмитрий Александрович</t>
  </si>
  <si>
    <t>Михайлюк Антон Васильевич</t>
  </si>
  <si>
    <t>Варыпаев Илья Федорович</t>
  </si>
  <si>
    <t>Половинкин Владимир Владимирович</t>
  </si>
  <si>
    <t>Загайнов Александр Андреевич</t>
  </si>
  <si>
    <t>Дворецкий Дмитрий Ильич</t>
  </si>
  <si>
    <t>Ильенко Виталий Владимирович</t>
  </si>
  <si>
    <t>Кушашвили Сосо Теймуразович</t>
  </si>
  <si>
    <t>Широченков Алексей Игоревич</t>
  </si>
  <si>
    <t>Стародубцев Евгений Николаевич</t>
  </si>
  <si>
    <t>Полин Владимир Анатольевич</t>
  </si>
  <si>
    <t>Светлов Александр Александрович</t>
  </si>
  <si>
    <t>Большаков Николай Леонидович</t>
  </si>
  <si>
    <t>Кравцун Вячеслав Викторович</t>
  </si>
  <si>
    <t>Сулейманов Джамал Паражутдинович</t>
  </si>
  <si>
    <t>Назарчук Наталья Валерьевна</t>
  </si>
  <si>
    <t>Хачатрян Рубэн Велиханович</t>
  </si>
  <si>
    <t>Рамазанов Валерий Сиражидинович</t>
  </si>
  <si>
    <t>Карапетян Давид Гагикович</t>
  </si>
  <si>
    <t>Давлятов Борис Назриевич</t>
  </si>
  <si>
    <t>Скворцова Алла Николаевна</t>
  </si>
  <si>
    <t>Леонов Вячеслав Сергеевич</t>
  </si>
  <si>
    <t>Петренко Евгения Игоревна</t>
  </si>
  <si>
    <t>Служеникин Александр Михайлович</t>
  </si>
  <si>
    <t>Волкова Ирина Николаевна</t>
  </si>
  <si>
    <t>Долотова Алеся Юрьевна</t>
  </si>
  <si>
    <t>Мудаев Кудус Сайд-Хасанович</t>
  </si>
  <si>
    <t>Артемчук Анастасия Кирилловна</t>
  </si>
  <si>
    <t>Димов Илья Димов</t>
  </si>
  <si>
    <t>Герьятович Алексей Александрович</t>
  </si>
  <si>
    <t>Артамонов Александр Владимирович</t>
  </si>
  <si>
    <t>Гусев Арсений Сергеевич</t>
  </si>
  <si>
    <t>Николаев Дмитрий Николаевич</t>
  </si>
  <si>
    <t>Снитко Иван Юрьевич</t>
  </si>
  <si>
    <t>Вагнер Яков Александрович</t>
  </si>
  <si>
    <t>Гусев Сергей Васильевич</t>
  </si>
  <si>
    <t>Бабкина Светлана Николаевна</t>
  </si>
  <si>
    <t>Мангушев Ильгиз Фатекович</t>
  </si>
  <si>
    <t>Шугаев Юрий Алексеевич</t>
  </si>
  <si>
    <t>Мазур Олег Анатольевич</t>
  </si>
  <si>
    <t>Лодыгин Андрей Николаевич</t>
  </si>
  <si>
    <t>Павлов Юрий Алексеевич</t>
  </si>
  <si>
    <t>Яхинсон Марк Борисович</t>
  </si>
  <si>
    <t>Петухов Алексей Сергеевич</t>
  </si>
  <si>
    <t>Васильченко Егор Иванович</t>
  </si>
  <si>
    <t>Костромов Максим Александрович</t>
  </si>
  <si>
    <t>Николусь Владимир Владимирович</t>
  </si>
  <si>
    <t>Дубовой Александр Викторович</t>
  </si>
  <si>
    <t>Челеденков Константин Владимирович</t>
  </si>
  <si>
    <t>Беликов Андрей Владимирович</t>
  </si>
  <si>
    <t>Васин Сергей Васильевич</t>
  </si>
  <si>
    <t>Харлов Алексей Александрович</t>
  </si>
  <si>
    <t>Ужов Александр Викторович</t>
  </si>
  <si>
    <t>Гавриков Василий Павлович</t>
  </si>
  <si>
    <t>Кунис Дмитрий Михайлович</t>
  </si>
  <si>
    <t>Сазонкин Борис Игоревич</t>
  </si>
  <si>
    <t>Дубиков Юрий Сергеевич</t>
  </si>
  <si>
    <t>Кириллов Максим Александрович</t>
  </si>
  <si>
    <t>Губарев Александр Михайлович</t>
  </si>
  <si>
    <t>Синтенков Андрей Владимирович</t>
  </si>
  <si>
    <t>Батуро Павел Сергеевич</t>
  </si>
  <si>
    <t>Петров Михаил Михайлович</t>
  </si>
  <si>
    <t>Халфин Александр Эдуардович</t>
  </si>
  <si>
    <t>Поморцев Александр Дмитриевич</t>
  </si>
  <si>
    <t>Семенидо Сергей Анатольевич</t>
  </si>
  <si>
    <t>Товбин Михаил Самуилович</t>
  </si>
  <si>
    <t>Турков Павел Валерьевич</t>
  </si>
  <si>
    <t>Куц Сергей Викторович</t>
  </si>
  <si>
    <t>Моисеев Константин Александрович</t>
  </si>
  <si>
    <t>Лапшин Андрей Юрьевич</t>
  </si>
  <si>
    <t>Зоткин Денис Борисович</t>
  </si>
  <si>
    <t>Айдакин Сергей Павлович</t>
  </si>
  <si>
    <t>Чертков Константин Александрович</t>
  </si>
  <si>
    <t>Апозян Манвел Ашикович</t>
  </si>
  <si>
    <t>Мкртчян Арман Мартики</t>
  </si>
  <si>
    <t>Смаженный Игорь Вячеславович</t>
  </si>
  <si>
    <t>Корчагин Павел Иванович</t>
  </si>
  <si>
    <t>Субботин Вадим Михайлович</t>
  </si>
  <si>
    <t>Силкин Виктор Васильевич</t>
  </si>
  <si>
    <t>Балыка Михаил Валерьевич</t>
  </si>
  <si>
    <t>Солодилов Кирилл Михайлович</t>
  </si>
  <si>
    <t>Управляющая компания ВГК, ООО</t>
  </si>
  <si>
    <t>Поляков Валерий Александрович</t>
  </si>
  <si>
    <t>Синюц Ирина Николаевна</t>
  </si>
  <si>
    <t>Блинушов Юрий Александрович</t>
  </si>
  <si>
    <t>Федоров Андрей Витальевич</t>
  </si>
  <si>
    <t>Лупий Михаил Григорьевич</t>
  </si>
  <si>
    <t>Ванюшин Андрей Павлович</t>
  </si>
  <si>
    <t>Канзычаков Сергей Васильевич</t>
  </si>
  <si>
    <t>Управляющая компания КОРПОРАЦИЯ СТС, ООО</t>
  </si>
  <si>
    <t>Худяков Александр Викторович</t>
  </si>
  <si>
    <t>Мухутдинов Ильяз Минетуллович</t>
  </si>
  <si>
    <t>Семенихин Сергей Михайлович</t>
  </si>
  <si>
    <t>Степанченко Александр Александрович</t>
  </si>
  <si>
    <t>Чабан Евгений Сергеевич</t>
  </si>
  <si>
    <t>Зорин Евгений Анатольевич</t>
  </si>
  <si>
    <t>Крупина Сергей Юрьевич</t>
  </si>
  <si>
    <t>Савинов Владимир Андреевич</t>
  </si>
  <si>
    <t>Мятович Сергей Александрович</t>
  </si>
  <si>
    <t>Пулин Владимир Александрович</t>
  </si>
  <si>
    <t>Зеленов Евгений Игоревич</t>
  </si>
  <si>
    <t>Кноль Антон Владимирович</t>
  </si>
  <si>
    <t>Шаравьёв Иван Витальевич</t>
  </si>
  <si>
    <t>Мокроусова Александра Васильевна</t>
  </si>
  <si>
    <t>Киреев Николай Васильевич</t>
  </si>
  <si>
    <t>Харевич Юлия Викторовна</t>
  </si>
  <si>
    <t>Кашаев Алексей Сергеевич</t>
  </si>
  <si>
    <t>Беляев Алексей Александрович</t>
  </si>
  <si>
    <t>Мартынов Андрей Николаевич</t>
  </si>
  <si>
    <t>Ли Чунгсун</t>
  </si>
  <si>
    <t>Изак Ян Леонидович</t>
  </si>
  <si>
    <t>Ли Юньпэн</t>
  </si>
  <si>
    <t>Зуб Владислав Юрьевич</t>
  </si>
  <si>
    <t>Жарков Глеб Альбертович</t>
  </si>
  <si>
    <t>Селезнев Николай Михайлович</t>
  </si>
  <si>
    <t>Витер Виталий</t>
  </si>
  <si>
    <t>Леляк Ольга Вячеславовна</t>
  </si>
  <si>
    <t>Калганов Игорь Сергеевич</t>
  </si>
  <si>
    <t>Телков Алексей Валентинович</t>
  </si>
  <si>
    <t>Алиев Эмиль Шевкетович</t>
  </si>
  <si>
    <t>Мелингер Станислав Александрович</t>
  </si>
  <si>
    <t>Управляющая компания ЮРФИНКОНСУЛЬТ, ООО</t>
  </si>
  <si>
    <t>Сурмач Сергей Васильевич</t>
  </si>
  <si>
    <t>Закиров Айрат Фикусович</t>
  </si>
  <si>
    <t>Фаттахов Ильшат Тальгатович</t>
  </si>
  <si>
    <t>Осипенков Сергей Николаевич</t>
  </si>
  <si>
    <t>Сахабутдинов Айрат Расихович</t>
  </si>
  <si>
    <t>Гупаленко Дмитрий Михайлович</t>
  </si>
  <si>
    <t>Четверикова Юлия Владимировна</t>
  </si>
  <si>
    <t>Чайкин Сергей Олегович</t>
  </si>
  <si>
    <t>Степанов Александр Алексеевич</t>
  </si>
  <si>
    <t>Шмелева Елена Владимировна</t>
  </si>
  <si>
    <t>Негру Николай Владимирович</t>
  </si>
  <si>
    <t>Окунев Юрий Валерьевич</t>
  </si>
  <si>
    <t>Марченко Анатолий Анатольевич</t>
  </si>
  <si>
    <t>Кочеринский Юрий Сергеевич</t>
  </si>
  <si>
    <t>Бурцев Олег Владимирович</t>
  </si>
  <si>
    <t>Мурзин Александр Сергеевич</t>
  </si>
  <si>
    <t>Кирсанов Алексей Михайлович</t>
  </si>
  <si>
    <t>Литвиненко Сергей Викторович</t>
  </si>
  <si>
    <t>Савонькин Сергей Александрович</t>
  </si>
  <si>
    <t>Акопян Ваган Володяевич</t>
  </si>
  <si>
    <t>Васильев Юрий Валерьевич</t>
  </si>
  <si>
    <t>Управляющая компания МАГНИТ, ПАО</t>
  </si>
  <si>
    <t>Салахов Илшат Илгизович</t>
  </si>
  <si>
    <t>Кирюхин Владимир Александрович</t>
  </si>
  <si>
    <t>Соловьев Олег Владимирович</t>
  </si>
  <si>
    <t>Халтаев Вадим Рустамбекович</t>
  </si>
  <si>
    <t>Ушенина Светлана Александровна</t>
  </si>
  <si>
    <t>Азаров Максим Вячеславович</t>
  </si>
  <si>
    <t>Танаскович Джордже</t>
  </si>
  <si>
    <t>Молчанов Андрей Валериевич</t>
  </si>
  <si>
    <t>Шаймиев Айрат Минитимирович</t>
  </si>
  <si>
    <t>Варламов Сергей Валерьевич</t>
  </si>
  <si>
    <t>Катков Сергей Евгениевич</t>
  </si>
  <si>
    <t>Хайруллин Ирек Акрамович</t>
  </si>
  <si>
    <t>Хафизов Ильнар Фанилевич</t>
  </si>
  <si>
    <t>Гарифуллин Рустем Габдулбариевич</t>
  </si>
  <si>
    <t>Демидов Иван Петрович</t>
  </si>
  <si>
    <t>Щелков Сергей Федорович</t>
  </si>
  <si>
    <t>Ягудин Шамил Габдулхаевич</t>
  </si>
  <si>
    <t>Маганов Наиль Ульфатович</t>
  </si>
  <si>
    <t>Хабибуллин Айдар Нурмухамитович</t>
  </si>
  <si>
    <t>Абдуллин Марсель Фагимович</t>
  </si>
  <si>
    <t>Управляющая компания УК СИСТЕМА-СЕРВИС, ООО</t>
  </si>
  <si>
    <t>Гирфанов Джамиль Замилевич</t>
  </si>
  <si>
    <t>Салахов Ильшат Альфатович</t>
  </si>
  <si>
    <t>Фассахов Роберт Харрасович</t>
  </si>
  <si>
    <t>Управляющая компания УК ТАТПРОФ, АО</t>
  </si>
  <si>
    <t>Максудов Руслан Искандерович</t>
  </si>
  <si>
    <t>Нурутдинов Айрат Рафкатович</t>
  </si>
  <si>
    <t>Акберов Олег Закариевич</t>
  </si>
  <si>
    <t>Поляков Виктор Сергеевич</t>
  </si>
  <si>
    <t>Солуянов Дмитрий Юрьевич</t>
  </si>
  <si>
    <t>Хазиев Раузил Магсумянович</t>
  </si>
  <si>
    <t>Клюшников Владимир Викторович</t>
  </si>
  <si>
    <t>Дернова Елена Валентиновна</t>
  </si>
  <si>
    <t>Сарбучев Олег Николаевич</t>
  </si>
  <si>
    <t>Федоров Алексей Николаевич</t>
  </si>
  <si>
    <t>Гарцуев Сергей Николаевич</t>
  </si>
  <si>
    <t>Газарян Евгений Григорьевич</t>
  </si>
  <si>
    <t>Кудрявцева Галина Александровна</t>
  </si>
  <si>
    <t>Пленкина Ольга Игоревна</t>
  </si>
  <si>
    <t>Кузнецов Владислав Геннадиевич</t>
  </si>
  <si>
    <t>Чернышева Мария Александровна</t>
  </si>
  <si>
    <t>Душин Александр Сергеевич</t>
  </si>
  <si>
    <t>Федотов Андрей Борисович</t>
  </si>
  <si>
    <t>Царегородцев Александр Витальевич</t>
  </si>
  <si>
    <t>Кузьменко Евгений Владимирович</t>
  </si>
  <si>
    <t>Никипелова Наталья Владимировна</t>
  </si>
  <si>
    <t>Миславская Татьяна Алексеевна</t>
  </si>
  <si>
    <t>Буданов Алексей Витальевич</t>
  </si>
  <si>
    <t>Скакодубов Виталий Анатольевич</t>
  </si>
  <si>
    <t>Полочанский Владислав Иосифович</t>
  </si>
  <si>
    <t>Какаулин Алексей Владимирович</t>
  </si>
  <si>
    <t>Галеев Эдуард Геннадьевич</t>
  </si>
  <si>
    <t>Черкасов Александр Валерьевич</t>
  </si>
  <si>
    <t>Симановский Александр Александрович</t>
  </si>
  <si>
    <t>Петько Олег Юрьевич</t>
  </si>
  <si>
    <t>Управляющая компания ЭЛКО РУС, ООО</t>
  </si>
  <si>
    <t>Белина Иван Алексеевич</t>
  </si>
  <si>
    <t>Каулин Виктор Владимирович</t>
  </si>
  <si>
    <t>Дмитрова Олеся Юрьевна</t>
  </si>
  <si>
    <t>Костоглодов Геннадий Васильевич</t>
  </si>
  <si>
    <t>Васильев Александр Михайлович</t>
  </si>
  <si>
    <t>Майраслов Сергей Николаевич</t>
  </si>
  <si>
    <t>Акульчев Сергей Николаевич</t>
  </si>
  <si>
    <t>Рыбников Сергей Викторович</t>
  </si>
  <si>
    <t>Мягкова Ольга Николаевна</t>
  </si>
  <si>
    <t>Левков Андрей Владимирович</t>
  </si>
  <si>
    <t>Зеневич Ирина Павловна</t>
  </si>
  <si>
    <t>Шевелева Анна Викторовна</t>
  </si>
  <si>
    <t>Мусин Ильдар Ибрагимович</t>
  </si>
  <si>
    <t>Козлов Виталий Фёдорович</t>
  </si>
  <si>
    <t>Лямин Алексей Юрьевич</t>
  </si>
  <si>
    <t>Петросян Марина Эдуардовна</t>
  </si>
  <si>
    <t>Баранкова Светлана Викторовна</t>
  </si>
  <si>
    <t>Папикян Тигран Багратович</t>
  </si>
  <si>
    <t>Рынденков Юрий Викторович</t>
  </si>
  <si>
    <t>Бойко Игорь Иванович</t>
  </si>
  <si>
    <t>Управляющая компания УНИВЕРМАГ, АО</t>
  </si>
  <si>
    <t>Кулешов Владимир Сергеевич</t>
  </si>
  <si>
    <t>Погосбеков Давид Дешенович</t>
  </si>
  <si>
    <t>Карсаков Рашид Ельтаевич</t>
  </si>
  <si>
    <t>Трегубов Антон Валерьевич</t>
  </si>
  <si>
    <t>Мальцев Вячеслав Александрович</t>
  </si>
  <si>
    <t>Беляев Дмитрий Владимирович</t>
  </si>
  <si>
    <t>Партина Евгения Михайловна</t>
  </si>
  <si>
    <t>Ким Владимир Анатольевич</t>
  </si>
  <si>
    <t>Гаврилов Александр Александрович</t>
  </si>
  <si>
    <t>Васильев Андрей Юрьевич</t>
  </si>
  <si>
    <t>Морозов Вячеслав Павлович</t>
  </si>
  <si>
    <t>Кротов Валерий Владимирович</t>
  </si>
  <si>
    <t>Егоров Денис Сергеевич</t>
  </si>
  <si>
    <t>Ивченков Кирилл Владимирович</t>
  </si>
  <si>
    <t>Иляхина Юлия Александровна</t>
  </si>
  <si>
    <t>Ильина Валентина Васильевна</t>
  </si>
  <si>
    <t>Романова Наталья Владимировна</t>
  </si>
  <si>
    <t>Дрейзин Михаил Борисович</t>
  </si>
  <si>
    <t>Шемелина Оксана Михайловна</t>
  </si>
  <si>
    <t>Крисько Виталий Александрович</t>
  </si>
  <si>
    <t>Абрамович Александр Викентьевич</t>
  </si>
  <si>
    <t>Чирва Петр Михайлович</t>
  </si>
  <si>
    <t>Королев Игорь Геннадиевич</t>
  </si>
  <si>
    <t>Тузко Денис Владимирович</t>
  </si>
  <si>
    <t>Михалевич Иван Владимирович</t>
  </si>
  <si>
    <t>Кондратьев Константин Олегович</t>
  </si>
  <si>
    <t>Управляющая компания ГРУППА ПАРТНЕР, ООО</t>
  </si>
  <si>
    <t>Маевский Андрей Александрович</t>
  </si>
  <si>
    <t>Митин Сергей Владимирович</t>
  </si>
  <si>
    <t>Йалым Зеки Фарук Гюналп</t>
  </si>
  <si>
    <t>Шекалян Дмитрий Николаевич</t>
  </si>
  <si>
    <t>Сойнов Станислав Валерьевич</t>
  </si>
  <si>
    <t>Самсонов Сергей Юрьевич</t>
  </si>
  <si>
    <t>Турянская Марина Анатольевна</t>
  </si>
  <si>
    <t>Кончев Дмитрий Анатольевич</t>
  </si>
  <si>
    <t>Архипов Игорь Григорьевич</t>
  </si>
  <si>
    <t>Дружинин Альберт Владимирович</t>
  </si>
  <si>
    <t>Цейтлин Александр Исаевич</t>
  </si>
  <si>
    <t>Иванова Ольга Викторовна</t>
  </si>
  <si>
    <t>Князев Андрей Александрович</t>
  </si>
  <si>
    <t>Кудрявцев Алексей Владимирович</t>
  </si>
  <si>
    <t>Игнатов Владимир Юрьевич</t>
  </si>
  <si>
    <t>Широков Алексей Игоревич</t>
  </si>
  <si>
    <t>Дьяков Сергей Сергеевич</t>
  </si>
  <si>
    <t>Зульпукаров Мурад Магомедович</t>
  </si>
  <si>
    <t>Клещенок Геннадий Степанович</t>
  </si>
  <si>
    <t>Максимов Дмитрий Владимирович</t>
  </si>
  <si>
    <t>Емелин Владимир Алексеевич</t>
  </si>
  <si>
    <t>Осокин Андрей Игоревич</t>
  </si>
  <si>
    <t>Пухарев Алексей Валерьевич</t>
  </si>
  <si>
    <t>Корчагин Павел Викторович</t>
  </si>
  <si>
    <t>Шмойлов Дмитрий Сергеевич</t>
  </si>
  <si>
    <t>Фирсов Юрий Викторович</t>
  </si>
  <si>
    <t>Стариков Дмитрий Анатольевич</t>
  </si>
  <si>
    <t>Бейм Эдуард Геннадиевич</t>
  </si>
  <si>
    <t>Милованов Игорь Вячеславович</t>
  </si>
  <si>
    <t>Чирков Сергей Владимирович</t>
  </si>
  <si>
    <t>Плюснин Дмитрий Леонидович</t>
  </si>
  <si>
    <t>Мазуркевич Сергей Леонидович</t>
  </si>
  <si>
    <t>Швецов Сергей Геннадьевич</t>
  </si>
  <si>
    <t>Гаврев Александр Александрович</t>
  </si>
  <si>
    <t>Андреев Алексей Николаевич</t>
  </si>
  <si>
    <t>Тихомиров Андрей Михайлович</t>
  </si>
  <si>
    <t>Изюров Сергей Владимирович</t>
  </si>
  <si>
    <t>Чэнь Хуа</t>
  </si>
  <si>
    <t>Павлов Сергей Сергеевич</t>
  </si>
  <si>
    <t>Орлова Елена Юрьевна</t>
  </si>
  <si>
    <t>Погромова Тамара Максимовна</t>
  </si>
  <si>
    <t>Шокилбаева Алия Жакановна</t>
  </si>
  <si>
    <t>Заков Олег Леонидович</t>
  </si>
  <si>
    <t>Казаков Андрей Анатольевич</t>
  </si>
  <si>
    <t>Шкуренко Виктор Васильевич</t>
  </si>
  <si>
    <t>Генгаури Вахтанг Валентинович</t>
  </si>
  <si>
    <t>Осипов Дмитрий Евгеньевич</t>
  </si>
  <si>
    <t>Смирнов Андрей Михайлович</t>
  </si>
  <si>
    <t>Лелякин Николай Александрович</t>
  </si>
  <si>
    <t>Яцевич Андрей Сергеевич</t>
  </si>
  <si>
    <t>Рихтер Владислав Владимирович</t>
  </si>
  <si>
    <t>Рогуля Вячеслав Юрьевич</t>
  </si>
  <si>
    <t>Каспарьянц Сергей Александрович</t>
  </si>
  <si>
    <t>Поляков Андрей Анатольевич</t>
  </si>
  <si>
    <t>Иванов Арсений Сергеевич</t>
  </si>
  <si>
    <t>Родин Василий Владимирович</t>
  </si>
  <si>
    <t>Лазарь Игорь Николаевич</t>
  </si>
  <si>
    <t>Карпов Сергей Сергеевич</t>
  </si>
  <si>
    <t>Писаренко Вячеслав Михайлович</t>
  </si>
  <si>
    <t>Белов Владимир Борисович</t>
  </si>
  <si>
    <t>Сарычев Станислав Владимирович</t>
  </si>
  <si>
    <t>Ишалин Дамир Эсхэтович</t>
  </si>
  <si>
    <t>Айсин Эмиль Владиславович</t>
  </si>
  <si>
    <t>Мытник Сергей Петрович</t>
  </si>
  <si>
    <t>Шпетер Александр Карлович</t>
  </si>
  <si>
    <t>Щепелин Николай Игнатьевич</t>
  </si>
  <si>
    <t>Роше Эрик</t>
  </si>
  <si>
    <t>Шулепов Алексей Анатольевич</t>
  </si>
  <si>
    <t>Врублевский Андрей Олегович</t>
  </si>
  <si>
    <t>Павлов Георгий Вячеславович</t>
  </si>
  <si>
    <t>Кухчик Александр Германович</t>
  </si>
  <si>
    <t>Мартынов Максим Борисович</t>
  </si>
  <si>
    <t>Тузова Наталья Александровна</t>
  </si>
  <si>
    <t>Вельма Максим Александрович</t>
  </si>
  <si>
    <t>Садовский Сергей Антонович</t>
  </si>
  <si>
    <t>Гердт Алексей Давыдович</t>
  </si>
  <si>
    <t>Капёнкин Игорь Вячеславович</t>
  </si>
  <si>
    <t>Русинов Максим Владимирович</t>
  </si>
  <si>
    <t>Ганиев Ильшат Газимович</t>
  </si>
  <si>
    <t>Герлинский Николай Борисович</t>
  </si>
  <si>
    <t>Дмитриев Владимир Зиновьевич</t>
  </si>
  <si>
    <t>Козлов Андрей Владимирович</t>
  </si>
  <si>
    <t>Лопухов Александр Владимирович</t>
  </si>
  <si>
    <t>Свиридов Антон Валерьевич</t>
  </si>
  <si>
    <t>Управляющая компания ВОДОКАНАЛ, АО</t>
  </si>
  <si>
    <t>Силантьев Альберт Александрович</t>
  </si>
  <si>
    <t>Никонов Сергей Сергеевич</t>
  </si>
  <si>
    <t>Агафонов Вадим Владимирович</t>
  </si>
  <si>
    <t>Халтурин Илья Вячеславович</t>
  </si>
  <si>
    <t>Кочнев Евгений Викторович</t>
  </si>
  <si>
    <t>Трофимов Максим Макарович</t>
  </si>
  <si>
    <t>Дежурко Константин Иосифович</t>
  </si>
  <si>
    <t>Самохин Владимир Юрьевич</t>
  </si>
  <si>
    <t>Гончаров Михаил Петрович</t>
  </si>
  <si>
    <t>Свидовская Ирина Васильевна</t>
  </si>
  <si>
    <t>Маркозашвили Борис Вадимович</t>
  </si>
  <si>
    <t>Владимиров Алексей Юрьевич</t>
  </si>
  <si>
    <t>Стукалов Алексей Владимирович</t>
  </si>
  <si>
    <t>Маслов Виталий Геннадиевич</t>
  </si>
  <si>
    <t>Баёв Сергей Александрович</t>
  </si>
  <si>
    <t>Канаева Рада Валерьевна</t>
  </si>
  <si>
    <t>Файзуллин Айрат Ансарович</t>
  </si>
  <si>
    <t>Щербаков Владимир Федорович</t>
  </si>
  <si>
    <t>Степанов Василий Валерьевич</t>
  </si>
  <si>
    <t>Карцев Андрей Юрьевич</t>
  </si>
  <si>
    <t>Кудинов Алексей Анатольевич</t>
  </si>
  <si>
    <t>Кузьмин Роман Валерьевич</t>
  </si>
  <si>
    <t>Васьков Денис Васильевич</t>
  </si>
  <si>
    <t>Корнаухов Михаил Михайлович</t>
  </si>
  <si>
    <t>Будников Александр Анатольевич</t>
  </si>
  <si>
    <t>Гомырин Андрей Николаевич</t>
  </si>
  <si>
    <t>Богданов Дмитрий Александрович</t>
  </si>
  <si>
    <t>Каленов Дмитрий Анатольевич</t>
  </si>
  <si>
    <t>Ивкин Павел Алексеевич</t>
  </si>
  <si>
    <t>Бондаренко Владимир Сергеевич</t>
  </si>
  <si>
    <t>Лю Цзюнь</t>
  </si>
  <si>
    <t>Лю Пэн</t>
  </si>
  <si>
    <t>Долгоновский Антон Валерьевич</t>
  </si>
  <si>
    <t>Шоль Александр Викторович</t>
  </si>
  <si>
    <t>Радченков Илья Игоревич</t>
  </si>
  <si>
    <t>Баишева Светлана Аркадьевна</t>
  </si>
  <si>
    <t>Вохмяков Денис Андреевич</t>
  </si>
  <si>
    <t>Управляющая компания АГАТ, ООО ТД</t>
  </si>
  <si>
    <t>Сухих Виталий Александрович</t>
  </si>
  <si>
    <t>Шульга Анатолий Федорович</t>
  </si>
  <si>
    <t>Якимчук Виктор Викторович</t>
  </si>
  <si>
    <t>Чернышенко Николай Николаевич</t>
  </si>
  <si>
    <t>Шувалов Николай Николаевич</t>
  </si>
  <si>
    <t>Грянко Сергей Николаевич</t>
  </si>
  <si>
    <t>Шальнов Павел Андреевич</t>
  </si>
  <si>
    <t>Рыжков Алексей Владимирович</t>
  </si>
  <si>
    <t>Меньшикова Ольга Олеговна</t>
  </si>
  <si>
    <t>Гаджимирзаев Давид Закирович</t>
  </si>
  <si>
    <t>Ярмушевич Галина Ивановна</t>
  </si>
  <si>
    <t>Паньков Юрий Анатольевич</t>
  </si>
  <si>
    <t>Лу Фэй</t>
  </si>
  <si>
    <t>Петров Тимофей Вячеславович</t>
  </si>
  <si>
    <t>Самохин Александр Викторович</t>
  </si>
  <si>
    <t>Стыкут Константин Владимирович</t>
  </si>
  <si>
    <t>Бедраев Арсен Али-Муратович</t>
  </si>
  <si>
    <t>Каурцев Александр Николаевич</t>
  </si>
  <si>
    <t>Автухов Владимир Федорович</t>
  </si>
  <si>
    <t>Азеев Сергей Вениаминович</t>
  </si>
  <si>
    <t>Гордеев Михаил Владимирович</t>
  </si>
  <si>
    <t>Марков Владимир Валериевич</t>
  </si>
  <si>
    <t>Никифоров Андрей Анатольевич</t>
  </si>
  <si>
    <t>Миропольцев Максим Федорович</t>
  </si>
  <si>
    <t>Шалаева Анна Владимировна</t>
  </si>
  <si>
    <t>Свиридов Евгений Николаевич</t>
  </si>
  <si>
    <t>Цветков Иван Михайлович</t>
  </si>
  <si>
    <t>Будущев Вячеслав Алексеевич</t>
  </si>
  <si>
    <t>Управляющая компания УК ТЕХНОСИСТЕМА, ООО</t>
  </si>
  <si>
    <t>Петлеванный Артем Александрович</t>
  </si>
  <si>
    <t>Чернышев Евгений Юрьевич</t>
  </si>
  <si>
    <t>Дементьев Олег Валентинович</t>
  </si>
  <si>
    <t>Игнатьев Юрий Алексеевич</t>
  </si>
  <si>
    <t>Ходосовский Константин Витальевич</t>
  </si>
  <si>
    <t>Софян Артур Борисович</t>
  </si>
  <si>
    <t>Урядов Михаил Александрович</t>
  </si>
  <si>
    <t>Гавриш Александр Леонидович</t>
  </si>
  <si>
    <t>Синельников Виталий Владимирович</t>
  </si>
  <si>
    <t>Акимов Михаил Юрьевич</t>
  </si>
  <si>
    <t>Богословская Мария Владимировна</t>
  </si>
  <si>
    <t>Дорофеев Юрий Николаевич</t>
  </si>
  <si>
    <t>Кузьмичев Сергей Сергеевич</t>
  </si>
  <si>
    <t>Путивский Иван Андреевич</t>
  </si>
  <si>
    <t>Путивский Сергей Андреевич</t>
  </si>
  <si>
    <t>Ларин Эрик Юрьевич</t>
  </si>
  <si>
    <t>Ильин Владимир Геннадьевич</t>
  </si>
  <si>
    <t>Тарасов Константин Юрьевич</t>
  </si>
  <si>
    <t>Бауэр Владимир Александрович</t>
  </si>
  <si>
    <t>Казаков Денис Владимирович</t>
  </si>
  <si>
    <t>Попович Евгений Владимирович</t>
  </si>
  <si>
    <t>Лескова Оксана Александровна</t>
  </si>
  <si>
    <t>Панфилов Олег Анатольевич</t>
  </si>
  <si>
    <t>Веркеенко Сергей Васильевич</t>
  </si>
  <si>
    <t>Шивидов Борис Викторович</t>
  </si>
  <si>
    <t>Попов Юрий Николаевич</t>
  </si>
  <si>
    <t>Гарипов Ренат Маратович</t>
  </si>
  <si>
    <t>Сентемов Сергей Владимирович</t>
  </si>
  <si>
    <t>Дерксен Андрей Петрович</t>
  </si>
  <si>
    <t>Попов Виктор Вячеславович</t>
  </si>
  <si>
    <t>Фролов Руслан Александрович</t>
  </si>
  <si>
    <t>Петров Евгений Львович</t>
  </si>
  <si>
    <t>Ким Станислав Валерьевич</t>
  </si>
  <si>
    <t>Юденков Дмитрий Михайлович</t>
  </si>
  <si>
    <t>Мансуров Андрей Михайлович</t>
  </si>
  <si>
    <t>Тихомиров Михаил Михайлович</t>
  </si>
  <si>
    <t>Баранов Андрей Васильевич</t>
  </si>
  <si>
    <t>Болдаков Виктор Игоревич</t>
  </si>
  <si>
    <t>Жевлаков Александр Федорович</t>
  </si>
  <si>
    <t>Управляющая компания ТОРГОВЫЙ ДОМ ТИМОША, ООО</t>
  </si>
  <si>
    <t>Степина Марина Михайловна</t>
  </si>
  <si>
    <t>Бриедис Виталий Александрович</t>
  </si>
  <si>
    <t>Борисов Сергей Станиславович</t>
  </si>
  <si>
    <t>Гудочков Сергей Игоревич</t>
  </si>
  <si>
    <t>Руденя Ирина Викторовна</t>
  </si>
  <si>
    <t>Кашина Любовь Вячеславовна</t>
  </si>
  <si>
    <t>Сапрыкин Алексей Владимирович</t>
  </si>
  <si>
    <t>Чернобаева Светлана Вячеславовна</t>
  </si>
  <si>
    <t>Бадиков Дмитрий Вячеславович</t>
  </si>
  <si>
    <t>Шадымов Алексей Владимирович</t>
  </si>
  <si>
    <t>Раудсон Антон Робертович</t>
  </si>
  <si>
    <t>Малаева Любовь Петровна</t>
  </si>
  <si>
    <t>Стругов Роман Юрьевич</t>
  </si>
  <si>
    <t>Буранов Сергей Викторович</t>
  </si>
  <si>
    <t>Хабаров Роман Владимирович</t>
  </si>
  <si>
    <t>Управляющая компания РМ-КОНСАЛТ, ООО УПРАВЛЯЮЩАЯ КОМПАНИЯ</t>
  </si>
  <si>
    <t>Акатов Петр Владимирович</t>
  </si>
  <si>
    <t>Брозовский Вячеслав Пиусович</t>
  </si>
  <si>
    <t>Анакий Анатолий Сергеевич</t>
  </si>
  <si>
    <t>Климова Елена Юрьевна</t>
  </si>
  <si>
    <t>Асафьев Олег Геннадьевич</t>
  </si>
  <si>
    <t>Дошков Дмитрий Викторович</t>
  </si>
  <si>
    <t>Денисов Сергей Анатольевич</t>
  </si>
  <si>
    <t>Гаптельхаков Эдуард Ринатович</t>
  </si>
  <si>
    <t>Шрамов Валерий Петрович</t>
  </si>
  <si>
    <t>Исупова Наталия Викторовна</t>
  </si>
  <si>
    <t>Сикачина Даниил Александрович</t>
  </si>
  <si>
    <t>Панин Сергей Викторович</t>
  </si>
  <si>
    <t>Султанов Шамиль Рифович</t>
  </si>
  <si>
    <t>Галкин Сергей Васильевич</t>
  </si>
  <si>
    <t>Нуждин Александр Вячеславович</t>
  </si>
  <si>
    <t>Илиев Альберт Русланович</t>
  </si>
  <si>
    <t>Лебедев Сергей Владимирович</t>
  </si>
  <si>
    <t>Соломина Ирина Сергеевна</t>
  </si>
  <si>
    <t>Шерстобитов Антон Андреевич</t>
  </si>
  <si>
    <t>Лебедев Михаил Михайлович</t>
  </si>
  <si>
    <t>Овчаров Дмитрий Анатольевич</t>
  </si>
  <si>
    <t>Созинов Дмитрий Александрович</t>
  </si>
  <si>
    <t>Киров Андрей Анатольевич</t>
  </si>
  <si>
    <t>Молчанов Вадим Борисович</t>
  </si>
  <si>
    <t>Артюхов Михаил Александрович</t>
  </si>
  <si>
    <t>Минигалиев Денис Рифович</t>
  </si>
  <si>
    <t>Суслов Вячеслав Валентинович</t>
  </si>
  <si>
    <t>Дерягин Олег Анатольевич</t>
  </si>
  <si>
    <t>Мельников Антон Васильевич</t>
  </si>
  <si>
    <t>Васильева Евгения Владимировна</t>
  </si>
  <si>
    <t>Ганиев Рустам Шамилевич</t>
  </si>
  <si>
    <t>Приходько Леонид Витальевич</t>
  </si>
  <si>
    <t>Инякин Владислав Николаевич</t>
  </si>
  <si>
    <t>Окутин Сергей Александрович</t>
  </si>
  <si>
    <t>Федоренков Максим Сергеевич</t>
  </si>
  <si>
    <t>Михайлов Кузьма Глебович</t>
  </si>
  <si>
    <t>Ким Роман Герасимович</t>
  </si>
  <si>
    <t>Иванов Егор Виталиевич</t>
  </si>
  <si>
    <t>Биков Ринат Фаридович</t>
  </si>
  <si>
    <t>Белоус Кирилл Витальевич</t>
  </si>
  <si>
    <t>Федин Павел Анатольевич</t>
  </si>
  <si>
    <t>Курицын Дмитрий Владимирович</t>
  </si>
  <si>
    <t>Ильинский Олег Евгеньевич</t>
  </si>
  <si>
    <t>Дмитриева Елена Вадимовна</t>
  </si>
  <si>
    <t>Старченко Ян Вячеславович</t>
  </si>
  <si>
    <t>Управляющая компания ТМК НГС, ООО</t>
  </si>
  <si>
    <t>Агафонов Кирилл Анатольевич</t>
  </si>
  <si>
    <t>Чумакова Надежда Викторовна</t>
  </si>
  <si>
    <t>Марков Дмитрий Всеволодович</t>
  </si>
  <si>
    <t>Яруллин Анвар Габдулмазитович</t>
  </si>
  <si>
    <t>Смирнов Александр Станиславович</t>
  </si>
  <si>
    <t>Нижаметдинов Шамиль Рашидович</t>
  </si>
  <si>
    <t>Выдренков Владислав Петрович</t>
  </si>
  <si>
    <t>Быков Павел Борисович</t>
  </si>
  <si>
    <t>Управляющая компания ТНГ-ГРУПП, ООО</t>
  </si>
  <si>
    <t>Шарипов Ян Галимович</t>
  </si>
  <si>
    <t>Фроликова Елена Анатольевна</t>
  </si>
  <si>
    <t>Управляющая компания УДМ, ООО</t>
  </si>
  <si>
    <t>Шурайц Аркадий Михайлович</t>
  </si>
  <si>
    <t>Управляющая компания ТНС ЭНЕРГО, ПАО ГК</t>
  </si>
  <si>
    <t>Стельнова Елена Николаевна</t>
  </si>
  <si>
    <t>Киреев Сергей Георгиевич</t>
  </si>
  <si>
    <t>Чуднецов Александр Александрович</t>
  </si>
  <si>
    <t>Семенов Александр Владимирович</t>
  </si>
  <si>
    <t>Иванова Валентина Ивановна</t>
  </si>
  <si>
    <t>Кулаков Владимир Николаевич</t>
  </si>
  <si>
    <t>Зинчук Юрий Николаевич</t>
  </si>
  <si>
    <t>Ито Ёсиаки</t>
  </si>
  <si>
    <t>Винс Андрей Викторович</t>
  </si>
  <si>
    <t>Улановский Валерий Михайлович</t>
  </si>
  <si>
    <t>Управляющая компания АКТИВ, ООО</t>
  </si>
  <si>
    <t>Ткаченко Ольга Александровна</t>
  </si>
  <si>
    <t>Пелымский Олег Анатольевич</t>
  </si>
  <si>
    <t>Управляющая компания ИНВЕСТ УК, ООО</t>
  </si>
  <si>
    <t>Жаравин Роман Николаевич</t>
  </si>
  <si>
    <t>Кляйн Галина Ивановна</t>
  </si>
  <si>
    <t>Панасюк Сергей Яковлевич</t>
  </si>
  <si>
    <t>Кодин Александр Викторович</t>
  </si>
  <si>
    <t>Бабкин Николай Петрович</t>
  </si>
  <si>
    <t>Курылина Светлана Васильевна</t>
  </si>
  <si>
    <t>Кривцов Денис Юрьевич</t>
  </si>
  <si>
    <t>Геворгизов Илья Викторович</t>
  </si>
  <si>
    <t>Поддубный Олег Николаевич</t>
  </si>
  <si>
    <t>Корчагин Роман Константинович</t>
  </si>
  <si>
    <t>Искандерова Нелли Леонтьевна</t>
  </si>
  <si>
    <t>Пастухова Валентина Дмитриевна</t>
  </si>
  <si>
    <t>Сазонов Максим Вячеславович</t>
  </si>
  <si>
    <t>Козлов Александр Алексеевич</t>
  </si>
  <si>
    <t>Хлобыстов Андрей Викторович</t>
  </si>
  <si>
    <t>Левшенкова Ольга Михайловна</t>
  </si>
  <si>
    <t>Борисов Дмитрий Михайлович</t>
  </si>
  <si>
    <t>Бондырев Александр Вячеславович</t>
  </si>
  <si>
    <t>Рейз Олег Александрович</t>
  </si>
  <si>
    <t>Максимова Елена Владимировна</t>
  </si>
  <si>
    <t>Девятьярова Софья Борисовна</t>
  </si>
  <si>
    <t>Худов Михаил Викторович</t>
  </si>
  <si>
    <t>Калашников Андрей Александрович</t>
  </si>
  <si>
    <t>Забуга Андрей Леонидович</t>
  </si>
  <si>
    <t>Малюк Алексей Михайлович</t>
  </si>
  <si>
    <t>Остапов Алексей Вячеславович</t>
  </si>
  <si>
    <t>Степанова Елена Анатольевна</t>
  </si>
  <si>
    <t>Субботин Михаил Александрович</t>
  </si>
  <si>
    <t>Олешко Алексей Вячеславович</t>
  </si>
  <si>
    <t>Аникин Николай Евгеньевич</t>
  </si>
  <si>
    <t>Кудрявцева Вера Николаевна</t>
  </si>
  <si>
    <t>Ахрамович Андрей Александрович</t>
  </si>
  <si>
    <t>Гладкий Сергей Сергеевич</t>
  </si>
  <si>
    <t>Яцива Елена Витальевна</t>
  </si>
  <si>
    <t>Будашкина Елена Владимировна</t>
  </si>
  <si>
    <t>Зудин Алексей Анатольевич</t>
  </si>
  <si>
    <t>Бельковец Александр Григорьевич</t>
  </si>
  <si>
    <t>Пушкарев Игорь Валерьевич</t>
  </si>
  <si>
    <t>Машков Михаил Анатольевич</t>
  </si>
  <si>
    <t>Галеев Рустам Вильевич</t>
  </si>
  <si>
    <t>Голуб Александр Николаевич</t>
  </si>
  <si>
    <t>Белайц Дмитрий Сергеевич</t>
  </si>
  <si>
    <t>Куркин Артем Алексеевич</t>
  </si>
  <si>
    <t>Обрящиков Роман Анатольевич</t>
  </si>
  <si>
    <t>Губанов Сергей Николаевич</t>
  </si>
  <si>
    <t>Куликова Светлана Николаевна</t>
  </si>
  <si>
    <t>Савенкова Ирина Анатольевна</t>
  </si>
  <si>
    <t>Мышинский Александр Евгеньевич</t>
  </si>
  <si>
    <t>Данилов Ашот Вячеславович</t>
  </si>
  <si>
    <t>Салихов Хаёт Эркинович</t>
  </si>
  <si>
    <t>Управляющая компания КАПИТАЛ, ООО</t>
  </si>
  <si>
    <t>Стеценко Юрий Николаевич</t>
  </si>
  <si>
    <t>Видякин Павел Александрович</t>
  </si>
  <si>
    <t>Титуренко Игорь Павлович</t>
  </si>
  <si>
    <t>Горбатенко Валерий Николаевич</t>
  </si>
  <si>
    <t>Меркущенкова Виктория Александровна</t>
  </si>
  <si>
    <t>Проскурня Ирина Руслановна</t>
  </si>
  <si>
    <t>Смирнов Павел Николаевич</t>
  </si>
  <si>
    <t>Управляющая компания ХОЛДИНГ ЛОТОС, ООО</t>
  </si>
  <si>
    <t>Винник Людмила Владимировна</t>
  </si>
  <si>
    <t>Герасименко Дмитрий Вячеславович</t>
  </si>
  <si>
    <t>Слесарева Екатерина Ивановна</t>
  </si>
  <si>
    <t>Батухтина Ольга Геннадьевна</t>
  </si>
  <si>
    <t>Поварова Наталья Валерьевна</t>
  </si>
  <si>
    <t>Лоханский Сергей Сергеевич</t>
  </si>
  <si>
    <t>Бузулуцков Владимир Юрьевич</t>
  </si>
  <si>
    <t>Файзрахманова Нина Валерьевна</t>
  </si>
  <si>
    <t>Безлепкин Евгений Вячеславович</t>
  </si>
  <si>
    <t>Баранова Ирина Анатольевна</t>
  </si>
  <si>
    <t>Кузнецова Ярослава Владимировна</t>
  </si>
  <si>
    <t>Тетерин Алексей Владимирович</t>
  </si>
  <si>
    <t>Лавренов Михаил Михайлович</t>
  </si>
  <si>
    <t>Репенко Юлия Валерьевна</t>
  </si>
  <si>
    <t>Собченюк Любовь Сергеевна</t>
  </si>
  <si>
    <t>Асасян Юлия Викторовна</t>
  </si>
  <si>
    <t>Сололеева Юлия Николаевна</t>
  </si>
  <si>
    <t>Бутаков Александр Олегович</t>
  </si>
  <si>
    <t>Лядова Наталья Леонидовна</t>
  </si>
  <si>
    <t>Бабикова Марина Александровна</t>
  </si>
  <si>
    <t>Ларина Надежда Алексеевна</t>
  </si>
  <si>
    <t>Буканов Сергей Анатольевич</t>
  </si>
  <si>
    <t>Ионов Антон Сергеевич</t>
  </si>
  <si>
    <t>Свиридов Иван Алексеевич</t>
  </si>
  <si>
    <t>Чамкин Михаил Александрович</t>
  </si>
  <si>
    <t>Болотов Илья Сергеевич</t>
  </si>
  <si>
    <t>Завадских Андрей Романович</t>
  </si>
  <si>
    <t>Поляков Алексей Евгеньевич</t>
  </si>
  <si>
    <t>Калинин Александр Сидорович</t>
  </si>
  <si>
    <t>Лискина Ольга Вячеславовна</t>
  </si>
  <si>
    <t>Болдырев Сергей Владимирович</t>
  </si>
  <si>
    <t>Шевченко Андрей</t>
  </si>
  <si>
    <t>Кузнецов Вадим Леонидович</t>
  </si>
  <si>
    <t>Лунев Александр Владимирович</t>
  </si>
  <si>
    <t>Ахметов Алмаз Маратович</t>
  </si>
  <si>
    <t>Яворович Сергей Владимирович</t>
  </si>
  <si>
    <t>Воробьев Виталий Витальевич</t>
  </si>
  <si>
    <t>Чернев Илья Александрович</t>
  </si>
  <si>
    <t>Бондарев Игорь Васильевич</t>
  </si>
  <si>
    <t>Максимов Игорь Вячеславович</t>
  </si>
  <si>
    <t>Кузин Денис Юрьевич</t>
  </si>
  <si>
    <t>Соломатина Евгения Сергеевна</t>
  </si>
  <si>
    <t>Лю Чжифэн</t>
  </si>
  <si>
    <t>Подлиповский Андрей Николаевич</t>
  </si>
  <si>
    <t>Абрамов Денис Иванович</t>
  </si>
  <si>
    <t>Идиятуллин Рамил Иршатович</t>
  </si>
  <si>
    <t>Карахова Оксана Юрьевна</t>
  </si>
  <si>
    <t>Оников Николай Валерьевич</t>
  </si>
  <si>
    <t>Бондорин Виктор Викторович</t>
  </si>
  <si>
    <t>Шимшек Гюлтекин</t>
  </si>
  <si>
    <t>Рекасов Владимир Васильевич</t>
  </si>
  <si>
    <t>Батраева Светлана Анатольевна</t>
  </si>
  <si>
    <t>Чуркин Павел Викторович</t>
  </si>
  <si>
    <t>Баженов Александр Владимирович</t>
  </si>
  <si>
    <t>Демченко Юрий Сергеевич</t>
  </si>
  <si>
    <t>Корчиков Александр Владимирович</t>
  </si>
  <si>
    <t>Шарапов Дмитрий Николаевич</t>
  </si>
  <si>
    <t>Пискун Дмитрий Аркадьевич</t>
  </si>
  <si>
    <t>Сорокин Вячеслав Александрович</t>
  </si>
  <si>
    <t>Смыков Владимир Дмитриевич</t>
  </si>
  <si>
    <t>Ким Марат Георгиевич</t>
  </si>
  <si>
    <t>Сарин Чаран</t>
  </si>
  <si>
    <t>Кубарь Илья Александрович</t>
  </si>
  <si>
    <t>Колыга Павел Николаевич</t>
  </si>
  <si>
    <t>Ахмадеев Айдар Ильдарович</t>
  </si>
  <si>
    <t>Белоусов Александр Евгеньевич</t>
  </si>
  <si>
    <t>Управляющая компания СПЕЦТРАНС, ООО</t>
  </si>
  <si>
    <t>Марков Виктор Николаевич</t>
  </si>
  <si>
    <t>Мелихов Александр Валерьевич</t>
  </si>
  <si>
    <t>Кауров Антон Михайлович</t>
  </si>
  <si>
    <t>Налетов Павел Александрович</t>
  </si>
  <si>
    <t>Горшенков Павел Юрьевич</t>
  </si>
  <si>
    <t>Реутов Сергей Александрович</t>
  </si>
  <si>
    <t>Русских Маргарита Владимировна</t>
  </si>
  <si>
    <t>Радов Владимир Маркович</t>
  </si>
  <si>
    <t>Иванов Александр Алексеевич</t>
  </si>
  <si>
    <t>Чеплянский Денис Петрович</t>
  </si>
  <si>
    <t>Степанов Виталий Валерьевич</t>
  </si>
  <si>
    <t>Никифоров Олег Игоревич</t>
  </si>
  <si>
    <t>Камозин Роман Валерьевич</t>
  </si>
  <si>
    <t>Чепурной Олег Вячеславович</t>
  </si>
  <si>
    <t>Рехалов Сергей Александрович</t>
  </si>
  <si>
    <t>Клеянкин Дмитрий Петрович</t>
  </si>
  <si>
    <t>Крижанивский Владислав Юрьевич</t>
  </si>
  <si>
    <t>Бузлаев Дмитрий Юрьевич</t>
  </si>
  <si>
    <t>Галиев Роберт Анисович</t>
  </si>
  <si>
    <t>Вдовин Денис Николаевич</t>
  </si>
  <si>
    <t>Федотов Роман Владимирович</t>
  </si>
  <si>
    <t>Исламов Рустэм Рильевич</t>
  </si>
  <si>
    <t>Дворников Дмитрий Юрьевич</t>
  </si>
  <si>
    <t>Ковалев Роман Николаевич</t>
  </si>
  <si>
    <t>Емельянов Сергей Михайлович</t>
  </si>
  <si>
    <t>Сабиров Алмаз Васимович</t>
  </si>
  <si>
    <t>Батенков Владимир Александрович</t>
  </si>
  <si>
    <t>Тарасова Елена Анатольевна</t>
  </si>
  <si>
    <t>Шабагдарова Альфия Ринатовна</t>
  </si>
  <si>
    <t>Зенкин Виталий Николаевич</t>
  </si>
  <si>
    <t>Елизаров Дмитрий Сергеевич</t>
  </si>
  <si>
    <t>Тертычный Сергей Николаевич</t>
  </si>
  <si>
    <t>Моисеев Евгений Геннадьевич</t>
  </si>
  <si>
    <t>Иванов Кирилл Юрьевич</t>
  </si>
  <si>
    <t>Каратаев Сергей Викторович</t>
  </si>
  <si>
    <t>Грувман Артур Игоревич</t>
  </si>
  <si>
    <t>Шакиров Александр Олегович</t>
  </si>
  <si>
    <t>Другов Владимир Леонидович</t>
  </si>
  <si>
    <t>Широков Юрий Сергеевич</t>
  </si>
  <si>
    <t>Анищенков Максим Валерьевич</t>
  </si>
  <si>
    <t>Попов Владимир Владимирович</t>
  </si>
  <si>
    <t>Тимирев Александр Викторович</t>
  </si>
  <si>
    <t>Ромбальский Игорь Олегович</t>
  </si>
  <si>
    <t>Дензина Людмила Геннадьевна</t>
  </si>
  <si>
    <t>Шакалида Евгений Евгеньевич</t>
  </si>
  <si>
    <t>Алексеенков Сергей Олегович</t>
  </si>
  <si>
    <t>Шемякин Борис Олегович</t>
  </si>
  <si>
    <t>Типпель Геннадий Федорович</t>
  </si>
  <si>
    <t>Иванова Екатерина Александровна</t>
  </si>
  <si>
    <t>Толмачева Татьяна Николаевна</t>
  </si>
  <si>
    <t>Гаджиев Магомед Нурмагомедович</t>
  </si>
  <si>
    <t>Трубникова Анна Алексеевна</t>
  </si>
  <si>
    <t>Заложкова Санда Александровна</t>
  </si>
  <si>
    <t>Рябов Олег Евгеньевич</t>
  </si>
  <si>
    <t>Коломиец Андрей Владимирович</t>
  </si>
  <si>
    <t>Фуфаев Сергей Валентинович</t>
  </si>
  <si>
    <t>Мельников Дмитрий Владимирович</t>
  </si>
  <si>
    <t>Бородин Олег Игоревич</t>
  </si>
  <si>
    <t>Галкин Алексей Сергеевич</t>
  </si>
  <si>
    <t>Ригер Борис Владимирович</t>
  </si>
  <si>
    <t>Бещанов Михаил Алексеевич</t>
  </si>
  <si>
    <t>Колпаков Виталий Степанович</t>
  </si>
  <si>
    <t>Дьяковский Кирилл Владимирович</t>
  </si>
  <si>
    <t>Родионов Михаил Юрьевич</t>
  </si>
  <si>
    <t>Абрамов Алексей Алексеевич</t>
  </si>
  <si>
    <t>Резник Александр Владимирович</t>
  </si>
  <si>
    <t>Сметанин Денис Геннадьевич</t>
  </si>
  <si>
    <t>Гройсман Вячеслав Александрович</t>
  </si>
  <si>
    <t>Панков Вячеслав Николаевич</t>
  </si>
  <si>
    <t>Карплюк Алексей</t>
  </si>
  <si>
    <t>Фазуллин Ренат Ильфатович</t>
  </si>
  <si>
    <t>Мельников Василий Борисович</t>
  </si>
  <si>
    <t>Асланян Артур Гевондович</t>
  </si>
  <si>
    <t>Ганяев Дмитрий Александрович</t>
  </si>
  <si>
    <t>Бузикевич Иван Евгеньевич</t>
  </si>
  <si>
    <t>Заводчиков Евгений Альбертович</t>
  </si>
  <si>
    <t>Смыков Юрий Викторович</t>
  </si>
  <si>
    <t>Соломенников Валерий Емельянович</t>
  </si>
  <si>
    <t>Рындовский Андрей Эрикович</t>
  </si>
  <si>
    <t>Юнусов Наиль Рамилевич</t>
  </si>
  <si>
    <t>Томшин Сергей Николаевич</t>
  </si>
  <si>
    <t>Никитина Татьяна Викторовна</t>
  </si>
  <si>
    <t>Казанцев Михаил Степанович</t>
  </si>
  <si>
    <t>Шамбир Павел Петрович</t>
  </si>
  <si>
    <t>Попков Александр Николаевич</t>
  </si>
  <si>
    <t>Королик Елена Анатольевна</t>
  </si>
  <si>
    <t>Ахмедов Узеир Орудж</t>
  </si>
  <si>
    <t>Управляющая компания ТСГМ, ООО</t>
  </si>
  <si>
    <t>Исаков Алексей Викторович</t>
  </si>
  <si>
    <t>Посохов Андрей Витальевич</t>
  </si>
  <si>
    <t>Горяинов Денис Викторович</t>
  </si>
  <si>
    <t>Бондаренко Андрей Михайлович</t>
  </si>
  <si>
    <t>Якуничева Любовь Евгеньевна</t>
  </si>
  <si>
    <t>Управляющая компания УК ТЭК, ООО</t>
  </si>
  <si>
    <t>Головачёва Инна Васильевна</t>
  </si>
  <si>
    <t>Исмаилов Видади Имран Оглы</t>
  </si>
  <si>
    <t>Лазыкин Андрей Валерьевич</t>
  </si>
  <si>
    <t>Кондаков Сергей Леонидович</t>
  </si>
  <si>
    <t>Рубцов Владимир Игоревич</t>
  </si>
  <si>
    <t>Белоногов Антон Александрович</t>
  </si>
  <si>
    <t>Ростовцев Руслан Борисович</t>
  </si>
  <si>
    <t>Драгун Василий Александрович</t>
  </si>
  <si>
    <t>Егоров Роман Алексеевич</t>
  </si>
  <si>
    <t>Ершов Андрей Викторович</t>
  </si>
  <si>
    <t>Свиков Алексей Николаевич</t>
  </si>
  <si>
    <t>Назарова Елена Сергеевна</t>
  </si>
  <si>
    <t>Кудинов Александр Сергеевич</t>
  </si>
  <si>
    <t>Алексеев Денис Сергеевич</t>
  </si>
  <si>
    <t>Курдюков Антон Викторович</t>
  </si>
  <si>
    <t>Фролова Татьяна Геннадьевна</t>
  </si>
  <si>
    <t>Снежницкий Сергей Юрьевич</t>
  </si>
  <si>
    <t>Шубин Михаил Маркович</t>
  </si>
  <si>
    <t>Чепалов Степан Михайлович</t>
  </si>
  <si>
    <t>Асатрян Артем Рубенович</t>
  </si>
  <si>
    <t>Клейменов Николай Алексеевич</t>
  </si>
  <si>
    <t>Филиппов Владимир Николаевич</t>
  </si>
  <si>
    <t>Кукин Сергей Анатольевич</t>
  </si>
  <si>
    <t>Ершов Александр Сергеевич</t>
  </si>
  <si>
    <t>Управляющая компания КЦ, АО</t>
  </si>
  <si>
    <t>Акар Хаджы Мустафа</t>
  </si>
  <si>
    <t>Куковинец Алексей Петрович</t>
  </si>
  <si>
    <t>Салищев Сергей Борисович</t>
  </si>
  <si>
    <t>Кузин Игорь Николаевич</t>
  </si>
  <si>
    <t>Анисимов Александр Юрьевич</t>
  </si>
  <si>
    <t>Герцев Роман Александрович</t>
  </si>
  <si>
    <t>Храпцов Юрий Александрович</t>
  </si>
  <si>
    <t>Перепечаев Олег Владимирович</t>
  </si>
  <si>
    <t>Номоконова Екатерина Фазиловна</t>
  </si>
  <si>
    <t>Гришин Иван Валерьевич</t>
  </si>
  <si>
    <t>Харыбин Сергей Георгиевич</t>
  </si>
  <si>
    <t>Болтенков Иван Александрович</t>
  </si>
  <si>
    <t>Башун Вячеслав Иванович</t>
  </si>
  <si>
    <t>Драчук Андрей Михайлович</t>
  </si>
  <si>
    <t>Шорников Владимир Викторович</t>
  </si>
  <si>
    <t>Гусев Андрей Александрович</t>
  </si>
  <si>
    <t>Управляющая компания ХКЭС, ООО</t>
  </si>
  <si>
    <t>Пелымский Владимир Леонидович</t>
  </si>
  <si>
    <t>Кореляков Александр Васильевич</t>
  </si>
  <si>
    <t>Сарбаева Ольга Александровна</t>
  </si>
  <si>
    <t>Мухаметзянов Раиф Мударисович</t>
  </si>
  <si>
    <t>Степанян Армен Ваникович</t>
  </si>
  <si>
    <t>Овеян Абрам Азатович</t>
  </si>
  <si>
    <t>Володин Алексей Михайлович</t>
  </si>
  <si>
    <t>Успенский Сергей Вадимович</t>
  </si>
  <si>
    <t>Емшанов Александр Владимирович</t>
  </si>
  <si>
    <t>Останина Любовь Анатольевна</t>
  </si>
  <si>
    <t>Абакумов Андрей Алексеевич</t>
  </si>
  <si>
    <t>Притчин Александр Александрович</t>
  </si>
  <si>
    <t>Ковыршин Алексей Иванович</t>
  </si>
  <si>
    <t>Манцевич Артем Олегович</t>
  </si>
  <si>
    <t>Файзуллин Ильдар Мунавирович</t>
  </si>
  <si>
    <t>Немойкин Владимир Анатольевич</t>
  </si>
  <si>
    <t>Скляр Михаил Семенович</t>
  </si>
  <si>
    <t>Ланских Владимир Сергеевич</t>
  </si>
  <si>
    <t>Ольховская Ирина Владимировна</t>
  </si>
  <si>
    <t>Чудаков Роман Станиславович</t>
  </si>
  <si>
    <t>Шевцов Виктор Алексеевич</t>
  </si>
  <si>
    <t>Ковальчук Алексей Николаевич</t>
  </si>
  <si>
    <t>Газизов Дамир Кутдусович</t>
  </si>
  <si>
    <t>Абашидзе Кахабер</t>
  </si>
  <si>
    <t>Управляющая компания ПИЭМДЖИ, ООО</t>
  </si>
  <si>
    <t>Шляпников Юрий Викторович</t>
  </si>
  <si>
    <t>Пылёв Дмитрий Павлович</t>
  </si>
  <si>
    <t>Беляев Александр Владимирович</t>
  </si>
  <si>
    <t>Бахонкин Сергей Михайлович</t>
  </si>
  <si>
    <t>Полозов Кирилл Евгеньевич</t>
  </si>
  <si>
    <t>Ермилов Михаил Владимирович</t>
  </si>
  <si>
    <t>Гриченко Татьяна Александровна</t>
  </si>
  <si>
    <t>Паньков Дмитрий Александрович</t>
  </si>
  <si>
    <t>Дробина Елена Александровна</t>
  </si>
  <si>
    <t>Сахабиев Ильдар Равилевич</t>
  </si>
  <si>
    <t>Поляков Олег Валерьевич</t>
  </si>
  <si>
    <t>Карманов Николай Алексеевич</t>
  </si>
  <si>
    <t>Петров Дмитрий Владимирович</t>
  </si>
  <si>
    <t>Бучнев Антон Геннадьевич</t>
  </si>
  <si>
    <t>Морозов Иван Александрович</t>
  </si>
  <si>
    <t>Солоненко Евгений Игоревич</t>
  </si>
  <si>
    <t>Куликов Сергей Александрович</t>
  </si>
  <si>
    <t>Франк Сергей Рейнгольдович</t>
  </si>
  <si>
    <t>Мухамадеев Ильдар Рустамович</t>
  </si>
  <si>
    <t>Коропачинский Александр Игоревич</t>
  </si>
  <si>
    <t>Плукчи Андрей Порфирьевич</t>
  </si>
  <si>
    <t>Нургалиев Рамиль Мизхатович</t>
  </si>
  <si>
    <t>Зотов Сергей Михайлович</t>
  </si>
  <si>
    <t>Зубарев Даниил Вячеславович</t>
  </si>
  <si>
    <t>Ляшенко Евгений Васильевич</t>
  </si>
  <si>
    <t>Струков Константин Иванович</t>
  </si>
  <si>
    <t>Войт Александр Вячеславович</t>
  </si>
  <si>
    <t>Умнов Дмитрий Александрович</t>
  </si>
  <si>
    <t>Белоусов Никита Михайлович</t>
  </si>
  <si>
    <t>Смоленцева Наталья Николаевна</t>
  </si>
  <si>
    <t>Кузин Алексей Николаевич</t>
  </si>
  <si>
    <t>Бонч-Бруевич Андрей Эдуардович</t>
  </si>
  <si>
    <t>Исмайлов Олег Захидович</t>
  </si>
  <si>
    <t>Тарасенко Станислав Сергеевич</t>
  </si>
  <si>
    <t>Илюхин Алексей Викторович</t>
  </si>
  <si>
    <t>Ставицкий Юрий Алексеевич</t>
  </si>
  <si>
    <t>Коткина Александра Александровна</t>
  </si>
  <si>
    <t>Величковский Василий Никитович</t>
  </si>
  <si>
    <t>Нефедов Дмитрий Викторович</t>
  </si>
  <si>
    <t>Шрейдер Алексей Васильевич</t>
  </si>
  <si>
    <t>Управляющая компания УК УММ 2, ООО</t>
  </si>
  <si>
    <t>Лазарев Александр Михайлович</t>
  </si>
  <si>
    <t>Управляющая компания УНАГРАНДЕ ГРУПП, АО</t>
  </si>
  <si>
    <t>Романенко Петр Анатольевич</t>
  </si>
  <si>
    <t>Соломонов Алексей Борисович</t>
  </si>
  <si>
    <t>Коркин Андрей Васильевич</t>
  </si>
  <si>
    <t>Самойленко Нина Владимировна</t>
  </si>
  <si>
    <t>Управляющая компания УПРАВЛЕНИЕ ЭНЕРГИЕЙ, ООО</t>
  </si>
  <si>
    <t>Губкин Вадим Владимирович</t>
  </si>
  <si>
    <t>Жилинков Алексей Владимирович</t>
  </si>
  <si>
    <t>Золотарев Александр Васильевич</t>
  </si>
  <si>
    <t>Яковлев Дмитрий Валентинович</t>
  </si>
  <si>
    <t>Витоженц Александр Генрихович</t>
  </si>
  <si>
    <t>Бойко Дмитрий Владимирович</t>
  </si>
  <si>
    <t>Ярема Борис Анатольевич</t>
  </si>
  <si>
    <t>Фань Гэн</t>
  </si>
  <si>
    <t>Криволапов Александр Владимирович</t>
  </si>
  <si>
    <t>Долгополов Александр Алексеевич</t>
  </si>
  <si>
    <t>Новиков Геннадий Александрович</t>
  </si>
  <si>
    <t>Потапова Лилия Владимировна</t>
  </si>
  <si>
    <t>Попович Николай Иванович</t>
  </si>
  <si>
    <t>Ходов Николай Владимирович</t>
  </si>
  <si>
    <t>Зазулин Алексей Юрьевич</t>
  </si>
  <si>
    <t>Наливкин Георгий Георгиевич</t>
  </si>
  <si>
    <t>Нехова Юлия Игоревна</t>
  </si>
  <si>
    <t>Малышев Александр Витальевич</t>
  </si>
  <si>
    <t>Пилипенко Борис Анатольевич</t>
  </si>
  <si>
    <t>Ильюта Алексей Геннадьевич</t>
  </si>
  <si>
    <t>Чуфаров Константин Александрович</t>
  </si>
  <si>
    <t>Конобеев Семён Александрович</t>
  </si>
  <si>
    <t>Савушкин Николай Николаевич</t>
  </si>
  <si>
    <t>Козлов Юрий Алексеевич</t>
  </si>
  <si>
    <t>Сорокин Алексей Викторович</t>
  </si>
  <si>
    <t>Вишняков Олег Владимирович</t>
  </si>
  <si>
    <t>Ширинкин Александр Викторович</t>
  </si>
  <si>
    <t>Антропов Евгений Михайлович</t>
  </si>
  <si>
    <t>Ванчугова Алена Владимировна</t>
  </si>
  <si>
    <t>Серегин Виктор Александрович</t>
  </si>
  <si>
    <t>Жданов Роман Владимирович</t>
  </si>
  <si>
    <t>Балуев Юрий Валентинович</t>
  </si>
  <si>
    <t>Томилин Максим Леонидович</t>
  </si>
  <si>
    <t>Соболев Игорь Александрович</t>
  </si>
  <si>
    <t>Буренков Павел Юрьевич</t>
  </si>
  <si>
    <t>Юрченок Алина Хабиахметовна</t>
  </si>
  <si>
    <t>Управляющая компания ЛУКОЙЛ-ПЕРМЬ, ООО</t>
  </si>
  <si>
    <t>Реутов Андрей Владимирович</t>
  </si>
  <si>
    <t>Ларичев Михаил Станиславович</t>
  </si>
  <si>
    <t>Рябов Дмитрий Эдуардович</t>
  </si>
  <si>
    <t>Цейтин Владимир Ефимович</t>
  </si>
  <si>
    <t>Таранов Денис Васильевич</t>
  </si>
  <si>
    <t>Ярков Владимир Владимирович</t>
  </si>
  <si>
    <t>Чиляков Александр Александрович</t>
  </si>
  <si>
    <t>Меньшиков Алексей Владимирович</t>
  </si>
  <si>
    <t>Береснев Константин Викторович</t>
  </si>
  <si>
    <t>Рыбаков Андрей Владимирович</t>
  </si>
  <si>
    <t>Архипов Георгий Афанасьевич</t>
  </si>
  <si>
    <t>Ковшов Всеволод Владимирович</t>
  </si>
  <si>
    <t>Бусыгина Ольга Эдуардовна</t>
  </si>
  <si>
    <t>Загородников Кирилл Николаевич</t>
  </si>
  <si>
    <t>Исмагилов Эльфат Рахматуллович</t>
  </si>
  <si>
    <t>Штернштейн Александр Игоревич</t>
  </si>
  <si>
    <t>Головин Евгений Станиславович</t>
  </si>
  <si>
    <t>Управляющая компания УРАЛЬСКАЯ СТАЛЬ, ООО УК</t>
  </si>
  <si>
    <t>Плосский Александр Аркадьевич</t>
  </si>
  <si>
    <t>Скуратов Сергей Николаевич</t>
  </si>
  <si>
    <t>Субботин Алексей Иванович</t>
  </si>
  <si>
    <t>Тасмуханов Ногман Васильевич</t>
  </si>
  <si>
    <t>Прохоров Евгений Геннадьевич</t>
  </si>
  <si>
    <t>Батраков Александр Владимирович</t>
  </si>
  <si>
    <t>Ларионов Павел Андреевич</t>
  </si>
  <si>
    <t>Калашников Валентин Анатольевич</t>
  </si>
  <si>
    <t>Рысков Александр Александрович</t>
  </si>
  <si>
    <t>Трубицын Александр Сергеевич</t>
  </si>
  <si>
    <t>Григоркевич Сергей Степанович</t>
  </si>
  <si>
    <t>Шутов Александр Васильевич</t>
  </si>
  <si>
    <t>Кутыно Анатолий Юрьевич</t>
  </si>
  <si>
    <t>Сумароков Илья Алексеевич</t>
  </si>
  <si>
    <t>Шатохин Сергей Викторович</t>
  </si>
  <si>
    <t>Балашов Александр Сергеевич</t>
  </si>
  <si>
    <t>Коненков Антон Владимирович</t>
  </si>
  <si>
    <t>Молостова Татьяна Николаевна</t>
  </si>
  <si>
    <t>Зырянов Денис Сергеевич</t>
  </si>
  <si>
    <t>Перекальский Александр Евгеньевич</t>
  </si>
  <si>
    <t>Рындин Игорь Николаевич</t>
  </si>
  <si>
    <t>Нестеров Анатолий Владимирович</t>
  </si>
  <si>
    <t>Управляющая компания АЛЬЯНСАВТОГРУПП, ООО</t>
  </si>
  <si>
    <t>Бабиков Олег Юрьевич</t>
  </si>
  <si>
    <t>Ишмаева Лариса Владимировна</t>
  </si>
  <si>
    <t>Иванов Александр Геннадьевич</t>
  </si>
  <si>
    <t>Бахтияров Искандар Махмудович</t>
  </si>
  <si>
    <t>Коршаков Александр Геннадьевич</t>
  </si>
  <si>
    <t>Богданов Валентин Викторович</t>
  </si>
  <si>
    <t>Федорцев Виталий Викторович</t>
  </si>
  <si>
    <t>Молотов Сергей Владимирович</t>
  </si>
  <si>
    <t>Паршин Илья Андреевич</t>
  </si>
  <si>
    <t>Винокур Илья Аркадьевич</t>
  </si>
  <si>
    <t>Шагалиев Руслан Радикович</t>
  </si>
  <si>
    <t>Дудин Александр Викторович</t>
  </si>
  <si>
    <t>Рахманинов Сергей Игоревич</t>
  </si>
  <si>
    <t>Парамонов Александр Анатольевич</t>
  </si>
  <si>
    <t>Сергеев Максим Андреевич</t>
  </si>
  <si>
    <t>Бармашов Константин Сергеевич</t>
  </si>
  <si>
    <t>Попов Андрей Викторович</t>
  </si>
  <si>
    <t>Тутунин Андрей Александрович</t>
  </si>
  <si>
    <t>Сербинов Алексей Игоревич</t>
  </si>
  <si>
    <t>Маликов Артём Толятович</t>
  </si>
  <si>
    <t>Сюй Хайгуан</t>
  </si>
  <si>
    <t>Зыкова Ирина Дмитриевна</t>
  </si>
  <si>
    <t>Птичкин Александр Александрович</t>
  </si>
  <si>
    <t>Кленов Виталий Иванович</t>
  </si>
  <si>
    <t>Управляющая компания БИНЕРГИЯ МЕНЕДЖМЕНТ, ООО</t>
  </si>
  <si>
    <t>Мохов Глеб Сергеевич</t>
  </si>
  <si>
    <t>Кузнецов Виталий Валентинович</t>
  </si>
  <si>
    <t>Костецкий Виктор Иванович</t>
  </si>
  <si>
    <t>Бочаров Владимир Геннадьевич</t>
  </si>
  <si>
    <t>Филиппов Александр Витальевич</t>
  </si>
  <si>
    <t>Фатеев Василий Александрович</t>
  </si>
  <si>
    <t>Тен Геннадий Юрьевич</t>
  </si>
  <si>
    <t>Арустамян Тигран Аркадьевич</t>
  </si>
  <si>
    <t>Зверев Алексей Владимирович</t>
  </si>
  <si>
    <t>Управляющая компания МФК ПЕТРА ГРАД, ООО</t>
  </si>
  <si>
    <t>Ерофеев Евгений Викторович</t>
  </si>
  <si>
    <t>Исакова Светлана Васильевна</t>
  </si>
  <si>
    <t>Квасников Михаил Юрьевич</t>
  </si>
  <si>
    <t>Бадура Ольга Александровна</t>
  </si>
  <si>
    <t>Радченко Игорь Евгеньевич</t>
  </si>
  <si>
    <t>Сташкевич Екатерина Романовна</t>
  </si>
  <si>
    <t>Бардюжа Герман Валентинович</t>
  </si>
  <si>
    <t>Апазов Александр Дмитриевич</t>
  </si>
  <si>
    <t>Мурашов Вадим Анатольевич</t>
  </si>
  <si>
    <t>Гайсинский Игорь Юрьевич</t>
  </si>
  <si>
    <t>Бокштейн Михаил Феликсович</t>
  </si>
  <si>
    <t>Кальметьева Аделя Рустэмовна</t>
  </si>
  <si>
    <t>Мумадов Тамерлан Русланович</t>
  </si>
  <si>
    <t>Даудов Усман Саид-Хусейнович</t>
  </si>
  <si>
    <t>Сенцов Михаил Федорович</t>
  </si>
  <si>
    <t>Каграманов Сергей Александрович</t>
  </si>
  <si>
    <t>Паренькова Ирина Борисовна</t>
  </si>
  <si>
    <t>Потапов Григорий Александрович</t>
  </si>
  <si>
    <t>Гришин Денис Алексеевич</t>
  </si>
  <si>
    <t>Чижиков Алексей Алексеевич</t>
  </si>
  <si>
    <t>Уруймагов Алан Светославович</t>
  </si>
  <si>
    <t>Бюйюкчам Ахмет</t>
  </si>
  <si>
    <t>Мохначёв Станислав Сергеевич</t>
  </si>
  <si>
    <t>Ткачева Марина Викторовна</t>
  </si>
  <si>
    <t>Сергеев Максим Валерьевич</t>
  </si>
  <si>
    <t>Будажапов Лубсан-Зонды Владимирович</t>
  </si>
  <si>
    <t>Воронович Виктор Казимирович</t>
  </si>
  <si>
    <t>Челноков Иван Петрович</t>
  </si>
  <si>
    <t>Юдин Артем Александрович</t>
  </si>
  <si>
    <t>Корчагин Андрей Петрович</t>
  </si>
  <si>
    <t>Феклисов Иван Владимирович</t>
  </si>
  <si>
    <t>Ибрагимов Ленур Таирович</t>
  </si>
  <si>
    <t>Черных Василий Сергеевич</t>
  </si>
  <si>
    <t>Политов Юрий Геннадьевич</t>
  </si>
  <si>
    <t>Немченко Игорь Васильевич</t>
  </si>
  <si>
    <t>Лаптев Александр Владимирович</t>
  </si>
  <si>
    <t>Клочков Роман Александрович</t>
  </si>
  <si>
    <t>Павлова Марина Николаевна</t>
  </si>
  <si>
    <t>Токаренко Антон Леонидович</t>
  </si>
  <si>
    <t>Трухова Марьяна Вазыховна</t>
  </si>
  <si>
    <t>Проняев Александр Владимирович</t>
  </si>
  <si>
    <t>Мельников Артём Юрьевич</t>
  </si>
  <si>
    <t>Фернандес Альберт Роки Пол</t>
  </si>
  <si>
    <t>Горелов Александр Николаевич</t>
  </si>
  <si>
    <t>Блажко Лариса Андреевна</t>
  </si>
  <si>
    <t>Герасимов Александр Владимирович</t>
  </si>
  <si>
    <t>Клепец Галина Петровна</t>
  </si>
  <si>
    <t>Соловьев Константин Борисович</t>
  </si>
  <si>
    <t>Сабиров Роман Равильевич</t>
  </si>
  <si>
    <t>Нелькин Михаил Викторович</t>
  </si>
  <si>
    <t>Панкратов Геннадий Борисович</t>
  </si>
  <si>
    <t>Чижов Илья Сергеевич</t>
  </si>
  <si>
    <t>Расторгуев Сергей Витальевич</t>
  </si>
  <si>
    <t>Подшивалов Константин Валерьевич</t>
  </si>
  <si>
    <t>Ипатов Сергей Борисович</t>
  </si>
  <si>
    <t>Слипченко Сергей Викторович</t>
  </si>
  <si>
    <t>Кузнецов Игорь Геннадьевич</t>
  </si>
  <si>
    <t>Семеняков Геннадий Аркадьевич</t>
  </si>
  <si>
    <t>Шебзухов Алибек Эльмурзович</t>
  </si>
  <si>
    <t>Литвинов Александр Владимирович</t>
  </si>
  <si>
    <t>Равилов Ленар Рамилевич</t>
  </si>
  <si>
    <t>Голенкин Валерий Сергеевич</t>
  </si>
  <si>
    <t>Маричев Дмитрий Валентинович</t>
  </si>
  <si>
    <t>Тарабрин Владимир Федорович</t>
  </si>
  <si>
    <t>Управляющая компания ДВМП, ПАО</t>
  </si>
  <si>
    <t>Бейм Сергей Геннадиевич</t>
  </si>
  <si>
    <t>Макушев Роман Витальевич</t>
  </si>
  <si>
    <t>Кириллов Николай Евгеньевич</t>
  </si>
  <si>
    <t>Бугера Вера Игоревна</t>
  </si>
  <si>
    <t>Гумбатова Юлия Николаевна</t>
  </si>
  <si>
    <t>Волков Константин Владимирович</t>
  </si>
  <si>
    <t>Тарасов Виктор Владимирович</t>
  </si>
  <si>
    <t>Вавилова Екатерина Васильевна</t>
  </si>
  <si>
    <t>Ахметов Виль Равильевич</t>
  </si>
  <si>
    <t>Григорова Оксана Владимировна</t>
  </si>
  <si>
    <t>Минаева Наталья Петровна</t>
  </si>
  <si>
    <t>Типтюк Юрий Васильевич</t>
  </si>
  <si>
    <t>Русских Андрей Геннадьевич</t>
  </si>
  <si>
    <t>Чередниченко Виктор Николаевич</t>
  </si>
  <si>
    <t>Фоминых Наталья Сергеевна</t>
  </si>
  <si>
    <t>Сербина Маргарита Николаевна</t>
  </si>
  <si>
    <t>Распопов Сергей Юрьевич</t>
  </si>
  <si>
    <t>Романенкова Елена Анатольевна</t>
  </si>
  <si>
    <t>Сукачёв Игорь Владимирович</t>
  </si>
  <si>
    <t>Зильберман Дмитрий Владимирович</t>
  </si>
  <si>
    <t>Ременяко Денис Владимирович</t>
  </si>
  <si>
    <t>Пивоваров Павел Константинович</t>
  </si>
  <si>
    <t>Медведев Александр Иванович</t>
  </si>
  <si>
    <t>Леонченко Владимир Валерьевич</t>
  </si>
  <si>
    <t>Сиротин Михаил Викторович</t>
  </si>
  <si>
    <t>Мележиков Евгений Владимирович</t>
  </si>
  <si>
    <t>Фадеев Владислав Евгеньевич</t>
  </si>
  <si>
    <t>Бобылев Сергей Вячеславович</t>
  </si>
  <si>
    <t>Ефремов Руслан Михайлович</t>
  </si>
  <si>
    <t>Кхан Джунаид Икбал</t>
  </si>
  <si>
    <t>Прокопенко Николай Николаевич</t>
  </si>
  <si>
    <t>Высоких Степан Михайлович</t>
  </si>
  <si>
    <t>Майстренко Дмитрий Евгеньевич</t>
  </si>
  <si>
    <t>Курипко Андрей Алексеевич</t>
  </si>
  <si>
    <t>Альхамов Олег Фаритович</t>
  </si>
  <si>
    <t>Васильева Ирина Ивановна</t>
  </si>
  <si>
    <t>Чирков Алексей Михайлович</t>
  </si>
  <si>
    <t>Сулейманов Риналь Фаридович</t>
  </si>
  <si>
    <t>Корнеев Андрей Николаевич</t>
  </si>
  <si>
    <t>Веденеев Василий Евгеньевич</t>
  </si>
  <si>
    <t>Рыбникова Наталья Васильевна</t>
  </si>
  <si>
    <t>Громов Олег Геннадьевич</t>
  </si>
  <si>
    <t>Шпенглер Геррит Бернхард</t>
  </si>
  <si>
    <t>Ганжа Александр Викторович</t>
  </si>
  <si>
    <t>Матвеев Евгений Александрович</t>
  </si>
  <si>
    <t>Анохин Сергей Вячеславович</t>
  </si>
  <si>
    <t>Грехов Константин Александрович</t>
  </si>
  <si>
    <t>Смолягин Сергей Михайлович</t>
  </si>
  <si>
    <t>Бормотов Илья Александрович</t>
  </si>
  <si>
    <t>Бахтияров Рустам Рафаилович</t>
  </si>
  <si>
    <t>Рахматуллин Роман Давлетович</t>
  </si>
  <si>
    <t>Громова Татьяна Викторовна</t>
  </si>
  <si>
    <t>Мусатова Ольга Евгеньевна</t>
  </si>
  <si>
    <t>Шадрина Ирина Владимировна</t>
  </si>
  <si>
    <t>Шадрин Дмитрий Юрьевич</t>
  </si>
  <si>
    <t>Петров Василий Борисович</t>
  </si>
  <si>
    <t>Горохов Владимир Анатольевич</t>
  </si>
  <si>
    <t>Прижегодская Татьяна Викторовна</t>
  </si>
  <si>
    <t>Насыров Шавкат Мухлисович</t>
  </si>
  <si>
    <t>Ефименко Евгений Николаевич</t>
  </si>
  <si>
    <t>Орехов Виктор Владимирович</t>
  </si>
  <si>
    <t>Управляющая компания НАЦИМБИО, АО</t>
  </si>
  <si>
    <t>Погребинский Дмитрий Борисович</t>
  </si>
  <si>
    <t>Давыдов Сергей Васильевич</t>
  </si>
  <si>
    <t>Винокуров Роман Владимирович</t>
  </si>
  <si>
    <t>Анатий Александр Федорович</t>
  </si>
  <si>
    <t>Кузьменков Алексей Александрович</t>
  </si>
  <si>
    <t>Шунин Игорь Иванович</t>
  </si>
  <si>
    <t>Кожевников Вячеслав Евгеньевич</t>
  </si>
  <si>
    <t>Чавкин Александр Владимирович</t>
  </si>
  <si>
    <t>Исмоилов Фируз Хайдарович</t>
  </si>
  <si>
    <t>Дианов Леонид Вячеславович</t>
  </si>
  <si>
    <t>Шабуров Максим Андреевич</t>
  </si>
  <si>
    <t>Шмотьев Сергей Федорович</t>
  </si>
  <si>
    <t>Рыбников Михаил Константинович</t>
  </si>
  <si>
    <t>Управляющая компания ФОСАГРО-РЕГИОН, ООО</t>
  </si>
  <si>
    <t>Шепеленко Александр Иванович</t>
  </si>
  <si>
    <t>Мельников Алексей Михайлович</t>
  </si>
  <si>
    <t>Пястолов Владимир Геннадьевич</t>
  </si>
  <si>
    <t>Колосов Дмитрий Сергеевич</t>
  </si>
  <si>
    <t>Управляющая компания К 1, ООО</t>
  </si>
  <si>
    <t>Маглов Александар</t>
  </si>
  <si>
    <t>Смирнов Алексей Алексеевич</t>
  </si>
  <si>
    <t>Капустин Николай Сергеевич</t>
  </si>
  <si>
    <t>Дей Марья Викторовна</t>
  </si>
  <si>
    <t>Смольянин Александр Валентинович</t>
  </si>
  <si>
    <t>Скрипский Андрей Игоревич</t>
  </si>
  <si>
    <t>Бургер Армин</t>
  </si>
  <si>
    <t>Бутаев Зафар Абдуллаевич</t>
  </si>
  <si>
    <t>Бутин Илья Валентинович</t>
  </si>
  <si>
    <t>Копылов Владимир Сергеевич</t>
  </si>
  <si>
    <t>Управляющая компания ПЕПСИКО ХОЛДИНГС, ООО</t>
  </si>
  <si>
    <t>Дэко Андрей Дмитриевич</t>
  </si>
  <si>
    <t>Богданович Галина Николаевна</t>
  </si>
  <si>
    <t>Кочубеева Валентина Леонидовна</t>
  </si>
  <si>
    <t>Бадртдинова Айгуль Газинуровна</t>
  </si>
  <si>
    <t>Иванов Александр Вячеславович</t>
  </si>
  <si>
    <t>Ковалева Татьяна Геннадьевна</t>
  </si>
  <si>
    <t>Кузминков Павел Александрович</t>
  </si>
  <si>
    <t>Малюгин Андрей Владимирович</t>
  </si>
  <si>
    <t>Линь Мин</t>
  </si>
  <si>
    <t>Кислицын Анатолий Яковлевич</t>
  </si>
  <si>
    <t>Тарасов Павел Павлович</t>
  </si>
  <si>
    <t>Кучеров Михаил Викторович</t>
  </si>
  <si>
    <t>Сочнев Вячеслав Александрович</t>
  </si>
  <si>
    <t>Лю Хэтун</t>
  </si>
  <si>
    <t>Чэн Цзинькуй</t>
  </si>
  <si>
    <t>Коноплев Борис Александрович</t>
  </si>
  <si>
    <t>Сунь Чжэньхуа</t>
  </si>
  <si>
    <t>Жамкочян Оганес Норайрович</t>
  </si>
  <si>
    <t>Донченко Сергей Николаевич</t>
  </si>
  <si>
    <t>Хаджийски Антон Николаев</t>
  </si>
  <si>
    <t>Срапионов Михаил Левонович</t>
  </si>
  <si>
    <t>Бельский Дмитрий Валерьевич</t>
  </si>
  <si>
    <t>Чжан Ки Сук</t>
  </si>
  <si>
    <t>Прошкин Владимир Викторович</t>
  </si>
  <si>
    <t>Церажков Петр Игоревич</t>
  </si>
  <si>
    <t>Тарасулла Борис Германович</t>
  </si>
  <si>
    <t>Управляющая компания ГРУППА КОМПАНИЙ ВЛП, АО</t>
  </si>
  <si>
    <t>Галаган Денис Валериевич</t>
  </si>
  <si>
    <t>Костенко Аркадий Анатольевич</t>
  </si>
  <si>
    <t>Мете Метин</t>
  </si>
  <si>
    <t>Управляющая компания НПРО УРАЛ, ООО</t>
  </si>
  <si>
    <t>Катамадзе Рамини Тамазович</t>
  </si>
  <si>
    <t>Яценко Иван Борисович</t>
  </si>
  <si>
    <t>Петров Валентин Геннадьевич</t>
  </si>
  <si>
    <t>О Сынгхун</t>
  </si>
  <si>
    <t>Ли Ук</t>
  </si>
  <si>
    <t>Чунг Санг Юн</t>
  </si>
  <si>
    <t>Тимофеев Александр Вячеславович</t>
  </si>
  <si>
    <t>Ван Юе</t>
  </si>
  <si>
    <t>Решетцев Максим Александрович</t>
  </si>
  <si>
    <t>Книгина Ирина Николаевна</t>
  </si>
  <si>
    <t>Пиненков Антон Ильич</t>
  </si>
  <si>
    <t>Рзаев Константин Владимирович</t>
  </si>
  <si>
    <t>Минибаев Вильдан Вагизович</t>
  </si>
  <si>
    <t>Пожидаев Виталий Михайлович</t>
  </si>
  <si>
    <t>Управляющая компания ГРУППА ОРГСИНТЕЗ, ООО</t>
  </si>
  <si>
    <t>Сиренко Алексей Юрьевич</t>
  </si>
  <si>
    <t>Филимонова Лилия Николаевна</t>
  </si>
  <si>
    <t>Зудин Валерий Александрович</t>
  </si>
  <si>
    <t>Панков Сергей Алексеевич</t>
  </si>
  <si>
    <t>Имаока Масаши</t>
  </si>
  <si>
    <t>Гританс Ян Михайлович</t>
  </si>
  <si>
    <t>Гречуха Татьяна Николаевна</t>
  </si>
  <si>
    <t>Инкин Алексей Валерьевич</t>
  </si>
  <si>
    <t>Марухин Сергей Николаевич</t>
  </si>
  <si>
    <t>Борванов Александр Михайлович</t>
  </si>
  <si>
    <t>Хасимото Ацуо</t>
  </si>
  <si>
    <t>Лобань Сергей Владимирович</t>
  </si>
  <si>
    <t>Туркин Алексей Викторович</t>
  </si>
  <si>
    <t>Шадыря Ярослав Владимирович</t>
  </si>
  <si>
    <t>Жданов Александр Анатольевич</t>
  </si>
  <si>
    <t>Чабан Александр Сергеевич</t>
  </si>
  <si>
    <t>Управляющая компания УК СИБИРСКИЕ МИНЕРАЛЫ, ООО</t>
  </si>
  <si>
    <t>Джу Сучоун</t>
  </si>
  <si>
    <t>Зверев Сергей Викторович</t>
  </si>
  <si>
    <t>Ротенберг Роман Борисович</t>
  </si>
  <si>
    <t>Вильк Святослав Михайлович</t>
  </si>
  <si>
    <t>Пасько Сергей Валентинович</t>
  </si>
  <si>
    <t>Швец Марина Александровна</t>
  </si>
  <si>
    <t>Тришин Александр Витальевич</t>
  </si>
  <si>
    <t>Ярошенко Александр Владимирович</t>
  </si>
  <si>
    <t>Солобоев Вадим Анатольевич</t>
  </si>
  <si>
    <t>Липин Сергей Евгеньевич</t>
  </si>
  <si>
    <t>Пяткин Алексей Юрьевич</t>
  </si>
  <si>
    <t>Патрикеев Сергей Алексеевич</t>
  </si>
  <si>
    <t>Блинов Александр Сергеевич</t>
  </si>
  <si>
    <t>Малкина Виктория Владимировна</t>
  </si>
  <si>
    <t>Барышников Евгений Николаевич</t>
  </si>
  <si>
    <t>Прохоров Алексей Владимирович</t>
  </si>
  <si>
    <t>Попов Александр Викторович</t>
  </si>
  <si>
    <t>Катенев Александр Владимирович</t>
  </si>
  <si>
    <t>Янь Цзинчжэнь</t>
  </si>
  <si>
    <t>Чугунов Евгений Михайлович</t>
  </si>
  <si>
    <t>Санников Юрий Владимирович</t>
  </si>
  <si>
    <t>Щербина Александр Юрьевич</t>
  </si>
  <si>
    <t>Сергиенков Дмитрий Сергеевич</t>
  </si>
  <si>
    <t>Дятлов Сергей Егорович</t>
  </si>
  <si>
    <t>Вахрушев Михаил Геннадиевич</t>
  </si>
  <si>
    <t>Ли Яфэй</t>
  </si>
  <si>
    <t>Траханова Елена Михайловна</t>
  </si>
  <si>
    <t>Хачатурян Михаил Сергеевич</t>
  </si>
  <si>
    <t>Управляющая компания ВНУКОВО-УПРАВЛЕНИЕ АКТИВАМИ, ООО</t>
  </si>
  <si>
    <t>Гузиев Эдуард Александрович</t>
  </si>
  <si>
    <t>Бугрин Алексей Николаевич</t>
  </si>
  <si>
    <t>Ольховский Петр Васильевич</t>
  </si>
  <si>
    <t>Бужинский Андрей Вячеславович</t>
  </si>
  <si>
    <t>Костров Лев Георгиевич</t>
  </si>
  <si>
    <t>Сибирцев Глеб</t>
  </si>
  <si>
    <t>Грузинов Егор Николаевич</t>
  </si>
  <si>
    <t>Эль-Ашкар Саэд</t>
  </si>
  <si>
    <t>Мужбатуллин Рамиль Аминович</t>
  </si>
  <si>
    <t>Гвержис Алексей Викторович</t>
  </si>
  <si>
    <t>Белоусов Андрей Юрьевич</t>
  </si>
  <si>
    <t>Мусиенко Станислав Леонидович</t>
  </si>
  <si>
    <t>Шайтуров Дмитрий Викторович</t>
  </si>
  <si>
    <t>Марьянов Иван Сергеевич</t>
  </si>
  <si>
    <t>Гаврилин Денис Валерьевич</t>
  </si>
  <si>
    <t>Бочкарев Сергей Викторович</t>
  </si>
  <si>
    <t>Лях Сергей Николаевич</t>
  </si>
  <si>
    <t>Пащенко Егор Игоревич</t>
  </si>
  <si>
    <t>Илларионов Сергей Михайлович</t>
  </si>
  <si>
    <t>Конев Иван Валерьевич</t>
  </si>
  <si>
    <t>Грибов Максим Александрович</t>
  </si>
  <si>
    <t>Камышев Дмитрий Валерьевич</t>
  </si>
  <si>
    <t>Скиба Андрей Николаевич</t>
  </si>
  <si>
    <t>Завьялов Алексей Вадимович</t>
  </si>
  <si>
    <t>Щеголев Евгений Валентинович</t>
  </si>
  <si>
    <t>Владимиров Сергей Николаевич</t>
  </si>
  <si>
    <t>Федоров Денис Владимирович</t>
  </si>
  <si>
    <t>Калинин Андрей Леонидович</t>
  </si>
  <si>
    <t>Комендантов Сергей Андреевич</t>
  </si>
  <si>
    <t>Резвов Николай Андреевич</t>
  </si>
  <si>
    <t>Пасынков Владимир Анатольевич</t>
  </si>
  <si>
    <t>Вильнит Игорь Владимирович</t>
  </si>
  <si>
    <t>Акчурина Инна Майильевна</t>
  </si>
  <si>
    <t>Бурцев Игорь Юрьевич</t>
  </si>
  <si>
    <t>Васюков Александр Владимирович</t>
  </si>
  <si>
    <t>Мещерякова Нелли Николаевна</t>
  </si>
  <si>
    <t>Камилов Захид Байрамович</t>
  </si>
  <si>
    <t>Кулиев Андрей Фардаевич</t>
  </si>
  <si>
    <t>Рзянин Игорь Вячеславович</t>
  </si>
  <si>
    <t>Мовлатов Магомед-Салах Магомед-Эмиевич</t>
  </si>
  <si>
    <t>Иванкин Алексей Валерьевич</t>
  </si>
  <si>
    <t>Страшко Владимир Петрович</t>
  </si>
  <si>
    <t>Колесов Андрей Иванович</t>
  </si>
  <si>
    <t>Калаянов Игорь Сергеевич</t>
  </si>
  <si>
    <t>Похвалинский Сергей Владимирович</t>
  </si>
  <si>
    <t>Звонова Екатерина Николаевна</t>
  </si>
  <si>
    <t>Марков Артем Анатольевич</t>
  </si>
  <si>
    <t>Пашин Олег Валентинович</t>
  </si>
  <si>
    <t>Прилепин Евгений Владимирович</t>
  </si>
  <si>
    <t>Соломахо Игорь Леонидович</t>
  </si>
  <si>
    <t>Гндолян Роберт Робертович</t>
  </si>
  <si>
    <t>Логвинов Игорь Васильевич</t>
  </si>
  <si>
    <t>Рябов Дмитрий Валентинович</t>
  </si>
  <si>
    <t>Минажетдинов Ильдус Ильясович</t>
  </si>
  <si>
    <t>Висящев Андрей Вячеславович</t>
  </si>
  <si>
    <t>Епанечников Александр Анатольевич</t>
  </si>
  <si>
    <t>Джалагония Давид Дмитриевич</t>
  </si>
  <si>
    <t>Бакутин Павел Васильевич</t>
  </si>
  <si>
    <t>Сунь Цзэцзюнь</t>
  </si>
  <si>
    <t>Управляющая компания АФАНАСИЙ, ООО</t>
  </si>
  <si>
    <t>Свиблов Владислав Владимирович</t>
  </si>
  <si>
    <t>Пырсиков Дмитрий Александрович</t>
  </si>
  <si>
    <t>Гриценко Дмитрий Александрович</t>
  </si>
  <si>
    <t>Бакшаев Владимир Александрович</t>
  </si>
  <si>
    <t>Управляющая компания УК ЧЕЛНЫ-ХЛЕБ, ООО</t>
  </si>
  <si>
    <t>Шакирзянов Газильян Галимзянович</t>
  </si>
  <si>
    <t>Тахавеев Рустам Василевич</t>
  </si>
  <si>
    <t>Минмухаметов Рашит Муглидинович</t>
  </si>
  <si>
    <t>Кедровских Антон Александрович</t>
  </si>
  <si>
    <t>Кувшинский Николай Станиславович</t>
  </si>
  <si>
    <t>Садыков Рустем Хамзович</t>
  </si>
  <si>
    <t>Фадеев Александр Николаевич</t>
  </si>
  <si>
    <t>Шмаков Владимир Анатольевич</t>
  </si>
  <si>
    <t>Измайлов Леонид Георгиевич</t>
  </si>
  <si>
    <t>Якименко Александр Анатольевич</t>
  </si>
  <si>
    <t>Панарин Сергей Евгеньевич</t>
  </si>
  <si>
    <t>Боровков Роман Владимирович</t>
  </si>
  <si>
    <t>Зеленин Дмитрий Петрович</t>
  </si>
  <si>
    <t>Шкуратский Сергей Викторович</t>
  </si>
  <si>
    <t>Зленко Александр Владимирович</t>
  </si>
  <si>
    <t>Буняев Дмитрий Вячеславович</t>
  </si>
  <si>
    <t>Дудаев Шамхан Шахмарзович</t>
  </si>
  <si>
    <t>Управляющая компания РОССЕТИ СЕВЕРНЫЙ КАВКАЗ, ПАО</t>
  </si>
  <si>
    <t>Жданов Николай Викторович</t>
  </si>
  <si>
    <t>Свеженцев Евгений Игоревич</t>
  </si>
  <si>
    <t>Ковалевский Михаил Владимирович</t>
  </si>
  <si>
    <t>Пасичниченко Ирина Владимировна</t>
  </si>
  <si>
    <t>Корольков Алексей Сергеевич</t>
  </si>
  <si>
    <t>Гаврилов Дмитрий Юрьевич</t>
  </si>
  <si>
    <t>Горшенин Владимир Егорович</t>
  </si>
  <si>
    <t>Зограбян Тигран Геворгович</t>
  </si>
  <si>
    <t>Губайдуллин Ильдар Гайсович</t>
  </si>
  <si>
    <t>Голиков Алексей Витальевич</t>
  </si>
  <si>
    <t>Якупов Айдар Вагизович</t>
  </si>
  <si>
    <t>Гартунг Андрей Валерьевич</t>
  </si>
  <si>
    <t>Шершнев Роман Сергеевич</t>
  </si>
  <si>
    <t>Боглаев Владимир Николаевич</t>
  </si>
  <si>
    <t>Чинейкин Сергей Владимирович</t>
  </si>
  <si>
    <t>Вагин Петр Юрьевич</t>
  </si>
  <si>
    <t>Авласевич Илья Мирославович</t>
  </si>
  <si>
    <t>Баширов Рашмир Эмирбекович</t>
  </si>
  <si>
    <t>Нажуев Магомедхабиб Ибрагимович</t>
  </si>
  <si>
    <t>Баримбойм Юрий Геннадьевич</t>
  </si>
  <si>
    <t>Рюмин Андрей Борисович</t>
  </si>
  <si>
    <t>Иванов Игорь Павлович</t>
  </si>
  <si>
    <t>Степанов Юрий Витальевич</t>
  </si>
  <si>
    <t>Воробьев Роман Сергеевич</t>
  </si>
  <si>
    <t>Сливко Денис Петрович</t>
  </si>
  <si>
    <t>Коротков Илья Евгеньевич</t>
  </si>
  <si>
    <t>Ходоровский Павел Яковлевич</t>
  </si>
  <si>
    <t>Колбасов Александр Васильевич</t>
  </si>
  <si>
    <t>Попов Андрей Николаевич</t>
  </si>
  <si>
    <t>Управляющая компания ШАМСА-ХОЛДИНГ, ООО</t>
  </si>
  <si>
    <t>Бажутова Евгения Александровна</t>
  </si>
  <si>
    <t>Милованов Виктор Васильевич</t>
  </si>
  <si>
    <t>Коватев Владимир Викторович</t>
  </si>
  <si>
    <t>Вотинцева Кристина Анатольевна</t>
  </si>
  <si>
    <t>Ветров Александр Сергеевич</t>
  </si>
  <si>
    <t>Федосеева Галина Владимировна</t>
  </si>
  <si>
    <t>Деллароса Давиде</t>
  </si>
  <si>
    <t>Дунин Денис Сергеевич</t>
  </si>
  <si>
    <t>Воробьев Алексей Сергеевич</t>
  </si>
  <si>
    <t>Ануфриев Виктор Петрович</t>
  </si>
  <si>
    <t>Зеленцов Константин Александрович</t>
  </si>
  <si>
    <t>Рудаков Олег Юрьевич</t>
  </si>
  <si>
    <t>Азаров Денис Геннадьевич</t>
  </si>
  <si>
    <t>Управляющая компания ЮЖУГОЛЬ, ООО УК</t>
  </si>
  <si>
    <t>Щелконогов Андрей Юрьевич</t>
  </si>
  <si>
    <t>Зайцев Дмитрий Анатольевич</t>
  </si>
  <si>
    <t>Тауриньш Айварс</t>
  </si>
  <si>
    <t>Ипатов Николай Алексеевич</t>
  </si>
  <si>
    <t>Кузнецова Татьяна Александровна</t>
  </si>
  <si>
    <t>Бочаров Александр Михайлович</t>
  </si>
  <si>
    <t>Дузенко Дмитрий Николаевич</t>
  </si>
  <si>
    <t>Ванюков Сергей Юрьевич</t>
  </si>
  <si>
    <t>Казарян Карен Альбертович</t>
  </si>
  <si>
    <t>Степанов Сергей Валерьевич</t>
  </si>
  <si>
    <t>Ефремова Елена Алексеевна</t>
  </si>
  <si>
    <t>Масьянов Сергей Владимирович</t>
  </si>
  <si>
    <t>Моисеев Александр Владимирович</t>
  </si>
  <si>
    <t>Комелин Алексей Михайлович</t>
  </si>
  <si>
    <t>Зимин Дмитрий Андреевич</t>
  </si>
  <si>
    <t>Шарипов Ильдар Гаязович</t>
  </si>
  <si>
    <t>Управляющая компания УК ТАЛДИНСКАЯ, ООО</t>
  </si>
  <si>
    <t>Байбуртян Рубен Юльевич</t>
  </si>
  <si>
    <t>Швартц Клаудиус Оливер</t>
  </si>
  <si>
    <t>Вроблевски Арнд</t>
  </si>
  <si>
    <t>Горелов Роман Игоревич</t>
  </si>
  <si>
    <t>Тирфельдер Йенс Маттиас</t>
  </si>
  <si>
    <t>Сурба Анатолий Константинович</t>
  </si>
  <si>
    <t>Бимендиев Нурлан Алиакбарович</t>
  </si>
  <si>
    <t>Каракотов Салис Добаевич</t>
  </si>
  <si>
    <t>Черченко Юрий Викторович</t>
  </si>
  <si>
    <t>Мисливец Станислав Викторович</t>
  </si>
  <si>
    <t>Управляющая компания УК РД-ЗЕРНОПРОДУКТ, ООО</t>
  </si>
  <si>
    <t>Чернобаев Валентин Юрьевич</t>
  </si>
  <si>
    <t>Попов Владимир Юрьевич</t>
  </si>
  <si>
    <t>Бакуменко Инна Михайловна</t>
  </si>
  <si>
    <t>Хлунов Владимир Иванович</t>
  </si>
  <si>
    <t>Кулаков Денис Владимирович</t>
  </si>
  <si>
    <t>Шидло Владимир Николаевич</t>
  </si>
  <si>
    <t>Маликов Юрий Владимирович</t>
  </si>
  <si>
    <t>Шеин Андрей Юрьевич</t>
  </si>
  <si>
    <t>Савченко Евгений Викторович</t>
  </si>
  <si>
    <t>Хатетовская Елена Евгеньевна</t>
  </si>
  <si>
    <t>Романенко Андрей Николаевич</t>
  </si>
  <si>
    <t>Еремеев Андрей Владимирович</t>
  </si>
  <si>
    <t>Шустов Игорь Анатольевич</t>
  </si>
  <si>
    <t>Бобылев Евгений Викторович</t>
  </si>
  <si>
    <t>Дабрыднева Наталия Викторовна</t>
  </si>
  <si>
    <t>Мустафин Рев Латфуллович</t>
  </si>
  <si>
    <t>Назарова Наталья Александровна</t>
  </si>
  <si>
    <t>Хлебников Валерий Иванович</t>
  </si>
  <si>
    <t>Воронов Леонид Леонгардович</t>
  </si>
  <si>
    <t>Степанов Иван Александрович</t>
  </si>
  <si>
    <t>Втюрин Евгений Борисович</t>
  </si>
  <si>
    <t>Лазарев Владимир Александрович</t>
  </si>
  <si>
    <t>Фомичев Дмитрий Викторович</t>
  </si>
  <si>
    <t>Князев Сергей Юрьевич</t>
  </si>
  <si>
    <t>Чижов Алексей Дмитриевич</t>
  </si>
  <si>
    <t>Куценко Александр Викторович</t>
  </si>
  <si>
    <t>Жеребцов Алексей Владимирович</t>
  </si>
  <si>
    <t>Павлова Юлия Александровна</t>
  </si>
  <si>
    <t>Мишечкин Сергей Владимирович</t>
  </si>
  <si>
    <t>Половинин Виталий Владимирович</t>
  </si>
  <si>
    <t>Зайцева Евгения Викторовна</t>
  </si>
  <si>
    <t>Ромашев Максим Павлович</t>
  </si>
  <si>
    <t>Капранов Андрей Сергеевич</t>
  </si>
  <si>
    <t>Шиков Игорь Николаевич</t>
  </si>
  <si>
    <t>Зверев Аркадий Геннадьевич</t>
  </si>
  <si>
    <t>Афанасьев Серафим Владимирович</t>
  </si>
  <si>
    <t>Савин Евгений Викторович</t>
  </si>
  <si>
    <t>Рустамов Заур Шамиль Оглы</t>
  </si>
  <si>
    <t>Крылов Сергей Александрович</t>
  </si>
  <si>
    <t>Ерина Лариса Анатольевна</t>
  </si>
  <si>
    <t>Ворошилов Николай Алексеевич</t>
  </si>
  <si>
    <t>Самоховец Константин Викторович</t>
  </si>
  <si>
    <t>Громоздин Сергей Валерьевич</t>
  </si>
  <si>
    <t>Нарейко Андрей Валентинович</t>
  </si>
  <si>
    <t>Циций Олег Михайлович</t>
  </si>
  <si>
    <t>Чувиков Алексей Викторович</t>
  </si>
  <si>
    <t>Дьяконов Александр Иванович</t>
  </si>
  <si>
    <t>Шевченко Вячеслав Владимирович</t>
  </si>
  <si>
    <t>Слоян Барзани Задаевич</t>
  </si>
  <si>
    <t>Ефременко Алексей Федорович</t>
  </si>
  <si>
    <t>Управляющая компания ЭКОНИВАТЕХНИКА-ХОЛДИНГ, ООО</t>
  </si>
  <si>
    <t>Кель Иван Андреевич</t>
  </si>
  <si>
    <t>Митыпова Марина Вячеславовна</t>
  </si>
  <si>
    <t>Максимов Сергей Викторович</t>
  </si>
  <si>
    <t>Касьянова Лариса Алексеевна</t>
  </si>
  <si>
    <t>Кирьянов Эдуард Леонидович</t>
  </si>
  <si>
    <t>Шрайнер Виктор Александрович</t>
  </si>
  <si>
    <t>Новокрещенов Юрий Владимирович</t>
  </si>
  <si>
    <t>Тоторкулов Роман Владимирович</t>
  </si>
  <si>
    <t>Захаров Михаил Алексеевич</t>
  </si>
  <si>
    <t>Синельников Денис Владимирович</t>
  </si>
  <si>
    <t>Чебышев Игорь Сергеевич</t>
  </si>
  <si>
    <t>Пономарев Василий Сергеевич</t>
  </si>
  <si>
    <t>Мельник Ярослав Петрович</t>
  </si>
  <si>
    <t>Швецов Кирилл Владимирович</t>
  </si>
  <si>
    <t>Сыпчу Николай Ильич</t>
  </si>
  <si>
    <t>Минаев Андрей Анатольевич</t>
  </si>
  <si>
    <t>Гисов Денис Александрович</t>
  </si>
  <si>
    <t>Лапшин Сергей Петрович</t>
  </si>
  <si>
    <t>Петров Никита Сергеевич</t>
  </si>
  <si>
    <t>Вдовина Маргарита Евгеньевна</t>
  </si>
  <si>
    <t>Мальсагов Тимур Магомедович</t>
  </si>
  <si>
    <t>Борисов Павел Вячеславович</t>
  </si>
  <si>
    <t>Пахно Илья Леонидович</t>
  </si>
  <si>
    <t>Давыкоза Дмитрий Владимирович</t>
  </si>
  <si>
    <t>Еремин Роман Валентинович</t>
  </si>
  <si>
    <t>Санников Алексей Михайлович</t>
  </si>
  <si>
    <t>Суровый Виктор Викторович</t>
  </si>
  <si>
    <t>Вялкин Алексей Григорьевич</t>
  </si>
  <si>
    <t>Чедыгов Аслан Сафарбиевич</t>
  </si>
  <si>
    <t>Каштанов Алексей Владимирович</t>
  </si>
  <si>
    <t>Нечкин Павел Александрович</t>
  </si>
  <si>
    <t>Тналин Алибек Айбекович</t>
  </si>
  <si>
    <t>Плохова Анна Александровна</t>
  </si>
  <si>
    <t>Дронов Роман Петрович</t>
  </si>
  <si>
    <t>Варламов Сергей Васильевич</t>
  </si>
  <si>
    <t>Борк Антон Рольфович</t>
  </si>
  <si>
    <t>Филиппов Станислав Борисович</t>
  </si>
  <si>
    <t>Наумов Анатолий Федорович</t>
  </si>
  <si>
    <t>Желванов Максим Леонидович</t>
  </si>
  <si>
    <t>Елисеев Александр Владимирович</t>
  </si>
  <si>
    <t>Леоненко Евгений Анатольевич</t>
  </si>
  <si>
    <t>Дюмин Антон Николаевич</t>
  </si>
  <si>
    <t>Иванов Александр Андреевич</t>
  </si>
  <si>
    <t>Никифоров Алексей Николаевич</t>
  </si>
  <si>
    <t>Шитов Александр Викторович</t>
  </si>
  <si>
    <t>Плиев Магомед Асултанович</t>
  </si>
  <si>
    <t>Зайцев Юрий Олегович</t>
  </si>
  <si>
    <t>Морозов Константин Валентинович</t>
  </si>
  <si>
    <t>Писаренко Андрей Витальевич</t>
  </si>
  <si>
    <t>Управляющая компания ХК ЭЛИНАР, АО</t>
  </si>
  <si>
    <t>Еремеев Александр Вадимович</t>
  </si>
  <si>
    <t>Чеснаков Алексей Леонидович</t>
  </si>
  <si>
    <t>Алексеев Максим Владимирович</t>
  </si>
  <si>
    <t>Елисеев Вадим Александрович</t>
  </si>
  <si>
    <t>Орлов Алексей Владимирович</t>
  </si>
  <si>
    <t>Богданова Наталья Геннадьевна</t>
  </si>
  <si>
    <t>Галкин Анатолий Иванович</t>
  </si>
  <si>
    <t>Грачева Анна Константиновна</t>
  </si>
  <si>
    <t>Пацукевич Александр Леонидович</t>
  </si>
  <si>
    <t>Гиматдинов Валерий Шавкатович</t>
  </si>
  <si>
    <t>Скрягин Станислав Александрович</t>
  </si>
  <si>
    <t>Ишмухамедов Эмиль Эрлихович</t>
  </si>
  <si>
    <t>Кривошеев Дмитрий Валерьевич</t>
  </si>
  <si>
    <t>Давиди Владимир Тенгизович</t>
  </si>
  <si>
    <t>Ковач Игорь Александрович</t>
  </si>
  <si>
    <t>Гунгер Вячеслав Робертович</t>
  </si>
  <si>
    <t>Безмельницын Дмитрий Аркадьевич</t>
  </si>
  <si>
    <t>Конашенкова Наталья Александровна</t>
  </si>
  <si>
    <t>Тормашев Дмитрий Альфредович</t>
  </si>
  <si>
    <t>Поспелов Денис Борисович</t>
  </si>
  <si>
    <t>Кумыков Заур Абуевич</t>
  </si>
  <si>
    <t>Рудаков Александр Владимирович</t>
  </si>
  <si>
    <t>Шашкин Дмитрий Михайлович</t>
  </si>
  <si>
    <t>Кулабухова Марина Владимировна</t>
  </si>
  <si>
    <t>Горелик Дмитрий Евгеньевич</t>
  </si>
  <si>
    <t>Управляющая компания МХ МЕНЕДЖМЕНТ, ООО</t>
  </si>
  <si>
    <t>Шестаков Николай Вадимович</t>
  </si>
  <si>
    <t>Столбченко Виктор Анатольевич</t>
  </si>
  <si>
    <t>Нилов Сергей Николаевич</t>
  </si>
  <si>
    <t>Докунихин Виталий Борисович</t>
  </si>
  <si>
    <t>Кульнев Евгений Юрьевич</t>
  </si>
  <si>
    <t>Котельников Игорь Леонидович</t>
  </si>
  <si>
    <t>Зубков Алексей Владимирович</t>
  </si>
  <si>
    <t>Григорьев Алексей Сергеевич</t>
  </si>
  <si>
    <t>Магомедов Магомед Гусейнович</t>
  </si>
  <si>
    <t>Осипова Ирина Владимировна</t>
  </si>
  <si>
    <t>Управляющая компания СГЭС, ООО</t>
  </si>
  <si>
    <t>Бадиков Константин Владимирович</t>
  </si>
  <si>
    <t>Цветков Леонид Эрастович</t>
  </si>
  <si>
    <t>Курсикова Виктория Анатольевна</t>
  </si>
  <si>
    <t>Тиунцов Олег Германович</t>
  </si>
  <si>
    <t>Мажурин Виктор Александрович</t>
  </si>
  <si>
    <t>Лисавин Андрей Владимирович</t>
  </si>
  <si>
    <t>Сажин Павел Евгеньевич</t>
  </si>
  <si>
    <t>Грошев Олег Владимирович</t>
  </si>
  <si>
    <t>Волошин Станислав Игоревич</t>
  </si>
  <si>
    <t>Малахов Дмитрий Анатольевич</t>
  </si>
  <si>
    <t>Ольхович Евгений Александрович</t>
  </si>
  <si>
    <t>Скворцов Александр Анатольевич</t>
  </si>
  <si>
    <t>Шихшабеков Сайгид Саидович</t>
  </si>
  <si>
    <t>Ильина Ксения Сергеевна</t>
  </si>
  <si>
    <t>Пинчук Михаил Эдуардович</t>
  </si>
  <si>
    <t>Бурнев Борис Владимирович</t>
  </si>
  <si>
    <t>Тевис Александр Валентинович</t>
  </si>
  <si>
    <t>Воробьев Антон Анатольевич</t>
  </si>
  <si>
    <t>Галло Александр Станиславович</t>
  </si>
  <si>
    <t>Свергин Сергей Александрович</t>
  </si>
  <si>
    <t>Мочалов Валерий Геннадьевич</t>
  </si>
  <si>
    <t>Чемшит Жанна Николаевна</t>
  </si>
  <si>
    <t>Щербаков Алексей Владимирович</t>
  </si>
  <si>
    <t>Володин Николай Дмитриевич</t>
  </si>
  <si>
    <t>Забродин Юрий Витальевич</t>
  </si>
  <si>
    <t>Дуран Мурат</t>
  </si>
  <si>
    <t>Управляющая компания КА-ГРУПП, ООО</t>
  </si>
  <si>
    <t>Кувшинников Игорь Геннадьевич</t>
  </si>
  <si>
    <t>Завьялова Елена Михайловна</t>
  </si>
  <si>
    <t>Грачев Евгений Сергеевич</t>
  </si>
  <si>
    <t>Горемыкина Евгения Владимировна</t>
  </si>
  <si>
    <t>Кондратьев Денис Валентинович</t>
  </si>
  <si>
    <t>Стромов Николай Сергеевич</t>
  </si>
  <si>
    <t>Кугаевская Любовь Борисовна</t>
  </si>
  <si>
    <t>Арутюнян Игорь Воваевич</t>
  </si>
  <si>
    <t>Котилевский Александр Вячеславович</t>
  </si>
  <si>
    <t>Малков Виталий Евгеньевич</t>
  </si>
  <si>
    <t>Ткач Александр Владимирович</t>
  </si>
  <si>
    <t>Кузяев Андрей Равелевич</t>
  </si>
  <si>
    <t>Крашенинников Николай Сергеевич</t>
  </si>
  <si>
    <t>Татарский Виктор Сергеевич</t>
  </si>
  <si>
    <t>Попова Оксана Юрьевна</t>
  </si>
  <si>
    <t>Тумина Татьяна Валерьевна</t>
  </si>
  <si>
    <t>Пятанина Светлана Викторовна</t>
  </si>
  <si>
    <t>Марковец Ирина Леонидовна</t>
  </si>
  <si>
    <t>Ивахнов Евгений Александрович</t>
  </si>
  <si>
    <t>Исмагилов Ришат Галиевич</t>
  </si>
  <si>
    <t>Бахтеров Алексей Владимирович</t>
  </si>
  <si>
    <t>Кузнецов Денис Дмитриевич</t>
  </si>
  <si>
    <t>Ахметова Валентина Анисимовна</t>
  </si>
  <si>
    <t>Москвитин Александр Петрович</t>
  </si>
  <si>
    <t>Бережной Андрей Викторович</t>
  </si>
  <si>
    <t>Ремизов Сергей Юрьевич</t>
  </si>
  <si>
    <t>Кимерин Владимир Анатольевич</t>
  </si>
  <si>
    <t>Кутищева Марина Владимировна</t>
  </si>
  <si>
    <t>Травкин Андрей Анатольевич</t>
  </si>
  <si>
    <t>Лещев Дмитрий Владимирович</t>
  </si>
  <si>
    <t>Дзегуль Олег Евгеньевич</t>
  </si>
  <si>
    <t>Бурдин Игорь Анатольевич</t>
  </si>
  <si>
    <t>Илиопуло Александр Андреевич</t>
  </si>
  <si>
    <t>Барышев Леонид Анатольевич</t>
  </si>
  <si>
    <t>Акопян Карен Ашотович</t>
  </si>
  <si>
    <t>Столяров Дмитрий Михайлович</t>
  </si>
  <si>
    <t>Булакчибаши Сонер</t>
  </si>
  <si>
    <t>Брызгалова Мария Анатольевна</t>
  </si>
  <si>
    <t>Маркин Антон Владимирович</t>
  </si>
  <si>
    <t>Сидоров Игорь Анатольевич</t>
  </si>
  <si>
    <t>Управляющая компания ГК ЭТАЛОН, АО</t>
  </si>
  <si>
    <t>Пожидаева Анна Вячеславовна</t>
  </si>
  <si>
    <t>Кочкарев Иван Владимирович</t>
  </si>
  <si>
    <t>Назаров Дмитрий Владимирович</t>
  </si>
  <si>
    <t>Калмыкова Елена Васильевна</t>
  </si>
  <si>
    <t>Соломоненко Алексей Иванович</t>
  </si>
  <si>
    <t>Долгопол Александр Юрьевич</t>
  </si>
  <si>
    <t>Шабалин Александр Вячеславович</t>
  </si>
  <si>
    <t>Вартазаров Андрей Сергеевич</t>
  </si>
  <si>
    <t>Раков Артем Валерьевич</t>
  </si>
  <si>
    <t>Бурага Василий Алексеевич</t>
  </si>
  <si>
    <t>Юй Ян</t>
  </si>
  <si>
    <t>Башков Владимир Юрьевич</t>
  </si>
  <si>
    <t>Кнутов Евгений Васильевич</t>
  </si>
  <si>
    <t>Кулага Иван Анатольевич</t>
  </si>
  <si>
    <t>Пузикова Анна Геннадьевна</t>
  </si>
  <si>
    <t>Прояев Алексей Александрович</t>
  </si>
  <si>
    <t>Лабецкий Кирилл Владимирович</t>
  </si>
  <si>
    <t>Управляющая компания МЭЗ ЮГ РУСИ, ООО</t>
  </si>
  <si>
    <t>Управляющая компания ЮГ-АВТО ХОЛДИНГ, ООО</t>
  </si>
  <si>
    <t>Аксенова Людмила Михайловна</t>
  </si>
  <si>
    <t>Гвоздецкий Владимир Николаевич</t>
  </si>
  <si>
    <t>Заболотнев Александр Николаевич</t>
  </si>
  <si>
    <t>Титов Игорь Викторович</t>
  </si>
  <si>
    <t>Зуенко Геннадий Александрович</t>
  </si>
  <si>
    <t>Рапиёва Татьяна Владимировна</t>
  </si>
  <si>
    <t>Чугин Анатолий Владимирович</t>
  </si>
  <si>
    <t>Краев Юрий Геннадьевич</t>
  </si>
  <si>
    <t>Печенов Юрий Анатольевич</t>
  </si>
  <si>
    <t>Ливринц Андрей Андреевич</t>
  </si>
  <si>
    <t>Гаевский Константин Константинович</t>
  </si>
  <si>
    <t>Белобородов Алексей Викторович</t>
  </si>
  <si>
    <t>Управляющая компания ИНВЕСТСТАНДАРТ, ООО</t>
  </si>
  <si>
    <t>Снимщиков Егор Михайлович</t>
  </si>
  <si>
    <t>Управляющая компания ГК ЮЖНАЯ КОРОНА, ООО</t>
  </si>
  <si>
    <t>Чемерис Игорь Владимирович</t>
  </si>
  <si>
    <t>Шапошников Виктор Васильевич</t>
  </si>
  <si>
    <t>Коробков Константин Викторович</t>
  </si>
  <si>
    <t>Красавцев Борис Евгеньевич</t>
  </si>
  <si>
    <t>Текеев Азамат Русланович</t>
  </si>
  <si>
    <t>Управляющая компания МЕЧЕЛ-ЭНЕРГО, ООО</t>
  </si>
  <si>
    <t>Спирина Елена Викторовна</t>
  </si>
  <si>
    <t>Хазов Сергей Юрьевич</t>
  </si>
  <si>
    <t>Метельков Виталий Николаевич</t>
  </si>
  <si>
    <t>Громада Юлия Александровна</t>
  </si>
  <si>
    <t>Синаторов Станислав Игоревич</t>
  </si>
  <si>
    <t>Лабузов Владимир Ильич</t>
  </si>
  <si>
    <t>Винявский Анатолий Михайлович</t>
  </si>
  <si>
    <t>Гусманова Лейсан Назифовна</t>
  </si>
  <si>
    <t>Макарьев Алексей Николаевич</t>
  </si>
  <si>
    <t>Сафронов Александр Дмитриевич</t>
  </si>
  <si>
    <t>Манашеров Тамаз Омарович</t>
  </si>
  <si>
    <t>Адати Фуминори</t>
  </si>
  <si>
    <t>Хусаенов Нурсиль Нурисламович</t>
  </si>
  <si>
    <t>Прокопчук Николай Владимирович</t>
  </si>
  <si>
    <t>Обручников Александр Сергеевич</t>
  </si>
  <si>
    <t>Охотин Лев Евгеньевич</t>
  </si>
  <si>
    <t>Которов Иван Викторович</t>
  </si>
  <si>
    <t>Трифоненков Максим Павлович</t>
  </si>
  <si>
    <t>Екимов Дмитрий Геннадьевич</t>
  </si>
  <si>
    <t>Тябутова Елена Юрьевна</t>
  </si>
  <si>
    <t>Рыбаков Павел Геннадьевич</t>
  </si>
  <si>
    <t>Кувшинов Максим Михайлович</t>
  </si>
  <si>
    <t>Никонов Василий Владиславович</t>
  </si>
  <si>
    <t>Шаманская Татьяна Владимировна</t>
  </si>
  <si>
    <t>Шереметьев Кирилл Владимирович</t>
  </si>
  <si>
    <t>Мифтахутдинов Руслан Ренатович</t>
  </si>
  <si>
    <t>Курнаков Вадим Викторович</t>
  </si>
  <si>
    <t>Суровцев Артем Петрович</t>
  </si>
  <si>
    <t>Винокуров Владимир Иванович</t>
  </si>
  <si>
    <t>Мелихов Валентин Евгеньевич</t>
  </si>
  <si>
    <t>Ачкасов Анатолий Александрович</t>
  </si>
  <si>
    <t>Фокин Алексей Валерьевич</t>
  </si>
  <si>
    <t>Ярославлев Борис Геннадьевич</t>
  </si>
  <si>
    <t>Увакина Светлана Игоревна</t>
  </si>
  <si>
    <t>Кунавин Алексей Николаевич</t>
  </si>
  <si>
    <t>Бессолицын Олег Юрьевич</t>
  </si>
  <si>
    <t>Медведев Валерий Николаевич</t>
  </si>
  <si>
    <t>Киреев Алексей Александрович</t>
  </si>
  <si>
    <t>Булычев Павел Юрьевич</t>
  </si>
  <si>
    <t>Абдулин Альберт Нурзигазович</t>
  </si>
  <si>
    <t>Карташов Сергей Геннадьевич</t>
  </si>
  <si>
    <t>Жуков Сергей Николаевич</t>
  </si>
  <si>
    <t>Ермолов Дмитрий Федорович</t>
  </si>
  <si>
    <t>Ившин Андрей Николаевич</t>
  </si>
  <si>
    <t>Тюльников Александр Владимирович</t>
  </si>
  <si>
    <t>Чайджы Фатих</t>
  </si>
  <si>
    <t>Зупин Юре</t>
  </si>
  <si>
    <t>Телюк Игорь Владимирович</t>
  </si>
  <si>
    <t>Плясухин Вячеслав Викторович</t>
  </si>
  <si>
    <t>Стефанюк Александр Ильич</t>
  </si>
  <si>
    <t>Будник Алексей Николаевич</t>
  </si>
  <si>
    <t>Медведев Максим Эдвардович</t>
  </si>
  <si>
    <t>Чапковский Вячеслав Валерьевич</t>
  </si>
  <si>
    <t>Теренин Андрей Алексеевич</t>
  </si>
  <si>
    <t>Мурзинцев Виктор Юрьевич</t>
  </si>
  <si>
    <t>Лещенко Валерий Николаевич</t>
  </si>
  <si>
    <t>Русаков Максим Викторович</t>
  </si>
  <si>
    <t>Хайруллин Марат Ринатович</t>
  </si>
  <si>
    <t>Токсубаев Сергей Борисович</t>
  </si>
  <si>
    <t>Крафт Якоб Соломонович</t>
  </si>
  <si>
    <t>Бокоярова Евгения Александровна</t>
  </si>
  <si>
    <t>Табаков Дмитрий Владимирович</t>
  </si>
  <si>
    <t>Обручкова Светлана Александровна</t>
  </si>
  <si>
    <t>Сергиенко Яков Вячеславович</t>
  </si>
  <si>
    <t>Лукьянов Сергей Викторович</t>
  </si>
  <si>
    <t>Костяев Алексей Николаевич</t>
  </si>
  <si>
    <t>Стручков Алексей Александрович</t>
  </si>
  <si>
    <t>Духович Илья Алексеевич</t>
  </si>
  <si>
    <t>Трубников Владимир Сергеевич</t>
  </si>
  <si>
    <t>Колесников Игорь Александрович</t>
  </si>
  <si>
    <t>Жадовский Владимир Александрович</t>
  </si>
  <si>
    <t>Днепровский Максим Алексеевич</t>
  </si>
  <si>
    <t>Долгов Сергей Николаевич</t>
  </si>
  <si>
    <t>Нак Игорь Владимирович</t>
  </si>
  <si>
    <t>Надуева Яха Асламбековна</t>
  </si>
  <si>
    <t>Галахин Михаил Юрьевич</t>
  </si>
  <si>
    <t>Гевак Андрей Николаевич</t>
  </si>
  <si>
    <t>Савиновский Артем Геннадьевич</t>
  </si>
  <si>
    <t>Алёшин Павел Николаевич</t>
  </si>
  <si>
    <t>Маресов Роман Алексеевич</t>
  </si>
  <si>
    <t>Петров Вадим Вадимович</t>
  </si>
  <si>
    <t>Черников Александр Владимирович</t>
  </si>
  <si>
    <t>Аникин Александр Михайлович</t>
  </si>
  <si>
    <t>Баймашев Евгений Закарьевич</t>
  </si>
  <si>
    <t>Парамонов Александр Владимирович</t>
  </si>
  <si>
    <t>Подшибякин Андрей Вячеславович</t>
  </si>
  <si>
    <t>Драный Дмитрий Николаевич</t>
  </si>
  <si>
    <t>Середняков Денис Владимирович</t>
  </si>
  <si>
    <t>Ершов Иван Иванович</t>
  </si>
  <si>
    <t>Грицюк Ирина Алексеевна</t>
  </si>
  <si>
    <t>Силин Георгий Геннадьевич</t>
  </si>
  <si>
    <t>Управляющая компания РПМ, АО</t>
  </si>
  <si>
    <t>Литвин Николай Иванович</t>
  </si>
  <si>
    <t>Белоусов Евгений Вячеславович</t>
  </si>
  <si>
    <t>Копалиани Заза Ардеванович</t>
  </si>
  <si>
    <t>Тяшкун Станислав Владимирович</t>
  </si>
  <si>
    <t>Орлов Александр Николаевич</t>
  </si>
  <si>
    <t>Коробов Андрей Владимирович</t>
  </si>
  <si>
    <t>Дорошенко Павел Анатольевич</t>
  </si>
  <si>
    <t>suvarsrtoit-kazan.ru, suvarsrtoit-quiz.ru</t>
  </si>
  <si>
    <t>Писарева Юлия Олеговна (10 000 руб., 100%)</t>
  </si>
  <si>
    <t>komova.n.a@1sc.saturn-r.ru, pirogkov.a.n@1sc.saturn-r.ru</t>
  </si>
  <si>
    <t>http://1sc.saturn-r.ru/</t>
  </si>
  <si>
    <t>Репин Александр Анатольевич (8 500 руб., 85%)
Волохатых Олег Викторович (500 руб., 5%)
Меркушев Олег Николаевич (500 руб., 5%)
Халявин Андрей Алексеевич (500 руб., 5%)</t>
  </si>
  <si>
    <t>Торговля оптовая лесоматериалами, строительными материалами и санитарно-техническим оборудованием</t>
  </si>
  <si>
    <t>290 140 000</t>
  </si>
  <si>
    <t>e.soloveva@adamas.ru, o.dotsenko@adamas.ru</t>
  </si>
  <si>
    <t>Торговля розничная ювелирными изделиями в специализированных магазинах</t>
  </si>
  <si>
    <t>Хохлов Иван Николаевич (5 404.88 руб., 33.33%)
Хохлова Ирина Викторовна (4 999.5 руб., 30.83%)
Нуретдинова Марина Викторовна (3 053.75 руб., 18.83%)
БИУТИ ЛИМИТЕД (1 945.75 руб., 12%)
Беляев Вячеслав Александрович (810.73 руб., 5%)</t>
  </si>
  <si>
    <t>Торговля розничная одеждой в специализированных магазинах</t>
  </si>
  <si>
    <t>340 150 000</t>
  </si>
  <si>
    <t>ilya.lukin@1520signal.ru</t>
  </si>
  <si>
    <t>ГРУППА КОМПАНИЙ 1520, ООО (7 488 000 руб., 64%)
РЖД, ОАО (4 212 000 руб., 36%)</t>
  </si>
  <si>
    <t>Деятельность по созданию и использованию баз данных и информационных ресурсов</t>
  </si>
  <si>
    <t>3713494@gmail.com, buh@1c-bitrix.ru, info1c@bitrix.ru, info@1c-bitrix.ru, info@olimpia-nv.ru, osr@olimpia-nv.ru, redchess@yandex.ru, unost2002@mail.ru, uril3713641@yandex.ru, uril@r66.ru</t>
  </si>
  <si>
    <t>www.1c-bitrix.ru</t>
  </si>
  <si>
    <t>БИТРИКС24, ООО (6 000 руб., 50%)
1С, ООО (6 000 руб., 50%)</t>
  </si>
  <si>
    <t>Издание прочих программных продуктов</t>
  </si>
  <si>
    <t>1 029 430 000</t>
  </si>
  <si>
    <t>inform@1c-softclab.ru</t>
  </si>
  <si>
    <t>1С, ООО (8 800 000 руб., 100%)</t>
  </si>
  <si>
    <t>Торговля оптовая грампластинками, аудио- и видеомагнитными лентами, компакт-дисками (CD) и цифровыми видеодисками (DVD) (кроме носителей без записей)</t>
  </si>
  <si>
    <t>bazhanov@sk2b.ru, info@sk2b.ru, proect2b@yandex.ru, tender@sk2b.ru</t>
  </si>
  <si>
    <t>Бажанов Андрей Владимирович (50 000 руб., 50%)
Бахтин Армен Ашотович (50 000 руб., 50%)</t>
  </si>
  <si>
    <t>Производство прочих строительно-монтажных работ</t>
  </si>
  <si>
    <t>68 450 000</t>
  </si>
  <si>
    <t>alytova@yandex.ru, info@2rs.ru, info@rospod.ru, nasty@rospod.ru, sales@bearingstore.ru, sl@rospod.ru</t>
  </si>
  <si>
    <t>www.rospod.ru</t>
  </si>
  <si>
    <t>Локтионов Сергей Александрович (561 000 руб., 51%)
Локтионов Андрей Александрович (539 000 руб., 49%)</t>
  </si>
  <si>
    <t>487 540 000</t>
  </si>
  <si>
    <t>Торговля оптовая прочими бытовыми товарами</t>
  </si>
  <si>
    <t>547 250 000</t>
  </si>
  <si>
    <t>Куделин Сергей Игоревич (50 000 руб., 50%)
ПРОДАЛЬЯНС-КРЫМ, ООО (50 000 руб., 50%)</t>
  </si>
  <si>
    <t>Торговля розничная преимущественно пищевыми продуктами, включая напитки, и табачными изделиями в неспециализированных магазинах</t>
  </si>
  <si>
    <t>42 020 000</t>
  </si>
  <si>
    <t>i.bolotin@48unr.ru, info@48unr.ru, s.stratijchuk@48unr.ru</t>
  </si>
  <si>
    <t>48unr.ru</t>
  </si>
  <si>
    <t>ТПК, АО (1 010 000 руб., 100%)</t>
  </si>
  <si>
    <t>Деятельность по осуществлению прямых продаж топлива с доставкой по адресу клиента</t>
  </si>
  <si>
    <t>534ynr@wline.ru, kolkovaop@gvsu.ru</t>
  </si>
  <si>
    <t>www.gvsu.ru</t>
  </si>
  <si>
    <t>ГВСУ ЦЕНТР, АО ХК (50 000 руб.)</t>
  </si>
  <si>
    <t>mail@7utra.ru, osamagina@7utra.ru</t>
  </si>
  <si>
    <t>7utra.ru</t>
  </si>
  <si>
    <t>Пилюгин Владимир Алексеевич (50 000 000 руб., 100%)</t>
  </si>
  <si>
    <t>Производство молока (кроме сырого) и молочной продукции</t>
  </si>
  <si>
    <t>amkscool9@mail.ru, scool9amk@mail.ru, silinao62@mail.ru</t>
  </si>
  <si>
    <t>http://amk-scool9.ucoz.ru/</t>
  </si>
  <si>
    <t>УОМПИС (n/a)</t>
  </si>
  <si>
    <t>Образование среднее общее</t>
  </si>
  <si>
    <t>agrupp@mail.ru, info@agrupp.com, katrenkina@agrupp.com</t>
  </si>
  <si>
    <t>www.agrupp.com</t>
  </si>
  <si>
    <t>Зайцев Алексей Николаевич (10 110 000 руб., 100%)</t>
  </si>
  <si>
    <t>Деятельность агентов по оптовой торговле металлами в первичных формах</t>
  </si>
  <si>
    <t>4 552 650 000</t>
  </si>
  <si>
    <t>esmolyakova@azcompany.ru, info@azcompany.ru, lkrilova@azcompany.ru</t>
  </si>
  <si>
    <t>www.azcompany.ru</t>
  </si>
  <si>
    <t>ПРЕЗИДЕНТ, ООО (6 000 руб., 60%)
КОМПАНИЯ "КИН ТАТ ЛИМИТЕД" (4 000 руб., 40%)</t>
  </si>
  <si>
    <t>145 310 000</t>
  </si>
  <si>
    <t>amediateka.ru</t>
  </si>
  <si>
    <t>АМ ТВ, ООО (10 000 руб., 100%)</t>
  </si>
  <si>
    <t>Деятельность в области телевизионного вещания</t>
  </si>
  <si>
    <t>a.paukov@avtoban.ru</t>
  </si>
  <si>
    <t>ДСК АВТОБАН, АО (10 000 руб., 100%)</t>
  </si>
  <si>
    <t>lipkina@a-salt.com, office@a-salt.com</t>
  </si>
  <si>
    <t>www.a-salt.com</t>
  </si>
  <si>
    <t>Анцупов Николай Константинович (4 700 000 руб., 47%)
Пушкин Михаил Сергеевич (3 300 000 руб., 33%)
Басмановский Максим Валерьевич (2 000 000 руб., 20%)</t>
  </si>
  <si>
    <t>Торговля оптовая молочными продуктами, яйцами и пищевыми маслами и жирами</t>
  </si>
  <si>
    <t>106 570 000</t>
  </si>
  <si>
    <t>86354@mail.ru</t>
  </si>
  <si>
    <t>СИМПЛ, ООО (5 100 руб., 51%)
ТРАНС-ТЕЛЕМАТИКА, ООО (4 900 руб., 49%)</t>
  </si>
  <si>
    <t>vdapr1110@rambler.ru</t>
  </si>
  <si>
    <t>ЧАСТНАЯ КОМПАНИЯ С ОГРАНИЧЕННОЙ ОТВЕТСТВЕННОСТЬЮ "ПАНТЕК АУТОМОТИВ ЛИМИТЕД" (11 000 000 руб., 90%)
Гринкевич Вадим Николаевич (610 000 руб., 5%)
Гринкевич Олег Николаевич (610 000 руб., 5%)</t>
  </si>
  <si>
    <t>Торговля оптовая автомобильными деталями, узлами и принадлежностями, кроме деятельности агентов</t>
  </si>
  <si>
    <t>1 888 600 000</t>
  </si>
  <si>
    <t>polyakov@a1agro.ru</t>
  </si>
  <si>
    <t>Торговля оптовая удобрениями и агрохимическими продуктами</t>
  </si>
  <si>
    <t>107 380 000</t>
  </si>
  <si>
    <t>dv@a101.ru, info@a101.ru, platonova_e@a101.ru, vorobeva_t@a101.ru</t>
  </si>
  <si>
    <t>a101.ru</t>
  </si>
  <si>
    <t>BALAMER HOLDINGS LIMITED (8 837 429 000 руб., 100%)</t>
  </si>
  <si>
    <t>745 620 000</t>
  </si>
  <si>
    <t>8860076@mail.ru, a7agro@mail.ru, agro7@mail.ru, hdh@mail.ru, jdfhfhg@mail.ru, o.mancurova@a7agro.ru, o.sokolova@a7agro.ru, office@a7agro.ru</t>
  </si>
  <si>
    <t>a7agro-omk.ru</t>
  </si>
  <si>
    <t>ОРЕНСАЛ, ООО (741 126 552.75 руб., 100%)
Левина Нелли Анатольевна (10 руб.)</t>
  </si>
  <si>
    <t>agaavtodor@mail.ru</t>
  </si>
  <si>
    <t>Жалсанова Дыма (10 000 руб., 100%)</t>
  </si>
  <si>
    <t>6 340 000</t>
  </si>
  <si>
    <t>АЗОТ, АО ГК (159 840 000 руб., 99.90%)
АЗОТ, КАО (160 000 руб., 0.10%)</t>
  </si>
  <si>
    <t>Производство удобрений и азотных соединений</t>
  </si>
  <si>
    <t>526 950 000</t>
  </si>
  <si>
    <t>info@aaemturbines.com</t>
  </si>
  <si>
    <t>www.aaemturbines.com, www.alstom-aem.com</t>
  </si>
  <si>
    <t>АТОМЭНЕРГОМАШ, АО (1 807 134 000 руб., 51%)
ДЖИИЭЙЭСТИ САС (1 736 266 000 руб., 49%)</t>
  </si>
  <si>
    <t>Производство турбин</t>
  </si>
  <si>
    <t>center@abenergo.ru, pav@ukbr.ru, vea@ukbr.ru</t>
  </si>
  <si>
    <t>Коробовский Николай Владимирович (10 000 руб., 100%)</t>
  </si>
  <si>
    <t>Торговля оптовая твердым топливом</t>
  </si>
  <si>
    <t>34 750 000</t>
  </si>
  <si>
    <t>ab-market.ru</t>
  </si>
  <si>
    <t>ГК САНЛАЙН, ООО (37 770 000 руб., 100%)</t>
  </si>
  <si>
    <t>Производство какао, шоколада и сахаристых кондитерских изделий</t>
  </si>
  <si>
    <t>123 700 000</t>
  </si>
  <si>
    <t>gribov@abakanair.ru, office@abakanair.ru, saliev@abakanair.ru</t>
  </si>
  <si>
    <t>abakanair.ru</t>
  </si>
  <si>
    <t>АВИАЛИЗИНГ ИНВЕСТ, ООО (500 000 руб., 100%)</t>
  </si>
  <si>
    <t>Деятельность грузового воздушного транспорта</t>
  </si>
  <si>
    <t>24 390 000</t>
  </si>
  <si>
    <t>abakantec@sibgenko.ru, acrk@sibgenco.ru, actik@sibgenco.ru, actk@sg.ru, actk@sibdenco.ru, actk@sibenco.ru, actk@sibgeco.ru, actk@sibgenkco.ru, actk@sibgenso.ru, actk@sidbqenco.ru</t>
  </si>
  <si>
    <t>Производство электроэнергии тепловыми электростанциями, в том числе деятельность по обеспечению работоспособности электростанций</t>
  </si>
  <si>
    <t>2 561 320 000</t>
  </si>
  <si>
    <t>contact.center@ru.abb.com, ru-reception.nakhimovskiy@abb.com, support@digift.ru</t>
  </si>
  <si>
    <t>www.abb.ru, www.new.abb.com</t>
  </si>
  <si>
    <t>ABB Asea Brown Boveri Ltd (22 770 000 руб., 99%)
ABB Verwaltungs AG (230 000 руб., 1%)</t>
  </si>
  <si>
    <t>742 970 000</t>
  </si>
  <si>
    <t>abz-1@abz-1.ru</t>
  </si>
  <si>
    <t>http://www.abz-1.pl.ru, www.abz-1.ru</t>
  </si>
  <si>
    <t>БАЛТИЙСКИЙ ПРОЕКТ, АО ПСФ (31.50%)
Калинин Владимир Валентинович (18.71%)
АЛЬЯНС-ПРОЕКТ, АО (18.70%)
ПЕТЕРБУРГ-СТЕРЕО, ЗАО (8.20%)
Калинина Татьяна Анатольевна (4.50%)
Калинин Михаил Владимирович (1.49%)
Калинина Мария Владимировна (0.10%)</t>
  </si>
  <si>
    <t>Производство битуминозных смесей на основе природного асфальта или битума, нефтяного битума, минеральных смол или их пеков</t>
  </si>
  <si>
    <t>trader@abzdorstroy.ru</t>
  </si>
  <si>
    <t>363 120 000</t>
  </si>
  <si>
    <t>natalya.zubatova@abiproduct.ru</t>
  </si>
  <si>
    <t>abiproduct.ru</t>
  </si>
  <si>
    <t>zapara@allbio.pro</t>
  </si>
  <si>
    <t>www.allbio.pro</t>
  </si>
  <si>
    <t>Гаврилов Павел Андреевич (650 000 руб., 65%)
Мирошниченко Елена Владимировна (350 000 руб., 35%)</t>
  </si>
  <si>
    <t>Торговля оптовая кормами для сельскохозяйственных животных</t>
  </si>
  <si>
    <t>129 110 000</t>
  </si>
  <si>
    <t>m.yanisheva@abraudurso.ru, office@abraudyrso.ru, secretary@abraudurso.ru, tatyana.zherdeva@abraudurso.ru, v.vasileva@abraudurso.ru</t>
  </si>
  <si>
    <t>www.abraudurso.ru</t>
  </si>
  <si>
    <t>Производство вина из винограда</t>
  </si>
  <si>
    <t>521 180 000</t>
  </si>
  <si>
    <t>a.akimov@abscds.ru, mail@abscds.ru</t>
  </si>
  <si>
    <t>abscds.ru</t>
  </si>
  <si>
    <t>ГПБ ЦИФРОВЫЕ НЕДРА, ООО (10 000 руб., 100%)</t>
  </si>
  <si>
    <t>Производство прочей неметаллической минеральной продукции, не включенной в другие группировки</t>
  </si>
  <si>
    <t>17 560 000</t>
  </si>
  <si>
    <t>КОМБИНИРОВАННЫЙ ЗАКРЫТЫЙ ПАЕВОЙ ИНВЕСТИЦИОННЫЙ ФОНД "ГАММА КАПИТАЛ" ПОД УПРАВЛЕНИЕМ ОБЩЕСТВА С ОГРАНИЧЕННОЙ ОТВЕТСТВЕННОСТЬЮ "УПРАВЛЯЮЩАЯ КОМПАНИЯ "АБСОЛЮТ ЭССЕТ МЕНЕДЖМЕНТ" (1 555 010 000 руб., 100%)</t>
  </si>
  <si>
    <t>Покупка и продажа собственного недвижимого имущества</t>
  </si>
  <si>
    <t>abs-ol@mail.ru, office@abs-mail.ru</t>
  </si>
  <si>
    <t>Курнаков Вадим Викторович (100 000 руб., 100%)</t>
  </si>
  <si>
    <t>Торговля оптовая моторным топливом, включая авиационный бензин</t>
  </si>
  <si>
    <t>247 210 000</t>
  </si>
  <si>
    <t>1414@krasnoe-beloe.ru, 2621770@krasnoe-beloe.ru</t>
  </si>
  <si>
    <t>www.krasnoeibeloe.ru</t>
  </si>
  <si>
    <t>МЕРКУРИЙ РИТЕЙЛ ХОЛДИНГ, ООО (10 000 000 руб., 100%)</t>
  </si>
  <si>
    <t>Торговля оптовая алкогольными напитками, кроме пива и пищевого этилового спирта</t>
  </si>
  <si>
    <t>1 606 280 000</t>
  </si>
  <si>
    <t>info@ask-gk.com</t>
  </si>
  <si>
    <t>http://ask-gk.com/</t>
  </si>
  <si>
    <t>Ушак Константин Константинович (333 400 руб., 33.34%)
Иванов Степан Владимирович (333 300 руб., 33.33%)
Смирнов Андрей Анатольевич (333 300 руб., 33.33%)</t>
  </si>
  <si>
    <t>Торговля оптовая металлами и металлическими рудами</t>
  </si>
  <si>
    <t>105 250 000</t>
  </si>
  <si>
    <t>av.tehno.pto@gmail.com, av.tehno@gmail.com, av.tehno@gmail.ru</t>
  </si>
  <si>
    <t>Мамян Амаяк Рафикович (50 000 руб., 100%)</t>
  </si>
  <si>
    <t>Деятельность вспомогательная, связанная с сухопутным транспортом</t>
  </si>
  <si>
    <t>14 770 000</t>
  </si>
  <si>
    <t>www.azotvzryv.ru</t>
  </si>
  <si>
    <t>Подготовка участка к разработке и добыче полезных ископаемых, за исключением нефтяных и газовых участков</t>
  </si>
  <si>
    <t>256 270 000</t>
  </si>
  <si>
    <t>doctor@avacps.ru, info@avaclinic.ru, info@eii.ru, info@roszdravnadzor.spb.ru, uprav@78rospotrebnadzor.ru, verbitskaya-mi@avaclinic.ru, yureva-ea@avaclinic.ru</t>
  </si>
  <si>
    <t>www.avapeter.ru</t>
  </si>
  <si>
    <t>СЕВЕРГРУПП, ООО (166 584.8833 руб., 100%)
СЕВЕРГРУПП МЕДИЦИНА, ООО (.0167 руб.)</t>
  </si>
  <si>
    <t>Деятельность больничных организаций</t>
  </si>
  <si>
    <t>299 150 000</t>
  </si>
  <si>
    <t>ava-trade.ru</t>
  </si>
  <si>
    <t>АЛ5, ООО (91 620 000 руб., 100%)</t>
  </si>
  <si>
    <t>Производство алюминия</t>
  </si>
  <si>
    <t>37 160 000</t>
  </si>
  <si>
    <t>gerchenko@avngr.ru</t>
  </si>
  <si>
    <t>avngr.ru</t>
  </si>
  <si>
    <t>Испалатов Юрий Владимирович (10 000 руб., 50%)
Климовский Андрей Вячеславович (10 000 руб., 50%)</t>
  </si>
  <si>
    <t>208 970 000</t>
  </si>
  <si>
    <t>7813167880_7814@eo.tensor.ru, elena.vashenkova@avangard-mb.ru, victoria.shmeleva@avangard-mb.ru</t>
  </si>
  <si>
    <t>mercedes-avangard.ru</t>
  </si>
  <si>
    <t>Сушинский Максим Юрьевич (1 649 050 руб., 65%)
Миронов Олег Дмитриевич (887 950 руб., 35%)</t>
  </si>
  <si>
    <t>285 530 000</t>
  </si>
  <si>
    <t>oksana_avangard@mail.ru, zambuh@avangardspb.com</t>
  </si>
  <si>
    <t>www.avangardspb.com</t>
  </si>
  <si>
    <t>Рябошапка Олег Васильевич (10 010 000 руб., 100%)</t>
  </si>
  <si>
    <t>Производство нетканых текстильных материалов и изделий из них, кроме одежды</t>
  </si>
  <si>
    <t>354 030 000</t>
  </si>
  <si>
    <t>avangard_buinsk@mail.ru</t>
  </si>
  <si>
    <t>civbekon.ru</t>
  </si>
  <si>
    <t>ИНВЕСТИЦИИ И КОНСАЛТИНГ, ООО (59 400 руб., 99%)
ФИНАНСОВАЯ КОРПОРАЦИЯ ТИМЕРХАН, ООО (600 руб., 1%)</t>
  </si>
  <si>
    <t>Разведение свиней</t>
  </si>
  <si>
    <t>96 370 000</t>
  </si>
  <si>
    <t>urist@hb106.orel.ru</t>
  </si>
  <si>
    <t>http://avangard-agro.ru</t>
  </si>
  <si>
    <t>АЛЬКОР ХОЛДИНГ ГРУПП, ООО (73.99%)
Миновалов Кирилл Вадимович (25.01%)</t>
  </si>
  <si>
    <t>Деятельность холдинговых компаний</t>
  </si>
  <si>
    <t>scheklanovat@avangard.ru</t>
  </si>
  <si>
    <t>АВАНГАРД-АГРО, АО (1 200 832 298.4 руб., 100%)</t>
  </si>
  <si>
    <t>2 252 250 000</t>
  </si>
  <si>
    <t>kosmirovanv@avangard.ru, safronovas@kursk.avangard.ru</t>
  </si>
  <si>
    <t>АВАНГАРД-АГРО, АО (410 305 023.67 руб., 100%)</t>
  </si>
  <si>
    <t>1 933 350 000</t>
  </si>
  <si>
    <t>noskovag@avangard.ru</t>
  </si>
  <si>
    <t>АВАНГАРД-АГРО, АО (112 385 385.18 руб., 100%)</t>
  </si>
  <si>
    <t>1 631 270 000</t>
  </si>
  <si>
    <t>avangard-agro-trade.ru</t>
  </si>
  <si>
    <t>АВАНГАРД-АГРО, АО (10 000 руб., 100%)</t>
  </si>
  <si>
    <t>Торговля оптовая зерном, семенами и кормами для животных</t>
  </si>
  <si>
    <t>26 780 000</t>
  </si>
  <si>
    <t>АВАНГАРД-СТЕКЛО, АО (10 000 000 руб., 100%)</t>
  </si>
  <si>
    <t>Торговля оптовая изделиями из керамики и стекла</t>
  </si>
  <si>
    <t>2 090 000</t>
  </si>
  <si>
    <t>АВАНТАЖ, ООО (10 000 руб., 100%)</t>
  </si>
  <si>
    <t>24 670 000</t>
  </si>
  <si>
    <t>anna.popova@avgol.com, anna@avgol.com, edia@avgol.com</t>
  </si>
  <si>
    <t>www.avgol.com</t>
  </si>
  <si>
    <t>AVGOL INDUSTRIES 1953 LTD (1 242 625 500 руб., 100%)</t>
  </si>
  <si>
    <t>491 990 000</t>
  </si>
  <si>
    <t>.zamaliev@firm-august.ru, &lt;k.ignatyeva@avgust.com, a.uskov@avgust.com, a.vasilyev@avgust.com, august_penza@mail.ru, corporate@avgust.com, corporate@firm-august.ru, storeirkutsk@avgust.com, vzsp@avgust.com</t>
  </si>
  <si>
    <t>http://www.august.com, www.avgust.com</t>
  </si>
  <si>
    <t>АВГУСТ, АО (1 000 000 000 руб.)</t>
  </si>
  <si>
    <t>Производство пестицидов и прочих агрохимических продуктов</t>
  </si>
  <si>
    <t>3 416 550 000</t>
  </si>
  <si>
    <t>anna.pavlova@oodji.com, frontoffice@oodji.com, frontoffice@ru.oodji.com, irina.voronova@oggi.spb.ru, spp@oodji.com, yulia.danilenko@oodji.com</t>
  </si>
  <si>
    <t xml:space="preserve">www.oggi.com.ru, www.oodji.com, www.oodji.com </t>
  </si>
  <si>
    <t>ПЕРСЕЙ, ООО (9 010 000 руб., 100%)</t>
  </si>
  <si>
    <t>r.akhmetova@avgust.com</t>
  </si>
  <si>
    <t>АВГУСТ, АО (90 000 000 руб., 100%)</t>
  </si>
  <si>
    <t>2 090 680 000</t>
  </si>
  <si>
    <t>avexima.ru</t>
  </si>
  <si>
    <t>80 550 000</t>
  </si>
  <si>
    <t>solarsolutions.ru</t>
  </si>
  <si>
    <t>ФОТОН СОЛЮШН, ООО (966 693 871.52 руб., 100%)</t>
  </si>
  <si>
    <t>Производство электроэнергии, получаемой из возобновляемых источников энергии, включая выработанную солнечными, ветровыми, геотермальными электростанциями, в том числе деятельность по обеспечению их работоспособности</t>
  </si>
  <si>
    <t>4 311 520 000</t>
  </si>
  <si>
    <t>avenir@avenir-s.ru, schetininaia@avenir-s.ru</t>
  </si>
  <si>
    <t>avenir-s.ru</t>
  </si>
  <si>
    <t>Асхабов Асхаб Магомеджалилович (25 050 513 руб., 58%)
Квачев Валерий Викторович (18 141 186 руб., 42%)</t>
  </si>
  <si>
    <t>Торговля оптовая кофе, чаем, какао и пряностями</t>
  </si>
  <si>
    <t>19 390 000</t>
  </si>
  <si>
    <t>7802459779_780201001@eo.tensor.ru</t>
  </si>
  <si>
    <t>www.aventelfrance.com</t>
  </si>
  <si>
    <t>АО УПРОЩЕННОГО ТИПА "АВЕНТЕЛЬ ФРАНС" (684 000 руб., 90%)
Бузынин Борис Юрьевич (76 000 руб., 10%)</t>
  </si>
  <si>
    <t>Торговля оптовая непродовольственными потребительскими товарами</t>
  </si>
  <si>
    <t>78 240 000</t>
  </si>
  <si>
    <t>kolyada@avgr.su, recept@avgr.su, rodionova@avgr.su</t>
  </si>
  <si>
    <t>betasan.ru, www.avgr.su</t>
  </si>
  <si>
    <t>Инасаридзе Миндиа Вахтангович (20 000 руб., 100%)</t>
  </si>
  <si>
    <t>Торговля оптовая фармацевтической продукцией</t>
  </si>
  <si>
    <t>60 550 000</t>
  </si>
  <si>
    <t>gukova@aveta.su, info@aveta.su, komarova@aveta.su, rodovina@aveta.su, rovodina@aveta.su, semenova@aventa.su, svetlana@aveta.su, tatyana.p@aveta.su</t>
  </si>
  <si>
    <t>www.aveta.su</t>
  </si>
  <si>
    <t>Терешенков Максим Витальевич (5 425 000 руб., 75.94%)
Чепова Светлана Анатольевна (1 575 000 руб., 22.06%)
Плешков Игорь Валентинович (143 000 руб., 2%)</t>
  </si>
  <si>
    <t>7 540 000</t>
  </si>
  <si>
    <t>lgrigoryan@vetmag.ru</t>
  </si>
  <si>
    <t>Енгашев Сергей Владимирович (132 939 999.13 руб., 48%)
Касьянов Александр Алексеевич (96 935 416.03 руб., 35%)
Сапожников Владимир Ноевич (47 082 916.36 руб., 17%)</t>
  </si>
  <si>
    <t>Производство лекарственных препаратов и материалов, применяемых в медицинских целях и ветеринарии</t>
  </si>
  <si>
    <t>ass_tomsk@mail.ru, aviaspecservis@mail.ru, aviaspesservis@mail.ru, neganov.an@mail.ru</t>
  </si>
  <si>
    <t>Еремеенко Любовь Аркадьевна (10 000 000 руб., 100%)</t>
  </si>
  <si>
    <t>15 100 000</t>
  </si>
  <si>
    <t>4777popov@rambler.ru, plant@aviaavtomatika.ru, plant@kurskpribor.ru, prasolovae@aviaavtomatika.ru</t>
  </si>
  <si>
    <t>aviaavtomatika.ru</t>
  </si>
  <si>
    <t>Производство приборов и аппаратуры для автоматического регулирования или управления</t>
  </si>
  <si>
    <t>aviagc.ru</t>
  </si>
  <si>
    <t>Саморуков Дмитрий Владимирович (2 040 816.33 руб., 100%)</t>
  </si>
  <si>
    <t>Торговля оптовая прочими машинами, оборудованием и принадлежностями</t>
  </si>
  <si>
    <t>dispolimova@aviagen.com, lar.t@mail.ru</t>
  </si>
  <si>
    <t>авиаген.рф</t>
  </si>
  <si>
    <t>ИВ ЮК ХОЛДИНГЗ 2 ЛИМИТЕД (9 900 руб., 99%)
Авиаген Интернэшнл Холдингз Лтд. (100 руб., 1%)</t>
  </si>
  <si>
    <t>Разведение сельскохозяйственной птицы</t>
  </si>
  <si>
    <t>2 095 050 000</t>
  </si>
  <si>
    <t>agency@flyaurora.ru, beloglazovog@flyaurora.ru, borisenkooa@flyaurora.ru, khalimanev@flyaurora.ru, leschevaom@flyaurora.ru, marketing@flyaurora.ru, office@flyaurora.ru, office@sat.sakhalin.ru, offis@flyaurora.ru, offis@sat.sakhalin.ru</t>
  </si>
  <si>
    <t>www.satairlines.ru</t>
  </si>
  <si>
    <t>Перевозка воздушным пассажирским транспортом, подчиняющимся расписанию</t>
  </si>
  <si>
    <t>735 930 000</t>
  </si>
  <si>
    <t>infoavia@azimuth.aero, presscenter@azimuth.aero</t>
  </si>
  <si>
    <t>chizhovaip@alrosa.ru, gorinaon@alrosa.ru, kulyavtcevanv@aero.alrosa.ru, map@alrosa.ru, mihaylovmv@alrosa.ru, ponomarevpk@alrosa.ru, rachkovskayaav@aero.alrosa.ru, schipanovayt@aero.alrosa.ru, stepanovam@alrosa.ru, yanchukut@alrosa.ru</t>
  </si>
  <si>
    <t>www.alrosa.aero</t>
  </si>
  <si>
    <t>388 680 000</t>
  </si>
  <si>
    <t>angara403@bk.ru, info@angara.aero, info@angara403.ru, infoangara@yandex.ru</t>
  </si>
  <si>
    <t>318 570 000</t>
  </si>
  <si>
    <t>sales@volga-dnepr.com</t>
  </si>
  <si>
    <t>www.volga-dnepr.com</t>
  </si>
  <si>
    <t>ВОЛГА-ДНЕПР-МОСКВА, ООО (269 711.53 руб., 99.89%)
Мироненко Сергей Валентинович (154.55 руб., 0.057%)
КОМПАНИЯ С ОГРАНИЧЕННОЙ ОТВЕТСТВЕННОСТЬЮ "ЛИНКО ЛИМИТЕД" (113.32 руб., 0.042%)
Кононенко Петр Иванович (10.3 руб., 0.0040%)
Творогов Михаил Петрович (10.3 руб., 0.0040%)</t>
  </si>
  <si>
    <t>Перевозка воздушным грузовым транспортом, не подчиняющимся расписанию</t>
  </si>
  <si>
    <t>2 694 730 000</t>
  </si>
  <si>
    <t>info@ikar.aero</t>
  </si>
  <si>
    <t>pegasfly.com</t>
  </si>
  <si>
    <t>Букрей Каринэ Витальевна (400 050 000 руб., 100%)</t>
  </si>
  <si>
    <t>Перевозка воздушным пассажирским транспортом, не подчиняющимся расписанию</t>
  </si>
  <si>
    <t>ekaterina.fokina@pobeda.aero, katodina@yandex.ru, tender@pobeda.aero</t>
  </si>
  <si>
    <t>www.pobeda.aero</t>
  </si>
  <si>
    <t>АЭРОФЛОТ, ПАО (1 200 000 000 руб., 100%)</t>
  </si>
  <si>
    <t>4 174 020 000</t>
  </si>
  <si>
    <t>www.royalflight.ru</t>
  </si>
  <si>
    <t>1959vvs@mail.ru, legal@northwest.aero, office@northwest.aero</t>
  </si>
  <si>
    <t>https://northwest.aero/</t>
  </si>
  <si>
    <t>ИСТЮНИОН, ЗАО (134 070 750 руб., 99%)
Петров Алексей Сергеевич (1 354 250 руб., 1%)</t>
  </si>
  <si>
    <t>115 660 000</t>
  </si>
  <si>
    <t>2305@080.pfr.gov.ru, auditsibir2013@yandex.ru, corporate@s7.ru, i.romanenko@s7.ru, i.yatskova@s7.ru, n.aksenova@s7.ru, s7@s7.ru</t>
  </si>
  <si>
    <t>12 041 490 000</t>
  </si>
  <si>
    <t>anna.poleeva@utair.ru, charter@utair.ru, corporate@utair.ru, dmitriy.gorbatov@utair.ru, office@utair.ru</t>
  </si>
  <si>
    <t>trendisland.ru</t>
  </si>
  <si>
    <t>Аренда и управление собственным или арендованным недвижимым имуществом</t>
  </si>
  <si>
    <t>aviareg@eltsovka.ru, bmv@eltsovka.ru, info@apeltsovka.ru, info@eltsovka.ru, master@eltsovka.ru, oar@eltsovka.ru, yvn@eltsovka.ru</t>
  </si>
  <si>
    <t>eltsovka.ru</t>
  </si>
  <si>
    <t>33 730 000</t>
  </si>
  <si>
    <t>aviastartu@aviastartu.ru</t>
  </si>
  <si>
    <t>www.aviastartu.ru</t>
  </si>
  <si>
    <t>ДИАЛОГ, ООО (5 000 руб., 50%)
СТРОЙИНВЕСТПРОЕКТ, ООО (5 000 руб., 50%)</t>
  </si>
  <si>
    <t>113 450 000</t>
  </si>
  <si>
    <t>aviafluidmatuh@yandex.ru</t>
  </si>
  <si>
    <t>aviafluid.ru</t>
  </si>
  <si>
    <t>Матюхина Ольга Владимировна (20 000 руб., 100%)</t>
  </si>
  <si>
    <t>Производство прочих химических органических основных веществ</t>
  </si>
  <si>
    <t>502 300 000</t>
  </si>
  <si>
    <t>info@mk-avida.ru, it@mk-avida.ru</t>
  </si>
  <si>
    <t>mk-avida.ru, мк-авида.рф</t>
  </si>
  <si>
    <t>Производство молочной продукции</t>
  </si>
  <si>
    <t>info@aviorgroup.ru</t>
  </si>
  <si>
    <t>lapahvost.ru</t>
  </si>
  <si>
    <t>ЭСК ЭНЕРГОМОСТ, ООО (1 000 000 руб., 100%)</t>
  </si>
  <si>
    <t>277 950 000</t>
  </si>
  <si>
    <t>e.terentieva@aviton.info, post@aviton.info, rogozhina@aviton.info</t>
  </si>
  <si>
    <t>kotel-nord.ru, kotelnord.ru, nord-kotel.ru, nord-teplo.ru, nordkotel.ru, nordteplo.ru, sitefortest-ui-ux.ru, teplo-nord.ru, котелнорд.рф, нордкотел.рф</t>
  </si>
  <si>
    <t>Смирнов Валерий Николаевич (4 900 руб., 49%)
Корепина Елена Алексеевна (2 600 руб., 26%)
Шебаленков Илья Геннадьевич (2 500 руб., 25%)</t>
  </si>
  <si>
    <t>734 230 000</t>
  </si>
  <si>
    <t>avice.su</t>
  </si>
  <si>
    <t>Соловей Дмитрий Михайлович (12 000 руб., 100%)</t>
  </si>
  <si>
    <t>133 120 000</t>
  </si>
  <si>
    <t>info@avkavk.ru</t>
  </si>
  <si>
    <t>Торговля оптовая химическими продуктами</t>
  </si>
  <si>
    <t>154 190 000</t>
  </si>
  <si>
    <t>abkmail2010@yandex.ru, crvbnh@mail.ru</t>
  </si>
  <si>
    <t>sp-avk.ru</t>
  </si>
  <si>
    <t>АВАЛОР, АО (490 000 руб., 98%)
Мисникевич Татьяна Владимировна (10 000 руб., 2%)</t>
  </si>
  <si>
    <t>342 570 000</t>
  </si>
  <si>
    <t>info@avoska.ru</t>
  </si>
  <si>
    <t>http://avoska.ru</t>
  </si>
  <si>
    <t>АВОСЬКА, ООО (11 000 000 руб., 100%)</t>
  </si>
  <si>
    <t>info@avp-group.org</t>
  </si>
  <si>
    <t>Прошин Виталий Владимирович (8 108 160 руб., 80%)
Прошин Андрей Владимирович (2 027 040 руб., 20%)</t>
  </si>
  <si>
    <t>596 300 000</t>
  </si>
  <si>
    <t>vstorozhenko@abcfarben.ru</t>
  </si>
  <si>
    <t>Производство прочих красок, лаков, эмалей и аналогичных материалов для нанесения покрытий, художественных и полиграфических красок</t>
  </si>
  <si>
    <t>52 930 000</t>
  </si>
  <si>
    <t>bryzhahina@avselectro.ru, eshop@avselectro.ru, info@avsdesign.ru, kurchevskaya@avselectro.ru, mail@avselectro.ru, solovjov_a@avselectro.ru</t>
  </si>
  <si>
    <t>avselectro.ru</t>
  </si>
  <si>
    <t>ВЕЛЛЕР, ООО (6 600 руб., 66%)
БЕ.ВО, АО (3 400 руб., 34%)</t>
  </si>
  <si>
    <t>Торговля оптовая электрической бытовой техникой</t>
  </si>
  <si>
    <t>186 810 000</t>
  </si>
  <si>
    <t>АВ-ТЕХНОЛОГИЯ, АО (49 000 руб., 49%)
УГМК-ИНВЕСТ, АО (49 000 руб., 49%)
Шутова Ирина Александровна (1 200 руб., 1.20%)
Шутова Анастасия Константиновна (400 руб., 0.40%)
Шутова Екатерина Константиновна (400 руб., 0.40%)</t>
  </si>
  <si>
    <t>5 530 000</t>
  </si>
  <si>
    <t>nsa@forward59.ru</t>
  </si>
  <si>
    <t>mitsubishi-forward.ru</t>
  </si>
  <si>
    <t>Волегов Александр Андреевич (5 000 руб., 50%)
Бахтияров Рустам Рафаилович (2 500 руб., 25%)
Гараев Валерий Назарович (2 500 руб., 25%)</t>
  </si>
  <si>
    <t>33 680 000</t>
  </si>
  <si>
    <t>autocity@yandex.ru, igor.timchuk@ma.ru, ooo.avtositi@mail.ru</t>
  </si>
  <si>
    <t>Бахтиаров Михаил Александрович (100 000 руб., 100%)</t>
  </si>
  <si>
    <t>417 040 000</t>
  </si>
  <si>
    <t>Никитин Александр Михайлович (10 000 руб., 100%)</t>
  </si>
  <si>
    <t>628 450 000</t>
  </si>
  <si>
    <t>ae@autoeuro.ru, info@autoeuro.ru</t>
  </si>
  <si>
    <t>52 920 000</t>
  </si>
  <si>
    <t>avtopec.ru</t>
  </si>
  <si>
    <t>Фирсова Ирина Владимировна (34 576 822.5 руб., 83.33%)
Фирсов Олег Евгеньевич (3 457 682.25 руб., 8.33%)
Фирсова Екатерина Евгеньевна (3 457 682.25 руб., 8.33%)</t>
  </si>
  <si>
    <t>rudik@auto-sputnik.ru, sale@autosputnik.ru</t>
  </si>
  <si>
    <t>www.autosputnik.ru</t>
  </si>
  <si>
    <t>Спивак Олег Игоревич (1 000 000 руб., 100%)</t>
  </si>
  <si>
    <t>Торговля автомобильными деталями, узлами и принадлежностями</t>
  </si>
  <si>
    <t>23 140 000</t>
  </si>
  <si>
    <t>mail@avtoal.com</t>
  </si>
  <si>
    <t>www.avtoal.com</t>
  </si>
  <si>
    <t>Сулейманов Артур Салимович (315 000 руб., 90%)
Бондаренко Юрий Николаевич (35 000 руб., 10%)</t>
  </si>
  <si>
    <t>36 820 000</t>
  </si>
  <si>
    <t>dispetcher.odintsovo@monlibon.ru, franc.zheludevich@monlibon.ru, info@ml-auto.ru, partner@monlibon.ru, russia@monlibon.ru, vozvraty@monlibon.ru, zakaz.msk@monlibon.ru</t>
  </si>
  <si>
    <t>ml-auto.ru</t>
  </si>
  <si>
    <t>Слим Уссама Али (10 000 руб., 100%)</t>
  </si>
  <si>
    <t>Торговля оптовая автомобильными деталями, узлами и принадлежностями</t>
  </si>
  <si>
    <t>avtoban1@list.ru, avtodan1@list.ru, volsk2012@mail.ru</t>
  </si>
  <si>
    <t>Киракосян Арарат Гарникович (15 000 руб., 60%)
Киракосян Тигран Араратович (10 000 руб., 40%)</t>
  </si>
  <si>
    <t>439 480 000</t>
  </si>
  <si>
    <t>at@autobau.ru, hidromak@autobau.ru, mev@autobau.ru, service@autobau.ru, vaa@autobau.ru, vasukov@autobau.ru</t>
  </si>
  <si>
    <t>115 050 000</t>
  </si>
  <si>
    <t>3940141@gmail.com, info@nefaz-center.ru, rifat_f@mail.ru, tender@16start.ru, trolleybuses.ats@gmail.com</t>
  </si>
  <si>
    <t>acs-yutong.ru</t>
  </si>
  <si>
    <t>Зиатдинов Руслан Анурович (5 000 руб., 50%)
Смольяков Андрей Владимирович (5 000 руб., 50%)</t>
  </si>
  <si>
    <t>170 260 000</t>
  </si>
  <si>
    <t>avtovaz@vaz.ru, b2b@lada-leasing.ru, degtyareva.natalia@astcompany.ru, dmitriy.serbulov@vaz.ru, ep.malova@vaz.ru, kaverinams@alfastrah.ru, korolkov@smartdriving.io, lead@lada-rumos.ru, lyudmila.megavoryan@ingos.ru, office@apo-rus.com</t>
  </si>
  <si>
    <t>ЛАДА АВТО ХОЛДИНГ, ООО (63 708 471 795 руб.)</t>
  </si>
  <si>
    <t>Производство легковых автомобилей</t>
  </si>
  <si>
    <t>avtovolgastroi@mail.ru, info@avsst.ru, mail@avsst.ru, secretary@avsst.ru, tatyana.romanova@avsst.ru, torgi@avsst.ru</t>
  </si>
  <si>
    <t>avsst.ru</t>
  </si>
  <si>
    <t>Петров Алексей Сергеевич (40 000 руб., 100%)</t>
  </si>
  <si>
    <t>29 870 000</t>
  </si>
  <si>
    <t>evbolotov1@mail.ru, kolesnikova.rushana@avtogermes.ru, tender_agb@avtogermes.ru</t>
  </si>
  <si>
    <t>АВТОГЕРМЕС-ЗАПАД, ООО (9 990 000 руб., 99.90%)
Полунин Дмитрий Викторович (10 000 руб., 0.10%)</t>
  </si>
  <si>
    <t>866 190 000</t>
  </si>
  <si>
    <t>cheryauto@chery.ru, hr@chery.ru, tender_group@avtogermes.ru</t>
  </si>
  <si>
    <t>lada-avtogermes.ru, www.avtogermes.ru</t>
  </si>
  <si>
    <t>АВТОГЕРМЕС, ООО (10 000 000 руб., 100%)</t>
  </si>
  <si>
    <t>1 673 840 000</t>
  </si>
  <si>
    <t>autodoc.ru</t>
  </si>
  <si>
    <t>Соловьев Владислав Владимирович (1 000 000 руб., 100%)</t>
  </si>
  <si>
    <t>282 460 000</t>
  </si>
  <si>
    <t>Соловьев Владислав Владимирович (980 000 руб., 98.99%)
Соловьева Ольга Владимировна (10 000 руб., 1.01%)</t>
  </si>
  <si>
    <t>Торговля розничная автомобильными деталями, узлами и принадлежностями</t>
  </si>
  <si>
    <t>info@audi-taganka.ru, info@audi-vostok.ru, info@audi-warshavka.ru, info@avtodom.ru, irina.skripkina@bmw-avtodom.ru, torgi-auditaganka@mail.ru</t>
  </si>
  <si>
    <t>www.audi-taganka.ru, www.avtodom.ru</t>
  </si>
  <si>
    <t>avtodor.kemtel@mail.ru, avtodor.zakaz@mail.ru</t>
  </si>
  <si>
    <t>117 510 000</t>
  </si>
  <si>
    <t>Минасян Мартирос Вайричович (20 000 руб., 100%)</t>
  </si>
  <si>
    <t>8 650 000</t>
  </si>
  <si>
    <t>post@avtodor-eng.ru</t>
  </si>
  <si>
    <t>www.avtodor-eng.ru</t>
  </si>
  <si>
    <t>АВТОДОР, ООО УК (9 900 руб., 99%)
АВТОДОР- ИНВЕСТ, ООО (100 руб., 1%)</t>
  </si>
  <si>
    <t>245 340 000</t>
  </si>
  <si>
    <t>adi.info.63@gmail.com, adi.info.63@gmail.ru, adi.info63@gmail.com, adisekret@yandex.ru, masalina81@mail.ru, pr@adi163.ru, pr@adil63.ru, pto.avtodor.yo@yandex.ru</t>
  </si>
  <si>
    <t>Кравчук Денис Сергеевич (200 000 000 руб., 100%)</t>
  </si>
  <si>
    <t>133@road29.ru, avtodorogi@mail.ru, bepash@mail.ru, svm@road29.ru, torg@road29.ru, vve@road29.ru</t>
  </si>
  <si>
    <t>road29.ru</t>
  </si>
  <si>
    <t>Беляев Владимир Дмитриевич (999 900 руб., 99%)
Беляев Павел Владимирович (10 100 руб., 1%)</t>
  </si>
  <si>
    <t>Деятельность по эксплуатации автомобильных дорог и автомагистралей</t>
  </si>
  <si>
    <t>725 300 000</t>
  </si>
  <si>
    <t>ananina@avtodorstroy.ru, kuznecova@avtodorstroy.ru, lobankov.s@avtodorstroy.ru, post@avtodorstroy.ru</t>
  </si>
  <si>
    <t>avtodorstroy.ru</t>
  </si>
  <si>
    <t>alekseevaoi@volgaenergo.ru, alekseevasv@vjlgaenergo.ru, alekseevasv@volgaenergo.ru, alexseevasv@volgaenergo.ru, atec.vilgaenergo@mail.ru, atec.volgaenergo@mail.ru, atec@volgaenergo.ru, avtotez@ymdex.ru, avtoz0193@mail.ru, avtozavodskay@yndex.ru</t>
  </si>
  <si>
    <t>ИРКУТСКЭНЕРГО, АО (331 551 000 руб., 51%)
ЕВРОСИБЭНЕРГО-РАСПРЕДЕЛЕННАЯ ГЕНЕРАЦИЯ, ООО (200 099 000 руб., 30.77%)
ЕВРОСИБЭНЕРГО, АО (118 449 000 руб., 18.22%)
ЕВРОСИБЭНЕРГО-ИНЖИНИРИНГ, ООО (1 000 руб., 0.00020%)</t>
  </si>
  <si>
    <t>238 850 000</t>
  </si>
  <si>
    <t>c-1@autocar57.ru, contact@autocar57.ru, forklift4@autocar57.ru, m3k@autocar57.ru, m7p@autocar57.ru, office@autocar-orel.ru, office@autocar57.ru, psk@autocar57.ru, rr@autocar57.ru, rspb@autocar57.ru</t>
  </si>
  <si>
    <t>Андреев Андрей Владимирович (10 000 руб., 50%)
Симонов Владислав Анатольевич (10 000 руб., 50%)</t>
  </si>
  <si>
    <t>Торговля оптовая прочими машинами и оборудованием</t>
  </si>
  <si>
    <t>101 050 000</t>
  </si>
  <si>
    <t>lunevaiv@autocard-yug.ru</t>
  </si>
  <si>
    <t>autocard-yug.ru</t>
  </si>
  <si>
    <t>Гречкина Елена Ивановна (11 000 руб., 100%)</t>
  </si>
  <si>
    <t>34 900 000</t>
  </si>
  <si>
    <t>Константинов Владимир Вячеславович (1 000 000 руб., 100%)</t>
  </si>
  <si>
    <t>13 260 000</t>
  </si>
  <si>
    <t>avtokontrakti.ru</t>
  </si>
  <si>
    <t>Самохвалов Вячеслав Владимирович (750 000 руб., 75%)
Бородич Владимир Сергеевич (250 000 руб., 25%)</t>
  </si>
  <si>
    <t>296 940 000</t>
  </si>
  <si>
    <t>autolider@mail.ru, csr-kamaz@autolider-ufa.ru</t>
  </si>
  <si>
    <t>autoliderufa.ru</t>
  </si>
  <si>
    <t>АВТОЛИДЕР-ЦЕНТР, ООО (10 000 руб., 100%)</t>
  </si>
  <si>
    <t>109 060 000</t>
  </si>
  <si>
    <t>alexander.konechenkov@automash-mb.ru, finance@automash-mb.ru, info@automash-mb.ru, konechenkov80@mail.ru</t>
  </si>
  <si>
    <t>Устинов Виталий Дмитриевич (10 000 руб., 100%)</t>
  </si>
  <si>
    <t>Торговля розничная легковыми автомобилями и легкими автотранспортными средствами прочая</t>
  </si>
  <si>
    <t>222 800 000</t>
  </si>
  <si>
    <t>НП АВТОМИР, ЗАО (98 340 000 руб., 100%)</t>
  </si>
  <si>
    <t>2 142 330 000</t>
  </si>
  <si>
    <t>galchenko.m.s@avtomir.ru, musatov.p.g@avtomir.ru, sankov@rnoz44.avtomir.ru</t>
  </si>
  <si>
    <t>НП АВТОМИР, ЗАО (583 350 000 руб., 100%)</t>
  </si>
  <si>
    <t>931 830 000</t>
  </si>
  <si>
    <t>НП АВТОМИР, ЗАО (413 019 025 руб., 100%)</t>
  </si>
  <si>
    <t>1 243 640 000</t>
  </si>
  <si>
    <t>auction@avnjmir.ru, auction@avtomir.ru, galimullin.t.o@avtomir.ru, gilazov.f.f@avtomir.ru, klimov.s.a@avtomir.ru, malysheva.t.a@avtomir.ru, samsonov.a.a@avtomir.ru</t>
  </si>
  <si>
    <t>www.avtomir.ru</t>
  </si>
  <si>
    <t>НП АВТОМИР, ЗАО (100 000 руб., 100%)</t>
  </si>
  <si>
    <t>Торговля оптовая легковыми автомобилями и легкими автотранспортными средствами</t>
  </si>
  <si>
    <t>2 490 000</t>
  </si>
  <si>
    <t>НП АВТОМИР, ЗАО (120 010 000 руб., 100%)</t>
  </si>
  <si>
    <t>2 853 600 000</t>
  </si>
  <si>
    <t>info@ak-mostrans.ru, info@akmostrans.ru</t>
  </si>
  <si>
    <t>КОМБИНИРОВАННЫЙ ЗАКРЫТЫЙ ПАЕВОЙ ИНВЕСТИЦИОННЫЙ ФОНД "ОБЪЕДИНЁННЫЕ АКТИВЫ БУДУЩЕГО" (10 000 руб., 100%)</t>
  </si>
  <si>
    <t>20 390 000</t>
  </si>
  <si>
    <t>3359808@spest1.ru, 3359808@spets1.ru, 7164742@spets1.ru, 7166742@spest1.ru, 7648279@spest1.ru, 89013119664@spest1.ru, 89052043805@spest1.ru, 89052102740@spest1.ru, 89052111790@spest1.ru, 89213081143@spest1.ru</t>
  </si>
  <si>
    <t>krs-agro.ru, spest1.ru</t>
  </si>
  <si>
    <t>client@77volvo.ru, sale@77volvo.ru</t>
  </si>
  <si>
    <t>Заславский Аркадий Леонидович (2 400 руб., 24%)
Плошкин Владимир Юрьевич (2 400 руб., 24%)
Шатков Дмитрий Владимирович (2 400 руб., 24%)
Шейкин Михаил Анатольевич (2 400 руб., 24%)
Заславский Борис Леонидович (200 руб., 2%)
Иванков Иван Владимирович (200 руб., 2%)</t>
  </si>
  <si>
    <t>Деятельность агентов по оптовой торговле автомобильными деталями, узлами и принадлежностями</t>
  </si>
  <si>
    <t>118 970 000</t>
  </si>
  <si>
    <t>shepelevaae@autopole.ru</t>
  </si>
  <si>
    <t>https://autopole.ru/</t>
  </si>
  <si>
    <t>Моренков Сергей Николаевич (16 515.4 руб., 82.57%)
Макарова Людмила Николаевна (3 484.6 руб., 17.42%)</t>
  </si>
  <si>
    <t>22 350 000</t>
  </si>
  <si>
    <t>tender@derten.ru</t>
  </si>
  <si>
    <t>Моренков Сергей Николаевич (8 257.7 руб., 82.57%)
Макарова Людмила Николаевна (1 742.3 руб., 17.42%)</t>
  </si>
  <si>
    <t>105 280 000</t>
  </si>
  <si>
    <t>www.avtoport.ru</t>
  </si>
  <si>
    <t>Грибанова Елена Юрьевна (8 165 100 руб., 51%)
Гребеньков Владимир Иванович (4 002 500 руб., 25%)
Грибанов Андрей Викторович (3 842 400 руб., 24%)</t>
  </si>
  <si>
    <t>456 740 000</t>
  </si>
  <si>
    <t>delko60@del-ko.ru</t>
  </si>
  <si>
    <t>ТРАКЭСТЕЙТ, АО (12 000 руб., 100%)</t>
  </si>
  <si>
    <t>Перевозка прочих грузов</t>
  </si>
  <si>
    <t>128 680 000</t>
  </si>
  <si>
    <t>gorelova@autorls.com</t>
  </si>
  <si>
    <t>Степанова Илона Сергеевна (10 000 руб., 100%)</t>
  </si>
  <si>
    <t>Деятельность по финансовой аренде (лизингу/сублизингу)</t>
  </si>
  <si>
    <t>a.ahmadeev@autoretail.ru, a.elkin@autoretail.ru, admin@autoretail.ru, d.botvinyev@autoretail.ru, i.averchenkov@autoretail.ru, i.kursky@autoretail.ru, k.dodika@autoretail.ru, laverchenkov@autoretail.ru, m.kiselev@autoretail.ru, s.gnatchenko@autoretail.ru</t>
  </si>
  <si>
    <t>autoretail.ru</t>
  </si>
  <si>
    <t>ГК АВТОРИТЭЙЛ, ООО (9 999 руб., 99.99%)
Шаханов Тимофей Валентинович (1 руб., 0.010%)</t>
  </si>
  <si>
    <t>Торговля легковыми автомобилями и грузовыми автомобилями малой грузоподъемности</t>
  </si>
  <si>
    <t>448 240 000</t>
  </si>
  <si>
    <t>orderflow.ru</t>
  </si>
  <si>
    <t>ГК АВТОРИТЭЙЛ, ООО (9 999 руб., 99.99%)
Райков Андрей Борисович (1 руб., 0.010%)</t>
  </si>
  <si>
    <t>a.latushkina@autorus.ru, b2b@autorus.ru, corp@autorus.ru, em1@autorus.ru, k.kornyuhin@autorus.ru, k.mosenkov@autorus.ru, s.fedosov@autorus.ru, v.grigoryan@autorus.ru, voshod@voshod-avto.ru</t>
  </si>
  <si>
    <t>www.russtd.ru</t>
  </si>
  <si>
    <t>Каракенян Валерий Вагакович (10 000 руб., 100%)</t>
  </si>
  <si>
    <t>1 120 070 000</t>
  </si>
  <si>
    <t>autorus.ru, www.rus-treyd.ru</t>
  </si>
  <si>
    <t>Торговля розничная прочими товарами в специализированных магазинах</t>
  </si>
  <si>
    <t>792 780 000</t>
  </si>
  <si>
    <t>АСЦ-ХОЛДИНГ, АО (960 585 000 руб., 85%)
ИНФАВТО, ООО (169 515 000 руб., 15%)</t>
  </si>
  <si>
    <t>480 720 000</t>
  </si>
  <si>
    <t>22 880 000</t>
  </si>
  <si>
    <t>avtostyl.ru, geely-novgorod.ru, geelyspb.ru, spb-chery.ru</t>
  </si>
  <si>
    <t>Юрченко Тарас Петрович (10 000 руб., 100%)</t>
  </si>
  <si>
    <t>100 230 000</t>
  </si>
  <si>
    <t>autostels@autostels.ru</t>
  </si>
  <si>
    <t>autostels.ru</t>
  </si>
  <si>
    <t>Пилецкий Дмитрий Владимирович (6 550 руб., 36.67%)
Рубан Дмитрий Петрович (6 550 руб., 36.67%)
Ищенко Андрей Александрович (4 762 руб., 26.66%)</t>
  </si>
  <si>
    <t>39 120 000</t>
  </si>
  <si>
    <t>atim776158@mail.ru</t>
  </si>
  <si>
    <t>Подгорный Игорь Николаевич (3 500 000 руб., 35%)
Хомич Юрий Иванович (3 500 000 руб., 35%)
Дроздов Игорь Геннадьевич (3 000 000 руб., 30%)</t>
  </si>
  <si>
    <t>945 860 000</t>
  </si>
  <si>
    <t>spb@mazbus.ru</t>
  </si>
  <si>
    <t>Карпова Елена Геннадьевна (10 000 руб., 100%)</t>
  </si>
  <si>
    <t>2 730 000</t>
  </si>
  <si>
    <t>atk.nefaz@gmail.com, kogan06@mail.ru</t>
  </si>
  <si>
    <t>atk-pro.ru</t>
  </si>
  <si>
    <t>Захарченко Александр Викторович (22 500 руб., 75%)
Кушнерский Игорь Яковлевич (7 500 руб., 25%)</t>
  </si>
  <si>
    <t>130 620 000</t>
  </si>
  <si>
    <t>alferovichnv@kld.avtotor.ru, avtotor@kld.avtotor.ru</t>
  </si>
  <si>
    <t>www.avtotor.ru</t>
  </si>
  <si>
    <t>1240@krasnoe-beloe.ru</t>
  </si>
  <si>
    <t>МЕРКУРИЙ РИТЕЙЛ ХОЛДИНГ, ООО (30 000 руб., 100%)</t>
  </si>
  <si>
    <t>153 590 000</t>
  </si>
  <si>
    <t>director.atk@uralkali.com</t>
  </si>
  <si>
    <t>УРАЛКАЛИЙ, ПАО (189 010 000 руб., 100%)</t>
  </si>
  <si>
    <t>Перевозка грузов неспециализированными автотранспортными средствами</t>
  </si>
  <si>
    <t>72 730 000</t>
  </si>
  <si>
    <t>avtotrassa@mail.ru, gagat@list.ru, info@avtotrassa.com, pravo@avtotrassa.com, pravo@avtotrssa.com</t>
  </si>
  <si>
    <t>Киракосян Арарат Гарникович (14 000 руб., 70%)
АВТОТРАССА, ООО (6 000 руб., 30%)</t>
  </si>
  <si>
    <t>1 050 850 000</t>
  </si>
  <si>
    <t>info-krd@bmw-atlas.ru, info-krd@bmw-atlas.ru; olesya.musatkina@bmw-atlas.ru</t>
  </si>
  <si>
    <t>Смолькин Игорь Валериевич (42 000 000 руб., 100%)</t>
  </si>
  <si>
    <t>356 560 000</t>
  </si>
  <si>
    <t>tadem-mf@mail.ru</t>
  </si>
  <si>
    <t>sfafm.ru</t>
  </si>
  <si>
    <t>Шутов Николай Васильевич (3 500 000 руб., 100%)</t>
  </si>
  <si>
    <t>1 170 240 000</t>
  </si>
  <si>
    <t>info@avtoformula.ru</t>
  </si>
  <si>
    <t>Недоруб Виталий Александрович (3 200 000 руб., 100%)</t>
  </si>
  <si>
    <t>25 080 000</t>
  </si>
  <si>
    <t>info@autoforum.ru</t>
  </si>
  <si>
    <t>www.autoforum.ru</t>
  </si>
  <si>
    <t>М АДВАЙС, ООО (5 000 руб., 50%)
ФОРУМ ГРУПП, ООО (5 000 руб., 50%)</t>
  </si>
  <si>
    <t>587 780 000</t>
  </si>
  <si>
    <t>artemch1@mail.ru, e.morozov@ttmcentr.ru, mariya@avtofurgon.ru</t>
  </si>
  <si>
    <t>avtofurgon.ru, ttmcentr.ru</t>
  </si>
  <si>
    <t>ТТМ ЦЕНТР, ООО (8 500 000 руб., 85%)
Молофеев Алексей Викторович (1 500 000 руб., 15%)</t>
  </si>
  <si>
    <t>203 340 000</t>
  </si>
  <si>
    <t>contact@amag.ru, ishop@amagspb.ru, ivan@email.ru, mihailenko.andrey@amag.ru, shop@amagspb.ru, shopaga.corp@amag.ru</t>
  </si>
  <si>
    <t>agah.ru</t>
  </si>
  <si>
    <t>Бабаян Рубен Левонович (20 000 руб., 100%)</t>
  </si>
  <si>
    <t>Торговля розничная прочая в неспециализированных магазинах</t>
  </si>
  <si>
    <t>111 130 000</t>
  </si>
  <si>
    <t>ddd6@mail.ru, kmkaloshina@maximum-avto.ru, mmstankevich@maximum.auto</t>
  </si>
  <si>
    <t>maximum-mitsubishi.ru</t>
  </si>
  <si>
    <t>HFM&amp;MAXIMUM LIMITED (9 990 руб., 99.90%)
A.REGENT LIMITED (10 руб., 0.10%)</t>
  </si>
  <si>
    <t>226 980 000</t>
  </si>
  <si>
    <t>a.svartsevich@kamaz82.ru, am.belan55@gmail.com, buh@kamaz-gp2.ru, dp@kamaz82.ru, erashovainna@yandex.ru, info@kamaz82.ru, info@yande.ru, n.golubev@kamaz82.ru, nia77@bk.ru, tavridavto@list.ru</t>
  </si>
  <si>
    <t>kamaz-gp2.ru</t>
  </si>
  <si>
    <t>Голованов Виктор Сергеевич (15 000 руб., 49%)
Каничев Павел Владимирович (12 551.02 руб., 41%)
Кадыров Альберт Раифович (3 061.23 руб., 10%)</t>
  </si>
  <si>
    <t>Торговля оптовая прочими автотранспортными средствами</t>
  </si>
  <si>
    <t>51 780 000</t>
  </si>
  <si>
    <t>https://avto.express</t>
  </si>
  <si>
    <t>ЦК, АО (862 476.98 руб., 86.24%)
Санников Алексей Михайлович (111 137 руб., 11.11%)
Нифонтов Кирилл Владимирович (26 386.02 руб., 2.63%)</t>
  </si>
  <si>
    <t>247 470 000</t>
  </si>
  <si>
    <t>agava@mail.ru, agava@mi.ru, agava@mi.ru.bush2@agava.ru, bush2@agava.ru, damir@mail.ru, naumova@agava-kazan.ru, office@agava-kazan.ru</t>
  </si>
  <si>
    <t>cheboksary.megastroy.com, chelny.megastroy.com, kazan.megastroy.com, saransk.megastroy.com, sterlitamak.megastroy.com, ulyanovsk.megastroy.com, yoshkarola.megastroy.com</t>
  </si>
  <si>
    <t>Малыгин Владимир Анатольевич (816 540 руб., 100%)</t>
  </si>
  <si>
    <t>1 324 010 000</t>
  </si>
  <si>
    <t>chekun_an@agama.info, info@agava.info, kunitsyn@agama.info, lawyers@agama.info, seredenko_sn@agama.info</t>
  </si>
  <si>
    <t>agamabrand.ru, www.agama.info, www.agamabrand.com</t>
  </si>
  <si>
    <t>ГК АГАМА, ООО (321 100 000 руб., 100%)</t>
  </si>
  <si>
    <t>Торговля оптовая неспециализированная замороженными пищевыми продуктами</t>
  </si>
  <si>
    <t>248 010 000</t>
  </si>
  <si>
    <t>chelny@tdagat.ru, info@tdagat.ru, op1@tdagat.ru</t>
  </si>
  <si>
    <t>tdagat.ru</t>
  </si>
  <si>
    <t>Хабибуллин Ришат Фоатович (100 000 000 руб., 100%)</t>
  </si>
  <si>
    <t>info@aggreko-eurasia.ru, russia@aggreko.com</t>
  </si>
  <si>
    <t>https://aggreko-eurasia.ru, www.aggreko.com</t>
  </si>
  <si>
    <t>КОМПАНИЯ С ОГРАНИЧЕННОЙ ОТВЕТСТВЕННОСТЬЮ АГГРЕКО ХОЛДИНГЗ ЛИМИТЕД (3 564 000 руб., 99%)
AGGREKO UK LIMITED (36 000 руб., 1%)</t>
  </si>
  <si>
    <t>Аренда и лизинг прочих машин и оборудования, не включенных в другие группировки</t>
  </si>
  <si>
    <t>588 110 000</t>
  </si>
  <si>
    <t>info@asr.org.ru, koverdyaeva@asv.org.ru, pc@mail.spb.cbr.ru, sautkina@asv.org.ru, zakupki@asv.org.ru</t>
  </si>
  <si>
    <t>www.asv.org.ru</t>
  </si>
  <si>
    <t>Деятельность по обеспечению эффективности функционирования финансовых рынков</t>
  </si>
  <si>
    <t>tender@agdl.ru</t>
  </si>
  <si>
    <t>agdl.ru</t>
  </si>
  <si>
    <t>Гаскаров Вил Шамгулович (7 000 000 руб., 70%)
Павлова Наталья Николаевна (3 000 000 руб., 30%)</t>
  </si>
  <si>
    <t>76 990 000</t>
  </si>
  <si>
    <t>agmk@agmk.polymetal.ru, pastukhova@polymetal.ru</t>
  </si>
  <si>
    <t>www.polymetal.ru, www.polymetalinternational.com</t>
  </si>
  <si>
    <t>ПОЛИМЕТАЛЛ, АО (200 000 000 руб., 100%)</t>
  </si>
  <si>
    <t>Производство драгоценных металлов</t>
  </si>
  <si>
    <t>rusvoffice@agrana.com</t>
  </si>
  <si>
    <t>www.ru.agrana.com</t>
  </si>
  <si>
    <t>АО С ДИРЕКТОРОМ И НАБЛЮД СОВЕТОМ "АГРАНА ФРУТ" (549 181 995.83 руб., 100%)</t>
  </si>
  <si>
    <t>Переработка и консервирование фруктов и орехов</t>
  </si>
  <si>
    <t>552 330 000</t>
  </si>
  <si>
    <t>agmp@sagro.ru, cherevkovaiv@sagro.ru, tataurovams@sagro.ru</t>
  </si>
  <si>
    <t>mktomskii.ru</t>
  </si>
  <si>
    <t>СИБАГРО, АО (10 000 руб.)</t>
  </si>
  <si>
    <t>Производство продукции из мяса убойных животных и мяса птицы</t>
  </si>
  <si>
    <t>4 820 000</t>
  </si>
  <si>
    <t>bitum@agreman.ru, ghh@jhk.hh, info@agreman.ru, tender@agreman.ru</t>
  </si>
  <si>
    <t>agreman.ru</t>
  </si>
  <si>
    <t>Рождественский Алексей Юрьевич (500 000 руб., 100%)</t>
  </si>
  <si>
    <t>150 570 000</t>
  </si>
  <si>
    <t>info.agrisovgaz@gmail.com, info@agrisovgaz.ru, lebezovaa@agrisovgaz.ru, oz@agrisovgaz.ru, staff@agrisovgaz.ru</t>
  </si>
  <si>
    <t>agrisovgaz.ru</t>
  </si>
  <si>
    <t>Якибчук Михаил Степанович (615 093 666 руб., 100%)</t>
  </si>
  <si>
    <t>60 460 000</t>
  </si>
  <si>
    <t>agritek-oil.ru</t>
  </si>
  <si>
    <t>ГК МЕЛКОМ, АО (1 000 000 руб., 100%)</t>
  </si>
  <si>
    <t>Производство нерафинированных растительных масел и их фракций</t>
  </si>
  <si>
    <t>4 010 000</t>
  </si>
  <si>
    <t>ana@agrozerno.ru, dt@astra-unit.com, en@agrozerno.ru, info@agrozerno.ru</t>
  </si>
  <si>
    <t>www.agrozernyug.com</t>
  </si>
  <si>
    <t>Талибов Сейяд Гуламович (10 000 руб., 100%)</t>
  </si>
  <si>
    <t>Торговля оптовая сельскохозяйственным сырьем и живыми животными</t>
  </si>
  <si>
    <t>77 450 000</t>
  </si>
  <si>
    <t>www.agroex.ru</t>
  </si>
  <si>
    <t>ПРОМЭКС, АО (28 500 руб., 95%)
Музылев Кирилл Никитич (1 500 руб., 5%)</t>
  </si>
  <si>
    <t>1 327 780 000</t>
  </si>
  <si>
    <t>agroex23@gmail.com, tamservice@inbox.ru</t>
  </si>
  <si>
    <t>Казиев Азим Магомедалиевич (500 000 руб., 100%)</t>
  </si>
  <si>
    <t>Производство масел и жиров</t>
  </si>
  <si>
    <t>640 000</t>
  </si>
  <si>
    <t>yarvet.import@gmail.com</t>
  </si>
  <si>
    <t>Золотов Дмитрий Николаевич (10 000 руб., 100%)</t>
  </si>
  <si>
    <t>52 600 000</t>
  </si>
  <si>
    <t>КОРПОРАТИВНЫЙ ЦЕНТР ИКС 5, ООО (3 110 000 руб., 99.67%)
ТОРГОВЫЙ ДОМ ПЕРЕКРЕСТОК, АО (10 000 руб., 0.32%)</t>
  </si>
  <si>
    <t>34 690 000</t>
  </si>
  <si>
    <t>a-a@agro-al.ru, info@agro-al.ru, kazakova@agro-al.ru, secretar@agro-al.ru</t>
  </si>
  <si>
    <t>www.agro-al.ru</t>
  </si>
  <si>
    <t>Козырев Виктор Алексеевич (148 180 133.01 руб., 34%)
Макеев Павел Владимирович (125 648 036.29 руб., 28.83%)
Нарышкина Светлана Викторовна (118 326 194.43 руб., 27.15%)
Цобкалло Михаил Сергеевич (43 669 556.84 руб., 10.02%)</t>
  </si>
  <si>
    <t>Торговля оптовая крупами</t>
  </si>
  <si>
    <t>91 210 000</t>
  </si>
  <si>
    <t>brokerserform@rambler.ru, buh@agrodepartament.ru</t>
  </si>
  <si>
    <t>Поляков Анатолий Дмитриевич (10 000 руб., 100%)</t>
  </si>
  <si>
    <t>Торговля оптовая семенами, кроме семян масличных культур</t>
  </si>
  <si>
    <t>70 630 000</t>
  </si>
  <si>
    <t>ГК АВИЛОН, АО (8 900 руб., 89%)
Асатрян Егия Артурович (1 000 руб., 10%)
РСХБ-ФИНАНС, ООО (100 руб., 1%)</t>
  </si>
  <si>
    <t>Выращивание однолетних культур</t>
  </si>
  <si>
    <t>holmer@agro-lider.ru</t>
  </si>
  <si>
    <t>www.agro-lider.ru</t>
  </si>
  <si>
    <t>Абрамов Олег Валентинович (3 400 руб., 33.33%)
Горлач Владимир Александрович (3 400 руб., 33.33%)
Мокротоваров Григорий Вячеславович (3 400 руб., 33.33%)</t>
  </si>
  <si>
    <t>288 520 000</t>
  </si>
  <si>
    <t>agro_m58@sura.ru, mail@agro-market.su</t>
  </si>
  <si>
    <t>www.agro-market.su, www.agrotrest.ru</t>
  </si>
  <si>
    <t>Миронов Сергей Николаевич (451 586.5 руб., 53%)
Тургенев Валерий Викторович (400 463.5 руб., 47%)</t>
  </si>
  <si>
    <t>Торговля оптовая зерном, необработанным табаком, семенами и кормами для сельскохозяйственных животных</t>
  </si>
  <si>
    <t>46 760 000</t>
  </si>
  <si>
    <t>irina@agro-master.ru, omsk@agro-master.ru, sibhleb@yandex.ru</t>
  </si>
  <si>
    <t>www.agro-master.ru</t>
  </si>
  <si>
    <t>Заболотских Сергей Аполинарович (4 700 руб., 47%)
Заболотских Роман Сергеевич (2 068 руб., 20.68%)
Заболотских Татьяна Сергеевна (1 732 руб., 17.32%)
Ищенко Тамара Петровна (1 500 руб., 15%)</t>
  </si>
  <si>
    <t>Торговля оптовая машинами, оборудованием и инструментами для сельского хозяйства</t>
  </si>
  <si>
    <t>292 970 000</t>
  </si>
  <si>
    <t>info@agro-nova.ru, vendor@agro-nova.ru</t>
  </si>
  <si>
    <t>www.agro-nova.ru</t>
  </si>
  <si>
    <t>Луканов Александр Константинович (161 500 000 руб., 95%)
Карпеев Сергей Григорьевич (8 500 000 руб., 5%)</t>
  </si>
  <si>
    <t>51 170 000</t>
  </si>
  <si>
    <t>buh@a-p26.ru, haivas@mail.ru</t>
  </si>
  <si>
    <t>Хайнов Василий Валерьевич (1 210 000 руб., 100%)</t>
  </si>
  <si>
    <t>Торговля оптовая зерном</t>
  </si>
  <si>
    <t>27 070 000</t>
  </si>
  <si>
    <t>КОРПОРАТИВНЫЙ ЦЕНТР ИКС 5, ООО (209 289 310 руб., 99.51%)
АГРОТОРГ, ООО (1 020 690 руб., 0.48%)</t>
  </si>
  <si>
    <t>Торговля розничная пищевыми продуктами, напитками и табачными изделиями в специализированных магазинах</t>
  </si>
  <si>
    <t>4 790 020 000</t>
  </si>
  <si>
    <t>agrovitex.urist@mail.ru, agrovitex@mail.ru, info@agrovitex.ru, irinaagrovitex@gmail.com</t>
  </si>
  <si>
    <t>agrovitex.ru</t>
  </si>
  <si>
    <t>Струнин Сергей Александрович (6 000 руб., 60%)
Лисицин Станислав Игоревич (3 333 руб., 33.33%)
Суров Александр Аркадьевич (667 руб., 6.67%)</t>
  </si>
  <si>
    <t>111 440 000</t>
  </si>
  <si>
    <t>АГРОГАРД-ФИНАНС, АО (1 017 361 080.58 руб., 100%)
САКСИКАЛАН ХОЛДИНГС ЛИМИТЕД (10 руб.)</t>
  </si>
  <si>
    <t>972 110 000</t>
  </si>
  <si>
    <t>agrodirect@mail.ru</t>
  </si>
  <si>
    <t>agrodirect.ru</t>
  </si>
  <si>
    <t>Калинин Николай Борисович (6 000 руб., 60%)
Калинин Андрей Борисович (4 000 руб., 40%)</t>
  </si>
  <si>
    <t>Торговля оптовая сельскохозяйственными и лесохозяйственными машинами, оборудованием и инструментами, включая тракторы</t>
  </si>
  <si>
    <t>1 590 000</t>
  </si>
  <si>
    <t>info@agro-import.ru</t>
  </si>
  <si>
    <t>agro-import.ru</t>
  </si>
  <si>
    <t>Мататов Давид Писахович (10 000 руб., 100%)</t>
  </si>
  <si>
    <t>Деятельность агентов по оптовой торговле сельскохозяйственным сырьем, живыми животными, текстильным сырьем и полуфабрикатами</t>
  </si>
  <si>
    <t>87 710 000</t>
  </si>
  <si>
    <t>office@agroimpex.com, yu.merkulova@agroimpex.com</t>
  </si>
  <si>
    <t>www.agroimpex.com</t>
  </si>
  <si>
    <t>Гусаков Василий Викторович (9 000 руб., 30%)
Хаеш Сергей Анатольевич (9 000 руб., 30%)
Козлова Ирина Валерьевна (6 000 руб., 20%)
Ефимова Анна Алексеевна (3 000 руб., 10%)
Хаеш Марина Сергеевна (3 000 руб., 10%)</t>
  </si>
  <si>
    <t>Торговля оптовая консервированными овощами, фруктами и орехами</t>
  </si>
  <si>
    <t>171 070 000</t>
  </si>
  <si>
    <t>agroinvestgrupp@yandex.ru</t>
  </si>
  <si>
    <t>Димитриев Виктор Николаевич (20 000 руб., 50%)
Камчатный Сергей Александрович (20 000 руб., 50%)</t>
  </si>
  <si>
    <t>143 020 000</t>
  </si>
  <si>
    <t>agroi@tula.net</t>
  </si>
  <si>
    <t>Чугунов Сергей Львович (10 000 руб., 100%)</t>
  </si>
  <si>
    <t>Торговля оптовая мукой и макаронными изделиями</t>
  </si>
  <si>
    <t>14 270 000</t>
  </si>
  <si>
    <t>buh-agroinits-2013@mail.ru</t>
  </si>
  <si>
    <t>Юров Геннадий Юрьевич (30 000 руб., 100%)</t>
  </si>
  <si>
    <t>294 890 000</t>
  </si>
  <si>
    <t>audits@list.ru, info@agro.club</t>
  </si>
  <si>
    <t>agroclub.su, https://agro.club/ru</t>
  </si>
  <si>
    <t>АКЦИОНЕРНОЕ ОБЩЕСТВО АГРО КЛУБ (380 000 руб., 95%)
Таратута Дмитрий Борисович (20 000 руб., 5%)</t>
  </si>
  <si>
    <t>Деятельность по предоставлению прочих вспомогательных услуг для бизнеса, не включенная в другие группировки</t>
  </si>
  <si>
    <t>14 120 000</t>
  </si>
  <si>
    <t>agroakm@mail.ru, agrotech.akm@g23.relcom.ru, enoconom.mosagro@yandex.ru, mfo@mosagro.ru, ssidorov@mosagro.ru</t>
  </si>
  <si>
    <t>www.mosagro.ru</t>
  </si>
  <si>
    <t>aaa7870@mail.ru, agrocom.market@mail.ru, agrocom.opt@mail.ru, agrocomplex@pochta.ru, agrokomplex@mail.kuban.ru, agrokomplex@mail.ru, an.stremilov@yandex.ru, info@agrokomplexshop.ru, info@zao-agrokomplex.ru, kalinich.es@zao-agrokomplex.ru</t>
  </si>
  <si>
    <t>www.zao-agrokompex.ru</t>
  </si>
  <si>
    <t>Смешанное сельское хозяйство</t>
  </si>
  <si>
    <t>7 126 900 000</t>
  </si>
  <si>
    <t>nov56270@gmail.com, novator@parusagro.com</t>
  </si>
  <si>
    <t>АГРОКОМПЛЕКС ИМ. Н.И.ТКАЧЕВА, АО ФИРМА (4 381 570 459.01 руб., 100%)</t>
  </si>
  <si>
    <t>2 989 300 000</t>
  </si>
  <si>
    <t>at_ira@mail.ru</t>
  </si>
  <si>
    <t>Разведение молочного крупного рогатого скота, производство сырого молока</t>
  </si>
  <si>
    <t>600 080 000</t>
  </si>
  <si>
    <t>komarova.ae@agrokomplex.ru</t>
  </si>
  <si>
    <t>КУБАНСКИЙ БЕКОН, АО (1 138 643 522 руб., 99.99%)
РСХБ-ФИНАНС, ООО (77 647 руб., 0.010%)</t>
  </si>
  <si>
    <t>2 085 910 000</t>
  </si>
  <si>
    <t>agrokoncern.kanevskoy@gmail.com, agrotorg-kanevsk@mail.ru, lozovskayagg@mail.ru</t>
  </si>
  <si>
    <t>НИВА, ОАО АФП (70 741 316.47 руб., 50%)
Коровайко Ангелина Борисовна (35 370 658.23 руб., 25%)
Чебанов Аркадий Олегович (35 370 658.23 руб., 25%)</t>
  </si>
  <si>
    <t>vladimir.e133@gmail.com</t>
  </si>
  <si>
    <t>ПЕРЕСВЕТ-АГРО, ООО (25 000 000 руб., 50%)
КОМЕТА, АО (7 500 000 руб., 15%)</t>
  </si>
  <si>
    <t>Выращивание овощей</t>
  </si>
  <si>
    <t>1 361 860 000</t>
  </si>
  <si>
    <t>gurova.ei@ahstep.ru</t>
  </si>
  <si>
    <t>ТД ИНВЕСТПРОМ-ОПТ, ООО (7 000 руб., 70%)
Ширин Владимир Александрович (3 000 руб., 30%)</t>
  </si>
  <si>
    <t>76 090 000</t>
  </si>
  <si>
    <t>a.vsl@mail.ru, agro@almos-agroliga.ru, yav@almos-agroliga.ru</t>
  </si>
  <si>
    <t>www.agroliga.ru</t>
  </si>
  <si>
    <t>УПРАВЛЕНИЕ ТЕХНОЛОГИЯМИ, АО (2 000 000 руб., 100%)</t>
  </si>
  <si>
    <t>140 570 000</t>
  </si>
  <si>
    <t>elevator@agromarket26.com, urist@agromarket26.com</t>
  </si>
  <si>
    <t>www.agromarket26.com</t>
  </si>
  <si>
    <t>Матаев Марик Гилодович (184 248 702.52 руб., 100%)</t>
  </si>
  <si>
    <t>46 270 000</t>
  </si>
  <si>
    <t>l.zanoga@agronova.ru</t>
  </si>
  <si>
    <t>105 440 000</t>
  </si>
  <si>
    <t>bryansk@agronova.ru</t>
  </si>
  <si>
    <t>112 120 000</t>
  </si>
  <si>
    <t>saenko@agronova.ru, shorin@agronova.ru</t>
  </si>
  <si>
    <t>102 050 000</t>
  </si>
  <si>
    <t>kragronova@mail.ru</t>
  </si>
  <si>
    <t>www.agronova.ru, www.агронова-краснодар.рф</t>
  </si>
  <si>
    <t>12 250 000</t>
  </si>
  <si>
    <t>lipetsk@agronova.ru</t>
  </si>
  <si>
    <t>8 010 000</t>
  </si>
  <si>
    <t>orel@agronova.ru</t>
  </si>
  <si>
    <t>95 840 000</t>
  </si>
  <si>
    <t>ooo-agropak.ru</t>
  </si>
  <si>
    <t>Бруева Виктория Александровна (10 000 руб., 100%)</t>
  </si>
  <si>
    <t>Торговля оптовая фруктами и овощами</t>
  </si>
  <si>
    <t>2 060 000</t>
  </si>
  <si>
    <t>Иванов Андрей Михайлович (100 000 руб., 100%)</t>
  </si>
  <si>
    <t>terminal@agroprime61.ru</t>
  </si>
  <si>
    <t>agroprime61.ru</t>
  </si>
  <si>
    <t>Алимов Александр Николаевич (20 026 500 руб., 100%)</t>
  </si>
  <si>
    <t>38 920 000</t>
  </si>
  <si>
    <t>agr.sekretar@mail.ru</t>
  </si>
  <si>
    <t>Производство свинца, цинка и олова</t>
  </si>
  <si>
    <t>17 730 000</t>
  </si>
  <si>
    <t>e.badulina@sodru.com, v.zhernosek@sodru.com</t>
  </si>
  <si>
    <t>Производство готовых кормов для животных</t>
  </si>
  <si>
    <t>917 920 000</t>
  </si>
  <si>
    <t>ОСК, АО (50 249 999.6 руб., 100%)
Шевченко Николай Николаевич (.4 руб.)</t>
  </si>
  <si>
    <t>10 572 240 000</t>
  </si>
  <si>
    <t>egurotdel@gmail.com</t>
  </si>
  <si>
    <t>Гусманова Наиля Минневакиловна (1 785 000 руб., 85%)
Мугинов Ринат Гаптелхаевич (315 000 руб., 15%)</t>
  </si>
  <si>
    <t>Производство автомобилей специального назначения</t>
  </si>
  <si>
    <t>info@rd-servis.ru, rdrsm1@mail.ru, vialyh@kurskem.ru</t>
  </si>
  <si>
    <t>tehbu.ru</t>
  </si>
  <si>
    <t>Борисов Юрий Сергеевич (298 881 руб., 99%)
Вялых Сергей Владимирович (3 019 руб., 1%)</t>
  </si>
  <si>
    <t>69 260 000</t>
  </si>
  <si>
    <t>13@aps36.ru, 319@aps36.ru, 39@aps36.ru, 77@aps36.ru, agro@aps36.ru, swi1@yandex.ru</t>
  </si>
  <si>
    <t>aps36.ru</t>
  </si>
  <si>
    <t>Скутнев Виктор Иванович (403 941 руб., 87.32%)
Олейникова Валентина Николаевна (43 344 руб., 9.37%)
Настюков Сергей Иванович (12 490 руб., 2.70%)
Сарычев Василий Михайлович (2 799 руб., 0.60%)</t>
  </si>
  <si>
    <t>74 200 000</t>
  </si>
  <si>
    <t>Ишутин Аркадий Александрович (10 000 руб., 100%)</t>
  </si>
  <si>
    <t>62 910 000</t>
  </si>
  <si>
    <t>nigmatovag@mail.ru, zakaz@shinaprom.ru</t>
  </si>
  <si>
    <t>агропромшина.рф</t>
  </si>
  <si>
    <t>Багаутдинов Надир Рашитович (25 000 руб., 50%)
Луговой Дмитрий Александрович (12 500 руб., 25%)
Беляк Сергей Вадимович (9 500 руб., 19%)
Лысая Олеся Владимировна (3 000 руб., 6%)</t>
  </si>
  <si>
    <t>99 160 000</t>
  </si>
  <si>
    <t>agroprof@mail.ru, info@agroprof.com, zhuchkova@agroprof.com</t>
  </si>
  <si>
    <t>www.agroprof.com</t>
  </si>
  <si>
    <t>Насыров Рустам Рашидович (13 002 043 руб., 100%)</t>
  </si>
  <si>
    <t>657 300 000</t>
  </si>
  <si>
    <t>info@agrores.ru</t>
  </si>
  <si>
    <t>Кытманов Владимир Александрович (139 497 000 руб., 100%)</t>
  </si>
  <si>
    <t>406 150 000</t>
  </si>
  <si>
    <t>lezgina_ma@ppf.prodo.ru, ppfdisp@ppf.prodo.ru, ppfnalog@perm.prodo.ru, ppfnalog@ppf.prodo.ru, priemppf@pf.prodo.ru, priemppf@prodo.ru</t>
  </si>
  <si>
    <t>www.prodo.ru</t>
  </si>
  <si>
    <t>59 990 000</t>
  </si>
  <si>
    <t>iren1982@bk.ru</t>
  </si>
  <si>
    <t>agrosila-promo.ru</t>
  </si>
  <si>
    <t>Деятельность в области права</t>
  </si>
  <si>
    <t>57 400 000</t>
  </si>
  <si>
    <t>milk1973@mail.ru, sale@agrosila-holding.ru</t>
  </si>
  <si>
    <t>АГРОСИЛА, АО (95 000 руб., 95%)
Фардиев Шаукат Ильшатович (5 000 руб., 5%)</t>
  </si>
  <si>
    <t>Торговля оптовая мясом и мясом птицы, включая субпродукты</t>
  </si>
  <si>
    <t>milk.office@agrosila-holding.ru</t>
  </si>
  <si>
    <t>АГРОСИЛА, АО (750 000 руб., 75%)
Барсукова Светлана Геннадьевна (250 000 руб., 25%)</t>
  </si>
  <si>
    <t>novohatskayan@mail.ru</t>
  </si>
  <si>
    <t>Беляева Ольга Александровна (11 121 751.2642 руб., 61.25%)
АГРОИНТЕРСНАБ, ЗАО (4 983 953.8752 руб., 27.45%)
Верблюдов Виталий Александрович (1 074 777.8124 руб., 5.92%)
АГРОПРОМРЕЕСТР, ООО СР (600 928.3846 руб., 3.31%)
Кошкарев Илья Альбертович (377 913.7136 руб., 2.08%)</t>
  </si>
  <si>
    <t>15 470 000</t>
  </si>
  <si>
    <t>frolova_an@trio21.ru, inaumova@sucden.ru</t>
  </si>
  <si>
    <t>АГРОФИРМА ЕЛЕЦКИЙ, ООО (2 624 968 900 руб., 93.35%)
АГРОСЕРВИС, ООО (186 793 072 руб., 6.64%)</t>
  </si>
  <si>
    <t>Производство сахара</t>
  </si>
  <si>
    <t>586 650 000</t>
  </si>
  <si>
    <t>610676@nalog.ktkt.ru, elena.grebennikova@agrososos.ru</t>
  </si>
  <si>
    <t>asrlogistic.ru</t>
  </si>
  <si>
    <t>Еремеев Герман Геннадьевич (5 000 руб., 50%)
Смирнова Светлана Владимировна (5 000 руб., 50%)</t>
  </si>
  <si>
    <t>127 700 000</t>
  </si>
  <si>
    <t>nina.kirillova@agrosoros.ru</t>
  </si>
  <si>
    <t>17 200 000</t>
  </si>
  <si>
    <t>agro-buh@yugrusiagro.ru, info@yugrusiagro.ru</t>
  </si>
  <si>
    <t>www.grain.ru</t>
  </si>
  <si>
    <t>АГРОСОЮЗ ХОЛДИНГ, ООО (537 453 727.3 руб., 99.90%)
РОСТОВСКИЙ, ООО (556 272.7 руб., 0.10%)</t>
  </si>
  <si>
    <t>2 220 360 000</t>
  </si>
  <si>
    <t>buh@agrosouz-m.ru, gluharevaa@yandex.ru, yurist@agrosouz-m.ru</t>
  </si>
  <si>
    <t>Протасов Андрей Анатольевич (5 000 руб., 50%)
Строганов Андрей Борисович (5 000 руб., 50%)</t>
  </si>
  <si>
    <t>273 490 000</t>
  </si>
  <si>
    <t>samsonyan@nikol.ru</t>
  </si>
  <si>
    <t>Порхун Наталья Ивановна (10 000 руб., 100%)</t>
  </si>
  <si>
    <t>2 030 000</t>
  </si>
  <si>
    <t>buh@asp26.ru, office@asp26.ru, oooagrostroipodryad@yandex.ru</t>
  </si>
  <si>
    <t>asp26.ru</t>
  </si>
  <si>
    <t>Юрков Иван Геннадьевич (10 000 руб., 100%)</t>
  </si>
  <si>
    <t>139 400 000</t>
  </si>
  <si>
    <t>agrosfera-ak@mail.ru, info@agrosfera-altay.ru</t>
  </si>
  <si>
    <t xml:space="preserve">www.agrosfera-altay.ru                                    </t>
  </si>
  <si>
    <t>Ситникова Татьяна Александровна (10 000 руб., 100%)</t>
  </si>
  <si>
    <t>260 290 000</t>
  </si>
  <si>
    <t>info@agrotek-group.ru, p.filatova@agrotek.com</t>
  </si>
  <si>
    <t>www.agrotek-group.ru, www.agrotek.com</t>
  </si>
  <si>
    <t>Грушко Николай Геннадьевич (8 000 руб., 80%)
Тимошенко Сергей Владимирович (2 000 руб., 20%)</t>
  </si>
  <si>
    <t>244 310 000</t>
  </si>
  <si>
    <t>lexel@list.ru, office@agrotek.com</t>
  </si>
  <si>
    <t>Грушко Николай Геннадьевич (7 000 руб., 70%)
Грушко Геннадий Николаевич (3 000 руб., 30%)</t>
  </si>
  <si>
    <t>88 900 000</t>
  </si>
  <si>
    <t>info@agrotek.com, office@agrotek.com</t>
  </si>
  <si>
    <t>www.agrotek.com</t>
  </si>
  <si>
    <t>Грушко Геннадий Николаевич (77 000 руб., 70%)
Грушко Николай Геннадьевич (33 000 руб., 30%)</t>
  </si>
  <si>
    <t>100 600 000</t>
  </si>
  <si>
    <t>agroteh@vmail.ru</t>
  </si>
  <si>
    <t>agroteh-garant.ru</t>
  </si>
  <si>
    <t>Евсеев Александр Васильевич (5 000 руб., 50%)
Оробинский Андрей Сергеевич (5 000 руб., 50%)</t>
  </si>
  <si>
    <t>381 370 000</t>
  </si>
  <si>
    <t>migulinane@rainvest.ru</t>
  </si>
  <si>
    <t>ГРУППА КОМПАНИЙ РУСАГРО, ООО (4 000 127 829 руб., 100%)</t>
  </si>
  <si>
    <t>Выращивание сахарной свеклы</t>
  </si>
  <si>
    <t>6 615 370 000</t>
  </si>
  <si>
    <t>СХР, ООО (10 000 руб., 100%)</t>
  </si>
  <si>
    <t>Производство мясных (мясосодержащих) консервов</t>
  </si>
  <si>
    <t>12 750 000</t>
  </si>
  <si>
    <t>info@agr-t.ru</t>
  </si>
  <si>
    <t>Грушин Максим Юрьевич (150 000 руб., 50%)
Назаров Дениз Станиславович (150 000 руб., 50%)</t>
  </si>
  <si>
    <t>eleonora.kotelnikova@x5.ru, irina.samuylova@x5.ru</t>
  </si>
  <si>
    <t>КОРПОРАТИВНЫЙ ЦЕНТР ИКС 5, ООО (28 740 768 876 руб., 100%)</t>
  </si>
  <si>
    <t>4 819 120 000</t>
  </si>
  <si>
    <t>agrotrak@mail.ru, agrotrak@yandex.ru, berezin_av@agrotrak.ru, buh@agrotrak.ru, loginova_ks@agrotrak.ru, nesterova_mv@agrotrak.ru, raznatovskaya_ii@agrotrak.ru, s54@agrotrak.ru</t>
  </si>
  <si>
    <t>www.agrotrak.ru</t>
  </si>
  <si>
    <t>Бикметов Эдуард Ахметович (49 000 руб., 35%)
Макаленко Виктор Николаевич (49 000 руб., 35%)
Плотников Андрей Геннадьевич (42 000 руб., 30%)</t>
  </si>
  <si>
    <t>1 716 110 000</t>
  </si>
  <si>
    <t>harlamov2010@gmail.com</t>
  </si>
  <si>
    <t>ВЕСТА, ООО (10 000 000 руб., 100%)</t>
  </si>
  <si>
    <t>106 450 000</t>
  </si>
  <si>
    <t>sekretar@agrofeed.ru, yurist@agrofeed.ru</t>
  </si>
  <si>
    <t>agrofeed.ru, www.agrofeed.hu</t>
  </si>
  <si>
    <t>ТОРГОВОЕ ОБЩЕСТВО С ОГРАНИЧЕННОЙ ОТВЕТСТВЕННОСТЬЮ "AGROFEED" (250 000 000 руб., 100%)</t>
  </si>
  <si>
    <t>Производство готовых кормов (смешанных и несмешанных), кроме муки и гранул из люцерны, для животных, содержащихся на фермах</t>
  </si>
  <si>
    <t>46 320 000</t>
  </si>
  <si>
    <t>ariant-agro@mail.ru, info@ariant.ru, personal@ariant.ru, sales@ariant.ru, zakup_td@ariant.ru</t>
  </si>
  <si>
    <t>agrofirma-ariant.narod.ru/index.html, ariant.ru</t>
  </si>
  <si>
    <t>ГК АРИАНТ, ООО (28 177 596 824 руб., 100%)</t>
  </si>
  <si>
    <t>akaratay@dmitrogorsky.ru, emihailovskaya@apkholding.ru</t>
  </si>
  <si>
    <t>www.dmitrogorsky.ru/agro</t>
  </si>
  <si>
    <t>Новиков Сергей Анатольевич (93.47%)</t>
  </si>
  <si>
    <t>1 552 670 000</t>
  </si>
  <si>
    <t>771570@inbox.ru, doron2@rambler.ru</t>
  </si>
  <si>
    <t>685 350 000</t>
  </si>
  <si>
    <t>reception@goldenniva.ru</t>
  </si>
  <si>
    <t>goldenniva.ru</t>
  </si>
  <si>
    <t>АГРИКО, ООО (612 918 380.67 руб., 69.90%)
ГВАРДИЯ, ООО (157 833 059.4 руб., 18%)
Богомолова Татьяна Васильевна (106 098 889.93 руб., 12.10%)</t>
  </si>
  <si>
    <t>829 300 000</t>
  </si>
  <si>
    <t>aisandin@mail.ru, barinov79sv@mail.ru</t>
  </si>
  <si>
    <t>Андин Иван Семенович (87.34%)
Андина Нина Григорьевна (2.69%)
Андин Иван Алексеевич (1.64%)
Андина Виктория Алексеевна (1.64%)
Андин Николай Семенович (0.030%)</t>
  </si>
  <si>
    <t>385 460 000</t>
  </si>
  <si>
    <t>info@seyma.ru, kotov@seyma.ru, seima@kis.ru, senkova@seyma.ru, seyma@mail.ru, sorokina@seyma.ru</t>
  </si>
  <si>
    <t>seyma.ru</t>
  </si>
  <si>
    <t>147 260 000</t>
  </si>
  <si>
    <t>frolova_an@trio21.ru, tokareva@trio21.ru</t>
  </si>
  <si>
    <t>ГК ТРИО, ООО (3 810 000 руб., 100%)</t>
  </si>
  <si>
    <t>906 030 000</t>
  </si>
  <si>
    <t>a_d_audit@mail.ru, oao.afpz.pobeda@gmail.com, pobeda@kanevckaya.ru, pobeda@kanevskaya.ru, zaopobeda@mail.ru</t>
  </si>
  <si>
    <t>concernpokrovsky.ru</t>
  </si>
  <si>
    <t>УК ПОБЕДА, ООО (100%)</t>
  </si>
  <si>
    <t>vadim@agrochiminvest.ru</t>
  </si>
  <si>
    <t>ААА, ООО (10 000 руб., 100%)</t>
  </si>
  <si>
    <t>122 960 000</t>
  </si>
  <si>
    <t>kursk@gk-ehs.ru, sokolovanu@ehsnatm.ru</t>
  </si>
  <si>
    <t>ЕВРОХИМСЕРВИС, ООО (3 000 000 руб., 60%)
Галактионова Ольга Борисовна (2 000 000 руб., 40%)</t>
  </si>
  <si>
    <t>51 240 000</t>
  </si>
  <si>
    <t>agrohimia@mail.ru, agrohimia@yandex.ru</t>
  </si>
  <si>
    <t>Тлакадугова Марьяна Хазритовна (450 000 руб., 35.20%)
Тлакадугов Хазрит Камбулатович (445 000 руб., 34.80%)
Калибатова Рая Наурузовна (384 000 руб., 30%)</t>
  </si>
  <si>
    <t>10 240 000</t>
  </si>
  <si>
    <t>www.axc-altai.ru</t>
  </si>
  <si>
    <t>Вытоптов Анатолий Васильевич (7 500 руб., 50%)
Ильин Алексей Владимирович (7 500 руб., 50%)</t>
  </si>
  <si>
    <t>232 610 000</t>
  </si>
  <si>
    <t>www.agrochemcenter.ru</t>
  </si>
  <si>
    <t>ОКТЯБРЬСКОЕ, АО (10 000 руб., 100%)</t>
  </si>
  <si>
    <t>19 620 000</t>
  </si>
  <si>
    <t>БЕЛКОМ, ЗАО (476 109 000 руб., 99.99%)
АПХ МИРАТОРГ, ООО (10 529 руб., 0.0022%)</t>
  </si>
  <si>
    <t>1 978 500 000</t>
  </si>
  <si>
    <t>corp@agrocentr.pro, halaev@agrocentr.pro, info@prorab.vebfabrika.ru, opz@agrocentr.pro, orp@agrocentr.pro, scan@agrocentr.pro</t>
  </si>
  <si>
    <t>Лактионов Олег Викторович (10 000 руб., 100%)</t>
  </si>
  <si>
    <t>126 460 000</t>
  </si>
  <si>
    <t>alevtina.mironova@agrozentr.ru</t>
  </si>
  <si>
    <t>АГРОЦЕНТР-ХОЛДИНГ, ООО (250 100 000 руб., 100%)</t>
  </si>
  <si>
    <t>12 100 000</t>
  </si>
  <si>
    <t>alexey.ryahovskii@agrozentr.ru, liski@agrozentr.ru, olga.timofeeva@agrozentr.ru</t>
  </si>
  <si>
    <t>АГРОЦЕНТР-ХОЛДИНГ, ООО (284 316 085 руб., 100%)</t>
  </si>
  <si>
    <t>45 230 000</t>
  </si>
  <si>
    <t>agrocentrsbit2007@yandex.ru, garik.istra@gmail.com</t>
  </si>
  <si>
    <t>http://xn--50-9kc2aicldnew.xn--p1ai/</t>
  </si>
  <si>
    <t>АКЦИОНЕРНОЕ ОБЩЕСТВО "ГК МЕЛКОМ" (10 000 руб., 100%)</t>
  </si>
  <si>
    <t>87 370 000</t>
  </si>
  <si>
    <t>Твердохлеб Сергей Иванович (10 000 руб., 100%)</t>
  </si>
  <si>
    <t>264 560 000</t>
  </si>
  <si>
    <t>info@agroeco.ru, info@apk-agroeco.ru</t>
  </si>
  <si>
    <t>agroeco.ru</t>
  </si>
  <si>
    <t>ГК АГРОЭКО, ООО (9 700 руб., 97%)
КОМПАНИЯ С ОГРАНИЧЕННОЙ ОТВЕТСТВЕННОСТЬЮ "АГРОЭКО ГРУП ВРН ЛИМИТЕД" (100 руб., 1%)
Маслов Владимир Васильевич (100 руб., 1%)
РСХБ-ФИНАНС, ООО (100 руб., 1%)</t>
  </si>
  <si>
    <t>3 345 410 000</t>
  </si>
  <si>
    <t>g.novichihina@agroeco.ru, info@agroeco.ru, l.novinkina@agroeco.ru, l.troshina@tdv-vrn.ru, n.filatova@tdv-vrn.ru, t.pyankova@agroeco.ru</t>
  </si>
  <si>
    <t>901 210 000</t>
  </si>
  <si>
    <t>n.shapovalova@agroeco.ru</t>
  </si>
  <si>
    <t>agroeco.ru, meat-agroeco.ru</t>
  </si>
  <si>
    <t>ГК АГРОЭКО, ООО (9 900 руб., 99%)
Маслов Владимир Васильевич (100 руб., 1%)</t>
  </si>
  <si>
    <t>Торговля оптовая мясом и мясными продуктами</t>
  </si>
  <si>
    <t>4 810 000</t>
  </si>
  <si>
    <t>info@agroeco.ru</t>
  </si>
  <si>
    <t>Переработка и консервирование мяса</t>
  </si>
  <si>
    <t>info@s-ah.ru</t>
  </si>
  <si>
    <t>www.s-ah.ru</t>
  </si>
  <si>
    <t>СОЮЗАГРОХИМ, ООО (128 000 000 руб., 100%)</t>
  </si>
  <si>
    <t>1 047 780 000</t>
  </si>
  <si>
    <t>adrussia.ru</t>
  </si>
  <si>
    <t>АД РУСС, ООО (8 000 руб., 0.0021%)
МИТ, ООО (2 000 руб., 0.00050%)</t>
  </si>
  <si>
    <t>10 710 000</t>
  </si>
  <si>
    <t>olga.bodnar@adama.com</t>
  </si>
  <si>
    <t>crmadama.ru, http://www.adama.com/russia/ru/</t>
  </si>
  <si>
    <t>МАХТЕШИМ-АГАН ХОЛДИНГ Б. В. (541 705 890 руб., 100%)</t>
  </si>
  <si>
    <t>glavbuh@adamant-stroy.ru, sokolova@adamant-stroy.ru</t>
  </si>
  <si>
    <t>www.adamant-stroy.ru</t>
  </si>
  <si>
    <t>Баженов Михаил Викторович (27 000 000 руб., 30%)
Гуревич Евгений Михайлович (27 000 000 руб., 30%)
Лейтис Игорь Михайлович (27 000 000 руб., 30%)
Аксенов Александр Анатольевич (9 000 000 руб., 10%)</t>
  </si>
  <si>
    <t>info@advbenchmark.ru</t>
  </si>
  <si>
    <t>СМАРТ ФИЛД, ООО (10 000 руб., 100%)</t>
  </si>
  <si>
    <t>137 060 000</t>
  </si>
  <si>
    <t>ЕЛАМА ХОЛДИНГ ЛИМИТЕД (10 000 руб., 100%)</t>
  </si>
  <si>
    <t>ivanchenko@a2group.ru, khrouskin@a2logistic.ru, office@a2group.ru</t>
  </si>
  <si>
    <t>Пальчиков Игорь Леонидович (24 000 руб., 80%)
Стебихов Сергей Александрович (3 000 руб., 10%)
Шахназаров Армен Лоренсович (3 000 руб., 10%)</t>
  </si>
  <si>
    <t>Аренда и управление собственным или арендованным нежилым недвижимым имуществом</t>
  </si>
  <si>
    <t>1 460 950 000</t>
  </si>
  <si>
    <t>advancedigital.ru</t>
  </si>
  <si>
    <t>СМАРТ ФИЛД, ООО (7 640 руб., 76.40%)
Раскина Наталья Дмитриевна (2 360 руб., 23.60%)</t>
  </si>
  <si>
    <t>6 800 000</t>
  </si>
  <si>
    <t>andrey.lankovich@advantamed.ru, anna.ilinskaia@advantamed.ru, anna.kartashova@adcantamed.ru, anna.kartashova@advantamed.ru, anna.kartashova@advantmed.ru, anna.kartasova@advantamed.ru, dilya.galieva@advantamed.ru, dilya@advantamed.ru, dsa@advantamed.ru, ekaterina.naumova@advantamed.ru</t>
  </si>
  <si>
    <t>Ланкович Андрей Владимирович (6 500 000 руб., 100%)</t>
  </si>
  <si>
    <t>60 200 000</t>
  </si>
  <si>
    <t>info@advensum.com</t>
  </si>
  <si>
    <t>www.advensum.com</t>
  </si>
  <si>
    <t>Лисакова Светлана Михайловна (6 100 руб., 48.80%)
Гареева София Мухамадияровна (5 225 руб., 41.80%)
Бурова Альбина Васильевна (1 175 руб., 9.40%)</t>
  </si>
  <si>
    <t>Исследование конъюнктуры рынка и изучение общественного мнения</t>
  </si>
  <si>
    <t>232 390 000</t>
  </si>
  <si>
    <t>yuri.vinogradov@advert-global.ru</t>
  </si>
  <si>
    <t>AVADA HOLDINGS LIMITED (6 926 509.48 руб., 75%)
Компания с ограниченной ответственностью "ДРОРИАНТ (2 308 836.48 руб., 25%)</t>
  </si>
  <si>
    <t>11 260 000</t>
  </si>
  <si>
    <t>Волков Сергей Александрович (10 000 руб., 100%)</t>
  </si>
  <si>
    <t>Торговля розничная лекарственными средствами в специализированных магазинах (аптеках)</t>
  </si>
  <si>
    <t>84 180 000</t>
  </si>
  <si>
    <t>info@balenciaga-race-runner.ru, moscow.lobby@adidas-group.com</t>
  </si>
  <si>
    <t>reebok.ru, www.adidas.com</t>
  </si>
  <si>
    <t>adidas AG (61 700 000 руб., 100%)</t>
  </si>
  <si>
    <t>1 676 160 000</t>
  </si>
  <si>
    <t>netali2010@yandex.ru</t>
  </si>
  <si>
    <t>Лупанова Надежда Евгеньевна (4 500 руб., 45%)
Рыков Владимир Геннадьевич (4 500 руб., 45%)
Шальмиева Екатерина Вадимовна (1 000 руб., 10%)</t>
  </si>
  <si>
    <t>Торговля оптовая прочими машинами, приборами, аппаратурой и оборудованием общепромышленного и специального назначения</t>
  </si>
  <si>
    <t>3 590 000</t>
  </si>
  <si>
    <t>9219311699@mail.ru</t>
  </si>
  <si>
    <t>Массалитов Сергей Викторович (10 000 руб., 100%)</t>
  </si>
  <si>
    <t>Долгов Дмитрий Александрович (5 000 руб., 50%)
Долгова Наталия Игорьевна (5 000 руб., 50%)</t>
  </si>
  <si>
    <t>1 440 000</t>
  </si>
  <si>
    <t>Пухов Олег Георгиевич (300 000 руб., 100%)</t>
  </si>
  <si>
    <t>Транспортная обработка прочих грузов</t>
  </si>
  <si>
    <t>238 720 000</t>
  </si>
  <si>
    <t>rmz@raritek.ru</t>
  </si>
  <si>
    <t>garantiya-lotos.ru</t>
  </si>
  <si>
    <t>РАРИТЭК ХОЛДИНГ, АО (100 000 руб., 100%)</t>
  </si>
  <si>
    <t>Производство грузовых автомобилей</t>
  </si>
  <si>
    <t>133 870 000</t>
  </si>
  <si>
    <t>isk_evrostroy_buh@mail.ru</t>
  </si>
  <si>
    <t>Озеров Рахим Александрович (11 000 руб., 100%)</t>
  </si>
  <si>
    <t>keyboz@yandex.ru, priemnaya@tatarmilk.ru, reception@tatarmilk.ru</t>
  </si>
  <si>
    <t>Муратова Гульнара Салимзяновна (616 418.91 руб., 75%)
Журавлев Сергей Николаевич (164 378.38 руб., 20%)
Фатыхов Алексей Ринатович (41 094.6 руб., 5%)</t>
  </si>
  <si>
    <t>63 540 000</t>
  </si>
  <si>
    <t>azimutsm@mail.ru, zkobinaekaterina1985@gmail.com</t>
  </si>
  <si>
    <t>Баранов Олег Владимирович (1 000 000 руб., 100%)</t>
  </si>
  <si>
    <t>8 580 000</t>
  </si>
  <si>
    <t>glavbuh85@bk.ru</t>
  </si>
  <si>
    <t>yokosun.ru</t>
  </si>
  <si>
    <t>Болотов Денис Александрович (10 000 руб., 50%)
Литвиченко Денис Олегович (10 000 руб., 50%)</t>
  </si>
  <si>
    <t>Торговля оптовая прочими потребительскими товарами, не включенными в другие группировки</t>
  </si>
  <si>
    <t>218 970 000</t>
  </si>
  <si>
    <t>Матеюнас Александр Пятрасович (12 500 руб., 100%)</t>
  </si>
  <si>
    <t>56 670 000</t>
  </si>
  <si>
    <t>edu_ams@azotchern.ru, portal_azotms@azotvzryv.ru</t>
  </si>
  <si>
    <t>azotms.ru</t>
  </si>
  <si>
    <t>АЗОТВЗРЫВИНВЕСТ, ООО (100 000 руб., 100%)</t>
  </si>
  <si>
    <t>77 010 000</t>
  </si>
  <si>
    <t>Книга Ольга Владиленовна (150 000 руб., 100%)</t>
  </si>
  <si>
    <t>261 620 000</t>
  </si>
  <si>
    <t>a.shulman@azotvzryv.ru, av@azotvzryv.ru</t>
  </si>
  <si>
    <t>137 640 000</t>
  </si>
  <si>
    <t>office@azottech.ru</t>
  </si>
  <si>
    <t>azottech.ru</t>
  </si>
  <si>
    <t>МХК ЕВРОХИМ, АО (7 499 руб., 74.99%)
Тихонов Виталий Александрович (2 501 руб., 25.01%)</t>
  </si>
  <si>
    <t>Производство взрывчатых веществ</t>
  </si>
  <si>
    <t>305 590 000</t>
  </si>
  <si>
    <t>j.solntseva@olamnet.com</t>
  </si>
  <si>
    <t>www.olamgroup.com</t>
  </si>
  <si>
    <t>ОЛАМ ГЛОБАЛ АГРИ ПТЕ. ЛТД. (258 136 071.81 руб., 99.50%)
ОЛАМ ГЛОБАЛ АГРИ ЭЙЖА ПТЕ. ЛТД. (1 297 166.19 руб., 0.50%)</t>
  </si>
  <si>
    <t>43 080 000</t>
  </si>
  <si>
    <t>katekavia@mail.ru, yuliya.sitnik@azurair.ru</t>
  </si>
  <si>
    <t>www.azurair.ru</t>
  </si>
  <si>
    <t>ВАН2ФЛАЙ, ООО (2 725 000 руб., 100%)</t>
  </si>
  <si>
    <t>aist-clean@yandex.ru, buchaist@mail.ru</t>
  </si>
  <si>
    <t>aistspb.ru</t>
  </si>
  <si>
    <t>Производство мыла и моющих средств, чистящих и полирующих средств</t>
  </si>
  <si>
    <t>214 720 000</t>
  </si>
  <si>
    <t>fe@sollers-auto.com</t>
  </si>
  <si>
    <t>www.mazdausa.com</t>
  </si>
  <si>
    <t>СОЛЛЕРС, ПАО (1 500 000 000 руб., 100%)</t>
  </si>
  <si>
    <t>Производство автотранспортных средств</t>
  </si>
  <si>
    <t>255 990 000</t>
  </si>
  <si>
    <t>ekaterina.miroshnikova@iprospect.ru</t>
  </si>
  <si>
    <t>КОМПАНИЯ С ОГРАНИЧЕННОЙ ОТВЕТСТВЕННОСТЬЮ "ХУЛЛБИТТ ЛИМИТЕД" (HULLBITT LIMITED) (8 000 000 руб., 100%)</t>
  </si>
  <si>
    <t>474 440 000</t>
  </si>
  <si>
    <t>iflyltd.ru</t>
  </si>
  <si>
    <t>Буртин Александр Иванович (1 086 624 руб., 56%)
КОМПАНИЯ ЮНОКС, АО (582 120 руб., 30%)
ШЕЛКОВЫЙ ПУТЬ, ООО (174 636 руб., 9%)
Романовский Кирилл Васильевич (97 020 руб., 5%)</t>
  </si>
  <si>
    <t>reception.moscow@indesitcompani.com, service.ua@indesit.com</t>
  </si>
  <si>
    <t>www.indesit.ru, www.merloni.ru</t>
  </si>
  <si>
    <t>АКЦИОНЕРНАЯ КОМПАНИЯ «АРЧЕЛИК» (4 340 000 руб., 100%)</t>
  </si>
  <si>
    <t>1 606 630 000</t>
  </si>
  <si>
    <t>carlos.ramos@indesit.com, lipetsk@indesit.com, svetlana_gennadevna_chizhova@whirlpool.com, vera.fursova@indesit.com</t>
  </si>
  <si>
    <t>company.com, www.indesit.ru</t>
  </si>
  <si>
    <t>АКЦИОНЕРНАЯ КОМПАНИЯ "АРЧЕЛИК" (1 664 165 000 руб., 100%)</t>
  </si>
  <si>
    <t>Производство бытовых электрических приборов</t>
  </si>
  <si>
    <t>cheryauto@chery.ru, hr@chery.ru, in@m53.ru, info@abm42.ru, svetlanagris65@mail.ru</t>
  </si>
  <si>
    <t>jug-motors.kia.ru</t>
  </si>
  <si>
    <t>Кантеев Бари Султанович (11 250 руб., 37.50%)
Ткаченко Андрей Сергеевич (11 250 руб., 37.50%)
Пронин Денис Александрович (7 500 руб., 25%)</t>
  </si>
  <si>
    <t>213 800 000</t>
  </si>
  <si>
    <t>alena.azatian@iplast.com, andrey.mishechkin@iplast.com, andrey.mishechkin@iplast.ru, etp@iplast.com, ik15@52fsin.su, info@iplast.com, info@irlast.ru, office@iplast.com, ost@78j.ru</t>
  </si>
  <si>
    <t>www.iplast.com</t>
  </si>
  <si>
    <t>КОМПАНИЯ ТРАЙГОН ГАЛФ ФЗСО (14 000 000 руб., 35%)
Донгузов Сергей Николаевич (13 000 000 руб., 32.50%)
ГРУППА АЛЬ-МУТЛАК ПО ПРОМЫШЛЕННЫМ ИНВЕСТИЦИЯМ (12 000 000 руб., 30%)
ТАТЛЕССТРОЙ, ООО (1 000 000 руб., 2.50%)</t>
  </si>
  <si>
    <t>Производство пластмассовых изделий для упаковывания товаров</t>
  </si>
  <si>
    <t>1 278 630 000</t>
  </si>
  <si>
    <t>income@i-teco.ru</t>
  </si>
  <si>
    <t>www.i-teco.ru</t>
  </si>
  <si>
    <t>АЙ-ТЕКО ИНВЕСТ, АО (74.96%)
Ремизов Алексей Борисович (25.04%)</t>
  </si>
  <si>
    <t>Деятельность, связанная с использованием вычислительной техники и информационных технологий, прочая</t>
  </si>
  <si>
    <t>Слободенюк Сергей Васильевич (20 010 000 руб., 100%)</t>
  </si>
  <si>
    <t>724 190 000</t>
  </si>
  <si>
    <t>maxim@aybarus.ru</t>
  </si>
  <si>
    <t>aybarus.ru</t>
  </si>
  <si>
    <t>Ахмедов Эльчин Наби Оглы (1 000 000 руб., 100%)</t>
  </si>
  <si>
    <t>68 270 000</t>
  </si>
  <si>
    <t>abinvest@yandex.ru</t>
  </si>
  <si>
    <t>Рудковская Мария Ивановна (16 400 руб., 100%)</t>
  </si>
  <si>
    <t>yulia.bestuzheva@ivcgroup.com</t>
  </si>
  <si>
    <t>www.ivcgroup.com</t>
  </si>
  <si>
    <t>ЗАКРЫТОЕ АКЦИОНЕРНОЕ ОБЩЕСТВО С ОГРАНИЧЕННОЙ ОТВЕТСТВЕННОСТЬЮ "ФЛОРИНГ XL BV" (2 256 487 200 руб., 100%)
КЕРАМА МАРАЦЦИ, ООО (100 руб.)</t>
  </si>
  <si>
    <t>Производство пластмассовых изделий, используемых в строительстве</t>
  </si>
  <si>
    <t>41 370 000</t>
  </si>
  <si>
    <t>alina.maslova@moneyman.ru</t>
  </si>
  <si>
    <t>ОНЛАЙН МИКРОФИНАНС, ООО (99 000 000 руб., 98.01%)
Васильев Александр Александрович (1 010 101.01 руб., 1%)
ФИНТЕХ ГРУПП, ООО (1 000 000 руб., 0.99%)</t>
  </si>
  <si>
    <t>Деятельность агентств по сбору платежей и бюро кредитной информации</t>
  </si>
  <si>
    <t>anton.baranov@outlook.com, info@digital-direct.ru, info@i-dgtl.ru, korolev_ag@list.ru, v.podunova@i-free.com</t>
  </si>
  <si>
    <t>i-dgtl.ru</t>
  </si>
  <si>
    <t>Павлюченков Алексей Федорович (29 000 000 руб., 100%)</t>
  </si>
  <si>
    <t>Деятельность по предоставлению услуг по передаче данных и услуг доступа к информационно-коммуникационной сети Интернет</t>
  </si>
  <si>
    <t>62 130 000</t>
  </si>
  <si>
    <t>4703073810_470350001@eo.tensor.ru, zakaz@shop-nokian.ru</t>
  </si>
  <si>
    <t>www.nokiantyres.ru</t>
  </si>
  <si>
    <t>ТАТНЕФТЬ ИМ. В.Д. ШАШИНА, ПАО (2 822 182 723.37 руб., 100%)</t>
  </si>
  <si>
    <t>Производство резиновых шин, покрышек и камер; восстановление резиновых шин и покрышек</t>
  </si>
  <si>
    <t>7816162305_470350001@eo.tensor.ru, sergey.sennikov@nokiantyres.com</t>
  </si>
  <si>
    <t>ТАТНЕФТЬ ИМ. В.Д. ШАШИНА, ПАО (20 000 000 руб., 100%)</t>
  </si>
  <si>
    <t>10 300 650 000</t>
  </si>
  <si>
    <t>office@eyekraft.ru</t>
  </si>
  <si>
    <t>www.eyekraft.ru, www.eyekraftoptical.ru</t>
  </si>
  <si>
    <t>Колчанова Римма Семеновна (1 625 400 руб., 54%)
Валынкин Вячеслав Юрьевич (692 300 руб., 23%)
Валынкин Сергей Юрьевич (692 300 руб., 23%)</t>
  </si>
  <si>
    <t>Производство медицинских инструментов и оборудования</t>
  </si>
  <si>
    <t>КОМПАНИЯ "МИМОНС ИНВЕСТМЕНТС ЛИМИТЕД" (MIMONS INVESTMENTS LIMITED) (95 300 000 руб., 100%)</t>
  </si>
  <si>
    <t>chenskii.mv@metcom-rnd.ru, fedorov.aa@metcom-rnd.ru, kovalenko.np@metcom-rnd.ru, tatarinova.na@metcom-rnd.ru, zakaz@airon-rnd.ru</t>
  </si>
  <si>
    <t>Слащук Олег Анатольевич (1 050 000 руб., 100%)</t>
  </si>
  <si>
    <t>Торговля оптовая черными металлами в первичных формах</t>
  </si>
  <si>
    <t>39 030 000</t>
  </si>
  <si>
    <t>a.arhipov@icl.kazan.ru, e.ellern@icl.kazan.ru, e.korchagin@icl.kazan.ru, emozokhina@icl.kazan.ru, emozokina@icl.kazan.ru, info@icl.kazan.ru, k.lebedev@icl.kazan.ru, k.prohorov@icl.kazan.ru, techno-trade@icl.kazan.ru, techno@icl.kazan.ru</t>
  </si>
  <si>
    <t>icl-techno.ru</t>
  </si>
  <si>
    <t>Дьячков Виктор Васильевич (7 650 000 руб., 30.60%)
Степанов Евгений Витальевич (5 775 000 руб., 23.10%)
Дьячков Александр Викторович (3 000 000 руб., 12%)
Касаева Татьяна Викторовна (3 000 000 руб., 12%)
Кульмяков Игорь Викторович (1 425 000 руб., 5.70%)
Ляшко Дмитрий Анатольевич (1 350 000 руб., 5.40%)
Вагизов Ильдар Халимович (1 250 000 руб., 5%)
Соловьев Сергей Владимирович (925 000 руб., 3.70%)
Вагизов Руслан Халимович (625 000 руб., 2.50%)</t>
  </si>
  <si>
    <t>Производство компьютеров и периферийного оборудования</t>
  </si>
  <si>
    <t>207 190 000</t>
  </si>
  <si>
    <t>belugink@gmail.com, info@i-t-p.pro, uc@roseltorg.ru</t>
  </si>
  <si>
    <t>Макаричев Александр Александрович (1 500 000 руб., 100%)</t>
  </si>
  <si>
    <t>88 830 000</t>
  </si>
  <si>
    <t>haivexpo@mail.ru, info@hyve.group, info@ite.group, lidia.kopylova@hyve.group, lidia.kopylova@ite.group, marina.sosnitskaya@ite.group, mingg@mail.ru, mitt@hyve.group</t>
  </si>
  <si>
    <t>КОМПАНИЯ "АЙТИИ ЭНТЕРПРАЙЗЕС ЛИМИТЕД" (3 159 599.21 руб., 100%)
КОМПАНИЯ "АЙТИИ ИНТЕРНЕШНЛ ХОЛДИНГЗ БИ.ВИ." (.79 руб.)</t>
  </si>
  <si>
    <t>861 350 000</t>
  </si>
  <si>
    <t>anna.shaban@ifcmgroup.ru, anna.shaban@sodexo.com, contacts@sodexho.ru, info.ru@sodexo.com</t>
  </si>
  <si>
    <t>www.sodexho.com</t>
  </si>
  <si>
    <t>БЕРЧ А И КО, ООО (4 694 305 руб., 100%)</t>
  </si>
  <si>
    <t>Деятельность ресторанов и услуги по доставке продуктов питания</t>
  </si>
  <si>
    <t>ЗВЕЗДА, ООО (8 100 руб., 81%)
АК БАРС СНАБ, ООО (1 900 руб., 19%)</t>
  </si>
  <si>
    <t>850 000</t>
  </si>
  <si>
    <t>kandreev@abdev.ru</t>
  </si>
  <si>
    <t>akbarsstroi.ru</t>
  </si>
  <si>
    <t>Якупов Азат Харисович (10 000 руб., 100%)</t>
  </si>
  <si>
    <t>40 810 000</t>
  </si>
  <si>
    <t>fanis.falyahiev@agrokultura.com, voronezh@agrokultura.com</t>
  </si>
  <si>
    <t>ЕНИСЕЙ, ООО (184 572 015 руб., 100%)</t>
  </si>
  <si>
    <t>2 409 240 000</t>
  </si>
  <si>
    <t>info@granat.spb.ru, kamaz@granat.spb.ru</t>
  </si>
  <si>
    <t>www.granat.spb.ru</t>
  </si>
  <si>
    <t>Усевич Максим Геннадьевич (7 500 руб., 75%)
Ярошевич Юрий Михайлович (2 500 руб., 25%)</t>
  </si>
  <si>
    <t>40 350 000</t>
  </si>
  <si>
    <t>info@rw-y.ru</t>
  </si>
  <si>
    <t>rw-y.ru</t>
  </si>
  <si>
    <t>МИНИСТЕРСТВО ИМУЩЕСТВЕННЫХ И ЗЕМЕЛЬНЫХ ОТНОШЕНИЙ РЕСПУБЛИКИ САХА (ЯКУТИЯ) (49.12%)
РЖД, ОАО (46.62%)</t>
  </si>
  <si>
    <t>Деятельность железнодорожного транспорта: грузовые перевозки</t>
  </si>
  <si>
    <t>korvet@jsc.ru, korvet@zaural.ru, nadezhda.tokareva@korvet-jsc.ru</t>
  </si>
  <si>
    <t>www.korvet-jsc.ru</t>
  </si>
  <si>
    <t>Производство арматуры трубопроводной</t>
  </si>
  <si>
    <t>126 200 000</t>
  </si>
  <si>
    <t>emoiseeva@nordstar.ru, info@nordstar.ru, legkova@taimyravia.ru, priem@taimyravie.ru, tderkacheva@nordstar.ru</t>
  </si>
  <si>
    <t>www.nordstar.ru</t>
  </si>
  <si>
    <t>cbuh.kg@gmail.com</t>
  </si>
  <si>
    <t>РУСЬ, ОАО САФ (9 500 руб., 95%)
Кашуба Станислав Михайлович (500 руб., 5%)</t>
  </si>
  <si>
    <t>alair@yakutia.ru, avsfilial@yandex.ru, gozpal@mail.ru, office@polar.aero, office@polar.aero.ru, palair@yakutia.ru, stpr@polar.aero</t>
  </si>
  <si>
    <t>a.dunecnkov@nordavia.ru, info@nordavia.ru, n.potasheva@flysmartavia.com, n.potasheva@flysmartavia.ru, nordavia@mail.ru, office@flysmartavia.com, ssawostin@gmail.com</t>
  </si>
  <si>
    <t>www.flysmartavia.com</t>
  </si>
  <si>
    <t>77 130 000</t>
  </si>
  <si>
    <t>info@airbridgecargo.com</t>
  </si>
  <si>
    <t>www.airbridgecargo.com</t>
  </si>
  <si>
    <t>Исайкин Алексей Иванович (11 287 500 руб., 75%)
Шкляник Сергей Иванович (3 762 500 руб., 25%)</t>
  </si>
  <si>
    <t>Перевозка воздушным грузовым транспортом, подчиняющимся расписанию</t>
  </si>
  <si>
    <t>27 870 310 000</t>
  </si>
  <si>
    <t>bayslamova.svetlana@yakutia.aero, bubyakin.danil@yakutia.aero, office@yakutia.aero, ozp@yakutia.aero, sa@r3.aero, vasilev.dmitrii@yakutia.aero, yakuyia@yakutiya.aero, zakupki@yakutia.aero</t>
  </si>
  <si>
    <t>www.yakutia.aero</t>
  </si>
  <si>
    <t>info@akyamal.ru, info@aykyamal.ru, law@akyamal.ru, nfo@akyamal.ru, ozernoy_v_p@mail.ru, pds@akyamal.ru</t>
  </si>
  <si>
    <t>akyamal.ru</t>
  </si>
  <si>
    <t>Крюк Василий Николаевич (1 798 380 000 руб., 99.91%)
Озерной Валерий Павлович (1 620 000 руб., 0.090%)</t>
  </si>
  <si>
    <t>377 520 000</t>
  </si>
  <si>
    <t>aktashbuh@rambler.ru, aktashfinans@yandex.ru, oooaktash@rambler.ru</t>
  </si>
  <si>
    <t>Ахметов Газинур Абдулович (10 000 руб., 100%)</t>
  </si>
  <si>
    <t>8 900 000</t>
  </si>
  <si>
    <t>admin@aqualine.ru</t>
  </si>
  <si>
    <t>aqualine.ru</t>
  </si>
  <si>
    <t>Гогов Артур Сергеевич (10 000 000 руб., 100%)</t>
  </si>
  <si>
    <t>Производство безалкогольных напитков; производство минеральных вод и прочих питьевых вод в бутылках</t>
  </si>
  <si>
    <t>58 530 000</t>
  </si>
  <si>
    <t>akvamak.proc@mail.ru, akvamak.prok@mail.ru, nalogi.68@mail.ru</t>
  </si>
  <si>
    <t>akvamak.ru</t>
  </si>
  <si>
    <t>Макаренко Олег Анатольевич (1 650 657.73 руб., 100%)</t>
  </si>
  <si>
    <t>7825692852_784201001@eo.tensor.ru, logacheva@geizer.com, office@qeizer.com, olga@geizer.com, tender_a@geizer.com</t>
  </si>
  <si>
    <t>ksd.shop.geizer.com, ksr.shop.geizer.com, msk.shop.geizer.com, nsk.shop.geizer.com, rnd.shop.geizer.com, sarat.shop.geizer.com, shop.geizer.com, ufa.shop.geizer.com, www.geizer.com</t>
  </si>
  <si>
    <t>Фридкин Александр Михайлович (17 496 000 руб., 60%)
Баклан Евгений Александрович (11 664 000 руб., 40%)</t>
  </si>
  <si>
    <t>Производство газогенераторов, аппаратов для дистилляции и фильтрования</t>
  </si>
  <si>
    <t>309 760 000</t>
  </si>
  <si>
    <t>aquaterra2003@rambler.ru</t>
  </si>
  <si>
    <t>Асратян Карен Юрьевич (5 000 руб., 50%)
Микадзе Паата Робертович (5 000 руб., 50%)</t>
  </si>
  <si>
    <t>Торговля оптовая напитками</t>
  </si>
  <si>
    <t>msk.shop.aquaphor.ru, tver.shop.aquaphor.ru</t>
  </si>
  <si>
    <t>АКВАФОР, ООО (9 999 руб., 99.99%)
Шмидт Ирина Давидовна (1 руб., 0.010%)</t>
  </si>
  <si>
    <t>313 430 000</t>
  </si>
  <si>
    <t>buchmrk@aquaphor.ru, buchmrk@fquaphor.ru</t>
  </si>
  <si>
    <t>www.moulding.ru</t>
  </si>
  <si>
    <t>180 260 000</t>
  </si>
  <si>
    <t>anisim@aquaphor.ru, irina.rozenberg@aquaphor.ru, secretary@aquaphor.ru</t>
  </si>
  <si>
    <t>www.aquaphor.ru</t>
  </si>
  <si>
    <t>Шмидт Иосиф Львович (9 900 007.91 руб., 99%)
КОРПОРАЦИЯ (АКЦИОНЕРНОЕ ОБЩЕСТВО) "ЭЛЕКТРОФОР ИНК." (99 992.09 руб., 1%)</t>
  </si>
  <si>
    <t>70 200 000</t>
  </si>
  <si>
    <t>info@duim24.ru</t>
  </si>
  <si>
    <t>МОНТЕ, ООО (112 500 руб., 75%)
Кузьмин Александр Юрьевич (37 500 руб., 25%)</t>
  </si>
  <si>
    <t>64 030 000</t>
  </si>
  <si>
    <t>chekmareva.t@gcblago.ru, golubkova@blago-spb.ru, guu@gcblago.ru, mihienko@gcblago.ru, office@gcbblago.ru, tdbuh@evdakovo.ru</t>
  </si>
  <si>
    <t>БЛАГО ИНВЕСТ, ООО (1 000 000 руб., 100%)</t>
  </si>
  <si>
    <t>Производство рафинированных растительных масел и их фракций</t>
  </si>
  <si>
    <t>566 180 000</t>
  </si>
  <si>
    <t>info@akvioil.ru, konstantin23@mail.ru</t>
  </si>
  <si>
    <t>www.akvioil.ru</t>
  </si>
  <si>
    <t>Бирюков Константин Николаевич (100 000 руб., 100%)</t>
  </si>
  <si>
    <t>49 040 000</t>
  </si>
  <si>
    <t>info@akzonobel-dekor.ru, inna.borisoglebskaya@akzonobel.com, nowmow@akzonobel.com</t>
  </si>
  <si>
    <t>www.akzonobel-dekor.ru</t>
  </si>
  <si>
    <t>Производство красок и лаков на основе полимеров</t>
  </si>
  <si>
    <t>471 550 000</t>
  </si>
  <si>
    <t>"Акзо Нобель Интернешнл Б.В." (16 000 000 руб., 99.94%)
Частная АК с ограниченной ответствен "Пантер Б.В." (10 000 руб., 0.060%)</t>
  </si>
  <si>
    <t>Производство красок, лаков и аналогичных материалов для нанесения покрытий, полиграфических красок и мастик</t>
  </si>
  <si>
    <t>174 250 000</t>
  </si>
  <si>
    <t>info.lako@akzonobel.com</t>
  </si>
  <si>
    <t>www.akzonobel.com, www.akzonobel.com/ru</t>
  </si>
  <si>
    <t>"Акзо Нобель Интернешнл Б.В." (266 114 589 руб., 99.61%)
Частная АК с ограниченной ответствен "Пантер Б.В." (1 044 411 руб., 0.39%)</t>
  </si>
  <si>
    <t>282 050 000</t>
  </si>
  <si>
    <t>a.grinko@akira-oil.com, mail@akira-oil.com</t>
  </si>
  <si>
    <t>www.akira-oil.com</t>
  </si>
  <si>
    <t>Беляева Наталья Сергеевна (65 000 руб., 50%)
Лившина Светлана Александровна (58 500 руб., 45%)
Гриневич Александр Юрьевич (6 500 руб., 5%)</t>
  </si>
  <si>
    <t>230 310 000</t>
  </si>
  <si>
    <t>info@akkermann.ru, info@yugpk.ru</t>
  </si>
  <si>
    <t>yugpk.ru</t>
  </si>
  <si>
    <t>ЮЭСЭМ ЦЕМЕНТ, ООО (150 010 000 руб., 90%)
Морозов Константин Михайлович (8 334 000 руб., 5%)
Селявко Антон (8 334 000 руб., 5%)</t>
  </si>
  <si>
    <t>Производство цемента</t>
  </si>
  <si>
    <t>1 809 960 000</t>
  </si>
  <si>
    <t>akkond@chtts.ru, glbuh@akkond.com, office@akkond.com</t>
  </si>
  <si>
    <t>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</si>
  <si>
    <t>1 426 140 000</t>
  </si>
  <si>
    <t>av_info@akku-vertrieb.ru, av_info@exide-technologies.ru</t>
  </si>
  <si>
    <t>akkuit.ru, http://www.akku-vertrieb.ru/, sonnenschein.ru, www.exide-technologies.ru</t>
  </si>
  <si>
    <t>Клюева Елена Витальевна (450 450 руб., 45%)
Комарова Янина Викторовна (450 450 руб., 45%)
Замышляев Филипп Анатольевич (100 100 руб., 10%)</t>
  </si>
  <si>
    <t>ГАЗПРОМ НЕФТЕХИМ САЛАВАТ, ООО (500 000 руб., 100%)</t>
  </si>
  <si>
    <t>akrilan@vladimir.akrilan.com, akrilan@vtsnet.ru, kuzin@akrilan.com</t>
  </si>
  <si>
    <t>ВЛАДАКРИЛ, ООО (700 000 руб., 69.93%)
БЕЛЕГ ИНТЕРНЭШНЛ ИНВЕСТМЕНТС ИНК. (126 000 руб., 12.59%)
ТРИМДОН МЕНЕДЖМЕНТ ЛТД. (TRIMDON MANAGEMENT LTD.) (115 000 руб., 11.49%)
АКРИЛАН, ООО (59 000 руб., 5.89%)
КОМПАНИЯ КАРДИН ПРОПЕРТИС ЛИМИТЕД (1 000 руб., 0.10%)</t>
  </si>
  <si>
    <t>Производство основных химических веществ, удобрений и азотных соединений, пластмасс и синтетического каучука в первичных формах</t>
  </si>
  <si>
    <t>287 270 000</t>
  </si>
  <si>
    <t>acron.nov@mail.ru, info@acron.ru, root@acron.vnov.ru, root@vnov.acron.ru</t>
  </si>
  <si>
    <t>www.acron.ru</t>
  </si>
  <si>
    <t>Redbrick Investments S.a r.l. (30.97%)
АКРОН ГРУПП, АО (9.88%)
Антонов Иван Николаевич (0.063%)
Попов Александр Валериевич (0.058%)
Куницкий Владимир Яковлевич (0.043%)
Миленков Алексей Владиславович (0.0020%)</t>
  </si>
  <si>
    <t>ekonomyka@akros.ru, priem-pk@norebo.com, priem@akros.ru</t>
  </si>
  <si>
    <t>Рыболовство морское</t>
  </si>
  <si>
    <t>58 810 000</t>
  </si>
  <si>
    <t>info@akros-llc.com, mbushueva@akros-llc.com</t>
  </si>
  <si>
    <t>akros-llc.com</t>
  </si>
  <si>
    <t>ЧАСТНАЯ АКЦИОНЕРНАЯ КОМПАНИЯ С ОГРАНИЧЕННОЙ ОТВЕТСТВЕННОСТЬЮ "ВИСНОЙ ЛИМИТЕД" (5 000 000 руб., 100%)</t>
  </si>
  <si>
    <t>763 800 000</t>
  </si>
  <si>
    <t>account@acs-cis.ru</t>
  </si>
  <si>
    <t>https://www.cis-integratedservices.com/</t>
  </si>
  <si>
    <t>КОМПАНИЯ " КЕТРИНГ ИНТЕРНЕШНЛ ЭНД СЕРВИСИЗ" (121 333 069.52 руб., 100%)</t>
  </si>
  <si>
    <t>a.tutynina@amurcomsys.ru, acs@amucomsys.ru, acs@amufconisys.ru, acs@amurcjvsys.ru, acs@amurcomsus.ru, akc@akc.ru, akc@mail.ru, akc@yandex.ru, aks.amur@mail.ru, aks@amurcomsyc.ru</t>
  </si>
  <si>
    <t>РКС-ХОЛДИНГ, ООО (10 000 000 руб., 100%)</t>
  </si>
  <si>
    <t>Производство пара и горячей воды (тепловой энергии)</t>
  </si>
  <si>
    <t>20 630 000</t>
  </si>
  <si>
    <t>7801445371@eo.tensor.ru</t>
  </si>
  <si>
    <t>www.bmw-axsel.ru</t>
  </si>
  <si>
    <t>Безобразов Алексей Борисович (6 887.5 руб., 68.88%)
Федорова Екатерина Васильевна (1 545 руб., 15.45%)
Шац Леонид Григорьевич (587.5 руб., 5.88%)
Леготин Анатолий Владимирович (500 руб., 5%)
Ковалев Алексей Вячеславович (200 руб., 2%)
Минахи Артур Борисович (100 руб., 1%)
Минахи Зураб Борисович (100 руб., 1%)
Левиев Аркадий Владимирович (80 руб., 0.80%)</t>
  </si>
  <si>
    <t>252 010 000</t>
  </si>
  <si>
    <t>alexandr.borovikov@bmw-axsel.ru, marina.yurkova@bmw-axsel.ru, vesta.kolupanova@bmw-axsel.ru</t>
  </si>
  <si>
    <t>Безобразов Алексей Борисович (14 527 390.5 руб., 34.88%)
Федорова Екатерина Васильевна (7 268 902.2 руб., 17.45%)
Одуд Игорь Артурович (7 081 452 руб., 17%)
Одуд Юрий Артурович (7 081 452 руб., 17%)
Шац Леонид Григорьевич (2 447 266.5 руб., 5.88%)
Леготин Анатолий Владимирович (2 082 780 руб., 5%)
Ковалев Алексей Вячеславович (833 112 руб., 2%)
Левиев Аркадий Владимирович (333 244.8 руб., 0.80%)</t>
  </si>
  <si>
    <t>296 030 000</t>
  </si>
  <si>
    <t>aksioma@fastmail.com, makarenko@aksioma77.ru, natalya@podguznikiplus.ru</t>
  </si>
  <si>
    <t>77 680 000</t>
  </si>
  <si>
    <t>Исаченко Алексей Олегович (10 000 руб., 50%)
Якупов Вадим Анатольевич (10 000 руб., 50%)</t>
  </si>
  <si>
    <t>Торговля оптовая прочими пищевыми продуктами</t>
  </si>
  <si>
    <t>104 700 000</t>
  </si>
  <si>
    <t>post-moscow-ac@accenture.com</t>
  </si>
  <si>
    <t>www.accenture.com</t>
  </si>
  <si>
    <t>Диланян Вартан Петрович (256 500 руб., 57%)
Киреев Сергей Евгеньевич (81 000 руб., 18%)
Одинаева Ирина Владимировна (45 000 руб., 10%)
Ильин Юрий Михайлович (22 500 руб., 5%)
Малькова Лариса Михайловна (22 500 руб., 5%)
Топоров Дмитрий Сергеевич (22 500 руб., 5%)</t>
  </si>
  <si>
    <t>1 962 480 000</t>
  </si>
  <si>
    <t>oooaktivtorg@gmail.com, x_sashechka@mail.ru</t>
  </si>
  <si>
    <t>Хвостикова Александра (150 000 руб., 100%)</t>
  </si>
  <si>
    <t>18 700 000</t>
  </si>
  <si>
    <t>aktion@doronichi.com</t>
  </si>
  <si>
    <t>www.1gl.ru</t>
  </si>
  <si>
    <t>ГРУППА АКТИОН, ООО (10 000 руб., 100%)</t>
  </si>
  <si>
    <t>Разработка компьютерного программного обеспечения, консультационные услуги в данной области и другие сопутствующие услуги</t>
  </si>
  <si>
    <t>2 498 950 000</t>
  </si>
  <si>
    <t>asivacheva@pressh.ru, torgi@glavbukh.ru, zakupki@mcfr.ru</t>
  </si>
  <si>
    <t>www.action-press.ru</t>
  </si>
  <si>
    <t>Издание журналов и периодических изданий</t>
  </si>
  <si>
    <t>acc@actumperm.com, s.seliverstova@aktumperm.com, sales@actumperm.com</t>
  </si>
  <si>
    <t>Кузнецов Дмитрий Владимирович (1 369 863 руб., 100%)</t>
  </si>
  <si>
    <t>473 910 000</t>
  </si>
  <si>
    <t>amigo.ru</t>
  </si>
  <si>
    <t>Крумилов Степан Алексеевич (35 000 руб., 33.33%)
Лодиков Сергей Васильевич (35 000 руб., 33.33%)
Майоров Дмитрий Иванович (35 000 руб., 33.33%)</t>
  </si>
  <si>
    <t>59 930 000</t>
  </si>
  <si>
    <t>Кривда Валерий Павлович (213 000 000 руб., 100%)</t>
  </si>
  <si>
    <t>accentmed.pharm@yandex.ru, acctntmed.pharm@yandex.ru, akcenmed.pharm@yandex.ru, akcentmed.pharm@yandeks.ru, akcentmed@mai.ru, akcentmedpharm@yandex.ru, akcentmrd.pharm@yandex.ru, aksentmed.pharm@yandex.ru, asti@ast.ru, asti@astifarm.ru</t>
  </si>
  <si>
    <t>Романова Евгения Вадимовна (100 000 руб., 100%)</t>
  </si>
  <si>
    <t>80 250 000</t>
  </si>
  <si>
    <t>2558888@al.company</t>
  </si>
  <si>
    <t>www.al.company</t>
  </si>
  <si>
    <t>Заречанский Павел Вячеславович (111 641 000 руб., 50%)
Сюмак Виталий Сергеевич (111 641 000 руб., 50%)</t>
  </si>
  <si>
    <t>ashajkhulov@alabuga.ru, bochikhinsv@gmail.com, elaikina@alabuga.ru, iashajmardanov@alabuga.ru, sbochikhin@alabuga.ru, sbochikhin@alabuqa.ru, ybanket@alabuga.ru</t>
  </si>
  <si>
    <t>ОЭЗ ППТ АЛАБУГА, АО (1 000 000 руб., 100%)</t>
  </si>
  <si>
    <t>538 540 000</t>
  </si>
  <si>
    <t>el_moloko@list.ru, el_moloko_torg@mail.ru, terfd@tatar.ru</t>
  </si>
  <si>
    <t>elmoloko.ru</t>
  </si>
  <si>
    <t>Производство питьевого молока и питьевых сливок</t>
  </si>
  <si>
    <t>142 580 000</t>
  </si>
  <si>
    <t>Сафина Раиля Ильясовна (10 000 руб., 100%)</t>
  </si>
  <si>
    <t>3 950 000</t>
  </si>
  <si>
    <t>nakimova@alarm-motors.ru, ogurjanova@alarm-motors.ru</t>
  </si>
  <si>
    <t>alarm-motors.ru</t>
  </si>
  <si>
    <t>Слуцкий Роман Александрович (9 500 руб., 95%)
Миневич Леонид Израилевич (500 руб., 5%)</t>
  </si>
  <si>
    <t>32 250 000</t>
  </si>
  <si>
    <t>olgam@alarm-motors.ru, vekaterina@alarm-motors.ru</t>
  </si>
  <si>
    <t>Слуцкий Роман Александрович (9 509 500 руб., 95%)
Миневич Леонид Израилевич (500 500 руб., 5%)</t>
  </si>
  <si>
    <t>13 790 000</t>
  </si>
  <si>
    <t>izolin.ru</t>
  </si>
  <si>
    <t>Лушин Максим Георгиевич (5 000 руб., 50%)
Хомик Юрий Ростиславович (5 000 руб., 50%)</t>
  </si>
  <si>
    <t>1 117 860 000</t>
  </si>
  <si>
    <t>alb@pokrmine.ru</t>
  </si>
  <si>
    <t>www.petropavlovsk.net</t>
  </si>
  <si>
    <t>УГМК-ИНВЕСТ, АО (1 200 000 руб., 100%)</t>
  </si>
  <si>
    <t>Добыча руд и песков драгоценных металлов (золота, серебра и металлов платиновой группы)</t>
  </si>
  <si>
    <t>54 710 000</t>
  </si>
  <si>
    <t>lukin@alviz.atknet.ru, mordasovals@sygroup.ru, org@alviz.atknet.ru, org@alviz.com</t>
  </si>
  <si>
    <t>alviz.com/official/corporate, www.alviz.com</t>
  </si>
  <si>
    <t>Производство дистиллированных питьевых алкогольных напитков: водки, виски, бренди, джина, ликеров и т. п.</t>
  </si>
  <si>
    <t>126 680 000</t>
  </si>
  <si>
    <t>info@alvisa.ru</t>
  </si>
  <si>
    <t>alvisa.ru</t>
  </si>
  <si>
    <t>АЛВИСА ГРУПП, ООО (10 000 000 руб., 100%)</t>
  </si>
  <si>
    <t>Перегонка, очистка и смешивание спиртов</t>
  </si>
  <si>
    <t>616 650 000</t>
  </si>
  <si>
    <t>Александров Александр Валерьевич (10 000 руб., 100%)</t>
  </si>
  <si>
    <t>Торговля оптовая пищевыми продуктами, напитками и табачными изделиями</t>
  </si>
  <si>
    <t>15 240 000</t>
  </si>
  <si>
    <t>www.aldautomotive.ru</t>
  </si>
  <si>
    <t>ЦК, АО (16 146 000 руб., 100%)</t>
  </si>
  <si>
    <t>Аренда и лизинг легковых автомобилей и легких автотранспортных средств</t>
  </si>
  <si>
    <t>1 784 800 000</t>
  </si>
  <si>
    <t>kigok_2007@mail.ru</t>
  </si>
  <si>
    <t>КОЛЫМАНЕФТЕПРОДУКТ, ООО (10 000 руб., 100%)</t>
  </si>
  <si>
    <t>1 497 590 000</t>
  </si>
  <si>
    <t>aleakrd@yandex.ru, aleaplus@mail.ru, kucherenko.j@aleacompany.ru</t>
  </si>
  <si>
    <t>https://alea.shop/</t>
  </si>
  <si>
    <t>Бутуриди Михаил Анатольевич (5 000 руб., 50%)
Зепос Кириак Георгиевич (5 000 руб., 50%)</t>
  </si>
  <si>
    <t>134 110 000</t>
  </si>
  <si>
    <t>aleika7@mail.ru, azp_buh@mail.ru, azp_chita@mail.ru, azpaley@ab.ru, dtv@azpaley.ru, fnv@azpaley.ru, info@azpaley.ru, sap@azpaley.ru</t>
  </si>
  <si>
    <t>azpaley.ru</t>
  </si>
  <si>
    <t>Производство муки из зерновых культур</t>
  </si>
  <si>
    <t>164 860 000</t>
  </si>
  <si>
    <t>al.dor@mail.ru, alekseevsk@tatar.ru, alekseevskdorstroy@1.ru, alekseevskds@yandex.ru, ilf54@mail.ru, ptoads16@yandex.ru, sattarovmaratads@yandex.ru</t>
  </si>
  <si>
    <t>alekseevskdorstroy.ru</t>
  </si>
  <si>
    <t>143 110 000</t>
  </si>
  <si>
    <t>671 390 000</t>
  </si>
  <si>
    <t>akz@alebekon.org</t>
  </si>
  <si>
    <t>210 030 000</t>
  </si>
  <si>
    <t>alecsinskayabelkovsc@yandex.ru, fabrika@abkf.ru, mikhail.sapunov@sftgroup.ru, sergey.britov@sftgroup.ru</t>
  </si>
  <si>
    <t>СФТ ГРУПП, ООО (230 032 012 руб., 99.99%)
КАМЕНСКАЯ БКФ, АО (29 266 руб., 0.010%)</t>
  </si>
  <si>
    <t>Производство бумаги и картона</t>
  </si>
  <si>
    <t>aalenfarma@mail.ru, alen@mail.ru, alenfarma@yandex.ru, alenfarma@yandex.ru.ru, asti@astifarm.ru</t>
  </si>
  <si>
    <t>www.asti-gk.ru</t>
  </si>
  <si>
    <t>Нефёдов Сергей Николаевич (10 000 руб., 100%)</t>
  </si>
  <si>
    <t>61 070 000</t>
  </si>
  <si>
    <t>aleffvolgodonsk@mail.ru</t>
  </si>
  <si>
    <t>Чумакова Людмила Евгеньевна (10 000 руб., 100%)</t>
  </si>
  <si>
    <t>Торговля оптовая сельскохозяйственным сырьем, не включенным в другие группировки</t>
  </si>
  <si>
    <t>140 000</t>
  </si>
  <si>
    <t>logservis@alidi.ru</t>
  </si>
  <si>
    <t>www.alidi.ru</t>
  </si>
  <si>
    <t>КОМП "БИММИНТА ИНВЕСТМЕНТС ЛИМИТЕД" (40 010 000 руб., 100%)</t>
  </si>
  <si>
    <t>239 760 000</t>
  </si>
  <si>
    <t>КОМП "БИММИНТА ИНВЕСТМЕНТС ЛИМИТЕД" (49 000 980 руб., 98.00%)
АЛИДИ, ООО ПРЕДПРИЯТИЕ (999 020 руб., 1.99%)</t>
  </si>
  <si>
    <t>128 990 000</t>
  </si>
  <si>
    <t>АЛИДИ, ООО ПРЕДПРИЯТИЕ (9 000 руб., 90%)
АЛИДИ-НОРД, ООО (1 000 руб., 10%)</t>
  </si>
  <si>
    <t>Торговля оптовая чистящими средствами</t>
  </si>
  <si>
    <t>68 010 000</t>
  </si>
  <si>
    <t>igor.y.vasiliev@gmail.com, info@alth.ru, o_afinogenova@alth.ru</t>
  </si>
  <si>
    <t>alioth.ru, www.alth.ru</t>
  </si>
  <si>
    <t>Васильев Игорь Юрьевич (150 500 000 руб., 100%)</t>
  </si>
  <si>
    <t>Производство электронных печатных плат</t>
  </si>
  <si>
    <t>211 730 000</t>
  </si>
  <si>
    <t>7811079533_783601001@eo.tensor.ru, petrov@aliter.spb.ru</t>
  </si>
  <si>
    <t>Артамонова Тамара Васильевна (200 000 руб., 20%)
Власов Владимир Владимирович (200 000 руб., 20%)
Денисов Дмитрий Евгеньевич (200 000 руб., 20%)
Жидков Андрей Борисович (200 000 руб., 20%)
Зубарев Иван Павлович (200 000 руб., 20%)</t>
  </si>
  <si>
    <t>Производство строительных металлических конструкций и изделий</t>
  </si>
  <si>
    <t>475 700 000</t>
  </si>
  <si>
    <t>Мохаммад Надир Шах Джума Хан (255 000 руб., 51%)
Сардар Вали Дад Гул (245 000 руб., 49%)</t>
  </si>
  <si>
    <t>Торговля оптовая табачными изделиями</t>
  </si>
  <si>
    <t>625 980 000</t>
  </si>
  <si>
    <t>katskov@yandex.ru</t>
  </si>
  <si>
    <t>РЕГИОН-ПРАКТИКА, ООО (9 750 000 руб., 97.50%)
Кравчук Екатерина Александровна (250 000 руб., 2.50%)</t>
  </si>
  <si>
    <t>21 210 000</t>
  </si>
  <si>
    <t>alcon.russia@alcon.com, club@moiglaza.ru, cts.russia@alcon.com, olga.klyaub@alcon.com, ts.admin@alcon.com</t>
  </si>
  <si>
    <t>www.catractsurgery.com</t>
  </si>
  <si>
    <t>"АЛКОН ИНК." (44 050 594.5 руб., 99.99%)
КОМПАНИЯ "АЛКОН ФАРМАСЬЮТИКАЛЗ ЛТД." ШВЕ (4 405.5 руб., 0.010%)</t>
  </si>
  <si>
    <t>736 150 000</t>
  </si>
  <si>
    <t>alcopackrus@alcopack.ru</t>
  </si>
  <si>
    <t>alcopack.ru</t>
  </si>
  <si>
    <t>Панглиш Владимир Иосифович (10 000 руб., 100%)</t>
  </si>
  <si>
    <t>alk_ekonom1@tsp.mi.ru, hr@alkotorg.com, mihailovatm@alkotorg.com</t>
  </si>
  <si>
    <t>alkotorg.com</t>
  </si>
  <si>
    <t>ФИРМА ТАНСУ, ООО (6 954 314.72 руб., 69.54%)
ТАТСПИРТПРОМ, АО (3 045 685.28 руб., 30.46%)</t>
  </si>
  <si>
    <t>30 550 000</t>
  </si>
  <si>
    <t>ФИНЛИДЕР, АО (10 010 000 руб., 100%)</t>
  </si>
  <si>
    <t>Торговля оптовая пивом</t>
  </si>
  <si>
    <t>24 360 000</t>
  </si>
  <si>
    <t>mail@aller-petfood.ru, zes@aller-petfood.ru</t>
  </si>
  <si>
    <t>www.aller-petfood.ru</t>
  </si>
  <si>
    <t>Aller Petfood Group A/S (79 759 700 руб., 100%)</t>
  </si>
  <si>
    <t>Производство готовых кормов для домашних животных</t>
  </si>
  <si>
    <t>ЭББВИ ИНТЕРНЕШНЛ ХОЛДИНГС АНЛИМИТЕД КАМПАНИ (9 999 руб., 99.99%)
ЭББВИ ЭНТЕРПРАЙЗЕС Б.В. (1 руб., 0.010%)</t>
  </si>
  <si>
    <t>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t>
  </si>
  <si>
    <t>788 680 000</t>
  </si>
  <si>
    <t>info@a-group.com</t>
  </si>
  <si>
    <t>almaz-fertilizers.ru</t>
  </si>
  <si>
    <t>АЛМАЗ ТЕХ, ООО (10 000 руб., 100%)</t>
  </si>
  <si>
    <t>20 820 000</t>
  </si>
  <si>
    <t>almaz@almazcorp.ru</t>
  </si>
  <si>
    <t>Воробьева Елизавета Алексеевна (4 000 руб., 40%)
Бояркина Анна Викторовна (3 000 руб., 30%)
Мееров Александр Имрамович (3 000 руб., 30%)</t>
  </si>
  <si>
    <t>Разработка гравийных и песчаных карьеров, добыча глины и каолина</t>
  </si>
  <si>
    <t>937 750 000</t>
  </si>
  <si>
    <t>adt@alrosa.ru, khudeevamk@abs.alrosa.ru ;shchipanovaoa@alrosa.ru, lemeshkovaols@alrosa.ru, panachevaom@alrosa.ru, zamotokhinans@alrosa.ru, zubarevata@alrosa.ru</t>
  </si>
  <si>
    <t>almazdt.ru</t>
  </si>
  <si>
    <t>АЛРОСА (ПАО), АК (3 039 942 000 руб., 100%)</t>
  </si>
  <si>
    <t>office@alanab.alrosa.ru, office@alanab.ru, ok@alanab.ru, protasovad@alanab.alrosa.ru, yktaa-ok@alanab.alrosa.ru</t>
  </si>
  <si>
    <t>alanab.ykt.ru</t>
  </si>
  <si>
    <t>Добыча алмазов</t>
  </si>
  <si>
    <t>9 570 290 000</t>
  </si>
  <si>
    <t>aloil116@mail.ru, aloil@016.ru, aloil@tatais.ru, info@zao-aloil.ru, sales@zao-aloil.ru</t>
  </si>
  <si>
    <t>aloil16.ru</t>
  </si>
  <si>
    <t>Добыча нефти</t>
  </si>
  <si>
    <t>2 248 720 000</t>
  </si>
  <si>
    <t>Сардар Вали Дад Гул (8 000 руб., 80%)
Мохаммад Надир Шах Джума Хан (2 000 руб., 20%)</t>
  </si>
  <si>
    <t>994 610 000</t>
  </si>
  <si>
    <t>www.alpla.com, www.alpla.ru</t>
  </si>
  <si>
    <t>АЛПЛА-ВЕРКЕ БТАЙЛИГУНГСГЕЗЕЛЛЬШАФТ МБХ" (АВС (90 590 627.75 руб., 100%)</t>
  </si>
  <si>
    <t>879 210 000</t>
  </si>
  <si>
    <t>alros-ingenering.ru</t>
  </si>
  <si>
    <t>Лукина Галина Викторовна (3 700 руб., 37%)
Березкин Александр Борисович (3 310 руб., 33.10%)
Панченков Алексей Георгиевич (2 990 руб., 29.90%)</t>
  </si>
  <si>
    <t>426 840 000</t>
  </si>
  <si>
    <t>ak-a-info@nlmk.com, shsa@altai-koks.ru</t>
  </si>
  <si>
    <t>www.altai.nlmk.com</t>
  </si>
  <si>
    <t>Производство кокса</t>
  </si>
  <si>
    <t>43 419 510 000</t>
  </si>
  <si>
    <t>1967@mail.ru, 685058916@mail.ru, ake_sbyt@altke.ru, alex@mes.rubtsovsk.ru, altaikra@yandeks.ru, altaikrai@yandex.ru, altanr@mail.ru, altlik@mail.ru, ba_efanof@alkte.ru, ba_efanonov@altke.ru</t>
  </si>
  <si>
    <t>www.altke.ru</t>
  </si>
  <si>
    <t>Торговля электроэнергией</t>
  </si>
  <si>
    <t>185 730 000</t>
  </si>
  <si>
    <t>762@altburenka.ru, altburenka@mail.ru, mail@altburenka.ru, tal@altburenka.ru</t>
  </si>
  <si>
    <t>altburenka.ru</t>
  </si>
  <si>
    <t>Глумов Юрий Александрович (15 000 руб., 100%)</t>
  </si>
  <si>
    <t>7 730 000</t>
  </si>
  <si>
    <t>0786@mail.ru, 15425@mail.ru, 1@mrsk.ru, 21542@mail.ru, 2224103849@mail.ru, 223471@mail.ru, 223489@mail.ru, 223952@mail.ru, 224504@mail.ru, 453234@mail.ru</t>
  </si>
  <si>
    <t>www.altaiensb.com</t>
  </si>
  <si>
    <t>113 750 000</t>
  </si>
  <si>
    <t>алтималтд.рф</t>
  </si>
  <si>
    <t>Сейранян Мамикон Сергеевич (10 000 000 руб., 100%)</t>
  </si>
  <si>
    <t>59 610 000</t>
  </si>
  <si>
    <t>alttrans@barnaul.ru, karlovaa@alttrans.org, postmaster@alttrans.org</t>
  </si>
  <si>
    <t>www.alttrans.ru</t>
  </si>
  <si>
    <t>Производство электродвигателей, генераторов и трансформаторов, кроме ремонта</t>
  </si>
  <si>
    <t>10 210 000</t>
  </si>
  <si>
    <t>Шигапов Анас Низамович (10 000 руб., 100%)</t>
  </si>
  <si>
    <t>33 370 000</t>
  </si>
  <si>
    <t>altex-stroy@altex.nnov.ru, as@as152.ru, ssm@as152.ru</t>
  </si>
  <si>
    <t>Седов Сергей Михайлович (50 100 000 руб., 100%)</t>
  </si>
  <si>
    <t>109 020 000</t>
  </si>
  <si>
    <t>0097@albatros.ru, 10s_blieva@spb.protek.ru, 1@pro.com, 45919000@mail.ru, 7373500@mail.ru, 7495737350038@mail.ru, _vedeneeva@krasnoyarsk.protek.ru, a_annikov@volgograd.protek.ru, a_martynova@saratov.protek.ru, a_yaakovenko@rnd.protek.ru</t>
  </si>
  <si>
    <t>МАКФАРМА, ООО (10 000 руб., 100%)</t>
  </si>
  <si>
    <t>70 440 000</t>
  </si>
  <si>
    <t>Соколов Сергей Юрьевич (10 000 руб., 100%)</t>
  </si>
  <si>
    <t>121 000 000</t>
  </si>
  <si>
    <t>s.selivanov@albiogen.ru, tender@albiogen.ru</t>
  </si>
  <si>
    <t>albiogen.ru</t>
  </si>
  <si>
    <t>Р-ФАРМ ХОЛДИНГ, ООО (9 900 руб., 99%)
Яковлевский Александр Владимирович (100 руб., 1%)</t>
  </si>
  <si>
    <t>2 038 020 000</t>
  </si>
  <si>
    <t>doc@bristol.ru</t>
  </si>
  <si>
    <t>bristol.ru</t>
  </si>
  <si>
    <t>Торговля розничная алкогольными напитками, включая пиво, в специализированных магазинах</t>
  </si>
  <si>
    <t>5 743 080 000</t>
  </si>
  <si>
    <t>letoile@alkor.co.ru</t>
  </si>
  <si>
    <t>www.letoile.ru, www.letu.ru</t>
  </si>
  <si>
    <t>КОМПАНИЯ ЛЕТУ ХОЛДИНГС ЛИМИТЕД (4 695 639 277 руб., 99.99%)
Володина Татьяна Владимировна (334 руб.)
Кокарев Алексей Валерьевич (333 руб.)
Семенда Владимир Анатольевич (333 руб.)</t>
  </si>
  <si>
    <t>Торговля розничная косметическими и товарами личной гигиены в специализированных магазинах</t>
  </si>
  <si>
    <t>4 372 090 000</t>
  </si>
  <si>
    <t>Симонов Андрей Борисович (515 100 руб., 100%)</t>
  </si>
  <si>
    <t>8 960 000</t>
  </si>
  <si>
    <t>corp@tkalma.ru, info@optalma.ru, info@your-domain.com, service@tkalma.ru, zakaz@tkalma.ru</t>
  </si>
  <si>
    <t>Хачатурян Роберт Юрикович (1 100 000 руб., 100%)</t>
  </si>
  <si>
    <t>72 750 000</t>
  </si>
  <si>
    <t>info@almacor-group.ru</t>
  </si>
  <si>
    <t>almacor-group.ru</t>
  </si>
  <si>
    <t>АЛЬМАКОР, АО (750 000 руб., 100%)</t>
  </si>
  <si>
    <t>237 300 000</t>
  </si>
  <si>
    <t>info@almisintegral.ru</t>
  </si>
  <si>
    <t>КАРАТ ВЕСТ ВНЕШНЯЯ ТОРГОВЛЯ, КОМПАНИЯ С ОГРАНИЧЕННОЙ ОТВЕТСТВЕННОСТЬЮ (50 000 руб., 50%)
МАТРИЦА, ООО (50 000 руб., 50%)</t>
  </si>
  <si>
    <t>1 782 270 000</t>
  </si>
  <si>
    <t>alpari@alparisb.ru</t>
  </si>
  <si>
    <t>Бугров Юрий Сергеевич (19 000 руб., 100%)</t>
  </si>
  <si>
    <t>office@spb-alpstroyservice.ru</t>
  </si>
  <si>
    <t>spb-alpstroyservice.ru</t>
  </si>
  <si>
    <t>Мамлеев Рустам Кямилевич (100 000 руб., 100%)</t>
  </si>
  <si>
    <t>15 690 000</t>
  </si>
  <si>
    <t>altera.rk@gmail.com, ooo_alt-era@mail.ru, ooo_alt-era@rambler.ru, ooo_alt_era@mail.ru, stroypalladium@gmail.com</t>
  </si>
  <si>
    <t>oooaltera.ru</t>
  </si>
  <si>
    <t>Ишутин Александр Владимирович (68 200 руб., 50%)
Бабашова Алла Леонидовна (47 740 руб., 35%)
Бабашова Татьяна Олеговна (20 460 руб., 15%)</t>
  </si>
  <si>
    <t>209 990 000</t>
  </si>
  <si>
    <t>altair-ak.ru</t>
  </si>
  <si>
    <t>Болдин Владимир Анатольевич (20 917.56 руб., 100%)</t>
  </si>
  <si>
    <t>222 780 000</t>
  </si>
  <si>
    <t>gordnatali@mail.ru, veragil@mail.ru</t>
  </si>
  <si>
    <t>Ткаченко Василий Валерьевич (10 000 руб., 100%)</t>
  </si>
  <si>
    <t>10 320 000</t>
  </si>
  <si>
    <t>79803408712@yandex.ru, a.c.zubov@yandex.ru, dolmz@yandex.ru, g.m73@inbox.ru, pozhidaef@mail.ru</t>
  </si>
  <si>
    <t>altair-oil.ru</t>
  </si>
  <si>
    <t>Окунев Михаил Евгеньевич (3 675 руб., 35%)
Рудаков Олег Николаевич (3 150 руб., 30%)
Уланова Елена Ивановна (3 150 руб., 30%)
Сидоров Евгений Петрович (525 руб., 5%)</t>
  </si>
  <si>
    <t>71 450 000</t>
  </si>
  <si>
    <t>altair@altamed.spb.ru, altair@yandex.ru, clients@altamed.spb.ru, der@altmed.spb.ru, info@altamed.spb, info@altamed.spb.ru, it@altamed.spb.ru, nfo@altamed.spb.ru, pryahina@altamed.spb.ru, tender@altamed.spb.ru</t>
  </si>
  <si>
    <t>altairpharm.ru</t>
  </si>
  <si>
    <t>АЛЬТАИР-САНКТ-ПЕТЕРБУРГ, ООО (97 588 000 руб., 99.99%)
Баланева Вероника Васильевна (2 000 руб., 0.0020%)</t>
  </si>
  <si>
    <t>175 280 000</t>
  </si>
  <si>
    <t>office@iv.altairalco.ru</t>
  </si>
  <si>
    <t>ГРУППА СПН, ООО (9 500 000 руб., 95%)
ИМПЕРИЯ, ООО (500 000 руб., 5%)</t>
  </si>
  <si>
    <t>1 710 000</t>
  </si>
  <si>
    <t>piv0803@mail.ru</t>
  </si>
  <si>
    <t>altastroj.ru</t>
  </si>
  <si>
    <t>Прокофьев Сергей Мариевич (500 000 руб., 100%)</t>
  </si>
  <si>
    <t>13 540 000</t>
  </si>
  <si>
    <t>alt@polarkov.ru, khramenok-ag@norebo.ru, nenasheva-na@norebo.com</t>
  </si>
  <si>
    <t>1 473 390 000</t>
  </si>
  <si>
    <t>smolksu67@yandex.ru</t>
  </si>
  <si>
    <t>Забора Сергей Александрович (10 000 руб., 100%)</t>
  </si>
  <si>
    <t>alternativa.bu@yandex.ru</t>
  </si>
  <si>
    <t>Кейзер Виталий Анатольевич (500 000 руб., 100%)</t>
  </si>
  <si>
    <t>69 620 000</t>
  </si>
  <si>
    <t>biysk@tg-alterra.ru, com@tg-alterra.ru, info@copylenco.ru, info@tg-alterra.ru, personal@tg-alterra.ru, postavka@tg-alterra.ru</t>
  </si>
  <si>
    <t>tg-alterra.ru</t>
  </si>
  <si>
    <t>Потапов Сергей Васильевич (477 000 руб., 47.70%)
Трефилов Роман Евгеньевич (477 000 руб., 47.70%)
Кривощёков Анатолий Сергеевич (20 000 руб., 2%)
Хохряков Михаил Александрович (14 000 руб., 1.40%)
Винников Роман Владимирович (12 000 руб., 1.20%)</t>
  </si>
  <si>
    <t>211 450 000</t>
  </si>
  <si>
    <t>buh@altstroy.ru, ooo_altstroy@mail.ru</t>
  </si>
  <si>
    <t>Шишов Андрей Юрьевич (100 000 000 руб., 100%)</t>
  </si>
  <si>
    <t>113 870 000</t>
  </si>
  <si>
    <t>altus@mail.recom.ru, altus@mail.redcom.ru</t>
  </si>
  <si>
    <t>altusdv.ru</t>
  </si>
  <si>
    <t>Агарков Олег Викторович (505 000 руб., 50%)
Ильин Михаил Юрьевич (505 000 руб., 50%)</t>
  </si>
  <si>
    <t>18 600 000</t>
  </si>
  <si>
    <t>1170@krasnoe-beloe.ru</t>
  </si>
  <si>
    <t>МЕРКУРИЙ РИТЕЙЛ ХОЛДИНГ, ООО (1 000 000 руб., 100%)</t>
  </si>
  <si>
    <t>1 924 490 000</t>
  </si>
  <si>
    <t>alphagrouppc.ru</t>
  </si>
  <si>
    <t>АКРОН ХОЛДИНГ, АО (153 000 руб., 51%)
ПК ЭКОИНДУСТРИЯ, ООО (147 000 руб., 49%)</t>
  </si>
  <si>
    <t>101 150 000</t>
  </si>
  <si>
    <t>ruslan@asburo.ru</t>
  </si>
  <si>
    <t>АПТЕЧНАЯ СЕТЬ ОЗ, ООО (15 300 руб., 51%)
Востротин Александр Евгеньевич (5 250 руб., 17.50%)
Богданова Оксана Геннадьевна (3 150 руб., 10.50%)
Пономарев Евгений Юрьевич (2 400 руб., 8%)
Янборисов Тимур Наильевич (2 400 руб., 8%)
Карякин Василий Александрович (1 500 руб., 5%)</t>
  </si>
  <si>
    <t>info.ru@alfalaval.com, moscow.reception@alfalaval.com, moscow.response@alfalaval.com, russia.info@alfalaval.com</t>
  </si>
  <si>
    <t>www.alfalaval.ru</t>
  </si>
  <si>
    <t>Производство машин и оборудования для производства пищевых продуктов, напитков и табачных изделий</t>
  </si>
  <si>
    <t>180 660 000</t>
  </si>
  <si>
    <t>13107@krasnoe-beloe.ru</t>
  </si>
  <si>
    <t>МЕРКУРИЙ РИТЕЙЛ ХОЛДИНГ, ООО (200 000 руб., 100%)</t>
  </si>
  <si>
    <t>332 160 000</t>
  </si>
  <si>
    <t>1567@krasnoe-beloe.ru</t>
  </si>
  <si>
    <t>МЕРКУРИЙ РИТЕЙЛ ХОЛДИНГ, ООО (500 000 руб., 100%)</t>
  </si>
  <si>
    <t>1597@krasnoe-beloe.ru, krasnoe-beloe.perm@mail.ru</t>
  </si>
  <si>
    <t>МЕРКУРИЙ РИТЕЙЛ ХОЛДИНГ, ООО (250 000 руб., 100%)</t>
  </si>
  <si>
    <t>1182@krasnoe-beloe.ru</t>
  </si>
  <si>
    <t>2 439 530 000</t>
  </si>
  <si>
    <t>torg@acons.group</t>
  </si>
  <si>
    <t>Кабанов Евгений Александрович (10 000 руб., 100%)</t>
  </si>
  <si>
    <t>23 940 000</t>
  </si>
  <si>
    <t>info@skalphastroy.com</t>
  </si>
  <si>
    <t>www.skalphastroy.com, скальфастрой.рф</t>
  </si>
  <si>
    <t>Харьков Дмитрий Васильевич (170 000 руб., 34%)
Амиров Юсуф Алиевич (165 000 руб., 33%)
Крепышев Николай Юрьевич (165 000 руб., 33%)</t>
  </si>
  <si>
    <t>103 250 000</t>
  </si>
  <si>
    <t>ХК ЭВОЛЮЦИЯ, АО (510 000 руб., 51%)
ИНКО, ООО (490 000 руб., 49%)</t>
  </si>
  <si>
    <t>2 200 000</t>
  </si>
  <si>
    <t>kalashnikovavv@gmail.fresh25.ru</t>
  </si>
  <si>
    <t>www.samberi.com</t>
  </si>
  <si>
    <t>НЕВАДА-ВОСТОК, ООО (10 200 руб., 51%)
ИНКОТЕК, ООО (7 052.7 руб., 35.26%)
ФАДЕЕВСКОЕ-ДВ, ООО (2 347.3 руб., 11.74%)
Помазан Яна Анатольевна (400 руб., 2%)</t>
  </si>
  <si>
    <t>esastakhova@alfaleasing.ru</t>
  </si>
  <si>
    <t>http://alfaleasing.ru/</t>
  </si>
  <si>
    <t>АЛЬФА-БАНК, АО (17 460 000 руб., 100%)</t>
  </si>
  <si>
    <t>ЛТС, ООО (4 995 000 руб., 99.90%)
Лазаревич Елена Павловна (5 000 руб., 0.10%)</t>
  </si>
  <si>
    <t>16 770 000</t>
  </si>
  <si>
    <t>1555@krasnoe-beloe.ru</t>
  </si>
  <si>
    <t>krasnoe-beloe.ru</t>
  </si>
  <si>
    <t>МЕРКУРИЙ РИТЕЙЛ ХОЛДИНГ, ООО (2 000 000 руб., 100%)</t>
  </si>
  <si>
    <t>7 341 750 000</t>
  </si>
  <si>
    <t>online.shop@alpha-medica.ru, tsybakova.irina@alpha-medica.ru</t>
  </si>
  <si>
    <t>www.alpha-medica.ru, www.microlife.ru</t>
  </si>
  <si>
    <t>Торговля оптовая изделиями, применяемыми в медицинских целях</t>
  </si>
  <si>
    <t>606 990 000</t>
  </si>
  <si>
    <t>Михайлов Михаил Сергеевич (7 510 руб., 75.10%)
Кустова Наталья Николаевна (1 245 руб., 12.45%)
Петров Михаил Владимирович (1 245 руб., 12.45%)</t>
  </si>
  <si>
    <t>Торговля оптовая промышленными химикатами</t>
  </si>
  <si>
    <t>dvtranzit@mail.ru, irina@alfatranzit.com</t>
  </si>
  <si>
    <t>alfatranzit.com</t>
  </si>
  <si>
    <t>Яцентюк Александр Евгеньевич (20 000 руб., 100%)</t>
  </si>
  <si>
    <t>51 210 000</t>
  </si>
  <si>
    <t>alfakabel77@mail.ru</t>
  </si>
  <si>
    <t>Сватков Алексей Владимирович (510 000 руб., 100%)</t>
  </si>
  <si>
    <t>52 850 000</t>
  </si>
  <si>
    <t>alfamobil.ru</t>
  </si>
  <si>
    <t>АЛЬФА-ЛИЗИНГ, ООО (35 700 000 руб., 51%)
Соколов Андрей Борисович (8 400 000 руб., 12%)
Иванов Олег Игоревич (7 000 000 руб., 10%)
Ильина Полина Вадимовна (6 300 000 руб., 9%)
Сильвестров Александр Константинович (6 300 000 руб., 9%)
Меерсон Борис Павлович (5 600 000 руб., 8%)
ИНТЕРГРУП, ООО (700 000 руб., 1%)</t>
  </si>
  <si>
    <t>1 910 180 000</t>
  </si>
  <si>
    <t>amnrus@mail.ru, info@amnrus.ru</t>
  </si>
  <si>
    <t>amnrus.ru</t>
  </si>
  <si>
    <t>Климов Андрей Сергеевич (290 000 руб., 40%)
Поддьяков Дмитрий Андреевич (290 000 руб., 40%)
АЛЬФАКТИВ, ООО (145 000 руб., 20%)</t>
  </si>
  <si>
    <t>8 200 000</t>
  </si>
  <si>
    <t>atfmoscow@rambler.ru, l.levashova@atf-m.ru, office@alfatechform.com</t>
  </si>
  <si>
    <t>www.atf-m.ru</t>
  </si>
  <si>
    <t>ПРОМТЕХСЕРВИС, АО (480 000 руб., 100%)</t>
  </si>
  <si>
    <t>236 880 000</t>
  </si>
  <si>
    <t>eef@zdorov.ru</t>
  </si>
  <si>
    <t>https://zdorov.ru</t>
  </si>
  <si>
    <t>Каграманов Сергей Александрович (4 000 руб., 40%)
Акимов Михаил Юрьевич (3 300 руб., 33%)
Пышняк Артем Валерьевич (1 200 руб., 12%)
Щербинкина Ольга Васильевна (1 000 руб., 10%)
Тихоход Юрий Владимирович (500 руб., 5%)</t>
  </si>
  <si>
    <t>irina.osipova@alliance-project.com</t>
  </si>
  <si>
    <t>АЛЬЯНС ИНДАСТРИ ГРУПП, ООО (5 000 000 руб., 100%)</t>
  </si>
  <si>
    <t>209 420 000</t>
  </si>
  <si>
    <t>Фраш Денис Владимирович (10 000 руб., 100%)</t>
  </si>
  <si>
    <t>7 350 000</t>
  </si>
  <si>
    <t>info@allianceservice.cc</t>
  </si>
  <si>
    <t>Логинова Инга Александровна (12 000 руб., 100%)</t>
  </si>
  <si>
    <t>Предоставление прочих услуг в области добычи нефти и природного газа</t>
  </si>
  <si>
    <t>226 610 000</t>
  </si>
  <si>
    <t>aliance.18@mail.ru</t>
  </si>
  <si>
    <t>Кекуль Евгений Петрович (500 000 руб., 100%)</t>
  </si>
  <si>
    <t>41 690 000</t>
  </si>
  <si>
    <t>info@alyansrt.ru</t>
  </si>
  <si>
    <t>Волкова Ксения Кирилловна (5 000 руб., 50%)
Морозов Дмитрий Михайлович (5 000 руб., 50%)</t>
  </si>
  <si>
    <t>78 880 000</t>
  </si>
  <si>
    <t>adsrz@mail.ru, buhgk@ads62.ru, info@ads62.ru, info@gk62.ru</t>
  </si>
  <si>
    <t>Патрин Павел Вячеславович (651 010 000 руб., 100%)</t>
  </si>
  <si>
    <t>alliance-neva.ru</t>
  </si>
  <si>
    <t>Дудин Дмитрий Васильевич (7 100 руб., 71%)
Бодягин Андрей Олегович (2 900 руб., 29%)</t>
  </si>
  <si>
    <t>930 000</t>
  </si>
  <si>
    <t>Ахриев Сандро Алиханович (5 000 руб., 50%)
Тринос Дмитрий Владимирович (5 000 руб., 50%)</t>
  </si>
  <si>
    <t>87 290 000</t>
  </si>
  <si>
    <t>adsbitum@mail.ru</t>
  </si>
  <si>
    <t>anx62.ru</t>
  </si>
  <si>
    <t>NECKARENTO HOLDINGS LTD (10 000 руб., 100%)</t>
  </si>
  <si>
    <t>glukhov@krost.net, obosyan@mail.ru</t>
  </si>
  <si>
    <t>Обосян Борис Аревшатович (10 000 руб., 100%)</t>
  </si>
  <si>
    <t>5 820 000</t>
  </si>
  <si>
    <t>marketing@alutechmsk.ru, msk@alutech.ru, sale@alutechmsk.ru</t>
  </si>
  <si>
    <t>www.alutech.ru</t>
  </si>
  <si>
    <t>ELUTEK INVESTMENTS LIMITED (16 573 806 руб., 100%)</t>
  </si>
  <si>
    <t>21 200 000</t>
  </si>
  <si>
    <t>zhukova-e@alutech-jug.ru, zhukova-e@aluteh-jug.ru</t>
  </si>
  <si>
    <t>ELUTEK INVESTMENTS LIMITED (27 906 205 руб., 100%)</t>
  </si>
  <si>
    <t>am-materials.ru</t>
  </si>
  <si>
    <t>Мамедов Илгар Муса Оглы (4 010 000 руб., 100%)</t>
  </si>
  <si>
    <t>Торговля оптовая бумагой и картоном</t>
  </si>
  <si>
    <t>917 610 000</t>
  </si>
  <si>
    <t>buch@amazone.ru</t>
  </si>
  <si>
    <t>www.amazone.ru</t>
  </si>
  <si>
    <t>Амазоне Бетайлигунгс-ГмбХ (3 499 000 руб., 99.97%)
Браунсманн Людгер Конрад (1 000 руб., 0.030%)</t>
  </si>
  <si>
    <t>414 440 000</t>
  </si>
  <si>
    <t>amv.qrupp@mail.ru</t>
  </si>
  <si>
    <t>Авакян Астхик Суреновна (20 000 руб., 100%)</t>
  </si>
  <si>
    <t>78 730 000</t>
  </si>
  <si>
    <t>nadiya.petrenko@amdocs.com</t>
  </si>
  <si>
    <t>АМДОКС ДЕВЕЛОПМЕНТ ЛТД (11 900 000 руб., 100%)</t>
  </si>
  <si>
    <t>pantushin@amega.perm.ru</t>
  </si>
  <si>
    <t>www.amega.perm.ru</t>
  </si>
  <si>
    <t>Кривощекова Жанна Юрьевна (100 000 руб., 100%)</t>
  </si>
  <si>
    <t>55 490 000</t>
  </si>
  <si>
    <t>karen@ameria.ru, kerova@ameria.ru</t>
  </si>
  <si>
    <t>ameria.ru , macarony.ru</t>
  </si>
  <si>
    <t>Даниелян Артур Рубенович (5 714 000 руб., 57.14%)
Асирян Артур Робертович (1 786 000 руб., 17.86%)
Асирян Микаел Робертович (1 786 000 руб., 17.86%)
Астабатцян Карен Грантович (714 000 руб., 7.14%)</t>
  </si>
  <si>
    <t>Торговля оптовая прочими пищевыми продуктами, включая рыбу, ракообразных и моллюсков</t>
  </si>
  <si>
    <t>461 800 000</t>
  </si>
  <si>
    <t>galdinaiv@foamline.com</t>
  </si>
  <si>
    <t>www.foamline.com</t>
  </si>
  <si>
    <t>РИФ АМЕТИСТ, ООО (34 000 000 руб., 100%)</t>
  </si>
  <si>
    <t>Производство пластмасс и синтетических смол в первичных формах</t>
  </si>
  <si>
    <t>52 810 000</t>
  </si>
  <si>
    <t>alexey.voytov@russdragmet.ru, secretar_am@imm-kamchatka.ru, sekretar_aup@kamgold.kamchatka.ru</t>
  </si>
  <si>
    <t>489 150 000</t>
  </si>
  <si>
    <t>angela@amylco.ru, fin@amylco.ru, millerovo@amylco.ru</t>
  </si>
  <si>
    <t>amylco.ru</t>
  </si>
  <si>
    <t>КОМПАНИЯ С ОГРАНИЧЕННОЙ ОТВЕТСТВЕННОСТЬЮ "АМИЛКО МАИЗ МАНУФАКТУРИНГ КАМПАНИ ЛТД" (120 000 000 руб., 81.63%)
Серебряков Николай Геннадиевич (27 000 000 руб., 18.37%)</t>
  </si>
  <si>
    <t>Производство крахмала</t>
  </si>
  <si>
    <t>462 520 000</t>
  </si>
  <si>
    <t>alexap@yandex.ru, n.murivieva@ishim-agro.ru, o.gileva@ishim-agro.ru</t>
  </si>
  <si>
    <t>аминосиб.рф</t>
  </si>
  <si>
    <t>Производство крахмала и крахмалосодержащих продуктов</t>
  </si>
  <si>
    <t>1 026 170 000</t>
  </si>
  <si>
    <t>atz@spb.avtomir.ru, info-spb@avtomir.ru, info@avtomir.ru, kia-arh@avtomir.ru, kia-info@avtomir.ru, kia@avtomir.ru, promo@avtomir.ru, sch-atz@avtomir.ru, yakovlev.a.v@avtomir.ru</t>
  </si>
  <si>
    <t>avtomir.ru</t>
  </si>
  <si>
    <t>НП АВТОМИР, ЗАО (1 000 000 000 руб., 100%)</t>
  </si>
  <si>
    <t>3 677 190 000</t>
  </si>
  <si>
    <t>a.lemeshko@dc.rennagroup.ru, amkk@amkk.rennagroup.ru, amkk@belgtts.ru, lemeshko@amkk.ru, snab@amkk.belgtts.ru, zakaz@amkk.ru</t>
  </si>
  <si>
    <t>Производство прочей молочной продукции</t>
  </si>
  <si>
    <t>ammoni@bk.ru, info@ammoni.ru, taxnet@ammoni.ru</t>
  </si>
  <si>
    <t>www.ammoni.ru</t>
  </si>
  <si>
    <t>Гасымов Фахрад Масим Оглы (10 000 руб., 100%)</t>
  </si>
  <si>
    <t>56 890 000</t>
  </si>
  <si>
    <t>7825335145_780101001@eo.tensor.ru, pizzahut@mail.wplus.net</t>
  </si>
  <si>
    <t>КОМПАНИЯ "AMREST SP.Z.O.O." (2 093 974 291.97 руб., 55.28%)
КОМПАНИЯ "АМРЕСТ АКВИЗИШН САБСИДАЭРИ ЛИМИТЕД" (1 694 226 240.26 руб., 44.72%)</t>
  </si>
  <si>
    <t>755 770 000</t>
  </si>
  <si>
    <t>info@amsg-russia.com, oe@amsg-russia.com</t>
  </si>
  <si>
    <t>amsg-russia.com</t>
  </si>
  <si>
    <t>Варгасов Алексей Николаевич (10 000 руб., 100%)</t>
  </si>
  <si>
    <t>Торговля оптовая металлами в первичных формах</t>
  </si>
  <si>
    <t>oooams@yandex.ru</t>
  </si>
  <si>
    <t>Махаев Владимир Александрович (1 000 000 руб., 100%)</t>
  </si>
  <si>
    <t>102 640 000</t>
  </si>
  <si>
    <t>office@agralmt.ru</t>
  </si>
  <si>
    <t>www.agralmt.ru</t>
  </si>
  <si>
    <t>Цобкалло Михаил Сергеевич (10 000 000 руб., 100%)</t>
  </si>
  <si>
    <t>Производство мясных (мясосодержащих) полуфабрикатов</t>
  </si>
  <si>
    <t>24 940 000</t>
  </si>
  <si>
    <t>agromaster@agromaster.ru</t>
  </si>
  <si>
    <t>www.agromaster.ru</t>
  </si>
  <si>
    <t>Захарова Ольга Петровна (500 000 руб., 100%)</t>
  </si>
  <si>
    <t>182 130 000</t>
  </si>
  <si>
    <t>amt-etp@amt.ru, info@amt.ru, tac@amt.ru</t>
  </si>
  <si>
    <t>www.amt.ru</t>
  </si>
  <si>
    <t>37 930 000</t>
  </si>
  <si>
    <t>amtek-m@mail.ru, info@ckamtek.ru</t>
  </si>
  <si>
    <t>Вавилкин Алексей Михайлович (1 000 000 руб., 100%)</t>
  </si>
  <si>
    <t>bondarenko.lena@amtel.club, okonoshonok@mail.ru</t>
  </si>
  <si>
    <t>maslocenter.ru</t>
  </si>
  <si>
    <t>Щеглов Дмитрий Александрович (4 000 руб., 40%)
Петров Сергей Борисович (3 000 руб., 30%)
Плисов Илья Викторович (3 000 руб., 30%)</t>
  </si>
  <si>
    <t>193 350 000</t>
  </si>
  <si>
    <t>oui@ascp.ru, port@ascp.ru, sgd@ascp.ru, shumilova@ascp.ru, zadorin.ea@ascp.ru, zakup@ascp.ru</t>
  </si>
  <si>
    <t>www.ascp.ru</t>
  </si>
  <si>
    <t>ВАЙЗ ИНВЕСТ, АО (75 190.75 руб., 60%)
ТД БУЛАТ-СБС, ООО (28 196.625 руб., 22.50%)
Патрушев Андрей Николаевич (12 531.75 руб., 10%)
ИНВЕСТИЦИОННЫЙ ИНДУСТРИАЛЬНЫЙ ПАРТНЕР, ООО (9 398.875 руб., 7.50%)</t>
  </si>
  <si>
    <t>Транспортная обработка грузов</t>
  </si>
  <si>
    <t>446 940 000</t>
  </si>
  <si>
    <t>buh@am-tec.ru</t>
  </si>
  <si>
    <t>am-tec.ru</t>
  </si>
  <si>
    <t>Минасян Армен Геворгович (200 000 руб., 100%)</t>
  </si>
  <si>
    <t>202 010 000</t>
  </si>
  <si>
    <t>amur.company@amur-gold.ru</t>
  </si>
  <si>
    <t>amur-gold.ru</t>
  </si>
  <si>
    <t>АГ МАЙНИНГ, ПАО (1 639 414 569 руб., 100%)</t>
  </si>
  <si>
    <t>102 900 000</t>
  </si>
  <si>
    <t>info@arendatechdv.ru, info@tempam.loc, office@amurmachinery.ru, office@sakhalinmachinery.ru, oksanapetrenko@amurmachinery.ru, training@amurmachinery.ru</t>
  </si>
  <si>
    <t>www.amurmachinery.ru</t>
  </si>
  <si>
    <t>АКЦИОНЕРНАЯ КОМПАНИЯ "БОРУСАН МАКИНА ВЕ ГЮЧ СИСТЕМЛЕРИ САНАИ ВЕ ТИДЖАРЕТ АНОНИМ ШИРКЕТИ" (3 509 800 руб., 100%)</t>
  </si>
  <si>
    <t>Торговля оптовая машинами и оборудованием для добычи полезных ископаемых и строительства</t>
  </si>
  <si>
    <t>892 660 000</t>
  </si>
  <si>
    <t>glavbuh_uk@amuragrokompleks.ru</t>
  </si>
  <si>
    <t>Сарапкин Александр Владимирович (44 890 000 руб., 100%)</t>
  </si>
  <si>
    <t>752 030 000</t>
  </si>
  <si>
    <t>ДАЛЬЛЕСПРОМ, АО (1 823 301 667 руб., 100%)</t>
  </si>
  <si>
    <t>Распиловка и строгание древесины</t>
  </si>
  <si>
    <t>336940@mail.ru, broiler@tsl.ru</t>
  </si>
  <si>
    <t>amurbroiler.ru</t>
  </si>
  <si>
    <t>Ерошевский Станислав Иванович (5 913 060 руб., 74.63%)
Ерошевский Сергей Иванович (1 592 940 руб., 20.11%)
Климёнов Сергей Петрович (208 500 руб., 2.63%)
Павлов Роман Леонидович (208 500 руб., 2.63%)</t>
  </si>
  <si>
    <t>496 210 000</t>
  </si>
  <si>
    <t>info@amurstal.com</t>
  </si>
  <si>
    <t>https://www.amurstal.com/</t>
  </si>
  <si>
    <t>АРМАДА, АО (79 507 500 руб., 99.99%)
Стародубова Лариса Павловна (2 500 руб., 0.0031%)</t>
  </si>
  <si>
    <t>Производство стали в слитках</t>
  </si>
  <si>
    <t>2 324 380 000</t>
  </si>
  <si>
    <t>goludko62@mail.ru</t>
  </si>
  <si>
    <t>Солдаткин Константин Юрьевич (10 000 руб., 100%)</t>
  </si>
  <si>
    <t>220 620 000</t>
  </si>
  <si>
    <t>am_office@ruscoal.ru, avergaskin@ruscoal.ru</t>
  </si>
  <si>
    <t>amurcoal.ru</t>
  </si>
  <si>
    <t>Добыча бурого угля (лигнита) открытым способом</t>
  </si>
  <si>
    <t>461 870 000</t>
  </si>
  <si>
    <t>a_snigir@anb27.ru, info@anb27.ru</t>
  </si>
  <si>
    <t>anb27.ru</t>
  </si>
  <si>
    <t>Кохан Владимир Анатольевич (10 000 руб., 100%)</t>
  </si>
  <si>
    <t>27 560 000</t>
  </si>
  <si>
    <t>stroyinfo23@gmail.com</t>
  </si>
  <si>
    <t>anboil.ru</t>
  </si>
  <si>
    <t>Пляскота Сергей Николаевич (10 000 руб., 100%)</t>
  </si>
  <si>
    <t>1 010 000</t>
  </si>
  <si>
    <t>grise@mail.ru</t>
  </si>
  <si>
    <t>Черных Степан Семенович (20 000 руб., 100%)</t>
  </si>
  <si>
    <t>Лесозаготовки</t>
  </si>
  <si>
    <t>46 600 000</t>
  </si>
  <si>
    <t>acgk@angcem.ru, acgk@sibcem.ru, krascem@sibcem.ru</t>
  </si>
  <si>
    <t>www.angarskcement.ru, www.sia.ru</t>
  </si>
  <si>
    <t>314 980 000</t>
  </si>
  <si>
    <t>sales@angelyeast.ru, v.leonskaya@angelyeast.ru</t>
  </si>
  <si>
    <t>www.angelyeast.com</t>
  </si>
  <si>
    <t>ОБЩЕСТВО С ОГРАНИЧЕННОЙ ОТВЕТСТВЕННОСТЬЮ АНГЕЛ ИСТ (БИНЬЧЖОУ) КО., ЛТД (2 784 870 000 руб., 99%)
ОБЩЕСТВО С ОГРАНИЧЕННОЙ ОТВЕТСТВЕННОСТЬЮ АНГЕЛ ИСТ (БИНЬЧЖОУ) КО., ЛТД (28 130 000 руб., 1%)</t>
  </si>
  <si>
    <t>Производство прочих пищевых продуктов, не включенных в другие группировки</t>
  </si>
  <si>
    <t>brewery.klin@suninterbrew.ru, irina.prosinuk@suninterbrew.ru, mail@saninbev.com, mail@saninterbrew.ru</t>
  </si>
  <si>
    <t>www.suninterbrew.ru</t>
  </si>
  <si>
    <t>Производство пива</t>
  </si>
  <si>
    <t>3 671 680 000</t>
  </si>
  <si>
    <t>angk@anpkoil.ru, angk@kemoil.ru, npzsk@anpkoil.ru</t>
  </si>
  <si>
    <t>АНЗ, ООО (314 880 000 руб., 100%)</t>
  </si>
  <si>
    <t>info@ancor.ru</t>
  </si>
  <si>
    <t>ancor.ru</t>
  </si>
  <si>
    <t>АНКОР, АО (1 000 000 руб., 100%)</t>
  </si>
  <si>
    <t>21 470 000</t>
  </si>
  <si>
    <t>7 430 000</t>
  </si>
  <si>
    <t>Арефьева Юлия Владимировна (5 000 руб., 50%)
Гредасова Мария Николаевна (5 000 руб., 50%)</t>
  </si>
  <si>
    <t>63 550 000</t>
  </si>
  <si>
    <t>ФИРМА "АНТ ЯПЫ САНАЙИ ВЕ ТИДЖАРЕТ ЛТД ШИРКЕТИ " (10 000 руб., 100%)</t>
  </si>
  <si>
    <t>100 880 000</t>
  </si>
  <si>
    <t>antey.sever@crabfish.ru, igorcherkesov56@yandex.ru, office.murmansk@crabfish.ru</t>
  </si>
  <si>
    <t>АНТЕЙ УПРАВЛЕНИЕ АКТИВАМИ, ООО (990 000 руб., 99%)
РСХБ-ФИНАНС, ООО (10 000 руб., 1%)</t>
  </si>
  <si>
    <t>finance@crabfish.ru, office@crabfish.ru</t>
  </si>
  <si>
    <t>Михнов Игорь Иванович (4 000 408.17 руб., 99%)
РСХБ-ФИНАНС, ООО (40 408.16 руб., 1%)</t>
  </si>
  <si>
    <t>Рыболовство</t>
  </si>
  <si>
    <t>1 929 570 000</t>
  </si>
  <si>
    <t>antk102@gmail.com</t>
  </si>
  <si>
    <t>Габдрахманов Айдар Владикович (5 000 руб., 50%)
Сергеева Ирина Петровна (5 000 руб., 50%)</t>
  </si>
  <si>
    <t>51 280 000</t>
  </si>
  <si>
    <t>antr-aktiv@mail.ru, hyperline@antractive.ru, office@antractive.ru</t>
  </si>
  <si>
    <t>Сыркин Сергей Петрович (20 000 руб., 100%)</t>
  </si>
  <si>
    <t>125 650 000</t>
  </si>
  <si>
    <t>www.antteq.com</t>
  </si>
  <si>
    <t>ФИРМА "АНТ ЯПЫ САНАЙИ ВЕ ТИДЖАРЕТ ЛТД ШИРКЕТИ " (70 000 руб., 70%)
Биринджи Исмет (15 000 руб., 15%)
Дюндар Гювен (15 000 руб., 15%)</t>
  </si>
  <si>
    <t>431 760 000</t>
  </si>
  <si>
    <t>amurship@amurship.ru, client@amurship.ru, mariya.shimanskaya@rfpgroup.ru, mmihonin@amurship.ru, sves@asco.khv.ru</t>
  </si>
  <si>
    <t>www.asco.khv.ru</t>
  </si>
  <si>
    <t>Деятельность внутреннего водного грузового транспорта</t>
  </si>
  <si>
    <t>502 190 000</t>
  </si>
  <si>
    <t>tender@apexplus.ru</t>
  </si>
  <si>
    <t>apexplus.ru</t>
  </si>
  <si>
    <t>Минин Геннадий Викторович (10 000 000 руб., 100%)</t>
  </si>
  <si>
    <t>Торговля розничная прочими пищевыми продуктами в специализированных магазинах</t>
  </si>
  <si>
    <t>ЧАСТНАЯ КОМПАНИЯ С ОГРАНИЧЕННОЙ ОТВЕТСТВЕННОСТЬЮ "СОТЕРИА ВЕНЧЭРС ЛТД" (99 900 руб., 99.90%)
Лукичёв Александр Наумович (100 руб., 0.10%)</t>
  </si>
  <si>
    <t>Торговля оптовая скобяными изделиями, водопроводным и отопительным оборудованием и принадлежностями</t>
  </si>
  <si>
    <t>678 280 000</t>
  </si>
  <si>
    <t>ГК АГРОЭКО, ООО (1 274 009 800 руб., 98%)
КОМПАНИЯ С ОГРАНИЧЕННОЙ ОТВЕТСТВЕННОСТЬЮ "АГРОЭКО ГРУП ВРН ЛИМИТЕД" (13 000 100 руб., 1%)
Маслов Владимир Васильевич (6 500 050 руб., 0.50%)
Маслов Михаил Олегович (6 500 050 руб., 0.50%)</t>
  </si>
  <si>
    <t>Животноводство</t>
  </si>
  <si>
    <t>1 250 330 000</t>
  </si>
  <si>
    <t>info@astcom.ru, info@astkom.ru</t>
  </si>
  <si>
    <t>astkom.ru</t>
  </si>
  <si>
    <t>Магомедхажиев Руслан Сайдумович (22 440 000 руб., 68%)
Лиховцев Александр Иванович (10 560 000 руб., 32%)</t>
  </si>
  <si>
    <t>1 037 150 000</t>
  </si>
  <si>
    <t>tomat-astra.ru</t>
  </si>
  <si>
    <t>Орлов Роман Александрович (682 381 392.5 руб., 66.50%)
Хаджимурадов Хасан Мухадиевич (343 753 533.5 руб., 33.49%)</t>
  </si>
  <si>
    <t>157 710 000</t>
  </si>
  <si>
    <t>info@apkkam.ru, retail@apkkam.ru</t>
  </si>
  <si>
    <t>АГРОИНВЕСТ, ООО (626 990 000 руб., 99.99%)
Салахова Энже Фанисовна (9 000 руб., 0.0014%)
Галяутдинов Ильдар Хайдарович (1 000 руб., 0.00020%)</t>
  </si>
  <si>
    <t>apkprod@mail.ru, m.rifat@mail.ru</t>
  </si>
  <si>
    <t>Мутигуллин Рифат Махмутович (380 000 000 руб., 100%)</t>
  </si>
  <si>
    <t>257 540 000</t>
  </si>
  <si>
    <t>danilova.nv@promagro.ru</t>
  </si>
  <si>
    <t>201309140@mail.ru, nivabuh@mail.ru</t>
  </si>
  <si>
    <t>Будагов Петр Сергеевич (629 040 500 руб., 100%)</t>
  </si>
  <si>
    <t>1 430 690 000</t>
  </si>
  <si>
    <t>РЕГИОНИНВЕСТ, ООО (79 990 000 руб., 99.99%)
Стахов Максим Игоревич (10 000 руб., 0.010%)</t>
  </si>
  <si>
    <t>apk-kursk@apkholding.ru, lskandakova@apkholding.ru</t>
  </si>
  <si>
    <t>http://www.apkholding.ru/</t>
  </si>
  <si>
    <t>Новиков Сергей Анатольевич (12 750 руб., 51%)
АПК-ЧЕРНОЗЕМЬЕ, ООО (12 250 руб., 49%)</t>
  </si>
  <si>
    <t>4 875 190 000</t>
  </si>
  <si>
    <t>e.a.alenyshkina@apkholding.ru, lskandakova@apkholding.ru</t>
  </si>
  <si>
    <t>Новиков Сергей Анатольевич (15 000 000 руб., 100%)</t>
  </si>
  <si>
    <t>738 040 000</t>
  </si>
  <si>
    <t>apmk-bild@mail.ru</t>
  </si>
  <si>
    <t>Насибуллин Ринат Азгамович (2 513 580 руб., 51.48%)
Шарафетдинов Фанис Марихович (2 369 260 руб., 48.52%)</t>
  </si>
  <si>
    <t>10 290 000</t>
  </si>
  <si>
    <t>igtkachenko@yandex.ru, info@apo-avrora.ru</t>
  </si>
  <si>
    <t>1 841 660 000</t>
  </si>
  <si>
    <t>azpm@alekogroup.ru, info@alekogroup.ru, koroleva@alekogroup.ru</t>
  </si>
  <si>
    <t>www.alekogroup.ru</t>
  </si>
  <si>
    <t>Докукин Алексей Николаевич (300 000 руб., 100%)</t>
  </si>
  <si>
    <t>262 320 000</t>
  </si>
  <si>
    <t>546 300 000</t>
  </si>
  <si>
    <t>e.koltsova@sawatzky.ru</t>
  </si>
  <si>
    <t>Левиев Елиазаров Цвия (14 027 956 руб., 41.58%)
КОМП С ОГРАНИЧЕННОЙ ОТВЕТСТВЕННОСТЬЮ "САВАЦКИЙ" (8 400 000 руб., 24.90%)
Гройсман Екатерина Сергеевна (6 240 022 руб., 18.50%)
Гройсман Светлана Изаславовна (5 066 962 руб., 15.02%)</t>
  </si>
  <si>
    <t>112 320 000</t>
  </si>
  <si>
    <t>СЕМЕЙНАЯ АПТЕКА АПРЕЛЬ, ООО (6 600 руб., 66%)
Анисимов Вадим Георгиевич (3 400 руб., 34%)</t>
  </si>
  <si>
    <t>15 490 000</t>
  </si>
  <si>
    <t>32 900 000</t>
  </si>
  <si>
    <t>secretary@apteka-aprel.ru</t>
  </si>
  <si>
    <t>36 430 000</t>
  </si>
  <si>
    <t>47 350 000</t>
  </si>
  <si>
    <t>АПТЕЧНАЯ СЕТЬ 36,6, ПАО (5 000 000 руб., 100%)</t>
  </si>
  <si>
    <t>Рудь Ольга Александровна (6 680 руб., 66.67%)
Сорокин Николай Александрович (3 340 руб., 33.33%)</t>
  </si>
  <si>
    <t>366.ru</t>
  </si>
  <si>
    <t>АПТЕЧНАЯ СЕТЬ 36,6, ПАО (10 000 руб., 100%)</t>
  </si>
  <si>
    <t>arenda@gorzdrav.org, commercial@gorzdrav.org, content@366.ru, duhovnaya.s.e@gorzdrav.org, feedback@366.ru, feedback@gorzdrav.org, mahmudova.m.a@gorzdrav.org, subarenda@gorzdrav.org</t>
  </si>
  <si>
    <t>gorzdrav.org</t>
  </si>
  <si>
    <t>АПТЕЧНАЯ СЕТЬ 36,6, ПАО (12 000 руб., 100%)</t>
  </si>
  <si>
    <t>apfil@rigla.ru, info@aptekazhivika.ru, info@rigla.ru</t>
  </si>
  <si>
    <t>РИГЛА, ООО (317 030 044.98 руб., 99.99%)
РИГЛА-МО, ООО (951.03 руб., 0.00030%)
ПРОТЕК, АО (3.99 руб.)</t>
  </si>
  <si>
    <t>552 270 000</t>
  </si>
  <si>
    <t>bilihodze.marika@yandex.ru, ecom@samson-pharma.ru, pressa@samson-pharma.ru</t>
  </si>
  <si>
    <t>УК ЭРКАФАРМ, АО (9 990 руб., 99.90%)
ЭРКАФАРМ, АО (10 руб., 0.10%)</t>
  </si>
  <si>
    <t>3 330 000</t>
  </si>
  <si>
    <t>as@farmakopeika.ru, smilutin@yandex.ru, yudinant@yahoo.com</t>
  </si>
  <si>
    <t>Милютин Сергей Геннадьевич (10 000 руб., 100%)</t>
  </si>
  <si>
    <t>3 290 000</t>
  </si>
  <si>
    <t>121 510 000</t>
  </si>
  <si>
    <t>fanagoriya@fanagoriya.ru, moroz@fanagoria.ru, office@fanagoria.ru, referent@fanagoria.ru</t>
  </si>
  <si>
    <t>www.fanagoria.ru</t>
  </si>
  <si>
    <t>Романишин Евгений Евгеньевич (30.68%)
Стороженко Алевтина Ивановна (24.07%)
Стороженко Сергей Семенович (20.62%)
Андруневчин Василий Васильевич (14.00%)</t>
  </si>
  <si>
    <t>643 070 000</t>
  </si>
  <si>
    <t>karton@kuban.com, kuban@ar-carton.com, sobol@ar-carton.com</t>
  </si>
  <si>
    <t>www.ar-carton.com, www.ar-packaging.com, www.prod-ar.stage.petra.dev</t>
  </si>
  <si>
    <t>Производство гофрированной бумаги и картона, бумажной и картонной тары</t>
  </si>
  <si>
    <t>219 450 000</t>
  </si>
  <si>
    <t>info@aragonsk.ru</t>
  </si>
  <si>
    <t>aragonsk.ru</t>
  </si>
  <si>
    <t>Колесниченко Иван Анатольевич (3 334 руб., 33.34%)
Ермолаев Олег Михайлович (3 333 руб., 33.33%)
Камаров Александр Викторович (3 333 руб., 33.33%)</t>
  </si>
  <si>
    <t>abaloff@aral.ru, buh@aral.ru, mae@aral.ru, mainmail@aral.ru, nikitina@aral.ru</t>
  </si>
  <si>
    <t>www.aral.ru</t>
  </si>
  <si>
    <t>Демидов Михаил Алексеевич (10 000 руб., 100%)</t>
  </si>
  <si>
    <t>65 090 000</t>
  </si>
  <si>
    <t>marina.emelyanova@arvalru.ru</t>
  </si>
  <si>
    <t>www.arval.ru</t>
  </si>
  <si>
    <t>АКЦИОНЕРНОЕ ОБЩЕСТВО "АРВАЛ СЕРВИС ЛИЗ" (249 996 600 руб., 99.99%)
БНП ПАРИБА БАНК АО (3 400 руб., 0.0014%)</t>
  </si>
  <si>
    <t>319 430 000</t>
  </si>
  <si>
    <t>4 015 830 000</t>
  </si>
  <si>
    <t>Лобанов Виктор Викторович (10 000 руб., 100%)</t>
  </si>
  <si>
    <t>Торговля оптовая парфюмерными и косметическими товарами</t>
  </si>
  <si>
    <t>20 460 000</t>
  </si>
  <si>
    <t>ARWM CONTEXT LIMITED (10 000 руб., 100%)</t>
  </si>
  <si>
    <t>80 930 000</t>
  </si>
  <si>
    <t>argo@argo-cc.ru, avprint@ua.fm, ya.argo1@yandex.ru</t>
  </si>
  <si>
    <t>rgs-co.ru</t>
  </si>
  <si>
    <t>Гасымлы Вугар Гурбан Оглы (800 000 руб., 80%)
Тен Юлия Антоновна (200 000 руб., 20%)</t>
  </si>
  <si>
    <t>41 830 000</t>
  </si>
  <si>
    <t>КОМБИНИРОВАННЫЙ ЗАКРЫТЫЙ ПАЕВОЙ ИНВЕСТИЦИОННЫЙ ФОНД "КАПИТАЛ - 21 ВЕК" (1 000 000 руб., 100%)</t>
  </si>
  <si>
    <t>Торговля розничная обувью и изделиями из кожи в специализированных магазинах</t>
  </si>
  <si>
    <t>206 620 000</t>
  </si>
  <si>
    <t>Логинов Роман Валерьевич (10 000 руб., 100%)</t>
  </si>
  <si>
    <t>5 940 000</t>
  </si>
  <si>
    <t>aribsnab@mail.ru</t>
  </si>
  <si>
    <t>Джапарбеков Шамиль Магомедович (10 000 руб., 100%)</t>
  </si>
  <si>
    <t>20 700 000</t>
  </si>
  <si>
    <t>mishina.sp125@yandex.ru</t>
  </si>
  <si>
    <t>Сулеев Дмитрий Петрович (25 500 руб., 51%)
Мишина Софья Петровна (19 500 руб., 39%)
Сулеева Людмила Тимофеевна (5 000 руб., 10%)</t>
  </si>
  <si>
    <t>32 790 000</t>
  </si>
  <si>
    <t>julia.frolova@aristonthermo.com, liudmila.goncharova@aristonthermo.com</t>
  </si>
  <si>
    <t>www.aristonthermo.com</t>
  </si>
  <si>
    <t>ПУБЛИЧНАЯ КОМПАНИЯ С ОГРАНИЧЕННОЙ ОТВЕТСТВЕННОСТЬЮ "АРИСТОН ХОЛДИНГ Н.В." (1 403 787 727.48 руб., 100%)</t>
  </si>
  <si>
    <t>118 610 000</t>
  </si>
  <si>
    <t>info@arielmetal.ru, sales.am@ariel.ru</t>
  </si>
  <si>
    <t>359 830 000</t>
  </si>
  <si>
    <t>asy16@mail.ru</t>
  </si>
  <si>
    <t>Карабанов Павел Игоревич (10 000 руб., 100%)</t>
  </si>
  <si>
    <t>arkon_pro@mail.ru, goszakaz@arcon.ru, goszakaz@arkon-pro.ru, zur@mail.ru</t>
  </si>
  <si>
    <t>http://arkonpro.ru/</t>
  </si>
  <si>
    <t>Зурабова Лидия Абдурахмановна (11 500 руб., 100%)</t>
  </si>
  <si>
    <t>Торговля розничная моторным топливом в специализированных магазинах</t>
  </si>
  <si>
    <t>25 010 000</t>
  </si>
  <si>
    <t>arcticenergy@mail.ru, evteevayu@kolagmk.ru, goncharav@kolagmk.ru, office@arctic-energo.ru, svinkinvb@kolagmk.ru</t>
  </si>
  <si>
    <t>http://arctic-energo.ru/, www.arcticenergo.ru/r1.htm</t>
  </si>
  <si>
    <t>КОЛАБЫТ, ООО (3 000 000 руб., 100%)</t>
  </si>
  <si>
    <t>1 770 000</t>
  </si>
  <si>
    <t>reshetnikov_ai@polyplast-nm.ru</t>
  </si>
  <si>
    <t>ПОЛИПЛАСТ НОВОМОСКОВСК, ООО (320 570 617 руб., 99.90%)
Ковалёв Александр Федорович (320 610 руб., 0.10%)</t>
  </si>
  <si>
    <t>9 610 000</t>
  </si>
  <si>
    <t>akupka@polarbear.ru, arktika@polarbear.ru, bmbuh@polarbear.ru, buh@polarbear.ru, buh@polarber.ru, buhgl2@polarbear.ru, bun@polarbear.ru, gorod@polarbear.ru, gux@polarbiar.ru, hk.komolcev@mail.ru</t>
  </si>
  <si>
    <t>Гайбарян Ованес Арутюнович (100 000 руб., 100%)</t>
  </si>
  <si>
    <t>13 430 000</t>
  </si>
  <si>
    <t>reception@isc-arcticgas.ru, reception@jsc-arcticgas.ru</t>
  </si>
  <si>
    <t>severenergia.ru</t>
  </si>
  <si>
    <t>Добыча природного газа и газового конденсата</t>
  </si>
  <si>
    <t>113 839 450 000</t>
  </si>
  <si>
    <t>Рыжов Андрей Викторович (9 100 руб., 91%)
Осадчий Сергей Александрович (900 руб., 9%)</t>
  </si>
  <si>
    <t>907 800 000</t>
  </si>
  <si>
    <t>bmy@armada.su</t>
  </si>
  <si>
    <t>armada.su</t>
  </si>
  <si>
    <t>104 430 000</t>
  </si>
  <si>
    <t>office@vli-complekt.ru</t>
  </si>
  <si>
    <t>Григорьев Игорь Алексеевич (60 000 руб., 100%)</t>
  </si>
  <si>
    <t>582 590 000</t>
  </si>
  <si>
    <t>arm-z.ru</t>
  </si>
  <si>
    <t>Ибрагимов Ренат Фаукатович (10 000 000 руб., 100%)</t>
  </si>
  <si>
    <t>130 710 000</t>
  </si>
  <si>
    <t>cis-info@armstrong.com</t>
  </si>
  <si>
    <t>www.armstrong.ru, www.armstrongworldindustries.com</t>
  </si>
  <si>
    <t>Knauf Ceilings Holding GmbH (187 177 500 руб., 100%)</t>
  </si>
  <si>
    <t>arnest@arnest.ru, golubeva-in@armer.ru</t>
  </si>
  <si>
    <t>www.arnest.ru</t>
  </si>
  <si>
    <t>Производство парфюмерных и косметических средств</t>
  </si>
  <si>
    <t>57 310 000</t>
  </si>
  <si>
    <t>www.aroma.ru</t>
  </si>
  <si>
    <t>АМ РИТЕЙЛ, ООО (11 220 000 руб., 100%)</t>
  </si>
  <si>
    <t>Торговля розничная напитками в специализированных магазинах</t>
  </si>
  <si>
    <t>121 900 000</t>
  </si>
  <si>
    <t>21 610 000</t>
  </si>
  <si>
    <t>melnikova@parfum.spb.ru</t>
  </si>
  <si>
    <t>parfum-standard.ru</t>
  </si>
  <si>
    <t>КОМПАНИЯ "РИВ ГОШ ГРУП (КИПР) ЛИМИТЕД" (9 020 000 руб., 100%)</t>
  </si>
  <si>
    <t>57 990 000</t>
  </si>
  <si>
    <t>gk@arosa.ru, info@arosa.ru, olga.artamonova.92@mail.ru, podobnaya@arosa.ru, sale@arosa.ru, tender@arosa.ru</t>
  </si>
  <si>
    <t>www.arosa.ru</t>
  </si>
  <si>
    <t>Миргалимов Рустем Габдулхакович (10 000 000 руб., 100%)</t>
  </si>
  <si>
    <t>30 420 000</t>
  </si>
  <si>
    <t>aliya.khusnetdinova@rp.medical.canon, cherednichenko@rkmeds.ru, daria.anisina@rp.medical.canon, natalia.khaliulina@rp.medical.canon, servicesales@rp.medical.canon</t>
  </si>
  <si>
    <t>CANON MEDICAL SYSTEMS CORPORATION (437 118 500 руб., 50%)
Р-ФАРМ ХОЛДИНГ, ООО (437 118 500 руб., 50%)</t>
  </si>
  <si>
    <t>Торговля оптовая техникой, оборудованием и инструментами, применяемыми в медицинских целях</t>
  </si>
  <si>
    <t>401 700 000</t>
  </si>
  <si>
    <t>arpt@mail.ru, sav@arpt-msk.ru</t>
  </si>
  <si>
    <t>544 890 000</t>
  </si>
  <si>
    <t>info@arsenal-pl.ru</t>
  </si>
  <si>
    <t>Мазо Леонид Владимирович (9 000 000 руб., 90%)
Латыпова Алла Валерьевна (1 000 000 руб., 10%)</t>
  </si>
  <si>
    <t>177 040 000</t>
  </si>
  <si>
    <t>Пашаев Масхуд Вахарсолтаевич (10 000 руб., 100%)</t>
  </si>
  <si>
    <t>5 300 000</t>
  </si>
  <si>
    <t>Чеботарев Владислав Сергеевич (11 000 руб., 100%)</t>
  </si>
  <si>
    <t>Предоставление прочих финансовых услуг, кроме услуг по страхованию и пенсионному обеспечению, не включенных в другие группировки</t>
  </si>
  <si>
    <t>johndoe@domain.com, smm@conte.by</t>
  </si>
  <si>
    <t>Байко Валентин Валентинович (86 100 000 руб., 20.50%)
Байко Дмитрий Валентинович (86 100 000 руб., 20.50%)
Соломоник Галина Алексеевна (71 400 000 руб., 17%)
Аплевич Александр Сергеевич (69 300 000 руб., 16.50%)
Земсков Дмитрий Юрьевич (69 300 000 руб., 16.50%)
Шерель Ричард Эдуардович (37 800 000 руб., 9%)</t>
  </si>
  <si>
    <t>170 620 000</t>
  </si>
  <si>
    <t>info@arstm.ru, office@arstm.ru, onv@arstm.ru</t>
  </si>
  <si>
    <t>http://www.eg-arstem.ru/, www.elec.ru/catalog/arstem-energotreid</t>
  </si>
  <si>
    <t>Дворцов Алексей Михайлович (14 116 900 руб., 100%)</t>
  </si>
  <si>
    <t>СЭТЛ, ООО (5 000 руб., 50%)
СЭТЛ СИТИ, ООО (5 000 руб., 50%)</t>
  </si>
  <si>
    <t>Деятельность заказчика-застройщика, генерального подрядчика</t>
  </si>
  <si>
    <t>998 080 000</t>
  </si>
  <si>
    <t>artstroyinvist@list.ru, bjwiygqj@writeme.xyz</t>
  </si>
  <si>
    <t>Яхъяев Осман Магомедович (45 000 руб., 100%)</t>
  </si>
  <si>
    <t>980 000</t>
  </si>
  <si>
    <t>info@freshmarket28.ru</t>
  </si>
  <si>
    <t>trc-perekrestok.ru</t>
  </si>
  <si>
    <t>Комогорцев Евгений Юрьевич (10 000 000 руб., 50%)
Лиманов Сергей Васильевич (10 000 000 руб., 50%)</t>
  </si>
  <si>
    <t>77 260 000</t>
  </si>
  <si>
    <t>info@arteks.ooo</t>
  </si>
  <si>
    <t>www.arteks.ooo</t>
  </si>
  <si>
    <t>УПРАВЛЯЮЩАЯ КОМПАНИЯ МАСТЕРТЕКС, ООО (10 000 руб., 100%)</t>
  </si>
  <si>
    <t>Производство обоев</t>
  </si>
  <si>
    <t>1 837 500 000</t>
  </si>
  <si>
    <t>Гурьянов Алексей Егорович (220 000 руб., 55%)
СИСИМ, ООО (90 000 руб., 22.50%)
Ковальков Максим Николаевич (80 000 руб., 20%)
Ковальков Сергей Николаевич (10 000 руб., 2.50%)</t>
  </si>
  <si>
    <t>49 250 000</t>
  </si>
  <si>
    <t>artel-vitim@mail.ru, vitim@irmail.ru</t>
  </si>
  <si>
    <t>artelvitim.ru</t>
  </si>
  <si>
    <t>466 850 000</t>
  </si>
  <si>
    <t>t.m.zhalnina@zapadnaya.ru, zapbur@mail.ru</t>
  </si>
  <si>
    <t>ЗАПАДНАЯ, АО ГРК (61 872 000 руб., 100%)</t>
  </si>
  <si>
    <t>1 950 270 000</t>
  </si>
  <si>
    <t>tender@artics.ru</t>
  </si>
  <si>
    <t>artics.ru</t>
  </si>
  <si>
    <t>Горелик Дмитрий Евгеньевич (8 012 руб., 80.12%)
Поляков Олег Вячеславович (1 988 руб., 19.88%)</t>
  </si>
  <si>
    <t>Деятельность рекламная</t>
  </si>
  <si>
    <t>172 390 000</t>
  </si>
  <si>
    <t>abp@artiskids.ru, agafonova@artiskids.ru, artis@mail.ru, cholokyan@artiskids.ru, mikhail.lyasko@artiskids.ru, sadovskaya@artiskids.ru, yakovleva@artiskids.ru</t>
  </si>
  <si>
    <t>www.atrisgroup.ru</t>
  </si>
  <si>
    <t>16 910 000</t>
  </si>
  <si>
    <t>jurist@artplast.ru, nnov@artplast.ru, rostov3@artplast.ru, tender@artplast.ru</t>
  </si>
  <si>
    <t>www.artplast.ru</t>
  </si>
  <si>
    <t>19 110 000</t>
  </si>
  <si>
    <t>a.ushakoff@gmail.com, artstroy@rambler.tu, astroyt@yandex.ru, astroyt_buh@mail.ru, office@astroyt.ru, stroyt@yandex.ru, tender@astroyt.ru</t>
  </si>
  <si>
    <t>astroyt.ru</t>
  </si>
  <si>
    <t>Ушаков Александр Вячеславович (51 000 руб., 51%)
ФИНАНС СИТИ, АО (49 000 руб., 49%)</t>
  </si>
  <si>
    <t>52 910 000</t>
  </si>
  <si>
    <t>grigoryeva@arkpf.ru, info@arkpf.ru, sekretar@arkpf.ru, small@arkpf.ru</t>
  </si>
  <si>
    <t>arkpf.ru</t>
  </si>
  <si>
    <t>Производство фанеры, деревянных фанерованных панелей и аналогичных слоистых материалов, древесных плит из древесины и других одревесневших материалов</t>
  </si>
  <si>
    <t>764 150 000</t>
  </si>
  <si>
    <t>acbk@mail.ru, acbk@yandex.ru, holmova.elena@appm.ru, kuznetsova.natalya@appm.ru, sbk@mail.ru, zhitkova.lyudmila@appm.ru</t>
  </si>
  <si>
    <t>www.appm.ru</t>
  </si>
  <si>
    <t>Zinner Privatstiftung (100%)</t>
  </si>
  <si>
    <t>Производство целлюлозы и древесной массы</t>
  </si>
  <si>
    <t>1 443 860 000</t>
  </si>
  <si>
    <t>arh-tissue.ru</t>
  </si>
  <si>
    <t>АРХАНГЕЛЬСКИЙ ЦБК , АЦБК, АО (7 265 695 086 руб., 100%)
АРХБУМ, АО (1 000 руб.)</t>
  </si>
  <si>
    <t>arkhbum@appm.ru, bargan.sergei@appm.ru</t>
  </si>
  <si>
    <t>db.appm.ru</t>
  </si>
  <si>
    <t>dedkovskaya@archimedpharm.ru, info@archimedpharm.ru, k.bagdasaryan@archimedpharm.ru, s.myagkova@archimedpharm.ru, secretaru@archimedpharm.ru, secretary@arcbiniedphann.ru, secretary@archemedpharm.ru, secretary@archimed.pharm.ru, secretary@archimedpharm.ru, secretary@archirnedpharm.ru</t>
  </si>
  <si>
    <t>Абрамов Игорь Анатольевич (1 000 000 руб., 100%)</t>
  </si>
  <si>
    <t>6 830 000</t>
  </si>
  <si>
    <t>rycomp2012@gmail.com</t>
  </si>
  <si>
    <t>Мингазов Минтимер Вагизович (7 500 руб., 50%)
Фазлиева Фарида Вагизовна (7 500 руб., 50%)</t>
  </si>
  <si>
    <t>49 810 000</t>
  </si>
  <si>
    <t>asburo.ru, zhivika.ru</t>
  </si>
  <si>
    <t>АПТЕЧНАЯ СЕТЬ ОЗ, ООО (20 400 руб., 51%)
Востротин Александр Евгеньевич (7 000 руб., 17.50%)
Богданова Оксана Геннадьевна (4 200 руб., 10.50%)
Пономарев Евгений Юрьевич (3 200 руб., 8%)
Янборисов Тимур Наильевич (3 200 руб., 8%)
Карякин Василий Александрович (2 000 руб., 5%)</t>
  </si>
  <si>
    <t>106 230 000</t>
  </si>
  <si>
    <t>i.zaporozhceva@asbis.ru, l.vaisblum@asbis.ru, liapunov@oldi.ru, marketing@asbis.ru, r.davydov@asbis.ru, sales_ru@asbis.com</t>
  </si>
  <si>
    <t>www.asbis.ru</t>
  </si>
  <si>
    <t>КОМП С ОО "АСБИСК ЭНТЕРПРАЙЗЕЗ ЛИМИТЕД" (12 699 994 руб., 100%)</t>
  </si>
  <si>
    <t>113 250 000</t>
  </si>
  <si>
    <t>asg-ts.ru</t>
  </si>
  <si>
    <t>Гладков Олег Николаевич (5 000 руб., 50%)
Садков Алексей Витальевич (5 000 руб., 50%)</t>
  </si>
  <si>
    <t>5 850 000</t>
  </si>
  <si>
    <t>lozko@ovp.ru, main@ovp.ru</t>
  </si>
  <si>
    <t>asg.ru</t>
  </si>
  <si>
    <t>Стрелец Лариса Петровна (14 500 000 руб., 100%)</t>
  </si>
  <si>
    <t>piknichok.ru</t>
  </si>
  <si>
    <t>АВИОРА ХОЛДИНГ АГ (28 800 000 руб., 57.60%)
Ерёмин Олег Владимирович (9 600 000 руб., 19.20%)
Потапов Сергей Викторович (9 600 000 руб., 19.20%)
Говорков Дмитрий Олегович (1 000 000 руб., 2%)
Мороз Дмитрий Геннадьевич (1 000 000 руб., 2%)</t>
  </si>
  <si>
    <t>243 130 000</t>
  </si>
  <si>
    <t>Белов Виталий Юрьевич (20 000 руб., 100%)</t>
  </si>
  <si>
    <t>47 000 000</t>
  </si>
  <si>
    <t>4445@belagro.com, agro@belagro.com, moscow@belagro.com, shovgenya_ve@mail.ru, tender@belargo.com, tv.kovalskaya@belagro.com</t>
  </si>
  <si>
    <t>www.belagro.com</t>
  </si>
  <si>
    <t>БЕЛАГРО, ООО (90 048 832.56 руб., 99.99%)
Милевич Андрей Васильевич (11 167.44 руб., 0.010%)</t>
  </si>
  <si>
    <t>9 880 000</t>
  </si>
  <si>
    <t>officeko@askfeed.ru</t>
  </si>
  <si>
    <t>203 610 000</t>
  </si>
  <si>
    <t>ДСК АВТОБАН, АО (100 000 000 руб., 100%)</t>
  </si>
  <si>
    <t>116 040 000</t>
  </si>
  <si>
    <t>e.gutara@efko.ru</t>
  </si>
  <si>
    <t>ЭФКО ПРОДУКТЫ ПИТАНИЯ, АО (153 460 000 руб., 100%)</t>
  </si>
  <si>
    <t>Производство готовых кормов для животных, содержащихся на фермах</t>
  </si>
  <si>
    <t>161 120 000</t>
  </si>
  <si>
    <t>rusgogov@mail.ru</t>
  </si>
  <si>
    <t>Гогов Рустам Абубекирович (10 000 руб., 100%)</t>
  </si>
  <si>
    <t>askona@kovrov.ru, infolethed@mail.ru</t>
  </si>
  <si>
    <t>www.askona.ru</t>
  </si>
  <si>
    <t>КОМПАНИЯ "ХЕЙЛКРОФТ ЛИМИТЕД" (17 146 064 руб., 100%)</t>
  </si>
  <si>
    <t>Производство матрасов</t>
  </si>
  <si>
    <t>katunina.yuv@asm-altay.ru</t>
  </si>
  <si>
    <t>www.asm-altay.ru</t>
  </si>
  <si>
    <t>Геронимус Михаил Юрьевич (10 000 руб., 100%)</t>
  </si>
  <si>
    <t>94 130 000</t>
  </si>
  <si>
    <t>abuse@company.site, director@asna.ru, e.reshetnyak@asna.ru, email@example.com, fb@asna.ru</t>
  </si>
  <si>
    <t>reparkol.ru</t>
  </si>
  <si>
    <t>АРИАДНА, ООО (6 500 руб., 55.59%)
АФИНА, ООО (2 130.5 руб., 18.22%)
НАЙДЖЕЛ КЭПИТАЛ, ООО (2 103.42 руб., 17.99%)
Кондратьев Александр Викторович (589.58 руб., 5.04%)
АСНА АКАДЕМИЯ, ООО (369.5 руб., 3.16%)</t>
  </si>
  <si>
    <t>ИНВЕСТИЦИИ В РЕГИОН, АО (240 000 руб., 96%)
Рассказов Максим Дмитриевич (10 000 руб., 4%)</t>
  </si>
  <si>
    <t>52 620 000</t>
  </si>
  <si>
    <t>info@asp-aqua.ru, po_krasnobor@asp_aqva.ru</t>
  </si>
  <si>
    <t>asp-aqua.ru</t>
  </si>
  <si>
    <t>Валеев Руслан Шамилевич (750 000 руб., 25%)
Гимранова Рамзия Капаровна (750 000 руб., 25%)
Кузнецов Иван Дмитриевич (750 000 руб., 25%)
Мирзабекян Армен Гарриевич (750 000 руб., 25%)</t>
  </si>
  <si>
    <t>606 240 000</t>
  </si>
  <si>
    <t>КОФ ПАЛИТРА, ООО (135 000 000 руб., 50%)
ЛИНС УОЛЛПЕЙПЕР ЛИМИТЕД (135 000 000 руб., 50%)</t>
  </si>
  <si>
    <t>angelika.gavrikova@mm-holz.com, russland@mm-holz.com</t>
  </si>
  <si>
    <t>www.mm-holz.com</t>
  </si>
  <si>
    <t>АСПЭК-ЛЕС, ООО (952 987 396.23 руб., 100%)</t>
  </si>
  <si>
    <t>Производство пиломатериалов, кроме профилированных, толщиной более 6 мм; производство непропитанных железнодорожных и трамвайных шпал из древесины</t>
  </si>
  <si>
    <t>3 257 390 000</t>
  </si>
  <si>
    <t>gorshkov.a@avisma-asr.ru, info@llcasr.ru</t>
  </si>
  <si>
    <t>llcasr.ru</t>
  </si>
  <si>
    <t>КОРПОРАЦИЯ ВСМПО-АВИСМА, ПАО (59 053 102 руб., 100%)</t>
  </si>
  <si>
    <t>Деятельность агентов по оптовой торговле топливом, рудами, металлами и химическими веществами</t>
  </si>
  <si>
    <t>14 850 000</t>
  </si>
  <si>
    <t>a-y-m@yandex.ru, atd@aldan.sacha.ru, atd@aldan.sakha.ru, ayam@ayamald.ru, vnuk09122013@gmail.com</t>
  </si>
  <si>
    <t>аям.рф</t>
  </si>
  <si>
    <t>УК АЯМ, ООО (99 000 руб., 99%)
Фролов Владимир Иванович (1 000 руб., 1%)</t>
  </si>
  <si>
    <t>331 120 000</t>
  </si>
  <si>
    <t>artur.danilov@asstra.com</t>
  </si>
  <si>
    <t>asstra.ru</t>
  </si>
  <si>
    <t>АКЦИОНЕРНОЕ ОБЩЕСТВО "АССТРА ФОРВАРДИНГ АГ" (506 000 руб., 100%)</t>
  </si>
  <si>
    <t>213 270 000</t>
  </si>
  <si>
    <t>act-neman@act.su, act@act.su, bugaeva_l@act.su, chernov_m@act.su, gs@prom-arenda.com, h.mamajonov@ons-frankfurt.com, info@ege.kz, info@ons-frankfurt.com, info_vermeer@act.su, makeev_a@act.su</t>
  </si>
  <si>
    <t>www.act.su</t>
  </si>
  <si>
    <t>РДО ИНТЕРНЕШНЛ КО (6 554 994 руб., 60%)
Рыбалкин Андрей Петрович (4 369 996 руб., 40%)</t>
  </si>
  <si>
    <t>792 870 000</t>
  </si>
  <si>
    <t>8@p.mjvl, ast.info@ast-inter.ru, astinvae2@mail.ru, info@ast-inter.ru, l.rafailov@ast-inter.ru, ntb@8gk9h.kl</t>
  </si>
  <si>
    <t>www.ast-inter.ru</t>
  </si>
  <si>
    <t>БИГ ТРЭЙД, ООО (5 000 000 руб., 50%)
ЛОГИСТИК ЭЛ-СИ, ООО (2 500 000 руб., 25%)
Рафаилов Леонид Соломонович (2 500 000 руб., 25%)</t>
  </si>
  <si>
    <t>831 300 000</t>
  </si>
  <si>
    <t>www.astellas.com</t>
  </si>
  <si>
    <t>КОМПАНИЯ С ОГРАНИЧЕННОЙ ОТВЕТСТВЕННОСТЬЮ "АСТЕЛЛАС ФАРМА ЮРОП Б. В." (10 990 000 руб., 99.69%)
КОМПАНИЯ С ОГРАНИЧЕННОЙ ОТВЕТСТВЕННОСТЬЮ "АСТЕЛЛАС Б.В." (34 500 руб., 0.31%)</t>
  </si>
  <si>
    <t>Производство фармацевтических субстанций</t>
  </si>
  <si>
    <t>oooastil@gmail.com</t>
  </si>
  <si>
    <t>Вишкарев Илья Алексеевич (500 000 руб., 20%)
Кузьмин Валерий Алексеевич (500 000 руб., 20%)
Миц Олег Дмитриевич (500 000 руб., 20%)
Спасенов Юрий Анатольевич (500 000 руб., 20%)
Хворостовский Игорь Станиславович (500 000 руб., 20%)</t>
  </si>
  <si>
    <t>30 530 000</t>
  </si>
  <si>
    <t>frolovo2@astmarket.com, opt4@astmarket.com, pravdatender@gmil.com</t>
  </si>
  <si>
    <t>astmarket.com</t>
  </si>
  <si>
    <t>Никотин Владимир Павлович (10 000 руб., 100%)</t>
  </si>
  <si>
    <t>37 200 000</t>
  </si>
  <si>
    <t>bank@ikp.ryazan.ru, bank@jikp.ruazan.ru, office@ikp.ryazan.ru, sadovov_i@aston.ru</t>
  </si>
  <si>
    <t>АЛЬФРЕД С. ТЕПФЕР ИНТЕРНЭШНЛ НИДЕРЛАНДЫ Б.В. (1 405 974 089 руб., 50%)
АСТОН, АО (1 405 974 089 руб., 50%)</t>
  </si>
  <si>
    <t>410 050 000</t>
  </si>
  <si>
    <t>comm@rostov.aston.ru, vikoulov_v@aston-group.com</t>
  </si>
  <si>
    <t>www.aston.ru</t>
  </si>
  <si>
    <t>Викулов Вадим Иванович (906 364 450 руб., 100%)</t>
  </si>
  <si>
    <t>5 820 250 000</t>
  </si>
  <si>
    <t>astor@astor.ru</t>
  </si>
  <si>
    <t>www.astor.ru</t>
  </si>
  <si>
    <t>Производство промышленных газов</t>
  </si>
  <si>
    <t>1 056 310 000</t>
  </si>
  <si>
    <t>Петросян Гаяне Володяевна (100 000 руб., 80%)
Вовк Алексей Алексеевич (25 000 руб., 20%)</t>
  </si>
  <si>
    <t>83 110 000</t>
  </si>
  <si>
    <t>astoria@kosmetik.ru</t>
  </si>
  <si>
    <t>www.astoria.ru</t>
  </si>
  <si>
    <t>Загурская Ольга Владимировна (100 000 руб., 100%)</t>
  </si>
  <si>
    <t>241 390 000</t>
  </si>
  <si>
    <t>astraooo2015@mail.ru</t>
  </si>
  <si>
    <t>Севрюков Вячеслав Николаевич (80 000 руб., 80%)
Витерская Елена Николаевна (20 000 руб., 20%)</t>
  </si>
  <si>
    <t>medinfo.ru@astrazeneca.com, oscow.reception@astrazeneca.com, transparency@astrazeneca.com, мoscow.reception@astrazeneca.com</t>
  </si>
  <si>
    <t>www.astrazeneca.ru</t>
  </si>
  <si>
    <t>Частное ООО "АстраЗенека Йота Б.В." (700 009 900 руб., 100%)
Частное ООО "АстраЗенека Зета Б.В. " (100 руб.)</t>
  </si>
  <si>
    <t>1 178 820 000</t>
  </si>
  <si>
    <t>moscow.reception@astrazeneca.com, olga.varganova@astrazeneca.com</t>
  </si>
  <si>
    <t>astrazeneca.ru, www.astrazeneca.com</t>
  </si>
  <si>
    <t>"АСТРАЗЕНЕКА ТРЕЖЕРИ ЛИМИТЕД" (193 000 000 руб., 100%)</t>
  </si>
  <si>
    <t>811 200 000</t>
  </si>
  <si>
    <t>abukaledin@yandex.ru</t>
  </si>
  <si>
    <t>СТРОЙФИНАНС, ООО (10 000 руб., 100%)</t>
  </si>
  <si>
    <t>06_ros@astsbyt.ru, 07_ros@astsbyt.ru, 3017041554@mail.ru, aecr@astsbyt.ru, agorod1@astrbut.ru, aht@astbyt.ru, aht@astsbyt.ru, asasbyt@mail.ru, astbyt@mail.ru, astrbyt@mail.ru</t>
  </si>
  <si>
    <t>http://www.astsbyt.ru/index.php?do=cat&amp;category=share_info, www.astsbyt.ru</t>
  </si>
  <si>
    <t>ГАРАНТ-СЕРВИС, ООО (19.38%)</t>
  </si>
  <si>
    <t>astek_2003@mail.ru, yegorovsa@mail.ru</t>
  </si>
  <si>
    <t>Егоров Сергей Александрович (10 000 руб., 50%)
Шпак Евгений Сергеевич (10 000 руб., 50%)</t>
  </si>
  <si>
    <t>asfalt@afn.ru, asfalt@asfalt-amur.ru, asfalt@asfalt.tsl.ru</t>
  </si>
  <si>
    <t>62 340 000</t>
  </si>
  <si>
    <t>post@ase-ec.ru, post@atomstroyexport.ru</t>
  </si>
  <si>
    <t>www.ase-ec.ru, www.atomstroyexport.ru</t>
  </si>
  <si>
    <t>РОСАТОМ, ГОСКОРПОРАЦИЯ (350 044 846 руб.)</t>
  </si>
  <si>
    <t>22 970 100 000</t>
  </si>
  <si>
    <t>АШАН, ООО (8 348 000 000 руб., 100%)</t>
  </si>
  <si>
    <t>Корнев Евгений Владимирович (10 000 руб., 100%)</t>
  </si>
  <si>
    <t>4 320 000</t>
  </si>
  <si>
    <t>atex@mail.ru, etp@atex-gr.com, info@lifegroup.by, kate.vs@mail.ru, medactivgr@medactiv.kz, office@frigat.by, s.zapad@ipvah.ru, t.epichina@yandex.ru</t>
  </si>
  <si>
    <t>atex-gr.com, atex-gr.ru</t>
  </si>
  <si>
    <t>Высоких Константин Николаевич (61 307 452.2 руб., 15.25%)
Кирсенко Константин Витальевич (61 307 452.2 руб., 15.25%)
Коняев Сергей Владимирович (61 307 452.2 руб., 15.25%)
Мосцевая София Павловна (38 317 157.625 руб., 9.53%)
Коваленко Капитолина Анатольевна (22 990 294.575 руб., 5.71%)
Арцыбашева Ольга Витальевна (20 100 804 руб., 5%)
Долганов Юрий Валентинович (20 100 804 руб., 5%)
Ефремов Андрей Владимирович (20 100 804 руб., 5%)
Кулик Дмитрий Иванович (20 100 804 руб., 5%)
Пивоваров Сергей Юльевич (20 100 804 руб., 5%)
...*</t>
  </si>
  <si>
    <t>1 245 600 000</t>
  </si>
  <si>
    <t>eliseevaey@fuelbroker.ru, info@fuelbroker.ru</t>
  </si>
  <si>
    <t>fuelbroker.ru</t>
  </si>
  <si>
    <t>ГК МАРКЕТ, АО (660 000 000 руб., 100%)</t>
  </si>
  <si>
    <t>6 470 000</t>
  </si>
  <si>
    <t>airway@yamal-airlines.ru, buh@yamal-airlines.ru, d.shtirbu@yamal.aero, it@yamal.aero, law@yamal.aero, president@yamal.aero, rec@yamal.aero, torgi_low@yamal.aero</t>
  </si>
  <si>
    <t>www.yamal.aeroway.ru</t>
  </si>
  <si>
    <t>Ямало-Ненецкий АО (n/a)</t>
  </si>
  <si>
    <t>Деятельность пассажирского воздушного транспорта</t>
  </si>
  <si>
    <t>294 700 000</t>
  </si>
  <si>
    <t>ayalbachev@atl.biz, spb@atl.biz</t>
  </si>
  <si>
    <t>www.atl.biz</t>
  </si>
  <si>
    <t>УПРАВЛЯЮЩАЯ КОМПАНИЯ АТЛ, ООО (6 118 959 руб., 100%)</t>
  </si>
  <si>
    <t>Беляева Анна Николаевна (10 000 руб., 100%)</t>
  </si>
  <si>
    <t>30 520 000</t>
  </si>
  <si>
    <t>glbuch@atlant.ag, info@atlant.ag</t>
  </si>
  <si>
    <t>atlant.ag</t>
  </si>
  <si>
    <t>196 650 000</t>
  </si>
  <si>
    <t>beznal@tomail.ru, kachestvo-lux@bi-bi.ru</t>
  </si>
  <si>
    <t>Безубяк Ирина Владимировна (500 000 руб., 50%)
Носов Андрей Владимирович (500 000 руб., 50%)</t>
  </si>
  <si>
    <t>113 330 000</t>
  </si>
  <si>
    <t>info@atlantrails.ru, obelyaeva@atlantrails.ru</t>
  </si>
  <si>
    <t>Ястребов Евгений Яковлевич (680 000 руб., 68%)
Гомон Андрей Петрович (320 000 руб., 32%)</t>
  </si>
  <si>
    <t>504 780 000</t>
  </si>
  <si>
    <t>info@atlant-rail.ru</t>
  </si>
  <si>
    <t>atlant-rail.ru</t>
  </si>
  <si>
    <t>ТРАНСФИН-М, ПАО (10 000 012 000 руб., 100%)</t>
  </si>
  <si>
    <t>Деятельность вспомогательная, связанная с железнодорожным транспортом</t>
  </si>
  <si>
    <t>office@rosinnova.com</t>
  </si>
  <si>
    <t>Татарников Юрий Николаевич (500 000 руб., 100%)</t>
  </si>
  <si>
    <t>atlanta-s.ru</t>
  </si>
  <si>
    <t>ТРАНСАЗС, ЗАО (51 975 руб., 90%)
ТРАНС АЗС-КРАСНОГОРСК, ООО (5 775 руб., 10%)</t>
  </si>
  <si>
    <t>analiz@atlantis-pak.ru, reclama@atlantis-pak.ru, sineok@atlantis-pak.ru</t>
  </si>
  <si>
    <t>www.atlantis-pak.ru</t>
  </si>
  <si>
    <t>АГРОКОМ ХОЛДИНГ, ООО (710 000 руб., 100%)</t>
  </si>
  <si>
    <t>1 232 400 000</t>
  </si>
  <si>
    <t>info@fiak.ru, info@ru.atlascopco.com, margarita.volynkina@atlascopco.com, moscow.office@atlascopco.com, mvs@mvs-service.ru, nav@mvs-service.ru, servis@ru.atlascopco.com, shgv@mvs-service.ru</t>
  </si>
  <si>
    <t>Торговля оптовая станками</t>
  </si>
  <si>
    <t>783 250 000</t>
  </si>
  <si>
    <t>a.balinov@atlaschain.ru, clients@atlaschain.ru, e.ryabchuk@atlaschain.ru, info@atlaschain.ru, job@cargoonline.ru, krasnodar@atlaschain.ru, rostov@atlaschain.ru</t>
  </si>
  <si>
    <t>КОМПАНИЯ С ОГРАНИЧЕННОЙ ОТВЕТСТВЕННОСТЬЮ "ГЛОБАЛЧЕЙН ЛТД" (4 800 000 руб., 40%)
КЭПИТАЛ ПЕРФОРМ, ООО (4 800 000 руб., 40%)
Краус Олег (2 400 000 руб., 20%)</t>
  </si>
  <si>
    <t>1597@krasnoe-beloe.ru</t>
  </si>
  <si>
    <t>888 800 000</t>
  </si>
  <si>
    <t>info@etna.com.ru</t>
  </si>
  <si>
    <t>www.terracorp.ru</t>
  </si>
  <si>
    <t>Шацких Елена Владимировна (10 500 000 руб., 50%)
Шевырталов Андрей Николаевич (10 500 000 руб., 50%)</t>
  </si>
  <si>
    <t>Торговля розничная скобяными изделиями, лакокрасочными материалами и стеклом в специализированных магазинах</t>
  </si>
  <si>
    <t>21 060 000</t>
  </si>
  <si>
    <t>atmis_sh@sucden.ru</t>
  </si>
  <si>
    <t>www.atmis-sahar.ru</t>
  </si>
  <si>
    <t>СДИ, ООО (91.50%)
Харченко Андрей Геннадьевич (0.0000050%)</t>
  </si>
  <si>
    <t>683 100 000</t>
  </si>
  <si>
    <t>1@atol.ru, gr@atol.ru, isoft@atol.ru, pr@atol.ru, s@atol.ru</t>
  </si>
  <si>
    <t>УК АТОЛ, ООО (10 000 руб., 100%)</t>
  </si>
  <si>
    <t>441 580 000</t>
  </si>
  <si>
    <t>aleksenkoaa@yandex.ru</t>
  </si>
  <si>
    <t>www.atomexp.ru</t>
  </si>
  <si>
    <t>Производство ядерных реакторов и их составных частей, в том числе для транспортных средств</t>
  </si>
  <si>
    <t>alsshichkov@armz.ru, info@armz.ru, zakupki@armz.ru</t>
  </si>
  <si>
    <t>buhgalter@vaes.ru, goliusova@atomsbyt.ru, office@atomsbyt.ru, office@vaes.ru, offise@atomsbyt.ru</t>
  </si>
  <si>
    <t>www.vaes.ru</t>
  </si>
  <si>
    <t>15 830 000</t>
  </si>
  <si>
    <t>info@atomstroyrezerv.ru</t>
  </si>
  <si>
    <t>atomstroyrezerv.ru</t>
  </si>
  <si>
    <t>Краснов Артем Александрович (510 000 руб., 100%)</t>
  </si>
  <si>
    <t>aem@aem-group.ru</t>
  </si>
  <si>
    <t>www.aem-group.ru, www.atomenergomash.ru</t>
  </si>
  <si>
    <t>Производство машин и оборудования общего назначения</t>
  </si>
  <si>
    <t>556 990 000</t>
  </si>
  <si>
    <t>niaep_komarov_av@aep.ru, novikov_av@aep.ru</t>
  </si>
  <si>
    <t>https://ase-ec.ru/, www.aep.ru</t>
  </si>
  <si>
    <t>dvsukhanov@rosatom.ru, info.apsbt@apsbt.ru, info@apsbt.ru, skripalschikova.m.b@apsbt.ru</t>
  </si>
  <si>
    <t>apsbt.ru</t>
  </si>
  <si>
    <t>НОВАВИНД, АО (10 000 000 руб.)</t>
  </si>
  <si>
    <t>155 670 000</t>
  </si>
  <si>
    <t>astsvetkov@rosatom.ru, evasavvina@rosatom.ru, gzikp@mail.ru, info@aer-rea.ru, it@aer-rea.ru, koltsovana@aer.zori.ru, maklakovasa@kolaer.ru, oamaslennikova@rosatom.ru, oegenrikh@rosatom.ru, olnkostuseva@rosatom.ru</t>
  </si>
  <si>
    <t>www.aer-rea.ru</t>
  </si>
  <si>
    <t>КОНЦЕРН РОСЭНЕРГОАТОМ, АО (1 844 054 462 руб.)</t>
  </si>
  <si>
    <t>Производство электроэнергии атомными электростанциями, в том числе деятельность по обеспечению работоспособности электростанций</t>
  </si>
  <si>
    <t>236 270 000</t>
  </si>
  <si>
    <t>abateykin@mail.ru, asachakovaon@khakasia.atomsbt.ru, asochakovann@khakasia.atomsbt.ru, billing@rek46.ru, infa@khakasia.atomsbt.ru, info@business.atomsbt.ru, info@khakas.atomsbt.ru, info@khakasia.atoms.ru, info@khakasia.atomsb.ru, info@khakasia.atomsbk.ru</t>
  </si>
  <si>
    <t>rek46.ru</t>
  </si>
  <si>
    <t>АТОМЭНЕРГОСБЫТ, АО (396 000 руб., 99%)
АТОМЭНЕРГО, ООО (4 000 руб., 1%)</t>
  </si>
  <si>
    <t>000@tver.atomsbt.ru, 011120114y@mail.ru, 0707@rosatom.ru, 45454@andex.ru, 8internat@rambler.ru, adzharki@mail.ru, agafonovaliv@tver.atomsbt.ru, agafonovaln@tver.atomsbt.ru, aharovasi@smolenskatomsbt.ru, alipevatr@tver.atomsbt.ru</t>
  </si>
  <si>
    <t>www.atomsbt.ru</t>
  </si>
  <si>
    <t>КОНЦЕРН РОСЭНЕРГОАТОМ, АО (3 720 000 000 руб.)</t>
  </si>
  <si>
    <t>914 070 000</t>
  </si>
  <si>
    <t>ekaterina.ermakova.external@atos.net</t>
  </si>
  <si>
    <t>atosbox.ru</t>
  </si>
  <si>
    <t>ИНВЕСТ ХОЛДИНГ 4, ООО (15 000 000 руб., 100%)</t>
  </si>
  <si>
    <t>Деятельность консультативная в области компьютерных технологий прочая</t>
  </si>
  <si>
    <t>149 060 000</t>
  </si>
  <si>
    <t>atrus@atrus.ru, atrus@atrus.su, fin@atrus.su, hz2@atrus.su, karpov@atrus.su, koluzhova@gmail.com, peo@atrus.su, tair.mirzoev@yandex.ru</t>
  </si>
  <si>
    <t>www.atrus.su</t>
  </si>
  <si>
    <t>Производство соленого, вареного, запеченого, копченого, вяленого и прочего мяса</t>
  </si>
  <si>
    <t>adm@gov.spb.ru, bill@sats.spb.ru, e.isakova@sats.spb.ru, elena@sats.spb.ru, info@ats.ru, info@sast.spb.ru, info@sata.spb.ru, info@sats.sbp.ru, info@sats.spd.ru, k.ivashchenko@sats.spb.ru</t>
  </si>
  <si>
    <t>emts.su, www.sats.spb.ru</t>
  </si>
  <si>
    <t>Санкт-Петербург г (1 482 071 233 руб., 100%)</t>
  </si>
  <si>
    <t>Деятельность в области связи на базе проводных технологий прочая</t>
  </si>
  <si>
    <t>ashahova@foodcity.ru</t>
  </si>
  <si>
    <t>Илизаров Давид Михайлович (20 000 руб., 100%)</t>
  </si>
  <si>
    <t>glbuh@attikarus.ru</t>
  </si>
  <si>
    <t>attikarus.ru</t>
  </si>
  <si>
    <t>Раммо Матвей Валерьевич (3 340 руб., 33.40%)
Бородин Дмитрий Алексеевич (3 330 руб., 33.30%)
Раммо Валерий Самуилович (3 330 руб., 33.30%)</t>
  </si>
  <si>
    <t>40 590 000</t>
  </si>
  <si>
    <t>avto@atu.mmk.ru, berdeeva.vv@mmk.ru, kuryaev.dv@atu.mmk.ru, shishkin.vu@mmk.ru</t>
  </si>
  <si>
    <t>www.atu.mmk.ru</t>
  </si>
  <si>
    <t>ММК, ПАО (851 954 857 руб., 100%)</t>
  </si>
  <si>
    <t>dorovskihys@oaoatf.ru, flot@abtf.arh.ru, flot@oaoatf.ru, kibireviv@oaoatf.ru</t>
  </si>
  <si>
    <t>oaoatf.ru</t>
  </si>
  <si>
    <t>idakaev@kuntsevo.com, lukyanenkovaa@kuntsevo.com</t>
  </si>
  <si>
    <t>Шеряков Сергей Игоревич (10 000 000 руб., 100%)</t>
  </si>
  <si>
    <t>122 070 000</t>
  </si>
  <si>
    <t>anna.strelkova@cans.ru</t>
  </si>
  <si>
    <t>www.rexam.com</t>
  </si>
  <si>
    <t>ОРИКС, АО (1 601 147 806.53 руб., 100%)</t>
  </si>
  <si>
    <t>Производство тары из легких металлов</t>
  </si>
  <si>
    <t>874 260 000</t>
  </si>
  <si>
    <t>galina.gubareva@cans.ru</t>
  </si>
  <si>
    <t>cans.ru, www.rexam.com</t>
  </si>
  <si>
    <t>ОРИКС, АО (1 927 030 227.54 руб., 100%)</t>
  </si>
  <si>
    <t>5 389 780 000</t>
  </si>
  <si>
    <t>info@aurummedical.com, ok@aurummedical.com</t>
  </si>
  <si>
    <t>Саидов Шахбанкади Саидович (2 601 000 руб., 51%)
Фроймчук Валерий Дмитриевич (2 499 000 руб., 49%)</t>
  </si>
  <si>
    <t>625 000 000</t>
  </si>
  <si>
    <t>bessarabov@olamnet.com</t>
  </si>
  <si>
    <t>ОЛАМ ИНТЕРНЕШНЛ ЛИМИТЕД (307 016 762 руб., 100%)</t>
  </si>
  <si>
    <t>Торговля оптовая молочными продуктами</t>
  </si>
  <si>
    <t>109 220 000</t>
  </si>
  <si>
    <t>l.kudiasheva@aftrans.com</t>
  </si>
  <si>
    <t>www.aftr.com</t>
  </si>
  <si>
    <t>Рубинчик Игорь Леонидович (500 000 руб., 50%)
Фум Егор Сергеевич (500 000 руб., 50%)</t>
  </si>
  <si>
    <t>10 220 000</t>
  </si>
  <si>
    <t>АФГ НАЦИОНАЛЬ, ООО (2 000 000 руб., 100%)</t>
  </si>
  <si>
    <t>57 160 000</t>
  </si>
  <si>
    <t>afiva@afiva.ru, inf@afiva.ru</t>
  </si>
  <si>
    <t>afiva.ru</t>
  </si>
  <si>
    <t>Афанасьев Иван Сергеевич (20 000 руб., 100%)</t>
  </si>
  <si>
    <t>office@afipnpz.ru</t>
  </si>
  <si>
    <t>www.afipnpz.ru</t>
  </si>
  <si>
    <t>ОЙЛ ТЕХНОЛОДЖИС, ООО (3 330 000 руб., 92%)
СБЕРБАНК ИНВЕСТИЦИИ, ООО (289 565.22 руб., 8%)</t>
  </si>
  <si>
    <t>gosuslugi@achimdevelopment.ru, kancelyaria@achimdevelopment.ru, zakupki@achimdevelopment.ru</t>
  </si>
  <si>
    <t>ГАЗПРОМ, ПАО (30 006 000 руб., 50.01%)
ОБЩЕСТВО С ОГРАНИЧЕННОЙ ОТВЕТСТВЕННОСТЬЮ "ВИНТЕРСХАЛЛ ХОЛДИНГ ГМБХ" (15 006 000 руб., 25.01%)
ГАЗПРОМ КАПИТАЛ, ООО (14 988 000 руб., 24.98%)</t>
  </si>
  <si>
    <t>natalia.larkina@achimtrading.ru</t>
  </si>
  <si>
    <t>4 735 490 000</t>
  </si>
  <si>
    <t>achimgazctv@mail.ru, kancelyaria@achimgaz.ru, v.rizaeva@achimgaz.ru</t>
  </si>
  <si>
    <t>37 005 990 000</t>
  </si>
  <si>
    <t>d.rogachev@auchan.ru, mytishi_reception@auchan.ru, t.petrova@auchan.ru, v.boychenko@auchan.ru</t>
  </si>
  <si>
    <t>www.auchan.ru</t>
  </si>
  <si>
    <t>УПРОЩЕННОЕ АКЦИОНЕРНОЕ ОБЩЕСТВО СОЖЕПАР (16 771 812 153.3 руб., 99.99%)
ЧООО"МЕЕЛАКЕР Б.В," (238 921.5 руб., 0.0014%)</t>
  </si>
  <si>
    <t>oi@kitfort.ru</t>
  </si>
  <si>
    <t>Зоренко Андрей Сергеевич (30 580 550 руб., 61.10%)
Феоктистова Марина Викторовна (13 113 100 руб., 26.20%)
Свириденко Роман Васильевич (4 854 850 руб., 9.70%)
Сусляков Александр Сергеевич (1 501 500 руб., 3%)</t>
  </si>
  <si>
    <t>Торговля оптовая бытовыми электротоварами</t>
  </si>
  <si>
    <t>155 320 000</t>
  </si>
  <si>
    <t>info@tzkaero.ru</t>
  </si>
  <si>
    <t>general@aerosoll.ru</t>
  </si>
  <si>
    <t>АРНЕСТ, АО (510 000 000 руб., 100%)</t>
  </si>
  <si>
    <t>388 720 000</t>
  </si>
  <si>
    <t>dzhao@aeromar.ru, fja@aeromar.ru, sycheva_mv@aeromar.ru, zakupki@aeromar.ru</t>
  </si>
  <si>
    <t>www.aeromar.ru</t>
  </si>
  <si>
    <t>АЭРОФЛОТ, ПАО (51%)</t>
  </si>
  <si>
    <t>2904637@mail.ru, air.emelyanovo@mail.ru, asinkin@kja.aero, dtimonin@kja.aero, eshakalova@kja.aero, mtihonova@kja.aero, offic@kja.aero, office@kia.aero, office@kja.aro, ooffice@kja.aero</t>
  </si>
  <si>
    <t>www.kja.aero</t>
  </si>
  <si>
    <t>ЭРА ГРУПП, АО (219 432 691 руб., 100%)</t>
  </si>
  <si>
    <t>Деятельность аэропортовая</t>
  </si>
  <si>
    <t>929 900 000</t>
  </si>
  <si>
    <t>3433458115@mail.ru, airaport@koltsovo.ru, airoport@svx.aero, airport@koltcovo.ru, airport@koltsovo.ru, airport@svx.aero, dogovor@koltsovo.ru, dogovor_koltsovo_airport@mail.ru, e.chudnovskiy@koltsovo.ru, hr@koltsovo.ru</t>
  </si>
  <si>
    <t>www.svx.aero</t>
  </si>
  <si>
    <t>1 771 200 000</t>
  </si>
  <si>
    <t>airport-makhachkala@mail.ru, gerey.s@mcx.aero, info@mcx.aero</t>
  </si>
  <si>
    <t>http://www.mcx.aero, www.airport-makhachkala.ru</t>
  </si>
  <si>
    <t>ГРАНДЕКО, ООО (100%)</t>
  </si>
  <si>
    <t>357 280 000</t>
  </si>
  <si>
    <t>airport@airport-norilsk.ru</t>
  </si>
  <si>
    <t>airport-norilsk.ru</t>
  </si>
  <si>
    <t>НОРИЛЬСКИЙ КОМБИНАТ, АО (2 139 007 675.46 руб., 85.56%)
ГМК НОРИЛЬСКИЙ НИКЕЛЬ, ПАО (360 992 324.54 руб., 14.44%)</t>
  </si>
  <si>
    <t>Simonov.DV@mail.ru, chuvilkina@airsurgut.ru, eliseeva@airsurgut.ru, grushanskaya@airsurgut.ru, leusheva@airsurgut.ru, noyabrsk@airsurgut.ru, office@airsurgut.ru, office@airsurgut.sibtel.ru, ofice@airsurgut.ru, slv@airsurgut.ru</t>
  </si>
  <si>
    <t>www.airport.ru</t>
  </si>
  <si>
    <t>a@ovbport.ru, ap@ovbport.ru, ap@tolmachevo.ru, auc@ovbport.ru, e.filippova@ovbport.ru, e.stepanenko@ovbport.ru, ertos@ovbport.ru, n.bondarenko@ovbport.ru, n.lavrinovich@ovbport.ru, n.popova@ovbport.ru</t>
  </si>
  <si>
    <t>2 505 530 000</t>
  </si>
  <si>
    <t>d.arnaut@kgdavia.ru, e.nikulshina@kgd.aero, info@kdgayia.ru, info@kgd.aero, info@kgdavia.ru, vip@kgd.aero</t>
  </si>
  <si>
    <t>http://www.kgd.aero, info@kgd.aero</t>
  </si>
  <si>
    <t>НОВАПОРТ ИНВЕСТ, ООО (100 000 руб.)</t>
  </si>
  <si>
    <t>2 170 580 000</t>
  </si>
  <si>
    <t>info@scan.aero, tender@scan.aero</t>
  </si>
  <si>
    <t>Захаров Никита Александрович (10 000 руб., 100%)</t>
  </si>
  <si>
    <t>Деятельность геодезическая и картографическая</t>
  </si>
  <si>
    <t>1 650 000</t>
  </si>
  <si>
    <t>gdszdgroup@atechnics.ru, info@atechnics.ru</t>
  </si>
  <si>
    <t>atechnics.ru</t>
  </si>
  <si>
    <t>АЭРОФЛОТ-ФИНАНС, ООО (100 000 руб., 100%)</t>
  </si>
  <si>
    <t>Ремонт и техническое обслуживание летательных аппаратов, включая космические</t>
  </si>
  <si>
    <t>general@jv.aerofuels.com, pilotmya@gmail.com</t>
  </si>
  <si>
    <t>www.shell.com</t>
  </si>
  <si>
    <t>Деятельность вспомогательная прочая, связанная с воздушным транспортом</t>
  </si>
  <si>
    <t>info@aero-express.ru, info@aeroexpress.ru, r.guda@aeroexpress.ru, zakupki@aeroexpress.ru</t>
  </si>
  <si>
    <t>www.aeroexpress.ru</t>
  </si>
  <si>
    <t>АЭ-ИНВЕСТ, ООО (2 083 000 руб., 41.66%)
ДЕЛЬТА-ТРАНС-ИНВЕСТ, ООО (1 667 000 руб., 33.34%)
РЖД, ОАО (1 250 000 руб., 25%)</t>
  </si>
  <si>
    <t>Перевозка пассажиров железнодорожным транспортом в пригородном сообщении</t>
  </si>
  <si>
    <t>506 940 000</t>
  </si>
  <si>
    <t>arapovaaa@tataesk.ru, office@tataesk.ru, yakupovaa@tatenergosbyt.ru</t>
  </si>
  <si>
    <t>ИНВЕСТНЕФТЕХИМ, ООО (20 000 руб., 100%)</t>
  </si>
  <si>
    <t>123 330 000</t>
  </si>
  <si>
    <t>aecc@rosatom.ru, aexk@mail.ru, as_aexk@mail.ru, kran@aecc.ru, tnvikhrova@rosatom.ru</t>
  </si>
  <si>
    <t>www.aecc.ru</t>
  </si>
  <si>
    <t>Производство ядерного топлива</t>
  </si>
  <si>
    <t>1 740 490 000</t>
  </si>
  <si>
    <t>efimova@ajaxoil.ru, i.natasha@ajaxoil.ru, komajax@ajaxoil.ru, l.natasha@ajaxoil.ru, l.natasha@ajxoil.ru, n.natasha@aiaxoil.ru, n.natasha@ajaxoil.ru, natasha@ajaxoil.ru, novoidarskaya@bashneftug.ru</t>
  </si>
  <si>
    <t>www.ajaxoil.ru</t>
  </si>
  <si>
    <t>АРГО, ООО (5 000 руб., 50%)
ИНВЕСТ ОЙЛ, ООО (5 000 руб., 50%)</t>
  </si>
  <si>
    <t>aym.ru</t>
  </si>
  <si>
    <t>Азаров Николай Викторович (20 000 руб., 100%)</t>
  </si>
  <si>
    <t>695 690 000</t>
  </si>
  <si>
    <t>contact@ayan.ru</t>
  </si>
  <si>
    <t>d.dudinets@gmail.com, info@b24truck.ru</t>
  </si>
  <si>
    <t>www.belaz-24.ru</t>
  </si>
  <si>
    <t>Лагун Елена Николаевна (606 000 руб., 60%)
Тачкова Оксана Игоревна (404 000 руб., 40%)</t>
  </si>
  <si>
    <t>913 170 000</t>
  </si>
  <si>
    <t>sigspb.@mail.ru</t>
  </si>
  <si>
    <t>bbraun-sdo.ru</t>
  </si>
  <si>
    <t>КОМП "Б.БРАУН АВИТУМ АГ" (2 457 077 000 руб., 100%)</t>
  </si>
  <si>
    <t>alexander.esaulenko@bbraun.com, breg@yandex.ru, ekaterina.silina@bbraun.com, elena.shevchenko@bbraun.com, ludmila.loskutova@bbraun.com, office.sbp.ru@bbraun.com, office.sdb.ru@bbraun.com, office.shb.ru@bbraun.com, office.spb.ru@b.braun.com, office.spb.ru@bbraum.com</t>
  </si>
  <si>
    <t>www.bbraun.ru</t>
  </si>
  <si>
    <t>АКЦИОНЕРНОЕ ОБЩЕСТВО "Б.БРАУН МЕЛЗУНГЕН АГ" (7 500 000 руб., 100%)</t>
  </si>
  <si>
    <t>639 750 000</t>
  </si>
  <si>
    <t>phixvapor.ru</t>
  </si>
  <si>
    <t>Бронецкий Сергей Александрович (8 534 руб., 85.34%)
АЛЬТЕРНАТИВА, ООО (1 466 руб., 14.66%)</t>
  </si>
  <si>
    <t>435 300 000</t>
  </si>
  <si>
    <t>Бадалов Байрам Фармаил Оглы (10 000 руб., 100%)</t>
  </si>
  <si>
    <t>kim@basalt-ag.ru</t>
  </si>
  <si>
    <t>Basalt Eastern Europe GmbH (3 402 000 руб., 100%)</t>
  </si>
  <si>
    <t>Торговля оптовая специализированная прочая</t>
  </si>
  <si>
    <t>35 110 000</t>
  </si>
  <si>
    <t>ooo_bazis_plus@mail.ru</t>
  </si>
  <si>
    <t>zharkoff-oil.ru</t>
  </si>
  <si>
    <t>Камбиев Нух Бирамович (20 000 руб., 50%)
Камбиева Галимет Аслановна (15 000 руб., 37.50%)
Камбиева Маида Махмудовна (2 500 руб., 6.25%)
Тамазова Мадина Махмудовна (2 500 руб., 6.25%)</t>
  </si>
  <si>
    <t>328 490 000</t>
  </si>
  <si>
    <t>a.kazennova@basispharm.ru, bazic@mail.ru, bazis234@mail.ru, ender@basispharm.ru, info@bazispharm.ru, t.yudina@basispharm.ru, tender2@basispharm.ru, tender@basispharma.ru, tender@basisphfarm.ru, tendet@basispharm.ru</t>
  </si>
  <si>
    <t>basispharm.ru</t>
  </si>
  <si>
    <t>Антонюк Вячеслав Сергеевич (100 000 руб., 50%)
Ходор Сергей Игоревич (100 000 руб., 50%)</t>
  </si>
  <si>
    <t>205 070 000</t>
  </si>
  <si>
    <t>Инякин Сергей Владимирович (300 000 руб., 100%)</t>
  </si>
  <si>
    <t>4 520 000</t>
  </si>
  <si>
    <t>buh@alco-zeroks.ru, daria.nikitina@bayer.com, finance@alco-zeroks.ru, hr@alco-zeroks.ru, info@alco-zeroks.ru, quality@alco-zeroks.ru, ru-info@bayercropscience.com</t>
  </si>
  <si>
    <t>http://www.bayer.com, www.bayer.ru</t>
  </si>
  <si>
    <t>482 870 000</t>
  </si>
  <si>
    <t>info@beiersdorf.com, natalia.kedrovskaya@beiersdorf.com</t>
  </si>
  <si>
    <t>beiersdorf.ru, nivea.ru</t>
  </si>
  <si>
    <t>АО "БАЙЕРСДОРФ АКЦИЕНГЕЗАЛЬШАФТ" (100 000 000 руб., 100%)</t>
  </si>
  <si>
    <t>206 030 000</t>
  </si>
  <si>
    <t>Курилов Евгений Борисович (500 000 руб., 100%)</t>
  </si>
  <si>
    <t>66 600 000</t>
  </si>
  <si>
    <t>lomanova.e@baikalsr.ru, zavarzina.s@baikalsr.ru</t>
  </si>
  <si>
    <t>baikalsr.ru</t>
  </si>
  <si>
    <t>Любимский Александр Георгиевич (4 500 руб., 45%)
Каляцкий Владимир Геннадьевич (1 500 руб., 15%)
Хрюкин Андрей Юрьевич (1 500 руб., 15%)
Шепелев Виктор Александрович (1 500 руб., 15%)
Толкачев Владимир Александрович (1 000 руб., 10%)</t>
  </si>
  <si>
    <t>1 660 000</t>
  </si>
  <si>
    <t>bajkal.aktiv03@mail.ru, kesuu@mail.ru</t>
  </si>
  <si>
    <t>Бородин Антон Валерьевич (11 000 руб., 100%)</t>
  </si>
  <si>
    <t>Деятельность агентов, специализирующихся на оптовой торговле изделиями, применяемыми в медицинских целях</t>
  </si>
  <si>
    <t>226 340 000</t>
  </si>
  <si>
    <t>baikalneft@mail.ru, bkchita102@mail.ru, brkchita102@mail.ru, buh_arenda@mail.ru, ooobaikalneft@mail.ru, torg@azbrk.ru, torg@azsbrc.ru, torg@azsbrk.mail.ry, torg@azsbrk.ru, torg@azsbrkl.ru</t>
  </si>
  <si>
    <t>azsbrk.ru, brkmobile.ru</t>
  </si>
  <si>
    <t>Щеглов Алексей Сергеевич (10 000 руб., 100%)</t>
  </si>
  <si>
    <t>4 990 000</t>
  </si>
  <si>
    <t>baikalrud@mail.ru</t>
  </si>
  <si>
    <t>КОМПАНИЯ С ОГРАНИЧЕННОЙ ОТВЕТСТВЕННОСТЬЮ "КИТАЙСКАЯ РЕСУРСНАЯ КОРПОРАЦИЯ "БАОЦЗИНЬ" (95 000 000 руб., 100%)</t>
  </si>
  <si>
    <t>Добыча руд цветных металлов</t>
  </si>
  <si>
    <t>3 344 450 000</t>
  </si>
  <si>
    <t>202020@mail.ru, 3808229774@mail.ru, aikal@yandex.ru, alikova@es.irkutskenergo.ru, angarsk@es.irkutskentrgo.ru, anqarsk@es.irkutskenerqo.ru, archumaeva_ts@es.irkutskenergo.ru, ayansk@oblkomenergo.ru, baikalen@yandex.ru, balanovskayama@es.irkutskenergo.ru</t>
  </si>
  <si>
    <t>ИРКУТСКЭНЕРГО, АО (3 299 999 986.8 руб., 100%)
ИЭ-АКТИВ, ООО (13.2 руб.)</t>
  </si>
  <si>
    <t>Производство электроэнергии</t>
  </si>
  <si>
    <t>aculichov@irkutskenergo.ru, akulichov@irkutskenergo.ru, akulichova@irkutskenergo.ru, baikalenergo@mail.ru, baikalenergo@netec.irkutkenergo.ru, baikalenergo@nietek.irkutskenergo.ru, baikalenergo@nitec.irkutskenergo.ru, baikalenergo@nletec.irkutskenergo.ru, baikener@mail.ru, baykalenergo@nitec.irkutskenergo.ru</t>
  </si>
  <si>
    <t>Производство, передача и распределение пара и горячей воды; кондиционирование воздуха</t>
  </si>
  <si>
    <t>baisad-zakaz@mail.ru, baisad@narzan.com</t>
  </si>
  <si>
    <t>37 480 000</t>
  </si>
  <si>
    <t>"МК ОЙЛ ЭНД ГЭС БИ. ВИ." (4 200 000 руб., 100%)</t>
  </si>
  <si>
    <t>621 100 000</t>
  </si>
  <si>
    <t>www.baxter.com.ru</t>
  </si>
  <si>
    <t>baltfishplus.ru</t>
  </si>
  <si>
    <t>Березовская Елена Самуиловна (65 000 руб., 65%)
Быховский Андрей Александрович (30 000 руб., 30%)
Орлова Марина Анатольевна (5 000 руб., 5%)</t>
  </si>
  <si>
    <t>Переработка и консервирование рыбы, ракообразных и моллюсков</t>
  </si>
  <si>
    <t>44 050 000</t>
  </si>
  <si>
    <t>baltgr@mail.wplus.net, sova@balticgroup.ru</t>
  </si>
  <si>
    <t>www.balticgroup.ru</t>
  </si>
  <si>
    <t>Торговля оптовая прочими пищевыми продуктами, не включенными в другие группировки</t>
  </si>
  <si>
    <t>219 600 000</t>
  </si>
  <si>
    <t>tender@bpk-spb.ru</t>
  </si>
  <si>
    <t>www.bpk-spb.ru</t>
  </si>
  <si>
    <t>17 860 000</t>
  </si>
  <si>
    <t>mos@baltlease.ru, psk@baltlease.ru, spb@baltlease.ru</t>
  </si>
  <si>
    <t>baltlease.ru</t>
  </si>
  <si>
    <t>БАЛТИЙСКИЙ ЛИЗИНГ, АО (150 000 000 руб., 100%)</t>
  </si>
  <si>
    <t>bbkld@bk.ru, office@balticbunkering.ru, romannado@bk.ru</t>
  </si>
  <si>
    <t>ШИППИНГ Ф, ООО (10 000 руб., 100%)</t>
  </si>
  <si>
    <t>29 910 000</t>
  </si>
  <si>
    <t>baltinveststroy@mail.ru, osstroiinvest@mail.ru, yakovleva@rsti.ru</t>
  </si>
  <si>
    <t>www.rsti.ru</t>
  </si>
  <si>
    <t>Туркин Федор Олегович (320 000 000 руб., 40%)
Креславская Нина Абрамовна (240 000 000 руб., 30%)
Креславский Игорь Вадимович (240 000 000 руб., 30%)</t>
  </si>
  <si>
    <t>438 410 000</t>
  </si>
  <si>
    <t>alexandra@baltkam.ru, morgachevaav@baltkam.ru, tender@baltkam.ru, zakaz@baltkam.ru</t>
  </si>
  <si>
    <t>www.baltkam.ru</t>
  </si>
  <si>
    <t>Монашов Сергей Николаевич (4 000 руб., 33.33%)
Новицкий Владислав Львович (4 000 руб., 33.33%)
Хасаншин Ильдар Исмаилович (4 000 руб., 33.33%)</t>
  </si>
  <si>
    <t>30 470 000</t>
  </si>
  <si>
    <t>www.esva.ee</t>
  </si>
  <si>
    <t>VICIUNU GRUPE UAB (21 800 000 руб., 100%)</t>
  </si>
  <si>
    <t>337 240 000</t>
  </si>
  <si>
    <t>info@baltmost.sp.ru, info@baltmost.spb.ru</t>
  </si>
  <si>
    <t>Абрамов Александр Валерьевич (5 000 руб., 50%)
Абрамов Антон Валерьевич (5 000 руб., 50%)</t>
  </si>
  <si>
    <t>info@bts.ru</t>
  </si>
  <si>
    <t>bts.ru</t>
  </si>
  <si>
    <t>КОМПАНИЯ "ГЛОБАЛТРАНС ИНВЕСТМЕНТ ПЛС196" (120 775 000 руб., 100%)</t>
  </si>
  <si>
    <t>4 060 090 000</t>
  </si>
  <si>
    <t>baltcell@9958258.ru, baltcell@baltcell.spb.ru, chelyadinova@obs.wiseadvice.ru, sermina-audit@yandex.ru</t>
  </si>
  <si>
    <t>www.baltcell.ru</t>
  </si>
  <si>
    <t>186 960 000</t>
  </si>
  <si>
    <t>bsm@oaobsm.ru, elena_bsm@mail.ru, hpbsm@oaobsm.ru, oao_bsm@amur.ru, s.s.makarov@mail.ru</t>
  </si>
  <si>
    <t>www.oaobsm.ru</t>
  </si>
  <si>
    <t>Производство земляных работ</t>
  </si>
  <si>
    <t>office@bangbonsomermos.ru</t>
  </si>
  <si>
    <t>www.bangbonsomer.com</t>
  </si>
  <si>
    <t>АО Банг &amp; Бонсомер Груп Аб (8 000 000 руб., 100%)</t>
  </si>
  <si>
    <t>448 580 000</t>
  </si>
  <si>
    <t>g.novikova@harrys.ru</t>
  </si>
  <si>
    <t>www.harrys.ru</t>
  </si>
  <si>
    <t>"БАРИЛЛА ИНТЕРНЭШНЛ ЛИМИТЕД" (575 700 910 руб., 87.04%)
ППИТ-15, ООО (80 700 910 руб., 12.20%)
БАРИЛЛА СЕРВИЦИ ФИНАНЦИАРИ С.П.А. (5 000 000 руб., 0.76%)</t>
  </si>
  <si>
    <t>Производство хлеба и мучных кондитерских изделий, тортов и пирожных недлительного хранения</t>
  </si>
  <si>
    <t>Хафизова Надежда Рафаиловна (10 000 руб., 100%)</t>
  </si>
  <si>
    <t>Торговля оптовая соками, минеральной водой и прочими безалкогольными напитками</t>
  </si>
  <si>
    <t>97 560 000</t>
  </si>
  <si>
    <t>barion.farm@gmail.com, bmosmo.otgruzki@barion.ru, bmosmo.otguzki@barioon.ru, breg.otgmzki@barion.rn, breg.otgruzki@barion.ru, breq.otgruski@barion.ru, e.ponomareva@ecofarmplus.ru, hjgkf@mail.ru, hr@barion.ru, info@barion.ru</t>
  </si>
  <si>
    <t>barion.ru</t>
  </si>
  <si>
    <t>Музафаров Ильдар Шаукатович (10 010 000 руб., 100%)</t>
  </si>
  <si>
    <t>29 810 000</t>
  </si>
  <si>
    <t>125642@mail.ru, 251554@mail.ru, 5424@mail.ru, 545740@mail.ru, 599707@mail.ru, 659322@mail.ru, 86_scf@mail.ru, 92334910352@mail.ru, abon22@mail.ru, altkvd@mail.ru</t>
  </si>
  <si>
    <t>www.kuzbassenergo.ru/barnaul/info</t>
  </si>
  <si>
    <t>СИБИРСКАЯ ГЕНЕРИРУЮЩАЯ КОМПАНИЯ, ООО (937 522 820.18 руб.)</t>
  </si>
  <si>
    <t>1 262 190 000</t>
  </si>
  <si>
    <t>1251254@mail.ru, 125465@mail.ru, 125647@mail.ru, 2512@mail.ru, 279@mail.ru, bges22@mai.ru, bges@ak.ru, bges@yandex.ru, bgs@bges.ru, bgs@bgs.ru</t>
  </si>
  <si>
    <t>www.bges.ru</t>
  </si>
  <si>
    <t>535 280 000</t>
  </si>
  <si>
    <t>1179@b-vrz.ru, 200387_4@b-vrz.ru, bvrz@ttb.ru, nikanorenkov@taltek.net, pahomovanatali@mail.ru, pressa@taltek.net, vagon@b-vrz.com</t>
  </si>
  <si>
    <t>www.b-vrz.ru</t>
  </si>
  <si>
    <t>Предоставление услуг по восстановлению и оснащению (завершению) железнодорожных локомотивов, трамвайных моторных вагонов и прочего подвижного состава</t>
  </si>
  <si>
    <t>226 380 000</t>
  </si>
  <si>
    <t>dsu4ooo@mail.ru</t>
  </si>
  <si>
    <t>dsu4.ru</t>
  </si>
  <si>
    <t>АЛТАЙСКИЙ ЩЕБЕНЬ, ООО (119 205 320.22 руб., 51%)
Баркова Диана Петровна (114 530 601.78 руб., 49%)</t>
  </si>
  <si>
    <t>elena_vereschagina@barry-callebaut.com, moscow@barry-callebaut.com</t>
  </si>
  <si>
    <t>www.barry-callebaut.com</t>
  </si>
  <si>
    <t>БАРРИ КАЛЛЕБАУТ НИДЕРЛАНД БИ ВИ (800 000 000 руб., 100%)</t>
  </si>
  <si>
    <t>1 091 430 000</t>
  </si>
  <si>
    <t>mail@barruprojects.com, tender@barrusprojects.com</t>
  </si>
  <si>
    <t>www.barrusprojectlogistics.com</t>
  </si>
  <si>
    <t>Зайцева Елена Арнольдовна (5 000 000 руб., 100%)</t>
  </si>
  <si>
    <t>9 190 000</t>
  </si>
  <si>
    <t>bars@bars-open.ru, bars@bars.group, bars@bars.group.ru, bars_tender@bars.group, elvira.safina@bars.group, info@bars.ru, p.okhapkin@bars.group</t>
  </si>
  <si>
    <t>www.bars.group</t>
  </si>
  <si>
    <t>274 800 000</t>
  </si>
  <si>
    <t>Королев Николай Игоревич (20 000 руб., 100%)</t>
  </si>
  <si>
    <t>nvkhmiller@barus.ooo</t>
  </si>
  <si>
    <t>sbcc.ru</t>
  </si>
  <si>
    <t>info@uralalko.ru, s.ivashkevich@belugaglobal.com, yurist@uralalko.ru</t>
  </si>
  <si>
    <t>info.russia@basf.com</t>
  </si>
  <si>
    <t>www.basf.com, www.basf.ru</t>
  </si>
  <si>
    <t>БАСФ НЕДЕРЛАНД Б.В. (BASF NEDERLAND B.V.) (350 264 970 руб., 99.99%)
ЕВРОПЕЙСКАЯ КОМПАНИЯ "БАСФ СЕ" (35 030 руб., 0.010%)</t>
  </si>
  <si>
    <t>3 233 510 000</t>
  </si>
  <si>
    <t>albert.abdulkasumov@bmw-baltauto.ru, aleksandr.serdyuk@bmw-baltauto.ru, aleksey.kudryavcev@bmw-baltauto.ru, denis.mosin@baltautotrade.ru, evgeniy.shachkov@baltautotrade.ru, evgeniy.vdovin@baltautotrade.ru, igor.lozovskiy@bmw-baltauto.ru, info@baltautotrade.ru, kirill.dubinin@baltautotrade.ru, nikita.gorlov@baltautotrade.ru</t>
  </si>
  <si>
    <t>bmw-baltauto.ru</t>
  </si>
  <si>
    <t>Берг Станислав Александрович (180 010 000 руб., 100%)</t>
  </si>
  <si>
    <t>1 903 750 000</t>
  </si>
  <si>
    <t>glafira.osechkina@intercomp.ru, spb@bat.com</t>
  </si>
  <si>
    <t>www.batrussia.ru</t>
  </si>
  <si>
    <t>Производство табачных изделий</t>
  </si>
  <si>
    <t>1 090 080 000</t>
  </si>
  <si>
    <t>bauinvest@bk.ru, bauinvestga@bk.ru</t>
  </si>
  <si>
    <t>www.bauinvest.org, бауинвест.рф</t>
  </si>
  <si>
    <t>Васильева Елена Александровна (32 000 руб., 100%)</t>
  </si>
  <si>
    <t>118 380 000</t>
  </si>
  <si>
    <t>info@tesser.ru, tender@bauservice.ru</t>
  </si>
  <si>
    <t>bauservice.ru, bauzakaz.ru, laparet.ru, plitka-laparet.ru, plitka-vannaya.ru, tesser.ru</t>
  </si>
  <si>
    <t>Новицкий Андрей Владимирович (1 000 000 руб., 100%)</t>
  </si>
  <si>
    <t>135 870 000</t>
  </si>
  <si>
    <t>inna.maslova@kaessbohrer.com</t>
  </si>
  <si>
    <t>www.kaessbohrer.com</t>
  </si>
  <si>
    <t>АКЦИОНЕРНОЕ ОБЩЕСТВО "БАУТЕК ТЕХНИЧЕСКОЕ СТРОИТЕЛЬСТВО СТРОИТЕЛЬНОЕ РАСПРЕДЕЛЕНИЕ СЕРВИС ПРОМЫШЛЕННОСТЬ И ТОРГОВЛЯ" (432 677 395.38 руб., 100%)</t>
  </si>
  <si>
    <t>Муранов Алексей Юрьевич (50 000 руб., 100%)</t>
  </si>
  <si>
    <t>1 070 000</t>
  </si>
  <si>
    <t>73@baulog.ru</t>
  </si>
  <si>
    <t>baufasad.ru</t>
  </si>
  <si>
    <t>Желудков Николай Евгеньевич (1 000 000 руб., 100%)</t>
  </si>
  <si>
    <t>26 850 000</t>
  </si>
  <si>
    <t>55-s01-profi-d@baucenter.ru, bau@mail.ru, bobrova.n@baucenter.ru, info@baza-bsm.ru, kalinichenko.m@baucenter.ru</t>
  </si>
  <si>
    <t>www.baucenter.ru</t>
  </si>
  <si>
    <t>Ярошук Александр Георгиевич (18 800 000 руб., 40%)
Гаврилов Максим Геннадьевич (14 100 000 руб., 30%)
Давыдова Инна Юрьевна (14 100 000 руб., 30%)</t>
  </si>
  <si>
    <t>Торговля розничная прочими бытовыми изделиями в специализированных магазинах</t>
  </si>
  <si>
    <t>2 235 180 000</t>
  </si>
  <si>
    <t>office.by@bauschhealth.com, office.kz@bauschhealth.com, office.ru@bauschhealth.com, office.ru@valeant.com, office.ua@bauschhealth.com</t>
  </si>
  <si>
    <t>www.bauschhealth.com, www.valeant.com</t>
  </si>
  <si>
    <t>ЧАСТНОЕ ОБЩЕСТВО С ОГРАНИЧЕННОЙ ОТВЕТСТВЕННОСТЬЮ "БАУШ+ЛОМБ НЕЗЕРЛАНДЗ Б.В." (1 639 085 656 руб., 97.91%)
БАУШ + ЛОМБ КОРПОРЕЙШН (35 010 000 руб., 2.09%)</t>
  </si>
  <si>
    <t>dostavka@bahetle.com, elmiradr@bahetle.com, info@bahetle.ru, info@bahetle.ru.natalyshu@bahetle.com, ludmilaov@bahetle.com, svetlanazg@bahetle.com</t>
  </si>
  <si>
    <t>www.bahetle.com</t>
  </si>
  <si>
    <t>Латыпова Муслима Хабриевна (3 000 000 руб., 100%)</t>
  </si>
  <si>
    <t>18 740 000</t>
  </si>
  <si>
    <t>anasovrn@bashauto.ru, avtozal@bashauto.ru, bashavtotrans@mail.ru, birskatp14v@mail.ru, nadir.samiev@mail.ru, priem@anrd.ru, priemnayadurtuli@bashauto.ru, priemnayadurtuli@bashavto.ru, priemnayauchaly@bashauto.ru, tumzatp@bashauto.ru</t>
  </si>
  <si>
    <t>www.bashauto.ru</t>
  </si>
  <si>
    <t>МИНЗЕМИМУЩЕСТВО РБ (1 948 546 руб., 0.30%)</t>
  </si>
  <si>
    <t>Деятельность сухопутного пассажирского транспорта: перевозки пассажиров в городском и пригородном сообщении</t>
  </si>
  <si>
    <t>abrychkov@yandex.ru, buh@bashevrokub.ru, buh@bashevrorub.ru, mymail@supermailservices.ru, office@bashevrokub.ru, sales@bashevrokub.ru, teplosto@yandex.ru</t>
  </si>
  <si>
    <t>bashevrokub.ru</t>
  </si>
  <si>
    <t>Ковшов Андрей Юрьевич (3 340 руб., 33.40%)
Султанов Рустем Фидусович (3 330 руб., 33.30%)
Шаяпов Ринат Халитович (3 330 руб., 33.30%)</t>
  </si>
  <si>
    <t>82 210 000</t>
  </si>
  <si>
    <t>1236545@mail.ru, 12542@mail.ru, 12546@mail.ru, 212563@mail.ru, 215524@mail.ru, 21563541@mail.ru, 2485440@mail.ru, 2563214@mail.ru, 3658@mail.ru, 83472728689@mail.ru</t>
  </si>
  <si>
    <t>http://rostelecom-rb.ru/, www.bashtel.ru</t>
  </si>
  <si>
    <t>Деятельность в области связи на базе проводных технологий</t>
  </si>
  <si>
    <t>abaev_av@tavros.ru, albina_agro@mail.ru</t>
  </si>
  <si>
    <t>УК ТАВРОС, ООО (1 000 000 руб., 100%)</t>
  </si>
  <si>
    <t>690 900 000</t>
  </si>
  <si>
    <t>5101@mail.ru, a.prolipoto@yandex.ru, bashavtodor@mail.ru, bashc@mail.ru, buchg@avtodor.rbinfo.ru, dogovor@avtodor.rbinro.ru, dogovovor@avtodor.rbinfo.ru, dor@avtdor.rbinfo.ru, dor@avtodor.rb, dor@avtodor.rbinfo.ru</t>
  </si>
  <si>
    <t>bashmed@ufamts.ru</t>
  </si>
  <si>
    <t>www.ugmk.com, www.ugmk.com/ru</t>
  </si>
  <si>
    <t>УЧАЛИНСКИЙ ГОК, АО (17 487 288.25 руб., 99.99%)
УРАЛЬСКАЯ ГОРНО-МЕТАЛЛУРГИЧЕСКАЯ КОМПАНИЯ , ОАО УГМК, ОАО (150 руб., 0.00090%)</t>
  </si>
  <si>
    <t>Добыча и обогащение медной руды</t>
  </si>
  <si>
    <t>148 200 000</t>
  </si>
  <si>
    <t>mustafin_at@tavros.ru, uk.ufa@tavros.ru</t>
  </si>
  <si>
    <t>УК ТАВРОС, ООО (1 252 671 000 руб., 100%)</t>
  </si>
  <si>
    <t>1 329 640 000</t>
  </si>
  <si>
    <t>bashsahar@mail.ru, ruslan.fayzullin@starnafta.com</t>
  </si>
  <si>
    <t>БАШКИРСКАЯ САХАРНАЯ КОМПАНИЯ, ООО (462 082 634.53 руб., 99.99%)
РАЕВСАХАР, ООО (1 000 руб., 0.00020%)</t>
  </si>
  <si>
    <t>28 640 000</t>
  </si>
  <si>
    <t>bces@bashkirenergo.ru, beladm10@mail.ru, buh_bel_bel@mail.ru, fauzetdinovadf@bashkirenergo.ru, obuo_os@bashres.bashkirenergo.ru, oes@bashkirenergo.ru, office@bashkirenergo.ru, ooobashenergo@mail.ru, oozd03@bashres.bashkirenergo.ru, post@bashkirenergo.ru</t>
  </si>
  <si>
    <t>bashes.ru</t>
  </si>
  <si>
    <t>БЭСК, АО (10 295 413 770 руб., 100%)</t>
  </si>
  <si>
    <t>Передача электроэнергии и технологическое присоединение к распределительным электросетям</t>
  </si>
  <si>
    <t>255 740 000</t>
  </si>
  <si>
    <t>bng@ufacom.ru, bngf@ufacom.ru, edward@bngf.ru, obot@bngf.ru</t>
  </si>
  <si>
    <t>www.bngf.ru</t>
  </si>
  <si>
    <t>Работы геолого-разведочные, геофизические и геохимические в области изучения недр и воспроизводства минерально-сырьевой базы</t>
  </si>
  <si>
    <t>1 440 600 000</t>
  </si>
  <si>
    <t>2455696@mail.ru, 2691159@mail.ru, almakaeva_ia@bgkrb.ru, almakaevaia@bgkrb.ru, arefeva_ta@bgk.ru, arefeva_ta@bgkrb.ru, ashrts@mail.ru, ashrts@mailbgkrb.ru, aslaeva_la@bgkrb.ru, autodelo.net@mail.ru</t>
  </si>
  <si>
    <t>БГК, ООО (2 541 806 089.1914 руб., 99.99%)
БАШЭНЕРГОТРАНС, ООО (2 541.8086 руб., 0.00010%)</t>
  </si>
  <si>
    <t>bashspirt2019@mail.ru, bashspirt@bashspirt.ru, orp@bashspirt.ru, rus@bashspirt.ru</t>
  </si>
  <si>
    <t>www.bashspirt.ru</t>
  </si>
  <si>
    <t>bb0405@mail.ru</t>
  </si>
  <si>
    <t>Бодров Александр Николаевич (1 500 000 руб., 60%)
Чешин Андрей Владимирович (1 000 000 руб., 40%)</t>
  </si>
  <si>
    <t>24 030 000</t>
  </si>
  <si>
    <t>ap@scania.ru, natalia.eralasheva@scania.ru</t>
  </si>
  <si>
    <t>www.scania.com</t>
  </si>
  <si>
    <t>АЛЬФАСКАН, ООО (1 364 580 780 руб., 100%)</t>
  </si>
  <si>
    <t>4 315 860 000</t>
  </si>
  <si>
    <t>grebneva.tatyana@konar.ru</t>
  </si>
  <si>
    <t>bvk74.ru</t>
  </si>
  <si>
    <t>Бондаренко Валерий Вячеславович (420 000 000 руб., 70%)
Компания "ЧИВИДАЛЕ С.р.Л." (180 000 000 руб., 30%)</t>
  </si>
  <si>
    <t>Литье стали</t>
  </si>
  <si>
    <t>171 610 000</t>
  </si>
  <si>
    <t>astafieva@barrier.ru, example@site.com, info@bwf.ru, profi@bwf.ru, proskurina@bwf.ru, vacancy@bwf.ru</t>
  </si>
  <si>
    <t>barrier.ru</t>
  </si>
  <si>
    <t>277 480 000</t>
  </si>
  <si>
    <t>71 850 000</t>
  </si>
  <si>
    <t>oknabvt.ru</t>
  </si>
  <si>
    <t>Ли Яков Анатольевич (660 000 руб., 100%)</t>
  </si>
  <si>
    <t>690 000</t>
  </si>
  <si>
    <t>l.larionova@divniyhotel.ru</t>
  </si>
  <si>
    <t>ОПЕРАТОР БГ, ООО (7 200 руб., 72%)
БГ ИННОВАЦИИ, ООО (1 800 руб., 18%)
Данченко Валерий Васильевич (1 000 руб., 10%)</t>
  </si>
  <si>
    <t>Деятельность по предоставлению прочих мест для временного проживания</t>
  </si>
  <si>
    <t>393 620 000</t>
  </si>
  <si>
    <t>garipov_br@bgkrb.ru, gorbatyuk_av@bgkrb.ru, kuznetsov_av@bgkrb.ru, nurieva_am@bgkrb.ru, office@bgk.bashkirenergo.ru, pfregrb@mail.ri</t>
  </si>
  <si>
    <t>ИНТЕР РАО, ПАО (24 038 539 087 руб., 100%)</t>
  </si>
  <si>
    <t>4 040 420 000</t>
  </si>
  <si>
    <t>info@bgkvn.ru</t>
  </si>
  <si>
    <t>БЕЛГРАНКОРМ, ООО (900 000 000 руб., 100%)</t>
  </si>
  <si>
    <t>226 760 000</t>
  </si>
  <si>
    <t>bgs@trestbgs.ru, buh@trestbgs.ru, trest_bgs@mail.ru</t>
  </si>
  <si>
    <t>trestbgs.ru</t>
  </si>
  <si>
    <t>ИСК РАЗВИТИЕ, ООО (450 000 000 руб., 90%)
СЗ ИСК Г. УФЫ, АО (50 000 000 руб., 10%)</t>
  </si>
  <si>
    <t>Работы каменные и кирпичные</t>
  </si>
  <si>
    <t>baxi@baxi.ru, marketing@baxi.it</t>
  </si>
  <si>
    <t>www.baxi.ru, www.baxiinternational.com</t>
  </si>
  <si>
    <t>БДР ТЕРМИЯ ГРУП Б.В. (3 502 438.06 руб., 99.90%)
БАКСИ ОВЕРСИЗ ХОЛДИНГС ЛИМИТЕД (3 505.94 руб., 0.10%)</t>
  </si>
  <si>
    <t>667 430 000</t>
  </si>
  <si>
    <t>filimonova@beatongroup.ru, info@beatongroup.ru, info@beatongvoup.ru, info@peterasfalt.spb.ru, kotik@beatongroup.ru</t>
  </si>
  <si>
    <t>www.beatongroup.ru, www.peterasfalt.ru</t>
  </si>
  <si>
    <t>160 550 000</t>
  </si>
  <si>
    <t>sm_begemot@mail.ru</t>
  </si>
  <si>
    <t>begemot68.ru</t>
  </si>
  <si>
    <t>Толстых Дмитрий Александрович (5 000 000 руб., 100%)</t>
  </si>
  <si>
    <t>Торговля розничная в неспециализированных магазинах</t>
  </si>
  <si>
    <t>2 840 000</t>
  </si>
  <si>
    <t>eevdokimova@besins-healthcare.com, info@besins-healthcare.com</t>
  </si>
  <si>
    <t>www.besins-healthcare.com</t>
  </si>
  <si>
    <t>АКЦИОНЕРНОЕ ОБЩЕСТВО "БЕЗЕН ХЕЛСКЕА" (3 500 000 руб., 100%)</t>
  </si>
  <si>
    <t>317 460 000</t>
  </si>
  <si>
    <t>a_geller@krost.net, g_ivanova@krost.net</t>
  </si>
  <si>
    <t>Рассказова Елена Анатольевна (10 000 руб., 100%)</t>
  </si>
  <si>
    <t>steelcord.lipetsk@bekaert.com</t>
  </si>
  <si>
    <t>www.bekaert.com</t>
  </si>
  <si>
    <t>Bekaert Combustion Technology B.V. (2 590 009 900 руб., 100%)
БЕКАРТ УАЙЕР, ООО (100 руб.)</t>
  </si>
  <si>
    <t>Производство изделий из проволоки, цепей и пружин</t>
  </si>
  <si>
    <t>381 430 000</t>
  </si>
  <si>
    <t>tarakanov@fccom.ru</t>
  </si>
  <si>
    <t>fccom.ru</t>
  </si>
  <si>
    <t>Позин Герман Евгеньевич (6 000 руб., 60%)
Кравцов Евгений Борисович (2 000 руб., 20%)
Этинзон Лев Владиславович (2 000 руб., 20%)</t>
  </si>
  <si>
    <t>55 150 000</t>
  </si>
  <si>
    <t>beckman.ru@beckman.com, financerussia@beckman.com</t>
  </si>
  <si>
    <t>"ИММУНОТЕХ С.Р.О." (IMMUNOTECH S.R.O.) (79 200 000 руб., 99%)
"БЕКМЕН КУЛЬТЕР, ИНК." ( BECKMAN COULTER, INC.) (800 000 руб., 1%)</t>
  </si>
  <si>
    <t>174 870 000</t>
  </si>
  <si>
    <t>anna.semenova@beko.ru, irina.jdamirova@beko.ru, olga.oleschenko@beko.ru</t>
  </si>
  <si>
    <t>www.beko.ru</t>
  </si>
  <si>
    <t>Компания "Ардатч Б.В." (4 238 371 287.68 руб., 99%)
АКЦИОНЕРНОЕ ОБЩЕСТВО "АРЧЕЛИК" (42 811 831.17 руб., 1%)</t>
  </si>
  <si>
    <t>222 250 000</t>
  </si>
  <si>
    <t>Кулагин Борис Николаевич (100 000 руб., 100%)</t>
  </si>
  <si>
    <t>1 036 170 000</t>
  </si>
  <si>
    <t>belagrotorg007@mail.ru, belagrotorg31@mail.ru, tanya_belova_1983@list.ru</t>
  </si>
  <si>
    <t>belagrotorg31.ru</t>
  </si>
  <si>
    <t>Герасимов Денис Юрьевич (20 000 руб., 20%)
Кузнецова Татьяна Ивановна (20 000 руб., 20%)
Никулин Юрий Иванович (20 000 руб., 20%)
Пономарев Михаил Владимирович (20 000 руб., 20%)
Савенко Сергей Алексеевич (20 000 руб., 20%)</t>
  </si>
  <si>
    <t>1 430 000</t>
  </si>
  <si>
    <t>www.highlandgold.com</t>
  </si>
  <si>
    <t>"STANMIX HOLDING LIMITED" (10 000 руб., 100%)</t>
  </si>
  <si>
    <t>1 181 050 000</t>
  </si>
  <si>
    <t>info@belaya-dacha.ru</t>
  </si>
  <si>
    <t>http://www.bdsalads.ru, www.belaya-dacha.ru</t>
  </si>
  <si>
    <t>Прочие виды переработки и консервирования фруктов и овощей</t>
  </si>
  <si>
    <t>54 440 000</t>
  </si>
  <si>
    <t>bd@beldolina.ru</t>
  </si>
  <si>
    <t>Михайлов Алексей Сергеевич (490 000 руб., 49%)
Шипилова Наталья Сергеевна (490 000 руб., 49%)
Михайлова Елена Владимировна (10 000 руб., 1%)
Шипилов Евгений Васильевич (10 000 руб., 1%)</t>
  </si>
  <si>
    <t>8 920 000</t>
  </si>
  <si>
    <t>bds@bds31.ru, belgoroddorstroy@mail.ru, sdo@bds31.ru, support@bds31.ru</t>
  </si>
  <si>
    <t>bds31.ru</t>
  </si>
  <si>
    <t>Дарчинян Мадат Размикович (25 300 руб., 63.25%)
Дарчинян Рубен Размикович (14 700 руб., 36.75%)</t>
  </si>
  <si>
    <t>477 350 000</t>
  </si>
  <si>
    <t>delo_bb@gap-rs.ru, ev.nesterenko@gap-rs.ru</t>
  </si>
  <si>
    <t>ТАМБОВСКИЙ БРОЙЛЕР, ООО (20 000 руб., 100%)</t>
  </si>
  <si>
    <t>123@belsbyt.ru, 127@belsbyt.ru, 202@belsbyt.ru, 204@belbyt.ru, 204@belsbyt.ru, 204@belstby.ru, 2054@belsbyt.ru, 205@beisbyt.ru, 205@belsbit.rru, 205@belsbit.ru</t>
  </si>
  <si>
    <t>www.belsbyt.ru</t>
  </si>
  <si>
    <t>ПРОМИНВЕСТ, ООО (11 818 280 руб.)</t>
  </si>
  <si>
    <t>20 130 000</t>
  </si>
  <si>
    <t>АКЦИОНЕРНОЕ ОБЩЕСТВО "МАЛЬТОРОП ГРУП" (10 000 руб., 100%)</t>
  </si>
  <si>
    <t>Производство солода</t>
  </si>
  <si>
    <t>117 890 000</t>
  </si>
  <si>
    <t>info@bezrk.ru</t>
  </si>
  <si>
    <t>www.jasnzori/ru</t>
  </si>
  <si>
    <t>БГК-ХОЛДИНГ, ООО (1 156 213 500 руб., 99.95%)
ЧАСТНАЯ АКЦИОНЕРНАЯ КОМПАНИЯ С ОГРАНИЧЕННОЙ ОТВЕТСТВЕННОСТЬЮ "ЛОРЕЛЛ ЛИМИТЕД" (612 000 руб., 0.050%)</t>
  </si>
  <si>
    <t>4 433 440 000</t>
  </si>
  <si>
    <t>bedorstroy@bk.ru, beldorstroy@bk.ru, beldorstroy@mail.ru, belgoroddorstroy@bk.ru, e.klochkova@beldorstroy.com, es.kovaleva@beldorstroy.com, meh@beldorstroy.com, ok@beldorstroy.com, priemnaya@beldorstroy.com, snab@beldorstroy.com</t>
  </si>
  <si>
    <t>www.beldorstroy.com, белдорстрой.рф</t>
  </si>
  <si>
    <t>Степашов Николай Евгеньевич (5 100 руб., 51%)
Степашов Владимир Николаевич (4 900 руб., 49%)</t>
  </si>
  <si>
    <t>belmol@belmol.ru, fgg@belmol.ru, galina.philippova@savencia-fd.ru, referent@belmol.ru</t>
  </si>
  <si>
    <t>belmol.ru</t>
  </si>
  <si>
    <t>Производство сыра и сырных продуктов</t>
  </si>
  <si>
    <t>55 230 000</t>
  </si>
  <si>
    <t>office@belkam.com</t>
  </si>
  <si>
    <t>www.russneft.ru</t>
  </si>
  <si>
    <t>Предоставление услуг в области добычи нефти и природного газа</t>
  </si>
  <si>
    <t>feklistova@belkam.com, suslovana@belkam.com</t>
  </si>
  <si>
    <t>БЕЛКАМНЕФТЬ ИМ. А.А. ВОЛКОВА, АО (2 530 982 155 руб., 100%)</t>
  </si>
  <si>
    <t>blkvmg@belcomm.ru</t>
  </si>
  <si>
    <t>КАРАКАН ИНВЕСТ, ООО (1 000 000 руб., 100%)</t>
  </si>
  <si>
    <t>2 438 010 000</t>
  </si>
  <si>
    <t>o.lipatova@bella-tzmo.ru, sales@gigienashop.ru</t>
  </si>
  <si>
    <t>bella-tzmo.ru, gigienashop.ru</t>
  </si>
  <si>
    <t>"ТОРУНЬСКОЕ ПРЕДПРИЯТИЕ ПЕРЕВЯЗОЧНЫХ МАТЕРИАЛОВ" (1 350 600 000 руб., 100%)</t>
  </si>
  <si>
    <t>30 990 000</t>
  </si>
  <si>
    <t>e.rubcova@bella-tzmo.ru, ooo.bella@tzmo-global.com</t>
  </si>
  <si>
    <t>www.tzmo.com.pl</t>
  </si>
  <si>
    <t>"ТОРУНЬСКОЕ ПРЕДПРИЯТИЕ ПЕРЕВЯЗОЧНЫХ МАТЕРИАЛОВ" (3 652 473 727.9 руб., 100%)</t>
  </si>
  <si>
    <t>Производство текстильных изделий различного назначения, не включенных в другие группировки</t>
  </si>
  <si>
    <t>bmp-urist@mail.ru, bmp_com@mail.ru, mgp@m-product.ru</t>
  </si>
  <si>
    <t>Балашов Андрей Борисович (50%)
Кратько Вячеслав Васильевич (50%)</t>
  </si>
  <si>
    <t>info@belneftehim-ros.ru, sds@belneftehim-ros.ru</t>
  </si>
  <si>
    <t>www.belneftehim-ros.ru</t>
  </si>
  <si>
    <t>УП "БЕЛОРУССКИЙ НЕФТЯНОЙ ТОРГОВЫЙ ДОМ" (1 720 000 руб., 100%)</t>
  </si>
  <si>
    <t>187 890 000</t>
  </si>
  <si>
    <t>2015.k.natalya@gmail.com, ab.121517@yandex.ru, abo31@beiwater.ru, abo31@belwarer.ru, abo31@belwayer.ru, abo@belwater.ru, abo_prom31@belwater.ru, abom_pro@belwater.ru, abom_prom@belwater.ru, abon.otdel2014@mail.ru</t>
  </si>
  <si>
    <t>https://www.belwater.ru/</t>
  </si>
  <si>
    <t>Белгородская обл (21 747 329 руб., 100%)</t>
  </si>
  <si>
    <t>Забор, очистка и распределение воды</t>
  </si>
  <si>
    <t>Костюков Александр Александрович (10 000 руб., 100%)</t>
  </si>
  <si>
    <t>Торговля оптовая книгами, газетами и журналами, писчебумажными и канцелярскими товарами</t>
  </si>
  <si>
    <t>534 170 000</t>
  </si>
  <si>
    <t>12@ors12.ru, ail@belor.ru, be146@mail.ru, beior.503651@mail.ru, bel.ors7@mail.ru, bel46@mail.ru, belor.rc1@mail.ru, belor.rc@mail.ru, belor_ang@mail.ru, belore@mail.ru</t>
  </si>
  <si>
    <t>belor.ru</t>
  </si>
  <si>
    <t>694 100 000</t>
  </si>
  <si>
    <t>belorusneft@mail.ru, d.guzov@beloil.by, gbk@beloil.by</t>
  </si>
  <si>
    <t>www.bnsib.ru</t>
  </si>
  <si>
    <t>РУП "Производственное объединение "Белоруснефть" (4 446 399 905.47 руб., 100%)</t>
  </si>
  <si>
    <t>www.belsahar.ru</t>
  </si>
  <si>
    <t>ОАО "ГОРОДЕЙСКИЙ САХАРНЫЙ КОМБИНАТ" (1 350 000 руб., 25%)
ОАО "Жабинковский сахарный завод" (1 350 000 руб., 25%)
ОАО "Скидельский сахарный комбинат" (1 350 000 руб., 25%)</t>
  </si>
  <si>
    <t>Торговля оптовая сахаром</t>
  </si>
  <si>
    <t>Ковальков Сергей Николаевич (54 554 500 руб., 50%)
Панченков Михаил Викторович (54 554 500 руб., 50%)</t>
  </si>
  <si>
    <t>74 680 000</t>
  </si>
  <si>
    <t>info@sinergiya.ru, ir@sygroup.ru, s.ivashkevich@belugaglobal.com</t>
  </si>
  <si>
    <t>http://www.sygroup.ru/investor_center, www.belugagroup.ru, www.sygroup.ru</t>
  </si>
  <si>
    <t>ОРИЕНТ-ЗАПАД, АО (39.38%)
СИНЕРГИЯ КАПИТАЛ, АО (18.60%)
СИНЕРГИЯ МАРКЕТ, ООО (7.80%)
Компания «ТОТТЕНВЕЛЛ ЛИМИТЕД» (2.87%)
Белокопытов Николай Владимирович (1.70%)
Молчанов Сергей Витальевич (1.47%)
Ерохин Дмитрий Викторович (0.64%)
Прохоров Константин Анатольевич (0.11%)
Василенко Григорий Витальевич (0.080%)
Иконников Александр Вячеславович (0.050%)
...*</t>
  </si>
  <si>
    <t>lit@balsam.ru, melkevich@balsam.ru</t>
  </si>
  <si>
    <t>БЕЛУГА МАРКЕТ, ООО (59 000 000 руб., 100%)</t>
  </si>
  <si>
    <t>БЕЛУГА МАРКЕТ, ООО (50 971 440 руб., 100%)</t>
  </si>
  <si>
    <t>121 380 000</t>
  </si>
  <si>
    <t>БЕЛУГА МАРКЕТ, ООО (25 000 000 руб., 100%)</t>
  </si>
  <si>
    <t>hd@hlvz.ru, jurist@hlvz.ru, soft@belugagroup.ru</t>
  </si>
  <si>
    <t>БЕЛУГА МАРКЕТ, ООО (155 005 000 руб., 50%)
ВИНЛАБ, АО (155 005 000 руб., 50%)</t>
  </si>
  <si>
    <t>popovaei@sygroup.ru, s.ivashkevich@belugaglobal.com</t>
  </si>
  <si>
    <t>СИНЕРГИЯ КАПИТАЛ, АО (679 063 741 руб., 99.99%)
БЕЛУГА ГРУПП, ПАО (67 920 руб., 0.010%)</t>
  </si>
  <si>
    <t>1 221 610 000</t>
  </si>
  <si>
    <t>info@bbars.pro</t>
  </si>
  <si>
    <t>ЯРДЭМ, ООО (10 000 000 руб., 99.90%)
ПБУ, ООО (10 000 руб., 0.10%)</t>
  </si>
  <si>
    <t>astapova_uu@energomash.ru, fedosova_ta@energomash.ru, info@energomash.ru</t>
  </si>
  <si>
    <t>energomash.ru</t>
  </si>
  <si>
    <t>ВМЗ, АО (100 000 руб., 100%)</t>
  </si>
  <si>
    <t>Производство стальных труб, полых профилей и фитингов</t>
  </si>
  <si>
    <t>1 424 800 000</t>
  </si>
  <si>
    <t>ooobelyanka@mail.ru</t>
  </si>
  <si>
    <t>leto-group.ru</t>
  </si>
  <si>
    <t>КОЛОСИНВЕСТ, АО (10 911 232.59 руб., 100%)</t>
  </si>
  <si>
    <t>БЕНКОМ С.Р.Л. (223 518 999 руб., 100%)</t>
  </si>
  <si>
    <t>Торговля оптовая одеждой и обувью</t>
  </si>
  <si>
    <t>Матвеев Антон Александрович (150 000 руб., 100%)</t>
  </si>
  <si>
    <t>benefon@mail.ru</t>
  </si>
  <si>
    <t>Курманов Ибрагим Ахметович (10 000 руб., 100%)</t>
  </si>
  <si>
    <t>55 610 000</t>
  </si>
  <si>
    <t>anna.altufieva@ooobentec.com, tyumen@bentec.com</t>
  </si>
  <si>
    <t>www.bentec.com</t>
  </si>
  <si>
    <t>ООО "БЕНТЕК ГМБХ ДРИЛЛИНГ И ОИЛФИЕЛД СИСТЕМС (216 665 419 руб., 99.66%)
Бентек Персоналсервас ГМБХ (730 000 руб., 0.34%)</t>
  </si>
  <si>
    <t>Производство машин и оборудования для добычи полезных ископаемых и строительства</t>
  </si>
  <si>
    <t>552 780 000</t>
  </si>
  <si>
    <t>o.khvat@bervel.ru, zavod@bervel.ru</t>
  </si>
  <si>
    <t>www.bervel.ru</t>
  </si>
  <si>
    <t>Власов Владимир Николаевич (10 200 000 руб., 51%)
Медведев Юрий Викторович (6 000 000 руб., 30%)
Добровский Александр Юльевич (2 000 000 руб., 10%)
Танана Олег Григорьевич (1 000 000 руб., 5%)
Котылевский Владимир Сэндэрович (400 000 руб., 2%)
Метелев Юрий Алексеевич (400 000 руб., 2%)</t>
  </si>
  <si>
    <t>Производство крепежных изделий</t>
  </si>
  <si>
    <t>l.belova@berg.ru</t>
  </si>
  <si>
    <t>www.berg.ru</t>
  </si>
  <si>
    <t>МОСКВОРЕЧЬЕ ТРЕЙДИНГ, ООО (10 569 100.95 руб., 25.01%)
Корольков Геннадий Афиногентович (3 972 393 руб., 9.40%)
Агуреева Наталья Эдуардовна (3 959 715.15 руб., 9.37%)
Корольков Кирилл Геннадьевич (3 959 715.15 руб., 9.37%)
Королькова Светлана Владимировна (3 959 715.15 руб., 9.37%)
Платонов Александр Аркадьевич (3 959 715.15 руб., 9.37%)
Платонова Елена Сергеевна (3 959 715.15 руб., 9.37%)
Платонова Мария Александровна (3 959 715.15 руб., 9.37%)
Русяев Андрей Игоревич (3 959 715.15 руб., 9.37%)</t>
  </si>
  <si>
    <t>618 680 000</t>
  </si>
  <si>
    <t>post@bergauf.ru</t>
  </si>
  <si>
    <t>bergauf.ru</t>
  </si>
  <si>
    <t>Кнутарев Дмитрий Анатольевич (9 500 000 руб., 95%)
Бай Алексей Николаевич (500 000 руб., 5%)</t>
  </si>
  <si>
    <t>Производство сухих бетонных смесей</t>
  </si>
  <si>
    <t>93 650 000</t>
  </si>
  <si>
    <t>rapril79@mail.ru</t>
  </si>
  <si>
    <t>28 490 000</t>
  </si>
  <si>
    <t>info@hmao.berezkagas.com, l.glavatskih@hmao.berezkagas.com</t>
  </si>
  <si>
    <t>www.berezkagas.com</t>
  </si>
  <si>
    <t>Разделение и извлечение фракций из нефтяного (попутного) газа</t>
  </si>
  <si>
    <t>info@ooobru.ru, ooobru@mail.ru, pzs@ooobru.ru, urist-alla@mail.ru</t>
  </si>
  <si>
    <t>Урманова Айгуль Фаритовна (20 000 руб., 40%)
Шахов Вячеслав Фаритович (20 000 руб., 40%)
Набиуллин Фарит Минниахметович (10 000 руб., 20%)</t>
  </si>
  <si>
    <t>548 800 000</t>
  </si>
  <si>
    <t>info.russia@bericap.com, info.russia@derikap.com</t>
  </si>
  <si>
    <t>www.bericap.com</t>
  </si>
  <si>
    <t>БЕРИКАП ХОЛДИНГ ГМБХ (266 608 162 руб., 100%)</t>
  </si>
  <si>
    <t>623 270 000</t>
  </si>
  <si>
    <t>www.boehringen-ingelheim.com</t>
  </si>
  <si>
    <t>Boehringer Ingelheim RCV Holding GmbH (600 000 000 руб., 100%)</t>
  </si>
  <si>
    <t>449 250 000</t>
  </si>
  <si>
    <t>info@tig.com.ru, svetlana.petukhova@npcc-com.ru</t>
  </si>
  <si>
    <t>КОМПАНИЯ РОСМИРО ИНВЕСТМЕНТС ЛИМИДЕТ (5 000 001 руб., 100%)</t>
  </si>
  <si>
    <t>1 649 420 000</t>
  </si>
  <si>
    <t>tenders@berks.su</t>
  </si>
  <si>
    <t>berks.ru</t>
  </si>
  <si>
    <t>Евдокимов Евгений Михайлович (8 020 000 руб., 100%)</t>
  </si>
  <si>
    <t>221 870 000</t>
  </si>
  <si>
    <t>info@berlin-pharma.ru</t>
  </si>
  <si>
    <t>www.berlin-chemie.ru</t>
  </si>
  <si>
    <t>Производство лекарственных препаратов для медицинского применения</t>
  </si>
  <si>
    <t>23 250 000</t>
  </si>
  <si>
    <t>office-russia@berlin-chemie.com</t>
  </si>
  <si>
    <t>berlin-chemie.ru</t>
  </si>
  <si>
    <t>БЕРЛИН-ХЕМИ/МЕНАРИНИ ФАРМА ГМБХ (200 000 000 руб., 100%)</t>
  </si>
  <si>
    <t>578 870 000</t>
  </si>
  <si>
    <t>market@relef.ru</t>
  </si>
  <si>
    <t>berlingo.ru</t>
  </si>
  <si>
    <t>Корягин Николай Александрович (28 588.37 руб., 28.58%)
Антонникова Наталья Владимировна (13 925.71 руб., 13.92%)
Костенко Наталья Владимировна (13 925.71 руб., 13.92%)
Шульпякова Анна Юрьевна (13 925.71 руб., 13.92%)
Пименов Виктор Александрович (10 575.58 руб., 10.57%)
Сафонова Елена Александровна (8 338.28 руб., 8.33%)
Третьяк Евгений Дмитриевич (8 338.28 руб., 8.33%)
Круть Анатолий Александрович (2 382.36 руб., 2.38%)</t>
  </si>
  <si>
    <t>89 200 000</t>
  </si>
  <si>
    <t>Карпинская Жанна Эдуардовна (125 000 руб., 50%)
Светлосанова Софья Владимировна (125 000 руб., 50%)</t>
  </si>
  <si>
    <t>94 530 000</t>
  </si>
  <si>
    <t>info@beta-group.spb.ru</t>
  </si>
  <si>
    <t>Латыпов Рафаэль Рафисович (10 000 руб., 100%)</t>
  </si>
  <si>
    <t>168 740 000</t>
  </si>
  <si>
    <t>safina.aigul@krasnoe-beloe.ru</t>
  </si>
  <si>
    <t>780 310 000</t>
  </si>
  <si>
    <t>4854730@betas.su, cdsogm@mail.ru</t>
  </si>
  <si>
    <t>ГПБ ЦИФРОВЫЕ НЕДРА, ООО (100 000 руб., 100%)</t>
  </si>
  <si>
    <t>Журило Анатолий Иосифович (60 000 руб., 100%)</t>
  </si>
  <si>
    <t>20 290 000</t>
  </si>
  <si>
    <t>parimatch.ru</t>
  </si>
  <si>
    <t>ИГРАЮЩИЙ МИР, ООО (198 800 000 руб., 100%)</t>
  </si>
  <si>
    <t>Деятельность по организации и проведению азартных игр и заключения пари</t>
  </si>
  <si>
    <t>2 176 830 000</t>
  </si>
  <si>
    <t>bzmi.ru</t>
  </si>
  <si>
    <t>Шишин Александр Павлович (112 910 руб., 42.15%)
Шишина Наталья Николаевна (50 040 руб., 18.68%)
Фурманов Александр Николаевич (31 940 руб., 11.93%)
Михайлова Татьяна Федоровна (28 680 руб., 10.71%)
Мандриков Вадим Анатольевич (22 190 руб., 8.29%)
Мандрикова Юлия Александровна (22 070 руб., 8.24%)</t>
  </si>
  <si>
    <t>Производство металлических бочек и аналогичных емкостей</t>
  </si>
  <si>
    <t>184 020 000</t>
  </si>
  <si>
    <t>aobzmmk@yandex.ru, bzmmk@hotmail.ru</t>
  </si>
  <si>
    <t>704 190 000</t>
  </si>
  <si>
    <t>info@bortorg.ru, office@bortorg.ru</t>
  </si>
  <si>
    <t>bortorg.ru, bztonn.ru</t>
  </si>
  <si>
    <t>Деревянко Алексей Анатольевич (50 000 руб., 50%)
Лабазин Герман Юрьевич (50 000 руб., 50%)</t>
  </si>
  <si>
    <t>Производство мебели для офисов и предприятий торговли</t>
  </si>
  <si>
    <t>1 772 570 000</t>
  </si>
  <si>
    <t>akuzmicheva@bcc.ru, asu@bcc.ru, ekladikova@bcc.ru, electric@bcc.ru, eryabokon@bcc.ru, gkh@bcc.ru, offce@bcc.ru, zakaz@bcc.ru</t>
  </si>
  <si>
    <t>www.bcc.ru</t>
  </si>
  <si>
    <t>ИНФРАСТРУКТУРНЫЕ ТЕХНОЛОГИИ, ООО (1 000 000 руб., 100%)</t>
  </si>
  <si>
    <t>Торговля оптовая прочей офисной техникой и оборудованием</t>
  </si>
  <si>
    <t>go@bia-tech.ru, olga.tyupina@bia-tech.ru</t>
  </si>
  <si>
    <t>Шведенков Денис Борисович (5 000 руб., 50%)
ТБ-КАПИТАЛ, ООО (3 750 руб., 37.50%)
БИЗНЕС ПРОЕКТ, ООО (1 250 руб., 12.50%)</t>
  </si>
  <si>
    <t>1 107 890 000</t>
  </si>
  <si>
    <t>biaxplen@biaxplen.ru</t>
  </si>
  <si>
    <t>СИБУР ХОЛДИНГ, ПАО (4 500 000 000 руб., 100%)</t>
  </si>
  <si>
    <t>Производство пластмассовых плит, полос, труб и профилей</t>
  </si>
  <si>
    <t>3 245 020 000</t>
  </si>
  <si>
    <t>МАШ, АО (9 000 руб., 75%)
Туголукова Юлия Борисовна (3 000 руб., 25%)</t>
  </si>
  <si>
    <t>Деятельность туристических агентств и туроператоров</t>
  </si>
  <si>
    <t>info@bigdutchman.ru, info@bigdutchmann.ru</t>
  </si>
  <si>
    <t>www.bigdutchman.com, www.bigdutchman.ru</t>
  </si>
  <si>
    <t>БИГ ДАЧМЕН АКЦИЕНГЕЗЕЛЛЬШАФТ (8 625 000 руб., 100%)</t>
  </si>
  <si>
    <t>ceramed@bigcom.ru</t>
  </si>
  <si>
    <t>bigcom.ru</t>
  </si>
  <si>
    <t>Бобков Глеб Викторович (575 000 руб., 50%)
Саргин Борис Викторович (575 000 руб., 50%)</t>
  </si>
  <si>
    <t>471 330 000</t>
  </si>
  <si>
    <t>bigam@mail.ru, m.biserov@bigam.ru, petrova.y@bigam.ru, vorobyev@bigam.ru</t>
  </si>
  <si>
    <t>bigam.ru</t>
  </si>
  <si>
    <t>Бисеров Алексей Геннадьевич (50 000 руб., 50%)
Бисеров Михаил Геннадьевич (50 000 руб., 50%)</t>
  </si>
  <si>
    <t>Торговля розничная большим товарным ассортиментом с преобладанием непродовольственных товаров в неспециализированных магазинах</t>
  </si>
  <si>
    <t>165 670 000</t>
  </si>
  <si>
    <t>in@biz-komm.ru</t>
  </si>
  <si>
    <t>biz-komm.ru</t>
  </si>
  <si>
    <t>СИГМА, ООО (1 000 000 руб., 100%)</t>
  </si>
  <si>
    <t>636 140 000</t>
  </si>
  <si>
    <t>inbox@strbgr.ru, link@businessgroupp.ru</t>
  </si>
  <si>
    <t>http://businessgrupp.ru</t>
  </si>
  <si>
    <t>СПЕЦИАЛИЗИРОВАННЫЙ ЗАСТРОЙЩИК ИНГРАД, АО (10 000 руб., 100%)</t>
  </si>
  <si>
    <t>gurgen.chergeshtov@bmtechnics.ru, info@bmtehnics.ru</t>
  </si>
  <si>
    <t>bmtechnics.ru</t>
  </si>
  <si>
    <t>Луканов Александр Константинович (152 010 000 руб., 83.62%)
Пеннер Сергей (16 890 000 руб., 9.29%)
Чергештов Гурген Григорьевич (12 893 000 руб., 7.09%)</t>
  </si>
  <si>
    <t>182 270 000</t>
  </si>
  <si>
    <t>www.rrc.ru</t>
  </si>
  <si>
    <t>Беликов Вадим Георгиевич (22 000 руб., 22%)
Tansit Group Limited (17 285.7 руб., 17.28%)
ДОЛКАСТИНА ИНВЕСТМЕНТС ЛТД. (17 285.7 руб., 17.28%)
Багиров Сергей Валентинович (13 317.1 руб., 13.31%)
I.I.I. ТЕКНОЛОДЖИС ЛИМИТЕД (12 428.6 руб., 12.42%)
Гармасар Анна Яковлевна (6 052.3 руб., 6.05%)
Мельянцев Андрей Николаевич (5 815.3 руб., 5.81%)
Снастина Татьяна Игоревна (5 815.3 руб., 5.81%)</t>
  </si>
  <si>
    <t>335 050 000</t>
  </si>
  <si>
    <t>info@uk.sistema.ru, qniaze@rambler.ru, zhabin@uk.sistema.ru</t>
  </si>
  <si>
    <t>СИСТЕМА, ПАО АФК (80.16%)
УК ФОНДОВОЙ НЕДВИЖИМОСТИ, ООО (16.54%)
СИСТЕМА ТЕЛЕКОМ АКТИВЫ, ООО (1.86%)
СИСТЕМА-ИНВЕСТ, АО (1.42%)</t>
  </si>
  <si>
    <t>Прохоров Михаил Дмитриевич (1 243 345 000 руб., 100%)</t>
  </si>
  <si>
    <t>Вложения в ценные бумаги и деятельность дилерская</t>
  </si>
  <si>
    <t>1 893 970 000</t>
  </si>
  <si>
    <t>Гутникова Мария Евгеньевна (10 000 руб., 100%)</t>
  </si>
  <si>
    <t>7 820 000</t>
  </si>
  <si>
    <t>Кустов Дмитрий Сергеевич (10 000 руб., 100%)</t>
  </si>
  <si>
    <t>info@bi.zone, o.kruzhalenko@bi.zone, s.yashkin@bi.zon, v.koroleva@bi.zone</t>
  </si>
  <si>
    <t>https://bi.zone/, spirentgnss.ru</t>
  </si>
  <si>
    <t>УК БИЗОН, ООО (2 720 468 549.13 руб., 100%)</t>
  </si>
  <si>
    <t>bizon@bizonagro.ru</t>
  </si>
  <si>
    <t>www.bizonltd.ru</t>
  </si>
  <si>
    <t>Суховенко Сергей Леонидович (10 000 руб., 100%)</t>
  </si>
  <si>
    <t>94 190 000</t>
  </si>
  <si>
    <t>reseption.moscow@bicworld.com</t>
  </si>
  <si>
    <t>www.bicworld.com</t>
  </si>
  <si>
    <t>154 940 000</t>
  </si>
  <si>
    <t>artyr002@mail.ru, bild.snab@mail.ru, bildufa01@gmail.com, bildufa01@mail.ru, bildufa@mail.ru, buh-bildufa@mail.ru, law.bild@bk.ru, ooo-sgms@yandex.ru, personnel-bild@yandex.ru</t>
  </si>
  <si>
    <t>ooo-bild.ru</t>
  </si>
  <si>
    <t>Хасанов Рустам Рафаилович (2 000 000 руб., 99%)
БИЛД, ООО (20 000 руб., 1%)</t>
  </si>
  <si>
    <t>440 590 000</t>
  </si>
  <si>
    <t>bildex37@rambler.ru, info@bildex.ru</t>
  </si>
  <si>
    <t>Шилов Георгий Александрович (3 340 руб., 33.40%)
Коготков Сергей Анатольевич (3 330 руб., 33.30%)
Ларионов Андрей Владимирович (3 330 руб., 33.30%)</t>
  </si>
  <si>
    <t>348 970 000</t>
  </si>
  <si>
    <t>olga.serezhnikova@grupobimbo.com</t>
  </si>
  <si>
    <t>ООО БИБИАЙ КЬЮЭСАР ХОЛДИНГ (5 994 000 руб., 99.90%)
ИБ ХОЛДИНГЗ (ЮС2), ЭЛ.ЭЛ.СИ. (6 000 руб., 0.10%)</t>
  </si>
  <si>
    <t>216 010 000</t>
  </si>
  <si>
    <t>bimkk@mail.ru, e.arkhipova@bimcvol.ru, info@bimcvol.ru, main@bimcvol.ru, service@bimcvol.ru, soe@bimcvol.ru</t>
  </si>
  <si>
    <t>www.bimcvol.ru</t>
  </si>
  <si>
    <t>Хорошун Дмитрий Васильевич (750 000 руб., 75%)
Слащёв Сергей Владимирович (250 000 руб., 25%)</t>
  </si>
  <si>
    <t>231 770 000</t>
  </si>
  <si>
    <t>info@sk-bin.ru</t>
  </si>
  <si>
    <t>sk-bin.ru</t>
  </si>
  <si>
    <t>Налбандян Ваагн Суренович (1 000 000 руб., 100%)</t>
  </si>
  <si>
    <t>infobf@binnopharmgroup.ru</t>
  </si>
  <si>
    <t>КОМПАНИЯ С ОГРАНИЧЕННОЙ ОТВЕТСТВЕННОСТЬЮ "РИСТАНГО ХОЛДИНГ ЛИМИТЕД" (37 729 380 661.23 руб., 100%)</t>
  </si>
  <si>
    <t>info_russia@bio-rad.com, info_russia@biorad.com, inu@svblood.ru, post@bio-rad.ru</t>
  </si>
  <si>
    <t>www.bio-rad.com</t>
  </si>
  <si>
    <t>КОРПОРАЦИЯ "БИО-РАД ЛАБОРАТОРИЗ, ИНК." (66 000 руб., 100%)</t>
  </si>
  <si>
    <t>203 950 000</t>
  </si>
  <si>
    <t>n.shadrina@bioton-agro.ru</t>
  </si>
  <si>
    <t>bioton-agro.ru</t>
  </si>
  <si>
    <t>Зернин Эдуард Петрович (138 020 632 руб., 100%)</t>
  </si>
  <si>
    <t>3 664 030 000</t>
  </si>
  <si>
    <t>anikv@yandex.ru, info@basagro.ru</t>
  </si>
  <si>
    <t>basagro.ru</t>
  </si>
  <si>
    <t>47 060 000</t>
  </si>
  <si>
    <t>alla.boykova@biovitrum.ru, anastasiya.vasilyeva@biovitrum.ru, anna.dushutkina@biovitrum.ru, biovitrum@ya.ru, elizaveta.mikurova@biovitrum.ru, inf0@biovitrum.ru, mariya.chupkova@biovitrum.ru, mariya.ryabova@biovitrum.ru, nfo@biovitrum.ru, sverka@biovitrum.ru</t>
  </si>
  <si>
    <t>Цимберг Владимир Викторович (19 000 руб., 95%)
Зимарина Татьяна Сергеевна (1 000 руб., 5%)</t>
  </si>
  <si>
    <t>208 220 000</t>
  </si>
  <si>
    <t>biktimirova@bioline.ru, blohin@biolaine.ru, evteev@bioline.ru, frolova@bioline.ru, main@biolone.ru, prk@biolin.ru, servise@bioline.ru, sidyakina@bioline.ru, smirnova_mv@bioline.ru, soloveva_av@bioline.ru</t>
  </si>
  <si>
    <t>www.bioline.ru</t>
  </si>
  <si>
    <t>Семенова Татьяна Алексеевна (1 692 800 руб., 80%)
Семенов Александр Владимирович (423 200 руб., 20%)</t>
  </si>
  <si>
    <t>465 110 000</t>
  </si>
  <si>
    <t>cm-pretension@computermarket.ru, cm-zakaz@computermarket.ru</t>
  </si>
  <si>
    <t>netlab.ru</t>
  </si>
  <si>
    <t>Ковалев Алексей Юрьевич (48 000 руб., 24%)
Смирнов Виктор Евгеньевич (48 000 руб., 24%)
Ковалева Людмила Ивановна (47 000 руб., 23.50%)
Смирнова Галина Владимировна (47 000 руб., 23.50%)
Ишкова Марина Ивановна (10 000 руб., 5%)</t>
  </si>
  <si>
    <t>543 880 000</t>
  </si>
  <si>
    <t>biote@mail.ru, corporate@torgmash-avto.ru, ls.kormilitsyna@torgmashavto.ru</t>
  </si>
  <si>
    <t>Микадзе Георгий Александрович (2 500 000 руб., 25%)
Микадзе Заал Александрович (2 500 000 руб., 25%)
Никошин Владимир Витальевич (2 500 000 руб., 25%)
Скляров Вадим Федорович (2 500 000 руб., 25%)</t>
  </si>
  <si>
    <t>268 730 000</t>
  </si>
  <si>
    <t>biorosva.ru</t>
  </si>
  <si>
    <t>КОМПАНИЯ "АДВАНТИС ГРУП ЭФ ЗЕТ СИ" (10 000 руб., 100%)</t>
  </si>
  <si>
    <t>biofarma@mail.ru, buirfs@mail.ru, jfygj@mail.ru, jgyeh@mail.ru, jyh@mail.ru, kjgyeukb@mail.ru, kornilova@optfarma.ru, mhcwiu@mail.ru, oobiofarma@mail.ru, ooobbiofarma@mail.ru</t>
  </si>
  <si>
    <t>Крылова Ирина Анатольевна (10 000 руб., 100%)</t>
  </si>
  <si>
    <t>85 850 000</t>
  </si>
  <si>
    <t>kzinchenko@masangroup.ru, reception-biofood@masangroup.ru</t>
  </si>
  <si>
    <t>СКАЙ ПАУЭР КОНСТРАКШН ИНЖИНИРИНГ ЛИМИТЕД (90 243 000 руб., 33.30%)
ЗАКРЫТЫЙ ПАЕВОЙ ИНВЕСТИЦИОННЫЙ КОМБИНИРОВАННЫЙ ФОНД "БИЗНЕС-ЮГ" (81 272 900 руб., 29.99%)
КОМПАНИЯ ОГРАНИЧЕННАЯ АКЦИЯМИ СЕРЛИНГ БИЗНЕС С.А. (58 807 000 руб., 21.70%)
КОМПАНИЯ "IMPRESSUM (UK) LTD" (40 650 000 руб., 15%)
ТЕРМОЭЛЕКТРО ГРУПП ЛИМИТЕД (27 100 руб., 0.010%)</t>
  </si>
  <si>
    <t>Производство макаронных изделий</t>
  </si>
  <si>
    <t>bio_cend@mail.ru, biohim@moris.ru, biohimic@biohimic.ru, t.boyarkina@biohimic.ru</t>
  </si>
  <si>
    <t>biohimik.ru</t>
  </si>
  <si>
    <t>МИРАКЛ ФАРМ, ООО (174 371 252 руб.)</t>
  </si>
  <si>
    <t>1 009 600 000</t>
  </si>
  <si>
    <t>fandey.tsp@outlook.com, funday@outlook.com, info@bioennp.ru, transstroypostavka@mail.ru</t>
  </si>
  <si>
    <t>https://bioennp.ru/</t>
  </si>
  <si>
    <t>Фандей Денис Николаевич (9 400 000 руб., 100%)</t>
  </si>
  <si>
    <t>dizes2018@yandex.ru, info@bioentrade.ru</t>
  </si>
  <si>
    <t>bioentrade.ru</t>
  </si>
  <si>
    <t>Серегин Артем Сергеевич (40 075 000 руб., 50%)
Тыжненко Наталья Борисовна (40 075 000 руб., 50%)</t>
  </si>
  <si>
    <t>1 006 070 000</t>
  </si>
  <si>
    <t>info.moscow@bcg.com</t>
  </si>
  <si>
    <t>www.bcg.com, www.bcg.ru</t>
  </si>
  <si>
    <t>"БОСТОН КОНСАЛТИНГ ГРУПП (МОСКОУ) ЛИМИТЕД" (THE BO (9 990 руб., 99.90%)
ФИРМА "БОСТОН КОНСАЛТИНГ ГРУП ЛИМИТЕД" (10 руб., 0.10%)</t>
  </si>
  <si>
    <t>efimova.s@btyre.ru, vig@btyre.ru</t>
  </si>
  <si>
    <t>shinapoint.ru</t>
  </si>
  <si>
    <t>Тюменцев Геннадий Васильевич (8 000 руб., 80%)
Тюменцев Антон Геннадьевич (2 000 руб., 20%)</t>
  </si>
  <si>
    <t>396 410 000</t>
  </si>
  <si>
    <t>Донцов Дмитрий Юрьевич (116 141 307 руб., 66.67%)
Юшин Эдуард Анатольевич (58 068 693 руб., 33.33%)</t>
  </si>
  <si>
    <t>611 070 000</t>
  </si>
  <si>
    <t>info@bitunova.ru</t>
  </si>
  <si>
    <t>bitunova.ru</t>
  </si>
  <si>
    <t>Гуськов Максим Александрович (900 000 руб., 90%)
Фокин Антон Валерьевич (100 000 руб., 10%)</t>
  </si>
  <si>
    <t>312 240 000</t>
  </si>
  <si>
    <t>info@b4comtech.com, olariono@gmail.com</t>
  </si>
  <si>
    <t>https://b4com.tech/</t>
  </si>
  <si>
    <t>ЗАКРЫТЫЙ ПАЕВОЙ ИНВЕСТИЦИОННЫЙ КОМБИНИРОВАННЫЙ ФОНД "Б4 РАЗВИТИЕ" (107 240 967.06 руб., 98.33%)
Ларионов Олег Викторович (1 818 013.2 руб., 1.67%)</t>
  </si>
  <si>
    <t>Производство коммуникационного оборудования</t>
  </si>
  <si>
    <t>info@befreshcorp.com</t>
  </si>
  <si>
    <t>www.befreshcorp.com</t>
  </si>
  <si>
    <t>Новичихин Андрей Николаевич (1 500 000 руб., 60%)
Светова Ольга Георгиевна (1 000 000 руб., 40%)</t>
  </si>
  <si>
    <t>15 140 000</t>
  </si>
  <si>
    <t>КОМПАНИЯ АЛЕН СОЛЮШИНС ЛИМИТЕД (100 000 000 руб., 100%)</t>
  </si>
  <si>
    <t>1 524 360 000</t>
  </si>
  <si>
    <t>help@olimp.bet</t>
  </si>
  <si>
    <t>ЗЕВС, ООО (150 000 000 руб., 97.50%)
Козявкин Сергей Геннадьевич (3 846 153.85 руб., 2.50%)</t>
  </si>
  <si>
    <t>www.betfavorit.com, www.favoritbet.com</t>
  </si>
  <si>
    <t>ТРИППЛ ВИ, АО (1 005 000 000 руб., 100%)</t>
  </si>
  <si>
    <t>info@png-drilling.com</t>
  </si>
  <si>
    <t>png-drilling.ru</t>
  </si>
  <si>
    <t>КОММЕРЧЕСКАЯ КОМПАНИЯ БВО"ПНГ ДРИЛЛИНГ ЭНД СЕРВИСИЗ ЛТД" (129 505 979 руб., 99%)
ПНГ МЕНЕДЖМЕНТ, ООО (1 308 141.2 руб., 1%)</t>
  </si>
  <si>
    <t>arykov@bobrov.ru, divanov@bobrov.ru, info@bobrov.ru</t>
  </si>
  <si>
    <t>bobrov.ru</t>
  </si>
  <si>
    <t>Бобров Вячеслав Валентинович (10 000 руб., 100%)</t>
  </si>
  <si>
    <t>Торговля оптовая коврами и ковровыми изделиями</t>
  </si>
  <si>
    <t>241 970 000</t>
  </si>
  <si>
    <t>info@bkd-s.ru</t>
  </si>
  <si>
    <t>Пылькин Александр Александрович (100 000 руб., 100%)</t>
  </si>
  <si>
    <t>chelf@bkeshelf.ru, shelf@bkeshelf.com, shelf@bkeshelf.ru</t>
  </si>
  <si>
    <t>www.bkeshelf.ru</t>
  </si>
  <si>
    <t>БКЕ ОЙЛФИЛД СЕРВИС ХОЛДИНГЗ ЛИМИТЕД / BKE OILFIELD (6 200 000 руб., 100%)</t>
  </si>
  <si>
    <t>Предоставление услуг по бурению, связанному с добычей нефти, газа и газового конденсата</t>
  </si>
  <si>
    <t>bke@bke.ru, podolsky@bke.ru</t>
  </si>
  <si>
    <t>www.bke.ru</t>
  </si>
  <si>
    <t>БК РАЗВИТИЕ, ООО (3 562 542 112 руб., 100%)</t>
  </si>
  <si>
    <t>aobko@mal.ru, borprop@aobko.ru, dbachevskaya@aobko.ru, dvodolazskiy@aobko.ru, info@aobko.ru, info@keramik-bko.ru, info@oaobko.ru, lshebanova@aobko.ru, pkorchagin@aobko.ru, sales@aobko.ru</t>
  </si>
  <si>
    <t>www.borovichi-nov.ru</t>
  </si>
  <si>
    <t>Производство огнеупорных изделий</t>
  </si>
  <si>
    <t>abonent@balvodokanal.ru, alashiha@mail.ru, balvodocanal@mail.ru, balvodokanal@mail.ru, buhbvk@balvodokanal.ru, guseva.vl@balcomsys.ru, info@balvodocanal.ru, inspection@balvodokanal.ru, kamochkina@balcomsys.ru, mail@balcomsys.ru</t>
  </si>
  <si>
    <t>balvodokanal.ru</t>
  </si>
  <si>
    <t>АДМИНИСТРАЦИЯ ГО БАЛАШИХА (106 891.63 руб., 100%)</t>
  </si>
  <si>
    <t>buh_barnaul@blago-spb.ru, info_barnaul@blago-spb.ru</t>
  </si>
  <si>
    <t>БЛАГО ИНВЕСТ, ООО (10 000 руб., 100%)</t>
  </si>
  <si>
    <t>212 670 000</t>
  </si>
  <si>
    <t>buh_omsk@blago-spb.ru, omsk@blago-spb.ru</t>
  </si>
  <si>
    <t>blago@blago-spb.ru, chekmareva.t@gcblago.ru</t>
  </si>
  <si>
    <t>199 570 000</t>
  </si>
  <si>
    <t>"БМВ АВСТРИЯ ХОЛДИНГ ГМБХ" (251 587 500 руб., 75%)
БМВ ФАРЦОЙГТЕХНИК ГМБХ (83 862 500 руб., 25%)</t>
  </si>
  <si>
    <t>25 640 030 000</t>
  </si>
  <si>
    <t>ВБГ, ООО (10 000 руб., 100%)</t>
  </si>
  <si>
    <t>Производство автобусов и троллейбусов</t>
  </si>
  <si>
    <t>info@molskaz.ru, katterina_08@mail.ru, mar_skaz@ab.ru</t>
  </si>
  <si>
    <t>32 200 000</t>
  </si>
  <si>
    <t>amurmilk.sekret@mail.ru, amurmilk@mail.ru</t>
  </si>
  <si>
    <t>amurmilk.ru</t>
  </si>
  <si>
    <t>34 220 000</t>
  </si>
  <si>
    <t>bmkinfo@belmoloko.ru, bmkml@belmoloko.ru, info@belmoloko.ru, tatuana.markova@ru.lactalis.com</t>
  </si>
  <si>
    <t>www.belmoloko.ru, www.parmalat.ru</t>
  </si>
  <si>
    <t>balt.myask@gmail.com, buh@bmk2016.ru</t>
  </si>
  <si>
    <t>453 800 000</t>
  </si>
  <si>
    <t>bmk@ipcity.ru, bmk@online.bryansk.ru, bmktorg@ipsiti.ru, egalekseenkov@mail.ru, setbud@brmolkom.ru</t>
  </si>
  <si>
    <t>brmolkom.ru</t>
  </si>
  <si>
    <t>24 280 000</t>
  </si>
  <si>
    <t>merkulov@belmolprodukt.ru</t>
  </si>
  <si>
    <t>Бирюков Дмитрий Юрьевич (10 000 руб., 100%)</t>
  </si>
  <si>
    <t>15 410 000</t>
  </si>
  <si>
    <t>hr@bridgestone-bmcis.ru</t>
  </si>
  <si>
    <t>www.bridgestone.ru</t>
  </si>
  <si>
    <t>БРИДЖСТОУН ЮРОП, ОТКРЫТОЕ АКЦИОНЕРНОЕ ОБЩЕСТВО (2 730 947 023 руб., 93.22%)
АКЦИОНЕРНОЕ ОБЩЕСТВО "МИЦУБИСИ КОРПОРЕЙШН" (198 600 000 руб., 6.78%)</t>
  </si>
  <si>
    <t>avchenko@bnmotors.ru, bnmotors.lada.rubychenok@bnmotors.ru, bnmotors.lada@bnmotors.ru, bnmotors@lada.ru, bychenok@bnmotots.ru, bychenok@dnmotors.ru, bychonok@bnmotors.ru, finance@bnmotors.ru, lada@bnmotors.ru, melnikova.i@bnmotors.ru</t>
  </si>
  <si>
    <t>bnmotors.ru</t>
  </si>
  <si>
    <t>Подщеколдин Алексей Геннадьевич (9 905 500 руб., 55%)
Костюшин Максим Вячеславович (8 104 500 руб., 45%)</t>
  </si>
  <si>
    <t>83 240 000</t>
  </si>
  <si>
    <t>РИЧАРТ ХОЛДИНГ, ООО (1 217 109 руб., 98.23%)
ДМК РУССЛАНД, ООО (21 901 руб., 1.77%)</t>
  </si>
  <si>
    <t>202 750 000</t>
  </si>
  <si>
    <t>info@bogaevsky.ru</t>
  </si>
  <si>
    <t>bogaevsky.ru</t>
  </si>
  <si>
    <t>314 770 000</t>
  </si>
  <si>
    <t>anvad@mail.ru, com@combicorm.ru, com@combikorm.ru, lawyer@combikorm.ru, market@combikorm.ru</t>
  </si>
  <si>
    <t>www.combikorm.ru</t>
  </si>
  <si>
    <t>88 570 000</t>
  </si>
  <si>
    <t>mirev@goknok.ru</t>
  </si>
  <si>
    <t>НОВОАНГАРСКИЙ ОБОГАТИТЕЛЬНЫЙ КОМБИНАТ, ООО (2 475 697 685.0958 руб., 99%)
ГОРЕВСКИЙ ГОК, АО (25 007 047.3242 руб., 1%)</t>
  </si>
  <si>
    <t>Добыча руд и песков драгоценных металлов и руд редких металлов</t>
  </si>
  <si>
    <t>874 280 000</t>
  </si>
  <si>
    <t>Багин Андрей Валерьевич (10 000 руб., 100%)</t>
  </si>
  <si>
    <t>19 140 000</t>
  </si>
  <si>
    <t>romanenko@oao-bru.ru, sekretar@oao-bru.ru</t>
  </si>
  <si>
    <t>Добыча железных руд подземным способом</t>
  </si>
  <si>
    <t>605 000 000</t>
  </si>
  <si>
    <t>arhivsp@boges.ru, boges@boges.ru, dronchakop@boges.ru, galish@boges.gidroogk.ru, nagibinaia@boges.ru, secrdir@boges.gidroogk.ru, skrashukvv@boges.ru</t>
  </si>
  <si>
    <t>boges.ru</t>
  </si>
  <si>
    <t>Производство электроэнергии гидроэлектростанциями, в том числе деятельность по обеспечению работоспособности электростанций</t>
  </si>
  <si>
    <t>6 040 050 000</t>
  </si>
  <si>
    <t>Boe Optoelectronics Holdings Co., Ltd. (5 643 000 руб., 99%)
Boe Optoelectronics Holdings Co., Ltd. (57 000 руб., 1%)</t>
  </si>
  <si>
    <t>Торговля оптовая электронным и телекоммуникационным оборудованием и его запасными частями</t>
  </si>
  <si>
    <t>www.bolid.ru</t>
  </si>
  <si>
    <t>2 072 800 000</t>
  </si>
  <si>
    <t>mail@gofrotara54.com</t>
  </si>
  <si>
    <t>www.gofrotara54.com</t>
  </si>
  <si>
    <t>240 280 000</t>
  </si>
  <si>
    <t>arimaarn@yandex.ru, balboshin@bomez.ru, bmez@mail.ru, info@bomez.ru, tabakaevb@mail.ru</t>
  </si>
  <si>
    <t>bomez.ru</t>
  </si>
  <si>
    <t>Потоцкая Наталия Николаевна (822 370 647 руб., 100%)</t>
  </si>
  <si>
    <t>69 570 000</t>
  </si>
  <si>
    <t>artem.zhuravlevlevsky@bonava.com, maria.makarevich@bonava.com</t>
  </si>
  <si>
    <t>www.bonava.ru</t>
  </si>
  <si>
    <t>ХОЛДКО РЕЗИДЕНШИАЛ 1 АБ (400 000 000 руб., 100%)</t>
  </si>
  <si>
    <t>1 528 130 000</t>
  </si>
  <si>
    <t>achirkova@bonduelle.com</t>
  </si>
  <si>
    <t>ФИРМА "БОНДЮЭЛЬ" (813 444 128.37 руб., 95%)
АКЦИОНЕРНОЕ ОБЩЕСТВО УПРОЩЕННОГО ТИПА "БОНДЮЭЛЬ ЮРОП ЛОНГ ЛАЙФ" (42 812 848.86 руб., 5%)</t>
  </si>
  <si>
    <t>Переработка и консервирование овощей (кроме картофеля) и грибов</t>
  </si>
  <si>
    <t>1 227 490 000</t>
  </si>
  <si>
    <t>dmitry.frolov@bohnenkamp-russia.ru, finance@bohnenkamp-russia.ru, marianna.dzimistarishvili@bohnenkamp-russia.ru, natalia.smirnova@bohnenkamp-russia.ru</t>
  </si>
  <si>
    <t>www.bohnenkamp-russia.ru, www.bohnenkamp.com</t>
  </si>
  <si>
    <t>SIA "STARCO EASTERN GROUP" (551 240 400 руб., 100%)</t>
  </si>
  <si>
    <t>243 170 000</t>
  </si>
  <si>
    <t>Михайленко Елена Васильевна (30 000 руб., 100%)</t>
  </si>
  <si>
    <t>195 670 000</t>
  </si>
  <si>
    <t>ПИК-ИНВЕСТПРОЕКТ, ООО (262 946 790 руб., 99.90%)
ПИК СЗ, ПАО (263 210 руб., 0.10%)</t>
  </si>
  <si>
    <t>1 786 420 000</t>
  </si>
  <si>
    <t>rov@bork.com</t>
  </si>
  <si>
    <t>bissell.store, bork.ru, jurarussia.ru, laurastar.ru, www.breville.pro, www.kambrook.ru</t>
  </si>
  <si>
    <t>TUL.TRADE LTD (900 000 000 руб., 100%)</t>
  </si>
  <si>
    <t>316 710 000</t>
  </si>
  <si>
    <t>bormash@bormash.ru, marketing@bormash.ru</t>
  </si>
  <si>
    <t>bormash.ru</t>
  </si>
  <si>
    <t>Горлова Оксана Александровна (10 000 000 руб., 99.99%)
Белобородов Константин Анатольевич (500 руб., 0.0050%)
Комаристый Александр Михайлович (400 руб., 0.0040%)
Мишин Сергей Витальевич (100 руб., 0.0010%)</t>
  </si>
  <si>
    <t>Производство промышленного холодильного и вентиляционного оборудования</t>
  </si>
  <si>
    <t>500 000</t>
  </si>
  <si>
    <t>bhm@bhm.ru, korsunova@limonte.ru</t>
  </si>
  <si>
    <t>www.oaobhm.ru</t>
  </si>
  <si>
    <t>ЛИМОНТЕ ЛТ-ХОЛДИНГ, ООО (92.50%)
Кузнецова Татьяна Борисовна (0.70%)</t>
  </si>
  <si>
    <t>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t>
  </si>
  <si>
    <t>a.grebenshhikov@brusnika.ru, doronina@bc-ekb.ru, info-ekb@brusnika.ru, ukhalova@brusnika.ru</t>
  </si>
  <si>
    <t>БРУСНИКА. СТРОИТЕЛЬСТВО И ДЕВЕЛОПМЕНТ, ООО (40 000 руб., 100%)</t>
  </si>
  <si>
    <t>39 240 000</t>
  </si>
  <si>
    <t>bosnis@bosnis.ru, umanec_ai@bosnis.ru</t>
  </si>
  <si>
    <t>http://www.agrico.ru</t>
  </si>
  <si>
    <t>АГРОФИРМА ЗОЛОТАЯ НИВА, ООО (230 000 000 руб., 99.99%)
Орешкин Богдан Геннадьевич (10 000 руб., 0.0043%)</t>
  </si>
  <si>
    <t>35 880 000</t>
  </si>
  <si>
    <t>info@bosch-buderus.ru</t>
  </si>
  <si>
    <t>www.bosch-climate.ru</t>
  </si>
  <si>
    <t>ФИРМА "БОШ ТЕРМОТЕХНИК ГМБХ" (10 395 000 руб., 99%)
РОБЕРТ БОШ, ООО (105 000 руб., 1%)</t>
  </si>
  <si>
    <t>Вильданов Вадим Загитович (959 500 руб., 95%)
Черкасов Валерий Николаевич (50 500 руб., 5%)</t>
  </si>
  <si>
    <t>430 850 000</t>
  </si>
  <si>
    <t>info@bpw-ost.ru, promo@bpw-ost.ru</t>
  </si>
  <si>
    <t>www.bpw-info.ru, www.bpw.de</t>
  </si>
  <si>
    <t>"ВАРШТАЙН АКСЕН ГМБХ" (WARSTEIN ACHSEN GMBH) (ГЕРМАНИЯ) (527 173 400 руб., 100%)</t>
  </si>
  <si>
    <t>228 010 000</t>
  </si>
  <si>
    <t>aarybnikov@yandex.ru, altay-vodovoz@mail.ru, bmpz22@yandex.ru, haltay-vodovoz@mail.ru, infovors@vorsin.ru, mav@bpz.su, sse@bpz.su, zapravka_franshiza@mail.ru</t>
  </si>
  <si>
    <t>http://bpz.su/, www.vorsin.ru</t>
  </si>
  <si>
    <t>b1024@yandex.ru, eia@bochkari.ru, eremenko_ia@bochkari.ru, sales@bochkari.ru</t>
  </si>
  <si>
    <t>www.bochkari.ru</t>
  </si>
  <si>
    <t>Смагин Вадим Петрович (24 475.69 руб., 97.90%)
Быковский Евгений Васильевич (174.77 руб., 0.70%)
Долгих Наталья Ивановна (174.77 руб., 0.70%)
Михайлова Надежда Никифоровна (174.77 руб., 0.70%)</t>
  </si>
  <si>
    <t>brams_oil@mail.ru</t>
  </si>
  <si>
    <t>Арушанян Карен Гаврошович (10 000 руб., 100%)</t>
  </si>
  <si>
    <t>146 800 000</t>
  </si>
  <si>
    <t>bra_mo@mail.ru, gurmanbr@mail.ru, ya.bel32@yandex.ru</t>
  </si>
  <si>
    <t>brasovskiesyry.ru</t>
  </si>
  <si>
    <t>Чупрыгин Виктор Павлович (56 100 руб., 51%)
Беленчиков Александр Викторович (53 900 руб., 49%)</t>
  </si>
  <si>
    <t>35 810 000</t>
  </si>
  <si>
    <t>Мамедов Хикмет Алигейдар Оглы (10 200 000 руб., 100%)</t>
  </si>
  <si>
    <t>39 480 000</t>
  </si>
  <si>
    <t>bridgestone@bridgestone.ru</t>
  </si>
  <si>
    <t>БРИДЖСТОУН ЮРОП, ОТКРЫТОЕ АКЦИОНЕРНОЕ ОБЩЕСТВО (480 474 184 руб., 80%)
АКЦИОНЕРНОЕ ОБЩЕСТВО "МИЦУБИСИ КОРПОРЕЙШН" (120 118 546 руб., 20%)</t>
  </si>
  <si>
    <t>184 150 000</t>
  </si>
  <si>
    <t>sales@snacks.ru</t>
  </si>
  <si>
    <t>www.bridgetown.ru</t>
  </si>
  <si>
    <t>486 890 000</t>
  </si>
  <si>
    <t>m.dmitrieva@brixogroup.com</t>
  </si>
  <si>
    <t>www.brixogroup.com</t>
  </si>
  <si>
    <t>748 470 000</t>
  </si>
  <si>
    <t>МЕРКУРИЙ РИТЕЙЛ ХОЛДИНГ, ООО (10 100 000 руб., 100%)</t>
  </si>
  <si>
    <t>1 559 470 000</t>
  </si>
  <si>
    <t>dushanina@yar.brokinvest.ru, info@brokinvest.ru, popova_m@brokinvest.ru</t>
  </si>
  <si>
    <t>www.brokinvest.ru</t>
  </si>
  <si>
    <t>881 100 000</t>
  </si>
  <si>
    <t>brokeroil.ru</t>
  </si>
  <si>
    <t>Белякович Наталья Николаевна (1 000 000 руб., 99%)
Никифорова Марина Валерьевна (10 000 руб., 1%)</t>
  </si>
  <si>
    <t>Деятельность агентов по оптовой торговле твердым, жидким и газообразным топливом и связанными продуктами</t>
  </si>
  <si>
    <t>33 930 000</t>
  </si>
  <si>
    <t>ОСТРОВОК, ООО (99 990 руб., 99.99%)
АГЕНТИКА ТРЕВЭЛ, ООО (10 руб., 0.010%)</t>
  </si>
  <si>
    <t>brt@balrt.ru, titov@balrt.ru, uibrt@balrt.ru</t>
  </si>
  <si>
    <t>Производство труб, трубок, рукавов и шлангов из вулканизированной резины</t>
  </si>
  <si>
    <t>mail@brusbox.ru, sobina@brusbox.ru</t>
  </si>
  <si>
    <t>brusbox-ks.ru, brusbox.ru</t>
  </si>
  <si>
    <t>Мелконян Агарон Азатович (26 000 000 руб., 16.67%)
Мелконян Артак Сарибекович (26 000 000 руб., 16.67%)
Мелконян Артем Азатович (26 000 000 руб., 16.67%)
Мелконян Артур Сарибекович (26 000 000 руб., 16.67%)
Мелконян Григор Азатович (26 000 000 руб., 16.67%)
Мелконян Овсеп Сарибекович (26 000 000 руб., 16.67%)</t>
  </si>
  <si>
    <t>166 250 000</t>
  </si>
  <si>
    <t>brusnika@brusnika.ru, ekaterinburg@brusnika.ru, ya.pisareva@brusnika.ru</t>
  </si>
  <si>
    <t>КОМПАНИЯ ДЛЯ ФИНАНСИРОВАНИЯ ПРОЕКТОВ ВАВИЛОВА, ООО (469 391 040.31 руб., 99.99%)
БРУСНИКА. УПРАВЛЯЮЩЕЕ БЮРО, ООО (46 942.8 руб., 0.010%)</t>
  </si>
  <si>
    <t>a.mugnutu@brusnika.ru, egorova@brusnika.ru, solovyeva@brusnika.ru</t>
  </si>
  <si>
    <t>обмен.рф</t>
  </si>
  <si>
    <t>БРУСНИКА. СТРОИТЕЛЬСТВО И ДЕВЕЛОПМЕНТ, ООО (19 998 руб., 99.99%)
БРУСНИКА. УПРАВЛЯЮЩЕЕ БЮРО, ООО (2 руб., 0.010%)</t>
  </si>
  <si>
    <t>60 680 000</t>
  </si>
  <si>
    <t>bravtodor@online.bruansk.ru, bravtodor@online.bryansk.ru, bravtodor@ya.ru, bravtodor@yandex.ru, bravtodor@yundex.ru, info@avtodor32.ru, zakupki@avtodor32.ru</t>
  </si>
  <si>
    <t>www.avtodor.bryansk.ru</t>
  </si>
  <si>
    <t>БО, УИО (100%)</t>
  </si>
  <si>
    <t>brastr.ru</t>
  </si>
  <si>
    <t>ООО"Макадон Лимитед" (499 950 руб., 99.99%)
Николаенко Александр Витальевич (50 руб., 0.010%)</t>
  </si>
  <si>
    <t>a.khmelnitskaya@agrohold.ru, a.raevsky@agrohold.ru</t>
  </si>
  <si>
    <t>zakupkaskota.ru</t>
  </si>
  <si>
    <t>МИРАТОРГ-БРЯНСК, ООО (26 634 402 961.5 руб., 99.99%)
АПХ МИРАТОРГ, ООО (2 663 706.67 руб., 0.010%)</t>
  </si>
  <si>
    <t>290 340 000</t>
  </si>
  <si>
    <t>n.sviridenko@agrohold.ru</t>
  </si>
  <si>
    <t>АПХ МИРАТОРГ, ООО (4 158 000 000 руб., 100%)</t>
  </si>
  <si>
    <t>1 622 600 000</t>
  </si>
  <si>
    <t>a.hitskova@bkenergo.ru, a.maiorova@bkenergo.ru, a.zaharova@bkenergo.ru, adm.kokino@yandex.ru, bce@online.debryansk.ru, bk.energo32@mail.ru, bk.energo@mail.ru, bk.energo@yandex.ru, bk2@energo.ru, bk2energo@vail.ru</t>
  </si>
  <si>
    <t>Брянская обл (1 144 516 899 руб., 100%)</t>
  </si>
  <si>
    <t>info@bryanskselmash.ru, spselmash@yandex.ru</t>
  </si>
  <si>
    <t>bryanskselmash.ru</t>
  </si>
  <si>
    <t>Производство машин для уборки урожая</t>
  </si>
  <si>
    <t>Мухамитянов Ильшат Фанирович (2 088 000 руб., 87%)
БРЯНСКТРУБОПРОВОДСТРОЙ, ООО (312 000 руб., 13%)</t>
  </si>
  <si>
    <t>990 000</t>
  </si>
  <si>
    <t>apt25@online.debryansk.ru, apt28bf@yandex.ru, bbapteka@rambler.ru, bfap10@yandex.ru, chaykina@bfarm.ru, delo@bfarm.ru, feo@bfarm.ru, gev@bfarm.ru, ivansova.bfarm@mail.ru, ivantsova@bfarm.ru</t>
  </si>
  <si>
    <t>БО, УИО (n/a)
ДЕПАРТАМЕНТ ЗДРАВООХРАНЕНИЯ БРЯНСКОЙ ОБЛАСТИ (n/a)</t>
  </si>
  <si>
    <t>balya.o@bryanskelectro.ru, eskina.u@bryanskelectro.ru, info@brelectro.ru, kryuchkov.m@bryanskelectro.ru, lanina.g@bryanskelectro.ru, posta@bryanskelectro.ru, posta@bryanskelektro.ru, postra@bryanskelectro.ru, secretary@bryanskelectro.ru, shved.t@bryanskelectro.ru</t>
  </si>
  <si>
    <t>bryanskelectro.ru</t>
  </si>
  <si>
    <t>САНАТОРИЙ ЭНЕРГЕТИК, АО (9 999.9 руб., 99.99%)
ЯРЭСК, АО (.1 руб., 0.0010%)</t>
  </si>
  <si>
    <t>53 080 000</t>
  </si>
  <si>
    <t>e_stupakova@bsz.ru, mail@bsz.ru, mail@bzs.ru, o_kuklenko@bsz.ru</t>
  </si>
  <si>
    <t>www.bsz.ru</t>
  </si>
  <si>
    <t>БСК, АО (95.84%)</t>
  </si>
  <si>
    <t>Производство прочих основных неорганических химических веществ</t>
  </si>
  <si>
    <t>457 540 000</t>
  </si>
  <si>
    <t>aai@bges.ru, nvt@bges.ru, pas@bges.ru, shipunovska@gmail.cjm</t>
  </si>
  <si>
    <t>bsk22.ru</t>
  </si>
  <si>
    <t>Банных Максим Анатольевич (798 049 руб., 19.51%)
Голяшкин Андрей Геннадьевич (798 049 руб., 19.51%)
Коршунов Олег Николаевич (798 049 руб., 19.51%)
Козлов Андрей Дмитриевич (698 293 руб., 17.07%)
Портнягин Сергей Анатольевич (498 780 руб., 12.20%)
Розбах Сергей Викторович (498 780 руб., 12.20%)</t>
  </si>
  <si>
    <t>9 820 000</t>
  </si>
  <si>
    <t>priemnaybsk@mail.ru</t>
  </si>
  <si>
    <t>bsk86.ru</t>
  </si>
  <si>
    <t>Посмашная Виктория Евгеньевна (6 000 руб., 60%)
Александров Игорь Евгеньевич (4 000 руб., 40%)</t>
  </si>
  <si>
    <t>250 750 000</t>
  </si>
  <si>
    <t>mts@bsk.bashkirenergo.ru, office@bck.bashkirenergo.ru</t>
  </si>
  <si>
    <t>bsk-ees.ru</t>
  </si>
  <si>
    <t>БЭСК, АО (2 584 356 096 руб., 100%)</t>
  </si>
  <si>
    <t>bamstroyput@rambler.ru, bspbux@yandex.ru, info@bsput.ru, it@bsput.ru, jurist_bsp@mail.ru, sdm@bam1.ru</t>
  </si>
  <si>
    <t>Абдурахманов Антон Викторович (84.23%)
Тушкевич Игорь Алексеевич (3.08%)</t>
  </si>
  <si>
    <t>40326000@bsspharm.ru, 912@mail.ru, a.belova@kostr.bsspharm.ru, a.filippova@red.bsspharm.ru, a.filippova@reg.bsspharm.ru, a.shishkova@nsk.bsspharm.ru, baranovskaya.alla@bsspharm.ru, bcc@mail.ru, borisova.yuliya@bsspharm.ru, bss@bsspharm.ru</t>
  </si>
  <si>
    <t>www.bsspharm.ru</t>
  </si>
  <si>
    <t>Захрабеков Эдуард Захарович (10 000 руб., 100%)</t>
  </si>
  <si>
    <t>1 042 220 000</t>
  </si>
  <si>
    <t>bosch-infoteam@bshg.com, hotlineru@bshg.com, mok-kdhl@bshg.com, r-bpb@bshg.com, valentina.bogdanova@bshg.com</t>
  </si>
  <si>
    <t>www.bsh-group.com, www.siemens-home.bsh-group.ru</t>
  </si>
  <si>
    <t>БСХ БОШ УНД СИМЕНС ХАУСГЕРЕТЕ ГМБХ (3 233 332 128 руб., 100%)</t>
  </si>
  <si>
    <t>balticfuel.ru</t>
  </si>
  <si>
    <t>НЕВА ОЙЛ, ООО (6 600 руб., 66%)
Корнеев Станислав Игоревич (3 400 руб., 34%)</t>
  </si>
  <si>
    <t>178 610 000</t>
  </si>
  <si>
    <t>btlogistic.ru</t>
  </si>
  <si>
    <t>Дубасов Сергей Васильевич (12 240 000 руб., 29.85%)
Лагун Елена Николаевна (11 934 300 руб., 29.10%)
Дубасов Михаил Сергеевич (8 669 999.9984 руб., 21.14%)
Герасимов Дмитрий Михайлович (7 955 700 руб., 19.40%)
Черненький Евгений Владимирович (200 000 руб., 0.48%)</t>
  </si>
  <si>
    <t>strekalov@batteryteam.ru</t>
  </si>
  <si>
    <t>Сухонин Денис Алексеевич (90 000 руб., 100%)</t>
  </si>
  <si>
    <t>191 330 000</t>
  </si>
  <si>
    <t>hello@btsmost.ru, rembis@skmost.ru, usk@skmost.ru, uskmail@skmost.ru</t>
  </si>
  <si>
    <t>office@baltechnochem.ru</t>
  </si>
  <si>
    <t>Михалкина Татьяна Николаевна (1 110 000 руб., 100%)</t>
  </si>
  <si>
    <t>Деятельность по складированию и хранению</t>
  </si>
  <si>
    <t>15 430 000</t>
  </si>
  <si>
    <t>РИГЛА, ООО (9 970 руб., 99.70%)
ПРОТЕК, АО (30 руб., 0.30%)</t>
  </si>
  <si>
    <t>45 070 000</t>
  </si>
  <si>
    <t>buerroad@mail.ru, buerroad@rambler.ru, buh1@buerspb.ru</t>
  </si>
  <si>
    <t>oaobsz@mail.ru</t>
  </si>
  <si>
    <t>АК БАРС-АКТИВ, ООО (1 490 570 833 руб., 66.67%)
СОДРУЖЕСТВО, ООО (745 234 400 руб., 33.33%)</t>
  </si>
  <si>
    <t>273 480 000</t>
  </si>
  <si>
    <t>buh@bukaev.ru, head@bukaev.ru, tender@bukaev.ru, tender@bukaey.ru</t>
  </si>
  <si>
    <t>bukaev.ru</t>
  </si>
  <si>
    <t>Букаев Дамир Равилович (14 690 000 руб., 50%)
Букаева Галина Равиловна (14 690 000 руб., 50%)</t>
  </si>
  <si>
    <t>131 110 000</t>
  </si>
  <si>
    <t>portnova.s@bookvoed.ru, shop@bookvoed.ru</t>
  </si>
  <si>
    <t>АСТ, АО (10 000 руб., 100%)</t>
  </si>
  <si>
    <t>Торговля розничная книгами в специализированных магазинах</t>
  </si>
  <si>
    <t>10 700 000</t>
  </si>
  <si>
    <t>buket@cbx.ru, buket@chtts.ru</t>
  </si>
  <si>
    <t>www.buketbeer.ru</t>
  </si>
  <si>
    <t>legal@opk-bulat.ru, rsmirnov@opk-bulat.ru</t>
  </si>
  <si>
    <t>https://opk-bulat.ru/</t>
  </si>
  <si>
    <t>ЭЛВИС, АО НПЦ (38 000 руб., 38%)
КОММИТ КЭПИТАЛ, ООО (37 500 руб., 37.50%)
КЬЮТЕК, ООО (24 500 руб., 24.50%)</t>
  </si>
  <si>
    <t>26 620 000</t>
  </si>
  <si>
    <t>ale@l-pak.ru</t>
  </si>
  <si>
    <t>Каранчук Петр Сергеевич (98 391 606 руб., 98.40%)
Каранчук Ирина Анатольевна (1 608 394 руб., 1.60%)</t>
  </si>
  <si>
    <t>1 253 710 000</t>
  </si>
  <si>
    <t>sbp07@yandex.ru</t>
  </si>
  <si>
    <t>bumhiminvest.ru</t>
  </si>
  <si>
    <t>МОНОЛИТ, АО (450 000 руб., 90%)
Радаева Наталья Германовна (50 000 руб., 10%)</t>
  </si>
  <si>
    <t>152 080 000</t>
  </si>
  <si>
    <t>bunker-trade.ru</t>
  </si>
  <si>
    <t>Шеланов Артём Алексеевич (10 000 руб., 100%)</t>
  </si>
  <si>
    <t>11 870 000</t>
  </si>
  <si>
    <t>СЕРИАТА ИНВЕСТМЕНТС, МК ООО (10 000 руб., 100%)</t>
  </si>
  <si>
    <t>Добыча угля, за исключением антрацита, угля коксующегося и угля бурого, открытым способом</t>
  </si>
  <si>
    <t>66 880 000</t>
  </si>
  <si>
    <t>arbat@mail.ru, info@burgerkingrus.ru</t>
  </si>
  <si>
    <t>Частная акционерная компания с ограниченной ответс (1 004 638 801.92 руб., 99.84%)
ТУЯ, ООО (1 609 998.08 руб., 0.16%)</t>
  </si>
  <si>
    <t>bgok@bgok.ru, peo@bgok.ru</t>
  </si>
  <si>
    <t>www.bgok.ru</t>
  </si>
  <si>
    <t>УРАЛЬСКАЯ ГОРНО-МЕТАЛЛУРГИЧЕСКАЯ КОМПАНИЯ , ОАО УГМК, ОАО (92.91%)</t>
  </si>
  <si>
    <t>337 530 000</t>
  </si>
  <si>
    <t>bit@burinteh.com</t>
  </si>
  <si>
    <t>www.burintekh.com</t>
  </si>
  <si>
    <t>Ишбаев Гниятулла Гарифуллович (103 102 руб., 51.55%)
Ташбулатов Рустэм Фидаилович (14 582 руб., 7.29%)
Балута Андрей Григорьевич (12 122 руб., 6.06%)
Хусаинов Магдан Маснавиевич (12 122 руб., 6.06%)
Сандаков Андрей Валерьевич (9 682 руб., 4.84%)
Ташбулатов Радик Фидаилович (9 682 руб., 4.84%)
Янбухтин Алик Гиратович (9 682 руб., 4.84%)
Головкина Нина Николаевна (8 580 руб., 4.29%)
Акчурин Игорь Рафаилевич (7 222 руб., 3.61%)
Саломатин Андрей Александрович (7 222 руб., 3.61%)
...*</t>
  </si>
  <si>
    <t>414 990 000</t>
  </si>
  <si>
    <t>frusproposal@halliburton.com, proposalteam@burservis.ru, vera.kiryanova@burservis.ru</t>
  </si>
  <si>
    <t>burservis.ru</t>
  </si>
  <si>
    <t>АПСТРИМ СЕРВИСЕС, ООО (51 000 руб., 51%)
БУРСЕРВИС, АО (49 000 руб., 49%)</t>
  </si>
  <si>
    <t>19 900 000</t>
  </si>
  <si>
    <t>burenerg@mail.ru, info@burenergo.ru</t>
  </si>
  <si>
    <t>burenergo.ru</t>
  </si>
  <si>
    <t>Дендюк Людмила Петровна (413 084.444 руб., 65.78%)
Дендюк Александр Владимирович (103 271.111 руб., 16.44%)
Костерин Александр Геннадьевич (36 517.037 руб., 5.81%)
Костерин Антон Геннадьевич (36 517.037 руб., 5.81%)
Костерин Пётр Геннадьевич (36 517.037 руб., 5.81%)
Костерин Геннадий Станиславович (2 093.33 руб., 0.33%)</t>
  </si>
  <si>
    <t>799 670 000</t>
  </si>
  <si>
    <t>chizhova@bushe.ru, info@bushe.ru, samuilova@bushe.ru</t>
  </si>
  <si>
    <t>bushe.ru</t>
  </si>
  <si>
    <t>Лега Олег Эдуардович (3 464 146.8 руб., 100%)</t>
  </si>
  <si>
    <t>a.kirillova@bftcom.com, a.shishkin@bftcom.com, drr@bftcom.com, ineed@bfcom.com, ineed@btfcom.com, info@bfrcom.com, kazna@svirsk.ru, law@bftcom.com, t.gololobova@bftcom.com, tendr@bftcom.com</t>
  </si>
  <si>
    <t>https://www.bftcom.com/</t>
  </si>
  <si>
    <t>БФТ-ХОЛДИНГ, ООО (10 000 руб., 100%)</t>
  </si>
  <si>
    <t>765 020 000</t>
  </si>
  <si>
    <t>bhz@buy.kosnet.ru, info@bhz.ru</t>
  </si>
  <si>
    <t>bhz.ru</t>
  </si>
  <si>
    <t>ПЛАНЕТА ЗЕМЛЯН, ООО (39.09%)
Новикова Ираида Сергеевна (30.15%)
Батырева Дарья Петровна (15.38%)
Новиков Илья Петрович (15.38%)</t>
  </si>
  <si>
    <t>313 470 000</t>
  </si>
  <si>
    <t>ФАРМАСИНТЕЗ, АО (384 530 000 руб., 99.99%)
Пуния Викрам Сингх (10 000 руб., 0.0026%)</t>
  </si>
  <si>
    <t>2 720 410 000</t>
  </si>
  <si>
    <t>bogdanova.ev@bytplast.ru, info@bytplast.ru</t>
  </si>
  <si>
    <t>www.bytplast.ru</t>
  </si>
  <si>
    <t>Бобров Владимир Владимирович (38 933 600 руб., 51.34%)
Морозова Лариса Сергеевна (30 830 000 руб., 40.66%)
Бобров Филипп Владимирович (6 066 400 руб., 8%)</t>
  </si>
  <si>
    <t>Производство прочих изделий из пластмасс, не включенных в другие группировки, кроме устройств пломбировочных из пластика</t>
  </si>
  <si>
    <t>37 520 000</t>
  </si>
  <si>
    <t>bezrk@belgtts.ru, info@bezrk.ru, sales@bezrk.ru, sbtrade@belgtts.ru</t>
  </si>
  <si>
    <t>www.bezrk.ru, www.jasnzori.ru</t>
  </si>
  <si>
    <t>89 180 000</t>
  </si>
  <si>
    <t>БАЙКАЛЬСКАЯ ЭНЕРГЕТИЧЕСКАЯ КОМПАНИЯ, ООО (100 000 руб., 100%)</t>
  </si>
  <si>
    <t>info@bellintegrator.com</t>
  </si>
  <si>
    <t>www.bellintegrator.ru</t>
  </si>
  <si>
    <t>10 170 000</t>
  </si>
  <si>
    <t>balss@mail.ru, baranovaga@belssb.ru, beis_gos@mail.ru, bels_05@mail.ru, bels_@mail.ru, dogovor@belssb.ru, dolgi@belssb.ru, gos@belsbb.ru, info@belssb.ru, yurist@belssb.ru</t>
  </si>
  <si>
    <t>www.belssb.ru</t>
  </si>
  <si>
    <t>81 690 000</t>
  </si>
  <si>
    <t>vsmirnova@inproject.ru</t>
  </si>
  <si>
    <t>ФИКС ПРАЙС ГРУП ПЛС (110 000 000 руб., 100%)</t>
  </si>
  <si>
    <t>18 300 930 000</t>
  </si>
  <si>
    <t>dshafranovich@beteltrans.ru, lmayakina@beteltrans.ru</t>
  </si>
  <si>
    <t>www.beteltrans.ru</t>
  </si>
  <si>
    <t>Производство изделий из бетона, цемента и гипса</t>
  </si>
  <si>
    <t>319 160 000</t>
  </si>
  <si>
    <t>Колодеев Александр Юрьевич (100 000 руб., 100%)</t>
  </si>
  <si>
    <t>1 800 000</t>
  </si>
  <si>
    <t>info@buroshop.ru, lapin.a@buroshop.ru, orepina@buro.ru</t>
  </si>
  <si>
    <t>www.buroshop.ru</t>
  </si>
  <si>
    <t>Абрамов Алексей Петрович (51 850 490 руб., 33.33%)
Мангутов Владислав Рустамович (51 850 490 руб., 33.33%)
Карчев Олег Геннадьевич (50 294 975.3 руб., 32.33%)
МЕРЛИОН ДИСТРИБУЦИЯ, ООО (1 555 514.7 руб., 1%)</t>
  </si>
  <si>
    <t>338 610 000</t>
  </si>
  <si>
    <t>j.beklyashova@corp.mail.ru, lzubkova@vkontakte.ru, mche@corp.vk.com, tatyana.poroshina@corp.mail.ru</t>
  </si>
  <si>
    <t>ВК, ООО (2 945 091.96 руб., 99.90%)
КОМПАНИЯ ВК, ООО (2 948.04 руб., 0.10%)</t>
  </si>
  <si>
    <t>8 042 180 000</t>
  </si>
  <si>
    <t>info@saraevbekon.ru</t>
  </si>
  <si>
    <t>РУССКАЯ АГРАРНАЯ ГРУППА, ООО (82 010 000 руб., 100%)</t>
  </si>
  <si>
    <t>stox77.77@mail.ru</t>
  </si>
  <si>
    <t>Кабакова Ирина Михайловна (10 000 руб., 100%)</t>
  </si>
  <si>
    <t>Деятельность социальных столовых, буфетов или кафетериев (в офисах, больницах, школах, институтах и пр.) на основе льготных цен на питание</t>
  </si>
  <si>
    <t>7801214832_780101001@eo.tensor.ru, anna.timofeeva@wagner-auto.ru, info@wagner-auto.ru, job@wagner-auto.ru, office@wagner-auto.ru</t>
  </si>
  <si>
    <t>vw-pulkovo.ru, wagner-auto.ru</t>
  </si>
  <si>
    <t>Горюнов Алексей Константинович (3 059 795.1 руб., 30%)
Иванов Александр Вячеславович (3 059 795.1 руб., 30%)
Румянцев Константин Анатольевич (3 059 795.1 руб., 30%)
Менакер Михаил Леонидович (1 019 931.7 руб., 10%)</t>
  </si>
  <si>
    <t>iegis@zaovad.com, legis@zaovad.com, office@zaovad.com, office@zaovad.spb.ru, petr@zaovad.com, sevastopol@zaovad.com, vadrk@zaovad.com</t>
  </si>
  <si>
    <t>www.zaovad.com</t>
  </si>
  <si>
    <t>4 111 040 000</t>
  </si>
  <si>
    <t>Компания "Вадерштад Холдинг Раша Актиболаг" (49 000 000 руб., 100%)</t>
  </si>
  <si>
    <t>103 410 000</t>
  </si>
  <si>
    <t>abraziv@vabz.ru, abraziv@vlz.ru, buh-zarplata@vlpost.ru, companysecretary@vabz.ru, manankova_sy@vabz.ru, mulina_sg@vabz.ru, office@paritet.ru, serenko_la@vabz.ru, shaikina_elena@vabz.ru, supply@vabz.ru</t>
  </si>
  <si>
    <t xml:space="preserve">vabz.ru, www.vabz.ru </t>
  </si>
  <si>
    <t>Производство абразивных изделий</t>
  </si>
  <si>
    <t>680 830 000</t>
  </si>
  <si>
    <t>baganov@wildberries.ru, plitmart@yandex.ru, pr@wildberries.ru, sales@wildberries.ru</t>
  </si>
  <si>
    <t>www.wildberries.ru</t>
  </si>
  <si>
    <t>Бакальчук Татьяна Владимировна (10 008 900 руб., 99%)
Бакальчук Владислав Сергеевич (101 100 руб., 1%)</t>
  </si>
  <si>
    <t>Торговля розничная, осуществляемая непосредственно при помощи информационно-коммуникационной сети Интернет</t>
  </si>
  <si>
    <t>7 911 220 000</t>
  </si>
  <si>
    <t>corporate@onetwotrip.com, support@onetwotrip.com</t>
  </si>
  <si>
    <t>onetwotrip.com</t>
  </si>
  <si>
    <t>OTT SERVICE LTD (10 000 руб., 100%)</t>
  </si>
  <si>
    <t>Деятельность туристических агентств</t>
  </si>
  <si>
    <t>24 840 000</t>
  </si>
  <si>
    <t>office@valkur.ru</t>
  </si>
  <si>
    <t>АГРОТЭК-ТМ, ООО (90 000 руб., 90%)
ВЕСТА, ООО (10 000 руб., 10%)</t>
  </si>
  <si>
    <t>Деятельность морского грузового транспорта</t>
  </si>
  <si>
    <t>4 850 000</t>
  </si>
  <si>
    <t>rumyarova@vallexm.ru, shop@pevonia.ru, stom@vallexm.ru, vallexshop@vallexm.ru</t>
  </si>
  <si>
    <t>vallexshop.ru, www.vallexm.ru</t>
  </si>
  <si>
    <t>ЗАКРЫТОЕ АКЦИОНЕРНОЕ ОБЩЕСТВО "ЭЛ-ЭМ-АЙ КАПИТАЛ" (1 020 000 руб., 51%)
Петросян Лилия Сережаевна (980 000 руб., 49%)</t>
  </si>
  <si>
    <t>Торговля оптовая парфюмерными и косметическими товарами, кроме мыла</t>
  </si>
  <si>
    <t>278 830 000</t>
  </si>
  <si>
    <t>andrey_borisenko@valta.ru, evgeny_pikalov@valta.ru, info@valta.ru, irina_golovtchenko@valta.ru, lysenko@valta.ru, shop@monge.ru</t>
  </si>
  <si>
    <t>www.valta.ru</t>
  </si>
  <si>
    <t>Торговля оптовая кормами для домашних животных</t>
  </si>
  <si>
    <t>292 540 000</t>
  </si>
  <si>
    <t>moshkova_os@valfrus.ru, yurist1@teploset33.ru</t>
  </si>
  <si>
    <t>valfex.ru</t>
  </si>
  <si>
    <t>Орлов Андрей Валерьевич (20 000 руб., 100%)</t>
  </si>
  <si>
    <t>42 370 000</t>
  </si>
  <si>
    <t>Лбов Тихон Александрович (10 000 руб., 100%)</t>
  </si>
  <si>
    <t>Торговля оптовая водопроводным и отопительным оборудованием и санитарно-технической арматурой</t>
  </si>
  <si>
    <t>90 780 000</t>
  </si>
  <si>
    <t>barkova@w-chem.ru, info@w-chem.ru</t>
  </si>
  <si>
    <t>Бучков Егор Евгеньевич (100 000 руб., 95.24%)
Останкова Ирина Николаевна (5 000 руб., 4.76%)</t>
  </si>
  <si>
    <t>276 260 000</t>
  </si>
  <si>
    <t>fedorov.pravo@mail.ru</t>
  </si>
  <si>
    <t>vamintatarstan.ru</t>
  </si>
  <si>
    <t>Мингазов Минтимер Вагизович (15 798 500 руб., 100%)</t>
  </si>
  <si>
    <t>info@varandey-terminal.ru, lukoil-trans@lukoil.com, mikhail.shemyakin@lukoil.com, priemnayuvt@varter.lukoil.ru, rail.nafikov@lukoil.com, rott@varandey-terminal.ru</t>
  </si>
  <si>
    <t>ЛУКОЙЛ, ПАО (100 000 руб., 100%)</t>
  </si>
  <si>
    <t>Хранение и складирование нефти и продуктов ее переработки</t>
  </si>
  <si>
    <t>Дежуров Андрей Станиславович (5 000 руб., 50%)
Дежурова Наталья Николаевна (5 000 руб., 50%)</t>
  </si>
  <si>
    <t>197 420 000</t>
  </si>
  <si>
    <t>akkuskarovaaa@oaovn.ru, bogdanova@oaovn.ru, danilchikln@oaovn.ru, vn@oaovn.ru</t>
  </si>
  <si>
    <t>varneft.ru</t>
  </si>
  <si>
    <t>РУССНЕФТЬ, ПАО НК (94.96%)</t>
  </si>
  <si>
    <t>516 230 000</t>
  </si>
  <si>
    <t>vpf@cherkizovsky.ru, vpf@penza.com.ru</t>
  </si>
  <si>
    <t>www.cherkizovo-group.ru</t>
  </si>
  <si>
    <t>АПК МИХАЙЛОВСКИЙ, ООО (99 169 руб.)</t>
  </si>
  <si>
    <t>955 880 000</t>
  </si>
  <si>
    <t>a.lapin@bakulingroup.ru, info@volgabusgroup.ru</t>
  </si>
  <si>
    <t>https://www.volgabus.ru/</t>
  </si>
  <si>
    <t>РЕНОВАЦИЯ, ООО (30 000 руб., 60%)
Бакулин Анатолий Васильевич (10 000 руб., 20%)
Бакулин Алексей Анатольевич (9 000 руб., 18%)
СОВКОМБАНК, ПАО (500 руб., 1%)
Яппаров Рустам Надирович (500 руб., 1%)</t>
  </si>
  <si>
    <t>Торговля оптовая транспортными средствами, кроме автомобилей, мотоциклов и велосипедов</t>
  </si>
  <si>
    <t>570 000</t>
  </si>
  <si>
    <t>alexander.efimov@pepsico.com, anna.alkhimova@pepsico.com</t>
  </si>
  <si>
    <t>www.pepsico.ru, www.wbd.ru</t>
  </si>
  <si>
    <t>vvhk@yandex.ru</t>
  </si>
  <si>
    <t>www.vvhk.ru</t>
  </si>
  <si>
    <t>Реймов Жамиль Шамилович (5 000 руб., 50%)
Реймов Ринат Жамильевич (5 000 руб., 50%)</t>
  </si>
  <si>
    <t>538 780 000</t>
  </si>
  <si>
    <t>ludmila.klyavina@evraz.com, ludmila.klyavina@ur.evraz.com, post.vgok@ur.evraz.com, post.vgok@vgok.ru</t>
  </si>
  <si>
    <t>www.vgok.su</t>
  </si>
  <si>
    <t>Добыча и обогащение железных руд</t>
  </si>
  <si>
    <t>1 237 660 000</t>
  </si>
  <si>
    <t>central@vgsch.ru, rad652810@mail.ru, rescue@vgsch.ru, vgsoko@vgsch.ru</t>
  </si>
  <si>
    <t>Российская Федерация (n/a)</t>
  </si>
  <si>
    <t>Деятельность по обеспечению безопасности в чрезвычайных ситуациях; деятельность по обеспечению безопасности в области использования атомной энергии</t>
  </si>
  <si>
    <t>Корсаков Сергей Андреевич (10 000 руб., 100%)</t>
  </si>
  <si>
    <t>www.weatherford.com</t>
  </si>
  <si>
    <t>ВЕЗЕРФОРД ХОЛДИНГЗ (РУС), ООО (1 675 040 000 руб., 100%)</t>
  </si>
  <si>
    <t>346 520 000</t>
  </si>
  <si>
    <t>weirminerals@9958258.ru</t>
  </si>
  <si>
    <t>www.global.weir, www.weirminerals.com</t>
  </si>
  <si>
    <t>ООО "ВЕИР МИНЕРАЛЗ ЮРОП ЛИМИТЕД" (29 700 руб., 99%)
ООО "Веир Минералз Джермани ГмбХ" (300 руб., 1%)</t>
  </si>
  <si>
    <t>inforus@veka.com, lpankina@veka.com</t>
  </si>
  <si>
    <t>www.veka.com, www.veka.ru</t>
  </si>
  <si>
    <t>Акционерное общество "ВЕКА Акциенгезелльшафт" (284 829 824.8 руб., 100%)</t>
  </si>
  <si>
    <t>t.morgunova@autorus.ru</t>
  </si>
  <si>
    <t>Каракенян Артур Валерьевич (10 000 руб., 100%)</t>
  </si>
  <si>
    <t>36 050 000</t>
  </si>
  <si>
    <t>Пузакова Елена Владимировна (4 700 000 руб., 100%)</t>
  </si>
  <si>
    <t>92 270 000</t>
  </si>
  <si>
    <t>buch28@vector-kaluga.ru</t>
  </si>
  <si>
    <t>Белов Глеб Валерьевич (1 000 000 руб., 100%)</t>
  </si>
  <si>
    <t>40 020 000</t>
  </si>
  <si>
    <t>stellary.ru</t>
  </si>
  <si>
    <t>УПРАВЛЯЮЩАЯ КОМПАНИЯ ГРАДИЕНТ, ООО (10 000 руб., 100%)</t>
  </si>
  <si>
    <t>289 550 000</t>
  </si>
  <si>
    <t>ooovektor242@gmail.com</t>
  </si>
  <si>
    <t>ВЕКТОР, АО (64 000 руб., 100%)</t>
  </si>
  <si>
    <t>10 850 000</t>
  </si>
  <si>
    <t>ЮРИДИЧЕСКОЕ АГЕНТСТВО ВАШ ЮРИСТ, ООО (10 000 руб., 100%)</t>
  </si>
  <si>
    <t>БИЗНЕСАКТИВ, ООО (9 900 руб., 99%)
Круглов Виктор Кузьмич (100 руб., 1%)</t>
  </si>
  <si>
    <t>3 616 240 000</t>
  </si>
  <si>
    <t>apokrovskiy@zavlab.ru, evgeniy@zavlab.ru, fedin@zavlab.ru, info@vektor.ru, konobeev@zavlab.ru, logist@zavlab.ru, o.romashkina@zavlab.ru, olga.tender@zavlab.ru, safonkin@zavlab.ru, stomahina@zavlab.ru</t>
  </si>
  <si>
    <t>zavlab.ru</t>
  </si>
  <si>
    <t>302 590 000</t>
  </si>
  <si>
    <t>common@vector-best.ru, personal@vector-best.ru, vbmarket@vector-best.ru, vbobtk@vector-best.ru</t>
  </si>
  <si>
    <t>vector-best.ru</t>
  </si>
  <si>
    <t>Производство материалов, применяемых в медицинских целях</t>
  </si>
  <si>
    <t>3 527 200 000</t>
  </si>
  <si>
    <t>denikin1991@bk.ru, vektor-unecha@yandex.ru</t>
  </si>
  <si>
    <t>Мельникова Елена Владимировна (25 000 руб., 100%)</t>
  </si>
  <si>
    <t>62 720 000</t>
  </si>
  <si>
    <t>vektors@hordel.ru</t>
  </si>
  <si>
    <t>Сиушов Сергей Иванович (8 900 руб., 89%)
Сиушова Ирина Михайловна (1 100 руб., 11%)</t>
  </si>
  <si>
    <t>АКЦИОНЕРНОЕ ОБЩЕСТВО "МЕДЕОС ХОЛДИНГ АГ" (20 217 100 руб., 76%)
АО ИНТЕЛЛЕГ С.А. (INTELLEG S.A.) (6 382 900 руб., 24%)</t>
  </si>
  <si>
    <t>1 702 520 000</t>
  </si>
  <si>
    <t>Гнедовский Алексей Дмитриевич (100 000 руб., 100%)</t>
  </si>
  <si>
    <t>30 240 000</t>
  </si>
  <si>
    <t>manukyan@union.msk.ru</t>
  </si>
  <si>
    <t>Макаров Евгений Викторович (50 000 руб., 50%)
Иванов Андрей Анатольевич (25 000 руб., 25%)
Коржавин Алексей Иванович (25 000 руб., 25%)</t>
  </si>
  <si>
    <t>38 230 000</t>
  </si>
  <si>
    <t>veles010914@gmail.com</t>
  </si>
  <si>
    <t>РУССКОЕ ПОЛЕ, ООО (6 667 руб., 66.67%)
Карсаков Рашид Ельтаевич (3 333 руб., 33.33%)</t>
  </si>
  <si>
    <t>2 850 000</t>
  </si>
  <si>
    <t>Трунцас Александр Петрович (40 000 руб., 100%)</t>
  </si>
  <si>
    <t>Торговля оптовая свежими овощами, фруктами и орехами</t>
  </si>
  <si>
    <t>veles-stroy@yandex.ru</t>
  </si>
  <si>
    <t>Кожухов Алексей Викторович (10 000 000 руб., 100%)</t>
  </si>
  <si>
    <t>87 060 000</t>
  </si>
  <si>
    <t>baranovpd@velesstroy.com, info@kastanaevskaya68.ru, info@velesstroy.com</t>
  </si>
  <si>
    <t>www.velesstroy.com</t>
  </si>
  <si>
    <t>УЭЙВФОРМ, МКООО (148 500 000 руб., 99%)
Павлюк Екатерина Александровна (1 500 000 руб., 1%)</t>
  </si>
  <si>
    <t>3 605 430 000</t>
  </si>
  <si>
    <t>ВЕЛЕССТРОЙ, ООО (10 000 руб., 100%)</t>
  </si>
  <si>
    <t>183 970 000</t>
  </si>
  <si>
    <t>190 610 000</t>
  </si>
  <si>
    <t>nkrishova@kabosh.ru</t>
  </si>
  <si>
    <t>Матвеев Дмитрий Викторович (289 195 руб., 96.74%)
Матвеев Павел Дмитриевич (9 749 руб., 3.26%)</t>
  </si>
  <si>
    <t>maxim.sherbakov@mail.ru, office@office.velmeat.ru, urist@velmeat.ru</t>
  </si>
  <si>
    <t>Подвальный Владимир Абрамович (769 872 400 руб., 100%)</t>
  </si>
  <si>
    <t>ignashovas@sibbaza.ru, info@sibbaza.ru, karapidi_vn@sibbaza.ru, vivann@rambler.ru</t>
  </si>
  <si>
    <t>sibbaza.ru</t>
  </si>
  <si>
    <t>Величев Николай Геннадьевич (10 000 руб., 100%)</t>
  </si>
  <si>
    <t>159 000 000</t>
  </si>
  <si>
    <t>Сутчева Надежда Игоревна (10 000 руб., 100%)</t>
  </si>
  <si>
    <t>22 090 000</t>
  </si>
  <si>
    <t>ik@indukern.ru, tender@indukern.ru</t>
  </si>
  <si>
    <t>veltrade.ru, www.indukern.ru</t>
  </si>
  <si>
    <t>БРАЙТ ВЭЙ, ООО (10 500 000 руб., 70%)
Волков Евгений Анатольевич (2 250 000 руб., 15%)
Щербакова Людмила Ивановна (2 250 000 руб., 15%)</t>
  </si>
  <si>
    <t>243 400 000</t>
  </si>
  <si>
    <t>albina.komarova@ventall.ru, aleksey.patyutko@ventall.ru, alexandr.belyaev@ventall.ru, alexey.mozhny@ventall.ru, dmitriy.kozharskiy@ventall.ru, elena.korovina@ventall.ru, elena.lobanova@ventall.ru, evgeniia.pushkarskaia@ventalldon.ru, evgeniy.shirmanov@ventall.ru, info@ventall-kama.ru</t>
  </si>
  <si>
    <t>www.ruukki.com, www.ruukki.com/ru</t>
  </si>
  <si>
    <t>ЗАКРЫТЫЙ ПАЕВОЙ ИНВЕСТИЦИОННЫЙ ФОНД КОМБИНИРОВАННЫЙ "АЗИМУТ" (209 103 995.6 руб., 80%)
КОРПОРАТИВНЫЙ ЦЕНТР, ООО (39 206 999.17 руб., 15%)
Заварцев Алексей Владимирович (13 068 999.73 руб., 5%)</t>
  </si>
  <si>
    <t>ev-mironenko@yandex.ru</t>
  </si>
  <si>
    <t>Бродников Александр Александрович (10 000 000 руб., 50%)
Мироненко Евгений Владимирович (5 000 000 руб., 25%)
Прудников Евгений Алексеевич (5 000 000 руб., 25%)</t>
  </si>
  <si>
    <t>80 560 000</t>
  </si>
  <si>
    <t>ВЕНТРА, ООО (3 170 000 руб., 100%)</t>
  </si>
  <si>
    <t>Деятельность агентств по подбору персонала</t>
  </si>
  <si>
    <t>43 840 000</t>
  </si>
  <si>
    <t>Сайфранов Рустем Масалимович (10 000 руб., 100%)</t>
  </si>
  <si>
    <t>club@renome-club.ru, info@renome-club.ru, k.zavialova@happylook.ru, obogdanova@renome-club.ru, otzyv@happylook.ru</t>
  </si>
  <si>
    <t>Гордейчук Виктор Николаевич (30 000 руб., 100%)</t>
  </si>
  <si>
    <t>293 300 000</t>
  </si>
  <si>
    <t>verona.09@inbox.ru, veronauvao@mail.ru, veronazakaz@bk.ru, veronazao@yandex.ru</t>
  </si>
  <si>
    <t>veronafood.ru</t>
  </si>
  <si>
    <t>ФОРМ КАПИТАЛ, АО (1 544 400 руб., 99%)
Кравченко Татьяна Владимировна (15 600 руб., 1%)</t>
  </si>
  <si>
    <t>634 860 000</t>
  </si>
  <si>
    <t>www.sklaw-firm.com</t>
  </si>
  <si>
    <t>Орлова Людмила Александровна (615 595 890.77 руб., 50.84%)
Дутчак Валерий Корнельевич (503 554 663.35 руб., 41.59%)
Гроссман Дмитрий Феликсович (91 713 245.94 руб., 7.57%)</t>
  </si>
  <si>
    <t>21 000 000</t>
  </si>
  <si>
    <t>auction@elmeat.ru, auction@veimeat.ru, auction@velmeat.com, auction@velmet.ru, auction@vemeat.ru, aucuion@vtlmtat.ru, aukcion@velmeat.ru, aukction@velmeat.ru, auktion@velmeat.ru, austion@velmeat.ru</t>
  </si>
  <si>
    <t>churiloval@lisor.ru, durinin@lisor.ru</t>
  </si>
  <si>
    <t>782 270 000</t>
  </si>
  <si>
    <t>verticali.ru</t>
  </si>
  <si>
    <t>ИНФРАСТРУКТУРНЫЙ ИНТЕГРАТОР, ООО (300 050 000 руб., 100%)</t>
  </si>
  <si>
    <t>408 890 000</t>
  </si>
  <si>
    <t>arhangelsk.utake.ru, cheboksary.utake.ru, kazan.utake.ru, kostroma.utake.ru, murmansk.utake.ru, n-chelny.utake.ru, orenburg.utake.ru, orsk.utake.ru, pskov.utake.ru, resantagroup.ru</t>
  </si>
  <si>
    <t>Ковалева Елена Львовна (220 000 руб., 100%)</t>
  </si>
  <si>
    <t>71 960 000</t>
  </si>
  <si>
    <t>udina.e@shmaliy.ru, zakazina@vertical.ru</t>
  </si>
  <si>
    <t>Евдоков Владимир Иванович (25 000 руб., 100%)</t>
  </si>
  <si>
    <t>Торговля оптовая лакокрасочными материалами</t>
  </si>
  <si>
    <t>404 330 000</t>
  </si>
  <si>
    <t>glavbuh@bakanka.ru, info@bakabka.ru, info@bakanka.ru, mazepa_mb@bakanka.ru</t>
  </si>
  <si>
    <t>www.vbakanka.ru</t>
  </si>
  <si>
    <t>АКТУАЛЬНЫЕ ИНВЕСТИЦИИ, АО (100%)</t>
  </si>
  <si>
    <t>andreev@vv-metal.ru, market@vv-metal.ru, sort@vv-metal.ru, vv-metal@vv-metal.ru</t>
  </si>
  <si>
    <t>ТРАНСМЕТТОРГ, ООО (19 500 руб., 100%)</t>
  </si>
  <si>
    <t>1 813 420 000</t>
  </si>
  <si>
    <t>a.rumjancev@mail.ru, info@tver-atp.ru</t>
  </si>
  <si>
    <t>Тверская обл (5 100 руб., 51%)
КОНТРОЛЬ-СЕРВИС, ООО (4 900 руб., 49%)</t>
  </si>
  <si>
    <t>191 890 000</t>
  </si>
  <si>
    <t>info@shincentr.com</t>
  </si>
  <si>
    <t>Махненко Евгений Викторович (3 400 руб., 34%)
Еременко Владимир Владимирович (3 300 руб., 33%)
Шестаков Вячеслав Викторович (3 300 руб., 33%)</t>
  </si>
  <si>
    <t>191 020 000</t>
  </si>
  <si>
    <t>m.yurinkova@piteravto.ru, parfenovaea@piteravto.ru</t>
  </si>
  <si>
    <t>vest-service.ru</t>
  </si>
  <si>
    <t>Бондаренко Леонид Георгиевич (10 000 руб., 100%)</t>
  </si>
  <si>
    <t>Регулярные перевозки пассажиров прочим сухопутным транспортом в городском и пригородном сообщении</t>
  </si>
  <si>
    <t>leonovatl@v-tg.com</t>
  </si>
  <si>
    <t>Мельников Павел Эдуардович (6 582 384 руб., 100%)</t>
  </si>
  <si>
    <t>646 900 000</t>
  </si>
  <si>
    <t>atrukhin@vesta-kirov.ru, director@vesta-oao.ru, it@vesta-kirov.ru</t>
  </si>
  <si>
    <t>vesta-kirov.ru, www.vesta-oao.ru, www.zavod-vesta.com</t>
  </si>
  <si>
    <t>torgi-vesta@mail.ru</t>
  </si>
  <si>
    <t>Круглов Сергей Владимирович (10 000 руб., 100%)</t>
  </si>
  <si>
    <t>090920@bk.ru, info@vestel.ru</t>
  </si>
  <si>
    <t>www.vestel.ru</t>
  </si>
  <si>
    <t>АО "ВЕСТЕЛЬ ЭЛЕКТРОНИК САНАИ ВЕ ТИДЖАРЕТ" (8 813 073 672.11 руб., 100%)</t>
  </si>
  <si>
    <t>krylatskyhills.ru</t>
  </si>
  <si>
    <t>ПРОТОНИУС ИНВЕСТМЕНТС ЛТД (7 414 908 191.25 руб., 99.95%)
МИЛЛХАУС, ООО (3 709 308.75 руб., 0.050%)</t>
  </si>
  <si>
    <t>1 213 120 000</t>
  </si>
  <si>
    <t>info@westrybflot.ru, svetlana@wflot.gazinter.net, wflot@balnet.ru</t>
  </si>
  <si>
    <t>westrybflot.ru</t>
  </si>
  <si>
    <t>Рыболовство морское промышленное</t>
  </si>
  <si>
    <t>54 160 000</t>
  </si>
  <si>
    <t>ВЕТ ГЕН, ООО (6 000 руб., 50%)
Шумега Андрей Романович (6 000 руб., 50%)</t>
  </si>
  <si>
    <t>trefilova@veteran.bz</t>
  </si>
  <si>
    <t>veteran.bz, www.veteran.ru</t>
  </si>
  <si>
    <t>Братцев Андрей Павлович (7 523.78 руб., 25.50%)
Комиссаренко Ирина Валерьевна (7 523.78 руб., 25.50%)
Морозова Вера Фёдоровна (7 523.78 руб., 25.50%)
Комаров Дмитрий Александрович (3 466.83 руб., 11.75%)
Морозов Владимир Юрьевич (3 466.83 руб., 11.75%)</t>
  </si>
  <si>
    <t>361 300 000</t>
  </si>
  <si>
    <t>buh2005@vetservis.ru, info@vetservis.ru, sale3@vetservis.ru, vetservis2011@yandex.ru, vetservis36@mail.ru</t>
  </si>
  <si>
    <t>www.vetservis.ru</t>
  </si>
  <si>
    <t>Хабаров Борис Константинович (1 000 000 руб., 100%)</t>
  </si>
  <si>
    <t>57 730 000</t>
  </si>
  <si>
    <t>vetproda4@yandex.ru</t>
  </si>
  <si>
    <t>Ким Роман Герасимович (20 000 руб., 40%)
Цыганков Игорь Николаевич (20 000 руб., 40%)
Филатов Виталий Викторович (10 000 руб., 20%)</t>
  </si>
  <si>
    <t>info@vetroogk.ru, info@windsgc.ru</t>
  </si>
  <si>
    <t>www.admin-qm-app.cmai.tech</t>
  </si>
  <si>
    <t>299 230 000</t>
  </si>
  <si>
    <t>office@vgroup.one</t>
  </si>
  <si>
    <t>Борисенко Владислав Владимирович (1 000 000 руб., 50%)
Васильев Константин Вячеславович (1 000 000 руб., 50%)</t>
  </si>
  <si>
    <t>244 110 000</t>
  </si>
  <si>
    <t>info@wefry.ru</t>
  </si>
  <si>
    <t>lwbd.ru</t>
  </si>
  <si>
    <t>ВИ ФРАЙ, ООО (4 113 492 271 руб., 74.90%)
Цыганов Владимир Робертович (1 035 238 041.5 руб., 18.85%)
Ван Ден Берг Ирина Владимировна (343 248 687.5 руб., 6.25%)</t>
  </si>
  <si>
    <t>Переработка и консервирование картофеля</t>
  </si>
  <si>
    <t>1 214 160 000</t>
  </si>
  <si>
    <t>ВХД БИЗНЕС-ПАРК, ООО (811 000 000 руб., 100%)</t>
  </si>
  <si>
    <t>www.vigtrans.com</t>
  </si>
  <si>
    <t>Ребельский Игорь Вадимович (100 000 руб., 100%)</t>
  </si>
  <si>
    <t>83 530 000</t>
  </si>
  <si>
    <t>tkvial.ru</t>
  </si>
  <si>
    <t>Яшков Павел Владимирович (10 000 руб., 100%)</t>
  </si>
  <si>
    <t>mvg2005@inbox.ru, vitalychvchlv@gmail.com</t>
  </si>
  <si>
    <t>viasgroup.ru</t>
  </si>
  <si>
    <t>Чувычилов Виталий Борисович (35 500 руб., 71%)
Фастовец Сергей Васильевич (14 500 руб., 29%)</t>
  </si>
  <si>
    <t>17 180 000</t>
  </si>
  <si>
    <t>"АПДЖОН ЕУРОП ХОЛДИНГС Б.В." (596 202 750 руб., 99%)
АПДЖОН ГЛОБАЛ ХОЛДИНГС Б.В. (6 022 250 руб., 1%)</t>
  </si>
  <si>
    <t>2 461 110 000</t>
  </si>
  <si>
    <t>pan-stroy@mail.ru, panstroy.aqua@gmail.com, tender.pan-stroy@bk.ru, vivatlux@ya.ru</t>
  </si>
  <si>
    <t>Сивцева Татьяна Михайловна (10 000 руб., 100%)</t>
  </si>
  <si>
    <t>borisshoff11@yandex.ru, cheryauto@chery.ru, exeed@borishof.ru, hr@chery.ru, inchcape@chery.ru, sales.chery@borishof.ru</t>
  </si>
  <si>
    <t>www.inchcape.ru</t>
  </si>
  <si>
    <t>ММ ЭНД БХ-1, ООО (1 144 166 140.2 руб., 30%)
ММ ЭНД БХ-2, ООО (1 144 166 140.2 руб., 30%)
ММ ЭНД БХ-4, ООО (762 777 426.8 руб., 20%)
ММ ЭНД БХ-3, ООО (762 777 426.2 руб., 20%)</t>
  </si>
  <si>
    <t>891 780 000</t>
  </si>
  <si>
    <t>Хромов Максим Валерьевич (10 000 руб., 100%)</t>
  </si>
  <si>
    <t>15 000 000</t>
  </si>
  <si>
    <t>nagaeva@serviko.ru</t>
  </si>
  <si>
    <t>Дремов Вячеслав Александрович (10 000 руб., 100%)</t>
  </si>
  <si>
    <t>3 440 000</t>
  </si>
  <si>
    <t>tender.serviko@mail.ru</t>
  </si>
  <si>
    <t>Кирясов Александр Александрович (10 000 руб., 100%)</t>
  </si>
  <si>
    <t>6 330 000</t>
  </si>
  <si>
    <t>a.matveeva@dominantsugar.ru, vikor@mail.kuban.ru</t>
  </si>
  <si>
    <t>807 500 000</t>
  </si>
  <si>
    <t>igor_egorevsk@mail.ru</t>
  </si>
  <si>
    <t>Муминов Рустам Маджитхонович (10 000 руб., 50%)
Соловьёв Игорь Александрович (10 000 руб., 50%)</t>
  </si>
  <si>
    <t>teliseeva@victoria-group.ru, xsokolova@victoria-group.ru</t>
  </si>
  <si>
    <t>victoria-group.ru</t>
  </si>
  <si>
    <t>Студенников Сергей Петрович (13 995 000 руб., 45%)
Тяка Николай Афанасьевич (11 583 195 руб., 37.24%)
Кациев Сергей Солтанович (2 391 590 руб., 7.69%)
Соболева Елена Владимировна (1 244 000 руб., 4%)
Туганов Владимир Петрович (935 177 руб., 3.00%)
Дзуцев Игорь Дмитриевич (622 000 руб., 2%)
Халтурин Юрий Геннадьевич (299 182 руб., 0.96%)
Кобзев Александр Михайлович (29 856 руб., 0.096%)</t>
  </si>
  <si>
    <t>18 040 000</t>
  </si>
  <si>
    <t>ruisu@icopal.com, tatiana.mikolaichuk@bmigroup.com</t>
  </si>
  <si>
    <t>icopal.ru</t>
  </si>
  <si>
    <t>BMI GROUP HOLDINGS UK LIMITED (795 062 381.8395 руб., 99.24%)
BMI Group Operations S.a r.l. (6 091 539.2105 руб., 0.76%)</t>
  </si>
  <si>
    <t>Производство изделий из асфальта или аналогичных материалов</t>
  </si>
  <si>
    <t>281 920 000</t>
  </si>
  <si>
    <t>o.tisenkova1@vilmap.ru, v1lmap@yandex.ru, vilmap1@mail.ru, vilmap2020@mail.ru, vilmap@yandex.ru</t>
  </si>
  <si>
    <t>vlmp.ru</t>
  </si>
  <si>
    <t>Чубенко Елена Вячеславовна (20 000 руб., 100%)</t>
  </si>
  <si>
    <t>215 750 000</t>
  </si>
  <si>
    <t>arenda.vils@oaovils.ru, chumichevam@mail.ru, info@oaovils.ru</t>
  </si>
  <si>
    <t>oaovils.ru</t>
  </si>
  <si>
    <t>irina.petrova@adm.com, russia@wild.de</t>
  </si>
  <si>
    <t>www.wild.de</t>
  </si>
  <si>
    <t>Wild Intermare GmbH (63 000 000 руб., 90%)
ФИРМА "АЛЬФРЕД С. ТЕПФЕР ИНТЕРНАЦИОНАЛЬ ГМБХ" (7 000 000 руб., 10%)</t>
  </si>
  <si>
    <t>471 780 000</t>
  </si>
  <si>
    <t>493@shpp.ru, peo@vges3.mirny.yakutia.ru, vges3@alrosa.ru, vges3@vges.alrosa.ru, vges@svetly.ru</t>
  </si>
  <si>
    <t>shpp.ru</t>
  </si>
  <si>
    <t>790 180 000</t>
  </si>
  <si>
    <t>post@vink.ru, service@vink.ru</t>
  </si>
  <si>
    <t>Хазов Петр Евгеньевич (30 000 руб., 100%)</t>
  </si>
  <si>
    <t>80 530 000</t>
  </si>
  <si>
    <t>ВИНЛАБ, АО (155 008 400 руб., 100%)</t>
  </si>
  <si>
    <t>242 520 000</t>
  </si>
  <si>
    <t>info@wineexpress.com, info@wineexpress.ru, order@wineexpress.ru, sale@wineexpress.ru, vasileva.o@wineexpress.ru</t>
  </si>
  <si>
    <t>АЛИАНТА, ООО ТД (10 000 000 руб., 100%)</t>
  </si>
  <si>
    <t>44 350 000</t>
  </si>
  <si>
    <t>alliance1892@mtu-net.ru, priemnayavkd@alliance1892.ru</t>
  </si>
  <si>
    <t>www.alliance1892.ru</t>
  </si>
  <si>
    <t>ВИНОКОНЬЯЧНЫЙ ЗАВОД АЛЬЯНС-1892, ООО (10 003 200 руб., 99.90%)
Кудрявцев Игорь Владимирович (10 003.2 руб., 0.10%)</t>
  </si>
  <si>
    <t>agro.mor@balnet.ru, e.pronchakova@alliance1892.ru, vkz@alliance1892.ru</t>
  </si>
  <si>
    <t>alliance1892.ru</t>
  </si>
  <si>
    <t>Peregrina Ventures S.a r.l., SPF (20 500 000 руб., 100%)</t>
  </si>
  <si>
    <t>180 160 000</t>
  </si>
  <si>
    <t>info@wintech.ru, yuriy.sergeev@wintech.ru</t>
  </si>
  <si>
    <t>www.wintech.ru</t>
  </si>
  <si>
    <t>АО "АДОПЕН ПЛАСТИК ВЕ ИНШААТ САНАЙИ ШИРКЕТИ" (1 475 000 000.5 руб., 100%)</t>
  </si>
  <si>
    <t>252 340 000</t>
  </si>
  <si>
    <t>account10@rubin-wine.ru, info@vintorg.ru</t>
  </si>
  <si>
    <t>www.vintorg.ru</t>
  </si>
  <si>
    <t>ЭСПЕРРО, ООО (9 909 900 руб., 99%)
Манджгаладзе Ирма Дурмишхановна (100 100 руб., 1%)</t>
  </si>
  <si>
    <t>48 320 000</t>
  </si>
  <si>
    <t>7801467537@eo.tensor.ru, klimovam@viola.ru, oga.blinova@valio.com</t>
  </si>
  <si>
    <t>valiorussia.ru, www.viola.ru</t>
  </si>
  <si>
    <t>ДЭНИР, ООО (2 901 000 руб., 100%)</t>
  </si>
  <si>
    <t>207 150 000</t>
  </si>
  <si>
    <t>Кравец Елена Олеговна (10 000 руб., 100%)</t>
  </si>
  <si>
    <t>Обработка отходов и лома черных металлов</t>
  </si>
  <si>
    <t>3 390 000</t>
  </si>
  <si>
    <t>office@virtum.su</t>
  </si>
  <si>
    <t>virtum.su</t>
  </si>
  <si>
    <t>Безсонов Александр Сергеевич (20 000 руб., 50%)
Шавлак Евгений Викторович (20 000 руб., 50%)</t>
  </si>
  <si>
    <t>43 370 000</t>
  </si>
  <si>
    <t>alexey.brylev@wirtgen-group.com, kom.info@wirtgen.ru</t>
  </si>
  <si>
    <t>www.wirtgen-group.com</t>
  </si>
  <si>
    <t>ФИРМА ВИРТГЕН ИНТЕРНАЦИОНАЛЬ ГМБХ (683 022 964 руб., 100%)</t>
  </si>
  <si>
    <t>491 350 000</t>
  </si>
  <si>
    <t>trbapb-acc3@transbunker.com</t>
  </si>
  <si>
    <t>llc-vtk.ru</t>
  </si>
  <si>
    <t>ХК ТРБ , ООО ТРБХ, ООО (10 000 руб., 100%)</t>
  </si>
  <si>
    <t>278 360 000</t>
  </si>
  <si>
    <t>lan@vistlan.ru</t>
  </si>
  <si>
    <t>www.vistlan.ru</t>
  </si>
  <si>
    <t>Минаев Александр Михайлович (50 500 руб., 50.20%)
Минаев Сергей Александрович (50 000 руб., 49.80%)</t>
  </si>
  <si>
    <t>516 540 000</t>
  </si>
  <si>
    <t>talakina@vita-samara.ru</t>
  </si>
  <si>
    <t>Частная акционерная компания с ограниченной ответственностью "НИКСЕЙ ХОЛДИНГЗ ЛИМИТЕД" (10 000 руб., 100%)</t>
  </si>
  <si>
    <t>moltorgkuz@mail.ru</t>
  </si>
  <si>
    <t>Никулин Игорь Владимирович (9 285 руб., 92.85%)
Астафуров Александр Владимирович (715 руб., 7.15%)</t>
  </si>
  <si>
    <t>119 550 000</t>
  </si>
  <si>
    <t>svetofore.ru</t>
  </si>
  <si>
    <t>Васильева Алла Валерьевна (5 250 руб., 35%)
Черкашин Виктор Викторович (5 250 руб., 35%)
Калицкий Павел Евгеньевич (2 250 руб., 15%)
Лапко Игорь Борисович (2 250 руб., 15%)</t>
  </si>
  <si>
    <t>183 450 000</t>
  </si>
  <si>
    <t>buh.fil@inbox.ru, incomplanet@yandex.ru, vitaminrus2016@gmail.com</t>
  </si>
  <si>
    <t>vitamin-rus.ru</t>
  </si>
  <si>
    <t>Казанцева Любовь Геннадьевна (12 500 руб., 100%)</t>
  </si>
  <si>
    <t>av_berezhnoi@mail.ru, bugay@vatanta.net, coniracts@vitanta.net, conlracts@vitanla.net, conlracts@vitanta.net, contracts@vilanta.net, contracts@vitanta.ne, contracts@vitanta.net, contractsvitanta@mail.ru, contrakts@vitanta.net</t>
  </si>
  <si>
    <t>Обминяная Любовь Васильевна (10 000 руб., 100%)</t>
  </si>
  <si>
    <t>295 330 000</t>
  </si>
  <si>
    <t>avto.mail@corp.mail.ru, m.yurina@corp.mail.ru, rabota.mail@corp.mail.ru, tur.torg@corp.mail.ru, vkct_store@vk.team</t>
  </si>
  <si>
    <t>www.mail.ru, www.molotok.ru</t>
  </si>
  <si>
    <t>КОМПАНИЯ ВК, ООО (20 013 310 руб., 100%)</t>
  </si>
  <si>
    <t>a.tiunova@vitaspektr.ru, info@vitaspektr.ru, k.fedotova@vitaspektr.ru, m.bakirova@vitaspektr.ru, nataliya.s@vitaspektr.ru, olga.s@vitaspektr.ru, tanvir.m@vitaspektr.ru, vitaspektr@list.ru, vitaspektrdir@mail.ru</t>
  </si>
  <si>
    <t>Золотухин Алексей Витальевич (100 000 руб., 100%)</t>
  </si>
  <si>
    <t>144 030 000</t>
  </si>
  <si>
    <t>demyanov@intgrain.ru, irina.smirnova@viterra.com</t>
  </si>
  <si>
    <t>www.viterrarussia.ru</t>
  </si>
  <si>
    <t>Renaisco B.V. (2 031 651 500 руб., 99.99%)
ЧАСТНАЯ КОМПАНИЯ С ОГРАНИЧЕННОЙ ОТВЕТСТВЕННОСТЬЮ АММИЦИНК Б.В. (316.52 руб., 0.00010%)</t>
  </si>
  <si>
    <t>525 340 000</t>
  </si>
  <si>
    <t>do@vitimenergosbyt.ru, doverie@vitimenergosbyt.ru, info@vinimenergosbyt.ru, info@vitimenergosbut.ru, info@vitimenergosbyt.ru, lyakhovada@polyus.com, ves@gin.ru, ves@polyus.com, ves@qin.ru, vitimenergo@mail.ru</t>
  </si>
  <si>
    <t>www.vitimenergosbyt.ru, www.vitimenergosbyt.ru/qa/2658.html#bukhgalterskaya+otchetnost+za+2010+god</t>
  </si>
  <si>
    <t>19 160 000</t>
  </si>
  <si>
    <t>info@vito1.ru, mixeeva1974@mail.ru, uo@vito1.ru</t>
  </si>
  <si>
    <t>vito1.ru</t>
  </si>
  <si>
    <t>Гребенщикова Наталья Исааковна (20 000 руб., 100%)</t>
  </si>
  <si>
    <t>376 810 000</t>
  </si>
  <si>
    <t>askolimp@gmail.com, info@vitomek.com</t>
  </si>
  <si>
    <t>www.vitomek.com</t>
  </si>
  <si>
    <t>АВЕНТУС ФИНАНС, ООО (5 000 руб., 50%)
Скребов Кирилл Алексеевич (2 500 руб., 25%)
Унгвицкая Елена Николаевна (2 500 руб., 25%)</t>
  </si>
  <si>
    <t>Производство кормового микробиологического белка, премиксов, кормовых витаминов, антибиотиков, аминокислот и ферментов</t>
  </si>
  <si>
    <t>87 880 000</t>
  </si>
  <si>
    <t>golovin.aleksandr@vitta.ru, info@vitta.ru, ivanova.irina@vitta.ru, rogozina.elena@vitta.ru, vitta@yandex.ru</t>
  </si>
  <si>
    <t>www.vitta.ru</t>
  </si>
  <si>
    <t>Давыдова Ольга Викторовна (10 000 руб., 100%)</t>
  </si>
  <si>
    <t>secretar.va@gmail.com, vityzavto@mail.iks.ru</t>
  </si>
  <si>
    <t>www.vityaz.travel</t>
  </si>
  <si>
    <t>ОКЕАНРЫБФЛОТ, АО (310 000 руб., 100%)</t>
  </si>
  <si>
    <t>Рыболовство пресноводное</t>
  </si>
  <si>
    <t>1 557 190 000</t>
  </si>
  <si>
    <t>3234631@mail.ru, 323463@mail.ru, lifanovaolga@bk.ru, velesplyus15@mail.ru</t>
  </si>
  <si>
    <t>Равилова Лилия Амировна (10 000 руб., 100%)</t>
  </si>
  <si>
    <t>187 960 000</t>
  </si>
  <si>
    <t>gok74@mail.ru</t>
  </si>
  <si>
    <t>vishgok.narod.ru, vishgok.ucoz.ru</t>
  </si>
  <si>
    <t>363 550 000</t>
  </si>
  <si>
    <t>bagudina@mail.ru, digital.tech@corp.mail.ru</t>
  </si>
  <si>
    <t>ЦИФРОВАЯ ТРАНСФОРМАЦИЯ ПЛЮС, ООО (109 890 руб., 99.90%)
ВК, ООО (110 руб., 0.10%)</t>
  </si>
  <si>
    <t>175 440 000</t>
  </si>
  <si>
    <t>info@uvkp.ru, uvkp@uvkp.ru</t>
  </si>
  <si>
    <t>ЛАЧУНГА, ООО (60 000 000 руб., 75%)
Мехдиев Ильхам Араз Оглы (20 000 000 руб., 25%)</t>
  </si>
  <si>
    <t>emorgunova2011@yandex.ru, gnadejda71@rambler.ru, oao-vkz@mail.ru, oaovkz@mail.ru, vkz-popova@yandex.ru</t>
  </si>
  <si>
    <t>www.vkz.ru</t>
  </si>
  <si>
    <t>Производство керамических плит и плиток</t>
  </si>
  <si>
    <t>156 960 000</t>
  </si>
  <si>
    <t>info@vkm1297.ru, vkm20@mail.ru, vkm@vkm1297.ru, vrd@vkm1297.ru</t>
  </si>
  <si>
    <t>РЕЙЛ СЕРВИС, ООО (81 320 000 руб., 100%)</t>
  </si>
  <si>
    <t>Обработка металлических изделий механическая</t>
  </si>
  <si>
    <t>305 970 000</t>
  </si>
  <si>
    <t>info@orange-food.ru, info@vkusvill.ru, postavka@orange-food.ru</t>
  </si>
  <si>
    <t>vkusnyjprodukt@pikanta.ru</t>
  </si>
  <si>
    <t>Колесник Александр Борисович (10 000 руб., 50%)
Сергеев Сергей Алексеевич (10 000 руб., 50%)</t>
  </si>
  <si>
    <t>266 540 000</t>
  </si>
  <si>
    <t>Улаев Валерий Александрович (1 000 000 руб., 100%)</t>
  </si>
  <si>
    <t>4222@kolbasa-vs.ru, info@kolbasa-vs.ru, ok@kolbasa-vs.ru, vs_buhgalter@mail.ru, vst.order1@gmail.com, vst.platonov@gmail.com</t>
  </si>
  <si>
    <t>kolbasa-vs.ru</t>
  </si>
  <si>
    <t>Дружинин Олег Вадимович (5 000 руб., 50%)
Ларионов Сергей Николаевич (2 000 руб., 20%)
Абрамов Дмитрий Владимирович (500 руб., 5%)
Антов Павел Генрихович (500 руб., 5%)
Данакари Светлана Владимировна (500 руб., 5%)
Крещук Елена Владимировна (500 руб., 5%)
Кувшинова Татьяна Николаевна (500 руб., 5%)
Платонов Максим Александрович (500 руб., 5%)</t>
  </si>
  <si>
    <t>Переработка и консервирование мяса и мясной пищевой продукции</t>
  </si>
  <si>
    <t>adrianova@vtg33.ru, ads@vtg33.ru, akimov@sobsch2.ru, ashkina@vtg33.ru, bazulkina@vtg33.ru, domnysheva@vtg33.ru, ds4zolotoy_klyuchik@mail.ru, e.chikireva@vtg33.ru, e.gorodyanskaya@vtg33.ru, e.kazorya@vtg33.ru</t>
  </si>
  <si>
    <t>vtg33.ru</t>
  </si>
  <si>
    <t>Владимирская обл (26 265 000 руб., 100%)</t>
  </si>
  <si>
    <t>Производство пара и горячей воды (тепловой энергии) котельными</t>
  </si>
  <si>
    <t>a.alekseeva@vladinvest.net, i.andreeva@vladinvest.net, s.lebedev@vladinvest.net</t>
  </si>
  <si>
    <t>1 501 990 000</t>
  </si>
  <si>
    <t>e.ashurina@vladkon.com, info@vladkon.com, info@waterweiss.com, karasev@vladkon.com, serdyukov@vladkon.com</t>
  </si>
  <si>
    <t>Сердюков Владимир Сергеевич (5 000 000 руб., 100%)</t>
  </si>
  <si>
    <t>36 160 000</t>
  </si>
  <si>
    <t>cb@fishport.ru, info@fishport.ru</t>
  </si>
  <si>
    <t>fishport.ru</t>
  </si>
  <si>
    <t>710@union-co.ru, 9242002580k@gmail.com, dvunion@union-co.ru, lazareva@union-co.ru</t>
  </si>
  <si>
    <t>Киселева Людмила Владимировна (127 000 руб., 100%)</t>
  </si>
  <si>
    <t>59 520 000</t>
  </si>
  <si>
    <t>accountant@vmk-invest.ru</t>
  </si>
  <si>
    <t>vmk-invest.ru</t>
  </si>
  <si>
    <t>Шершнев Владимир Семенович (80 000 руб., 80%)
Королев Павел Евгеньевич (20 000 руб., 20%)</t>
  </si>
  <si>
    <t>206 100 000</t>
  </si>
  <si>
    <t>Шайхетдинов Ильнур Табрисович (8 500 руб., 85%)
МОЛСЕРВИС, ООО (1 500 руб., 15%)</t>
  </si>
  <si>
    <t>47 370 000</t>
  </si>
  <si>
    <t>pkvmk@pkvmk.ru</t>
  </si>
  <si>
    <t>vmkmilk.ru, www.vmk-vologda.ru</t>
  </si>
  <si>
    <t>Мизгирев Владимир Васильевич (3 893 133.96 руб., 6.63%)
Иванова Елизавета Александровна (1 616 244.76 руб., 2.75%)
Шунько Татьяна Михайловна (1 218 274.93 руб., 2.07%)
АГРОФИРМА КРАСНАЯ ЗВЕЗДА, СПК (1 000 000 руб., 1.70%)
Холмогорова Галина Васильевна (672 684.52 руб., 1.14%)
Иванов Эдуард Александрович (659 987.98 руб., 1.12%)
Панева Ольга Вадимовна (580 894.39 руб., 0.98%)
Кусакина Наталья Николаевна (573 468.76 руб., 0.97%)
Некипелова Светлана Владимировна (573 000 руб., 0.97%)
Парменова Надежда Михайловна (567 607.43 руб., 0.96%)
...*</t>
  </si>
  <si>
    <t>48 730 000</t>
  </si>
  <si>
    <t>dozorhkina@fishport.ru, vsct@fishport.ru</t>
  </si>
  <si>
    <t>www.вмкт.ру, вмкт.рф</t>
  </si>
  <si>
    <t>ГЕОТЭКС, ООО (3 120 000 руб., 52%)
БЕРЕГ-ОСТ, ООО (2 880 000 руб., 48%)</t>
  </si>
  <si>
    <t>2 027 580 000</t>
  </si>
  <si>
    <t>nph@fmp.ru</t>
  </si>
  <si>
    <t>Вахрушев Михаил Владимирович (750 000 руб., 75%)
НПХ ВМП, АО (250 000 руб., 25%)</t>
  </si>
  <si>
    <t>161 150 000</t>
  </si>
  <si>
    <t>tatiana.ismatova@vmt.spb.ru</t>
  </si>
  <si>
    <t>Лемишко Владимир Федорович (250 000 руб., 100%)</t>
  </si>
  <si>
    <t>info@vmtp.ru, itc@vmtp.ru, market@vmtp.ru, nmzhilov@fesco.com, sismagilova@fesco.com, tender@fesco.com, tender@vmtp.ru, vmrp@fesco.com, vmtp@fesco.com, vmtp@fesco.ru</t>
  </si>
  <si>
    <t>www.vmtp.ru</t>
  </si>
  <si>
    <t>М-ПОРТ, ООО (65.82%)
НАЦИОНАЛЬНАЯ КОНТЕЙНЕРНАЯ КОМПАНИЯ, ООО (28.45%)
ТРАНСКОМ, АО (0.72%)
ПОРТ-АКТИВ, АО (0.000000040%)</t>
  </si>
  <si>
    <t>Деятельность вспомогательная, связанная с водным транспортом</t>
  </si>
  <si>
    <t>8 614 650 000</t>
  </si>
  <si>
    <t>info@aovmes.ru, infoout@mail.ru, office@ao-vmes.ru, office@ao_vmes.ru, office@aovmes.ru, vmes@mail.ru</t>
  </si>
  <si>
    <t>ao-vmes.ru</t>
  </si>
  <si>
    <t>Распределение электроэнергии</t>
  </si>
  <si>
    <t>vneshintorg@mail.ru</t>
  </si>
  <si>
    <t>Щерба Андрей Николаевич (10 000 руб., 100%)</t>
  </si>
  <si>
    <t>33 380 000</t>
  </si>
  <si>
    <t>Дацина Дмитрий Николаевич (84 318.4 руб., 55.84%)
Симкин Олег Александрович (42 159.2 руб., 27.92%)
Кошевой Сергей Юрьевич (15 024.5 руб., 9.95%)
Беляев Леонид Михайлович (9 497.9 руб., 6.29%)</t>
  </si>
  <si>
    <t>233 190 000</t>
  </si>
  <si>
    <t>anromanova@vniiaes.ru, fttukhvetov@vniiaes.ru, iikaderova@vniiaes.ru, vniiaes@vniiaes.ru</t>
  </si>
  <si>
    <t>www.vniiaes.ru</t>
  </si>
  <si>
    <t>КОНЦЕРН РОСЭНЕРГОАТОМ, АО (1 690 560 000 руб.)</t>
  </si>
  <si>
    <t>25 900 000</t>
  </si>
  <si>
    <t>press@vniizht.ru, security@vniizht.ru, tender@vniizht.ru</t>
  </si>
  <si>
    <t>www.vniizht.ru</t>
  </si>
  <si>
    <t>aia@adept.ru, gmm@adept.ru, kadr@adept.ru, kadr@meatdvor.natm.ru</t>
  </si>
  <si>
    <t>www.adept.ru, www.meatdvor.natm.ru</t>
  </si>
  <si>
    <t>87 130 000</t>
  </si>
  <si>
    <t>info@vopromsi.ru, zakupki@vopromsi.ru</t>
  </si>
  <si>
    <t>www.vopromsi.ru</t>
  </si>
  <si>
    <t>168 050 000</t>
  </si>
  <si>
    <t>info@tpe-vo.ru, valery.kartashov@tpe.ru</t>
  </si>
  <si>
    <t>РОСТЕХ, ГОСУДАРСТВЕННАЯ КОРПОРАЦИЯ (25 000 000 000 руб., 99.99%)
РТ-ЭНЕРГО, ООО (500 000 руб., 0.0020%)</t>
  </si>
  <si>
    <t>265 950 000</t>
  </si>
  <si>
    <t>5242@mail.ru, 79787329784@mail.ru, abon@voda.crimea.ru, adm@alushta.rk.gov.ru, aemirc.adov@eciffo.ru, agapitov.slava@yandex.ru, alu.abon@voda.crimea.ru, alu.yurist@voda.crimea.ru, aluofic@vodacrimea.ru, bah.aboh@voda.crimea.ru</t>
  </si>
  <si>
    <t>www.voda.crimea.ru</t>
  </si>
  <si>
    <t>Крым Респ (3 559 286 404.86 руб., 100%)</t>
  </si>
  <si>
    <t>info@vodograi.net</t>
  </si>
  <si>
    <t>www.vodograi.net</t>
  </si>
  <si>
    <t>Калугин Иван Валерьевич (100 000 руб., 100%)</t>
  </si>
  <si>
    <t>122@fbcngmhm.ru, 1@vodokanal.spb.ru, 3237629@gmail.ru, abramova_oal@vodokanal.spb.ru, aleksandrova_am@vodokanal.spb.ru, aleksandrova_ma@vodokanal.spb.ru, alekseeva_vv@vodokanal.spb.ru, as@vodokana.spb.ru, bikkulova_ny@vodokanal.spb.ru, billerc@vodocanal.spb.ru</t>
  </si>
  <si>
    <t>www.vodokanal.spb.ru, вселенная-воды.рф</t>
  </si>
  <si>
    <t>Санкт-Петербург г (87 055 037 890.63 руб., 100%)</t>
  </si>
  <si>
    <t>Сбор и обработка сточных вод</t>
  </si>
  <si>
    <t>18@kznvodokanal.ru, 2316101@kznvodokanal.ru, 2316104@kazvodokanal.ru, 2316104@kzn.vodokanal.ru, 2316104@kznvodokabal.ru, 2316104@kznvodokanai.ru, 2316104@kznvodokanal.ruru, 2316104@kznvpdokanal.ru, 2316104@vodokanal.ru, 2316110@kznvodokanal.ru</t>
  </si>
  <si>
    <t>kznvodokanal.ru</t>
  </si>
  <si>
    <t>Татарстан Респ, МУНИЦИПАЛЬНОЕ ОБРАЗОВАНИЕ ГОРОД КАЗАНЬ (361 036 847 руб., 100%)</t>
  </si>
  <si>
    <t>3710180@mail.ru, 3715095@mail.ru, aakobyasheva@vodokanal.ekb.ru, aakobyasheva@vodokanalekb.ru, aakobyashv@vodokanal.ru, aggalimova@vodokanalekb.ru, avmezenceva@vodokanalekb.ru, aypalesheva@vodokanalekb.ru, bochegov.aleksandr@itmh.ru, dskargapolcev@vodokanalekb.ru</t>
  </si>
  <si>
    <t>vodokanalekb.ru</t>
  </si>
  <si>
    <t>Свердловская обл, МУНИЦИПАЛЬНОЕ ОБРАЗОВАНИЕ "ГОРОД ЕКАТЕРИНБУРГ" (1 864 190 620.27 руб., 100%)</t>
  </si>
  <si>
    <t>Распределение воды для питьевых и промышленных нужд</t>
  </si>
  <si>
    <t>abonent@svdk.su, info@svdk.su, m_borisova@svdk.su, mail.@svdk.su, mail23@svdk.ru, mail@sdvk.su, mail@svdk.ru, mail@svdk.su, mail@sydk.sn, mail@sydk.su</t>
  </si>
  <si>
    <t>mup-vodokanal-sochi.ru</t>
  </si>
  <si>
    <t>Краснодарский край, АДМИНИСТРАЦИЯ ГОРОДА СОЧИ - ИСПОЛНИТЕЛЬНО-РАСПОРЯДИТЕЛЬНЫЙ ОРГАН МУНИЦИПАЛЬНОГО ОБРАЗОВАНИЯ ГОРОД-КУРОРТ СОЧИ (161 793 000 руб., 100%)</t>
  </si>
  <si>
    <t>328073@mail.ru, a.kim@vodocanal.org, a.kim@vodokanal.org, a.pehtereva@vodocanai.org, a.pehtereva@vodocanal.org, a.pehtereva@vodokanal.org, a.proshhaeva@vodocanal.org, aup@vodicanal.org, aup@vodocana.org, aup@vodocanal.mail.ru</t>
  </si>
  <si>
    <t>www.vodocanal.org</t>
  </si>
  <si>
    <t>Хабаровский край, ГОРОДСКОЙ ОКРУГ "ГОРОД ХАБАРОВСК" (9 422 484 084.56 руб., 100%)</t>
  </si>
  <si>
    <t>doliner1303@mail.ru, info@vodokomfort.ru, vav@vodokomfort.ru, vodokomf@mail.ru</t>
  </si>
  <si>
    <t>www.vodokomfort.ru</t>
  </si>
  <si>
    <t>Долинер Леонид Эллевич (10 000 руб., 100%)</t>
  </si>
  <si>
    <t>165 660 000</t>
  </si>
  <si>
    <t>ekazakova@vodohod.ru, infovodohod@mail.ru, peo@vodohod.ru, rishat@vodohod.ru</t>
  </si>
  <si>
    <t>poreke.ru, www.vodohod.com</t>
  </si>
  <si>
    <t>СЕРВИС ДЕВЕЛОПМЕНТ, АО (1 431 726 000 руб., 100%)</t>
  </si>
  <si>
    <t>retail@oaovoentorg.ru, shop@armrus.ru, sos@oaovoentorg.ru</t>
  </si>
  <si>
    <t>armrus.ru</t>
  </si>
  <si>
    <t>ВОЕНТОРГ-МОСКВА, АО (105 771 074.3723 руб., 74.90%)
ВОЕНТОРГ, АО (35 445 313.3077 руб., 25.10%)</t>
  </si>
  <si>
    <t>7703vozdvizhenie@mail.ru, info@vzdv.ru, tender@spektrit.ru</t>
  </si>
  <si>
    <t>Дзагоев Владимир Русланович (100 000 руб., 100%)</t>
  </si>
  <si>
    <t>18 420 000</t>
  </si>
  <si>
    <t>emdin@pulkovo-airport.com, g.pavlova@pulkovo-airport.com, office@airport.com, office@pulkovo-airport.com, s.annenkova@pulkovo-airport.com</t>
  </si>
  <si>
    <t>www.pulkovoairport.ru</t>
  </si>
  <si>
    <t>THALITA TRADING LIMITED (1 537 770 000 руб., 100%)</t>
  </si>
  <si>
    <t>3 692 830 000</t>
  </si>
  <si>
    <t>a.chalbanov@mail.ru, adm@udmtv.ru, akuznetsov@vgtrk.com, alextv@rtvtomsk.ru, altai@gtrk.ru, ashafinsky@gtrf.ru, bdoiinskiy@vgtrk.com, bdolinskiy@vgtrk.com, bdolinsky@vgtrk.com, belyaeva@chita.rfn</t>
  </si>
  <si>
    <t>gtrk.tv, region-tyumen.ru, ugoria.tv, www.tvtomsk.ru, www.vgtrk.com</t>
  </si>
  <si>
    <t>Российская Федерация (4 545 244 180.96 руб., 100%)</t>
  </si>
  <si>
    <t>a.garyeva@moskvarium.ru, a.iorsh@moskvarium.ru, client@moskvarium.ru, info@moskvarium.ru, n.osipov@moskvarium.ru, s.bayramov@moskvarium.ru</t>
  </si>
  <si>
    <t>moskvarium.ru</t>
  </si>
  <si>
    <t>ЗАКРЫТЫЙ ПАЕВОЙ ИНВЕСТИЦИОННЫЙ КОМБИНИРОВАННЫЙ ФОНД "ИРИДИЙ" (2 500 300 000 руб., 100%)</t>
  </si>
  <si>
    <t>Деятельность зоопарков</t>
  </si>
  <si>
    <t>Жуков Александр Борисович (179 491 680 руб., 90%)
Лола Роман Юрьевич (19 943 520 руб., 10%)</t>
  </si>
  <si>
    <t>Производство мороженого</t>
  </si>
  <si>
    <t>irina.kochkareva@voxys.ru, natalya.krasheninina@beeper.ru</t>
  </si>
  <si>
    <t>beeper.ru</t>
  </si>
  <si>
    <t>КОМПАНИЯ "ТАХИОН КОММ ЛТД" (139 948 481 руб., 100%)</t>
  </si>
  <si>
    <t>Деятельность центров обработки телефонных вызовов</t>
  </si>
  <si>
    <t>277 670 000</t>
  </si>
  <si>
    <t>Рыжакова Галина Васильевна (10 000 руб., 100%)</t>
  </si>
  <si>
    <t>volga-advisors.ru</t>
  </si>
  <si>
    <t>Тимченко Геннадий Николаевич (64 999 810 000 руб., 99.99%)
ВОЛГА ГРУП ХОЛДИНГ, ООО (190 000 руб., 0.00030%)</t>
  </si>
  <si>
    <t>3 445 270 000</t>
  </si>
  <si>
    <t>kovalenko@hcvolga.com, secretar@volgacement.ru</t>
  </si>
  <si>
    <t>hcvolga.com</t>
  </si>
  <si>
    <t>Производство цемента, извести и гипса</t>
  </si>
  <si>
    <t>104 010 000</t>
  </si>
  <si>
    <t>info@volga-paper.ru, shutak@volga-paper.ru</t>
  </si>
  <si>
    <t>www.volga-paper.ru</t>
  </si>
  <si>
    <t>2 439 820 000</t>
  </si>
  <si>
    <t>Черкасин Андрей Валерьевич (2 878 787.88 руб., 100%)</t>
  </si>
  <si>
    <t>418 220 000</t>
  </si>
  <si>
    <t>a.tsarev@volgaflot.com, chartering@volgaflot.com, e.volkov@volgaflot.com, j.borisova@volgaflot.com, office@volgaflot.com, vflot@volgaship.com</t>
  </si>
  <si>
    <t>www.volgaflot.com</t>
  </si>
  <si>
    <t>buh-volgabusvlz@mail.ru, info@volgabus.ru</t>
  </si>
  <si>
    <t>d.kuzmishchev@bakulingroup.ru</t>
  </si>
  <si>
    <t>volgabus.ru</t>
  </si>
  <si>
    <t>ФК РАЗВИТИЕ, ООО (8 179 610 руб., 81.80%)
ВБГ, ООО (1 820 390 руб., 18.20%)</t>
  </si>
  <si>
    <t>info@volgadorstroi.ru, ok.volgador@gmail.com, ok@volgadorstroi.ru, volgador@mail.ru, volgodor@mail.ru</t>
  </si>
  <si>
    <t>volgadorstroi.ru, wwww.volgadorstroi</t>
  </si>
  <si>
    <t>Гранфельд Игорь Юрьевич (60 606 руб., 100%)</t>
  </si>
  <si>
    <t>319 230 000</t>
  </si>
  <si>
    <t>volgalon.ru</t>
  </si>
  <si>
    <t>КУЙБЫШЕВАЗОТ, ПАО (7 000 000 руб., 100%)</t>
  </si>
  <si>
    <t>269 550 000</t>
  </si>
  <si>
    <t>Бузин Виктор Владимирович (10 000 руб., 100%)</t>
  </si>
  <si>
    <t>1 470 000</t>
  </si>
  <si>
    <t>info@gtoil.ru, vr@volgaresurs.ru</t>
  </si>
  <si>
    <t>www.volgaresurs.ru</t>
  </si>
  <si>
    <t>Фёдоров Юрий Борисович (2 000 000 руб., 100%)</t>
  </si>
  <si>
    <t>30 200 000</t>
  </si>
  <si>
    <t>specta@specta.com, volgastrap@volgastrap.com</t>
  </si>
  <si>
    <t>https://www.specta.ru/, www.specta.com</t>
  </si>
  <si>
    <t>СПЕКТА ГРУП АГ (177 195 221.91 руб., 100%)</t>
  </si>
  <si>
    <t>Производство холоднотянутого штрипса</t>
  </si>
  <si>
    <t>46 280 000</t>
  </si>
  <si>
    <t>timurkompani@inbox.ru</t>
  </si>
  <si>
    <t>Чилташ Мухаммет Чагры (10 000 руб., 100%)</t>
  </si>
  <si>
    <t>79 150 000</t>
  </si>
  <si>
    <t>02@sud.kreml.nnov.ru, a.chernov@avt.admgor.nnov.ru, adiyatullinara@volgaenergo.ru, aovolgaenergosbit@yandex.ru, artschool14@efndex.ru, barinova@mail.ru, barinovanb@volgaenergo.ru, barinovanb@volgoenergo.ru, baskakovang@volgaenergo.ru, bolgoenergo@mail.ru</t>
  </si>
  <si>
    <t>228 860 000</t>
  </si>
  <si>
    <t>info@volgogaz.ru, volgogaz@mts-nn.ru</t>
  </si>
  <si>
    <t>www.volgogaz.ru</t>
  </si>
  <si>
    <t>agrosnab@vlink.ru, elsnab14@yandex.ru, gr-kanaev@yandex.ru, volgogradagrosnab@gmail.com</t>
  </si>
  <si>
    <t>volgogradagrosnab.ru</t>
  </si>
  <si>
    <t>Беляев Иван Александрович (5 500 руб., 55%)
Азаров Сергей Васильевич (4 500 руб., 45%)</t>
  </si>
  <si>
    <t>141 780 000</t>
  </si>
  <si>
    <t>19post@energosale.ru, 262626@mail.ru, ___@yandex.ru, abramovev@energosale.ru, afonkina_nv@energosale.ru, alifanova_zm@energosale.ru, aynub1@yandex.ru, breder_aa@energosale.ru, brikalin@mail.ru, cadik_rucheek@mail.ru</t>
  </si>
  <si>
    <t>ГРАЙС, ООО (23.40%)
ВОЛГА-М, ООО (22.67%)
SUAREZ LIMITED (22.10%)</t>
  </si>
  <si>
    <t>a9608888566@yandex.ru, info@volteh.ru, maksimov_a@volteh.ru, vtps@rambler.ru, zil34@yandex.ru</t>
  </si>
  <si>
    <t>volteh.ru</t>
  </si>
  <si>
    <t>Кривонос Антон Валерьевич (41 000 руб., 100%)</t>
  </si>
  <si>
    <t>110 390 000</t>
  </si>
  <si>
    <t>gosuslugi@inchcape.ru</t>
  </si>
  <si>
    <t>https://inchcape.ru</t>
  </si>
  <si>
    <t>БОРИСХОФ ХОЛДИНГ, ООО (543 840 280 руб., 99.96%)
ММ ЭНД БХ-1, ООО (53 860 руб., 0.0099%)
ММ ЭНД БХ-2, ООО (53 860 руб., 0.0099%)
ММ ЭНД БХ-3, ООО (36 000 руб., 0.0066%)
ММ ЭНД БХ-4, ООО (36 000 руб., 0.0066%)</t>
  </si>
  <si>
    <t>2 675 540 000</t>
  </si>
  <si>
    <t>aporochenko@volgofarm.ru, auction@vilgafarm.ru, auction@volgafarm.ru, auction@volgafin.ru, auktion@volgofarm.ru, chizhova@volgofarm.ru, goszakupki3@volgofarm.ru, goszakupki@volgofarm.ru, ichenskaya@volgafarm.ru, logistika@volgafarm.ru</t>
  </si>
  <si>
    <t>www.volgofarm.ru, волгофарм.рф</t>
  </si>
  <si>
    <t>ОБЛКОМИМУЩЕСТВО (72 617 083.99 руб., 100%)</t>
  </si>
  <si>
    <t>info@oao-volganin.ru, kolobkov@oao-volganin.ru</t>
  </si>
  <si>
    <t>www.volganin.pochta.ru</t>
  </si>
  <si>
    <t>749 540 000</t>
  </si>
  <si>
    <t>28776@zos-v.ru, ag_volj@volganet.ru, hello@new-website.ru, ra_sredn@volganet.ru</t>
  </si>
  <si>
    <t>www.zos-v.ru</t>
  </si>
  <si>
    <t>Производство прочих основных органических химических веществ</t>
  </si>
  <si>
    <t>1 370 960 000</t>
  </si>
  <si>
    <t>office@volma.ru</t>
  </si>
  <si>
    <t>www.volma.ru</t>
  </si>
  <si>
    <t>ГК ВОЛМА, ООО (154 568 360.92 руб., 99.90%)
ТРАНЗИТКОМ, ООО (154 723.08 руб., 0.10%)</t>
  </si>
  <si>
    <t>284 870 000</t>
  </si>
  <si>
    <t>vsk-ilina@volma.ru</t>
  </si>
  <si>
    <t>ГК ВОЛМА, ООО (249 750 руб., 99.90%)
ТРАНЗИТКОМ, ООО (250 руб., 0.10%)</t>
  </si>
  <si>
    <t>387 010 000</t>
  </si>
  <si>
    <t>info@volovo-broyler.ru, umidov@volovo-broyler.ru</t>
  </si>
  <si>
    <t>www.volovo-broyler.ru</t>
  </si>
  <si>
    <t>КОМПАНИЯ "РИЛВЕС ЛИМИТЕД" (916 657 000 руб., 100%)</t>
  </si>
  <si>
    <t>Производство и консервирование мяса птицы</t>
  </si>
  <si>
    <t>asu@vgts35.ru, fino@vgts35.ru, ifo@vgts35.ru, inf0@vgts35.ru, info@vgs35.ru, info@vgst35.ru, info@vgt35.ru, info@vgts.35.ru, info@vgts3.ru, info@voiogdagorteploset.ru</t>
  </si>
  <si>
    <t>28 750 000</t>
  </si>
  <si>
    <t>ant_sckola@mail.ru, cherets@mail.ru, ets07@mail.ru, ets12@yandex.ru, ets@ets.ru, ets@yandex.ru, ets_xarovsk@inbox.ru, gpvest@mail.ru, gpvets@mal.ru, hgyuty@bk.ru</t>
  </si>
  <si>
    <t>vologda.energy</t>
  </si>
  <si>
    <t>inbox@vologdascan.ru, marina.shcherbakova@vologdascan.ru</t>
  </si>
  <si>
    <t>vologdascan.ru</t>
  </si>
  <si>
    <t>Сазанов Анатолий Николаевич (20 000 000 руб., 100%)</t>
  </si>
  <si>
    <t>Торговля розничная прочими автотранспортными средствами прочая, не включенная в другие группировки</t>
  </si>
  <si>
    <t>11 740 000</t>
  </si>
  <si>
    <t>babaevo@volavtodor.ru, djfkshfh@mail.ru, grbuh@volavtodor.ru, info@volavtodor.tu, info@volvtodor.ru, ksl@volavtodor.ru, nnkolpakov@mail.ru, qjdeui@mail.ru, ren@volavtodor.ru, sokol@volavtodor.ru</t>
  </si>
  <si>
    <t>www.volavtodor.ru</t>
  </si>
  <si>
    <t>МОСТЫ И ДОРОГИ, ООО (37.82%)
ТРАНСЛИЗИНГ, АО (24.50%)
Цыпленков Юрий Евгеньевич (1.81%)
Колпаков Николай Николаевич (0.82%)
Двойнишников Сергей Иринеевич (0.44%)
Басков Александр Викторович (0.42%)
Хорошавин Александр Васильевич (0.28%)
Сорокин Александр Николаевич (0.21%)</t>
  </si>
  <si>
    <t>248 440 000</t>
  </si>
  <si>
    <t>kuznetsov_as@voltyre.ru, voltyre@titancis.ru, voltyre@voltyre.srsh.ru</t>
  </si>
  <si>
    <t>216 460 000</t>
  </si>
  <si>
    <t>sobiv@volhovez.natm.ru</t>
  </si>
  <si>
    <t>www.volhovec.ru</t>
  </si>
  <si>
    <t>Прокофьев Игорь Алексеевич (79 112 руб., 62%)
Алексеев Алексей Алексеевич (32 538 руб., 25.50%)
Санин Алексей Львович (15 950 руб., 12.50%)</t>
  </si>
  <si>
    <t>Производство прочих деревянных строительных конструкций и столярных изделий</t>
  </si>
  <si>
    <t>113 860 000</t>
  </si>
  <si>
    <t>volvosupport.ru</t>
  </si>
  <si>
    <t>ВОЛЬВО КАР ЭНЭССИ ХОЛДИНГ АБ (10 000 000 руб., 100%)</t>
  </si>
  <si>
    <t>2 838 450 000</t>
  </si>
  <si>
    <t>a.motorin@vpes.ru, e.ignatenko@vpes.ru, e.tarasenko@vpes.ru, m.khizhnyak@vpes.ru, otp@vpes.ru, press@vpes.ru, secretar@vpes.ru, sekretar@vpes.ru, v.dyatlova@vpes.ru, y.artemyeva@vpes.ru</t>
  </si>
  <si>
    <t>vpes.ru</t>
  </si>
  <si>
    <t>Приморский край, ВЛАДИВОСТОКСКИЙ ГОРОДСКОЙ ОКРУГ (n/a)</t>
  </si>
  <si>
    <t>as.dmitrieva@vorkuta.severstalgroup.com, ba.kopylov@severstal.com, general@vorkuta.severstalgroup.com, ld.nizamova@vorkuta.severstalgroup.com</t>
  </si>
  <si>
    <t>www.vorkutaugol.ru</t>
  </si>
  <si>
    <t>РУССКАЯ ЭНЕРГИЯ, ООО ГРУППА (n/a)</t>
  </si>
  <si>
    <t>Добыча коксующегося угля подземным способом</t>
  </si>
  <si>
    <t>9 184 030 000</t>
  </si>
  <si>
    <t>89155823000@mail.ru, buh_complect@vapk.ru, econom@vapk.ru, mail@vapk.ru, opt@vapk.ru, popovs@vk.vapk.ru</t>
  </si>
  <si>
    <t>agrovk.ru, www.vapk.ru</t>
  </si>
  <si>
    <t>Ермашов Александр Васильевич (5 013 230 руб., 50%)
Лунина Светлана Александровна (5 013 230 руб., 50%)</t>
  </si>
  <si>
    <t>elvi28@mail.ru</t>
  </si>
  <si>
    <t>Исаков Вадим Валерьевич (10 000 руб., 100%)</t>
  </si>
  <si>
    <t>Торговля оптовая пищевыми маслами и жирами</t>
  </si>
  <si>
    <t>83 390 000</t>
  </si>
  <si>
    <t>office@kauchuk.vrn.ru, office@vsk.sibur.ru, sintez@mail.ru</t>
  </si>
  <si>
    <t>Производство синтетического каучука в первичных формах</t>
  </si>
  <si>
    <t>galtseva@konfet.vrn.ru, novikova@konfet.vrn.ru, terehina@konfet.vrn.ru, vkfall@konfet.vrn.ru</t>
  </si>
  <si>
    <t>www.e-disclousure.ru/portal/company.aspx?id=3315</t>
  </si>
  <si>
    <t>ХОЛДИНГОВАЯ КОМПАНИЯ ОБЪЕДИНЕННЫЕ КОНДИТЕРЫ, АО (74.19%)
ПРОД-ИНВЕСТ, АО (20.06%)</t>
  </si>
  <si>
    <t>Производство шоколада и сахаристых кондитерских изделий</t>
  </si>
  <si>
    <t>www.new.siemens.com</t>
  </si>
  <si>
    <t>RAO Intertech B.V. (170 549 580 руб., 100%)</t>
  </si>
  <si>
    <t>Производство электродвигателей, генераторов, трансформаторов и распределительных устройств, а также контрольно-измерительной аппаратуры</t>
  </si>
  <si>
    <t>gb@vchamp.ru</t>
  </si>
  <si>
    <t>vchamp.ru</t>
  </si>
  <si>
    <t>АРТЕНЦ, ООО (9 000 руб., 90%)
Зубков Игорь Юрьевич (500 руб., 5%)
Гаспарян Ваграм Суренович (300 руб., 3%)
Бабоян Арарат Хачатурович (100 руб., 1%)
Сурмалян Мамикон Арутюнович (100 руб., 1%)</t>
  </si>
  <si>
    <t>Выращивание грибов и трюфелей</t>
  </si>
  <si>
    <t>mail@molvest.ru, market@delva.ru, moskow@delva.ru, ponomarev@molvest.ru</t>
  </si>
  <si>
    <t>www.delva.ru, www.molvest.ru</t>
  </si>
  <si>
    <t>МОЛИНВЕСТ, ЗАО ЛК (87.79%)
МОЛВЕСТ, АО (5.17%)
ПАРТНЕР-МК, ООО (3.19%)</t>
  </si>
  <si>
    <t>berdnikova@stalmost.r, office@stalmost.ru</t>
  </si>
  <si>
    <t>stalmost.ru</t>
  </si>
  <si>
    <t>i.kulkova@interteks.ru</t>
  </si>
  <si>
    <t>www.volokno.ru</t>
  </si>
  <si>
    <t>Производство химических волокон</t>
  </si>
  <si>
    <t>АБ ИНБЕВ ЭФЕС, АО (1 429 488 000 руб., 100%)</t>
  </si>
  <si>
    <t>953 300 000</t>
  </si>
  <si>
    <t>artelvostok.ru</t>
  </si>
  <si>
    <t>Андреев Николай Иванович (1 000 руб., 0.90%)
Андреев Юрий Кириллович (1 000 руб., 0.90%)
Асыркин Алексей Дмитриевич (1 000 руб., 0.90%)
Афонин Леонид Иванович (1 000 руб., 0.90%)
Бадиков Фларит Халитович (1 000 руб., 0.90%)
Барань Сергей Павлович (1 000 руб., 0.90%)
Батин Александр Васильевич (1 000 руб., 0.90%)
Бахметьев Владимир Гаврилович (1 000 руб., 0.90%)
Болонин Роман Григорьевич (1 000 руб., 0.90%)
Бречко Александр Григорьевич (1 000 руб., 0.90%)
...*</t>
  </si>
  <si>
    <t>322 370 000</t>
  </si>
  <si>
    <t>azs.vostok2016@mail.ru, azsneo2014@mail.ru</t>
  </si>
  <si>
    <t>Корнюхин Игорь Владимирович (3 000 руб., 30%)
Мехтиев Игорь Шабанович (3 000 руб., 30%)
Полетаев Вячеслав Витальевич (3 000 руб., 30%)
Корчагин Павел Александрович (1 000 руб., 10%)</t>
  </si>
  <si>
    <t>54 320 000</t>
  </si>
  <si>
    <t>tuvavostok@mail.ru, vostosk@mail.ru, vosyok@mail.ru</t>
  </si>
  <si>
    <t>tovostock.ru</t>
  </si>
  <si>
    <t>Уюсов Сергей Васильевич (20 000 руб., 100%)</t>
  </si>
  <si>
    <t>foodservice@ews.ru</t>
  </si>
  <si>
    <t>ews.ru</t>
  </si>
  <si>
    <t>ИСТ-ВЕСТ, ООО (15 000 000 руб., 100%)</t>
  </si>
  <si>
    <t>161 060 000</t>
  </si>
  <si>
    <t>arn@vostok-leasing.ru, dinabmw@yandex.ru, info@v-leasing.ru, mm@v-leasing.ru, sm@v-leasing.ru</t>
  </si>
  <si>
    <t>v-leasing.ru</t>
  </si>
  <si>
    <t>Тахаутдинов Рустем Шафагатович (70 000 000 руб., 100%)</t>
  </si>
  <si>
    <t>418 820 000</t>
  </si>
  <si>
    <t>grebks@yandex.ru, murashov.ru@mail.ru, romanvostokresurs@mail.ru</t>
  </si>
  <si>
    <t>www.vostok18.ru</t>
  </si>
  <si>
    <t>Кочуров Олег Георгиевич (7 800 руб., 78%)
Ворошилов Александр Владимирович (1 200 руб., 12%)
Кочуров Виталий Георгиевич (1 000 руб., 10%)</t>
  </si>
  <si>
    <t>911 930 000</t>
  </si>
  <si>
    <t>vostok-c@list.ru</t>
  </si>
  <si>
    <t>Новосельский Олег Вячеславович (10 000 руб., 100%)</t>
  </si>
  <si>
    <t>103 110 000</t>
  </si>
  <si>
    <t>Крахмазова Нурвард Михайловна (10 000 руб., 100%)</t>
  </si>
  <si>
    <t>68 220 000</t>
  </si>
  <si>
    <t>bike2003@yandex.ru</t>
  </si>
  <si>
    <t>РУССКАЯ РЫБОПРОМЫШЛЕННАЯ КОМПАНИЯ, ООО (165 048 265.3 руб., 100%)</t>
  </si>
  <si>
    <t>n.yahunkina@interteks.ru, u.cheraeva@interteks.ru</t>
  </si>
  <si>
    <t>Торговля оптовая текстильными волокнами</t>
  </si>
  <si>
    <t>166 410 000</t>
  </si>
  <si>
    <t>УРСУС ИНВЕСТ, АО (n/a)</t>
  </si>
  <si>
    <t>50 000 000</t>
  </si>
  <si>
    <t>УРСУС ИНВЕСТ, АО (200 000 руб., 100%)</t>
  </si>
  <si>
    <t>142 800 000</t>
  </si>
  <si>
    <t>УРСУС ИНВЕСТ, АО (1 000 000 руб., 100%)</t>
  </si>
  <si>
    <t>105 900 000</t>
  </si>
  <si>
    <t>info@vost-tech.ru, kremenshikova@vost-tech.ru</t>
  </si>
  <si>
    <t>vost-tech.ru</t>
  </si>
  <si>
    <t>ВОСТОЧНАЯ ТЕХНИКА ЮКЕЙ ЛИМИТЕД (2 252 200 000 руб., 100%)</t>
  </si>
  <si>
    <t>2 689 400 000</t>
  </si>
  <si>
    <t>braun@portvut.ru, vut@portvut.ru</t>
  </si>
  <si>
    <t>portvut.ru</t>
  </si>
  <si>
    <t>ТРАНСХИМЭКСПОРТ, ООО (29 639 679.55 руб., 91.92%)
Воротников Алексей Иванович (2 603 951.51 руб., 8.08%)</t>
  </si>
  <si>
    <t>1 926 420 000</t>
  </si>
  <si>
    <t>tulaberniki@mail.ru, vostochnye@berniki.ru, vostok_berniki@mail.ru</t>
  </si>
  <si>
    <t>www.berniki.ru</t>
  </si>
  <si>
    <t>ХИМПРОЕКТ, АО (24 016 282.02 руб., 100%)</t>
  </si>
  <si>
    <t>Добыча и первичная обработка известняка и гипсового камня</t>
  </si>
  <si>
    <t>evgeniy.korotkikh@eastpole.ru, info@eastpole.ru, nadezhda.shkaeva@eastpole.ru</t>
  </si>
  <si>
    <t>http://eastpole.ru/</t>
  </si>
  <si>
    <t>Киселев Сергей Николаевич (5 000 000 руб., 50%)
Усатый Алексей Леонович (5 000 000 руб., 50%)</t>
  </si>
  <si>
    <t>577 660 000</t>
  </si>
  <si>
    <t>bcb@vp.vpnet.ru, ksf@vp.vpnet.ru, ntn@vostport.ru, shepalovo@vp.vpnet.ru, vp@vpnet.ru, zakupki@vp.vpnet.ru</t>
  </si>
  <si>
    <t>2 977 350 000</t>
  </si>
  <si>
    <t>e.savenko@express-east.ru, i.shevtsova@swiftrus.ru</t>
  </si>
  <si>
    <t>ВЭЙЛИНК, ООО (10 000 руб., 100%)</t>
  </si>
  <si>
    <t>10 360 000</t>
  </si>
  <si>
    <t>berdov@komos.ru, office@vostok, panteleevalv@vostoc.ru, rybnikova@vostoc.ru, vostochny@udmnet.ru</t>
  </si>
  <si>
    <t>ХАЙПЕРФУДС ХОЛДИНГ, ООО (645 300 000 руб., 100%)</t>
  </si>
  <si>
    <t>vostryakovo-2@yandex.ru</t>
  </si>
  <si>
    <t>vostryakovo-2.ru</t>
  </si>
  <si>
    <t>Рассадина Марина Александровна (2 165 284 руб., 40%)
Ларина Татьяна Алексеевна (1 082 641.8 руб., 20%)
Акопян Альберт Габриелович (1 082 641.6 руб., 20%)
Воробьев Дмитрий Сергеевич (1 082 641.6 руб., 20%)</t>
  </si>
  <si>
    <t>51 590 000</t>
  </si>
  <si>
    <t>e.kustaeva@tt-voskhod.ru, n.savicheva@tt-voskhod.ru, office@tt-voskhod.ru, voshod2@voskhod.spb.ru</t>
  </si>
  <si>
    <t>www.tt-voskhod.ru, www.tt-voskhod.spb.ru</t>
  </si>
  <si>
    <t>Иванов Виктор Константинович (15 624 000 руб., 33.33%)
Касаткина Наталья Васильевна (15 624 000 руб., 33.33%)
Толстых Лариса Михайловна (15 624 000 руб., 33.33%)</t>
  </si>
  <si>
    <t>167 010 000</t>
  </si>
  <si>
    <t>Мусаев Рамин Айдын Оглы (11 000 руб., 100%)</t>
  </si>
  <si>
    <t>121 930 000</t>
  </si>
  <si>
    <t>КОМПАНИЯ MEGAPOLIS GROUP AG (749 990 000 руб., 99.99%)
РСХБ-ФИНАНС, ООО (7 500 руб., 0.0010%)
ГРУППА МЕГАПОЛИС, ООО (2 500 руб., 0.00030%)</t>
  </si>
  <si>
    <t>Производство изделий из пластмасс</t>
  </si>
  <si>
    <t>57 470 000</t>
  </si>
  <si>
    <t>golovanov@vld35.ru, info@vld35.ru, pugacheva@vld35.ru</t>
  </si>
  <si>
    <t>vld35.ru</t>
  </si>
  <si>
    <t>УК ВЛП, ООО (50 000 руб., 50%)
ЧФМК, АО (50 000 руб., 50%)</t>
  </si>
  <si>
    <t>Производство шпона, фанеры, деревянных плит и панелей</t>
  </si>
  <si>
    <t>1 003 870 000</t>
  </si>
  <si>
    <t>a.bykadorova@mmes.voel.ru, a.moldovan@zavmes.voel.ru, bykadorova@mmes.voel.ru, d.doncov@mmes.voel.ru, e.lyubina@vmes.voel.ru, e.renskova@sevmes.voel.ru, e.sherchkova@mmes.voel.ru, e.suleymanova@voel.ru, e.svechkova@mmes.voel.ru, e.sver@yandex.ru</t>
  </si>
  <si>
    <t>www.voel.ru</t>
  </si>
  <si>
    <t>vsc@vscport.ru</t>
  </si>
  <si>
    <t>УК ГЛОБАЛ ПОРТС, ООО (397 992 000 руб., 100%)</t>
  </si>
  <si>
    <t>info@vpk-oil.ru, rezume@vpk-oil.ru</t>
  </si>
  <si>
    <t>www.vpk-oil.ru</t>
  </si>
  <si>
    <t>ХК ЭВОЛЮЦИЯ, АО (273 580 865 руб., 100%)</t>
  </si>
  <si>
    <t>vpostal.ru</t>
  </si>
  <si>
    <t>"КОЛТОРЕНА ИНВЕСТМЕНТС ЛТД." (5 056 000 руб., 100%)</t>
  </si>
  <si>
    <t>uchet@tkvprok.ru</t>
  </si>
  <si>
    <t>Видякин Алексей Николаевич (95 000 руб., 47.50%)
Калачев Дмитрий Валентинович (95 000 руб., 47.50%)
Романовская Рамиля Фаргатовна (10 000 руб., 5%)</t>
  </si>
  <si>
    <t>22 160 000</t>
  </si>
  <si>
    <t>ЭКТО, ООО (1 228 387 149 руб., 99.99%)
Санин Константин Сергеевич (122 851 руб., 0.010%)</t>
  </si>
  <si>
    <t>1 131 800 000</t>
  </si>
  <si>
    <t>info@vptn.ru</t>
  </si>
  <si>
    <t>www.vptn.ru</t>
  </si>
  <si>
    <t>Гусева Наталья Николаевна (305 000 руб., 50%)
Ильясов Альберт Александрович (305 000 руб., 50%)</t>
  </si>
  <si>
    <t>21 910 000</t>
  </si>
  <si>
    <t>buh@svrz.ru, iku@col.ru, info@svrz.ru, ko@svrz.ru</t>
  </si>
  <si>
    <t>www.svrz.ru</t>
  </si>
  <si>
    <t>АБСОЛЮТ, АО (50%)
РЕЙЛ СЕРВИС, ООО (50%)</t>
  </si>
  <si>
    <t>179 920 000</t>
  </si>
  <si>
    <t>d.boldyrev@vrc.su</t>
  </si>
  <si>
    <t>vrc.su</t>
  </si>
  <si>
    <t>РАЙТХОЛМ ЭКСПЕРТС ЛТД (9 900 руб., 99%)
Болдырев Дмитрий Сергеевич (100 руб., 1%)</t>
  </si>
  <si>
    <t>289 910 000</t>
  </si>
  <si>
    <t>aizm_sokolovaes@1vrk.ru, alzm_sokolovaes@1vrk.ru, alzm_zakirovaon@vrk.ru, antropovmn@1vrk.ru, belyugin.wiola@ya.ru, bochenkovaad@1vrk.ru, info@1vrk.ru, lydmilka4832@yandex.ru, ovd_nud@mail.ru</t>
  </si>
  <si>
    <t>1vrk.ru</t>
  </si>
  <si>
    <t>info.kns@nvrk.ru, info_konocha@vrk2.ru, info_konosha@2vrk.ru, nezhenecto@2vrk.ru, sec-vrk2@2vrk.ru, toncevma@2vrk.ru, toncevma@2vrk.rzd</t>
  </si>
  <si>
    <t>227 810 000</t>
  </si>
  <si>
    <t>astafeva@vwrz.ru, byrka@vwrz.ru, info@vagonremmash.ru, market@vagonremmash.ru, ua.averyanova@vagonremmash.ru, vrm@css-rzd.ru, vvrz@vwrz.ru</t>
  </si>
  <si>
    <t>www.vagonremmash.ru</t>
  </si>
  <si>
    <t>Производство железнодорожных локомотивов и подвижного состава</t>
  </si>
  <si>
    <t>kovalenko_ea@sgmk-group.ru</t>
  </si>
  <si>
    <t>vrp-ural.ru</t>
  </si>
  <si>
    <t>КОНСАЛТИНГ ГРУПП, ООО (10 000 руб., 100%)</t>
  </si>
  <si>
    <t>83 270 000</t>
  </si>
  <si>
    <t>urist@velmeat.ru</t>
  </si>
  <si>
    <t>Подвальный Владимир Абрамович (881 198 197 руб., 100%)</t>
  </si>
  <si>
    <t>3 504 130 000</t>
  </si>
  <si>
    <t>info@vetros.ru</t>
  </si>
  <si>
    <t>vetros.ru</t>
  </si>
  <si>
    <t>Ануфриев Юрий Анатольевич (17 000 000 руб., 34%)
Михель Ирина Александровна (17 000 000 руб., 34%)
Федоров Алексей Игоревич (16 000 000 руб., 32%)</t>
  </si>
  <si>
    <t>417 160 000</t>
  </si>
  <si>
    <t>info@ao-vsi.com</t>
  </si>
  <si>
    <t>11 150 000</t>
  </si>
  <si>
    <t>belkoff78@mail.ru, delo@mo-vsk.ru, delo@movsk.ru, pastukhov.mn@mo-vsk.ru, rabota@mo-vsk.ru</t>
  </si>
  <si>
    <t>vskmo.ru</t>
  </si>
  <si>
    <t>nardapkina@mail.ru</t>
  </si>
  <si>
    <t>Зиньковский Алексей Александрович (10 000 руб., 100%)</t>
  </si>
  <si>
    <t>88 150 000</t>
  </si>
  <si>
    <t>vsk-r.ru, vsk-trade.ru</t>
  </si>
  <si>
    <t>Макармыжин Михаил Иванович (30 000 руб., 100%)</t>
  </si>
  <si>
    <t>169 850 000</t>
  </si>
  <si>
    <t>erdyneev.nikolay@vsmservice.ru, info@vsmervice.ru, info@vsmservice.ru, mtsit2016@yandex.ru</t>
  </si>
  <si>
    <t>МОСКОВСКИЙ ЛРЗ, АО (10 000 руб., 100%)</t>
  </si>
  <si>
    <t>www.ru.valeoservice.com</t>
  </si>
  <si>
    <t>ВАЛЕО БАЙЕН (1 188 575 073.28 руб., 100%)</t>
  </si>
  <si>
    <t>333 730 000</t>
  </si>
  <si>
    <t>vsproekt1@gmail.com</t>
  </si>
  <si>
    <t>Огурков Андрей Николаевич (51 000 руб., 51%)
Смирнов Андрей Викторович (49 000 руб., 49%)</t>
  </si>
  <si>
    <t>edavedis@yandex.ru, hutova_marina@vtdtrade.ru, mihalchenko.o@vtdtrade.ru, mikalehenko.o@vtdrade.ru, tender@vtdrade.ru, vgsxa@mail.ru, vtd@mail.ru, vtd_trabe@mail.ru, vtd_trade@mail.rui, vtdtest3@yandex.ru</t>
  </si>
  <si>
    <t>Васильев Сергей Викторович (10 000 руб., 100%)</t>
  </si>
  <si>
    <t>43 180 000</t>
  </si>
  <si>
    <t>directorvtl@gmail.com, svetlana.lyanikova@gmail.com</t>
  </si>
  <si>
    <t>daewoonrg.ru, fa-za.ru</t>
  </si>
  <si>
    <t>ПЕРСПЕКТИВА, ООО (900 000 руб., 86.31%)
Крупышев Михаил Анатольевич (100 000 руб., 9.59%)
Кириков Петр Николаевич (21 376.43 руб., 2.05%)
Колесников Евгений Алексеевич (21 376.43 руб., 2.05%)</t>
  </si>
  <si>
    <t>Торговля оптовая осветительным оборудованием</t>
  </si>
  <si>
    <t>538 120 000</t>
  </si>
  <si>
    <t>bplant@icvap.ru, d_sorokin@icvap.ru, info@icvap.ru, info@icvtormet.ru, kulakov_ma@akron-holding.ru, podshivalov_av@akron-holding.ru, streltsov_ov@akron-holding.ru, tender@icvap.ru</t>
  </si>
  <si>
    <t>http://вторалюминпродукт.рф/, www.icvtormet.ru</t>
  </si>
  <si>
    <t>АКРОН ХОЛДИНГ, АО (22 950 000 руб., 51%)
Шаруда Александр Николаевич (19 800 000 руб., 44%)
Веснин Олег Васильевич (2 250 000 руб., 5%)</t>
  </si>
  <si>
    <t>152 470 000</t>
  </si>
  <si>
    <t>vtormet-rf.ru</t>
  </si>
  <si>
    <t>Катермин Андрей Владимирович (12 000 руб., 100%)</t>
  </si>
  <si>
    <t>nauman_gp@altay.sgmk.ru</t>
  </si>
  <si>
    <t>РЕГИОНРЕСУРС, АО (10 000 руб., 100%)</t>
  </si>
  <si>
    <t>84 570 000</t>
  </si>
  <si>
    <t>info@kem.sgmk.ru</t>
  </si>
  <si>
    <t>втормет42.рф</t>
  </si>
  <si>
    <t>ЗАПСИБВТОРМЕТ, АО (10 000 руб., 100%)</t>
  </si>
  <si>
    <t>236 780 000</t>
  </si>
  <si>
    <t>втормет24.рф</t>
  </si>
  <si>
    <t>РЕГИОНРЕСУРС, АО (1 000 000 руб., 100%)</t>
  </si>
  <si>
    <t>574 400 000</t>
  </si>
  <si>
    <t>info@vmb32.ru, vtorchermet.32@yandex.ru</t>
  </si>
  <si>
    <t>Гришкевич Николай Леонидович (10 000 руб., 100%)</t>
  </si>
  <si>
    <t>35 070 000</t>
  </si>
  <si>
    <t>perevalkamonino@yandex.ru</t>
  </si>
  <si>
    <t>Журавлев Виктор Владимирович (300 000 руб., 100%)</t>
  </si>
  <si>
    <t>Обработка отходов и лома драгоценных металлов</t>
  </si>
  <si>
    <t>39 890 000</t>
  </si>
  <si>
    <t>ФНГ 4, ООО (373 300 000 руб., 100%)</t>
  </si>
  <si>
    <t>1 377 230 000</t>
  </si>
  <si>
    <t>СТРИМКОР, МКООО (10 000 руб., 100%)</t>
  </si>
  <si>
    <t>937 060 000</t>
  </si>
  <si>
    <t>info_nimk-volga@sv.mh.ru, mihalev_av@nlmk.com</t>
  </si>
  <si>
    <t>ВТОРЧЕРМЕТ НЛМК, ООО (9 900 руб., 99%)
НЛМК-СОРТ, ООО (100 руб., 1%)</t>
  </si>
  <si>
    <t>infonlmk-siberia@sv.mh.ru, nlmk-siberia@sv.mh.ru</t>
  </si>
  <si>
    <t>ВТОРЧЕРМЕТ НЛМК, ООО (53 040 111.3 руб., 99%)
НЛМК-СОРТ, ООО (535 758.7 руб., 1%)</t>
  </si>
  <si>
    <t>129 390 000</t>
  </si>
  <si>
    <t>koroleva_yv@uvchm.ru, koshkina_sv@nlmk.com, koshkina_sv@nmk.com, koskinasvnlmkcom@mail.ru, uvm@uvchm.ru</t>
  </si>
  <si>
    <t>ВТОРЧЕРМЕТ НЛМК, ООО (439 400 107 руб., 99%)
НЛМК-СОРТ, ООО (4 438 385 руб., 1%)</t>
  </si>
  <si>
    <t>279 780 000</t>
  </si>
  <si>
    <t>ВТОРЧЕРМЕТ НЛМК, ООО (346 500 руб., 99%)
НЛМК-СОРТ, ООО (3 500 руб., 1%)</t>
  </si>
  <si>
    <t>91 550 000</t>
  </si>
  <si>
    <t>maksyutova_tl@uvchm.ru, uvm@uvchm.ru, vb-a-secretar-center@nlmk.com, vchm_nlmk@nlmk.com, vchml@nlmk.com, vy-a-secretar@nlmk.com</t>
  </si>
  <si>
    <t>vtorchermet-nlmk.ru</t>
  </si>
  <si>
    <t>НЛМК, ПАО (1 213 410 000 руб., 100%)</t>
  </si>
  <si>
    <t>440 080 000</t>
  </si>
  <si>
    <t>secretar_lipetsk@uvchm.ru, secretar_lipetsk@vchml.ru, vchml@nlmk.com, vtorchermet@lipetsk.ru, zagotovka@vchml.ru</t>
  </si>
  <si>
    <t>295 090 000</t>
  </si>
  <si>
    <t>www.vt-kazan.ru</t>
  </si>
  <si>
    <t>Сибгатуллин Рафис Мансурович (50 000 руб., 100%)</t>
  </si>
  <si>
    <t>info@wood-s.ru</t>
  </si>
  <si>
    <t>www.w-s.su, www.wood-s.com, www.woodstock.su</t>
  </si>
  <si>
    <t>540 100 000</t>
  </si>
  <si>
    <t>muxaa.88@mail.ru, vudfoks@mail.ru, woodfox@list.ru</t>
  </si>
  <si>
    <t>Короткова Анастасия Александровна (10 000 руб., 100%)</t>
  </si>
  <si>
    <t>Установка дверей (кроме автоматических и вращающихся), окон, дверных и оконных рам из дерева или прочих материалов</t>
  </si>
  <si>
    <t>info@doors33.ru, vfd-nnfino@yandex.ru</t>
  </si>
  <si>
    <t>vfd.ru, www.doors33.ru</t>
  </si>
  <si>
    <t>Балуков Сергей Александрович (60 000 руб., 50%)
Балукова Анна Александровна (60 000 руб., 50%)</t>
  </si>
  <si>
    <t>Производство деревянных строительных конструкций и столярных изделий</t>
  </si>
  <si>
    <t>5 830 000</t>
  </si>
  <si>
    <t>Рыбин Даниил Леонидович (10 000 руб., 100%)</t>
  </si>
  <si>
    <t>104 660 000</t>
  </si>
  <si>
    <t>ermakova_tl@akron-holding.ru</t>
  </si>
  <si>
    <t>vcmural.akron-holding.ru, vcmural.ru</t>
  </si>
  <si>
    <t>Пермяков Илья Сергеевич (10 000 руб., 100%)</t>
  </si>
  <si>
    <t>Деятельность агентов, специализирующихся на оптовой торговле отходами, ломом и материалами для переработки</t>
  </si>
  <si>
    <t>239 350 000</t>
  </si>
  <si>
    <t>prn@vchgroup.ru, stashkevich.art@mail.ru</t>
  </si>
  <si>
    <t>Тарасевич Надежда Николаевна (1 420 000 руб., 100%)</t>
  </si>
  <si>
    <t>Строительство железных дорог и метро</t>
  </si>
  <si>
    <t>36 170 000</t>
  </si>
  <si>
    <t>vubor.ru</t>
  </si>
  <si>
    <t>Писчик Вадим Викторович (7 000 руб., 70%)
Акулов Юрий Михайлович (3 000 руб., 30%)</t>
  </si>
  <si>
    <t>agroteploservis@yandex.ru, info@vyborgec.ru, l.kirpichnikova@vyborgec.ru</t>
  </si>
  <si>
    <t>http://vyborgec.ru, www.vyborgec.com</t>
  </si>
  <si>
    <t>70 190 000</t>
  </si>
  <si>
    <t>88005551010@mail.ru, 88007008000@mail.ru, 88007008061@mail.ru, a1111in@beeline.ru, abon@ttserv.ru, achicheva@beeline.ru, achicheva@tver.beeline.ru, achumin@kng.beeline.ru, akamaeva@ekb.beeline.ru, akruch@nsk.beeline.ru</t>
  </si>
  <si>
    <t>www.beeline.ru</t>
  </si>
  <si>
    <t>VEON Holdings B.V. (99.99%)
VEON Holdings B.V. (0.000010%)</t>
  </si>
  <si>
    <t>Деятельность по предоставлению услуг подвижной связи для целей передачи голоса</t>
  </si>
  <si>
    <t>mail@gvgold.ru</t>
  </si>
  <si>
    <t>www.gvgold.ru</t>
  </si>
  <si>
    <t>Докучаев Сергей Владимирович (20.36%)
Опалева Наталия Владимировна (20.36%)
Тихонов Валериан Анатольевич (20.36%)
СГМ, АО (5.26%)
FAYWELD HOLDINGS LTD (2.95%)</t>
  </si>
  <si>
    <t>473 800 000</t>
  </si>
  <si>
    <t>tender@wayg.ru</t>
  </si>
  <si>
    <t>Павлов Станислав Валерьевич (3 500 000 руб., 100%)</t>
  </si>
  <si>
    <t>66 420 000</t>
  </si>
  <si>
    <t>info@vate-tire.ru</t>
  </si>
  <si>
    <t>Воронов Александр Сергеевич (2 000 000 руб., 100%)</t>
  </si>
  <si>
    <t>18 030 000</t>
  </si>
  <si>
    <t>sharov_ri@interrao.ru</t>
  </si>
  <si>
    <t>204 650 000</t>
  </si>
  <si>
    <t>dudkinam@delo-korm.ru, info@expert-korm.ru, info@kormoteka.ru</t>
  </si>
  <si>
    <t>АГРОСОЮЗ, ООО (1 000 000 руб., 100%)</t>
  </si>
  <si>
    <t>231 950 000</t>
  </si>
  <si>
    <t>glavbuh.rgho@ecopiren.ru</t>
  </si>
  <si>
    <t>РГХО, ООО (10 000 руб., 100%)</t>
  </si>
  <si>
    <t>1 368 480 000</t>
  </si>
  <si>
    <t>dssd@mail.ru, ltg27@yandex.ru, lusdep@mail.ru, ppodu6@mail.ru, pto43@mail.ru, pto43@yandex.ru, pto_43@yandex.ru, uro43@yanex.ru, vatavodor@yandex.ru, vatavtodop@yandex.ru</t>
  </si>
  <si>
    <t>вятавтодор.рф</t>
  </si>
  <si>
    <t>Кировская обл (649 702 750 руб., 100%)</t>
  </si>
  <si>
    <t>chsv.vfk@mail.ru, info@segezha-group.com, zemtsova_ey@segezha-group.com</t>
  </si>
  <si>
    <t>СЕГЕЖА ГРУПП, ПАО (99 418 860 руб., 100%)</t>
  </si>
  <si>
    <t>1 972 690 000</t>
  </si>
  <si>
    <t>gkmmol@mail.ru</t>
  </si>
  <si>
    <t xml:space="preserve"> asanov-k@gaz-is.ru, pereskokova-l@gaz-is.ru, resp@gaz-is.ru, yuryshev-a@gaz-is.ru, znahurenko-j@gaz-is.ru</t>
  </si>
  <si>
    <t>www.gaz-is.ru</t>
  </si>
  <si>
    <t>Пустарнаков Валерий Федорович (200 000 руб., 100%)</t>
  </si>
  <si>
    <t>3 499 300 000</t>
  </si>
  <si>
    <t>Грушин Алексей Аркадьевич (1 004 016.06 руб., 100%)</t>
  </si>
  <si>
    <t>33 700 000</t>
  </si>
  <si>
    <t>gnh@bk.ru, s.trusova@gnh-nur.ru</t>
  </si>
  <si>
    <t>Десятов Константин Александрович (5 000 руб., 50%)
Спирин Николай Иванович (5 000 руб., 50%)</t>
  </si>
  <si>
    <t>Хранение и складирование прочих жидких или газообразных грузов</t>
  </si>
  <si>
    <t>3 180 000</t>
  </si>
  <si>
    <t>3630142@mail.ru, a.maryasova@sibgaz.ru, abukreev78@mail.ru, e.manoilova@sibgaz.ru, e.rak@sibgaz.ru, gazoil-torgi@mail.ru, kem.gazoil@yandex.ru, n.karpus@sibgan.karpusz.ru, p.tolochnaya@sibgaz.ru</t>
  </si>
  <si>
    <t>altaygaz22.ru, eksil.ru, gazoil-opt.ru, uk-gk-gazoil.ru, газойл-опт.рф</t>
  </si>
  <si>
    <t>СОЗВЕЗДИЕ, АО (5 000 руб., 50%)
ЮГСИБ, АО (5 000 руб., 50%)</t>
  </si>
  <si>
    <t>Торговля розничная бытовым жидким котельным топливом, газом в баллонах, углем, древесным топливом, топливным торфом в специализированных магазинах</t>
  </si>
  <si>
    <t>65 330 000</t>
  </si>
  <si>
    <t>kancelarya@gasp.ru, ruk@gasp.ru, ruk@gpi.vsi.ru, tenders@gasp.ru</t>
  </si>
  <si>
    <t>gasp.ru</t>
  </si>
  <si>
    <t>ОРГЭНЕРГОГАЗ, АО (77.88%)
Белый Сергей Николаевич (16.75%)
Подоплелов Алексей Валентинович (0.80%)</t>
  </si>
  <si>
    <t>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t>
  </si>
  <si>
    <t>alsaev.ea@gazavia.gazprom.ru, makhinenko.ap@gazavia.gazprom.ru, ovcharenko.as@gazavia.gazprom.ru, tender@gazavia.gazprom.ru</t>
  </si>
  <si>
    <t>www.gazpromavia.ru</t>
  </si>
  <si>
    <t>ГАЗПРОМ, ПАО (61 540 329 508 руб., 100%)</t>
  </si>
  <si>
    <t>gasauto@gasauto.gasprom.ru, gazauto@gazprom-auto.ru</t>
  </si>
  <si>
    <t>http://www.gazprom-auto.ru/, www.gazauto.gazprom.ru</t>
  </si>
  <si>
    <t>ЭНЕРГЕТИЧЕСКИЕ РЕШЕНИЯ, ООО (23.75%)
ГАЗСТРОЙПРОМ, АО (18.48%)
КАЛИНИНГРАДГАЗАВТОМАТИКА, ООО ЗАВОД (0.072%)</t>
  </si>
  <si>
    <t>mail@burgaz.gazprom.ru, www.mail@burgaz.ru</t>
  </si>
  <si>
    <t>www.burgaz.ru</t>
  </si>
  <si>
    <t>ФИРМА АРМАДИС, АО (2 073 433 556 руб., 100%)</t>
  </si>
  <si>
    <t>4 069 470 000</t>
  </si>
  <si>
    <t>mail@gasmash.ru, mail@gazprom-bs.ru, nia@gazprom-bs.ru, plan@gazprom-bs.ru, vnm@gazprom-bs.ru</t>
  </si>
  <si>
    <t>www.gazprom-bs.ru</t>
  </si>
  <si>
    <t>Производство бытовых неэлектрических приборов</t>
  </si>
  <si>
    <t>82 880 000</t>
  </si>
  <si>
    <t>adm@vniigaz.gazprom.ru, hot-line@sng.vniigaz.gazprom.ru, hot-line@vniigaz.gazprom.ru, pr@vniigaz.gazprom.ru, sng@sng.vniigaz.gazprom.ru, t_mescheryakova@vniigaz.gazprom.ru, vniigaz@vniigaz.gazprom.ru</t>
  </si>
  <si>
    <t>vniigaz.gazprom.ru</t>
  </si>
  <si>
    <t>ГАЗПРОМ, ПАО (1 372 829 061.04 руб., 100%)</t>
  </si>
  <si>
    <t>132 060 000</t>
  </si>
  <si>
    <t>ГАЗПРОМ, ПАО (26 745 056 руб., 100%)</t>
  </si>
  <si>
    <t>Деятельность по техническому контролю, испытаниям и анализу прочая</t>
  </si>
  <si>
    <t>49 120 000</t>
  </si>
  <si>
    <t>g.atayan@gb.gazprom.ru, g.rybanova@gazobezopasnost.gazprom.ru</t>
  </si>
  <si>
    <t>ГАЗПРОМ, ПАО (59 410 000 руб., 100%)</t>
  </si>
  <si>
    <t>172 160 000</t>
  </si>
  <si>
    <t>anovikova@beloblgaz.ru, ashepelev@beloblgaz.ru, beldorgaz@beloblgaz.ru, belgorgaz@beloblgaz.ru, severgaz@beloblgaz.ru, sfilonova@beloblgaz.ru, shegaz@beloblgaz.ru, shepelev31@beloblgaz.ru</t>
  </si>
  <si>
    <t>www.beloblgaz.ru</t>
  </si>
  <si>
    <t>Распределение газообразного топлива по газораспределительным сетям</t>
  </si>
  <si>
    <t>21 160 000</t>
  </si>
  <si>
    <t>konkurs@vladoblgaz.ru, medvedevm@vladoblgaz.ru, mineeva@vladoblgaz.ru, vera@vladoblgaz.ru</t>
  </si>
  <si>
    <t>www.vladoblgaz.ru</t>
  </si>
  <si>
    <t>16 010 000</t>
  </si>
  <si>
    <t>max@volggaz.ru, office@vlg-gaz.ru, personal@vlg-gaz.ru, vereschagina_ob@vlg-gaz.ru</t>
  </si>
  <si>
    <t>www.vlg-gaz.ru</t>
  </si>
  <si>
    <t>ГАЗПРОМ ГАЗОРАСПРЕДЕЛЕНИЕ, АО (71 724.1713 руб., 83.89%)
СИТИТРЕЙД, ЗАО (9 636.5468 руб., 11.27%)
Волгоградская обл (2 550.9978 руб., 2.98%)
Волгоградская обл, ГОРОДИЩЕНСКИЙ МУНИЦИПАЛЬНЫЙ РАЙОН (967.7578 руб., 1.13%)
Пучкин Алексей Васильевич (200.1568 руб., 0.23%)
Волгоградская обл, СВЕТЛОЯРСКИЙ МУНИЦИПАЛЬНЫЙ РАЙОН (151.1183 руб., 0.17%)
РИК-ФИНАНС, ООО (100.0784 руб., 0.11%)
ГАЗПРОМ ГАЗОРАСПРЕДЕЛЕНИЕ ВОЛГОГРАД, ООО (39.0306 руб., 0.045%)
Брынцева Галина Викторовна (30.0235 руб., 0.035%)
Сасова Валентина Александровна (20.0157 руб., 0.023%)
...*</t>
  </si>
  <si>
    <t>anikina_mz@gazpromvrn.ru, durova@gazpromvrn.ru, dyachenko@gazpromvrn.ru, dyachenko@oblgaz.vrn.ru, epifanova@gazpromvrn.ru, ertil@gazpromvrn.ru, fvhfb@mail.ru, harkova@oblgaz.vrn.ru, kashirrg@oblgaz.vrn.ru, kiselev@gazpromvrn.ru</t>
  </si>
  <si>
    <t>www.oblgaz.vrn.ru</t>
  </si>
  <si>
    <t>ГАЗПРОМ ГАЗОРАСПРЕДЕЛЕНИЕ, АО (74.99%)
Гершкович Владислав Владимирович (7.21%)
ВИНКО, АО (5.30%)</t>
  </si>
  <si>
    <t>33 400 000</t>
  </si>
  <si>
    <t>info@gazdv.ru, info@kgas.kht.ru, info_gs@gazdv.ru, klimenkoas@gazdv.ru, kraigas@mail.kht.ru, vorobev@gazdv.ru</t>
  </si>
  <si>
    <t>gazdv.ru</t>
  </si>
  <si>
    <t>6264233@mail.ru, 6264908@mail.ru, a.chikarin@kraygaz.ru, a.denkovets@gazpromgk.ru, a.petrushenko@gazpromgk.ru, a.sazonova@gazpromgk.ru, alena_sazonova_1988@bk.ru, d.zhdanova@gazpromgk.ru, dispetcher@gazpromgk.ru, e.vinogradova@gazpromgk.ru</t>
  </si>
  <si>
    <t>https://www.gazpromgk.ru/</t>
  </si>
  <si>
    <t>makarovaelena@gazprom-lenobl.ru, office@gazprom-lenobl.ru, p_abonent@mail.ru, pudnikova@gazprom-lenobl.ru, torgilenoblgas@mail.ru, tosnomrg@lsi.ru, ts.office@lenoblgas.ru</t>
  </si>
  <si>
    <t>lenoblgas.ru, www.gazprom-lenobl.ru</t>
  </si>
  <si>
    <t>alenina.o@oblgas.lipetsk.ru, info@olimp.gas.lipetsk.ru, okz1@oblgas.ru, pto@usm.gas.lipetsk.ru, rms@lipgas.lipetsk.ru</t>
  </si>
  <si>
    <t>gas.lipetsk.ru</t>
  </si>
  <si>
    <t>arz_sekr@oblgaz.nnov.ru, bor_djg@oblgaz.nnov.ru, bor_djg@oblgaz.nnovu, dog.mgr@mail.ru, dog.mrg@mail.ru, ggz@mail.ru, info@gzf.mrgehg.ru, kozhenovaag@oblgaz.nnov.ru, mail2@oblgaz.nnov.ru, n.abrosimova@oblgaz.nnov.ru</t>
  </si>
  <si>
    <t>www.oblgaz.nn.ru</t>
  </si>
  <si>
    <t>ГАЗПРОМ ГАЗОРАСПРЕДЕЛЕНИЕ, АО (325 771.735 руб., 100%)</t>
  </si>
  <si>
    <t>010207@oblgaz56.ru, b020205@oblgaz56.ru, b037009@oblgaz56.ru, g040202@oblgaz56.ru, g111001@oblgaz56.ru, g111007@oblgaz56.ru, g111014@oblgaz56.ru, g111018@oblgaz56.ru, g111020@oblgaz56.ru, gazpas@mail.ru</t>
  </si>
  <si>
    <t>www.oblgaz56.ru</t>
  </si>
  <si>
    <t>Kosalma.adm@mail.ru, fbr022@fbr.ugaz.ru, fbr150@fbr.ugaz.ru, id046@ugaz.ru, id20140@fbr.ugaz.ru, id30042@red.ugaz.ru, id503802@prf.ugaz.ru, id70007@chus.ugaz.ru, it@ugaz.ru, post1@chus.ugaz.ru</t>
  </si>
  <si>
    <t>ugaz.ru</t>
  </si>
  <si>
    <t>2 470 000</t>
  </si>
  <si>
    <t>4255307@mail.ru, 7021604@mail.ru, alshenko@rostovoblgaz.ru, azovgaz@rostooblgaz.ru, bataysk@rostovoblgaz.ru, beljkalitvinsk@rostovoblgaz.ru, belokalitvinsk@rostovoblgaz.ru, chisogumvro@mail.ru, donetsk@rostovoblgaz.ru, gorgaz@novoch.ru</t>
  </si>
  <si>
    <t>ГАЗПРОМ ГАЗОРАСПРЕДЕЛЕНИЕ, АО (74.99%)
АДМИНИСТРАЦИЯ ЗЕРНОГРАДСКОГО РАЙОНА (0.65%)
АДМИНИСТРАЦИИ УСТЬ-ДОНЕЦКОГО РАЙОНА, КУМИ (0.54%)
АДМИНИСТРАЦИИ БЕЛОКАЛИТВИНСКОГО РАЙОНА, КУИ (0.53%)
КОМИТЕТ ПО ИМУЩЕСТВУ (0.31%)
КУИ (0.28%)
АДМИНИСТРАЦИЯ ЕГОРЛЫКСКОГО РАЙОНА (0.26%)
АДМИНИСТРАЦИЯ КОНСТАНТИНОВСКОГО РАЙОНА (0.26%)
САЛЬСКОГО РАЙОНА, УИО (0.26%)
ДИЗО (0.26%)
...*</t>
  </si>
  <si>
    <t>belova_sy@sever04.ru, bobrishcheva_iv@sever04.ru, gas04@tmcity.ru, info@severo4.ru, info@tmrg.ru, it@severrg.ru, jigaloyan@mail.ru, maltseva_ek@sever04.ru, malygina_iy@sever04.ru, nohrina_nv@sever04.ru</t>
  </si>
  <si>
    <t>abakarovauh@stavkraygaz.ru, gurievaea@stavkraygaz.ru, kapelyuhaov@stavkraygaz.ru, krasikov@stavkraygaz.ru, lyaminais@stavkraygaz.ru, reception@stavkraygas.ru, reception@stavkraygaz.ru, reception@uokk.ru, reseption@stavkraygaz.ru, serzhantovaie@stavkraygaz.ru</t>
  </si>
  <si>
    <t>www.stavkraygaz.ru</t>
  </si>
  <si>
    <t>35 340 000</t>
  </si>
  <si>
    <t>barsukova@togas.tvcom.ru, gaz@kimry.tver.ru, klimenko@togas.tvcom.ru, naumova@togas.tvcom.ru, office@togas.tvcom.ru, ouirg@mail.ru, r_bereznikov@togas.tvcom.ru, r_starchikova@togas.tvcom.ru, sd_tver@tver-gaz.ru, torjok@toqas.tvcom.ru</t>
  </si>
  <si>
    <t>www.tver-gaz.ru</t>
  </si>
  <si>
    <t>3250743@gazpromrg.tomsk.ru, 3250743@qazpromqr.tomsk.ru, bovkunmv@gazpromgr.tomsk.ru, demidovanm@gazpromgr.tomsk.ru, kemerovo.mail@gazpromgr.tomsk.ru, kjhfgb@bvh.ru, kruglikovsi@gazpromgr.tomsk.ru, mail@gazpromgr.tomsk.ru, proninvy@gazpromgr.tomsk.ru, sizovana@gazpromgr.tomsk.ru</t>
  </si>
  <si>
    <t>http://gazpromgr.tomsk.ru</t>
  </si>
  <si>
    <t>ГАЗПРОМ ГАЗОРАСПРЕДЕЛЕНИЕ, АО (5 269 478 127 руб., 100%)</t>
  </si>
  <si>
    <t>commerce@tulaoblgaz.ru, dobritskayanv@tulaoblgaz.ru, grishchenkoes@tulaoblgaz.ru, kireyevaus@tulaoblgaz.ru, kosogorskmrg@tulaoblgaz.ru, ksg-eo@tulaoblgaz.ru, martynoviv@tulaoblgaz.ru, mrg@tulaoblgaz.ru, oblgaz@tula.net, pab@tulaobldaz.ru</t>
  </si>
  <si>
    <t>gaz71.ru, www.tulaoblgaz.ru</t>
  </si>
  <si>
    <t>54 920 000</t>
  </si>
  <si>
    <t>16rameeva.em@bashgaz.ru, bashkirgaz@bashgaz.ru, belebeigaz@bashgaz.ru, birsk_gaz@bashnet.ru, duvangaz@bashgaz.ru, gaz_servis@gaz-servis.ru, gaz_servis@gaz_servis.ru, grigoreva.k@bashgaz.ru, info@bashkortostan.ru, muslimov.d@bashgaz.ru</t>
  </si>
  <si>
    <t>www.bashgaz.ru, www.gaz-service.ru</t>
  </si>
  <si>
    <t>ГАЗПРОМ ГАЗОРАСПРЕДЕЛЕНИЕ, АО (49.99%)
РЕГИОНАЛЬНЫЙ ФОНД, АО (43.61%)</t>
  </si>
  <si>
    <t>fedorova@mrg.gazprom.ru, gazpromra@mail.ru, telenkova@mrg.gazprom.ru</t>
  </si>
  <si>
    <t>www.gazpromrg.ru</t>
  </si>
  <si>
    <t>e.didenko@spb.gazpromlpg.ru, info@ggnpsales.ru, o.rakcheeva@spb.gazpromlpg.ru, zakupki@ggnpsales.ru</t>
  </si>
  <si>
    <t>ГАЗПРОМ ГНП ХОЛДИНГ, ООО (1 466 754 098.92 руб., 99.99%)
ГНП АКТИВЫ, ООО (146 690.08 руб., 0.010%)</t>
  </si>
  <si>
    <t>702 920 000</t>
  </si>
  <si>
    <t>i.blagodarov@gasoil.ru, r.bigichev@gnpholding.ru</t>
  </si>
  <si>
    <t>gasoil.ru</t>
  </si>
  <si>
    <t>ГАЗПРОМ, ПАО (28 591 319 001 руб., 100%)</t>
  </si>
  <si>
    <t>arefyev_is@diagnostica.spb.ru, kirovgiprogaz@mail.ru, n.zemcova@diagnostika.gazprom.ru</t>
  </si>
  <si>
    <t>ГАЗПРОМ, ПАО (2 737 466 000 руб.)</t>
  </si>
  <si>
    <t>Технические испытания, исследования, анализ и сертификация</t>
  </si>
  <si>
    <t>329 570 000</t>
  </si>
  <si>
    <t>adm@astrakhan-dobycha.gazprom.ru</t>
  </si>
  <si>
    <t>http://astrakhandobycha.gazprom.ru, san-yug.ru</t>
  </si>
  <si>
    <t>ГАЗПРОМ ПЕРЕРАБОТКА, ООО (6 380 733 108.68 руб., 98.66%)
ГАЗПРОМ, ПАО (86 663 109.32 руб., 1.34%)</t>
  </si>
  <si>
    <t>mail@irkgazprom.irk.ru, mail@irkutsk-dobycha.gazprom.ru</t>
  </si>
  <si>
    <t>ГАЗПРОМ, ПАО (5 077 643 042 руб., 100%)</t>
  </si>
  <si>
    <t>adm@kuban.gazprom.ru, tender@kuban.gazprom.ru</t>
  </si>
  <si>
    <t>www.gazkuban.ru</t>
  </si>
  <si>
    <t>ГАЗПРОМ, ПАО (1 176 616 000 руб., 100%)</t>
  </si>
  <si>
    <t>128 940 000</t>
  </si>
  <si>
    <t>manager@nadym-dobycha.gazprom.ru, manager@ongp.ru, urzhumova@nadym-dobycha.gazprom.ru</t>
  </si>
  <si>
    <t>ГАЗПРОМ, ПАО (5 950 956 180 руб., 100%)</t>
  </si>
  <si>
    <t>2 209 120 000</t>
  </si>
  <si>
    <t>info@noyabrsk-dobycha.gazprom.ru, ngd@ngd.gasprom.ru</t>
  </si>
  <si>
    <t>ГАЗПРОМ, ПАО (2 820 761 638.23 руб., 100%)</t>
  </si>
  <si>
    <t>4 313 980 000</t>
  </si>
  <si>
    <t>gosuslugi@gdo.gazprom.ru, orenburg@gdo.gazprom.ru, orenburggazprom@ogr.gazprom.ru</t>
  </si>
  <si>
    <t>www.gazprom.ru</t>
  </si>
  <si>
    <t>ГАЗПРОМ ПЕРЕРАБОТКА, ООО (4 840 026 365.2 руб., 98.81%)
ГАЗПРОМ, ПАО (58 289 964.32 руб., 1.19%)</t>
  </si>
  <si>
    <t>1 456 960 000</t>
  </si>
  <si>
    <t>www.vostokgazprom.ru</t>
  </si>
  <si>
    <t>4 428 160 000</t>
  </si>
  <si>
    <t>gdu@gd-urengoy.gazprom.ru, gdu@urengoy.gazprom.ru, urengoigazprom@ugp.gazprom.ru</t>
  </si>
  <si>
    <t>ГАЗПРОМ, ПАО (12 659 049 158 руб., 100%)</t>
  </si>
  <si>
    <t>3 275 520 000</t>
  </si>
  <si>
    <t>a_mandel@shelf-dobycha.gazprom.ru</t>
  </si>
  <si>
    <t>ГАЗПРОМ, ПАО (4 027 433 805 руб., 100%)</t>
  </si>
  <si>
    <t>60 760 000</t>
  </si>
  <si>
    <t>a.stovba@yamburg.gazprom.ru, aho@yamburg.gazprom.ru, priemnaia@ygd.gazprom.ru, priyemnaya@ygdu, priyemnaya@ygdu_gazprom.ru, y.rybak@ygd.gazprom.ru, yamburg@yamburg.gazprom.ru</t>
  </si>
  <si>
    <t>gaz-prof.ru, http://yamburg-dobycha.gazprom.ru</t>
  </si>
  <si>
    <t>ГАЗПРОМ, ПАО (6 437 205 663 руб., 100%)</t>
  </si>
  <si>
    <t>evoytenko@invest.gazprom.ru, izelentsov@zapad-invest.gazprom.ru, office.epgu@invest.gazprom.ru, office@invest.gazprom.ru, tender@zapad-invest.gazprom.ru</t>
  </si>
  <si>
    <t>invest.gazprom.ru</t>
  </si>
  <si>
    <t>ГАЗПРОМ, ПАО (186 417 000 руб., 100%)</t>
  </si>
  <si>
    <t>ganichkina_vs@gazprom-investgaz.ru, tomeeva_sn@gazprom-investgaz.ru</t>
  </si>
  <si>
    <t>gazprom-investgaz.ru</t>
  </si>
  <si>
    <t>ГАЗПРОМ УПРАВЛЕНИЕ АКТИВАМИ КСН, ООО (39 021 556 руб., 99.99%)
ГАЗПРОМ ИНВЕСТ РГК, ООО (1 700 руб., 0.0044%)
ГАЗЛИЗИНГТЭК, АО (1 100 руб., 0.0028%)</t>
  </si>
  <si>
    <t>gazprominform@inform.gazprom.ru, info.tender@inform.gazprom.ru, informgazinvest@gazprom.ru</t>
  </si>
  <si>
    <t>ГАЗПРОМ, ПАО (305 000 000 руб., 100%)</t>
  </si>
  <si>
    <t>248 920 000</t>
  </si>
  <si>
    <t>info.gazprom_capital@adm.gazprom.ru, ro.kuznetsov@capital.gazprom.ru</t>
  </si>
  <si>
    <t>www.gazprom.ru, www.gazpromcapital.ru</t>
  </si>
  <si>
    <t>ГАЗПРОМ, ПАО (243 343 644 836 руб., 100%)</t>
  </si>
  <si>
    <t>gki@gki.gazprom.ru, komplekt@komplekt.gazprom.ru, sefremov@komplekt.gazprom.ru</t>
  </si>
  <si>
    <t>ГАЗПРОМ, ПАО (2 345 613 944 руб., 100%)</t>
  </si>
  <si>
    <t>Деятельность агентов, специализирующихся на оптовой торговле прочими отдельными видами товаров</t>
  </si>
  <si>
    <t>aho10@astrg.ru, bud082@astrg.ru, bud08@asrg.ru, bud08@astg.ru, bud08@astq.ru, bud08@astrarg.ru, bud08@astrg.tu, bud08@astrq.ru, bud08@atrg.ru, bud09@astrg.ru</t>
  </si>
  <si>
    <t>astrg.ru</t>
  </si>
  <si>
    <t>ГАЗПРОМ МЕЖРЕГИОНГАЗ, ООО (9 999 руб., 99.99%)
ГАЗПРОМ ГАЗОРАСПРЕДЕЛЕНИЕ, АО (1 руб., 0.010%)</t>
  </si>
  <si>
    <t>123@gazprom.ru, a.i.goryushko@belregiongaz.ru, akinshina@belregiongaz.ru, akinskina@belregiongaz.ru, akinskna@belregiongaz.ru, beloblgaz@mail.ru, belregion@mail.ru, belregiongaz@mail.ru, chernova@belregiongaz.ru, chernova@gazprom31.ru</t>
  </si>
  <si>
    <t>12 380 000</t>
  </si>
  <si>
    <t>a.logunov@bryansk-gaz.ru, mail@brgaz.com.ru, mail@bryanskgaz.ru, main@bryansk.ru, main@bryansk9gaz.ru, main@bryanskgaz.ru</t>
  </si>
  <si>
    <t>ГАЗПРОМ МЕЖРЕГИОНГАЗ, ООО (9 300 руб., 93%)
ЛИОН, ООО (700 руб., 7%)</t>
  </si>
  <si>
    <t>britvin@novmrg.natm.ru, f0530513@novmrg.natm.ru, ng@novmrg.natm.ru, ngr@novmrg.natm.ru, ngr@novmrg.natv.ru, nrg@novmgr.natm.ru, nrg@novmrg.hatm.ru, nrg@novmrg.natm.tu, nrg@novmrg.nftm.ru, nrq@novmrg.natm.ru</t>
  </si>
  <si>
    <t>novmrg.ru</t>
  </si>
  <si>
    <t>172 110 000</t>
  </si>
  <si>
    <t>6891549@list.ru, 92_hudieva_lr@rso.kawkazrg.ru, alaniagaz@mail.ru, alaniagaz@ya.ru, alaniagaz@yandex.ru, alanigaz@mail.ru, dafedf2@mail.ru, f0150601@rso.kawkazrg.ru, f01569302@nsokavrfz.ru, f0159115@rso.kawkazrg.ru</t>
  </si>
  <si>
    <t>Торговля оптовая природным (естественным) газом</t>
  </si>
  <si>
    <t>123@mrg33.ru, arova@mrg.33.ru, arova@mrg33.ru, axo@vlrg.ru, boico@mrg33.ru, boiko@mrg33.ru, egorov@mrg33.ru, garova@mrg33.ru, info@vlrg.ru, infq@virg.ru</t>
  </si>
  <si>
    <t>Торговля природным, сухим (отбензиненным) газом, подаваемым по распределительным сетям</t>
  </si>
  <si>
    <t>34@regiongaz.ru, 34regiongaz@mail.ru, energosalr34@mail.ru, f0340000@34regiongaz.ru, f0340007@34regiongaz.ru, f0340902@34regiongaz.ru, f0340904@34regiongaz.ru, f0340907@34regiongaz.ru, f0340909@34regiongaz.ru, f0341231@34regiongaz.ru</t>
  </si>
  <si>
    <t>ГАЗПРОМ МЕЖРЕГИОНГАЗ, ООО (7 894.74 руб., 78.95%)
ДЕПАРТАМЕНТ МУНИЦИПАЛЬНОГО ИМУЩЕСТВА АДМИНИСТРАЦИИ ВОЛГОГРАДА (1 052.63 руб., 10.53%)
ОБЛКОМИМУЩЕСТВО (1 052.63 руб., 10.53%)</t>
  </si>
  <si>
    <t>Торговля газообразным топливом, подаваемым по распределительным сетям</t>
  </si>
  <si>
    <t>40 550 000</t>
  </si>
  <si>
    <t>gr@vologdarg.ru, mgd@vologdarg.ru, mgr@vologdarg.ru, mrg@vologda.ru, mrg@vologdagr.ru, mrg@vologdarg.ru, orgop@volosdare.ru, orgpp5@vologdarg.ru, orgpp@vologda.ru, orgpp@vologdarg.ru</t>
  </si>
  <si>
    <t>vologdarg.ru</t>
  </si>
  <si>
    <t>256 060 000</t>
  </si>
  <si>
    <t>d.kulnev@vrgaz.ru, dl03682@vrgaz.ru, e.ibragimova@vrngaz.ru, e.koltzova@vrgaz.ru, e.perunova@vrgaz.ru, e.smolyaninova@vrgaz.ru, e.stepnova@vrgaz.ru, ffice@vrgaz.ru, ffice@vrqaz.ru, gas.vrn@mail.ru</t>
  </si>
  <si>
    <t>70 740 000</t>
  </si>
  <si>
    <t>ao.nadterechnyy@mail.ru, chechengaz@mail.ru, chechenregiongaz@mail.ru, chechregiongaz.95@mail.ru, eroznyrg@mail.ru, f0950119@mrg.gazprom.ru, gaz.95@mail.ru, gazprom95@mail.ru, gronyrg@mail.ru, groxnyrg@mail.ru</t>
  </si>
  <si>
    <t>groznyrg.ru</t>
  </si>
  <si>
    <t>borisova@dv.gazpromrg.ru, borisova@mrgdv.ru, office@kmch.mrgdv.ru, office@mrgdv.ru, office@sakh.mrghv.ru, office@vlad.mrgdv.ru, ofifice@mrgdv.ru</t>
  </si>
  <si>
    <t>mrgdv.ru</t>
  </si>
  <si>
    <t>ГАЗПРОМ ГАЗОРАСПРЕДЕЛЕНИЕ, АО (56 000 000 руб., 99.98%)
ГАЗПРОМ МЕЖРЕГИОНГАЗ, ООО (10 000 руб., 0.020%)</t>
  </si>
  <si>
    <t>45 050 000</t>
  </si>
  <si>
    <t>aa.kovalev@mrg037.ru, abonsl@mrg037.ru, ae.yakushin@mrg037.ru, an.goncharova@mrg037.ru, dn.andrianov@mrg037.ru, en.anikeva@mrg037.ru, en.orlova@mrg037.ru, ivanova@mrg037.ru, ivanovo@ivregion.ru, ivanovo@ivregiongas.ru</t>
  </si>
  <si>
    <t>g.merzliakova@udmurtgaz.ru, izhgaz@mail.ru, secretar@udmrtgaz.ru, secretar@udmurtgaz.ru, secretaru@udmurtgaz.ru, secretary@udmertgaz.ru, secretary@udmurgaz.ru, secretary@udmurtgas.ru, secretary@udmurtgaz.ru, secretary@yandez.ru</t>
  </si>
  <si>
    <t>www.udmurtgaz.ru</t>
  </si>
  <si>
    <t>ГАЗПРОМ МЕЖРЕГИОНГАЗ, ООО (49 995 руб., 99.99%)
ГАЗПРОМ ГАЗОРАСПРЕДЕЛЕНИЕ, АО (5 руб., 0.010%)</t>
  </si>
  <si>
    <t>192 000 000</t>
  </si>
  <si>
    <t>secretary12@mail.ru, secretary12@mrg.mari-el.ru, secretary12@mrg.mari.el.ru</t>
  </si>
  <si>
    <t>ГАЗПРОМ МЕЖРЕГИОНГАЗ, ООО (7 500 руб., 75%)
ГАЗПРОМ ТРАНСГАЗ НИЖНИЙ НОВГОРОД, ООО (2 500 руб., 25%)</t>
  </si>
  <si>
    <t>9 720 000</t>
  </si>
  <si>
    <t>1@tatar.ru, 2914807@mail.ru, airyashov@mrg.tatar.ru, alm.elb@tatar.ru, artur@mrg.tatar.ru, as@ax.as, azan@mrg.tatar.ru, bezotveta@tgi.tol.ru, burmet.nur@tatat.ru, dgt@mail.ru</t>
  </si>
  <si>
    <t>396 670 000</t>
  </si>
  <si>
    <t>0000@mail.com, 0400108@kalugaregiongaz.ru, 1400405@kalugaregiongaz.ru, 210616@klg.ru, 210616@mail.ru, bab.ddt.do2014@mail.ru, ekretar@kalugaregiongaz.ru, f0400103@kalugaregiongaz.ru, f0400108@kaluga.ru, f0400108@kalugaregionhgaz.ru</t>
  </si>
  <si>
    <t>ГАЗПРОМ МЕЖРЕГИОНГАЗ, ООО (9 000 руб., 90%)
ИМУЩЕСТВА КАЛУЖСКОЙ ОБЛАСТИ, ФОНД (1 000 руб., 10%)</t>
  </si>
  <si>
    <t>0420520@krg42.ru, f0420114@krg42.ru, f0420532@krg42.ru, krg@krg42.ru, krg@mrg.gazprom.ru, offece@krg42.ru, offece@kru.ru, office@krg42.ru</t>
  </si>
  <si>
    <t>898 640 000</t>
  </si>
  <si>
    <t>admpgtnema1@yandex.ru, dispetcher@co.kirovregiongaz.ru, dogovor@mrg43.ru, f0430100@co.kirovregiongaz.ru, f0430105@co.kirovregiongaz.ru, f0430105@mrg43.ru, f0430107@mrg43.ru, f0430609@mrg43.ru, f0430802@mrg43.ru, f0430803@mrg43.ru</t>
  </si>
  <si>
    <t>www.kirovregiongaz.ru</t>
  </si>
  <si>
    <t>ГАЗПРОМ МЕЖРЕГИОНГАЗ, ООО (7 530 руб., 75.30%)
Кировская обл (2 470 руб., 24.70%)</t>
  </si>
  <si>
    <t>124 270 000</t>
  </si>
  <si>
    <t>230801001@mail.ru, anapakrg2009@gmail.com, biufteui@mail.ru, cbok.krasnoarm@rambler.ru, dfgchn@mail.ru, dushtemir@mail.ru, fdgbjm@mail.ru, fgfgyntyu@mail.ru, fjhgdfj@mail.ru, gaz23@mail.ru</t>
  </si>
  <si>
    <t>ГАЗПРОМ МЕЖРЕГИОНГАЗ, ООО (7 500 руб., 75%)
КУБАНЬГАЗИФИКАЦИЯ, НАО (2 500 руб., 25%)</t>
  </si>
  <si>
    <t>abongaz@mail.ru, mail@kurgangrc.ru, org@kurgan.ru, org@kurgangrs.ru, org@kurganqrc.ru, org@kurganrc.ru, orq@kurgangrc.ru, secretar@kurgangrc.ru, voloshina@kurgangrc.ru</t>
  </si>
  <si>
    <t>kurgangrc.ru</t>
  </si>
  <si>
    <t>423 600 000</t>
  </si>
  <si>
    <t>4623@m04.r.46.nflog.ru, a.loktionov@mrg046.ru, a.loktionov@mrg46.ru, adegtiarev@mrg046.ru, adm.zakupki.gor@mail.ru, asvety@yandex.ru, atom@sbyt.ru, azsgazprom@mail.ru, burkov@mrg046.ru, butov@mrg046.ru</t>
  </si>
  <si>
    <t>ГАЗПРОМ МЕЖРЕГИОНГАЗ, ООО (9 000 руб., 90%)
МИНИСТЕРСТВО ИМУЩЕСТВА КУРСКОЙ ОБЛАСТИ (1 000 руб., 10%)</t>
  </si>
  <si>
    <t>34 040 000</t>
  </si>
  <si>
    <t>adm@stan.gas.lipetsk.ru, adm@stan.lipetsk.ru, ads@stan.gas.lipetsk.ru, brusenceva@ufrs.lipetsk.ru, dl_zakupki@mrg.lipetsk.ru, ekaterina.zolit@mail.ru, ekrertar@mrg.lipetsk.ru, fonex5@mail.ru, i.leonova@mrg.lipetsk.ru, info@oblgas.lipetsk.ru</t>
  </si>
  <si>
    <t>mrg48.ru</t>
  </si>
  <si>
    <t>ГАЗПРОМ МЕЖРЕГИОНГАЗ, ООО (131 937 145 руб., 65.83%)
Липецкая обл (68 483 855 руб., 34.17%)</t>
  </si>
  <si>
    <t>423 290 000</t>
  </si>
  <si>
    <t>adg@adygregiongaz.ru, adyggaz@mail.ru, adygregiongaz@mail.ru, ag@adydgregiongaz.ru, agr@adygregionaz.ru, agr@adygregiongaz.ru, arg@adegregiongaz.ru, arg@adgregiongaz.ru, arg@adiggaz.ru, arg@adigregiongaz.ru</t>
  </si>
  <si>
    <t>adygregiongaz.ru</t>
  </si>
  <si>
    <t>ГАЗПРОМ МЕЖРЕГИОНГАЗ, ООО (8 500 руб., 85%)
КАРТОНТАРА, ООО (1 500 руб., 15%)</t>
  </si>
  <si>
    <t>akkishieva1975@gmail.ru, alina.mahmudova2015@yandex.ru, andry_ss90@mail.ru, bnhg@gmail.com, chinara0578@mail.ru, cifral@mail.ru, dag@mai.ru, dagecosity@mail.ru, daggazprom05@gazprom.ru, dagregiongaz@mail.ru</t>
  </si>
  <si>
    <t>mkala-mrg.ru</t>
  </si>
  <si>
    <t>...@mail.ru, 0500515@gazmsk.ru, 103@lift.ru, 5009033419@yandex.ru, 74958172858@info.ru, 74958172858@mail.ru, 9949258@mail.ru, f050015@gazmsk.ru, f0500246@gazmsk.ru, f0500249@gazmsk.ru</t>
  </si>
  <si>
    <t>1 117 950 000</t>
  </si>
  <si>
    <t>00705004@kbr.kawkaz.ru, 00705004@mrgkbr.ru, 07guz@mail.ru, 95_bekanov_zs@mrgkbr.ru, 95_guchikov_ka@mrgkbr.ru, 95_thazaplizheva_na@mrgkbr.ru, a.skvortsova@mrgkbr.ru, adssw@mail.ru, anna.2000@mail.ru, baksan006@mail.ru</t>
  </si>
  <si>
    <t>mrgkbr.ru</t>
  </si>
  <si>
    <t>dl0520110@mrgnn.ru, doverie@mrgnn.ru, ecretar@mrgnn.ru, gospochta@mrgnn.ru, l.gorbunova@mrgn.ru, l.gorbunova@mrgnn.ru, l.gorbunova@mrqnn.ru, lgorbunova@mrgnn.ru, nn.gaz@mail.ru, okid@mrgnn.ru</t>
  </si>
  <si>
    <t>www.mrgnn.ru, www.ntek.nn.ru</t>
  </si>
  <si>
    <t>429 520 000</t>
  </si>
  <si>
    <t>agr@agr.ngr.ogr.ru, agr@agr.nrg.org.ru, agr@ngr.ogr.ru, arg@arg.nrg.org.ru, belova@nrg.org.ru, dis22@mrg54.ru, dispetcher@arg.nrg.org.ru, fact@mgr54.ru, gaz54@mrg54.ru, gaz70@mrg54.ru</t>
  </si>
  <si>
    <t>mrg54.ru, www.nrg.org.ru</t>
  </si>
  <si>
    <t>568 320 000</t>
  </si>
  <si>
    <t>1@mail..ru, a.pozdeev@omskregiongaz.ru, cas@mail.ru, dl_reports@omskregiongaz.ru, e.dyshlevskaya@omskregiongaz.ru, e.ogorodnikova@omskregiongaz.ru, info@maol.ru, info@omskregiongas.ru, info@omskregoingaz.ru, info@omskregongaz.ru</t>
  </si>
  <si>
    <t>a.piskunov@orelregiongaz.ru, l.koroleva@orelregiongaz.ru, lomowadm09@yandex.ru, meg57@orel.ru, mgr57@orel.ru, mgt57@orel.ru, mng57@orel.ru, mra57@orel.ru, mrd57@orel.ru, mrg.57@orel.ru</t>
  </si>
  <si>
    <t>as@mail.org056.ru, e.abdulgazizov@mail.org056.ru, ekon3@sv.orb.ru, erg@esoo.ru, o.avdeev@mail.org056.ru, o.nihelman@mail.org056.ru, o.tishkova@mail.org056.ru, o.tishkova@mail.orgo56.ru, oreg@esoo.ru, oren252@yandex.ru</t>
  </si>
  <si>
    <t>orenburgregiongaz.ru</t>
  </si>
  <si>
    <t>0581510@prg.sura.ru, 734@mail.ru, brg@brg.sura.ru, ddfgj@mail.ru, dogovor@penzagorgaz.ru, f0508203@prg.sura.ru, f0580203@prg.sura.ru, f0580203@sura.ru, f0580206@prg.sura.ru, f0580206@prg.syra.ru</t>
  </si>
  <si>
    <t>penzaregiongaz.ru</t>
  </si>
  <si>
    <t>ГАЗПРОМ МЕЖРЕГИОНГАЗ, ООО (8 461.54 руб., 84.62%)
Пензенская обл (1 538.46 руб., 15.38%)</t>
  </si>
  <si>
    <t>2206220@mail.ru, abonent@prg.perm.ru, e.kabirova@prg.perm.ru, e.ryabtsev@prg.perm.ru, e.sorokina@prg.perm.ru, ermrg@prg.perm.ru, f0590303@prq.perm.ru, f0590405@prg.perm.ru, gaz171@prg.perm.ru, gosuslugi@prg.perm.ru</t>
  </si>
  <si>
    <t>www.prg.perm.ru</t>
  </si>
  <si>
    <t>ГАЗПРОМ МЕЖРЕГИОНГАЗ, ООО (7 490 руб., 74.90%)
МИНИСТЕРСТВО ПО УПРАВЛЕНИЮ ИМУЩЕСТВОМ И ГРАДОСТРОИТЕЛЬНОЙ ДЕЯТЕЛЬНОСТИ ПЕРМСКОГО КРАЯ (2 510 руб., 25.10%)</t>
  </si>
  <si>
    <t>e.sorokina@pskovregiongaz.ru, gazprompsko@mail.ru, pgr@pskovregiongaz.ru, prg@pskovregiongas.ru, s.vavilova@pskovregiongaz.ru</t>
  </si>
  <si>
    <t>pskovgaz.ru</t>
  </si>
  <si>
    <t>ГАЗПРОМ МЕЖРЕГИОНГАЗ, ООО (9 000 руб., 90%)
Псковская обл (1 000 руб., 10%)</t>
  </si>
  <si>
    <t>0611003@rostovregiongaz.ru, 0611005@rostovregiongaz.ru, 0611007@rostovregiongaz.ru, 1007@rostovregiongaz.ru, 10611003@rostovregiongaz.ru, butuyf@rostovregiongaz.ru, cnhgch@cjh.ru, f06110003@rostovregiongaz.ru, f0611003@rostovregiogaz.ru, f0611003@rostovregiongaz.ru</t>
  </si>
  <si>
    <t>rostovregiongaz.ru</t>
  </si>
  <si>
    <t>ГАЗПРОМ МЕЖРЕГИОНГАЗ, ООО (7 500 руб., 75%)
РКР, АО (2 500 руб., 25%)</t>
  </si>
  <si>
    <t>belling@ryazanregiongaz.ru, bilihg@ryazanregiongaz.ru, biling@gaz.ru, biling@razanregiongaz.ru, biling@ruazanregiongaz.ru, biling@ruazaregiongaz.ru, biling@ryazanregiongaz.ru, biling@ryzanregiongaz.ru, biling@ryzanregiongaz.ry, billig@ryazanregiongaz.ru</t>
  </si>
  <si>
    <t>ryazanregiongaz.ru</t>
  </si>
  <si>
    <t>ГАЗПРОМ МЕЖРЕГИОНГАЗ, ООО (7 343.75 руб., 73.44%)
Рязанская обл (1 614.58 руб., 16.15%)
Рязанская обл, МУНИЦИПАЛЬНОЕ ОБРАЗОВАНИЕ - ГОРОДСКОЙ ОКРУГ ГОРОД РЯЗАНЬ (1 041.67 руб., 10.42%)</t>
  </si>
  <si>
    <t>99 920 000</t>
  </si>
  <si>
    <t>.....@mail.ru, babyakova@yandex.ru, f0603718@samgas.ru, f060719@samagas.ru, f06300707@mail.ru, f0630111@samgas.ru, f063019@samgas.ru, f0630707@samara.ru, f0630708@samgas.ru, f0630710@samgaz.ru</t>
  </si>
  <si>
    <t>samararegiongaz.ru</t>
  </si>
  <si>
    <t>ГАЗПРОМ МЕЖРЕГИОНГАЗ, ООО (7 600 руб., 76%)
САМАРАПРОМРЕСУРС, ООО (1 900 руб., 19%)
Самарская обл (500 руб., 5%)</t>
  </si>
  <si>
    <t>Торговля природным, сухим (отбензиненным) газом, подаваемым по распределительным сетям по регулируемым государством ценам (тарифам)</t>
  </si>
  <si>
    <t>1c@iprmedia.ru, chekmareva_nv@mrg.spb.ru, daz_sales@mrg.spb.ru, dedova_me@mrg.spb.ru, demicheva_vv@mrg.spb.ru, disp_sales@mrg.spb.ru, domanova_ja@mrg.spb.ru, garkusha_oa@mrg.spb.ru, gas_sales@mrg.spb.ru, gaz21_20@mail.ru</t>
  </si>
  <si>
    <t>www.peterburgregiongaz.ru</t>
  </si>
  <si>
    <t>903 470 000</t>
  </si>
  <si>
    <t>6666@mail.ru, a.kuldyrkaev@mrg.saransk.ru, a.semenova@mrg.saransk.ru, akuldyrkaev@mrg.saransk.ru, e.rykalina@mrg.saransk.ru, g.lushkina@mrg.saransk.ru, gaz.sarank@mail.ru, gaz.saransk@mail.ru, gaz13@mail.ru, gaz13@yandex.ru</t>
  </si>
  <si>
    <t>www.mordovregiongaz.ru</t>
  </si>
  <si>
    <t>ГАЗПРОМ МЕЖРЕГИОНГАЗ, ООО (9 000 руб., 90%)
Мордовия Респ (1 000 руб., 10%)</t>
  </si>
  <si>
    <t>8 690 000</t>
  </si>
  <si>
    <t>0640214@sargc.ru, 0640222@sargc.ru, 0640223@sargc.ru, 0640713@sargc.ru, 0649210@sargc.ru, 1@gazprom.ru, 41544@mail.ru, 41sargas@mail.ru, 4776345841@mail.ru, 534583674@mail.ru</t>
  </si>
  <si>
    <t>ГАЗПРОМ МЕЖРЕГИОНГАЗ, ООО (9 500 руб., 95%)
Саратовская обл (500 руб., 5%)</t>
  </si>
  <si>
    <t>gfvdfc@mail.ru, info@r86.fssprus.ru, info@seer04.ru, info@serer04.ru, info@sever.ru, info@sever4.ru, info@sewer04.ru, lazareva_lv@sever04.ru, makarevich_av@sever04.ru, martinova_mi@sever04.ru</t>
  </si>
  <si>
    <t>firsova@smolregiongaz.ru, it@smolregiongaz.ru, sgr@smolregiongaz.ru, spg@smolregioingaz.ru, srg@smoiregiongaz.ru, srg@smolenskregiongax.ru, srg@smolregiongas.ru, srg@smolregiongz.ru, srq@smolregiongaz.ru, srq@smolreqionqaz.ru</t>
  </si>
  <si>
    <t>www.smolregiongaz.ru</t>
  </si>
  <si>
    <t>ГАЗПРОМ МЕЖРЕГИОНГАЗ, ООО (9 400 руб., 94%)
МЕДТЕХНИКА-СМОЛЕНСК, ОАО (600 руб., 6%)</t>
  </si>
  <si>
    <t>026gaz@mail.ru, 026smenaold@ssrg.regiongaz.ru, 123df@mail.ru, 123ml@mail.ru, 22237gaz@mail.ru, 2635048440@mail.ru, 26@bk.ru, 31410@mail.ru, 31420gaz@mail.ru, 455454@mail.ru</t>
  </si>
  <si>
    <t>regiongaz.ru</t>
  </si>
  <si>
    <t>ai68secr@tamrg.ru, anna.senkevich@tamrg.ru, bl68secr@tamrg.ru, d68secr@tamrg.ru, di68secr@tamg.ru, di68secr@tamrq.ru, di68secr@temrg.ru, di68secr@tmrg.ru, di68sekr@tamrg.ru, dil68secr@tamrg.ru</t>
  </si>
  <si>
    <t>0690105@tverregiongaz.ru, 0690112@tverregiongaz.ru, 0690209@tverragiongaz.ru, 0690916@tverregiongaz.ru, 315_69@mail.ru, 458751@tver.regiongaz.ru, a0690112@tverregiongaz.ru, a0690901@tverregiongaz.ru, bil6950@sdo.ru, f030612@mail.ru</t>
  </si>
  <si>
    <t>tverregiongaz.ru</t>
  </si>
  <si>
    <t>ГАЗПРОМ МЕЖРЕГИОНГАЗ, ООО (8 360.66 руб., 83.61%)
Тверская обл (1 639.34 руб., 16.39%)</t>
  </si>
  <si>
    <t>1013@mrgtula.ru, dos@mrgtula.ru, efs@mrgtula.ru, f0014@mrgtula.ru, f0112@mrgtula.ru, f0506@mrgtula.ru, f0612@mrgtula.ru, f0802@mrgtula.ru, f0803@mrgtula.ru, f0903@mrgtula.ru</t>
  </si>
  <si>
    <t>381 730 000</t>
  </si>
  <si>
    <t>427430@mail.ru, 78422427430@mail.ru, 88422427430@mail.ru, a.iskakov@ulrg.ru, a.koksharov@gazenergoinform.ru, a.manishev@ulrg.ru, d.sabitova@ulrg.ru, gadalshina@doe.ulenergo.ru, gas@ulrg.ru, gasprommrgulyanovsk@ulrg.ru</t>
  </si>
  <si>
    <t>ulrg.ru</t>
  </si>
  <si>
    <t>ГАЗПРОМ МЕЖРЕГИОНГАЗ, ООО (9 000 руб., 90%)
АВТОГАЗСЕРВИС, ООО (1 000 руб., 10%)</t>
  </si>
  <si>
    <t>2799526@bahqaz.ru, 2799526@bashgaz.ru, 2799526@bashqaz.ru, 279952@bashgaz.ru, ahmadieva.a@bashgaz.ru, ahmadieva.a@mail.ru, ahmadieva@bashgaz.ru, aktuganova.sr@bashgaz.ru, arslanova_u@bashgaz.ru, asadulina.rr@bashgaz.ru</t>
  </si>
  <si>
    <t>www.bashgaz.ru</t>
  </si>
  <si>
    <t>ГАЗПРОМ МЕЖРЕГИОНГАЗ, ООО (4 999 500 руб., 99.99%)
ГАЗПРОМ ГАЗОРАСПРЕДЕЛЕНИЕ, АО (500 руб., 0.010%)</t>
  </si>
  <si>
    <t>dogovor@mrg011.ru, dor@mrg011.ru, elena.k@mrg011.ru, info@mrg011.ru, obor@mrg011.ru, odor@mrg.ru, odor@mrg011.ru, odor@mrq011.ru, ogor@mrg011.ru, ogovor@mrg011.ru</t>
  </si>
  <si>
    <t>komiregiongaz.ru</t>
  </si>
  <si>
    <t>232 150 000</t>
  </si>
  <si>
    <t>2102051@chrg.ru, cheg@chrg.ru, chgr@chgr.ru, chrg.ru@chrg.ru, chrg@cbx.ru, chrg@ch.ru, chrg@chg.ru, chrg@chgr.ru, chrg@chrd.ru, chrg@chrf.ru</t>
  </si>
  <si>
    <t>gmch.ru</t>
  </si>
  <si>
    <t>88782274327@mail.ru, 96_shebzuhova_om@kcr.kawkaz.ru, a.aslanukova@mrgkchr.ru, a.gavrilyuk@mrgkchr.ru, a.shebzuhov@mrgkchr.ru, dispetcher@mrgkchr.ru, dispetcher@mrqkchr.ru, ecretar2@mrgkchr.ru, f.konova@mrgkchr.ru, f.kuzheva@mrgkchr.ru</t>
  </si>
  <si>
    <t>7604049153@nalog.tesor.ru, danilov@rgk76.ru, dio7601@rgk76.ru, dl076016@rgk6.ru, dl07601@grk76.ru, dl07601@rdk76.ru, dl07601@rgj76.ru, dl07601@rgk.ru, dl0760@rgk76.ru, dlo07601@rgk76.ru</t>
  </si>
  <si>
    <t>ГАЗПРОМ МЕЖРЕГИОНГАЗ, ООО (42 609 999 руб., 100%)
ГАЗПРОМ ГАЗОРАСПРЕДЕЛЕНИЕ, АО (1 руб.)</t>
  </si>
  <si>
    <t>mrg@mrg.gazprom.ru, narezhnaja@mrg.gazprom.ru, r.aminov@mrg.gazprom.ru, u0901022@mrg.gazprom.ru</t>
  </si>
  <si>
    <t>https://mrg.gazprom.ru/</t>
  </si>
  <si>
    <t>ГАЗПРОМ, ПАО (45 425 043 600 руб., 100%)</t>
  </si>
  <si>
    <t>common@gazprom-methanol.ru</t>
  </si>
  <si>
    <t>ВОСТОКГАЗПРОМ, АО (1 810 769 783.88 руб., 99.99%)
ГАЗПРОМ ДОБЫЧА ТОМСК, АО (36 216.12 руб., 0.0020%)</t>
  </si>
  <si>
    <t>6 411 290 000</t>
  </si>
  <si>
    <t>office@krskgazprom-ngp.ru</t>
  </si>
  <si>
    <t>https://krasnoyarskgazprom-ngp.gazprom.ru</t>
  </si>
  <si>
    <t>ГАЗПРОМ ЗАКУПКИ, АО (100 000 руб., 100%)</t>
  </si>
  <si>
    <t>225 820 000</t>
  </si>
  <si>
    <t>a.virt@gazpromgeofizika.ru, g.magareva@cggf.ru, ushakov.yura@gmail.com</t>
  </si>
  <si>
    <t>ГАЗПРОМ, ПАО (4 696 956 000 руб., 100%)</t>
  </si>
  <si>
    <t>01mna@snos.ru, 02zdr@mail.ru, 07tnm@snos.ru, 24kaa@snos.ru, 50aag@mail.ru, 50aag@snos.ru, 50zvj@snos.ru, info@gazpromneftekhim.ru, pomoshnik@snos.ru, pr@gazpromneftekhim.ru</t>
  </si>
  <si>
    <t>http://salavat-neftekhim.gazprom.ru, www.gpns.ru, www.snos.ru</t>
  </si>
  <si>
    <t>ГАЗПРОМ ПЕРЕРАБОТКА, ООО (44 616 550 850 руб., 100%)
ГАЗПРОМ ИНВЕСТ РГК, ООО (1 руб.)</t>
  </si>
  <si>
    <t>23 782 130 000</t>
  </si>
  <si>
    <t>gpp@gpp.gazprom.ru, kuskovays@gpp.gazprom.ru</t>
  </si>
  <si>
    <t>ГАЗПРОМ, ПАО (456 721 013 758 руб., 100%)</t>
  </si>
  <si>
    <t>adm@pitanie.gazprom.ru, ingaztur1@mail.ru, ingaztur@mail.ru, o.shorina@torgservis.gazprom.ru, zakupki@pitanie.gazprom.ru, zakupki@torgservis.gazprom.ru</t>
  </si>
  <si>
    <t>ГАЗПРОМ, ПАО (40 010 000 руб., 100%)</t>
  </si>
  <si>
    <t>info@podzem-remont.gazprom.ru, info@urengoy-remont.gazprom.ru</t>
  </si>
  <si>
    <t>ГАЗПРОМ ИНВЕСТ, ООО (1 255 089 189 руб., 99.99%)
ГАЗПРОМ УПРАВЛЕНИЕ АКТИВАМИ КСН, ООО (125 521 руб., 0.010%)</t>
  </si>
  <si>
    <t>alekseevaev@tngg.ru, box@proektirovanie.gazprom.ru, gazpromproject@gazpromproject.ru, nmalatkurova@gazpromproject.ru, ompp@gazpromproject.ru, pr@gazpromproject.ru, tsushkova@gazpromproject.ru, ypokryschenko@gazpromproject.ru</t>
  </si>
  <si>
    <t>http://proektirovanie.gazprom.ru/</t>
  </si>
  <si>
    <t>ГАЗПРОМ, ПАО (8 080 752 371.28 руб., 100%)</t>
  </si>
  <si>
    <t>a.sharneva@spblng.gazprom.ru, f.gaaze@spb-lng.gazprom.ru, info@spblng.gazprom.ru, o.karpunina@spblng.gazprom.ru, zakupki@spblng.gazprom.ru</t>
  </si>
  <si>
    <t>gazpromcert.ru</t>
  </si>
  <si>
    <t>ГАЗПРОМ, ПАО (121 530 000 руб., 100%)</t>
  </si>
  <si>
    <t>Производство углеводородов и их производных</t>
  </si>
  <si>
    <t>ГАЗПРОМ КОМПЛЕКТАЦИЯ, ООО (2 912 100 000 руб., 51%)
ЗАКРЫТЫЙ ПАЕВОЙ ИНВЕСТИЦИОННЫЙ ФОНД КОМБИНИРОВАННЫЙ "ВЕРКОН" (2 797 900 000 руб., 49%)</t>
  </si>
  <si>
    <t>csts@gazprom.ru, filialmosobl@svays.gazprom.ru, filialmosobl@svayz.gazprom.ru, filialmosobl@svyaz.gazprom.ru, gazpromsvyaz@gazprom.ru, gazpromtelekom@gazpromtelekom.ru, info.rnd@gazpromtelecom.ru, info@gazpromtelecom.ru, mos.obl@gazpromtelecom.ru, o.babarikina.rnd@gazpromtelecom.ru</t>
  </si>
  <si>
    <t>www.gazprom.ru, www.gazsvyaz.ru</t>
  </si>
  <si>
    <t>ГАЗПРОМ, ПАО (1 796 292 893.56 руб., 100%)</t>
  </si>
  <si>
    <t>111_k@mail.ru, 777755@mail.ru, aa.hmeleva@gptev.ru, ea.mukovozchik@gptev.ru, energo.qazprom@mail.ru, ev.konovalova@gptev.ru, gazpromteploenergovologda@mail.ru, gpt@mail.ru, info@gpev.ru, info@gpten.ru</t>
  </si>
  <si>
    <t>www.gptev.ru, www.vgpe.ru</t>
  </si>
  <si>
    <t>ГАЗПРОМ ТЕПЛОЭНЕРГО, АО (77 000 руб., 77%)
ГАЗПРОМ МЕЖРЕГИОНГАЗ ВОЛОГДА, ООО (23 000 руб., 23%)</t>
  </si>
  <si>
    <t>255 030 000</t>
  </si>
  <si>
    <t>anufrieva.va@50.gpte.ru, bbjh@mail.ru, dyachuk.av@gpte.ru, ershov.rv@50.gpte.ru, gzprenerj@ya.ru, imsol@mail.ru, info.kn@50.gpte, info.pu@50.gpe.ru, info.pu@gpte.ru, info.ru@50.gpte.ru</t>
  </si>
  <si>
    <t>ГАЗПРОМ ТЕПЛОЭНЕРГО, АО (1 020 000 руб., 100%)</t>
  </si>
  <si>
    <t>admin@vlg.gazprom.ru, anp@vlg.gazprom.ru, opt_tkm@vlg.gazprom.ru, t.grishina@vlg.gazprom.ru, vlg@vlg.gazprom.ru, vtg@gasprom.ru, vtg@vlg.gazprom.ru</t>
  </si>
  <si>
    <t>ГАЗПРОМ, ПАО (2 102 556 545.25 руб., 100%)</t>
  </si>
  <si>
    <t>Транспортирование по трубопроводам газа</t>
  </si>
  <si>
    <t>ural@ekaterinburg-tr.gazprom.ru, v.gorshkov@urtg_gazprom.ru</t>
  </si>
  <si>
    <t>ГАЗПРОМ, ПАО (5 579 821 725.2 руб., 100%)</t>
  </si>
  <si>
    <t>admprosti@yandex.ru, gffhhg@mail.ru, gorgaz@kazan.ru, info@tattg.gazprom.mail.ru, l-shakirova@tattg.gazprom.ru, nfo@tattg.gazprom.ru, nurlatgaz@mail.ru, salnikov@tattg.gazprom.ru, vlads@ttg.bancorp.ru, vlads@ttg.ru</t>
  </si>
  <si>
    <t>ГАЗПРОМ, ПАО (5 270 493 627.78 руб., 100%)</t>
  </si>
  <si>
    <t>adm@tgk.gazprom.ru, d.kocheridi@tgk.gazprom.ru</t>
  </si>
  <si>
    <t>ГАЗПРОМ, ПАО (626 901 869 руб., 100%)</t>
  </si>
  <si>
    <t>Транспортирование по трубопроводам газа и продуктов его переработки</t>
  </si>
  <si>
    <t>gaz@dgp.gazprom.ru</t>
  </si>
  <si>
    <t>ГАЗПРОМ, ПАО (414 585 534.31 руб., 100%)</t>
  </si>
  <si>
    <t>oppkz@samaratransgaz.gazprom.ru, oppt@samaratransgaz.gazprom.ru, v.subbotin@samaratransgaz.gazprom.ru</t>
  </si>
  <si>
    <t>ГАЗПРОМ, ПАО (1 510 917 000 руб., 100%)</t>
  </si>
  <si>
    <t>emeur@spb.ltg.gazprom.ru, gfokin@spb.ltg.gazprom.ru, gosuslugi@spb.ltg.gazprom.ru, ozhuravliova@spb.ltg.gazprom.ru, sperekhodova@spb.ltg.gazprom.ru, svpanov@spb.ltg.gazprom.ru</t>
  </si>
  <si>
    <t>www.spb-tr.gazprom.ru</t>
  </si>
  <si>
    <t>ГАЗПРОМ, ПАО (20 736 064 650 руб., 100%)</t>
  </si>
  <si>
    <t>secr@utg.gazprom.ru, tender.gts@yandex.ru</t>
  </si>
  <si>
    <t>https://saratov-tr.gazprom.ru/, spniva.ru</t>
  </si>
  <si>
    <t>ГАЗПРОМ, ПАО (3 892 826 000 руб., 100%)</t>
  </si>
  <si>
    <t>ivanov@izobil.ktg.gazprom.ru, ooo@ktg.gazprom.ru, zakupki@ktg.gazprom.ru</t>
  </si>
  <si>
    <t>www.stavropol-tr.gazprom.ru</t>
  </si>
  <si>
    <t>ГАЗПРОМ, ПАО (3 381 323 297.83 руб., 100%)</t>
  </si>
  <si>
    <t>197 380 000</t>
  </si>
  <si>
    <t>ivanovia@surgut.gazprom.ru, kasperovichva@surgut.gazprom.ru, mironovms@surgut.gazprom.ru, neklyudovatv@surgut.gazprom.ru, noskovaov@surgut.gazprom.ru, telegraf@surgut.gazprom.ru, usoltsevaal@surgut.gazprom.ru, vahovskiyov@surgut.gazprom.ru</t>
  </si>
  <si>
    <t>ГАЗПРОМ, ПАО (9 723 524 824.42 руб., 100%)</t>
  </si>
  <si>
    <t>a.brendakov@gtt.gazprom.ru, a.rays@tlru.gtt.gazprom.ru, lev0nsi71@gmail.com, medic@transgaz.tomsk.ru, office@gtt.gazprom.ru, office@transgaz.tomsk.ru, ros@gtt.gazprom.ru, s.kokovikhin@gtt.gazprom.ru, s.levin@gtt.gazprom.ru, socgek@mail.ru</t>
  </si>
  <si>
    <t>https://tomsk-tr.gazprom.ru, tomsktransgaz.ru</t>
  </si>
  <si>
    <t>ГАЗПРОМ, ПАО (36 470 388 335.43 руб., 100%)</t>
  </si>
  <si>
    <t>info@bashtg.gazp, info@bashtg.gazprom.ru, info@ufa-tr.gazprom.ru, prservice@ufa-tr.gazprom.ru</t>
  </si>
  <si>
    <t>ГАЗПРОМ, ПАО (3 095 720 000 руб., 100%)</t>
  </si>
  <si>
    <t>sgp@sgp.gazprom.ru, tsergeeva@sgp.gazprom.ru</t>
  </si>
  <si>
    <t>ГАЗПРОМ, ПАО (5 866 846 817 руб., 100%)</t>
  </si>
  <si>
    <t>24310@ptg.gazprom.ru, bvn@ptg.gazprom.ru, goldobinaoa@ptg.gazprom.ru, kaa@ptg.gazprom.ru, kozlovel@ptg.gazprom.ru, ssuslikov2006@yandex.ru</t>
  </si>
  <si>
    <t>www.ptg.gazprom.ru</t>
  </si>
  <si>
    <t>ГАЗПРОМ, ПАО (3 219 201 000 руб., 100%)</t>
  </si>
  <si>
    <t>aa.vtekhina@ttg.gazprom.ru, agliullinasg@blr.ttg.gazprom.ru, asu_sn@ttg.gazprom.ru, av.barsukov@ndm.tgg.gazprom.ru, av.kaskov@ttg.gazprom.ru, dd.slobodchikov@blr.ttg.gazprom.ru, dd.slobodchikov@ttg.gazprom.ru, ei.sorokina@cty.ttg.gazprom.ru, eo.dupina@ndm.ttg.gazprom.ru, epuhareva@ttg.gazprom.ru</t>
  </si>
  <si>
    <t>ГАЗПРОМ, ПАО (24 771 850 362.65 руб., 100%)</t>
  </si>
  <si>
    <t>1 014 220 000</t>
  </si>
  <si>
    <t>dobrov@truba.kosnet.ru, gendirector@truba.kosnet.ru, gendirector@vrtz.ru, truba@kosnet.ru</t>
  </si>
  <si>
    <t>www.vrpp.ru</t>
  </si>
  <si>
    <t>ГАЗПРОМ, ПАО (99.90%)
КОСТРОМАТРУБИНВЕСТ, ООО ТД (0.10%)</t>
  </si>
  <si>
    <t>gasflot@gasflot.ru, gazflot@gazflot.gazprom.ru, gazpromflot@gazpromflot.ru, karlova@gasflot.ru, karlova@gazpromflot.ru, kuznetsova@gazpromflot.ru, logistics@gasflot.ru</t>
  </si>
  <si>
    <t>http://flot.gazprom.ru/</t>
  </si>
  <si>
    <t>ГАЗПРОМ, ПАО (21 112 804 817 руб., 100%)</t>
  </si>
  <si>
    <t>aurora-ipm.ru</t>
  </si>
  <si>
    <t>1 932 960 000</t>
  </si>
  <si>
    <t>a.medvedev@gazpromexport.com, e.babakova@gazpromexport.gazprom.ru, e.kazakova@gazpromexport.gazprom.ru, e.shamovski@gazpromexport.gazprom.ru, info@gazpromexport.ru, m01.tender@gazpromexport.com</t>
  </si>
  <si>
    <t>ГАЗПРОМ, ПАО (1 871 583 000 руб., 100%)</t>
  </si>
  <si>
    <t>18 917 580 000</t>
  </si>
  <si>
    <t>a.karavan@svf.energo.gazprom.ru, a.kostenko@tender.gazprom.ru, e.hobot@cf.energo.gazprom.ru, e.tubolec@nf.energo.gazprom.ru, i.gerchenko@adm.energo.gazprom.ru, info@adm.energo.gazprom.ru, info@adm.enerqo.gazprom.ru, info@svf.enerqo.gazprom.ru, info@svf.ru, info@svt.energo.gazprom.ru</t>
  </si>
  <si>
    <t>www.gazpromenergo.gazprom.ru</t>
  </si>
  <si>
    <t>ГАЗПРОМ, ПАО (1 050 000 руб., 100%)</t>
  </si>
  <si>
    <t>Передача электроэнергии</t>
  </si>
  <si>
    <t>customer@jsc-gyd.ru, export@jsc-gyd.ru, sales@jsc-gyd.ru, yrgm@gazprom.yrgm.ru</t>
  </si>
  <si>
    <t>16 329 890 000</t>
  </si>
  <si>
    <t>office@yrgm-trading.ru, vrgmtrading@mail.ru</t>
  </si>
  <si>
    <t>22 960 420 000</t>
  </si>
  <si>
    <t>info@medgaz.gazprom.ru</t>
  </si>
  <si>
    <t>www.medgaz.ru</t>
  </si>
  <si>
    <t>ГАЗПРОМ, ПАО (n/a)</t>
  </si>
  <si>
    <t>Общая врачебная практика</t>
  </si>
  <si>
    <t>hotline@ss.gazprom.ru, i.bestchastnova@adm.gazprom.ru, inf@adm.gazprom.ru, ir@gazprom.ru, o.egorova@adm.gazprom.ru, office@fillialusz.gazprom.ru, s.sushilina@adm.gazprom.ru, t.prokudina@adm.gazprom.ru, webmaster@gazprom.ru, yurist@soyuz.gazprom.ru</t>
  </si>
  <si>
    <t>ask@gpbl.ru, client@gpbl.ru, info@gpbl.ru, ls@gpbl.ru, rumak82@rambler.ru, voloshchenkoav@gpbl.ru</t>
  </si>
  <si>
    <t>ГАЗПРОМБАНК ЛИЗИНГ, АО (3 000 000 руб., 100%)</t>
  </si>
  <si>
    <t>leasing@gazprombank.ru, sergei.ershov@gpbl.ru, talanenkoiav@gpbl.ru</t>
  </si>
  <si>
    <t>Деятельность по финансовой аренде (лизингу/сублизингу) в прочих областях, кроме племенных животных</t>
  </si>
  <si>
    <t>877 810 000</t>
  </si>
  <si>
    <t>ekaterina.klochkova@gpbl.ru, ershovsa@gpbl.ru</t>
  </si>
  <si>
    <t>ГАЗПРОМБАНК ЛИЗИНГ, АО (640 000 000 руб., 100%)</t>
  </si>
  <si>
    <t>35 370 000</t>
  </si>
  <si>
    <t>ito@gazprom-neft.ru, ognyanik.nv@nsk.gazprom-neft.ru</t>
  </si>
  <si>
    <t>ГАЗПРОМ НЕФТЬ, ПАО (2 963 199 072.11 руб., 100%)</t>
  </si>
  <si>
    <t>Деятельность по управлению компьютерным оборудованием</t>
  </si>
  <si>
    <t>161 760 000</t>
  </si>
  <si>
    <t>shilko.ea@gazpromneft-ntc.ru, syzdikov.af@gazpromneft-ntc.ru</t>
  </si>
  <si>
    <t>ГАЗПРОМ НЕФТЬ, ПАО (1 217 000 руб., 100%)</t>
  </si>
  <si>
    <t>177 780 000</t>
  </si>
  <si>
    <t>ooo.nen@yamal.gazprom-neft.ru</t>
  </si>
  <si>
    <t>ГАЗПРОМ НЕФТЬ, ПАО (213 672 992 руб., 100%)</t>
  </si>
  <si>
    <t>ГАЗПРОМ НЕФТЬ, ПАО (161 485 245 руб., 100%)</t>
  </si>
  <si>
    <t>88 680 000</t>
  </si>
  <si>
    <t>reception@tomsk.gazprom-neft.ru</t>
  </si>
  <si>
    <t>http://vostok.gazprom-neft.ru/</t>
  </si>
  <si>
    <t>ГАЗПРОМ НЕФТЬ, ПАО (2 767 150 172.13 руб., 51%)
МУБАДАЛА ЭНЕРДЖИ (ТОМСК) Л.Л.К. (2 387 345 246.09 руб., 44%)
ППИТ-12, ООО (271 289 231.99 руб., 5%)</t>
  </si>
  <si>
    <t>8 043 590 000</t>
  </si>
  <si>
    <t>gpn-zapolar@yamal.gazprom-neft.ru</t>
  </si>
  <si>
    <t>ГПН-ИНВЕСТ, ООО (1 005 587 050 руб., 100%)
ГПН-ЗС, ООО (100 руб.)</t>
  </si>
  <si>
    <t>13 712 720 000</t>
  </si>
  <si>
    <t>geofizika@gazprom-neft.ru, geofizika@yamal.gazprom-neft.ru, kamenskikh.nv@yamal.gazprom-neft.ru, n.kamenskih@yamal.gazprom-neft.ru, zaytseva.aa@yamal.gazprom-neft.ru</t>
  </si>
  <si>
    <t>ir.gazprom-neft.ru/subsidiary-companies/</t>
  </si>
  <si>
    <t>ГАЗПРОМ НЕФТЬ, ПАО (29 309 760 руб., 100%)</t>
  </si>
  <si>
    <t>asoi@nng.ru, nng@yamal.sibneft.ru, od-nng@yamal.gazprom-neft.ru, romanova.sbk@yamal.gazprom-neft.ru</t>
  </si>
  <si>
    <t>www.gazprom-neft.ru</t>
  </si>
  <si>
    <t>20 818 470 000</t>
  </si>
  <si>
    <t>ГАЗПРОМ НЕФТЬ, ПАО (164 407 400 руб., 100%)</t>
  </si>
  <si>
    <t>4 698 220 000</t>
  </si>
  <si>
    <t>dmitrieva.iv@hantos.gazprom-neft.ru, priemnaya.hantos@hantos.gazprom-neft.ru</t>
  </si>
  <si>
    <t>www.hm.gazprom-neft.ru</t>
  </si>
  <si>
    <t>ГАЗПРОМ НЕФТЬ, ПАО (15 942 787.47 руб., 100%)</t>
  </si>
  <si>
    <t>88 519 510 000</t>
  </si>
  <si>
    <t>info@it-sk.ru</t>
  </si>
  <si>
    <t>ГАЗПРОМ НЕФТЬ, ПАО (10 000 000 руб., 100%)</t>
  </si>
  <si>
    <t>78 700 000</t>
  </si>
  <si>
    <t>ГАЗПРОМ НЕФТЬ, ПАО (10 000 руб., 100%)</t>
  </si>
  <si>
    <t>gpn_np@tmn.gazprom-neft.ru, info@yamaloil.ru, lesin.av@tmn.gazprom-neft.ru, lutskaya.yua@tmn.gazprom-neft.ru, sales@yamaloil.ru</t>
  </si>
  <si>
    <t>yamaloil.ru</t>
  </si>
  <si>
    <t>ГАЗПРОМ НЕФТЬ, ПАО (103 095 000 руб., 90%)
ГАЗПРОМ, ПАО (11 455 000 руб., 10%)</t>
  </si>
  <si>
    <t>12 467 360 000</t>
  </si>
  <si>
    <t>office@gptrans.gazprom.ru</t>
  </si>
  <si>
    <t>www.trans.gazprom.ru</t>
  </si>
  <si>
    <t>ГАЗПРОМ, ПАО (13 965 118 103 руб., 100%)</t>
  </si>
  <si>
    <t>info@gazsnabinvest.ru</t>
  </si>
  <si>
    <t>www.gazsnabinvest.ru, газснабинвест.рф</t>
  </si>
  <si>
    <t>Киселев Сергей Владимирович (100 000 руб., 100%)</t>
  </si>
  <si>
    <t>Производство прочих готовых металлических изделий</t>
  </si>
  <si>
    <t>751 670 000</t>
  </si>
  <si>
    <t>Дробышева Наталья Павловна (40 000 руб., 100%)</t>
  </si>
  <si>
    <t>9 340 000</t>
  </si>
  <si>
    <t>gsd@tula.net, info@gazstroydetal.ru, lisichkinvv@gazstroydet.net, lisichkinvv@gazstroydetal.ru, maklyginaa@gazstroydet.net, maklyginaa@gazstroydetal.ru, mihaylusovvp@gazstroydet.net, pogosyanig@gazstroydetal.ru, semenovai@gazstroydetal.ru, semyonovai@gazstroydet.net</t>
  </si>
  <si>
    <t>kalikamv@zaogsp.ru, office-msk@zogsp.ru, steninaan@zaogsp.ru</t>
  </si>
  <si>
    <t>www.zaogsp.ru</t>
  </si>
  <si>
    <t>17 310 000</t>
  </si>
  <si>
    <t>belkinadm@gsprom.ru, belkinadm@gsprom.ru; kosolapovaov@gsprom.ru; kaderkaevaad@gsprom.ru, info@gsprom.ru</t>
  </si>
  <si>
    <t xml:space="preserve">gsprom.ru, www.gsprom.ru </t>
  </si>
  <si>
    <t>ЗАКРЫТЫЙ ПАЕВОЙ ИНВЕСТИЦИОННЫЙ КОМБИНИРОВАННЫЙ ФОНД "ГИПЕРИОН" (16 000 000 руб., 100%)</t>
  </si>
  <si>
    <t>Деятельность головных офисов</t>
  </si>
  <si>
    <t>2669490@mail.ru, al_simonov@gazeks.ru, gazeks@mail.ru, i_bushmanova@gazeks.com, k_vyhodsev@gazeks.com, l_dobrynina@gazeks.ru, m_grebeneva@gazeks.com, n_nizamutdinova@gazeks.com, n_sergeeva@gazeks.ru, p_sorokin@gazeks.com</t>
  </si>
  <si>
    <t>127 070 000</t>
  </si>
  <si>
    <t>ai.emelianova@ttg.gazprom.ru, alena150@inbox.ru, ekostyuchenko@mail.ru, fursovays@mrg-sbyt.ru, info@gaspromenergosbyt.ru, info@gazpromenergosbyt.ru, info@mrg-sbyt.ru, info@qazpromenerqosbyt.ru, li.teplostanskaya@ndm.ttg.gazprom.ru, tmv@gazpromenergosbut.ru</t>
  </si>
  <si>
    <t>www.mrg-sbyt.ru</t>
  </si>
  <si>
    <t>2 846 850 000</t>
  </si>
  <si>
    <t>adm@gesturbo.ru, ddm@gesturbo.ru, it@gesturbo.ru, jurdep@gesturbo.ru</t>
  </si>
  <si>
    <t>turbonara.ru</t>
  </si>
  <si>
    <t>1c_logs@energosales.ru, 1mai@mail.ru, 544545@mail.ru, 7777772@mail.ru, 87899@mail.ru, abdibekov.zo@energosales.ru, abusheva.tv@energosales.ru, abysev.vv@energosales.ru, abyshev.vv@energosales.ru, abysheva.tv@energosales.ru</t>
  </si>
  <si>
    <t>693 810 000</t>
  </si>
  <si>
    <t>es5@ggok.ru, info@ggok.ru, jb1@ggok.ru</t>
  </si>
  <si>
    <t>www.ggok.ru</t>
  </si>
  <si>
    <t>УРАЛЬСКАЯ ГОРНО-МЕТАЛЛУРГИЧЕСКАЯ КОМПАНИЯ , ОАО УГМК, ОАО (93.00%)</t>
  </si>
  <si>
    <t>3 459 890 000</t>
  </si>
  <si>
    <t>bgo@elertro32.ru, brelektro@mail.ru, elektro32@mail.ru, gazpro32@mail.ru, gazpromenbrk@mail.ru, gazpromenergoo@mail.ru, kotelnikova.yus@elektro-32.ru, lotsmanova.ev@electro.ru, orehovat@energosales.ru, ostrovskaya.ag@energosales.ru</t>
  </si>
  <si>
    <t>ГАЗПРОМ ЭНЕРГОСБЫТ ТЮМЕНЬ, АО (136 246 406.26 руб., 99.99%)
ИНЖИНИРИНГОВАЯ КОМПАНИЯ ЭНЕРГЕТИЧЕСКИЕ РЕШЕНИЯ В ЭЛЕКТРОЭНЕРГЕТИКЕ, ООО (15 043.39 руб., 0.010%)</t>
  </si>
  <si>
    <t>38 590 000</t>
  </si>
  <si>
    <t>nothvictor@gmail.com</t>
  </si>
  <si>
    <t>galaform.ru</t>
  </si>
  <si>
    <t>169 420 000</t>
  </si>
  <si>
    <t>a.sirotinin@foodline.ru, chl@mnogomoloka.ru, melnikova@molzavod.ru, stepanova@mail.ru, stepanova@mnogomoloka.ru, stepanova@molzavod.ru, treskunova@molzavod.ru, tst@mnogomoloka.ru</t>
  </si>
  <si>
    <t>mnogomoloka.ru</t>
  </si>
  <si>
    <t>ЛАТЕО, ООО (320 000 руб., 32%)
АКВАМАРИН, ООО (190 000 руб., 19%)</t>
  </si>
  <si>
    <t>andreeva@molzavod.ru, mezhueva@molzavod.ru</t>
  </si>
  <si>
    <t>ЛАТЕО, ООО (18 810 292 руб., 32%)
АКЦИОНЕРНАЯ КОМПАНИЯ "АЛЬТЭЙР ХОЛДИНГ С.А." (15 421 500 руб., 26.24%)
АКВАМАРИН, ООО (11 186 244.62 руб., 19.03%)
КОМПАНИЯ "КИНГ ТАЙМ МАРИН ПРАЙВИТ ЛИМИТЕД" (11 136 280.48 руб., 18.94%)
Дю Игорь Сан-Сенович (2 227 843.9 руб., 3.79%)</t>
  </si>
  <si>
    <t>proftool@gmail.com</t>
  </si>
  <si>
    <t>Зыкина Елена Васильевна (6 800 руб., 34%)
Зыкин Кирилл Викторович (6 600 руб., 33%)
Зыкин Никита Викторович (6 600 руб., 33%)</t>
  </si>
  <si>
    <t>Торговля розничная бытовыми электротоварами в специализированных магазинах</t>
  </si>
  <si>
    <t>rus_office@aaanet.ru, skst_01@mail.ru, szgalaktika1@gmail.com</t>
  </si>
  <si>
    <t>Сурмалян Арутюн Арменакович (340 000 000 руб., 85%)
СК СТРОЙТРЕСТ, ООО (40 000 000 руб., 10%)
ИНТЕГРАЛ, ООО (20 000 000 руб., 5%)</t>
  </si>
  <si>
    <t>154 500 000</t>
  </si>
  <si>
    <t>galastore@yandex.ru</t>
  </si>
  <si>
    <t>arendagalamart.ru</t>
  </si>
  <si>
    <t>ВИАЛАКТЕЯ, ООО (1 000 000 руб., 100%)</t>
  </si>
  <si>
    <t>KALAZACO LIMITED (24 000 000 руб., 100%)</t>
  </si>
  <si>
    <t>31 880 000</t>
  </si>
  <si>
    <t>103 730 000</t>
  </si>
  <si>
    <t>gummi@kis.ru</t>
  </si>
  <si>
    <t>www.gummi.ru</t>
  </si>
  <si>
    <t>55 350 000</t>
  </si>
  <si>
    <t>mariya.i.mazhirina@inchcape.ru, nikita.zubkov@inchcape.ru</t>
  </si>
  <si>
    <t>toyota-vnukovo.inchcape.ru</t>
  </si>
  <si>
    <t>ММ ЭНД БХ-1, ООО (34 928 388.3 руб., 30%)
ММ ЭНД БХ-2, ООО (34 928 388.3 руб., 30%)
ММ ЭНД БХ-3, ООО (23 285 592.2 руб., 20%)
ММ ЭНД БХ-4, ООО (23 285 592.2 руб., 20%)</t>
  </si>
  <si>
    <t>325 590 000</t>
  </si>
  <si>
    <t>Артемьев Сергей Владимирович (5 000 руб., 50%)
Сухарев Николай Андреевич (5 000 руб., 50%)</t>
  </si>
  <si>
    <t>11 470 000</t>
  </si>
  <si>
    <t>2@garant1.ru, arant@garant1.ru, eiena@garant.ru, garant@garantl.iru, garant@grant1.ru, garantspb@yandex.ru, gorohova@garantl.ru, katya@garant1.ru, krasnodar@garant.ru, krasnodar@garant1.ru</t>
  </si>
  <si>
    <t>garant1.com, garant1.myinsales.ru, www.garant1.ru</t>
  </si>
  <si>
    <t>611 790 000</t>
  </si>
  <si>
    <t>319@garantgroup.com</t>
  </si>
  <si>
    <t>www.garantgroup.com</t>
  </si>
  <si>
    <t>Веселова Татьяна Геннадьевна (5 600 000 руб., 28%)
Киселев Александр Сергеевич (4 800 000 руб., 24%)
Лукьяненко Игорь Владимирович (4 800 000 руб., 24%)
Рудич Юрий Борисович (4 800 000 руб., 24%)</t>
  </si>
  <si>
    <t>93 700 000</t>
  </si>
  <si>
    <t>ГРИ, АО (10 000 руб., 100%)</t>
  </si>
  <si>
    <t>Торговля оптовая ювелирными изделиями</t>
  </si>
  <si>
    <t>21 240 000</t>
  </si>
  <si>
    <t>asanov@fort.crimea.com, elena.degtyareva@mriyaresort.com, id@mriyaresort.com, info@mriyaresort.com, kristina.lyashko@mriyaresort.com, med@mriyaresort.com</t>
  </si>
  <si>
    <t>academy-hospitality.ru, dreamwoodpark.ru, japancrimea.ru, mriyalife.ru, mriyamed.ru, mriyarealty.ru, nashguru.ru, ognivo-delivery.ru, park-fest.ru, wineparkfest.ru</t>
  </si>
  <si>
    <t>Деятельность санаторно-курортных организаций</t>
  </si>
  <si>
    <t>info@garmet.ru</t>
  </si>
  <si>
    <t>Ямов Петр Вячеславович (500 000 руб., 100%)</t>
  </si>
  <si>
    <t>1 314 910 000</t>
  </si>
  <si>
    <t>www.tvzakaz.ru</t>
  </si>
  <si>
    <t>Димова Карина Игоревна (1 000 000 руб., 100%)</t>
  </si>
  <si>
    <t>Торговля розничная аудио- и видеотехникой в специализированных магазинах</t>
  </si>
  <si>
    <t>157 950 000</t>
  </si>
  <si>
    <t>lopteva.j@garm.ru</t>
  </si>
  <si>
    <t>garm.ru</t>
  </si>
  <si>
    <t>Терехин Олег Леонидович (5 000 000 руб., 50%)
Шапошников Максим Игоревич (5 000 000 руб., 50%)</t>
  </si>
  <si>
    <t>ooogart@yandex.ru</t>
  </si>
  <si>
    <t>Гарнатка Роман Николаевич (10 000 руб., 100%)</t>
  </si>
  <si>
    <t>1 270 000</t>
  </si>
  <si>
    <t>e.nizelskaya@gazartstroy.ru, info@gazartstroy.ru</t>
  </si>
  <si>
    <t>gazartstroy.ru</t>
  </si>
  <si>
    <t>СТНГ, АО (10 000 руб., 100%)</t>
  </si>
  <si>
    <t>rek@weissgauff.ru, zakaz@weissgauff.ru</t>
  </si>
  <si>
    <t>www.weissgauff.ru</t>
  </si>
  <si>
    <t>Ольхов Алексей Владимирович (8 100 000 руб., 81%)
Майба Татьяна Владимировна (1 900 000 руб., 19%)</t>
  </si>
  <si>
    <t>416 050 000</t>
  </si>
  <si>
    <t>tender@gvardiola.ru, tmr@termoros.com</t>
  </si>
  <si>
    <t>189 880 000</t>
  </si>
  <si>
    <t>АГРИКО, ООО (106 977 158.88 руб., 99.98%)
АГРОФИРМА ЗОЛОТАЯ НИВА, ООО (12 000 руб., 0.011%)</t>
  </si>
  <si>
    <t>1 503 080 000</t>
  </si>
  <si>
    <t>dikarev@gvsu.ru, info@gvsu.ru, khruleva@gvsu.ru, torgi@gvsu.ru</t>
  </si>
  <si>
    <t>bereleh@su.msi.ru, gdk-bereleh@rambler.ru, priemnaya@susbereleh.ru, ryazanova@susbereleh.ru</t>
  </si>
  <si>
    <t>gdk-bereleh.ru, http://dvreestr.vl.ru</t>
  </si>
  <si>
    <t>КОЛЫМАНЕФТЕПРОДУКТ, ООО (89.11%)</t>
  </si>
  <si>
    <t>1 387 750 000</t>
  </si>
  <si>
    <t>ГЕА ГРУПП АКЦИЕНГЕЗЕЛЬШАФТ (294 554 623 руб., 100%)</t>
  </si>
  <si>
    <t>66 370 000</t>
  </si>
  <si>
    <t>info@ru.westfalia.com</t>
  </si>
  <si>
    <t>www.westfalia.com</t>
  </si>
  <si>
    <t>ГЕА ГРУПП АКЦИЕНГЕЗЕЛЬШАФТ (245 016 505 руб., 100%)</t>
  </si>
  <si>
    <t>405 970 000</t>
  </si>
  <si>
    <t>72hrs.ru, aertalcream.ru, airtalcream.ru, contracepcia.ru, kontracepcia.ru, oralsept.ru, panangin.ru, stopdiar.ru, w-health.ru, аэрталкрем.рф</t>
  </si>
  <si>
    <t>ОТКРЫТОЕ АКЦИОНЕРНОЕ ОБЩЕСТВО ХИМИЧЕСКИЙ ЗАВОД "ГЕДЕОН РИХТЕР" (477 000 000 руб., 100%)</t>
  </si>
  <si>
    <t>ngb@gexa.ru</t>
  </si>
  <si>
    <t>Маттей Виктория Анатольевна (8 933 220 руб., 100%)</t>
  </si>
  <si>
    <t>432 730 000</t>
  </si>
  <si>
    <t>office@geliosplus.ru</t>
  </si>
  <si>
    <t>Клименко Владимир Александрович (10 000 руб., 100%)</t>
  </si>
  <si>
    <t>14 150 000</t>
  </si>
  <si>
    <t>n.emelyanova@gpodryad.ru, n.mazurova01@gmail.com, sdo@gpodryad.ru</t>
  </si>
  <si>
    <t>Деркач Владимир Васильевич (10 000 руб., 100%)</t>
  </si>
  <si>
    <t>99 570 000</t>
  </si>
  <si>
    <t>info@gst3.ru</t>
  </si>
  <si>
    <t>gst3.ru</t>
  </si>
  <si>
    <t>ТРЕТИЙ ТРЕСТ-ИНВЕСТ, ООО (36 178 677 руб., 100%)</t>
  </si>
  <si>
    <t>6 320 000</t>
  </si>
  <si>
    <t>7811077889@eo.tensor.ru, atyagachev@geoizol.ru</t>
  </si>
  <si>
    <t>geoizol.ru</t>
  </si>
  <si>
    <t>Лашкова Елена Борисовна (10 000 руб., 100%)</t>
  </si>
  <si>
    <t>Работы строительные специализированные прочие, не включенные в другие группировки</t>
  </si>
  <si>
    <t>nesterova.natalya@geox.com</t>
  </si>
  <si>
    <t>www.geox.com</t>
  </si>
  <si>
    <t>АКЦИОНЕРНОЕ ОБЩЕСТВО ГЕОКС (60 000 000 руб., 100%)</t>
  </si>
  <si>
    <t>132 850 000</t>
  </si>
  <si>
    <t>2405014@gmail.com, info@geoline-tech.com</t>
  </si>
  <si>
    <t>Мкртичян Андрей Григорьевич (1 000 000 руб., 100%)</t>
  </si>
  <si>
    <t>33 000 000</t>
  </si>
  <si>
    <t>QALICHE SERVICES LIMITED (2 450 658 015.2 руб., 100%)</t>
  </si>
  <si>
    <t>1 068 450 000</t>
  </si>
  <si>
    <t>s.uliynich@belpig.ru</t>
  </si>
  <si>
    <t>АПХ МИРАТОРГ, ООО (817 270 829.34 руб., 100%)</t>
  </si>
  <si>
    <t>371 670 000</t>
  </si>
  <si>
    <t>georgievsky@belugagroup.ru, info@diamant-alko.ru</t>
  </si>
  <si>
    <t>СИНЕРГИЯ МАРКЕТ, ООО (100 000 000 руб., 100%)</t>
  </si>
  <si>
    <t>95 400 000</t>
  </si>
  <si>
    <t>geosint2016@mail.ru, info@geos.pro, info@geos.pro; infogeos24@yandex.ru, infogeos24@yandex.ru, ktn@texpolimer.ru, tender@geos.pro</t>
  </si>
  <si>
    <t>Пось Елена Юрьевна (10 000 руб., 100%)</t>
  </si>
  <si>
    <t>48 390 000</t>
  </si>
  <si>
    <t>geostroy_msk@mail.ru, ooo_geostroy@mail.ru</t>
  </si>
  <si>
    <t>www.geostroy.net</t>
  </si>
  <si>
    <t>Полевов Павел Юрьевич (5 000 000 руб., 100%)</t>
  </si>
  <si>
    <t>153 210 000</t>
  </si>
  <si>
    <t>ayokhna@gseis.ru, epakhomova@gseis.ru, info@geotechcom.ru, oposelskaya@gseis.ru, pshmurygin@gseis.ru, reception@integragf.ru</t>
  </si>
  <si>
    <t>www.gseis.ru</t>
  </si>
  <si>
    <t>fgera@bk.ru, firmagera@atom.ru, info@firmagera.ru, info@geragroup.ru</t>
  </si>
  <si>
    <t>Гаспарян Армен Мнацаканович (15 000 руб., 60%)
Гаспарян Мнацакан Симонович (6 250 руб., 25%)
Никогосян Арсен Саргисович (3 750 руб., 15%)</t>
  </si>
  <si>
    <t>344 440 000</t>
  </si>
  <si>
    <t>office@gerkules.ru, sulimova_ea@gerkules.ru</t>
  </si>
  <si>
    <t>www.gerkules.ru</t>
  </si>
  <si>
    <t>Якушкин Евгений Михайлович (25 122.1 руб., 56.25%)
Кравченко Дмитрий Николаевич (8 863.2 руб., 19.85%)
ГЕРКУЛЕС-СИБИРЬ, ООО (6 038.05 руб., 13.52%)
Боленков Андрей Викторович (4 636.8 руб., 10.38%)</t>
  </si>
  <si>
    <t>339 120 000</t>
  </si>
  <si>
    <t>germes-energo.ru</t>
  </si>
  <si>
    <t>Лупанова Надежда Евгеньевна (5 000 руб., 50%)
Рыков Владимир Геннадьевич (5 000 руб., 50%)</t>
  </si>
  <si>
    <t>85 530 000</t>
  </si>
  <si>
    <t>pavlenkovamy@schneider-group.com</t>
  </si>
  <si>
    <t>Guess' Europe, B.V. (527 741 690 руб., 70%)
Шикулов Вячеслав Александрович (226 175 010 руб., 30%)</t>
  </si>
  <si>
    <t>24 130 000</t>
  </si>
  <si>
    <t>ceo@gefestagro.ru, law@gefestagro.ru</t>
  </si>
  <si>
    <t>gefestagro.ru</t>
  </si>
  <si>
    <t>Истилюев Руслан Максутович (25 000 000 руб., 50%)
Ларионов Олег Александрович (25 000 000 руб., 50%)</t>
  </si>
  <si>
    <t>jurist.gmz@mail.ru, secretar@gmz.su</t>
  </si>
  <si>
    <t>Гусейнова Нуриет Гиссовна (100%)</t>
  </si>
  <si>
    <t>Производство сливочного масла, топленого масла, масляной пасты, молочного жира, спредов и топленых сливочно-растительных смесей</t>
  </si>
  <si>
    <t>192 350 000</t>
  </si>
  <si>
    <t>evdokimova_ov@hms.ru, gidro@hms.ru, hydro@hms.ru</t>
  </si>
  <si>
    <t>www.hms.ru</t>
  </si>
  <si>
    <t>ГРУППА ГМС, АО (317 000 000 руб.)</t>
  </si>
  <si>
    <t>gidroremont@rushydro.ru, konyukovap@rushydro.ru, osipoveg@rushydro.ru, petrovaaa@rushydro.ru, popykinva@rushydro.ru, ufa@rushydro.ru</t>
  </si>
  <si>
    <t>www.hvkk.rushydro.ru</t>
  </si>
  <si>
    <t>РУСГИДРО, ПАО (535 040 руб.)</t>
  </si>
  <si>
    <t>gs@gidrostroj.ru, iturup@gidrostroy.com, iturup@yandex.ru, serebrov.gidrostroi@rambler.ru, turup@gidrostroy.com</t>
  </si>
  <si>
    <t>www.gidrostroy.com</t>
  </si>
  <si>
    <t>470 340 000</t>
  </si>
  <si>
    <t>info@gilk.ru</t>
  </si>
  <si>
    <t>www.gilk.ru</t>
  </si>
  <si>
    <t>9 020 000</t>
  </si>
  <si>
    <t>tender@giper.tv</t>
  </si>
  <si>
    <t>Плаксин Максим Георгиевич (19 796 000 руб., 98%)
Швыдко Юрий Владимирович (404 000 руб., 2%)</t>
  </si>
  <si>
    <t>44 330 000</t>
  </si>
  <si>
    <t>mento@mail.ru</t>
  </si>
  <si>
    <t>www.globus.ru</t>
  </si>
  <si>
    <t>"АЛЬФА ХАНДЕЛЬС- УНД МАРКЕТИНГ ГМБХ" (5 815 080 767 руб., 99.61%)
ГЛОБУС ГРУНДШТЮКСФЕРВЕРТУНГ УНД ЛИЗИНГ МОСКАУ ГМБХ (22 767 608 руб., 0.39%)</t>
  </si>
  <si>
    <t>1 853 830 000</t>
  </si>
  <si>
    <t>gtp@gtp.transneft.ru</t>
  </si>
  <si>
    <t>http://www.giprotruboprovod.transneft.ru, www.gtp.transneft.ru</t>
  </si>
  <si>
    <t>ТРАНСНЕФТЬ, ПАО (5 737 руб.)</t>
  </si>
  <si>
    <t>evdokimovaov@gtng.ru, gtng@gtng.ru, konevanv@gtng.ru, nugaeva_n@sibneftemash.ru</t>
  </si>
  <si>
    <t>gtng.ru</t>
  </si>
  <si>
    <t>РН-АКТИВ, ООО (28%)
СИБНЕФТЕМАШ, АО (22.96%)
ГМС НЕФТЕМАШ, АО (11.48%)
ГИДРОМАШСЕРВИС, АО (7.60%)
ИПФ СИБНА, АО (3.80%)</t>
  </si>
  <si>
    <t>spm@gird.ru</t>
  </si>
  <si>
    <t>www.gird.ru</t>
  </si>
  <si>
    <t>Белоус Иосиф Семенович (5 000 руб., 25%)
Векшин Дмитрий Владимирович (5 000 руб., 25%)
Пузырев Георгий Петрович (5 000 руб., 25%)
Сулейманов Ринат Хисматович (5 000 руб., 25%)</t>
  </si>
  <si>
    <t>178 540 000</t>
  </si>
  <si>
    <t>gireysahar@v-k-b.ru</t>
  </si>
  <si>
    <t>gsah.ru</t>
  </si>
  <si>
    <t>Окунев Дмитрий Владимирович (10 000 руб., 100%)</t>
  </si>
  <si>
    <t>13 340 000</t>
  </si>
  <si>
    <t>gendir@gift58.ru</t>
  </si>
  <si>
    <t>Гульянц Ольга Сергеевна (12 681 900 руб., 99%)
Ивашкин Петр Юрьевич (128 100 руб., 1%)</t>
  </si>
  <si>
    <t>347 400 000</t>
  </si>
  <si>
    <t>i.kosaurova@accordpost.ru, info@accordpost.ru</t>
  </si>
  <si>
    <t>www.accordpost.ru</t>
  </si>
  <si>
    <t>Деятельность полиграфическая и предоставление услуг в этой области</t>
  </si>
  <si>
    <t>111 620 000</t>
  </si>
  <si>
    <t>e.kusina@atlantis-company.com, m.kuznetsov@atlantis-company.com</t>
  </si>
  <si>
    <t>atlantis-company.ru</t>
  </si>
  <si>
    <t>Бхагат Кешав (22 000 000 руб., 100%)</t>
  </si>
  <si>
    <t>bisnessgrup@mail.ru, gkbisnes@bk.ru</t>
  </si>
  <si>
    <t>Балабаев Жанабай Айткалиевич (77 000 000 руб., 100%)</t>
  </si>
  <si>
    <t>Деятельность агентов по оптовой торговле зерном</t>
  </si>
  <si>
    <t>491 050 000</t>
  </si>
  <si>
    <t>buh@gkvertikal.ru, major78@bk.ru, map@gkvertikal.ru, sales@gkvertikal.ru, sales@gkveryikal.ru</t>
  </si>
  <si>
    <t>gkvertikal.ru, uralnext.ru</t>
  </si>
  <si>
    <t>Кузнецов Алексей Валерьевич (50 000 руб., 50%)
Чащин Максим Валерьевич (50 000 руб., 50%)</t>
  </si>
  <si>
    <t>40 690 000</t>
  </si>
  <si>
    <t>7814366367_7814@eo.tensor.ru, info@spbgranit.ru</t>
  </si>
  <si>
    <t>spbgranit.ru</t>
  </si>
  <si>
    <t>РУСИНВЕСТ, АО (56 708 190 руб., 99%)
Евдокимов Андрей Сергеевич (572 810 руб., 1%)</t>
  </si>
  <si>
    <t>377 410 000</t>
  </si>
  <si>
    <t>tndoronicheva@darnitsa.ru, vnegorova@darnitsa.ru</t>
  </si>
  <si>
    <t>darnitsa.ru</t>
  </si>
  <si>
    <t>АЛАДУШКИН ГРУПП, АО (500 000 000 руб., 100%)</t>
  </si>
  <si>
    <t>aoeks.crimea@yandex.ru, o.tishchenko@aoeks.ru, office@aoeks.ru, torgi@aoeks.ru</t>
  </si>
  <si>
    <t>aoeks.ru</t>
  </si>
  <si>
    <t>dkharitonov@inno.tech, eternovaya@datatech.ru, info@inno.tech</t>
  </si>
  <si>
    <t>Т1, ООО (65 000 руб., 65%)
ГК ИННОТЕХ, ООО (32 000 руб., 32%)
БАНК ВТБ (ПАО) (3 000 руб., 3%)</t>
  </si>
  <si>
    <t>ale05@pskovholod.ru, budiet@pskovholod.ru, budijet@pskovholod.ru, budjet@poskovholod.ru, budjet@pskov.ru, budjey@pskovholod.ru, buh3@pskovholod.ru, bujet@pskovholod.ru, ghfg@rt.ru, info@pskovholod.ru</t>
  </si>
  <si>
    <t>pskovmega.ru</t>
  </si>
  <si>
    <t>Акимов Дмитрий Иванович (10 000 руб., 100%)</t>
  </si>
  <si>
    <t>65 590 000</t>
  </si>
  <si>
    <t>Константинов Игорь Владимирович (253 744 489 руб., 100%)</t>
  </si>
  <si>
    <t>144 230 000</t>
  </si>
  <si>
    <t>n.nikolaenkova@gc-novotrans.ru</t>
  </si>
  <si>
    <t>novotrans-perevozki.ru, www.novotrans.com</t>
  </si>
  <si>
    <t>НОВОТРАНС, АО ХК (28 800 руб., 96%)
Гончарова Алина Рашитовна (1 200 руб., 4%)</t>
  </si>
  <si>
    <t>466 730 000</t>
  </si>
  <si>
    <t>i.ladychuk@gk-osnova.ru, office@gk-osnova.ru</t>
  </si>
  <si>
    <t>gk-osnova.ru</t>
  </si>
  <si>
    <t>261 680 000</t>
  </si>
  <si>
    <t>Токарев Андрей Владиславович (10 000 руб., 100%)</t>
  </si>
  <si>
    <t>95 490 000</t>
  </si>
  <si>
    <t>davydova_rr@rossmol.ru, gimalova_tn@mail.ru, info@moloko02.ru, secretary_mgn@rossmol.ru, secretary_nov@rossmol.ru, umzd@bk.ru</t>
  </si>
  <si>
    <t>www.rossmol.ru</t>
  </si>
  <si>
    <t>348 390 000</t>
  </si>
  <si>
    <t>e.bashtanyuk@samoletgroup.ru, info@samoletgroup.ru</t>
  </si>
  <si>
    <t>samoletgroup.ru</t>
  </si>
  <si>
    <t>Кенин Михаил Борисович (30.70%)
Голубков Павел Аркадьевич (28.87%)
Евтушевский Игорь Викторович (5.76%)
Елистратов Антон Николаевич (2.46%)
Голубков Дмитрий Аркадьевич (2.21%)
САМОЛЕТ-РЕЗЕРВ, ООО (0.45%)
Руденко Виталий Владимирович (0.031%)</t>
  </si>
  <si>
    <t>online@keyauto.ru</t>
  </si>
  <si>
    <t>audi-sochi.ru, www.keyauto.ru</t>
  </si>
  <si>
    <t>Баринова Вера Михайловна (31 594 936.2 руб., 30%)
Сергеев Виктор Алексеевич (24 222 784.42 руб., 23%)
Сторожев Юрий Филиппович (16 324 050.37 руб., 15.50%)
Красова Елена Юрьевна (15 270 885.83 руб., 14.50%)
Сергеев Антон Викторович (10 531 645.4 руб., 10%)
Сергеева Лидия Васильевна (7 372 151.78 руб., 7%)</t>
  </si>
  <si>
    <t>126 550 000</t>
  </si>
  <si>
    <t>buh@severavtodor.ru, fomagingosusl@severavtodor.ru, gp@severavtodor.ru, gr@severavtodor.ru, hmao-sad@mail.ru, pto@severar4odor.ru, pto@severartodor.ru, pto@severavtoor.ru, uh@severavtodor.ru</t>
  </si>
  <si>
    <t>v_ermol@mail.ru</t>
  </si>
  <si>
    <t>sibei.ru</t>
  </si>
  <si>
    <t>Коледова Анна Андреевна (5 000 000 руб., 100%)</t>
  </si>
  <si>
    <t>81 630 000</t>
  </si>
  <si>
    <t>gcsia.ru, www.gcsia.com</t>
  </si>
  <si>
    <t>Кинжибалова Юлия Александровна (31 666.67 руб., 76%)
Совада Йоханн Рафаэль (10 000 руб., 24%)</t>
  </si>
  <si>
    <t>26 320 000</t>
  </si>
  <si>
    <t>golovnovmv@gaz.ru, iukashinie@st.tech, kalenovvm@st.tech, lukashin.ig@yandex.ru, lukashinie@st.tech, lukashinie@strans.tec, lukashinie@strans.tech, lukashininie@strans.tech, sazanovav@strans.tech, shtalenkovsv@strans.tech</t>
  </si>
  <si>
    <t>azgaz.ru, gaz-connect.ru, gaz-fleet.ru, gazell.ru, gazfleet.ru, mediagaz.ru, газ-флит.рф, газфлит.рф</t>
  </si>
  <si>
    <t>omarkin@gkset.ru</t>
  </si>
  <si>
    <t>gkset.ru</t>
  </si>
  <si>
    <t>Буренков Андрей Анатольевич (50 000 руб., 50%)
Попов Кирилл Николаевич (50 000 руб., 50%)</t>
  </si>
  <si>
    <t>Обработка и утилизация неопасных отходов</t>
  </si>
  <si>
    <t>106 240 000</t>
  </si>
  <si>
    <t>info.tss@mtu-net.ru, info@tss.kz, info@tss.ru, info@tud.ru, rostov@tss.ru, samara@tss.ru, sms@tss.ru, svg@tss.ru, tender@tss.ru</t>
  </si>
  <si>
    <t>www.tss.ru</t>
  </si>
  <si>
    <t>Сорокин Владимир Геннадьевич (3 100 000 руб., 100%)</t>
  </si>
  <si>
    <t>Производство электродвигателей, электрогенераторов и трансформаторов</t>
  </si>
  <si>
    <t>116 070 000</t>
  </si>
  <si>
    <t>a.shestakova@ulkust.ru, admin.utk@ulkust.ru, ignateva@ulkust.ru, kd.gk@ulkust.ru, ponomareva.n@ulkust.ru, ulk029@mail.ru, ulk@ilkust.ru, ulk@ulkusr.ru, ulk@ulkust.ru, urist.ulpk@ulkust.ru</t>
  </si>
  <si>
    <t>http://ulkust.ru</t>
  </si>
  <si>
    <t>Буторин Владимир Федорович (2 057 577 550 руб., 70%)
Крюкова Татьяна Евгеньевна (529 091 370 руб., 18%)
Буторин Андрей Владимирович (352 727 580 руб., 12%)</t>
  </si>
  <si>
    <t>info@santechsystemy.ru, law@elfgroup.ru, msk@santechsystemy.ru, tula@elf-tula.ru</t>
  </si>
  <si>
    <t>Кобылин Игорь Викторович (10 000 руб., 100%)</t>
  </si>
  <si>
    <t>556 290 000</t>
  </si>
  <si>
    <t>ekaterina.mankevich@etalongroup.com, lenspecsmu@lenspecsmu.ru, permskaya_t@lenspecsmu.ru, tatyana.permskaya@etalongroup.com, valentina.shuravina@etalongroup.com</t>
  </si>
  <si>
    <t>www.etalongroup.com, www.lenspecsmu.ru</t>
  </si>
  <si>
    <t>Деятельность по управлению холдинг-компаниями</t>
  </si>
  <si>
    <t>4 614 790 000</t>
  </si>
  <si>
    <t>vladivostok@uniqom.ru, vorekh1@mail.ru</t>
  </si>
  <si>
    <t>ailebebe-carmate.ru, ailebebe-jp.ru</t>
  </si>
  <si>
    <t>Орех Виталий Анатольевич (247 180 130 руб., 100%)</t>
  </si>
  <si>
    <t>124 940 000</t>
  </si>
  <si>
    <t>esen@komos.ru, office@kombi-korm.ru</t>
  </si>
  <si>
    <t>ХАЙПЕРФУДС ХОЛДИНГ, ООО (61 802 378.42 руб., 100%)</t>
  </si>
  <si>
    <t>108 360 000</t>
  </si>
  <si>
    <t>proshina-ma@gkump.ru, umprom_tmb@mail.ru</t>
  </si>
  <si>
    <t>gkump.ru</t>
  </si>
  <si>
    <t>Антипин Евгений Владимирович (362 500 руб., 50%)
Кандыбин Алексей Владимирович (362 500 руб., 50%)</t>
  </si>
  <si>
    <t>54 100 000</t>
  </si>
  <si>
    <t>sgnhp@sgnhp.ru</t>
  </si>
  <si>
    <t>РУСХИМАЛЬЯНС, ООО (400 500 руб., 80.10%)
Linde GmbH (99 500 руб., 19.90%)</t>
  </si>
  <si>
    <t>95 620 000</t>
  </si>
  <si>
    <t>glavkapstroysap@gmail.com, glavkapstroyzakup@gmail.com, zimonina@krost.net</t>
  </si>
  <si>
    <t>Мосин Виктор Сергеевич (10 000 руб., 100%)</t>
  </si>
  <si>
    <t>10 980 000</t>
  </si>
  <si>
    <t>office@maz.ru, tender@maz.ru</t>
  </si>
  <si>
    <t>Быткин Александр Анатольевич (50 000 руб., 100%)</t>
  </si>
  <si>
    <t>72 960 000</t>
  </si>
  <si>
    <t>info@m-road.ru</t>
  </si>
  <si>
    <t>m1-road.ru</t>
  </si>
  <si>
    <t>ИК ЛИДЕР, АО (54.34%)</t>
  </si>
  <si>
    <t>Капиталовложения в уставные капиталы, венчурное инвестирование, в том числе посредством инвестиционных компаний</t>
  </si>
  <si>
    <t>gl.1060812@yandex.ru, glavnaja_linija@mail.ru</t>
  </si>
  <si>
    <t>ТЕХНОСЕРВ СТАНДАРТ, АО (990 000 руб., 99%)
Баженова Татьяна Борисовна (10 000 руб., 1%)</t>
  </si>
  <si>
    <t>124 830 000</t>
  </si>
  <si>
    <t>gns@ao-gns.ru, m.ushakova@ao-gns.ru</t>
  </si>
  <si>
    <t>418 300 000</t>
  </si>
  <si>
    <t>tva@glfish.ru</t>
  </si>
  <si>
    <t>Богданов Роман Вячеславович (10 000 руб., 100%)</t>
  </si>
  <si>
    <t>Торговля оптовая рыбой, ракообразными и моллюсками, консервами и пресервами из рыбы и морепродуктов</t>
  </si>
  <si>
    <t>195 450 000</t>
  </si>
  <si>
    <t>dmitriy.bochkarev@glavstroy.ru, nina.makarova@glavstroy.ru</t>
  </si>
  <si>
    <t>glavstroi-spb.ru</t>
  </si>
  <si>
    <t>ГЛАВСТРОЙ-ИНВЕСТ, ООО (1 500 000 000 руб., 100%)</t>
  </si>
  <si>
    <t>4 028 260 000</t>
  </si>
  <si>
    <t>azamaraev@updk.ru, booking.zavidovo@updk.ru, booking@zavidovo.ru, dkirdyanov@updk.ru, ezinovieva@updk.ru, gorbachev@updk.ru, inform@diomid.ru, inform@updk.ru, isedov@updk.ru, personal@zavidovo.ru</t>
  </si>
  <si>
    <t>www.moscowcountryclub.ru, www.updk.ru</t>
  </si>
  <si>
    <t>vip.glavenergo@mail.ru</t>
  </si>
  <si>
    <t>Забиран Игорь Александрович (100 000 руб., 100%)</t>
  </si>
  <si>
    <t>cheu@suek.ru, erokhinana@sibgenco.ru, ges@suek.ru, ivanchenkodn@suek.ru, pushkarevaay@suek.ru, sitovatv@sibgenco.ru, trutnevane@suek.ru, ufds@sibgenco.ru</t>
  </si>
  <si>
    <t>СИБИРСКАЯ ГЕНЕРИРУЮЩАЯ КОМПАНИЯ, ООО (1 000 000 руб., 100%)</t>
  </si>
  <si>
    <t>36 600 000</t>
  </si>
  <si>
    <t>dmitry.e.parshin@gsk.com, reception.mpfarma@gsk.com, ru.tender@gsk.com, ru.tender@gsk.ru</t>
  </si>
  <si>
    <t>www.glaxosmithkline.ru, www.ru.gsk.com</t>
  </si>
  <si>
    <t>11 590 000</t>
  </si>
  <si>
    <t>reception.mpfarma@gsk.com</t>
  </si>
  <si>
    <t>glicerin-solution.ru</t>
  </si>
  <si>
    <t>Быченок Сергей Вячеславович (5 000 руб., 50%)
Петровский Томас Геннадьевич (5 000 руб., 50%)</t>
  </si>
  <si>
    <t>72 660 000</t>
  </si>
  <si>
    <t>bc@rbc.ru, e.karlina@rbc.ru, ldovgoshei@rbc.ru, nmolibog@gmail.com, v.lobacheva@rbc.ru</t>
  </si>
  <si>
    <t>www.rbc.ru</t>
  </si>
  <si>
    <t>ГК РБК, ПАО (100 000 руб., 100%)</t>
  </si>
  <si>
    <t>gt-sales.ru</t>
  </si>
  <si>
    <t>Тарасова Елена Анатольевна (1 183 356 руб., 54%)
Серов Михаил Витальевич (876 560 руб., 40%)
ГЛОБАЛ ТРАК СЕРВИС ПУШКИНО, ООО (21 914 руб., 1%)
ГТС ЕКАТЕРИНБУРГ, ООО (21 914 руб., 1%)
ЕВРОТРАКЦЕНТР УРАЛ, ООО (21 914 руб., 1%)
М-ИНВЕСТ, ООО (21 914 руб., 1%)
СЕВЕР ТРАК, ООО (21 914 руб., 1%)
ТРАКЦЕНТР ХОЛМОГОРЫ, ООО (21 914 руб., 1%)</t>
  </si>
  <si>
    <t>237 910 000</t>
  </si>
  <si>
    <t>gts@gt-service.ru</t>
  </si>
  <si>
    <t>www.gt-service.ru</t>
  </si>
  <si>
    <t>Вяхорев Андрей Вячеславович (11 000 руб., 100%)</t>
  </si>
  <si>
    <t>35 430 000</t>
  </si>
  <si>
    <t>Куклин Владимир Юрьевич (10 000 руб., 100%)</t>
  </si>
  <si>
    <t>gfdrinks.ch</t>
  </si>
  <si>
    <t>Безруков Андрей Николаевич (5 800 руб., 58%)
Любов Павел Владимирович (4 200 руб., 42%)</t>
  </si>
  <si>
    <t>dgasorat@yandex.ru, globa@mail.ru, guzev.b@myasodona.ru</t>
  </si>
  <si>
    <t>globalfarma.ru, pharma-global.ru</t>
  </si>
  <si>
    <t>Беленький-Гордонов Николай Наумович (33 000 руб., 100%)</t>
  </si>
  <si>
    <t>894 650 000</t>
  </si>
  <si>
    <t>lamapromo.ru</t>
  </si>
  <si>
    <t>Бржезицкая Елена Анатольевна (500 000 руб., 50%)
Муслимова Олеся Валентиновна (500 000 руб., 50%)</t>
  </si>
  <si>
    <t>158 280 000</t>
  </si>
  <si>
    <t>info@globalvit.ru</t>
  </si>
  <si>
    <t>www.globalvit.ru</t>
  </si>
  <si>
    <t>Денисов Дмитрий Станиславович (334 000 руб., 33.40%)
Денисов Кирилл Станиславович (333 000 руб., 33.30%)
Мортин Вадим Иванович (333 000 руб., 33.30%)</t>
  </si>
  <si>
    <t>36 680 000</t>
  </si>
  <si>
    <t>ПИК-ИНВЕСТПРОЕКТ, ООО (250 000 руб., 100%)</t>
  </si>
  <si>
    <t>748 820 000</t>
  </si>
  <si>
    <t>ГТМ, ПАО (11 000 000 руб., 100%)</t>
  </si>
  <si>
    <t>globusalkomarket.ru</t>
  </si>
  <si>
    <t>ГЛОБУС МАРКЕТ, ООО (150 000 руб., 50%)
Исламов Альберт Габдулхаевич (150 000 руб., 50%)</t>
  </si>
  <si>
    <t>Тарасенко Оксана Валентиновна (100 000 руб., 100%)</t>
  </si>
  <si>
    <t>3 240 000</t>
  </si>
  <si>
    <t>КДВ, АО (10 000 руб., 100%)</t>
  </si>
  <si>
    <t>22 640 000</t>
  </si>
  <si>
    <t>reception@bookcentre.ru</t>
  </si>
  <si>
    <t>ОРС, АО (10 000 руб., 100%)</t>
  </si>
  <si>
    <t>177 210 000</t>
  </si>
  <si>
    <t>d.korolev@globus-stal.ru, globus@globus-stal.ru, metall@globus-stal.ru, ss@globus-stal.ru</t>
  </si>
  <si>
    <t>www.globus-stal.ru</t>
  </si>
  <si>
    <t>Сметанников Константин Юрьевич (54 000 000 руб., 100%)</t>
  </si>
  <si>
    <t>Обработка металлов и нанесение покрытий на металлы</t>
  </si>
  <si>
    <t>549 100 000</t>
  </si>
  <si>
    <t>g.tsoy@glovisrus.com, v.sapego@glovisrus.com</t>
  </si>
  <si>
    <t>russia.glovis.net</t>
  </si>
  <si>
    <t>ХЁНДЭ ГЛОВИС КОМПАНИ ЛИМИТЕД (84 642 757 руб., 100%)</t>
  </si>
  <si>
    <t>818 520 000</t>
  </si>
  <si>
    <t>khaletskaya@gloria-jeans.ru, kuzmina@gloria-jeans.ru, xerox@gloria-jeans.ru</t>
  </si>
  <si>
    <t>www.gloria-jeans.ru</t>
  </si>
  <si>
    <t>Торговля розничная мужской, женской и детской одеждой в специализированных магазинах</t>
  </si>
  <si>
    <t>839 430 000</t>
  </si>
  <si>
    <t>datapeople.ru, modelops.ru, robo-buh.ru</t>
  </si>
  <si>
    <t>УПРАВЛЯЮЩАЯ КОМПАНИЯ ГЛОУБАЙТ, ООО (100 000 руб., 100%)</t>
  </si>
  <si>
    <t>1 240 810 000</t>
  </si>
  <si>
    <t>belogrudovals@glt.company, glt-moscow@yandex.ru</t>
  </si>
  <si>
    <t>gltinfo.ru</t>
  </si>
  <si>
    <t>Горбунов Павел Васильевич (5 000 000 руб., 100%)</t>
  </si>
  <si>
    <t>100 970 000</t>
  </si>
  <si>
    <t>office@gmzliski.ru, v.jdanova@gmzliski.ru</t>
  </si>
  <si>
    <t>Демидов Павел Валентинович (15 113 445 руб., 37.50%)
Демидова Светлана Александровна (15 113 445 руб., 37.50%)
ХОХЛАНД РУССЛАНД, ООО (10 075 630 руб., 25%)</t>
  </si>
  <si>
    <t>211 280 000</t>
  </si>
  <si>
    <t>dalgmk_urist@mail.primorye.ru, glebzuev@mail.ru, gmkdpm@hotbox.ru</t>
  </si>
  <si>
    <t>www.dalpolimetall.ru</t>
  </si>
  <si>
    <t>Добыча и обогащение свинцово-цинковой руды</t>
  </si>
  <si>
    <t>girs@hms-neftemash.ru, kamarzina@hms-neftemash.ru, pilipenko@hms-neftemash.ru, sheveleva@hms-neftemash.ru, timerbaev@hms-neftemash.ru, vlasova@hms-neftemash.ru</t>
  </si>
  <si>
    <t>www.hms-neftemash.ru, www.neftemashtmn.ru</t>
  </si>
  <si>
    <t>Производство оборудования специального назначения, не включенного в другие группировки</t>
  </si>
  <si>
    <t>81 590 000</t>
  </si>
  <si>
    <t>baranovav@gnivc.ru, inf0@gnivc.ru, info@f50.nalog.ru, info@gnivc.ru, islamov@gnivc.ru, plotnikova@gnivc.ru, trushin@gnivc.ru</t>
  </si>
  <si>
    <t>www.gnivc.ru</t>
  </si>
  <si>
    <t>541 790 000</t>
  </si>
  <si>
    <t>i.zavyalova@retail.gazpromlpg.ru, n.stoeva@retail.gazpromlpg.ru, o.hazar@retail.gazpromlpg.ru</t>
  </si>
  <si>
    <t>azsgazprom.ru</t>
  </si>
  <si>
    <t>ГНП АКТИВЫ, ООО (14 879 357 143.56 руб., 100%)</t>
  </si>
  <si>
    <t>sales@g-n-s.ru</t>
  </si>
  <si>
    <t>g-n-s.ru</t>
  </si>
  <si>
    <t>Екомасов Артем Михайлович (8 000 руб., 40%)
Велиев Гурбан Гулам Оглы (4 000 руб., 20%)
Дагкесаманский Эмин Надирович (4 000 руб., 20%)
Приймаченко Дмитрий Анатольевич (4 000 руб., 20%)</t>
  </si>
  <si>
    <t>149 440 000</t>
  </si>
  <si>
    <t>help@apteka-ot-sklada.ru, m.bardina@godovalov.ru, office@godovalov.ru, sekret@godovalov.ru</t>
  </si>
  <si>
    <t>www.apteka-ot-sklada.ru, www.godovalov.ru</t>
  </si>
  <si>
    <t>Годовалов Андрей Юрьевич (100 000 руб., 50%)
Шаврин Николай Михайлович (100 000 руб., 50%)</t>
  </si>
  <si>
    <t>117 120 000</t>
  </si>
  <si>
    <t>abramova_t_n@goznak.ru, feskova_n_d@goznak.ru, fsm@goznak.ru, gartman_d_v@goznak.ru, gibdd@goznak.ru, goznak@gaznak.ru, gz_sales@goznak.ru, info@roskazna.ru, kulagina_e_a@gosznak.ru, kulagina_e_a@goznak.ku</t>
  </si>
  <si>
    <t>www.goznak.ru</t>
  </si>
  <si>
    <t>Прочие виды полиграфической деятельности</t>
  </si>
  <si>
    <t>3 123 870 000</t>
  </si>
  <si>
    <t>goldgreyn@mail.ru</t>
  </si>
  <si>
    <t>gold-grain.ru</t>
  </si>
  <si>
    <t>Панкратова Ирина Сергеевна (1 509 200 руб., 98%)
Панкратов Александр Валерьевич (30 800 руб., 2%)</t>
  </si>
  <si>
    <t>123 950 000</t>
  </si>
  <si>
    <t>info@vitek-aus.ru</t>
  </si>
  <si>
    <t>www.vitek.ru</t>
  </si>
  <si>
    <t>Деревянченко Андрей Васильевич (7 000 000 руб., 100%)</t>
  </si>
  <si>
    <t>472 910 000</t>
  </si>
  <si>
    <t>golfstrim.drill@gmail.com</t>
  </si>
  <si>
    <t>http://atgrp.com/</t>
  </si>
  <si>
    <t>АРДА ГРУПП, АО (5 000 руб., 50%)
ЭЙ.ТИ.ДЖИ., АО (5 000 руб., 50%)</t>
  </si>
  <si>
    <t>mail@gor.ltd</t>
  </si>
  <si>
    <t>ТРАППИСТ, ООО (10 000 руб., 100%)</t>
  </si>
  <si>
    <t>389 370 000</t>
  </si>
  <si>
    <t>aslahan999@yandex.ru, aslahan@mail.ru, aslahan@yandex.ru, madina_tesaeva@mail.ru</t>
  </si>
  <si>
    <t>Абдусаламов Асланбек Ибрагимович (80 965 000 руб., 100%)</t>
  </si>
  <si>
    <t>59 120 000</t>
  </si>
  <si>
    <t>2101817@mail.ru, aks@gorvodokanal.com, asc@gorvodokanal.com, ask@gorvdokanal.com, ask@gorvoda.ru, ask@gorvodakanal.com, ask@gorvodo.ru, ask@gorvodocanal.com, ask@gorvodohanal.com, ask@gorvodokabal.com</t>
  </si>
  <si>
    <t>Новосибирская обл, ГОРОД НОВОСИБИРСК (1 445 374 265.75 руб., 100%)</t>
  </si>
  <si>
    <t>ooo.gordium@gmail.com</t>
  </si>
  <si>
    <t>Шаталов Юрий Анатольевич (1 000 000 руб., 100%)</t>
  </si>
  <si>
    <t>4 490 000</t>
  </si>
  <si>
    <t>goknok@yandex.ru, info@goknok.ru, kovchef@factor.ru</t>
  </si>
  <si>
    <t>ГМК СПЛАВ, ООО (539 930 руб.)</t>
  </si>
  <si>
    <t>1 403 810 000</t>
  </si>
  <si>
    <t>www.gorenje.ru</t>
  </si>
  <si>
    <t>Hisense Europe Holding GmbH (2 288 555 868 руб., 99.99%)
ГОРЕНЬЕ КОРПОРЕЙТ ГОРПОРЕЙТ ГМБХ (290 000 руб., 0.010%)</t>
  </si>
  <si>
    <t>zmeeva_es@gorizontsk.ru</t>
  </si>
  <si>
    <t>gorizontsk.ru</t>
  </si>
  <si>
    <t>buh-gorizont@yandex.ru, gp-gorizont@yandex.ru, gr-gorizont@gr-gorizont.ru, gr-gorizont@yandex.ru</t>
  </si>
  <si>
    <t>gp-gorizont.ru</t>
  </si>
  <si>
    <t>Бышок Анастасия Игоревна (140 000 руб., 70%)
Абрамов Игорь Анатольевич (60 000 руб., 30%)</t>
  </si>
  <si>
    <t>Разведочное бурение</t>
  </si>
  <si>
    <t>109 270 000</t>
  </si>
  <si>
    <t>Жуков Дмитрий Сергеевич (10 000 руб., 100%)</t>
  </si>
  <si>
    <t>43 500 000</t>
  </si>
  <si>
    <t>aleks@e1.ru, buh@horizont-npp.ru, horizont.npp@mail.ru, horizont@horizont-npp.ru, horizont@horizont.e-burg.ru, info@npohorizont.ru, info@uzmk.org, kadetl@mail.ru, nwper@mail.ru, omts@uzmk.org</t>
  </si>
  <si>
    <t>www.intelecom.ru, www.intelecon.ru</t>
  </si>
  <si>
    <t>Деревнин Геннадий Федорович (384 000 руб., 12%)
Мансуров Владимир Александрович (384 000 руб., 12%)
Булатов Вадим Львович (368 000 руб., 11.50%)
Костяев Юрий Аркадьевич (352 000 руб., 11%)
Алгазин Виталий Александрович (336 000 руб., 10.50%)
Рахимов Дамир Альмирович (256 000 руб., 8%)
Колчин Александр Евгеньевич (224 000 руб., 7%)
Чамин Сергей Михайлович (224 000 руб., 7%)
Багров Анатолий Евгеньевич (80 000 руб., 2.50%)
Сумин Николай Константинович (80 000 руб., 2.50%)
...*</t>
  </si>
  <si>
    <t>Производство прочих приборов, датчиков, аппаратуры и инструментов для измерения, контроля и испытаний</t>
  </si>
  <si>
    <t>64 930 000</t>
  </si>
  <si>
    <t>gk.gorka@bk.ru, info@gk-gorka.ru, info@ooo-gorki.ru, t.stavrovskaya@gorkapstroy.ru</t>
  </si>
  <si>
    <t>Пальчикова Анна Михайловна (2 160 000 руб., 50%)
Фролов Гавриил Борисович (2 160 000 руб., 50%)</t>
  </si>
  <si>
    <t>buhgalteria@g-eurasia.ru</t>
  </si>
  <si>
    <t>g-eurasia.ru</t>
  </si>
  <si>
    <t>EURASIA CIS CAPITAL PROJECTS LIMITED КИПР (50 000 руб., 100%)</t>
  </si>
  <si>
    <t>75 100 000</t>
  </si>
  <si>
    <t>452154@mail.ru, a.ivanova@ganps.su, a.zvyagina@ganp.su, e.kuranakova@ganp.su, e.razuvaeva@ganp.su, ganp.04@yandex.ru, ganp04@mail.ru, ganp@mail.ru, gosteev_ea@ramdler.ru, info.ganp@mail.ru</t>
  </si>
  <si>
    <t>kds-ganp.ru</t>
  </si>
  <si>
    <t>ИНРУСИНВЕСТ, АО (5 654 000 руб., 100%)</t>
  </si>
  <si>
    <t>ilyin.v86@mail.ru, it.gcz@akkermann.ru, office.gcz@akkermann.ru, office@gcz.su, sale@gcz.su</t>
  </si>
  <si>
    <t>www.akkermann.ru, www.gcz.su</t>
  </si>
  <si>
    <t>АККЕРМАНН ЦЕМЕНТ, ООО (77 505 руб., 100%)</t>
  </si>
  <si>
    <t>1 016 490 000</t>
  </si>
  <si>
    <t>gornyak_1@mail.ru, mail@gornyak1.ru</t>
  </si>
  <si>
    <t>Тадтаев Ацамаз Радионович (420 410 000 руб., 100%)</t>
  </si>
  <si>
    <t>Коваль Виктор Александрович (10 000 000 руб., 100%)</t>
  </si>
  <si>
    <t>19 150 000</t>
  </si>
  <si>
    <t>mihail1980@list.ru, zao.gorod@mail.ru</t>
  </si>
  <si>
    <t>aogorod.ru</t>
  </si>
  <si>
    <t>24 440 000</t>
  </si>
  <si>
    <t>moloko-gorodec@sinn.ru, moloko_gorodec@sinn.ru</t>
  </si>
  <si>
    <t>moloko-gorodec.ru</t>
  </si>
  <si>
    <t>197 270 000</t>
  </si>
  <si>
    <t>press@azbukavkusa.ru, supermarkets@azbukavkusa.ru</t>
  </si>
  <si>
    <t>av.ru, www.azbukavkusa.ru</t>
  </si>
  <si>
    <t>КОМПАНИЯ "ДЕМАНОР ИНВЕСТМЕНТС ЛИМИТЕД" (306 900 000 руб., 99%)
АЗБУКА ВКУСА, ООО (3 100 000 руб., 1%)</t>
  </si>
  <si>
    <t>dnp@ettu.ru, frf@ettu.ru, golenduhin@ettu.ru, post@ettu.ru, shilina@ettu.ru</t>
  </si>
  <si>
    <t>ettu.ru</t>
  </si>
  <si>
    <t>Свердловская обл, МУНИЦИПАЛЬНОЕ ОБРАЗОВАНИЕ "ГОРОД ЕКАТЕРИНБУРГ" (214 119 208 руб., 100%)</t>
  </si>
  <si>
    <t>aogorelectro@mail.ru, bugaev@gesnv.ru, bundeeva@utsnv.ru, burtseva@gesnv.ru, chugunova@pes.gesnv.ru, ener20@utsnv.ru, enerao@utsnv.ru, energo@utsnnv.ru, ivostapenko@mfcnv.ru, jdbxcfdbjh@mail.ru</t>
  </si>
  <si>
    <t>www.gesnv.ru/affil_doc.htm, www.gorelectroseti.com</t>
  </si>
  <si>
    <t>448 430 000</t>
  </si>
  <si>
    <t>aipo@su.gkovd.ru, dogovor@sv.gkovd.ru, dshevtsov@dv.gkovd.ru, enaboka@dv.gkovd.ru, fgup_gk_ovd@yandex.ru, kalinin@matfmc.ru, krasikova@zsa.ru, marina@zsa.ru, matveeva@ur.gkovd.ru, office@aero.gkovd.ru</t>
  </si>
  <si>
    <t>Деятельность транспортная вспомогательная</t>
  </si>
  <si>
    <t>ГОССЕЛАЙН ХОЛДИНГС ЛИМИТЕД (89 980 894.9 руб., 99.98%)
Арделян Олег Владимирович (19 105.1 руб., 0.020%)</t>
  </si>
  <si>
    <t>45 220 000</t>
  </si>
  <si>
    <t>alfiya.mi@yandex.ru, gosambar@mail.ru</t>
  </si>
  <si>
    <t>ИНВЕСТИЦИИ И КОНСАЛТИНГ, ООО (171 431 975 руб., 51.07%)
ПТИЦЕВОДЧЕСКИЙ КОМПЛЕКС АК БАРС, ООО (164 228 025 руб., 48.93%)</t>
  </si>
  <si>
    <t>spb-reception@gotek.ru</t>
  </si>
  <si>
    <t>182 770 000</t>
  </si>
  <si>
    <t>eduard.prisjadev@gotek.ru, group@gotek.ru</t>
  </si>
  <si>
    <t>www.gotek.ru</t>
  </si>
  <si>
    <t>212 450 000</t>
  </si>
  <si>
    <t>polypack@gotek.ru</t>
  </si>
  <si>
    <t>378 710 000</t>
  </si>
  <si>
    <t>gofromaster@mail.ru, i.odoev@gofromaster.com</t>
  </si>
  <si>
    <t>Диденко Ирина Валериевна (9 562 500 руб., 63.75%)
Диденко Игорь Анатольевич (5 437 500 руб., 36.25%)</t>
  </si>
  <si>
    <t>173 090 000</t>
  </si>
  <si>
    <t>gofrotara@mail.belgorod.ru</t>
  </si>
  <si>
    <t>Потрясаев Василий Николаевич (1 020 000 руб., 51%)
Лагутин Александр Николаевич (980 000 руб., 49%)</t>
  </si>
  <si>
    <t>233 580 000</t>
  </si>
  <si>
    <t>secretary@gp-rad.ru</t>
  </si>
  <si>
    <t>asfalite.ru, http://www.gp-rad.ru/</t>
  </si>
  <si>
    <t>22 180 000</t>
  </si>
  <si>
    <t>ПИК-ГЕНПОДРЯД, ООО (10 000 руб., 100%)</t>
  </si>
  <si>
    <t>info@gpaeng.ru</t>
  </si>
  <si>
    <t>www.gpaeng.ru</t>
  </si>
  <si>
    <t>УК ГПА КАПИТАЛ, ООО (10 000 000 руб., 100%)</t>
  </si>
  <si>
    <t>Производство прочих насосов и компрессоров</t>
  </si>
  <si>
    <t>520 100 000</t>
  </si>
  <si>
    <t>roman.belichenko@gpbra.ru</t>
  </si>
  <si>
    <t>gpbra.ru</t>
  </si>
  <si>
    <t>ФИНПРОЕКТ, ООО (350 000 000 руб., 99.99%)
НОВФИНТЕХ, ООО (10 000 руб., 0.0029%)</t>
  </si>
  <si>
    <t>605 890 000</t>
  </si>
  <si>
    <t>БАНК ГПБ (АО) (10 000 руб., 100%)</t>
  </si>
  <si>
    <t>Добыча и обогащение руд редких металлов (циркония, тантала, ниобия и т. п.)</t>
  </si>
  <si>
    <t>49 310 000</t>
  </si>
  <si>
    <t>6760637@gmail.com</t>
  </si>
  <si>
    <t>гпб-факторинг.рф</t>
  </si>
  <si>
    <t>БАНК ГПБ (АО) (149 970 000 руб., 99.98%)
ФИНПРОЕКТ, ООО (30 000 руб., 0.020%)</t>
  </si>
  <si>
    <t>Предоставление факторинговых услуг</t>
  </si>
  <si>
    <t>398 290 000</t>
  </si>
  <si>
    <t>gpk@griazy.lipetsk.ru, produkt2009@bk.ru</t>
  </si>
  <si>
    <t>www.vesorel.org</t>
  </si>
  <si>
    <t>Производство рационов питания и пайков</t>
  </si>
  <si>
    <t>33 450 000</t>
  </si>
  <si>
    <t>yarovaya.nv@yamal.gazprom-neft.ru</t>
  </si>
  <si>
    <t>retkon@yandex.ru</t>
  </si>
  <si>
    <t>108 480 000</t>
  </si>
  <si>
    <t>info@gpfk.ru</t>
  </si>
  <si>
    <t>www.gpfk.ru</t>
  </si>
  <si>
    <t>1 234 610 000</t>
  </si>
  <si>
    <t>aleksei.gitin@vanleer.com, anna.egorova@greif.com, irina.lavrentieva@greif.com, konstantin.zorin@greif.com, perm.office@greif.com, vladislav.krasiukov@greif.com</t>
  </si>
  <si>
    <t>www.greif.com</t>
  </si>
  <si>
    <t>КОМПАНИЯ С ОГРАНИЧЕННОЙ ОТВЕТСТВЕННОСТЬЮ ГРАЙФ ХАНГЕРИ ДРАМ МЕНЬЮФЕКЧУРИНГ ЭНД ТРЕЙДИНГ (62 520 318.37 руб., 99%)
ЧК с ОО Паув Холдингс Б.В. Нидерланды (631 518.36 руб., 1%)</t>
  </si>
  <si>
    <t>1 016 880 000</t>
  </si>
  <si>
    <t>www.nk1.ru</t>
  </si>
  <si>
    <t>121 910 000</t>
  </si>
  <si>
    <t>n.kostjuchenkova@grandline.ru, o.andreeva@grandline.ru</t>
  </si>
  <si>
    <t>Сухов Алим Хусаинович (50 000 руб., 100%)</t>
  </si>
  <si>
    <t>Ковка, прессование, штамповка и профилирование, изготовление изделий методом порошковой металлургии</t>
  </si>
  <si>
    <t>241 210 000</t>
  </si>
  <si>
    <t>glsiding.ru</t>
  </si>
  <si>
    <t>Королёв Юрий Алексеевич (49 500 руб., 99%)
Чертановская Татьяна Вениаминовна (500 руб., 1%)</t>
  </si>
  <si>
    <t>369 020 000</t>
  </si>
  <si>
    <t>bilet@grandtrain.ru, bilet@grandtrain.ru.ru, gse@grandtrain.ru, gse@tkgse.ru, info@grandexpress.ru, info@grandtrain.ru, metalichenko.ae@tkgse.ru, press@grandexpress.ru, press@grandtrain.ru, reklama@grandtrain.ru</t>
  </si>
  <si>
    <t>www.grandexpress.ru</t>
  </si>
  <si>
    <t>Перевозка пассажиров железнодорожным транспортом в междугородном сообщении</t>
  </si>
  <si>
    <t>buh@kubanochka.ru</t>
  </si>
  <si>
    <t>кубаночка.рф</t>
  </si>
  <si>
    <t>Арутюнян Эдвард Юрикович (10 008 500 руб., 50%)
Варданян Арарат Мергелосович (10 008 500 руб., 50%)</t>
  </si>
  <si>
    <t>28 440 000</t>
  </si>
  <si>
    <t>ol@grand.ru, traktor@grand.ru</t>
  </si>
  <si>
    <t>Алексеев Евгений Леонидович (700 000 руб., 70%)
ЧЕТРА, ООО (300 000 руб., 30%)</t>
  </si>
  <si>
    <t>51 390 000</t>
  </si>
  <si>
    <t>www.nppgks.com</t>
  </si>
  <si>
    <t>Сабиров Айрат Илдарович (40 000 000 руб., 100%)</t>
  </si>
  <si>
    <t>Деятельность по подготовке компьютерных систем к эксплуатации</t>
  </si>
  <si>
    <t>bynom@bynom.com, dyatlova@bynom.com</t>
  </si>
  <si>
    <t>быстроном.рф</t>
  </si>
  <si>
    <t>ИНВЕСТТОРГ, ООО (2 000 000 руб., 100%)</t>
  </si>
  <si>
    <t>2 360 000</t>
  </si>
  <si>
    <t>buh.zlatoust@mail.ru, evgen@zgranit.ru</t>
  </si>
  <si>
    <t>zgranit.ru</t>
  </si>
  <si>
    <t>Мостинец Константин Иванович (25 000 000 руб., 50%)
Мостинец Сергей Иванович (25 000 000 руб., 50%)</t>
  </si>
  <si>
    <t>295 800 000</t>
  </si>
  <si>
    <t>dsk_granit@mail.ru, dsk_secretary@mail.ru, pto.granit@yandex.ru</t>
  </si>
  <si>
    <t>granit-dsk.ru</t>
  </si>
  <si>
    <t>Едигарян Эдгар Мартинович (1 279 054.5 руб., 51%)
Едигарян Мартин Рубенович (978 100.5 руб., 39%)
Едигарян Рудольф Мартинович (250 796 руб., 10%)</t>
  </si>
  <si>
    <t>zerno@gmx.com</t>
  </si>
  <si>
    <t>granolux.ru</t>
  </si>
  <si>
    <t>Коган Ольга Михайловна (2 400 000 руб., 80%)
Гончаров Денис Викторович (600 000 руб., 20%)</t>
  </si>
  <si>
    <t>52 240 000</t>
  </si>
  <si>
    <t>grantstroy@avagroup.ru</t>
  </si>
  <si>
    <t>grantstr.ru</t>
  </si>
  <si>
    <t>Данелян Гарегин Каренович (12 500 руб., 100%)</t>
  </si>
  <si>
    <t>289 630 000</t>
  </si>
  <si>
    <t>liman_art@mail.ru</t>
  </si>
  <si>
    <t>Комогорцев Евгений Юрьевич (5 000 000 руб., 50%)
Лиманов Сергей Васильевич (5 000 000 руб., 50%)</t>
  </si>
  <si>
    <t>61 020 000</t>
  </si>
  <si>
    <t>via@granula-ural.ru</t>
  </si>
  <si>
    <t>granula-ural.ru</t>
  </si>
  <si>
    <t>Цыпкин Евгений Борисович (100 000 руб., 40%)
Демидов Андрей Владимирович (50 000 руб., 20%)
Ермаков Анатолий Александрович (50 000 руб., 20%)
Никифоров Яков Николаевич (50 000 руб., 20%)</t>
  </si>
  <si>
    <t>81 310 000</t>
  </si>
  <si>
    <t>gran@kgts.ru, reception@gran-kazan.ru</t>
  </si>
  <si>
    <t>gran-kazan.ru</t>
  </si>
  <si>
    <t>Анисимова Нина Николаевна (1 200 000 руб., 100%)</t>
  </si>
  <si>
    <t>49 230 000</t>
  </si>
  <si>
    <t>Кузнецова Елена Павловна (2 500 руб., 25%)
Кузьмина Светлана Вадимовна (2 500 руб., 25%)
Рожков Дмитрий Владимирович (2 500 руб., 25%)
Шкуро Мария Юрьевна (2 500 руб., 25%)</t>
  </si>
  <si>
    <t>13 640 000</t>
  </si>
  <si>
    <t>info@grain-gates.ru</t>
  </si>
  <si>
    <t>ВАЛИАНСИЯ, АО (9 800 руб., 98%)
Алиев Илья Вячеславович (200 руб., 2%)</t>
  </si>
  <si>
    <t>gelmand@mail.ru, info@grainservice.ru</t>
  </si>
  <si>
    <t>grainservice.ru</t>
  </si>
  <si>
    <t>Гельман Станислав Игоревич (1 000 000 руб., 100%)</t>
  </si>
  <si>
    <t>185 560 000</t>
  </si>
  <si>
    <t>evdokimova.nina@rusbarley.ru, ivanov.vasiliy@rusbarley.ru, n.evdokimova@grainrus.com</t>
  </si>
  <si>
    <t>www.grainrus.com</t>
  </si>
  <si>
    <t>ГРЕЙНРУС, АО (40 000 000 руб., 100%)</t>
  </si>
  <si>
    <t>48 630 000</t>
  </si>
  <si>
    <t>ГРЕЙНРУС, АО (320 010 000 руб., 100%)</t>
  </si>
  <si>
    <t>493 990 000</t>
  </si>
  <si>
    <t>info@gribnaya-raduga.ru</t>
  </si>
  <si>
    <t>gribnaya-raduga.ru</t>
  </si>
  <si>
    <t>Удодов Александр Евгеньевич (53 200 000 руб., 70%)
Логвинов Олег Николаевич (22 800 000 руб., 30%)</t>
  </si>
  <si>
    <t>www.grimme.com</t>
  </si>
  <si>
    <t>ГРИММЕ СНГ ГМБХ (GRIMME GUS GMBH) (20 000 000 руб., 100%)</t>
  </si>
  <si>
    <t>Производство машин и оборудования для сельского и лесного хозяйства</t>
  </si>
  <si>
    <t>137 900 000</t>
  </si>
  <si>
    <t>info@tehada.com</t>
  </si>
  <si>
    <t>tehada.com</t>
  </si>
  <si>
    <t>ГРУППА ГРИН РЭЙ, ООО (125 421 883 руб., 99.99%)
Хаджимурадов Иса Арбиевич (5 000 руб., 0.0050%)</t>
  </si>
  <si>
    <t>432 430 000</t>
  </si>
  <si>
    <t>cit@greenatom.ru, citair@greenatom.ru, eskirzhatskikh@greenatom.ru, glazov@greenatom.ru, gren-a-communication@greenatom.ru, grinatom@mail.ru, info@greenatom.ru, lyvyborisova@greenatom.ru, myermolaev@greenatom.ru, myermolaev@yahoo.com</t>
  </si>
  <si>
    <t>www.greenatom.ru</t>
  </si>
  <si>
    <t>АТОМЭНЕРГОПРОМ, АО (4 367 115 000 руб.)</t>
  </si>
  <si>
    <t>416 070 000</t>
  </si>
  <si>
    <t>sulfargin.ru</t>
  </si>
  <si>
    <t>NAMU APSAIMNIEKOSANAS PROJEKTI (10 000 руб., 100%)</t>
  </si>
  <si>
    <t>rossko54@rossko.ru</t>
  </si>
  <si>
    <t>РОССКО-К, ООО (247 000 руб., 100%)</t>
  </si>
  <si>
    <t>791 200 000</t>
  </si>
  <si>
    <t>artfruit.ru, greenfields.ru</t>
  </si>
  <si>
    <t>ГФ ХОЛДИНГ, АО (309 690 руб., 99.90%)
ДЖИЭФ ИНТЕРНЭШНЛ ХОЛДИНГ ЛИМИТЕД (310 руб., 0.10%)</t>
  </si>
  <si>
    <t>345 750 000</t>
  </si>
  <si>
    <t>e.shevchuk@mb-grifon.ru, service@mb-grifon.ru, zapros@xcmg61.ru</t>
  </si>
  <si>
    <t>Гулуа Роман Зурабиевич (10 000 руб., 100%)</t>
  </si>
  <si>
    <t>ogo1.ru</t>
  </si>
  <si>
    <t>Хасанов Андрей Фергатович (10 000 руб., 100%)</t>
  </si>
  <si>
    <t>5 520 000</t>
  </si>
  <si>
    <t>fin@gric-nk.ru, office@grrc.ru</t>
  </si>
  <si>
    <t>gric-nk.ru</t>
  </si>
  <si>
    <t>376 630 000</t>
  </si>
  <si>
    <t>energetic_v@mail.ru, grk_air@yandex.ru, iscair@mail.primorye.ru, shepeta@mail.ru</t>
  </si>
  <si>
    <t>www.dvreestr.ru</t>
  </si>
  <si>
    <t>Шепета Владимир Иванович (17.24%)
Марченко Татьяна Ивановна (9.05%)
Шульга Галина Ивановна (9.05%)
Макулов Роман Виатльевич (0.050%)</t>
  </si>
  <si>
    <t>Добыча и обогащение вольфраммолибденовой руды</t>
  </si>
  <si>
    <t>186 610 000</t>
  </si>
  <si>
    <t>grkb@nornik.ru, yurinskayaon@nornik.ru</t>
  </si>
  <si>
    <t>GRK EASTERN GEOLOGY LIMITED (29 194 578 380 руб., 100%)</t>
  </si>
  <si>
    <t>70 070 050 000</t>
  </si>
  <si>
    <t>ooo.ggs@mail.ru</t>
  </si>
  <si>
    <t>ИНКОМСТРОЙ, АО (80 584 567 руб., 99.88%)
Шахидов Рамзан Абдулахиевич (100 000 руб., 0.12%)</t>
  </si>
  <si>
    <t>265 610 000</t>
  </si>
  <si>
    <t>Бенда Владимир Андреевич (10 000 руб., 100%)</t>
  </si>
  <si>
    <t>info-ru@grohe.com, info@grohe.ru, svetlana.miloserdova@grohe.com</t>
  </si>
  <si>
    <t>www.grohe.ru</t>
  </si>
  <si>
    <t>КОММАНДИТНОЕ ТОВ-ВО "ГРОХЕ ИНТЕРНЕШНЭЛ ГМБХ" (14 263 207.2 руб., 99%)
Акционерное общество "Гроэ АГ" (144 072.8 руб., 1%)</t>
  </si>
  <si>
    <t>267 330 000</t>
  </si>
  <si>
    <t>goncharenkooa@railgarant.ru</t>
  </si>
  <si>
    <t>АБСОЛЮТ, АО (25 500 000 руб., 50%)
РЕЙЛ СЕРВИС, ООО (25 500 000 руб., 50%)</t>
  </si>
  <si>
    <t>450 030 000</t>
  </si>
  <si>
    <t>info@gruzovaya.com</t>
  </si>
  <si>
    <t>www.gruzovaya.com</t>
  </si>
  <si>
    <t>РУСАГРОТРАНС, ООО (191 075 000 руб., 100%)</t>
  </si>
  <si>
    <t>953 410 000</t>
  </si>
  <si>
    <t>brn07@bk.ru</t>
  </si>
  <si>
    <t>ГК БРИНЭКС, ООО (10 000 руб., 100%)</t>
  </si>
  <si>
    <t>822 870 000</t>
  </si>
  <si>
    <t>genbuch@greenray.ru, info@greenray.biz, info@greenray.ru, tender@greenray.ru</t>
  </si>
  <si>
    <t>www.greenray.biz</t>
  </si>
  <si>
    <t>Хаджимурадов Хасан Мухадиевич (2 000 000 руб., 100%)</t>
  </si>
  <si>
    <t>anastasiya.mitryaikina@brk.ilimgroup.ru, galina.chistyakova@brk.ilimgroup.ru, info@ilimgroup.ru, marina.vasileva@ilimgroip.ru, mikhail.chakilev@krm.ilimgroup.ru, natalia.lihomanova@brk.ilimgroup.ru, natalia.subbotina@krm.ilimgroup.ru, office@ilimgroup.ru, pr@ilimgroup.ru, zakupki_office@ilimgroup.ru</t>
  </si>
  <si>
    <t>www.ilimgroup.ru</t>
  </si>
  <si>
    <t>Производство целлюлозы, древесной массы, бумаги и картона</t>
  </si>
  <si>
    <t>35 003 000 000</t>
  </si>
  <si>
    <t>m.ulanova@1520.ru</t>
  </si>
  <si>
    <t>1520group.ru, www.1520.ru</t>
  </si>
  <si>
    <t>Крапивин Алексей Андреевич (71 670 руб., 71.67%)
Ушерович Борис Ефимович (28 330 руб., 28.33%)</t>
  </si>
  <si>
    <t>3 145 940 000</t>
  </si>
  <si>
    <t>chl-13@ferost.ru, chl-9@ferost.ru, info@ferost.ru, kgp-buh15@ferost.ru, kgp-buh9@ferost.ru, rzn-sb3@ferost.ru, zakaz@demidovsteel.ru, zakazsmc@ferost.ru, zayavka@ferost.ru</t>
  </si>
  <si>
    <t>www.demidovsteel.ru</t>
  </si>
  <si>
    <t>Козлов Павел Петрович (275 000 руб., 55%)
Козлов Максим Павлович (225 000 руб., 45%)</t>
  </si>
  <si>
    <t>807 140 000</t>
  </si>
  <si>
    <t>lalenko@mail.ru, lalenko@mega-avto.ru, office@mega-avto.spb.ru</t>
  </si>
  <si>
    <t>www.megaizol.ru, www.ohio8.vchecks.me</t>
  </si>
  <si>
    <t>КАПИТАЛ ГРУПП, АО (25 202 520 руб., 90%)
АКЦИОНЕРНОЕ ОБЩЕСТВО С ОГРАНИЧЕННОЙ ОТВЕТСТВЕННОСТЬЮ ХАРИКЕЙН РОК ЛИМИТЕД (2 800 280 руб., 10%)</t>
  </si>
  <si>
    <t>bortsova.lm@medsigroup.ru, info.nv@medsigroup.ru, info@medsi.ru, info@medsigroup.ru, klyshnikova.sa@medsigroup.ru, komarova.ms@medsigroup.ru, medis2016@yandex.ru, moleva.lm@medsigroup.ru, ngn@medsigroup.ru, perm@medsigroup.ru</t>
  </si>
  <si>
    <t>www.medsi.ru</t>
  </si>
  <si>
    <t>Костин Вадим Вячеславович (5 000 руб., 50%)
Сбоев Михаил Анатольевич (5 000 руб., 50%)</t>
  </si>
  <si>
    <t>17 770 000</t>
  </si>
  <si>
    <t>info@protein.ru</t>
  </si>
  <si>
    <t>protein.ru</t>
  </si>
  <si>
    <t>ЧАСТНАЯ АКЦИОНЕРНАЯ КОМПАНИЯ С ОГРАНИЧЕННОЙ ОТВЕТСТВЕННОСТЬЮ ВАНТОДИО ХОЛДИНГС ЛИМИТЕД (893 044 534 руб., 99.97%)
ТСП, ООО (267 936 руб., 0.030%)</t>
  </si>
  <si>
    <t>rusagrogroup@rusagrogroup.ru</t>
  </si>
  <si>
    <t>www.rusagrogroup.ru</t>
  </si>
  <si>
    <t>ГРУППА РУСАГРО, ПАО (1 769 839 998.3 руб., 99.99%)
Мошкович Вадим Николаевич (177 001.7 руб., 0.010%)</t>
  </si>
  <si>
    <t>20 840 080 000</t>
  </si>
  <si>
    <t>info@stis.ru</t>
  </si>
  <si>
    <t>www.stis.ru</t>
  </si>
  <si>
    <t>-Закрытая компания СП Гласс Холдингс Б.В. (315 603 902.88 руб., 85%)
ПИЛКИНГТОН ГЛАСС, ООО (55 694 806.39 руб., 15%)</t>
  </si>
  <si>
    <t>gl@ladogaspb.ru, gr_natalja@ladogaspb.ru</t>
  </si>
  <si>
    <t>www.ladogaspb.com, www.ladogaspb.ru</t>
  </si>
  <si>
    <t>LIGHTING ASSOCIATES LIMITED (822 000 000 руб., 100%)</t>
  </si>
  <si>
    <t>bogacheva@lsrgroup.ru, kaganskaya.aa@lsrgroup.ru</t>
  </si>
  <si>
    <t>www.lsrgroup.ru/investors</t>
  </si>
  <si>
    <t>Молчанов Андрей Юрьевич (50.10%)
ЛСР, ООО (24.27%)
Кострица Василий Максимович (0.22%)
Бегоулев Сергей Анатольевич (0.060%)
Романов Иван Леонидович (0.057%)
Крицкий Владимир Павлович (0.020%)
Кутузов Дмитрий Владимирович (0.019%)
Волчецкая Галина Александровна (0.016%)
Пилиповский Дмитрий Гарьевич (0.015%)
Сорокко Леонид Михайлович (0.0080%)
...*</t>
  </si>
  <si>
    <t>bykova.ll@mdlgroup.ru, enemina.irina@mdlgroup.ru, eremina.irina@mblgroup.ru, eremina.irina@mdlggroup.ru, eremina@mail.ru, eremina@mdlgroup.ru, eremine.irina@mdlgroup.ru, korabelshchikova.maria@mdlgroup.ru, olya@mdlgroup.ru, osipova.joulia@mdlgroup.ru</t>
  </si>
  <si>
    <t>www.mdlgroup.ru</t>
  </si>
  <si>
    <t>Кошель Елена Владимировна (6 700 руб., 67%)
Кравченко Андрей Анатольевич (3 300 руб., 33%)</t>
  </si>
  <si>
    <t>161 510 000</t>
  </si>
  <si>
    <t>info@groupsyntez.ru, renova@renova-org.ru</t>
  </si>
  <si>
    <t>groupsyntez.ru</t>
  </si>
  <si>
    <t>gluhov@prodgrup.ru, sidenko@prodgrup.ru</t>
  </si>
  <si>
    <t>prodgrup.ru</t>
  </si>
  <si>
    <t>Трофимов Игорь Владимирович (49 890 000 руб., 99.78%)
Пимонова Дарья Сергеевна (100 000 руб., 0.20%)
Рохманова Марина Алексеевна (10 000 руб., 0.020%)</t>
  </si>
  <si>
    <t>ikhandamirova@groupeseb.com, reseption@ru.groupeseb.com</t>
  </si>
  <si>
    <t>groupeseb.com, www.tefal.ru</t>
  </si>
  <si>
    <t>1 699 130 000</t>
  </si>
  <si>
    <t>office@sinara-group.com</t>
  </si>
  <si>
    <t>www.sinara-group.com</t>
  </si>
  <si>
    <t>1 635 640 000</t>
  </si>
  <si>
    <t>u.aydarova@sst.ru</t>
  </si>
  <si>
    <t>www.sst.ru</t>
  </si>
  <si>
    <t>Ф8, ООО (14 438 546.1 руб., 99%)
ГРУП АТЛАНТИК ТЕПЛОЛЮКС, ООО (145 843.9 руб., 1%)</t>
  </si>
  <si>
    <t>164 470 000</t>
  </si>
  <si>
    <t>it@technocom-ug.ru</t>
  </si>
  <si>
    <t>Филобок Сергей Викторович (310 000 руб., 100%)</t>
  </si>
  <si>
    <t>268 320 000</t>
  </si>
  <si>
    <t>receptionmsk@gropm.com</t>
  </si>
  <si>
    <t>www.groupm.com</t>
  </si>
  <si>
    <t>Колосова Мария Леонидовна (8 365 970 руб., 31%)
Бровко Анна Анатольевна (5 667 270 руб., 21%)
Елисейкин Михаил Анатольевич (5 667 270 руб., 21%)
Кирьянова Наталья Сергеевна (5 667 270 руб., 21%)
Малиновская Анна Андреевна (1 619 220 руб., 6%)</t>
  </si>
  <si>
    <t>855 200 000</t>
  </si>
  <si>
    <t>greatfoodsinc@gmail.com</t>
  </si>
  <si>
    <t>gfoods.ru</t>
  </si>
  <si>
    <t>Дахнович Алексей Александрович (1 174 511.87 руб., 23.97%)
Дахнович Андрей Александрович (1 174 511.87 руб., 23.97%)
Долматов Игорь Станиславович (1 174 511.87 руб., 23.97%)
Шиляев Андрей Александрович (1 174 511.87 руб., 23.97%)
Мартиросян Гайк Юрьевич (201 952.52 руб., 4.12%)</t>
  </si>
  <si>
    <t>622 370 000</t>
  </si>
  <si>
    <t>Драч Алексей Леонидович (10 000 руб., 100%)</t>
  </si>
  <si>
    <t>234 410 000</t>
  </si>
  <si>
    <t>a.haryushin@dominantsugar.ru, popova.o@dominantsugar.ru</t>
  </si>
  <si>
    <t>1 025 080 000</t>
  </si>
  <si>
    <t>zinaida.kosareva@glavstroy.ru</t>
  </si>
  <si>
    <t>СПИТЗМАР ЛИМИТЕД, МКАО (9 900 руб., 99%)
УК КУЛЬТУРА, ООО (100 руб., 1%)</t>
  </si>
  <si>
    <t>bontti@yandex.ru, office@krastr.ru</t>
  </si>
  <si>
    <t>www.gsk-kt.ru</t>
  </si>
  <si>
    <t>УПРАВЛЯЮЩАЯ КОМПАНИЯ ГСК ХОЛДИНГ, ООО (7 400 руб., 74%)
Синельников Евгений Борисович (2 600 руб., 26%)</t>
  </si>
  <si>
    <t>Производство конвейерных лент и приводных ремней, бельтинга из вулканизированной резины</t>
  </si>
  <si>
    <t>83 080 000</t>
  </si>
  <si>
    <t>servicegazauto.ru</t>
  </si>
  <si>
    <t>ГАЗСТРОЙПРОМ, АО (801 942 480 руб., 100%)</t>
  </si>
  <si>
    <t>sgc-1.ru</t>
  </si>
  <si>
    <t>ГАЗСТРОЙПРОМ, АО (10 000 руб., 100%)</t>
  </si>
  <si>
    <t>info@gsp-gsm.ru, sgk.gsm@gmail.com</t>
  </si>
  <si>
    <t>ГСП-ИНВЕСТИЦИИ, ООО (9 900 руб., 99%)
ГАЗСТРОЙПРОМ, АО (100 руб., 1%)</t>
  </si>
  <si>
    <t>Работы строительные специализированные, не включенные в другие группировки</t>
  </si>
  <si>
    <t>495 400 000</t>
  </si>
  <si>
    <t>in@gsp-k.ru</t>
  </si>
  <si>
    <t>457 810 000</t>
  </si>
  <si>
    <t>info@gsp-m.ru</t>
  </si>
  <si>
    <t>ГАЗСТРОЙПРОМ, АО (4 764 660 000 руб., 100%)</t>
  </si>
  <si>
    <t>Аренда и лизинг грузовых транспортных средств</t>
  </si>
  <si>
    <t>ГАЗСТРОЙПРОМ, АО (20 000 руб., 100%)</t>
  </si>
  <si>
    <t>107 940 000</t>
  </si>
  <si>
    <t>gorstroycity.ru</t>
  </si>
  <si>
    <t>СИП, ООО (2 850 руб., 28.50%)
СОФИЙСКАЯ НАБЕРЕЖНАЯ, ООО (2 550 руб., 25.50%)
ЦЕНТРАКТИВ, ГУП (2 550 руб., 25.50%)
ЦРИ, ООО (2 050 руб., 20.50%)</t>
  </si>
  <si>
    <t>ahtyamova_ad@gtenergo.ru, dadykina_sv@gtenergo.ru, gt@energo.ru, gt@yandex.ru, gtenergo@mail.ru, info@gtenergo.ru, kakurin_pa@gtenergo.ru, melnikov_av@gtenergo.ru, nikitina_os@gtenergo.ru, sizo3@29.fsin.gov.ru</t>
  </si>
  <si>
    <t>gtenergo.ru</t>
  </si>
  <si>
    <t>gti@gtimanagement.ru</t>
  </si>
  <si>
    <t>КОМПАНИЯ "ГЛОБАЛТРАНС ИНВЕСТМЕНТ ПЛС196" (4 155 000 000 руб., 100%)</t>
  </si>
  <si>
    <t>Аренда и лизинг железнодорожного транспорта и оборудования</t>
  </si>
  <si>
    <t>1 279 120 000</t>
  </si>
  <si>
    <t>etp_usk@gtlk.ru, gtlk@gtlk.ru, kiseleva@gtlk.ru, meshcheriakova@gtik.ru, osetrov.dv@gtlk.ru, shakhova.vn@gtlk.ru, sheyna@gtlk.ru, struchkov@gtlk.ru, www.gtlk.ru, zakupki@gtlk.ru</t>
  </si>
  <si>
    <t>gtlk.ru</t>
  </si>
  <si>
    <t>asu@surgutgts.ru, buh@gts.surguttel.ru, drabkinao@surgutgts.ru, dts@surgutgts.ru, ets@.surgutets.ru, ets@sursgutgts.ru, gtg@surgutgts.ru, gts@admsurgut.ru, gts@gsurgutgts.ru, gts@gts.surgut.gts.ru</t>
  </si>
  <si>
    <t>АДМИНИСТРАЦИЯ ГОРОДА СУРГУТА (n/a)</t>
  </si>
  <si>
    <t>Распределение пара и горячей воды (тепловой энергии)</t>
  </si>
  <si>
    <t>gkoks@gkoks.ru, kalsin_am1@gkoks.ru</t>
  </si>
  <si>
    <t>www.stroyservis.com, www.stroyservis.com/about.php?id=11</t>
  </si>
  <si>
    <t>2 445 980 000</t>
  </si>
  <si>
    <t>2266857@bk.ru, 226685@bk.ru, 25205134@mail.ru, all@krasal.ru, apteka_130_nake@gpkk.ru, chudinova@gpkk.ru, dyakonovau@gpkk.ru, dyakova@gpkk.ru, dybovskaya@gpkk.ru, farm_dr@mail.ru</t>
  </si>
  <si>
    <t>gpkk.ru</t>
  </si>
  <si>
    <t>445 480 000</t>
  </si>
  <si>
    <t>gubkin@meat.ru, mechenko@bvkgroup.ru</t>
  </si>
  <si>
    <t>goodfoodpostavka@mail.ru</t>
  </si>
  <si>
    <t>ТК ГУД-ФУД, ООО (50 000 руб., 50%)
ФАБРИКА ГУД-ФУД, ООО (50 000 руб., 50%)</t>
  </si>
  <si>
    <t>natalya_kultenko@goodyear.com</t>
  </si>
  <si>
    <t>www.goodyear.com, www.goodyear.eu, www.goodyear.ru</t>
  </si>
  <si>
    <t>Goodyear Holdings S.ar.l. (8 700 000 руб., 100%)</t>
  </si>
  <si>
    <t>gordorstroy@mail.ru, gudsr@gudsr.ru, gudsr@mail.ru</t>
  </si>
  <si>
    <t>gudsr.ru</t>
  </si>
  <si>
    <t>Осинцев Александр Геннадьевич (9 000 руб., 30%)
Семенов Андрей Владимирович (9 000 руб., 30%)
Козловская Мария Андреевна (6 900 руб., 23%)
Пустозеров Павел Александрович (3 000 руб., 10%)
Козловский Андрей Борисович (2 100 руб., 7%)</t>
  </si>
  <si>
    <t>448 200 000</t>
  </si>
  <si>
    <t>dom@gukkrasnodar.ru, nasnya91111@mail.ru</t>
  </si>
  <si>
    <t>gukkrasnodar.ru</t>
  </si>
  <si>
    <t>РЕСУРСИНВЕСТ, ООО (5 001 руб., 50.01%)
ТОЧКА ОПОРЫ, ООО (4 999 руб., 49.99%)</t>
  </si>
  <si>
    <t>120 000</t>
  </si>
  <si>
    <t>uo02gulliver-ul.ru</t>
  </si>
  <si>
    <t>http://www.gulliver-ul.ru, чудокарта.рф</t>
  </si>
  <si>
    <t>3663777@mail.ru, oaoapskg@mail.kuban.ru, oaoapskg@yandex.ru, tickaya_nm@v-k-b.ru, yurist_apskg@mail.ru</t>
  </si>
  <si>
    <t>www.kubstatus.ru</t>
  </si>
  <si>
    <t>kzmz@mail.ru</t>
  </si>
  <si>
    <t>www.gurt.su</t>
  </si>
  <si>
    <t>ИНДУСТРИАЛЬНЫЙ АЛЬЯНС, ООО (5 500 000 руб., 100%)</t>
  </si>
  <si>
    <t>Производство прочих изделий из недрагоценных металлов, не включенных в другие группировки</t>
  </si>
  <si>
    <t>590 690 000</t>
  </si>
  <si>
    <t>gurstal.ru</t>
  </si>
  <si>
    <t>МЕТАЛЛУРГИНВЕСТ, ООО (9 999 руб., 99.99%)
ГУРЬЕВСК-СТАЛЬ, ООО (1 руб., 0.010%)</t>
  </si>
  <si>
    <t>aem@gusarm.ru, buh@gusarm.ru, it@gusarm.ru, lomovamv@gusarm.ru, sales@gusarm.ru</t>
  </si>
  <si>
    <t>www.gusarm.ru</t>
  </si>
  <si>
    <t>Ванунц Ваник Радикович (130 830 000 руб., 49%)</t>
  </si>
  <si>
    <t>gsa-services.ru</t>
  </si>
  <si>
    <t>ГАЗПРОМ ЭКСПОРТ, ООО (9 990 руб., 99.90%)
ГАЗПРОМ ПХГ, ООО (10 руб., 0.10%)</t>
  </si>
  <si>
    <t>Хранение и складирование газа и продуктов его переработки</t>
  </si>
  <si>
    <t>1 411 270 000</t>
  </si>
  <si>
    <t>Горячев Антон Сергеевич (10 000 руб., 50%)
Цыпин Михаил Яковлевич (10 000 руб., 50%)</t>
  </si>
  <si>
    <t>40 340 000</t>
  </si>
  <si>
    <t>00658@yandex.ru, 1458932@mail.ru, 2115499@mail.ru, 233201@mail.ru, 239239@rollst.ru, 3416611@mail.ru, 473065@mai.ru, 473065@mail.ru, 512478855@mail.ru, 5731765@mail.ru</t>
  </si>
  <si>
    <t>www.cccb.ru</t>
  </si>
  <si>
    <t>РОСИМУЩЕСТВО (n/a)
Российская Федерация (n/a)</t>
  </si>
  <si>
    <t>Деятельность специальной почтовой связи</t>
  </si>
  <si>
    <t>pdn32rus@yandex.ru</t>
  </si>
  <si>
    <t>Сапунов Алексей Владимирович (5 100 000 руб., 51%)
Прудников Андрей Николаевич (4 900 000 руб., 49%)</t>
  </si>
  <si>
    <t>Производство прочих машин и оборудования специального назначения, не включенных в другие группировки</t>
  </si>
  <si>
    <t>131 810 000</t>
  </si>
  <si>
    <t>asarsenbaeva@gallerymedia.team, emelnikova@media-1.com, info@gallerymedia.com, lomovitskaya@gallerymedia.com, reception@gallerymedia.com, reception@gallerymedia.ru</t>
  </si>
  <si>
    <t>www.gallerymedia.com, www.outdoor1.ru, www.westdia.ru</t>
  </si>
  <si>
    <t>МЕДИА-1 АУТДОР, ООО (1 513 996 683.03 руб., 100%)</t>
  </si>
  <si>
    <t>info@gesrv.ru</t>
  </si>
  <si>
    <t>Сихарулидзе Антон Тариэльевич (1 000 000 руб., 60%)
Юркова Наталия Ивановна (666 666.67 руб., 40%)</t>
  </si>
  <si>
    <t>162 860 000</t>
  </si>
  <si>
    <t>infonu@gesrv.ru, l.prokopchuk@gesstr.ru, ryagudin@gesstr.ru</t>
  </si>
  <si>
    <t>Исавердян Владимир Жорикович (1 000 000 руб., 100%)</t>
  </si>
  <si>
    <t>sav_ssa@mail.ru</t>
  </si>
  <si>
    <t>ГЭС, ООО (480 000 руб., 48%)
Сихарулидзе Антон Тариэльевич (185 000 руб., 18.50%)
Юркова Наталия Ивановна (185 000 руб., 18.50%)
Абзалов Кадим Агзямович (150 000 руб., 15%)</t>
  </si>
  <si>
    <t>55 730 000</t>
  </si>
  <si>
    <t>info@geheng.ru</t>
  </si>
  <si>
    <t>www.tsnrg.com</t>
  </si>
  <si>
    <t>ГАЗПРОМ ЭНЕРГОХОЛДИНГ, ООО (24 134 690 882.7 руб., 99.99%)
ГЭХ РАЗВИТИЕ ТЕРРИТОРИЙ, ООО (241 349.32 руб., 0.0010%)</t>
  </si>
  <si>
    <t>Строительство электростанций</t>
  </si>
  <si>
    <t>tatyana.biryukova@diageo.com</t>
  </si>
  <si>
    <t>inbar.ru, www.diageo.com</t>
  </si>
  <si>
    <t>1 205 540 000</t>
  </si>
  <si>
    <t>nmerkulova@dlink.ru, ryazan@dlink.ru</t>
  </si>
  <si>
    <t>d-link.ru, dlink.ru</t>
  </si>
  <si>
    <t>D-LINK INVESTMENT PTE. LTD. (72 000 000 руб., 100%)</t>
  </si>
  <si>
    <t>Торговля оптовая телекоммуникационным оборудованием и его запасными частями</t>
  </si>
  <si>
    <t>251 410 000</t>
  </si>
  <si>
    <t>Храмов Дмитрий Сергеевич (10 000 руб., 100%)</t>
  </si>
  <si>
    <t>info@docke.ru, site@docke.ru</t>
  </si>
  <si>
    <t>www.docke.ru</t>
  </si>
  <si>
    <t>Балаев Александр Львович (33 333.34 руб., 33.33%)
Дядченко Николай Николаевич (33 333.34 руб., 33.33%)
Попов Дмитрий Геннадиевич (26 666.67 руб., 26.67%)
Попова Ольга Борисовна (6 666.67 руб., 6.67%)</t>
  </si>
  <si>
    <t>365 650 000</t>
  </si>
  <si>
    <t>mailbox@doehler.com, tatiana.martynova@doehler.com</t>
  </si>
  <si>
    <t>www.doehler.com</t>
  </si>
  <si>
    <t>ООО ДЕЛЕР ГМБХ (525 000 000 руб., 100%)</t>
  </si>
  <si>
    <t>1 477 150 000</t>
  </si>
  <si>
    <t>alexey.yakovlev@raz.ru, gladysheva_ov@tavros.ru, muravyova_lv@tavros.ru</t>
  </si>
  <si>
    <t>УК ТАВРОС, ООО (112 000 000 руб., 100%)</t>
  </si>
  <si>
    <t>79 540 000</t>
  </si>
  <si>
    <t>fedko.i@mail.ru, krukovaalina22@gmail.com, rudakova_sl@mail.ru</t>
  </si>
  <si>
    <t>Федько Илья Михайлович (10 000 руб., 100%)</t>
  </si>
  <si>
    <t>Торговля оптовая неспециализированная пищевыми продуктами, напитками и табачными изделиями</t>
  </si>
  <si>
    <t>82 320 000</t>
  </si>
  <si>
    <t>2463210@mail.ru</t>
  </si>
  <si>
    <t>azs-dal.ru</t>
  </si>
  <si>
    <t>Скляренко Виктор Владимирович (10 000 руб., 100%)</t>
  </si>
  <si>
    <t>dalagroliga@mail.ru, info@dalagroliga.ru</t>
  </si>
  <si>
    <t>dalagroliga.ru</t>
  </si>
  <si>
    <t>Хреновская Светлана Александровна (50 000 руб., 50%)
Хреновский Владилен Юрьевич (50 000 руб., 50%)</t>
  </si>
  <si>
    <t>68 480 000</t>
  </si>
  <si>
    <t>dalkamneft@mail.ru</t>
  </si>
  <si>
    <t>Чаплыгин Владимир Валентинович (6 670 руб., 66.70%)
Чаплыгина Ирина Ивановна (3 330 руб., 33.30%)</t>
  </si>
  <si>
    <t>59 400 000</t>
  </si>
  <si>
    <t>ekaterina.gubkina@rfpgroup.ru, rfpgroup@rfpgroup.ru</t>
  </si>
  <si>
    <t>257 250 000</t>
  </si>
  <si>
    <t>office@fareastyard.ru, zdobin_ia@fareastyard.ru</t>
  </si>
  <si>
    <t>АРСЕНЬЕВ, АО (990 000 руб., 99%)
Здобин Иван Александрович (10 000 руб., 1%)</t>
  </si>
  <si>
    <t>КАПЕР, ООО (5 500 руб., 55%)
СТОЛОС, АО (4 500 руб., 45%)</t>
  </si>
  <si>
    <t>5 917 170 000</t>
  </si>
  <si>
    <t>dvres@mail.ru, urist_dvr@mail.ru</t>
  </si>
  <si>
    <t>dvres.ru</t>
  </si>
  <si>
    <t>989 360 000</t>
  </si>
  <si>
    <t>mail@bor-acid.ru</t>
  </si>
  <si>
    <t>РАДАМАНТ, ООО (10 000 руб., 100%)</t>
  </si>
  <si>
    <t>oper@dnprom.ru</t>
  </si>
  <si>
    <t>dnprom.ru</t>
  </si>
  <si>
    <t>Кудрявцев Алексей Геннадьевич (5 000 000 руб., 100%)</t>
  </si>
  <si>
    <t>28 720 000</t>
  </si>
  <si>
    <t>0491919@mail.ru</t>
  </si>
  <si>
    <t>msobidko@dalreftrans.ru</t>
  </si>
  <si>
    <t>ДВМП, ПАО (432 448 396.5 руб., 100%)</t>
  </si>
  <si>
    <t>189 980 000</t>
  </si>
  <si>
    <t>linkevichea@suek.ru, lysakov@suek.ru</t>
  </si>
  <si>
    <t>dtu.net.ru</t>
  </si>
  <si>
    <t>СУЭК, АО (2 000 000 000 руб.)</t>
  </si>
  <si>
    <t>3 942 570 000</t>
  </si>
  <si>
    <t>gold@mangazeya.ru</t>
  </si>
  <si>
    <t>ММ ХОЛДИНГ, ООО (220 000 000 руб., 100%)</t>
  </si>
  <si>
    <t>danisco.moscow@danisco.com, natalia.travina-1@iff.com</t>
  </si>
  <si>
    <t>www.danisco.com, www.dupontnutritionandbiosciences.com</t>
  </si>
  <si>
    <t>125 680 000</t>
  </si>
  <si>
    <t>Шайхетдинов Ильшат Табрисович (510 000 руб., 51%)
Мошкин Сергей Сергеевич (245 000 руб., 24.50%)
Якупов Ленар Камилевич (245 000 руб., 24.50%)</t>
  </si>
  <si>
    <t>73 940 000</t>
  </si>
  <si>
    <t>correspondence@danone.com, ekaterinabarinova@danon.com, irina.gorobets@danone.com, mariya.babartseva@danone.com</t>
  </si>
  <si>
    <t>danone.com, www.danone.ru</t>
  </si>
  <si>
    <t>6 777 800 000</t>
  </si>
  <si>
    <t>correspondence@danone.com, liza.papoyan@danone.com</t>
  </si>
  <si>
    <t>ДАНОН РОССИЯ, АО (100 000 000 руб., 100%)</t>
  </si>
  <si>
    <t>734 110 000</t>
  </si>
  <si>
    <t>buh5@idelspb.ru</t>
  </si>
  <si>
    <t>idelspb.ru</t>
  </si>
  <si>
    <t>Горпинченко Павел Васильевич (20 000 руб., 100%)</t>
  </si>
  <si>
    <t>14 760 000</t>
  </si>
  <si>
    <t>amoshkova@dtln.ru, gosuslugi@dtln.ru, gosuslugi_dataline@dtln.ru, igoncharova@dtln.ru, info@dtln.ru, torg@dtln.ru</t>
  </si>
  <si>
    <t>ЦЕНТР ХРАНЕНИЯ ДАННЫХ, ООО (257 510 000 руб., 100%)</t>
  </si>
  <si>
    <t>1 277 830 000</t>
  </si>
  <si>
    <t>evasilyeva@datapro.ru, soldatov@datapro.ru</t>
  </si>
  <si>
    <t>datapro.ru</t>
  </si>
  <si>
    <t>Богданчикова Татьяна Анатольевна (21 671 000 руб., 33.34%)
Богданчиков Алексей Сергеевич (21 664 500 руб., 33.33%)
Богданчиков Евгений Сергеевич (21 664 500 руб., 33.33%)</t>
  </si>
  <si>
    <t>Деятельность по обработке данных, предоставление услуг по размещению информации и связанная с этим деятельность</t>
  </si>
  <si>
    <t>info@dow-izolan.com</t>
  </si>
  <si>
    <t>www.dow-izolan.com, www.dow-izolan.ru</t>
  </si>
  <si>
    <t>РУС ПОЛИУРЕТЕЙНЗ ХОЛДИНГ Б.В. (RUS POLYURETHANES HOLDING B.V) (442 971 278.72 руб., 100%)</t>
  </si>
  <si>
    <t>3 001 990 000</t>
  </si>
  <si>
    <t>anons@gtm.gazprom.ru, i.muzyka@gtm.gazprom.ru, info@gtm.gazprom.ru, info@mtg.gazprom.ru, m.khaljapin@gtm.gazprom.ru</t>
  </si>
  <si>
    <t>http://moskva-tr.gazprom.ru/, www.mostransgaz.info</t>
  </si>
  <si>
    <t>ГАЗПРОМ, ПАО (13 371 237 400 руб., 100%)</t>
  </si>
  <si>
    <t>501 430 000</t>
  </si>
  <si>
    <t>blizkiy-discounter.ru</t>
  </si>
  <si>
    <t>Егоров Юрий Анатольевич (89 032.26 руб., 43.70%)
Меркулова Марина Валерьевна (60 000 руб., 29.45%)
Булыгин Сергей Владимирович (44 516.1 руб., 21.85%)
Волков Лев Евгеньевич (10 186.74 руб., 5%)</t>
  </si>
  <si>
    <t>davydova@dvtrading.ru, popova@dvtrading.ru</t>
  </si>
  <si>
    <t>Маношкин Евгений Александрович (5 510 руб., 55.10%)
Дзяворук Вадим (2 490 руб., 24.90%)
Ахмедчин Сергей Саидович (1 000 руб., 10%)
Байбуртян Хачатур Петросович (1 000 руб., 10%)</t>
  </si>
  <si>
    <t>193 450 000</t>
  </si>
  <si>
    <t>Кан Хак Сун (10 000 000 руб., 100%)</t>
  </si>
  <si>
    <t>50 680 000</t>
  </si>
  <si>
    <t>cva@m-oil.ru, miheeva@m-oil.ru</t>
  </si>
  <si>
    <t>dvkomi.ru</t>
  </si>
  <si>
    <t>Киселев Иван Сергеевич (67 500 000 руб., 50%)
Киселев Сергей Николаевич (67 500 000 руб., 50%)</t>
  </si>
  <si>
    <t>fesco@fesco.ru, isharkov@fesco.com</t>
  </si>
  <si>
    <t>http://www.fesco.ru/investor/documents, www.fesco.ru</t>
  </si>
  <si>
    <t>ENVIARTIA CONSULTING LTD (24.99%)
SMARTILICIOUS CONSULTING LTD (24.99%)
Маслов Герман Семенович (0.00059%)</t>
  </si>
  <si>
    <t>i.galaktionova@tps7.org, info@gsp-7.ru</t>
  </si>
  <si>
    <t>13801@edu.27.ru, agent@khab.dvec.ru, agent@koms.dvec.ru, agent@koms.khab.dvec.ru, aodgk@mail.ru, arempts@mail.ru, artempts@mal.ru, btec@dgk.ru, buh1@ner.amur.dvec.ru, cgvjht@mail.ru</t>
  </si>
  <si>
    <t>www.dvgk.ru</t>
  </si>
  <si>
    <t>РУСГИДРО, ПАО (87.89%)
РАО ЭС ВОСТОКА, АО (12.10%)
ДЭК, ПАО (0.0011%)</t>
  </si>
  <si>
    <t>ddk.sakha@mail.ru</t>
  </si>
  <si>
    <t>ГЛОУМОР ДМСС (227 157 579.09 руб., 99.99%)
Рамани Витхалбхай Валлабхбхай (1 000 руб., 0.00040%)</t>
  </si>
  <si>
    <t>Обработка алмазов</t>
  </si>
  <si>
    <t>237 040 000</t>
  </si>
  <si>
    <t>babikova@de-heus.ru, info@neokorm.com, negoda@kmkorma.ru, satardinov@kmkorma.ru</t>
  </si>
  <si>
    <t>1 001 930 000</t>
  </si>
  <si>
    <t>m.abramenko@devinotele.com, tender@devinotele.com</t>
  </si>
  <si>
    <t>www.devinotele.com</t>
  </si>
  <si>
    <t>Ушанов Павел Сергеевич (500 000 руб., 100%)</t>
  </si>
  <si>
    <t>70 090 000</t>
  </si>
  <si>
    <t>www.devon.ru</t>
  </si>
  <si>
    <t>Шипилов Альберт Васильевич (400 000 руб., 80%)
Черепанов Юрий Владимирович (50 000 руб., 10%)
Шипилова Татьяна Викторовна (50 000 руб., 10%)</t>
  </si>
  <si>
    <t>86 410 000</t>
  </si>
  <si>
    <t>info@dayles.net</t>
  </si>
  <si>
    <t>Косых Илья Анатольевич (73 010 000 руб., 100%)</t>
  </si>
  <si>
    <t>69 920 000</t>
  </si>
  <si>
    <t>11 720 000</t>
  </si>
  <si>
    <t>database100k20@mail.ru</t>
  </si>
  <si>
    <t>100k20.ru</t>
  </si>
  <si>
    <t>Отмахова Елена Александровна (10 000 руб., 100%)</t>
  </si>
  <si>
    <t>Лесова Маргарита Викторовна (15 000 руб., 100%)</t>
  </si>
  <si>
    <t>doronina@dekor-bor.ru, info@dekor-bor.ru, lebedevd@me.com</t>
  </si>
  <si>
    <t>dekor-bor.ru</t>
  </si>
  <si>
    <t>Лебедев Дмитрий Николаевич (90 000 руб., 90%)
БОРСКАЯ БАЗА СТРОЙМАТЕРИАЛОВ, ООО (10 000 руб., 10%)</t>
  </si>
  <si>
    <t>Производство прочих изделий, не включенных в другие группировки</t>
  </si>
  <si>
    <t>222 470 000</t>
  </si>
  <si>
    <t>office@dekra.ru</t>
  </si>
  <si>
    <t>dekra.ru</t>
  </si>
  <si>
    <t>23 150 000</t>
  </si>
  <si>
    <t>furnitura@mdm-complect.ru</t>
  </si>
  <si>
    <t>delmeb.ru</t>
  </si>
  <si>
    <t>Старр Марина Саркисовна (70 000 руб., 70%)
Веселовский Владимир Вячеславович (30 000 руб., 30%)</t>
  </si>
  <si>
    <t>271 640 000</t>
  </si>
  <si>
    <t>a.kashapova@del-ko.ru, hello@del-ko.ru, office@del-ko.ru</t>
  </si>
  <si>
    <t>del-ko.ru</t>
  </si>
  <si>
    <t>ДЕЛКОСТ, АО (3 000 000 руб., 100%)</t>
  </si>
  <si>
    <t>54 270 000</t>
  </si>
  <si>
    <t>boris.scherbakov@mail.ru</t>
  </si>
  <si>
    <t>"ДЕЛЛ ИНТЕРНЕШНЛ ХОЛДИНГС VIII Б.В." (9 900 руб., 99%)
"ДЕЛЛ ГЛОБАЛ ХОЛДИНГС III БВ" (100 руб., 1%)</t>
  </si>
  <si>
    <t>112 090 000</t>
  </si>
  <si>
    <t>МОСНЕДВИЖИМОСТЬ, ООО (100 000 руб., 100%)</t>
  </si>
  <si>
    <t>iru.ru</t>
  </si>
  <si>
    <t>Солкин Игорь Геннадьевич (250 000 руб., 100%)</t>
  </si>
  <si>
    <t>35 950 000</t>
  </si>
  <si>
    <t>dmitriy.hruschalev@dellin.ru, oleg.i.mordvinov@dellin.ru, pismo@dellin.ru, secretar.go@dellin.ru, tender@dellin.ru</t>
  </si>
  <si>
    <t>www.dellin.ru</t>
  </si>
  <si>
    <t>0578 ХОЛДИНГ, ООО (10 000 000 руб., 100%)</t>
  </si>
  <si>
    <t>802 560 000</t>
  </si>
  <si>
    <t>b2b@delonghi.ru, b2b@kenwood.ru, help@delonghi.ru, help@kenwood.ru, info@delonghi.ru, info@delonghishop.ru</t>
  </si>
  <si>
    <t>www.delonghi.com</t>
  </si>
  <si>
    <t>АКЦИОНЕРНОЕ ОБЩЕСТВО "ДЕ ЛОНГИ БЕНЕЛЮКС С. А." (2 327 420 000 руб., 59%)
De'Longhi Deutschland GmbH (1 617 400 000 руб., 41%)</t>
  </si>
  <si>
    <t>finance@delway-group.com, melnikova_o@deltrade.net</t>
  </si>
  <si>
    <t>Андрющенко Анатолий Анатольевич (500 000 руб., 100%)</t>
  </si>
  <si>
    <t>53 460 000</t>
  </si>
  <si>
    <t>info@delfinrus.com, nikitoskraz@gmail.com</t>
  </si>
  <si>
    <t>Зимин Юрий Владимирович (100 000 000 руб., 100%)</t>
  </si>
  <si>
    <t>Деятельность агентов по оптовой торговле промышленными и техническими химическими веществами</t>
  </si>
  <si>
    <t>administration@delfinrus.com, info@delfinrus.com</t>
  </si>
  <si>
    <t>www.delfin-group.com, www.delfinrus.com</t>
  </si>
  <si>
    <t>Производство смазочных материалов, присадок к смазочным материалам и антифризов</t>
  </si>
  <si>
    <t>Зыков Александр Владимирович (10 000 руб., 100%)</t>
  </si>
  <si>
    <t>428 210 000</t>
  </si>
  <si>
    <t>delirus@mail.ru, info-mrc@delrus.ru, kuznetsovaav@delrus.ru, moscow@delrus.ru, moskow@delrus.ru, mrc@delrus.ru, nagaytsev@icloud.com</t>
  </si>
  <si>
    <t>www.delrus.ru</t>
  </si>
  <si>
    <t>АКТИВ, АО (9 999.9 руб., 99.99%)
Курилова Ирина Николаевна (.1 руб., 0.0010%)</t>
  </si>
  <si>
    <t>501 750 000</t>
  </si>
  <si>
    <t>moscow@delrus.ru, novikovas@delrus.ru, saies@deirus.ru, sales@delrus.ru</t>
  </si>
  <si>
    <t>delmarket.ru, osteoline.ru, операторсиз.рф</t>
  </si>
  <si>
    <t>Гузовский Аркадий Леонидович (4 180 руб., 41.80%)
Магадеев Юлай Басырович (4 180 руб., 41.80%)
Гузовский Максим Леонидович (940 руб., 9.40%)
Федотов Роман Игоревич (700 руб., 7%)</t>
  </si>
  <si>
    <t>326 620 000</t>
  </si>
  <si>
    <t>info@gsp6.ru</t>
  </si>
  <si>
    <t>delta-a77@mail.ru</t>
  </si>
  <si>
    <t>Ахсанов Рустем Азатович (10 000 руб., 100%)</t>
  </si>
  <si>
    <t>169 760 000</t>
  </si>
  <si>
    <t>anna.trotsenko@siemens.com, gosuslugi@deltaleasing.ru</t>
  </si>
  <si>
    <t>www.deltaleasing.ru, www.new.siemens.com</t>
  </si>
  <si>
    <t>ИНСАЙТ, ООО ИНВЕСТИЦИОННАЯ ГРУППА (84 617 400 руб., 100%)</t>
  </si>
  <si>
    <t>2 307 040 000</t>
  </si>
  <si>
    <t>bynom@bynom.com</t>
  </si>
  <si>
    <t>ИНВЕСТТОРГ, ООО (2 045 000 руб., 100%)</t>
  </si>
  <si>
    <t>2465459@mail.ru, kuznecova.ga@delfin102.ru, torgi@delfin102.ru</t>
  </si>
  <si>
    <t>дельфин102.рф</t>
  </si>
  <si>
    <t>Терегулов Азат Ильсурович (10 000 руб., 100%)</t>
  </si>
  <si>
    <t>Торговля оптовая продуктами из мяса и мяса птицы</t>
  </si>
  <si>
    <t>48 160 000</t>
  </si>
  <si>
    <t>info@mgresources.ru, nataliya.klimova@dtrading.ru</t>
  </si>
  <si>
    <t>http://www.dtrading.ru/</t>
  </si>
  <si>
    <t>ДЕМЕТРА-ХОЛДИНГ, ООО (999 000 руб., 99.90%)
РУСАГРОТРАНС, ООО (1 000 руб., 0.10%)</t>
  </si>
  <si>
    <t>demetra.kuban@mail.ru</t>
  </si>
  <si>
    <t>Воронцов Андрей Валерьевич (22 037 246.5 руб., 50.57%)
Климин Максим Викторович (21 537 246.5 руб., 49.43%)</t>
  </si>
  <si>
    <t>11 570 000</t>
  </si>
  <si>
    <t>cheryauto@chery.ru, hr@chery.ru, info@demidich.ru</t>
  </si>
  <si>
    <t>samohodcar.ru</t>
  </si>
  <si>
    <t>Никитин Владислав Валерьевич (5 100 руб., 51%)
Искандаров Олег Фатихович (4 900 руб., 49%)</t>
  </si>
  <si>
    <t>28 610 000</t>
  </si>
  <si>
    <t>reception.ru@maxxium.com</t>
  </si>
  <si>
    <t>www.maxxium.com</t>
  </si>
  <si>
    <t>7825390241_784201001@eo.tensor.ru</t>
  </si>
  <si>
    <t>interbelko.ru</t>
  </si>
  <si>
    <t>Торговля оптовая шоколадом и сахаристыми кондитерскими изделиями</t>
  </si>
  <si>
    <t>dir@deneb-tools.ru</t>
  </si>
  <si>
    <t>Бабаев Азер Кахраман Оглы (5 000 000 руб., 50%)
Блезэ Елена Альбертовна (5 000 000 руб., 50%)</t>
  </si>
  <si>
    <t>342 730 000</t>
  </si>
  <si>
    <t>info@dentro.ru</t>
  </si>
  <si>
    <t>dentro.ru</t>
  </si>
  <si>
    <t>Илькаев Игорь Вячеславович (25 505 100 руб., 51%)
Илькаев Олег Вячеславович (24 504 900 руб., 49%)</t>
  </si>
  <si>
    <t>natalia.marina@dentsplysirona.com</t>
  </si>
  <si>
    <t>ds-world.ru</t>
  </si>
  <si>
    <t>КОМПАНИЯ "ДЕНТСПЛАЙ РОССИЯ ЛТД" (10 000 руб., 80%)
Dentsply US Inc. (2 500 руб., 20%)</t>
  </si>
  <si>
    <t>323 200 000</t>
  </si>
  <si>
    <t>ds305.kzn@edu.tatar.ru, gubaevalg@poelidovolen.ru, info@poelodovolen.ru, postavki@poelidovoen.ru, postavki@poelidovolen.ru, raionirt@poelidovolen.ru, raionrt@poelidovolen.ru, raionyrt@hjelidovolen.ru, raionyrt@poelidovolen.ru, tagirovasv@poelidovolen.ru</t>
  </si>
  <si>
    <t>91 360 000</t>
  </si>
  <si>
    <t>dialog@depo.ru, hotline@depo.ru, info@depo.ru, sales@depo.ru, tenders.gov@depo.ru</t>
  </si>
  <si>
    <t>Эскин Сергей Вадимович (14 850 000 руб., 99%)
Ирисов Алексей Алексеевич (150 000 руб., 1%)</t>
  </si>
  <si>
    <t>47 630 000</t>
  </si>
  <si>
    <t>dwkk.ru</t>
  </si>
  <si>
    <t>Расулова Калимат Абдулкадыровна (50 000 000 руб., 100%)</t>
  </si>
  <si>
    <t>Производство пищевого спирта</t>
  </si>
  <si>
    <t>69 650 000</t>
  </si>
  <si>
    <t>derevynko-kfh@mail.ru, kybik.edik@icloud.com</t>
  </si>
  <si>
    <t>Деревянко Антон Викторович (n/a)
Деревянко Виктор Иванович (n/a)</t>
  </si>
  <si>
    <t>info@consyst-os.ru</t>
  </si>
  <si>
    <t xml:space="preserve">http://consyst-oc.ru  </t>
  </si>
  <si>
    <t>КОНЦЕРН РОСЭНЕРГОАТОМ, АО (159 744 000 руб.)</t>
  </si>
  <si>
    <t>65 490 000</t>
  </si>
  <si>
    <t>dbogatov@detmir.ru, info@detmir.ru, pressa@detmir.ru</t>
  </si>
  <si>
    <t>detmir.ru, https://ir.detmir.ru/, https://ir.detmir.ru/regulatory-documents/, www.det-mir.ru</t>
  </si>
  <si>
    <t>СБЕРБАНК, ПАО (22.83%)
ДМК, АО (8.75%)
Давыдова Мария Сергеевна (0.020%)
Володина Мария Валериевна (0.016%)
Пищиков Павел Павлович (0.0040%)
Ярошевская Анастасия Владимировна (0.0010%)
Шевчук Александр Викторович (0.000050%)</t>
  </si>
  <si>
    <t>Торговля розничная непродовольственными товарами, не включенными в другие группировки, в специализированных магазинах</t>
  </si>
  <si>
    <t>irina.ivanova3@jti.com</t>
  </si>
  <si>
    <t>ДЖ.Т.И. РОССИЯ, ООО (823 411 241.85 руб., 99.99%)
ПЕРЕСЛАВЛЬ-ТАБАК, АО (823.41 руб., 0.00010%)</t>
  </si>
  <si>
    <t>Аренда и лизинг прочих машин и оборудования научного и промышленного назначения</t>
  </si>
  <si>
    <t>236 520 000</t>
  </si>
  <si>
    <t>natalia.shatrova@jti.com</t>
  </si>
  <si>
    <t>https://www.jti.com/ru/europe/russia, www.gti.com</t>
  </si>
  <si>
    <t>КОМПАНИЯ "ДЖ.Т.ИНТЕРНЭШНЛ ГЕРМАНИЯ ГМБХ" (157 750 500 руб., 100%)</t>
  </si>
  <si>
    <t>29 460 070 000</t>
  </si>
  <si>
    <t>katya.lenskaya.96@mail.ru</t>
  </si>
  <si>
    <t>ОБЩЕСТВО С ОГРАНИЧЕННОЙ ОТВЕТСТВЕННОСТЬЮ "АНЬХОЙ ЦЗЯНЦИ ИНВЕСТМЕНТ КО., ЛТД." (64 584 975 руб., 100%)</t>
  </si>
  <si>
    <t>94 560 000</t>
  </si>
  <si>
    <t>russia@jcb.com, svetlana.petrova@jcb.com</t>
  </si>
  <si>
    <t>www.jcb.com</t>
  </si>
  <si>
    <t>Компания с ОО "Джей Си Би Сейлз Лимитед" (5 000 000 руб., 100%)</t>
  </si>
  <si>
    <t>1 728 360 000</t>
  </si>
  <si>
    <t>ФОРПОСТ, ООО (38 500 руб., 35%)
Киселев Станислав Владимирович (35 750 руб., 32.50%)
Шуткина Юлия Яновна (35 750 руб., 32.50%)</t>
  </si>
  <si>
    <t>363 340 000</t>
  </si>
  <si>
    <t>german-seed-alliance.ru, www.german-seed-alliance.de</t>
  </si>
  <si>
    <t>ООО "Джерман Сид Элайенс ГмбХ" (10 000 руб., 100%)</t>
  </si>
  <si>
    <t>267 400 000</t>
  </si>
  <si>
    <t>4957978686@mail.ru, chemichev.i.a@gdpgroup.ru, info@gdp-plus.ru, kovaleva.e.yu@gdgroup.ru, lukyanova.i.v@gdproup.ru, malzakup@gdpgroup.ru, matrizaeva.o.i@gbpgroup.ru, tendet@info.ru, ukyanova.i.v@gdpgroup.ru</t>
  </si>
  <si>
    <t>ХОЛДИНГОВАЯ КОМПАНИЯ ДОМИНАНТА, ООО (10 000 руб., 100%)</t>
  </si>
  <si>
    <t>183 100 000</t>
  </si>
  <si>
    <t>a.e@gdpgroup.ru, akkalieva.i.v@366.ru, aleinikov.a.v@gdpgroup.ru, amoylova.yu@gdpgroup.ru, apenchenko.t.a@gdpgroup.ru, ayavka@gdpgroup.ru, baburina.n.i@gdpgroup.ru, bakanova.o.s.@gdpgroup.ru, bakanova.o.s@gdgroup.ru, baklanova.o.s@gdpgroup.ru</t>
  </si>
  <si>
    <t>ХОЛДИНГОВАЯ КОМПАНИЯ ДОМИНАНТА, ООО (15 300 040 000 руб., 100%)</t>
  </si>
  <si>
    <t>a.sagal@azsgasprom.ru, al.petrenko@alifatrd.ru, andrey.belkov@pprcard.ru, anton.kremnev@gmail.com, cvetkova@mail.ru, gpip@mail.ru, hfufuet@mail.ru, i.levina@alfatrd.ru, inna.muraya@gpcrus.ru, iuyhyhfv@mail.ru</t>
  </si>
  <si>
    <t>gpc-rus.ru, http://www.gpc-store.ru/</t>
  </si>
  <si>
    <t>ДЖИ ПИ СИ РУС, ООО (130 000 руб., 100%)</t>
  </si>
  <si>
    <t>875 930 000</t>
  </si>
  <si>
    <t>nacharkin@list.ru</t>
  </si>
  <si>
    <t>www.gfc-russia.ru</t>
  </si>
  <si>
    <t>СФЕРА, АО (10 000 руб., 100%)</t>
  </si>
  <si>
    <t>8 800 000</t>
  </si>
  <si>
    <t>ОРИЕНТАЛ РИДЖЕНТ ЛИМИТЕД (1 190 795 312 руб., 100%)</t>
  </si>
  <si>
    <t>info@icl.kazan.ru, sales@icl-services.com</t>
  </si>
  <si>
    <t>www.icl-services.com</t>
  </si>
  <si>
    <t>АЙСИЭЛ-КПО ВС, АО (2 000 000 руб., 100%)</t>
  </si>
  <si>
    <t>84 910 000</t>
  </si>
  <si>
    <t>www.ge.com</t>
  </si>
  <si>
    <t>ЧАСТНАЯ КОМПАНИЯ С ОГРАНИЧЕННОЙ ОТВЕТСТВЕННОСТЬЮ "ДЖЕНЕРАЛ ЭЛЕКТРИК ИНТЕРНЕЙШНЛ (БЕНЕЛЮКС) Б.В." (1 678 236 350.95 руб., 85%)
ЧАСТНАЯ КОМПАНИЯ С ОГРАНИЧЕННОЙ ОТВЕТСТВЕННОСТЬЮ " ДЖИИ ПАУЭР НЕЗЕРЛАНДС Б.В." (276 415 398.98 руб., 14%)
ЧАСТНАЯ КОМПАНИЯ С ОГРАНИЧЕННОЙ ОТВЕТСТВЕННОСТЬЮ "ДЖИИ ПАУЭР ХОЛДИНГС НЕЗЕРЛАНДС Б.В." (19 743 957.07 руб., 1%)</t>
  </si>
  <si>
    <t>Производство двигателей и турбин, кроме авиационных, автомобильных и мотоциклетных двигателей</t>
  </si>
  <si>
    <t>18 020 000</t>
  </si>
  <si>
    <t>212304682@ge.com, 212742464@ge.com, djii@mai.ru, evgeny.dvoryankin@ge.com, irina.evseeva@ge.com, vyacheslav.shapovalov@ge.com</t>
  </si>
  <si>
    <t>www.gehealthcare.ru</t>
  </si>
  <si>
    <t>ДЖИИ ПРЕСИЖН ХЭЛСКЕА ЛЛС (17 999 982 руб., 99.99%)
General Electric Company (18 руб., 0.00010%)</t>
  </si>
  <si>
    <t>1 737 640 000</t>
  </si>
  <si>
    <t>www.gxo.com</t>
  </si>
  <si>
    <t>ЧКОО "НДЛ Холдинг Раша Б.В." (100 000 руб., 100%)</t>
  </si>
  <si>
    <t>82 480 000</t>
  </si>
  <si>
    <t>asta@jeelex.ru, info@jeelex.ru, marketing@jeelex.ru, sales@jeelex.ru, service@jeelex.ru</t>
  </si>
  <si>
    <t>jeelex.ru</t>
  </si>
  <si>
    <t>Языков Андрей Юрьевич (6 000 руб., 60%)
Языков Юрий Аполлонович (4 000 руб., 40%)</t>
  </si>
  <si>
    <t>Производство гидравлического и пневматического силового оборудования</t>
  </si>
  <si>
    <t>225 930 000</t>
  </si>
  <si>
    <t>arevkova@geely-motors.com, customer@geely-motors.com</t>
  </si>
  <si>
    <t>http://www.geely-motors.com</t>
  </si>
  <si>
    <t>ДЖИЛИ ИНТЕРНЕЙШНЛ ТРЕЙДИНГ ЛИМИТЕД (14 010 000 руб., 100%)</t>
  </si>
  <si>
    <t>borzyht@mail.ru, dgodas@yandex.ru, drpssingh79@mail.ru, dshodas@mail.ru, godas@mail.ru, info@godas.ru, info@jodas.ni, info@jodas.ri, info@jodas.ru, ivanovo@jodas.ru</t>
  </si>
  <si>
    <t>КОМП с ОО ДЖОДАС ЭКСПОИМ ПРАЙВЕТ ЛИМИТЕД (12 000 руб., 100%)</t>
  </si>
  <si>
    <t>ekunitsk@joy.com.uk, ipchelen@joy.com</t>
  </si>
  <si>
    <t>www.joy.com, www.mining.komatsu</t>
  </si>
  <si>
    <t>ДЖОЙ МАЙНИНГ МАШИНЕРИ ЛИМИТЕД (180 000 руб., 100%)</t>
  </si>
  <si>
    <t>256 410 000</t>
  </si>
  <si>
    <t>info@jokey.ru, vladykina@jokey.ru</t>
  </si>
  <si>
    <t>www.jokey.ru</t>
  </si>
  <si>
    <t>СООО "Джокей Могилев" (1 800 000 руб., 100%)</t>
  </si>
  <si>
    <t>Торговля оптовая прочими промежуточными продуктами</t>
  </si>
  <si>
    <t>45 640 000</t>
  </si>
  <si>
    <t>berdyshevaalena@johndeere.com, jdfoperations@johndeere.com, jdfrussia@johndeere.com, russia@johndeere.com</t>
  </si>
  <si>
    <t>deere.ru</t>
  </si>
  <si>
    <t>John Deere Agricultural Holdings, Inc. (949 972 000 руб., 99.99%)
ДИР ЭНД КОМПАНИ (28 000 руб., 0.0030%)</t>
  </si>
  <si>
    <t>178 660 000</t>
  </si>
  <si>
    <t>jnjgateway@jnjru.jnj.ru, nskandak@its.jnj.com, serviceru@its.jnj.com</t>
  </si>
  <si>
    <t>www.acuvue.ru, www.jnjgateway.ru</t>
  </si>
  <si>
    <t>Johnson &amp; Johnson Holding GmbH (236 432 880 руб., 90%)
ДЖОНСОН &amp; ДЖОНСОН МЕДИКАЛ ГМБХ (26 270 320 руб., 10%)</t>
  </si>
  <si>
    <t>1 895 730 000</t>
  </si>
  <si>
    <t>www.yandex.com</t>
  </si>
  <si>
    <t>ИТР, ООО (20 000 руб., 100%)</t>
  </si>
  <si>
    <t>20 730 000</t>
  </si>
  <si>
    <t>info@diferro.ru, maksim.pirogov@diferro.ru, oleg.minakov@diferro.ru, s.chernyshev@bk.ru, sales@diferro.ru, sergey.mesheryakov@diferro.ru, ок@diferro.ru</t>
  </si>
  <si>
    <t>diferro.ru</t>
  </si>
  <si>
    <t>ВЕНТАЛЛ, ООО (510 075 000 руб., 75%)
КОРПОРАТИВНЫЙ ЦЕНТР, ООО (170 025 000 руб., 25%)</t>
  </si>
  <si>
    <t>Производство профилей с помощью холодной штамповки или гибки</t>
  </si>
  <si>
    <t>info@dlg-construction.ru</t>
  </si>
  <si>
    <t>938 890 000</t>
  </si>
  <si>
    <t>eltorg@diakonlab.ru, info@diakonlab.ru, pribor@diakolab.ru, sale@diakonlab.ru</t>
  </si>
  <si>
    <t>www.diakonlab.ru</t>
  </si>
  <si>
    <t>328 400 000</t>
  </si>
  <si>
    <t>gr.callcenter@vitta.ru, info@dialog.ru, info@vitta.ru, office@reg77.roszdravnadzor.ru, shipova.kristina@vitta.ru</t>
  </si>
  <si>
    <t>аптекадиалог.рф</t>
  </si>
  <si>
    <t>marina.evseeva@dia-log.ru</t>
  </si>
  <si>
    <t>Борисов Евгений Александрович (10 000 руб., 50%)
Литовка Ольга Евгеньевна (10 000 руб., 50%)</t>
  </si>
  <si>
    <t>59 850 000</t>
  </si>
  <si>
    <t>Барабаш Алексей Владимирович (7 008 347.5 руб., 70%)
Грибанов Сергей Анатольевич (3 003 577.5 руб., 30%)</t>
  </si>
  <si>
    <t>48 410 000</t>
  </si>
  <si>
    <t>antivir@antivir.ru, info@dialognauka.ru, konkurs@dialognauka.ru</t>
  </si>
  <si>
    <t>54 290 000</t>
  </si>
  <si>
    <t>Евстратов Владимир Викторович (100 000 руб., 100%)</t>
  </si>
  <si>
    <t>18 660 000</t>
  </si>
  <si>
    <t>info@drcinfo.ru</t>
  </si>
  <si>
    <t>www.rocs.ru</t>
  </si>
  <si>
    <t>Манашеров Тамаз Омарович (152 000 руб., 76%)
Матело Светлана Константиновна (40 000 руб., 20%)
Манашерова Ивета Робертовна (8 000 руб., 4%)</t>
  </si>
  <si>
    <t>471 010 000</t>
  </si>
  <si>
    <t>tender@diasoft.ru</t>
  </si>
  <si>
    <t>diasoft.ru</t>
  </si>
  <si>
    <t>УК ДИАСОФТ, АО (19 010 000 руб., 97.68%)
ЭКСКАЛИБУР МЕНЕДЖМЕНТ, АО (450 172.16 руб., 2.31%)</t>
  </si>
  <si>
    <t>1 591 260 000</t>
  </si>
  <si>
    <t>office@geh-sgt.ru, office@terserv.ru, s.zubareva@tergeh.ru</t>
  </si>
  <si>
    <t>terserv.ru</t>
  </si>
  <si>
    <t>ГАЗПРОМ ЭНЕРГОХОЛДИНГ ИНДУСТРИАЛЬНЫЕ АКТИВЫ, ООО (10 000 000 руб., 100%)</t>
  </si>
  <si>
    <t>712 090 000</t>
  </si>
  <si>
    <t>love@divan.ru, ok@divan.ru</t>
  </si>
  <si>
    <t>Д2С КОМПАНИ, ООО (10 000 руб., 100%)</t>
  </si>
  <si>
    <t>165 870 000</t>
  </si>
  <si>
    <t>alexandr207@mail.ru, dival-22@yandex.ru, divoaltaya@yandex.ru, ugklas@yandex.ru</t>
  </si>
  <si>
    <t>divoaltaya.ru</t>
  </si>
  <si>
    <t>Попова Марина Геннадьевна (10 000 руб., 100%)</t>
  </si>
  <si>
    <t>61 840 000</t>
  </si>
  <si>
    <t>imho.ru</t>
  </si>
  <si>
    <t>228 510 000</t>
  </si>
  <si>
    <t>poloskina@dieta18.com</t>
  </si>
  <si>
    <t>www.dieta18.ru</t>
  </si>
  <si>
    <t>ДИЕТА-18, АО (10 047 500 руб., 100%)</t>
  </si>
  <si>
    <t>287 450 000</t>
  </si>
  <si>
    <t>a.bochkova@dixy.ru, corporate@hq.dixy.ru, dixi@bk.com, dixy_podolsk@bk.ru</t>
  </si>
  <si>
    <t>http://www.dixygroup.ru</t>
  </si>
  <si>
    <t>1 440 610 000</t>
  </si>
  <si>
    <t>umnikova65@list.ru</t>
  </si>
  <si>
    <t>dilmas.ru</t>
  </si>
  <si>
    <t>Михновец Алла Васильевна (20 000 руб., 100%)</t>
  </si>
  <si>
    <t>74 400 000</t>
  </si>
  <si>
    <t>himmash@himmash.net</t>
  </si>
  <si>
    <t>www.himmash.net</t>
  </si>
  <si>
    <t>104 850 000</t>
  </si>
  <si>
    <t>evk@dinex.net</t>
  </si>
  <si>
    <t>www.dinex.spb.ru</t>
  </si>
  <si>
    <t>ООО "ДИНЕКС А/С" (176 544 166 руб., 100%)</t>
  </si>
  <si>
    <t>Производство прочих комплектующих и принадлежностей для автотранспортных средств</t>
  </si>
  <si>
    <t>258 940 000</t>
  </si>
  <si>
    <t>dinur@uraltc.ru, info@dinur.su, nsapankevich@dinur.ru, safonov@mail.e-burg.ru, utn@dinur.ru</t>
  </si>
  <si>
    <t>www.dinur.ru</t>
  </si>
  <si>
    <t>Гришпун Вадим Ефимович (22.26%)
Гришпун Ефим Моисеевич (22.26%)</t>
  </si>
  <si>
    <t>143 730 000</t>
  </si>
  <si>
    <t>dio_plast@mail.ru</t>
  </si>
  <si>
    <t>dioplast.ru</t>
  </si>
  <si>
    <t>Бренерман Даниил Михайлович (4 000 руб., 33.33%)
Казанцев Олег Владиславович (4 000 руб., 33.33%)
Нигмедзянов Ильдар Владимирович (4 000 руб., 33.33%)</t>
  </si>
  <si>
    <t>Торговля оптовая пластмассами и резиной в первичных формах</t>
  </si>
  <si>
    <t>247 310 000</t>
  </si>
  <si>
    <t>info@marketbt.ru</t>
  </si>
  <si>
    <t>www.diorit.ru</t>
  </si>
  <si>
    <t>ДИОРИТ, ООО (516 000 руб., 50%)
Сидоркин Игорь Викторович (516 000 руб., 50%)</t>
  </si>
  <si>
    <t>26 590 000</t>
  </si>
  <si>
    <t>КАПИТАЛ ИНВЕСТ, ООО (150 699 300 руб., 99.99%)
Чечет Виктор Анатольевич (700 руб., 0.00050%)</t>
  </si>
  <si>
    <t>3 030 000</t>
  </si>
  <si>
    <t>info@teleperformance.ru</t>
  </si>
  <si>
    <t>www.teleperformance.ru</t>
  </si>
  <si>
    <t>TELEPERFORMANCE SE (6 000 000 руб., 100%)</t>
  </si>
  <si>
    <t>Деятельность информационных агентств</t>
  </si>
  <si>
    <t>188 350 000</t>
  </si>
  <si>
    <t>diskam.su</t>
  </si>
  <si>
    <t>Григорян Гегам Гришаевич (2 000 000 руб., 100%)</t>
  </si>
  <si>
    <t>Тазиев Дамир Мулланурович (10 000 руб., 100%)</t>
  </si>
  <si>
    <t>m.kalashnikova@binuu.ru</t>
  </si>
  <si>
    <t>Баданов Александр Матвеевич (50 000 руб., 100%)</t>
  </si>
  <si>
    <t>28 950 000</t>
  </si>
  <si>
    <t>info@di-house.ru</t>
  </si>
  <si>
    <t>www.di-house.ru</t>
  </si>
  <si>
    <t>Генс Филипп Георгиевич (10 000 000 руб., 100%)</t>
  </si>
  <si>
    <t>2 488 870 000</t>
  </si>
  <si>
    <t>СЕМЕЙНАЯ АПТЕКА АПРЕЛЬ, ООО (6 528 руб., 66%)
Анисимов Вадим Георгиевич (3 672 руб., 34%)</t>
  </si>
  <si>
    <t>Шамоян Рашид Фероевич (10 000 000 руб., 100%)</t>
  </si>
  <si>
    <t>192 220 000</t>
  </si>
  <si>
    <t>Киреевнин Алексей Борисович (10 000 руб., 100%)</t>
  </si>
  <si>
    <t>buhdok14@mail.ru</t>
  </si>
  <si>
    <t>Куйбида Иван Иванович (10 000 руб., 100%)</t>
  </si>
  <si>
    <t>svetly116@yandex.ru</t>
  </si>
  <si>
    <t>cisgco@ru.ey.com, etender2@b1.ru, etender4@ru.ey.co, etender4@ru.ey.com, maria.yanchevskaya@ru.ey.com, nikolay.samodaev@ru.ey.com</t>
  </si>
  <si>
    <t>academyey.ru, www.academyey.com, www.ey.com, www.ey.com/cis</t>
  </si>
  <si>
    <t>ГРУППА Б1, АО (3 428 571 руб., 30%)
Афанасьев Алексей Сергеевич (1 485 714 руб., 13%)
Томышев Андрей Сергеевич (1 485 714 руб., 13%)
Гелашвили Марчелло Теймуразович (1 142 857 руб., 10%)
Лафер Мария Львовна (1 142 857 руб., 10%)
Малёнкин Алексей Викторович (1 142 857 руб., 10%)
Багинян Ксения Вадимовна (800 000 руб., 7%)
Дурглишвили Валерий Владимирович (800 000 руб., 7%)</t>
  </si>
  <si>
    <t>Предоставление посреднических услуг при купле-продаже недвижимого имущества за вознаграждение или на договорной основе</t>
  </si>
  <si>
    <t>info@dkc.ru, tver@dkc.ru</t>
  </si>
  <si>
    <t>www.dkc.ru</t>
  </si>
  <si>
    <t>3 813 060 000</t>
  </si>
  <si>
    <t>dltransdl@yandex.ru, dmitriy.hruschalev@dellin.ru, pismo@dellin.ru</t>
  </si>
  <si>
    <t>dl-atp.ru</t>
  </si>
  <si>
    <t>0578 ХОЛДИНГ, ООО (10 000 руб., 100%)</t>
  </si>
  <si>
    <t>1 013 820 000</t>
  </si>
  <si>
    <t>Еремеенко Николай Степанович (20 000 руб., 100%)</t>
  </si>
  <si>
    <t>11 220 000</t>
  </si>
  <si>
    <t>528 330 000</t>
  </si>
  <si>
    <t>Воронкевич Алексей Павлович (500 000 руб., 100%)</t>
  </si>
  <si>
    <t>296 530 000</t>
  </si>
  <si>
    <t>АГРОПРОМКОМПЛЕКТАЦИЯ, ООО (19 400 000 руб., 97%)
АПК-КУРСК, ООО (600 000 руб., 3%)</t>
  </si>
  <si>
    <t>o.knyazeva@jm-logistic.com</t>
  </si>
  <si>
    <t>Любимский Александр Георгиевич (2 000 000 руб., 100%)</t>
  </si>
  <si>
    <t>34 350 000</t>
  </si>
  <si>
    <t>780 660 000</t>
  </si>
  <si>
    <t>Обухова Татьяна Львовна (500 000 руб., 100%)</t>
  </si>
  <si>
    <t>cfb@drg.ll, cff@y.kk, cvcv@hj.kk, dcvgf@ghgj.ll, df@fy.jji, dormostroy59@gmail.com, dsfsdfg@ugk.ll, fbg@guy.jji, gjdtyjkgk@jghjk.oi, ooodms@list.ru</t>
  </si>
  <si>
    <t>dormostroy.ru, дормострой.рф</t>
  </si>
  <si>
    <t>Юзбашян Арарат Алиханович (1 980 000 руб., 99%)
Зерцалов Юрий Вениаминович (20 000 руб., 1%)</t>
  </si>
  <si>
    <t>74 320 000</t>
  </si>
  <si>
    <t>dmu@stroytransgaz.com</t>
  </si>
  <si>
    <t>СТРОЙТРАНСГАЗ , АО СТГ, АО (10 000 руб., 100%)</t>
  </si>
  <si>
    <t>azizova.yv@dnepr-gold.ru, filin.en@dnepr-gold.ru</t>
  </si>
  <si>
    <t>Гутиев Астан Владимирович (10 000 руб., 100%)</t>
  </si>
  <si>
    <t>120 840 000</t>
  </si>
  <si>
    <t>hotline@dna-technology.ru, mail@dna-technology.ru</t>
  </si>
  <si>
    <t>dna-technology.ru</t>
  </si>
  <si>
    <t>ПРОМОС, ООО (9 000 руб., 90%)
Колин Владимир Васильевич (1 000 руб., 10%)</t>
  </si>
  <si>
    <t>623 620 000</t>
  </si>
  <si>
    <t>74232614641@mail.ru, dnsriteil@mail.ru, musonova.av@dns-shop.ru, musonova@mail.ru, ntkachenko87@yandex.ru, rupasova.t@dns-shop.ru</t>
  </si>
  <si>
    <t>buynaksk.dns-shop.ru, cheboksary.dns-shop.ru, dimitrovgrad.dns-shop.ru, dns-shop.ru, glazov.dns-shop.ru, izhevsk.dns-shop.ru, kirovo-chepetsk.dns-shop.ru, kropotkin.dns-shop.ru, mozhga.dns-shop.ru, neftekamsk.dns-shop.ru</t>
  </si>
  <si>
    <t>ДНС ГРУПП, ООО (1 785 608 руб., 100%)</t>
  </si>
  <si>
    <t>Торговля розничная телекоммуникационным оборудованием, включая розничную торговлю мобильными телефонами, в специализированных магазинах</t>
  </si>
  <si>
    <t>19 605 540 000</t>
  </si>
  <si>
    <t>ФАРМЭКО, ООО (10 000 руб., 100%)</t>
  </si>
  <si>
    <t>98 870 000</t>
  </si>
  <si>
    <t>onazarkina@sucden.ru</t>
  </si>
  <si>
    <t>www.sucden.ru</t>
  </si>
  <si>
    <t>СДИ, ООО (160 019 800 руб., 99.98%)
ДСЗ, АО (20 000 руб., 0.012%)
СДС, ООО (100 руб., 0.00010%)</t>
  </si>
  <si>
    <t>1 764 480 000</t>
  </si>
  <si>
    <t>feedback@dodopizza.com, feedback@doner42.ru</t>
  </si>
  <si>
    <t>КОМПАНИЯ С ОГРАНИЧЕННОЙ ОТВЕТСТВЕННОСТЬЮ "ДИПИ ГЛОБАЛ ГРУП ЛИМИТЕД" (10 000 руб., 100%)</t>
  </si>
  <si>
    <t>323 010 000</t>
  </si>
  <si>
    <t>gusevaiu@gmail.com, krasnodar-enisey@rambler.ru</t>
  </si>
  <si>
    <t>Гайдуцкий Юрий Михайлович (16 095 000 руб., 53.65%)
Клочнев Андрей Владимирович (10 686 000 руб., 35.62%)
Иванчин Евгений Евгеньевич (3 219 000 руб., 10.73%)</t>
  </si>
  <si>
    <t>833 650 000</t>
  </si>
  <si>
    <t>info@ghgt.ru</t>
  </si>
  <si>
    <t>УК АГРОКАПИТАЛ, ООО (282 550 000 руб., 100%)</t>
  </si>
  <si>
    <t>РЕМИНГТОН ХОЛДИНГ РУ, ООО (10 000 руб., 100%)</t>
  </si>
  <si>
    <t>Обработка семян для посадки</t>
  </si>
  <si>
    <t>83 820 000</t>
  </si>
  <si>
    <t>ek@dometalla.ru, info@dometalla.ru, tender@dometalla.ru</t>
  </si>
  <si>
    <t>Корнилова Екатерина Александровна (109 000 руб., 100%)</t>
  </si>
  <si>
    <t>Производство сортового горячекатаного проката и катанки</t>
  </si>
  <si>
    <t>70 350 000</t>
  </si>
  <si>
    <t>eshop@zenden.ru, info@zenden.ru</t>
  </si>
  <si>
    <t>zenden.ru</t>
  </si>
  <si>
    <t>Павлов Андрей Васильевич (4 850 000 руб., 97%)
Сарычев Александр Дмитриевич (150 000 руб., 3%)</t>
  </si>
  <si>
    <t>24 900 000</t>
  </si>
  <si>
    <t>fabrika@ahml.ru, mailbox_mbs@domrf.ru</t>
  </si>
  <si>
    <t>http://mbsfactory.ahml.ru/ru, http://ицб.дом.рф</t>
  </si>
  <si>
    <t>ДОМ.РФ, АО (10 000 руб., 100%)</t>
  </si>
  <si>
    <t>info@hoff.ru, info@mywebacademy.ru, rusposuda@mail.ru</t>
  </si>
  <si>
    <t>www.hoff.ru</t>
  </si>
  <si>
    <t>КРЕСОРКО ЭНТЕРПРАЙЗИС ЛИМИТЕД (10 000 000 руб., 100%)</t>
  </si>
  <si>
    <t>Торговля розничная мебелью, осветительными приборами и прочими бытовыми изделиями в специализированных магазинах</t>
  </si>
  <si>
    <t>apart@bonus-hotel.ru, info@do-mein.ru, part@bonus-hotel.ru, аpart@bonus-hotel.ru</t>
  </si>
  <si>
    <t>do-mein.ru</t>
  </si>
  <si>
    <t>СИЛЬВЕРРОН, ООО (645 048 307.14 руб., 100%)</t>
  </si>
  <si>
    <t>989 690 000</t>
  </si>
  <si>
    <t>777706@ps-gk.ru, info@domclick.ru, info@geocons.ru, info@sberned.ru, ipoteka@don-st.ru, manager@geocons.ru, okozyaeva@domclick.ru, zakupki@domclick.ru</t>
  </si>
  <si>
    <t>СБЕРБАНК, ПАО (485 000 000 руб., 100%)</t>
  </si>
  <si>
    <t>6 812 520 000</t>
  </si>
  <si>
    <t>e.yagudina@domkor.com, rima.sabirova@tatar.ru, smtdsk_buh@mail.ru</t>
  </si>
  <si>
    <t>ДОМКОР, ООО СЗ (20 000 руб., 100%)</t>
  </si>
  <si>
    <t>adk@dme.ru, nikitaignatov@dme.ru, svetlanagorelova@dme.ru</t>
  </si>
  <si>
    <t>www.domodedovo.ru</t>
  </si>
  <si>
    <t>ЧАСТНАЯ АКЦИОНЕРНАЯ КОМПАНИЯ С ОГРАНИЧЕННОЙ ОТВЕТСТВЕННОСТЬЮ "ДМЕ ЛИМИТЕД" (10 000 000 руб., 100%)</t>
  </si>
  <si>
    <t>Деятельность вспомогательная, связанная с воздушным транспортом</t>
  </si>
  <si>
    <t>435 750 000</t>
  </si>
  <si>
    <t>dsr@ds-r.ru</t>
  </si>
  <si>
    <t>ds-r.ru</t>
  </si>
  <si>
    <t>Григорян Эдгар Грачикович (1 000 000 руб., 100%)</t>
  </si>
  <si>
    <t>5 860 000</t>
  </si>
  <si>
    <t>domtransauto@yandex.ru, info@domtransauto.ru</t>
  </si>
  <si>
    <t>Гильхаев Эмин Курайшевич (6 666.67 руб., 66.67%)
Давидян Роберт Иванович (3 333.33 руб., 33.33%)</t>
  </si>
  <si>
    <t>Супрун Игорь Павлович (8 000 руб., 80%)
Беляков Олег Васильевич (2 000 руб., 20%)</t>
  </si>
  <si>
    <t>471 230 000</t>
  </si>
  <si>
    <t>Зайналабдиев Умар Саидович (1 161 150 руб., 100%)</t>
  </si>
  <si>
    <t>Обогащение угля</t>
  </si>
  <si>
    <t>25 730 000</t>
  </si>
  <si>
    <t>dadcpst@mail.ru, oao.dads.tp@yandex.ru</t>
  </si>
  <si>
    <t>Имедашвили Николай Гивиевич (32.30%)
Кирсанов Владимир Анатольевич (32.30%)
Кнышов Алексей Владимирович (30.01%)
Кнышов Владимир Алексеевич (2.37%)
Горобовский Виктор Васильевич (0.91%)</t>
  </si>
  <si>
    <t>1 502 710 000</t>
  </si>
  <si>
    <t>Коротков Владимир Анатольевич (5 000 руб., 40%)
Коротков Дмитрий Анатольевич (5 000 руб., 40%)
Киреевнин Александр Алексеевич (2 500 руб., 20%)</t>
  </si>
  <si>
    <t>186 310 000</t>
  </si>
  <si>
    <t>office@donugol.ru</t>
  </si>
  <si>
    <t>www.donugol.ru</t>
  </si>
  <si>
    <t>Добыча антрацита подземным способом</t>
  </si>
  <si>
    <t>109 690 000</t>
  </si>
  <si>
    <t>djamilya.katasheva@dorinda.ru, dorina@mail.ru, marina.kainova@okmarket.ru, office@dorinda.ru</t>
  </si>
  <si>
    <t>http://dorinda.ru, www.okeygroup.lu</t>
  </si>
  <si>
    <t>Сасикова Мадина Хасановна (1 010 000 руб., 100%)</t>
  </si>
  <si>
    <t>60 240 000</t>
  </si>
  <si>
    <t>dorogi_sakha@mail.ru</t>
  </si>
  <si>
    <t>3 840 000</t>
  </si>
  <si>
    <t>dorogi36@gmail.com</t>
  </si>
  <si>
    <t>5 910 000</t>
  </si>
  <si>
    <t>bumakova@acron.ru, info@drg.dol.ru, nfrolova@acron.ru, root@drg.dol.ru, shitikov@drg.dol.ru, socb@drg.dol.ru</t>
  </si>
  <si>
    <t>www.dorogobuzh.ru</t>
  </si>
  <si>
    <t>АКРОН, ПАО (96.73%)
Михеева Татьяна Ивановна (0.018%)
Куницкий Владимир Яковлевич (0.012%)
Миленков Алексей Владиславович (0.00090%)</t>
  </si>
  <si>
    <t>iurist@mrricco.ru, l.karimova@nefco.ru</t>
  </si>
  <si>
    <t>www.mrricco.ru, www.nefco.ru</t>
  </si>
  <si>
    <t>ooodorservis7@gmail.com</t>
  </si>
  <si>
    <t>Клиновская Ольга Анатольевна (5 000 руб., 50%)
Пинчук Антон Геннадьевич (5 000 руб., 50%)</t>
  </si>
  <si>
    <t>Сухопутная конвейерная транспортировка угля</t>
  </si>
  <si>
    <t>2 100 000</t>
  </si>
  <si>
    <t>13123@mail.ru, dorsnab_07@mail.ru, dorsnsb_07@mail.ru, portnov@dorsnab.net</t>
  </si>
  <si>
    <t>http://dorsnab.net</t>
  </si>
  <si>
    <t>НОВЫЕ ТЕХНОЛОГИИ ДОРОЖНОГО ХОЗЯЙСТВА, ООО ИК (9 333.338 руб., 70%)
Хевсоков Анзор Фуадович (4 000.002 руб., 30%)</t>
  </si>
  <si>
    <t>dorstroy.blag@yandex.ru, drsa-au@yandex.ru</t>
  </si>
  <si>
    <t>Рожков Александр Владимирович (10 000 руб., 100%)</t>
  </si>
  <si>
    <t>29 430 000</t>
  </si>
  <si>
    <t>arctur@mail.ru, arktur.norilsk@gmail.com, arktur.norilsk@gmail.ru, arktur.norilsk@mail.ru, arktur@kanal7.ru, arktur@norilsk.gmail.ru, arktyr@mail.ru, info@arktur24.ru, norilsk@gmail.ru, yurist@arktur24.ru</t>
  </si>
  <si>
    <t>Ковальчук Евгений Александрович (5 000 руб., 50%)
Руденко Игорь Николаевич (5 000 руб., 50%)</t>
  </si>
  <si>
    <t>62 550 000</t>
  </si>
  <si>
    <t>dss@sntrans.ru, office@dss.sntrans.ru</t>
  </si>
  <si>
    <t>dss.sntrans.ru</t>
  </si>
  <si>
    <t>СПЕЦНЕФТЕТРАНС, АО (567 475 541 руб., 100%)</t>
  </si>
  <si>
    <t>164 710 000</t>
  </si>
  <si>
    <t>nverklova@dssys.ru</t>
  </si>
  <si>
    <t>ЭКОФИНАНС, ООО (999 000 руб., 99.90%)
Полякова Татьяна Александровна (1 000 руб., 0.10%)</t>
  </si>
  <si>
    <t>256 110 000</t>
  </si>
  <si>
    <t>dorteh.msk@mail.ru, info@dortech.net, info@dorteh.net</t>
  </si>
  <si>
    <t>Бружев Ауес Даутович (10 000 руб., 100%)</t>
  </si>
  <si>
    <t>260 760 000</t>
  </si>
  <si>
    <t>dts0107@mai.ru</t>
  </si>
  <si>
    <t>Хабаху Аскер Гиссович (10 000 руб., 100%)</t>
  </si>
  <si>
    <t>81 550 000</t>
  </si>
  <si>
    <t>adss@ufanet.ru, dtstorgi@mail.ru, dtsufa@yandex.ru, peodts@mail.ru, reseption.dts@mail.ru, sdo.dts@mail.ru</t>
  </si>
  <si>
    <t>Валиуллин Ильгиз Шарифуллович (8 001 руб., 80.01%)
Гилимьянов Дмитрий Маратович (1 000 руб., 10%)
УК БВ, ООО (999 руб., 9.99%)</t>
  </si>
  <si>
    <t>1 580 000</t>
  </si>
  <si>
    <t>Ханин Александр Данилович (5 000 руб., 25%)
Ханин Дмитрий Александрович (5 000 руб., 25%)
Ханин Сергей Александрович (5 000 руб., 25%)
Ханина Лариса Викторовна (3 000 руб., 15%)
Ханин Андрей Дмитриевич (1 000 руб., 5%)
Ханина Анастасия Сергеевна (1 000 руб., 5%)</t>
  </si>
  <si>
    <t>356 420 000</t>
  </si>
  <si>
    <t>info@company24.com, info@doorhan-kupit.ru, info@doorhan.ru, mkfomicheva@doorhan.ru, pvtitov@doorhan.ru, rndmirvorot@yandex.ru, rszagidullin@doorhan.ru, zamer@doorhan.ru</t>
  </si>
  <si>
    <t>www.doorhan.ru</t>
  </si>
  <si>
    <t>Ханин Александр Данилович (250 000 руб., 25%)
Ханин Дмитрий Александрович (250 000 руб., 25%)
Ханин Сергей Александрович (250 000 руб., 25%)
Ханина Лариса Викторовна (150 000 руб., 15%)
Ханин Андрей Дмитриевич (50 000 руб., 5%)
Ханина Анастасия Сергеевна (50 000 руб., 5%)</t>
  </si>
  <si>
    <t>1 179 700 000</t>
  </si>
  <si>
    <t>dostavka_16@bk.ru</t>
  </si>
  <si>
    <t>Бабаян Айк Сашаевич (40 000 руб., 100%)</t>
  </si>
  <si>
    <t>19 100 000</t>
  </si>
  <si>
    <t>vlydmila1@yandex.ru</t>
  </si>
  <si>
    <t>doshirakkoya.ru</t>
  </si>
  <si>
    <t>ЗАКРЫТОЕ АКЦИОНЕРНОЕ ОБЩЕСТВО "ПАЛЬДО КО., ЛТД." (34 443 761 руб., 53.18%)
ЗАО "ЭЙЧУАЙ КО., ЛТД" (30 325 198 руб., 46.82%)</t>
  </si>
  <si>
    <t>ЗАКРЫТОЕ АКЦИОНЕРНОЕ ОБЩЕСТВО "ПАЛЬДО КО., ЛТД." (114 840 000 руб., 99%)
ДОШИРАК РЯЗАНЬ, ООО (1 160 000 руб., 1%)</t>
  </si>
  <si>
    <t>1 547 960 000</t>
  </si>
  <si>
    <t>elmar-pnd@mail.ru, fedotova.n.1975@mail.ru, l.kockoreva@yandex.ru</t>
  </si>
  <si>
    <t>www.hyfresh.co.kr</t>
  </si>
  <si>
    <t>ЗАКРЫТОЕ АКЦИОНЕРНОЕ ОБЩЕСТВО "ЭЙЧУАЙ КО, ЛТД" (356 982 150 руб., 100%)
ДОШИРАК КОЯ, ООО (17 850 руб., 0.010%)</t>
  </si>
  <si>
    <t>correspondence@danone.com, elenanikolaevna.ivanova@danon.com, elenanikolaevna@mail.ru, igor.elychev@danone.com, info@danone.com</t>
  </si>
  <si>
    <t>Производство детского питания и диетических пищевых продуктов</t>
  </si>
  <si>
    <t>197 110 000</t>
  </si>
  <si>
    <t>dpp@dppsm.ru</t>
  </si>
  <si>
    <t>www.dppsm.ru</t>
  </si>
  <si>
    <t>Новичкова Наталья Павловна (345 895 руб., 34.59%)
Преферансов Александр Геннадьевич (345 895 руб., 34.59%)
Хомутов Игорь Николаевич (271 030 руб., 27.10%)
Подобед Анатолий Михайлович (37 180 руб., 3.72%)</t>
  </si>
  <si>
    <t>1 830 000</t>
  </si>
  <si>
    <t>dpp@dppsm.ru, dpzsm@mail.ru</t>
  </si>
  <si>
    <t>dppsm.ru</t>
  </si>
  <si>
    <t>ПОЛИМЕР КАПИТАЛ, ООО (309 432 616.08 руб., 100%)</t>
  </si>
  <si>
    <t>op@dplast.ru, post@dpiast.ru, post@dplast.nnov.ru, post@dplast.ru, sekretar@dplast.ru, stupishina_ka@dplast.ru</t>
  </si>
  <si>
    <t>www.dplast.ru</t>
  </si>
  <si>
    <t>Производство прочих пластмассовых изделий</t>
  </si>
  <si>
    <t>avk@dme.ru, avk_zal_vip@dme.ru, dyarygin@dme.ru, med@dme.ru, sd@domodedovo.ru, yuliyaaltysheva@dme.ru</t>
  </si>
  <si>
    <t>www.dme.ru</t>
  </si>
  <si>
    <t>ЧАСТНАЯ АКЦИОНЕРНАЯ КОМПАНИЯ С ОГРАНИЧЕННОЙ ОТВЕТСТВЕННОСТЬЮ "ДМЕ ЛИМИТЕД" (48 000 000 руб., 100%)</t>
  </si>
  <si>
    <t>223 660 000</t>
  </si>
  <si>
    <t>dataprivacy@drreddys.com, inforus@drreddys.ru, mail@makizpharma.ru, omez@drreddys.ru</t>
  </si>
  <si>
    <t>www.drreddys.com</t>
  </si>
  <si>
    <t>ДР. РЕДДИ'С ЛАБОРАТОРИС СА (696 225 002.19 руб., 99.99%)
Reddy Netherlands B.V. (69 629.46 руб., 0.010%)</t>
  </si>
  <si>
    <t>93 320 000</t>
  </si>
  <si>
    <t>o.vasilchik@dtnr.ru</t>
  </si>
  <si>
    <t>natusana.ru, www.naturwaren-theiss.ru</t>
  </si>
  <si>
    <t>ДР. ТАЙСС НАТУРВАРЕН ГМБХ (100 000 руб., 100%)</t>
  </si>
  <si>
    <t>dragcvetmet@mail.ru</t>
  </si>
  <si>
    <t>www.dsml.ru</t>
  </si>
  <si>
    <t>ПЛАТИНУМ ГРУПП, АО ТК (100 000 000 руб., 100%)</t>
  </si>
  <si>
    <t>Торговля оптовая золотом и другими драгоценными металлами</t>
  </si>
  <si>
    <t>daria.garibova@drylocktechnologies.com, el.assistant.prod@drylock.ru, julia.belan@drylocktechnologies.com</t>
  </si>
  <si>
    <t>www.drylocktechnologies.com</t>
  </si>
  <si>
    <t>ИЧП с Ограниченной Ответственностью VYNKA (10 000 руб., 100%)</t>
  </si>
  <si>
    <t>Производство бумажных изделий хозяйственно-бытового и санитарно-гигиенического назначения</t>
  </si>
  <si>
    <t>Котов Андрей Андреевич (555 500 руб., 55%)
Житов Владимир Владимирович (454 500 руб., 45%)</t>
  </si>
  <si>
    <t>03130626@mail.ru, apmd183@mail.ru, bashtova07@bk.ru, doc@ces.amur.drsk.ru, doc@drck.ru, doc@khab.drsk.ru, doc@ves.amur.drsk.ru, dogovor@drsk.ru, drsc@mail.ru, gusenkova@prim.drsk.ru</t>
  </si>
  <si>
    <t xml:space="preserve">http://drsk.ru </t>
  </si>
  <si>
    <t>ДРТ АУДИТ, ООО (100 000 руб., 100%)</t>
  </si>
  <si>
    <t>187 510 000</t>
  </si>
  <si>
    <t>moscow@deloitte.ru, skudryashov@delret.ru</t>
  </si>
  <si>
    <t>www.deloitte.com</t>
  </si>
  <si>
    <t>ДРТ АУДИТ, ООО (10 120 руб.)</t>
  </si>
  <si>
    <t>Деятельность по проведению финансового аудита</t>
  </si>
  <si>
    <t>60 590 000</t>
  </si>
  <si>
    <t>i.sharykova@druzhbanarodov.ru, n.krestovnikova@agro-optima.ru, n.kuzma@agro-optima.ru, s.petrosyan@agro-optima.ru, v.kharchuk@mhp.com.ua, v.sidorova@agro-optima.ru</t>
  </si>
  <si>
    <t>28 530 000</t>
  </si>
  <si>
    <t>office@ohotno.com</t>
  </si>
  <si>
    <t>Жутенкова Наталья Алексеевна (5 847 589.35 руб., 15.84%)
Жутенков Александр Владимирович (5 846 850.79 руб., 15.83%)
Жутенков Валерий Владимирович (5 846 850.79 руб., 15.83%)
Жутенков Дмитрий Владимирович (5 846 850.79 руб., 15.83%)
Жутенков Дмитрий Владимирович (5 846 850.79 руб., 15.83%)
Жутенкова Виктория Владимировна (5 846 850.79 руб., 15.83%)
Минин Эдуард Александрович (1 846 412.8 руб., 5%)</t>
  </si>
  <si>
    <t>druza2012@mail.ru, juristlaa@gmail.com</t>
  </si>
  <si>
    <t>В.Н.В., ООО (1 186 500 руб., 100%)</t>
  </si>
  <si>
    <t>1 067 290 000</t>
  </si>
  <si>
    <t>7288986@gmail.com, info.moscom@dsdv.ru, info.moscow@dsd.ru, info.moscow@dsvd.ru, info.moskov@dsdv.ru, info.moskow@dsdv.ru, info@dsdv.ru, oceanvlv@gmail.com, okeanvlvl@rambler.ru, yudin@dsdv.ru</t>
  </si>
  <si>
    <t>УПРАВЛЕНИЕ ДЕЛАМИ ПРЕЗИДЕНТА РОССИЙСКОЙ ФЕДЕРАЦИИ (15 000 000 руб., 100%)</t>
  </si>
  <si>
    <t>Лю Цзинь (3 000 000 руб., 100%)</t>
  </si>
  <si>
    <t>СК ДОНСТРОЙ, АО (10 000 руб., 100%)</t>
  </si>
  <si>
    <t>1 420 000</t>
  </si>
  <si>
    <t>sbyt@sugarzavod.ru, secretar.dsz@sucden.ru, sgulevich@sucden.ru</t>
  </si>
  <si>
    <t>http://dobrinsky-sahzavod.ru/info.html</t>
  </si>
  <si>
    <t>СДИ, ООО (93.10%)
Карпов Юрий Алексеевич (0.0086%)</t>
  </si>
  <si>
    <t>1 689 010 000</t>
  </si>
  <si>
    <t>ao@dsio.org, ao@dsio.ru, ao@dsio.ruru, asaapulov@dsio.org, asarapuiov@dsio.org, asarapulov@dsio.ru, irkutskdor@dsio.org, irkutskdor@dsio.ru, irkutskdor@irkutskdor.ru, irkutskdor@mail.ru</t>
  </si>
  <si>
    <t>www.dsio.org, www.dsio.org/company/docs.html</t>
  </si>
  <si>
    <t>Иркутская обл (585 555 000 руб., 100%)</t>
  </si>
  <si>
    <t>45 720 000</t>
  </si>
  <si>
    <t>СТРОИТЕЛЬНЫЕ ТЕХНОЛОГИИ, ЗАО (60 000 руб., 60%)
Гиндин Леонид Александрович (25 000 руб., 25%)
АЛЬЯНС-ПРОЕКТ, АО (15 000 руб., 15%)</t>
  </si>
  <si>
    <t>ckad3@avtoban.ru, ozarkiv@avtoban.ru, reception.hm@avtoban.ru</t>
  </si>
  <si>
    <t>www.avtoban.ru</t>
  </si>
  <si>
    <t>2 736 650 000</t>
  </si>
  <si>
    <t>dsk-tender@dorstroycom.ru, glbuh@dorctroycom.ru, glbuh@dorstroycom.ru, rassohin@dorstroycom.ru, secretar@dorstoycom.ru, secretar@dorstroycom.ru, secreter@dorstroycom.ru, sekretar@dorstroycom.ru, yurist3@dorstroycom.ru</t>
  </si>
  <si>
    <t>dorstroycom.ru</t>
  </si>
  <si>
    <t>ЛИДЕР-ПРОЕКТ, ООО (1 000 000 руб., 100%)</t>
  </si>
  <si>
    <t>32 780 000</t>
  </si>
  <si>
    <t>ПЕРВЫЙ ДСК, ООО (1 000 000 руб., 100%)</t>
  </si>
  <si>
    <t>ФСКЗ, ООО (100 000 руб., 100%)</t>
  </si>
  <si>
    <t>Производство готовых строительных изделий из бетона, цемента и искусственного камня</t>
  </si>
  <si>
    <t>info.tatarstan@dsm.com</t>
  </si>
  <si>
    <t>www.dsm.com, www.dsmnutritionalproducts.com</t>
  </si>
  <si>
    <t>Частная КОМП с ООО "Ди-ЭС-ЭМ"Нутришнл (425 000 000 руб., 100%)</t>
  </si>
  <si>
    <t>29 720 000</t>
  </si>
  <si>
    <t>info@dssl.ru, ooodssl@yandex.ru</t>
  </si>
  <si>
    <t>Олейник Игорь Валерьевич (86 365 руб., 81.10%)
ДССЛ-ПЕРВЫЙ, ООО (9 200 руб., 8.64%)
Олейник Дмитрий Валерьевич (9 200 руб., 8.64%)
Саженков Николай Валентинович (1 725 руб., 1.62%)</t>
  </si>
  <si>
    <t>101 400 000</t>
  </si>
  <si>
    <t>dsu@ms11.ru, gultyaeva@ms11.ru</t>
  </si>
  <si>
    <t>МОСТОСТРОЙ-11, АО (30 000 000 руб., 100%)</t>
  </si>
  <si>
    <t>46 780 000</t>
  </si>
  <si>
    <t>a.safronova@dor.ru, dsu_3@mail.ru, info@dor-3.ru, seidsu@mail.ru, seldsu@mail.ru, upsdrsu@yandex.ru</t>
  </si>
  <si>
    <t>dor-3.ru, www.dsu3vladimir.ru</t>
  </si>
  <si>
    <t>МИНИСТЕРСТВО ИМУЩЕСТВЕННЫХ И ЗЕМЕЛЬНЫХ ОТНОШЕНИЙ ВЛАДИМИРСКОЙ ОБЛАСТИ (109 002 000 руб., 100%)</t>
  </si>
  <si>
    <t>Сорокин Дмитрий Игоревич (10 000 руб., 100%)</t>
  </si>
  <si>
    <t>1 014 530 000</t>
  </si>
  <si>
    <t>dtkyamal@sntrans.ru</t>
  </si>
  <si>
    <t>http://utt1.sntrans.ru/</t>
  </si>
  <si>
    <t>КОГАЛЫМСКОЕ УТТ, ООО (9 951.13 руб., 99.51%)
ДОРСТРОЙСЕРВИС, ООО (48.87 руб., 0.48%)</t>
  </si>
  <si>
    <t>dtkpto@mail.ru</t>
  </si>
  <si>
    <t>АРМА-ЛАЙН, ООО (20 000 руб., 100%)</t>
  </si>
  <si>
    <t>386 490 000</t>
  </si>
  <si>
    <t>du_ooo@mail.ru, ooo.du5@yandex.ru</t>
  </si>
  <si>
    <t>Астахов Дмитрий Игоревич (1 000 000 руб., 33.33%)
Быков Сергей Вениаминович (1 000 000 руб., 33.33%)
ДУ, ООО (1 000 000 руб., 33.33%)</t>
  </si>
  <si>
    <t>218 900 000</t>
  </si>
  <si>
    <t>mkdubki@inbox.ru, tender.dubki@gmail.com</t>
  </si>
  <si>
    <t>dubki-export.ru, dubki-rc.ru</t>
  </si>
  <si>
    <t>Васильева Татьяна Дмитриевна (191 539 500 руб., 100%)</t>
  </si>
  <si>
    <t>77 580 000</t>
  </si>
  <si>
    <t>avs@2gis.ru, czv@2gis.ru, inf@2gis.ru, k.levin@2gis.ru, s.baturo@2gis.ru</t>
  </si>
  <si>
    <t>2gis.ru</t>
  </si>
  <si>
    <t>143 310 000</t>
  </si>
  <si>
    <t>buhgalter@dugalak.ru</t>
  </si>
  <si>
    <t>dugalak.com, dugalak.ru</t>
  </si>
  <si>
    <t>Павлович Зоран (9 600 руб., 80%)
Ристич Славолюб (1 800 руб., 15%)
Лобов Денис Сергеевич (600 руб., 5%)</t>
  </si>
  <si>
    <t>157 260 000</t>
  </si>
  <si>
    <t>buh@dykat.com, n_kolotova@dykat.com</t>
  </si>
  <si>
    <t>www.dykat.com</t>
  </si>
  <si>
    <t>Юров Игорь Фёдорович (10 000 руб., 100%)</t>
  </si>
  <si>
    <t>Торговля оптовая гомогенизированными пищевыми продуктами, детским и диетическим питанием</t>
  </si>
  <si>
    <t>Мишина Софья Петровна (10 000 руб., 75%)
РЭМИ-ФАРМ, ООО (3 333 руб., 25%)</t>
  </si>
  <si>
    <t>54 890 000</t>
  </si>
  <si>
    <t>ickovich.l@dfruslana.ru, office@dfruslana.ru</t>
  </si>
  <si>
    <t>dfruslana.ru</t>
  </si>
  <si>
    <t>Зубок Валерий Николаевич (76 612.87 руб., 95%)
Зубок Руслана Валерьевна (4 032.29 руб., 5%)</t>
  </si>
  <si>
    <t>661 750 000</t>
  </si>
  <si>
    <t>djs@dme.ru, vleb@dme.ru, vleb@list.ru</t>
  </si>
  <si>
    <t>ЧАСТНАЯ АКЦИОНЕРНАЯ КОМПАНИЯ С ОГРАНИЧЕННОЙ ОТВЕТСТВЕННОСТЬЮ "ДМЕ ЛИМИТЕД" (20 853 000 руб., 100%)</t>
  </si>
  <si>
    <t>156 740 000</t>
  </si>
  <si>
    <t>djs@dme.ru, simon.fearnhead@northerncsp.net</t>
  </si>
  <si>
    <t>ЧАСТНАЯ АКЦИОНЕРНАЯ КОМПАНИЯ С ОГРАНИЧЕННОЙ ОТВЕТСТВЕННОСТЬЮ "ДМЕ ЛИМИТЕД" (5 040 000 руб., 100%)</t>
  </si>
  <si>
    <t>an.smirnova@dcpt.ru, d.shohnin@dcpt.ru, dxz@mail.ru, export@dcpt.ru, export@dcpz.ru, export@dctp.ru, info@dcpt.ru, info@dcpz.ru, info@dctp.ru, o.gornushkina@dhz.ru</t>
  </si>
  <si>
    <t>www.dcpt.ru, www.dhz.ru</t>
  </si>
  <si>
    <t>ХИМИНВЕСТ, ООО (220 010 000 руб., 100%)</t>
  </si>
  <si>
    <t>1 632 640 000</t>
  </si>
  <si>
    <t>www.deutschepost.de</t>
  </si>
  <si>
    <t>ОБЩЕСТВО С ОГРАНИЧЕННОЙ ОТВЕТСТВЕННОСТЬЮ "ДОЙЧЕ ПОСТ БЕТАЙЛИГУНГЕН ХОЛДИНГ ГМБХ" (7 425 000 руб., 99%)
ДХЛ ЛОГИСТИКА, ООО (75 000 руб., 1%)</t>
  </si>
  <si>
    <t>548 180 000</t>
  </si>
  <si>
    <t>alexey.myagkov@dhl.com, evgeniy.evtushenko@dhl.ru, liya.p.pavlov@dhl.ru, nataliya.klenina@dhl.com, nataliya.klenina@dhl.ru, olga.pyatykh@dhl.com, pulkov@mow-co.ru.dhl.com, rucustomercare@dhl.com, rutenders@dhl.ru</t>
  </si>
  <si>
    <t>1 923 750 000</t>
  </si>
  <si>
    <t>audi-gorod.ru, avtodom-altufievo.ru, avtodom-ducati.ru, avtodom-service.ru, ducati-avtodom.ru, jaguar-avtodom.ru, salevolvocaraltufyevo.ru, volvocar-avtodom.ru</t>
  </si>
  <si>
    <t>Ольховский Андрей Сергеевич (10 000 руб., 100%)</t>
  </si>
  <si>
    <t>law@v-dymov.ru, v-dymov@v-dymov.ru</t>
  </si>
  <si>
    <t>Дымов Вадим Георгиевич (211 249 714 руб., 88.43%)
Дуда Егор Анатольевич (24 998 496 руб., 10.46%)
Долгобородова Зинаида Андреевна (2 651 790 руб., 1.11%)</t>
  </si>
  <si>
    <t>Производство колбасных изделий</t>
  </si>
  <si>
    <t>102 490 000</t>
  </si>
  <si>
    <t>1doc@amur.dvec.ru, 2dog@arsen.prim.dvec.ru, 2ps@dalner.prim.dvec.ru, abonent@vrkc.prim.dvec.ru, ad.selodada2013@yandex.ru, alpjacentr@amur.dvec.ru, bc_secr@bk.prim.dvec.ru, beg@bk.prim.dvec.ru, bk._secr@bk.prim.dvec.ru, bk.secr@bk.prim.dvec.ru</t>
  </si>
  <si>
    <t xml:space="preserve">www.dvec.ru </t>
  </si>
  <si>
    <t>РАО ЭС ВОСТОКА, АО (51.03%)
ДГК, АО (42.35%)
РУСГИДРО, ПАО (1.04%)
РГ ЛОГИСТИКА, АО (0.095%)</t>
  </si>
  <si>
    <t>dat-sales@eastline.ru, dat@eastline.ru, sas@dme.ru</t>
  </si>
  <si>
    <t>www.airhotel.ru, www.eastline.ru</t>
  </si>
  <si>
    <t>ЧАСТНАЯ АКЦИОНЕРНАЯ КОМПАНИЯ С ОГРАНИЧЕННОЙ ОТВЕТСТВЕННОСТЬЮ "ДМЕ ЛИМИТЕД" (23 712 000 руб., 100%)</t>
  </si>
  <si>
    <t>mail@demz.ru</t>
  </si>
  <si>
    <t>Зотов Павел Александрович (100 000 руб., 100%)</t>
  </si>
  <si>
    <t>fgu-dep103@yandex.ru, info-dep103@dep103.com, info-dep103@dep103.ru, office@dep103.com, office@dep103.ru</t>
  </si>
  <si>
    <t>rk-centr-invest-ufa.ru/newframe4.htm</t>
  </si>
  <si>
    <t>5 420 000</t>
  </si>
  <si>
    <t>artyushin_dep8@mail.ru, dep33.pto@gmail.com, dep8@mail.ru, ofis_dep8_ural@mail.ru, torg.dep8@mail.ru</t>
  </si>
  <si>
    <t>26 300 000</t>
  </si>
  <si>
    <t>dah@dme.ru</t>
  </si>
  <si>
    <t>28 250 000</t>
  </si>
  <si>
    <t>info@eurosib.ru</t>
  </si>
  <si>
    <t>www.eurosib.ru</t>
  </si>
  <si>
    <t>ЕВРОСИБЭНЕРГО-РАСПРЕДЕЛЕННАЯ ГЕНЕРАЦИЯ, ООО (50%)
ЭН+ ХОЛДИНГ, МКООО (50%)</t>
  </si>
  <si>
    <t>40 343 570 000</t>
  </si>
  <si>
    <t>info@gk-praktika.ru, sdv020487@yandex.ru</t>
  </si>
  <si>
    <t>АЛЮАР, ООО СЗ (16 000 руб., 100%)</t>
  </si>
  <si>
    <t>volkova.m@duracell.com</t>
  </si>
  <si>
    <t>ДЮРАСЕЛЛ Ю.С. ХОЛДИНГ ЛЛС (1 050 795 900 руб., 99%)
"ДЮРАСЕЛЛ ДИСТРИБЬЮТИНГ, ИНК." (10 614 100 руб., 1%)</t>
  </si>
  <si>
    <t>accountant-general@ruspole.ru</t>
  </si>
  <si>
    <t>www.ruspole.ru</t>
  </si>
  <si>
    <t>Телунц Тигран Эдуардович (10 000 руб., 100%)</t>
  </si>
  <si>
    <t>252 940 000</t>
  </si>
  <si>
    <t>e.zameshina@mail.ru</t>
  </si>
  <si>
    <t>Назаров Игорь Александрович (10 000 руб., 100%)</t>
  </si>
  <si>
    <t>2 950 000</t>
  </si>
  <si>
    <t>aleksandra.sokolinskaia@electrolux.com</t>
  </si>
  <si>
    <t>www.electrolux-wascator.com, www.electrolux.com, www.electrolux.ru</t>
  </si>
  <si>
    <t>Потапов Павел Викторович (566 905 050 руб., 100%)</t>
  </si>
  <si>
    <t>767 700 000</t>
  </si>
  <si>
    <t>info@eapteka.ru, moskva@aptekau.ru, o.cheburakova@eapteka.ru, support@aptekau.ru</t>
  </si>
  <si>
    <t>www.eapteka.ru</t>
  </si>
  <si>
    <t>АМСЕЛ, МКООО (836 822 788.37 руб., 45%)
ЦИФРОВЫЕ АКТИВЫ, ООО (836 822 788.37 руб., 45%)
ANESTOZO LIMITED (185 960 619.63 руб., 10%)</t>
  </si>
  <si>
    <t>cekretap@evdakovo.ru, sekretar@evdakovo.ru</t>
  </si>
  <si>
    <t>ЭФКО ПРОДУКТЫ ПИТАНИЯ, АО (10 000 руб., 100%)</t>
  </si>
  <si>
    <t>481 670 000</t>
  </si>
  <si>
    <t>vanadium@evraz.com, vanady@evraz.com</t>
  </si>
  <si>
    <t>www.vanady.com</t>
  </si>
  <si>
    <t>Производство ферросплавов</t>
  </si>
  <si>
    <t>8 318 990 000</t>
  </si>
  <si>
    <t>anna.poludnitsyna@evraz.com, elena.karaseva@evraz.com, info@evraz.com, kgok@kgok.ru, kgok@kgok.rukosacheva.antonina@evraz.com, kosacheva.antonina@evraz.com</t>
  </si>
  <si>
    <t>Добыча железных руд открытым способом</t>
  </si>
  <si>
    <t>64 710 190 000</t>
  </si>
  <si>
    <t>emi.cc@evraz.com, emi.vopros@evraz.com, halimanova@inprom.ru, irina.vershinina@evraz.com, office@inpom.ru, office@inprom.ru, shulginov@belg.inprom.ru, valentina.mustets@evraz.com, vladimir.nikitin@evraz.com, vnbelikov@belg.inprom.ru</t>
  </si>
  <si>
    <t>www.emi.evraz.com</t>
  </si>
  <si>
    <t>2 876 780 000</t>
  </si>
  <si>
    <t>info@ferrobuilding.ru</t>
  </si>
  <si>
    <t>ferro-building.ru, ferrobuilding.ru</t>
  </si>
  <si>
    <t>СИБМЕТИНВЕСТ, ООО (7 668 руб., 76.68%)
Ваулин Григорий Викторович (2 332 руб., 23.32%)</t>
  </si>
  <si>
    <t>yanbukhtin@eam.ru</t>
  </si>
  <si>
    <t>www.evraznet.ru</t>
  </si>
  <si>
    <t>СИБМЕТИНВЕСТ, ООО (10 000 руб., 100%)</t>
  </si>
  <si>
    <t>308 920 000</t>
  </si>
  <si>
    <t>info@eam.com, info@evraz.com, ir@evraz.com</t>
  </si>
  <si>
    <t>www.evraz.com</t>
  </si>
  <si>
    <t>ЕВРАЗ НТМК, АО (10 000 руб., 100%)</t>
  </si>
  <si>
    <t>39 220 000</t>
  </si>
  <si>
    <t>zavod@npo-agroservis.ru</t>
  </si>
  <si>
    <t>npo-agroservis.ru</t>
  </si>
  <si>
    <t>Производство сидра и прочих плодовых вин</t>
  </si>
  <si>
    <t>521 120 000</t>
  </si>
  <si>
    <t>9222252259@mail.ru</t>
  </si>
  <si>
    <t>Свиридов Валерий Григорьевич (10 000 000 руб., 51%)
Молокитин Виктор Андреевич (9 608 000 руб., 49%)</t>
  </si>
  <si>
    <t>131 460 000</t>
  </si>
  <si>
    <t>Пономаренко Артем Викторович (10 000 руб., 100%)</t>
  </si>
  <si>
    <t>Аренда грузового автомобильного транспорта с водителем</t>
  </si>
  <si>
    <t>1 170 000</t>
  </si>
  <si>
    <t>ekaterina.khalina@evraz.com, energotrans@evraz.com, evgeniya.grishanova@evraz.com, marina.aksenovskaya@evraz.com, priemnaya_nk@mef.ru, volgina_ln@nkmk.ru</t>
  </si>
  <si>
    <t>eetrans.ru</t>
  </si>
  <si>
    <t>КОМПАНИЯ МЭЛВЕРО ХОЛДИНГС ЛИМИТЕД (720 200 334.16 руб., 50%)
ЕВРАЗ ЗСМК, АО (286 640 138.02 руб., 19.90%)
ЕВРАЗ НТМК, АО (285 659 884.11 руб., 19.83%)
ЕВРАЗ КГОК, АО (147 900 312.02 руб., 10.26%)</t>
  </si>
  <si>
    <t>press@euracor.com</t>
  </si>
  <si>
    <t>www.etk.com, www.euracor.ru</t>
  </si>
  <si>
    <t>eudecor@wm.west-call.com, tseluevskaya@euro-decor.ru</t>
  </si>
  <si>
    <t>www.euro-decor.org, www.euro-decor.ru</t>
  </si>
  <si>
    <t>Павлова Натэлла Феликсовна (4 620 руб., 55%)
Павлов Андрей Юрьевич (3 780 руб., 45%)</t>
  </si>
  <si>
    <t>245 710 000</t>
  </si>
  <si>
    <t>Тонких Андрей Витальевич (10 000 руб., 100%)</t>
  </si>
  <si>
    <t>zakaz@vikiparts.ru</t>
  </si>
  <si>
    <t>Нерода Виктор Владимирович (30 000 руб., 100%)</t>
  </si>
  <si>
    <t>8 870 000</t>
  </si>
  <si>
    <t>evrodom-buh@mail.ru</t>
  </si>
  <si>
    <t>edgrupp.ru</t>
  </si>
  <si>
    <t>Борисенко Юрий Витальевич (50 000 руб., 100%)</t>
  </si>
  <si>
    <t>3 570 000</t>
  </si>
  <si>
    <t>Гутченко Виталий Джанович (59 400 руб., 99%)
Михайлова Ирина Семеновна (600 руб., 1%)</t>
  </si>
  <si>
    <t>e167vm@mail.ru, eurocaraplus@mail.ru, kaumov@mail.ru, tender@eurocarapius.ru, tender@eurocaraplus.ru</t>
  </si>
  <si>
    <t>www.eurocaraplus.ru</t>
  </si>
  <si>
    <t>Каюмов Рушан Мидхатович (1 240 000 руб., 100%)</t>
  </si>
  <si>
    <t>Торговля оптовая подъемно-транспортными машинами и оборудованием</t>
  </si>
  <si>
    <t>9 090 000</t>
  </si>
  <si>
    <t>info@geh-sc.ru</t>
  </si>
  <si>
    <t>ГАЗПРОМ ЭНЕРГОРЕМОНТ, АО (10 000 руб., 100%)</t>
  </si>
  <si>
    <t>Ремонт электронного и оптического оборудования</t>
  </si>
  <si>
    <t>124 300 000</t>
  </si>
  <si>
    <t>info@euroliftmash.ru, kalinkina@euroliftmash.ru, office@euroliftmash.ru, sales@euroliftmash.ru, shendrik@euroliftmash.ru</t>
  </si>
  <si>
    <t>euroliftmash.ru</t>
  </si>
  <si>
    <t>Богданов Николай Васильевич (10 000 руб., 100%)</t>
  </si>
  <si>
    <t>Производство лифтов, скриповых подъемников, эскалаторов и движущихся пешеходных дорожек</t>
  </si>
  <si>
    <t>Князев Павел Андреевич (990 000 руб., 99%)
Князев Андрей Валерьевич (10 000 руб., 1%)</t>
  </si>
  <si>
    <t>28 070 000</t>
  </si>
  <si>
    <t>info@eurologistic.su, soloveva@eurologistic.su, z.dunaeva@eurologistic.su</t>
  </si>
  <si>
    <t>Сериков Дмитрий Викторович (10 000 руб., 100%)</t>
  </si>
  <si>
    <t>143 680 000</t>
  </si>
  <si>
    <t>www.eurometfilms.ru</t>
  </si>
  <si>
    <t>33 850 000</t>
  </si>
  <si>
    <t>a.chernysheva@ptpgroup.ru, europats@europa-market.ru, info@europa-market.ru, info@tut-prosto.ru, n.kurkina@ptpgroup.ru, tp-orders@ptpgroup.ru, tutprosto@tut-prosto.ru</t>
  </si>
  <si>
    <t>www.europa-ts.ru</t>
  </si>
  <si>
    <t>ПРОМРЕСУРС, ООО ГК (510 000 руб., 51%)
Полторацкая Ольга Алексеевна (326 660 руб., 32.66%)
Полторацкая Ольга Николаевна (163 340 руб., 16.33%)</t>
  </si>
  <si>
    <t>244 760 000</t>
  </si>
  <si>
    <t>evropa55@inbox.ru, marketing_evropa@inbox.ru, servis_evropa@inbox.ru</t>
  </si>
  <si>
    <t>tk-evropa.ru</t>
  </si>
  <si>
    <t>Перевозчиков Александр Алексеевич (10 000 руб., 100%)</t>
  </si>
  <si>
    <t>413 410 000</t>
  </si>
  <si>
    <t>msk.info@europapier.ru, n.prohozheva@europapier.ru, office@europapier.ru, tender@europapier.ru, tender@eurpapier.ru, y.monev@europapier.ru</t>
  </si>
  <si>
    <t>www.europapier.ru</t>
  </si>
  <si>
    <t>ООО "ЕВРОПАПИР ЦИС ГМБХ" (388 770 310.17 руб., 99%)
АО "ВИЛФРИД ХАЙНЦЕЛЬ АКТИЕНГЕЗЕЛЬШАФТ" (3 926 972.83 руб., 1%)</t>
  </si>
  <si>
    <t>121 630 000</t>
  </si>
  <si>
    <t>info@eurostolica.ru</t>
  </si>
  <si>
    <t>www.eurostolica.ru</t>
  </si>
  <si>
    <t>Иванов Антон Павлович (5 100 руб., 51%)
ВЕНДЕР, ООО (4 900 руб., 49%)</t>
  </si>
  <si>
    <t>130 690 000</t>
  </si>
  <si>
    <t>ЛК ЕВРОПЛАН, ПАО (10 000 руб., 100%)</t>
  </si>
  <si>
    <t>Деятельность страховых агентов и брокеров</t>
  </si>
  <si>
    <t>253 830 000</t>
  </si>
  <si>
    <t>Дацина Дмитрий Николаевич (5 025.6 руб., 50.26%)
Симкин Олег Александрович (2 512.8 руб., 25.13%)
Филипишин Александр Тимофеевич (1 000 руб., 10%)
Кошевой Сергей Юрьевич (895.4 руб., 8.95%)
Беляев Леонид Михайлович (566.2 руб., 5.66%)</t>
  </si>
  <si>
    <t>176 670 000</t>
  </si>
  <si>
    <t>ep-trade@mail.ru, evropolimer-rostov@inbox.ru, evropolimer-service@inbox.ru, mail@ep-group.ru, mail@europolimergroup.com, polimer-10@mail.ru, service@evropolimer.com, trade@ep-group.ru</t>
  </si>
  <si>
    <t>europolimergroup.com, www.evropolimer.ru</t>
  </si>
  <si>
    <t>Кузьмин Павел Павлович (75 000 руб., 75%)
Кузьмина Ева Павловна (12 500 руб., 12.50%)
Кузьмина Лада Павловна (12 500 руб., 12.50%)</t>
  </si>
  <si>
    <t>30 580 000</t>
  </si>
  <si>
    <t>office@tds-group.ru</t>
  </si>
  <si>
    <t>Велиев Алексей Михайлович (495 000 руб., 99%)
Чунаев Лев Анатольевич (5 000 руб., 1%)</t>
  </si>
  <si>
    <t>7 780 000</t>
  </si>
  <si>
    <t>info@bmw-lahta.ru, olga.scherbakova@bmw-eurosib.ru, secretar@bmw-eurosib.ru, secretar@bmw.spb.ru, viktoriya.zemceva@bmw-eurosib.ru</t>
  </si>
  <si>
    <t>bmw-eurosib.ru</t>
  </si>
  <si>
    <t>ЕВРОСИБ-АВТО-УК, АО (34 000 руб., 100%)</t>
  </si>
  <si>
    <t>247 950 000</t>
  </si>
  <si>
    <t>astudilova@eurosib.biz, eaksyonova@eurosib.biz, transport@eurosib.biz, ygluzhneva@eurosib.biz</t>
  </si>
  <si>
    <t>www.eurosib.biz</t>
  </si>
  <si>
    <t>688 990 000</t>
  </si>
  <si>
    <t>buh@evrostyle.biz, evrostyle@bk.ru</t>
  </si>
  <si>
    <t>Гайсин Зиннур Ленарович (3 500 руб., 33.33%)
Гайсин Ильнар Ленарович (3 500 руб., 33.33%)
Гайсина Гульнара Фоатовна (3 500 руб., 33.33%)</t>
  </si>
  <si>
    <t>4 650 000</t>
  </si>
  <si>
    <t>evrostroypodryad@mail.ru, info@evrostroypodryad.com</t>
  </si>
  <si>
    <t>СКАЙНЕТ-ТЕЛЕКОМ, ООО (10 000 руб., 100%)</t>
  </si>
  <si>
    <t>72 090 000</t>
  </si>
  <si>
    <t>evropbuh@mail.ru, evrostroiholding@mail.ru, vrostroiholding@mail.ru</t>
  </si>
  <si>
    <t>Казилов Владимир Александрович (10 000 руб., 100%)</t>
  </si>
  <si>
    <t>Разборка и снос зданий</t>
  </si>
  <si>
    <t>89 600 000</t>
  </si>
  <si>
    <t>eurotechnika@amazone.ru, info@eurotechnika.ru, sarbaeva@eurotechnika.ru, smirnoff_samara@mail.ru</t>
  </si>
  <si>
    <t>eurotechnika.ru</t>
  </si>
  <si>
    <t>Производство машин и сельскохозяйственного оборудования для обработки почвы</t>
  </si>
  <si>
    <t>1 753 540 000</t>
  </si>
  <si>
    <t>buh8@astawold.ru, buh8@astsworld.ru, snp@astaworld.ru</t>
  </si>
  <si>
    <t>ТЕЗИС, ООО (80 320 руб., 80%)
Майоров Лев Михайлович (10 040 руб., 10%)
Романчиков Сергей Евгеньевич (10 040 руб., 10%)</t>
  </si>
  <si>
    <t>12 860 000</t>
  </si>
  <si>
    <t>ekuznecova@trassagk.ru, info@trassagk.ru, ipatov.sg@trassagk.ru, kurashova.ov@eurotransgk.ru, kurashova.ov@trassagk.ru, vorotyagin.dg@trassagk.ru</t>
  </si>
  <si>
    <t>eurotransgk.ru, https://evrotrans-ao.ru/, www.trassagk.ru</t>
  </si>
  <si>
    <t>sergey.v.pavlov@eurochem.ru</t>
  </si>
  <si>
    <t>МХК ЕВРОХИМ, АО (396 049 576.27 руб., 100%)</t>
  </si>
  <si>
    <t>3 952 350 000</t>
  </si>
  <si>
    <t>official@eurohim.ru</t>
  </si>
  <si>
    <t>www.eurohim.ru</t>
  </si>
  <si>
    <t>1 046 820 000</t>
  </si>
  <si>
    <t>elena.morozova@eurochem.ru, eurochem-bmu@eurochem.ru</t>
  </si>
  <si>
    <t>www.archive.eurochemgroup.com, www.eurochem.ru</t>
  </si>
  <si>
    <t>МХК ЕВРОХИМ, АО (8 098 202 160 руб., 100%)</t>
  </si>
  <si>
    <t>1 956 940 000</t>
  </si>
  <si>
    <t>eurochem-volgakaliy@eurochem.ru</t>
  </si>
  <si>
    <t>МХК ЕВРОХИМ, АО (137 002 000 000 руб., 100%)</t>
  </si>
  <si>
    <t>Производство калийных минеральных или химических удобрений</t>
  </si>
  <si>
    <t>eurochem-nw@eurochem.ru, ilya.beloborodov@eurochem.ru</t>
  </si>
  <si>
    <t>www.eurochemgroup.com</t>
  </si>
  <si>
    <t>МХК ЕВРОХИМ, АО (2 365 450 100 руб.)</t>
  </si>
  <si>
    <t>18 355 510 000</t>
  </si>
  <si>
    <t>info_usl@eurochem.ru</t>
  </si>
  <si>
    <t>ХАРВЕСТЕР ШИПМЕНЕДЖМЕНТ ЛИМИТЕД (15 285 426 641.58 руб., 53.50%)
МХК ЕВРОХИМ, АО (13 161 586 235 руб., 46.06%)
УРАЛ-РЕМСТРОЙСЕРВИС, ООО (125 913 400.42 руб., 0.44%)</t>
  </si>
  <si>
    <t>20 024 820 000</t>
  </si>
  <si>
    <t>tatyana.a.makarova@eurochem.ru</t>
  </si>
  <si>
    <t>energo.corp.eurochem.ru</t>
  </si>
  <si>
    <t>СИБИРСКАЯ ГЕНЕРИРУЮЩАЯ КОМПАНИЯ, ООО (100 000 руб., 100%)</t>
  </si>
  <si>
    <t>120 920 000</t>
  </si>
  <si>
    <t>kursk2@kotofey.ru, lsamorukova@yandex.ru, veronik-32@list.ru</t>
  </si>
  <si>
    <t>www.kotofey.ru</t>
  </si>
  <si>
    <t>Производство обуви</t>
  </si>
  <si>
    <t>299 040 000</t>
  </si>
  <si>
    <t>info@united-europe.ru</t>
  </si>
  <si>
    <t>info@collant.ru</t>
  </si>
  <si>
    <t>www.collant.ru</t>
  </si>
  <si>
    <t>Володин Валерий Львович (6 500 000 руб., 65%)
Подрябинников Андрей Валентинович (1 500 000 руб., 15%)
ГОЛДЕН ЛЕДИ КОМПАНИ - АКЦИОНЕРНОЕ ОБЩЕСТВО (1 000 000 руб., 10%)
Беспалов Константин Викторович (500 000 руб., 5%)
Порохнявый Ярослав Николаевич (500 000 руб., 5%)</t>
  </si>
  <si>
    <t>Торговля оптовая нательным бельем</t>
  </si>
  <si>
    <t>157 110 000</t>
  </si>
  <si>
    <t>denisova@pvx.ru, gulyaeva@pyx.ru, info@pvx.ru</t>
  </si>
  <si>
    <t>www.etk.su</t>
  </si>
  <si>
    <t>26 030 000</t>
  </si>
  <si>
    <t>help@tskad.ru, info@tskad.ru, ltrushina@telematika.com, ytskad@bk.ru, zakupki@tskad.ru</t>
  </si>
  <si>
    <t>ТЕЛЕМАТИКА, ООО (374 500 руб., 74.90%)
АВТОДОР, ООО УК (125 500 руб., 25.10%)</t>
  </si>
  <si>
    <t>hmelnova_m@goldapple.ru, nikitina_n@goldapple.ru</t>
  </si>
  <si>
    <t>УК КРИСТАЛЛ, ООО (20 800 руб., 52%)
РК КОМПАНИ, ООО (14 000 руб., 35%)
Матвеева Оксана Владимировна (5 200 руб., 13%)</t>
  </si>
  <si>
    <t>978 490 000</t>
  </si>
  <si>
    <t>lexa@motivtelecom.ru, motiv@motivtelecom.ru</t>
  </si>
  <si>
    <t>www.motivtelecom.ru, www.ycc.ru</t>
  </si>
  <si>
    <t>GLENFIELD MANAGEMENT LIMITED LIABILITY PARTNERSHIP (6 080 руб., 32%)
КОЛЛИНЗ ИНТЕРНЭШНЛ ЛИМИТИД (6 080 руб., 32%)
МИЛТОН ИНВЕСТ ЛИМИТИД (6 080 руб., 32%)
Кочетков Виталий Васильевич (760 руб., 4%)</t>
  </si>
  <si>
    <t>Деятельность по предоставлению услуг телефонной связи</t>
  </si>
  <si>
    <t>21 630 000</t>
  </si>
  <si>
    <t>eksz.lex@apk-prodimex.ru</t>
  </si>
  <si>
    <t>1 343 830 000</t>
  </si>
  <si>
    <t>n.cehanskaia@dominantsugar.ru</t>
  </si>
  <si>
    <t>АГРОДОМ, ООО (10 000 руб., 100%)</t>
  </si>
  <si>
    <t>1 111 530 000</t>
  </si>
  <si>
    <t>bizline@eltransplus.ru, company@eltransplus.ru, tender@eltransplus.ru</t>
  </si>
  <si>
    <t>www.eltransplus.ru</t>
  </si>
  <si>
    <t>Е+, ООО (28 612 000 руб., 100%)</t>
  </si>
  <si>
    <t>buh.evrazmolkom@mail.ru</t>
  </si>
  <si>
    <t>evrazmolkom.ru</t>
  </si>
  <si>
    <t>Лупинос Игорь Владимирович (200 000 руб., 75%)
Голубин Роман Анатольевич (66 667 руб., 25%)</t>
  </si>
  <si>
    <t>59 760 000</t>
  </si>
  <si>
    <t>anastasiya.fedyunina@cei.lactalis.com, emsk.secretary@lactalis.ru, emsk.sekretary@laktalis.ru</t>
  </si>
  <si>
    <t>337 870 000</t>
  </si>
  <si>
    <t>commerc01@emcmos.ru, imamonova@emcmos.ru, info@emcmos.ru</t>
  </si>
  <si>
    <t>www.emcmos.ru</t>
  </si>
  <si>
    <t>ЕМС-ХОЛДКО, АО (n/a)</t>
  </si>
  <si>
    <t>7 910 360 000</t>
  </si>
  <si>
    <t>ДОРСТРОЙСИСТЕМ, ООО (51 000 руб., 51%)
Представительство АО "Енигюн Иншаат Санайи Ве Тидж (49 000 руб., 49%)</t>
  </si>
  <si>
    <t>АКЦИОНЕРНОЕ ОБЩЕСТВО "BAVEX AG" (277 200 000 руб., 44%)
АКЦИОНЕРНОЕ ОБЩЕСТВО "CORUNO AG" (189 000 000 руб., 30%)
АКЦИОНЕРНОЕ ОБЩЕСТВО "MEDINA AG" (157 500 000 руб., 25%)
ЕНИСЕЙ-СУИСС, ООО (6 300 000 руб., 1%)</t>
  </si>
  <si>
    <t>Добыча нефти и нефтяного (попутного) газа</t>
  </si>
  <si>
    <t>1111111111111@mail.ru, 123@di.ru, 123donenergo@mail.ru, 258455@mail.ru, 6163089292@yandex.ru, 79508602283@yandex.ru, 8636154015@mail.ru, 88635056008@mail.ru, abonent@prts.donpac.ru, abonent@prts.ru</t>
  </si>
  <si>
    <t>04701000001@mail.ru, 111@sibgenco.ru, 2222543@mail.ru, 2579555@mail.ru, 2937245@mail.ru, 45266@mail.ru, 75014@mail.ru, 76762480@mail.ru, 83912222543@mail.ru, abroskina@oasibgenco.ru</t>
  </si>
  <si>
    <t>2 060 590 000</t>
  </si>
  <si>
    <t>office@eoil.pro</t>
  </si>
  <si>
    <t>Насыров Евгений Зинурович (20 000 руб., 100%)</t>
  </si>
  <si>
    <t>20 970 000</t>
  </si>
  <si>
    <t>eprssekretar@mail.ru, invoronina@eprs-nv.ru, sekretar@eprs-nv.ru</t>
  </si>
  <si>
    <t>eprs-nv.ru</t>
  </si>
  <si>
    <t>425 080 000</t>
  </si>
  <si>
    <t>276 950 000</t>
  </si>
  <si>
    <t>erp@e-river.ru</t>
  </si>
  <si>
    <t>www.e-river.ru</t>
  </si>
  <si>
    <t>3406000261_340601001@eo.tensor.ru, mck.elan@mail.ru</t>
  </si>
  <si>
    <t>www.msk-elan.ru</t>
  </si>
  <si>
    <t>Дахнович Алексей Александрович (9 947 396.45 руб., 23.97%)
Дахнович Андрей Александрович (9 947 396.45 руб., 23.97%)
Долматов Игорь Станиславович (9 947 396.45 руб., 23.97%)
Шиляев Андрей Александрович (9 947 396.45 руб., 23.97%)
Мартиросян Гайк Юрьевич (1 710 414.2 руб., 4.12%)</t>
  </si>
  <si>
    <t>156 640 000</t>
  </si>
  <si>
    <t>2287061@mail.ru, 749522870612@mail.ru, 74952287061@mail.ru, agodin.iv@esko.group, aksenova.ni@esko.group, aliev@ecko.ru, aliev@esco.group, aliev@esko.group, aliev@esko.group.ru, andreeva.ev@esko.group</t>
  </si>
  <si>
    <t>Ган Владимир Иванович (100 000 руб., 100%)</t>
  </si>
  <si>
    <t>4 020 000</t>
  </si>
  <si>
    <t>info@estport.com, oivanova@estport.com</t>
  </si>
  <si>
    <t>estport.com</t>
  </si>
  <si>
    <t>КОМПАНИЯ "РИВЕРХИЛЛ ЛИМИТЕД" (59 100 000 руб., 100%)</t>
  </si>
  <si>
    <t>etg.russia@etgworld.com</t>
  </si>
  <si>
    <t>КОМПАНИЯ С ОГРАНИЧЕННОЙ ОТВЕТСТВЕННОСТЬЮ ЕТГ ПУЛЬСЕЗ ГЛОБАЛ ЛИМИТЕД (99 990 руб., 99.99%)
Наутиял Шекхар (10 руб., 0.010%)</t>
  </si>
  <si>
    <t>12 020 000</t>
  </si>
  <si>
    <t>info_etk@tplusqrup.ru, oksana.lyubchenko@tplusgroup.ru, svetlana.gorbushina@tplusgroup.ru</t>
  </si>
  <si>
    <t>etk-ural.ru</t>
  </si>
  <si>
    <t>Передача пара и горячей воды (тепловой энергии)</t>
  </si>
  <si>
    <t>info@etkoil.ru</t>
  </si>
  <si>
    <t>etkoil.ru</t>
  </si>
  <si>
    <t>ЗАО "Белорусская нефтяная компания" (7 635 842 руб., 100%)</t>
  </si>
  <si>
    <t>35 300 000</t>
  </si>
  <si>
    <t>coordinator@etscorp.ru, eis@etscorp.ru</t>
  </si>
  <si>
    <t>Ракчеев Сергей Юрьевич (7 500 руб., 75%)
Локтионов Андрей Владимирович (2 500 руб., 25%)</t>
  </si>
  <si>
    <t>266 340 000</t>
  </si>
  <si>
    <t>ekaterina.yashina@utsrus.com, larisa@utsrus.com, marina.semenuk@mail.ru, marina.semenuk@utsrus.com, nadezhda.sokolnikova@utsrus.com, stroy-spb@utsrus.ru, uts@utsrus.com</t>
  </si>
  <si>
    <t>www.utsrus.com</t>
  </si>
  <si>
    <t>Школа Андрей Анатольевич (27 000 руб., 90%)
Школа Татьяна Владимировна (3 000 руб., 10%)</t>
  </si>
  <si>
    <t>255 280 000</t>
  </si>
  <si>
    <t>olesya.bratuhina@utsrus.com, olesya.bratuhins@utsrus.com</t>
  </si>
  <si>
    <t>Школа Андрей Анатольевич (1 030 000 руб., 50%)
Школа Татьяна Владимировна (1 030 000 руб., 50%)</t>
  </si>
  <si>
    <t>olga.tolochko@utsrus.com, uts@utsrus.com, uts_moscow@utsrus.com</t>
  </si>
  <si>
    <t>www.ets-stroy.ru, www.utsrus.com</t>
  </si>
  <si>
    <t>Школа Андрей Анатольевич (280 000 руб., 70%)
Школа Татьяна Владимировна (120 000 руб., 30%)</t>
  </si>
  <si>
    <t>66 700 000</t>
  </si>
  <si>
    <t>2157611@mail.ru, 2157726@mail.ru, badget@eens.ru, bdget@eens.ru, bikchurinarr@eens.ru, bubget@eens.ru, budgct@eens.ru, budger@eens.ru, budgest@eens.ru, budget@cens.ru</t>
  </si>
  <si>
    <t>МРСК УРАЛА, ОАО (91.04%)</t>
  </si>
  <si>
    <t>962 420 000</t>
  </si>
  <si>
    <t>abaevvs@mail.ru, adm.belogorsk@mail.ru, aleksey.kizilov@esplus.ru, alexander@yandex.ru, alexandr.shokhin@esplus.ru, anna.kyrmanova@esplus.ru, anton.semennikov@esplus.ru, arteym.naymushin@esplus.ru, arteym.naymushin@esplus.ry, asshhjj@yandex.ru</t>
  </si>
  <si>
    <t>ЭНЕРГОСБЫТ ПЛЮС, АО (10 010 000 руб., 100%)</t>
  </si>
  <si>
    <t>621 050 000</t>
  </si>
  <si>
    <t>barakov@eesk.ru, bolkiseva@eesk.ru, demina@eesk.ru, kheyfetsn@eesk.ru, kondrateva@eesk.ru, mak7706@mail.ru, mak7760@mail.ru, tp@eesk.ru, vasilyeva-ee@rosseti-ural.ru</t>
  </si>
  <si>
    <t>www.eesk.ru, www.eesk.ru/akcioneram</t>
  </si>
  <si>
    <t>info@gbkstroy.ru, kzgbk@mail.ru, stroy@kgbk.ru</t>
  </si>
  <si>
    <t>ЖБК-СТРОЙ, ООО (5 000 руб., 50%)
Меновщиков Константин Владимирович (5 000 руб., 50%)</t>
  </si>
  <si>
    <t>info@zhda.ru, v.potanin@zhda.ru</t>
  </si>
  <si>
    <t>zhda.ru</t>
  </si>
  <si>
    <t>510 030 000</t>
  </si>
  <si>
    <t>info@zdpr.ru</t>
  </si>
  <si>
    <t>zdpr.ru</t>
  </si>
  <si>
    <t>Заржицкий Константин Викторович (1 000 000 руб., 100%)</t>
  </si>
  <si>
    <t>1 362 120 000</t>
  </si>
  <si>
    <t>info@ao-zdrm.ru, info@yarz.ru, kalmykovaug@locotech.ru, lapina.e.a@uirz.ru, lapina.e.a@ulrz.ru, lapinaea@locotech.ru, lapinaea@ulrz.ru, matveevala@locotech.ru, ovt-zdrm@css-rzd.ru, u.kalmikova@cherz.ru</t>
  </si>
  <si>
    <t>www.ao-zdrm.ru</t>
  </si>
  <si>
    <t>info@gds806.ru</t>
  </si>
  <si>
    <t>УК БСМ, ООО (74 900 руб., 74.90%)
ОБЩЕСТВО С ОГРАНИЧЕННОЙ ОТВЕТСТВЕННОСТЬЮ "РЭЙЛ ТРАНС СЕРВИС" (25 100 руб., 25.10%)</t>
  </si>
  <si>
    <t>amziro@svrw.ru, ao.zheldoruchet@yandex.ru, isakova_valentina@inbox.ru, musoshnikova@center.rzd.ru, yuppk.ecom@gmail.com</t>
  </si>
  <si>
    <t>Деятельность по оказанию услуг в области бухгалтерского учета, по проведению финансового аудита, по налоговому консультированию</t>
  </si>
  <si>
    <t>161 180 000</t>
  </si>
  <si>
    <t>kv.yudina.msc@jde.ru, verest@yandex.ru</t>
  </si>
  <si>
    <t>Назарова Евгения Николаевна (442 678 384 руб., 68.85%)
Назарова Дарья Владимировна (200 245 690.5 руб., 31.15%)</t>
  </si>
  <si>
    <t>aleksandra.rumyantseva@gefco.net, info.russia@gefco.ru, info@gefco.ru, pavel.vinogradov@gefco.net, valeriya.seledkova@gefco.ru</t>
  </si>
  <si>
    <t>www.gefco.net</t>
  </si>
  <si>
    <t>АО "ЖЕФКО" (1 970 061 080 руб., 100%)</t>
  </si>
  <si>
    <t>270 110 000</t>
  </si>
  <si>
    <t>dostavka@moon-trade.ru, dostavka@moon.ru, info@moon-trade.ru, mdfactory@moon.ru, sol@fabrikamebeli.ru, sservice@fabrikamebeli.ru, sservice@moon-trade.ru, sservice@moon.ru, td@moon.ru, zakaz@moon-trade.ru</t>
  </si>
  <si>
    <t>www.moon-trade.ru, www.moon.ru, www.papillon-divan.ru</t>
  </si>
  <si>
    <t>Шаманский Евгений Владимирович (7 500 руб., 75%)
Бондарев Павел Андреевич (1 500 руб., 15%)
Воробьев Олег Васильевич (1 000 руб., 10%)</t>
  </si>
  <si>
    <t>Производство прочей мебели</t>
  </si>
  <si>
    <t>461 500 000</t>
  </si>
  <si>
    <t>yauk@samarabeer.ru</t>
  </si>
  <si>
    <t>www.samarabeer.ru</t>
  </si>
  <si>
    <t>734 970 000</t>
  </si>
  <si>
    <t>barnaul-gi.ru</t>
  </si>
  <si>
    <t>Гатилов Юрий Александрович (400 000 000 руб., 100%)</t>
  </si>
  <si>
    <t>ГК САМОЛЕТ, ПАО (10 000 руб., 100%)</t>
  </si>
  <si>
    <t>5 320 000</t>
  </si>
  <si>
    <t>chermyanina@rusagromaslo.com, demidenko@fatfactory.ru, demidenko@rusagromaslo.com, financ@fatfactory.ru, off@rusagromaslo.com, office@fatfactory.ru</t>
  </si>
  <si>
    <t>www.edk.ru, www.egk.etel.ru</t>
  </si>
  <si>
    <t>Производство маргариновой продукции</t>
  </si>
  <si>
    <t>2392465@mail.ru, _tufkts@yandex.ru, abijkts@mail.ru, abiy@jkhsakha.ru, aigys.kdts@mail.ru, allaiha.kts@mail.ru, allaiha@jkhsakha.ru, amga@jkhsakha.ru, amga_kts@mail.ru, amgakhs@mail.ru</t>
  </si>
  <si>
    <t>www.jkhsakha.ru</t>
  </si>
  <si>
    <t>Саха /Якутия/ Респ (6 308 562 684.36 руб., 100%)</t>
  </si>
  <si>
    <t>info@upgweb.com, zavod@upgweb.com</t>
  </si>
  <si>
    <t>ОБЩЕСТВО С ОГРАНИЧЕННОЙ ОТВЕТСТВЕННОСТЬЮ "ЮПГ КОРПОРЕЙШН" (249 940 000 руб., 99.50%)
Татарчук Владимир Валентинович (770 166.87 руб., 0.31%)
Беккер Игорь Викторович (485 813.03 руб., 0.19%)</t>
  </si>
  <si>
    <t>2 405 970 000</t>
  </si>
  <si>
    <t>e.bukinich@spb.rwtk.ru, gukinaey@khv.rwtk.ru, info@ca.rwtk.ru, info@rwtk.ru, jtk@mail.ru, m.chernyh@yar.rwtk.ru, tpprzd@mail.ru, zhtk75@mail.ru</t>
  </si>
  <si>
    <t>www.rwtk.ru</t>
  </si>
  <si>
    <t>sokolov051@inbox.ru, zabdorstroy@mail.ru</t>
  </si>
  <si>
    <t>Якушевский Геннадий Александрович (57 224 700 руб., 67%)
Метелев Валерий Евгеньевич (28 185 300 руб., 33%)</t>
  </si>
  <si>
    <t>2 860 000</t>
  </si>
  <si>
    <t>boyarskaya_ei@zavkoms.ru</t>
  </si>
  <si>
    <t>www.zavkom.com</t>
  </si>
  <si>
    <t>Производство оборудования для обработки материалов с использованием процессов, включающих изменение температуры, не включенного в другие группировки</t>
  </si>
  <si>
    <t>cabel@novgorod.net, contact@agrocabel.ru, dmitriev_es@agrocabel.ru, dmitriev_es@agrokabel.ru, info@agrocabel.ru, queins@co.gmbh, zakaz@agrokabeltrading.ru</t>
  </si>
  <si>
    <t>agrocabel.ru</t>
  </si>
  <si>
    <t>ТД АГРОКАБЕЛЬ, ООО (577 904 200 руб., 66.75%)
ЭНЕРГОТРАНСМЕТ, ООО (287 815 800 руб., 33.25%)</t>
  </si>
  <si>
    <t>46 180 000</t>
  </si>
  <si>
    <t>ooozgm@mail.ru</t>
  </si>
  <si>
    <t>Владимиров Сергей Леонтьевич (10 000 руб., 100%)</t>
  </si>
  <si>
    <t>57 720 000</t>
  </si>
  <si>
    <t>eva@kdmsmolensk.ru, ksv@kdmsmolensk.ru, man@kdmsmolensk.ru, sales@kdmsmolensk.ru, sales@smoldormash.ru, zavod@kdmsmolensk.ru</t>
  </si>
  <si>
    <t>kdmsmolensk.ru</t>
  </si>
  <si>
    <t>ПРОМИТ ЛИМИТЕД (ЧАСТНАЯ КОМПАНИЯ С ОГРАНИЧЕННОЙ ОТВЕТСТВЕННОСТЬЮ) (90 178 000 руб., 40.92%)
ВЕЛОНТИ ЭСТЕЙТС ЛТД (КОМПАНИЯ С ОГРАНИЧЕННОЙ ОТВЕТСТВЕННОСТЬЮ) (58 308 620.33 руб., 26.46%)
Галяутдинов Ильдар Хайдарович (41 869 379.67 руб., 19%)
Измерова Анна Анатольевна (10 000 000 руб., 4.54%)
Соловьева Ольга Александровна (10 000 000 руб., 4.54%)
Федин Марк Игоревич (10 000 000 руб., 4.54%)</t>
  </si>
  <si>
    <t>21 590 000</t>
  </si>
  <si>
    <t>mail@zavod-kopir.ru, oasup@zavod-kopir.ru</t>
  </si>
  <si>
    <t>zavod-kopir.ru</t>
  </si>
  <si>
    <t>kpd-miass.ru</t>
  </si>
  <si>
    <t>ЛИБЕРТИ, ООО (5 000 руб., 50%)
СПЕЦИАЛИЗИРОВАННЫЙ ЗАСТРОЙЩИК ЗАПАДНЫЙ ЛУЧ, ООО (4 100 руб., 41%)
Кудрявцев Дмитрий Борисович (500 руб., 5%)
Саматов Сергей Юрьевич (400 руб., 4%)</t>
  </si>
  <si>
    <t>144 550 000</t>
  </si>
  <si>
    <t>a.kazmiruk@krsormovo.ru, bureau_krsormovo@sinn.ru, e.vyugina@krsormovo.ru, info@krsormovo.ru, krsormovo@mnpglobal.com, makeevsv@mail.ru, market_krsormovo@sinn.ru, n.chukina@krsormovo.ru, oge@krsormovo.ru, y.glazkova@krsormovo.ru</t>
  </si>
  <si>
    <t>www.krsomovo.nnov.ru, www.krsormovo.nnov.ru</t>
  </si>
  <si>
    <t>shevchenko.nv@tn.ru</t>
  </si>
  <si>
    <t>ТН-ИНВЕСТ, ООО (1 400 000 000 руб., 100%)</t>
  </si>
  <si>
    <t>451 300 000</t>
  </si>
  <si>
    <t>infa@zmars.ru, info@zmars.ru, mex55761@yandex.ru, zmars@torzhok.tvcom.ru, zmars@torzhok.tver.ru</t>
  </si>
  <si>
    <t>www.z-mars.ru</t>
  </si>
  <si>
    <t>ЭЛЕМЕНТ, АО (51%)
Ключников Валерий Николаевич (14.29%)</t>
  </si>
  <si>
    <t>Производство частей электронных ламп, трубок и прочих электронных компонентов, не включенных в другие группировки</t>
  </si>
  <si>
    <t>info@nartis.ru</t>
  </si>
  <si>
    <t>nartis.ru</t>
  </si>
  <si>
    <t>Костин Евгений Викторович (20 000 000 руб., 100%)</t>
  </si>
  <si>
    <t>Производство инструментов и приборов для измерения, тестирования и навигации</t>
  </si>
  <si>
    <t>221 590 000</t>
  </si>
  <si>
    <t>yurist@technovek.ru</t>
  </si>
  <si>
    <t>technovek.ru</t>
  </si>
  <si>
    <t>Парамонов Юрии Николаевич (506 684.16 руб., 43.44%)
Кузнецов Юрии Васильевич (506 450.88 руб., 43.42%)
Димова Лариса Анатольевна (153 264.96 руб., 13.14%)</t>
  </si>
  <si>
    <t>buhg@ngosar.ru, mail@ngosar.ru, market@ngosar.ru, office@ngosar.ru</t>
  </si>
  <si>
    <t>ngosar.ru, www.mgosar.ru</t>
  </si>
  <si>
    <t>Захарова Варвара Ивановна (200 000 000 руб., 100%)</t>
  </si>
  <si>
    <t>266 390 000</t>
  </si>
  <si>
    <t>info@lysine31.ru</t>
  </si>
  <si>
    <t>www.premix1.com</t>
  </si>
  <si>
    <t>delivery@zvpm.ru, mail@zvpm.ru, order@zvpm.ru, otklik@zvpm.ru, personal@zvpm.ru, zaka200@yandex.ru</t>
  </si>
  <si>
    <t>346 470 000</t>
  </si>
  <si>
    <t>7604223919_760401001@eo.tensor.ru, admin@powerunit.ru, psm@powerunit.ru</t>
  </si>
  <si>
    <t>powerunit.ru</t>
  </si>
  <si>
    <t>Медведев Андрей Евгеньевич (5 000 000 руб., 50%)
Сальников Александр Юрьевич (5 000 000 руб., 50%)</t>
  </si>
  <si>
    <t>54 450 000</t>
  </si>
  <si>
    <t>gladkova-63@mail.ru, tazhieva.r@devongroup.ru</t>
  </si>
  <si>
    <t>devongroup.ru</t>
  </si>
  <si>
    <t>Пиянзин Сергей Валентинович (4 000 000 руб., 40%)
Белоусов Сергей Викторович (2 500 000 руб., 25%)
Шлиссер Сергей Валерьевич (2 500 000 руб., 25%)
Лабутьев Сергей Владимирович (1 000 000 руб., 10%)</t>
  </si>
  <si>
    <t>68 800 000</t>
  </si>
  <si>
    <t>goncharovaso@tn.ru, harchevinanv@tn.ru, kadry@tn.ru, sales2@tn.ru, techno@zil.tn.ru//www.teplo.tn.ru</t>
  </si>
  <si>
    <t>www.teplo.tn.ru, www.tn.ru</t>
  </si>
  <si>
    <t>ИНВЕСТ-КРОВЛЯ, ООО (2 200 000 000 руб., 99.97%)
УПРАВЛЕНИЕ КВ, ООО (600 000 руб., 0.030%)</t>
  </si>
  <si>
    <t>Производство минеральных тепло- и звукоизоляционных материалов и изделий</t>
  </si>
  <si>
    <t>1 574 040 000</t>
  </si>
  <si>
    <t>sekretar@tn.ru</t>
  </si>
  <si>
    <t>tn.ru</t>
  </si>
  <si>
    <t>МИАРА, ООО (99 900 000 руб., 99.90%)
ЭЛЛАДА, ООО (100 000 руб., 0.10%)</t>
  </si>
  <si>
    <t>414 220 000</t>
  </si>
  <si>
    <t>erohina.o@tn.ru</t>
  </si>
  <si>
    <t>ИНВЕСТ-КРОВЛЯ, ООО (1 676 970 007.5 руб., 99.99%)
ТН-ИНВЕСТ, ООО (129 992.5 руб., 0.0078%)</t>
  </si>
  <si>
    <t>661 850 000</t>
  </si>
  <si>
    <t>mischenko@tn.ru, secretary@tflx.tn.ru</t>
  </si>
  <si>
    <t>www.tn.ru, техноэласт.рф</t>
  </si>
  <si>
    <t>ИНВЕСТ-КРОВЛЯ, ООО (2 100 001 000 руб., 72.65%)
МИАРА, ООО (790 330 000 руб., 27.34%)</t>
  </si>
  <si>
    <t>1 940 660 000</t>
  </si>
  <si>
    <t>info@tokkcompany.ru</t>
  </si>
  <si>
    <t>www.tokkcompany.ru</t>
  </si>
  <si>
    <t>Медведева Татьяна Алексеевна (199 512 200.94 руб., 51%)
Медведева Наталья Александровна (191 688 193.06 руб., 49%)</t>
  </si>
  <si>
    <t>535 720 000</t>
  </si>
  <si>
    <t>karmastina@tn.ru, kashnikova@tn.ru</t>
  </si>
  <si>
    <t>ИНВЕСТ-КРОВЛЯ, ООО (10 314 099 025 руб., 100%)</t>
  </si>
  <si>
    <t>139 700 000</t>
  </si>
  <si>
    <t>ketov@kedrvagon.ru, marina_blinova_64@bk.ru, mashzavodbyh@yandex.ru, svarka304@yandex.ru, zmz.buh@mail.ru, zmz.gbux@kedrvagon.ru, zmz@kedrvagon.ru</t>
  </si>
  <si>
    <t>www.kedrvagon.ru, www.vagonkedr.ru</t>
  </si>
  <si>
    <t>30 120 000</t>
  </si>
  <si>
    <t>afomin@zagruzka.com, partners@zagruzka.com, tender@zagruzka.com</t>
  </si>
  <si>
    <t>www.zagruzka.com</t>
  </si>
  <si>
    <t>Деятельность в области документальной электросвязи</t>
  </si>
  <si>
    <t>104 500 000</t>
  </si>
  <si>
    <t>fin@zaisahar.ru, office@zaisahar.ru</t>
  </si>
  <si>
    <t>1 401 040 000</t>
  </si>
  <si>
    <t>Зайцев Анатолий Иванович (57 000 руб., 95%)
Зайцев Сергей Иванович (3 000 руб., 5%)</t>
  </si>
  <si>
    <t>1 484 340 000</t>
  </si>
  <si>
    <t>glavbuh-zf@mail.ru</t>
  </si>
  <si>
    <t>zalfermer.ru</t>
  </si>
  <si>
    <t>Романов Андрей Владимирович (3 775 руб., 37.75%)
Елисеев Николай Николаевич (2 550 руб., 25.50%)
АВ ТЕХНОЛОГИИ, ООО (2 450 руб., 24.50%)
Анохина Вероника Николаевна (1 225 руб., 12.25%)</t>
  </si>
  <si>
    <t>20 320 000</t>
  </si>
  <si>
    <t>admin@zapadnaya.ru</t>
  </si>
  <si>
    <t>m.andreevitch@yandex.ru</t>
  </si>
  <si>
    <t>Андреев Андрей Сергеевич (10 000 руб., 100%)</t>
  </si>
  <si>
    <t>krr@zsgp.ru, petrov@zsgp.ru, prm@zsgp.ru, sia@zsgp.ru, sidorova@zsgp.ru, slivkin@zsgp.ru, zsgp-g@mail.ru, zsgp-g@yandex.ru</t>
  </si>
  <si>
    <t>ЗАПСИБГАЗПРОМ, ОАО (10 000 руб., 100%)</t>
  </si>
  <si>
    <t>724 400 000</t>
  </si>
  <si>
    <t>kovalenko_ea@sgmk-group.ru, shgre@temir.sgmk.ru</t>
  </si>
  <si>
    <t>ПРОМОРЕСУРС, АО (494 753.05 руб., 99.99%)
СЗК, ООО (4.95 руб., 0.0010%)</t>
  </si>
  <si>
    <t>619 920 000</t>
  </si>
  <si>
    <t>marinavs1@autoopt.ru</t>
  </si>
  <si>
    <t>Манусаджян Гайк Рудольфович (10 000 руб., 100%)</t>
  </si>
  <si>
    <t>1 760 000</t>
  </si>
  <si>
    <t>zar_sel_chem1@mail.ru</t>
  </si>
  <si>
    <t>МАЛИНО, АО (536 000 руб., 67%)
Ликольд Алексей Евграфович (136 000 руб., 17%)
Губина Татьяна Дмитриевна (96 000 руб., 12%)
Прямов Сергей Борисович (32 000 руб., 4%)</t>
  </si>
  <si>
    <t>79 310 000</t>
  </si>
  <si>
    <t>osafonova@zarechnoe.ru</t>
  </si>
  <si>
    <t>www.zarechnoe.ru</t>
  </si>
  <si>
    <t>МОНОЛИТ, ООО (152 685 494.18 руб., 95.24%)
АНТЕЙ, ООО (7 599 466.89 руб., 4.74%)
РСХБ-ФИНАНС, ООО (19 038.93 руб., 0.011%)</t>
  </si>
  <si>
    <t>Разведение прочих пород крупного рогатого скота и буйволов, производство спермы</t>
  </si>
  <si>
    <t>isorokina@nestro.ru</t>
  </si>
  <si>
    <t>ЗАРУБЕЖНЕФТЬ, АО (26 080 000 руб., 80%)
ЗН ДОБЫЧА, ООО (6 520 000 руб., 20%)</t>
  </si>
  <si>
    <t>187 840 000</t>
  </si>
  <si>
    <t>pavpos9@mail.ru, zaozarstroy@gmail.com, zarstroy@mail.ru</t>
  </si>
  <si>
    <t>Шахиди Толибхон Зиядуллоевич (1 000 000 руб., 50%)
Стаценко Владимир Викторович (860 000 руб., 43%)
Тимофеев Александр Евгеньевич (140 000 руб., 7%)</t>
  </si>
  <si>
    <t>11 810 000</t>
  </si>
  <si>
    <t>asorokin@nestro.ru, nestro@nestro.ru, pr@nestro.ru, savin@nestro.ru</t>
  </si>
  <si>
    <t>www.nestro.ru, www.zarubezhneft.ru</t>
  </si>
  <si>
    <t>РОСИМУЩЕСТВО (100%)</t>
  </si>
  <si>
    <t>2 734 620 000</t>
  </si>
  <si>
    <t>zndkh.hotline@nestro.ru, zndkh.info@nestro.ru</t>
  </si>
  <si>
    <t>zndkh.ru</t>
  </si>
  <si>
    <t>ЗАРУБЕЖНЕФТЬ, АО (5 956 000 000 руб., 99.98%)
ЗН ДОБЫЧА, ООО (1 000 000 руб., 0.016%)</t>
  </si>
  <si>
    <t>875 060 000</t>
  </si>
  <si>
    <t>gfublkb@mail.ru, info@zaspl.com, kondratev@zaspl.com, nosalmv@zaspl.com, ruleva@zaspl.com, tsydenovag@zaspl.com</t>
  </si>
  <si>
    <t>zasplav.ru</t>
  </si>
  <si>
    <t>57 070 000</t>
  </si>
  <si>
    <t>zvezda@forpost21.ru</t>
  </si>
  <si>
    <t>Егоров Андрей Николаевич (6 667 руб., 66.67%)
ЛОГИСТИЧЕСКИЙ ЦЕНТР М7, ООО (3 333 руб., 33.33%)</t>
  </si>
  <si>
    <t>7810285325@eo.tensor.ru, sinyavina.t@nevastar.ru</t>
  </si>
  <si>
    <t>www.nevastar.ru</t>
  </si>
  <si>
    <t>КОРПОРАЦИЯ АВТОКАПИТАЛ, АО (15 000 000 руб., 100%)</t>
  </si>
  <si>
    <t>240 700 000</t>
  </si>
  <si>
    <t>info@zvenigov.com, info@zvenigov.ru</t>
  </si>
  <si>
    <t>Казанков Иван Иванович (500 000 руб., 99.01%)
Казанков Сергей Иванович (5 000 руб., 0.99%)</t>
  </si>
  <si>
    <t>ЗВЕНИГОВСКИЙ, ООО МЯСОКОМБИНАТ (570 000 руб., 100%)</t>
  </si>
  <si>
    <t>zg1@list.ru</t>
  </si>
  <si>
    <t>zgstm.ru</t>
  </si>
  <si>
    <t>Зарудный Владимир Семенович (10 504 200 руб., 50%)
ПРАЙМ, ООО (10 504 200 руб., 50%)</t>
  </si>
  <si>
    <t>938 320 000</t>
  </si>
  <si>
    <t>degtyarevams@zferma.com</t>
  </si>
  <si>
    <t>АПК МИХАЙЛОВСКИЙ, ООО (10 000 руб., 100%)</t>
  </si>
  <si>
    <t>zavgorodnaya@s-zdorovie.ru</t>
  </si>
  <si>
    <t>Слепов Юрий Васильевич (50 000 руб., 100%)</t>
  </si>
  <si>
    <t>17 170 000</t>
  </si>
  <si>
    <t>22onls_be_opt@zdravservice.ru, 402902@mail.ru, _a@zdravservice.ru, a@zdravservice.ru, abashina_m@zdravservice.ru, afomina@zdravservice.ru, belikova_o@zdravservice.ru, bokareva_e@zdravservice.ru, buy@zdravservice.ru, com_sales@zdravservice.ru</t>
  </si>
  <si>
    <t>www.zdravservice.com, zdesapteka.ru</t>
  </si>
  <si>
    <t>ЗДЕСЬ АПТЕКА, ООО (100 000 руб., 100%)</t>
  </si>
  <si>
    <t>68 930 000</t>
  </si>
  <si>
    <t>alekseeva@ssnab.ru</t>
  </si>
  <si>
    <t>www.ssnab.ru</t>
  </si>
  <si>
    <t>Черников Денис Львович (29 418 032 руб., 98%)
Черникова Любовь Михайловна (600 368 руб., 2%)</t>
  </si>
  <si>
    <t>49 700 000</t>
  </si>
  <si>
    <t>buh@spk-greencity.ru, bux@spb-greencity.ru, bux@spk-greencity.ru, shmidtd@mail.ru, zelgorod@inbox.ru</t>
  </si>
  <si>
    <t>spk-greencity.ru</t>
  </si>
  <si>
    <t>Лукашов Виталий Викторович (6 100 руб., 61%)
Баевский Григорий Савельевич (2 087 руб., 20.87%)
ЗЕЛЕНЫЙ ГРАД, ООО ДСК (1 813 руб., 18.13%)</t>
  </si>
  <si>
    <t>119 100 000</t>
  </si>
  <si>
    <t>dim_nik13@mail.ru</t>
  </si>
  <si>
    <t>Никулин Дмитрий Игоревич (5 000 руб., 50%)
Розен Эрез (5 000 руб., 50%)</t>
  </si>
  <si>
    <t>864 210 000</t>
  </si>
  <si>
    <t>МЦЦР БЕТАЙЛИГУНГС ГМБХ (10 100 000 руб., 100%)</t>
  </si>
  <si>
    <t>zds.vrn@yandex.ru</t>
  </si>
  <si>
    <t>Казарян Гурген Сурикович (10 000 руб., 100%)</t>
  </si>
  <si>
    <t>45 990 000</t>
  </si>
  <si>
    <t>uo-01@zem-sugar.ru, zem-sax@sura.ru, zem_sax@mail.ru</t>
  </si>
  <si>
    <t>1 463 360 000</t>
  </si>
  <si>
    <t>info@zemlyakoff.ru</t>
  </si>
  <si>
    <t>zemlyakoff.com</t>
  </si>
  <si>
    <t>Земляков Антон Алексеевич (15 000 руб., 50%)
Сорванов Дмитрий Геннадиевич (15 000 руб., 50%)</t>
  </si>
  <si>
    <t>138 090 000</t>
  </si>
  <si>
    <t>info@zemmoloko.ru</t>
  </si>
  <si>
    <t>zemmoloko.ru</t>
  </si>
  <si>
    <t>Романов Андрей Евгеньевич (21 203 535 руб., 77.50%)
Пономарев Андрей Валерьевич (6 155 865 руб., 22.50%)</t>
  </si>
  <si>
    <t>58 980 000</t>
  </si>
  <si>
    <t>llczenith16@gmail.com</t>
  </si>
  <si>
    <t>zenit-oil.ru</t>
  </si>
  <si>
    <t>Акопян Левон Гарникович (10 000 руб., 100%)</t>
  </si>
  <si>
    <t>36 300 000</t>
  </si>
  <si>
    <t>avsh@fc-zenit.ru</t>
  </si>
  <si>
    <t>www.gazprom-arena.com</t>
  </si>
  <si>
    <t>ФК ЗЕНИТ, АО (10 000 руб., 100%)</t>
  </si>
  <si>
    <t>449 670 000</t>
  </si>
  <si>
    <t>marina.bratchuk@zentiva.ru, medeya.grishakova@alvogen.com</t>
  </si>
  <si>
    <t>www.zentiva.ru</t>
  </si>
  <si>
    <t>AI Excalibur (Luxembourg) S.a r.l. (10 000 руб., 99.01%)
AI Sirona (Luxembourg) Acquisition S.a r.l. (100 руб., 0.99%)</t>
  </si>
  <si>
    <t>lybov@zerno-torg.com, tatyana@zerno-torg.com, zakupka@zerno-torg.com</t>
  </si>
  <si>
    <t>Миталимов Тарлан Таджатинович (10 000 руб., 100%)</t>
  </si>
  <si>
    <t>47 040 000</t>
  </si>
  <si>
    <t>info@zerno-trade.biz, potapov@zerno-trade.biz</t>
  </si>
  <si>
    <t>ТСРЗ, ООО (10 000 руб., 100%)</t>
  </si>
  <si>
    <t>1 250 000</t>
  </si>
  <si>
    <t>a.fadeeva@afg-national.ru, nvp@afg-national.ru, zaonvp@mail.ru</t>
  </si>
  <si>
    <t>http://afg-national.ru/</t>
  </si>
  <si>
    <t>АФГ НАЦИОНАЛЬ, ООО (2 016 362 551.56 руб., 100%)</t>
  </si>
  <si>
    <t>78 280 000</t>
  </si>
  <si>
    <t>i.shagovik@efko.ru</t>
  </si>
  <si>
    <t>19 420 000</t>
  </si>
  <si>
    <t>apk-kursk@apkholding.ru, apk-kursk@dmitrogorsky.ru, tgorbova@apkholding.ru</t>
  </si>
  <si>
    <t>Гвоздев Дмитрий Владимирович (1 000 000 руб., 100%)</t>
  </si>
  <si>
    <t>office@zettek.ru</t>
  </si>
  <si>
    <t>zettek.ru</t>
  </si>
  <si>
    <t>ЗЕТХОЛДИНГ, ООО (500 000 руб., 100%)</t>
  </si>
  <si>
    <t>info@ru.sika.com, info@sika.ru, shparaga.tatiana@ru.sika.com</t>
  </si>
  <si>
    <t>www.rus.sika.com, www.sika.ru</t>
  </si>
  <si>
    <t>КОМПАНИЯ "ЗИКА АГ" (535 339 767.04 руб., 100%)</t>
  </si>
  <si>
    <t>138 180 000</t>
  </si>
  <si>
    <t>info@podolskmash.ru, referent@podolskmash.ru, security@podolskmash.ru</t>
  </si>
  <si>
    <t>www.podolskmash.ru</t>
  </si>
  <si>
    <t>АБ ЭНЕРГО-АКТИВ, ООО (28.66%)
АБ КОНСАЛТ, ООО (14%)
Рожко Александр Николаевич (13.96%)
Даниленко Виктор Георгиевич (13.96%)
Носаль Василий Иванович (11.49%)
Сидоренко Екатерина Евгеньевна (11.46%)</t>
  </si>
  <si>
    <t>Производство паровых котлов, кроме котлов центрального отопления</t>
  </si>
  <si>
    <t>zio-zdorovie@mail.ru, zio@zio-zdorovie.ru</t>
  </si>
  <si>
    <t>zio-zdorovie.ru</t>
  </si>
  <si>
    <t>878 460 000</t>
  </si>
  <si>
    <t>info@zirax.com, sales@globalkaustik, sales@zirax.com</t>
  </si>
  <si>
    <t>www.zirax.ru</t>
  </si>
  <si>
    <t>КАУСТИК, АО (79 999 200 руб., 99.99%)
Азизов Эльдор Энгленович (800 руб., 0.0010%)</t>
  </si>
  <si>
    <t>24 600 000</t>
  </si>
  <si>
    <t>ks@zitar.ru</t>
  </si>
  <si>
    <t>www.zitar.ru</t>
  </si>
  <si>
    <t>Тавлинцев Михаил Геннадиевич (8 500 руб., 85%)
Карзалова Ольга Юрьевна (500 руб., 5%)
Тавлинцева Наталья Геннадьевна (500 руб., 5%)
Тавлинцева Татьяна Владиславовна (500 руб., 5%)</t>
  </si>
  <si>
    <t>232 640 000</t>
  </si>
  <si>
    <t>amelkina@zitar.ru</t>
  </si>
  <si>
    <t>Тавлинцева Наталья Геннадьевна (10 000 руб., 100%)</t>
  </si>
  <si>
    <t>53 650 000</t>
  </si>
  <si>
    <t>maysecr@mayskoye.ru, maysecr@polymetal.ru, pa@polymetal.ru</t>
  </si>
  <si>
    <t>ПОЛИМЕТАЛЛ, АО (8 123 398 700 руб., 100%)</t>
  </si>
  <si>
    <t>2 711 330 000</t>
  </si>
  <si>
    <t>collega.oren@yandex.ru, zk-ofis@mail.ru</t>
  </si>
  <si>
    <t>Бикеев Альберт Камильевич (10 000 руб., 100%)</t>
  </si>
  <si>
    <t>9 860 000</t>
  </si>
  <si>
    <t>i.shagovik@efko.ru, o.vishnevskaya@efko.ru</t>
  </si>
  <si>
    <t>http://export.efko.ru/</t>
  </si>
  <si>
    <t>34 240 000</t>
  </si>
  <si>
    <t>i.gorbashov@uralceramica.ru, putrick@uralceramica.ru, www.uralceramica.ru, www.zki@uralceramica.ru</t>
  </si>
  <si>
    <t>uralceramica.ru</t>
  </si>
  <si>
    <t>ПРОФИ, ООО (96.90%)</t>
  </si>
  <si>
    <t>353 930 000</t>
  </si>
  <si>
    <t>kpdtdsk@gmail.com, mail@zkpd.su, zkpdtdsk@mail.tomsknet.ru</t>
  </si>
  <si>
    <t>www.zkpd.su</t>
  </si>
  <si>
    <t>ТДСК, ОАО (14 081 руб., 100%)</t>
  </si>
  <si>
    <t>keramin_s@snehinsk.ru, sekretar@uralgres.com, sekretar@zk.ru</t>
  </si>
  <si>
    <t>www.uralgres.com, zks.ru</t>
  </si>
  <si>
    <t>Лукиянчук Николай Федорович (32 375 000 руб., 33.40%)
Белошицкий Алексей Георгиевич (32 051 250 руб., 33.07%)
Белошицкий Евгений Алексеевич (16 251 325 руб., 16.77%)
Дубовик Елена Алексеевна (16 239 300 руб., 16.76%)</t>
  </si>
  <si>
    <t>alex300479@yandex.ru, info@zmk.most.ooo, office@zmk.most.ooo, zdomsky_ab@zmk.most.ooo, zmkmost@mail.ru, zmkomsk@mail.ru</t>
  </si>
  <si>
    <t>МОСТ, ООО (1 000 000 руб., 100%)</t>
  </si>
  <si>
    <t>a.isaev@zelmolkom.ru, a.kadurmyatova@zemolkom.ru, a.kadyrmyatova@zeimolkom.ru, a.kadyrmyatova@zelmolcom.ru, a.kadyrmyatova@zelmolkom.ru, a.kadyrmyatova@zemelkom.ru, a.kadyumyatova@zelmolkom.ru, a.tagirova@zelmolkom.ru, cecretar@zelmolkom.ru, chdcvcvj@mail.ru</t>
  </si>
  <si>
    <t>http://zelmolkom.ru/catalog</t>
  </si>
  <si>
    <t>85 870 000</t>
  </si>
  <si>
    <t>zmk@engels.san.ru</t>
  </si>
  <si>
    <t>www.ezmk.ru</t>
  </si>
  <si>
    <t>Производство несамоходных железнодорожных, трамвайных и прочих вагонов для перевозки грузов</t>
  </si>
  <si>
    <t>brykina@zavolzhskoe.ru, info.zmk@zavolzhskoe.ru</t>
  </si>
  <si>
    <t>zmktver.ru</t>
  </si>
  <si>
    <t>КОПИТАНИЯ, ООО (200 000 руб., 100%)</t>
  </si>
  <si>
    <t>Производство мяса в охлажденном виде</t>
  </si>
  <si>
    <t>6 630 000</t>
  </si>
  <si>
    <t>buh.n@zmkfs.ru, info.n@zmkfs.ru</t>
  </si>
  <si>
    <t>Курбанов Роберт Борисович (24 000 руб., 100%)</t>
  </si>
  <si>
    <t>Производство прочих готовых металлических изделий, не включенных в другие группировки</t>
  </si>
  <si>
    <t>74 000 000</t>
  </si>
  <si>
    <t>info@eastpetrotech.com, zn.vostok@nestro.ru</t>
  </si>
  <si>
    <t>ДОБЫЧА-АКТИВЫ, ООО (9 990 000 руб., 99.90%)
Ахмадеев Альберт Ахматхабибович (10 000 руб., 0.10%)</t>
  </si>
  <si>
    <t>comendant@nsgc.ru, info@nsgc.ru, lagutina@nsgc.ru, sekretariat@znamenskoe.com</t>
  </si>
  <si>
    <t>дюрок.рф</t>
  </si>
  <si>
    <t>АВК ЭКСИМА, ЗАО (7 361 486.49 руб., 100%)</t>
  </si>
  <si>
    <t>2 164 410 000</t>
  </si>
  <si>
    <t>oao_znamy@mail.ru, oao_znamya@mail.ru, oao_znavmya@mail.ru</t>
  </si>
  <si>
    <t>dubkova_t_b@moekproekt.ru, geh-tsp@geh-tsp.ru, moekproekt@moekproekt.ru</t>
  </si>
  <si>
    <t>geh-tsp.ru, www.oaomoek.ru</t>
  </si>
  <si>
    <t>108 820 000</t>
  </si>
  <si>
    <t>buhzok@slk.ru, dnm76@mail.ru, oaoshzmk@yandex.ru, zok@zok-ural.ru</t>
  </si>
  <si>
    <t>www.slk.ru</t>
  </si>
  <si>
    <t>70 290 000</t>
  </si>
  <si>
    <t>5406119655@cft.ru, 5406119655@ftc.ru, 5406119655@zolotayakorona.ru, d.zuryanov@ftc.ru, korona@korona@net, v.smolenskaya@ftc.ru</t>
  </si>
  <si>
    <t>http://koronacard.ru</t>
  </si>
  <si>
    <t>1 369 630 000</t>
  </si>
  <si>
    <t>Шевелев Евгений Климентьевич (29 015 880 руб., 50%)
Шевелева Татьяна Владимировна (29 015 880 руб., 50%)</t>
  </si>
  <si>
    <t>ЮГ РУСИ, ООО (968 357.15 руб., 99.99%)
ЮГ РУСИ-ЗОЛОТАЯ СЕМЕЧКА, ООО (96.85 руб., 0.010%)</t>
  </si>
  <si>
    <t>53 070 000</t>
  </si>
  <si>
    <t>info@polymetal.ru</t>
  </si>
  <si>
    <t>www.polymetalinternational.com</t>
  </si>
  <si>
    <t>837 470 000</t>
  </si>
  <si>
    <t>lawyer@seligdar.ru, seligdar@aldan.sakha.ru, seligdar@seligdar.ru</t>
  </si>
  <si>
    <t>3 435 530 000</t>
  </si>
  <si>
    <t>mail@sa-zy.ru, pau_psi@rambler.ru, pau_zy@mail.ru</t>
  </si>
  <si>
    <t>ГПФК, АО (151 175 руб., 51.12%)
Попов Юрий Александрович (70 285 руб., 23.77%)
Потапов Юрий Алексеевич (59 140 руб., 20%)
Красикова Светлана Михайловна (15 100 руб., 5.11%)</t>
  </si>
  <si>
    <t>288 380 000</t>
  </si>
  <si>
    <t>info@zsgold.ru</t>
  </si>
  <si>
    <t>ЗОЛОТОЙ СТАНДАРТ, ООО ТПЮД (90 000 руб., 90%)
Тувальбаев Булат Гарифович (10 000 руб., 10%)</t>
  </si>
  <si>
    <t>dab@agromoloko.ru, sec_kmsi@zolotie-luga.ru, sekretariat@zolotie-luga.ru, zolotluga@mail.ru</t>
  </si>
  <si>
    <t>59 190 000</t>
  </si>
  <si>
    <t>buh@zoostandart.ru, info@zoostandart.ru</t>
  </si>
  <si>
    <t>www.zoostandart.ru</t>
  </si>
  <si>
    <t>Князев Сергей Петрович (122 580 руб., 40.86%)
Сильвестров Алексей Сергеевич (122 580 руб., 40.86%)
Бухенко Геннадий Владимирович (51 612 руб., 17.20%)
Галахов Сергей Алексеевич (3 228 руб., 1.08%)</t>
  </si>
  <si>
    <t>4 130 000</t>
  </si>
  <si>
    <t>zavod@banka-pet.ru</t>
  </si>
  <si>
    <t>440 510 000</t>
  </si>
  <si>
    <t>alternat@mail.ru, buhzpi@alternat.ru</t>
  </si>
  <si>
    <t>www.alternat.ru</t>
  </si>
  <si>
    <t>Фахретдинов Раиль Камилович (115 204 000 руб., 48.12%)
Камаев Артур Айратович (65 676 500 руб., 27.43%)
Камаев Линур Айратович (58 532 500 руб., 24.45%)</t>
  </si>
  <si>
    <t>3 120 000</t>
  </si>
  <si>
    <t>buh4@ecookna.ru</t>
  </si>
  <si>
    <t>Филоненко Андрей Владимирович (10 000 руб., 100%)</t>
  </si>
  <si>
    <t>6 810 000</t>
  </si>
  <si>
    <t>Жариков Максим Александрович (10 000 руб., 100%)</t>
  </si>
  <si>
    <t>Производство прочих стальных изделий первичной обработкой</t>
  </si>
  <si>
    <t>inna-shevchuk@mail.ru, priemnaya@llczssk.ru, tender@llczssk.ru, zssk2011@mail.ru</t>
  </si>
  <si>
    <t>Зинченко Дмитрий Николаевич (12 500 руб., 100%)</t>
  </si>
  <si>
    <t>157 730 000</t>
  </si>
  <si>
    <t>СГМК, ООО УК (20 000 руб., 100%)</t>
  </si>
  <si>
    <t>259 970 000</t>
  </si>
  <si>
    <t>fkuuch2@mail.ru, info@zti.ru, julia.tsybka@zti.ru, msk@zti.ru, sib@zti.ru, smr@zti.ru, yaroslav.deryavskiy@zti.ru, zti@mail.ru</t>
  </si>
  <si>
    <t>Оганесян Гамлет Маратович (10 000 руб., 100%)</t>
  </si>
  <si>
    <t>21 180 000</t>
  </si>
  <si>
    <t>Оганесян Айк Маратович (10 000 руб., 50%)
Оганесян Гамлет Маратович (10 000 руб., 50%)</t>
  </si>
  <si>
    <t>78 560 000</t>
  </si>
  <si>
    <t>sekretar@ztkt.ru</t>
  </si>
  <si>
    <t>ТАМАНЬ ИНВЕСТ, ЗАО (1 415 396 381.58 руб., 99.90%)
ТАМАНЬ ГРЭЙН ТЕРМИНАЛ ХОЛДИНГС ЛИМИТЕД (1 416 813.19 руб., 0.10%)</t>
  </si>
  <si>
    <t>Хранение и складирование зерна</t>
  </si>
  <si>
    <t>1 109 880 000</t>
  </si>
  <si>
    <t>zaozubrovk@mail.ru</t>
  </si>
  <si>
    <t>zubr.ru</t>
  </si>
  <si>
    <t>zoomlion28@mail.ru</t>
  </si>
  <si>
    <t>Байло Илья Александрович (10 000 руб., 100%)</t>
  </si>
  <si>
    <t>37 550 000</t>
  </si>
  <si>
    <t>o.lipovtsev@zoomlion.com</t>
  </si>
  <si>
    <t>zoomlionheavy.ru</t>
  </si>
  <si>
    <t>ЗУМЛИОН ЛЮКСЕМБУРГ ИНВЕСТМЕНТ ХОЛДИНГС С.а.р.л. (31 680 000 руб., 99%)
ЗУМЛИОН СИНГАПУР ИНВЕСТМЕНТ ХОЛДИНГС ПТЕ (320 000 руб., 1%)</t>
  </si>
  <si>
    <t>torgi.igrupp@gmail.com</t>
  </si>
  <si>
    <t>i-groupcompany.ru</t>
  </si>
  <si>
    <t>Татошвили Майя Владимировна (1 100 000 руб., 100%)</t>
  </si>
  <si>
    <t>24 660 000</t>
  </si>
  <si>
    <t>yakov@grusovsky.ru</t>
  </si>
  <si>
    <t>Грусовский Яков Вячеславович (5 000 руб., 50%)
Петраковский Сергей Германович (5 000 руб., 50%)</t>
  </si>
  <si>
    <t>97 390 000</t>
  </si>
  <si>
    <t>moskalczova@realweb.ru, msk@realweb.ru</t>
  </si>
  <si>
    <t>realweb.ru</t>
  </si>
  <si>
    <t>ПУБЛИЧНАЯ КОМПАНИЯ С ОГРАНИЧЕННОЙ ОТВЕТСТВЕННОСТЬЮ КИВИ ПИЭЛСИ (30 000 руб., 75%)
КОМПАНИЯ С ОГРАНИЧЕННОЙ ОТВЕТСТВЕННОСТЬЮ "ЭНЕРОНА ХОЛДИНГ ЛИМИТЕД" (10 000 руб., 25%)</t>
  </si>
  <si>
    <t>283 860 000</t>
  </si>
  <si>
    <t>agaluzo@tepr.ru, ililishenceva@tcpr.ru, mgoloushina@tcpr.ru, msokolov@tcpr.ru</t>
  </si>
  <si>
    <t>iat.ru, toyotacenter.ru</t>
  </si>
  <si>
    <t>601 090 000</t>
  </si>
  <si>
    <t>ibs@ibs.ru, info@ibs-infinisoft.ru, kvetrova@luxoft.com</t>
  </si>
  <si>
    <t>www.globalcareer.ru, www.ibs-infinisoft.ru, www.ibs-training.ru</t>
  </si>
  <si>
    <t>ИБС ИТ УСЛУГИ, АО (4 950 000 руб., 99%)
ИБС, ООО (50 000 руб., 1%)</t>
  </si>
  <si>
    <t>890 860 000</t>
  </si>
  <si>
    <t>info@ibs-business.ru, tendersoft@ibs.ru</t>
  </si>
  <si>
    <t>ИБС ИТ УСЛУГИ, АО (454 545 000 руб., 99.90%)
ИБС ЭКСПЕРТИЗА, ООО (455 000 руб., 0.10%)</t>
  </si>
  <si>
    <t>egilmanova@ibs.ru, llibkin@ibs.ru, ndevyshina@ibs.ru, pressa@ibs.ru, tender@ibs.ru</t>
  </si>
  <si>
    <t>www.ibs.ru</t>
  </si>
  <si>
    <t>ИБС ИТ УСЛУГИ, АО (535 046 490 руб., 99.99%)
ИБС СОФТ, ООО (53 510 руб., 0.010%)</t>
  </si>
  <si>
    <t>647 290 000</t>
  </si>
  <si>
    <t>dgalushkin@bk.ru, info@ibtmos.com</t>
  </si>
  <si>
    <t>КОМПАНИЯ ВИЛЕН ЛИМИТЕД (5 000 000 руб., 50%)
КОМПАНИЯ С ОГРАНИЧЕННОЙ ОТВЕТСТВЕННОСТЬЮ "ВОЛАХАН ИНВЕСТМЕНТС ЛИМИТЕД" (5 000 000 руб., 50%)</t>
  </si>
  <si>
    <t>995 360 000</t>
  </si>
  <si>
    <t>www.yves-rocher.ru</t>
  </si>
  <si>
    <t>ОБЩЕСТВО С ОГРАНИЧЕННОЙ ОТВЕТСТВЕННОСТЬЮ "ИВ РОШЕ ИНТЕРНЭШНЛ" (8 139 024 руб., 100%)</t>
  </si>
  <si>
    <t>eagshsrth@mnb.jh, privolzhsk@ose.esk.ivanovo.ru, shu1@oes37.ru, ssu@esk-ivanovo.ru, ssu@ivanovo.ru, vichuga@ose.eskivanovo.ru</t>
  </si>
  <si>
    <t>esk-ivanovo.ru</t>
  </si>
  <si>
    <t>ИВАНОВОЭНЕРГОСБЫТ, ООО (244 004.4 руб., 75.31%)
БЕРТРАНС ИНК. (BERTRANS INC.) (79 995.6 руб., 24.69%)</t>
  </si>
  <si>
    <t>1 680 000</t>
  </si>
  <si>
    <t>ivers@ivers.ru</t>
  </si>
  <si>
    <t>www.ivers.ru</t>
  </si>
  <si>
    <t>Науман Эдуард Ленарович (20 000 руб., 100%)</t>
  </si>
  <si>
    <t>content@ivi.ru, egranitova@ivi.ru</t>
  </si>
  <si>
    <t>netstream.ru, www.ivi.ru, www.ivi.tv</t>
  </si>
  <si>
    <t>IVI.RU MEDIA LIMITED (2 950 374 295.17 руб., 100%)</t>
  </si>
  <si>
    <t>КОМБИНИРОВАННЫЙ ЗАКРЫТЫЙ ПАЕВОЙ ИНВЕСТИЦИОННЫЙ ФОНД "ГАММА КАПИТАЛ" ПОД УПРАВЛЕНИЕМ ОБЩЕСТВА С ОГРАНИЧЕННОЙ ОТВЕТСТВЕННОСТЬЮ "УПРАВЛЯЮЩАЯ КОМПАНИЯ "АБСОЛЮТ ЭССЕТ МЕНЕДЖМЕНТ" (9 745 758 000 руб., 100%)</t>
  </si>
  <si>
    <t>9 448 560 000</t>
  </si>
  <si>
    <t>Шостак Алиса Алексеевна (3 750 000 руб., 75%)
Кебадзе Александр Сергеевич (1 250 000 руб., 25%)</t>
  </si>
  <si>
    <t>info@spbvino.ru</t>
  </si>
  <si>
    <t>spbvino.ru</t>
  </si>
  <si>
    <t>199 320 000</t>
  </si>
  <si>
    <t>info@ids-borjomi.ru, torgi@ids-borjomi.ru</t>
  </si>
  <si>
    <t>https://www.borjomi.com/ru/, https://www.ids-borjomi.com/</t>
  </si>
  <si>
    <t>КОМПАНИЯ "ХАЙРОАД ХОЛДИНГС ЛИМИТЕД" (HIGHROAD HOLDINGS LIMITED) (12 000 000 руб., 100%)</t>
  </si>
  <si>
    <t>fefilova@izhavia.aero, kanc@izhavia.aero, kanc@izhavia.su, office@izhavia.su, sassinel@mail.ru</t>
  </si>
  <si>
    <t>www.izhavia.su</t>
  </si>
  <si>
    <t>darya.plotnikova@rimera.com, izhneftemash@rimera.com, office@izhneftemash.ru, sergey.andreev@rimera.com, svetlana.sannikova@rimera.com</t>
  </si>
  <si>
    <t>РИМЕРА, АО (51.99%)
Комаров Андрей Ильич (42.35%)</t>
  </si>
  <si>
    <t>91 810 000</t>
  </si>
  <si>
    <t>info@kaslock.ru, itm@itm.ru, itm@itm.su</t>
  </si>
  <si>
    <t>www.itm.udm.ru</t>
  </si>
  <si>
    <t>139 960 000</t>
  </si>
  <si>
    <t>belstroi@bks.izhnet.ru, office@izhenergy.ru</t>
  </si>
  <si>
    <t>www.izhenergy.ru</t>
  </si>
  <si>
    <t>КОМПАНИЯ С ОГРАНИЧЕННОЙ ОТВЕТСТВЕННОСТЬЮ "ЭСТЕРМУР ЭНТЕРПРАЙЗИС ЛИМИТЕД" (20 000 руб., 100%)</t>
  </si>
  <si>
    <t>70 120 000</t>
  </si>
  <si>
    <t>fax@izberdey.ru, law@izberdey.ru</t>
  </si>
  <si>
    <t>55 140 000</t>
  </si>
  <si>
    <t>24124@mail.ru, akvil_sb@mal.ru, atticu@group.ru, attikus@info.ru, attikus@mail.ru, azbukaa@mail.ru, azinfo@mail.ru, centbibl@yandex.ru, info@azbooka.ru, orlova@azbooka.spb.ru</t>
  </si>
  <si>
    <t>azbooka.ru</t>
  </si>
  <si>
    <t>ИЗДАТЕЛЬСТВО АСТ, ООО (923 080 780.25 руб., 100%)</t>
  </si>
  <si>
    <t>Издание книг</t>
  </si>
  <si>
    <t>677 520 000</t>
  </si>
  <si>
    <t>prof-press.ru</t>
  </si>
  <si>
    <t>Шалай Святослав Геннадьевич (15 600 руб., 100%)</t>
  </si>
  <si>
    <t>Производство бумажных канцелярских принадлежностей</t>
  </si>
  <si>
    <t>158 850 000</t>
  </si>
  <si>
    <t>a.plotnikova@ast.ru, ask@ast.ru, astfv@mail.ru, babiy.mv@eksmo-ast.ru, bibliotekash@yandex.ru, biblotdel@ast.ru, e.emchinova@ast.ru, e.lipatova@ast.ru, efimova@ast.ru, hr@ast.ru</t>
  </si>
  <si>
    <t>www.ast.ru</t>
  </si>
  <si>
    <t>ПАСИЛО ИНВЕСТМЕНТС ЛИМИТЕД (4 400 руб., 44%)
АКЦИОНЕРНОЕ ОБЩЕСТВО "ПРОМИРЕКС КОРП." (2 400 руб., 24%)
МЕЖДУНАРОДНАЯ КОММЕРЧЕСКАЯ КОМПАНИЯ "М.Р.К. АЛЬЯНС С.А. ЛИМИТЕД" (2 400 руб., 24%)
Гришков Павел Анатольевич (600 руб., 6%)
Богуславский Александр Олегович (100 руб., 1%)
Горская Татьяна Владимировна (100 руб., 1%)</t>
  </si>
  <si>
    <t>552 370 000</t>
  </si>
  <si>
    <t>1018@mail.ru, 3azakaz_uko@bk.ru, 7715995942@mail.ru, 7825200@mail.ru, academy@prosv.ru, achudinov@prosv.ru, agaydas@prosv.ru, agorshilina@prosv.ru, alekseil@mail.ru, aofd@mail.ru</t>
  </si>
  <si>
    <t>www.prosv.ru</t>
  </si>
  <si>
    <t>Издание книг, брошюр, рекламных буклетов и аналогичных изданий, включая издание словарей и энциклопедий, в том числе для слепых, в печатном виде</t>
  </si>
  <si>
    <t>10 287 230 000</t>
  </si>
  <si>
    <t>aksmo@yandex.ru, biblioteka@eksmo.ru, eksmo@mail.ru, elanskaya.ev@nsk.eksmo.ru, exmo@mail.ru, holkin.ia@ekat.eksmo.ru, ignatova.ng@rnd.eksmo.ru, iksmo@mail.ru, imaket@book24.ru, imarket@book24.tu</t>
  </si>
  <si>
    <t>www.eksmo.ru</t>
  </si>
  <si>
    <t>Емельянова Марина Сергеевна (13 582 308.98 руб., 31%)
КОМПАНИЯ СЕВОРНА ЛИМИТЕД (11 829 443.25 руб., 27%)
МЕЖДУНАРОДНАЯ КОММЕРЧЕСКАЯ КОМПАНИЯ "РЕДКЛИФФ ХОЛДИНГ ЛИМИТЕД" (9 638 765.71 руб., 22%)
Костюков Александр Александрович (3 066 920.31 руб., 7%)
Цодоков Илья Евгеньевич (3 066 920.31 руб., 7%)
Черняк Александр Сергеевич (2 628 788.84 руб., 6%)</t>
  </si>
  <si>
    <t>528 640 000</t>
  </si>
  <si>
    <t>easy-media.ru</t>
  </si>
  <si>
    <t>Смышляев Михаил Владимирович (500 000 руб., 100%)</t>
  </si>
  <si>
    <t>114 220 000</t>
  </si>
  <si>
    <t>anchutkina_ov@toyota-i.ru, stepanova_lv@toyota-i.ru</t>
  </si>
  <si>
    <t>www.toyota-i.ru, www.toyota-izmailovo.ru</t>
  </si>
  <si>
    <t>Мальгин Игорь Вячеславович (4 800 руб., 48%)
Васильченко Тамара Александровна (2 700 руб., 27%)
Савицкий Сергей Николаевич (2 500 руб., 25%)</t>
  </si>
  <si>
    <t>350 940 000</t>
  </si>
  <si>
    <t>lower1980@mail.ru, vera-gven@mail.ru</t>
  </si>
  <si>
    <t>hpp48.ru</t>
  </si>
  <si>
    <t>15 280 000</t>
  </si>
  <si>
    <t>ahmadeevar@iztt.ru</t>
  </si>
  <si>
    <t>iztt.ru</t>
  </si>
  <si>
    <t>Величко Сергей Борисович (252 350.1 руб., 45%)
Тимошенко Михаил Валерьевич (252 350.1 руб., 45%)
Швец Максим Георгиевич (56 077.8 руб., 10%)</t>
  </si>
  <si>
    <t>604 000 000</t>
  </si>
  <si>
    <t>region@regnm.ru</t>
  </si>
  <si>
    <t>www.region.ru</t>
  </si>
  <si>
    <t>1 772 180 000</t>
  </si>
  <si>
    <t>ikenergia@yandex.ru, info@ikenergya.com, tender@ikenergya.com</t>
  </si>
  <si>
    <t>ИНТЕРСТРОЙ, ООО (1 000 000 руб., 100%)</t>
  </si>
  <si>
    <t>163 430 000</t>
  </si>
  <si>
    <t>www.ikea.com, www.ikea.ru</t>
  </si>
  <si>
    <t>Компания "ИНГКА Холдинг Юроп Б.В." (684 573 566.6 руб., 100%)</t>
  </si>
  <si>
    <t>424 710 000</t>
  </si>
  <si>
    <t>Борисик Александр Павлович (10 000 руб., 100%)</t>
  </si>
  <si>
    <t>Торговля розничная рыбой, ракообразными и моллюсками в специализированных магазинах</t>
  </si>
  <si>
    <t>136 740 000</t>
  </si>
  <si>
    <t>natalia.khoreva@x5.ru</t>
  </si>
  <si>
    <t>КОРПОРАТИВНЫЙ ЦЕНТР ИКС 5, ООО (2 000 000 руб., 100%)</t>
  </si>
  <si>
    <t>Деятельность агентов по оптовой торговле универсальным ассортиментом товаров</t>
  </si>
  <si>
    <t>denis@tdl.spb.ru, tatiana.fedina@x5.ru</t>
  </si>
  <si>
    <t>1 257 120 000</t>
  </si>
  <si>
    <t>a.kondarina@iks.direct.ru, a.koteneva@iks.plus, hjfgyfhg@mail.ru, iksoz@iks.direct.ru, oz@iks.plus, ozt.realis@mail.ru, u.deputatova@iks.plus, usv@iks.plus, v.deputatova@iks.plus</t>
  </si>
  <si>
    <t>ИКС, ООО (100 000 руб., 100%)</t>
  </si>
  <si>
    <t>info@x-pharm.ru, uuuuuu@mail.ru</t>
  </si>
  <si>
    <t>Пипко Андрей Григорьевич (10 000 руб., 100%)</t>
  </si>
  <si>
    <t>ixcellerate.ru, www.ixcellerate.com</t>
  </si>
  <si>
    <t>IXCELLERATE LIMITED (1 000 000 руб., 100%)</t>
  </si>
  <si>
    <t>458 160 000</t>
  </si>
  <si>
    <t>Смирнов Александр Николаевич (10 000 руб., 100%)</t>
  </si>
  <si>
    <t>brineva1@yandex.ru, office@ilfnnorilsk.ru, zamgendir@ilannorilsk.ru</t>
  </si>
  <si>
    <t>ЧАТ ХОЛДИНГ, ООО (10 000 руб., 100%)</t>
  </si>
  <si>
    <t>ileko.tend@mail.ru</t>
  </si>
  <si>
    <t>ileko..com, ileko.com</t>
  </si>
  <si>
    <t>Белобров Александр Иванович (5 000 000 руб., 100%)</t>
  </si>
  <si>
    <t>477 040 000</t>
  </si>
  <si>
    <t>elena.ilchuk@usk.ilimgroup.ru</t>
  </si>
  <si>
    <t>737 030 000</t>
  </si>
  <si>
    <t>irina.slesareva@ilimtimber.com, ludmila.kosolapova@ilimtimber.com, office@ilimtimber.com, yuriy.mordovin@ilimtimber.com</t>
  </si>
  <si>
    <t>www.ilimtimber.com</t>
  </si>
  <si>
    <t>КОМПАНИЯ "ILIM TIMBER CONTINENTAL SA" (1 052 260 000 руб., 99.99%)
Леонов Никита Борисович (800 руб., 0.00010%)</t>
  </si>
  <si>
    <t>4 033 550 000</t>
  </si>
  <si>
    <t>stsa@kppm.ru, tatiana.kabakova@ilimtnp.ru</t>
  </si>
  <si>
    <t>Власенко Максим Владимирович (361 250 руб., 34%)
Маркачев Владимир Иванович (350 625 руб., 33%)
Новиков Александр Евгеньевич (350 625 руб., 33%)</t>
  </si>
  <si>
    <t>129 010 000</t>
  </si>
  <si>
    <t>ilyushchenko_io@aptrade.ru, ist@apt.ru, ist_syst@mail.ru, tender@aptrade.ru</t>
  </si>
  <si>
    <t>Владимиров Юрий Михайлович (9 000 руб., 60%)
ЭЙ-ПИ ТРЕЙД, ООО (3 450 руб., 23%)
Брезденюк Павел Борисович (2 550 руб., 17%)</t>
  </si>
  <si>
    <t>53 810 000</t>
  </si>
  <si>
    <t>a.reznichenko@ilslab.ru, a.telbukhova@ilslab.ru, a.temyakov@ilslab.ru, ampilins@ilslab.ru, amplisen@ilslab.ru, amplisens@ilslab.ru, amplisens@ilslsb.ru, amplisens@islab.ru, amplisens@mail.ru, amplisens@pcr.ru</t>
  </si>
  <si>
    <t>www.interlabservice.ru</t>
  </si>
  <si>
    <t>Кожевникова Галина Михайловна (3 942 руб., 39.42%)
МБК, ООО (3 330 руб., 33.30%)
Каламбет Юрий Анатольевич (1 364 руб., 13.64%)
Гущин Александр Евгеньевич (682 руб., 6.82%)
Гущина Ирина Андреевна (682 руб., 6.82%)</t>
  </si>
  <si>
    <t>1 580 680 000</t>
  </si>
  <si>
    <t>7583857@mail.ru, corporate@iledebeaute.ru, corporate@sephora.ru, hr@iledebeaute.ru, hr@sephora.ru, info@iledebeaute.ru, info@sephora.ru, lyudmila_milaya@mail.ru, onlineshop@iledebeaute.ru, rent@iledebeaute.ru</t>
  </si>
  <si>
    <t>iledebeaute.ru, sephora.ru</t>
  </si>
  <si>
    <t>Дроздов Евгений Николаевич (926 500 руб., 100%)</t>
  </si>
  <si>
    <t>all@kolhlen.kamchatka.ru, asu@kolhlen.kamchatka.ru</t>
  </si>
  <si>
    <t>kolhozleninakamchatka.ru</t>
  </si>
  <si>
    <t>741 180 000</t>
  </si>
  <si>
    <t>l.polyanskaya@dominantsugar.ru, v.shakalo@dominantsugar.ru</t>
  </si>
  <si>
    <t>оао-ильича.рф</t>
  </si>
  <si>
    <t>815 660 000</t>
  </si>
  <si>
    <t>alltender@imbian.ru, info@imbian.ru, lltender@imbian.ru, markov7722@gmail.com, nfo@imbian.ru, tender4@imbian.ru</t>
  </si>
  <si>
    <t>Кацман Феликс Юльевич (7 500 руб., 50%)
Марков Андрей Александрович (7 500 руб., 50%)</t>
  </si>
  <si>
    <t>Производство диагностического и терапевтического оборудования, применяемого в медицинских целях</t>
  </si>
  <si>
    <t>270 090 000</t>
  </si>
  <si>
    <t>admin@tulatoz.ru, mail@tulatoz.ru, toz@tula.net, tozreestr@mail.ru</t>
  </si>
  <si>
    <t>www.tulatoz.ru</t>
  </si>
  <si>
    <t>ФИНИНВЕСТ-М, ООО (24.45%)
ЦК-УССП, ООО (20.00%)
РУЖЬЯ ТОЗ, АО (15.86%)
ТОР, ООО (9.46%)
АЛЬКОР, АО (7.73%)
Алешин Евгений Николаевич (0.70%)
Бахно Александр Львович (0.00020%)</t>
  </si>
  <si>
    <t>Производство оружия и боеприпасов</t>
  </si>
  <si>
    <t>diamond.imperial@mail.ru</t>
  </si>
  <si>
    <t>imperial-diamond.ru</t>
  </si>
  <si>
    <t>ГЛОУМОР ДМСС (990 000 руб., 99%)
Рамани Витхалбхай Валлабхбхай (10 000 руб., 1%)</t>
  </si>
  <si>
    <t>Торговля оптовая драгоценными камнями</t>
  </si>
  <si>
    <t>idf@imperialdutyfree.ru</t>
  </si>
  <si>
    <t>994 110 000</t>
  </si>
  <si>
    <t>7802229528_780201001@eo.tensor.ru, info@imperialcorp.ru</t>
  </si>
  <si>
    <t>www.imperial.ru</t>
  </si>
  <si>
    <t>Кацанов Алексей Владимирович (10 000 руб., 100%)</t>
  </si>
  <si>
    <t>12 270 000</t>
  </si>
  <si>
    <t>Компания "ИНГКА Холдинг Юроп Б.В." (300 000 000 руб., 100%)</t>
  </si>
  <si>
    <t>206 560 000</t>
  </si>
  <si>
    <t>demidovdv@emporiatrading.ru</t>
  </si>
  <si>
    <t>emporiatyres.ru</t>
  </si>
  <si>
    <t>ИНТЕГРО, ООО (5 000 руб., 50%)
Шапкин Александр Николаевич (5 000 руб., 50%)</t>
  </si>
  <si>
    <t>01@emporiatrading.ru, biryukovev@inbox.ru, info@imporiatrading.ru, lozovayaay@emporiatrading.ru, xxx@imporiatrading.ru</t>
  </si>
  <si>
    <t>emporiatrading.ru</t>
  </si>
  <si>
    <t>Бирюков Евгений Викторович (10 000 000 руб., 100%)</t>
  </si>
  <si>
    <t>490 910 000</t>
  </si>
  <si>
    <t>Спиридонов Владимир Николаевич (18 500 000 руб., 100%)</t>
  </si>
  <si>
    <t>601 060 000</t>
  </si>
  <si>
    <t>sales@importtele.com</t>
  </si>
  <si>
    <t>ЛАНИТ-ХОЛДИНГ, ООО (200 000 руб., 100%)</t>
  </si>
  <si>
    <t>1 705 170 000</t>
  </si>
  <si>
    <t>ad@im-press.ru, hr@im-press.ru, im-fle@yandex.ru, info@im-press.ru, smotrelkina.kristina@im-press.ru</t>
  </si>
  <si>
    <t>im-press.ru, дойпак.рф</t>
  </si>
  <si>
    <t>Кулик Николай Васильевич (3 000 000 руб., 100%)</t>
  </si>
  <si>
    <t>32 110 000</t>
  </si>
  <si>
    <t>daria.danilova@ingka.com</t>
  </si>
  <si>
    <t>Компания "ИНГКА Холдинг Юроп Б.В." (400 000 000 руб., 100%)</t>
  </si>
  <si>
    <t>575 740 000</t>
  </si>
  <si>
    <t>mega-accelerator.ru, mega-plans.ru, mega-startup.ru, mega.ru, megafashionweeks.ru, megamall.ru, megastarters.ru, megatasty.ru, megathon.ru, underlinestore.ru</t>
  </si>
  <si>
    <t>Компания "ИНГКА Холдинг Юроп Б.В." (1 200 000 000 руб., 100%)</t>
  </si>
  <si>
    <t>Управление эксплуатацией нежилого фонда за вознаграждение или на договорной основе</t>
  </si>
  <si>
    <t>pautov_ab@omk.ru, reception@omk.ru</t>
  </si>
  <si>
    <t>vrk-3.ru</t>
  </si>
  <si>
    <t>kvant-a@mail.ru, kvant@irkutsk.ru, nct@irkutsk.ru</t>
  </si>
  <si>
    <t>buhnercruise.ru, omni-irk.ru</t>
  </si>
  <si>
    <t>Жданов Алексей Георгиевич (6 800 руб., 68%)
Новомирский Дмитрий Николаевич (3 200 руб., 32%)</t>
  </si>
  <si>
    <t>1551@7274069.ru, info@impulse.su, mail@impulse.su, tender@impulse.su</t>
  </si>
  <si>
    <t>www.impulse.su</t>
  </si>
  <si>
    <t>Кириллов Геннадий Викторович (7 590 000 руб., 55%)
Кириллов Кирилл Геннадьевич (6 210 000 руб., 45%)</t>
  </si>
  <si>
    <t>348 540 000</t>
  </si>
  <si>
    <t>keramika@kzsf.ru</t>
  </si>
  <si>
    <t>www.kzsf.ru</t>
  </si>
  <si>
    <t>Производство керамических санитарно-технических изделий</t>
  </si>
  <si>
    <t>410 070 000</t>
  </si>
  <si>
    <t>mingaliha@mail.ru, natalia.stelmahova@impx.ru</t>
  </si>
  <si>
    <t>impx.ru</t>
  </si>
  <si>
    <t>Брянцев Дмитрий Васильевич (100 000 руб., 90%)
Трубицин Вячеслав Иванович (11 111 руб., 10%)</t>
  </si>
  <si>
    <t>189 220 000</t>
  </si>
  <si>
    <t>Кокорин Владимир Андреевич (100 000 000 руб., 100%)</t>
  </si>
  <si>
    <t>info@impexneftehim.ru, info@mcccc.ru, zakaz@mcccc.ru</t>
  </si>
  <si>
    <t>Аленин Сергей Витальевич (8 400 000 руб., 70%)
Потапов Александр Юрьевич (3 600 000 руб., 30%)</t>
  </si>
  <si>
    <t>288 740 000</t>
  </si>
  <si>
    <t>ИМПЭКСТРЕЙД, ООО (15 000 руб., 75%)
Арапов Александр Леонидович (5 000 руб., 25%)</t>
  </si>
  <si>
    <t>359 290 000</t>
  </si>
  <si>
    <t>ИНТЕРТЕКС, АО (21 500 000 руб., 100%)</t>
  </si>
  <si>
    <t>Производство хлопчатобумажных тканей</t>
  </si>
  <si>
    <t>9 460 000</t>
  </si>
  <si>
    <t>team@imtrade.ltd, tender@imrade.ltd, tender@imtrade.ltd, tender@imtreid.ltd</t>
  </si>
  <si>
    <t>Татлыев Роберт Рушанович (34 017 руб., 34%)
Иончев Ярослав Александрович (33 300 руб., 33.30%)
Виляев Максим Эдуардович (32 683 руб., 32.70%)</t>
  </si>
  <si>
    <t>59 290 000</t>
  </si>
  <si>
    <t>contact@yourdomain.com, info@petshop-internet.ru, ksenia_p@petshop.ru</t>
  </si>
  <si>
    <t>petshop.ru</t>
  </si>
  <si>
    <t>Корчагин Олег Вадимович (3 600 руб., 36%)
ЛАСТОЧКА 13, ООО (2 100 руб., 21%)
Корчагина Наталия Николаевна (1 500 руб., 15%)
Таскина Елена Гавриловна (900 руб., 9%)
Сиротин Валерий Викторович (800 руб., 8%)
Лярский Максим Андреевич (500 руб., 5%)
KOONIMAP HOLDINGS LIMITED (400 руб., 4%)
Рябинкин Николай Александрович (200 руб., 2%)</t>
  </si>
  <si>
    <t>Торговля розничная домашними животными и кормами для домашних животных в специализированных магазинах</t>
  </si>
  <si>
    <t>252 530 000</t>
  </si>
  <si>
    <t>aqua@russaquaculture.ru, bogushov@russianseagroup.ru</t>
  </si>
  <si>
    <t>АКВАКУЛЬТУРА, ООО (5 636 018 493 руб., 100%)</t>
  </si>
  <si>
    <t>Рыбоводство морское</t>
  </si>
  <si>
    <t>5 351 770 000</t>
  </si>
  <si>
    <t>kontur@russaquaculture.ru</t>
  </si>
  <si>
    <t>vera.golubeva@suninterbrew.ru</t>
  </si>
  <si>
    <t>АБ ИНБЕВ ЭФЕС, АО (10 000 руб., 100%)</t>
  </si>
  <si>
    <t>763 580 000</t>
  </si>
  <si>
    <t>komarova@inventa.su, shemah@yandex.ru</t>
  </si>
  <si>
    <t>www.inventa.su</t>
  </si>
  <si>
    <t>Андреева Людмила Ивановна (5 000 руб., 50%)
Шемаханов Андрей Юрьевич (5 000 руб., 50%)</t>
  </si>
  <si>
    <t>496 430 000</t>
  </si>
  <si>
    <t>ermolino77@mail.ru</t>
  </si>
  <si>
    <t>3 140 760 000</t>
  </si>
  <si>
    <t>info@investfuel.ru</t>
  </si>
  <si>
    <t>investfuel.ru</t>
  </si>
  <si>
    <t>Гарин Юрий Борисович (40 000 руб., 50%)
Сунгуров Алексей Николаевич (40 000 руб., 50%)</t>
  </si>
  <si>
    <t>45 010 000</t>
  </si>
  <si>
    <t>info@investrazvitie.ru</t>
  </si>
  <si>
    <t>МИХЕЕВСКИЙ ГОК, АО (163 080 315 руб., 100%)</t>
  </si>
  <si>
    <t>3 874 740 000</t>
  </si>
  <si>
    <t>invest-uglesbyt@bk.ru</t>
  </si>
  <si>
    <t>invest-uglesbyt.ru</t>
  </si>
  <si>
    <t>РАЗРЕЗ ЮЖНЫЙ, ООО (1 020 000 руб., 100%)</t>
  </si>
  <si>
    <t>Добыча коксующегося угля открытым способом</t>
  </si>
  <si>
    <t>3 227 210 000</t>
  </si>
  <si>
    <t>atgzerno@yandex.ru</t>
  </si>
  <si>
    <t>Евсеев Антон Александрович (5 000 руб., 50%)
Оробинский Сергей Александрович (5 000 руб., 50%)</t>
  </si>
  <si>
    <t>Деятельность агентов по оптовой торговле промышленными и техническими химическими веществами, удобрениями и агрохимикатами</t>
  </si>
  <si>
    <t>152 900 000</t>
  </si>
  <si>
    <t>ingeos.ru</t>
  </si>
  <si>
    <t>Агафонов Владимир Валентинович (3 334 руб., 33.33%)
Филинский Вадим Геннадьевич (3 333 руб., 33.33%)
Хазанкин Сергей Юрьевич (3 333 руб., 33.33%)</t>
  </si>
  <si>
    <t>139 300 000</t>
  </si>
  <si>
    <t>Романенко Борис Борисович (1 880 000 руб., 100%)</t>
  </si>
  <si>
    <t>8 700 000</t>
  </si>
  <si>
    <t>etp@investneftetrade.ru, info@investneftetrade.ru, m.danilov@investneftetrade.ru</t>
  </si>
  <si>
    <t>Невский Сергей Александрович (60 000 000 руб., 100%)</t>
  </si>
  <si>
    <t>anna2124@mail.ru, investprofi000@mail.ru</t>
  </si>
  <si>
    <t>ХОЛДИНГ ДЕВЕЛОПМЕНТ, ООО (75 000 000 руб., 75%)</t>
  </si>
  <si>
    <t>214 940 000</t>
  </si>
  <si>
    <t>invest-resurs.krsk@yandex.ru</t>
  </si>
  <si>
    <t>Садовский Олег Владимирович (100 000 руб., 100%)</t>
  </si>
  <si>
    <t>18 080 000</t>
  </si>
  <si>
    <t>i.deryabin@vtg.gazprom.ru</t>
  </si>
  <si>
    <t>ГАЗПРОМ, ПАО (4 090 016 000 руб., 100%)</t>
  </si>
  <si>
    <t>68 120 000</t>
  </si>
  <si>
    <t>see@isvol.ru, sekretar@isvol.ru, sme@isvol.ru, sol@investstroy-vologda.ru</t>
  </si>
  <si>
    <t>investstroy-vologda.ru</t>
  </si>
  <si>
    <t>ВОЛОГОДСКАЯ ГАЗОВАЯ КОМПАНИЯ, АО (1 000 000 руб., 100%)</t>
  </si>
  <si>
    <t>178 050 000</t>
  </si>
  <si>
    <t>info@stadium-krasnodar.ru</t>
  </si>
  <si>
    <t>Галицкий Сергей Николаевич (10 000 руб., 100%)</t>
  </si>
  <si>
    <t>2 972 860 000</t>
  </si>
  <si>
    <t>1111mail@mail.ru, aakorchagina@invitro.ru, abatalina@invitro.ru, abazilevskaya@invitro.ru, alevicheva@invitro.ru, dgaysin@invitro.ru, dmaksimenkova@invitro.ru, echerner@spb.invitro.ru, oryzhkova@invitro.ru, oryzhova@invitro.ru</t>
  </si>
  <si>
    <t>www.invitro.ltd.cy, www.invitro.ru</t>
  </si>
  <si>
    <t>КОМПАНИЯ "ИНВИТРО ХОЛДИНГ ЛИМИТЕД" (101 700 руб., 84.75%)
МЕДБИОФИНАНС, ООО (10 320 руб., 8.60%)
ИНВИТРО, ООО (7 980 руб., 6.65%)</t>
  </si>
  <si>
    <t>Деятельность в области медицины прочая, не включенная в другие группировки</t>
  </si>
  <si>
    <t>606 530 000</t>
  </si>
  <si>
    <t>agupov@invitro.ru, aiborisova@invitro.ru, aivanov@invitro.ru, asboeva@invitro.ru, manikin@invitro.ru, nnevmerzhitskaya@invitro.ru, opt_msk@invitro.ru, otp@invitro.ru, otp_msk@invitro.ru, r.abramova@invitro.ru</t>
  </si>
  <si>
    <t>www.invitro.ru</t>
  </si>
  <si>
    <t>КОМПАНИЯ "ИНВИТРО ХОЛДИНГ ЛИМИТЕД" (31 400 000 руб., 100%)</t>
  </si>
  <si>
    <t>2 098 640 000</t>
  </si>
  <si>
    <t>shop.invitro.ru</t>
  </si>
  <si>
    <t>КОМПАНИЯ "ИНВИТРО ХОЛДИНГ ЛИМИТЕД" (300 000 руб., 100%)</t>
  </si>
  <si>
    <t>44 510 000</t>
  </si>
  <si>
    <t>aarakelova@invitro.ru, e.kondrashova@invitro.ru, edidkovskaya@invitro.ru, elena@invitro.ru, evmakarova@invitro.ru, evmanakova@invitro.ru, ibirtender@invitro.ru, ikuchmey@invitro.ru, ioluksha@invitro.ru, ishevale@invitro.ru</t>
  </si>
  <si>
    <t>https://www.invitro.ru/</t>
  </si>
  <si>
    <t>КОМПАНИЯ "ИНВИТРО ХОЛДИНГ ЛИМИТЕД" (6 849 000 руб., 90%)
ИНВИТРО, ООО (761 000 руб., 10%)</t>
  </si>
  <si>
    <t>1 058 060 000</t>
  </si>
  <si>
    <t>cjrp_prodazhi_ural@invitro.ru, corp_prodazhi_ural@invitro.ru, ngrichinenko@invitro.ru, nqrichinenko@invitro.ru, nsavina@chel.invitro.ru, ogrubova@invitro.ru, ural@invitro.ru</t>
  </si>
  <si>
    <t>https://www.invitro.ru/, invitro74.ru</t>
  </si>
  <si>
    <t>КОМПАНИЯ "ИНВИТРО ХОЛДИНГ ЛИМИТЕД" (120 000 руб., 100%)</t>
  </si>
  <si>
    <t>744 660 000</t>
  </si>
  <si>
    <t>info2@ruspetro.com</t>
  </si>
  <si>
    <t>www.oaotransoil.hotbox.ru</t>
  </si>
  <si>
    <t>758 820 000</t>
  </si>
  <si>
    <t>info@opin.ru</t>
  </si>
  <si>
    <t>ingradstroy@stnn.ru</t>
  </si>
  <si>
    <t>СТАРТ-СТРОЙ, ООО СЗ (400 000 000 руб., 100%)</t>
  </si>
  <si>
    <t>650 230 000</t>
  </si>
  <si>
    <t>industry@is-tula.ru, industry@tula.net, stankolit@is.tula.ru</t>
  </si>
  <si>
    <t>www.is.tula.ru</t>
  </si>
  <si>
    <t>Производство чугуна, стали и ферросплавов</t>
  </si>
  <si>
    <t>26 630 000</t>
  </si>
  <si>
    <t>o.cvetkova@acdamate.com, t.fednova@acdamate.com</t>
  </si>
  <si>
    <t>АПК ДАМАТЕ, ООО (10 000 руб., 100%)</t>
  </si>
  <si>
    <t>elizarova_n@iney.spb.ru, kuznecova_m@iney.spb.ru</t>
  </si>
  <si>
    <t>Крылов Виктор Николаевич (4 000 000 руб., 80%)
Кокашуева Елена Николаевна (1 000 000 руб., 20%)</t>
  </si>
  <si>
    <t>155 440 000</t>
  </si>
  <si>
    <t>ingizisk4@ingizisk.ru</t>
  </si>
  <si>
    <t>www.ingizisk.ru</t>
  </si>
  <si>
    <t>ФОССИЛ СТАР ХОЛДИНГ ЛИМИТЕД (9 014 285 руб., 100%)</t>
  </si>
  <si>
    <t>buh@injtechno.com, injtechnology@yandex.ru</t>
  </si>
  <si>
    <t>190 540 000</t>
  </si>
  <si>
    <t>andrey.suvorkin@yandex.ru, buh26@usimail.ru</t>
  </si>
  <si>
    <t>Греховодов Алексей Александрович (10 000 руб., 100%)</t>
  </si>
  <si>
    <t>iz@engpro.ru, lp@engpro.ru</t>
  </si>
  <si>
    <t>Пономарев Андрей Александрович (7 000 руб., 70%)
Пономарев Никита Александрович (3 000 руб., 30%)</t>
  </si>
  <si>
    <t>Строительство гидротехнических сооружений</t>
  </si>
  <si>
    <t>7 400 000</t>
  </si>
  <si>
    <t>zakupki.ing@gmail.com</t>
  </si>
  <si>
    <t>gk-engineering.ru</t>
  </si>
  <si>
    <t>Новосёлова Анна Викторовна (1 500 000 руб., 100%)</t>
  </si>
  <si>
    <t>160 060 000</t>
  </si>
  <si>
    <t>t.koroleva@ingstroyinn.ru</t>
  </si>
  <si>
    <t>ПИК-ГЕНПОДРЯД, ООО (7 000 руб., 70%)
ПИК-ИНВЕСТПРОЕКТ, ООО (3 000 руб., 30%)</t>
  </si>
  <si>
    <t>31 694 870 000</t>
  </si>
  <si>
    <t>ИНК, ООО (690 000 000 руб., 100%)</t>
  </si>
  <si>
    <t>ИНК, ООО (228 757 869.24 руб., 100%)</t>
  </si>
  <si>
    <t>9 940 000</t>
  </si>
  <si>
    <t>РК-ИНЖИНИРИНГ, ООО (10 000 руб., 100%)</t>
  </si>
  <si>
    <t>Производство меди</t>
  </si>
  <si>
    <t>incomnefteremont@mtu-net.ru, info@inkomnr.ru</t>
  </si>
  <si>
    <t>inkomnr.ru</t>
  </si>
  <si>
    <t>Пшеннов Илья Александрович (274 045 000 руб., 100%)</t>
  </si>
  <si>
    <t>16 460 000</t>
  </si>
  <si>
    <t>incomneft@mailtel.ru, info@inkomneft.ru, inkomsp-z03@mailtel.ru, raahmedov@mailtel.ru</t>
  </si>
  <si>
    <t>inkomneft.ru</t>
  </si>
  <si>
    <t>Предоставление услуг по монтажу, ремонту и демонтажу буровых вышек</t>
  </si>
  <si>
    <t>806 220 000</t>
  </si>
  <si>
    <t>mail@incomsystem.ru, marketing@incomsystem.ru</t>
  </si>
  <si>
    <t>incomsystem.ru</t>
  </si>
  <si>
    <t>143 620 000</t>
  </si>
  <si>
    <t>ozaryan@vmk.vlad.ru, uliya.kim@ratimir.ru</t>
  </si>
  <si>
    <t>www.ratimir.ru</t>
  </si>
  <si>
    <t>РАТИМИР, ООО (36 400 руб., 100%)</t>
  </si>
  <si>
    <t>12 220 000</t>
  </si>
  <si>
    <t>firma@incotexcom.ru, incotex@incotex.ru, incotex@mail.ru, n.prokofjeva@incotex.ru</t>
  </si>
  <si>
    <t>www.incotex.com, www.incotex.ru, www.incotexcom.ru</t>
  </si>
  <si>
    <t>«ЕМ234 ФЗКО» (27 000 000 руб., 100%)</t>
  </si>
  <si>
    <t>446 180 000</t>
  </si>
  <si>
    <t>info@inlinegroup.ru, torgi@inlinegroup.ru</t>
  </si>
  <si>
    <t>www.inlinegroup.ru</t>
  </si>
  <si>
    <t>16 830 000</t>
  </si>
  <si>
    <t>info@inlinetelecom.ru, petrov@inlinetelecom.ru</t>
  </si>
  <si>
    <t>www.inlinetelecom.ru</t>
  </si>
  <si>
    <t>СИЛКОНЕТ ЭНТЕРПРАЙЗИС ЛИМИТЕД (203 010 000 руб., 100%)</t>
  </si>
  <si>
    <t>Торговля оптовая программным обеспечением</t>
  </si>
  <si>
    <t>470 230 000</t>
  </si>
  <si>
    <t>e.shkolnikova@lakra-sintez.ru, sobko_gen@mail.ru</t>
  </si>
  <si>
    <t>lakra.ru</t>
  </si>
  <si>
    <t>Двинский Михаил Борисович (250 000 руб., 100%)</t>
  </si>
  <si>
    <t>254 240 000</t>
  </si>
  <si>
    <t>dizumrudov@docdoc.ru, info@sberhealht.ru, info@sberhealth.ru, ndysenko@sberhealth.ru, support@sberb2b.ru, yhorina@docdoc.ru, yhorina@sberhealth.ru</t>
  </si>
  <si>
    <t>ДОКДОК ТЗ, ООО (9 990 руб., 99.90%)
Зингер Анатолий Сергеевич (10 руб., 0.10%)</t>
  </si>
  <si>
    <t>multivarka.pro, store.redmond.company</t>
  </si>
  <si>
    <t>Синявин Андрей Станиславович (10 010 000 руб., 100%)</t>
  </si>
  <si>
    <t>inn-tech.su</t>
  </si>
  <si>
    <t>Белецкий Сергей Владимирович (250 000 руб., 100%)</t>
  </si>
  <si>
    <t>2 451 180 000</t>
  </si>
  <si>
    <t>info@inoxpoint.ru, inoxpoint@inoxpoint.ru</t>
  </si>
  <si>
    <t>www.inoxpoint.ru</t>
  </si>
  <si>
    <t>Лойченко Сергей (5 992 500 руб., 75%)
ИНОКСПОИНТ ГРУПП, ООО (1 997 500 руб., 25%)</t>
  </si>
  <si>
    <t>539 660 000</t>
  </si>
  <si>
    <t>info@inoxtrade.ru, zhur@inoxtrade.ru</t>
  </si>
  <si>
    <t>www.inoxtrade.ru</t>
  </si>
  <si>
    <t>АРИЭЛЬГРУПП, ЗАО (510 000 руб., 51%)
"ФИНГХОЛД С.П.А." (400 000 руб., 40%)
Губарев Олег Владимирович (90 000 руб., 9%)</t>
  </si>
  <si>
    <t>147 640 000</t>
  </si>
  <si>
    <t>a.aleksandrov@inpas.ru</t>
  </si>
  <si>
    <t>www.inpas.ru</t>
  </si>
  <si>
    <t>КОМПАНИЯ "КЛИК ТЕК ЛТД" (5 899 600 руб., 98%)
Коробов Илья Владимирович (120 400 руб., 2%)</t>
  </si>
  <si>
    <t>480 460 000</t>
  </si>
  <si>
    <t>tender@inrosttruba.ru</t>
  </si>
  <si>
    <t>inrost-group.ru</t>
  </si>
  <si>
    <t>Зарипов Дмитрий Фаритович (1 000 000 руб., 50%)
Стусова Светлана Алексеевна (1 000 000 руб., 50%)</t>
  </si>
  <si>
    <t>97 970 000</t>
  </si>
  <si>
    <t>company@impuls.bz</t>
  </si>
  <si>
    <t>43 410 000</t>
  </si>
  <si>
    <t>maksim.gainulin@gmail.com</t>
  </si>
  <si>
    <t>tradeinmed.ru, www.inmed.ru</t>
  </si>
  <si>
    <t>Закаблуковский Виталий Викторович (34 003.4 руб., 34%)
Артемьев Андрей Анатольевич (33 003.3 руб., 33%)
Логинов Олег Иванович (33 003.3 руб., 33%)</t>
  </si>
  <si>
    <t>239 430 000</t>
  </si>
  <si>
    <t>info@in-systems.ru, info@insystems.ru</t>
  </si>
  <si>
    <t>ЛАНИТ-ХОЛДИНГ, ООО (n/a)</t>
  </si>
  <si>
    <t>info@armorjack.ru</t>
  </si>
  <si>
    <t>skin2.ru</t>
  </si>
  <si>
    <t>ЗАКРЫТЫЙ КОМБИНИРОВАННЫЙ ПАЕВОЙ ИНВЕСТИЦИОННЫЙ ФОНД "НОВЫЕ ТЕХНОЛОГИИ" (1 000 000 руб., 100%)</t>
  </si>
  <si>
    <t>Торговля оптовая прочими потребительскими товарами</t>
  </si>
  <si>
    <t>2 910 000</t>
  </si>
  <si>
    <t>instzinc.ru</t>
  </si>
  <si>
    <t>Истомин Сергей Владимирович (1 000 000 руб., 50%)
Максимов Андрей Валерьевич (1 000 000 руб., 50%)</t>
  </si>
  <si>
    <t>Производство цинка</t>
  </si>
  <si>
    <t>36 120 000</t>
  </si>
  <si>
    <t>b2b@sbermarket.ru, content@sbermarket.ru, elena.raeva@sbermarket.ru, hello@sbermarket.ru, press@sbermarket.ru</t>
  </si>
  <si>
    <t>instamart.ru</t>
  </si>
  <si>
    <t>natalya.klein@instanta.su</t>
  </si>
  <si>
    <t>Акинчиц Надежда Владимировна (50 000 руб., 50%)
УПРАВЛЕНИЕ И ИНВЕСТИЦИИ, ООО (50 000 руб., 50%)</t>
  </si>
  <si>
    <t>Производство чая и кофе</t>
  </si>
  <si>
    <t>53 920 000</t>
  </si>
  <si>
    <t>gn@nornik.ru, isaevaee@nornik.ru</t>
  </si>
  <si>
    <t>www.nickel.spb.ru, www.sapornikel.spb.ru</t>
  </si>
  <si>
    <t>ГМК НОРИЛЬСКИЙ НИКЕЛЬ, ПАО (146 922 872 руб., 100%)</t>
  </si>
  <si>
    <t>92 280 000</t>
  </si>
  <si>
    <t>10944897710@mail.ru, buh@gpsm.ru, elena.dimaki@gpsm.ru, irina.besetskaya@gpsm.ru, krotovam@mail.ru, offise@gpsm.ru, tender@gpsm.ru</t>
  </si>
  <si>
    <t>www.gpsm.ru</t>
  </si>
  <si>
    <t>institute@mocinzhproekt.ru, institute@mosinzhproekt.ru, kichuk.mi@mosinzhproekt.ru, soboleval@mocinzhproekt.ru, soboleval@mosinzhproekt.ru, soloveva.nv@mosinzhproekt.ru, ysifovaob@mosinzhproekt.ru</t>
  </si>
  <si>
    <t>http://mosinzhproekt.ru, mipi.ru</t>
  </si>
  <si>
    <t>МОСИНЖПРОЕКТ, АО (231 444 675 руб., 99%)
МИП-АКТИВ, ООО (2 337 825 руб., 1%)</t>
  </si>
  <si>
    <t>124 720 000</t>
  </si>
  <si>
    <t>minaeva@stpr.ru, most@spb.ru, murina@stpr.ru, rst@stpr.ru, valentina@stpr.ru</t>
  </si>
  <si>
    <t>www.stpr.ru</t>
  </si>
  <si>
    <t>243 740 000</t>
  </si>
  <si>
    <t>mail@istk.ru, stroeva.i@istk.ru</t>
  </si>
  <si>
    <t>Килейников Юрий Анатольевич (400 000 000 руб., 100%)</t>
  </si>
  <si>
    <t>ЗАКРЫТЫЙ ПАЕВОЙ ИНВЕСТИЦИОННЫЙ КОМБИНИРОВАННЫЙ ФОНД "ПАРИТЕТНЫЙ" (5 000 000 руб., 100%)</t>
  </si>
  <si>
    <t>Торговля оптовая нефтью</t>
  </si>
  <si>
    <t>974 610 000</t>
  </si>
  <si>
    <t>lklementieva@integra.ru, reception@integra.ru</t>
  </si>
  <si>
    <t>www.integra.ru</t>
  </si>
  <si>
    <t>КОМПАНИЯ С ОГРАНИЧЕННОЙ ОТВЕТСТВЕННОСТЬЮ "АЙ ДЖИ ХОЛДИНГЗ ЛИМИТЕД" (14 705 000 руб., 100%)</t>
  </si>
  <si>
    <t>ВНИИБТ-БУРОВОЙ ИНСТРУМЕНТ, ООО (195 368 297.14 руб., 99.90%)
КОМПАНИЯ С ОГРАНИЧЕННОЙ ОТВЕТСТВЕННОСТЬЮ "АЙ ДЖИ ХОЛДИНГЗ ЛИМИТЕД" (195 563.86 руб., 0.10%)</t>
  </si>
  <si>
    <t>integralooo@inbox.ru</t>
  </si>
  <si>
    <t>Когут Владислав Николаевич (5 000 000 руб., 100%)</t>
  </si>
  <si>
    <t>32 680 000</t>
  </si>
  <si>
    <t>a.degtjareva@interteks.ru, d.plashevsky@interteks.ru, r.nigmatullin@inteksvolokno.ru, s.kubatova@interteks.ru</t>
  </si>
  <si>
    <t>www.interteks.ru</t>
  </si>
  <si>
    <t>156 400 000</t>
  </si>
  <si>
    <t>intek95@list.ru, intek95@mail.ru, intekfarm@mail.ru</t>
  </si>
  <si>
    <t>Багашев Шамиль Хадитович (1 000 000 руб., 100%)</t>
  </si>
  <si>
    <t>26 090 000</t>
  </si>
  <si>
    <t>angelina.bukina@inteko.ru</t>
  </si>
  <si>
    <t>http://inteco.ru</t>
  </si>
  <si>
    <t>СМАЙНЭКС УПРАВЛЕНИЕ АКТИВАМИ, ООО (1 501 200 000 руб.)</t>
  </si>
  <si>
    <t>letter@it-solutions.su</t>
  </si>
  <si>
    <t>it-solutions.su</t>
  </si>
  <si>
    <t>СИГМА, ООО (20 000 000 руб., 100%)</t>
  </si>
  <si>
    <t>301 110 000</t>
  </si>
  <si>
    <t>a.semenova@intelmed.ru, a.trusova@intelmed.ru, a.zamuryaeva@intelmed.ru, i.sigaev@intelmed.ru, intelmed@intelmed.ru, k.sviridov@intelmed.ru, l.sidaev@intelmed.ru, l.sigaev@intekmed.ru, l.sigaev@intelmed.ru, m.drozdova@intelmed.ru</t>
  </si>
  <si>
    <t>www.intelmed.ru</t>
  </si>
  <si>
    <t>161 250 000</t>
  </si>
  <si>
    <t>info@inteitreyd.ru, info@inteltryd.ru, infour@intellreyd.ru, inteltreyd@gmail.com, torgi@inteitrey.ru, torgi@inteltreed.ru, torgi@inteltreyd.ru</t>
  </si>
  <si>
    <t>Иванов Павел Валерьевич (300 000 руб., 100%)</t>
  </si>
  <si>
    <t>1 370 770 000</t>
  </si>
  <si>
    <t>intergrein@mail.ru</t>
  </si>
  <si>
    <t>Воробьев Александр Александрович (37 500 руб., 60%)
Воробьев Андрей Александрович (25 000 руб., 40%)</t>
  </si>
  <si>
    <t>75 960 000</t>
  </si>
  <si>
    <t>ИНТЕР РАО, ПАО (26 563 332 828 руб.)</t>
  </si>
  <si>
    <t>4 643 330 000</t>
  </si>
  <si>
    <t>khomyakov_sv@interrao.ru, office@interrao.ru</t>
  </si>
  <si>
    <t>www.interrao.ru</t>
  </si>
  <si>
    <t>borisov_ds@interrao.ru, gulevich_ea@interrao.ru, safina_iv@interrao.ru</t>
  </si>
  <si>
    <t>http://irao-engineering.ru/ru/, irao-engineering.ru</t>
  </si>
  <si>
    <t>ИНТЕР РАО-ЭЛЕКТРОГЕНЕРАЦИЯ, АО (1 050 000 руб., 51.21%)
ИНТЕР РАО, ПАО (1 000 000 руб., 48.78%)</t>
  </si>
  <si>
    <t>loginova_oy@interrao.ru</t>
  </si>
  <si>
    <t>interrao.ru</t>
  </si>
  <si>
    <t>АКТИВ-ЭНЕРГИЯ, ООО (1 056 989 607.66 руб., 100%)</t>
  </si>
  <si>
    <t>chermenina_nn@interrao.ru, efimovatp@ogk3.ru, gosuslugi_eg@interrao.ru, gustehnic1@mail.ru, ignatenko_kv@interrao.ru, info@interrao.ru, info@perm.ru, info@permgres.ru, info_kgres@interraj.ru, interrao@ail.ru</t>
  </si>
  <si>
    <t>ИНТЕР РАО, ПАО (172 491 169 361 руб.)</t>
  </si>
  <si>
    <t>13 928 300 000</t>
  </si>
  <si>
    <t>Мочалов Валентин Александрович (10 010 000 руб., 100%)</t>
  </si>
  <si>
    <t>Комаров Дмитрий Юрьевич (10 000 руб., 100%)</t>
  </si>
  <si>
    <t>contact@intervet.ru</t>
  </si>
  <si>
    <t>www.intervet.ru</t>
  </si>
  <si>
    <t>ИНТЕРВЕТ ХОЛДИНГ Б.В. (3 000 000 руб., 100%)</t>
  </si>
  <si>
    <t>595 340 000</t>
  </si>
  <si>
    <t>vladimir6897686@gmail.com</t>
  </si>
  <si>
    <t>interdisp-group.ru, interdisp-industrial.ru</t>
  </si>
  <si>
    <t>181 830 000</t>
  </si>
  <si>
    <t>engstrom58@mail.ru, info@msk.interdisp.ru</t>
  </si>
  <si>
    <t>www.interdisp.ru</t>
  </si>
  <si>
    <t>ИНТЕРДИСП ГРУПП, АО (10 000 руб., 100%)</t>
  </si>
  <si>
    <t>21 010 000</t>
  </si>
  <si>
    <t>d.zolotov@instrument.vostok.ru, stv@instrument.vostok.ru</t>
  </si>
  <si>
    <t>interinstrument.ru</t>
  </si>
  <si>
    <t>Торговля оптовая ручными инструментами</t>
  </si>
  <si>
    <t>53 430 000</t>
  </si>
  <si>
    <t>Горин Павел Алексеевич (10 000 руб., 50%)
Руденко Александр Борисович (10 000 руб., 50%)</t>
  </si>
  <si>
    <t>144 820 000</t>
  </si>
  <si>
    <t>il_trade@mail.ru, interitdr@yandex.ru</t>
  </si>
  <si>
    <t>Фефелов Вадим Николаевич (10 000 руб., 100%)</t>
  </si>
  <si>
    <t>farhad@interlek.ru, interlek@interlek.ru, marysheva@interlek.ru, surkova@interlek.ru, torgi@interlek.ru</t>
  </si>
  <si>
    <t>interlek.ru</t>
  </si>
  <si>
    <t>Абуталиев Фархад Фарадеевич (10 000 руб., 100%)</t>
  </si>
  <si>
    <t>387 790 000</t>
  </si>
  <si>
    <t>b2b@iltasing.ru, fml@ileasing.ru, kda@ileasing.ru, savinovsa@rambler.ru</t>
  </si>
  <si>
    <t>www.ileasing.ru</t>
  </si>
  <si>
    <t>Коган Людмила Валентиновна (510 000 000 руб., 100%)</t>
  </si>
  <si>
    <t>azilber@imgmet.ru, e.scherbakova@imgmet.ru</t>
  </si>
  <si>
    <t>imgmet.ru</t>
  </si>
  <si>
    <t>Губченко Вадим Валентинович (3 755 руб., 37.55%)
Уколов Дмитрий Яковлевич (1 768 руб., 17.68%)
Морозов Анатолий Владимирович (1 600 руб., 16%)
Соценко Вадим Станиславович (1 550 руб., 15.50%)
Горбоконь Вячеслав Васильевич (1 327 руб., 13.27%)</t>
  </si>
  <si>
    <t>1 656 450 000</t>
  </si>
  <si>
    <t>bux@imt-kzn.ru</t>
  </si>
  <si>
    <t>Балашев Игорь Владимирович (500 000 руб., 100%)</t>
  </si>
  <si>
    <t>97 620 000</t>
  </si>
  <si>
    <t>ekurlovich@ozon.ru, info@ozon.ru, info@vseelektrosamokaty.ru, info@vseeslektrosamokaty.ru, motokvartal@bk.ru, officialniy-diler@yandex.ru</t>
  </si>
  <si>
    <t>www.ozon.ru</t>
  </si>
  <si>
    <t>irina.minniakhmetova@irb.rest</t>
  </si>
  <si>
    <t>КЬЮЭСАР ИНВЕСТМЕНТС, ООО (2 000 000 руб., 100%)</t>
  </si>
  <si>
    <t>295 830 000</t>
  </si>
  <si>
    <t>postmaster.volga@r.imptob.com, volga@ru.imptob.com</t>
  </si>
  <si>
    <t>www.reemtsma.ru</t>
  </si>
  <si>
    <t>Тяка Николай Афанасьевич (1 803 721 478.886 руб., 75%)
Кациев Сергей Солтанович (360 744 295.7848 руб., 15%)
Дзуцев Игорь Дмитриевич (108 223 288.73 руб., 4.50%)
Туганова Светлана Владимировна (108 223 288.73 руб., 4.50%)
Кобзев Александр Михайлович (12 024 809.86 руб., 0.50%)
Халтурина Надежда Юрьевна (12 024 809.8592 руб., 0.50%)</t>
  </si>
  <si>
    <t>1 187 650 000</t>
  </si>
  <si>
    <t>svetlana.chumak@ru.imptob.com</t>
  </si>
  <si>
    <t>Тяка Николай Афанасьевич (188 400 000 руб., 75%)
Кациев Сергей Солтанович (37 680 000 руб., 15%)
Дзуцев Игорь Дмитриевич (11 304 000 руб., 4.50%)
Туганова Светлана Владимировна (11 304 000 руб., 4.50%)
Кобзев Александр Михайлович (1 256 000 руб., 0.50%)
Халтурина Надежда Юрьевна (1 256 000 руб., 0.50%)</t>
  </si>
  <si>
    <t>big-bag.ru</t>
  </si>
  <si>
    <t>Середенин Олег Валерьевич (600 000 руб., 60%)
Середенина Нина Борисовна (400 000 руб., 40%)</t>
  </si>
  <si>
    <t>530 860 000</t>
  </si>
  <si>
    <t>cheryauto@chery.ru, hr@chery.ru, info@interpartner.ru, sv@intepartner.ru, tgb@interpartner.ru, www.inpr@udm.net.ru</t>
  </si>
  <si>
    <t>uaz-interpartner.ru, www.interpartner.ru</t>
  </si>
  <si>
    <t>Смирнов Сергей Юрьевич (1 526 764 руб., 76%)
Смирнова Мария Викторовна (482 136 руб., 24%)</t>
  </si>
  <si>
    <t>21 980 000</t>
  </si>
  <si>
    <t>Гуричев Виктор Борисович (10 000 руб., 100%)</t>
  </si>
  <si>
    <t>370 590 000</t>
  </si>
  <si>
    <t>Плотникова Марина Владимировна (20 000 руб., 100%)</t>
  </si>
  <si>
    <t>42 100 000</t>
  </si>
  <si>
    <t>www.interprint.com, www.interprint.ru, www.smdecor.ru</t>
  </si>
  <si>
    <t>КОМПАНИЯ "ИНТЕРПРИНТ ГМБХ И КО КГ" (44 675 322.29 руб., 99.99%)
ОБЩЕСТВО С ОГРАНИЧЕННОЙ ОТВЕТСТВЕННОСТЬЮ "ИНТЕРПРИНТ БЕТАЙЛИГУНГС-ГМБХ" (4 467.98 руб., 0.010%)</t>
  </si>
  <si>
    <t>Производство прочих химических продуктов, не включенных в другие группировки</t>
  </si>
  <si>
    <t>394 870 000</t>
  </si>
  <si>
    <t>КОО "ИНДУТЕРН ЭКУИТИ ФАНД ЛИМИТЕД" (5 000 000 руб., 100%)</t>
  </si>
  <si>
    <t>info@ite-ng.ru</t>
  </si>
  <si>
    <t>www.ite-ng.ru</t>
  </si>
  <si>
    <t>215 690 000</t>
  </si>
  <si>
    <t>darya.zhevlakova@interfax.ru, info@interfax.ru, tender@interfax.ru</t>
  </si>
  <si>
    <t>www.interfax.com, www.interfax.ru</t>
  </si>
  <si>
    <t>Деятельность по оказанию консультационных и информационных услуг</t>
  </si>
  <si>
    <t>862 090 000</t>
  </si>
  <si>
    <t>intershina.su</t>
  </si>
  <si>
    <t>Иванов Сергей Александрович (100 000 руб., 100%)</t>
  </si>
  <si>
    <t>197 410 000</t>
  </si>
  <si>
    <t>interior-solutions.ru</t>
  </si>
  <si>
    <t>СМАРТ ГРУПП, ООО (500 000 руб., 100%)</t>
  </si>
  <si>
    <t>14 260 000</t>
  </si>
  <si>
    <t>info.iesm@interenergo.info</t>
  </si>
  <si>
    <t>www.interenergo.info</t>
  </si>
  <si>
    <t>ИНТЕРЭНЕРГО, ООО (3 600 000 руб., 90%)
Колпаков Александр Викторович (400 000 руб., 10%)</t>
  </si>
  <si>
    <t>Монтаж промышленных машин и оборудования</t>
  </si>
  <si>
    <t>96 280 000</t>
  </si>
  <si>
    <t>info@mosinterenergo.info, volkova_aa@interenergo.info</t>
  </si>
  <si>
    <t>Эм Александр Эликсович (4 200 000 руб., 100%)</t>
  </si>
  <si>
    <t>614 270 000</t>
  </si>
  <si>
    <t>nikiforovata@lukoil.com</t>
  </si>
  <si>
    <t>www.lukoil-lubricants.com</t>
  </si>
  <si>
    <t>ЛЛК-ИНТЕРНЕШНЛ, ООО (39 000 000 руб., 75%)
РЖД УПРАВЛЕНИЕ АКТИВАМИ, АО (13 000 000 руб., 25%)</t>
  </si>
  <si>
    <t>229 290 000</t>
  </si>
  <si>
    <t>tender@nppinteh.com</t>
  </si>
  <si>
    <t>www.ecabel.com</t>
  </si>
  <si>
    <t>ЭНЕРГО ГРУПП, ООО (23 760 руб., 99%)
ЭКМ ТРЕЙД, ООО (240 руб., 1%)</t>
  </si>
  <si>
    <t>1 159 560 000</t>
  </si>
  <si>
    <t>intraros@vladivostok.ru</t>
  </si>
  <si>
    <t>79202837241@ya.ru, akhanenko@yandex.ru, info@introplastik.com, introplastik@yandex.ru</t>
  </si>
  <si>
    <t>Ханенко Александр Владимирович (10 000 руб., 100%)</t>
  </si>
  <si>
    <t>5 400 000</t>
  </si>
  <si>
    <t>corp4@inteksar.ru, info@inteksar.ru</t>
  </si>
  <si>
    <t>inteksar.ru</t>
  </si>
  <si>
    <t>РОСТ, ООО (68 200 000 руб., 97.15%)
Островская Галина Анатольевна (2 000 000 руб., 2.84%)</t>
  </si>
  <si>
    <t>169 140 000</t>
  </si>
  <si>
    <t>bushuyeva@infamed-k.ru, secretary@infamed-k.ru</t>
  </si>
  <si>
    <t>infamed-k.ru</t>
  </si>
  <si>
    <t>Горохов Антон Андреевич (10 000 руб., 100%)</t>
  </si>
  <si>
    <t>1 834 000 000</t>
  </si>
  <si>
    <t>sgs2007@mail.ru</t>
  </si>
  <si>
    <t>16 120 000</t>
  </si>
  <si>
    <t>filimonova@infaprim.ru, info@infaprim.ru</t>
  </si>
  <si>
    <t>infaprim.ru</t>
  </si>
  <si>
    <t>117 710 000</t>
  </si>
  <si>
    <t>info@infobip.com</t>
  </si>
  <si>
    <t>www.infobip.com</t>
  </si>
  <si>
    <t>83 290 000</t>
  </si>
  <si>
    <t>info@infocomexim.ru</t>
  </si>
  <si>
    <t>infocomexim.ru</t>
  </si>
  <si>
    <t>ТРЕОЛАН ТРЕЙДИНГ ЛИМИТЕД (100 000 руб., 100%)</t>
  </si>
  <si>
    <t>makaroni.ru</t>
  </si>
  <si>
    <t>126 620 000</t>
  </si>
  <si>
    <t>bezgubova.si@inforkom.ru, slm@inforkom.ru</t>
  </si>
  <si>
    <t>Никин Михаил Павлович (2 000 000 руб., 100%)</t>
  </si>
  <si>
    <t>dmitry.kudenkov@contractor.lukoil.com, inform@lukoil.com, inform@lukoil.ru</t>
  </si>
  <si>
    <t>http://inform.lukoil.ru/ru, www.lukoil.com, www.lukoil.ru</t>
  </si>
  <si>
    <t>БАШИНФОРМСВЯЗЬ, ПАО (11 253 084.14 руб., 100%)</t>
  </si>
  <si>
    <t>175 340 000</t>
  </si>
  <si>
    <t>csvet@interfax.ru, iatender@interfax.ru, lvid@interfax.ru, sales@interfax.ru, svyatoslav.starshinov@interfax.ru, tender@interfax.ru</t>
  </si>
  <si>
    <t>www.interfax.ru</t>
  </si>
  <si>
    <t>319 410 000</t>
  </si>
  <si>
    <t>homma12@mail.ru</t>
  </si>
  <si>
    <t>Карпенков Юрий Павлович (10 000 руб., 100%)</t>
  </si>
  <si>
    <t>955 450 000</t>
  </si>
  <si>
    <t>boss@infosec.ru, e.ilin@infosec.ru, e.karas@infosec.ru, e.rybalko@infosec.ru, e.zotov@infosec.ru, g.sarkisyan@infosec.ru, l.knekova@infosec.ru, m.fayantsev@infosec.ru, market@infoses.ru, n.sharafttinova@infosec.ru</t>
  </si>
  <si>
    <t>www.infosec.ru, www.itsecurity.ru</t>
  </si>
  <si>
    <t>214 340 000</t>
  </si>
  <si>
    <t>aa.strakashin@jet.su, adm_ep@jet.su, ay.malnev@jet.su, cbosamara@mail.ru, dy.tychkin@jet.su, gv.levitskaya@jet.su, info@get.ru, info@jet.msk.su, info@jet.su, oa.artanova@jet.su</t>
  </si>
  <si>
    <t>www.jet.msk.su, www.jet.su</t>
  </si>
  <si>
    <t>1 460 130 000</t>
  </si>
  <si>
    <t>info@infocell.ru, tender@infocell.ru</t>
  </si>
  <si>
    <t>www/infocell.ru</t>
  </si>
  <si>
    <t>50 440 000</t>
  </si>
  <si>
    <t>education@infotecs.ru, operators@infotecs.ru</t>
  </si>
  <si>
    <t>www.infotecs.ru</t>
  </si>
  <si>
    <t>2 057 230 000</t>
  </si>
  <si>
    <t>tk@infra.ru</t>
  </si>
  <si>
    <t>www.infra.ru</t>
  </si>
  <si>
    <t>ЗАКРЫТЫЙ ПАЕВОЙ ИНВЕСТИЦИОННЫЙ ФОНД КОМБИНИРОВАННЫЙ "ИНЖИНИРИНГ И ТЕХНОЛОГИИ" (11 000 000 руб., 100%)</t>
  </si>
  <si>
    <t>195 610 000</t>
  </si>
  <si>
    <t>zsk@nornik.ru, zsk@us.nk.nornik.ru</t>
  </si>
  <si>
    <t>www.ooozsk.ru, ооозск.рф</t>
  </si>
  <si>
    <t>ГМК НОРИЛЬСКИЙ НИКЕЛЬ, ПАО (4 533 314 870.77 руб., 100%)</t>
  </si>
  <si>
    <t>info@ru.yokogawa.com</t>
  </si>
  <si>
    <t>www.yokogawa.ru</t>
  </si>
  <si>
    <t>ФИРМА "ИОКОГАВА ЭЛЕКТРИК КОРПОРЭЙШН" (100 000 000 руб., 100%)</t>
  </si>
  <si>
    <t>98 320 000</t>
  </si>
  <si>
    <t>buhiomz@iomz.ru, office@iomz.ru, ovo@iomz.ru, tab@iomz.ru</t>
  </si>
  <si>
    <t>iomz.ru</t>
  </si>
  <si>
    <t>93 000 000</t>
  </si>
  <si>
    <t>www.ioteh.ru</t>
  </si>
  <si>
    <t>12 480 000</t>
  </si>
  <si>
    <t>efline@ipigaz.ru, info@ipigaz.iqtest5.ru, info@ipigaz.ru, info@tmn.ipigaz.ru, nfo@ipigaz.ru, tenders@ipigaz.ru</t>
  </si>
  <si>
    <t>ipigaz.ru</t>
  </si>
  <si>
    <t>Басалай Евгений Федорович (10 000 руб., 100%)</t>
  </si>
  <si>
    <t>524 000 000</t>
  </si>
  <si>
    <t>durmanovk@novipp.ru, egovorova@novipp.ru, ipp@novipp.ru, it@novipp.ru, kobzar@novipp.ru, vmochalova@novipp.ru</t>
  </si>
  <si>
    <t>НМТП, ПАО (1 718 518 840 руб., 100%)</t>
  </si>
  <si>
    <t>851 780 000</t>
  </si>
  <si>
    <t>psen.moscow@ipsen.com</t>
  </si>
  <si>
    <t>www.ipsen.com</t>
  </si>
  <si>
    <t>ФИРМА "ИПСЕН ФАРМА" (892 504 555.41 руб., 99.99%)
ЧАСТНАЯ КОМПАНИЯ ИПСЕН ФАРМАСЬЮТИКА Б.В. (89 259.38 руб., 0.010%)</t>
  </si>
  <si>
    <t>2 580 000</t>
  </si>
  <si>
    <t>АКЦИОНЕРНОЕ ОБЩЕСТВО "ИПСОС С.А." (30 800 000 руб., 100%)</t>
  </si>
  <si>
    <t>Исследование конъюнктуры рынка</t>
  </si>
  <si>
    <t>606 800 000</t>
  </si>
  <si>
    <t>ИНГРАД, ПАО (127 803 632 руб., 100%)</t>
  </si>
  <si>
    <t>d.luchak@iraero.ru, info@iraero.ru, iraero@mail.ru, magadan@iraero.ru, ms.iraero@mail.ru, t.dragomirova@iraero.ru</t>
  </si>
  <si>
    <t>www.iraero.ru</t>
  </si>
  <si>
    <t>97 890 000</t>
  </si>
  <si>
    <t>sale@irbis.elcom.ru</t>
  </si>
  <si>
    <t>gofro-zavod.ru</t>
  </si>
  <si>
    <t>Варламова Ольга Владимировна (5 000 руб., 50%)
Карпов Игорь Владимирович (5 000 руб., 50%)</t>
  </si>
  <si>
    <t>elenak@irbit-mz.ru, info@irbit-mz.ru</t>
  </si>
  <si>
    <t>irbit-mz.ru</t>
  </si>
  <si>
    <t>2@irwin2.ru, a.muchnik@irwin2.ru, ender2@irvin2.ru, gavrichenkova_vv@irwin2.ru, irvin2@irvin2.ru, irvin2@irwin2.ru, irvwin2@irwin2.ru, irwin.otgruzki@irwin2.ru, irwin1@irwin2.ru, irwin2@irvin2.ru</t>
  </si>
  <si>
    <t>www.irwin2.ru</t>
  </si>
  <si>
    <t>2 944 350 000</t>
  </si>
  <si>
    <t>a.kuznetsov@irwin.ru, a.marakhovskiy@irwin.ru, a.strelnikova@irwin2.ru, a.yakovleva@irwin.ru, e.khudenko@irwin.ru, i.patlasov@irwin2.ru, info@irvin.ru, info@irwin.ru, invin.otgmzki@irwin.ru, irvin.otgruzki@irvin.ru</t>
  </si>
  <si>
    <t>irwin.ru</t>
  </si>
  <si>
    <t>424 730 000</t>
  </si>
  <si>
    <t>belykh@irgiredmet.ru, gold@irgiredmet.ru</t>
  </si>
  <si>
    <t>irgiredmet.ru</t>
  </si>
  <si>
    <t>marina.15r@mail.ru</t>
  </si>
  <si>
    <t>Уртаева Марина Хазбиевна (15 000 руб., 100%)</t>
  </si>
  <si>
    <t>buh.rnd.irjt@mail.ru</t>
  </si>
  <si>
    <t>PARIMA LIMITED (9 000 руб., 90%)
Прокопенко Станислав Александрович (1 000 руб., 10%)</t>
  </si>
  <si>
    <t>Торговля оптовая эксплуатационными материалами и принадлежностями машин</t>
  </si>
  <si>
    <t>www.irz.ru</t>
  </si>
  <si>
    <t>ИРЗ, АО (1 700 000 руб., 50%)
Рогозин Леонид Александрович (1 189 942.2 руб., 35%)
Шихиев Рустам Имранович (509 989.8 руб., 15%)</t>
  </si>
  <si>
    <t>538 480 000</t>
  </si>
  <si>
    <t>6520965@mail.ru, yanta@irk.ru, zhircom@yandex.ru</t>
  </si>
  <si>
    <t>www.yanta.ru</t>
  </si>
  <si>
    <t>Баймашева Тамара Ивановна (17 500 руб., 25.59%)
Баймашев Дмитрий Закарьевич (11 557 руб., 16.90%)
Баймашев Евгений Закарьевич (10 492 руб., 15.34%)
Залуцкий Олег Анатольевич (8 109 руб., 11.86%)
ЯНТА-Т, ООО (5 577 руб., 8.15%)
МОЛОКО, ООО (4 584 руб., 6.70%)
Губская Валентина Николаевна (2 901 руб., 4.24%)
Фомина Людмила Гавриловна (2 216 руб., 3.24%)
Кобыляцкая Раиса Васильевна (2 000 руб., 2.92%)
Молодцов Анатолий Иванович (1 050 руб., 1.53%)
...*</t>
  </si>
  <si>
    <t>692 630 000</t>
  </si>
  <si>
    <t>grif@irkutskkabel.ru, info@irkutskkabel.ru, secretary@irkutskkabel.ru</t>
  </si>
  <si>
    <t>www.irkutskkabel.ru</t>
  </si>
  <si>
    <t>Компания с огран.ответ."DОLЕN INVЕSТМЕNТS LIМIТЕD" (реестр акц. от 22.04.14) (100%)</t>
  </si>
  <si>
    <t>avenergo@yandex.ru, bryuhanava_ea1@irkutskenergo.ru, bryuhanjva_ea@irkutskenergo.ru, dert_irk@es.irkutskenergo.ru, ener@go.ru, fedoseeva@avk.irtel.ru, fedosovanu@irkutskenergo.ru, frolova_ta@irkutskenergo.ru, harlova_av@es.irkutskenergo.ru, irkutenergo@yandex.ru</t>
  </si>
  <si>
    <t>ЕВРОСИБЭНЕРГО, АО (62.39%)
ЕВРОСИБЭНЕРГО-ГИДРОГЕНЕРАЦИЯ, ООО (36.03%)</t>
  </si>
  <si>
    <t>231354@mail.ru, 3808166404@mail.ru, 795570@mail.ru, _vostochnoye@es.ircutskenergo.ru, _vostochnoye@es.irkutskenergo.ru, aksenov_vp@es.irkutskenergo.ru, akulova@mail.ru, akulova_ea@es.irutskenergo.ru, akulova_ev@es.irkutskenergo.ru, angarsk@es.irkutskenergo.ru</t>
  </si>
  <si>
    <t>http://www.sbyt.irkutskenergo.ru/</t>
  </si>
  <si>
    <t>ИРКУТСКЭНЕРГО, АО (644 000 000 руб., 100%)</t>
  </si>
  <si>
    <t>381 500 000</t>
  </si>
  <si>
    <t>denis.irmeny@mail.ru, irmeny@mail.ru, irmeny@yandex.ru</t>
  </si>
  <si>
    <t>irmen.ru</t>
  </si>
  <si>
    <t>291 280 000</t>
  </si>
  <si>
    <t>info@irna-fish.ru, irna-nakhodka@rambler.ru, irna@ablogic.ru, irna_tpk@mail.ru</t>
  </si>
  <si>
    <t>Сон Виталий Борисович (535 300 руб., 53%)
Сон Вячеслав Борисович (474 700 руб., 47%)</t>
  </si>
  <si>
    <t>260 980 000</t>
  </si>
  <si>
    <t>svetlana.tcyngueva@nordgold.ru</t>
  </si>
  <si>
    <t>БУРЯТЗОЛОТО, ПАО (1 141 724 354 руб., 100%)</t>
  </si>
  <si>
    <t>1 220 820 000</t>
  </si>
  <si>
    <t>evtikhiev@mail.ru, mail@ntoire-polus.ru</t>
  </si>
  <si>
    <t>www.ipgphotonics.com</t>
  </si>
  <si>
    <t>АЙ ПИ ДЖИ ЛАЗЕР ГМБХ (IРG LАSЕR GМВН) (349 772 625.41 руб., 99.92%)
Ай-Пи-Джи Фотоникс Корпорэйшн (280 040.82 руб., 0.080%)</t>
  </si>
  <si>
    <t>2 307 020 000</t>
  </si>
  <si>
    <t>info@iscpetro.ru, karimova_ev@iscpetro.ru</t>
  </si>
  <si>
    <t>www.iscpetro.ru</t>
  </si>
  <si>
    <t>Гаджиев Салих Гиланиевич (700 000 руб., 70%)
Разумная Екатерина Александровна (300 000 руб., 30%)</t>
  </si>
  <si>
    <t>isk-korma@yandex.ru, isk_titov@mail.ru</t>
  </si>
  <si>
    <t>iskitim-korma.ru</t>
  </si>
  <si>
    <t>Степура Вадим Викторович (10 000 руб., 100%)</t>
  </si>
  <si>
    <t>274 170 000</t>
  </si>
  <si>
    <t>cement@ratm.ru, info.iskcem@sibcem.ru, iscement@iskitimcement.ru, ukfvs@iskitimcement.ru</t>
  </si>
  <si>
    <t>www.iskitimcement.ru</t>
  </si>
  <si>
    <t>1 027 100 000</t>
  </si>
  <si>
    <t>asu@iskog.kirov.ru, asu@iskoq.kirov.ru, bez@iskosh.ru, ds@iskoj.kirov.ru, faybvl@iskoj.ru, hilindv@iskoj.ru, info@iskoj.kirov.ru, info@iskoj.ru, info@iskosh.ru, info@iskozh.ru</t>
  </si>
  <si>
    <t>www.iskoj.ru</t>
  </si>
  <si>
    <t>Иванов Александр Григорьевич (50.00%)
Зонов Владимир Николаевич (25.32%)
Иванов Андрей Александрович (8.59%)
Шешегов Андрей Павлович (2.00%)
Бобров Александр Николаевич (1.51%)</t>
  </si>
  <si>
    <t>Производство прочих резиновых изделий</t>
  </si>
  <si>
    <t>108 620 000</t>
  </si>
  <si>
    <t>kirillova_iskra@mail.ru</t>
  </si>
  <si>
    <t>zao-iskra.ru</t>
  </si>
  <si>
    <t>1 040 000 000</t>
  </si>
  <si>
    <t>igashevaleksandr@npoiskra.ru, info@npoiskra.ru</t>
  </si>
  <si>
    <t>www.iskra.perm.ru, www.npoiskra.ru</t>
  </si>
  <si>
    <t>ОРКК, АО (96.19%)</t>
  </si>
  <si>
    <t>personal.manager@israteks.com</t>
  </si>
  <si>
    <t>Мокаев Имам Эдуардович (500 000 000 руб., 100%)</t>
  </si>
  <si>
    <t>540 850 000</t>
  </si>
  <si>
    <t>t.tsygankova@issi-group.ru</t>
  </si>
  <si>
    <t>issi-spirits.ru</t>
  </si>
  <si>
    <t>УК АЛЬЯНС, ООО (10 000 000 руб., 100%)</t>
  </si>
  <si>
    <t>8 540 000</t>
  </si>
  <si>
    <t>erhan.ince@eastcon.tech, vladislav.loginov@geotech.in</t>
  </si>
  <si>
    <t>ПИК-ИНВЕСТПРОЕКТ, ООО (10 000 руб., 100%)</t>
  </si>
  <si>
    <t>ИСТ ТРЕЙД ФИНАНС, ООО (10 000 руб., 100%)</t>
  </si>
  <si>
    <t>172@isttd.ru</t>
  </si>
  <si>
    <t>УК ИСТ ТРЕЙД, ООО (650 000 руб., 65%)
ИСТ ТРЕЙД ФИНАНС, ООО (350 000 руб., 35%)</t>
  </si>
  <si>
    <t>12 980 000</t>
  </si>
  <si>
    <t>ИСТ-ВЕСТ, ООО (100 000 руб., 100%)</t>
  </si>
  <si>
    <t>292 710 000</t>
  </si>
  <si>
    <t>office@ict-kolyma.ru</t>
  </si>
  <si>
    <t>ict-kolyma.ru</t>
  </si>
  <si>
    <t>Кузаков Валентин Владимирович (50 000 руб., 100%)</t>
  </si>
  <si>
    <t>233 400 000</t>
  </si>
  <si>
    <t>Асраров Бобир Ахрарович (33 000 руб., 66%)
Акопян Сергей Арамович (17 000 руб., 34%)</t>
  </si>
  <si>
    <t>119 500 000</t>
  </si>
  <si>
    <t>istok-liski@mail.ru</t>
  </si>
  <si>
    <t>Вдовин Руслан Вячеславович (10 000 руб., 100%)</t>
  </si>
  <si>
    <t>20 840 000</t>
  </si>
  <si>
    <t>office@isuzutrucrs.ru</t>
  </si>
  <si>
    <t>828 880 000</t>
  </si>
  <si>
    <t>ishzk@kntgroup.ru</t>
  </si>
  <si>
    <t>Усманов Ильшат Фаритович (106 250 руб., 42.50%)
Тагиров Айдар Шамилевич (100 000 руб., 40%)
Рахматуллин Эльвир Маратович (43 750 руб., 17.50%)</t>
  </si>
  <si>
    <t>112 060 000</t>
  </si>
  <si>
    <t>t.maltseva@ugmk-stroy.ru, v.kotlechkov@ugmk-stroy.ru</t>
  </si>
  <si>
    <t>ivan.pudov@itecorp.ru, sale@itecorp.ru, scnn@itecorp.ru</t>
  </si>
  <si>
    <t>itecors.ru</t>
  </si>
  <si>
    <t>Техническое обслуживание и ремонт прочих автотранспортных средств</t>
  </si>
  <si>
    <t>19 560 000</t>
  </si>
  <si>
    <t>hr@itecorp.ru, info@itecorp.ru, konstantin.petrenko@itecorp.ru, viktoriya.vtorushina@itecorp.ru, vyacheslav.kudinov@itecorp.ru</t>
  </si>
  <si>
    <t>itecorp.ru, итеко.рф</t>
  </si>
  <si>
    <t>Бабаев Евгений Александрович (900 000 000 руб., 90%)
Калашников Дмитрий Алексеевич (100 000 000 руб., 10%)</t>
  </si>
  <si>
    <t>356 380 000</t>
  </si>
  <si>
    <t>balabanovo@inbox.ru</t>
  </si>
  <si>
    <t>1 870 720 000</t>
  </si>
  <si>
    <t>office@logitern.ru</t>
  </si>
  <si>
    <t>arvest-m.ru</t>
  </si>
  <si>
    <t>Поляков Андрей Николаевич (3 573 500 руб., 70%)
Поляков Виталий Петрович (765 750 руб., 15%)
Федорова Ирина Юрьевна (765 750 руб., 15%)</t>
  </si>
  <si>
    <t>Хранение и складирование прочих грузов</t>
  </si>
  <si>
    <t>746 040 000</t>
  </si>
  <si>
    <t>СПХ, ООО ТД (10 000 руб., 100%)</t>
  </si>
  <si>
    <t>154 350 000</t>
  </si>
  <si>
    <t>marasanova@itraco.ru, marasanova@itrako.ru, russia@itraco.ru, s.morozova@itraco.ru</t>
  </si>
  <si>
    <t>itraco.ru</t>
  </si>
  <si>
    <t>ifc@ifc-leasing.com, ifk@uacrussia.ru</t>
  </si>
  <si>
    <t>www.ifc-leasing.com</t>
  </si>
  <si>
    <t>Аренда и лизинг воздушных судов и авиационного оборудования</t>
  </si>
  <si>
    <t>www.cnhindustrialcapital.com</t>
  </si>
  <si>
    <t>ЭКСПОКАП, ООО (640 740 000 руб., 100%)</t>
  </si>
  <si>
    <t>120 520 000</t>
  </si>
  <si>
    <t>d.voeca@arks.ru, ifcc@arks.ru, info@arks.ru, m.chelyadin@arks.ru</t>
  </si>
  <si>
    <t>www.arks.ru</t>
  </si>
  <si>
    <t>Денисов Алексей Сергеевич (16 000 000 руб., 80%)
СПЕЙСХОЛД ЛИМИТЕД (4 000 000 руб., 20%)</t>
  </si>
  <si>
    <t>oilteam.ru</t>
  </si>
  <si>
    <t>КОМПАНИЯ ОЙЛТИМ, ООО (30 000 руб., 100%)</t>
  </si>
  <si>
    <t>377 080 000</t>
  </si>
  <si>
    <t>kryuchkov@euroet.ru</t>
  </si>
  <si>
    <t>www.euroet.ru</t>
  </si>
  <si>
    <t>ЕВРОПЕЙСКАЯ ЭЛЕКТРОТЕХНИКА, ПАО (3 141 700 руб., 100%)</t>
  </si>
  <si>
    <t>284 190 000</t>
  </si>
  <si>
    <t>www.ackye.ru</t>
  </si>
  <si>
    <t>ЗАКРЫТЫЙ ПАЕВОЙ ИНВЕСТИЦИОННЫЙ КОМБИНИРОВАННЫЙ ФОНД "КОМПЛЕКСНЫЕ ИНВЕСТИЦИИ" (3 520 000 руб., 88%)
Сеу Сильвиян Иванович (480 000 руб., 12%)</t>
  </si>
  <si>
    <t>40 840 000</t>
  </si>
  <si>
    <t>ic@energystroy.ru, ic@enrgystroy.ru, marina.skokova@gmail.com</t>
  </si>
  <si>
    <t>ЛЕЩ ДЕВЕЛОПМЕНТ, ООО (936 842 руб., 100%)</t>
  </si>
  <si>
    <t>95 670 000</t>
  </si>
  <si>
    <t>i.kargapolova@ishim-agro.ru, o.ogarkova@ishim-agro.ru, sekretar-imk@ishim-agro.ru</t>
  </si>
  <si>
    <t>ishim-agro.ru</t>
  </si>
  <si>
    <t>ПЛЕМЗАВОД-ЮБИЛЕЙНЫЙ, ЗАО (10 000 руб., 100%)</t>
  </si>
  <si>
    <t>inec@ineccommunal.ru, info@ineccommunal.ru</t>
  </si>
  <si>
    <t>boytcova_lu@irkutskenergo.ru, dobrinina@qes.irkutskenergo.ru, dobrynina@es.irkutskenergo.ru, energiy@yandex.ru, grigorashenko_aa@ves.irkutskenergo.ru, gurzina_mn@qes.irkutskenergo.ru, iesk@mail.ru, ipskelek@mail.ru, isek@mail.ru, karataev_bn@irkutskenergo.ru</t>
  </si>
  <si>
    <t>info@yrpz.yokohamatire.com</t>
  </si>
  <si>
    <t>www.yokohama-rpz.ru, www.yokohama.ru</t>
  </si>
  <si>
    <t>ЙОКОХАМА РАББЕР КОМПАНИ ЛИМИТЕД (5 691 443 000 руб., 99.99%)
ЙОКОХАМА РУС, ООО (10 000 руб., 0.00020%)</t>
  </si>
  <si>
    <t>inform@yola-mkt.ru</t>
  </si>
  <si>
    <t>www.yola-mkt.ru</t>
  </si>
  <si>
    <t>irinazinych@mail.ru, k31city02@mail.ru</t>
  </si>
  <si>
    <t>med31.ru</t>
  </si>
  <si>
    <t>anton.golikov@mobile-win.ru, info@mobile-win.ru</t>
  </si>
  <si>
    <t>mobile-win.ru</t>
  </si>
  <si>
    <t>АЙСИ ИНВЕСТ, АО (10 000 руб., 100%)</t>
  </si>
  <si>
    <t>Деятельность в области связи на базе беспроводных технологий</t>
  </si>
  <si>
    <t>1 959 900 000</t>
  </si>
  <si>
    <t>74959741064@mail.ru, info@k2int.ru, konkurs@k2int.ru, mail@ckrok.ru, mail@k2int.ru, mail@kkrok.ru</t>
  </si>
  <si>
    <t>https://k2int.ru/</t>
  </si>
  <si>
    <t>export@korona-auto.com</t>
  </si>
  <si>
    <t>Наполов Константин Александрович (25 040 000 руб., 50%)
Шульга Роман Александрович (25 040 000 руб., 50%)</t>
  </si>
  <si>
    <t>301 180 000</t>
  </si>
  <si>
    <t>hmp2@cable-all.ru, hmp4@cable-all.ru, kmp1@cable-all.ru, msk1@cable-all.ru, office@cable-all.ru</t>
  </si>
  <si>
    <t>cable-all.ru</t>
  </si>
  <si>
    <t>Тихонов Владимир Владимирович (700 000 руб., 70%)
Черепанов Юрий Вячеславович (300 000 руб., 30%)</t>
  </si>
  <si>
    <t>128 070 000</t>
  </si>
  <si>
    <t>kudrjvceva@alur.ru</t>
  </si>
  <si>
    <t>www.alur.ru</t>
  </si>
  <si>
    <t>Бобров Алексей Петрович (10 000 руб., 100%)</t>
  </si>
  <si>
    <t>81 760 000</t>
  </si>
  <si>
    <t>urka.kirillov2015@yandex.ru, uro@tmk2000.ru</t>
  </si>
  <si>
    <t>kabexcontent.ru</t>
  </si>
  <si>
    <t>КОМБИНИРОВАННЫЙ ЗАКРЫТЫЙ ПАЕВОЙ ИНВЕСТИЦИОННЫЙ ФОНД "БИЗНЕС ЭВОЛЮЦИЯ" (1 000 000 руб., 100%)</t>
  </si>
  <si>
    <t>308 510 000</t>
  </si>
  <si>
    <t>Пугачева Марина Юрьевна (100 000 руб., 100%)</t>
  </si>
  <si>
    <t>Торговля оптовая цветными металлами в первичных формах, кроме драгоценных</t>
  </si>
  <si>
    <t>28 010 000</t>
  </si>
  <si>
    <t>danilpskov@ya.ru</t>
  </si>
  <si>
    <t>Титов Александр Анатольевич (101 000 руб., 100%)</t>
  </si>
  <si>
    <t>5 590 000</t>
  </si>
  <si>
    <t>cement@svkchr.stavropol.ru, iamuratova@eurocem.ru, lichogrud@eurocem.ru</t>
  </si>
  <si>
    <t>634 200 000</t>
  </si>
  <si>
    <t>mail@kazanzerno.ru</t>
  </si>
  <si>
    <t>kazmeln.ru</t>
  </si>
  <si>
    <t>ПТИЦЕВОДЧЕСКИЙ КОМПЛЕКС АК БАРС, ООО (457 509 237.5 руб., 81.28%)
АРСКИЙ ЭЛЕВАТОР, АО (105 376 770 руб., 18.72%)</t>
  </si>
  <si>
    <t>Производство продуктов мукомольной и крупяной промышленности</t>
  </si>
  <si>
    <t>МИЛКОМ, АО (370 000 000 руб., 100%)</t>
  </si>
  <si>
    <t>20 190 000</t>
  </si>
  <si>
    <t>benetton@lmexpress.ru, ru_info@benetton.com</t>
  </si>
  <si>
    <t>ru.benetton.com</t>
  </si>
  <si>
    <t>БЕНЕТТОН РУССИЯ, ООО (2 117 010 000 руб., 100%)</t>
  </si>
  <si>
    <t>compr@kazan.ru, info@hms-kkm.ru, nfo@hms-kgm.ru</t>
  </si>
  <si>
    <t>www.compressormash.ru</t>
  </si>
  <si>
    <t>1 549 720 000</t>
  </si>
  <si>
    <t>faritgaleev@pochta.ru, gilyazievagkh@rt.sibur.ru, gvv.kazan@tatar.ru, market@kos.ru, minigulov@kos.ru, ocb@kos.ru, pr_safin@sibur.ru, rifkat.bakirov@tatar.ru, sanatorium@kos.ru</t>
  </si>
  <si>
    <t>grey@kds.kazan.ru, kazdorstroy@inbox.ru, nikolaev.kds@gmail.com, p3kdsf@rambler.ru, ptokds@rambler.ru</t>
  </si>
  <si>
    <t>cdokms@yandex.ru, kazmetro@mi.ru, kazmetrostroy@mail.ru, kgbkr@bk.ru</t>
  </si>
  <si>
    <t>64 720 000</t>
  </si>
  <si>
    <t>nataliavip8@gmail.com</t>
  </si>
  <si>
    <t>kaz-prom.ru</t>
  </si>
  <si>
    <t>Степанова Наталия Владимировна (10 000 руб., 100%)</t>
  </si>
  <si>
    <t>25 210 000</t>
  </si>
  <si>
    <t>kazm@mail.ru, ko41@mail.ru</t>
  </si>
  <si>
    <t>Болтов Александр Иванович (n/a)
Кемпф Александр Яковлевич (n/a)
Левченко Алексей Владимирович (n/a)
Остриков Александр Васильевич (n/a)
Охрименко Андрей Анатольевич (n/a)
Панченко Игорь Павлович (n/a)
Ресть Олег Александрович (n/a)
Тягунов Юрий Владимирович (n/a)
Шумский Сергей Александрович (n/a)</t>
  </si>
  <si>
    <t>847 170 000</t>
  </si>
  <si>
    <t>2111374@mail.ru, 2111717@mail.ru, 2116633@kazenergo.com, 2116633@razenergo.com, 216622@mail.ru, azenergo@mail.ru, f2@ro16.fss.ru, info@kazanenergo.com, info@kazenergo.ru, kaz@tatr.ru</t>
  </si>
  <si>
    <t>kalevalaosb.ru</t>
  </si>
  <si>
    <t>КОМПАКТ-ХОЛДИНГ, ЗАО (608 069 158 руб., 100%)</t>
  </si>
  <si>
    <t>1 330 640 000</t>
  </si>
  <si>
    <t>diakov@surgutneftegas.ru, franz_eu@surgutneftegas.ru, kartel_aa@surgutneftegas.ru, knp@baltnet.ru, knp@surgutneftegas39.ru, oopk@surgutneftegas39.ru, out.knp@surgutneftegas.ru, sokolova@surgutneftegas.r, timonich_nn@surgutneftegas.ru</t>
  </si>
  <si>
    <t>СУРГУТНЕФТЕГАЗ, ПАО (200 000 руб., 100%)</t>
  </si>
  <si>
    <t>sobolev_nv@interrao.ru</t>
  </si>
  <si>
    <t>kaliningradenergy.ru</t>
  </si>
  <si>
    <t>РОСНЕФТЕГАЗ, АО (91 518 090 000 руб., 100%)
ИНТЕР РАО, ПАО (10 000 руб.)</t>
  </si>
  <si>
    <t>e.shmorgun@ambercombine.ru, luserg1@rambler.ru, mail@ambercombine.ru, n.belyakova@ambercombine.ru</t>
  </si>
  <si>
    <t>ambercombine.ru</t>
  </si>
  <si>
    <t>РОСТЕХ, ГОСУДАРСТВЕННАЯ КОРПОРАЦИЯ (1 034 499 000 руб.)</t>
  </si>
  <si>
    <t>Добыча драгоценных и полудрагоценных камней, кроме алмазов</t>
  </si>
  <si>
    <t>414 300 000</t>
  </si>
  <si>
    <t>asu@kts39.ru, dogovor1@kts39.ru, info@2kts39.ru, info@kst39.ru, nfo@kts39.ru, salmin@kts39.ru, teplo@baltnet.ru</t>
  </si>
  <si>
    <t>Калининградская обл, ГОРОДСКОЙ ОКРУГ "ГОРОД КАЛИНИНГРАД" (965 642 670.85 руб., 100%)</t>
  </si>
  <si>
    <t>chinkin@tds1.ru</t>
  </si>
  <si>
    <t>Саттаров Руслан Исламович (10 000 руб., 100%)</t>
  </si>
  <si>
    <t>Производство крупы и гранул из зерновых культур</t>
  </si>
  <si>
    <t>kgs@kaluga.ru</t>
  </si>
  <si>
    <t>www.kgs.kaluga.ru</t>
  </si>
  <si>
    <t>mail@krpms.ru</t>
  </si>
  <si>
    <t>krpms.ru</t>
  </si>
  <si>
    <t>Дубровин Александр Вячеславович (500 000 руб., 50%)
Дубровина Наталья Вячеславовна (500 000 руб., 50%)</t>
  </si>
  <si>
    <t>268 750 000</t>
  </si>
  <si>
    <t>4027022305_402701001@eo.tensor.ru, farma.obp@gmail.com, farma.obp@gmail.ru, farma@kaluga.ru, gp_ubp@bk.ru, klgfarma@mail.ru, medtechtech@yandex.ru</t>
  </si>
  <si>
    <t>klgfarma.ru</t>
  </si>
  <si>
    <t>Калужская обл (237 500 000 руб., 100%)</t>
  </si>
  <si>
    <t>stanislav.blotskiy@ekoniva-apk.com</t>
  </si>
  <si>
    <t>ЭКОНИВА-АПК ХОЛДИНГ, ООО (31 041 700 руб., 100%)</t>
  </si>
  <si>
    <t>1@kskkaluga.ru, 4004007269@sabylink.ru, 55265@mail.ru, admstarki64@mail.ru, aleksandrova@ksk.obninsk.ru, annamanuilova83@mail.ru, annenki.2010@mail.ru, annenki.2010@yandex.ru, annenki2010@yandez.ru, atm.kl@kaluga.ru</t>
  </si>
  <si>
    <t>http://www.energysale.su, www.ksc.kaluga.ru, www.ksc.kaluga.ru/?content=dir&amp;id=51</t>
  </si>
  <si>
    <t>КГЭК, АО (67.58%)
КСК-ИНВЕСТ, ООО (17.92%)</t>
  </si>
  <si>
    <t>sofiya.malakhova@calzedonia.ru</t>
  </si>
  <si>
    <t>www.intimissimi.com</t>
  </si>
  <si>
    <t>КАЛЬЦЕДОНИЯ С.П.А. (159 408 600 руб., 79.70%)
КАЛЬЦЕДОНИЯ ФИНАНЦИАРИЯ С. А. (40 591 400 руб., 20.30%)</t>
  </si>
  <si>
    <t>1 984 260 000</t>
  </si>
  <si>
    <t>drozhilkina-nv@cbk-kama.ru, systerova-iu@cbk-kama.ru</t>
  </si>
  <si>
    <t>ОГМЕНТ ИНВЕСТМЕНТС ЛИМИТЕД, МКООО (760 200 000 руб., 100%)</t>
  </si>
  <si>
    <t>1 689 670 000</t>
  </si>
  <si>
    <t>abarencheva@centropolymer.ru</t>
  </si>
  <si>
    <t>www.kama-plastic.ru</t>
  </si>
  <si>
    <t>РЭВАРД ИНВЕСТ, ООО (3 757 500 руб., 75%)
Завьялов Алексей Вадимович (1 252 500 руб., 25%)</t>
  </si>
  <si>
    <t>133 760 000</t>
  </si>
  <si>
    <t>buhg.izh@kateko.ru, kamavtokom.izhevsk@gmail.com, tender.izhevsk@kateko.ru</t>
  </si>
  <si>
    <t>http://kamaz-rus.ru/</t>
  </si>
  <si>
    <t>Блинов Андрей Николаевич (7 000 руб., 70%)
Гарманов Игорь Митрофанович (3 000 руб., 30%)</t>
  </si>
  <si>
    <t>12 760 000</t>
  </si>
  <si>
    <t>9128330020@mail.ru, atc29van@mail.ru</t>
  </si>
  <si>
    <t>kamaz45.ru</t>
  </si>
  <si>
    <t>Воробьев Алексей Николаевич (10 000 руб., 100%)</t>
  </si>
  <si>
    <t>feedback@ya-retail.ru, o.lihacheva@ya-retail.ru</t>
  </si>
  <si>
    <t>http://узнайярче.рф/</t>
  </si>
  <si>
    <t>ЯРЧЕ, ООО (717 300 000 руб., 100%)</t>
  </si>
  <si>
    <t>azaxarova@kbkf.ru, kbkf@kbkf.ru</t>
  </si>
  <si>
    <t>www.kbkf.ru</t>
  </si>
  <si>
    <t>3 359 980 000</t>
  </si>
  <si>
    <t>Аджамян Моника Агитовна (10 000 руб., 100%)</t>
  </si>
  <si>
    <t>ahmetov.rais@stanki.ru, shatravka@stanki.ru</t>
  </si>
  <si>
    <t>air.stanki.ru, lasermann.ru</t>
  </si>
  <si>
    <t>ГРАН, ООО (100 000 руб., 100%)</t>
  </si>
  <si>
    <t>34 910 000</t>
  </si>
  <si>
    <t>mia55@yandex.ru</t>
  </si>
  <si>
    <t>http://www.cummins.ru/, www.cummins.com</t>
  </si>
  <si>
    <t>"КАММИНЗ ПАУЭР ДЖЕНЕРЭЙШН ИНК." (9 157 833 руб., 99.90%)
ЭлЭлСи "Камминз Интернейшнл Файненс" (9 167 руб., 0.10%)</t>
  </si>
  <si>
    <t>1 428 520 000</t>
  </si>
  <si>
    <t>kampansahar.ru</t>
  </si>
  <si>
    <t>Зайцев Игорь Валентинович (10 000 руб., 100%)</t>
  </si>
  <si>
    <t>4 880 000</t>
  </si>
  <si>
    <t>vasco@ieo.ru</t>
  </si>
  <si>
    <t>camparigroup.com, www.vasco.ru</t>
  </si>
  <si>
    <t>Davide Campari-Milano N.V. (210 000 000 руб., 100%)</t>
  </si>
  <si>
    <t>205 290 000</t>
  </si>
  <si>
    <t>tatiana.karpuntsova@frieslandcampina.com</t>
  </si>
  <si>
    <t>www.campina.ru, www.frieslandcampina.ru</t>
  </si>
  <si>
    <t>"ЭРМАНН АГ ОБЕРШЁНЕГГ ИМ АЛЛЬГОЙ" (1 260 842 478 руб., 100%)</t>
  </si>
  <si>
    <t>220 750 000</t>
  </si>
  <si>
    <t>aidagulov@kambekon.ru, info@kambekon.ru</t>
  </si>
  <si>
    <t>kambekon.ru</t>
  </si>
  <si>
    <t>Галяутдинов Ильдар Хайдарович (199 999 990 руб., 100%)
Галяутдинова Эльза Хайдаровна (10 руб.)</t>
  </si>
  <si>
    <t>974 140 000</t>
  </si>
  <si>
    <t>info@kamss.net, zimonina.og@kamss.net</t>
  </si>
  <si>
    <t>www.kamss.ru</t>
  </si>
  <si>
    <t>Гюнашян Игорь Грантович (10 000 руб., 50%)
Аксенова Анастасия Сергеевна (5 000 руб., 25%)
Хомяков Сергей Васильевич (5 000 руб., 25%)</t>
  </si>
  <si>
    <t>1 537 350 000</t>
  </si>
  <si>
    <t>artischeva.om@kamss.net, durneva.nf@kamss.net, nfo@kamss.net</t>
  </si>
  <si>
    <t>Гюнашян Игорь Грантович (7 715 000 руб., 50%)
Хомяков Сергей Васильевич (3 857 500 руб., 25%)
Аксенова Анастасия Сергеевна (3 856 250 руб., 24.99%)
Горностаев Сергей Алексеевич (1 250 руб., 0.010%)</t>
  </si>
  <si>
    <t>570 600 000</t>
  </si>
  <si>
    <t>kamtex-perm@yandex.ru, reception@kamtex.org, yur-pnv@kamtex.org</t>
  </si>
  <si>
    <t>www.kamtex-himprom.ru</t>
  </si>
  <si>
    <t>РЕМИКОН, ООО (33.76%)
РОСТПЛАСТ, ООО (20.06%)
Архангельская Алла Анатольевна (17.36%)
Иванов Игорь Андреевич (5.20%)
Пантелеев Евгений Валентинович (0.31%)</t>
  </si>
  <si>
    <t>971 090 000</t>
  </si>
  <si>
    <t>Иванов Валерий Евгеньевич (100 000 руб., 100%)</t>
  </si>
  <si>
    <t>369 360 000</t>
  </si>
  <si>
    <t>elena.stepanova@primcrab.ru</t>
  </si>
  <si>
    <t>РУССКИЙ КРАБ, ООО (9 999 руб., 99.99%)
Сапожников Александр Анатольевич (1 руб., 0.010%)</t>
  </si>
  <si>
    <t>2 719 920 000</t>
  </si>
  <si>
    <t>secretar_kamgold@imm-kamchatka.ru, sekretar_aup@kamgold.kamchatka.ru</t>
  </si>
  <si>
    <t>2 140 330 000</t>
  </si>
  <si>
    <t>armad@dpd.ru, info@dpd.ru, tender@dpd.ru</t>
  </si>
  <si>
    <t>www.dpd.ru</t>
  </si>
  <si>
    <t>Деятельность почтовой связи общего пользования</t>
  </si>
  <si>
    <t>907 390 000</t>
  </si>
  <si>
    <t>1838761@mail.ru, tv11960@mail.ru, tvl1960@mail.ru, volosatovai@mail.ru</t>
  </si>
  <si>
    <t>Торопов Гавриил Владимирович (10 000 руб., 100%)</t>
  </si>
  <si>
    <t>candyhoover.ru</t>
  </si>
  <si>
    <t>Канди Электродоместичи С.Р.Л. (800 000 руб., 100%)</t>
  </si>
  <si>
    <t>info@canon.ru</t>
  </si>
  <si>
    <t>www.canon.ru</t>
  </si>
  <si>
    <t>АКЦИОНЕРНОЕ ОБЩЕСТВО "КАНОН ЕВРОПА НВ" (22 954 556.47 руб., 99.90%)
КОМПАНИЯ С ОГРАНИЧЕННОЙ ОТВЕТСТВЕННОСТЬЮ "КАНОН ЕВРОПА ЛИМИТЕД" (22 977.53 руб., 0.10%)</t>
  </si>
  <si>
    <t>371 390 000</t>
  </si>
  <si>
    <t>info@capitalgroup.ru, podolyak@capitalgroupcorp.com</t>
  </si>
  <si>
    <t>www.capitalgroup.ru</t>
  </si>
  <si>
    <t>КАПИТАЛ ГРУП ДЕВЕЛОПМЕНТ, ООО (4 500 000 руб., 100%)</t>
  </si>
  <si>
    <t>anciferova_elena@rcc-group.ru, bataev@kapcity.ru</t>
  </si>
  <si>
    <t>РАШН КОППЕР КОМПАНИ ТЕКНОЛОДЖИ ЛИМИТЕД, МКООО (59 957 262 руб., 100%)</t>
  </si>
  <si>
    <t>213 430 000</t>
  </si>
  <si>
    <t>info3@kapytel.ru, info@kapytel.ru, nejnov@kapytel.ru</t>
  </si>
  <si>
    <t>kapytel.ru</t>
  </si>
  <si>
    <t>Минкин Игорь Александрович (120 000 руб., 80%)
Нежнов Руслан Сергеевич (30 000 руб., 20%)</t>
  </si>
  <si>
    <t>86 630 000</t>
  </si>
  <si>
    <t>bux@kapo-kzn.ru</t>
  </si>
  <si>
    <t>kapo-rb.ru</t>
  </si>
  <si>
    <t>Минаев Константин Владимирович (16 000 руб., 100%)</t>
  </si>
  <si>
    <t>116 000 000</t>
  </si>
  <si>
    <t>Индык Сергей Витальевич (5 100 руб., 51%)
Мельников Олег Вячеславович (4 900 руб., 49%)</t>
  </si>
  <si>
    <t>2 720 000</t>
  </si>
  <si>
    <t>amk@td-ks.ru, kontur@partner-mos.ru</t>
  </si>
  <si>
    <t>td-ks.ru</t>
  </si>
  <si>
    <t>Кашапов Айрат Маннурович (10 000 000 руб., 100%)</t>
  </si>
  <si>
    <t>503 600 000</t>
  </si>
  <si>
    <t>karina.vostrikova@ascgroup.ru, vladimir.zhelobov@ascgroup.ru</t>
  </si>
  <si>
    <t>ИМПЕРИАЛ-АВТО, ООО (10 000 руб., 100%)</t>
  </si>
  <si>
    <t>143 930 000</t>
  </si>
  <si>
    <t>esia@krkb.ru, hanteeva.e@krkb.ru, tsymbal.irina.gl@mail.ru</t>
  </si>
  <si>
    <t>http://tdkaravay.ru, krkb.ru</t>
  </si>
  <si>
    <t>Никитин Александр Валерьевич (2 148 300 руб., 99%)
Лихоман Владимир Сергеевич (21 700 руб., 1%)</t>
  </si>
  <si>
    <t>Торговля оптовая хлебобулочными изделиями</t>
  </si>
  <si>
    <t>367 360 000</t>
  </si>
  <si>
    <t>golovanova@karavay.spb.ru, karavay@karavay.spb.ru, karavay@lek.ru, moskovkina@karavay.spb.ru, stepanenko@karavay.spb.ru</t>
  </si>
  <si>
    <t>www.karavay.spb.ru</t>
  </si>
  <si>
    <t>buh_karavan@mail.ru</t>
  </si>
  <si>
    <t>Осьминин Дмитрий Львович (250 000 руб., 100%)</t>
  </si>
  <si>
    <t>info@karatsc.ru, j.mironova@karatsc.ru</t>
  </si>
  <si>
    <t>КАРАТ ИНВЕСТИЦИИ, ООО (8 000 000 руб.)</t>
  </si>
  <si>
    <t>201 080 000</t>
  </si>
  <si>
    <t>nenasheva-na@norebo.com, polykova-nv@karat-holding.com</t>
  </si>
  <si>
    <t>www.karat-holding.com</t>
  </si>
  <si>
    <t>2 116 920 000</t>
  </si>
  <si>
    <t>kotova@minwater.net, n.isakova@istoch.sibhost.ru</t>
  </si>
  <si>
    <t>www.minwater.net</t>
  </si>
  <si>
    <t>Хританков Владимир Федорович (21 000 руб., 100%)</t>
  </si>
  <si>
    <t>147 840 000</t>
  </si>
  <si>
    <t>Валетов Олег Владиславович (5 000 руб., 50%)
Закиров Ренат Исмагильевич (5 000 руб., 50%)</t>
  </si>
  <si>
    <t>501 930 000</t>
  </si>
  <si>
    <t>efremov@cargill.com, ekaterina_zamuraeva@cargill.com, krasnodar_reception@cargill.com, legal_admin@cargill.com, marina_bredikhina@cargill.com</t>
  </si>
  <si>
    <t>www.cargill.ru</t>
  </si>
  <si>
    <t>КАРГИЛЛ ИНТЕРНЕШНЛ ЛЮКСЕМБУРГ 2 С.А.Р.Л. (5 108 582 288.09 руб., 100%)</t>
  </si>
  <si>
    <t>3 028 270 000</t>
  </si>
  <si>
    <t>lr.utkina@cardinfo.ru</t>
  </si>
  <si>
    <t>cardinfo.ru, кард-инфо.рф</t>
  </si>
  <si>
    <t>Никитюк Игорь Борисович (100 000 руб., 100%)</t>
  </si>
  <si>
    <t>1 290 000</t>
  </si>
  <si>
    <t>info@cardiomedics.ru, pochta@cardiomedics.ru</t>
  </si>
  <si>
    <t>www.cardiomedics.ru</t>
  </si>
  <si>
    <t>Kolmer Holding (18 100 000 руб., 100%)</t>
  </si>
  <si>
    <t>292 180 000</t>
  </si>
  <si>
    <t>o.sviderskaya@kari.com</t>
  </si>
  <si>
    <t>www.kari.com</t>
  </si>
  <si>
    <t>ROUNDVILLE MANAGEMENT LIMITED (2 000 000 000 руб., 100%)</t>
  </si>
  <si>
    <t>3 609 640 000</t>
  </si>
  <si>
    <t>client@carcade.com, dchernyshev@carcade.com, invest@carcade.com, vartemenko@carcade.com</t>
  </si>
  <si>
    <t>ГАЗПРОМБАНК ЛИЗИНГ, АО (1 425 452 297.15 руб., 100%)</t>
  </si>
  <si>
    <t>shikanova@karkasmonolit.ru, shikanova@karkasmononlit.ru</t>
  </si>
  <si>
    <t>karkasmonolit.ru</t>
  </si>
  <si>
    <t>Кайнар Нарт Мехмет Эмин (5 555 руб., 50%)
Вашурин Игорь Юрьевич (5 000 руб., 45%)
Аляпин Дмитрий Иванович (556 руб., 5%)</t>
  </si>
  <si>
    <t>aleksandr.polyanskiy@ru.zeiss.com, contact@ru.zeiss.com, diana.fatkhutdinova@ru.zeiss.com, elena.makeeva@ru.zeiss.com, fatkhutdinova@optecgroup.com, gos@optecgroup.com, gos@r.zeiss.com, gos@ru.zeiaa.com, gos@ru.zeiss.com, gos@ru.zeizz.com</t>
  </si>
  <si>
    <t>www.zeiss-solutions.ru</t>
  </si>
  <si>
    <t>ОПТЕК ГМБХ (2 849 000 руб., 100%)</t>
  </si>
  <si>
    <t>108 220 000</t>
  </si>
  <si>
    <t>Арустамян Вадим Валерьевич (500 000 руб., 100%)</t>
  </si>
  <si>
    <t>glavbuh@kartli.ru</t>
  </si>
  <si>
    <t>kartli.ru</t>
  </si>
  <si>
    <t>Барнабишвили Марат Важаевич (70 000 000 руб., 100%)</t>
  </si>
  <si>
    <t>613 300 000</t>
  </si>
  <si>
    <t>glavbuh@kartontara.com, kartontara@maykop.ru, maikop@kartontara.com, maykop@kartontara.ru</t>
  </si>
  <si>
    <t>www.kartontara.com</t>
  </si>
  <si>
    <t>СФТ ГРУПП, ООО (22 015 300 руб., 100%)</t>
  </si>
  <si>
    <t>1 488 870 000</t>
  </si>
  <si>
    <t>info@qsspb.ru, info@quarryservice.ru, kryukova@qsspb.ru, qs.tend@qsspb.ru</t>
  </si>
  <si>
    <t>www.qsgrp.com</t>
  </si>
  <si>
    <t>Багиев Олег Владимирович (150 000 руб., 100%)</t>
  </si>
  <si>
    <t>501 720 000</t>
  </si>
  <si>
    <t>2016161@mail.ru, alupov_s@km124.ru, bokachev@km124.ru, enders@km124.ru, iastrebova@km124.ru, info@km124.ru, info@kml24.ru, kolmakov@km124.ru, mitrohin@km124.ru, petrov@km124.ru</t>
  </si>
  <si>
    <t>http://keymachinery.ru</t>
  </si>
  <si>
    <t>Пестриков Павел Николаевич (5 010 000 руб., 100%)</t>
  </si>
  <si>
    <t>18 760 000</t>
  </si>
  <si>
    <t>balakina_ta@mail.ru, take@utake.ru</t>
  </si>
  <si>
    <t>kursk.resanta.ru, utake.ru, vladimir.resanta.ru</t>
  </si>
  <si>
    <t>Автономов Егор Валерьевич (260 000 руб., 100%)</t>
  </si>
  <si>
    <t>291 740 000</t>
  </si>
  <si>
    <t>a.krotov@kenergo.ru, secretary@kenergo.ru, tender@kenergo.ru</t>
  </si>
  <si>
    <t>kaskad-energo.ru</t>
  </si>
  <si>
    <t>ЭКСПОТЕХ, ООО (1 800 000 руб., 60%)
ПРОГРЕСС-ЭНЕРГО, ООО (1 200 000 руб., 40%)</t>
  </si>
  <si>
    <t>info@kaskadmail.ru, kaskadenergocom@mail.ru, secretar@kaskadmail.ru</t>
  </si>
  <si>
    <t>www.kaskadenergo.com, www.kaskadenergo.com/energosbut_contact.php, www.kaskadenergosbyt.ru</t>
  </si>
  <si>
    <t>КАЛУГАГЛАВСНАБ, АО (2 287 600 руб., 76%)
КАСКАД, ООО (722 400 руб., 24%)</t>
  </si>
  <si>
    <t>19 690 000</t>
  </si>
  <si>
    <t>info@keas.ru, secretary@keas.ru</t>
  </si>
  <si>
    <t>КЕАС ХОЛДИНГ Б.В., ЗАКРЫТОЕ АКЦИОНЕРНОЕ ОБЩЕСТВО (5 165 000 000 руб., 100%)</t>
  </si>
  <si>
    <t>Производство изделий из дерева, пробки, соломки и материалов для плетения</t>
  </si>
  <si>
    <t>8 542 300 000</t>
  </si>
  <si>
    <t>info@kastor-logistics.ru</t>
  </si>
  <si>
    <t>АТТ ГРУПП, АО (1 479 852 руб., 99.99%)
Титаренко Юрий Владимирович (148 руб., 0.010%)</t>
  </si>
  <si>
    <t>Перевозка грузов специализированными автотранспортными средствами</t>
  </si>
  <si>
    <t>info@castorama.ru</t>
  </si>
  <si>
    <t>МАКСИДОМ, ООО (7 729 633 344.72 руб., 100%)</t>
  </si>
  <si>
    <t>Торговля розничная обоями и напольными покрытиями в специализированных магазинах</t>
  </si>
  <si>
    <t>bro_eb@newreg.ru, katcem@eurocem.ru</t>
  </si>
  <si>
    <t>balashov_alexander_a@cat.com, caterpillar_tosno@cat.com, isakova_lidiya@cat.com, nikolaeva_galina@cat.com, zaytsev_dmitriy@cat.com</t>
  </si>
  <si>
    <t>www.cat.com</t>
  </si>
  <si>
    <t>КОРПОРАЦИЯ КАТЕРПИЛЛАР ИНК. (2 144 452 272.26 руб., 99.99%)
ООО "КАТЕРПИЛЛАР ОВЕРСИЗ С.А.Р.Л." (10 000 руб., 0.00050%)</t>
  </si>
  <si>
    <t>Производство одноковшовых полноповоротных экскаваторов и погрузчиков</t>
  </si>
  <si>
    <t>katko@catkoneft.ru, katko@kogalym.ru, reception.kogalym@pewete.com</t>
  </si>
  <si>
    <t>ПЕТРО ВЕЛТ ТЕХНОЛОДЖИС, ООО (2 009 950 754.31 руб., 100%)</t>
  </si>
  <si>
    <t>obneft@catob.ru, reception.nvr.ko@pewete.com</t>
  </si>
  <si>
    <t>ПЕТРО ВЕЛТ ТЕХНОЛОДЖИС, ООО (2 243 891 920.39 руб., 100%)</t>
  </si>
  <si>
    <t>109 680 000</t>
  </si>
  <si>
    <t>reception.samara@pewete.ru</t>
  </si>
  <si>
    <t>www.pewete.com</t>
  </si>
  <si>
    <t>ПЕТРО ВЕЛТ ТЕХНОЛОДЖИС, ООО (4 385 451 156.66 руб., 100%)</t>
  </si>
  <si>
    <t>228 530 000</t>
  </si>
  <si>
    <t>aleshina@orel.katren.ru, assortement@katren.ru, babaseeva@khv.katren.ru, babasieva@yandex.ru, bakalova@kemerovo.katren.ru, bakumenko@katren.ru, batkovama@krsk.katren.ru, biryukovaia@eburg.katren.ru, bla@tomsk.karten.ru, bodnikovv@tyumen.katren.ru</t>
  </si>
  <si>
    <t>apteka.ru</t>
  </si>
  <si>
    <t>991 470 000</t>
  </si>
  <si>
    <t>katyusha@online.debryansk.ru, mk-katyusha@mail.ru, secretarmkk@dyatkovo.ru</t>
  </si>
  <si>
    <t>Авдеев Сергей Александрович (20 400 руб., 34%)
Авдеев Александр Сергеевич (19 800 руб., 33%)
Авдеева Татьяна Юрьевна (19 800 руб., 33%)</t>
  </si>
  <si>
    <t>Производство мебели</t>
  </si>
  <si>
    <t>39 550 000</t>
  </si>
  <si>
    <t>buriy@kaustik.ru, etp@kaustik.ru, info@nikochem.ru, korneva@kaustik.ru, mail@kaustik.ru, postmaster@kaustik.ru, romachenko@kaustik.ru, selivanov@kaustik.ru, sergeeva@kaustik.ru, silkin@kaustik.ru</t>
  </si>
  <si>
    <t>kaustik.ru</t>
  </si>
  <si>
    <t>ГРУППА НИКОС, ООО (100%)</t>
  </si>
  <si>
    <t>440 620 000</t>
  </si>
  <si>
    <t>ak@wfal.ru</t>
  </si>
  <si>
    <t>cashmere-cap.ru</t>
  </si>
  <si>
    <t>30 270 000</t>
  </si>
  <si>
    <t>zolotoy-vavilon.ru</t>
  </si>
  <si>
    <t>amarkin@regop.ru, ashogol@regop.ru, do_domodedovo@regop.ru, e@h.ru, eeremenko@regop.ru, eeremenko@regrop.ru, ik6mskobl@bk.ru, info@kashirskypro.ru, info@kashirskyro.ro, info@kashirskyro.ru</t>
  </si>
  <si>
    <t>УК РЕГИОНАЛЬНЫЙ ОПЕРАТОР, ООО (10 000 руб., 100%)</t>
  </si>
  <si>
    <t>Сбор неопасных отходов</t>
  </si>
  <si>
    <t>Шпрехер Аврум Мотелевич (10 000 руб., 81%)
МЕТРОПОЛИС ИНТЕРНЕШНЛ ЛИМИТЕД (2 345.68 руб., 19%)</t>
  </si>
  <si>
    <t>Производство элементов электронной аппаратуры</t>
  </si>
  <si>
    <t>384 320 000</t>
  </si>
  <si>
    <t>ayavisya@mail.ru, info@semashko.com</t>
  </si>
  <si>
    <t>www.semashko.com</t>
  </si>
  <si>
    <t>РЖД, ОАО (n/a)</t>
  </si>
  <si>
    <t>post@slasti.ru</t>
  </si>
  <si>
    <t>slasti.ru</t>
  </si>
  <si>
    <t>111 510 000</t>
  </si>
  <si>
    <t>etrading@moskbk.com, kbk@moskbk.com, kbk@slasti.ru</t>
  </si>
  <si>
    <t>moskbk.com</t>
  </si>
  <si>
    <t>agrodep@krvostok.ru, krasilnikova_dm@krvostok.ru</t>
  </si>
  <si>
    <t>АГРОХОЛДИНГ КВ, АО (76.69%)</t>
  </si>
  <si>
    <t>2449258@yandex.ru, 256322@mail.ru, 2618743@mail.ru, 2619234@voronezh.kvadra.ru, 486715@mail.ru, abonent@quadra.ru, abonent@tsk.smolensk.gvadra.ru, aelena2013@list.ru, ageeba_mn@voronezh.guadra.ru, ageeva_mn@voronezh.guadra.ru</t>
  </si>
  <si>
    <t>РИР, АО (99.99%)</t>
  </si>
  <si>
    <t>Производство пара и горячей воды (тепловой энергии) тепловыми электростанциями</t>
  </si>
  <si>
    <t>urist_inform@mail.ru</t>
  </si>
  <si>
    <t>Жданов Алексей Георгиевич (61 200 руб., 68%)
Новомирский Дмитрий Николаевич (28 800 руб., 32%)</t>
  </si>
  <si>
    <t>info@tvkvant.ru, ket@vashsait.ru, n.horoshova@vashsait.ru, quality@tvkvant.ru</t>
  </si>
  <si>
    <t>tvkvant.ru</t>
  </si>
  <si>
    <t>КВАНТ-СЕРВИС, ООО (78 398 006.27 руб., 62%)
Етонов Михаил Павлович (48 050 390.94 руб., 38%)</t>
  </si>
  <si>
    <t>Производство телевизионных приемников, включая видеомониторы и видеопроекторы</t>
  </si>
  <si>
    <t>83 260 000</t>
  </si>
  <si>
    <t>office@quartz-group.ru, ukkvarz@ukkvarz.ru</t>
  </si>
  <si>
    <t>www.quartz-group.ru, www.quartzgroup.ru</t>
  </si>
  <si>
    <t>ИНТЕР РАО-ЭЛЕКТРОГЕНЕРАЦИЯ, АО (367 955 000 руб., 99.98%)
АКТИВ-ЭНЕРГИЯ, ООО (45 000 руб., 0.012%)</t>
  </si>
  <si>
    <t>cable@kvin.ru, godjiperm@gmail.com, jurist2_csc@kvin.ru, kvin@perm.raid.ru, marketing@kvin.ru, metall@kvin.ru, ryabchikova@kvin.ru, yur-reshenie@mail.ru, zakaz@kvin.ru</t>
  </si>
  <si>
    <t>www.kvin.ru</t>
  </si>
  <si>
    <t>Митрошенко Виктор Иванович (707 000 руб., 70%)
Митрошенко Вячеслав Иванович (252 500 руб., 25%)
Демшин Сергей Михайлович (50 500 руб., 5%)</t>
  </si>
  <si>
    <t>579 690 000</t>
  </si>
  <si>
    <t>info@kwintmadi.ru, marina@kwintmadi.ru</t>
  </si>
  <si>
    <t>www.kwintmadi.ru</t>
  </si>
  <si>
    <t>512 510 000</t>
  </si>
  <si>
    <t>andrey.vykhor@cvc.com.ru, av@cvc.com.ua, avykhor@cvc.com.ru, reception@cvc.com.ru</t>
  </si>
  <si>
    <t>Злотницкий Виктор Васильевич (95 000 000 руб., 100%)</t>
  </si>
  <si>
    <t>61 100 000</t>
  </si>
  <si>
    <t>referent@kvrz-novotrans.ru, roslyakova.rpnovotrans@mail.ru</t>
  </si>
  <si>
    <t>kvrz-novotrans.ru, www.novotrans.com</t>
  </si>
  <si>
    <t>НОВОТРАНС, АО ХК (9 600 руб., 96%)
Гончарова Алина Рашитовна (400 руб., 4%)</t>
  </si>
  <si>
    <t>108 190 000</t>
  </si>
  <si>
    <t>www.calfrac.com</t>
  </si>
  <si>
    <t>"КАЛФРАК ВЕЛ СЕРВИСИС ЛТД."(CALFRAC WELL SERVICES LTD) (1 564 000 000 руб., 100%)</t>
  </si>
  <si>
    <t>554 540 000</t>
  </si>
  <si>
    <t>anna.maksakova@kws.com, info@kvs-rus.ru, info@kws-rus.ru</t>
  </si>
  <si>
    <t>www.kws-rus.com, www.kws.com</t>
  </si>
  <si>
    <t>Евро-Гибрид Гезельшафт фюр Гетарйдецюхтунг мит Беш (22 500 руб., 75%)
КВС ЗААТФИНАНЦ ГМБХ (7 500 руб., 25%)</t>
  </si>
  <si>
    <t>info@kvsspb.ru, v.trekin@kvsspb.ru</t>
  </si>
  <si>
    <t>kvsspb.ru, www.svinin.com</t>
  </si>
  <si>
    <t>РЕДДЕР 3, ЗПИФН (10 000 руб., 100%)</t>
  </si>
  <si>
    <t>84 100 000</t>
  </si>
  <si>
    <t>office@kvugroup.ru</t>
  </si>
  <si>
    <t>Баранов Юрий Афанасьевич (3 334 руб., 33.34%)
Данилов Илья Александрович (3 333 руб., 33.33%)
Дмитренко Анатолий Юрьевич (3 333 руб., 33.33%)</t>
  </si>
  <si>
    <t>450 780 000</t>
  </si>
  <si>
    <t>ezhuravleva@usgeurop.net, finance@danogips.ru, zhuravleva.elena@danogips.ru</t>
  </si>
  <si>
    <t>danogips.ru</t>
  </si>
  <si>
    <t>КНАУФ ИНТЕРНАЦИОНАЛЬ ГМБХ (4 410 000 руб., 100%)</t>
  </si>
  <si>
    <t>784 940 000</t>
  </si>
  <si>
    <t>608143@mail.ru, davydova_na@kgk-kurgan.ru, doveriekgk@kgk-kurgan.ru, kgk-kurgan@kgk-kurgan.ru, kgk@kurgan.ru, kgk@rurgan.ru, kgkkurgan@mail.ru, lyzhina_ms@kurgangazcom.ru, oapetrova@vostokelectra.ru, olyzhina@vostokelectra.ru</t>
  </si>
  <si>
    <t>РАЗВИТИЯ ЭЛЕКТРОЭНЕРГЕТИКИ, ФОНД (74.37%)</t>
  </si>
  <si>
    <t>info@kdoil.ru</t>
  </si>
  <si>
    <t>Мулюкова Гюльшат Ураловна (1 000 000 руб., 100%)</t>
  </si>
  <si>
    <t>8 550 000</t>
  </si>
  <si>
    <t>www.kdv-group.com</t>
  </si>
  <si>
    <t>КДВ, АО (1 000 000 руб., 100%)</t>
  </si>
  <si>
    <t>КДВ, АО (100 000 руб., 100%)</t>
  </si>
  <si>
    <t>2 480 000</t>
  </si>
  <si>
    <t>mpk@minpk.ru</t>
  </si>
  <si>
    <t>КДВ, АО (230 000 000 руб., 100%)</t>
  </si>
  <si>
    <t>contakt@ntkf.ru, gth@ntkf.ru, nt-official@kdvm.ru</t>
  </si>
  <si>
    <t>КДВ, АО (150 000 000 руб., 100%)</t>
  </si>
  <si>
    <t>korovkina@sibbereg.ru</t>
  </si>
  <si>
    <t>КДВ БРЕНД РУС, ООО (100 899 000 руб., 99.90%)
КДВ ПАВЛОВСКИЙ ПОСАД, ЗАО (101 000 руб., 0.10%)</t>
  </si>
  <si>
    <t>Производство прочих пищевых продуктов</t>
  </si>
  <si>
    <t>57 170 000</t>
  </si>
  <si>
    <t>baltimor.ru</t>
  </si>
  <si>
    <t>КДВ, АО (20 000 руб., 100%)</t>
  </si>
  <si>
    <t>Производство приправ и пряностей</t>
  </si>
  <si>
    <t>e.nagornyuk@ypk.ru, jaschkin@mail.tomsknet.ru, ypk@kemtel.ru</t>
  </si>
  <si>
    <t>КДВ, АО (600 000 000 руб., 100%)</t>
  </si>
  <si>
    <t>chkhikvadze@kdl.ru, karta-zdorovya@moscow.kdl-test.ru, okizryakova@kdl.ru, orasskazova@kdl.ru, press@kdl.ru, tsirazheeva@kdl.ru, ylafaki@kdl.ru, zhuk@mascow.kdl-test.ru</t>
  </si>
  <si>
    <t>https://kdl.ru</t>
  </si>
  <si>
    <t>ДИАГНОСТИКА, ООО (100 000 руб., 100%)</t>
  </si>
  <si>
    <t>2 372 040 000</t>
  </si>
  <si>
    <t>zhuk@moscow.kdl-test.ru</t>
  </si>
  <si>
    <t>www.kdl-test.ru</t>
  </si>
  <si>
    <t>ДИАГНОСТИКА, ООО (83 400 000 руб., 100%)</t>
  </si>
  <si>
    <t>kdp44@yandex.ru, t.bocharova@kdp.ru.com</t>
  </si>
  <si>
    <t>Деятельность организаций общественного питания, поставляющих готовую пищу (для транспортных и строительных компаний, туристическим группам, личному составу вооруженных сил, предприятиям розничной торговли и другим группам потребителей) по договору</t>
  </si>
  <si>
    <t>542 070 000</t>
  </si>
  <si>
    <t>a.musabikova@inrusinvest.com, a.musabikova@inrusivest.com, kds-nvkz@mail.ru, kds@inrusinvest.com, mail@kdsclub.ru, t.lavrenova@inrusinvest.com</t>
  </si>
  <si>
    <t>kdsclub.ru</t>
  </si>
  <si>
    <t>ИНРУСИНВЕСТ, АО (10 000 руб., 100%)</t>
  </si>
  <si>
    <t>23 430 000</t>
  </si>
  <si>
    <t>d.kamlovich@atan.ru, danilov@atan.ru, feo@atan.ru, hotline@atan.ru, i.sitnikof@atan.ru, kedr@atan.ru, kedr@bk.ru, kedrf@bc.ru, kedrf@br.ru, kedrf@ukr.net</t>
  </si>
  <si>
    <t>Тихомирова Иванна Александровна (1 040 910 руб., 51%)
Терещенко Александр Геннадиевич (1 000 090 руб., 49%)</t>
  </si>
  <si>
    <t>175 210 000</t>
  </si>
  <si>
    <t>isinchukova@ktng-global.ru</t>
  </si>
  <si>
    <t>ОТКРЫТОЕ АКЦИОНЕРНОЕ ОБЩЕСТВО "КЕЙ ТИ ЭН ДЖИ" (84 500 000 руб., 100%)</t>
  </si>
  <si>
    <t>Деятельность агентов по оптовой торговле пищевыми продуктами, напитками и табачными изделиями</t>
  </si>
  <si>
    <t>112 020 000</t>
  </si>
  <si>
    <t>dshvedov@ktng.ru, iskra@ktng.com, j.bondarenko@bk.ru</t>
  </si>
  <si>
    <t>ktng.ru</t>
  </si>
  <si>
    <t>ОТКРЫТОЕ АКЦИОНЕРНОЕ ОБЩЕСТВО "КЕЙ ТИ ЭН ДЖИ" (2 838 454 360.35 руб., 100%)</t>
  </si>
  <si>
    <t>larisa.polyakova@kellogg.com</t>
  </si>
  <si>
    <t>www.kelloggs.ru, www.unitedbakers.ru</t>
  </si>
  <si>
    <t>КЕЛЛОГГ ЛЮКС VI С.АР.Л. (4 890 938 724 руб., 100%)</t>
  </si>
  <si>
    <t>inf@chemdel.net</t>
  </si>
  <si>
    <t>zakupkamasla.ru</t>
  </si>
  <si>
    <t>277 310 000</t>
  </si>
  <si>
    <t>maxima_nv@mail.ru</t>
  </si>
  <si>
    <t>kem-torg.ru</t>
  </si>
  <si>
    <t>Александров Илья Александрович (10 000 руб., 100%)</t>
  </si>
  <si>
    <t>Торговля розничная в нестационарных торговых объектах и на рынках</t>
  </si>
  <si>
    <t>kcc@hotbox.ru, oao.kcc@mail.ru, oao.kss@mail.ru, specstroy1@kemcity.ru</t>
  </si>
  <si>
    <t>kemerovospecstroy.ru</t>
  </si>
  <si>
    <t>965 290 000</t>
  </si>
  <si>
    <t>3625@mail.ru, aikinaov@sibgenco.ru, amelchenkoiue@sibgenco.ru, avakumovaen@sibgenco.ru, britvinov@mail.ru, britvinov@sibgenco.ru, chepaikindv@sibgenco.ru, chili104@mail.ru, detereia@sibgenco.ru, faizullinaev@sibgenco.ru</t>
  </si>
  <si>
    <t>www.kuzbassenergo.ru/kem/info</t>
  </si>
  <si>
    <t>290 070 000</t>
  </si>
  <si>
    <t>office@chemicalcc.ru</t>
  </si>
  <si>
    <t>ИНВЕСТКРАФТ, АО (8 250 руб., 75%)
Никонов Эдгар Рубенович (2 750 руб., 25%)</t>
  </si>
  <si>
    <t>9 250 000</t>
  </si>
  <si>
    <t>eis.gs@propartners.ru</t>
  </si>
  <si>
    <t>Суд Горав (2 000 000 руб., 100%)</t>
  </si>
  <si>
    <t>89 580 000</t>
  </si>
  <si>
    <t>КЕНМЕР-МЕХАНИЗМЫ, ООО (10 000 руб., 100%)</t>
  </si>
  <si>
    <t>кенмер.рф</t>
  </si>
  <si>
    <t>Живкович Йовица (220 000 руб., 100%)</t>
  </si>
  <si>
    <t>65 760 000</t>
  </si>
  <si>
    <t>ekr1@kamenergo.ru, energo41@mail.ru, kam.energo41@mail.ru, kamchanenergo41@mail.ru, kaminergo@mail.ru, kovalenko_ov@kamch.dvec.ru, luzan_sm@kamch.dvec.ru, minakova_ia@kamch.dvec.ru, pricmnava@kamch.dvcc.ru, priemnava@kamch.dvec.ru</t>
  </si>
  <si>
    <t>www.kamenergo.ru</t>
  </si>
  <si>
    <t>РАО ЭС ВОСТОКА, АО (84.77%)
РУСГИДРО, ПАО (13.97%)
ЮЭСК, АО (0.050%)
Новиков Алексей Николаевич (0.000013%)</t>
  </si>
  <si>
    <t>info@welor.ru, km_group@kerama-marazzi.ru, plant@kerama-marazzi.ru</t>
  </si>
  <si>
    <t>kerama-marazzi.com, www.kerama.ru</t>
  </si>
  <si>
    <t>ЧАСТНАЯ КОМПАНИЯ С ОГРАНИЧЕННОЙ ОТВЕТСТВЕННОСТЬЮ "МОГАВК МАРАЦЦИ ХОЛДИНГ Б.В." (192 139 455 руб., 99.85%)
КЕРАМА ЦЕНТР, ООО (288 642 руб., 0.15%)</t>
  </si>
  <si>
    <t>2 828 190 000</t>
  </si>
  <si>
    <t>info@kerama-marazzi.ru</t>
  </si>
  <si>
    <t>www.kerama-marazzi.com, www.kerama-marazzi.ru</t>
  </si>
  <si>
    <t>КЕРАМА МАРАЦЦИ, ООО (589 800 руб., 99.97%)
MARAZZI GROUP S. R.L. (МАРАЦЦИ ГРУП С.Р.Л.) (200 руб., 0.030%)</t>
  </si>
  <si>
    <t>339 600 000</t>
  </si>
  <si>
    <t>Производство полых стеклянных изделий</t>
  </si>
  <si>
    <t>artur.abrosimov@ru.kaercher.com, info@ru.karcher.com, irina.shiller@ru.kaercher.com, karcher.tender@ru.kaercher.com, oleg.kulakov@ru.kaercher.com, service@ru.kaercher.com</t>
  </si>
  <si>
    <t>www.karcher.ru</t>
  </si>
  <si>
    <t>ООО Керхер Бетайлингунгс-ГмБх (3 465 000 руб., 99%)
Alfred Karcher SE &amp; Co. KG (35 000 руб., 1%)</t>
  </si>
  <si>
    <t>817 450 000</t>
  </si>
  <si>
    <t>marketing.ksz@yandex.ru, panina@kmz-k.com; marketing.ksz@yandex.ru; sekretar.ksz@yandex.ru; eremin@kmz-k.com, priemnaya@kmz-k.com, sekretar.ksz@yandex.ru</t>
  </si>
  <si>
    <t>http://www.kmz-k.com/</t>
  </si>
  <si>
    <t>aigsidorova@avito.ru, info@domofond.ru, pr@domofond.ru, sales@domofond.ru, tender.asd@avito.ru</t>
  </si>
  <si>
    <t>https://www.avito.ru/</t>
  </si>
  <si>
    <t>РРВ, ООО (30 621 538.8 руб., 99.99%)
ИНФРАСТРУКТУРНЫЙ ХОЛДИНГ-2, ООО (135.2 руб., 0.00040%)</t>
  </si>
  <si>
    <t>14 638 820 000</t>
  </si>
  <si>
    <t>abon_rcs@mail.ru, crimearw@mail.ru, fursova2911@mail.ru, gpkgd@mail.ru, info@crimearw.ru, kgd.sekretar@mail.ru, kgd_voda@mail.ru, krumgezl@mail.ru, nbn.kgd@mail.ru, ngkkjd@mail.ru</t>
  </si>
  <si>
    <t>Российская Федерация (8 000 000 000 руб., 100%)</t>
  </si>
  <si>
    <t>dkb74@mail.ru, dkbsecr@dkb74.ru, dkbser@dkb74.ru, i.grinko@dkb74.ru, merskiy@yandex.ru, v.borel@dkb74.ru</t>
  </si>
  <si>
    <t>dkb74.ru</t>
  </si>
  <si>
    <t>104274@oaorsm.ru, fiat@oaorsm.ru, info@morsm.ru, infodmo@morsm.ru, tender@morsm.ru</t>
  </si>
  <si>
    <t>www.rostselmash.com</t>
  </si>
  <si>
    <t>РОСТСЕЛЬМАШ, ПАО (684 644 697.51 руб., 99.99%)
НОВОЕ СОДРУЖЕСТВО, ООО (10 000 руб., 0.0020%)</t>
  </si>
  <si>
    <t>992 500 000</t>
  </si>
  <si>
    <t>priem@zvetlit.ru</t>
  </si>
  <si>
    <t>Бурканов Евгений Александрович (50 000 руб., 50%)
Ежелев Юрий Валерьевич (50 000 руб., 50%)</t>
  </si>
  <si>
    <t>231 620 000</t>
  </si>
  <si>
    <t>jurist@expert-cable.ru</t>
  </si>
  <si>
    <t>expert-cable.ru</t>
  </si>
  <si>
    <t>Черемисин Валерий Владимирович (400 000 руб., 40%)
Черемисин Дмитрий Владимирович (400 000 руб., 40%)
Кутенев Сергей Николаевич (100 000 руб., 10%)
Хромов Сергей Анатольевич (50 000 руб., 5%)
Черемисин Егор Владимирович (50 000 руб., 5%)</t>
  </si>
  <si>
    <t>2 020 000</t>
  </si>
  <si>
    <t>dgmusaeva@ooo-kzm.ru</t>
  </si>
  <si>
    <t>СБК-РИТЕЙЛ, ООО (10 000 руб., 100%)</t>
  </si>
  <si>
    <t>104 910 000</t>
  </si>
  <si>
    <t>info@sik.ru, info@slk.ru, yurist@slk.ru</t>
  </si>
  <si>
    <t>БИЗНЕС ПРОФИТ, ООО (90%)
Шамсутдинов Ильсур Зинурович (6.86%)
Черныш Юлия Викторовна (1%)</t>
  </si>
  <si>
    <t>54 750 000</t>
  </si>
  <si>
    <t>kznm@kznm.biz</t>
  </si>
  <si>
    <t>Летучев Андрей Анатольевич (10 000 руб., 100%)</t>
  </si>
  <si>
    <t>628 620 000</t>
  </si>
  <si>
    <t>gosuslugi@kzocm.ru, secretariat@ocm.ru, usatova@kzocm.ru</t>
  </si>
  <si>
    <t>www.kzocm.ru</t>
  </si>
  <si>
    <t>УРАЛЬСКАЯ ГОРНО-МЕТАЛЛУРГИЧЕСКАЯ КОМПАНИЯ , ОАО УГМК, ОАО (94.46%)</t>
  </si>
  <si>
    <t>as.renat@rambler.ru, elmira.gabdrakhmanova@kzpm.com, mail@kzpm.com</t>
  </si>
  <si>
    <t>www.kzpm.com</t>
  </si>
  <si>
    <t>КОМПАНИЯ "БЛЮ ИНТЕР ГЛОУБ" (35 500 руб., 35.50%)
Донгузов Сергей Николаевич (29 500 руб., 29.50%)
Галимов Айрат Ягьфарович (13 900 руб., 13.90%)
Иванов Игорь Константинович (13 900 руб., 13.90%)
Сорокин Александр Юрьевич (3 200 руб., 3.20%)
Бутаев Артем Александрович (2 000 руб., 2%)
ТАТЛЕССТРОЙ, ООО (2 000 руб., 2%)</t>
  </si>
  <si>
    <t>861 740 000</t>
  </si>
  <si>
    <t>esk68@mail.ru, info@kon-esk.ru, larina@kon-esk.ru</t>
  </si>
  <si>
    <t>www.kon-esk.ru</t>
  </si>
  <si>
    <t>kzf@mail.ur.ru, office.kzf@miduralgroup.com, office@kzf.ru, s.nichkov@miduralgroup.com, s.nichkov@miduralgrup.com, ved@kzf.ru</t>
  </si>
  <si>
    <t>http://www.miduralgroup.ru/</t>
  </si>
  <si>
    <t>MIDURAL INDUSTRIAL GROUP LIMITED (75.02%)
MIDURAL HOLDING LIMITED (16.53%)
Гильварг Сергей Игоревич (2.91%)</t>
  </si>
  <si>
    <t>eis@biryusa.ru, info@biryusa.ru, leonova-nu@biryusa.ru</t>
  </si>
  <si>
    <t>www.e-disdosure.ru/portal/company.aspx?id=2830</t>
  </si>
  <si>
    <t>187 590 000</t>
  </si>
  <si>
    <t>alter691@efbdex.ru, kzh_priem@lukoil.com, olga.kornilova@lukoil.com</t>
  </si>
  <si>
    <t>ЮГРАНЕФТЕПРОМ-ИНВЕСТ, ООО (1 000 000 руб., 100%)</t>
  </si>
  <si>
    <t>jasaushkina@kia.ru</t>
  </si>
  <si>
    <t>kia.ru, www.kia.com</t>
  </si>
  <si>
    <t>КМРус Би.Ви. (415 261 920 руб., 80%)
КИА МОТОРС Дойчланд ГмбХ (103 815 480 руб., 20%)</t>
  </si>
  <si>
    <t>19 087 570 000</t>
  </si>
  <si>
    <t>info@osmp.ru, info@qiwi.com</t>
  </si>
  <si>
    <t>www.osmp.ru, www.qiwi.com</t>
  </si>
  <si>
    <t>5 219 360 000</t>
  </si>
  <si>
    <t>office@kkz1885.ru, pochta-qutuq@mail.ru, z_kkz@dinet.ru</t>
  </si>
  <si>
    <t>www.kizlyar-cognac.ru</t>
  </si>
  <si>
    <t>elena.kiryushkina@kcc.com</t>
  </si>
  <si>
    <t>www.kcc.com, www.kimberly-clark.com</t>
  </si>
  <si>
    <t>КИМБЕРЛИ-КЛАРК ВОРЛДВАЙД, ИНК. (3 527 854 069.67 руб., 75%)
"КИМБЕРЛИ-КЛАРК ГМБХ" (1 175 951 356.66 руб., 25%)</t>
  </si>
  <si>
    <t>1 439 840 000</t>
  </si>
  <si>
    <t>kyocera.ru, www.russia.kyocera.com</t>
  </si>
  <si>
    <t>ЧКОО "КИОСЕРА Документ Солюшенз Европа Б.В." (99 000 000 руб., 99%)
KYOCERA DOCUMENT SOLUTIONS INC. (1 000 000 руб., 1%)</t>
  </si>
  <si>
    <t>565 150 000</t>
  </si>
  <si>
    <t>g_musaeva@kirelis.ru, ktv@kirelis.ru, mail@kirelis.ru, snab@kirelis.ru</t>
  </si>
  <si>
    <t>kirelis.ru</t>
  </si>
  <si>
    <t>Кириенко Людмила Николаевна (5 000 руб., 50%)
Кириенко Татьяна Владимировна (5 000 руб., 50%)</t>
  </si>
  <si>
    <t>128 440 000</t>
  </si>
  <si>
    <t>imusch@bk.ru, info@kiras.spb.ru, info@kirishiavtoservis.ru, kommercheskiy_otdel@kirishiavtoservis.ru, siyutkina_nv1@surgutneftegas.ru</t>
  </si>
  <si>
    <t>СУРГУТНЕФТЕГАЗ, ПАО (14 458 333 руб., 100%)</t>
  </si>
  <si>
    <t>356 230 000</t>
  </si>
  <si>
    <t>natalia.lukyanenko@pirelli.com</t>
  </si>
  <si>
    <t>ПИРЕЛЛИ ТАЙР РУССИЯ, ООО (348 423 221 руб., 100%)</t>
  </si>
  <si>
    <t>kmk-milk@gmail.com, kmk@milk.kirov.ru, marketing.kmk@gmail.com, milk-kmk@yandex.ru</t>
  </si>
  <si>
    <t>www.kmk-milk.ru, www.milk.kirov.ru</t>
  </si>
  <si>
    <t>170 750 000</t>
  </si>
  <si>
    <t>kirus@mail.ru, kirus_chechnya@mail.ru, office@kirus.su, urovzan@mail.ru</t>
  </si>
  <si>
    <t>Арсункаев Иса Темирсолтович (10 000 руб., 100%)</t>
  </si>
  <si>
    <t>info@s-int-m.ru, info@zemtek.com</t>
  </si>
  <si>
    <t>ЗЕМТЕК, ООО (9 990 000 руб., 99.90%)
Андрианов Сергей Владимирович (10 000 руб., 0.10%)</t>
  </si>
  <si>
    <t>Предоставление услуг в других областях добычи полезных ископаемых</t>
  </si>
  <si>
    <t>65 820 000</t>
  </si>
  <si>
    <t>broker@keystone-logistics.ru, i.guseva@keystone-logistics.com, secretary@keystone-logistics.com</t>
  </si>
  <si>
    <t>www.keystone-logistics.com, www.keystone-logistics.ru</t>
  </si>
  <si>
    <t>Фридман Вадим Евгеньевич (70 000 руб., 35%)
Кузнецова Надежда Владимировна (65 000 руб., 32.50%)
Белов Юрий Павлович (32 500 руб., 16.25%)
Ишков Павел Юрьевич (32 500 руб., 16.25%)</t>
  </si>
  <si>
    <t>burganova.a@neftehimstroi.p</t>
  </si>
  <si>
    <t>НЕФТЕХИМСТРОЙ, ООО УК (110 000 руб., 100%)</t>
  </si>
  <si>
    <t>efremov.aleksandr@gtdel.net, gorod.ekb@gtdel.net, info@gtdel.com, info@gtdel.net, koridor@gtdel.net</t>
  </si>
  <si>
    <t>https://tk-kit.ru/, www.gtdel.com</t>
  </si>
  <si>
    <t>КАШАЛОТ, ООО (425 000 руб., 85%)
Попов Александр Михайлович (75 000 руб., 15%)</t>
  </si>
  <si>
    <t>www.kitaystroy.ru</t>
  </si>
  <si>
    <t>ВСЕКИТАЙСКАЯ АКЦИОНЕРНАЯ СТРОИТЕЛЬНАЯ КОРПОРАЦИЯ С ОГРАНИЧЕННОЙ ОТВЕТСТВЕННОСТЬЮ (200 000 руб., 100%)</t>
  </si>
  <si>
    <t>ludmila@kifato-mk.com</t>
  </si>
  <si>
    <t>www.kifato-mk.com</t>
  </si>
  <si>
    <t>Согомонян Баграт Завенович (12 500 руб., 50%)
Согомонян Завен Багратович (12 500 руб., 50%)</t>
  </si>
  <si>
    <t>102 750 000</t>
  </si>
  <si>
    <t>e.lgotina@kdvm.ru, em.ksenofontova@kdvm.ru</t>
  </si>
  <si>
    <t>КДВ, АО (14 008 752 руб., 100%)</t>
  </si>
  <si>
    <t>elex@talina.ru</t>
  </si>
  <si>
    <t>920 000</t>
  </si>
  <si>
    <t>svgorlanova@yandex.ru, www.kkz93@mail.ru</t>
  </si>
  <si>
    <t>www.ckab.ru</t>
  </si>
  <si>
    <t>Тарасенко Александр Валентинович (7 000 000 руб., 100%)</t>
  </si>
  <si>
    <t>Производство кабелей и кабельной арматуры</t>
  </si>
  <si>
    <t>35 980 000</t>
  </si>
  <si>
    <t>info@kz.reddon.ru, info@kzreddon.ru</t>
  </si>
  <si>
    <t>kzreddon.ru</t>
  </si>
  <si>
    <t>КОПИТАНИЯ, ООО (786 200 000 руб., 100%)</t>
  </si>
  <si>
    <t>aokkpd@kkpd.ru, lukyantsevav@patriot-engineering.ru, zaokkpd@aaanet.ru, zaokkpd@zaokkpd.ru</t>
  </si>
  <si>
    <t>www.zaokkpd.aaanet.ru</t>
  </si>
  <si>
    <t>kkhp@kkhp.ru, makarova@kkhp.ru</t>
  </si>
  <si>
    <t>www.stniva.ru</t>
  </si>
  <si>
    <t>20 120 000</t>
  </si>
  <si>
    <t>info@claas.com</t>
  </si>
  <si>
    <t>www.claas.com, www.claasofamerica.com</t>
  </si>
  <si>
    <t>КЛААС КОММАНДИТГЕЗЕЛЬШАФТ АУФ АКЦИЕН (4 000 000 руб., 100%)</t>
  </si>
  <si>
    <t>1 603 170 000</t>
  </si>
  <si>
    <t>inf-clk@class.com, info-clk@claas.com</t>
  </si>
  <si>
    <t>claas.ru, www.claas.com</t>
  </si>
  <si>
    <t>Фирма "Клаас Остойропа Инвестиционс ГмбХ" (92 434 320 руб., 99%)
Маст Ханс-Йорг (934 560 руб., 1%)</t>
  </si>
  <si>
    <t>1 849 120 000</t>
  </si>
  <si>
    <t>Кубасова Ольга Валентиновна (10 000 руб., 100%)</t>
  </si>
  <si>
    <t>f00001516@oaorsm.ru, suprinovich@rsm-msm.ru</t>
  </si>
  <si>
    <t>Рязанов Юрий Викторович (32.88%)
Удрас Дмитрий Александрович (32.88%)
Бабкин Константин Анатольевич (32.38%)</t>
  </si>
  <si>
    <t>1 450 460 000</t>
  </si>
  <si>
    <t>dav.prostori@yandex.ru</t>
  </si>
  <si>
    <t>daprostor.ru</t>
  </si>
  <si>
    <t>Клещёв Андрей Владимирович (30 000 руб., 100%)</t>
  </si>
  <si>
    <t>220 220 000</t>
  </si>
  <si>
    <t>articles@promopult.ru, billing@promopult.ru, partner@promopult.ru, support@click.ru, support@promopult.ru</t>
  </si>
  <si>
    <t>click.ru</t>
  </si>
  <si>
    <t>СЕОПУЛЬТ ЛТД (5 000 000 руб., 100%)</t>
  </si>
  <si>
    <t>const_buh@mail.ru</t>
  </si>
  <si>
    <t>klimat-fruit.ru</t>
  </si>
  <si>
    <t>Будагов Ильгар Джахан Оглы (12 500 руб., 100%)</t>
  </si>
  <si>
    <t>22 370 000</t>
  </si>
  <si>
    <t>e.kripinevich@clinic23.ru, elenaageeva2008@yandex.ru</t>
  </si>
  <si>
    <t>www.clinic23.ru</t>
  </si>
  <si>
    <t>Волков Виталий Юрьевич (5 000 руб., 50%)
ОРЦ КИРОВ, ООО (4 400 руб., 44%)
Прокопенко Алексей Васильевич (500 руб., 5%)
МЕДИНВЕСТ, ООО (100 руб., 1%)</t>
  </si>
  <si>
    <t>885 560 000</t>
  </si>
  <si>
    <t>info@bzklinika.ru, n.zharkov@bzklinika.ru, o.zhuravel@bzklinika.ru</t>
  </si>
  <si>
    <t>ИНВЕСТ-ПОЛИС, АО (1 293 356 163 руб., 100%)</t>
  </si>
  <si>
    <t>Деятельность в области здравоохранения</t>
  </si>
  <si>
    <t>interskol.ru, kls-trade24.ru</t>
  </si>
  <si>
    <t>Воронин Дмитрий Евгеньевич (1 011 330 руб., 51%)
Гарин Руслан Равкатович (674 220 руб., 34%)
Родионов Сергей Анатольевич (297 450 руб., 15%)</t>
  </si>
  <si>
    <t>info_trd@keyauto.ru, k.sherstyuk@keyauto.ru, online@keyauto.ru, os_cbuh@keyauto.ru</t>
  </si>
  <si>
    <t>ГК СБСВ-КЛЮЧАВТО, ООО (18 000 руб., 60%)
Сергеев Виктор Алексеевич (6 000 руб., 20%)
Сергеев Антон Викторович (3 000 руб., 10%)
Сергеев Виктор Антонович (3 000 руб., 10%)</t>
  </si>
  <si>
    <t>265 510 000</t>
  </si>
  <si>
    <t>ksm@sandy.ru, max-5555@yandex.ru</t>
  </si>
  <si>
    <t>www.ksm.nn.ru</t>
  </si>
  <si>
    <t>Производство молока и сливок в твердой форме</t>
  </si>
  <si>
    <t>109 770 000</t>
  </si>
  <si>
    <t>andreevyhaa@doronichi.com, info@beef.kirov.ru, km@doronichi.com, mark@beef.kirov.ru, selena@beef.kirov.ru</t>
  </si>
  <si>
    <t>km-meat.ru, www.beef.kirov.ru</t>
  </si>
  <si>
    <t>kmstroy.st@mail.ru</t>
  </si>
  <si>
    <t>Кагиров Радик Рафикович (1 000 000 руб., 100%)</t>
  </si>
  <si>
    <t>kma-sekr@mgok.ru</t>
  </si>
  <si>
    <t>www.kmaesbyt.com</t>
  </si>
  <si>
    <t>МИХАЙЛОВСКИЙ ГОК ИМ. А.В. ВАРИЧЕВА, АО (270 000 руб., 90%)
КМА-ЭЛЕКТРО, ООО (30 000 руб., 10%)</t>
  </si>
  <si>
    <t>2 615 310 000</t>
  </si>
  <si>
    <t>kmz@mail.ru</t>
  </si>
  <si>
    <t>СЧПЗ, АО (98.90%)</t>
  </si>
  <si>
    <t>Гогелия Константин Константинович (7 800 руб., 78%)
ПЕРВЫЙ ЗАВОД, ООО (2 200 руб., 22%)</t>
  </si>
  <si>
    <t>Согомонян Завен Багратович (10 000 руб., 100%)</t>
  </si>
  <si>
    <t>75 950 000</t>
  </si>
  <si>
    <t>kmk-gbbuh@mail.ru</t>
  </si>
  <si>
    <t>4 485 420 000</t>
  </si>
  <si>
    <t>fm2@kmkk.net, jurist5@kmkk.net, kmmk@kmmk.net, piatigorsk@mail.ru</t>
  </si>
  <si>
    <t>korenovka.com</t>
  </si>
  <si>
    <t>arhipov.vn@metallprofil.ru, ekat@metallprofil.ru; korenkova.na@metallprofil.ru</t>
  </si>
  <si>
    <t>ПРОМАКТИВ, ООО (10 000 руб., 100%)</t>
  </si>
  <si>
    <t>1 634 030 000</t>
  </si>
  <si>
    <t>kostina.av@metallprofil.ru, mp@metallprofil.ru</t>
  </si>
  <si>
    <t>1 047 360 000</t>
  </si>
  <si>
    <t>806 210 000</t>
  </si>
  <si>
    <t>arhipov.vn@metallprofil.ru, kmp@metallprofil.ru, media@metallprofil.ru, mp-nvkz@metaiiprofil.ru, mp@metallprofil.ru</t>
  </si>
  <si>
    <t>ПРОМАКТИВ, ООО (98 000 000 руб., 100%)</t>
  </si>
  <si>
    <t>kogut.p@kasco.su, mparokhod@bk.ru, office@kasco.su</t>
  </si>
  <si>
    <t>340.ru, http://kasco.su/, spkam.ru, sputnik-kamchatka.ru</t>
  </si>
  <si>
    <t>Иванчей Александр Федорович (300 000 000 руб., 92.64%)
Иванчей Евгений Александрович (23 830 285 руб., 7.36%)</t>
  </si>
  <si>
    <t>316 470 000</t>
  </si>
  <si>
    <t>АПК-КУРСК, ООО (600 000 000 руб., 100%)</t>
  </si>
  <si>
    <t>180 970 000</t>
  </si>
  <si>
    <t>kms@saint-gobain.com, kms@verallia.com, olga.antonenko@verasteklo.com</t>
  </si>
  <si>
    <t>http://ru.verallia.com, kms-app.ru</t>
  </si>
  <si>
    <t>info-bkl@knauf.com</t>
  </si>
  <si>
    <t>www.knauf.com, www.knauf.ru</t>
  </si>
  <si>
    <t>КНАУФ ИНТЕРНАЦИОНАЛЬ ГМБХ (1 463 980 783 руб., 100%)</t>
  </si>
  <si>
    <t>Производство гипсовых изделий для использования в строительстве</t>
  </si>
  <si>
    <t>409 480 000</t>
  </si>
  <si>
    <t>knauf.ru, www.knauf.com</t>
  </si>
  <si>
    <t>КНАУФ ИНТЕРНАЦИОНАЛЬ ГМБХ (1 579 682 683.96 руб., 99.44%)
КНАУФ ГИПС, ООО (8 830 545.04 руб., 0.56%)</t>
  </si>
  <si>
    <t>Производство гипса</t>
  </si>
  <si>
    <t>976 070 000</t>
  </si>
  <si>
    <t>kub_gips@knauf.ru, kubangips@knauf.ru</t>
  </si>
  <si>
    <t>www.knauf.ru</t>
  </si>
  <si>
    <t>КНАУФ ИНТЕРНАЦИОНАЛЬ ГМБХ (26 998 800 руб., 100%)</t>
  </si>
  <si>
    <t>1 378 880 000</t>
  </si>
  <si>
    <t>gips@newmsk.net, gips@newmsk.tula.net, kuznecova.svetlana@knauf.ru</t>
  </si>
  <si>
    <t>http://www.gipsknauf.ru, www.knauf.ru</t>
  </si>
  <si>
    <t>КНАУФ ИНТЕРНАЦИОНАЛЬ ГМБХ (243 066 600 руб., 100%)</t>
  </si>
  <si>
    <t>866 090 000</t>
  </si>
  <si>
    <t>chel@knauf.ru, mail@knauf.chel.ru</t>
  </si>
  <si>
    <t>КНАУФ ИНТЕРНАЦИОНАЛЬ ГМБХ (172 594 900 руб., 100%)</t>
  </si>
  <si>
    <t>168 660 000</t>
  </si>
  <si>
    <t>КНАУФ ИНТЕРНАЦИОНАЛЬ ГМБХ (2 170 442 022.21 руб., 99.99%)
ИЗОГРАНУЛАТ - ГЕЗЕЛЬШАФТ МИТ БЕШРЭНКТЕР ХАФТУНГ (21 497.79 руб., 0.0010%)</t>
  </si>
  <si>
    <t>3 274 110 000</t>
  </si>
  <si>
    <t>viktor.mikhaylov@knaufinsulation.com</t>
  </si>
  <si>
    <t>knaufinsulation.ru</t>
  </si>
  <si>
    <t>ОБЩЕСТВО С ОГРАНИЧЕННОЙ ОТВЕТСТВЕННОСТЬЮ "КНАУФ ИНСУЛЕЙШН ХОЛДИНГ ГМБХ" (800 000 000 руб., 100%)</t>
  </si>
  <si>
    <t>Производство стекловолокна</t>
  </si>
  <si>
    <t>2 236 390 000</t>
  </si>
  <si>
    <t>alekseeva.viktoriya@knauf.ru, kpb@knauf.ru, sakova.oksana@knauf.ru</t>
  </si>
  <si>
    <t>knaufpetroboard.ru</t>
  </si>
  <si>
    <t>1 339 190 000</t>
  </si>
  <si>
    <t>info@i-npz.ru</t>
  </si>
  <si>
    <t>i-npz.ru</t>
  </si>
  <si>
    <t>Шамара Юрий Алексеевич (6 211 526 761 руб., 100%)</t>
  </si>
  <si>
    <t>4 026 400 000</t>
  </si>
  <si>
    <t>company@kngf.org, kngf@kogalym.wsnet.ru</t>
  </si>
  <si>
    <t>www.kngf.org</t>
  </si>
  <si>
    <t>341 460 000</t>
  </si>
  <si>
    <t>pogodina.m@bookcentre.ru</t>
  </si>
  <si>
    <t>157 920 000</t>
  </si>
  <si>
    <t>03481129@mail.ru, 8888ifflfkfk@mail.ru, agolovach@knp24.ru, ai.knp@yandex.ru, apad@knp24.ru, aso@knp24.ru, chudova@knp24.ru, dtn@knp24.ru, dug@knp24.ru, egolubchenko@knp24.ru</t>
  </si>
  <si>
    <t>knp24.ru</t>
  </si>
  <si>
    <t>41 480 000</t>
  </si>
  <si>
    <t>yadro.com</t>
  </si>
  <si>
    <t>1 905 630 000</t>
  </si>
  <si>
    <t>glushenkova@kngnn.ru, guseva@kngnn.ru, info@kngnn.ru, ivanov_v_a@kngnn.ru</t>
  </si>
  <si>
    <t>Фатуев Сергей Михайлович (90 000 руб., 90%)
Ганина Гюзель Анясовна (10 000 руб., 10%)</t>
  </si>
  <si>
    <t>8 090 000</t>
  </si>
  <si>
    <t>Бондаренко Марина Александровна (15 000 руб., 100%)</t>
  </si>
  <si>
    <t>Гусев Дмитрий Сергеевич (990 000 руб., 99%)
Гусева Марина Леонидовна (10 000 руб., 1%)</t>
  </si>
  <si>
    <t>170 200 000</t>
  </si>
  <si>
    <t>buh@kandal.murman01.ru, dmitrievavv@sibgenco.ru, dmitrievavv@suek.ru, evgeny.ponyatin@evrochem.ru, fax@kovgok.ru, fax_kdr@eurochem.ru, gosuslugi_kdr@eurochem.ru, grabea@sibgenco.ru, kdr@eurochem.ru, kovdor@mail.ru</t>
  </si>
  <si>
    <t>www.eurochim.ru</t>
  </si>
  <si>
    <t>30 830 060 000</t>
  </si>
  <si>
    <t>gavrilenko.vitaliy@knpos.ru, kuyumdzieva.tatiana@knpos.ru</t>
  </si>
  <si>
    <t>knpos.ru</t>
  </si>
  <si>
    <t>СЕРВИС-МЕНЕДЖМЕНТ, ООО (512 782 495.26 руб., 100%)</t>
  </si>
  <si>
    <t>164 370 000</t>
  </si>
  <si>
    <t>kgutt@sntrans.ru</t>
  </si>
  <si>
    <t>СПЕЦНЕФТЕТРАНС, АО (1 093 990 973 руб., 100%)</t>
  </si>
  <si>
    <t>135 230 000</t>
  </si>
  <si>
    <t>info@kemerovokoks.ru, popov@kem.metholding.ru</t>
  </si>
  <si>
    <t>www.koksgroup.ru</t>
  </si>
  <si>
    <t>Зубицкий Евгений Борисович (36.62%)
ТД РУДА, ООО (29.42%)
КОМБИНАТ КМАРУДА, АО (11.54%)
ТД ТУЛА-СТАЛЬ, ООО (4.52%)
БКФ ГОРИЗОНТ, ООО (0.00070%)</t>
  </si>
  <si>
    <t>Дементьева Ирина Алексеевна (10 000 руб., 100%)</t>
  </si>
  <si>
    <t>103 040 000</t>
  </si>
  <si>
    <t>www.kolvy.ru</t>
  </si>
  <si>
    <t>Козулин Евгений Викторович (7 773 руб., 77.73%)
Левин Григорий Борисович (1 000 руб., 10%)
Трубецкой Михаил Александрович (1 000 руб., 10%)
Кушнарев Владислав Николаевич (227 руб., 2.27%)</t>
  </si>
  <si>
    <t>348 340 000</t>
  </si>
  <si>
    <t>risception_ryrussia@colpal.com</t>
  </si>
  <si>
    <t>www.colgate.com</t>
  </si>
  <si>
    <t>2 641 740 000</t>
  </si>
  <si>
    <t>120 420 000</t>
  </si>
  <si>
    <t>Кислицина Людмила Анатольевна (10 000 руб., 100%)</t>
  </si>
  <si>
    <t>531 960 000</t>
  </si>
  <si>
    <t>uvarova_i@mbkk.ru</t>
  </si>
  <si>
    <t>мбкк.рф</t>
  </si>
  <si>
    <t>КОЛОМЕНСКИЙ, ООО БКХ (10 000 руб., 100%)</t>
  </si>
  <si>
    <t>214 700 000</t>
  </si>
  <si>
    <t>300@19a.ru, natalyah@colorlon.ru, sale@colorlon.nsk.su</t>
  </si>
  <si>
    <t>Валяев Владимир Иванович (5 025 000 руб., 25%)
Гетиков Евгений Владимирович (5 025 000 руб., 25%)
Зубков Вадим Павлович (5 025 000 руб., 25%)
Малышев Валерий Иванович (5 025 000 руб., 25%)</t>
  </si>
  <si>
    <t>fish@bekerev.ru, svetlana@bekerev.ru</t>
  </si>
  <si>
    <t>bekerev.ru</t>
  </si>
  <si>
    <t>1 276 240 000</t>
  </si>
  <si>
    <t>gaydar@magadankvp.ru, info@magadankvp.ru, kvp@online.magadan.su</t>
  </si>
  <si>
    <t>176 060 000</t>
  </si>
  <si>
    <t>kolymaneft@inbox.ru, magnit1979@gmail.com, tosmar@tosmar.ru</t>
  </si>
  <si>
    <t>Суханкина Федосья Александровна (10 000 руб., 100%)</t>
  </si>
  <si>
    <t>1 557 300 000</t>
  </si>
  <si>
    <t>aho@rushydro.ru, energo@kolymamsk.ru, energo@ya.msi.ru, kolymaenergo@kolymamsk.ru, kozlova_sv@inbox.ru</t>
  </si>
  <si>
    <t>www.kolymaenergo.rushydro.ru</t>
  </si>
  <si>
    <t>РУСГИДРО, ПАО (98.76%)</t>
  </si>
  <si>
    <t>89248515901@rambler.ru, 89248515903@rambler.ru</t>
  </si>
  <si>
    <t>128 820 000</t>
  </si>
  <si>
    <t>sale@mirtm.ru, uzhegov@mirtm.ru</t>
  </si>
  <si>
    <t>mirtm.ru</t>
  </si>
  <si>
    <t>Домничев Андрей Николаевич (5 000 руб., 33.33%)
Мокеев Илья Николаевич (5 000 руб., 33.33%)
Назаров Денис Александрович (5 000 руб., 33.33%)</t>
  </si>
  <si>
    <t>122 540 000</t>
  </si>
  <si>
    <t>luzinova@global.komatsu</t>
  </si>
  <si>
    <t>www.komatsu.yar.ru</t>
  </si>
  <si>
    <t>КОМАЦУ СНГ, ООО (4 271 948 700 руб., 99.96%)
АКЦИОНЕРНОЕ ОБЩЕТСВО "КОМАЦУ ЛТД." (1 800 000 руб., 0.040%)</t>
  </si>
  <si>
    <t>171 090 000</t>
  </si>
  <si>
    <t>komatsucis@komatsu.ru, rupdmb_komatsucis@global.komatsu</t>
  </si>
  <si>
    <t>www.komatsu.ru</t>
  </si>
  <si>
    <t>АКЦИОНЕРНОЕ ОБЩЕТСВО "КОМАЦУ ЛТД." (5 301 183 700 руб., 100%)</t>
  </si>
  <si>
    <t>5 969 290 000</t>
  </si>
  <si>
    <t>tara@altaytara.ru</t>
  </si>
  <si>
    <t>altaytara.ru</t>
  </si>
  <si>
    <t>Лазарев Андрей Викторович (9 900 руб., 99%)
Лазарев Андрей Андреевич (100 руб., 1%)</t>
  </si>
  <si>
    <t>amozhaev@magnezit.com, sbyt@magnezit.com.ru, secretar@magnezit.com.ru</t>
  </si>
  <si>
    <t>МАГНЕЗИТ-ХОЛДИНГ, АО (86.24%)
Верзаков Василий Александрович (0.0000010%)</t>
  </si>
  <si>
    <t>КОРПОРАЦИЯ РАЗВИТИЯ, АО (78 010 000 руб., 100%)</t>
  </si>
  <si>
    <t>kombinat@pksmak.ru, secretar@pksmak.ru</t>
  </si>
  <si>
    <t>www.h-vк.ru</t>
  </si>
  <si>
    <t>d_river@mail.ru, gurman@sib-gurman.ru, teplova@sib-gurman.ru</t>
  </si>
  <si>
    <t>www.sib-gurman.ru</t>
  </si>
  <si>
    <t>ХОРОШИЙ ХЛЕБ, ООО (2 027 380 руб., 40%)
Сапухин Олег Геннадьевич (1 008 438 руб., 19.89%)
Демиденко Владимир Николаевич (920 797 руб., 18.16%)
АВИАНЕЛЛО ЛИМИТЕД (345 608 руб., 6.81%)
ЛАЧАРТЕ ЛИМИТЕД (345 608 руб., 6.81%)
КАСИЛЛИНИ ЛИМИТЕД (291 510 руб., 5.75%)
Свищев Владимир Брониславович (129 109 руб., 2.54%)</t>
  </si>
  <si>
    <t>107 640 000</t>
  </si>
  <si>
    <t>info@komek.ru, sobolevavm@komek.ru</t>
  </si>
  <si>
    <t>МИЦУИ ЭНД КО., ЛТД. (184 619 342.5 руб., 95%)
ИКО ХОЛДИНГ ГМБХ (9 716 807.5 руб., 5%)</t>
  </si>
  <si>
    <t>893 420 000</t>
  </si>
  <si>
    <t>kometa_m@mail.ru</t>
  </si>
  <si>
    <t>Малых Анатолий Геннадьевич (5 414 845.6 руб., 100%)</t>
  </si>
  <si>
    <t>19 760 000</t>
  </si>
  <si>
    <t>alekcndr.mayburov@komiesc.ru, aleksand.matveev@komiesc.ru, aleksandr.matveev@komiesc.ru, aleksandr.matveev@komiesk.ru, aleksandr.mayburov@komiesc.ru, aleksandr.mayburov@komiescc.ru, aleksandr.mayburov@komiesk.ru, aleksandr.mayburov@komiesx.ru, aleksandr.mayburov@komiiesc.ru, aleksandra.sharafutdinova@komi.ru</t>
  </si>
  <si>
    <t>100 780 000</t>
  </si>
  <si>
    <t>info@comitas.ru, kakoyanalf@mail.ru</t>
  </si>
  <si>
    <t>comitas.ru</t>
  </si>
  <si>
    <t>Манукян Давит Варданович (30 000 000 руб., 100%)</t>
  </si>
  <si>
    <t>876 600 000</t>
  </si>
  <si>
    <t>expert@lin.komitex.ru, lin@lin.komitex.ru</t>
  </si>
  <si>
    <t>komitexlin.ru</t>
  </si>
  <si>
    <t>Иванус Михаил Николаевич (5 000 руб., 50%)
Корягин Валерий Иванович (2 250 руб., 22.50%)
Пошуменский Андрей Семенович (2 250 руб., 22.50%)
Пшунетлев Виктор Асланович (500 руб., 5%)</t>
  </si>
  <si>
    <t>213 590 000</t>
  </si>
  <si>
    <t>fedorova_vn@komitex.ru, fedotova_vn@komitex.ru, finance@komitex.ru, personal@komitex.ru</t>
  </si>
  <si>
    <t>www.komitex.ru, www.nrcreg.ru</t>
  </si>
  <si>
    <t>212 300 000</t>
  </si>
  <si>
    <t>dontknow@mail.ru, komiest@komiesc.ru, lyubov.antonova@komiesc.ru, mariya.kosilova@komiesc.ru, mariya.zraychenko@komiesc.ru, nina.pakulina@komiesc.ru, officevtec@tplusgroup.ru, olga.nabobko@komiesc.ru, olga.nabodoko@komiesc.ru, olga.naboko@komiesc.ru</t>
  </si>
  <si>
    <t>Т ПЛЮС, ПАО (5 522 014 320.23 руб., 100%)</t>
  </si>
  <si>
    <t>77oro@minjust.gov.ru, a_lapshin@akado-telecom.ru, aatodorashko@akado-telecom.ru, avvoskresensk@akado-telecom.ru, eapotapkina@akado-telecom.ru, eltorgi@akado-telecom.ru, epkudrina@akado-telecom.ru, gipavlova@akado-telecom.ru, iaremizova@akado-telecom.ru, info@akado-telecom.ru</t>
  </si>
  <si>
    <t>www.akado-telecom.ru, www.comcor.com, www.comcor.ru</t>
  </si>
  <si>
    <t>kna@kmc-center.ru</t>
  </si>
  <si>
    <t>Шумейко Валерий Анатольевич (300 000 руб., 100%)</t>
  </si>
  <si>
    <t>107 790 000</t>
  </si>
  <si>
    <t>nedopivtseva.irina@rosspirtprom.ru</t>
  </si>
  <si>
    <t>ЗЕРНОПРОДУКТ, ООО (81 853 000 руб., 100%)</t>
  </si>
  <si>
    <t>23 200 000</t>
  </si>
  <si>
    <t>kom-rudnik@yandex.ru, kom.rudnik@gmail.com, rudnik@yandex.ru</t>
  </si>
  <si>
    <t>ЮГК, АО (99.13%)</t>
  </si>
  <si>
    <t>121 080 000</t>
  </si>
  <si>
    <t>dpm@komos.ru, esen@komos.ru, gs@ftk.komos.ru, office@komos.ru, ofice@komos.ru, ogalceva@ftk.komos.ru</t>
  </si>
  <si>
    <t>www.komos.ru</t>
  </si>
  <si>
    <t>ХАЙПЕРФУДС ХОЛДИНГ, ООО (30 262 372 руб., 100%)</t>
  </si>
  <si>
    <t>mail@a8polymer.ru</t>
  </si>
  <si>
    <t>a8polymer.ru</t>
  </si>
  <si>
    <t>Хорошун Андрей Константинович (1 250 000 руб., 50%)
Хорошун Ирина Николаевна (1 250 000 руб., 50%)</t>
  </si>
  <si>
    <t>95 310 000</t>
  </si>
  <si>
    <t>ac-info@ac-nn.ru, gl88002225562@ac-nn.ru</t>
  </si>
  <si>
    <t>ac-nn.ru</t>
  </si>
  <si>
    <t>Гоголев Николай Николаевич (990 000 руб., 99%)
Пучков Максим Евгеньевич (10 000 руб., 1%)</t>
  </si>
  <si>
    <t>530 000</t>
  </si>
  <si>
    <t>agora@agora-trade.ru, agora@agoracom.ru, glavbuh@agoracom.ru, info@company24.com, market@agora-market.ru</t>
  </si>
  <si>
    <t>Мамедов Арастун Булур Оглы (10 000 000 руб., 100%)</t>
  </si>
  <si>
    <t>26 260 000</t>
  </si>
  <si>
    <t>a.mingazova@alfascan.ru</t>
  </si>
  <si>
    <t>alfascan.ru</t>
  </si>
  <si>
    <t>Гарифьянов Радик Рахимьянович (10 010 000 руб., 100%)</t>
  </si>
  <si>
    <t>384 520 000</t>
  </si>
  <si>
    <t>adm@afg-national.ru, dat@afg-national.ru, n.egorova@afg-national.ru</t>
  </si>
  <si>
    <t>www.afg-national.ru, www.angstremgroup.ru</t>
  </si>
  <si>
    <t>АФГ НАЦИОНАЛЬ, ООО (360 000 руб., 100%)</t>
  </si>
  <si>
    <t>337 540 000</t>
  </si>
  <si>
    <t>cll.april@mail.ru</t>
  </si>
  <si>
    <t>Сорокалетова Юлия Владимировна (1 350 000 руб., 90%)
Бруяка Валерий Валентинович (150 000 руб., 10%)</t>
  </si>
  <si>
    <t>109 540 000</t>
  </si>
  <si>
    <t>b2b@arnestcom.ru, zakaz@arnestcom.ru</t>
  </si>
  <si>
    <t>twist.ru</t>
  </si>
  <si>
    <t>Шукуров Сардар Асдан Оглы (30 000 руб., 100%)</t>
  </si>
  <si>
    <t>11 090 000</t>
  </si>
  <si>
    <t>auto@aerodar.com, cargo@aerodar.ru, k.smorodin@aerodar.ru, vbgaponenko@gmail.com</t>
  </si>
  <si>
    <t>aerodar.ru</t>
  </si>
  <si>
    <t>Рогов Александр Владимирович (10 000 руб., 100%)</t>
  </si>
  <si>
    <t>32 320 000</t>
  </si>
  <si>
    <t>Шлапаков Алексей Валентинович (30 000 руб., 100%)</t>
  </si>
  <si>
    <t>3 770 000</t>
  </si>
  <si>
    <t>companybio@mail.ru, henoh.uv@holdingbio.ru, info@holdingbio.ru</t>
  </si>
  <si>
    <t>www.holdingbio.ru</t>
  </si>
  <si>
    <t>Лагунов Дмитрий Викторович (4 900 000 руб., 98%)
Белякин Андрей Альбертович (100 000 руб., 2%)</t>
  </si>
  <si>
    <t>110 850 000</t>
  </si>
  <si>
    <t>aromanov@breez.ru, climate@breez.ru, olynina@breez.ru</t>
  </si>
  <si>
    <t>breez.ru</t>
  </si>
  <si>
    <t>Устинов Вадим Евгеньевич (1 000 000 руб., 100%)</t>
  </si>
  <si>
    <t>1 104 030 000</t>
  </si>
  <si>
    <t>chekmareva.t@gcblago.ru, golubkova@blago-spb.ru</t>
  </si>
  <si>
    <t>благо-спб.рф</t>
  </si>
  <si>
    <t>БЛАГО ИНВЕСТ, ООО (500 000 000 руб., 100%)</t>
  </si>
  <si>
    <t>Производство растительных и животных масел и жиров</t>
  </si>
  <si>
    <t>46 360 000</t>
  </si>
  <si>
    <t>buh@sstkvik.ru, sstk_vik@mail.ru</t>
  </si>
  <si>
    <t>Шкута Владимир Павлович (10 000 руб., 100%)</t>
  </si>
  <si>
    <t>evgeny.masternak@gmail.com, office@kvsu.ru</t>
  </si>
  <si>
    <t>БАЙКАЛЬСКАЯ ЭНЕРГЕТИЧЕСКАЯ КОМПАНИЯ, ООО (2 620 497 374 руб., 98.65%)
БАЙКАЛИНВЕСТЭНЕРГО, ООО (35 854 390 руб., 1.35%)</t>
  </si>
  <si>
    <t>253 870 000</t>
  </si>
  <si>
    <t>buh@grain-prof.ru, info@grain-prof.ru</t>
  </si>
  <si>
    <t>www.grain-prof.ru</t>
  </si>
  <si>
    <t>Гайсин Альберт Фавадисович (15 705 000 руб., 50%)
Заболотний Станислав Вячеславович (15 705 000 руб., 50%)</t>
  </si>
  <si>
    <t>105 970 000</t>
  </si>
  <si>
    <t>1223456@mail.ru, czl164@ucfh.ru, dog.kvs@yandex.ru, info@kons.ru, info@kvs-saratov.ru, info@kvs.ru, info@vodok.ru, ipu@sarrc.ru, kbc@mail.ru, konceciasaratov@mail.ru</t>
  </si>
  <si>
    <t>kvs-saratov.ru</t>
  </si>
  <si>
    <t>ИК ЛИДЕР, АО (1 000 000 руб., 100%)</t>
  </si>
  <si>
    <t>2680151@mail.ru, andish2@mail.ru, ghgbb@mail.ru, info@artkar.com, kil@kazan.ru, kilkazan@mail.ru, kuchergina58@mail.ru, legal@kiel-kazan.ru, ndish2@mail.ru, orgi.kazan@yandex.ru</t>
  </si>
  <si>
    <t>www.rezon-product.ru</t>
  </si>
  <si>
    <t>Ахметов Рустам Асхатович (5 500 руб., 55%)
Сидоров Сергей Николаевич (2 500 руб., 25%)
Хабибова Диляра Камилевна (2 000 руб., 20%)</t>
  </si>
  <si>
    <t>52 300 000</t>
  </si>
  <si>
    <t>info@ohtapark.ru, olga.melekhovets@f-la.ru</t>
  </si>
  <si>
    <t>https://www.ohtapark.ru/, www.ohta-park.ru</t>
  </si>
  <si>
    <t>sfpot@mail.ru</t>
  </si>
  <si>
    <t>Макарьев Михаил Игоревич (1 000 000 руб., 100%)</t>
  </si>
  <si>
    <t>81 510 000</t>
  </si>
  <si>
    <t>lagunaoil.ru</t>
  </si>
  <si>
    <t>110 040 000</t>
  </si>
  <si>
    <t>mos-reception@ldc.com, reception.moscow@ldcommodities.com</t>
  </si>
  <si>
    <t>www.ldvostok.ru</t>
  </si>
  <si>
    <t>АКЦИОНЕРНОЕ ОБЩЕСТВО "САНГРЕЙН ХОЛДИНГ С.А." (396 581 000 руб., 100%)</t>
  </si>
  <si>
    <t>Песелев Виктор Константинович (150 000 руб., 100%)</t>
  </si>
  <si>
    <t>Торговля оптовая радио-, теле- и видеоаппаратурой и аппаратурой для цифровых видеодисков (DVD)</t>
  </si>
  <si>
    <t>182 730 000</t>
  </si>
  <si>
    <t>info@metropolis-online.ru</t>
  </si>
  <si>
    <t>Славин Вадим Иванович (4 290 000 руб., 42.90%)
Славин Василий Иванович (3 860 000 руб., 38.60%)
Паздерин Павел Валерьевич (930 000 руб., 9.30%)
Соколов Константин Викторович (920 000 руб., 9.20%)</t>
  </si>
  <si>
    <t>konstantins.sviridov@ecolab.com</t>
  </si>
  <si>
    <t>www.ecolab.com, www.nalco.com</t>
  </si>
  <si>
    <t>ЭКОЛАБ НЛ 10 Б.В. (2 674 984 руб., 89%)
Ecolabone B.V. (330 616 руб., 11%)</t>
  </si>
  <si>
    <t>550 280 000</t>
  </si>
  <si>
    <t>ИНВЕСТИЦИОННО-КОНСАЛТИНГОВАЯ ГРУППА, ООО (187 916 000 руб., 100%)</t>
  </si>
  <si>
    <t>270 320 000</t>
  </si>
  <si>
    <t>ooo.nipetoil@gmail.com, yurist.nipetoil@gmail.com</t>
  </si>
  <si>
    <t>nipetoil.ru</t>
  </si>
  <si>
    <t>Кудашкин Николай Степанович (5 000 руб., 50%)
Кудашкин Петр Степанович (5 000 руб., 50%)</t>
  </si>
  <si>
    <t>13 150 000</t>
  </si>
  <si>
    <t>bjtg@mail.ru, byhi7@mail.ru, cmp.organika@list.ru, cmp_organica@list.ru, fcghf@mail.ru, fjgyeuh@mail.ru, fuy6fy@mail.ru, fyfg@mail.ru, gfugt@mail.ru, hgug@mail.ru</t>
  </si>
  <si>
    <t>Комягин Валерий Николаевич (10 000 руб., 100%)</t>
  </si>
  <si>
    <t>159 770 000</t>
  </si>
  <si>
    <t>marina.m.popova@plc-oil.ru</t>
  </si>
  <si>
    <t>TRISONNERY ASSETS LTD (8 800 000 руб., 100%)</t>
  </si>
  <si>
    <t>401577@mail.ru</t>
  </si>
  <si>
    <t>Матросова Татьяна Геннадиевна (8 000 руб., 80%)
Давлетшин Вадим Альбертович (2 000 руб., 20%)</t>
  </si>
  <si>
    <t>2 320 000</t>
  </si>
  <si>
    <t>buh.ev@yandex.ru, yafet@list.ru</t>
  </si>
  <si>
    <t>ras-com.ru</t>
  </si>
  <si>
    <t>Кокин Андрей Николаевич (10 000 руб., 33.33%)
Трофимов Юрий Васильевич (10 000 руб., 33.33%)
Филатов Игорь Александрович (10 000 руб., 33.33%)</t>
  </si>
  <si>
    <t>115 930 000</t>
  </si>
  <si>
    <t>director120@rbt.ru, halfina@rbt.ru, market@kvintakids.ru</t>
  </si>
  <si>
    <t>rbt.ru</t>
  </si>
  <si>
    <t>Кашин Андрей Николаевич (29 029 481.21 руб., 99%)
Кашина Марина Владимировна (293 227.08 руб., 1%)</t>
  </si>
  <si>
    <t>reception@russionstandard.com</t>
  </si>
  <si>
    <t>www.russianstandard.com</t>
  </si>
  <si>
    <t>1002825@rbauto.ru, 1003261@rbauto.ru, bobrov.aa@rbauto.ru, info@rbauto.ru, internet@rbauto.ru, missingcall@rbauto.ru, null@rbauto.ru, sales@kazan.rbauto.ru, sales@krasnoyarsk.rbauto.ru, sales@moscow.rbauto.ru</t>
  </si>
  <si>
    <t>rbauto.ru, www.</t>
  </si>
  <si>
    <t>КОНЦЕРН ПРАМО, АО (6 547 210 руб., 65.47%)
Новицкий Андрей Викторович (2 821 440 руб., 28.21%)
Цепенков Алексей Олегович (322 980 руб., 3.23%)
Солодуха Алексей Борисович (308 370 руб., 3.08%)</t>
  </si>
  <si>
    <t>3 100 540 000</t>
  </si>
  <si>
    <t>www.gmily.ru</t>
  </si>
  <si>
    <t>Дубонос Андрей Викторович (50 000 руб., 50%)
ТОРГОВАЯ КОМПАНИЯ СМАЙЛИ, ООО (50 000 руб., 50%)</t>
  </si>
  <si>
    <t>32 380 000</t>
  </si>
  <si>
    <t>www.ksmp.info</t>
  </si>
  <si>
    <t>Постолов Борис Маркович (7 500 руб., 60%)
Быков Андрей Александрович (5 000 руб., 40%)</t>
  </si>
  <si>
    <t>58 860 000</t>
  </si>
  <si>
    <t>burdukov.aleksey@stml.ru, singur.olga@stml.ru, slavkina.oksana@stml.ru, vyatrovich.d@stml.ru</t>
  </si>
  <si>
    <t>Черников Дмитрий Иванович (343 458 руб., 100%)</t>
  </si>
  <si>
    <t>31 260 000</t>
  </si>
  <si>
    <t>ai.kuzivanova@spb.tensor.ru, av.anpilov@cc.tensor.ru, ee.parshina@tensor.ru, eg.kosticheva@omsk.tensor.ru, info@ryazan.tensor.ru, info@stavropol.tensor.ru, lv.burovnikova@kursk.tensor.ru, mg.bil@tensor.ru, mi.beskova@kaluga.tensor.ru, o.shishko@tender.ru</t>
  </si>
  <si>
    <t>sbis.ru</t>
  </si>
  <si>
    <t>Уваров Сергей Васильевич (472 412.64 руб., 73.35%)
Кошелев Александр Евгеньевич (106 028.16 руб., 16.46%)
Новиков Дмитрий Владимирович (45 337.6 руб., 7.04%)
Боровиков Кирилл Сергеевич (10 110.8 руб., 1.57%)
Зафиевский Дмитрий Александрович (10 110.8 руб., 1.57%)</t>
  </si>
  <si>
    <t>450 610 000</t>
  </si>
  <si>
    <t>buh.zhuravel@technostroy.kaluga.ru, dogovor@technostroy.kaluga.ru, teplokaluga@list.ru</t>
  </si>
  <si>
    <t>www.teplokaluga.ru</t>
  </si>
  <si>
    <t>Журавель Елена Вячеславовна (5 470 000 руб., 100%)</t>
  </si>
  <si>
    <t>a.chernozubova@sibir.ttk.ru, a.kashirina@sakhalin.ttk.ru, a.kryuchkova@volga.ttk.ru, a.kryukova@ttk.ru, a.mikhalev@ttk.ru, abaranov@centre.ttk.ru, ao@su.ttk.ru, b2b@centre.ttk.ru, b2b@sever.ttk.ru, biling@volga.ttk.ru</t>
  </si>
  <si>
    <t>www.ttk.ru</t>
  </si>
  <si>
    <t>127 330 000</t>
  </si>
  <si>
    <t>veretennikovalr@ufaoil.ru</t>
  </si>
  <si>
    <t>141 250 000</t>
  </si>
  <si>
    <t>1287170@mail.ru, aleshkinanataly@mail.ru, andreev@pharmcompany.ru, anisimova@pharmcompany.ru, ender@pharmstore.info, farmstor@bk.ru, farmstor@gmail.ru, farmstor@mail.ru, farmstor@yandex.ru, gjlikov@pharmgroup.org</t>
  </si>
  <si>
    <t>www.pharmstore.info</t>
  </si>
  <si>
    <t>Наумочкин Валерий Васильевич (66 000 руб., 66%)
Акимкин Сергей Анатольевич (34 000 руб., 34%)</t>
  </si>
  <si>
    <t>1 178 890 000</t>
  </si>
  <si>
    <t>khf4212@mai.ru, khf4212@mail.ru, khf754@khf.ru, khf957@khf.ru, khflender@mail.ru, khftender@mail.ru</t>
  </si>
  <si>
    <t>Жукович Игорь Юрьевич (9 737.5 руб., 47.50%)
Бояркин Игорь Александрович (6 047.5 руб., 29.50%)
Жукович Артем Игоревич (4 510 руб., 22%)
СВЕТОЧ ФАРМАЦЕВТИКА, ООО (205 руб., 1%)</t>
  </si>
  <si>
    <t>203 120 000</t>
  </si>
  <si>
    <t>a.kolesik@helicon.ru, a.kolesni@helicon.ru, a.kolesnic@helicon.ru, a.kolesnik@helikon.ru, a.kolesnik@helion.ru, a.mironenko@helicon.ru, a.mironenko@influenza.spb.ru, bavige@yandex.ru, d.pupynin@helicon.ru, d.safonov@helicon.ru</t>
  </si>
  <si>
    <t>www.helicon.ru</t>
  </si>
  <si>
    <t>Смирнов Анатолий Сергеевич (600 000 руб., 60%)
Сударикова Юлия Владимировна (300 000 руб., 30%)
Кириллов Виссарион Арчилович (100 000 руб., 10%)</t>
  </si>
  <si>
    <t>984 360 000</t>
  </si>
  <si>
    <t>eurocardshell@mail.ru, kachina@kuz-ugol.ru, kmr.manager1@mail.ru, kmr.manager@mail.ru, kmr.manager_2@mail.ru, kmr.managerl@mail.ru, s_kv68@mail.ru, tendercentr.kem@yandex.ru</t>
  </si>
  <si>
    <t>Соловьев Константин Васильевич (300 000 руб., 100%)</t>
  </si>
  <si>
    <t>2 460 000</t>
  </si>
  <si>
    <t>Муратов Ильнур Равилевич (550 000 руб., 100%)</t>
  </si>
  <si>
    <t>23 050 000</t>
  </si>
  <si>
    <t>чипсташки.рф</t>
  </si>
  <si>
    <t>ЭЛИТ КАПИТАЛ, ООО (10 000 000 руб., 100%)</t>
  </si>
  <si>
    <t>vershinina@uniland.ru, vlasova@uniland.ru</t>
  </si>
  <si>
    <t>uniland.ru</t>
  </si>
  <si>
    <t>50 310 000</t>
  </si>
  <si>
    <t>corplaw@cherkizovo.com</t>
  </si>
  <si>
    <t>АПК МИХАЙЛОВСКИЙ, ООО (580 000 000 руб., 100%)</t>
  </si>
  <si>
    <t>halzov@gfoil.ru, info@gfoil.ru</t>
  </si>
  <si>
    <t>gfoil.ru</t>
  </si>
  <si>
    <t>ИНС, ООО (1 000 000 руб., 100%)</t>
  </si>
  <si>
    <t>office@korec.ru, office@koreg.ru</t>
  </si>
  <si>
    <t>koreg.ru</t>
  </si>
  <si>
    <t>Каратыш Кирилл Николаевич (10 000 руб., 100%)</t>
  </si>
  <si>
    <t>132 230 000</t>
  </si>
  <si>
    <t>info@contract-center.ru</t>
  </si>
  <si>
    <t>Кохтырев Илья Васильевич (60 000 руб., 100%)</t>
  </si>
  <si>
    <t>3 620 000</t>
  </si>
  <si>
    <t>9999449@mail.ru, corp@complexapp.ru</t>
  </si>
  <si>
    <t>Бузмаков Станислав Петрович (10 000 руб., 50%)
ЛУЧ, ООО (10 000 руб., 50%)</t>
  </si>
  <si>
    <t>a.slavnikov@komterm.ru, info@komterm.ru</t>
  </si>
  <si>
    <t>komterm.ru</t>
  </si>
  <si>
    <t>Подкорытов Алексей Федорович (300 000 руб., 100%)</t>
  </si>
  <si>
    <t>311 480 000</t>
  </si>
  <si>
    <t>chirskov@ml.ussuriisk.ru, manager_ks@bk.ru, office_ks@mail.ru, offise_ks@mail.ru</t>
  </si>
  <si>
    <t>Чирсков Владимир Вячеславович (10 000 руб., 100%)</t>
  </si>
  <si>
    <t>11 060 000</t>
  </si>
  <si>
    <t>csinfo@csmedica.ru</t>
  </si>
  <si>
    <t>129 280 000</t>
  </si>
  <si>
    <t>Баженов Никита Евгеньевич (10 000 руб., 100%)</t>
  </si>
  <si>
    <t>226 440 000</t>
  </si>
  <si>
    <t>www.k-energo.com</t>
  </si>
  <si>
    <t>ГК ЭКРА, ООО (600 000 руб., 100%)</t>
  </si>
  <si>
    <t>133 100 000</t>
  </si>
  <si>
    <t>beseda.ru</t>
  </si>
  <si>
    <t>ЛАНИТ-ХОЛДИНГ, ООО (21 000 руб., 100%)</t>
  </si>
  <si>
    <t>510 790 000</t>
  </si>
  <si>
    <t>msk@compel.ru</t>
  </si>
  <si>
    <t>www.compel.ru</t>
  </si>
  <si>
    <t>1 070 320 000</t>
  </si>
  <si>
    <t>info@commstroy.ru, kon_ot@commstroy.ru</t>
  </si>
  <si>
    <t>commstroy.ru</t>
  </si>
  <si>
    <t>Шанаев Илья Михайлович (30 000 руб., 100%)</t>
  </si>
  <si>
    <t>6 010 000</t>
  </si>
  <si>
    <t>sea@ctug.ru, srr@ctug.ru</t>
  </si>
  <si>
    <t>ctug.ru</t>
  </si>
  <si>
    <t>Климов Сергей Сергеевич (64 800 руб., 54%)
Алексеев Денис Игоревич (48 000 руб., 40%)
Заикина Людмила Владимировна (7 200 руб., 6%)</t>
  </si>
  <si>
    <t>1 780 000</t>
  </si>
  <si>
    <t>info@comtt.ru, tender@dtbm.ru, zakaz@comtt.ru</t>
  </si>
  <si>
    <t>enter-prise.ru</t>
  </si>
  <si>
    <t>Павлов Дмитрий Владимирович (21 000 000 руб., 60%)
Ереев Марат Фаридович (14 000 000 руб., 40%)</t>
  </si>
  <si>
    <t>167 240 000</t>
  </si>
  <si>
    <t>3206320@mail.ru, 9065494920@komus.net, aaasq@region.komus.net, afi1h@region.komus.net, apsavn@mail.ru, ara1@region.komus.net, bes1an@region.komus.ru, bnalmn@region.komus.net, budget_help@komus.net, bvvbw@spb.komus.net</t>
  </si>
  <si>
    <t>komus.ru</t>
  </si>
  <si>
    <t>ТПГК, ООО (1 000 000 руб., 100%)</t>
  </si>
  <si>
    <t>3 396 950 000</t>
  </si>
  <si>
    <t>barysheval@spetstorg.ru</t>
  </si>
  <si>
    <t>dommo.ru, homerry.ru</t>
  </si>
  <si>
    <t>Саргсян Каро Сергеевич (10 000 000 руб., 100%)</t>
  </si>
  <si>
    <t>51 140 000</t>
  </si>
  <si>
    <t>konar@konar.ru</t>
  </si>
  <si>
    <t>www.konar.ru</t>
  </si>
  <si>
    <t>ТАНДЕР, АО (9 990 руб., 99.90%)
АЛКОТРЕЙДИНГ, ООО (10 руб., 0.10%)</t>
  </si>
  <si>
    <t>elena.v.petrova@slavjanka.ru</t>
  </si>
  <si>
    <t>slajanka.ru</t>
  </si>
  <si>
    <t>СЛАВЯНКА-ЛЮКС, АО (100 000 руб., 100%)</t>
  </si>
  <si>
    <t>375 900 000</t>
  </si>
  <si>
    <t>info@babaev.ru</t>
  </si>
  <si>
    <t>www.babaev.ru</t>
  </si>
  <si>
    <t>ХОЛДИНГОВАЯ КОМПАНИЯ ОБЪЕДИНЕННЫЕ КОНДИТЕРЫ, АО (96.92%)</t>
  </si>
  <si>
    <t>airih@aokcbk.ru, avangard@aokcbk.ru, kbk@aokcbk.ru, savinato@karjalapulp.com, secretary@aokcbk.ru</t>
  </si>
  <si>
    <t>aokcbk.ru</t>
  </si>
  <si>
    <t>943 750 000</t>
  </si>
  <si>
    <t>nym.ru</t>
  </si>
  <si>
    <t>Шахов Михаил Васильевич (450 007.5 руб., 75%)
Осокин Михаил Владимирович (150 002.5 руб., 25%)</t>
  </si>
  <si>
    <t>195 080 000</t>
  </si>
  <si>
    <t>conserf@mail.ru, consergv@mail.ru, conserv@mail.ru, konserv@mail.ru, konservprofil@gmail.com, konservtreid@mail.ru, leb.68@mail.ru, valera.kirillow2015@yandex.ru</t>
  </si>
  <si>
    <t>Беляев Юрий Николаевич (25 600 000 руб., 50%)
Свердлик Константин Моняевич (25 600 000 руб., 50%)</t>
  </si>
  <si>
    <t>19 920 000</t>
  </si>
  <si>
    <t>albashi_info@ruspole.ru, igrigorenko@ruspole.ru, info@ruspole.ru, knsrp@mail.kuban.ru, koropova@ruspole.ru, netkorupzii@ruspole.ru, taran@ruspole.ru</t>
  </si>
  <si>
    <t>РУССКОЕ ПОЛЕ-ЛОГИСТИК, ООО (60 000 000 руб., 74%)
Телунц Тигран Эдуардович (10 000 руб., 26%)</t>
  </si>
  <si>
    <t>107 570 000</t>
  </si>
  <si>
    <t>altaneftesbyt@gmail.com, i.orlov@oilconsonance.com</t>
  </si>
  <si>
    <t>Гришин Евгений Викторович (30 000 руб., 100%)</t>
  </si>
  <si>
    <t>62 970 000</t>
  </si>
  <si>
    <t>office@constantia-kuban.com, tatiana.koliada@cflex.com</t>
  </si>
  <si>
    <t>www.cflex.com, www.constantia-kuban.com</t>
  </si>
  <si>
    <t>edu.74@mail.ru</t>
  </si>
  <si>
    <t>sz-const.ru</t>
  </si>
  <si>
    <t>Захаров Ливи Романович (10 000 руб., 100%)</t>
  </si>
  <si>
    <t>dpo@expertizacenter.ru, info@expertizacenter.ru, tatiana.shlenskaya@gmail.com</t>
  </si>
  <si>
    <t>expertizacenter.ru</t>
  </si>
  <si>
    <t>Пчельников Андрей Георгиевич (159 780 000 руб., 100%)</t>
  </si>
  <si>
    <t>Экспертиза проектной документации и результатов инженерных изысканий</t>
  </si>
  <si>
    <t>35 420 000</t>
  </si>
  <si>
    <t>kontakt@kontakt-mariel.ru, nalog_kontakt@mail.ru, sveta0505_2@mail.ru</t>
  </si>
  <si>
    <t>www.zavod-kontakt.ru</t>
  </si>
  <si>
    <t>eborisova@ctx-monolit.ru</t>
  </si>
  <si>
    <t>ctx-monolit.ru</t>
  </si>
  <si>
    <t>"КОНТЕЙНЕКС КОНТЕЙНЕР-ХАНДЕЛЬСГЕЗЕЛЬШАФТ М.Б.Х" (20 473 214.92 руб., 75%)
Несмашный Олег Владимирович (4 367 619.18 руб., 16%)
Морозов Олег Николаевич (2 456 785.79 руб., 9%)</t>
  </si>
  <si>
    <t>320 160 000</t>
  </si>
  <si>
    <t>admins@kontirus.ru, refer@ru.konti.com</t>
  </si>
  <si>
    <t>www.konti.com</t>
  </si>
  <si>
    <t>88 430 000</t>
  </si>
  <si>
    <t>info@continent.pro, sz@continent.pro</t>
  </si>
  <si>
    <t>www.continent.pro</t>
  </si>
  <si>
    <t>Золоторевский Сергей Федорович (10 000 руб., 100%)</t>
  </si>
  <si>
    <t>200 640 000</t>
  </si>
  <si>
    <t>alekseevayu@contlog.ru, reception@contlog.ru, suhininai@contlog.ru</t>
  </si>
  <si>
    <t>Буганов Константин Анатольевич (2 575 000 руб., 25%)
Величко Михаил Иванович (2 575 000 руб., 25%)
Матузко Николай Анатольевич (2 575 000 руб., 25%)
Путинцев Сергей Юрьевич (2 575 000 руб., 25%)</t>
  </si>
  <si>
    <t>Торговля оптовая неспециализированная незамороженными пищевыми продуктами, напитками и табачными изделиями</t>
  </si>
  <si>
    <t>66 690 000</t>
  </si>
  <si>
    <t>Айдагулов Валерий Ирикович (5 000 руб., 50%)
Мохов Александр Евгеньевич (5 000 руб., 50%)</t>
  </si>
  <si>
    <t>257 190 000</t>
  </si>
  <si>
    <t>continental.kaluga@conti.de</t>
  </si>
  <si>
    <t>www.continental.ru</t>
  </si>
  <si>
    <t>ЧАСТНАЯ КОМПАНИЯ С ОГРАНИЧЕННОЙ ОТВЕТСТВЕННОСТЬЮ "КОНТИНЕНТАЛ ЧАСТНАЯ КОМПАНИЯ С ОГРАНИЧЕННОЙ ОТВЕТСТВЕННОСТЬЮ "КОНТИНЕНТАЛ ГЛОБАЛ ХОЛДИНГ НИДЕРЛАНДЗ" (9 999 000 руб., 99.99%)
ЧАСТНАЯ КОМПАНИЯ С ОГРАНИЧЕННОЙ ОТВЕТСТВЕННОСТЬЮ "КОНТИНЕНТАЛ ЧАСТНАЯ КОМПАНИЯ С ОГРАНИЧЕННОЙ ОТВЕТСТВЕННОСТЬЮ "КОНТИНЕНТАЛ ГЛОБАЛ ХОЛДИНГ НИДЕРЛАНДЗ" (1 000 руб., 0.010%)</t>
  </si>
  <si>
    <t>1 193 480 000</t>
  </si>
  <si>
    <t>ctrus@conti.di</t>
  </si>
  <si>
    <t>www.conti-online.com, www.continental.com</t>
  </si>
  <si>
    <t>ЧАСТНАЯ КОМПАНИЯ С ОГРАНИЧЕННОЙ ОТВЕТСТВЕННОСТЬЮ "КОНТИНЕНТАЛ ЧАСТНАЯ КОМПАНИЯ С ОГРАНИЧЕННОЙ ОТВЕТСТВЕННОСТЬЮ "КОНТИНЕНТАЛ ГЛОБАЛ ХОЛДИНГ НИДЕРЛАНДЗ" (1 513 000 000 руб., 100%)</t>
  </si>
  <si>
    <t>864 280 000</t>
  </si>
  <si>
    <t>admin@kontinental.ru, chuburin@kontinental.ru, clientcare@kontinental.ru, info@kontinental.ru, kis@kontinental.ru, kontinental@uraltc.ru, kopeisk@kontinental-pd.ru, kutugulova@kontinental.ru, minsk@kontinental.ru, msk@kontinental.ru</t>
  </si>
  <si>
    <t>www.kontinental.ru</t>
  </si>
  <si>
    <t>Голубев Игорь Африкантович (810 000 руб., 100%)</t>
  </si>
  <si>
    <t>1 630 950 000</t>
  </si>
  <si>
    <t>info@oao-contract.ru</t>
  </si>
  <si>
    <t>www.oao-contract.ru</t>
  </si>
  <si>
    <t>4 580 000</t>
  </si>
  <si>
    <t>tender@kontrakts.ru</t>
  </si>
  <si>
    <t>Иванов Олег Павлович (10 000 руб., 100%)</t>
  </si>
  <si>
    <t>39 830 000</t>
  </si>
  <si>
    <t>mailbox@ctrl.lc, n.nikonorova@ctrl.lc</t>
  </si>
  <si>
    <t>ГИЛК, АО (329 199 500 руб., 66.98%)
ББР БАНК (АО) (93 385 000 руб., 19%)
БАЗЗЕРЛО РУС, ООО (38 934 000 руб., 7.92%)
РЕНТОФИС, ООО (29 981 500 руб., 6.10%)</t>
  </si>
  <si>
    <t>543 510 000</t>
  </si>
  <si>
    <t>info@balticfuel.ru, z.kopaliani@balticfuel.ru</t>
  </si>
  <si>
    <t>konturspb.ru</t>
  </si>
  <si>
    <t>Корнеев Станислав Игоревич (10 200 руб., 34%)
Куракина Галина Николаевна (9 900 руб., 33%)
Ятвецки Елена Владимировна (9 900 руб., 33%)</t>
  </si>
  <si>
    <t>103 520 000</t>
  </si>
  <si>
    <t>confitrade.ru</t>
  </si>
  <si>
    <t>Варенов Андрей Андреевич (990 000 руб., 99%)
Коновалов Михаил Иванович (10 000 руб., 1%)</t>
  </si>
  <si>
    <t>Торговля оптовая сахаром, шоколадом и сахаристыми кондитерскими изделиями</t>
  </si>
  <si>
    <t>10 380 000</t>
  </si>
  <si>
    <t>info@conflex.ru, lagereva@conflex.ru, nikulina@conflex.ru</t>
  </si>
  <si>
    <t>www.conflex.ru</t>
  </si>
  <si>
    <t>32 750 000</t>
  </si>
  <si>
    <t>alexandra.zubova@conceptclub.ru, ekaterina.panova@conceptgroup.ru, info@acoolabox.ru, info@acoolakids.ru, info@conceptclub.ru, info@conceptgroup.ru, onlinestore@acoolakids.ru, onlinestore@conceptclub.ru, report@conceptgroup.ru, test@test.com</t>
  </si>
  <si>
    <t>www.conceptclub.ru, www.conceptgroup.ru</t>
  </si>
  <si>
    <t>ФИРМА "РЭНДЖКРОФТ ЛИМИТЕД" (10 500 руб., 100%)</t>
  </si>
  <si>
    <t>info@mon-arch.ru</t>
  </si>
  <si>
    <t>www.mon-arch.ru</t>
  </si>
  <si>
    <t>Амбарцумян Сергей Александрович (82 000 руб., 82%)
МОНАРХ И Б, ООО (6 000 руб., 6%)
МОНАРХ И О, ООО (6 000 руб., 6%)
МОНАРХ НЕДВИЖИМОСТЬ, ООО (6 000 руб., 6%)</t>
  </si>
  <si>
    <t>ooo.kt.kanevskaya@gmail.com</t>
  </si>
  <si>
    <t>Чебанов Аркадий Олегович (10 200 руб., 51%)
Коровайко Ангелина Борисовна (9 800 руб., 49%)</t>
  </si>
  <si>
    <t>9 650 000</t>
  </si>
  <si>
    <t>trade@concernpokrovsky.ru, yur.otdel.korp@gmail.com</t>
  </si>
  <si>
    <t>ПЛЕМЗАВОД БЕЙСУГ, ОАО СС (5 000 000 руб., 50%)
РУСЬ, ОАО САФ (5 000 000 руб., 50%)</t>
  </si>
  <si>
    <t>hr@rossium.ru, info@mcb-capital.ru, info@rossium.ru, pr@rossium.ru, press@rossium.ru</t>
  </si>
  <si>
    <t>ХОЛДИНГОВАЯ КОМПАНИЯ ДОМИНАНТА, ООО (60 332 494 059.99 руб., 93.14%)
ЛУНАРЭЙ ИНВЕСТМЕНТС ЛТД (4 444 627 125.73 руб., 6.86%)</t>
  </si>
  <si>
    <t>ads@balaes.ru, artykhina-ea@btaes.ru, bashaes@ufamts.ru, bilnpp@chukotka.ru, centerzakupok@kolatom.murmansk.ru, cz-sov@laes.ru, cz3@belnpp.ru, de_vist@mail.ru, dskaes@dskaes.ru, dsl2-ssv@lnpp2.ru</t>
  </si>
  <si>
    <t>www.rosenergoatom.ru</t>
  </si>
  <si>
    <t>27 017 020 000</t>
  </si>
  <si>
    <t>ineo@investvoda.ru, inf@investvoda.ru, infi@investvoda.ru, info@inestvoda.ru, info@inveatvoda.ru, info@inveslvoda.ru, info@invesnvoda.ru, info@invest.ru, info@investoda.ru, info@investrvoda.ru</t>
  </si>
  <si>
    <t>investvoda.ru</t>
  </si>
  <si>
    <t>ОКК, ООО (58 010 000 руб., 100%)</t>
  </si>
  <si>
    <t>Забор и очистка воды для питьевых и промышленных нужд</t>
  </si>
  <si>
    <t>dou_36@mail.ru, e.akimova@teplovolgograd.ru, e.gorbacheva@teplovolgograd.ru, ifo@teplovolgograd.ru, inf0@teplovolgograd.ru, infi@teplovolgograd.ru, info@iteplo.ru, info@taplovolgograd.ru, info@telovolgograd.ru, info@tepljvolgograd.ru</t>
  </si>
  <si>
    <t>ОКК, ООО (1 000 000 руб., 100%)</t>
  </si>
  <si>
    <t>rezvova@sst.ru, teplolux@groupe-atlantic.com</t>
  </si>
  <si>
    <t>Ф8, ООО (6 494 885.1 руб., 99%)
ГРУППА ТЕПЛОЛЮКС, ООО (65 604.9 руб., 1%)</t>
  </si>
  <si>
    <t>333 240 000</t>
  </si>
  <si>
    <t>ТД КОПЕЙКА, АО (1 138 292 850 руб., 99.99%)
АЛЬТЭКС, ООО (37 150 руб., 0.0033%)</t>
  </si>
  <si>
    <t>info@kopeyka.ru</t>
  </si>
  <si>
    <t>www.kopeyka.ru</t>
  </si>
  <si>
    <t>ТД КОПЕЙКА, АО (123 178 698 руб., 99.90%)
АЛЬТЭКС, ООО (123 302 руб., 0.10%)</t>
  </si>
  <si>
    <t>235 680 000</t>
  </si>
  <si>
    <t>КОПЕЙКА-ПОВОЛЖЬЕ, ООО (6 500 000 руб., 99.99%)
КОПЕЙКА-МОСКВА, ООО (650 руб., 0.010%)</t>
  </si>
  <si>
    <t>325 830 000</t>
  </si>
  <si>
    <t>kmz@kopemash.ru</t>
  </si>
  <si>
    <t>www.kopemash.ru</t>
  </si>
  <si>
    <t>Скуров Анатолий Георгиевич (10 026 021 руб., 100%)</t>
  </si>
  <si>
    <t>info@cetco.ru</t>
  </si>
  <si>
    <t>www.cetco.ru</t>
  </si>
  <si>
    <t>l.suvorova@binuu.ru</t>
  </si>
  <si>
    <t>Чимитдоржиев Ширап-Нима Бодиевич (10 000 руб., 100%)</t>
  </si>
  <si>
    <t>19 880 000</t>
  </si>
  <si>
    <t>shumskikh.l@coral-meat.ru</t>
  </si>
  <si>
    <t>coral-meat.ru</t>
  </si>
  <si>
    <t>Смирнов Алексей Сергеевич (230 674 140 руб., 90%)
Сандлер Мордехай (Дмитро) (25 630 460 руб., 10%)</t>
  </si>
  <si>
    <t>korvetngo@gmail.com</t>
  </si>
  <si>
    <t>korvetngo.ru</t>
  </si>
  <si>
    <t>Пыкин Андрей Георгиевич (30 000 руб., 60%)
Затушевский Алексей Витальевич (20 000 руб., 40%)</t>
  </si>
  <si>
    <t>562 170 000</t>
  </si>
  <si>
    <t>Буторин Павел Владимирович (45 000 руб., 95.05%)
КОРВЕТ, ООО (2 341 руб., 4.95%)</t>
  </si>
  <si>
    <t>40 860 000</t>
  </si>
  <si>
    <t>ender@kordoil.com, info@kordoil.com</t>
  </si>
  <si>
    <t>https://www.kordoil.com</t>
  </si>
  <si>
    <t>Воробьев Михаил Викторович (1 010 000 руб., 100%)</t>
  </si>
  <si>
    <t>mishenkina.en@zao-agrokomplex.ru</t>
  </si>
  <si>
    <t>АГРОКОМПЛЕКС ИМ. Н.И.ТКАЧЕВА, АО ФИРМА (10 000 000 руб.)</t>
  </si>
  <si>
    <t>Производство сахара из сахарной свеклы и тростникового сырца</t>
  </si>
  <si>
    <t>koordinator@korzinka.net, ntreb@korzinka.net</t>
  </si>
  <si>
    <t>Белкин Лев Абрамович (383 150 руб., 50%)
Пивовар Сергей Федорович (383 150 руб., 50%)</t>
  </si>
  <si>
    <t>86 220 000</t>
  </si>
  <si>
    <t>eryazanskaya@korib.ru, office@korib.ru, ofilina@korib.ru, rehazieva@korib.ru, sv@korib.ru, svaliahmetov@korib.ru, sy@korib.ru</t>
  </si>
  <si>
    <t>Коробченко Олег Владимирович (10 000 руб., 100%)</t>
  </si>
  <si>
    <t>106 340 000</t>
  </si>
  <si>
    <t>a.klevtsova@kormovit.ru, gennefedov@gmail.com</t>
  </si>
  <si>
    <t>kormovit.ru</t>
  </si>
  <si>
    <t>СТЭЙБЛ КЭПИТАЛ, ООО (2 601 000 руб., 51%)
Кузовщиков Андрей Николаевич (2 499 000 руб., 49%)</t>
  </si>
  <si>
    <t>175 670 000</t>
  </si>
  <si>
    <t>office@kornet74.ru</t>
  </si>
  <si>
    <t>kornet74.ru</t>
  </si>
  <si>
    <t>Бондаренко Валерий Вячеславович (289 750 000 руб., 100%)</t>
  </si>
  <si>
    <t>249 080 000</t>
  </si>
  <si>
    <t>Бондаренко Валерий Вячеславович (3 000 000 руб., 100%)</t>
  </si>
  <si>
    <t>27 190 000</t>
  </si>
  <si>
    <t>Ходасевич Дмитрий Георгиевич (510 000 руб., 51%)
Ходасевич Андрей Георгиевич (390 000 руб., 39%)
Горбачев Виталий Владимирович (100 000 руб., 10%)</t>
  </si>
  <si>
    <t>263 380 000</t>
  </si>
  <si>
    <t>n.ahmetova@sirobogatov.ru</t>
  </si>
  <si>
    <t>sirobogatov.ru</t>
  </si>
  <si>
    <t>Семыкина Вера Николаевна (205 000 руб., 100%)</t>
  </si>
  <si>
    <t>103 320 000</t>
  </si>
  <si>
    <t>mr-food.ru</t>
  </si>
  <si>
    <t>Амалян Артем Эдуардович (10 000 руб., 100%)</t>
  </si>
  <si>
    <t>Производство готовых пищевых продуктов и блюд</t>
  </si>
  <si>
    <t>62 160 000</t>
  </si>
  <si>
    <t>24747@55ke.ru, it@korot.grana.ru, teleng_n@mail.ru</t>
  </si>
  <si>
    <t>83 460 000</t>
  </si>
  <si>
    <t>info@sberbank.ru</t>
  </si>
  <si>
    <t>sberbank-school.ru</t>
  </si>
  <si>
    <t>Образование профессиональное дополнительное</t>
  </si>
  <si>
    <t>food.ru, foodmedia5.ru, static-food.ru, x5id.ru, x5paket.ru</t>
  </si>
  <si>
    <t>КОМПАНИЯ ИКС 5 РИТЕЙЛ ГРУПП Н.В. (316 162 310 775.72 руб., 99.99%)
АЛЬТЭКС, ООО (18 360 000 руб., 0.0058%)
КОМПАНИЯ СПИК ГЛОБАЛ ЛИМИТЕД (SPEAK GLOBAL LIMITED) (19 993.24 руб.)</t>
  </si>
  <si>
    <t>30 761 340 000</t>
  </si>
  <si>
    <t>eskm@mail.ru, g.ramazanov@eskm.net, y.moroz@eskm.net</t>
  </si>
  <si>
    <t>www.eskm.net</t>
  </si>
  <si>
    <t>АК ЭСКМ, ОАО (54 997.34 руб., 99.99%)
Суббота Демьян Евгеньевич (1.33 руб., 0.0024%)
Суббота Евгений Демьянович (1.33 руб., 0.0024%)</t>
  </si>
  <si>
    <t>409 310 000</t>
  </si>
  <si>
    <t>mail@atomsk.ru, v.chernov@atomsk.ru</t>
  </si>
  <si>
    <t>www.atomsk.ru</t>
  </si>
  <si>
    <t>АТОМСТРОЙКОМПЛЕКС-СТРОИТЕЛЬСТВО, ООО (100%)</t>
  </si>
  <si>
    <t>bonded_warehouse@gloria-jeans.ru, info@gloria-jeans.ru</t>
  </si>
  <si>
    <t>Производство прочей верхней одежды</t>
  </si>
  <si>
    <t>2 303 920 000</t>
  </si>
  <si>
    <t>grinn@grinn-corp.ru, linia@grinn-corp.ru</t>
  </si>
  <si>
    <t>grinn-corp.ru</t>
  </si>
  <si>
    <t>1 162 270 000</t>
  </si>
  <si>
    <t>d.lomakin@malkom.org, e.suchkova@molkom.org, malkom@mail.ru, malkom@malkom.org</t>
  </si>
  <si>
    <t>www.malkom.org</t>
  </si>
  <si>
    <t>238 170 000</t>
  </si>
  <si>
    <t>info@metplus-vrn.ru</t>
  </si>
  <si>
    <t>metplus-msk.ru</t>
  </si>
  <si>
    <t>МЕТАЛЛИНВЕСТ ПЛЮС, ООО (30 479 361 руб., 100%)</t>
  </si>
  <si>
    <t>211 910 000</t>
  </si>
  <si>
    <t>g.turkiya@mosstroytrans.com, info@mosstroytrans.com, m.chochua@mail.ru, trade@mosstroytrans.com</t>
  </si>
  <si>
    <t>www.mosstroytrans.com</t>
  </si>
  <si>
    <t>Чочуа Мераби Профильевич (1 000 000 руб., 100%)</t>
  </si>
  <si>
    <t>7814406725_781401001@eo.tensor.ru, kna@r-industria.ru, mail@r-industria.ru</t>
  </si>
  <si>
    <t>r-industria.ru</t>
  </si>
  <si>
    <t>Живецкая Неля Моисеевна (68 000 руб., 68%)
Типцов Юрий Юрьевич (32 000 руб., 32%)</t>
  </si>
  <si>
    <t>100 000 000</t>
  </si>
  <si>
    <t>dementyev@korrus.ru, goryachev@korrus.ru, reklama@korrus.ru, sales@korrus.ru</t>
  </si>
  <si>
    <t>dobavki-korrus.ru</t>
  </si>
  <si>
    <t>Рахматуллин Рустам Мунирович (20 000 руб., 100%)</t>
  </si>
  <si>
    <t>298 220 000</t>
  </si>
  <si>
    <t>ПРИМО ДИЗАЙН, ООО (6 600 руб., 66%)
Мастрюков Олег Борисович (3 400 руб., 34%)</t>
  </si>
  <si>
    <t>195 570 000</t>
  </si>
  <si>
    <t>natalisob@yandex.ru</t>
  </si>
  <si>
    <t>Грибанов Сергей Анатольевич (12 000 руб., 100%)</t>
  </si>
  <si>
    <t>20 420 000</t>
  </si>
  <si>
    <t>buhbnu@postmx.ru</t>
  </si>
  <si>
    <t>Бояров Александр Евгеньевич (5 000 руб., 50%)
Гайдуков Олег Николаевич (5 000 руб., 50%)</t>
  </si>
  <si>
    <t>1@1.ru, alexandr.kozachkov@pioneer.com</t>
  </si>
  <si>
    <t>www.pioneer.com</t>
  </si>
  <si>
    <t>ПИОНЕР ОВЕРСИЗ КОРПОРЕЙШН (9 900 руб., 99%)
КОМПАНИЯ С ОГРАНИЧЕННОЙ ОТВЕТСТВЕННОСТЬЮ "КОРТЕВА (КИТАЙ), Л.Л.С" (100 руб., 1%)</t>
  </si>
  <si>
    <t>info@korte.ru</t>
  </si>
  <si>
    <t>korte.ru</t>
  </si>
  <si>
    <t>Янова Елена Александровна (50 000 руб., 100%)</t>
  </si>
  <si>
    <t>8 070 000</t>
  </si>
  <si>
    <t>akhundov.va@esphere.ru, contact@esphere.ru, docandproc@esphere.ru, emukhanova@esphere.ru, help@esphere.ru, hr@esphere.ru, pr@esphere.ru, rlatipova@esphere.ru, sales@esphere.ru, sb_connect@esphere.ru</t>
  </si>
  <si>
    <t>ecod.ru</t>
  </si>
  <si>
    <t>715 160 000</t>
  </si>
  <si>
    <t>www.po-korf.ru</t>
  </si>
  <si>
    <t>Басов Денис Сергеевич (1 804 000 руб., 40%)
Карасевич Антон Валерьевич (1 353 000 руб., 30%)
Панов Евгений Владимирович (1 353 000 руб., 30%)</t>
  </si>
  <si>
    <t>107 370 000</t>
  </si>
  <si>
    <t>finl@korenergo.ru, komlova@korenergo.ru, olga_guseva_1990@list.ru, petrova@korenergo.ru, secer@korenergo.ru, seck@koredergo.ru, seck@korenergo.ru, secr@kamenergo.ru, secr@korenenepgo.ru, secr@korenenergo.ru</t>
  </si>
  <si>
    <t>https://korenergo.ru/, www.rrost-kam.ru</t>
  </si>
  <si>
    <t>Производство, передача и распределение электроэнергии</t>
  </si>
  <si>
    <t>174 660 000</t>
  </si>
  <si>
    <t>www.kng.ru</t>
  </si>
  <si>
    <t>ФК ЦЕНТР-КНГ, ООО (250 000 руб., 100%)</t>
  </si>
  <si>
    <t>115 040 000</t>
  </si>
  <si>
    <t>baas@cosmopharm.ru, bas@cosmqpharm.ru, bas@cosopharm.ru, bas@mail.ru, bus@cosmopharm.ru, difgydih@mail.ru, e.cygankova@cosmopharm.ru, e.galkina@cosmopharm.ru, e.savkina@cosmopharm.ru, gbyfgh@mail.ru</t>
  </si>
  <si>
    <t>www.cosmopharm.ru</t>
  </si>
  <si>
    <t>Варламов Игорь Вениаминович (100 000 000 руб., 100%)</t>
  </si>
  <si>
    <t>180 180 000</t>
  </si>
  <si>
    <t>440115@mail.ru, 440115@rek.44.ru, 440115@rek.ru, 440115@rek44.ru, dfbfgb@th.ii, disp@k-sc.ru, ekosfera44@mail.ru, ivanova_n@k-sc.ru, ivschool@mail.ru, nach_otd@galich.sc.ru</t>
  </si>
  <si>
    <t>k-sc.ru</t>
  </si>
  <si>
    <t>УК РУСЭНЕРГОКАПИТАЛ, ОАО (92.59%)
Самарина Ирина Ивановна (0.00010%)</t>
  </si>
  <si>
    <t>www.kotanyi.com</t>
  </si>
  <si>
    <t>ОБЩЕСТВО С ОГРАНИЧЕННОЙ ОТВЕТСТВЕННОСТЬЮ КОТАНИ ГМ (3 248 970 руб., 15%)</t>
  </si>
  <si>
    <t>111 010 000</t>
  </si>
  <si>
    <t>e.petrochenko@cottonclub.ru, s.krasnikova@cottonclub.ru, shop@cottonclub.ru, stop-virus2020@cottonclub.ru</t>
  </si>
  <si>
    <t>www.cottonclub.ru</t>
  </si>
  <si>
    <t>Габдсаттаров Маралбек Габдель (60 000 000 руб., 60%)
Ренев Дмитрий Станиславович (40 000 000 руб., 40%)</t>
  </si>
  <si>
    <t>216 700 000</t>
  </si>
  <si>
    <t>s.vasilyeva@cottonclub.ru</t>
  </si>
  <si>
    <t>Габдсаттаров Маралбек Габдель (6 666.67 руб., 60%)
Ренев Дмитрий Станиславович (4 444.33 руб., 40%)</t>
  </si>
  <si>
    <t>433 780 000</t>
  </si>
  <si>
    <t>info@kmkorma.ru, timurtm@yandex.ru</t>
  </si>
  <si>
    <t>kmkorma.ru, mkorma.ru</t>
  </si>
  <si>
    <t>Сазонова Евгения Анатольевна (10 000 руб., 100%)</t>
  </si>
  <si>
    <t>550 190 000</t>
  </si>
  <si>
    <t>info@kof-palitra.ru, marina-alekseyeva@kof-palitra.ru, marketing@kof-palitra.ru</t>
  </si>
  <si>
    <t xml:space="preserve">www.kof-palitra.ru, www.oboi-palitra.ru, www.oboi-palitra.ru </t>
  </si>
  <si>
    <t>ЛИНС УОЛЛПЕЙПЕР ЛИМИТЕД (195 841 158 руб., 75%)
Джагаев Олег Фаузелович (39 168 231.6 руб., 15%)
Орел Антон Витальевич (13 056 077.2 руб., 5%)
Светиков Владислав Витальевич (13 056 077.2 руб., 5%)</t>
  </si>
  <si>
    <t>1 054 750 000</t>
  </si>
  <si>
    <t>info@kkbc.ru</t>
  </si>
  <si>
    <t>www.kkbc.ru</t>
  </si>
  <si>
    <t>Соколов Сергей Евгеньевич (1 000 000 руб., 100%)</t>
  </si>
  <si>
    <t>info@hors.ru, info@horsgroup.com</t>
  </si>
  <si>
    <t>www.hors-group.com</t>
  </si>
  <si>
    <t>Шахин Алла Эльмировна (180 000 руб., 90%)
Шахин Хикмат Вади (20 000 руб., 10%)</t>
  </si>
  <si>
    <t>190 080 000</t>
  </si>
  <si>
    <t>dhoffman@cofcoagri.com</t>
  </si>
  <si>
    <t>www.cofcointernational.com</t>
  </si>
  <si>
    <t>COFCO INTERNATIONAL SINGAPORE PTE. LTD. (1 930 062 000 руб., 99.99%)
COFCO Jade B.V. (10 000 руб., 0.00050%)</t>
  </si>
  <si>
    <t>splav_rzn@mail.ru</t>
  </si>
  <si>
    <t>4 960 000</t>
  </si>
  <si>
    <t>info@kpk.group</t>
  </si>
  <si>
    <t>АГРО-АКТИВ, ООО (100 000 руб., 100%)</t>
  </si>
  <si>
    <t>kovaleva_l06@mail.ru, kpovostok@ec-line.ru</t>
  </si>
  <si>
    <t>ЭКОЛОГИЧЕСКОЕ УПРАВЛЕНИЕ, ООО (9 999 руб., 99.99%)
Чемякин Олег Александрович (1 руб., 0.010%)</t>
  </si>
  <si>
    <t>35 910 000</t>
  </si>
  <si>
    <t>r.iman@mail.com</t>
  </si>
  <si>
    <t>Рыжиков Константин Викторович (1 000 000 руб., 100%)</t>
  </si>
  <si>
    <t>trade@milorada.ru</t>
  </si>
  <si>
    <t>www.milorada.ru</t>
  </si>
  <si>
    <t>Раев Леонид Васильевич (3 650 руб., 36.50%)
Макаров Геннадий Александрович (2 950 руб., 29.50%)
Звегинцев Евгений Петрович (1 700 руб., 17%)
Звегинцева Елена Геннадьевна (1 700 руб., 17%)</t>
  </si>
  <si>
    <t>311 650 000</t>
  </si>
  <si>
    <t>buh@kraydeo.ru, eo@kraydeo.ru, fil.kras.sol@kraydeo.ru, ias24@list.ru, piem@kraydeo.ru, pien@kraydeo.ru, priem@kraydeo.ru, priym@kraydeo.ru, torg@krudor.ru, torgi@kraydeo.ru</t>
  </si>
  <si>
    <t>kraydeo.ru</t>
  </si>
  <si>
    <t>Красноярский край (1 096 358 000 руб., 100%)</t>
  </si>
  <si>
    <t>abon.belfilial@kgkr.ru, abon.sochi@kgkr.ru, abon@kgkr.ru, abon@sochi.kgk.ru, abon@sochi4gkr.ru, contract.gk@kgkr.ru, dogovo.sochi@kgkr.ru, dogovor.sjchi@kgkr.ru, dogovor.sochi@kdkr.ru, dogovor.sochi@kgk.ru</t>
  </si>
  <si>
    <t>www.kubrc.ru/account.php?id=531</t>
  </si>
  <si>
    <t>2 440 000</t>
  </si>
  <si>
    <t>.000@list.ru, 0111@mail.ru, 0301@036.pfr.ru, 12358@mail.ru, 12554@mail.ru, 12@jf.ru, 262743001@mail.ru, 40018@mail.ru, 562654@ya.ru, 56507@mail.ru</t>
  </si>
  <si>
    <t>gupsktek.ru</t>
  </si>
  <si>
    <t>Ставропольский край (396 566 562.73 руб., 100%)</t>
  </si>
  <si>
    <t>Степаненко Алла Константиновна (10 000 руб., 100%)</t>
  </si>
  <si>
    <t>104 410 000</t>
  </si>
  <si>
    <t>ekeln@krasavia.ru, even@vzletka.net, lershova@krasavia.ru, lsvezhintseva@krasavia.ru, tender@krasavia.ru, tzakharova@krasavia.ru</t>
  </si>
  <si>
    <t>ak-krasavia.ru</t>
  </si>
  <si>
    <t>Красноярский край (914 972 000 руб., 100%)</t>
  </si>
  <si>
    <t>g.linderman@krasids.ru, info@krasids.ru, kbaaqv7a@h.ihe, ok@krasids.ru</t>
  </si>
  <si>
    <t>krasids.ru</t>
  </si>
  <si>
    <t>Иванов Александр Валерьевич (7 920 000 руб., 50%)
Ворошилов Роман Витальевич (4 752 000 руб., 30%)
Лобынцев Владимир Николаевич (3 168 000 руб., 20%)</t>
  </si>
  <si>
    <t>2267877@sibgenco.ru, 2466114215@mail.ru, 2555682@mail.ru, 5634@mail.ru, 71778068@mail.ru, 73912234757@mail.ru, arseninadv@sibgenco.ru, centertk@sibgenco.ru, cxg@mail.ru, doverie@sibgenco.ru</t>
  </si>
  <si>
    <t>www.kraskom.com</t>
  </si>
  <si>
    <t>КРАСЖИЛКОМИНВЕСТ, ООО (7 400 000 руб., 74%)
Красноярский край (1 500 000 руб., 15%)
Красноярский край, ГОРОД КРАСНОЯРСК (1 100 000 руб., 11%)</t>
  </si>
  <si>
    <t>794 560 000</t>
  </si>
  <si>
    <t>mail@kraslesinvest.ru</t>
  </si>
  <si>
    <t>kraslesinvest.ru</t>
  </si>
  <si>
    <t>gornaya@arusel.ru, info@karousel.ru, info@kpresort.ru</t>
  </si>
  <si>
    <t>www.reestrrn.ru</t>
  </si>
  <si>
    <t>Деятельность гостиниц и прочих мест для временного проживания</t>
  </si>
  <si>
    <t>krasmdrsu1@mail.ru, krsmdrsu1@mail.ru, krsmdrsuooo@mail.ru</t>
  </si>
  <si>
    <t>krsmdrsuooo@mail.ru</t>
  </si>
  <si>
    <t>Сердюк Игорь Григорьевич (30 295 руб., 33.33%)
Афанасенков Николай Владимирович (18 165 руб., 19.98%)
Кияшко Елена Юрьевна (15 163 руб., 16.68%)
Кияшко Анатолий Юрьевич (15 162 руб., 16.68%)
Афанасенкова Татьяна Владимировна (12 115 руб., 13.33%)</t>
  </si>
  <si>
    <t>assist_tl@krasnobor.ru</t>
  </si>
  <si>
    <t>ИКС 5 ГИПЕР, ООО (1 005 058 397.1 руб., 99.99%)
ИКС 5 НЕДВИЖИМОСТЬ, АО (40 002.92 руб., 0.0040%)</t>
  </si>
  <si>
    <t>954 220 000</t>
  </si>
  <si>
    <t>buh@kmz01.com, mail@kmz01.com</t>
  </si>
  <si>
    <t>unecheese.ru</t>
  </si>
  <si>
    <t>Тлюстангелов Ибрагим Юрьевич (47 546 500 руб., 100%)</t>
  </si>
  <si>
    <t>46 790 000</t>
  </si>
  <si>
    <t>krasnogorskmajor@mail.ru, nr.major-lada@ma.ru, pavel.ivanov@major-auto.ru</t>
  </si>
  <si>
    <t>major-sollers.ru</t>
  </si>
  <si>
    <t>Бахтиаров Михаил Александрович (10 000 000 руб., 100%)</t>
  </si>
  <si>
    <t>292 730 000</t>
  </si>
  <si>
    <t>kr_teplo@list.ru, kr_teplo@zmail.ru, pr@kr-teplo.ru</t>
  </si>
  <si>
    <t>krasnogorskaya-teploset.ru</t>
  </si>
  <si>
    <t>cav-vpk@mari-el.ru, cav@mari-el.ru, kaf.efimov@yandex.ru, kaf.ivanov@yandex.ru, kaf.suslov@yandex.ru, kaf@mari-el.ru, lawyer@kr-kaf.ru, office@kr-kaf.ru, sales@kr-kaf.ru, snab@kr-kaf.ru</t>
  </si>
  <si>
    <t>kr-kaf.ru</t>
  </si>
  <si>
    <t>ОКБ КП, АО (56.20%)
ТЕХНОТРАНС, ООО (37.62%)</t>
  </si>
  <si>
    <t>162 290 000</t>
  </si>
  <si>
    <t>sales@krls.ru, vitaly.silantiev@europlant-group.ru</t>
  </si>
  <si>
    <t>www.krls.ru</t>
  </si>
  <si>
    <t>182 630 000</t>
  </si>
  <si>
    <t>7062@mail.ru, 7655457@mail.ru, 88619923006@mail.ru, 9223006@mail.ru, 9923006@mail.ru, ___@____.ru, ____@___.ru, a.rogacheva@rosvodokanal.ru, a.tibilova@rosvodokanal.ru, a.tovma@rosvodokanal.ru</t>
  </si>
  <si>
    <t>РВК-ИНВЕСТ, ООО (10 000 руб., 100%)</t>
  </si>
  <si>
    <t>551 310 000</t>
  </si>
  <si>
    <t>kzvs@kzvs.ru, torgi@kzvs.org, urist3@kzvs.org, zao@kzvs.org</t>
  </si>
  <si>
    <t>www.kzvs.ru</t>
  </si>
  <si>
    <t>83 790 000</t>
  </si>
  <si>
    <t>kis@v-k-b.ru</t>
  </si>
  <si>
    <t>kr-investstroi.ru</t>
  </si>
  <si>
    <t>Стешенко Елена Сергеевна (96 602 300 руб., 97%)
КРАСНОДАРИНВЕСТСТРОЙ, ООО СЗ (2 957 823 руб., 2.97%)
Самко Ирина Владимировна (29 877 руб., 0.030%)</t>
  </si>
  <si>
    <t>318 140 000</t>
  </si>
  <si>
    <t>buh@red-echo.ru, info@red-echo.ru, redecho@stekloholding.ru</t>
  </si>
  <si>
    <t>www.red-echo.ru</t>
  </si>
  <si>
    <t>Клегг Дмитрий Юрьевич (320 000 руб., 80%)
Клегг Надежда Николаевна (80 000 руб., 20%)</t>
  </si>
  <si>
    <t>1 075 610 000</t>
  </si>
  <si>
    <t>krasnokam@cofkk.ru</t>
  </si>
  <si>
    <t>ГРУППА ФИНАНСОВЫХ РЕСУРСОВ, ООО (9 900 руб., 99%)
ИНВЕСТ-НК, ООО (100 руб., 1%)</t>
  </si>
  <si>
    <t>buhgalter@kraszerno.ru, info@kraszerno.ru</t>
  </si>
  <si>
    <t>Неделин Сергей Николаевич (4 100 руб., 41%)
Игнатьев Виталий Николаевич (2 300 руб., 23%)
Южанников Александр Юрьевич (2 000 руб., 20%)
Михно Николай Сергеевич (1 600 руб., 16%)</t>
  </si>
  <si>
    <t>277 500 000</t>
  </si>
  <si>
    <t>kges@kges.ru, sekretar@kges.ru</t>
  </si>
  <si>
    <t>ЕВРОСИБЭНЕРГО, АО (385 520 317 руб.)</t>
  </si>
  <si>
    <t>215 230 000</t>
  </si>
  <si>
    <t>ikkesmv@suek.ru, zhadovetsem@suek.ru</t>
  </si>
  <si>
    <t>www.tgk13.ru/shareholders/ktec1</t>
  </si>
  <si>
    <t>СИБИРСКАЯ ГЕНЕРИРУЮЩАЯ КОМПАНИЯ, ООО (159 149 055.72 руб.)</t>
  </si>
  <si>
    <t>i.ivanizkaya@sibcem.ru, info@krascement.ru</t>
  </si>
  <si>
    <t>ХК СИБЦЕМ, АО (540 000 000 руб., 100%)</t>
  </si>
  <si>
    <t>169 680 000</t>
  </si>
  <si>
    <t>feo@zota.ru, kotel@zota.ru</t>
  </si>
  <si>
    <t>www.zota.ru</t>
  </si>
  <si>
    <t>Игошин Виктор Владимирович (100 000 руб., 100%)</t>
  </si>
  <si>
    <t>Производство печей, термокамер и печных горелок</t>
  </si>
  <si>
    <t>284 840 000</t>
  </si>
  <si>
    <t>00000@ya.ru, 1548krs@mail.ru, 78453317@mail.ru, anur@sbit.minusa.ru, bitkindn@kes.esc-rushydro.ru, bnhgfd@mail.ru, cbit@cbit.minusa.ru, cbvnmgjtui@mail.ru, centralizbuh@mail.ru, dogov1@sbit.minusa.ru</t>
  </si>
  <si>
    <t>http://www.krsk-sbit.ru , krsk-sbit.ru</t>
  </si>
  <si>
    <t>ЭСК РУСГИДРО, АО (51.75%)
КРАСНОЯРСКАЯ ГЭС, АО (25.47%)</t>
  </si>
  <si>
    <t>kr.zerno.komp@mail.ru</t>
  </si>
  <si>
    <t>http://zernocompany.ru</t>
  </si>
  <si>
    <t>3 518 910 000</t>
  </si>
  <si>
    <t>krsah@belgtts.ru, urist-979@mail.ru</t>
  </si>
  <si>
    <t>ОСК, АО (55 500 000 руб., 100%)</t>
  </si>
  <si>
    <t>598 650 000</t>
  </si>
  <si>
    <t>es@red-red.ru</t>
  </si>
  <si>
    <t>realrecords.ru</t>
  </si>
  <si>
    <t>Ротенберг Аркадий Романович (2 700 000 руб., 100%)</t>
  </si>
  <si>
    <t>Производство кинофильмов, видеофильмов и телевизионных программ</t>
  </si>
  <si>
    <t>ko@redoct.biz</t>
  </si>
  <si>
    <t>www.konfetki.ru, www.redoct.msk.ru</t>
  </si>
  <si>
    <t>ХОЛДИНГОВАЯ КОМПАНИЯ ОБЪЕДИНЕННЫЕ КОНДИТЕРЫ, АО (74.99%)
ПРОД-ИНВЕСТ, АО (19.48%)
Назгул Сервисиз Лимитед (0.00010%)</t>
  </si>
  <si>
    <t>1233654@mail.ru, 8745123@mail.ru, buh@jakor.ru, fanera@jakor.kirov.ru, fanera@jakor.ru, oge@jakor.ru, teplservislob@mail.ru, urist@jakor.ru, znl@jakor.ru</t>
  </si>
  <si>
    <t>jakor.ru</t>
  </si>
  <si>
    <t>242 270 000</t>
  </si>
  <si>
    <t>9234578899@mail.ru, atelnov@kraso.ru, ginatulin@kraso.ru, irkutsk@kraso.ru, korobov@kraso.ru, kraso@mail.ru, omsk@kraso.ru, shipilov@kraso.ru</t>
  </si>
  <si>
    <t>Соснина Софья Олеговна (100 000 руб., 100%)</t>
  </si>
  <si>
    <t>mayakgm55.ru</t>
  </si>
  <si>
    <t>ФАРОСС МЕНЕДЖМЕНТ, АО (1 000 000 руб., 100%)</t>
  </si>
  <si>
    <t>476 500 000</t>
  </si>
  <si>
    <t>dyagilev@krastsvetmet.ru, e.semenenko@krastsvetmet.ru, industrialsales@krastsvetmet.ru, info@krastsvetmet.ru, shop@krastsvetmet.ru</t>
  </si>
  <si>
    <t>shop-krastsvetmet.ru, www.krastsvetmet.ru</t>
  </si>
  <si>
    <t>АГЕНТСТВО ПО УПРАВЛЕНИЮ ГОСУДАРСТВЕННЫМ ИМУЩЕСТВОМ КРАСНОЯРСКОГО КРАЯ (100%)</t>
  </si>
  <si>
    <t>10 908 150 000</t>
  </si>
  <si>
    <t>01102014@mail.ru, 24krek@mail.ru, adehtyareva@kraseco24.ru, ail@kraseco24.ru, ail@kraseko24.ru, amalysheva@kraseco24.ru, buzik1993@yandex.ru, churkina_det1@mail.ru, cvbfgr@mail.ru, dszn36@mail.ru</t>
  </si>
  <si>
    <t>kraseco-elektro.ru</t>
  </si>
  <si>
    <t>Красноярский край (8 598 143 000 руб., 100%)</t>
  </si>
  <si>
    <t>715500@mail.ru, estepanenko@kraseco24.ru, kraseco@elektro.ru, kraseco@kraseco.ru, mail@krasecoelectro.ru, mail@kraselektro.ru, szelenko@kraseco24.ru, t104t@mail.ru, uik.morozova@yandex.ru, user@yandex.ru</t>
  </si>
  <si>
    <t>КРАСЭКО, АО (10 000 руб., 100%)</t>
  </si>
  <si>
    <t>Донцов Игорь Борисович (10 000 руб., 100%)</t>
  </si>
  <si>
    <t>826 660 000</t>
  </si>
  <si>
    <t>krafttrans.ru</t>
  </si>
  <si>
    <t>Ганнота Дмитрий Владимирович (50 000 руб., 50%)
Кириллов Ярослав Германович (50 000 руб., 50%)</t>
  </si>
  <si>
    <t>20 080 000</t>
  </si>
  <si>
    <t>dmitriy.kovalskiy@ru.hjheinz.com, irina.matyushkova@kraftheinz.com, lobova.evgenia@kraftheinz.com</t>
  </si>
  <si>
    <t>www.heinz.com</t>
  </si>
  <si>
    <t>H.J. Heinz Global Holding B.V. (1 429 019 700 руб., 99.86%)
ПЕТРОПРОДУКТ-ОТРАДНОЕ, ООО (2 020 300 руб., 0.14%)</t>
  </si>
  <si>
    <t>kp1903@yandex.ru</t>
  </si>
  <si>
    <t>414 810 000</t>
  </si>
  <si>
    <t>a.ivanov@mrv.aero, kredvest-vip@mail.ru, marissam@mail.ru, office@mrv.aero, oookreditinvest@yandex.ru, vasilenkooa@mvairport.ru, zayavkagsm@mrv.aero</t>
  </si>
  <si>
    <t>airportkmv.ru</t>
  </si>
  <si>
    <t>ПОЛЮС, АО (18 200 000 руб., 52%)
НОВАПОРТ ИНВЕСТ, ООО (16 800 000 руб., 48%)</t>
  </si>
  <si>
    <t>302 440 000</t>
  </si>
  <si>
    <t>natalia.shatrova@jti.com, petcresnev@jti.com</t>
  </si>
  <si>
    <t>https://www.jti.com/ru/europe/russia, www.jti.com</t>
  </si>
  <si>
    <t>КОМПАНИЯ "ДЖ.Т.ИНТЕРНЭШНЛ ГЕРМАНИЯ ГМБХ" (124 552 217.36 руб., 100%)</t>
  </si>
  <si>
    <t>npshenichnykh@rusagrogroup.ru, valentina.karataeva@raz.ru</t>
  </si>
  <si>
    <t>ГРУППА КОМПАНИЙ РУСАГРО, ООО (108 000 000 руб.)</t>
  </si>
  <si>
    <t>job@criga.ru</t>
  </si>
  <si>
    <t>Спридзгаль Павел Николаевич (78 570 руб., 78.57%)
Захарова Татьяна Вячеславовна (21 430 руб., 21.43%)</t>
  </si>
  <si>
    <t>341 820 000</t>
  </si>
  <si>
    <t>НОВАТЭК, ПАО (2 703 000 000 руб., 51%)
БАНК ГПБ (АО) (2 597 000 000 руб., 49%)</t>
  </si>
  <si>
    <t>borsky@cryptopro.ru, dealer@cryptopro.ru, info@cryptopro.ru, info@homedef.ru, info@pansion-zabota.ru, kpo@cryptopro.ru, ngate@cryptopro.ru, sale@alphaventshop.ru</t>
  </si>
  <si>
    <t>www.cryptopro.ru</t>
  </si>
  <si>
    <t>ЗНАКИ И СИМВОЛЫ, ООО (90 990 756 руб., 100%)</t>
  </si>
  <si>
    <t>1 337 940 000</t>
  </si>
  <si>
    <t>krist-co.ru</t>
  </si>
  <si>
    <t>Туголукова Галина Васильевна (120 000 руб., 100%)</t>
  </si>
  <si>
    <t>9 390 000</t>
  </si>
  <si>
    <t>adb@newreg.ru, disclosing@newreg.ru, jurist@oaokristall.ru, kristall@vmail.ru, oao_kristall@mail.ru</t>
  </si>
  <si>
    <t>info.newreg.ru</t>
  </si>
  <si>
    <t>502 110 000</t>
  </si>
  <si>
    <t>uay@asbgrupp.ru</t>
  </si>
  <si>
    <t>asbgrupp.ru</t>
  </si>
  <si>
    <t>Хохлова Татьяна Игоревна (20 000 руб., 100%)</t>
  </si>
  <si>
    <t>311 630 000</t>
  </si>
  <si>
    <t>andrey.bubenok@gmail.com, i.egorova@kristall-agro.ru, kristall@kristall-agro.ru</t>
  </si>
  <si>
    <t>kristall-agro.ru</t>
  </si>
  <si>
    <t>Бубенок Дмитрий Васильевич (5 100 руб., 51%)
Бубенок Андрей Васильевич (4 900 руб., 49%)</t>
  </si>
  <si>
    <t>420 580 000</t>
  </si>
  <si>
    <t>a.tyureva@dominantsugar.ru, i.golobokova@dominantsugar.ru, krystall2@mail.kuban.ru, lp.strakhova@dominantsugar.ru, n.krasnova@dominantsugar.ru, t.gusleva@dominantsugar.ru, v.tkachenko@dominantsugar.ru</t>
  </si>
  <si>
    <t>www.kubrc.ru/account.php?id=490</t>
  </si>
  <si>
    <t>ГК ДОМИНАНТ, ООО (40 920 000 руб.)</t>
  </si>
  <si>
    <t>184 680 000</t>
  </si>
  <si>
    <t>moscow@kept.ru</t>
  </si>
  <si>
    <t>www.kept.ru</t>
  </si>
  <si>
    <t>КЭПТ, ООО (10 000 000 руб.)</t>
  </si>
  <si>
    <t>251 400 000</t>
  </si>
  <si>
    <t>info@krk-fish.ru</t>
  </si>
  <si>
    <t>Солдатова Марина Владимировна (40 000 руб., 80%)
Солдатов Евгений Викторович (10 000 руб., 20%)</t>
  </si>
  <si>
    <t>57 440 000</t>
  </si>
  <si>
    <t>krkafarma@col.ru</t>
  </si>
  <si>
    <t>www.krka.biz, www.krka.ru</t>
  </si>
  <si>
    <t>АО "КРКА, ФАРМАЦЕВТИЧЕСКИЙ ЗАВОД, Д.Д., НОВО МЕСТО" (753 874 800 руб., 100%)</t>
  </si>
  <si>
    <t>1 082 940 000</t>
  </si>
  <si>
    <t>krka-rus@istra-net.ru, krka-rus@krk.diz, krka-rus@krka.diz, nataliya.krasnova@krka.biz, russia@krka.biz</t>
  </si>
  <si>
    <t>АО "КРКА, ФАРМАЦЕВТИЧЕСКИЙ ЗАВОД, Д.Д., НОВО МЕСТО" (5 361 374 764.57 руб., 100%)</t>
  </si>
  <si>
    <t>653 260 000</t>
  </si>
  <si>
    <t>kro_odegda@mail.ru</t>
  </si>
  <si>
    <t>kro-ufa.ru</t>
  </si>
  <si>
    <t>Производство спецодежды</t>
  </si>
  <si>
    <t>1 156 700 000</t>
  </si>
  <si>
    <t>safirai@yandex.ru</t>
  </si>
  <si>
    <t>Иванютин Андрей Владимирович (300 000 руб., 100%)</t>
  </si>
  <si>
    <t>Деятельность агентов по оптовой торговле текстильными изделиями, одеждой, обувью, изделиями из кожи и меха</t>
  </si>
  <si>
    <t>680 740 000</t>
  </si>
  <si>
    <t>Мишнев Александр Александрович (10 000 руб., 100%)</t>
  </si>
  <si>
    <t>130 360 000</t>
  </si>
  <si>
    <t>ipraktic.ru</t>
  </si>
  <si>
    <t>Беклемишев Дмитрий Алексеевич (10 000 руб., 42.50%)
Неверова Анна Александровна (10 000 руб., 42.50%)
Макиенко Павел Александрович (2 352.94 руб., 10%)
Леонтьева Ирина Геннадьевна (1 176.47 руб., 5%)</t>
  </si>
  <si>
    <t>281 330 000</t>
  </si>
  <si>
    <t>kroil@mail.ru, sale@kroil24.ru</t>
  </si>
  <si>
    <t>Кашкарев Виталий Борисович (15 000 руб., 100%)</t>
  </si>
  <si>
    <t>27 800 000</t>
  </si>
  <si>
    <t>ahaidukov@croc.ru, arubanov@croc.ru, dkutenkov@croc.ru, info@croc.ru, konkurs@croc.ru, mkuzin@croc.ru</t>
  </si>
  <si>
    <t>http://www.croc.ru/</t>
  </si>
  <si>
    <t>179 310 000</t>
  </si>
  <si>
    <t>info@tvoydom.ru, kalmykova@crocusgroup.ru, kolobova@crocusgroup.ru, mail@crocus-city.ru, pogiba@crocusgroup.ru, udo@crocusgroup.ru</t>
  </si>
  <si>
    <t>crocusgroup.ru, tvoydom.ru</t>
  </si>
  <si>
    <t>crocus-hm.ru</t>
  </si>
  <si>
    <t>Ткаченко Александр Константинович (12 500 руб., 100%)</t>
  </si>
  <si>
    <t>16 810 000</t>
  </si>
  <si>
    <t>kron@pharm.perm.ru</t>
  </si>
  <si>
    <t>Броварец Александр Викторович (10 000 руб., 100%)</t>
  </si>
  <si>
    <t>236 260 000</t>
  </si>
  <si>
    <t>oookrona73@gmail.com</t>
  </si>
  <si>
    <t>цнпз.рф</t>
  </si>
  <si>
    <t>СЕВЕРНАЯ ПАЛЬМИРА, АО (10 000 руб., 100%)</t>
  </si>
  <si>
    <t>42 820 000</t>
  </si>
  <si>
    <t>kronos.tend@gmail.com, tkkronos@tkkronos.com, vgn@h.kl</t>
  </si>
  <si>
    <t>Головин Василий Борисович (25 000 руб., 100%)</t>
  </si>
  <si>
    <t>office.ufa@kronospan.ru</t>
  </si>
  <si>
    <t>КРОНОШПАН ГМХ, ООО (10 430 940 000 руб., 100%)</t>
  </si>
  <si>
    <t>3 220 630 000</t>
  </si>
  <si>
    <t>a.kluchnikova@kronospan.ru</t>
  </si>
  <si>
    <t>КРОНОШПАН ГМХ, ООО (4 334 177 529.11 руб., 100%)</t>
  </si>
  <si>
    <t>63 450 000</t>
  </si>
  <si>
    <t>КРОНОШПАН ГМХ, ООО (3 465 774 000 руб., 100%)</t>
  </si>
  <si>
    <t>2 254 480 000</t>
  </si>
  <si>
    <t>a.abubekerova@kronospan.ru, office@kronospan.rnc.ru, sales@kronospan.ru</t>
  </si>
  <si>
    <t>https://kg.kronospan-express.com/ru , www.kronospan.ru, www.ru.kronospan-express.com</t>
  </si>
  <si>
    <t>КРОНОШПАН ГМХ, ООО (6 691 242 000 руб., 100%)</t>
  </si>
  <si>
    <t>14 352 730 000</t>
  </si>
  <si>
    <t>buh@crosstech.su, chernyuk.e@crosstech.su, info@crosstech.su, malkin.yu@crosstech.su, nvn@crosstech.su, zakupki_crosstech@mail.ru</t>
  </si>
  <si>
    <t>crosstech.su</t>
  </si>
  <si>
    <t>Чугунов Евгений Игоревич (10 000 руб., 100%)</t>
  </si>
  <si>
    <t>27 980 000</t>
  </si>
  <si>
    <t>Магаммадзаде Джавидан Мамад Оглы (100 000 руб., 100%)</t>
  </si>
  <si>
    <t>18 470 000</t>
  </si>
  <si>
    <t>krost-rabota.ru, rabota-krost.ru</t>
  </si>
  <si>
    <t>kachurin@m24.tvoydom.ru, oreshenkova@tvoydom.ru</t>
  </si>
  <si>
    <t>tvoidom.ru</t>
  </si>
  <si>
    <t>krs-service@tagras.ru</t>
  </si>
  <si>
    <t>ТАТНЕФТЬ ИМ. В.Д. ШАШИНА, ПАО (100 000 руб., 100%)</t>
  </si>
  <si>
    <t>info@krti.ru, melniknf@krti.ru, shaposhnikovaom@krti.ru, shaposhnikovaom@rubexgroup.ru, vega@krtvs.kursk.ru</t>
  </si>
  <si>
    <t>www.krti.ru, www.rubexgroup.ru</t>
  </si>
  <si>
    <t>174 630 000</t>
  </si>
  <si>
    <t>afanasieva@kru.ru, office@kruvp.kru.ru</t>
  </si>
  <si>
    <t>kruvp.ru</t>
  </si>
  <si>
    <t>УК КУЗБАССРАЗРЕЗУГОЛЬ, АО (47 000 руб., 100%)</t>
  </si>
  <si>
    <t>107 200 000</t>
  </si>
  <si>
    <t>Никольский Сергей Сергеевич (30 000 руб., 30%)
Такнов Виктор (30 000 руб., 30%)
Клейменов Антон Сергеевич (20 000 руб., 20%)
Ходжаев Денис Эдуардович (20 000 руб., 20%)</t>
  </si>
  <si>
    <t>418 940 000</t>
  </si>
  <si>
    <t>i.hmyz@efko.ru</t>
  </si>
  <si>
    <t>edavsegda.ru</t>
  </si>
  <si>
    <t>2 213 450 000</t>
  </si>
  <si>
    <t>sev@atan.ua</t>
  </si>
  <si>
    <t>Тихомирова Иванна Александровна (2 313 972 руб., 85%)
Редька Алиса Александровна (408 348 руб., 15%)</t>
  </si>
  <si>
    <t>710 000</t>
  </si>
  <si>
    <t>44fz@kadrk.ru, alushtadeu@ukr.net, axchisaray@gmail.com, bachisapay@gmail.com, bahcisaray@gmail.com, baxchisaray@gmail.com, belrad97600@mail.ru, bhs@kadrk.ru, dfhjtj@mail.ru, djankoidey@mail.ru</t>
  </si>
  <si>
    <t>krymavtodor.ru</t>
  </si>
  <si>
    <t>Крым Респ (113 353 475.57 руб., 100%)</t>
  </si>
  <si>
    <t>aleks_boguslavskiy@crimeagasnet.ru, alugh@crimeagasnet.ru, alugh_@crimeagasnet.ru, alugh_knv@crimeagasnet.ru, andrei_shevchenko@cremeagaznet.ru, andrei_shevchenko@crimeagasnet.ru, andrei_shs@mail.ru, azugh_shln@crimeagasnet.ru, bhugh.tav@gas.crimea.com, bhugh@crimeagasnet.ru</t>
  </si>
  <si>
    <t>Крым Респ (2 315 840 719.22 руб., 100%)</t>
  </si>
  <si>
    <t>a19672051996@gmail.com, abon.edke@gmail.com, abon.etce@gmail.com, abon.etke@gmail.com, abon3@tce.crimea.com, abon3@ukr.net, abon_ktke@tce.crimea.com, abon_rtke@mail.ru, abonteplo@mail.ru, af_ktfe_abon@tce.crimea.com</t>
  </si>
  <si>
    <t>Крым Респ (131 498 547.91 руб., 100%)</t>
  </si>
  <si>
    <t>010203@mail.ru, abon1@krimtec.ru, abonrtke@mail.ru, abons1@krimtec.ru, abonsl@krimec.ru, abonsl@krimtec.ru, abonsl@krimtek.ru, abonst@krimtec.ru, abonst@krimtee.ru, cargo@sipaero.ru</t>
  </si>
  <si>
    <t>krimtec.ru</t>
  </si>
  <si>
    <t>krimfrukt@ukr.net, potapova7676@mail.ru</t>
  </si>
  <si>
    <t>Ташкинов Вячеслав Николаевич (17 998 200 руб., 99.99%)
ФМ-1, ООО (1 800 руб., 0.010%)</t>
  </si>
  <si>
    <t>26 360 000</t>
  </si>
  <si>
    <t>a.gadzhiahmedov@krymhleb.net, a.gadzhiahmedov@krymhleb.ru, a.tolstova@krymhleb.net, d.hranovskiy@evp.krymhleb.net, e.pereverzeva@krymhleb.net, e.pereverzeva@krymhleb.ru, fdut@vail.ru, i.malahova@feodosia.krymhleb.ru, krymchleb@yandex.ru, marketing@krymhleb.ru</t>
  </si>
  <si>
    <t>106od@mail.ru, 1vopros@krgo.enerdy.crimea.ru, 5hat@list.ru, abdishevee@krgo.energy.crimea.ru, akyoshinaka@kgro.energy.crimea.ru, alres@krgo.energy.crimea.ru, alroe@krgo.energy.crimea.ru, alyoshinala@kgro.energi.crimea.ru, amp@gup.energy.crimea.ru, aptekfrev48@mail.ru</t>
  </si>
  <si>
    <t>Крым Респ (2 756 656 165.35 руб., 100%)</t>
  </si>
  <si>
    <t>7703525082_790101001@eo.tensor.ru, info@petropavlovsk-io.ru</t>
  </si>
  <si>
    <t>КАПУСИУС СЕРВИСИЗ ЛИМИТЕД (KAPUCIUS SERVICES LIMITED) (14 943 755 727 руб., 100%)</t>
  </si>
  <si>
    <t>7 847 100 000</t>
  </si>
  <si>
    <t>23889@bk.ru, abonotdel@vodokanal.ru, galivsok@yandex.ru, kcmo.buh@yandex.ru, kcmo.el@yandex.ru, kcmo.info@gmail.co, kcmo.info@gmail.com, kcmo.info@gmail.ru, kcmo.info@mail.com, kcmo.prosvirova@gmail.com</t>
  </si>
  <si>
    <t>kcmo.ru</t>
  </si>
  <si>
    <t>МИНМОСОБЛИМУЩЕСТВО (3 514 079 796.55 руб., 100%)</t>
  </si>
  <si>
    <t>anna.kazmina@kcad-personnel.ru, tyumen.sec@kcad-personnel.ru, tyumen.sec@ru.kcadeutag.com</t>
  </si>
  <si>
    <t>kcad-personnel.ru</t>
  </si>
  <si>
    <t>"КЦА ДОЙТАГ ДРИЛЛИНГ ГМБХ" (20 600 000 руб., 100%)</t>
  </si>
  <si>
    <t>382 710 000</t>
  </si>
  <si>
    <t>g.alganaeva@kpgold.ru, ksenpr@mail.ru</t>
  </si>
  <si>
    <t>810 970 000</t>
  </si>
  <si>
    <t>coordinator.fax@xerox.com, ivan.borisov@xerox.com, julia.grigoryeva@xerox.com, liya.kotelnikova@xerox.com, maxim.bobrov1977@gmail.com, roman.okoyomov@xerox.com, vasiliy.shilin@xerox.com, viktoria.volkova@xerox.com</t>
  </si>
  <si>
    <t>www.xerox.ru</t>
  </si>
  <si>
    <t>КСЕРОКС ЛИМИТЕД (495 000 829.5 руб., 100%)</t>
  </si>
  <si>
    <t>59 320 000</t>
  </si>
  <si>
    <t>КСИ, ООО (10 000 руб., 100%)</t>
  </si>
  <si>
    <t>Купреев Владимир Александрович (50 000 руб., 100%)</t>
  </si>
  <si>
    <t>2 350 000</t>
  </si>
  <si>
    <t>707 520 000</t>
  </si>
  <si>
    <t>ooo_ksk@bk.ru</t>
  </si>
  <si>
    <t>Назмутдинов Марат Альбертович (1 210 000 руб., 100%)</t>
  </si>
  <si>
    <t>4 590 000</t>
  </si>
  <si>
    <t>info@ksm-agro.com, ksm177@bk.ru, ksm26@mail.ru</t>
  </si>
  <si>
    <t>www.ksm-agro.com</t>
  </si>
  <si>
    <t>Данченко Павел Валерьевич (30 168 310 руб., 100%)</t>
  </si>
  <si>
    <t>98 800 000</t>
  </si>
  <si>
    <t>csort.jsc@gmail.com, info@aoksop.ru</t>
  </si>
  <si>
    <t>www.aoksop.ru</t>
  </si>
  <si>
    <t>507 100 000</t>
  </si>
  <si>
    <t>ГЛАСС ДЕКОР, ООО (9 000 руб., 90%)
Арутюнов Владимир Владимирович (1 000 руб., 10%)</t>
  </si>
  <si>
    <t>Производство бутылок и прочих емкостей из стекла или хрусталя</t>
  </si>
  <si>
    <t>351 190 000</t>
  </si>
  <si>
    <t>savina1404@mail.ru</t>
  </si>
  <si>
    <t>ОСК, АО (150 000 000 руб., 100%)</t>
  </si>
  <si>
    <t>2 038 960 000</t>
  </si>
  <si>
    <t>info@kst-energo.ru</t>
  </si>
  <si>
    <t>kst-energo.ru</t>
  </si>
  <si>
    <t>Артемов Николай Евгеньевич (100 000 руб., 100%)</t>
  </si>
  <si>
    <t>Очкасов Александр Владимирович (10 000 руб., 100%)</t>
  </si>
  <si>
    <t>4 070 000</t>
  </si>
  <si>
    <t>info@is-invest.ru</t>
  </si>
  <si>
    <t>Воронцов Ян Александрович (63 000 руб., 90%)
Цыкин Антон Григорьевич (7 000 руб., 10%)</t>
  </si>
  <si>
    <t>92 320 000</t>
  </si>
  <si>
    <t>info@volnamobile.ru, kld73@inbox.ru, tenderb2b@volnamobile.ru</t>
  </si>
  <si>
    <t>http://volnamobile.ru/</t>
  </si>
  <si>
    <t>АЙСИ ИНВЕСТ, АО (100 000 руб., 100%)</t>
  </si>
  <si>
    <t>774 910 000</t>
  </si>
  <si>
    <t>bt@tarkom.ru, ktk@tarkom.ru, tara@baltnet.ru</t>
  </si>
  <si>
    <t>www.tarkom.ru</t>
  </si>
  <si>
    <t>424 570 000</t>
  </si>
  <si>
    <t>company@ktk.company, company@oaoktk.ru, eduard.alexeenko@gmail.com, skorohodov@ktk.company, skorohodov@oaoktk.ru, vkr@oaoktk.ru</t>
  </si>
  <si>
    <t>http://ktk.company</t>
  </si>
  <si>
    <t>dd@rurjf.ru, dhfufildk@yandex.ru, g@komitk.ru, izhma.ref@komi.tk.ru, kgor@komitk.ru, kk.or@komi.ru, kk.or@komi.tk.ru, kk.or@komitr.rk, komitk@komitk.ru, ktk@kmitk.ru</t>
  </si>
  <si>
    <t>www.komitk.ru</t>
  </si>
  <si>
    <t>ККТ, АО (n/a)</t>
  </si>
  <si>
    <t>ktk@kpon.ru</t>
  </si>
  <si>
    <t>www.kpon.ru</t>
  </si>
  <si>
    <t>Муртазин Ринат Фазилович (10 623 000 руб., 70.82%)
Муртазина Ирина Валентиновна (4 377 000 руб., 29.18%)</t>
  </si>
  <si>
    <t>31 250 000</t>
  </si>
  <si>
    <t>alexey.khodakov@cpcpipe.ru, suleyman.sapayev@cpcpipe.ru</t>
  </si>
  <si>
    <t>www.cpc.ru</t>
  </si>
  <si>
    <t>Транспортирование по трубопроводам нефти</t>
  </si>
  <si>
    <t>44 651 910 000</t>
  </si>
  <si>
    <t>a.sarycheva@terminalspb.ru, info@terminalspb.ru</t>
  </si>
  <si>
    <t>www.mka.seaport.spb.ru, www.terminalspb.ru</t>
  </si>
  <si>
    <t>Транспортная обработка контейнеров</t>
  </si>
  <si>
    <t>2 846 710 000</t>
  </si>
  <si>
    <t>buh@ktt.spb.ru</t>
  </si>
  <si>
    <t>Дорошенко Александр Сергеевич (10 250 руб., 51.25%)
Зубарева Елена Викторовна (8 750 руб., 43.75%)
Дорошенко Надежда Олеговна (1 000 руб., 5%)</t>
  </si>
  <si>
    <t>150 460 000</t>
  </si>
  <si>
    <t>ktty@mail.ru, lic@kttu.ru, post@kttu.ru</t>
  </si>
  <si>
    <t>kttu.ru</t>
  </si>
  <si>
    <t>АДМИНИСТРАЦИЯ МУНИЦИПАЛЬНОГО ОБРАЗОВАНИЯ ГОРОД КРАСНОДАР (n/a)</t>
  </si>
  <si>
    <t>ktc.ru</t>
  </si>
  <si>
    <t>2311322773@mail.ru, 2516469@mail.ru, 5567899@mail.rrru, akjhgojr@mail.ru, atek@krteplo.ru, atekserv@mail.ru, bill@krasnodarteploenergo.ru, bill@krdteplo.ru, hkjklhkj@h.mail.ru, ihiuhuigb@mail.ru</t>
  </si>
  <si>
    <t>krdteplo.ru</t>
  </si>
  <si>
    <t>ТТК, ООО (10 000 руб., 100%)</t>
  </si>
  <si>
    <t>vozrohdenie2012@yandex.ru</t>
  </si>
  <si>
    <t>408 060 000</t>
  </si>
  <si>
    <t>e.v.moskalenko@oilkuban.ru, info@oilkuban.ru</t>
  </si>
  <si>
    <t>dorogi00@mail.ru, iskkub1@yandex.ru, iskkub@yandex.ru, iskkubanskoe@yandex.ru</t>
  </si>
  <si>
    <t>Салпагаров Асхат Анзорович (47 526 500 руб., 50%)
Салпагаров Расул Анзорович (47 526 500 руб., 50%)</t>
  </si>
  <si>
    <t>291 440 000</t>
  </si>
  <si>
    <t>kuban_vino@bk.ru, office@kuban-vino.ru</t>
  </si>
  <si>
    <t>https://kubanvino1956.ru/, www.kuban-vino.ru</t>
  </si>
  <si>
    <t>ГК АРИАНТ, ООО (1 254 010 000 руб., 100%)</t>
  </si>
  <si>
    <t>69 070 000</t>
  </si>
  <si>
    <t>ПАПИР ГРУПП, ООО (77 461 650.34 руб., 51%)
ППК, АО (74 423 938.57 руб., 49%)</t>
  </si>
  <si>
    <t>154 790 000</t>
  </si>
  <si>
    <t>kuban-stroi@v-k-b.ru, mimoza74@inbox.ru</t>
  </si>
  <si>
    <t>kubanstroi-krd.ru</t>
  </si>
  <si>
    <t>Борисова Тамара Александровна (250 020 250 руб., 62.50%)
СУ-2007, ООО (149 988 150 руб., 37.50%)</t>
  </si>
  <si>
    <t>618 170 000</t>
  </si>
  <si>
    <t>info@kubantea.ru, olga.komarova@kubanproduct.com, olga.komarova@kubanproduct.org</t>
  </si>
  <si>
    <t>azercay.ru</t>
  </si>
  <si>
    <t>ОФФШОРНАЯ КОМПАНИЯ СВОБОДНОЙ ЗОНЫ ДЖЕБЕЛЬ-АЛИ "ANATOLIA HOLDING COMPANY LIMITED" (815 532 900 руб., 70%)
ОБЩЕСТВО С ОГРАНИЧЕННОЙ ОТВЕТСТВЕННОСТЬЮ "АРАС ЛТД" (233 009 400 руб., 20%)
Балаев Кадир Мамед-Оглы (116 504 700 руб., 10%)</t>
  </si>
  <si>
    <t>209 360 000</t>
  </si>
  <si>
    <t>cll.forvard@mail.ru</t>
  </si>
  <si>
    <t>Гуев Денис Дмитриевич (50 000 руб., 100%)</t>
  </si>
  <si>
    <t>ivanko.as@ugrus.com, ksynja26@yandex.ru</t>
  </si>
  <si>
    <t>СНАБПРОФИЛЬ, ООО (10 010 000 руб., 100%)</t>
  </si>
  <si>
    <t>alex@kuboil.ru, kuboil@efremov.tula.net, o.samsonova@kuboil.ru</t>
  </si>
  <si>
    <t>kuboil.ru</t>
  </si>
  <si>
    <t>Коченов Эдуард Черменович (12 000 руб., 80%)
Коченова Елена Петровна (3 000 руб., 20%)</t>
  </si>
  <si>
    <t>888 170 000</t>
  </si>
  <si>
    <t>t.soldatova@metropolis-center.ru</t>
  </si>
  <si>
    <t>www.metropolis.moscow</t>
  </si>
  <si>
    <t>Oka Metropolis Holdings B.V. (22 500 000 руб., 100%)</t>
  </si>
  <si>
    <t>Аренда и управление собственным или арендованным торговым объектом недвижимого имущества</t>
  </si>
  <si>
    <t>3 894 820 000</t>
  </si>
  <si>
    <t>ooodez@yandex.ru, oooukdez@mail.ru, rsockanc66@rn.gov.ru</t>
  </si>
  <si>
    <t>dezk-ur.ru</t>
  </si>
  <si>
    <t>НАШ ДОМ, ООО (5 800 руб., 58%)
Анчугов Андрей Витальевич (4 200 руб., 42%)</t>
  </si>
  <si>
    <t>evgenia.kurova@myasno.ru, info@myasno.ru</t>
  </si>
  <si>
    <t>СИБАГРО, АО (26 810 000 руб., 100%)</t>
  </si>
  <si>
    <t>bondarenko@kydr.ru, kudr@kudr.hsk.su, kudr@kudr.nsk.su, kudr@kudr.ru</t>
  </si>
  <si>
    <t>192 520 000</t>
  </si>
  <si>
    <t>merzlyakov@inbox.ru, natali.postnikova@mail.ru</t>
  </si>
  <si>
    <t>Слобожанина Оксана Анатольевна (100 000 руб., 100%)</t>
  </si>
  <si>
    <t>miaso59@yandex.ru</t>
  </si>
  <si>
    <t>ВОСХОД, ООО (7 200 000 руб., 100%)</t>
  </si>
  <si>
    <t>8 350 000</t>
  </si>
  <si>
    <t>glavbuh@ihmcoal.ru</t>
  </si>
  <si>
    <t>Шадрин Константин Владимирович (10 000 руб., 100%)</t>
  </si>
  <si>
    <t>10 490 000</t>
  </si>
  <si>
    <t>alir269@mail.ru</t>
  </si>
  <si>
    <t>Абрамов Валерий Вячеславович (406 269 руб., 45%)
Перевалов Виктор Павлович (406 269 руб., 45%)
Чернов Дмитрий Павлович (90 282 руб., 10%)</t>
  </si>
  <si>
    <t>Добыча декоративного и строительного камня, известняка, гипса, мела и сланцев</t>
  </si>
  <si>
    <t>kds@sdexport.ru, kukhtaa@gmail.com, sde-buhg@sdexport.ru</t>
  </si>
  <si>
    <t>Апарин Сергей Николаевич (19 500 руб., 97.50%)
Апарина Наталья Алексеевна (500 руб., 2.50%)</t>
  </si>
  <si>
    <t>223 450 000</t>
  </si>
  <si>
    <t>ishestakova@sibircement.ru, ktc@sibcem.ru</t>
  </si>
  <si>
    <t>www.ktc.sibcem.ru</t>
  </si>
  <si>
    <t>ЛИЗИНГ МАШИН И ОБОРУДОВАНИЯ, ООО (103 500 000 руб., 50%)
ХК СИБЦЕМ, АО (103 500 000 руб., 50%)</t>
  </si>
  <si>
    <t>283 040 000</t>
  </si>
  <si>
    <t>ilyinkon@mail.ru</t>
  </si>
  <si>
    <t>Нахшунов Феликс Сергеевич (100 000 руб., 100%)</t>
  </si>
  <si>
    <t>690 850 000</t>
  </si>
  <si>
    <t>043207612k@mail.ru, adm@kuzbe.elektra.ru, barnaul@suek.ru, durimenkoos@sibgenko.ru, evseevaiv@sibgenco.ru, gotinaai@sibgenco.ru, gotinaal@sibgen.ru, goyinaai@sibgenko.ru, guremnkoos@sibgek60.ru, gurimenko@sibgenko.ru</t>
  </si>
  <si>
    <t>www.kuzbassenergo.ru</t>
  </si>
  <si>
    <t>11 116 360 000</t>
  </si>
  <si>
    <t>0@maii.ru, 0@mil.ru, 14077201407720@rambler.ru, 329@mail.ru, 5schoolcherta2007@mail.ru, 777@ken.org, 777@nkem.org, 777@nken.org, 777@nken.orq, 888_8_8@mail.ru</t>
  </si>
  <si>
    <t>www.kuzesc.ru, www.kuzesc.ru/raskrinf/report_kvart/</t>
  </si>
  <si>
    <t>МЕЧЕЛ-ЭНЕРГО, ООО (72.14%)
АДВАЛОР-КОНСАЛТ, ООО (25%)</t>
  </si>
  <si>
    <t>551 090 000</t>
  </si>
  <si>
    <t>73843353709bobrovagm@sibgenco.ru, adm@mechel.ru, bobrovaav@sibgenco.ru, bobrovagm@sibdenco.ru, bobrovagm@sibgcnco.ru, bobrovagm@sibgeco.ru, bobrovagm@sibgenergo.ru, bobrovagm@sibgenko.ru, bobrovagm@sibgenso.ru, bobrovagm@subgenco.ru</t>
  </si>
  <si>
    <t>www.kuzbassenergo.ru/kem/info, www.kuzbassenergo.ru/kuz-tec/info</t>
  </si>
  <si>
    <t>gda@km-group.ru, km@km-group.ru, lev_indyk@mail.ru, mta@km-group.ru, personal@km-group.ru, rav@km-group.ru, t@km-group.ru</t>
  </si>
  <si>
    <t>km-group.ru</t>
  </si>
  <si>
    <t>Индык Лев Юдович (8 400 руб., 100%)</t>
  </si>
  <si>
    <t>kusnezk@mail.ru</t>
  </si>
  <si>
    <t>foamline.com</t>
  </si>
  <si>
    <t>ФОМЛАЙН, ООО (1 600 000 000 руб., 100%)</t>
  </si>
  <si>
    <t>dkuznetsov@cc-kisk.ru</t>
  </si>
  <si>
    <t>cc-kisk.ru</t>
  </si>
  <si>
    <t>612 540 000</t>
  </si>
  <si>
    <t>nam@volkuz34.ru, volshskayakuzniza@gmail.ru</t>
  </si>
  <si>
    <t>volkuz34.ru</t>
  </si>
  <si>
    <t>КУЗНЕЧНЫЕ АКТИВЫ, ООО (10 000 000 руб., 100%)</t>
  </si>
  <si>
    <t>Предоставление услуг по ковке, прессованию, объемной и листовой штамповке и профилированию листового металла</t>
  </si>
  <si>
    <t>denis.chernoglazov@kuznitsa.ru, moscow@kuznitsa.ru, yuriy.galkin@kuznitsa.ru</t>
  </si>
  <si>
    <t>Е13, ООО (2 000 000 руб., 100%)</t>
  </si>
  <si>
    <t>370 140 000</t>
  </si>
  <si>
    <t>kuzocm@kuzocm.ru, mkv@kuzocm.ru</t>
  </si>
  <si>
    <t>Ледукова Виктория Андреевна (36 800 руб., 100%)</t>
  </si>
  <si>
    <t>kzmp@mail.ru</t>
  </si>
  <si>
    <t>www.kukmara.com</t>
  </si>
  <si>
    <t>Производство столовых, кухонных и прочих бытовых изделий, кроме столовых и кухонных приборов, и их составных частей из черных металлов, меди или алюминия</t>
  </si>
  <si>
    <t>515 690 000</t>
  </si>
  <si>
    <t>bsp@bsprom.com</t>
  </si>
  <si>
    <t>Зайцев Андрей Валерьевич (10 000 000 руб., 100%)</t>
  </si>
  <si>
    <t>2 080 000</t>
  </si>
  <si>
    <t>any@kumw.ru, dir_kumz@kumw.ru, dirkumz@kumz.ru, ustyuzhaninamv@kumw.ru</t>
  </si>
  <si>
    <t>www.kumz.ru</t>
  </si>
  <si>
    <t>info@coopervision.com, vpasko@coopervision.com, vpetrushenya@coopervision.com</t>
  </si>
  <si>
    <t>https://coopervision.com.ru/</t>
  </si>
  <si>
    <t>КУПЕРВИЖН МАНУФАКТУРИНГ ЛИМИТЕД (230 000 руб., 100%)</t>
  </si>
  <si>
    <t>320 310 000</t>
  </si>
  <si>
    <t>awesome.skidki@yandex.ru, gbtb@btcosmetic.com, gbtc@btcosmetic.com, ic@lamoda.ru, newsletter@info.lamoda.ru, office.moscow@tom-tailor.com, retail@tom-tailor.ru, service@tom-tailor.ru</t>
  </si>
  <si>
    <t>ru.store.fifa.com, www.lamoda.ru</t>
  </si>
  <si>
    <t>ЛМ ХОЛДИНГ, АО (10 000 руб., 100%)</t>
  </si>
  <si>
    <t>portnyaginava@agro66.ru</t>
  </si>
  <si>
    <t>Хан Олеся Вячеславовна (1 000 000 руб., 100%)</t>
  </si>
  <si>
    <t>100 400 000</t>
  </si>
  <si>
    <t>zotinam@asusbit.kurgan.te.ru</t>
  </si>
  <si>
    <t xml:space="preserve">www.ite-ng.pw </t>
  </si>
  <si>
    <t>ИНТЕРТЕХЭЛЕКТРО-НОВАЯ ГЕНЕРАЦИЯ, ООО (1 212 255 700 руб., 100%)</t>
  </si>
  <si>
    <t>contact@kurganstalmost.ru, contakt@kurganstalmost.ru, kancler@kurganstalmost.ru, market@kurganstalmost.ru, sale@kurganstalmost.ru</t>
  </si>
  <si>
    <t>www.kurganstalmost.ru</t>
  </si>
  <si>
    <t>44 250 000</t>
  </si>
  <si>
    <t>market@khm.zaural.ru, zakaz@khm.zaural.ru</t>
  </si>
  <si>
    <t>КОМП С ОО "ТРИКОТЭ КОНСАЛТИНГ ЛИМИТЕД" (324 728 749.38 руб., 74.99%)
Герасимов Филипп Евгеньевич (108 248 689.49 руб., 25.00%)</t>
  </si>
  <si>
    <t>280 270 000</t>
  </si>
  <si>
    <t>345@gidrostroy.com</t>
  </si>
  <si>
    <t>1 756 430 000</t>
  </si>
  <si>
    <t>belyaev.m@alkor.co.ru</t>
  </si>
  <si>
    <t>АЛЬКОР И КО, ООО (525 000 000 руб., 100%)</t>
  </si>
  <si>
    <t>1 043 120 000</t>
  </si>
  <si>
    <t>info@agroterra.ru</t>
  </si>
  <si>
    <t>АГРОТЕРРА, ООО (10 000 руб., 100%)</t>
  </si>
  <si>
    <t>3 527 010 000</t>
  </si>
  <si>
    <t>info46@prodimex-kursk.ru, rogov36@mail.ru, sekretar.kurskagro@gmail.com</t>
  </si>
  <si>
    <t>АГРОПРОДУКТ, ООО (937 569 700 руб., 100%)</t>
  </si>
  <si>
    <t>4 741 380 000</t>
  </si>
  <si>
    <t>info@sodru.com</t>
  </si>
  <si>
    <t>СОДРУЖЕСТВО РУС, МКООО (10 000 руб., 100%)</t>
  </si>
  <si>
    <t>info@zavodkpd.ru, komerc@zavodkpd.ru</t>
  </si>
  <si>
    <t>www.zavodkpd.ru</t>
  </si>
  <si>
    <t>Работы по сборке и монтажу сборных конструкций</t>
  </si>
  <si>
    <t>435 910 000</t>
  </si>
  <si>
    <t>КУРЬЕР-СЕРВИС, ООО (10 000 руб., 100%)</t>
  </si>
  <si>
    <t>Деятельность курьерская</t>
  </si>
  <si>
    <t>2 960 000</t>
  </si>
  <si>
    <t>prishlyakovanb@kuhmaster.com</t>
  </si>
  <si>
    <t>kuhmaster.ru, www.kuhmaster.com</t>
  </si>
  <si>
    <t>Харитонов Алексей Викторович (10 000 руб., 100%)</t>
  </si>
  <si>
    <t>Переработка и консервирование фруктов и овощей</t>
  </si>
  <si>
    <t>108 400 000</t>
  </si>
  <si>
    <t>belogorye-pk.ru</t>
  </si>
  <si>
    <t>Сиротенко Сергей Иванович (31.46%)
БЕЛОГОРЬЕ-ТРАНС, ООО (22.20%)
Сиротенко Елена Петровна (10%)
Сиротенко Алексей Сергеевич (9.68%)
Бутенко Анатолий Васильевич (5.97%)
Слюсарева Наталья Николаевна (3.77%)
Ван-Мелкебеек Елена Сергеевна (1.13%)</t>
  </si>
  <si>
    <t>bulgakovagv@kfw.ru, chtc@chel.surnet.ru, ermakas@kfw.ru, inbox@kfw.ru, office@cheltc.ru, orgotdel19@mail.ru</t>
  </si>
  <si>
    <t>cheltc.ru</t>
  </si>
  <si>
    <t>УСМК, АО (4 030 334 340 руб.)</t>
  </si>
  <si>
    <t>9 797 800 000</t>
  </si>
  <si>
    <t>info@kftt.ru, kftt@mail.ru</t>
  </si>
  <si>
    <t>Пигарев Валерий Павлович (61.79%)
Пигарева Лариса Александровна (18.54%)</t>
  </si>
  <si>
    <t>77 080 000</t>
  </si>
  <si>
    <t>info@khpt.ru, proskurin.v@khpt.ru, tamoikina.g@khpt.ru, thr_muka@mail.ru</t>
  </si>
  <si>
    <t>МЕРИТ, ООО (103 662 руб.)</t>
  </si>
  <si>
    <t>173 050 000</t>
  </si>
  <si>
    <t>buhnal@khps.ru, grankinanu@khps.ru, info@khps.ru</t>
  </si>
  <si>
    <t>80 970 000</t>
  </si>
  <si>
    <t>kulikova@fslink.ru</t>
  </si>
  <si>
    <t>Торговля розничная различной домашней утварью, ножевыми изделиями, посудой, изделиями из стекла и керамики, в том числе фарфора и фаянса в специализированных магазинах</t>
  </si>
  <si>
    <t>445 070 000</t>
  </si>
  <si>
    <t>info@arts-motors.ru, info@kia-volgogradka.ru</t>
  </si>
  <si>
    <t>arts-motors.ru</t>
  </si>
  <si>
    <t>Минасян Арсений Вадимович (5 000 руб., 50%)
Минасян Вадим Арестакесович (5 000 руб., 50%)</t>
  </si>
  <si>
    <t>136 390 000</t>
  </si>
  <si>
    <t>gosuslugi@cherkizovo.com, office@chickenkingdom.ru, s.iarmak@cherkizovo.com</t>
  </si>
  <si>
    <t>www.chikenkingdom.ru, www.zpi.ru</t>
  </si>
  <si>
    <t>АПК МИХАЙЛОВСКИЙ, ООО (1 554 257 800 руб.)</t>
  </si>
  <si>
    <t>4 707 500 000</t>
  </si>
  <si>
    <t>gauso.lespol@mosreg.ru, lesnayapolyana11@mail.ru, lpsoc@mail.ru</t>
  </si>
  <si>
    <t>МИНСОЦРАЗВИТИЯ МОСКОВСКОЙ ОБЛАСТИ (n/a)</t>
  </si>
  <si>
    <t>Деятельность по уходу с обеспечением проживания прочая</t>
  </si>
  <si>
    <t>chemcom@front.ru, td@kccc.ru</t>
  </si>
  <si>
    <t>kccc.ru</t>
  </si>
  <si>
    <t>Смирнов Эдуард Алексеевич (20 000 руб., 100%)</t>
  </si>
  <si>
    <t>264 850 000</t>
  </si>
  <si>
    <t>andrei.filippov@karlstorz.com, ekaterina.baranova@karlstorz.com, info@karlstorz.ru, kste-wostok@karlstorz.ru, ru@karlstorz.com, tender-ru@karlstorz.com</t>
  </si>
  <si>
    <t>www.karlstorz.com, www.karlstorz.ru</t>
  </si>
  <si>
    <t>КАРЛ ШТОРЦ СЕ И КО. КГ (8 251 077.1 руб., 100%)</t>
  </si>
  <si>
    <t>1 704 810 000</t>
  </si>
  <si>
    <t>info.russia@canpack.com</t>
  </si>
  <si>
    <t>canpack.ru</t>
  </si>
  <si>
    <t>АО ТАПОН ФРАНС /ТАРОN FRАNСЕ (1 192 421 559 руб., 100%)</t>
  </si>
  <si>
    <t>1 092 490 000</t>
  </si>
  <si>
    <t>abrosimov@mailkenk.ru, fin@mailkenk.ru, flegontova.tn@mailkenk.ru, karamnova@mailkenk.ru, kek@kemnet.ru, kemerovo_cok@mailkenk.ru, kenk.info@mailkenk.ru, kenk@mai.ru, nevzorova@mailkenk.ru, revin@mailkenk.ru</t>
  </si>
  <si>
    <t>кэнк.рф</t>
  </si>
  <si>
    <t>КОММУНЭНЕРГО, ООО (100 000 руб., 98%)
Голубева Наталья Петровна (1 000 руб., 1%)
Куруч Ирина Петровна (1 000 руб., 1%)</t>
  </si>
  <si>
    <t>risk-radar.ru</t>
  </si>
  <si>
    <t>КЭПТ, ООО (10 000 000 руб., 100%)</t>
  </si>
  <si>
    <t>62 360 000</t>
  </si>
  <si>
    <t>kes-krasnodar@yandex.ru, kes@mail.kes23.ru</t>
  </si>
  <si>
    <t>https://www.kes-krd.ru/</t>
  </si>
  <si>
    <t>Вилертс Дайнис Модрисович (68 084 100 руб., 41.66%)
Рожков Виталий Александрович (68 084 100 руб., 41.66%)
АКТИВ, ООО (27 263 600 руб., 16.68%)</t>
  </si>
  <si>
    <t>56 020 000</t>
  </si>
  <si>
    <t>i.hajumova@energos.perm.ru, kes-m@energos.perm.ru</t>
  </si>
  <si>
    <t>kes-m.ru</t>
  </si>
  <si>
    <t>185 600 000</t>
  </si>
  <si>
    <t>ifokesp@bk.ru, mail1@kesp.ru, mail@kesp.ru</t>
  </si>
  <si>
    <t>kesp.ru</t>
  </si>
  <si>
    <t>КОНТИНЕНТ ЛТД, ООО (151 673 000 руб., 99.93%)
Мустафин Рушад Фандусович (100 000 руб., 0.070%)</t>
  </si>
  <si>
    <t>99 140 000</t>
  </si>
  <si>
    <t>zhuravlev_mv@etsp.ru</t>
  </si>
  <si>
    <t>Сороко Валерий Викторович (2 846 488 руб., 79.50%)
Жолнерчик Геннадий Чеславович (734 000 руб., 20.50%)</t>
  </si>
  <si>
    <t>1 800 670 000</t>
  </si>
  <si>
    <t>karatov.msk@yandex.ru</t>
  </si>
  <si>
    <t>Гутерман Аркадий Леонидович (619 380 руб., 99.90%)
Демчак Андрей Владимирович (620 руб., 0.10%)</t>
  </si>
  <si>
    <t>Производство ювелирных изделий, медалей из драгоценных металлов и драгоценных камней</t>
  </si>
  <si>
    <t>53 480 000</t>
  </si>
  <si>
    <t>ekaterina@ladogaspb.ru, klyshkin@ladogaspb.ru, ontrade@ladogaspb.ru, petrunina@ladogaspb.ru</t>
  </si>
  <si>
    <t>www.adogaspb.ru</t>
  </si>
  <si>
    <t>33 020 000</t>
  </si>
  <si>
    <t>customercare@elemis.ru, info@elemis.ru, info@erborian.ru, info@kuponpromo.ru, info@skidki4all.ru, info@webkuponi.ru, partners@kuponpromo.ru, partners@skidki4all.ru, support@kuponpromo.ru, support@sila-skidki.ru</t>
  </si>
  <si>
    <t>www.loccitane.ru</t>
  </si>
  <si>
    <t>Коваленко Ростислав Петрович (2 111 100 руб., 31%)
Милехина Наталья Юрьевна (1 566 300 руб., 23%)
Сабирова Ольга Фаритовна (1 566 300 руб., 23%)
Шумов Алексей Владимирович (1 566 300 руб., 23%)</t>
  </si>
  <si>
    <t>516 730 000</t>
  </si>
  <si>
    <t>corpru.personaldata@loreal.com, del@proexpert.me</t>
  </si>
  <si>
    <t>kerastase.ru, lancome.ru, www.loreal.com, www.matrix.ru</t>
  </si>
  <si>
    <t>7 345 590 000</t>
  </si>
  <si>
    <t>l-pack.ru, l-pak.ru, л-пак.рф</t>
  </si>
  <si>
    <t>Каранчук Петр Сергеевич (34 000 руб., 34%)
БУМПАК, ООО (33 000 руб., 33%)
Каранчук Ирина Анатольевна (33 000 руб., 33%)</t>
  </si>
  <si>
    <t>66 810 000</t>
  </si>
  <si>
    <t>info@l-argo.ru</t>
  </si>
  <si>
    <t>www.l-argo.ru</t>
  </si>
  <si>
    <t>340 200 000</t>
  </si>
  <si>
    <t>info@laredoute.ru</t>
  </si>
  <si>
    <t>www.laredoute.ru</t>
  </si>
  <si>
    <t>АКЦИОНЕРНОЕ ОБЩЕСТВО УПРОЩЕННОГО ТИПА "ЛА РЕДУТ" (2 730 000 руб., 100%)</t>
  </si>
  <si>
    <t>Торговля розничная вне магазинов, палаток, рынков</t>
  </si>
  <si>
    <t>alevtina.kucherova@ru.henkel.com, marina.grigorova@henkel.com</t>
  </si>
  <si>
    <t>www.henkel.ru</t>
  </si>
  <si>
    <t>ЛИД ХОЛДИНГ ЛИМИТЕД (124 503 281 руб., 100%)</t>
  </si>
  <si>
    <t>Производство мыла и моющих, чистящих и полирующих средств; парфюмерных и косметических средств</t>
  </si>
  <si>
    <t>6 387 270 000</t>
  </si>
  <si>
    <t>71115@krasnoe-beloe.ru</t>
  </si>
  <si>
    <t>1238@krasnoe-beloe.ru</t>
  </si>
  <si>
    <t>609 590 000</t>
  </si>
  <si>
    <t>labirint.ru, www.labirint-shop.ru</t>
  </si>
  <si>
    <t>Патрушев Евгений Борисович (10 000 руб., 100%)</t>
  </si>
  <si>
    <t>corporate@yandex-team.ru</t>
  </si>
  <si>
    <t>КОМПАНИЯ С ОГРАНИЧЕННОЙ ОТВЕТСТВЕННОСТЬЮ "ЯНДЕКС Н.В." (10 000 руб., 100%)</t>
  </si>
  <si>
    <t>a_tihonov@labvs.ru, help@labvs.ru, infokaliningrad@labvs.ru, s_volobuev@labvs.ru, sales@labvs.ru, t_bugakova@labvs.ru, tender@labvs.ru</t>
  </si>
  <si>
    <t>labvs.ru</t>
  </si>
  <si>
    <t>Никулин Максим Александрович (4 000 руб., 40%)
Денисов Евгений Викторович (3 000 руб., 30%)
Соков Максим Михайлович (3 000 руб., 30%)</t>
  </si>
  <si>
    <t>253 130 000</t>
  </si>
  <si>
    <t>79262075629@mail.ru, a.oreshko@gemotest.ru, aleksandr.shipnyagov@gemotest.ru, aleksandra.matvienko@gemotest.ru, alexey.butykov@gemotest.ru, alina.mukhametdinova@gemotest.ru, alla.kineshova@gemotest.ru, anastasia.bredneva@gemotest.ru, anna.belova@gemotest.ru, anna.khubulova@gemotest.ru</t>
  </si>
  <si>
    <t>labgemo.ru, www.gemotest.ru</t>
  </si>
  <si>
    <t>Газиев Рудем Ризванович (8 375 000 руб., 67%)
ПК ИНВЕСТ-БА, ООО (4 125 000 руб., 33%)</t>
  </si>
  <si>
    <t>7 177 800 000</t>
  </si>
  <si>
    <t>info@kaspersky.com, maria.e.koroleva@kaspersky.com, nikita.krapukhin@kaspersky.com</t>
  </si>
  <si>
    <t>www.kaspersky.ru</t>
  </si>
  <si>
    <t>ГРУППА КОМПАНИЙ КАСПЕРСКОГО, ООО (100 000 руб.)</t>
  </si>
  <si>
    <t>fedchuk@sibvaleo.com, info@gardemaks.ru, info@garmonica-linea.ru, info@kornemaks.ru, info@krem-newesty.ru</t>
  </si>
  <si>
    <t>Гороховская Татьяна Германовна (19 266.5 руб., 99%)
Воликов Евгений Петрович (194.61 руб., 1%)</t>
  </si>
  <si>
    <t>Производство биологически активных добавок к пище</t>
  </si>
  <si>
    <t>183 220 000</t>
  </si>
  <si>
    <t>lava2005@rambler.ru</t>
  </si>
  <si>
    <t>www.lava-polimer.ru</t>
  </si>
  <si>
    <t>Жарский Дмитрий Иванович (311 116 000 руб., 100%)</t>
  </si>
  <si>
    <t>236 130 000</t>
  </si>
  <si>
    <t>irina.pustovgarova@vaz.ru, office@izhavto.ru, ofice@izhavto.ru</t>
  </si>
  <si>
    <t>www.izhavto.ru</t>
  </si>
  <si>
    <t>АВТОВАЗ, АО (1 700 015 000 руб., 100%)</t>
  </si>
  <si>
    <t>li_tsecretary@vaz.ru</t>
  </si>
  <si>
    <t>lada-image.ru</t>
  </si>
  <si>
    <t>517 520 000</t>
  </si>
  <si>
    <t>vazto@tlt.volga.ru</t>
  </si>
  <si>
    <t>АВТОВАЗ, АО (293 636 000 руб.)</t>
  </si>
  <si>
    <t>120 860 000</t>
  </si>
  <si>
    <t>echotool.ru, toyama-boat.ru, toyama-marine.ru, toyamaboat.ru, тояма-марин.рф, тоямабот.рф, тоямамарин.рф</t>
  </si>
  <si>
    <t>Иванов Дмитрий Евгеньевич (97 500 руб., 97.50%)
Цурикова Александра Викторовна (2 500 руб., 2.50%)</t>
  </si>
  <si>
    <t>inna.krasova@publicisresources.com</t>
  </si>
  <si>
    <t>www.publicisgroupe.com</t>
  </si>
  <si>
    <t>ЭМЭМЭС КОММЬЮНИКЕЙШНЗ, ООО (9 900 руб., 99%)
РОДНАЯ РЕЧЬ, ООО (100 руб., 1%)</t>
  </si>
  <si>
    <t>hostes@lmhyundai.ru, opapulova@lmgaz.ru</t>
  </si>
  <si>
    <t>241 510 000</t>
  </si>
  <si>
    <t>lsu@lfish.ru</t>
  </si>
  <si>
    <t>lfish.ru</t>
  </si>
  <si>
    <t>Мартынов Андрей Анатольевич (5 000 руб., 50%)
Полукарова Дарья Сергеевна (5 000 руб., 50%)</t>
  </si>
  <si>
    <t>356 150 000</t>
  </si>
  <si>
    <t>info@lakra-sintez.ru</t>
  </si>
  <si>
    <t>www.lakra-sintez.ru</t>
  </si>
  <si>
    <t>Двинский Михаил Борисович (70 000 руб., 100%)</t>
  </si>
  <si>
    <t>110 220 000</t>
  </si>
  <si>
    <t>info@lucksa.ru, job@svretail.ru, moscow.office@sokolov.ru, natalya.dugina@uvelit.ru, sales@sokolov.ru, support@sokolov.ru</t>
  </si>
  <si>
    <t>info@lactalis.ru, nataliya.pozhidaeva@ru.lactalis.com, olga.zavgoronaya@lactalis.ru</t>
  </si>
  <si>
    <t>infolactalis.ru</t>
  </si>
  <si>
    <t>721 750 000</t>
  </si>
  <si>
    <t>nataliya.pozhidaeva@ru.lactalis.com, olga.zavgorodnaya@lactalis.ru</t>
  </si>
  <si>
    <t>АО "Б С А" (516 300 842.34 руб., 70%)
Б.С.А.ИНТЕРНЭШНЛ СА (B.S.A. INTERNATIONAL SA) (221 271 789.57 руб., 30%)</t>
  </si>
  <si>
    <t>66 580 000</t>
  </si>
  <si>
    <t>kira.lantsova@parmalat.ru, mail@parmalat.ru, tatyana.markova@ru.lactalis.com</t>
  </si>
  <si>
    <t>www.parmalat.ru</t>
  </si>
  <si>
    <t>КОМПАНИЯ "ПАРМАЛАТ С.П. А." (210 734 160 руб., 100%)</t>
  </si>
  <si>
    <t>317 290 000</t>
  </si>
  <si>
    <t>dautovra@lactika.ru, info@lactis.ru</t>
  </si>
  <si>
    <t>www.lactis.ru</t>
  </si>
  <si>
    <t>3 370 000</t>
  </si>
  <si>
    <t>info@lal-1520.ru, khalilova.an@gtlk.ru</t>
  </si>
  <si>
    <t>САПФИР-7452, ООО (100 руб., 1%)</t>
  </si>
  <si>
    <t>Аренда и лизинг прочих видов транспорта, оборудования и материальных средств, не включенных в другие группировки</t>
  </si>
  <si>
    <t>Кылосова Наталья Александровна (230 000 руб., 100%)</t>
  </si>
  <si>
    <t>anisimova@landata.ru, info@landata.ru, mister2007@yandex.ru</t>
  </si>
  <si>
    <t>www.landata.ru</t>
  </si>
  <si>
    <t>tender@landis.ru</t>
  </si>
  <si>
    <t>treolan.ru, www.landis.su</t>
  </si>
  <si>
    <t>ЛАНИТ-ХОЛДИНГ, ООО (100 000 руб., 100%)</t>
  </si>
  <si>
    <t>1 165 350 000</t>
  </si>
  <si>
    <t>lanit-trading@mail.ru, office@lanittrading.ru, tender@lanittrading.ru</t>
  </si>
  <si>
    <t>lanittrading.ru</t>
  </si>
  <si>
    <t>ЛАНИТ-ХОЛДИНГ, ООО (1 099 975 руб., 100%)</t>
  </si>
  <si>
    <t>164 620 000</t>
  </si>
  <si>
    <t>ikozlova@lanit.ru, lav@lanit.ru, mihalev@lanit.ru</t>
  </si>
  <si>
    <t>www.lanit.ru</t>
  </si>
  <si>
    <t>12 320 000</t>
  </si>
  <si>
    <t>it@lanit.ru, krymskaya@lanit.ru, nserezhina@lanit.ru, seleznev@lanit.ru, torgilan@lanit.ru, tponomareva@lanit.ru, ymakarova@lanit.ru</t>
  </si>
  <si>
    <t>itlanit.ru, www.lanit.ru</t>
  </si>
  <si>
    <t>Генс Филипп Георгиевич (5 000 000 руб., 100%)</t>
  </si>
  <si>
    <t>ilyina@lanit.ru</t>
  </si>
  <si>
    <t>solut.ru</t>
  </si>
  <si>
    <t>ЛАНИТ-ХОЛДИНГ, ООО (1 000 000 руб., 100%)</t>
  </si>
  <si>
    <t>247 130 000</t>
  </si>
  <si>
    <t>lanmax@lanmax.org, mok.hov@yandex.ru</t>
  </si>
  <si>
    <t>www.lanmax.org</t>
  </si>
  <si>
    <t>ГРУППА СИСТЕМАТИКА, АО (1 980 000 руб., 99%)
ЛАНДАТА, АО НТЦ (20 000 руб., 1%)</t>
  </si>
  <si>
    <t>idudin@lanprint.ru, info@lanprint.ru</t>
  </si>
  <si>
    <t>lanprint.ru</t>
  </si>
  <si>
    <t>Дудин Иван Викторович (100 000 руб., 100%)</t>
  </si>
  <si>
    <t>lazareava@ixora-auto.ru</t>
  </si>
  <si>
    <t>Смирнов Сергей Алексеевич (10 000 руб., 100%)</t>
  </si>
  <si>
    <t>32 210 000</t>
  </si>
  <si>
    <t>26@k.ru, 46@k.ru, 76056523@mail.ru, a.bagryantseva@lancetpharm.ru, a.kilochitskaya@lancetpharm.ru, a.krylova@iancetpharm.ru, a.krylova@lancetharm.ru, a.krylova@lancetpharm.ru, a.leeostaeva@lancetpharm.ru, a.leeostaeva@lancetpharrn.ru</t>
  </si>
  <si>
    <t>www.lancetpharm.ru</t>
  </si>
  <si>
    <t>1 886 900 000</t>
  </si>
  <si>
    <t>gb@larina-k.ru</t>
  </si>
  <si>
    <t>newtek.ru</t>
  </si>
  <si>
    <t>Асрумян Каро Шурикович (11 000 руб., 100%)</t>
  </si>
  <si>
    <t>6 450 000</t>
  </si>
  <si>
    <t>mfedorova@guardian.com</t>
  </si>
  <si>
    <t>www.guardian-russia.ru, www.guardianglass.com</t>
  </si>
  <si>
    <t>ФСК РСТ, ООО (6 194 599 648.5 руб., 100%)</t>
  </si>
  <si>
    <t>Производство стекла и изделий из стекла</t>
  </si>
  <si>
    <t>2 008 830 000</t>
  </si>
  <si>
    <t>akoroleva@guardian.com, gsr_sales@guardian.com, mkolayshev@guardian.com, mkolayshev@guardian.com/www.guardian.com</t>
  </si>
  <si>
    <t>www.guardianglass.com</t>
  </si>
  <si>
    <t>ЛАРТА ГЛАСС СЕРВИСИС, ООО (2 123 872 686.74 руб., 100%)</t>
  </si>
  <si>
    <t>3 488 070 000</t>
  </si>
  <si>
    <t>0274111792_024501001@eo.tensor.ru, office@ru.lasselsberger.com</t>
  </si>
  <si>
    <t>www.lb-ceramics.ru</t>
  </si>
  <si>
    <t>СЕРЭМИКС Холдинг ГмбХ (210 008 900 руб., 99.99%)
КОМПАНИЯ ЛАССЕЛСБЕРГЕР ХОЛДИНГ ГМБХ (1 100 руб., 0.00050%)</t>
  </si>
  <si>
    <t>298 700 000</t>
  </si>
  <si>
    <t>pavel.egorov@lafargeholcim.com, secretary@cementum.ru, secretary@lafargeholcim.com</t>
  </si>
  <si>
    <t>https://cementum.ru/, www.holcim.de</t>
  </si>
  <si>
    <t>Holcim Auslandbeteiligungs GmbH (Deutschland) компания "Хольцим Аусландбетайлигунгс ГмбХ (Дойчланд)" (11 000 000 руб., 100%)</t>
  </si>
  <si>
    <t>mlechnyiput.ru</t>
  </si>
  <si>
    <t>МОРДОВАЛКОПРОМ, ООО (80 000 000 руб., 100%)</t>
  </si>
  <si>
    <t>384 750 000</t>
  </si>
  <si>
    <t>info@topaz.ru</t>
  </si>
  <si>
    <t>100 680 000</t>
  </si>
  <si>
    <t>lg-machinery@ya.ru, sales@gmachiney.ru, sales@lgmachinery.ru</t>
  </si>
  <si>
    <t>lgmachinery.ru</t>
  </si>
  <si>
    <t>Поддубицкий Виктор Николаевич (51 000 руб., 51%)
Поддубицкий Николай Викторович (49 000 руб., 49%)</t>
  </si>
  <si>
    <t>117 950 000</t>
  </si>
  <si>
    <t>www.lg.com, www.lg.ru</t>
  </si>
  <si>
    <t>АКЦИОНЕРНАЯ КОРПОРАЦИЯ "ЛГ ЭЛЕКТРОНИКС ИНК." (3 263 090 573.22 руб., 100%)</t>
  </si>
  <si>
    <t>4 335 390 000</t>
  </si>
  <si>
    <t>lgit@mail.ru, lgjt@mail.ru, lgjtpeo@gmail.com, obr.lgjt@mail.ru</t>
  </si>
  <si>
    <t>lubtrest.ru</t>
  </si>
  <si>
    <t>АДМИНИСТРАЦИЯ ГОРОДСКОГО ОКРУГА ЛЮБЕРЦЫ (100%)</t>
  </si>
  <si>
    <t>alexey.strizhkov@linde.com, anna.gurjanova@linde.com, anton.annenkov@linde.com, anton.annenkov@linru.ru, anton.anntnkov@linde.com, denis.shtanko@linde.com, ilya.kukes@linde.com, ilya.kukes@linru.ru, info@linde.com, info@linru.ru</t>
  </si>
  <si>
    <t>https://www.linru.ru, www.linde-gas.ru, www.linde-group.ru</t>
  </si>
  <si>
    <t>312 800 000</t>
  </si>
  <si>
    <t>kozickayadv@lgss-spb.ru, lgss@lgss-spb.ru, timohinaie@lgss-spb.ru</t>
  </si>
  <si>
    <t>www.lgss-spb.ru</t>
  </si>
  <si>
    <t>brnpet@ldc.ru, gosxak@ldc.ru, goszak@ldc.ru, info@ldc.ru, info@lds.ru, orskbuhg@ldc.ru, permvvb@ldc.ru, secretar@ldc.ru, shevkun@ldc.ru, svr@ldc.ru</t>
  </si>
  <si>
    <t>Столпнер Аркадий Зиновьевич (114 000 руб., 95%)
Екимов Виктор Иванович (6 000 руб., 5%)</t>
  </si>
  <si>
    <t>1 552 320 000</t>
  </si>
  <si>
    <t>dit@lebgok.ru, gok@lebgok.ru, lgok@mail.ru, zaharkina_o_@lebgok.ru</t>
  </si>
  <si>
    <t>www.lebgok.ru, www.metalloinvest.com</t>
  </si>
  <si>
    <t>208 383 810 000</t>
  </si>
  <si>
    <t>buh@lbtd.ru, galiullin@lbtd.ru</t>
  </si>
  <si>
    <t>19 790 000</t>
  </si>
  <si>
    <t>e.laskateleva@dominantsugar.ru, info@oao-lsz.ru, lesahar@lebedyan.lipetsk.ru, lsz@lebedsaharzavod.ru, s.fokin@dominantsugar.ru, secretar.lsz@dominantsugar.ru, zakaz@oao-lsz.ru</t>
  </si>
  <si>
    <t>оао-лсз.рф</t>
  </si>
  <si>
    <t>1 737 420 000</t>
  </si>
  <si>
    <t>jurleb.lm@yandex.ru, lebmoloko@yandex.ru, xnval@yandex.ru</t>
  </si>
  <si>
    <t>lmilk.ru, mama-day.ru, мама-дай.рф</t>
  </si>
  <si>
    <t>Кремнёв Александр Николаевич (10 000 руб., 100%)</t>
  </si>
  <si>
    <t>248 710 000</t>
  </si>
  <si>
    <t>kchudinov@kirmarket.ru</t>
  </si>
  <si>
    <t>www.kirmarket.ru</t>
  </si>
  <si>
    <t>Ковпак Игорь Иванович (497 500 руб., 99.50%)
ЛЕВ, ООО (2 500 руб., 0.50%)</t>
  </si>
  <si>
    <t>Торговля розничная незамороженными продуктами, включая напитки и табачные изделия, в неспециализированных магазинах</t>
  </si>
  <si>
    <t>285 350 000</t>
  </si>
  <si>
    <t>www.levistrauss.com</t>
  </si>
  <si>
    <t>Levi Strauss Nederland B.V. (139 363 363.3 руб., 99.03%)
ООО Леви Штраусс Джермани ГмбХ (Levi Strauss Germa (1 367 306.7 руб., 0.97%)</t>
  </si>
  <si>
    <t>1 176 810 000</t>
  </si>
  <si>
    <t>Михельсон Леонид Викторович (92 673 000 руб., 78.29%)
Симановский Леонид Яковлевич (25 698 196 руб., 21.71%)</t>
  </si>
  <si>
    <t>83 696 330 000</t>
  </si>
  <si>
    <t>info@consul-coton.ru</t>
  </si>
  <si>
    <t>levitek.ru</t>
  </si>
  <si>
    <t>Левиев Шота (10 000 руб., 100%)</t>
  </si>
  <si>
    <t>1 584 690 000</t>
  </si>
  <si>
    <t>наш.дом.рф</t>
  </si>
  <si>
    <t>ЛЕГЕНДА, ООО (2 000 000 руб., 100%)</t>
  </si>
  <si>
    <t>7 270 000</t>
  </si>
  <si>
    <t>Дылюк Андрей Сергеевич (10 000 руб., 100%)</t>
  </si>
  <si>
    <t>36 730 000</t>
  </si>
  <si>
    <t>jl.cao@legendagro.com</t>
  </si>
  <si>
    <t>ЛЕГЕНДАГРО ХОЛДИНГ, АО (339 500 руб., 97%)
Савенков Дмитрий Геннадьевич (10 500 руб., 3%)</t>
  </si>
  <si>
    <t>10 080 000</t>
  </si>
  <si>
    <t>www.lego.com</t>
  </si>
  <si>
    <t>КОМП "ЛЕГО А/С" (31 297 000 руб., 100%)</t>
  </si>
  <si>
    <t>Торговля оптовая играми и игрушками</t>
  </si>
  <si>
    <t>1 454 730 000</t>
  </si>
  <si>
    <t>legpro@mail.saratov.ru, office@legpro.ru</t>
  </si>
  <si>
    <t>legpro.ru</t>
  </si>
  <si>
    <t>287 960 000</t>
  </si>
  <si>
    <t>legrand.ru</t>
  </si>
  <si>
    <t>ПОЛНОЕ ТОВАРИЩЕСТВО "ЛЕГРАН П.T." (3 675 000 руб., 100%)</t>
  </si>
  <si>
    <t>1 531 790 000</t>
  </si>
  <si>
    <t>alexey.karpetchenko@kone.com, denis.daschinskiy@kone.com, ekaterina.vasilyeva@kone.com, ergey.osotov@kone.com, evderenko@yandex.ru, maksim.yarichin@kone.com, natalya.geychik@kone.com, sergey.osotov@kone.com, vyacheslav.shapovalov@kone.com</t>
  </si>
  <si>
    <t>www.kone.com</t>
  </si>
  <si>
    <t>624 590 000</t>
  </si>
  <si>
    <t>i.gurjanova@osram.com, sml.info@ledvance.com, sml.info@osram.com</t>
  </si>
  <si>
    <t>LEDVANCE GmbH (99.23%)</t>
  </si>
  <si>
    <t>Производство электрических ламп и осветительного оборудования</t>
  </si>
  <si>
    <t>290 060 000</t>
  </si>
  <si>
    <t>ekopt@lekopt.ru, iekopt@iekopt.ru, iekopt@lekopt.ru, lekopt@lekop.ru, lekopt@lekopt.ri, lekopt@mail.ru, lekort@lekort.ru, lkekopt@lekopt.ru, smirnova.a@lekopt.ru, tender21@lekopt.ru</t>
  </si>
  <si>
    <t>lekopt.ru</t>
  </si>
  <si>
    <t>Кузнецов Филипп Станиславович (11 000 руб., 33.33%)
Назаров Максим Эдуардович (11 000 руб., 33.33%)
Шишкин Евгений Геннадьевич (11 000 руб., 33.33%)</t>
  </si>
  <si>
    <t>61 410 000</t>
  </si>
  <si>
    <t>ooolekspro@yandex.ru, oooleksspo@yandex.ru, oooleksspro@yandex.ru</t>
  </si>
  <si>
    <t>Лаптев Никита Александрович (10 000 руб., 100%)</t>
  </si>
  <si>
    <t>room-park.ru, www.lexion-development.ru</t>
  </si>
  <si>
    <t>Лавленцев Александр Сергеевич (808 000 000 руб., 99.88%)
Бакиев Арсен Эдуардович (1 000 000 руб., 0.12%)</t>
  </si>
  <si>
    <t>2 202 490 000</t>
  </si>
  <si>
    <t>daria.gridchina@lemax.ru, info-radiator@lemax.ru, info@lemax-kotel.ru, lemax@lemax.ru, online@lemax-kotel.ru, semen106@bk.ru</t>
  </si>
  <si>
    <t>lemax.ru, лемакс.рф</t>
  </si>
  <si>
    <t>ЛЕМАКС, АО ТПО (2 516 800 руб., 100%)</t>
  </si>
  <si>
    <t>Производство котлов центрального отопления</t>
  </si>
  <si>
    <t>857 370 000</t>
  </si>
  <si>
    <t>info@lemken.ru</t>
  </si>
  <si>
    <t>www.lemken.com, www.lemken.ru</t>
  </si>
  <si>
    <t>ООО ЛЕМКЕН Лендтехник (674 509 500 руб., 95%)
КОМПАНИЯ "ЛЕМКЕН ГМБХ КО КГ" (35 500 500 руб., 5%)</t>
  </si>
  <si>
    <t>500 410 000</t>
  </si>
  <si>
    <t>lgnch@lgnch.spb.ru</t>
  </si>
  <si>
    <t>www.lgnch.spb.ru</t>
  </si>
  <si>
    <t>СУРГУТНЕФТЕГАЗ, ПАО (357 000 руб., 100%)</t>
  </si>
  <si>
    <t>522 020 000</t>
  </si>
  <si>
    <t>1520@lgt.ru, a56@lgt.ru, ann@lgt.ru, poryadina@lgt.ru, sekr@lgt.ru, vab@lgt.ru</t>
  </si>
  <si>
    <t>lgt.ru</t>
  </si>
  <si>
    <t>6 045 230 000</t>
  </si>
  <si>
    <t>lrs@tagras.ru</t>
  </si>
  <si>
    <t>ТАГРАС-РС, ООО (100 000 руб., 100%)</t>
  </si>
  <si>
    <t>246 410 000</t>
  </si>
  <si>
    <t>Сыроватко Виктор Джониевич (10 000 руб., 100%)</t>
  </si>
  <si>
    <t>656 670 000</t>
  </si>
  <si>
    <t>info@lenmontag.ru, to@lenmontag.ru</t>
  </si>
  <si>
    <t>Голубов Андрей Маркович (3 400 000 руб., 34%)
Голубов Дмитрий Маркович (3 300 000 руб., 33%)
Золотухин Павел Григорьевич (3 300 000 руб., 33%)</t>
  </si>
  <si>
    <t>93 470 000</t>
  </si>
  <si>
    <t>komfort@lenspecsmu.ru, marina.kidyashova@etalongroup.com</t>
  </si>
  <si>
    <t>lenspecsmu-komfort.ru</t>
  </si>
  <si>
    <t>ЭТАЛОНСТРОЙ, ООО (16 500 000 руб., 100%)</t>
  </si>
  <si>
    <t>lenrek@mail.ru</t>
  </si>
  <si>
    <t>64 050 000</t>
  </si>
  <si>
    <t>lin_audit@mail.ru, lts78@mail.ru, office@ltstroy.ru</t>
  </si>
  <si>
    <t>Вебер Анатолий Анатольевич (10 000 руб., 100%)</t>
  </si>
  <si>
    <t>538 980 000</t>
  </si>
  <si>
    <t>os@thstrom.ru</t>
  </si>
  <si>
    <t>ltsr.ru</t>
  </si>
  <si>
    <t>243 870 000</t>
  </si>
  <si>
    <t>КОНТОРА, ООО (200 000 000 руб., 100%)</t>
  </si>
  <si>
    <t>377 120 000</t>
  </si>
  <si>
    <t>boda@lepse.kirov.ru, bva@lepse.kirov.ru, ivc@lepse.kirov.ru, koson@lepse.kirov.ru, lepse@depoz.kirov.ru, lepse@lepse.kirov.ru</t>
  </si>
  <si>
    <t>www.lepse.com/</t>
  </si>
  <si>
    <t>046015602@mail.ru, 575@ef.ru, danilevskauy@mail.ru, jkygurfyu@mail.ru, klghdn@mail.ru, les@bk.ru, lesan@hkfdsa.ru, lesan@mail.com, lesan@mail.ru, lesan@safdaf.ru</t>
  </si>
  <si>
    <t>lesanfarma.ru</t>
  </si>
  <si>
    <t>АСТИ ПЛЮС, ООО (900 000 руб., 90%)
Баталова Людмила Степановна (100 000 руб., 10%)</t>
  </si>
  <si>
    <t>28 130 000</t>
  </si>
  <si>
    <t>general@leszav25.atnet.ru, opt@gostlp.ru</t>
  </si>
  <si>
    <t>sawmill25.ru</t>
  </si>
  <si>
    <t>ТИТАН, ООО ПКП (334 560 000 руб.)</t>
  </si>
  <si>
    <t>1 271 420 000</t>
  </si>
  <si>
    <t>ldk1@inbox.ru</t>
  </si>
  <si>
    <t>СЕГЕЖА ГРУПП, ПАО (10 289 370 руб.)</t>
  </si>
  <si>
    <t>424 040 000</t>
  </si>
  <si>
    <t>parilova@lesresurs.com, post@lesresurs.com</t>
  </si>
  <si>
    <t>lesresurs.com</t>
  </si>
  <si>
    <t>Данилина Анна Андреевна (9 999 960 руб., 50%)
Богданов Антон Викторович (5 000 020 руб., 25%)
Корбашов Илья Юрьевич (5 000 020 руб., 25%)</t>
  </si>
  <si>
    <t>1 488 460 000</t>
  </si>
  <si>
    <t>Кундюков Тимофей Владимирович (20 000 руб., 100%)</t>
  </si>
  <si>
    <t>77 790 000</t>
  </si>
  <si>
    <t>info@lztk.ru</t>
  </si>
  <si>
    <t>СОЗВЕЗДИЕ, ООО (13 423 руб., 100%)</t>
  </si>
  <si>
    <t>inara.mukhitdinova@linde.com</t>
  </si>
  <si>
    <t>www.the-linde-group.com</t>
  </si>
  <si>
    <t>Linde GmbH (4 000 000 руб., 100%)</t>
  </si>
  <si>
    <t>info@liboil.ru, liboil2014@mail.ru, liboil_lipetsk@mail.ru</t>
  </si>
  <si>
    <t>liboil.ru</t>
  </si>
  <si>
    <t>ЭФКО ПРОДУКТЫ ПИТАНИЯ, АО (168 336 428.57 руб., 51%)
Бобин Николай Николаевич (161 735 000 руб., 49%)</t>
  </si>
  <si>
    <t>411 560 000</t>
  </si>
  <si>
    <t>offece.lru@liebherr.com, olga.belousova@liebherr.com</t>
  </si>
  <si>
    <t>www.liebherr.com</t>
  </si>
  <si>
    <t>АКЦИОНЕРНОЕ ОБЩЕСТВО "ЛИБХЕРР-ИНТЕРНАЦИОНАЛЬ АГ" (676 080 662.1 руб., 100%)</t>
  </si>
  <si>
    <t>4 260 680 000</t>
  </si>
  <si>
    <t>ooolsz@liv.orel.ru, ooolsz@mail.ru</t>
  </si>
  <si>
    <t>УК АГРО ГРУПП ОРЕЛ, ООО (30 254 400 руб., 99%)
Бутов Сергей Иванович (305 600 руб., 1%)</t>
  </si>
  <si>
    <t>71 840 000</t>
  </si>
  <si>
    <t>buh@ligamachinery.com, liga@ligamac.com, ligadealers@gmail.com, pdv@ligamac.com, pdv@ligamachinery.com</t>
  </si>
  <si>
    <t>kdtmachinery.ru, ligamac.com</t>
  </si>
  <si>
    <t>Кривошеев Виталий Владимирович (2 000 000 руб., 66.67%)
Максимов Дмитрий Александрович (1 000 000 руб., 33.33%)</t>
  </si>
  <si>
    <t>214 630 000</t>
  </si>
  <si>
    <t>lyzhnenko@renner.ru, office@renner.ru</t>
  </si>
  <si>
    <t>Гутенев Александр Борисович (454 500 руб., 45%)
Логачев Александр Владимирович (454 500 руб., 45%)
Егоров Денис Васильевич (101 000 руб., 10%)</t>
  </si>
  <si>
    <t>220 420 000</t>
  </si>
  <si>
    <t>info@lidgroup.ru</t>
  </si>
  <si>
    <t>Соколова Татьяна Алексеевна (10 000 руб., 100%)</t>
  </si>
  <si>
    <t>info@leader-llc.com</t>
  </si>
  <si>
    <t>leader-llc.com</t>
  </si>
  <si>
    <t>Спрысков Сергей Владимирович (100 000 руб., 100%)</t>
  </si>
  <si>
    <t>25 950 000</t>
  </si>
  <si>
    <t>АМЕТИСТ ГРУПП, ООО (10 000 руб., 100%)</t>
  </si>
  <si>
    <t>37 020 000</t>
  </si>
  <si>
    <t>trofimova@ml-m.ru</t>
  </si>
  <si>
    <t>ml-m.ru</t>
  </si>
  <si>
    <t>Салимшин Рустам Рифович (510 000 руб., 100%)</t>
  </si>
  <si>
    <t>1 660 180 000</t>
  </si>
  <si>
    <t>potapenko.artem@siz37.ru</t>
  </si>
  <si>
    <t>Потапенко Артём Викторович (10 000 руб., 100%)</t>
  </si>
  <si>
    <t>Производство трикотажных или вязаных перчаток, рукавиц (варежек) и митенок</t>
  </si>
  <si>
    <t>13 280 000</t>
  </si>
  <si>
    <t>ГК СБСВ-КЛЮЧАВТО, ООО (10 000 руб., 100%)</t>
  </si>
  <si>
    <t>266 820 000</t>
  </si>
  <si>
    <t>info@leaseplan.com</t>
  </si>
  <si>
    <t>https://www.leaseplan.com/ru-ru/, www.leaseplan.com</t>
  </si>
  <si>
    <t>Публичная КОО "ЛизПлан Корпорэйшн Н.В." (2 304 295 700 руб., 99.99%)
ЧКОО "ААЛХ Партисипатис Б.В." (4 300 руб., 0.00020%)</t>
  </si>
  <si>
    <t>493 120 000</t>
  </si>
  <si>
    <t>1timofeeva@licard.com, 485682@mail.ru, 5496744@mail.ru, 9271677@mail.ru, a.a.lomakina@minpr.rkomi.ru, aafanasiev@licard.com, aafanasiev@licard.ru, aafanasiev@likard.com, aafanasyev@licard.com, aappolonova@licard.com</t>
  </si>
  <si>
    <t>www.licard.ru</t>
  </si>
  <si>
    <t>ЛУКОЙЛ, ПАО (696 730 000 руб., 99.96%)
К.Н. ХОЛДИНГ, ООО (270 000 руб., 0.038%)</t>
  </si>
  <si>
    <t>2 114 020 000</t>
  </si>
  <si>
    <t>homich_k@atech.ru, mgp@atech.ru, ngp@atesh.ru, nvate@atech.ru</t>
  </si>
  <si>
    <t>http://www.atech.ru</t>
  </si>
  <si>
    <t>КОНЦЕРН РОСЭНЕРГОАТОМ, АО (729 604 800 руб.)</t>
  </si>
  <si>
    <t>750 940 000</t>
  </si>
  <si>
    <t>ОКИЛ-ХОЛДИНГ, АО (50 000 руб., 98.04%)
SATO HOLDINGS CORPORATION (1 000 руб., 1.96%)</t>
  </si>
  <si>
    <t>280 550 000</t>
  </si>
  <si>
    <t>ochenprosto.ru</t>
  </si>
  <si>
    <t>ЗАО ООО "ЭЛИ ЛИЛЛИ НИДЕРЛАНДЫ Б.В" (539 918 280 руб., 99%)
АКЦИОНЕРНОЕ ОБЩЕСТВО "ЭЛИ ЛИЛЛИ С.А." (5 453 720 руб., 1%)</t>
  </si>
  <si>
    <t>347 450 000</t>
  </si>
  <si>
    <t>emreozat@gmail.com, inforussia@limak.com.tr</t>
  </si>
  <si>
    <t>www.limak.com.tr</t>
  </si>
  <si>
    <t>Баджаксыз Турхан Сердар (1 530 000 руб., 51%)
АО "Лимак Иншаат Санайи ве тиджарет анонимШиркети" (1 470 000 руб., 49%)</t>
  </si>
  <si>
    <t>28 180 000</t>
  </si>
  <si>
    <t>Федотов Денис Маркович (10 000 руб., 100%)</t>
  </si>
  <si>
    <t>215 600 000</t>
  </si>
  <si>
    <t>info@limpack.ru</t>
  </si>
  <si>
    <t>limpack.ru</t>
  </si>
  <si>
    <t>Вишнякова Ирина Валентиновна (418 489 000 руб., 100%)</t>
  </si>
  <si>
    <t>Лиман Сергей Алексеевич (37 107 000 руб., 46.20%)
СОРСИНГ, ООО (22 500 000 руб., 30%)
Лиман Иван Сергеевич (7 350 000 руб., 9.80%)
Мартовицкий Андрей Владимирович (5 250 000 руб., 7%)
Лиман Екатерина Сергеевна (2 793 000 руб., 7%)</t>
  </si>
  <si>
    <t>534 590 000</t>
  </si>
  <si>
    <t>bondar@limak.ru, dspetushok_48@mail.ru, gsv@limak.ru, gsv@link.ru, gsv@mail.ru, gvs@limak.ru, holodnaya@el.limak.ru, id@limak.ru, info@hlebzavod.ru, irina@limak.ru</t>
  </si>
  <si>
    <t>limak.ru</t>
  </si>
  <si>
    <t>Производство хлеба и хлебобулочных изделий недлительного хранения</t>
  </si>
  <si>
    <t>lindebazar.ru</t>
  </si>
  <si>
    <t>ЛИНДЕ МАТЕРИАЛ ХЭНДЛИНГ ГМБХ (1 080 000 руб., 85%)
Айзенверк Вейльбах ГмбХ (190 588.24 руб., 15%)</t>
  </si>
  <si>
    <t>227 060 000</t>
  </si>
  <si>
    <t>alexey.gilev@lindstromgroup.com, anna.mambetova@lindstrom.ru, elena.kniazeva@lindstromgroup.com, info.russia@lindstromgroup.com, julia.boriskina@lindstromgroup.com, nstotyka@rambler.ru, oleg.sidorov@lindstromgroup.com, olesya.mikina@lindaily.com, olga.tretyakova@lindstrom.ru, olga.tretyakova@lindstromgroup.com</t>
  </si>
  <si>
    <t>https://lindaily.com/, www.lindstrom.ru, www.lindstromgroup.com</t>
  </si>
  <si>
    <t>МТР, ООО (14 255 976 руб., 100%)</t>
  </si>
  <si>
    <t>Стирка и химическая чистка текстильных и меховых изделий</t>
  </si>
  <si>
    <t>124 520 000</t>
  </si>
  <si>
    <t>info@linza.moscow</t>
  </si>
  <si>
    <t>www.linza.moscow</t>
  </si>
  <si>
    <t>Селезнев Игорь Анатольевич (10 000 руб., 100%)</t>
  </si>
  <si>
    <t>274 910 000</t>
  </si>
  <si>
    <t>info@lensmaster.ru</t>
  </si>
  <si>
    <t>www.lensmaster.ru</t>
  </si>
  <si>
    <t>GrandVision Retail Holding B.V. (104 394 133.8 руб., 99%)
GrandVision Group Holding B.V. (1 054 486.2 руб., 1%)</t>
  </si>
  <si>
    <t>Торговля розничная изделиями, применяемыми в медицинских целях, ортопедическими изделиями в специализированных магазинах</t>
  </si>
  <si>
    <t>ershov@line7.ru, line77@line7.ru, line7@line7.ru, vasilii.b@line7.ru</t>
  </si>
  <si>
    <t>line7.ru</t>
  </si>
  <si>
    <t>ИНВЕСТ ПАРТНЕР, ООО (2 500 000 руб., 50%)
Уточкин Андрей Евгеньевич (2 500 000 руб., 50%)</t>
  </si>
  <si>
    <t>19 590 000</t>
  </si>
  <si>
    <t>Гусев Юрий Владимирович (10 000 руб., 100%)</t>
  </si>
  <si>
    <t>48 990 000</t>
  </si>
  <si>
    <t>lion_perm@mail.ru, sekretar@lion-t.ru</t>
  </si>
  <si>
    <t>lion-t.ru</t>
  </si>
  <si>
    <t>Трубина Наталья Александровна (10 000 000 руб., 100%)</t>
  </si>
  <si>
    <t>lion-perm.ru, rabotavlion.ru</t>
  </si>
  <si>
    <t>Трубин Сергей Владимирович (250 000 руб., 100%)</t>
  </si>
  <si>
    <t>disclosing@newreg.ru</t>
  </si>
  <si>
    <t>ecretarzmz@liskifitting.ru, secretartd@liskifitting.ru, zmz@vmail.ru</t>
  </si>
  <si>
    <t>kravchenko@liskisugar.ru, office@liskisugar.ru, referent.office@manliski.vsi.ru</t>
  </si>
  <si>
    <t>liskisugar.ru</t>
  </si>
  <si>
    <t>868 150 000</t>
  </si>
  <si>
    <t>info@lysterra.ru</t>
  </si>
  <si>
    <t>Зарев Владимир Васильевич (5 009 999 руб., 100%)
Зарев Светлана Андреевна (1 руб.)</t>
  </si>
  <si>
    <t>360 540 000</t>
  </si>
  <si>
    <t>lit@lit-uv.ru, lit@npo.lit.ru</t>
  </si>
  <si>
    <t>lit-uv.ru, www.lit-uv.com</t>
  </si>
  <si>
    <t>Гуз Сергей Анатольевич (250 000 руб., 25%)
Дойников Владимир Александрович (250 000 руб., 25%)
Костюченко Сергей Владимирович (250 000 руб., 25%)
Кудрявцева Ольга Николаевна (250 000 руб., 25%)</t>
  </si>
  <si>
    <t>152 990 000</t>
  </si>
  <si>
    <t>kuandykovadi@gk-gw.ru, pivunchikovavm@askonalife.com</t>
  </si>
  <si>
    <t>Ершов Роман Владимирович (7 510 руб., 37.55%)
Кириллов Евгений Александрович (7 510 руб., 37.55%)
Седов Владимир Михайлович (4 980 руб., 24.90%)</t>
  </si>
  <si>
    <t>7824790@mail.ru, anastasia31020@gmail.com, bazhinova@litres.ru, books@admin.isu.ru, buhdocs@litres.ru, bulgakova@litres.ru, burnasheva@litres.ru, chernyh@litres.ru, editor@litres.ru, es@litres.ru</t>
  </si>
  <si>
    <t>www.litres.ru</t>
  </si>
  <si>
    <t>Компания с ограниченной ответственностью "ОМИКО ТР (3 336 197.63 руб., 99.99%)
Новиков Олег Евгеньевич (333.65 руб., 0.010%)</t>
  </si>
  <si>
    <t>499 980 000</t>
  </si>
  <si>
    <t>evd13@europlan.ru, investors@europlan.ru, pr@europlan.ru</t>
  </si>
  <si>
    <t>europlan.ru</t>
  </si>
  <si>
    <t>ЭСЭФАЙ, ПАО (100%)</t>
  </si>
  <si>
    <t>buy@evoleasing.ru, client@evoleasing.ru, info@evoleasing.ru</t>
  </si>
  <si>
    <t>Полунин Михаил Валериевич (300 000 000 руб., 100%)</t>
  </si>
  <si>
    <t>52 760 000</t>
  </si>
  <si>
    <t>ГАЗПРОМБАНК ЛИЗИНГ, АО (50 000 руб., 100%)</t>
  </si>
  <si>
    <t>11 400 000</t>
  </si>
  <si>
    <t>arubasheva@lkz.bacon.ru, bkryshtopik@bacon.ru, da63277@gmail.com, lpolovodova@lkz.prodo.ru, secretar@lkz.ru</t>
  </si>
  <si>
    <t>71 910 000</t>
  </si>
  <si>
    <t>info@lkm.technology</t>
  </si>
  <si>
    <t>Дмитриева Ирина Анатольевна (5 100 руб., 51%)
Мельников Алексей Сергеевич (4 900 руб., 49%)</t>
  </si>
  <si>
    <t>Шаламов Евгений Алексеевич (10 000 руб., 100%)</t>
  </si>
  <si>
    <t>3 990 000</t>
  </si>
  <si>
    <t>amavrina@lkhp.ru, info@lkhp.ru, ivanova_a@lkhp.ru, obulatova@lkhp.ru, stenina@lkhp.ru, vpodlesnov@lkhp.ru</t>
  </si>
  <si>
    <t>www.mill.ru</t>
  </si>
  <si>
    <t>130 130 000</t>
  </si>
  <si>
    <t>info.ufa@limakufa.com</t>
  </si>
  <si>
    <t>АО "Лимак Иншаат Санайи ве тиджарет анонимШиркети" (122 500 руб., 49%)
Баджаксыз Турхан Сердар (77 500 руб., 31%)
Караджа Селчук (22 500 руб., 9%)
Эртем Эртан Оккеш (22 500 руб., 9%)
Гюлсерен Синан Аталай (5 000 руб., 2%)</t>
  </si>
  <si>
    <t>grossbuh@l-co.ru, info@l-co.ru</t>
  </si>
  <si>
    <t>l-co.ru</t>
  </si>
  <si>
    <t>Львовский Марк Леонидович (10 000 руб., 100%)</t>
  </si>
  <si>
    <t>261 100 000</t>
  </si>
  <si>
    <t>info@limakmarash.com, r.mahmudov@limakmarash.com</t>
  </si>
  <si>
    <t>limakmarash.com</t>
  </si>
  <si>
    <t>Баджаксыз Турхан Сердар (125 000 руб., 50%)
Караджа Селчук (50 000 руб., 20%)
Эртем Эртан Оккеш (50 000 руб., 20%)
Гюлсерен Синан Аталай (25 000 руб., 10%)</t>
  </si>
  <si>
    <t>13 320 000</t>
  </si>
  <si>
    <t>info@lynxauto.ru</t>
  </si>
  <si>
    <t>РОССКО-К, ООО (155 000 руб., 100%)</t>
  </si>
  <si>
    <t>78 100 000</t>
  </si>
  <si>
    <t>lc@logistic-centre.ru, olga-tlc@yandex.ru</t>
  </si>
  <si>
    <t>https://www.logistic-centre.ru/ru/</t>
  </si>
  <si>
    <t>Родов Дмитрий Захарович (17 500 000 руб., 100%)</t>
  </si>
  <si>
    <t>4 651 100 000</t>
  </si>
  <si>
    <t>ТАНДЕР, АО (9 990 000 руб., 99.90%)
АЛКОТРЕЙДИНГ, ООО (10 000 руб., 0.10%)</t>
  </si>
  <si>
    <t>158 070 000</t>
  </si>
  <si>
    <t>Свириденко Валерьян Анатольевич (250 000 руб., 50%)
Тихомиров Михаил Сергеевич (250 000 руб., 50%)</t>
  </si>
  <si>
    <t>atyrkov303@gmail.com, finance@certapro.ru</t>
  </si>
  <si>
    <t>ntb-partner.ru, www.certapro.ru</t>
  </si>
  <si>
    <t>Мяукин Андрей Викторович (400 000 руб., 40%)
Шевелёв Николай Владимирович (400 000 руб., 40%)
Токарчук Евгений Олегович (200 000 руб., 20%)</t>
  </si>
  <si>
    <t>30 730 000</t>
  </si>
  <si>
    <t>e.fadeeva@lpark.su, logo@info.ru</t>
  </si>
  <si>
    <t>lpark.su</t>
  </si>
  <si>
    <t>КОМБИНИРОВАННЫЙ ЗАКРЫТЫЙ ПАЕВОЙ ИНВЕСТИЦИОННЫЙ ФОНД "АТ НЕДВИЖИМОСТЬ" (2 250 100 000 руб., 100%)</t>
  </si>
  <si>
    <t>l.mamonova@logoper.ru</t>
  </si>
  <si>
    <t>logoper.ru</t>
  </si>
  <si>
    <t>КЛК ХОЛДИНГ, ООО (1 000 000 руб., 100%)</t>
  </si>
  <si>
    <t>854 130 000</t>
  </si>
  <si>
    <t>info@cds.spb.ru, varfolomeevva@cds.spb.ru</t>
  </si>
  <si>
    <t>gor-p.ru</t>
  </si>
  <si>
    <t>ГРУППА ЦДС, АО (800 000 000 руб., 100%)</t>
  </si>
  <si>
    <t>1 743 650 000</t>
  </si>
  <si>
    <t>ЗАО с ОО "ДЕВАНЛЕЙ ЭРЭН ХОЛДИНГ Б.В." (247 040 000 руб., 100%)</t>
  </si>
  <si>
    <t>517 080 000</t>
  </si>
  <si>
    <t>Панин Олег Владимирович (375 500 руб., 75.10%)
ЛТ-ГРУПП, АО (124 500 руб., 24.90%)</t>
  </si>
  <si>
    <t>2 829 330 000</t>
  </si>
  <si>
    <t>lomenergy.ru</t>
  </si>
  <si>
    <t>Кузнецова Лариса Сергеевна (10 000 руб., 100%)</t>
  </si>
  <si>
    <t>a.syrov@lonmadi.ru, kristi@lonmadi.ru, m.mikhailov@lonmadi.ru, spb@lonmadi.ru, support-shop@lonmadi.ru, torgi@lonmadi.ru</t>
  </si>
  <si>
    <t>www.lonmadi.ru</t>
  </si>
  <si>
    <t>1 904 190 000</t>
  </si>
  <si>
    <t>info@lbsnacks.ru, sadrievaar@schneider-group.com</t>
  </si>
  <si>
    <t>www.lorenz-snackworld.ru</t>
  </si>
  <si>
    <t>Лоренц Бальзен Снэк-Уорлд Холдинг ГмбХ (82 996 543.26 руб., 100%)</t>
  </si>
  <si>
    <t>direct@lorp.ru, lorppress@lorp.ru, marine@lorp.ru, markova@lorp.ru, sabirova@lorp.ru, vinokurova_gn@lorp.ru, zakupki@lorp.ru</t>
  </si>
  <si>
    <t>lorp.ru</t>
  </si>
  <si>
    <t>МИНИСТЕРСТВО ИМУЩЕСТВЕННЫХ И ЗЕМЕЛЬНЫХ ОТНОШЕНИЙ РЕСПУБЛИКИ САХА (ЯКУТИЯ) (51%)
Ларионов Сергей Александрович (18.87%)
Емельянов Сергей Витальевич (0.020%)</t>
  </si>
  <si>
    <t>info@lorry.com, lorry@mail.ur.ru, natalia.grinevich@lorry.com, oksana.teltsova@lorry.com, tatyana.oreshkina@lorry.com</t>
  </si>
  <si>
    <t>lorryekb.narod.ru, www.lorry.com</t>
  </si>
  <si>
    <t>a.shorokh@gmail.com, info@ooolotan.ru</t>
  </si>
  <si>
    <t>ooolotan.ru</t>
  </si>
  <si>
    <t>СТРОЙАКТИВ, ООО (250 000 руб., 100%)</t>
  </si>
  <si>
    <t>330 920 000</t>
  </si>
  <si>
    <t>lawyer@lotte.net, lotte@mail.ru</t>
  </si>
  <si>
    <t>ЛОТТЕ ВЕЛЛФУД КО. ЛТД. (6 851 980 400 руб., 100%)</t>
  </si>
  <si>
    <t>akorol@lotterus.ru, akorol@lottrrus.ru, antonkorol@lotte.ru, info@lotterus.ru, reservations@lottehotel.ru</t>
  </si>
  <si>
    <t>http://www.lottehotel.com/moscow/ru/</t>
  </si>
  <si>
    <t>376 970 000</t>
  </si>
  <si>
    <t>budanova.es@loesk.ru, info@loesk.ru, kingnen@loesk.ru, kingnet@loesk.ru, kirovsknet@loesk.ru, loesk@yandex.ru, vbg@loesk.ru, www@loesk.ru</t>
  </si>
  <si>
    <t>334 030 000</t>
  </si>
  <si>
    <t>СИАЛ, ООО (10 000 000 руб., 100%)</t>
  </si>
  <si>
    <t>324 170 000</t>
  </si>
  <si>
    <t>kfe@vologda.ru</t>
  </si>
  <si>
    <t>kfe.vologda.ru</t>
  </si>
  <si>
    <t>СЕГЕЖА ГРУПП, ПАО (46 516 074 руб., 100%)</t>
  </si>
  <si>
    <t>info@lenrusstroy.ru, lawyer@lenrusstroy.com, op@lenrusstroy.com, to@lenrusstroy.com</t>
  </si>
  <si>
    <t>www.lenrusstroy.com, www.lenrusstroy.ru</t>
  </si>
  <si>
    <t>Кваснюк Леонид Яковлевич (10 000 руб., 100%)</t>
  </si>
  <si>
    <t>aleksandrova@lskgranit.ru, auction@lskgranit.ru, lsk@lskgranit.ru, lsm-rut@lskgranit.ru, lsm-rut@yandex.ru</t>
  </si>
  <si>
    <t>lsk-granit.ru</t>
  </si>
  <si>
    <t>38 950 000</t>
  </si>
  <si>
    <t>e.giveteva@lsr-nv.ru, info@lsr-nv.ru, lsr2004@mail.ru</t>
  </si>
  <si>
    <t>lsr-nv.ru</t>
  </si>
  <si>
    <t>Низамутдинов Альзам Ангамович (10 000 руб., 100%)</t>
  </si>
  <si>
    <t>demidova.vg@lsrgroup.ru, rudkovskaya.ni@lsrgroup.ru</t>
  </si>
  <si>
    <t>Добыча камня, песка и глины</t>
  </si>
  <si>
    <t>89 050 000</t>
  </si>
  <si>
    <t>ganeeva.mr@lsrgroup.ru</t>
  </si>
  <si>
    <t>ГРУППА ЛСР, ПАО (594 810 000 руб., 100%)</t>
  </si>
  <si>
    <t>90 870 000</t>
  </si>
  <si>
    <t>aristova.nr@lsrgroup.ru, lsr@yandex.ru, mail@lsrgroup.ru, piksina.aa@lsrgroup.ru</t>
  </si>
  <si>
    <t>www.gdsk.ru</t>
  </si>
  <si>
    <t>ГРУППА ЛСР, ПАО (6 770 453 945 руб., 99.99%)
ЛСР, ООО (66 055 руб., 0.0010%)
СКВ СПБ, АО (31 399.36 руб., 0.00050%)</t>
  </si>
  <si>
    <t>10 591 030 000</t>
  </si>
  <si>
    <t>nifaeva.ya@lsrgroup.ru</t>
  </si>
  <si>
    <t>ГРУППА ЛСР, ПАО (3 900 822 294.76 руб., 99.99%)
ЛСР, ООО (390 121.24 руб., 0.010%)</t>
  </si>
  <si>
    <t>Производство кирпича, черепицы и прочих строительных изделий из обожженной глины</t>
  </si>
  <si>
    <t>486 160 000</t>
  </si>
  <si>
    <t>kovalenko.av@lsrgroup.ru, lelikova.av@lsrgroup.ru</t>
  </si>
  <si>
    <t>www.dskblock.ru, www.lsrconstruction-nw.ru</t>
  </si>
  <si>
    <t>ГРУППА ЛСР, ПАО (510 200 000 руб., 100%)</t>
  </si>
  <si>
    <t>betfor.p@lsgroup.ru, betfor.p@lsrgroup.ru, buzheninov.el@lsrgroup.ru, stafeev@betfor.ru, tupitsina.tv@lsrgroup.ru, tupitsina.ty@lsrgroup.ru</t>
  </si>
  <si>
    <t>ГРУППА ЛСР, ПАО (273 027 954.47 руб., 99.99%)
ЛСР, ООО (27 305.53 руб., 0.010%)</t>
  </si>
  <si>
    <t>60 230 000</t>
  </si>
  <si>
    <t>aoreshko@yandex.ru, lst_stroika@78stroy.ru, st_stroika@78stroy.ru</t>
  </si>
  <si>
    <t>ЛЕНСТРОЙТРЕСТ, АО (100 000 руб., 100%)</t>
  </si>
  <si>
    <t>info@ltb-company.ru</t>
  </si>
  <si>
    <t>ltb-company.ru</t>
  </si>
  <si>
    <t>Деркачевская Ольга Леонидовна (15 000 000 руб., 75%)
Ланг Илья Федорович (2 000 000 руб., 10%)
Теслин Антон Андреевич (2 000 000 руб., 10%)
Вуккерт Артем Александрович (1 000 000 руб., 5%)</t>
  </si>
  <si>
    <t>reception@freefalcon.ru, reception@svsokol.ru</t>
  </si>
  <si>
    <t>https://ltk.svsokol.ru/ru, svsokol.ru</t>
  </si>
  <si>
    <t>Андреев Виктор Михайлович (36 000 руб., 60%)
Ефремов Игорь Викторович (23 400 руб., 39%)
Ефремова Надежда Александровна (600 руб., 1%)</t>
  </si>
  <si>
    <t>Литье чугуна</t>
  </si>
  <si>
    <t>anna@cds.spb.ru</t>
  </si>
  <si>
    <t>ГРУППА ЦДС, АО (10 000 руб., 100%)</t>
  </si>
  <si>
    <t>319 020 000</t>
  </si>
  <si>
    <t>info@luding.ru, l.rudakova@luding.ru, pravo@luding.ru, veronika.korableva@luding.ru</t>
  </si>
  <si>
    <t>www.luding.ru</t>
  </si>
  <si>
    <t>Варжапетян Артур Размикович (5 004 200 руб., 50%)
Шахазизян Армен Грачикович (5 004 200 руб., 50%)</t>
  </si>
  <si>
    <t>pravo@luding.ru</t>
  </si>
  <si>
    <t>ЛУДИНГ, ООО (6 800 000 руб., 68%)
Варжапетян Артур Размикович (1 600 000 руб., 16%)
Шахазизян Армен Грачикович (1 600 000 руб., 16%)</t>
  </si>
  <si>
    <t>65 920 000</t>
  </si>
  <si>
    <t>Kamensk.ddt@yandex.ru, a.vekilova@luzhniki.ru, adminluzh@luzhniki.ru, e.politychenko@luzhniki.ru, info@luzhniki.ru, n.novikova@luzhniki.ru, o.larina@luzhniki.ru, o.v.kasyanova@luzhniki.ru, pavlova@luzhniki.ru, v.atrushkevich@luzhniki.ru</t>
  </si>
  <si>
    <t>www.luzhniki.ru</t>
  </si>
  <si>
    <t>Деятельность физкультурно-оздоровительная</t>
  </si>
  <si>
    <t>info@luzales.ru, luzales@mail.ru, zv_val@mail.ru</t>
  </si>
  <si>
    <t>Семенюк Мария Николаевна (11 410 000 руб., 100%)</t>
  </si>
  <si>
    <t>1 489 240 000</t>
  </si>
  <si>
    <t>http://www.louisvuitton.com/, www.louvisvuitton.com</t>
  </si>
  <si>
    <t>АО "ЛУИ ВЬЮИТТОН МАЛЛЕТЬЕ" (5 114 590 руб., 100%)</t>
  </si>
  <si>
    <t>2 358 630 000</t>
  </si>
  <si>
    <t>cheb@luidor.ru, gruzimovmg@luidor.ru, luidor.zap.gaz@mail.ru, malovata@luidor.ru, rm@luidor.ru, secretardir@luidor.ru, urist1@luidor.ru</t>
  </si>
  <si>
    <t>Корнилов Сергей Александрович (5 770 руб., 57.70%)
Серпухов Денис Станиславович (1 630 руб., 16.30%)
Мошес Семен Иосифович (1 600 руб., 16%)
Пайдемерова Ирина Альбертовна (625 руб., 6.25%)
Гусев Сергей Владимирович (375 руб., 3.75%)</t>
  </si>
  <si>
    <t>bus@luidorauto.ru, bus@luidorbus.ru, garnikji@luidorbas.ru, ktu123@yandex.ru, morozov@luidorbus.ru, stavtseva@luidor.ru, stavtseva@luidorbus.ru</t>
  </si>
  <si>
    <t>www.luidorbis.ru</t>
  </si>
  <si>
    <t>Тихонова Мария Александровна (4 140 руб., 41.40%)
Корнилов Сергей Александрович (3 850 руб., 38.50%)
Серпухов Денис Станиславович (1 630 руб., 16.30%)
Гусев Сергей Владимирович (380 руб., 3.80%)</t>
  </si>
  <si>
    <t>9173545223@luidor-ufa.ru</t>
  </si>
  <si>
    <t>luidor-ufa.ru</t>
  </si>
  <si>
    <t>Корнилов Сергей Александрович (5 005 000 руб., 50%)
Тихонова Мария Александровна (5 005 000 руб., 50%)</t>
  </si>
  <si>
    <t>117 380 000</t>
  </si>
  <si>
    <t>tender@luis.ru</t>
  </si>
  <si>
    <t>ЛУИС+ ХОЛДИНГ, ООО (200 000 руб., 100%)</t>
  </si>
  <si>
    <t>227 820 000</t>
  </si>
  <si>
    <t>mercedes@lukavto.ru</t>
  </si>
  <si>
    <t>lukavto.ru</t>
  </si>
  <si>
    <t>ХОЛДИНГ СТРАТЕГИЧЕСКОГО РАЗВИТИЯ, ООО (367 500 000 руб., 50%)
ЭКТО, ООО (367 500 000 руб., 50%)</t>
  </si>
  <si>
    <t>729 430 000</t>
  </si>
  <si>
    <t>lukbeloil@overta.ru</t>
  </si>
  <si>
    <t>ПК БЕЛЭНЕРГОМАШ, ООО (100 000 руб., 100%)</t>
  </si>
  <si>
    <t>767 690 000</t>
  </si>
  <si>
    <t>info@lukoil.ru, ir@lukoil.com, pr@lukoil.com, valery.kamyshnikov@lukoil.com, vasilevata@lukoil.kom, vinogradovvn@lukoil.com</t>
  </si>
  <si>
    <t>www.lukoil.com, www.lukoil.ru</t>
  </si>
  <si>
    <t>aik@kogalym.ru, alexandra@lukoil-aik.ru, kostinaoa@lukoil-aik.ru, latypovaga@lukoil-aik.ru, natali@lukoil-aik.ru, npancheva@lukoil-aik.ru</t>
  </si>
  <si>
    <t>ЛУКОЙЛ-ЗАПАДНАЯ СИБИРЬ, ООО (63 354 240 руб., 51%)
Компания "Лукойл Израиль Лимитед" (60 869 760 руб., 49%)</t>
  </si>
  <si>
    <t>8 097 970 000</t>
  </si>
  <si>
    <t>viktoriya.s.konovalova@lukoil.com</t>
  </si>
  <si>
    <t>ВДК-ЭНЕРГО, АО (2 946 625 628.63 руб., 99.99%)
ЛУКОЙЛ-КУБАНЬЭНЕРГО, ООО (294 692.03 руб., 0.010%)</t>
  </si>
  <si>
    <t>239 320 000</t>
  </si>
  <si>
    <t>ЛУКОЙЛ, ПАО (1 437 325 691.98 руб., 100%)</t>
  </si>
  <si>
    <t>4 059 060 000</t>
  </si>
  <si>
    <t>lukoil-aero-vostok@lukoil.com, olga.krivenko@lukoil.com</t>
  </si>
  <si>
    <t>aero-surgut.lukoil.com</t>
  </si>
  <si>
    <t>ЛУКОЙЛ-АЭРО, ООО (479 590 руб., 99.92%)
ЛУКОЙЛ-АЭРО-ЗАПАД, ООО (400 руб., 0.080%)</t>
  </si>
  <si>
    <t>384 200 000</t>
  </si>
  <si>
    <t>office.samar@lukoil.com, office.samara@lukoil.com, office.samara@lukoil.con, ofice.samara@lukoil.com</t>
  </si>
  <si>
    <t>http://aero-samara.lukoil.ru</t>
  </si>
  <si>
    <t>ЛУКОЙЛ-АЭРО, ООО (499 500 руб., 99.98%)
ЛУКОЙЛ-АЭРО-ВОСТОК, ООО (100 руб., 0.020%)</t>
  </si>
  <si>
    <t>369 510 000</t>
  </si>
  <si>
    <t>refinery@vnpz.lukoil.com, refinery@vnpz.lukoil.ru</t>
  </si>
  <si>
    <t>www.vnpz.lukoil.ru</t>
  </si>
  <si>
    <t>ЛУКОЙЛ, ПАО (501 366 789 руб., 100%)</t>
  </si>
  <si>
    <t>1 943 790 000</t>
  </si>
  <si>
    <t>offs@saratov.lukoil.com, sekretarlve@lukoil.com, volgogradenergo@lukoil.com</t>
  </si>
  <si>
    <t>www.lukoil.com</t>
  </si>
  <si>
    <t>ВДК-ЭНЕРГО, АО (2 982 763 753.29 руб., 99.99%)
ЛУКОЙЛ-АСТРАХАНЬЭНЕРГО, ООО (150 000 руб., 0.0050%)</t>
  </si>
  <si>
    <t>594 020 000</t>
  </si>
  <si>
    <t>svetlana.podchufarova@lukoil.com, tatjana.petrashova@lukoil.com, ws@lukoil.com</t>
  </si>
  <si>
    <t>ЛУКОЙЛ, ПАО (10 221 387 768.49 руб., 100%)</t>
  </si>
  <si>
    <t>90 146 710 000</t>
  </si>
  <si>
    <t>lukoil-engin@lukoil.com</t>
  </si>
  <si>
    <t>ЛУКОЙЛ-ЗАПАДНАЯ СИБИРЬ, ООО (191 243 990 руб., 55.21%)
ЛУКОЙЛ, ПАО (120 246 952.6 руб., 34.71%)
РИТЭК, ООО (34 887 677.4 руб., 10.07%)</t>
  </si>
  <si>
    <t>Научные исследования и разработки в области естественных и технических наук</t>
  </si>
  <si>
    <t>urc-v@lucoil.com, urc-v@lukoil.com</t>
  </si>
  <si>
    <t>ЛУКОЙЛ, ПАО (238 010 000 руб., 100%)</t>
  </si>
  <si>
    <t>169 220 000</t>
  </si>
  <si>
    <t>alex@kmng.koenig.su, kmn@kld.lukoil.com, msivukho@kld.lukoil.com, olga.yarunicheva@lukoil.com</t>
  </si>
  <si>
    <t>www.lukoil-kmn.com, www.lukoil.com, www.lukoil.ru</t>
  </si>
  <si>
    <t>ЛУКОЙЛ, ПАО (500 578 593 руб., 100%)</t>
  </si>
  <si>
    <t>754 660 000</t>
  </si>
  <si>
    <t>mikhail.yaitskij@lukoil.com, robert.galimov@lukoil.com, usn.postman@lukoil.com, vadim.kondranin@lukoil.com</t>
  </si>
  <si>
    <t>ЛУКОЙЛ, ПАО (5 757 728 335.83 руб., 99.99%)
К.Н. ХОЛДИНГ, ООО (575 830.42 руб., 0.010%)</t>
  </si>
  <si>
    <t>15 957 790 000</t>
  </si>
  <si>
    <t>krtec@krtec.ru, krtec@lukoil.com</t>
  </si>
  <si>
    <t>www.kubanenergo.lukoil.ru</t>
  </si>
  <si>
    <t>ВДК-ЭНЕРГО, АО (847 567 243.81 руб., 99.99%)
ЛУКОЙЛ-АСТРАХАНЬЭНЕРГО, ООО (84 765.2 руб., 0.010%)</t>
  </si>
  <si>
    <t>office@lukoil-marinbunker.com</t>
  </si>
  <si>
    <t>ЛУКОЙЛ, ПАО (10 000 руб., 100%)</t>
  </si>
  <si>
    <t>3 284 090 000</t>
  </si>
  <si>
    <t>elena.ryzhova@lukoil.com, infonnos@nnos.lukoil.com</t>
  </si>
  <si>
    <t>ЛУКОЙЛ, ПАО (4 812 955.4 руб., 100%)</t>
  </si>
  <si>
    <t>astr-office2@lukoil.com</t>
  </si>
  <si>
    <t>ЛУКОЙЛ, ПАО (506 683 509.75 руб., 100%)</t>
  </si>
  <si>
    <t>107 482 840 000</t>
  </si>
  <si>
    <t>lukoilpnos@pnos.lukoil.com</t>
  </si>
  <si>
    <t>ЛУКОЙЛ, ПАО (270 643 651 руб., 100%)</t>
  </si>
  <si>
    <t>1 839 040 000</t>
  </si>
  <si>
    <t>nadezhda.ushakhina@lp.lukoil.com</t>
  </si>
  <si>
    <t>www.lukoil-perm.ru, www.lukoil.com, www.lukoil.ru</t>
  </si>
  <si>
    <t>ЛУКОЙЛ, ПАО (635 858 710 руб., 100%)</t>
  </si>
  <si>
    <t>73 136 000 000</t>
  </si>
  <si>
    <t>lukresen@lukoil.com, lukreserv@lukoil.com, lukreserv@lukoil.ru, lukrezerv@lukoil.com, lukserv@lukoil.com, lukserverv@lukoil.com, marina.vi.nikolaeva@lukoil.com</t>
  </si>
  <si>
    <t>lukoil-rezervnefteprodukt.ru, lukoil.com</t>
  </si>
  <si>
    <t>ЛУКОЙЛ-РНП-ТРЕЙДИНГ, ООО (49 950 руб., 99.90%)
К.Н. ХОЛДИНГ, ООО (50 руб., 0.10%)</t>
  </si>
  <si>
    <t>434 960 000</t>
  </si>
  <si>
    <t>lrnpt@lukoil.com</t>
  </si>
  <si>
    <t>ЛУКОЙЛ, ПАО (950 000 руб., 100%)</t>
  </si>
  <si>
    <t>4 697 610 000</t>
  </si>
  <si>
    <t>elena.gololobova@lukoil.com, info-lre@rgg.donpac.ru, karina.zinovyeva@lukoil.com, lebedkovay@lukoil.com, luhrfyf@yandex.ru, lukoilkisl@yandex.ru, lykoilrost@mail.ru, lykoilrostov@yandex.ru, office.lre@lucoil.com, office.lre@lukoil.com</t>
  </si>
  <si>
    <t>ВДК-ЭНЕРГО, АО (1 454 759 243.42 руб., 99.99%)
ЛУКОЙЛ-АСТРАХАНЬЭНЕРГО, ООО (10 000 руб., 0.00070%)</t>
  </si>
  <si>
    <t>16 390 000</t>
  </si>
  <si>
    <t>pr@spb.lukoil.com</t>
  </si>
  <si>
    <t>ЛУКОЙЛ, ПАО (248 703 537.76 руб., 100%)</t>
  </si>
  <si>
    <t>alexandr.burlachenko@lukoil.com, elena.n.filipova@lukoil.com, lukoilst@mail.ru, lykoil@mail.ru, lykoil@yandex.ru, olga.jureva@lukoil.com, ooo.lucoyl.stavropolenergo@mail.ru, yan.samoilov@lukoil.com</t>
  </si>
  <si>
    <t>www.k-agent.ru/?mod=obj&amp;id=5892862</t>
  </si>
  <si>
    <t>ЛУКОЙЛ, ПАО (97 257 960.37 руб., 100%)</t>
  </si>
  <si>
    <t>504 500 000</t>
  </si>
  <si>
    <t>larisa.komogorova@lukoil.com</t>
  </si>
  <si>
    <t>http://technologies.lukoil.ru/ru/, lukoil-academy.ru, lukoil-masla.ru, teboil.ru</t>
  </si>
  <si>
    <t>ЛУКОЙЛ, ПАО (3 850 000 000 руб., 100%)</t>
  </si>
  <si>
    <t>lukoil-trans@lukoil.com</t>
  </si>
  <si>
    <t>ЛУКОЙЛ, ПАО (2 385 192 821.1 руб., 100%)</t>
  </si>
  <si>
    <t>2 306 620 000</t>
  </si>
  <si>
    <t>unp@lukoil.com</t>
  </si>
  <si>
    <t>ЛУКОЙЛ, ПАО (40 316 796.92 руб., 100%)</t>
  </si>
  <si>
    <t>361 720 000</t>
  </si>
  <si>
    <t>mail@lukoil-ural.ru</t>
  </si>
  <si>
    <t>ЛУКОЙЛ, ПАО (1 181 075 442.1749 руб., 100%)</t>
  </si>
  <si>
    <t>1 036 350 000</t>
  </si>
  <si>
    <t>alexander.chubenko@lukoil.com, eka@licard.com, fjfjkkkjj@mail.ru, hotline@luknef.ru, luknef@luknef.ru, luknef@lukoil.com, luknet@lukoil.com</t>
  </si>
  <si>
    <t>www.luknef.lukoil.ru</t>
  </si>
  <si>
    <t>ЛУКОЙЛ, ПАО (2 379 785 955 руб., 100%)</t>
  </si>
  <si>
    <t>aleksandr.fedorov@lukoil.com, olga.golovchenko@lukoil.com</t>
  </si>
  <si>
    <t>http://ekoenergo.lukoil.ru/, www.lukoil.com</t>
  </si>
  <si>
    <t>ЛУКОЙЛ, ПАО (2 619 003 867.58 руб., 100%)</t>
  </si>
  <si>
    <t>anatoliy.razdobudko@lukoil.com, anatoliy.razdobudko@lukonil.com, anatoliy.razdobutko@lukoil.com, ilya.kozhin@lukoil.com, tdenergoservice@tdenergoservice.ru</t>
  </si>
  <si>
    <t>https://eservice.lukoil.ru/ru, www.tdes.lukoil.com, www.tdes.lukoil.com/main/default.asp</t>
  </si>
  <si>
    <t>ЛУКОЙЛ, ПАО (387 726 465.5 руб., 100%)</t>
  </si>
  <si>
    <t>2 393 000 000</t>
  </si>
  <si>
    <t>arsenij.dryahlov@lukoil.com, cvgdbe@mail.ru, dmitrij.zavolochkin@lukoil.com, energoseti@iukoil.com, energoseti@lukoil.com, ftyujn@mail.ru, gfdbcvd@mail.ru, ghjhjuy@mail.ru, hfbdhf@mail.ru, hfgdvcre@mail.ru</t>
  </si>
  <si>
    <t>ЛУКОЙЛ, ПАО (100 020 000 руб., 100%)</t>
  </si>
  <si>
    <t>87 720 000</t>
  </si>
  <si>
    <t>info@ynp.lukoil.com</t>
  </si>
  <si>
    <t>ЛУКОЙЛ, ПАО (1 790 918 216.26 руб., 100%)</t>
  </si>
  <si>
    <t>tc@tcla.ru</t>
  </si>
  <si>
    <t>КОМИНВЕСТ-С, ООО (1 499 700 руб., 99.98%)
Стреха Дмитрий Павлович (300 руб., 0.020%)</t>
  </si>
  <si>
    <t>Производство электромонтажных, санитарно-технических и прочих строительно-монтажных работ</t>
  </si>
  <si>
    <t>142 560 000</t>
  </si>
  <si>
    <t>206@lunda.ru, sales@lunda.ru</t>
  </si>
  <si>
    <t>lunda.ru</t>
  </si>
  <si>
    <t>Юханссон Бу Маттиас (4 995 000 руб., 99.90%)
Такахаси Наталья Витальевна (5 000 руб., 0.10%)</t>
  </si>
  <si>
    <t>261 460 000</t>
  </si>
  <si>
    <t>buhlunsin@mail.ru, horagay71@mail.ru</t>
  </si>
  <si>
    <t>ООО Хэйлунцзянская горная компания Цзыцзинь Лунсин (700 000 000 руб., 100%)</t>
  </si>
  <si>
    <t>Добыча и обогащение руд прочих цветных металлов, не включенных в другие группировки</t>
  </si>
  <si>
    <t>priemnaya-lur@suek.ru</t>
  </si>
  <si>
    <t>aolur.ru</t>
  </si>
  <si>
    <t>d.kalyuzhnyy@tergeh.ru, n.karpova@tergeh.ru, office@gehter.ru, office@tergeh.ru, r.khalitov@tergeh.ru</t>
  </si>
  <si>
    <t>www.gehter.ru, www.tergeh.ru</t>
  </si>
  <si>
    <t>ГАЗПРОМ ЭНЕРГОРЕМОНТ, АО (37 981 902 руб., 88.33%)
СПЕКТРУМ, АО (5 018 100 руб., 11.67%)</t>
  </si>
  <si>
    <t>194 930 000</t>
  </si>
  <si>
    <t>www.ghgt.ru</t>
  </si>
  <si>
    <t>УК РОСТ, ООО (9 900 руб., 99%)
РСХБ-ФИНАНС, ООО (100 руб., 1%)</t>
  </si>
  <si>
    <t>Выращивание овощей защищенного грунта</t>
  </si>
  <si>
    <t>bd70@lzos.ru, dudkin@lzos.ru, ipatova@lzos.ru, lagutova@lzos.ru, lzos@comail.ru, office@lzos.ru, otd70@lzos.ru, rassadina@lzos.ru, referent@lzos.ru, tender@lzos.ru</t>
  </si>
  <si>
    <t>www.lzos.ru</t>
  </si>
  <si>
    <t>Производство оптических приборов, фото- и кинооборудования</t>
  </si>
  <si>
    <t>avdeenko_d@lmpzavod.ru, spicyna_s@ruzcom.ru</t>
  </si>
  <si>
    <t>Компания «Малрин Мэнэджмент Лимитед» (79.54%)
Горбунков Михаил Владимирович (12.13%)</t>
  </si>
  <si>
    <t>134 280 000</t>
  </si>
  <si>
    <t>info@lem-ltd.ru, nvstepan@lem-ltd.ru</t>
  </si>
  <si>
    <t>lenelectromontag.ru, www.lem-ltd.ru</t>
  </si>
  <si>
    <t>Мураткин Михаил Александрович (10 000 000 руб., 100%)</t>
  </si>
  <si>
    <t>856 880 000</t>
  </si>
  <si>
    <t>79610321778@yandex.ru, ananevskaja@izmalkovo.lesk.ru, ananevskaya_tv@izmalkovo.lesk.ru, anohina_om@dankov.iipetsk.ru, argentov@lesk.ru, balykina_ta@dolgorukovo.lesk.ru, balykina_td@dolgorukovo.lesk.ru, boldyreva_ov@yelets.lesk.ru, dedjaeva_on@dobrinka.lesk.ru, hnc@lesk.ru</t>
  </si>
  <si>
    <t>kotlovanova@lubteplo.ru, lubteplo@lubteplo.ru, or@lubteplo.ru, popov@lubteplo.ru, stmpu@lubteplo.ru, ubteploset@mail.ru</t>
  </si>
  <si>
    <t>lubteplo.ru</t>
  </si>
  <si>
    <t>lmkk@mailru.com, lmkk@yandex.ru</t>
  </si>
  <si>
    <t>lmkk.ru</t>
  </si>
  <si>
    <t>dolgih@gulliver.ru, info@gulliver.ru</t>
  </si>
  <si>
    <t>www.gulliver.ru</t>
  </si>
  <si>
    <t>Кулешов Игорь Геннадьевич (10 000 руб., 80%)
Кулешова Карина Владимировна (2 500 руб., 20%)</t>
  </si>
  <si>
    <t>75 750 000</t>
  </si>
  <si>
    <t>ae@lyambda.com</t>
  </si>
  <si>
    <t>Егоров Андрей Александрович (100 000 руб., 100%)</t>
  </si>
  <si>
    <t>Деятельность агентов по оптовой торговле электротоварами и бытовыми электроустановочными изделиями</t>
  </si>
  <si>
    <t>61 790 000</t>
  </si>
  <si>
    <t>info@mdmsk.ru</t>
  </si>
  <si>
    <t>mdmsk.ru</t>
  </si>
  <si>
    <t>Ким Евгений Евгеньевич (10 000 руб., 100%)</t>
  </si>
  <si>
    <t>mlogistic@mtpo.ru</t>
  </si>
  <si>
    <t>Мельников Александр Валерьевич (100 000 руб., 100%)</t>
  </si>
  <si>
    <t>2 870 000</t>
  </si>
  <si>
    <t>gb1@v01.ru, s.pak@v01.ru, s.popov@v01.ru</t>
  </si>
  <si>
    <t>https://v01.ru, moscow-parts.ru</t>
  </si>
  <si>
    <t>Власова Вера Григорьевна (65 000 руб., 65%)
Яремко Роман Игоревич (35 000 руб., 35%)</t>
  </si>
  <si>
    <t>khatskeleva@ratusha.ru, office@ratusha.ru</t>
  </si>
  <si>
    <t>drozdovanv@pik.ru, n.drozdova@gradindustry.ru</t>
  </si>
  <si>
    <t>ПИК-СТРОИТЕЛЬНЫЕ ТЕХНОЛОГИИ, ООО (9 999 руб., 99.99%)
М-БЕТОН, ООО (1 руб., 0.010%)</t>
  </si>
  <si>
    <t>15 220 000</t>
  </si>
  <si>
    <t>merilin@kficompany.ru, order@xcom.ru, sale@m-investment.ru, sales@xcom.ru</t>
  </si>
  <si>
    <t>m-investment.ru, www.xcom-shop.ru, www.xcom.ru</t>
  </si>
  <si>
    <t>Машенин Андрей Александрович (1 000 000 руб., 100%)</t>
  </si>
  <si>
    <t>Деятельность агентов по оптовой торговле вычислительной техникой, телекоммуникационным оборудованием и прочим офисным оборудованием</t>
  </si>
  <si>
    <t>156 190 000</t>
  </si>
  <si>
    <t>alevtina.kuceva@m-plastika.ru, baki@m-plastika.ru, info@m-plastika.ru</t>
  </si>
  <si>
    <t>www.idea-home.ru</t>
  </si>
  <si>
    <t>Белоусов Александр Леонидович (243 000 руб., 33.33%)
Бородин Алексей Александрович (243 000 руб., 33.33%)
Дьячков Сергей Владимирович (243 000 руб., 33.33%)</t>
  </si>
  <si>
    <t>280 170 000</t>
  </si>
  <si>
    <t>Костин Евгений Викторович (2 000 000 руб., 100%)</t>
  </si>
  <si>
    <t>m-trast36@ya.ru</t>
  </si>
  <si>
    <t>m-trast.ru</t>
  </si>
  <si>
    <t>Бударин Виталий Александрович (10 000 руб., 50%)
Толстиков Сергей Анатольевич (10 000 руб., 50%)</t>
  </si>
  <si>
    <t>39 790 000</t>
  </si>
  <si>
    <t>8577656@mail.ru, aklemenko@mpamed.ru, dvostok@mpamed.ru, kuban@mpamed.ru, matveeva@nevs.ru, nfo@mpamed.ru, obarkhatova@mpamed.ru, orlov@mpamed.ru, shop@mpamed.ru, sibir@mpamed.ru</t>
  </si>
  <si>
    <t>www.mpamed.ru</t>
  </si>
  <si>
    <t>Алексеев Эдуард Борисович (90 000 руб., 90%)
Терешок Виктория Олеговна (10 000 руб., 10%)</t>
  </si>
  <si>
    <t>181 940 000</t>
  </si>
  <si>
    <t>ОБЩЕСТВО С ОГРАНИЧЕННОЙ ОТВЕТСТВЕННОСТЬЮ "ЭУРОНА ХОЛДИНГС ЛИМИТЕД" (3 500 000 руб., 100%)</t>
  </si>
  <si>
    <t>Аренда и лизинг прочего автомобильного транспорта и оборудования</t>
  </si>
  <si>
    <t>m7truck.ru</t>
  </si>
  <si>
    <t>Бахтина Алия Василовна (20 000 руб., 100%)</t>
  </si>
  <si>
    <t>29 050 000</t>
  </si>
  <si>
    <t>albina@m7ooo.ru, denis@m7ooo.ru, maxim@m7ooo.ru, ramis@m7ooo.ru, sale@m7ooo.ru</t>
  </si>
  <si>
    <t>Гаянова Эльвира Тагировна (200 000 руб., 100%)</t>
  </si>
  <si>
    <t>1 480 000</t>
  </si>
  <si>
    <t>glbuh@magadannefto.ru, magnefto_tf@mail.ru, mnefto@mail.ru, mnefto_kop@mai1.ru, mnefto_kop@mail.ru, nefto24tzk@yandex.ru</t>
  </si>
  <si>
    <t>ТЕХНОТЕК, ООО (9 900 руб., 99%)
Озимок Дмитрий Игоревич (100 руб., 1%)</t>
  </si>
  <si>
    <t>11 080 000</t>
  </si>
  <si>
    <t>anov@roliz.vtc.ru, priem-pk@norebo.com, priem@akros.ru, volkova@roliz.vtc.ru</t>
  </si>
  <si>
    <t>РЫБОЛОВЕЦКАЯ КОМПАНИЯ СОГРА ИЛИ АО РК СОГРА, АО (80 610 000 руб., 100%)</t>
  </si>
  <si>
    <t>87 800 000</t>
  </si>
  <si>
    <t>akcii@magadanenergo.ru, dfhdh@mail.ru, ed@energosbyt.ru, fcd@energosbit.ru, fcd@energosbyt.ru, fea@energosbyt.ru, fed@enegosbyt.ru, fed@enercosbyt.ru, fed@energjsbyt.ru, fed@energorsbyt.ru</t>
  </si>
  <si>
    <t>РАО ЭС ВОСТОКА, АО (49%)
Милотворский Владимир Эвальдович (0.0042%)</t>
  </si>
  <si>
    <t>ГРУППА КОМПАНИЙ ВОСТОК И ЗАПАД, АО (961 700 000 руб., 100%)</t>
  </si>
  <si>
    <t>evgenia.nikiforova@nch-spb.com, info@nch-spb.com, marina.rodigina@nch-spb.com</t>
  </si>
  <si>
    <t>www.nch-spb.com</t>
  </si>
  <si>
    <t>ХОЛДИНГ МСС, ООО (300 000 000 руб., 100%)</t>
  </si>
  <si>
    <t>info@magistralmsk.ru</t>
  </si>
  <si>
    <t>Байтяков Виталий Иванович (101 420 000 руб., 100%)</t>
  </si>
  <si>
    <t>11 010 000</t>
  </si>
  <si>
    <t>mail@1magistral.ru</t>
  </si>
  <si>
    <t>1magistral.ru</t>
  </si>
  <si>
    <t>Михейкин Сергей Анатольевич (10 000 руб., 100%)</t>
  </si>
  <si>
    <t>91 820 000</t>
  </si>
  <si>
    <t>buh@magistral-ug.com, mail@magistral-ug.ru</t>
  </si>
  <si>
    <t>Левченко Юлия Олеговна (12 500 руб., 100%)</t>
  </si>
  <si>
    <t>15 860 000</t>
  </si>
  <si>
    <t>beznal@akbmag.ru, chief@akbmag.ru, d.m@volteka.ru, gkm-mail@mtu-net.ru, opt@akbmag.ru, partners@akbmag.ru, shop@akbmag.ru, shop@volteka.ru</t>
  </si>
  <si>
    <t>akbmag.ru, maglug.ru</t>
  </si>
  <si>
    <t>6 820 000</t>
  </si>
  <si>
    <t>mhd@hordel.ru, ochingaleva.ats@sfera.rm</t>
  </si>
  <si>
    <t>Сиушов Сергей Иванович (9 427 руб., 86%)
Сиушов Артемий Сергеевич (1 573 руб., 14%)</t>
  </si>
  <si>
    <t>2 718 040 000</t>
  </si>
  <si>
    <t>89279705657@mail.ru, info@magma-stroy.org, info@npk-itproject.ru</t>
  </si>
  <si>
    <t>zk-polezhaeva.ru</t>
  </si>
  <si>
    <t>МАГМА ХД, ООО (10 000 руб., 100%)</t>
  </si>
  <si>
    <t>50 280 000</t>
  </si>
  <si>
    <t>ekaterina.makarova@magna-russia.com, technoplast@magna-russia.com</t>
  </si>
  <si>
    <t>www.magna.com</t>
  </si>
  <si>
    <t>365 180 000</t>
  </si>
  <si>
    <t>ЕВРОСИБЭНЕРГО, АО (12 224 782 руб., 100%)</t>
  </si>
  <si>
    <t>350072@mail.ru, agafonov_un@magnit.ru, agafonov_yn@magnit.ru, golovanev.i.a@siamed.ru</t>
  </si>
  <si>
    <t>mpharma.ru, siamed.ru</t>
  </si>
  <si>
    <t>МФ-СИА, ООО (2 799 553 723 руб., 100%)</t>
  </si>
  <si>
    <t>ds116@mail.ru, e.moldakova@magnit-tko.ru, forvpis@mail.ru, info@magnitko.ru, info@magtko.ru, magnit.dokumenty@mail.ru, ncg@mail.ru, sargatsky_umvd55@mail.ru</t>
  </si>
  <si>
    <t>magnit-tko.ru</t>
  </si>
  <si>
    <t>Чолаков Сергей Олегович (10 000 руб., 100%)</t>
  </si>
  <si>
    <t>info@magnumsport.com, magnum@mail.ru, qq@qq.net, r.yunyakin@magnumsport.com</t>
  </si>
  <si>
    <t>www.magnumsport.com</t>
  </si>
  <si>
    <t>Орлов Андрей Витальевич (10 000 руб., 100%)</t>
  </si>
  <si>
    <t>24 210 000</t>
  </si>
  <si>
    <t>auto@mazcentr.ru, tahkuct86@mail.ru</t>
  </si>
  <si>
    <t>mazcentr.ru</t>
  </si>
  <si>
    <t>Захаров Дмитрий Олегович (10 000 руб., 50%)
Иванов Артём Анатольевич (10 000 руб., 50%)</t>
  </si>
  <si>
    <t>68 900 000</t>
  </si>
  <si>
    <t>www.maz.by</t>
  </si>
  <si>
    <t>ОАО "МАЗ" - управляющая компания холдинга "БЕЛАВТОМАЗ" (192 581 243.91 руб., 99%)
ОАО "КЗТШ" (1 945 265.09 руб., 1%)</t>
  </si>
  <si>
    <t>19 550 000</t>
  </si>
  <si>
    <t>info@mazmarket.ru</t>
  </si>
  <si>
    <t>Чижиков Александр Владимирович (100 000 руб., 100%)</t>
  </si>
  <si>
    <t>265 310 000</t>
  </si>
  <si>
    <t>may07@zima.donpac.ru</t>
  </si>
  <si>
    <t>Магомадов Мовсар Рамзанович (7 100 000 руб., 69.61%)
Умаев Магамед Абуевич (3 100 000 руб., 30.39%)</t>
  </si>
  <si>
    <t>43 690 000</t>
  </si>
  <si>
    <t>info@may24.ru</t>
  </si>
  <si>
    <t>Лисиненко Игорь Васильевич (403 731 104 руб., 80.26%)
Лисиненко Ирина Николаевна (99 300 000 руб., 19.74%)</t>
  </si>
  <si>
    <t>179 360 000</t>
  </si>
  <si>
    <t>info@themay.com</t>
  </si>
  <si>
    <t>www.themay.com</t>
  </si>
  <si>
    <t>Костин Сергей Васильевич (10 010 000 руб., 100%)</t>
  </si>
  <si>
    <t>159 340 000</t>
  </si>
  <si>
    <t>russia@microsoft.com</t>
  </si>
  <si>
    <t>www.microsoft.com, www.microsoft.ru</t>
  </si>
  <si>
    <t>КОРПОРАЦИЯ "МАЙКРОСОФТ" (1 455 500 руб., 100%)</t>
  </si>
  <si>
    <t>481 590 000</t>
  </si>
  <si>
    <t>www.mining-solutions.ru</t>
  </si>
  <si>
    <t>576 120 000</t>
  </si>
  <si>
    <t>cetinelli@yahoo.com, info@minetech-m.com</t>
  </si>
  <si>
    <t>https://minetechmachinery.com/</t>
  </si>
  <si>
    <t>НИППОН ИНВЕСТ, ООО (5 000 руб., 50%)
ТОО "PSI ENERGY &amp; CONTROL (ПИЭСАЙ ЭНЕРДЖИ ЭНД КОНТРОЛ)" (5 000 руб., 50%)</t>
  </si>
  <si>
    <t>450 100 000</t>
  </si>
  <si>
    <t>airoport@kuf.aero, airport@kuf.aero, belyakovaei@uwww.aero, info@uwww.aero, pichuginasa@uwww.aero, secretary@uwww.aero</t>
  </si>
  <si>
    <t>http://www.airport.samara.ru, www.kuf.aero, www.kuf.aero.ru, www.uwww.aero</t>
  </si>
  <si>
    <t>1 123 150 000</t>
  </si>
  <si>
    <t>info@macaroon.ru, tender@macaroon.ru</t>
  </si>
  <si>
    <t>macaroon.ru</t>
  </si>
  <si>
    <t>Королев Илья Николаевич (50 000 руб., 100%)</t>
  </si>
  <si>
    <t>7 560 000</t>
  </si>
  <si>
    <t>makprom@makaroni.ru</t>
  </si>
  <si>
    <t>СИ ГРУПП, АО (14 293 400 руб., 100%)</t>
  </si>
  <si>
    <t>Ложинский Роман Станиславович (800 000 руб., 80%)
Чесалин Алексей Юрьевич (200 000 руб., 20%)</t>
  </si>
  <si>
    <t>130 350 000</t>
  </si>
  <si>
    <t>buh@maxidom.ru, gmt@maxidom.ru, maxidom@mail.ru, zar2@maxidom.ru</t>
  </si>
  <si>
    <t>www.maxidom.ru</t>
  </si>
  <si>
    <t>Евневич Мария Александровна (76 500 руб., 76.50%)
Черепанова Лариса Александровна (17 000 руб., 17%)
Голиков Сергей Валентинович (5 000 руб., 5%)
Полетаев Владимир Григорьевич (1 000 руб., 1%)
Соколов Дмитрий Александрович (500 руб., 0.50%)</t>
  </si>
  <si>
    <t>3 594 120 000</t>
  </si>
  <si>
    <t>info@famil.ru</t>
  </si>
  <si>
    <t>famil.ru</t>
  </si>
  <si>
    <t>ТКФ, ООО (9 990 000 руб., 99.90%)
ОБЩЕСТВО С ОГРАНИЧЕННОЙ ОТВЕТСТВЕННОСТЬЮ "ФЭМИЛИА ТРЭЙДИНГ" (10 000 руб., 0.10%)</t>
  </si>
  <si>
    <t>3 004 440 000</t>
  </si>
  <si>
    <t>info@max-gr.ru, maxima@maxima-logistic.ru</t>
  </si>
  <si>
    <t>maxima-logistic.ru</t>
  </si>
  <si>
    <t>МАКСИМУМ, ООО (13 500 000 руб., 45%)
Кунаев Максим Андреевич (8 250 000 руб., 27.50%)
Циций Олег Михайлович (8 250 000 руб., 27.50%)</t>
  </si>
  <si>
    <t>198 290 000</t>
  </si>
  <si>
    <t>info@maximatelecom.ru</t>
  </si>
  <si>
    <t>maximatelecom.ru</t>
  </si>
  <si>
    <t>ИНВЕСТМИР, АО (50.97%)
СМАРТМОЛЛ, ООО (23.75%)</t>
  </si>
  <si>
    <t>ankorznikova@maximum.auto, vadimx@mail.ru</t>
  </si>
  <si>
    <t>carmart.ru</t>
  </si>
  <si>
    <t>Арустамян Вадим Валерьевич (10 000 руб., 100%)</t>
  </si>
  <si>
    <t>256 690 000</t>
  </si>
  <si>
    <t>Плясунков Михаил Александрович (10 000 руб., 100%)</t>
  </si>
  <si>
    <t>makfa@chel.surnet.ru, meshkov@makfa.ru, secretar@makfa.ru</t>
  </si>
  <si>
    <t>www.makfa.ru</t>
  </si>
  <si>
    <t>1 141 810 000</t>
  </si>
  <si>
    <t>mlm@pokrmine.ru</t>
  </si>
  <si>
    <t>УГМК-ИНВЕСТ, АО (2 009 961 460 руб., 89.73%)
ПОКРОВСКИЙ РУДНИК, АО (230 000 000 руб., 10.27%)</t>
  </si>
  <si>
    <t>4 281 700 000</t>
  </si>
  <si>
    <t>mamruko.ru</t>
  </si>
  <si>
    <t>Мамруков Руслан Довлетчериевич (3 734 081 руб., 50%)
Мамруков Аслан Довлетчериевич (3 734 080 руб., 50%)</t>
  </si>
  <si>
    <t>23 730 000</t>
  </si>
  <si>
    <t>anastasia.verbina@man.eu, info.ru@man.eu</t>
  </si>
  <si>
    <t>www.mantruckandbus.com</t>
  </si>
  <si>
    <t>МАН ТРАК ЧЕЛНЫ, ООО (1 500 000 руб., 100%)</t>
  </si>
  <si>
    <t>98 430 000</t>
  </si>
  <si>
    <t>mangoriteyl@mail.ru</t>
  </si>
  <si>
    <t>Вохомский Тимур Андреевич (300 000 руб., 100%)</t>
  </si>
  <si>
    <t>i.ivanov@mangotele.com, k.truhina@mangotele.com, m.zaripova@mangotele.com, mango@mango.ru, mango@mangotele.com, tender@mangotele.com</t>
  </si>
  <si>
    <t>mango.ru, www.mango-office.ru</t>
  </si>
  <si>
    <t>MANGO CLOUD SYSTEMS LIMITED (12 100 000 руб., 100%)</t>
  </si>
  <si>
    <t>764 060 000</t>
  </si>
  <si>
    <t>tower2000.ru</t>
  </si>
  <si>
    <t>Занадворов Александр Юрьевич (76 665 000 руб., 90.11%)
МАНЕЖНАЯ ПЛОЩАДЬ, ООО (8 415 000 руб., 9.89%)</t>
  </si>
  <si>
    <t>301 630 000</t>
  </si>
  <si>
    <t>info@mann-hummel.com</t>
  </si>
  <si>
    <t>www.mann-hummel.com, www.mann-hummel.ru</t>
  </si>
  <si>
    <t>ФИРМА "МАНН ПЛЮС ХУММЕЛЬ ГМБХ" (35 570 700 руб., 99%)
ООО "МАНН+ХУММЕЛЬ Бетайлигунгс унд Ферваль" (359 300 руб., 1%)</t>
  </si>
  <si>
    <t>777 150 000</t>
  </si>
  <si>
    <t>amaslova@mantracvostok.com, mv@mantracvostok.com, yrusetskaya@mantracvostok.com</t>
  </si>
  <si>
    <t>mantracvostok.ru</t>
  </si>
  <si>
    <t>ЮНАТРАК СУБКО ЛИМИТЕД (832 269 924.61 руб., 66.77%)
ДЕЛТА ХОЛДИНГ ГРУП ЛИМИТЕД (414 202 929.38 руб., 33.23%)</t>
  </si>
  <si>
    <t>448 320 000</t>
  </si>
  <si>
    <t>acc@margaron.ru, fin@margaron.ru, office@margoron.ru</t>
  </si>
  <si>
    <t>www.margaron.ru</t>
  </si>
  <si>
    <t>Маношкин Евгений Александрович (208 400 руб., 100%)</t>
  </si>
  <si>
    <t>185 320 000</t>
  </si>
  <si>
    <t>valentina.ladygina@ru.mareven.com</t>
  </si>
  <si>
    <t>www.mareven.com, www.mereven.com</t>
  </si>
  <si>
    <t>ООО "МАРЕВЕН ФУД ХОЛДИНГС ЛИМИТЕД" (991 850 958 руб., 100%)</t>
  </si>
  <si>
    <t>mariinsklvz@polenet.ru, mordasovals@sygroup.ru</t>
  </si>
  <si>
    <t>10 640 000</t>
  </si>
  <si>
    <t>avtodor@mari-el.ru, dorstoi@mari-el.ru, idrsgup@mail.ru, info-mad@mar-dor.ru, office@mar-dor.ru</t>
  </si>
  <si>
    <t>marinebrend@mail.ru</t>
  </si>
  <si>
    <t>Серяев Евгений Александрович (10 000 руб., 100%)</t>
  </si>
  <si>
    <t>14 900 000</t>
  </si>
  <si>
    <t>contact@marex.spb.ru</t>
  </si>
  <si>
    <t>www.marex.biz</t>
  </si>
  <si>
    <t>Кузьмин Андрей Валерьевич (10 000 000 руб., 100%)</t>
  </si>
  <si>
    <t>233 290 000</t>
  </si>
  <si>
    <t>1@maria-ra.ru, a1@maria-ra.ru, br299@maria-ra.ru</t>
  </si>
  <si>
    <t>maria-ra.ru</t>
  </si>
  <si>
    <t>Ракшин Александр Федорович (337 750 руб., 25%)
Ракшин Евгений Александрович (337 750 руб., 25%)
Ракшина Алла Александровна (337 750 руб., 25%)
Ракшина Галина Степановна (337 750 руб., 25%)</t>
  </si>
  <si>
    <t>3 261 240 000</t>
  </si>
  <si>
    <t>reception@msrus.ru</t>
  </si>
  <si>
    <t>msrus.ru, www.marksandspencer.ru</t>
  </si>
  <si>
    <t>MARKA MAGAZACILIK ANONIM SIRKETI (40 992 500 руб., 95%)
Сенер Ойа (1 726 000 руб., 4%)
Булум Айдыноглу Йешим (431 500 руб., 1%)</t>
  </si>
  <si>
    <t>1 222 700 000</t>
  </si>
  <si>
    <t>laraan@market-line.spb.ru, mumrina@mline.spb.ru, tichonova@mline.spb.ru</t>
  </si>
  <si>
    <t>www.market-line.spb.ru</t>
  </si>
  <si>
    <t>Заборский Владимир Борисович (5 000 руб., 50%)
Михайлова Наталья Владимировна (5 000 руб., 50%)</t>
  </si>
  <si>
    <t>86 950 000</t>
  </si>
  <si>
    <t>d.petrov@phv.phg.gazprom.ru, phg@phg.gazprom.ru, s.gorelov@phv.phg.gazprom.ru, secretar@phg.gazprom.ru, sekretar@msk.phg.gazprom.ru</t>
  </si>
  <si>
    <t>ГАЗПРОМ, ПАО (2 010 000 000 руб., 100%)</t>
  </si>
  <si>
    <t>buy@shopandshow.ru, clients@shopandshow.ru, dist@shopandshow.ru, hr@shopandshow.ru, info@shopandshow.ru</t>
  </si>
  <si>
    <t>https://shopandshow.ru</t>
  </si>
  <si>
    <t>КОМПАНИЯ "АВЕКИНА ЛИМИТЕД" (100 000 руб., 100%)</t>
  </si>
  <si>
    <t>Торговля розничная по почте или по информационно-коммуникационной сети Интернет</t>
  </si>
  <si>
    <t>80 740 000</t>
  </si>
  <si>
    <t>complaint@market.yandex.ru, corporate@yandex-team.ru</t>
  </si>
  <si>
    <t>ЯНДЕКС, ООО (16 180 372 448 руб., 100%)</t>
  </si>
  <si>
    <t>admin@promokod-kupon.ru, help@goods.ru, info@promokod-kupon.ru, service@goods.ru, support@tanki-shop.ru</t>
  </si>
  <si>
    <t>goods.ru</t>
  </si>
  <si>
    <t>ekt@marr.ru, info@marr.ru, mlobanov@marr.ru, nsk@marr.ru, rnd@marr.ru, smr@marr.ru, spb@marr.ru</t>
  </si>
  <si>
    <t>ТПФ КАСКАД, ООО (75 000 000 руб., 75%)
Старостенко Игорь Владимирович (25 000 000 руб., 25%)</t>
  </si>
  <si>
    <t>430 280 000</t>
  </si>
  <si>
    <t>www.cis.mars.com</t>
  </si>
  <si>
    <t>ВМ. РИГЛИ ДЖ. КОМПАНИ (2 388 439 768.0257 руб., 62.78%)
МАРС ГМБХ (1 415 965 100.0943 руб., 37.21%)</t>
  </si>
  <si>
    <t>13 821 350 000</t>
  </si>
  <si>
    <t>marsala.su</t>
  </si>
  <si>
    <t>Быков Кирилл Игоревич (300 000 руб., 100%)</t>
  </si>
  <si>
    <t>2 110 000</t>
  </si>
  <si>
    <t>gb@martin.su, info@martin.su</t>
  </si>
  <si>
    <t>www.martin.su</t>
  </si>
  <si>
    <t>Бабоян Арутюн Овакимович (9 751 950 руб., 19.50%)
Бабоян Кристина Размиковна (9 751 950 руб., 19.50%)
Бабоян Гайк Амаякович (2 500 500 руб., 5%)
Мгдесян Айк Карапетович (2 500 500 руб., 5%)
Бабоян Арарат Хачатурович (2 400 480 руб., 4.80%)
Сурмалян Мамикон Арутюнович (2 400 480 руб., 4.80%)
Балоян Саргис Хачатурович (2 300 460 руб., 4.60%)
Гаспарян Акоп Суренович (2 300 460 руб., 4.60%)
Гаспарян Ваграм Суренович (2 300 460 руб., 4.60%)
Кртян Микаел Григорьевич (2 300 460 руб., 4.60%)
...*</t>
  </si>
  <si>
    <t>74 630 000</t>
  </si>
  <si>
    <t>art-k@maruga.ru</t>
  </si>
  <si>
    <t>www.maruga.ru</t>
  </si>
  <si>
    <t>Карапетян Артем Карленович (50 000 руб., 100%)</t>
  </si>
  <si>
    <t>937 780 000</t>
  </si>
  <si>
    <t>info.mmru@gmail.com, ru@marcegaglia.com, tatyana.suslova@marcegaglia.com</t>
  </si>
  <si>
    <t>https://www.marcegaglia.ru/, www.marcegaglia.com</t>
  </si>
  <si>
    <t>MARIVEN S.R.L. (1 099 325 256 руб., 100%)</t>
  </si>
  <si>
    <t>563 090 000</t>
  </si>
  <si>
    <t>info@maremplus.ru</t>
  </si>
  <si>
    <t>www.eurosib.ru/ru/about/structure/#marem</t>
  </si>
  <si>
    <t>МАЙСКОЕ, ООО (99 909 990 руб., 99.90%)
ЕВРОСИБЭНЕРГО-РАСПРЕДЕЛЕННАЯ ГЕНЕРАЦИЯ, ООО (100 010 руб., 0.10%)</t>
  </si>
  <si>
    <t>69 990 000</t>
  </si>
  <si>
    <t>sales@albionchem.ru, tend.m01@albionchem.ru</t>
  </si>
  <si>
    <t>albionchem.ru</t>
  </si>
  <si>
    <t>Старцев Максим Анатольевич (412 500 руб., 75%)
Булдыгина Ирина Николаевна (137 500 руб., 25%)</t>
  </si>
  <si>
    <t>224 080 000</t>
  </si>
  <si>
    <t>timoshenko@maisadour.com</t>
  </si>
  <si>
    <t>www.masseeds.fr</t>
  </si>
  <si>
    <t>АКЦИОНЕРНОЕ ОБЩЕСТВО "МАЙЗАДУР СЕМАНС" (1 830 000 руб., 100%)</t>
  </si>
  <si>
    <t>99 110 000</t>
  </si>
  <si>
    <t>airport@yamalspg.ru, nikita.andreev@yamalspg.ru, sabetta.aero@yamalspg.ru, t.shvetsova@yamalspg.ru</t>
  </si>
  <si>
    <t>http://www.sabetta.aero</t>
  </si>
  <si>
    <t>ЯМАЛ СПГ, ОАО (16 954 866 490 руб., 100%)</t>
  </si>
  <si>
    <t>nmakarenko@maschio.ru, safronova@maschionet.ru</t>
  </si>
  <si>
    <t>www.maschionet.com</t>
  </si>
  <si>
    <t>АО "Маскио Гаспардо S.Р.А" (11 078 950 руб., 100%)</t>
  </si>
  <si>
    <t>55 900 000</t>
  </si>
  <si>
    <t>amekhanik@me.com, boris.tovalev@bunge.com, info.ru@bunge.com, info@maslenytsa.com</t>
  </si>
  <si>
    <t>www.bunge.com, www.bunge.ru, www.ideal-eda.ru, www.oleina.ru</t>
  </si>
  <si>
    <t>АГРОИНВЕСТ, ООО (1 327 094 477 руб., 100%)</t>
  </si>
  <si>
    <t>1 680 260 000</t>
  </si>
  <si>
    <t>glbuh@nytva-maslo.ru, ilkudrya@yandex.ru, info@nytva-maslo.ru, nytva-maslo@mail.ru, tender@nytva-maslo.ru</t>
  </si>
  <si>
    <t>nytva-maslo.ru</t>
  </si>
  <si>
    <t>Поздеев Сергей Владимирович (1 749 300 руб., 100%)</t>
  </si>
  <si>
    <t>468 720 000</t>
  </si>
  <si>
    <t>comotd@mezt.ru, hr@mezt.ru, mez-36@mail.ru, shiryaev@mezt.ru, snabotd@mezt.ru, zakup@mezt.ru</t>
  </si>
  <si>
    <t>mezt.ru</t>
  </si>
  <si>
    <t>Ширяев Геннадий Иванович (1 000 000 руб., 100%)</t>
  </si>
  <si>
    <t>nshvarc@yandex.ru</t>
  </si>
  <si>
    <t>www.unimilk.ru</t>
  </si>
  <si>
    <t>23 490 000</t>
  </si>
  <si>
    <t>www.zaraholding.com, массимодутти.рф</t>
  </si>
  <si>
    <t>ИНДУСТРИЯ ДЕ ДИСЕНЬО ТЕКСТИЛЬ, С.А. (35 874 090 руб., 99.90%)
ЗАРА ХОЛДИНГ Б.В. (35 910 руб., 0.10%)</t>
  </si>
  <si>
    <t>459 100 000</t>
  </si>
  <si>
    <t>trade@mustcompany.ru</t>
  </si>
  <si>
    <t>mustcompany.ru</t>
  </si>
  <si>
    <t>Куницкая Екатерина Владимировна (343 000 руб., 49%)
Макаров Сергей Александрович (343 000 руб., 49%)
Галямов Эдуард Ринатович (14 000 руб., 2%)</t>
  </si>
  <si>
    <t>655 790 000</t>
  </si>
  <si>
    <t>larisa.pronina@championx.com</t>
  </si>
  <si>
    <t>m-chem.ru</t>
  </si>
  <si>
    <t>ЧЕМПИОН ЭКС СЕРВИСИЗ, ООО (52 000 руб., 52%)
ЗАО "Кемикал Инновейшнс НЛ Б.В." (48 000 руб., 48%)</t>
  </si>
  <si>
    <t>100 730 000</t>
  </si>
  <si>
    <t>2801280@mail.ru</t>
  </si>
  <si>
    <t>КОТТОНВЭЙ ЛИМИТЕД (8 751 250 руб., 100%)</t>
  </si>
  <si>
    <t>areschenko@brokinvest.ru, sale@master-metalla.ru</t>
  </si>
  <si>
    <t>www.master-metalla.ru</t>
  </si>
  <si>
    <t>214 660 000</t>
  </si>
  <si>
    <t>www.posterscope.com</t>
  </si>
  <si>
    <t>КОМПАНИЯ С ОГРАНИЧЕННОЙ ОТВЕТСТВЕННОСТЬЮ "ХУЛЛБИТТ ЛИМИТЕД" (HULLBITT LIMITED) (5 000 000 руб., 100%)</t>
  </si>
  <si>
    <t>38 540 000</t>
  </si>
  <si>
    <t>moscow@masterbatchsv.ru</t>
  </si>
  <si>
    <t>www.masterbatchsv.ru</t>
  </si>
  <si>
    <t>Фомцов Алексей Владимирович (4 000 руб., 40%)
Фомцов Владимир Дмитриевич (4 000 руб., 40%)
Фомцов Антон Владимирович (2 000 руб., 20%)</t>
  </si>
  <si>
    <t>29 570 000</t>
  </si>
  <si>
    <t>bibikoe@mail.ru, loktine1984@mail.ru</t>
  </si>
  <si>
    <t>Рогачкин Павел Алексеевич (10 000 руб., 100%)</t>
  </si>
  <si>
    <t>Производство прочих изделий из гипса, бетона или цемента</t>
  </si>
  <si>
    <t>baklanova.marina@gmail.com, post@masterscard.ru</t>
  </si>
  <si>
    <t>masterscard.ru</t>
  </si>
  <si>
    <t>Казовский Наум Иосифович (617 500 руб., 61.75%)
Данилова Инна Наумовна (382 500 руб., 38.25%)</t>
  </si>
  <si>
    <t>4952589047@mail.ru, bashkireva@pharmcompany.ru, bendrikova@masterfast.info, butyleva@pharmcompany.ru, gerasimchuk@pharmstore.info, inf0@pharmcompany.ru, infi@pharmcompany.ru, info@phanncompany.ru, info@pharcompani.ru, info@pharmcjmpany.ru</t>
  </si>
  <si>
    <t>pharmcompany.ru</t>
  </si>
  <si>
    <t>390 020 000</t>
  </si>
  <si>
    <t>ermolaeva@naturfoods.ru, info@natfoo.ru, info@naturfoods.net, info@naturfoods.ru, info@snackfru.ru, info@snackgo.ru</t>
  </si>
  <si>
    <t>www.naturfoods.ru</t>
  </si>
  <si>
    <t>Садыков Мехрубон Хилолиддинович (5 000 000 руб., 100%)</t>
  </si>
  <si>
    <t>Торговля оптовая свежими фруктами и орехами</t>
  </si>
  <si>
    <t>buhprod@airportufa.ru, contract@airportufa.ru, golubev@airportufa.ru, mau@airportufa.ru, oz2@airportufa.ru, ticket@airportufa.ru, tisto@airportufa.ru, zakup@airportufa.ru</t>
  </si>
  <si>
    <t>airportufa.ru</t>
  </si>
  <si>
    <t>452 410 000</t>
  </si>
  <si>
    <t>duka@donstone.ru, marina.voitegina@yandex.ru, nata051282@mail.ru</t>
  </si>
  <si>
    <t>www.mashprom.com</t>
  </si>
  <si>
    <t>Елагин Андрей Викторович (10 000 руб., 100%)</t>
  </si>
  <si>
    <t>17 350 000</t>
  </si>
  <si>
    <t>info@mashstalprom.ru</t>
  </si>
  <si>
    <t>mashstalprom.ru</t>
  </si>
  <si>
    <t>3 480 000</t>
  </si>
  <si>
    <t>ЭВ-ГРУПП, ООО (8 520 000 руб., 100%)</t>
  </si>
  <si>
    <t>830 560 000</t>
  </si>
  <si>
    <t>mayak@sura.ru, mayakref@mayak-penza.ru, mayakref@sura.ru, mayprog@sura.com.ru</t>
  </si>
  <si>
    <t>mayak-penza.ru</t>
  </si>
  <si>
    <t>1 064 160 000</t>
  </si>
  <si>
    <t>info@slata.ru</t>
  </si>
  <si>
    <t>КОРПОРАТИВНЫЙ ЦЕНТР ИКС 5, ООО (140 224 000 руб., 70%)
РОЗНИЧНЫЕ ТЕХНОЛОГИИ, ООО (60 096 000 руб., 30%)</t>
  </si>
  <si>
    <t>adunaeva@mayak-technocell.com</t>
  </si>
  <si>
    <t>http://www.mayak-technocell.com</t>
  </si>
  <si>
    <t>МАЯК, ОАО (153 900 000 руб., 60%)
ООО ТЕХНОЦЕЛЛ БЭТАЙЛИГУНГЕН (102 600 000 руб., 40%)</t>
  </si>
  <si>
    <t>1 001 120 000</t>
  </si>
  <si>
    <t>desaytnikova@mayakprint.ru, mayakprint@sura.ru, opcmay@sura.ru</t>
  </si>
  <si>
    <t>mayakprint.ru</t>
  </si>
  <si>
    <t>МАЯК, ОАО (21 884 457 руб., 100%)</t>
  </si>
  <si>
    <t>214 680 000</t>
  </si>
  <si>
    <t>Мищенко Анатолий Валерьевич (10 000 руб., 100%)</t>
  </si>
  <si>
    <t>16 300 000</t>
  </si>
  <si>
    <t>v.lobova@mb-belyaevo.ru</t>
  </si>
  <si>
    <t>www.mb-belyaevo, www.mb-belyaevo.ru</t>
  </si>
  <si>
    <t>530 480 000</t>
  </si>
  <si>
    <t>yudina_mm@mb-i.ru</t>
  </si>
  <si>
    <t>mb-i.ru, www.mercedes-izmaylovo.ru</t>
  </si>
  <si>
    <t>Мальгин Игорь Вячеславович (22 084 800 руб., 48%)
Васильченко Тамара Александровна (12 422 700 руб., 27%)
Савицкий Сергей Николаевич (11 502 500 руб., 25%)</t>
  </si>
  <si>
    <t>433 540 000</t>
  </si>
  <si>
    <t>ivanoval@mba_udp.ru, mba@mail.ru, mba@pmc.ry, taras.tsyba@mail.ru, zepkovskaya@mba-udp.ru</t>
  </si>
  <si>
    <t>fgup-mba.ru, mba-udp.ru</t>
  </si>
  <si>
    <t>nikolaenko@mbk-st.ru</t>
  </si>
  <si>
    <t>mbk-st.ru</t>
  </si>
  <si>
    <t>Крайнов Андрей Александрович (7 000 руб., 70%)
Будущев Сергей Николаевич (3 000 руб., 30%)</t>
  </si>
  <si>
    <t>235 550 000</t>
  </si>
  <si>
    <t>info@mbc-m.ru</t>
  </si>
  <si>
    <t>www.mbc-m.ru</t>
  </si>
  <si>
    <t>Крайнова Ольга Анатольевна (6 000 руб., 51%)
Бабаян Михаил Вигенович (2 875 руб., 24.50%)
Гатин Альберт Фаритович (2 875 руб., 24.50%)</t>
  </si>
  <si>
    <t>172 720 000</t>
  </si>
  <si>
    <t>astahov.a@ooombc.ru, kasymova.l@ooombc.ru, maitova@oooombc.ru</t>
  </si>
  <si>
    <t>www.monarh.su</t>
  </si>
  <si>
    <t>Крайнов Андрей Александрович (10 000 руб., 100%)</t>
  </si>
  <si>
    <t>215 260 000</t>
  </si>
  <si>
    <t>stroysist.ru</t>
  </si>
  <si>
    <t>"БАСФ КОНСТРАКШЕН КЕМИКЭЛС ГМБХ" (99 000 000 руб., 99%)
КОНСТРУКТИОН РИСЕЧ И ТЕКНОЛОДЖИ ГМБХ (1 000 000 руб., 1%)</t>
  </si>
  <si>
    <t>233 140 000</t>
  </si>
  <si>
    <t>masianog@suek.ru, mbt@suek.ru, murgt@murgt.ru, vaseninin@suek.ru</t>
  </si>
  <si>
    <t>ММТП, АО (206 293 500 руб., 99.90%)
СУЭК, АО (206 500 руб., 0.10%)</t>
  </si>
  <si>
    <t>1 225 950 000</t>
  </si>
  <si>
    <t>a076dir@eldorado.ru, aizosimov@me.com, kristina.kiseleva2@mvideo.ru</t>
  </si>
  <si>
    <t>www.mvideo.ru</t>
  </si>
  <si>
    <t>М.ВИДЕО, ПАО (2 486 803 680 руб., 68.94%)
БОВЕСТО, ООО (910 818 000 руб., 25.25%)
БТ ХОЛДИНГ, ООО (209 578 320 руб., 5.81%)</t>
  </si>
  <si>
    <t>Горячев Сергей Юрьевич (5 000 руб., 50%)
Сыщиков Андрей Константинович (5 000 руб., 50%)</t>
  </si>
  <si>
    <t>68 360 000</t>
  </si>
  <si>
    <t>esobolev@mvs.group</t>
  </si>
  <si>
    <t>УРБАНТЕХ-М, ООО (538 406 981.8 руб., 100%)</t>
  </si>
  <si>
    <t>694 120 000</t>
  </si>
  <si>
    <t>office@mtpor.ru</t>
  </si>
  <si>
    <t>39 000 000</t>
  </si>
  <si>
    <t>info@msk.ltcompany.com</t>
  </si>
  <si>
    <t>www.ltcompany.com</t>
  </si>
  <si>
    <t>НАЛОГИНЫ И КОМПАНИИ, ООО (150 000 000 руб., 50%)
Мишкин Сергей Валериевич (120 000 000 руб., 40%)
Нинкилери Тхазхиллатх Сатиш (15 000 000 руб., 5%)
Пазхедатх Гопакумар (15 000 000 руб., 5%)</t>
  </si>
  <si>
    <t>60 220 000</t>
  </si>
  <si>
    <t>МЕТРО КЭШ ЭНД КЕРРИ, ООО (145 471 191.43 руб., 99.99%)
МЕТРО КЭШ ЭНД КЕРРИ ИМПОРТ, ООО (14 548.57 руб., 0.010%)</t>
  </si>
  <si>
    <t>1 084 700 000</t>
  </si>
  <si>
    <t>mda_group@bk.ru</t>
  </si>
  <si>
    <t>Ахмадов Муса Доттаевич (100 000 руб., 100%)</t>
  </si>
  <si>
    <t>29 980 000</t>
  </si>
  <si>
    <t>mdv-gr@yandex.ru</t>
  </si>
  <si>
    <t>Халиев Илья Эльбрусович (10 000 руб., 100%)</t>
  </si>
  <si>
    <t>glbuh@buhburo.info</t>
  </si>
  <si>
    <t>Мигушов Игорь Алексеевич (20 000 руб., 100%)</t>
  </si>
  <si>
    <t>546-704@mail.ru, detskaya-mebel72@mail.ru, mebel-market72@mail.ru, mebeldp@bk.ru</t>
  </si>
  <si>
    <t>Горинов Александр Сергеевич (10 000 руб., 100%)</t>
  </si>
  <si>
    <t>Торговля розничная прочая вне магазинов, палаток, рынков</t>
  </si>
  <si>
    <t>gbuh@lerom.ru</t>
  </si>
  <si>
    <t>www.lerom.ru</t>
  </si>
  <si>
    <t>Лега Татьяна Васильевна (960 000 руб., 80%)
Лега Роман Валентинович (120 000 руб., 10%)
ЛЕРОМ, ООО (120 000 руб., 10%)</t>
  </si>
  <si>
    <t>509 360 000</t>
  </si>
  <si>
    <t>d-ivanova@marya.ru</t>
  </si>
  <si>
    <t>www.marya.ru</t>
  </si>
  <si>
    <t>Кац Ефим Ильич (107 096 200 руб., 100%)</t>
  </si>
  <si>
    <t>Производство кухонной мебели</t>
  </si>
  <si>
    <t>75 540 000</t>
  </si>
  <si>
    <t>Компания "ИНГКА Холдинг Юроп Б.В." (4 534 145 394 руб., 100%)</t>
  </si>
  <si>
    <t>1 665 640 000</t>
  </si>
  <si>
    <t>МЕГАМИКС КОМБИКОРМ, ООО (499 950 руб., 99.99%)
Фризен Василий Генрихович (50 руб., 0.010%)</t>
  </si>
  <si>
    <t>118 820 000</t>
  </si>
  <si>
    <t>www.mega-stroy.su</t>
  </si>
  <si>
    <t>Иванов Валерий Васильевич (10 000 руб., 100%)</t>
  </si>
  <si>
    <t>putilova@gkm.ru</t>
  </si>
  <si>
    <t>ТК МЕГАПОЛИС, АО (301 379 859 руб., 99.99%)
СОВИНТЕРАВТОСЕРВИС, АО (30 141 руб., 0.010%)</t>
  </si>
  <si>
    <t>323 880 000</t>
  </si>
  <si>
    <t>[m.malceva@office-vp.spb.ru, i.sheydyakova@office-vp.spb.ru, info@megalinestroy.ru, n261176@mail.ru, o.megalayn@yandex.ru</t>
  </si>
  <si>
    <t>megalinestroy.ru</t>
  </si>
  <si>
    <t>ЛАХТА, ООО (500 000 руб., 100%)</t>
  </si>
  <si>
    <t>226 040 000</t>
  </si>
  <si>
    <t>anv@megamade.ru, aov@megamade.ru, ikm@megamade.ru, skv@megamade.ru</t>
  </si>
  <si>
    <t>megamade.ru</t>
  </si>
  <si>
    <t>info@megamiks.ru, info@megamix.ru, suleymanova@yandex.com, vinogradova.e@megamix.ru</t>
  </si>
  <si>
    <t>www.megamix.ru</t>
  </si>
  <si>
    <t>Власов Арсений Сергеевич (1 015 000 руб., 50%)
Фризен Василий Генрихович (1 015 000 руб., 50%)</t>
  </si>
  <si>
    <t>info@megapack.ru, makarovam@megapack.ru, pa@megapack.ru</t>
  </si>
  <si>
    <t>www.megapack.ru</t>
  </si>
  <si>
    <t>ОМЕГА ИНВЕСТ, ООО (250 243 300 руб., 100%)</t>
  </si>
  <si>
    <t>148 000 000</t>
  </si>
  <si>
    <t>megapolismsk.ru</t>
  </si>
  <si>
    <t>СТРОЙАКТИВ, ООО (10 000 руб., 100%)</t>
  </si>
  <si>
    <t>587 380 000</t>
  </si>
  <si>
    <t>kolmykov07@mail.ru, z.anisimova@terift.ru</t>
  </si>
  <si>
    <t>Старостин Филипп Викторович (46 900 руб., 67%)
Колмыков Александр Михайлович (23 100 руб., 33%)</t>
  </si>
  <si>
    <t>Деятельность в области спорта прочая</t>
  </si>
  <si>
    <t>91 860 000</t>
  </si>
  <si>
    <t>КАУЗА-ФЦКО (19 394 135.39 руб., 99.99%)
КРОНОШПАН ХОЛДИНГС ИСТ ЛИМИТЕД (1 939.61 руб., 0.010%)</t>
  </si>
  <si>
    <t>160 460 000</t>
  </si>
  <si>
    <t>megasi@mail.ru</t>
  </si>
  <si>
    <t>www.fondkadyrova.net</t>
  </si>
  <si>
    <t>Гудуев Юсуп Мохмад-Эмиевич (14 000 руб., 70%)
Бацуев Муса Ризванович (6 000 руб., 30%)</t>
  </si>
  <si>
    <t>6 100 000</t>
  </si>
  <si>
    <t>mail@megafon-retail.ru</t>
  </si>
  <si>
    <t>adygea.shop.megafon.ru, alania.shop.megafon.ru, altay.shop.megafon.ru, altrep.shop.megafon.ru, amur.shop.megafon.ru, arhangelsk.shop.megafon.ru, astrakhan.shop.megafon.ru, bashkortostan.shop.megafon.ru, bel.shop.megafon.ru, brn.shop.megafon.ru</t>
  </si>
  <si>
    <t>МЕГАФОН, ПАО (1 000 100 000 руб.)</t>
  </si>
  <si>
    <t>3 883 210 000</t>
  </si>
  <si>
    <t>Мирзаханян Оганнес Карапетович (20 000 руб., 100%)</t>
  </si>
  <si>
    <t>priemnayamr@nornik.ru</t>
  </si>
  <si>
    <t>ГМК НОРИЛЬСКИЙ НИКЕЛЬ, ПАО (19 953 545 920 руб., 100%)</t>
  </si>
  <si>
    <t>Добыча руд прочих цветных металлов</t>
  </si>
  <si>
    <t>12 162 790 000</t>
  </si>
  <si>
    <t>Проценко Елена Владимировна (1 000 000 руб., 100%)</t>
  </si>
  <si>
    <t>140 030 000</t>
  </si>
  <si>
    <t>a.lukjanova@vnov.emg.fm, t.churpita@emg.fm</t>
  </si>
  <si>
    <t>adwolf.ru, https://emg.fm/office/sochi</t>
  </si>
  <si>
    <t>atv.med@gmail.com, atv.med@gmail.ru, d.koryagin@medabv.ru, d.orlova@medabv.ru, mediaservis@gmail.com, t.antonova@medabv.ru, v.korol@medabv.ru</t>
  </si>
  <si>
    <t>www.medabv.ru</t>
  </si>
  <si>
    <t>Григорян Вруйр Робертович (500 000 руб., 50%)
Ханджян Лилит Давидовна (500 000 руб., 50%)</t>
  </si>
  <si>
    <t>1 471 150 000</t>
  </si>
  <si>
    <t>reception@mediatradegroup.ru</t>
  </si>
  <si>
    <t>mediatradegroup.ru</t>
  </si>
  <si>
    <t>Бартенев Дмитрий Павлович (250 000 руб., 25%)
Долженков Павел Александрович (250 000 руб., 25%)
Бахтеров Алексей Владимирович (200 000 руб., 20%)
Чешко Артем Александрович (150 000 руб., 15%)
Чешко Дмитрий Александрович (150 000 руб., 15%)</t>
  </si>
  <si>
    <t>215 700 000</t>
  </si>
  <si>
    <t>auction@medilon.ru, echikaleva@medilon.ru, info@medilo.ru, madilon@mail.ru, mailmedilon@mail.ru, medilion@mail.ru, mediloin@mail.ru, medilon2@mail.ru, medilon37@mail.ru, medilon44@mail.ru</t>
  </si>
  <si>
    <t>medilon.ru</t>
  </si>
  <si>
    <t>НПКФ ФАРМИМЭКС, АО (9 250 руб., 92.50%)
Сачевкин Василий Альбертович (750 руб., 7.50%)</t>
  </si>
  <si>
    <t>61 780 000</t>
  </si>
  <si>
    <t>medilux_gb@email.reso.ru, mikhail.tishman@gmail.com, rogovavit@gmail.com</t>
  </si>
  <si>
    <t>medswiss-spb.ru</t>
  </si>
  <si>
    <t>РЕСОТРАСТ, ООО (1 025 000 руб., 100%)</t>
  </si>
  <si>
    <t>1 382 620 000</t>
  </si>
  <si>
    <t>aleshina@medintorg.ru, arsenteva@medintorg.ru, ba@med.ru, barcevk@medintorg.ru, ea@yandrx.ru, fedotova@medintirg.ru, fedotova@medintorg.ru, info@medintorg.ru, julia.keltseva@medintorg.ru, julia.keltsva@medintorq.ru</t>
  </si>
  <si>
    <t>www.medintorg.ru</t>
  </si>
  <si>
    <t>info@medipal.ru, info@medipalexport.ru</t>
  </si>
  <si>
    <t>МЕДИПАЛ, ООО (8 500 руб., 85%)
Носов Павел Андреевич (1 500 руб., 15%)</t>
  </si>
  <si>
    <t>info@medipal.ru, shim999@yandex.ru</t>
  </si>
  <si>
    <t>medipal.ru</t>
  </si>
  <si>
    <t>Камелина Наталья Борисовна (243 137 400 руб., 34%)
Немцев Алексей Евгеньевич (235 986 300 руб., 33%)
Юдина Елена Владимировна (235 986 300 руб., 33%)</t>
  </si>
  <si>
    <t>1 378 210 000</t>
  </si>
  <si>
    <t>6628494@mail.ru, abuhazipova@medipal.ru, akulina@medipal.ru, arefeva@medipal.ru, bogatyreva@medipal.ru, boichuk@medipal.ru, chibisova@medipalonko.ru, churieva@madipal.ru, d@h.ru, edipalonco@mail.ru</t>
  </si>
  <si>
    <t>МЕДИПАЛ, ООО (500 000 руб., 100%)</t>
  </si>
  <si>
    <t>United Agencies Limited SA (18 933 750 руб., 99%)
МЕДЛОГ СА (191 250 руб., 1%)</t>
  </si>
  <si>
    <t>57 540 000</t>
  </si>
  <si>
    <t>contact@medicina.ru, dou@medicina.ru, glavbuh@medicina.ru, info@ingenerengstroy.ru, info@nuclearcenter.ru</t>
  </si>
  <si>
    <t>www.medicina.ru, www.profaudit.ru</t>
  </si>
  <si>
    <t>386 930 000</t>
  </si>
  <si>
    <t>Агарков Денис Михайлович (5 000 руб., 50%)
Волобуева Людмила Семеновна (5 000 руб., 50%)</t>
  </si>
  <si>
    <t>9 620 000</t>
  </si>
  <si>
    <t>pochta@medsi2.ru</t>
  </si>
  <si>
    <t>960 890 000</t>
  </si>
  <si>
    <t>i.filippova@medsnabpharm.ru, info@medsnabm.ru, info@pharma.mks.ru, k.gromozda@medsnabpharm.ru, medcnab@pharmamsk.ru, medsab@pharmamks.ru, medsnab@pharm.msk.ru, medsnab@pharma.msk.ru, medsnab@pharma.ru, medsnab@pharmamk.ru</t>
  </si>
  <si>
    <t>Сухомлинова Надежда Васильевна (10 000 руб., 100%)</t>
  </si>
  <si>
    <t>31 150 000</t>
  </si>
  <si>
    <t>ko@mtrb.ru, medtech@mtrbl.ru, metdech@mtrb.ru, mtrb@yandex.ru, mtrbufa@mail.ru, rr.gainutdinov@mtrb.ru, sudovikova@bk.ru, ufazam@mail.ru, w@mtrb.ru</t>
  </si>
  <si>
    <t>mtrb.ru</t>
  </si>
  <si>
    <t>МЕДЭКСПОСЕРВИС, ООО (159 833 245 руб., 100%)</t>
  </si>
  <si>
    <t>315 860 000</t>
  </si>
  <si>
    <t>79aav@mail.ru, info@severdez.ru, operator@med51.ru, ulanova@med51.ru</t>
  </si>
  <si>
    <t>medteh-murm.ru</t>
  </si>
  <si>
    <t>Аносов Андрей Викторович (10 000 руб., 100%)</t>
  </si>
  <si>
    <t>evgenii.a.starodubtsev@medtronic.com, info.russia@medtronic.ru, kristina.melkonyan@medtronic.com, maria.shirokova@medtronic.com, service.russia@medtronic.com</t>
  </si>
  <si>
    <t>www.medtronic.ru</t>
  </si>
  <si>
    <t>Medtronic Holding B.V. (109 189 080 руб., 99.99%)
МЕДТРОНИК Б. В. (10 920 руб., 0.010%)</t>
  </si>
  <si>
    <t>993 050 000</t>
  </si>
  <si>
    <t>glbuh-m@medchesta.ru</t>
  </si>
  <si>
    <t>medchesta.ru</t>
  </si>
  <si>
    <t>Телепнёва Ольга Владимировна (27 000 000 руб., 100%)</t>
  </si>
  <si>
    <t>alferova@mail.ru, lubochka@medexport-omsk.ru, med30105@mail.ru, msz@list.ru, sevzv@mail.ru, slutskaya@medexport-omsk.ru</t>
  </si>
  <si>
    <t>www.medexport-omsk.ru</t>
  </si>
  <si>
    <t>Милютин Олег Геннадьевич (20 000 руб., 100%)</t>
  </si>
  <si>
    <t>kuznets@makprof.ru</t>
  </si>
  <si>
    <t>www.makprof.ru</t>
  </si>
  <si>
    <t>АЛ5, ООО (42 831 405.5 руб., 50%)
Кононенко Василий Александрович (42 831 405.5 руб., 50%)</t>
  </si>
  <si>
    <t>50 170 000</t>
  </si>
  <si>
    <t>anton.soldatov@vnukovo.ru, dir@vnukovo.ru, dogovor.@vnukovo.ru, dogovor@vnukovo.ru, dsaprykin@yahoo.com, elena.nagaytseva@vnukovo.ru, ildar.miftyagdinov@vnukovo.ru, info@vnukovo.ru, ivan.tselovalnikov@vnukovo.ru, mikhai.rodionov@vnukovo.ru</t>
  </si>
  <si>
    <t>www.vnukovo.ru</t>
  </si>
  <si>
    <t>aerport@mail.ru, airport@airport.ru, airport@tatincom.ru, ffice@airportkzn.ru, gav@airportkzn.ru, hoteladmin@airportkzn.ru, khabibullinara@airportkzn.ru, khasanov@airportkzn.ru, office@airoportkzn.ru, safin_rg@airportkzn.ru</t>
  </si>
  <si>
    <t>www.airport.kazan.ru</t>
  </si>
  <si>
    <t>603 390 000</t>
  </si>
  <si>
    <t>aeroinfo@aer.aero, airportsochik@aer.basel.aero, ekaterinaviu@aer.basel.aero, info@aer.aero, ofce-air@sochi.ru, sergeyvsh@basel.aero</t>
  </si>
  <si>
    <t>4 273 760 000</t>
  </si>
  <si>
    <t>aom@rikt.ru, rcp@aom.rikt.ru</t>
  </si>
  <si>
    <t>aom.m-sk.ru</t>
  </si>
  <si>
    <t>6 935 450 000</t>
  </si>
  <si>
    <t>mpf2000@mail.ru, zakupki@mpftomsk.ru</t>
  </si>
  <si>
    <t>межениновская-птицефабрика.рф</t>
  </si>
  <si>
    <t>Ладыченко Элина Леонидовна (3 000 руб., 30%)
Чуркин Андрей Андреевич (2 627 руб., 26.27%)
Хорошилов Владимир Николаевич (2 626 руб., 26.26%)
Халецкий Федор Николаевич (1 000 руб., 10%)
АИСТ ПЛЮС, ООО (747 руб., 7.47%)</t>
  </si>
  <si>
    <t>341 690 000</t>
  </si>
  <si>
    <t>buro_50@msemo.ru, dgkdjhgk@mail.ru, filialk@yandex.ru, istok.bux@mail.ru, istok_141@mail.ru, istok_141@mail.ru.istok.bux@mail.ru, mshv@mail.ru, pushvoda@mail.ru, shipilova@mr_vk.ru, vkfryazino@yandex.ry</t>
  </si>
  <si>
    <t>http://vodokanalshelkovo.ru/test/, vodokanalshelkovo.ru</t>
  </si>
  <si>
    <t>Московская обл, ЩЁЛКОВСКИЙ МУНИЦИПАЛЬНЫЙ РАЙОН МОСКОВСКОЙ ОБЛАСТИ (760 028 175.3 руб., 100%)</t>
  </si>
  <si>
    <t>buh@mrsb.ru, info@mrsb.ru</t>
  </si>
  <si>
    <t>www.mrsb.ru, www.mrsb.ru/index.php?option=com_content&amp;view=article&amp;id=56&amp;itemid=48</t>
  </si>
  <si>
    <t>Юров Сергей Валерьевич (11 396 700 руб., 81%)
Демин Андрей Александрович (2 669 300 руб., 18.97%)
Киселев Вячеслав Николаевич (4 000 руб., 0.030%)</t>
  </si>
  <si>
    <t>13 050 000</t>
  </si>
  <si>
    <t>06nga@oaommu.ru, himik@poikc.bashnet.ru, oaommu@oaommu.ru</t>
  </si>
  <si>
    <t>www.oaommu.ru</t>
  </si>
  <si>
    <t>299 760 000</t>
  </si>
  <si>
    <t>econom-melmol@mail.ru, melmol@narod.ru</t>
  </si>
  <si>
    <t>melmol.ru</t>
  </si>
  <si>
    <t>Яровой Андрей Владимирович (33 635 323.71 руб., 79.14%)
Высоцкий Андрей Викторович (8 772 773.21 руб., 20.64%)
Беляев Сергей Клавдиевич (50 915.83 руб., 0.11%)
Полякова Светлана Николаевна (29 811.22 руб., 0.070%)
Рахмангулова Татьяна Петровна (11 145.48 руб., 0.026%)
Якупов Фарит Мусаевич (30.55 руб., 0.00010%)</t>
  </si>
  <si>
    <t>20 350 000</t>
  </si>
  <si>
    <t>mmkmyaso@yandex.ru, pgv@meleuz-mk.ru</t>
  </si>
  <si>
    <t>Авласевич Олег Иванович (100 000 руб., 100%)</t>
  </si>
  <si>
    <t>il@melbet.ru, info@melbet.ru</t>
  </si>
  <si>
    <t>https://melbet.ru/</t>
  </si>
  <si>
    <t>Кеббул Мария Ламриевна (100 020 000 руб., 50.01%)
Ляпустин Игорь Витальевич (99 980 000 руб., 49.99%)</t>
  </si>
  <si>
    <t>1 954 260 000</t>
  </si>
  <si>
    <t>info@melston.ru, korotkaya.oe@melston.ru, ratnikova.mv@melston.ru</t>
  </si>
  <si>
    <t>www.melston.ru</t>
  </si>
  <si>
    <t>Фролов Кирилл Валерьевич (100 000 руб., 100%)</t>
  </si>
  <si>
    <t>369 840 000</t>
  </si>
  <si>
    <t>info@melston.ru</t>
  </si>
  <si>
    <t>http://www.melston.ru/</t>
  </si>
  <si>
    <t>Тильдиков Александр Витальевич (14 000 руб., 70%)
Фролов Кирилл Валерьевич (6 000 руб., 30%)</t>
  </si>
  <si>
    <t>654 340 000</t>
  </si>
  <si>
    <t>o.valetov@uc-meltek.ru, priemnaya@uc-meltek.ru</t>
  </si>
  <si>
    <t>uc-meltek.ru</t>
  </si>
  <si>
    <t>БИЗНЕС-АКТИВ, ООО (5 000 руб., 50%)
КЭВРЗ, ООО (5 000 руб., 50%)</t>
  </si>
  <si>
    <t>info@melkombinat3.ru, melkombinat3@mtu-net.ru, mosmill3@orc.ru, salesmk3@orc.ru, srodionova@melkombinat3.ru</t>
  </si>
  <si>
    <t>www.melkombinat3.ru</t>
  </si>
  <si>
    <t>201 410 000</t>
  </si>
  <si>
    <t>info@melkom.ru</t>
  </si>
  <si>
    <t>www.melkom.ru</t>
  </si>
  <si>
    <t>АГРОПРОДСОЮЗ, ООО (44 285 000 руб.)</t>
  </si>
  <si>
    <t>info@meridian.ru, komlev@meridian.ru, korshunova@meridian.ru, marketing@meridian.ru</t>
  </si>
  <si>
    <t>www.meridian.ru</t>
  </si>
  <si>
    <t>320 890 000</t>
  </si>
  <si>
    <t>office@meridian-oil.ru</t>
  </si>
  <si>
    <t>meridian-oil.ru</t>
  </si>
  <si>
    <t>МЕРИДИАН, ООО (57 500 руб., 50%)
Печерица Сергей Владимирович (57 500 руб., 50%)</t>
  </si>
  <si>
    <t>lavkamyasniki@yandex.ru, ms@meridian-llc.ru, pm@meridian-llc.ru</t>
  </si>
  <si>
    <t>meridian-llc.ru</t>
  </si>
  <si>
    <t>Мухиеддин Хуссейн Мохамад (241 560 руб., 60%)
Смирнов Михаил Александрович (158 440 руб., 40%)</t>
  </si>
  <si>
    <t>132 450 000</t>
  </si>
  <si>
    <t>g-k-m.ru</t>
  </si>
  <si>
    <t>Королев Максим Олегович (1 120 000 руб., 100%)</t>
  </si>
  <si>
    <t>10 630 000</t>
  </si>
  <si>
    <t>ooo.mkaluga@bk.ru</t>
  </si>
  <si>
    <t>ТРАНССТРОЙ, ООО (204 081.64 руб., 100%)</t>
  </si>
  <si>
    <t>400 800 000</t>
  </si>
  <si>
    <t>holding@merkatorgroup.ru, merkator@mail.ru, tender@merkatorgroup.ru</t>
  </si>
  <si>
    <t>www.merkator.org, www.merkatorgroup.ru</t>
  </si>
  <si>
    <t>ТРАНССТРОЙ, ООО (10 234 693.88 руб., 100%)</t>
  </si>
  <si>
    <t>39 060 000</t>
  </si>
  <si>
    <t>ЭЛАЙС КОРПОРЕЙТ ЛТД (1 000 000 руб., 100%)</t>
  </si>
  <si>
    <t>12 245 290 000</t>
  </si>
  <si>
    <t>semenko@seus.ru</t>
  </si>
  <si>
    <t>seus.ru</t>
  </si>
  <si>
    <t>КОМЛИТ, АО (50 000 руб.)</t>
  </si>
  <si>
    <t>157 900 000</t>
  </si>
  <si>
    <t>buh.merkury@gmail.com</t>
  </si>
  <si>
    <t>Хусаинов Дамир Шавкатович (10 000 руб., 100%)</t>
  </si>
  <si>
    <t>27 260 000</t>
  </si>
  <si>
    <t>merkuryooo2022@yandex.ru</t>
  </si>
  <si>
    <t>Синатов Андрей Александрович (1 050 000 руб., 100%)</t>
  </si>
  <si>
    <t>1 280 000</t>
  </si>
  <si>
    <t>6398757127@mail.ru</t>
  </si>
  <si>
    <t>Войтин Николай Евгеньевич (1 000 000 руб., 100%)</t>
  </si>
  <si>
    <t>35 030 000</t>
  </si>
  <si>
    <t>ooo-merkury.ru</t>
  </si>
  <si>
    <t>Власов Алексей Александрович (1 500 000 руб., 50%)
Сафиуллин Вячеслав Евгеньевич (1 500 000 руб., 50%)</t>
  </si>
  <si>
    <t>350 910 000</t>
  </si>
  <si>
    <t>КАМЛАЙН, ООО (10 000 руб., 100%)</t>
  </si>
  <si>
    <t>177 160 000</t>
  </si>
  <si>
    <t>Могилин Константин Анатольевич (10 040 000 руб., 100%)</t>
  </si>
  <si>
    <t>tenders@khaskel.ru</t>
  </si>
  <si>
    <t>МЕРЛИОН ДИСТРИБУЦИЯ, ООО (1 999 980 000 руб., 99.55%)
Абрамов Алексей Петрович (5 997 333 руб., 0.30%)
Карчев Олег Геннадьевич (2 998 667 руб., 0.15%)</t>
  </si>
  <si>
    <t>4 943 320 000</t>
  </si>
  <si>
    <t>arkadiy.lukoyanov@daimler.com, dmitriy.shishkin@daimler.com, holger.suffel@daimler.com, natalia.kamzolkina@daimler.com, yulia.murashova@daimler.com</t>
  </si>
  <si>
    <t>https://www.mercedes-benz.ru/passengercars/the-brand/company/issuer-info.module.html, www.mercedes-benz.ru</t>
  </si>
  <si>
    <t>АВТОДОМ, АО (89 901 000 руб., 100%)</t>
  </si>
  <si>
    <t>8 227 820 000</t>
  </si>
  <si>
    <t>info@dcla.ru</t>
  </si>
  <si>
    <t>www.daimlerchryslerservices.com</t>
  </si>
  <si>
    <t>АВТОДОМ, АО (502 047 300 руб., 100%)</t>
  </si>
  <si>
    <t>168 070 000</t>
  </si>
  <si>
    <t>ООО "Мерц Фармасьютикалс ГмбХ" (16 830 000 руб., 99%)
Акц коммандит тов-во "Мерц Фарма ГмбХ и Ко. КГаА" (170 000 руб., 1%)</t>
  </si>
  <si>
    <t>516 350 000</t>
  </si>
  <si>
    <t>m_biterge@hotmail.com</t>
  </si>
  <si>
    <t>www.mesa.com.tr</t>
  </si>
  <si>
    <t>АКЦИОНЕРНОЕ ОБЩЕСТВО "МЕСА ХОЛДИНГ АНОНИМ ШИРКЕТИ" (243 750 руб., 75%)
Битерге Мехмет Мурат (81 250 руб., 25%)</t>
  </si>
  <si>
    <t>54 430 000</t>
  </si>
  <si>
    <t>boss@met-kon-ufa.ru</t>
  </si>
  <si>
    <t>met-kon-ufa.ru</t>
  </si>
  <si>
    <t>Аглиуллин Артур Венерович (310 000 руб., 100%)</t>
  </si>
  <si>
    <t>ekat@gk-mrta.ru, morevpv@gk-meta.ru</t>
  </si>
  <si>
    <t>ТМК МЕТА, ООО (10 000 руб., 100%)</t>
  </si>
  <si>
    <t>133 910 000</t>
  </si>
  <si>
    <t>Кузнецов Валерий Леонидович (10 000 руб., 100%)</t>
  </si>
  <si>
    <t>7 150 000</t>
  </si>
  <si>
    <t>134 890 000</t>
  </si>
  <si>
    <t>info@metabo.ru</t>
  </si>
  <si>
    <t>www.metabo.com</t>
  </si>
  <si>
    <t>ООО "МЕТАБОВЕРКЕ ГМБХ" (20 790 000 руб., 99%)
Elektra Beckum GmbH (210 000 руб., 1%)</t>
  </si>
  <si>
    <t>455 290 000</t>
  </si>
  <si>
    <t>metagon.ru</t>
  </si>
  <si>
    <t>elena.sochneva@metadynea.ru, office@metadynea.ru</t>
  </si>
  <si>
    <t>www.metadynea.ru</t>
  </si>
  <si>
    <t>МЕТАФРАКС КЕМИКАЛС, АО (1 075 000 000 руб., 100%)</t>
  </si>
  <si>
    <t>1 485 530 000</t>
  </si>
  <si>
    <t>metall.invest.buh@list.ru</t>
  </si>
  <si>
    <t>Абдуалинов Мрат Болтаевич (30 000 руб., 100%)</t>
  </si>
  <si>
    <t>383 870 000</t>
  </si>
  <si>
    <t>s.shevchenko@metalloinvest.com</t>
  </si>
  <si>
    <t>www.metalloinvest.com</t>
  </si>
  <si>
    <t>Васюта Наталья Сергеевна (10 000 руб., 100%)</t>
  </si>
  <si>
    <t>415 920 000</t>
  </si>
  <si>
    <t>2343990@metallotorg.ru, dmitry@metallotorg.ru, dun@metaltrade.ru, info@metalloprice.ru, ira@metallotorg.ru, kuzn@metallotorg.ru, makc@metallotorg.ru, yashina@metallotorg.ru</t>
  </si>
  <si>
    <t>www.metallotorg.ru</t>
  </si>
  <si>
    <t>10 679 850 000</t>
  </si>
  <si>
    <t>biktimirova.r.r@met-prod.ru, metall_prod@inbox.ru</t>
  </si>
  <si>
    <t>met-prod.ru</t>
  </si>
  <si>
    <t>Колмычков Сергей Сергеевич (10 000 руб., 100%)</t>
  </si>
  <si>
    <t>Белоусов Александр Сергеевич (10 000 руб., 100%)</t>
  </si>
  <si>
    <t>Обработка отходов и лома цветных металлов</t>
  </si>
  <si>
    <t>1 840 000</t>
  </si>
  <si>
    <t>contact@mc.ru, mc@mc.ru</t>
  </si>
  <si>
    <t>www.mc.ru</t>
  </si>
  <si>
    <t>9 401 050 000</t>
  </si>
  <si>
    <t>belozor.ve@mc.ru, egorkina.na@mc.ru</t>
  </si>
  <si>
    <t>Тюрпенко Олег Анатольевич (396 000 руб., 99%)
КОМПАНИЯ ЭС ТИ ЭМ, ООО (4 000 руб., 1%)</t>
  </si>
  <si>
    <t>3 132 740 000</t>
  </si>
  <si>
    <t>opescherskaya@mc.ru</t>
  </si>
  <si>
    <t>mc.ru</t>
  </si>
  <si>
    <t>МЕТАЛЛСЕРВИС-ГРУПП, ООО (300 000 руб., 100%)</t>
  </si>
  <si>
    <t>58 010 000</t>
  </si>
  <si>
    <t>МЕТАЛЛСЕРВИС-ГРУПП, ООО (100 000 руб., 100%)</t>
  </si>
  <si>
    <t>42 550 000</t>
  </si>
  <si>
    <t>anna.karavaeva@evraz.com, elena.dergunova@evraz.com.ru, evgeny.abramov2@evraz.com, larisa.magerova@evras.com, larisa.magerova@evraz.cjm, larisa.magerova@evraz.com, lomakina@evraz.com, marina.denisova@evraz.com, mef.rik@evraz.com, mef_glad@mail.ru</t>
  </si>
  <si>
    <t>www.api.devcode.by, www.bddm.ru/firm/4217039402</t>
  </si>
  <si>
    <t>ЕВРАЗ НТМК, АО (9 999 руб., 99.99%)
Evraz Group S.A. (1 руб., 0.010%)</t>
  </si>
  <si>
    <t>194 810 000</t>
  </si>
  <si>
    <t>metafrax@permonlain.ru, metafrax@permonline.ru, natalya.sabaeva@metafrax.ru, nikolay.putintsev@metafrax.ru, secretary@metafrax.ru</t>
  </si>
  <si>
    <t>www.metafrax.ru</t>
  </si>
  <si>
    <t>МЕТАХОЛДИНГ, АО (95.88%)
Даут Владимир Александрович (0.50%)
МЕТАФРАКС ТРЕЙДИНГ, ООО (0.27%)
Майер Виктор Викторович (0.010%)</t>
  </si>
  <si>
    <t>302 620 000</t>
  </si>
  <si>
    <t>metafrax@permonline.ru</t>
  </si>
  <si>
    <t>tdmetafrax.ru</t>
  </si>
  <si>
    <t>МЕТАФРАКС КЕМИКАЛС, АО (3 000 000 руб., 100%)</t>
  </si>
  <si>
    <t>238 750 000</t>
  </si>
  <si>
    <t>Чащин Александр Юрьевич (10 000 руб., 100%)</t>
  </si>
  <si>
    <t>17 490 000</t>
  </si>
  <si>
    <t>380172@mail.ru, 438338@mail.ru, baukin_1990@mail.ru</t>
  </si>
  <si>
    <t>nppmetiz.ru</t>
  </si>
  <si>
    <t>Баукин Петр Вячеславович (210 000 руб., 100%)</t>
  </si>
  <si>
    <t>70 920 000</t>
  </si>
  <si>
    <t>tatyana.nizhnik@metinvest-eurasia.com</t>
  </si>
  <si>
    <t>www.metinvest-eurasia.com</t>
  </si>
  <si>
    <t>ЧКОО "МЕТИНВЕСТ Б.В." (9 200 000 руб., 100%)</t>
  </si>
  <si>
    <t>metpromgrupp@mail.ru</t>
  </si>
  <si>
    <t>www.mpgnasos.ru</t>
  </si>
  <si>
    <t>Ахапкина Наталья Валерьевна (500 000 руб., 100%)</t>
  </si>
  <si>
    <t>36 800 000</t>
  </si>
  <si>
    <t>mn1071814@mail.ru, tcts@bk.ru</t>
  </si>
  <si>
    <t>Шабуров Артем Алексеевич (10 000 руб., 100%)</t>
  </si>
  <si>
    <t>maincashier.store15@metro-cc.ru</t>
  </si>
  <si>
    <t>www.metro-cc.ru</t>
  </si>
  <si>
    <t>МЕТРО КЭШ ЭНД КЕРРИ ИНТЕРНЭШНЛ ХОЛДИНГ Б.В. (12 000 000 000 руб., 54.45%)
ОТКРЫТОЕ АКЦИОНЕРНОЕ ОБЩЕСТВО МЕТРО КЭШ ЭНД КЕРРИ РАША Н.В. (10 037 962 355.42 руб., 45.55%)</t>
  </si>
  <si>
    <t>7 865 230 000</t>
  </si>
  <si>
    <t>aavasiliev@list.ru, torgi@mwms.ru</t>
  </si>
  <si>
    <t>МЕТРОВАГОНМАШ , АО МВМ, АО (1 000 000 руб., 100%)</t>
  </si>
  <si>
    <t>Ремонт и техническое обслуживание прочих транспортных средств и оборудования</t>
  </si>
  <si>
    <t>185 390 000</t>
  </si>
  <si>
    <t>ФИНВЕСТ, ООО (10 000 руб., 100%)</t>
  </si>
  <si>
    <t>395 400 000</t>
  </si>
  <si>
    <t>info@metso.com, milena.romann@mesto.com, milena.romann@metso.com</t>
  </si>
  <si>
    <t>metso.com, www.metsominerals.ru</t>
  </si>
  <si>
    <t>АО "МЕТСО МИНЕРАЛС" (302 998 999 руб., 99.99%)
Интернэшнл Проджект Сервисес ЛТД Ою (300 000 руб., 0.0010%)
АО ОУТОТЕК ИНТЕРНЕШНЛ ХОЛДИНГЗ (462 руб.)</t>
  </si>
  <si>
    <t>МЕФФЕРТ АГ ФАРБВЕРКЕ (100 000 000 руб., 100%)</t>
  </si>
  <si>
    <t>98 000 000</t>
  </si>
  <si>
    <t>9@50.rospotrebnadzor.ru, a.oparin@elsteel.ru, bal01-oms@mofoms.ru, eteel@elsite.ru, general@mofoms.ru, gl.buromsemo@mail.ru, info@elzdrav.ru, minzdrav@mosreg.ru, msrmo@mosreg.ru, office@reg77.roszdravnadzor.ru</t>
  </si>
  <si>
    <t>www.elsteel.ru</t>
  </si>
  <si>
    <t>АПАТИТ, АО (574 287 800 руб., 100%)</t>
  </si>
  <si>
    <t>mechel-coke@mechel.ru</t>
  </si>
  <si>
    <t>www.mechel.ru</t>
  </si>
  <si>
    <t>МЕЧЕЛ-МАЙНИНГ, АО (63 513 000 руб., 100%)</t>
  </si>
  <si>
    <t>12 192 300 000</t>
  </si>
  <si>
    <t>МЕЧЕЛ, ПАО (100 000 руб., 100%)</t>
  </si>
  <si>
    <t>1 565 470 000</t>
  </si>
  <si>
    <t>МЕЧЕЛ, ПАО (501 000 000 руб., 100%)</t>
  </si>
  <si>
    <t>2 096 030 000</t>
  </si>
  <si>
    <t>info@mecheltrane.ru, info@mecheltrans.ru</t>
  </si>
  <si>
    <t>МЕЧЕЛ, ПАО (10 000 000 руб., 100%)</t>
  </si>
  <si>
    <t>Деятельность железнодорожного транспорта: междугородные и международные пассажирские перевозки</t>
  </si>
  <si>
    <t>1 419 810 000</t>
  </si>
  <si>
    <t>andrey.lisovskiy@belmk.ru, bdmitriigashkov@mechel.ru, bf_machelenergo@belmk.ru, bf_mechelenergo@belmk.ru, ddr@mechek.ru, ddr@mechel.ru, drr@mechel.ru, ebiaginin@uralkuz.ru, eblaginin@ural.kuz, eblaginin@uralkiz.ru</t>
  </si>
  <si>
    <t>mechel-energo.ru</t>
  </si>
  <si>
    <t>lpm.balakovo@severstal.com</t>
  </si>
  <si>
    <t>www.balakovo.severstal.com</t>
  </si>
  <si>
    <t>7 599 080 000</t>
  </si>
  <si>
    <t>poroshkina_os@lom-rm.ru</t>
  </si>
  <si>
    <t>ЭГИДА РУС, ООО С ИНОСТРАННЫМИ ИНВЕСТИЦИЯМИ (10 000 руб., 100%)</t>
  </si>
  <si>
    <t>551 070 000</t>
  </si>
  <si>
    <t>tezina@mkristal.ru</t>
  </si>
  <si>
    <t>Гагауз Александр Федорович (5 000 000 руб., 50%)
ОАО "МИНСК КРИСТАЛЛ" - управляющая компания холдинга "МИНСК КРИСТАЛЛ ГРУПП" (5 000 000 руб., 50%)</t>
  </si>
  <si>
    <t>3 890 000</t>
  </si>
  <si>
    <t>tender@miakom.ru</t>
  </si>
  <si>
    <t>www.miakom.ru</t>
  </si>
  <si>
    <t>Чиквашвили Давид Даниелович (50 000 руб., 50%)
Чиквашвили Даниел Давидович (50 000 руб., 50%)</t>
  </si>
  <si>
    <t>Производство прочих технических и промышленных текстильных изделий</t>
  </si>
  <si>
    <t>52 660 000</t>
  </si>
  <si>
    <t>3161440@gmail.com</t>
  </si>
  <si>
    <t>Тарлавин Евгений Валерьевич (140 000 руб., 100%)</t>
  </si>
  <si>
    <t>84 360 000</t>
  </si>
  <si>
    <t>finance@mmkom.ru, mmk@mmkom.ru, remennik@mmkom.ru</t>
  </si>
  <si>
    <t>www.mikoyan.ru</t>
  </si>
  <si>
    <t>info@mics.ru</t>
  </si>
  <si>
    <t>www.mics.ru</t>
  </si>
  <si>
    <t>Лисогорский Владимир Михайлович (2 280 000 руб., 76%)
Гумбатова Лейла Геннадьевна (360 000 руб., 12%)
Соловьева Инна Валентиновна (360 000 руб., 12%)</t>
  </si>
  <si>
    <t>17 300 000</t>
  </si>
  <si>
    <t>anna.malykhina@miele.com, info@miele.ru, irina.kalinina@miele.com</t>
  </si>
  <si>
    <t>miele-shop.ru, www.miele-kitchens.ru, www.miele-professional.ru, www.miele.ru</t>
  </si>
  <si>
    <t>ИМАНТО АГ (68 646 600 руб., 99%)
МИЛЕ АГ (693 400 руб., 1%)</t>
  </si>
  <si>
    <t>255 360 000</t>
  </si>
  <si>
    <t>molpromkuban@gmail.com</t>
  </si>
  <si>
    <t>ПК, ООО (10 000 руб., 100%)</t>
  </si>
  <si>
    <t>izhmoloko@izhmoloko.ru, lankovan@izhmoloko.ru, mup@izhmoloko.ru, nikitinma@komos.ru, office@izhmoloko.ru</t>
  </si>
  <si>
    <t>sarapulmoloko.ru</t>
  </si>
  <si>
    <t>509 820 000</t>
  </si>
  <si>
    <t>info@milkexpress.ru</t>
  </si>
  <si>
    <t>milkexpress.ru, moltimilk.ru</t>
  </si>
  <si>
    <t>Кружалина Наталья Ивановна (10 000 руб., 100%)</t>
  </si>
  <si>
    <t>Савцов Олег Владиславович (10 000 руб., 100%)</t>
  </si>
  <si>
    <t>Деятельность предприятий общественного питания с обслуживанием на вынос</t>
  </si>
  <si>
    <t>25 550 000</t>
  </si>
  <si>
    <t>Сои Викас (209 789 943.5 руб., 100%)</t>
  </si>
  <si>
    <t>cis@mindrey.com, v.kiselev@mindray.com</t>
  </si>
  <si>
    <t>КОМПАНИЯ, ОГРАНИЧЕННАЯ АКЦИЯМИ МР ГЛОБАЛ (ХК) ЛИМИТЕД (118 230 100 руб., 99.99%)
ОБЩЕСТВО С ОГРАНИЧЕННОЙ ОТВЕТСТВЕННОСТЬЮ МР ДЕВЕЛОПМЕНТ (ХК) ЛИМИТЕД (9 900 руб., 0.0084%)</t>
  </si>
  <si>
    <t>haleeva@mmnsk.ru, ivanova.e@mmkras.ru, kireev@minimaks.ru, mishankov@minimaks.ru, mstartsev@mmekb.ru, poa@minimaks.ru, secretar@minimaks.ru</t>
  </si>
  <si>
    <t>www.minimaks.ru</t>
  </si>
  <si>
    <t>Петров Александр Анатольевич (10 000 руб., 100%)</t>
  </si>
  <si>
    <t>58 590 000</t>
  </si>
  <si>
    <t>buh3@mmz1.ru, glavbuh@mmz1.ru</t>
  </si>
  <si>
    <t>ОАО "Минский молочный завод № 1" (10 000 руб., 100%)</t>
  </si>
  <si>
    <t>21 670 000</t>
  </si>
  <si>
    <t>ОАО "МЭТЗ ИМ. В.И.КОЗЛОВА" (10 000 руб., 99%)
Унитарное предприятие "МЭТЗ-ЭЛЕКТРО" (101 руб., 1%)</t>
  </si>
  <si>
    <t>antonova.yv@mosinzhproekt.ru, s-mips1@mosinzhproekt.ru, tratsevskii.a@mosinzhproekt.ru</t>
  </si>
  <si>
    <t>МИП-АКТИВ, ООО (9 900 руб., 99%)
МИП-СТРОЙ, ООО (100 руб., 1%)</t>
  </si>
  <si>
    <t>revin.dp@mosinzhproekt.ru</t>
  </si>
  <si>
    <t>mip2.ru</t>
  </si>
  <si>
    <t>632 950 000</t>
  </si>
  <si>
    <t>mbak@makaroni.ru</t>
  </si>
  <si>
    <t>www.makaroni.ru</t>
  </si>
  <si>
    <t>ИНФОЛИНК, АО (999 900 руб., 99.99%)
СИ ГРУПП, АО (100 руб., 0.010%)</t>
  </si>
  <si>
    <t>97 580 000</t>
  </si>
  <si>
    <t>www.instrument.ru</t>
  </si>
  <si>
    <t>ИНТЕР ТРЕЙД, АО (105 200 000 руб., 99.72%)
Иванов Игорь Вячеславович (150 000 руб., 0.14%)
Иванова Ирина Александровна (150 000 руб., 0.14%)</t>
  </si>
  <si>
    <t>2 594 140 000</t>
  </si>
  <si>
    <t>buh4@miru.ru, info@miru.ru, info@sib.miru.ru, office@miru.ru, svk@netx.ru</t>
  </si>
  <si>
    <t>www.miru.ru</t>
  </si>
  <si>
    <t>35 080 000</t>
  </si>
  <si>
    <t>holod44@list.ru</t>
  </si>
  <si>
    <t>https://mir-holoda44.business.site</t>
  </si>
  <si>
    <t>ДИОНИС, ООО (10 000 руб., 100%)</t>
  </si>
  <si>
    <t>sales@sk-tmk.ru</t>
  </si>
  <si>
    <t>СВР-ПОСТАВКА, АО (810 000 руб., 81%)
Проданец Алексей Петрович (190 000 руб., 19%)</t>
  </si>
  <si>
    <t>142 270 000</t>
  </si>
  <si>
    <t>a.rud@agrohold.ru, a.sychugova@agrohold.ru, j_rybakova@mail.ru</t>
  </si>
  <si>
    <t>www.miratorg.ru</t>
  </si>
  <si>
    <t>АПХ МИРАТОРГ, ООО (1 929 326 748.26 руб., 100%)</t>
  </si>
  <si>
    <t>info@agrohold.ru</t>
  </si>
  <si>
    <t>АПХ МИРАТОРГ, ООО (4 990 310 769.23 руб., 100%)</t>
  </si>
  <si>
    <t>5 569 210 000</t>
  </si>
  <si>
    <t>on.shlyahova@belpig.ru</t>
  </si>
  <si>
    <t>АПХ МИРАТОРГ, ООО (25 915 421 386.26 руб., 100%)</t>
  </si>
  <si>
    <t>seregejnefedoff@yandex.ru</t>
  </si>
  <si>
    <t>АПХ МИРАТОРГ, ООО (2 409 456 000 руб., 100%)</t>
  </si>
  <si>
    <t>24 150 000</t>
  </si>
  <si>
    <t>mirdortechnika@gmail.com</t>
  </si>
  <si>
    <t>mirdortechnika.ru</t>
  </si>
  <si>
    <t>Янич Мирослав (1 056 000 руб., 96%)
Пажунина Екатерина Владимировна (44 000 руб., 4%)</t>
  </si>
  <si>
    <t>192 910 000</t>
  </si>
  <si>
    <t>мфк-колумбус.рф</t>
  </si>
  <si>
    <t>Гордеев Сергей Эдуардович (117 315 000 руб., 100%)</t>
  </si>
  <si>
    <t>info@mirtekgroup.ru</t>
  </si>
  <si>
    <t>https://mirtekgroup.com/kompaniya</t>
  </si>
  <si>
    <t>Ступак Игорь Александрович (2 000 000 руб., 100%)</t>
  </si>
  <si>
    <t>199 830 000</t>
  </si>
  <si>
    <t>Ступак Роман Игоревич (2 000 000 руб., 100%)</t>
  </si>
  <si>
    <t>327 180 000</t>
  </si>
  <si>
    <t>infotd@mirtekgroup.ru</t>
  </si>
  <si>
    <t>https://mirtekgroup.com/</t>
  </si>
  <si>
    <t>Ступак Игорь Александрович (3 000 000 руб., 100%)</t>
  </si>
  <si>
    <t>53 390 000</t>
  </si>
  <si>
    <t>gb@mirtech.ru, info@mirtech.ru, office@mirtech.ru</t>
  </si>
  <si>
    <t>www.mirtech.ru</t>
  </si>
  <si>
    <t>Компания "Мировая Техника Лимитед" (42 222 740 руб., 100%)</t>
  </si>
  <si>
    <t>365 970 000</t>
  </si>
  <si>
    <t>gb@mirtech.ru, info@mirtech.ru</t>
  </si>
  <si>
    <t>Компания "Мировая Техника Лимитед" (34 870 697.5 руб., 50%)
МИРТЕХ, ООО (34 870 697.5 руб., 50%)</t>
  </si>
  <si>
    <t>227 270 000</t>
  </si>
  <si>
    <t>info@mirus-medical.com, tender@mirus-medical.com</t>
  </si>
  <si>
    <t>www.mirus-medical.com</t>
  </si>
  <si>
    <t>Покотилов Михаил Борисович (20 000 руб., 100%)</t>
  </si>
  <si>
    <t>873 890 000</t>
  </si>
  <si>
    <t>chelyabinsk@mistery.ru, chelyabinsk@mystery.ru, dev1.vlg@mystery.ru, dev1.vrn@mystery.ru, dev2.clb@mystery.ru, hsales.krd@mystery.ru, hsales.nn1@mystery.ru, info@mystery.ru, mvshinova@mystery.ru, mystery@mystery.ru</t>
  </si>
  <si>
    <t>mystery.ru</t>
  </si>
  <si>
    <t>МИСТЕРИЯ-СЕТЬ, АО (192 000 000 руб., 100%)</t>
  </si>
  <si>
    <t>9 500 000</t>
  </si>
  <si>
    <t>info@mistralalko.ru</t>
  </si>
  <si>
    <t>www.mistralalko.ru</t>
  </si>
  <si>
    <t>РАЙТ ИНВЕСТМЕНТС, АО (5 679 545.46 руб., 51%)
Агрба Беслан Родионович (4 900 000 руб., 44%)
Ачба Николай Владимирович (556 818.18 руб., 5%)</t>
  </si>
  <si>
    <t>397 170 000</t>
  </si>
  <si>
    <t>b2b@tkmistral.ru, info@tkmistral.ru, kalyuzhniy@tkmistral.ru</t>
  </si>
  <si>
    <t>www.tkmistral.ru</t>
  </si>
  <si>
    <t>РАЙТ ИНВЕСТМЕНТС, АО (5 100 руб., 51%)
Агрба Беслан Родионович (3 900 руб., 39%)
Ершов Олег Николаевич (1 000 руб., 10%)</t>
  </si>
  <si>
    <t>513 250 000</t>
  </si>
  <si>
    <t>o.maindart@meatprom.com, o.maingart@meatprom.com, office@altmeat.ru</t>
  </si>
  <si>
    <t>meat-prom.ru</t>
  </si>
  <si>
    <t>Рогачев Сергей Анатольевич (390 010 000 руб., 100%)</t>
  </si>
  <si>
    <t>450 990 000</t>
  </si>
  <si>
    <t>akcioner@mgok.ru, oge@mgok.ru, postfax@mgok.ru</t>
  </si>
  <si>
    <t>32 299 490 000</t>
  </si>
  <si>
    <t>chel.rcc@mail.ru, nit_1@incompany.ru, office@mgok.rcc-group.ru, rogacheva_natalija@mgok.rcc-group.ru</t>
  </si>
  <si>
    <t>m-gok.ru, rmk-group.ru</t>
  </si>
  <si>
    <t>КАПИТАЛ, ООО (102 000 руб.)</t>
  </si>
  <si>
    <t>9 140 720 000</t>
  </si>
  <si>
    <t>www.mitsubishi-motors.com</t>
  </si>
  <si>
    <t>КОРПОРАЦИЯ МИЦУБИСИ МОТОРС КОРПОРЭЙШН (6 000 000 руб., 100%)</t>
  </si>
  <si>
    <t>1 135 250 000</t>
  </si>
  <si>
    <t>irinasin@mishelik.ru, mail@mishelik.ru</t>
  </si>
  <si>
    <t>www.mishelik.ru</t>
  </si>
  <si>
    <t>Сабирова Зулфия Бабаджановна (10 000 руб., 100%)</t>
  </si>
  <si>
    <t>221 290 000</t>
  </si>
  <si>
    <t>www.michelin.ru</t>
  </si>
  <si>
    <t>КОМПАНИ ФИНАНСЬЕР МИШЛЕН (6 705 818 052 руб., 100%)</t>
  </si>
  <si>
    <t>432 180 000</t>
  </si>
  <si>
    <t>info@missionfoods.com</t>
  </si>
  <si>
    <t>missionfoods.ru, www.gruma.com</t>
  </si>
  <si>
    <t>"Грума Интернэшнл Фудс,С.Л." (реестр от 15.03.2013) (9 990 руб., 52.61%)
СОЛНЦЕ МЕХИКО, ЗАО (9 000 руб., 47.39%)</t>
  </si>
  <si>
    <t>76 000 000</t>
  </si>
  <si>
    <t>vedryshkina_od@vsw.ru</t>
  </si>
  <si>
    <t>ВМЗ, АО (200 000 руб., 100%)</t>
  </si>
  <si>
    <t>291 810 000</t>
  </si>
  <si>
    <t>info@mkpsm.ru, kia@mkpsm.ru, mkpromstroymetall.uz@mail.ru, svi@mkpsm.ru</t>
  </si>
  <si>
    <t>Богославский Григорий Григорьевич (10 000 000 руб., 100%)</t>
  </si>
  <si>
    <t>341 580 000</t>
  </si>
  <si>
    <t>ev.kantemirova@khrosa.ru, info@khrosa.ru</t>
  </si>
  <si>
    <t>Юрченко Юрий Федорович (20 000 руб., 100%)</t>
  </si>
  <si>
    <t>92 770 000</t>
  </si>
  <si>
    <t>www.siberianhealth.com</t>
  </si>
  <si>
    <t>Гороховская Наталия Германовна (10 000 руб., 100%)</t>
  </si>
  <si>
    <t>663 620 000</t>
  </si>
  <si>
    <t>buh@technex.ru, zakupki@technex.ru</t>
  </si>
  <si>
    <t>технэкс.рф</t>
  </si>
  <si>
    <t>Черепанова Надежда Викторовна (10 000 руб., 100%)</t>
  </si>
  <si>
    <t>150 520 000</t>
  </si>
  <si>
    <t>office@mkz-ltd.com, vetal.st@mail.ru</t>
  </si>
  <si>
    <t>Жемчужникова Лина Александровна (31 858 000 руб., 100%)</t>
  </si>
  <si>
    <t>35 730 000</t>
  </si>
  <si>
    <t>Старцев Александр Николаевич (100 000 руб., 100%)</t>
  </si>
  <si>
    <t>152 040 000</t>
  </si>
  <si>
    <t>gkm.kom@mkmlogistics.ru, info@mkmlogistics.ru, it@mkmlogistics.ru, kgm.kom@mkmlogistics.ru, shtefan@mkmlogistics.ru, valkov@mkmlogistics.ru, zainullina@mkmlogistics.ru</t>
  </si>
  <si>
    <t>mkmlogistics.ru</t>
  </si>
  <si>
    <t>ЭКОЛОГИЧЕСКИЙ МЕНЕДЖМЕНТ, ООО (25 000 000 руб., 100%)</t>
  </si>
  <si>
    <t>chirkova_l_u@mirrico.com, info@mirrico.com</t>
  </si>
  <si>
    <t>www.mirrico.ru</t>
  </si>
  <si>
    <t>МИРРИКО, ООО (6 463 636 руб., 100%)</t>
  </si>
  <si>
    <t>info@moscoffee.ru</t>
  </si>
  <si>
    <t>www.mknp.ru, www.tep-polis.ru</t>
  </si>
  <si>
    <t>mokostav@mail.ru</t>
  </si>
  <si>
    <t>mokostav.com, mokostav.ru, мокостав.рф</t>
  </si>
  <si>
    <t>mibm@mailgate.ru, mksm@mail.ru</t>
  </si>
  <si>
    <t>www.oao-mksm.ru</t>
  </si>
  <si>
    <t>dbalashov@mis-k.ru, dvbalashov@mis-k.ru, info@mis-k.ru</t>
  </si>
  <si>
    <t>www.mis-k.ru</t>
  </si>
  <si>
    <t>64 180 000</t>
  </si>
  <si>
    <t>bm@mkhp.sitno.ru, mkhp@sitno.ru, plusnina@mkhp.sitno.ru, semakova@mkhp.sitno.ru</t>
  </si>
  <si>
    <t>www.sitno.ru</t>
  </si>
  <si>
    <t>mks-system.ru</t>
  </si>
  <si>
    <t>Корнеев Алексей Евгеньевич (150 000 руб., 100%)</t>
  </si>
  <si>
    <t>54 680 000</t>
  </si>
  <si>
    <t>metallsib22@ngs.ru, metallsib54@ngs.ru, mkc54@ngs.ru</t>
  </si>
  <si>
    <t>www.mkc54.ru</t>
  </si>
  <si>
    <t>Антимонов Александр Петрович (40 000 руб., 25%)
Дзюбенко Владимир Петрович (40 000 руб., 25%)
Доценко Александр Трофимович (40 000 руб., 25%)
Тонышев Роман Валерьевич (40 000 руб., 25%)</t>
  </si>
  <si>
    <t>513 630 000</t>
  </si>
  <si>
    <t>info@pharmacosmetica.ru, partner@mirlk.ru</t>
  </si>
  <si>
    <t>www.mirlk.ru</t>
  </si>
  <si>
    <t>Майзанов Вадим Борисович (5 000 руб., 50%)
Орлов Эдуард Борисович (5 000 руб., 50%)</t>
  </si>
  <si>
    <t>Деятельность агентов, специализирующихся на оптовой торговле парфюмерными и косметическими товарами, включая мыло</t>
  </si>
  <si>
    <t>26 650 000</t>
  </si>
  <si>
    <t>info@madcon.ru, info@medcjn.ru, info@medcom.ru, info@medicon.ru, info@medtcon.ru, info@mtdcon.ru, jhfgd@mail.ru, katya@medcon.ru, nfo@medcom.ru, nfo@medcon.ru</t>
  </si>
  <si>
    <t>www.medcon.ru</t>
  </si>
  <si>
    <t>Урлапов Василий Геннадьевич (7 000 000 руб., 100%)</t>
  </si>
  <si>
    <t>348 020 000</t>
  </si>
  <si>
    <t>emo@milorem.ru, info@milorem.ru, milorem@newmail.ru</t>
  </si>
  <si>
    <t>милорем.рф</t>
  </si>
  <si>
    <t>233 690 000</t>
  </si>
  <si>
    <t>egorov.sa@lmz.lysvamk.ru, info@lmz.lysvamk.ru, info@polysteel.ru, service@lmz.lysvamk.ru</t>
  </si>
  <si>
    <t>www.lmz.lysvamk.ru</t>
  </si>
  <si>
    <t>ММК, ПАО (3 975 042 600 руб., 100%)</t>
  </si>
  <si>
    <t>Производство листового холоднокатаного стального проката</t>
  </si>
  <si>
    <t>1 376 900 000</t>
  </si>
  <si>
    <t>info@mmk-luch.ru</t>
  </si>
  <si>
    <t>Положенко Павел Владимирович (85 000 руб., 85%)
Положенко Владимир Михайлович (15 000 руб., 15%)</t>
  </si>
  <si>
    <t>246 050 000</t>
  </si>
  <si>
    <t>Александрович Владимир Валерьевич (500 000 руб., 100%)</t>
  </si>
  <si>
    <t>3 680 000</t>
  </si>
  <si>
    <t>ihina.chernenko@cof.belon.ru, inna@cof.tck.ru</t>
  </si>
  <si>
    <t>cof-belovo.belon.ru, http://mmk-coal.ru/</t>
  </si>
  <si>
    <t>ММК, ПАО (4 583 656 186.53 руб., 67.76%)
БЕЛОН, ОАО (2 180 889 543.29 руб., 32.24%)</t>
  </si>
  <si>
    <t>10 751 980 000</t>
  </si>
  <si>
    <t>info@mmsmos.com, makarov@mmsmos.com, zakupki@mmsi.ltd</t>
  </si>
  <si>
    <t>ЛИЗИНКОМ, ООО (490 000 руб., 98%)
МОСМЕТРОСТРОЙ, АО (10 000 руб., 2%)</t>
  </si>
  <si>
    <t>41 870 000</t>
  </si>
  <si>
    <t>УРАЛЬСКАЯ ГОРНО-МЕТАЛЛУРГИЧЕСКАЯ КОМПАНИЯ , ОАО УГМК, ОАО (1 735 360 000 руб., 100%)</t>
  </si>
  <si>
    <t>710 870 000</t>
  </si>
  <si>
    <t>agafonovaog@portmurmansk.ru, klimovav@portmurmansk.ru, mmtp@portmurmansk.ru, ocb@portmurmansk.ru, office@portmurmansk.ru, osipovaa@portmurmansk.ru, shirjaevamg@portmurmansk.ru</t>
  </si>
  <si>
    <t>СУЭК, АО (227 373 146 руб.)</t>
  </si>
  <si>
    <t>1 276 630 000</t>
  </si>
  <si>
    <t>info@mmus.ru, umiat@mmus.ru</t>
  </si>
  <si>
    <t>www.mmus.ru</t>
  </si>
  <si>
    <t>Андреев Станислав Борисович (193 750 187.5 руб., 25%)
Баранов Владислав Владиславович (193 750 187.5 руб., 25%)
Обрезан Андрей Григорьевич (193 750 187.5 руб., 25%)
Хабалаева Инга Анзориевна (193 750 187.5 руб., 25%)</t>
  </si>
  <si>
    <t>2 683 870 000</t>
  </si>
  <si>
    <t>aa.yaremuk@chernogolovka.com</t>
  </si>
  <si>
    <t>www.chernogolovka.com</t>
  </si>
  <si>
    <t>АКВАЛАЙФ РЕСУРС, АО (100 000 000 руб., 100%)</t>
  </si>
  <si>
    <t>158 110 000</t>
  </si>
  <si>
    <t>mnogolososya.ru</t>
  </si>
  <si>
    <t>КОРПОРАТИВНЫЙ ЦЕНТР ИКС 5, ООО (13 725.79 руб., 100%)</t>
  </si>
  <si>
    <t>Аренда интеллектуальной собственности и подобной продукции, кроме авторских прав</t>
  </si>
  <si>
    <t>alena.voroshilova.98@mail.ru, zakaz@mnogomebeli.com</t>
  </si>
  <si>
    <t>Ходасевич Дмитрий Георгиевич (7 200 руб., 60%)
Ходасевич Андрей Георгиевич (4 800 руб., 40%)</t>
  </si>
  <si>
    <t>370 120 000</t>
  </si>
  <si>
    <t>9 676 160 000</t>
  </si>
  <si>
    <t>sales@mskpetrochem.ru</t>
  </si>
  <si>
    <t>Капустина Анна Николаевна (50 000 руб., 100%)</t>
  </si>
  <si>
    <t>mobilbeton.info@gmail.com</t>
  </si>
  <si>
    <t>rbbeton.ru</t>
  </si>
  <si>
    <t>Басыров Рустем Рашитович (10 181 900 руб., 100%)</t>
  </si>
  <si>
    <t>18 240 000</t>
  </si>
  <si>
    <t>hitbuy.su</t>
  </si>
  <si>
    <t>Ли Минлун (10 000 руб., 100%)</t>
  </si>
  <si>
    <t>info@mobilis.ru, voronkov@mobilis.ru</t>
  </si>
  <si>
    <t>Писковитин Вадим Анатольевич (10 000 руб., 100%)</t>
  </si>
  <si>
    <t>Торговля розничная компьютерами, периферийными устройствами к ним и программным обеспечением в специализированных магазинах</t>
  </si>
  <si>
    <t>energosbyt@mobilegtes.ru, iturup@mobilegles.ru, iturup@mobilegtes.ru, iturupsbyt@mobilegtes.ru, kunashir@mobilegtes.ru, kunashir@mobilegts.ru, nassonova@mobilegtes.ru, prisukhina@mobilegtes.ru, saljahova@mobilegtes.ru, sbir@mobilegtes.ru</t>
  </si>
  <si>
    <t>www.mobilegtes.ru</t>
  </si>
  <si>
    <t>molkom-eng@bk.ru</t>
  </si>
  <si>
    <t>Михайлов Алексей Сергеевич (793 800 руб., 32.87%)
Шипилова Наталья Сергеевна (793 680 руб., 32.86%)
Михайлова Елена Владимировна (386 280 руб., 15.99%)
Шипилов Евгений Васильевич (380 640 руб., 15.76%)
Михайлов Александр Анатольевич (57 360 руб., 2.37%)
Михайлова Елена Вячеславовна (2 880 руб., 0.12%)
Михайлов Сергей Анатольевич (600 руб., 0.020%)</t>
  </si>
  <si>
    <t>mru.hr@gmobis.com, v.zubova@gmobis.com</t>
  </si>
  <si>
    <t>mobiscis.ru</t>
  </si>
  <si>
    <t>АО "ХЕНДЭ МОБИС КОМПАНИ, ЛТД" (843 999 750 руб., 99%)
МОБИС ПАРТС СНГ, ООО (8 525 250 руб., 1%)</t>
  </si>
  <si>
    <t>330 380 000</t>
  </si>
  <si>
    <t>АКЦИОНЕРНОЕ ОБЩЕСТВО "МОБИС ПАРТС ЮРОП Н.В." (2 850 000 руб., 100%)</t>
  </si>
  <si>
    <t>Ван Юнфэй (255 000 руб., 51%)
Ольшанский Николай Викторович (245 000 руб., 49%)</t>
  </si>
  <si>
    <t>Предоставление услуг по перевозкам</t>
  </si>
  <si>
    <t>50 070 000</t>
  </si>
  <si>
    <t>bank@modernglass.ru, modernglass@chel.surnet.ru</t>
  </si>
  <si>
    <t>www.modernglass.ru</t>
  </si>
  <si>
    <t>Ванюков Сергей Юрьевич (4 500 000 руб., 45%)
Дедович Михаил Владимирович (4 500 000 руб., 45%)
Уваров Вячеслав Владимирович (1 000 000 руб., 10%)</t>
  </si>
  <si>
    <t>Формирование и обработка листового стекла</t>
  </si>
  <si>
    <t>344 660 000</t>
  </si>
  <si>
    <t>it@modernmachinery.ru, office@modernmachinery.ru, sales@modernmachinery.ru, sinitsa@modernmachinery.ru</t>
  </si>
  <si>
    <t>komatsureman.ru, модернмашинери.рф</t>
  </si>
  <si>
    <t>Килейников Юрий Анатольевич (8 900 руб., 89%)
Шафеев Даниил Рафаилович (1 100 руб., 11%)</t>
  </si>
  <si>
    <t>2 523 880 000</t>
  </si>
  <si>
    <t>service@modi.ru</t>
  </si>
  <si>
    <t>ЛОНАГО ЭНТЕРПРАЙЗИС ЛИМИТЕД (7 510 000 руб., 100%)</t>
  </si>
  <si>
    <t>club@incity.ru, franchising@incity.ru, hr@incity.ru, info@incity.poravinternet.ru, info@incity.ru, reklama@incity.ru</t>
  </si>
  <si>
    <t>www.incity.ru</t>
  </si>
  <si>
    <t>Савкина Наталия Алексеевна (200 000 руб., 100%)</t>
  </si>
  <si>
    <t>310 560 000</t>
  </si>
  <si>
    <t>chief@modui.spb.ru, clients@modul.spb.ru, tech@modul.spb.ru, tinkul@modul.spb.ru</t>
  </si>
  <si>
    <t>www.modul.global, www.modul.spb.ru</t>
  </si>
  <si>
    <t>Альтшуллер Александр Абрамович (13 000 руб., 65%)
Гай Владимир Александрович (7 000 руб., 35%)</t>
  </si>
  <si>
    <t>478 950 000</t>
  </si>
  <si>
    <t>info@modumtrans.ru, press@modumtrans.ru</t>
  </si>
  <si>
    <t>info@roadcenter.ru, info@roadcentr.ru, lazarevaka@roadcenter.ru, zakupki_modc@mail.ru</t>
  </si>
  <si>
    <t>66 320 000</t>
  </si>
  <si>
    <t>kimlenka@gmail.com</t>
  </si>
  <si>
    <t>moeleto.ru, tdmoeleto.ru</t>
  </si>
  <si>
    <t>ГК АВИЛОН, АО (100 000 руб., 100%)</t>
  </si>
  <si>
    <t>12233@yandex.ru, 99@mail.ru, a.shein@molvest.ru, bbs@molvest.ru, bss@malvest.ru, bss@mjkvest.ru, bss@moivest.ru, bss@mokves.ru, bss@molves.ru, bss@molvest.ry</t>
  </si>
  <si>
    <t>www.molvest.ru</t>
  </si>
  <si>
    <t>140 460 000</t>
  </si>
  <si>
    <t>nov7777777@mail.ru</t>
  </si>
  <si>
    <t>novmz.ru</t>
  </si>
  <si>
    <t>Купин Александр Анатольевич (10 000 руб., 100%)</t>
  </si>
  <si>
    <t>86 960 000</t>
  </si>
  <si>
    <t>a.kuznetsov@molkom-pnz.ru, molkom@sura.ru</t>
  </si>
  <si>
    <t>molkom-penza.ru</t>
  </si>
  <si>
    <t>ТОРГИНВЕСТ, ООО (39.49%)
АГРОРИЭЛТИ, ООО (24.82%)
ЗЕМЕЛЬНЫЕ РЕСУРСЫ ДАМАТЕ, ООО (24.70%)
ТД МОЛКОМ, ООО (10.99%)</t>
  </si>
  <si>
    <t>23 350 000</t>
  </si>
  <si>
    <t>МОЛНИЯ ФИНАНС, ООО (10 043 935.11 руб., 99%)
Бобин Игорь Николаевич (101 453.89 руб., 1%)</t>
  </si>
  <si>
    <t>glbuh@rusmol.ru, info@rusmol.ru, jurist3@rusmol.ru, jurist@rusmol.ru, man1moloko@mail.ru, moloko@rusmol.ru</t>
  </si>
  <si>
    <t>rusmol.ru</t>
  </si>
  <si>
    <t>15 350 000</t>
  </si>
  <si>
    <t>milk_val@mail.ru</t>
  </si>
  <si>
    <t>milk-val.ru</t>
  </si>
  <si>
    <t>ДМС, ООО (75.09%)
Брейтман Михаил Зельманович (24.61%)</t>
  </si>
  <si>
    <t>pogarmup@mail.ru</t>
  </si>
  <si>
    <t>Аксененков Алексей Евгеньевич (10 000 руб., 100%)</t>
  </si>
  <si>
    <t>40 490 000</t>
  </si>
  <si>
    <t>buhgalter@molopak.ru, molopak@inbox.ru</t>
  </si>
  <si>
    <t>promupac.com, www.molopak.ru</t>
  </si>
  <si>
    <t>Шарма Татьяна Осиповна (7 500 руб., 75%)
Гущин Тимур Витальевич (2 500 руб., 25%)</t>
  </si>
  <si>
    <t>Производство прочих изделий из бумаги и картона</t>
  </si>
  <si>
    <t>av.zaharov@rusagromoloko.com, sshalamkov@rusagrogroup.ru</t>
  </si>
  <si>
    <t>ГРУППА КОМПАНИЙ РУСАГРО, ООО (89 683 967.5 руб., 89.68%)
Наумов Илья Янович (10 326 032.5 руб., 10.33%)</t>
  </si>
  <si>
    <t>burdakova.lv@mail.ru, elena.tandelova@mlkit.ru</t>
  </si>
  <si>
    <t>http://www.milky-kit.ru</t>
  </si>
  <si>
    <t>ПМК, АО (42 000 000 руб., 99%)
СУПЕР КИТ, ООО (425 000 руб., 1%)</t>
  </si>
  <si>
    <t>rechkunov.andrey@sed-group.ru</t>
  </si>
  <si>
    <t>molpromkuban.ru</t>
  </si>
  <si>
    <t>137 570 000</t>
  </si>
  <si>
    <t>molochnayafamiliya.ru</t>
  </si>
  <si>
    <t>АЛЕКСЕЙ КРУЧИНИН И ПАРТНЕРЫ, ООО (100 000 руб., 90.91%)
Емшанов Александр Владимирович (10 000 руб., 9.09%)</t>
  </si>
  <si>
    <t>info@tm-ankovo.ru</t>
  </si>
  <si>
    <t>molservis.ru</t>
  </si>
  <si>
    <t>118 800 000</t>
  </si>
  <si>
    <t>Колесов Владимир Павлович (10 000 руб., 100%)</t>
  </si>
  <si>
    <t>nerokhina@mdlz.com, sherbakova@mdlz.com</t>
  </si>
  <si>
    <t>www.mdlz.com, www.mondelezinternational.com</t>
  </si>
  <si>
    <t>ООО "КРАФТ ФУДС ДОЙЧЛАНД ХОЛДИНГ ГМБХ" (121 127 890 руб., 100%)</t>
  </si>
  <si>
    <t>6 714 760 000</t>
  </si>
  <si>
    <t>1@megafon.ru, 3795555@mail.ru, 62g.cnt@megafon.ru, aleksei.naymenko@megafon.ru, aleksey.chumbaev@megafon.ru, aleksey.naumenko@megafon.ru, alena.scherbak@megafon.ru, alena.shitenkova@megafon.ru, alena.usova@megafon.ru, alevtina.rylina@megafon.ru</t>
  </si>
  <si>
    <t>АФ ТЕЛЕКОМ ХОЛДИНГ, ООО (50%)
ЮЭСЭМ ТЕЛЕКОМ, ООО (50%)</t>
  </si>
  <si>
    <t>Крайнова Ольга Анатольевна (6 000 руб., 60%)
Головня Геннадий Владимирович (4 000 руб., 40%)</t>
  </si>
  <si>
    <t>216 910 000</t>
  </si>
  <si>
    <t>Амбарцумян Сергей Александрович (25 000 руб., 50%)
Цатурян Асмик Сергеевна (25 000 руб., 50%)</t>
  </si>
  <si>
    <t>71 340 000</t>
  </si>
  <si>
    <t>d.kurako@gmail.com</t>
  </si>
  <si>
    <t>www.citypark.moscow</t>
  </si>
  <si>
    <t>КОМБИНИРОВАННЫЙ ЗАКРЫТЫЙ ПАЕВОЙ ИНВЕСТИЦИОННЫЙ ФОНД "МОНАРХ" (39 200 000 руб., 98%)
Амбарцумян Сергей Александрович (800 000 руб., 2%)</t>
  </si>
  <si>
    <t>1 652 910 000</t>
  </si>
  <si>
    <t>mka@uralplastic.ru</t>
  </si>
  <si>
    <t>МОНДИ ИНТЕРНЕШНЛ ХОЛДИНГС Б.В. (1 659 663 500 руб., 100%)</t>
  </si>
  <si>
    <t>svetlana.mihailovskaya@mondigroup.com</t>
  </si>
  <si>
    <t>www.mondigroup.com</t>
  </si>
  <si>
    <t>"МОНДИ КОНСЬЮМЕР ПЭКЭДЖИНГ ИНТЕРНЭШНЛ ГМБХ" (915 000 000 руб., 100%)</t>
  </si>
  <si>
    <t>info@mondislpk.com, info@nrcreg.ru, mondi.syktyvkar@mondigroup.com, msy@mondigroup.ru, syktyvkar@mondigroup.com</t>
  </si>
  <si>
    <t>www.mondigroup.com, www.nrcreg.ru</t>
  </si>
  <si>
    <t>17 302 880 000</t>
  </si>
  <si>
    <t>Пашов Дмитрий Александрович (13 169 руб., 100%)</t>
  </si>
  <si>
    <t>info@monocrystal.com</t>
  </si>
  <si>
    <t>www.monocrystal.com</t>
  </si>
  <si>
    <t>Производство искусственного корунда</t>
  </si>
  <si>
    <t>МОНОКРИСТАЛЛ, АО (500 000 000 руб., 100%)</t>
  </si>
  <si>
    <t>dolgih@1dogma.ru, storozhenkobuh@gmail.com</t>
  </si>
  <si>
    <t>Давиденко Антон Дмитриевич (10 000 руб., 100%)</t>
  </si>
  <si>
    <t>monolit-stroi07@mail.ru</t>
  </si>
  <si>
    <t>ХСБРЭНДС МИСТЕРИ ШОПИНГ ЭНД КОНСАЛТИНГ, ООО (250 070 000 руб., 100%)</t>
  </si>
  <si>
    <t>48 560 000</t>
  </si>
  <si>
    <t>info@latat.org</t>
  </si>
  <si>
    <t>ENTOMO LIMITED (5 000 руб., 50%)
Гильмутдинова Ирая Кимовна (5 000 руб., 50%)</t>
  </si>
  <si>
    <t>454 980 000</t>
  </si>
  <si>
    <t>michael@monolit-holding.ru</t>
  </si>
  <si>
    <t>МОНОЛИТХОЛДИНГ, ООО (400 000 000 руб., 100%)</t>
  </si>
  <si>
    <t>monolitst00@mail.ru</t>
  </si>
  <si>
    <t>Билалов Расул Кирманович (30 000 руб., 100%)</t>
  </si>
  <si>
    <t>4 970 000</t>
  </si>
  <si>
    <t>Борщун Андрей Сергеевич (12 000 руб., 100%)</t>
  </si>
  <si>
    <t>5 190 000</t>
  </si>
  <si>
    <t>7810071482@eo.tensor.ru, ats@monopoly.su, elena.lezepekova@monopoly.su, info@monopoly.su</t>
  </si>
  <si>
    <t>monopoly.ru</t>
  </si>
  <si>
    <t>МОНОПОЛИЯ, АО (29 999.7 руб., 99.99%)
МОНОПОЛИЯ.ОНЛАЙН, ООО (.3 руб., 0.0010%)</t>
  </si>
  <si>
    <t>ats@monopoly.online</t>
  </si>
  <si>
    <t>МОНОПОЛИЯ, АО (9 999.9 руб., 99.99%)
МОНОПОЛИЯ, ООО (.1 руб., 0.0010%)</t>
  </si>
  <si>
    <t>etorg@mont.com, mont@mont.ru</t>
  </si>
  <si>
    <t>www.mont.com, www.mont.ru</t>
  </si>
  <si>
    <t>ВИН, ООО (60 000 руб., 100%)</t>
  </si>
  <si>
    <t>677 900 000</t>
  </si>
  <si>
    <t>montade.plus@mail.ru, montage.plus@mail.ru</t>
  </si>
  <si>
    <t>Агафонова Наталья Сергеевна (5 100 руб., 51%)
Агафонов Дмитрий Михайлович (4 900 руб., 49%)</t>
  </si>
  <si>
    <t>amico@amico.ru, nblinov@mail.ru</t>
  </si>
  <si>
    <t>www.roentgen.ru</t>
  </si>
  <si>
    <t>323 020 000</t>
  </si>
  <si>
    <t>info@monsteelcon.ru</t>
  </si>
  <si>
    <t>www.monsteelcon.ru</t>
  </si>
  <si>
    <t>Осипов Евгений Владимирович (10 000 руб., 100%)</t>
  </si>
  <si>
    <t>1 434 170 000</t>
  </si>
  <si>
    <t>www.thebodyshop.ru</t>
  </si>
  <si>
    <t>МФК ДЖАМИЛЬКО, АО (401 459 850 руб., 99.99%)
КОМПАНИЯ «ЛОСФОРД ТРЕЙДИНГ ЛТД» (40 150 руб., 0.010%)</t>
  </si>
  <si>
    <t>1791335@mail.ru, belyaev.vm@moren.ru, cjmpany@mesk.ru, compani@mesk.ru, companu@mesk.ru, company@mcsk.ru, dogovor@mesk.ru, elekktro@mail.ru, info@mesk.ru, kam@mesk.ru</t>
  </si>
  <si>
    <t>http://www.mesk.ru/raskrytie_informacyi/raskrytie_informatsii_emitentom, mesk.ru</t>
  </si>
  <si>
    <t>ЭНЕРГОИНВЕСТ, ООО (83.95%)</t>
  </si>
  <si>
    <t>bekonapr@talina.ru</t>
  </si>
  <si>
    <t>talina.ru</t>
  </si>
  <si>
    <t>2 952 010 000</t>
  </si>
  <si>
    <t>cement@mordovcement.ru, mordovcem@eurocem.ru, nbushueva@cemros.ru</t>
  </si>
  <si>
    <t>Захаров Виктор Леонидович (10 000 000 руб., 100%)</t>
  </si>
  <si>
    <t>moremall.ru</t>
  </si>
  <si>
    <t>1 191 540 000</t>
  </si>
  <si>
    <t>moreodor@moreodor.ru</t>
  </si>
  <si>
    <t>moreodor.ru</t>
  </si>
  <si>
    <t>Габидуллин Ренат Равильевич (51 000 руб., 51%)
Курылев Вячеслав Владимирович (38 000 руб., 38%)
Мурашкин Кирилл Игоревич (11 000 руб., 11%)</t>
  </si>
  <si>
    <t>669 970 000</t>
  </si>
  <si>
    <t>info@moroltd.ru, moroltd@mail.ru, office@moroltd.ru</t>
  </si>
  <si>
    <t>www.moro-group.ru</t>
  </si>
  <si>
    <t>Сырых Дмитрий Анатольевич (6 000 000 руб., 60%)
Нечаев Вадим Владимирович (4 000 000 руб., 40%)</t>
  </si>
  <si>
    <t>14 880 000</t>
  </si>
  <si>
    <t>glbuh3@morozko.ru</t>
  </si>
  <si>
    <t>pkm-group.ru</t>
  </si>
  <si>
    <t>Гусев Юрий Владимирович (10 020 000 руб., 100%)</t>
  </si>
  <si>
    <t>545 140 000</t>
  </si>
  <si>
    <t>lawmorozovka@yandex.ru</t>
  </si>
  <si>
    <t>s.semenova@seaport.spb.ru</t>
  </si>
  <si>
    <t>www.seaport.spb.ru</t>
  </si>
  <si>
    <t>453 040 000</t>
  </si>
  <si>
    <t>info@mor-zvezda.ru, shakula@forklg.koenig.ru, zabeyda@forklg.koenig.ru</t>
  </si>
  <si>
    <t>НДФ, ООО (20 260 руб., 20.26%)
Ульянов Николай Васильевич (16 312 руб., 16.31%)
Дацышина Галина Алексеевна (16 170 руб., 16.17%)
Турков Петр Яковлевич (16 170 руб., 16.17%)
Белоус Любовь Алексеевна (16 052 руб., 16.05%)
Кожарский Дмитрий Германович (15 036 руб., 15.04%)</t>
  </si>
  <si>
    <t>3 260 540 000</t>
  </si>
  <si>
    <t>info@moreres.ru, kosareva@morresurs.ru, olbozh@yandex.ru</t>
  </si>
  <si>
    <t>Никишин Александр Юрьевич (30 000 руб., 100%)</t>
  </si>
  <si>
    <t>20 440 000</t>
  </si>
  <si>
    <t>СИЛМАР ГРУПП, ООО (5 010 000 руб., 100%)</t>
  </si>
  <si>
    <t>302 930 000</t>
  </si>
  <si>
    <t>e.tsybisova@efko.ru</t>
  </si>
  <si>
    <t>www.mttaman.ru</t>
  </si>
  <si>
    <t>Гезуля Ирина Станиславовна (2 000 руб., 20%)
Селина Раиса Васильевна (2 000 руб., 20%)
Киреева Олеся Евгеньевна (1 500 руб., 15%)
Новиков Сергей Владимирович (1 500 руб., 15%)
Тищенко Иван Николаевич (1 500 руб., 15%)
Хохлов Михаил Иванович (1 500 руб., 15%)</t>
  </si>
  <si>
    <t>133 940 000</t>
  </si>
  <si>
    <t>li.iv@mortrast.ru, office@mortrast.ru, oiltrade-41@mail.ru, torgi@mortrast.ru</t>
  </si>
  <si>
    <t>mortrast.ru</t>
  </si>
  <si>
    <t>Черновский Василий Владимирович (10 000 руб., 100%)</t>
  </si>
  <si>
    <t>Аренда и лизинг водных транспортных средств и оборудования</t>
  </si>
  <si>
    <t>745 850 000</t>
  </si>
  <si>
    <t>a.kvitsiniya@morton.ru, info@morton.ru, klimkina_es@pik.ru, morton@mail.ru, stoliarovaoa@pik.ru</t>
  </si>
  <si>
    <t>www.morton.ru</t>
  </si>
  <si>
    <t>ПИК-ИНВЕСТПРОЕКТ, ООО (300 000 руб., 100%)</t>
  </si>
  <si>
    <t>1 667 250 000</t>
  </si>
  <si>
    <t>gosinfo@santrans.ru, info@mosavtosantrans.ru, info@santrans.ru, ks@santrans.ru, lpu@santrans.ru, mosavtosantrans@mail.ru, o_antonova@mosavtosantrans.ru, torgi@santrans.ru</t>
  </si>
  <si>
    <t>www.mosavtosantrans.ru</t>
  </si>
  <si>
    <t>ДЕПАРТАМЕНТ ГОСУДАРСТВЕННОГО И МУНИЦИПАЛЬНОГО ИМУЩЕСТВА Г.МОСКВЫ (185 000 руб., 0.090%)</t>
  </si>
  <si>
    <t>moscow@mosautoshina.ru</t>
  </si>
  <si>
    <t>mosautoshina.ru</t>
  </si>
  <si>
    <t>Глотов Максим Дмитриевич (150 000 руб., 50%)
Господарик Андрей Михайлович (150 000 руб., 50%)</t>
  </si>
  <si>
    <t>154 450 000</t>
  </si>
  <si>
    <t>43534534@mail.ru, 6959167@mail.ru, alutina_ep@mosvodokanal.ru, azizov_shm@mosvodokanal.ru, baranov_sa@mosvodokanal.ru, baskakova_ei@mosvodokanal.ru, buchanceva_sa@mosvodokanal.ru, buhanceva_sa@mosvodokanal.ru, cheborova_ua@mosvodokanal.ru, etp@mosvodokanal.ru</t>
  </si>
  <si>
    <t>www.mosvodokanal.ru</t>
  </si>
  <si>
    <t>9 609 420 000</t>
  </si>
  <si>
    <t>00_uddfrs1@rosregistr.ru, buh@mosvodostok.info, buh@mosvodostok.ru, cancel@mosvodostok.info, dogovor@mosvodostok.info, ecretar@mosvodostok.info, hdf@mosvodostok.info, info@mosvodostok.ru, kiselevviktorovich@gmail.com, krechetap@mosvodostok.info</t>
  </si>
  <si>
    <t>www.mosvodostok.com</t>
  </si>
  <si>
    <t>mvmlom.ru</t>
  </si>
  <si>
    <t>АКРОН ХОЛДИНГ, АО (10 000 руб., 100%)</t>
  </si>
  <si>
    <t>107 820 000</t>
  </si>
  <si>
    <t>filina@mos.gaz.ru, filinadv@mosgaz.ru, gro_mosgaz@mail.ru, gupmosgaz@gaz.ru, info@mos-gaz.ru, mosgas@mail.ru, tremasovav@mos-gaz.ru, urg@mosgaz.ru</t>
  </si>
  <si>
    <t>www.mos-gaz.ru</t>
  </si>
  <si>
    <t>ДЕПАРТАМЕНТ ГОРОДСКОГО ИМУЩЕСТВА ГОРОДА МОСКВЫ (100%)</t>
  </si>
  <si>
    <t>1 267 060 000</t>
  </si>
  <si>
    <t>eremkina@mosgiprotrans.ru</t>
  </si>
  <si>
    <t>www.mosgiprotrans.ru</t>
  </si>
  <si>
    <t>4 889 450 000</t>
  </si>
  <si>
    <t>2233@ya.ru, antonov@mosgortrans.ru, dogovor.okr.sdk@mosgortrans.ru, gorshenin_ss@mosgortrans.ru, kalitin@mosgortrans.ru, mail@mosgortrans.ru, muzhensky_ms@mosgortrans.ru, pressa@mosgortrans.ru, sekretar.ap19@mosgortrans.ru, sekretar.nrt@mosgortrans.ru</t>
  </si>
  <si>
    <t>www.mosgortrans.com</t>
  </si>
  <si>
    <t>Москва г (11 565 815 648.68 руб., 100%)
ДЕПАРТАМЕНТ ГОС.И МУНИЦ.ИМУЩЕСТВА Г.МОСКВЫ (1 402 907 руб., 0.012%)</t>
  </si>
  <si>
    <t>6556559@mail.ru, lebedeva@mosvet.su, n.shustova@mosvet.su</t>
  </si>
  <si>
    <t>www.moszoovet.ru</t>
  </si>
  <si>
    <t>Коряжнова Ольга Игоревна (1 375 009 руб., 59.78%)
Сморугов Александр Алексеевич (924 991 руб., 40.22%)</t>
  </si>
  <si>
    <t>Деятельность ветеринарная</t>
  </si>
  <si>
    <t>46 990 000</t>
  </si>
  <si>
    <t>info@mosinzhproekt.ru, institute@mosinzhproekt.ru</t>
  </si>
  <si>
    <t>www.mosinzhproekt.ru</t>
  </si>
  <si>
    <t>info@mkssu1.ru</t>
  </si>
  <si>
    <t>НОВЫЙ СТАРТ, ООО (6 930 000 руб., 99%)
УКС, АО (70 000 руб., 1%)</t>
  </si>
  <si>
    <t>ganina_l_a@moskapstroy.ru, info@moskapstroy.ru, mks@moskapstroy.ru, msk@moskapstroy.ru, pnu@moskapstroy.ru, pudovkina_d_d@moskapstroy.ru, reshetnikov_i_n@moskapstroy.ru</t>
  </si>
  <si>
    <t>АМЕТИСТ ГРУПП, ООО (74 900 руб., 74.90%)
НОВЫЙ СТАРТ, ООО (25 100 руб., 25.10%)</t>
  </si>
  <si>
    <t>moskart.ru</t>
  </si>
  <si>
    <t>Голубович Наталия Алексеевна (9 000 руб., 90%)
Граудин Владимир Константинович (340 руб., 3.40%)
Байназаров Рысбек Мамбеталиевич (330 руб., 3.30%)
Пашкин Алексей Валерьевич (330 руб., 3.30%)</t>
  </si>
  <si>
    <t>2 390 000</t>
  </si>
  <si>
    <t>info@moscow-cargo.com</t>
  </si>
  <si>
    <t>www.moscow-cargo.com</t>
  </si>
  <si>
    <t>МАШ, АО (1 965 352 138.25 руб., 100%)</t>
  </si>
  <si>
    <t>1 012 960 000</t>
  </si>
  <si>
    <t>elena.lymar@renault.com, info@renauit.ru</t>
  </si>
  <si>
    <t>www.renauit.ru, www.renault.ru</t>
  </si>
  <si>
    <t>ЦРТ, ООО (3 420 713 490 руб.)</t>
  </si>
  <si>
    <t>207 950 000</t>
  </si>
  <si>
    <t>orders@moskvorechie.ru, solina@moskvorechie.ru</t>
  </si>
  <si>
    <t>www.moskvorechie.ru</t>
  </si>
  <si>
    <t>Корольков Геннадий Афиногентович (156 000 руб., 26%)
Корольков Кирилл Геннадьевич (150 000 руб., 25%)
Платонов Александр Аркадьевич (150 000 руб., 25%)
Платонова Мария Александровна (144 000 руб., 24%)</t>
  </si>
  <si>
    <t>64 980 000</t>
  </si>
  <si>
    <t>84955988170@mail.ru, b2b@mosmetro.ru, ckhd@mosmetro.ru, dior@mosmetro.ru, info@metro.ru, info@mosmetro.ru, kuznetsovss1993@mail.ru, metro@bk.ru, mosmetronri@gmail.com, mto@zmsut.sledcom.ru</t>
  </si>
  <si>
    <t>www.mosmetro.ru</t>
  </si>
  <si>
    <t>Перевозка пассажиров метрополитеном</t>
  </si>
  <si>
    <t>www.fizpribor.ru</t>
  </si>
  <si>
    <t>Серчугов Евгений Николаевич (287 640 000 руб., 51%)
Кабаргин Сергей Леонидович (138 180 000 руб., 24.50%)
Нагинская Елена Григорьевна (138 180 000 руб., 24.50%)</t>
  </si>
  <si>
    <t>1 087 630 000</t>
  </si>
  <si>
    <t>info@mlrz.ru, moscowlrz@mail.ru, moscowlrz@umail.ru</t>
  </si>
  <si>
    <t>www.mlrz.ru</t>
  </si>
  <si>
    <t>240 420 000</t>
  </si>
  <si>
    <t>kvkd1@mosgorzdrav.ru, mcdik@zdrav.mos.ru, silaevaiv@zdrav.mos.ru, t9735040@yandex.ru</t>
  </si>
  <si>
    <t>http://www.mosderm.ru/, www.mosgorzdrav.ru/kvkd1</t>
  </si>
  <si>
    <t>ДЕПАРТАМЕНТ ЗДРАВООХРАНЕНИЯ ГОРОДА МОСКВЫ (n/a)</t>
  </si>
  <si>
    <t>moscoke@nm.ru, moskoks@mechel.com, svetlana.bespechnaya@mechel.com</t>
  </si>
  <si>
    <t>3 869 060 000</t>
  </si>
  <si>
    <t>aa@moscollector.ru, kancler@moscolect.dol.ru, kancler@moscollector.ru, kancler@moscollektor.ru, kancler@moskollector.ru, kander@kollector.ru, moscollektor@mail.ru, tsop@moscollector.ru</t>
  </si>
  <si>
    <t xml:space="preserve">moscollector.ru, www.moscollector.ru </t>
  </si>
  <si>
    <t>etp@moslift.ru, etpgendir@moslift.ru, konovalovav@moslift.ru, moslift@mail.ru, nfo@moslift.ru, tender@moslift.ru</t>
  </si>
  <si>
    <t>www.moslift.ru</t>
  </si>
  <si>
    <t>beecity@kaluga.ru</t>
  </si>
  <si>
    <t>www.class.kaluga.ru</t>
  </si>
  <si>
    <t>reception-3@metrostroy.com</t>
  </si>
  <si>
    <t>www.metrostroy.com</t>
  </si>
  <si>
    <t>ДЕПАРТАМЕНТ ГОРОДСКОГО ИМУЩЕСТВА ГОРОДА МОСКВЫ (1 576 729 руб.)</t>
  </si>
  <si>
    <t>1 448 030 000</t>
  </si>
  <si>
    <t>123@mosoblgaz.ru, 1@mosoblgas.ru, 5032292612@yandex.ru, 74967545984@info.ru, 84966155422@info.ru, 84986874704@mail.ru, 98766697878@mail.ru, afonasevame@mytishchi.mosoblgaz.ru, akimovaev@podolsk.mosoblgaz.ru, akupki@mosoblgaz.ru</t>
  </si>
  <si>
    <t>www.mosoblgaz.ru</t>
  </si>
  <si>
    <t>1 206 140 000</t>
  </si>
  <si>
    <t>admin@gazpost.ru, d.zeplyaev@mail.ru, info@gazport.ru, info@gazpost.ru</t>
  </si>
  <si>
    <t>mosoblgazpostavka.ru, мособлгазпоставка.рф</t>
  </si>
  <si>
    <t>ЗАКРЫТЫЙ ПАЕВОЙ ИНВЕСТИЦИОННЫЙ КОМБИНИРОВАННЫЙ ФОНД "ДОЛГОСРОЧНЫЙ" (4 500 руб., 45%)
НДК КАПИТАЛ, ООО (4 500 руб., 45%)
ПРОСПЕКТ, ООО (1 000 руб., 10%)</t>
  </si>
  <si>
    <t>686 830 000</t>
  </si>
  <si>
    <t>erc@mosreg.ru, ermakovavv@mosobleirc.ru, info@mosobleirc.ru, klimina_ig@mosobleirc.ru, kuhtinams@mosobleirc.ru, net-kor@mosenergosbyt.ru, office@mosobleirc.ru, prutov_dg@mosobleirc.ru, sirzernow2017yuru@yandex.ru, zakupki@mosobleirc.ru</t>
  </si>
  <si>
    <t>МОСЭНЕРГОСБЫТ, АО (99 800 797 руб., 50.10%)
КС МО, ГУП МО (50 000 000 руб., 25.10%)
РИРЦ, АО (49 402 390 руб., 24.80%)</t>
  </si>
  <si>
    <t>Деятельность по приему платежей физических лиц платежными агентами</t>
  </si>
  <si>
    <t>323 970 000</t>
  </si>
  <si>
    <t>aomosobl@mail.ru, electrostal@mosoblenergo.ru, elnet_kes@mail.ru, grishinaav@mosoblenergo.ru, krasnogorsk@mosoblenergo.ru, lyubertsy@mosoblenergo.ru, mail@oaomoesk.com, martynenkoav@mosoblenergo.ru, mytishchi@mosoblenergo.ru, odintsovo@mosoblenergo.ru</t>
  </si>
  <si>
    <t>oaomoesk.com, www.18plusstream.net</t>
  </si>
  <si>
    <t>dk_mp3@mail.ru, office@mosproekt3.ru, pr@mosproekt3.ru, t.nagisheva@mosproekt3.ru</t>
  </si>
  <si>
    <t>43 980 000</t>
  </si>
  <si>
    <t>a.vahrameev@mospromstroy.com, arenda@mospromstroy.ru, d.karev@mospromstroy.com, mspr@mospromstroy.com, s.polikarpov@mospromstroy.com</t>
  </si>
  <si>
    <t>www.mospromstroy.com</t>
  </si>
  <si>
    <t>mpso@list.ru</t>
  </si>
  <si>
    <t>МОСПРОМСТРОЙ, АО (100 000 руб., 100%)</t>
  </si>
  <si>
    <t>3 500 000</t>
  </si>
  <si>
    <t>info@mlpg.ru</t>
  </si>
  <si>
    <t>Колмаков Виталий Анатольевич (1 010 000 руб., 100%)</t>
  </si>
  <si>
    <t>ikrusmost@gmail.com, market@most.ooo, office@most.ooo</t>
  </si>
  <si>
    <t>www.most.ooo</t>
  </si>
  <si>
    <t>БАРУС, ООО (204 250 000 руб., 47.50%)
ПЛАТФОРМА, ООО (204 250 000 руб., 47.50%)
ЛИДЕР, ООО (21 500 000 руб., 5%)</t>
  </si>
  <si>
    <t>390 000</t>
  </si>
  <si>
    <t>mostovik.penza@yandex.ru, mostovikpenza@yandex.ru</t>
  </si>
  <si>
    <t>Колмаков Роман Анатольевич (11 000 руб., 100%)</t>
  </si>
  <si>
    <t>info@mzbk.ru, mgbk_moscow@mail.ru, mjbk_moskow@mail.ru, mzhbkdmitrov@mail.ru, telnovda@mail.ru</t>
  </si>
  <si>
    <t>mgbk-moscow.narod.ru, mzbk.ru</t>
  </si>
  <si>
    <t>203 840 000</t>
  </si>
  <si>
    <t>fsk@m-47.ru</t>
  </si>
  <si>
    <t>m-47.ru</t>
  </si>
  <si>
    <t>ГРУППА КОМПАНИЙ 1520, ООО (150 000 руб., 50%)
Пирогов Олег Александрович (75 000 руб., 25%)
Пирогова Валентина Александровна (75 000 руб., 25%)</t>
  </si>
  <si>
    <t>2 023 390 000</t>
  </si>
  <si>
    <t>alexandr.ozernoy@ms11.ru, irina.nadeina@mo87.ru, maksim.baryschev@ms11.ru, ms11@wsnet.ru, ms@ms11.ru, oksana.zhirnova@ms11.ru, olga.bronnikova@ms11.ru, sergei.nosov@ms11.ru, suhanova@ms11.ru, yana.polozhay@ms11.ru</t>
  </si>
  <si>
    <t>www.ms11.ru</t>
  </si>
  <si>
    <t>ДИМ, АО (25.00%)
Руссу Николай Александрович (14.18%)
Дорохин Сергей Евгениевич (9.17%)
Косяков Александр Яковлевич (8.96%)
Донадзе Валерий Александрович (8.36%)
АО НРД, НКО (7.03%)
Геттих Владимир Адольфович (5.88%)
Краснов Александр Александрович (4.66%)
Лысенков Анатолий Васильевич (4.58%)
Макаров Александр Иванович (3.81%)</t>
  </si>
  <si>
    <t>181 890 000</t>
  </si>
  <si>
    <t>ecp@mostro.ru, epbabaeva@mosrto.ru, ersal@yaroslavl.ru, info@mokon.ru, info@msmost.ru, lholzman@mostro.ru, mo125@mostro.ru, mpashutina@mostro.ru</t>
  </si>
  <si>
    <t>www.mostro.ru</t>
  </si>
  <si>
    <t>Вольнов Сергей Владимирович (0.0035%)</t>
  </si>
  <si>
    <t>mtrest136.ru</t>
  </si>
  <si>
    <t>Шахназарян Ашот Эдуардович (110 000 руб., 100%)</t>
  </si>
  <si>
    <t>482 630 000</t>
  </si>
  <si>
    <t>113mta@mail.ru, 117mta@mail.ru, 121mta.bux@mail.ru, 125mta@mail.ru, 135mta@mail.ru, 9162931196@mail.ru, ak1790@online.stack.net, ak1793bux@mail.ru, dompatp@mail.ru 108mta@mail.ru, gozmap11@yandex.ru</t>
  </si>
  <si>
    <t>https://mostransavto.ru/, www.turizm.mostransavto.ru</t>
  </si>
  <si>
    <t>Регулярные перевозки пассажиров автобусами в городском и пригородном сообщении</t>
  </si>
  <si>
    <t>505 450 000</t>
  </si>
  <si>
    <t>archiv@mosenergo.ru, grigorevpv@mosenergo.ru, info@teplobyt.ru, mail@mosenergo.ru, mosenergo@mosenergo.ru, press-centre@mosenergo.ru, spravka@mosenergo.ru, teplo@mosenergo.ru, urte@mosenergo.ru, vasileviv@mosenergo.ru</t>
  </si>
  <si>
    <t>www.mosenergo.ru</t>
  </si>
  <si>
    <t>00@jj.ru, 01234567tat@mail.ru, 123@mosenergosbyt.ru, 685744156@mail.ru, 74995500333@mail.ru, 84959819819@mail.ru, 84986962737@mail.ru, 84995500033@mail.ru, ___@mai.ru, abrosimovms@mosenergosbyt.ru</t>
  </si>
  <si>
    <t>2 698 690 000</t>
  </si>
  <si>
    <t>motexc-service.ru</t>
  </si>
  <si>
    <t>Юхнович Павел Николаевич (25 000 руб., 100%)</t>
  </si>
  <si>
    <t>elena.golubova@dxglobal.ru</t>
  </si>
  <si>
    <t>dentsu-smart.ru, www.dxglobal.com</t>
  </si>
  <si>
    <t>КОМПАНИЯ С ОГРАНИЧЕННОЙ ОТВЕТСТВЕННОСТЬЮ "ХУЛЛБИТТ ЛИМИТЕД" (HULLBITT LIMITED) (15 200 000 руб., 100%)</t>
  </si>
  <si>
    <t>193 840 000</t>
  </si>
  <si>
    <t>Кокорева Юлия Ивановна (10 000 руб., 100%)</t>
  </si>
  <si>
    <t>7 990 000</t>
  </si>
  <si>
    <t>ender@mopharm.ru, info@mofharm.ru, info@mopfarm.ru, info@mophartm.ru, krygin@bk.ru, mahova@medipal.ru, mofarm@mail.ru, nfo@mopharm.ru, slkd@yandex.ru, tender@mofarm.ru</t>
  </si>
  <si>
    <t>Коваленко Виктор Юрьевич (10 000 руб., 100%)</t>
  </si>
  <si>
    <t>8 570 000</t>
  </si>
  <si>
    <t>089@moek.ru, 0s7@moek.ru, 111112@yandex.ru, 123@moek.ru, 3453453534@mail.ru, 89151929526d@gmail.ru, antonovaav@moek.ru, babanova_e_a@moek.ru, bedretdinova_g_h@moek.ru, bragin_v_a@moek.ru</t>
  </si>
  <si>
    <t>www.moek.ru, www.oaomoek.ru</t>
  </si>
  <si>
    <t>aksenovay@oaomksm.ru, beliksa@enesk.ru, beliksa@oaomksm.ru, info@enesk.ru, info@oamksm.ru, mksm2@rambler.ru</t>
  </si>
  <si>
    <t>oaomksm.ru</t>
  </si>
  <si>
    <t>tender@mpro.su, tenders@mpro.su</t>
  </si>
  <si>
    <t>tegrus.ru</t>
  </si>
  <si>
    <t>Козлов Денис Николаевич (2 050 000 руб., 100%)</t>
  </si>
  <si>
    <t>15 090 000</t>
  </si>
  <si>
    <t>mpz.buraya@agrobel.ru, mpz@agrobel.ru, urist@mpz.ru</t>
  </si>
  <si>
    <t>ГК АГРО-БЕЛОГОРЬЕ, ООО (10 000 руб., 100%)</t>
  </si>
  <si>
    <t>info@mpzlunevo.ru</t>
  </si>
  <si>
    <t>mpzlunevo.ru</t>
  </si>
  <si>
    <t>Гневашев Роман Иванович (100 000 руб., 100%)</t>
  </si>
  <si>
    <t>38 710 000</t>
  </si>
  <si>
    <t>ТОРГОВЫЙ ДОМ РУБЛЕВСКИЙ, ООО (200 000 руб., 100%)</t>
  </si>
  <si>
    <t>vorontsova.yi@kolbasa.ru, zakaz@kolbasa.ru</t>
  </si>
  <si>
    <t>kolbasa.ru</t>
  </si>
  <si>
    <t>КОМПАНИЯ С ОГРАНИЧЕННОЙ ОТВЕТСТВЕННОСТЬЮ ЭНДЖЕЛВИНД ИНВЕСТМЕНТ ЛТД (120 000 руб., 100%)</t>
  </si>
  <si>
    <t>10 120 000</t>
  </si>
  <si>
    <t>mpz_rublevskyi@mail.ru, n.ilina@rublevskiy.ru, welcome@rublevskiy.ru</t>
  </si>
  <si>
    <t>www.rublevskiy.ru</t>
  </si>
  <si>
    <t>ТОРГОВЫЙ ДОМ РУБЛЕВСКИЙ, ООО (280 000 руб., 100%)</t>
  </si>
  <si>
    <t>infompz@tigk.ru</t>
  </si>
  <si>
    <t>МПИ, ООО (288 486 300 руб., 99.99%)
Егоров Дмитрий Иванович (11 000 руб., 0.0038%)
Кривченков Виктор Александрович (100 руб.)</t>
  </si>
  <si>
    <t>294 730 000</t>
  </si>
  <si>
    <t>mpz-zavod@mail.ru, mpzavod.a@mail.ru, mpzzavod@mail.ru, vermont2005@list.ru, zavodmpz@bk.ru</t>
  </si>
  <si>
    <t>mpzavod.ru</t>
  </si>
  <si>
    <t>Еремеева Екатерина Владимировна (10 000 руб., 100%)</t>
  </si>
  <si>
    <t>124 560 000</t>
  </si>
  <si>
    <t>begunov_s@mpatltd.com, info@mpatltd.com, mpat@mpatltd.com</t>
  </si>
  <si>
    <t>www.mpatltd.com</t>
  </si>
  <si>
    <t>МИГ, АО (10 000 руб., 100%)</t>
  </si>
  <si>
    <t>78 170 000</t>
  </si>
  <si>
    <t>mpkat@atyashevo.ru</t>
  </si>
  <si>
    <t>victor-biryukov.ru</t>
  </si>
  <si>
    <t>ГК ТАЛИНА, АО (7 182 781 руб., 100%)</t>
  </si>
  <si>
    <t>6 370 000</t>
  </si>
  <si>
    <t>buh@mpktosno.ru, furso@ya.ru</t>
  </si>
  <si>
    <t>Селихов Олег Юрьевич (44 400 руб., 37%)
Яснова Екатерина Львовна (43 200 руб., 36%)
Крылов Виктор Николаевич (32 400 руб., 27%)</t>
  </si>
  <si>
    <t>68 370 000</t>
  </si>
  <si>
    <t>info@mosbrew.ru, mmedvedenko@mosbrew.ru</t>
  </si>
  <si>
    <t>www.mosbrew.ru</t>
  </si>
  <si>
    <t>816 420 000</t>
  </si>
  <si>
    <t>mpk@sitno.ru, raw@mkhp.sitno.ru</t>
  </si>
  <si>
    <t>Журавский Павел Александрович (5 880 руб., 70%)
Журавский Павел Павлович (2 520 руб., 30%)</t>
  </si>
  <si>
    <t>2 140 000</t>
  </si>
  <si>
    <t>fsto@ya.ru, m.elena1971@mail.ru, skomoroshka2008@yandex.ru</t>
  </si>
  <si>
    <t>Скоморохов Владимир Михайлович (10 000 руб., 100%)</t>
  </si>
  <si>
    <t>49 260 000</t>
  </si>
  <si>
    <t>Гугасян Светлана Михайловна (400 000 руб., 100%)</t>
  </si>
  <si>
    <t>82 700 000</t>
  </si>
  <si>
    <t>МОСПРОМСТРОЙ, АО (70 586 656 руб., 100%)</t>
  </si>
  <si>
    <t>metprom@metprom.net</t>
  </si>
  <si>
    <t>ПАРТНЕРСТВО С ОО "МЕТПРОМ ИНВЕСТ ЛЛП" (1 020 000 руб., 100%)</t>
  </si>
  <si>
    <t>Работы по монтажу стальных строительных конструкций</t>
  </si>
  <si>
    <t>105 160 000</t>
  </si>
  <si>
    <t>ГК ТАЛИНА, АО (5 000 000 руб., 100%)</t>
  </si>
  <si>
    <t>428 770 000</t>
  </si>
  <si>
    <t>mr-group.ru</t>
  </si>
  <si>
    <t>335 580 000</t>
  </si>
  <si>
    <t>Алимурадова Тарана Рахбар Кызы (500 000 руб., 100%)</t>
  </si>
  <si>
    <t>6 220 000</t>
  </si>
  <si>
    <t>7806108193_783450001@eo.tensor.ru, info@mrgt.ru, m.bashtanova@ant-inform.ru, m.bashtanova@spb.ant-inform.ru, tender@mrgt.ru</t>
  </si>
  <si>
    <t>www.ant-inform.com</t>
  </si>
  <si>
    <t>ГАЗПРОМ СОЦИАЛЬНЫЕ ИНИЦИАТИВЫ, ФОНД (740 000 000 руб., 100%)</t>
  </si>
  <si>
    <t>76 910 000</t>
  </si>
  <si>
    <t>manaqement@mrk.mmk.ru</t>
  </si>
  <si>
    <t>www.mrk.mmk.ru</t>
  </si>
  <si>
    <t>ММК, ПАО (959 045 892 руб., 98.75%)
МРК, ООО (8 402 200 руб., 0.86%)
ОСК, ООО (3 748 800 руб., 0.39%)</t>
  </si>
  <si>
    <t>46 960 000</t>
  </si>
  <si>
    <t>Мулюков Рашид Юнусович (5 000 руб., 50%)
Сафин Айрат Ниязович (5 000 руб., 50%)</t>
  </si>
  <si>
    <t>areshetnikov@ia.mrsk-nral.ru, berezhko-iv@rosseti-ural.ru, euc@vh.ru, mrsca@mail.ru, mrsk@mrsk-ural.ru, permen@mail.ru, sdvsdf@mail.ru, secr@beres.permenergo.ru, secr@che.mrsk.ural.ru, secr@peres.permenergo.ru</t>
  </si>
  <si>
    <t>Публичное акционерное общество «Российские сети» (51.51%)</t>
  </si>
  <si>
    <t>kalinina_y@mrts.ru</t>
  </si>
  <si>
    <t>www.mrts.ru</t>
  </si>
  <si>
    <t>1 620 000</t>
  </si>
  <si>
    <t>mv.timohina@mail.ru</t>
  </si>
  <si>
    <t>МРТС ХОЛДИНГ, ООО (110 000 руб., 100%)</t>
  </si>
  <si>
    <t>265 330 000</t>
  </si>
  <si>
    <t>anna.s.litvinova@cchellenic.com, coca@colahellenic.com, ekaterina.kiseleva@cchellenic.com, galina.maksimova@cchellenic.com, hotline88007007777@cchellenic.com, irina.karelina@cchellenic.com, kirill.lyahmanov@cchellenic.com, oleg.kovalev@cchellenic.com, olga.agafonova@cchellenic.com, svetlana.smychkova@cchellenic.com</t>
  </si>
  <si>
    <t>https://ru.coca-colahellenic.com/ru/, www.coca-colahellenic.ru, www.ru.coca-colahellenic.com</t>
  </si>
  <si>
    <t>Coca-Cola HBC Holdings B.V. (9 526 276 235.74 руб., 100%)</t>
  </si>
  <si>
    <t>Производство безалкогольных напитков ароматизированных и/или с добавлением сахара, кроме минеральных вод</t>
  </si>
  <si>
    <t>6 094 280 000</t>
  </si>
  <si>
    <t>Жихарев Дмитрий Федорович (7 000 руб., 70%)
Зарипов Марсель Ниязович (3 000 руб., 30%)</t>
  </si>
  <si>
    <t>357 890 000</t>
  </si>
  <si>
    <t>dimakustov1985@mail.ru, ms-bunker@mortrast.ru</t>
  </si>
  <si>
    <t>С.В. КОМПЛЕКС, ООО (10 000 руб., 100%)</t>
  </si>
  <si>
    <t>rubcov_ms@mail.ru</t>
  </si>
  <si>
    <t>мирслад.рф</t>
  </si>
  <si>
    <t>Рубцов Игорь Викторович (1 010 000 руб., 100%)</t>
  </si>
  <si>
    <t>alt@ooomsv.ru, b.goshinov@ooomsv.ru, irk@ooomsv.ru, irk@ooonisv.ru, k.gerasimova@ooomsv.ru, msv@mail.ru, suminova@ooomsv.ru, tender@ooomsv.ru, u.miroshnikov@ooomsv.ru</t>
  </si>
  <si>
    <t>Апалькин Константин Викторович (17 000 руб., 100%)</t>
  </si>
  <si>
    <t>1 020 850 000</t>
  </si>
  <si>
    <t>ОРГАНОН ХОЛДИНГ Б В (9 990 руб., 99.90%)
"МСД ПАРТИСИПЭЙШНС БИ.ВИ" (10 руб., 0.10%)</t>
  </si>
  <si>
    <t>251 390 000</t>
  </si>
  <si>
    <t>msz@oaomsz.ru</t>
  </si>
  <si>
    <t>www.oaomsz.boom.ru, www.oaomsz.ru</t>
  </si>
  <si>
    <t>Производство частей железнодорожных локомотивов, трамвайных и прочих моторных вагонов и подвижного состава; производство путевого оборудования и устройств для железнодорожных, трамвайных и прочих путей, механического и электромеханического оборудования для управления движением</t>
  </si>
  <si>
    <t>73 380 000</t>
  </si>
  <si>
    <t>info@mcintermarkauto.com</t>
  </si>
  <si>
    <t>www.mcintermarkauto.com</t>
  </si>
  <si>
    <t>КОМПАНИЯ "ИНТЕРМАРК ЛИЗИНГ, ЛТД" (278 000 000 руб., 100%)</t>
  </si>
  <si>
    <t>59 620 000</t>
  </si>
  <si>
    <t>msk-retail.ru</t>
  </si>
  <si>
    <t>Шелагин Максим Юрьевич (9 500 руб., 95%)
Пусовский Константин Эдуардович (500 руб., 5%)</t>
  </si>
  <si>
    <t>43 860 000</t>
  </si>
  <si>
    <t>basmanovako@mail.ru, bessonovda@pik.ru, hgfffgh@mail.ru, info@kenet.ru, info@mskenergo.ru</t>
  </si>
  <si>
    <t>kenet.ru</t>
  </si>
  <si>
    <t>994 550 000</t>
  </si>
  <si>
    <t>info@msk-energo.ru</t>
  </si>
  <si>
    <t>Сверчкова Наталья Владимировна (500 000 руб., 100%)</t>
  </si>
  <si>
    <t>50 560 000</t>
  </si>
  <si>
    <t>msk@oaomsz.ru, msk@ooomsk.com, n.sergeeva@mail.ru, uromsk@oaomsz.ru</t>
  </si>
  <si>
    <t>ВСП, АО (6 000 000 руб., 100%)</t>
  </si>
  <si>
    <t>399 190 000</t>
  </si>
  <si>
    <t>polyakov.msk1@gmail.com, stkompleks@bk.ru</t>
  </si>
  <si>
    <t>kype.ru</t>
  </si>
  <si>
    <t>Трудовой Юрий Александрович (4 655 000 руб., 100%)</t>
  </si>
  <si>
    <t>5775876@mail.ru, akolevatov@msk-nt.ru, companyt@msk.ru, companyt@msknt.ru, gzmat@mail.ru, khgf@jh.ru, mdemina@msk-nt.ru, mkkk@mm.ru, mo@msk.nt.ru, nfilial@msk_nt.ru</t>
  </si>
  <si>
    <t>msk-nt.ru</t>
  </si>
  <si>
    <t>МСК-НТ, АО (10 000 руб., 100%)</t>
  </si>
  <si>
    <t>Сбор опасных отходов</t>
  </si>
  <si>
    <t>ПКФ ЗОДЧИЙ, ООО (335 062 647.16 руб., 50%)
ЭС АЙ ЭС СТРОЙ, ООО (335 062 647.16 руб., 50%)</t>
  </si>
  <si>
    <t>ajdueva@mssz.ru, info@mssz.ru, n.shablikov@mssz.ru</t>
  </si>
  <si>
    <t>www.mssz.ru</t>
  </si>
  <si>
    <t>1 432 800 000</t>
  </si>
  <si>
    <t>german@medsyst.ru, info@medsyst.ru, klimova@medsyst.ru</t>
  </si>
  <si>
    <t>www.medsyst.ru</t>
  </si>
  <si>
    <t>Зотов Константин Владимирович (125 000 руб., 50%)
Палария Виталий Павлович (125 000 руб., 50%)</t>
  </si>
  <si>
    <t>info@msu18.ru</t>
  </si>
  <si>
    <t>msu18.ru</t>
  </si>
  <si>
    <t>АЛЬМАКОР, АО (140 000 руб., 70%)
Калиновский Михаил Иванович (50 000 руб., 25%)
АГРОТРЕЙДЭКС, ООО (10 000 руб., 5%)</t>
  </si>
  <si>
    <t>57 300 000</t>
  </si>
  <si>
    <t>belikovamv@mtppk.ru, corp@mtppk.ru</t>
  </si>
  <si>
    <t>www.mtppk.ru</t>
  </si>
  <si>
    <t>a.selezneva@tecnimont.ru</t>
  </si>
  <si>
    <t>www.mairetecnimont.com</t>
  </si>
  <si>
    <t>АО с единственным акционером "ТЕКНИМОНТ С.П.А." (17 820 000 руб., 99%)
ООО "ТПИ-Текнимонт Планунг унд Индустрианлагенб" (180 000 руб., 1%)</t>
  </si>
  <si>
    <t>2 482 730 000</t>
  </si>
  <si>
    <t>agafonova.elena@mtz-transmash.ru</t>
  </si>
  <si>
    <t>www.mtz-transmash.ru, www.mtztransmash.ru</t>
  </si>
  <si>
    <t>82 640 000</t>
  </si>
  <si>
    <t>buh3@mtkrosberg.ru, tender1@mtkrosberg.ru</t>
  </si>
  <si>
    <t>mtkrosberg.ru</t>
  </si>
  <si>
    <t>Валухов Роман Владимирович (15 000 руб., 100%)</t>
  </si>
  <si>
    <t>25 460 000</t>
  </si>
  <si>
    <t>info@mtk-fortuna.ru</t>
  </si>
  <si>
    <t>www.mtk-fortuna.ru</t>
  </si>
  <si>
    <t>Лашманов Валерий Владимирович (10 000 руб., 95%)
Стрельцова Наталия Владимировна (526 руб., 5%)</t>
  </si>
  <si>
    <t>Торговля оптовая скобяными изделиями</t>
  </si>
  <si>
    <t>58 520 000</t>
  </si>
  <si>
    <t>Дмитренко Анатолий Юрьевич (3 334 руб., 33.34%)
Баранов Юрий Афанасьевич (3 333 руб., 33.33%)
Данилов Илья Александрович (3 333 руб., 33.33%)</t>
  </si>
  <si>
    <t>43 300 000</t>
  </si>
  <si>
    <t>www.mtl.ru</t>
  </si>
  <si>
    <t>Производство облучающего и электротерапевтического оборудования, применяемого в медицинских целях</t>
  </si>
  <si>
    <t>1 510 240 000</t>
  </si>
  <si>
    <t>info@stormoff.com, info@stormoff.ru, ksenia.novikova@stormoff.com, mstormoff@gmail.com, mstormoff@mail.ru, mto95@mail.ru, yuliya.ivanova@stormoff.com</t>
  </si>
  <si>
    <t>stormoff.ru</t>
  </si>
  <si>
    <t>КОМПАНИЯ С ОГРАНИЧЕННОЙ ОТВЕТСТВЕННОСТЬЮ МИК ЭНТЕРПРАЙЗЕС ЛТД (10 000 руб., 100%)</t>
  </si>
  <si>
    <t>123 930 000</t>
  </si>
  <si>
    <t>www.nvisiongroup.ru</t>
  </si>
  <si>
    <t>МТС, ПАО (1 044 996.48 руб., 86.36%)
СТРИМ, ООО (147 291.71 руб., 12.17%)
ТЕЛЕКОМ ПРОЕКТЫ, ООО (17 711.81 руб., 1.46%)</t>
  </si>
  <si>
    <t>594 130 000</t>
  </si>
  <si>
    <t>1@mts.ru, a.berdyugina@ao.rikt.ru, a.kuzmina@mts.ru, aachumb@mts.ru, aadugan1@mts.ru, aafedoro@mts.ru, aagorbu4@mts.ru, aaiva119@mts.ru, aakhmel@mts.ru, aalario9@mts.ru</t>
  </si>
  <si>
    <t>www.mts.ru</t>
  </si>
  <si>
    <t>aabramova@mtt.ru, akanashkin@mtt.ru, amomot@mtt.ru, erobenkova@gmail.com, erobenkova@mtt.ru, gossektor@mtt.ru, hnrfu@mail.ru, info@mtt.ru, mit@mit.ru, mjhgf@mail.ru</t>
  </si>
  <si>
    <t>www.mtt.ru</t>
  </si>
  <si>
    <t>МТС, ПАО (1 176 538 руб.)</t>
  </si>
  <si>
    <t>639 780 000</t>
  </si>
  <si>
    <t>info@mter.ru</t>
  </si>
  <si>
    <t>www.mter.ru</t>
  </si>
  <si>
    <t>Дербенцев Павел Владимирович (10 000 руб., 50%)
Еремкин Эдуард Александрович (10 000 руб., 50%)</t>
  </si>
  <si>
    <t>542 780 000</t>
  </si>
  <si>
    <t>a.shumeyko@muztorg.ru, d.smetanko@muztorg.ru, dir1_spb@muztorg.ru, lukanova@muztorg.ru, man1_smolensk@muztorg.ru, man4_perm@muztorg.ru, mux@mail.ru, o.zavadskaia@muztorg.ru, p.dorogov@muztorg.ru, r.khismatullin@muztorg.ru</t>
  </si>
  <si>
    <t>muztorg.ru</t>
  </si>
  <si>
    <t>ЭЛЕГИЯ, ООО (40 000 руб., 100%)</t>
  </si>
  <si>
    <t>Торговля розничная музыкальными инструментами и нотными изданиями в специализированных магазинах</t>
  </si>
  <si>
    <t>245 220 000</t>
  </si>
  <si>
    <t>multon@multon.ru</t>
  </si>
  <si>
    <t>3 536 350 000</t>
  </si>
  <si>
    <t>zakupki@multicarta.ru</t>
  </si>
  <si>
    <t>Т1, ООО (150 556 982.56 руб., 100%)</t>
  </si>
  <si>
    <t>556 670 000</t>
  </si>
  <si>
    <t>Тростянецкий Александр Геннадьевич (14 250 руб., 95%)
Гуревич Дмитрий Григорьевич (750 руб., 5%)</t>
  </si>
  <si>
    <t>331 730 000</t>
  </si>
  <si>
    <t>info@batrussia.ru</t>
  </si>
  <si>
    <t>batrussia.ru</t>
  </si>
  <si>
    <t>2 773 670 000</t>
  </si>
  <si>
    <t>info@mfzavod.com</t>
  </si>
  <si>
    <t>Магий Михаил Юрьевич (41 817 000 руб., 100%)</t>
  </si>
  <si>
    <t>1 671 040 000</t>
  </si>
  <si>
    <t>info@polis-group.ru</t>
  </si>
  <si>
    <t>ПОЛИС КАПИТАЛ, ООО (15 000 руб., 100%)</t>
  </si>
  <si>
    <t>info@msf.mels.ru, msf@msf.mels.ru</t>
  </si>
  <si>
    <t>www.msf.mels.ru</t>
  </si>
  <si>
    <t>Хижняков Владимир Алексеевич (46 174 803.4 руб., 95.86%)
ОЛКОМ, ООО (1 994 196.6 руб., 4.14%)</t>
  </si>
  <si>
    <t>1 086 160 000</t>
  </si>
  <si>
    <t>aavechirko@kola.tgc1.ru, common@mtec.kola.tgc1.ru, common@mtec.kola.tgk1.ru, common@mtec.tgcl.ru, common@mtec.tgec1.ru, common@mtec.tgk1.ru, common@mtek.tgc1.ru, ec@mtc.kola.tdk1.ru, engodunova@mtec.kola.tgk1.ru, es@mtec.koia.tgkl.ru</t>
  </si>
  <si>
    <t>www.murmantec.com</t>
  </si>
  <si>
    <t>mtf@karat-holding.com, mtf@mtf.ru, nenasheva-na@norebo.ru, shestakova-ov@karat-holding.com</t>
  </si>
  <si>
    <t>СЕВЕРНЫЙ АЛЬЯНС, АО (89.48%)
Бусыгин Игорь Константинович (10.00%)</t>
  </si>
  <si>
    <t>754 040 000</t>
  </si>
  <si>
    <t>sekretar@murom.mit.ru, sekretar@zaomurom.ru</t>
  </si>
  <si>
    <t>3 114 860 000</t>
  </si>
  <si>
    <t>igor_evstifeev27@bk.ru, oaomuromec@mail.ru</t>
  </si>
  <si>
    <t>63 310 000</t>
  </si>
  <si>
    <t>transput.in@mail.ru, transputbux@mail.ru</t>
  </si>
  <si>
    <t>Баляев Вадим Михайлович (17 894.74 руб., 85%)
РМИ, ООО (3 157.89 руб., 15%)</t>
  </si>
  <si>
    <t>169 110 000</t>
  </si>
  <si>
    <t>БОРИСХОФ ХОЛДИНГ, ООО (41 009 500 руб., 99.95%)
ММ ЭНД БХ-1, ООО (6 150 руб., 0.020%)
ММ ЭНД БХ-2, ООО (6 150 руб., 0.020%)
ММ ЭНД БХ-3, ООО (4 100 руб., 0.010%)
ММ ЭНД БХ-4, ООО (4 100 руб., 0.010%)</t>
  </si>
  <si>
    <t>136 000 000</t>
  </si>
  <si>
    <t>2308131994@mail.ru, 254677@mail.ru, 98766455@mail.ru, abinabon11_url@trashcomp.com, abinabon20@trashcomp.com, dindoj@trashcomp.com, dogbry1@trashcomp.com, dogovor12@trashcomp.com, dogovor15@trashcomp.com, dogovor18@trashcomp.com</t>
  </si>
  <si>
    <t>www.trashcomp.com</t>
  </si>
  <si>
    <t>103 780 000</t>
  </si>
  <si>
    <t>buh@mustangtk.ru</t>
  </si>
  <si>
    <t>mustangtk.ru, techbio.ru</t>
  </si>
  <si>
    <t>Мартыненко Алексей Анатольевич (8 000 000 руб., 100%)</t>
  </si>
  <si>
    <t>alba_buh@mail.ru</t>
  </si>
  <si>
    <t>newfurnitura.ru</t>
  </si>
  <si>
    <t>Никитин Владимир Борисович (5 010 руб., 50.10%)
Никитина Валерия Владимировна (4 990 руб., 49.90%)</t>
  </si>
  <si>
    <t>Торговля оптовая мебелью, коврами и осветительным оборудованием</t>
  </si>
  <si>
    <t>123 430 000</t>
  </si>
  <si>
    <t>ecp@mfisoft.ru, info@mfisoft.ru, m.korchenkov@mfisoft.ru, n.kudashova@mfisoft.ru, sorm@mfisoft.ru</t>
  </si>
  <si>
    <t>mfisoft.ru</t>
  </si>
  <si>
    <t>4 410 240 000</t>
  </si>
  <si>
    <t>a.nikolenko@bioritm.ru, bioritm7447003@yandex.ru, bioritm@bioritm.ru, info@bio.ru, info@biorim.ru, info@bioritm.biz, info@biotrim.ru, info@buoritm.ru, j.nikiforova@bioritm.ru, koroleva@biorim.ru</t>
  </si>
  <si>
    <t>www.bioritm.ru</t>
  </si>
  <si>
    <t>Александров Алексей Георгиевич (5 000 руб., 50%)
Леенсон Леонид Ефимович (5 000 руб., 50%)</t>
  </si>
  <si>
    <t>31 200 000</t>
  </si>
  <si>
    <t>cc@jamilco.ru, e-shop@dkny.ru, e-shop@kikocosmetics.ru, e-shop@newbalance.ru, e-shop@vilebrequin.ru, info@jamilco.ru, mihailova@jamilco.ru, zakaz@jamilco.ru</t>
  </si>
  <si>
    <t>juicycouture.ru, marc-o-polo.ru, newbalance.ru, www.debeers.com</t>
  </si>
  <si>
    <t>afanaseva@yandex.ru, cevzap@mail.ru, elkass_eg@zdrav10.ru, etp@sev-zap.ru, info@sev-zap.ru, kev2@sev-zep.ru, kolunov@sev-zap.ru, sevzap@mail.ru, sevzapad@mail.ru, spb@sev-zap.ru</t>
  </si>
  <si>
    <t>114 120 000</t>
  </si>
  <si>
    <t>zaomfs@yandex.ru</t>
  </si>
  <si>
    <t>МКТ, ООО (10 000 руб., 100%)</t>
  </si>
  <si>
    <t>71 800 000</t>
  </si>
  <si>
    <t>admin@mfs-6.ru, vpaktiv@yandex.ru</t>
  </si>
  <si>
    <t>www.mfs-6.ru</t>
  </si>
  <si>
    <t>Нестеренко Виктор Иванович (51.30%)
Нестеренко Иван Викторович (27.94%)
Нестеренко Лариса Викторовна (19.98%)
Ульянов Юрий Михайлович (0.00020%)</t>
  </si>
  <si>
    <t>finance@mfc-k.ru</t>
  </si>
  <si>
    <t>ГРУППА ОНЭКСИМ, ООО (5 253 849 969 руб., 99.98%)
КРАУС-М, ЗАО (1 050 981 руб., 0.020%)</t>
  </si>
  <si>
    <t>odnookno@mfua.ru, pk@rui.ru, post@mfua.ru</t>
  </si>
  <si>
    <t>www.mfua.ru</t>
  </si>
  <si>
    <t>Забелин Алексей Григорьевич (8 000 руб., 80%)
Забелин Олег Алексеевич (1 000 руб., 10%)
Забелина Светлана Алексеевна (1 000 руб., 10%)</t>
  </si>
  <si>
    <t>Образование высшее</t>
  </si>
  <si>
    <t>info@eurochem.ru</t>
  </si>
  <si>
    <t>www.eurochem.ru, www.eurochemgroup.com</t>
  </si>
  <si>
    <t>EuroChem Group AG (99.99%)
НАК АЗОТ, АО (0.00010%)</t>
  </si>
  <si>
    <t>Деятельность по управлению финансово-промышленными группами</t>
  </si>
  <si>
    <t>a.mikhaylov@rostelecom-cc.ru, manager@ntt.ru, sales@ntt.ru</t>
  </si>
  <si>
    <t>https://rostelecom-cc.ru/, www.ntt.ru</t>
  </si>
  <si>
    <t>cement@mcoz.mgn.ru, kozlov.alv@mmk.ru, rist@mcoz.mgn.ru, urist@mcoz.mgn.ru</t>
  </si>
  <si>
    <t>mcoz.mgn.ru</t>
  </si>
  <si>
    <t>ММК, ПАО (385 763 224.02 руб., 97.22%)
ТЭК ММК, ООО (11 030 875.98 руб., 2.78%)</t>
  </si>
  <si>
    <t>info@mcpsp.ru, mcpsp@yandex.ru</t>
  </si>
  <si>
    <t>mcpsp.ru</t>
  </si>
  <si>
    <t>Елисеев Иван Александрович (500 000 руб., 100%)</t>
  </si>
  <si>
    <t>23 800 000</t>
  </si>
  <si>
    <t>info@mcee.ru</t>
  </si>
  <si>
    <t>mcee.ru</t>
  </si>
  <si>
    <t>Никитин Константин Владимирович (150 000 руб., 50%)
Рользинг Александр Николаевич (150 000 руб., 50%)</t>
  </si>
  <si>
    <t>24 820 000</t>
  </si>
  <si>
    <t>09-muz-cgb@kuzdrav.ru, economist.profosmotr@yandex.ru, ekonomist.profosmotr@yandex.ru, mbuzks@mail.ri, muztmo@rambler.ru, myztmo@rambler.ru</t>
  </si>
  <si>
    <t>cgb-myski.ru</t>
  </si>
  <si>
    <t>Кемеровская область - Кузбасс обл (n/a)</t>
  </si>
  <si>
    <t>mezbuh@amuragro.ru</t>
  </si>
  <si>
    <t>АМУРАГРОЦЕНТР, ООО (700 000 000 руб., 100%)</t>
  </si>
  <si>
    <t>377 360 000</t>
  </si>
  <si>
    <t>laskovets_np@yugrusi.ru, sovetnik@grain.ru, zakupka@grain.ru</t>
  </si>
  <si>
    <t>ЮГ РУСИ, ООО (1 947 626.14 руб., 100%)</t>
  </si>
  <si>
    <t>2 385 240 000</t>
  </si>
  <si>
    <t>majoravtok@mail.ru</t>
  </si>
  <si>
    <t>major-evolute.ru</t>
  </si>
  <si>
    <t>460 560 000</t>
  </si>
  <si>
    <t>majoravtoriga@mail.ru</t>
  </si>
  <si>
    <t>Бахтиаров Михаил Александрович (50 000 руб., 100%)</t>
  </si>
  <si>
    <t>339 750 000</t>
  </si>
  <si>
    <t>majoravtocentr@mail.ru, pavlona_lv@major.ru</t>
  </si>
  <si>
    <t>www.major-auto.ru</t>
  </si>
  <si>
    <t>Бахтиаров Михаил Александрович (10 010 000 руб., 100%)</t>
  </si>
  <si>
    <t>6456352@mail.ru, majorautomobili@mail.ru</t>
  </si>
  <si>
    <t>Бахтиаров Михаил Александрович (10 000 руб., 100%)</t>
  </si>
  <si>
    <t>502 480 000</t>
  </si>
  <si>
    <t>baklan@mjr.ru, ev@mjr.ru, info@mjr.ru</t>
  </si>
  <si>
    <t>www.mjr.ru</t>
  </si>
  <si>
    <t>Пономарев Алексей Львович (410 000 руб., 41%)
Канарейкин Дмитрий Петрович (400 000 руб., 40%)
Баклан Евгений Владимирович (100 000 руб., 10%)
Покровская Ольга Андреевна (50 000 руб., 5%)
Пискунов Сергей Александрович (40 000 руб., 4%)</t>
  </si>
  <si>
    <t>385 940 000</t>
  </si>
  <si>
    <t>servicelizing@major-auto.ru</t>
  </si>
  <si>
    <t>www.major-leasing.ru</t>
  </si>
  <si>
    <t>Абросимов Павел Александрович (9 000 руб., 90%)
Бобрович Ярослав Викторович (500 руб., 5%)
Пономарев Алексей Львович (500 руб., 5%)</t>
  </si>
  <si>
    <t>2 480 150 000</t>
  </si>
  <si>
    <t>МЭЙДЖОР ЛИЗИНГ, ООО (10 000 руб., 100%)</t>
  </si>
  <si>
    <t>reception_sl@mjr.ru</t>
  </si>
  <si>
    <t>https://www.mjr.ru/store_msk, www.mjr.ru</t>
  </si>
  <si>
    <t>Пономарев Алексей Львович (850 000 руб., 85%)
Зубарев Дмитрий Игоревич (150 000 руб., 15%)</t>
  </si>
  <si>
    <t>208 350 000</t>
  </si>
  <si>
    <t>info@m-e.ru</t>
  </si>
  <si>
    <t>www.major-express.ru</t>
  </si>
  <si>
    <t>Максимчук Алексей Анатольевич (8 000 000 руб., 80%)
Цветаев Михаил Владиславович (2 000 000 руб., 20%)</t>
  </si>
  <si>
    <t>842 880 000</t>
  </si>
  <si>
    <t>mail@example.com, major_avto@inbox.ru, nr.major-suzuki@ma.ru, pr@ma.ru, pr@magor-auto.ru</t>
  </si>
  <si>
    <t>611 940 000</t>
  </si>
  <si>
    <t>majorservicem@mail.ru</t>
  </si>
  <si>
    <t>Горевой Дмитрий Александрович (99 000 руб., 99%)
Абросимов Павел Александрович (1 000 руб., 1%)</t>
  </si>
  <si>
    <t>1 795 000 000</t>
  </si>
  <si>
    <t>epimahov@msystems.pro</t>
  </si>
  <si>
    <t>Смирнова Татьяна Андреевна (40 000 руб., 100%)</t>
  </si>
  <si>
    <t>office@mresc.pro</t>
  </si>
  <si>
    <t>https://mresc.pro/, mari-sbyt.ru</t>
  </si>
  <si>
    <t>146 240 000</t>
  </si>
  <si>
    <t>497400@mail.ru, chelaybinck@yellcity.ru, chelyabinsk@yellcity.ru, chlyabinsk@yellcity.ru, esbt74@mail.ru, i.mackashowa@gmail.com, info@m-e-c.ru, kag@m-e-c.ru, magcvet@mail.ru, mecinfo@magnitka.info</t>
  </si>
  <si>
    <t>m-e-c.ru</t>
  </si>
  <si>
    <t>ОСК, ООО (102 350 000 руб., 100%)</t>
  </si>
  <si>
    <t>958 710 000</t>
  </si>
  <si>
    <t>tklementeva@zavodmel.ru</t>
  </si>
  <si>
    <t>zavodmel.ru</t>
  </si>
  <si>
    <t>Производство подъемно-транспортного оборудования</t>
  </si>
  <si>
    <t>506 030 000</t>
  </si>
  <si>
    <t>office@melonfashion.ru, potashevaea@melonfashon.ru, svirinaie@melonfashion.ru</t>
  </si>
  <si>
    <t>www.befree.ru, www.melonfashion.ru, zarina.ru</t>
  </si>
  <si>
    <t>3 042 650 000</t>
  </si>
  <si>
    <t>moscow@mail.manpower.ru, moscow@manpower.ru, moscow@ru.manpowergroup.com</t>
  </si>
  <si>
    <t>www.manpower.ru</t>
  </si>
  <si>
    <t>МП ИНВЕСТ, ООО (10 000 руб., 100%)</t>
  </si>
  <si>
    <t>helpdesk@mkcorp.com</t>
  </si>
  <si>
    <t>www.marykay.ru</t>
  </si>
  <si>
    <t>505@mures.ru, admin@mures.ru, barminip@mtec.ru, barminip@mures.ru, belyakovadg@mures.ru, borisenkovaoksana@yandex.ru, bubnovasv@mures.ru, chernouskoka@mures.ru, chichenkovda@mures.ru, chihenkovda@mures.ru</t>
  </si>
  <si>
    <t>www.mures.ru</t>
  </si>
  <si>
    <t>Мурманская обл (4 797 171 704.32 руб., 100%)</t>
  </si>
  <si>
    <t>scr@office.miuz.ru, taya@miuz.ru</t>
  </si>
  <si>
    <t>www.miuz.ru</t>
  </si>
  <si>
    <t>ГРУППА КОМПАНИЙ РУИЗ, ООО (98.98%)</t>
  </si>
  <si>
    <t>1 468 300 000</t>
  </si>
  <si>
    <t>b2b@thomasmuenz.ru, e-shop@thomasmuenz.ru, info@thomasmuenz.ru, k.cedzinov@googlemail.com, ryzhonina.e@thomasmuenz.ru, thomasmuenz@lmexpress.ru</t>
  </si>
  <si>
    <t>tmunz.ru</t>
  </si>
  <si>
    <t>Павлов Андрей Васильевич (783 000 руб., 78.30%)
Цеджинов Кирилл Евгеньевич (197 000 руб., 19.70%)
Чальцев Павел Геннадьевич (20 000 руб., 2%)</t>
  </si>
  <si>
    <t>Торговля розничная обувью в специализированных магазинах</t>
  </si>
  <si>
    <t>503 480 000</t>
  </si>
  <si>
    <t>glbuh.myasko@mail.ru, myasko-op@mail.ru</t>
  </si>
  <si>
    <t>myasko96.ru</t>
  </si>
  <si>
    <t>Кузнецова Светлана Владимировна (10 000 руб., 100%)</t>
  </si>
  <si>
    <t>47 960 000</t>
  </si>
  <si>
    <t>melnikovaii@abiproduct.ru</t>
  </si>
  <si>
    <t>pokom.ru</t>
  </si>
  <si>
    <t>АБИ ПРОДАКТ, АО (95 384 035 руб.)</t>
  </si>
  <si>
    <t>197 100 000</t>
  </si>
  <si>
    <t>ОТДОХНИ-77, ООО (9 990 000 руб., 99.90%)
Альтшуллер Владлен Марксович (4 000 руб., 0.040%)
Михайлов Евгений Игоревич (2 500 руб., 0.030%)
Михайлов Сергей Игоревич (2 500 руб., 0.030%)
Караева Светлана Вадимовна (1 000 руб., 0.010%)</t>
  </si>
  <si>
    <t>2006708@mail.ru, dian88@lis.ru, m29@myasnoff.net, m86@myasnoff.ru, m88@mxasnohh.net.ru, myasnoff@aaanet.ru, myasnoss@aaanet.ru, tender@myasnoff.net</t>
  </si>
  <si>
    <t>it-volna.ru</t>
  </si>
  <si>
    <t>Заика Ирина Анатольевна (16 000 руб., 100%)</t>
  </si>
  <si>
    <t>11 630 000</t>
  </si>
  <si>
    <t>mpk@gorin-group.ru</t>
  </si>
  <si>
    <t>gorin-torgi.ru</t>
  </si>
  <si>
    <t>КОЛХОЗ ИМЕНИ ГОРИНА, СПК (300 500 000 руб., 100%)</t>
  </si>
  <si>
    <t>29 710 000</t>
  </si>
  <si>
    <t>mkb_2011@bk.ru</t>
  </si>
  <si>
    <t>Алексашин Кирилл Евгеньевич (522 500 руб., 47.50%)
Лосева Ольга Валентиновна (522 500 руб., 47.50%)
Обухов Тимофей Алексеевич (55 000 руб., 5%)</t>
  </si>
  <si>
    <t>18 280 000</t>
  </si>
  <si>
    <t>info@mysamson.ru</t>
  </si>
  <si>
    <t>http://mysamson.ru</t>
  </si>
  <si>
    <t>АПК МИХАЙЛОВСКИЙ, ООО (260 639 382.82 руб., 100%)</t>
  </si>
  <si>
    <t>mkdn@agro-optima.ru, t.kleshchenko@mhp.com.ua, v.kovaleva.1987@mail.ru, v.kovaleva@mhp.com.ua, z.settarova@mhp.com.ua</t>
  </si>
  <si>
    <t>druzhbanarodov.ru</t>
  </si>
  <si>
    <t>info-klin@prodo.ru, ryzhova@klinmk.prodo.ru, ryzhova@klinmk.ru, s.baryshnikov@klinmk.prodo.ru, secretary@klinmk.ru</t>
  </si>
  <si>
    <t>info@kmpp.ru, office@kmpp.ru</t>
  </si>
  <si>
    <t>kmpp.ru</t>
  </si>
  <si>
    <t>ЮМИКО, ООО (785 221 470 руб., 99.99%)
ХАЙПЕРФУДС ХОЛДИНГ, ООО (78 530 руб., 0.010%)</t>
  </si>
  <si>
    <t>plan2@velkomfood.ru, ponkratov@velkomfood.ru, welcome@istra.ru, welcome@velkomfood.ru</t>
  </si>
  <si>
    <t>www.eatmeat.ru</t>
  </si>
  <si>
    <t>Фринал Файненс Лимитед (100 100 000 руб., 91%)
Демина Раиса Васильевна (9 900 000 руб., 9%)</t>
  </si>
  <si>
    <t>buh@ramen.ru, info@ramen.ru</t>
  </si>
  <si>
    <t>www.ramen.ru</t>
  </si>
  <si>
    <t>5 160 000</t>
  </si>
  <si>
    <t>urotdel@bahrushin.ru</t>
  </si>
  <si>
    <t>Грошев Александр Евгеньевич (14 850 руб., 37.13%)
Насыров Вадим Заманович (14 850 руб., 37.13%)
Леонов Антон Александрович (6 300 руб., 15.75%)
Пятница Павел Витальевич (4 000 руб., 10%)</t>
  </si>
  <si>
    <t>26 170 000</t>
  </si>
  <si>
    <t>mo@mosremit.ru</t>
  </si>
  <si>
    <t>kupiremit.ru, www.mosremit.ru</t>
  </si>
  <si>
    <t>Конозаков Владимир Михайлович (150 000 000 руб., 50%)
Мухаметшин Рустем Флюрович (150 000 000 руб., 50%)</t>
  </si>
  <si>
    <t>767 770 000</t>
  </si>
  <si>
    <t>buh.kanevskoy@gmail.com, mpksekretar@gmail.com, purchase@kanevskoy.ru</t>
  </si>
  <si>
    <t>www.kanmpk.ru</t>
  </si>
  <si>
    <t>ТОРГОВЫЙ ДОМ ЗАО МЯСОПТИЦЕКОМБИНАТА КАНЕВСКОЙ, ДП ООО (30 000 000 руб., 100%)</t>
  </si>
  <si>
    <t>90 890 000</t>
  </si>
  <si>
    <t>myastorg.ooo@mail.ru</t>
  </si>
  <si>
    <t>Елогян Михаил Юрьевич (10 000 руб., 100%)</t>
  </si>
  <si>
    <t>60 890 000</t>
  </si>
  <si>
    <t>ad@n-media.com.ru</t>
  </si>
  <si>
    <t>www.n-media.com.ru</t>
  </si>
  <si>
    <t>Орлов Дмитрий Владимирович (300 000 руб., 100%)</t>
  </si>
  <si>
    <t>101 870 000</t>
  </si>
  <si>
    <t>elevator@bancorp.ru, galimova.alsu@chelny-broiler.ru</t>
  </si>
  <si>
    <t>www.agroforceg.com</t>
  </si>
  <si>
    <t>navastroy@mail.ru</t>
  </si>
  <si>
    <t>Нахатакян Наири Вараздатович (9 000 000 руб., 60%)
Нахатакян Верануш Сейрановна (6 000 000 руб., 40%)</t>
  </si>
  <si>
    <t>buh1@np26.ru, buh@np26.ru, buh@np26l.ru, den.nad77@mail.ru, navigator.eltorg@mail.ru</t>
  </si>
  <si>
    <t>np26.ru</t>
  </si>
  <si>
    <t>Баджиашвили Николай Васильевич (15 000 руб., 50%)
Чадунели Игорь Роениевич (15 000 руб., 50%)</t>
  </si>
  <si>
    <t>Соболева Елена Владимировна (900 000 руб., 66.66%)
Студенников Сергей Петрович (450 000 руб., 33.33%)</t>
  </si>
  <si>
    <t>108 720 000</t>
  </si>
  <si>
    <t>navien.ru</t>
  </si>
  <si>
    <t>ОТКРЫТОЕ АКЦИОНЕРНОЕ ОБЩЕСТВО "КЁНГДОНГ НАВИЕН" (222 220 000 руб., 100%)</t>
  </si>
  <si>
    <t>7722781853_771701001@eo.tensor.ru, info@nawinia.com, tender@nawinia.com</t>
  </si>
  <si>
    <t>НАВИНИЯ, ООО (3 000 000 руб., 100%)</t>
  </si>
  <si>
    <t>41 880 000</t>
  </si>
  <si>
    <t>navioil.ru</t>
  </si>
  <si>
    <t>Згодько Михаил Андреевич (500 000 руб., 100%)</t>
  </si>
  <si>
    <t>28783311@mail.ru, 84951326716@mail.ru, crb_koi_zakupki@mail.ru, info@na.ru, info@navartisfarm.ru, info@navisfarm.ru, info@navisfarma.ru, info@navishapm.ru, info@navisparm.ru, info@navispfarm.ru</t>
  </si>
  <si>
    <t>Зыбин Антон Олегович (300 000 руб., 100%)</t>
  </si>
  <si>
    <t>273 810 000</t>
  </si>
  <si>
    <t>info@nndor.ru, torgi@nndor.ru</t>
  </si>
  <si>
    <t>nndor.ru</t>
  </si>
  <si>
    <t>Корягин Сергей Владимирович (6 500 руб., 65%)
Ямкин Илья Вадимович (3 500 руб., 35%)</t>
  </si>
  <si>
    <t>119 920 000</t>
  </si>
  <si>
    <t>nadezhdabs@mail.ru</t>
  </si>
  <si>
    <t>nadezhdabs.ru</t>
  </si>
  <si>
    <t>788 380 000</t>
  </si>
  <si>
    <t>3limit@mail.ru, 68294501@mail.ru, 7728658430_772801001@eo.tensor.ru, a_rybakova@hopepharm.ru, a_smirnova@hopepharm.ru, bf.stezdzhan@yandex.ru, cbvn@mail.ru, cvbn@yandex.ru, cvn@mail.ru, dr_arouss@mail.ru</t>
  </si>
  <si>
    <t>hopetmb.ru</t>
  </si>
  <si>
    <t>Хорошков Александр Леонидович (50 000 руб., 100%)</t>
  </si>
  <si>
    <t>381 290 000</t>
  </si>
  <si>
    <t>beskova@serovmet.ru, e.soldatova@serovmet.ru, g.bedrina@serovmet.ru, planstat@serovmet.ru, postmaster@serovmet.ru</t>
  </si>
  <si>
    <t>www.serovmet.ru, www.steel.ugmk.com</t>
  </si>
  <si>
    <t>УМК-СТАЛЬ, ООО (83.75%)
Исакова Ольга Вадимовна (0.0050%)</t>
  </si>
  <si>
    <t>agrosnab.nazarovo@mail.ru, nasaragrosnab@mail.ru, nazaragrosnab@mail.ru, yurist@nazarovoagrosnab.ru</t>
  </si>
  <si>
    <t>nazarovoagrosnab.ru</t>
  </si>
  <si>
    <t>289 830 000</t>
  </si>
  <si>
    <t>0000@sibgenco.ru, arlikovaev@sibgenco.ru, buh@sibgeology.ru, gomanovaty@sibgenco.ru, grebenyukaa@sibgenco.ru, gres@yandex.ru, gres_nazarovo@mail.ru, gresna@mail.ru, hripunovaep@sibgenko.ru, jjj@ya.ru</t>
  </si>
  <si>
    <t>www.tgk13.ru/shareholders/ngres</t>
  </si>
  <si>
    <t>СИБИРСКАЯ ГЕНЕРИРУЮЩАЯ КОМПАНИЯ, ООО (1 591 490 557.15 руб.)</t>
  </si>
  <si>
    <t>1 361 760 000</t>
  </si>
  <si>
    <t>zaonazarovskoe@krasmail.ru, zaonazarovskoe@mail.ru</t>
  </si>
  <si>
    <t>www.nrcreq.ru</t>
  </si>
  <si>
    <t>www.nike.com</t>
  </si>
  <si>
    <t>"НАЙК РИТЭЙЛ Б.В" (12 870 592.66 руб., 99%)
КОМПАНИЯ "НАЙК ЮРОП ХОЛДИНГ Б.В." (130 005.99 руб., 1%)</t>
  </si>
  <si>
    <t>Торговля оптовая одеждой, включая спортивную, кроме нательного белья</t>
  </si>
  <si>
    <t>981 540 000</t>
  </si>
  <si>
    <t>info@mlprussia.com</t>
  </si>
  <si>
    <t>etp.mail@nationalrent.ru, info@bobcatrussia.ru, info@disd-loaders.ru, info@nationalrent.ru, info@xcmg-construction.ru, info@yalerussia.ru, nationalrent1@yandex.ru, r.kirichek@nationalrent.ru, s.yakovleva@nationalrent.ru, sales@remzona-parts.ru</t>
  </si>
  <si>
    <t>https://nationalrent.ru, remzona-parts.ru</t>
  </si>
  <si>
    <t>Килейников Сергей Анатольевич (29 718 000 руб., 90%)
Воробьев Сергей Леонидович (3 302 000 руб., 10%)</t>
  </si>
  <si>
    <t>387 400 000</t>
  </si>
  <si>
    <t>a.kaplinskaya@nanolek.ru, info@nanolek.ru, m.maiyutina@nanolek.ru, m.malyutina@nanolek.ru, nanolek@mail.ru, r.kuligina@nanolek.ru, tender@nanolek.ru</t>
  </si>
  <si>
    <t>nanolek.ru</t>
  </si>
  <si>
    <t>КОМБИНИРОВАННЫЙ ЗАКРЫТЫЙ ПАЕВЫЙ ИНВЕСТИЦИОННЫЙ ФОНД "МЕНЕДЖМЕНТ-АКТИВ" (1 704 600 000 руб., 100%)</t>
  </si>
  <si>
    <t>2 215 010 000</t>
  </si>
  <si>
    <t>2117400@mail.ru</t>
  </si>
  <si>
    <t>нано-тек.рф</t>
  </si>
  <si>
    <t>Дементьева Наталья Леонидовна (100 000 руб., 100%)</t>
  </si>
  <si>
    <t>166 880 000</t>
  </si>
  <si>
    <t>e-mail@nanofarm-rostov.com, globus_farmacia@mail.ru, jkdfx@mail.ru, kuznecovam@farmacevt.ru, nanofarm2014@nanofarm.ru, nanofarm2019@rambler.ru, nanofarm@mail.ru, nanofarm@rostov.com, nanofarm@yandex.ru, nfarm@mail.ru</t>
  </si>
  <si>
    <t>Ларин Александр Лазаревич (10 000 руб., 100%)</t>
  </si>
  <si>
    <t>152 200 000</t>
  </si>
  <si>
    <t>info@metrostr.ru, jurist.post.mss@metrostr.ru, lom56913072@mail.ru, maria.liubimkina@metrostr.ru, vinogradovasv@vtbd.ru</t>
  </si>
  <si>
    <t>s.titova@bg-nat.com</t>
  </si>
  <si>
    <t>vodkavozduh.ru</t>
  </si>
  <si>
    <t>КОМПАНИИ "МИРАНДА ЭНТЕРПРАЙЗЕС ЛИМИТЕД" (332 999 072.31 руб., 99.99%)
Скибо Константин Витальевич (1 200 руб., 0.00040%)</t>
  </si>
  <si>
    <t>julia.pashinskaya@acsour.com, marina.kuznetsova@arlafoods.ru</t>
  </si>
  <si>
    <t>www.arla.ru</t>
  </si>
  <si>
    <t>Ляско Марианна Зусьевна (134 422 397 руб., 100%)</t>
  </si>
  <si>
    <t>91 340 000</t>
  </si>
  <si>
    <t>https://naturasiberica.ru</t>
  </si>
  <si>
    <t>ОРГАНИК РУС, АО (10 000 руб., 100%)</t>
  </si>
  <si>
    <t>natek.ru</t>
  </si>
  <si>
    <t>108 870 000</t>
  </si>
  <si>
    <t>pochta_no@bk.ru</t>
  </si>
  <si>
    <t>Акчурин Ришад Рашидович (80 000 руб., 80%)
Груздева Юлия Сергеевна (20 000 руб., 20%)</t>
  </si>
  <si>
    <t>297 400 000</t>
  </si>
  <si>
    <t>garinyura@mail.ru, ooonafta@list.ru</t>
  </si>
  <si>
    <t>nafta55.ru</t>
  </si>
  <si>
    <t>Гарин Юрий Борисович (300 000 руб., 100%)</t>
  </si>
  <si>
    <t>25 300 000</t>
  </si>
  <si>
    <t>info@nafta-center.ru, info@nafta-centr.ru</t>
  </si>
  <si>
    <t>naftacentr.ru</t>
  </si>
  <si>
    <t>Рульков Андрей Александрович (100 000 руб., 100%)</t>
  </si>
  <si>
    <t>314 740 000</t>
  </si>
  <si>
    <t>info@nafta-invest.com</t>
  </si>
  <si>
    <t>www.nafta-invest.com</t>
  </si>
  <si>
    <t>Барютин Борис Евгеньевич (50 000 руб., 100%)</t>
  </si>
  <si>
    <t>267 080 000</t>
  </si>
  <si>
    <t>naftatrans@inbox.ru, nina.harina@mail.ru</t>
  </si>
  <si>
    <t>нафтатранс-плюс.рф</t>
  </si>
  <si>
    <t>Головня Игорь Олегович (10 000 руб., 100%)</t>
  </si>
  <si>
    <t>Пурим Екатерина Владимировна (1 010 000 руб., 100%)</t>
  </si>
  <si>
    <t>9 280 000</t>
  </si>
  <si>
    <t>vchm-nahodka.ru</t>
  </si>
  <si>
    <t>УПРАВЛЯЮЩАЯ КОМПАНИЯ АМУР-ВОЛГА, ООО (2 000 000 руб., 100%)</t>
  </si>
  <si>
    <t>116 730 000</t>
  </si>
  <si>
    <t>dpv@fareast.evraz.com, larisa.bannaya@fareast.evraz.com, lyudmila.radokhleb@nmtport.ru, ncsp@nmtport.ru, nmtport@mail.ru, olga.vorotilina@fareast.evraz.com, tatyana.shevtsova@nmtport.ru</t>
  </si>
  <si>
    <t>http://nmtport.ru</t>
  </si>
  <si>
    <t>5 627 810 000</t>
  </si>
  <si>
    <t>info@nacimbio.com, info@nacimbio.ru, m.a.bachaeva@nacimbio.ru, press@nacimbio.ru</t>
  </si>
  <si>
    <t>http://www.nacimbio.ru</t>
  </si>
  <si>
    <t>РОСТЕХ, ГОСУДАРСТВЕННАЯ КОРПОРАЦИЯ (3 195 022 000 руб.)</t>
  </si>
  <si>
    <t>4 357 210 000</t>
  </si>
  <si>
    <t>gzerdeeva@spb.beeline.ru, info@service-telecom.net, natafilippova@beeline.ru, osharonina@uln.beeline.ru, rabdrakhimov@beeline.ru</t>
  </si>
  <si>
    <t>albrekhteg@tricolor.tv, content@tricolor.tv, hotemkinaay@tricolor.tv, olga.oskova@tricolor.tv, potemkinaay@tricolor.tv, prudskiheg@tricolor.tv, zemlyankinaev@tricolor.tv</t>
  </si>
  <si>
    <t>www.tricolor.tv</t>
  </si>
  <si>
    <t>1 369 770 000</t>
  </si>
  <si>
    <t>sdobnova@swnn.ru</t>
  </si>
  <si>
    <t>nfc-nn.ru</t>
  </si>
  <si>
    <t>УПРАВЛЯЮЩАЯ КОМПАНИЯ, ООО (5 100 руб., 51%)
Гусев Альберт Геннадьевич (4 900 руб., 49%)</t>
  </si>
  <si>
    <t>5 120 000</t>
  </si>
  <si>
    <t>nayada@online.nahodka.ru</t>
  </si>
  <si>
    <t>www.nayada.biz</t>
  </si>
  <si>
    <t>Грязных Евгений Валерьевич (3 400 руб., 34%)
Карчёмкин Роман Владимирович (3 300 руб., 33%)
Рублевский Иван Александрович (3 300 руб., 33%)</t>
  </si>
  <si>
    <t>110 370 000</t>
  </si>
  <si>
    <t>gl.buh@nmk1.ru, trading@nmk1.ru, zernonmk@gmail.com</t>
  </si>
  <si>
    <t>Беляев Сергей Иванович (30 000 руб., 100%)</t>
  </si>
  <si>
    <t>info@bamr.ru</t>
  </si>
  <si>
    <t>bamr.ru</t>
  </si>
  <si>
    <t>ДАЛЬИНВЕСТГРУПП, АО (86.77%)
ИК СМАРТ, ООО (0.31%)
Передрий Сергей Андреевич (0.10%)</t>
  </si>
  <si>
    <t>151 540 000</t>
  </si>
  <si>
    <t>nv-srv.ru</t>
  </si>
  <si>
    <t>Иванов Владимир Сергеевич (9 950 руб., 99.50%)
Злотникова Светлана Анатольевна (50 руб., 0.50%)</t>
  </si>
  <si>
    <t>127 940 000</t>
  </si>
  <si>
    <t>info@nv-tr.ru</t>
  </si>
  <si>
    <t>nv-trd.ru</t>
  </si>
  <si>
    <t>Будаев Максим Владимирович (5 000 000 руб., 100%)</t>
  </si>
  <si>
    <t>85 950 000</t>
  </si>
  <si>
    <t>tenders@nvbs.ru</t>
  </si>
  <si>
    <t>ЗЕЛЁНАЯ ТОЧКА, ООО (5 000 000 руб.)</t>
  </si>
  <si>
    <t>212 130 000</t>
  </si>
  <si>
    <t>info@nvk-depo.ru, info_konosha@nvrk.ru</t>
  </si>
  <si>
    <t>nvk-depo.ru</t>
  </si>
  <si>
    <t>АКЦИОНЕРНОЕ ОБЩЕСТВО "АУРАТУМ АГ" (10 060 000 руб., 50%)
Михальчук Вадим Сергеевич (3 354 004 руб., 16.67%)
Клёнов Максим Владимирович (3 352 998 руб., 16.67%)
Лесных Денис Николаевич (3 352 998 руб., 16.67%)</t>
  </si>
  <si>
    <t>135 180 000</t>
  </si>
  <si>
    <t>info@rosnovo.ru</t>
  </si>
  <si>
    <t>ano-nvo.ru</t>
  </si>
  <si>
    <t>ФИНАНС АКТИВ, ООО (99 000 000 руб., 99%)
КОМПАНИЯ ОУДЖИ ИНВЕСТМЕНТС ЛИМИТЕД (OG INVESTMENTS LIMITED) (1 000 000 руб., 1%)</t>
  </si>
  <si>
    <t>99 250 000</t>
  </si>
  <si>
    <t>Игнатов Александр Николаевич (10 000 руб., 100%)</t>
  </si>
  <si>
    <t>ngk-olga@yandex.ru, office@namgor.com</t>
  </si>
  <si>
    <t>ПОЛЯНКА, ООО (407 151 095.92 руб., 100%)</t>
  </si>
  <si>
    <t>3 769 190 000</t>
  </si>
  <si>
    <t>gaev_sv@ngkm.ru, info@ngkm.ru</t>
  </si>
  <si>
    <t>www.ngkm.ru</t>
  </si>
  <si>
    <t>Букин Юрий Борисович (3 200 000 руб., 32%)
ДЕУС, ООО (2 450 000 руб., 24.50%)
НГКМ, ООО (2 450 000 руб., 24.50%)
Харитонов Павел Владимирович (1 900 000 руб., 19%)</t>
  </si>
  <si>
    <t>13 160 000</t>
  </si>
  <si>
    <t>info@ngstroy.ru</t>
  </si>
  <si>
    <t>Чечулина Валентина Сергеевна (1 000 000 руб., 100%)</t>
  </si>
  <si>
    <t>43 490 000</t>
  </si>
  <si>
    <t>agul179@mail.ru, mail@ngsrb.com</t>
  </si>
  <si>
    <t>http://ngsrb.com/</t>
  </si>
  <si>
    <t>Дильмиев Нурихан Шамсулбаянович (19 200 руб., 100%)</t>
  </si>
  <si>
    <t>22 040 000</t>
  </si>
  <si>
    <t>anton.elatomcev@mail.ru, ngt@ngtsam.ru, super.shitikova@mail.ru</t>
  </si>
  <si>
    <t>Макаров Сергей Владимирович (500 000 руб., 100%)</t>
  </si>
  <si>
    <t>336 820 000</t>
  </si>
  <si>
    <t>info@ngtii.ru</t>
  </si>
  <si>
    <t>ngtii.ru</t>
  </si>
  <si>
    <t>Алексеев Алексей Александрович (10 000 руб., 100%)</t>
  </si>
  <si>
    <t>132 920 000</t>
  </si>
  <si>
    <t>alex@nda.ru, gala@nda.ru, isaeva@nda.ru, ivan@nda.ru, kandalova@nda.ru, nda@nda.ru, sveta@nda.ru</t>
  </si>
  <si>
    <t>www.nda.ru</t>
  </si>
  <si>
    <t>Руднев Дмитрий Анатольевич (18 000 руб., 90%)
Ефиценко Галина Юрьевна (2 000 руб., 10%)</t>
  </si>
  <si>
    <t>297 800 000</t>
  </si>
  <si>
    <t>contact@nevcheeses.com, mail@nevcheeses.com</t>
  </si>
  <si>
    <t>www.nevamilk.com, www.nevcheeses.com</t>
  </si>
  <si>
    <t>Суфияров Альберт Диасович (9 500 000 руб., 90.48%)
Герасимов Владимир Михайлович (500 000 руб., 4.76%)
Зюков Владимир Владимирович (500 000 руб., 4.76%)</t>
  </si>
  <si>
    <t>165 380 000</t>
  </si>
  <si>
    <t>baranova_kaf@mail.ru, neva177@mail.ru</t>
  </si>
  <si>
    <t>Шифрин Александр Владимирович (360 000 руб., 60%)
Котик Павел Марксович (139 980 руб., 23.33%)
Поляков Игорь Семенович (50 010 руб., 8.34%)
Столпнер Михаил Евсеевич (50 010 руб., 8.34%)</t>
  </si>
  <si>
    <t>44 110 000</t>
  </si>
  <si>
    <t>zvezdov30@gmail.com</t>
  </si>
  <si>
    <t>Нармаматов Рустам Баймуратович (50 000 руб., 100%)</t>
  </si>
  <si>
    <t>НЕВАДА-ВОСТОК, ООО (32 258.06 руб., 95%)
Волков Лев Евгеньевич (1 663.84 руб., 4.90%)
Дубик Вадим Геннадьевич (33.95 руб., 0.10%)</t>
  </si>
  <si>
    <t>326 790 000</t>
  </si>
  <si>
    <t>gladskih_e@parfum.spb.ru, gorohina@parfum.spb.ru, info@rivegauche.ru</t>
  </si>
  <si>
    <t>КОМПАНИЯ "БАНДОНИН ХОЛДИНГС ЛТД." (21 050 000 руб., 100%)</t>
  </si>
  <si>
    <t>390 180 000</t>
  </si>
  <si>
    <t>buh@z-y-fruits.ru</t>
  </si>
  <si>
    <t>Каргаев Исмаил Ибрагимович (10 000 руб., 100%)</t>
  </si>
  <si>
    <t>24 830 000</t>
  </si>
  <si>
    <t>7826732473_783801001@eo.tensor.ru, mail@npaper.ru</t>
  </si>
  <si>
    <t>www.npaper.ru</t>
  </si>
  <si>
    <t>Телепнев Евгений Валентинович (10 000 руб., 100%)</t>
  </si>
  <si>
    <t>24 520 000</t>
  </si>
  <si>
    <t>inf0@nevcos.ru, kazancev.artem@nevcos.ru, nevskayakosmetika@mail.ru, vlasenkova.marina@nevcos.ru</t>
  </si>
  <si>
    <t>Кононов Виктор Николаевич (22.09%)
Курманов Александр Витальевич (8.34%)
Адоньева Валентина Борисовна (6.15%)
Прядилина Елена Анатольевна (1.38%)</t>
  </si>
  <si>
    <t>3 499 030 000</t>
  </si>
  <si>
    <t>elanskayaep@nevpipeco.ru, info@nevpipeco.ru, shalinalv@nevpipeco.ru</t>
  </si>
  <si>
    <t>ТОЛИНГ, ООО (285 825 600 руб., 32%)
ТРАНСНЕФТЬ, ПАО (232 233 300 руб., 26%)
ЖУРАВСКОЕ ХОЛДИНГ, ООО (214 369 200 руб., 24%)
ЯМБУРГ-ИНВЕСТ, АО (160 776 900 руб., 18%)</t>
  </si>
  <si>
    <t>2 922 340 000</t>
  </si>
  <si>
    <t>Суфияров Альберт Диасович (9 000 руб., 90%)
Герасимов Владимир Михайлович (500 руб., 5%)
Зюков Владимир Владимирович (500 руб., 5%)</t>
  </si>
  <si>
    <t>48 480 000</t>
  </si>
  <si>
    <t>holding@nevaoil.ru, nevskymazut@nevaoil.ru</t>
  </si>
  <si>
    <t>nevaoil.ru</t>
  </si>
  <si>
    <t>АЛЬТАИР, АО (30 000 руб., 100%)</t>
  </si>
  <si>
    <t>86 620 000</t>
  </si>
  <si>
    <t>mindubaeva-sb@syndicat.ru</t>
  </si>
  <si>
    <t>syndicat.ru</t>
  </si>
  <si>
    <t>СТЕЛС ИНВЕСТ, ООО (10 010 000 руб., 100%)</t>
  </si>
  <si>
    <t>34 960 000</t>
  </si>
  <si>
    <t>batoff_ag@interrao.ru, gorshkova_es@pes.spb.ru, office@spb-neo.ru, office@spb.ru</t>
  </si>
  <si>
    <t>spb-neo.ru</t>
  </si>
  <si>
    <t>Обработка и утилизация опасных отходов</t>
  </si>
  <si>
    <t>ishmuratova@negoil.ru, murzakova@negoil.ru, office@negoil.ru, v.trebuh@negoil.ru</t>
  </si>
  <si>
    <t>ned.ru</t>
  </si>
  <si>
    <t>Басов Денис Сергеевич (1 800 000 руб., 40%)
Карасевич Антон Валерьевич (1 350 000 руб., 30%)
Панов Евгений Владимирович (1 350 000 руб., 30%)</t>
  </si>
  <si>
    <t>358 390 000</t>
  </si>
  <si>
    <t>Коннов Михаил Федорович (1 530 000 руб., 100%)</t>
  </si>
  <si>
    <t>312 370 000</t>
  </si>
  <si>
    <t>brosev_av@neiva.ru</t>
  </si>
  <si>
    <t>neiva.ru</t>
  </si>
  <si>
    <t>Чекмарев Алексей Александрович (3 732 812.1 руб., 1.30%)
Порозков Вячеслав Александрович (3 270 986.01 руб., 1.27%)
Тулупов Михаил Петрович (3 158 676.69 руб., 1.10%)
Здоровец Игорь Леонидович (2 926 723.73 руб., 1.13%)
Родионов Сергей Викторович (2 260 349.06 руб., 0.87%)
Поняев Юрий Викторович (2 179 121.97 руб., 0.84%)
Голендухин Александр Иванович (2 109 001.8 руб., 0.74%)
Ляпцев Андрей Сергеевич (2 096 914.71 руб., 0.73%)
Дурманов Александр Викторович (2 010 792.14 руб., 0.70%)
Мельчаков Вадим Васильевич (1 985 307.09 руб., 0.69%)
...*</t>
  </si>
  <si>
    <t>845 150 000</t>
  </si>
  <si>
    <t>promstroiproekt@internet.ru</t>
  </si>
  <si>
    <t>Зотов Николай Борисович (20 000 руб., 100%)</t>
  </si>
  <si>
    <t>buhnek@nektar-samara.ru</t>
  </si>
  <si>
    <t>http://nektar-samara.ru/company-history.html, nektar-samara.ru</t>
  </si>
  <si>
    <t>Сиваков Иван Федорович (200 000 руб., 100%)</t>
  </si>
  <si>
    <t>Производство соковой продукции из фруктов и овощей</t>
  </si>
  <si>
    <t>8 170 000</t>
  </si>
  <si>
    <t>milkmail.ru</t>
  </si>
  <si>
    <t>Сычев Кирилл Борисович (2 000 000 руб., 100%)</t>
  </si>
  <si>
    <t>40 910 000</t>
  </si>
  <si>
    <t>neo@neochemical.ru</t>
  </si>
  <si>
    <t>www.neochemical.ru</t>
  </si>
  <si>
    <t>Федюшкин Владимир Вячеславович (1 021 200 руб., 100%)</t>
  </si>
  <si>
    <t>268 960 000</t>
  </si>
  <si>
    <t>bm-garant@mail.ru, kudrevatyhgl@mail.ru, neo-garant@mail.ru</t>
  </si>
  <si>
    <t>Тютрина Ольга Евгеньевна (8 571.42 руб., 85.71%)
Басов Иван Владимирович (714.29 руб., 7.14%)
Басов Михаил Владимирович (714.29 руб., 7.14%)</t>
  </si>
  <si>
    <t>2018neo@bk.ru, nshevchenko@gk21.ru, skandabarova@gk21.ru</t>
  </si>
  <si>
    <t>Балдин Андрей Викторович (40 000 руб., 100%)</t>
  </si>
  <si>
    <t>72 770 000</t>
  </si>
  <si>
    <t>www.neopharm.ru</t>
  </si>
  <si>
    <t>КОМБИНИРОВАННЫЙ ЗАКРЫТЫЙ ПАЕВОЙ ИНВЕСТИЦИОННЫЙ ФОНД "ЗДРАВИНВЕСТ" (9 999 руб., 99.99%)
Нифантьева Лидия Викторовна (1 руб., 0.010%)</t>
  </si>
  <si>
    <t>221 100 000</t>
  </si>
  <si>
    <t>8332372875@mail.ru, archangelsk@mprop.ru, arhprop@yandex.ru, bryansk@mprop.ru, cheboksary@mprop.ru, chelyabinsk@mprop.ru, chuvashia@mprop.ru, com@protez.irkunsk.ru, ek@vrop.ru, ekaterinburg_gl@mprop.ru</t>
  </si>
  <si>
    <t>http://www.rpop.ru, https://ortoufa.ru/, https://sprop.ru, novea.moscow, protezperm.ru, протезы74.рф</t>
  </si>
  <si>
    <t>Российская Федерация (7 112 476 000 руб., 100%)</t>
  </si>
  <si>
    <t>anastasiya.sochneva@rusalit.com</t>
  </si>
  <si>
    <t>neoprof-spb.ru</t>
  </si>
  <si>
    <t>Иванова Юлия Борисовна (10 000 руб., 100%)</t>
  </si>
  <si>
    <t>14 030 000</t>
  </si>
  <si>
    <t>ЧАСТНАЯ КОМПАНИЯ С ОГРАНИЧЕННОЙ ОТВЕТСТВЕННОСТЬЮ С ДОЛЕВЫМ УЧАСТИЕМ "КУМО ЛИМИТЕД" (3 100 000 руб., 100%)</t>
  </si>
  <si>
    <t>neo63.ru</t>
  </si>
  <si>
    <t>Шевелева Евгения Петровна (9 500 000 руб., 95%)
Чумакова Татьяна Николаевна (500 000 руб., 5%)</t>
  </si>
  <si>
    <t>10 010 000</t>
  </si>
  <si>
    <t>НЕО-ФАРМ, ООО (10 000 руб., 100%)</t>
  </si>
  <si>
    <t>https://www.neoflex.ru/</t>
  </si>
  <si>
    <t>917 400 000</t>
  </si>
  <si>
    <t>Чайка Сергей Михайлович (121 960 653.15 руб., 77%)
Шагин Евгений Леонидович (36 429 805.48 руб., 23%)</t>
  </si>
  <si>
    <t>23 550 000</t>
  </si>
  <si>
    <t>tokareva@nerudlc.com, ushakovaelizavetaa@gmail.com</t>
  </si>
  <si>
    <t>geonlc.ru</t>
  </si>
  <si>
    <t>Галимов Алексей Фаридович (10 000 руб., 100%)</t>
  </si>
  <si>
    <t>15 980 000</t>
  </si>
  <si>
    <t>eschastlivaya@nescospb.ru, mail@nescospb.ru</t>
  </si>
  <si>
    <t>www.nesco.ru</t>
  </si>
  <si>
    <t>98 270 000</t>
  </si>
  <si>
    <t>romansp77@mail.ru</t>
  </si>
  <si>
    <t>netwell.ru</t>
  </si>
  <si>
    <t>ЭДВАНТЕК ХОЛДИНГС ЛТД. (60 000 руб., 80%)
ТЕХДИСТ ДИ ЭМ СИ СИ (15 000 руб., 20%)</t>
  </si>
  <si>
    <t>1 303 140 000</t>
  </si>
  <si>
    <t>spunbond.ru</t>
  </si>
  <si>
    <t>Дудинов Роман Валерьевич (450 000 руб., 44.67%)
КВАРК, ООО (450 000 руб., 44.67%)
Андосов Валерий Юрьевич (97 450 руб., 9.67%)
ИНВАСТА КАПИТАЛ, ООО (10 000 руб., 0.99%)</t>
  </si>
  <si>
    <t>Производство текстильных тканей</t>
  </si>
  <si>
    <t>534 970 000</t>
  </si>
  <si>
    <t>netcracker.ru, www.netcracker.com</t>
  </si>
  <si>
    <t>Netcracker Technology Corporation (18 400 руб., 100%)</t>
  </si>
  <si>
    <t>548 980 000</t>
  </si>
  <si>
    <t>bukanova-ev@nefteavtomatika.ru, nefteavtomatika@nefteavtomatika.ru</t>
  </si>
  <si>
    <t>www.nefteavtomatika.ru</t>
  </si>
  <si>
    <t>864 770 000</t>
  </si>
  <si>
    <t>galickaya@neftebitum-kngk.ru, neftebitum2018@gmail.com</t>
  </si>
  <si>
    <t>Сопильняк Олег Петрович (150 010 000 руб., 100%)</t>
  </si>
  <si>
    <t>2 600 000</t>
  </si>
  <si>
    <t>ifarkhutdinov@nestro.ru, neftegazincor@nestro.ru</t>
  </si>
  <si>
    <t>nestro.ru</t>
  </si>
  <si>
    <t>info@ngs.ru, kgs-elena@yandex.ru</t>
  </si>
  <si>
    <t>Далалоян Корюн Айказович (25 000 руб., 50%)
Мхоян Сергей Владимирович (25 000 руб., 50%)</t>
  </si>
  <si>
    <t>imenshenin@icloud.com, nefteline1@yandex.ru</t>
  </si>
  <si>
    <t>nefteline.ru</t>
  </si>
  <si>
    <t>АКЦИОНЕРНОЕ ОБЩЕСТВО "ГК МЕЛКОМ" (100 000 руб., 100%)</t>
  </si>
  <si>
    <t>46 340 000</t>
  </si>
  <si>
    <t>Долгополов Евгений Владимирович (250 000 руб., 50%)
Лысаков Сергей Владимирович (250 000 руб., 50%)</t>
  </si>
  <si>
    <t>info@altnr.ru</t>
  </si>
  <si>
    <t>Абрамов Николай Петрович (10 000 руб., 100%)</t>
  </si>
  <si>
    <t>1 547 280 000</t>
  </si>
  <si>
    <t>buh@nhk.spb.ru, office@nhk.spb.ru, pikus@inbox.ru</t>
  </si>
  <si>
    <t>Балабина Ирина Викторовна (1 500 000 руб., 50%)
Заболонков Эдуард Феликсович (1 500 000 руб., 50%)</t>
  </si>
  <si>
    <t>3 320 000</t>
  </si>
  <si>
    <t>4812@mail.ru, karta@neftika.ru, kdv@neftika.ru, manager@neftika.ru, smol@neftika.ru</t>
  </si>
  <si>
    <t>Крутик Игорь Натанович (10 000 руб., 100%)</t>
  </si>
  <si>
    <t>54 950 000</t>
  </si>
  <si>
    <t>162 520 000</t>
  </si>
  <si>
    <t>ЗАКРЫТЫЙ ПАЕВОЙ ИНВЕСТИЦИОННЫЙ КОМБИНИРОВАННЫЙ ФОНД "АРТЕК" (20 000 руб., 100%)</t>
  </si>
  <si>
    <t>37 370 000</t>
  </si>
  <si>
    <t>neftinvest_bz@mail.ru</t>
  </si>
  <si>
    <t>n.eremenko@reph.ru, nzl@reph.ru, reph@reph.ru, s.safronenkova@reph.ru, v.semenova@reph.ru</t>
  </si>
  <si>
    <t>hotline@globse.com, vfnzm@nzm.ru</t>
  </si>
  <si>
    <t>www.nzm.ru</t>
  </si>
  <si>
    <t>ГСИ, АО (14 744 198 руб., 100%)</t>
  </si>
  <si>
    <t>nznp-e.ru</t>
  </si>
  <si>
    <t>ЮГ ЭНЕРГО, ООО (10 000 000 руб., 100%)</t>
  </si>
  <si>
    <t>chizikdv@mail.ru, e.baganova@nznpt.ru, info@nznpt.ru</t>
  </si>
  <si>
    <t>РЕНЕССАНС, АО (61 000 руб., 61%)
Лавренюк Наталия Николаевна (25 000 руб., 25%)
ФИНКОНСАЛТПРО, АО (14 000 руб., 14%)</t>
  </si>
  <si>
    <t>kanc@nznp.ru, kanc@oilrusi.ru</t>
  </si>
  <si>
    <t>www.nznp.ru</t>
  </si>
  <si>
    <t>2 432 450 000</t>
  </si>
  <si>
    <t>info@nzrm.ru, info@zavod-rezki-metalla.ru</t>
  </si>
  <si>
    <t>nzrm.info</t>
  </si>
  <si>
    <t>АЛЬТАИР, АО (5 100 руб., 51%)
Хромова Екатерина Вадимовна (4 900 руб., 49%)</t>
  </si>
  <si>
    <t>nzt@nzt.ru, vzhukov@nzt.ru</t>
  </si>
  <si>
    <t>www.nzt.ru</t>
  </si>
  <si>
    <t>ДЕМЕТРА-ХОЛДИНГ, ООО (29 970 000 руб., 99.90%)
ДЕМЕТРА ТРЕЙДИНГ, ООО (30 000 руб., 0.10%)</t>
  </si>
  <si>
    <t>3 052 580 000</t>
  </si>
  <si>
    <t>andronova@utevkamez.ru, glavbuh@utevkamez.ru, urist-maslocex@mail.ru</t>
  </si>
  <si>
    <t>utevkamez.ru</t>
  </si>
  <si>
    <t>Меженин Александр Сергеевич (150 000 руб., 60%)
Меженина Елена Викторовна (90 000 руб., 36%)
Андронова Светлана Юрьевна (10 000 руб., 4%)</t>
  </si>
  <si>
    <t>342 020 000</t>
  </si>
  <si>
    <t>5273@nnz.ru</t>
  </si>
  <si>
    <t>www.nnz-ipc.ru</t>
  </si>
  <si>
    <t>ИК АВТОМАТИКА, ООО (8 115 руб., 81.15%)
ИНДУСТРИАЛЬНАЯ АВТОМАТИКА, ООО (1 885 руб., 18.85%)</t>
  </si>
  <si>
    <t>25 090 000</t>
  </si>
  <si>
    <t>nacho@nizhavtodarstroy.ru, nadstroy-nn@mail.ru, nadstroy@list.ru</t>
  </si>
  <si>
    <t>nizhavtodorstroy.ru</t>
  </si>
  <si>
    <t>Петросян Усик Гагикович (10 000 руб., 100%)</t>
  </si>
  <si>
    <t>15 790 000</t>
  </si>
  <si>
    <t>automig_pervomaysk@mail.ru, bakaevasu@nizhbel.ru, balashovaee@nizhbel.ru, client@nizhbel.ru, info@automig.ru, kachanovaev@nizhbel.ru, mailbox@nizbel.ru, mailbox@nizhbel.ru, marketing@nizhbel.ru, plehanovana@nizhbel.ru</t>
  </si>
  <si>
    <t>nizhbel.ru</t>
  </si>
  <si>
    <t>Натокин Геннадий Владимирович (31 400 руб., 100%)</t>
  </si>
  <si>
    <t>164 220 000</t>
  </si>
  <si>
    <t>info_noginsk@nnmotors.ru</t>
  </si>
  <si>
    <t>Шапошников Максим Игоревич (8 000 000 руб., 80%)
Володченко Валерий Леонидович (1 000 000 руб., 10%)
Смирнов Максим Вадимович (1 000 000 руб., 10%)</t>
  </si>
  <si>
    <t>65 250 000</t>
  </si>
  <si>
    <t>nnmotors.ru</t>
  </si>
  <si>
    <t>24 160 000</t>
  </si>
  <si>
    <t>lyashenko@ks.gaz.ru</t>
  </si>
  <si>
    <t>ОБЪЕДИНЕННЫЕ АВТОБУСНЫЕ ЗАВОДЫ, ООО (1 911 279 463.34 руб., 99.90%)
РУССКИЕ АВТОБУСЫ-ГРУППА ГАЗ, ООО (1 913 192.66 руб., 0.10%)</t>
  </si>
  <si>
    <t>elena.molodcova109@yandex.ru, info.vodokanal@mail.ru, info@vodokanal-nn.ru, info@vodokanal.mail.ru, info@vodokanal.nn.ru, info@vodokanal.sinn.ru, info@vodokanal_nn.ru, info@vodokanalnn.ru, infovodokanai@yandex.ru, mivanova@mail.ru</t>
  </si>
  <si>
    <t>www.vodokanal-nn.ru</t>
  </si>
  <si>
    <t>АДМИНИСТРАЦИЯ ГОРОДА НИЖНЕГО НОВГОРОДА (100%)</t>
  </si>
  <si>
    <t>ОАО "Белшина" (1 000 000 руб., 99.01%)
ОТКРЫТОЕ АКЦИОНЕРНОЕ ОБЩЕСТВО "БЕЛШИНА" (10 000 руб., 0.99%)</t>
  </si>
  <si>
    <t>office@nktec2.ru, yumangulovar@nktec2.ru</t>
  </si>
  <si>
    <t>ТАТНЕФТЬ ИМ. В.Д. ШАШИНА, ПАО (8 488 746 927.7 руб., 100%)</t>
  </si>
  <si>
    <t>gusevata@nknh.ru, hakimovavr@nknh.ru, nknh@nknh.ru, reshetnikovala@nknh.ru, sergeevaaa@nknh.ru</t>
  </si>
  <si>
    <t>nktu@nktu.ru</t>
  </si>
  <si>
    <t>http://nktu.ru, nktu.tatneft.ru</t>
  </si>
  <si>
    <t>ТАТНЕФТЬ ИМ. В.Д. ШАШИНА, ПАО (72.69%)
ТАТНЕФТЬ-УРС, ООО (21.67%)</t>
  </si>
  <si>
    <t>1 732 090 000</t>
  </si>
  <si>
    <t>bokarevaah@tnnh.tatneft.ru, ermolaev@tnnh.tatneft.ru, kolchnavv@nksh.tatneft.ru, tnnh@tatneft.ru</t>
  </si>
  <si>
    <t>shinakama.tatneft.ru, www.shina-kama.ru</t>
  </si>
  <si>
    <t>ТАТШИНА, ООО (81.71%)
ТД КАМА, ООО (0.29%)
Прокопьев Игорь Олегович (0.0017%)
Хафизов Марат Мизхатович (0.000050%)
Плетнев Павел Петрович (0.000030%)</t>
  </si>
  <si>
    <t>ggjgjhjhb@mail.ru, info@nizhecologia.nn.ru, lider.9rm@mail.ru, office@nizhecologia-nn.ru, office@nizhecologia_nn.ru, office@nizhecologla.nn.ru, office@vfil.ru</t>
  </si>
  <si>
    <t>nizhecologia-nn.ru</t>
  </si>
  <si>
    <t>ВЕОЛИЯ МАГ, ООО (9 990 руб., 99.90%)
МАГ ГРУП, ООО (10 руб., 0.10%)</t>
  </si>
  <si>
    <t>troshinea@niitnn.transneft.ru</t>
  </si>
  <si>
    <t>niitnn.ru</t>
  </si>
  <si>
    <t>ТРАНСНЕФТЬ, ПАО (3 276 810 750 руб., 100%)</t>
  </si>
  <si>
    <t>nii@vniias.ru</t>
  </si>
  <si>
    <t>www.vniias.ru</t>
  </si>
  <si>
    <t>15 480 000</t>
  </si>
  <si>
    <t>info@nfenergo.ru, nfenergo@mail.wplus.net</t>
  </si>
  <si>
    <t>www.nfenergo.ru</t>
  </si>
  <si>
    <t>ГЕФЕСТ, ООО (10 000 руб., 100%)</t>
  </si>
  <si>
    <t>Коваль Александр Николаевич (9 000 руб., 90%)
Коваль Иван Николаевич (1 000 руб., 10%)</t>
  </si>
  <si>
    <t>12 400 000</t>
  </si>
  <si>
    <t>Коваль Александр Николаевич (10 000 руб., 100%)</t>
  </si>
  <si>
    <t>buh1@arch-ekb.ru, d.lobov@nikapetrotech.com, info@nikapetrotech.com</t>
  </si>
  <si>
    <t>www.nikapetrotech.com</t>
  </si>
  <si>
    <t>Балашов Алексей Владимирович (27 767 272.13 руб., 80.50%)
Абрамов Валерий Вениаминович (4 484 155.74 руб., 13%)
Козлов Владимир Владимирович (2 242 077.87 руб., 6.50%)</t>
  </si>
  <si>
    <t>office@nipt.ru</t>
  </si>
  <si>
    <t>www.nipt.ru</t>
  </si>
  <si>
    <t>Батчаев Арасул Мухтарович (7 655 100 руб., 51%)
Токаев Руслан Борисович (7 354 900 руб., 49%)</t>
  </si>
  <si>
    <t>18 580 000</t>
  </si>
  <si>
    <t>nikasorm.ru</t>
  </si>
  <si>
    <t>242 990 000</t>
  </si>
  <si>
    <t>Виноградова Юлия Сергеевна (5 000 руб., 50%)
Кудяков Равиль Камильевич (5 000 руб., 50%)</t>
  </si>
  <si>
    <t>info@orteka.ru, nika@nikamed.ru, pr@orteka.ru, yashnikova.ae@nikamed.ru</t>
  </si>
  <si>
    <t>mednica.ru, orteka.ru, www.nikamed.ru</t>
  </si>
  <si>
    <t>Шаитов Сергей Эдуардович (33 660 руб., 90%)
Федосова Анна Валерьевна (1 870 руб., 5%)
Шаитов Антон Сергеевич (1 870 руб., 5%)</t>
  </si>
  <si>
    <t>321 980 000</t>
  </si>
  <si>
    <t>etp@nikodv.com, nikodv@mail.ru, office@nikodv.ru</t>
  </si>
  <si>
    <t>niko-group.com, nikodv.ru</t>
  </si>
  <si>
    <t>Великородный Алексей Николаевич (255 204 руб., 45.90%)
Юрыгин Павел Владимирович (185 148 руб., 33.30%)
Великородный Андрей Алексеевич (115 648 руб., 20.80%)</t>
  </si>
  <si>
    <t>7 640 000</t>
  </si>
  <si>
    <t>lab@nikodv.ru</t>
  </si>
  <si>
    <t>ТЕХНОТЕК, ООО (495 000 руб., 99%)
АВИАТЕК, ООО (5 000 руб., 1%)</t>
  </si>
  <si>
    <t>77 400 000</t>
  </si>
  <si>
    <t>nicoglass_info@vsk.tn.ru</t>
  </si>
  <si>
    <t>stekloholst.ru, www.nicoglass.ru</t>
  </si>
  <si>
    <t>ТН-ИНВЕСТ, ООО (10 010 000 руб., 100%)</t>
  </si>
  <si>
    <t>527 170 000</t>
  </si>
  <si>
    <t>info@nn.tn.ru, lakushina@nicol-pack.ru</t>
  </si>
  <si>
    <t>УК НИКОЛЬ-ПАК, ООО (260 000 000 руб., 100%)</t>
  </si>
  <si>
    <t>864 530 000</t>
  </si>
  <si>
    <t>peton@peton.ru</t>
  </si>
  <si>
    <t>peton.ru</t>
  </si>
  <si>
    <t>Мнушкин Игорь Анатольевич (5 100 000 руб., 51%)
Поляков Олег Владимирович (4 900 000 руб., 49%)</t>
  </si>
  <si>
    <t>evkuzovkina@nipigas.ru, info@nipigas.ru, khachaturovaea@nipigas.ru, nipigas@kragaz.ru, nvstyagun@nipigas.ru, tyurinatv@bsc.sibur.ru</t>
  </si>
  <si>
    <t>nipigas.ru</t>
  </si>
  <si>
    <t>2 328 680 000</t>
  </si>
  <si>
    <t>kichigin_av@npgm.ru, main@npgm.ru, volkov_a_v@e1.ru</t>
  </si>
  <si>
    <t>npgm.ru</t>
  </si>
  <si>
    <t>296 500 000</t>
  </si>
  <si>
    <t>Лопаткин Александр Николаевич (10 000 руб., 100%)</t>
  </si>
  <si>
    <t>122 360 000</t>
  </si>
  <si>
    <t>nkuznetsova@nissan.ru</t>
  </si>
  <si>
    <t>www.nissan.ru</t>
  </si>
  <si>
    <t>АВТОВАЗ, АО (30 987 000 000 руб., 99%)
НАМИ, ФГУП (313 000 000 руб., 1%)</t>
  </si>
  <si>
    <t>1 889 690 000</t>
  </si>
  <si>
    <t>client@nita-farm.ru, law@nita-farm.ru</t>
  </si>
  <si>
    <t>nita-farm.ru</t>
  </si>
  <si>
    <t>Смыков Виктор Владимирович (40 950 000 руб., 50%)
Юналиев Али Абдулкадирович (40 950 000 руб., 50%)</t>
  </si>
  <si>
    <t>333 920 000</t>
  </si>
  <si>
    <t>reception@nitros.ru, sibirit@nitros.ru</t>
  </si>
  <si>
    <t>nitros.ru</t>
  </si>
  <si>
    <t>205 530 000</t>
  </si>
  <si>
    <t>info@nitrosk.ru, ns_kuzbass@sovintel.ru, pochekutova@sovintel.ru</t>
  </si>
  <si>
    <t>nitrosib.ru, nitrosk.ru</t>
  </si>
  <si>
    <t>www.vpk-nn.ru</t>
  </si>
  <si>
    <t>Беляков Илья Евгеньевич (23 605 000 руб., 100%)</t>
  </si>
  <si>
    <t>13 480 000</t>
  </si>
  <si>
    <t>apv@nisha-llc.ru, chief.petrokan@yandex.ru, info@nisha-llc.ru, nim@nisha-llc.ru</t>
  </si>
  <si>
    <t>Шафир Аркадий Ехильевич (10 000 руб., 100%)</t>
  </si>
  <si>
    <t>132 000 000</t>
  </si>
  <si>
    <t>e.mishchenko@nk-jax.ru</t>
  </si>
  <si>
    <t>nk-jax.ru</t>
  </si>
  <si>
    <t>Котляров Сергей Иванович (125 000 руб., 100%)</t>
  </si>
  <si>
    <t>59 310 000</t>
  </si>
  <si>
    <t>contact@neftisa.ru</t>
  </si>
  <si>
    <t>neftisa.ru</t>
  </si>
  <si>
    <t>yangpur.ru</t>
  </si>
  <si>
    <t>Республиканское унитарное предприятие "Производственное объединение "Белоруснефть" (100%)</t>
  </si>
  <si>
    <t>803 090 000</t>
  </si>
  <si>
    <t>buh@nkz31.ru, levickayag@mail.ru</t>
  </si>
  <si>
    <t>190 800 000</t>
  </si>
  <si>
    <t>a.zakarzhevskiy@gmail.com, irina@nkm-nord.com, of@nkm-nord.com</t>
  </si>
  <si>
    <t>www.nkm-nord.com</t>
  </si>
  <si>
    <t>Григорьев Вячеслав Максимович (4 000 000 руб., 25%)
Джамалдинов Руслан Алавдинович (4 000 000 руб., 25%)
Семёнова Виктория Викторовна (4 000 000 руб., 25%)
Шеховцов Владимир Николаевич (4 000 000 руб., 25%)</t>
  </si>
  <si>
    <t>236 000 000</t>
  </si>
  <si>
    <t>nk-newstream.ru</t>
  </si>
  <si>
    <t>РУСИНВЕСТ, ООО (200 000 руб., 100%)</t>
  </si>
  <si>
    <t>РУСХИМАЛЬЯНС, ООО (100 000 руб., 100%)</t>
  </si>
  <si>
    <t>459 050 000</t>
  </si>
  <si>
    <t>nkhp@mail.kubtelecom.ru, secretary@novoroskhp.ru</t>
  </si>
  <si>
    <t>novoroskhp.ru</t>
  </si>
  <si>
    <t>ОЗК, АО (50.99%)
ДЕМЕТРА-ХОЛДИНГ, ООО (35.36%)</t>
  </si>
  <si>
    <t>ДИКЕЙ ЦИТРИАД ЛТД (4 040 000 руб., 40%)
Гольдорт Юлия Яковлевна (3 030 000 руб., 30%)
Товстик Роман Владимирович (3 030 000 руб., 30%)</t>
  </si>
  <si>
    <t>1 210 290 000</t>
  </si>
  <si>
    <t>kulagina@nlk.ru, nlk@nlk.ru, skikomb@ltd.kirov.ru</t>
  </si>
  <si>
    <t>nlk.ru</t>
  </si>
  <si>
    <t>www.kaluga.nlmk.com</t>
  </si>
  <si>
    <t>НЛМК, ПАО (30 000 000 000 руб., 100%)</t>
  </si>
  <si>
    <t>5 038 740 000</t>
  </si>
  <si>
    <t>bobina@maxi-group.ru, goll@vzps.mh.ru, plant@uzps.mh.ru, potapova_gn@nlmk.ru, uzps@mk.ru</t>
  </si>
  <si>
    <t>www.maxi-group.ru</t>
  </si>
  <si>
    <t>НЛМК, ПАО (10 000 руб., 100%)</t>
  </si>
  <si>
    <t>Производство проволоки методом холодного волочения</t>
  </si>
  <si>
    <t>317 960 000</t>
  </si>
  <si>
    <t>moiseeva_nv@nlmk.ru, nsmmz@mh.ru, tonkov_sn@nlmk.com</t>
  </si>
  <si>
    <t>www.ural.nlmk.com</t>
  </si>
  <si>
    <t>16 135 340 000</t>
  </si>
  <si>
    <t>dpankina@nle.ru, lserduk@nle.ru, psadkov@nle.ru, referent@nle.ru</t>
  </si>
  <si>
    <t>www.nle.ru</t>
  </si>
  <si>
    <t>1 595 830 000</t>
  </si>
  <si>
    <t>buh_nmk@muka.pro, nmk@muka.pro</t>
  </si>
  <si>
    <t>Беляев Сергей Иванович (10 000 руб., 100%)</t>
  </si>
  <si>
    <t>1501@neftm.ru, bim@neftm.ru, info@rosvet.ru, older@neftm.ru, secretar@neftm.ru</t>
  </si>
  <si>
    <t>www.neftm.ru</t>
  </si>
  <si>
    <t>Ерастов Александр Геннадьевич (1 500 000 руб., 50%)
Ерастова Наталия Павловна (1 500 000 руб., 50%)</t>
  </si>
  <si>
    <t>395 410 000</t>
  </si>
  <si>
    <t>fae@nmgk.ru, nmgk@nmgk.ru</t>
  </si>
  <si>
    <t>ПРОФИТ, ООО ПКФ (292 500 руб.)</t>
  </si>
  <si>
    <t>919 140 000</t>
  </si>
  <si>
    <t>mail@nmz-k.ru</t>
  </si>
  <si>
    <t>1 783 510 000</t>
  </si>
  <si>
    <t>Тахаев Турпал-Али Русланович (1 000 000 руб., 100%)</t>
  </si>
  <si>
    <t>34 280 000</t>
  </si>
  <si>
    <t>lyubov.bakashina@nmsc-media.ru</t>
  </si>
  <si>
    <t>nscmedia.ru</t>
  </si>
  <si>
    <t>Абдулкадыров Зелимхан Закреевич (500 000 руб., 100%)</t>
  </si>
  <si>
    <t>info@nmt-nvr.ru</t>
  </si>
  <si>
    <t>НМТП, ПАО (500 000 001 руб., 50%)
ЧЕРНОМОРТРАНСНЕФТЬ, АО (500 000 001 руб., 50%)</t>
  </si>
  <si>
    <t>626 950 000</t>
  </si>
  <si>
    <t>stag.fcpro@yandex.ru</t>
  </si>
  <si>
    <t>suvagcentr.ru</t>
  </si>
  <si>
    <t>Копирование записанных носителей информации</t>
  </si>
  <si>
    <t>nnts@nornik.ru, prvo-ngeo@yandex.ru</t>
  </si>
  <si>
    <t>ИНТЕРГЕОПРОЕКТ, ООО (526 356 000 руб., 100%)</t>
  </si>
  <si>
    <t>СБЫТОВОЙ ЦЕНТР, АО (50 000 руб., 100%)</t>
  </si>
  <si>
    <t>113 570 000</t>
  </si>
  <si>
    <t>orkl.info@ipc-oil.ru</t>
  </si>
  <si>
    <t>ННК-ОЙЛ, ООО (10 000 руб., 100%)</t>
  </si>
  <si>
    <t>olga.semenova@rbpi.no</t>
  </si>
  <si>
    <t>ЗАКРЫТОЕ АКЦИОНЕРНОЕ ОБЩЕСТВО С ОГРАНИЧЕННОЙ ОТВЕТСТВЕННОСТЬЮ "РБПИ АС" (447 054 040.9 руб., 92.55%)
ПСП, АО (35 986 521.93 руб., 7.45%)</t>
  </si>
  <si>
    <t>521 200 000</t>
  </si>
  <si>
    <t>info@nova-gr.ru</t>
  </si>
  <si>
    <t>nova-gr.ru</t>
  </si>
  <si>
    <t>Ефанов Алексей Юрьевич (330 000 руб., 33%)
Татлыев Ильдар Рушанович (300 000 руб., 30%)
Подоксик Александр Владимирович (220 000 руб., 22%)
Усенко Сергей Андреевич (150 000 руб., 15%)</t>
  </si>
  <si>
    <t>bochkareva@novaroll.pack.ru</t>
  </si>
  <si>
    <t>www.pack.ru</t>
  </si>
  <si>
    <t>РОЛЛАГРО, ООО (99 999 руб., 99.99%)
Асташин Вячеслав Владимирович (1 руб., 0.0010%)</t>
  </si>
  <si>
    <t>236 820 000</t>
  </si>
  <si>
    <t>a.kaydenko@gmail.com, d.obuhova@snpnova.com, info@snpnova.com, nova@mail.samtel.ru, nova@samtel.ru</t>
  </si>
  <si>
    <t>snpnova.com</t>
  </si>
  <si>
    <t>Михельсон Леонид Викторович (615 773 246 руб., 100%)</t>
  </si>
  <si>
    <t>d.saukhin@rmsauto.ru</t>
  </si>
  <si>
    <t>Богомолов Герасим Юрьевич (100 000 руб., 100%)</t>
  </si>
  <si>
    <t>info@novawind.ru, it@novawind.ru</t>
  </si>
  <si>
    <t>http://novawind.ru</t>
  </si>
  <si>
    <t>elena.bokova@novacard.ru, mail@novacard.ru</t>
  </si>
  <si>
    <t>www.novacard.ru</t>
  </si>
  <si>
    <t>Производство незаписанных магнитных и оптических технических носителей информации</t>
  </si>
  <si>
    <t>buh@nova-kom.com</t>
  </si>
  <si>
    <t>Галынин Андрей Иванович (5 000 руб., 50%)
Галынина Надежда Ивановна (5 000 руб., 50%)</t>
  </si>
  <si>
    <t>143 910 000</t>
  </si>
  <si>
    <t>cfc@cfcrus.ru, fuel@ovbport.ru</t>
  </si>
  <si>
    <t>www.cfcgroup.ru, www.cfcrus.ru</t>
  </si>
  <si>
    <t>863 720 000</t>
  </si>
  <si>
    <t>yulia.chesnokova@novartis.com</t>
  </si>
  <si>
    <t>www.novartis.ru</t>
  </si>
  <si>
    <t>АО "Новартис Латайнамерика АГ" (375 000 000 руб., 75%)
"САНДОЗ АГ" РЕЕСТР ОТ 22.05.09 (125 000 000 руб., 25%)</t>
  </si>
  <si>
    <t>АО "Новартис Оверсис Инвестментс АГ" (15 000 000 руб., 75%)
АО "Новартис Латайнамерика АГ" (5 000 000 руб., 25%)</t>
  </si>
  <si>
    <t>analitiksb.novator@gmail.com, buh4@novator.com.ru, economist@novator.com.ru, glavbuh.nov@gmail.com, prog1c.novator@gmail.com, sales.manager.novator@gmail.com</t>
  </si>
  <si>
    <t>sokol.mv@novatek-azk.ru, tarko-sale@novatek.ru</t>
  </si>
  <si>
    <t>novatek-azk.ru</t>
  </si>
  <si>
    <t>НОВАТЭК, ПАО (1 066 382 000 руб., 100%)</t>
  </si>
  <si>
    <t>НОВАТЭК, ПАО (540 000 000 руб., 100%)</t>
  </si>
  <si>
    <t>ntc@novatek.ru</t>
  </si>
  <si>
    <t>НОВАТЭК, ПАО (903 970 000 руб., 100%)</t>
  </si>
  <si>
    <t>novatek@novatek.ru, terenteva@novatek.ru, uskova@novatek.ru</t>
  </si>
  <si>
    <t>www.novatek.ru</t>
  </si>
  <si>
    <t>88007008074@novatek74.ru, dispclcher@rg74.novatek.ru, dispec@rg74.novatek.ru, dispecher@rg74.novatek.ru, dispetccher@rg74.novatek.ru, dispetcer@rg74.novatek.ru, dispetche@rg74.novatek.ru, dispetcher@74.novatek.ru, dispetcher@mail.ru, dispetcher@novatek.ru</t>
  </si>
  <si>
    <t>gazchel.ru, www.novatek74.ru</t>
  </si>
  <si>
    <t>НОВАТЭК, ПАО (2 051 421 000 руб., 100%)</t>
  </si>
  <si>
    <t>e.meshkova@kostroma.novatek.ru, gh@th.kl, info@kostroma.novatek.ru, mrg44@mrg.gazprom.ru, pp@kostroma.nobatek.ru, pp@kostroma.novotek.ru, pp@novatek.ru, r.kozlov@kostroma.novatek.ru</t>
  </si>
  <si>
    <t>www.kostroma.novatek.ru</t>
  </si>
  <si>
    <t>НОВАТЭК, ПАО (9 700 руб., 97%)
НОВАТЭК-КОСТРОМА, ООО (300 руб., 3%)</t>
  </si>
  <si>
    <t>kolayard@kolayard.ru, murmansk@nm.novatek.ru, viktor.nekrasov.55@mail.ru</t>
  </si>
  <si>
    <t>НОВАТЭК, ПАО (1 202 030 000 руб., 100%)</t>
  </si>
  <si>
    <t>Строительство водных сооружений</t>
  </si>
  <si>
    <t>613 710 000</t>
  </si>
  <si>
    <t>info@perm.novatek.ru</t>
  </si>
  <si>
    <t>novatek59.ru</t>
  </si>
  <si>
    <t>НОВАТЭК, ПАО (27 000 000 руб., 100%)</t>
  </si>
  <si>
    <t>comon@zpk.novatek.ru</t>
  </si>
  <si>
    <t>НОВАТЭК, ПАО (12 705 336 000 руб., 100%)</t>
  </si>
  <si>
    <t>10 688 990 000</t>
  </si>
  <si>
    <t>global@tsng.novatek.ru, mginiatova@tsng.novatek.ru, tsnd@tsnd.novatek.ru, tsng@tsng.novatek.ru, tsng@tsng.ru</t>
  </si>
  <si>
    <t>НОВАТЭК, ПАО (11 400 227 370 руб., 100%)</t>
  </si>
  <si>
    <t>5 587 040 000</t>
  </si>
  <si>
    <t>ul_office@novatek.ru, zykova@novatek.ru</t>
  </si>
  <si>
    <t>НОВАТЭК, ПАО (5 920 010 000 руб., 100%)</t>
  </si>
  <si>
    <t>26 226 460 000</t>
  </si>
  <si>
    <t>balaxnin@novaenergo.com, barysheva@novaenergo.com, office@novaenergo.com, office@novatek-e.ru, shiryaeva@novaenergo.com, slautina@novaenergo.com</t>
  </si>
  <si>
    <t>novatek-e.ru</t>
  </si>
  <si>
    <t>НОВАТЭК, ПАО (104 166 000 руб., 100%)</t>
  </si>
  <si>
    <t>71 320 000</t>
  </si>
  <si>
    <t>yung@yung.novatek.ru</t>
  </si>
  <si>
    <t>НОВАТЭК, ПАО (24 794 999 085 руб., 100%)</t>
  </si>
  <si>
    <t>109_sv@mail.ru, 500_sv@novacentrk.com, a.galdina@novacentrk.com, a.voronkova@novacentrk.com, alebedev@sv.epicentrk.com, kompl_svr@novacentrk.com, nemchinova.lg@epicentrk.com.ua, y.denisenko@novacentrk.com</t>
  </si>
  <si>
    <t>novacentr.ru</t>
  </si>
  <si>
    <t>РУССТРОЙ К, ООО (99 000 руб., 99%)
Пияк Леонид Васильевич (1 000 руб., 1%)</t>
  </si>
  <si>
    <t>Торговля розничная строительными материалами, не включенными в другие группировки, в специализированных магазинах</t>
  </si>
  <si>
    <t>538 310 000</t>
  </si>
  <si>
    <t>557@fond.ru, evaulina@nhosppharma.ru, hosp@nhosppharm.ru, hosp@nhosppharma.ru, jurist1@newhospital.ru, jurist@newhospital.ru, novai.med@74.ru, prime@newhospital.ru, spravka_nalog@newhospital.ru</t>
  </si>
  <si>
    <t>newhospital.ru</t>
  </si>
  <si>
    <t>Лившиц Вадим Романович (97 534 руб., 52.63%)
Свердловская обл, МУНИЦИПАЛЬНОЕ ОБРАЗОВАНИЕ "ГОРОД ЕКАТЕРИНБУРГ" (87 786 руб., 47.37%)</t>
  </si>
  <si>
    <t>60 660 000</t>
  </si>
  <si>
    <t>office@new-mmc.ru</t>
  </si>
  <si>
    <t>new-mmc.ru</t>
  </si>
  <si>
    <t>Горин Игорь Олегович (176 470.5 руб., 17.65%)
Кобяков Андрей Владимирович (176 470.5 руб., 17.65%)
Кровнов Дмитрий Евгеньевич (176 470.5 руб., 17.65%)
Тараско Андрей Васильевич (176 470.5 руб., 17.65%)
Чернышев Александр Андреевич (176 470.5 руб., 17.65%)
МЕЖДУРЕЧЬЕ, АО (117 647.5 руб., 11.77%)</t>
  </si>
  <si>
    <t>nlgsm.ru</t>
  </si>
  <si>
    <t>Пузанов Владимир Михайлович (1 000 000 руб., 100%)</t>
  </si>
  <si>
    <t>186 910 000</t>
  </si>
  <si>
    <t>WATEROSE INVESTMENTS LTD (462 000 000 руб., 25%)
КОМПАНИЯ "МАТИССЕН ХИЛЛ ЛТД" (462 000 000 руб., 25%)
КОМПАНИЯ С ОО "САЙД ПИРС ХОЛДИНГС ЛИМИТЕД" (462 000 000 руб., 25%)
СЕРЕНИТИ ИНВЕСТ, ООО (462 000 000 руб., 25%)</t>
  </si>
  <si>
    <t>ignatov_a@fabrika-e.ru, vinogradova_t@fabrika-e.ru</t>
  </si>
  <si>
    <t>fabrika-e.ru</t>
  </si>
  <si>
    <t>alexmih5@yandex.ru, ivanova_eu3@surgutneftegas.ru, mihailov_ae@novnp.ru, mihailov_ae@surgutneftegas.ru, mihailov_ae@surgutneftegaz.ru, mihailov_ae@surgutnftegas.ru, mihailov_ft@surgutneftegas.ru, nnp2017@gmail.ru, nnp2017o@gmail.com, nnp2017oa@gmail.com</t>
  </si>
  <si>
    <t>novnp.ru</t>
  </si>
  <si>
    <t>СУРГУТНЕФТЕГАЗ, ПАО (300 000 руб., 100%)</t>
  </si>
  <si>
    <t>71 470 000</t>
  </si>
  <si>
    <t>danger003@mail.ru, info@sakharopt.ru, m.gavrilova@novgorodprodukt.ru, m.gavrilova@nowgorodproduct.ru, m.gavrilova@nowgorodprodukt.ru, novgorodprodukt@bk.ru, nowgorodprodukt@bk.ru, nowgorodprodukt@ht.ru, nowproduktbyh@mail.ru</t>
  </si>
  <si>
    <t>http://sugar-sale.ru/</t>
  </si>
  <si>
    <t>Дмитриева Олеся Вячеславовна (400 000 руб., 100%)</t>
  </si>
  <si>
    <t>56 190 000</t>
  </si>
  <si>
    <t>bekon@novgorod.net, bekonvn@mail.ru</t>
  </si>
  <si>
    <t>adept.ru/becon_ooo.htm</t>
  </si>
  <si>
    <t>Васильев Владимир Николаевич (8 358 666.67 руб., 33.33%)
Нисанов Геннадий Борисович (8 358 666.67 руб., 33.33%)
Титаренко Любовь Андреевна (8 358 666.66 руб., 33.33%)</t>
  </si>
  <si>
    <t>akhalikova@novfarm.ru, ibelozerov@novfarm.ru, info@nfarma.ru, nfarm.zakup@gmail.com, nfarm.zakup@gmail.ru, novg@mail.ru, oaonovgorodfarmacia@novline.ru, ofis@novline.ru, ok.novfarm@gmail.com, tender.nf.53@mail.ru</t>
  </si>
  <si>
    <t>363 770 000</t>
  </si>
  <si>
    <t>E_Gulyakin@vniigaz.gazprom.ru, ail@noviten.ru, chebotareva_la@gesk.ru, info@lesr.ru, mai@noviten.ru, mail@esk.ru, mail@gesk.ru, mail@lesk.ru, mail@naviten.ru, mail@niviten.ru</t>
  </si>
  <si>
    <t>https://www.noviten.ru, www.gask.ru, www.lesk.ru</t>
  </si>
  <si>
    <t>ЧАСТНАЯ КОМПАНИЯ С ОТВЕТСТВЕННОСТЬЮ, ОГРАНИЧЕННОЙ АКЦИЯМИ "ТРИКСТОН ТЕКНОЛОДЖИС ЛИМИТЕД" (3 000 000 руб., 100%)</t>
  </si>
  <si>
    <t>259 160 000</t>
  </si>
  <si>
    <t>ekak@novonordisk.com</t>
  </si>
  <si>
    <t>www.novonordisk.ru</t>
  </si>
  <si>
    <t>КОМПАНИЯ "НОВО НОРДИСК РИДЖН ИНТЕРНЭШНЛ ОПЕРЕЙШНС А/С" (NOVO NORDISK REGION INTERNATIONAL OPERATIONS A/S) (4 637 998 522.06 руб., 100%)</t>
  </si>
  <si>
    <t>168 970 000</t>
  </si>
  <si>
    <t>ivan.kalinkin@novopackbb.ru</t>
  </si>
  <si>
    <t>НОВОПАК, ООО (989 405 000 руб., 100%)</t>
  </si>
  <si>
    <t>1 820 380 000</t>
  </si>
  <si>
    <t>koynovaea@mail.ru, ppz_glbuh@mail.ru</t>
  </si>
  <si>
    <t>46 060 000</t>
  </si>
  <si>
    <t>kriushovamd@sibgenco.ru</t>
  </si>
  <si>
    <t>www.kuzbassenergo.ru/novo-kem/info, www.sibgen.ru</t>
  </si>
  <si>
    <t>2972@tec.ryazan.ru, 534@tec.ryazan.ru, 560@tec.ryazan.ru</t>
  </si>
  <si>
    <t>МЕЖРЕГИОНЭНЕРГО, ООО (257 448 224 руб., 99.99%)
Климкина Елена Павловна (8 400 руб., 0.010%)</t>
  </si>
  <si>
    <t>710 420 000</t>
  </si>
  <si>
    <t>logist@novo-trade.com, office@novo-trade.com</t>
  </si>
  <si>
    <t>Григоренко Роман Олегович (23 333 руб., 70%)
Манжура Игорь Иванович (10 000 руб., 30%)</t>
  </si>
  <si>
    <t>55 960 000</t>
  </si>
  <si>
    <t>487 450 000</t>
  </si>
  <si>
    <t>info@goknok.ru, mirev@goknok.ru, office@goknok.ru</t>
  </si>
  <si>
    <t>ГМК СПЛАВ, ООО (5 000 000 руб., 100%)</t>
  </si>
  <si>
    <t>12 226 740 000</t>
  </si>
  <si>
    <t>nbhpp@agrobel.ru</t>
  </si>
  <si>
    <t>www.agrobel.ru</t>
  </si>
  <si>
    <t>abon@novogor.perm.ru, bfinfo@novogor.perm.ru, call@novogor.perm.ru, ehlakova_ae@novogor.perm.ru, golikova_la@novogor.perm.ru, info.novogor@perm.ru, info@njvogor.perm.ru, info@novogor.perm.ru, info@novogor.ru, info@novogor_perm.ru</t>
  </si>
  <si>
    <t>www.novogor.perm.ru</t>
  </si>
  <si>
    <t>РКС-ХОЛДИНГ, ООО (190 000 000 руб., 100%)</t>
  </si>
  <si>
    <t>706 310 000</t>
  </si>
  <si>
    <t>ne_ldk@wood.krasnet.ru, referent@novoink.ru</t>
  </si>
  <si>
    <t>ЛЕСОСИБИРСКИЙ ЛДК № 1, АО (130 000 000 руб.)</t>
  </si>
  <si>
    <t>priem@novolex.ru, priem_nl@mail.ru, td@novolex.ru, www.novolex@mail.ru</t>
  </si>
  <si>
    <t>novolex.ru</t>
  </si>
  <si>
    <t>Филиппов Евгений Викторович (296 583 910 руб., 100%)</t>
  </si>
  <si>
    <t>51 290 000</t>
  </si>
  <si>
    <t>iulia.teplyh@novometgroup.com, post@novomet.ru</t>
  </si>
  <si>
    <t>www.novomet.ru, www.novometgroup.com</t>
  </si>
  <si>
    <t>avdievsky@nmkhp.ru, info@nmkhp.ru, info@nmkp.ru, nmk@newmsk.tula.net</t>
  </si>
  <si>
    <t>nmkhp.ru</t>
  </si>
  <si>
    <t>88 060 000</t>
  </si>
  <si>
    <t>info@hlor.biz, info_hlor@eurochem.ru</t>
  </si>
  <si>
    <t>www.hlor.biz</t>
  </si>
  <si>
    <t>НАК АЗОТ, АО (827 626 691 руб., 100%)</t>
  </si>
  <si>
    <t>490 520 000</t>
  </si>
  <si>
    <t>nm@novorosmetall.ru</t>
  </si>
  <si>
    <t>www.novorosmetall.ru</t>
  </si>
  <si>
    <t>НОВОСТАЛЬ, ООО (2 300 217 886.59 руб., 99.99%)
РСХБ-ФИНАНС, ООО (23 002.41 руб., 0.0010%)</t>
  </si>
  <si>
    <t>info@ooonpz.ru</t>
  </si>
  <si>
    <t>https://www.ooonpz.ru/</t>
  </si>
  <si>
    <t>НОВОСТАЛЬ, ООО (98 900 руб., 98.90%)
РСХБ-ФИНАНС, ООО (1 000 руб., 1%)
Гибрадзе Шалва Юзаевич (100 руб., 0.10%)</t>
  </si>
  <si>
    <t>2 149 080 000</t>
  </si>
  <si>
    <t>ipv@nskavd.ru, nad@nskavd.ru, nalog@nskavd.ru, torgi_manager@nskavd.ru</t>
  </si>
  <si>
    <t>www.nskavtodor.ru</t>
  </si>
  <si>
    <t>broler@yandex.ru, dergunova@nskpf.ru, npf-bux@yandex.ru, npf@nskpf.ru, sbytnpf@yandex.ru</t>
  </si>
  <si>
    <t>nxpzao@mail.ru, sl_sokolov@mail.ru</t>
  </si>
  <si>
    <t>aonhp.ru</t>
  </si>
  <si>
    <t>Соколов Сергей Львович (64%)
Арбатский Владимир Викторович (22%)</t>
  </si>
  <si>
    <t>2299770@mail.ru, 2739898@mail.ru, answer@nskes.ru, antonina@nskes.ru, anzhelika.davydenkova@nskes.ru, ask@nskes.ru, baturina.86@mail.ru, chulim@nskes.ru, contract@nskes.ru, contrakt@nskes.ru</t>
  </si>
  <si>
    <t>www.nskes.ru, www.новосибирскэнергосбыт.рф</t>
  </si>
  <si>
    <t>580 710 000</t>
  </si>
  <si>
    <t>petrenko.d.s@aemz-logistic.ru</t>
  </si>
  <si>
    <t>НОВОСТАЛЬ-М, ООО (100 000 руб., 100%)</t>
  </si>
  <si>
    <t>3 780 000</t>
  </si>
  <si>
    <t>berdnik@novotelecom.ru, garbuzovang@novotelecom.ru, info@2090000.ru, info@novotelecom.ru, info@novotelekom.ru, isaenkoop@novotelecom.ru, morokhovskayaog@novotelecom.ru, nuyanzinayas@novotelecom.ru, office@novotelecom.ru, ookk_nsk@domru.ru</t>
  </si>
  <si>
    <t>ЭР-ТЕЛЕКОМ ХОЛДИНГ, АО (20 000 руб., 100%)</t>
  </si>
  <si>
    <t>853 850 000</t>
  </si>
  <si>
    <t>astrahan.resanta.ru, astrahan.utake.ru, belgorod.resanta.ru, bryansk.resanta.ru, cheboksary.resanta.ru, chelyabinsk.resanta.ru, cherepovets.utake.ru, ekaterinburg.utake.ru, habarovsk.resanta.ru, irkutsk.resanta.ru</t>
  </si>
  <si>
    <t>Подчуфаров Виктор Владиславович (200 000 руб., 100%)</t>
  </si>
  <si>
    <t>m.gorelova@hcnovotrans.ru</t>
  </si>
  <si>
    <t>www.novotrans.com</t>
  </si>
  <si>
    <t>Гончаров Константин Анатольевич (100%)</t>
  </si>
  <si>
    <t>contact@ncloudtech.ru</t>
  </si>
  <si>
    <t>myoffice.ru, ncloudtech.ru</t>
  </si>
  <si>
    <t>ЛАБОРАТОРИЯ КАСПЕРСКОГО, АО (1 276 000 руб., 63.80%)
Чеглаков Андрей Валерьевич (450 000 руб., 22.50%)
Комиссаров Дмитрий Владимирович (100 000 руб., 5%)
Кривенко Виталий Витальевич (100 000 руб., 5%)
Тимченко Александр Юрьевич (50 000 руб., 2.50%)
Доброхотов Алексей Евгеньевич (15 000 руб., 0.75%)
Басова Елена Климентьевна (5 000 руб., 0.25%)
Пакер Александр (4 000 руб., 0.20%)</t>
  </si>
  <si>
    <t>nst2003@bk.ru</t>
  </si>
  <si>
    <t>nst-m.ru</t>
  </si>
  <si>
    <t>Соснин Дмитрий Александрович (30 000 руб., 100%)</t>
  </si>
  <si>
    <t>23 580 000</t>
  </si>
  <si>
    <t>buh@nt-pk.ru</t>
  </si>
  <si>
    <t>www.nt-lift.com</t>
  </si>
  <si>
    <t>Игнатов Евгений Иванович (902 000 руб., 80%)
Думлер Олег Юрьевич (225 500 руб., 20%)</t>
  </si>
  <si>
    <t>feitusheva_ee@constell-group.ru, vvs78@icloud.com</t>
  </si>
  <si>
    <t>Галицкий Сергей Николаевич (9 000 руб., 90%)
Галицкий Сергей Николаевич (1 000 руб., 10%)</t>
  </si>
  <si>
    <t>ov.ivanova@acdamate.com</t>
  </si>
  <si>
    <t>https://www.acdamate.com/</t>
  </si>
  <si>
    <t>АПК ДАМАТЕ, ООО (20 000 руб., 100%)</t>
  </si>
  <si>
    <t>e.karabanova28@gmai.ru, e.karabanova28@gmail.com, info@3l.ru, kazartsev@3l.ru, pravo@3l.ru, zakaz@x-pc.ru</t>
  </si>
  <si>
    <t>www.3l.ru, www.3logic.ru</t>
  </si>
  <si>
    <t>Башлыков Александр Александрович (100 000 000 руб., 100%)</t>
  </si>
  <si>
    <t>835 450 000</t>
  </si>
  <si>
    <t>Игнатюк Алексей Сергеевич (5 000 руб., 50%)
Игнатюк Илья Сергеевич (5 000 руб., 50%)</t>
  </si>
  <si>
    <t>7 700 000</t>
  </si>
  <si>
    <t>gltun@luidor-sto.ru</t>
  </si>
  <si>
    <t>lpro-spec.ru</t>
  </si>
  <si>
    <t>Моляков Сергей Владимирович (38 000 руб., 38%)
Павлов Руслан Петрович (38 000 руб., 38%)
Мошес Семен Иосифович (24 000 руб., 24%)</t>
  </si>
  <si>
    <t>petrova.m@bookcentre.ru</t>
  </si>
  <si>
    <t>Филипчук Виктор Васильевич (10 000 руб., 100%)</t>
  </si>
  <si>
    <t>296 010 000</t>
  </si>
  <si>
    <t>info.moscow@kuehne-nagel.com</t>
  </si>
  <si>
    <t>www.kn-portal.com, www.kuehne-nagel.com</t>
  </si>
  <si>
    <t>Нойманн Перри Херберт (1 110 036 400 руб., 100%)</t>
  </si>
  <si>
    <t>752 590 000</t>
  </si>
  <si>
    <t>info@norbel.ru, norbel-info@norbel.ru, norbeltender@norbel.ru, okomarova@norbel.ru</t>
  </si>
  <si>
    <t>www.netlab.ru, www.norbel.ru</t>
  </si>
  <si>
    <t>Ковалев Алексей Юрьевич (50 000 руб., 50%)
Смирнов Виктор Евгеньевич (50 000 руб., 50%)</t>
  </si>
  <si>
    <t>46 420 000</t>
  </si>
  <si>
    <t>dmitriev.ia@sberleasing.ru, info.zakupki@nordln.ru, romanova.ny@sberleasing.ru</t>
  </si>
  <si>
    <t>www.yarfinvest.ru</t>
  </si>
  <si>
    <t>СБЕРБАНК ЛИЗИНГ, АО (99.99%)
СБЕРАВТОПАРК, ООО (n/a)</t>
  </si>
  <si>
    <t>793 200 000</t>
  </si>
  <si>
    <t>a.polyakova89@yandex.ru, lemberg@nord.direct</t>
  </si>
  <si>
    <t>Федерко Родион Степанович (40 000 руб., 100%)</t>
  </si>
  <si>
    <t>86 940 000</t>
  </si>
  <si>
    <t>kudasova@severkabel.ru, tdsevkabel@gmail.com</t>
  </si>
  <si>
    <t>Руденко Станислав Игоревич (50 000 руб., 100%)</t>
  </si>
  <si>
    <t>641 970 000</t>
  </si>
  <si>
    <t>nordlogistik@list.ru</t>
  </si>
  <si>
    <t>ЦЕНТР КОММЕРЦ, АО (10 000 руб., 100%)</t>
  </si>
  <si>
    <t>Зеленев Олег Евгеньевич (500 000 руб., 100%)</t>
  </si>
  <si>
    <t>1 057 230 000</t>
  </si>
  <si>
    <t>rlapushkin@nordfasad.ru</t>
  </si>
  <si>
    <t>Барский Борис Владимирович (500 000 руб., 50%)
Лапушкин Роман Юрьевич (500 000 руб., 50%)</t>
  </si>
  <si>
    <t>6 500 000</t>
  </si>
  <si>
    <t>Мунаев Ибрагим Алаудинович (10 000 руб., 50%)
Седиев Абу Саид-Абдулович (10 000 руб., 50%)</t>
  </si>
  <si>
    <t>artemeva-ag@norebo.ru, kornenko-ma@karat-holding.com</t>
  </si>
  <si>
    <t>fortunovskaya@ngaz.ru, mail@ngaz.ru, ngaz@nornik.ru, ovchinnikova@ngaz.ru</t>
  </si>
  <si>
    <t>www.ngaz.ru, www.ngaz.ru/shareholders/info/reports</t>
  </si>
  <si>
    <t>ГМК НОРИЛЬСКИЙ НИКЕЛЬ, ПАО (7 157 232 руб.)</t>
  </si>
  <si>
    <t>nok@nornik.ru</t>
  </si>
  <si>
    <t>НОРИЛЬСКИЙ КОМБИНАТ, АО (12 298 786 396.1 руб., 100%)</t>
  </si>
  <si>
    <t>nnremont@nk.nornik.ru</t>
  </si>
  <si>
    <t>ГМК НОРИЛЬСКИЙ НИКЕЛЬ, ПАО (2 267 951 308.49 руб., 100%)</t>
  </si>
  <si>
    <t>referent@ngaz.ru, volgindo@nornik.ru</t>
  </si>
  <si>
    <t>norilsktgaz.ru</t>
  </si>
  <si>
    <t>ГМК НОРИЛЬСКИЙ НИКЕЛЬ, ПАО (17 908 000 руб.)</t>
  </si>
  <si>
    <t>normalpetroleumproducts.ru</t>
  </si>
  <si>
    <t>Кравченко Михаил Иванович (30 000 руб., 100%)</t>
  </si>
  <si>
    <t>12 880 000</t>
  </si>
  <si>
    <t>r78_glavbuh@norman-retail.ru</t>
  </si>
  <si>
    <t>http://norman-spb.ru</t>
  </si>
  <si>
    <t>Путилов Руслан Жабраилович (5 000 000 руб., 50%)
Королев Александр Павлович (3 000 000 руб., 30%)
Шилова Галина Николаевна (2 000 000 руб., 20%)</t>
  </si>
  <si>
    <t>154 800 000</t>
  </si>
  <si>
    <t>sambikina.ma@3pllogistic.ru</t>
  </si>
  <si>
    <t>www.norman-plus.ru</t>
  </si>
  <si>
    <t>Макринов Евгений Игоревич (11 000 руб., 100%)</t>
  </si>
  <si>
    <t>2 640 000</t>
  </si>
  <si>
    <t>lepskayasa@kolagmk.ru, nnsputnik@nornik.ru, ssc@nornik.ru, syominatd@nornik.ru</t>
  </si>
  <si>
    <t>http://ssc.nornik.ru/</t>
  </si>
  <si>
    <t>НОРИЛЬСКИЙ КОМБИНАТ, АО (120 749 000 руб., 100%)</t>
  </si>
  <si>
    <t>Деятельность по сопровождению компьютерных систем</t>
  </si>
  <si>
    <t>309 660 000</t>
  </si>
  <si>
    <t>norrexim@norrexim.ru</t>
  </si>
  <si>
    <t>norrexim.ru</t>
  </si>
  <si>
    <t>158 860 000</t>
  </si>
  <si>
    <t>contact@nortgas.ru, export@nortgas.ru, feedback@nortgas.ru, info@nortgas.ru, info@northgas.ru, sales@nortgas.ru</t>
  </si>
  <si>
    <t>www.northgas.ru</t>
  </si>
  <si>
    <t>3 300 100 000</t>
  </si>
  <si>
    <t>info@nortex.com.ru, romanovich@nortex.com.ru</t>
  </si>
  <si>
    <t>http://www.nortex-chem.ru/, www.nortex.com.ru</t>
  </si>
  <si>
    <t>Якушин Владимир Петрович (700 000 руб., 70%)
Якушина Юлия Владимировна (300 000 руб., 30%)</t>
  </si>
  <si>
    <t>1 402 140 000</t>
  </si>
  <si>
    <t>kemerovo@norail.ru</t>
  </si>
  <si>
    <t>Пенкин Олег Владимирович (100 000 руб., 100%)</t>
  </si>
  <si>
    <t>125 740 000</t>
  </si>
  <si>
    <t>nokia@nosimo.ru, stepanova.ei@inventive.ru</t>
  </si>
  <si>
    <t>galaxystore.ru</t>
  </si>
  <si>
    <t>КОМПАНИЯ С ОГРАНИЧЕННОЙ ОТВЕТСТВЕННОСТЬЮ "МАРГАЛИТА ХОЛДИНГ ЛИМИТЕД" (6 000 000 руб., 100%)</t>
  </si>
  <si>
    <t>591 690 000</t>
  </si>
  <si>
    <t>8314290404@yandex.ru, apanasenkova@gpnof.ru, apanasenkova@mai.ru, aptekagp@mail.ru, birykova@gpnof.ru, bubnova@gpnof.ru, deich@gpnof.ru, deineka@gpnof.ru, desyatov@gpnof.ru, ender@nnof.ru</t>
  </si>
  <si>
    <t>nofnn.ru</t>
  </si>
  <si>
    <t>nkbk@nkbk.ru, postmaster@kbk.chelny.ru</t>
  </si>
  <si>
    <t>www.nkbk.ru</t>
  </si>
  <si>
    <t>722 030 000</t>
  </si>
  <si>
    <t>cabel@podolsk.ru, kabel@podolsk.ru, office@podolskkabel.ru</t>
  </si>
  <si>
    <t>www.podolskkabel.ru</t>
  </si>
  <si>
    <t>buh@technologltd.ru, elena@technologltd.ru, manager@technologltd.ru</t>
  </si>
  <si>
    <t>technologltd.ru</t>
  </si>
  <si>
    <t>info@npk-khim.ru, knpp2010@yandex.ru</t>
  </si>
  <si>
    <t>npk-khim.ru</t>
  </si>
  <si>
    <t>ЭВ-ГРУПП, ООО (10 100 000 руб., 100%)</t>
  </si>
  <si>
    <t>260 550 000</t>
  </si>
  <si>
    <t>o.tarasyuk@npktrans.ru, office@npktrans.ru</t>
  </si>
  <si>
    <t>www.npktrans.ru</t>
  </si>
  <si>
    <t>ooonpk@bk.ru, petrina-npk@mail.ru, z.moiseencko@yandex.ru</t>
  </si>
  <si>
    <t>npk-nsk.ru</t>
  </si>
  <si>
    <t>Тепляков Александр Александрович (100 000 руб., 100%)</t>
  </si>
  <si>
    <t>804 910 000</t>
  </si>
  <si>
    <t>ЭЛЕВАТОР БУРАННЫЙ, ОАО (519 449 178 руб., 99.99%)
Журавский Павел Александрович (10 000 руб., 0.0020%)</t>
  </si>
  <si>
    <t>340 310 000</t>
  </si>
  <si>
    <t>bulychev_ao@npoakonit.ru, yakovleva_an@npoakonit.ru</t>
  </si>
  <si>
    <t>npoakonit.ru</t>
  </si>
  <si>
    <t>252 170 000</t>
  </si>
  <si>
    <t>nwper@mail.ru, popovmv.horizont@bk.ru</t>
  </si>
  <si>
    <t>www.intelecon.ru</t>
  </si>
  <si>
    <t>Рахимов Дамир Альмирович (5 500 руб., 11%)
Багров Анатолий Евгеньевич (4 500 руб., 9%)
Булатов Вадим Львович (4 500 руб., 9%)
Мансуров Владимир Александрович (4 500 руб., 9%)
Ярушин Дмитрий Михайлович (4 500 руб., 9%)
Власов Александр Владимирович (4 000 руб., 8%)
Закареев Тимур Викторович (3 500 руб., 7%)
Тарасов Роман Владиславович (3 000 руб., 6%)
Чепурной Андрей Викторович (3 000 руб., 6%)
Губанов Денис Яковлевич (2 500 руб., 5%)
...*</t>
  </si>
  <si>
    <t>90 670 000</t>
  </si>
  <si>
    <t>glotova_iv@volnaspb.ru, info@volnaspb.ru, podmozova_ib@volnaspb.ru</t>
  </si>
  <si>
    <t>volnaspb.ru</t>
  </si>
  <si>
    <t>office@zxr.ru, tender@zxr.ru, yaroffice@zxr.ru</t>
  </si>
  <si>
    <t>www.zxr.ru</t>
  </si>
  <si>
    <t>Кулябичева Галина Михайловна (460 071 000 руб., 100%)</t>
  </si>
  <si>
    <t>akimova_ab@krypten.ru, info@krypten.ru, krypten@sgg.ru</t>
  </si>
  <si>
    <t>krypten.ru, krypten-med.ru, www.krypten.ru</t>
  </si>
  <si>
    <t>704 100 000</t>
  </si>
  <si>
    <t>kremneva@mir-omsk.ru, mir@mir-omsk.ru</t>
  </si>
  <si>
    <t>www.mir-omsk.ru</t>
  </si>
  <si>
    <t>УТРО, ООО ФИРМА (37 973 376 руб., 89.77%)
Беляев Александр Николаевич (2 415 588 руб., 5.71%)
Валиков Александр Владимирович (1 911 036 руб., 4.52%)</t>
  </si>
  <si>
    <t>539 210 000</t>
  </si>
  <si>
    <t>adr@petrovax.ru, info@lida.com, info@petrovax.ru, official@lida-ltd.com, torgi@petrovax.ru</t>
  </si>
  <si>
    <t>www.petrovax.ru, www.polyoxidonium.ru</t>
  </si>
  <si>
    <t>ФАРМИНВЕСТ, ООО (5 500 000 руб., 100%)</t>
  </si>
  <si>
    <t>2 210 130 000</t>
  </si>
  <si>
    <t>info@gmtorg.ru, nvs.poa@promet.ru, promed.khb@promed.ru, promet.irk@promet.ru, promet.khb@promet.ru, promet.kmr@promet.ru, promet.krd@promet.ru, promet.krs@promet.ru, promet.nn@promet.ru, promet.nvs@promet.ru</t>
  </si>
  <si>
    <t>Петров Евгений Валерьевич (462 259 385 руб., 67.81%)
Смирнов Константин Владимирович (212 553 423 руб., 31.18%)
Петров Алексей Валерьевич (3 885 678 руб., 0.57%)
Дульцев Александр Николаевич (2 999 471 руб., 0.44%)</t>
  </si>
  <si>
    <t>Производство бронированных или армированных сейфов, несгораемых шкафов и дверей</t>
  </si>
  <si>
    <t>2 069 790 000</t>
  </si>
  <si>
    <t>putevleh@mail.ru, putevteh@mail.ru</t>
  </si>
  <si>
    <t>УЗПМ, ООО (9 500 руб., 95%)
Баклушин Денис Олегович (500 руб., 5%)</t>
  </si>
  <si>
    <t>130 990 000</t>
  </si>
  <si>
    <t>info@popovradio.ru, info@relero.ru, relero54@yandex.ru, relero@rambler.ru</t>
  </si>
  <si>
    <t>www.relero.ru</t>
  </si>
  <si>
    <t>Производство средств связи, выполняющих функцию систем коммутации</t>
  </si>
  <si>
    <t>rusautodor.ru</t>
  </si>
  <si>
    <t>Литвиненко Дмитрий Владимирович (10 000 руб., 100%)</t>
  </si>
  <si>
    <t>16 290 000</t>
  </si>
  <si>
    <t>info@saut.ru, saut@saut.ru, yumashin@saut.ru</t>
  </si>
  <si>
    <t>www.saut.ru</t>
  </si>
  <si>
    <t>Ветлугин Борис Иванович (600 руб., 25%)
Гасилов Владимир Александрович (600 руб., 25%)
Головин Владимир Иванович (600 руб., 25%)
Веселов Евгений Васильевич (300 руб., 12.50%)
Синицын Сергей Валентинович (300 руб., 12.50%)</t>
  </si>
  <si>
    <t>80 360 000</t>
  </si>
  <si>
    <t>a.trofimov@npostek.ru, info@npostek.ru, npo-stekloplastic@mail.compnet.ru, stekloplastik@mail.ru, tek@npostek.ru</t>
  </si>
  <si>
    <t>shea@tavrida.com</t>
  </si>
  <si>
    <t>187 710 000</t>
  </si>
  <si>
    <t>Попов Иван Иванович (10 000 руб., 100%)</t>
  </si>
  <si>
    <t>523 280 000</t>
  </si>
  <si>
    <t>info@nefthim.ru, legal@nefthim.ru, ok@nefthim.ru</t>
  </si>
  <si>
    <t>nefthim.ru</t>
  </si>
  <si>
    <t>Шакун Александр Никитович (10 584 400 руб., 53%)
Федорова Марина Леонидовна (9 386 200 руб., 47%)</t>
  </si>
  <si>
    <t>info@neftekhimia.ru</t>
  </si>
  <si>
    <t>neftekhimia.ru</t>
  </si>
  <si>
    <t>ГАЗПРОМНЕФТЬ-МНПЗ, АО (320 750 000 руб., 50%)
СИБУР ХОЛДИНГ, ПАО (320 750 000 руб., 50%)</t>
  </si>
  <si>
    <t>3 541 560 000</t>
  </si>
  <si>
    <t>buh@rogneda.ru, info@rogneda.ru, spb@rogneda.ru</t>
  </si>
  <si>
    <t>Агеев Виктор Петрович (649 593 руб., 30.93%)
Бессмертный Александр Иванович (649 593 руб., 30.93%)
Яблоков Андрей Генрихович (649 593 руб., 30.93%)
Половинкин Александр Александрович (99 960 руб., 4.76%)
Михальченков Андрей Александрович (51 261 руб., 2.44%)</t>
  </si>
  <si>
    <t>76 440 000</t>
  </si>
  <si>
    <t>po@sibburmash.ru, sbm@sibburmash.ru, sbm@t72.ru, sbm@tmn.ru</t>
  </si>
  <si>
    <t>sibburmash.ru</t>
  </si>
  <si>
    <t>Витязев Олег Леонидович (1 583 000 руб., 50%)
Хайруллин Булат Юсупович (1 583 000 руб., 50%)</t>
  </si>
  <si>
    <t>845 250 000</t>
  </si>
  <si>
    <t>strogtek@strogtek.ur.ru, stroytek@stroytek-ek.ru</t>
  </si>
  <si>
    <t>stroytek-ek.ru</t>
  </si>
  <si>
    <t>Копылов Владимир Петрович (26 741 719.4 руб., 33.38%)
Ведерников Валерий Владимирович (22 736 069.4 руб., 28.38%)
Иванов Сергей Павлович (15 918 453.1 руб., 19.87%)
Воронцов Игорь Анатольевич (14 716 758.1 руб., 18.37%)</t>
  </si>
  <si>
    <t>899 370 000</t>
  </si>
  <si>
    <t>saratov@npovympel.ru, vympel@renet.ru</t>
  </si>
  <si>
    <t>http://vympel.group/</t>
  </si>
  <si>
    <t>Деревягин Александр Михайлович (539 832.49 руб., 100%)</t>
  </si>
  <si>
    <t>119 230 000</t>
  </si>
  <si>
    <t>larisa_ladv@mail.ru, petrovaia@izmeron.ru, zavod@izmeron.ru</t>
  </si>
  <si>
    <t>БРОНКА ГРУПП, ООО (10 000 руб., 100%)</t>
  </si>
  <si>
    <t>576 470 000</t>
  </si>
  <si>
    <t>konkurs@medtalent.ru, moffice@materiamedica.ru</t>
  </si>
  <si>
    <t>www.materiamedica.ru</t>
  </si>
  <si>
    <t>Эпштейн Олег Ильич (92 000 руб., 92%)
Долговых Людмила Федоровна (3 500 руб., 3.50%)
Зильберман Яков Ефимович (3 500 руб., 3.50%)
Нарайкин Валерий Иванович (1 000 руб., 1%)</t>
  </si>
  <si>
    <t>1 513 620 000</t>
  </si>
  <si>
    <t>gendir@npfmeridian.ru, info@npfmeridian.ru</t>
  </si>
  <si>
    <t>npfmeridian.ru</t>
  </si>
  <si>
    <t>1235689@mail.ru, 6076607@mail.ru, 7802122535_780201001@eo.tensor.ru, alekseev.v@helix.ru, alekseev.v@spb.helix.ru, b5_ut@mail.ru, brovkin.d.i@helix.ru, bubenov.k@helix.ru, chernenko@helix.ru, denisenko.v@helix.ru</t>
  </si>
  <si>
    <t>www.helix.ru</t>
  </si>
  <si>
    <t>ХЕЛИКС НОРД-ВЕСТ, ООО (7 804.82 руб., 35.38%)
Оторбаева Сайна (5 558.82 руб., 25.20%)
Андрейчук Юрий Владимирович (4 503.99 руб., 20.41%)
Яблоков Павел Петрович (2 205.89 руб., 10%)
Куликов Владимир Николаевич (1 985.3 руб., 9%)</t>
  </si>
  <si>
    <t>1 668 980 000</t>
  </si>
  <si>
    <t>info@npcvtd.ru, op@npcvtd.ru</t>
  </si>
  <si>
    <t>npcvtd.ru</t>
  </si>
  <si>
    <t>Баженова Инна Борисовна (510 000 руб., 51%)
Иванова Наталья Николаевна (210 000 руб., 21%)
Налимов Сергей Вениаминович (210 000 руб., 21%)
Савельева Елена Александровна (70 000 руб., 7%)</t>
  </si>
  <si>
    <t>1 500 650 000</t>
  </si>
  <si>
    <t>info@npc-r.ru, mgklokova@gmail.com</t>
  </si>
  <si>
    <t>npc-r.ru</t>
  </si>
  <si>
    <t>Клокова Марина Геннадьевна (150 000 руб., 50%)
Панченко Лиана Анатольевна (150 000 руб., 50%)</t>
  </si>
  <si>
    <t>procurement@nra.media</t>
  </si>
  <si>
    <t>tv2bconf.ru</t>
  </si>
  <si>
    <t>ВГТРК (250 000 руб., 25%)
ГАЗПРОМ-МЕДИА ХОЛДИНГ, АО (250 000 руб., 25%)
НМГ, АО (250 000 руб., 25%)
ПЕРВЫЙ КАНАЛ, АО (250 000 руб., 25%)</t>
  </si>
  <si>
    <t>1 604 450 000</t>
  </si>
  <si>
    <t>nsoil.ns@mail.ru</t>
  </si>
  <si>
    <t>nsoil.ru</t>
  </si>
  <si>
    <t>Мясников Григорий Николаевич (39 250 руб., 39.25%)
Мясников Николай Григорьевич (28 250 руб., 28.25%)
Кистанов Алексей Владимирович (16 250 руб., 16.25%)
Пономарев Дмитрий Алексеевич (16 250 руб., 16.25%)</t>
  </si>
  <si>
    <t>552 570 000</t>
  </si>
  <si>
    <t>www.ent-en.com</t>
  </si>
  <si>
    <t>ЗАКРЫТЫЙ КОМБИНИРОВАННЫЙ ПАЕВОЙ ИНВЕСТИЦИОННЫЙ ФОНД "АНОР" (353 510 000 руб., 100%)</t>
  </si>
  <si>
    <t>dnzs.nsd@gmail.com, dnzs.nsd@ya.ru, nsd@linknv.ru, nsd@nv-sd.ru, nsd@nvartovsk.wsnct.ru, nsd@nvartovsk.wsnet.ru, nsd@nvlink.ru, psn373@yandex.ru</t>
  </si>
  <si>
    <t>nv-sd.ru</t>
  </si>
  <si>
    <t>nsz@nsznsk.ru, priem_nsz@mail.ru</t>
  </si>
  <si>
    <t>КОМПАНИЯ "САНВОТЕР ИНВЕСТМЕНТС ЛЛС, ЛТД" (100 000 000 руб., 100%)</t>
  </si>
  <si>
    <t>243 830 000</t>
  </si>
  <si>
    <t>ГАЗПРОМ-МЕДИА ХОЛДИНГ, АО (184 164 000 руб., 30.90%)
Боллоев Таймураз Казбекович (140 358 000 руб., 23.55%)
Лебедев Дмитрий Алексеевич (140 358 000 руб., 23.55%)
Руднов Сергей Олегович (131 120 000 руб., 22%)</t>
  </si>
  <si>
    <t>11 684 270 000</t>
  </si>
  <si>
    <t>www.new.siemens.com, www.siemens.ru</t>
  </si>
  <si>
    <t>"НОКИА СОЛЮШНЗ ЭНД НЕТВОРКС ОЙ" (1 120 348 965 руб., 99.99%)
"НОКИА СОЛЮШНЗ ЭНД НЕТВОРКС БРАНЧ ОПЕРЕЙШНС ОЙ" (89 635 руб., 0.010%)</t>
  </si>
  <si>
    <t>125 480 000</t>
  </si>
  <si>
    <t>eep@nspgu.ru</t>
  </si>
  <si>
    <t>nspgu.ru</t>
  </si>
  <si>
    <t>ГАЗПРОМ НЕФТЕХИМ САЛАВАТ, ООО (3 200 005 000 руб., 50%)
ГАЗПРОМ ЭНЕРГОРЕМОНТ, АО (3 200 005 000 руб., 50%)</t>
  </si>
  <si>
    <t>info@nspk.ru, mirsecurity@nspk.ru</t>
  </si>
  <si>
    <t>nspk.ru</t>
  </si>
  <si>
    <t>БАНК РОССИИ (4 300 000 000 руб.)</t>
  </si>
  <si>
    <t>7 747 930 000</t>
  </si>
  <si>
    <t>Измалкин Василий Иванович (5 000 руб., 50%)
Измалкин Сергей Васильевич (5 000 руб., 50%)</t>
  </si>
  <si>
    <t>Производство хрома</t>
  </si>
  <si>
    <t>619 960 000</t>
  </si>
  <si>
    <t>nsry@nsry.ru, sry@nsry.ru, tsoy_evgeniya@nsry.ru</t>
  </si>
  <si>
    <t>nsry.ru</t>
  </si>
  <si>
    <t>ЦЕНТР ПЕРСПЕКТИВНЫХ ИНВЕСТИЦИЙ, ООО (47 175 190 руб., 100%)</t>
  </si>
  <si>
    <t>buh@nsshmao.ru, nss@nsshmao.ru, nvsolo@mail.ru, ooonss@mail.ru</t>
  </si>
  <si>
    <t>nsshmao.ru</t>
  </si>
  <si>
    <t>КОНТЕНТ, ООО (489 000 000 руб., 100%)</t>
  </si>
  <si>
    <t>gif301@nslvtec.ru, nem104@nslvtec.ru, office@nslvtec.ru, tvl@nslvtec.ru</t>
  </si>
  <si>
    <t>http://portal.nslvtec.local/, nslvtec.ru</t>
  </si>
  <si>
    <t>САЛАВАТИНВЕСТ, ООО (1 626 258 000 руб., 100%)</t>
  </si>
  <si>
    <t>133 270 000</t>
  </si>
  <si>
    <t>info@adrilling.ru, info@nad.pnsh.ru, nsh@pnsh.ru, plusnina@adrilling.ru</t>
  </si>
  <si>
    <t>adrilling.ru</t>
  </si>
  <si>
    <t>НСХ, ООО (10 000 руб., 100%)</t>
  </si>
  <si>
    <t>akazantsev2013@yandex.ru, dmitrii.bulatov@ntservice.pro</t>
  </si>
  <si>
    <t>Доманин Вячеслав Сергеевич (22 962 941.2 руб., 100%)</t>
  </si>
  <si>
    <t>2 070 000</t>
  </si>
  <si>
    <t>q-pol.ru</t>
  </si>
  <si>
    <t>КОНЦЕРН АВТОМАТИКА, АО (5 100 руб., 51%)
НТ, ООО (4 900 руб., 49%)</t>
  </si>
  <si>
    <t>Горкунов Сергей Николаевич (500 000 руб., 50%)
Дьячков Иван Владимирович (500 000 руб., 50%)</t>
  </si>
  <si>
    <t>182 260 000</t>
  </si>
  <si>
    <t>nsteam.ru</t>
  </si>
  <si>
    <t>Савельев Петр Александрович (10 000 руб., 100%)</t>
  </si>
  <si>
    <t>21 150 000</t>
  </si>
  <si>
    <t>elenaovch@yandex.ru, info@ntgm-nv.ru</t>
  </si>
  <si>
    <t>Назаренко Александра Сергеевна (21 740 руб., 21.74%)
Назаренко Леонтий Павлович (16 590 руб., 16.59%)
Куликова Вера Александровна (11 710 руб., 11.71%)
Дятлов Валерий Михайлович (10 780 руб., 10.78%)
Яровая Лариса Ивановна (10 780 руб., 10.78%)
Куликов Сергей Иванович (8 270 руб., 8.27%)
Глазунова Валентина Васильевна (6 960 руб., 6.96%)
Кунашев Сергей Семенович (6 960 руб., 6.96%)
Оборок Юрий Александрович (6 200 руб., 6.20%)
Куликов Иван Сергеевич (10 руб., 0.010%)</t>
  </si>
  <si>
    <t>48 230 000</t>
  </si>
  <si>
    <t>ntk-73.ru</t>
  </si>
  <si>
    <t>Борисов Артём Александрович (10 000 руб., 100%)</t>
  </si>
  <si>
    <t>14 750 000</t>
  </si>
  <si>
    <t>aleksashovi@bk.ru, y.sushkov@trucker.group</t>
  </si>
  <si>
    <t>ntklogist.ru</t>
  </si>
  <si>
    <t>ТРАКЕР ГРУП, ООО (25 000 руб., 100%)</t>
  </si>
  <si>
    <t>info@ntpz.ru, info@trubno.ru, logist@ntpz.ru, sna@ntpz.ru, zakaz@ntpz.ru</t>
  </si>
  <si>
    <t>ooontpz.ru, www.ntpz.ru</t>
  </si>
  <si>
    <t>Губченко Вадим Валентинович (6 100 руб., 61%)
Горбоконь Вячеслав Васильевич (2 000 руб., 20%)
Морозов Анатолий Владимирович (1 900 руб., 19%)</t>
  </si>
  <si>
    <t>1 181 540 000</t>
  </si>
  <si>
    <t>ntpk-rf.ru</t>
  </si>
  <si>
    <t>Вьюнков Александр Сергеевич (70 000 руб., 70%)
Барышникова Евгения Валерьевна (20 000 руб., 20%)
Шевчук Сергей Владимирович (10 000 руб., 10%)</t>
  </si>
  <si>
    <t>ntpo@norcom.ru</t>
  </si>
  <si>
    <t>ts-podsolnuh.ru, www.ntpo.ru</t>
  </si>
  <si>
    <t>НОРИЛЬСКИЙ КОМБИНАТ, АО (100 000 руб., 100%)</t>
  </si>
  <si>
    <t>bio-oil@gradient.ru, e.kuydina@gradient.ru, gradient@gradient.ru, info@urbanformula.ru, perioe@gradient.ru</t>
  </si>
  <si>
    <t>www.gradient.ru</t>
  </si>
  <si>
    <t>УПРАВЛЯЮЩАЯ КОМПАНИЯ ГРАДИЕНТ, ООО (87 010 000 руб., 100%)</t>
  </si>
  <si>
    <t>1 116 980 000</t>
  </si>
  <si>
    <t>79854919174@yandex.ru, legal@ntsfpc.ru, tender@ntsfpc.ru</t>
  </si>
  <si>
    <t>nts-fpc.ru</t>
  </si>
  <si>
    <t>ФПК, АО (5 100 000 руб., 51%)
АЛИАНТА ГРУПП БЕВЕРЕДЖЕС, ООО (4 900 000 руб., 49%)</t>
  </si>
  <si>
    <t>Деятельность ресторанов и баров по обеспечению питанием в железнодорожных вагонахресторанах и на судах</t>
  </si>
  <si>
    <t>bezdenezhnykhov@sibgenco.ru, crk@sibqenco.ru, fknvg@mail.ru, h144714@mail.ru, jangolod@sibeco.su, kanc_nf@sibgenco.ru, ntck@mail.ru, ntsk@yandex.ru, omnisnsk@suek.ru, priem-ns@sibgenco.ru</t>
  </si>
  <si>
    <t>СИБЭКО, АО (4 697 167 000 руб., 99.98%)
СИБИРСКАЯ ГЕНЕРИРУЮЩАЯ КОМПАНИЯ, ООО (1 000 000 руб., 0.020%)</t>
  </si>
  <si>
    <t>ДИДЖИТС, АО (10 000 руб., 100%)</t>
  </si>
  <si>
    <t>106 320 000</t>
  </si>
  <si>
    <t>a_perchenok@polysan.ru, a_serova@polysan.ru, e_pavlova@polysan.ru, info@polysan.ru</t>
  </si>
  <si>
    <t>www.polysan.ru</t>
  </si>
  <si>
    <t>Борисов Александр Алексеевич (1 503 294.72 руб., 53.88%)
Коваленко Алексей Леонидович (1 286 705.28 руб., 46.12%)</t>
  </si>
  <si>
    <t>1 301 480 000</t>
  </si>
  <si>
    <t>303@shtrih-m.ru</t>
  </si>
  <si>
    <t>i-parking.ru, shtrih-m.ru</t>
  </si>
  <si>
    <t>ШТРИХ ГРУПП, ООО (50 000 руб., 100%)</t>
  </si>
  <si>
    <t>Производство контрольно-измерительных и навигационных приборов и аппаратов; производство часов</t>
  </si>
  <si>
    <t>www.eyus.ru</t>
  </si>
  <si>
    <t>Дудорова Любовь Тимофеевна (10 000 руб., 100%)</t>
  </si>
  <si>
    <t>159 130 000</t>
  </si>
  <si>
    <t>info@ntc-synergy.ru, info@tonkiy.com, tender.synergia@gmail.com, v.i.tonkiy@list.ru</t>
  </si>
  <si>
    <t>ntc-synergy.ru</t>
  </si>
  <si>
    <t>Тонкий Вениамин Игоревич (100 000 руб., 100%)</t>
  </si>
  <si>
    <t>209 290 000</t>
  </si>
  <si>
    <t>info@ntc-power.ru, vniie@vniie.ru</t>
  </si>
  <si>
    <t>www.ntc-power.ru, www.vniie.ru</t>
  </si>
  <si>
    <t>364 430 000</t>
  </si>
  <si>
    <t>info@ntcea.ru</t>
  </si>
  <si>
    <t>ntcea.ru</t>
  </si>
  <si>
    <t>Гасанова Олеся Игоревна (40 000 руб., 40%)
Поляков Олег Владимирович (40 000 руб., 40%)
Гранкин Андрей Викторович (20 000 руб., 20%)</t>
  </si>
  <si>
    <t>Строительство прочих инженерных сооружений, не включенных в другие группировки</t>
  </si>
  <si>
    <t>ilmer@ntcm.su, sale@ntcm.su</t>
  </si>
  <si>
    <t>Войтелев Константин Станиславович (24 995 руб., 100%)</t>
  </si>
  <si>
    <t>32 300 000</t>
  </si>
  <si>
    <t>431110@mail.ru, 64722024@mail.ru, ao@ntek.ru, aontek@bk.ru, aontek@gmail.com, aontek@mail.ru, aontek@norilsk.ru, energo@ntek.ru, energo@oao-ntek.ru, energo@oao_ntek.ru</t>
  </si>
  <si>
    <t>oao-ntek.ru</t>
  </si>
  <si>
    <t>230102@mail.ru, chistaya.planeta2015@mail.ru, info@intesk.ru, info@nteck.ru, info@ntesk.ru, info@nteskmail.ru, info@ntessk.ru, info@ntest.ru, nfo@ntesk.ru, niovchinnikova@ntesk.ru</t>
  </si>
  <si>
    <t>ntesk.ru</t>
  </si>
  <si>
    <t>283 500 000</t>
  </si>
  <si>
    <t>office@nubk.ru</t>
  </si>
  <si>
    <t>Шимко Тарас Ярославович (9 930 000 руб., 99.30%)
НУГРК, ООО (70 000 руб., 0.70%)</t>
  </si>
  <si>
    <t>550 990 000</t>
  </si>
  <si>
    <t>correspondence@danone.com, elena.maksimova@danone.com, info.nutricia.russia@danon.com</t>
  </si>
  <si>
    <t>www.nutricia.ru</t>
  </si>
  <si>
    <t>DANONE (4 445 000 руб., 70%)
ДП ИСТРА-НУТРИЦИЯ, АО (1 905 000 руб., 30%)</t>
  </si>
  <si>
    <t>579 340 000</t>
  </si>
  <si>
    <t>a.maevskiy@deloports.ru, pahomova@nutep.ru, referent@nutep.ru</t>
  </si>
  <si>
    <t>ТРАНСТЕРМИНАЛ-ХОЛДИНГ, ООО (9 974 228.48 руб., 99.99%)
ДЕЛОПОРТС, ООО (997.52 руб., 0.010%)</t>
  </si>
  <si>
    <t>5 092 930 000</t>
  </si>
  <si>
    <t>a.kazmina@acdamate.com, t.fednova@acdamate.com</t>
  </si>
  <si>
    <t>j.rogova@pr52.ru, practik-nn@pr52.ru</t>
  </si>
  <si>
    <t>136 400 000</t>
  </si>
  <si>
    <t>info@ariconoil.ru</t>
  </si>
  <si>
    <t>91 370 000</t>
  </si>
  <si>
    <t>Данилов Юрий Петрович (10 000 руб., 100%)</t>
  </si>
  <si>
    <t>69 220 000</t>
  </si>
  <si>
    <t>vagapova@nhppiston.com</t>
  </si>
  <si>
    <t>Ясавеев Руслан Хамитович (10 000 руб., 100%)</t>
  </si>
  <si>
    <t>42 560 000</t>
  </si>
  <si>
    <t>info_esigsv@mail.ru, office@nhrs.ru</t>
  </si>
  <si>
    <t>ЗАКРЫТЫЙ ПАЕВОЙ ИНВЕСТИЦИОННЫЙ ФОНД КОМБИНИРОВАННЫЙ "УНИВЕРСАЛЬНЫЕ ИНВЕСТИЦИИ" (500 000 руб., 100%)</t>
  </si>
  <si>
    <t>860 970 000</t>
  </si>
  <si>
    <t>higstatus@mail.ru, moldaliev.tc@nhs-kuzbass.ru, nhs@nhs-kuzbass.ru, pressa@nhs-kuzbass.ru, tv_mikhailova@nhs.su, ynpz@yayanpz.ru</t>
  </si>
  <si>
    <t>nhs-kuzbass.ru</t>
  </si>
  <si>
    <t>169 580 000</t>
  </si>
  <si>
    <t>info@nkhtk.ru</t>
  </si>
  <si>
    <t>nkhtk.ru</t>
  </si>
  <si>
    <t>СГ-ТРАНС, АО (299 750 000 руб., 50%)
СИБУР ХОЛДИНГ, ПАО (299 750 000 руб., 50%)</t>
  </si>
  <si>
    <t>361 800 000</t>
  </si>
  <si>
    <t>bukovina66@mail.ru, reut_ei@novoroscement.ru, secretary@novoroscement.ru, viko@novoroscement.ru</t>
  </si>
  <si>
    <t>novoroscement.ru</t>
  </si>
  <si>
    <t>dz@ncinform.ru, fgfgrfh@mail.ru, hotline@ncinform.ru, info@nciform.ru, info@ncinfrm.ru, info@neinform.ru, info@ucinform.ru, inform@ncinform.ru, m.alekseev@ncinform.ru, n.lapochkina@ncinform.ru</t>
  </si>
  <si>
    <t>ОПК, АО (600 010 000 руб., 100%)</t>
  </si>
  <si>
    <t>deloproizvoditel@nchtz.ru, info@nchtz.ru, info@tatpromfilter.ru</t>
  </si>
  <si>
    <t>нчтз.рф</t>
  </si>
  <si>
    <t>Антипов Сергей Петрович (50 000 руб., 25%)
Лебедев Артем Михайлович (50 000 руб., 25%)
Марданшин Марсель Зуфарович (50 000 руб., 25%)
Шарафетдинов Эльвир Анисович (50 000 руб., 25%)</t>
  </si>
  <si>
    <t>497 220 000</t>
  </si>
  <si>
    <t>office@new-ground.ru, urist@new-ground.ru</t>
  </si>
  <si>
    <t>www.new-ground.ru</t>
  </si>
  <si>
    <t>Старцев Юрий Германович (52.60%)</t>
  </si>
  <si>
    <t>162 840 000</t>
  </si>
  <si>
    <t>ООО НЬЮ ЙОРКЕР Ритейл СИС ГмбХ (10 000 руб., 100%)</t>
  </si>
  <si>
    <t>401 660 000</t>
  </si>
  <si>
    <t>ООО НЬЮ ЙОРКЕР Ритейл СИС ГмбХ (4 000 000 руб., 100%)</t>
  </si>
  <si>
    <t>408 280 000</t>
  </si>
  <si>
    <t>etitkova@newyorker.de</t>
  </si>
  <si>
    <t>www.newyorker.de</t>
  </si>
  <si>
    <t>АНН КРИСТИНЕ ФЭШЕН-ХОЛДИНГ ГМБХ И КО. КГ (4 000 000 руб., 100%)</t>
  </si>
  <si>
    <t>354 380 000</t>
  </si>
  <si>
    <t>info@newforestpro.ru, kovtun_ly@newforestpro.ru</t>
  </si>
  <si>
    <t>newforestpro.ru</t>
  </si>
  <si>
    <t>92 070 000</t>
  </si>
  <si>
    <t>newbio@newbio.su, newbiorus@mail.ru</t>
  </si>
  <si>
    <t>ньюбио.рф</t>
  </si>
  <si>
    <t>Гребенкин Олег Анатольевич (99 000 руб., 99%)
РСХБ-ФИНАНС, ООО (1 000 руб., 1%)</t>
  </si>
  <si>
    <t>a.eliseev@newmedtechgroup.ru, a.repin@nmtg.ru, a.scherbakova@nmtg.ru, a.yurina@newmedtechgroup.ru, e.alikin@nmtg.ru, e.cherkasova@nmtg.ru, igor.zam.2005@rambler.ru, info1@nmtg.ru, info@newmedtechgroup.ru, info@nmtg.ru</t>
  </si>
  <si>
    <t>Рожков Игорь Петрович (11 500 000 руб., 100%)</t>
  </si>
  <si>
    <t>415 060 000</t>
  </si>
  <si>
    <t>nts@nt-serv.com</t>
  </si>
  <si>
    <t>nt-serv.com</t>
  </si>
  <si>
    <t>ЗАКРЫТАЯ АКЦИОНЕРНАЯ КОМПАНИЯ С ОГРАНИЧЕННОЙ ОТВЕТ (10 000 000 руб., 100%)</t>
  </si>
  <si>
    <t>53 930 000</t>
  </si>
  <si>
    <t>info@newteckws.com</t>
  </si>
  <si>
    <t>Шмотьев Сергей Федорович (8 750 руб., 70%)
Кардымон Дмитрий Викторович (3 750 руб., 30%)</t>
  </si>
  <si>
    <t>155 240 000</t>
  </si>
  <si>
    <t>Дементьева Марина Владимировна (14 000 руб., 100%)</t>
  </si>
  <si>
    <t>23 120 000</t>
  </si>
  <si>
    <t>ermolaeva@finn-flare.ru, violet_k@mail.ru</t>
  </si>
  <si>
    <t>Колбасина Екатерина Николаевна (10 000 руб., 100%)</t>
  </si>
  <si>
    <t>Торговля розничная текстильными изделиями в специализированных магазинах</t>
  </si>
  <si>
    <t>396 000 000</t>
  </si>
  <si>
    <t>docenko.a@art-nek.ru, info@art-nek.ru, tengelidi_sy@art-nek.ru</t>
  </si>
  <si>
    <t>Арутюнян Андрей Николаевич (5 000 000 руб., 100%)</t>
  </si>
  <si>
    <t>nept@nept.ru, zlg7458@mail.ru</t>
  </si>
  <si>
    <t>nept.ru</t>
  </si>
  <si>
    <t>021_@mail.kubnsbyt.ru, 1111111@111111.ru, 1548@mail.ru, 2238478@mail.ru, 33137@mail.ru, 3771909@gmail.com, 45677896@mail.ru, 5678994@mail.ru, agadianyanrp@nesk.ru, anapa_energosnab@mail.ru</t>
  </si>
  <si>
    <t>www.nesk.ru</t>
  </si>
  <si>
    <t>КАЛЯЕВ-ИНВЕСТ, ООО (12.28%)</t>
  </si>
  <si>
    <t>495 180 000</t>
  </si>
  <si>
    <t>0220@mail.ru, 88619447740@mail.ru, antarevayv@nesk.ru, emadinov8@mail.ru, galimovaa@nesk.ru, kjjdfiogu@mail.ru, petrovaa@nesk.ru, ponomarevaea@nask.ru, pustovalovalf@nesk.ru, tumnikova@ktps.ru</t>
  </si>
  <si>
    <t>nesk-elseti.ru</t>
  </si>
  <si>
    <t>arbuzova@gesnv.ru, averkina@gesnv.ru, jgdnbxcds@mail.ru, mamedova@rges.ru, mesco@gesnv.ru, necko@gesnv.ru, nesco@aesnv.ru, nesco@desnv.ru, nesco@gesn.ru, nesco@gesny.rt</t>
  </si>
  <si>
    <t>www.nesko-nv.ru/index.php?option=com_content&amp;view=category&amp;id=27&amp;itemid=65</t>
  </si>
  <si>
    <t>ЭК ВОСТОК, АО (8 000 руб., 80%)
Елин Павел Алексеевич (1 000 руб., 10%)
Елин Юрий Алексеевич (1 000 руб., 10%)</t>
  </si>
  <si>
    <t>137 720 000</t>
  </si>
  <si>
    <t>gorovykhtv@ingeos.ru, neu@neu.tarkosale.ru, trk_neu_priemnaya@ingeos.ru</t>
  </si>
  <si>
    <t>ИНВЕСТГЕОСЕРВИС, АО (299 990 000 руб., 99.99%)
ИГС-АВТО, ООО (10 000 руб., 0.0030%)</t>
  </si>
  <si>
    <t>10 880 000</t>
  </si>
  <si>
    <t>customs@nefco.ru, info@nefco.ru, office@nefco.ru, pr@nefco.ru, ur6@nefco.ru, urist@nefco.ru</t>
  </si>
  <si>
    <t>www.nefco.ru</t>
  </si>
  <si>
    <t>Производство мыла и моющих, чистящих и полирующих средств</t>
  </si>
  <si>
    <t>1 233 180 000</t>
  </si>
  <si>
    <t>info@okeydostavka.ru, info@serregenetics.ru, info@uropotens.ru, info@weexmag.ru, marina.kainova@okmarket.ru, ok@okmarket.ru, tatyana.ivanova@okmarket.ru</t>
  </si>
  <si>
    <t>www.okmarket.ru</t>
  </si>
  <si>
    <t>АО ДОРИНДА ХОЛДИНГ (13 640 000 руб., 99.30%)
O KEY INVESTMENTS (CYPRUS) LIMITED (100 000 руб., 0.70%)</t>
  </si>
  <si>
    <t>dchernyshev@ocs-solutions.ru, info@ocs-solutions.ru</t>
  </si>
  <si>
    <t>ocs-solutions.ru</t>
  </si>
  <si>
    <t>Зингер Ян Артурович (54 530 000 руб., 100%)</t>
  </si>
  <si>
    <t>info@ocs.ru, tkolosova@ocs.ru</t>
  </si>
  <si>
    <t>www.ocs.ru</t>
  </si>
  <si>
    <t>ГРУППА КОМПАНИЙ О-СИ-ЭС, ООО (1 595 910 013 руб., 100%)</t>
  </si>
  <si>
    <t>3 911 020 000</t>
  </si>
  <si>
    <t>1414@krasnoe-beloe.ru</t>
  </si>
  <si>
    <t>МЕРКУРИЙ РИТЕЙЛ ХОЛДИНГ, ООО (30 000 000 руб., 100%)</t>
  </si>
  <si>
    <t>1 986 900 000</t>
  </si>
  <si>
    <t>1237@mail.ru, 2253125@mail.ru, 22@22.ru, 2659351@mail.ru, 2659360@mail.ru, 2689357@mail.ru, 2694051@mail.ru, a.agliulina@oac74.ru, a.kolesnik@con.ru, a.sidorenko@oac74.ru</t>
  </si>
  <si>
    <t>apteka74.ru, www.oac74.ru</t>
  </si>
  <si>
    <t>МИНИМУЩЕСТВА ЧЕЛЯБИНСКОЙ ОБЛАСТИ (588 145 000 руб.)</t>
  </si>
  <si>
    <t>14@mail.ru, 3663777@mail.ru, mariyakotegova@mail.ru, obd74@mail.ru</t>
  </si>
  <si>
    <t>info@obi.ru</t>
  </si>
  <si>
    <t>АЛЛОНЖ, АО (100 000 руб., 100%)</t>
  </si>
  <si>
    <t>www.obi.ru</t>
  </si>
  <si>
    <t>АЛЛОНЖ, АО (343 405 800 руб., 100%)</t>
  </si>
  <si>
    <t>drsu.tender@yandex.ru, main@drsu-tomsk.ru, nsa@drsutomsk.ru, obldrsu@mail.ru, sm25@mail.ru, utr@atr.tomsk.gov.ru</t>
  </si>
  <si>
    <t>drsu-tomsk.ru</t>
  </si>
  <si>
    <t>Томская обл (176 306 669.57 руб., 100%)</t>
  </si>
  <si>
    <t>info@sbercloud.ru, tender@sbercloud.ru</t>
  </si>
  <si>
    <t>achashin@okenergo.ru, ais_ul@ricso.ru, ecvejcyh@ok.energo.com, jfjfb@mail.ru, mulyanova@okenergo.com, nisemetova@okenergo.com, oblcom@mail.ru, okenergo@mail.ru, secretar@jkenergo.com, secretar@okenergo.su</t>
  </si>
  <si>
    <t>http://okenergo.com/</t>
  </si>
  <si>
    <t>231 660 000</t>
  </si>
  <si>
    <t>bogdanovich@oblkomenergo.ru, ies@oblkomenergo.ru, ihfo@oblkomenergo.ru, ingener_tp_tulun@mail.ru, nudinsk@oblkomenergo.ru, oblen@mail.ru, ozik@oblkomenergo.ru</t>
  </si>
  <si>
    <t>Иркутская обл (n/a)</t>
  </si>
  <si>
    <t>ВЫСОЧАЙШИЙ, ПАО (100 000 руб., 100%)</t>
  </si>
  <si>
    <t>3 286 980 000</t>
  </si>
  <si>
    <t>ЭМ ДЖИ ФАСТ ТРЭК, АО (10 430 000 руб., 100%)</t>
  </si>
  <si>
    <t>4 620 000</t>
  </si>
  <si>
    <t>Подготовка кадров высшей квалификации</t>
  </si>
  <si>
    <t>buh@tobsme.ru, glbuh@tobsme.ru, kadirovaan@mail.ru, tyumen@cudmed.info, yurist@tobsme72.ru</t>
  </si>
  <si>
    <t>Тюменская обл (n/a)</t>
  </si>
  <si>
    <t>Деятельность организаций судебно-медицинской экспертизы</t>
  </si>
  <si>
    <t>vzoubkov@unichel.ru</t>
  </si>
  <si>
    <t>www.unichel.ru</t>
  </si>
  <si>
    <t>304 320 000</t>
  </si>
  <si>
    <t>mk-o@mail.ru</t>
  </si>
  <si>
    <t>www.obuhmk.ru</t>
  </si>
  <si>
    <t>Мелехин Александр Юрьевич (17 010 000 руб., 100%)</t>
  </si>
  <si>
    <t>info@obuhovstone.ru</t>
  </si>
  <si>
    <t>Олейник Марина Петровна (21 354.9 руб., 100%)</t>
  </si>
  <si>
    <t>910 970 000</t>
  </si>
  <si>
    <t>avishkov@mail.ru, engeocom@gmail.com, info@engeocom.ru, mail@engeocom.ru, taiger2008@mail.ru</t>
  </si>
  <si>
    <t>www.engeocom.ru</t>
  </si>
  <si>
    <t>496 200 000</t>
  </si>
  <si>
    <t>a.turusheva@spp.ru, director@spp.ru, direktor@spp.ru, gsa@spp.ru, hlebmb@spp.ru, mill@spp.ru, s.grechishnikova@spp.ru, s.pyankova@spp.ru, sdsfsd@mail.ru, t.solodova@spp.ru</t>
  </si>
  <si>
    <t>spp.ru</t>
  </si>
  <si>
    <t>БЕРСАР, ООО (462 585 руб., 100%)</t>
  </si>
  <si>
    <t>407 880 000</t>
  </si>
  <si>
    <t>glavbuh@rustehmurom.ru</t>
  </si>
  <si>
    <t>ОБЪЕДИНЕННАЯ КОМПАНИЯ РУСТЕХНОЛОГИИ, ООО (1 000 000 руб., 100%)</t>
  </si>
  <si>
    <t>241 050 000</t>
  </si>
  <si>
    <t>natalya.lebedeva@uniconf.ru</t>
  </si>
  <si>
    <t>ХОЛДИНГОВАЯ КОМПАНИЯ ГУТА, ООО (506 000 000 руб., 100%)</t>
  </si>
  <si>
    <t>603 410 000</t>
  </si>
  <si>
    <t>spirtprom@penza.net</t>
  </si>
  <si>
    <t>rupeppers.ru</t>
  </si>
  <si>
    <t>Апоян Людмила Владимировна (170 182 423 руб., 100%)</t>
  </si>
  <si>
    <t>mushtatenkonv@ovoshevod.org.ru</t>
  </si>
  <si>
    <t>www.ovoshevod.org.ru</t>
  </si>
  <si>
    <t>Сударев Юрий Владимирович (18 394 805 руб., 100%)</t>
  </si>
  <si>
    <t>34905@mail.ru, a_zilmuhametova@tro.ogk2.ru, adler@ogk2.ru, alexeenko@nch.gres.ru, artemova.natalya@rgr.ogk2.ru, beletsky.andrey@ogk2.ru, datsuk.elena@ogk2.ru, degtyareva.evgeniya@rgr.ogk2.ru, dyatlovatn@sta.ogk2.ru, egorovaen@ogk2.ru</t>
  </si>
  <si>
    <t>www.ogk2.ru</t>
  </si>
  <si>
    <t>www.oup.ru</t>
  </si>
  <si>
    <t>ММК, ПАО (178 415 401 руб., 54.72%)
МЦОЗ, ООО (147 631 222 руб., 45.28%)</t>
  </si>
  <si>
    <t>general@ogneupory.ru, mkosova@ogneupory.ru, vmikov@orenburg.ru</t>
  </si>
  <si>
    <t>ogneupory.ru</t>
  </si>
  <si>
    <t>Юрков Алексей Вячеславович (29.59%)
ОГНЕУПОРИНВЕСТ, АО (29.31%)
Вовний Ирина Яковлевна (21.78%)
Шаборда Дмитрий Витальевич (7.31%)
Кочуров Сергей Владимирович (3.59%)</t>
  </si>
  <si>
    <t>client@modis.ru, email@sendermodis.ru, info@modis.ru, job@modis.ru, marketing.dep@modis.ru, marketing@modis.ru, opt@modis.ru, zakupki.dept@modis.ru, zakupki.rus@modis.ru</t>
  </si>
  <si>
    <t>www.modis.ru</t>
  </si>
  <si>
    <t>УК ВЕТРОЭНЕРГЕТИКА, ООО (58 000 000 руб., 100%)</t>
  </si>
  <si>
    <t>info@korkunov.ru</t>
  </si>
  <si>
    <t>МАРС, ООО (93 457 548.5 руб., 100%)</t>
  </si>
  <si>
    <t>apayev8989@mail.ru, bekovich95@mail.ru, odnchus95@mail.ru</t>
  </si>
  <si>
    <t>Чеченская Респ (5 000 000 руб., 100%)</t>
  </si>
  <si>
    <t>Трубников Владимир Сергеевич (30 000 руб., 100%)</t>
  </si>
  <si>
    <t>164 570 000</t>
  </si>
  <si>
    <t>ozk@ozktrading.ru</t>
  </si>
  <si>
    <t>ozkug.ru</t>
  </si>
  <si>
    <t>ТОРГОВЫЙ ДОМ ОЗК, ООО (9 900 руб., 99%)
РЕЗЕРВХЛЕБ, АО (100 руб., 1%)</t>
  </si>
  <si>
    <t>info@ozkcenter.ru, olga-bojceruk@yandex.ru</t>
  </si>
  <si>
    <t>ms@ozna.ru</t>
  </si>
  <si>
    <t>www.ozna.ru</t>
  </si>
  <si>
    <t>17 150 000</t>
  </si>
  <si>
    <t>ОЗОН ФАРМАЦЕВТИКА, ООО (10 000 руб., 100%)</t>
  </si>
  <si>
    <t>955 680 000</t>
  </si>
  <si>
    <t>main@ozsk.ru, office@nevsky-terminal.ru</t>
  </si>
  <si>
    <t>блок-модуль.рф</t>
  </si>
  <si>
    <t>Кулешов Петр Петрович (450 000 руб., 45%)
Величко Сергей Васильевич (430 000 руб., 43%)
ВИОН, ООО (120 000 руб., 12%)</t>
  </si>
  <si>
    <t>193 250 000</t>
  </si>
  <si>
    <t>info.oirp@mail.ru, info@oirp.ru, mrf-112@mail.ru, o.kiseleva@oirp.ru, oirp-hmao@yandex.ru, oirp_hmao@yandex.ru, savina.oirp@mail.ru</t>
  </si>
  <si>
    <t>oirp.ru</t>
  </si>
  <si>
    <t>Мухутдинов Ахтям Салихович (65.94%)
Мухутдинова Эмилия Ахтямовна (10.57%)
МИА-ИНВЕСТ, ООО (4.73%)</t>
  </si>
  <si>
    <t>177 850 000</t>
  </si>
  <si>
    <t>mail@oilresurs.ru, oil5022137@mail.ru, trader8@oilresurs.ru</t>
  </si>
  <si>
    <t>oilresurs.ru</t>
  </si>
  <si>
    <t>УК ОРГ, АО (1 000 000 руб., 100%)</t>
  </si>
  <si>
    <t>118 750 000</t>
  </si>
  <si>
    <t>bkvanat@rambler.ru</t>
  </si>
  <si>
    <t>oiltechnology.ru</t>
  </si>
  <si>
    <t>КОМПАНИЯ С ОГРАНИЧЕННОЙ ОТВЕТСТВЕННОСТЬЮ КАМБЕЛОР ХОЛДИНГС ЛИМИТЕД (9 999 руб., 99.99%)
КОМПАНИЯ С ОГРАНИЧЕННОЙ ОТВЕТСТВЕННОСТЬЮ САМЕЛОР ХОЛДИНГС ЛИМИТЕД (1 руб., 0.010%)</t>
  </si>
  <si>
    <t>buh1@oil-service.pro</t>
  </si>
  <si>
    <t>Ишмухаметов Ахмет Валиахметович (2 510 000 руб., 100%)</t>
  </si>
  <si>
    <t>admin@jscoilgaztet.ru, export@jscoilgaztet.ru</t>
  </si>
  <si>
    <t>146 780 000</t>
  </si>
  <si>
    <t>info@opsmg.ru, isvolynkina@opsnv.ru, ivloginovskaya@opsnv.ru, ops.info@bakerhughes.com, tatiana.sergienko@techofs.com</t>
  </si>
  <si>
    <t>ОЙЛПАМП СЕРВИС, ОАО (10 000 руб., 100%)</t>
  </si>
  <si>
    <t>223 770 000</t>
  </si>
  <si>
    <t>info@oilrossa.ru</t>
  </si>
  <si>
    <t>Назаров Исаак Леонидович (10 000 руб., 100%)</t>
  </si>
  <si>
    <t>20 540 000</t>
  </si>
  <si>
    <t>e.magerya@oyna.ru, oyna@oyna.ru</t>
  </si>
  <si>
    <t>www.oyna.ru, ойна.рф</t>
  </si>
  <si>
    <t>Багаев Павел Михайлович (15 000 000 руб., 12.50%)
Дудко Анатолий Олегович (15 000 000 руб., 12.50%)
Дудко Виктор Олегович (15 000 000 руб., 12.50%)
Дудко Олег Викторович (15 000 000 руб., 12.50%)
Лотышко Николай Григорьевич (15 000 000 руб., 12.50%)
Мосин Виктор Сергеевич (15 000 000 руб., 12.50%)
Мосин Сергей Викторович (15 000 000 руб., 12.50%)
Николаева Екатерина Олеговна (15 000 000 руб., 12.50%)</t>
  </si>
  <si>
    <t>101 500 000</t>
  </si>
  <si>
    <t>info@oksshs.ru</t>
  </si>
  <si>
    <t>www.oksshs.ru</t>
  </si>
  <si>
    <t>НШСМУ № 6, ООО (72 930 000 руб., 98.02%)
Ивушкин Константин Анатольевич (900 000 руб., 1.21%)
Ивушкина Ольга Константиновна (300 000 руб., 0.40%)
Ивушкина Наталья Владимировна (270 000 руб., 0.36%)</t>
  </si>
  <si>
    <t>33 640 000</t>
  </si>
  <si>
    <t>anna.sergacheva@ekoniva-apk.com, intensiv.avangard@yandex.ru, office@oka-agro.ru, okaagro@ekoniva-apk.com</t>
  </si>
  <si>
    <t>http://www.ekoniva-apk.ru/okaagro</t>
  </si>
  <si>
    <t>ОКААГРО, ООО (158 745 344.77 руб., 95.67%)
ЭКОНИВА-АПК ХОЛДИНГ, ООО (7 184 127.82 руб., 4.32%)</t>
  </si>
  <si>
    <t>906 090 000</t>
  </si>
  <si>
    <t>ecv025@yandex.ru, info@okachim.com, okachim@yandex.ru</t>
  </si>
  <si>
    <t>okachim.com, www.okachim.narod.ru</t>
  </si>
  <si>
    <t>Елизаров Сергей Викторович (4 000 руб., 40%)
Елизарова Татьяна Павловна (4 000 руб., 40%)
Елизаров Александр Викторович (2 000 руб., 20%)</t>
  </si>
  <si>
    <t>115 430 000</t>
  </si>
  <si>
    <t>zenith.ru</t>
  </si>
  <si>
    <t>462 760 000</t>
  </si>
  <si>
    <t>daa@bor.kamchatka.ru, referent@bor.kamchatka.ru, telegraf@bor.kamchatka.ru</t>
  </si>
  <si>
    <t>www.okeanrybflot.ru</t>
  </si>
  <si>
    <t>5 832 760 000</t>
  </si>
  <si>
    <t>manikina@okil.ru, urist@okil.ru</t>
  </si>
  <si>
    <t>ОКИЛ-ХОЛДИНГ, АО (50 000 руб., 100%)</t>
  </si>
  <si>
    <t>nadezhda.dergunova@paragraphos.ru, pismo@dellin.ru</t>
  </si>
  <si>
    <t>Попов Алексей Сергеевич (5 000 руб., 50%)
ТБ-КАПИТАЛ, ООО (3 750 руб., 37.50%)
БИЗНЕС ПРОЕКТ, ООО (1 250 руб., 12.50%)</t>
  </si>
  <si>
    <t>info@okno-tv.ru, info@okno-tv.spb.ru, sibir@okno-tv.ru, tv4@okno-tv.ru</t>
  </si>
  <si>
    <t>Волов Александр Михайлович (3 700 000 руб., 37%)
Антипов Олег Николаевич (3 400 000 руб., 34%)
Гляненко Игорь Алексеевич (1 850 000 руб., 18.50%)
Антипова Ирина Анатольевна (1 050 000 руб., 10.50%)</t>
  </si>
  <si>
    <t>756 330 000</t>
  </si>
  <si>
    <t>akorzun@mail.ru, info@ucsys.ru</t>
  </si>
  <si>
    <t>0002@okskoe.com, 0047@okskoe.com, 0175@okskoe.com, 0189@okskoe.com, 0199@okskoe.com</t>
  </si>
  <si>
    <t>www.okskaya-ptf.ru, www.rcmd.rzn.ru</t>
  </si>
  <si>
    <t>647 130 000</t>
  </si>
  <si>
    <t>Цороев Яндырхан Муссаевич (36 000 руб., 100%)</t>
  </si>
  <si>
    <t>Мкртчян Нерсес Вардгесович (10 000 руб., 100%)</t>
  </si>
  <si>
    <t>597 090 000</t>
  </si>
  <si>
    <t>marina.iakhina@decathlon.com, order_ru@decathlon.com, pr.russia@decathlon.net, svetlana.ulyusova@decathlon.com</t>
  </si>
  <si>
    <t>www.decathlon.ru</t>
  </si>
  <si>
    <t>Акционерное общество "ДЕКАТЛОН" (3 950 000 000 руб., 100%)</t>
  </si>
  <si>
    <t>967 700 000</t>
  </si>
  <si>
    <t>o.gerasimenko@oktpf.ru, oktpf@online.nsk.su</t>
  </si>
  <si>
    <t>info@oubr.ru</t>
  </si>
  <si>
    <t>oubr.ru</t>
  </si>
  <si>
    <t>БУРТЕХРАЗВИТИЕ, ООО (500 000 руб., 50%)
Шайхлисламов Ильдус Муфаздалович (500 000 руб., 50%)</t>
  </si>
  <si>
    <t>70 170 000</t>
  </si>
  <si>
    <t>glazatova@obsagro.ru</t>
  </si>
  <si>
    <t>www.obsagro.ru</t>
  </si>
  <si>
    <t>115 130 000</t>
  </si>
  <si>
    <t>baryshnova@fluting.ru, mpetrova@rosmark.ru, zgb@rosmark.ru</t>
  </si>
  <si>
    <t>fluting.ru</t>
  </si>
  <si>
    <t>Васильев Алексей Николаевич (15 000 руб., 50%)
Осутин Александр Владимирович (15 000 руб., 50%)</t>
  </si>
  <si>
    <t>581 520 000</t>
  </si>
  <si>
    <t>ЧАСТНАЯ КОМПАНИЯ С ОГРАНИЧЕННОЙ ОТВЕТСТВЕННОСТЬЮ "АПОЛЛО ИНГРИДИЕНТС ХОЛДИНГ Б.В." (19 980 руб., 99.90%)
Picard Investments B.V. (20 руб., 0.10%)</t>
  </si>
  <si>
    <t>13 270 000</t>
  </si>
  <si>
    <t>batichko@list.ru, olimp-taganrog@bk.ru</t>
  </si>
  <si>
    <t>АГРОПРАЙМ, ООО (5 000 руб., 50%)
Алимов Александр Николаевич (5 000 руб., 50%)</t>
  </si>
  <si>
    <t>60 650 000</t>
  </si>
  <si>
    <t>АВГУСТ, ООО (50 010 002 руб., 100%)</t>
  </si>
  <si>
    <t>108 800 000</t>
  </si>
  <si>
    <t>sekretar@lion-t.ru</t>
  </si>
  <si>
    <t>Трубина Наталья Александровна (250 000 руб., 100%)</t>
  </si>
  <si>
    <t>admin@olympus.co.ru, inna.kozitsyna@ucmsgroup.ru, mail@neboleem-vmeste.ru, tatyana.chernova@olympus.com, tatyana.chernova@olympus.ru</t>
  </si>
  <si>
    <t>www.olympus.co.ru</t>
  </si>
  <si>
    <t>ОЛИМПАС ЕВРОПА ХОЛДИНГ ГМБХ (35 045 010 руб., 99.99%)
ОЛИМПАС ЕВРОПА ПРОПЕРТИ МЕНЕДЖМЕНТ ГМБХ" (3 990 руб., 0.010%)</t>
  </si>
  <si>
    <t>669 630 000</t>
  </si>
  <si>
    <t>olimpcitystroy@gmail.com</t>
  </si>
  <si>
    <t>Фомин Александр Григорьевич (250 000 руб., 50%)
Хавронин Дмитрий Александрович (250 000 руб., 50%)</t>
  </si>
  <si>
    <t>1 471 380 000</t>
  </si>
  <si>
    <t>agazarov@alltech.com</t>
  </si>
  <si>
    <t>alltech.com/ru, www.alltech.com</t>
  </si>
  <si>
    <t>КОМП "ОЛЛТЕК, ИНК." (89 500 руб., 100%)</t>
  </si>
  <si>
    <t>133 390 000</t>
  </si>
  <si>
    <t>info@olsam.ru, olsam.yurist@yandex.ru</t>
  </si>
  <si>
    <t>УК НПО ЧЕРНОЗЕМЬЕ, ООО (305 152 048 руб., 88.37%)
Краснов Эдуард Валентинович (24 072 450.22 руб., 6.97%)
Кравцов Евгений Сергеевич (8 047 174.89 руб., 2.33%)
Кравцова Тамара Алексеевна (8 047 174.89 руб., 2.33%)</t>
  </si>
  <si>
    <t>109 750 000</t>
  </si>
  <si>
    <t>ПРОМЕТ-ИНВЕСТ, ООО (90 000 руб., 90%)
МНГСК, АО (10 000 руб., 10%)</t>
  </si>
  <si>
    <t>khramenok-ag@norebo.ru, novikova-es@norebo.ru, rksogra@sovintel.ru, vt@karat-group.com</t>
  </si>
  <si>
    <t>1 430 710 000</t>
  </si>
  <si>
    <t>SALERTON INVESTMENTS LIMITED (95 090 000 руб., 100%)</t>
  </si>
  <si>
    <t>870 130 000</t>
  </si>
  <si>
    <t>kamazenkova@omb.ru, kokorenkov@omb.ru, kuzovlev@omb.ru, mme@omb.ru, omb@mail.ru, omb@omb.ruu, tagankina@omb.ru, vorobeva@omb.ru</t>
  </si>
  <si>
    <t>www.omb.ru</t>
  </si>
  <si>
    <t>Дороничев Валентин Иванович (13 750 794 руб., 31%)
Островский Александр Юрьевич (13 750 794 руб., 31%)
Куликовская Елена Сергеевна (10 313 095.5 руб., 23.25%)
Куликовский Павел Владимирович (3 437 698.5 руб., 7.75%)
Кузовлев Михаил Вячеславович (3 105 018 руб., 7%)</t>
  </si>
  <si>
    <t>427 940 000</t>
  </si>
  <si>
    <t>КОМПАНИЯ С ОГРАНИЧЕННОЙ ОТВЕТСТВЕННОСТЬЮ "ОПТИМУМ МЕДИА СИАЙЭС ЛИМИТЕД" (1 000 000 руб., 100%)</t>
  </si>
  <si>
    <t>159 350 000</t>
  </si>
  <si>
    <t>ivanova@omegametall.ru</t>
  </si>
  <si>
    <t>omegametall.ru</t>
  </si>
  <si>
    <t>Смирнов Игорь Викторович (220 800 000 руб., 100%)</t>
  </si>
  <si>
    <t>210 630 000</t>
  </si>
  <si>
    <t>Шаманов Александр Александрович (10 000 руб., 100%)</t>
  </si>
  <si>
    <t>Мадатли Анар Эйнулла Оглы (100 000 руб., 100%)</t>
  </si>
  <si>
    <t>tender@procontext.ru</t>
  </si>
  <si>
    <t>pro-context.ru</t>
  </si>
  <si>
    <t>Котков Сергей Олегович (100 000 руб., 100%)</t>
  </si>
  <si>
    <t>175 770 000</t>
  </si>
  <si>
    <t>ozm-om@mail.ru, ozm-omsk@yandex.ru</t>
  </si>
  <si>
    <t>omzm.ru</t>
  </si>
  <si>
    <t>81 680 000</t>
  </si>
  <si>
    <t>idris.gagiev@omya.com</t>
  </si>
  <si>
    <t>www.omya.com</t>
  </si>
  <si>
    <t>АКЦИОНЕРНОЕ ОБЩЕСТВО "ОМИА (ШВАЙЦ) АГ" (2 713 949 850 руб., 89.75%)
АКЦИОНЕРНОЕ ОБЩЕСТВО "ФОРСАГ АГ" (306 900 000 руб., 10.15%)
"ТУНИКА АГ" (3 100 000 руб., 0.10%)</t>
  </si>
  <si>
    <t>Производство гранул и порошков из природного камня</t>
  </si>
  <si>
    <t>95 360 000</t>
  </si>
  <si>
    <t>melnikova_oju@omk.ru, schelmet@mail.ru, slisina@schelmet.org, vedryshkina_od@vsw.ru</t>
  </si>
  <si>
    <t>www.schelmet.com</t>
  </si>
  <si>
    <t>ВМЗ, АО (205 755 руб.)</t>
  </si>
  <si>
    <t>585 790 000</t>
  </si>
  <si>
    <t>mail@omkirmet.ru</t>
  </si>
  <si>
    <t>Сергеевых Марина Борисовна (38 400 руб., 100%)</t>
  </si>
  <si>
    <t>15 500 000</t>
  </si>
  <si>
    <t>omolon@ogmc.ru, omolon@ozrk.polymetal.ru, ozrk@magadan.polymetal.ru, shishina@magadan.polymetal.ru</t>
  </si>
  <si>
    <t>ПОЛИМЕТАЛЛ, АО (229 987 826 руб., 100%)</t>
  </si>
  <si>
    <t>3 770 870 000</t>
  </si>
  <si>
    <t>info@sosiska.ru</t>
  </si>
  <si>
    <t>www.sosiska.ru</t>
  </si>
  <si>
    <t>egorov_centr@omc.ru, reg@omc.ru, tender_otdel@omc.ru</t>
  </si>
  <si>
    <t>Мангутов Владислав Рустамович (623 900 руб., 62.39%)
Попович Татьяна Викторовна (366 100 руб., 36.61%)
Можаровский Дмитрий Сергеевич (10 000 руб., 1%)</t>
  </si>
  <si>
    <t>Деятельность по чистке и уборке жилых зданий и нежилых помещений прочая</t>
  </si>
  <si>
    <t>22 830 000</t>
  </si>
  <si>
    <t>1@omskrts.ru, babich_in@omskrts.ru, babichin@oegc.tgk11.com, babichin@omskrts.ru, basmanov_av@omskrts.ru, belchenkoea@omskrts.ru, bervitskihop@omskrts.ru, birukovala@omskrts.ru, bobrukas@omskrts.ru, bobrukas@tgk11.com</t>
  </si>
  <si>
    <t>lvz@ovp.ru, main@ovp.ru, onatskaya@ovp.ru</t>
  </si>
  <si>
    <t>АСГ, ООО (80 000 000 руб., 100%)</t>
  </si>
  <si>
    <t>186 760 000</t>
  </si>
  <si>
    <t>2678899@mail.ru, a.dzhusupova@rosvodokanal.ru, a.lizarkin@rosvodokanal.ru, aa.ivanova@rosvodokanal.ru, abon.omskvodokanal@mail.ru, ao_omvod@mail.ru, as.petrova@rosvodorfnal.ru, av.petrova@rosvodokanal.ru, d.tsybulko@omskvodokanal.ru, e.milenina@rosvodokanal.ru</t>
  </si>
  <si>
    <t>252 700 000</t>
  </si>
  <si>
    <t>info@ok.titan-chem.ru, kulinich_ev@ok.titan-chem.ru, malomanova_ei@ok.titan-chem.ru, ozck-uprav@yandex.ru, skoba_ok@ok.titan-chem.ru, taranuha_aa@ok.titan-chem.ru</t>
  </si>
  <si>
    <t>https://titan-group.ru/factory/omskiy-kauchuk/issuer-information/#slide1, www.titan-omsk.ru</t>
  </si>
  <si>
    <t>HOLDBOND LIMITED (54.91%)
ГК ТИТАН, АО (41.47%)</t>
  </si>
  <si>
    <t>Производство простых эфиров, органических пероксидов, эпоксидов, ацеталей и полуацеталей, прочих органических соединений</t>
  </si>
  <si>
    <t>alex-oemz@mail.ru, info@omez.ru, omz@mail.ru</t>
  </si>
  <si>
    <t>www.oemz.ru</t>
  </si>
  <si>
    <t>123 540 000</t>
  </si>
  <si>
    <t>demi@list.ru, demidova@carbonblack.ru, demidova@carbonblank.ru, deml@list.ru, info@tehuglerod.ru, info@texuglerod.ru, it@omskcarbon.com, office@omskcarbon.com, svetlana.balmina@omskcarbon.com</t>
  </si>
  <si>
    <t>www.omskcarbongroup.com</t>
  </si>
  <si>
    <t>OMSK CARBON GROUP LIMITED (338 858 322 руб., 100%)</t>
  </si>
  <si>
    <t>2 777 220 000</t>
  </si>
  <si>
    <t>ershova.oy@omskelectro.ru, ershova.oy@omskelektro.ru, jmskelectro@obskelectro.ru, kolesnikova.iu@omskelectro.ru, lemeshko.oa@omskelectro.ru, lomskelectro@omskelectro.ru, oa@omskelectro.ru, omskelecto@omskelectro.ru, omskelectro@omselectro.ru, omskelectro@omskeiectro.ru</t>
  </si>
  <si>
    <t>www.omskelectro.ru</t>
  </si>
  <si>
    <t>Омская обл, МУНИЦИПАЛЬНОЕ ОБРАЗОВАНИЕ ГОРОДСКОЙ ОКРУГ ГОРОД ОМСК ОМСКОЙ ОБЛАСТИ (419 374 000 руб., 100%)</t>
  </si>
  <si>
    <t>109 950 000</t>
  </si>
  <si>
    <t>info@omus1.ru</t>
  </si>
  <si>
    <t>www.omus1.ru</t>
  </si>
  <si>
    <t>info@onduline.ru</t>
  </si>
  <si>
    <t>АКЦИОНЕРНОЕ ОБЩЕСТВО УПРОЩЕННОГО ТИПА РБК ХОЛДИНГ (22 140 000 руб., 100%)</t>
  </si>
  <si>
    <t>820 550 000</t>
  </si>
  <si>
    <t>alexander.rybakov@onduline.ru, elena.kuzina@onduline.ru, n.novgorod@onduline.ru</t>
  </si>
  <si>
    <t>www.onduline.ru</t>
  </si>
  <si>
    <t>АКЦИОНЕРНОЕ ОБЩЕСТВО УПРОЩЕННОГО ТИПА РБК ХОЛДИНГ (100 000 000 руб., 100%)</t>
  </si>
  <si>
    <t>242 480 000</t>
  </si>
  <si>
    <t>office@sawmills.ru, offis@sawmills.ru</t>
  </si>
  <si>
    <t>СЕГЕЖА ГРУПП, ПАО (200 000 000 руб.)</t>
  </si>
  <si>
    <t>178 150 000</t>
  </si>
  <si>
    <t>ap.zernosib@mail.ru, d.krasilov@mail.ru</t>
  </si>
  <si>
    <t>grainsib.ru</t>
  </si>
  <si>
    <t>Калиниченко Сергей Николаевич (10 000 руб., 50%)
Трофимов Дмитрий Павлович (10 000 руб., 50%)</t>
  </si>
  <si>
    <t>97 010 000</t>
  </si>
  <si>
    <t>info@e100online.ru, s.senchakova@e100.biz</t>
  </si>
  <si>
    <t>Бохан Кирилл Сергеевич (6 000 000 руб., 100%)</t>
  </si>
  <si>
    <t>282 040 000</t>
  </si>
  <si>
    <t>sale@onlinetrade.ru, tender@onlinetrade.ru</t>
  </si>
  <si>
    <t>www.onlinetrade.ru</t>
  </si>
  <si>
    <t>Посеуков Сергей Витальевич (1 000 000 руб., 100%)</t>
  </si>
  <si>
    <t>Медведев Максим Юрьевич (100 000 руб., 100%)</t>
  </si>
  <si>
    <t>59 470 000</t>
  </si>
  <si>
    <t>КОРПОРАТИВНЫЙ ЦЕНТР ИКС 5, ООО (1 500 000 000 руб., 100%)</t>
  </si>
  <si>
    <t>inforussian@ontexglobal.com</t>
  </si>
  <si>
    <t>www.ontex.ru</t>
  </si>
  <si>
    <t>ЧАСТНАЯ КОМПАНИЯ С ОГРАНИЧЕННОЙ ОТВЕТСТВЕННОСТЬЮ "ОНТЭКС" (672 425 478 руб., 100%)</t>
  </si>
  <si>
    <t>855 190 000</t>
  </si>
  <si>
    <t>7801433658_781101001@eo.tensor.ru, datenschutz@stern-wywiol-gruppe.de, info@sterningredients.ru</t>
  </si>
  <si>
    <t>ШТЕРН ИНГРЕДИЕНТС, ООО (35 000 руб., 1%)</t>
  </si>
  <si>
    <t>97 240 000</t>
  </si>
  <si>
    <t>Колесов Валентин Геннадьевич (50 000 руб., 50%)
ТДЛ КАПИТАЛ, ООО (50 000 руб., 50%)</t>
  </si>
  <si>
    <t>Отделка тканей и текстильных изделий</t>
  </si>
  <si>
    <t>130 810 000</t>
  </si>
  <si>
    <t>22 660 000</t>
  </si>
  <si>
    <t>gresstyle@gmail.com</t>
  </si>
  <si>
    <t>ocs-d.ru</t>
  </si>
  <si>
    <t>Голышкин Андрей Валерьевич (132 510 000 руб., 100%)</t>
  </si>
  <si>
    <t>120 760 000</t>
  </si>
  <si>
    <t>barsukov.dmitry@gmail.com, r.lukmanov@cryspi.ru</t>
  </si>
  <si>
    <t>191 130 000</t>
  </si>
  <si>
    <t>Русаков Андрей Анатольевич (1 010 000 руб., 100%)</t>
  </si>
  <si>
    <t>sveta@so15.ru</t>
  </si>
  <si>
    <t>Урупин Александр Олегович (50 000 000 руб., 100%)</t>
  </si>
  <si>
    <t>39 180 000</t>
  </si>
  <si>
    <t>azizova-nr@rambler.ru, azizovanr@optan.ru</t>
  </si>
  <si>
    <t>ОПТАН, АО (200 100 руб., 66.70%)
Сулейманов Ирек Галимзянович (99 900 руб., 33.30%)</t>
  </si>
  <si>
    <t>1 200 000</t>
  </si>
  <si>
    <t>shakirovaop@optan.ru</t>
  </si>
  <si>
    <t>optan-ufa.ru</t>
  </si>
  <si>
    <t>АЛЬЯНС, ООО (500 000 руб., 100%)</t>
  </si>
  <si>
    <t>3 070 000</t>
  </si>
  <si>
    <t>info@narod-linz.ru, info@ochkarik.ru, kholomeev@ochkarik.ru, lana@ochkarik.ru, zakaz@ochkarik.ru</t>
  </si>
  <si>
    <t>Бодров Сергей Михайлович (445 000 000 руб., 100%)</t>
  </si>
  <si>
    <t>company@optic-club.ru</t>
  </si>
  <si>
    <t>ESSILOR INTERNATIONAL (5 729 476.5 руб., 99%)
ЭССИЛОР-ЛУЙС-ОПТИКА, ООО (57 873.5 руб., 1%)</t>
  </si>
  <si>
    <t>225 000 000</t>
  </si>
  <si>
    <t>info-spb@opti-com.ru, info@opti-com.ru, pr@opti-com.ru, pravo@opti-com.ru, reception@opti-com.ru, sales-nn@opti-com.ru, sales-samara@opti-com.ru</t>
  </si>
  <si>
    <t>www.opti-com.ru</t>
  </si>
  <si>
    <t>470 370 000</t>
  </si>
  <si>
    <t>nsk@opticcenter.ru, rogova.m@opticcenter.ru, shop@netoptika.ru</t>
  </si>
  <si>
    <t>www.inoptika.ru, www.netoptika.ru</t>
  </si>
  <si>
    <t>Строганцев Андрей Николаевич (1 000 000 руб., 100%)</t>
  </si>
  <si>
    <t>76 230 000</t>
  </si>
  <si>
    <t>m.ivanova@optimalog.ru</t>
  </si>
  <si>
    <t>www.optimalog.ru</t>
  </si>
  <si>
    <t>Властопуло Георгий Константинович (700 000 руб., 70%)
Комаров Иван Валерьевич (300 000 руб., 30%)</t>
  </si>
  <si>
    <t>114 070 000</t>
  </si>
  <si>
    <t>dir@optima-s.com</t>
  </si>
  <si>
    <t>natuzyme.ru, www.ohio8.vchecks.me</t>
  </si>
  <si>
    <t>Шельпяков Александр Иванович (4 389 074.24 руб., 91.96%)
Непомящий Виктор Валентинович (383 733.76 руб., 8.04%)</t>
  </si>
  <si>
    <t>70 750 000</t>
  </si>
  <si>
    <t>info@optima.ru</t>
  </si>
  <si>
    <t>Дорохова Людмила Алексеевна (10 000 руб., 100%)</t>
  </si>
  <si>
    <t>310 000</t>
  </si>
  <si>
    <t>Михельсон Виктория Леонидовна (1 751 590 142 руб., 100%)</t>
  </si>
  <si>
    <t>15 846 710 000</t>
  </si>
  <si>
    <t>ОПТИМА, ООО (1 979 797 руб., 98%)
Беляев Константин Николаевич (20 203 руб., 1%)
Демьянов Евгений Геннадиевич (20 203 руб., 1%)</t>
  </si>
  <si>
    <t>91 980 000</t>
  </si>
  <si>
    <t>abadanin@aseti.ru, adadanin@arhen.ru, adrochnev@arhen.ru, aesinfo@arher.ru, afdudorov@arhen.ru, agenaev@arhen.ru, ami@pskovenergo.ru, aminkin@arhen.ru, amro@arsk.arhen.ru, aosipov@arhen.ru</t>
  </si>
  <si>
    <t>www.mrsksevzap.ru</t>
  </si>
  <si>
    <t>Публичное акционерное общество «Российские сети» (55.38%)
Головцов Александр Викторович (0.00070%)</t>
  </si>
  <si>
    <t>opttrans.ru</t>
  </si>
  <si>
    <t>Федорова Ксения Дмитриевна (50 000 руб., 100%)</t>
  </si>
  <si>
    <t>56 280 000</t>
  </si>
  <si>
    <t>f58.ru</t>
  </si>
  <si>
    <t>Назаренко Владимир Викторович (495 000 руб., 99%)
ЭПИЦЕНТР, ООО (5 000 руб., 1%)</t>
  </si>
  <si>
    <t>49 430 000</t>
  </si>
  <si>
    <t>tarasenko@welltex.ru</t>
  </si>
  <si>
    <t>optshveycom.ru</t>
  </si>
  <si>
    <t>Лазуткин Владимир Валентинович (3 571.4 руб., 35.71%)
Фаттахов Альберт Наилевич (3 214.3 руб., 32.14%)
Якунцев Андрей Иванович (3 214.3 руб., 32.14%)</t>
  </si>
  <si>
    <t>35 700 000</t>
  </si>
  <si>
    <t>Сергачев Олег Владимирович (10 000 руб., 100%)</t>
  </si>
  <si>
    <t>9 660 000</t>
  </si>
  <si>
    <t>Жаркова Светлана Валерьевна (10 000 руб., 100%)</t>
  </si>
  <si>
    <t>andrey.ermakov@bintg.com, opm.tenders@bintg.com</t>
  </si>
  <si>
    <t>www.bigfloor.pro</t>
  </si>
  <si>
    <t>БОЛЬЮ ИНТЕРНЭШНЛ ГРУПП Н.В. (92 088 000 руб., 100%)</t>
  </si>
  <si>
    <t>Торговля оптовая напольными покрытиями (кроме ковров)</t>
  </si>
  <si>
    <t>272 860 000</t>
  </si>
  <si>
    <t>payroll_ssc.petersburg@heineken.com, taras.gavras@heineken.com</t>
  </si>
  <si>
    <t>http://www.heineken.com, www.heinekenrussia.ru</t>
  </si>
  <si>
    <t>ФИРМА "ХЕЙНЕКЕН ИНТЕРНЕШНЛ Б.В." (1 348 669 878.11 руб., 99.99%)
Heineken Deutschland GmbH (1 348.68 руб., 0.00010%)</t>
  </si>
  <si>
    <t>717 510 000</t>
  </si>
  <si>
    <t>Шадрин Александр Станиславович (10 000 руб., 100%)</t>
  </si>
  <si>
    <t>popova-av@orbita22.ru</t>
  </si>
  <si>
    <t>885 830 000</t>
  </si>
  <si>
    <t>dulevamv@mosinzhproekt.ru, ivanova.me@mosinzhproekt.ru, naumkina.mn@mosinzhproekt.ru, zakupki.organizator@gmail.com, zhuravleva.ia@mosinzhproekt.ru</t>
  </si>
  <si>
    <t>http://www.mosinzhproekt.ru/</t>
  </si>
  <si>
    <t>МОСИНЖПРОЕКТ, АО (51 000 000 руб., 100%)</t>
  </si>
  <si>
    <t>orbitagpb.ru</t>
  </si>
  <si>
    <t>БАНК ГПБ (АО) (7 861 959 420 руб., 86.76%)
НОВФИНТЕХ, ООО (1 200 000 000 руб., 13.24%)</t>
  </si>
  <si>
    <t>info@splat.ru, volkova@orgfarma.ru</t>
  </si>
  <si>
    <t>www.splat.ru</t>
  </si>
  <si>
    <t>КОМПАНИЯ "АЙ. КЬЮ. АР. ИНВЕСТМЕНТ ЛТД." (5 000 000 руб., 50%)
СПЛАТ ГЛОБАЛ, ООО (5 000 000 руб., 50%)</t>
  </si>
  <si>
    <t>320 350 000</t>
  </si>
  <si>
    <t>Усков Александр Владимирович (10 000 руб., 100%)</t>
  </si>
  <si>
    <t>31 960 000</t>
  </si>
  <si>
    <t>l.nesterenko@keyauto.ru, razvan.creanga@inchcape.ru</t>
  </si>
  <si>
    <t>ГК СБСВ-КЛЮЧАВТО, ООО (256 000 000 руб., 100%)</t>
  </si>
  <si>
    <t>160 900 000</t>
  </si>
  <si>
    <t>e.v.kashanskaja@tkorda.ru, r.r.salimgareev@tkorda.ru</t>
  </si>
  <si>
    <t>tkorda.ru</t>
  </si>
  <si>
    <t>Салимгареев Ринат Рафаилович (550 000 руб., 55%)
АДВАНТ ТРАК, ООО (450 000 руб., 45%)</t>
  </si>
  <si>
    <t>h4fn3r98@yandex.ru</t>
  </si>
  <si>
    <t>АПХ МИРАТОРГ, ООО (220 090 200 руб., 100%)</t>
  </si>
  <si>
    <t>1 789 270 000</t>
  </si>
  <si>
    <t>office@omz.orel.ru, office@orelmaslo.ru</t>
  </si>
  <si>
    <t>www.orelmaslo.ru</t>
  </si>
  <si>
    <t>ЛИТОТА, ООО (100%)</t>
  </si>
  <si>
    <t>1 987 880 000</t>
  </si>
  <si>
    <t>o.melenteva@omz.orel.ru</t>
  </si>
  <si>
    <t>ОРЕЛМАСЛО, АО (9 950 руб., 99.50%)
Берлизов Олег Иванович (50 руб., 0.50%)</t>
  </si>
  <si>
    <t>Торговля оптовая масличными семенами и маслосодержащими плодами</t>
  </si>
  <si>
    <t>123 550 000</t>
  </si>
  <si>
    <t>37 040 000</t>
  </si>
  <si>
    <t>Фролов Андрей Васильевич (10 000 руб., 100%)</t>
  </si>
  <si>
    <t>700 000</t>
  </si>
  <si>
    <t>info@orenbeef.ru</t>
  </si>
  <si>
    <t>orenbeef.ru</t>
  </si>
  <si>
    <t>ТПФ КАСКАД, ООО (754 285 714.29 руб., 80%)
AYAR INTERNATIONAL INVESTMENTS COMPANY (104 657 142.86 руб., 11.10%)
ППИТ-15, ООО (69 771 428.57 руб., 7.40%)
Co-Investment Partnership I, L.P (6 600 000 руб., 0.70%)
Co-Investment Partnership I, L.P (6 600 000 руб., 0.70%)
Co-Investment Partnership II C.V. (942 857.14 руб., 0.10%)</t>
  </si>
  <si>
    <t>admin@orenscan.ru, btsecretar@mail.ru, orenreal@mail.ru, orenrealstroy@mail.ru</t>
  </si>
  <si>
    <t>Кузнецов Александр Николаевич (5 100 руб., 51%)
Волошин Сергей Николаевич (3 000 руб., 30%)
Кузнецов Александр Сергеевич (1 900 руб., 19%)</t>
  </si>
  <si>
    <t>560 490 000</t>
  </si>
  <si>
    <t>clerk@okes.ru, dsn@okes.ru, e.ligerman@okes.ru</t>
  </si>
  <si>
    <t>Оренбургская обл (5 579 421 000 руб., 100%)</t>
  </si>
  <si>
    <t>26 860 000</t>
  </si>
  <si>
    <t>info@orendrs.ru, info@orenrds.ru, it@orenrds.ru, oipp@orends.ru, oipp@orenrds.ru, oipp@orenrsd.ru, orbudh56@mail.ru, ords.uo@mail.ru, ords.zakupki@bk.ru, ords@list.ru</t>
  </si>
  <si>
    <t>orenrds.ru</t>
  </si>
  <si>
    <t>ОРЕНБУРГСКОЙ ОБЛАСТИ, МПР (250 000 000 руб., 100%)</t>
  </si>
  <si>
    <t>aaholm1@gmail.com, cs@orenmin.ru, khusainov.a@orenmin.ru, referent@orenmin.ru</t>
  </si>
  <si>
    <t>www.orenmin.ru</t>
  </si>
  <si>
    <t>Добыча асбеста хризотилового</t>
  </si>
  <si>
    <t>2 008 650 000</t>
  </si>
  <si>
    <t>kolesnikova@orekh.com, m.taranov@orekh.com</t>
  </si>
  <si>
    <t>www.orekh.com</t>
  </si>
  <si>
    <t>18 790 000</t>
  </si>
  <si>
    <t>www.chemringnobel.no</t>
  </si>
  <si>
    <t>ЭВОБЛАСТ, ООО (1 330 025 508 руб.)</t>
  </si>
  <si>
    <t>272 100 000</t>
  </si>
  <si>
    <t>orimi@orimi.com</t>
  </si>
  <si>
    <t>www.orimi.com</t>
  </si>
  <si>
    <t>ОРИМИ ТРЭЙД, ООО (1 000 000 000 руб., 100%)</t>
  </si>
  <si>
    <t>1 748 300 000</t>
  </si>
  <si>
    <t>khorosheva.ov@orimitrade.ru, orimi@orimitrade.ru</t>
  </si>
  <si>
    <t>orimitrade.ru, www.orimi.com</t>
  </si>
  <si>
    <t>Евневич Александр Анатольевич (46 000 руб., 46%)
Касьяненко Сергей Васильевич (45 300 руб., 45.30%)
Тюшкевич Иван Петрович (7 200 руб., 7.20%)
УК МАРКПРОД, ООО (900 руб., 0.90%)
Евневич Мария Александровна (300 руб., 0.30%)
Касьяненко Александр Сергеевич (300 руб., 0.30%)</t>
  </si>
  <si>
    <t>4 610 690 000</t>
  </si>
  <si>
    <t>shakhunova@orimitrade.ru, simakov@orimitrade.ru</t>
  </si>
  <si>
    <t>ОРИМИ ТРЭЙД, ООО (1 000 000 руб., 100%)</t>
  </si>
  <si>
    <t>ОРИМИ ТРЭЙД, ООО (10 000 руб., 100%)</t>
  </si>
  <si>
    <t>409 770 000</t>
  </si>
  <si>
    <t>ОРИМИ ТРЭЙД, ООО (2 672 900 000 руб., 100%)</t>
  </si>
  <si>
    <t>1 924 570 000</t>
  </si>
  <si>
    <t>info@orionworld.ru</t>
  </si>
  <si>
    <t>www.orionworld.ru</t>
  </si>
  <si>
    <t>КОМПАНИЯ "ОРИОН КОРП." (3 239 446 245.59 руб., 73.27%)
ОБЩЕСТВО С ОГРАНИЧЕННОЙ ОТВЕТСТВЕННОСТЬЮ "ПАН ОРИОН" (1 181 990 820 руб., 26.73%)</t>
  </si>
  <si>
    <t>491 560 000</t>
  </si>
  <si>
    <t>"ОРИОН ЭКСПОРТ ОЙ" (ORION EXPORT OY) (90 000 руб., 90%)
"Сайф Терапеутикс Ой" (Saiph Therapeutics Oy) (10 000 руб., 10%)</t>
  </si>
  <si>
    <t>48 420 000</t>
  </si>
  <si>
    <t>office@miru.ru, svk@netx.ru</t>
  </si>
  <si>
    <t>Гусев Игорь Евгеньевич (180 267 667.5 руб., 67%)
Багаутдинов Надир Рашитович (88 943 763.47 руб., 33%)</t>
  </si>
  <si>
    <t>32 170 000</t>
  </si>
  <si>
    <t>corporionooo@gmail.com</t>
  </si>
  <si>
    <t>Языков Константин Эдуардович (1 098 901 руб., 100%)</t>
  </si>
  <si>
    <t>105 470 000</t>
  </si>
  <si>
    <t>info@arhgarant.ru, osr_tender@mail.ru</t>
  </si>
  <si>
    <t>os-razvitiya.ru</t>
  </si>
  <si>
    <t>Муслимов Магомед Хамзатович (10 000 руб., 100%)</t>
  </si>
  <si>
    <t>953012@bk.ru, info@orionmotors.ru, orionmotors@mail.ru</t>
  </si>
  <si>
    <t>www.orionmotors.ru</t>
  </si>
  <si>
    <t>Кобыльняк Олег Анатольевич (30 000 руб., 100%)</t>
  </si>
  <si>
    <t>info@orisprom.ru, meta-prof@bk.ru, metallistprm@gmail.com, orisprom777@yandex.ru</t>
  </si>
  <si>
    <t>www.orisprom.ru</t>
  </si>
  <si>
    <t>Кузнецов Игорь Николаевич (10 000 руб., 100%)</t>
  </si>
  <si>
    <t>Утилизация отсортированных материалов</t>
  </si>
  <si>
    <t>54 230 000</t>
  </si>
  <si>
    <t>info@oriflame.ru, info@orime.ru, johan.rosenberg@oriflame.msk.ru, reception@oriflame.msk.ru</t>
  </si>
  <si>
    <t>www.oriflame.ru</t>
  </si>
  <si>
    <t>КОМПАНИЯ С ОГРАНИЧЕННОЙ ОТВЕТСТВЕННОСТЬЮ "ОРИФЛЭЙМ ХОЛДИНГС Б.В." (153 040 152 руб., 76.10%)
КОМП с ограниченной отвественностью "Орифлэйм Коз" (48 067 848 руб., 23.90%)</t>
  </si>
  <si>
    <t>5407@interraoorel.ru, 5701@interrao-orel.ru, 5701@interrao.mail.ru, 5701@interraoorel.ru, 5703@interrao.orel.ru, 5703@interraoorel.ru, 5704@interrao.orel.ru, 5704@interraoorel.ru, 5705@interrao.orel.ru, 5705@interraoorel.ru</t>
  </si>
  <si>
    <t>ИНТЕР РАО, ПАО (60 000 000 руб., 100%)</t>
  </si>
  <si>
    <t>189 740 000</t>
  </si>
  <si>
    <t>dk@ormatek.com</t>
  </si>
  <si>
    <t>www.ormatrade.com</t>
  </si>
  <si>
    <t>Антоновский Евгений Цезаревич (5 800 руб., 29%)
Карапчук Андрей Михайлович (5 600 руб., 28%)
Полях Владимир Александрович (5 600 руб., 28%)
Лукьянов Дмитрий Николаевич (3 000 руб., 15%)</t>
  </si>
  <si>
    <t>521 320 000</t>
  </si>
  <si>
    <t>info@ormatek.com, uhanova@ormatek.com</t>
  </si>
  <si>
    <t>ormatek.com</t>
  </si>
  <si>
    <t>211 210 000</t>
  </si>
  <si>
    <t>tatyana.vasilenko@ormco.com</t>
  </si>
  <si>
    <t>www.orthodontia.ru</t>
  </si>
  <si>
    <t>ЕХ ГЕРМАНИЯ ГМБХ (10 000 000 руб., 100%)</t>
  </si>
  <si>
    <t>381 550 000</t>
  </si>
  <si>
    <t>mail@ornpz.ru</t>
  </si>
  <si>
    <t>www.ornpz.ru</t>
  </si>
  <si>
    <t>ФОРТЕИНВЕСТ, АО (80.09%)</t>
  </si>
  <si>
    <t>orfeao@orfe.ru, orfezao@orfe.ru</t>
  </si>
  <si>
    <t>www.orfe.ru</t>
  </si>
  <si>
    <t>226 120 000</t>
  </si>
  <si>
    <t>7180@orfey.ru, irina.v@orfey.ru</t>
  </si>
  <si>
    <t>orfey.ru</t>
  </si>
  <si>
    <t>Кривко Владимир Иванович (5 300 руб., 53%)
Шурупова Валерия Викторовна (4 700 руб., 47%)</t>
  </si>
  <si>
    <t>390 450 000</t>
  </si>
  <si>
    <t>info@osz-glass.ru, osz2006@mai.ru, root@steklo.gus.elcom.ru, svetlana.kiseleva@arc-intl.com, uiaoszgus@emea.bmai.net</t>
  </si>
  <si>
    <t>www.osz-glass.ru</t>
  </si>
  <si>
    <t>КЛЭЙКРЕСТ ЛИМИТЕД (5 450 000 руб., 100%)</t>
  </si>
  <si>
    <t>599 650 000</t>
  </si>
  <si>
    <t>COMINAL CORPORATION LTD (8 999 910 руб., 99.99%)
ОСИРИС, ООО (90 руб., 0.0010%)</t>
  </si>
  <si>
    <t>n.alimova@osk1520.ru, sergeyklevakin@yandex.ru</t>
  </si>
  <si>
    <t>ГРУППА КОМПАНИЙ 1520, ООО (100 000 руб., 100%)</t>
  </si>
  <si>
    <t>2 702 150 000</t>
  </si>
  <si>
    <t>ksv@prodimex.ru</t>
  </si>
  <si>
    <t>7 542 700 000</t>
  </si>
  <si>
    <t>mail@olsz.vrn.ru, osk.yurist@apk-prodimex.ru</t>
  </si>
  <si>
    <t>osk-prodimex.ru</t>
  </si>
  <si>
    <t>1 273 430 000</t>
  </si>
  <si>
    <t>sh.marina@urm-company.com</t>
  </si>
  <si>
    <t>urm-company.com, urm-company.ru</t>
  </si>
  <si>
    <t>Островский Дмитрий Яковлевич (750 000 руб., 50%)
Гальперин Григорий Львович (600 000 руб., 40%)
Голубева Кристина Вячеславовна (150 000 руб., 10%)</t>
  </si>
  <si>
    <t>Деятельность агентов по оптовой торговле рудами и металлами в первичных формах</t>
  </si>
  <si>
    <t>332 820 000</t>
  </si>
  <si>
    <t>АБИ ГРУПП, ЗАО (20 000 руб., 100%)</t>
  </si>
  <si>
    <t>9 780 000</t>
  </si>
  <si>
    <t>customer@edna.ru, tenders@edna.ru</t>
  </si>
  <si>
    <t>КОМПАНИЯ С ОГРАНИЧЕННОЙ ОТВЕТСТВЕННОСТЬЮ МФ МЕНЕДЖМЕНТ ЛТД (5 100 000 руб., 100%)</t>
  </si>
  <si>
    <t>651 270 000</t>
  </si>
  <si>
    <t>ooo_oss@bk.ru</t>
  </si>
  <si>
    <t>oss-sk.ru</t>
  </si>
  <si>
    <t>Березюк Дмитрий Валентинович (255 000 руб., 50%)
Новиков Александр Александрович (255 000 руб., 50%)</t>
  </si>
  <si>
    <t>144 830 000</t>
  </si>
  <si>
    <t>info@unitoll.ru</t>
  </si>
  <si>
    <t>unitoll.ru</t>
  </si>
  <si>
    <t>Highway Operations B.V. (4 000 000 руб., 100%)</t>
  </si>
  <si>
    <t>Деятельность вспомогательная, связанная с автомобильным транспортом</t>
  </si>
  <si>
    <t>1 119 020 000</t>
  </si>
  <si>
    <t>evgeeva.a@osstem.ru</t>
  </si>
  <si>
    <t>osstem.ru</t>
  </si>
  <si>
    <t>АКЦИОНЕРНОЕ ОБЩЕСТВО "ОССТЕМ ИМПЛАНТ" (189 397 250 руб., 100%)</t>
  </si>
  <si>
    <t>info@o-stin.ru</t>
  </si>
  <si>
    <t>funday-shop.com, fundayshop.com, ostin.com</t>
  </si>
  <si>
    <t>КОМПАНИЯ С ОГРАНИЧЕННОЙ ОТВЕТСТВЕННОСТЬЮ "ФЭШН СОЛЮШНЗ ЛИМИТЕД" (135 464 345.07 руб., 100%)</t>
  </si>
  <si>
    <t>3 602 260 000</t>
  </si>
  <si>
    <t>office@pilenga.ru</t>
  </si>
  <si>
    <t>585 140 000</t>
  </si>
  <si>
    <t>il@ostrovfish.ru, info@ostrovfish.ru</t>
  </si>
  <si>
    <t>ostrovfish.ru</t>
  </si>
  <si>
    <t>Дюднев Данила Сергеевич (15 000 000 руб., 50%)
Жаднов Владимир Александрович (15 000 000 руб., 50%)</t>
  </si>
  <si>
    <t>470 840 000</t>
  </si>
  <si>
    <t>shikotan@ostronoy.ru, urist2@interrybflot.ru</t>
  </si>
  <si>
    <t>ДВ РЫБАК, АО УК (23 414 000 руб., 100%)</t>
  </si>
  <si>
    <t>bavukin@mail.ru, lav@tbclinic.ru, osu2@orelstroy.ru</t>
  </si>
  <si>
    <t>СПЕЦИАЛИЗИРОВАННЫЙ ЗАСТРОЙЩИК ОРЕЛСТРОЙ, ПАО (2 549 288 руб., 100%)</t>
  </si>
  <si>
    <t>maradudina@atomsk.ru</t>
  </si>
  <si>
    <t>АТОМСТРОЙКОМПЛЕКС-СТРОИТЕЛЬСТВО, ООО (51%)</t>
  </si>
  <si>
    <t>17 160 000</t>
  </si>
  <si>
    <t>cool-clever.ru</t>
  </si>
  <si>
    <t>Альтшуллер Владлен Марксович (9 358 830.26 руб., 35.10%)
Караева Светлана Вадимовна (4 000 300 руб., 15.00%)
Михайлов Евгений Игоревич (3 986 168.43 руб., 14.95%)
Михайлов Сергей Игоревич (3 986 168.43 руб., 14.95%)
Макарычев Константин Юрьевич (1 707 519.91 руб., 6.40%)
Финкельштейн Илья Семенович (1 262 242.23 руб., 4.73%)
Метрикина Мария Николаевна (1 097 462.83 руб., 4.11%)
Ганец Ольга Михайловна (198 268.55 руб., 0.74%)
Золото Сергей Михайлович (198 268.55 руб., 0.74%)
Радевич Марина Александровна (198 268.55 руб., 0.74%)
...*</t>
  </si>
  <si>
    <t>166 040 000</t>
  </si>
  <si>
    <t>corplaw@cherkizovo.com, l.hramcova@cherkizovo.com, pravdstat@baltnet.ru</t>
  </si>
  <si>
    <t>АПК МИХАЙЛОВСКИЙ, ООО (59 685 921.01 руб., 100%)</t>
  </si>
  <si>
    <t>info@otcpharm.ru, media@otcpharm.ru, onbogrec@otcpharm.ru, saparshikov@otcpharm.ru, vvpriymenko@otcpharm.ru</t>
  </si>
  <si>
    <t>www.otcpharm.ru</t>
  </si>
  <si>
    <t>etender@ot.ru, info@ot.ru</t>
  </si>
  <si>
    <t>www.ot.ru</t>
  </si>
  <si>
    <t>3 530 000</t>
  </si>
  <si>
    <t>1409@3234.ru, corp@e2e4online.ru, info.tomsk@e2e4online.ru, info@opentech.ru, k.reshetnyak@e2e4online.ru, nvkz@e2e4online.ru</t>
  </si>
  <si>
    <t>e2e4.ru, e2e4online.ru, opentech.ru, tomsk.e2e4online.ru</t>
  </si>
  <si>
    <t>Красильников Кирилл Петрович (5 000 руб., 37.50%)
Сапронов Андрей Викторович (5 000 руб., 37.50%)
Мельников Андрей Александрович (3 333.33 руб., 25%)</t>
  </si>
  <si>
    <t>147 750 000</t>
  </si>
  <si>
    <t>info@open-leasing.ru</t>
  </si>
  <si>
    <t>252 480 000</t>
  </si>
  <si>
    <t>utlc@utlc.com</t>
  </si>
  <si>
    <t>https://www.utlc.com</t>
  </si>
  <si>
    <t>4 793 580 000</t>
  </si>
  <si>
    <t>cafk@otr.ru, info@otr.ru, sna@otr.ru, tender@otr.ru</t>
  </si>
  <si>
    <t>www.otr.ru</t>
  </si>
  <si>
    <t>КАПИТАЛ ТРЕЙД, ООО (60 000 000 руб., 60%)
Селянин Андрей Олегович (10 000 000 руб., 10%)
Брызгалов Алексей Алексеевич (7 500 000 руб., 7.50%)
Геня Алексей Николаевич (7 500 000 руб., 7.50%)
Крикунчик Денис Григорьевич (7 500 000 руб., 7.50%)
Рыбаков Дмитрий Михайлович (7 500 000 руб., 7.50%)</t>
  </si>
  <si>
    <t>153 740 000</t>
  </si>
  <si>
    <t>Козленко Ольга Александровна (10 000 руб., 100%)</t>
  </si>
  <si>
    <t>info@otradnoe.com</t>
  </si>
  <si>
    <t>www.otradnoe.com</t>
  </si>
  <si>
    <t>Асташкин Вадим Владимирович (10 000 руб., 100%)</t>
  </si>
  <si>
    <t>26 940 000</t>
  </si>
  <si>
    <t>info@otsgroup.ru</t>
  </si>
  <si>
    <t>http://otsgroup.ru</t>
  </si>
  <si>
    <t>Бобренев Евгений Владимирович (300 000 руб., 30%)
Лейзерович Александр Михайлович (300 000 руб., 30%)
Бобренев Алексей Владимирович (200 000 руб., 20%)
Айзетуллов Руслан Асхатович (100 000 руб., 10%)
ОТС-ГРУПП, ООО (100 000 руб., 10%)</t>
  </si>
  <si>
    <t>97 570 000</t>
  </si>
  <si>
    <t>info@tlc-vostochniy.ru, tsukanova@obltt.ru</t>
  </si>
  <si>
    <t>http://obltt.ru/, tlc-vostochniy.ru</t>
  </si>
  <si>
    <t>Кахидзе Александр Константинович (4 990 000 руб., 49.90%)
ТАНДЕМ, ООО (3 510 000 руб., 35.10%)
Пивоварова Ольга Витальевна (1 500 000 руб., 15%)</t>
  </si>
  <si>
    <t>5648360@mail.ru, _5648360@mail.ru, info@ottobock.com, unfo@ottobock.ru</t>
  </si>
  <si>
    <t>www.ottobock.ru</t>
  </si>
  <si>
    <t>Ottobock SE &amp; Co. KGaA (7 875 000 руб., 75%)
ОТТО БОКК МП Б.В. (2 625 000 руб., 25%)</t>
  </si>
  <si>
    <t>272 560 000</t>
  </si>
  <si>
    <t>Занадворов Александр Юрьевич (7 575 000 руб., 75%)
ОТЦР, ООО (2 525 000 руб., 25%)</t>
  </si>
  <si>
    <t>1 130 000</t>
  </si>
  <si>
    <t>oteko@oteko.ru</t>
  </si>
  <si>
    <t>mzemlyanskaya@tamanneftegas.ru</t>
  </si>
  <si>
    <t>КОМПАНИЯ С ОГРАНИЧЕННОЙ ОТВЕТСТВЕННОСТЬЮ "ИНФРАСИС ГРУП ЛТД" (6 680 422 635.54 руб., 89.19%)
ТОЖС, ООО (809 439 196.78 руб., 10.80%)</t>
  </si>
  <si>
    <t>19 431 570 000</t>
  </si>
  <si>
    <t>otekoterminal.ru</t>
  </si>
  <si>
    <t>ТНГ, АО (376 711 100 руб., 99.11%)
КОМПАНИЯ С ОГРАНИЧЕННОЙ ОТВЕТСТВЕННОСТЬЮ "ИНФРАСИС ГРУП ЛТД" (3 250 000 руб., 0.85%)
ОТЭКО, АО (99 900 руб., 0.026%)</t>
  </si>
  <si>
    <t>Деятельность по оказанию маневровых услуг судами заграничного и каботажного плавания</t>
  </si>
  <si>
    <t>81 500 000</t>
  </si>
  <si>
    <t>anastasiya.koltsova@uku.com.ru, evgeniya.makarevich2@evraz.com, info@uku.com.ru, marina.perekhodko@evraz.com</t>
  </si>
  <si>
    <t>РАСПАДСКАЯ, ПАО (100%)</t>
  </si>
  <si>
    <t>Добыча угля и антрацита</t>
  </si>
  <si>
    <t>14 552 650 000</t>
  </si>
  <si>
    <t>a.vasilev@ptk.ru, eis@ofptk.ru, i.petryakova@ofptk.ru, i.petryakova@ptk.ru, info@ofptk.ru, ivp@ofptk.ru, ivp@ptk.ru, j.olandar@ofptk.ru, n.krylova@ofptk.ru, n.simonova@ofptk.ru</t>
  </si>
  <si>
    <t>www.ptk.ru</t>
  </si>
  <si>
    <t>Медведева Валентина Викторовна (2 000 000 руб., 100%)</t>
  </si>
  <si>
    <t>premier.ru</t>
  </si>
  <si>
    <t>Торговля оптовая писчебумажными и канцелярскими товарами</t>
  </si>
  <si>
    <t>20 600 000</t>
  </si>
  <si>
    <t>ОФИСМАГ, ООО ХОЛДИНГОВАЯ КОМПАНИЯ (6 000 000 руб., 100%)</t>
  </si>
  <si>
    <t>48 620 000</t>
  </si>
  <si>
    <t>2502951@yamdex.ru, avasileva@officemag.ru, avivanova2@officemag.ru, brk@officemag.ru, catalog@officemag.ru, catalog@oficemag.ru, enovikova@officemag.ru, goszakupka@officemag.ru, hardikova_m_a@samsonpost.ru, info@marketant.ru</t>
  </si>
  <si>
    <t>www.officemag.ru, www.samsonopt.ru</t>
  </si>
  <si>
    <t>ОФИСМАГ, ООО ХОЛДИНГОВАЯ КОМПАНИЯ (873 603 руб., 71.23%)
БРГ ИНВЕСТ, ООО (226 500 руб., 18.47%)
Трифонов Игорь Александрович (126 397 руб., 10.30%)</t>
  </si>
  <si>
    <t>334 880 000</t>
  </si>
  <si>
    <t>goszakaz@officemag.ru, rodomanov@samsonpost.ru</t>
  </si>
  <si>
    <t>www.officemag.ru</t>
  </si>
  <si>
    <t>БРГ ИНВЕСТ, ООО (1 000 000 руб., 100%)</t>
  </si>
  <si>
    <t>185 810 000</t>
  </si>
  <si>
    <t>torgsvf@officemag.ru, vfsamson@avtlg.ru, volgograd@officemag.ru, volgograd@officmag.ru, volgograd@samsonopt.ru</t>
  </si>
  <si>
    <t>БРГ ИНВЕСТ, ООО (10 000 руб., 100%)</t>
  </si>
  <si>
    <t>206 780 000</t>
  </si>
  <si>
    <t>041@officemag.ru, mag020@officemag.ru, mag033@officemag.ru, mag077@officemag.ru, orel@officemag.ru, retailinfo@officemag.ru, yazykova@officemag.ru</t>
  </si>
  <si>
    <t>office-planet.ru</t>
  </si>
  <si>
    <t>ОФИСМАГ, ООО ХОЛДИНГОВАЯ КОМПАНИЯ (10 000 руб., 100%)</t>
  </si>
  <si>
    <t>www.offprice.eu</t>
  </si>
  <si>
    <t>Коваленко Петр Николаевич (8 000 руб., 80%)
Валиева Елена Рафаэлевна (1 000 руб., 10%)
Яковлева Алиса Андреевна (1 000 руб., 10%)</t>
  </si>
  <si>
    <t>137 490 000</t>
  </si>
  <si>
    <t>shansllc@mail.ru</t>
  </si>
  <si>
    <t>Шелестов Владимир Сергеевич (12 500 руб., 100%)</t>
  </si>
  <si>
    <t>oggk@oggk.ru</t>
  </si>
  <si>
    <t>oggk.ru</t>
  </si>
  <si>
    <t>2 410 990 000</t>
  </si>
  <si>
    <t>.info@mail.ru, 2379271@mail.ru, 34n_oxrana@mail.ru, 379271@mai.ru, 379271@mail.ru, 451534@mail.ru, 468152faks@mail.ru, 48422224917@mail.ru, 5030090mo@mail.ru, 5598187mo@mail.ru</t>
  </si>
  <si>
    <t>https://fgup-ohrana.ru/about/pskov/, tumen@fgup-ohrana.ru, www.fgup-ohrana.ru</t>
  </si>
  <si>
    <t>Деятельность охранных служб, в том числе частных</t>
  </si>
  <si>
    <t>info@ocrv.ru, oleg.kovalev@ocrv.ru, zaurbek.borsov@ocrv.ru</t>
  </si>
  <si>
    <t>РЖД-ТЕХНОЛОГИИ, ООО (7 400 руб., 74%)
РЖД, ОАО (2 600 руб., 26%)</t>
  </si>
  <si>
    <t>43 460 000</t>
  </si>
  <si>
    <t>info@ochakovo.ru, marketing@ochakovo.ru, sales@ochakovo.ru, vpolischuk@ochakovo.ru</t>
  </si>
  <si>
    <t>www.ochakovo.ru</t>
  </si>
  <si>
    <t>baza@uneco.ru, busurinaoa@uneco.ru, kirillovaei@uneco.ru, korotkov@uneco.ru, korotkovmb@uneco.ru, oek@mail.ru, pressa@uneco.ru, zakupki@uneco.ru</t>
  </si>
  <si>
    <t>roek@roek.ru</t>
  </si>
  <si>
    <t>140 250 000</t>
  </si>
  <si>
    <t>293329@mail.ru, 293400@mail.ru, 6789800@mail.ru, 6807705@gmail.ru, Yusgo.maousosh.26@sakhalin.gov.ru, abon@vp.ru, ageeva_oa@omesc.ru, baburov_ey@omesc.ru, badina_mv@omesc.ru, bakhtiyarova_mg@omesc.ru</t>
  </si>
  <si>
    <t>omesc.ru</t>
  </si>
  <si>
    <t>ПЭС, АО (10 000 руб., 100%)</t>
  </si>
  <si>
    <t>592 260 000</t>
  </si>
  <si>
    <t>burdukova@oemk.ru, info@oemk.ru, kobzareva@oemk.ru, mzagorodnyaya@oemk.ru, omka@mail.ru, redko@oemk.ru, serkina@oemk.ru, vsavin@oemk.ru</t>
  </si>
  <si>
    <t>http://www.metalloinvest.com</t>
  </si>
  <si>
    <t>clients@doeco.ru, clients@gdcentre.ru, etokarenko@osqgroup.ru, intelligent.goods@yandex.ru, legal@osqgroup.ru</t>
  </si>
  <si>
    <t>ДУЭКО, АО (150 000 руб., 100%)</t>
  </si>
  <si>
    <t>311 180 000</t>
  </si>
  <si>
    <t>doronkina@publictotem.ru</t>
  </si>
  <si>
    <t>publictotem.ru</t>
  </si>
  <si>
    <t>ПТ-ХОЛДИНГ, ООО (1 120 000 руб., 100%)</t>
  </si>
  <si>
    <t>kostetskaya@pavlik-gold.ru, magoffice@pavlik-gold.ru, office@pavlik-gold.ru, styazhkina@pavlik.ru</t>
  </si>
  <si>
    <t>pavlik-gold.ru</t>
  </si>
  <si>
    <t>:hodunov_sergei@mail.ru, aprotek@mail.ru, hodunov_sergei@mail.ru, mail@agroprodukt.vrn.ru</t>
  </si>
  <si>
    <t>aprotec.ru</t>
  </si>
  <si>
    <t>Производство нерафинированного подсолнечного масла и его фракций</t>
  </si>
  <si>
    <t>50 370 000</t>
  </si>
  <si>
    <t>sdn@russpole.com, ttv@russpole.com</t>
  </si>
  <si>
    <t>ГК ДОСТОЯНИЕ, ООО (32 749 600 руб., 100%)</t>
  </si>
  <si>
    <t>kom@ruspole.com, rga@russpole.com, sdn@russpole.com</t>
  </si>
  <si>
    <t>ГК ДОСТОЯНИЕ, ООО (3 080 646 руб., 100%)</t>
  </si>
  <si>
    <t>119 040 000</t>
  </si>
  <si>
    <t>pdok@altailes.com</t>
  </si>
  <si>
    <t>СОДРУЖЕСТВО, ООО (20 000 000 руб., 100%)</t>
  </si>
  <si>
    <t>pavlovomoloko@mail.ru</t>
  </si>
  <si>
    <t>egomoloko.ru</t>
  </si>
  <si>
    <t>Сергеенкова Юлия Константиновна (100%)</t>
  </si>
  <si>
    <t>pavlovsky.mk@gmail.com, pavmk@mail.ru</t>
  </si>
  <si>
    <t>58 840 000</t>
  </si>
  <si>
    <t>pavlovsksugar@yandex.ru</t>
  </si>
  <si>
    <t>pavsugar.ru</t>
  </si>
  <si>
    <t>ТД АГРОКОМПЛЕКС, ООО (9 990 руб., 99.90%)
АГРОКОМПЛЕКС ИМ. Н.И.ТКАЧЕВА, АО ФИРМА (10 руб., 0.10%)</t>
  </si>
  <si>
    <t>492 530 000</t>
  </si>
  <si>
    <t>gpad@rambler.ru, muppad@mail.ru, zakupki@muppad.ru</t>
  </si>
  <si>
    <t>mupgpad.ru</t>
  </si>
  <si>
    <t>Татарстан Респ, МУНИЦИПАЛЬНОЕ ОБРАЗОВАНИЕ ГОРОД НАБЕРЕЖНЫЕ ЧЕЛНЫ (n/a)</t>
  </si>
  <si>
    <t>info@pacer-service.ru, info@packer-service.ru</t>
  </si>
  <si>
    <t>www.pacer-service.ru</t>
  </si>
  <si>
    <t>КОМПАНИС С ОГРАНИЧЕННОЙ ОТВЕТСТВЕННОСТЬЮ ГРУКС ГЛОБАЛ ЛИМИТЕД (300 000 руб., 100%)</t>
  </si>
  <si>
    <t>356 270 000</t>
  </si>
  <si>
    <t>www.paketti.ru</t>
  </si>
  <si>
    <t>Кормановский Алексей Леонидович (310 127 554.085 руб., 50%)
Шеремет Вадим Вячеславович (310 127 554.085 руб., 50%)</t>
  </si>
  <si>
    <t>borisov@packprestus.net, info@packprestus.net</t>
  </si>
  <si>
    <t>КЛИНАВТОТРАНС, АО (93 440 000 руб., 98.94%)
Сафронов Олег Александрович (1 000 000 руб., 1.06%)</t>
  </si>
  <si>
    <t>224 470 000</t>
  </si>
  <si>
    <t>ФИНАНС-СТ, ООО (2 000 000 руб., 100%)</t>
  </si>
  <si>
    <t>555 880 000</t>
  </si>
  <si>
    <t>info@afina61.ru</t>
  </si>
  <si>
    <t>Кузнецов Сергей Юрьевич (20 000 руб., 100%)</t>
  </si>
  <si>
    <t>palma19@inbox.ru</t>
  </si>
  <si>
    <t>Исмайлова Наталья Николаевна (10 000 руб., 100%)</t>
  </si>
  <si>
    <t>info@abs-auto.ru, info@total-yug.ru</t>
  </si>
  <si>
    <t>www.abs-auto.ru</t>
  </si>
  <si>
    <t>Асланов Константин Данилович (5 510 200 руб., 51.51%)
Асланова Лиана Данейловна (5 187 200 руб., 48.49%)</t>
  </si>
  <si>
    <t>7 210 000</t>
  </si>
  <si>
    <t>info@pan-electric.ru, info@pan-elektrik.ru</t>
  </si>
  <si>
    <t>pan-electric.ru</t>
  </si>
  <si>
    <t>Вышкварко Сергей Алексеевич (58 000 руб., 58%)
Иванова Ольга Николаевна (21 000 руб., 21%)
Шестаков Евгений Олегович (21 000 руб., 21%)</t>
  </si>
  <si>
    <t>76 260 000</t>
  </si>
  <si>
    <t>panavto@panavto.ru</t>
  </si>
  <si>
    <t>www.mercedes-panavto.ru, www.panavto.ru</t>
  </si>
  <si>
    <t>ГРУППА ПАНАВТО, ООО (2 900 000 руб., 100%)</t>
  </si>
  <si>
    <t>1 323 510 000</t>
  </si>
  <si>
    <t>buhagroaktivi@gmail.com, buxkt@mail.ru</t>
  </si>
  <si>
    <t>Петрова Оксана Григорьевна (10 100 руб., 100%)</t>
  </si>
  <si>
    <t>andrey.kokorev@amcor-rentsch.com, anna.strelchonok@pressmangroup.ru</t>
  </si>
  <si>
    <t>www.amcor.com</t>
  </si>
  <si>
    <t>ГС ИНВЕСТМЕНТС, ООО (125 757 000 руб., 100%)</t>
  </si>
  <si>
    <t>903 430 000</t>
  </si>
  <si>
    <t>olga.anischenko@amcor-flexibles.com</t>
  </si>
  <si>
    <t>ГС ИНВЕСТМЕНТС, ООО (201 552 000 руб., 100%)</t>
  </si>
  <si>
    <t>1 500 220 000</t>
  </si>
  <si>
    <t>denispanaceya@gmail.com, henboris10@gmail.com, henboris10@gmail.ru, henbroris10@gmail.ru, pan@yandex.ru, panac2021@ya.ru, panac2021@yandex.ru, panacea@mail.ru, panaczakaz@gmai.com, panaczakaz@gmail.ru</t>
  </si>
  <si>
    <t>Хахвичамиашвили Борис Теймуразович (132 000 руб., 100%)</t>
  </si>
  <si>
    <t>25 160 000</t>
  </si>
  <si>
    <t>panda-oil.ru</t>
  </si>
  <si>
    <t>Липский Андрей Алексеевич (200 000 руб., 100%)</t>
  </si>
  <si>
    <t>83902312059@yandex.ru, 8390312059@yandex.ru, 88001000380@mail.ru, arhipov_nv@mrsks.ru, asachakova_nn@ab.mrsks.ru, asu@alten.elektro.ru, bortnikova_iv@ab.mrsks.ru, bortnikova_iv@cb.mrsks.ru, buneev_aa@ab.mrsks.ru, buneev_aa@ab.mrsks.ry</t>
  </si>
  <si>
    <t>ПАО «Российские сети» (57.84%)
КОМП С ОО "ЭРГЛИС ЛИМИТЕД" (20.10%)
Левинский Андрей Игоревич (0.000037%)</t>
  </si>
  <si>
    <t>info@pandora-rus.ru</t>
  </si>
  <si>
    <t>http://www.pandora.net/ru-ru</t>
  </si>
  <si>
    <t>delikt@yandex.ru, it@massandra.su, office@massandra.ru, office@massandra.su, tender@massandra.su</t>
  </si>
  <si>
    <t>massandra.su</t>
  </si>
  <si>
    <t>382 580 000</t>
  </si>
  <si>
    <t>info@papirus.ru</t>
  </si>
  <si>
    <t>papirus.ru</t>
  </si>
  <si>
    <t>МИФИСТ, ООО (9 990 руб., 99.90%)
Хананов Рустэм Робертович (10 руб., 0.10%)</t>
  </si>
  <si>
    <t>230 960 000</t>
  </si>
  <si>
    <t>paperug@gmail.com</t>
  </si>
  <si>
    <t>www.plushe.ru</t>
  </si>
  <si>
    <t>Минин Кирилл Геннадьевич (10 000 руб., 100%)</t>
  </si>
  <si>
    <t>89 120 000</t>
  </si>
  <si>
    <t>oksana.merkulova@unitile.ru</t>
  </si>
  <si>
    <t>www.unitile.ru</t>
  </si>
  <si>
    <t>ЮНИТАЙЛ ХОЛДИНГ, ООО (100 000 руб., 100%)</t>
  </si>
  <si>
    <t>239 370 000</t>
  </si>
  <si>
    <t>office@parametr.pro</t>
  </si>
  <si>
    <t>Авсюкевич Михаил Алексеевич (10 000 руб., 100%)</t>
  </si>
  <si>
    <t>60 350 000</t>
  </si>
  <si>
    <t>Броварец Кирилл Александрович (10 000 руб., 100%)</t>
  </si>
  <si>
    <t>54 010 000</t>
  </si>
  <si>
    <t>polbitrix.ru</t>
  </si>
  <si>
    <t>Антипов Андрей Александрович (10 000 руб., 100%)</t>
  </si>
  <si>
    <t>77 540 000</t>
  </si>
  <si>
    <t>89049711401@mail.ru, 89049711404@mail.ru, _____________@bk.ru, aflkslfdjsh@mail.ru, fin@paritetboat.com, info@paritetexpert.ru, lab_paritet@mail.ru, lab_zakaz1@maail.ru, lab_zakaz1@mail.ru, lab_zakaz@mail.ru</t>
  </si>
  <si>
    <t>www.paritet-moscow.ru</t>
  </si>
  <si>
    <t>Лукьянов Александр Борисович (5 000 000 руб., 50%)
Лукьянов Алексей Борисович (5 000 000 руб., 50%)</t>
  </si>
  <si>
    <t>65 800 000</t>
  </si>
  <si>
    <t>0412ggg54@gmail.com, e.snychenko@park-dev.ru, info@park-dev.ru</t>
  </si>
  <si>
    <t>Немцов Александр Вячеславович (100 000 руб., 100%)</t>
  </si>
  <si>
    <t>info@okzrusholding.ru, info@parkneft.ru</t>
  </si>
  <si>
    <t>www.okzrusholding.ru, www.parkneft.ru</t>
  </si>
  <si>
    <t>Григорьев Александр Сергеевич (500 000 руб., 50%)
Огульчанский Дмитрий Петрович (500 000 руб., 50%)</t>
  </si>
  <si>
    <t>87 570 000</t>
  </si>
  <si>
    <t>sales@parterra.ru</t>
  </si>
  <si>
    <t>РОССКО-К, ООО (10 101 руб., 100%)</t>
  </si>
  <si>
    <t>139 840 000</t>
  </si>
  <si>
    <t>partner@bookcentre.ru</t>
  </si>
  <si>
    <t>ИЗДАТЕЛЬСТВО ЭКСМО, ООО (10 200 руб., 51%)
Новиков Олег Евгеньевич (9 182 руб., 45.91%)
Котов Денис Алексеевич (618 руб., 3.09%)</t>
  </si>
  <si>
    <t>46 090 000</t>
  </si>
  <si>
    <t>Гермаш Андрей Иванович (10 000 руб., 35%)
Шульга Надежда Юрьевна (10 000 руб., 35%)
Шамоян Бериван Рашидовна (8 571.43 руб., 30%)</t>
  </si>
  <si>
    <t>Мозговой Максим Вениаминович (16 500 000 руб., 100%)</t>
  </si>
  <si>
    <t>127 320 000</t>
  </si>
  <si>
    <t>info@betonpartner.ru, partner@pct.su</t>
  </si>
  <si>
    <t>betonpartner.ru, www.ohio8.vchecks.me</t>
  </si>
  <si>
    <t>Зуева Дайна Юозовна (3 350 руб., 33.50%)
Лапшин Никита Константинович (3 350 руб., 33.50%)
Беликова Наталья Афанасьевна (3 300 руб., 33%)</t>
  </si>
  <si>
    <t>5 990 000</t>
  </si>
  <si>
    <t>p-krsk.ru</t>
  </si>
  <si>
    <t>МЕГАПРОФИТ УК, ООО (100 000 руб., 100%)</t>
  </si>
  <si>
    <t>225 060 000</t>
  </si>
  <si>
    <t>reg@pn.msk.ru, sherstyankinaau@partner.omsk.info</t>
  </si>
  <si>
    <t>Мангутов Владислав Рустамович (6 239 руб., 62.39%)
Найшуллер Виктор Григорьевич (3 297 руб., 32.97%)
Попович Татьяна Викторовна (464 руб., 4.64%)</t>
  </si>
  <si>
    <t>45 760 000</t>
  </si>
  <si>
    <t>ГАЛЛОН, АО (9 600 000 руб., 96%)
Вальтер Александр Борисович (400 000 руб., 4%)</t>
  </si>
  <si>
    <t>75 290 000</t>
  </si>
  <si>
    <t>3 190 350 000</t>
  </si>
  <si>
    <t>sale@pasker.ru</t>
  </si>
  <si>
    <t>www.pasker.ru</t>
  </si>
  <si>
    <t>Володько Иван Иванович (8 599 360 руб., 15.35%)
Пикуров Вячеслав Николаевич (8 599 360 руб., 15.35%)
Соколовская Елена Васильевна (8 599 360 руб., 15.35%)
Шилков Сергей Александрович (8 599 360 руб., 15.35%)
Болдыш Елена Леонидовна (5 262 880 руб., 9.39%)
Мордвинова Наталья Викторовна (5 159 840 руб., 9.21%)
Жуков Денис Анатольевич (4 299 680 руб., 7.67%)
Жукова Оксана Анатольевна (4 299 680 руб., 7.67%)
Гончарук Валерий Павлович (2 580 480 руб., 4.60%)</t>
  </si>
  <si>
    <t>119 160 000</t>
  </si>
  <si>
    <t>info@avtobus.spb.ru, parfenov_ab@avtobus.spb.ru, shindov_iy@avtobus.spb.ru, zakaz@avtobus.spb.ru</t>
  </si>
  <si>
    <t>anna.shadrina@hartmann.info, artemiy.tungusov@hartmann.info, elena.sedykh@hartmann.info, info@hartmann-shop.ru, info@hartmann.info, irina.babenkova@hartmann.info, nataliya.katkova@hartmann.info, nsk.order@hartmann.info, oksana.suchkova@hartmann.info, ru-mos-vk-tender@hartmann.info</t>
  </si>
  <si>
    <t>https://www.hartmann.info/ru-ru, www.hartmann.info, www.paulhartmann.ru</t>
  </si>
  <si>
    <t>ФИРМА "ПАУЛЬ ХАРТМАНН АКЦИЕНГЕЗЕЛЬШАФТ" (1 005 000 000 руб., 100%)</t>
  </si>
  <si>
    <t>7823172-dimka-maslov@mail.ru, adonis@moto-sochi.com, denis2064@rambler.ru, ea_drobnitsa@pwrs.ru, ev_filatova@pwrs.ru, john-silver@74.ru, nao@pwrs.ru, popik335@yandex.ru</t>
  </si>
  <si>
    <t>www.4tochki.ru, www.crystalcar.ru</t>
  </si>
  <si>
    <t>Дробница Евгений Александрович (50 000 000 руб., 100%)</t>
  </si>
  <si>
    <t>1 049 370 000</t>
  </si>
  <si>
    <t>Барменков Дмитрий Владимирович (360 000 руб., 90%)
ПАУЭР ТЕЛЕКОМ, ООО (40 000 руб., 10%)</t>
  </si>
  <si>
    <t>5 230 000</t>
  </si>
  <si>
    <t>i.gnusarev@rusmolco.com</t>
  </si>
  <si>
    <t>РУССКАЯ МОЛОЧНАЯ КОМПАНИЯ, ООО (10 000 руб., 100%)</t>
  </si>
  <si>
    <t>Производство сырого коровьего молока</t>
  </si>
  <si>
    <t>1 219 820 000</t>
  </si>
  <si>
    <t>alena.lopatova@megafon.ru, cdo@tower.one, iminenko@tower.one, inegorov@tower.one, info@megafon.ru, info@newtowers.ru, ivan.p.minenko@tower.one, office@tower.one, pbk@mail.ru, sales@tower.one</t>
  </si>
  <si>
    <t>https://www.tower.one/, newtowers.ru</t>
  </si>
  <si>
    <t>kadieva@sc-kontur.ru, krym@krym-pbk.ru, l.kulishova@krym-pbk.ru</t>
  </si>
  <si>
    <t>280 840 000</t>
  </si>
  <si>
    <t>akciz@mail.primorye.ru, general@pbtf.ru, priemnay@pbtf.ru, urist@pbtf.ru</t>
  </si>
  <si>
    <t>pbtf.ru</t>
  </si>
  <si>
    <t>ОСТРОВ САХАЛИН, ЗАО (99.00%)</t>
  </si>
  <si>
    <t>2 588 380 000</t>
  </si>
  <si>
    <t>fgup@pvsfms.ru, fgup@pvsmvd.ru, it@pvsmvd.ru</t>
  </si>
  <si>
    <t>МВД РОССИИ (500 000 руб., 10%)
РОСИМУЩЕСТВО (n/a)</t>
  </si>
  <si>
    <t>Терещенко Вадим Игоревич (300 000 руб., 100%)</t>
  </si>
  <si>
    <t>Терещенко Кирилл Вадимович (1 000 000 руб., 100%)</t>
  </si>
  <si>
    <t>34 440 000</t>
  </si>
  <si>
    <t>zaopvv@mail.ru</t>
  </si>
  <si>
    <t>МЕЖДУРЕЧЬЕ, АО (10 000 руб.)</t>
  </si>
  <si>
    <t>142 970 000</t>
  </si>
  <si>
    <t>bikkuspekh@bk.ru</t>
  </si>
  <si>
    <t>Бачева Галина Юрьевна (5 500 руб., 55%)
Волосникова Наталья Михайловна (3 000 руб., 30%)
Молчанов Евгений Борисович (1 500 руб., 15%)</t>
  </si>
  <si>
    <t>nadezhda.sutyagina@emerson.com</t>
  </si>
  <si>
    <t>www.metran.ru</t>
  </si>
  <si>
    <t>МЕТРАН ХОЛДИНГ, ООО (1 074 000 руб., 100%)</t>
  </si>
  <si>
    <t>909 330 000</t>
  </si>
  <si>
    <t>info_ksp@eurochem.ru, lyudmila.fedotova@eurochem.ru</t>
  </si>
  <si>
    <t>МХК ЕВРОХИМ, АО (16 642 110 000 руб., 100%)</t>
  </si>
  <si>
    <t>10 480 940 000</t>
  </si>
  <si>
    <t>office@pgk.ru, tender.reg@pgkweb.ru, tender@pgk.ru</t>
  </si>
  <si>
    <t>pgkweb.ru</t>
  </si>
  <si>
    <t>logistics@pegaspharm.ru, pegas.pham@yandex.ru, pegas.pharm@mail.ru, pegas@pegaspharm.ru, pegaspharm@mail.ru, tender@pegasfarma.ru, tender@pegaspharm.com, tender@pegaspharm.ru, tender@pegaspharma.ru, tender@pegasphfrm.ru</t>
  </si>
  <si>
    <t>pegaspharm.ru</t>
  </si>
  <si>
    <t>Такиулина Оксана Александровна (10 000 руб., 100%)</t>
  </si>
  <si>
    <t>12 540 000</t>
  </si>
  <si>
    <t>Бирюков Александр Владимирович (5 000 руб., 50%)
Пономарёв Виктор Алексеевич (5 000 руб., 50%)</t>
  </si>
  <si>
    <t>2 677 900 000</t>
  </si>
  <si>
    <t>mikhail.kovalenko@citroen.com</t>
  </si>
  <si>
    <t>www.peugeot.ru</t>
  </si>
  <si>
    <t>ФИРМА "АВТОМОБИЛЬ ПЕЖО" (2 074 850 500 руб., 100%)</t>
  </si>
  <si>
    <t>2 720 500 000</t>
  </si>
  <si>
    <t>www.pelisker.ru</t>
  </si>
  <si>
    <t>БЕРЕГ БРИДЖ, АО (10 000 руб., 100%)</t>
  </si>
  <si>
    <t>134 450 000</t>
  </si>
  <si>
    <t>d.albekov@acdamate.com</t>
  </si>
  <si>
    <t>АПК ДАМАТЕ, ООО (518 901 552.83 руб., 99%)
РСХБ-ФИНАНС, ООО (5 241 447.17 руб., 1%)</t>
  </si>
  <si>
    <t>Выращивание сельскохозяйственной птицы на мясо</t>
  </si>
  <si>
    <t>avmakarov@zaopkf.ru, disko77@mail.ru, konditer@penza.com.ru</t>
  </si>
  <si>
    <t>www.pkf.uniconf.ru</t>
  </si>
  <si>
    <t>104 030 000</t>
  </si>
  <si>
    <t>grain@sura.com.ru, m.budarina@cherkizovo.com</t>
  </si>
  <si>
    <t>bryanskenergo@mrsk-1.ru, fsddfb@dfbd.ru, gfb@dfd.ru, gfbdb@fdvd.ru, golubeva_ma@tverseti.ru, grz@smolen.elektra.ru, hffhdcfhsd@mail.ru, hgjkgbhbv@mail.ru, infj@mail.ru, kostromaenergo@mrsk.ru</t>
  </si>
  <si>
    <t>Публичное акционерное общество «Российские сети» (50.23%)</t>
  </si>
  <si>
    <t>igor.davydov@pepsico.com, oscow.reception@pepsico.com, support@mirinda.ru</t>
  </si>
  <si>
    <t>www.pepsi.ru, www.pepsico.ru</t>
  </si>
  <si>
    <t>"СВИ РОССИЯ ХОЛДИНГС ГМБХ" (12 349 081 624.76 руб., 98.88%)
Frito-Lay Trading Company (Europe) GmbH (139 338 198.23 руб., 1.11%)</t>
  </si>
  <si>
    <t>6 941 610 000</t>
  </si>
  <si>
    <t>law@sirobogatov.ru</t>
  </si>
  <si>
    <t>95 660 000</t>
  </si>
  <si>
    <t>inbox@doprint.ru, nn@nnp.ru, office2@primepress.ru</t>
  </si>
  <si>
    <t>1reshenie.ru</t>
  </si>
  <si>
    <t>info@vmpp.ru, tatyana@vmpp.ru</t>
  </si>
  <si>
    <t>www.vmpp.ru</t>
  </si>
  <si>
    <t>ПЛ, ООО (10 000 000 руб., 100%)</t>
  </si>
  <si>
    <t>758 920 000</t>
  </si>
  <si>
    <t>info@1osnova.pro, rosevrostroi@yandex.ru</t>
  </si>
  <si>
    <t>www.1osnova.pro</t>
  </si>
  <si>
    <t>284 030 000</t>
  </si>
  <si>
    <t>dsk1@dsk1.ru, inbox@lsrgroup.ru</t>
  </si>
  <si>
    <t>www.lsrconstruction-m.ru</t>
  </si>
  <si>
    <t>ЛИДЕР-ПРОЕКТ, ООО (2 083 560 000 руб., 100%)</t>
  </si>
  <si>
    <t>nn@1-zavod.ru</t>
  </si>
  <si>
    <t>1-zavod.ru</t>
  </si>
  <si>
    <t>Кобулашвили Теа Дмитриевна (281 000 000 руб., 50%)
ПЕРВАЯ ИНВЕСТИЦИОННАЯ КОМПАНИЯ, ООО (281 000 000 руб., 50%)</t>
  </si>
  <si>
    <t>98 010 000</t>
  </si>
  <si>
    <t>bakery@chel.surnet.ru, dogovor@1makfa.ru, info@1makfa.ru, konstantinov@1makfa.ru, senchishev@1makfa.ru, shindyapina@1makfa.ru</t>
  </si>
  <si>
    <t>686 520 000</t>
  </si>
  <si>
    <t>КОРПОРАТИВНЫЙ ЦЕНТР ИКС 5, ООО (100 000 руб.)</t>
  </si>
  <si>
    <t>ТОРГОВЫЙ ДОМ ПЕРЕКРЕСТОК, АО (6 706 700 руб., 66.99%)
АГРОТОРГ, ООО (3 303 300 руб., 32.99%)
БЕТА ЭСТЕЙТ, ООО (100 руб., 0.0010%)</t>
  </si>
  <si>
    <t>juristpsz@apk-prodimex.ru, psk.secretary@apk-prodimex.ru, serv@psz.vrn.ru</t>
  </si>
  <si>
    <t>ОСК, АО (95 000 000 руб., 100%)</t>
  </si>
  <si>
    <t>408 600 000</t>
  </si>
  <si>
    <t>moscow@peri.ru</t>
  </si>
  <si>
    <t>www.peri.ru</t>
  </si>
  <si>
    <t>ПЕРИ ГМБХ (111 000 000 руб., 100%)</t>
  </si>
  <si>
    <t>belousova.y@permmetall.ru, malcevon@mc.ru, sekretar@permmetall.ru</t>
  </si>
  <si>
    <t>permmetall.ru</t>
  </si>
  <si>
    <t>pno@plz.pnsh.ru, pno@pno.pnsh.ru</t>
  </si>
  <si>
    <t>pno-ns.ru, www.pnsh.ru</t>
  </si>
  <si>
    <t>НСХ, ООО (10 490 000 руб., 100%)</t>
  </si>
  <si>
    <t>azanova@muka.permill.ru, bookkeep@muka.permill.ru, pmz@muka.permill.ru, pmz@permill.ru, suchoroslova@muka.permill.ru, vasileva@permill.ru</t>
  </si>
  <si>
    <t>www.permill.ru</t>
  </si>
  <si>
    <t>13 190 000</t>
  </si>
  <si>
    <t>1.porseva@energos.perm.ru, 1cmail_chus@energos.perm.ru, 1cmail_ocher@energos.perm.ru, 2435359@mail.ru, 2628904@energos.perm.ru, 590@energos.perm.ru, 630@energo.perm.ru, 630@energos.perm.ru, 630@energosbyt.ru, a.martyanova@energos.perm.ru</t>
  </si>
  <si>
    <t>http://www.permenergosbyt.ru/investors, permenergosbyt.ru</t>
  </si>
  <si>
    <t>СБЫТОВОЙ ХОЛДИНГ, ООО (37.73%)
Киташев Андрей Владимирович (35.18%)
Леньков Роман Николаевич (6.34%)
Елов Андрей Альфредович (2.64%)
Шелеманов Александр Сергеевич (0.39%)</t>
  </si>
  <si>
    <t>УК ЛАМА, ООО (1 000 000 руб., 100%)</t>
  </si>
  <si>
    <t>34 950 000</t>
  </si>
  <si>
    <t>prs-trade.ru</t>
  </si>
  <si>
    <t>ЭСМИНГТОН КОРПОРЕЙШН (ASMINGTON CORPORATION) (10 000 000 руб., 99.90%)
Анохин Владимир Александрович (10 010 руб., 0.10%)</t>
  </si>
  <si>
    <t>ФОРС ГРУПП, АО (418 500 руб., 93%)
Миронов Сергей Витальевич (31 500 руб., 7%)</t>
  </si>
  <si>
    <t>218 960 000</t>
  </si>
  <si>
    <t>info@perspectiva-2a.ru, kfhnera@bk.ru</t>
  </si>
  <si>
    <t>perspectiva-2a.ru</t>
  </si>
  <si>
    <t>Брагин Роман Валентинович (9 900 руб., 99%)
Быстров Павел Александрович (100 руб., 1%)</t>
  </si>
  <si>
    <t>379 640 000</t>
  </si>
  <si>
    <t>liliya.fedorova@ucmsgroup.com</t>
  </si>
  <si>
    <t>Частная Компания с ограниченной ответственностью Ван Мелле Интернешнл Траст Б В (3 402 795 921 руб., 100%)</t>
  </si>
  <si>
    <t>574 830 000</t>
  </si>
  <si>
    <t>zavodpectr@rambler.ru</t>
  </si>
  <si>
    <t>Никулин Игорь Владимирович (801 295.5 руб., 92.85%)
Астафуров Александр Владимирович (61 704.5 руб., 7.15%)</t>
  </si>
  <si>
    <t>142 860 000</t>
  </si>
  <si>
    <t>d.chepurskii@mail.ru, tdpestrechinka@mail.ru</t>
  </si>
  <si>
    <t>ИНВЕСТИЦИИ И КОНСАЛТИНГ, ООО (9 990 руб., 99.90%)
ПТИЦЕВОДЧЕСКИЙ КОМПЛЕКС АК БАРС, ООО (10 руб., 0.10%)</t>
  </si>
  <si>
    <t>info@bethowen.ru, iwaf@icewood.net, malova.ep@petretail.ru</t>
  </si>
  <si>
    <t>bethoven.ru, www.bethowen.ru</t>
  </si>
  <si>
    <t>Васадзе Леван Шиоевич (80 569 000 руб., 35.65%)
PET RETAIL CIS LIMITED (68 003 400 руб., 30.09%)
Сильвестрова Екатерина Львовна (48 386 600 руб., 21.41%)
КОМПАНИЯ АКАНА, ООО (29 041 000 руб., 12.85%)</t>
  </si>
  <si>
    <t>galiakberova.i@pg.com, soldatova.e@pg.com, vera.g.2@pg.com</t>
  </si>
  <si>
    <t>www.gillette.com</t>
  </si>
  <si>
    <t>ОБЩЕСТВО С ОГРАНИЧЕННОЙ ОТВЕТСТВЕННОСТЬЮ "ПРОКТЕР ЭНД ГЭМБЛ ИНВЕСТМЕНТ ГМБХ" (584 835 706 руб., 100%)</t>
  </si>
  <si>
    <t>Производство ножевых изделий и столовых приборов</t>
  </si>
  <si>
    <t>1 402 700 000</t>
  </si>
  <si>
    <t>peterburggaz@pgaz.spb.ru, peterburggaz@yandex.ru, press@pgaz.spb.ru</t>
  </si>
  <si>
    <t>peterburggaz.ru</t>
  </si>
  <si>
    <t>КИО (5 100 руб., 51%)
ГАЗПРОМ ГАЗОРАСПРЕДЕЛЕНИЕ, АО (4 900 руб., 49%)</t>
  </si>
  <si>
    <t>944 640 000</t>
  </si>
  <si>
    <t>9ft1ce@11esc.ru, a.sert@pesc.ru, a_gtch@pesc.ru, a_king@pesc.ru, a_lopo@pesc.ru, a_luvs@pesc.ru, a_nlad@pesc.ru, a_podp@pesc.ru, a_proz@pesc.ru, a_push@pesc.ru</t>
  </si>
  <si>
    <t>www.pesc.ru</t>
  </si>
  <si>
    <t>2 039 350 000</t>
  </si>
  <si>
    <t>hello@papteki.ru, info@papteki.ru, info@reg78.roszdravnadzor.gov.ru, k.golubkina@papteki.ru, k.petrova@papteki.ru, kerina.svetlana@spbapteki.spb.ru, m.nikiforova@papteki.ru, m.usankova@papteki.ru, n.suslova@papteki.ru, o.butorina@papteki.ru</t>
  </si>
  <si>
    <t>papteki.ru</t>
  </si>
  <si>
    <t>КИО (100%)</t>
  </si>
  <si>
    <t>41 960 000</t>
  </si>
  <si>
    <t>butorinavm@mill.ru, contact@mill.ru, danilova@mill.ru, distribution@mill.ru, dudinaom@mill.ru, gabzagirovatr@mill.ru, kam@mill.ru, office@mill.ru, shustorovich@mill.ru, skorogodskih@mill.ru</t>
  </si>
  <si>
    <t>310 410 000</t>
  </si>
  <si>
    <t>arsenteva.y@metro.spb.ru, asanova.e@merto.spb.ru, asanova.e@metro.spb.ru, asanova.e@ssd.metro.spb.ru, asanova@ssd.metro.spb.ru, asanovae@metro.spb.ru, asanovae@ssd.metro.spb.ru, info@metro.spb.ru, metro@metro.spb.ru, metropolitenspb@mail.ru</t>
  </si>
  <si>
    <t>Санкт-Петербург г (156 052 018 579.72 руб., 100%)</t>
  </si>
  <si>
    <t>3345060@ptenergo.ru, alferovaav@pteenergo.ru, assa@yandex.ru, dekkoevaa@ptenergo.ru, dobrova25@mail.ru, dobychinali@ptenergo.ru, dorofeeva@ptenergo.ru, dorofeevaov@petenergo.ru, dorofeevaov@ptenergo.ru, elnova.jv@spb.gpte.ru</t>
  </si>
  <si>
    <t>ГАЗПРОМ ТЕПЛОЭНЕРГО, АО (775 140 000 руб., 100%)</t>
  </si>
  <si>
    <t>507 640 000</t>
  </si>
  <si>
    <t>egorova@eurocem.ru, mail@cement.lsrgroup.ru</t>
  </si>
  <si>
    <t>ЦЕМРОС, АО (5 501 000 000 руб., 100%)</t>
  </si>
  <si>
    <t>info@construct.peton.ru</t>
  </si>
  <si>
    <t>Гасанов Эдуард Сарифович (51 000 руб., 51%)
Поляков Олег Владимирович (40 000 руб., 40%)
Ахундов Эмин Ровшан Оглы (9 000 руб., 9%)</t>
  </si>
  <si>
    <t>info@jti.com, natalia.shatrova@jti.com, reception.petro@jti.com</t>
  </si>
  <si>
    <t>www.jti.com</t>
  </si>
  <si>
    <t>КОМПАНИЯ "ДЖ.Т.ИНТЕРНЭШНЛ ГЕРМАНИЯ ГМБХ" (328 439 124.29 руб., 100%)</t>
  </si>
  <si>
    <t>5 450 470 000</t>
  </si>
  <si>
    <t>hhlog@haihuamos.com, morozov.sergey@haihuamos.com</t>
  </si>
  <si>
    <t>ООО "Пекин Хэхуа Ориентал Энерджи Технолоджи Групп Ко., Лтд" (31 330 722.43 руб., 100%)</t>
  </si>
  <si>
    <t>info@petrobumaga.ru</t>
  </si>
  <si>
    <t>Малинина Татьяна Моисеевна (90 000 руб., 45%)
Погорельская Наталия Ивановна (90 000 руб., 45%)
Милославская Татьяна Ивановна (20 000 руб., 10%)</t>
  </si>
  <si>
    <t>nataliya.zotkina@orange.com</t>
  </si>
  <si>
    <t>www.orange-business.com</t>
  </si>
  <si>
    <t>КОМП "ИКВЭНТ ФАЙНЕНС Б.В." (14 831 874 руб., 100%)</t>
  </si>
  <si>
    <t>azarov.andrey@petrovskiy.ru, galushina.anna@petrovskiy.ru, gruznov.andrey@petrovskiy.ru, kitchenko.tatyana@petrovskiy.ru, olga_kagirova@mail.ru, petrosskiy.spb@mail.ru, strekalovskiy.maksim@petrovskiy.ru</t>
  </si>
  <si>
    <t>road24.ru, tyreplus.ru, www.tyreplus.spb.ru</t>
  </si>
  <si>
    <t>Солдунов Антон Александрович (45 000 000 руб., 100%)</t>
  </si>
  <si>
    <t>petrryzhkov@gmail.com</t>
  </si>
  <si>
    <t>Фоменко Олег Олегович (20 000 руб., 100%)</t>
  </si>
  <si>
    <t>info@petroin.ru</t>
  </si>
  <si>
    <t>www.petroin.ru</t>
  </si>
  <si>
    <t>Гаджиев Салих Гиланиевич (14 000 000 руб., 70%)
Разумная Екатерина Александровна (6 000 000 руб., 30%)</t>
  </si>
  <si>
    <t>120 980 000</t>
  </si>
  <si>
    <t>marat-sup@shoil.tatais.ru</t>
  </si>
  <si>
    <t>Тахаутдинов Рустем Шафагатович (10 000 руб., 100%)</t>
  </si>
  <si>
    <t>10 720 000</t>
  </si>
  <si>
    <t>a.ivanov@petrolesport.ru, afanasyeva@petrolesport.ru, belikov@petrolesport.ru, jubt@plp.spb.su, port@petrolesport.ru, savinan@petrolesport.ru</t>
  </si>
  <si>
    <t>www.petrolesport.ru</t>
  </si>
  <si>
    <t>321 720 000</t>
  </si>
  <si>
    <t>info@ptomsk.ru, marketing@ptomsk.ru, tender@ptomsk.ru</t>
  </si>
  <si>
    <t>ptomsk.ru</t>
  </si>
  <si>
    <t>Вендров Денис Валентинович (150 000 руб., 50%)
Дьяченко Максим Валерьевич (150 000 руб., 50%)</t>
  </si>
  <si>
    <t>107 060 000</t>
  </si>
  <si>
    <t>Казаников Илья Александрович (150 000 руб., 100%)</t>
  </si>
  <si>
    <t>1 720 000</t>
  </si>
  <si>
    <t>Николаев Вадим Сергеевич (300 000 руб., 100%)</t>
  </si>
  <si>
    <t>info@petro-plast.com, syromyatnaya@petro-plast.com</t>
  </si>
  <si>
    <t>petro-plast.com</t>
  </si>
  <si>
    <t>Бережной Алексей Сергеевич (2 500 000 руб., 100%)</t>
  </si>
  <si>
    <t>34 170 000</t>
  </si>
  <si>
    <t>tjia06@inbox.ru</t>
  </si>
  <si>
    <t>vss-prom.ru</t>
  </si>
  <si>
    <t>Дворников Антон Петрович (61 924 520 руб., 100%)</t>
  </si>
  <si>
    <t>56 990 000</t>
  </si>
  <si>
    <t>petrosintez@bk.ru</t>
  </si>
  <si>
    <t>petrosintez.ru</t>
  </si>
  <si>
    <t>Бова Георгий Вадимович (100 000 руб., 100%)</t>
  </si>
  <si>
    <t>inna@petrostream.ru</t>
  </si>
  <si>
    <t>petrostream.ru</t>
  </si>
  <si>
    <t>Яковлев Олег Сергеевич (300 000 руб., 100%)</t>
  </si>
  <si>
    <t>1 730 000</t>
  </si>
  <si>
    <t>tdpetrotex@mail.ru</t>
  </si>
  <si>
    <t>Федоровский Евгений Владимирович (1 000 000 руб., 100%)</t>
  </si>
  <si>
    <t>9 680 000</t>
  </si>
  <si>
    <t>ooo.petrotreyd@bk.ru</t>
  </si>
  <si>
    <t>Расуева Зарина Александровна (265 000 руб., 100%)</t>
  </si>
  <si>
    <t>97 030 000</t>
  </si>
  <si>
    <t>office@tkpetrotrade.ru</t>
  </si>
  <si>
    <t>Громилов Андрей Викторович (1 000 000 руб., 100%)</t>
  </si>
  <si>
    <t>532 060 000</t>
  </si>
  <si>
    <t>info@petrotrade-m.ru</t>
  </si>
  <si>
    <t>ИСТОК, ООО (10 000 руб., 100%)</t>
  </si>
  <si>
    <t>Добыча и обогащение угля и антрацита</t>
  </si>
  <si>
    <t>29 770 000</t>
  </si>
  <si>
    <t>info@petrokhlebkuban.ru, mail@petrokhlebkuban.ru, tchuprov@petrokhlebkuban.ru</t>
  </si>
  <si>
    <t>petrokhlebkuban.ru</t>
  </si>
  <si>
    <t>Фисик Максим Васильевич (500 000 руб., 100%)</t>
  </si>
  <si>
    <t>97 140 000</t>
  </si>
  <si>
    <t>info@petrus.ru, moscow@petrus.ru, retal@retal.ru</t>
  </si>
  <si>
    <t>www.retal.ru, www.retalgroup.com</t>
  </si>
  <si>
    <t>ПЕТ.РУС ПЛАСТИК ХОЛДИНГС ЛТД (2 176 917 000 руб., 100%)</t>
  </si>
  <si>
    <t>2 281 970 000</t>
  </si>
  <si>
    <t>amelina_e@pzbf.ru, fedorov.m@pzbf.ru, pzbm@yndex.ru, sekretar@pzbf.ru</t>
  </si>
  <si>
    <t>Миронова Валентина Геннадьевна (12 375 руб., 99%)
Дулькин Артем Александрович (125 руб., 1%)</t>
  </si>
  <si>
    <t>337 910 000</t>
  </si>
  <si>
    <t>БК, АО (500 000 руб., 50%)
Кулагин Николай Александрович (500 000 руб., 50%)</t>
  </si>
  <si>
    <t>103 740 000</t>
  </si>
  <si>
    <t>oge2@pzsp.ru, oge@pzsp.ru, silikat@permonline.ru</t>
  </si>
  <si>
    <t>po@zvetmet.ru, pzcm@zvetmet.ru, pzcm@zvetmet.ru//www.zvetmet.ru, sbolshakov@zvetmet.ru, urist@zvetmet.ru, zakupki@zvetmet.ru</t>
  </si>
  <si>
    <t>Российская Федерация (611 412 000 руб., 100%)</t>
  </si>
  <si>
    <t>210 760 000</t>
  </si>
  <si>
    <t>export@baltika.ru, post@baltika.ru, reva_aa@baltika.com, ru-post@baltika.com, ru_post@baltika.com, shtanko_vp@baltika.com</t>
  </si>
  <si>
    <t>www.baltika.ru</t>
  </si>
  <si>
    <t>Carlsberg Sverige AB (171 587 004 руб., 98.56%)
ХОППИ ЮНИОН, ООО (2 341 307 руб., 1.35%)
Carlsberg Deutschland GmbH (158 782 руб., 0.090%)</t>
  </si>
  <si>
    <t>1 432 760 000</t>
  </si>
  <si>
    <t>ТРАСТ КАПИТАЛ, ООО (7 913 670 руб., 78.90%)
Гуров Кирилл Сергеевич (1 003 000 руб., 10%)
Трякин Владимир Юрьевич (1 003 000 руб., 10%)
Солонец Александр Георгиевич (110 330 руб., 1.10%)</t>
  </si>
  <si>
    <t>47 460 000</t>
  </si>
  <si>
    <t>cs@pik.ru, info@pik.ru, ir@pik.ru, pikgroup@pik.ru</t>
  </si>
  <si>
    <t>www.pik.ru</t>
  </si>
  <si>
    <t>БАНК ВТБ (ПАО) (18.74%)</t>
  </si>
  <si>
    <t>pto@pik.com</t>
  </si>
  <si>
    <t>www.pik.com</t>
  </si>
  <si>
    <t>Панышева Елена Валерьевна (251 250 руб., 25%)
Чкалин Александр Валерьевич (251 250 руб., 25%)
Чкалин Валерий Александрович (251 250 руб., 25%)
Чкалин Евгений Валерьевич (251 250 руб., 25%)</t>
  </si>
  <si>
    <t>240 760 000</t>
  </si>
  <si>
    <t>belovay@pik.ru, info@pik.ru</t>
  </si>
  <si>
    <t>ПИК-КОРПОРАЦИЯ, ООО (70 476 064 405 руб., 99.99%)
ПИК СЗ, ПАО (500 595 руб., 0.00070%)</t>
  </si>
  <si>
    <t>6 319 770 000</t>
  </si>
  <si>
    <t>info@pik-industry.ru, u_grishkova@pik-industry.ru</t>
  </si>
  <si>
    <t>4 166 990 000</t>
  </si>
  <si>
    <t>pik@comfort.ru</t>
  </si>
  <si>
    <t>www.pik-comfort.ru</t>
  </si>
  <si>
    <t>МАЯК, ООО (100 034 000 руб., 100%)</t>
  </si>
  <si>
    <t>ПИК-СТРОИТЕЛЬНЫЕ ТЕХНОЛОГИИ, ООО (49 950 000 руб., 99.90%)
ПИК-КОРПОРАЦИЯ, ООО (50 000 руб., 0.10%)</t>
  </si>
  <si>
    <t>pvc@oknapik.ru</t>
  </si>
  <si>
    <t>www.oknapik.ru, www.pik.ru</t>
  </si>
  <si>
    <t>ПИК-СТРОИТЕЛЬНЫЕ ТЕХНОЛОГИИ, ООО (207 004 297.5 руб., 99.99%)
ПИК СЗ, ПАО (20 702.5 руб., 0.010%)</t>
  </si>
  <si>
    <t>7412@pixel.org.ru, kom.4209@pixel.org.ru, kom.7412@pixel.org.ru, matros.d@buroshop.ru, office@pixel.org.ru, tender@pixel.org.ry, tenders@pixei.org.ru, tenders@pixel.org.ru</t>
  </si>
  <si>
    <t>Гибельт Анна Алексеевна (1 000 000 руб., 100%)</t>
  </si>
  <si>
    <t>pilar@tele2.ru</t>
  </si>
  <si>
    <t>thetowers.ru</t>
  </si>
  <si>
    <t>Т2 МОБАЙЛ, ООО (2 970 099 000 руб., 99%)
МИЛЛИКОМ НТК, АО (30 001 000 руб., 1%)</t>
  </si>
  <si>
    <t>1 583 740 000</t>
  </si>
  <si>
    <t>49 770 000</t>
  </si>
  <si>
    <t>fin43@trade-pioneer.ru, pioneer_info@mail.ru</t>
  </si>
  <si>
    <t>http://www.trade-pioneer.ru/</t>
  </si>
  <si>
    <t>Деркачевская Ольга Леонидовна (10 408.16 руб., 51%)
Климчук Артем Сергеевич (10 000 руб., 49%)</t>
  </si>
  <si>
    <t>http://pir.spb.ru/</t>
  </si>
  <si>
    <t>ЗЭД-КАПИТАЛ, АО (42 750 000 руб., 95%)
Зусман Михаил Валерьевич (2 250 000 руб., 5%)</t>
  </si>
  <si>
    <t>18 560 000</t>
  </si>
  <si>
    <t>tdpir.ru</t>
  </si>
  <si>
    <t>ПИР ПРОДУКТ, АО (1 000 000 руб., 100%)</t>
  </si>
  <si>
    <t>info@pirpak.ru</t>
  </si>
  <si>
    <t>www.pirpak.ru</t>
  </si>
  <si>
    <t>Деятельность по упаковыванию товаров</t>
  </si>
  <si>
    <t>www.pirelli.ru</t>
  </si>
  <si>
    <t>ПИРЕЛЛИ ТАЙР (ПРОПРИЕТАРИ) ЛИМИТЕД (4 000 000 руб., 65%)
НИИР, АО (1 538 769.23 руб., 25.01%)
ПАНАЛЕНД ЛИМИТЕД (615 076 руб., 10%)</t>
  </si>
  <si>
    <t>1 162 420 000</t>
  </si>
  <si>
    <t>buh1@klever.ru, buh1@yandex.ru, dbrindin@klever.ru, kalinina@klever.ru</t>
  </si>
  <si>
    <t>klever.ru</t>
  </si>
  <si>
    <t>Даньшин Петр Иванович (436 363.64 руб., 12.12%)
Ахматов Евгений Андреевич (327 272.73 руб., 9.09%)
Горнак Владимир Нестерович (327 272.73 руб., 9.09%)
Епифанцева Любовь Викторовна (327 272.73 руб., 9.09%)
Соколова Ольга Николаевна (327 272.73 руб., 9.09%)
Сорокина Валентина Павловна (327 272.73 руб., 9.09%)
Яхнюк Татьяна Валентиновна (327 272.73 руб., 9.09%)
Брындина Светлана Анатольевна (300 000 руб., 8.33%)
Житмарев Георгий Владимирович (218 181.79 руб., 6.06%)
Екимов Юрий Леонидович (109 090.91 руб., 3.03%)
...*</t>
  </si>
  <si>
    <t>293 050 000</t>
  </si>
  <si>
    <t>l.stepanova@cherkizovo.com, olga.minchuk@atria.com, ruoffice@atria.com, valentina.tolmacheva@atria.com</t>
  </si>
  <si>
    <t>АПК МИХАЙЛОВСКИЙ, ООО (462 442 091 руб., 100%)</t>
  </si>
  <si>
    <t>jr.anna@piteyniy.com</t>
  </si>
  <si>
    <t>СЕМЕРКА, ООО (79 214 150.78 руб., 99%)
Хашир Аскер Азметович (800 142.94 руб., 1%)</t>
  </si>
  <si>
    <t>Производство напитков</t>
  </si>
  <si>
    <t>59 130 000</t>
  </si>
  <si>
    <t>piteravto.ru</t>
  </si>
  <si>
    <t>Бондаренко Леонид Георгиевич (215 454 000 руб., 73.93%)
АВТОТРАНСПОРТНАЯ КОМПАНИЯ, ООО (75 307 200 руб., 25.84%)
ДАРАПТИ, ООО (663 000 руб., 0.22%)</t>
  </si>
  <si>
    <t>a.romanuk@piterbus.com, d.rannyal@piterbus.com, info@piterbus.com, n.vredova@piterbus.com, o.storojeva@piterbus.com, pbcservice@piterbus.com, romanyuk007@yandex.ru, v.krasilnikova@piterbus.com</t>
  </si>
  <si>
    <t>Кабанова Мария Владимировна (10 000 руб., 100%)</t>
  </si>
  <si>
    <t>39 720 000</t>
  </si>
  <si>
    <t>kotik@skpitergrad.ru, tender@skpitergrad.ru</t>
  </si>
  <si>
    <t>skpitergrad.ru</t>
  </si>
  <si>
    <t>Котик Владимир Петрович (12 000 руб., 100%)</t>
  </si>
  <si>
    <t>e.buzaeva@dominos.ru</t>
  </si>
  <si>
    <t>dominospizza.ru</t>
  </si>
  <si>
    <t>ФИДЕСРУС Б.В. (282 100 000 руб., 100%)</t>
  </si>
  <si>
    <t>mail1@mgindustry.ru, o.dukshanin@efko.ru</t>
  </si>
  <si>
    <t>efko.ru, mgindustry.ru</t>
  </si>
  <si>
    <t>ЭФКО ПРОДУКТЫ ПИТАНИЯ, АО (170 000 000 руб., 100%)</t>
  </si>
  <si>
    <t>1 082 860 000</t>
  </si>
  <si>
    <t>kv.kuzyukova@aqualife.ru, lv.shabalina@chernogolovka.com</t>
  </si>
  <si>
    <t>АКВАЛАЙФ РЕСУРС, АО (10 000 руб., 100%)</t>
  </si>
  <si>
    <t>64 770 000</t>
  </si>
  <si>
    <t>s@gercules.org</t>
  </si>
  <si>
    <t>http://gercules.org</t>
  </si>
  <si>
    <t>Заставнюк Сергей Витальевич (100 000 руб., 100%)</t>
  </si>
  <si>
    <t>Производство продуктов мукомольной и крупяной промышленности, крахмала и крахмалосодержащих продуктов</t>
  </si>
  <si>
    <t>359 670 000</t>
  </si>
  <si>
    <t>lider@liderco.ru, master@masternet.ru, smirnova@liderco.ru</t>
  </si>
  <si>
    <t>ЛИДЕР, ООО (383 800 000 руб., 99.99%)
Клинецкий Евгений Федорович (37 000 руб., 0.010%)</t>
  </si>
  <si>
    <t>167 290 000</t>
  </si>
  <si>
    <t>asvfmp@gmail.com, info@pkprintprof.ru</t>
  </si>
  <si>
    <t>pkprintprof.ru</t>
  </si>
  <si>
    <t>РСИ, ООО (35 000 руб., 70%)
Сабуров Андрей Викторович (15 000 руб., 30%)</t>
  </si>
  <si>
    <t>110 310 000</t>
  </si>
  <si>
    <t>ng.ovchinnikova@tplants.com, prt@promtractor.ru, prt@tplants.com</t>
  </si>
  <si>
    <t>promtractor.ru</t>
  </si>
  <si>
    <t>СМИ, АО (50 000 руб., 100%)</t>
  </si>
  <si>
    <t>Кирпичников Валерий Александрович (13 121.5 руб., 37.49%)
Мокеичев Михаил Александрович (13 121.5 руб., 37.49%)
Чистяков Леонид Станиславович (8 757 руб., 25.02%)</t>
  </si>
  <si>
    <t>517 600 000</t>
  </si>
  <si>
    <t>Гладков Сергей Александрович (10 000 руб., 100%)</t>
  </si>
  <si>
    <t>stalprokat.ru</t>
  </si>
  <si>
    <t>Коваленко Валерий Васильевич (43 590 528 руб., 88%)
Мосягин Дмитрий Васильевич (4 953 469 руб., 10%)
Кочуров Михаил Михайлович (990 693.8 руб., 2%)</t>
  </si>
  <si>
    <t>751 850 000</t>
  </si>
  <si>
    <t>pkstank@mail.ru</t>
  </si>
  <si>
    <t>Амосов Андрей Михайлович (15 549 886 руб., 100%)</t>
  </si>
  <si>
    <t>90 910 000</t>
  </si>
  <si>
    <t>info@elektrozavod.ru, pk@elektrozavod.ru</t>
  </si>
  <si>
    <t>www.elektrozavod.ru</t>
  </si>
  <si>
    <t>office@elitgroupltd.ru</t>
  </si>
  <si>
    <t>ЭЛИТ КАПИТАЛ, ООО (297 000 руб., 99%)
РСХБ-ФИНАНС, ООО (3 000 руб., 1%)</t>
  </si>
  <si>
    <t>УК ЮЖ, ООО (300 000 руб., 100%)</t>
  </si>
  <si>
    <t>7 170 000</t>
  </si>
  <si>
    <t>pk-kapriz.ru</t>
  </si>
  <si>
    <t>Глазунов Владимир Валентинович (5 000 руб., 50%)
Глазунова Евгения Владимировна (5 000 руб., 50%)</t>
  </si>
  <si>
    <t>www.collector.ru</t>
  </si>
  <si>
    <t>FCB Holding Cooperatief U.A. (100%)</t>
  </si>
  <si>
    <t>mail@pknm.ru</t>
  </si>
  <si>
    <t>Мокроносов Евгений Дмитриевич (6 494 000 руб., 64.94%)
Чернышев Андрей Анатольевич (1 502 000 руб., 15.02%)
Пуртов Сергей Леонидович (1 252 000 руб., 12.52%)
Куницын Александр Севастьянович (752 000 руб., 7.52%)</t>
  </si>
  <si>
    <t>69 290 000</t>
  </si>
  <si>
    <t>Паранянц Артур Робертович (10 000 руб., 100%)</t>
  </si>
  <si>
    <t>36 480 000</t>
  </si>
  <si>
    <t>brandt@fct.ru, office.fct@globalports.com, office.gpm@globalports.com, s.ershova@fct.ru, yanok@fct.ru</t>
  </si>
  <si>
    <t>www.container.ru, www.fct.ru, www.fct.ru/about</t>
  </si>
  <si>
    <t>ПЕТРОЛЕСПОРТ, АО (100%)</t>
  </si>
  <si>
    <t>info@pktcompany.ru</t>
  </si>
  <si>
    <t>Нягулов Владимир Константинович (208 080 руб., 51%)
Горбачёва Елена Викторовна (89 760 руб., 22%)
Пересецкий Евгений Ефимович (89 760 руб., 22%)
Поддубный Павел Викторович (20 400 руб., 5%)</t>
  </si>
  <si>
    <t>68 640 000</t>
  </si>
  <si>
    <t>info@gisns.ru</t>
  </si>
  <si>
    <t>ct-inteco.ru, gisdb.ru, iac-gisns.ru, inteco-tubing.ru</t>
  </si>
  <si>
    <t>Валиуллин Аскар Салаватович (50 000 руб., 49.25%)
Валиуллин Марат Салаватович (50 000 руб., 49.25%)
Бадретдинов Юрий Альбертович (1 522.84 руб., 1.50%)</t>
  </si>
  <si>
    <t>206 640 000</t>
  </si>
  <si>
    <t>info@dipos-kuban.ru, info@dipos-spb.ru, info@dipos.ru, it@dipos.ru, ivan@gmail.com</t>
  </si>
  <si>
    <t>www.dipos.ru</t>
  </si>
  <si>
    <t>Посунько Сергей Николаевич (9 960 000 руб., 83%)
Дроздов Александр Иванович (2 040 000 руб., 17%)</t>
  </si>
  <si>
    <t>3 891 490 000</t>
  </si>
  <si>
    <t>9629497672@mail.ru, bossandru@yandex.ru</t>
  </si>
  <si>
    <t>Кочергин Павел Владимирович (500 000 руб., 100%)</t>
  </si>
  <si>
    <t>117 150 000</t>
  </si>
  <si>
    <t>jvakovfs@nbcentr.com, mogilevskayatn@nbcentr.com</t>
  </si>
  <si>
    <t>bioing.ru</t>
  </si>
  <si>
    <t>Максимченко Александр Владимирович (100 004 370 руб., 100%)</t>
  </si>
  <si>
    <t>12 420 000</t>
  </si>
  <si>
    <t>Прокопов Евгений Анатольевич (60 000 руб., 100%)</t>
  </si>
  <si>
    <t>253 270 000</t>
  </si>
  <si>
    <t>oksana@sanc.spb.ru, sale@sanc.spb.ru, sanc@sanc.spb.ru</t>
  </si>
  <si>
    <t>www.sanc.spb.ru</t>
  </si>
  <si>
    <t>Анкудинов Сергей Викторович (10 000 руб., 100%)</t>
  </si>
  <si>
    <t>140 200 000</t>
  </si>
  <si>
    <t>info@bezrk.ru, infopkhp@bgkvn.ru, pkhp@mail.ru</t>
  </si>
  <si>
    <t>www.pkh53.ru</t>
  </si>
  <si>
    <t>24 320 000</t>
  </si>
  <si>
    <t>fe@sollers-auto.com, info@pacific-logistic.ru</t>
  </si>
  <si>
    <t>www.pacific-logistic.ru, www.sollers-auto.com</t>
  </si>
  <si>
    <t>СЕРЕНИТИ ИНВЕСТ, ООО (4 040 675.28 руб., 99.90%)
Швецов Вадим Аркадьевич (4 044.72 руб., 0.10%)</t>
  </si>
  <si>
    <t>3 306 990 000</t>
  </si>
  <si>
    <t>Рыдаев Владислав Борисович (7 900 руб., 79%)
ТЕРРА-АВТО, ООО (2 100 руб., 21%)</t>
  </si>
  <si>
    <t>4 470 000</t>
  </si>
  <si>
    <t>office@plyterra.ru</t>
  </si>
  <si>
    <t>www.plyterra.ru</t>
  </si>
  <si>
    <t>1 868 910 000</t>
  </si>
  <si>
    <t>asp02015@yandex.ru</t>
  </si>
  <si>
    <t>Броварец Александр Викторович (750 000 руб., 75%)
Михалков Андрей Сергеевич (250 000 руб., 25%)</t>
  </si>
  <si>
    <t>Баранов Валерий Геннадьевич (4 000 руб., 40%)
Быков Олег Анатольевич (3 000 руб., 30%)
Юдин Александр Александрович (3 000 руб., 30%)</t>
  </si>
  <si>
    <t>14 860 000</t>
  </si>
  <si>
    <t>ЮБК ТРЕЙДИНГ, ООО (920 250 руб., 100%)</t>
  </si>
  <si>
    <t>61 760 000</t>
  </si>
  <si>
    <t>filonova_e@leonardohobby.ru, fokeyeva_s@leonardohobby.ru, leo-diskont@firma-gamma.ru, online-masterskaya@leonardo.ru, shatalova_o@leonardo.ru, sidorina_e@leonardo.ru</t>
  </si>
  <si>
    <t>leonardohobby.ru</t>
  </si>
  <si>
    <t>Торговля розничная материалами и оборудованием для изготовления поделок в специализированных магазинах</t>
  </si>
  <si>
    <t>info@planeta-sirius.ru</t>
  </si>
  <si>
    <t>http://www.planeta-sirius.ru, savelobuv.ru</t>
  </si>
  <si>
    <t>Савелов Юрий Михайлович (10 000 руб., 100%)</t>
  </si>
  <si>
    <t>274 060 000</t>
  </si>
  <si>
    <t>fin@planetacentr.ru, ja@planetacentr.ru, ref@planetacentr.ru</t>
  </si>
  <si>
    <t>planetacentr.ru</t>
  </si>
  <si>
    <t>Триппель Александр Фридрихович (9 720 000 руб., 24.30%)
Триппель Лидия Владимировна (8 000 000 руб., 20%)
Асташов Евгений Геннадьевич (5 920 000 руб., 14.80%)
Табаченко Светлана Олеговна (5 200 000 руб., 13%)
Триппель Ольга Александровна (4 400 000 руб., 11%)
Триппель Алексей Александрович (4 000 000 руб., 10%)
Шабанова Ирина Владимировна (2 760 000 руб., 6.90%)</t>
  </si>
  <si>
    <t>405 410 000</t>
  </si>
  <si>
    <t>n.kovalenko@malltech.ru</t>
  </si>
  <si>
    <t>СИБХОЛДИНГ, ООО (520 000 000 руб., 100%)</t>
  </si>
  <si>
    <t>913 850 000</t>
  </si>
  <si>
    <t>plastic-centre.ru</t>
  </si>
  <si>
    <t>Горяинов Андрей Владимирович (240 000 руб., 75%)
Рождествин Юрий Владимирович (80 000 руб., 25%)</t>
  </si>
  <si>
    <t>sale@plastika-okon.ru</t>
  </si>
  <si>
    <t>www.plastika-okon.ru</t>
  </si>
  <si>
    <t>Петюшин Владимир Анатольевич (10 000 руб., 100%)</t>
  </si>
  <si>
    <t>Производство изделий, не включенных в другие группировки</t>
  </si>
  <si>
    <t>lvs@ideal-decor.ru</t>
  </si>
  <si>
    <t>Колян Авет Володяевич (1 000 000 руб., 100%)</t>
  </si>
  <si>
    <t>423 510 000</t>
  </si>
  <si>
    <t>aaa@aaaa.ru, aaaa@aaaa.ru, aaaa@aaaaa.ru, aaaa@aaaaaaa.ru, aes@aes.vladimirenergo.ru, alekseynp_oke@komenergo.kirov.ru, aoll1977@mail.ru, cok@ivenergo.ru, cok@ryazan.elektra.ru, dset@mail.ru</t>
  </si>
  <si>
    <t>ПАО «Российские сети» (50.40%)
РОССЕТИ ЦЕНТР, ПАО (0.0040%)</t>
  </si>
  <si>
    <t>info@piatformix.ru, info@platformix.ru, platformix@platformix.ru</t>
  </si>
  <si>
    <t>www.platformix.ru</t>
  </si>
  <si>
    <t>БАЗОВЫЕ РЕШЕНИЯ, ООО (403 726 047.36 руб., 100%)</t>
  </si>
  <si>
    <t>572 860 000</t>
  </si>
  <si>
    <t>www.playrix.com</t>
  </si>
  <si>
    <t>КОМПАНИЯ С ОГРАНИЧЕННОЙ ОТВЕТСТВЕННОСТЬЮ "РИМЬЮТ ХОЛДИНГС ЛИМИТЕД" (500 020 000 руб., 100%)</t>
  </si>
  <si>
    <t>293 650 000</t>
  </si>
  <si>
    <t>urozai@mail.ru, urozaibux@mail.ru, urozaibux@rambler.ru</t>
  </si>
  <si>
    <t>1 343 760 000</t>
  </si>
  <si>
    <t>a.avramkov@ishim-agro.ru, sekretar-pzu@ishim-agro.ru, ubiley@ishim.ru</t>
  </si>
  <si>
    <t>634 240 000</t>
  </si>
  <si>
    <t>info@playtoday.ru, kravchenko@playtoday.ru, marketing@playtoday.ru, sales@playtoday.ru, www@playtoday.ru</t>
  </si>
  <si>
    <t>www.playtoday.ru</t>
  </si>
  <si>
    <t>413 980 000</t>
  </si>
  <si>
    <t>info@ligastavok.ru</t>
  </si>
  <si>
    <t>www.ligastavok.ru</t>
  </si>
  <si>
    <t>Красовский Юрий Васильевич (75 816 395.78 руб., 24.65%)
Гаджиев Магомедрасул Магомедович (69 818 749.87 руб., 22.70%)
Журавская Ольга Георгиевна (69 664 964.08 руб., 22.65%)
Авдеев Игорь Владимирович (46 135 737.8 руб., 15%)
Павловский Дмитрий Андреевич (21 530 010.97 руб., 7%)
Шумов Дмитрий Николаевич (15 378 579.27 руб., 5%)
Ронами Екатерина Юрьевна (4 613 573.78 руб., 1.50%)
Ронами Ратмир Валерьевич (4 613 573.78 руб., 1.50%)</t>
  </si>
  <si>
    <t>792 550 000</t>
  </si>
  <si>
    <t>45632157@mail.ru, 89624063600@mail.ru, hjdshj@ya.ru, ikjhjkhkj@ya.ru, jdjhg@ya.ru, kost_yan@mail.ru, kovalenko.t@afsv.ru, pmk@afsv.ru, rutorgi@afsv.ru, sdfsdf@ya.ru</t>
  </si>
  <si>
    <t>молочныйродник.рф</t>
  </si>
  <si>
    <t>Кайшев Владимир Григорьевич (430 000 000 руб., 50%)
Кайшев Юрий Григорьевич (430 000 000 руб., 50%)</t>
  </si>
  <si>
    <t>8 290 000</t>
  </si>
  <si>
    <t>Лисица Наталья Анатольевна (3 950 руб., 39.50%)
Преймачук Светлана Юрьевна (2 240 руб., 22.40%)
Барченко Галина Анатольевна (850 руб., 8.50%)
Булавина Галина Ивановна (810 руб., 8.10%)
Беляев Андрей Владимирович (450 руб., 4.50%)
Кузьминов Александр Константинович (450 руб., 4.50%)
Форманюк Татьяна Владимировна (450 руб., 4.50%)
Барышев Михаил Алексеевич (400 руб., 4%)
Березов Сергей Иванович (400 руб., 4%)</t>
  </si>
  <si>
    <t>info@penzmp.ru, info@sahar58.ru, lomova@sahar58.ru</t>
  </si>
  <si>
    <t>sahar58.ru</t>
  </si>
  <si>
    <t>ГК КОНТИНЕНТ, ООО (10 000 руб., 100%)</t>
  </si>
  <si>
    <t>ТУЛАЧЕРМЕТ, АО (10 000 руб., 100%)</t>
  </si>
  <si>
    <t>25 280 000</t>
  </si>
  <si>
    <t>kulyabko@pmhtransport.ru</t>
  </si>
  <si>
    <t>pmhtransport.ru</t>
  </si>
  <si>
    <t>Миделашвили Павел Караманович (333 333 руб., 33.33%)
ПМХ, ООО УК (333 333 руб., 33.33%)
Читанава Тео Сергеевна (333 333 руб., 33.33%)</t>
  </si>
  <si>
    <t>150 150 000</t>
  </si>
  <si>
    <t>info@pme34.ru, info@praktik24.com, metallkamy@mail.ru, pmc2015@mail.ru</t>
  </si>
  <si>
    <t>Орешкин Михаил Викторович (50 000 000 руб., 100%)</t>
  </si>
  <si>
    <t>info@pngeng.ru</t>
  </si>
  <si>
    <t>www.pngeng.ru</t>
  </si>
  <si>
    <t>Петрушенко Сергей Павлович (425 000 руб., 85%)
Барвин Даниил Юрьевич (75 000 руб., 15%)</t>
  </si>
  <si>
    <t>28 760 000</t>
  </si>
  <si>
    <t>1pnk@1pnk.ru, info.tld@1pnk.ru, nina@1pnk.ru, zhumashev_tm@1pnk.ru</t>
  </si>
  <si>
    <t>1pnk.ru</t>
  </si>
  <si>
    <t>65 050 000</t>
  </si>
  <si>
    <t>fisherai@pnppk.ru, info@stt-marine.ru, job@pnppk.ru, kostarevda@pnppk.ru, kva@pnppk.ru, moscow@pnppk.ru, pitushkanab@pnppk.ru, root@pnppk.ru, root@ppk.perm.ru, root@ppk.perm.su</t>
  </si>
  <si>
    <t>www.ppk.perm.ru</t>
  </si>
  <si>
    <t>Производство навигационных, метеорологических, геодезических, геофизических и аналогичного типа приборов, аппаратуры и инструментов</t>
  </si>
  <si>
    <t>contact@oilterminal.ru, elena@oilterminal.ru, office@pnt.spb.ru, sergeeva@oilterminal.ru</t>
  </si>
  <si>
    <t>www.oilterminal.ru</t>
  </si>
  <si>
    <t>4 220 960 000</t>
  </si>
  <si>
    <t>priei@bstaj.ru</t>
  </si>
  <si>
    <t>bstal.ru</t>
  </si>
  <si>
    <t>ИВСК, ООО (100%)</t>
  </si>
  <si>
    <t>7811062995_780501001@eo.tensor.ru, credit@vozr.ru, infosz@vozr.ru, jffice@vozr.ru, o.shabanova@vozr.ru</t>
  </si>
  <si>
    <t>vozr.ru</t>
  </si>
  <si>
    <t>2 691 500 000</t>
  </si>
  <si>
    <t>dpr-11@elaz.ru, kansgd@elaz.ru, natalya@elaz.ru, root@elaz.ru</t>
  </si>
  <si>
    <t>www.elaz.ru</t>
  </si>
  <si>
    <t>info@k-agrohim.ru, modus86147@mail.ru, oao.k.agrohim@mail.ru, yurist3452@mail.ru</t>
  </si>
  <si>
    <t>k-agrohim.ru</t>
  </si>
  <si>
    <t>31 470 000</t>
  </si>
  <si>
    <t>astettula@yandex.ru, info@zavod-metallist.ru, potolok@grandline.ru</t>
  </si>
  <si>
    <t>www.grandline.ru, www.metallist.ru</t>
  </si>
  <si>
    <t>Баран Дмитрий Валентинович (965 070 325 руб., 50%)
Тимофеев Игорь Борисович (965 070 325 руб., 50%)</t>
  </si>
  <si>
    <t>2 857 590 000</t>
  </si>
  <si>
    <t>info@rosdorstroi.com, info@rosdorstroy.com, ptoastrahan@mail.ru, rosdorstroy22@gmail.com, tregulova.m06@mail.ru, val-rds@mail.ru</t>
  </si>
  <si>
    <t>1 175 560 000</t>
  </si>
  <si>
    <t>office@pilenga.ru, roman@pilenga.ru</t>
  </si>
  <si>
    <t>КУРИЛЬСКИЙ РЫБАК, ЗАО (120 000 000 руб., 100%)</t>
  </si>
  <si>
    <t>507 060 000</t>
  </si>
  <si>
    <t>fin@topmelnica.com, maul@topmelnica.com</t>
  </si>
  <si>
    <t>Егорова Ирина Владимировна (10 000 руб., 100%)</t>
  </si>
  <si>
    <t>64 010 000</t>
  </si>
  <si>
    <t>Проценко Виктория Валерьевна (100 000 руб., 100%)</t>
  </si>
  <si>
    <t>taifun@ecp.kts.ru, taifun@ecp.ru</t>
  </si>
  <si>
    <t>www.ecp.ru</t>
  </si>
  <si>
    <t>3 450 550 000</t>
  </si>
  <si>
    <t>Исрафилов Магомед Абусолтаевич (10 000 руб., 100%)</t>
  </si>
  <si>
    <t>174tanyafries@mail.ru, 2591465@mail.ru, 2651459@mail.ru, 3515237469@mail.ru, 45402@mail.ru, a.chistokhodova@voda.uu.ru, a.talalaeva@voda.uu.ru, adslug@mail.ru, bux@voda.ru, cds@voda.uu.ru</t>
  </si>
  <si>
    <t>мупповв.рф</t>
  </si>
  <si>
    <t>КУИИЗО ГОРОДА ЧЕЛЯБИНСКА (82 083 053 руб., 100%)</t>
  </si>
  <si>
    <t>Абрамов Валерий Николаевич (10 000 руб., 100%)</t>
  </si>
  <si>
    <t>58 620 000</t>
  </si>
  <si>
    <t>2325@ail.ru, 2325@mail.ru, pvd.gaz@mail.ru</t>
  </si>
  <si>
    <t>Маторнов Александр Андреевич (10 000 руб., 100%)</t>
  </si>
  <si>
    <t>17 250 000</t>
  </si>
  <si>
    <t>podzemburgaz@gazprom.ru, reception@podzemburgaz.ru</t>
  </si>
  <si>
    <t>www.podzemburgaz.ru</t>
  </si>
  <si>
    <t>ГАЗПРОМ БУРЕНИЕ, ООО (61.24%)
ГАЗПРОМ ИНВЕСТХОЛДИНГ, ООО (16.97%)</t>
  </si>
  <si>
    <t>196 280 000</t>
  </si>
  <si>
    <t>podmoskoviya@podmoskoviya.com</t>
  </si>
  <si>
    <t>Торговля розничная в нестационарных торговых объектах и на рынках пищевыми продуктами, напитками и табачной продукцией</t>
  </si>
  <si>
    <t>andriyanova@lmachine.ru, t.nagaeva@palfinger.com</t>
  </si>
  <si>
    <t>www.liftingmachine.ru, www.palfinger.com</t>
  </si>
  <si>
    <t>812 040 000</t>
  </si>
  <si>
    <t>iglebov@ptsecurity.com, info@ptsecurity.ru, pt@ptsecurity.ru</t>
  </si>
  <si>
    <t>www.ptsecurity.com, www.ptsecurity.ru</t>
  </si>
  <si>
    <t>61pozitron@gmail.com, 61pozitron@gmail.ru, pozitron.r@gmail.com</t>
  </si>
  <si>
    <t>positronr.ru</t>
  </si>
  <si>
    <t>Письменный Александр Валерьевич (20 000 руб., 100%)</t>
  </si>
  <si>
    <t>can@id.te.ru, ek@te.ru, fax@yec.te.ru, lkk@id.te.ru, pikalov-as@te.ru, rosseti12@mail.ru, tobtpo@te.ru, vaninae@id.te.ru, voronovav@id.te.ru</t>
  </si>
  <si>
    <t>РОССЕТИ, ПАО (27 373 895 100 руб.)</t>
  </si>
  <si>
    <t>office@pskgold.ru</t>
  </si>
  <si>
    <t>pskgold.ru</t>
  </si>
  <si>
    <t>1 969 390 000</t>
  </si>
  <si>
    <t>nurimanovalt@puttsntrans.ru, putt@sntrans.ru, shvalevyv@puttsntrans.ru</t>
  </si>
  <si>
    <t>СПЕЦНЕФТЕТРАНС, АО (447 893 408 руб., 100%)</t>
  </si>
  <si>
    <t>260 720 000</t>
  </si>
  <si>
    <t>adushkina-o@pokrmine.ru, amur-blg@pokrmire.ru, aryamnov-a@pokrmine.ru, bredihina-t@pokrmine.ru, chuguevskaya-a@pokrmine.ru, orlova-o@pokrmine.ru</t>
  </si>
  <si>
    <t>office@hleb2.permnet.ru, office@pokrovskyhleb.ru, urist@pokrovskyhleb.ru</t>
  </si>
  <si>
    <t>125 420 000</t>
  </si>
  <si>
    <t>tsuhareva@sdvor.com</t>
  </si>
  <si>
    <t>www.polovik.com</t>
  </si>
  <si>
    <t>РОСА, ООО (11 510 000 руб., 100%)</t>
  </si>
  <si>
    <t>11 620 000</t>
  </si>
  <si>
    <t>polair-impex.ru</t>
  </si>
  <si>
    <t>ИНВЕСТ, ООО (10 000 руб., 100%)</t>
  </si>
  <si>
    <t>221 140 000</t>
  </si>
  <si>
    <t>reception@sovital.ru</t>
  </si>
  <si>
    <t>www.polair.com, www.polair.ru</t>
  </si>
  <si>
    <t>28 960 000</t>
  </si>
  <si>
    <t>info@buyseafood.ru, info@polarseafood.ru, sale@buyseafood.ru, sale@polarseafood.ru</t>
  </si>
  <si>
    <t>Кузнецов-Сербский Константин Михайлович (80 264 800 руб., 100%)</t>
  </si>
  <si>
    <t>355 090 000</t>
  </si>
  <si>
    <t>Журавлев Евгений Сергеевич (1 000 000 руб., 100%)</t>
  </si>
  <si>
    <t>183 570 000</t>
  </si>
  <si>
    <t>buh@polar-yamal.ru, glbuh@polar-yamal.ru, polar@polar-yamal.ru</t>
  </si>
  <si>
    <t>polar-yamal.ru</t>
  </si>
  <si>
    <t>Полыгалов Федор Александрович (5 000 000 руб., 100%)</t>
  </si>
  <si>
    <t>7 230 000</t>
  </si>
  <si>
    <t>info@polati.ru, zazygin@mail.ru</t>
  </si>
  <si>
    <t>www.polati.ru</t>
  </si>
  <si>
    <t>Зазыгин Александр Александрович (333 333 руб., 60%)
Пирогов Борис Андреевич (222 222 руб., 40%)</t>
  </si>
  <si>
    <t>Работы по установке строительных лесов и подмостей</t>
  </si>
  <si>
    <t>417 690 000</t>
  </si>
  <si>
    <t>samara.polygalvostok.ru, spb.polygalvostok.ru, www.polygal.com</t>
  </si>
  <si>
    <t>ПЛАЗИТ ИНДАСТРИЗ-АГРИКАЛЧЕРАЛ КООПЕРАТИВ СЕСАЕТИ ЛТД. (n/a)</t>
  </si>
  <si>
    <t>318 190 000</t>
  </si>
  <si>
    <t>margarita.voblaya@slavjanka.com</t>
  </si>
  <si>
    <t>ТОРГОВЫЙ ДОМ СЛАВЯНКИ, ООО (1 000 000 руб., 100%)</t>
  </si>
  <si>
    <t>373 290 000</t>
  </si>
  <si>
    <t>www.pof-flexo.spb.ru</t>
  </si>
  <si>
    <t>КОЛОМЯГИ, ООО (242 970 947 руб., 100%)</t>
  </si>
  <si>
    <t>88 360 000</t>
  </si>
  <si>
    <t>group.reception.kaluga@volvo.com, of.rus@renault-trucks.com, olga.agafonova@volvo.com, olga.pomazenkova@volvo.com</t>
  </si>
  <si>
    <t>www.volvo.com, www.volvo.ru</t>
  </si>
  <si>
    <t>7 408 940 000</t>
  </si>
  <si>
    <t>crbhm@plastoil.ru</t>
  </si>
  <si>
    <t>Рашевский Олег Геннадьевич (10 000 руб., 100%)</t>
  </si>
  <si>
    <t>bogoveeva_ne@mail.ru, info@ooopolimer.ru, info@polymerrubber.ru, info@polymersm.ru, m67@polymersm.ru, moskva@polymerrubber.ru, ooo.polymer@mail.ru, polimerbux@mail.ru, sales1@polymersm.ru, trempolec@polymersm.ru</t>
  </si>
  <si>
    <t>sm.ru, www.polymersm.ru</t>
  </si>
  <si>
    <t>Кмита Александр Романович (98 935 000 руб., 53.41%)
Кмита Зейнаб Курбан Кызы (67 570 500 руб., 36.48%)
Кмита Василий Александрович (4 210 000 руб., 2.27%)
Снитовец Дмитрий Александрович (4 210 000 руб., 2.27%)
Кутищев Андрей Васильевич (2 105 000 руб., 1.14%)
ПОЛИМЕР, ООО (2 105 000 руб., 1.14%)
Семашкин Сергей Владимирович (2 105 000 руб., 1.14%)
Удод Николай Михайлович (2 105 000 руб., 1.14%)
Прокопов Александр Александрович (1 894 500 руб., 1.02%)</t>
  </si>
  <si>
    <t>e.skumina@belpig.ru</t>
  </si>
  <si>
    <t>АПХ МИРАТОРГ, ООО (441 900 000 руб., 100%)</t>
  </si>
  <si>
    <t>2 021 660 000</t>
  </si>
  <si>
    <t>info@polimerd.ru, sales@polimerd.ru</t>
  </si>
  <si>
    <t>polimerd.ru</t>
  </si>
  <si>
    <t>Корбула Виолетта Викторовна (10 000 руб., 100%)</t>
  </si>
  <si>
    <t>Изготовление натуральных шелковых, искусственных и синтетических волокон</t>
  </si>
  <si>
    <t>87 890 000</t>
  </si>
  <si>
    <t>buh-polimer@mail.ru, buh-polimer@yandex.ru</t>
  </si>
  <si>
    <t>Нелеп Александра Владимировна (42 042 186.53 руб., 100%)</t>
  </si>
  <si>
    <t>152 760 000</t>
  </si>
  <si>
    <t>polimertrybstroy@inbox.ru</t>
  </si>
  <si>
    <t>Харин Сергей Владимирович (5 000 000 руб., 50%)
Харин Ярослав Владимирович (3 000 000 руб., 30%)
Севастьянов Данила Юрьевич (2 000 000 руб., 20%)</t>
  </si>
  <si>
    <t>28 980 000</t>
  </si>
  <si>
    <t>1p@mail.ru, bael@pec.org.ru, drozdova.naa@lenenergo.ru, efimova.vi@lenserv.ru, info@lenenergo.ru, ir@enenergo.ru, kovalenko.aa@lenenergo.ru, ks@lenenergo.ru, lenenergo@yandex.ru, lobischeva.es@lenenergo.ru</t>
  </si>
  <si>
    <t>Рехин Владислав Борисович (10 000 руб., 100%)</t>
  </si>
  <si>
    <t>203 010 000</t>
  </si>
  <si>
    <t>dobrinyna@polymetal.ru, info@polymetal.ru, novikovaoa@polymetal.ru, pr@polymetal.ru, tertysh@polimetal.ru</t>
  </si>
  <si>
    <t>GLENFOREST LIMITED (5 105 100 руб., 51%)
УК АЛЬЯНС, ООО (4 904 900 руб., 49%)</t>
  </si>
  <si>
    <t>32 410 000</t>
  </si>
  <si>
    <t>info@poliom-omsk.ru, info@poliom.titan-chem.ru</t>
  </si>
  <si>
    <t>poliom-omsk.ru</t>
  </si>
  <si>
    <t>СИБГАЗПОЛИМЕР, АО (455 934 215.63 руб., 100%)</t>
  </si>
  <si>
    <t>10 129 500 000</t>
  </si>
  <si>
    <t>lnikitina@polyplast-nm.ru, reshetnikov_ai@polyplast-nm.ru, sekretar@polyplast-nm.ru, sekretar@pplast.novomoskovsk.ru</t>
  </si>
  <si>
    <t>www.polyplast-un.ru</t>
  </si>
  <si>
    <t>ПОЛИПЛАСТ, АО (337 700 000 руб., 100%)</t>
  </si>
  <si>
    <t>1 231 170 000</t>
  </si>
  <si>
    <t>admin@ppnw.ru, e.efremenkova@polyplast-nw.ru, ok@polyplast-nw.ru, secretar@ppnw.ru</t>
  </si>
  <si>
    <t>ПОЛИПЛАСТ, АО (146 688 496.47 руб., 100%)</t>
  </si>
  <si>
    <t>699 430 000</t>
  </si>
  <si>
    <t>ahmerova@ppus.org, e_kan@ppus.org, info@ppus.org</t>
  </si>
  <si>
    <t>ПОЛИПЛАСТ, АО (203 092 418.95 руб., 100%)</t>
  </si>
  <si>
    <t>484 940 000</t>
  </si>
  <si>
    <t>polipleks@mail.ru</t>
  </si>
  <si>
    <t>poliplex.ru</t>
  </si>
  <si>
    <t>Починок Сергей Кириллович (10 000 руб., 100%)</t>
  </si>
  <si>
    <t>244 410 000</t>
  </si>
  <si>
    <t>nadezhda.ermolenko@polyplastic.ru</t>
  </si>
  <si>
    <t>Делюкин Сергей Николаевич (10 000 руб., 100%)</t>
  </si>
  <si>
    <t>Деятельность агентов по оптовой торговле строительными материалами</t>
  </si>
  <si>
    <t>49 510 000</t>
  </si>
  <si>
    <t>e.pozhidaeva@polytechstroy.ru, ehb2018@mail.ru, mailbox@polytechstroy.ru, mailbox@popytechstroy.ru, tender@politechstroy.ru, tender@polytechstroy.ru</t>
  </si>
  <si>
    <t>polytechstroy.ru</t>
  </si>
  <si>
    <t>Пушкова Екатерина Анатольевна (120 000 000 руб., 50%)
Пушковс Юрийс (120 000 000 руб., 50%)</t>
  </si>
  <si>
    <t>30 090 000</t>
  </si>
  <si>
    <t>polyter@mail.ru, pravo@ooo-polyter.ru</t>
  </si>
  <si>
    <t>ooo-politer.ru, www.ooo-polyter.ru</t>
  </si>
  <si>
    <t>Молочкин Сергей Александрович (2 000 000 руб., 100%)</t>
  </si>
  <si>
    <t>345 540 000</t>
  </si>
  <si>
    <t>polyex@permonline.ru, polyex@polyex.perm.ru</t>
  </si>
  <si>
    <t>polyex.perm.ru, polyex.ru</t>
  </si>
  <si>
    <t>75 370 000</t>
  </si>
  <si>
    <t>inbox@polyef.ru, pravlenie@polyef.ru, shatilovev@sibur.ru</t>
  </si>
  <si>
    <t>https://www.sibur.ru/polief/</t>
  </si>
  <si>
    <t>info@polyus.com, info@polyuslogistics.ru, logistika@polyus.com, rotterdam@polyuslogistics.ru, shipping@polyuslogistics.ru, storage@polyuslogistics.ru</t>
  </si>
  <si>
    <t>52 290 000</t>
  </si>
  <si>
    <t>info@polyus.com, ps.info@polyus.com</t>
  </si>
  <si>
    <t>polyus.com</t>
  </si>
  <si>
    <t>ПОЛЮС КРАСНОЯРСК, АО (5 921 700 000 руб., 100%)</t>
  </si>
  <si>
    <t>antonyan@polusplus.ru, info@polusplus.ru</t>
  </si>
  <si>
    <t>Асерчев Александр Вячеславович (5 000 руб., 50%)
Каменюкин Иван Юрьевич (5 000 руб., 50%)</t>
  </si>
  <si>
    <t>93 290 000</t>
  </si>
  <si>
    <t>office@pilenga.ru, poronay@pilenga.ru</t>
  </si>
  <si>
    <t>ОСТРОВ САХАЛИН, ЗАО (880 000 000 руб., 100%)</t>
  </si>
  <si>
    <t>1 449 930 000</t>
  </si>
  <si>
    <t>abogudinov@vcsp.ru, snab3@vcsp.ru</t>
  </si>
  <si>
    <t>www.vaninoport.ru</t>
  </si>
  <si>
    <t>1 561 150 000</t>
  </si>
  <si>
    <t>ПОРТ ВЕРА МЕНЕДЖМЕНТ, ООО (100 000 руб., 100%)</t>
  </si>
  <si>
    <t>dilin@portvisotsk.ru, pavlov@portvisotsk.ru, portvisotsk@portvisotsk.ru</t>
  </si>
  <si>
    <t>Поляков Владимир Валентинович (281 475 289.8 руб., 60%)
Цквитишвили Тамаз Викторович (187 650 193.2 руб., 40%)</t>
  </si>
  <si>
    <t>corp@iport.ru, eshank@iport.ru, office@nbcom.ru</t>
  </si>
  <si>
    <t>www.iport.ru, www.nbcompany.ru</t>
  </si>
  <si>
    <t>Годунов Андрей Александрович (10 000 руб., 100%)</t>
  </si>
  <si>
    <t>369 500 000</t>
  </si>
  <si>
    <t>maltsevemi@spe.sibur.ru, office@spe.sibur.ru, zaytsevaia@spe.sibur.ru</t>
  </si>
  <si>
    <t>BALTIC SEA TRANSHIPMENT PTE. LTD. (1 000 000 000 руб., 100%)</t>
  </si>
  <si>
    <t>808 100 000</t>
  </si>
  <si>
    <t>Черников Егор Вячеславович (11 000 руб., 100%)</t>
  </si>
  <si>
    <t>Деятельность почтовой связи прочая и курьерская деятельность</t>
  </si>
  <si>
    <t>general@tableware.nn.ru</t>
  </si>
  <si>
    <t>www.tableware.nn.ru</t>
  </si>
  <si>
    <t>КОМП "БАЛСАНД БИ.ВИ./BALSAND B.V." (4 525 471 997.27 руб., 100%)</t>
  </si>
  <si>
    <t>107 680 000</t>
  </si>
  <si>
    <t>a.dubanova@pc-mail.ru, info@posuda-centr.bitrx24.com, info@sibplastcom.ru, pc@pc-mail.ru</t>
  </si>
  <si>
    <t>posudacentr.ru, www.posudacenter.ru</t>
  </si>
  <si>
    <t>Красовский Алексей Владимирович (10 000 руб., 50%)
Фурсов Геннадий Анатольевич (10 000 руб., 50%)</t>
  </si>
  <si>
    <t>109 190 000</t>
  </si>
  <si>
    <t>e.p.ivanova@bafr.ru, potentzial.o@yandex.ru</t>
  </si>
  <si>
    <t>АБРИС, АО (5 750 000 руб., 92%)
Устинов Михаил Сергеевич (500 000 руб., 8%)</t>
  </si>
  <si>
    <t>33 390 000</t>
  </si>
  <si>
    <t>marketing@wessen.ru, svetlana.petrova@schneider-electric.com</t>
  </si>
  <si>
    <t>www.se.com</t>
  </si>
  <si>
    <t>«ТИДЖИЭЙЧСИ ДИДАБЛЮСИ-ЛЛС» (12 500 000 руб., 100%)</t>
  </si>
  <si>
    <t>Производство электроустановочных изделий</t>
  </si>
  <si>
    <t>57 210 000</t>
  </si>
  <si>
    <t>info@mm-pof.com</t>
  </si>
  <si>
    <t>www.mm-packaging.com</t>
  </si>
  <si>
    <t>ФОРВАРД, ООО (565 851 203.57 руб., 100%)</t>
  </si>
  <si>
    <t>919 860 000</t>
  </si>
  <si>
    <t>00000@russianpost.ru, 0000@russianpost.ru, 01ga.ivleva@russianpost.ru, 01ga.tretyakova@russianpost.ru, 06_aseka@mail.ru, 11@11.ru, 125874122@mail.ru, 163@russianpost.ru, 188299@rusianpost.ru, 188299@russianpost.ru</t>
  </si>
  <si>
    <t>armed-russia.ru, https://agregatoreat.ru/, igrushki-7.ru, www.pochta.ru, www.russianpost.ru, почта россии.рф</t>
  </si>
  <si>
    <t>novikovee1978@gmail.com</t>
  </si>
  <si>
    <t>express-obmen.ru</t>
  </si>
  <si>
    <t>ПОЧТА ДИДЖИТАЛ, ООО (25 000 000 руб., 100%)</t>
  </si>
  <si>
    <t>aptender@mail.ru</t>
  </si>
  <si>
    <t>www.nortec-tyres.com</t>
  </si>
  <si>
    <t>НОРТЕК, ООО (10 000 руб., 100%)</t>
  </si>
  <si>
    <t>gofromaster.ru</t>
  </si>
  <si>
    <t>Кушнир Александр Николаевич (9 400 руб., 94%)
Говоров Сергей Юрьевич (500 руб., 5%)
Кушнир Елена Евгеньевна (100 руб., 1%)</t>
  </si>
  <si>
    <t>2 054 740 000</t>
  </si>
  <si>
    <t>Сушкевич Антон Валерьевич (27 900 руб., 27.90%)
Бартунов Олег Сергеевич (21 500 руб., 21.50%)
Панченко Иван Евгеньевич (21 500 руб., 21.50%)
Сигаев Федор Геннадьевич (21 500 руб., 21.50%)
Флейта Андрей Николаевич (7 600 руб., 7.60%)</t>
  </si>
  <si>
    <t>994 730 000</t>
  </si>
  <si>
    <t>info@pgho.ru, info@ppggho.ru, info@ppgho.tu, info@ppqho.ru, konkurs@ppgho.ru, lischenkoia@ppgho.ru, shuriginsv@ppgho.ru, uprav@krasnokamensk.ru</t>
  </si>
  <si>
    <t>АТОМРЕДМЕТЗОЛОТО, АО (96.88%)
РОСАТОМ, ГОСКОРПОРАЦИЯ (0.60%)
Киселев Иван Александрович (0.0037%)
Святецкий Виктор Станиславович (0.000017%)</t>
  </si>
  <si>
    <t>alincinovich@pppudp.ru, chermashencev@pppudp.ru, dacuk@pppudp.ru, dyachenko@pppudp.ru, fedotova@pppudp.ru, fgupppp@mail.ru, garbuzova@pppudp.ru, golyakova@pppudp.ru, ilichev@pppudp.ru, korogod@pppudp.ru</t>
  </si>
  <si>
    <t>www.pppudp.ru</t>
  </si>
  <si>
    <t>УПРАВЛЕНИЕ ДЕЛАМИ ПРЕЗИДЕНТА РОССИЙСКОЙ ФЕДЕРАЦИИ (600 000 000 руб., 100%)</t>
  </si>
  <si>
    <t>alexander.frolov@fleetcor.ru, feedback@pprcard.ru, region@petrolplus.ru, sales@petrolplus.ru, service@fleetcor.ru, service@pprcard.ru</t>
  </si>
  <si>
    <t>www.petrolplus.ru</t>
  </si>
  <si>
    <t>Част КОМП с ОО "ФлитКор Люксембург Холдинг2" (29 997 000 руб., 88.01%)
КОМПАНИЯ ФЕЙДОССА ИНВЕСТМЕНТС ЛИМИТЕД (4 081 914 руб., 11.98%)
Част КОМП с ОО "ФлитКор Люксембург Холдинг1" (3 000 руб., 0.010%)</t>
  </si>
  <si>
    <t>1 691 900 000</t>
  </si>
  <si>
    <t>7813059532_781301001@eo.tensor.ru, btna@priss.ru, mta@priss.ru, mvj@priss.ru, priss@mail.ru, secretary@priss.ru, sekretary@priss.ru</t>
  </si>
  <si>
    <t>priss.ru</t>
  </si>
  <si>
    <t>Шульжик Сергей Константинович (205 820 000 руб., 50.20%)
Микголдрик Снежана Константиновна (119 720 000 руб., 29.20%)
Шульжик Мария Иосифовна (84 460 000 руб., 20.60%)</t>
  </si>
  <si>
    <t>Терещенко Вадим Игоревич (1 000 000 руб., 100%)</t>
  </si>
  <si>
    <t>55 420 000</t>
  </si>
  <si>
    <t>sale@niti-progress.ru</t>
  </si>
  <si>
    <t>www.radiator-prado.ru</t>
  </si>
  <si>
    <t>Абдрахманов Рамиль Каримович (10 000 руб., 100%)</t>
  </si>
  <si>
    <t>800 000</t>
  </si>
  <si>
    <t>ktl@anixtd.ru, nikredit@anixtd.ru</t>
  </si>
  <si>
    <t>anixtd.ru</t>
  </si>
  <si>
    <t>Никитин Юрий Александрович (3 334 000 руб., 33.34%)
Кабанов Петр Иванович (3 333 000 руб., 33.33%)
Никитин Александр Николаевич (3 333 000 руб., 33.33%)</t>
  </si>
  <si>
    <t>aleksandr.aleynikov@pridex.ru</t>
  </si>
  <si>
    <t>www.pridex.ru</t>
  </si>
  <si>
    <t>NUNOVALENTE LTD (100 000 руб., 100%)</t>
  </si>
  <si>
    <t>1 922 500 000</t>
  </si>
  <si>
    <t>info@prime-top.ru</t>
  </si>
  <si>
    <t>ПРАЙМ ТОП, ООО (4 950 000 руб., 99%)
Бакулин Олег Витальевич (50 000 руб., 1%)</t>
  </si>
  <si>
    <t>113 090 000</t>
  </si>
  <si>
    <t>20081978@bk.ru, company@prime-top.ru, lkm@lkmgroup.ru</t>
  </si>
  <si>
    <t>http://lkmgroup.ru, lkmgr.ru</t>
  </si>
  <si>
    <t>Бакулин Олег Витальевич (100 000 руб., 100%)</t>
  </si>
  <si>
    <t>info@pranapharm.ru, prana@samaramail.ru, reznikov_mg@pranapharm.ru</t>
  </si>
  <si>
    <t>pranapharm.ru</t>
  </si>
  <si>
    <t>ПРАНАФАРМ-ПЛЮС, ООО (11 800 000 руб., 59%)
ПРАНА-99, ООО (8 200 000 руб., 41%)</t>
  </si>
  <si>
    <t>935 170 000</t>
  </si>
  <si>
    <t>admin@karaaltyn.com, admin@karaaltyn.ru, admin@kazaaltyn.ru, raisa2001@pochtamt.ru</t>
  </si>
  <si>
    <t>www.karaaltyn.ru</t>
  </si>
  <si>
    <t>1 659 170 000</t>
  </si>
  <si>
    <t>port@mail.icomtex.ru, rtx3@mail.icomtex.ru</t>
  </si>
  <si>
    <t>Ефимов Андрей Геннадьевич (13 095 руб., 87.30%)
Ефимова Наталия Борисовна (952.5 руб., 6.35%)
Ханаев Николай Алексеевич (952.5 руб., 6.35%)</t>
  </si>
  <si>
    <t>59 780 000</t>
  </si>
  <si>
    <t>atmos@skl.ru, buh@066.ru, bus@skl.ru, info.jcb@skl.ru, info@hidromek-russia.ru, info@skl-fkl.ru, info@skl.ru, jcb.42@skl.ru, jcbpower@skl.ru, law@skl.ru</t>
  </si>
  <si>
    <t>www.skl.ru</t>
  </si>
  <si>
    <t>Поддубицкий Виктор Николаевич (20 000 000 руб., 100%)</t>
  </si>
  <si>
    <t>786 030 000</t>
  </si>
  <si>
    <t>buhgpsu@yandex.ru, fgupnorilsk@yandex.ru, gpsu@mail.ru, gqsu24@mail.ru, norilsk.gpsu@yandex.ru, realfgup@oiknor.ru, zakup.gpsu24@mail.ru</t>
  </si>
  <si>
    <t>Шишкова Елена Александровна (10 000 руб., 100%)</t>
  </si>
  <si>
    <t>zmk@sm-prm.ru</t>
  </si>
  <si>
    <t>sm-prm.ru</t>
  </si>
  <si>
    <t>Максимов Александр Федорович (500 000 руб., 100%)</t>
  </si>
  <si>
    <t>136 380 000</t>
  </si>
  <si>
    <t>Ким Татьяна Николаевна (10 000 руб., 100%)</t>
  </si>
  <si>
    <t>284 670 000</t>
  </si>
  <si>
    <t>company-premier@mail.ru</t>
  </si>
  <si>
    <t>Данилов Эмиль Вячеславович (10 000 000 руб., 100%)</t>
  </si>
  <si>
    <t>132 580 000</t>
  </si>
  <si>
    <t>edu@premierstroy.ru, info@premierstroy.ru, kadro.tmn@premierstroy.ru, prom@transecon.ru</t>
  </si>
  <si>
    <t>www.premierstroy.ru</t>
  </si>
  <si>
    <t>631 940 000</t>
  </si>
  <si>
    <t>info@prneft.ru</t>
  </si>
  <si>
    <t>prechistoe-cheese.ru</t>
  </si>
  <si>
    <t>ИНТЕРПРОДУКТ, ООО (6 000 000 руб., 100%)</t>
  </si>
  <si>
    <t>kodinsk-lpz@segezha-group.com, lpa83@mail.ru, murakaev@plpk.info</t>
  </si>
  <si>
    <t>ИНТЕР ФОРЕСТ РУС, ООО (720 508 630 руб., 100%)</t>
  </si>
  <si>
    <t>79 490 000</t>
  </si>
  <si>
    <t>Зиновьев Андрей Сергеевич (10 000 руб., 100%)</t>
  </si>
  <si>
    <t>673 300 000</t>
  </si>
  <si>
    <t>Батынская Ирина Вячеславовна (150 000 руб., 100%)</t>
  </si>
  <si>
    <t>aumarussia@auma.ru, sychevam@auma.ru</t>
  </si>
  <si>
    <t>www.auma.com, www.auma.ru</t>
  </si>
  <si>
    <t>Auma Armaturenantriebe Gesellschaft mit beschrankter Haftung (10 000 000 руб., 100%)</t>
  </si>
  <si>
    <t>657 420 000</t>
  </si>
  <si>
    <t>privolzhegroup.ru, tkptrans.ru</t>
  </si>
  <si>
    <t>Комиссаров Вадим Владимирович (77 000 000 руб., 100%)</t>
  </si>
  <si>
    <t>13 930 000</t>
  </si>
  <si>
    <t>0604vvk@mail.ru, kanc@solov.ru, kans28@solov.ru, nozhenkin@solov.ru, rem@amur.ru, si0dorovfv@gmail.com, sidorovfv@gmail.com</t>
  </si>
  <si>
    <t>solov.ru</t>
  </si>
  <si>
    <t>3 155 560 000</t>
  </si>
  <si>
    <t>vagner@priisk.su, zlenko@priisk.su</t>
  </si>
  <si>
    <t>1 870 850 000</t>
  </si>
  <si>
    <t>priiskkara@mail.ru, priskkara@mail.ru</t>
  </si>
  <si>
    <t>priisk-kara.ru</t>
  </si>
  <si>
    <t>992 460 000</t>
  </si>
  <si>
    <t>pcbk@pcbk.ru</t>
  </si>
  <si>
    <t>pcbk.ru</t>
  </si>
  <si>
    <t>Кириллов Александр Петрович (10 000 руб., 100%)</t>
  </si>
  <si>
    <t>prilenskiynedra@yandex.ru</t>
  </si>
  <si>
    <t>ЮЖНЫЙ УРАЛ, ООО (990 000 руб., 99%)
КИРЕНСКИЙ, ООО (10 000 руб., 1%)</t>
  </si>
  <si>
    <t>a.gavrilishin@primavtodor.ru, ashirshov671112@gmail.com, borisovets@primavtodor.ru, gendir@primavtod.ru, gendiri@primavtodor.ru, info@primavtodor.ru, ofin@primavtodor.ru, osoder@primavtodor.ru, primavto@mail.ru, primavtodor@mail.ru</t>
  </si>
  <si>
    <t>www.kvadrus.ru/index.php?dir=clients&amp;subdir=primavtodor, www.primavtodor.ru</t>
  </si>
  <si>
    <t>Приморский край (4 046 041 000 руб., 100%)</t>
  </si>
  <si>
    <t>primagroinfo@rainvest.ru, uchhoz_pk@mail.ru, velikorechinayayu@rainvest.ru</t>
  </si>
  <si>
    <t>www.kvadrus.ru/index.php?dir=clients&amp;subdir=ychxoz</t>
  </si>
  <si>
    <t>975 100 000</t>
  </si>
  <si>
    <t>2@m.ru, 9731038990@mail.ru, F0690112@tverregiongaz.ru, a.makasurdo@primapharm.ru, a.orsoeva@primafarm.ru, a.sharoikin@primapharm.ru, e.kisel@primapharm.ru, e.klychikova@primapharm.ru, e.klyuchikova@primapharm.ru, farm@farm.ru</t>
  </si>
  <si>
    <t>Арланцев Валерий Александрович (20 000 руб., 100%)</t>
  </si>
  <si>
    <t>520 900 000</t>
  </si>
  <si>
    <t>035@vod.ru, 2453377@mail.ru, 2652012@mail.ru, artem@priimvoda.ru, artem@primvoda.ru, bk23@mail.ru, dock@primvoda.ru, docs@primvoda.ru, ee@net.ru, frgj@mail.ru</t>
  </si>
  <si>
    <t>primvoda.ru</t>
  </si>
  <si>
    <t>Приморский край (596 895 890 руб., 100%)</t>
  </si>
  <si>
    <t>armu@suek.ru, primorskugol@suek.ru, tsoyav@suek.ru, zhakenevaiua@suek.ru</t>
  </si>
  <si>
    <t>СУЭК, АО (1 636 090 руб., 100%)</t>
  </si>
  <si>
    <t>novacote.ru</t>
  </si>
  <si>
    <t>Большаков Сергей Валентинович (252 000 руб., 50%)
Печурина Лилия Михайловна (252 000 руб., 50%)</t>
  </si>
  <si>
    <t>184 700 000</t>
  </si>
  <si>
    <t>Морозов Сергей Вячеславович (10 000 руб., 100%)</t>
  </si>
  <si>
    <t>12 090 000</t>
  </si>
  <si>
    <t>prgk@list.ru</t>
  </si>
  <si>
    <t>ПГК, АО (20 000 руб., 100%)</t>
  </si>
  <si>
    <t>254 210 000</t>
  </si>
  <si>
    <t>info@prioratkadastr.ru</t>
  </si>
  <si>
    <t>Мудаев Мансур Исаевич (10 000 руб., 100%)</t>
  </si>
  <si>
    <t>pg-kzn.ru</t>
  </si>
  <si>
    <t>Насыбуллин Фарит Гильмуллович (2 000 000 руб., 100%)</t>
  </si>
  <si>
    <t>36 380 000</t>
  </si>
  <si>
    <t>dgokson@bk.ru, prioritet545@mail.ru, prioritetholding@mail.ru</t>
  </si>
  <si>
    <t>prioritet-gc.ru</t>
  </si>
  <si>
    <t>Нудьга Станислав Александрович (5 000 руб., 50%)
Першин Александр Николаевич (5 000 руб., 50%)</t>
  </si>
  <si>
    <t>43 920 000</t>
  </si>
  <si>
    <t>auk@prioritetmiass.ru, info@prioritetmiass.ru, ponamarev@prioritetmiass.ru, sale@prioritetmiass.ru</t>
  </si>
  <si>
    <t>prioritetmiass.ru</t>
  </si>
  <si>
    <t>Бородин Игорь Сергеевич (15 000 руб., 100%)</t>
  </si>
  <si>
    <t>341 400 000</t>
  </si>
  <si>
    <t>mail@prioritet-kzn.ru, prioritetkazan@mail.ru</t>
  </si>
  <si>
    <t>prioritet-kzn.ru</t>
  </si>
  <si>
    <t>Насыбуллин Рафаэль Фаритович (100 000 руб., 100%)</t>
  </si>
  <si>
    <t>14 250 000</t>
  </si>
  <si>
    <t>danilov@prioskolie.ru, office@prioskol.ru</t>
  </si>
  <si>
    <t>www.prioskol.ru</t>
  </si>
  <si>
    <t>2 296 280 000</t>
  </si>
  <si>
    <t>itinr@iticapital.com</t>
  </si>
  <si>
    <t>ИК АЙ ТИ ИНВЕСТ, АО (900 000 руб., 90%)
ФИНТЕХ ИНФОРМ, ООО (100 000 руб., 10%)</t>
  </si>
  <si>
    <t>Управление финансовыми рынками</t>
  </si>
  <si>
    <t>tkborets@borets.ru, umko@borets.ru</t>
  </si>
  <si>
    <t>www.borets.ru</t>
  </si>
  <si>
    <t>КОО "САЛТЕКОР ИНВЕСТМЕНТС ЛИМИТЕД" (13 892 350 753.69 руб., 99.99%)
МЕЖДУНАРОДНАЯ КОММЕРЧЕСКАЯ КОМПАНИЯ "ЦЕНТР РАЗРАБОТКИ НЕФТЕДОБЫВАЮЩЕГО ОБОРУДОВАНИЯ" (1 389 309.55 руб., 0.010%)</t>
  </si>
  <si>
    <t>872 250 000</t>
  </si>
  <si>
    <t>olga.kirillova@leroymerlin.ru, send@maxipro.ru</t>
  </si>
  <si>
    <t>ЛЕРУА МЕРЛЕН ВОСТОК, ООО (99 000 000 руб., 99%)
КИП, ООО (1 000 000 руб., 1%)</t>
  </si>
  <si>
    <t>101te@mail.ru, inaksenenko@te.permkrai.ru, info@te-perm.ru, info@te.perm.ru, info@te_perm.ru, info@tkopro.ru, mari.krx_azb@mail.ru, pkgup.teploenergo@gmail.com, tko@perm.ru, tu101@mail.ru</t>
  </si>
  <si>
    <t>te-perm.ru</t>
  </si>
  <si>
    <t>spazmex.ru</t>
  </si>
  <si>
    <t>151 310 000</t>
  </si>
  <si>
    <t>24@zdravcity.ru, info@proapteka.ru, ta_volskova@protek.ru</t>
  </si>
  <si>
    <t>f3pro.ru, www.proapteka.ru</t>
  </si>
  <si>
    <t>ЦВ ПРОТЕК, АО (9 900 руб., 99%)
ПРОТЕК, АО (100 руб., 1%)</t>
  </si>
  <si>
    <t>483 020 000</t>
  </si>
  <si>
    <t>armavir.sk19@ugrus.com, f.mostpu5@ugrus.com, kirienko.pv@ugrus.com, lysenko.na@ugrus.com, maykop.ktg@mail.ru, pereverzeva.ka@ugrus.com, proviziya.tender@yandex.ru, proviziya0123@mail.ru, proviziya_krasnodar@rambler.ru, provizya4@yandex.ru</t>
  </si>
  <si>
    <t>ДИНСКИЕ КОЛБАСЫ-2, ООО (10 050 000 руб., 99.50%)
ИНФОТОРГ, ООО (50 000 руб., 0.50%)</t>
  </si>
  <si>
    <t>alexey_bykov@cargill.com, com@provimi.ru, info@ru.provimi.com, mail@provimi.ru</t>
  </si>
  <si>
    <t>www.provimi.ru</t>
  </si>
  <si>
    <t>КАРГИЛЛ ИНТЕРНЕШНЛ ЛЮКСЕМБУРГ 2 С.А.Р.Л. (283 026 946 руб., 100%)</t>
  </si>
  <si>
    <t>info@ppr.ru, tenders@ppr.ru</t>
  </si>
  <si>
    <t>ppr.ru</t>
  </si>
  <si>
    <t>Шунаев Александр Сергеевич (9 990 000 руб., 99.90%)
Александров Сергей Анатольевич (10 000 руб., 0.10%)</t>
  </si>
  <si>
    <t>338 510 000</t>
  </si>
  <si>
    <t>i@za.erj, info@progressfood.ru, office.progress@lipetsk.ru, smikhalchenko@progressfood.ru, support@frutonyanya.ru</t>
  </si>
  <si>
    <t>www.frutonyanya.ru, www.progressfood.ru</t>
  </si>
  <si>
    <t>3 912 750 000</t>
  </si>
  <si>
    <t>2440981@mail.ru</t>
  </si>
  <si>
    <t>Воронцов Егор Михайлович (10 000 руб., 100%)</t>
  </si>
  <si>
    <t>145 130 000</t>
  </si>
  <si>
    <t>ТОРГОВЫЙ ДОМ НОВГОРОД, ООО (9 209 200 руб., 92%)
Милютин Александр Александрович (790 800 руб., 8%)</t>
  </si>
  <si>
    <t>6 250 000</t>
  </si>
  <si>
    <t>9182542567@mail.ru, progressorkrd@yandex.ru</t>
  </si>
  <si>
    <t>Стягов Игорь Валерьевич (20 000 руб., 100%)</t>
  </si>
  <si>
    <t>antonova.a@pgl.su, info@pgl.su, info@progrouplogistic.ru, kolenikov.y@pgl.su, kolenikov.y@progrouplogistic.ru, prosetskiy@gmail.com</t>
  </si>
  <si>
    <t>www.ohio8.vchecks.me</t>
  </si>
  <si>
    <t>Просецкий Евгений Викторович (10 000 руб., 100%)</t>
  </si>
  <si>
    <t>25 400 000</t>
  </si>
  <si>
    <t>novikov@prodimex.ru, press@prodimex.ru, suupp@prodimex.ru</t>
  </si>
  <si>
    <t>prodimex.ru</t>
  </si>
  <si>
    <t>ОСК, АО (250 010 000 руб., 100%)</t>
  </si>
  <si>
    <t>2 523 210 000</t>
  </si>
  <si>
    <t>masha_rubtsova79@mail.ru</t>
  </si>
  <si>
    <t>prodinvest22.ru</t>
  </si>
  <si>
    <t>БЕРЕЗАНЬ, ЗАО (121 314 000 руб., 100%)</t>
  </si>
  <si>
    <t>194 380 000</t>
  </si>
  <si>
    <t>sekretary@parus.name</t>
  </si>
  <si>
    <t>продлогистика.рф</t>
  </si>
  <si>
    <t>АГРОМАКСИМУМ, ООО (20 000 руб., 100%)</t>
  </si>
  <si>
    <t>32 820 000</t>
  </si>
  <si>
    <t>Сидякин Евгений Алексеевич (38 000 руб., 100%)</t>
  </si>
  <si>
    <t>shop.miratorg.ru</t>
  </si>
  <si>
    <t>МИРАТОРГ-БРЯНСК, ООО (9 253 000 000 руб., 100%)</t>
  </si>
  <si>
    <t>prod.mit@mail.ru</t>
  </si>
  <si>
    <t>Михолап Владимир Борисович (300 000 руб., 100%)</t>
  </si>
  <si>
    <t>alex@pfk.prodo.ru, n.kaverga@pfk.prodo.ru</t>
  </si>
  <si>
    <t>bkryshtopik@bacon.ru, k.davydova@pfs.prodo.ru, kdavydova@bacon.ru, opozdniakova@pfs.bac</t>
  </si>
  <si>
    <t>mma@tumen.prodo.ru, rtv@tumen.prodo.ru, sia@tumen.prodo.ru, svu@tumen.prodo.ru, tsa@tumen.prodo.ru</t>
  </si>
  <si>
    <t>leila_mamedova@mail.ru, lest2008@mail.ru, prodsnab.priem@mail.ru, skopinceva77@mail.ru</t>
  </si>
  <si>
    <t>prodsnabaltai.ru</t>
  </si>
  <si>
    <t>Захаров Максим Анатольевич (10 000 руб., 100%)</t>
  </si>
  <si>
    <t>43 610 000</t>
  </si>
  <si>
    <t>kw-52@yandex.ru, kw-52@yandeх.ru</t>
  </si>
  <si>
    <t>Низовцев Алексей Александрович (5 100 руб., 51%)
Низовцева Наталья Николаевна (4 900 руб., 49%)</t>
  </si>
  <si>
    <t>77 960 000</t>
  </si>
  <si>
    <t>zaulochnova@x5.ru</t>
  </si>
  <si>
    <t>baobay.ru</t>
  </si>
  <si>
    <t>ИКС 5 НЕДВИЖИМОСТЬ, АО (10 000 120 руб.)</t>
  </si>
  <si>
    <t>2 290 000</t>
  </si>
  <si>
    <t>product@sirfiki.ru, prokopchik@tol.dalimo.ru, smd@dalimo.ru</t>
  </si>
  <si>
    <t>Сбоев Евгений Валерьевич (100 000 руб., 100%)</t>
  </si>
  <si>
    <t>4 700 000</t>
  </si>
  <si>
    <t>anton.mikhaylov@megatitan.ru, info@megatitan.ru, natalia.abrosimova@megatitan.ru</t>
  </si>
  <si>
    <t>Бредний Раиса Иннокентьевна (60 000 руб., 100%)</t>
  </si>
  <si>
    <t>КОМПАНИЯ "ДЖИ ЭР ЕУРОПЕАН ФУДС ЛИМИТЕД" (176 355 005.21 руб., 99%)
РСХБ-ФИНАНС, ООО (1 781 363.69 руб., 1%)</t>
  </si>
  <si>
    <t>3 580 000</t>
  </si>
  <si>
    <t>Авхадиев Айдар Зуфарович (10 000 руб., 100%)</t>
  </si>
  <si>
    <t>Деятельность агентов по оптовой торговле пищевыми продуктами</t>
  </si>
  <si>
    <t>3 490 000</t>
  </si>
  <si>
    <t>info@gifts.ru, inna@gifts.ru, ksemenova@gifts.ru, pr@gifts.ru, product@gifts.ru</t>
  </si>
  <si>
    <t>Дегтяренко Андрей Анатольевич (13 830 руб., 69.15%)
Дегтяренко Анна Анатольевна (3 000 руб., 15%)
Круглова Жанна Петровна (3 000 руб., 15%)
Гришина Оксана Анатольевна (60 руб., 0.30%)
Макаров Артем Александрович (60 руб., 0.30%)
Шамшина Инна Владимировна (50 руб., 0.25%)</t>
  </si>
  <si>
    <t>488 920 000</t>
  </si>
  <si>
    <t>alexgonchar48@gmail.com</t>
  </si>
  <si>
    <t>Гончаров Алексей Павлович (250 000 руб., 100%)</t>
  </si>
  <si>
    <t>18 860 000</t>
  </si>
  <si>
    <t>i.polyakov@pdevel.ru</t>
  </si>
  <si>
    <t>pdevel.ru</t>
  </si>
  <si>
    <t>Микиашвили Олег Важикоевич (31 267 677.7 руб., 70%)
КОМБИНИРОВАННЫЙ ЗАКРЫТЫЙ ПАЕВОЙ ИНВЕСТИЦИОННЫЙ ФОНД "ПНК ДЕВЕЛОПМЕНТ" (13 400 433.3 руб., 30%)</t>
  </si>
  <si>
    <t>213 330 000</t>
  </si>
  <si>
    <t>proyektinvest@inbox.ru</t>
  </si>
  <si>
    <t>Тарунов Константин Геннадьевич (200 000 руб., 94.34%)
Снегирев Кирилл Сергеевич (12 000 руб., 5.66%)</t>
  </si>
  <si>
    <t>176 210 000</t>
  </si>
  <si>
    <t>info@apex-project.ru</t>
  </si>
  <si>
    <t>apex-project.ru</t>
  </si>
  <si>
    <t>Матвеев Юрий Михайлович (1 000 000 руб., 100%)</t>
  </si>
  <si>
    <t>505 740 000</t>
  </si>
  <si>
    <t>dialog01@mail.ru, info@i-ck.ru, proektsk2020@mail.ru</t>
  </si>
  <si>
    <t>Афанасьев Константин Анатольевич (44 000 руб., 100%)</t>
  </si>
  <si>
    <t>11 970 000</t>
  </si>
  <si>
    <t>in@proektstroyservis.com, proektstroyservice51@mail.ru</t>
  </si>
  <si>
    <t>Король Дмитрий Олегович (60 000 руб., 60%)
Лясин Максим Александрович (40 000 руб., 40%)</t>
  </si>
  <si>
    <t>kurkina@barinof.ru</t>
  </si>
  <si>
    <t>51 040 000</t>
  </si>
  <si>
    <t>generalov_vi@mail.ru, office@prokat.mgn.ru, office@prokat.mqn.ru, pravo@prokat.mgn.ru, root@prokat.mgn.ru</t>
  </si>
  <si>
    <t>www.pm.mgn.ru</t>
  </si>
  <si>
    <t>Генералов Кирилл Владимирович (48.69%)
Синегин Александр Викторович (48.67%)
Жиниленко Александр Леонтьевич (1.18%)
Курочкин Владимир Юрьевич (0.18%)
Шапранов Михаил Юрьевич (0.020%)</t>
  </si>
  <si>
    <t>d.pisarenko@proconsim.ru, info@proconsim.ru, proc@proconsim.ru</t>
  </si>
  <si>
    <t>www.proconsim.ru</t>
  </si>
  <si>
    <t>info@proxima.ru</t>
  </si>
  <si>
    <t>proxima.ru</t>
  </si>
  <si>
    <t>126 650 000</t>
  </si>
  <si>
    <t>Шкуренко Виктор Васильевич (5 100 руб., 51%)
Плосков Сергей Александрович (2 450 руб., 24.50%)
Серебряков Владимир Сергеевич (2 450 руб., 24.50%)</t>
  </si>
  <si>
    <t>braun.ru</t>
  </si>
  <si>
    <t>ОБЩЕСТВО С ОГРАНИЧЕННОЙ ОТВЕТСТВЕННОСТЬЮ "ПРОКТЕР ЭНД ГЭМБЛ ИНВЕСТМЕНТ ГМБХ" (9 000 000 руб., 100%)</t>
  </si>
  <si>
    <t>5 004 590 000</t>
  </si>
  <si>
    <t>chlishova.ov@pg.com</t>
  </si>
  <si>
    <t>www.pg.com</t>
  </si>
  <si>
    <t>ПРОКТЕР ЭНД ГЭМБЛ, ООО (7 936 667 315.318 руб., 99.99%)
ОБЩЕСТВО С ОГРАНИЧЕННОЙ ОТВЕТСТВЕННОСТЬЮ "ПРОКТЕР ЭНД ГЭМБЛ ИНВЕСТМЕНТ ГМБХ" (220 902.09 руб., 0.0028%)</t>
  </si>
  <si>
    <t>2 529 650 000</t>
  </si>
  <si>
    <t>3363876@mail.ru, proletariy.spb@mail.ru</t>
  </si>
  <si>
    <t>Лакеенко Ирина Михайловна (9 000 руб., 90%)
Ермолов Игорь Сергеевич (1 000 руб., 10%)</t>
  </si>
  <si>
    <t>392 510 000</t>
  </si>
  <si>
    <t>info@proletariy.ru, kvp@proletariy.ru</t>
  </si>
  <si>
    <t>www.proletariy.ru</t>
  </si>
  <si>
    <t>2 145 670 000</t>
  </si>
  <si>
    <t>abramovvv@proletarsky.ru, bcb@proletarsky.ru, dudkin@proletarsky.ru, info@proletarsky.ru, juravleva@proletarsky.ru, marketing@proletarsky.ru, personal@proletarsky.ru, rrost-spb@rrost.ru, spb@nrcreg.ru, zakupki@proletarsky.ru</t>
  </si>
  <si>
    <t>www.proletarsky.ru</t>
  </si>
  <si>
    <t>ОСК, АО (99.02%)</t>
  </si>
  <si>
    <t>Производство газовых турбин, кроме турбореактивных и турбовинтовых</t>
  </si>
  <si>
    <t>margarita.shatkova@promedcs.com, prommedicrus@sonet.ru</t>
  </si>
  <si>
    <t>promedicrus.ru</t>
  </si>
  <si>
    <t>126 630 000</t>
  </si>
  <si>
    <t>ppk_promservis@mail.ru</t>
  </si>
  <si>
    <t>Михальков Михаил Николаевич (200 000 руб., 100%)</t>
  </si>
  <si>
    <t>152 140 000</t>
  </si>
  <si>
    <t>pasfalt.ru</t>
  </si>
  <si>
    <t>Кирносов Василий Игоревич (100 000 руб., 100%)</t>
  </si>
  <si>
    <t>4 170 000</t>
  </si>
  <si>
    <t>Маннапов Айрат Мусаллимович (50 000 руб., 100%)</t>
  </si>
  <si>
    <t>6 890 000</t>
  </si>
  <si>
    <t>fin@pgserv.ru</t>
  </si>
  <si>
    <t>ЭДВАНСГРУПП, ООО (100 000 руб., 100%)</t>
  </si>
  <si>
    <t>1 582 040 000</t>
  </si>
  <si>
    <t>236@maiil.ru, 621@mail.ru, 625@mail.ru, arutunov@prometeyspb.com, arutunov@spb.com, cntact@prometeyspb.com, contact@prmeteyspb.com, contact@prometeespb.ru, contact@prometeypb.com, contact@prometeyspb.ru.com</t>
  </si>
  <si>
    <t>prometeyspb.com, www.stoma.prometeyspb.com</t>
  </si>
  <si>
    <t>Лагодич Александр Леонидович (10 000 руб., 50%)
Большаков Николай Леонидович (5 000 руб., 25%)
Бутылов Андрей Валерьевич (5 000 руб., 25%)</t>
  </si>
  <si>
    <t>108 120 000</t>
  </si>
  <si>
    <t>МЕРКУРИЙ РИТЕЙЛ ХОЛДИНГ, ООО (20 000 000 руб., 100%)</t>
  </si>
  <si>
    <t>3 187 660 000</t>
  </si>
  <si>
    <t>mail@pzdt.ru</t>
  </si>
  <si>
    <t>www.pzdt.ru</t>
  </si>
  <si>
    <t>Прох Максим Геннадьевич (1 600 000 руб., 100%)</t>
  </si>
  <si>
    <t>98 070 000</t>
  </si>
  <si>
    <t>МСК, АО (5 000 000 руб., 100%)</t>
  </si>
  <si>
    <t>19 040 000</t>
  </si>
  <si>
    <t>promintel@mail.ru, shakirzyanova.g@promintel.ru, yashagina.o@promintel.ru</t>
  </si>
  <si>
    <t>www.promintel-agro.ru, www.promintel.com, www.promintel.ru</t>
  </si>
  <si>
    <t>Латифуллин Ильдар Расихович (18 256.7 руб., 30.42%)
Гайнуллин Ринат Айратович (14 318.97 руб., 23.87%)
Готтшальк Хендрик (12 350.92 руб., 20.58%)
Мнухин Игорь Григорьевич (11 958.43 руб., 19.93%)
Зинина Надежда Владимировна (1 557.49 руб., 2.60%)
Хузин Харис Азатович (1 557.49 руб., 2.60%)</t>
  </si>
  <si>
    <t>136 500 000</t>
  </si>
  <si>
    <t>info@promis.ru, luzhaina_e@promis.ru, sedova_a@promis.ru</t>
  </si>
  <si>
    <t>www.promis.ru</t>
  </si>
  <si>
    <t>Производство изделий из бумаги и картона</t>
  </si>
  <si>
    <t>54 370 000</t>
  </si>
  <si>
    <t>promcable@inbox.ru</t>
  </si>
  <si>
    <t>Шаманаев Андрей Николаевич (100 000 руб., 100%)</t>
  </si>
  <si>
    <t>14 130 000</t>
  </si>
  <si>
    <t>info@pk-sintez.ru</t>
  </si>
  <si>
    <t>Родов Дмитрий Захарович (3 000 000 руб., 100%)</t>
  </si>
  <si>
    <t>1 638 130 000</t>
  </si>
  <si>
    <t>ППТК ПСК, АО (300 000 руб., 100%)</t>
  </si>
  <si>
    <t>95 340 000</t>
  </si>
  <si>
    <t>aniskina@promkonserv.ru, gorban@promkonserv.ru, nechepaeva_l@promkonserv.ru</t>
  </si>
  <si>
    <t>СТАТИНКО ЛИМИТЕД (STATINKO LIMITED) (58 721 630.76 руб., 93.45%)
Перепиличная Татьяна Галиевна (2 505 645.83 руб., 3.99%)
ПРОМКОНСЕРВЫ, ООО (1 610 236.41 руб., 2.56%)</t>
  </si>
  <si>
    <t>kivanova@promcoat.ru</t>
  </si>
  <si>
    <t>www.promcoat.ru</t>
  </si>
  <si>
    <t>Кормановский Владимир Витальевич (9 900 руб., 99%)
СБЕРБАНК ИНВЕСТИЦИИ, ООО (100 руб., 1%)</t>
  </si>
  <si>
    <t>372 570 000</t>
  </si>
  <si>
    <t>diler@mosplitka.ru, info@mosplitka.ru, opt@mosplitka.ru, remont@mosplitka.ru, salon_s@mosplitka.ru, shop@mosplitka.ru, videoservice@mosplitka.ru, zakaz@km-optom.ru</t>
  </si>
  <si>
    <t>mosplitka.ru, sosenki-shop.ru</t>
  </si>
  <si>
    <t>Лепешкин Илья Вячеславович (20 000 руб., 100%)</t>
  </si>
  <si>
    <t>zpromlit@tplants.com</t>
  </si>
  <si>
    <t>https://promlit.tplants.com</t>
  </si>
  <si>
    <t>АКТИВ, ООО (1 696 456 156 руб., 100%)</t>
  </si>
  <si>
    <t>216 840 000</t>
  </si>
  <si>
    <t>com@fubag.ru, com@prmsh.ru, cormoran@rambler.ru</t>
  </si>
  <si>
    <t>fubag.ru</t>
  </si>
  <si>
    <t>Новиков Владимир Михайлович (140 000 руб., 70%)
Чухонкин Олег Анатольевич (60 000 руб., 30%)</t>
  </si>
  <si>
    <t>106 170 000</t>
  </si>
  <si>
    <t>13816692031@163.com, office@promoil.com, sales@akira-seiki.com, sales@akiraseiki.com, service@akira-seiki.com, service@akiraseiki.com, tender@promoil.com</t>
  </si>
  <si>
    <t>www.promoil.com</t>
  </si>
  <si>
    <t>Ильинский Игорь Николаевич (237 646.3 руб., 47.50%)
Шубников Константин Валерьевич (237 646.3 руб., 47.50%)
Махнев Дмитрий Борисович (25 015.4 руб., 5%)</t>
  </si>
  <si>
    <t>52 750 000</t>
  </si>
  <si>
    <t>reception@promo-med.ru</t>
  </si>
  <si>
    <t>http://promo-med.ru</t>
  </si>
  <si>
    <t>ПРОМОМЕД, АО (514 524 960 руб., 99.90%)
ПРОМОМЕД РУС, ООО (515 040 руб., 0.10%)</t>
  </si>
  <si>
    <t>secretar2@kaluri.ru</t>
  </si>
  <si>
    <t>kaluri.ru</t>
  </si>
  <si>
    <t>Велина Надежда Ивановна (64 641 500 руб., 56.21%)
Сикачёв Павел Борисович (50 358 500 руб., 43.79%)</t>
  </si>
  <si>
    <t>128 350 000</t>
  </si>
  <si>
    <t>Пименова Наталия Владимировна (20 000 руб., 100%)</t>
  </si>
  <si>
    <t>138 850 000</t>
  </si>
  <si>
    <t>Пушкарева Людмила Михайловна (10 000 руб., 100%)</t>
  </si>
  <si>
    <t>18 210 000</t>
  </si>
  <si>
    <t>prom-resurs.su</t>
  </si>
  <si>
    <t>Присяжнюк Вадим Вячеславович (6 000 руб., 60%)
Дьяконов Сергей Александрович (4 000 руб., 40%)</t>
  </si>
  <si>
    <t>ksk@kursknet.ru, ksk@ptpgroup.ru</t>
  </si>
  <si>
    <t>Полторацкая Ольга Алексеевна (7 556 681.25 руб., 45%)
ПРОМРЕСУРС, ООО ГК (5 037 787.5 руб., 30%)
Полторацкий Николай Викторович (4 198 156.25 руб., 25%)</t>
  </si>
  <si>
    <t>555 810 000</t>
  </si>
  <si>
    <t>irina.dik@siemens.com, shamil.fayzrakhmanov@siemens.com, titov.oleg@siemens.com, vladimir.konyukhov@siemens.com</t>
  </si>
  <si>
    <t>www.siemens-energy.com</t>
  </si>
  <si>
    <t>"СИМЕНС ГЭС ЭНД ПАУЭР ГМБХ ЭНД КО. КГ" (123 083 500 руб., 99.99%)
"СИМЕНС ЭНЕРДЖИ ХОЛДИНГ Б.В." (1 500 руб., 0.0012%)</t>
  </si>
  <si>
    <t>sintez@samtel.ru, ursintez@yandex.ru</t>
  </si>
  <si>
    <t>promsintez.su</t>
  </si>
  <si>
    <t>79 120 000</t>
  </si>
  <si>
    <t>mhp@mail.ru, oleggudz@mail.ru</t>
  </si>
  <si>
    <t>Гудзь Олег Владимирович (10 000 руб., 100%)</t>
  </si>
  <si>
    <t>14 350 000</t>
  </si>
  <si>
    <t>info@psorg.ru</t>
  </si>
  <si>
    <t>Оганян Гайк Сергеевич (24 703 941 руб., 100%)</t>
  </si>
  <si>
    <t>20 790 000</t>
  </si>
  <si>
    <t>info@promstroy-ooo.com</t>
  </si>
  <si>
    <t>ПРОМПУТЬСТРОЙ, ООО (29 000 руб., 100%)</t>
  </si>
  <si>
    <t>11 930 000</t>
  </si>
  <si>
    <t>psk@psk-holding.ru</t>
  </si>
  <si>
    <t>www.psk-holding.ru</t>
  </si>
  <si>
    <t>416 760 000</t>
  </si>
  <si>
    <t>НЕСТА, ООО (1 000 000 руб., 100%)</t>
  </si>
  <si>
    <t>67 560 000</t>
  </si>
  <si>
    <t>avdeevaog@moesk.ru, babkinavs@rossetimr.ru, baranovads@moesk.ru, cilent@rossetimr.ru, client@moesk.ru, client@rossetimir.ru, com@com.ru, davletshinor@moesk.ru, grazhdankinaam@moesk.ru, gurmanav@rossetimr.ru</t>
  </si>
  <si>
    <t>http://www.rossetimr.ru, www.moesk.ru</t>
  </si>
  <si>
    <t>nk-pus@mail.ru, nk-pus@yandex.ru</t>
  </si>
  <si>
    <t>РЕСУРС, ООО (10 000 руб., 100%)</t>
  </si>
  <si>
    <t>253 340 000</t>
  </si>
  <si>
    <t>www.promfinstroy.ru</t>
  </si>
  <si>
    <t>hr@pcmet.ru, pcm@pcmet.ru, promal@promal.ru</t>
  </si>
  <si>
    <t>www.promal.ru, www.promcvetmet.ru</t>
  </si>
  <si>
    <t>Губернаторов Андрей Валентинович (2 000 000 руб., 100%)</t>
  </si>
  <si>
    <t>417 270 000</t>
  </si>
  <si>
    <t>bochkova@promeco.ru, gordeev@promeco.ru, info@promeco.ru, omsk@promeco.ru, srusanov@promeco.ru, vasilenko@promeco.ru, zacepina@promeco.ru, zharkov@promeco.ru</t>
  </si>
  <si>
    <t>www.promeco.ru</t>
  </si>
  <si>
    <t>Русанов Сергей Витольдович (5 000 000 руб., 50%)
Русанова Динара Шавкатовна (5 000 000 руб., 50%)</t>
  </si>
  <si>
    <t>285 910 000</t>
  </si>
  <si>
    <t>ann763@mail.ru, info@promexcut.ru</t>
  </si>
  <si>
    <t>www.promexcut.ru</t>
  </si>
  <si>
    <t>Гайфулин Марат Марсович (10 000 руб., 50%)
Лосев Игорь Владимирович (10 000 руб., 50%)</t>
  </si>
  <si>
    <t>51 540 000</t>
  </si>
  <si>
    <t>prosv@prosv.ru</t>
  </si>
  <si>
    <t>ПРОСВЕЩЕНИЕ, АО (44 143 939 000 руб., 100%)</t>
  </si>
  <si>
    <t>alena@prosoftsystems.ru, info@prosoftsystems.ru</t>
  </si>
  <si>
    <t>Сорокин Сергей Александрович (6 700 000 руб., 67%)
Баталин Глеб Николаевич (1 650 000 руб., 16.50%)
Распутин Александр Станиславович (1 650 000 руб., 16.50%)</t>
  </si>
  <si>
    <t>iig@prostore.ru</t>
  </si>
  <si>
    <t>www.prostore.ru</t>
  </si>
  <si>
    <t>Израилов Игорь Гилилович (100 000 руб., 100%)</t>
  </si>
  <si>
    <t>62 860 000</t>
  </si>
  <si>
    <t>Якунин Вадим Сергеевич (8 000 000 руб., 100%)</t>
  </si>
  <si>
    <t>6 138 830 000</t>
  </si>
  <si>
    <t>ap_larin@protek.ru, ka_korolev@protek.ru, svm@protek.ru</t>
  </si>
  <si>
    <t>www.protek-svm.ru</t>
  </si>
  <si>
    <t>ПРОТЕК, АО (10 000 руб., 100%)</t>
  </si>
  <si>
    <t>184 460 000</t>
  </si>
  <si>
    <t>Провоторова Екатерина Игоревна (120 000 руб., 100%)</t>
  </si>
  <si>
    <t>Деятельность агентов по оптовой торговле машинами, промышленным оборудованием, судами и летательными аппаратами</t>
  </si>
  <si>
    <t>Полянский Лев Николаевич (51 840 650 руб., 100%)</t>
  </si>
  <si>
    <t>amanukhin@yahoo.com, it@kbe.ru, rezeption@profine.ru</t>
  </si>
  <si>
    <t>http://profine-group.ru/, www.kbe-online.com, www.kbe.ru, www.kemmerling.ru, www.profine-group.com</t>
  </si>
  <si>
    <t>401 760 000</t>
  </si>
  <si>
    <t>info@profgazstroy.ru</t>
  </si>
  <si>
    <t>profgazstroy.ru</t>
  </si>
  <si>
    <t>Пронин Олег Викторович (50 000 руб., 50%)
Шулаева Ольга Владимировна (50 000 руб., 50%)</t>
  </si>
  <si>
    <t>buhuv23@mail.ru, profibux@bk.ru</t>
  </si>
  <si>
    <t>Беляев Андрей Николаевич (10 000 руб., 100%)</t>
  </si>
  <si>
    <t>51 560 000</t>
  </si>
  <si>
    <t>info@trade-profile.ru, leila431985@yandex.ru</t>
  </si>
  <si>
    <t>Фурсов Максим Анатольевич (5 100 руб., 51%)
Гаджиева Лейла Ямудиновна (4 900 руб., 49%)</t>
  </si>
  <si>
    <t>173 160 000</t>
  </si>
  <si>
    <t>profildoors.ru</t>
  </si>
  <si>
    <t>Меквабишвили Мераби Джемалович (11 000 руб., 100%)</t>
  </si>
  <si>
    <t>921 960 000</t>
  </si>
  <si>
    <t>profilmet@mc.ru</t>
  </si>
  <si>
    <t>УРАЛ-ИНВЕСТ, АО (2 500 000 руб., 100%)</t>
  </si>
  <si>
    <t>12 900 000</t>
  </si>
  <si>
    <t>league@aanet.ru</t>
  </si>
  <si>
    <t>Союзнов Андрей Викторович (55 000 руб., 25%)
Союзнов Сергей Викторович (55 000 руб., 25%)
Суралев Альберт Николаевич (36 668 руб., 16.80%)
Леонидов Лев Станиславович (36 666 руб., 16.60%)
Стушний Сергей Вениаминович (36 666 руб., 16.60%)</t>
  </si>
  <si>
    <t>686 210 000</t>
  </si>
  <si>
    <t>7719022542_771501001@eo.tensor.ru, a.vinakov@profitmed.net, a.vinakov@profitved.net, i.shaposhnikova@profitmed.net, n.petrova@profitmed.net, pmed@profitmed.net, strigas_e@mail.ru</t>
  </si>
  <si>
    <t>www.profitmed.net</t>
  </si>
  <si>
    <t>54 880 000</t>
  </si>
  <si>
    <t>prof.kond.18@bk.ru</t>
  </si>
  <si>
    <t>kkb-russia.ru, mdv-aircond.ru, mdv-russia.ru, mhi-air.ru, mhi-aircond.ru, profcond.com, vrf-mdv.ru, vrf-mitsubishi.ru</t>
  </si>
  <si>
    <t>Прогрущенко Александр Петрович (100 000 руб., 100%)</t>
  </si>
  <si>
    <t>76 800 000</t>
  </si>
  <si>
    <t>info@profmetall50.ru, p533@profmetall50.ru, t3139@yandex.ru, z.7800555@yandex.ru</t>
  </si>
  <si>
    <t>profmetall50.ru</t>
  </si>
  <si>
    <t>Семелина Ольга Леонидовна (30 000 руб., 100%)</t>
  </si>
  <si>
    <t>363 680 000</t>
  </si>
  <si>
    <t>levitskaya.k@profpotok.ru, sales@profpotok.ru, soloviev.a@profpotok.ru</t>
  </si>
  <si>
    <t>profpotok.ru</t>
  </si>
  <si>
    <t>Забурянный Андрей Владимирович (10 000 руб., 100%)</t>
  </si>
  <si>
    <t>214 310 000</t>
  </si>
  <si>
    <t>profserviceorg.ru</t>
  </si>
  <si>
    <t>76 690 000</t>
  </si>
  <si>
    <t>info@example.ru, info@pst-trade.ru</t>
  </si>
  <si>
    <t>Орлов Сергей Александрович (50 000 руб., 33.33%)
Пашкин Георгий Андреевич (50 000 руб., 33.33%)
Попов Сергей Леонтьевич (50 000 руб., 33.33%)</t>
  </si>
  <si>
    <t>25 850 000</t>
  </si>
  <si>
    <t>podoisk_teploset@mail.ru, podolck_teploset@mail.ru, podolsk_teploset@mail.ru, podolsk_teplosrt@mail.ru, povalyolga@yandex.ru, pts_liana@mail.ru, zakupkapts@yandex.ru</t>
  </si>
  <si>
    <t>podolskts.ru</t>
  </si>
  <si>
    <t>Московская обл, ГОРОДСКОЙ ОКРУГ ПОДОЛЬСК МОСКОВСКОЙ ОБЛАСТИ (43 300 700 руб., 100%)</t>
  </si>
  <si>
    <t>Мусаипов Оразбай Темирбулатович (6 500 руб., 65%)
Бурмистров Алексей Валерьевич (3 500 руб., 35%)</t>
  </si>
  <si>
    <t>29 190 000</t>
  </si>
  <si>
    <t>info@profholod.am, info@profholod.ru</t>
  </si>
  <si>
    <t>www.profholod.ru</t>
  </si>
  <si>
    <t>А4Ф ЛТД (2 700 000 руб., 90%)
Чилингарян Карлен Грантович (300 000 руб., 10%)</t>
  </si>
  <si>
    <t>653 300 000</t>
  </si>
  <si>
    <t>Андреев Сергей Анатольевич (10 000 руб., 100%)</t>
  </si>
  <si>
    <t>27 740 000</t>
  </si>
  <si>
    <t>АПХ МИРАТОРГ, ООО (1 729 543 787.59 руб., 100%)</t>
  </si>
  <si>
    <t>promregionrazvitie@gmail.com, prr@oooprr.ru</t>
  </si>
  <si>
    <t>Стребкова Елена Владимировна (150 000 руб., 100%)</t>
  </si>
  <si>
    <t>257 660 000</t>
  </si>
  <si>
    <t>yuriy.mordishov@vaz.ru</t>
  </si>
  <si>
    <t>31 660 000</t>
  </si>
  <si>
    <t>vtarushinig@psbank.ru</t>
  </si>
  <si>
    <t>belovskoe@mail.ru</t>
  </si>
  <si>
    <t>псельское.рф</t>
  </si>
  <si>
    <t>Золотарев Алексей Михайлович (990 000 руб., 99%)
БЕЛОВСКОЕ, ОАО (10 000 руб., 1%)</t>
  </si>
  <si>
    <t>317 270 000</t>
  </si>
  <si>
    <t>boris_001@list.ru</t>
  </si>
  <si>
    <t>pskmc.ru</t>
  </si>
  <si>
    <t>Колесникова Вера Владимировна (8 400 руб., 70%)
Говорова Нина Петровна (3 600 руб., 30%)</t>
  </si>
  <si>
    <t>21 100 000</t>
  </si>
  <si>
    <t>alekseeva.is@omskdizel.ru, auto@omskdizel.ru, omskdiz@mail.ru, sheveleva@omskdizel.ru</t>
  </si>
  <si>
    <t>omskdizel.ru</t>
  </si>
  <si>
    <t>Зубрилко Александр Дмитриевич (10 000 руб., 100%)</t>
  </si>
  <si>
    <t>154 160 000</t>
  </si>
  <si>
    <t>pskstroiinvest@mail.ru</t>
  </si>
  <si>
    <t>psk-si.ru</t>
  </si>
  <si>
    <t>Яруллин Ленар Раисович (1 000 000 руб., 100%)</t>
  </si>
  <si>
    <t>142 320 000</t>
  </si>
  <si>
    <t>shapiro@rusbiopharm.ru</t>
  </si>
  <si>
    <t>Пуния Сатия Карм (9 900 000 руб., 99%)
РУС БИОФАРМ, ООО (100 000 руб., 1%)</t>
  </si>
  <si>
    <t>ps-komp.ru</t>
  </si>
  <si>
    <t>Расковалова Наталья Геннадьевна (100 000 руб., 100%)</t>
  </si>
  <si>
    <t>9 430 000</t>
  </si>
  <si>
    <t>lapina@pscstroy.ru, shiryaev@pscstroy.ru</t>
  </si>
  <si>
    <t>Конопа Александр Валерьевич (10 000 руб., 100%)</t>
  </si>
  <si>
    <t>gallon59@mail.ru, info@pskovvtormet.ru, kati.983@mail.ru, pavel@pskovvtormet.ru, sd@pskovvtormet.ru</t>
  </si>
  <si>
    <t>www.pskovvtormet.ru</t>
  </si>
  <si>
    <t>deviataikina_ev@surgutneftegas.ru, oc@pskovnefteproduct.ru, oc@pskovnefteprodukt.ru, oc@pskovnefteprofukt.ru, oc@pskovnefterprodukt.ru, oc@pskovneftprodut.ru, oc@pskovnetfteprodukt.ru, oc@pskovntfteprodukt.ru, orlova_m_v@surgutneftegas.ru, ost1861@gmail.com</t>
  </si>
  <si>
    <t>pskovnefteprodukt.ru</t>
  </si>
  <si>
    <t>a.o.andreeva@pskovenergoagent.ru, a.v.khuzina@pskovrnergoagent.ru, a.v.khuzina@pskovtntrgoagent.ru, a.v.mikenin@pskovenergoagent.ru, bezdprm@pskovenergoagent.ru, coc1@opoch.pskovejergo.ru, coc@pskovenergo.ru, cok1@opoch.pskovenergo.ru, cok1@opoch.pskovenergosbit.ru, cok1@pskovenergo.ru</t>
  </si>
  <si>
    <t>190 070 000</t>
  </si>
  <si>
    <t>info@kxmps.ru, sadkovaev@kxmps.ru</t>
  </si>
  <si>
    <t>Спыну Евгений Андреевич (9 231 008.5 руб., 85%)
Лущевич Алексей Юрьевич (1 086 001 руб., 10%)
Сапожников Денис Александрович (543 000.5 руб., 5%)</t>
  </si>
  <si>
    <t>772 350 000</t>
  </si>
  <si>
    <t>info@pcmarus.com, roman.parfenov@pcmarus.com</t>
  </si>
  <si>
    <t>ООО "ПСМА Холдинг Б.В." (4 907 005 150 руб., 100%)</t>
  </si>
  <si>
    <t>ooopsmk.ru</t>
  </si>
  <si>
    <t>СИБИРСКАЯ ИНВЕСТИЦИОННАЯ КОМПАНИЯ, АО (2 053 392 000 руб., 100%)</t>
  </si>
  <si>
    <t>pso@pso-kzn.ru.opr2@pso-kzn.ru</t>
  </si>
  <si>
    <t>Зиганшин Равиль Хабибуллович (72 300 000 руб., 100%)</t>
  </si>
  <si>
    <t>9945202@mail.ru, aopso13@yandex.ru, buh@pso13.ru, pso13@pso13.org, pso13@pso13.ru, tender@pso13.ru</t>
  </si>
  <si>
    <t>pso13.ru, www.pso13.org</t>
  </si>
  <si>
    <t>ПГС 13, ООО (33.87%)
ПМК 13, ООО (32.60%)
Воротнин Юрий Иванович (0.39%)
Воротнин Юрий Ивановича (0.39%)</t>
  </si>
  <si>
    <t>43 560 000</t>
  </si>
  <si>
    <t>ЗАКРЫТОЕ АКЦИОНЕРНОЕ ОБЩЕСТВО С ОГРАНИЧЕННОЙ ОТВЕТСТВЕННОСТЬЮ "РБПИ АС" (1 010 000 000 руб., 100%)</t>
  </si>
  <si>
    <t>156 780 000</t>
  </si>
  <si>
    <t>natali605@yandex.ru</t>
  </si>
  <si>
    <t>Жуков Федор Михайлович (10 000 руб., 100%)</t>
  </si>
  <si>
    <t>Производство штукатурных работ</t>
  </si>
  <si>
    <t>oaopccf@mail.ru</t>
  </si>
  <si>
    <t>www.рssf.ru</t>
  </si>
  <si>
    <t>ТПП СТОЛИЧНОЕ, ООО (40 000 000 руб.)</t>
  </si>
  <si>
    <t>1 142 580 000</t>
  </si>
  <si>
    <t>info@krost.ru, senin@krost.net</t>
  </si>
  <si>
    <t>www.krost.ru</t>
  </si>
  <si>
    <t>Добашин Алексей Алексеевич (150 000 000 руб., 100%)</t>
  </si>
  <si>
    <t>oooptbkronos@yandex.ru</t>
  </si>
  <si>
    <t>Гришин Владислав Александрович (11 000 руб., 50%)
Соломатина Анна Владимировна (11 000 руб., 50%)</t>
  </si>
  <si>
    <t>431 460 000</t>
  </si>
  <si>
    <t>ptbf@mail.ru</t>
  </si>
  <si>
    <t>Урсу Дмитрий Владимирович (130 000 руб., 100%)</t>
  </si>
  <si>
    <t>962 060 000</t>
  </si>
  <si>
    <t>deneg_net@i_nebudet.ru, fedorovava@ptvs.alrosa.ru, fghfghf@mail.ru, gfjfgjf@mail.ru, hghjgjkg@mail.ru, hjhhlk@mail.ru, litvinovata@ptvs.alrosa.ru, makshancevaad@alrosa.ru, mironovayua@alrosa.ru, net_deneg@plati.ru</t>
  </si>
  <si>
    <t>ptvs-mir.ru</t>
  </si>
  <si>
    <t>АЛРОСА (ПАО), АК (6 970 375 868 руб., 100%)</t>
  </si>
  <si>
    <t xml:space="preserve"> info@ptgb.ru, gosuslugi@betokam.ru, info@ptgb.ru, oge1@ptgb.ru</t>
  </si>
  <si>
    <t>www.prc.perm.ru, www.ptgb.ru</t>
  </si>
  <si>
    <t>15 530 000</t>
  </si>
  <si>
    <t>379@yaratelle.ru, admin@pvkakbars.ru, chulpan.kpf@mail.ru, pvk1389@mail.ru, pvkakbars@mail.ru</t>
  </si>
  <si>
    <t>tender-yaratelle.ru, yaratelle.ru</t>
  </si>
  <si>
    <t>ИНВЕСТИЦИИ И КОНСАЛТИНГ, ООО (665 399 525.82 руб., 74.25%)
ХОЛДИНГОВАЯ КОМПАНИЯ АК БАРС, АО (170 425 219.06 руб., 19.01%)
КАЗАНСКАЯ МЕЛЬНИЦА, ООО (60 169 930.12 руб., 6.71%)
Татарстан Респ, ПЕСТРЕЧИНСКИЙ МУНИЦИПАЛЬНЫЙ РАЙОН РЕСПУБЛИКИ ТАТАРСТАН (87 165 руб., 0.0097%)
Гильмутдинова Эльвира Шамиловна (18 160 руб., 0.0020%)</t>
  </si>
  <si>
    <t>13 170 000</t>
  </si>
  <si>
    <t>akashevo_glavbuh@mail.ru, priemnaya@akashevo.ru</t>
  </si>
  <si>
    <t>www.akashevo.ru</t>
  </si>
  <si>
    <t>МФИ, ООО (6 945 796.4 руб., 99.99%)
РСХБ-ФИНАНС, ООО (5.6 руб., 0.00010%)</t>
  </si>
  <si>
    <t>avdonoaobpf@gmail.com</t>
  </si>
  <si>
    <t>УПРАВЛЕНИЕ АГРОАКТИВАМИ, ООО (162 200 000 руб.)</t>
  </si>
  <si>
    <t>gb@verhpf.ru, verh@tvcom.ru, verhpf@mail.ru</t>
  </si>
  <si>
    <t>www.verhpf.ru</t>
  </si>
  <si>
    <t>20 680 000</t>
  </si>
  <si>
    <t>pravo@zpfrk.ru, snab@zpfrk.ru, torgovlya@zpfrk.ru</t>
  </si>
  <si>
    <t>http://www.zpfrk.ru/</t>
  </si>
  <si>
    <t>ptf_koms@mail.ru, zotevanp@zferma.com</t>
  </si>
  <si>
    <t>http://zferma.com</t>
  </si>
  <si>
    <t>290 150 000</t>
  </si>
  <si>
    <t>info@donhen.ru, simonova@donhen.ru</t>
  </si>
  <si>
    <t>donhen.ru, http://www.kopitaniya.ru/</t>
  </si>
  <si>
    <t>437 510 000</t>
  </si>
  <si>
    <t>alzas97@gmail.com, factory@reftp.ru, langueva@reftp.ru, tender1@reftp.ru, tender4@reftp.ru</t>
  </si>
  <si>
    <t>reftp.ru</t>
  </si>
  <si>
    <t>anna@roskar-spb.ru</t>
  </si>
  <si>
    <t>roskar.ru</t>
  </si>
  <si>
    <t>992 890 000</t>
  </si>
  <si>
    <t>lnz.pfsv@mail.ru, vodaural@mail.ru</t>
  </si>
  <si>
    <t>4706002688_470650001@eo.tensor.ru, accountancy@severnaya.ru, info@severnaya.ru</t>
  </si>
  <si>
    <t>www.pcrc.spb.ru/newsinform</t>
  </si>
  <si>
    <t>2 740 040 000</t>
  </si>
  <si>
    <t>asmirnova@pfsin.ru, gsoldatova@pfsin.ru, isaeva-hromova@pfsin.ru, jrezepov@pfsin.ru, office@pfsin.ru, tlapitskaya@pfsin.ru</t>
  </si>
  <si>
    <t>www.vkkz.su</t>
  </si>
  <si>
    <t>info@hordel.ru, pfabrika@moris.ru, ptf.chamzinka@mail.ru</t>
  </si>
  <si>
    <t>eko-halal.ru, hordel.ru</t>
  </si>
  <si>
    <t>2 870 160 000</t>
  </si>
  <si>
    <t>mail@chepfa.ru, muntyande@chepfa.ru, murashov.a@chepfa.ru</t>
  </si>
  <si>
    <t>www.chepfa.ru</t>
  </si>
  <si>
    <t>208 910 000</t>
  </si>
  <si>
    <t>muzdin@elinar-broiler.ru, reception@elinar-broiler.ru</t>
  </si>
  <si>
    <t>elinar-broiler.ru</t>
  </si>
  <si>
    <t>ЭЛФИН, ООО (49 329 924.6 руб., 100%)</t>
  </si>
  <si>
    <t>info@vp-m.ru</t>
  </si>
  <si>
    <t>vp-m.ru</t>
  </si>
  <si>
    <t>Трухин Виктор Иванович (20 000 руб., 100%)</t>
  </si>
  <si>
    <t>45 590 000</t>
  </si>
  <si>
    <t>info@ptkdelta.ru, korenevav@ptkdelta.ru, vdv739@mail.ru</t>
  </si>
  <si>
    <t>www.ptk-delta.tiu.ru, www.ptkdelta.ru</t>
  </si>
  <si>
    <t>Алескеров Тимур Расимович (10 000 руб., 100%)</t>
  </si>
  <si>
    <t>811 930 000</t>
  </si>
  <si>
    <t>urbanfasad.ru</t>
  </si>
  <si>
    <t>Салько Василий Андреевич (10 000 руб., 100%)</t>
  </si>
  <si>
    <t>21 140 000</t>
  </si>
  <si>
    <t>potapova.ta@ptkugol.ru</t>
  </si>
  <si>
    <t>ШАХТА ПОЛОСУХИНСКАЯ, АО (25 740 000 руб., 99%)
АКТИВКАПИТАЛ, АО (260 000 руб., 1%)</t>
  </si>
  <si>
    <t>5 705 010 000</t>
  </si>
  <si>
    <t>ptk@pt-k.ru, shop.pt-k@yandex.ru</t>
  </si>
  <si>
    <t>Дронов Максим Валерьевич (10 000 руб., 100%)</t>
  </si>
  <si>
    <t>226 620 000</t>
  </si>
  <si>
    <t>www.mysprom.net</t>
  </si>
  <si>
    <t>Абдуллаев Ровшан Расим Оглы (10 000 руб., 100%)</t>
  </si>
  <si>
    <t>30 480 000</t>
  </si>
  <si>
    <t>in@osnovagroup.ru, zhukova@osnovagroup.ru</t>
  </si>
  <si>
    <t>osnovagroup.ru</t>
  </si>
  <si>
    <t>Белан Юрий Николаевич (4 000 000 руб., 51%)
Бондарев Юрий Владимирович (2 113 724 руб., 26.95%)
Шобухов Юрий Владимирович (1 729 412 руб., 22.05%)</t>
  </si>
  <si>
    <t>87 050 000</t>
  </si>
  <si>
    <t>admin@ptport.ru, aleksankina@ptport.ru, gosopo@ptport.ru, secretary@ptport.ru</t>
  </si>
  <si>
    <t>ptport.ru</t>
  </si>
  <si>
    <t>НМТП, ПАО (3 010 000 руб., 100%)</t>
  </si>
  <si>
    <t>Деятельность вспомогательная, связанная с морским транспортом</t>
  </si>
  <si>
    <t>5 266 700 000</t>
  </si>
  <si>
    <t>zta@ptr-oil.com</t>
  </si>
  <si>
    <t>Ковалев Максим Игоревич (15 000 руб., 100%)</t>
  </si>
  <si>
    <t>inska@mail.ru, yzik42@mail.ru</t>
  </si>
  <si>
    <t>inskaya.ru</t>
  </si>
  <si>
    <t>РОСТПОЗИТИВИМПУЛЬС, АО (10 000 руб., 100%)</t>
  </si>
  <si>
    <t>74 270 000</t>
  </si>
  <si>
    <t>asatryan@atbmarket.com, braginigor@mail.ru, kontur@pudmarket.ru</t>
  </si>
  <si>
    <t>pudmarket.ru</t>
  </si>
  <si>
    <t>301 470 000</t>
  </si>
  <si>
    <t>info-ru@puma.com</t>
  </si>
  <si>
    <t>www.puma.com</t>
  </si>
  <si>
    <t>ООО "Аустрия Пума Дасслер Гез.мбХ" (3 115 000 руб., 89%)
ПУМА СЕ (385 000 руб., 11%)</t>
  </si>
  <si>
    <t>1 470 700 000</t>
  </si>
  <si>
    <t>info@puratos.ru, zkorchagina@puratos.com</t>
  </si>
  <si>
    <t>www.puratos.ru</t>
  </si>
  <si>
    <t>207 160 000</t>
  </si>
  <si>
    <t>info@pfvis.ru, nikishin@pfvis.ru</t>
  </si>
  <si>
    <t>ВИС (АО), ГРУППА (2 805 000 руб., 93.50%)
Скрябин Евгений Владимирович (195 000 руб., 6.50%)</t>
  </si>
  <si>
    <t>596 080 000</t>
  </si>
  <si>
    <t>agz_rogovoi@mail.ru, alsvserg@skbkontur.ru, bit@rcbit.ru, centre@skbkontur.ru, centre@skbkontur.tu, ender@skbkontur.ru, homenko@skbkontur.ru, ilchenko_es@mail.ru, infj@skbkontur.ru, info@crimea-stroy.ru</t>
  </si>
  <si>
    <t>2 266 110 000</t>
  </si>
  <si>
    <t>Pfizer PFE Eastern Investments B.V. (95 647 500 руб., 90%)
ООО "Пфайзер Люксембург С.А.Р.Л." (Pfizer Luxembo) (10 627 500 руб., 10%)</t>
  </si>
  <si>
    <t>1 760 270 000</t>
  </si>
  <si>
    <t>chernusheva_uv@pfvaraksino.ru, commercial@pfvaraksino.ru, esen@komos.ru, ipf_office@pfvaraksino.ru, kurganov@komos.ru, office@pfvaraksino.ru, vpf_office@pfvaraksino.ru</t>
  </si>
  <si>
    <t>www.pfvaraksino.ru</t>
  </si>
  <si>
    <t>ХАЙПЕРФУДС ХОЛДИНГ, ООО (397 264 000 руб., 100%)</t>
  </si>
  <si>
    <t>61 060 000</t>
  </si>
  <si>
    <t>office@pfc-cska.com</t>
  </si>
  <si>
    <t>www.pfc-cska.com</t>
  </si>
  <si>
    <t>tendersale@pecom.ru</t>
  </si>
  <si>
    <t>www.pecom.ru</t>
  </si>
  <si>
    <t>Фирсова Ирина Владимировна (5 833.34 руб., 58.33%)
Филатов Вадим Александрович (3 000 руб., 30%)
Фирсов Олег Евгеньевич (583.33 руб., 5.83%)
Фирсова Екатерина Евгеньевна (583.33 руб., 5.83%)</t>
  </si>
  <si>
    <t>m.lashkova@pes.spb.ru</t>
  </si>
  <si>
    <t>www.pes.spb.ru</t>
  </si>
  <si>
    <t>1 140 050 000</t>
  </si>
  <si>
    <t>brovkovadim@yandex.ru, office@pestenergo.ru</t>
  </si>
  <si>
    <t>pestenergo.ru</t>
  </si>
  <si>
    <t>СИБУР-РТ, АО (901 000 руб., 90.10%)
ТАИФ-НК, АО (99 000 руб., 9.90%)</t>
  </si>
  <si>
    <t>159 370 000</t>
  </si>
  <si>
    <t>1654@mail.ru, emceva@elseti.ru, gossector@elseti.ru, gossektor@eiseti.ru, gossektor@elset.ru, gossektor@elsetix.ru, hjjfjfjkkdk@mail.ru, office@els.megalog.ru, office@elset.ru, offise@elseti.ru</t>
  </si>
  <si>
    <t>145 820 000</t>
  </si>
  <si>
    <t>УК ВЕТРОЭНЕРГЕТИКА, ООО (16 400 000 руб., 100%)</t>
  </si>
  <si>
    <t>kna@r-industria.ru</t>
  </si>
  <si>
    <t>КОРПОРАЦИЯ Р-ИНДУСТРИЯ, ООО (285 714 285.72 руб., 100%)</t>
  </si>
  <si>
    <t>zaharova.sv@email24.pro</t>
  </si>
  <si>
    <t>ТОВАРИЩЕСТВО С ОГРАНИЧЕННОЙ ОТВЕТСТВЕННОСТЬЮ "ЛЕМАН ГРУП ЭЛПИ" (99 900 руб., 99.90%)
Терешина Наталья Петровна (100 руб., 0.10%)</t>
  </si>
  <si>
    <t>erina_e@rusklimat.ru, simonov_p@rusklimat.ru</t>
  </si>
  <si>
    <t>rusklimat.ru</t>
  </si>
  <si>
    <t>Величко Сергей Борисович (150 000 000 руб., 50%)
Тимошенко Михаил Валерьевич (150 000 000 руб., 50%)</t>
  </si>
  <si>
    <t>1 882 660 000</t>
  </si>
  <si>
    <t>alexey.bondyuchenko@ladacenter.ru, alexey.shipilov@ladacenter.ru, bondyuchenko@ladacenter.ru, darya.dyachenko@ladacenter.ru, denis.yamshchikov@ladacenter.ru, derugina@ladacenter.ru, gdfgf@yandex.ru, iinfo@ladacenter.ru, info@ladacenter.ru, maria.ivanova@ladacenter.ru</t>
  </si>
  <si>
    <t>Корж Елена Александровна (50 010 000 руб., 100%)</t>
  </si>
  <si>
    <t>148 410 000</t>
  </si>
  <si>
    <t>3197455@mail.ru, 3797455@mail.ru</t>
  </si>
  <si>
    <t>russtroy-dsk.ru</t>
  </si>
  <si>
    <t>Абьян Левон Аршакович (15 773 475 руб., 100%)</t>
  </si>
  <si>
    <t>info@ooorstroy.ru</t>
  </si>
  <si>
    <t>Милькис Николай Александрович (5 000 руб., 50%)
Сибирев Иван Владимирович (4 000 руб., 40%)
Золотухин Валерий Олегович (500 руб., 5%)
Нуриев Константин Сергеевич (500 руб., 5%)</t>
  </si>
  <si>
    <t>112750362@mail.ru, 11275036@mail.ru, 584@mail.ru, a.karas@phsv.ru, abakaeva@rphar.ru, abakaeva@rpharm.ru, abramova@rpharm.ru, ad.berezhnaya@rpharm.ru, afanaseva@rpharm.ru, ai.zaytsev@rpharm.ru</t>
  </si>
  <si>
    <t>http://www.r-pharm.com/ru/, www.r-farm.com, www.r-pharm.com</t>
  </si>
  <si>
    <t>27 703 210 000</t>
  </si>
  <si>
    <t>Баер Нисон Александрович (10 000 руб., 100%)</t>
  </si>
  <si>
    <t>4 120 000</t>
  </si>
  <si>
    <t>it@vostok1.com, vostok1@vostok1.com</t>
  </si>
  <si>
    <t>www.vostok1.com</t>
  </si>
  <si>
    <t>elena.holding2012@mail.com, elena.holdinq2012@gmail.com, elena.holdinq2012@qmail.com, ravis.11@mail.ru, ravis@chel.surnet.ru, ravis@chel.surnnet.ru</t>
  </si>
  <si>
    <t>ravisagro.ru</t>
  </si>
  <si>
    <t>РАВИС-ПТИЦЕФАБРИКА СОСНОВСКАЯ, АО (183 812 309.7 руб., 100%)</t>
  </si>
  <si>
    <t>Сёмкин Андрей Васильевич (10 000 руб., 100%)</t>
  </si>
  <si>
    <t>17 010 000</t>
  </si>
  <si>
    <t>ra8803@yandex.ru, radiusar@yandex.ru</t>
  </si>
  <si>
    <t>Хабудаев Радий Михайлович (10 000 руб., 100%)</t>
  </si>
  <si>
    <t>radiusspb@list.ru</t>
  </si>
  <si>
    <t>Селикаев Руслан Рахимович (500 000 руб., 100%)</t>
  </si>
  <si>
    <t>251 580 000</t>
  </si>
  <si>
    <t>26931@7733.ru</t>
  </si>
  <si>
    <t>Монастырёв Александр Вячеславович (20 000 руб., 100%)</t>
  </si>
  <si>
    <t>3 630 000</t>
  </si>
  <si>
    <t>ruteug@gmail.com, sekretar1@raduga-sintez.ru, syntheze@mail.ru</t>
  </si>
  <si>
    <t>Руцкий Игорь Васильевич (302 000 руб., 100%)</t>
  </si>
  <si>
    <t>74 720 000</t>
  </si>
  <si>
    <t>raduga.aev@ya.ru</t>
  </si>
  <si>
    <t>Хэ Лиган (243 944 714.23 руб., 100%)</t>
  </si>
  <si>
    <t>8 750 000</t>
  </si>
  <si>
    <t>chancery@zes.orene.ru, chpo@samara.rossetivolga.ru, ir@rossetivolg.ru, ir@rossetivolga.ru, jhjhkjh@mail.ru, kosicyn@kues.penzacom.ru, nilpo@nles.penzacom.ru, office@mrsk-volgi.ru, pts1@orene.ru, public@penzacom.ru</t>
  </si>
  <si>
    <t>http://www.rossetivolga.ru, www.mrsk-volgi.ru/</t>
  </si>
  <si>
    <t>ПАО «Российские сети» (67.97%)
Зарецкий Дмитрий Львович (0.00050%)
Филиппов Константин Глебович (0.00030%)
Реброва Наталия Леонидовна (0.00010%)</t>
  </si>
  <si>
    <t>ruslan.fayzullin@starnafta.com, suker_23@mail.ru, suker_7@mail.ru</t>
  </si>
  <si>
    <t>raevsahar.ru</t>
  </si>
  <si>
    <t>БАШКИРСКАЯ САХАРНАЯ КОМПАНИЯ, ООО (10 000 руб., 100%)</t>
  </si>
  <si>
    <t>147 310 000</t>
  </si>
  <si>
    <t>ek.ponomarenko@x5.ru</t>
  </si>
  <si>
    <t>КОРПОРАТИВНЫЙ ЦЕНТР ИКС 5, ООО (1 010 000 руб., 100%)</t>
  </si>
  <si>
    <t>886173981@mail.ru, client.service@adseti.ru, demenkonm@novuzs.ru, dyadischeva@kuben.elektra.ru, dyadishevala@kuben.elektra.ru, dyadishevla@kuben.elektra.ru, ggf@mal.ru, gurauu@kuben.elektra.ru, ip@armset.ru, kruglovasi@kuben.elektra.ru</t>
  </si>
  <si>
    <t>https://rosseti-kuban.ru/, www.kubanenergo.ru</t>
  </si>
  <si>
    <t>Публичное акционерное общество «Российские сети» (93.44%)</t>
  </si>
  <si>
    <t>Худов Леонид Викторович (100 000 руб., 100%)</t>
  </si>
  <si>
    <t>144 710 000</t>
  </si>
  <si>
    <t>rshanovsky@gmail.com, y.berezina@arshanovskiy.ru</t>
  </si>
  <si>
    <t>ra19.ru</t>
  </si>
  <si>
    <t>ЗИМБЕР ИНВЕСТМЕНТС ЛИМИТЕД (10 000 руб., 100%)</t>
  </si>
  <si>
    <t>2 642 270 000</t>
  </si>
  <si>
    <t>emailpriberezovsky@stroyservis.com, priberezovsky@stroyservis.com</t>
  </si>
  <si>
    <t>www.stroyservis.com</t>
  </si>
  <si>
    <t>СТРОЙСЕРВИС, АО (115 988 754.6 руб., 100%)</t>
  </si>
  <si>
    <t>10 861 720 000</t>
  </si>
  <si>
    <t>info@bungur.ru, negivilov@bungur.ru, staheev@bungur.ru</t>
  </si>
  <si>
    <t>bungur.ru</t>
  </si>
  <si>
    <t>ФАНАМЕРИ ХОЛДИНГЗ ЛИМИТЕД (100 362 500 руб., 50%)
КРАСНОЯРСКИЙ ЦЕМЕНТ, ООО (66 239 250 руб., 33%)
Бодренков Валерий Александрович (8 530 812.5 руб., 4.25%)
Козионов Юрий Анатольевич (8 530 812.5 руб., 4.25%)
Проскуряков Павел Николаевич (8 530 812.5 руб., 4.25%)
Черепанов Владимир Степанович (8 530 812.5 руб., 4.25%)</t>
  </si>
  <si>
    <t>806 740 000</t>
  </si>
  <si>
    <t>ЭЛСИ ХОЛДИНГ, ООО (14 985 000 руб., 99.90%)
Авдолян Альберт Аликович (15 000 руб., 0.10%)</t>
  </si>
  <si>
    <t>Добыча антрацита открытым способом</t>
  </si>
  <si>
    <t>10 777 560 000</t>
  </si>
  <si>
    <t>Сидоренко Елена Олеговна (7 000 руб., 70%)
Титков Евгений Владимирович (3 000 руб., 30%)</t>
  </si>
  <si>
    <t>2 330 990 000</t>
  </si>
  <si>
    <t>ilosyk@mail.ru</t>
  </si>
  <si>
    <t>АЛЛЕВИЯ ИНВЕСТМЕНТС ЛИМИТЕД (4 247 535 руб., 49.97%)
HILLESTRATO INVESTMENTS LIMITED (3 400 000 руб., 40%)
ПГК, ООО (849 915 руб., 10%)
СИБАНТРАЦИТ ЛИМИТЕД (2 550 руб., 0.030%)</t>
  </si>
  <si>
    <t>14 224 970 000</t>
  </si>
  <si>
    <t>kirb@ruscoal.ru</t>
  </si>
  <si>
    <t>www.ruscoal.ru</t>
  </si>
  <si>
    <t>РУССКИЙ УГОЛЬ, АО (581 758 299 руб., 100%)</t>
  </si>
  <si>
    <t>1 687 080 000</t>
  </si>
  <si>
    <t>perm_priemnaya@stroyservis.com</t>
  </si>
  <si>
    <t>СТРОЙСЕРВИС, АО (34 701 500 руб., 100%)</t>
  </si>
  <si>
    <t>indoc@sibanthracite.ru, secretaru@sibanthracite.ru, secretary@sibanthracite.ru</t>
  </si>
  <si>
    <t>21 662 860 000</t>
  </si>
  <si>
    <t>dtb@rikt.ru, elena.belyaeva2@evraz.com, kudina_em@raspadskaya.com</t>
  </si>
  <si>
    <t>7 245 210 000</t>
  </si>
  <si>
    <t>stepan.info@rstecom.ru</t>
  </si>
  <si>
    <t>2 130 810 000</t>
  </si>
  <si>
    <t>boginskayaiv@suek.ru, krivchenkoyv@suek.ru, krivshenkoyv@suek.ru, mikhalevass@suek.ru, office@tugnui.suek.ru, shubarinamv@suek.ru, sokolovagyu@suek.ru, tugnuyrazrez@suek.ru</t>
  </si>
  <si>
    <t>oaort.ru</t>
  </si>
  <si>
    <t>СУЭК, АО (334 363 руб.)</t>
  </si>
  <si>
    <t>9 562 600 000</t>
  </si>
  <si>
    <t>berindaea@suek.ru, cinoshkinagn@suek.ru, cinshkinagn@suek.ru, officeman@suek.ru, officerh@suek.ru, priyemnaya_hrn@suek.ru</t>
  </si>
  <si>
    <t>СУЭК, АО (101 043 руб.)</t>
  </si>
  <si>
    <t>650 600 000</t>
  </si>
  <si>
    <t>sivanov300@gmail.com, stepanovdv2@kvsu.ru</t>
  </si>
  <si>
    <t>КОМПАНИЯ ВОСТСИБУГОЛЬ, ООО (1 671 483 682 руб., 100%)</t>
  </si>
  <si>
    <t>slook@bk.ru</t>
  </si>
  <si>
    <t>Казанцев Константин Сергеевич (100 000 руб., 100%)</t>
  </si>
  <si>
    <t>340 740 000</t>
  </si>
  <si>
    <t>burmenskaja@raiffeisenagro.ru, raiffeisen.agro@agravis.de</t>
  </si>
  <si>
    <t>raiffeisenagro.ru</t>
  </si>
  <si>
    <t>Акционерное ООО "АГРАВИС Футтермиттель ГмбХ" (114 361 500 руб., 99.99%)
AGRAVIS GUS Holding GmbH (2 300 руб., 0.0020%)</t>
  </si>
  <si>
    <t>elena.makarova@raiffeisen.ru, leasing@raiffeisen.ru, rlrucheckup@raiffeisen.ru</t>
  </si>
  <si>
    <t>www.raiffeisen-leasing.ru, www.rlru.ru</t>
  </si>
  <si>
    <t>РАЙФФАЙЗЕНБАНК, АО (1 071 000 000 руб., 100%)</t>
  </si>
  <si>
    <t>199 530 000</t>
  </si>
  <si>
    <t>ageev@ralf.ru</t>
  </si>
  <si>
    <t>ralf.ru</t>
  </si>
  <si>
    <t>РАЛЬФ РИНГЕР ГРУПП, ООО (59 400 руб., 99%)
Бережная Вероника Александровна (600 руб., 1%)</t>
  </si>
  <si>
    <t>49646@mail.ru, aup@aoramts.ru, boatvk@mail.ru, info@ramteploset.ru, iva@aoramts.ru, ivanchenkotvk@gmail.com, ivaramts@gmail.com, kaptuk@mail.ru, pravorts@gmail.com, pto.ramteplo@gmail.com</t>
  </si>
  <si>
    <t>elena.golovacheva@ramkhp.ru, oavl@mail.ru, post@ramkhp.com, post@ramkhp.ru</t>
  </si>
  <si>
    <t>ramkhp.ru</t>
  </si>
  <si>
    <t>47 160 000</t>
  </si>
  <si>
    <t>info@ramkonditer.ru</t>
  </si>
  <si>
    <t>Кажилоти Семен Исаевич (1 612 500 руб., 53.75%)
Кажилоти Михаил Исаевич (1 012 500 руб., 33.75%)
Солонин Сергей Александрович (375 000 руб., 12.50%)</t>
  </si>
  <si>
    <t>91 270 000</t>
  </si>
  <si>
    <t>54635@mail.ru, 54653163@mail.ru, 6546315@mail.ru, 6584654@mail.ru, aho@se.stavre.elektra.ru, alborova-zt@rossetisk.ru, alectroset@mail.ru, bamatova@dagesk.ru, bammatoba@dagesk.ru, bammatova@dadesk.ru</t>
  </si>
  <si>
    <t>www.mrsk-sk.ru, www.rossetisk.ru</t>
  </si>
  <si>
    <t>СЕВКАВКАЗЭНЕРГО, АО (0.070%)
КАРАЧАЕВО-ЧЕРКЕССКЭНЕРГО, АО (0.050%)
КАББАЛКЭНЕРГО, АО (0.010%)
СЕЛО ЧИРКЕЙ, АДМИНИСТРАЦИЯ МО (0.0098%)
СЕЛО ГИМРЫ, АДМИНИСТРАЦИЯ МО (0.0028%)
АДМИНИСТРАЦИЯ С.НОВО-ЧИРКЕЙ (0.0025%)
СЕЛО ЧИРКАТА ГУМБЕТОВСКОГО РАЙОНА РД, АСП (0.0022%)
СЕЛО ГЕЛЬБАХ, АДМИНИСТРАЦИЯ МО СП (0.0019%)
СЕЛО МИАТЛИ, АДМИНИСТРАЦИЯ МО СП (0.0015%)
Админ.муниципал.образования «село Старый Бавтугай» г.Кизилюрт Респ.Дагестан (0.0012%)
...*</t>
  </si>
  <si>
    <t>fenules.ru</t>
  </si>
  <si>
    <t>325 990 000</t>
  </si>
  <si>
    <t>rc@rendez-vous.ru, s.yuferev@rendez-vous.ru</t>
  </si>
  <si>
    <t>www.rendez-vous.ru</t>
  </si>
  <si>
    <t>Бахчинян Мариам Арестаковна (300 000 руб., 100%)</t>
  </si>
  <si>
    <t>1 234 360 000</t>
  </si>
  <si>
    <t>runoil.ru</t>
  </si>
  <si>
    <t>Дуботолков Владимир Львович (3 000 000 руб., 100%)</t>
  </si>
  <si>
    <t>3 790 000</t>
  </si>
  <si>
    <t>ales@rapart.aero, borisenko1@rapart.aero, info@rapart.aero, sales@rapart.aero</t>
  </si>
  <si>
    <t>КОРПОРАЦИЯ ИРКУТ, ПАО (60 000 000 руб., 100%)</t>
  </si>
  <si>
    <t>191 070 000</t>
  </si>
  <si>
    <t>msnezhko@rapporto.ru, tenders@rapporto.ru</t>
  </si>
  <si>
    <t>rapporto.ru</t>
  </si>
  <si>
    <t>Шимунов Артур Натанилович (336 816.315 руб., 99.99%)
Шимунов Раваши Натанилович (33.685 руб., 0.010%)</t>
  </si>
  <si>
    <t>60 950 000</t>
  </si>
  <si>
    <t>tender@rarus.ru</t>
  </si>
  <si>
    <t>1С, ООО (7 650 руб., 51%)
Казачков Дмитрий Иосифович (7 350 руб., 49%)</t>
  </si>
  <si>
    <t>kuliginaoa@raspadskaya.com, marina.perekhodko@evraz.com, oa@raspadskaya.com, office@raspad.rikt.ru</t>
  </si>
  <si>
    <t>EVRAZ PLC (93.24%)</t>
  </si>
  <si>
    <t>aleksandrova_ve@rkoks.m-sk.ru, marina.perekhodko@evraz.com</t>
  </si>
  <si>
    <t>6 482 420 000</t>
  </si>
  <si>
    <t>galina_0978@mail.ru, safronov_iv@oaokuban.ru, sekretar@aorassvet.com</t>
  </si>
  <si>
    <t>www.ahkuban.ru</t>
  </si>
  <si>
    <t>1 124 020 000</t>
  </si>
  <si>
    <t>Подвальный Владимир Абрамович (500 000 руб., 100%)</t>
  </si>
  <si>
    <t>240 000</t>
  </si>
  <si>
    <t>edekalinin@rasu.ru, evazarkina@rasu.ru, info@rasu.ru, olvmironova@rasu.ru</t>
  </si>
  <si>
    <t>rasu.ru</t>
  </si>
  <si>
    <t>АТОМЭНЕРГОПРОМ, АО (954 915 000 руб.)</t>
  </si>
  <si>
    <t>2782242@mail.ru, rosagrotrade@mail.ru</t>
  </si>
  <si>
    <t>rosagrotrade.ru</t>
  </si>
  <si>
    <t>RAGT SEMENCES (4 900 руб., 49%)
Злобина Людмила Валентиновна (2 600 руб., 26%)
Бандюк Дмитрий Сергеевич (2 500 руб., 25%)</t>
  </si>
  <si>
    <t>271 160 000</t>
  </si>
  <si>
    <t>ao@minudo.ru, medved@minudo.ru, priem_id@minudo.ru, rat@minudo.ru</t>
  </si>
  <si>
    <t>МИНУДОБРЕНИЯ, АО (11 316 945 руб., 100%)</t>
  </si>
  <si>
    <t>121 130 000</t>
  </si>
  <si>
    <t>hotline@vmk.vlad.ru, office@vmk.vlad.ru</t>
  </si>
  <si>
    <t>www.ratimir-tm.ru</t>
  </si>
  <si>
    <t>Сон Владимир Хангиевич (22 302 111.86 руб., 18.41%)
ПИННЭКЛ ГРУПП ОФ КАМПАНИС ПТЕ.ЛТД. (14 483 353.56 руб., 11.95%)
Самолина Галина Анатольевна (11 886 789.46 руб., 9.81%)
Труш Антоний Александрович (9 326 288.69 руб., 7.70%)
Труш Ангелина Александровна (8 718 833.51 руб., 7.19%)
Мейн Вячеслав (8 616 862.66 руб., 7.11%)
Труш Наталья Михайловна (7 630 681.8 руб., 6.30%)
Бастраков Сергей Николаевич (7 284 670.26 руб., 6.01%)
Труш Захар Александрович (5 933 900 руб., 4.89%)
Труш Семён (5 933 900 руб., 4.89%)
...*</t>
  </si>
  <si>
    <t>gz@raft.ru</t>
  </si>
  <si>
    <t>raft.ru</t>
  </si>
  <si>
    <t>Онухов Владимир Антонович (9 000 руб., 90%)
Комиссаров Дмитрий Сергеевич (1 000 руб., 10%)</t>
  </si>
  <si>
    <t>admin.racin@tatar.ru, info@kampkazan.ru, koklin.racin@tatar.ru, racin.kazan@tatar.ru, racin@inbox.ru, vatanina@mail.ru.racin@racin.ru</t>
  </si>
  <si>
    <t>racin.ru</t>
  </si>
  <si>
    <t>501 570 000</t>
  </si>
  <si>
    <t>ru-leasing.info@rosbank.ru, valeria.melnikova@rosbank.ru</t>
  </si>
  <si>
    <t>РОСБАНК, ПАО (2 105 012 949.8 руб., 99.99%)
РУСФИНАНС, ООО (7 050.2 руб., 0.00030%)</t>
  </si>
  <si>
    <t>69 340 000</t>
  </si>
  <si>
    <t>РОСБАНК, ПАО (7 078 000 000 руб., 100%)</t>
  </si>
  <si>
    <t>131 750 000</t>
  </si>
  <si>
    <t>anikin.d@rbauto.ru, it_office@rbauto.ru, vezhlivseva.a@rbaut.ru, vezhlivtseva.a@rbauto.ru</t>
  </si>
  <si>
    <t>www.rbauto.ru</t>
  </si>
  <si>
    <t>КОМПАНИЯ СИМ-АВТО, ООО (100 000 руб., 100%)</t>
  </si>
  <si>
    <t>210 620 000</t>
  </si>
  <si>
    <t>rbecontract@rbest.ru, rbegroup@rbest.ru</t>
  </si>
  <si>
    <t>Рузанов Николай Владимирович (5 027 500 руб., 50%)
САЛЕКСИМ, ООО (5 027 500 руб., 50%)</t>
  </si>
  <si>
    <t>63 350 000</t>
  </si>
  <si>
    <t>Тен Виталий Вячеславович (10 000 руб., 100%)</t>
  </si>
  <si>
    <t>466 030 000</t>
  </si>
  <si>
    <t>support@rbs-payments.ru</t>
  </si>
  <si>
    <t>ИПР, ООО (280 000 руб., 100%)</t>
  </si>
  <si>
    <t>110 960 000</t>
  </si>
  <si>
    <t>rwg-tp@ruswellgroup.ru</t>
  </si>
  <si>
    <t>РУСВЭЛЛГРУП, АО (9 900 руб., 99%)
ТВЭЛ, АО (100 руб., 1%)</t>
  </si>
  <si>
    <t>12547@mail.ru, 2067707@yandex.ru, 255847@mail.ru, 294_50_@mail.ru, 651148@nalog.ktkt.ru, ail_vrn@rosvodokanal.ru, d.turbanov@rosvodokanal.ru, e.aslamova@rosvodokanal.ru, e.demidova@rosvodokanal.ru, e.durzina@rosvodokanal.ru</t>
  </si>
  <si>
    <t>278 370 000</t>
  </si>
  <si>
    <t>Киндра Евгения Михайловна (612 000 руб., 60%)
Андреев Андрей Анатольевич (204 000 руб., 20%)
Уланова Елена Леонидовна (204 000 руб., 20%)</t>
  </si>
  <si>
    <t>77 040 000</t>
  </si>
  <si>
    <t>236 380 000</t>
  </si>
  <si>
    <t>aaz@rgmek.ru, aho@rgmek.ru, bronp@rgmek.ru, dron@r.ru, dron@rgmek.ru, dronp@rgmk.ru, dronp@rgmmek.ru, dronp@rmpts.ryazan.ru, dronp@tgmek.ru, drop@rgmek.ru</t>
  </si>
  <si>
    <t>rgmek.ru</t>
  </si>
  <si>
    <t>ЦЕНТР ЭНЕРГОСНАБЖЕНИЯ, ООО (7 000 000 руб., 100%)</t>
  </si>
  <si>
    <t>338 940 000</t>
  </si>
  <si>
    <t>buhrgp@gmail.com, do@rgp-nv.ru, krvv_nv@mail.ru, vtormet@gmail.com</t>
  </si>
  <si>
    <t>Фоменко Владислав Владимирович (10 000 руб., 100%)</t>
  </si>
  <si>
    <t>26 830 000</t>
  </si>
  <si>
    <t>a.semchenko@rdp.ru, d.nikiforov@rdp.ru, fetisova_g@rdp.ru, hr@rdp.ru, hra@rdpin.ru, j.korsakova@rdp.ru, partners@rdp.ru, pr@rdp.ru, s.slednev@rdp.ru, sales@rdp.ru</t>
  </si>
  <si>
    <t>БАШИНФОРМСВЯЗЬ, ПАО (673 028.84 руб., 85%)
КОММИТ КЭПИТАЛ, ООО (118 769.8 руб., 15%)</t>
  </si>
  <si>
    <t>729 870 000</t>
  </si>
  <si>
    <t>КОМПАНИЯ "ФАР ИСТ СЕРВИСИЗ-ФЗКО" (1 900 000 000 руб., 95%)
ДЖЕНЕРАЛ КОНСАЛТИНГ СЕРВИСИЗ-ФЗКО (100 000 000 руб., 5%)</t>
  </si>
  <si>
    <t>1 700 340 000</t>
  </si>
  <si>
    <t>help@re-bus.ru, sales@re-bus.ru</t>
  </si>
  <si>
    <t>re-bus.ru</t>
  </si>
  <si>
    <t>Бондаренко Леонид Георгиевич (300 000 руб., 100%)</t>
  </si>
  <si>
    <t>doc@reactive-agency.ru</t>
  </si>
  <si>
    <t>Федосеев Владислав Германович (21 000 руб., 100%)</t>
  </si>
  <si>
    <t>15 740 000</t>
  </si>
  <si>
    <t>СК ТРЕЙД, ООО (621 310 000 руб., 100%)</t>
  </si>
  <si>
    <t>20 010 000</t>
  </si>
  <si>
    <t>Ивашкин Петр Юрьевич (10 500 000 руб., 100%)</t>
  </si>
  <si>
    <t>1 750 000</t>
  </si>
  <si>
    <t>Заика Ирина Анатольевна (100 000 руб., 100%)</t>
  </si>
  <si>
    <t>Черенков Василий Владимирович (1 050 000 руб., 30%)
Аркинд Илья Григорьевич (700 000 руб., 20%)
Горлов Игорь Викторович (700 000 руб., 20%)
Басова Анна Андреевна (630 000 руб., 18%)
Владимиров Сергей Викторович (420 000 руб., 12%)</t>
  </si>
  <si>
    <t>206 000 000</t>
  </si>
  <si>
    <t>elena.bykova@revada-group.com, spb@revada-group.com</t>
  </si>
  <si>
    <t>www.revadainter.ru</t>
  </si>
  <si>
    <t>РЕВАДА, ООО (95 000 руб., 95%)
Антонова Анна Викторовна (5 000 руб., 5%)</t>
  </si>
  <si>
    <t>236 930 000</t>
  </si>
  <si>
    <t>info@mymanya.ru, karpova@revansh.info, manager@revansh.info</t>
  </si>
  <si>
    <t>www.revansh.info, www.revansh.ru</t>
  </si>
  <si>
    <t>Карпова Людмила Владимировна (20 000 руб., 100%)</t>
  </si>
  <si>
    <t>194 560 000</t>
  </si>
  <si>
    <t>info@revo-udc.com</t>
  </si>
  <si>
    <t>everstone.ru, www.revo-udc.com</t>
  </si>
  <si>
    <t>МЕГАФОН, ПАО (1 000 000 руб., 100%)</t>
  </si>
  <si>
    <t>500 760 000</t>
  </si>
  <si>
    <t>vitaly@regard.ru</t>
  </si>
  <si>
    <t>regard.ru</t>
  </si>
  <si>
    <t>Зелепукин Юрий Викторович (5 882.5 руб., 50%)
Михайлов Кирилл Анатольевич (2 941.25 руб., 25%)
Чирков Виталий Юрьевич (2 941.25 руб., 25%)</t>
  </si>
  <si>
    <t>golovina.natalya@zolotoy.ru, stat.otchet.2017@yandex.ru, vityunova.tatyana@zolotoy.ru</t>
  </si>
  <si>
    <t>dahabi.ru</t>
  </si>
  <si>
    <t>Петров Антон Геннадьевич (7 000 руб., 70%)
Петрова Елена Викторовна (2 000 руб., 20%)
Феликсов Алексей Владимирович (1 000 руб., 10%)</t>
  </si>
  <si>
    <t>1 493 410 000</t>
  </si>
  <si>
    <t>a.kuvatov@reginas.ru, chery@reginas.ru, reception-hv3@reginas-ural.ru, sekretar@reginas.ru, ural.haval@reginas-ural.ru</t>
  </si>
  <si>
    <t>reginas.ru</t>
  </si>
  <si>
    <t>Рыбаков Василий Петрович (7 500 000 руб., 75%)
Попов Сергей Николаевич (1 900 000 руб., 19%)
Мартынюк Петр Петрович (600 000 руб., 6%)</t>
  </si>
  <si>
    <t>region50una@yandex.ru</t>
  </si>
  <si>
    <t>region-50.ru</t>
  </si>
  <si>
    <t>Юновидов Александр Борисович (10 000 000 руб., 100%)</t>
  </si>
  <si>
    <t>19 960 000</t>
  </si>
  <si>
    <t>j.efremova@msota.ru</t>
  </si>
  <si>
    <t>ГК МСОТА, ООО (1 809 000 руб., 90%)
Томилин Алексей Николаевич (201 000 руб., 10%)</t>
  </si>
  <si>
    <t>Бредний Кристина Вадимовна (45 000 руб., 75%)
ПРОДУКТЫ ОТ ТИТАНА, ООО (15 000 руб., 25%)</t>
  </si>
  <si>
    <t>regionsaratov64@gmail.com, regionsaratov@e-mail.ru, regionsaratov@inbox.ru</t>
  </si>
  <si>
    <t>Мирощенкова Наталья Геннадьевна (12 500 000 руб., 50%)
Спиридонов Олег Юрьевич (12 500 000 руб., 50%)</t>
  </si>
  <si>
    <t>102 370 000</t>
  </si>
  <si>
    <t>МК КУПИНСКИЙ, ООО (99 000 руб., 99%)
Сбоев Евгений Валерьевич (1 000 руб., 1%)</t>
  </si>
  <si>
    <t>2 190 000</t>
  </si>
  <si>
    <t>regzs@regzs.ru</t>
  </si>
  <si>
    <t>Косован Юлия Александровна (6 500 руб., 65%)
Косован Олег Александрович (3 500 руб., 35%)</t>
  </si>
  <si>
    <t>oooregioninvest.ru</t>
  </si>
  <si>
    <t>СТРОЙАКТИВ, ООО (42 500 руб., 100%)</t>
  </si>
  <si>
    <t>255 260 000</t>
  </si>
  <si>
    <t>regionsnab24@mail.ru</t>
  </si>
  <si>
    <t>regionsnab24.ru</t>
  </si>
  <si>
    <t>Огиенко Егор Владимирович (20 000 руб., 100%)</t>
  </si>
  <si>
    <t>117 320 000</t>
  </si>
  <si>
    <t>regtransservice.ru</t>
  </si>
  <si>
    <t>М-СТАЛЬ, ООО (50 000 руб., 50%)
Симонов Александр (45 000 руб., 45%)
Бойченко Александр Николаевич (5 000 руб., 5%)</t>
  </si>
  <si>
    <t>Деятельность вспомогательная прочая, связанная с железнодорожным транспортом</t>
  </si>
  <si>
    <t>1 170 560 000</t>
  </si>
  <si>
    <t>adv@registratura.ru, tender@registratura.ru</t>
  </si>
  <si>
    <t>registratura.ru</t>
  </si>
  <si>
    <t>АЙКОНГРУП, ООО (99 990 руб., 99.99%)
Черницкая Мария Валерьевна (10 руб., 0.010%)</t>
  </si>
  <si>
    <t>7 900 000</t>
  </si>
  <si>
    <t>Компания "ДУФРИ СТАЭР ХОЛДИНГ ЛИМИТЕД" (6 006 000 руб., 60%)
АВ ХОЛДИНГ, ООО (4 004 000 руб., 40%)</t>
  </si>
  <si>
    <t>Деятельность универсальных магазинов, торгующих товарами общего ассортимента</t>
  </si>
  <si>
    <t>212 790 000</t>
  </si>
  <si>
    <t>privacy@redbull.com</t>
  </si>
  <si>
    <t>www.redbull.com, www.rtdbull.com</t>
  </si>
  <si>
    <t>Ред Булл ГмбХ (8 942 500 руб., 73%)
Ред Булл Дойчланд ГмбХ (3 307 500 руб., 27%)</t>
  </si>
  <si>
    <t>805 710 000</t>
  </si>
  <si>
    <t>zakupki@flyredwings.com</t>
  </si>
  <si>
    <t>www.flyredwings.com</t>
  </si>
  <si>
    <t>info@redskill.ru</t>
  </si>
  <si>
    <t>КРОССФИТ СОЛЮШЕН, ООО (10 000 руб., 100%)</t>
  </si>
  <si>
    <t>info@rem-gas.ru, pravo@rem-gas.ru</t>
  </si>
  <si>
    <t>Гильмутдинов Ленар Аминович (420 000 руб., 40%)
Кунгин Константин Сергеевич (315 000 руб., 30%)
Русаков Максим Викторович (315 000 руб., 30%)</t>
  </si>
  <si>
    <t>101 650 000</t>
  </si>
  <si>
    <t>george.avrutsky@resinex.com</t>
  </si>
  <si>
    <t>www.resinex.ru</t>
  </si>
  <si>
    <t>522 040 000</t>
  </si>
  <si>
    <t>info@resol.pro</t>
  </si>
  <si>
    <t>www.resol.pro</t>
  </si>
  <si>
    <t>Евтеев Денис Викторович (1 000 000 руб., 100%)</t>
  </si>
  <si>
    <t>555 250 000</t>
  </si>
  <si>
    <t>eurotrans@edunet.ru, info@rail-go.ru</t>
  </si>
  <si>
    <t>rail-go.ru</t>
  </si>
  <si>
    <t>Халилов Рахман Искендер Оглы (1 000 000 руб., 100%)</t>
  </si>
  <si>
    <t>info-eka@sp-express.ru</t>
  </si>
  <si>
    <t>РЕЙЛ КАРГО ЛОГИСТИКС - АВСТРИЯ ГМБХ Австрия (160 000 руб., 100%)</t>
  </si>
  <si>
    <t>84 140 000</t>
  </si>
  <si>
    <t>РЕЙЛ1520 ИНВЕСТ, ООО (79 521 750 руб., 99%)
РЕЙЛ 1520 ВАГОН САЙПРЕС ЛТД (803 250 руб., 1%)</t>
  </si>
  <si>
    <t>92 790 000</t>
  </si>
  <si>
    <t>info@railsrv.ru, sapogova59@mail.ru</t>
  </si>
  <si>
    <t>Черницын Игорь Витальевич (8 000 000 руб., 40%)
Бровкова Елена Владимировна (6 000 000 руб., 30%)
Орлов Дмитрий Борисович (6 000 000 руб., 30%)</t>
  </si>
  <si>
    <t>356 470 000</t>
  </si>
  <si>
    <t>info@lassieshop.ru, order@lassieshop.ru, support@lassieshop.ru</t>
  </si>
  <si>
    <t>www.lassieshop.ru, www.reimashop.ru</t>
  </si>
  <si>
    <t>ВАЛАН МЕНЕДЖМЕНТ, АО (6 750 000 руб., 75%)
АКЦИОНЕРНОЕ ОБЩЕСТВО "ДМ КАПИТАЛ" (2 250 000 руб., 25%)</t>
  </si>
  <si>
    <t>1 083 860 000</t>
  </si>
  <si>
    <t>RECKITT BENCKISER HEALTHCARE (UK) LIMITED (65 438 392.5 руб., 90%)
РЕКИТТ БЕНКИЗЕР ДОЙЧЛАНД ГМБХ (7 270 932.5 руб., 10%)</t>
  </si>
  <si>
    <t>635 970 000</t>
  </si>
  <si>
    <t>www.rb.com, www.reckittbenckiser.com</t>
  </si>
  <si>
    <t>КОМПАНИЯ "РЕКИТТ БЕНКИЗЕР (ХАЙДЖИН ХОУМ) ХОЛДИНГЗ ЛИМИТЕД" (1 104 753 283.51 руб., 100%)</t>
  </si>
  <si>
    <t>2 240 310 000</t>
  </si>
  <si>
    <t>Армянский Алексей Васильевич (5 000 руб., 50%)
Сидоров Алексей Викторович (5 000 руб., 50%)</t>
  </si>
  <si>
    <t>1 210 000</t>
  </si>
  <si>
    <t>burmistrova@rekonenergo.ru, ffice@rekonenergo.ru</t>
  </si>
  <si>
    <t>www.rekonenergo.ru</t>
  </si>
  <si>
    <t>231 730 000</t>
  </si>
  <si>
    <t>Балчугов Филипп Иванович (500 000 руб., 50%)
Бешенцев Михаил Юрьевич (500 000 руб., 50%)</t>
  </si>
  <si>
    <t>assist.ceo@relef.ru, avdonkinatv_b2b.sale@relef.ru, borenkoiv.b2b.sale@relef.ru, chubeevaiv_b2b.sale@relef.ru, market@relef.ru, platonov.ceo@mail.ru, relef@relef.ru, shvagdinaav.b2b.sale@relef.ru, steblovais_b2b.sale@relef.ru, zam_nu_glavbuh@relef.ru</t>
  </si>
  <si>
    <t>https://relefopt.ru/, www.relef.ru</t>
  </si>
  <si>
    <t>Платонов Алексей Юрьевич (6 500 руб., 53.44%)
Козинский Сергей Иванович (1 904.75 руб., 15.66%)
Голубев Павел Валентинович (755.33 руб., 6.21%)
Пименов Виктор Александрович (755.33 руб., 6.21%)
Снимщиков Иван Николаевич (755.33 руб., 6.21%)
Круть Анатолий Александрович (638.57 руб., 5.25%)
Третьяк Евгений Дмитриевич (608.16 руб., 5%)
Кузьмин Олег Александрович (245.69 руб., 2.02%)</t>
  </si>
  <si>
    <t>e.gubina@remonter.su, remonter18@inbox.ru</t>
  </si>
  <si>
    <t>remonter.su</t>
  </si>
  <si>
    <t>Наумов Сергей Викторович (22 000 руб., 100%)</t>
  </si>
  <si>
    <t>glushko.nv@mmk.ru, info@remputmmk.ru</t>
  </si>
  <si>
    <t>remputmmk.ru</t>
  </si>
  <si>
    <t>ММК, ПАО (45 381 499 руб., 100%)</t>
  </si>
  <si>
    <t>12 830 000</t>
  </si>
  <si>
    <t>Зайцева Илона Леонидовна (153 000 руб., 51%)
Рябикин Геннадий Николаевич (147 000 руб., 49%)</t>
  </si>
  <si>
    <t>435 590 000</t>
  </si>
  <si>
    <t>rsk1998@yandex.ru</t>
  </si>
  <si>
    <t>Логинов Николай Викторович (9 700 руб., 97%)
Мегела Сергей Васильевич (300 руб., 3%)</t>
  </si>
  <si>
    <t>13 400 000</t>
  </si>
  <si>
    <t>office@pkfr.ru, remeks86@mail.ru</t>
  </si>
  <si>
    <t>doosansib.ru</t>
  </si>
  <si>
    <t>Сарапин Виктор Алексеевич (70 000 руб., 70%)
Егоров Алексей Борисович (30 000 руб., 30%)</t>
  </si>
  <si>
    <t>346 430 000</t>
  </si>
  <si>
    <t>office@pkfr.ru, remeks86@mail.ru, sarapin@pkfr.ru</t>
  </si>
  <si>
    <t>www.pkfr.ru, www.манцентрсургут.рф</t>
  </si>
  <si>
    <t>Сарапин Виктор Алексеевич (500 000 руб., 97.66%)
Дворцов Олег Васильевич (10 000 руб., 1.95%)
Кузнецов Павел Михайлович (2 000 руб., 0.39%)</t>
  </si>
  <si>
    <t>980 760 000</t>
  </si>
  <si>
    <t>moscow@rencons.com</t>
  </si>
  <si>
    <t>rencons.com</t>
  </si>
  <si>
    <t>mail@rencons.com, rc@rencons.com</t>
  </si>
  <si>
    <t>www.rencons.com</t>
  </si>
  <si>
    <t>1 023 050 000</t>
  </si>
  <si>
    <t>olga.gont@rencons.com, olga.plemyannikova@rencons.com, stpetersburg@rencons.com</t>
  </si>
  <si>
    <t>АКЦИОНЕРНОЕ ОБЩЕСТВО "ЭНЕРГО ТААХХЮТ ИНШААТ ВЕ ТИДЖАРЕТ" (405 900 000 руб., 99%)
АКЦИОНЕРНОЕ ОБЩЕСТВО "ЭНЕРГО ДЕСТЕК ИНШААТ ВЕ ТИДЖАРЕТ" (4 100 000 руб., 1%)</t>
  </si>
  <si>
    <t>b2b@re-store.ru, internetshop@re-store.ru, kiseleva@inventive.ru, marketing@re-store.ru, marketing@sc-store.ru, semushina@re-store.ru</t>
  </si>
  <si>
    <t>www.re-store.ru</t>
  </si>
  <si>
    <t>КОМПАНИЯ РЕСТОР РИТЕЙЛ ГРУП ЛИМИТЕД (30 000 руб., 100%)</t>
  </si>
  <si>
    <t>tdren.ru</t>
  </si>
  <si>
    <t>СТРОЙМАКС, ООО (6 667 000 руб., 66.67%)
Балинов Отар Валодиевич (3 333 000 руб., 33.33%)</t>
  </si>
  <si>
    <t>260 700 000</t>
  </si>
  <si>
    <t>info@renrest.ru, office@renrest.ru, renessans_rest@mail.ru, restawrator@bk.ru, roffice07@gmail.com, roffice07@gmail.ru, spsi@bk.ru, spsl@bk.ru</t>
  </si>
  <si>
    <t>307 980 000</t>
  </si>
  <si>
    <t>tatiana.perevalova@mosfr.ru</t>
  </si>
  <si>
    <t xml:space="preserve">https://fr.mos.ru/ </t>
  </si>
  <si>
    <t>ДЕПАРТАМЕНТ СТРОИТЕЛЬСТВА ГОРОДА МОСКВЫ (n/a)</t>
  </si>
  <si>
    <t>viktoriya.emelyanova@rencons.com</t>
  </si>
  <si>
    <t>АКЦИОНЕРНОЕ ОБЩЕСТВО "ЭНЕРГО ТААХХЮТ ИНШААТ ВЕ ТИДЖАРЕТ" (925 234 794 руб., 99%)
АКЦИОНЕРНОЕ ОБЩЕСТВО "ЭНЕРГО ДЕСТЕК ИНШААТ ВЕ ТИДЖАРЕТ" (9 345 806 руб., 1%)</t>
  </si>
  <si>
    <t>1 282 530 000</t>
  </si>
  <si>
    <t>Викулин Евгений Евгеньевич (12 000 руб., 100%)</t>
  </si>
  <si>
    <t>22 030 000</t>
  </si>
  <si>
    <t>tender@rentsoft.ru</t>
  </si>
  <si>
    <t>МЕРЛИОН ИНВЕСТИЦИИ, ООО (9 999 руб., 99.99%)
МЕРЛИОНТЕХ, ООО (1 руб., 0.010%)</t>
  </si>
  <si>
    <t>23 360 000</t>
  </si>
  <si>
    <t>7810281169@eo.tensor.ru, elena.gavrilova@be.rhenus.com, sng@logistixx.com</t>
  </si>
  <si>
    <t>www.maxx.be, www.rhenus-intermodal-systems.com, www.rhenus.com</t>
  </si>
  <si>
    <t>АНОНИМНОЕ АО "РХЕНУС ХОЛДИНГ БЕЛДЖИУМ" (9 900 руб., 99%)
АНОНИМНОЕ АО "МАКС ИНТЕРМОДАЛ СИСТЕМС" (100 руб., 1%)</t>
  </si>
  <si>
    <t>357 340 000</t>
  </si>
  <si>
    <t>alymova@resoleasing.com, kulik@resoleasing.com, leasing@resoleasing.com</t>
  </si>
  <si>
    <t>www.resoleasing.com</t>
  </si>
  <si>
    <t>РЕСО ИНВЕСТИЦИИ, ООО (4 200 000 000 руб., 100%)</t>
  </si>
  <si>
    <t>e.sokolova@respic.ru, respik.ooo@yandex.ru</t>
  </si>
  <si>
    <t>ЗАКРЫТЫЙ ПАЕВОЙ ИНВЕСТИЦИОННЫЙ ФОНД КОМБИНИРОВАННЫЙ "ЮНИТИ ПЛЮС" (10 000 руб., 100%)</t>
  </si>
  <si>
    <t>776 780 000</t>
  </si>
  <si>
    <t>7802210076_780201001@eo.tensor.ru</t>
  </si>
  <si>
    <t>ПСК ЦЕНТР, АО (294 000 руб., 98%)
Иващенко Наталья Владимировна (6 000 руб., 2%)</t>
  </si>
  <si>
    <t>44 890 000</t>
  </si>
  <si>
    <t>restrosar@mail.ru</t>
  </si>
  <si>
    <t>Хохлов Алексей Юрьевич (10 000 руб., 100%)</t>
  </si>
  <si>
    <t>675 500 000</t>
  </si>
  <si>
    <t>contact@rnafta.ru, natasha@rnafta.ru</t>
  </si>
  <si>
    <t>Барышникова Юлия Викторовна (15 000 000 руб., 100%)</t>
  </si>
  <si>
    <t>19 090 000</t>
  </si>
  <si>
    <t>ТРАСТ КАПИТАЛ, ООО (15 000 000 руб., 100%)</t>
  </si>
  <si>
    <t>52 400 000</t>
  </si>
  <si>
    <t>grechabuk@chel.surnet.ru, omts@uvelka.ru, secretariat@uvelka.ru</t>
  </si>
  <si>
    <t>Зяблин Владимир Петрович (19 200 руб., 48%)
Филиппов Валерий Васильевич (19 200 руб., 48%)
Зяблин Виталий Владимирович (800 руб., 2%)
Филиппов Артем Валерьевич (400 руб., 1%)
Филиппов Максим Валерьевич (400 руб., 1%)</t>
  </si>
  <si>
    <t>259 670 000</t>
  </si>
  <si>
    <t>oksanagutsalova@mail.ru, timoshenko_ma@mail.ru</t>
  </si>
  <si>
    <t>ВИОЛАН, ООО (31 500 000 руб., 22.50%)
ЭЛАРИУМ, ООО (31 500 000 руб., 22.50%)
Айвазян Геннадий Сергеевич (28 000 000 руб., 20%)
РЕНЕССАНС, АО (24 500 000 руб., 17.50%)
Дробина Елена Александровна (14 000 000 руб., 10%)
ВОЗРОЖДЕНИЕ, АО (10 500 000 руб., 7.50%)</t>
  </si>
  <si>
    <t>10 987 220 000</t>
  </si>
  <si>
    <t>РЕСУРС-ЮГ, ООО ТК (245 010 000 руб., 100%)</t>
  </si>
  <si>
    <t>17 530 000</t>
  </si>
  <si>
    <t>a.rahmanin@generalskie.ru, a.tukmakova@generalskie.ru, bavvab@mail.ru, bekjanova.t@generalskie.ru, e.chelombitko@generalskie.ru, e.morozova@integ.su, i.vedernikov@generalskie.ru, m.tishkina@generalskie.ru, oleg.honda777@yandex.ru</t>
  </si>
  <si>
    <t>РЕСУРС-ЮГ, ООО ТК (40 000 руб., 100%)</t>
  </si>
  <si>
    <t>info@panalpina.com</t>
  </si>
  <si>
    <t>www.panalpina.com</t>
  </si>
  <si>
    <t>307 370 000</t>
  </si>
  <si>
    <t>Калинин Игорь Дмитриевич (1 000 000 руб., 50%)
Магомедов Арсен Абдулатипович (1 000 000 руб., 50%)</t>
  </si>
  <si>
    <t>724 140 000</t>
  </si>
  <si>
    <t>delo_tk@gap-rs.ru, el.fedorova@gap-rs.ru</t>
  </si>
  <si>
    <t>Наурузов Виктор Борисович (67 000 руб., 51%)
Наурузов Владимир Борисович (63 000 руб., 49%)</t>
  </si>
  <si>
    <t>2 627 280 000</t>
  </si>
  <si>
    <t>laukart@ris38.ru, sales@ris38.ru</t>
  </si>
  <si>
    <t>Лаукарт Ирина Владимировна (10 000 руб., 100%)</t>
  </si>
  <si>
    <t>20 180 000</t>
  </si>
  <si>
    <t>gosuslugi@rt24.ru</t>
  </si>
  <si>
    <t>resourcetrans.ru</t>
  </si>
  <si>
    <t>РЕСУРС ГРУПП, ООО (2 000 000 руб., 100%)</t>
  </si>
  <si>
    <t>886 820 000</t>
  </si>
  <si>
    <t>uc-polymetall.ru, www.polymetalinternational.com</t>
  </si>
  <si>
    <t>ПОЛИМЕТАЛЛ, АО (2 602 716 350 руб., 100%)</t>
  </si>
  <si>
    <t>5 801 840 000</t>
  </si>
  <si>
    <t>info@rettenmaier.ru</t>
  </si>
  <si>
    <t>www.rettenmaier.ru</t>
  </si>
  <si>
    <t>ООО Йозеф Реттенмайер Холдинг Европа ГмбХ (1 900 000 руб., 100%)</t>
  </si>
  <si>
    <t>44 840 000</t>
  </si>
  <si>
    <t>reformeng.ru</t>
  </si>
  <si>
    <t>СТРОИТЕЛЬНОЕ ОБЩЕСТВО "РЕФОРМА АРТ" С ОГРАНИЧЕННОЙ ОТВЕТСТВЕННОСТЬЮ (500 000 руб., 50%)
СТРОЙЭКОРЕСУРС, ООО (500 000 руб., 50%)</t>
  </si>
  <si>
    <t>31 480 000</t>
  </si>
  <si>
    <t>Шамова Ксения Дмитриевна (10 000 000 руб., 100%)</t>
  </si>
  <si>
    <t>87 330 000</t>
  </si>
  <si>
    <t>refserv@css-rzd.ru, refserv@rzd.ru, secretary@refservice.ru</t>
  </si>
  <si>
    <t>www.refservice.ru</t>
  </si>
  <si>
    <t>РЕФСОЮЗ, ООО (3 491 493 000 руб.)</t>
  </si>
  <si>
    <t>konstantin.gajnullin@rehau.com, moscow.reception@rehau.com</t>
  </si>
  <si>
    <t>www.rehau.com, www.rehau.ru</t>
  </si>
  <si>
    <t>РЕХАУ ФЕРВАЛЬТУНГСЦЕНТРАЛЕ АГ (859 837 093.74 руб., 100%)</t>
  </si>
  <si>
    <t>224 850 000</t>
  </si>
  <si>
    <t>contact-rus@rehau.com, hr-moscow@rehau.com, media_ea@rehau.com</t>
  </si>
  <si>
    <t>РЕХАУ ФЕРВАЛЬТУНГСЦЕНТРАЛЕ АГ (55 515 187.5 руб., 100%)</t>
  </si>
  <si>
    <t>865 500 000</t>
  </si>
  <si>
    <t>agracheva@rechservice.ru, itarasova@rechservice.ru, kuzoff@rambler.ru, priemnaya-rs@rechservice.ru, rechservice@rechservice.ru, ykt@rechservice.ru, zayavka@rechservice.ru</t>
  </si>
  <si>
    <t>СТАРВЕЙ ЛОГИСТИКА, ООО (6 468 000 руб., 100%)</t>
  </si>
  <si>
    <t>29 080 000</t>
  </si>
  <si>
    <t>rzdba.ru</t>
  </si>
  <si>
    <t>info@rzdint.ru, sstolyarov@rzdint.ru</t>
  </si>
  <si>
    <t>rzdint.ru</t>
  </si>
  <si>
    <t>РЖД УПРАВЛЕНИЕ АКТИВАМИ, АО (20 000 000 руб., 100%)</t>
  </si>
  <si>
    <t>cs@rzdlog.ru, info@rzdlog.ru, infoservice@rzdlog.ru, ivanovsa@rzdlog.ru, rydzevskiypp@rzdlog.ru, rzdl_spb@rzdlog.ru, voronovyv@rzdlog.ru</t>
  </si>
  <si>
    <t>www.rzdlog.ru</t>
  </si>
  <si>
    <t>booking_oct@rzdz.ru, booking_yant@rzdz.ru, info.oct@rzdz.ru, info.volga@rzdz.ru, medvedev_rv@rzdz.ru, reservations.yantar@azimuthotels.com, solnechniy@azimuthotels.com, tochilkin_ia@rzdz.ru</t>
  </si>
  <si>
    <t>rzd-tb.ru</t>
  </si>
  <si>
    <t>ОП РЖД-ОХРАНА, ООО (10 000 руб., 100%)</t>
  </si>
  <si>
    <t>Деятельность систем обеспечения безопасности</t>
  </si>
  <si>
    <t>161 460 000</t>
  </si>
  <si>
    <t>torgiosk@gmail.com</t>
  </si>
  <si>
    <t>РЖД-ТЕХНОЛОГИИ, ООО (9 990 руб., 99.90%)
РЖД УПРАВЛЕНИЕ АКТИВАМИ, АО (10 руб., 0.10%)</t>
  </si>
  <si>
    <t>Ремонт компьютеров и периферийного компьютерного оборудования</t>
  </si>
  <si>
    <t>33 580 000</t>
  </si>
  <si>
    <t>boroninav@rzdstroy.ru, vgbk_sd@mail.ru</t>
  </si>
  <si>
    <t>www.rzdstroy.ru</t>
  </si>
  <si>
    <t>rzevzerno@mail.ru, rzhev@melkom.ru</t>
  </si>
  <si>
    <t>АГРОПРОДСОЮЗ, ООО (10 000 руб., 100%)</t>
  </si>
  <si>
    <t>35 440 000</t>
  </si>
  <si>
    <t>darya.ignatova@rz-agro.com</t>
  </si>
  <si>
    <t>РУССКАЯ ЗЕМЛЯ, ООО (200 000 руб., 100%)</t>
  </si>
  <si>
    <t>54 960 000</t>
  </si>
  <si>
    <t>anikeevaev@rzocm.ru, rzocm@rzocm.ru, www@rzocm.ru</t>
  </si>
  <si>
    <t>www.rzocm.ru</t>
  </si>
  <si>
    <t>УРАЛЬСКАЯ ГОРНО-МЕТАЛЛУРГИЧЕСКАЯ КОМПАНИЯ , ОАО УГМК, ОАО (92.59%)</t>
  </si>
  <si>
    <t>Производство основных драгоценных металлов и прочих цветных металлов, производство ядерного топлива</t>
  </si>
  <si>
    <t>getmanov@almazgrp.ru, rzz@ab.ru</t>
  </si>
  <si>
    <t>almaztd.ru</t>
  </si>
  <si>
    <t>53 840 000</t>
  </si>
  <si>
    <t>РЕСУРС-ЮГ, ООО ТК (731 564 000 руб., 100%)</t>
  </si>
  <si>
    <t>1 100 920 000</t>
  </si>
  <si>
    <t>firma98@mail.ru, ooo_rzk@mail.ru</t>
  </si>
  <si>
    <t>96 910 000</t>
  </si>
  <si>
    <t>buh.rivercom61@gmail.com, olga.pustovarova2012@yandex.ru</t>
  </si>
  <si>
    <t>rivercompany.ru</t>
  </si>
  <si>
    <t>Пустоваров Виталий Сергеевич (10 000 руб., 100%)</t>
  </si>
  <si>
    <t>69 910 000</t>
  </si>
  <si>
    <t>rigil2011@mail.ru</t>
  </si>
  <si>
    <t>rigil.ru</t>
  </si>
  <si>
    <t>Лагвилава Гоча Игориевич (10 000 руб., 100%)</t>
  </si>
  <si>
    <t>1 860 000</t>
  </si>
  <si>
    <t>a_kudelina@rigla.ru, ke_yaroshevich@rigla.ru, shop@rigla-beauty.ru</t>
  </si>
  <si>
    <t>www.rigla.ru</t>
  </si>
  <si>
    <t>ПРОТЕК, АО (1 880 010 000 руб., 100%)</t>
  </si>
  <si>
    <t>1 646 860 000</t>
  </si>
  <si>
    <t>info@rigla.ru</t>
  </si>
  <si>
    <t>РИГЛА, ООО (9 000 руб., 90%)
ПРОТЕК, АО (1 000 руб., 10%)</t>
  </si>
  <si>
    <t>250 050 000</t>
  </si>
  <si>
    <t>info-r@ridoil-perm.ru</t>
  </si>
  <si>
    <t>ЗАКРЫТЫЙ ПАЕВОЙ ИНВЕСТИЦИОННЫЙ ФОНД КОМБИНИРОВАННЫЙ "ЦИТАДЕЛЬ ПЛЮС" (187 430 руб., 45%)
ЛУЧ КАПИТАЛ, МКООО (177 450 руб., 42.60%)
Катошин Анатолий Федорович (20 830 руб., 5%)
Лобанова Нина Михайловна (20 830 руб., 5%)
РИД ОЙЛ, ООО (9 900 руб., 2.38%)
ПФП-ГРУППА, ООО (100 руб., 0.020%)</t>
  </si>
  <si>
    <t>301 240 000</t>
  </si>
  <si>
    <t>gordash@danfoss.com, legal@ridan.ru</t>
  </si>
  <si>
    <t>www.danfoss.com, www.danfoss.ru</t>
  </si>
  <si>
    <t>КОМПАНИЯ "ДАНФОСС" ИНТЕРНЭШНЛ А/С (753 128 490 руб., 100%)</t>
  </si>
  <si>
    <t>2 387 420 000</t>
  </si>
  <si>
    <t>Добрянский Александр Вячеславович (30 000 руб., 100%)</t>
  </si>
  <si>
    <t>antonenoksv@rqst.ru, commerce.irk@rqst.ru, fomichevazn@rqst.ru, info.hbr@rqst.ru, info.spb@rqst.ru, info.vld@rqst.ru, info.vlg@rqst.ru, info.vlgp@rgst.ru, info.vlp@rgst.ru, info@rast.ru</t>
  </si>
  <si>
    <t>www.rqst.ru</t>
  </si>
  <si>
    <t>Полевая Лариса Казимировна (31 509.12 руб., 95%)
АРСЕНАЛЪ-КАПИТАЛ, ООО (1 658.38 руб., 5%)</t>
  </si>
  <si>
    <t>91 020 000</t>
  </si>
  <si>
    <t>www.rieker.com</t>
  </si>
  <si>
    <t>ЛУХО АГ (LUHO AG) (15 000 000 руб., 100%)</t>
  </si>
  <si>
    <t>Торговля оптовая обувью</t>
  </si>
  <si>
    <t>info@mum-net.ru, svo@mum-net.ru</t>
  </si>
  <si>
    <t>www.mum-net.ru</t>
  </si>
  <si>
    <t>pna001@rhrussia.com, tat-gromova@yandex.ru</t>
  </si>
  <si>
    <t>ОФШОРНАЯ ЧАСТНАЯ КОМПАНИЯ С ОГРАНИЧЕННЫМИ АКЦИЯМИ "VALUE CREATION CJRPORATION LTD" ("ВЭЛЬЮ КРИЭЙШЕН КОРПОРЕЙШЕН ЛИМИТЕД") (1 000 000 руб., 100%)</t>
  </si>
  <si>
    <t>dorogina@bk.ru, fj@yandex.ru, inffero@mail.ru, info.fs@oao-otek.ru, ndh@yande.ru, nffero@mail.ru, nfo@okenergo.com, office@rusatom-utilities.ru, office@rusatom.ru</t>
  </si>
  <si>
    <t>https://www.rusatom-utilities.ru/</t>
  </si>
  <si>
    <t>ППГХО, ПАО (25.35%)
ЧМЗ, АО (12.54%)</t>
  </si>
  <si>
    <t>www.ir.magnit.com</t>
  </si>
  <si>
    <t>МАГНИТ, ПАО (10 010 000 руб., 100%)</t>
  </si>
  <si>
    <t>2 793 360 000</t>
  </si>
  <si>
    <t>Змойро Александр Сергеевич (8 885 000 руб., 44.43%)
Жуков Андрей Валерьевич (5 985 000 руб., 29.93%)
Чиркунов Александр Анатольевич (2 565 000 руб., 12.83%)
Яфаров Рафаэль Мавлетович (2 565 000 руб., 12.83%)</t>
  </si>
  <si>
    <t>РИТЕЙЛ ПРОПЕРТИ 5, ООО (10 000 000 руб., 100%)</t>
  </si>
  <si>
    <t>180 330 000</t>
  </si>
  <si>
    <t>info@rus-trade.ru, riteil.buh@bk.ru</t>
  </si>
  <si>
    <t>МАРДИ, АО (990 000 руб., 99%)
Семенов Роман Николаевич (10 000 руб., 1%)</t>
  </si>
  <si>
    <t>Болдырев Андрей Викторович (100 000 руб., 100%)</t>
  </si>
  <si>
    <t>4 140 000</t>
  </si>
  <si>
    <t>202 610 000</t>
  </si>
  <si>
    <t>info@instrument-fit.ru, krasnodar6@instrument-fit.ru, krasnodar@infotex.org</t>
  </si>
  <si>
    <t>Власов Андрей Евгеньевич (5 600 руб., 56%)
Кадис Александр Маркович (2 400 руб., 24%)
Магдин Сергей Васильевич (1 000 руб., 10%)
Миронский Андрей Ильич (1 000 руб., 10%)</t>
  </si>
  <si>
    <t>buero@ritter-sport.ru, info@ritter-sport.ru</t>
  </si>
  <si>
    <t>www.ritter-sport.ru</t>
  </si>
  <si>
    <t>РИТТЕР СПОРТ ИНТЕРНАЦИОНАЛЬ ХОЛДИНГ ГМБХ (23 000 000 руб., 100%)</t>
  </si>
  <si>
    <t>375 910 000</t>
  </si>
  <si>
    <t>eorlova@ritek.ru, fax@tatritek.ru, info@ritek.ru</t>
  </si>
  <si>
    <t>ЛУКОЙЛ, ПАО (1 212 410 796.14 руб., 99.99%)
К.Н. ХОЛДИНГ, ООО (12 838 руб., 0.0011%)</t>
  </si>
  <si>
    <t>7 712 090 000</t>
  </si>
  <si>
    <t>rif@foamline.com</t>
  </si>
  <si>
    <t>ФОМЛАЙН, ООО (85 000 000 руб., 99.90%)
КУЗНЕЦКИЙ ТЕХНОПАРК, ООО (85 085 руб., 0.10%)</t>
  </si>
  <si>
    <t>62 810 000</t>
  </si>
  <si>
    <t>Дугинов Михаил Викторович (5 000 руб., 50%)
Сысоев Сергей Викторович (5 000 руб., 50%)</t>
  </si>
  <si>
    <t>7 630 000</t>
  </si>
  <si>
    <t>reception@rusalco.com</t>
  </si>
  <si>
    <t>www.roust.com, www.rusalco.com</t>
  </si>
  <si>
    <t>office@rif-m.org, office@rif-mmr.ru, ofiice@rif-mmr.ru</t>
  </si>
  <si>
    <t>www.micromramor.ru</t>
  </si>
  <si>
    <t>Прохоров Алексей Александрович (20 003 500 руб., 49.98%)
Прохоров Андрей Александрович (20 003 500 руб., 49.98%)
Прохоров Александр Николаевич (13 000 руб., 0.040%)</t>
  </si>
  <si>
    <t>22 860 000</t>
  </si>
  <si>
    <t>albinarifar@gmail.com</t>
  </si>
  <si>
    <t>rifar.ru</t>
  </si>
  <si>
    <t>1 175 400 000</t>
  </si>
  <si>
    <t>www.rf-54.ru</t>
  </si>
  <si>
    <t>Ткачук Валерий Витальевич (10 000 руб., 100%)</t>
  </si>
  <si>
    <t>2 054 440 000</t>
  </si>
  <si>
    <t>t.braytseva@novotrans.com</t>
  </si>
  <si>
    <t>30 260 000</t>
  </si>
  <si>
    <t>info.psp@norebo.ru, kornenko-ma@norebo.com</t>
  </si>
  <si>
    <t>НОРЕБО ХОЛДИНГ, АО (593 020 000 руб., 100%)</t>
  </si>
  <si>
    <t>870 730 000</t>
  </si>
  <si>
    <t>office@pitzavod.ru, sokolovai@pitzavod.ru</t>
  </si>
  <si>
    <t>ТРАСТГРУПП, ООО (69 309 900 руб., 99%)
Токаревская Юлия Владимировна (700 100 руб., 1%)</t>
  </si>
  <si>
    <t>1 369 850 000</t>
  </si>
  <si>
    <t>РК-ИНЖИНИРИНГ, ООО (3 250 000 руб., 100%)</t>
  </si>
  <si>
    <t>mv0976@mail.ru, novikova_o@rusklimat.ru, varvanin_a@rusklimat.ru, varvin_a@rusklimat.ru, ystinov7@gmail.com</t>
  </si>
  <si>
    <t>rusklimat-barnaul.ru, www.rusklimat.ru</t>
  </si>
  <si>
    <t>Р-КЛИМАТ, ООО (1 140 000 руб., 95%)
Овчинников Евгений Николаевич (60 000 руб., 5%)</t>
  </si>
  <si>
    <t>273 690 000</t>
  </si>
  <si>
    <t>agro_sek@agrocomgroup.ru, callctnter@tavr.ru, ccallcenter@tavr.ru, collcentr@tavr.ru, kihkigvb@mail.ru, secretary@tavr.ru, tavr@aaanet.ru, torgi@tavr.ru, u_shustova@tavr.ru, v_bacherev@tavr.ru</t>
  </si>
  <si>
    <t>www.tavr.rsd.ru</t>
  </si>
  <si>
    <t>АГРОКОМ ХОЛДИНГ, ООО (40 823 000 руб., 100%)</t>
  </si>
  <si>
    <t>kostukovvl@fuelintegrator.ru, kvl@algoritm.info</t>
  </si>
  <si>
    <t>НТК, ООО (10 000 руб., 100%)</t>
  </si>
  <si>
    <t>8 490 000</t>
  </si>
  <si>
    <t>info@rcs-e.ru</t>
  </si>
  <si>
    <t>rcs-e.ru</t>
  </si>
  <si>
    <t>РКС-ХОЛДИНГ, ООО (1 000 000 руб., 100%)</t>
  </si>
  <si>
    <t>258 440 000</t>
  </si>
  <si>
    <t>79217874290@yandex.ru, churkina.a@rks-energo.ru, info@rks.ru, izabrodina@yandex.ru, lkj@mqil.ru, luchina.j@rks-energo.ru, lyubchich_ei@pesc.ru, neelov.a.a@controlenergo.ru, office@rks-energo.ru, office@rks.energo.ru</t>
  </si>
  <si>
    <t>rks-energo.ru</t>
  </si>
  <si>
    <t>Полторак Игорь Сергеевич (153 500 000 руб., 100%)</t>
  </si>
  <si>
    <t>573 640 000</t>
  </si>
  <si>
    <t>manager@svetofor-rls.ru</t>
  </si>
  <si>
    <t>Ярошенко Сергей Анатольевич (20 000 руб., 100%)</t>
  </si>
  <si>
    <t>132 190 000</t>
  </si>
  <si>
    <t>info@rm-mamad.ru</t>
  </si>
  <si>
    <t>Мутигуллин Рифат Махмутович (10 000 руб., 100%)</t>
  </si>
  <si>
    <t>marketing@go-rm.ru, v.vlaem@russnegohod.ru</t>
  </si>
  <si>
    <t>www.go-rm.ru, www.russnegohod.ru</t>
  </si>
  <si>
    <t>alrzn@bk.ru, vv171084@gmail.com</t>
  </si>
  <si>
    <t>Маврыкин Валерий Валерьевич (500 000 руб., 50%)
Ридель Михаил Александрович (500 000 руб., 50%)</t>
  </si>
  <si>
    <t>127 110 000</t>
  </si>
  <si>
    <t>«РАШН КОППЕР КОМПАНИ ЛИМИТЕД» (100 000 руб., 100%)</t>
  </si>
  <si>
    <t>58 770 000</t>
  </si>
  <si>
    <t>Комогорцев Андрей Геннадьевич (5 500 000 руб., 55%)
Коган Дмитрий Олегович (1 500 000 руб., 15%)
Коптенок Любовь Леонидовна (1 500 000 руб., 15%)
Поляков Роман Валерионович (1 500 000 руб., 15%)</t>
  </si>
  <si>
    <t>rmntk@nestro.ru, rmntk@rmntk.ru</t>
  </si>
  <si>
    <t>rmntk.ru</t>
  </si>
  <si>
    <t>ЗАРУБЕЖНЕФТЬ, АО (113 360 166 руб., 100%)
ЗН ДОБЫЧА, ООО (1 руб.)</t>
  </si>
  <si>
    <t>42 690 000</t>
  </si>
  <si>
    <t>asutp@rmpts.ryazan.ru, asutp@rmpts.ryazan.ry, asystp@rmpts.ryazan.ru, buh310@rmpts.ryazan.ru, c-chernyscheva@yandex.ru, dogov@rmpts.ru, dogov@rmpts.ryazan.ru, dogov@rmts.ryazan.ru, dogovor@rmpts.ryazaz.ru, dronp@rmpts.ru</t>
  </si>
  <si>
    <t>rmpts.ru</t>
  </si>
  <si>
    <t>Рязанская обл, РЯЗАНСКАЯ ОБЛАСТЬ (n/a)</t>
  </si>
  <si>
    <t>rnoil@mail.ru</t>
  </si>
  <si>
    <t>НАУКА, ООО (6 000 руб., 60%)
АЗС-ТОРГ, ООО (4 000 руб., 40%)</t>
  </si>
  <si>
    <t>360 000</t>
  </si>
  <si>
    <t>ppj@rn-spr.ru</t>
  </si>
  <si>
    <t>Жимлиханова Светлана Шамилевна (5 000 руб., 50%)
Пчельников Павел Юрьевич (5 000 руб., 50%)</t>
  </si>
  <si>
    <t>51 450 000</t>
  </si>
  <si>
    <t>e_mochalova@rosneft.ru, hotline@interrao.ru, info@rn-energo.ru, kann@pesc.ru, rn-energo@rn-energo.ru</t>
  </si>
  <si>
    <t>https://www.rn-energo.ru/, www.rosneft.ru/about</t>
  </si>
  <si>
    <t>ИНТЕР РАО, ПАО (5 010 000 руб., 100%)</t>
  </si>
  <si>
    <t>2 920 020 000</t>
  </si>
  <si>
    <t>РНГ ХОЛДИНГ, ООО (10 000 руб., 100%)</t>
  </si>
  <si>
    <t>office@rngoil.ru</t>
  </si>
  <si>
    <t>rostneftegaz.ru</t>
  </si>
  <si>
    <t>9 656 000 000</t>
  </si>
  <si>
    <t>feklistova@belkam.com</t>
  </si>
  <si>
    <t>БЕЛКАМНЕФТЬ ИМ. А.А. ВОЛКОВА, АО (388 796 262 руб., 51%)
Компания с ОО "Фереста Трейдинг Лимитед" (373 549 349 руб., 49%)</t>
  </si>
  <si>
    <t>91 880 000</t>
  </si>
  <si>
    <t>Уртаев Руслан Владимирович (93 287 400 руб., 100%)</t>
  </si>
  <si>
    <t>22 590 000</t>
  </si>
  <si>
    <t>www.saratov.bosch.ru</t>
  </si>
  <si>
    <t>С8 ПРОМЫШЛЕННЫЕ АКТИВЫ, АО (104 773 796 руб., 100%)</t>
  </si>
  <si>
    <t>Производство электрического и электронного оборудования для автотранспортных средств</t>
  </si>
  <si>
    <t>22 680 000</t>
  </si>
  <si>
    <t>info@bosch.ru</t>
  </si>
  <si>
    <t>www.bosch-pt.com, www.bosch-pt.ru, www.junkers.ru</t>
  </si>
  <si>
    <t>РОБЕРТ БОШ ГМБХ (19 998 459 руб., 99.99%)
РОБЕРТ БОШ АГ (1 541 руб., 0.010%)</t>
  </si>
  <si>
    <t>1 310 280 000</t>
  </si>
  <si>
    <t>poluhina@rowen.ru</t>
  </si>
  <si>
    <t>rowen.ru</t>
  </si>
  <si>
    <t>Мамонов Николай Николаевич (9 900 руб., 99%)
Мамонова Ольга Дмитриевна (100 руб., 1%)</t>
  </si>
  <si>
    <t>384 220 000</t>
  </si>
  <si>
    <t>hriachkova2015@yandex.ru, svetlana.31@rambler.ru</t>
  </si>
  <si>
    <t>Лыбань Сергей Павлович (57 408 951 руб., 100%)</t>
  </si>
  <si>
    <t>a.tairin@im-hotel.ru, marketing@im-hotel.ru, n.biryukova@im-hotel.ru, office@rogsibal.ru, pr@im-hotel.ru, reservation@im-hotel.ru, sales@im-hotel.ru, welcome@imeretinka.ru</t>
  </si>
  <si>
    <t>ИМЕРЕТИНСКАЯ РИВЬЕРА, ООО (717 205 000 руб., 100%)</t>
  </si>
  <si>
    <t>office@rsk.msk.ru, regionstroycompany@mail.ru, rsk.filial@gmail.com</t>
  </si>
  <si>
    <t>Сакун Ольга Борисовна (494 900 руб., 49%)
ФИЛИН, ООО (494 900 руб., 49%)
Лустин Александр Юрьевич (20 200 руб., 2%)</t>
  </si>
  <si>
    <t>247 560 000</t>
  </si>
  <si>
    <t>zaorodina@yandex.ru</t>
  </si>
  <si>
    <t>879 580 000</t>
  </si>
  <si>
    <t>rodnina.n@rodnikandk.com</t>
  </si>
  <si>
    <t>Беспалов Александр Степанович (80 000 000 руб., 100%)</t>
  </si>
  <si>
    <t>143 530 000</t>
  </si>
  <si>
    <t>Павлова Нина Геннадьевна (10 000 руб., 100%)</t>
  </si>
  <si>
    <t>rodnik-samara.ru</t>
  </si>
  <si>
    <t>Гурьянов Александр Евгеньевич (80 000 000 руб., 100%)</t>
  </si>
  <si>
    <t>29 760 000</t>
  </si>
  <si>
    <t>4247747@mail.ru</t>
  </si>
  <si>
    <t>www.kvarc-pesok.su</t>
  </si>
  <si>
    <t>Богданов Иван Валерьевич (10 000 руб., 100%)</t>
  </si>
  <si>
    <t>a.chuprynin@belugaglobal.com, aksyonovasv@rodstorgroup.ru, analitik@umz.uol.pu, chuprynin@mail.ru, gridinagm@belugagroup.ru, kovaieva@dakgomz.com, lc.11@yandex.ru, lozinskayaes@belugagroun.ru, lozinskayaes@belugagroup.ru, office@rodstor.ru</t>
  </si>
  <si>
    <t>rodstor.ru</t>
  </si>
  <si>
    <t>БЕЛУГА ГРУПП, ПАО (210 000 000 руб., 100%)</t>
  </si>
  <si>
    <t>d.maskinskov@rozamira.ru, panina@rozamira.ru</t>
  </si>
  <si>
    <t>РОЗА МИРА ИНВЕСТ, ООО (40 000 руб., 100%)</t>
  </si>
  <si>
    <t>35 330 000</t>
  </si>
  <si>
    <t>info@rosaski.com, reservation@rosakhutor.com, reservation@rosaski.com, reserve_28@rosakhutor.com, reserve_28@rosaski.com, rsi-sales@rosakhutor.com, rsi-sales@rosaski.com, sales28rv@rosakhutor.com, sales@rosakhutor.com</t>
  </si>
  <si>
    <t>rozakhutor.ru, www.rosakhutor.com, www.rosaski.com</t>
  </si>
  <si>
    <t>СПОРТ ИНВЕСТ, ООО (8 612 311 650 руб., 100%)</t>
  </si>
  <si>
    <t>info@rosan-pay.ru, info@rosan.ru, la@rosan.ru, secretary@rosan.ru</t>
  </si>
  <si>
    <t>www.rosan.ru</t>
  </si>
  <si>
    <t>Айбазов Олег Умарович (20 500 руб., 100%)</t>
  </si>
  <si>
    <t>216 620 000</t>
  </si>
  <si>
    <t>br299@maria-ra.ru, pro252@maria-ra.ru</t>
  </si>
  <si>
    <t>РОЗНИЦА, ООО (11 870 000 руб., 100%)</t>
  </si>
  <si>
    <t>1 590 050 000</t>
  </si>
  <si>
    <t>Дудник Сергей Юрьевич (180 000 руб., 90%)
Ковальский Александр Борисович (20 000 руб., 10%)</t>
  </si>
  <si>
    <t>17 390 000</t>
  </si>
  <si>
    <t>landish@rocadamed.ru, manager@med6.rocadamed.ru, n.fahrutdinova@rocadamed.ru, svetlana@rocadamed.ru, torgi@rocadamed.ru, torgi@rokadamed.ru</t>
  </si>
  <si>
    <t>rocadamed.ru</t>
  </si>
  <si>
    <t>Максимов Александр Анатольевич (19 000 руб., 100%)</t>
  </si>
  <si>
    <t>83 940 000</t>
  </si>
  <si>
    <t>reception.reception@rockwool.com, rockwool@rockwool.ru</t>
  </si>
  <si>
    <t>РОКВУЛ ИНТЕРНЕШНЛ А/С (109 361 634.48 руб., 100%)</t>
  </si>
  <si>
    <t>5 715 830 000</t>
  </si>
  <si>
    <t>elena.mosina@rockwool.ru</t>
  </si>
  <si>
    <t>www.rockwool.com</t>
  </si>
  <si>
    <t>РОКВУЛ ИНТЕРНЕШНЛ А/С (1 020 000 000 руб., 68%)
РОКВУЛ, ООО (480 000 000 руб., 32%)</t>
  </si>
  <si>
    <t>86 240 000</t>
  </si>
  <si>
    <t>marina.bobyleva@rockwool.ru</t>
  </si>
  <si>
    <t>www.rocwool.ru</t>
  </si>
  <si>
    <t>РОКВУЛ, ООО (1 484 895 297.5 руб., 100%)</t>
  </si>
  <si>
    <t>6271@croc.ru, crocregion@crocregion.ru, info@croccode.ru, info@rockitsoft.ru, konkurs@rockitsoft.ru</t>
  </si>
  <si>
    <t>crocregion.ru</t>
  </si>
  <si>
    <t>Стрижков Максим Борисович (147 000 руб., 49%)
Шаховский Станислав Станиславович (147 000 руб., 49%)
Омехин Илья Александрович (6 000 руб., 2%)</t>
  </si>
  <si>
    <t>75 800 000</t>
  </si>
  <si>
    <t>nikulina.i.a@mail.ru, websbor@yandex.ru</t>
  </si>
  <si>
    <t>пекарня-глобус.рф</t>
  </si>
  <si>
    <t>Березин Андрей Олегович (110 000 руб., 100%)</t>
  </si>
  <si>
    <t>158 030 000</t>
  </si>
  <si>
    <t>priem-pk@norebo.com, roliz@roliz.vtc.ru</t>
  </si>
  <si>
    <t>www.roliz.vtc.ru</t>
  </si>
  <si>
    <t>НОРЕБО ХОЛДИНГ, АО (13 087.5 руб., 100%)</t>
  </si>
  <si>
    <t>aalsmirnov@rolf.ru, eisinitsina@rolf.ru, fleet_srv_volg@rolf.ru, fleet_srv_yas@rolf.ru, mekorchachenko@rolf.ru, oakorupaev@rolf.ru, pievseev@rolf.ru, reception@lexus-volgogradskiy.ru, reception@rolf.ru, rolf_motors@mail.ru</t>
  </si>
  <si>
    <t>toyota-yasenevo.ru, www.rolf.ru</t>
  </si>
  <si>
    <t>РОЛЬФ, АО (5 445 000 руб., 99%)
ЧАСТНАЯ КОМПАНИЯ С ОГРАНИЧЕННОЙ ОТВЕТСТВЕННОСТЬЮ "ДЕЛАНС ЛИМИТЕД" (55 000 руб., 1%)</t>
  </si>
  <si>
    <t>2 666 190 000</t>
  </si>
  <si>
    <t>aakarpenko@rolf.ru, aemelnikova@rolf.ru, drlavrov@rolf.ru, iarigkova@rolf.ru, info-rolfvitebskiy@rolf.ru, jlr@rolf.ru, mavarlamov@rolf.ru, mngancev@rolf.ru, mvkurganskiy@rolf.ru, nsignateva1@rolf.ru</t>
  </si>
  <si>
    <t>rolf-lahta.ru, www.rolf.ru</t>
  </si>
  <si>
    <t>РОЛЬФ, АО (64 472 760 руб., 99%)
ЧАСТНАЯ КОМПАНИЯ С ОГРАНИЧЕННОЙ ОТВЕТСТВЕННОСТЬЮ "ДЕЛАНС ЛИМИТЕД" (651 240 руб., 1%)</t>
  </si>
  <si>
    <t>3 147 420 000</t>
  </si>
  <si>
    <t>0@0.ru, aeshepeleva@rolf.ru, aygorelov@rolf.ru, info@audi-sever.ru, info@chrysler-rolf.ru, nmgureva@rolf.ru, nvzubkov@rolf.ru, tender-rolf@rolf.ru, vazhizhoma@rolf.ru, vvkozinets@rolf.ru</t>
  </si>
  <si>
    <t>www.rolf-himki-mitsubishi.ru</t>
  </si>
  <si>
    <t>Частная акционерная компания с ограниченной ответственностью ДЕЛАНС ЛИМИТЕД (DELANCE LIMITED) (99.99%)
РОЛЬФ МОТОРС, ООО (0.0023%)</t>
  </si>
  <si>
    <t>safronova@selmashservis.ru, svetlana.kustova@zavodromax.ru</t>
  </si>
  <si>
    <t>КОБЛИК ГРУПП, ООО (10 000 руб., 100%)</t>
  </si>
  <si>
    <t>Производство прочих машин и оборудования для сельского и лесного хозяйства</t>
  </si>
  <si>
    <t>628 480 000</t>
  </si>
  <si>
    <t>elenamasina2004@gmail.com</t>
  </si>
  <si>
    <t>vfsco.com</t>
  </si>
  <si>
    <t>КОМПАНИЯ ВФС ИНТЕРНЕШНЛ АБ (1 003 375 000 руб., 99.89%)
Volvo Financial Services GmbH (1 125 000 руб., 0.11%)</t>
  </si>
  <si>
    <t>2 497 510 000</t>
  </si>
  <si>
    <t>info@romex.ru, tender@romex.su</t>
  </si>
  <si>
    <t>Прокопенко Алексей Васильевич (10 000 руб., 100%)</t>
  </si>
  <si>
    <t>8 530 000</t>
  </si>
  <si>
    <t>romsugar@mail.ru, romsugar@sugar.moris.ru</t>
  </si>
  <si>
    <t>КАМЕНКА, ООО (76 000 руб., 76%)
Атласов Александр Иванович (24 000 руб., 24%)</t>
  </si>
  <si>
    <t>Юсупов Сала Салманович (10 000 руб., 100%)</t>
  </si>
  <si>
    <t>19 200 000</t>
  </si>
  <si>
    <t>penina.en@vitaexpress.ru</t>
  </si>
  <si>
    <t>aptekivita.ru</t>
  </si>
  <si>
    <t>Частная акционерная компания с ограниченной ответственностью "НИКСЕЙ ХОЛДИНГЗ ЛИМИТЕД" (300 000 руб., 100%)</t>
  </si>
  <si>
    <t>Карташов Василий Александрович (970 000 руб., 97%)
Тверитнев Константин Алексеевич (30 000 руб., 3%)</t>
  </si>
  <si>
    <t>329 550 000</t>
  </si>
  <si>
    <t>СОВКОМБАНК, ПАО (500 000 руб., 100%)</t>
  </si>
  <si>
    <t>Деятельность по предоставлению прочих финансовых услуг, кроме услуг по страхованию и пенсионному обеспечению</t>
  </si>
  <si>
    <t>143 720 000</t>
  </si>
  <si>
    <t>acherepanov@rosagroleasing.ru, info@rosagroleasing.ru, mdemina@rosagroleasing.ru</t>
  </si>
  <si>
    <t>rosagroleasing.ru</t>
  </si>
  <si>
    <t>Российская Федерация (125 038 492 500 руб., 100%)</t>
  </si>
  <si>
    <t>info@tk-ra.ru</t>
  </si>
  <si>
    <t>Степанов Александр Владимирович (200 000 руб., 100%)</t>
  </si>
  <si>
    <t>223 780 000</t>
  </si>
  <si>
    <t>pechengstroy@com.mels.ru</t>
  </si>
  <si>
    <t>pechengastroy.ru</t>
  </si>
  <si>
    <t>КОЛЬСКАЯ ГМК, АО (42 018 577.72 руб., 99.94%)
КОЛАБЫТ, ООО (25 367.44 руб., 0.060%)</t>
  </si>
  <si>
    <t>6215151@mail.ru, bughalter@mail.ru, circus.nn@yandex.ru, document@circus.ru, i.zubkov@circus.spb.ru, ilin.va@circus.ru, info@circus.ru, irkutsk@circus.ru, kulik.ni@circus.ru, kurskcirk@yandex.ru</t>
  </si>
  <si>
    <t>www.circus.ru</t>
  </si>
  <si>
    <t>ПРАВИТЕЛЬСТВО РОССИЙСКОЙ ФЕДЕРАЦИИ (n/a)</t>
  </si>
  <si>
    <t>office@rosdorstroy.ru, ooo_rds@mail.ru</t>
  </si>
  <si>
    <t>rosdorstroy.ru</t>
  </si>
  <si>
    <t>Капустина Сария Музагитовна (1 000 000 руб., 100%)</t>
  </si>
  <si>
    <t>13 620 000</t>
  </si>
  <si>
    <t>1520@rzdp.ru, info@rzdp.ru, lgtp@rzdp.ru, nasedkoks@rzdp.ru, savushkinav@rzdp.ru</t>
  </si>
  <si>
    <t>5 658 260 000</t>
  </si>
  <si>
    <t>7805222129_781001001@eo.tensor.ru, info@roing.ru, svetlana.vasileva@roing.ru</t>
  </si>
  <si>
    <t>www.roing.ru</t>
  </si>
  <si>
    <t>553 210 000</t>
  </si>
  <si>
    <t>assistant_spb@rosinter.ru, complexstriginodir@rosinter.ru, info@rosinter.ru, nevskaya@rosinter.ru, office@rosinter.ru, rmarkov@rosinter.ru</t>
  </si>
  <si>
    <t>www.rosinter.ru</t>
  </si>
  <si>
    <t>РОСИНТЕР РЕСТОРАНТС ХОЛДИНГ, ПАО (1 687 697 993.35 руб., 98.31%)
АМИНВЕСТ ЛИМИТЕД (AMINVEST LIMITED) (28 955 106.65 руб., 1.68%)</t>
  </si>
  <si>
    <t>anna.gromova@roscongress.org, anna.karkotko@roscongress.org, eb.smirnova@roscongress.org, fond@roscongress.org, fond@roscongress.ru, info@roscongress.org, info@time4photo.ru, ludmila.lubarskaya@roscongress.org, natalia.ershova@roscongress.org, natalia.polukhina@roscongress.org</t>
  </si>
  <si>
    <t>www.forumspb.com, www.roscongress.org</t>
  </si>
  <si>
    <t>МЦСЭИ ЛЕОНТЬЕВСКИЙ ЦЕНТР, АНО (n/a)
ФОНД ВАЛЕРИЯ ГЕРГИЕВА, НО БФ (n/a)
ЦСР, ФОНД (n/a)</t>
  </si>
  <si>
    <t>rvrz@rvrz.ru</t>
  </si>
  <si>
    <t>www.rvrz.ru</t>
  </si>
  <si>
    <t>ZORLU HOLDING ANONIM SIRKETI (5 532 911 647.04 руб., 100%)</t>
  </si>
  <si>
    <t>a.kuzmina@rosmoport.ru, a.kuzmina@rosmorport.ru, a.nevmerzhitskij@svs.rosmorport.ru, hq@rosmorport.ru, mail@ast.rosmorport.ru, mail@klg.rosmo, mail@rosmorport.ru, t.skoptsova@spb.rosmorport.ru, taganrog@abf.rosmorport.ru, tender@rosmorport.ru</t>
  </si>
  <si>
    <t>rosmorport.ru</t>
  </si>
  <si>
    <t>Российская Федерация (64 224 601 169.86 руб., 52.98%)</t>
  </si>
  <si>
    <t>brovchuk@rosman.ru, kaidalova@rosman.ru, lavrovae@rosman.ru, mohnova@rosman.ru, mskretail@haris.ru, nizyamova@rosman.ru, rosman@rosman.ru, rytikova@rosman.ru, shilceva@rosman.ru, shubina@rosman.ru</t>
  </si>
  <si>
    <t>rosman.ru</t>
  </si>
  <si>
    <t>Маркоткин Михаил Юрьевич (30 000 руб., 100%)</t>
  </si>
  <si>
    <t>125 410 000</t>
  </si>
  <si>
    <t>e.djumalieva@gkmayak.ru, info@gkmayak.ru, info@mayakmetall.ru, irk@gkmayak.ru, krs@mayakmetall.ru, m.salikova@mayakmetall.ru</t>
  </si>
  <si>
    <t>gkmayak.ru</t>
  </si>
  <si>
    <t>Корнейчук Анатолий Ананиевич (477 783.45 руб., 45%)
Корнейчук Ирина Леонидовна (477 783.45 руб., 45%)
Соколова Полина Анатольевна (53 087.05 руб., 5%)
Шульпин Михаил Владимирович (53 087.05 руб., 5%)</t>
  </si>
  <si>
    <t>528 980 000</t>
  </si>
  <si>
    <t>КАМЛАЙН, ООО (98 400 руб., 100%)</t>
  </si>
  <si>
    <t>127 930 000</t>
  </si>
  <si>
    <t>info@rossbuilding.ru, rossbuilding@list.ru</t>
  </si>
  <si>
    <t>rossbuilding.ru</t>
  </si>
  <si>
    <t>Смирнова Кристина Владимировна (15 000 руб., 100%)</t>
  </si>
  <si>
    <t>83 690 000</t>
  </si>
  <si>
    <t>pablic@yantene.ru, panteluva@yantene.ru, pressa@yantarenergo.ru, public@yandex.ru, public@yantararenergo.ru, public@yantarenergo.ru, public@yantehe.ru, public@yantene.ru, sin@yantene.ru, yantar39@mail.ru</t>
  </si>
  <si>
    <t>http://www.yantarenergo.ru/</t>
  </si>
  <si>
    <t>drsuros@maik.ru</t>
  </si>
  <si>
    <t>Ярошев Валерий Анатольевич (1 704 508 руб., 96.74%)
Ярошева Елена Валерьевна (57 518 руб., 3.26%)</t>
  </si>
  <si>
    <t>info@rost-s.com, tekeevs@gmail.com</t>
  </si>
  <si>
    <t>1 394 880 000</t>
  </si>
  <si>
    <t>Дегтярев Николай Владимирович (500 000 руб., 100%)</t>
  </si>
  <si>
    <t>kozyrev.an@agro-company.com, kuznecov.ay@agro-company.com, sinyagovskaya.v@yandex.ru</t>
  </si>
  <si>
    <t>Онащенко Евгений Владимирович (23 000 000 руб., 50%)
Симонов Игорь Викторович (23 000 000 руб., 50%)</t>
  </si>
  <si>
    <t>46 870 000</t>
  </si>
  <si>
    <t>rostagrocomplex@rostargoexport.ru</t>
  </si>
  <si>
    <t>rostagrocomplex.ru</t>
  </si>
  <si>
    <t>Кшенникова Валентина Алексеевна (284 000 руб., 28.40%)
Макарова Галина Алексеевна (284 000 руб., 28.40%)
Резникова Марина Алексеевна (282 000 руб., 28.20%)
Изачик Юрий Александрович (150 000 руб., 15%)</t>
  </si>
  <si>
    <t>209 880 000</t>
  </si>
  <si>
    <t>birichevskaya@rostagroexport.ru</t>
  </si>
  <si>
    <t>Кшенникова Валентина Алексеевна (2 640 руб., 26.40%)
Макарова Галина Алексеевна (2 640 руб., 26.40%)
Резникова Марина Алексеевна (2 640 руб., 26.40%)
Кокота Наталья Борисовна (1 980 руб., 19.80%)
РОСТАГРОКОМПЛЕКС, ООО (100 руб., 1%)</t>
  </si>
  <si>
    <t>270 120 000</t>
  </si>
  <si>
    <t>info@rtuport.ru, liskina@oao-rtu.ru</t>
  </si>
  <si>
    <t>www.oao-rtu.ru, www.rtuport.ru</t>
  </si>
  <si>
    <t>6 751 050 000</t>
  </si>
  <si>
    <t>rostlainagro@mail.ru</t>
  </si>
  <si>
    <t>ростлайн.рф</t>
  </si>
  <si>
    <t>Ткаченко Наталья Васильевна (25 000 руб., 50%)
Ткаченко Олег Николаевич (25 000 руб., 50%)</t>
  </si>
  <si>
    <t>148 340 000</t>
  </si>
  <si>
    <t>a01@mail.ru, azovdrsu@mail.ru, azovtorgi@yandex.ru, drsuany@mail.ru, region_dor@mail.ru, torgirad17@mail.ru, zovdrsu@mail.ru</t>
  </si>
  <si>
    <t>ПРАВИТЕЛЬСТВО РОСТОВСКОЙ ОБЛАСТИ (8 877 875 руб., 10.20%)</t>
  </si>
  <si>
    <t>rostovagroimpex.ru</t>
  </si>
  <si>
    <t>Колот Кирилл Григорьевич (77 000 руб., 70%)
Гошев Александр Викторович (27 610 руб., 25.10%)
Пронникова Елена Васильевна (5 390 руб., 4.90%)</t>
  </si>
  <si>
    <t>046946@mail.ru, 122_85@rostovvodokanal.ru, 2788845@mail.ru, a.lanko@rvdk.ru, a.leonteva@rvdk.ru, a.makuhina@rvdk.ru, a.manokhina@rvdk.ru, a.markarova@mail.ru, a.markarova@rvdk.ru, a.samojlenko@rvdk.ru</t>
  </si>
  <si>
    <t>rvdk.ru, vodokanalrnd.ru</t>
  </si>
  <si>
    <t>952 730 000</t>
  </si>
  <si>
    <t>111@2222.ru, 2108797@mail.ru, 22sotnik@mail.ru, 2342444@mail.ru, 2743339@yandex.ru, abon.rcr@bk.ru, abon.rcr@rcu.ru, abon.rcr@rcuo.ru, algol11401@yandex.ru, arisa.gusikova@lukoil.com</t>
  </si>
  <si>
    <t>ВДК-ЭНЕРГО, АО (2 684 949 412.4 руб., 99.99%)
ЛУКОЙЛ-АСТРАХАНЬЭНЕРГО, ООО (10 000 руб., 0.00040%)</t>
  </si>
  <si>
    <t>ev.nesterenko@gap-rs.ru</t>
  </si>
  <si>
    <t>СТАВРОПОЛЬСКИЙ БРОЙЛЕР, ООО (20 000 руб., 100%)</t>
  </si>
  <si>
    <t>a.mamedov@rgterminal.ru, a.sidorenko@rgterminal.ru, anna.sidorenko@bunge.com, info@rgterminal.ru</t>
  </si>
  <si>
    <t>Чемеричко Алексей Владимирович (5 000 руб., 50%)
Шайдаев Марат Магомедович (5 000 руб., 50%)</t>
  </si>
  <si>
    <t>otl@oaorsm.ru, rprz@oaorsm.ru</t>
  </si>
  <si>
    <t>rprz.ru</t>
  </si>
  <si>
    <t>Рязанов Юрий Викторович (61 861 553.12 руб., 33.17%)
Бабкин Константин Анатольевич (61 861 553.11 руб., 33.17%)
Удрас Дмитрий Александрович (61 861 553.11 руб., 33.17%)
ФИНИНВЕСТ, ООО (615 463.44 руб., 0.33%)
РОСТСЕЛЬМАШ, ПАО (300 000.12 руб., 0.16%)</t>
  </si>
  <si>
    <t>1 014 150 000</t>
  </si>
  <si>
    <t>irakondratevaa@gmail.com, roststroi@bk.ru</t>
  </si>
  <si>
    <t>Струков Иван Викторович (10 000 руб., 100%)</t>
  </si>
  <si>
    <t>36 940 000</t>
  </si>
  <si>
    <t>mail61@usimail.ru, pto61@usimail.ru, yur61@usimail.ru</t>
  </si>
  <si>
    <t>Ульянов Андрей Сергеевич (30 000 руб., 100%)</t>
  </si>
  <si>
    <t>560 980 000</t>
  </si>
  <si>
    <t>buh@roststal.ru</t>
  </si>
  <si>
    <t>Егошин Николай Ананьевич (4 000 руб., 40%)
Кашуба Владимир Анатольевич (4 000 руб., 40%)
Андрющенко Алексей Викторович (2 000 руб., 20%)</t>
  </si>
  <si>
    <t>278 780 000</t>
  </si>
  <si>
    <t>info@rostherm.ru</t>
  </si>
  <si>
    <t>rostherm.ru</t>
  </si>
  <si>
    <t>РОСТ, ООО (10 000 руб., 100%)</t>
  </si>
  <si>
    <t>a.nadezhdina@rostyre.com, o.barbashova@rostyre.com, office@rostyre.com, tender43@rostype.com, tender43@rostyre.com, tender62@rostyre.com</t>
  </si>
  <si>
    <t>rostyre.com, www.roshina.su</t>
  </si>
  <si>
    <t>Кочетков Роман Александрович (7 086 руб., 70.86%)
Сулимов Иван Иванович (2 521 руб., 25.21%)
Шапошникова Ирина Ивановна (393 руб., 3.93%)</t>
  </si>
  <si>
    <t>107 090 000</t>
  </si>
  <si>
    <t>a_kruglyy@mail.ru, ros_shina@mail.ru</t>
  </si>
  <si>
    <t>www.roshina.su</t>
  </si>
  <si>
    <t>Кочетков Роман Александрович (7 479 руб., 74.79%)
Сулимов Иван Иванович (2 521 руб., 25.21%)</t>
  </si>
  <si>
    <t>26 960 000</t>
  </si>
  <si>
    <t>info@rotfront.ru, rotfront@rotfront.ru</t>
  </si>
  <si>
    <t>www.rotfront.ru</t>
  </si>
  <si>
    <t>356 190 000</t>
  </si>
  <si>
    <t>e.morozova@roadgr.ru, gevorgyan1@roadgroup.net, info@mproect.com, info@roadgr.ru, kolesnikova@roadgroup.net</t>
  </si>
  <si>
    <t>roadgr.ru</t>
  </si>
  <si>
    <t>АРКТИКА ИНВЕСТ, АО (72 500 руб., 50%)
Олещук Антон Эдуардович (72 500 руб., 50%)</t>
  </si>
  <si>
    <t>АКЦИОНЕРНОЕ ОБЩЕСТВО "РОШ ДАЙЭГНОСТИКС ИНТЕРНЭШНЛ АГ" (99 990 000 руб., 99.99%)
Акционерное общество "Рош Финанц АГ" (10 000 руб., 0.010%)</t>
  </si>
  <si>
    <t>anna.kravets@roch.com, anna.kravets@roche.com, anna.surova@roche.com, belushkina@roche.com, elena.litvinova@roche.com, evgenia.belushkina@roche.com, moscow.reception1_dia@roche.com, moscow.reseption_dia@roche.com</t>
  </si>
  <si>
    <t>https://dialog.roche.com/ru/ru/home.html</t>
  </si>
  <si>
    <t>Акционерное общество "Рош Финанц АГ" (247 500 000 руб., 99%)
Акционерное общество "Рош Холдинг АГ" (2 500 000 руб., 1%)</t>
  </si>
  <si>
    <t>rzplast.ru</t>
  </si>
  <si>
    <t>Матыцын Владимир Александрович (10 000 руб., 100%)</t>
  </si>
  <si>
    <t>998 970 000</t>
  </si>
  <si>
    <t>royal-fresh.ru</t>
  </si>
  <si>
    <t>Егер Ольга Александровна (10 000 руб., 100%)</t>
  </si>
  <si>
    <t>Сенаторов Александр Александрович (7 000 руб., 70%)
Поликарпов Сергей Игоревич (3 000 руб., 30%)</t>
  </si>
  <si>
    <t>1 069 780 000</t>
  </si>
  <si>
    <t>ivanovsa0@lukoil.com, nataliya.gerasimova@lukoil.com, secretary@rpk2.lukoil.com</t>
  </si>
  <si>
    <t>ЛУКОЙЛ-СЕВЕРО-ЗАПАДНЕФТЕПРОДУКТ, ООО (499 500 руб., 99.90%)
ЛУКОЙЛ, ПАО (500 руб., 0.10%)</t>
  </si>
  <si>
    <t>1 750 470 000</t>
  </si>
  <si>
    <t>rpni1@mail.ru</t>
  </si>
  <si>
    <t>bura-rpni.ru</t>
  </si>
  <si>
    <t>Алтай Респ (n/a)</t>
  </si>
  <si>
    <t>mordasovals@sygroup.ru</t>
  </si>
  <si>
    <t>274 410 000</t>
  </si>
  <si>
    <t>info@rragency.ru, konstantin.byakov@rragency.ru, yuriy.dragan@rragency.ru</t>
  </si>
  <si>
    <t>rragency.ru</t>
  </si>
  <si>
    <t>ЭН ЭМ АЙ ГРУПП, ООО (10 000 руб., 100%)</t>
  </si>
  <si>
    <t>115 690 000</t>
  </si>
  <si>
    <t>aksamentova@rusfishcom.ru, fz@rusfishcom.ru, ruskay@mail.ru, shupikova@rusfishcom.ru, zonova@rusfishcom.ru</t>
  </si>
  <si>
    <t>www.rusfishcom.ru</t>
  </si>
  <si>
    <t>1 078 590 000</t>
  </si>
  <si>
    <t>advokat@rrt.ru, elena.rubleva@rrt.ru</t>
  </si>
  <si>
    <t>rrt.ru</t>
  </si>
  <si>
    <t>АВТОХОЛДИНГ РРТ, ООО (500 100 000 руб., 100%)</t>
  </si>
  <si>
    <t>15 910 000</t>
  </si>
  <si>
    <t>gpetrova@russvet.ru, oooelektrosistem@inbox.ru</t>
  </si>
  <si>
    <t>rs-cable.ru</t>
  </si>
  <si>
    <t>Страшнов Александр Владиславович (51 698 700 руб., 51%)
Юзепчук Валентин Дмитриевич (29 397 300 руб., 29%)
Лисихин Андрей Николаевич (10 137 000 руб., 10%)
Смирнов Виталий Владимирович (10 137 000 руб., 10%)</t>
  </si>
  <si>
    <t>2 464 100 000</t>
  </si>
  <si>
    <t>diana.makhmutova@roust.com, igor.stepanov@roust.com, info@russianstandard.com, inoskova@russianstandart.com, olga.nilova@roust.com, tatiana.kozhevnikova@roust.com</t>
  </si>
  <si>
    <t>www.russianstandard.com, www.russianstandart.com</t>
  </si>
  <si>
    <t>Russian Standard Vodka (usa), Inc. (252 971 440.14 руб., 90.99%)
РУСТ ИНК., ЗАО (25 063 354.13 руб., 9.01%)</t>
  </si>
  <si>
    <t>buh@creditexpress.ru</t>
  </si>
  <si>
    <t>rsvcollection.ru</t>
  </si>
  <si>
    <t>КОМПАНИЯ С ОГРАНИЧЕННОЙ ОТВЕТСТВЕННОСТЬЮ СВЕА ЭКОНОМИ САЙПРУС ЛИМИТЕД (9 990 руб., 99.90%)
ССК, ООО (10 руб., 0.10%)</t>
  </si>
  <si>
    <t>1 415 190 000</t>
  </si>
  <si>
    <t>akademicheskiy@kortros.ru, e.sokolova@kortros.ru</t>
  </si>
  <si>
    <t>академический.рф</t>
  </si>
  <si>
    <t>РСГ-АКАДЕМИЧЕСКОЕ, МКООО (800 000 000 руб., 100%)</t>
  </si>
  <si>
    <t>Операции с недвижимым имуществом за вознаграждение или на договорной основе</t>
  </si>
  <si>
    <t>korina.i@rglass.ru, naranova_e@rglass.ru, veretennikova.a@rglass.ru</t>
  </si>
  <si>
    <t>www.rglass.ru, российскаястекольнаякомпания.рф</t>
  </si>
  <si>
    <t>1 473 680 000</t>
  </si>
  <si>
    <t>Евлоев Заурбек Вахаевич (1 000 000 руб., 100%)</t>
  </si>
  <si>
    <t>149 520 000</t>
  </si>
  <si>
    <t>rss-eng@mail.ru</t>
  </si>
  <si>
    <t>Таунов Александр Юрьевич (860 000 руб., 85.15%)
Резванова Ирина Юрьевна (150 000 руб., 14.85%)</t>
  </si>
  <si>
    <t>27 120 000</t>
  </si>
  <si>
    <t>rstgeneral16@yandex.ru</t>
  </si>
  <si>
    <t>Дербичев Амирхан Аслангериевич (250 000 руб., 50%)
Золотарев Дмитрий Леонидович (250 000 руб., 50%)</t>
  </si>
  <si>
    <t>340 000</t>
  </si>
  <si>
    <t>rst-energo@bk.ru</t>
  </si>
  <si>
    <t>https://www.rst-energo.com</t>
  </si>
  <si>
    <t>Иванов Сергей Вячеславович (1 000 000 руб., 100%)</t>
  </si>
  <si>
    <t>196 580 000</t>
  </si>
  <si>
    <t>fgbup@rsuf.ru, fguh@rsurf.ru, fgup@rsufr.ru, fgup@rsuif.ru, fgup@rsup.ru, fgup@rsur.ru, fgup@rsurf.ru, fgup@rsurt.ru, fgup@udprf.ru, info-rsu@udprf.net</t>
  </si>
  <si>
    <t>rsurf.ru</t>
  </si>
  <si>
    <t>УПРАВЛЕНИЕ ДЕЛАМИ ПРЕЗИДЕНТА РОССИЙСКОЙ ФЕДЕРАЦИИ (500 000 руб., 100%)</t>
  </si>
  <si>
    <t>nordmanrmv@mail.ru</t>
  </si>
  <si>
    <t>Рябков Михаил Владимирович (10 000 руб., 100%)</t>
  </si>
  <si>
    <t>rkabirov@ruscam.ru, vorlov@ruscam.ru</t>
  </si>
  <si>
    <t>steklotara24.ru, www.ruscam.ru</t>
  </si>
  <si>
    <t>КОМП "БАЛСАНД БИ.ВИ./BALSAND B.V." (14 682 974 097.88 руб., 99.90%)
ЗАКРЫТОЕ АКЦИОНЕРНОЕ ОБЩЕСТВО "ЭССИ ГЛАСС ТРЕЙДИНГ Б.В." (14 697 671.77 руб., 0.10%)</t>
  </si>
  <si>
    <t>1 473 740 000</t>
  </si>
  <si>
    <t>info@factoring.rshb.ru, info@rshbfactoring.ru</t>
  </si>
  <si>
    <t>factoring.rshb.ru</t>
  </si>
  <si>
    <t>АГРОТОРГ-ТРЕЙД, ООО (99 130 000 руб., 99.13%)
ТДА ТУЛЬСКИЙ, ООО (870 000 руб., 0.87%)</t>
  </si>
  <si>
    <t>290 610 000</t>
  </si>
  <si>
    <t>rshb-intech.ru</t>
  </si>
  <si>
    <t>АГРОТОРГ-ТРЕЙД, ООО (5 000 руб., 50%)
ТДА ТУЛЬСКИЙ, ООО (5 000 руб., 50%)</t>
  </si>
  <si>
    <t>10 440 000</t>
  </si>
  <si>
    <t>igor.taraskin@rtlabs.ru, info@rtlabs.ru, sergey.yablokov@rtlabs.ru, tender@rtlabs.ru</t>
  </si>
  <si>
    <t>info@rtfinance.ru</t>
  </si>
  <si>
    <t>Предоставление займов и прочих видов кредита</t>
  </si>
  <si>
    <t>197 870 000</t>
  </si>
  <si>
    <t>gag@rtenergy.ru, info@rtenergy.ru, sad@rtenergy.ru</t>
  </si>
  <si>
    <t>rtenergy.ru</t>
  </si>
  <si>
    <t>РТ-КАПИТАЛ, ООО (2 855 702 184.78 руб., 100%)</t>
  </si>
  <si>
    <t>podovinnoespk@mail.ru</t>
  </si>
  <si>
    <t>РТ-ИНВЕСТ, АО (825 050 000 руб., 50%)
Ротенберг Игорь Аркадьевич (387 773 500 руб., 23.50%)
Шипелов Андрей Евгеньевич (313 519 000 руб., 19%)
Замков Антон Сергеевич (123 757 500 руб., 7.50%)</t>
  </si>
  <si>
    <t>1 984 420 000</t>
  </si>
  <si>
    <t>киберзож.рф</t>
  </si>
  <si>
    <t>СОЛАР-ПТ, ООО (9 900 руб., 99%)
АМТ, АО (100 руб., 1%)</t>
  </si>
  <si>
    <t>355 450 000</t>
  </si>
  <si>
    <t>elvira.a.sadekova@rt.ru, valeriya.ivanchenko@rt.ru</t>
  </si>
  <si>
    <t>ВЕСТЕЛКОМ, АО (859 000 руб., 85.90%)
БАШИНФОРМСВЯЗЬ, ПАО (132 300 руб., 13.23%)
АМТ, АО (8 700 руб., 0.87%)</t>
  </si>
  <si>
    <t>614 190 000</t>
  </si>
  <si>
    <t>a.pashkina@rtk-it.ru, info@rtk-it.ru</t>
  </si>
  <si>
    <t>http://www.rtk-it.ru/, http://www.rtk-it.ru/about.html</t>
  </si>
  <si>
    <t>ЦТВС, ООО (60 120 000 руб., 50.10%)
ЛОКАСОФТ ИНТЕГРАЦИЯ, ООО (29 940 000 руб., 24.95%)
ЦЕНТР ХРАНЕНИЯ ДАННЫХ, ООО (29 940 000 руб., 24.95%)</t>
  </si>
  <si>
    <t>1 284 910 000</t>
  </si>
  <si>
    <t>help@promo7host.ru, name@domain.zone</t>
  </si>
  <si>
    <t>adigeya.shop.mts.ru, alania.shop.mts.ru, altai.shop.mts.ru, amur.shop.mts.ru, arkhangelsk.shop.mts.ru, astrakhan.shop.mts.ru, barnaul.shop.mts.ru, bashkortostan.shop.mts.ru, belgorod.shop.mts.ru, beta.shop.mts.ru</t>
  </si>
  <si>
    <t>rostexcomtender@mail.ru, sekretar@rosteh.com</t>
  </si>
  <si>
    <t>www.rostrh.com, ростехком.рф</t>
  </si>
  <si>
    <t>171 230 000</t>
  </si>
  <si>
    <t>Давыдов Юрий Наумович (500 000 руб., 100%)</t>
  </si>
  <si>
    <t>79 200 000</t>
  </si>
  <si>
    <t>ТРЭВЕЛ-ТУР, ООО (5 100 руб., 51%)
ИНТЕРСЕРВИС, ООО (4 900 руб., 49%)</t>
  </si>
  <si>
    <t>azavodchikov@gmail.com, b2b@rtcomm-sibir.ru, d.bykovets@rtcomm.ru, noreply@rtcomm.ru, rtkomm@rtkomm.ru, sales@rtcomm-yug.ru, sales@sensat.ru</t>
  </si>
  <si>
    <t>www.rtcomm.ru, www.rtcomm.ru/about/corpmng/cm-id</t>
  </si>
  <si>
    <t>Деятельность в области спутниковой связи</t>
  </si>
  <si>
    <t>417 060 000</t>
  </si>
  <si>
    <t>СТОЛИЦАИНВЕСТ, ООО (100 000 руб., 100%)</t>
  </si>
  <si>
    <t>27 170 000</t>
  </si>
  <si>
    <t>mayorova_n@ipgclima.ru</t>
  </si>
  <si>
    <t>http://www.royal-thermo.ru</t>
  </si>
  <si>
    <t>Величко Сергей Борисович (132 500 000 руб., 50%)
Тимошенко Михаил Валерьевич (132 500 000 руб., 50%)</t>
  </si>
  <si>
    <t>Производство радиаторов и котлов центрального отопления</t>
  </si>
  <si>
    <t>aachimov@rtrn.ru, aantonenko@rtrn.ru, aarkhipov@rtrn.ru, akiryukhin@rtrn.ru, altay@rtrn.ru, aortpc@rtrn.ru, crimea@rtrn.ru, direct@dvrc.ru, dlatyshev@rtrn.ru, douadygea@rtrn.ru</t>
  </si>
  <si>
    <t>tvtower.ru, www.amur.rtrs.ru, www.rtrn.ru</t>
  </si>
  <si>
    <t>info@rts-tender.ru, v.volkov@rts-tender.ru, vnlishenkov@gmail.com</t>
  </si>
  <si>
    <t>rts-tender.ru</t>
  </si>
  <si>
    <t>ТЕКСА, АО (370 000 000 руб., 100%)</t>
  </si>
  <si>
    <t>541 860 000</t>
  </si>
  <si>
    <t>donskojaa@kmzlift.ru, kurashovaoa@kmzlift.ru, maksutovak@kmzlift.ru, rukmz@kmzlift.ru, vvshalamov@ya.ru</t>
  </si>
  <si>
    <t>kmzlift.ru</t>
  </si>
  <si>
    <t>КМЗ, ПАО (10 000 руб., 100%)</t>
  </si>
  <si>
    <t>11 510 000</t>
  </si>
  <si>
    <t>info@ruant.ru, info@themeansar.com, m.gogina@ruant.ru</t>
  </si>
  <si>
    <t>Шмарёва Юлия Леонидовна (1 000 000 руб., 100%)</t>
  </si>
  <si>
    <t>52 040 000</t>
  </si>
  <si>
    <t>ak21sharapova@mail.ru, info@rosturplast.ru</t>
  </si>
  <si>
    <t>Таракчы Волкан (1 450 000 руб., 50%)
Юров Максим Александрович (1 450 000 руб., 50%)</t>
  </si>
  <si>
    <t>372 690 000</t>
  </si>
  <si>
    <t>lobanovanv@rubezh.ru, rubezh@overta.ru, rubezh@rubezh.ru</t>
  </si>
  <si>
    <t>www.rubezh.ru</t>
  </si>
  <si>
    <t>Шпрехер Аврум Мотелевич (1 000 000 руб., 100%)</t>
  </si>
  <si>
    <t>204 850 000</t>
  </si>
  <si>
    <t>rubikon.vlg@gmail.com</t>
  </si>
  <si>
    <t>Лемякин Михаил Владимирович (120 000 руб., 100%)</t>
  </si>
  <si>
    <t>175 120 000</t>
  </si>
  <si>
    <t>info@rubytech.ru, rubitex@mail.ru, tender@rubitex.ru, tender@rubytech.ru, yuluchin@rubytech.ru</t>
  </si>
  <si>
    <t>РУБИТЕХ ХОЛДИНГ, ООО (10 000 руб., 100%)</t>
  </si>
  <si>
    <t>2 992 920 000</t>
  </si>
  <si>
    <t>davenda@zapadnaya.ru</t>
  </si>
  <si>
    <t>ЗАПАДНАЯ, АО ГРК (20 000 000 руб.)</t>
  </si>
  <si>
    <t>10 400 000</t>
  </si>
  <si>
    <t>a.belebeziev@rmcgold.ru, info@rvgold.ru, irina.karyukina@russdragmet.ru, secretary@rvgold.ru, t.orlyanskaya@rvgold.ru</t>
  </si>
  <si>
    <t>"STANMIX HOLDING LIMITED" (13 721 190 руб., 100%)</t>
  </si>
  <si>
    <t>2 847 790 000</t>
  </si>
  <si>
    <t>bagas@goldpro.ru, holkina@goldpro.ru, ionidi@goldpro.ru</t>
  </si>
  <si>
    <t>www.goldpro.ru, www.goldpro.ru/karalveem</t>
  </si>
  <si>
    <t>1 267 550 000</t>
  </si>
  <si>
    <t>rudstroy@lebgok.ru</t>
  </si>
  <si>
    <t>ОЭМК ИМ. А.А. УГАРОВА, АО (4 169 724.81 руб., 92.70%)
ЛЕБЕДИНСКИЙ ГОК, АО (328 150.19 руб., 7.30%)</t>
  </si>
  <si>
    <t>avdeenko_d@lmpzavod.ru, flower83@inbox.ru, smolskaya_g@ruzcom.ru</t>
  </si>
  <si>
    <t>ruzcom.ru</t>
  </si>
  <si>
    <t>Горбунков Михаил Владимирович (1 100 000 руб., 100%)</t>
  </si>
  <si>
    <t>139 160 000</t>
  </si>
  <si>
    <t>АСГ, ООО (440 000 000 руб., 100%)</t>
  </si>
  <si>
    <t>195 260 000</t>
  </si>
  <si>
    <t>9853612181@mail.ru, abrodolin@regop.ru, abuse@regop.ru, akt@ruzskyro.ru, aocheeva@regop.ru, buh_rro@regop.ru, d0_mozhaisk@regop.ru, detsad52@list.ru, do_barvikha@regop.ru, do_istra@regop.ru</t>
  </si>
  <si>
    <t>iow.79@mail.ru, low.79@mail.ru, ruzhim@ruzhim.ru, ruzhim@rzhm.rmrail.ru</t>
  </si>
  <si>
    <t>ruzhim.h-ruscortm.ru</t>
  </si>
  <si>
    <t>1 517 830 000</t>
  </si>
  <si>
    <t>irina.karkavina@evraz.com, office@raspadskaya.com, rasugol@raspad.rikt.ru</t>
  </si>
  <si>
    <t>РАСПАДСКАЯ, ПАО (1 203 120 000 руб., 100%)</t>
  </si>
  <si>
    <t>13 144 360 000</t>
  </si>
  <si>
    <t>www.mcdonalds.ru</t>
  </si>
  <si>
    <t>ЛИТ, АО (281 949 200 руб., 100%)</t>
  </si>
  <si>
    <t>ЛОУНЕМ ЛИМИТЕД (250 000 руб., 100%)</t>
  </si>
  <si>
    <t>general@runo-resurs.ru</t>
  </si>
  <si>
    <t>Тернавский Анатолий Андреевич (100 000 руб., 100%)</t>
  </si>
  <si>
    <t>574 360 000</t>
  </si>
  <si>
    <t>info@rusoilex.ru</t>
  </si>
  <si>
    <t>Подолян Роман Валентинович (90 000 руб., 90%)
Сабиров Борис Валерьевич (10 000 руб., 10%)</t>
  </si>
  <si>
    <t>469 780 000</t>
  </si>
  <si>
    <t>id.kazadaev@rusagromaslo.com</t>
  </si>
  <si>
    <t>ГРУППА КОМПАНИЙ РУСАГРО, ООО (10 000 руб., 100%)</t>
  </si>
  <si>
    <t>karavan@bel.ru, karavan@belgtts.ru, valuyki@rusagrogroup.ru</t>
  </si>
  <si>
    <t>ГРУППА КОМПАНИЙ РУСАГРО, ООО (95 700 000 руб., 100%)</t>
  </si>
  <si>
    <t>1 458 160 000</t>
  </si>
  <si>
    <t>m.romanov@rusagromaslo.com</t>
  </si>
  <si>
    <t>migulinane@rainvest.ru, receptions@rainvest.ru, velikorechinayayu@rainvest.ru</t>
  </si>
  <si>
    <t>rainvest.ru</t>
  </si>
  <si>
    <t>ГРУППА КОМПАНИЙ РУСАГРО, ООО (2 745 933 606 руб., 100%)</t>
  </si>
  <si>
    <t>11 473 080 000</t>
  </si>
  <si>
    <t>zolotarevavs@rusagromaslo.com</t>
  </si>
  <si>
    <t>ГРУППА КОМПАНИЙ РУСАГРО, ООО (6 000 000 000 руб., 100%)</t>
  </si>
  <si>
    <t>10 330 000</t>
  </si>
  <si>
    <t>goryunovata@rusagrouchet.ru, niksugar@tmb.ru, rus_sugar@tmb.ru, sotdelnov@rusagrogroup.ru, znamenka@rusagrogroup.ru</t>
  </si>
  <si>
    <t>https://rusagrolife.ru/pages/default.aspx, www.rusagrogroup.ru</t>
  </si>
  <si>
    <t>ГРУППА КОМПАНИЙ РУСАГРО, ООО (162 118 162.5 руб., 100%)</t>
  </si>
  <si>
    <t>1 882 110 000</t>
  </si>
  <si>
    <t>info@rusagrotrans.ru</t>
  </si>
  <si>
    <t>ДЕМЕТРА-ХОЛДИНГ, ООО (8 369 014 023 руб., 99.98%)
ДЕМЕТРА ТРЕЙДИНГ, ООО (836 986 руб., 0.010%)
ЛП ТРАНС, АО (438 213 руб., 0.0052%)</t>
  </si>
  <si>
    <t>1 046 160 000</t>
  </si>
  <si>
    <t>aleksandr.ryabtsev@rusal.com, aleksandr.shutov@rusal.com, braz-gdg-office@rusal.com</t>
  </si>
  <si>
    <t>www.braz-rusal.ru</t>
  </si>
  <si>
    <t>РУСАЛ, АО (100%)</t>
  </si>
  <si>
    <t>penkov.a@ru-sun.com, uprbuh-malceva@yandex.ru</t>
  </si>
  <si>
    <t>Симонова Жанна Геннадьевна (6 000 000 руб., 100%)</t>
  </si>
  <si>
    <t>22 110 000</t>
  </si>
  <si>
    <t>absalomatov@rosatom.ru, oamusaelyan@rosatom.ru, raos@rosatom.ru</t>
  </si>
  <si>
    <t>АТОМЭНЕРГОПРОМ, АО (4 800 100 000 руб.)</t>
  </si>
  <si>
    <t>bvpichugin@rusatomservice.ru, easalkov@rusatomservice.ru, info@rusatomservice.ru</t>
  </si>
  <si>
    <t>http://rusatomservice.org/</t>
  </si>
  <si>
    <t>181 630 000</t>
  </si>
  <si>
    <t>Сируть Владимир Валерьевич (10 000 руб., 100%)</t>
  </si>
  <si>
    <t>rusbstroi@gmail.com</t>
  </si>
  <si>
    <t>rbs-msk.ru</t>
  </si>
  <si>
    <t>Федоров Денис Валерьевич (100 000 руб., 100%)</t>
  </si>
  <si>
    <t>13 520 000</t>
  </si>
  <si>
    <t>КОМПАНИЯ С ОГРАНИЧЕННОЙ ОТВЕТСТВЕННОСТЬЮ "ЭВТИХИАНУС ХОЛДИНГЗ ЛИМИТЕД" (100 000 руб., 100%)</t>
  </si>
  <si>
    <t>info@rbm-armz.ru</t>
  </si>
  <si>
    <t>www.rusburmash.com</t>
  </si>
  <si>
    <t>АТОМРЕДМЕТЗОЛОТО, АО (45 758 руб.)</t>
  </si>
  <si>
    <t>rusvinyl@rusvinyl.ru</t>
  </si>
  <si>
    <t>www.rusvinyl.ru</t>
  </si>
  <si>
    <t>СИБУР ХОЛДИНГ, ПАО (28 598 192 000 руб., 100%)</t>
  </si>
  <si>
    <t>18 269 470 000</t>
  </si>
  <si>
    <t>agora@massandra.ru</t>
  </si>
  <si>
    <t>www.massandra.ru</t>
  </si>
  <si>
    <t>Боровкова Светлана Владимировна (143 000 000 руб., 100%)</t>
  </si>
  <si>
    <t>32 560 000</t>
  </si>
  <si>
    <t>ccs@ooccs.ru, hr@rusgazburenie.ru, mail@rusgazburenie.ru, mail@uttist.ru, sales@rusgazburenie.ru</t>
  </si>
  <si>
    <t>rusgazburenie.ru</t>
  </si>
  <si>
    <t>КОМПАНИЯ РИД, АО (100 000 руб., 100%)</t>
  </si>
  <si>
    <t>5 429 440 000</t>
  </si>
  <si>
    <t>НАВИГАТ, АО (99 900 руб., 99.90%)
Мигунов Алексей Юрьевич (100 руб., 0.10%)</t>
  </si>
  <si>
    <t>1 045 460 000</t>
  </si>
  <si>
    <t>www.rushydro.ru</t>
  </si>
  <si>
    <t>info@rusjet.aero, info@rusjet.euro, rusjetcom@mail.ru</t>
  </si>
  <si>
    <t>www.rus-jet.ru</t>
  </si>
  <si>
    <t>АГЕНТСТВО ПО УПРАВЛЕНИЮ ПЕРСПЕКТИВНЫМИ ПРОЕКТАМИ В ОБЛАСТИ АВИАЦИИ, ООО (88 000 000 руб.)</t>
  </si>
  <si>
    <t>10 439 260 000</t>
  </si>
  <si>
    <t>www.royalcanin.com</t>
  </si>
  <si>
    <t>РУСКАН, АО (10 000 руб., 100%)</t>
  </si>
  <si>
    <t>4 391 630 000</t>
  </si>
  <si>
    <t>www.royal-canin.ru, www.royalcanin.com</t>
  </si>
  <si>
    <t>4 302 560 000</t>
  </si>
  <si>
    <t>custom@rus-kat.ru, hr@rus-kat.ru, info@rus-kat.ru, sale@rus-kat.ru, sale@ruskat.ru</t>
  </si>
  <si>
    <t>rus-kat.ru</t>
  </si>
  <si>
    <t>АКРОН ИНДУСТРИЯ, АО (10 000 руб., 100%)</t>
  </si>
  <si>
    <t>Литье металлов</t>
  </si>
  <si>
    <t>1 207 180 000</t>
  </si>
  <si>
    <t>counter6@ruscon.delo-group.ru, counter9@ruscon.global, secretary@ruscon.delo-group.ru</t>
  </si>
  <si>
    <t>http://www.ruscon.global.ru, www.ruscon.gcs-group.ru, www.ruscon.global</t>
  </si>
  <si>
    <t>ГКС, ООО (1 110 000 руб., 100%)</t>
  </si>
  <si>
    <t>1 998 650 000</t>
  </si>
  <si>
    <t>Адамов Артур Александрович (5 346 000 руб., 48.60%)
МГРУП, ООО (4 400 000 руб., 40%)
Бабаев Наум Александрович (1 254 000 руб., 11.40%)</t>
  </si>
  <si>
    <t>1 658 570 000</t>
  </si>
  <si>
    <t>info@rusline.aero</t>
  </si>
  <si>
    <t>www.rusline.aero</t>
  </si>
  <si>
    <t>kurgin@list.ru, oootkr1@mail.ru</t>
  </si>
  <si>
    <t>Гуликян Мальвина Дерениковна (40 000 руб., 100%)</t>
  </si>
  <si>
    <t>rusman-buh@mail.ru</t>
  </si>
  <si>
    <t>Епифанов Игорь Вячеславович (10 000 руб., 100%)</t>
  </si>
  <si>
    <t>93 430 000</t>
  </si>
  <si>
    <t>ДЕЛЬФИНУС ДЕЛЬТА ЛТД (200 000 руб., 100%)</t>
  </si>
  <si>
    <t>1 208 690 000</t>
  </si>
  <si>
    <t>5151515@list.ru, 60254@mail.ru, 6606801@mail.ru, bikmulina@rusmedkom.ru, birsh@rpharm.ru, bondarenko@rusmedkom.ru, ea.chebotareva@rpharm.ru, grigoreva@rusmedkom.ru, info@rusmedkom.ru, kachalova@rusmedkom.ru</t>
  </si>
  <si>
    <t>Берсенев Дмитрий Евгеньевич (10 000 руб., 100%)</t>
  </si>
  <si>
    <t>25 630 000</t>
  </si>
  <si>
    <t>ao@rosten.elektra.ru, astrakhanenergo.rosseti@mail.ru, astrakhanenergo@mail.ru, bakhambaevaoi@ve.mrsk.ru, cecr@astsbut.ru, cecr@astsbyt.ru, dukhaninaov@ve.rossetyug.ru, gbvjhvjh@mail.ru, gorod1@astabyt.ru, gr_buh@inbox.ru</t>
  </si>
  <si>
    <t>https://rosseti-yug.ru, www.mrsk-yuga.ru</t>
  </si>
  <si>
    <t>РОССЕТИ, ПАО (84.12%)
Гончаров Павел Викторович (0.00020%)</t>
  </si>
  <si>
    <t>info@rusmetprom.ru, order@rusmetprom.ru</t>
  </si>
  <si>
    <t>rusmetprom.ru</t>
  </si>
  <si>
    <t>ТОТ КЭПИТАЛ, ООО (188 496 965.24 руб., 56.73%)
Зубович Андрей Антонович (143 780 127.91 руб., 43.27%)</t>
  </si>
  <si>
    <t>484 730 000</t>
  </si>
  <si>
    <t>emanaenkova@seligdar.ru, inforus@seligdar.ru, olovo@seligdar.ru, press@rus-olovo.ru, press@seligdar.ru, rusolovo@mail.ru</t>
  </si>
  <si>
    <t>rus-olovo.ru/yearreport.php, www.rus-olovo.ru</t>
  </si>
  <si>
    <t>СЕЛИГДАР, ПАО (97.79%)
Хрущ Александр Александрович (0.00028%)</t>
  </si>
  <si>
    <t>Добыча и обогащение оловянной руды</t>
  </si>
  <si>
    <t>rrs767@mail.ru, rusremstroi@mail.ru</t>
  </si>
  <si>
    <t>Зарипов Рустам Галимзянович (10 000 руб., 100%)</t>
  </si>
  <si>
    <t>info@newsoutdoor.ru, info@russoutdoor.ru, lneugodova@russoutdoor.ru, russ@russoutdoor.ru, yni@russoutdoor.ru</t>
  </si>
  <si>
    <t>www.newsoutdoor.ru, www.russoutdoor.ru</t>
  </si>
  <si>
    <t>СТИНН, ООО (60 786.27 руб., 86.60%)
ШУШАРЫ ХОЛДИНГ, ООО (8 703.81 руб., 12.40%)
ОЛИМП, ЗАО (701.92 руб., 1%)</t>
  </si>
  <si>
    <t>1 240 030 000</t>
  </si>
  <si>
    <t>safonov.nv@yandex.ru</t>
  </si>
  <si>
    <t>russ-modul.ru</t>
  </si>
  <si>
    <t>Акопян Рузана Оганесовна (7 000 руб., 70%)
Акопян Артем Сергеевич (2 000 руб., 20%)
Акопян Артур Сергеевич (1 000 руб., 10%)</t>
  </si>
  <si>
    <t>131 960 000</t>
  </si>
  <si>
    <t>gakaev.ra@gmail.com</t>
  </si>
  <si>
    <t>Гакаев Рашид Аднанович (500 000 руб., 100%)</t>
  </si>
  <si>
    <t>93 400 000</t>
  </si>
  <si>
    <t>ТПГК, ООО (10 000 руб., 100%)</t>
  </si>
  <si>
    <t>ЭЙЧЭФСИ ПРЕСТИЖ ИНТЕРНЕШНЛ ДЖЕРМАНИ ГМБХ (2 455 284 225.94 руб., 99.99%)
Coty Germany Holding GmbH (46 256.66 руб., 0.0019%)</t>
  </si>
  <si>
    <t>433 790 000</t>
  </si>
  <si>
    <t>nadezhda763@rambler.ru</t>
  </si>
  <si>
    <t>Тужилкина Виктория Александровна (10 400 руб., 51%)
Лю Юйтин (10 000 руб., 49%)</t>
  </si>
  <si>
    <t>910 000</t>
  </si>
  <si>
    <t>bk-pioner@mail.ru, otiz_pioner@bk.ru</t>
  </si>
  <si>
    <t>НПО РУССИНТЕГРАЛ, ООО (9 900 руб., 99%)
РУССИНТЕГРАЛ-ВАРЬЕГАНРЕМОНТ, ООО (100 руб., 1%)</t>
  </si>
  <si>
    <t>278 230 000</t>
  </si>
  <si>
    <t>info@ra-group.ru, mp@rregion.ru, mp@rregion.ru//www.mol-prod.ru</t>
  </si>
  <si>
    <t>rregion.ru</t>
  </si>
  <si>
    <t>АГРОПРОМХОЛДИНГ РАЗВИТИЕ РЕГИОНОВ, ООО (19 497 400 руб., 74.99%)
Сандин Юрий Семенович (2 601 040 руб., 10%)
Саидова Диана Сайдумовна (1 625 650 руб., 6.25%)
Шишкина Стелла-Мария Викторовна (1 625 650 руб., 6.25%)
Апполонова Любовь Игоревна (650 260 руб., 2.50%)</t>
  </si>
  <si>
    <t>Власюк Олег Анатольевич (5 000 000 руб., 50%)
Тимошенко Надежда Анатольевна (5 000 000 руб., 50%)</t>
  </si>
  <si>
    <t>506 590 000</t>
  </si>
  <si>
    <t>maria.belova@ruslab.org, office@ruslab.org, tender@spb.ruslab.org</t>
  </si>
  <si>
    <t>ruslab.org</t>
  </si>
  <si>
    <t>527 490 000</t>
  </si>
  <si>
    <t>orekhov.aa@rrcs.ru</t>
  </si>
  <si>
    <t>Бондаренко Елена Владимировна (13 010 000 руб., 100%)</t>
  </si>
  <si>
    <t>50 830 000</t>
  </si>
  <si>
    <t>russvin@zao-agrokomplex.ru, veselova.an@zao-agrokomplex.ru</t>
  </si>
  <si>
    <t>https://zao-agrokomplex.ru</t>
  </si>
  <si>
    <t>АГРОКОМПЛЕКС ИМ. Н.И.ТКАЧЕВА, АО ФИРМА (53 537 924 руб., 100%)</t>
  </si>
  <si>
    <t>info@rtowers.ru, shibaeva@rtowers.ru, support@rtowers.ru</t>
  </si>
  <si>
    <t>rtowers.ru</t>
  </si>
  <si>
    <t>ИНФРАСТРУКТУРНЫЙ ИНТЕГРАТОР, ООО (41 310 000 руб.)</t>
  </si>
  <si>
    <t>387 660 000</t>
  </si>
  <si>
    <t>1nfo@rmuka.ru, info@rmuka.ru, komarova@rmuka.ru</t>
  </si>
  <si>
    <t>ГК ГРЕЙН ХОЛДИНГ, ООО (10 000 000 руб., 100%)</t>
  </si>
  <si>
    <t>mailbox@rusfund.ru</t>
  </si>
  <si>
    <t>www.rusfund.ru</t>
  </si>
  <si>
    <t>171 550 000</t>
  </si>
  <si>
    <t>www.rusbus.ru</t>
  </si>
  <si>
    <t>Киреев Антон Валерьевич (9 600 руб., 96%)
Киреев Иван Антонович (200 руб., 2%)
Тувыкин Антон Константинович (200 руб., 2%)</t>
  </si>
  <si>
    <t>46 730 000</t>
  </si>
  <si>
    <t>31 060 000</t>
  </si>
  <si>
    <t>anisenkova@rdholding.ru, mail@rdholding.ru, secretar@rdholding.ru</t>
  </si>
  <si>
    <t>308 410 000</t>
  </si>
  <si>
    <t>ni.volkova777@rambler.ru; rs@rusalmon.ru; natalya.volkova@rusalmon.ru, russiansalmon@ya.ru, tihonov_p76@mail.ru</t>
  </si>
  <si>
    <t>rusalmon.ru</t>
  </si>
  <si>
    <t>БИОРЕСУРС, ООО (654 000 руб., 100%)</t>
  </si>
  <si>
    <t>kchernov@rusprod.ru, opuchkov@rusprod.ru, public@rusprod.ru, shirokova.av@rusprod.ru</t>
  </si>
  <si>
    <t>www.rusprod.ru</t>
  </si>
  <si>
    <t>Колобашкин Константин Викторович (250 000 руб., 50%)
Тимошенко Юрий Олегович (250 000 руб., 50%)</t>
  </si>
  <si>
    <t>info@pr-rusfishworld.com, info@rusfishworld.ru, rusfish@yandex.ru</t>
  </si>
  <si>
    <t>www.rusfishworld.ru</t>
  </si>
  <si>
    <t>Исаев Евгений Николаевич (7 000 руб., 70%)
Бузов Евгений Анатольевич (2 300 руб., 23%)
Исаев Сергей Николаевич (700 руб., 7%)</t>
  </si>
  <si>
    <t>343 070 000</t>
  </si>
  <si>
    <t>rss@russkiy-sever.com</t>
  </si>
  <si>
    <t>Беспалов Александр Степанович (198 000 000 руб., 99%)
СТАНДАРТ КАЧЕСТВА, ООО (2 000 000 руб., 1%)</t>
  </si>
  <si>
    <t>78 390 000</t>
  </si>
  <si>
    <t>ov_anchikova@rsb.ru</t>
  </si>
  <si>
    <t>БАНК РУССКИЙ СТАНДАРТ, АО (5 256 966 384.07 руб., 100%)</t>
  </si>
  <si>
    <t>Деятельность административно-хозяйственная комплексная по обеспечению работы организации</t>
  </si>
  <si>
    <t>reception@ruscoal.ru, skochetkova@ruscoal.ru, tp@ruscoal.ru</t>
  </si>
  <si>
    <t>busireva@grainholding.ru, okhanovaaa@rhleb, vyaznikova@grainholding.ru</t>
  </si>
  <si>
    <t>grainholding.ru</t>
  </si>
  <si>
    <t>ГК ГРЕЙН ХОЛДИНГ, ООО (260 595 589 руб., 100%)</t>
  </si>
  <si>
    <t>svitmoloko.ru</t>
  </si>
  <si>
    <t>Мишуков Александр Юрьевич (5 000 руб., 50%)
Морозов Александр Иванович (5 000 руб., 50%)</t>
  </si>
  <si>
    <t>144 460 000</t>
  </si>
  <si>
    <t>info@bfish.russiansea.ru, ostapchenko.aa@russiansea.ru</t>
  </si>
  <si>
    <t>www.russiansea.ru, www.russianseagroup.ru</t>
  </si>
  <si>
    <t>235 240 000</t>
  </si>
  <si>
    <t>a.u.ivanov@kalashnikovconcern.ru, info@rsarms.ru</t>
  </si>
  <si>
    <t>КОНЦЕРН КАЛАШНИКОВ, АО (289 050 000 руб., 100%)</t>
  </si>
  <si>
    <t>Торговля оптовая оружием и боеприпасами</t>
  </si>
  <si>
    <t>117 200 000</t>
  </si>
  <si>
    <t>russneft@russneft.ru</t>
  </si>
  <si>
    <t>Rambero Holding AG (23.46%)
Прозоровская Ольга Евгеньевна (0.00050%)
Толочек Евгений Викторович (0.00050%)
Карпенко Сергей Анатольевич (0.00030%)</t>
  </si>
  <si>
    <t>РУССОЙЛ, ООО (500 000 руб., 100%)</t>
  </si>
  <si>
    <t>80 980 000</t>
  </si>
  <si>
    <t>rossoil.ru</t>
  </si>
  <si>
    <t>info@russalt.ru</t>
  </si>
  <si>
    <t>russalt.ru</t>
  </si>
  <si>
    <t>РУССОЛЬ ЛИМИТЕД, МКООО (1 615 145 000 руб., 100%)</t>
  </si>
  <si>
    <t>Добыча соли</t>
  </si>
  <si>
    <t>1 766 140 000</t>
  </si>
  <si>
    <t>rusocap@mail.ru, russoccap@bk.ru, russoccap@mail.ru</t>
  </si>
  <si>
    <t>russoccap.ru</t>
  </si>
  <si>
    <t>ИНТЕРСНАБ, АО (990 000 руб., 99%)
Красина Ирина Анатольевна (10 000 руб., 1%)</t>
  </si>
  <si>
    <t>493 400 000</t>
  </si>
  <si>
    <t>anna.buyankina@roust.com, info@russianstandard.com, msk@russiastandard.com, nverenich@russianstandard.com, yuliya.smirnova@roust.com</t>
  </si>
  <si>
    <t>49 410 000</t>
  </si>
  <si>
    <t>kerry@kerry.ru, kvn@kerry.ru</t>
  </si>
  <si>
    <t>Гаврилов Александр Александрович (500 000 руб., 33.33%)
Рудаков Александр Владимирович (500 000 руб., 33.33%)
Рудаков Олег Владимирович (500 000 руб., 33.33%)</t>
  </si>
  <si>
    <t>125 390 000</t>
  </si>
  <si>
    <t>mail@kzg.ru</t>
  </si>
  <si>
    <t>kzg.ru</t>
  </si>
  <si>
    <t>МУЛЬТИДЕКС, АО (50 000 руб., 100%)</t>
  </si>
  <si>
    <t>1 380 000</t>
  </si>
  <si>
    <t>Дениз Селим (30 000 руб., 100%)</t>
  </si>
  <si>
    <t>58 610 000</t>
  </si>
  <si>
    <t>maria.karaseva@ruston.cc</t>
  </si>
  <si>
    <t>topsourcing.ru</t>
  </si>
  <si>
    <t>ЧАСТНАЯ АКЦИОНЕРНАЯ КОМПАНИЯ С ОГРАНИЧЕННОЙ ОТВЕТСТВЕННОСТЬЮ ХЭЙЛУНЦЗЯН РУСТОН ИНТЕРНЭШНЛ ЛОДЖИСТИКС КО., ЛИМИТЕД (1 000 000 руб., 100%)</t>
  </si>
  <si>
    <t>358 770 000</t>
  </si>
  <si>
    <t>ginger@mail.ru</t>
  </si>
  <si>
    <t>www.tdrustorg.com</t>
  </si>
  <si>
    <t>РУСТОРГ, ООО ТД (10 200 руб., 34%)
Татуйко Наталия Евгеньевна (7 200 руб., 24%)
Матвеев Николай Викторович (6 900 руб., 23%)
Сергунова Юлия Андреевна (5 700 руб., 19%)</t>
  </si>
  <si>
    <t>39 570 000</t>
  </si>
  <si>
    <t>rto@rustorgoil.ru</t>
  </si>
  <si>
    <t>Дубовцев Сергей Владимирович (5 000 руб., 50%)
Ильин Александр Юрьевич (5 000 руб., 50%)</t>
  </si>
  <si>
    <t>141 190 000</t>
  </si>
  <si>
    <t>degtyarev@astarm.ru</t>
  </si>
  <si>
    <t>ooorustrans.ru</t>
  </si>
  <si>
    <t>ООО "ИСТ БЕТА ХОЛДИНГ ГМБХ" (1 700 000 руб., 85%)
НОВФИНТЕХ, ООО (300 000 руб., 15%)</t>
  </si>
  <si>
    <t>rustradenp.ru</t>
  </si>
  <si>
    <t>Николаев Владимир Алексеевич (10 000 руб., 100%)</t>
  </si>
  <si>
    <t>4 510 000</t>
  </si>
  <si>
    <t>alexandrgor1986@mail.ru, info@sk-rustrest.ru, romanova_tm@bk.ru</t>
  </si>
  <si>
    <t>sk-rustrest.ru</t>
  </si>
  <si>
    <t>Ершов Сергей Александрович (15 015 000 руб., 50%)
Миронов Евгений Юрьевич (15 015 000 руб., 50%)</t>
  </si>
  <si>
    <t>326 400 000</t>
  </si>
  <si>
    <t>info@rustek-m.ru</t>
  </si>
  <si>
    <t>ОБЩЕСТВО С ОГРАНИЧЕННОЙ ОТВЕТСТВЕННОСТЬЮ "НОВАЯ ТЕХНОЛОГИЧЕСКАЯ КОМПАНИЯ" (1 040 000 руб., 52%)
Овчинникова Юлия Ивановна (800 000 руб., 40%)
Конев Евгений Вячеславович (160 000 руб., 8%)</t>
  </si>
  <si>
    <t>220 720 000</t>
  </si>
  <si>
    <t>info@rusfen.ru</t>
  </si>
  <si>
    <t>www.rusfen.ru, www.tekfeninsaat.com</t>
  </si>
  <si>
    <t>АО "Текфен Иншаат ве Тесисат Аноним Ширкети" (1 500 000 руб., 100%)</t>
  </si>
  <si>
    <t>РОСБАНК, ПАО (6 546 861 730 руб., 100%)</t>
  </si>
  <si>
    <t>oleneva.lubov@rushimset.ru, ruslan.semenov@rushimset.ru</t>
  </si>
  <si>
    <t>rushimset.ru</t>
  </si>
  <si>
    <t>1 396 330 000</t>
  </si>
  <si>
    <t>o@rhs-spb.ru, spb@rushimset.ru</t>
  </si>
  <si>
    <t>www.rushimset.ru</t>
  </si>
  <si>
    <t>141 400 000</t>
  </si>
  <si>
    <t>galkina_av@rek44.ru</t>
  </si>
  <si>
    <t>Сергеенко Мария Петровна (172 270 руб., 74.90%)
РТ-КАПИТАЛ, ООО (57 730 руб., 25.10%)</t>
  </si>
  <si>
    <t>80 850 000</t>
  </si>
  <si>
    <t>info@rusenres.ru</t>
  </si>
  <si>
    <t>rusenres.ru</t>
  </si>
  <si>
    <t>РЭРЭНЕРГО, АО (3 000 000 руб., 75%)
ТРАНСНЕФТЬ-ЗАПАДНАЯ СИБИРЬ, АО (1 000 000 руб., 25%)</t>
  </si>
  <si>
    <t>1 199 120 000</t>
  </si>
  <si>
    <t>office@rusenergosib.ru</t>
  </si>
  <si>
    <t>РУСЭНЕРГОСБЫТ, ООО (4 600 000 руб., 50%)
СЕЙЛМОР ИНВЕСТМЕНТС ЛТД (4 508 000 руб., 49%)
Григоренко Вадимс (92 000 руб., 1%)</t>
  </si>
  <si>
    <t>361 740 000</t>
  </si>
  <si>
    <t>123321@mail.ru, 54788554@mail.ru, aakitvinenko@ruses.ru, aalitvinenko@rules.ru, aalitvinennko@ruses.ru, abdulinores@mail.ru, aboynova@ruses.ru, aiiskue2@ruses.ru, akrusko@ruses.ru, alopatin@ruses.ru</t>
  </si>
  <si>
    <t>ruses.ru</t>
  </si>
  <si>
    <t>РЭСЭНЕРГО ИНВЕСТМЕНТС, МКАО (9 090 000 руб., 50.50%)
ENEL SPA (8 910 000 руб., 49.50%)</t>
  </si>
  <si>
    <t>8 398 350 000</t>
  </si>
  <si>
    <t>СЕВЕРТАР ХОЛДИНГ ЛТД (170 000 000 руб., 100%)</t>
  </si>
  <si>
    <t>3 810 700 000</t>
  </si>
  <si>
    <t>rutek.ru</t>
  </si>
  <si>
    <t>Лунев Андрей Владимирович (10 000 руб., 50%)
Хор Яков Моисеевич (10 000 руб., 50%)</t>
  </si>
  <si>
    <t>269 450 000</t>
  </si>
  <si>
    <t>Предоставление услуг в области лесозаготовок</t>
  </si>
  <si>
    <t>info@rfs.ru</t>
  </si>
  <si>
    <t>www.rfs.ru</t>
  </si>
  <si>
    <t>Деятельность прочих общественных организаций и некоммерческих организаций, кроме религиозных и политических организаций</t>
  </si>
  <si>
    <t>Лютаревич Сергей Николаевич (7 700 000 руб., 77%)
Толстобров Леонид Николаевич (2 300 000 руб., 23%)</t>
  </si>
  <si>
    <t>glyva-rn@karat-holding.com, khramenok-ag@norebo.ru, nenasheva-na@norebo.com, vg@rp-invest.ru</t>
  </si>
  <si>
    <t>1 813 780 000</t>
  </si>
  <si>
    <t>arz@arzamas.nnov.ru, azr@azr.nnov.ru, molodkina.iv@rikor52.ru, vostokov.ov@rikor52.ru</t>
  </si>
  <si>
    <t>www.rikor-electronics.ru</t>
  </si>
  <si>
    <t>aandorovskoy@rosatom.ru, rein@rosatom.ru</t>
  </si>
  <si>
    <t>rusatom-energy.ru</t>
  </si>
  <si>
    <t>cipina.n@reid21.ru, reid-21@reid21.ru</t>
  </si>
  <si>
    <t>Ибрагимов Закир Фуатович (5 000 000 руб., 50%)
Саттаров Рашит Ирекович (5 000 000 руб., 50%)</t>
  </si>
  <si>
    <t>railpro.ru</t>
  </si>
  <si>
    <t>Бадоев Сергей Гасанович (3 391 685.5 руб., 67.55%)
Корякин Михаил Николаевич (1 629 314.5 руб., 32.45%)</t>
  </si>
  <si>
    <t>34 010 000</t>
  </si>
  <si>
    <t>a.satyrenko@rail-tech.ru</t>
  </si>
  <si>
    <t>rail-tech.ru</t>
  </si>
  <si>
    <t>Соломко Максим Анатольевич (300 000 руб., 100%)</t>
  </si>
  <si>
    <t>150 130 000</t>
  </si>
  <si>
    <t>rek-energo.ru</t>
  </si>
  <si>
    <t>Кармаков Алексей Владимирович (76 274 000 руб., 100%)</t>
  </si>
  <si>
    <t>2 047 130 000</t>
  </si>
  <si>
    <t>rek.ru@prysmiangroup.com, td@recab.ru</t>
  </si>
  <si>
    <t>www.lebonfap.com, www.prysmianrussia.ru, www.recab.ru</t>
  </si>
  <si>
    <t>ПРИСМИАН РУС, ООО (90 312 000 руб., 100%)</t>
  </si>
  <si>
    <t>14 650 000</t>
  </si>
  <si>
    <t>ryahovskaya.e@remz.su</t>
  </si>
  <si>
    <t>remz.su</t>
  </si>
  <si>
    <t>ТОК-ИНВЕСТ, ООО (202 000 руб., 100%)</t>
  </si>
  <si>
    <t>e.saltykova@reph.ru, i.miheeva@reph.ru, m.prohorova@reph.ru, reph@reph.ru, s.safronenkova@reph.ru, t.egorova@reph.ru</t>
  </si>
  <si>
    <t>www.reph.ru</t>
  </si>
  <si>
    <t>besedkovg@eseti.ru, gorsety@eseti.ru, info@eset.ru, info@eseti.ru, jiryakovaa@eseti.ru, kancves@eseti.ru, kobzevaav@eseti.ru, ogranichenie@eseti.ru, pr@eseti.ru, prseti@mail.ru</t>
  </si>
  <si>
    <t>www.eseti.ru</t>
  </si>
  <si>
    <t>ckopin@resk.ru, esk@resk.ru, her_adm@mail.ru, kopin@resk.ru, koroleva@energy.ryazan.ru, kudimovalv@resk.ru, lisnoy_mup_gkx@mail.ru, mail@ruazan.elektra.ru, mail@ryaxan.electra.ru, mail@ryazan.eiektra.ru</t>
  </si>
  <si>
    <t>www.resk.ru</t>
  </si>
  <si>
    <t>ЭСК РУСГИДРО, АО (90.52%)</t>
  </si>
  <si>
    <t>fgup@rosenergotorg.ru, info@rosenergotorg.su</t>
  </si>
  <si>
    <t>СЕЛИГДАР, ПАО (630 020 400 руб., 100%)</t>
  </si>
  <si>
    <t>3 399 950 000</t>
  </si>
  <si>
    <t>e.sapronowa@yandex.ru</t>
  </si>
  <si>
    <t>ВЁРДАЗЕРНОПРОДУКТ, ООО (9 900 руб., 99%)
Сандин Юрий Семенович (100 руб., 1%)</t>
  </si>
  <si>
    <t>amkamilk@yandex.ru, amkamilk@yandex.ru//moloko.rzn@gmail.com, gosuslugi_director@amka62.ru, moloko.rzn@gmail.com, popov@amko-milk.ru, prishvina@amka62.ru, tihonova@amka62.ru</t>
  </si>
  <si>
    <t>amka-milk.ru, www.amko-milk.ru</t>
  </si>
  <si>
    <t>АВАНГАРД, ООО (8 000 руб., 80%)
Кондрашова Оксана Георгиевна (1 000 руб., 10%)
Подоль Станислав Рудольфович (1 000 руб., 10%)</t>
  </si>
  <si>
    <t>117 530 000</t>
  </si>
  <si>
    <t>bogdanova@avtodor-rzn.ru, buh@avtodor-rzn.ru/www.avtodor-rzn.ru, info@avtodor-rzn.ru, info@avtodor-rzn.ru/www.avtodor-rzn.ru, info@avtodor.rzn.ru</t>
  </si>
  <si>
    <t>avtodor-rzn.ru</t>
  </si>
  <si>
    <t>МИНИМУЩЕСТВО РЯЗАНСКОЙ ОБЛАСТИ (428 188 926 руб.)</t>
  </si>
  <si>
    <t>agrohim62@list.ru, ximiya@mail.ryazan.ru</t>
  </si>
  <si>
    <t>РЯЗАНЬ-ХИМ, ООО (1 471 520 руб., 95.42%)
Бродский Владимир Аркадьевич (70 630 руб., 4.58%)</t>
  </si>
  <si>
    <t>46 630 000</t>
  </si>
  <si>
    <t>engeneering@s7.ru, i.yatskova@s7.ru, y.kislovskaya@s7.ru</t>
  </si>
  <si>
    <t>www.engineering-ru.com, www.s7.ru</t>
  </si>
  <si>
    <t>АВИАКОМПАНИЯ СИБИРЬ, АО (1 082 068 143.36 руб., 99.99%)
ГРУППА КОМПАНИЙ С 7, ЗАО (108 217.64 руб., 0.010%)</t>
  </si>
  <si>
    <t>1 721 100 000</t>
  </si>
  <si>
    <t>astra@s7.ru, corp.doc@s7.ru, i.yatskova@s7.ru, m.gorokhova@s7.ru, y.komareva@s7.ru</t>
  </si>
  <si>
    <t>www.s7tour.ru</t>
  </si>
  <si>
    <t>ГРУППА КОМПАНИЙ С 7, ЗАО (100 000 руб., 100%)</t>
  </si>
  <si>
    <t>87 560 000</t>
  </si>
  <si>
    <t>vityaz2@mail.ru</t>
  </si>
  <si>
    <t>ОАО "Витязь" (52 935 791.61 руб., 100%)</t>
  </si>
  <si>
    <t>sdok@sdok.vologda.ru</t>
  </si>
  <si>
    <t>www.sokoldok.ru</t>
  </si>
  <si>
    <t>794 680 000</t>
  </si>
  <si>
    <t>СИМПЛ ГРУПП, ООО (10 000 000 руб., 100%)</t>
  </si>
  <si>
    <t>64 840 000</t>
  </si>
  <si>
    <t>klient@igr.ru</t>
  </si>
  <si>
    <t>pro-toys-market.ru</t>
  </si>
  <si>
    <t>Антонов Олег Робертович (100 000 руб., 100%)</t>
  </si>
  <si>
    <t>27 970 000</t>
  </si>
  <si>
    <t>aristarkhov@sbermarketing.ru, sales@sbermarketing.ru</t>
  </si>
  <si>
    <t>254 900 000</t>
  </si>
  <si>
    <t>sova@opsccorp.ru</t>
  </si>
  <si>
    <t>Дамизов Игорь Владимирович (10 000 руб., 100%)</t>
  </si>
  <si>
    <t>alsen@statoilfuelretail.ru, ekaterina.pravdina@circlekeurope.com, irina.larionova1@statoilfuelretail.com</t>
  </si>
  <si>
    <t>СЁРКЛ КЕЙ ПРОПЕРТИ РУС, ООО (4 995 000 руб., 99.90%)
Баранцев Кирилл Юрьевич (5 000 руб., 0.10%)</t>
  </si>
  <si>
    <t>sabonfruit@mail.ru</t>
  </si>
  <si>
    <t>sabonholding.ru</t>
  </si>
  <si>
    <t>Алиев Ровшан Музаффар Оглы (10 000 000 руб., 100%)</t>
  </si>
  <si>
    <t>21 700 000</t>
  </si>
  <si>
    <t>info@sadgigant.ru</t>
  </si>
  <si>
    <t>Выращивание прочих плодовых и ягодных культур</t>
  </si>
  <si>
    <t>283 770 000</t>
  </si>
  <si>
    <t>ОЛИМП Ю, АО (3 300 руб., 33%)
ИНВЕСТСОДРУЖЕСТВО, ООО (2 800 руб., 28%)
БАРРЕЛЬ, ООО (1 950 руб., 19.50%)
ДИЛМАР, ООО (1 950 руб., 19.50%)</t>
  </si>
  <si>
    <t>541 380 000</t>
  </si>
  <si>
    <t>info@stiooo.ru, y.karneychik@stiooo.ru</t>
  </si>
  <si>
    <t>stiooo.ru</t>
  </si>
  <si>
    <t>ЭКО ГРУПП ГОНКОНГ ЛИМИТЭД (20 000 руб., 100%)</t>
  </si>
  <si>
    <t>287 900 000</t>
  </si>
  <si>
    <t>gardring.ru</t>
  </si>
  <si>
    <t>egorova-ov@pridonie.ru, referent@pridonie.ru</t>
  </si>
  <si>
    <t>www.pridonie.ru</t>
  </si>
  <si>
    <t>Самохин Андрей Павлович (100%)</t>
  </si>
  <si>
    <t>1 017 590 000</t>
  </si>
  <si>
    <t>01ada@snos.ru, mtv@salavatinvest.ru, salavatinvest@mtu-net.ru</t>
  </si>
  <si>
    <t>ГАЗПРОМ НЕФТЕХИМ САЛАВАТ, ООО (63 300 269.58 руб., 99.20%)
ПВК, ООО (510 000 руб., 0.80%)</t>
  </si>
  <si>
    <t>1 964 810 000</t>
  </si>
  <si>
    <t>sma11@salstek.ru</t>
  </si>
  <si>
    <t>www.megway.ru, www.salstek.ru</t>
  </si>
  <si>
    <t>Производство листового стекла</t>
  </si>
  <si>
    <t>2 238 540 000</t>
  </si>
  <si>
    <t>info@gazpromss.ru, sales@gruntkraska.ru</t>
  </si>
  <si>
    <t>ГАЗПРОМ СТРОЙТЭК, ООО (100 000 руб.)</t>
  </si>
  <si>
    <t>273 740 000</t>
  </si>
  <si>
    <t>0secret@slenergo.ru, 1@1ya.ru, ca@mail.ru, cecret@slenergo.com, cecret@slenergo.ru, egladisheva@slenergo.ru, gruppatp@mail.ru, salehardenergo@mail.ru, salehardenergo@ya.ru, salekhardenergo@mail.ru</t>
  </si>
  <si>
    <t>slenergo.ru</t>
  </si>
  <si>
    <t>etazhi86@mail.ru, saliantour@mail.ru, salivanderb@bk.ru</t>
  </si>
  <si>
    <t>salian-tour.ru</t>
  </si>
  <si>
    <t>Джамалов Риад Дербетович (10 000 руб., 100%)</t>
  </si>
  <si>
    <t>info@e5.ufanet.ru</t>
  </si>
  <si>
    <t>ПРОФЕССИОНАЛ, ООО (61 465 381 руб., 99.98%)
Гарифуллин Ильдар Мулланурович (10 000 руб., 0.020%)</t>
  </si>
  <si>
    <t>egraeva@sberdevices.ru, ops@sberdevices.ru</t>
  </si>
  <si>
    <t>https://sberdevices.ru</t>
  </si>
  <si>
    <t>info@samaravem.ru</t>
  </si>
  <si>
    <t>samaravem.ru</t>
  </si>
  <si>
    <t>376 850 000</t>
  </si>
  <si>
    <t>infosapp@rusagromaslo.com, lm.chernyaeva@rusagrogroup.ru, neevinais@rusagromaslo.com, v.fedyunin@rusagromaslo.com</t>
  </si>
  <si>
    <t>www.bezmez.ru</t>
  </si>
  <si>
    <t>ГРУППА КОМПАНИЙ РУСАГРО, ООО (1 500 000 000 руб.)</t>
  </si>
  <si>
    <t>olga30476@mail.ru, olga32237@yandex.ru, samarasta@list.ru, samarasts@list.ru</t>
  </si>
  <si>
    <t>Дорошенко Олег Владимирович (10 000 руб., 100%)</t>
  </si>
  <si>
    <t>169 610 000</t>
  </si>
  <si>
    <t>adm@snet.samen.elektra.ru, armen@samaraenergo.ru, bezen@samaraenergo.ru, bezen@samraenergo.ru, bezenchuk@samaraenergo.ru, bolgen@samaraenergo.ru, borsen@samaraenergo.ru, borsen@samaraenero.ru, chapen@samaraenergo.ru, chven@samaraenergo.ru</t>
  </si>
  <si>
    <t>www.samaraenergo.ru</t>
  </si>
  <si>
    <t>Аветисян Владимир Евгеньевич (60.84%)
Ринграунд Сервисез Лимитед (13.89%)
Розенцвайг Александр Шойлович (13.51%)
ЕТЭС, ООО (0.80%)
Дербенев Олег Александрович (0.0000015%)</t>
  </si>
  <si>
    <t>amotrenko@samcomsys.ru, e.kartashova@samcomsy.ru, eagridneva@samcomsys.ru, ebaranova@samcomsys.ru, ebaranovs@samcomsys.ru, efanovia@gmail.com, ekartashova@samcomcys.ru, ekartashova@samcomsys.ru, ezhidkova@samcomsys.ru, ezidkova@samcomsys.ru</t>
  </si>
  <si>
    <t>samcomsys.ru</t>
  </si>
  <si>
    <t>1 057 040 000</t>
  </si>
  <si>
    <t>info@farphor.ru, law4@farphor.ru</t>
  </si>
  <si>
    <t>www.farphor.ru</t>
  </si>
  <si>
    <t>ВОЛЖСКАЯ КЕРАМИКА, ООО (200 000 руб., 66.89%)
Долматов Алексей Георгиевич (20 582.1 руб., 6.88%)
Скотников Олег Юрьевич (20 582.1 руб., 6.88%)
Бахмуров Ярослав Александрович (14 850 руб., 4.97%)
Хенкин Александр Анатольевич (14 850 руб., 4.97%)
Лашманова Татьяна Дмитриевна (14 067.9 руб., 4.70%)
Мисюля Павел Алексеевич (14 067.9 руб., 4.70%)</t>
  </si>
  <si>
    <t>107 120 000</t>
  </si>
  <si>
    <t>amanovaav@samges.ru, balakovskaya@samges.ru, balakovskayaas@samges.ru, balakovskayas@samges.ru, barabanova@samges.ru, barabanovama@samges.ru, barabanovama@samreg.ru, boikovaem@samges.ru, borodinaov@samges.ru, camges@yandex.ru</t>
  </si>
  <si>
    <t>samges.ru</t>
  </si>
  <si>
    <t>534 780 000</t>
  </si>
  <si>
    <t>samoletservice@samoletgroup.ru</t>
  </si>
  <si>
    <t>САМОЛЕТ ДВЕ СТОЛИЦЫ, ООО (10 000 руб., 100%)</t>
  </si>
  <si>
    <t>info@samotlor.biz, manager@abcdshop.xru</t>
  </si>
  <si>
    <t>kazan.olimp-parketa.ru, krasnodar.olimp-parketa.ru, nn.olimp-parketa.ru, pyatigorsk.olimp-parketa.ru, rostov.olimp-parketa.ru, samara.olimp-parketa.ru, sochi.olimp-parketa.ru, spb.olimp-parketa.ru, stavropol.olimp-parketa.ru, voronezh.olimp-parketa.ru</t>
  </si>
  <si>
    <t>Шакиров Андрей Шамильевич (10 000 руб., 100%)</t>
  </si>
  <si>
    <t>v.antonova@samsung.kom</t>
  </si>
  <si>
    <t>"САМСУНГ ЭЛЕКТРОНИКС КО.,ЛТД" (4 692 634 000 руб., 100%)</t>
  </si>
  <si>
    <t>www.sunchemical.com</t>
  </si>
  <si>
    <t>1245877@mail.ru, 1c.rassyika@espus.ru, 1c.rassylka@esplus.ru, 2796320@mail.ru, 323014@mail.ru, 3555439@mail.ru, 3555440@mail.ru, 3555464@mail.ru, 9805900@mail.ru, admchep@mail.ru</t>
  </si>
  <si>
    <t>tplusgroup.ru</t>
  </si>
  <si>
    <t>document@sanam.pro</t>
  </si>
  <si>
    <t>https://sanam.pro/</t>
  </si>
  <si>
    <t>Ростампур Юсеф Хасан (10 050 000 руб., 100%)</t>
  </si>
  <si>
    <t>info@zapolarye.ru, zapol_market@yandex.ru</t>
  </si>
  <si>
    <t>www.zapolarye.ru</t>
  </si>
  <si>
    <t>НОРИЛЬСКИЙ КОМБИНАТ, АО (4 518 705 270 руб., 100%)</t>
  </si>
  <si>
    <t>dnikonen@gmail.com</t>
  </si>
  <si>
    <t>www.home.sandvik</t>
  </si>
  <si>
    <t>SANDVIK AB (200 099 000 руб., 100%)</t>
  </si>
  <si>
    <t>186 780 000</t>
  </si>
  <si>
    <t>Хазанов Леонид Матвеевич (20 000 руб., 100%)</t>
  </si>
  <si>
    <t>129 770 000</t>
  </si>
  <si>
    <t>santehnika@sanita.ru</t>
  </si>
  <si>
    <t>КЕРРАНОВА ПЛЮС, ООО (200 000 руб., 100%)</t>
  </si>
  <si>
    <t>37 760 000</t>
  </si>
  <si>
    <t>katilova@spb-kurin-co.ru, mail@spb-kurin-co.ru, ooo@spbcc.ru</t>
  </si>
  <si>
    <t>www.spbcc.ru</t>
  </si>
  <si>
    <t>Смоляк Борис Наумович (544 000 руб., 34%)
Веселков Сергей Васильевич (528 000 руб., 33%)
Рудницкий Константин Давидович (528 000 руб., 33%)</t>
  </si>
  <si>
    <t>87 100 000</t>
  </si>
  <si>
    <t>СОЛАР СИСТЕМС, ООО (7 662.75 руб., 51%)
КОМПАНИЯ САНШПП Б.В. (7 362.25 руб., 49%)</t>
  </si>
  <si>
    <t>anastasiya.kulkova@sanofi.com, anastasiya.loginova@sanofi.com, dt.russia@sanofi.com, dt.russia@sanofri.com, galina.tereshchenko@sanofi.com, info@sanofi.ru, natalya.krupenye@sanofi.com, russia@sanofi.com, sanofi.russia@sanofi.com</t>
  </si>
  <si>
    <t>156@mail.ru, 5997220@mail.ru, ab@odh.ru, ads@odtn.ru, borisenkovaiv@odtn.ru, es@odhs.ru, gimn11_odintsovo@mail.ru, hakkievaus@odtn.ru, i.diadkin@odhs.ru, karandash@odtn.ru</t>
  </si>
  <si>
    <t>www.teploset.org</t>
  </si>
  <si>
    <t>Московская обл, ОДИНЦОВСКИЙ ГОРОДСКОЙ ОКРУГ МОСКОВСКОЙ ОБЛАСТИ (1 715 272 363 руб., 100%)</t>
  </si>
  <si>
    <t>Завираев Вячеслав Вениаминович (5 000 руб., 50%)
Герасимов Алексей Евгеньевич (3 500 руб., 35%)
Зеленев Вадим Николаевич (1 500 руб., 15%)</t>
  </si>
  <si>
    <t>645 270 000</t>
  </si>
  <si>
    <t>info@santech.ru, kovalch_nv@santech.ru</t>
  </si>
  <si>
    <t>www.santech.ru</t>
  </si>
  <si>
    <t>Данилкин Виктор Николаевич (10 000 000 руб., 100%)</t>
  </si>
  <si>
    <t>1 607 180 000</t>
  </si>
  <si>
    <t>info@gidro-z.ru, info@santehnika-online.ru</t>
  </si>
  <si>
    <t>Аджи-Османов Асан Ризанурович (40 000 руб., 100%)</t>
  </si>
  <si>
    <t>8 160 000</t>
  </si>
  <si>
    <t>at@san-tor.ru, atsantor@mtu-net.ru, info@san-tor.ru, santor1993@gmail.com</t>
  </si>
  <si>
    <t>www.san-tor.ru</t>
  </si>
  <si>
    <t>Торгованов Александр Вадимович (204 000 руб., 34%)
Русанов Александр Иванович (198 000 руб., 33%)
Шоно Александр Михайлович (198 000 руб., 33%)</t>
  </si>
  <si>
    <t>118 360 000</t>
  </si>
  <si>
    <t>events.russia@sap.com, info.cis@sap.com</t>
  </si>
  <si>
    <t>www.sap.com</t>
  </si>
  <si>
    <t>АКЦИОНЕРНАЯ КОМПАНИЯ "САП АГ" (2 130 800 руб., 100%)</t>
  </si>
  <si>
    <t>358 660 000</t>
  </si>
  <si>
    <t>d.motolov@saranskkabel.ru, post@saranskkabel.ru, r.almyashev@saranskkabel.ru</t>
  </si>
  <si>
    <t>saranskkabel.ru</t>
  </si>
  <si>
    <t>Матыцын Владимир Александрович (841 324 742.76 руб., 100%)</t>
  </si>
  <si>
    <t>ddrozd@saratov.lukoil.com, dergach@saratov.lukoil.com, evgenia.shubina@lukoil.com, office@saratov.lukoil.com</t>
  </si>
  <si>
    <t>www.saratov.lukoil.com</t>
  </si>
  <si>
    <t>ЛУКОЙЛ, ПАО (641 946 493 руб., 100%)</t>
  </si>
  <si>
    <t>6 430 890 000</t>
  </si>
  <si>
    <t>r.sogoyan@gap-rs.ru</t>
  </si>
  <si>
    <t>Наурузов Виктор Борисович (9 900 руб., 99%)
ТОКАРЕВСКАЯ ПТИЦЕФАБРИКА, ОАО (100 руб., 1%)</t>
  </si>
  <si>
    <t>02@oke64.ru, 0ffce@surenergo.ru, 0office@sarenergo.ru, 19@oke64.ru, 4158416541@mail.ru, 416514541@mail.ru, 416541641@mail.ru, 45145141545@mail.ru, 465146313@mail.ru, 51486541@mail.ru</t>
  </si>
  <si>
    <t>www.saratovenergo.ru</t>
  </si>
  <si>
    <t>САМАРАЭНЕРГО, ПАО (11.96%)</t>
  </si>
  <si>
    <t>alsu.gazizova@saria-volga.ru, ekaterina.haibullina@saria-online.ru</t>
  </si>
  <si>
    <t>saria-online.ru</t>
  </si>
  <si>
    <t>САРИЯ БИО-ИНДАСТРИС ИНТЕРНЭШНЛ ГМБХ (238 140 000 руб., 90%)
Х ЭНД С ТРЕЙДИНГ ИНТЕРНЭШНЛ ГМБ Х (26 460 000 руб., 10%)</t>
  </si>
  <si>
    <t>1 284 400 000</t>
  </si>
  <si>
    <t>i.efaeva@sarmich.ru, info@sarmich.ru</t>
  </si>
  <si>
    <t>sarmich.ru</t>
  </si>
  <si>
    <t>Тутуркина Раиса Степановна (495 000 руб., 49.50%)
Киреев Александр Николаевич (300 000 руб., 30%)
Меркушкин Алексей Николаевич (205 000 руб., 20.50%)</t>
  </si>
  <si>
    <t>171 530 000</t>
  </si>
  <si>
    <t>anna.rogozhina@sartorius.com, oksana.grushevskaya@sartorius.com</t>
  </si>
  <si>
    <t>SARTORIUS STEDIM BIOTECH (8 000 000 руб., 100%)</t>
  </si>
  <si>
    <t>763 760 000</t>
  </si>
  <si>
    <t>farislander@mail.ru</t>
  </si>
  <si>
    <t>15 670 000</t>
  </si>
  <si>
    <t>sibavtotranst.ru</t>
  </si>
  <si>
    <t>Рудов Виталий Викторович (10 000 руб., 100%)</t>
  </si>
  <si>
    <t>1394@krasnoe-beloe.ru</t>
  </si>
  <si>
    <t>674 890 000</t>
  </si>
  <si>
    <t>v.danilyuk@samoletgroup.ru</t>
  </si>
  <si>
    <t>МЕГА-СИТИ, ООО (1 500 010 000 руб., 100%)</t>
  </si>
  <si>
    <t>1 330 580 000</t>
  </si>
  <si>
    <t>example@example.ru, opt.parts@saturn-r.ru, pt.parts@saturn-r.ru, saturn_r_avto@mail.ru</t>
  </si>
  <si>
    <t>Репин Александр Анатольевич (9 309 300 руб., 93%)
Санников Андрей Кельсиевич (700 700 руб., 7%)</t>
  </si>
  <si>
    <t>88 340 000</t>
  </si>
  <si>
    <t>g.melnichukovskaia@lesaffre.com, tvv@lesaffre.ru</t>
  </si>
  <si>
    <t>КОМПАНИ ДЕ ЛЕВЮР ЛЕСАФР (418 867 545 руб., 100%)</t>
  </si>
  <si>
    <t>1 427 660 000</t>
  </si>
  <si>
    <t>safmed@elem.ru, t.klimina@elen.ru</t>
  </si>
  <si>
    <t>www.elem.ru/ru/business/shareholder/fils/safmed</t>
  </si>
  <si>
    <t>Ян Габ Ен (10 000 руб., 100%)</t>
  </si>
  <si>
    <t>291 990 000</t>
  </si>
  <si>
    <t>priem-pk@norebo.ru</t>
  </si>
  <si>
    <t>www.sakhalin-engineering.ru</t>
  </si>
  <si>
    <t>main@sssc.ru, melihova@sssc.ru, projects@sssc.ru, sss@bgtelecom.ru</t>
  </si>
  <si>
    <t>www.sssc.ru</t>
  </si>
  <si>
    <t>ВОСТОК-ИНКОМ, АО (105 154.64 руб., 52.58%)
ЯПОНСКАЯ ФИРМА "МАРУБЕНИ КОРПОРЕЙШН" (51 546.39 руб., 25.77%)</t>
  </si>
  <si>
    <t>234 380 000</t>
  </si>
  <si>
    <t>a_busaeva@srvsbyt.ru, egay-dk@sahen.ru, energosbyt@sakh.raoesv.ru, energosbyt@srvsbyt.ru, esbyt@sahen.elektra.ru, infoenergo@sakhalin.dvec.ru, irinaschavaleeva@yandex.ru, kea@sahen.elektra.ru, office@sakhotb.ru, sah@salen.elektra.ru</t>
  </si>
  <si>
    <t>http://www.sakhalinenergo.ru, www.sahen.elektra.ru</t>
  </si>
  <si>
    <t>РАО ЭС ВОСТОКА, АО (82.29%)
САХАЛИНСКАЯ ГРЭС-2, АО (7.68%)</t>
  </si>
  <si>
    <t>amn@ynp.ru, azs_48@bk.ru, baa@ynp.ru, bgoraneft@mail.ru, cap@ynp.ru, enl@ynp.ru, gia@ynp.ru, iol@ynp.ru, iom@ynp.ru, iye@ynp.ru</t>
  </si>
  <si>
    <t>www.sngs.ykt.ru</t>
  </si>
  <si>
    <t>МИНИСТЕРСТВО ИМУЩЕСТВЕННЫХ И ЗЕМЕЛЬНЫХ ОТНОШЕНИЙ РЕСПУБЛИКИ САХА (ЯКУТИЯ) (4 242 503 214 руб.)</t>
  </si>
  <si>
    <t>sv_mail@ahkuban.ru, sv_mail@szvsvoda.ru, svoboda@mail.kuban.ru</t>
  </si>
  <si>
    <t>185 410 000</t>
  </si>
  <si>
    <t>kolpnasugar@yandex.ru, skk@agro.kdvm.ru</t>
  </si>
  <si>
    <t>КДВ АГРОХОЛДИНГ, ООО (35 000 000 руб., 100%)</t>
  </si>
  <si>
    <t>1 140 320 000</t>
  </si>
  <si>
    <t>798 870 000</t>
  </si>
  <si>
    <t>123@mail.ry, a717487@gmail.com, admmobut809@mai.ru, aostng@mail.ru, dxf@mail.ru, eo.stng@gmail.com, eu.ugrs@aostng.ru, gpz_trans@mail.ru, gpz_tras@mail.ru, hangalasegu@mail.ru</t>
  </si>
  <si>
    <t>http://www.aostng.ru</t>
  </si>
  <si>
    <t>МИНИСТЕРСТВО ИМУЩЕСТВЕННЫХ И ЗЕМЕЛЬНЫХ ОТНОШЕНИЙ РЕСПУБЛИКИ САХА (ЯКУТИЯ) (85.43%)</t>
  </si>
  <si>
    <t>21386@mail.ru, anerqinasbut@mail.ru, ao_sakhaenergo@sakhaenergo.ru, aosakhaenergo@mail.ru, belkachi2019@yandex.ru, budyanova.zhig@sakhaenergo.ru, cz@ykn.ru, dghfhjg@mail.ru, energosbut@sakhaenergo.ru, energosbut_kes@sahkaenergo.ru</t>
  </si>
  <si>
    <t>www.sakhaenergo.ru</t>
  </si>
  <si>
    <t>sahkomstroy@mail.ru, sakhcomstroy@mail.ru, sks@rvs.group</t>
  </si>
  <si>
    <t>Тен Эрнст (10 000 руб., 100%)</t>
  </si>
  <si>
    <t>205 720 000</t>
  </si>
  <si>
    <t>chief@sasco.ru, chief@sasco.sakhalin.ru, ocb1@sasco.ru, torg@sasco.ru</t>
  </si>
  <si>
    <t>www.sasco.org</t>
  </si>
  <si>
    <t>ТРАНСКОНТЕЙНЕР, ПАО (58.51%)
Суковатов Анатолий Иванович (0.030%)
САХМОРТЭК, ООО (0.020%)
Кукин Аркадий (0.010%)</t>
  </si>
  <si>
    <t>635 330 000</t>
  </si>
  <si>
    <t>info@sayanmoloko.ru, sm-inbox@mail.ru</t>
  </si>
  <si>
    <t>www.yfc.ru/raskrytie88.htm</t>
  </si>
  <si>
    <t>Левицкий Валерий Анатольевич (2 067 408 321 руб., 99.52%)
Левицкая Елена Федоровна (10 009 256 руб., 0.48%)</t>
  </si>
  <si>
    <t>info@s-broiler.ru, ismagambetovrb@s-broiler.ru</t>
  </si>
  <si>
    <t>s-broiler.ru</t>
  </si>
  <si>
    <t>ТРУД, АО (100 910 188 руб., 100%)</t>
  </si>
  <si>
    <t>ail@sibvinyl.ru, danilenko@sibvinyl.ru, mail@sibvinil.ru, mail@sibviniyl.ru, mail@sibvinyl.ru</t>
  </si>
  <si>
    <t>www.sibvinyl.ru</t>
  </si>
  <si>
    <t>2 275 590 000</t>
  </si>
  <si>
    <t>СБ КИБ ХОЛДИНГ, ООО (508 898 094 руб., 48.99%)
ДЕМЕТРА ТРАСТ, ООО (264 836 752.5 руб., 25.50%)
УЛЬТРАМАРИН, ООО (264 836 752.5 руб., 25.50%)
СБ ФИНАНС ХОЛДИНГ, ООО (3 901 руб., 0.00040%)</t>
  </si>
  <si>
    <t>893 780 000</t>
  </si>
  <si>
    <t>Смирнов Игорь Алексеевич (100 000 руб., 100%)</t>
  </si>
  <si>
    <t>145 030 000</t>
  </si>
  <si>
    <t>webmaster@troika.ru</t>
  </si>
  <si>
    <t>СМ ГРУПП, ООО (1 000 000 руб., 100%)</t>
  </si>
  <si>
    <t>67 010 000</t>
  </si>
  <si>
    <t>Стэнли Блэк энд Деккео Нидерландс Б.В, (698 063 437.5 руб., 99.94%)
Блэк энд Деккер Холдингс Б.В. (436 562.5 руб., 0.060%)</t>
  </si>
  <si>
    <t>920 440 000</t>
  </si>
  <si>
    <t>avkozyrev@sberfactoring.ru, kaznach@sberfactoring.ru, oniovleva@sberbank-factoring.ru</t>
  </si>
  <si>
    <t>1 279 360 000</t>
  </si>
  <si>
    <t>info.sbsrv@sberbank.ru, krapivina.o.vla@sberbank.ru, maslovskiy.p.ni@sberbank.ru</t>
  </si>
  <si>
    <t>СБЕРБАНК, ПАО (80 000 000 руб., 100%)</t>
  </si>
  <si>
    <t>204 900 000</t>
  </si>
  <si>
    <t>info@sberbank-fc.ru</t>
  </si>
  <si>
    <t>Деятельность по сбору пожертвований и по формированию целевого капитала некоммерческих организаций</t>
  </si>
  <si>
    <t>1 419 830 000</t>
  </si>
  <si>
    <t>eruz@sberkey.ru, info@sberkey.ru, ivrybakov@sberkey.ru</t>
  </si>
  <si>
    <t>8 220 000</t>
  </si>
  <si>
    <t>compliance@sblogistica.ru, ftl@sblogistica.ru, help@sblogistica.ru, info@sblogistica.ru, lopuhina.n.g@sblogistica.ru, pr@sblogistica.ru, sales@sblogistica.ru, stankevich.m.m@sblogistica.ru</t>
  </si>
  <si>
    <t>www.sbllogistica.ru</t>
  </si>
  <si>
    <t>info.sbt@sberbank.ru, lnabramenko@sberbank.ru, nvkostina.sbt@sberbank.ru, platformv@sberbank.ru</t>
  </si>
  <si>
    <t>287 850 000</t>
  </si>
  <si>
    <t>aleksandr.bagdasarov@inchcape.ru, alla.stepanova@inchcape.ru, anton.danilevskiy@keyauto.ru, denis.malkin@inchcape.ru, e.matveenko@keyauto.ru, evgeniy.matveenko@inchape.ru, julia.kazakevich@inchcape.ru, k.rozhenkov@keyauto.ru, lyudmila.poltavtseva@inchcape.ru, salon@toyota-pulkovo.ru</t>
  </si>
  <si>
    <t>ГК СБСВ-КЛЮЧАВТО, ООО (442 627 903.02 руб., 100%)</t>
  </si>
  <si>
    <t>683 000 000</t>
  </si>
  <si>
    <t>Бугай Владимир Ярославович (2 000 000 руб., 100%)</t>
  </si>
  <si>
    <t>5 750 000</t>
  </si>
  <si>
    <t>1830532@mail.ru, cb@hj.jj, dfgf@ryuj.iki, natysikm@yandex.ru, sbtalyans@yandex.ru, stbalyans@yandex.ru</t>
  </si>
  <si>
    <t>sbtalyans.ru</t>
  </si>
  <si>
    <t>Моисеева Наталья Александровна (50 000 руб., 83.33%)
Аширбеков Мирбек Беделбаевич (10 000 руб., 16.67%)</t>
  </si>
  <si>
    <t>Усков Дмитрий Александрович (1 000 000 руб., 100%)</t>
  </si>
  <si>
    <t>3 160 000</t>
  </si>
  <si>
    <t>sbytenergo@inbox.ru</t>
  </si>
  <si>
    <t>Ананьев Роман Владимирович (10 000 руб., 100%)</t>
  </si>
  <si>
    <t>11 790 000</t>
  </si>
  <si>
    <t>ЛАКСА ТРЕЙДИНГ, АО (449 950 000 руб., 99.99%)
Соколов Никита Алексеевич (50 000 руб., 0.010%)</t>
  </si>
  <si>
    <t>Торговля розничная часами и ювелирными изделиями в специализированных магазинах</t>
  </si>
  <si>
    <t>Быстряков Алексей Викторович (50 000 руб., 50%)
Темиров Аслан Хизирович (50 000 руб., 50%)</t>
  </si>
  <si>
    <t>42 720 000</t>
  </si>
  <si>
    <t>abbyasovaer@svgk.ru, aiv2@svgc.ru, borunovaayu@svgc.ru, callcenter@svgc.ru, erminsv@svgc.ru, ermolaevans@svgc.ru, fedichevaaa@svgc.ru, gvge@svge.ru, hgdj@mail.ru, igumenovaia@svgc.ru</t>
  </si>
  <si>
    <t>svgc.ru</t>
  </si>
  <si>
    <t>СП-99, ООО (284 626 195.39 руб., 84.06%)
БАЗА, ООО (20 113 804.61 руб., 5.94%)
ПРОМГАЗДИАГНОСТИКА, ООО (16 930 000 руб., 5%)
АЛЬТАИР, ООО (8 465 000 руб., 2.50%)
ПОТЕНЦИАЛ, ООО (8 465 000 руб., 2.50%)</t>
  </si>
  <si>
    <t>Распределение природного, сухого (отбензиненного) газа по газораспределительным сетям по тарифам, регулируемым государством</t>
  </si>
  <si>
    <t>235 020 000</t>
  </si>
  <si>
    <t>aleksey.samigulin@sveza.com, fankom@sveza.com, natalya.halemina@sveza.com, osipov@fankomvs.ru, savza_vs@sveza.com, sveza_vs@sveza.com</t>
  </si>
  <si>
    <t xml:space="preserve">https://sveza.ru/ </t>
  </si>
  <si>
    <t>СВЕЗА, ООО (685 000 руб.)</t>
  </si>
  <si>
    <t>2 284 160 000</t>
  </si>
  <si>
    <t>fanplit@sveza.com, iv.vorontcova@sveza.com</t>
  </si>
  <si>
    <t>3 142 710 000</t>
  </si>
  <si>
    <t>fankom@mtts.perm.ru, info.pfk@sveza.com</t>
  </si>
  <si>
    <t>СВЕЗА-ЛЕС, ООО (109 332 руб., 100%)</t>
  </si>
  <si>
    <t>274 330 000</t>
  </si>
  <si>
    <t>aleksandra.reshilova@severstal-ssc.ru, ekaterina.buinickaya@sveza.com, irina.ykovleva@sveza.com, nadezhda.iurkina@severstal-ssc.ru, uifk.office@severstalgroup.com, uifk.office@sveza.com</t>
  </si>
  <si>
    <t>https://sveza.ru/ , www.sveza.ru</t>
  </si>
  <si>
    <t>114 480 000</t>
  </si>
  <si>
    <t>info@sveza.com</t>
  </si>
  <si>
    <t>www.sveza.ru</t>
  </si>
  <si>
    <t>СВЕЗА, ООО (773 921 306.77 руб., 99.99%)
АЛГОРИТМ, ООО (8 513.23 руб., 0.0011%)</t>
  </si>
  <si>
    <t>2 900 810 000</t>
  </si>
  <si>
    <t>avtodor@sv-avtodor.ru, sad@sv-avtodor.ru</t>
  </si>
  <si>
    <t>www.sv-avtodor.ru</t>
  </si>
  <si>
    <t>jerehrus@jereh.com</t>
  </si>
  <si>
    <t>www.jereh-services.com, www.jereh.com</t>
  </si>
  <si>
    <t>Jerry energy services limited (1 254 547 800 руб., 99%)
Цзян Сяндун (12 672 200 руб., 1%)</t>
  </si>
  <si>
    <t>123 610 000</t>
  </si>
  <si>
    <t>krl@zavodsvet.ru, kvn@zavodsvet.ru, steklo@zavodsvet.ru</t>
  </si>
  <si>
    <t>http://www.zavodsvet.ru/shared_info_svet, zavodsvet.ru</t>
  </si>
  <si>
    <t>ИНВЕСТИЦИОННАЯ КОМПАНИЯ ГАРДАРИКА ИНВЕСТИЦИИ, ООО (100%)</t>
  </si>
  <si>
    <t>442 560 000</t>
  </si>
  <si>
    <t>pastukhova@polymetal.ru</t>
  </si>
  <si>
    <t>ПОЛИМЕТАЛЛ, АО (1 854 000 000 руб., 100%)</t>
  </si>
  <si>
    <t>7 320 640 000</t>
  </si>
  <si>
    <t>e_bascheva@mail.ru, zubenko-sa@yandex.ru</t>
  </si>
  <si>
    <t>Ван Ден Брук Ольга Николаевна (3 000 руб., 30%)
Воронцов Владимир Александрович (3 000 руб., 30%)
Кирьянова Раиса Ивановна (3 000 руб., 30%)
Глухадедов Вячеслав Николаевич (1 000 руб., 10%)</t>
  </si>
  <si>
    <t>info@ipaper.com, info@svetogorsk.com, olga.lyubimova@ipaper.com</t>
  </si>
  <si>
    <t>www.internationalpaper.com</t>
  </si>
  <si>
    <t>5 077 110 000</t>
  </si>
  <si>
    <t>centersiberia.ru</t>
  </si>
  <si>
    <t>174 190 000</t>
  </si>
  <si>
    <t>АПХ МИРАТОРГ, ООО (960 000 000 руб., 100%)</t>
  </si>
  <si>
    <t>1 549 130 000</t>
  </si>
  <si>
    <t>galanovaea@sagro.ru, ivasenkols@sagro.ru, mdyupina@yandex.ru</t>
  </si>
  <si>
    <t>398 740 000</t>
  </si>
  <si>
    <t>kms@ural.s-agro.ru</t>
  </si>
  <si>
    <t>684 860 000</t>
  </si>
  <si>
    <t>office@kronostar.com</t>
  </si>
  <si>
    <t>www.kronostar.com</t>
  </si>
  <si>
    <t>АО "Кроно Холдинг" "Кроно Холдинг" (2 956 132 907.03 руб., 100%)</t>
  </si>
  <si>
    <t>5 336 030 000</t>
  </si>
  <si>
    <t>123@123.loc, bazil@swlife.nnov.ru, kusova@swlife.nnov.ru, office_hrc@swlife.nnov.ru, supervip_hrc@swlife.nnov.ru</t>
  </si>
  <si>
    <t>http://www.swlife-horeca.ru/ , swlife-horeca.ru</t>
  </si>
  <si>
    <t>Гусев Альберт Геннадьевич (10 000 руб., 100%)</t>
  </si>
  <si>
    <t>79 460 000</t>
  </si>
  <si>
    <t>swiftrus.ru</t>
  </si>
  <si>
    <t>ВЭЙЛИНК, ООО (100 000 руб., 100%)</t>
  </si>
  <si>
    <t>info@cvlogrus.com, sgu.vpaletskaya@cmacgm-log.com, veronika.paletskaya@cevalogistics.com</t>
  </si>
  <si>
    <t>Пакари Сирил Поль Бернард (7 000 000 руб., 100%)</t>
  </si>
  <si>
    <t>179 010 000</t>
  </si>
  <si>
    <t>a.bychkov@svtes.ru, denis.goryainov@gmail.com, info@svtes.ru</t>
  </si>
  <si>
    <t>ГАЗПРОМ ИНВЕСТПРОЕКТ, ООО (5 548 050 000 руб., 99.99%)
ЦЕНТРЭНЕРГОХОЛДИНГ, ПАО (50 000 руб., 0.00090%)</t>
  </si>
  <si>
    <t>www.tissotwatches.com</t>
  </si>
  <si>
    <t>The Swatch Group AG (8 544 115 026 руб., 100%)</t>
  </si>
  <si>
    <t>Сурнаков Владимир Сергеевич (10 000 руб., 100%)</t>
  </si>
  <si>
    <t>14 680 000</t>
  </si>
  <si>
    <t>ooo.svs.agro@mail.ru, sutulovslavik@gmail.com</t>
  </si>
  <si>
    <t>Зубарев Евгений Евгеньевич (5 000 руб., 50%)
Сутулов Вячеслав Сергеевич (5 000 руб., 50%)</t>
  </si>
  <si>
    <t>office@svsess.ru, svsess@svsess.ru</t>
  </si>
  <si>
    <t>www.svsess.ru</t>
  </si>
  <si>
    <t>ТАТЭНЕРГОСТРОЙ, ООО ПСК (7 178 790 руб., 90.29%)
Газетдинов Раиль Фанисович (771 780 руб., 9.71%)</t>
  </si>
  <si>
    <t>153 530 000</t>
  </si>
  <si>
    <t>info@svyaztelecom.com</t>
  </si>
  <si>
    <t>Мерега Дмитрий Валерьевич (11 000 000 руб., 100%)</t>
  </si>
  <si>
    <t>mail@ssd.ru</t>
  </si>
  <si>
    <t>www.ssd.ru</t>
  </si>
  <si>
    <t>ССД, АО (510 000 руб., 100%)</t>
  </si>
  <si>
    <t>bert@stn.transneft.ru, pustovayalv@stn.transneft.ru</t>
  </si>
  <si>
    <t>www.oilnet.ru</t>
  </si>
  <si>
    <t>bss@svg.ru, svyatogor@svg.ru, uvm@svg.ru</t>
  </si>
  <si>
    <t>www.svg.ru</t>
  </si>
  <si>
    <t>42 940 000</t>
  </si>
  <si>
    <t>kek@sgtrans.ru, office@sgtrans.ru</t>
  </si>
  <si>
    <t>www.sg-trans.ru</t>
  </si>
  <si>
    <t>info@sgko.ru</t>
  </si>
  <si>
    <t>Назарова Марина Георгиевна (6 750 000 руб., 100%)</t>
  </si>
  <si>
    <t>221 950 000</t>
  </si>
  <si>
    <t>Козяков Сергей Александрович (8 000 руб., 80%)
Щербаков Константин Павлович (2 000 руб., 20%)</t>
  </si>
  <si>
    <t>info@sgmk-group.ru</t>
  </si>
  <si>
    <t>760 230 000</t>
  </si>
  <si>
    <t>Даутов Равиль Равильевич (1 000 000 руб., 100%)</t>
  </si>
  <si>
    <t>kravchenko_va@surgytges.ru, olgaivnina@rambler.ru, press@riaws.ru, press@siburalmedia.ru, progress@mmk77.ru, pto_sges@surguttel.ru, seu@surgutges.ru, sges@surgutges.ru</t>
  </si>
  <si>
    <t>surgutges.ru</t>
  </si>
  <si>
    <t>КОРПОРАЦИЯ СТС, ООО (369 417 773.76 руб., 70%)
ВАРДО, ООО (158 321 903.04 руб., 30%)</t>
  </si>
  <si>
    <t>2 160 000</t>
  </si>
  <si>
    <t>СГ РУС, ООО (700 000 000 руб., 100%)</t>
  </si>
  <si>
    <t>19 270 000</t>
  </si>
  <si>
    <t>info@obi.ru, natalia.kiseeva@obi.ru</t>
  </si>
  <si>
    <t>АЛЛОНЖ, АО (650 000 000 руб., 100%)</t>
  </si>
  <si>
    <t>АЛЛОНЖ, АО (321 300 000 руб., 100%)</t>
  </si>
  <si>
    <t>ai.paramonov@hcsds.ru, e.svininyh@hcsds.ru, l.glukhova@hcsds.ru, sds-stroy@hcsds.ru, sdsstroi@mai.ru, v.tamplon@hcsds.ru</t>
  </si>
  <si>
    <t>https://xn----gtbqtjdbbj.xn--p1ai/</t>
  </si>
  <si>
    <t>БИЗНЕС-ТЕХНОЛОГИИ, ООО (200 902 366 руб., 50%)
Рыбальченко Светлана Юрьевна (200 902 366 руб., 50%)</t>
  </si>
  <si>
    <t>79 090 000</t>
  </si>
  <si>
    <t>it@td.hcsds.ru, m.morev@tdsds.ru, t.divizorova@td.hcsds.ru, tdsds_press@td.hcsds.ru</t>
  </si>
  <si>
    <t>www.tdsds.ru</t>
  </si>
  <si>
    <t>СДС-УГОЛЬ, АО ХК (20 202 руб., 100%)</t>
  </si>
  <si>
    <t>office@sds-ugol.ru</t>
  </si>
  <si>
    <t>www.sds-ugol.ru</t>
  </si>
  <si>
    <t>info@shop.ahmadtea.ru, saa@sdcecom.ru, shop@sdc-foods.ru</t>
  </si>
  <si>
    <t>www.ahmadtea.ru</t>
  </si>
  <si>
    <t>СДС ЭКОМ, ООО (600 000 руб., 100%)</t>
  </si>
  <si>
    <t>ТК МЕГАПОЛИС, АО (45 009 000 руб., 50.01%)
БиВиДжи СИГАР ХАУС ФОРТУНА ЛТД (44 991 000 руб., 49.99%)</t>
  </si>
  <si>
    <t>423 690 000</t>
  </si>
  <si>
    <t>pretenzia@cdek.ru</t>
  </si>
  <si>
    <t>cdek.ru</t>
  </si>
  <si>
    <t>Гольдорт Леонид Яковлевич (5 600 руб., 55.44%)
Пиксаев Вячеслав Викторович (4 400 руб., 43.56%)
Цацура Евгений Юрьевич (100 руб., 1%)</t>
  </si>
  <si>
    <t>Дутов Александр Владимирович (200 000 руб., 100%)</t>
  </si>
  <si>
    <t>sc@reg.avtlg.ru, sc@sebcement.ru</t>
  </si>
  <si>
    <t>www.sebcement.ru</t>
  </si>
  <si>
    <t>583 640 000</t>
  </si>
  <si>
    <t>sevarussia@sevavet.items.ru, tatiana.sorokina@ceva.com</t>
  </si>
  <si>
    <t>ceva-russia.ru, www.ceva.com</t>
  </si>
  <si>
    <t>АО СЕВА САНТЕ АНИМАЛЬ (220 000 000 руб., 100%)</t>
  </si>
  <si>
    <t>331 460 000</t>
  </si>
  <si>
    <t>info@seven.tech</t>
  </si>
  <si>
    <t>Каюшкин Сергей Владимирович (25 003 руб., 83.34%)
Казанцева Татьяна Юрьевна (5 000 руб., 16.67%)</t>
  </si>
  <si>
    <t>124 180 000</t>
  </si>
  <si>
    <t>info@severminerals.com, info@severminerals.ru</t>
  </si>
  <si>
    <t>www.severminerals.com</t>
  </si>
  <si>
    <t>1 018 930 000</t>
  </si>
  <si>
    <t>65 440 000</t>
  </si>
  <si>
    <t>sigma-m-tech@mail.ru</t>
  </si>
  <si>
    <t>8 298 770 000</t>
  </si>
  <si>
    <t>Ткаченко Николай Васильевич (13 333 360 руб., 33.33%)
Евтушенко Дина Александровна (13 333 320 руб., 33.33%)
Пономаренко Дмитрий Алексеевич (13 333 320 руб., 33.33%)</t>
  </si>
  <si>
    <t>989 450 000</t>
  </si>
  <si>
    <t>bobretsovae@severalmaz.alrosa.ru, nemanovdm@severalmaz.alrosa.ru, perfilevaoa@severalmaz.alrosa.ru, sevalmaz@severalmaz.ru, severalmaz@severalmaz.alrosa.ru</t>
  </si>
  <si>
    <t>www.severalmaz.ru</t>
  </si>
  <si>
    <t>3 456 830 000</t>
  </si>
  <si>
    <t>25 830 000</t>
  </si>
  <si>
    <t>Чикунов Олег Викторович (10 000 руб., 100%)</t>
  </si>
  <si>
    <t>250 960 000</t>
  </si>
  <si>
    <t>lobanovaua@msk.sngp.org, sngp@nu.sngp.org, sngp@sngp.com, sngp@sngp.org, volnyanskiyda@msk.sngp.org</t>
  </si>
  <si>
    <t>http://www.severneftegazprom.com/, www.draga.ru</t>
  </si>
  <si>
    <t>6 058 860 000</t>
  </si>
  <si>
    <t>www.economoullc.com</t>
  </si>
  <si>
    <t>БЕРИНГ МЕТАЛС, ООО (2 489 419 263.88 руб., 100%)</t>
  </si>
  <si>
    <t>2 381 630 000</t>
  </si>
  <si>
    <t>evstigneevanv@nord-milk.vologda.ru, lysaichuklv@milk35.ru, nord-milk@vologda.ru, nord@milk35.ru</t>
  </si>
  <si>
    <t>www.milk35.ru, www.partner-reestr.ru</t>
  </si>
  <si>
    <t>91 190 000</t>
  </si>
  <si>
    <t>nws@nordwindairlines.ru</t>
  </si>
  <si>
    <t>https://nordwindairlines.ru/ru, www.nordwindairlines.ru</t>
  </si>
  <si>
    <t>ПЕГАС, ООО (96 051 000 руб., 95.10%)
Букрей Каринэ Витальевна (4 949 000 руб., 4.90%)</t>
  </si>
  <si>
    <t>fandrey9@yandex.ru, info@happylend.ru, kudrov@liga-tyres.ru</t>
  </si>
  <si>
    <t>www.vianor-tyres.ru</t>
  </si>
  <si>
    <t>Фрыгин Андрей Витальевич (250 000 руб., 100%)</t>
  </si>
  <si>
    <t>44 430 000</t>
  </si>
  <si>
    <t>buh-ndsu7@mail.ru, dsu-7@novoalt.ru, ndsu-7@mail.ru, ndsu7@mail.ru</t>
  </si>
  <si>
    <t>svdsu.ru</t>
  </si>
  <si>
    <t>Алтайский край (n/a)</t>
  </si>
  <si>
    <t>info@rosseti.digital, info@vols-vl.ru</t>
  </si>
  <si>
    <t>https://rosseti.digital/</t>
  </si>
  <si>
    <t>586 910 000</t>
  </si>
  <si>
    <t>Мутовин Евгений Викторович (5 000 руб., 50%)
Ростовцев Алексей Геннадьевич (5 000 руб., 50%)</t>
  </si>
  <si>
    <t>60 740 000</t>
  </si>
  <si>
    <t>a_vishnevskaya@skrz.ru, admin@skrz.ru, buh@skrz.ru, skrz@skrz.ru, supervisor@skrz.ru, v_zanozin@skrz.ru</t>
  </si>
  <si>
    <t>skrz.ru</t>
  </si>
  <si>
    <t>Нагоев Анатолий Амдулкадирович (298 090 032.8 руб., 80%)
Пономаренко Роман Николаевич (37 261 254.1 руб., 10%)
Хуштов Бетал Зуберович (37 261 254.1 руб., 10%)</t>
  </si>
  <si>
    <t>Производство аппаратов, применяемых в медицинских целях, основанных на использовании рентгеновского, альфа-, бета- и гамма-излучений</t>
  </si>
  <si>
    <t>228 740 000</t>
  </si>
  <si>
    <t>secretary@sevlespil.com, sevlesp@online.ru</t>
  </si>
  <si>
    <t>sevlespil.com</t>
  </si>
  <si>
    <t>Магий Михаил Юрьевич (209 040 377 руб., 79.46%)
Магий Полина Михайловна (54 036 378 руб., 20.54%)</t>
  </si>
  <si>
    <t>374 450 000</t>
  </si>
  <si>
    <t>www.sevnor.com</t>
  </si>
  <si>
    <t>Нейгебауэр Эдуард Владимирович (100 000 руб., 100%)</t>
  </si>
  <si>
    <t>Деятельность морского пассажирского транспорта</t>
  </si>
  <si>
    <t>551 140 000</t>
  </si>
  <si>
    <t>aleksandr.gursky@sevenergosbyt.ru, data10@sevenergosbyt.ru, data4@sevenergosbyt.ru, ekaterina.moskalenko@sevenergosbyt.ru, elena.vologina@sevenergo.net, evener@mail.ru, gor.ostapchuk@sevenergosbyt.ru, hank@sevenergosbyt.ru, igor.ostapchuk@sevenergosbyt.ru, info@sevenergosbut.ru</t>
  </si>
  <si>
    <t>sevenergosbyt.ru</t>
  </si>
  <si>
    <t>welcome@segezha-group.com</t>
  </si>
  <si>
    <t>СИСТЕМА ТЕЛЕКОМ АКТИВЫ, ООО (61.57%)
СИСТЕМА, ПАО АФК (0.53%)
РЕГИОН, АО (0.063%)</t>
  </si>
  <si>
    <t>www.segpack.ru</t>
  </si>
  <si>
    <t>СЕГЕЖСКИЙ ЦБК, АО (150 000 001 руб., 100%)</t>
  </si>
  <si>
    <t>410 390 000</t>
  </si>
  <si>
    <t>1006004155@mail.ru, 1@yamdex.ru, 43311@mail.ru, infosegega@mail.ru, karelsegez@mail.ru, office@sbprom.karelia.ru, office@segezha_group.com, office_segcbk@sege.group.com, offict@scbk.ru, offise@scbk.ru</t>
  </si>
  <si>
    <t>www.scbk.ru</t>
  </si>
  <si>
    <t>4 837 910 000</t>
  </si>
  <si>
    <t>info@master-garz.ru</t>
  </si>
  <si>
    <t>www.ced-rus.com</t>
  </si>
  <si>
    <t>ГК СЕДРУС, ООО (29 400 руб., 98%)
КС-ДИЛИНГ, ООО (500 руб., 1.67%)
УК СЕДРУС, ООО (100 руб., 0.33%)</t>
  </si>
  <si>
    <t>Павлов Андрей Васильевич (9 700 руб., 97%)
Сарычев Александр Дмитриевич (300 руб., 3%)</t>
  </si>
  <si>
    <t>ooo_sequoia@mail.ru</t>
  </si>
  <si>
    <t>Гросуль Виктория Александровна (10 000 руб., 100%)</t>
  </si>
  <si>
    <t>91 100 000</t>
  </si>
  <si>
    <t>cc@carprice.ru, denis.dolmatov@inbox.ru, info@carprice.ru, n.andreeva@carprice.ru, pr@carprice.ru</t>
  </si>
  <si>
    <t>КОМПАНИЯ С ОГРАНИЧЕННОЙ ОТВЕТСТВЕННОСТЬЮ ВЕНДЕБИТА (1 000 000 руб., 100%)</t>
  </si>
  <si>
    <t>elenaburova@lvmh-pc.com, helpdior@seldico.ru, it-russia@lvmh-pc.com, itrussia@lvmh-pc.com, mgareeva@lvmh-pc.com, ogarutina@lvmh-pc.com, testerorder@lvmh-pc.com, testers-order@lvmh-pc.com, vtkachuk@lvmh-pc.com</t>
  </si>
  <si>
    <t>seldico.ru</t>
  </si>
  <si>
    <t>АКЦИОНЕРНОЕ ОБЩЕСТВО ПАРФЮМС КРИСТИАН ДИОР С.А. (22 545 000 руб., 100%)</t>
  </si>
  <si>
    <t>Эфендиева Наталья Вячеславовна (20 000 руб., 100%)</t>
  </si>
  <si>
    <t>bekish@selectel.ru, law@selectel.ru, office@selectel.ru, smirnova.m@selectel.ru, tender@selectel.ru</t>
  </si>
  <si>
    <t>https://selectel.ru/</t>
  </si>
  <si>
    <t>КОМПАНИЯ "ХАЙКОМ ИНВЕСТМЕНТС ЛИМИТЕД" (123 185 400 руб., 100%)</t>
  </si>
  <si>
    <t>office@selenavostok.ru</t>
  </si>
  <si>
    <t>www.selena.com, www.selena.pl</t>
  </si>
  <si>
    <t>ПОЛИФОАМ ЯЛИТЫМ САНАЙИ ВЕ ТИДЖАРЕТ ЛИМИТЕД ШИРКЕТЫ (33 188 146 руб., 99%)
Саглам Серкан (335 234 руб., 1%)</t>
  </si>
  <si>
    <t>227 430 000</t>
  </si>
  <si>
    <t>oleg@sckkbur.ru, sckk@sckkbur.ru</t>
  </si>
  <si>
    <t>sckkbur.ru</t>
  </si>
  <si>
    <t>1 312 180 000</t>
  </si>
  <si>
    <t>Павлов Андрей Васильевич (6 944 000.8 руб., 69.44%)
ДОМ ОДЕЖДЫ, ООО (2 841 199.3 руб., 28.41%)
Сарычев Александр Дмитриевич (214 799.9 руб., 2.14%)</t>
  </si>
  <si>
    <t>Торговля розничная изделиями из кожи и дорожными принадлежностями в специализированных магазинах</t>
  </si>
  <si>
    <t>makarovana@selting.ru, selting@sekting.ru, selting@selting.ru</t>
  </si>
  <si>
    <t>selting.ru</t>
  </si>
  <si>
    <t>Клеутин Сергей Николаевич (5 000 руб., 50%)
Суббот Александр Владимирович (5 000 руб., 50%)</t>
  </si>
  <si>
    <t>99 120 000</t>
  </si>
  <si>
    <t>panina@gw.tander.ru, panina@magnit.ru</t>
  </si>
  <si>
    <t>ТАНДЕР, АО (9 900 руб., 99%)
АЛКОТРЕЙДИНГ, ООО (100 руб., 1%)</t>
  </si>
  <si>
    <t>info@semaks-metall.ru</t>
  </si>
  <si>
    <t>semaks-metall.ru</t>
  </si>
  <si>
    <t>Алейников Сергей Федорович (26 500 руб., 100%)</t>
  </si>
  <si>
    <t>apteka-april.ru</t>
  </si>
  <si>
    <t>Анисимов Вадим Георгиевич (9 900 руб., 99%)
ОТРАДА, ООО (100 руб., 1%)</t>
  </si>
  <si>
    <t>18 970 000</t>
  </si>
  <si>
    <t>corp@fdoctor.ru, corporate@fdoctor.ru, mailbox@fdoctor.ru, marketing@fdoctor.ru, oks@fdoctor.ru, pressa@fdoctor.ru, webmaster@fdoctor.ru, zakupki@fdoctor.ru</t>
  </si>
  <si>
    <t>www.fdoctor.ru</t>
  </si>
  <si>
    <t>natali12393@mail.ru, otdyh-yalta7@yandex.ru, shchmelevatt@yalta-hotel.com</t>
  </si>
  <si>
    <t>ИМПЕРИУМ КОМПАНИ, АО (10 000 руб., 100%)</t>
  </si>
  <si>
    <t>739 160 000</t>
  </si>
  <si>
    <t>Даниелян Артур Рубенович (8 000 руб., 80%)
Григорян Нарек Феликсович (1 000 руб., 10%)
Симонян Арташес Вячеславович (1 000 руб., 10%)</t>
  </si>
  <si>
    <t>59 530 000</t>
  </si>
  <si>
    <t>МОРДОВЦЕМЕНТ, АО (11 517 440 000 руб., 100%)</t>
  </si>
  <si>
    <t>o-sept@bk.ru</t>
  </si>
  <si>
    <t>Жебоедова Татьяна Ивановна (10 000 руб., 100%)</t>
  </si>
  <si>
    <t>433 440 000</t>
  </si>
  <si>
    <t>serviko.ru</t>
  </si>
  <si>
    <t>Захаров Виктор Леонидович (10 000 руб., 100%)</t>
  </si>
  <si>
    <t>7 840 000</t>
  </si>
  <si>
    <t>info@servionica.ru, info@servionoca.ru, tender@servionica.ru</t>
  </si>
  <si>
    <t>http://servionica.ru</t>
  </si>
  <si>
    <t>Т1, ООО (10 000 руб., 100%)</t>
  </si>
  <si>
    <t>152 100 000</t>
  </si>
  <si>
    <t>infomkv@mkvf.ru</t>
  </si>
  <si>
    <t>serv-plus.su</t>
  </si>
  <si>
    <t>Доманский Юрий Олегович (90 000 руб., 90%)
Рудинов Виталий Владимирович (10 000 руб., 10%)</t>
  </si>
  <si>
    <t>esusec@scepu.ru, nkopytina@slb.com</t>
  </si>
  <si>
    <t>ТЕХНОЛОГИЧЕСКАЯ КОМПАНИЯ ШЛЮМБЕРЖЕ, ООО (4 008 400 руб., 100%)</t>
  </si>
  <si>
    <t>184 500 000</t>
  </si>
  <si>
    <t>hotline@s-int.ru, info@s-int.ru, personal@s-int.ru</t>
  </si>
  <si>
    <t>Кожухоренко Роман Михайлович (104 050 505.05 руб., 100%)</t>
  </si>
  <si>
    <t>Деятельность прочего сухопутного пассажирского транспорта, не включенная в другие группировки</t>
  </si>
  <si>
    <t>171 380 000</t>
  </si>
  <si>
    <t>uksn@etalongroup.com, vitaliy.leonov@etalongroup.com</t>
  </si>
  <si>
    <t>179 600 000</t>
  </si>
  <si>
    <t>dkochergin@telematika.com, irina.samsonenko@s-telematics.ru</t>
  </si>
  <si>
    <t>ТЕЛЕМАТИКА, ООО (10 000 руб., 100%)</t>
  </si>
  <si>
    <t>26 500 000</t>
  </si>
  <si>
    <t>3348227@mail.ru, sztk20@yandex.ru</t>
  </si>
  <si>
    <t>683 500 000</t>
  </si>
  <si>
    <t>НБС, ООО (1 000 000 руб., 100%)</t>
  </si>
  <si>
    <t>312 420 000</t>
  </si>
  <si>
    <t>arx29rus@mail.ru, servsnab@yandex.ru</t>
  </si>
  <si>
    <t>Нифантьев Алексей Евгеньевич (10 000 руб., 73%)
ОЛИМП, ООО (3 700 руб., 27%)</t>
  </si>
  <si>
    <t>202 250 000</t>
  </si>
  <si>
    <t>elena.nevskaya@servolux.com</t>
  </si>
  <si>
    <t>ОДО "Альтернативная экономика" (24 000 руб., 66.70%)
СЗАО "Серволюкс" (12 000 руб., 33.30%)</t>
  </si>
  <si>
    <t>servier.ru</t>
  </si>
  <si>
    <t>248 500 000</t>
  </si>
  <si>
    <t>markov@om.polymetal.ru</t>
  </si>
  <si>
    <t>11 245 550 000</t>
  </si>
  <si>
    <t>evs@basel-scz.ru, info@basel-scz.ru, irina.gaivoronskaya@srcz.ru</t>
  </si>
  <si>
    <t>ЛОРИ-ТРЕЙДИНГ, АО (10 000 руб., 100%)</t>
  </si>
  <si>
    <t>tdserovtehstal.ru</t>
  </si>
  <si>
    <t>Панюшкин Анатолий Анатольевич (20 000 руб., 100%)</t>
  </si>
  <si>
    <t>213 320 000</t>
  </si>
  <si>
    <t>Чубарев Денис Анатолиевич (20 000 руб., 100%)</t>
  </si>
  <si>
    <t>gridcom@rambler.ru, office@bes.tat, office@kes.tatenergo.ru, pri@aes.tatenergo.ru, prozorovava@gridcom-rt.ru</t>
  </si>
  <si>
    <t>www.gridcom-rt.ru</t>
  </si>
  <si>
    <t>dekirichenko@svyaznoy.ru, eglinskaya@svyaznoy.ru, karustamova@svyaznoy.ru, shop@euroset.ru, shop@svyaznoy.ru</t>
  </si>
  <si>
    <t>ДТСРЕТЕЙЛ ЛТД (22 258 645 руб., 69.25%)
ЕВРОСЕТЬ ХОЛДИНГ Н.В. (7 999 200 руб., 24.89%)
ГРУППА КОМПАНИЙ СВЯЗНОЙ, АО (1 804 755 руб., 5.61%)
СИННАМОН ШОР ЛТД. (80 800 руб., 0.25%)</t>
  </si>
  <si>
    <t>julia.kolomenko@sgs.com, rutrphyundai@sgs.ru, sgs.moscow@sgs.com</t>
  </si>
  <si>
    <t>www.sgs.com, www.sgs.ru</t>
  </si>
  <si>
    <t>1 857 150 000</t>
  </si>
  <si>
    <t>oooisk-budmar@yandex.ru</t>
  </si>
  <si>
    <t>Бударин Виктор Константинович (33 266 400 руб., 100%)</t>
  </si>
  <si>
    <t>ahkrnd@pochta.ru, golubcova.elena@zaopatriot.ru, kkpd-invest@zaopatriot.ru, petrova.elena@zaopatriot.ru</t>
  </si>
  <si>
    <t>УК ЭНЕРГОСФЕРА, АО (1 000 000 руб., 100%)</t>
  </si>
  <si>
    <t>www.lsrgroup.ru</t>
  </si>
  <si>
    <t>2 469 900 000</t>
  </si>
  <si>
    <t>lsrobject-m.ru</t>
  </si>
  <si>
    <t>СЗ ЛСР. НЕДВИЖИМОСТЬ-М, АО (361 109 249.35 руб., 100%)</t>
  </si>
  <si>
    <t>new-gorizont.ru</t>
  </si>
  <si>
    <t>УК СМ. СИТИ, ООО (631 065 775 руб., 87.13%)
УСК НОВЫЙ ГОРОД, АО (93 182 000 руб., 12.86%)
ФИНАРТ, ООО (33 000 руб., 0.0046%)</t>
  </si>
  <si>
    <t>sz.stroicom@gmail.com</t>
  </si>
  <si>
    <t>szstroycom.ru</t>
  </si>
  <si>
    <t>СТРОЙКОМ, ООО (2 997 000 руб., 99.90%)
Фомина-Вольская Ольга Сергеевна (3 000 руб., 0.10%)</t>
  </si>
  <si>
    <t>Подготовка к продаже собственного недвижимого имущества</t>
  </si>
  <si>
    <t>8 440 000</t>
  </si>
  <si>
    <t>ena@uez.ru</t>
  </si>
  <si>
    <t>www.uez.ru</t>
  </si>
  <si>
    <t>743 160 000</t>
  </si>
  <si>
    <t>berezki27@yandex.ru, buh.fgs@gmail.com, sfmazepa@yandex.ru</t>
  </si>
  <si>
    <t>жкберезки.рф</t>
  </si>
  <si>
    <t>ФОНД ЖИЛИЩНОГО СТРОИТЕЛЬСТВА, ООО (950 000 руб., 95%)
ЦЕНТР ИННОВАЦИОННЫХ ТЕХНОЛОГИЙ ГОРОДА ХАБАРОВСКА, АО (50 000 руб., 5%)</t>
  </si>
  <si>
    <t>285 320 000</t>
  </si>
  <si>
    <t>cs@sodaplant.ru, edoc2kontur@sodaplant.ru, ehndakovatv@sodaplant.ru, finikovskayaea@sodaplant.ru, kulibabaln@sodaplant.ru, suprunyuktncs@sodaplant.ru</t>
  </si>
  <si>
    <t>sodaplant.ru</t>
  </si>
  <si>
    <t>mail@usi23.ru, yur23@usimail.ru</t>
  </si>
  <si>
    <t>usi23.ru</t>
  </si>
  <si>
    <t>Иванов Алексей Юрьевич (203 021 166.67 руб., 35.00%)
Анашкина Татьяна Юрьевна (203 015 166.67 руб., 34.99%)
Павлов Алексей Алексеевич (174 016 000 руб., 30%)
Иванов Юрий Иванович (1 000 руб., 0.00020%)</t>
  </si>
  <si>
    <t>szpotok.spb@gmail.com</t>
  </si>
  <si>
    <t>szpotok.ru</t>
  </si>
  <si>
    <t>Кононыхин Сергей Анатольевич (10 000 руб., 100%)</t>
  </si>
  <si>
    <t>nwcc@nwcc-msp.ru</t>
  </si>
  <si>
    <t>http://msp-highway.ru/, www.msp-highway.com/</t>
  </si>
  <si>
    <t>АО упрощенного типа "ВИНСИ КОНСЕССЬОН РЮССИ" (2 192 000 000 руб., 100%)</t>
  </si>
  <si>
    <t>e.operay@dominantsugar.ru, lenczl@mail.ru, n.kolodkina@dominantsugar.ru, s.paseka@dominantsugar.ru, szl@mail.ru</t>
  </si>
  <si>
    <t>оао-сзл.рф</t>
  </si>
  <si>
    <t>ГК ДОМИНАНТ, ООО (3 890 000 руб.)</t>
  </si>
  <si>
    <t>494 310 000</t>
  </si>
  <si>
    <t>lisavzov@yandex.ru, ofras_szppk@orw.ru, ofras_szppk@spb.orw.ru, ppk_mitrofanovaev@spb.orw.rzd</t>
  </si>
  <si>
    <t>http://1prime.ru, http://www.ppk-piter.ru/, www.f-consulting.ru/d_7839330845.htm</t>
  </si>
  <si>
    <t>mssp@soufflet.com, post@mssp.ru</t>
  </si>
  <si>
    <t>www.f-consulting.ru</t>
  </si>
  <si>
    <t>237 870 000</t>
  </si>
  <si>
    <t>Соболев Антон Леонидович (250 000 руб., 100%)</t>
  </si>
  <si>
    <t>92 490 000</t>
  </si>
  <si>
    <t>anastasia.nazarkina@pwc.com, business.development@ru.pwc.com, ekaterina.zibareva@pwc.ru, nikolay.lantsev@pwc.ru, ru_info@pwc.com</t>
  </si>
  <si>
    <t>www.pwc.com, www.pwc.ru</t>
  </si>
  <si>
    <t>ТЕХНОЛОГИИ ДОВЕРИЯ-АУДИТОРСКИЕ УСЛУГИ, ООО (510 000 руб., 51%)
ТЕХНОЛОГИИ ДОВЕРИЯ-ПРОФЕССИОНАЛЬНЫЕ УСЛУГИ, ООО (290 000 руб., 29%)
АКГ ТЕХНОЛОГИИ ДОВЕРИЯ, АО (200 000 руб., 20%)</t>
  </si>
  <si>
    <t>8123275544@mail.ru, arutyunova.d@szuomt.ru, szuomt@mail.ni, szuomt@maul.ru, zuomt@mail.ru</t>
  </si>
  <si>
    <t>МЕДПРИБОР, АО (10 000 руб., 100%)</t>
  </si>
  <si>
    <t>320 520 000</t>
  </si>
  <si>
    <t>alexander.silchenko@sfap.ru, kabarginaev@sarany.chemk.ru, kostarevaoa@sarany.chemk.ru, secretary@sfap.ru, sfpp@sfpp.ru, vera.stepanova@sfap.ru</t>
  </si>
  <si>
    <t>www.sfap.ru</t>
  </si>
  <si>
    <t>УСМК, АО (53 461 350 руб., 100%)</t>
  </si>
  <si>
    <t>1 098 160 000</t>
  </si>
  <si>
    <t>info@szfk.biz, info@szfk.ru</t>
  </si>
  <si>
    <t>www.szfk.ru</t>
  </si>
  <si>
    <t>Добыча минерального сырья для химической промышленности и производства минеральных удобрений</t>
  </si>
  <si>
    <t>1 673 270 000</t>
  </si>
  <si>
    <t>trestszem.ru</t>
  </si>
  <si>
    <t>ТРЕСТ СЗЭМ, ЗАО (5 100 руб., 51%)
Галкин Алексей Сергеевич (2 450 руб., 24.50%)
Пахомов Андрей Владимирович (2 450 руб., 24.50%)</t>
  </si>
  <si>
    <t>52 800 000</t>
  </si>
  <si>
    <t>Морозов Илья Александрович (10 000 руб., 100%)</t>
  </si>
  <si>
    <t>70 020 000</t>
  </si>
  <si>
    <t>cngse_msk@cngsgroup.com, cngse_msk@iccompanies.com</t>
  </si>
  <si>
    <t>www.cngsgroup.com, www.iccompanies.com</t>
  </si>
  <si>
    <t>Тихомиров Юрий Сергеевич (480 000 руб., 48%)
Норин Олег Олегович (280 000 руб., 28%)
Алексеев Сергей Степанович (240 000 руб., 24%)</t>
  </si>
  <si>
    <t>156 150 000</t>
  </si>
  <si>
    <t>cscpharma.ru</t>
  </si>
  <si>
    <t>ИНВЕСТСОДРУЖЕСТВО, ООО (3 000 руб., 30%)
ПРОМИНВЕСТ ХОЛДИНГ, ООО (1 500 руб., 15%)
ЛЛК, ООО (1 250 руб., 12.50%)
ХИТ, АО (1 250 руб., 12.50%)
БАРРЕЛЬ, ООО (1 000 руб., 10%)
ДИЛМАР, ООО (1 000 руб., 10%)
Биктимеров Ринат Наилевич (400 руб., 4%)
Султанова Лилия Гатуфовна (300 руб., 3%)
Шакирзянов Руслан Рубисович (300 руб., 3%)</t>
  </si>
  <si>
    <t>797 980 000</t>
  </si>
  <si>
    <t>Клугис Эдуардо (3 000 000 руб., 100%)</t>
  </si>
  <si>
    <t>info@crccrus.ru</t>
  </si>
  <si>
    <t>China Railway Construction Group Co., Ltd. (13 000 000 руб., 100%)</t>
  </si>
  <si>
    <t>puzikovata@suek.ru</t>
  </si>
  <si>
    <t>sib-damel.ru</t>
  </si>
  <si>
    <t>СУЭК-КУЗБАСС, АО (399 000 руб., 95%)</t>
  </si>
  <si>
    <t>info@promeco.ru, komarov@sibagotrade.ru, nlegkova@list.ru, ooosibagrotreid@mail.ru, sibagronovosib@mail.ru</t>
  </si>
  <si>
    <t>sibagrotrade.ru</t>
  </si>
  <si>
    <t>Мигачев Олег Сергеевич (5 100 руб., 51%)
Курилович Вадим Русланович (2 500 руб., 25%)
Суханов Владимир Георгиевич (2 400 руб., 24%)</t>
  </si>
  <si>
    <t>info@sagro.ru</t>
  </si>
  <si>
    <t>www.sibagrogroup.ru</t>
  </si>
  <si>
    <t>2 040 540 000</t>
  </si>
  <si>
    <t>mckca@mckca.ru, nnshuvara@mail.ru</t>
  </si>
  <si>
    <t>mckca.ru</t>
  </si>
  <si>
    <t>Лукиянов Иван Иванович (1 000 000 руб., 100%)</t>
  </si>
  <si>
    <t>120 430 000</t>
  </si>
  <si>
    <t>bellasposa@bk.ru, matv77@bk.ru, secretary_ppn@ppnsibburmash.ru</t>
  </si>
  <si>
    <t>Довнар Игорь Петрович (477 555 руб., 51.35%)
НПП СИББУРМАШ, ООО (148 800 руб., 16%)
Витязев Олег Леонидович (127 317 руб., 13.69%)
Минальтов Алексей Геннадьевич (78 864 руб., 8.48%)
Хайруллин Булат Юсупович (41 664 руб., 4.48%)
Витязев Дмитрий Олегович (27 900 руб., 3%)
Марковцов Николай Александрович (27 900 руб., 3%)</t>
  </si>
  <si>
    <t>Производство оборудования для добычи полезных ископаемых подземным способом</t>
  </si>
  <si>
    <t>406 060 000</t>
  </si>
  <si>
    <t>vereshagina.tp@r-st.pro</t>
  </si>
  <si>
    <t>Иванников Владимир Иванович (50 000 руб., 100%)</t>
  </si>
  <si>
    <t>60 130 000</t>
  </si>
  <si>
    <t>demina@sibiar.ru, info@sibiar.ru, mail@sibiar.ru, v_kushnir@sibiar.ru</t>
  </si>
  <si>
    <t>www.sibiar.ru</t>
  </si>
  <si>
    <t>493 360 000</t>
  </si>
  <si>
    <t>КАРЬЕРОУПРАВЛЕНИЕ, АО (200 000 руб., 100%)</t>
  </si>
  <si>
    <t>614 070 000</t>
  </si>
  <si>
    <t>office@sibgenco.ru</t>
  </si>
  <si>
    <t>www.sibgenco.ru</t>
  </si>
  <si>
    <t>СУЭК, АО (21 398 784 923 руб., 99.93%)
НТСК, ООО (13 292 077 руб., 0.062%)</t>
  </si>
  <si>
    <t>Обеспечение работоспособности тепловых сетей</t>
  </si>
  <si>
    <t>8 109 990 000</t>
  </si>
  <si>
    <t>НТК, ООО (50 000 000 руб., 100%)</t>
  </si>
  <si>
    <t>dmitriy.zasid@ekoniva.com, tatjana.rifert@ekoniva-apk.com, tatjana.rifert@ekoniva.com</t>
  </si>
  <si>
    <t>ЭКОНИВА-АПК ХОЛДИНГ, ООО (31 095 770 руб., 100%)</t>
  </si>
  <si>
    <t>МЕЖЕНИНОВСКАЯ ПТИЦЕФАБРИКА, ООО (10 000 руб., 100%)</t>
  </si>
  <si>
    <t>225 650 000</t>
  </si>
  <si>
    <t>oprosekova@sibkolbasy.ru</t>
  </si>
  <si>
    <t>sibkolbasy.ru</t>
  </si>
  <si>
    <t>Латария Темури Отарьевич (50 010 000 руб., 100%)</t>
  </si>
  <si>
    <t>gurman@sib-gurman.ru, karagodina@sib-gurman.ru</t>
  </si>
  <si>
    <t>КОМБИНАТ ПОЛУФАБРИКАТОВ СИБИРСКИЙ ГУРМАН, ООО (10 000 руб., 100%)</t>
  </si>
  <si>
    <t>87 200 000</t>
  </si>
  <si>
    <t>otdel.goskontraktov@mail.ru, sibprod_gos@sibprod.info, sibprodukt@mail.ru, smktd-fin@mail.ru</t>
  </si>
  <si>
    <t>sibprod.info</t>
  </si>
  <si>
    <t>Бикметов Эдуард Ахметович (10 000 руб., 50%)
Макаленко Виктор Николаевич (10 000 руб., 50%)</t>
  </si>
  <si>
    <t>office@sibreg72.ru, sibregion86@mail.ru</t>
  </si>
  <si>
    <t>sibreg72.ru</t>
  </si>
  <si>
    <t>Калалб Лилиан Семенович (5 000 руб., 50%)
Михайлов Евгений Егорович (5 000 руб., 50%)</t>
  </si>
  <si>
    <t>966 330 000</t>
  </si>
  <si>
    <t>ktatiana@sucden.ru, sucden@sucden.ru</t>
  </si>
  <si>
    <t>www.sucden.com, www.sucden.ru</t>
  </si>
  <si>
    <t>"СЮКР Э ДАНРЭ" (8 000 000 руб., 100%)</t>
  </si>
  <si>
    <t>135 820 000</t>
  </si>
  <si>
    <t>domie-style.ru, halsa-home.ru, handie.ru, kranz-group.ru, rexant-audio.ru, rexant-climate.ru, rexant-fiks.ru, rexant-fix.ru, rexant-klimat.ru, rexant-life.ru</t>
  </si>
  <si>
    <t>Баронкин Александр Вячеславович (5 000 руб., 50%)
Чигринов Дмитрий Александрович (5 000 руб., 50%)</t>
  </si>
  <si>
    <t>sibpm-sec@mail.ru, sibpm@sib-pm.ru</t>
  </si>
  <si>
    <t>http://sib-pm.ru</t>
  </si>
  <si>
    <t>info@sovcombank.it, info@sovcombank.it; ziminays@sovcombank.ru</t>
  </si>
  <si>
    <t>СОВКОМБАНК, ПАО (1 000 000 руб., 100%)</t>
  </si>
  <si>
    <t>Кириллов Кирилл Михайлович (10 000 руб., 100%)</t>
  </si>
  <si>
    <t>inostr1959@mail.ru</t>
  </si>
  <si>
    <t>Новиков Александр Владимирович (110 000 руб., 50%)
ОБЩЕСТВО С ОГРАНИЧЕННОЙ ОТВЕТСТВЕННОСТЬЮ "ЧЖУЧЖЭНСКАЯ КОМПАНИЯ "СУНЮАНЬ" (110 000 руб., 50%)</t>
  </si>
  <si>
    <t>41 650 000</t>
  </si>
  <si>
    <t>Максимов Сергей Александрович (1 000 000 руб., 100%)</t>
  </si>
  <si>
    <t>14 960 000</t>
  </si>
  <si>
    <t>office@usk-sibiryak.ru, sibiryak@ktk.ru, svetlana.yakovleva@hilton.com</t>
  </si>
  <si>
    <t>usk-sibiryak.ru</t>
  </si>
  <si>
    <t>Егоров Владимир Владимирович (1 995 110 000 руб., 100%)</t>
  </si>
  <si>
    <t>bondarenko_l@sibkabel.ru, cherkashina_o@sibkabel.tomsk.ru, office@sibkabel.ru, office@sibkabel.tomsk.ru, pushkareva_y@sibkabel.ru</t>
  </si>
  <si>
    <t>www.sibkabel.ru</t>
  </si>
  <si>
    <t>413 940 000</t>
  </si>
  <si>
    <t>Чернов Владимир Валерьевич (10 000 руб., 50%)
Чернышев Виталий Олегович (10 000 руб., 50%)</t>
  </si>
  <si>
    <t>sibmet@isnet.ru</t>
  </si>
  <si>
    <t>sibmet-ekb.ru</t>
  </si>
  <si>
    <t>Митришкин Виктор Анатольевич (10 000 руб., 100%)</t>
  </si>
  <si>
    <t>24 580 000</t>
  </si>
  <si>
    <t>ksk@sibmetsnab.ru, office@sibmetsnab.ru, pte@sibmetsnab.ru</t>
  </si>
  <si>
    <t>sibmetsnab.ru</t>
  </si>
  <si>
    <t>Козел Виктор Сергеевич (5 015 000 руб., 50%)
Матрохин Валерий Григорьевич (5 015 000 руб., 50%)</t>
  </si>
  <si>
    <t>172 860 000</t>
  </si>
  <si>
    <t>Шапорев Александр Сергеевич (100 000 руб., 100%)</t>
  </si>
  <si>
    <t>30 750 000</t>
  </si>
  <si>
    <t>info@3sibna38.ru, info@sibna38.ru</t>
  </si>
  <si>
    <t>sibna38.ru</t>
  </si>
  <si>
    <t>Глухов Сергей Петрович (18 400 руб., 100%)</t>
  </si>
  <si>
    <t>80 590 000</t>
  </si>
  <si>
    <t>cheredova@sibneftemash.ru, esozonova@sibneftemash.ru, grigoreva_s@sibneftemash.ru, hydro@hms.ru, kostyukovich@sibneftemach.ru, marketing@sibneftemash.ru, snm@sibnefnemash.ru, snm@sibneftemash.ru</t>
  </si>
  <si>
    <t>www.sibneftemash.ru</t>
  </si>
  <si>
    <t>Производство прочих металлических цистерн, резервуаров и емкостей</t>
  </si>
  <si>
    <t>2638648@mail.ru, asobolev2009@mail.ru, dsk-vrnz@mail.ru, postmaster@dsk.vrn.ru</t>
  </si>
  <si>
    <t>www.dsk.vrn.ru</t>
  </si>
  <si>
    <t>830 030 000</t>
  </si>
  <si>
    <t>gyzenko29@yandex.ru, info@snht.ru, office@snht.ru, olgagorbynova@rambler.ru, pravo@snht.ru, tender2@snht.ru, tender@snht.ru</t>
  </si>
  <si>
    <t>https://snht.ru/</t>
  </si>
  <si>
    <t>Гузенко Олег Николаевич (37 500 руб., 100%)</t>
  </si>
  <si>
    <t>320323@mai.ru, sibiroil@mail.ru, sibiroyl@mail.ru, siboil@yandex.ru, sidpil@yandex.ru</t>
  </si>
  <si>
    <t>Черных Сергей Викторович (100 000 руб., 100%)</t>
  </si>
  <si>
    <t>berezina@mail.ru, berezina@spbget.ru, id_jur11@spbget.ru, ko7@spbget.ru, mariya.zaletina@spbget.ru, od11@spbget.ru, titova@spbget.ru, tm1_skr@spbget.ru, vasilieva_m@spbget.ru</t>
  </si>
  <si>
    <t>КИО (12 128 577 309.59 руб., 100%)</t>
  </si>
  <si>
    <t>Регулярные перевозки пассажиров трамваями в городском и пригородном сообщении</t>
  </si>
  <si>
    <t>siboleum.ved@22brn.ru</t>
  </si>
  <si>
    <t>35 280 000</t>
  </si>
  <si>
    <t>marina.kurtas@mail.ru</t>
  </si>
  <si>
    <t>Смирнов Константин Владимирович (6 585 000 руб., 100%)</t>
  </si>
  <si>
    <t>info@sibprombunker.ru, zvm.2882@gmail.com</t>
  </si>
  <si>
    <t>Шаталов Юрий Анатольевич (2 500 000 руб., 50%)
Шевченко Алексей Викторович (2 500 000 руб., 50%)</t>
  </si>
  <si>
    <t>11 170 000</t>
  </si>
  <si>
    <t>info@sib-prom.com</t>
  </si>
  <si>
    <t>Лобанов Роман Сергеевич (5 000 000 руб., 50%)
Шевченко Алексей Викторович (5 000 000 руб., 50%)</t>
  </si>
  <si>
    <t>432 890 000</t>
  </si>
  <si>
    <t>buh@zavodjbi.ru, glavbuh@zavodjbi.ru, mail@zavodjbi.ru, peo@zavodjbi.ru</t>
  </si>
  <si>
    <t>Сторожук Николай Каллиникович (43 000 руб., 50.60%)
Кожаев Андрей Владимирович (21 000 руб., 24.70%)
Кожаев Максим Владимирович (21 000 руб., 24.70%)</t>
  </si>
  <si>
    <t>sibsahar@gmail.com, sibsahar@mail.ru</t>
  </si>
  <si>
    <t>http://opt-sahar.ru</t>
  </si>
  <si>
    <t>Богаева Ольга Юрьевна (3 800 руб., 38%)
Мининков Сергей Михайлович (3 100 руб., 31%)
Упорова Татьяна Сергеевна (3 100 руб., 31%)</t>
  </si>
  <si>
    <t>15 610 000</t>
  </si>
  <si>
    <t>avdeeva@sibstek.ru, info@sibstek.ru, kuvshinov@sibstek.ru, marketing@ckran-nz.ru, melehova@sibstek.ru, sibstek@sibstek.ru</t>
  </si>
  <si>
    <t>Таран Эдуард Анатольевич (38 259 342 руб., 99%)
РИД ГРУПП-НОВОСИБИРСК, АО (386 458 руб., 1%)</t>
  </si>
  <si>
    <t>contact@sibugol.com, filial@sibugol.com, sales@sibugol.com, sib-coal1@yandex.ru</t>
  </si>
  <si>
    <t>www.sibugol.com</t>
  </si>
  <si>
    <t>Усс Артем Александрович (116 100 000 руб., 38.70%)
Чигрин Денис Сергеевич (91 800 000 руб., 30.60%)
CEDRIC ENTERPRISES LIMITED (81 900 000 руб., 27.30%)
Тихомиров Алексей Сергеевич (10 200 000 руб., 3.40%)</t>
  </si>
  <si>
    <t>715 350 000</t>
  </si>
  <si>
    <t>lavrovana@bsc.sibur.ru, shatilovev@sibur.ru, sibur-it@sibur.ru, yakovlevaanv@tobolsk.sibur.ru</t>
  </si>
  <si>
    <t>СИБУР ХОЛДИНГ, ПАО (10 000 000 руб., 100%)</t>
  </si>
  <si>
    <t>424 480 000</t>
  </si>
  <si>
    <t>info@sibur.ru</t>
  </si>
  <si>
    <t>www.sibur.ru</t>
  </si>
  <si>
    <t>СИБУР ХОЛДИНГ, ПАО (1 605 700 548 руб., 100%)</t>
  </si>
  <si>
    <t>info@sibur.nnov.ru, infosnh@snh.sibur.ru</t>
  </si>
  <si>
    <t>www.sibur.ru/snh</t>
  </si>
  <si>
    <t>elena@siburperm.ru, hr@shp.sibur.ru, mail@siburperm.ru</t>
  </si>
  <si>
    <t>СИБУР ХОЛДИНГ, ПАО (2 839 321 300 руб.)</t>
  </si>
  <si>
    <t>info@stg.sibur.ru, iv@stg.sibur.ru, kprcstg_property@sibur.ru, krasnoschekovalg@bsc.sibur.ru, lnfo@stg.sibur.ru, st@stg.sibur.ru, st@tyumen.sibur.ru, titovatv@stg.sibur.ru</t>
  </si>
  <si>
    <t>www.sibur.ru/stg</t>
  </si>
  <si>
    <t>СИБУР ХОЛДИНГ, ПАО (75 691 000 000 руб.)</t>
  </si>
  <si>
    <t>post@siburem.ru, shatilovev@sibur.ru</t>
  </si>
  <si>
    <t>99 740 000</t>
  </si>
  <si>
    <t>54@sibeco.com, 83832891577@mail.ru, batalovev@suek.corp, cans@sibeco.su, crk@sebgenco.ru, dovgai_o@mail.ru, dovidenkoeo@sibgenco.ru, dovidenkoeo@sibgenso.ru, garnikes@sibgenco.ru, info@sibeco.su</t>
  </si>
  <si>
    <t>http://sibgenco.ru/companies/ao-sibeko/</t>
  </si>
  <si>
    <t>КУЗБАССЭНЕРГО, АО (8 348 956 000 руб.)</t>
  </si>
  <si>
    <t>1 206 800 000</t>
  </si>
  <si>
    <t>inform@sibenugol.ru, r2008@mail.ru</t>
  </si>
  <si>
    <t>МЕЛТЭК, ООО (1 054 287 339.3 руб., 100%)</t>
  </si>
  <si>
    <t>ausuok@prp.ktk.ru, jurist3@prp.ktk.ru, litvinenkosv@suek.ru, litvinenkosv@tgk13.ru, siber@sibgenco.ru</t>
  </si>
  <si>
    <t>517 210 000</t>
  </si>
  <si>
    <t>sigma-m-tech.ru</t>
  </si>
  <si>
    <t>Петрушин Максим Валентинович (5 100 руб., 51%)
МАРИН-ИНВЕСТ, АО (4 900 руб., 49%)</t>
  </si>
  <si>
    <t>tdsigma.ru</t>
  </si>
  <si>
    <t>Махрова Марина Ивановна (150 000 руб., 100%)</t>
  </si>
  <si>
    <t>210 080 000</t>
  </si>
  <si>
    <t>info@geosigma.ru, office@sigmaoao.ru, tatyana.luneva@sigmaoao.ru</t>
  </si>
  <si>
    <t>http://www.fedresurs.ru, www.geosigmagold.com, www.sigmaoao.ru</t>
  </si>
  <si>
    <t>TANALEX INVESTMENTS LIMITED (98.64%)</t>
  </si>
  <si>
    <t>sigmavrn.ru</t>
  </si>
  <si>
    <t>Большев Семен Владимирович (10 000 руб., 100%)</t>
  </si>
  <si>
    <t>info@sigma-it.ru, l.mashevskaya@sigma-it.ru</t>
  </si>
  <si>
    <t>sigma-it.ru</t>
  </si>
  <si>
    <t>ИНТЕР РАО-СТРОЙИНВЕСТ, ООО (9 990 000 руб., 99.90%)
АКТИВ-ЭНЕРГИЯ, ООО (10 000 руб., 0.10%)</t>
  </si>
  <si>
    <t>336 590 000</t>
  </si>
  <si>
    <t>usmanova_e@tdsigma.ru</t>
  </si>
  <si>
    <t>www.tdsigma.ru</t>
  </si>
  <si>
    <t>Махрова Марина Ивановна (10 000 руб., 100%)</t>
  </si>
  <si>
    <t>agro@td-sigma.com, sigma.crops@gmail.com</t>
  </si>
  <si>
    <t>sigmatd.su</t>
  </si>
  <si>
    <t>Чебанов Михаил Олегович (10 000 000 руб., 100%)</t>
  </si>
  <si>
    <t>elena.vasilyeva@signify.com</t>
  </si>
  <si>
    <t>Signify Holding B.V. (68 000 000 руб., 85%)
Signify GmbH (12 000 000 руб., 15%)</t>
  </si>
  <si>
    <t>irina.subbotina@sealedair.com, natalya.kamyshanova@sealedair.com, reception.volgograd@sealedair.com</t>
  </si>
  <si>
    <t>www.sealedair.com</t>
  </si>
  <si>
    <t>827 420 000</t>
  </si>
  <si>
    <t>info@gkgross.ru, kmy@gkgross.ru, tender@gkgross.ru</t>
  </si>
  <si>
    <t>gkgross.ru</t>
  </si>
  <si>
    <t>Нань Бинь (10 000 руб., 50%)
Птушкин Константин Александрович (10 000 руб., 50%)</t>
  </si>
  <si>
    <t>117 900 000</t>
  </si>
  <si>
    <t>tenders@silkway.org.ru</t>
  </si>
  <si>
    <t>Чайкина Марина Валерьевна (1 000 000 руб., 100%)</t>
  </si>
  <si>
    <t>akubasov79@yandex.ru, info@siluetbag.ru, ponomareva@siluetbag.ru, sbyt@siluetbag.ru</t>
  </si>
  <si>
    <t>www.siluetbag.ru</t>
  </si>
  <si>
    <t>Буль Виктор Бенафентурович (500 000 руб., 100%)</t>
  </si>
  <si>
    <t>300 550 000</t>
  </si>
  <si>
    <t>balainov@rambler.ru, cat-terina@inbox.ru, silveravto174@mail.ru</t>
  </si>
  <si>
    <t>geely-silver.ru, silver-moto.ru</t>
  </si>
  <si>
    <t>Войтин Николай Евгеньевич (13 300 000 руб., 70%)
СЕРЕБРЯНЫЙ САКВОЯЖ, ООО (5 700 000 руб., 30%)</t>
  </si>
  <si>
    <t>28 820 000</t>
  </si>
  <si>
    <t>etel-textile.ru</t>
  </si>
  <si>
    <t>Симановский Андрей Моисеевич (10 010 000 руб., 100%)</t>
  </si>
  <si>
    <t>Симановский Андрей Моисеевич (10 000 руб., 100%)</t>
  </si>
  <si>
    <t>129 880 000</t>
  </si>
  <si>
    <t>106 830 000</t>
  </si>
  <si>
    <t>a.bychkov@igr.ru, m.sminova@igr.ru</t>
  </si>
  <si>
    <t>5gnomov.ru, igr.ru, karapuzy.ru, simba-trade.ru, simbat.ru, um-ka.ru</t>
  </si>
  <si>
    <t>Сидорова Елена Михайловна (10 200 000 руб., 51%)
Пасечная Наталья Александровна (9 800 000 руб., 49%)</t>
  </si>
  <si>
    <t>71 810 000</t>
  </si>
  <si>
    <t>tatyana.panteleeva@simbio.ru</t>
  </si>
  <si>
    <t>simbio.ru</t>
  </si>
  <si>
    <t>Мигачев Олег Сергеевич (7 000 руб., 50%)
Сорокин Алексей Викторович (7 000 руб., 50%)</t>
  </si>
  <si>
    <t>230 720 000</t>
  </si>
  <si>
    <t>idc@inbox.ru</t>
  </si>
  <si>
    <t>www.simbirsoft.com</t>
  </si>
  <si>
    <t>Юркин Сергей Михайлович (15 300 руб., 51%)
Колесников Алексей Олегович (4 500 руб., 15%)
Юркин Александр Сергеевич (3 000 руб., 10%)
Суменков Виталий Петрович (2 700 руб., 9%)
Каштанкин Илья Александрович (2 100 руб., 7%)
Флоринский Алексей Сергеевич (2 100 руб., 7%)
Сычев Виктор Владимирович (300 руб., 1%)</t>
  </si>
  <si>
    <t>894 270 000</t>
  </si>
  <si>
    <t>dmitry.korovin@simens.com, hc.cod.cs.ru@siemens-healthineers.com, hc.cod.cs.ru@siemens.com, hc.cod.cs.ru@simens.com, service.ru@siemens-healthineers.com, smsz@ya.ru</t>
  </si>
  <si>
    <t>www.healthcare.siemens.ru, www.new.siemens.com, www.siemens-healthineers.com/ru</t>
  </si>
  <si>
    <t>"СИМЕНС ХЕЛСКЭА ГМБХ" (7 992 000 руб., 99.90%)
"СИМЕНС ХЕЛСИНИИРС ХОЛДИНГ III Б.В." (8 000 руб., 0.10%)</t>
  </si>
  <si>
    <t>1 456 150 000</t>
  </si>
  <si>
    <t>info.ru@siemens.com</t>
  </si>
  <si>
    <t>"СИМЕНС МОБИЛИТИ ГМБХ" (16 569 000 руб., 99.99%)
"СИМЕНС МОБИЛИТИ ХОЛДИНГ Б.В." (1 000 руб., 0.010%)</t>
  </si>
  <si>
    <t>729 740 000</t>
  </si>
  <si>
    <t>alexandr.malanov@simens.com, ilya.ozozhenko@siemens.com, stepan.zaytsev@siemens.com, velax32@rambler.ru</t>
  </si>
  <si>
    <t>АКЦИОНЕРНОЕ ОБЩЕСТВО "СИМЕНС АКЦИЕНГЕЗЕЛЬШАФТ" (34 359 900 руб., 100%)</t>
  </si>
  <si>
    <t>590 920 000</t>
  </si>
  <si>
    <t>mail@simost.ru, opt@simost.ru, ssmolin@simost.ru, supplychain@simost.ru</t>
  </si>
  <si>
    <t>www.simost.ru, симост.рф</t>
  </si>
  <si>
    <t>Пяк Андрей Сугенович (17 500 руб., 70%)
Пяк Эрнест Тясэнович (7 500 руб., 30%)</t>
  </si>
  <si>
    <t>62 050 000</t>
  </si>
  <si>
    <t>info@simple.ru, info@simplewine.ru, ndernovaya@simple.ru</t>
  </si>
  <si>
    <t>simplewine.ru, www.simple.ru</t>
  </si>
  <si>
    <t>162 480 000</t>
  </si>
  <si>
    <t>bsv50@list.ru, mail@simplex.nnov.ru, sva@simplex.nnov.ru</t>
  </si>
  <si>
    <t>www.simplexnn.ru</t>
  </si>
  <si>
    <t>Березкин Сергей Вячеславович (60 005 руб., 33.33%)
Машинистов Александр Иванович (60 005 руб., 33.33%)
Машинистов Владимир Иванович (60 005 руб., 33.33%)</t>
  </si>
  <si>
    <t>179 440 000</t>
  </si>
  <si>
    <t>www.symrise.com</t>
  </si>
  <si>
    <t>ОБЩЕСТВО С ОГРАНИЧЕННОЙ ОТВЕТСТВЕННОСТЬЮ "БУЗИРИС (3 400 000 руб., 100%)</t>
  </si>
  <si>
    <t>info@sim-tek.com, lenkor40@mail.ru</t>
  </si>
  <si>
    <t>Юстус Лидия Фридриховна (5 000 руб., 50%)
Яковлева Олеся Михайловна (5 000 руб., 50%)</t>
  </si>
  <si>
    <t>184 390 000</t>
  </si>
  <si>
    <t>https://sinara-group.com</t>
  </si>
  <si>
    <t>УК СПТ, ООО (990 000 руб., 99%)
СТА, ООО (10 000 руб., 1%)</t>
  </si>
  <si>
    <t>41 310 000</t>
  </si>
  <si>
    <t>ГРУППА СИНАРА, АО (100 000 000 руб., 100%)</t>
  </si>
  <si>
    <t>agroonline.russia@syngenta.com</t>
  </si>
  <si>
    <t>www.syngenta.ru</t>
  </si>
  <si>
    <t>АКЦИОНЕРНОЕ ОБЩЕСТВО "СИНГЕНТА КРОП ПРОТЕКШН АГ" (895 315 250 руб., 99.96%)
СИНГЕНТА ОВЕРСИЗ АГ (297 000 руб., 0.033%)
СИНГЕНТА АГРОСЕРВИСИЗ АЗИА АГ (6 750 руб., 0.0010%)</t>
  </si>
  <si>
    <t>802 600 000</t>
  </si>
  <si>
    <t>email@gmail.com, grigoreva@kinoteatr.ru, info@cinemapark.ru, kassa@rambler-co.ru, nabieva@kinoteatr.ru, nikitin@kinoteatr.ru</t>
  </si>
  <si>
    <t>Деятельность в области демонстрации кинофильмов</t>
  </si>
  <si>
    <t>ch52.ru, synergetic.ru, synergetic24.ru</t>
  </si>
  <si>
    <t>PLANET SYNERGETIC CY LIMITED (16 250 руб., 100%)</t>
  </si>
  <si>
    <t>186 880 000</t>
  </si>
  <si>
    <t>Исаков Евгений Валерьевич (500 000 руб., 50%)
Ляховчук Михаил Александрович (500 000 руб., 50%)</t>
  </si>
  <si>
    <t>137 960 000</t>
  </si>
  <si>
    <t>academic@synergydubai.ae, account-management@synergy.ru, avasilev@synergy.ru, ediachuk@synergy.ru, feedback@synergy.ru, hello@synergydigitalspb.ru, help@moi-online.ru, info@mifp.ru, info@synergydubai.ae, no-reply@synergyitacademy.ru</t>
  </si>
  <si>
    <t>synergy.ru, www.mifp.ru</t>
  </si>
  <si>
    <t>ОБЩЕСТВО ЛЮБИТЕЛЕЙ КОММЕРЧЕСКИХ ЗНАНИЙ, ООО (n/a)</t>
  </si>
  <si>
    <t>aakozlova@ksl.ukascorp.ru, s.vahonina@taltek.net</t>
  </si>
  <si>
    <t>www.taltek.net</t>
  </si>
  <si>
    <t>ТАЛТЭК, АО (100 000 руб., 100%)</t>
  </si>
  <si>
    <t>11 680 000</t>
  </si>
  <si>
    <t>sintez-07@yandex.ru, sintez-resurs0707@yandex.ru</t>
  </si>
  <si>
    <t>http://www.fish365.ru/</t>
  </si>
  <si>
    <t>Михалёв Алексей Германович (10 000 руб., 100%)</t>
  </si>
  <si>
    <t>14 140 000</t>
  </si>
  <si>
    <t>mail@sintec.ru, mail@sintek.ru</t>
  </si>
  <si>
    <t>www.sintec.ru</t>
  </si>
  <si>
    <t>Морозов Сергей Владимирович (500 000 руб., 100%)</t>
  </si>
  <si>
    <t>362 600 000</t>
  </si>
  <si>
    <t>Михин Никита Валерьевич (200 000 руб., 100%)</t>
  </si>
  <si>
    <t>cinarsky@sintz.ru, sinarsky@sintz.ru, tmk@tmk-group.com</t>
  </si>
  <si>
    <t>www.sintz.ru, www.tmk-group.ru</t>
  </si>
  <si>
    <t>2 152 810 000</t>
  </si>
  <si>
    <t>b2@sinto.pro, b2b@sinto.pro, client@sinto.pro, ea.suhova@sinto.pro, info@sinto.pro, ov.aysina@vinner.pro, sale@sintopt.ru, zakupki@sinto.pro, zakupki@sinto.ru</t>
  </si>
  <si>
    <t>www.sinto.pro</t>
  </si>
  <si>
    <t>Савченко Дмитрий Петрович (150 500 руб., 100%)</t>
  </si>
  <si>
    <t>www.sirena-travel.ru</t>
  </si>
  <si>
    <t>922 490 000</t>
  </si>
  <si>
    <t>chavdar@sierentz-gm.com</t>
  </si>
  <si>
    <t>АКЦИОНЕРНОЕ ОБЩЕСТВО СИРЕНЦ ГЛОБАЛ МЕРЧАНТС (29 000 000 руб., 100%)</t>
  </si>
  <si>
    <t>СИСКО СИСТЕМС НЕДЕРЛАНДС ХОЛДИНГС БИ.ВИ. (3 299 670 руб., 99.99%)
Cisco Worldwide Holdings Ltd (330 руб., 0.010%)</t>
  </si>
  <si>
    <t>126 990 000</t>
  </si>
  <si>
    <t>sysmex.ru</t>
  </si>
  <si>
    <t>СИСМЕКС ЮРОП СЕ (40 000 000 руб., 99.01%)
СИСМЕКС ДОЙЧЛАНД ГМБХ (400 000 руб., 0.99%)</t>
  </si>
  <si>
    <t>254 690 000</t>
  </si>
  <si>
    <t>elena.tikhomirova@qsrsystem.ru</t>
  </si>
  <si>
    <t>mcdonalds.ru</t>
  </si>
  <si>
    <t>КЛУБ ОТЕЛЬ, ООО (9 693 464 934.33 руб., 100%)</t>
  </si>
  <si>
    <t>196 670 000</t>
  </si>
  <si>
    <t>aosistemaplus@gmail.com, n.sosnovskaia@sistema.plus, plinest@sistema.plus, sales@sistema.plus</t>
  </si>
  <si>
    <t>СИСТЕМА, ПАО АФК (17 773 313 113.67 руб., 99.99%)
СИСТЕМА ФИНАНС, АО (35 546.7 руб., 0.00020%)</t>
  </si>
  <si>
    <t>8 219 450 000</t>
  </si>
  <si>
    <t>info@zaosistema.ru, mahalovatf@zaosistema.ru</t>
  </si>
  <si>
    <t>zaosistema.ru</t>
  </si>
  <si>
    <t>67 900 000</t>
  </si>
  <si>
    <t>pr@sistema.ru</t>
  </si>
  <si>
    <t>www.sistema.ru</t>
  </si>
  <si>
    <t>СИСТЕМА ФИНАНС, АО (2.37%)
СИСТЕМА КАПИТАЛ, ООО УК (0.11%)
СИСТЕМА ТЕЛЕКОМ АКТИВЫ, ООО (0.010%)</t>
  </si>
  <si>
    <t>ВЕЛВЕЛ, АО (41 939 100 руб., 47.55%)
АКВИЛА, АО (41 850 900 руб., 47.45%)
Компания с Ограниченной Ответственностью ОСМОНДЕР ЭНТЕРПРАЙЗИЗ ЛИМИТЕД (OSMONDER ENTERPRISES LIMITED) (4 410 000 руб., 5%)</t>
  </si>
  <si>
    <t>178 970 000</t>
  </si>
  <si>
    <t>e.stroynova@syssoft.ru, es@syssoft.ru, n.guskova@syssoft.ru</t>
  </si>
  <si>
    <t>www.syssoft.ru</t>
  </si>
  <si>
    <t>Тикуркин Максим Александрович (100 000 руб., 100%)</t>
  </si>
  <si>
    <t>157 700 000</t>
  </si>
  <si>
    <t>box@all-generators.ru, info@all-generators.ru, info@sstmk.ru, info@sstmk.tu, tender@sstmk.ru, tender@sstmsk.ru, tnder@sstmk.ru</t>
  </si>
  <si>
    <t>Сироткин Алексей Александрович (1 000 000 руб., 100%)</t>
  </si>
  <si>
    <t>249 320 000</t>
  </si>
  <si>
    <t>Койда Максим Александрович (91 800 000 руб., 51%)
Добровский Дмитрий Сергеевич (52 200 000 руб., 29%)
Газизулина Фирюза Рашитовна (18 000 000 руб., 10%)
Соломенников Валерий Викторович (18 000 000 руб., 10%)</t>
  </si>
  <si>
    <t>105 320 000</t>
  </si>
  <si>
    <t>Цветкова Любовь Константиновна (10 000 руб., 100%)</t>
  </si>
  <si>
    <t>sharabaeva.t.v@mail.ru, svetlana@contador.su</t>
  </si>
  <si>
    <t>Шарабаев Антон Анатольевич (10 000 руб., 100%)</t>
  </si>
  <si>
    <t>Яхтанциди Анастасий Александрович (10 000 руб., 100%)</t>
  </si>
  <si>
    <t>3794313@diy.su, hr@diy.su, sverka2@diy.su, zakup@diy.su</t>
  </si>
  <si>
    <t>domsad-ural.ru, gipermarketdom.ru</t>
  </si>
  <si>
    <t>ЕАК, ООО (5 208.335 руб., 50%)
Колдан Константин Иванович (2 708.3342 руб., 26%)
Пушкарев Олег Павлович (2 500.0008 руб., 24%)</t>
  </si>
  <si>
    <t>9 560 000</t>
  </si>
  <si>
    <t>www.m-teploset.ru</t>
  </si>
  <si>
    <t>54599@citilink.ru, citilink@mail.ru, citylink@mail.ru, ekc_b2b_aktsverki@citilink.ru, info@citilink.ru, inkina.g@citilink.ru, lagutkina.i@citilink.ru, laqutkina.i@citilink.ru, nnovb2b@citilink.ru, otboyschikov.e@citilink.ru</t>
  </si>
  <si>
    <t>www.citilink.ru</t>
  </si>
  <si>
    <t>Абрамов Алексей Петрович (3 904 178 666.67 руб., 66.66%)
Карчев Олег Геннадьевич (1 952 089 333.33 руб., 33.33%)</t>
  </si>
  <si>
    <t>1 785 620 000</t>
  </si>
  <si>
    <t>citymatic@mail.ru, i.birukova@citymatic.ru, info@regoperator.ogr, info@regoperator.opg, info@regoptrator.org, m.cikorina@citymatic.ru, mail@citymatik.ru, mar301501@yandex.ru, murmansk@ciitymatic.ru, murmansk@citijmatic.ru</t>
  </si>
  <si>
    <t>www.citymatic.ru</t>
  </si>
  <si>
    <t>ДИДЖИТАЛТЕХ, АО (100%)</t>
  </si>
  <si>
    <t>fdo@cityenergo.org</t>
  </si>
  <si>
    <t>ТПЕ-СИТИ, АО (2 050 000 000 руб., 55.01%)
ЮРЭНЕРГОКОНСАЛТ , АО ЮЭК, АО (1 676 358 656 руб., 44.99%)</t>
  </si>
  <si>
    <t>degorina@nhood.com, reception_co@nhood-services.ru</t>
  </si>
  <si>
    <t>ООО "Тессельдижк Б.В." (8 053 690 000 руб., 70.12%)
SOFINANCE (3 431 320 000 руб., 29.88%)</t>
  </si>
  <si>
    <t>avelichko@sitronics.com, info@sitronics.ru, notarius@ralko.ru, sitronics@sitronics.com, sitronics@sitronics.ru, tender1@sitronics.com</t>
  </si>
  <si>
    <t>www.sitronics.com, www.sitronics.ru</t>
  </si>
  <si>
    <t>309 570 000</t>
  </si>
  <si>
    <t>ООО "КИВЕСТ ТРЭЙДИНГ ДИ ДАБЛ-Ю СИ" (297 000 руб., 100%)</t>
  </si>
  <si>
    <t>296 160 000</t>
  </si>
  <si>
    <t>aza-mat@mail.ru, inna.stepanova@cnhind.com</t>
  </si>
  <si>
    <t>https://www.cnhindustrial.com/en-us/pages/homepage.aspx, www.construction.newholland.com</t>
  </si>
  <si>
    <t>ЮНАЙТЕД ИНДАСТРИАЛ ДИСТРИБУШЕН, ООО (608 754 200 руб., 100%)</t>
  </si>
  <si>
    <t>2 102 170 000</t>
  </si>
  <si>
    <t>frolov.alex.a@gmail.com, ooo.skno1@gmail.com, ooo.sknol@gmail.com, sibiriak.000@gmail.com, storyinvest.ooo@gmail.com</t>
  </si>
  <si>
    <t>Фролова Дарья Александровна (28 250 руб., 100%)</t>
  </si>
  <si>
    <t>35 350 000</t>
  </si>
  <si>
    <t>dzok2018@mail.ru, info@skavtodor.ru</t>
  </si>
  <si>
    <t>skavtodor.ru</t>
  </si>
  <si>
    <t>АВТОДОР-ИНЖИНИРИНГ, ООО (495 000 руб., 99%)
АВТОДОР-ТП, ООО (5 000 руб., 1%)</t>
  </si>
  <si>
    <t>aa_filyushov@altke.ru, bel-priem@altke.ru, kam-priem@altke.ru, kazantseva@altke.ru, km_kazantsev@altke.ru, priemnaya@altke.ru, ys_yatsenko@altke.ru</t>
  </si>
  <si>
    <t>office@alfagroupmsk.ru</t>
  </si>
  <si>
    <t>alfagroupmsk.ru</t>
  </si>
  <si>
    <t>Ибрагимов Артём Андреевич (10 000 руб., 100%)</t>
  </si>
  <si>
    <t>19 450 000</t>
  </si>
  <si>
    <t>biteks-zakaz@mail.ru, employee@biteks.ru, incoming@biteks.ru, pbvolchkov@yandex.ru, sk-biteks@mail.ru, sk_biteks@bk.ru, zaletaeva@biteks.ru</t>
  </si>
  <si>
    <t>www.biteks.ru</t>
  </si>
  <si>
    <t>Разработка строительных проектов</t>
  </si>
  <si>
    <t>82 520 000</t>
  </si>
  <si>
    <t>sk1365@mail.ru, skbsf@mail.ru</t>
  </si>
  <si>
    <t>www.skbsf.ru</t>
  </si>
  <si>
    <t>618 180 000</t>
  </si>
  <si>
    <t>office@dalpiterstroy.ru, s.pavlova@dalpiterstroy.ru, sushko@dalpiterstroy.ru, volkov@dalpiterstroy.ru</t>
  </si>
  <si>
    <t>dalpiterstroy.ru</t>
  </si>
  <si>
    <t>Скоров Аркадий Анатольевич (1 511 854 000 руб., 100%)</t>
  </si>
  <si>
    <t>emonolit@list.ru</t>
  </si>
  <si>
    <t>Сергеева Елена Владимировна (3 000 руб., 30%)
Углов Алексей Владимирович (3 000 руб., 30%)
Федорова Татьяна Васильевна (1 200 руб., 12%)
Девяшов Вадим Николаевич (600 руб., 6%)
Кечко Ирина Борисовна (600 руб., 6%)
Ломтева Ольга Викторовна (600 руб., 6%)
Васильев Александр Владимирович (500 руб., 5%)
Козлова Елена Вениаминовна (500 руб., 5%)</t>
  </si>
  <si>
    <t>19 020 000</t>
  </si>
  <si>
    <t>Абдуллин Алмаз Наилевич (10 000 руб., 100%)</t>
  </si>
  <si>
    <t>kuznetsova_ma@spbrealty.ru</t>
  </si>
  <si>
    <t>СЭТЛ, ООО (10 000 000 руб., 100%)</t>
  </si>
  <si>
    <t>3 307 770 000</t>
  </si>
  <si>
    <t>a.kurganova@mcskk.ru</t>
  </si>
  <si>
    <t>397 670 000</t>
  </si>
  <si>
    <t>staszubov@gmail.com</t>
  </si>
  <si>
    <t>Пучков Андрей Николаевич (11 000 руб., 100%)</t>
  </si>
  <si>
    <t>21 850 000</t>
  </si>
  <si>
    <t>ip.kulikova@dominantsugar.ru, mmk@mail.ru, t.shadrina@dominantsugar.ru, ya.krahmalec@dominantsugar.ru</t>
  </si>
  <si>
    <t>зао-скл.рф</t>
  </si>
  <si>
    <t>241 630 000</t>
  </si>
  <si>
    <t>СПЕЦГРАД, ООО (9 999 руб., 99.90%)
СТРОЙАКТИВ, ООО (1 руб., 0.10%)</t>
  </si>
  <si>
    <t>skm@btsmost.ru, skm@skmost.ru</t>
  </si>
  <si>
    <t>www.btsmost.ru, www.skmost.ru</t>
  </si>
  <si>
    <t>1460134@gmail.com, auditortula@mail.ru, info@abeconsulting.ru</t>
  </si>
  <si>
    <t>Гаврилин Роман Игоревич (9 500 руб., 95%)
Михайлин Николай Юрьевич (500 руб., 5%)</t>
  </si>
  <si>
    <t>Кондратенков Антон Олегович (1 000 000 руб., 50%)
Левин Евгений Михайлович (1 000 000 руб., 50%)</t>
  </si>
  <si>
    <t>77 460 000</t>
  </si>
  <si>
    <t>alexeyvixarev1962@gmail.com</t>
  </si>
  <si>
    <t>ГК СМК-ИНВЕСТ, ООО (7 150 руб., 65%)
Смирнов Евгений Викторович (2 200 руб., 20%)
Вихарев Алексей Евгеньевич (1 650 руб., 15%)</t>
  </si>
  <si>
    <t>271 130 000</t>
  </si>
  <si>
    <t>pas@petroal.ru</t>
  </si>
  <si>
    <t>www.petroal.ru</t>
  </si>
  <si>
    <t>ТЕХНОЛОГИЧЕСКАЯ КОМПАНИЯ ШЛЮМБЕРЖЕ, ООО (2 000 000 руб., 100%)</t>
  </si>
  <si>
    <t>521 520 000</t>
  </si>
  <si>
    <t>office@ruswelding.ru</t>
  </si>
  <si>
    <t>ruswelding.ru</t>
  </si>
  <si>
    <t>НОРД АЛЬЯНС, АО (8 875 руб., 88.75%)
ФИНЭКОСЕРВИС, ООО (1 125 руб., 11.25%)</t>
  </si>
  <si>
    <t>204 410 000</t>
  </si>
  <si>
    <t>aevseeva@rvpetro.ru, agubina@rvpetro.ru, alepeshov@rvpetro.ru, it@rvpetro.ru, phuongna@rvpetro.ru, rvpetro@rvpetro.ru, tender@rvpetro.ru</t>
  </si>
  <si>
    <t>rvpetro.ru</t>
  </si>
  <si>
    <t>ЗАРУБЕЖНЕФТЬ, АО (6 682 318 866.94 руб., 51%)
VIETNAM OIL AND GAS GROUP (6 420 267 146.66 руб., 49%)</t>
  </si>
  <si>
    <t>27 826 060 000</t>
  </si>
  <si>
    <t>mspb@inbox.ru</t>
  </si>
  <si>
    <t>Удовин Владимир Петрович (13 500 000 руб., 90%)
Деревянченко Инесса Мирсиевна (1 500 000 руб., 10%)</t>
  </si>
  <si>
    <t>48 510 000</t>
  </si>
  <si>
    <t>office@sksevgavan.ru, tender@sksevgavan.ru</t>
  </si>
  <si>
    <t>Колесников Владимир Юрьевич (500 000 руб., 100%)</t>
  </si>
  <si>
    <t>42 180 000</t>
  </si>
  <si>
    <t>alla090956@mail.ru, sksufgup@yandex.ru</t>
  </si>
  <si>
    <t>fgup-sksu.ru</t>
  </si>
  <si>
    <t>sales@transitsv.ru, sales@tranzitsv.ru, tranzit_sv@bk.ru</t>
  </si>
  <si>
    <t>transitsv.ru</t>
  </si>
  <si>
    <t>Власов Вячеслав Николаевич (10 004 500 руб., 50%)
Руденко Сергей Павлович (10 004 500 руб., 50%)</t>
  </si>
  <si>
    <t>402 530 000</t>
  </si>
  <si>
    <t>info@snq.ru, otziv@snowqueen.ru, pr@snowqueen.ru, zadaivopros@snq.ru, zhanna.shuvaeva@snowqueen.ru</t>
  </si>
  <si>
    <t>www.snowqueen.ru</t>
  </si>
  <si>
    <t>СНЕЖНАЯ КОРОЛЕВА ТМ, ООО (1 184 934 184 руб., 99.90%)
Исаев Вугар Мирзахан Оглы (1 186 121 руб., 0.10%)</t>
  </si>
  <si>
    <t>1 466 760 000</t>
  </si>
  <si>
    <t>info@flan.ru, tender@flan.ru</t>
  </si>
  <si>
    <t>flan.ru</t>
  </si>
  <si>
    <t>hss@sk-hss.ru, sk_hss@mail.ru</t>
  </si>
  <si>
    <t>sk-hss.ru</t>
  </si>
  <si>
    <t>УНИВЕРСАЛКОМПЛЕКТ, ООО (1 000 000 руб., 100%)</t>
  </si>
  <si>
    <t>111 640 000</t>
  </si>
  <si>
    <t>everest177@mail.ru</t>
  </si>
  <si>
    <t>Карбовничий Сергей Александрович (20 000 руб., 100%)</t>
  </si>
  <si>
    <t>33 340 000</t>
  </si>
  <si>
    <t>e.paure@igronik.ru</t>
  </si>
  <si>
    <t>igronikoutdoor.ru</t>
  </si>
  <si>
    <t>СТИНН, ООО (10 000 руб., 100%)</t>
  </si>
  <si>
    <t>170 720 000</t>
  </si>
  <si>
    <t>mail@nordcompany.ru, sales@nordcompany.ru, tatarinova@aviton.info, vologda@nordcompany.ru</t>
  </si>
  <si>
    <t>nordcompany.ru</t>
  </si>
  <si>
    <t>АВИТОН, ООО (4 900 руб., 49%)
Корепина Елена Алексеевна (2 600 руб., 26%)
Шебаленков Илья Геннадьевич (2 500 руб., 25%)</t>
  </si>
  <si>
    <t>347 780 000</t>
  </si>
  <si>
    <t>ck68@mail.ru, sck-68@yandex.ru</t>
  </si>
  <si>
    <t>Еремина Валерия Валерьевна (10 000 руб., 100%)</t>
  </si>
  <si>
    <t>sk-trade.ru</t>
  </si>
  <si>
    <t>Шапошников Максим Игоревич (7 450 руб., 74.50%)
Терехин Олег Леонидович (2 550 руб., 25.50%)</t>
  </si>
  <si>
    <t>office@ska.su</t>
  </si>
  <si>
    <t>ska.su</t>
  </si>
  <si>
    <t>БАЙКАЛ, ООО (100 000 000 руб., 100%)</t>
  </si>
  <si>
    <t>270 030 000</t>
  </si>
  <si>
    <t>kio@scadar.com, scadar@scadar.com</t>
  </si>
  <si>
    <t>www.scadar.com</t>
  </si>
  <si>
    <t>Боярский Владислав Валерьевич (168 750 руб., 25%)
Горбунов Александр Владимирович (168 750 руб., 25%)
Кудряшов Игорь Борисович (168 750 руб., 25%)
Лисогурский Владимир Анатольевич (168 750 руб., 25%)</t>
  </si>
  <si>
    <t>oano.dpo@skyeng.ru, vorobeva.mayya@skyeng.ru</t>
  </si>
  <si>
    <t>skyengforbusiness.ru, skyengrussia.ru, www.sky.pro</t>
  </si>
  <si>
    <t>finance@skyfood.ru</t>
  </si>
  <si>
    <t>skyfood.ru</t>
  </si>
  <si>
    <t>Томилин Александр Витальевич (18 000 руб., 60%)
Пирцхалава Георгий Немович (12 000 руб., 40%)</t>
  </si>
  <si>
    <t>20 490 000</t>
  </si>
  <si>
    <t>bdr@skala-card.ru, mmitrof@mail.ru</t>
  </si>
  <si>
    <t>skala-card.ru</t>
  </si>
  <si>
    <t>Митрофанова Марина Алексеевна (20 000 руб., 100%)</t>
  </si>
  <si>
    <t>15 380 000</t>
  </si>
  <si>
    <t>skala-r.ru</t>
  </si>
  <si>
    <t>РУБИТЕХ ИНТЕГРАЦИЯ, ООО (10 000 руб., 100%)</t>
  </si>
  <si>
    <t>Василевицкий Яков Моисеевич (50 000 руб., 50%)
Сивачев Андрей Викторович (50 000 руб., 50%)</t>
  </si>
  <si>
    <t>269 970 000</t>
  </si>
  <si>
    <t>it@scanialeasing.ru</t>
  </si>
  <si>
    <t>http://www.scanialeasing.ru, www.petroscan.ru, www.scania.com</t>
  </si>
  <si>
    <t>ФОЛЬКСВАГЕН ГРУП РУС, ООО (82 314 031.4 руб., 100%)</t>
  </si>
  <si>
    <t>2 627 790 000</t>
  </si>
  <si>
    <t>b2b@yota.ru, emamonchikov@yotateam.com, info@yota.ru, mail@yota.ru, press@yotateam.com, reception@yotateam.com</t>
  </si>
  <si>
    <t>МЕГАФОН, ПАО (719 943 700 руб., 92%)
КОМПАНИЯ "МАКСИТЕН КО ЛИМИТЕД" (62 603 800 руб., 8%)</t>
  </si>
  <si>
    <t>1 823 740 000</t>
  </si>
  <si>
    <t>hello@skillbox.ru, krutovdv@gmail.com, perkasovd@mail.ru, platform@skillbox.ru, pr@skillbox.ru, sfera.95@internet.ru, skillbox.media@skillbox.ru</t>
  </si>
  <si>
    <t>skillbox.ru</t>
  </si>
  <si>
    <t>СКИЛБОКС ХОЛДИНГ ЛИМИТЕД (16 125 руб., 100%)</t>
  </si>
  <si>
    <t>karatuev@samaracable.ru, post-ofice@samaracable.ru, scc@samaracable.ru</t>
  </si>
  <si>
    <t>samaracable.ru</t>
  </si>
  <si>
    <t>buh8@skl-co.ru</t>
  </si>
  <si>
    <t>iddis.ru</t>
  </si>
  <si>
    <t>Рыжий Игорь Валерьевич (12 000 руб., 100%)</t>
  </si>
  <si>
    <t>282 940 000</t>
  </si>
  <si>
    <t>КОМПАНИЯ С ОГРАНИЧЕННОЙ ОТВЕТСТВЕННОСТЬЮ "СК ЛУБРИ (141 899 900.67 руб., 99.99%)
Чун Джунг Сик (99.33 руб., 0.00010%)</t>
  </si>
  <si>
    <t>490 580 000</t>
  </si>
  <si>
    <t>alena_fedorenko@skolkovo.ru, info@skolkovo.ru, nou@skolkovo.ru, olga_kuzmicheva@skolkovo.ru</t>
  </si>
  <si>
    <t>skolkovo.ru</t>
  </si>
  <si>
    <t>СКОЛКОВО, АССОЦИАЦИЯ (n/a)</t>
  </si>
  <si>
    <t>nizharadze@skopinpharm.com, skopinfarm@skopin.ryazan.ru, tender@skopinpharm.com</t>
  </si>
  <si>
    <t>АЛИНТА-ФАРМ, ООО (23 391 200 руб., 100%)</t>
  </si>
  <si>
    <t>489 460 000</t>
  </si>
  <si>
    <t>skp@ak-bars.ru, tatneftarena@mail.ru</t>
  </si>
  <si>
    <t>ak-bars.ru</t>
  </si>
  <si>
    <t>49 980 000</t>
  </si>
  <si>
    <t>arteservice@yandex.ru, buhgalter-arte@yandex.ru, mosarte@yandex.ru, sale@sksdolina.ru</t>
  </si>
  <si>
    <t>sksdolina.ru</t>
  </si>
  <si>
    <t>СКС ДОЛИНА, ООО (21 070 000 руб., 70%)
Минбаева Кумушай Садырбековна (9 030 000 руб., 30%)</t>
  </si>
  <si>
    <t>2393520@mail.ru, gk@ckc.su</t>
  </si>
  <si>
    <t>ckc.su</t>
  </si>
  <si>
    <t>3 012 030 000</t>
  </si>
  <si>
    <t>www.scf-group.ru</t>
  </si>
  <si>
    <t>СОВКОМФЛОТ, ПАО (9 900 руб., 99%)
СКФ ВАРАНДЕЙ, ООО (100 руб., 1%)</t>
  </si>
  <si>
    <t>185 990 000</t>
  </si>
  <si>
    <t>СКФ АРКТИКА, ООО (10 000 руб., 100%)</t>
  </si>
  <si>
    <t>1 576 690 000</t>
  </si>
  <si>
    <t>anna_fez@mail.ru, drymach@mail.ru, saburovo08@mail.ru, thmp@bk.ru</t>
  </si>
  <si>
    <t>gkmmk.ru</t>
  </si>
  <si>
    <t>Поляков Александр Алексеевич (1 010 000 руб., 99.02%)
Полякова Наталья Валерьевна (10 000 руб., 0.98%)</t>
  </si>
  <si>
    <t>678 730 000</t>
  </si>
  <si>
    <t>info@porsche-scc.com, kuprov@porsche-scc.com</t>
  </si>
  <si>
    <t>porsche-scc.ru</t>
  </si>
  <si>
    <t>Техническое обслуживание и ремонт легковых автомобилей и легких грузовых автотранспортных средств</t>
  </si>
  <si>
    <t>402 880 000</t>
  </si>
  <si>
    <t>1ek_eherkesovo@skek.ru, 1kv_cherkesova@skek.ru, 1kv_eherkesovo@skek.ru, 1kv_esv@skek.ru, 1kv_rlb@skek.ru, 20622@gmail.com, 20622@mail.ru, 4553413@mail.ru, alekseeva@arriah.ru, alexeva@skek.ru</t>
  </si>
  <si>
    <t>www.skek.ru</t>
  </si>
  <si>
    <t>396 290 000</t>
  </si>
  <si>
    <t>Хабрусов Виталий Викторович (10 000 руб., 100%)</t>
  </si>
  <si>
    <t>152 130 000</t>
  </si>
  <si>
    <t>info@slavcoffee.ru</t>
  </si>
  <si>
    <t>www.slavcoffee.ru</t>
  </si>
  <si>
    <t>Власенко Василий Григорьевич (15 000 000 руб., 50%)
Власенко Григорий Григорьевич (15 000 000 руб., 50%)</t>
  </si>
  <si>
    <t>218 490 000</t>
  </si>
  <si>
    <t>olga.khorkhordina@slavyanka.com</t>
  </si>
  <si>
    <t>www.slavjanka.ru, www.славянка.рф</t>
  </si>
  <si>
    <t>Гусев Сергей Аркадьевич (820 000 руб., 82%)
Гусев Дмитрий Сергеевич (180 000 руб., 18%)</t>
  </si>
  <si>
    <t>128 970 000</t>
  </si>
  <si>
    <t>СЛАВЯНКА ПЛЮС, АО (700 000 руб., 70%)
Гусев Сергей Аркадьевич (300 000 руб., 30%)</t>
  </si>
  <si>
    <t>337 600 000</t>
  </si>
  <si>
    <t>slaveco.ru</t>
  </si>
  <si>
    <t>Паранянц Роберт Васильевич (998 456 250 руб., 75%)
Паранянц Валерий Васильевич (332 818 750 руб., 25%)</t>
  </si>
  <si>
    <t>info@skz.ru, slakos@rambler.ru</t>
  </si>
  <si>
    <t>www.skz.ru</t>
  </si>
  <si>
    <t>Аджемян Левон Арменович (10 000 руб., 100%)</t>
  </si>
  <si>
    <t>17 970 000</t>
  </si>
  <si>
    <t>aldaya.ru, bmleague.ru, brunchers.ru, delibon.ru, delivea.ru, dikoemore.ru, greatfabulous.ru, greenola.ru, inturel.ru, schedryigod.ru</t>
  </si>
  <si>
    <t>КОРПОРАТИВНЫЙ ЦЕНТР ИКС 5, ООО (82 815 528.15 руб., 100%)</t>
  </si>
  <si>
    <t>2 197 590 000</t>
  </si>
  <si>
    <t>office@swlife.nnov.ru</t>
  </si>
  <si>
    <t>swnn.ru</t>
  </si>
  <si>
    <t>Гусев Альберт Геннадьевич (10 520 000 руб., 100%)</t>
  </si>
  <si>
    <t>149 150 000</t>
  </si>
  <si>
    <t>sl@slad-sloboda.ru</t>
  </si>
  <si>
    <t>sladsloboda.ru</t>
  </si>
  <si>
    <t>Полозов Владимир Алексович (6 500 руб., 65%)
Наймушин Сергей Анатольевич (3 500 руб., 35%)</t>
  </si>
  <si>
    <t>183 430 000</t>
  </si>
  <si>
    <t>buh.sveet-nuts@yandex.ru, info@sweet-nuts.ru</t>
  </si>
  <si>
    <t>sweet-nuts.ru</t>
  </si>
  <si>
    <t>Гукасян Эдуард Самвелович (10 000 руб., 50%)
РД УПРАВЛЕНИЕ ИНВЕСТИЦИЯМИ, ООО (10 000 руб., 50%)</t>
  </si>
  <si>
    <t>64 690 000</t>
  </si>
  <si>
    <t>КОМПАНИЯ С ОГРАНИЧЕННОЙ ОТВЕТСТВЕННОСТЬЮ "СЗ РИДЖИНОИЛ ХОЛДИНГЗ ЛИМИТЕД" (6 164 903 464 руб., 100%)</t>
  </si>
  <si>
    <t>2 768 960 000</t>
  </si>
  <si>
    <t>bkko@bkko.ru, kaus@sladonezh.ru, novikovanv@sladonezh.ru, sladonezh@sladonezh.ru, yurist@sladonezh.ru</t>
  </si>
  <si>
    <t>www.sladonezh.ru</t>
  </si>
  <si>
    <t>Знаменских Игорь Александрович (29.80%)</t>
  </si>
  <si>
    <t>dmitry.mironovich@slk-cement.com, info@sl-cement.ru, ivan.vetcherski@sl-cement.ru, lubov.andreeva@dyckerhoff.com, olga.kalinina@sl-cement.ru, svetlana.krivonogova@sl-cement.ru, vladimir.nikolaev@sl-cement.ru</t>
  </si>
  <si>
    <t>www.slk-cement.com</t>
  </si>
  <si>
    <t>Dyckerhoff Aktiengesellschaft (30 624 900 руб., 99.99%)
ДЮККЕРХОФФ-СУХОЙ ЛОГ, ООО (1 000 руб., 0.0033%)</t>
  </si>
  <si>
    <t>info@avtokombinat.ru</t>
  </si>
  <si>
    <t>www.avtokombinat.ru</t>
  </si>
  <si>
    <t>v.borisova@tplants.com</t>
  </si>
  <si>
    <t>АКТИВ, ООО (84 000 руб., 100%)</t>
  </si>
  <si>
    <t>info@sm-ing.ru</t>
  </si>
  <si>
    <t>sm-ing.ru, soyuzmash-ing.ru</t>
  </si>
  <si>
    <t>Матюшкин Олег Александрович (100 000 руб., 100%)</t>
  </si>
  <si>
    <t>226 560 000</t>
  </si>
  <si>
    <t>buh@smlogistic.ru, buhrkl@rk-logistika.ru, ekaterina.molotkina@smlogistic.ru, glbuh@smlogistic.ru, rk-logistik@yandex.ru</t>
  </si>
  <si>
    <t>Клименко Елена Германовна (9 900 000 руб., 99%)
Сонец Михаил Сергеевич (100 000 руб., 1%)</t>
  </si>
  <si>
    <t>177 510 000</t>
  </si>
  <si>
    <t>inboks@vagon66.ru, inbox@vagon66.ru</t>
  </si>
  <si>
    <t>www.vagon66.ru</t>
  </si>
  <si>
    <t>Польский Алексей Анатольевич (1 000 000 руб., 100%)</t>
  </si>
  <si>
    <t>www.sminex.com</t>
  </si>
  <si>
    <t>СМАЙНЭКС УПРАВЛЕНИЕ АКТИВАМИ, ООО (100 000 руб., 100%)</t>
  </si>
  <si>
    <t>14 330 000</t>
  </si>
  <si>
    <t>gendir@smak.mplik.ru, info@smakhleb.ru, kuneva@smakhleb.ru, smakhleb@mail.ru</t>
  </si>
  <si>
    <t>58 280 000</t>
  </si>
  <si>
    <t>СМ ГРУПП, ООО (10 000 руб., 100%)</t>
  </si>
  <si>
    <t>LAUDE SMART INTERMODAL S A (19 500 руб., 65%)
ХОСТ РЕЙЛ, ООО (10 500 руб., 35%)</t>
  </si>
  <si>
    <t>228 230 000</t>
  </si>
  <si>
    <t>ЛАЙНКОММ, АО (10 000 руб., 100%)</t>
  </si>
  <si>
    <t>Деятельность агентов по оптовой торговле пивом</t>
  </si>
  <si>
    <t>smartlgc.ru</t>
  </si>
  <si>
    <t>Гарбузова Альмира Асгатовна (10 000 руб., 100%)</t>
  </si>
  <si>
    <t>57 200 000</t>
  </si>
  <si>
    <t>info@smbuil.ru, kuramshin@smbuil.ru, razdvigaeva@smbuil.ru</t>
  </si>
  <si>
    <t>Зубайраев Сайд-Магомед Дук-Вахаевич (100 000 руб., 100%)</t>
  </si>
  <si>
    <t>79 630 000</t>
  </si>
  <si>
    <t>Сметана Андрей Юрьевич (10 000 руб., 100%)</t>
  </si>
  <si>
    <t>118 160 000</t>
  </si>
  <si>
    <t>info@stech.ru, tender@stech.ru</t>
  </si>
  <si>
    <t>aodfa.ru, stech.ru</t>
  </si>
  <si>
    <t>Калинин Алексей Александрович (2 200 000 руб., 40%)
Бланкет Надежда Алексеевна (1 100 000 руб., 20%)
Ефремов Антон Вениаминович (1 100 000 руб., 20%)
Кот Олег Петрович (1 100 000 руб., 20%)</t>
  </si>
  <si>
    <t>57 100 000</t>
  </si>
  <si>
    <t>fila1510@mail.ru</t>
  </si>
  <si>
    <t>smart-sp.su</t>
  </si>
  <si>
    <t>АКСИОМА, ООО (8 800 руб., 88%)
Адамов Михаил Анатольевич (1 200 руб., 12%)</t>
  </si>
  <si>
    <t>90 500 000</t>
  </si>
  <si>
    <t>office@krasyar.ru, sale@foodretail.ru, sale@fооdretail.ru, vopros@krasyar.ru</t>
  </si>
  <si>
    <t>krasyar.ru</t>
  </si>
  <si>
    <t>КОРПОРАТИВНЫЙ ЦЕНТР ИКС 5, ООО (350 000 руб., 70%)
СМАРТ-РИТЕЙЛ, ООО (150 000 руб., 30%)</t>
  </si>
  <si>
    <t>krakovichsv@ufaoil.ru</t>
  </si>
  <si>
    <t>Кракович Сергей Владимирович (10 000 руб., 100%)</t>
  </si>
  <si>
    <t>13 100 000</t>
  </si>
  <si>
    <t>info@smtlog.com</t>
  </si>
  <si>
    <t>4 290 000</t>
  </si>
  <si>
    <t>llc.smart.tools@gmail.com</t>
  </si>
  <si>
    <t>Галкин Сергей Николаевич (500 000 руб., 100%)</t>
  </si>
  <si>
    <t>257 080 000</t>
  </si>
  <si>
    <t>elena.milyakova@smurfitkappa.ru, info@e-smurfitkappa.ru, roman@soyuzgofra.ru, soyuz@soyuzgofra.ru, zakaz@prostore.pro, zakaz@prostore.ru</t>
  </si>
  <si>
    <t>960 960 000</t>
  </si>
  <si>
    <t>Smith &amp; Nephew (Europe) B.V. (2 025 637 537.85 руб., 99.68%)
Smith &amp; Nephew B.V. (6 599 497.15 руб., 0.32%)</t>
  </si>
  <si>
    <t>tyutin_dv@akron-holding.ru</t>
  </si>
  <si>
    <t>http://www.akron-group.ru</t>
  </si>
  <si>
    <t>АКРОН ХОЛДИНГ, АО (100 000 руб., 100%)</t>
  </si>
  <si>
    <t>64 700 000</t>
  </si>
  <si>
    <t>buh-centr@yandex.ru, my_logistics@mail.ru, sml.llc@mail.ru</t>
  </si>
  <si>
    <t>Табулова Анна Яковлевна (10 000 руб., 100%)</t>
  </si>
  <si>
    <t>6 080 000</t>
  </si>
  <si>
    <t>admin@smnm-veco.com, office@smnm-veco.com, t.leonteva@sakhalin.ru, t.lyubimova@smnm-veco.com</t>
  </si>
  <si>
    <t>https://www.smnm-veco.com</t>
  </si>
  <si>
    <t>ВИКО-СМНМ, ПАО (608 258 руб., 50%)
СК ОХА, ООО (608 258 руб., 50%)</t>
  </si>
  <si>
    <t>288 920 000</t>
  </si>
  <si>
    <t>ksergeer@smolkhp.ru, sale@smolkhp.ru, shop@smolkhp.ru, smolkhp@smolkhp.ru, yurist1@smolkhp.ru</t>
  </si>
  <si>
    <t>smolkhp.ru</t>
  </si>
  <si>
    <t>Табасаранский Руфат Юсиф Оглы (93 532 руб., 100%)</t>
  </si>
  <si>
    <t>asu@rf.srte.ru, asu@slte.ru, asu@srte.ru, buh7@srte.ru, galashin@sfsmrte.ru, info@srte.ru, it@srte.ru, sbit@yf.stre.ru, sbit@yfsrte.ru, sfin@sfmrte.ru</t>
  </si>
  <si>
    <t>srte.ru</t>
  </si>
  <si>
    <t>СМОЛЕНСКОБЛКОММУНЭНЕРГО, ОГУЭПП (285 441 647.17 руб., 96.02%)
ЦЕНТРАЛЬНАЯ ЭНЕРГЕТИЧЕСКАЯ КОМПАНИЯ, ООО (11 830 614 руб., 3.98%)</t>
  </si>
  <si>
    <t>3 660 000</t>
  </si>
  <si>
    <t>aivanov@ansc.ru, corp.relations@ansc.ru, ikarpikov@ansc.ru, info@ansc.ru, isopochkina@ansc.ru, lgagarina@ansc.ru, office@ansc.ru, omelyukova@ansc.ru, vmakkoev@ansc.ru</t>
  </si>
  <si>
    <t>www.ansc.ru, www.ansc.ru/rus/depr.shtml</t>
  </si>
  <si>
    <t>aaa16@mail.ru, al_kama@mail.ru, almetneft@smp.ru, general@smpneftegaz.ru, husnullina@smpneftegaz.ru, kamarov.a@smpneftegaz.ru, sergeev_sv@smpneftegaz.ru, smp@tatais.ru, smp@tatis.ru, yamaltdinova@smpneftegaz.ru</t>
  </si>
  <si>
    <t>smpng.ru, www.smpneftegaz.ru</t>
  </si>
  <si>
    <t>dmitry.syrtsov@sms-group.com, rcis-info@sms-group.com</t>
  </si>
  <si>
    <t>www.sms-group.com</t>
  </si>
  <si>
    <t>СМС ДЕМАГ АКЦИЕНГЕЗЕЛЬШАФТ (266 932 300 руб., 99.52%)
КОМПАНИЯ "СМС ЭЛОТЕРМ ГМБХ" (1 159 290 руб., 0.43%)
ООО "СМС ЗАК ФЕРВАЛЬТУНГС ГМБХ" (136 410 руб., 0.050%)</t>
  </si>
  <si>
    <t>9801441@gmail.com</t>
  </si>
  <si>
    <t>smsmail.ru</t>
  </si>
  <si>
    <t>УК ИНФОСЕРВИСЫ, ООО (5 500 руб., 55%)
Милашевский Игорь Анатольевич (4 085 руб., 40.85%)
Лабыч Андрей Николаевич (415 руб., 4.15%)</t>
  </si>
  <si>
    <t>210 950 000</t>
  </si>
  <si>
    <t>jurist@smsc.ru, smscentrxav@yandex.ru</t>
  </si>
  <si>
    <t>https://smsc.ru/</t>
  </si>
  <si>
    <t>Холяпин Александр Владимирович (1 010 000 руб., 100%)</t>
  </si>
  <si>
    <t>304 070 000</t>
  </si>
  <si>
    <t>smt_11@bk.ru; smt_11@bk.ru</t>
  </si>
  <si>
    <t>Ласковец Андрей Викторович (10 000 руб., 100%)</t>
  </si>
  <si>
    <t>12 530 000</t>
  </si>
  <si>
    <t>bshsu@uralkali.com, director.bshsu@uralkali.com</t>
  </si>
  <si>
    <t>www.uralkali.com</t>
  </si>
  <si>
    <t>УРАЛКАЛИЙ, ПАО (677 000 000 руб., 100%)</t>
  </si>
  <si>
    <t>sp-smt@nlmk.com</t>
  </si>
  <si>
    <t>www.smt-nlmk.ru</t>
  </si>
  <si>
    <t>НЛМК, ПАО (539 236 204 руб., 100%)</t>
  </si>
  <si>
    <t>6 680 000</t>
  </si>
  <si>
    <t>almanova@svartr.ru, svarmontag@mtu-net.ru</t>
  </si>
  <si>
    <t>http://www.aosmt.su</t>
  </si>
  <si>
    <t>Беляев Юрий Сергеевич (25%)
Беляева Валентина Яковлевна (25%)
Михайличенко Алексей Матвеевич (22.92%)
Невлер Людмила Михайловна (19.99%)
Михайличенко Сергей Алексеевич (3.55%)</t>
  </si>
  <si>
    <t>764 480 000</t>
  </si>
  <si>
    <t>office@ooosmt.spb.ru</t>
  </si>
  <si>
    <t>https://ooosmt.spb.ru/</t>
  </si>
  <si>
    <t>Руденский Сергей Станиславович (5 000 руб., 50%)
Кочнев Евгений Викторович (2 500 руб., 25%)
Трощенков Сергей Валерьевич (2 500 руб., 25%)</t>
  </si>
  <si>
    <t>398 170 000</t>
  </si>
  <si>
    <t>ЭЙ.ТИ.ДЖИ., АО (10 000 руб., 100%)</t>
  </si>
  <si>
    <t>929 850 000</t>
  </si>
  <si>
    <t>info@smu-1m.ru</t>
  </si>
  <si>
    <t>smu-1m.ru</t>
  </si>
  <si>
    <t>ЭВРОСТРОЙ, ООО (5 100 руб., 51%)
МОСМЕТРОСТРОЙ, АО (4 900 руб., 49%)</t>
  </si>
  <si>
    <t>info@smu-1.su, yerypalov@mail.ru</t>
  </si>
  <si>
    <t>smu-1.su, www.smu-1</t>
  </si>
  <si>
    <t>Колясников Сергей Вячеславович (13 340 руб., 66.70%)
Соломоник Илья Михайлович (6 660 руб., 33.30%)</t>
  </si>
  <si>
    <t>39 750 000</t>
  </si>
  <si>
    <t>cfo_smu12@mail.ru, smu.12@mail.ru</t>
  </si>
  <si>
    <t>МОСМЕТРОСТРОЙ, АО (10 000 руб., 100%)</t>
  </si>
  <si>
    <t>1 410 000</t>
  </si>
  <si>
    <t>gosuslugi@smu161.ru, info@smu161.ru</t>
  </si>
  <si>
    <t>Кузнецов Александр Львович (22 000 руб., 100%)</t>
  </si>
  <si>
    <t>45 390 000</t>
  </si>
  <si>
    <t>akoshtareva@mail.ru, info@smudva.ru</t>
  </si>
  <si>
    <t>смудва.рф</t>
  </si>
  <si>
    <t>Кузнецов Александр Евгеньевич (1 125 000 руб., 37.50%)
Мещеряков Станислав Евгеньевич (750 000 руб., 25%)
Шерстнев Евгений Николаевич (750 000 руб., 25%)
Кузнецов Андрей Евгеньевич (375 000 руб., 12.50%)</t>
  </si>
  <si>
    <t>244 000 000</t>
  </si>
  <si>
    <t>ooosmu-8@mail.ru, smu8.yur@mail.ru</t>
  </si>
  <si>
    <t>alekseenko-vika@inbox.ru, smy-dds@yandex.ru</t>
  </si>
  <si>
    <t>11 380 000</t>
  </si>
  <si>
    <t>ГЛАВСТРОЙ-СПБ СПЕЦИАЛИЗИРОВАННЫЙ ЗАСТРОЙЩИК, ООО (10 000 руб., 100%)</t>
  </si>
  <si>
    <t>solovyeva@spk.ru</t>
  </si>
  <si>
    <t>УПРАВЛЯЮЩАЯ КОМПАНИЯ СПК, АО (397 000 000 руб., 100%)</t>
  </si>
  <si>
    <t>Производство сварных труб</t>
  </si>
  <si>
    <t>987 170 000</t>
  </si>
  <si>
    <t>snabagrohim@mail.ru</t>
  </si>
  <si>
    <t>snabagrohim.ru</t>
  </si>
  <si>
    <t>Старожук Григорий Геннадьевич (730 000 руб., 100%)</t>
  </si>
  <si>
    <t>104 170 000</t>
  </si>
  <si>
    <t>abusurina@regop.ru, alisenkova@regop.ru, do_dmitrov@regop.ru, do_dubna@regop.ru, do_himki@regop.ru, do_korolev@regop.ru, do_mytischi@regop.ru, do_mytischi@regor.ru, do_mytishi@regop.ru, e@e.ru</t>
  </si>
  <si>
    <t>30 320 000</t>
  </si>
  <si>
    <t>snabservis_llc@mail.ru</t>
  </si>
  <si>
    <t>Колмычков Сергей Сергеевич (100 000 руб., 100%)</t>
  </si>
  <si>
    <t>412 490 000</t>
  </si>
  <si>
    <t>Мартемьянов Дмитрий Владимирович (27 000 руб., 100%)</t>
  </si>
  <si>
    <t>486 080 000</t>
  </si>
  <si>
    <t>ooo.sngk2021@gmail.com, stroyneftegaz77@mail.ru</t>
  </si>
  <si>
    <t>Семенчук Лариса Валерьевна (10 000 руб., 100%)</t>
  </si>
  <si>
    <t>1 530 000</t>
  </si>
  <si>
    <t>Кемеровская область - Кузбасс обл, МУНИЦИПАЛЬНОЕ ОБРАЗОВАНИЕ БЕЛОВСКИЙ МУНИЦИПАЛЬНЫЙ ОКРУГ КЕМЕРОВСКОЙ ОБЛАСТИ-КУЗБАССА (n/a)</t>
  </si>
  <si>
    <t>Образование основное общее</t>
  </si>
  <si>
    <t>snph@nptus.ru</t>
  </si>
  <si>
    <t>www.snph.biz</t>
  </si>
  <si>
    <t>283 960 000</t>
  </si>
  <si>
    <t>ekspress@sns.ru</t>
  </si>
  <si>
    <t>sns.ru</t>
  </si>
  <si>
    <t>Соболев Андрей Алексеевич (585 800 000 руб., 58%)
Сметанников Михаил Евгеньевич (424 200 000 руб., 42%)</t>
  </si>
  <si>
    <t>404 410 000</t>
  </si>
  <si>
    <t>info@snck.ru, lavrovana@bsc.sibur.ru</t>
  </si>
  <si>
    <t>snck.ru</t>
  </si>
  <si>
    <t>ГАЗПРОМ НЕФТЕХИМ САЛАВАТ, ООО (300 000 руб., 50%)
СИБУР ХОЛДИНГ, ПАО (300 000 руб., 50%)</t>
  </si>
  <si>
    <t>317 340 000</t>
  </si>
  <si>
    <t>company@snemaservis.ru, os@snemaservis.ru, personal@snemaservis.ru</t>
  </si>
  <si>
    <t>www.snema.ru, www.snemaservis.ru</t>
  </si>
  <si>
    <t>Багаутдинов Альберт Нуриманович (2 390 000 руб., 95.60%)
Бикбулатова Зиля Асимовна (110 000 руб., 4.40%)</t>
  </si>
  <si>
    <t>45 510 000</t>
  </si>
  <si>
    <t>komisarova@surgutneftegas.ru, komissarova_an@surgutneftegas.ru, mail@tvernefteproduct.ru, np-ext@surgutneftegas.ru, thp@dep.tvcom.ru, tmp@dep.tvcom.ru, tnh@dep.tv.com.ru, tnp-ext@surgutneftegas.ru, tnp@dep.tvcjm.ru, tnp@dep.tver.ru</t>
  </si>
  <si>
    <t>tvernefteproduct.ru</t>
  </si>
  <si>
    <t>СУРГУТНЕФТЕГАЗ, ПАО (800 000 руб., 100%)</t>
  </si>
  <si>
    <t>fuel@sovinter.ru, nikulova@sovinter.ru</t>
  </si>
  <si>
    <t>50 770 000</t>
  </si>
  <si>
    <t>kravtsovaev1@sovcombank.ru</t>
  </si>
  <si>
    <t>http://sovcombank-leasing.ru</t>
  </si>
  <si>
    <t>kemerovo@s-g-t.ru</t>
  </si>
  <si>
    <t>s-g-t.ru</t>
  </si>
  <si>
    <t>Даутов Равиль Рожанович (216 000 000 руб., 54%)
Тютюнник Роман Викторович (80 000 000 руб., 20%)
Даутов Равиль Равильевич (36 000 000 руб., 9%)
Слесарев Борис Вячеславович (36 000 000 руб., 9%)
Мерзликин Александр Вячеславович (20 000 000 руб., 5%)
Зырянов Вячеслав Валериевич (12 000 000 руб., 3%)</t>
  </si>
  <si>
    <t>1 026 740 000</t>
  </si>
  <si>
    <t>sov.tec@yandex.ru</t>
  </si>
  <si>
    <t>совтех.рф</t>
  </si>
  <si>
    <t>glavbuh@sovrudnik.ru, ofice@sovrudnik.ru</t>
  </si>
  <si>
    <t>sovrudnik.ru</t>
  </si>
  <si>
    <t>ЮГК, АО (77 987 543 руб., 100%)</t>
  </si>
  <si>
    <t>2 219 780 000</t>
  </si>
  <si>
    <t>general@sovfracht.ru, jeneral@sovfracht.ru, zlygoreva@sovfracht.ru</t>
  </si>
  <si>
    <t>http://www.sovfracht.ru/about/doc, www.sovfracht.ru</t>
  </si>
  <si>
    <t>ishabalin@sovex.ru, tzksovex@sovex.ru, zolotukhina.yus@sovex.ru</t>
  </si>
  <si>
    <t>www.sovex.ru</t>
  </si>
  <si>
    <t>478 240 000</t>
  </si>
  <si>
    <t>info@soglasiesk.ru, jurist@soglasiesk.ru, rabota@soglasiesk.ru, sales@soglasiesk.ru, soglasie_72@mail.ru, tmn@soglasie.ru, tmn@soglasiesk.ru</t>
  </si>
  <si>
    <t>https://soglasiesk.ru/</t>
  </si>
  <si>
    <t>Подойников Павел Петрович (16 502 руб., 100%)</t>
  </si>
  <si>
    <t>78 990 000</t>
  </si>
  <si>
    <t>info@corp.lp-dev.com, info@orientir.ru, payments@orientir.ru, vdi@lgprk.ru</t>
  </si>
  <si>
    <t>Бондарчук Алексей Владимирович (10 000 руб., 100%)</t>
  </si>
  <si>
    <t>51 850 000</t>
  </si>
  <si>
    <t>alexander.zayakin@huhtamaki.com, alia.kharutdinova@huhtamaki.com, info@ru.huhtamaki.com, polar98@orc.ru</t>
  </si>
  <si>
    <t>www.huhtamaki.com, www.huhtamaki.ru</t>
  </si>
  <si>
    <t>КОМПАНИЯ С ОГРАНИЧЕННОЙ ОТВЕТСТВЕННОСТЬЮ ФАЙБЕР ФУДСЕРВИС РАША ХОЛДИНГЗ ОЮ (636 500 040 руб., 95%)
ЧАСТНАЯ КОМПАНИЯ С ОГРАНИЧЕННОЙ ОТВЕТСТВЕННОСТЬЮ "ХУХТАМАКИ ФИНАНС Б.В." (33 499 960 руб., 5%)</t>
  </si>
  <si>
    <t>719 880 000</t>
  </si>
  <si>
    <t>info@sodru.com, s.nizhegorodova@sodru.com</t>
  </si>
  <si>
    <t>www.sodrugestvo.ru</t>
  </si>
  <si>
    <t>СОДРУЖЕСТВО РУС, МКООО (54 661 655 руб., 100%)</t>
  </si>
  <si>
    <t>668 640 000</t>
  </si>
  <si>
    <t>СОДРУЖЕСТВО РУС, МКООО (1 225 010 000 руб., 100%)</t>
  </si>
  <si>
    <t>i.mlynarchik@sodru.com, l.p.stepanova@sodru.com, v.zhernosek@sodru.com</t>
  </si>
  <si>
    <t>813 110 000</t>
  </si>
  <si>
    <t>e.kishchaeva@samolet.ru, info@samoletgroup.ru, zamurueva@samoletgroup.ru</t>
  </si>
  <si>
    <t>goszakupki@socar.com.ru, info@socar.com.ru, socarzakupki@gmail.com</t>
  </si>
  <si>
    <t>STATE OIL COMPANY OF THE AZERBAIJAN REPUBLIC (654 326 300 руб., 100%)</t>
  </si>
  <si>
    <t>КОМПАНИЯ ДИ ЭНД ТИ СОЛАРВОРК ЛИМИТЕД (10 000 руб., 100%)</t>
  </si>
  <si>
    <t>57 910 000</t>
  </si>
  <si>
    <t>КАТЕРПИЛЛАР ЕВРАЗИЯ, ООО (308 000 руб., 2%)</t>
  </si>
  <si>
    <t>948 170 000</t>
  </si>
  <si>
    <t>info@solarllc.ru</t>
  </si>
  <si>
    <t>Заикин Андрей Александрович (155 604 000 руб., 40%)
Казаков Кирилл Валериевич (155 604 000 руб., 40%)
ПРОФЕССИОНАЛЬНЫЕ ИНВЕСТИЦИИ, ООО (77 802 000 руб., 20%)</t>
  </si>
  <si>
    <t>SOLGAR VITAMIN VE SAGLIK URUNLERI SANAYI VE TICARET ANONIM SIRKETI (9 000 000 руб., 90%)
Эртюрк Мурат Хакан (1 000 000 руб., 10%)</t>
  </si>
  <si>
    <t>1 164 240 000</t>
  </si>
  <si>
    <t>solgonskoe@mail.ru, yurist_solgon@mail.ru</t>
  </si>
  <si>
    <t>провинция24.рф</t>
  </si>
  <si>
    <t>885 450 000</t>
  </si>
  <si>
    <t>mkorotina@solenis.com</t>
  </si>
  <si>
    <t>www.ashland.com</t>
  </si>
  <si>
    <t>Solenis Netherlands B.V. (29 705 986.88 руб., 99.98%)
Solenis Netherlands Holdings B.V. (6 755.54 руб., 0.020%)</t>
  </si>
  <si>
    <t>227 640 000</t>
  </si>
  <si>
    <t>129@solid-sibir.ru</t>
  </si>
  <si>
    <t>solid-sibir.ru</t>
  </si>
  <si>
    <t>Ставицкий Евгений Петрович (9 500 000 руб., 95%)
Зенкова Екатерина Владимировна (500 000 руб., 5%)</t>
  </si>
  <si>
    <t>44 870 000</t>
  </si>
  <si>
    <t>info@solid-smolensk.ru</t>
  </si>
  <si>
    <t>КАУБА, ООО (1 000 000 руб., 100%)</t>
  </si>
  <si>
    <t>50 450 000</t>
  </si>
  <si>
    <t>info@solid-tr.ru, strov_oo@solid-tr.ru</t>
  </si>
  <si>
    <t>solid-smolensk.ru, www.solid-tr.ru</t>
  </si>
  <si>
    <t>nadezhda.lazareva@solbum.ru, pavel.volozhaninov@solbum.ru, pochta@solbum.ru, solbum@permonline.ru, solpbum@mail.ru</t>
  </si>
  <si>
    <t>1 068 270 000</t>
  </si>
  <si>
    <t>dtadeusc@fordsollers.ford.com, ov.pozdnuakova@sollers-auto.com, rkhamidu@fordsoller.ford.com, rkhamidu@fordsollers.ford.com, slarin@ford.com</t>
  </si>
  <si>
    <t>www.fordsollers.com</t>
  </si>
  <si>
    <t>СОЛЛЕРС ХОЛДИНГ МЕНЕДЖМЕНТ, ООО (5 474 459 978.25 руб., 99.99%)
СОЛЛЕРС, ПАО (547 500.75 руб., 0.010%)</t>
  </si>
  <si>
    <t>2 378 410 000</t>
  </si>
  <si>
    <t>office@europlast.ru</t>
  </si>
  <si>
    <t>www.europlast.ru</t>
  </si>
  <si>
    <t>749 850 000</t>
  </si>
  <si>
    <t>s.dar@aph-ecoculture.ru</t>
  </si>
  <si>
    <t>ЭКО-КУЛЬТУРА, ООО (7 900 руб., 79%)
Рудаков Александр Сергеевич (1 020 руб., 10.20%)
Ашинова Ирина Викторовна (980 руб., 9.80%)
РСХБ-ФИНАНС, ООО (100 руб., 1%)</t>
  </si>
  <si>
    <t>legal@ssvet.su</t>
  </si>
  <si>
    <t>love-sl.ru, lvsl.ru, sl-love.ru, snlf.ru, sunlight-brilliant.ru, sunlight-rabota-v-kompanii.ru</t>
  </si>
  <si>
    <t>ГРИ, АО (1 325 300 руб., 100%)</t>
  </si>
  <si>
    <t>1 650 400 000</t>
  </si>
  <si>
    <t>office@slz.aspec.ru</t>
  </si>
  <si>
    <t>solomenskiy.ru</t>
  </si>
  <si>
    <t>Питкевич Юрий Степанович (10 000 руб., 100%)</t>
  </si>
  <si>
    <t>1 513 260 000</t>
  </si>
  <si>
    <t>solfer@list.ru</t>
  </si>
  <si>
    <t>solfer.ru</t>
  </si>
  <si>
    <t>Нажметдинов Максим Валерьевич (20 000 руб., 100%)</t>
  </si>
  <si>
    <t>84 470 000</t>
  </si>
  <si>
    <t>c02131@rosomz.ru, hfjfkf@mail.ru, s172@rosomz.ru, s202@rosomz.ru, s790@rosomz.ru, s992@rosomz.ru, sales@rosomz.ru, somz@permonline.ru</t>
  </si>
  <si>
    <t>www.rosomz.ru</t>
  </si>
  <si>
    <t>Колчанов Александр Валерьевич (56.03%)
Колчанов Иван Александрович (29.03%)
Новикова Татьяна Ивановна (0.18%)
Шумейко Ольга Александровна (0.030%)</t>
  </si>
  <si>
    <t>Производство головных защитных уборов и прочих средств защиты</t>
  </si>
  <si>
    <t>103 500 000</t>
  </si>
  <si>
    <t>info@oooskr.ru, oooscr@yandex.ru</t>
  </si>
  <si>
    <t>oooskr.ru</t>
  </si>
  <si>
    <t>Кудлай Николай Николаевич (2 100 000 руб., 100%)</t>
  </si>
  <si>
    <t>8 430 000</t>
  </si>
  <si>
    <t>cic.russia@sony.ru, info@sony.ru</t>
  </si>
  <si>
    <t>www.sony.ru</t>
  </si>
  <si>
    <t>364 730 000</t>
  </si>
  <si>
    <t>Ганцгорн Александр Эдуардович (200 000 руб., 100%)</t>
  </si>
  <si>
    <t>82 440 000</t>
  </si>
  <si>
    <t>Еманов Илья Александрович (100 000 руб., 100%)</t>
  </si>
  <si>
    <t>29 420 000</t>
  </si>
  <si>
    <t>akulenko@zaoskf.ru, eadarina@zaoskf.ru, office_skf@zaoskf.ru, okk@zaoskf.ru, yurist@zaoskf.ru</t>
  </si>
  <si>
    <t>ХОЛДИНГОВАЯ КОМПАНИЯ ОБЪЕДИНЕННЫЕ КОНДИТЕРЫ, АО (75.39%)
ПРОД-ИНВЕСТ, АО (20%)</t>
  </si>
  <si>
    <t>fae@nmgk.ru</t>
  </si>
  <si>
    <t>ПРОФИТ, ООО ПКФ (245 832 359.55 руб., 99.99%)
СЕТАЛ ХОЛДИНГЗ ЛИМИТЕД (SETHAL HOLDINGS LIMITED) (24 394.45 руб., 0.010%)</t>
  </si>
  <si>
    <t>107 030 000</t>
  </si>
  <si>
    <t>breeder@devotedpetfood.ru, copco@copco.ru, glbuh@copco.ru, info.nn@devotedpetfood.ru, info.spb@devotedpetfood.ru, info@devotedpetfood.ru, sorso2004@mail.ru</t>
  </si>
  <si>
    <t>copco.ru, www.sorso.ru</t>
  </si>
  <si>
    <t>Сильвестров Алексей Сергеевич (100 000 руб., 100%)</t>
  </si>
  <si>
    <t>69 640 000</t>
  </si>
  <si>
    <t>anna.menshova@chelpipe.ru, sot@sot.chtpz-kts.ru</t>
  </si>
  <si>
    <t>www.soudal.ru</t>
  </si>
  <si>
    <t>"СОУДАЛ ХОЛДИНГ" АНОНИМНОЕ АКЦИОНЕРНОЕ ОБЩЕСТВО (10 000 руб., 100%)</t>
  </si>
  <si>
    <t>tcsof@tcsof.ru</t>
  </si>
  <si>
    <t>Лупинос Игорь Владимирович (10 000 руб., 100%)</t>
  </si>
  <si>
    <t>49 100 000</t>
  </si>
  <si>
    <t>kulagina.natalia@dalwest.com</t>
  </si>
  <si>
    <t>КАПЕР, ООО (508 000 руб., 98.07%)
ТРАЛФЛОТ, АО (9 999 руб., 1.93%)</t>
  </si>
  <si>
    <t>264 760 000</t>
  </si>
  <si>
    <t>СОФТЛАЙН ИНТЕРНЕЙШНЛ, ЗАО (10 000 руб., 100%)</t>
  </si>
  <si>
    <t>23 090 000</t>
  </si>
  <si>
    <t>info@softline.ru, marina.koroleva@allsoft.ru</t>
  </si>
  <si>
    <t>www.softline.ru</t>
  </si>
  <si>
    <t>anastasiya.smolyaninova@softlinegroup.com, artur.sinyugin@softline.com, dmitriy.manukovskiy@softline.com, ekaterina.bokova@softlinegroup.com, ekaterina.martynova@softline.com, evgeniy.popov@softline.ru, gennadiy.kopaev@softline.ru, jkll.789@mail.ru, korzhova@softline.com, maxim.isaev@softline.ru</t>
  </si>
  <si>
    <t>softline.ru</t>
  </si>
  <si>
    <t>Боровиков Игорь Павлович (10 000 руб., 100%)</t>
  </si>
  <si>
    <t>15 940 000</t>
  </si>
  <si>
    <t>aleksandra.kusakina@softline.com, alexander.mospan@softline.com, alexander.shimanskiy@softline.com, alexander.vysotin@softline.com, alexandra.martynenko@softline.com, anastasiya.dudoladova@softline.cjm, anastasiya.dudoladova@softline.com, anastasiya.smolyaninova@softline.com, corporate@softline.com, darya.kireeva@softline.com</t>
  </si>
  <si>
    <t>АТАЛАЙЯ, ООО (100%)</t>
  </si>
  <si>
    <t>info@sochi-park.ru, jpp09@mail.ru</t>
  </si>
  <si>
    <t>ЮГ-БИЗНЕСПАРТНЕР, ООО (650 778 600 руб.)</t>
  </si>
  <si>
    <t>Деятельность парков культуры и отдыха и тематических парков</t>
  </si>
  <si>
    <t>www.soenergo.ru</t>
  </si>
  <si>
    <t>Краснов Евгений Владимирович (10 000 000 руб., 100%)</t>
  </si>
  <si>
    <t>401 880 000</t>
  </si>
  <si>
    <t>1@mail.ru, dsu.37@mail.ru, dsu1@mail.ru, iv@mail.ru, ivanovo-dsu1@mail.ru, ivanovo-dsu@mail.ru, ivdsu-ur@mail.ru, ivdsu1_37@mail.ru, konkurs-dsu1@mail.ru</t>
  </si>
  <si>
    <t>dsu1.ru</t>
  </si>
  <si>
    <t>Комков Александр Андреевич (2 000 000 руб., 100%)</t>
  </si>
  <si>
    <t>326 030 000</t>
  </si>
  <si>
    <t>КОМПАНИЯ С ОГРАНИЧЕННОЙ ОТВЕТСТВЕННОСТЬЮ ЭДПАЛ ЛИМИТЕД (1 955 689 349.04 руб., 100%)
МАРКЕТ, ООО (200 руб.)</t>
  </si>
  <si>
    <t>2142425@inbox.ru</t>
  </si>
  <si>
    <t>Мухина Светлана Ивановна (10 000 руб., 100%)</t>
  </si>
  <si>
    <t>295 480 000</t>
  </si>
  <si>
    <t>info@soyuz-vino.ru</t>
  </si>
  <si>
    <t>Втулкин Владислав Михайлович (418 463 353.81 руб., 69.73%)
Втулкина Юлия Анатольевна (179 555 766.54 руб., 29.92%)
ФЕРМЕРСКОЕ ВИНО, ООО (2 111 111.11 руб., 0.35%)</t>
  </si>
  <si>
    <t>timurbelyaev@gmail.com</t>
  </si>
  <si>
    <t>https://www.souz-logist.ru/</t>
  </si>
  <si>
    <t>ГК СОЮЗ-РЕГИОН, ООО (562 500 руб., 45%)
ГРАНИТ, ООО УК (562 500 руб., 45%)
Беляев Тимур Ханифович (125 000 руб., 10%)</t>
  </si>
  <si>
    <t>20 990 000</t>
  </si>
  <si>
    <t>natalyd@ptk-sp.ru</t>
  </si>
  <si>
    <t>Фендель Владимир Викторович (33 340 руб., 33.34%)
Минин Виталий Александрович (33 330 руб., 33.33%)
Фендель Юрий Викторович (33 330 руб., 33.33%)</t>
  </si>
  <si>
    <t>28 030 000</t>
  </si>
  <si>
    <t>batanina_lv@pspcom.ru, info@pspcom.ru, info@soyuz-centre.ru, market@psp.maxnet.ru</t>
  </si>
  <si>
    <t>www.pspcom.ru</t>
  </si>
  <si>
    <t>ПГ СОЮЗ, ООО (47 417 000 руб., 100%)</t>
  </si>
  <si>
    <t>agropro@mail.ru</t>
  </si>
  <si>
    <t>s-ah.ru</t>
  </si>
  <si>
    <t>АГРОПРО, ООО (5 000 руб., 25%)
Першиков Сергей Геннадьевич (5 000 руб., 25%)
Петелин Александр Александрович (5 000 руб., 25%)
СОЮЗАГРОХИМ, ООО (5 000 руб., 25%)</t>
  </si>
  <si>
    <t>243 340 000</t>
  </si>
  <si>
    <t>2298772@mail.ru, mayalkom@bk.ru, olga.bat76@mail.ru, souzdonstroi@gmail.com</t>
  </si>
  <si>
    <t>https://soyuzdonstroy.ru/</t>
  </si>
  <si>
    <t>Борцов Сергей Михайлович (1 015 000 руб., 100%)</t>
  </si>
  <si>
    <t>ФИНАНСОВЫЕ АКТИВЫ, АО УК (9 900 руб., 99%)
Антонов Сергей Александрович (100 руб., 1%)</t>
  </si>
  <si>
    <t>a.illarionov@soyuzopttorg.com, office@soyuzopttorg.ru</t>
  </si>
  <si>
    <t>www.soyuzopttorg.com</t>
  </si>
  <si>
    <t>Постников Александр Владимирович (10 444 руб., 52.22%)
Грызин Олег Геннадьевич (6 944 руб., 34.72%)
Ненастьев Михаил Владиславович (2 112 руб., 10.56%)
Сапегин Андрей Анатольевич (500 руб., 2.50%)</t>
  </si>
  <si>
    <t>480 740 000</t>
  </si>
  <si>
    <t>souzpack@souzpack.ru</t>
  </si>
  <si>
    <t>https://www.souzpack.ru/</t>
  </si>
  <si>
    <t>НОВА РОЛЛ-С, ООО (25 000 руб., 100%)</t>
  </si>
  <si>
    <t>afonina@ssnab.ru, ashah.k@info.ssnab.ru, belova.vv@info.ssnab.ru, branislav@ssnab.ru, daferma@ssnab.ru, gulmez.e@info.ssnab.ru, info@ssnab.de, mail@ssnab.ru, pr@ssnab.ru, santanuchattaraj.dadamoni@gmail.com</t>
  </si>
  <si>
    <t>80 890 000</t>
  </si>
  <si>
    <t>93367088@specodegda.ru, 9336801@specodegda.ru, cirozidi.v@specodegda.ru, client@specodegda.ru, hotline@specodegda.ru, snab@specodegda.ru, specodegda19@yandex.ru, tender@specodegda.ru</t>
  </si>
  <si>
    <t>Гамшеев Юрий Викторович (1 150 000 руб., 100%)</t>
  </si>
  <si>
    <t>150 910 000</t>
  </si>
  <si>
    <t>e.shakuro@ankhold.ru</t>
  </si>
  <si>
    <t>жемчужинаамура.рф</t>
  </si>
  <si>
    <t>Инюточкин Степан Павлович (122 235 574 руб., 100%)</t>
  </si>
  <si>
    <t>Производство рафинированного соевого масла и его фракций</t>
  </si>
  <si>
    <t>mail@autobahn-group.com</t>
  </si>
  <si>
    <t>www.autobahn-group.com</t>
  </si>
  <si>
    <t>Цахариас Вальтер (10 200 000 руб., 51%)
Мартин Манфред Эрих (7 000 000 руб., 35%)
Еремеева Татьяна Сергеевна (2 000 000 руб., 10%)
Цветкова Надежда Олеговна (800 000 руб., 4%)</t>
  </si>
  <si>
    <t>644 610 000</t>
  </si>
  <si>
    <t>clients.tcr@toyotabc.ru, ehrustalev@toyotabc.ru, info.tclo@toyotabc.ru, info.tcsb@toyotabc.ru, info@dba-russia.ru, info@lexusbc.ru, ptrofimov@business-car.ru, team@academy-bc.ru, tradein-bc@business-car.ru, valenichev@toyotabc.ru</t>
  </si>
  <si>
    <t>www.business-car.ru, www.lexusbc.ru, www.toyotabc.ru</t>
  </si>
  <si>
    <t>ТОЙОТА ЦУСЁ КОРПОРЕЙШН (658 776 941 руб., 94%)
Пименов Илья Александрович (21 024 796 руб., 3%)
Терещенко Алексей Александрович (21 024 796 руб., 3%)</t>
  </si>
  <si>
    <t>2 102 270 000</t>
  </si>
  <si>
    <t>info@imperial-hotel.org</t>
  </si>
  <si>
    <t>imperial-hotel.org</t>
  </si>
  <si>
    <t>Майер Александр Александрович (73 726 534.82 руб., 81.74%)
Майер Александр Александрович (3 965 834.21 руб., 4.40%)
Майер Лариса Александровна (3 965 834.21 руб., 4.40%)
Майер Неля Яковлевна (3 965 834.21 руб., 4.40%)
Финогеев Алексей Александрович (915 192.51 руб., 1.01%)
Чугунов Виталий Владимирович (915 192.51 руб., 1.01%)
Чугунова Ирма Давидовна (915 192.51 руб., 1.01%)
Ярош Руслан Вячеславович (915 192.51 руб., 1.01%)
Майер Игорь Эдуардович (610 128.34 руб., 0.68%)
Завизион Ирина Борисовна (305 064.17 руб., 0.34%)</t>
  </si>
  <si>
    <t>ardamakovds@granifert.net</t>
  </si>
  <si>
    <t>КУЙБЫШЕВАЗОТ, ПАО (777 400 000 руб., 100%)</t>
  </si>
  <si>
    <t>53 330 000</t>
  </si>
  <si>
    <t>danilyukdr@mecamineft.com, mecamineft@mecamineft.info, mekamin@megion.wsnet.ru, tataurovaav@mecamineft.com</t>
  </si>
  <si>
    <t>1 215 730 000</t>
  </si>
  <si>
    <t>a.yamashkin@praktika.moscow, info@praktika.moscow</t>
  </si>
  <si>
    <t>sp-praktika.ru</t>
  </si>
  <si>
    <t>ПЕРСПЕКТИВА, ООО (950 000 руб., 95%)
Согбатян Вера Арзумановна (50 000 руб., 5%)</t>
  </si>
  <si>
    <t>509 300 000</t>
  </si>
  <si>
    <t>spk.urogay@yandex.ru</t>
  </si>
  <si>
    <t>Рафикова Гульнара Азатовна (48 450.93 руб., 99.68%)
Рафикова Римма Ризвановна (156.07 руб., 0.32%)</t>
  </si>
  <si>
    <t>542 140 000</t>
  </si>
  <si>
    <t>krilova2008@rambler.ru, l.j.doroshenko@stroypark.su, o.i.kolmogorova@stroypark.su</t>
  </si>
  <si>
    <t>СТРОЙ ПАРК, ООО (10 000 руб., 100%)</t>
  </si>
  <si>
    <t>239 840 000</t>
  </si>
  <si>
    <t>УК РОЗНИЦА, ООО (515 100 руб., 51%)
Гусев Альберт Геннадьевич (494 900 руб., 49%)</t>
  </si>
  <si>
    <t>110 330 000</t>
  </si>
  <si>
    <t>callspar@spartula.ru, callspar@yandex.ru, info@site.ru, info@спардоставка71.рф, norma71pk@gmail.com</t>
  </si>
  <si>
    <t>spartula.ru</t>
  </si>
  <si>
    <t>Белобрагин Антон Витальевич (1 590 000 руб., 100%)</t>
  </si>
  <si>
    <t>Хапова Моника Николаевна (470 000 руб., 100%)</t>
  </si>
  <si>
    <t>355 050 000</t>
  </si>
  <si>
    <t>2885283@mail.ru, diaman2711@mail.ru, diamant2711@mail.ru</t>
  </si>
  <si>
    <t>Черных Александр Олегович (500 000 руб., 50%)
Черных Анна Александровна (500 000 руб., 50%)</t>
  </si>
  <si>
    <t>Торговля оптовая древесным сырьем и необработанными лесоматериалами</t>
  </si>
  <si>
    <t>48 300 000</t>
  </si>
  <si>
    <t>stroytranscom@yandex.ru</t>
  </si>
  <si>
    <t>Нурутдинов Ханмурза Мусалтдинович (500 000 руб., 50%)
Умаров Сабир Садыкович (500 000 руб., 50%)</t>
  </si>
  <si>
    <t>453 640 000</t>
  </si>
  <si>
    <t>ak@stktubes.ru</t>
  </si>
  <si>
    <t>severtruba.ru, www.stktubes.ru</t>
  </si>
  <si>
    <t>568 910 000</t>
  </si>
  <si>
    <t>ermolenko@spasskcement.ru, oo@spasskcement.ru, teplocem@tocz.ru, tolmakovsv@spasskcement.ru, zhulinskaya@vostokcement.ru</t>
  </si>
  <si>
    <t>www.vostokcement.ru</t>
  </si>
  <si>
    <t>1 437 740 000</t>
  </si>
  <si>
    <t>kuznetsova@spbren.ru, ofice@spbren.ru</t>
  </si>
  <si>
    <t>spbren.ru</t>
  </si>
  <si>
    <t>САМОЛЕТ-РЕГИОНЫ, ООО (100 000 руб., 100%)</t>
  </si>
  <si>
    <t>office@print.spb.ru, okruglova@print.spb.ru, ykuznetsova@print.spb.ru</t>
  </si>
  <si>
    <t>www.print.spb.ru</t>
  </si>
  <si>
    <t>18 590 000</t>
  </si>
  <si>
    <t>fd@spbcdg.ru, mysnik.i.n@spbcdg.ru, talkspb@yandex.ru, zakaz@spbcdg.ru</t>
  </si>
  <si>
    <t>http://gorcenter.spb.ru/, www.ipoteka.spb.ru</t>
  </si>
  <si>
    <t>info@spbpms.com</t>
  </si>
  <si>
    <t>Бикмурзин Ринад Хайдарович (n/a)</t>
  </si>
  <si>
    <t>td-spg.ru</t>
  </si>
  <si>
    <t>СПГ, АО (1 000 000 руб., 100%)</t>
  </si>
  <si>
    <t>33 420 000</t>
  </si>
  <si>
    <t>byt@spges.ru, polikarpova.uv@spgs.ru, pronyaeva.tv@spgs.ru, snp@spgs.ru, spges@san.ru, webadmin@spgs.ru</t>
  </si>
  <si>
    <t>spgs.ru</t>
  </si>
  <si>
    <t>cbyt@spgs.ru, fedorova.ik@spgs.ru, info@spgs.ru, notification@spges.ru, ogotdel@mail.ru, oo@spges.ru, potreblenie@sges.ru, ro@spgs.ru, sbit@spges.ru, sbit@spgs.ru</t>
  </si>
  <si>
    <t>spges.ru</t>
  </si>
  <si>
    <t>ТРАНСЭНЕРГОСЕРВИС, ООО (16 990 000 руб., 33.98%)
ИНВЕСТЭНЕРГО, ООО (16 500 000 руб., 33%)
ЭНЕРГОКОМ, ООО (16 500 000 руб., 33%)
Пименова Елена Николаевна (10 000 руб., 0.020%)</t>
  </si>
  <si>
    <t>87 810 000</t>
  </si>
  <si>
    <t>info@spd.ru</t>
  </si>
  <si>
    <t>ГПН-БЛИЖНЕВОСТОЧНЫЕ ПРОЕКТЫ, ООО (4 332 060 руб., 50%)
ГПН-САЛЫМСКИЕ ПРОЕКТЫ, ООО (4 332 060 руб., 50%)</t>
  </si>
  <si>
    <t>ilinovaea.buh@relef.ru</t>
  </si>
  <si>
    <t>Мягков Олег Евгеньевич (10 000 руб., 100%)</t>
  </si>
  <si>
    <t>156 890 000</t>
  </si>
  <si>
    <t>pr@specta.ru, specta@specta.ru, spekta@spekta.ru</t>
  </si>
  <si>
    <t>www.specta.ru</t>
  </si>
  <si>
    <t>СПЕКТА ГРУП АГ (92 000 руб., 100%)</t>
  </si>
  <si>
    <t>38 450 000</t>
  </si>
  <si>
    <t>musaelyan.vagan001@yandex.ru</t>
  </si>
  <si>
    <t>spectretrade.ru</t>
  </si>
  <si>
    <t>Мусаелян Ваган Арегович (10 000 руб., 100%)</t>
  </si>
  <si>
    <t>krotkova@milkexim.ru, spectr@milkexim.ru, suprinova@milkexim.ru, vera.p@mail.ru</t>
  </si>
  <si>
    <t>milkexim.ru</t>
  </si>
  <si>
    <t>Микитичева Наталия Борисовна (100 000 руб., 100%)</t>
  </si>
  <si>
    <t>58 200 000</t>
  </si>
  <si>
    <t>i.geriya@delfinrus.com</t>
  </si>
  <si>
    <t>ИЮНЬСКИЙ, АО (12 000 руб., 100%)</t>
  </si>
  <si>
    <t>cpektrum@mail.ru</t>
  </si>
  <si>
    <t>КОНТУР, ООО (5 000 000 руб., 100%)</t>
  </si>
  <si>
    <t>192 450 000</t>
  </si>
  <si>
    <t>shmonin@spgr.ru, spectrum@spgr.ru</t>
  </si>
  <si>
    <t>www.spectrum-group.ru</t>
  </si>
  <si>
    <t>И.СИ.ЭМ.ЭЙЧ. ИНЖИНИРИНГ КОНСТРАКШН МЕНЕДЖМЕНТ ХОЛДИНГС ЛТД (3 240 000 руб., 72%)
СПЕКТРУМ-ХОЛДИНГ, ООО (1 170 000 руб., 26%)
Иванов Владимир Филиппович (90 000 руб., 2%)</t>
  </si>
  <si>
    <t>4 150 000</t>
  </si>
  <si>
    <t>admin@sabekb.ru, asbest@sabekb.ru, cpecs@mail.ru, ekb.dogovor@sab.ru, mail@ezocm.ru, orlov072015@yandex.ru, regoperator@sab.ekb.ru, sab@ekb.ru, sab@sab-ekb.ru, sab@sab.ekb.ru</t>
  </si>
  <si>
    <t>sab-ekb.ru</t>
  </si>
  <si>
    <t>Свердловская обл, ГОРОД ЕКАТЕРИНБУРГ (47 600 000 руб., 100%)</t>
  </si>
  <si>
    <t>sgts2016@bk.ru</t>
  </si>
  <si>
    <t>sgts-ufa.ru</t>
  </si>
  <si>
    <t>Яловега Руслан Васильевич (10 000 руб., 100%)</t>
  </si>
  <si>
    <t>tender@specgastrans.ru</t>
  </si>
  <si>
    <t>specgastrans.ru</t>
  </si>
  <si>
    <t>87 660 000</t>
  </si>
  <si>
    <t>a.val@spetsdor.ru, info@spetsdor.ru</t>
  </si>
  <si>
    <t>ГРИНТЕХ, АО (750 000 руб., 75%)
ШВАБЕ, АО (250 000 руб., 25%)</t>
  </si>
  <si>
    <t>636 110 000</t>
  </si>
  <si>
    <t>АЛЬТЕРА КАПИТАЛ, ООО (100 000 000 руб., 100%)</t>
  </si>
  <si>
    <t>884 900 000</t>
  </si>
  <si>
    <t>kssk@pisem.net</t>
  </si>
  <si>
    <t>ПИК-ИНВЕСТПРОЕКТ, ООО (11 078 000 руб., 100%)</t>
  </si>
  <si>
    <t>5 330 000</t>
  </si>
  <si>
    <t>МОСИНЖПРОЕКТ, АО (2 170 965 000 руб., 99.99%)
МИП-АКТИВ, ООО (10 000 руб., 0.00050%)</t>
  </si>
  <si>
    <t>info@3-red.com</t>
  </si>
  <si>
    <t>ОПТИМА ИНВЕСТ, ООО (20 000 руб., 100%)</t>
  </si>
  <si>
    <t>lzcmik_buh@mail.ru</t>
  </si>
  <si>
    <t>330 700 000</t>
  </si>
  <si>
    <t>dovzhenko.uv@lsrgroup.ru; eliseeva.eo@lsrgroup.ru; dregval.sa@lsrgroup.ru</t>
  </si>
  <si>
    <t>СПЕЦИАЛИЗИРОВАННЫЙ ЗАСТРОЙЩИК ЛСР. НЕДВИЖИМОСТЬ-УРАЛ, АО (459 954 000 руб., 99.99%)
ГРУППА ЛСР, ПАО (46 000 руб., 0.010%)</t>
  </si>
  <si>
    <t>207 820 000</t>
  </si>
  <si>
    <t>mstroymoscow.ru</t>
  </si>
  <si>
    <t>ПИК-ИНВЕСТПРОЕКТ, ООО (321 777 900 руб., 99.90%)
ПИК-СТРОЙИНВЕСТ, ООО (322 100 руб., 0.10%)</t>
  </si>
  <si>
    <t>121 560 000</t>
  </si>
  <si>
    <t>21222432@gk-mic.ru, daromir@yandex.ru</t>
  </si>
  <si>
    <t>МИЦ РЕГИОН, ООО (1 600 010 000 руб., 100%)</t>
  </si>
  <si>
    <t>m.pankrateva@otdelstroy.spb.ru, secretar@otdelstroy.spb.ru</t>
  </si>
  <si>
    <t>www.otdelstroy.spb.ru</t>
  </si>
  <si>
    <t>Окунь Марк Леонидович (400 010 000 руб., 100%)</t>
  </si>
  <si>
    <t>98 720 000</t>
  </si>
  <si>
    <t>СИМ СТ, АО (675 812 000 руб., 100%)</t>
  </si>
  <si>
    <t>1 000 490 000</t>
  </si>
  <si>
    <t>agapov@gsi.ru, shchurov.alex61@mail.ru</t>
  </si>
  <si>
    <t>pik-region.ru</t>
  </si>
  <si>
    <t>ПИК-ИНВЕСТПРОЕКТ, ООО (10 033 400 000 руб.)</t>
  </si>
  <si>
    <t>2 239 130 000</t>
  </si>
  <si>
    <t>primepark.ru</t>
  </si>
  <si>
    <t>КОМПАНИЯ АРЦИНА ИНВЕСТМЕНТ КОРП (461 123 310 руб., 57.64%)
КОМПАНИЯ "АДВЕНТУРА КАПИТАЛ ИНК." (338 386 200 руб., 42.30%)
Степанян Гагик Генрихович (490 490 руб., 0.060%)</t>
  </si>
  <si>
    <t>4 047 390 000</t>
  </si>
  <si>
    <t>ОПТИМА ИНВЕСТ, ООО (5 000 руб., 50%)
ТУРРИС ИНВЕСТ, ООО (5 000 руб., 50%)</t>
  </si>
  <si>
    <t>development@sinara-group.com, gnilokvasmv@sinara-group.com</t>
  </si>
  <si>
    <t>sinara-development.ru</t>
  </si>
  <si>
    <t>СД-ФИНАНС, ООО (929 428 299 руб., 100%)</t>
  </si>
  <si>
    <t>198 060 000</t>
  </si>
  <si>
    <t>ГК САМОЛЕТ, ПАО (5 776 руб., 57.76%)
АРДИАЙ ИНЖИНИРИНГ, ООО (4 224 руб., 42.24%)</t>
  </si>
  <si>
    <t>rassvetvik.ru</t>
  </si>
  <si>
    <t>ВИКТОР И КО ЦУК, ООО (2 000 000 руб., 100%)</t>
  </si>
  <si>
    <t>547 780 000</t>
  </si>
  <si>
    <t>solomatrina@stroytrest.spb.ru, zagorod@trestspb.ru</t>
  </si>
  <si>
    <t>7 660 000</t>
  </si>
  <si>
    <t>galkhovma@tvestspb.ru, solomatkina@stroytrest.spb.ru</t>
  </si>
  <si>
    <t>СПЕЦИАЛИЗИРОВАННЫЙ ЗАСТРОЙЩИК СТРОИТЕЛЬНЫЙ ТРЕСТ, АО (150 000 000 руб., 100%)</t>
  </si>
  <si>
    <t>153 770 000</t>
  </si>
  <si>
    <t>chel@russteels.ru, gerasimenko@russteels.ru, info@russteels.ru, tender260276@russteels.ru</t>
  </si>
  <si>
    <t>russteels.ru</t>
  </si>
  <si>
    <t>Сериков Семен Сергеевич (10 000 руб., 100%)</t>
  </si>
  <si>
    <t>680 850 000</t>
  </si>
  <si>
    <t>Абрамкин Александр Владимирович (200 000 руб., 100%)</t>
  </si>
  <si>
    <t>info@spetscompany.com</t>
  </si>
  <si>
    <t>spetscompany.ru</t>
  </si>
  <si>
    <t>Серебрякова Наталья Дмитриевна (150 000 руб., 100%)</t>
  </si>
  <si>
    <t>30 740 000</t>
  </si>
  <si>
    <t>Качанович Александр Николаевич (5 000 руб., 50%)
Логовой Иван Иванович (5 000 руб., 50%)</t>
  </si>
  <si>
    <t>zakupki@specmetallchel.ru</t>
  </si>
  <si>
    <t>specmetallchel.ru</t>
  </si>
  <si>
    <t>Каримова Ирина Рамилевна (10 000 000 руб., 100%)</t>
  </si>
  <si>
    <t>120 450 000</t>
  </si>
  <si>
    <t>smm51@mail.ru, spetsmetmontag@mail.ru</t>
  </si>
  <si>
    <t>Елфимова Клара Валерьевна (150 000 руб., 100%)</t>
  </si>
  <si>
    <t>25 450 000</t>
  </si>
  <si>
    <t>www.admitad.com</t>
  </si>
  <si>
    <t>Карпов Григорий Алексеевич (1 022 017.5 руб., 98%)
ОБЩЕСТВО С ОГРАНИЧЕННОЙ ОТВЕТСТВЕННОСТЬЮ "АДМИТАД" (20 857.5 руб., 2%)</t>
  </si>
  <si>
    <t>barnaul@spets.ru, esarkisova@spets.ru, krasnodar@spets.ru, mail@spets.ru, novosibirsk@spets.ru, snab@spets.ru, vpolyashova@spets.ru</t>
  </si>
  <si>
    <t>www.spets.ru</t>
  </si>
  <si>
    <t>Дегтярев Анатолий Иванович (5 000 000 руб., 100%)</t>
  </si>
  <si>
    <t>164 690 000</t>
  </si>
  <si>
    <t>info@saboland.ru</t>
  </si>
  <si>
    <t>www.saboland.ru</t>
  </si>
  <si>
    <t>Пономарчук Никита Владимирович (20 000 000 руб., 100%)</t>
  </si>
  <si>
    <t>411 590 000</t>
  </si>
  <si>
    <t>migacheva@spetsproekt.ru, office@spetsproekt.ru</t>
  </si>
  <si>
    <t>sppr2.ru</t>
  </si>
  <si>
    <t>Комиссарова Елена Михайловна (6 626 400 руб., 50.20%)
Боброва Влада Борисовна (2 904 000 руб., 22%)
Спицын Алексей Юрьевич (2 376 000 руб., 18%)
Бердник Михаил Стефанович (1 293 600 руб., 9.80%)</t>
  </si>
  <si>
    <t>166 050 000</t>
  </si>
  <si>
    <t>spalliance@mail.ru</t>
  </si>
  <si>
    <t>Аристов Александр Витальевич (40 000 руб., 100%)</t>
  </si>
  <si>
    <t>990 230 000</t>
  </si>
  <si>
    <t>info@speccitystroy.ru</t>
  </si>
  <si>
    <t>speccitystroy.ru</t>
  </si>
  <si>
    <t>ГРУППА КОМПАНИЙ 1520, ООО (5 250 руб., 50%)
Овечкин Алексей Павлович (5 250 руб., 50%)</t>
  </si>
  <si>
    <t>1 121 730 000</t>
  </si>
  <si>
    <t>info@arctile.ru, info@fancorstroy.ru, info@s-dom71.ru, info@sptr.ru, info@temaa.ru, vidi.stroy@mail.ru</t>
  </si>
  <si>
    <t>sptr.ru</t>
  </si>
  <si>
    <t>Червяков Владимир Викторович (20 000 руб., 100%)</t>
  </si>
  <si>
    <t>ssmontazh@gmail.com</t>
  </si>
  <si>
    <t>Сарамуд Евгений Васильевич (500 000 руб., 100%)</t>
  </si>
  <si>
    <t>628 150 000</t>
  </si>
  <si>
    <t>fantom-vl@mail.ru, spetssu@bk.ru</t>
  </si>
  <si>
    <t>www.dvreestr.vl.ru</t>
  </si>
  <si>
    <t>41 990 000</t>
  </si>
  <si>
    <t>info@tgru.ru</t>
  </si>
  <si>
    <t>www.spectransgarant.ru</t>
  </si>
  <si>
    <t>СГ-ТРАНС, АО (6 000 000 руб., 100%)</t>
  </si>
  <si>
    <t>576 150 000</t>
  </si>
  <si>
    <t>info@stgcompany.org</t>
  </si>
  <si>
    <t>https://stgcompany.org/</t>
  </si>
  <si>
    <t>Махмудов Мурат Басырович (700 000 руб., 100%)</t>
  </si>
  <si>
    <t>87 740 000</t>
  </si>
  <si>
    <t>103@komtrans24.ru, 645185@mail.ru</t>
  </si>
  <si>
    <t>Буторов Иван Владимирович (5 000 руб., 50%)
Ковалев Алексей Владимирович (5 000 руб., 50%)</t>
  </si>
  <si>
    <t>149 840 000</t>
  </si>
  <si>
    <t>info@segrup.ru</t>
  </si>
  <si>
    <t>www.ssegrup.ru</t>
  </si>
  <si>
    <t>МСК ЭНЕРГО, АО (9 900 руб., 99%)
ПЬЕДЕСТАЛ УСПЕХА, АО (100 руб., 1%)</t>
  </si>
  <si>
    <t>28 880 000</t>
  </si>
  <si>
    <t>office@se-trans.ru</t>
  </si>
  <si>
    <t>se-trans.ru</t>
  </si>
  <si>
    <t>ПМПГ, ООО (30 000 000 руб., 100%)</t>
  </si>
  <si>
    <t>a.golovin@tus.ru, info@tus.ru, uk-tys@transugstroy.com</t>
  </si>
  <si>
    <t>tus-pgs.ru</t>
  </si>
  <si>
    <t>Антипова Татьяна Николаевна (76 400 000 руб., 100%)</t>
  </si>
  <si>
    <t>ap.kurnikov@mail.ru, kornikovsar@mail.ru</t>
  </si>
  <si>
    <t>td-kurnikov.ru</t>
  </si>
  <si>
    <t>Мнацаканян Армен Жораевич (100 000 руб., 100%)</t>
  </si>
  <si>
    <t>82 450 000</t>
  </si>
  <si>
    <t>spk@spk.perm.ru</t>
  </si>
  <si>
    <t>spk.perm.ru</t>
  </si>
  <si>
    <t>avoloshuk@svrpk.ru, elisovav@svrpk.ru, gmazeina@mail.ru, svrpk@svrw.ru</t>
  </si>
  <si>
    <t>www.svrpk.ru</t>
  </si>
  <si>
    <t>1008@mailspk.ru, borisov@spk.ru, info@krsn.spk.ru, noreply@spk.ru, spk@spk.ru, stalprom196@mail.ru</t>
  </si>
  <si>
    <t>12 900 070 000</t>
  </si>
  <si>
    <t>spc-paint.ru</t>
  </si>
  <si>
    <t>ЧАСТНАЯ КОМПАНИЯ С ОГРАНИЧЕННОЙ ОТВЕТСТВЕННОСТЬЮ "СТАЛЬ ПРОТЕКТ КОЛОР ЕВРОПА АБ" (10 000 руб., 100%)</t>
  </si>
  <si>
    <t>1 520 000</t>
  </si>
  <si>
    <t>rmpr@rmpr.ru, spk@rmpr.ru, spk@spk-nsk.ru</t>
  </si>
  <si>
    <t>big-sos.ru, bigsos.ru, elicatesse.ru, spkmarket.ru, большаясосиска.рф, мясоалтай.рф</t>
  </si>
  <si>
    <t>РМП-ХОЛДИНГ, ООО (400 000 000 руб., 93.64%)
Зенков Алексей Александрович (13 587 100 руб., 3.18%)
Зенков Николай Александрович (13 587 100 руб., 3.18%)</t>
  </si>
  <si>
    <t>134 500 000</t>
  </si>
  <si>
    <t>spk-mag.ru</t>
  </si>
  <si>
    <t>Абдуллин Наиль Мулахметович (467 500 руб., 93.50%)
Бачин Алексей Геннадьевич (25 000 руб., 5%)
СПК-МАГИСТРАЛЬ, ООО (7 500 руб., 1.50%)</t>
  </si>
  <si>
    <t>43 510 000</t>
  </si>
  <si>
    <t>direktor@spk-ug.ru, kolya77708@mail.ru, spk-ug17@bk.ru</t>
  </si>
  <si>
    <t>Гарибян Геннадий Вячеславович (420 000 руб., 100%)</t>
  </si>
  <si>
    <t>55 180 000</t>
  </si>
  <si>
    <t>deberdeeva@splat.ru, office@splat.ru, welcome@biomio.ru</t>
  </si>
  <si>
    <t>Белоус Елена Юрьевна (526 411.838 руб., 46.20%)
Демин Евгений Валерьевич (520 714.978 руб., 45.70%)
СПЛАТ, ООО (43 822 руб., 3.84%)
Железнов Андрей Юрьевич (34 181.324 руб., 3%)
Злобин Александр Васильевич (8 545 руб., 0.75%)
Селиверстов Алексей Александрович (5 696.86 руб., 0.50%)</t>
  </si>
  <si>
    <t>719 340 000</t>
  </si>
  <si>
    <t>ved@splat.ru</t>
  </si>
  <si>
    <t>КОМПАНИЯ "АЙ. КЬЮ. АР. ИНВЕСТМЕНТ ЛТД." (40 010 000 руб., 50%)
СПЛАТ ГЛОБАЛ, ООО (40 010 000 руб., 50%)</t>
  </si>
  <si>
    <t>183 650 000</t>
  </si>
  <si>
    <t>buh@spmavto.ru, info@spmavto.ru, kmu@spmavto.ru, pdo@spmavto.ru</t>
  </si>
  <si>
    <t>kransam.ru</t>
  </si>
  <si>
    <t>МОСИНВЕСТ, АО (9 050 руб., 90.50%)
Кнаус Станислав Витальевич (950 руб., 9.50%)</t>
  </si>
  <si>
    <t>138 970 000</t>
  </si>
  <si>
    <t>ЭТАЛОНСТРОЙ, ООО (12 000 000 руб., 98.27%)
ГК ЭТАЛОН, АО (212 000 руб., 1.73%)</t>
  </si>
  <si>
    <t>spmk@mail.ru, spmk@rambler.ru, yurist@spmk.ru</t>
  </si>
  <si>
    <t>ТК АЙСБЕРГ, ООО (99.90%)</t>
  </si>
  <si>
    <t>ooospk33@yandex.ru</t>
  </si>
  <si>
    <t>Шебанов Андрей Андреевич (32 000 руб., 100%)</t>
  </si>
  <si>
    <t>54 390 000</t>
  </si>
  <si>
    <t>info@hurakan.ru, welcome@apachlab.ru</t>
  </si>
  <si>
    <t>Александров Сергей Николаевич (10 000 руб., 96.86%)
Бургасов Владимир Сергеевич (162 руб., 1.57%)
Сологуб Светлана Евгеньевна (162 руб., 1.57%)</t>
  </si>
  <si>
    <t>205 480 000</t>
  </si>
  <si>
    <t>goncharao@wclass.ru, gruzdevata@wclass.ru, pr@wclass.ru, pryanishnikovnn@wclass.ru, triathlon@wclass.ru</t>
  </si>
  <si>
    <t>wclass.ru</t>
  </si>
  <si>
    <t>"ГЛАСИЛИАС ХОЛДИНГ ЛИМИТЕД" (346 500 000 руб., 99%)
КОМП С ОО ГРАВЕСКО ИНВЕСТМЕНТС ЛИМИТЕД (3 500 000 руб., 1%)</t>
  </si>
  <si>
    <t>Деятельность фитнес-центров</t>
  </si>
  <si>
    <t>533 380 000</t>
  </si>
  <si>
    <t>afkahfh@mail.ru, anikin_sa@sevesk.ru, bryzgalova_ev@sevesk.ru, bukmayer_is@sevesk.ru, bushelovskiy_ae@sevesk.ru, cho@sevesk.ru, chto@sevek.ru, chto@seversk.ru, chto@sevesk.ru, chto@sevesk.tu</t>
  </si>
  <si>
    <t>МЭС-РАЗВИТИЕ, ООО (693 000 000 руб., 99%)
ЭСКБ-РАЗВИТИЕ, ООО (7 000 000 руб., 1%)</t>
  </si>
  <si>
    <t>econom@semsz.ru</t>
  </si>
  <si>
    <t>semsz.ru</t>
  </si>
  <si>
    <t>Дахнович Алексей Александрович (29 962 037.5 руб., 23.97%)
Дахнович Андрей Александрович (29 962 037.5 руб., 23.97%)
Долматов Игорь Станиславович (29 962 037.5 руб., 23.97%)
Шиляев Андрей Александрович (29 962 037.5 руб., 23.97%)
Мартиросян Гайк Юрьевич (5 151 850 руб., 4.12%)</t>
  </si>
  <si>
    <t>22 800 000</t>
  </si>
  <si>
    <t>doc@ssk86.ru, kaletynecz@mail.ru, ooo_cck86@mail.ru, vf-nv@mail.ru</t>
  </si>
  <si>
    <t>ssk86.ru</t>
  </si>
  <si>
    <t>Ивашин Сергей Валерьевич (8 500 руб., 50%)
Калетынец Дмитрий Сергеевич (8 500 руб., 50%)</t>
  </si>
  <si>
    <t>99 080 000</t>
  </si>
  <si>
    <t>internet@sportmas.ru, sportmaster@mail.ru, support@demix.ru, support@fila.ru</t>
  </si>
  <si>
    <t>www.sportmaster.ru</t>
  </si>
  <si>
    <t>КОМПАНИЯ С ОГРАНИЧЕННОЙ ОТВЕТСТВЕННОСТЬЮ "ФАЛКОН ЭЙША ПАСИФИК ЛИМИТЕД" (261 642 499.87 руб., 100%)</t>
  </si>
  <si>
    <t>8 950 310 000</t>
  </si>
  <si>
    <t>manager1@sppyug.ru</t>
  </si>
  <si>
    <t>sppyug.ru</t>
  </si>
  <si>
    <t>ОБЪЕДИНЕННЫЙ КАПИТАЛ, АО (7 500 руб., 75%)
Хашиг Владимир Леонидович (2 500 руб., 25%)</t>
  </si>
  <si>
    <t>s.soroka@efko.ru</t>
  </si>
  <si>
    <t>100 220 000</t>
  </si>
  <si>
    <t>info@ru-spp.com</t>
  </si>
  <si>
    <t>Боранбаев Кайрат (6 000 000 000 руб., 100%)</t>
  </si>
  <si>
    <t>34 600 000</t>
  </si>
  <si>
    <t>sibpromstroi@mail.ru</t>
  </si>
  <si>
    <t>sps70.ru</t>
  </si>
  <si>
    <t>Хорошилов Виктор Николаевич (7 500 руб., 75%)
Сороков Павел Анатольевич (2 500 руб., 25%)</t>
  </si>
  <si>
    <t>243 110 000</t>
  </si>
  <si>
    <t>emilto@cpsholod.ru</t>
  </si>
  <si>
    <t>www.cpsholod.ru</t>
  </si>
  <si>
    <t>Малкин Лев Шаевич (480 000 руб., 60%)
Малкин Эдуард Львович (320 000 руб., 40%)</t>
  </si>
  <si>
    <t>137 430 000</t>
  </si>
  <si>
    <t>7814478840_781401001@eo.tensor.ru, ivanov1972@bk.ru</t>
  </si>
  <si>
    <t>ТЕХНОЛОГИИ БУДУЩЕГО, АО (4 806 720.9 руб., 80.10%)
ТРИКОЛОР МЕДИАХОЛДИНГ, АО (1 194 179.1 руб., 19.90%)</t>
  </si>
  <si>
    <t>Байбус Илья Владимирович (10 000 руб., 100%)</t>
  </si>
  <si>
    <t>133 370 000</t>
  </si>
  <si>
    <t>Новикова Алёна Юрьевна (5 000 000 руб., 100%)</t>
  </si>
  <si>
    <t>1 028 660 000</t>
  </si>
  <si>
    <t>cpfo@cpfrussia.ru</t>
  </si>
  <si>
    <t>http://cpfrussia.ru, www.cpfoods.ru</t>
  </si>
  <si>
    <t>СТЕША, ООО (5 193 125 854 руб., 50.26%)
СПФ Инвестмент Лиметед (4 710 431 210.5 руб., 45.59%)
CHAROEN POKPHAND FOODS PUBLIC COMPANY LIMITED (429 012 749 руб., 4.15%)</t>
  </si>
  <si>
    <t>sp-holding.ru</t>
  </si>
  <si>
    <t>114 890 000</t>
  </si>
  <si>
    <t>fillipoweg@mail.ru, help@sravni.ru, marina.ulatova@sravni.ru, mis.popkov@yandex.ru, support@umnoe-osago.ru</t>
  </si>
  <si>
    <t>СРАВНИ МИДКО ХОЛДИНГ ЛИМИТЕД (100 000 руб., 100%)</t>
  </si>
  <si>
    <t>Деятельность по обработке данных, предоставление услуг по размещению информации, деятельность порталов в информационно-коммуникационной сети Интернет</t>
  </si>
  <si>
    <t>buhskola@mail.ru, info@osrp.su, osrp.aldan@mail.ru, osrp@mail.ru</t>
  </si>
  <si>
    <t>Шкварко Владимир Николаевич (200 000 руб., 100%)</t>
  </si>
  <si>
    <t>52 820 000</t>
  </si>
  <si>
    <t>Дударев Владимир Арсентьевич (12 128 000 руб., 60.64%)
Сухарев Алексей Алексеевич (7 872 000 руб., 39.36%)</t>
  </si>
  <si>
    <t>63 870 000</t>
  </si>
  <si>
    <t>СГ РУС, ООО (80 000 000 руб., 100%)</t>
  </si>
  <si>
    <t>mail@ssd.ru, rybina@ssd.ru</t>
  </si>
  <si>
    <t>sgm-gaz.ru</t>
  </si>
  <si>
    <t>СТРОЙГАЗМОНТАЖ , АО СГМ, АО (3 713 281 719 руб., 100%)
СТРОЙИНВЕСТХОЛДИНГ, НАО (1 000 руб.)</t>
  </si>
  <si>
    <t>anastasia.nazarkina@pwc.com, business.development@ru.pwc.com, ekaterina.nekrasova@ru.pwc.com, elizaveta.filipova@pwc.ru, elizaveta.filipova@ru.pwc.com, hotline@ru.pwc.com, www.pwc.com, yana.molyanova@ru.pwc.com</t>
  </si>
  <si>
    <t>www.pwc.com</t>
  </si>
  <si>
    <t>79 400 000</t>
  </si>
  <si>
    <t>cck@sibserv.com</t>
  </si>
  <si>
    <t>www.sibserv.com</t>
  </si>
  <si>
    <t>dubmanmb@ssk63.ru, kazakovvy@ssk63.ru, kulikovats@ssk63.ru, shcherbakoval@ssk63.ru, tsok@ssk63.ru, zakupki@ssk63.ru</t>
  </si>
  <si>
    <t>ssk63.ru</t>
  </si>
  <si>
    <t>691 450 000</t>
  </si>
  <si>
    <t>info@ccl-kontur.ru</t>
  </si>
  <si>
    <t>www.ccllabel.ru</t>
  </si>
  <si>
    <t>420 770 000</t>
  </si>
  <si>
    <t>kad@remkis.ru, secret@remkis.ru, ssr@remkis.ru, valeriy.gnedkov@msr.msk.ru</t>
  </si>
  <si>
    <t>сср.рф</t>
  </si>
  <si>
    <t>5 790 000</t>
  </si>
  <si>
    <t>filatov_m_m@mirrico.com, rubicheva_t_g@mirrico.com</t>
  </si>
  <si>
    <t>МИРРИКО, ООО (1 030 303 руб., 100%)</t>
  </si>
  <si>
    <t>181 550 000</t>
  </si>
  <si>
    <t>Цулеискири Сулхан Темурович (255 000 руб., 51%)
Цулеискири Цотне Темурович (245 000 руб., 49%)</t>
  </si>
  <si>
    <t>16 560 000</t>
  </si>
  <si>
    <t>nevatowers.ru</t>
  </si>
  <si>
    <t>АКЦИОНЕРНОЕ ОБЩЕСТВО "ДЕСНА ГАЙРИМЕНКУЛЬ ЯТЫРЫМ" (1 669 000 000 руб., 100%)</t>
  </si>
  <si>
    <t>Покупка и продажа собственных нежилых зданий и помещений</t>
  </si>
  <si>
    <t>1 762 360 000</t>
  </si>
  <si>
    <t>mvnelg80@mail.ru, pavlova-ststroy@mail.ru, ststroy@trestspb.ru</t>
  </si>
  <si>
    <t>Зинин Андрей Октябринович (10 000 руб., 100%)</t>
  </si>
  <si>
    <t>118 990 000</t>
  </si>
  <si>
    <t>www.stalogistic.com</t>
  </si>
  <si>
    <t>СТА ЛОГИСТИК, ООО (100 000 руб., 100%)</t>
  </si>
  <si>
    <t>agromenedg@yandex.ru, info@staragro.ru</t>
  </si>
  <si>
    <t>staragro.ru</t>
  </si>
  <si>
    <t>Угурчиев Адсалам Юсупович (10 059 785 руб., 100%)</t>
  </si>
  <si>
    <t>158 100 000</t>
  </si>
  <si>
    <t>mail.stavrolen@lukoil.com, mail@stavrolen.lukoil.com</t>
  </si>
  <si>
    <t>stavrolen.lukoil.ru</t>
  </si>
  <si>
    <t>ЛУКОЙЛ, ПАО (800 130 919.65 руб., 100%)</t>
  </si>
  <si>
    <t>14 843 720 000</t>
  </si>
  <si>
    <t>1216545@mail.ru, 1225522@mail.ru, 123547@bk.ru, 15456464@mail.ru, 1555658@mail.ru, 165545@mail.ru, 44884@mail.ru, 45484@mail.ru, 546513565@mail.ru, 546513@mail.ru</t>
  </si>
  <si>
    <t>ske.ru</t>
  </si>
  <si>
    <t>Ставропольский край (1 294 906.14 руб., 100%)</t>
  </si>
  <si>
    <t>.alex@skvk.ru, .ipatov@skvk.ru, 12@pyat.ru, 1@voda.ru, 21.06.1981@mail.ru, 215646487@mail.ru, 2609014934@mail.ru, 43868@mail.ru, 45562@mail.ru, 57170@mail.ru</t>
  </si>
  <si>
    <t>skvk.ru</t>
  </si>
  <si>
    <t>Ставропольский край (1 115 993 566.78 руб., 100%)</t>
  </si>
  <si>
    <t>post@stavng.ru, sokolovaek@cenqeo.com, stng@rosneft.ru</t>
  </si>
  <si>
    <t>ЦГК ХОЛДИНГ, ООО (3 355 056 500 руб., 100%)</t>
  </si>
  <si>
    <t>1 135 340 000</t>
  </si>
  <si>
    <t>izob.sugar@yandex.ru, stavsugar.ev@gmail.com</t>
  </si>
  <si>
    <t>ОСК, АО (574 000 руб.)</t>
  </si>
  <si>
    <t>548 280 000</t>
  </si>
  <si>
    <t>a.kilina@gap-rs.ru, a.plushhenko@gap-rs.ru, a.shomahova@gap-rs.ru, delo_ptica@gap-rs.ru, g.rahaeva@gap-rs.ru, m.sokolova@gap-rs.ru, n.bulgakova@gap-rs.ru, n.zaharova@gap-rs.ru</t>
  </si>
  <si>
    <t>www.gapresurs.ru, www.sbroiler.ru</t>
  </si>
  <si>
    <t>РЕСУРС-ЮГ, ООО ТК (402 699 901.5 руб., 99.45%)
Наурузов Виктор Борисович (2 227 098.5 руб., 0.55%)</t>
  </si>
  <si>
    <t>3 648 610 000</t>
  </si>
  <si>
    <t>gbuh@optorg.ru, magazin@optorg.ru, metal@optorg.ru, optorg@optorg.ru, raskas@optorg.ru, serga@optorg.ru</t>
  </si>
  <si>
    <t>www.optorg.ru</t>
  </si>
  <si>
    <t>344 540 000</t>
  </si>
  <si>
    <t>1111@mail.ry, 2626033550@mail.ru, 33041@mail.ru, 356300@cmo.staves.ru, _dog@nmo.staves.ru, _ofmenges@cmo.stves.ru, _ofmnges@cmo.staves.ru, abon_pue3@cmo.staves.ru, amo@smo.staves.ru, anergo@mail.ru</t>
  </si>
  <si>
    <t>Santredo Ltd. (Santredo Ltd.) (16.13%)
Остапченко Борис Валерьевич (16.13%)</t>
  </si>
  <si>
    <t>info@isotoner.ru, maizanov@mirlk.ru</t>
  </si>
  <si>
    <t>isotoner.ru, mirlk.ru</t>
  </si>
  <si>
    <t>Майзанов Вадим Борисович (500 000 руб., 50%)
Орлов Эдуард Борисович (500 000 руб., 50%)</t>
  </si>
  <si>
    <t>61 030 000</t>
  </si>
  <si>
    <t>stall-invest.ru</t>
  </si>
  <si>
    <t>Лопатин Александр Александрович (13 000 руб., 100%)</t>
  </si>
  <si>
    <t>65 180 000</t>
  </si>
  <si>
    <t>Долмазов Леван Саркисович (10 000 000 руб., 100%)</t>
  </si>
  <si>
    <t>Торговля оптовая металлическими рудами</t>
  </si>
  <si>
    <t>1 320 000</t>
  </si>
  <si>
    <t>feedback@stalgrad-dv.ru, info@stalgrad-dv.ru, info@stalgrad.net, sale@stalgrad-dv.ru, snab@stalgrad-dv.ru, st.manager3@stalgrad.net</t>
  </si>
  <si>
    <t>stalgrad-dv.ru, stalgraddv.ru, стальград-дв.рф, стальграддв.рф</t>
  </si>
  <si>
    <t>Богатов Алексей Викторович (5 000 руб., 50%)
Магомедов Сергей Мехманович (5 000 руб., 50%)</t>
  </si>
  <si>
    <t>5 980 000</t>
  </si>
  <si>
    <t>stmost.ru</t>
  </si>
  <si>
    <t>tula-tractor.ru</t>
  </si>
  <si>
    <t>Глобучек Александр Сергеевич (20 000 руб., 50%)
Позняк Николай Евгеньевич (20 000 руб., 50%)</t>
  </si>
  <si>
    <t>6 290 000</t>
  </si>
  <si>
    <t>alexandrzerkin@gmail.com, alla@steel-prom.ru, n.petrova82@mail.ru</t>
  </si>
  <si>
    <t>www.steel-prom.ru</t>
  </si>
  <si>
    <t>Лысюк Алик Евгеньевич (1 000 000 руб., 100%)</t>
  </si>
  <si>
    <t>59 390 000</t>
  </si>
  <si>
    <t>ШТАЛЬТЕХНОЛАГИЕН, МКООО (9 500 000 руб., 95%)
Рожкова Лариса Петровна (500 000 руб., 5%)</t>
  </si>
  <si>
    <t>5 060 830 000</t>
  </si>
  <si>
    <t>Нестеров Михаил Алексеевич (100 000 руб., 100%)</t>
  </si>
  <si>
    <t>43 290 000</t>
  </si>
  <si>
    <t>fin@steeleks.ru</t>
  </si>
  <si>
    <t>steeleks.ru</t>
  </si>
  <si>
    <t>Мохова Анна Николаевна (10 000 руб., 100%)</t>
  </si>
  <si>
    <t>97 160 000</t>
  </si>
  <si>
    <t>davidiva.a@s-traditions.ru</t>
  </si>
  <si>
    <t>Беспалов Александр Степанович (10 312 500 руб., 100%)</t>
  </si>
  <si>
    <t>93 820 000</t>
  </si>
  <si>
    <t>Авакьян Аршак Ервандович (150 000 руб., 100%)</t>
  </si>
  <si>
    <t>188 200 000</t>
  </si>
  <si>
    <t>Басов Дмитрий Юрьевич (10 000 руб., 100%)</t>
  </si>
  <si>
    <t>200 000</t>
  </si>
  <si>
    <t>etorgkmk@gmail.com, kurganmk@kurganmk.ru</t>
  </si>
  <si>
    <t>http://kurganmk.ru/ru/contacts, kurganmk.ru</t>
  </si>
  <si>
    <t>УРАЛАГРОГРУПП, ООО (7 128 000 руб., 99%)
Петров Андрей Анатольевич (72 000 руб., 1%)</t>
  </si>
  <si>
    <t>38 020 000</t>
  </si>
  <si>
    <t>filato-stanki.ru</t>
  </si>
  <si>
    <t>ГРАН, ООО (1 000 000 руб., 100%)</t>
  </si>
  <si>
    <t>126 050 000</t>
  </si>
  <si>
    <t>mail@starateli.com, mail@starateli.ru</t>
  </si>
  <si>
    <t>www.starateli.ru</t>
  </si>
  <si>
    <t>Колударов Вячеслав Иванович (166 666.67 руб., 16.66%)
Ларин Павел Евгеньевич (166 666.67 руб., 16.66%)
Наговицын Дмитрий Владимирович (166 666.67 руб., 16.66%)
Петрухин Алексей Викторович (166 666.67 руб., 16.66%)
Петрухин Андрей Викторович (166 666.67 руб., 16.66%)
Фомичев Владимир Владимирович (166 666.67 руб., 16.66%)</t>
  </si>
  <si>
    <t>99 820 000</t>
  </si>
  <si>
    <t>info@starcom.spb.ru</t>
  </si>
  <si>
    <t>http://starcom.spb.ru/</t>
  </si>
  <si>
    <t>Рязанов Сергей Владимирович (50 000 руб., 100%)</t>
  </si>
  <si>
    <t>zabavnova@abiproduct.ru</t>
  </si>
  <si>
    <t>starodvorskie.ru</t>
  </si>
  <si>
    <t>АБИ ПРОДАКТ, АО (42 879 772 руб.)</t>
  </si>
  <si>
    <t>1 169 480 000</t>
  </si>
  <si>
    <t>content@start.ru, notification@start.ru, pressa@start.ru, support@start.ru</t>
  </si>
  <si>
    <t>СТАРТ МЕДИА, ООО (10 000 руб., 100%)</t>
  </si>
  <si>
    <t>stdb@list.ru</t>
  </si>
  <si>
    <t>СТАРТЕК ДЕРБАУ, АО (50 000 руб., 100%)</t>
  </si>
  <si>
    <t>info@lskr.ru, pto@lskr.ru</t>
  </si>
  <si>
    <t>Шамшин Владимир Константинович (1 000 000 руб., 100%)</t>
  </si>
  <si>
    <t>info@startrans.group, infoi@startrans.group, org.perevozok@yarregion.ru, star.trans.auto@yandex.ru</t>
  </si>
  <si>
    <t>Бадалян Артем Вигенович (10 000 руб., 100%)</t>
  </si>
  <si>
    <t>v.galiev@start-teh.ru</t>
  </si>
  <si>
    <t>start-teh.ru</t>
  </si>
  <si>
    <t>Галиев Виталий Робертович (300 000 руб., 100%)</t>
  </si>
  <si>
    <t>616 810 000</t>
  </si>
  <si>
    <t>Фролов Денис Владимирович (10 000 руб., 100%)</t>
  </si>
  <si>
    <t>eo@oessp.ru, eo@staut.su, mail@staut.ru, mail@staut.su</t>
  </si>
  <si>
    <t>www.staut.uspb.ru</t>
  </si>
  <si>
    <t>Отпущенникова Евгения Викторовна (10 000 руб., 100%)</t>
  </si>
  <si>
    <t>141 560 000</t>
  </si>
  <si>
    <t>glbuh@shpol.nvkz.net, kylagina@zao-srk.ru, sekpol@shpol.ru</t>
  </si>
  <si>
    <t>www.bcnvk.ru</t>
  </si>
  <si>
    <t>e.getman@stg-e.ru, info@stg-e.ru</t>
  </si>
  <si>
    <t>ТРИУМФ, ООО (118 000 000 руб., 50%)
ФОТОН ЭКСПРЕСС, АО (118 000 000 руб., 50%)</t>
  </si>
  <si>
    <t>mail@sgbi.ru</t>
  </si>
  <si>
    <t>www.sgbi.ru</t>
  </si>
  <si>
    <t>КОМПАНИЯ "САНКЕН ФАЙНЭНС ЛИМИТЕД" (112 500 000 руб., 100%)</t>
  </si>
  <si>
    <t>248 580 000</t>
  </si>
  <si>
    <t>m.ilyinskaya@stroytransgaz.com</t>
  </si>
  <si>
    <t>СТРОЙТРАНСГАЗ , АО СТГ, АО (500 000 руб., 100%)</t>
  </si>
  <si>
    <t>СТРОЙТРАНСГАЗ , АО СТГ, АО (10 000 000 руб., 100%)</t>
  </si>
  <si>
    <t>gnp@samtel.ru, stg-siberia@stroytransgaz.com</t>
  </si>
  <si>
    <t>irina.senina@siemens.com, liubov.markova@siemens.com, sgtt.ru@siemens.com</t>
  </si>
  <si>
    <t>www.siemens.com, www.siemens.ru/gas-turbines</t>
  </si>
  <si>
    <t>"МОДЕРН ГАЗ ТУРБАЙН ТЕКНОЛОДЖИС ХОЛДИНГ Б.В." (5 086 834 руб., 100%)</t>
  </si>
  <si>
    <t>1 405 250 000</t>
  </si>
  <si>
    <t>info@petrovich.ru, n.kozii@petrovich.ru, press@petrovich.ru, s.denishenko@petrovichstd.ru, secretar01.mskbval@petrovich.ru</t>
  </si>
  <si>
    <t>petrovich.ru</t>
  </si>
  <si>
    <t>Мельников Андриан Александрович (1 042 500 руб., 50%)
Березкин Александр Михайлович (521 250 руб., 25%)
Березкина Елена Александровна (521 250 руб., 25%)</t>
  </si>
  <si>
    <t>9 991 820 000</t>
  </si>
  <si>
    <t>8971372@mail.ru</t>
  </si>
  <si>
    <t>krasnoe-selo.stroyudacha.ru, ropsha.stroyudacha.ru, stroyudacha.ru</t>
  </si>
  <si>
    <t>Скорлупкин Владимир Геннадьевич (10 000 руб., 100%)</t>
  </si>
  <si>
    <t>364 070 000</t>
  </si>
  <si>
    <t>АНТ ЯПЫ, ООО (9 100 000 руб., 50.28%)
Ибрагимов Сеймур Сабир Оглы (3 000 000 руб., 16.57%)
Кундак Анил (3 000 000 руб., 16.57%)
Харпутлугил Онур (3 000 000 руб., 16.57%)</t>
  </si>
  <si>
    <t>93 210 000</t>
  </si>
  <si>
    <t>goloborodkind@sterexpak.ru</t>
  </si>
  <si>
    <t>Голобородкина Роза Валиевна (340 000 руб., 34%)
Титов Сергей Вячеславович (300 000 руб., 30%)
Голобородкин Иван Сергеевич (200 000 руб., 20%)
Голобородкина Елена Вячеславовна (150 000 руб., 15%)
Голобородкин Дмитрий Сергеевич (10 000 руб., 1%)</t>
  </si>
  <si>
    <t>kvp@stv.ru, panfilovnv@stw.ru, petrovayv@stw.ru, stw@stw.ru</t>
  </si>
  <si>
    <t>tmkgroup.ru, www.stw.ru, www.tmk-group.ru</t>
  </si>
  <si>
    <t>info@sv-tech.ru</t>
  </si>
  <si>
    <t>ik-vektor.ru, www.sv-tech.ru</t>
  </si>
  <si>
    <t>Вирцер Евгений Владимирович (510 000 руб., 51%)
СВОБОДНЫЕ ТЕХНОЛОГИИ, ООО (490 000 руб., 49%)</t>
  </si>
  <si>
    <t>32 040 000</t>
  </si>
  <si>
    <t>aa_losev@mail.ru</t>
  </si>
  <si>
    <t>ПО ТРАНСГАЗ, ООО (51 395 000 руб., 50%)
Толоконников Владимир Яковлевич (26 725 400 руб., 26%)
Потапов Владимир Викторович (24 669 600 руб., 24%)</t>
  </si>
  <si>
    <t>pyleva.aa@steeltc.ru</t>
  </si>
  <si>
    <t>info@tyrone.ru</t>
  </si>
  <si>
    <t>ПИК-ИНВЕСТПРОЕКТ, ООО (359 836 401.6 руб., 99.99%)
СПЕЦИАЛИЗИРОВАННЫЙ ЗАСТРОЙЩИК ПИК-РЕГИОН, АО (3 238.56 руб., 0.00090%)
ПИК СЗ, ПАО (359.84 руб., 0.00010%)</t>
  </si>
  <si>
    <t>8 477 110 000</t>
  </si>
  <si>
    <t>dorosh.t@stim.by, kraska9@yandex.ru</t>
  </si>
  <si>
    <t>www.stim.by</t>
  </si>
  <si>
    <t>Черненко Евгений Игоревич (10 000 руб., 100%)</t>
  </si>
  <si>
    <t>a.gordienko@stimul78.ru, o.golovacheva@stimul78.ru, s.yarkovoy@stimul78.ru, sale@stimul78.ru</t>
  </si>
  <si>
    <t>Дарцаева Хава Умарпашаевна (10 000 руб., 100%)</t>
  </si>
  <si>
    <t>market@stynergy.ru, sale@stynergy.ru</t>
  </si>
  <si>
    <t>Носиков Григорий Александрович (12 005 000 руб., 50%)
Халдер Тапас Кумар (12 005 000 руб., 50%)</t>
  </si>
  <si>
    <t>184 970 000</t>
  </si>
  <si>
    <t>ППР, ООО (20 000 руб., 100%)</t>
  </si>
  <si>
    <t>439 600 000</t>
  </si>
  <si>
    <t>stk-agro34@yandex.ru</t>
  </si>
  <si>
    <t>ctk-agro.ru</t>
  </si>
  <si>
    <t>Ильяшенко Павел Валерьевич (20 000 руб., 50%)
Завгородний Александр Александрович (10 000 руб., 25%)
Терехов Максим Васильевич (10 000 руб., 25%)</t>
  </si>
  <si>
    <t>295 990 000</t>
  </si>
  <si>
    <t>ilyabaru@gmail.com, info@stk-parts.ru</t>
  </si>
  <si>
    <t>www.stk-parts.ru</t>
  </si>
  <si>
    <t>Новик Алексей Михайлович (90 000 руб., 90%)
Бару Илья Эммануилович (10 000 руб., 10%)</t>
  </si>
  <si>
    <t>100 080 000</t>
  </si>
  <si>
    <t>dolin@nikol.biz, dudarev@nikol.biz, grigorev.ars@yandex.ru, lukomsky@yandex.ru, o_makarova@inbox.ru, office@nikol.biz, repinv@bk.ru, smt1258@gmail.ru, terechenok@nikol.biz, tereshenok@nikol.biz</t>
  </si>
  <si>
    <t>Безденежных Николай Владимирович (10 000 руб., 100%)</t>
  </si>
  <si>
    <t>Яковенко Игорь Сергеевич (20 000 руб., 100%)</t>
  </si>
  <si>
    <t>236 140 000</t>
  </si>
  <si>
    <t>ВКТ-ТРЕЙД, ООО (25 000 000 руб., 50%)
РЕНОВАР, ООО (25 000 000 руб., 50%)</t>
  </si>
  <si>
    <t>mag.saturn.net, ufa.saturn.net</t>
  </si>
  <si>
    <t>241 360 000</t>
  </si>
  <si>
    <t>647 190 000</t>
  </si>
  <si>
    <t>yana@spb.saturn.net</t>
  </si>
  <si>
    <t>https://spb.saturn.net/</t>
  </si>
  <si>
    <t>teplyh.tatyana@sib.saturn.net</t>
  </si>
  <si>
    <t>386 790 000</t>
  </si>
  <si>
    <t>info@stg.ru, info@stng.ru, t.dianova@stng.ru, va.troitskaya@stg.ru</t>
  </si>
  <si>
    <t>www.stg.ru, www.stng.ru</t>
  </si>
  <si>
    <t>315 920 000</t>
  </si>
  <si>
    <t>Мирошник Алексей Николаевич (50 000 руб., 100%)</t>
  </si>
  <si>
    <t>21 540 000</t>
  </si>
  <si>
    <t>citypharm@citypharm.ru, tenderca@mail.ru, yakovleva@citypharm.ru</t>
  </si>
  <si>
    <t>www.citypharm.ru</t>
  </si>
  <si>
    <t>761 020 000</t>
  </si>
  <si>
    <t>info@capdel.ru</t>
  </si>
  <si>
    <t>capdel.ru</t>
  </si>
  <si>
    <t>Шиян Виктор Васильевич (1 200 000 руб., 100%)</t>
  </si>
  <si>
    <t>30 150 000</t>
  </si>
  <si>
    <t>support@betboom.ru</t>
  </si>
  <si>
    <t>bingoboom.ru</t>
  </si>
  <si>
    <t>АНСА-ГРУПП, ООО (57 591 409.37 руб., 50%)
ВК 369, ООО (57 591 409.37 руб., 50%)</t>
  </si>
  <si>
    <t>84956209734@mail.ru, a.borisov@stomatorg.ru, a.zaharova@stomatorg.ru, e.elizarova@stomatorg.ru, e.kravchenko@stomatorg.ru, e.zakharova@stomatorg.ru, ekravchenko@stomatorg.ru, enderdept@stomatorg.ru, m.kurnosova@stomatorg.ru, o.rogova@stomatorg.ru</t>
  </si>
  <si>
    <t>www.stomatorg.ru</t>
  </si>
  <si>
    <t>ДЕНТАЛ-МЕНЕДЖМЕНТ, ООО (1 218 225 руб., 100%)</t>
  </si>
  <si>
    <t>147 410 000</t>
  </si>
  <si>
    <t>Кожин Игорь Владимирович (371 000 руб., 70%)
Сенькин Владимир Евгеньевич (113 950 руб., 21.50%)
Лебедев Константин Владимирович (31 800 руб., 6%)
Галочкин Дмитрий Евгеньевич (13 250 руб., 2.50%)</t>
  </si>
  <si>
    <t>126 660 000</t>
  </si>
  <si>
    <t>jamerkulova@doorhan.ru</t>
  </si>
  <si>
    <t>Ханин Александр Данилович (30 000 руб., 25%)
Ханин Дмитрий Александрович (30 000 руб., 25%)
Ханин Сергей Александрович (30 000 руб., 25%)
Ханина Лариса Викторовна (18 000 руб., 15%)
Ханин Андрей Дмитриевич (6 000 руб., 5%)
Ханина Анастасия Сергеевна (6 000 руб., 5%)</t>
  </si>
  <si>
    <t>2 167 360 000</t>
  </si>
  <si>
    <t>lease@stone-xxi.ru, shadrin@stone-xxi.ru</t>
  </si>
  <si>
    <t>www.stone-xxi.ru</t>
  </si>
  <si>
    <t>Кудрин Вячеслав Борисович (28 434 500 руб., 56.87%)
Омаров Наиль Апрель Оглы (20 815 500 руб., 41.63%)
Васильев Юрий Сергеевич (750 000 руб., 1.50%)</t>
  </si>
  <si>
    <t>58 580 000</t>
  </si>
  <si>
    <t>ctr-c.ru</t>
  </si>
  <si>
    <t>Перлин Алексей Олегович (20 000 руб., 100%)</t>
  </si>
  <si>
    <t>info@i-strela.ru, monina@i-strela.ru, strelafgv@yandex.ru</t>
  </si>
  <si>
    <t>www.i-strela.ru</t>
  </si>
  <si>
    <t>Фёдоров Геннадий Вениаминович (10 000 руб., 100%)</t>
  </si>
  <si>
    <t>16 880 000</t>
  </si>
  <si>
    <t>fest@uk.msk.ru, golovina@mtf.ru, info.fest@norebo.ru, mif-roup@uk.msk.ru, mtf1@mtf.ru, mtf3@mtf.ru</t>
  </si>
  <si>
    <t>СЕВЕРНАЯ ФЛОТИЛИЯ, АО (3 937 600 руб.)</t>
  </si>
  <si>
    <t>1 146 210 000</t>
  </si>
  <si>
    <t>www.stream.ru</t>
  </si>
  <si>
    <t>СТРИМ ДИДЖИТАЛ, ООО (496 112 222 руб., 55%)
МТС, ПАО (405 910 000 руб., 45%)</t>
  </si>
  <si>
    <t>Прокофьев Роман Геннадьевич (10 000 руб., 100%)</t>
  </si>
  <si>
    <t>16 330 000</t>
  </si>
  <si>
    <t>info@galeria.spb.ru</t>
  </si>
  <si>
    <t>КОМПАНИЯ "МСРЕФ VII ГРИНВИЧ (БИД) Б.В. (С.)" (975 250 000 руб., 100%)</t>
  </si>
  <si>
    <t>4 773 850 000</t>
  </si>
  <si>
    <t>ГЛАВСТРОЙ-РЕГИОНЫ, ООО (10 000 руб., 100%)</t>
  </si>
  <si>
    <t>office@pioneer.ru</t>
  </si>
  <si>
    <t>ССП, ООО (30 000 руб., 100%)</t>
  </si>
  <si>
    <t>78 150 000</t>
  </si>
  <si>
    <t>glavbuh@barta.su</t>
  </si>
  <si>
    <t>Дешевых Александр Леонидович (10 000 руб., 100%)</t>
  </si>
  <si>
    <t>300 000</t>
  </si>
  <si>
    <t>dshipylov@stroitehnology.com</t>
  </si>
  <si>
    <t>Пантелеев Павел Юрьевич (20 000 руб., 100%)</t>
  </si>
  <si>
    <t>23 760 000</t>
  </si>
  <si>
    <t>dkarimova@sdvor.com, nvponomareva@sdvor.com</t>
  </si>
  <si>
    <t>www.sdvor.com</t>
  </si>
  <si>
    <t>РОСА, ООО (500 000 руб., 100%)</t>
  </si>
  <si>
    <t>534 530 000</t>
  </si>
  <si>
    <t>6 900 000</t>
  </si>
  <si>
    <t>Маслов Алексей Валерьевич (1 200 000 руб., 100%)</t>
  </si>
  <si>
    <t>ГРИНТЕХ, АО (7 500 руб., 75%)
Морозов Андрей Анатольевич (2 500 руб., 25%)</t>
  </si>
  <si>
    <t>494 050 000</t>
  </si>
  <si>
    <t>232 060 000</t>
  </si>
  <si>
    <t>info@st-ing.com</t>
  </si>
  <si>
    <t>www.st-ing.com</t>
  </si>
  <si>
    <t>Петрович Срджан (1 000 000 руб., 100%)</t>
  </si>
  <si>
    <t>finansys@bk.ru</t>
  </si>
  <si>
    <t>УПРАВЛЕНИЕ АКТИВАМИ, ООО (10 010 000 руб., 100%)</t>
  </si>
  <si>
    <t>48 690 000</t>
  </si>
  <si>
    <t>lesnaya-otrada.ru, otrada-lesnaya.ru</t>
  </si>
  <si>
    <t>ОТРАДА ДЕВЕЛОПМЕНТ, ООО СЗ (100 000 000 руб., 100%)</t>
  </si>
  <si>
    <t>448 830 000</t>
  </si>
  <si>
    <t>stroytrest@skmost.ru</t>
  </si>
  <si>
    <t>5 650 000</t>
  </si>
  <si>
    <t>zanyda1980@mail.ru</t>
  </si>
  <si>
    <t>s-b-1.ru</t>
  </si>
  <si>
    <t>Милютина Людмила Дмитриевна (10 000 руб., 100%)</t>
  </si>
  <si>
    <t>42 410 000</t>
  </si>
  <si>
    <t>a6429180@gmail.com, coroev_timerlan@mail.ru, spb@stroigazcomplekt.ru</t>
  </si>
  <si>
    <t>stroigazkomplekt.ru</t>
  </si>
  <si>
    <t>Горчаков Сергей Евгеньевич (10 000 руб., 100%)</t>
  </si>
  <si>
    <t>59 660 000</t>
  </si>
  <si>
    <t>Пухненков Дмитрий Александрович (10 000 руб., 100%)</t>
  </si>
  <si>
    <t>fa2521o@mail.ru, info@sds27.ru</t>
  </si>
  <si>
    <t>СТРОЙДОРСЕРВИС № 1, ООО (10 000 руб., 50%)
Федоров Александр Олегович (10 000 руб., 50%)</t>
  </si>
  <si>
    <t>info@szdpro.ru</t>
  </si>
  <si>
    <t>szdpro.ru</t>
  </si>
  <si>
    <t>Типцов Юрий Юрьевич (1 000 000 руб., 100%)</t>
  </si>
  <si>
    <t>2 277 300 000</t>
  </si>
  <si>
    <t>monomah7@mail.ru</t>
  </si>
  <si>
    <t>stroy-scb.ru</t>
  </si>
  <si>
    <t>Воробьев Сергей Анатольевич (300 000 руб., 100%)</t>
  </si>
  <si>
    <t>970 170 000</t>
  </si>
  <si>
    <t>office@sjprom.ru</t>
  </si>
  <si>
    <t>Загайнов Александр Андреевич (1 100 000 руб., 100%)</t>
  </si>
  <si>
    <t>38 900 000</t>
  </si>
  <si>
    <t>tender@sitltd.ru</t>
  </si>
  <si>
    <t>ТСК СТРОЙТЕХМАШ, ООО (49 500 руб., 99%)
Дворецкий Дмитрий Ильич (500 руб., 1%)</t>
  </si>
  <si>
    <t>strojindustria07@mail.ru</t>
  </si>
  <si>
    <t>Ильенко Виталий Владимирович (16 250 руб., 65%)
Кельх Виктор Эмильевич (8 750 руб., 35%)</t>
  </si>
  <si>
    <t>190 100 000</t>
  </si>
  <si>
    <t>84959830181@mail.ru</t>
  </si>
  <si>
    <t>Кушашвили Сосо Теймуразович (10 000 руб., 100%)</t>
  </si>
  <si>
    <t>19 580 000</t>
  </si>
  <si>
    <t>stroyinzservic@bk.ru</t>
  </si>
  <si>
    <t>sis-2.ru</t>
  </si>
  <si>
    <t>Островкин Илья Моисеевич (1 086 429.5 руб., 36.20%)
Островкина Нина Петровна (1 086 429.5 руб., 36.20%)
Островкина Ирина Евгеньевна (827 141 руб., 27.60%)</t>
  </si>
  <si>
    <t>27 760 000</t>
  </si>
  <si>
    <t>stroyk@mail.ru, stroykomplex_2019@mail.ru</t>
  </si>
  <si>
    <t>Полин Владимир Анатольевич (100 000 руб., 100%)</t>
  </si>
  <si>
    <t>17 790 000</t>
  </si>
  <si>
    <t>Полин Владимир Анатольевич (10 000 руб., 100%)</t>
  </si>
  <si>
    <t>16 310 000</t>
  </si>
  <si>
    <t>bazion19@mail.ru, info@stroykontinent.ru, marina.grigorieva@tekhnoproekt.ru, stroykontinent@stroykontinent.ru</t>
  </si>
  <si>
    <t>Светлов Александр Александрович (30 000 руб., 100%)</t>
  </si>
  <si>
    <t>110 000</t>
  </si>
  <si>
    <t>978spb@gmail.ru, info@scraft.spb.ru</t>
  </si>
  <si>
    <t>https://scraft.spb.ru/</t>
  </si>
  <si>
    <t>Большаков Николай Леонидович (300 000 руб., 100%)</t>
  </si>
  <si>
    <t>70 300 000</t>
  </si>
  <si>
    <t>www.stroymagistral.com</t>
  </si>
  <si>
    <t>Кравцун Вячеслав Викторович (11 000 руб., 100%)</t>
  </si>
  <si>
    <t>djamal@mail.ru, stroinaster@mail.ru</t>
  </si>
  <si>
    <t>Сулейманов Джамал Паражутдинович (10 000 руб., 100%)</t>
  </si>
  <si>
    <t>gsv@eskholding.com, gsv@eskholding.ru, stm@eskholding.com, stm@stm-ural.ru</t>
  </si>
  <si>
    <t>Вайнштейн Валерия Александровна (5 824 руб., 58.24%)
СЕРВИС-ПОСТАВКА УРАЛ, ООО (3 000 руб., 30%)
Щербатов Николай Павлович (1 176 руб., 11.76%)</t>
  </si>
  <si>
    <t>40 510 000</t>
  </si>
  <si>
    <t>c-m-t-c@yandex.ru, info@smtoil.ru</t>
  </si>
  <si>
    <t>233 230 000</t>
  </si>
  <si>
    <t>stroymir.msk@mail.ru</t>
  </si>
  <si>
    <t>Рамазанов Валерий Сиражидинович (12 500 руб., 100%)</t>
  </si>
  <si>
    <t>Раджематов Павел Александрович (10 000 руб., 100%)</t>
  </si>
  <si>
    <t>info@stroymontag.su, tender@stroymontag.su</t>
  </si>
  <si>
    <t>stroymontag.su</t>
  </si>
  <si>
    <t>Нусс Светлана Игоревна (3 600 000 руб., 90%)
Давлятов Борис Назриевич (400 000 руб., 10%)</t>
  </si>
  <si>
    <t>90 240 000</t>
  </si>
  <si>
    <t>986260@mail.ru, ooosm14@mail.ru</t>
  </si>
  <si>
    <t xml:space="preserve">http://cm-14.ru </t>
  </si>
  <si>
    <t>Мжаванадзе Тариел Николаевич (4 800 000 руб., 100%)</t>
  </si>
  <si>
    <t>82 120 000</t>
  </si>
  <si>
    <t>leonov2207@yandex.ru, stroy_nik@inbox.ru</t>
  </si>
  <si>
    <t>Белова Наринэ Сергеевна (10 000 руб., 100%)</t>
  </si>
  <si>
    <t>5 970 000</t>
  </si>
  <si>
    <t>sparther96@yandex.ru, spartner96@yandex.ru, tender@spartner.pro</t>
  </si>
  <si>
    <t>https://s-partner.pro</t>
  </si>
  <si>
    <t>Петренко Евгения Игоревна (100 000 руб., 100%)</t>
  </si>
  <si>
    <t>15 050 000</t>
  </si>
  <si>
    <t>tender@splatforma.ru</t>
  </si>
  <si>
    <t>https://стройплатформа.рф/, splatforma.ru</t>
  </si>
  <si>
    <t>Зорин Илья Александрович (250 000 руб., 50%)
Служеникин Александр Михайлович (250 000 руб., 50%)</t>
  </si>
  <si>
    <t>72 760 000</t>
  </si>
  <si>
    <t>sk38@mail.ru</t>
  </si>
  <si>
    <t>www.strd.ru</t>
  </si>
  <si>
    <t>Червинский Александр Юльевич (21 000 000 руб., 70%)
Серебренников Иван Сергеевич (4 500 000 руб., 15%)
Червинская Светлана Александровна (4 500 000 руб., 15%)</t>
  </si>
  <si>
    <t>stroiproo3@inmessage.ru</t>
  </si>
  <si>
    <t>Долотова Алеся Юрьевна (10 000 руб., 100%)</t>
  </si>
  <si>
    <t>7 380 000</t>
  </si>
  <si>
    <t>kudus70@mail.ru</t>
  </si>
  <si>
    <t>Исакова Раиса Шараниевна (10 000 руб., 100%)</t>
  </si>
  <si>
    <t>https://www.reformagkh.ru/mymanager/profile/profile/8912118</t>
  </si>
  <si>
    <t>Артемчук Анастасия Кирилловна (20 000 руб., 100%)</t>
  </si>
  <si>
    <t>m.mayakova@s-pservice.ru, office@s-pservice.ru</t>
  </si>
  <si>
    <t>s-pservice.ru</t>
  </si>
  <si>
    <t>Димов Илья Димов (200 000 000 руб., 100%)</t>
  </si>
  <si>
    <t>11 058 160 000</t>
  </si>
  <si>
    <t>office@sps38.pro</t>
  </si>
  <si>
    <t>sps38.ru</t>
  </si>
  <si>
    <t>Герьятович Алексей Александрович (100 000 000 руб., 100%)</t>
  </si>
  <si>
    <t>597 010 000</t>
  </si>
  <si>
    <t>54 700 000</t>
  </si>
  <si>
    <t>eremkin.a@tsc.su, fedoryachenko.v@tsc.su, ivanov.a@tsc.su, ivanov.dv@tsc.su, kalyuzhin.ya@tsc.su, nebogin.a@tsc.su, saverchuk.a@tsc.su, vsnsm@mail.ru</t>
  </si>
  <si>
    <t>Гусев Арсений Сергеевич (10 000 руб., 100%)</t>
  </si>
  <si>
    <t>96 090 000</t>
  </si>
  <si>
    <t>k.golovchenko@stroyservis.com, metal@stroyservis.com, metall@stroyservis.com, o.korolenko@stroyservis.com, personal@stroyservis.com, r.musin@stroyservis.com, t.korneva@stroyservis.com</t>
  </si>
  <si>
    <t>3 243 960 000</t>
  </si>
  <si>
    <t>Шашуловский Кирилл Феликсович (1 000 000 руб., 100%)</t>
  </si>
  <si>
    <t>buildservice1994@mail.ru, dor_urusha@mail.ru, info@stroeservis.omsk.su, info@stroiservis.omsk.su, info@stroyservis.omsk.ru, info@stroyservis.omsk.su, stroyservis94@mail.ru</t>
  </si>
  <si>
    <t>Вагнер Яков Александрович (12 880 руб., 70%)
Вагнер Евгений Яковлевич (1 840 руб., 10%)
Мельников Алексей Анатольевич (1 840 руб., 10%)
Стрюк Эрна Александровна (1 840 руб., 10%)</t>
  </si>
  <si>
    <t>stmarkt.ru</t>
  </si>
  <si>
    <t>Зорин Всеволод Иванович (5 000 руб., 50%)
Калинин Александр Викторович (5 000 руб., 50%)</t>
  </si>
  <si>
    <t>60 400 000</t>
  </si>
  <si>
    <t>Линькова Анастасия Андреевна (10 000 руб., 100%)</t>
  </si>
  <si>
    <t>julko.08@mail.ru, ss-pto@mail.ru</t>
  </si>
  <si>
    <t>www.stroycityomsk.ru</t>
  </si>
  <si>
    <t>Злацовский Алексей Наумович (9 375 руб., 37.50%)
Пронников Алексей Васильевич (9 375 руб., 37.50%)
Мангушев Ильгиз Фатекович (6 250 руб., 25%)</t>
  </si>
  <si>
    <t>80 900 000</t>
  </si>
  <si>
    <t>sstroystandart@inbox.ru</t>
  </si>
  <si>
    <t>Шугаев Юрий Алексеевич (15 000 руб., 100%)</t>
  </si>
  <si>
    <t>kwest_04@mail.ru</t>
  </si>
  <si>
    <t>Кротенко Константин Георгиевич (39 600 руб., 99%)
Мазур Олег Анатольевич (400 руб., 1%)</t>
  </si>
  <si>
    <t>143 040 000</t>
  </si>
  <si>
    <t>fomichevann@tdcsm.ru, ghg@yandex.ru, kostromina@tdcsm.ru, maksimovskayaaeu@sgr35.ru, maksimovskayaeu@sgr35.ru, maksimovskayeu@sgr35.ru</t>
  </si>
  <si>
    <t>Золотов Михаил Владимирович (10 000 руб., 100%)</t>
  </si>
  <si>
    <t>62 440 000</t>
  </si>
  <si>
    <t>yur23@usimail.ru</t>
  </si>
  <si>
    <t>Иванов Юрий Иванович (7 000 руб., 70%)
Павлов Алексей Алексеевич (3 000 руб., 30%)</t>
  </si>
  <si>
    <t>530 330 000</t>
  </si>
  <si>
    <t>stroitechnology2018@mail.ru</t>
  </si>
  <si>
    <t>Василькин Расим Касимович (210 000 руб., 100%)</t>
  </si>
  <si>
    <t>3 550 000</t>
  </si>
  <si>
    <t>dankutsa.r.a@mail.ru, tihvin_adm@vimos.ru</t>
  </si>
  <si>
    <t>vimos.ru</t>
  </si>
  <si>
    <t>Гурьев Владимир Васильевич (11 000 руб., 55%)
Виноградова Лидия Владимировна (9 000 руб., 45%)</t>
  </si>
  <si>
    <t>186 510 000</t>
  </si>
  <si>
    <t>info@tps.stg.ru</t>
  </si>
  <si>
    <t>ermakova@stroytek-ek.ru, strogtek@strogtek.ur.ru</t>
  </si>
  <si>
    <t>183 820 000</t>
  </si>
  <si>
    <t>ooo-stroyuniversal.ru</t>
  </si>
  <si>
    <t>Костромов Максим Александрович (720 000 руб., 100%)</t>
  </si>
  <si>
    <t>info@s-f-group.ru</t>
  </si>
  <si>
    <t>s-f-group.ru</t>
  </si>
  <si>
    <t>Николусь Владимир Владимирович (10 000 руб., 100%)</t>
  </si>
  <si>
    <t>1 175 780 000</t>
  </si>
  <si>
    <t>dubovoy@stroyholding.ru, nikolaeva@stroyholding.ru, sales@stroyholding.ru</t>
  </si>
  <si>
    <t>www.stroyholding.ru</t>
  </si>
  <si>
    <t>Маринин Петр Владиславович (8 000 руб., 80%)
Дубовой Александр Викторович (1 500 руб., 15%)
Маринин Алексей Петрович (500 руб., 5%)</t>
  </si>
  <si>
    <t>63 010 000</t>
  </si>
  <si>
    <t>info@stroyenergokom.ru, petrova@stroyenergokom.ru</t>
  </si>
  <si>
    <t>ЭВ-ГРУПП, ООО (100 000 000 руб., 100%)</t>
  </si>
  <si>
    <t>390 290 000</t>
  </si>
  <si>
    <t>a.maximov@bitcorp.ru, monstnvr2010@mail.ru, mostnvr2010@mail.ru, mostnvr2010buh@mail.ru, myemail@site.ru, nikiforoff@bitcorp.ru, ostnvr2010@mail.ru, oxsana2000@mail.ru</t>
  </si>
  <si>
    <t>Карпенко Александр Николаевич (50 000 руб., 100%)</t>
  </si>
  <si>
    <t>1 107 390 000</t>
  </si>
  <si>
    <t>a.baeva@strongtehnik.ru, o.parhoma@strongtehnik.ru</t>
  </si>
  <si>
    <t>Васин Сергей Васильевич (10 000 руб., 100%)</t>
  </si>
  <si>
    <t>156 510 000</t>
  </si>
  <si>
    <t>info@ststrade.ru</t>
  </si>
  <si>
    <t>Харлов Алексей Александрович (500 000 руб., 100%)</t>
  </si>
  <si>
    <t>studenets@sucden.ru, studenets@sura.ru, students@sura.ru</t>
  </si>
  <si>
    <t>studenets.narod.ru/index.html</t>
  </si>
  <si>
    <t>СДИ, ООО (99.99%)</t>
  </si>
  <si>
    <t>1 807 860 000</t>
  </si>
  <si>
    <t>sale@cxz.ru</t>
  </si>
  <si>
    <t>www.cxz.ru</t>
  </si>
  <si>
    <t>anastasia.anisimova@stepcon.ru, info@stepcon.ru, olga.abakumova@stepcon.ru, step@stepcon.ru</t>
  </si>
  <si>
    <t>www.stepcon.ru</t>
  </si>
  <si>
    <t>Кунис Дмитрий Михайлович (3 790 750 руб., 64.25%)
Иоффе Юрий Борисович (725 700 руб., 12.30%)
Гранкин Константин Борисович (581 150 руб., 9.85%)
Гершон Дмитрий Вячеславович (559 320 руб., 9.48%)
Грибов Михаил Владимирович (121 540 руб., 2.06%)
Блюмин Даниил Григорьевич (60 770 руб., 1.03%)
Розова Диана Анатольевна (60 770 руб., 1.03%)</t>
  </si>
  <si>
    <t>246 110 000</t>
  </si>
  <si>
    <t>ДСК АВТОБАН, АО (2 500 000 руб., 100%)</t>
  </si>
  <si>
    <t>925@avtoban.ru, s.naumova@avtoban.ru</t>
  </si>
  <si>
    <t>ХМДС, АО (2 500 000 руб., 100%)</t>
  </si>
  <si>
    <t>Su Holdings SARL (99.99%)
Синтенков Андрей Владимирович (0.000010%)</t>
  </si>
  <si>
    <t>su_24sd@mail.ru</t>
  </si>
  <si>
    <t>СУ № 23, ООО (100 000 руб., 100%)</t>
  </si>
  <si>
    <t>15 300 000</t>
  </si>
  <si>
    <t>en.ermak@avtoban.ru</t>
  </si>
  <si>
    <t>ХМДС, АО (5 000 000 руб., 100%)</t>
  </si>
  <si>
    <t>Халфин Александр Эдуардович (3 000 000 руб., 100%)</t>
  </si>
  <si>
    <t>admin@sutdsk.ru, admiv@sutdsk.ru, tdsk@mail.tomsknet.ru</t>
  </si>
  <si>
    <t>sutdsk.ru</t>
  </si>
  <si>
    <t>Самохина Юлия Анатольевна (10 000 руб., 100%)</t>
  </si>
  <si>
    <t>24 960 000</t>
  </si>
  <si>
    <t>su10@su10.ru</t>
  </si>
  <si>
    <t>Владимиров Илья Владиславович (97 500 руб., 65%)
Товбин Михаил Самуилович (37 500 руб., 25%)
Агарков Эдуард Николаевич (15 000 руб., 10%)</t>
  </si>
  <si>
    <t>shilova_a@a101.ru, su111@su111.ru</t>
  </si>
  <si>
    <t>61 510 000</t>
  </si>
  <si>
    <t>КУБАНЬ-СТРОЙ, ООО (10 000 руб., 100%)</t>
  </si>
  <si>
    <t>91 110 000</t>
  </si>
  <si>
    <t>ao.su-4@yandex.ru, ao.su4@su4.ru, oeder@su4.ru</t>
  </si>
  <si>
    <t>su4.ru</t>
  </si>
  <si>
    <t>33 300 000</t>
  </si>
  <si>
    <t>info@gcsu-555.ru, lapchinan@mail.ru, office@gcsu-555.ru</t>
  </si>
  <si>
    <t>gcsu-555.ru</t>
  </si>
  <si>
    <t>МОНОЛИТ, АССОЦИАЦИЯ (51 000 руб., 51%)
Селивестров Владимир Вячеславович (49 000 руб., 49%)</t>
  </si>
  <si>
    <t>511 180 000</t>
  </si>
  <si>
    <t>cy56ddd@gmail.com, cy56ddd@gmail.ru, ddd600800@gmail.com</t>
  </si>
  <si>
    <t>su-56.ru</t>
  </si>
  <si>
    <t>Зоткин Денис Борисович (10 000 руб., 100%)</t>
  </si>
  <si>
    <t>info@su7ritm.ru, su7ritm@rol.ru</t>
  </si>
  <si>
    <t>info@su873.com, pavl.natali@mail.ru</t>
  </si>
  <si>
    <t>ДОНАЭРОДОРСТРОЙ, АО (5 100 руб., 51%)
Кирсанов Владимир Анатольевич (1 700 руб., 17%)
Имедашвили Николай Гивиевич (1 600 руб., 16%)
Кнышов Алексей Владимирович (1 600 руб., 16%)</t>
  </si>
  <si>
    <t>2 560 000</t>
  </si>
  <si>
    <t>909@avtoban.ru, su909@nvtel.ru</t>
  </si>
  <si>
    <t>ХМДС, АО (95.17%)</t>
  </si>
  <si>
    <t>4243898@mail.ru</t>
  </si>
  <si>
    <t>Апозян Манвел Ашикович (15 000 руб., 100%)</t>
  </si>
  <si>
    <t>960 000</t>
  </si>
  <si>
    <t>arman1975@yandex.ru, suar-grupp@bk.ru</t>
  </si>
  <si>
    <t>suar-grupp.ru</t>
  </si>
  <si>
    <t>Егян Сурен Самвелович (5 000 руб., 50%)
Мкртчян Арман Мартики (5 000 руб., 50%)</t>
  </si>
  <si>
    <t>26 890 000</t>
  </si>
  <si>
    <t>АКЦИОНЕРНОЕ ОБЩЕСТВО "СОДЖИЦ КОРПОРЕЙШН" (615 914 100 руб., 65.13%)
SUBARU CORPORATION (315 848 454 руб., 33.40%)
У СЕРВИС +, ООО (13 891 500 руб., 1.47%)</t>
  </si>
  <si>
    <t>136 590 000</t>
  </si>
  <si>
    <t>sudarka@mail.ru</t>
  </si>
  <si>
    <t>Корчагин Павел Иванович (10 000 руб., 50%)
Ушакова Елена Анатольевна (10 000 руб., 50%)</t>
  </si>
  <si>
    <t>118 580 000</t>
  </si>
  <si>
    <t>n.ushakova@sumz.umn.ru, sumz@sumz.umm.ru, sumz@sumz.umn.ru, sumz@sumz.uralnet.ru</t>
  </si>
  <si>
    <t>www.sumz.umn.ru</t>
  </si>
  <si>
    <t>УРАЛЬСКАЯ ГОРНО-МЕТАЛЛУРГИЧЕСКАЯ КОМПАНИЯ , ОАО УГМК, ОАО (90.34%)
Абдулазизов Багир Валерьевич (0.0066%)</t>
  </si>
  <si>
    <t>3 308 390 000</t>
  </si>
  <si>
    <t>mail@sumitec.ru, mikhail.dolgikh@sumitec.ru</t>
  </si>
  <si>
    <t>КОРПОРАЦИЯ "СУМИТОМО КОРПОРЕЙШН " (673 554 050 руб., 100%)</t>
  </si>
  <si>
    <t>1 201 420 000</t>
  </si>
  <si>
    <t>3150462@mail.ru, abramov@swgroup.ru, dgaripova@swgroup.ru, dsviridov@swgroup.ru, ekorchevskaya@swgroup.ru, info@superwave.ru, mail.kz@swgroup.ru, mail.msk@swgroup.ru, mail.spb@swgroup.ru, problema@swgroup.ru</t>
  </si>
  <si>
    <t>www.superwave.ru</t>
  </si>
  <si>
    <t>Силкин Виктор Васильевич (375 876 045.15 руб., 80.99%)
Петренко Александр Владимирович (46 362 536 руб., 9.99%)
Силкина Людмила Павловна (41 860 868.35 руб., 9.02%)</t>
  </si>
  <si>
    <t>aomgs.ru</t>
  </si>
  <si>
    <t>ЭЛДЖИ ГРАНД, ООО (10 000 руб., 100%)</t>
  </si>
  <si>
    <t>2 383 820 000</t>
  </si>
  <si>
    <t>info@supler.ru</t>
  </si>
  <si>
    <t>БИ ЭЛ КЕЙ, ООО (20 000 руб., 100%)</t>
  </si>
  <si>
    <t>kuzemchenko@gmail.com, su2@mcsu.ru</t>
  </si>
  <si>
    <t>ВГК, ООО (110 000 руб., 100%)</t>
  </si>
  <si>
    <t>17 828 890 000</t>
  </si>
  <si>
    <t>6667351@gmail.com, buhsrsu@mail.ru</t>
  </si>
  <si>
    <t>Макаров Александр Владимирович (14 965 841 руб., 100%)</t>
  </si>
  <si>
    <t>larisa.mahotina@sugold.ru, sugok@sugold.ru, sugold@sferacom.ru, sugold@sugold.ru</t>
  </si>
  <si>
    <t>sugold.ru</t>
  </si>
  <si>
    <t>353 800 000</t>
  </si>
  <si>
    <t>lzvyagintseva@soufflet.com, pstrizhkov@mail.ru, sgundrov@soufflet.com</t>
  </si>
  <si>
    <t>АКЦИОНЕРНОЕ ОБЩЕСТВО "СУФФЛЕ АГРИКУЛЬТУРА" (4 000 000 руб., 100%)</t>
  </si>
  <si>
    <t>blinushov@suhona.com, pozdnyakov_sv@suhona.com, sckbk@suhona.com</t>
  </si>
  <si>
    <t>http://www.ukobf.ru</t>
  </si>
  <si>
    <t>Белоусова Инна Евгеньевна (10 000 руб., 100%)</t>
  </si>
  <si>
    <t>1 748 660 000</t>
  </si>
  <si>
    <t>office@suek.ru</t>
  </si>
  <si>
    <t>www.suek.ru</t>
  </si>
  <si>
    <t>5 971 280 000</t>
  </si>
  <si>
    <t>baykalovov@suek.ru, iatcukiaa@suek.ru, krikunovas@suek.ru, krikunovsv@suek.ru, priemnaja@krk.suek.ru, suek-krasnoyarsk@suek.ru, terentevanv@suek.ru</t>
  </si>
  <si>
    <t>СУЭК, АО (4 317 243 131 руб.)</t>
  </si>
  <si>
    <t>2 553 550 000</t>
  </si>
  <si>
    <t>haschijsb@suek.ru, kuzbass@suek.ru, naturaoo@suek.ru, petrenkois@suek.ru, suek-kuzbass@suek.ru, techsvyaz@suek.ru, tokarevanp@suek.ru</t>
  </si>
  <si>
    <t>Добыча угля, за исключением антрацита, угля коксующегося и угля бурого, подземным способом</t>
  </si>
  <si>
    <t>43 874 670 000</t>
  </si>
  <si>
    <t>office@suek-finance.ru, office@suek.ru</t>
  </si>
  <si>
    <t>www.suek.ru/page.php?id=474</t>
  </si>
  <si>
    <t>СУЭК, АО (10 000 руб., 100%)</t>
  </si>
  <si>
    <t>aopromtrans@suek.ru, barsukovals@suek.ru, smirnovaoa@suck.ru, suek@mail.ru, vavilovvv@suek.ru</t>
  </si>
  <si>
    <t>suek-khakasia.ru</t>
  </si>
  <si>
    <t>СУЭК, АО (2 476 135 827 руб., 100%)</t>
  </si>
  <si>
    <t>10 134 080 000</t>
  </si>
  <si>
    <t>222190@mail.ru, dsv_77@mail.ru, info@suenko.ru, knizhovae@suenco.ru, krenitsynea@suenco.ru, kurgan@suenco.ru, kutyrevati@suenco.ru, malininaen@suenco.ru, offic@suenco.ru, office@suek.ru</t>
  </si>
  <si>
    <t>alhudoi@mail.ru, kurgansetservis@mail.ru, mail@sues.ru, skosyrskikhat@sues.ru, volkovaas@sues.ru</t>
  </si>
  <si>
    <t>СУСХ, ООО (31 000 руб., 100%)</t>
  </si>
  <si>
    <t>312 590 000</t>
  </si>
  <si>
    <t>iliaz76zu@mail.ru, market@almaz.spb.ru, nalog@almaz.spb.ru</t>
  </si>
  <si>
    <t>www.almaz.spb.ru</t>
  </si>
  <si>
    <t>АЙЛЕНД, ООО (44.69%)
Грабовец Леонид Герасимович (0.056%)</t>
  </si>
  <si>
    <t>inl@stroymagistral.com, sf_stroyservis@mail.ru, st_servis@list.ru</t>
  </si>
  <si>
    <t>Семенихин Сергей Михайлович (23 000 руб., 100%)</t>
  </si>
  <si>
    <t>63 200 000</t>
  </si>
  <si>
    <t>rus@sfera-khv.ru</t>
  </si>
  <si>
    <t>sfera-khv.ru</t>
  </si>
  <si>
    <t>Макаров Николай Евгеньевич (500 000 руб., 50%)
Сапунков Руслан Александрович (500 000 руб., 50%)</t>
  </si>
  <si>
    <t>446 910 000</t>
  </si>
  <si>
    <t>sfera@realweb.ru, spb@realweb.ru</t>
  </si>
  <si>
    <t>https://www.realwebpartners.com/</t>
  </si>
  <si>
    <t>ИА РИАЛВЕБ, ООО (10 800 руб., 67.50%)
ПУБЛИЧНАЯ КОМПАНИЯ С ОГРАНИЧЕННОЙ ОТВЕТСТВЕННОСТЬЮ КИВИ ПИЭЛСИ (5 200 руб., 32.50%)</t>
  </si>
  <si>
    <t>73 210 000</t>
  </si>
  <si>
    <t>info@plypan.com</t>
  </si>
  <si>
    <t>Частная акционерная компания "Rоssillоn" Кипр (147 105 400 руб., 100%)</t>
  </si>
  <si>
    <t>5 339 340 000</t>
  </si>
  <si>
    <t>mikhail.kovalev@sftgroup.ru</t>
  </si>
  <si>
    <t>КАРТОНТАРА, ООО (649 919 538.62 руб., 51.85%)
КАМЕНСКАЯ БКФ, АО (573 516 670 руб., 45.75%)
СФТ ГРУПП, ООО (30 000 000 руб., 2.39%)</t>
  </si>
  <si>
    <t>postmaster@sft-trading.com</t>
  </si>
  <si>
    <t>www.sft-trading.ru</t>
  </si>
  <si>
    <t>Савинов Андрей Викторович (3 060 060 руб., 60%)
Савинов Владимир Андреевич (1 530 030 руб., 30%)
Боганов Сергей Владимирович (306 006 руб., 6%)
Серов Евгений Владимирович (127 502.5 руб., 2.50%)
Афанасьев Дмитрий Юрьевич (76 501.5 руб., 1.50%)</t>
  </si>
  <si>
    <t>169 840 000</t>
  </si>
  <si>
    <t>gloster-jurist@mail.ru</t>
  </si>
  <si>
    <t>Мятович Сергей Александрович (15 000 руб., 100%)</t>
  </si>
  <si>
    <t>152 210 000</t>
  </si>
  <si>
    <t>novomark36@mail.ru</t>
  </si>
  <si>
    <t>ВОРОНЕЖСКИЙ, ПАО МОЛОЧНЫЙ КОМБИНАТ (800 000 000 руб., 100%)</t>
  </si>
  <si>
    <t>30 650 000</t>
  </si>
  <si>
    <t>natalya.gavrilova@reel.ru</t>
  </si>
  <si>
    <t>reel.ru</t>
  </si>
  <si>
    <t>84 550 000</t>
  </si>
  <si>
    <t>info@scl.su, partnertomsk@mail.ru</t>
  </si>
  <si>
    <t>siblogistics.ru</t>
  </si>
  <si>
    <t>Резка, обработка и отделка камня для использования в строительстве в качестве дорожного покрытия</t>
  </si>
  <si>
    <t>1 158 360 000</t>
  </si>
  <si>
    <t>kozina@spk.ru, office@scmetal.ru, tender@scmetal.ru</t>
  </si>
  <si>
    <t>СПК ХОЛДИНГ, ООО (2 496 666.67 руб., 99.87%)
Новоселов Алексей Владимирович (3 333.33 руб., 0.13%)</t>
  </si>
  <si>
    <t>97 340 000</t>
  </si>
  <si>
    <t>danchenko@cheeseworld.ru, info@cheeseworld.ru, kupreenko@cheeseworld.ru, sirak@online.debryansk.ru</t>
  </si>
  <si>
    <t>cheeseworld.ru</t>
  </si>
  <si>
    <t>Мокроусова Татьяна Александровна (2 680 676.84 руб., 61.96%)
Лукьянцев Александр Юрьевич (1 351 625.48 руб., 31.24%)
Мокроусова Александра Васильевна (225 805 руб., 5.21%)
Селюкова Наталья Александровна (12 800 руб., 0.29%)
Шитова Надежда Георгиевна (7 244 руб., 0.16%)
Евмененко Николай Михайлович (7 047.48 руб., 0.16%)
Коробков Леонид Васильевич (7 047.48 руб., 0.16%)
Руденок Татьяна Михайловна (7 047.48 руб., 0.16%)
Ильенко Елена Михайловна (6 676.56 руб., 0.15%)
Сивоха Геннадий Михайлович (6 676.56 руб., 0.15%)
...*</t>
  </si>
  <si>
    <t>95 040 000</t>
  </si>
  <si>
    <t>www.ifgk.ru</t>
  </si>
  <si>
    <t>МЕЖРЕГИОНАЛЬНАЯ ИНВЕСТИЦИОННАЯ КОМПАНИЯ, ООО (71 550 руб., 71.55%)
Киреев Николай Васильевич (28 450 руб., 28.45%)</t>
  </si>
  <si>
    <t>440 280 000</t>
  </si>
  <si>
    <t>АГРОКОМПЛЕКС ИМ. Н.И.ТКАЧЕВА, АО ФИРМА (1 910 000 000 руб., 100%)</t>
  </si>
  <si>
    <t>ru.ccc@schneider-electric.com</t>
  </si>
  <si>
    <t>https://www.se.com/ru/ru/, www.se.com</t>
  </si>
  <si>
    <t>2 489 290 000</t>
  </si>
  <si>
    <t>bazhina-segz@yandex.ru, pptn@segz.ru, upravlenie44segz@yandex.ru, zakupki_segz@rambler.ru</t>
  </si>
  <si>
    <t>www.segz.ru, www.сэгз.рф</t>
  </si>
  <si>
    <t>hua@spelmon.spb.ru, info@semrussia.com, info@spelmon.spb.ru, martinovandrey@mail.ru, mss@spp-energo.ru, opv@spelmon.spb.ru</t>
  </si>
  <si>
    <t>www.semrussia.com, www.spelmon.spb.ru</t>
  </si>
  <si>
    <t>Потапенко Кирилл Александрович (126 991 руб., 100%)</t>
  </si>
  <si>
    <t>117 160 000</t>
  </si>
  <si>
    <t>serc-reception@samsung.com, shop@divizion.com</t>
  </si>
  <si>
    <t>http://www.samsung.ru/main.html, shop.samsung.com, www.samsung.com</t>
  </si>
  <si>
    <t>"САМСУНГ ЭЛЕКТРОНИКС КО.,ЛТД" (3 183 913 400 руб., 100%)</t>
  </si>
  <si>
    <t>3 519 750 000</t>
  </si>
  <si>
    <t>7810212380_783601001@eo.tensor.ru, ludmila_fsk@spbrealty.ru, pr-info@setlcity.ru, sevostyanova_ti@spbrealty.ru</t>
  </si>
  <si>
    <t>www.setlcity.ru</t>
  </si>
  <si>
    <t>СЭТЛ ГРУПП, ООО (49 950 000 руб., 99.90%)
СЭТЛ, ООО (50 000 руб., 0.10%)</t>
  </si>
  <si>
    <t>9 140 460 000</t>
  </si>
  <si>
    <t>setlhome.ru</t>
  </si>
  <si>
    <t>СЭТЛ ГРУПП, ООО (10 000 руб., 100%)</t>
  </si>
  <si>
    <t>642 220 000</t>
  </si>
  <si>
    <t>corp@spbrealty.ru</t>
  </si>
  <si>
    <t>4 225 120 000</t>
  </si>
  <si>
    <t>СЭТЛ ГРУПП, ООО (1 499 980 000 руб., 99.99%)
ХОЛДИНГ-ЦЕНТР, ООО (20 000 руб., 0.0013%)</t>
  </si>
  <si>
    <t>4 830 350 000</t>
  </si>
  <si>
    <t>a.blonskiy@xcmg-ru.ru, info@xcmg-ru.ru</t>
  </si>
  <si>
    <t>xcmg-ru.ru</t>
  </si>
  <si>
    <t>ЧАСТНАЯ АКЦИОНЕРНАЯ КОМПАНИЯ ИКССИЭМДЖИ ИНТЕРНАШИОНАЛ ТРАДИНГ КОРПОРАШЕЙН ЛИМИТЕД (3 005 000 руб., 100%)</t>
  </si>
  <si>
    <t>antonos.n@tcfoods.ru, tik-info@yandex.ru</t>
  </si>
  <si>
    <t>81 900 000</t>
  </si>
  <si>
    <t>info@t-slog.ru</t>
  </si>
  <si>
    <t>t-slog.ru</t>
  </si>
  <si>
    <t>Т.Д. ИНТЕРНЕЙШНЛ ЛОДЖИСТИК КОРПОРЕЙШН ЛИМИТЕД (4 300 000 руб., 99.77%)
Т-СЕРВИС ЛОГИСТИКС, ООО (10 000 руб., 0.23%)</t>
  </si>
  <si>
    <t>636 260 000</t>
  </si>
  <si>
    <t>mag-yug@yandex.ru, t_trans21@mail.ru</t>
  </si>
  <si>
    <t>t-trans61.ru</t>
  </si>
  <si>
    <t>Рогачкин Павел Алексеевич (10 000 000 руб., 100%)</t>
  </si>
  <si>
    <t>arkhangelsk@tbm.ru, buterina@tbm.ru, leschenko.vrzh@tbm.ru, rusinova.perm@tbm.ru, tbm@tbm.ru, timashov_v@tbm.ru</t>
  </si>
  <si>
    <t>tbmmarket.ru</t>
  </si>
  <si>
    <t>Т.Б.М., АО (15 699 840 руб., 51%)
Тренев Виктор Феликсович (8 927 360 руб., 29%)
Тренева Елена Львовна (6 156 800 руб., 20%)</t>
  </si>
  <si>
    <t>875 590 000</t>
  </si>
  <si>
    <t>t1-consulting.ru, talentforce.ru, tsctech.ru</t>
  </si>
  <si>
    <t>Т1, ООО (10 000 000 руб., 100%)</t>
  </si>
  <si>
    <t>t1.ru</t>
  </si>
  <si>
    <t>СИРОККО ТЕХНОЛОДЖИ, ООО (6 940 руб., 69.40%)
ЗАКРЫТЫЙ ПАЕВОЙ ИНВЕСТИЦИОННЫЙ КОМБИНИРОВАННЫЙ ФОНД "ОСЬ" (3 050 руб., 30.50%)
Манкос Юлия Юрьевна (10 руб., 0.10%)</t>
  </si>
  <si>
    <t>0445251478@mail.ru, 1@maill.ru, anastasia.yakupova@tele2.ru, andrey.smorodumov@tele2.ru, andrry.izyumin@tele2.ru, anna.rishk@tele2.ru, anna.rishko@tele2.ru, artem.frolov@tele2.ru, aydar.devyatov@external.tele2.ru, b2b.yanao.@tele2.ru</t>
  </si>
  <si>
    <t>Т2 РТК ХОЛДИНГ, ООО (9 327 813 602.75 руб., 100%)</t>
  </si>
  <si>
    <t>14 581 370 000</t>
  </si>
  <si>
    <t>ealiev72@gmail.com, eshelaeva@bitum.ru, info@tabitum.ru, kondrateva@tabitum.ru</t>
  </si>
  <si>
    <t>tabitum.ru</t>
  </si>
  <si>
    <t>Алиев Эмиль Шевкетович (1 000 000 руб., 100%)</t>
  </si>
  <si>
    <t>174 350 000</t>
  </si>
  <si>
    <t>secretary@taber.ru</t>
  </si>
  <si>
    <t>www.podrygka.ru</t>
  </si>
  <si>
    <t>АЛЬКОР И КО, ООО (49 500 000 руб., 100%)</t>
  </si>
  <si>
    <t>196 750 000</t>
  </si>
  <si>
    <t>procurement@itella.com</t>
  </si>
  <si>
    <t>http://www.itella.ru/, www.itella.com</t>
  </si>
  <si>
    <t>ЮРФИНКОНСУЛЬТ, ООО (13 203 000 руб., 100%)</t>
  </si>
  <si>
    <t>327 720 000</t>
  </si>
  <si>
    <t>Капустина Екатерина Анатольевна (163 500 руб., 54.50%)
Еремина Надежда Евгеньевна (121 500 руб., 40.50%)
Алексеев Николай Васильевич (15 000 руб., 5%)</t>
  </si>
  <si>
    <t>evkinasv@tmk-group.com, fax@tagmet.ru, lapa@tagmet.ru, volovnikov@tagmet.ru</t>
  </si>
  <si>
    <t>www.tagmet.ru, www.tmk-group.ru</t>
  </si>
  <si>
    <t>itrs@tagras.ru, rs@tagras.ru</t>
  </si>
  <si>
    <t>tatneft-remservice.ru, тнрс.рф</t>
  </si>
  <si>
    <t>ТАГРАС-ХОЛДИНГ, ООО (196 078.44 руб., 100%)</t>
  </si>
  <si>
    <t>302 020 000</t>
  </si>
  <si>
    <t>236598@mail.ru, azs709@mail.ru, azscart@yandex.ru, d.fathrieva@taifazs.ru, d.sabirov@taifazs.ru, d.zakharova@taifazs.ru, delo@taifnk.ru, direktor@autodorstroi.ru, g.fatyhova@taifazs.ru, gmk1@taifazs.ru</t>
  </si>
  <si>
    <t>ТАИФ, АО (5 351 499 265 руб., 93.11%)
ТАИФ-НК, АО (396 098 456 руб., 6.89%)</t>
  </si>
  <si>
    <t>andreeva@tidy.ru, info@tidy.ru</t>
  </si>
  <si>
    <t>www.tidy.ru</t>
  </si>
  <si>
    <t>Орлова Людмила Александровна (535 774 003.05 руб., 50.21%)
Дутчак Валерий Корнельевич (304 088 091.87 руб., 28.49%)
Гроссман Дмитрий Феликсович (204 100 419 руб., 19.12%)
Ретунский Юрий Владимирович (23 050 686.08 руб., 2.16%)</t>
  </si>
  <si>
    <t>87 850 000</t>
  </si>
  <si>
    <t>kotlyarovaop@bngf.ru, secretar@tmrgeo.ru, tmrgeo.tmrgeo@norcom.ru</t>
  </si>
  <si>
    <t>http://www.tmrgeo.ru, www.bngf.ru</t>
  </si>
  <si>
    <t>igrm_office@segezha-group.com</t>
  </si>
  <si>
    <t>ИНТЕР ФОРЕСТ РУС, ООО (100 000 руб., 100%)</t>
  </si>
  <si>
    <t>649 620 000</t>
  </si>
  <si>
    <t>russia@takeda.com</t>
  </si>
  <si>
    <t>www.takeda.com, www.takeda.com.ru, www.takeda.ru</t>
  </si>
  <si>
    <t>"Никомед Австрия ГмбХ" (Nycomed Austria GmbH) (78 315.92 руб., 62%)
"ТАКЕДА ОСТЮРОПА ХОЛДИНГ ГМБХ" (TAKEDA OSTEUROPA HOLDING GMBH) (48 000.08 руб., 38%)</t>
  </si>
  <si>
    <t>bramsonov@20park.ru, info@20park.ru, info@tmp20.ru</t>
  </si>
  <si>
    <t>www.tmp20.ru</t>
  </si>
  <si>
    <t>info@talanteplo.ru, talanteplo@mail.ru, talanteplo@mail.ru.ru</t>
  </si>
  <si>
    <t>www.talanteplo.ru</t>
  </si>
  <si>
    <t>Степанов Александр Алексеевич (45 000 000 руб., 75%)
Ширманова Зоя Васильевна (15 000 000 руб., 25%)</t>
  </si>
  <si>
    <t>144 920 000</t>
  </si>
  <si>
    <t>fedorova.aa@talantiuspeh.ru, finadeeva.aa@talantiuspeh.ru, fond@talantiuspeh.ru, grants@talantiuspeh.ru, hotel@siriushotels.ru, hotel@siriuspark.ru, info@siriusuniversity.ru, korotaeva.ei@talantiuspeh.ru, odabashyan.aa@talantiuspeh.ru, parksirius@talantiuspeh.ru</t>
  </si>
  <si>
    <t>a.li@tvoyaapteka.ru, kalininanatalia55@yandex.ru</t>
  </si>
  <si>
    <t>Алиева Лия Наджафовна (10 000 руб., 100%)</t>
  </si>
  <si>
    <t>64 430 000</t>
  </si>
  <si>
    <t>anna.tmf@mail.ru, o.shipenko@talmz.ru</t>
  </si>
  <si>
    <t>talmoloko.ru</t>
  </si>
  <si>
    <t>Будылдин Андрей Сергеевич (17 000 руб., 42.50%)
Окунев Юрий Валерьевич (17 000 руб., 42.50%)
Попова Татьяна Сергеевна (6 000 руб., 15%)</t>
  </si>
  <si>
    <t>302 240 000</t>
  </si>
  <si>
    <t>info@talmer.ru, n.tambovceva@talmer.ru</t>
  </si>
  <si>
    <t>talmer.ru</t>
  </si>
  <si>
    <t>tss@promstroi-group.ru, tss@talspecstroi.ru, vershininaaa@talspecstroi.ru</t>
  </si>
  <si>
    <t>talspecstroi.ru</t>
  </si>
  <si>
    <t>Марченко Анатолий Анатольевич (9 700 руб., 97%)
Амирянц Эдуард Эдуардович (150 руб., 1.50%)
Машковский Виктор Валентинович (150 руб., 1.50%)</t>
  </si>
  <si>
    <t>720 070 000</t>
  </si>
  <si>
    <t>lmsorokina@ksl.ukascorp.ru</t>
  </si>
  <si>
    <t>taltek.net</t>
  </si>
  <si>
    <t>563 650 000</t>
  </si>
  <si>
    <t>tambov_indeika@list.ru</t>
  </si>
  <si>
    <t>АПК МИХАЙЛОВСКИЙ, ООО (3 399 883 048.63 руб., 50%)
ГРУППА ЧЕРКИЗОВО, ПАО (3 399 883 048.63 руб., 50%)</t>
  </si>
  <si>
    <t>_kv@tesk.tmb.ru, ccvcvb@mail.ru, cecretary_tesk@tesk.tmb.ru, ddffdq@mail.ru, gerdeevka@tesk.ru, gerdenka@tessk.tmb.ru, gerdevka@resk.tmb.ru, gerdevka@tesk.rmb.ru, gerdevka@tesk.ru, gerdevka@teska.tmb.ru</t>
  </si>
  <si>
    <t>www.tesk.tmb.ru</t>
  </si>
  <si>
    <t>drobyshevaev@mbnrs.ru, rasstegaevaia@mbnrs.ru</t>
  </si>
  <si>
    <t>http://rusagrogroup.ru</t>
  </si>
  <si>
    <t>ГРУППА КОМПАНИЙ РУСАГРО, ООО (16 511 020 000 руб., 100%)</t>
  </si>
  <si>
    <t>1 831 660 000</t>
  </si>
  <si>
    <t>СТАВРОПОЛЬСКИЙ БРОЙЛЕР, ООО (357 075 000 руб., 75%)
Наурузов Виктор Борисович (119 025 000 руб., 25%)</t>
  </si>
  <si>
    <t>i.ivanova@pokupochka.ru, license@pokupochka.ru, rahanceva@pokupochka.ru</t>
  </si>
  <si>
    <t>www.pokupochka24.ru</t>
  </si>
  <si>
    <t>КОРПОРАТИВНЫЙ ЦЕНТР ИКС 5, ООО (11 000 000 руб., 100%)</t>
  </si>
  <si>
    <t>81 850 000</t>
  </si>
  <si>
    <t>reception@henderson.ru</t>
  </si>
  <si>
    <t>ЭЙЧ ЭФ ДЖИ, АО (1 000 000 руб., 100%)</t>
  </si>
  <si>
    <t>buh5@tungstone.ru, buh6@tungstone.ru, office@tungstone.ru</t>
  </si>
  <si>
    <t>tungstone.ru</t>
  </si>
  <si>
    <t>АККУ-ФЕРТРИБ, ООО (381 000 000 руб., 100%)</t>
  </si>
  <si>
    <t>Производство первичных элементов, батарей первичных элементов и их частей</t>
  </si>
  <si>
    <t>barmotina_ob@magnit.ru, ca@magnit.ru, info@gw.tander.ru</t>
  </si>
  <si>
    <t>www.magnit-info.ru</t>
  </si>
  <si>
    <t>МАГНИТ, ПАО (100 000 000 руб.)</t>
  </si>
  <si>
    <t>39 400 870 000</t>
  </si>
  <si>
    <t>referent@office.nnpz.ru, referent@taneco.ru</t>
  </si>
  <si>
    <t>www.taneco-npz.ru, www.taneco.ru</t>
  </si>
  <si>
    <t>ТАТНЕФТЬ ИМ. В.Д. ШАШИНА, ПАО (100%)</t>
  </si>
  <si>
    <t>17 034 300 000</t>
  </si>
  <si>
    <t>145@tara.ru, 217@tara.ru, 219@tara.ru, 256@tara.ru, 804@tara.ru, ekaterina.yungina@tara.ru, tararu@yandex.ru, vktrpak@mail.ru</t>
  </si>
  <si>
    <t>Кирюхин Владимир Александрович (625 000 руб., 100%)</t>
  </si>
  <si>
    <t>23 960 000</t>
  </si>
  <si>
    <t>Мкртчян Олег Саркисович (9 500 000 руб., 95%)
Бондаренко Игорь Александрович (500 000 руб., 5%)</t>
  </si>
  <si>
    <t>1 024 200 000</t>
  </si>
  <si>
    <t>evgeniya.botoeva@auriant.com, mail.tardan@auriant.com</t>
  </si>
  <si>
    <t>www.auriant.com</t>
  </si>
  <si>
    <t>Central Asia Gold AB (Сентрал Эйша Гоулд АБ) (2 781 000 руб., 100%)</t>
  </si>
  <si>
    <t>953 830 000</t>
  </si>
  <si>
    <t>buh@tardisfarm.ru, info@tardiapharm.ru, info@tardispfarm.ru, info@tardisphaarm.ru, info@tardispharm.ru, info@tradispharm.ru, manager@tardispharm.ru, n.kurakova@tardispharm.ru, nfo@tardispharm.ru, tardis@mail.ru</t>
  </si>
  <si>
    <t>tardispharm.ru</t>
  </si>
  <si>
    <t>Мельник Татьяна Владимировна (100 000 руб., 100%)</t>
  </si>
  <si>
    <t>15 440 000</t>
  </si>
  <si>
    <t>ao.tarkett.rus@tarkett.com</t>
  </si>
  <si>
    <t>www.tarkett.com</t>
  </si>
  <si>
    <t>144 100 000</t>
  </si>
  <si>
    <t>tarkett.sommer@tarkett.com</t>
  </si>
  <si>
    <t>http://tarkett.ru/</t>
  </si>
  <si>
    <t>ТАРКЕТТ, АО (2 183 920 000 руб., 100%)</t>
  </si>
  <si>
    <t>russia@tarkett-ee.com, tarkettao@tarkett.com</t>
  </si>
  <si>
    <t>http://www.tarkett.ru</t>
  </si>
  <si>
    <t>1 290 640 000</t>
  </si>
  <si>
    <t>elena.zinoveva@tatavtodor.ru, ganieva.gylusa@tatavtodor.ru, gl_tdr@mail.ru, gulnaz.galimova@tatavtodor.ru, info@tatavtodor.ru, nadezhda.busurgina@tatavtodor.ru, nfo@tatavtodor.ru, tatavodor@mail.ru, tatavtodor000@mail.ru, uslonotr@mail.ru</t>
  </si>
  <si>
    <t>www.tatavtodor.ru</t>
  </si>
  <si>
    <t>tatbunker17@mail.ru</t>
  </si>
  <si>
    <t>Низамиев Марат Равильевич (20 000 руб., 100%)</t>
  </si>
  <si>
    <t>bayburina@tatneft.ru, tbn@tatburneft.ru, zaripovaja@tatburneft.ru</t>
  </si>
  <si>
    <t>ТАТНЕФТЬ ИМ. В.Д. ШАШИНА, ПАО (1 176 470 руб., 100%)</t>
  </si>
  <si>
    <t>475 710 000</t>
  </si>
  <si>
    <t>tatex@vkptus.oilnet.ru</t>
  </si>
  <si>
    <t>1 413 820 000</t>
  </si>
  <si>
    <t>p16_mishuralr@gks.ru, tatlizing630@mail.ru, tatlizing@bk.ru, tatlizing@mail.ru, tatlizing@tatlizing.ru</t>
  </si>
  <si>
    <t>www.tatlizing.ru</t>
  </si>
  <si>
    <t>Татарстан Респ (2 157 582 746 руб., 100%)</t>
  </si>
  <si>
    <t>fgjfdji@mail.ru, nagorkinal60@rambler.ru, nagorkinali@tatneftedor.ru, nuadpto@yandex.ru, tatneftedor@tagras.ru, tatneftedor@yandex.ru, tatnefteor@tagras.ru</t>
  </si>
  <si>
    <t>ТАГРАС-ХОЛДИНГ, ООО (14 076 764 руб., 100%)</t>
  </si>
  <si>
    <t>201 180 000</t>
  </si>
  <si>
    <t>gnata@tnps.mi.ru, grubskayanv@tnpsrt.ru, info@tnpsrt.ru, jsctnps@telebit.ru, jsctnps@telebit.ru.gnata@tnps.mi.ru, nata@tnpsrt.ru</t>
  </si>
  <si>
    <t>www.tnpsrt.ru</t>
  </si>
  <si>
    <t>fd@tatnefteprom.ru, post@tatnefteprom.ru</t>
  </si>
  <si>
    <t>tatnefteprom.ru</t>
  </si>
  <si>
    <t>472 020 000</t>
  </si>
  <si>
    <t>zuzeev@gmail.com</t>
  </si>
  <si>
    <t>859 230 000</t>
  </si>
  <si>
    <t>atp.oe@mail.ru, fedorovam@tatnett.ru, harisovah@tatneft.ru, hisamovvi@tatneft.ru, info@tatnipi.ru, khusnutdinovaya@tatneft.tatar, latypovlr@tatneft.ru</t>
  </si>
  <si>
    <t>www.tatneft.ru</t>
  </si>
  <si>
    <t>СВЯЗЬИНВЕСТНЕФТЕХИМ, АО (27.23%)
VAMOLERO HOLDINGS CO. LIMITED (2.62%)
Vamolero Holdings Co. Limited (Вамолеро Холдингс Ко. Лимитед) (2.62%)
Colima Associated S.A. (Колима Ассошиэйтед С.А.) (0.36%)
Тахаутдинов Шафагат Фахразович (0.11%)
НАЦИОНАЛЬНЫЙ НПФ, АО (0.089%)
Хисамов Раис Салихович (0.020%)
Нурмухаметов Рафаиль Саитович (0.010%)
Мухамадеев Рустам Набиуллович (0.0042%)
Салахов Ильшат Альфатович (0.0011%)
...*</t>
  </si>
  <si>
    <t>info@tn-sz.ru, julia.dondina@nesteoil.com, nesteru@neste.com</t>
  </si>
  <si>
    <t>ТН-АЗС-ЗАПАД, ООО (1 868 495 552.3 руб., 99.99%)
ТАТНЕФТЬ-АЗС ЦЕНТР, ООО (105 282.09 руб., 0.010%)</t>
  </si>
  <si>
    <t>aktiv@tatais.ru, sergeeva_tna@mail.ru, tatheft@tatar.ru</t>
  </si>
  <si>
    <t>ТАТНЕФТЬ ИМ. В.Д. ШАШИНА, ПАО (8 015 363 755.89 руб., 100%)</t>
  </si>
  <si>
    <t>УК СИСТЕМА-СЕРВИС, ООО (1 000 000 руб., 100%)</t>
  </si>
  <si>
    <t>134 510 000</t>
  </si>
  <si>
    <t>rozamc@mail.ru</t>
  </si>
  <si>
    <t>ТАТНЕФТЬ ИМ. В.Д. ШАШИНА, ПАО (6 000 120 000 руб., 100%)</t>
  </si>
  <si>
    <t>1 301 300 000</t>
  </si>
  <si>
    <t>tatneft-trans@tatais.ru</t>
  </si>
  <si>
    <t>http://www.tn-trans.tatneft.ru</t>
  </si>
  <si>
    <t>ТАТНЕФТЬ ИМ. В.Д. ШАШИНА, ПАО (10 000 руб., 100%)</t>
  </si>
  <si>
    <t>2 455 740 000</t>
  </si>
  <si>
    <t>geolog@tatoilgas.ru, reception@tatoilgas.ru</t>
  </si>
  <si>
    <t>www.tatoilgas.ru</t>
  </si>
  <si>
    <t>595 530 000</t>
  </si>
  <si>
    <t>116@tatprof.ru, gea@tatprof.ru, mos@tatprof.ru, msv@tatprof.ru</t>
  </si>
  <si>
    <t>tatprof.ru</t>
  </si>
  <si>
    <t>Производство металлических дверей и окон</t>
  </si>
  <si>
    <t>a@tatspirtprom.ru, dir@tatspirtprom.ru, dir@tatspirtpron.ru, tsp@tsp.mi.ru, vakhitov@tatspirtprom.ru</t>
  </si>
  <si>
    <t>www.tatspirtprom.com, www.tatspirtprom.ru, www.tatspirtpromru</t>
  </si>
  <si>
    <t>341 870 000</t>
  </si>
  <si>
    <t>123455nfnntktrjv@mail.ru, 123@tattelekom.ru, 129@mail.ru, 12@ttk.ru, 147tattelekom@mail.ru, 1@tattelecom.ru, 1@tattelekom.ru, 2222222@mail.ru, 223etp@zakazrf.ru, 23800000@mail.ru</t>
  </si>
  <si>
    <t>www.tattelecom.ru</t>
  </si>
  <si>
    <t>СВЯЗЬИНВЕСТНЕФТЕХИМ, АО (87.21%)
ТМТ, ООО (2.20%)</t>
  </si>
  <si>
    <t>0000@lis.ru, Tkvidtkvid@bk.ru, bttmf@mail.ru, etpttmf@mail.ru, farm.tatarstan@mail.ru, farm@bancorp.ru, fgz@mail.ru, fgz@mail.ruo, garant_tattmf@mail.ru, iuk@mail.ru</t>
  </si>
  <si>
    <t>ttmf.ru</t>
  </si>
  <si>
    <t>МИНЗЕМИМУЩЕСТВО РЕСПУБЛИКИ ТАТАРСТАН (n/a)</t>
  </si>
  <si>
    <t>agk-cel@mail.ru, agk-cel@yandex.ru</t>
  </si>
  <si>
    <t>Полякова Татьяна Васильевна (600 000 руб., 60%)
Поляков Виктор Сергеевич (200 000 руб., 20%)
Поляков Дмитрий Сергеевич (200 000 руб., 20%)</t>
  </si>
  <si>
    <t>info@tatem.ru, ppo@tatem.ru</t>
  </si>
  <si>
    <t>www.tatem.ru</t>
  </si>
  <si>
    <t>11@kts.tatenergo.ru, 11bk@mail.ru, 1234656982@m.ru, 1651027879@sabylink.ru, 18@kts.ru, 202174@mail.ru, 2021762@mail.ru, 2021849@mail.ru, 23658@mail.ru, 320015@mail.ru</t>
  </si>
  <si>
    <t>http://www.tatenergo.ru/</t>
  </si>
  <si>
    <t>СВЯЗЬИНВЕСТНЕФТЕХИМ, АО (9 435 462 899 руб.)</t>
  </si>
  <si>
    <t>34 510 000</t>
  </si>
  <si>
    <t>1112bk@mail.ru, 12345@ail.ru, 12345@masil.ru, 12345@tatenergo.ru, 123589@m.ru, 23568@mail.ru, 25009hhfgf@mail.ru, 2544@mail.ru, 320048@mail.ru, 5377887@mail.ru</t>
  </si>
  <si>
    <t>СВЯЗЬИНВЕСТНЕФТЕХИМ, АО (143 052 000 руб.)</t>
  </si>
  <si>
    <t>712 560 000</t>
  </si>
  <si>
    <t>info.fest@norebo.ru, mtf-group@uk.msk.ru, mtf3@mtf.ru</t>
  </si>
  <si>
    <t>www.mtf.ru</t>
  </si>
  <si>
    <t>СЕВЕРНАЯ ФЛОТИЛИЯ, АО (25 500 руб.)</t>
  </si>
  <si>
    <t>2 424 090 000</t>
  </si>
  <si>
    <t>secretar.tsz@sucden.ru, sorlova@sucden.ru</t>
  </si>
  <si>
    <t>tsz.sucden.ru</t>
  </si>
  <si>
    <t>98 090 000</t>
  </si>
  <si>
    <t>fabrika@tbf.ru, market@tbf.ru, tdf@kaluga.ru</t>
  </si>
  <si>
    <t>Чернышов Вадим Николаевич (150 000 руб., 50%)
Галанина Екатерина Андреевна (90 000 руб., 30%)
Серова Анна Евгеньевна (60 000 руб., 20%)</t>
  </si>
  <si>
    <t>274 760 000</t>
  </si>
  <si>
    <t>65 260 000</t>
  </si>
  <si>
    <t>maya.eliseeva@svl.ru</t>
  </si>
  <si>
    <t>ТОКАРЕВСКАЯ ПТИЦЕФАБРИКА, ОАО (30 000 000 руб., 100%)</t>
  </si>
  <si>
    <t>info@tvid.tech</t>
  </si>
  <si>
    <t>Аббакумов Артем Юрьевич (50 000 руб., 100%)</t>
  </si>
  <si>
    <t>135 610 000</t>
  </si>
  <si>
    <t>buh@tvk-ug.ru</t>
  </si>
  <si>
    <t>Господарев Николай Викторович (255 000 руб., 85%)
Кудрявцева Галина Александровна (45 000 руб., 15%)</t>
  </si>
  <si>
    <t>213 000 000</t>
  </si>
  <si>
    <t>n.zhuravleva@tavinco.ru, tvkkuban.buch@mail.ru</t>
  </si>
  <si>
    <t>РВК, ООО (62 993 231.4 руб., 51%)
Шишков Василий Иванович (48 171 294.6 руб., 39%)
Гончар Юрий Иванович (12 351 614 руб., 10%)</t>
  </si>
  <si>
    <t>29 310 000</t>
  </si>
  <si>
    <t>Квесошвили Темури Ираклиевич (1 000 000 руб., 100%)</t>
  </si>
  <si>
    <t>310 720 000</t>
  </si>
  <si>
    <t>info@tvoe.ru</t>
  </si>
  <si>
    <t>tvoe.ru</t>
  </si>
  <si>
    <t>КОМПАНИЯ "АЛДЖАМАЛ ЛИМИТЕД" (202 000 000 руб., 99.60%)
КОМПАНИЯ С ОГРАНИЧЕННОЙ ОТВЕТСТВЕННОСТЬЮ "ЭКО ФЭШН ЛИМИТЕД" (810 000 руб., 0.40%)</t>
  </si>
  <si>
    <t>1 049 010 000</t>
  </si>
  <si>
    <t>st-franshiza.ru</t>
  </si>
  <si>
    <t>Душин Александр Сергеевич (10 000 руб., 100%)</t>
  </si>
  <si>
    <t>102 120 000</t>
  </si>
  <si>
    <t>center@transws.ru, dkolbasyuk@transws.ru, majorovoa@transws.ru, torgi@transws.ru</t>
  </si>
  <si>
    <t>www.transws.ru</t>
  </si>
  <si>
    <t>info@tvsmo.ru, protvino@tvsmo.ru, pugaevartur@gmail.com, sbit@tvsmo.ru, sivcova.ar@tvsmo.ru, tvc2020@eandex.ru, tvc2020@yandex.ru, tvs2020@yandex.ru</t>
  </si>
  <si>
    <t>tvsmo.ru</t>
  </si>
  <si>
    <t>Царегородцев Александр Витальевич (100 000 руб., 100%)</t>
  </si>
  <si>
    <t>info@tvsz.ru, obutorlina@tvsz.ru</t>
  </si>
  <si>
    <t>tvsz.ru</t>
  </si>
  <si>
    <t>info@tvel.ru, irvsemenyuk@tvel.ru, root@tvel.ru, yvilyukhin@tvel.ru</t>
  </si>
  <si>
    <t>www.tvel.ru</t>
  </si>
  <si>
    <t>АТОМЭНЕРГОПРОМ, АО (22 961 670 руб.)</t>
  </si>
  <si>
    <t>9 649 660 000</t>
  </si>
  <si>
    <t>info@tvel-stroy.ru</t>
  </si>
  <si>
    <t>tvel-stroy.ru</t>
  </si>
  <si>
    <t>ЧМЗ, АО (24.98%)</t>
  </si>
  <si>
    <t>12 910 000</t>
  </si>
  <si>
    <t>info@tgrzdtrans.ru</t>
  </si>
  <si>
    <t>Буданов Алексей Витальевич (1 020 000 руб., 100%)</t>
  </si>
  <si>
    <t>312 310 000</t>
  </si>
  <si>
    <t>alekseev@tgsoyuz.ru</t>
  </si>
  <si>
    <t>elikon-rs.ru</t>
  </si>
  <si>
    <t>ПРОМЭКС, ООО (25 011 000 руб., 100%)</t>
  </si>
  <si>
    <t>330 120 000</t>
  </si>
  <si>
    <t>baranovskiy_vs@tgk11.com, harchevnikovev@tgk11.com, hotline@interrao.ru, kharchevnikov_ev@tgk11.com, lapa_os@tgk11.com, plotnikova_sa@tgk11.com, salikova_ym@tgk11.com, savenkova_yv@tgk11.com, streltsova_yi@tgk11.com, tgk11@tgk11.com</t>
  </si>
  <si>
    <t>1 916 230 000</t>
  </si>
  <si>
    <t>89243868438@yandex.ru, alphacompro@mail.ru, delo@14.com, delo@tgk.mail.ru, delo@tsb14.com, delo@tsbut.tgk, delo@tsby14.com, delo@tsbyt.tgk, delo@tsbyt.tgk.ru, delo@tsbyt14.com</t>
  </si>
  <si>
    <t>www.tgk-14.com</t>
  </si>
  <si>
    <t>ДУК, АО (93.80%)
ДЕПАРТАМЕНТ ИМУЩЕСТВА ЗАБАЙКАЛЬСКОГО КРАЯ (0.0000021%)
ФОНД ИМУЩЕСТВА РОСТОВСКОЙ ОБЛАСТИ, ГКУ РО (0.000000060%)
ГСК ЮГОРИЯ, АО (0.000000050%)
Финансовое управление администрации Оренбургской области (0.000000040%)
МИНФИН ОРЕНБУРГСКОЙ ОБЛАСТИ (0.000000030%)
Муниципальное образовательное учреждение смешанного типа детский дом (0.000000010%)</t>
  </si>
  <si>
    <t>galimullinaao@tgc16.ru, glebovso@tgc16.ru, office@tgc16.ru, office@tgk16.ru, office_tgc16@sibur.ru</t>
  </si>
  <si>
    <t>tgc16.ru</t>
  </si>
  <si>
    <t>ТАИФ, АО (10 000 000 руб., 100%)</t>
  </si>
  <si>
    <t>2 838 060 000</t>
  </si>
  <si>
    <t>abel@arsk.arhen.ru, admsoiga165711@yandex.ru, aes@aes.tgc-2.ru, amro@aes.tgc.ru, amro@aes.tgc2.ru, amro@mail.ru, jardeti@rusobr.ru, jardeti@yandex.ru, ko@arhen.ru, kulikovo.smirnova@yandex.ru</t>
  </si>
  <si>
    <t>tgc2-energo.ru</t>
  </si>
  <si>
    <t>ТГК-2, ПАО (74 000 руб., 74%)
Архангельская обл (26 000 руб., 26%)</t>
  </si>
  <si>
    <t>102 480 000</t>
  </si>
  <si>
    <t>240887oa@bk.ru, 797979@mail.ru, 797979@yandex.ru, agh.uesda@tgc.ru, agts.gta.pts@tgc.ru, arh.uesda@tgc.ru, arh.uesda@tgc_2.ru, arh.uesds@mail.ru, arh.uesds@tgc.ru, arh@tgc2.mail.ru</t>
  </si>
  <si>
    <t>www.tgc-2.ru</t>
  </si>
  <si>
    <t>СОВЛИНК, ООО (57.80%)
KOSTROMA KOGENERATSIYA LIMITED (23.59%)</t>
  </si>
  <si>
    <t>fedresurs2018@mail.ru, inf0@tgs.com.ru, info@tgs.com.ru, shaa@priss.ru</t>
  </si>
  <si>
    <t>www.tgs.com.ru</t>
  </si>
  <si>
    <t>Шульжик Сергей Константинович (961 700 000 руб., 100%)</t>
  </si>
  <si>
    <t>44 470 000</t>
  </si>
  <si>
    <t>vino.ru</t>
  </si>
  <si>
    <t>АБРАУ-ДЮРСО, ПАО (9 999 900 руб., 99.99%)
АБРАУ-ДЮРСО, ЗАО (100 руб., 0.0010%)</t>
  </si>
  <si>
    <t>206 660 000</t>
  </si>
  <si>
    <t>Ямницкий Александр Маркович (135 320 000 руб., 99.50%)
Федорова Оксана Всеволодовна (680 000 руб., 0.50%)</t>
  </si>
  <si>
    <t>303 490 000</t>
  </si>
  <si>
    <t>avers95@mail.ru</t>
  </si>
  <si>
    <t>www.avers95.ru</t>
  </si>
  <si>
    <t>Белина Галина Даниловна (5 200 руб., 52%)
Гуляева Наталия Ивановна (2 400 руб., 24%)
Полковникова Ольга Ивановна (2 400 руб., 24%)</t>
  </si>
  <si>
    <t>tender@akb22.ru</t>
  </si>
  <si>
    <t>akb22.ru</t>
  </si>
  <si>
    <t>Каулин Виктор Владимирович (10 000 руб., 80%)
Каулина Ирина Андреевна (2 500 руб., 20%)</t>
  </si>
  <si>
    <t>6 440 000</t>
  </si>
  <si>
    <t>moiseeva@tdab.ru, td@tdab.ru</t>
  </si>
  <si>
    <t>tdab.ru</t>
  </si>
  <si>
    <t>АГРОКОМПЛЕКС ИМ. Н.И.ТКАЧЕВА, АО ФИРМА (10 000 руб., 100%)</t>
  </si>
  <si>
    <t>9 240 000</t>
  </si>
  <si>
    <t>pashevichss@gaz.ru, pashkevichss@gaz.ru, tdurlz@miass.ru, vasilyevam@uiaz.ru</t>
  </si>
  <si>
    <t>АЗ УРАЛ , АО АВТОМОБИЛЬНЫЙ ЗАВОД УРАЛ, АО (3 000 000 руб., 100%)</t>
  </si>
  <si>
    <t>256 190 000</t>
  </si>
  <si>
    <t>sergeimairaslov@gmail.com</t>
  </si>
  <si>
    <t>АККОНД, АО (250 000 руб., 100%)</t>
  </si>
  <si>
    <t>fazleev@akulchev.ru, kozlova@akulchev.ru, shaihnurov@akulchev.ru, staff@akulchev.ru</t>
  </si>
  <si>
    <t>www.akulchev.ru</t>
  </si>
  <si>
    <t>Акульчев Сергей Николаевич (25 000 руб., 100%)</t>
  </si>
  <si>
    <t>5 640 000</t>
  </si>
  <si>
    <t>info@alskom.ru, truba@alskom.ru</t>
  </si>
  <si>
    <t>Рыбников Сергей Викторович (20 000 руб., 100%)</t>
  </si>
  <si>
    <t>154 530 000</t>
  </si>
  <si>
    <t>АМР, АО (30 000 руб., 100%)</t>
  </si>
  <si>
    <t>660 000</t>
  </si>
  <si>
    <t>areal@aha.msk.ru, asale@areal.msk.ru, max@mlst.ru</t>
  </si>
  <si>
    <t>https://areal-metal.ru/, www.areal.msk.ru</t>
  </si>
  <si>
    <t>Левков Андрей Владимирович (3 800 000 руб., 50%)
Шушарин Максим Анатольевич (3 800 000 руб., 50%)</t>
  </si>
  <si>
    <t>1 215 340 000</t>
  </si>
  <si>
    <t>info@aroma.ru, komarov1233@yandex.ru</t>
  </si>
  <si>
    <t>Задорин Павел Борисович (10 000 000 руб., 100%)</t>
  </si>
  <si>
    <t>askona@kovrov.ru, chebpodarki@yandex.ru, naplavkova_oa@askona.ru, skona@kovrov.ru</t>
  </si>
  <si>
    <t>askona.ru</t>
  </si>
  <si>
    <t>КОМПАНИЯ "ХЕЙЛКРОФТ ЛИМИТЕД" (5 760 976 руб., 100%)</t>
  </si>
  <si>
    <t>1 483 420 000</t>
  </si>
  <si>
    <t>contact@baltbereg.com, nemichev.a@baltbereg.com</t>
  </si>
  <si>
    <t>http://www.baltbereg.com/</t>
  </si>
  <si>
    <t>СБК КЗМ ПЛЮС, ООО (337 692 686.42 руб., 100%)</t>
  </si>
  <si>
    <t>517 010 000</t>
  </si>
  <si>
    <t>Мусин Ильдар Ибрагимович (5 000 руб., 50%)
Сафин Ирек Ильфатович (5 000 руб., 50%)</t>
  </si>
  <si>
    <t>52 120 000</t>
  </si>
  <si>
    <t>tdbate@9958258.ru</t>
  </si>
  <si>
    <t>www.tdbate.ru</t>
  </si>
  <si>
    <t>ОАО "БАТЭ" - управляющая компания холдинга "Автокомпоненты" (30 010 000 руб., 100%)</t>
  </si>
  <si>
    <t>i.nesterova@tdbelaz.ru</t>
  </si>
  <si>
    <t>2 602 660 000</t>
  </si>
  <si>
    <t>belgpk@belgtts.ru</t>
  </si>
  <si>
    <t>Сиротенко Елена Петровна (10 000 руб., 50%)
Сиротенко Сергей Иванович (8 000 руб., 40%)
Слюсарева Наталья Николаевна (2 000 руб., 10%)</t>
  </si>
  <si>
    <t>Торговля оптовая мучными кондитерскими изделиями</t>
  </si>
  <si>
    <t>Петросян Марина Эдуардовна (300 000 руб., 100%)</t>
  </si>
  <si>
    <t>108 410 000</t>
  </si>
  <si>
    <t>Дудков Сергей Васильевич (1 010 000 руб., 52%)
Фокас Видмантас (466 153.85 руб., 24%)
Харитонова Валентина Сергеевна (466 153.85 руб., 24%)</t>
  </si>
  <si>
    <t>375 020 000</t>
  </si>
  <si>
    <t>6164221031_616801001@eo.tensor.ru, velan-td@aaanet.ru, velan-td@velan-td.ru, velan-td@velfn-td.ru</t>
  </si>
  <si>
    <t>velan.ru, www.velan-ex.com</t>
  </si>
  <si>
    <t>ВЭЛАН, ОАО (510 000 руб., 51%)
Чебанов Олег Аркадьевич (490 000 руб., 49%)</t>
  </si>
  <si>
    <t>35 990 000</t>
  </si>
  <si>
    <t>Рынденков Юрий Викторович (10 000 руб., 100%)</t>
  </si>
  <si>
    <t>21 640 000</t>
  </si>
  <si>
    <t>www.globalfoods.ru</t>
  </si>
  <si>
    <t>МЦЦР БЕТАЙЛИГУНГС ГМБХ (100 000 руб., 100%)</t>
  </si>
  <si>
    <t>83 720 000</t>
  </si>
  <si>
    <t>info@gum.ru, yarochkinam@gum.ru</t>
  </si>
  <si>
    <t>www.gum.ru, www.gum.ru/issuer</t>
  </si>
  <si>
    <t>1 765 380 000</t>
  </si>
  <si>
    <t>zakharova_e.a@mail.ru</t>
  </si>
  <si>
    <t>Журенков Иван Алексеевич (5 000 руб., 50%)
Новикова Анна Сергеевна (5 000 руб., 50%)</t>
  </si>
  <si>
    <t>ganovichevaln@eurosib-td.ru, trade@eurosib-td.ru</t>
  </si>
  <si>
    <t>БАЙКАЛИНВЕСТЭНЕРГО, ООО (10 000 руб., 50.01%)
ЕВРОСИБЭНЕРГО, АО (3 996.5 руб., 19.99%)
АВТОЗАВОДСКАЯ ТЭЦ, ООО (1 999.5 руб., 10%)
КРАСНОЯРСКАЯ ГЭС, АО (1 999.5 руб., 10%)
ЭНСЕР, АО (1 999.5 руб., 10%)</t>
  </si>
  <si>
    <t>507 210 000</t>
  </si>
  <si>
    <t>td-zernozavol34@yandex.ru, zagotzerno34@yandex.ru</t>
  </si>
  <si>
    <t>Карсаков Рашид Ельтаевич (53 730 000 руб., 100%)</t>
  </si>
  <si>
    <t>183 470 000</t>
  </si>
  <si>
    <t>СТЕПЬ, АО АГРОХОЛДИНГ (10 000 руб., 100%)</t>
  </si>
  <si>
    <t>18 930 000</t>
  </si>
  <si>
    <t>ТК-ИНВЕСТ, ООО (1 000 000 руб., 100%)</t>
  </si>
  <si>
    <t>335 280 000</t>
  </si>
  <si>
    <t>Беляев Дмитрий Владимирович (150 000 руб., 100%)</t>
  </si>
  <si>
    <t>165 370 000</t>
  </si>
  <si>
    <t>byhuralpatoka@mail.ru, partina2011@mail.ru, patoka@tdkrp.ru</t>
  </si>
  <si>
    <t>tdkrahmalproduct.ru</t>
  </si>
  <si>
    <t>Голенцев Алексей Валерьевич (7 500 руб., 50%)
Иванов Сергей Николаевич (7 500 руб., 50%)</t>
  </si>
  <si>
    <t>136 090 000</t>
  </si>
  <si>
    <t>ermakowa-anyuta2010@yandex.ru</t>
  </si>
  <si>
    <t>Ким Владимир Анатольевич (10 000 000 руб., 100%)</t>
  </si>
  <si>
    <t>74 640 000</t>
  </si>
  <si>
    <t>ТРОЛЬ-АВТО, ООО (28 080 000 руб., 52%)
Гаврилов Александр Александрович (8 640 000 руб., 16%)
Рудаков Александр Владимирович (8 640 000 руб., 16%)
Рудаков Олег Владимирович (8 640 000 руб., 16%)</t>
  </si>
  <si>
    <t>kombinat88888@yandex.ru</t>
  </si>
  <si>
    <t>Васильев Андрей Юрьевич (10 000 руб., 100%)</t>
  </si>
  <si>
    <t>10 030 000</t>
  </si>
  <si>
    <t>shurygina_ma@tdkhz.com</t>
  </si>
  <si>
    <t>Зубицкий Евгений Борисович (102 000 руб., 85%)
ЗАКРЫТЫЙ ПАЕВОЙ ИНВЕСТИЦИОННЫЙ КОМБИНИРОВАННЫЙ ФОНД "МЕТАЛЛ ЭКСПЕРТ" (18 000 руб., 15%)</t>
  </si>
  <si>
    <t>4 159 190 000</t>
  </si>
  <si>
    <t>hachikov@qtech.ru</t>
  </si>
  <si>
    <t>Шитиков Иван Александрович (100 000 руб., 100%)</t>
  </si>
  <si>
    <t>86 810 000</t>
  </si>
  <si>
    <t>Каранчук Пётр Сергеевич (104 100 000 руб., 100%)</t>
  </si>
  <si>
    <t>2 011 170 000</t>
  </si>
  <si>
    <t>direktor@msk.lazurit.com, o.kashnikova@lazurit.com, office@cks.lazurit.com, orendir@ekb.lazurit.com</t>
  </si>
  <si>
    <t>lazurit.com</t>
  </si>
  <si>
    <t>Мигушов Игорь Алексеевич (33 000 руб., 100%)</t>
  </si>
  <si>
    <t>Торговля розничная мебелью в специализированных магазинах</t>
  </si>
  <si>
    <t>129 860 000</t>
  </si>
  <si>
    <t>sale@lekron.com</t>
  </si>
  <si>
    <t>Осокин Михаил Владимирович (75 000 руб., 75%)
Ивченков Кирилл Владимирович (25 000 руб., 25%)</t>
  </si>
  <si>
    <t>134 990 000</t>
  </si>
  <si>
    <t>Трубин Сергей Владимирович (10 000 000 руб., 100%)</t>
  </si>
  <si>
    <t>logostd@yandex.ru</t>
  </si>
  <si>
    <t>Иляхина Юлия Александровна (100 000 руб., 100%)</t>
  </si>
  <si>
    <t>info@m-k.ru</t>
  </si>
  <si>
    <t>http://m-k.ru</t>
  </si>
  <si>
    <t>Ильина Валентина Васильевна (100 000 руб., 100%)</t>
  </si>
  <si>
    <t>57 360 000</t>
  </si>
  <si>
    <t>megadon@aaanet.ru, tanya.ta0975@yandex.ru</t>
  </si>
  <si>
    <t>ploshadrostov.ru</t>
  </si>
  <si>
    <t>Хбликян Ашот Кеворкович (5 000 000 руб., 50%)
Хбликян Карапет Аршалуисович (5 000 000 руб., 50%)</t>
  </si>
  <si>
    <t>7816198943@eo.tensor.ru, info@mgpol.ru, oksana.lihacheva@mgpol.ru</t>
  </si>
  <si>
    <t>mgpol.ru</t>
  </si>
  <si>
    <t>Дрейзин Михаил Борисович (10 000 руб., 100%)</t>
  </si>
  <si>
    <t>10 590 000</t>
  </si>
  <si>
    <t>office@mindal.biz</t>
  </si>
  <si>
    <t>mindalmarket.ru</t>
  </si>
  <si>
    <t>НЕОТРЕЙД, ООО (10 000 000 руб., 100%)</t>
  </si>
  <si>
    <t>belyaeva.tg@ip-fpk.ru</t>
  </si>
  <si>
    <t>www.mirkolbas.com</t>
  </si>
  <si>
    <t>Наниева Галина Михайловна (500 000 руб., 100%)</t>
  </si>
  <si>
    <t>cbapko@mail.ru, shtanko@mir-svarki.ru</t>
  </si>
  <si>
    <t>Крисько Виталий Александрович (1 668 700 руб., 100%)</t>
  </si>
  <si>
    <t>МОЛКОМ, АО (10 000 руб., 100%)</t>
  </si>
  <si>
    <t>22 900 000</t>
  </si>
  <si>
    <t>9857671706@mail.ru, alvaram@list.ru, info@tdmtz.ru, n.td-mtz@yandex.ru, td.mtz.gd@yandex.ru</t>
  </si>
  <si>
    <t>www.tdmtz.ru, www.tractors.com.by</t>
  </si>
  <si>
    <t>ОАО "МТЗ" (100 000 руб., 100%)</t>
  </si>
  <si>
    <t>115 140 000</t>
  </si>
  <si>
    <t>ptr.st.mtz@yandex.ru, td_mtz-stavropol@mail.ru, td_mtz_stavropol@mail.ru</t>
  </si>
  <si>
    <t>mtz-yug.ru</t>
  </si>
  <si>
    <t>ОАО "МТЗ" (300 000 руб., 100%)</t>
  </si>
  <si>
    <t>231 380 000</t>
  </si>
  <si>
    <t>neva-td.ru</t>
  </si>
  <si>
    <t>Королев Игорь Геннадиевич (20 000 руб., 100%)</t>
  </si>
  <si>
    <t>27 990 000</t>
  </si>
  <si>
    <t>glazunova@nzsp.org, nszp_007buh@mail.ru</t>
  </si>
  <si>
    <t>nzsp.org</t>
  </si>
  <si>
    <t>Притчин Иван Петрович (150 000 руб., 50%)
Тузко Денис Владимирович (150 000 руб., 50%)</t>
  </si>
  <si>
    <t>15 450 000</t>
  </si>
  <si>
    <t>РЕЙЛ1520 ИНВЕСТ, ООО (9 900 руб., 99%)
"ОВИЛЛЕНО ХОЛДИНГС ЛТД" (100 руб., 1%)</t>
  </si>
  <si>
    <t>natasha@oriontrade.ru</t>
  </si>
  <si>
    <t>Курылев Александр Святославович (10 000 руб., 100%)</t>
  </si>
  <si>
    <t>167 060 000</t>
  </si>
  <si>
    <t>office@partner-lider.ru, pankratova@partner-lider.ru</t>
  </si>
  <si>
    <t>partner-lider.ru</t>
  </si>
  <si>
    <t>54 080 000</t>
  </si>
  <si>
    <t>ТДА, ООО (990 000 руб., 99%)
Маевский Андрей Александрович (10 000 руб., 1%)</t>
  </si>
  <si>
    <t>44 060 000</t>
  </si>
  <si>
    <t>demeshina@polymetal.ru, demtshina@polymetal.ru, info@polymetal.ru</t>
  </si>
  <si>
    <t>ПОЛИМЕТАЛЛ, АО (1 185 000 000 руб., 100%)</t>
  </si>
  <si>
    <t>238 810 000</t>
  </si>
  <si>
    <t>Глуховский Павел Алексеевич (4 770 руб., 47.70%)
Митин Сергей Владимирович (3 330 руб., 33.30%)
Подставочкин Александр Сергеевич (1 900 руб., 19%)</t>
  </si>
  <si>
    <t>1 271 200 000</t>
  </si>
  <si>
    <t>Озердем Татьяна Александровна (20 000 руб., 100%)</t>
  </si>
  <si>
    <t>184 720 000</t>
  </si>
  <si>
    <t>ba@prodservice.ru, info@prodservise.ru, legalova@prodservice.ru</t>
  </si>
  <si>
    <t>prodservice.ru, www.prodservis.ru</t>
  </si>
  <si>
    <t>Шекалян Дмитрий Николаевич (333 400 руб., 33.34%)
Будуров Михаил Афанасьевич (333 300 руб., 33.33%)
Мальцев Владимир Иванович (333 300 руб., 33.33%)</t>
  </si>
  <si>
    <t>connect@proplex.ru, director@krasnoyarsk.proplex.ru, proplex@mail.ru, service@proplex.ru</t>
  </si>
  <si>
    <t>proplex.ru</t>
  </si>
  <si>
    <t>Кирпичников Валерий Александрович (26 000 руб., 65%)
Чистяков Леонид Станиславович (14 000 руб., 35%)</t>
  </si>
  <si>
    <t>34 810 000</t>
  </si>
  <si>
    <t>ooorps@mail.ru, v.yuliya@ooorps.ru, zaharchenko@ooorps.ru</t>
  </si>
  <si>
    <t>ooorps.ru</t>
  </si>
  <si>
    <t>Самсонов Сергей Юрьевич (51 000 000 руб., 100%)</t>
  </si>
  <si>
    <t>73 340 000</t>
  </si>
  <si>
    <t>comdirtdrif@gmail.com, oootdrif@gmail.com</t>
  </si>
  <si>
    <t>rif-rostov.ru</t>
  </si>
  <si>
    <t>Ходыкин Петр Викторович (2 363 635 000 руб., 100%)</t>
  </si>
  <si>
    <t>520 560 000</t>
  </si>
  <si>
    <t>www.roust.com</t>
  </si>
  <si>
    <t>РУСТ РОССИЯ, АО (9 999 000 руб., 99%)
ТД РУССКИЙ АЛКОГОЛЬ, ООО (101 000 руб., 1%)</t>
  </si>
  <si>
    <t>11 070 000</t>
  </si>
  <si>
    <t>aigxx@yandex.ru, azafakov@rusholod.ru, info@ruscream.ru</t>
  </si>
  <si>
    <t>rusholod.ru</t>
  </si>
  <si>
    <t>Торговля оптовая мороженым и замороженными десертами</t>
  </si>
  <si>
    <t>100 180 000</t>
  </si>
  <si>
    <t>www.rfpgroup.ru</t>
  </si>
  <si>
    <t>ДАЛЬЛЕСПРОМ, АО (480 000 руб., 100%)</t>
  </si>
  <si>
    <t>mail@fed.saturn.net</t>
  </si>
  <si>
    <t>Цейтлин Александр Исаевич (30 000 руб., 100%)</t>
  </si>
  <si>
    <t>146 340 000</t>
  </si>
  <si>
    <t>ooo.tdsnp@mail.ru</t>
  </si>
  <si>
    <t>Гарибов Леван Арамович (10 000 руб., 100%)</t>
  </si>
  <si>
    <t>tdsvinprom@mail.ru</t>
  </si>
  <si>
    <t>svinprom.ru</t>
  </si>
  <si>
    <t>6 280 000</t>
  </si>
  <si>
    <t>td.sever@inbox.ru</t>
  </si>
  <si>
    <t>ТДА, ООО (990 000 руб., 99%)
Кудрявцев Алексей Владимирович (10 000 руб., 1%)</t>
  </si>
  <si>
    <t>35 850 000</t>
  </si>
  <si>
    <t>ТДА, ООО (990 000 руб., 99%)
Игнатов Владимир Юрьевич (10 000 руб., 1%)</t>
  </si>
  <si>
    <t>64 850 000</t>
  </si>
  <si>
    <t>www.stynergy.com</t>
  </si>
  <si>
    <t>Носиков Григорий Александрович (10 005 000 руб., 50%)
Халдер Тапас Кумар (10 005 000 руб., 50%)</t>
  </si>
  <si>
    <t>173 080 000</t>
  </si>
  <si>
    <t>ТДА, ООО (990 000 руб., 99%)
Дьяков Сергей Сергеевич (10 000 руб., 1%)</t>
  </si>
  <si>
    <t>248 930 000</t>
  </si>
  <si>
    <t>sfera35@bk.ru, sfera35@mail.ru</t>
  </si>
  <si>
    <t>Мутаев Гази Магомедович (10 000 руб., 100%)</t>
  </si>
  <si>
    <t>150 430 000</t>
  </si>
  <si>
    <t>tinko@tinko.ru</t>
  </si>
  <si>
    <t>tinko.ru</t>
  </si>
  <si>
    <t>Жаворонков Виктор Николаевич (4 000 000 руб., 40%)
Мастеров Валерий Евгеньевич (3 000 000 руб., 30%)
Нечаев Дмитрий Александрович (3 000 000 руб., 30%)</t>
  </si>
  <si>
    <t>465 550 000</t>
  </si>
  <si>
    <t>info@toledo24.ru</t>
  </si>
  <si>
    <t>Сухонина Ирина Витальевна (60 500 руб., 57.60%)
Гордеев Дмитрий Михайлович (44 550 руб., 42.40%)</t>
  </si>
  <si>
    <t>230 410 000</t>
  </si>
  <si>
    <t>mer22@mail.ru</t>
  </si>
  <si>
    <t>dara.ru</t>
  </si>
  <si>
    <t>Седов Игорь Васильевич (500 000 руб., 100%)</t>
  </si>
  <si>
    <t>31 500 000</t>
  </si>
  <si>
    <t>aipatov@trakt.ru, cf@newreg.ru, chudesa@trakt.ru, demchenko@trakt.ru, e.dyundik@trakt.ru, gorlova@trakt.ru, irkutsk@trakt.ru, kovaleva@trakt.ru, krasnoyarsk@trakt.ru, kulakov@trakt.ru</t>
  </si>
  <si>
    <t>131 600 000</t>
  </si>
  <si>
    <t>pechenina741@gmail.com, popyeva.na@mail.ru, td_tranceoil@mail.ru, torgi-td@mail.ru, torgi04@mail.ru, transoil-nvkz@mail.ru</t>
  </si>
  <si>
    <t>ЛВ КАПИТАЛ, ООО (1 000 000 руб., 100%)</t>
  </si>
  <si>
    <t>buh@tdtagrokom.ru, mail@mazutbitum.ru</t>
  </si>
  <si>
    <t>www.мазут-битум.рф</t>
  </si>
  <si>
    <t>Корчагин Павел Викторович (73 133 125 руб., 81.25%)
Осмоловская Дарья Дмитриевна (5 625 625 руб., 6.25%)
Осмоловская Раиса Ивановна (5 625 625 руб., 6.25%)
Осмоловский Сергей Владимирович (5 625 625 руб., 6.25%)</t>
  </si>
  <si>
    <t>23 280 000</t>
  </si>
  <si>
    <t>Кшенникова Валентина Алексеевна (2 670 руб., 26.70%)
Макарова Галина Алексеевна (2 670 руб., 26.70%)
Резникова Марина Алексеевна (2 660 руб., 26.60%)
Кокота Наталья Борисовна (2 000 руб., 20%)</t>
  </si>
  <si>
    <t>44 980 000</t>
  </si>
  <si>
    <t>ada_00@mail.ru</t>
  </si>
  <si>
    <t>stolstul-shop.ru</t>
  </si>
  <si>
    <t>Фирсов Алексей Викторович (5 000 руб., 50%)
Фирсов Юрий Викторович (5 000 руб., 50%)</t>
  </si>
  <si>
    <t>Торговля оптовая бытовой мебелью</t>
  </si>
  <si>
    <t>shurigina_ta@metholding.com</t>
  </si>
  <si>
    <t>ТД РУДА, ООО (9 900 руб., 99%)
ТД КХЗ, ООО (100 руб., 1%)</t>
  </si>
  <si>
    <t>136 180 000</t>
  </si>
  <si>
    <t>gl.buh@td-tes.com, irina.lyashik@td-tes.com</t>
  </si>
  <si>
    <t>Пурим Люция Федоровна (300 000 руб., 30%)
Бейм Геннадий Айзикович (250 000 руб., 25%)
Бейм Любовь Сергеевна (225 000 руб., 22.50%)
Бейм Эдуард Геннадиевич (225 000 руб., 22.50%)</t>
  </si>
  <si>
    <t>info@tpm.msk.ru</t>
  </si>
  <si>
    <t>tdtpm.ru</t>
  </si>
  <si>
    <t>Демидова Оксана Евгеньевна (1 000 000 руб., 100%)</t>
  </si>
  <si>
    <t>702 600 000</t>
  </si>
  <si>
    <t>info@ultrafish.ru</t>
  </si>
  <si>
    <t>Кузин Алексей Николаевич (70 000 руб., 70%)
Ишбулатов Олег Гизатуллович (30 000 руб., 30%)</t>
  </si>
  <si>
    <t>926 040 000</t>
  </si>
  <si>
    <t>sales@uncomtech.ru, tender@uncomtech.com</t>
  </si>
  <si>
    <t>www.uncomtech.com, www.uncomtech.ru</t>
  </si>
  <si>
    <t>Компания с огран.ответ."DОLЕN INVЕSТМЕNТS LIМIТЕD" (реестр акц. от 22.04.14) (5 000 000 руб., 100%)</t>
  </si>
  <si>
    <t>335 800 000</t>
  </si>
  <si>
    <t>ТДА, ООО (990 000 руб., 99%)
Плюснин Дмитрий Леонидович (10 000 руб., 1%)</t>
  </si>
  <si>
    <t>66 650 000</t>
  </si>
  <si>
    <t>dai@uraldolomit.ru, grankin@uraldolomit.ru, info@uraldolomit.ru, mva@transsibural.ru, o.ivanova@uraldolomit.ru, ok@uraldolomit.ru, shalaiko@transsibural.ru, vlasova161180@yandex.ru</t>
  </si>
  <si>
    <t>Мазуркевич Сергей Леонидович (3 000 000 руб., 100%)</t>
  </si>
  <si>
    <t>850 410 000</t>
  </si>
  <si>
    <t>oootdelekom2019@gmail.com, oootduralenergo@gmail.com</t>
  </si>
  <si>
    <t>td-uralenergo.ru</t>
  </si>
  <si>
    <t>Красильников Александр Владимирович (150 000 руб., 60%)
Швецов Сергей Геннадьевич (100 000 руб., 40%)</t>
  </si>
  <si>
    <t>243 730 000</t>
  </si>
  <si>
    <t>Якубовский Константин Владимирович (10 000 руб., 100%)</t>
  </si>
  <si>
    <t>vologda@td-format.com</t>
  </si>
  <si>
    <t>Андреев Алексей Николаевич (5 011 000 руб., 100%)</t>
  </si>
  <si>
    <t>358 870 000</t>
  </si>
  <si>
    <t>fregat.agro@mail.ru, kagrotreyd@mail.ru</t>
  </si>
  <si>
    <t>Тихомиров Андрей Михайлович (100 000 руб., 100%)</t>
  </si>
  <si>
    <t>fotex@foresltd.com</t>
  </si>
  <si>
    <t>www.foresltd.com</t>
  </si>
  <si>
    <t>ФОРЭС, ООО (10 000 руб., 100%)</t>
  </si>
  <si>
    <t>КОМПАНИЯ С ОГРАНИЧЕННОЙ ОТВЕТСТВЕННОСТЬЮ "ХАЙЛОНГ ЭНЕРДЖИ ЛИМИТЕД" (297 000 руб., 99%)
"ХАЙЛОНГ ИНВЕСТМЕНТ ЛТД" (3 000 руб., 1%)</t>
  </si>
  <si>
    <t>gridneva@halmek.ru, info@halmek.ru, pavlov@halmek.ru</t>
  </si>
  <si>
    <t>https://halmeklithium.com, www.halmek.ru</t>
  </si>
  <si>
    <t>Галченко Павел Сергеевич (150 000 руб., 50%)
Сухинин Дмитрий Борисович (150 000 руб., 50%)</t>
  </si>
  <si>
    <t>906 160 000</t>
  </si>
  <si>
    <t>tdhimagro@mail.ru</t>
  </si>
  <si>
    <t>tdhimagro.ru</t>
  </si>
  <si>
    <t>Старожук Григорий Геннадьевич (1 000 000 руб., 100%)</t>
  </si>
  <si>
    <t>176 070 000</t>
  </si>
  <si>
    <t>hcfond@hcdom.ru, hcoeu@hcdom.ru</t>
  </si>
  <si>
    <t>www.hcdom.ru</t>
  </si>
  <si>
    <t>ХОЛДИНГ-ЦЕНТР, ЗАО (57.95%)
Чирков Валерий Викторович (9.81%)
Сучков Виктор Николаевич (6.79%)
Майорова Регина Николаевна (5.85%)
Барыкин Сергей Васильевич (0.70%)
Бычков Валерий Владимирович (0.37%)
Акимкин Сергей Николаевич (0.17%)
Орлова Елена Юрьевна (0.15%)
Перфилов Игорь Николаевич (0.070%)</t>
  </si>
  <si>
    <t>41 630 000</t>
  </si>
  <si>
    <t>info@tsum.ru, ynapadiy@tsum.ru</t>
  </si>
  <si>
    <t>5 174 570 000</t>
  </si>
  <si>
    <t>td@tdhleb.ru</t>
  </si>
  <si>
    <t>www.tdhleb.ru</t>
  </si>
  <si>
    <t>ЧЕЛНЫ-ХЛЕБ, АО (300 000 руб., 100%)</t>
  </si>
  <si>
    <t>petelinka.ru</t>
  </si>
  <si>
    <t>ГРУППА ЧЕРКИЗОВО, ПАО (990 000 руб., 99%)
ПЕТЕЛИНСКАЯ ПТИЦЕФАБРИКА, АО (10 000 руб., 1%)</t>
  </si>
  <si>
    <t>s.pertseva2012@yandex.ru</t>
  </si>
  <si>
    <t>УК ЭКСОЙЛ ГРУПП, ООО (101 250 000 руб., 75%)
Ванецян Карен (33 750 000 руб., 25%)</t>
  </si>
  <si>
    <t>n.filyukova@rusmol.ru, secret@shahmol.ru, td@rusmol.ru, z.perlmutter@rusmol.ru</t>
  </si>
  <si>
    <t>Маликов Анатолий Александрович (10 000 руб., 100%)</t>
  </si>
  <si>
    <t>info@mayumi.ru, info@tdshkurenko.ru, shcurenco@mail.ru</t>
  </si>
  <si>
    <t>Шадрин Дмитрий Юрьевич (5 005 000 руб., 50%)
Шкуренко Виктор Васильевич (5 005 000 руб., 50%)</t>
  </si>
  <si>
    <t>37 670 000</t>
  </si>
  <si>
    <t>ecomysprom@yandex.ru</t>
  </si>
  <si>
    <t>Генгаури Вахтанг Валентинович (50 000 руб., 100%)</t>
  </si>
  <si>
    <t>135 370 000</t>
  </si>
  <si>
    <t>akadem-moloko@ekoniva-apk.com, olga.abramova@ekoniva-apk.com</t>
  </si>
  <si>
    <t>www.akadem-moloko.ru</t>
  </si>
  <si>
    <t>ЭКОНИВА-ПРОДУКТЫ ПИТАНИЯ, ООО (100 000 руб., 100%)</t>
  </si>
  <si>
    <t>econotech@bk.ru</t>
  </si>
  <si>
    <t>econotech.ru</t>
  </si>
  <si>
    <t>Вертий Андрей Федорович (500 000 руб., 50%)
Белов Сергей Леонидович (187 500 руб., 18.75%)
СПЕКТР, ООО (187 500 руб., 18.75%)
ПРОМГАЗ, ООО (125 000 руб., 12.50%)</t>
  </si>
  <si>
    <t>eximpack@eximpack.ru, rtv@eximpack.com, rtv@eximpack.ru</t>
  </si>
  <si>
    <t>www.eximpack.ru</t>
  </si>
  <si>
    <t>EMSUR-EXIMPACK SL. (13 000 000 руб., 100%)</t>
  </si>
  <si>
    <t>230 030 000</t>
  </si>
  <si>
    <t>td-expertcable.ru</t>
  </si>
  <si>
    <t>Портнов Алексей Николаевич (11 000 руб., 100%)</t>
  </si>
  <si>
    <t>53 670 000</t>
  </si>
  <si>
    <t>o_bazankova@exprof.ru, torgovyidomexpro@yandex.ru</t>
  </si>
  <si>
    <t>Бочкарев Василий Владимирович (35 000 000 руб., 100%)</t>
  </si>
  <si>
    <t>Торговля оптовая листовым стеклом</t>
  </si>
  <si>
    <t>27 390 000</t>
  </si>
  <si>
    <t>bodyagina_ov@etm.ru, etm@etm.ru, fathutdinov_rr@etm.ru, ff@hh.ru, ichiporuk_na@etm.ru, podshivalov_da@etm.ru, rdubrovin@perm.etm.ru, smirnova_ov@etm.ru, sokolov_ge@etm.ru, stepanov_ia@etm.ru</t>
  </si>
  <si>
    <t>www.etm.ru</t>
  </si>
  <si>
    <t>Баев Андрей Александрович (80 529.4 руб., 41.51%)
Кукса Александр Николаевич (80 529.4 руб., 41.51%)
Тютелев Михаил Васильевич (22 756.2 руб., 11.73%)
Миронов Сергей Владимирович (10 185 руб., 5.25%)</t>
  </si>
  <si>
    <t>4 440 420 000</t>
  </si>
  <si>
    <t>ТДА, ООО (990 000 руб., 99%)
Рогуля Вячеслав Юрьевич (10 000 руб., 1%)</t>
  </si>
  <si>
    <t>81 300 000</t>
  </si>
  <si>
    <t>etorg@vicgroup.ru, sk@tdvic.ru, starchak@tdvic.ru</t>
  </si>
  <si>
    <t>vic-online.ru</t>
  </si>
  <si>
    <t>Виолина Виктория Яковлевна (10 000 руб., 50%)
Каспарьянц Александр Сергеевич (10 000 руб., 50%)</t>
  </si>
  <si>
    <t>ovsienko_s@ikdf.ru</t>
  </si>
  <si>
    <t>ИНВЕСТИЦИОННАЯ КОМПАНИЯ ДЭНМАР-ФИНАНС, ООО (10 000 руб., 100%)</t>
  </si>
  <si>
    <t>29 500 000</t>
  </si>
  <si>
    <t>office@tdholding.ru</t>
  </si>
  <si>
    <t>ТАНДЕР, АО (9 999 руб., 99.99%)
ОБЩЕСТВО С ОГРАНИЧЕННОЙ ОТВЕТСТВЕННОСЬЮ "АЛКОТРЕЙДИНГ" (1 руб., 0.010%)</t>
  </si>
  <si>
    <t>1 893 600 000</t>
  </si>
  <si>
    <t>ЧАСТНАЯ КОМПАНИЯ ЛЕМЕЙТР АО (64 896 377 руб., 100%)</t>
  </si>
  <si>
    <t>sem-tdv.ru</t>
  </si>
  <si>
    <t>АКЦИОНЕРНАЯ КОМПАНИЯ "БОРУСАН МАКИНА ВЕ ГЮЧ СИСТЕМЛЕРИ САНАИ ВЕ ТИДЖАРЕТ АНОНИМ ШИРКЕТИ" (250 000 руб., 100%)</t>
  </si>
  <si>
    <t>179 390 000</t>
  </si>
  <si>
    <t>239007@list.ru</t>
  </si>
  <si>
    <t>Писаренко Вячеслав Михайлович (29 650 000 руб., 100%)</t>
  </si>
  <si>
    <t>info@tdkbg.ru, m_rudneva@tdkbg.ru</t>
  </si>
  <si>
    <t>ЧАСТНАЯ КОМПАНИЯ С ОГРАНИЧЕННОЙ ОТВЕТСТВЕННОСТЬЮ ЭЙЧСИКЕЙДЖИ ПТЕ. ЛТД. (700 000 руб., 98.59%)
БИОФУД, ООО ТПК (10 000 руб., 1.41%)</t>
  </si>
  <si>
    <t>Морозов Вадим Александрович (200 000 руб., 100%)</t>
  </si>
  <si>
    <t>95 890 000</t>
  </si>
  <si>
    <t>Ишалин Дамир Эсхэтович (10 000 руб., 100%)</t>
  </si>
  <si>
    <t>126 330 000</t>
  </si>
  <si>
    <t>info@megadrive.ru, tender@megadrive.re</t>
  </si>
  <si>
    <t>td-md.ru</t>
  </si>
  <si>
    <t>Айсин Владислав Насыбуллович (1 000 000 руб., 100%)</t>
  </si>
  <si>
    <t>ntikhaya@family.kaliningrad.ru, office-manager@tds-group.ru</t>
  </si>
  <si>
    <t>Киселев Иван Васильевич (24 524 500 руб., 98%)
Мытник Сергей Петрович (500 500 руб., 2%)</t>
  </si>
  <si>
    <t>33 090 000</t>
  </si>
  <si>
    <t>gip@tdsk.tomsk.ru, vasileva@tdsk.tomsk.ru, vishnyakova@tdsk.tomsk.ru, vist@tdsk.tomsk.ru</t>
  </si>
  <si>
    <t>Шпетер Александр Карлович (22.10%)
Ефремов Николай Борисович (11.60%)
ТДСК ИНВЕСТ, ООО (9.15%)
Поморцев Александр Дмитриевич (6.88%)
Махров Михаил Арсентьевич (5.97%)
Семенюк Павел Николаевич (2.34%)
Носов Виктор Алексеевич (0.92%)</t>
  </si>
  <si>
    <t>485 870 000</t>
  </si>
  <si>
    <t>buh-t-dsk@mail.ru, tdsk@t-dsk.ru, tdsk@tdsk.ru, tdsk@tmn.ru, tdsk_buh@mail.ru, urist@t-dsk.ru</t>
  </si>
  <si>
    <t>www.t-dsk.ru</t>
  </si>
  <si>
    <t>2 720 040 000</t>
  </si>
  <si>
    <t>info@teva.ru, oksana.kutyreva@teva.ru</t>
  </si>
  <si>
    <t>www.teva.ru</t>
  </si>
  <si>
    <t>Teva Pharma B.V. (3 130 015 000 руб., 100%)</t>
  </si>
  <si>
    <t>679 880 000</t>
  </si>
  <si>
    <t>info@tek-kom.ru</t>
  </si>
  <si>
    <t>www.skf.com, www.tek-kom.ru</t>
  </si>
  <si>
    <t>Шулепов Алексей Анатольевич (254 184 720 руб., 100%)</t>
  </si>
  <si>
    <t>810 590 000</t>
  </si>
  <si>
    <t>teklub1@yandex.ru</t>
  </si>
  <si>
    <t>MOTUL (13 310 000 руб., 100%)</t>
  </si>
  <si>
    <t>216 870 000</t>
  </si>
  <si>
    <t>1 269 070 000</t>
  </si>
  <si>
    <t>info@emontazh.ru, info@tel-int.ru, info@telecom.ru</t>
  </si>
  <si>
    <t>tel-int.ru, www.ohio8.vchecks.me</t>
  </si>
  <si>
    <t>Гузаиров Айдар Фаилевич (44 530 руб., 61%)
ИННОСТЕЙДЖ, ООО (28 470 руб., 39%)</t>
  </si>
  <si>
    <t>155 450 000</t>
  </si>
  <si>
    <t>guarantee@waviot.ru, hr@waviot.ru, info@waviot.ru, sales@waviot.com, sales@waviot.ru, support@waviot.ru, yleksakova@waviot.ru</t>
  </si>
  <si>
    <t>waviot.ru</t>
  </si>
  <si>
    <t>КОАЛКО УПРАВЛЕНИЕ АКТИВАМИ, ООО (5 050 руб., 50.50%)
БИЗНЕС-СФЕРА, АО (3 900 руб., 39%)
Бакуменко Андрей Викторович (550 руб., 5.50%)
Батура Даниил Сергеевич (500 руб., 5%)</t>
  </si>
  <si>
    <t>684 600 000</t>
  </si>
  <si>
    <t>support@ювелирочка.рф</t>
  </si>
  <si>
    <t>ювелирочка.рф</t>
  </si>
  <si>
    <t>Губченко Виталий Иванович (112 500 руб., 45%)
Морозов Степан Михайлович (112 500 руб., 45%)
Тузова Наталья Александровна (25 000 руб., 10%)</t>
  </si>
  <si>
    <t>391 550 000</t>
  </si>
  <si>
    <t>Таянко Владимир Алексеевич (7 141 руб., 71.41%)
Шахович Иван Диславович (2 169 руб., 21.69%)
Садовский Сергей Антонович (490 руб., 4.90%)
Стасевич Дмитрий Васильевич (200 руб., 2%)</t>
  </si>
  <si>
    <t>15 920 000</t>
  </si>
  <si>
    <t>inbox@telsgroup.ru, telsrus@telsgroup.ru</t>
  </si>
  <si>
    <t>www.telsgroup.ru</t>
  </si>
  <si>
    <t>ТРАНСИНВЕСТ, ООО (10 000 руб., 100%)</t>
  </si>
  <si>
    <t>axeler@inbox.ru, dep@zaotemerso.ru, ekaterina@zaotemerso.ru, galina@zaotemerso.ru</t>
  </si>
  <si>
    <t>www.zaotemerso.ru</t>
  </si>
  <si>
    <t>440 230 000</t>
  </si>
  <si>
    <t>fkddavto@mail.ru</t>
  </si>
  <si>
    <t>volvocarkuban.ru</t>
  </si>
  <si>
    <t>Капёнкин Игорь Вячеславович (5 000 руб., 50%)
Шабаев Алексей Валерьевич (5 000 руб., 50%)</t>
  </si>
  <si>
    <t>92 480 000</t>
  </si>
  <si>
    <t>sales21@centershin.ru, tendermarket@mail.ru, tm1620@yandex.ru, tm1620@yandexl.ru</t>
  </si>
  <si>
    <t>Русинов Максим Владимирович (10 000 руб., 100%)</t>
  </si>
  <si>
    <t>maiski@mail.ru</t>
  </si>
  <si>
    <t>Ганиев Ильшат Газимович (38 255 100 руб., 51%)
Фардиев Ильшат Шаехович (23 253 100 руб., 31%)
Музафаров Искандер Шайхиевич (4 125 550 руб., 5.50%)
Будкина Надежда Михайловна (3 000 400 руб., 4%)
Давлетшин Ильдус Сулейманович (3 000 400 руб., 4%)
Васильев Геннадий Владимирович (1 875 250 руб., 2.50%)
Зиганшин Данил Гусманович (1 500 200 руб., 2%)</t>
  </si>
  <si>
    <t>228 630 000</t>
  </si>
  <si>
    <t>bkgf@gmail.com, buh@teplo-kolomna.ru, plekhanova@teplo-kolomna.ru, secret@mai.ru, secret@mail.ru, secret@teplokolomna.ru, sizova-ma@teplo-kolomna.ru, teplokol@mail.ru</t>
  </si>
  <si>
    <t>teplo-kolomna.ru</t>
  </si>
  <si>
    <t>Московская обл, ГОРОДСКОЙ ОКРУГ КОЛОМНА МОСКОВСКОЙ ОБЛАСТИ (n/a)</t>
  </si>
  <si>
    <t>antipovaei@mptk55.ru, avdienkoea@mail.ru, avdienkoea@mptk55.ru, bost@mrtk.omsk.portal.ru, ereschenkoov@mptk55.ru, kolesnikovaov@mptk55.ru, krylova@mail.ru, luchininaeg@mptk55.ru, mandronovaas@mptk.ru, mptk55@mail.ru</t>
  </si>
  <si>
    <t>mptk55.ru</t>
  </si>
  <si>
    <t>Омская обл, ГОРОДСКОЙ ОКРУГ ГОРОД ОМСК ОМСКОЙ ОБЛАСТИ (1 390 000 руб., 100%)</t>
  </si>
  <si>
    <t>info@pulsarm.ru, info@teplovodokhran.ru, tender@pulsarm.ru</t>
  </si>
  <si>
    <t>www.pulsarm.ru, www.teplovodokhran.ru</t>
  </si>
  <si>
    <t>Козлов Владимир Александрович (12 353 руб., 100%)</t>
  </si>
  <si>
    <t>556 180 000</t>
  </si>
  <si>
    <t>4716025405_471601001@eo.tensor.ru, npak@thermex.ru, slastovka@heafeq.ru, uay@heatingequipment.ru</t>
  </si>
  <si>
    <t>www.thermex.com</t>
  </si>
  <si>
    <t>Гаврилюк Валерий Васильевич (250 000 000 руб., 100%)</t>
  </si>
  <si>
    <t>ctp@teplosetspb.ru, kiselev.pe@teplosetspb.ru, maksimova.mv@teplosetspb.ru, saltikova.ea@teplosetspb.ru, selezneva.vu@teplosetspb.ru, sharunov.da@teplosetspb.ru, stepanova.ea@teplosetspb.ru, teplocetspb@mail.ru, visotskaya.sa@teplosetspb.ru, zajtseva.iu@hnet.tgc1.ru</t>
  </si>
  <si>
    <t>www.teplosetspb.ru</t>
  </si>
  <si>
    <t>energol@teplosetkorolev.ru, ev0318@mail.ru, kpy@teplosetkorolev.ru, mail@teploset.ru, mail@teplosetkorokev.ru, mail@teplosetkorole.ru, mail@teposetkorolev.ru</t>
  </si>
  <si>
    <t>www.teplosetkorolev.ru</t>
  </si>
  <si>
    <t>info@teploset33.ru</t>
  </si>
  <si>
    <t>Силантьев Альберт Александрович (20 000 руб., 100%)</t>
  </si>
  <si>
    <t>36 900 000</t>
  </si>
  <si>
    <t>info@teplosferaspb.ru, pto@teplosferaspb.ru</t>
  </si>
  <si>
    <t>teplosferaspb.ru</t>
  </si>
  <si>
    <t>Никонов Сергей Сергеевич (10 000 руб., 100%)</t>
  </si>
  <si>
    <t>235641@mail.ru, 308843@mail.ru, agteplo@mail.ru, ale@mgnteplo.ru, baffo@mail.ru, book@mgn.teplo.ru, book@mgnteplo.ru, cartridge74@gmail.com, gnteplo@mail.ru, heatmeter@mgnteplo.ru</t>
  </si>
  <si>
    <t>mgnteplo.ru</t>
  </si>
  <si>
    <t>Челябинская обл, ГОРОД МАГНИТОГОРСК (553 767 451.22 руб., 89.64%)</t>
  </si>
  <si>
    <t>218005@bk.ru, 2779137@yandex.ru, 4129472@mail.ru, 5456578@mail.ru, a.basko@teploenergo-nn.ru, example@maiul.ru, gml68@bk.ru, i.koshman@teplonn.ru, knc@teploenergo.nnov.ru, n.malinina@nn.ru</t>
  </si>
  <si>
    <t>www.teploenergo-nn.ru</t>
  </si>
  <si>
    <t>215 890 000</t>
  </si>
  <si>
    <t>energosbytinfo@te-spb.ru, teploenergo@te-spb.ru</t>
  </si>
  <si>
    <t>Гореликова Татьяна Петровна (333 400 руб., 33.34%)
Галка Надежда Васильевна (333 300 руб., 33.33%)
Кочнев Евгений Викторович (333 300 руб., 33.33%)</t>
  </si>
  <si>
    <t>11122@mail.ru, af@tes.yakutskenergo.ru, avpopov@tes.yakutskenergo.ru, avsysolyatina@ustmayskiy.ru, didenkoay@tes.yakutskenergo.ru, gantimurovaeu@tes.yakutskenergo.ru, gjhgkjh@mail.ru, helenz2012@mail.ru, hfn@fb.ru, hhhhu@mail.ru</t>
  </si>
  <si>
    <t>http://yakutskenergo.ru/about_company/subsidiaries/teploenergoservis/, www.yakutskenergo.ru/investors/relationinfo/teploenergoservis</t>
  </si>
  <si>
    <t>info@unikma.ru</t>
  </si>
  <si>
    <t>www.unikma.ru</t>
  </si>
  <si>
    <t>114 150 000</t>
  </si>
  <si>
    <t>m.karavaeva@teremopt.ru</t>
  </si>
  <si>
    <t>teremonline.ru</t>
  </si>
  <si>
    <t>Прошин Виктор Михайлович (100 000 руб., 100%)</t>
  </si>
  <si>
    <t>1 729 750 000</t>
  </si>
  <si>
    <t>goncharov.m@teremok.ru, office@teremok.ru</t>
  </si>
  <si>
    <t>www.teremok.ru</t>
  </si>
  <si>
    <t>143 650 000</t>
  </si>
  <si>
    <t>buhzap@spb.teremok.ru, novoseltseva.e@teremok.ru, ponomareva.s@teremok.ru</t>
  </si>
  <si>
    <t>Гончаров Михаил Петрович (10 000 руб., 50%)
Свидовский Виталий Алексеевич (10 000 руб., 50%)</t>
  </si>
  <si>
    <t>info@terem-pro.ru</t>
  </si>
  <si>
    <t>terem-pro.ru</t>
  </si>
  <si>
    <t>Маркозашвили Борис Вадимович (9 360 002 руб., 26%)
Новиков Игорь Владимирович (9 360 000 руб., 26%)
Божесков Олег Владимирович (4 320 000 руб., 12%)
Иванов Владислав Владимирович (4 320 000 руб., 12%)
Навроцкая Мира Вадимовна (4 320 000 руб., 12%)
Сердюк Андрей Вячеславович (4 320 000 руб., 12%)</t>
  </si>
  <si>
    <t>dv_reestry@mail.primorye.ru, ncmf1@yandex.ru</t>
  </si>
  <si>
    <t>АКВА-РЕСУРСЫ, ООО (43.82%)
Кондратов Руслан Викторович (27.81%)
Гранатова Ирина Викторовна (22.37%)
Гранатов Андрей Игоревич (1.51%)</t>
  </si>
  <si>
    <t>361 290 000</t>
  </si>
  <si>
    <t>ПАРК-ОТЕЛЬ БУРДУГУЗ, ООО (10 000 руб., 100%)</t>
  </si>
  <si>
    <t>natalya.larina@lukoil.com</t>
  </si>
  <si>
    <t>www.shell.com.ru</t>
  </si>
  <si>
    <t>ЛУКОЙЛ, ПАО (2 963 881 245.23 руб., 99.99%)
К.Н. ХОЛДИНГ, ООО (296 417.77 руб., 0.010%)</t>
  </si>
  <si>
    <t>2 726 360 000</t>
  </si>
  <si>
    <t>20maksimova.an@tgc1.ru, baranova.ov@tgc1.ru, belinina.va@tgc1.ru, bentsel.ev@tgel.ru, bogatyreva.ef@tgc1.ru, bryushkova.gu@tgc1.ru, bryushkova.gu@tgk1.ru, chugunova.ii@karelia.tgc1.ru, client@tgk1.ru, clients_spb@tgc1.ru</t>
  </si>
  <si>
    <t>bsa0684@gmail.com</t>
  </si>
  <si>
    <t>terminal-ug.ru</t>
  </si>
  <si>
    <t>Бабкина Татьяна Николаевна (20 500 руб., 99.51%)
Курагин Сергей Олегович (100 руб., 0.49%)</t>
  </si>
  <si>
    <t>49 790 000</t>
  </si>
  <si>
    <t>Канаева Рада Валерьевна (20 000 руб., 100%)</t>
  </si>
  <si>
    <t>af185@yandex.ru, termopolymer@t-garden.ru</t>
  </si>
  <si>
    <t>www.t-garden.ru</t>
  </si>
  <si>
    <t>Валиахметов Марат Флюрович (40 000 руб., 80%)
Валиахметова Лена Ахатовна (10 000 руб., 20%)</t>
  </si>
  <si>
    <t>312 040 000</t>
  </si>
  <si>
    <t>company@terneyles.ru, sakidon_av@mail.ru</t>
  </si>
  <si>
    <t>www.terneyles.ru, www.terneyles.ru/report/</t>
  </si>
  <si>
    <t>1 994 430 000</t>
  </si>
  <si>
    <t>tng@tng.novatek.ru</t>
  </si>
  <si>
    <t>terneftegas.ru</t>
  </si>
  <si>
    <t>7 037 180 000</t>
  </si>
  <si>
    <t>Карцев Андрей Юрьевич (2 625 000 руб., 50%)
Митлин Андрей Вячеславович (2 625 000 руб., 50%)</t>
  </si>
  <si>
    <t>info@terralink.ru</t>
  </si>
  <si>
    <t>www.terralink.ru</t>
  </si>
  <si>
    <t>Шаронов Валерий Анатольевич (100 000 руб., 100%)</t>
  </si>
  <si>
    <t>info@tece.ru</t>
  </si>
  <si>
    <t>tececlub.ru, www.tece.ru</t>
  </si>
  <si>
    <t>TECE GmbH (221 818 400 руб., 100%)</t>
  </si>
  <si>
    <t>218 250 000</t>
  </si>
  <si>
    <t>Васьков Денис Васильевич (4 100 руб., 41%)
Минниханов Рамиль Рифкатович (4 000 руб., 40%)
Зиятдинов Марат Мирьатович (1 900 руб., 19%)</t>
  </si>
  <si>
    <t>aleksslesarev@yandex.ru, kraz@aha.ru, torgi@sparbox.ru, zaobuh@avtocenter.ru</t>
  </si>
  <si>
    <t>www.avtocenter.ru</t>
  </si>
  <si>
    <t>Корнаухов Михаил Михайлович (500 000 руб., 100%)</t>
  </si>
  <si>
    <t>146 530 000</t>
  </si>
  <si>
    <t>info@tehweb.su</t>
  </si>
  <si>
    <t>tehweb.su</t>
  </si>
  <si>
    <t>Будников Александр Анатольевич (10 000 руб., 100%)</t>
  </si>
  <si>
    <t>a.pavlukova@mamont.net, a.pavlukova@tehinkom-piter.ru, op-podolsk@mroteh.ru, oplastikova@mroteh.ru, tsk@mroteh.ru</t>
  </si>
  <si>
    <t>tehinkom-piter.ru</t>
  </si>
  <si>
    <t>Каленов Дмитрий Анатольевич (10 000 руб., 100%)</t>
  </si>
  <si>
    <t>12 230 000</t>
  </si>
  <si>
    <t>Рогожкин Андрей Игоревич (5 000 000 руб., 50%)
Солодушенков Алексей Анатольевич (5 000 000 руб., 50%)</t>
  </si>
  <si>
    <t>168 610 000</t>
  </si>
  <si>
    <t>aspiridonov@mroteh.ru, op-podolsk@mroteh.ru, oplastikova@mroteh.ru, sales@heavy-duty.ru, sales@kt-kamaz.ru, tik.comtrans@mroteh.ru, tsk@mroteh.ru, tsk@techincom.ru</t>
  </si>
  <si>
    <t>Рогожкин Андрей Игоревич (2 500 000 руб., 50%)
Солодушенков Алексей Анатольевич (2 500 000 руб., 50%)</t>
  </si>
  <si>
    <t>4957991161@mail.ru, 7251203@mail.ru, agp@mroteh.ru, call-center@mroteh.ru, corp@mroteh.ru, nfrank@techincom.ru, sales@lifting-gear.ru, service@lifting-gear.ru, test@examle.com, tik.specteh@mroteh.ru</t>
  </si>
  <si>
    <t>Кузин Дмитрий Борисович (5 000 000 руб., 100%)</t>
  </si>
  <si>
    <t>tehinsnab@aaanet.ru</t>
  </si>
  <si>
    <t>Бондаренко Владимир Сергеевич (100 000 руб., 100%)</t>
  </si>
  <si>
    <t>ru.support@hihonor.com</t>
  </si>
  <si>
    <t>ОБЩЕСТВО С ОГРАНИЧЕННОЙ ОТВЕТСТВЕННОСТЬЮ ХОНОР ДЕВАЙС КО., ЛТД. (639 999 936 руб., 100%)
ОНОР ИНФОРМЕЙШН ТЕХНОЛОДЖИ КО., ЛИМИТЕД (64 руб.)</t>
  </si>
  <si>
    <t>475 820 000</t>
  </si>
  <si>
    <t>bck@cushwake.com, info@huawei.com, ru.support@hihonor.com</t>
  </si>
  <si>
    <t>www.huawei.com, www.huawei.ru</t>
  </si>
  <si>
    <t>Хуавэй Текнолоджиз Кооператиф Ю.А. (90 455 887.5 руб., 100%)</t>
  </si>
  <si>
    <t>2 630 560 000</t>
  </si>
  <si>
    <t>direkt@tkur.ru, sivanov@tkur.ru, yumedvedeva@tkur.ru, yumeedvedeva@tkur.ru</t>
  </si>
  <si>
    <t>ГРУППА ЭЙТИ, АО (10 000 руб., 100%)</t>
  </si>
  <si>
    <t>271 280 000</t>
  </si>
  <si>
    <t>polkanische@yandex.ru</t>
  </si>
  <si>
    <t>www.trouwnutrition.com</t>
  </si>
  <si>
    <t>НУТРИШЕН, ООО (697 663 000 руб., 100%)</t>
  </si>
  <si>
    <t>495 610 000</t>
  </si>
  <si>
    <t>zakirov.i@tsc.su</t>
  </si>
  <si>
    <t>Радченков Илья Игоревич (40 000 руб., 100%)</t>
  </si>
  <si>
    <t>Аренда и лизинг строительных машин и оборудования</t>
  </si>
  <si>
    <t>437 970 000</t>
  </si>
  <si>
    <t>metlom78@gmail.com, svetb@mail.ru</t>
  </si>
  <si>
    <t>Баишева Светлана Аркадьевна (400 000 руб., 100%)</t>
  </si>
  <si>
    <t>50 750 000</t>
  </si>
  <si>
    <t>tmk@tmk-group.com</t>
  </si>
  <si>
    <t>tmkymz.ru</t>
  </si>
  <si>
    <t>dfgf@rty.kk, dvfc@yfjy.kl, tender@agatroup.com</t>
  </si>
  <si>
    <t>Мамочкин Алексей Владимирович (11 025 руб., 73.50%)
Маковей Алексей Викторович (2 550 руб., 17%)
Бородина Галина Афанасьевна (1 425 руб., 9.50%)</t>
  </si>
  <si>
    <t>Торговля розничная прочими автотранспортными средствами в специализированных магазинах</t>
  </si>
  <si>
    <t>techno-kaskad.ru</t>
  </si>
  <si>
    <t>Сухих Виталий Александрович (10 000 руб., 100%)</t>
  </si>
  <si>
    <t>8 340 000</t>
  </si>
  <si>
    <t>a.ermolaev@techno-temp.ru, a.pavlov@techno-temp.ru, a.pavlov@tempauto.net, info@tempauto.net, nfo@temputo.net, tehnotemp@yandex.ru, tempauto@tempauto.net</t>
  </si>
  <si>
    <t>www.tehno-temp.lada.ru</t>
  </si>
  <si>
    <t>Арутюнова Натела Арутюновна (10 010 000 руб., 100%)</t>
  </si>
  <si>
    <t>95 260 000</t>
  </si>
  <si>
    <t>buh@spb.technoavia.ru, dalidovich@spb.technoavia.ru, ender@spb.technoavia.ru, gosudarenkov@spb.technoavia.ru, luga@technoavia.ru, pskov@technoavia.ru, spb@technoavia.ru, spb@tehnoavia.ru, tender@spb.technoavia.ru, vick@spb.technoavia.ru</t>
  </si>
  <si>
    <t>www.technoavia.ru</t>
  </si>
  <si>
    <t>Якимчук Виктор Викторович (270 000 руб., 45%)
ФИРМА ТЕХНОАВИА, ПВ ООО (240 000 руб., 40%)
Маслова Галина Львовна (90 000 руб., 15%)</t>
  </si>
  <si>
    <t>28 350 000</t>
  </si>
  <si>
    <t>Чернышенко Николай Николаевич (50 000 руб., 100%)</t>
  </si>
  <si>
    <t>32 640 000</t>
  </si>
  <si>
    <t>golovin@tehnogr.ru</t>
  </si>
  <si>
    <t>maestro.ru, thermogroup.ru</t>
  </si>
  <si>
    <t>Басов Денис Сергеевич (68 728 794 руб., 40%)
Карасевич Антон Валерьевич (51 546 595.5 руб., 30%)
Панов Евгений Владимирович (51 546 595.5 руб., 30%)</t>
  </si>
  <si>
    <t>64 570 000</t>
  </si>
  <si>
    <t>jurist6@technodom.com</t>
  </si>
  <si>
    <t>www.technodom.com</t>
  </si>
  <si>
    <t>Ягельский Михаил Юрьевич (40 630 720 руб., 52%)
Дякин Юрий Иванович (37 505 280 руб., 48%)</t>
  </si>
  <si>
    <t>1 013 220 000</t>
  </si>
  <si>
    <t>info@technoconcept.ru, info@tehnokoncept.ru, tehnokoncept@gmail.com</t>
  </si>
  <si>
    <t>technoconcept.ru</t>
  </si>
  <si>
    <t>КВАРТА-НОВА, АО (99 990 руб., 99.99%)
Шальнов Павел Андреевич (10 руб., 0.010%)</t>
  </si>
  <si>
    <t>101 010 000</t>
  </si>
  <si>
    <t>z@layta.ru, zakaz@layta.ru</t>
  </si>
  <si>
    <t>www.layta.ru</t>
  </si>
  <si>
    <t>Шпрехер Александр Аврумович (10 000 руб., 100%)</t>
  </si>
  <si>
    <t>220 460 000</t>
  </si>
  <si>
    <t>info@techpro-m.ru</t>
  </si>
  <si>
    <t>techpro-m.ru</t>
  </si>
  <si>
    <t>Слепокурова Марина Федоровна (950 000 руб., 95%)
Алексеев Александр Юрьевич (50 000 руб., 5%)</t>
  </si>
  <si>
    <t>45 420 000</t>
  </si>
  <si>
    <t>www.bakerhughes.com</t>
  </si>
  <si>
    <t>НЕФТЕСЕРВИСНЫЕ ТЕХНОЛОГИИ, ООО (47 760 руб.)</t>
  </si>
  <si>
    <t>2 714 420 000</t>
  </si>
  <si>
    <t>Ярмушевич Галина Ивановна (30 000 руб., 100%)</t>
  </si>
  <si>
    <t>ailyina@slb.com, sshipulo@sib.com</t>
  </si>
  <si>
    <t>www.slb.ru</t>
  </si>
  <si>
    <t>ЗАО С ОО "ШЛЮМБЕРЖЕ Б.В." (SCHLUMBERGER B.V.) (18 739 105 071.31 руб., 99.90%)
Частная Компания с ОО "Шлюмберже инвестмент сервисез Б.В." (SCHLUMBERGER INVESTMENT SERVICES B.V.) (17 876 934.84 руб., 0.10%)</t>
  </si>
  <si>
    <t>464 080 000</t>
  </si>
  <si>
    <t>info@hilong.ru</t>
  </si>
  <si>
    <t>www.hilong.ru</t>
  </si>
  <si>
    <t>ТД ХАЙЛОН-РУС, ООО (5 000 000 руб., 100%)</t>
  </si>
  <si>
    <t>559 450 000</t>
  </si>
  <si>
    <t>info@drugsformulation.ru</t>
  </si>
  <si>
    <t>www.drugsformulation.ru</t>
  </si>
  <si>
    <t>Р-ФАРМ, АО (1 000 010 000 руб., 100%)</t>
  </si>
  <si>
    <t>734 810 000</t>
  </si>
  <si>
    <t>Конев Евгений Николаевич (100 000 руб., 100%)</t>
  </si>
  <si>
    <t>147 030 000</t>
  </si>
  <si>
    <t>tehsibiri.ru</t>
  </si>
  <si>
    <t>Данилко Ольга Владимировна (100 000 руб., 100%)</t>
  </si>
  <si>
    <t>26 340 000</t>
  </si>
  <si>
    <t>ФАЗИС, АО (570 000 руб., 95%)
Бедраев Арсен Али-Муратович (30 000 руб., 5%)</t>
  </si>
  <si>
    <t>198 630 000</t>
  </si>
  <si>
    <t>lkayumova@hilong.ru, sma@hilong.ru</t>
  </si>
  <si>
    <t>hilong.ru, www.hilonggroup.com</t>
  </si>
  <si>
    <t>КОМПАНИЯ ХАЙЛОН ТЕКНОЛОДЖИ ЛИМИТЕД (62 331 518 руб., 100%)</t>
  </si>
  <si>
    <t>123 210 000</t>
  </si>
  <si>
    <t>akaurcev@mail.ru</t>
  </si>
  <si>
    <t>Новиков Леонид Михайлович (250 000 руб., 100%)</t>
  </si>
  <si>
    <t>242 330 000</t>
  </si>
  <si>
    <t>luda201481@mail.ru</t>
  </si>
  <si>
    <t>Бобров Игорь Юрьевич (100 000 руб., 50%)
Савельев Вячеслав Сергеевич (100 000 руб., 50%)</t>
  </si>
  <si>
    <t>2 250 000</t>
  </si>
  <si>
    <t>tktehnomir.ru</t>
  </si>
  <si>
    <t>Петухов Сергей Юрьевич (320 000 руб., 100%)</t>
  </si>
  <si>
    <t>124 910 000</t>
  </si>
  <si>
    <t>zhuravleva@tstn.ru</t>
  </si>
  <si>
    <t>www.tstn.biz</t>
  </si>
  <si>
    <t>УТС ТЕХНОНИКОЛЬ, ООО (10 000 руб., 100%)</t>
  </si>
  <si>
    <t>439 880 000</t>
  </si>
  <si>
    <t>gr@tn.ru, info@tn.ru, kolesnikov.ao@tn.ru, markov@tn.ru</t>
  </si>
  <si>
    <t>ИНВЕСТ-КРОВЛЯ, ООО (2 198 000 руб., 99.90%)
МИАРА, ООО (2 000 руб., 0.10%)</t>
  </si>
  <si>
    <t>20 629 870 000</t>
  </si>
  <si>
    <t>12 180 000</t>
  </si>
  <si>
    <t>hotline@technopark.ru</t>
  </si>
  <si>
    <t>www.technopark.ru</t>
  </si>
  <si>
    <t>TUL.TRADE LTD (3 400 000 руб., 98.55%)
КОМПАНИЯ С ОГРАНИЧЕННОЙ ОТВЕТСТВЕННОСТЬЮ АРТ ПЛАС СИНЕРДЖИС ЛИМИТЕД (ART PLUS SYNERGIES LIMITED) (50 000 руб., 1.45%)</t>
  </si>
  <si>
    <t>1 276 270 000</t>
  </si>
  <si>
    <t>gubina@exten.ru, matafonova@exten.ru, mikas189@yandex.ru, office@exten.ru, petrova@exten.ru, pr@exten.ru</t>
  </si>
  <si>
    <t>infarkt.ru, www.exten.ru</t>
  </si>
  <si>
    <t>Ерофеев Николай Иванович (47 507.125 руб., 50%)
Ерофеева Татьяна Дмитриевна (47 507.125 руб., 50%)</t>
  </si>
  <si>
    <t>63 990 000</t>
  </si>
  <si>
    <t>e.belyankina@thprom.ru, info@thprom.ru</t>
  </si>
  <si>
    <t>thprom.ru</t>
  </si>
  <si>
    <t>СИГМА, ООО (10 000 руб., 100%)</t>
  </si>
  <si>
    <t>13 660 000</t>
  </si>
  <si>
    <t>1005401@rbauto.ru, 1005401@rdauto.ru, 1005401@rrbauto.ru, 1007042@rbauto.ru, 7716945@mail.tru, corporatotd@gmail.ru, dobrinskiy.j@rbauto.ru, kuznetsov.s@rbauto.ru, mail@7716945.ru, maria_vorobyeva@texnosale.ru</t>
  </si>
  <si>
    <t>Шаронов Дмитрий Васильевич (10 000 руб., 100%)</t>
  </si>
  <si>
    <t>info@tsynergy.ru</t>
  </si>
  <si>
    <t>tsynergy.ru</t>
  </si>
  <si>
    <t>Будущев Вячеслав Алексеевич (1 000 000 руб., 100%)</t>
  </si>
  <si>
    <t>30 960 000</t>
  </si>
  <si>
    <t>msspervomaster2@pervomaster.ru</t>
  </si>
  <si>
    <t>Куличенко Максим Николаевич (10 668.8 руб., 33.34%)
Калашников Борис Владимирович (10 665.6 руб., 33.33%)
Ратников Евгений Алексеевич (10 665.6 руб., 33.33%)</t>
  </si>
  <si>
    <t>7224049654@tss.am, info@tss.am, l.trockaya@tss.am, o.verzun@tss.am</t>
  </si>
  <si>
    <t>Миронов Евгений Юрьевич (2 000 000 руб., 100%)</t>
  </si>
  <si>
    <t>info@nordfox.ru</t>
  </si>
  <si>
    <t>nordfox.ru</t>
  </si>
  <si>
    <t>Шпольский Леонид Иосифович (7 000 руб., 70%)
Чернышев Евгений Юрьевич (3 000 руб., 30%)</t>
  </si>
  <si>
    <t>299 250 000</t>
  </si>
  <si>
    <t>chaa9@rambler.ru</t>
  </si>
  <si>
    <t>www.ts-panel.ru</t>
  </si>
  <si>
    <t>Ломалин Алексей Юрьевич (10 000 руб., 100%)</t>
  </si>
  <si>
    <t>75 920 000</t>
  </si>
  <si>
    <t>tehnostroispb@mail.ru</t>
  </si>
  <si>
    <t>Игнатьев Юрий Алексеевич (6 700 руб., 67%)
Молдавская Елена Сергеевна (3 300 руб., 33%)</t>
  </si>
  <si>
    <t>132 530 000</t>
  </si>
  <si>
    <t>Ходосовский Константин Витальевич (10 000 руб., 100%)</t>
  </si>
  <si>
    <t>314 340 000</t>
  </si>
  <si>
    <t>6001222@mail.ru, 7839423754_783901001@eo.tensor.ru, info@tsfr.ru</t>
  </si>
  <si>
    <t>tsfr.ru</t>
  </si>
  <si>
    <t>78 710 000</t>
  </si>
  <si>
    <t>pmu@stepby.ru</t>
  </si>
  <si>
    <t>91 030 000</t>
  </si>
  <si>
    <t>Эбзеев Расул Магометович (10 000 руб., 100%)</t>
  </si>
  <si>
    <t>Синельников Виталий Владимирович (12 000 руб., 100%)</t>
  </si>
  <si>
    <t>zdorov.ru</t>
  </si>
  <si>
    <t>Каграманов Сергей Александрович (4 050 руб., 40.50%)
Акимов Михаил Юрьевич (2 970 руб., 29.70%)
Пышняк Артем Валерьевич (1 080 руб., 10.80%)
Янивец Наталья Александровна (1 000 руб., 10%)
Тихоход Юрий Владимирович (450 руб., 4.50%)
Щербинкина Ольга Васильевна (450 руб., 4.50%)</t>
  </si>
  <si>
    <t>Богословский Владимир Николаевич (30 500 руб., 61%)
Самуров Дмитрий Алексеевич (12 500 руб., 25%)
Богословская Елена Алексеевна (7 000 руб., 14%)</t>
  </si>
  <si>
    <t>160 150 000</t>
  </si>
  <si>
    <t>Дорофеев Юрий Николаевич (700 000 руб., 70%)
Аверьянова Ольга Юрьевна (300 000 руб., 30%)</t>
  </si>
  <si>
    <t>548 030 000</t>
  </si>
  <si>
    <t>texoil2018@gmail.com</t>
  </si>
  <si>
    <t>Кузьмичев Сергей Сергеевич (170 000 руб., 100%)</t>
  </si>
  <si>
    <t>bastiondv@rambler.ru, info@texpolimer.ru, ug@texpolimer.ru</t>
  </si>
  <si>
    <t>texpolimer.ru</t>
  </si>
  <si>
    <t>ooo@texpolimer.ru, psa@texpolimer.ru</t>
  </si>
  <si>
    <t>Путивский Сергей Андреевич (10 000 руб., 100%)</t>
  </si>
  <si>
    <t>5 810 000</t>
  </si>
  <si>
    <t>aladinskaja.t@rbauto.ru, bogdanov.sa@rbauto.ru, er_and_ik@mail.ru</t>
  </si>
  <si>
    <t>КОМПАНИЯ СИМ-АВТО, ООО (2 158 321 руб., 100%)</t>
  </si>
  <si>
    <t>tehpromtd@mail.ru</t>
  </si>
  <si>
    <t>Ильин Владимир Геннадьевич (50 000 руб., 100%)</t>
  </si>
  <si>
    <t>96 310 000</t>
  </si>
  <si>
    <t>tpk.msk@gmail.com</t>
  </si>
  <si>
    <t>tpk77.ru</t>
  </si>
  <si>
    <t>Тарасов Константин Юрьевич (3 000 000 руб., 100%)</t>
  </si>
  <si>
    <t>950 000</t>
  </si>
  <si>
    <t>tehpt.ru</t>
  </si>
  <si>
    <t>Бауэр Владимир Александрович (1 000 000 руб., 100%)</t>
  </si>
  <si>
    <t>316 960 000</t>
  </si>
  <si>
    <t>Казаков Денис Владимирович (10 000 руб., 100%)</t>
  </si>
  <si>
    <t>123@sibgenerator.ru, fev@tsgroup.ru, info@reka.tom.ru, irkmoto2008@mail.ru, lev@tsblg.ru, mur4@tsblg.ru, shop@ziponline.ru, vstrelov@bem.ru, vvi@tsblg.ru</t>
  </si>
  <si>
    <t>https://tsvostok.ru/, www.tsgroup.ru</t>
  </si>
  <si>
    <t>45 710 000</t>
  </si>
  <si>
    <t>2117@464232.ru, sinsac@kht.tsgroup.ru, sokolov@kht.tsgroup.ru, tatarenko@kht.tsgroup.ru, tender@hbr.tsgroup.ru, tsgrouplogist@gmail.com</t>
  </si>
  <si>
    <t>tsgroup.ru</t>
  </si>
  <si>
    <t>Макаренко Алексей Прокопьевич (30 907 541 руб., 100%)</t>
  </si>
  <si>
    <t>25 860 000</t>
  </si>
  <si>
    <t>БУРВЕС ПРОЕКТ, ООО (7 000 руб., 70%)
Тишин Михаил Анатольевич (3 000 руб., 30%)</t>
  </si>
  <si>
    <t>tc@sumotori.ru</t>
  </si>
  <si>
    <t>ТХ СУМОТОРИ, ООО (19 500 руб., 100%)</t>
  </si>
  <si>
    <t>26 010 000</t>
  </si>
  <si>
    <t>td.skirenko@ahstep.ru</t>
  </si>
  <si>
    <t>4997629123@mail.ru, a.sotnikov@aerofuels.ru, aerofuls@mail.ru, popovyn@gmail.com, sotnikov@aerofuels.ru, tzk@aerofuels.ru, tzkaerofluels@mail.ru, tzkaro@mail.ru</t>
  </si>
  <si>
    <t>www.aerofuels.ru</t>
  </si>
  <si>
    <t>АЭРОФЬЮЭЛЗ ГРУПП, ООО (284 000 000 руб., 100%)</t>
  </si>
  <si>
    <t>50 330 000</t>
  </si>
  <si>
    <t>dorohina@lukair.ru, general@lukair.ru</t>
  </si>
  <si>
    <t>www.tzkvolga.ru</t>
  </si>
  <si>
    <t>ЛУКОЙЛ-АЭРО, ООО (281 500 000 руб., 50%)
НОВАПОРТ-ГСМ, АО (281 500 000 руб., 50%)</t>
  </si>
  <si>
    <t>282 840 000</t>
  </si>
  <si>
    <t>tzk.neftebaza@gmail.com, tzk.neftegaza@gmail.com</t>
  </si>
  <si>
    <t>ХАЙПЕРФУДС ХОЛДИНГ, ООО (1 000 000 руб., 100%)</t>
  </si>
  <si>
    <t>41 110 000</t>
  </si>
  <si>
    <t>apd@airkhv.ru, atro@airkhv.ru, gmb-tzk@airkhv.ru, ktd@airkhv.ru, kvg@airkhv.ru, omn@airkhv.ru, tzk@tzk.aero.ru, zakupki.tzk@yandex.ru</t>
  </si>
  <si>
    <t>ПЕТРОЛЕУС-ИНВЕСТ, ООО (60 000 руб., 51%)
ХАБАРОВСКИЙ АЭРОПОРТ, АО (57 647 руб., 49%)</t>
  </si>
  <si>
    <t>467 860 000</t>
  </si>
  <si>
    <t>anna.lvova@bakerhughes.com</t>
  </si>
  <si>
    <t>НЕФТЕСЕРВИСНЫЕ ТЕХНОЛОГИИ, ООО (100 000 руб., 100%)</t>
  </si>
  <si>
    <t>462 810 000</t>
  </si>
  <si>
    <t>e.osipova@efko.ru, v.romantsev@efko-trade.ru</t>
  </si>
  <si>
    <t>efko.ru</t>
  </si>
  <si>
    <t>199 750 000</t>
  </si>
  <si>
    <t>baza@tzrk.ru, info@tzrk.ru</t>
  </si>
  <si>
    <t>1 703 990 000</t>
  </si>
  <si>
    <t>alena.vorontsova@tpv-tech.com, natalia.demidkina@tpv-tech.com, nina.zon@tpv-tech.com, olga.bondar@tpv-tech.com</t>
  </si>
  <si>
    <t>www.tpvholdings.com</t>
  </si>
  <si>
    <t>TPV Europe Holding B.V. (771 939 670 руб., 100%)</t>
  </si>
  <si>
    <t>Производство бытовой электроники</t>
  </si>
  <si>
    <t>gladneva@tradesun.com.ru, ts@tradesun.ru, yudenkov@inbox.ru</t>
  </si>
  <si>
    <t>ТРЕЙДСАН ХОЛДИНГ, АО (1 100 000 руб., 100%)</t>
  </si>
  <si>
    <t>51 980 000</t>
  </si>
  <si>
    <t>dta@tizol.com, sekretar@tizol.com, shatunovakju@tizol.com, tizol@uraltc.com, tizol@uraltc.ru</t>
  </si>
  <si>
    <t>www.tizol.com</t>
  </si>
  <si>
    <t>363 950 000</t>
  </si>
  <si>
    <t>marina.khrenova@tikkurila.com, russia.info@tikkurila.com</t>
  </si>
  <si>
    <t>finncolor.ru, tikkurila.ru</t>
  </si>
  <si>
    <t>ОАО "ТИККУРИЛА ОЮЙ" (TIKKURILA OYJ) (271 473 000 руб., 100%)</t>
  </si>
  <si>
    <t>614 330 000</t>
  </si>
  <si>
    <t>Горбунов Александр Викторович (10 000 руб., 100%)</t>
  </si>
  <si>
    <t>info@tmbk.ru, sverka@tmbk.ru, tselikovazoya@tmbk.ru</t>
  </si>
  <si>
    <t>tmbk.ru</t>
  </si>
  <si>
    <t>Болдаков Виктор Игоревич (10 000 руб., 100%)</t>
  </si>
  <si>
    <t>612 590 000</t>
  </si>
  <si>
    <t>ИНТЕР ФОРЕСТ РУС, ООО (10 000 руб., 100%)</t>
  </si>
  <si>
    <t>admin@halva.ru, buh13@halva.ru, halva@halva.ru, halva@timosha.ru</t>
  </si>
  <si>
    <t>Куртбединов Тимур Сейранович (15 000 руб., 100%)</t>
  </si>
  <si>
    <t>nutritek@kmtn.ru</t>
  </si>
  <si>
    <t>korovki.su</t>
  </si>
  <si>
    <t>Степин Владимир Владимирович (10 000 руб., 100%)</t>
  </si>
  <si>
    <t>995@tihkoff.ru, info@tinkoff-mobile-help.ru</t>
  </si>
  <si>
    <t>ТИСИЭС ГРУП ХОЛДИНГ ПИЭЛСИ (10 000 руб., 100%)</t>
  </si>
  <si>
    <t>ТИНЬКОФФ БАНК, АО (4 900 руб., 49%)
ТИСИЭС ГРУП ХОЛДИНГ ПИЭЛСИ (4 900 руб., 49%)
ТКС, ООО (200 руб., 2%)</t>
  </si>
  <si>
    <t>afremovai@gmail.com, reception2@incol.ru, telbizova@incol.ru</t>
  </si>
  <si>
    <t>www.incol.ru</t>
  </si>
  <si>
    <t>ПОЛИГОН, ООО (9 500 руб., 95%)
ВОЛХОНСКОЕ, ООО (500 руб., 5%)</t>
  </si>
  <si>
    <t>101 000 000</t>
  </si>
  <si>
    <t>buh@pechatnya.ru, info@pechatnya.ru, p.krivenkov@pechatnya.ru, pechatnya@mail.ru, telena5wf@mail.ru</t>
  </si>
  <si>
    <t>www.pechatnya.ru</t>
  </si>
  <si>
    <t>ВЕРДЕЛИА ХОЛДИНГС ЛИМИТЕД (10 000 000 руб., 100%)</t>
  </si>
  <si>
    <t>750 270 000</t>
  </si>
  <si>
    <t>Гусев Альберт Геннадьевич (62 802 818.62 руб., 55.83%)
УК РОЗНИЦА, ООО (38 437 619.78 руб., 34.17%)
Чолокян Андрей Георгиевич (11 248 937.6 руб., 10%)</t>
  </si>
  <si>
    <t>e.hudyakova@titan2.ru, l.rechevskya@titan2.ru, m.matieshina@titan2.ru</t>
  </si>
  <si>
    <t>МСУ-90, АО (223 310 000 руб., 100%)</t>
  </si>
  <si>
    <t>Производство частей ядерных установок, кроме устройств для разделения изотопов</t>
  </si>
  <si>
    <t>aoshal@titans.su, dmitrlph@mail.ru, dvina@atknet.ru, karpsb@yandex.ru, krovets@titans.su, krplphsb@yandex.ru, lepekhina@titans.su, miheevayc@yandex.ru, mikheeva@up.titans.su, office@titans.su</t>
  </si>
  <si>
    <t>titangroup.ru</t>
  </si>
  <si>
    <t>448 860 000</t>
  </si>
  <si>
    <t>intertrade@titan-omsk.ru</t>
  </si>
  <si>
    <t>www.titan-omsk.ru</t>
  </si>
  <si>
    <t>ГК ТИТАН, АО (10 000 руб., 100%)</t>
  </si>
  <si>
    <t>226 940 000</t>
  </si>
  <si>
    <t>omaksimova@tihvin.titran.ru, omaksimova@tsm-wagon.ru</t>
  </si>
  <si>
    <t>nafta@tih-nafta.ru, shikinovmv@ttr.transneft.ru, tih-nafta@mail.ru, voronovda@ttr.transneft.ru</t>
  </si>
  <si>
    <t>tih-nafta.ru, www.nafta.transneft.ru</t>
  </si>
  <si>
    <t>ТРАНСНЕФТЬ, ПАО (6 100 000 руб., 100%)</t>
  </si>
  <si>
    <t>i.stroiteleva@agatgroup.com</t>
  </si>
  <si>
    <t>http://agat-logistics.ru/</t>
  </si>
  <si>
    <t>375 010 000</t>
  </si>
  <si>
    <t>4705044903_470501001@eo.tensor.ru, dir@bestmix.spb.ru, saveleva@bestmix.spb.ru</t>
  </si>
  <si>
    <t>Семенова Ксения Владимировна (5 100 руб., 51%)
Лотова Анна Александровна (4 900 руб., 49%)</t>
  </si>
  <si>
    <t>13 720 000</t>
  </si>
  <si>
    <t>info@direct-oil.com</t>
  </si>
  <si>
    <t>www.direct-oil.com</t>
  </si>
  <si>
    <t>Малаев Павел Викторович (20 000 руб., 100%)</t>
  </si>
  <si>
    <t>aisbergm.ru</t>
  </si>
  <si>
    <t>Стругов Роман Юрьевич (500 000 руб., 100%)</t>
  </si>
  <si>
    <t>251 500 000</t>
  </si>
  <si>
    <t>Парфирьева Татьяна Михайловна (10 000 руб., 100%)</t>
  </si>
  <si>
    <t>5 100 000</t>
  </si>
  <si>
    <t>info@tk-alpha.ru</t>
  </si>
  <si>
    <t>www.tk-alpha.ru</t>
  </si>
  <si>
    <t>СИНЕРГИЯ, АО (500 000 руб.)</t>
  </si>
  <si>
    <t>62 620 000</t>
  </si>
  <si>
    <t>ЭЛЕМЕНТ-ТРЕЙД, ООО (250 000 руб., 100%)</t>
  </si>
  <si>
    <t>427 510 000</t>
  </si>
  <si>
    <t>6853919@mail.ru</t>
  </si>
  <si>
    <t>tkbikom.ru</t>
  </si>
  <si>
    <t>Акатов Петр Владимирович (3 500 000 руб., 50%)
Кошечкин Дмитрий Вячеславович (3 500 000 руб., 50%)</t>
  </si>
  <si>
    <t>71 110 000</t>
  </si>
  <si>
    <t>brozex@brozex.com, brozex@brozex.ru, udartseva@bfosex.ru</t>
  </si>
  <si>
    <t>www.brozex.com, www.brozex.ru</t>
  </si>
  <si>
    <t>Брозовский Вячеслав Пиусович (10 000 руб., 100%)</t>
  </si>
  <si>
    <t>105 190 000</t>
  </si>
  <si>
    <t>Анакий Анатолий Сергеевич (10 000 руб., 100%)</t>
  </si>
  <si>
    <t>info@npovympel.ru, tk.vympel@mail.ru</t>
  </si>
  <si>
    <t>Климова Елена Юрьевна (10 000 руб., 100%)</t>
  </si>
  <si>
    <t>273 680 000</t>
  </si>
  <si>
    <t>tkdva@primexp.com</t>
  </si>
  <si>
    <t>Асафьев Олег Геннадьевич (100 000 руб., 100%)</t>
  </si>
  <si>
    <t>1 490 000</t>
  </si>
  <si>
    <t>glbuh@e-ov.ru, kg@ghgt.ru</t>
  </si>
  <si>
    <t>УК АГРОКАПИТАЛ, ООО (3 123 556 284.48 руб., 100%)</t>
  </si>
  <si>
    <t>399 460 000</t>
  </si>
  <si>
    <t>ТАНДЕР, АО (22 009 900 руб., 99.99%)
АЛКОТРЕЙДИНГ, ООО (100 руб., 0.00050%)</t>
  </si>
  <si>
    <t>1 382 690 000</t>
  </si>
  <si>
    <t>info@inagro.ru</t>
  </si>
  <si>
    <t>Есютин Александр Олегович (5 200 000 руб., 52%)
Непомнящий Дмитрий Владимирович (2 000 000 руб., 20%)
Васюнин Александр Александрович (1 600 000 руб., 16%)
Уткин Матвей Александрович (1 200 000 руб., 12%)</t>
  </si>
  <si>
    <t>9 850 000</t>
  </si>
  <si>
    <t>2553322tc@gmail.com, info@irbiscard.ru, irinavg@tcoil.ru, tender@tcoil.ru</t>
  </si>
  <si>
    <t>irbiscard.ru</t>
  </si>
  <si>
    <t>Гаптельхаков Ринат Назипович (5 100 руб., 51%)
Валиев Ирек Хасбиуллович (1 000 руб., 10%)
Семенова Елена Анатольевна (1 000 руб., 10%)
Талдыкин Игорь Михайлович (1 000 руб., 10%)
Гаптельхаков Эдуард Ринатович (900 руб., 9%)
Гаптельхаков Рафкат Назипович (500 руб., 5%)
Сотруддинов Ильнар Ирикович (500 руб., 5%)</t>
  </si>
  <si>
    <t>287 760 000</t>
  </si>
  <si>
    <t>anlebedev@kommash.ru, o.selezneva@graz.ru, office@komash.ru, office@kommash.ru, tender@kommash.ru</t>
  </si>
  <si>
    <t>graz.ru</t>
  </si>
  <si>
    <t>Жуков Александр Юрьевич (2 500 руб., 25%)
Кислов Евгений Александрович (2 500 руб., 25%)
Павлов Владимир Николаевич (2 500 руб., 25%)
Ткаченко Игорь Юрьевич (2 500 руб., 25%)</t>
  </si>
  <si>
    <t>2 820 000</t>
  </si>
  <si>
    <t>gb@kondmir.ru, norova@kondmir.ru</t>
  </si>
  <si>
    <t>Езекян Жирик Гаёсович (6 000 руб., 60%)
Тетенова Римма Сергеевна (4 000 руб., 40%)</t>
  </si>
  <si>
    <t>31 640 000</t>
  </si>
  <si>
    <t>Любченков Игорь Владимирович (4 000 000 руб., 40%)
Сикачина Александр Николаевич (4 000 000 руб., 40%)
Любченков Антон Игоревич (1 000 000 руб., 10%)
Сикачина Даниил Александрович (1 000 000 руб., 10%)</t>
  </si>
  <si>
    <t>40 100 000</t>
  </si>
  <si>
    <t>lipetskagro@bk.ru</t>
  </si>
  <si>
    <t>УК АГРОКАПИТАЛ, ООО (1 095 390 000 руб., 100%)</t>
  </si>
  <si>
    <t>24@magnumoil.ru, cards@magnumoil.ru, mo@magnumoil.ru, svpanin@gmail.com, tnd@magnumoil.ru</t>
  </si>
  <si>
    <t>Панин Алексей Викторович (475 000 руб., 95%)
Панин Сергей Викторович (25 000 руб., 5%)</t>
  </si>
  <si>
    <t>8 670 000</t>
  </si>
  <si>
    <t>reception_go@gkm.ru</t>
  </si>
  <si>
    <t>19 029 100 000</t>
  </si>
  <si>
    <t>a.valuiko@agrohold.ru</t>
  </si>
  <si>
    <t>АПХ МИРАТОРГ, ООО (200 000 руб., 100%)</t>
  </si>
  <si>
    <t>abon@tk.nov.ru, ail@tk.nov.ru, mail.tk@nov.ry, mail@tk.nov, mail@tk.novg.ru, mail@tk.ru, mail@tkk.nov.ru, mail@tknov.ru, malik@tk.nov.ru, meil@tk.nov.ru</t>
  </si>
  <si>
    <t>tk.nov.ru</t>
  </si>
  <si>
    <t>НОРДЭНЕРГО, АО (10 000 руб., 100%)</t>
  </si>
  <si>
    <t>info@ocher.ru</t>
  </si>
  <si>
    <t>ГК ОМЗ, ООО (10 000 руб., 100%)</t>
  </si>
  <si>
    <t>24 980 000</t>
  </si>
  <si>
    <t>info@tk-osnova.ru, tender@tk-osnova.ru</t>
  </si>
  <si>
    <t>tk-osnova.ru</t>
  </si>
  <si>
    <t>Илиев Альберт Русланович (70 000 000 руб., 100%)</t>
  </si>
  <si>
    <t>128 830 000</t>
  </si>
  <si>
    <t>Поздеев Виталий Витальевич (1 000 000 руб., 100%)</t>
  </si>
  <si>
    <t>136 990 000</t>
  </si>
  <si>
    <t>info@sugar2194.ru, proton3038202@mail.ru, sekretar@sugar2194.ru</t>
  </si>
  <si>
    <t>цукерман.рф</t>
  </si>
  <si>
    <t>Никитина Елена Анатольевна (25 000 руб., 50%)
Шалунов Илья Николаевич (25 000 руб., 50%)</t>
  </si>
  <si>
    <t>obelyanina82@mail.ru, tk.peppell@mail.ru, zem81olga@mail.ru</t>
  </si>
  <si>
    <t>Шерстобитов Антон Андреевич (273 960 000 руб., 100%)</t>
  </si>
  <si>
    <t>357 070 000</t>
  </si>
  <si>
    <t>Юганов Максим Анатольевич (10 000 руб., 100%)</t>
  </si>
  <si>
    <t>26 540 000</t>
  </si>
  <si>
    <t>kpicil@yandex.ru, nasta_dom12@mail.ru</t>
  </si>
  <si>
    <t>nav42.ru</t>
  </si>
  <si>
    <t>Овчаров Дмитрий Анатольевич (2 502 500 руб., 50%)
Шепелев Андрей Владимирович (2 502 500 руб., 50%)</t>
  </si>
  <si>
    <t>66 670 000</t>
  </si>
  <si>
    <t>aiding_7@bk.ru; resurs.ooo.94@mail.ru, resurs.ooo.94@mail.ru</t>
  </si>
  <si>
    <t>Созинов Дмитрий Александрович (10 000 руб., 100%)</t>
  </si>
  <si>
    <t>1 040 000</t>
  </si>
  <si>
    <t>office_ia_tk@rushydro.ru, office_ssh_tk@rushydro.ru, ofisshtk@sges.rushydro.ru, ottis_ssh_tk@rushydro.ru, popovav_ssatc@mail.ru, ssatc@mail.ru, viazevma@rushydro.ru</t>
  </si>
  <si>
    <t>http://www.tc.rushydro.ru/</t>
  </si>
  <si>
    <t>РУСГИДРО, ПАО (531 671 380 руб.)</t>
  </si>
  <si>
    <t>l.morgunova@dominantsugar.ru</t>
  </si>
  <si>
    <t>ГК ДОМИНАНТ, ООО (1 000 000 руб., 100%)</t>
  </si>
  <si>
    <t>147 980 000</t>
  </si>
  <si>
    <t>law@tcnordproject.ru</t>
  </si>
  <si>
    <t>tcnordproject.ru</t>
  </si>
  <si>
    <t>Кузьмин Денис Валерьевич (40 000 руб., 100%)</t>
  </si>
  <si>
    <t>1 771 750 000</t>
  </si>
  <si>
    <t>minigaliev@stalintex.ru</t>
  </si>
  <si>
    <t>Минигалиев Денис Рифович (739 190 430 руб., 100%)</t>
  </si>
  <si>
    <t>1 119 980 000</t>
  </si>
  <si>
    <t>tk-territory.ru</t>
  </si>
  <si>
    <t>Павлов Станислав Валерьевич (10 000 руб., 100%)</t>
  </si>
  <si>
    <t>157 640 000</t>
  </si>
  <si>
    <t>gd@tcoil.ru, juliaross@tcoil.ru, secretar@tcoil.ru</t>
  </si>
  <si>
    <t>http://www.tranzit-city.com/, www.ohio8.vchecks.me</t>
  </si>
  <si>
    <t>Гаптельхаков Ринат Назипович (7 200 руб., 60%)
Валиев Ирек Хасбиуллович (1 200 руб., 10%)
Талдыкин Игорь Михайлович (1 200 руб., 10%)
Гаптельхаков Рафкат Назипович (600 руб., 5%)
Дерягин Олег Анатольевич (600 руб., 5%)
Семенова Елена Анатольевна (600 руб., 5%)
Сотруддинов Ильнар Ирикович (600 руб., 5%)</t>
  </si>
  <si>
    <t>275 870 000</t>
  </si>
  <si>
    <t>tk-expertcable.ru</t>
  </si>
  <si>
    <t>Мельников Антон Васильевич (10 000 руб., 100%)</t>
  </si>
  <si>
    <t>sales@thyssenkrupp-elevator.ru, svetlana.romanova@tkelevator.com, tke@thyssenkrupp-elevator.ru</t>
  </si>
  <si>
    <t>thyssenkrupp-elevator.ru</t>
  </si>
  <si>
    <t>ТИССЕНКРУПП ЭЛЕВАТОР (ЦЕНЕ) ГМБХ (14 343 875 руб., 100%)</t>
  </si>
  <si>
    <t>218 780 000</t>
  </si>
  <si>
    <t>rus_gar@inbox.ru</t>
  </si>
  <si>
    <t>Абузагиров Джабраил Мужаитович (1 242 359 руб., 66.66%)
Ганиев Рустам Шамилевич (621 187 руб., 33.33%)</t>
  </si>
  <si>
    <t>5 290 000</t>
  </si>
  <si>
    <t>a.belousov@yarvet.ru, eg.sorokopud@yarvet.ru, kv.moroshkina@yarvet.ru, tender@yarvet.ru</t>
  </si>
  <si>
    <t>yarvet.ru</t>
  </si>
  <si>
    <t>tendertkviktoria@gmail.com, tkviktoria@tkviktoria.com</t>
  </si>
  <si>
    <t>Приходько Леонид Витальевич (510 000 руб., 100%)</t>
  </si>
  <si>
    <t>106 930 000</t>
  </si>
  <si>
    <t>agishevok@gmail.com, ian@tk9.ru</t>
  </si>
  <si>
    <t>www.tk9.ru</t>
  </si>
  <si>
    <t>Инякин Владислав Николаевич (10 000 руб., 100%)</t>
  </si>
  <si>
    <t>56 010 000</t>
  </si>
  <si>
    <t>info@tkk-lrt.ru</t>
  </si>
  <si>
    <t>tkk-lrt.ru</t>
  </si>
  <si>
    <t>ИК ЛИДЕР, АО (55 000.1 руб., 55.00%)
AYAR INTERNATIONAL INVESTMENTS COMPANY (12 119.78 руб., 12.11%)
ТРАМТЕХ, ООО (10 125 руб., 11.25%)
ПКК, ООО (9 875 руб., 8.75%)
ППИТ-12, ООО (8 079.76 руб., 8.07%)
BAHRAIN MUMTALAKAT HOLDING CO. B.S.C. (1 250 руб., 1.25%)
Co-Investment Partnership I, L.P (807.95 руб., 0.80%)
ПАРТНЕРСТВО С ОГРАНИЧЕННОЙ ОТВЕТСТВЕННОСТЬЮ КО-ИНВЕСТМЕНТ ПАРТНЕРШИП V Л.П. (807.95 руб., 0.80%)
EXARZO HOLDINGS LIMITED (765.23 руб., 0.76%)
FLOETTE HOLDINGS LIMITED (765.23 руб., 0.76%)
...*</t>
  </si>
  <si>
    <t>info@tklc-norilsk.ru</t>
  </si>
  <si>
    <t>Трофимов Алексей Владимирович (900 000 руб., 90%)
Регулев Михаил Константинович (100 000 руб., 10%)</t>
  </si>
  <si>
    <t>448 350 000</t>
  </si>
  <si>
    <t>info@tch.ru</t>
  </si>
  <si>
    <t>www.tch.ru</t>
  </si>
  <si>
    <t>677 410 000</t>
  </si>
  <si>
    <t>info@vet-prod.ru</t>
  </si>
  <si>
    <t>Ким Роман Герасимович (21 250 руб., 42.50%)
Цыганков Игорь Николаевич (21 250 руб., 42.50%)
Филатов Виталий Викторович (7 500 руб., 15%)</t>
  </si>
  <si>
    <t>1 614 810 000</t>
  </si>
  <si>
    <t>info_vita@bk.ru</t>
  </si>
  <si>
    <t>Пихуля Олеся Владимировна (20 000 руб., 100%)</t>
  </si>
  <si>
    <t>124 810 000</t>
  </si>
  <si>
    <t>bikovrf@tldexpo.ru</t>
  </si>
  <si>
    <t>Вачадзе Джема Геронтиевна (9 500 руб., 95%)
Вачадзе Георгий Джамбулович (500 руб., 5%)</t>
  </si>
  <si>
    <t>1 725 600 000</t>
  </si>
  <si>
    <t>belouskv@icloud.com, buh_zp@vl-logistic.com, tender@vl-logistic.com</t>
  </si>
  <si>
    <t>http://vl-logistic.ru/</t>
  </si>
  <si>
    <t>Постовалов Борис Владимирович (3 000 000 руб., 60%)
Постовалова Ирина Алексеевна (2 000 000 руб., 40%)</t>
  </si>
  <si>
    <t>91 460 000</t>
  </si>
  <si>
    <t>office@se-tlk.ru</t>
  </si>
  <si>
    <t>Дзидзигури Давид Бичикоевич (1 000 000 руб., 100%)</t>
  </si>
  <si>
    <t>53 980 000</t>
  </si>
  <si>
    <t>contact@zao-tls.ru</t>
  </si>
  <si>
    <t>bosss@t-lc.ru, buh@t-lc.ru</t>
  </si>
  <si>
    <t>www.t-lc.ru, т-лц.рф</t>
  </si>
  <si>
    <t>Курицын Дмитрий Владимирович (10 000 руб., 100%)</t>
  </si>
  <si>
    <t>62 820 000</t>
  </si>
  <si>
    <t>ioe@teplonet.ru, tangers@ya.ru</t>
  </si>
  <si>
    <t>teplonet.ru</t>
  </si>
  <si>
    <t>Елизаров Геннадий Викторович (15 556 000 руб., 38.89%)
Ивлев Николай Михайлович (15 556 000 руб., 38.89%)
Шафикова Лидия Ивановна (8 888 000 руб., 22.22%)</t>
  </si>
  <si>
    <t>84 220 000</t>
  </si>
  <si>
    <t>info@td-tmz.com</t>
  </si>
  <si>
    <t>ИЗАР, ООО (4 920 258.9 руб., 51%)
Судаков Максим Анатольевич (4 729 741.1 руб., 49%)</t>
  </si>
  <si>
    <t>168 760 000</t>
  </si>
  <si>
    <t>gk-meta.ru</t>
  </si>
  <si>
    <t>ПНТЗ, АО (495 000 руб., 99%)
ЧТПЗ, АО (5 000 руб., 1%)</t>
  </si>
  <si>
    <t>545 170 000</t>
  </si>
  <si>
    <t>kanz@uprt-nv.com</t>
  </si>
  <si>
    <t>uprt-nv.ru</t>
  </si>
  <si>
    <t>redverg.ru</t>
  </si>
  <si>
    <t>Скосырев Вадим Геннадьевич (6 250 руб., 62.50%)
Федосеев Евгений Иванович (3 750 руб., 37.50%)</t>
  </si>
  <si>
    <t>131 710 000</t>
  </si>
  <si>
    <t>www.chelpipegroup.com</t>
  </si>
  <si>
    <t>ЧТПЗ, АО (9 200 000 000 руб., 100%)</t>
  </si>
  <si>
    <t>nctb@rimera.com</t>
  </si>
  <si>
    <t>ТМК НГС, ООО (1 000 000 руб., 100%)</t>
  </si>
  <si>
    <t>66 920 000</t>
  </si>
  <si>
    <t>info@tulamilk.ru, s.kirill@tulamilk.ru</t>
  </si>
  <si>
    <t>www.tibc.ru</t>
  </si>
  <si>
    <t>ГК АГРОЭКО, ООО (9 698 руб., 96.98%)
КОМПАНИЯ С ОГРАНИЧЕННОЙ ОТВЕТСТВЕННОСТЬЮ "АГРОЭКО ГРУП ВРН ЛИМИТЕД" (100 руб., 1%)
Маслов Владимир Васильевич (100 руб., 1%)
РСХБ-ФИНАНС, ООО (100 руб., 1%)
АГРОЭКО-ВОСТОК, ООО (1 руб., 0.010%)
АПК АГРОЭКО, ООО (1 руб., 0.010%)</t>
  </si>
  <si>
    <t>1 734 320 000</t>
  </si>
  <si>
    <t>miskevichei@stw.ru</t>
  </si>
  <si>
    <t>30 590 000</t>
  </si>
  <si>
    <t>info@tmkymz.com, info@tmkymz.ru</t>
  </si>
  <si>
    <t>ТМК, ПАО (1 450 000 000 руб., 100%)</t>
  </si>
  <si>
    <t>1 611 880 000</t>
  </si>
  <si>
    <t>azat2210@inbox.ru, tmcg@tmcg.ru</t>
  </si>
  <si>
    <t>ТАГРАС-ХОЛДИНГ, ООО (100 000 руб., 100%)</t>
  </si>
  <si>
    <t>1 323 240 000</t>
  </si>
  <si>
    <t>a.kardash@tmtp.ru, port.tuapse@tmtp.ru, port_tuapse@tuapse.ru, reception@tamcom.ru, zabotkinat@mail.ru</t>
  </si>
  <si>
    <t>tmtp.ru</t>
  </si>
  <si>
    <t>3 100 700 000</t>
  </si>
  <si>
    <t>info@tn-avia.ru</t>
  </si>
  <si>
    <t>ТАТНЕФТЬ ИМ. В.Д. ШАШИНА, ПАО (5 000 000 руб., 100%)</t>
  </si>
  <si>
    <t>163 200 000</t>
  </si>
  <si>
    <t>5009053687_772901001@eo.tensor.ru, artem@azszapad.ru, bakhtin@azszapad.ru, ender@msk.tatneft.ru, faleleeva_av@msk.tatneft.ru, isichenko_p@msk.tatneft.ru, ivanova.n@spb.tatneft.ru, naletova_ea@msk.tatneft.ru, npvega@mail.ru, pleshkan_si@msk.tatneft.ru</t>
  </si>
  <si>
    <t>https://azs.tatneft.ru/, www.azs-tatneft.ru, www.tatneft.ru</t>
  </si>
  <si>
    <t>ТАТНЕФТЬ ИМ. В.Д. ШАШИНА, ПАО (3 555 433 094 руб., 97.94%)
ТАТНЕФТЬ-АЗС ЦЕНТР, ООО (74 826 503.24 руб., 2.06%)</t>
  </si>
  <si>
    <t>tn-serv@mail.ru</t>
  </si>
  <si>
    <t>ТАТНЕФТЬ ИМ. В.Д. ШАШИНА, ПАО (261 000 000 руб., 100%)</t>
  </si>
  <si>
    <t>info@tamanneftegas.ru, sekret@tamanneftegas.ru, sekret@tamanneftegas.ru.info@tamannefteg, tngc@mail.ru</t>
  </si>
  <si>
    <t>www.tamanneftegas.ru</t>
  </si>
  <si>
    <t>4 168 240 000</t>
  </si>
  <si>
    <t>galievag@tngf.tatneft.ru</t>
  </si>
  <si>
    <t>ТНГ-ГРУПП, ООО (10 000 руб., 67.10%)
ИНВЕСТИЦИОННЫЕ СИСТЕМЫ 3.0, ООО (4 903 руб., 32.90%)</t>
  </si>
  <si>
    <t>494 650 000</t>
  </si>
  <si>
    <t>bev@tngf.tatneft.ru, holina.pp@tng.ru, tender@tng.ru, tng@tng.ru</t>
  </si>
  <si>
    <t>www.tng.ru</t>
  </si>
  <si>
    <t>ЭА ЦЕНТР, ООО (100 000 руб., 100%)</t>
  </si>
  <si>
    <t>1 844 890 000</t>
  </si>
  <si>
    <t>salavattng@mail.ru, terav83@yandex.ru, tngyugra@yandex.ru</t>
  </si>
  <si>
    <t>ТНГ-ГРУПП, ООО (10 000 руб., 67.10%)
Шарипов Ян Галимович (4 903 руб., 32.90%)</t>
  </si>
  <si>
    <t>68 560 000</t>
  </si>
  <si>
    <t>info@ank-oil.ru</t>
  </si>
  <si>
    <t>tnk-oil.su</t>
  </si>
  <si>
    <t>Калядин Дмитрий Викторович (10 000 руб., 100%)</t>
  </si>
  <si>
    <t>info@pumps.transneft.ru</t>
  </si>
  <si>
    <t>tnp-m.ru</t>
  </si>
  <si>
    <t>Шурайц Аркадий Михайлович (10 000 руб., 100%)</t>
  </si>
  <si>
    <t>109 140 000</t>
  </si>
  <si>
    <t>bo@novgorod.tns.ru, ire9@yandex.ru, lar8024199@yandex.ru, mikhailov.lv@novgorod.ru, mikhailova.lv@novgorod.ru, mikhailovr@trovgorod.ru, sekr@novgorod.tns.ru, sekr_bo@e.ru, sekr_bo@novgorod.ru, sekr_bo@novgorod.tns_e.ru</t>
  </si>
  <si>
    <t>novsbt.ru</t>
  </si>
  <si>
    <t>ТНС ЭНЕРГО, ПАО ГК (200 000 руб., 100%)</t>
  </si>
  <si>
    <t>21 280 000</t>
  </si>
  <si>
    <t>61.87.43@yandex.ru, anksn@vesc.ru, belogubova@vesc.ru, bobtav@vesc.ru, bogsbyt@ves27777c.ru, bogsbyt@vesc.ru, bor_vesc1@voroneg.ru, bor_vesc1@voronez.ru, bor_vesc1@voronezh.tns, bor_vesc1@voronezh.tns.ru</t>
  </si>
  <si>
    <t>https://voronezh.tns-e.ru, www.vesc.ru</t>
  </si>
  <si>
    <t>ТНС ЭНЕРГО, ПАО ГК (86.41%)
ТНС ЭНЕРГО РОСТОВ-НА-ДОНУ, ПАО (3.93%)
ТНС ЭНЕРГО НН, ПАО (3.86%)
ТНС ЭНЕРГО КУБАНЬ, ПАО (0.0031%)</t>
  </si>
  <si>
    <t>1001012875@mail.ru, batanova@karelesk.ru, csmdogovor@mail.ru, godsend.gp1@sampo.ru, info@karelesk.ru, keks@karelia.tns.ru, kese@karelia.tns.ru, kesk@karalesk.ru, kesk@karelenergo.ru, kesk@kareles.ru</t>
  </si>
  <si>
    <t>karelia.tns-e.ru</t>
  </si>
  <si>
    <t>ТНС ЭНЕРГО, ПАО ГК (51%)
ТНС ЭНЕРГО КУБАНЬ, ПАО (49%)</t>
  </si>
  <si>
    <t>004@mail.kubansbyt.ru, 01_koshpu@mail.kubansbyt.ru, 021_@mail.kubansbyt.ru, 021_gas@mail.kubansbyt.ru, 021_gjs@mail.kubansbyt.ru, 021_gos@kubansbyt.ru, 021_gos@mail.kuban.ru, 021_gos@mail.kubanbyt.ru, 021_gos@mail.kubansbt.ru, 021_gos@mail.kubansbut.ru</t>
  </si>
  <si>
    <t>https://kuban.tns-e.ru</t>
  </si>
  <si>
    <t>ТНС ЭНЕРГО, ПАО ГК (58.89%)
ТНС ЭНЕРГО МАРИЙ ЭЛ, ПАО (14.09%)
ТНС ЭНЕРГО ПЕНЗА, ООО (11.19%)
ТНС ЭНЕРГО РОСТОВ-НА-ДОНУ, ПАО (2.18%)
ТНС ЭНЕРГО ВОРОНЕЖ, ПАО (1.78%)</t>
  </si>
  <si>
    <t>anisimova_aa@ebs.mari.ru, bac@mail.ru, bank@esb.mari.ru, d_kontr@esb.mari.ru, eab@esb.mari.ru, ebs@ebs.mari.ru, ebs@esb.mari.ru, emi@esb.mari.ru, esb@esb.mari, esb@esb.mari.tu</t>
  </si>
  <si>
    <t>https://mari-el.tns-e.ru</t>
  </si>
  <si>
    <t>ТНС ЭНЕРГО, ПАО ГК (79.26%)
ТНС ЭНЕРГО ВОРОНЕЖ, ПАО (8.35%)
ТНС ЭНЕРГО НН, ПАО (5%)
ТНС ЭНЕРГО КУБАНЬ, ПАО (0.020%)</t>
  </si>
  <si>
    <t>555@tandex.ru, bna@gorod.nsk.elektra.ru, buhmetk@yandex.ru, dobrota.86@mail.ru, egorova@nsk.elektra.ru, info.vikca.nn@list.ru, info@arzamas.nn, info@arzamas.nn.ru, info@arzamas.nn.tns.ru, info@arzamas.nn.tns.su</t>
  </si>
  <si>
    <t>https://nn.tns-e.ru/company/info/, www.nsk.elektra.ru</t>
  </si>
  <si>
    <t>ТНС ЭНЕРГО, ПАО ГК (81.63%)
ТНС ЭНЕРГО ЯРОСЛАВЛЬ, ПАО (11.53%)
ТНС ЭНЕРГО ВОРОНЕЖ, ПАО (2.63%)
ТНС ЭНЕРГО РОСТОВ-НА-ДОНУ, ПАО (0.85%)
ТНС ЭНЕРГО КУБАНЬ, ПАО (0.034%)</t>
  </si>
  <si>
    <t>afrikanovvv@sbi.ru, dhtft@mail.ru, enego@mail.ru, energocberegenie@mail.ru, enza.tns@ail.ru, flemina2014@yandex.ru, git58@yandex.ru, gorod_buh@penza.tnse.ru, gudkova@penza.tns.ru, gudkovaog@penza.sura.ru</t>
  </si>
  <si>
    <t>ТНС ЭНЕРГО, ПАО ГК (10 000 руб., 100%)</t>
  </si>
  <si>
    <t>639 180 000</t>
  </si>
  <si>
    <t>123@dif.ru, 1b@mail.ru, 2565851@mail.ru, 42434@donpac.ru, 45dou@mail.ru, 61@gibdd.ru, 79885107899@mail.ru, a.belichenko@mail.ru, a.belokonev@rostov.tnse.ru, a.belova@rossbt.ru</t>
  </si>
  <si>
    <t>https://rostov.tns-e.ru</t>
  </si>
  <si>
    <t>ТНС ЭНЕРГО, ПАО ГК (50.83%)
ТНС ЭНЕРГО ВОРОНЕЖ, ПАО (16.58%)
ТНС ЭНЕРГО КУБАНЬ, ПАО (11.84%)
ТНС ЭНЕРГО МАРИЙ ЭЛ, ПАО (6.28%)
ТНС ЭНЕРГО ПЕНЗА, ООО (6.12%)
ТНС ЭНЕРГО ЯРОСЛАВЛЬ, ПАО (4.03%)
ТНС ЭНЕРГО НН, ПАО (0.039%)</t>
  </si>
  <si>
    <t>e.tns@mail.ru, energo@tularegion.org, fkucizookbo@mail.ru, fy9olm@mail.ru, hg@jgyt.ru, ihh@mail.ru, jhdfjhdf@mail.ru, kirgoszak@mail.ru, lit.tns@mail.ru, net@ner.ru</t>
  </si>
  <si>
    <t>dfjk@usdfsdf.ru, dsfdsfsdf@retd.ru, dsfsdfs@ldf.ru, ehgsbyt@yarsk.ru, elen4.tender@yandex.ru, engsbut@rambler.ru, engsbyt@yar.ru, engsbyt@yar.tns, engsbyt@yar.tns-e.ru, engsbyt@yar.tns.ru</t>
  </si>
  <si>
    <t>www.yar.tns-e.ru</t>
  </si>
  <si>
    <t>e.perova@tns-e.ru, info@tns-s.ru, potapkin_i@tns-e.ru</t>
  </si>
  <si>
    <t>КОМПАНИЯ "САНФЛЕЙК ЛИМИТЕД"/"SUNFLAKE LIMITED" (28.26%)
ТНС ЭНЕРГО ПЕНЗА, ООО (11.05%)
ТНС ЭНЕРГО РОСТОВ-НА-ДОНУ, ПАО (3.71%)
ТНС ЭНЕРГО НН, ПАО (0.64%)
ТНС ЭНЕРГО МАРИЙ ЭЛ, ПАО (0.32%)
ТНС ЭНЕРГО ЯРОСЛАВЛЬ, ПАО (0.30%)
ТНС ЭНЕРГО ТУЛА, АО (0.040%)
ТНС ЭНЕРГО КУБАНЬ, ПАО (0.022%)
ТНС ЭНЕРГО ВОРОНЕЖ, ПАО (0.019%)</t>
  </si>
  <si>
    <t>butakovav@ttr.transneft.ru, ttr-secretary@ttr.transneft.ru</t>
  </si>
  <si>
    <t>www.ttr.transneft.ru</t>
  </si>
  <si>
    <t>Транспортирование по трубопроводам нефти и нефтепродуктов</t>
  </si>
  <si>
    <t>79 370 000</t>
  </si>
  <si>
    <t>to6metrosrtoy@list.ru, to6metrostroy@list.ru</t>
  </si>
  <si>
    <t>ЭВРОСТРОЙ, ООО (6 600 руб., 66%)
МАБСТРОЙ, ООО (3 400 руб., 34%)</t>
  </si>
  <si>
    <t>domashnee@tho.ru</t>
  </si>
  <si>
    <t>Музыченко Надежда Николаевна (3 300 000 руб., 66%)
ТОВАРНОЕ ХОЗЯЙСТВО, ООО (1 700 000 руб., 34%)</t>
  </si>
  <si>
    <t>146 440 000</t>
  </si>
  <si>
    <t>bakirova.rpk@mail.ru</t>
  </si>
  <si>
    <t>v-oda.ru</t>
  </si>
  <si>
    <t>РПК ХМЕЛЁФФ, АО (6 720 руб., 80%)
Кирило-Покровский Алексей Евгеньевич (1 680 руб., 20%)</t>
  </si>
  <si>
    <t>254 740 000</t>
  </si>
  <si>
    <t>Кулаков Владимир Николаевич (5 000 руб., 50%)
Шуманов Альберт Викторович (5 000 руб., 50%)</t>
  </si>
  <si>
    <t>400 180 000</t>
  </si>
  <si>
    <t>asu@todep.ru, berngard.tdrp@todep.ru, blaginin@todep.ru, ishbuh@todep.ru, minakov@todep.ru, ohremenko@todep.ru, primnaya@todep.ru, shetinina@todep.ru, shihova@todep.ru, tobbuh@todep.ru</t>
  </si>
  <si>
    <t>todep.ru</t>
  </si>
  <si>
    <t>lubov.korotkova@toyota.ru</t>
  </si>
  <si>
    <t>toyota.ru</t>
  </si>
  <si>
    <t>Тойота Мотор Юроп (4 875 190 000 руб., 100%)</t>
  </si>
  <si>
    <t>20 392 210 000</t>
  </si>
  <si>
    <t>i.mamedniyazova@gap-rs.ru</t>
  </si>
  <si>
    <t>215 290 000</t>
  </si>
  <si>
    <t>m.serkina@gorkunov.com</t>
  </si>
  <si>
    <t>tktnso.ru</t>
  </si>
  <si>
    <t>ГК ГОРКУНОВ, АО (510 000 руб., 100%)</t>
  </si>
  <si>
    <t>719 240 000</t>
  </si>
  <si>
    <t>togok@mail.ru, togok@rcc-group.ru, y.polshakov@togok.rcc-group.ru</t>
  </si>
  <si>
    <t>tomgok.ru</t>
  </si>
  <si>
    <t>44 929 700 000</t>
  </si>
  <si>
    <t>tomld@mail.tomsknet.ru</t>
  </si>
  <si>
    <t>tomlesdrev.ru</t>
  </si>
  <si>
    <t>Комарова Татьяна Евгеньевна (10 000 руб., 100%)</t>
  </si>
  <si>
    <t>282 080 000</t>
  </si>
  <si>
    <t>sverka@tommoloko.ru, tommoloko@belgtts.ru, tommoloko@gmail.com</t>
  </si>
  <si>
    <t>tommoloko.ru</t>
  </si>
  <si>
    <t>77 430 000</t>
  </si>
  <si>
    <t>nagulina_ns@energo.tom.ru, nia@energo.tom.ru, pigaleva_is@interrao.ru, pinchina_yy@interrao.ru, sheshenya_ee@interrao.ru, tomgen@interrao.ru</t>
  </si>
  <si>
    <t>http://energo.tom.ru</t>
  </si>
  <si>
    <t>cable@tomskcable.ru, kovam@tomskcable.ru, marketing@tomskcable.ru</t>
  </si>
  <si>
    <t>Чуловский Сергей Иванович (6 135 000 руб., 100%)</t>
  </si>
  <si>
    <t>buh@rnvnk.ru, jsctn@tn.rosneft.ru, jsctn@tomskneft.ru, oscdn@tomskneft.ru</t>
  </si>
  <si>
    <t>www.tomskneft.ru</t>
  </si>
  <si>
    <t>post@beer.tomsknet.ru, svetlanag@beer.tomsknet.ru</t>
  </si>
  <si>
    <t>801 630 000</t>
  </si>
  <si>
    <t>aksenov_ig@interrao.ru, dogovor@tomskrts.ru, dogovor_trts@interrao.ru, dudina_tl@tomskrts.ru, idorova_ol@tomskrts.ru, iganova_ia@interrao.ru, imn@teplo.tom.ru, izofatova_lv@interrao.ru, kan@tomskrts.ru, kandarakova_lv@interrao.ru</t>
  </si>
  <si>
    <t>http://energo.tom.ru/rts/rascritie-informacii, tomskrts.ru, www.</t>
  </si>
  <si>
    <t>12@mail.com, abrashkina_ev@ensb.tomsk.ru, admintesk@ensb.tomsk.ru, aksenova@ensb.ru, aksenova_eal@ensb.tomsk.ru, ananina_aa@ensb.tomsk.ru, anisimova_ng@enab.tomsk.ru, anisimova_ng@ensb.tomsk.ru, applehunter@mail.ru, berestina_el@ensb.tomsk.ru</t>
  </si>
  <si>
    <t>www.ensb.tomsk.ru</t>
  </si>
  <si>
    <t>ИНТЕР РАО, ПАО (40 157 660.92 руб.)</t>
  </si>
  <si>
    <t>tomltd@mail.tomsknet.ru</t>
  </si>
  <si>
    <t>www.tom-ltd.ru</t>
  </si>
  <si>
    <t>КДВ, АО (62 271 490 руб., 100%)</t>
  </si>
  <si>
    <t>363 900 000</t>
  </si>
  <si>
    <t>mail@ton-auto.ru</t>
  </si>
  <si>
    <t>www.ton-auto.ru</t>
  </si>
  <si>
    <t>373 430 000</t>
  </si>
  <si>
    <t>6962563@gmail.com, info@tonar.net, mztonar@rambler.ru</t>
  </si>
  <si>
    <t>tonar.info</t>
  </si>
  <si>
    <t>Федюшина Ирина Юрьевна (31 164 000 руб., 100%)</t>
  </si>
  <si>
    <t>521 650 000</t>
  </si>
  <si>
    <t>www.tonnel2001.ru</t>
  </si>
  <si>
    <t>МОСМЕТРОСТРОЙ, АО (132 000 руб., 100%)</t>
  </si>
  <si>
    <t>info@topgrain.ru</t>
  </si>
  <si>
    <t>Басов Сергей Иванович (25 000 000 руб., 50%)
Басова Ольга Алексеевна (25 000 000 руб., 50%)</t>
  </si>
  <si>
    <t>791 650 000</t>
  </si>
  <si>
    <t>elf.lub.moscow@co.ru, igor.gromov@toplubricants.ru, info@lemarc.ru, info@total-russia.ru, info@totalmsk.ru, info@totalvostok.ru</t>
  </si>
  <si>
    <t>ТТЛ, АО (36 000 000 руб., 100%)</t>
  </si>
  <si>
    <t>2 020 280 000</t>
  </si>
  <si>
    <t>agafonova@tophouse.ru, biserova@tophouse.ru, info@tophouse.ru</t>
  </si>
  <si>
    <t>tophouse.ru</t>
  </si>
  <si>
    <t>Поспелов Владимир Николаевич (331 403.5 руб., 68.05%)
Войтон Кирилл Филиппович (73 050 руб., 15%)
Искандерова Нелли Леонтьевна (73 050 руб., 15%)
Гук Сергей Васильевич (9 496.5 руб., 1.95%)</t>
  </si>
  <si>
    <t>22 270 000</t>
  </si>
  <si>
    <t>Зюкин Виталий Юрьевич (500 000 руб., 50%)
Лопасов Максим Викторович (500 000 руб., 50%)</t>
  </si>
  <si>
    <t>14 640 000</t>
  </si>
  <si>
    <t>office@topinv.ru, topinvest_9@list.ru</t>
  </si>
  <si>
    <t>Сазонов Максим Вячеславович (100 000 руб., 100%)</t>
  </si>
  <si>
    <t>topcem@sibcem.ru</t>
  </si>
  <si>
    <t>ХК СИБЦЕМ, АО (130 000 000 руб., 100%)</t>
  </si>
  <si>
    <t>936 450 000</t>
  </si>
  <si>
    <t>top-kran.ru</t>
  </si>
  <si>
    <t>Козлов Александр Алексеевич (10 000 руб., 100%)</t>
  </si>
  <si>
    <t>mail@top-sys.com, masha80nv@gmail.com</t>
  </si>
  <si>
    <t>Зайцев Александр Евгеньевич (9 500 руб., 95%)
Хашаева Гузалия Шарифьяновна (500 руб., 5%)</t>
  </si>
  <si>
    <t>30 870 000</t>
  </si>
  <si>
    <t>info@topprom.su, topprom@mail.ru</t>
  </si>
  <si>
    <t>Королев Николай Владимирович (8 400 руб., 100%)</t>
  </si>
  <si>
    <t>4 584 180 000</t>
  </si>
  <si>
    <t>Борисов Дмитрий Михайлович (10 000 руб., 100%)</t>
  </si>
  <si>
    <t>338@gkrem.ru</t>
  </si>
  <si>
    <t>gkrem.ru, штабелёров.рф</t>
  </si>
  <si>
    <t>Иванов Кирилл Алексеевич (10 000 руб., 100%)</t>
  </si>
  <si>
    <t>39 740 000</t>
  </si>
  <si>
    <t>Рейз Олег Александрович (10 000 руб., 100%)</t>
  </si>
  <si>
    <t>7 130 000</t>
  </si>
  <si>
    <t>r.nurgalieva@bashpost.ru</t>
  </si>
  <si>
    <t>Гарифуллин Ильдар Мулланурович (157 967 484.84 руб., 99%)
Гарифуллина Алиса Ильдаровна (1 595 631.16 руб., 1%)</t>
  </si>
  <si>
    <t>info@torgmoll.ru</t>
  </si>
  <si>
    <t>ТОРГМОЛЛ (ШАНХАЙ) УПРАВЛЕНИЕ ЦЕПЯМИ ПОСТАВОК КО., ООО (10 000 руб., 100%)</t>
  </si>
  <si>
    <t>36 690 000</t>
  </si>
  <si>
    <t>sofitel80@mail.ru, tg@global-vet.ru</t>
  </si>
  <si>
    <t>Бирюков Андрей Александрович (19 607.84 руб., 100%)</t>
  </si>
  <si>
    <t>63 270 000</t>
  </si>
  <si>
    <t>zakaz@tdabris.ru</t>
  </si>
  <si>
    <t>tdabris.ru</t>
  </si>
  <si>
    <t>ЕЛС, ООО (4 900 руб., 49%)
Дударин Андрей Викторович (1 710 руб., 17.10%)
Власюк Анна Леонидовна (1 700 руб., 17%)
Худов Михаил Викторович (1 690 руб., 16.90%)</t>
  </si>
  <si>
    <t>83 590 000</t>
  </si>
  <si>
    <t>Калашникова Анастасия Сергеевна (20 000 руб., 100%)</t>
  </si>
  <si>
    <t>chernysh@tk-nerey.ru, company@tk-nerey.ru, elena@tk-nerey.ru</t>
  </si>
  <si>
    <t>tk-nerey.ru</t>
  </si>
  <si>
    <t>Забуга Андрей Леонидович (800 000 руб., 100%)</t>
  </si>
  <si>
    <t>39 940 000</t>
  </si>
  <si>
    <t>chlv@tkrm.udmhk.ru, marinahouse@mail.ru, rus@udmhk.ru, trapeznikovamf@tkrm.udmhk.ru</t>
  </si>
  <si>
    <t>ооорусьматушка.рф</t>
  </si>
  <si>
    <t>УДМУРТМЕЛЬПРОМ, ООО (10 000 000 руб., 100%)</t>
  </si>
  <si>
    <t>5 210 000</t>
  </si>
  <si>
    <t>bobyleva.e@tpcompany.ru, dorohina@tpcompany.ru, glavbuh@tpcompany.ru, main@tpcompany.ru, sale@tpcompanu.ru, sale@tpcompany.ru</t>
  </si>
  <si>
    <t>tpcompany.ru</t>
  </si>
  <si>
    <t>Дуйков Дмитрий Сергеевич (24 000 руб., 80%)
Остапов Алексей Вячеславович (6 000 руб., 20%)</t>
  </si>
  <si>
    <t>49 060 000</t>
  </si>
  <si>
    <t>Степанова Елена Анатольевна (10 000 руб., 100%)</t>
  </si>
  <si>
    <t>g.antipova@nevis.spb.ru, goncharova@nevis.spb.ru, info@nevis.spb.ru, market@nevis.spb.ru, optics2000@nevis.spb.ru, razvitie@nevis.spb.ru, sale@nevis.spb.ru, snevis@mail.ru</t>
  </si>
  <si>
    <t>www.nevis.spb.ru</t>
  </si>
  <si>
    <t>56 970 000</t>
  </si>
  <si>
    <t>td.office@ahstep.ru</t>
  </si>
  <si>
    <t>399 750 000</t>
  </si>
  <si>
    <t>nenahova@albes.ru</t>
  </si>
  <si>
    <t>t-profil.ru</t>
  </si>
  <si>
    <t>Лушин Максим Георгиевич (495 000 руб., 49.50%)
Хомик Юрий Ростиславович (495 000 руб., 49.50%)
ТОРГОВЫЙ ДОМ АЛБЕС ЦЕНТР, ООО (10 000 руб., 1%)</t>
  </si>
  <si>
    <t>226 770 000</t>
  </si>
  <si>
    <t>maria@aroma.spb.ru</t>
  </si>
  <si>
    <t>www.aroma.spb.ru</t>
  </si>
  <si>
    <t>43 170 000</t>
  </si>
  <si>
    <t>a.akhramovich@bmzm.ru, info@bmzm.ru</t>
  </si>
  <si>
    <t>bmzm.ru</t>
  </si>
  <si>
    <t>ОАО "БМЗ- управляющая компания холдинга "БМК" (287 109 900 руб., 99%)
ОАО "РМЗ" (2 900 100 руб., 1%)</t>
  </si>
  <si>
    <t>mail@tdbmz.com, t.nekrasova@tdbmz.com</t>
  </si>
  <si>
    <t>www.belsteel.com, www.tdbmz.com</t>
  </si>
  <si>
    <t>ОАО "БМЗ- управляющая компания холдинга "БМК" (162 000 000 руб., 60%)
БЕЛАРУСЮГСЕРВИС, ООО (108 000 000 руб., 40%)</t>
  </si>
  <si>
    <t>atsarapkina@td.bf.ru, dombf@info.ru, info@td-bf.ru, mdorodina@td.ru, nbulatova@td.ru, ndubrova@mail.ru, ploshadki@tdbf.ru, poland74@mail.ru, rubanop@tdmilk.ru, tordom@mail.ru</t>
  </si>
  <si>
    <t>www.td-bf.ru</t>
  </si>
  <si>
    <t>Яцива Елена Витальевна (10 010 000 руб., 100%)</t>
  </si>
  <si>
    <t>76 040 000</t>
  </si>
  <si>
    <t>e.budashkina@vds.by</t>
  </si>
  <si>
    <t>ВДС, ООО (2 749 726 руб., 100%)</t>
  </si>
  <si>
    <t>10 830 000</t>
  </si>
  <si>
    <t>help@vkt2home.ru, vkt@vkt.nnov.ru, vktpodarki@vkt.nnov.ru</t>
  </si>
  <si>
    <t>tdvkt.ru</t>
  </si>
  <si>
    <t>Фомичева Анна Геннадьевна (500 000 руб., 100%)</t>
  </si>
  <si>
    <t>18 370 000</t>
  </si>
  <si>
    <t>Заклёпкин Александр Павлович (5 000 руб., 50%)
Саблина Елена Геннадьевна (5 000 руб., 50%)</t>
  </si>
  <si>
    <t>1 180 000</t>
  </si>
  <si>
    <t>info@glassdecor.ru</t>
  </si>
  <si>
    <t>www.glassdecor.ru</t>
  </si>
  <si>
    <t>Пушкарев Игорь Валерьевич (10 000 руб., 100%)</t>
  </si>
  <si>
    <t>Торговля оптовая изделиями из керамики и стекла и чистящими средствами</t>
  </si>
  <si>
    <t>23 480 000</t>
  </si>
  <si>
    <t>m.kachurova@dominantsugar.ru, reception@dominantsugar.ru</t>
  </si>
  <si>
    <t>dominantsugar.ru</t>
  </si>
  <si>
    <t>ГК ДОМИНАНТ, ООО (6 122 449 руб., 100%)</t>
  </si>
  <si>
    <t>1 159 660 000</t>
  </si>
  <si>
    <t>td@zemmoloko.ru</t>
  </si>
  <si>
    <t>ЗЕМЛЯНСКМОЛОКО, ООО (10 000 руб., 100%)</t>
  </si>
  <si>
    <t>info@kamdorsnab.ru</t>
  </si>
  <si>
    <t>kamdorsnab.ru</t>
  </si>
  <si>
    <t>Галеев Рустам Вильевич (15 000 руб., 100%)</t>
  </si>
  <si>
    <t>АГРОТОРГ, ООО (10 000 000 руб., 84.95%)
АЛЬТЭКС, ООО (1 771 500 руб., 15.05%)</t>
  </si>
  <si>
    <t>325 880 000</t>
  </si>
  <si>
    <t>mail@tdmtzsz.ru, tdmtzkr@mail.ru</t>
  </si>
  <si>
    <t>tdmtzsz.ru</t>
  </si>
  <si>
    <t>ОАО "МТЗ" (642 500 руб., 100%)</t>
  </si>
  <si>
    <t>140 450 000</t>
  </si>
  <si>
    <t>anton_bury@mail.ru, att-torg2013@ya.ru, info@mtzsibir.ru, mtzsibir@mail.ru</t>
  </si>
  <si>
    <t>mtzsibir.ru</t>
  </si>
  <si>
    <t>ОАО "МТЗ" (45 000 руб., 100%)</t>
  </si>
  <si>
    <t>Холкин Антон Павлович (51 000 000 руб., 34%)
Кочетков Егор Михайлович (49 500 000 руб., 33%)
ТОРГОВЫЙ ДОМ НЕФТЕМАРКЕТ, ООО (49 500 000 руб., 33%)</t>
  </si>
  <si>
    <t>859 740 000</t>
  </si>
  <si>
    <t>td@nlmk.com</t>
  </si>
  <si>
    <t>www.nlmk.com</t>
  </si>
  <si>
    <t>НЛМК, ПАО (75 000 000 руб., 100%)</t>
  </si>
  <si>
    <t>391 370 000</t>
  </si>
  <si>
    <t>6625555@x5.ru, info@x5.ru, purchase@x5.ru, tatiana.mokeeva@x5.ru, x5.rent@x5.ru</t>
  </si>
  <si>
    <t>www.perekrestok.ru</t>
  </si>
  <si>
    <t>КОРПОРАТИВНЫЙ ЦЕНТР ИКС 5, ООО (83 818 000 000 руб.)</t>
  </si>
  <si>
    <t>13 889 870 000</t>
  </si>
  <si>
    <t>pinskdrev.msk.ru</t>
  </si>
  <si>
    <t>ЗАО "Холдинговая компания "Пинскдрев" (10 000 руб., 100%)</t>
  </si>
  <si>
    <t>37 970 000</t>
  </si>
  <si>
    <t>salesdrg19@gmail.com</t>
  </si>
  <si>
    <t>Волынская Виктория Владимировна (10 000 руб., 100%)</t>
  </si>
  <si>
    <t>atsaplin@prosv.ru, info@prosvregion.ru, isavenkova@prosv.ru, mbulka@prosv.ru, prosv@prosv.ru</t>
  </si>
  <si>
    <t>prosv-rgn.ru</t>
  </si>
  <si>
    <t>КОМПЛЕКСНОЕ ТЕХНИЧЕСКОЕ ОСНАЩЕНИЕ ПРОСВЕЩЕНИЕ, ООО (10 000 руб., 100%)</t>
  </si>
  <si>
    <t>1 576 170 000</t>
  </si>
  <si>
    <t>gendir@tkreal.ru, irina_sfvv@mail.ru</t>
  </si>
  <si>
    <t>http://www.tdreal.spb.ru/</t>
  </si>
  <si>
    <t>Мышинский Александр Евгеньевич (869 000 руб., 79%)
Ключник Павел Дмитриевич (231 000 руб., 21%)</t>
  </si>
  <si>
    <t>38 300 000</t>
  </si>
  <si>
    <t>info@ghgt.ru, ok@ghgt.ru</t>
  </si>
  <si>
    <t>УК РОСТ, ООО (9 999 руб., 99.99%)
Рукин Сергей Ильич (1 руб., 0.010%)</t>
  </si>
  <si>
    <t>9006794@mail.ru, rsmtsp@mail.ru</t>
  </si>
  <si>
    <t>http://www.rublevskiy-shop.ru/, rublevskiy.ru</t>
  </si>
  <si>
    <t>Козубенко Сергей Павлович (454 000 руб., 45.40%)
Сысоев Юрий Петрович (333 000 руб., 33.30%)
Суханов Александр Васильевич (213 000 руб., 21.30%)</t>
  </si>
  <si>
    <t>111 560 000</t>
  </si>
  <si>
    <t>sales@scc-farial.ru</t>
  </si>
  <si>
    <t>Кабанов Евгений Витальевич (50 000 руб., 50%)
Салихов Хаёт Эркинович (50 000 руб., 50%)</t>
  </si>
  <si>
    <t>baeva_ma@mail.ru</t>
  </si>
  <si>
    <t>talosto.ru</t>
  </si>
  <si>
    <t>КАПИТАЛ, ООО (36 465 руб., 51%)
АВД, ООО (35 035 руб., 49%)</t>
  </si>
  <si>
    <t>4716033195_471601001@eo.tensor.ru, ansho33@yandex.ru, asaturin@thermex.ru, azhuravlev@thermax.ru, key@thermex.ru, klivanov@thermex.ru, kmelnikova@thermex.ru, sualcatnas@thermex.ru, thermex@thermex.ru</t>
  </si>
  <si>
    <t>thermex.ru</t>
  </si>
  <si>
    <t>Гаврилюк Валерий Васильевич (337 000 000 руб., 100%)</t>
  </si>
  <si>
    <t>olegusenko@mail.ru</t>
  </si>
  <si>
    <t>СЦ ПЛАВА, АО (1 409 838 руб., 94.62%)
Строгалева Татьяна Германовна (72 712 руб., 4.88%)
ТОРГОВЫЙ ДОМ ТРАНС-АЛЬФА, ООО (7 152 руб., 0.48%)
Набока Наталья Геннадьевна (298 руб., 0.020%)</t>
  </si>
  <si>
    <t>4 250 000</t>
  </si>
  <si>
    <t>barkanova@evenx.ru, tender@evenx.ru</t>
  </si>
  <si>
    <t>Шустов Игорь Анатольевич (94 000 руб., 94%)
ТОРГОВЫЙ ДОМ ФЛОРИН, ООО (3 340 руб., 3.34%)
Маренков Алексей Анатольевич (1 660 руб., 1.66%)
ЭВЭНКС ВЕНДИНГ ГРУПП, ООО (1 000 руб., 1%)</t>
  </si>
  <si>
    <t>Симонов Константин Борисович (10 000 руб., 100%)</t>
  </si>
  <si>
    <t>18 400 000</t>
  </si>
  <si>
    <t>ТОРГОВЫЙ ДОМ ЭЙ ДЖИ, ООО (70 000 руб., 70%)
ТРАНС МЕХАНИЗАЦИЯ, ООО (30 000 руб., 30%)</t>
  </si>
  <si>
    <t>25 610 000</t>
  </si>
  <si>
    <t>imarket@book24.ru, kuhta.nv@eksmo-sale.ru, reception@eksmo-sale.ru</t>
  </si>
  <si>
    <t>book24.ru, www.eksmo.ru</t>
  </si>
  <si>
    <t>Черняк Александр Сергеевич (5 959 600 руб., 100%)</t>
  </si>
  <si>
    <t>798 790 000</t>
  </si>
  <si>
    <t>sales@helptomama.ru, treschetkina@energospb.ru</t>
  </si>
  <si>
    <t>Смирнов Павел Николаевич (510 000 руб., 100%)</t>
  </si>
  <si>
    <t>156 110 000</t>
  </si>
  <si>
    <t>zaosum@ktk.rdtc.ru</t>
  </si>
  <si>
    <t>3568958@mail.ru, 39115@mecheltrans.ru, fedor.nikolaev@mechelgroup.ru, mail.posiet@mechelgroup.ru, olga.arhangelskaya@mechelgroup.ru, portposiet@vtc.ru, tatyana.afanaseva@mechelgroup.ru, viktoriya.zakharova@mechelgroup.ru, yulia.laktionova@mechelgroup.ru, yuliya.laktionova@mechelgroup.ru</t>
  </si>
  <si>
    <t>www.mechel.ru/investors/enclosure/port/index.wbp</t>
  </si>
  <si>
    <t>1 934 120 000</t>
  </si>
  <si>
    <t>korotkov-denis@mail.ru</t>
  </si>
  <si>
    <t>sigma.onego.ru</t>
  </si>
  <si>
    <t>Белуга Леонид Леонтьевич (248 000 руб., 62%)
Белуга Татьяна Леонидовна (152 000 руб., 38%)</t>
  </si>
  <si>
    <t>info@piastrella.info, nanap@piastrella.ru, personal1@piastrella.ru, tc1@piastrella.ru, zsv@piastrella.ru</t>
  </si>
  <si>
    <t>shop.piastrella.info, www.piastrella.info, www.piastrella.shop, www.piastrella.uralfirm.ru</t>
  </si>
  <si>
    <t>ФИРМА НКС, ООО (20 000 руб., 100%)</t>
  </si>
  <si>
    <t>74 230 000</t>
  </si>
  <si>
    <t>info@trakt.ru</t>
  </si>
  <si>
    <t>www.trakt.ru</t>
  </si>
  <si>
    <t>светофоррб.рф</t>
  </si>
  <si>
    <t>АРТКОММ, АО (60 000 руб., 100%)</t>
  </si>
  <si>
    <t>Шнайдер Сергей Иванович (267 500 руб., 53.50%)
Шнайдер Андрей Иванович (150 000 руб., 30%)
Шнайдер Иван Иванович (45 000 руб., 9%)
Яковлев Валерий Геннадьевич (22 500 руб., 4.50%)
Вейкулайнен Андрей Алексеевич (15 000 руб., 3%)</t>
  </si>
  <si>
    <t>221 090 000</t>
  </si>
  <si>
    <t>Шнайдер Анна Александровна (13 722.9 руб., 45.74%)
Шнайдер Андрей Иванович (7 694.7 руб., 25.64%)
Пшеницын Евгений Геннадьевич (3 000 руб., 10%)
Шнайдер Иван Иванович (2 308.5 руб., 7.69%)
Килижеков Рустам Николаевич (1 350 руб., 4.50%)
Яковлев Валерий Геннадьевич (1 154.4 руб., 3.84%)
Вейкулайнен Андрей Алексеевич (769.5 руб., 2.56%)</t>
  </si>
  <si>
    <t>108 930 000</t>
  </si>
  <si>
    <t>Шнайдер Валентина Эманнуиловна (6 150 руб., 61.50%)
Шнайдер Андрей Иванович (1 200 руб., 12%)
Шнайдер Иван Иванович (900 руб., 9%)
Яковлев Валерий Геннадьевич (650 руб., 6.50%)
Килижеков Рустам Николаевич (400 руб., 4%)
Кувыклин Андрей Викторович (400 руб., 4%)
Вейкулайнен Андрей Алексеевич (300 руб., 3%)</t>
  </si>
  <si>
    <t>79 290 000</t>
  </si>
  <si>
    <t>Шнайдер Валентина Эманнуиловна (522 750 руб., 52.27%)
Шнайдер Андрей Иванович (170 000 руб., 17%)
Шнайдер Иван Иванович (76 500 руб., 7.65%)
Килижеков Рустам Николаевич (60 000 руб., 6%)
Яковлев Валерий Геннадьевич (55 250 руб., 5.52%)
Шнайдер Сергей Иванович (50 000 руб., 5%)
Кувыклин Андрей Викторович (40 000 руб., 4%)
Вейкулайнен Андрей Алексеевич (25 500 руб., 2.55%)</t>
  </si>
  <si>
    <t>ЮГ МЕНЕДЖМЕНТ, АО (50 000 руб., 100%)</t>
  </si>
  <si>
    <t>135 320 000</t>
  </si>
  <si>
    <t>Шнайдер Анна Александровна (133 750 руб., 53.50%)
Шнайдер Андрей Иванович (75 000 руб., 30%)
Шнайдер Иван Иванович (22 500 руб., 9%)
Яковлев Валерий Геннадьевич (11 250 руб., 4.50%)
Вейкулайнен Андрей Алексеевич (7 500 руб., 3%)</t>
  </si>
  <si>
    <t>398 240 000</t>
  </si>
  <si>
    <t>pashkova_t@torg4.ru</t>
  </si>
  <si>
    <t>ИНВЕСТ СТАНДАРТ, АО (300 000 руб., 100%)</t>
  </si>
  <si>
    <t>76 050 000</t>
  </si>
  <si>
    <t>ИНВЕСТ СТАНДАРТ, АО (200 000 руб., 100%)</t>
  </si>
  <si>
    <t>35 710 000</t>
  </si>
  <si>
    <t>ts43gb@yandex.ru</t>
  </si>
  <si>
    <t>АРТКОММ, АО (100 000 руб., 100%)</t>
  </si>
  <si>
    <t>85 940 000</t>
  </si>
  <si>
    <t>АРТКОММ, АО (500 000 руб., 100%)</t>
  </si>
  <si>
    <t>91 780 000</t>
  </si>
  <si>
    <t>Шнайдер Сергей Иванович (160 500 руб., 53.50%)
Шнайдер Андрей Иванович (90 000 руб., 30%)
Шнайдер Иван Иванович (27 000 руб., 9%)
Яковлев Валерий Геннадьевич (13 500 руб., 4.50%)
Вейкулайнен Андрей Алексеевич (9 000 руб., 3%)</t>
  </si>
  <si>
    <t>88 190 000</t>
  </si>
  <si>
    <t>АРТКОММ, АО (250 000 руб., 100%)</t>
  </si>
  <si>
    <t>32 060 000</t>
  </si>
  <si>
    <t>9 750 000</t>
  </si>
  <si>
    <t>milanna-444@mail.ru</t>
  </si>
  <si>
    <t>ЮГ МЕНЕДЖМЕНТ, АО (10 000 руб., 100%)</t>
  </si>
  <si>
    <t>145 580 000</t>
  </si>
  <si>
    <t>iragolovenko1975@gmail.com</t>
  </si>
  <si>
    <t>3282277@mail.ru, anborgul@yandex.ru, polina.svetlakova2015@yandex.ru</t>
  </si>
  <si>
    <t>112 420 000</t>
  </si>
  <si>
    <t>lifanovan.v@mail.ru</t>
  </si>
  <si>
    <t>ИНВЕСТ СТАНДАРТ, АО (500 000 руб., 100%)</t>
  </si>
  <si>
    <t>85 350 000</t>
  </si>
  <si>
    <t>marina1309@yandex.ru, oleg1894499@yandex.ru, svet0777@rambler.ru</t>
  </si>
  <si>
    <t>АРТКОММ, АО (1 000 000 руб., 100%)</t>
  </si>
  <si>
    <t>135 160 000</t>
  </si>
  <si>
    <t>chitabuhg@torg4.ru</t>
  </si>
  <si>
    <t>Шнайдер Сергей Иванович (146 562.5 руб., 58.62%)
Шнайдер Андрей Иванович (63 750 руб., 25.50%)
Шнайдер Иван Иванович (19 125 руб., 7.65%)
Яковлев Валерий Геннадьевич (9 562.5 руб., 3.82%)
Вейкулайнен Андрей Алексеевич (6 375 руб., 2.55%)
Килижеков Рустам Николаевич (2 450 руб., 0.98%)
Кувыклин Андрей Викторович (2 175 руб., 0.87%)</t>
  </si>
  <si>
    <t>208 630 000</t>
  </si>
  <si>
    <t>100letov@list.ru</t>
  </si>
  <si>
    <t>ИНВЕСТ СТАНДАРТ, АО (1 000 000 руб., 100%)</t>
  </si>
  <si>
    <t>195 660 000</t>
  </si>
  <si>
    <t>ВИАЛАКТЕЯ, ООО (500 000 руб., 100%)</t>
  </si>
  <si>
    <t>bukanov80@mail.ru</t>
  </si>
  <si>
    <t>tornetkom.ru</t>
  </si>
  <si>
    <t>Буканов Сергей Анатольевич (1 000 000 руб., 100%)</t>
  </si>
  <si>
    <t>baukov@torexsaratov.ru, imfo@torex.ru, info@torex.ru, oknakomfort_2016@mail.ru, torex@intsap.com</t>
  </si>
  <si>
    <t>www.torexsaratov.ru</t>
  </si>
  <si>
    <t>Седов Игорь Васильевич (267 178.11 руб., 75.19%)
Ионов Сергей Васильевич (75 279.59 руб., 21.18%)
Иванов Сергей Викторович (7 087.06 руб., 1.99%)
ТОРЭКС, ООО (5 790.54 руб., 1.63%)</t>
  </si>
  <si>
    <t>aass@mail.ru, adresa.net@mail.ru, ambov@tosk.tmb.ru, aq@mail.ru, as@mai.ru, asdr@mail.ru, bjhghg@mail.ru, deka@tosk.lmb.ru, doncova@yandex.ru, feskova@mail.ru</t>
  </si>
  <si>
    <t>www.tosk.tmb.ru</t>
  </si>
  <si>
    <t>61 950 000</t>
  </si>
  <si>
    <t>glp@t-s.ru</t>
  </si>
  <si>
    <t>Чамкин Михаил Александрович (10 000 руб., 100%)</t>
  </si>
  <si>
    <t>261 180 000</t>
  </si>
  <si>
    <t>dormarket@tochinvest.ru, office@tochinvest.ru, office@tochinvest.ru//www.tochinvest.ru, ttorg@tochinvest.ru</t>
  </si>
  <si>
    <t>www.tochinvest.ru</t>
  </si>
  <si>
    <t>466 300 000</t>
  </si>
  <si>
    <t>bnovator1@mail.ru, rusalina@tochka.com</t>
  </si>
  <si>
    <t>www.tochka.com</t>
  </si>
  <si>
    <t>2 861 140 000</t>
  </si>
  <si>
    <t>info@tech-per.ru, technicalprv@gmail.com, test@examle.com</t>
  </si>
  <si>
    <t>Поляков Алексей Евгеньевич (250 000 руб., 100%)</t>
  </si>
  <si>
    <t>125 400 000</t>
  </si>
  <si>
    <t>case@tpas.ru, jsd@tpas.ru, vmo@lps.komi.ru, volvo@tpas.ru, yes@tpas.ru</t>
  </si>
  <si>
    <t>www.casenw.ru, www.tpas.ru</t>
  </si>
  <si>
    <t>Калинин Александр Сидорович (500 000 руб., 100%)</t>
  </si>
  <si>
    <t>138 960 000</t>
  </si>
  <si>
    <t>liskina@glassdecor.ru</t>
  </si>
  <si>
    <t>Лискина Ольга Вячеславовна (10 000 руб., 100%)</t>
  </si>
  <si>
    <t>126 180 000</t>
  </si>
  <si>
    <t>info@tpi-ltd.ru, tehpromeng@gmail.com, test@examle.com</t>
  </si>
  <si>
    <t>tpi-ltd.ru</t>
  </si>
  <si>
    <t>Болдырев Сергей Владимирович (250 000 руб., 100%)</t>
  </si>
  <si>
    <t>1 692 790 000</t>
  </si>
  <si>
    <t>МЯСОПЕРЕРАБАТЫВАЮЩИЙ ЗАВОД, ООО (715 081 382.81 руб., 99.89%)
РСХБ-ФИНАНС, ООО (715 807.19 руб., 0.10%)
Ситкарев Алексей Александрович (10 000 руб., 0.0014%)</t>
  </si>
  <si>
    <t>tender@tdkama.com, turina@tdkama.com</t>
  </si>
  <si>
    <t>Кузнецов Вадим Леонидович (5 000 000 руб., 100%)</t>
  </si>
  <si>
    <t>lmk@groupvr.ru</t>
  </si>
  <si>
    <t>ЛИСКИМОНТАЖКОНСТРУКЦИЯ, АО (50 000 руб., 50%)
Лунев Александр Владимирович (50 000 руб., 50%)</t>
  </si>
  <si>
    <t>22 280 000</t>
  </si>
  <si>
    <t>ai.gilazov@belagro.com, sekretar@mtz-tatarstan.ru, sokolova@mtz.elaz.ru</t>
  </si>
  <si>
    <t>ОАО "МТЗ" (1 000 000 руб., 100%)</t>
  </si>
  <si>
    <t>265 560 000</t>
  </si>
  <si>
    <t>info@rose-oboi.ru, info@stenova.ru, j.ivanova@stenova.ru</t>
  </si>
  <si>
    <t>stenova.ru</t>
  </si>
  <si>
    <t>Яворович Сергей Владимирович (53 000 руб., 53%)
Третьяк Сергей Евгеньевич (47 000 руб., 47%)</t>
  </si>
  <si>
    <t>393 560 000</t>
  </si>
  <si>
    <t>Воробьев Виталий Витальевич (3 135 000 руб., 100%)</t>
  </si>
  <si>
    <t>8 790 000</t>
  </si>
  <si>
    <t>abramovaen@tpnk.ru, pyatnitskayaov@tpnk.ru</t>
  </si>
  <si>
    <t>tpnk.ru</t>
  </si>
  <si>
    <t>DISONICA LIMITED (9 990 руб., 99.90%)
Чернев Илья Александрович (10 руб., 0.10%)</t>
  </si>
  <si>
    <t>156 920 000</t>
  </si>
  <si>
    <t>bondarev@tdbvk.ru</t>
  </si>
  <si>
    <t>s-samobranka.ru</t>
  </si>
  <si>
    <t>Галактионов Владимир Иванович (368 000 000 руб., 100%)</t>
  </si>
  <si>
    <t>212 740 000</t>
  </si>
  <si>
    <t>info@motpr.ru, info@transpr.ru</t>
  </si>
  <si>
    <t>http://transpr.ru/, motpr.ru</t>
  </si>
  <si>
    <t>guseva.n@tps.city, tender@tpserv.org</t>
  </si>
  <si>
    <t>Дронина Светлана Владимировна (60 000 руб., 92.30%)
Кузин Денис Юрьевич (5 000 руб., 7.70%)</t>
  </si>
  <si>
    <t>831 100 000</t>
  </si>
  <si>
    <t>d1dom.ru</t>
  </si>
  <si>
    <t>ТПУ-ХОЛДИНГ, ООО (151 516 440 руб., 100%)</t>
  </si>
  <si>
    <t>1 312 160 000</t>
  </si>
  <si>
    <t>vera.shugaeva@tp-link.com</t>
  </si>
  <si>
    <t>https://www.tp-link.com/ru/, tplink.ru, www.tp-link.com</t>
  </si>
  <si>
    <t>БИГ ФИЛД ГЛОБАЛ ПТЕ. ЛТД. (60 000 000 руб., 100%)</t>
  </si>
  <si>
    <t>673 010 000</t>
  </si>
  <si>
    <t>ts-serv.ru</t>
  </si>
  <si>
    <t>Подлиповский Андрей Николаевич (6 667 руб., 66.67%)
Алексеев Владимир Анатольевич (3 333 руб., 33.33%)</t>
  </si>
  <si>
    <t>47 110 000</t>
  </si>
  <si>
    <t>Абрамов Денис Иванович (100 000 руб., 100%)</t>
  </si>
  <si>
    <t>357 020 000</t>
  </si>
  <si>
    <t>info@tractorshina.ru, liliya.suleimanova@liftnet.ru, mail4@liftnet.ru, mail@liftnet.ru, natalia.ushakova@tr-lift.ru, office@liftnet.ru, tender@tr-lift.ru</t>
  </si>
  <si>
    <t>http://www.liftnet.ru, tractorshina.ru</t>
  </si>
  <si>
    <t>Ахунов Гамиль Ульфатович (600 000 руб., 50%)
Идиятуллин Рамил Иршатович (600 000 руб., 50%)</t>
  </si>
  <si>
    <t>317 680 000</t>
  </si>
  <si>
    <t>aisylu.ilyasova@daimler.com, dmitry.kireev@daimler.com, dmitry.kireev@dkrus.ru, fuso-dkrus@daimler.com, irina.tyurneva@daimler.com, irina.tyurneva@dkrus.ru, tatyana.kazakova@daimler.com</t>
  </si>
  <si>
    <t>mbtv-media.ru</t>
  </si>
  <si>
    <t>КАМАЗ, ПАО (496 110 000 руб., 100%)</t>
  </si>
  <si>
    <t>2 836 840 000</t>
  </si>
  <si>
    <t>glavbuh@traktorodetal.ru, i.klygina@traktorodetal.ru, tender1@traktorodetal.ru</t>
  </si>
  <si>
    <t>https://traktorodetal.ru/</t>
  </si>
  <si>
    <t>Крутиков Дмитрий Николаевич (450 000 руб., 90%)
Оников Николай Валерьевич (50 000 руб., 10%)</t>
  </si>
  <si>
    <t>1 151 940 000</t>
  </si>
  <si>
    <t>hmelev@yandex.ru, khvostov.s@truck-holding.ru, marketing@truck-holding.ru, sales@truck-holding.ru, service@truck-holding.ru, tender@truck-holding.ru, vas1604@yandex.ru</t>
  </si>
  <si>
    <t>truck-holding.ru</t>
  </si>
  <si>
    <t>Бондорин Виктор Викторович (25 000 руб., 50%)
Гридин Владимир Михайлович (12 500 руб., 25%)
Подворотов Михаил Дмитриевич (12 500 руб., 25%)</t>
  </si>
  <si>
    <t>306 750 000</t>
  </si>
  <si>
    <t>atihonova@sisecam.com, nromanenko@sisecam.com</t>
  </si>
  <si>
    <t>ЧООО "ТРСГ Гласс Холдинг Б.В." (7 387 500 100 руб., 100%)</t>
  </si>
  <si>
    <t>2 290 760 000</t>
  </si>
  <si>
    <t>anna.mak88@mail.ru, tralflot1@mail.ru</t>
  </si>
  <si>
    <t>1 324 110 000</t>
  </si>
  <si>
    <t>vstk@vst-tk.ru</t>
  </si>
  <si>
    <t>tranzitcargo.ru</t>
  </si>
  <si>
    <t>Зиновьев Денис Викторович (1 000 000 руб., 100%)</t>
  </si>
  <si>
    <t>192 770 000</t>
  </si>
  <si>
    <t>transitllc.ru</t>
  </si>
  <si>
    <t>Чуркин Павел Викторович (10 000 руб., 100%)</t>
  </si>
  <si>
    <t>2 366 410 000</t>
  </si>
  <si>
    <t>tranzitservice@yandex.ru</t>
  </si>
  <si>
    <t>www.bitumtsr.com</t>
  </si>
  <si>
    <t>Сологуб Александр Владимирович (490 000 руб., 98%)
Баженов Александр Владимирович (10 000 руб., 2%)</t>
  </si>
  <si>
    <t>22 170 000</t>
  </si>
  <si>
    <t>12orel@trancomstroy.ru, info@trancomstroy.ru, sdw2@trancom.ru, trankomstroy@gmail.com</t>
  </si>
  <si>
    <t>trancomstroy.ru</t>
  </si>
  <si>
    <t>Демченко Юрий Сергеевич (3 011 000 руб., 100%)</t>
  </si>
  <si>
    <t>1 128 590 000</t>
  </si>
  <si>
    <t>kovtunoo@transsin.ru</t>
  </si>
  <si>
    <t>transsin.ru</t>
  </si>
  <si>
    <t>РЕЙЛ ГАРАНТ, ООО (186 600 000 руб., 60%)
Смыслов Сергей Рудольфович (124 400 000 руб., 40%)</t>
  </si>
  <si>
    <t>petrova@vhc.ru</t>
  </si>
  <si>
    <t>www.strojtrans.ru</t>
  </si>
  <si>
    <t>egorovana@piteravto.ru</t>
  </si>
  <si>
    <t>transbalt-tk.ru</t>
  </si>
  <si>
    <t>masherk@inbox.ru</t>
  </si>
  <si>
    <t>Сорокин Вячеслав Александрович (10 000 руб., 100%)</t>
  </si>
  <si>
    <t>13 960 000</t>
  </si>
  <si>
    <t>levashov_d@transazs.com, transazs@mtu-net.ru</t>
  </si>
  <si>
    <t>www.transazs.com</t>
  </si>
  <si>
    <t>info@autoline.ru, tanisimova@avtoline.ru</t>
  </si>
  <si>
    <t>avtoline.ru</t>
  </si>
  <si>
    <t>ГРУППА АВТОЛАЙН, АО (5 030 000 руб., 100%)</t>
  </si>
  <si>
    <t>rudenko_e@transatlantic.ru, sokolov_mark@transatlantic.ru</t>
  </si>
  <si>
    <t>himalaya1.ru, www.transatlantic.ru</t>
  </si>
  <si>
    <t>82 590 000</t>
  </si>
  <si>
    <t>ССК, ООО (510 000 руб., 51%)
ХК ТРБ , ООО ТРБХ, ООО (490 000 руб., 49%)</t>
  </si>
  <si>
    <t>3 610 000</t>
  </si>
  <si>
    <t>01semena2016@mail.ru, kamaztg@yandex.ru, nkrupy@mail.ru</t>
  </si>
  <si>
    <t>Колыга Павел Николаевич (1 010 000 руб., 100%)</t>
  </si>
  <si>
    <t>50 020 000</t>
  </si>
  <si>
    <t>www.transimeksa.com</t>
  </si>
  <si>
    <t>Закрытое акционерное общество "TRANSIMEKSA" (9 800 руб., 98%)
Вишняускас Дарюс (200 руб., 2%)</t>
  </si>
  <si>
    <t>34 800 000</t>
  </si>
  <si>
    <t>www.transimperial.ru</t>
  </si>
  <si>
    <t>Климович Леонид Антонович (300 000 руб., 100%)</t>
  </si>
  <si>
    <t>72 780 000</t>
  </si>
  <si>
    <t>ТРАЙС, НАО (1 900 000 руб., 95%)
КОМПАНИЯ БРИФ, НАО (100 000 руб., 5%)</t>
  </si>
  <si>
    <t>amarugin@svrw.ru, avramenkoin@trcont.ru, gelferyb@trcont.ru, gzd@trcont.ru, kraszd@trcont.ru, mahankovie@trcont.org.mps, mishin@trcont.org.mps, skzd@trcont.ru, transksec@chel.ru, trcont@trcont.com</t>
  </si>
  <si>
    <t>www.trcont.com</t>
  </si>
  <si>
    <t>ДЕЛО-ЦЕНТР, ООО (100%)</t>
  </si>
  <si>
    <t>info@transles.biz</t>
  </si>
  <si>
    <t>www.transles.biz</t>
  </si>
  <si>
    <t>РУСАГРОТРАНС, ООО (10 964 999 руб., 99.99%)
ЛП ТРАНС, АО (836 руб., 0.010%)</t>
  </si>
  <si>
    <t>1 303 050 000</t>
  </si>
  <si>
    <t>ГЕОИНВЕСТ, ООО (64 914 111 руб., 99.79%)
Скуров Анатолий Георгиевич (140 000 руб., 0.21%)</t>
  </si>
  <si>
    <t>1 177 380 000</t>
  </si>
  <si>
    <t>9105373614@mail.ru, corp@tmsrus.com</t>
  </si>
  <si>
    <t>doosan-infracore.ru</t>
  </si>
  <si>
    <t>Кауров Антон Михайлович (12 500 000 руб., 100%)</t>
  </si>
  <si>
    <t>51 370 000</t>
  </si>
  <si>
    <t>transnafta.opt@inbox.ru</t>
  </si>
  <si>
    <t>Налетов Павел Александрович (100 000 руб., 100%)</t>
  </si>
  <si>
    <t>grishaevig@ak.aktnp.ru, info@ak.aktnp.ru, kovalenokvy@ak.aktnp.ru</t>
  </si>
  <si>
    <t>www.transnеfteproduсt.ru</t>
  </si>
  <si>
    <t>nadzor@tnn.transneft.ru</t>
  </si>
  <si>
    <t>www.tn-nadzor.ru</t>
  </si>
  <si>
    <t>ТРАНСНЕФТЬ, ПАО (10 000 руб., 100%)</t>
  </si>
  <si>
    <t>sobolevmi@tnf.transneft.ru, tnfmailbox@tnf.transneft.ru, tomilinrv@tnf.transneft.ru</t>
  </si>
  <si>
    <t>http://finance.transneft.ru/</t>
  </si>
  <si>
    <t>ТРАНСНЕФТЬ, ПАО (300 000 000 руб., 100%)</t>
  </si>
  <si>
    <t>Деятельность по оказанию услуг в области бухгалтерского учета</t>
  </si>
  <si>
    <t>kacavecna@yrnu.spb.transneft.ru, prohorovaan@spb.transneft.ru, sharkovaa@spb.transneft.ru</t>
  </si>
  <si>
    <t>ТРАНСНЕФТЬ-ДРУЖБА, АО (89 144 412 948 руб., 73.80%)
ТРАНСНЕФТЬ, ПАО (29 705 924 770 руб., 24.60%)
ТРАНСНЕФТЬ-ВЕРХНЯЯ ВОЛГА, АО (1 911 875 000 руб., 1.60%)</t>
  </si>
  <si>
    <t>HasyanovRR@tvv.transneft.ru, referent@nnov.transneft.ru, referent@tvv.transneft.ru</t>
  </si>
  <si>
    <t>ТРАНСНЕФТЬ, ПАО (589 350 руб.)</t>
  </si>
  <si>
    <t>egorovatv@vsmn.transneft.ru, vsmn@vsmn.transneft.ru</t>
  </si>
  <si>
    <t>http://vostok.transneft.ru/, www.vostoknefteprovod.transneft.ru</t>
  </si>
  <si>
    <t>ТРАНСНЕФТЬ-ЗАПАДНАЯ СИБИРЬ, АО (62 185 722 281 руб., 48.46%)
ТРАНСНЕФТЬ-БАЛТИКА, ООО (45 710 012 236 руб., 35.62%)
ТРАНСНЕФТЬ-ПОРТ ПРИМОРСК, ООО (7 000 000 000 руб., 5.45%)
ТРАНСНЕФТЬ-ПРИКАМЬЕ, АО (6 650 102 688 руб., 5.18%)
ТРАНСНЕФТЬ-СИБИРЬ, АО (5 268 592 008 руб., 4.10%)
ТРАНСНЕФТЬ-СЕВЕР, АО (1 497 807 280 руб., 1.16%)</t>
  </si>
  <si>
    <t>bondaraa@dmn.transneft.ru, gonezhukma@dmn.transneft.ru, gorodetskiyap@dmn.transneft.ru, info@dmn.transneft.ru</t>
  </si>
  <si>
    <t>dalmn.transneft.ru</t>
  </si>
  <si>
    <t>ЧЕРНОМОРТРАНСНЕФТЬ, АО (30 547 776 509.14 руб., 24.38%)
ТРАНСНЕФТЬ-ДРУЖБА, АО (24 454 998 067.86 руб., 19.52%)
ТРАНСНЕФТЬ-ВОСТОК, ООО (21 358 500 000 руб., 17.05%)
ТРАНСНЕФТЬ-СИБИРЬ, АО (19 500 000 000 руб., 15.56%)
ТРАНСНЕФТЬ-ВЕРХНЯЯ ВОЛГА, АО (13 277 914 000 руб., 10.60%)
ТРАНСНЕФТЬ-УРАЛ, АО (7 274 046 000 руб., 5.80%)
ТРАНСНЕФТЬ-ПОРТ КОЗЬМИНО, ООО (4 786 296 300 руб., 3.82%)
ТРАНСНЕФТЬ-ПОРТ ПРИМОРСК, ООО (4 056 219 000 руб., 3.23%)</t>
  </si>
  <si>
    <t>postman@ctd.transneft.ru</t>
  </si>
  <si>
    <t>lipkinmp@brn.transneft.ru, office@brn.transneft.ru, popowass@brn.transneft.ru, urkinaua@brn.transneft.ru</t>
  </si>
  <si>
    <t>ТРАНСНЕФТЬ, ПАО (635 375 руб.)</t>
  </si>
  <si>
    <t>aytjanovtv@oms.transneft.ru, bulanovaya@oms.transneft.ru, goltservk@oms.transneft.ru, jfh@yandex.ru, petkona@oms.transneft.ru, serebrennikovanv@oms.transneft.ru, tikhomirovaer@oms.transneft.ru, tzs@mail.ru, tzs_gosuslugi@oms.transneft.ru</t>
  </si>
  <si>
    <t>http://westernsiberia.transneft.ru, transsibneft.com</t>
  </si>
  <si>
    <t>chernyshovi@cmo.transneft.ru, cmo@cmo.transneft.ru, devyatovatm@cmo.transneft.ru, morozovmm@cmo.transneft.ru</t>
  </si>
  <si>
    <t>http://metrology.transneft.ru/</t>
  </si>
  <si>
    <t>ТРАНСНЕФТЬ, ПАО (495 489 руб.)</t>
  </si>
  <si>
    <t>Деятельность в области метрологии</t>
  </si>
  <si>
    <t>od@npk.transneft.ru, svatkovatm@vsto.transveft.ru, travinasg@npk.transneft.ru</t>
  </si>
  <si>
    <t>ТРАНСНЕФТЬ-ВОСТОК, ООО (35 600 000 руб., 35.60%)
ТРАНСНЕФТЬ-БАЛТИКА, ООО (33 100 000 руб., 33.10%)
ТРАНСНЕФТЬ-ВЕРХНЯЯ ВОЛГА, АО (26 200 000 руб., 26.20%)
ТРАНСНЕФТЬ-ПОРТ ПРИМОРСК, ООО (5 100 000 руб., 5.10%)</t>
  </si>
  <si>
    <t>info@prm.transneft.ru, matsasov@prm.transneft.ru, taravkovamu@prm.transneft.ru</t>
  </si>
  <si>
    <t>http://primorsk.transneft.ru/</t>
  </si>
  <si>
    <t>ТРАНСНЕФТЬ-БАЛТИКА, ООО (4 749 606 000 руб., 95.28%)
ТРАНСНЕФТЬ-ВЕРХНЯЯ ВОЛГА, АО (235 425 000 руб., 4.72%)</t>
  </si>
  <si>
    <t>esia@sam.transneft.ru, mail@noudponuk.ru, maslovyg@bgr.sam.transneft.ru, pmn@pmn.ru, privolga@sam.transneft.ru</t>
  </si>
  <si>
    <t>ТРАНСНЕФТЬ, ПАО (765 148 руб.)</t>
  </si>
  <si>
    <t>natalenkons@kaz.transneft.ru, office@kaz.transneft.ru, szmn@kaz.transneft.ru</t>
  </si>
  <si>
    <t>north.transneft.ru</t>
  </si>
  <si>
    <t>reutskiysy@otns.transneft.ru</t>
  </si>
  <si>
    <t>ooo-transneft-service.ru</t>
  </si>
  <si>
    <t>ЧЕРНОМОРТРАНСНЕФТЬ, АО (849 000 руб., 99.88%)
ТРАНСНЕФТЬ-ПРИВОЛГА, АО (1 000 руб., 0.12%)</t>
  </si>
  <si>
    <t>Предоставление услуг в области ликвидации последствий загрязнений и прочих услуг, связанных с удалением отходов</t>
  </si>
  <si>
    <t>7 650 000</t>
  </si>
  <si>
    <t>goduninyp@tmn.transneft.ru, info@sibnefteprovod.ru, info@tmn.transneft.ru, ldzhidzhova@sibnefteprovod.ru, ostrikovaav@tob.tmn.transneft.ru, shabalovaev@tmn.transneft.ru</t>
  </si>
  <si>
    <t>http://sibnefteprovod.transneft.ru, https://siberia.transneft.ru/</t>
  </si>
  <si>
    <t>ТРАНСНЕФТЬ, ПАО (1 961 658 руб.)</t>
  </si>
  <si>
    <t>chistobaevsa@tnt.transneft.ru, post@tnt.transneft.ru</t>
  </si>
  <si>
    <t>tt.transneft.ru</t>
  </si>
  <si>
    <t>ТРАНСНЕФТЬ ФИНАНС, ООО (9 000 000 руб., 90%)
СВЯЗЬТРАНСНЕФТЬ, АО (1 000 000 руб., 10%)</t>
  </si>
  <si>
    <t>confidence@ufa.transneft.ru, dautovaaa@nur.ufa.transneft.ru, nekrasovaov@ufa.transneft.ru, tnu06@sub.ufa.transneft.ru, tnural@ufa.transneft.ru, usmn@ufa.transneft.ru</t>
  </si>
  <si>
    <t>info@tne.transneft.ru, nurymbetovage@tne.transneft.ru, transneftenergo@tne.transneft.ru</t>
  </si>
  <si>
    <t>transneftenergo.ru/index.php?option=com_content&amp;view=article&amp;id=80&amp;itemid=64</t>
  </si>
  <si>
    <t>428 670 000</t>
  </si>
  <si>
    <t>top-oil2020@yandex.ru</t>
  </si>
  <si>
    <t>Музафарова Гулия Накиповна (12 500 руб., 50%)
Салимова Лилия Зиннуровна (12 500 руб., 50%)</t>
  </si>
  <si>
    <t>albina.po.70@mail.ru, kro.transpnev@mail.ru, tranpnev@yandex.ru</t>
  </si>
  <si>
    <t>tp-msk.ru</t>
  </si>
  <si>
    <t>Мичкович Звонко (300 000 руб., 100%)</t>
  </si>
  <si>
    <t>1 283 570 000</t>
  </si>
  <si>
    <t>trdg.ru</t>
  </si>
  <si>
    <t>Ведищев Владимир Владимирович (10 000 руб., 100%)</t>
  </si>
  <si>
    <t>26 020 000</t>
  </si>
  <si>
    <t>f11@ts70.ru, s01@ts70.ru</t>
  </si>
  <si>
    <t>ts70.ru</t>
  </si>
  <si>
    <t>Зенкин Виталий Николаевич (5 000 руб., 50%)
Бардокина Татьяна Михайловна (4 000 руб., 40%)
Бардокин Евгений Юрьевич (500 руб., 5%)
Бардокина Виктория Владимировна (500 руб., 5%)</t>
  </si>
  <si>
    <t>281 450 000</t>
  </si>
  <si>
    <t>ts@ecots.pro</t>
  </si>
  <si>
    <t>Елизаров Дмитрий Сергеевич (5 000 руб., 50%)
Истомин Семен Викторович (5 000 руб., 50%)</t>
  </si>
  <si>
    <t>149 910 000</t>
  </si>
  <si>
    <t>etp@tehtrans.com, info@tehtrans.com</t>
  </si>
  <si>
    <t>tehtrans.com</t>
  </si>
  <si>
    <t>Тертычный Сергей Николаевич (50 000 000 руб., 100%)</t>
  </si>
  <si>
    <t>1 177 060 000</t>
  </si>
  <si>
    <t>info@transpcom.ru, tender@transpcom.ru</t>
  </si>
  <si>
    <t>transpcom.ru</t>
  </si>
  <si>
    <t>Вадковский Алексей Дмитриевич (200 000 руб., 100%)</t>
  </si>
  <si>
    <t>943 870 000</t>
  </si>
  <si>
    <t>auto@gktc.ru, info@gktc.ru, tender@gktc.ru, tendertender@gktc.ru</t>
  </si>
  <si>
    <t>Малинкович Михаил Владимирович (350 000 руб., 100%)</t>
  </si>
  <si>
    <t>52 270 000</t>
  </si>
  <si>
    <t>transprocessing.ru</t>
  </si>
  <si>
    <t>Штурнев Вадим Евгеньевич (10 000 руб., 100%)</t>
  </si>
  <si>
    <t>2 410 000</t>
  </si>
  <si>
    <t>trk-ch.ru</t>
  </si>
  <si>
    <t>РЕМХОЛДИНГ, ООО (2 500 000 руб., 50%)
ТРК-ИНВЕСТ, ООО (2 500 000 руб., 50%)</t>
  </si>
  <si>
    <t>219 590 000</t>
  </si>
  <si>
    <t>transres63.ru</t>
  </si>
  <si>
    <t>Шакиров Александр Олегович (10 000 руб., 100%)</t>
  </si>
  <si>
    <t>Перевозка опасных грузов</t>
  </si>
  <si>
    <t>andreapol@tsenergo.ru, chis@tsenergo.ru, mon@tsenergo.ru, nelidovskiy@energokom.msk.ru, toropec@tsenergo.ru</t>
  </si>
  <si>
    <t>www.actinfo.ru/energo/company/companycode=3796774</t>
  </si>
  <si>
    <t>2731130@mail.ru</t>
  </si>
  <si>
    <t>transsibmetall.ru</t>
  </si>
  <si>
    <t>ТРАНССИБМЕТАЛЛ, ООО (800 000 руб., 80%)
Широков Юрий Сергеевич (200 000 руб., 20%)</t>
  </si>
  <si>
    <t>395 300 000</t>
  </si>
  <si>
    <t>eeliseeva@transfin-m.ru, info@atlant-rail.ru, info@tfm-st.ru, tfm@transfin-m.ru</t>
  </si>
  <si>
    <t>www.transfin-m.ru</t>
  </si>
  <si>
    <t>ТФМ-ГАРАНТ, АО (100%)</t>
  </si>
  <si>
    <t>bbmet@rambler.ru</t>
  </si>
  <si>
    <t>www.tmholding.ru</t>
  </si>
  <si>
    <t>tem@tem.ru</t>
  </si>
  <si>
    <t>www.tem.ru</t>
  </si>
  <si>
    <t>info@transenergo.org, sazanov78@rambler.ru, transenergo@mp-nn.ru</t>
  </si>
  <si>
    <t>www.transenergo.nnov.ru</t>
  </si>
  <si>
    <t>Ромбальский Игорь Олегович (9 000 руб., 90%)
Никандрова Виктория Владимировна (1 000 руб., 10%)</t>
  </si>
  <si>
    <t>171 280 000</t>
  </si>
  <si>
    <t>info@tver.trapeza.ru, shvetsova@kd.trapeza.ru, soshilov@trapeza.ru</t>
  </si>
  <si>
    <t>trapeza.ru</t>
  </si>
  <si>
    <t>Корин Михаил Валерьевич (900 000 руб., 90%)
Александрова Жанна Робертовна (100 000 руб., 10%)</t>
  </si>
  <si>
    <t>46 590 000</t>
  </si>
  <si>
    <t>asa@trasko.ru, info@trasko.ru, it@trasko.ru</t>
  </si>
  <si>
    <t>www.trasko.ru</t>
  </si>
  <si>
    <t>Шакалида Евгений Евгеньевич (2 737 150 руб., 65%)
Блажукевич Виктор Чеславович (1 052 750 руб., 25%)
Шакалида Денис Евгеньевич (421 100 руб., 10%)</t>
  </si>
  <si>
    <t>405 630 000</t>
  </si>
  <si>
    <t>klimova.ea@trassagk.ru, salekseenkov@trassagk.ru</t>
  </si>
  <si>
    <t>ЕВРОТРАНС, ПАО (48 000 000 руб., 96%)
Дорошенко Николай Николаевич (2 000 000 руб., 4%)</t>
  </si>
  <si>
    <t>hotline@lgcity.ru, ooo.trademanagement@yandex.ru, opt@rittertrade.ru</t>
  </si>
  <si>
    <t>Головин Александр Львович (500 000 руб., 100%)</t>
  </si>
  <si>
    <t>Головченко Игорь Эдуардович (10 000 руб., 100%)</t>
  </si>
  <si>
    <t>312 610 000</t>
  </si>
  <si>
    <t>Тухфатуллин Рамиль Хайдарович (100 000 руб., 100%)</t>
  </si>
  <si>
    <t>4 950 000</t>
  </si>
  <si>
    <t>olga.ignateva@abiproduct.ru</t>
  </si>
  <si>
    <t>АБИ ПРОДАКТ, АО (10 000 руб., 100%)</t>
  </si>
  <si>
    <t>31 320 000</t>
  </si>
  <si>
    <t>treydal@inbox.ru</t>
  </si>
  <si>
    <t>Гаджиев Магомед Нурмагомедович (100 000 руб., 100%)</t>
  </si>
  <si>
    <t>102 690 000</t>
  </si>
  <si>
    <t>glbuh@avtoto.ru</t>
  </si>
  <si>
    <t>avtoto.ru</t>
  </si>
  <si>
    <t>Трубникова Анна Алексеевна (400 000 руб., 100%)</t>
  </si>
  <si>
    <t>59 410 000</t>
  </si>
  <si>
    <t>info@tradecond.ru, tender@tradecond.ru</t>
  </si>
  <si>
    <t>www.klimatprofltd.ru</t>
  </si>
  <si>
    <t>Кадочников Артем Викторович (10 000 руб., 100%)</t>
  </si>
  <si>
    <t>481 480 000</t>
  </si>
  <si>
    <t>beresnevai@trade-proekt.ru, ernh@mail.ru, info@trade-proekt.ru</t>
  </si>
  <si>
    <t>ГК МАРКЕТ, АО (999 999 руб., 99.99%)
Бабин Павел Владимирович (1 руб., 0.00010%)</t>
  </si>
  <si>
    <t>info@tzsgs.ru</t>
  </si>
  <si>
    <t>Ольшанский Евгений Иванович (1 000 000 руб., 100%)</t>
  </si>
  <si>
    <t>3 210 000</t>
  </si>
  <si>
    <t>kxm@kxm.ru, shnaypertm@kxm.ru</t>
  </si>
  <si>
    <t>www.kxm.ru</t>
  </si>
  <si>
    <t>buklyakov@magnitostroy.com, mgstr@mail.ru, office@magnitistroy.com, secretary@tkklass.ru, upravl.mex@mail.ru</t>
  </si>
  <si>
    <t>Лакницкий Сергей Владимирович (280 000 000 руб., 70%)
Мельников Дмитрий Владимирович (60 000 000 руб., 15%)
Мясников Александр Леонидович (60 000 000 руб., 15%)</t>
  </si>
  <si>
    <t>info@trest-rossem.ru</t>
  </si>
  <si>
    <t>https://ase-ec.ru/about/division-companies/trest-rossem/</t>
  </si>
  <si>
    <t>АСЭ, АО (93 943 858.1 руб., 99.90%)
СМУ № 1, ООО (94 037.9 руб., 0.10%)</t>
  </si>
  <si>
    <t>a_s_galkin@mail.ru, mail@trestszem.ru</t>
  </si>
  <si>
    <t>www.trestszem.ru</t>
  </si>
  <si>
    <t>asvrutss@epn.ru, sbuh@utss.ru, trestutss@gmail.com, utss@utss.ru</t>
  </si>
  <si>
    <t>Головин Дмитрий Владимирович (32.42%)
Головин Владимир Андреевич (23.28%)
Малиновских Михаил Дмитриевич (14.93%)
ЭС-ВЭ-ИКС ЛОДЖИСТИКС, ООО (4.55%)</t>
  </si>
  <si>
    <t>96 620 000</t>
  </si>
  <si>
    <t>buh_trest@prominvest-spb.ru, trest-office@yandex.ru, trest.zao@mail.ru</t>
  </si>
  <si>
    <t>trest-road.ru</t>
  </si>
  <si>
    <t>1 330 000</t>
  </si>
  <si>
    <t>teplo@vodoparad.ru, zakaz@vodoparad.ru</t>
  </si>
  <si>
    <t>vodoparad.ru</t>
  </si>
  <si>
    <t>Терехина Светлана Николаевна (10 000 руб., 100%)</t>
  </si>
  <si>
    <t>144 800 000</t>
  </si>
  <si>
    <t>a.valshin@3park.ru, buh@3park.ru, info@kriz.spb.ru, www.3park@3park.ru</t>
  </si>
  <si>
    <t>ВСК, ООО (10 000 руб., 100%)</t>
  </si>
  <si>
    <t>Абрамов Алексей Алексеевич (50 000 руб., 100%)</t>
  </si>
  <si>
    <t>6 090 000</t>
  </si>
  <si>
    <t>458711t.m@mail.ru, dl_pretenzii@trial-market.ru, info@trial-market.ru, logo@trial-market.ru, supply@trial-market.ru, zakaz@trial-market.ru</t>
  </si>
  <si>
    <t>www.trial-market.ru</t>
  </si>
  <si>
    <t>Одинцов Михаил Игоревич (505 000 руб., 50%)
Резник Александр Владимирович (505 000 руб., 50%)</t>
  </si>
  <si>
    <t>12 740 000</t>
  </si>
  <si>
    <t>fedorovamn@yandex.ru, otwo@yandex.ru, sales@trimet.ru, tender@trimet.ru</t>
  </si>
  <si>
    <t>www.trimet.ru</t>
  </si>
  <si>
    <t>Гройсман Вячеслав Александрович (41 337 000 руб., 45.93%)
Худяков Евгений Алексеевич (29 673 000 руб., 32.97%)
Карнаухов Андрей Анатольевич (18 990 000 руб., 21.10%)</t>
  </si>
  <si>
    <t>280 070 000</t>
  </si>
  <si>
    <t>АПХ МИРАТОРГ, ООО (3 089 100 000 руб., 100%)</t>
  </si>
  <si>
    <t>Данилин Павел Александрович (126 250 000 руб., 50.50%)
ЕНИСЕЙСКИЙ ГОК, ООО (62 500 000 руб., 25%)
Орта Кабельо Павел Давидович (28 750 000 руб., 11.50%)
Ай Синь (20 000 000 руб., 8%)
Гаврилин Дмитрий Андреевич (12 500 000 руб., 5%)</t>
  </si>
  <si>
    <t>Мулюков Ильдар Накипович (10 000 руб., 33.33%)
Фазулин Рустем Ильдарович (10 000 руб., 33.33%)
Фазуллин Ренат Ильфатович (10 000 руб., 33.33%)</t>
  </si>
  <si>
    <t>69 510 000</t>
  </si>
  <si>
    <t>3tn.ru</t>
  </si>
  <si>
    <t>КОНЦЕПТ, ООО (10 000 руб., 100%)</t>
  </si>
  <si>
    <t>63 690 000</t>
  </si>
  <si>
    <t>artass@list.ru, tr1umph2018@yandex.ru</t>
  </si>
  <si>
    <t>Асланян Артур Гевондович (50 000 руб., 100%)</t>
  </si>
  <si>
    <t>137 940 000</t>
  </si>
  <si>
    <t>triumf87@inbox.ru</t>
  </si>
  <si>
    <t>Ганяев Дмитрий Александрович (10 000 руб., 100%)</t>
  </si>
  <si>
    <t>buzikevich777@mail.ru, info@triuphgroup.su, vitalychvv@mail.ru</t>
  </si>
  <si>
    <t>www.triumf.ru</t>
  </si>
  <si>
    <t>Бузикевич Иван Евгеньевич (210 000 руб., 100%)</t>
  </si>
  <si>
    <t>alisagaysina777@mail.ru, kp@etsk.ru, pas@etsk.ru, persona@etsk.ru, sale@etsk.ru, snab@etsk.ru, uvm@etsk.ru</t>
  </si>
  <si>
    <t>Заводчиков Евгений Альбертович (5 000 000 руб., 100%)</t>
  </si>
  <si>
    <t>ais@trk.tom.ru, malishevskayaya@trk.tom.ru, sao@trk.tom.ru, stupinea@trk.tom.ru, tivv@trk.tom.ru, trk@svet.ru, trk@trk.tom.ru, trk@trk.tomsk.ru, zev@trk.tom.ru</t>
  </si>
  <si>
    <t>www.trk.tom.ru</t>
  </si>
  <si>
    <t>Публичное акционерное общество «Российские сети» (85.77%)</t>
  </si>
  <si>
    <t>troickneft@mail.ru, troickneft@tatais.ru</t>
  </si>
  <si>
    <t>150 680 000</t>
  </si>
  <si>
    <t>troparyvo_pigs@sosiska.ru</t>
  </si>
  <si>
    <t>trpagro.ru</t>
  </si>
  <si>
    <t>www.trubodetal.ru</t>
  </si>
  <si>
    <t>gagloeva.e@concpipe.ru, info@concpipe.ru</t>
  </si>
  <si>
    <t>ЗАЩИТНЫЕ ПОКРЫТИЯ И ТЕХНОЛОГИИ, ООО (51 000 руб., 51%)
ИНВЕСТИЦИОННЫЙ ХОЛДИНГ КОНТИНЕНТ, ООО (22 050 руб., 22.05%)
Конов Виктор Юрьевич (22 050 руб., 22.05%)
Мулько Роман Геннадьевич (4 900 руб., 4.90%)</t>
  </si>
  <si>
    <t>trubostroi@trubostroi.ru</t>
  </si>
  <si>
    <t>Гарифов Фуат Габдулахатович (15 000 руб., 100%)</t>
  </si>
  <si>
    <t>tomshin_s@mail.ru, torgi@zaotrud.ru, trud@zaotrud.ru</t>
  </si>
  <si>
    <t>zaotrud.ru</t>
  </si>
  <si>
    <t>nikredit@anixtd.ru</t>
  </si>
  <si>
    <t>ТД АНИКС, ООО (10 000 000 руб., 93%)
Никитин Юрий Александрович (322 580.65 руб., 3%)
Кабанов Петр Иванович (215 053.76 руб., 2%)
Никитин Александр Николаевич (215 053.76 руб., 2%)</t>
  </si>
  <si>
    <t>konkurs@technoserv.com</t>
  </si>
  <si>
    <t>t1-integration.ru</t>
  </si>
  <si>
    <t>1 546 640 000</t>
  </si>
  <si>
    <t>komandor-promo@sm-komandor.ru</t>
  </si>
  <si>
    <t>народныйшефповар.рф</t>
  </si>
  <si>
    <t>Неделин Сергей Николаевич (41 931 200.49 руб., 32%)
Южанников Александр Юрьевич (20 965 600.25 руб., 16%)
Сипетый Олег Валентинович (14 151 780.17 руб., 10.80%)
Дресвянников Андрей Александрович (12 841 430.15 руб., 9.80%)
Ипатюк Олег Вячеславович (12 841 430.15 руб., 9.80%)
Макин Сергей Борисович (12 841 430.15 руб., 9.80%)
Чернов Сергей Никифорович (12 841 430.15 руб., 9.80%)
Черномуров Андрей Михайлович (2 620 700.03 руб., 2%)</t>
  </si>
  <si>
    <t>1 025 230 000</t>
  </si>
  <si>
    <t>Степанов Валентин Николаевич (7 000 руб., 70%)
Попков Александр Николаевич (3 000 руб., 30%)</t>
  </si>
  <si>
    <t>Т1, ООО (1 000 000 руб., 100%)</t>
  </si>
  <si>
    <t>280 330 000</t>
  </si>
  <si>
    <t>anton.korolik@ladaekb.ru, in@ladaekb.ru, marina.glebova@ladaekb.ru</t>
  </si>
  <si>
    <t>https://tsa.lada.ru/</t>
  </si>
  <si>
    <t>Королик Антон Сергеевич (10 000 000 руб., 100%)</t>
  </si>
  <si>
    <t>72 940 000</t>
  </si>
  <si>
    <t>buhtsbsever2014@mail.ru</t>
  </si>
  <si>
    <t>tsb-sever.ru</t>
  </si>
  <si>
    <t>Ахмедов Узеир Орудж (20 000 руб., 100%)</t>
  </si>
  <si>
    <t>15 870 000</t>
  </si>
  <si>
    <t>kadry@zarevo.ru, office@zarevo.ru</t>
  </si>
  <si>
    <t>1 240 890 000</t>
  </si>
  <si>
    <t>falcon-350@karelia.ru, ivoronova@titran.ru, titran@tihvin.titran.ru, titran@titran.ru</t>
  </si>
  <si>
    <t>www.titran.ru</t>
  </si>
  <si>
    <t>135 670 000</t>
  </si>
  <si>
    <t>sugar-kontakt@mail.ru, tsz.referent@gmail.com</t>
  </si>
  <si>
    <t>Чебанов Аркадий Олегович (5 100 руб., 51%)
КОНЦЕРН ПОКРОВСКИЙ, ООО ТД (4 900 руб., 49%)</t>
  </si>
  <si>
    <t>elgorstskmos@mail.ru, eltsk@bk.ru, info@tsk-mosenergo.ru, ksyu_0793@mail.ru, tskmo@mail.ru, tskmos@mail.ru</t>
  </si>
  <si>
    <t>tsk-mosenergo.ru</t>
  </si>
  <si>
    <t>МОЭК, ПАО (4 432 289 276.19 руб., 50.44%)
МОСЭНЕРГО, ПАО (4 354 589 403 руб., 49.56%)</t>
  </si>
  <si>
    <t>buh@autonomia.ru, buhskolkovo@gmail.com, mvb@autonomia.ru, opt@autonomia.ru, order@fordspare.ru, remont@autonomia.ru</t>
  </si>
  <si>
    <t>Шайбаков Альберт Рифович (300 000 руб., 100%)</t>
  </si>
  <si>
    <t>82 600 000</t>
  </si>
  <si>
    <t>Зубенко Дмитрий Александрович (500 000 руб., 50%)
Семенов Александр Викторович (500 000 руб., 50%)</t>
  </si>
  <si>
    <t>116 160 000</t>
  </si>
  <si>
    <t>Т1, ООО (100 000 руб., 100%)</t>
  </si>
  <si>
    <t>473 810 000</t>
  </si>
  <si>
    <t>aab@prom.tambov.gov.ru, aat@oaotsk.ru, aatgoaotik@vail.ru.ru, aotsk@tmb.ru, aotskceh@gmail.com, aotskcen@gmail.com, aqs@mail.ru, aqwe2@mail.ru, arh@oaotsk.ru, asdgfg@mail.ru</t>
  </si>
  <si>
    <t>tsk-info@metrostroy.com, vsh@metrostroy.com</t>
  </si>
  <si>
    <t>tck-20@mail.ru, ya.tatyana-76@yandex.ru</t>
  </si>
  <si>
    <t>Исмаилов Видади Имран Оглы (10 000 руб., 100%)</t>
  </si>
  <si>
    <t>1 810 000</t>
  </si>
  <si>
    <t>mikheeva14@yandex.ru</t>
  </si>
  <si>
    <t>Лазыкин Андрей Валерьевич (1 810 000 руб., 100%)</t>
  </si>
  <si>
    <t>96 400 000</t>
  </si>
  <si>
    <t>tatiana.kutsevalova@tom-tailor.com</t>
  </si>
  <si>
    <t>tom-tailor.ru</t>
  </si>
  <si>
    <t>КОМПАНИЯ "ТОМ ТЭЙЛОР ГМБХ" (TOM TAILOR GMBH) (3 996 000 руб., 99.90%)
Tom Tailor Retail GmbH (4 000 руб., 0.10%)</t>
  </si>
  <si>
    <t>271 270 000</t>
  </si>
  <si>
    <t>vladimir.rubtsov@fstravel.com</t>
  </si>
  <si>
    <t>https://fstravel.com/, mostravel.ru</t>
  </si>
  <si>
    <t>Демура Тарас Александрович (1 890 421 429.74 руб., 75%)
ФС ХОЛДИНГ, ООО (630 140 476.58 руб., 25%)</t>
  </si>
  <si>
    <t>baturinsp@nornik.ru</t>
  </si>
  <si>
    <t>tgc.ru</t>
  </si>
  <si>
    <t>ТГК, АО (n/a)</t>
  </si>
  <si>
    <t>dva13071979@mail.ru, info@ttk-oil.ru, ttk-tmsk@mail.ru</t>
  </si>
  <si>
    <t>Миллер Василий Александрович (10 000 руб., 100%)</t>
  </si>
  <si>
    <t>582 480 000</t>
  </si>
  <si>
    <t>lawyer@trubtorg.com</t>
  </si>
  <si>
    <t>www.trubtorg.com</t>
  </si>
  <si>
    <t>a.nozdrin@ttk.ru, d.mezhov@b2c.ttk.ru, e.bilous@ttk.ru, n.beshkova@ttk.ru, zamiralovain@ttk.ru</t>
  </si>
  <si>
    <t>КОМПАНИЯ ТРАНСТЕЛЕКОМ, АО (5 637 539 000 руб., 100%)</t>
  </si>
  <si>
    <t>ttk-specservis@mail.ru, ttkspecservis@mail.ru</t>
  </si>
  <si>
    <t>Свиков Алексей Николаевич (40 000 руб., 100%)</t>
  </si>
  <si>
    <t>24 630 000</t>
  </si>
  <si>
    <t>emn@ttleasing.ru, info@ttleasing.ru</t>
  </si>
  <si>
    <t>ttleasing.ru</t>
  </si>
  <si>
    <t>Назарова Елена Сергеевна (25 000 000 руб., 100%)</t>
  </si>
  <si>
    <t>92 570 000</t>
  </si>
  <si>
    <t>askcttm@mail.ru, econom.cttm@mail.ru, fd@cttm.ryazan.ru</t>
  </si>
  <si>
    <t>centrttm.ru</t>
  </si>
  <si>
    <t>Мочёнов Павел Петрович (1 000 000 руб., 100%)</t>
  </si>
  <si>
    <t>166 300 000</t>
  </si>
  <si>
    <t>9209997199@mail.ru, alekseev.ttm@gmail.com, ttm-region@mail.ru, ttm-v@yandex.ru</t>
  </si>
  <si>
    <t>ttm-centr.ru, спецавто134.рф</t>
  </si>
  <si>
    <t>Мочёнов Павел Петрович (2 000 000 руб., 99%)
Алексеев Денис Сергеевич (20 202 руб., 1%)</t>
  </si>
  <si>
    <t>221 720 000</t>
  </si>
  <si>
    <t>artemch1@mail.ru, nadezhda@furgon-center.ru, rv@ttm-c.ru, vtd_vip@mail.ru, zch@ttm-part.ru</t>
  </si>
  <si>
    <t>furgon-center.ru</t>
  </si>
  <si>
    <t>ТТМ ЦЕНТР, ООО (1 000 000 руб., 100%)</t>
  </si>
  <si>
    <t>81 710 000</t>
  </si>
  <si>
    <t>Губченко Вадим Валентинович (4 026 руб., 40.26%)
Уколов Дмитрий Яковлевич (3 035 руб., 30.35%)
Морозов Анатолий Владимирович (1 105 руб., 11.05%)
Горбоконь Вячеслав Васильевич (917 руб., 9.17%)
Соценко Вадим Станиславович (917 руб., 9.17%)</t>
  </si>
  <si>
    <t>547 490 000</t>
  </si>
  <si>
    <t>Попович Сергей Николаевич (12 500 руб., 25%)
Снежницкий Сергей Юрьевич (12 500 руб., 25%)
Храмов Денис Владимирович (12 500 руб., 25%)
Шеин Антон Валерианович (12 500 руб., 25%)</t>
  </si>
  <si>
    <t>maksim.yakunchikov@telecenter.ru, tcmag@ostankino.ru, ttc@telecenter.ru, tv@ostankino.ru, zakupki@telecenter.ru</t>
  </si>
  <si>
    <t>www.ostankino.ru</t>
  </si>
  <si>
    <t>badmaevaa@suek.ru</t>
  </si>
  <si>
    <t>СУЭК, АО (858 819 300 руб., 100%)</t>
  </si>
  <si>
    <t>info@tuneft.ru, jurtn@mail.ru, neft@yandex.ru, op@tuneft.ru, sanisiya@mail.ru, tn_vae@mail.ru, tnvae@mail.ru, tuneft@yandex.ru, tuymaada.neft@yandex.ru</t>
  </si>
  <si>
    <t>tuneft.ru</t>
  </si>
  <si>
    <t>a.yakuninaa@autoshina.net, kta@autoshina.com</t>
  </si>
  <si>
    <t>www.tulaavtoservis.lada.ru</t>
  </si>
  <si>
    <t>104 240 000</t>
  </si>
  <si>
    <t>info@tulagdm.ru, info@tulazdm.ru, sbyt@tulagdm.ru</t>
  </si>
  <si>
    <t>tulazdm.ru</t>
  </si>
  <si>
    <t>Производство транспортных средств для ремонта и технического обслуживания железнодорожных, трамвайных и прочих путей</t>
  </si>
  <si>
    <t>85 600 000</t>
  </si>
  <si>
    <t>abontts@yandex.ru, aotulateploseti@yandex.ru, azarova@tulamash.ru, kleymenovna@rambler.ru, mto014@yandex.ru, net@netn.ru, sazonova_tts@mail.ru, skorchenkov@mail.ru, teplo123tula@mail.ru, teploins@bk.ru</t>
  </si>
  <si>
    <t>www.tula-ts.ru</t>
  </si>
  <si>
    <t>info@tochmash.ru, info@tulatochmash.ru, tochmash@tula.net, tulatochmash.fbo@yandex.ru</t>
  </si>
  <si>
    <t>info@chermet.tula.net, info@chermet.tula.net.info@tulachermet.ru, info@tulachermet.com, info@tulachermet.ru, office@metholding.com, perepelova@tulachermet.ru, savchenko_miu@metholding.com, serezhkina_ium@metholding.com, sroman@tulachermet.ru, tulachermet@metholding.com</t>
  </si>
  <si>
    <t>www.tulachermet.ru</t>
  </si>
  <si>
    <t>1 126 560 000</t>
  </si>
  <si>
    <t>ns@ipzavod.ru, v.kirilina@tvz.ru</t>
  </si>
  <si>
    <t>vodka-starley.ru</t>
  </si>
  <si>
    <t>Гительман Дмитрий Борисович (139 200 000 руб., 80%)
КРТО, АО (34 800 000 руб., 20%)</t>
  </si>
  <si>
    <t>tp711@inbox.ru</t>
  </si>
  <si>
    <t>tp-mk.ru</t>
  </si>
  <si>
    <t>Холодова Дарья Александровна (20 000 руб., 100%)</t>
  </si>
  <si>
    <t>168 800 000</t>
  </si>
  <si>
    <t>kuramshin.a@rusgrain.ru</t>
  </si>
  <si>
    <t>www.avistareg.ru</t>
  </si>
  <si>
    <t>АПК МИХАЙЛОВСКИЙ, ООО (635 000 000 руб.)</t>
  </si>
  <si>
    <t>АПК МИХАЙЛОВСКИЙ, ООО (563 416 386 руб., 100%)</t>
  </si>
  <si>
    <t>sea@russianfishery.ru</t>
  </si>
  <si>
    <t>www.turnif.com</t>
  </si>
  <si>
    <t>viktoriya.yunysheva@mechel.com</t>
  </si>
  <si>
    <t>Kazmine Natural Resources Holding B.V. (23 605 739.19 руб., 99.99%)
Turkuaz Natural Resources Holding B.V. (2 360.81 руб., 0.010%)</t>
  </si>
  <si>
    <t>dmitrii_duncev@mail.ru</t>
  </si>
  <si>
    <t>tfm-st.ru</t>
  </si>
  <si>
    <t>ТРАНСФИН-М, ПАО (1 522 185 363.55 руб., 100%)
ТИТАН, АО (100 руб.)</t>
  </si>
  <si>
    <t>info@tfnopt.ru, v.logunov@tfnopt.ru</t>
  </si>
  <si>
    <t>3-falcons.ru</t>
  </si>
  <si>
    <t>Гескин Константин Юрьевич (537 400 руб., 53.74%)
Самойлов Андрей Валентинович (462 600 руб., 46.26%)</t>
  </si>
  <si>
    <t>general@futerovka.ru, thm@futerovka.ru</t>
  </si>
  <si>
    <t>http://www.futerovka.ru, thm-holding.ru</t>
  </si>
  <si>
    <t>207 980 000</t>
  </si>
  <si>
    <t>bogdanova.ev@bytplast.ru</t>
  </si>
  <si>
    <t>Бобров Владимир Владимирович (1 365 000 руб., 75%)
Морозова Лариса Сергеевна (455 000 руб., 25%)</t>
  </si>
  <si>
    <t>4703081890_470301001@eo.tensor.ru, gb@tc-v.ru</t>
  </si>
  <si>
    <t>www.tc-v.ru</t>
  </si>
  <si>
    <t>ТК АЗИМУТТРАНС, ООО (11 453.43 руб., 50%)
Герцев Роман Александрович (11 453.42 руб., 50%)</t>
  </si>
  <si>
    <t>haval-info@kuntsevo.com, idakaev@kuntsevo.com, info@tradein-kuntsevo.ru, mail@server.ru</t>
  </si>
  <si>
    <t>hyundai-kuntsevo.ru</t>
  </si>
  <si>
    <t>Шеряков Сергей Игоревич (10 000 руб., 100%)</t>
  </si>
  <si>
    <t>117 000 000</t>
  </si>
  <si>
    <t>eliseev.d@major_auto.ru, info@tmmr.ru, kuzmina.m@olimpneva.ru, tcnovoyariga@mail.ru</t>
  </si>
  <si>
    <t>410 940 000</t>
  </si>
  <si>
    <t>227 590 000</t>
  </si>
  <si>
    <t>www.salmonica.ru</t>
  </si>
  <si>
    <t>Герасименко Ирина Валерьевна (97 825 руб., 32.50%)
Кожемяко Никита Олегович (97 825 руб., 32.50%)
Литвиненко Александр Яковлевич (90 300 руб., 30%)
Кравченко Ольга Николаевна (15 050 руб., 5%)</t>
  </si>
  <si>
    <t>3 437 960 000</t>
  </si>
  <si>
    <t>info@tek.group, tender@tek.group</t>
  </si>
  <si>
    <t>www.tek.group</t>
  </si>
  <si>
    <t>Данилочкина Татьяна Ивановна (1 200 000 руб., 100%)</t>
  </si>
  <si>
    <t>706 330 000</t>
  </si>
  <si>
    <t>Номоконова Екатерина Фазиловна (10 000 руб., 100%)</t>
  </si>
  <si>
    <t>www.tek-inform.ru</t>
  </si>
  <si>
    <t>ЦЕНТРЭНЕРГОХОЛДИНГ, ПАО (10 000 руб., 100%)</t>
  </si>
  <si>
    <t>100 370 000</t>
  </si>
  <si>
    <t>grishiniv@lidertrans.ru</t>
  </si>
  <si>
    <t>Устюжанин Михаил Олегович (1 000 000 руб., 100%)</t>
  </si>
  <si>
    <t>9625686094@mail.ru, dementyev@ruskometa.ru</t>
  </si>
  <si>
    <t>Емельянов Олег Анатольевич (2 010 000 руб., 100%)</t>
  </si>
  <si>
    <t>89 880 000</t>
  </si>
  <si>
    <t>12345@mailr.ru, 3343080@mail.ru, alekseevamp@gptek.spb.ru, antonovams@gptek.spb.ru, baykovata@gptek.spb.ru, burmistrova@gptek.spb.ru, energosby@gptek.spb.ru, energosbyt@gptek.ru, energosbyt@gptek.spb, energosbyt@gptek.spb.ru</t>
  </si>
  <si>
    <t>http://gptek.spb.ru</t>
  </si>
  <si>
    <t>Санкт-Петербург г (59 561 503 554.37 руб., 100%)</t>
  </si>
  <si>
    <t>a.g.gramma@tek63.ru, ffice@tek63.ru, i.v.sinelnikova@tek63.ru, info@tek63.ru, n.a.petrova@tek63.ru, offce@tek63.ru, offece@tek63.ru, officce@mail.ru, office63@tek.ru, office@tck63.ru</t>
  </si>
  <si>
    <t>РТ-ЭНЕРГО, ООО (100%)</t>
  </si>
  <si>
    <t>221 040 000</t>
  </si>
  <si>
    <t>info@etecar.ru</t>
  </si>
  <si>
    <t>tecar.ru</t>
  </si>
  <si>
    <t>Драчук Андрей Михайлович (10 500 000 руб., 70%)
Тихомиров Михаил Валерьевич (4 500 000 руб., 30%)</t>
  </si>
  <si>
    <t>11 890 000</t>
  </si>
  <si>
    <t>comita@sovintel.ru, info@tek-si.ru</t>
  </si>
  <si>
    <t>tek-si.ru</t>
  </si>
  <si>
    <t>Щербинина Наталья Юрьевна (833 227.8 руб., 51%)
Янкович Екатерина Сергеевна (800 552.2 руб., 49%)</t>
  </si>
  <si>
    <t>natalia.danilova@telko.com, olga.morozova@telko.com, rusales@telko.com, svetlana.aladyina@telko.com</t>
  </si>
  <si>
    <t>www.telko.com</t>
  </si>
  <si>
    <t>ГК ХИМИК, АО (15 000 000 руб., 100%)</t>
  </si>
  <si>
    <t>387 390 000</t>
  </si>
  <si>
    <t>admitrienko@vostokelectra.ru, antonova_oo@ecoteo.ru, asuse@voelectra.ru, bkx072@mail.ru, dobrocheva@ecoteo.ru, eco@ecoteo.ru, ecotek@yandex.ru, ecoteo@ecoteo.ru, ecoteo@mail.ru, ecoteo@rambler.ru</t>
  </si>
  <si>
    <t>ecoteo.ru</t>
  </si>
  <si>
    <t>ХКЭС, ООО (10 500 000 руб., 70%)
Туктаров Юрий Евгеньевич (2 250 000 руб., 15%)
Цветков Лерий Валерьевич (2 250 000 руб., 15%)</t>
  </si>
  <si>
    <t>136 430 000</t>
  </si>
  <si>
    <t>kolmykovvv@tes.transneft.ru, laznikaa@tes.transneft.ru, oootes@tes.transneft.ru, oootes@tes.transneftru</t>
  </si>
  <si>
    <t>https://tes.transneft.ru/</t>
  </si>
  <si>
    <t>ТРАНСНЕФТЬ, ПАО (199 204 829 руб., 100%)</t>
  </si>
  <si>
    <t>akkumatu@sbtx.tmn.ru, battery@tyumen-battery.ru, gendir@tyumen-battery.ru, industrial@tyumen-battery.ru, istok-72@yandex.ru, orp@tyumen-battery.ru, otdelivc@mail.ru, tb_snab@tyumen-battery.ru, td_snab@tyumen-battery.ru, vlad@t5.ru</t>
  </si>
  <si>
    <t>www.tyumen-battery.ru</t>
  </si>
  <si>
    <t>Производство аккумуляторов, в том числе для автомобилей, аккумуляторных батарей и их составных частей</t>
  </si>
  <si>
    <t>58 730 000</t>
  </si>
  <si>
    <t>540931@rosvodokanal.ru, 540940@mail.ru, a.lazorenko@rosvodokanal.ru, a.vasilyev@rosvodokanal.ru, e.balyeva@rosvodokanal.ru, e.tarasova@rosvodokanal.ru, mn@rosvodokanal.ru, n.kovalenko@rosvodokanal.ru, n.markevich@rosvodokanal.ru, n.mutianova@rosvodokanal.ru</t>
  </si>
  <si>
    <t>РВК-ИНВЕСТ, ООО (10 000 000 руб., 100%)</t>
  </si>
  <si>
    <t>2 295 660 000</t>
  </si>
  <si>
    <t>tumtorg@mail.ru</t>
  </si>
  <si>
    <t>23 110 000</t>
  </si>
  <si>
    <t>agro72@bk.ru, alfira.safina@inbox.ru, assafina@mail.ru, priemnaya00@mail.ru, seisnab@ttknel.ru</t>
  </si>
  <si>
    <t>235 730 000</t>
  </si>
  <si>
    <t>dovgal@arsib.com, moloko@arsib.com, paveld@rambler.ru, salomatkina@arsib.com, stepanyanav@arsib.com</t>
  </si>
  <si>
    <t>ТЮМЕНЬОБЛСНАБСБЫТ, АО (600 000 000 руб., 99.99%)
Арутюнян Шушаник Суреновна (10 000 руб., 0.0017%)</t>
  </si>
  <si>
    <t>godova.elena@mail.ru, info@tyumentel.ru, tumtel.pto@mail.ru, tumtel@mail.ru</t>
  </si>
  <si>
    <t>www.tumtel.ru</t>
  </si>
  <si>
    <t>357 840 000</t>
  </si>
  <si>
    <t>br@tkpo.ryazan.ru, cuk4@tkpo.ryazan.ru, pptkpo@tkpo.ryazan.ru</t>
  </si>
  <si>
    <t>www.tkpo.ryazan.ru</t>
  </si>
  <si>
    <t>Клинова Галина Алексеевна (30.36%)
Расторгуев Владимир Викторович (18.76%)
Володин Алексей Михайлович (9.97%)
Пологаев Кирилл Сергеевич (9.66%)
Васин Алексей Николаевич (5.53%)
Завгородний Юрий Николавевич (4.07%)
Лободюк Сергей Борисович (0.15%)
Клинов Андрей Александрович (0.020%)
Петров Николай Павлович (0.010%)
Сорокин Владислав Алексеевич (0.010%)
...*</t>
  </si>
  <si>
    <t>Производство кузнечно-прессового оборудования</t>
  </si>
  <si>
    <t>460 920 000</t>
  </si>
  <si>
    <t>adm.sim.exeed@uservice.ru, adm.sim.kia@uservice.ru, bbill@uservice.ru, cheryauto@chery.ru, customers@uservice.ru, hr@chery.ru, kia.rsp@uservice.ru, rsp@uservice.ru</t>
  </si>
  <si>
    <t>www.uservice.ru</t>
  </si>
  <si>
    <t>Успенский Сергей Вадимович (11 540 000 руб., 100%)</t>
  </si>
  <si>
    <t>gb@uva-moloko.ru, oekruto@yandex.ru, uba-moloko@yandex.ru</t>
  </si>
  <si>
    <t>uva-moloko.ru</t>
  </si>
  <si>
    <t>Емшанов Александр Владимирович (13 089 000 руб., 66.74%)
МЛК-ГРУПП, ООО (3 092 000 руб., 15.77%)
КОЛХОЗ ИМ. ЛЕНИНА УВИНСКОГО РАЙОНА, СПК (378 000 руб., 1.93%)
УДМУРТИЯ, СПК (КОЛХОЗ) (359 000 руб., 1.83%)
АВАНГАРД УВИНСКОГО РАЙОНА, СПК-КОЛХОЗ (277 000 руб., 1.41%)
СВОБОДА, СПК (220 000 руб., 1.12%)
ЛУЧ ВАВОЖСКОГО РАЙОНА УР, СХПК-КОЛХОЗ (206 000 руб., 1.05%)
КОЛХОЗ (СХПК) ИМЕНИ МИЧУРИНА (202 000 руб., 1.03%)
КОЛХОЗ ИСКРА УВИНСКОГО РАЙОНА, СПК (186 000 руб., 0.95%)
НИВА, КОЛХОЗ (155 000 руб., 0.79%)
...*</t>
  </si>
  <si>
    <t>office-st@hk-vostok.ru, priemnaya@hk-vostok.ru</t>
  </si>
  <si>
    <t>www.tdvostok.ru, www.uvadrev.ru</t>
  </si>
  <si>
    <t>ЭЛМА, ООО-ФИРМА (199 500 руб., 95%)
Серова Елена Георгиевна (10 500 руб., 5%)</t>
  </si>
  <si>
    <t>2 736 820 000</t>
  </si>
  <si>
    <t>info@uvzt.ru, vishnyakovaei@uvzt.ru</t>
  </si>
  <si>
    <t>uvzt.ru</t>
  </si>
  <si>
    <t>novikova@uvm-steel.ru, postnova@uvm-steel.ru; isaikina@uvm-steel.ru</t>
  </si>
  <si>
    <t>Савельев Владислав Александрович (1 000 000 руб., 100%)</t>
  </si>
  <si>
    <t>487 180 000</t>
  </si>
  <si>
    <t>a.yukhta@itrama.ru, dogovor@sz-mintrans.ru, eco.cf.uvo@mail.ru, fgup.uvo@mail.ru, gl.ecom.uvo@mail.ru, gl.econ.uvo@mail.ru, info@uvomintraqns.ru, kulceva.sf@uvomintrans.ru, miem@uvomintrans.ru, mintrans@mintrans.ru</t>
  </si>
  <si>
    <t>sz-mintrans.ru, uvomintrans.ru</t>
  </si>
  <si>
    <t>Деятельность ведомственной охраны</t>
  </si>
  <si>
    <t>evgrinkova@brn.ukascorp.ru; iasankina@brn.ukascorp.ru; kulesh@brn.ukascorp.ru; kuzbasscoal@inbox.ru</t>
  </si>
  <si>
    <t>Плотников Дмитрий Владимирович (40 000 руб., 40%)
Манцевич Артем Олегович (39 000 руб., 39%)
Кулеш Олеся Олеговна (21 000 руб., 21%)</t>
  </si>
  <si>
    <t>375 040 000</t>
  </si>
  <si>
    <t>info@nexans.ru, info@uglichcable.ru</t>
  </si>
  <si>
    <t>uglichcable.ru</t>
  </si>
  <si>
    <t>ИМПЭКС ЭЛЕКТРО, ООО (470 000 000 руб., 100%)</t>
  </si>
  <si>
    <t>196 210 000</t>
  </si>
  <si>
    <t>generalova@ufamol.ru, ugmz@ufamol.ru, zakaz@ufamol.ru</t>
  </si>
  <si>
    <t>ufamol.ru</t>
  </si>
  <si>
    <t>Файзуллин Ильдар Мунавирович (69 500 000 руб., 69.50%)
Фаттахов Марат Фанильевич (30 500 000 руб., 30.50%)</t>
  </si>
  <si>
    <t>82 300 000</t>
  </si>
  <si>
    <t>bakaikin-an@ugmkvcm.ru, info@ugmkvcm.ru, levanov-py@ugmkvcm.ru, vcm@ugmkvcm.ru</t>
  </si>
  <si>
    <t>533 290 000</t>
  </si>
  <si>
    <t>abdulinaae@ugmk-clinic.ru, bedrinaaa@ugmk-clinik.ru, info@ugmk-clinic.ru</t>
  </si>
  <si>
    <t>www.ugmk-clinic.ru</t>
  </si>
  <si>
    <t>УРАЛЬСКАЯ ГОРНО-МЕТАЛЛУРГИЧЕСКАЯ КОМПАНИЯ , ОАО УГМК, ОАО (142 633 442 руб., 100%)</t>
  </si>
  <si>
    <t>info@ugmk-telecom.ru, ugmk@ugmk-telecom.ru</t>
  </si>
  <si>
    <t>ugmk-telecom.ru</t>
  </si>
  <si>
    <t>УРАЛЬСКАЯ ГОРНО-МЕТАЛЛУРГИЧЕСКАЯ КОМПАНИЯ , ОАО УГМК, ОАО (10 000 руб., 80%)
Ланских Владимир Сергеевич (1 250 руб., 10%)
Ланских Сергей Александрович (1 250 руб., 10%)</t>
  </si>
  <si>
    <t>216 480 000</t>
  </si>
  <si>
    <t>info@ugmk-trans.ru</t>
  </si>
  <si>
    <t>ugmk-trans.ru, www.ugmk.com</t>
  </si>
  <si>
    <t>УК КУЗБАССРАЗРЕЗУГОЛЬ, АО (10 000 руб., 50%)
УРАЛЬСКАЯ ГОРНО-МЕТАЛЛУРГИЧЕСКАЯ КОМПАНИЯ , ОАО УГМК, ОАО (10 000 руб., 50%)</t>
  </si>
  <si>
    <t>804513580_780401001@eo.tensor.ru, i.dmitrieva@ukukb.ru, info@ukukb.ru, ukb178@gmail.com, v.makhutov@ukukb.ru</t>
  </si>
  <si>
    <t>ukukb.ru</t>
  </si>
  <si>
    <t>ИНТЕР РАО-СТРОЙИНВЕСТ, ООО (125 000 000 руб., 100%)</t>
  </si>
  <si>
    <t>45 380 000</t>
  </si>
  <si>
    <t>company@kuzcoal.ru, nuv@kuzcoal.ru</t>
  </si>
  <si>
    <t>razrezogk@yandex.ru</t>
  </si>
  <si>
    <t>ИНТЕР РАО, ПАО (79 515 000 руб., 100%)</t>
  </si>
  <si>
    <t>gabrichidze@kpugs.ru, gazizov@kpugs.ru, info@kpugs.ru, sales@kpugs.ru, sales@krugs.ru</t>
  </si>
  <si>
    <t>kpugs.ru</t>
  </si>
  <si>
    <t>Москва г (n/a)</t>
  </si>
  <si>
    <t>Tada, Incorporated (22 500 руб., 90%)
КОРПОРАЦИЯ "ТИ-ЭС-ЭН ИНК." (TSN, INC) (2 500 руб., 10%)</t>
  </si>
  <si>
    <t>Деятельность в области радиовещания</t>
  </si>
  <si>
    <t>658 150 000</t>
  </si>
  <si>
    <t>dea@autodor.org, stv@autodor.org, udmurtavtodor@yandex.ru</t>
  </si>
  <si>
    <t>www.удмурт-автодор.рф</t>
  </si>
  <si>
    <t>udsoil.ru</t>
  </si>
  <si>
    <t>УДС-ГРУПП, ООО (125 508 474 руб., 99.60%)
Чулкин Алексей Аркадьевич (491 526 руб., 0.39%)</t>
  </si>
  <si>
    <t>207 180 000</t>
  </si>
  <si>
    <t>2900800@uzpm.ru, info@uzpm.ru</t>
  </si>
  <si>
    <t>Гильфанов Халэф Мирдаханифович (51 000 000 руб., 51%)
Бабиков Андрей Васильевич (49 000 000 руб., 49%)</t>
  </si>
  <si>
    <t>531 370 000</t>
  </si>
  <si>
    <t>Гочелашвили Муртаз Александрович (224 030 000 руб., 20%)
Айвазян Геннадий Сергеевич (154 216 500 руб., 13.76%)
Бокарев Андрей Рэмович (154 216 500 руб., 13.76%)
Дробина Елена Александровна (154 216 500 руб., 13.76%)
Козицын Андрей Анатольевич (154 216 500 руб., 13.76%)
Махмудов Искандар Кахрамонович (154 216 500 руб., 13.76%)
Нахшунов Максим Сергеевич (125 037 500 руб., 11.16%)</t>
  </si>
  <si>
    <t>2 477 360 000</t>
  </si>
  <si>
    <t>7 010 000</t>
  </si>
  <si>
    <t>1520@bsmuk.ru, chernoyarov.av@gmail.com</t>
  </si>
  <si>
    <t>bsmuk.ru</t>
  </si>
  <si>
    <t>ГРУППА КОМПАНИЙ 1520, ООО (526 320 руб., 100%)</t>
  </si>
  <si>
    <t>128 660 000</t>
  </si>
  <si>
    <t>company2@vms34.ru, ukvms34@mail.ru</t>
  </si>
  <si>
    <t>Ермилов Михаил Владимирович (125 000 руб., 100%)</t>
  </si>
  <si>
    <t>27 630 000</t>
  </si>
  <si>
    <t>Асланян Арсен Леонидович (10 000 руб., 100%)</t>
  </si>
  <si>
    <t>delo-group.ru</t>
  </si>
  <si>
    <t>Шишкарев Сергей Николаевич (59 262 руб., 51%)
АТОМЭНЕРГОПРОМ, АО (56 938 руб., 49%)</t>
  </si>
  <si>
    <t>6 426 860 000</t>
  </si>
  <si>
    <t>afanasieva@kru.ru, ganeva@kru.ru, konov@kru.ru, office@kru.ru</t>
  </si>
  <si>
    <t>www.kru.ru</t>
  </si>
  <si>
    <t>market@ker-holding.ru.info@ker-holding.r, office@ker-holding.ru</t>
  </si>
  <si>
    <t xml:space="preserve">www.ker-holding.ru, www.ker-holding.ru </t>
  </si>
  <si>
    <t>Махянов Ильяс Хамисович (9 990 000 руб., 99.90%)
Сахабиев Ильдар Равилевич (10 000 руб., 0.10%)</t>
  </si>
  <si>
    <t>rio-rostov.ru</t>
  </si>
  <si>
    <t>Щедромирская Елена Владимировна (100 000 руб., 100%)</t>
  </si>
  <si>
    <t>Карманов Николай Алексеевич (1 000 000 руб., 100%)</t>
  </si>
  <si>
    <t>210 000</t>
  </si>
  <si>
    <t>a.nafikova@rtro.ru, a.salahova@rtro.ru, a.sharafieva@rtro.ru, aq@qw.qw, as@asgh.fd, az@az.as, az@az.qw, az@zx.as, balabanova@rtro.ru, bogatovyspeh@gmail.com</t>
  </si>
  <si>
    <t>rtro.ru</t>
  </si>
  <si>
    <t>РТ-ИНВЕСТ ФИНАНС, ООО (10 000 руб., 100%)</t>
  </si>
  <si>
    <t>centr@uklo.ru, dela017@list.ru, e.didenko@uklo.ru, gatch@uklo.ru, info@uk.lo.ru, info@ukio.ru, info@uklo.tu, info@ukto.ru, infoo@uklo.ru, king@uklo.ru</t>
  </si>
  <si>
    <t>uko-lenobl.ru</t>
  </si>
  <si>
    <t>623 920 000</t>
  </si>
  <si>
    <t>mayrykh.ru</t>
  </si>
  <si>
    <t>Бородаев Александр Николаевич (10 000 руб., 50%)
Варшавский Борис Николаевич (10 000 руб., 50%)</t>
  </si>
  <si>
    <t>5 839 830 000</t>
  </si>
  <si>
    <t>priemnaya_stepnoy@ruscoal.ru</t>
  </si>
  <si>
    <t>stepnoi.ru</t>
  </si>
  <si>
    <t>268 130 000</t>
  </si>
  <si>
    <t>info@rusnano.com, zakupki@rusnano.com</t>
  </si>
  <si>
    <t>www.rusnano.com</t>
  </si>
  <si>
    <t>РОСНАНО, АО (990 000 руб., 99%)
Куликов Сергей Александрович (10 000 руб., 1%)</t>
  </si>
  <si>
    <t>azemova@uksib.ru</t>
  </si>
  <si>
    <t>uksib.ru</t>
  </si>
  <si>
    <t>16 371 130 000</t>
  </si>
  <si>
    <t>sistemaservis.ru</t>
  </si>
  <si>
    <t>ТАГРАС-ХОЛДИНГ, ООО (200 000 руб., 100%)</t>
  </si>
  <si>
    <t>294 640 000</t>
  </si>
  <si>
    <t>Кириллов Олег Игоревич (26 613 248.42 руб., 36.63%)
Коропачинский Юрий Игоревич (26 613 248.42 руб., 36.63%)
ФИНАРТ, ООО (9 473 879.95 руб., 13.04%)
Усс Артем Александрович (4 326 080 руб., 5.95%)
Ковальский Евгений Олегович (2 709 622.88 руб., 3.73%)
Васильев Денис Евгеньевич (2 061 097.76 руб., 2.84%)
Васильев Александр Иванович (860 953.57 руб., 1.18%)</t>
  </si>
  <si>
    <t>a.leletin@startonline.ru, infi@startonline.ru, info@startonline.ru, m.v.ignatova@startonline.ru, v.loginova@startonline.ru</t>
  </si>
  <si>
    <t xml:space="preserve">startonline.ru, tddomovoy.ru, www.startonline.ru www.tddomovoy.ru </t>
  </si>
  <si>
    <t>market@tst16.ru</t>
  </si>
  <si>
    <t>tatspectransport.ru</t>
  </si>
  <si>
    <t>ТАТНЕФТЬ ИМ. В.Д. ШАШИНА, ПАО (1 500 000 руб., 100%)</t>
  </si>
  <si>
    <t>uk.tnhm@mail.ru</t>
  </si>
  <si>
    <t>tnhm.ru</t>
  </si>
  <si>
    <t>ВОЛЖСКИЕ ПРОСТОРЫ, ООО (1 000 000 руб., 100%)</t>
  </si>
  <si>
    <t>advert@tts.ru, aizatulov.d@tts.ru, bodyakina.e@tts.ru, butakova.u@tts.ru, cheb-opt@tts.ru, cheryauto@chery.ru, eshop@tts.ru, exeed.kazan@tts.ru, gizatullin.l.r@tts.ru, hg@hm.ru</t>
  </si>
  <si>
    <t>tts.ru</t>
  </si>
  <si>
    <t>Зубарев Вячеслав Викторович (110 093 994 руб., 100%)</t>
  </si>
  <si>
    <t>6 884 710 000</t>
  </si>
  <si>
    <t>n.kapustina@efko.ru</t>
  </si>
  <si>
    <t>www.efko.ru</t>
  </si>
  <si>
    <t>information@ugold.ru</t>
  </si>
  <si>
    <t>www.ugold.ru</t>
  </si>
  <si>
    <t>Струков Константин Иванович (20 000 руб., 100%)</t>
  </si>
  <si>
    <t>23 400 000</t>
  </si>
  <si>
    <t>a.voyt@ukbp.ru, e.kostyaeva@ukbp.ru, energy@ukbp.ru, energy@ukbr.ru, energy@ukdbp.ru, gosuslugi@ukbp.ru, inbox@ukbp.ru, ukbplkv@mv.ru, utyosenergo@mail.ru</t>
  </si>
  <si>
    <t>341@iksid.ru, iksid@iksid.ru</t>
  </si>
  <si>
    <t>zao_uks@mail.ru</t>
  </si>
  <si>
    <t>zaouks.ru</t>
  </si>
  <si>
    <t>Ларионов Александр Валерьевич (175 726 руб., 51%)
Белоусов Никита Михайлович (168 834 руб., 49%)</t>
  </si>
  <si>
    <t>49 380 000</t>
  </si>
  <si>
    <t>info@rusgrain.ru, oaoykxp@mail.ru, snab@rusgrain.ru</t>
  </si>
  <si>
    <t>АПК МИХАЙЛОВСКИЙ, ООО (810 000 000 руб.)</t>
  </si>
  <si>
    <t>Ляпина Елена Николаевна (2 400 руб., 24%)
Матыцын Владимир Александрович (2 400 руб., 24%)
Пахомова Светлана Константиновна (2 400 руб., 24%)
Шагалова Оксана Валерьевна (1 800 руб., 18%)
Смоленцева Наталья Николаевна (1 000 руб., 10%)</t>
  </si>
  <si>
    <t>171 160 000</t>
  </si>
  <si>
    <t>nick@ultrafish.ru</t>
  </si>
  <si>
    <t>www.ultrafish.ru</t>
  </si>
  <si>
    <t>ЧК с ОО "ПЛИМУТ РОК МЕНЕДЖМЕНТ ЛИМИТЕД" (14 970 000 руб., 48%)
Кузин Алексей Николаевич (9 668 125 руб., 31%)
Ишбулатов Олег Гизатуллович (4 678 125 руб., 15%)
Новокщенова Ольга Витальевна (1 559 375 руб., 5%)
Анненков Николай Юрьевич (311 875 руб., 1%)</t>
  </si>
  <si>
    <t>63 300 000</t>
  </si>
  <si>
    <t>a.ivendikova@ultramar.ru, office@ultramar.ru</t>
  </si>
  <si>
    <t>Бонч-Бруевич Андрей Эдуардович (9 179 руб., 55.06%)
АРТКЭПИТАЛ ИНВЕСТМЕНТ, АО (3 276.875 руб., 19.65%)
Воробьев Максим Юрьевич (3 252.815 руб., 19.51%)
Голубков Дмитрий Аркадьевич (960.31 руб., 5.76%)
СБЕРБАНК ИНВЕСТИЦИИ, ООО (1 руб., 0.0060%)</t>
  </si>
  <si>
    <t>1 044 440 000</t>
  </si>
  <si>
    <t>market@ulcaxap.ru, uszros@mv.ru, zavod@ulcaxar.ru</t>
  </si>
  <si>
    <t>www.ulcaxap.ru</t>
  </si>
  <si>
    <t>341 120 000</t>
  </si>
  <si>
    <t>andronovasv@ulenergo.ru, antonov@joe.ulenergo.ru, assru@yandex.ru, balandina@boe.ulenergo.ru, bibliomelekess@yandex.ru, birukovajoe.ulenergo@yandex.ru, borisova@doe.ulenergo.ru, borisova@joe.ulrnergo.ru, buxromanova@mail.ru, byt@ulenergo.ru</t>
  </si>
  <si>
    <t>www.ulenergo.ru</t>
  </si>
  <si>
    <t>Смоленков Вячеслав Юрьевич (4 989 985 руб., 100%)</t>
  </si>
  <si>
    <t>72 290 000</t>
  </si>
  <si>
    <t>buh@um4.ru, info@um4.ru, tender@um4.ru</t>
  </si>
  <si>
    <t>um4.ru</t>
  </si>
  <si>
    <t>198 170 000</t>
  </si>
  <si>
    <t>buh_raschet_1@umecon.ru, genecon@umecon.ru, glavbuh@umecon.ru, info@umecon.ru, umecon@etel.ru</t>
  </si>
  <si>
    <t>www.umecon.ru</t>
  </si>
  <si>
    <t>185 490 000</t>
  </si>
  <si>
    <t>mihaylovavz@gaz.ru</t>
  </si>
  <si>
    <t>Производство двигателей внутреннего сгорания автотранспортных средств</t>
  </si>
  <si>
    <t>vpaktiv@yandex.ru</t>
  </si>
  <si>
    <t>www.vpaktiv.ru/umitat</t>
  </si>
  <si>
    <t>Рябков Валерий Васильевич (46.45%)
Литвак Оскар Давидович (26.61%)
ХОЛДЕР, ООО (19.80%)</t>
  </si>
  <si>
    <t>info@uzmolkom.ru, mail@new-terra.ru</t>
  </si>
  <si>
    <t>umzavod.ru</t>
  </si>
  <si>
    <t>Величковский Василий Никитович (45 010 000 руб., 100%)</t>
  </si>
  <si>
    <t>240 780 000</t>
  </si>
  <si>
    <t>info@umc970.ru, info@uralmetalcompany.ru, job@uralmetalcompany.ru, nefedov734@mail.ru, order@uralmetalcompany.ru, pretenz@uralmetalcompany.ru</t>
  </si>
  <si>
    <t>uralmetalcompany.ru</t>
  </si>
  <si>
    <t>ЗАКРЫТЫЙ ПАЕВОЙ ИНВЕСТИЦИОННЫЙ КОМБИНИРОВАННЫЙ ФОНД "РАЗВИТИЕ 2020" (60 000 000 руб., 100%)</t>
  </si>
  <si>
    <t>284 710 000</t>
  </si>
  <si>
    <t>butakov@steel.ugmk.com, dzhus@tyumensteel.ru, steel@steel.ugmk.ru</t>
  </si>
  <si>
    <t>ХАЛДИВОР ФАЙНАНС ЛИМИТЕД (310 761 168.69 руб., 34.17%)
НОКОМИС СЕЛЕКТ ИНК. (300 120 531.66 руб., 33%)
ТРЕТИЙ КОД, ЗАО (298 574 456.2 руб., 32.83%)</t>
  </si>
  <si>
    <t>oao@umm2.ru, umm2@r66.ru</t>
  </si>
  <si>
    <t>www.umm2.ru</t>
  </si>
  <si>
    <t>arenda@samokat.ru, ovorozhtsova@samokat.ru, pr@samokat.ru, support@samokat.ru, zakupki@samokat.ru</t>
  </si>
  <si>
    <t>ВГК, ООО (10 000 руб., 100%)</t>
  </si>
  <si>
    <t>efremova@unagrande.com, irina.skladova@umalat.ru</t>
  </si>
  <si>
    <t>www.umalat.ru</t>
  </si>
  <si>
    <t>24 340 000</t>
  </si>
  <si>
    <t>a.malikova@uniblok.ru, i.kondaurova@uniblok.ru, mail@uniblok.ru, v.pavlov@uniblok.ru</t>
  </si>
  <si>
    <t>https://uniblok.ru/</t>
  </si>
  <si>
    <t>Курносов Сергей Александрович (50 990 730 руб., 50%)
Чеблаков Владислав Александрович (50 990 730 руб., 50%)</t>
  </si>
  <si>
    <t>102 540 000</t>
  </si>
  <si>
    <t>5623465@yandex.ru, eis@mail.ru, lk@ums.com, mserv@gmail.com, plokhova.elena2000@yandex.ru, ums@gmail.com, universal.med@mail.ru, universal.medservice@mail.ru, universal_medservice@yandex.ru, ynibersalmed@mail.ru</t>
  </si>
  <si>
    <t>Соломонов Алексей Борисович (20 000 руб., 100%)</t>
  </si>
  <si>
    <t>390 120 000</t>
  </si>
  <si>
    <t>universal-plyus.ru</t>
  </si>
  <si>
    <t>Коркина Валентина Михайловна (10 000 руб., 100%)</t>
  </si>
  <si>
    <t>Деятельность школ подготовки водителей автотранспортных средств</t>
  </si>
  <si>
    <t>tt@universal-electric.ru, tt@universal-electruc.ru</t>
  </si>
  <si>
    <t>www.u-e.ru</t>
  </si>
  <si>
    <t>Андреевский Дмитрий Сергеевич (123 950 000 руб., 50%)
Мелковский Никита Игоревич (123 950 000 руб., 50%)</t>
  </si>
  <si>
    <t>30 930 000</t>
  </si>
  <si>
    <t>aleksandr.sashinsky@mechel.com, leonid.ivanov@mechel.com, moskoks@mechel.com, post.yakutugol@mechel.com, post@yakutugol.ru, yakutugol@mail.ru</t>
  </si>
  <si>
    <t>МЕЧЕЛ-МАЙНИНГ, АО (404 198.6 руб.)</t>
  </si>
  <si>
    <t>15 128 120 000</t>
  </si>
  <si>
    <t>2721084628_272101001@eo.tensor.ru, lead@ulk.ru, pr@ulk.ru, ulk@ulk.ru</t>
  </si>
  <si>
    <t>ulk.ru</t>
  </si>
  <si>
    <t>844 560 000</t>
  </si>
  <si>
    <t>lawyer1@bgm42.ru</t>
  </si>
  <si>
    <t>Жилинков Алексей Владимирович (39 800 000 руб., 80%)
Вилков Сергей Николаевич (9 950 000 руб., 20%)</t>
  </si>
  <si>
    <t>86 870 000</t>
  </si>
  <si>
    <t>info@ruspromauto.ru, ukgg@gaz.ru</t>
  </si>
  <si>
    <t>www.gazgroup.ru</t>
  </si>
  <si>
    <t>unikom@unikomlc.ru</t>
  </si>
  <si>
    <t>unikomlc.ru</t>
  </si>
  <si>
    <t>Ступаков Игорь Владимирович (10 000 руб., 100%)</t>
  </si>
  <si>
    <t>adonchenko@unitechnologies.ru, buh@unitechnologies.ru, info@unitechnologies.ru</t>
  </si>
  <si>
    <t>https://www.utechs.ru/, unitechnologies.ru</t>
  </si>
  <si>
    <t>Витоженц Александр Генрихович (2 000 000 руб., 40%)
Бровко Лев Николаевич (1 500 000 руб., 30%)
Иудин Виктор Владимирович (1 500 000 руб., 30%)</t>
  </si>
  <si>
    <t>Торговля оптовая компьютерами и периферийными устройствами</t>
  </si>
  <si>
    <t>449 160 000</t>
  </si>
  <si>
    <t>"БЕЛМОР ИНВЕСТМЕНТС ЛИМИТЕД" (3 000 000 руб., 100%)</t>
  </si>
  <si>
    <t>info@unr524.ru, unr524@mail.ru, unr524@spb.lanck.net, unr524buh@mail.ru</t>
  </si>
  <si>
    <t>Ярема Борис Анатольевич (23 375 руб., 100%)</t>
  </si>
  <si>
    <t>67 110 000</t>
  </si>
  <si>
    <t>www.cptdc.com</t>
  </si>
  <si>
    <t>China Petroleum Technology And Development Corporation (705 800 руб., 100%)</t>
  </si>
  <si>
    <t>Асташин Вячеслав Владимирович (4 231 950 руб., 84.63%)
НОВА РОЛЛ-СТРЕЙЧ, ООО (400 000 руб., 8%)
Инкин Алексей Владимирович (368 000 руб., 7.36%)
Гельдт Кирилл Вадимович (50 руб., 0.0010%)</t>
  </si>
  <si>
    <t>209 520 000</t>
  </si>
  <si>
    <t>info@tetrapak.com, pavel.shelukhanov@tetrapak.com</t>
  </si>
  <si>
    <t>www.tetrapak.com</t>
  </si>
  <si>
    <t>2 590 110 000</t>
  </si>
  <si>
    <t>upax@upax.ru</t>
  </si>
  <si>
    <t>www.upax.ru</t>
  </si>
  <si>
    <t>Долгополов Александр Алексеевич (28 517 860 руб., 26.60%)
Коломеец Олег Викторович (28 517 860 руб., 26.60%)
Каменев Аркадий Леонидович (17 153 600 руб., 16%)
Каменева Светлана Аркадьевна (11 364 260 руб., 10.60%)
Болдачев Виктор Алексеевич (10 935 420 руб., 10.20%)
Болдачева Ольга Александровна (5 360 500 руб., 5%)
Борисовский Александр Викторович (5 360 500 руб., 5%)</t>
  </si>
  <si>
    <t>354 800 000</t>
  </si>
  <si>
    <t>upk_secretar@seaport.spb.ru</t>
  </si>
  <si>
    <t xml:space="preserve">http://upk-terminal.ru/ </t>
  </si>
  <si>
    <t>ППК, АО (4 999 800 руб., 99.99%)
УПРАВЛЕНИЕ ТРАНСПОРТНЫМИ АКТИВАМИ, ООО (200 руб., 0.0040%)</t>
  </si>
  <si>
    <t>1 892 950 000</t>
  </si>
  <si>
    <t>info@scrw.com, ksenia@scrw.com</t>
  </si>
  <si>
    <t>www.scrw.com</t>
  </si>
  <si>
    <t>722 360 000</t>
  </si>
  <si>
    <t>140578usa@gmail.com, 331888@azs-topline.ru, arketing@azs-topline.ru, ffcon@yandex.ru, hr.azs.topline@gmail.com, i.kaygorodova@azs-topline.ru, info@azs-topline.ru, marketing@azs-topline.ru, n.nesonova@azs-topline.ru, robotel@vweurotc.ru</t>
  </si>
  <si>
    <t>https://www.azs-topline.ru/, itb55.ru</t>
  </si>
  <si>
    <t>Фридман Илья Геннадьевич (45 510 руб., 82%)
АДАНИМОВ ТРЕЙДИНГ ЛИМИТЕД, МКООО (9 990 руб., 18%)</t>
  </si>
  <si>
    <t>44893@inbox.ru, pnik1957@mail.ru, usodo@mail.ru</t>
  </si>
  <si>
    <t>uso-kogalym.ru</t>
  </si>
  <si>
    <t>Попович Николай Иванович (27 060 012.74 руб., 85%)
Апаляева Стелла Семеновна (1 591 765.45 руб., 5%)
Гольцев Вениамин Николаевич (1 591 765.45 руб., 5%)
Ухаботов Андрей Иванович (1 591 765.45 руб., 5%)</t>
  </si>
  <si>
    <t>info@orgkhim.com, lnfo@orghim.com</t>
  </si>
  <si>
    <t>www.orghim.com, www.orgkhim.com</t>
  </si>
  <si>
    <t>kurortmax@yandex.ru</t>
  </si>
  <si>
    <t>Зазулин Алексей Юрьевич (12 500 руб., 100%)</t>
  </si>
  <si>
    <t>Деятельность по предоставлению туристических услуг, связанных с бронированием</t>
  </si>
  <si>
    <t>info@winline.ru</t>
  </si>
  <si>
    <t>winline.ru</t>
  </si>
  <si>
    <t>Мысливцев Андрей Станиславович (54 045 000 руб., 45%)
Егорченко Лариса Валерьевна (24 020 000 руб., 20%)
Юсупова Ляля Назиповна (24 020 000 руб., 20%)
Гришкин Эдуард Николаевич (18 015 000 руб., 15%)</t>
  </si>
  <si>
    <t>11 214 970 000</t>
  </si>
  <si>
    <t>uptk@skmost.ru</t>
  </si>
  <si>
    <t>БТС-МОСТ, АО (3 160 000 руб., 100%)</t>
  </si>
  <si>
    <t>Малышев Александр Витальевич (24 975 847 руб., 100%)</t>
  </si>
  <si>
    <t>40 260 000</t>
  </si>
  <si>
    <t>anna.nikiforova@etalongroup.com, darya.boytsova@etalongroup.com</t>
  </si>
  <si>
    <t>ЭТАЛОНСТРОЙ, ООО (400 000 руб.)</t>
  </si>
  <si>
    <t>aleksfatkin@ya.ru, fatkin_aa@udmpf.ru, itupf@udm.net, office@udmpf.ru, upf@glazov.net</t>
  </si>
  <si>
    <t>ХАЙПЕРФУДС ХОЛДИНГ, ООО (164 235 000 руб., 100%)</t>
  </si>
  <si>
    <t>188 520 000</t>
  </si>
  <si>
    <t>general@ulgroup.ru</t>
  </si>
  <si>
    <t>ulgroup.ru</t>
  </si>
  <si>
    <t>Иванов Александр Александрович (1 010 000 руб., 100%)</t>
  </si>
  <si>
    <t>182 700 000</t>
  </si>
  <si>
    <t>Кудряшов Владимир Игоревич (40 000 000 руб., 33.33%)
Метелев Андрей Леонидович (40 000 000 руб., 33.33%)
Чуфаров Константин Александрович (40 000 000 руб., 33.33%)</t>
  </si>
  <si>
    <t>206 240 000</t>
  </si>
  <si>
    <t>semen.urfakt@gmail.com, sitnikova-alla@mail.ru, ural-faktor@mail.ru</t>
  </si>
  <si>
    <t>uralfaktor.ru</t>
  </si>
  <si>
    <t>Конобеев Семён Александрович (10 000 руб., 100%)</t>
  </si>
  <si>
    <t>9 470 000</t>
  </si>
  <si>
    <t>12 200 000</t>
  </si>
  <si>
    <t>savushkin@janus74.ru</t>
  </si>
  <si>
    <t>АЙСЛИГА, ООО (5 000 руб., 50%)
Янцен Андрей Николаевич (3 500 руб., 35%)
Савушкин Игорь Николаевич (1 500 руб., 15%)</t>
  </si>
  <si>
    <t>300 710 000</t>
  </si>
  <si>
    <t>ani@uralasbest.ru, chief@uralasbest.ru, office@uralasbest.ru</t>
  </si>
  <si>
    <t>Козлов Юрий Алексеевич (22.90%)
Ременник Яков Львович (15.50%)
Кочелаев Владимир Андреевич (15.17%)
Пичугин Игорь Анатольевич (2.15%)
Розин Марк Рафаилович (2.14%)</t>
  </si>
  <si>
    <t>615 840 000</t>
  </si>
  <si>
    <t>biovet@mail.sco.ru</t>
  </si>
  <si>
    <t>www.uralbiovet.ru</t>
  </si>
  <si>
    <t>75 490 000</t>
  </si>
  <si>
    <t>mail@zferma.com, shevchenkonb@zferma.com</t>
  </si>
  <si>
    <t>АПК МИХАЙЛОВСКИЙ, ООО (1 500 000 000 руб.)</t>
  </si>
  <si>
    <t>arseniy.shirinkin@pcbk.ru</t>
  </si>
  <si>
    <t>Борохов Олег Викторович (23 512.5 руб., 57%)
Бойченко Александр Юрьевич (9 487.5 руб., 23%)
Федотов Александр Андреевич (4 125 руб., 10%)
Федотов Арсений Андреевич (4 125 руб., 10%)</t>
  </si>
  <si>
    <t>1 237 970 000</t>
  </si>
  <si>
    <t>Голубков Андрей Васильевич (10 000 руб., 100%)</t>
  </si>
  <si>
    <t>Антропов Евгений Михайлович (250 000 руб., 100%)</t>
  </si>
  <si>
    <t>215 530 000</t>
  </si>
  <si>
    <t>uralvtormet@mail.ru</t>
  </si>
  <si>
    <t>uralvtormet-nt.ru</t>
  </si>
  <si>
    <t>Савельев Сергей Михайлович (300 000 руб., 100%)</t>
  </si>
  <si>
    <t>2 996 220 000</t>
  </si>
  <si>
    <t>uraldr.ru</t>
  </si>
  <si>
    <t>Серегин Виктор Александрович (10 000 руб., 100%)</t>
  </si>
  <si>
    <t>Производство машин и оборудования для металлургии</t>
  </si>
  <si>
    <t>zhdanov@uraldor.ru</t>
  </si>
  <si>
    <t>ИНВЕСТГРУПП, ООО (33 330 руб., 100%)</t>
  </si>
  <si>
    <t>25 480 000</t>
  </si>
  <si>
    <t>info@uralint.ru</t>
  </si>
  <si>
    <t>www.uralint.ru</t>
  </si>
  <si>
    <t>Балуев Александр Анатольевич (500 000 руб., 50%)
Балуев Юрий Валентинович (500 000 руб., 50%)</t>
  </si>
  <si>
    <t>36 960 000</t>
  </si>
  <si>
    <t>uralkali.remont@gmail.com</t>
  </si>
  <si>
    <t>УРАЛКАЛИЙ, ПАО (15 000 000 руб., 100%)</t>
  </si>
  <si>
    <t>193 800 000</t>
  </si>
  <si>
    <t>info@mo16.ru, most302015@yandex.ru, most30@bk.ru, most@most123.ru</t>
  </si>
  <si>
    <t>www.uralmostostroy.ru</t>
  </si>
  <si>
    <t>vitanmg@list.ru</t>
  </si>
  <si>
    <t>uralneftemash.ru</t>
  </si>
  <si>
    <t>Буренков Павел Юрьевич (1 166 667 руб., 50%)
Изюмников Владимир Кузьмич (1 166 667 руб., 50%)</t>
  </si>
  <si>
    <t>unpufa1@mail.ru, unpufa@mail.ru, unpufa@mil.ru</t>
  </si>
  <si>
    <t>unp-card.ru</t>
  </si>
  <si>
    <t>Абдуллин Артур Робертович (10 000 руб., 100%)</t>
  </si>
  <si>
    <t>13 670 000</t>
  </si>
  <si>
    <t>sekretar@uraloil.com, sekretar@uraloil.ru</t>
  </si>
  <si>
    <t>uraloil59.ru</t>
  </si>
  <si>
    <t>ЛУКОЙЛ-КОМИ, ООО (10 000 руб., 100%)</t>
  </si>
  <si>
    <t>1 205 170 000</t>
  </si>
  <si>
    <t>ekb@uralplit.ru, yu.teplyakova@uralplit.ru</t>
  </si>
  <si>
    <t>uralplit.ru</t>
  </si>
  <si>
    <t>ОРТЭКС, ООО (118 800 руб., 99%)
Хабибов Олег Гейневич (1 200 руб., 1%)</t>
  </si>
  <si>
    <t>428 590 000</t>
  </si>
  <si>
    <t>belyaev@uralpm.ru, upm@uralpm.ru</t>
  </si>
  <si>
    <t>Ларичев Михаил Станиславович (150 000 руб., 100%)</t>
  </si>
  <si>
    <t>27 690 000</t>
  </si>
  <si>
    <t>tenderups@yandex.ru</t>
  </si>
  <si>
    <t>Жуйков Евгений Николаевич (100 000 руб., 100%)</t>
  </si>
  <si>
    <t>151 580 000</t>
  </si>
  <si>
    <t>ooo@uralprotect.ru</t>
  </si>
  <si>
    <t>"БЕЛМОРИ СИСТЕМЗ ФЗ-ЛЛС" (70 010 000 руб., 100%)</t>
  </si>
  <si>
    <t>115 200 000</t>
  </si>
  <si>
    <t>kudoyarovanp@uralredmet.ru, uralredmet@uralredmet.ru</t>
  </si>
  <si>
    <t>Производство прочих цветных металлов</t>
  </si>
  <si>
    <t>143 500 000</t>
  </si>
  <si>
    <t>mail@usgs.ru</t>
  </si>
  <si>
    <t>www.usgs.ru, www.usgs.su</t>
  </si>
  <si>
    <t>211 790 000</t>
  </si>
  <si>
    <t>a.chilyakov@sibtrans.net, ust.metiz@sibtrans.net</t>
  </si>
  <si>
    <t>Дудоладов Сергей Геннадьевич (600 000 руб., 100%)</t>
  </si>
  <si>
    <t>438 730 000</t>
  </si>
  <si>
    <t>uralstz.ru</t>
  </si>
  <si>
    <t>УРАЛ СТ-ИНВЕСТ, ООО (12 000 000 руб., 100%)</t>
  </si>
  <si>
    <t>48 680 000</t>
  </si>
  <si>
    <t>tduralteh@gmail.com</t>
  </si>
  <si>
    <t>tduts.ru, уралтехсталь.рф</t>
  </si>
  <si>
    <t>Береснев Константин Викторович (20 000 руб., 100%)</t>
  </si>
  <si>
    <t>244 530 000</t>
  </si>
  <si>
    <t>info@uraltorgpred.ru, kudymova@uraltorgpred.ru, utp@perm.ru, utp@uraltorgpred.ru</t>
  </si>
  <si>
    <t>Парфенов Вячеслав Анатольевич (4 200 руб., 50%)
Рыбаков Андрей Владимирович (4 200 руб., 50%)</t>
  </si>
  <si>
    <t>17 750 000</t>
  </si>
  <si>
    <t>market@trubprom.com, urist@trubprom.com, urist@uraltrubprom.ru</t>
  </si>
  <si>
    <t>www.trubprom.com, www.trubprom.com/zavod/otchet</t>
  </si>
  <si>
    <t>Архипов Георгий Афанасьевич (100%)</t>
  </si>
  <si>
    <t>ОХК УРАЛХИМ, АО (2 924 260 000 руб., 100%)</t>
  </si>
  <si>
    <t>49 990 000</t>
  </si>
  <si>
    <t>gorbatov88@mail.ru</t>
  </si>
  <si>
    <t>ВЕРТИКАЛЬ, АО (895 805 руб., 100%)</t>
  </si>
  <si>
    <t>158 590 000</t>
  </si>
  <si>
    <t>office@uralchermet.ru, sales@uralchermet.ru, vinokurova@metallexp.ru</t>
  </si>
  <si>
    <t>uralchermet.ru</t>
  </si>
  <si>
    <t>ТМК НГС, ООО (10 000 000 руб.)</t>
  </si>
  <si>
    <t>53 570 000</t>
  </si>
  <si>
    <t>sale@ural-al.ru</t>
  </si>
  <si>
    <t>ural-al.ru</t>
  </si>
  <si>
    <t>Загородников Кирилл Николаевич (5 000 000 руб., 50%)
Рыкова Елена Евгеньевна (5 000 000 руб., 50%)</t>
  </si>
  <si>
    <t>396 770 000</t>
  </si>
  <si>
    <t>a.tumakova@ugmk.com, o.kolberg@ugmk.com, vaskin@ugmk.com</t>
  </si>
  <si>
    <t>www.ugmk.org</t>
  </si>
  <si>
    <t>1 769 680 000</t>
  </si>
  <si>
    <t>antalia966@yandex.ru, mail@pmsmk.ru</t>
  </si>
  <si>
    <t>pmsmk.ru</t>
  </si>
  <si>
    <t>Пушкарев Юрий Борисович (5 000 руб., 50%)
Штернштейн Александр Игоревич (5 000 руб., 50%)</t>
  </si>
  <si>
    <t>boldyrevaeg@zferma.com, revnivtsevaas@zferma.com</t>
  </si>
  <si>
    <t>urnhk.ru</t>
  </si>
  <si>
    <t>Пекушев Константин Васильевич (9 990 руб., 99.90%)
СБК МОТОРС, ООО (10 руб., 0.10%)</t>
  </si>
  <si>
    <t>e.lyamzina@gkh.ru, ghyd@kl.ru, ihfo@ckh56.ru, info@akh56.ru, info@gkh56.ru, info@metalloinvest.com, info@uralsteel.com, irci@mail.ru, kazaeva@list.ru, o.stepanova@uralsteel.com</t>
  </si>
  <si>
    <t>www.metalloinvest.com, www.uralsteel.com</t>
  </si>
  <si>
    <t>ЗТЗ, АО (100%)</t>
  </si>
  <si>
    <t>secretary@uraltranscom.ru</t>
  </si>
  <si>
    <t>http://uraltranscom.ru</t>
  </si>
  <si>
    <t>Исаев Андрей Николаевич (2 375 000 руб., 47.50%)
Осетрова Анна Владимировна (2 345 000 руб., 46.90%)
Михайлов Владимир Сергеевич (250 000 руб., 5%)
Плосский Александр Аркадьевич (30 000 руб., 0.60%)</t>
  </si>
  <si>
    <t>14 450 000</t>
  </si>
  <si>
    <t>a.ikonnikova@u6.ru, company@u6.ru, company@uralairlines.ru, dogovor@u6.ru, dogovor@uralairlines.ru, group@u6.ru, info@uralairlines.ru, oot@u6.ru, s.sitdikova@u6.ru, stocks@uralairlines.ru</t>
  </si>
  <si>
    <t>www.uralairlines.com, www.uralairlines.ru</t>
  </si>
  <si>
    <t>delo_ub@gap-rs.ru, uralbroiler@uralbro.ru</t>
  </si>
  <si>
    <t>СТАВРОПОЛЬСКИЙ БРОЙЛЕР, ООО (1 413 973 000 руб., 100%)</t>
  </si>
  <si>
    <t>uralles85@mail.ru</t>
  </si>
  <si>
    <t>Вахитов Ильдар Ирекович (2 000 руб., 20%)
Сафарова Анжела Юлаевна (2 000 руб., 20%)
Сучкова Ольга Александровна (2 000 руб., 20%)
Тасмуханов Ногман Васильевич (2 000 руб., 20%)
Чубич Виктор Федорович (2 000 руб., 20%)</t>
  </si>
  <si>
    <t>327 460 000</t>
  </si>
  <si>
    <t>aouraiem@elem.ru, aouralelem@elem.ru, aouralem@elem.ru, k.kuklina@elem.ru, u.kolesnikova@elem.ru, v.romanova@elem.ru</t>
  </si>
  <si>
    <t>www.elem.ru, www.elem.ru/ru/business/shareholder</t>
  </si>
  <si>
    <t>УРАЛЬСКАЯ ГОРНО-МЕТАЛЛУРГИЧЕСКАЯ КОМПАНИЯ , ОАО УГМК, ОАО (91.55%)</t>
  </si>
  <si>
    <t>1 536 640 000</t>
  </si>
  <si>
    <t>info@uralem.ru, om@uralem.ru</t>
  </si>
  <si>
    <t>uralem.ru</t>
  </si>
  <si>
    <t>123456nchn@mai.ru, 2142630@mail.ru, 2149551@mail.ru, 671151@mail.ru, 83512142630@mail.ru, a.chazova@gf.esbt.ru, akhokkeya@bk.ru, albina.plaxina@uralsbyt.ru, alena.marfitsina@uralsbyt.ru, alena.yagudina@uralsbut.ru</t>
  </si>
  <si>
    <t>ФОРТУМ, ПАО (1 000 000 руб., 50%)
ЭК ВОСТОК, АО (1 000 000 руб., 50%)</t>
  </si>
  <si>
    <t>570 480 000</t>
  </si>
  <si>
    <t>info@u1g.ru</t>
  </si>
  <si>
    <t>www.uranium1.com</t>
  </si>
  <si>
    <t>7 586 500 000</t>
  </si>
  <si>
    <t>drogolovalg@suek.ru, morozovvm@suek.ru, urgalugol@suck.ru, urgalugol@suek.ru</t>
  </si>
  <si>
    <t>urgalugol.ru</t>
  </si>
  <si>
    <t>СУЭК, АО (4 240 047 000 руб.)</t>
  </si>
  <si>
    <t>amv@uds.ru, buh@uds.ru, gorkom-media@mail.ru, hva@uds.ru, office@uds.ru, offise@uds.ru, psg@uds.ru</t>
  </si>
  <si>
    <t>www.gorkom-media.ru, www.uds.ru</t>
  </si>
  <si>
    <t>Рысков Александр Александрович (422 387 руб., 100%)</t>
  </si>
  <si>
    <t>37 860 000</t>
  </si>
  <si>
    <t>anna.zolina@uralita.com, natalia.korotkaya@ursa.com, ursa-russia@uralita.com, ursa-russia@ursa.com</t>
  </si>
  <si>
    <t>www.uralit.com, www.uralix.com</t>
  </si>
  <si>
    <t>УРАЛИТА ХОЛДИНГ Б.В. (URALITA HOLDING B.V.) (429 704 723 руб., 100%)</t>
  </si>
  <si>
    <t>706 630 000</t>
  </si>
  <si>
    <t>info@ao-urst.ru, zakupki.urst@gmail.com</t>
  </si>
  <si>
    <t>hrapova.d@mainchel.ru, info@mainchel.ru, opmost@mainchel.ru, tae@mail.ru, zakupki@mainchel.ru</t>
  </si>
  <si>
    <t>ОЙКУМЕНА, АО (10 000 руб., 100%)</t>
  </si>
  <si>
    <t>259 610 000</t>
  </si>
  <si>
    <t>info@sm-city.ru</t>
  </si>
  <si>
    <t>www.sm-city.ru</t>
  </si>
  <si>
    <t>kan@ushpk.ru, shpk@mail.ru, ushpk@mail.ru</t>
  </si>
  <si>
    <t>ushpk.ru</t>
  </si>
  <si>
    <t>492 760 000</t>
  </si>
  <si>
    <t>ucaxz-priem@yandex.ru, usz-piv@rambler.ru, usz-urist@mail.ru</t>
  </si>
  <si>
    <t>ussah.ru</t>
  </si>
  <si>
    <t>1 114 970 000</t>
  </si>
  <si>
    <t>uspk@uspk.net</t>
  </si>
  <si>
    <t>www.uspk.net</t>
  </si>
  <si>
    <t>927 500 000</t>
  </si>
  <si>
    <t>sti@sibtnats.net</t>
  </si>
  <si>
    <t>сибтранс.рф</t>
  </si>
  <si>
    <t>Дудоладов Сергей Геннадьевич (100 000 руб., 74%)
Коненков Антон Владимирович (35 135.14 руб., 26%)</t>
  </si>
  <si>
    <t>487 240 000</t>
  </si>
  <si>
    <t>fraudreport@ust-kutsknpz.ru, reception@ust-kutsknpz.ru, sales@ust-kutsknpz.ru</t>
  </si>
  <si>
    <t>ИНК, ООО (8 990 000 000 руб., 100%)</t>
  </si>
  <si>
    <t>filatovals@ustlugaoil.ru, ivanovamn@ustlugaoil.ru, kng@ustlugaoil.ru, mail@spb.nestro.ru, rnb@rosnb.ru, rosnb.narod.ru</t>
  </si>
  <si>
    <t>http://www.ustlugaoil.ru/</t>
  </si>
  <si>
    <t>21 307 530 000</t>
  </si>
  <si>
    <t>its@usges.ru, kurilovasa@usges.ru, predstav@usges.ru, savinvik@usges.ru, usges@usges.ru</t>
  </si>
  <si>
    <t>www.usgesstroy.rushydro.ru</t>
  </si>
  <si>
    <t>КОЛЫМАЭНЕРГО, ПАО (297 546 814 руб.)</t>
  </si>
  <si>
    <t>122345@maii.ru, 123acd@mail.ru, 386180@mail.ru, anomirovskaya@ustek.ru, buhik@mail.ru, ecntr@mail.ru, irina26021983@mail.ru, office@acustec.ru, office@acustek.ru, office@ao-ustek.ru</t>
  </si>
  <si>
    <t>ao-ustek.ru</t>
  </si>
  <si>
    <t>370 950 000</t>
  </si>
  <si>
    <t>1@uralsbyt.ru, 2465696@mail.ru, 3512465696@mail.ru, anton.guryev@uralsbyt.ru, beketovamv@ustekchel.ru, chstc@mail.ru, ckts@mail.ru, evgenia.shakirova@uralsbyt.ru, galina.golikova@fortum.com, galina.golikova@ural.sbyt.ru</t>
  </si>
  <si>
    <t>ustekchel.ru</t>
  </si>
  <si>
    <t>50 720 000</t>
  </si>
  <si>
    <t>law@tstn.ru, zakaz-info@tstn.ru</t>
  </si>
  <si>
    <t>www.tstn.ru</t>
  </si>
  <si>
    <t>ВАЛОТТА, ООО (999 900 руб., 99.99%)
ЦЕНТР-ИНВЕСТ, ООО (100 руб., 0.010%)</t>
  </si>
  <si>
    <t>1 672 530 000</t>
  </si>
  <si>
    <t>utt-nyagan@mail.ru, utt@nyagan.ru, ypnaumov@starwayp.com</t>
  </si>
  <si>
    <t>www.e-disciosure.ru/dortal/companv.aspx?id=12519</t>
  </si>
  <si>
    <t>ГАЗПРОМ БУРЕНИЕ, ООО (580 622 454 руб., 51%)
РУСГАЗБУРЕНИЕ, ООО (557 852 946 руб., 49%)</t>
  </si>
  <si>
    <t>360 800 000</t>
  </si>
  <si>
    <t>usinskttu@uttu.ru</t>
  </si>
  <si>
    <t>uttu.ru</t>
  </si>
  <si>
    <t>СПЕЦНЕФТЕТРАНС, АО (149 916 000 руб., 93%)
Муляк Владимир Витальевич (11 284 000 руб., 7%)</t>
  </si>
  <si>
    <t>47 330 000</t>
  </si>
  <si>
    <t>mail@ufa-aviagaz.ru, pavlov@ufa-aviagaz.ru</t>
  </si>
  <si>
    <t>ufa-aviagaz.ru</t>
  </si>
  <si>
    <t>ОДК-УМПО, ПАО (100%)</t>
  </si>
  <si>
    <t>124 250 000</t>
  </si>
  <si>
    <t>2588696@mail.ru, 2589668@mail.ru, bakievae@uwc.ufanet.ru, cgjbj@mail.ru, dogovor@uwc.ufanet.ru, doverie@uwc.ufanet.ru, edrenkina@uwc.ufanet.ru, ffismagilova@02.kadastr.ru, fvbhkv@mail.ru, galieva@uwc.ufanet.ru</t>
  </si>
  <si>
    <t>ufavodokanal.ru</t>
  </si>
  <si>
    <t>Башкортостан Респ (1 507 894 342.95 руб., 100%)</t>
  </si>
  <si>
    <t>commerce@corp.o56.ru, dogovor@igs.ufanet.ru, dogovor@slv.ufanet.ru, dogovor@str.ufanet.ru, dogovor@ufanet.ru, gs@ufanet.ru, mastera@ufanet.ru, misheneva@ufanet.ru, opr@ufanet.ru, orgi@ufanet.ru</t>
  </si>
  <si>
    <t>265 780 000</t>
  </si>
  <si>
    <t>a.nosovskaya@ucp.ru, g.vokhmyanina@ucp.ru, k.stepanov@ucp.ru, o.mashkova@ucp.ru, ptfe_sales@ucp.ru, ucp@ucp.ru, yr_plast@mail.ru</t>
  </si>
  <si>
    <t>www.ucp.ru</t>
  </si>
  <si>
    <t>UCP CHEMICALS AG (96.68%)</t>
  </si>
  <si>
    <t>240 140 000</t>
  </si>
  <si>
    <t>event@ussc.ru, info@ussc.ru, oborisova@ussc.ru</t>
  </si>
  <si>
    <t>ussc.ru</t>
  </si>
  <si>
    <t>Пустарнаков Валерий Фёдорович (4 500 000 руб., 75%)
Антипинский Андрей Сергеевич (1 500 000 руб., 25%)</t>
  </si>
  <si>
    <t>443 830 000</t>
  </si>
  <si>
    <t>ekb@msantehnik.ru, glbuh@santur.ru, luginina@santur.ru, malceva@santur.ru, santur@santur.ru, starokogev@santur.ru, tagil@santur.ru</t>
  </si>
  <si>
    <t>www.santur.ru</t>
  </si>
  <si>
    <t>СТКУ, ООО (44 000 руб., 100%)</t>
  </si>
  <si>
    <t>367 020 000</t>
  </si>
  <si>
    <t>eremeev@ugok.ru, himl_dausheva_ag@ugok.ru, nvturbina@sfugok.ru, peo_mukhamadeeva_iz@ugok.ru, ugok@mail.ru, ugok@ugok.ru</t>
  </si>
  <si>
    <t>profuchaly.ru</t>
  </si>
  <si>
    <t>526 900 000</t>
  </si>
  <si>
    <t>pnv@koks.metbolding.ru, uk@koks.metholding.ru</t>
  </si>
  <si>
    <t>КОКС, ПАО (30 317 900 руб., 100%)</t>
  </si>
  <si>
    <t>5 476 680 000</t>
  </si>
  <si>
    <t>kokvichev@moloko.vologda.ru, uomz@cologda.ru, uomz@moloko.vologda.ru, uomz@vologda.ru</t>
  </si>
  <si>
    <t>www.moloko.vologda.ru, масловологодское.рф</t>
  </si>
  <si>
    <t>23 710 000</t>
  </si>
  <si>
    <t>finance@uchi.ru</t>
  </si>
  <si>
    <t>uchi.ru</t>
  </si>
  <si>
    <t>КОМПАНИЯ ВК, ООО (700 000 руб., 70%)
ЛОМИГОР ИНВЕСТМЕНТС ЛИМИТЕД (250 000 руб., 25%)
УЧИ.РУ ПЛЮС, ООО (50 000 руб., 5%)</t>
  </si>
  <si>
    <t>86 700 000</t>
  </si>
  <si>
    <t>evlukina@yandex.ru, zhikharev.77@mail.ru</t>
  </si>
  <si>
    <t>СЗ УЭЗ, АО (9 900 руб., 99%)
ИНФОРМСТРОЙСЕРВИС, АО ППДЦ (100 руб., 1%)</t>
  </si>
  <si>
    <t>a.makarov@uess.ru, info@uess.ru, it@uess.ru, kiseleva_sb@mail.ru, vwboom@mail.ru</t>
  </si>
  <si>
    <t>uraless.com</t>
  </si>
  <si>
    <t>condor@ueip.ru, ivzaytsev@rosatom.ru</t>
  </si>
  <si>
    <t>ueip.ru</t>
  </si>
  <si>
    <t>info@forum-auto.ru</t>
  </si>
  <si>
    <t>www.forum-auto.ru</t>
  </si>
  <si>
    <t>Союзнов Сергей Викторович (7 650 руб., 51%)
Союзнов Андрей Викторович (7 350 руб., 49%)</t>
  </si>
  <si>
    <t>3 383 010 000</t>
  </si>
  <si>
    <t>admin@fonbet.ru</t>
  </si>
  <si>
    <t>АКЦИОНЕРНАЯ КОМПАНИЯ С ОГРАНИЧЕННОЙ ОТВЕТСТВЕННОСТЬЮ "БИРУСА ЛИМИТЕД" (547 980 000 руб., 91.33%)
Маслов Михаил Александрович (52 020 000 руб., 8.67%)</t>
  </si>
  <si>
    <t>Деятельность по организации заключения пари</t>
  </si>
  <si>
    <t>31 700 200 000</t>
  </si>
  <si>
    <t>info@firstmet.ru, info@firstspb.ru, officenn@1logistik.ru, tender1@1logistik.ru, zmiev@1logistik.ru</t>
  </si>
  <si>
    <t>1logistik.ru</t>
  </si>
  <si>
    <t>Сергеев Максим Андреевич (60 000 руб., 100%)</t>
  </si>
  <si>
    <t>82 060 000</t>
  </si>
  <si>
    <t>i.lazuro@ru.faberlic.com, i.lukiyanova@faberlic.com, office@ru.faberlic.com</t>
  </si>
  <si>
    <t>https://faberlic.com, www.new.faberlic.com</t>
  </si>
  <si>
    <t>1 718 920 000</t>
  </si>
  <si>
    <t>РЕННА-ХОЛДИНГ, ЗАО (18 750 руб., 100%)</t>
  </si>
  <si>
    <t>567 770 000</t>
  </si>
  <si>
    <t>info@frtt.ru, media@frtt.ru, nurminen@frtt.ru, petukhov@frtt.ru, pr@frtt.ru</t>
  </si>
  <si>
    <t>fabrikartt.ru</t>
  </si>
  <si>
    <t>Р-ФАРМ ВЕНЧУРС, ООО (19 000 руб., 95%)
Попов Андрей Викторович (1 000 руб., 5%)</t>
  </si>
  <si>
    <t>98 470 000</t>
  </si>
  <si>
    <t>sharm@mail.ru</t>
  </si>
  <si>
    <t>КОМПАНИЯ "АЛДЖАМАЛ ЛИМИТЕД" (78 400 руб., 98%)
Савельев Николай Владимирович (1 600 руб., 2%)</t>
  </si>
  <si>
    <t>Производство верхней трикотажной или вязаной одежды</t>
  </si>
  <si>
    <t>direct@uralkarton.ru, info@karton.ru, karton@mail.ru, uralkarton@maik.ru, uralkarton@mail.ru, v.zyskina@uralkarton.ru</t>
  </si>
  <si>
    <t>uralkarton.ru</t>
  </si>
  <si>
    <t>Л-АВТО, ООО (250 010 000 руб., 100%)</t>
  </si>
  <si>
    <t>351 260 000</t>
  </si>
  <si>
    <t>ГРУППА КОМПАНИЙ О-СИ-ЭС, ООО (1 000 000 руб., 100%)</t>
  </si>
  <si>
    <t>2 340 000</t>
  </si>
  <si>
    <t>faw.ru</t>
  </si>
  <si>
    <t>ООО ЭКСПОРТНО-ИМПОРТНАЯ КОМПАНИЯ ПРИ ПЕРВОЙ АВТОЗАВОДСКОЙ ГРУППЕ КИТАЯ (11 406 610 руб., 100%)</t>
  </si>
  <si>
    <t>422 590 000</t>
  </si>
  <si>
    <t>favorit-motors.ru</t>
  </si>
  <si>
    <t>ФАВОРИТЛИЗИНГ, ООО (79 990 000 руб., 99.98%)
Попов Владимир Владимирович (8 630 руб., 0.010%)
Садовский Сергей Владимирович (1 370 руб., 0.0017%)</t>
  </si>
  <si>
    <t>auto-praga.ru, autopraga-dealer.ru, autopraga-otzyvy.ru, autopraga-sever.ru, autopraga-skoda.ru, autopraga-vostok.ru, autopraga-yug.ru, autopraga.ru, bmw-svc.ru, chery-favorit.ru</t>
  </si>
  <si>
    <t>ФАВОРИТЛИЗИНГ, ООО (80 010 000 руб., 99.96%)
Попов Владимир Владимирович (25 890 руб., 0.032%)
Садовский Сергей Владимирович (4 110 руб., 0.0050%)</t>
  </si>
  <si>
    <t>230 000</t>
  </si>
  <si>
    <t>osin.y@favorit-motors.ru, semenova.n@favorit-motors.ru</t>
  </si>
  <si>
    <t>www.kia.com</t>
  </si>
  <si>
    <t>Попов Владимир Владимирович (17 260 руб., 86.30%)
Садовский Сергей Владимирович (2 740 руб., 13.70%)</t>
  </si>
  <si>
    <t>4955805502@mail.ru, commerce@binergia.ru, o.ivanov@binergia.ru</t>
  </si>
  <si>
    <t>326 890 000</t>
  </si>
  <si>
    <t>evgeniy.filippov@fine-ingredients.ru, fi@fine-ingredients.ru, fi@ingredients.ru, info@fine-ingredients.ru, lidiya.samokhina@fine-ingredients.ru</t>
  </si>
  <si>
    <t>www.fine-ingredients.ru</t>
  </si>
  <si>
    <t>210 780 000</t>
  </si>
  <si>
    <t>f-tk.ru, fakel-business.ru, spec-complect.ru</t>
  </si>
  <si>
    <t>Кузнецов Виталий Валентинович (76 000 000 руб., 100%)</t>
  </si>
  <si>
    <t>egrul_factor@zolla.com, info@zolla.ru</t>
  </si>
  <si>
    <t>www.zolla.com, www.zolla.ru</t>
  </si>
  <si>
    <t>CZFV CORP. LIMITED (365 005 250 руб., 100%)</t>
  </si>
  <si>
    <t>2 584 240 000</t>
  </si>
  <si>
    <t>Бочарова Екатерина Владимировна (620 000 руб., 100%)</t>
  </si>
  <si>
    <t>a.mikhailov@fareslogistics.com, a.mikhailov@frslog.com</t>
  </si>
  <si>
    <t>Филатова Светлана Васильевна (10 200 руб., 51%)
Филиппов Александр Витальевич (9 800 руб., 49%)</t>
  </si>
  <si>
    <t>24 680 000</t>
  </si>
  <si>
    <t>ЗАКРЫТОЕ АКЦИОНЕРНОЕ ОБЩЕСТВО С ОГРАНИЧЕННОЙ ОТВЕТСТВЕННОСТЬЮ "РБПИ АС" (100 000 руб., 100%)</t>
  </si>
  <si>
    <t>ask@informat.ru, bel.manager1@informat.ru, ezheleznikova@informat.ru, farm@vladfarm.elcom.ru, gaaf@mail.ru, gulnara@farm.ru, klg.termakova@informat.ru, logistics@farm.ru, mur.javovk@informat.ru, mur.osamsonova@informat.ru</t>
  </si>
  <si>
    <t>www.farm.ru, www.in-format.ru</t>
  </si>
  <si>
    <t>farmpr@bk.ru, farmproject@bk.ru, info@f-p-m.ru</t>
  </si>
  <si>
    <t>f-p-m.ru</t>
  </si>
  <si>
    <t>Тен Геннадий Юрьевич (100 000 руб., 100%)</t>
  </si>
  <si>
    <t>157 880 000</t>
  </si>
  <si>
    <t>364416m@gmail.com, farmtender@mail.ru, farmtr@mail.ru, info@farm-treid.ru, trd05@gmail.com, ttd05@gmail.com, ttd05@gmail.ru, ttrd05@gmail.com, ttrd05@gmail.ru, ttrd5@gmail.com</t>
  </si>
  <si>
    <t>Арустамян Тигран Аркадьевич (10 000 руб., 100%)</t>
  </si>
  <si>
    <t>23 450 000</t>
  </si>
  <si>
    <t>e.kurganskaya@farmaimpex.ru, g.garaeva@farmaimpex.ru, m.akacheva@farmaimpex.ru</t>
  </si>
  <si>
    <t>Зверев Алексей Владимирович (10 000 руб., 100%)</t>
  </si>
  <si>
    <t>farmaktivy@mail.ru, tender.svc@farmcapital.ru, tender@farmcapital.ru</t>
  </si>
  <si>
    <t>АЛВИЛС ГРУПП, ООО (100 000 руб., 100%)</t>
  </si>
  <si>
    <t>508 700 000</t>
  </si>
  <si>
    <t>info@pharmamed.ru, sale@ketodietofficial.ru</t>
  </si>
  <si>
    <t>www.pharmamed.ru</t>
  </si>
  <si>
    <t>akupki@farmamondo.ru, ibarkovskaya@farmamondo.ru, info@farmamondo.ch, ru.info@farmamondo.ch, zakupki@farmamondo.ch, zakupki@farmamondo.ru</t>
  </si>
  <si>
    <t>www.farmamondo.com</t>
  </si>
  <si>
    <t>ФАРМЭКО, ООО (4 000 руб., 40%)
АО ФАРМА МОНДО СА (3 000 руб., 30%)
БИО МЕДИКА ХОЛДИНГ ГМБХ (3 000 руб., 30%)</t>
  </si>
  <si>
    <t>61 650 000</t>
  </si>
  <si>
    <t>a.podvarkova@pharmasyntez.com, export@pharmasyntez.com, info-psn@pharmasyntez.com, info@pharmasyntez.com, moscow@pharmasyntez.com, pr@pharmasyntez.com</t>
  </si>
  <si>
    <t>1972@farmacevt.ru, 54646@wer.ru, 8633220428@mail.ru, azs.degtyarev@yandex.ru, bbbbbb@mail.ru, bfjdgyj@mail.ru, e-mail@farmacevt-plus.ru, farm61@mail.ru, farmaceft@mail.ru, farmaceftplus@mail.ru</t>
  </si>
  <si>
    <t>22 120 000</t>
  </si>
  <si>
    <t>1903@farmacevt.ru, 88632906287@mail.ru, ail@larmacevt.ru, alekseeva@farmacevt.ru, briskina@farmacevt.ru, e-mail@farmacevt.ru, email@farmacevt.ru, eostapenko@farmacevt.ru, f_cevt@000net.ru, far@list.ru</t>
  </si>
  <si>
    <t>www.farmacevt.ru</t>
  </si>
  <si>
    <t>1 042 360 000</t>
  </si>
  <si>
    <t>info@aptekaf.ru, it@aptekaf.ru, m.fsv@yandex.ru, mst.chief@aptekaf.ru, mt10@aptekaf.ru, mt11@aptekaf.ru, mt2@aptekaf.ru, mt3@aptekaf.ru, mt4@aptekaf.ru, office@apekaf.ru</t>
  </si>
  <si>
    <t>МИНИМУЩЕСТВО АО (50 000 000 руб., 100%)</t>
  </si>
  <si>
    <t>director@pharmgarant.ru, info@pharmeconom.ru, info@pharmgarant.ru, secretar@pharmgarant.ru</t>
  </si>
  <si>
    <t>Бардюжа Герман Валентинович (16 800 000 руб., 100%)</t>
  </si>
  <si>
    <t>774 490 000</t>
  </si>
  <si>
    <t>79628535544@yandex.ru, a.paramonova@pharmimex.com, admin@pharmimex.com, aff@mail.ru, affamimex@yandex.ru, affarmimed@yandex.ru, afffamimex@yandex.ru, affmimex@yandex.ru, an@pharmimex.com, avaeva@pharmimex.com</t>
  </si>
  <si>
    <t>www.pharmimex.com</t>
  </si>
  <si>
    <t>НПКФ ФАРМИМЭКС, АО (67.93%)
Апазова Татьяна Евгеньевна (25.65%)
Апазов Александр Дмитриевич (3.09%)
Нижарадзе Инга Александровна (3.08%)</t>
  </si>
  <si>
    <t>191 270 000</t>
  </si>
  <si>
    <t>akaz@pharmcomplex.ru, eay@pharmcomplex.ru, ender@pharmcomplex.ru, info@pharmacomplex.ru, info@pharmcomplex.ru, jkgydh@mail.ru, peso@pharmcomplex.ru, pharmcomplexzakaz@mail.ru, pharmkomplex2013@gmail.com, pharmkomplex@gmail.com</t>
  </si>
  <si>
    <t>pharmcomplex.ru</t>
  </si>
  <si>
    <t>Мурашов Вадим Анатольевич (10 000 руб., 100%)</t>
  </si>
  <si>
    <t>164 280 000</t>
  </si>
  <si>
    <t>brk@pharmk.ru, ken2@pharmk.ru, mie@pharmk.ru, pharm@pharm.nnov.ru</t>
  </si>
  <si>
    <t>http://www.pharm.nnov.ru, https://www.pharmk.ru/</t>
  </si>
  <si>
    <t>Гайсинский Игорь Юрьевич (500 000 руб., 50%)
Гайсинский Юрий Юрьевич (500 000 руб., 50%)</t>
  </si>
  <si>
    <t>753 300 000</t>
  </si>
  <si>
    <t>111111111111111111@mail.ru, 70219906@mail.ru, a.goncharova@pharmline.ru, a.kochubej@pharmline.ru, a.nikolaenkov@pharmline.ru, a.ozolina@pharmline.ru, a.popova@pharmline.ru, a.sidorenko@pharmline.ru, a.soshin@pharmline.ru, avto@inbox.ru</t>
  </si>
  <si>
    <t>Агеева Татьяна Жановна (1 500 000 руб., 50%)
Турчинская Анастасия Львовна (1 500 000 руб., 50%)</t>
  </si>
  <si>
    <t>34 160 000</t>
  </si>
  <si>
    <t>89177558480@mail.ru, baybakova_marina@mail.ru, cmgr@farmlend.ru, info@farmlend.ru</t>
  </si>
  <si>
    <t>farmlend.ru</t>
  </si>
  <si>
    <t>336 830 000</t>
  </si>
  <si>
    <t>akt_chechfarmsnab@list.ru, aleksandra_lhx@mail.ru, amirhanamirov96@mail.ru, armliga095@mail.ru, armliga12345@mail.ru, armzakaz123@gmail.com, belebazama@gmail.com, charmo_1970@mail.ru, crfmon21@mail.ru, dadada@dsds.ru</t>
  </si>
  <si>
    <t>Мумадов Тамерлан Русланович (20 000 руб., 100%)</t>
  </si>
  <si>
    <t>38 380 000</t>
  </si>
  <si>
    <t>auction@farmlogistica.ru, info@farmlogistica.ru, kaskovaalsu@gmail.com</t>
  </si>
  <si>
    <t>Лях Данил Владимирович (500 000 руб., 100%)</t>
  </si>
  <si>
    <t>566 060 000</t>
  </si>
  <si>
    <t>Каграманов Сергей Александрович (9 000 руб., 45%)
Акимов Михаил Юрьевич (6 600 руб., 33%)
Пышняк Артем Валерьевич (2 400 руб., 12%)
Тихоход Юрий Владимирович (1 000 руб., 5%)
Щербинкина Ольга Васильевна (1 000 руб., 5%)</t>
  </si>
  <si>
    <t>41 180 000</t>
  </si>
  <si>
    <t>22@m.ru, 687@rth.ru, cjkfghdzj@mail.ru, e.orehova@phsv.ru, e.pastukhova@redpharm.ru, e.shmykova@phsv.ru, enakl@phsv.ru, farmservice2@mail.ru, farmservice5@mail.ru, fgdtd@mail.ru</t>
  </si>
  <si>
    <t>phsv.ru</t>
  </si>
  <si>
    <t>Ступаков Валерий Евгениевич (102 000 руб., 100%)</t>
  </si>
  <si>
    <t>292 260 000</t>
  </si>
  <si>
    <t>aa.vasilev@pharmstd.ru, aamarkelov@pharmstd.ru, aimukhamadeev@pharmstd.ru, amabramkin@pharmstd.ru, askozarenko@pharmstd.ru, asulanovskiy@pharmstd.ru, avgrazdankina@pharmst.ru, avgrazdankina@phrmstd.ru, avgrazhdankina@pharmstd.ru, dggadzhimuradova@pharmstd.ru</t>
  </si>
  <si>
    <t>www.pharmstandart.ru, www.pharmstd.ru</t>
  </si>
  <si>
    <t>25 734 190 000</t>
  </si>
  <si>
    <t>denisgr@farmtek.ru, farmtek2@online.ru</t>
  </si>
  <si>
    <t>www.farmtek.of.ru</t>
  </si>
  <si>
    <t>Тодрина Евгения Александровна (1 300 000 руб., 65%)
Гришин Денис Алексеевич (700 000 руб., 35%)</t>
  </si>
  <si>
    <t>13 310 000</t>
  </si>
  <si>
    <t>el.adresanet@mail.ru, erofeeva.n@pharmforward.ru, ilyuhin.k@pharmforward.ru, info@pfarmforvard.ru, info@pharmforvard.ru, ivleva.m@pharmforward.ru, kkks@k.ru, nfo@pharmforward.ru, siradegyan.e@pharmforward.ru, statskaya.i@pharmforward.ru</t>
  </si>
  <si>
    <t>http://pharmforward.ru/, phfw.ru</t>
  </si>
  <si>
    <t>Чижиков Алексей Алексеевич (51 407 000 руб., 100%)</t>
  </si>
  <si>
    <t>279 770 000</t>
  </si>
  <si>
    <t>farn24@farn24.ru, farn24@mail.ru</t>
  </si>
  <si>
    <t>1 221 480 000</t>
  </si>
  <si>
    <t>Парк Биляна Здравкова (100 000 руб., 100%)</t>
  </si>
  <si>
    <t>info@facadesolutions.ru</t>
  </si>
  <si>
    <t>Мохначёв Станислав Сергеевич (1 000 000 руб., 100%)</t>
  </si>
  <si>
    <t>291 710 000</t>
  </si>
  <si>
    <t>fastland@cafemumu.ru, fedorova.l@cafemumu.ru, pkeitering@yandex.ru, rum-denis@yandex.ru</t>
  </si>
  <si>
    <t>www.cafemumu.ru</t>
  </si>
  <si>
    <t>Деллос Андрей Константинович (1 008 400 руб., 100%)</t>
  </si>
  <si>
    <t>elena@autoallianse.com</t>
  </si>
  <si>
    <t>www.autoallianse.com</t>
  </si>
  <si>
    <t>Сергеев Максим Валерьевич (100 000 руб., 100%)</t>
  </si>
  <si>
    <t>13 450 000</t>
  </si>
  <si>
    <t>burniish@inbox.ru</t>
  </si>
  <si>
    <t>info@railfgk.ru</t>
  </si>
  <si>
    <t>vgk.org.ru</t>
  </si>
  <si>
    <t>ahmedovds@sdohrana.ru, alfe.08@mail.ru, alp8202@yandex.ru, bykovav@zdohrana.ru, chelvohr@mail.ru, chelvohr@yandex.ru, dogovornor3@mail.ru, egserebrova@zdohrana.ru, ekonomikvohr@bk.ru, ekonomisttnor2@yandex.ru</t>
  </si>
  <si>
    <t>office@femco.ru</t>
  </si>
  <si>
    <t>femco.ru</t>
  </si>
  <si>
    <t>УК ФЕМКО, ООО (100 000 руб., 100%)</t>
  </si>
  <si>
    <t>Аренда морских судов заграничного и каботажного плавания для перевозки грузов с экипажем</t>
  </si>
  <si>
    <t>telegraf@bor.kamchatka.ru</t>
  </si>
  <si>
    <t>3 875 690 000</t>
  </si>
  <si>
    <t>Корчагин Андрей Петрович (100 000 руб., 100%)</t>
  </si>
  <si>
    <t>28 050 000</t>
  </si>
  <si>
    <t>info@phoenix-ca.ru</t>
  </si>
  <si>
    <t>phoenix-ca.ru</t>
  </si>
  <si>
    <t>ТИНЬКОФФ БАНК, АО (16 957 500 руб., 51%)
ТИСИЭС ГРУП ХОЛДИНГ ПИЭЛСИ (16 292 500 руб., 49%)</t>
  </si>
  <si>
    <t>4 597 630 000</t>
  </si>
  <si>
    <t>380836@mail.ru, tfkfenix@yandex.ru</t>
  </si>
  <si>
    <t>feniks-avto.ru</t>
  </si>
  <si>
    <t>Ибрагимов Ленур Таирович (10 000 руб., 100%)</t>
  </si>
  <si>
    <t>326 540 000</t>
  </si>
  <si>
    <t>Дьячков Сергей Сергеевич (460 000 руб., 46%)
Рустамбеков Рустам Давлатбекович (270 000 руб., 27%)
Черных Василий Сергеевич (270 000 руб., 27%)</t>
  </si>
  <si>
    <t>96 920 000</t>
  </si>
  <si>
    <t>buh@ferratek.com, enmferratekooo@mail.ru</t>
  </si>
  <si>
    <t>Агарков Дмитрий Владимирович (400 000 руб., 100%)</t>
  </si>
  <si>
    <t>72 800 000</t>
  </si>
  <si>
    <t>natalia.koreshkina@ferrero.com, olga.tsikina@ferrero.com, russia_reception@ferrero.com, svetlana.gladysheva@ferrero.com, yuliya.provorova@ferrero.com</t>
  </si>
  <si>
    <t>www.ferrero.ru</t>
  </si>
  <si>
    <t>4 554 670 000</t>
  </si>
  <si>
    <t>info@ferroni-doors.ru</t>
  </si>
  <si>
    <t>ferroni-doors.ru</t>
  </si>
  <si>
    <t>Кузнецов Евгений Александрович (66 549 100 руб., 100%)</t>
  </si>
  <si>
    <t>48 830 000</t>
  </si>
  <si>
    <t>office@ferroni-doors.ru</t>
  </si>
  <si>
    <t>Кузнецов Евгений Александрович (200 010 000 руб., 100%)</t>
  </si>
  <si>
    <t>238 020 000</t>
  </si>
  <si>
    <t>deryaga.ta@tk23.ru</t>
  </si>
  <si>
    <t>http://www.ferroni-doors.ru/</t>
  </si>
  <si>
    <t>Кузнецов Евгений Александрович (15 800 000 руб., 100%)</t>
  </si>
  <si>
    <t>cheremokhin@shipsteel.ru, gerasimova@shipsteel.ru, office@shipsteel.ru, office@shipstel.ru, okffice@shipsteel.ru</t>
  </si>
  <si>
    <t>shipsteel.ru</t>
  </si>
  <si>
    <t>Сурьянинова Оксана Сергеевна (300 000 руб., 100%)</t>
  </si>
  <si>
    <t>318 520 000</t>
  </si>
  <si>
    <t>ferrum-n.ru</t>
  </si>
  <si>
    <t>Соседко Андрей Владимирович (40 000 руб., 100%)</t>
  </si>
  <si>
    <t>Соседко Андрей Владимирович (10 000 руб., 100%)</t>
  </si>
  <si>
    <t>12 850 000</t>
  </si>
  <si>
    <t>a.koltsov@fertoing.ru, e.brignevich@fertoing.ru, info@fertoing.ru, tender@fertoing.ru, v.palitova@fertoing.ru</t>
  </si>
  <si>
    <t>www.fertoing.ru</t>
  </si>
  <si>
    <t>АРТНАВАЛЬ, ООО (257 000 руб., 50%)
НОВЫЙ ДОМ, ООО (257 000 руб., 50%)</t>
  </si>
  <si>
    <t>Деятельность гидрографическая изыскательская</t>
  </si>
  <si>
    <t>925 590 000</t>
  </si>
  <si>
    <t>АК с ОО ФЬЮЧА ЭНТЕРПРАЙСИЗ ПТЕ. ЛТД. (1 401 000 000 руб., 100%)</t>
  </si>
  <si>
    <t>fest-inv@mail.ru</t>
  </si>
  <si>
    <t>rgroup-cargo.ru</t>
  </si>
  <si>
    <t>СДС-ТРАНС, ООО (1 500 000 руб.)</t>
  </si>
  <si>
    <t>305 900 000</t>
  </si>
  <si>
    <t>84991085293@mail.ru, philax.com@mail.ru</t>
  </si>
  <si>
    <t>philax.ru</t>
  </si>
  <si>
    <t>Блажко Лариса Андреевна (22 222.22 руб., 100%)</t>
  </si>
  <si>
    <t>54 280 000</t>
  </si>
  <si>
    <t>info@fili-baker.ru, mail@fineco.ru</t>
  </si>
  <si>
    <t>www.fili-baker.ru</t>
  </si>
  <si>
    <t>Гаврилов Станислав Яковлевич (32 280 руб., 30%)
Гаврилов Ширин Яшаевич (32 280 руб., 30%)
Букин Владимир Анатольевич (21 520 руб., 20%)
Герасимов Александр Владимирович (21 520 руб., 20%)</t>
  </si>
  <si>
    <t>259 410 000</t>
  </si>
  <si>
    <t>fmkkinfo@gmail.com</t>
  </si>
  <si>
    <t>АГРАРНАЯ КОМПАНИЯ, ООО (8 500 руб., 85%)
Клепец Галина Петровна (1 500 руб., 15%)</t>
  </si>
  <si>
    <t>28 550 000</t>
  </si>
  <si>
    <t>olga.neskey@pmi.com, panna.dobrynina@pmi.com, tatiana.kalanova@pmi.com</t>
  </si>
  <si>
    <t>www.pmi.com, www.pmintl.com</t>
  </si>
  <si>
    <t>32 683 840 000</t>
  </si>
  <si>
    <t>alexander.griboedov@philips.com, anna.koroteeva@philips.com, anna.letnikova@philips.com, anton.lavrushin@philips.com, elena.smirnova_1@philips.com, evgeniya.azizova@philips.com, filips@mail.ru, hr.moscow@philips.com, hs.rca@philips.com, hs.rsa@philips.com</t>
  </si>
  <si>
    <t>www.medical.philips.com/ru, www.philips.ru, www.usa.philips.com</t>
  </si>
  <si>
    <t>КОМПАНИЯ "КОНИНКЛИЙКЕ ФИЛИПС ЭЛЕКТРОНИКС Н.В." (1 402 692 900 руб., 100%)</t>
  </si>
  <si>
    <t>459 580 000</t>
  </si>
  <si>
    <t>customer@fil-it.ru</t>
  </si>
  <si>
    <t>1 509 850 000</t>
  </si>
  <si>
    <t>ma.arkhipov@auchan.ru</t>
  </si>
  <si>
    <t>АШАН, ООО (51 000 000 руб., 100%)</t>
  </si>
  <si>
    <t>info@electroprivod.com, info@finval-parts.ru, oil@finval-parts.ru, tender2@finval.ru</t>
  </si>
  <si>
    <t>www.electroprivod.com</t>
  </si>
  <si>
    <t>1 293 540 000</t>
  </si>
  <si>
    <t>Чижов Илья Сергеевич (10 000 руб., 100%)</t>
  </si>
  <si>
    <t>info@profitv.ru</t>
  </si>
  <si>
    <t>ТЕХНОТЕК, АО (1 000 000 руб., 100%)</t>
  </si>
  <si>
    <t>6 480 000</t>
  </si>
  <si>
    <t>boss@finsib.com, okp@finsib.com</t>
  </si>
  <si>
    <t>www.finsib.com</t>
  </si>
  <si>
    <t>128 400 000</t>
  </si>
  <si>
    <t>elena.ilchuk@usk.ilimgroup.ru, info@fintransgl.ru</t>
  </si>
  <si>
    <t>www.fintrans-spb.ru</t>
  </si>
  <si>
    <t>ГРУППА ИЛИМ, АО (8 981 863 руб., 100%)</t>
  </si>
  <si>
    <t>s.ipatov@galen.ru</t>
  </si>
  <si>
    <t>www.galen.ru</t>
  </si>
  <si>
    <t>749 060 000</t>
  </si>
  <si>
    <t>"ПАПАСТРАТОС СИГАРЕТ МАНУФАКТУРИНГ КОМПАНИ С.А." (11 290 руб., 0.010%)</t>
  </si>
  <si>
    <t>4 305 530 000</t>
  </si>
  <si>
    <t>aptekameg_yandex.ru@mail.ru, auction@euro-service.ru, chukhray@euroservice.ru, fgd@jk.ru, info@euro-service.ru, info@euroservice.ru, info@wer.ru, jhjui@mail.ru, jkhfs@mail.ru, ps@eurotula.ru</t>
  </si>
  <si>
    <t>www.euro-service.ru</t>
  </si>
  <si>
    <t>301 130 000</t>
  </si>
  <si>
    <t>a.v.hudonogov@gmail.com, firmakbs@mail.ru</t>
  </si>
  <si>
    <t>www.firma-kbs.ru</t>
  </si>
  <si>
    <t>avdzhyanea@fp1.su, kablahovas@fp1.su</t>
  </si>
  <si>
    <t>Шебзухов Алибек Эльмурзович (275 095 000 руб., 100%)</t>
  </si>
  <si>
    <t>office@radius-s.ru</t>
  </si>
  <si>
    <t>ТЕХНОЛОГИЧЕСКАЯ КОМПАНИЯ ШЛЮМБЕРЖЕ, ООО (168 177 495 руб., 100%)</t>
  </si>
  <si>
    <t>Производство гидравлических и пневматических силовых установок и двигателей</t>
  </si>
  <si>
    <t>706 500 000</t>
  </si>
  <si>
    <t>legal@saman-kazan.ru, postsaman@mail.ru</t>
  </si>
  <si>
    <t>saman-kazan.ru</t>
  </si>
  <si>
    <t>Умаров Азамат Абдурахманович (7 108 086.66 руб., 66.67%)
Чибисов Вячеслав Олегович (3 554 043.33 руб., 33.33%)</t>
  </si>
  <si>
    <t>38 440 000</t>
  </si>
  <si>
    <t>3257920@szmetal.ru, 4121781@mail.ru, elena@szmetal.ru, faina@szmetal.ru, info@szmetal.ru, magazin@szmmag.ru</t>
  </si>
  <si>
    <t>www.szmetal.ru</t>
  </si>
  <si>
    <t>Голенкин Валерий Сергеевич (2 209 000 руб., 88.36%)
Голенкина Лидия Николаевна (145 500 руб., 5.82%)
Голенкина Юлия Николаевна (145 500 руб., 5.82%)</t>
  </si>
  <si>
    <t>419 750 000</t>
  </si>
  <si>
    <t>sun-spb.ru</t>
  </si>
  <si>
    <t>Климов Игорь Николаевич (5 000 руб., 25%)
Климова Нина Александровна (5 000 руб., 25%)
Климова Татьяна Николаевна (5 000 руб., 25%)
Маричев Дмитрий Валентинович (5 000 руб., 25%)</t>
  </si>
  <si>
    <t>tarabrin@tvema.ru, tvema@tvema.ru</t>
  </si>
  <si>
    <t>www.tvema.ru</t>
  </si>
  <si>
    <t>164 200 000</t>
  </si>
  <si>
    <t>abarannik@fesco.com, info@transgarant.com, memelyanova@fesco.com</t>
  </si>
  <si>
    <t>www.transgarant.ru</t>
  </si>
  <si>
    <t>ДВМП, ПАО (3 371 377 500 руб., 91.20%)
ЮСТЕЙША ФИНАНС ЛИМИТЕД (325 472 500 руб., 8.80%)</t>
  </si>
  <si>
    <t>asraskin@firmates.com, fiirm.tes@mail.ru, firm.res@mail.ru, firm.tes@vail.ru, firm.test@mail.ru, firma.tes@mail.ru, gl.buh@td-tes.com, referent@td_tes.com</t>
  </si>
  <si>
    <t>Пурим Люция Федоровна (27 000 000 руб., 30%)
Бейм Геннадий Айзикович (22 500 000 руб., 25%)
Бейм Любовь Сергеевна (20 250 000 руб., 22.50%)
Бейм Эдуард Геннадиевич (20 250 000 руб., 22.50%)</t>
  </si>
  <si>
    <t>b2b@fim.ltd, info@epsmarket.ru, info@everydaysale.ru, info@fim.ltd, info@homeandcook.ru, info@homeandcook.shop, info@shop.krups.ru</t>
  </si>
  <si>
    <t>braun.shop, delonghi.ru, kenwood.ru, remington.shop, www.msi.ru.com</t>
  </si>
  <si>
    <t>Плаксин Максим Георгиевич (10 000 руб., 100%)</t>
  </si>
  <si>
    <t>corp@f-t-d.ru, tsaritsyno@f-t-d.ru</t>
  </si>
  <si>
    <t>www.tsaritsyno.ru</t>
  </si>
  <si>
    <t>finm@grippferon.ru, firnm@grippferon.ru</t>
  </si>
  <si>
    <t>firnm.ru</t>
  </si>
  <si>
    <t>ИННОВАЦИОННАЯ ФИРМА МАРК, ООО (5 500 000 руб., 100%)</t>
  </si>
  <si>
    <t>2 698 680 000</t>
  </si>
  <si>
    <t>aaegorov@fesco.com, sales@fesco.com, salesvvo@fesco.com</t>
  </si>
  <si>
    <t>www.fesco.ru</t>
  </si>
  <si>
    <t>ДВМП, ПАО (100 000 руб., 100%)</t>
  </si>
  <si>
    <t>2 805 240 000</t>
  </si>
  <si>
    <t>fitnes@bombbar.ru</t>
  </si>
  <si>
    <t>Производство диетических пищевых продуктов</t>
  </si>
  <si>
    <t>786 700 000</t>
  </si>
  <si>
    <t>dalashin@gmail.com</t>
  </si>
  <si>
    <t>www.fito-system.ru</t>
  </si>
  <si>
    <t>Лашин Александр Павлович (3 000 руб., 30%)
Соколов Игорь Сергеевич (3 000 руб., 30%)
Лашин Дмитрий Александрович (2 500 руб., 25%)
Соколов Максим Игоревич (1 500 руб., 15%)</t>
  </si>
  <si>
    <t>7 120 000</t>
  </si>
  <si>
    <t>fito@mail.ru, info@fitocosmetic.ru</t>
  </si>
  <si>
    <t>fitocosmetic.ru, www.fitokosmetik.ru</t>
  </si>
  <si>
    <t>Волков Константин Владимирович (10 000 руб., 100%)</t>
  </si>
  <si>
    <t>25 140 000</t>
  </si>
  <si>
    <t>inf@ostrovfish.ru, info@fishisland.com, vf@ostrovfish.ru</t>
  </si>
  <si>
    <t>fishisland.info</t>
  </si>
  <si>
    <t>Дюднев Данила Сергеевич (21 000 000 руб., 70%)
Жаднов Александр Александрович (9 000 000 руб., 30%)</t>
  </si>
  <si>
    <t>252 320 000</t>
  </si>
  <si>
    <t>iburlak@av.ru</t>
  </si>
  <si>
    <t>avikon-fk.ru</t>
  </si>
  <si>
    <t>Комаров Олег Сергеевич (1 565 000 руб., 40%)
Вавилова Екатерина Васильевна (1 330 250 руб., 34%)
Вавилов Илья Робертович (508 625 руб., 13%)
Елисеев Александр Олегович (508 625 руб., 13%)</t>
  </si>
  <si>
    <t>28 160 000</t>
  </si>
  <si>
    <t>y4q6@yandex.ru</t>
  </si>
  <si>
    <t>Лях Данил Владимирович (10 000 руб., 100%)</t>
  </si>
  <si>
    <t>ekitaeva@grand-capital.pro</t>
  </si>
  <si>
    <t>ФК ГРАНД КАПИТАЛ, ООО (10 000 руб., 100%)</t>
  </si>
  <si>
    <t>mak-svetlana@mail.ru, mari007@mail.ru, minaeva@grand-capital.pro, smakarova@grand-capital.pro</t>
  </si>
  <si>
    <t>ФК ГРАНД КАПИТАЛ, ООО (6 000 000 руб., 100%)</t>
  </si>
  <si>
    <t>epershina@grand-capital.net, fkgv@ya.ru, mailtotendervrz@grandcapital.pro, tender.vrz@grandcapital.pro, ytiptyuk@grand-capital.pro</t>
  </si>
  <si>
    <t>a.russkih@lenta.ru</t>
  </si>
  <si>
    <t>grand-capital.ru</t>
  </si>
  <si>
    <t>ФК ГРАНД КАПИТАЛ, ООО (16 000 000 руб., 100%)</t>
  </si>
  <si>
    <t>ngolovina@grand-capital.pro</t>
  </si>
  <si>
    <t>ФК ГРАНД КАПИТАЛ, ООО (8 000 000 руб., 100%)</t>
  </si>
  <si>
    <t>yboldyreva@grand-capital.net</t>
  </si>
  <si>
    <t>ФК ГРАНД КАПИТАЛ, ООО (11 000 000 руб., 100%)</t>
  </si>
  <si>
    <t>nsk@grand-capital.net</t>
  </si>
  <si>
    <t>barskiy@grand-capital.pro, mshilnova@grand-capital.pro, semenskaya@grand-capital.pro</t>
  </si>
  <si>
    <t>ФК ГРАНД КАПИТАЛ, ООО (10 000 000 руб., 100%)</t>
  </si>
  <si>
    <t>eromanenkova@grand-capital.pro</t>
  </si>
  <si>
    <t>ggaraeva@grand-capital.pro, zhevna@gmail.pro, zhevna@grand-capital.pro</t>
  </si>
  <si>
    <t>isurskaya@grand-capital.pro</t>
  </si>
  <si>
    <t>https://grand-capital.ru/</t>
  </si>
  <si>
    <t>ФК ГРАНД КАПИТАЛ, ООО (4 000 000 руб., 100%)</t>
  </si>
  <si>
    <t>grand11@mail.ru, info@grand-capital.ru, mfomin@grand-capital.pro, teder@mail.ru, tender@grand-capital.pro</t>
  </si>
  <si>
    <t>www.grand-capital.ru</t>
  </si>
  <si>
    <t>Ременяко Денис Владимирович (182 000 000 руб., 91%)
КОМПАНИЯ С ОГРАНИЧЕННОЙ ОТВЕТСТВЕННОСТЬЮ "ОБЛАДА ЭНТЕРПРАЙЗЕС ЛИМИТЕД" (18 000 000 руб., 9%)</t>
  </si>
  <si>
    <t>185 920 000</t>
  </si>
  <si>
    <t>info@fcdinamo.su, info@fcdm.ru, office@fcdm.ru, office@fcdynamo.ru, recruitment@fcdm.ru, tickets@fcdm.ru</t>
  </si>
  <si>
    <t>fcdynamo.ru</t>
  </si>
  <si>
    <t>Деятельность спортивных объектов</t>
  </si>
  <si>
    <t>vostrenkova@mail.ru</t>
  </si>
  <si>
    <t>fc-zenit.ru</t>
  </si>
  <si>
    <t>alferova@fclm.ru, belykh@fclm.ru, info@fclm.ru</t>
  </si>
  <si>
    <t>www.fclm.ru</t>
  </si>
  <si>
    <t>Деятельность в области спорта</t>
  </si>
  <si>
    <t>82352@mail.ru, e.maksimova@puls.ru, e.zhukova@puls.ru, fkpuls@mail.ru, info@fkpuls.ru, info@polza.ru, info@puls.ru, kabaeva@puls.ru, msirotin@mail.ru, n.melnikova@puls.ru</t>
  </si>
  <si>
    <t>www.puls.ru</t>
  </si>
  <si>
    <t>Нетылько Эдуард Петрович (1 980 000 руб., 99%)
Нетылько Лариса Михайловна (20 000 руб., 1%)</t>
  </si>
  <si>
    <t>1 486 000 000</t>
  </si>
  <si>
    <t>zotievrb@spartak.com</t>
  </si>
  <si>
    <t>store.spartak.com, www.spartak.com</t>
  </si>
  <si>
    <t>a.rogachev@fkkgroup.ru</t>
  </si>
  <si>
    <t>fkkgroup.ru</t>
  </si>
  <si>
    <t>Фадеев Владислав Евгеньевич (1 000 000 руб., 100%)</t>
  </si>
  <si>
    <t>226 460 000</t>
  </si>
  <si>
    <t>office@senegskaya.ru</t>
  </si>
  <si>
    <t>www.senegskaya.ru</t>
  </si>
  <si>
    <t>Бобылев Сергей Вячеславович (10 000 руб., 100%)</t>
  </si>
  <si>
    <t>3 000 000</t>
  </si>
  <si>
    <t>adizov1@yandex.ru</t>
  </si>
  <si>
    <t>Адизов Равшан Ибрагимович (25 000 руб., 100%)</t>
  </si>
  <si>
    <t>5 030 000</t>
  </si>
  <si>
    <t>ФЛЕКС МИДЛ ИСТ ФЗЭ (1 613 992 382.6 руб., 100%)
Кхан Джунаид Икбал (10 руб.)</t>
  </si>
  <si>
    <t>493 910 000</t>
  </si>
  <si>
    <t>alena@flexoprint.msk.ru, flexo@flexoprint.msk.ru</t>
  </si>
  <si>
    <t>Сиенко Олег Викторович (8 000 руб., 80%)
Прокопенко Николай Николаевич (2 000 руб., 20%)</t>
  </si>
  <si>
    <t>78 380 000</t>
  </si>
  <si>
    <t>ebibikova@flotnmtp.ru, info@flotnmtp.ru</t>
  </si>
  <si>
    <t>994 540 000</t>
  </si>
  <si>
    <t>flat-co@mail.ru</t>
  </si>
  <si>
    <t>www.flatco.ru</t>
  </si>
  <si>
    <t>ПЕНТИКЭР ТРЕЙДИНГ ЛИМИТЕД (PENTIKAR TRADING LIMITED) (773 429 579.31 руб., 64%)
Майстренко Дмитрий Евгеньевич (435 054 138.36 руб., 36%)</t>
  </si>
  <si>
    <t>54 470 000</t>
  </si>
  <si>
    <t>flash@flash.ru, n.borovlev@flash.ru, n.negorova@flash.ru, n.negovorova@flash.ru, n.negovorova@flesh.ru</t>
  </si>
  <si>
    <t>Фролов Алексей Валентинович (185 000 руб., 100%)</t>
  </si>
  <si>
    <t>fmlogistic@fmlogistic.com</t>
  </si>
  <si>
    <t>www.fmlogistic.com</t>
  </si>
  <si>
    <t>374 510 000</t>
  </si>
  <si>
    <t>КОМПАНИЯ ГЛИНСТАУН ИНТЕРНЕШНЛ ПТЕ. ЛТД. (990 000 руб., 99%)
Отаров Михаил Дмитриевич (10 000 руб., 1%)</t>
  </si>
  <si>
    <t>chirkov@fmrus.ru, secretary@fmrus.ru</t>
  </si>
  <si>
    <t>www.fmrus.ru</t>
  </si>
  <si>
    <t>144 180 000</t>
  </si>
  <si>
    <t>anton.zhelapov@yandex.ru, info@ferronordic.com, info@sqn-law.ru, techsupport@ferronordic.ru, warranty@ferronordic.ru</t>
  </si>
  <si>
    <t>www.ferronordic.com</t>
  </si>
  <si>
    <t>ФН УПРАВЛЕНИЕ АКТИВАМИ, ООО (8 010 000 руб., 100%)</t>
  </si>
  <si>
    <t>2 560 930 000</t>
  </si>
  <si>
    <t>ФН УПРАВЛЕНИЕ АКТИВАМИ, ООО (8 810 000 руб., 100%)</t>
  </si>
  <si>
    <t>837 190 000</t>
  </si>
  <si>
    <t>ФОДД, АО (51 000 руб., 51%)
Веденеев Василий Евгеньевич (39 000 руб., 39%)
Цуркан Александр Сергеевич (10 000 руб., 10%)</t>
  </si>
  <si>
    <t>68 720 000</t>
  </si>
  <si>
    <t>info@fodd.ru, ogromov.fodd@gmail.com</t>
  </si>
  <si>
    <t>www.fodd.ru</t>
  </si>
  <si>
    <t>ФОДД ХОЛДИНГ, ООО (600 000 руб.)</t>
  </si>
  <si>
    <t>reception@volkswagen.ru</t>
  </si>
  <si>
    <t>www.volkswagengrouprus.ru</t>
  </si>
  <si>
    <t>ФОЛЬКСВАГЕН ФИНАНС ЛЮКСЕМБУРГ С.А. (VOLKSWAGEN FINANCE LUXEMBURG S.A.) (4 331 011 744.91 руб., 55.14%)
"ФОЛЬКСВАГЕН АКЦИЕНГЕЗЕЛЬШАФТ" (2 203 993 281.86 руб., 28.06%)
"ШКОДА АВТО А.С." (1 319 568 322.71 руб., 16.80%)</t>
  </si>
  <si>
    <t>1 690 400 000</t>
  </si>
  <si>
    <t>ХИМЛАЙН, ООО (277 812 278 руб., 99.99%)
Сербинов Игорь Александрович (20 202 руб., 0.010%)</t>
  </si>
  <si>
    <t>1 648 040 000</t>
  </si>
  <si>
    <t>t.nesterova@fond-service.ru</t>
  </si>
  <si>
    <t>www.fond-service.ru</t>
  </si>
  <si>
    <t>КЛИР ЦЕНТР, АО (1 200 012 000 руб., 100%)</t>
  </si>
  <si>
    <t>1 078 850 000</t>
  </si>
  <si>
    <t>fets-ek@foratec.com, i.maksimov@foratec-com.ru, i.maksimov@foratec.com</t>
  </si>
  <si>
    <t>fets.ru</t>
  </si>
  <si>
    <t>godunova_a@gk-forward.com</t>
  </si>
  <si>
    <t>www.gk-forward.com</t>
  </si>
  <si>
    <t>oooskforvard@mail.ru</t>
  </si>
  <si>
    <t>Бормотов Илья Александрович (13 770 руб., 51%)
МКМ, ООО (13 230 руб., 49%)</t>
  </si>
  <si>
    <t>2 890 000</t>
  </si>
  <si>
    <t>info@forward59.ru, rus@forward59.ru, td@forward59.ru</t>
  </si>
  <si>
    <t>Рыжаков Юрий Вячеславович (6 000 000 руб., 60%)
Коняева Наталия Анатольевна (4 000 000 руб., 40%)</t>
  </si>
  <si>
    <t>glbuh_agc@forward59.ru, korobeynikov@forward59.ru</t>
  </si>
  <si>
    <t>https://forvard-surgut.lada.ru/</t>
  </si>
  <si>
    <t>Бахтияров Рустам Рафаилович (22 020 000 руб., 100%)</t>
  </si>
  <si>
    <t>52 010 000</t>
  </si>
  <si>
    <t>sitdikova@tk-forward.com</t>
  </si>
  <si>
    <t>Онегова Юлия Владимировна (5 000 000 руб., 50%)
Рамазанова Наталья Владимировна (5 000 000 руб., 50%)</t>
  </si>
  <si>
    <t>natalia.subbotina@faurecia.com</t>
  </si>
  <si>
    <t>АКЦИОНЕРНОЕ ОБЩЕСТВО УПРОЩЕННОГО ТИПА "ФОРЕСИА ИНВЕСТМЕНТС" (413 738 000 руб., 100%)</t>
  </si>
  <si>
    <t>forest7800@mail.ru</t>
  </si>
  <si>
    <t>Мусатова Ольга Евгеньевна (10 000 руб., 100%)</t>
  </si>
  <si>
    <t>9 050 000</t>
  </si>
  <si>
    <t>НЕВСКАЯ БУМАГА, ООО (20 000 руб., 100%)</t>
  </si>
  <si>
    <t>66 060 000</t>
  </si>
  <si>
    <t>dpo02@tsnm.ru, info@nashmagazin.ru, sale@foodretail.ru, sale@fооdretail.ru</t>
  </si>
  <si>
    <t>НАШ МАГАЗИН, ООО (490 000 руб., 98%)
Шадрин Дмитрий Юрьевич (5 000 руб., 1%)
Шкуренко Виктор Васильевич (5 000 руб., 1%)</t>
  </si>
  <si>
    <t>format-sk.ru@yandex.ru, format.format.sk@gmail.com</t>
  </si>
  <si>
    <t>Петров Василий Борисович (5 000 000 руб., 100%)</t>
  </si>
  <si>
    <t>560 000</t>
  </si>
  <si>
    <t>formula.auto.pius@tandex.ru, formula.auto.plus@yandex.ru, formula.avto.plus@yandex.ru, ormula.auto.plus@yandex.ru</t>
  </si>
  <si>
    <t>Горохов Владимир Анатольевич (10 000 руб., 100%)</t>
  </si>
  <si>
    <t>55 250 000</t>
  </si>
  <si>
    <t>СИЛАНИ, АО (38 040 000 руб., 47.55%)
ЗОЛЕКС, АО (37 960 000 руб., 47.45%)
КОМПАНИЯ С ОГРАНИЧЕННОЙ ОТВЕТСТВЕННОСТЬЮ "ДЖОУМАЭ ЛИМИТЕД" (JOMAHE LIMITED) (4 000 000 руб., 5%)</t>
  </si>
  <si>
    <t>327 170 000</t>
  </si>
  <si>
    <t>Насыров Шавкат Мухлисович (2 000 000 руб., 100%)</t>
  </si>
  <si>
    <t>17 080 000</t>
  </si>
  <si>
    <t>develop@fors.ru, etorgi@fors.ru, evgeny.efimenko@fors.ru, jfokina@fors.ru, support@fors.ru</t>
  </si>
  <si>
    <t>Голосов Алексей Олегович (3 050 000 руб., 100%)</t>
  </si>
  <si>
    <t>156 760 000</t>
  </si>
  <si>
    <t>fedorova@autokontinent.ru, spb@autokontinent.ru</t>
  </si>
  <si>
    <t>www.autokontinent.ru</t>
  </si>
  <si>
    <t>Союзнов Сергей Викторович (510 000 руб., 51%)
Орехов Виктор Владимирович (490 000 руб., 49%)</t>
  </si>
  <si>
    <t>679 850 000</t>
  </si>
  <si>
    <t>fortooo16@yandex.ru, info@fort-bt.ru</t>
  </si>
  <si>
    <t>НАЦИМБИО, АО (399 960 000 руб., 99.99%)
ФОРАФАРМ, ООО (40 000 руб., 0.010%)</t>
  </si>
  <si>
    <t>4 053 680 000</t>
  </si>
  <si>
    <t>11299290@mail.ru, 24@zdravcity.ru, a_yaskevich@ekb.protek.ru, alpats@protek.ru, aoprotec@mail.ru, artemeva@krasnoyarsk.protek.ru, as__nikonova@protek.ru, ayu_kld@protek.ru, bovtun@protek.ru, cv@novosibirsk.protek.ru</t>
  </si>
  <si>
    <t>www.protek.ru</t>
  </si>
  <si>
    <t>ПРОТЕК, АО (100 000 000 руб.)</t>
  </si>
  <si>
    <t>chirkova@fortemetals.ru, info@fortemetals.ru, vadim-nadzor@yandex.ru</t>
  </si>
  <si>
    <t>www.fortemetals.ru</t>
  </si>
  <si>
    <t>Денисов Александр Владимирович (9 250 руб., 92.50%)
Белоусов Сергей Николаевич (750 руб., 7.50%)</t>
  </si>
  <si>
    <t>Производство радиаторов</t>
  </si>
  <si>
    <t>159 980 000</t>
  </si>
  <si>
    <t>3448049188_344801001@eo.tensor.ru, buhgal@forteprom.ru, info@forteprom.ru</t>
  </si>
  <si>
    <t>https://forteprom.ru/</t>
  </si>
  <si>
    <t>Денисов Александр Владимирович (4 375 000 руб., 87.50%)
Белоусов Сергей Николаевич (375 000 руб., 7.50%)
Винокуров Роман Владимирович (250 000 руб., 5%)</t>
  </si>
  <si>
    <t>37 270 000</t>
  </si>
  <si>
    <t>tdforte.ru, www.forteholding.biz</t>
  </si>
  <si>
    <t>Денисов Александр Владимирович (9 447.17 руб., 89.50%)
Белоусов Сергей Николаевич (527.77 руб., 5%)
Острецов Олег Алексеевич (263.9 руб., 2.50%)
Василенко Ксения Валентиновна (158.33 руб., 1.50%)
Игнатов Руслан Олегович (158.33 руб., 1.50%)</t>
  </si>
  <si>
    <t>334 350 000</t>
  </si>
  <si>
    <t>info@forteinvest.ru</t>
  </si>
  <si>
    <t>forteinvest.ru</t>
  </si>
  <si>
    <t>cymulate@fortis.ru, info@company24.com, welcome@fortis.ru</t>
  </si>
  <si>
    <t>Монахов Константин Викторович (10 000 руб., 70%)
Чачава Александр Анатольевич (4 285.71 руб., 30%)</t>
  </si>
  <si>
    <t>Деятельность в области защиты информации и обеспечения безопасности критической информационной инфраструктуры</t>
  </si>
  <si>
    <t>fortum@fortum.ru, ksenia.belykh@fortum.com</t>
  </si>
  <si>
    <t>www.fortum.ru</t>
  </si>
  <si>
    <t>Fortum Russia B.V. (69.88%)
Fortum Holding B.V. (28.34%)</t>
  </si>
  <si>
    <t>6 637 870 000</t>
  </si>
  <si>
    <t>buh_zp2@ooofortuna.info</t>
  </si>
  <si>
    <t>БЕТСИТИ, ООО (203 985 900 руб., 99%)
Самсоненко Раиса Андреевна (2 060 464 руб., 1%)</t>
  </si>
  <si>
    <t>1 195 290 000</t>
  </si>
  <si>
    <t>Билал Джемил (12 000 руб., 100%)</t>
  </si>
  <si>
    <t>2 570 000</t>
  </si>
  <si>
    <t>www.forumgroup.ru</t>
  </si>
  <si>
    <t>141 340 000</t>
  </si>
  <si>
    <t>secret@forum-gd.ru</t>
  </si>
  <si>
    <t>forum-gd.ru</t>
  </si>
  <si>
    <t>22 600 000</t>
  </si>
  <si>
    <t>info@foresltd.com</t>
  </si>
  <si>
    <t>Шмотьев Сергей Федорович (1 752 354 руб., 69.60%)
Шмотьев Александр Сергеевич (503 550 руб., 20%)
Плинер Александр Сергеевич (261 846 руб., 10.40%)</t>
  </si>
  <si>
    <t>ekonovalova@phosagro.ru, ir@phosagro.ru</t>
  </si>
  <si>
    <t>http://www.phosagro.ru/ori/item4157.php, www.phosagro.ru</t>
  </si>
  <si>
    <t>АДОРАБЕЛЛА, МКООО (23.35%)
Литвиненко Татьяна (20.60%)
ХЛОДВИГ ЭНТЕРПРАЙЗЕС, МКООО (20.31%)
Рыбников Михаил Константинович (0.026%)
Родионов Иван Иванович (0.0064%)
Иванов Виктор Петрович (0.0013%)</t>
  </si>
  <si>
    <t>eborzykh@phosagro.ru</t>
  </si>
  <si>
    <t>www.phosagro.ru</t>
  </si>
  <si>
    <t>ФОСАГРО-РЕГИОН, ООО (1 392 939 руб., 100%)</t>
  </si>
  <si>
    <t>915 870 000</t>
  </si>
  <si>
    <t>plodorodie@sinn.ru, volga@phosagro.ru</t>
  </si>
  <si>
    <t>ФОСАГРО-РЕГИОН, ООО (10 000 руб., 100%)</t>
  </si>
  <si>
    <t>955 600 000</t>
  </si>
  <si>
    <t>don@phosagro.ru</t>
  </si>
  <si>
    <t>ФОСАГРО-РЕГИОН, ООО (4 438 438 руб., 100%)</t>
  </si>
  <si>
    <t>1 120 530 000</t>
  </si>
  <si>
    <t>info@regionagrokuban.ru, kuban@phosagro.ru</t>
  </si>
  <si>
    <t>ФОСАГРО-РЕГИОН, ООО (860 587.5 руб., 100%)</t>
  </si>
  <si>
    <t>1 538 360 000</t>
  </si>
  <si>
    <t>info@ra-kursk.ru</t>
  </si>
  <si>
    <t>ФОСАГРО-РЕГИОН, ООО (3 122 571.42 руб., 100%)</t>
  </si>
  <si>
    <t>792 340 000</t>
  </si>
  <si>
    <t>ФОСАГРО-РЕГИОН, ООО (4 910 000 руб., 100%)</t>
  </si>
  <si>
    <t>445 320 000</t>
  </si>
  <si>
    <t>orel@phosagro.ru, regionagroorel@mail.ru</t>
  </si>
  <si>
    <t>ФОСАГРО-РЕГИОН, ООО (3 011 472 руб., 100%)</t>
  </si>
  <si>
    <t>949 820 000</t>
  </si>
  <si>
    <t>ФОСАГРО-РЕГИОН, ООО (1 000 000 руб., 100%)</t>
  </si>
  <si>
    <t>1 521 700 000</t>
  </si>
  <si>
    <t>info@ra-stavr.nichost.ru</t>
  </si>
  <si>
    <t>ФОСАГРО-РЕГИОН, ООО (710 000 руб., 100%)</t>
  </si>
  <si>
    <t>883 050 000</t>
  </si>
  <si>
    <t>ФОСАГРО-РЕГИОН, ООО (2 000 000 руб., 100%)</t>
  </si>
  <si>
    <t>418 390 000</t>
  </si>
  <si>
    <t>kondratev_ag@fosforel.ru, panova@fosforel.ru</t>
  </si>
  <si>
    <t>www.fosforel.ru</t>
  </si>
  <si>
    <t>Макшанцев Николай Александрович (10 000 руб., 100%)</t>
  </si>
  <si>
    <t>25 240 000</t>
  </si>
  <si>
    <t>office@fosfohim.ru</t>
  </si>
  <si>
    <t>tender1@energocontract.ru, tender@energocontract.ru</t>
  </si>
  <si>
    <t>biostop.org, www.energocontract.com, www.energocontract.ru</t>
  </si>
  <si>
    <t>aofpk@mail.ru, bagaturiyata@fpc.ru, belovsa@wsr.ru, debunovav@fpc.ru, delo@fpe.ru, delo@fpk.ru, emiroshnikova@fpc.ru, etk.kras24@mail.ru, gzha_dmitrievaio@grw.ru, gzha_ladilovani@grw.ru</t>
  </si>
  <si>
    <t>РЖД, ОАО (99.99%)
РЖД УПРАВЛЕНИЕ АКТИВАМИ, АО (0.0000000010%)</t>
  </si>
  <si>
    <t>fjv-sekretar@rambler.ru, office@fj-volga.com</t>
  </si>
  <si>
    <t>k1-holding.ru, www.fj-volga.com</t>
  </si>
  <si>
    <t>Колосов Дмитрий Сергеевич (1 000 000 руб., 100%)</t>
  </si>
  <si>
    <t>185 640 000</t>
  </si>
  <si>
    <t>office@fj-stroy.com</t>
  </si>
  <si>
    <t>fj-stroy.ru</t>
  </si>
  <si>
    <t>К 1, ООО (990 000 руб., 99%)
Колосов Дмитрий Сергеевич (10 000 руб., 1%)</t>
  </si>
  <si>
    <t>75 440 000</t>
  </si>
  <si>
    <t>info@fresenius-kabi.ru</t>
  </si>
  <si>
    <t>www.fresenius-kabi.com</t>
  </si>
  <si>
    <t>ООО "ФРЕЗЕНИУС КАБИ ДОЙЧАНД ГМБХ" (3 590 100 руб., 99.73%)
"ФРЕЗЕНИУС КАБИ" АКЦИЕНГЕЗЕЛЬШАФТ (9 900 руб., 0.28%)</t>
  </si>
  <si>
    <t>253 150 000</t>
  </si>
  <si>
    <t>www.nova-med.eu</t>
  </si>
  <si>
    <t>Нова Мед ГмбХ Фертрибсгезельшафт фюр медициништехнише Герете унд Фербраухсартикель (2 999 000 руб., 99.97%)
"НЕЙШНЕЛ МЕДИКАЛ КЕА (ДОЙЧЛАНД) ГМБХ" (1 000 руб., 0.030%)</t>
  </si>
  <si>
    <t>fresenius@sp.ru, frezen@mail.ru, frezenius@mail.ru, julia.apatova@fmc-ag.ru, office@fresenius.ru</t>
  </si>
  <si>
    <t>www.fresenius.ru</t>
  </si>
  <si>
    <t>ФРЕЗЕНИУС МЕДИКАЛ КЕА БЕТАЙЛИГУНГЗГЕЗЕЛЬШАФТ МБХ (2 050 руб., 100%)</t>
  </si>
  <si>
    <t>40 750 000</t>
  </si>
  <si>
    <t>brisin@ponyexpress.ru, diry@ponyexpress.ru, mv.brisin@ponyexpress.ru, on.savinov@ponyexpress.ru, specbilling@ponyexpress.ru</t>
  </si>
  <si>
    <t>www.ponyexpress.ru</t>
  </si>
  <si>
    <t>Мигаль Денис Эдуардович (10 000 руб., 100%)</t>
  </si>
  <si>
    <t>a.menkov@freshauto.ru, d.borodaev@freshauto.ru, fytrv@mail.ru, s.lagutin@freshauto.ru, t.suslina@freshauto.ru</t>
  </si>
  <si>
    <t>61 170 000</t>
  </si>
  <si>
    <t>market-da.ru</t>
  </si>
  <si>
    <t>О КЕЙ, ООО (510 010 000 руб., 100%)</t>
  </si>
  <si>
    <t>may-group.ru</t>
  </si>
  <si>
    <t>КОМПАНИЯ "РИЛВЕС ЛИМИТЕД" (10 000 руб., 100%)</t>
  </si>
  <si>
    <t>Торговля розничная мясом и мясными продуктами в специализированных магазинах</t>
  </si>
  <si>
    <t>amuraviei@frigoglass.com, frigo-finance@valley.ru</t>
  </si>
  <si>
    <t>www.frigoglass.com</t>
  </si>
  <si>
    <t>ОБЩЕСТВО С ОГРАНИЧЕННОЙ ОТВЕТСТВЕННОСТЬЮ "ФРИГОИНВ (154 079 637 руб., 99.99%)
Общество с ограниченной ответственностью "ФРИГОРЕК (61 110 руб., 0.010%)</t>
  </si>
  <si>
    <t>427 700 000</t>
  </si>
  <si>
    <t>АПХ МИРАТОРГ, ООО (665 000 000 руб., 100%)</t>
  </si>
  <si>
    <t>93 160 000</t>
  </si>
  <si>
    <t>moscow.reception@intel.pepsico.com, moscow.reception@pepsico.com</t>
  </si>
  <si>
    <t>www.fritolay.ru, www.lays.ru, www.pepsico.ru</t>
  </si>
  <si>
    <t>"СВИ РОССИЯ ХОЛДИНГС ГМБХ" (11 633 942 243.91 руб., 99.87%)
Frito-Lay Trading Company (Europe) GmbH (14 600 000 руб., 0.13%)</t>
  </si>
  <si>
    <t>489 860 000</t>
  </si>
  <si>
    <t>bm.info.rus@freudenberg-pm.com, e.soloveva@politex.com, russia@politex.com</t>
  </si>
  <si>
    <t>www.freudenberg-group.ru, www.freudenberg-pm.com, www.freudenberg.com, www.freudenbergpolitex.com</t>
  </si>
  <si>
    <t>ФВ БЕТАЙЛИГУНГС-ГМБХ (226 450 560 руб., 80%)
ПОЛИТЕКС С.А.С. ДИ ФРОЙДЕНБЕРГ ПОЛИТЕКС С.Р.Л. (56 612 640 руб., 20%)</t>
  </si>
  <si>
    <t>1 036 250 000</t>
  </si>
  <si>
    <t>oksana.kislova1@ru.froneri.com</t>
  </si>
  <si>
    <t>FRONERI INTERNATIONAL LIMITED (1 680 002 000 руб., 99.88%)
РУБИ АКВИЗИШНС ЛИМИТЕД (1 998 000 руб., 0.12%)</t>
  </si>
  <si>
    <t>1 280 380 000</t>
  </si>
  <si>
    <t>232001001@mail.ru, ooofrutella@mail.ru</t>
  </si>
  <si>
    <t>Кочубеева Валентина Леонидовна (310 000 руб., 100%)</t>
  </si>
  <si>
    <t>n.krivenko@cersanit.ru</t>
  </si>
  <si>
    <t>cersanit.ru, www.cersanit.com.pl</t>
  </si>
  <si>
    <t>САНГРЕ ИНТЕРНЕЙШНЛ ЛТД (196 325 336 руб., 100%)</t>
  </si>
  <si>
    <t>126 760 000</t>
  </si>
  <si>
    <t>container@sotrans.ru, sancho1990@bk.ru</t>
  </si>
  <si>
    <t>Кабанова Мария Владимировна (435 000 руб., 100%)</t>
  </si>
  <si>
    <t>popova@foodteamco.ru</t>
  </si>
  <si>
    <t>Попова Олеся Геннадьевна (90 000 руб., 90%)
Ковалева Татьяна Геннадьевна (10 000 руб., 10%)</t>
  </si>
  <si>
    <t>mrcoon@yandex.ru, polyanskiyov@dalimo.ru</t>
  </si>
  <si>
    <t>ТРЕЙД ИНВЕСТ, АО (100 000 руб., 100%)</t>
  </si>
  <si>
    <t>61 500 000</t>
  </si>
  <si>
    <t>info-yar@fuchs-oil.ru, svetlana.ivanova@fuchs-oil.ru</t>
  </si>
  <si>
    <t>www.fuchs-oil.ru, www.fuchs.com</t>
  </si>
  <si>
    <t>Акционерное общество ФУКС ПЕТРОЛУБ СЕ (2 880 900 руб., 99%)
Общество с ограниченной ответственностью ФУКС Фина (29 100 руб., 1%)</t>
  </si>
  <si>
    <t>126 190 000</t>
  </si>
  <si>
    <t>marinavk@funderuwa.ru</t>
  </si>
  <si>
    <t>funderuwa.ru</t>
  </si>
  <si>
    <t>СОКОЛ-ЯР, АО (124 325 041.76 руб., 51%)
ЭЛМА, ООО-ФИРМА (119 449 549.92 руб., 49%)</t>
  </si>
  <si>
    <t>215 980 000</t>
  </si>
  <si>
    <t>385633@mail.ru, dolgovagro@mail.ru</t>
  </si>
  <si>
    <t>Долгов Александр Александрович (11 000 руб., 100%)</t>
  </si>
  <si>
    <t>341 040 000</t>
  </si>
  <si>
    <t>fckrasnodar.ru</t>
  </si>
  <si>
    <t>Галицкий Сергей Николаевич (10 000 руб., 66.67%)
ОБЪЕДИНЕННЫЙ КАПИТАЛ, АО (5 000 руб., 33.33%)</t>
  </si>
  <si>
    <t>Деятельность спортивных клубов</t>
  </si>
  <si>
    <t>2010.1401@mail.ru</t>
  </si>
  <si>
    <t>АКЦИОНЕРНАЯ КОМПАНИЯ С ОГРАНИЧЕННОЙ ОТВЕТСТВЕННОСТЬЮ "ИНДУСТРИАЛЬНАЯ КОРПОРАЦИЯ СТЕКЛО ФУЯО" (5 332 574 197.16 руб., 100%)</t>
  </si>
  <si>
    <t>598 390 000</t>
  </si>
  <si>
    <t>Васильев Евгений Арнольдович (6 930 руб., 69.30%)
TEXPOR ENTERPRISES LIMITED (2 070 руб., 20.70%)
Янкелевич Владимир Эдуардович (1 000 руб., 10%)</t>
  </si>
  <si>
    <t>499 540 000</t>
  </si>
  <si>
    <t>fm-azs.ru</t>
  </si>
  <si>
    <t>Тарасов Павел Павлович (1 010 000 руб., 100%)</t>
  </si>
  <si>
    <t>386 510 000</t>
  </si>
  <si>
    <t>info@fes-agro.ru, it@fes-agro.ru</t>
  </si>
  <si>
    <t>фэс-агро.рф</t>
  </si>
  <si>
    <t>Михайлов Александр Владимирович (70 000 000 руб., 100%)</t>
  </si>
  <si>
    <t>khtc@transbunker.com</t>
  </si>
  <si>
    <t>www.xtk-khv.ru</t>
  </si>
  <si>
    <t>ХК ТРБ , ООО ТРБХ, ООО (142 500 000 руб., 100%)</t>
  </si>
  <si>
    <t>916 680 000</t>
  </si>
  <si>
    <t>aleksandr.selivanov@hmmr.ru, rusprject@gwm.cn, sergey.kudryashov@hmmr.ru</t>
  </si>
  <si>
    <t>www.haval.ru</t>
  </si>
  <si>
    <t>КОМПАНИЯ С ОГРАНИЧЕННОЙ ОТВЕТСТВЕННОСТЬЮ ГРЕЙТ ВОЛЛ МОТОР (14 729 383 782.03 руб., 72.27%)
КОМПАНИЯ С ОГРАНИЧ ОТВЕТСТ-ТЬЮ ТАЙД ТЕКНОЛОДЖИ ЭНД ТРЕЙД (5 652 485 150.02 руб., 27.73%)</t>
  </si>
  <si>
    <t>haval.ru</t>
  </si>
  <si>
    <t>КОМПАНИЯ С ОГРАНИЧ ОТВЕТСТ-ТЬЮ ТАЙД ТЕКНОЛОДЖИ ЭНД ТРЕЙД (1 890 800 000 руб., 100%)</t>
  </si>
  <si>
    <t>e.shemyakina@mcclinics.ru</t>
  </si>
  <si>
    <t>mamadeti.ru</t>
  </si>
  <si>
    <t>МД МЕДИКАЛ ГРУП ИНВЕСТМЕНТС ПЛС (MD MEDICAL GROUP INVESTMENTS PLS) (5 167 890 579.26 руб., 100%)</t>
  </si>
  <si>
    <t>3 161 320 000</t>
  </si>
  <si>
    <t>irina.murzakaeva@haierrussia.c</t>
  </si>
  <si>
    <t>ХАР, ООО (2 114 114 788 руб., 100%)</t>
  </si>
  <si>
    <t>oganek87@gmail.com</t>
  </si>
  <si>
    <t>hl-group.ru</t>
  </si>
  <si>
    <t>Жамкочян Оганес Норайрович (50 000 руб., 100%)</t>
  </si>
  <si>
    <t>102 870 000</t>
  </si>
  <si>
    <t>sdlg.ru</t>
  </si>
  <si>
    <t>КОМПАНИЯ СИМ-АВТО, ООО (500 000 руб., 100%)</t>
  </si>
  <si>
    <t>www.heidelbergcement.ru</t>
  </si>
  <si>
    <t>ХАЙДЕЛЬБЕРГЦЕМЕНТ ЦЕНТРАЛ ЮРОП ИСТ ХОЛДИНГ Б.В. (6 375 703 350 руб., 100%)</t>
  </si>
  <si>
    <t>2 459 430 000</t>
  </si>
  <si>
    <t>account@hygienic.ru</t>
  </si>
  <si>
    <t>hugienic.ru, hygienic.ru</t>
  </si>
  <si>
    <t>lubov.vorobyova@drylocktechnologies.com, office@ht-company.ru, office@ht-comrany.ru, office@htc.nnov.ru, sales@htc.nnov.ru</t>
  </si>
  <si>
    <t>www.drylocktechnologies.com, www.ht-company.ru</t>
  </si>
  <si>
    <t>ИЧП с Ограниченной Ответственностью VYNKA (100 000 000 руб., 100%)</t>
  </si>
  <si>
    <t>hamal-pharm_info@bk.ru, mayalferova@mail.ru</t>
  </si>
  <si>
    <t>Чулгаев Алексей Владимирович (15 000 руб., 100%)</t>
  </si>
  <si>
    <t>85 420 000</t>
  </si>
  <si>
    <t>postmaster@hank00k.ru</t>
  </si>
  <si>
    <t>"ХАНКУК ТАЙР ЮРОП ХОЛДИНГЗ Б.В." (171 244 737.35 руб., 100%)</t>
  </si>
  <si>
    <t>177 600 000</t>
  </si>
  <si>
    <t>info@hansel.ru, mr.verik@hansel.ru, sv.tanina@hansel.ru, vv.proshkin@hansel.ru</t>
  </si>
  <si>
    <t>www.hansel.ru</t>
  </si>
  <si>
    <t>Прошкин Владимир Викторович (762 550 руб., 75.50%)
Верик Максим Романович (247 450 руб., 24.50%)</t>
  </si>
  <si>
    <t>14 510 000</t>
  </si>
  <si>
    <t>obninsk_acc@huntsman-nmg.com, obninsk_info@huntsman-nmg.com</t>
  </si>
  <si>
    <t>www.huntsman-nmg.com</t>
  </si>
  <si>
    <t>749 950 000</t>
  </si>
  <si>
    <t>info@ge-appliances.ru, info@haierrussia.com, info@haierrussia.ru, support@haieronline.ru, support@haierrussia.ru, v.odanets@haierrussia.ru</t>
  </si>
  <si>
    <t>haieronline.ru</t>
  </si>
  <si>
    <t>ХАЙЕР ЕВРОПА ЭППЛАЕНСЕС ХОЛДИНГ Б.В. (1 259 987 400 руб., 99.99%)
ХАЙЕР ЭЛЕКТРОНИК СЭЙЛЗ КО., ЛТД. (12 600 руб., 0.0010%)</t>
  </si>
  <si>
    <t>boris.tarasulla@harman.com, evgeny.konov@harman.com, grigory.parovichnikov@harman.com, info@harman.club, irina.borovskaya@harman.com, orders@harman.club</t>
  </si>
  <si>
    <t>harman.club, www.harmanpro.com</t>
  </si>
  <si>
    <t>КОММАНДИТНОЕ ТОВАРИЩЕСТВО "ХАРМАН ХОЛДИНГ ГМБХ И К (28 200 000 руб., 100%)</t>
  </si>
  <si>
    <t>1 557 340 000</t>
  </si>
  <si>
    <t>grozin2011@yandex.ru, mail@khlp.ru</t>
  </si>
  <si>
    <t>khlp.ru</t>
  </si>
  <si>
    <t>УК ВЛП, ООО (421 019 000 руб., 100%)</t>
  </si>
  <si>
    <t>1 182 810 000</t>
  </si>
  <si>
    <t>7245743@gmail.com, 7894091@mail.ru, a.borodin@hartiya.com, a.paveleva@hartiya.com, a.sudina@hartiya.com, buhuksp@mail.ru, e.assonova@hartiya.com, e.ermolaeva@hartiya.com, e.kochina@hartiya.com, e.kozlova@hartiya.com</t>
  </si>
  <si>
    <t>hartiya.com</t>
  </si>
  <si>
    <t>ЭКОГРУПП, ООО (3 000 000 руб., 60%)
РЕКАВЕРИ, АО (2 000 000 руб., 40%)</t>
  </si>
  <si>
    <t>324 030 000</t>
  </si>
  <si>
    <t>sales@hatber.ru</t>
  </si>
  <si>
    <t>www.hatber.ru</t>
  </si>
  <si>
    <t>Костенко Аркадий Анатольевич (50 500 руб., 50.50%)
Вересотская Лариса Николаевна (49 500 руб., 49.50%)</t>
  </si>
  <si>
    <t>191 360 000</t>
  </si>
  <si>
    <t>angela@andex.ru, lshaikhutdinova@hayat.com.ru</t>
  </si>
  <si>
    <t>ЧАСТНАЯ КОМПАНИЯ С ОГРАНИЧЕННОЙ ОТВЕТСТВЕННОСТЬЮ "ХАЯТ КИМЬЯ ХОЛДИНГ Б.В." (HAYAT KIMYA HOLDING B.V.) (300 000 000 руб., 100%)</t>
  </si>
  <si>
    <t>1 536 080 000</t>
  </si>
  <si>
    <t>papia.ru</t>
  </si>
  <si>
    <t>ЗАКРЫТОЕ АКЦИОНЕРНОЕ ОБЩЕСТВО "ХАЯТ КИМЬЯ САНАЙИ А.Ш." (252 000 руб., 100%)</t>
  </si>
  <si>
    <t>it@nproural.com, tatiana.nekrasova@nproural.com</t>
  </si>
  <si>
    <t>НПРО УРАЛ, ООО (9 999.97 руб., 99.99%)
Шацилло Виталий Владиславович (.03 руб., 0.00030%)</t>
  </si>
  <si>
    <t>info@hecny.ru</t>
  </si>
  <si>
    <t>www.hecny.ru</t>
  </si>
  <si>
    <t>Горьков Александр Владимирович (1 000 000 руб., 100%)</t>
  </si>
  <si>
    <t>e.surnaev@helidrive.com</t>
  </si>
  <si>
    <t>helidrive.com</t>
  </si>
  <si>
    <t>Яценко Иван Борисович (1 951 616 233.12 руб., 100%)</t>
  </si>
  <si>
    <t>irina.krechetova@ru.hellmann.net</t>
  </si>
  <si>
    <t>ХЕЕ ТРАНС ЮРОПИАН МЕНЕДЖМЕНТ ГМБХ (7 550 000 руб., 100%)</t>
  </si>
  <si>
    <t>48 880 000</t>
  </si>
  <si>
    <t>76091@hyundai-wia.com</t>
  </si>
  <si>
    <t>www.hyundai-wia.com</t>
  </si>
  <si>
    <t>ХЕНДЭ ВИА КОРПОРЕЙШН (6 873 844 000 руб., 100%)</t>
  </si>
  <si>
    <t>neosmanova@hyundai.ru</t>
  </si>
  <si>
    <t>www.hyundai.ru</t>
  </si>
  <si>
    <t>ЧКОО "Эйч Эм Си Ай Эс Би Ви" (1 856 319 500 руб., 100%)</t>
  </si>
  <si>
    <t>5 355 460 000</t>
  </si>
  <si>
    <t>2971844@gmail.com</t>
  </si>
  <si>
    <t>ХЕСОН КОРПОРЕЙШН (47 703 180 руб., 100%)</t>
  </si>
  <si>
    <t>73 510 000</t>
  </si>
  <si>
    <t>hettich@hettich.ru, moscow@hettich.ru</t>
  </si>
  <si>
    <t>www.hettich.ru, www.web.hettich.com</t>
  </si>
  <si>
    <t>АНТОН ХЕТТИХ АУСЛАНДСБЕТАЙЛИГУНГС ФЕРВАЛЬТУНГС ГЕЗЕЛЬШАФТ (64 213 150 руб., 100%)</t>
  </si>
  <si>
    <t>87 210 000</t>
  </si>
  <si>
    <t>ХАНЧЖОУ ХИКВИЖН ДИДЖИТАЛ ТЕХНОЛОДЖИ КО., ЛТД. (6 000 000 руб., 100%)</t>
  </si>
  <si>
    <t>58 850 000</t>
  </si>
  <si>
    <t>cs@ru.hilti.com, csru@hilti.com, russia@hilti.com, someone@example.com</t>
  </si>
  <si>
    <t>55 990 000</t>
  </si>
  <si>
    <t>iknigina@mail.ru, info@himdil.ru</t>
  </si>
  <si>
    <t>Гурбанов Ахмед Камал Оглы (6 000 руб., 60%)
Книгина Ирина Николаевна (4 000 руб., 40%)</t>
  </si>
  <si>
    <t>318 510 000</t>
  </si>
  <si>
    <t>ivanskiy_ae@himindustria.ru</t>
  </si>
  <si>
    <t>Пиненков Антон Ильич (150 000 руб., 100%)</t>
  </si>
  <si>
    <t>96 500 000</t>
  </si>
  <si>
    <t>www.propartners.ru</t>
  </si>
  <si>
    <t>Рзаев Константин Владимирович (1 000 000 руб., 100%)</t>
  </si>
  <si>
    <t>38 730 000</t>
  </si>
  <si>
    <t>info@himprom-group.ru, v.minibaev@rambler.ru</t>
  </si>
  <si>
    <t>himprom-group.ru</t>
  </si>
  <si>
    <t>Минибаева Татьяна Николаевна (750 000 руб., 75%)
Леушин Игорь Леонидович (250 000 руб., 25%)</t>
  </si>
  <si>
    <t>455 640 000</t>
  </si>
  <si>
    <t>Пожидаев Виталий Михайлович (300 000 руб., 100%)</t>
  </si>
  <si>
    <t>7 100 000</t>
  </si>
  <si>
    <t>adm_tp@himprom.com, eco@himprom.com, ecolog@himprom.com, himprom@chtss.ru, himprom@chtts.ru, pestova@himprom.com</t>
  </si>
  <si>
    <t>www.himprom.com</t>
  </si>
  <si>
    <t>chempack@chempack.ru, musifullina@chempack.ru</t>
  </si>
  <si>
    <t>www.chempack.ru</t>
  </si>
  <si>
    <t>kovalev@chempack.ru</t>
  </si>
  <si>
    <t>833 920 000</t>
  </si>
  <si>
    <t>ooo.khimsnab@mail.ru, prioritet545@mail.ru</t>
  </si>
  <si>
    <t>178 260 000</t>
  </si>
  <si>
    <t>post@himstalcon.ru, zydin_valerii@mail.ru</t>
  </si>
  <si>
    <t>www.himstalcon.ru</t>
  </si>
  <si>
    <t>Чертыков Артем Александрович (450 000 руб., 37.50%)
Эпштейн Сергей Станиславович (450 000 руб., 37.50%)
Юрин Денис Витальевич (300 000 руб., 25%)</t>
  </si>
  <si>
    <t>angara.nh@mail.ru, serg1804.78@mail.ru</t>
  </si>
  <si>
    <t>Мишин Сергей Викторович (125 000 руб., 40.32%)
Панков Сергей Алексеевич (125 000 руб., 40.32%)
Мергенев Сергей Евгеньевич (60 000 руб., 19.35%)</t>
  </si>
  <si>
    <t>5 890 000</t>
  </si>
  <si>
    <t>info@hino.ru</t>
  </si>
  <si>
    <t>www.hino.ru, www.hinomotors.ru</t>
  </si>
  <si>
    <t>"ХИНО МОТОРС, ЛТД." (692 250 000 руб., 65%)
МИЦУИ ЭНД КО., ЛТД. (372 750 000 руб., 35%)</t>
  </si>
  <si>
    <t>1 220 550 000</t>
  </si>
  <si>
    <t>info@hitmachinery.ru, levshova@hitmachinery.ru, sgavtor@mail.ru</t>
  </si>
  <si>
    <t>КОМПАНИЯ РОНМЕД ИНВЕСТМЕНТС ЛИМИТЕД (35 000 000 руб., 50%)
ОБЩЕСТВО С ОГРАНИЧЕННОЙ ОТВЕТСТВЕННОСТЬЮ "ОНФЛИГ" (35 000 000 руб., 50%)</t>
  </si>
  <si>
    <t>716 100 000</t>
  </si>
  <si>
    <t>korall.office@bk.ru</t>
  </si>
  <si>
    <t>Колосков Сергей Васильевич (15 010 000 руб., 100%)</t>
  </si>
  <si>
    <t>97 530 000</t>
  </si>
  <si>
    <t>info@metalloinvest.com</t>
  </si>
  <si>
    <t>ЮЭСЭМ МЕТАЛЛОИНВЕСТ, ООО (100%)</t>
  </si>
  <si>
    <t>хк-эволюция.рф</t>
  </si>
  <si>
    <t>374 910 000</t>
  </si>
  <si>
    <t>ЗЭИМ ЭЛИНАР, ООО (500 000 руб., 100%)</t>
  </si>
  <si>
    <t>14 410 000</t>
  </si>
  <si>
    <t>office@holdcable.com, sb273@holdcable.com</t>
  </si>
  <si>
    <t>www.holdcable.com</t>
  </si>
  <si>
    <t>УРАЛЬСКАЯ ГОРНО-МЕТАЛЛУРГИЧЕСКАЯ КОМПАНИЯ , ОАО УГМК, ОАО (10 000 000 руб., 100%)</t>
  </si>
  <si>
    <t>office@holdcab.com</t>
  </si>
  <si>
    <t>Борванов Александр Михайлович (150 000 руб., 50%)
Толмачёв Денис Владимирович (150 000 руб., 50%)</t>
  </si>
  <si>
    <t>92 400 000</t>
  </si>
  <si>
    <t>www.hitachicm.ru</t>
  </si>
  <si>
    <t>КОМП "Хитачи Констракшн Машинери Ко., Лтд." (1 739 357 000 руб., 100%)</t>
  </si>
  <si>
    <t>456 440 000</t>
  </si>
  <si>
    <t>hladkom2011@yandex.ru, legal@xolod.org</t>
  </si>
  <si>
    <t>www.hladkom.ru</t>
  </si>
  <si>
    <t>Бурдиловский Юрий Михайлович (9 000 руб., 90%)
Воропаева Светлана Викторовна (1 000 руб., 10%)</t>
  </si>
  <si>
    <t>197 370 000</t>
  </si>
  <si>
    <t>info@hlebnydom.ru, jgracheva@hlebnydom.ru, juliya.gracheva@fazer.com, kseniya.gordeeva@fazer.com, natalya.gogonova@fazer.com, reception@hlebnydom.ru</t>
  </si>
  <si>
    <t>www.fazer.ru</t>
  </si>
  <si>
    <t>КОЛОМЕНСКИЙ, ООО БКХ (21 270 840.25 руб., 100%)</t>
  </si>
  <si>
    <t>eleven.ru</t>
  </si>
  <si>
    <t>hotline@hlebprom.ru, shop@hlebprom.ru</t>
  </si>
  <si>
    <t>423 170 000</t>
  </si>
  <si>
    <t>azemtsova@vostok.ru</t>
  </si>
  <si>
    <t>ats@uralpravo.ru, dorstroy@wsnet.ru, hmds@avtoban.ru, info@hmds.ru, reception@hmds.ru</t>
  </si>
  <si>
    <t>ИСК АВТОБАН, АО (96.72%)</t>
  </si>
  <si>
    <t>cmp@khmz.ru, oit@khmz.ru</t>
  </si>
  <si>
    <t>www.khmz.ru</t>
  </si>
  <si>
    <t>КЛМ, ООО (3 051 486 руб., 100%)</t>
  </si>
  <si>
    <t>1 189 970 000</t>
  </si>
  <si>
    <t>reception@hyundai-motor.ru, t.ivanova@hyundai-motor.ru</t>
  </si>
  <si>
    <t>КОРПОРАЦИЯ "ХЕНДЭ МОТОР КОМПАНИ" (7 277 010 000 руб., 70%)
КОМПАНИЯ "КИА МОТОРС КОРПОРЕЙШН" (3 118 800 000 руб., 30%)</t>
  </si>
  <si>
    <t>2 459 140 000</t>
  </si>
  <si>
    <t>adjavenko@hmtp.ru, inna.sagalakova@hmtp.ru, materialy@hmtp.ru, morport07@bk.ru, morport07@rambler.ru, morport07@rambler/ru, savchenko@hmtp.ru, sekretar@hmtp.ru, zverev2302@mail.ru</t>
  </si>
  <si>
    <t>hmtp.ru</t>
  </si>
  <si>
    <t>52 680 000</t>
  </si>
  <si>
    <t>baklanova@ska.ru, kutlinskaya@ska.ru, petrenko@ska.ru</t>
  </si>
  <si>
    <t>ska.ru</t>
  </si>
  <si>
    <t>ГАЗПРОМ ИНВЕСТГАЗИФИКАЦИЯ, ООО (3 000 000 руб., 100%)</t>
  </si>
  <si>
    <t>230 230 000</t>
  </si>
  <si>
    <t>info@holdingaqua.ru</t>
  </si>
  <si>
    <t>holdingaqua.ru</t>
  </si>
  <si>
    <t>АКВА ИНВЕСТ, ООО (7 500 руб., 75%)
КМКР, АО (2 500 руб., 25%)</t>
  </si>
  <si>
    <t>Производство минеральных вод</t>
  </si>
  <si>
    <t>korolevskiy.spb@mail.ru, korolevsky.spb@mail.ru, sale@korolevskiv.ru, sale@korolevskiy.ru, sela@korolevskiy.ru</t>
  </si>
  <si>
    <t>Пасько Сергей Валентинович (500 000 руб., 100%)</t>
  </si>
  <si>
    <t>38 550 000</t>
  </si>
  <si>
    <t>ВТБ ИНФРАСТРУКТУРНЫЙ ХОЛДИНГ, ООО (146 118 000 руб., 49%)
"Ф4 ХОЛДИНГ ЛЛК" (74 520 180 руб., 24.99%)
ДЕФЕНСУМ-ИНВЕСТ, ООО (65 872 380 руб., 22.09%)
BLOGNOT LIMITED (11 689 440 руб., 3.92%)</t>
  </si>
  <si>
    <t>428 350 000</t>
  </si>
  <si>
    <t>protek-upakovka.ru</t>
  </si>
  <si>
    <t>434 080 000</t>
  </si>
  <si>
    <t>dir.utz@erso.group, goran@erso.group, info@elektrozavod.ru, info@erso.groop</t>
  </si>
  <si>
    <t>3 163 950 000</t>
  </si>
  <si>
    <t>glavbuh@uraldon.ru, obr161@yandex.ru, xolding@uraldon.ru</t>
  </si>
  <si>
    <t>uraldon.ru</t>
  </si>
  <si>
    <t>Ярошенко Александр Владимирович (856 200 руб., 85.62%)
Бережной Владимир Владимирович (81 400 руб., 8.14%)
Ярошенко Светлана Геннадьевна (26 000 руб., 2.60%)
Ярошенко Сергей Александрович (26 000 руб., 2.60%)
Дзюба Виталий Викторович (7 200 руб., 0.72%)
Стуканин Николай Георгиевич (3 200 руб., 0.32%)</t>
  </si>
  <si>
    <t>1 197 480 000</t>
  </si>
  <si>
    <t>kta@hf24.ru</t>
  </si>
  <si>
    <t>Шадрин Дмитрий Юрьевич (10 150 000 руб., 50%)
Шкуренко Виктор Васильевич (10 150 000 руб., 50%)</t>
  </si>
  <si>
    <t>info@holcim.ru, info@holcimbeton.ru, pavel.egorov@lafargeholcim.com, secretary@cementum.ru, secretary@lafargeholcim.com</t>
  </si>
  <si>
    <t>https://cementum.ru/, www.acem.ru, www.holcim.de</t>
  </si>
  <si>
    <t>Holcim Auslandbeteiligungs GmbH (Deutschland) компания "Хольцим Аусландбетайлигунгс ГмбХ (Дойчланд)" (9 000 000 руб., 100%)</t>
  </si>
  <si>
    <t>405 150 000</t>
  </si>
  <si>
    <t>galina.kartashova@holcim.com, pavel.egorov@lafargeholcim.com, secretary@cementum.ru, secretary@lafargeholcim.com</t>
  </si>
  <si>
    <t>https://cementum.ru/, www.colcim.ru, www.volskcement.ru</t>
  </si>
  <si>
    <t>ХОЛСИМ (РУС) СМ, ООО (6 383 010.6 руб., 99.82%)
Holcim Auslandbeteiligungs GmbH (Deutschland) компания "Хольцим Аусландбетайлигунгс ГмбХ (Дойчланд)" (11 279 руб., 0.18%)</t>
  </si>
  <si>
    <t>claim@hsr24.ru, zakaz@hsr24.ru</t>
  </si>
  <si>
    <t>Зобнин Дмитрий Юрьевич (8 000 руб., 80%)
Липин Сергей Евгеньевич (1 000 руб., 10%)
Осокин Александр Сергеевич (1 000 руб., 10%)</t>
  </si>
  <si>
    <t>post@baltika.com, shtanko_vp@baltika.com</t>
  </si>
  <si>
    <t>www.carlsbergsverige.se</t>
  </si>
  <si>
    <t>Carlsberg Sverige AB (3 820 010 000 руб., 100%)</t>
  </si>
  <si>
    <t>206 610 000</t>
  </si>
  <si>
    <t>ooomorga@mail.ru</t>
  </si>
  <si>
    <t>Сиушов Сергей Иванович (17 800 руб., 89%)
Сиушова Ирина Михайловна (2 200 руб., 11%)</t>
  </si>
  <si>
    <t>132 940 000</t>
  </si>
  <si>
    <t>abc-102030@mail.ru, e.balabolina@hordel.ru, s.karpova@hordel.ru</t>
  </si>
  <si>
    <t>Сиушов Сергей Иванович (5 328.59 руб., 53.29%)
ПТИЦЕФАБРИКА ЧАМЗИНСКАЯ, АО (3 571.41 руб., 35.71%)
Сиушова Ирина Михайловна (1 100 руб., 11%)</t>
  </si>
  <si>
    <t>Торговля оптовая яйцами</t>
  </si>
  <si>
    <t>www.horsch.com</t>
  </si>
  <si>
    <t>ООО "Хо Холдинг ГмбХ" (7 811 562 руб., 90.50%)
Быков Петр Иванович (819 998 руб., 9.50%)</t>
  </si>
  <si>
    <t>734 250 000</t>
  </si>
  <si>
    <t>https://hamost.ru/</t>
  </si>
  <si>
    <t>houmapp@mail.ru</t>
  </si>
  <si>
    <t>bosch-shop.ru, www.holodilnik.ru</t>
  </si>
  <si>
    <t>Баронова Ирина Дмитриевна (16 667 руб., 83.33%)
Баронов Иван Владимирович (3 333 руб., 16.67%)</t>
  </si>
  <si>
    <t>hochland_russland@hochland.com, rus.raos@hochland.com</t>
  </si>
  <si>
    <t>hochland-group.com, www.hochland.de</t>
  </si>
  <si>
    <t>ФИРМА "ХОХЛАНД АГ" (1 009 650 759.05 руб., 100%)</t>
  </si>
  <si>
    <t>2 273 430 000</t>
  </si>
  <si>
    <t>xppelankoleno@mail.ru</t>
  </si>
  <si>
    <t>hppek.ru</t>
  </si>
  <si>
    <t>Попов Виктор Петрович (100 000 руб., 100%)</t>
  </si>
  <si>
    <t>61 610 000</t>
  </si>
  <si>
    <t>energorem@mail.redcom.ru, energorem@mail.redkom.ru, pto5@oaoner.ru, tushkov.ky@khrmk.ru, vorobeva.am@khrmk.ru</t>
  </si>
  <si>
    <t>www.khrmk.ru</t>
  </si>
  <si>
    <t>ДЭК, ПАО (377 481 200 руб.)</t>
  </si>
  <si>
    <t>ht-tpp.ru</t>
  </si>
  <si>
    <t>HUADIAN SINGAPORE JIENING PTE. LTD. ("ХУАДЯНЬ СИНГАПУР ДЖИНИНГ ПТЕ. ЛТД.") (3 275 142 042.86 руб., 51%)
ТГК-2, ПАО (3 146 705 100 руб., 49%)</t>
  </si>
  <si>
    <t>ooohuzangaevskoe@mail.ru</t>
  </si>
  <si>
    <t>Казанков Иван Иванович (266 000 руб., 70%)
Казанков Сергей Иванович (38 000 руб., 10%)
Казанкова Наталия Ивановна (38 000 руб., 10%)
Шаталов Владислав Александрович (38 000 руб., 10%)</t>
  </si>
  <si>
    <t>69 580 000</t>
  </si>
  <si>
    <t>www.gardena.com</t>
  </si>
  <si>
    <t>КОМПАНИЯ "ХУСКВАРНА ХОЛДИНГ АКТИЕБОГАЛ" (26 443 660 руб., 100%)</t>
  </si>
  <si>
    <t>335 950 000</t>
  </si>
  <si>
    <t>www.hp.com</t>
  </si>
  <si>
    <t>ЧАСТНАЯ КОМПАНИЯ С ОГРАНИЧЕННОЙ ОТВЕТСТВЕННОСТЬЮ "ХЬЮЛЕТТ-ПАККАРД ЗЕ ГААГА Б.В." (7 199 280 руб., 99.99%)
КОМПАНИЯ "ХЬЮЛЕТТ-ПАККАРД ГАУДА Б.В" (720 руб., 0.010%)</t>
  </si>
  <si>
    <t>325 000 000</t>
  </si>
  <si>
    <t>d.sadilova@hh.ru, e.romanova@hh.ru, e.shevkoplyas@hh.ru, hh@hh.ru, press@hh.ru, spp-zakupki@hh.ru</t>
  </si>
  <si>
    <t>www.hh.ru</t>
  </si>
  <si>
    <t>ЧАСТНАЯ АКЦИОНЕРНАЯ КОМПАНИЯ С ОГРАНИЧЕННОЙ ОТВЕТСТ-СТЬЮ "ХЭДХАНТЕР ФСЮ ЛИМИТЕД" (4 276 257.55 руб., 100%)</t>
  </si>
  <si>
    <t>in@helpoil.ru, kdp@helpoil.ru, ldg@helpoil.ru, mtv@helpoil.ru</t>
  </si>
  <si>
    <t>helpoil.ru</t>
  </si>
  <si>
    <t>37 060 000</t>
  </si>
  <si>
    <t>elarionova@eskc.ru, info@hesc.ru, t.zaharova@hesc.ru, tzakharova@phosagro.ru, vglazunova@phosagro.ru</t>
  </si>
  <si>
    <t>hesc.ru</t>
  </si>
  <si>
    <t>Техия Груп Лимитед Кипр (4 860 000 руб., 81%)
АПАТИТ, АО (1 140 000 руб., 19%)</t>
  </si>
  <si>
    <t>100 430 000</t>
  </si>
  <si>
    <t>ООО "ПЕКИН ХЭХУА ОРИЕНТАЛ ПЕТРОЛЕУМ МЕКАНИКАЛ КО., ЛИМИТЕД" (700 000 руб., 100%)</t>
  </si>
  <si>
    <t>office@tsaritsyno.ru, zamdirauto@tsaritsyno.ru</t>
  </si>
  <si>
    <t>etender1@b1.ru, etender3@ru.ey.com, maria.yanchevskaya@ru.ey.com, moscow@ru.ey.com, rfp@ru.ey.com</t>
  </si>
  <si>
    <t>www.ey.com, www.ey.com/cis</t>
  </si>
  <si>
    <t>ГРУППА Б1, АО (3 300 000 руб., 33%)
Шинин Геннадий Александрович (1 400 000 руб., 14%)
Жигулин Дмитрий Михайлович (1 300 000 руб., 13%)
Хачатурян Михаил Сергеевич (1 300 000 руб., 13%)
Юшенков Олег Владимирович (1 300 000 руб., 13%)
Буян Игорь Анатольевич (700 000 руб., 7%)
Гребенюк Александр Юрьевич (700 000 руб., 7%)</t>
  </si>
  <si>
    <t>150 710 000</t>
  </si>
  <si>
    <t>2 538 680 000</t>
  </si>
  <si>
    <t>cbi_sekr@gepard.spb.ru, eguziev@yandex.ru, gunin-d@yandex.ru, info@cbispb.ru, sibia_sekr@gepart.sp.ru</t>
  </si>
  <si>
    <t>Албогачиев Алехан Муссафович (3 248 256 624.82 руб., 99.99%)
ЭРГО, ООО (9 900 руб., 0.00030%)</t>
  </si>
  <si>
    <t>ЗЕЛЕНЫЙ ДОМ, ООО (1 000 000 руб., 100%)</t>
  </si>
  <si>
    <t>Торговля оптовая цветами и растениями</t>
  </si>
  <si>
    <t>53 020 000</t>
  </si>
  <si>
    <t>info@aocds.ru, info@oaocds.ru, nfo@aocds.ru, tender@aocds.ru</t>
  </si>
  <si>
    <t>oaocds.ru, www.centrodorstroy.ru</t>
  </si>
  <si>
    <t>Ольховский Петр Васильевич (22.80%)</t>
  </si>
  <si>
    <t>50 460 000</t>
  </si>
  <si>
    <t>Стахов Игорь Николаевич (305 800 руб., 61.16%)
Гончаров Владимир Геннадьевич (194 200 руб., 38.84%)</t>
  </si>
  <si>
    <t>bilkon@dol.ru, zotova@bilkon.ru</t>
  </si>
  <si>
    <t>www.bilkon.ru, www.nazakaz.ru</t>
  </si>
  <si>
    <t>Костров Лев Георгиевич (5 000 руб., 50%)
Сидоров Сергей Анатольевич (5 000 руб., 50%)</t>
  </si>
  <si>
    <t>14 910 000</t>
  </si>
  <si>
    <t>e.vladimirovich@yandex.ru</t>
  </si>
  <si>
    <t>www.vvpgroup.com</t>
  </si>
  <si>
    <t>Сибирцева Ирина Викторовна (1 000 000 000 руб., 100%)</t>
  </si>
  <si>
    <t>22 450 000</t>
  </si>
  <si>
    <t>info@omega2014.ru, omega@mail.kuban.ru, realty@center-omega.ru, sochi@center-omega.ru, storozhukap@center-omega.ru, trust@center-omega.ru, zakupki@center-omega.ru</t>
  </si>
  <si>
    <t>customerservice.ru@stories.com</t>
  </si>
  <si>
    <t>www.hm.com</t>
  </si>
  <si>
    <t>H &amp; M Hennes &amp; Mauritz Gbc AB (12 000 000 руб., 100%)</t>
  </si>
  <si>
    <t>3 046 810 000</t>
  </si>
  <si>
    <t>muzhbatullinra@sbu-azot.ru</t>
  </si>
  <si>
    <t>АЗОТ, КАО (141 150 руб., 94.10%)
Мужбатуллин Рамиль Аминович (7 500 руб., 5%)
АЗОТ, АО ГК (1 350 руб., 0.90%)</t>
  </si>
  <si>
    <t>702 120 000</t>
  </si>
  <si>
    <t>svi@atomsk.ru</t>
  </si>
  <si>
    <t>АТОМСТРОЙКОМПЛЕКС-СТРОИТЕЛЬСТВО, ООО (537 800 руб., 51.22%)
Гвержис Алексей Викторович (133 700 руб., 12.73%)
Батурин Андрей Константинович (75 700 руб., 7.21%)
Беляев Евгений Васильевич (75 700 руб., 7.21%)
Дарюхин Дмитрий Валерьевич (75 700 руб., 7.21%)
Минкин Олег Шмарьевич (75 700 руб., 7.21%)
Степанов Вячеслав Петрович (75 700 руб., 7.21%)</t>
  </si>
  <si>
    <t>95 630 000</t>
  </si>
  <si>
    <t>info@grozd.com</t>
  </si>
  <si>
    <t>www.grozd.ru</t>
  </si>
  <si>
    <t>Плотников Дмитрий Валентинович (225 000 руб., 90%)
Белоусов Андрей Юрьевич (25 000 руб., 10%)</t>
  </si>
  <si>
    <t>info@csonline.su</t>
  </si>
  <si>
    <t>Телешев Андрей Александрович (10 000 руб., 100%)</t>
  </si>
  <si>
    <t>22 520 000</t>
  </si>
  <si>
    <t>1tender@crstk.ru, centerstk@mail.ru, centerstk@mzil.ru, info@tireclub.ru, katya.75@bk.ru, v.s3hayturov@list.ru, v.shayturov@list.ru</t>
  </si>
  <si>
    <t>centerstk.com</t>
  </si>
  <si>
    <t>Шайтуров Виктор Николаевич (8 000 руб., 80%)
Шайтуров Дмитрий Викторович (1 100 руб., 11%)
Барнёв Владимир Борисович (900 руб., 9%)</t>
  </si>
  <si>
    <t>166 420 000</t>
  </si>
  <si>
    <t>88002343302@mail.ru, 88002509946@mail.ru, 88007753106@mail.ru, zhen@mtraktor.ru</t>
  </si>
  <si>
    <t>centr-to.ru, сто5.рф</t>
  </si>
  <si>
    <t>Марьянов Иван Сергеевич (10 000 руб., 100%)</t>
  </si>
  <si>
    <t>25 570 000</t>
  </si>
  <si>
    <t>Гаврилин Денис Валерьевич (20 000 руб., 100%)</t>
  </si>
  <si>
    <t>2 430 000</t>
  </si>
  <si>
    <t>anklyuev@rt-dc.ru, info@safedata.ru</t>
  </si>
  <si>
    <t>https://www.rt-dc.ru/, www.safedata.ru</t>
  </si>
  <si>
    <t>РОСТЕЛЕКОМ, ПАО (356 403 917.71 руб., 55.22%)
ИНВЕСТИЦИИ В ОБЛАЧНЫЕ ТЕХНОЛОГИИ, ООО (288 936 159.91 руб., 44.77%)
ВЕСТЕЛКОМ, АО (4 899.93 руб., 0.00080%)</t>
  </si>
  <si>
    <t>e.gogina@oooccs.ru</t>
  </si>
  <si>
    <t>РУСГАЗБУРЕНИЕ, ООО (784 334 880 руб., 100%)</t>
  </si>
  <si>
    <t>624 060 000</t>
  </si>
  <si>
    <t>7812021254_780101001@eo.tensor.ru, com@gudp.ru, info@gudp.ru, tarasovas66@mail.ru, vvp@gudp.ru</t>
  </si>
  <si>
    <t>gudp.ru</t>
  </si>
  <si>
    <t>КИО (n/a)</t>
  </si>
  <si>
    <t>info@mgcpn.ru</t>
  </si>
  <si>
    <t>www.mgcpn.ru</t>
  </si>
  <si>
    <t>6 172 210 000</t>
  </si>
  <si>
    <t>cppk@inbox.ru, info@oaocppk.ru, skuznetsov@central-ppk.ru</t>
  </si>
  <si>
    <t>central-ppk.ru</t>
  </si>
  <si>
    <t>МПК, ООО (56.48%)
МС, ООО (29.00%)
МИНМОСОБЛИМУЩЕСТВО (14.50%)</t>
  </si>
  <si>
    <t>cgs@cgs.ru</t>
  </si>
  <si>
    <t>cgs.ru, www.wattson.ru</t>
  </si>
  <si>
    <t>68 850 000</t>
  </si>
  <si>
    <t>Некрасова Ольга Александровна (387 265 566.36 руб., 69%)
Камышев Дмитрий Валерьевич (168 376 333.2 руб., 30%)
Марцевич Олеся Викторовна (5 612 544.44 руб., 1%)</t>
  </si>
  <si>
    <t>438338@mail.ru, 7444062530_781001001@eo.tensor.ru</t>
  </si>
  <si>
    <t>tdcmi.ru</t>
  </si>
  <si>
    <t>Скиба Андрей Николаевич (490 200 руб., 95%)
Скиба Ольга Николаевна (25 800 руб., 5%)</t>
  </si>
  <si>
    <t>69 430 000</t>
  </si>
  <si>
    <t>office@centropolymer.ru</t>
  </si>
  <si>
    <t>centropolymer.ru</t>
  </si>
  <si>
    <t>РЭВАРД ИНВЕСТ, ООО (3 757 500 руб., 75%)
Егоров Сергей Геннадьевич (601 200 руб., 12%)
Завьялов Алексей Вадимович (350 700 руб., 7%)
Выдрин Игорь Юрьевич (300 600 руб., 6%)</t>
  </si>
  <si>
    <t>391 580 000</t>
  </si>
  <si>
    <t>ilona@centrsvet.ru, info_dubai@centrsvet.com, info_maiami@centrsvet.com</t>
  </si>
  <si>
    <t>centrsvet.ru</t>
  </si>
  <si>
    <t>Щеголев Евгений Валентинович (1 000 000 руб., 100%)</t>
  </si>
  <si>
    <t>697 140 000</t>
  </si>
  <si>
    <t>ceg@ceg.gazprom.ru</t>
  </si>
  <si>
    <t>www.ceg.gazprom.ru, www.centrenergogaz.gazprom.ru</t>
  </si>
  <si>
    <t>ГАЗСТРОЙПРОМ, АО (66.27%)</t>
  </si>
  <si>
    <t>a.gusev@gazenergocom.ru, ceh@gazenergocom.ru, i.korneeva@gazenergocom.ru, office@gazenergocom.ru, v.kadilin@gazenergocom.ru, y.goloshchapova@gazenergocom.ru</t>
  </si>
  <si>
    <t>info@heavyfair.com, julia.plutkova@zeppelin.com, zrs-help@zeppelin.com</t>
  </si>
  <si>
    <t>АО "ЦЕППЕЛИН ИНТЕРНАЦИОНАЛЬ АГ" (466 490 450 руб., 100%)</t>
  </si>
  <si>
    <t>934 770 000</t>
  </si>
  <si>
    <t>alexey.sytin@heidelbergcement.com, cesla@heidel.bergcement.ru, yana.tukhvatullina@heidelbergcement.com</t>
  </si>
  <si>
    <t>heidelbergcement.com, https://www.heidelbergcement.ru/ru/cesla_rus</t>
  </si>
  <si>
    <t>citadel-kursk@mail.ru</t>
  </si>
  <si>
    <t>76 540 000</t>
  </si>
  <si>
    <t>citadelgroup.ru</t>
  </si>
  <si>
    <t>1 464 390 000</t>
  </si>
  <si>
    <t>www.cius-ees.ru</t>
  </si>
  <si>
    <t>info@digitalrzd.ru, service@digitalrzd.ru, shestopalovai@digitallogisticsrzd.ru</t>
  </si>
  <si>
    <t>РЖД-ТЕХНОЛОГИИ, ООО (264 266 700 руб., 51%)
ИНТЭЛЛЕКС, ООО (253 903 300 руб., 49%)</t>
  </si>
  <si>
    <t>414 080 000</t>
  </si>
  <si>
    <t>e.prokofeva@digitalms.ru, info@digitalms.ru, sz@digitalms.ru</t>
  </si>
  <si>
    <t>digitalms.ru</t>
  </si>
  <si>
    <t>РТ ЛАБС, АО (5 100 руб., 51%)
НЦЭЗ, АО (4 900 руб., 49%)</t>
  </si>
  <si>
    <t>e.grigorieva@ckb-rubin.ru, neptun@ckb-rubin.ru, skr@ckb-rubin.ru, tamara.akimova@ckb-rubin.ru</t>
  </si>
  <si>
    <t>ckb-rubin.ru</t>
  </si>
  <si>
    <t>ОСК, АО (3 974 821 000 руб.)</t>
  </si>
  <si>
    <t>9250218@mail.ru, ckb2semashko@mail.ru, directorsemashko@mail.ru, info@rzd-stom.ru, nkcrzd@ckb.rzd.ru, rzdstom-mow@mail.ru, rzdstom.msk@yandex.ru</t>
  </si>
  <si>
    <t>www.ckb2.ru</t>
  </si>
  <si>
    <t>alanikolaev@ckbm.ru, citizen25@yandex.ru, ckbm2@yandex.ru, postbox2@ckbm.ru, postbox@ckbm.ru, yakovleva_m@ckbm.ru</t>
  </si>
  <si>
    <t>www.ckbm.ru</t>
  </si>
  <si>
    <t>АТОМЭНЕРГОМАШ, АО (854 258 962 руб.)</t>
  </si>
  <si>
    <t>840 270 000</t>
  </si>
  <si>
    <t>ckk@agro-al.ru, nazarova@agro-al.ru</t>
  </si>
  <si>
    <t>АГРО-АЛЬЯНС, ООО (463 997 261.4 руб., 100%)</t>
  </si>
  <si>
    <t>cs-sp-csc@cscentr.com</t>
  </si>
  <si>
    <t>ЧАСТНАЯ КОМПАНИЯ С ОТВЕТСТВЕННОСТЬЮ,ОГРАНИЧЕННОЙ А (21 000 000 руб., 100%)</t>
  </si>
  <si>
    <t>28 470 000</t>
  </si>
  <si>
    <t>a.kashirina@cks174.ru, a.mingaleeva@cks174.ru, a.shetinina@cks174.ru, a.vahnina@cks174.ru, ahs002@yandex.ru, aquatexmag@mail.ru, bnvb@mail.ru, chel.com@yandex.ru, cks.74@yandex.ru, cks174@mail.ru</t>
  </si>
  <si>
    <t>ЗГ СТРОЙМОНТАЖ, ООО (7 500 руб., 75%)
Леонов Александр Николаевич (2 500 руб., 25%)</t>
  </si>
  <si>
    <t>centermetiz2017@mail.ru, centre.metiz@yandex.ru, ryabcova.ya@centermetiz.ru, zakaz@centermetiz.ru</t>
  </si>
  <si>
    <t>centermetiz.ru</t>
  </si>
  <si>
    <t>Кузнецов Анатолий Борисович (900 000 руб., 90%)
Талалыкин Олег Владимирович (100 000 руб., 10%)</t>
  </si>
  <si>
    <t>149 600 000</t>
  </si>
  <si>
    <t>igorrzyanin@gmail.com</t>
  </si>
  <si>
    <t>24 180 000</t>
  </si>
  <si>
    <t>gmt-11@mail.ru</t>
  </si>
  <si>
    <t>Мовлатов Магомед-Салах Магомед-Эмиевич (20 000 руб., 100%)</t>
  </si>
  <si>
    <t>Дьяченко Татьяна Александровна (7 500 руб., 50%)
Иванкин Алексей Валерьевич (7 500 руб., 50%)</t>
  </si>
  <si>
    <t>59 110 000</t>
  </si>
  <si>
    <t>catering@wtcmoscow.ru, catering@wtcmosxow.ru, hr@wtcmoscow.ru, info@wtcmoscow.ru, iufomina@wtcmoscow.ru, lgsolovieve@wtcmoscow.ru, onfilippova@wtcmoscow.ru, ovkuyava@wtcmoscow.ru, press@wtcmoscow.ru, reservations@cpmow.ru</t>
  </si>
  <si>
    <t>www.cpmow.ru, www.wtcmoscow.ru</t>
  </si>
  <si>
    <t>РОССИИ, ТПП РФ, ТПП (52.25%)
СОВИНЦЕНТР-2, ООО (14.79%)
Воловик Александр Михайлович (0.016%)</t>
  </si>
  <si>
    <t>office@jv-uec.ru</t>
  </si>
  <si>
    <t>jv-uec.ru</t>
  </si>
  <si>
    <t>3 062 140 000</t>
  </si>
  <si>
    <t>nik_ar@mail.ru, office@ariant.ru</t>
  </si>
  <si>
    <t>ariant.ru</t>
  </si>
  <si>
    <t>ГК АРИАНТ, ООО (80 500 000 руб., 100%)</t>
  </si>
  <si>
    <t>84956385106@mail.ru, cpk@rusbenzin.com, info@c-p-c.ru, info@c-p-k.ru, nfo@c-p-k.ru</t>
  </si>
  <si>
    <t>c-p-k.ru</t>
  </si>
  <si>
    <t>ТК АЗС-ИНВЕСТ, ООО (485 100 руб., 99%)
ЦПК, ООО (4 900 руб., 1%)</t>
  </si>
  <si>
    <t>avpenkin@spasibosb.ru, dvgamulin@spasibosb.ru, evkeryakova@spasibosb.ru, legal@spasibosb.ru, sbrf@sbrf.ru</t>
  </si>
  <si>
    <t>2 027 640 000</t>
  </si>
  <si>
    <t>ГРУППА ГМС, АО (3 251 250 руб., 75%)
КОМБИНИРОВАННЫЙ ЗАКРЫТЫЙ ПАЕВОЙ ИНВЕСТИЦИОННЫЙ ФОНД "ИПОТЕЧНЫЙ" (1 083 750 руб., 25%)</t>
  </si>
  <si>
    <t>421 790 000</t>
  </si>
  <si>
    <t>crp@spbrealty.ru, crpbuhdir@spbrealty.ru</t>
  </si>
  <si>
    <t>www.spbrealty.ru</t>
  </si>
  <si>
    <t>СЭТЛ ГРУПП, ООО (2 125 руб., 85%)
Еременко Илья Анатольевич (250 руб., 10%)
Луговская Наталья Юрьевна (125 руб., 5%)</t>
  </si>
  <si>
    <t>2 053 630 000</t>
  </si>
  <si>
    <t>i.bogatova@centerport.ru, info@centerport.ru</t>
  </si>
  <si>
    <t>5 050 000</t>
  </si>
  <si>
    <t>igor.solomakho@td-csk.ru, info@td-csk.ru</t>
  </si>
  <si>
    <t>td-csk.ru</t>
  </si>
  <si>
    <t>Соломахо Игорь Леонидович (1 000 000 руб., 100%)</t>
  </si>
  <si>
    <t>116 220 000</t>
  </si>
  <si>
    <t>adv@nks-media.ru, adv@uralweb.ru, afisha@uralweb.ru, news@uralweb.ru, webmaster@uralweb.ru</t>
  </si>
  <si>
    <t>i-mult.ru</t>
  </si>
  <si>
    <t>455 710 000</t>
  </si>
  <si>
    <t>mail@ctk32.ru</t>
  </si>
  <si>
    <t>ctk32.ru</t>
  </si>
  <si>
    <t>Логвинов Игорь Васильевич (2 500 000 руб., 50%)
Логвинова Лариса Владимировна (2 500 000 руб., 50%)</t>
  </si>
  <si>
    <t>70 650 000</t>
  </si>
  <si>
    <t>6731508@rambler.ru, asta@cugimos.ru, info@cugimos.ru, info@kontoragazavto.ru, ivushkin@cugimos.ru</t>
  </si>
  <si>
    <t>https://cugimos.ru/</t>
  </si>
  <si>
    <t>ДЕПАРТАМЕНТ ГОРОДСКОГО ИМУЩЕСТВА ГОРОДА МОСКВЫ (500 000 руб., 100%)
ДЕПАРТАМЕНТ ТРАНСПОРТА И РАЗВИТИЯ ДОРОЖНО-ТРАНСПОРТНОЙ ИНФРАСТРУКТУРЫ ГОРОДА МОСКВЫ (n/a)</t>
  </si>
  <si>
    <t>ildusm76@gmail.com, info@cfpm.ru</t>
  </si>
  <si>
    <t>www.cheaz.ru</t>
  </si>
  <si>
    <t>Шурдов Михаил Аркадьевич (8 000 000 руб., 100%)</t>
  </si>
  <si>
    <t>5407125059@cft.ru, moscow@cft.ru, nalogreport@cft.ru</t>
  </si>
  <si>
    <t>www.cft.ru</t>
  </si>
  <si>
    <t>1 666 130 000</t>
  </si>
  <si>
    <t>alferov@prodimex-agro.ru, voronezh@agrokultura.com</t>
  </si>
  <si>
    <t>АГРОПРОДУКТ, ООО (1 204 959 820.94 руб., 99.84%)
ОСК, АО (1 849 000 руб., 0.15%)</t>
  </si>
  <si>
    <t>6 820 070 000</t>
  </si>
  <si>
    <t>info@oscpro.ru</t>
  </si>
  <si>
    <t>oscpro.ru</t>
  </si>
  <si>
    <t>gruzneva@chsz.ru</t>
  </si>
  <si>
    <t>Джалагония Давид Дмитриевич (140 850 руб., 85.36%)
Бучина Елена Александровна (22 500 руб., 13.64%)
РСХБ-ФИНАНС, ООО (1 650 руб., 1%)</t>
  </si>
  <si>
    <t>pbakutin@fls.ru</t>
  </si>
  <si>
    <t>Бакутин Павел Васильевич (12 000 руб., 100%)</t>
  </si>
  <si>
    <t>138 420 000</t>
  </si>
  <si>
    <t>www.changan.com.cn</t>
  </si>
  <si>
    <t>АКЦИОНЕРНАЯ КОМПАНИЯ С ОГРАНИЧЕННОЙ ОТВЕТСТВЕННОСТЬЮ "АВТОМОБИЛЬНАЯ КОМПАНИЯ ЧАНЪАНЬ" (2 203 824 523.2 руб., 100%)</t>
  </si>
  <si>
    <t>39 080 000</t>
  </si>
  <si>
    <t>kudryashovaia@afanasy.ru</t>
  </si>
  <si>
    <t>Ларин Максим Владиславович (12 496 093.1331 руб., 53.77%)
ОСНОВАНИЕ, ООО (10 499 785.8983 руб., 45.18%)
ЛАМАКС, ООО (244 018.9286 руб., 1.05%)</t>
  </si>
  <si>
    <t>31 350 000</t>
  </si>
  <si>
    <t>magadan.office@kinross.com</t>
  </si>
  <si>
    <t>БЕРИНГ МЕТАЛС, ООО (n/a)</t>
  </si>
  <si>
    <t>18 628 060 000</t>
  </si>
  <si>
    <t>chebird@mail.ru, director@chpt.ru, direktor@chpt.ru, ssa@mail.ru</t>
  </si>
  <si>
    <t>www.spp.ru</t>
  </si>
  <si>
    <t>ОБЪЕДИНЕНИЕ СОЮЗПИЩЕПРОМ, ООО (183 858 166.25 руб., 99.94%)
БЕРСАР, ООО (112 555.6 руб., 0.060%)</t>
  </si>
  <si>
    <t>chebmilk@cheb.surnet.ru, chebmoloko@mail.ru, law_chebmilk@mail.ru, tenders@milk74.ru, tendert@milk74.ru</t>
  </si>
  <si>
    <t>milk74.ru</t>
  </si>
  <si>
    <t>174 900 000</t>
  </si>
  <si>
    <t>info@sespel-auto.ru, zaosespel@yandex.ru</t>
  </si>
  <si>
    <t>www.sespel-auto.ru, www.sespel.com</t>
  </si>
  <si>
    <t>zubkovalm@chlog.ru, zuevaov@chlog.ru</t>
  </si>
  <si>
    <t>chlog.ru</t>
  </si>
  <si>
    <t>Юнусов Рафаэль Сулейманович (5 100 руб., 51%)
Юнусов Эдуард Рафаэлевич (4 900 руб., 49%)</t>
  </si>
  <si>
    <t>holod@coolworld.chelny.ru, ice@coolworid.cheiny.ru, medvedev@chelny-holod.ru, priem@chelny-holod.ru</t>
  </si>
  <si>
    <t>chelny-holod.ru, www.chelni-holod.ucoz.ru</t>
  </si>
  <si>
    <t>98 950 000</t>
  </si>
  <si>
    <t>chelnybroiler@yandex.ru, galimova.alsu@chelny-broiler.ru</t>
  </si>
  <si>
    <t>chelny-broiler.ru</t>
  </si>
  <si>
    <t>МЭКТ, ЗАО (413 009 792 руб., 66.16%)
МЕГАПОЛИС, ООО (155 418 889 руб., 24.90%)
ЗК ЭНЕРГИЯ, АО (37 746 136 руб., 6.05%)
Фардиева Алсу Ильшатовна (18 053 069 руб., 2.89%)</t>
  </si>
  <si>
    <t>214 490 000</t>
  </si>
  <si>
    <t>nvbuharina@khp-chelny.ru, takhaveev@gmail.com</t>
  </si>
  <si>
    <t>khp-chelny.ru</t>
  </si>
  <si>
    <t>chelvtormet@modem.ru, post@chvm.profit.ru</t>
  </si>
  <si>
    <t>272 580 000</t>
  </si>
  <si>
    <t>sdep@cmz.ru, yurist13@mail.ru</t>
  </si>
  <si>
    <t>143 970 000</t>
  </si>
  <si>
    <t>trade1@tdchsk.ru, trade@tdchsk.ru</t>
  </si>
  <si>
    <t>tdchsk.ru</t>
  </si>
  <si>
    <t>Кувшинская Елена Владимировна (4 000 руб., 40%)
Бронникова Светлана Геннадьевна (3 000 руб., 30%)
Кулешов Павел Евгеньевич (3 000 руб., 30%)</t>
  </si>
  <si>
    <t>84 580 000</t>
  </si>
  <si>
    <t>zambuh@m-oil.ru</t>
  </si>
  <si>
    <t>Киселев Сергей Николаевич (767 777 777 руб., 98.70%)
Шиляева Елена Леонидовна (7 000 000 руб., 0.90%)
Митрофанова Дарья Александровна (1 500 000 руб., 0.20%)
Филимонова Екатерина Александровна (1 500 000 руб., 0.20%)</t>
  </si>
  <si>
    <t>altai@dominantsugar.ru, l.gorbacheva@dominantsugar.ru, sugar76@mail.ru, sugar@ab.ru</t>
  </si>
  <si>
    <t>www.reap.ru/news.asp?id=1&amp;year=2009&amp;xcode=0474</t>
  </si>
  <si>
    <t>1 353 380 000</t>
  </si>
  <si>
    <t>cheryauto@chery.ru</t>
  </si>
  <si>
    <t>www.chery.ru</t>
  </si>
  <si>
    <t>1 340 000</t>
  </si>
  <si>
    <t>АПК МИХАЙЛОВСКИЙ, ООО (100 000 руб., 100%)</t>
  </si>
  <si>
    <t>АПК МИХАЙЛОВСКИЙ, ООО (12 010 000 руб., 100%)</t>
  </si>
  <si>
    <t>2 840 450 000</t>
  </si>
  <si>
    <t>m.budarina@cherkizovo.com, r.k.islamov@cherkizovo.com</t>
  </si>
  <si>
    <t>АПК МИХАЙЛОВСКИЙ, ООО (325 277 991 руб., 100%)</t>
  </si>
  <si>
    <t>5 414 800 000</t>
  </si>
  <si>
    <t>tk-chermet@yandex.ru</t>
  </si>
  <si>
    <t>БРИК, АО (9 900 000 руб., 99%)
Боровков Роман Владимирович (100 000 руб., 1%)</t>
  </si>
  <si>
    <t>74 670 000</t>
  </si>
  <si>
    <t>coal@chernigovets.ru</t>
  </si>
  <si>
    <t>6 367 380 000</t>
  </si>
  <si>
    <t>УК ЭКСОЙЛ ГРУПП, ООО (1 380 000 000 руб., 75%)
Ванецян Карен (460 000 000 руб., 25%)</t>
  </si>
  <si>
    <t>esia@nvr.transneft.ru, fogela@nvr.transneft.ru, kayachevaoa@nvr.transneft.ru, stat@nvr.transneft.ru</t>
  </si>
  <si>
    <t>http://chernomor.transneft.ru/, www.nvr.transneft.ru</t>
  </si>
  <si>
    <t>ТРАНСНЕФТЬ, ПАО (263 497 руб.)</t>
  </si>
  <si>
    <t>1 179 780 000</t>
  </si>
  <si>
    <t>4 370 000</t>
  </si>
  <si>
    <t>ФНГ 4, ООО (416 093 000 руб., 100%)</t>
  </si>
  <si>
    <t>187 700 000</t>
  </si>
  <si>
    <t>chekhovsug@list.ru</t>
  </si>
  <si>
    <t>Степанцев Олег Васильевич (10 000 руб., 100%)</t>
  </si>
  <si>
    <t>79 740 000</t>
  </si>
  <si>
    <t>chechencement@bk.ru, chechencement@mail.ru, fincement@mail.ru</t>
  </si>
  <si>
    <t>atabieva.yakha@mail.ru, chechenelectro@mail.ru, chechenenergo95@mail.ru, chechenenergo@mail.ru, chechenergo.95@mail.ru, cheenergo@mai.ru, cheenergo@mail.ru, chehniaenerdgi@mail.ru, chenergo95@mail.ru, energosbit@chechenergo.ru</t>
  </si>
  <si>
    <t>gorkun@chzmek.ru, zakaz@chzmek.ru</t>
  </si>
  <si>
    <t>www.chzmek.ru</t>
  </si>
  <si>
    <t>Борисенко Василий Викторович (50 000 руб., 33.33%)
Жусупов Азамат Ауесханович (50 000 руб., 33.33%)
Кульпин Виталий Валерьевич (50 000 руб., 33.33%)</t>
  </si>
  <si>
    <t>208 090 000</t>
  </si>
  <si>
    <t>askorinina@profnasteel.ru, direktor@profnasteel.ru, mdokshina@profnasteel.ru, ncap@profnasteel.ru, referent@profnasteel.ru</t>
  </si>
  <si>
    <t>http://www.стройсистема.рф, www.profnasteel.ru</t>
  </si>
  <si>
    <t>СТАЛЬКОНСТРУКЦИЯ, ООО (82.97%)
Свеженцев Игорь Николаевич (4.37%)</t>
  </si>
  <si>
    <t>info@tchibo.ru</t>
  </si>
  <si>
    <t>www.tchibo.ru</t>
  </si>
  <si>
    <t>МВК, ООО (287 044 711.2 руб., 78%)
ЧИБО СНГ, ООО (80 961 328.8 руб., 22%)</t>
  </si>
  <si>
    <t>Аникин Евгений Викторович (111 000 руб., 37%)
Глебанов Игорь Юрьевич (111 000 руб., 37%)
Осанчук Олег Григорьевич (78 000 руб., 26%)</t>
  </si>
  <si>
    <t>85 470 000</t>
  </si>
  <si>
    <t>2011@chipdip.ru, sales@chipdip.ru</t>
  </si>
  <si>
    <t>www.chipdip.ru</t>
  </si>
  <si>
    <t>693 230 000</t>
  </si>
  <si>
    <t>olga.kuznetsova@chipita.ru, rus@mdlz.com</t>
  </si>
  <si>
    <t>www.chipita.com</t>
  </si>
  <si>
    <t>ООО "КРАФТ ФУДС ДОЙЧЛАНД ХОЛДИНГ ГМБХ" (1 313 019 222.08 руб., 100%)</t>
  </si>
  <si>
    <t>chges@chges.ru, chirges@mail.ru, gorsheninve@chges.ru, kochievrp@rushydro.ru, rost@rrost.ru, zakupki646869@yandex.ru</t>
  </si>
  <si>
    <t>www.chges.ru</t>
  </si>
  <si>
    <t>Матинян Тигран Вануниевич (692 000 руб., 34.60%)
Эвоян Гагик Русланович (692 000 руб., 34.60%)
Торосян Армен Степанович (300 000 руб., 15%)
Галант Павел Владимирович (200 000 руб., 10%)
Эвоян Артак Русланович (83 000 руб., 4.15%)
Бениаминов Армен Иосифович (33 000 руб., 1.65%)</t>
  </si>
  <si>
    <t>764 320 000</t>
  </si>
  <si>
    <t>spkchistogorsk@mail.ru</t>
  </si>
  <si>
    <t>СИБАГРО, АО (102 895 103.73 руб., 100%)</t>
  </si>
  <si>
    <t>zrm16rus@gmail.com</t>
  </si>
  <si>
    <t>zrm16rus.ru</t>
  </si>
  <si>
    <t>Губайдуллин Ильдар Гайсович (510 000 руб., 100%)</t>
  </si>
  <si>
    <t>663 720 000</t>
  </si>
  <si>
    <t>bogushevich_as@e-sbyt.ru, cgrmo@mail.ru, chgmro@esbyt.ru, chgmro@mail.ru, chitaenergo@mail.ru, cwtp@mail.ru, delo@e-sby.ru, delo@e-sbyt.ru, e.sb@mail.ru, esbit@bur.esbyt.ru</t>
  </si>
  <si>
    <t>www.e-sbyt.ru, www.e-sbyt.ru/?page_id=47</t>
  </si>
  <si>
    <t>admin@maslozavod.ru, econ@maslozavod.ru</t>
  </si>
  <si>
    <t>chishma-servicecenter.ru</t>
  </si>
  <si>
    <t>Махрова Марина Ивановна (100 000 руб., 100%)</t>
  </si>
  <si>
    <t>2 293 460 000</t>
  </si>
  <si>
    <t>bugh@chkpz.ru, deklarant@chkpz.ru, market@chkpz.ru, zb@chkpz.ru</t>
  </si>
  <si>
    <t>www.chkpz.ru</t>
  </si>
  <si>
    <t>3517230181@mail.ru, aleksey.kravchenko@chkts.ru, anna.lenk@chkts.ru, arina.lapteva@chkts.ru, bkgg@mail.ru, chcts@mail.ru, chktc@chktc.ru, chktc@mail.ru, chkts@chcts.ru, chkts@chel.ru</t>
  </si>
  <si>
    <t>Челябинская обл, ГОРОД ЧЕЛЯБИНСК (11 805 000 руб., 100%)</t>
  </si>
  <si>
    <t>chlmz@chlmz.ru</t>
  </si>
  <si>
    <t>www.chlmz.ru</t>
  </si>
  <si>
    <t>4 190 000</t>
  </si>
  <si>
    <t>charushina_ns@chmz.ru, chebotarevskii_dv@omk.ru, chudinova_ov@chmz.ru, hodyreva_vv@chmz.ru, info@chmz.ru, odo@chmz.ru, shibanova_md@omk.ru</t>
  </si>
  <si>
    <t>www.omk.ru/chmz, оао-чмз.рф/отчеты</t>
  </si>
  <si>
    <t>ВМЗ, АО (n/a)</t>
  </si>
  <si>
    <t>Производство изделий из проволоки и пружин</t>
  </si>
  <si>
    <t>21 450 000</t>
  </si>
  <si>
    <t>post@chmz.net, versh79@mail.ru</t>
  </si>
  <si>
    <t>www.chmz.net</t>
  </si>
  <si>
    <t>ТВЭЛ, АО (86.49%)</t>
  </si>
  <si>
    <t>dou@cmz.ru, office@cmz.ru, sudnicina@mail.ru, zamgb@cmz.ru</t>
  </si>
  <si>
    <t>www.cmz.ru</t>
  </si>
  <si>
    <t>Вагин Юрий Петрович (54.67%)
Вагина Людмила Александровна (25.88%)</t>
  </si>
  <si>
    <t>buh.midstrim@gmail.com, info@chngg.ru, nfo@chngg.ru, pivovarova_ao@chngg.ru, rozhkova_ai@chngg.ru</t>
  </si>
  <si>
    <t>chnggaz.ru</t>
  </si>
  <si>
    <t>ЧЕРНОМОРНЕФТЕГАЗ, ГУП РК (600 000 000 руб., 100%)</t>
  </si>
  <si>
    <t>rfhwtdf.1@mail.ru</t>
  </si>
  <si>
    <t>Баширов Рашмир Эмирбекович (1 250 000 руб., 100%)</t>
  </si>
  <si>
    <t>chsb05@mail.ru, chsb911@mail.ru</t>
  </si>
  <si>
    <t>Магомедова Залина Залимхановна (250 000 руб., 100%)</t>
  </si>
  <si>
    <t>14 070 000</t>
  </si>
  <si>
    <t>guzel.muslimova@sugar.chishma.raz.ru, taras.ivanov@raz.ru</t>
  </si>
  <si>
    <t>www.sofocleous.com.cy</t>
  </si>
  <si>
    <t>AVG AGRO GLOBAL LTD (95.06%)</t>
  </si>
  <si>
    <t>353 810 000</t>
  </si>
  <si>
    <t>chszlp.ru</t>
  </si>
  <si>
    <t>ЧАГОДОЩЕНСКИЙ СТЕКЛОЗАВОД И К , ООО ЧСЗ И К, ООО (1 417 680 000 руб., 99%)
РСХБ-ФИНАНС, ООО (14 320 000 руб., 1%)</t>
  </si>
  <si>
    <t>chukotka1@mail.ru, chukotkatrading@yandex.com, denis@chtcom.ru, fkufeo_88@yandex.ru, info@chtkom.com, sekretar@chtcom.ru, sekretar@chutcom.ru, soldatenko@chtcom.ru, soldatenkovg@chtcom.ru, thtk@mail.ru</t>
  </si>
  <si>
    <t>chhp@cbx.ru, elevator@chhp.ru, elevator_21@mail.ru, etp_chhp@mail.ru, feoelevator@mail.ru, market_71@bk.ru, ot.optp_chhp@mail.ru</t>
  </si>
  <si>
    <t>МИНЭКОНОМРАЗВИТИЯ ЧУВАШИИ (100%)</t>
  </si>
  <si>
    <t>alexeeva@chsnab.chukotka.ru, buhzam@chsnab.chukotka.ru, buy@chsnab.chukotka.ru, chukotsnab@anadyr.ru, chukotsnab@mail.ru, chukotsnab@ya.ru, nab@chsnab.chukotka.ru, opir07@chsnab.chukotka.ru, ornp@chsnab.chukotka.ru, snab@chsnab.chucotka.ru</t>
  </si>
  <si>
    <t>Чукотский АО (6 673 976 000 руб., 100%)</t>
  </si>
  <si>
    <t>a.priem@chukotenergo.ru, akcii@chukotenergo.ru, anikeich_yv@chukotenergo.ru, anna.tchekletsova@yandex.ru, apriem@chukotenargo.ru, apriem@chukotenergo.ru, aptiem@chukotenergo.ru, bragina_na@nnet.chukotenergo.ru, chener@chukotenergo.ru, chener@chukotnet.ru</t>
  </si>
  <si>
    <t>www.magadanenergo.ru/subhead20.htm</t>
  </si>
  <si>
    <t>РУСГИДРО, ПАО (18 000 000 000 руб.)</t>
  </si>
  <si>
    <t>ain.fmk@gmail.com, chfmk@mail.ru, fmk@cfmk.ru, sr@cfmk.ru</t>
  </si>
  <si>
    <t>www.cfmk.ru</t>
  </si>
  <si>
    <t>2 936 480 000</t>
  </si>
  <si>
    <t>aet@zinc.ru, aiz@zinl.ru, alz@zinl.ru, ayuk@zinc.ru, eib@zinc.ru, io@zinc.ru, maa@zinc.ru, omg@zink.ru, tse@zinc.ru, vab@zinc.ru</t>
  </si>
  <si>
    <t>УРАЛЬСКАЯ ГОРНО-МЕТАЛЛУРГИЧЕСКАЯ КОМПАНИЯ , ОАО УГМК, ОАО (97.78%)</t>
  </si>
  <si>
    <t>\\aksenovaaa@chemk.ru, \\dol-akakul@chemk.ru, aksenovaaa@chemk.ru, dol-akakul@chemk.ru, hodorovskij@chemk.ru, info@chemk.ru, romodin@chemk.ru</t>
  </si>
  <si>
    <t>www.chemk.ru</t>
  </si>
  <si>
    <t>УСМК, АО (11 911 327 601 руб.)</t>
  </si>
  <si>
    <t>2 173 950 000</t>
  </si>
  <si>
    <t>cheta@cheta.ru</t>
  </si>
  <si>
    <t>www.cheta.ru</t>
  </si>
  <si>
    <t>Колбасов Александр Васильевич (10 000 000 руб., 100%)</t>
  </si>
  <si>
    <t>390 610 000</t>
  </si>
  <si>
    <t>office@shaaz.ru, opra@shaaz.ru, postmaster@shaaz.ru</t>
  </si>
  <si>
    <t>www.shaaz.ru</t>
  </si>
  <si>
    <t>УРАЛЬСКАЯ ГОРНО-МЕТАЛЛУРГИЧЕСКАЯ КОМПАНИЯ , ОАО УГМК, ОАО (66.79%)
Колотушкин Владимир Сергеевич (0.0060%)</t>
  </si>
  <si>
    <t>mc-rasch1@shamsa.net, personal@shamsa.net</t>
  </si>
  <si>
    <t>ШАМСА-ХОЛДИНГ, ООО (510 000 руб., 100%)</t>
  </si>
  <si>
    <t>www.chanel.com, www.chanel.ru</t>
  </si>
  <si>
    <t>КОМПАНИЯ "ШАНЕЛЬ" (6 237 000 руб., 99%)
ШАНЕЛЬ ПАРФАМ БОТЕ (63 000 руб., 1%)</t>
  </si>
  <si>
    <t>shans-trade@yandex.ru</t>
  </si>
  <si>
    <t>https://shans-group.com/</t>
  </si>
  <si>
    <t>Тахмезова Севиля Нуфпашаевна (101 000 руб., 100%)</t>
  </si>
  <si>
    <t>info@sh-ent.ru</t>
  </si>
  <si>
    <t>Кадашова Ругия Шейиховна (2 441 637 416.25 руб., 68.06%)
Джавадов Абдусалам Магомедалимович (1 145 266 507.18 руб., 31.94%)</t>
  </si>
  <si>
    <t>693 130 000</t>
  </si>
  <si>
    <t>Лю Сюань (5 000 руб., 50%)
Шань Цинфэн (5 000 руб., 50%)</t>
  </si>
  <si>
    <t>172 810 000</t>
  </si>
  <si>
    <t>info.msk@shate-m.com, natalya.streltsova@shate-m.ru</t>
  </si>
  <si>
    <t>www.shate-m.ru</t>
  </si>
  <si>
    <t>БОЛГЕР ЭНТЕРПРАЙЗИЗ ЛИМИТЕД (10 000 000 руб., 100%)</t>
  </si>
  <si>
    <t>467 320 000</t>
  </si>
  <si>
    <t>info@schattdecor.ru, s.rempel@shattdecor.ru</t>
  </si>
  <si>
    <t>www.schattdecor.com, www.schattdecor.de</t>
  </si>
  <si>
    <t>ШАТТДЕКОР СЕ (252 280 000 руб., 100%)
ШАТТДЕКОР АГ (200 000 000 руб., 79.28%)</t>
  </si>
  <si>
    <t>726 280 000</t>
  </si>
  <si>
    <t>a.v.shilov@shatura.com, i.i.ivanov@shatura.com, info@shatura.com, n.v.sokolsckaya@shatura.com, n.v.sokolskaya@mail.ru, n.v.sokolskaya@shatura.com</t>
  </si>
  <si>
    <t>www.shatura.com</t>
  </si>
  <si>
    <t>91 240 000</t>
  </si>
  <si>
    <t>officebaik@moch.kru.ru, skudarnova@moch.kru.ru</t>
  </si>
  <si>
    <t>УК КУЗБАССРАЗРЕЗУГОЛЬ, АО (10 000 руб., 100%)</t>
  </si>
  <si>
    <t>beligz@belovskaya.ru, bellovskay@mail.ru, zao-belovo@mail.ru</t>
  </si>
  <si>
    <t>185 150 000</t>
  </si>
  <si>
    <t>tih.ktz@koks.metholding.ru</t>
  </si>
  <si>
    <t>КОКС, ПАО (40 000 руб., 100%)</t>
  </si>
  <si>
    <t>office2@list.hcsds.ru</t>
  </si>
  <si>
    <t>СДС-УГОЛЬ, АО ХК (7 015 371 006 руб., 100%)</t>
  </si>
  <si>
    <t>irina.karkavina@evraz.com</t>
  </si>
  <si>
    <t>ОУК ЮЖКУЗБАССУГОЛЬ, АО (497 226 400 руб., 100%)</t>
  </si>
  <si>
    <t>3 688 880 000</t>
  </si>
  <si>
    <t>ubil.info@topprom.su</t>
  </si>
  <si>
    <t>ТОППРОМ, АО (219 229 965.59 руб., 99%)
Королев Николай Владимирович (2 214 444.1 руб., 1%)</t>
  </si>
  <si>
    <t>1 151 520 000</t>
  </si>
  <si>
    <t>markinskiy.ru, www.unitile.ru</t>
  </si>
  <si>
    <t>145 370 000</t>
  </si>
  <si>
    <t>aleksey@kis.kuzbass.net, may-office@sds-ugol.ru</t>
  </si>
  <si>
    <t>СДС-УГОЛЬ, АО ХК (2 000 000 руб., 100%)</t>
  </si>
  <si>
    <t>ponomarenkoiv@mshuo.ru</t>
  </si>
  <si>
    <t>www.ruscoal.ru/ustobuh</t>
  </si>
  <si>
    <t>296 610 000</t>
  </si>
  <si>
    <t>mail@sadkinskoe.ru</t>
  </si>
  <si>
    <t>southcoal.ru</t>
  </si>
  <si>
    <t>ХК ЮЖУГОЛЬ, ООО (114 010 000 руб., 100%)</t>
  </si>
  <si>
    <t>1 228 530 000</t>
  </si>
  <si>
    <t>info@shelco.ru</t>
  </si>
  <si>
    <t>shelco.ru</t>
  </si>
  <si>
    <t>Плехов Илья Александрович (4 400 руб., 44%)
Щелконогов Андрей Юрьевич (4 400 руб., 44%)
Заводов Артём Юрьевич (1 200 руб., 12%)</t>
  </si>
  <si>
    <t>58 120 000</t>
  </si>
  <si>
    <t>golovacheva@sh200.ru, info@sh2000.ru</t>
  </si>
  <si>
    <t>www.loshkarev.ru</t>
  </si>
  <si>
    <t>Зайцев Дмитрий Анатольевич (25 000 руб., 100%)</t>
  </si>
  <si>
    <t>info.russia@db.schenker.com, info@schenker.com.ru, inforussia@dbschenker.com</t>
  </si>
  <si>
    <t>www.dbschenker.com, www.dbschenker.com/ru-ru, www.schenker.com.ru, wwwdbschenker.ru</t>
  </si>
  <si>
    <t>aeromach@mtu-net.ru, www.sb.sekretar@svo.aero</t>
  </si>
  <si>
    <t>aeromash.ru</t>
  </si>
  <si>
    <t>АЭРОФЛОТ, ПАО (45%)</t>
  </si>
  <si>
    <t>83 960 000</t>
  </si>
  <si>
    <t>contract1@vipint.ru, contract@bipint.ru, contract@vipint.ru, contractl@vipint.ru, contrakt@vipint.ru, grigorova@vipint.ru, if.lyamina@svo.aero, sn.sudarikova@svo.aero, sudarikova@vipint.ru, vz@svo.aero</t>
  </si>
  <si>
    <t>www.vipint.ru</t>
  </si>
  <si>
    <t>МАШ, АО (50 000 руб., 100%)</t>
  </si>
  <si>
    <t>1 039 210 000</t>
  </si>
  <si>
    <t>efremova_ya@svo.aero, gh@svo.aero, tendershh@svo.aero</t>
  </si>
  <si>
    <t>www.svo.aero</t>
  </si>
  <si>
    <t>МАШ, АО (802 683 000 руб., 100%)</t>
  </si>
  <si>
    <t>k.docenko@shestaki.stroyservis.com, shestaki@stroyservis.com</t>
  </si>
  <si>
    <t>marat-sup@shoil.tatais.ru, sh_oil@mail.ru, sheshmaoil@tatais.ru</t>
  </si>
  <si>
    <t>sheshmaoil.ru</t>
  </si>
  <si>
    <t>firma@shininvest.ru, shininv@chel.surnet.ru, svanyukov@mail.ru</t>
  </si>
  <si>
    <t>Ванюков Сергей Юрьевич (12 780 руб., 45%)
Дедович Михаил Владимирович (12 780 руб., 45%)
Уваров Вячеслав Владимирович (2 840 руб., 10%)</t>
  </si>
  <si>
    <t>239 230 000</t>
  </si>
  <si>
    <t>info255@shinservice.ru</t>
  </si>
  <si>
    <t>shinservice.ru</t>
  </si>
  <si>
    <t>Казарян Карен Альбертович (500 000 руб., 50%)
Колпакова Елена Всеволодовна (500 000 руб., 50%)</t>
  </si>
  <si>
    <t>1 082 980 000</t>
  </si>
  <si>
    <t>nn.gosteva@skdp.ru</t>
  </si>
  <si>
    <t>skdp.ru</t>
  </si>
  <si>
    <t>УК ВЛП, ООО (5 000 руб., 50%)
ЧФМК, АО (5 000 руб., 50%)</t>
  </si>
  <si>
    <t>help.bal@yandex.ru, n.shamparova@shkuz.com</t>
  </si>
  <si>
    <t>shkuz.ru</t>
  </si>
  <si>
    <t>ТРИАН, ООО (150 000 руб., 100%)</t>
  </si>
  <si>
    <t>165 540 000</t>
  </si>
  <si>
    <t>shlakservis@mmk.ru</t>
  </si>
  <si>
    <t>ММК, ПАО (5 500 000 руб., 100%)</t>
  </si>
  <si>
    <t>Обработка прочего вторичного неметаллического сырья</t>
  </si>
  <si>
    <t>33 880 000</t>
  </si>
  <si>
    <t>tsalakhova@slb.com</t>
  </si>
  <si>
    <t>ТЕХНОЛОГИЧЕСКАЯ КОМПАНИЯ ШЛЮМБЕРЖЕ, ООО (6 000 000 руб., 100%)</t>
  </si>
  <si>
    <t>elena.paimulkina@naraavto.ru</t>
  </si>
  <si>
    <t>www.cargobull.com</t>
  </si>
  <si>
    <t>НАРА АВТО ТРАНС, ООО (4 733 941.48 руб., 100%)</t>
  </si>
  <si>
    <t>399 350 000</t>
  </si>
  <si>
    <t>yola-agro.ru</t>
  </si>
  <si>
    <t>918 630 000</t>
  </si>
  <si>
    <t>doma-tv.ru</t>
  </si>
  <si>
    <t>ЛЕОМАКС, АО (11 160 000 руб., 100%)</t>
  </si>
  <si>
    <t>135 340 000</t>
  </si>
  <si>
    <t>a.ivanova@ooo-shsu.ru</t>
  </si>
  <si>
    <t>ВЕРТИКАЛЬ, АО (34 754 579.04 руб., 24%)
ГОРИЗОНТ, АО (27 514 041.74 руб., 19%)
СПЕКТР, АО (27 514 041.74 руб., 19%)
СТРАТЕГИЯ, АО (27 514 041.74 руб., 19%)
УЧАЛИНСКИЙ ГОК, АО (27 514 041.74 руб., 19%)</t>
  </si>
  <si>
    <t>116 960 000</t>
  </si>
  <si>
    <t>www.storck.com, www.storck.de, www.storck.ru</t>
  </si>
  <si>
    <t>ФИРМА "ШТОРК БЕТАЙЛИГУНГЕН ГМБХ" (3 960 000 руб., 99%)
ФИРМА "АУГУСТ ШТОРК КГ" (40 000 руб., 1%)</t>
  </si>
  <si>
    <t>429 300 000</t>
  </si>
  <si>
    <t>info@strabag.com</t>
  </si>
  <si>
    <t>www.strabag.com</t>
  </si>
  <si>
    <t>natalia.vasiltsova@straumann.com</t>
  </si>
  <si>
    <t>straumann.ru, www.straumann.com</t>
  </si>
  <si>
    <t>Straumann Holding AG (21 000 000 руб., 100%)</t>
  </si>
  <si>
    <t>136 880 000</t>
  </si>
  <si>
    <t>info@strauss-group.ru</t>
  </si>
  <si>
    <t>www.strauss-group.ru</t>
  </si>
  <si>
    <t>Частная компания с ограниченной ответственностью "Штраус Кофе Би Ви" (3 499 000 руб., 99.97%)
Union Kaffee Holding B.V. (1 000 руб., 0.030%)</t>
  </si>
  <si>
    <t>144 760 000</t>
  </si>
  <si>
    <t>lager@schueco.ru, office@schueco.ru</t>
  </si>
  <si>
    <t>www.schueco.ru</t>
  </si>
  <si>
    <t>63 320 000</t>
  </si>
  <si>
    <t>ao@azot.net, avs@azot.net, azot@azot.net, fee@azot.net, info@n-azot.ru, kvb@azot.net, msb@azot.net, shekinoazot@mail.ru</t>
  </si>
  <si>
    <t xml:space="preserve">www.n-azot.ru, www.n-azot.ru </t>
  </si>
  <si>
    <t>821 120 000</t>
  </si>
  <si>
    <t>aav@azot.net, azot@azot.net</t>
  </si>
  <si>
    <t>www.azot.net, www.n-azot.ru</t>
  </si>
  <si>
    <t>ЩЕКИНОАЗОТ, ООО ОХК (21 832 737 руб., 100%)</t>
  </si>
  <si>
    <t>59 200 000</t>
  </si>
  <si>
    <t>kazan@betaren.ru, kuznetsova.t@betaren.ru, tender@betaren.ru</t>
  </si>
  <si>
    <t>www.betaren.ru</t>
  </si>
  <si>
    <t>3 659 350 000</t>
  </si>
  <si>
    <t>shmpk.ru</t>
  </si>
  <si>
    <t>Алоян Гайк Николаевич (1 500 000 руб., 75%)
Хачатурян Сергей Сократович (500 000 руб., 25%)</t>
  </si>
  <si>
    <t>91 940 000</t>
  </si>
  <si>
    <t>296 150 000</t>
  </si>
  <si>
    <t>mail@rdholding.ru, mantulin.ms@rdholding.ru, titova@rdholding.ru, vasilyeva@schigry.rdholding.ru</t>
  </si>
  <si>
    <t>shkhp.ru, www.rdholding.ru</t>
  </si>
  <si>
    <t>105 620 000</t>
  </si>
  <si>
    <t>inft@shlz.ru, kristina.kabykova@shlz.ru, lift@hclz.ru, lift@shlz.ru, lift@shzl.ru, muraviev@shlz.ru, ryabinina@shlz.ru, u101184@dialup.podolsk.ru, vukolova@shlz.ru</t>
  </si>
  <si>
    <t>www.shlz.ru</t>
  </si>
  <si>
    <t>info@agrotambov.ru</t>
  </si>
  <si>
    <t>Мурадов Мурад Абдулкадирович (7 282.2 руб., 50%)
Ризаев Рахман Гаджимирзаевич (7 282.2 руб., 50%)</t>
  </si>
  <si>
    <t>ЭББВИ ИНТЕРНЕШНЛ ХОЛДИНГС АНЛИМИТЕД КАМПАНИ (5 100 009 999 руб., 100%)
ЭББВИ ЭНТЕРПРАЙЗЕС Б.В. (1 руб.)</t>
  </si>
  <si>
    <t>abdukarimova@abbott.com, add.contracts.russia@abbott.com, erzhena.lobanova@abbott.com, info@freestylediabetes.ru, ivan@yandex.ru, natalia.lobacheva@abbott.com, olga.glazkova@abbott.com, regina.abdukarimova@abbott.com, tatiana.kalichinina@abbott.com</t>
  </si>
  <si>
    <t>www.abbott-russia.ru, www.abbott.com, www.ru.abbott</t>
  </si>
  <si>
    <t>Abbott Poland Luxembourg S.a r.l. (1 499 850 руб., 99.99%)
ЭББОТТ ВОЛГА ЛЮКСЕМБУРГ С.А Р.Л. (150 руб., 0.010%)</t>
  </si>
  <si>
    <t>anna.shiryaeva@evalar.com, ushakova@evalar.ru, vacor@evalar.ru</t>
  </si>
  <si>
    <t>www.evalar.ru</t>
  </si>
  <si>
    <t>1 497 780 000</t>
  </si>
  <si>
    <t>ask@matriks.group, e.ozhogina@aoeks.ru</t>
  </si>
  <si>
    <t>44 940 000</t>
  </si>
  <si>
    <t>Карбовничий Сергей Александрович (10 000 руб., 100%)</t>
  </si>
  <si>
    <t>2 530 000</t>
  </si>
  <si>
    <t>Шидло Владимир Николаевич (10 000 руб., 100%)</t>
  </si>
  <si>
    <t>1 310 000</t>
  </si>
  <si>
    <t>osharapova@everest-pkf.ru, pkfeverest2@mail.ru</t>
  </si>
  <si>
    <t>www.everest-grupp.ru</t>
  </si>
  <si>
    <t>Маликов Юрий Владимирович (100 000 руб., 51%)
Маликова Наталия Николаевна (96 078.43 руб., 49%)</t>
  </si>
  <si>
    <t>31 970 000</t>
  </si>
  <si>
    <t>Шеин Андрей Юрьевич (10 000 руб., 100%)</t>
  </si>
  <si>
    <t>290 000</t>
  </si>
  <si>
    <t>alex.protsenko@eur.crowncork.com</t>
  </si>
  <si>
    <t>КОМПАНИЯ ОГРАНИЧЕННОЙ ОТВЕТСТВЕННОСТИ "ЭВИОСИС ПЭКЭДЖИНГ НИДЕРЛАНДС ИНВЕСТМЕНТС Б.В." (116 724 377 руб., 100%)</t>
  </si>
  <si>
    <t>38 750 000</t>
  </si>
  <si>
    <t>elena.khatetovskaya@evonik.com, evonik-chimia@evonik.com</t>
  </si>
  <si>
    <t>degussa.com, www.sorry.evonik.com</t>
  </si>
  <si>
    <t>ЭВОНИК ДЕГУССА ГМБХ (35 861 600 руб., 100%)</t>
  </si>
  <si>
    <t>232 970 000</t>
  </si>
  <si>
    <t>career@evotor.ru, dmp@evotor.ru, evostat@evotor.ru, info@evotor.ru, pr@evotor.ru, security@evotor.ru, sergeiulzhusev@yandex.ru, support@evotor.ru</t>
  </si>
  <si>
    <t>evotor.ru</t>
  </si>
  <si>
    <t>info@sladskaz.ru, ovk@sladskaz.ru</t>
  </si>
  <si>
    <t>www.sladskaz.ru</t>
  </si>
  <si>
    <t>"ЭЙШН ГЛОБАЛ ДЕВЕЛОПМЕНТ ЛИМИТЕД" (50 000 руб., 100%)</t>
  </si>
  <si>
    <t>sekrebaz@evenx.ru, sekretar@evenx.ru</t>
  </si>
  <si>
    <t>evenx.ru</t>
  </si>
  <si>
    <t>Шустов Игорь Анатольевич (5 000 руб., 50%)
Маренков Лев Алексеевич (1 667 руб., 16.67%)
Маренкова Диана Алексеевна (1 667 руб., 16.67%)
Маренкова Нина Алексеевна (1 666 руб., 16.66%)</t>
  </si>
  <si>
    <t>18 670 000</t>
  </si>
  <si>
    <t>anton.sebanz@egger.com, gagarin@gfz.su, pna@gfz.su</t>
  </si>
  <si>
    <t>ЭГГЕР ДРЕВПРОДУКТ ШУЯ, ООО (3 233 887 204.73 руб., 50.99%)
Egger Osteuropa Beteiligungsverwaltung GmbH (3 107 168 098.66 руб., 49.00%)</t>
  </si>
  <si>
    <t>1 882 890 000</t>
  </si>
  <si>
    <t>andrey.balakirev@egger.com</t>
  </si>
  <si>
    <t>egger-sampleshop.ru</t>
  </si>
  <si>
    <t>Egger Osteuropa Beteiligungsverwaltung GmbH (1 839 550 796.3 руб., 99.90%)
Egger Investment Holding GmbH (1 839 550.8 руб., 0.10%)</t>
  </si>
  <si>
    <t>623 850 000</t>
  </si>
  <si>
    <t>g.fayzullina@egida.ru, o.firsova@egida.ru</t>
  </si>
  <si>
    <t>www.egida.ru</t>
  </si>
  <si>
    <t>Гайнуллов Мансур Фатыхович (3 000 000 руб., 20%)
Калинин Юрий Владимирович (3 000 000 руб., 20%)
Мустафин Рев Латфуллович (3 000 000 руб., 20%)
Хлебников Валерий Иванович (3 000 000 руб., 20%)
Широков Сергей Иванович (3 000 000 руб., 20%)</t>
  </si>
  <si>
    <t>133 070 000</t>
  </si>
  <si>
    <t>5259113794@mail.ru</t>
  </si>
  <si>
    <t>egidamilk.ru</t>
  </si>
  <si>
    <t>Калашников Сергей Владимирович (10 000 руб., 100%)</t>
  </si>
  <si>
    <t>kazan@egida.ru</t>
  </si>
  <si>
    <t>Гайнуллов Мансур Фатыхович (360 000 руб., 20%)
Калинин Юрий Владимирович (360 000 руб., 20%)
Мустафин Рев Латфуллович (360 000 руб., 20%)
Хлебников Валерий Иванович (360 000 руб., 20%)
Широков Сергей Иванович (360 000 руб., 20%)</t>
  </si>
  <si>
    <t>303 950 000</t>
  </si>
  <si>
    <t>edaspak@edaspak.ru, info@edaspak.ru</t>
  </si>
  <si>
    <t>www.easpak.ru, www.edaspak.ru</t>
  </si>
  <si>
    <t>67 090 000</t>
  </si>
  <si>
    <t>ioanstepanov@gmail.com</t>
  </si>
  <si>
    <t>Малахова Елена Борисовна (1 000 000 руб., 50%)
Степанов Иван Александрович (1 000 000 руб., 50%)</t>
  </si>
  <si>
    <t>s.tikhonova@ids-borjomi.com, urist@edelweis.ru</t>
  </si>
  <si>
    <t>КОМПАНИЯ "ХАЙРОАД ХОЛДИНГС ЛИМИТЕД" (HIGHROAD HOLDINGS LIMITED) (121 436 611 руб., 100%)</t>
  </si>
  <si>
    <t>3801078477@mail.ru</t>
  </si>
  <si>
    <t>Сарин Ринат Салимьянович (5 625 000 руб., 100%)</t>
  </si>
  <si>
    <t>УК АЛЬЯНС, ООО (10 000 руб., 100%)</t>
  </si>
  <si>
    <t>35 620 000</t>
  </si>
  <si>
    <t>226@holodilnik.ru, 234@holodilnik.ru, corp@holodilnik.ru, info@holodilnik.ru, press@holodilnik.ru, stolzakazov@holodilnik.ru, ta@holodilnik.ru</t>
  </si>
  <si>
    <t>www.opt-union.ru/holodilnik</t>
  </si>
  <si>
    <t>Компания "ГЕЛАНСЕ ЕНТЕРПРАЙСИС ЛИМИТЕД" (GELANCE E (1 000 000 руб., 100%)</t>
  </si>
  <si>
    <t>"ЭЙ ДЖИ СИ ГЛАСС ЕВРОПА" АКЦИОНЕРНОЕ ОБЩЕСТВО (4 259 767 910.45 руб., 100%)</t>
  </si>
  <si>
    <t>3 477 920 000</t>
  </si>
  <si>
    <t>КОМПАНИЯ С ОГРАНИЧЕННОЙ ОТВЕТСТВЕННОСТЬЮ "ЛЕРОНДЕЙЛ ЭССЕТС ЛИМИТЕД" (90 010 руб., 90.01%)
СБЕРБАНК ИНВЕСТИЦИИ, ООО (9 990 руб., 9.99%)</t>
  </si>
  <si>
    <t>www.aandd.ru, www.and-rus.ru</t>
  </si>
  <si>
    <t>ЭЙ ЭНД ДИ КОМПАНИ, ЛИМИТЕД (505 247 680.29 руб., 100%)</t>
  </si>
  <si>
    <t>461 380 000</t>
  </si>
  <si>
    <t>gancheva-mv@aptraok.ru, meleshko_sa@aptrade.ru</t>
  </si>
  <si>
    <t>aptrade.ru</t>
  </si>
  <si>
    <t>Владимиров Юрий Михайлович (9 500 руб., 95%)
Самохин Тимур Андреевич (500 руб., 5%)</t>
  </si>
  <si>
    <t>260 920 000</t>
  </si>
  <si>
    <t>Аниковская Наталья Викторовна (190 000 руб., 38%)
Гладков Александр Владимирович (190 000 руб., 38%)
Трекулов Александр Анатольевич (120 000 руб., 24%)</t>
  </si>
  <si>
    <t>25 640 000</t>
  </si>
  <si>
    <t>avon.russia@avon.com</t>
  </si>
  <si>
    <t>www.avon.ru</t>
  </si>
  <si>
    <t>Avon Netherlands Holdings II B.V. (600 352 201.87 руб., 100%)</t>
  </si>
  <si>
    <t>938 440 000</t>
  </si>
  <si>
    <t>shishkin.mos@mail.ru, spb@airtranss.ru, yard@airtranss.ru</t>
  </si>
  <si>
    <t>airtranss.ru</t>
  </si>
  <si>
    <t>Гусев Сергей Анатольевич (7 420.5 руб., 35%)
Мишечкин Сергей Владимирович (7 420.5 руб., 35%)
Соколовский Александр Вадимович (3 180.21 руб., 15%)
Бекоев Владислав Иранович (3 180.2 руб., 15%)</t>
  </si>
  <si>
    <t>130 860 000</t>
  </si>
  <si>
    <t>www.hitachiabb-powergrids.com</t>
  </si>
  <si>
    <t>ОБОРУДОВАНИЕ ДЛЯ ЭНЕРГЕТИКИ, ООО (100 000 руб., 100%)</t>
  </si>
  <si>
    <t>ЧАСТНАЯ КОМПАНИЯ С ОГРАНИЧЕННОЙ ОТВЕТСТВЕННОСТЬЮ "АЛЬФА ХОЛДИНГ УАН Б.В." (99 990 руб., 99.99%)
ЧАСТНАЯ КОМПАНИЯ С ОГРАНИЧЕННОЙ ОТВЕТСТВЕННОСТЬЮ "ПЕРСЕУС ХОЛДИНГ Б.В." (10 руб., 0.010%)</t>
  </si>
  <si>
    <t>277 930 000</t>
  </si>
  <si>
    <t>1@1bk.ru, 608093@mail.ru, atsvetkova@vostok-electra.ru, beloglazova_oi@en.sby.ru, echeplakova@yritz.ru, electra@vostok.mail.ru, ibfo.surgut@yritz.ru, infi.surgut@yuritz.ru, info.surgut@eritz.ru, info.surgut@yaritz.ru</t>
  </si>
  <si>
    <t>tesbyt.ru</t>
  </si>
  <si>
    <t>1 245 800 000</t>
  </si>
  <si>
    <t>inbox@sti.spb.ru, indox.ksi@ek_sti.ru</t>
  </si>
  <si>
    <t>ek-sti.ru</t>
  </si>
  <si>
    <t>Аблатаев Данияр Абдуллаевич (10 000 руб., 100%)</t>
  </si>
  <si>
    <t>31 040 000</t>
  </si>
  <si>
    <t>ao.ek@bk.ru</t>
  </si>
  <si>
    <t>1 499 740 000</t>
  </si>
  <si>
    <t>equityplus.ru</t>
  </si>
  <si>
    <t>export@elcabel.ru, export@elcable.ru, opo@elcable.ru, sbit@elcable.ru</t>
  </si>
  <si>
    <t>www.elcabel.ru, www.elcable.ru</t>
  </si>
  <si>
    <t>buh@ekso-fruit.ru</t>
  </si>
  <si>
    <t>Афанасьев Серафим Владимирович (10 000 руб., 100%)</t>
  </si>
  <si>
    <t>31 740 000</t>
  </si>
  <si>
    <t>Шатунова Наталья Николаевна (522 500 руб., 95%)
Савин Евгений Викторович (27 500 руб., 5%)</t>
  </si>
  <si>
    <t>48 000 000</t>
  </si>
  <si>
    <t>am79119036092@gmail.com, ecolendproject@gmail.com, ecolendproject@gmail.ru, info@ekolendspb.ru</t>
  </si>
  <si>
    <t>Головатый Владислав Владимирович (4 000 руб., 40%)
Попов Евгений Андреевич (3 000 руб., 30%)
Рустамов Заур Шамиль Оглы (3 000 руб., 30%)</t>
  </si>
  <si>
    <t>101 960 000</t>
  </si>
  <si>
    <t>office@ecoshp.ru</t>
  </si>
  <si>
    <t>ecoshp.ru</t>
  </si>
  <si>
    <t>Андреев Павел Русланович (10 000 руб., 66.67%)
ТТК НОРД-ВЕСТ, ООО (5 000 руб., 33.33%)</t>
  </si>
  <si>
    <t>1 102 640 000</t>
  </si>
  <si>
    <t>chebanovans@aph-eco.ru</t>
  </si>
  <si>
    <t>Ерина Лариса Анатольевна (10 000 руб., 100%)</t>
  </si>
  <si>
    <t>avandysheva@ecomeds.ru, ecomed13@mail.ru, ekomed@gmail.ru, ekomed@info.ru, gbuzgvv2020@yandex.ru, marianna@ecomeds.ru, msheffer@ecomeds.ru, orc3@ecomeds.ru, ork10@ecomeds.ru, ork13@ecomeds.ru</t>
  </si>
  <si>
    <t>www.ecomeds.ru</t>
  </si>
  <si>
    <t>Ворошилов Николай Алексеевич (10 000 руб., 100%)</t>
  </si>
  <si>
    <t>113 560 000</t>
  </si>
  <si>
    <t>alexeeva@eko-gas.ru, bryakova@eko-gas.ru, egs@eko-gas.ru</t>
  </si>
  <si>
    <t>www.eko-gas.ru</t>
  </si>
  <si>
    <t>Макаров Юрий Викторович (1 363 548 руб., 100%)</t>
  </si>
  <si>
    <t>137 620 000</t>
  </si>
  <si>
    <t>info@fabrika-magino.ru</t>
  </si>
  <si>
    <t>Морозова Наталия Борисовна (10 000 руб., 100%)</t>
  </si>
  <si>
    <t>63 730 000</t>
  </si>
  <si>
    <t>info@ecodor.ru</t>
  </si>
  <si>
    <t>www.ecodor.ru</t>
  </si>
  <si>
    <t>ЭКОДОР, ООО (3 315 000 руб., 100%)</t>
  </si>
  <si>
    <t>282 210 000</t>
  </si>
  <si>
    <t>artur.mirzoyan@ecolab.com, konstantins.sviridov@ecolab.com, secretary.moscow@ecolab.com</t>
  </si>
  <si>
    <t>www.ecolab.com</t>
  </si>
  <si>
    <t>484 260 000</t>
  </si>
  <si>
    <t>Селивончик Ольга Николаевна (333 400 руб., 33.34%)
Кунаев Максим Андреевич (333 300 руб., 33.33%)
Циций Олег Михайлович (333 300 руб., 33.33%)</t>
  </si>
  <si>
    <t>91 670 000</t>
  </si>
  <si>
    <t>info@ec-line.ru, it@ec-line.ru</t>
  </si>
  <si>
    <t>ec-line.ru</t>
  </si>
  <si>
    <t>ЛИГА-ТРАНС, ООО (40 000 руб., 100%)</t>
  </si>
  <si>
    <t>dogovor@eco.ru, dogovor@ecoline.voskresensk.ru, dogovor@ecolinevoskresensk.ru, v.belyaev@ec-line.ru</t>
  </si>
  <si>
    <t>ЭКОЛАЙН, ООО (9 900 руб., 99%)
ЛИГА-ТРАНС, ООО (100 руб., 1%)</t>
  </si>
  <si>
    <t>info@ecowm.ru</t>
  </si>
  <si>
    <t>ЗАКРЫТЫЙ ПАЕВОЙ ИНВЕСТИЦИОННЫЙ ФОНД КОМБИНИРОВАННЫЙ "РТ-ИНВЕСТ ГЛОБАЛЬНЫЙ ТЕХНОЛОГИЧЕСКИЙ III" (5 000 руб., 50%)
ЭКОФИНАНС, ООО (5 000 руб., 50%)</t>
  </si>
  <si>
    <t>297 000 000</t>
  </si>
  <si>
    <t>9895588@gmail.com, info@ecolesprom.ru</t>
  </si>
  <si>
    <t>Шевченко Вячеслав Владимирович (10 000 руб., 100%)</t>
  </si>
  <si>
    <t>5041207162@mail.ru</t>
  </si>
  <si>
    <t>Слоян Барзани Задаевич (50 000 руб., 100%)</t>
  </si>
  <si>
    <t>83 030 000</t>
  </si>
  <si>
    <t>Ефременко Алексей Федорович (710 000 руб., 71%)
Мукуев Муслим Исмаилович (290 000 руб., 29%)</t>
  </si>
  <si>
    <t>110 100 000</t>
  </si>
  <si>
    <t>info@comix-vrn.ru, n.shapovalova@agroeco.ru</t>
  </si>
  <si>
    <t>elena.vlasova@ekoniva-apk.com</t>
  </si>
  <si>
    <t>ekonivasemena.ru</t>
  </si>
  <si>
    <t>ЭКОНИВА-АПК ХОЛДИНГ, ООО (100 000 руб., 100%)</t>
  </si>
  <si>
    <t>ekoniva@ekoniva.com, natalya.katkova@ekoniva.com</t>
  </si>
  <si>
    <t>www.ekoniva.com</t>
  </si>
  <si>
    <t>ЭКОНИВАТЕХНИКА-ХОЛДИНГ, ООО (720 100 000 руб., 100%)</t>
  </si>
  <si>
    <t>565 900 000</t>
  </si>
  <si>
    <t>ЭКОНИВАТЕХНИКА-ХОЛДИНГ, ООО (387 000 000 руб., 100%)</t>
  </si>
  <si>
    <t>276 130 000</t>
  </si>
  <si>
    <t>andrey.rudenko@ekoniva-apk.com, sergey.turishchev@ekoniva-apk.com, tatiana.olejnikova@ekoniva-apk.com</t>
  </si>
  <si>
    <t>ЭКОНИВА-АПК ЧЕРНОЗЕМЬЕ, ООО (1 805 352 813 руб., 100%)</t>
  </si>
  <si>
    <t>697 620 000</t>
  </si>
  <si>
    <t>elena.kolesnik@ekoniva.com, novosibirsk@ekoniva.com</t>
  </si>
  <si>
    <t>ЭКОНИВАТЕХНИКА-ХОЛДИНГ, ООО (350 010 000 руб., 100%)</t>
  </si>
  <si>
    <t>426 200 000</t>
  </si>
  <si>
    <t>eko_nika@mail.ru</t>
  </si>
  <si>
    <t>Кель Иван Андреевич (100 000 руб., 100%)</t>
  </si>
  <si>
    <t>17 450 000</t>
  </si>
  <si>
    <t>Жигжитова Ханда Ширапнимаевна (50 000 руб., 100%)</t>
  </si>
  <si>
    <t>85 390 000</t>
  </si>
  <si>
    <t>agro68.com@mail.ru, info@ecooil-group.com, maxsimum@list.ru, ooo.agro68@mail.ru, sale@ecooil-group.com</t>
  </si>
  <si>
    <t>http://www.maximovsky.ru/, https://ecooil-group.ru</t>
  </si>
  <si>
    <t>Максимов Сергей Викторович (100%)</t>
  </si>
  <si>
    <t>501 040 000</t>
  </si>
  <si>
    <t>info@ecpl.ru</t>
  </si>
  <si>
    <t>ecpl.ru</t>
  </si>
  <si>
    <t>Кирдань Александр Анатольевич (1 000 000 руб., 100%)</t>
  </si>
  <si>
    <t>96 390 000</t>
  </si>
  <si>
    <t>info@ecopole.ru</t>
  </si>
  <si>
    <t>ГК АГРОЭКО, ООО (9 800 руб., 98%)
КОМПАНИЯ С ОГРАНИЧЕННОЙ ОТВЕТСТВЕННОСТЬЮ "АГРОЭКО ГРУП ВРН ЛИМИТЕД" (100 руб., 1%)
Маслов Владимир Васильевич (100 руб., 1%)</t>
  </si>
  <si>
    <t>110 400 000</t>
  </si>
  <si>
    <t>ecoptitsa@yandex.ru, zubenko-sa@yandex.ru</t>
  </si>
  <si>
    <t>ecoptica.ru</t>
  </si>
  <si>
    <t>РУДНИЧНОЕ, ООО (10 000 руб., 33.33%)
РУДНИЧНОЕ, ООО ПХ (10 000 руб., 33.33%)
СВЕТЛЫЙ ПУТЬ, ООО (10 000 руб., 33.33%)</t>
  </si>
  <si>
    <t>ekoresurs.buh@mail.ru</t>
  </si>
  <si>
    <t>ekoresurs72.ru</t>
  </si>
  <si>
    <t>Вальтер Андрей Рангольдович (10 000 руб., 9.09%)
Вяткина Татьяна Владимировна (10 000 руб., 9.09%)
Еникеев Сабирьян Садикович (10 000 руб., 9.09%)
Захаров Вадим Вячеславович (10 000 руб., 9.09%)
Кокорин Василий Алексеевич (10 000 руб., 9.09%)
Кононова Дина Николаевна (10 000 руб., 9.09%)
Пономарёв Виктор Алексеевич (10 000 руб., 9.09%)
Разинков Александр Федорович (10 000 руб., 9.09%)
Самойлов Иван Борисович (10 000 руб., 9.09%)
Секисов Александр Николаевич (10 000 руб., 9.09%)
...*</t>
  </si>
  <si>
    <t>ecos@ecos.ugansk.ru, kazakov@ecos86.ru, priemnaya@ecos86.com, tko@ecos86.com</t>
  </si>
  <si>
    <t>www.ecos86.ru</t>
  </si>
  <si>
    <t>ekos29092021@yandex.ru, info@ecosnew.ru</t>
  </si>
  <si>
    <t>Гуршумов Тамирлан Эльдарович (10 000 руб., 100%)</t>
  </si>
  <si>
    <t>3030626@ecostr.ru, acostr@mail.ru, bill@ecostr.ru, bo@ecostr.ru, borskaysbbg@yandex.ru, dogovor@ecostr.ru, eccostr@mail.ru, ecoanalitika@ecostr.ru, ecosothody@yandex.ru, ecosr@yandex.ru</t>
  </si>
  <si>
    <t>https://ecostr.ru/</t>
  </si>
  <si>
    <t>КАПИТАЛ АКТИВ, ООО (148 848 руб., 80%)
Зиакас Василиос Христос (37 212 руб., 20%)</t>
  </si>
  <si>
    <t>7894092@hartiya.com, company@eco-pro.ru, ecotekhprom@mail.ru, gkset@info.ru, infgjiae@gkset.ru, info.tinao@gkset.ru, info.tinao@qkset.ru, info.uao@gkset.ru, info.uao@kset.ru, info.uau@gkset.ru</t>
  </si>
  <si>
    <t>www.eco-pro.ru</t>
  </si>
  <si>
    <t>ekoexpert.byx@gmail.com, ekotehprom2010@mail.ru, ekotehprom@inbox.ru, ekotekhprom2010@mail.ru, ekotekhprom@inbox.ru, ekotp@ekotp.ru, etp17b@mail.ru, ro@etp.tko.ru, ro@etptko.ru</t>
  </si>
  <si>
    <t>Чебышев Игорь Сергеевич (100 000 руб., 100%)</t>
  </si>
  <si>
    <t>ekotol@mail.ru, info.ecotol@gmail.com</t>
  </si>
  <si>
    <t>ecotol.ru</t>
  </si>
  <si>
    <t>Минеев Александр Алексеевич (5 000 руб., 50%)
Пономарев Василий Сергеевич (5 000 руб., 50%)</t>
  </si>
  <si>
    <t>239 530 000</t>
  </si>
  <si>
    <t>eco_sekr@incosys.ru, eco_sekr@ugansk.net, nefteyugansk-1@tumstat.ru</t>
  </si>
  <si>
    <t>ekoton-krs.ru, http://ekoton.su</t>
  </si>
  <si>
    <t>Мельник Ярослав Петрович (10 000 руб., 100%)</t>
  </si>
  <si>
    <t>1 433 960 000</t>
  </si>
  <si>
    <t>kirillbelru@mail.ru, ooo_ecoton@mail.ru</t>
  </si>
  <si>
    <t>Синицын Вадим Викторович (118 656 070.43 руб., 83%)
Хихинашвили Теимураз Юрьевич (24 303 050.57 руб., 17%)</t>
  </si>
  <si>
    <t>9 130 000</t>
  </si>
  <si>
    <t>a.simankova@ecofarmplus.ru, e.poberezhnyuk@ecofarmplus.ru, ecofarmpl@mail.ru, info@ecofarmplus.ru, k.gracheva@ecofarmplus.ru, mosmo.otgruzki@ecofarmplus.ru, ooo@ecofarmlus.ru, ooo@ecofarmplus.ru, ooot@ecofarm.ru, oot@ecofarmplus.ru</t>
  </si>
  <si>
    <t>ecofarmplus.ru</t>
  </si>
  <si>
    <t>БАРИОН, ООО (9 900 руб., 99%)
Музафаров Ильдар Шаукатович (100 руб., 1%)</t>
  </si>
  <si>
    <t>67 440 000</t>
  </si>
  <si>
    <t>500torg@gmail.com, ad_ecocentr@mail.ru, adg@mail.ru, adg@vail.ru, adg_ecocentr@clean.ru, adg_ecocentr@mail.ru, astra_enotaevsky@clean.ru, astra_limansky@clearf.ru, astra_narimnovsky@clean.ru, astra_volodarky@clean.ru</t>
  </si>
  <si>
    <t>Гусов Сослан Дударбекович (6 010 000 руб., 100%)</t>
  </si>
  <si>
    <t>gusakov@exportcenter.ru, hotline@exportcenter.ru, info@exiar.ru, info_exiar@exportcenter.ru, tender.223-fz@exiar.ru, yakutovich@exportcenter.ru</t>
  </si>
  <si>
    <t>exiar.ru</t>
  </si>
  <si>
    <t>Страхование, кроме страхования жизни</t>
  </si>
  <si>
    <t>exim@exim-pacific.ru</t>
  </si>
  <si>
    <t>exim-pacific.ru</t>
  </si>
  <si>
    <t>Уколов Евгений Владимирович (700 000 руб., 100%)</t>
  </si>
  <si>
    <t>203 540 000</t>
  </si>
  <si>
    <t>Назарова Евгения Николаевна (10 000 руб., 100%)</t>
  </si>
  <si>
    <t>63 790 000</t>
  </si>
  <si>
    <t>a.arhipov@tyres.spb.ru, aey@tyres.spb.ru, frolovas@tyres.spb.ru, larisa@tyres.spb.ru, shop@tyres.spb.ru, stolitsin@tyres.spb.ru</t>
  </si>
  <si>
    <t>tyres.spb.ru</t>
  </si>
  <si>
    <t>Новичков Алексей Михайлович (31 000 руб., 31%)
Шерман Николай Семенович (31 000 руб., 31%)
Петров Никита Сергеевич (15 000 руб., 15%)
Петров Савелий Сергеевич (15 000 руб., 15%)
Каледин Павел Юрьевич (8 000 руб., 8%)</t>
  </si>
  <si>
    <t>256 290 000</t>
  </si>
  <si>
    <t>ekspert.vm@gmail.com, info.expert@omegamail.org</t>
  </si>
  <si>
    <t>xpert.msk.ru</t>
  </si>
  <si>
    <t>Вдовина Маргарита Евгеньевна (1 000 000 руб., 100%)</t>
  </si>
  <si>
    <t>33 360 000</t>
  </si>
  <si>
    <t>islam_o6@mail.ru</t>
  </si>
  <si>
    <t>Мальсагов Тимур Магомедович (10 000 руб., 100%)</t>
  </si>
  <si>
    <t>biu_av@mail.ru</t>
  </si>
  <si>
    <t>www.expert-leasing.ru</t>
  </si>
  <si>
    <t>ГОРИЗОНТ, ООО (20 000 000 руб., 100%)</t>
  </si>
  <si>
    <t>270 590 000</t>
  </si>
  <si>
    <t>da.deryabin@esprail.ru</t>
  </si>
  <si>
    <t>esp-zd.ru</t>
  </si>
  <si>
    <t>Живецкая Неля Моисеевна (300 000 руб., 100%)</t>
  </si>
  <si>
    <t>2 687 190 000</t>
  </si>
  <si>
    <t>i6488858@yandex.ru, jge@simvolglass.ru, oge@firmasimvol.ru, oge@simvdglass.ru, oge@simvolglass.ru, p-may@mail.ru, shelakina@firmasimvol.ru, shelakina@mail.ru, shelakina@simvolglass.ru, trade5@firmasimvol.ru</t>
  </si>
  <si>
    <t>firmasimvol.ru, simvolglass.ru</t>
  </si>
  <si>
    <t>Смирнов Александр Юрьевич (11 000 руб., 100%)</t>
  </si>
  <si>
    <t>520 420 000</t>
  </si>
  <si>
    <t>ekspolain@yandex.ru</t>
  </si>
  <si>
    <t>Еремин Роман Валентнович (700 000 руб., 100%)</t>
  </si>
  <si>
    <t>chery-msk.ru, chevrolet-expocar.ru, expocar.ru, volgograd-chery.ru</t>
  </si>
  <si>
    <t>Ким Александр Владимирович (64 631 044.8 руб., 59.84%)
Киселев Сергей Николаевич (16 200 000 руб., 15%)
Санников Алексей Михайлович (10 800 000 руб., 10%)
Пан Наталья Мироновна (7 524 165.6 руб., 6.96%)
Фирсов Сергей Юрьевич (5 400 000 руб., 5%)
МОРЕЛАМ, ООО (1 711 432.8 руб., 1.58%)
Нифонтов Кирилл Владимирович (1 711 432.8 руб., 1.58%)
Ганушкин Дмитрий Сергеевич (21 924 руб., 0.020%)</t>
  </si>
  <si>
    <t>Суровый Виктор Викторович (50 000 руб., 100%)</t>
  </si>
  <si>
    <t>9 700 000</t>
  </si>
  <si>
    <t>ivanovaev@expocentr.ru, lyaschenko@expocentr.ru, mezvist@expocentr.ru, toa@expocentr.ru, voronin@expocentr.ru</t>
  </si>
  <si>
    <t>www.expocentr.ru</t>
  </si>
  <si>
    <t>ekspress-kuban.ru</t>
  </si>
  <si>
    <t>Чедыгов Аслан Сафарбиевич (8 000 руб., 80%)
Телелинский Дмитрий Владимирович (2 000 руб., 20%)</t>
  </si>
  <si>
    <t>59 240 000</t>
  </si>
  <si>
    <t>exprof@exprof.ru, glavbuh@exprof.ru</t>
  </si>
  <si>
    <t>www.exprof.pro, www.exprof.ru</t>
  </si>
  <si>
    <t>Бочкарёв Василий Владимирович (8 755 510 руб., 100%)</t>
  </si>
  <si>
    <t>293 870 000</t>
  </si>
  <si>
    <t>ektonnechkina@yandex.ru</t>
  </si>
  <si>
    <t>Нестеров Александр Александрович (1 510 000 руб., 100%)</t>
  </si>
  <si>
    <t>102 170 000</t>
  </si>
  <si>
    <t xml:space="preserve"> enelrussiapressoffice@enel.com, ekaterina.khlyst@enel.com, enelrussiapressoffice@enel.com, info@rrost.ru, kraccimer.nenov@enel.com, media@el5-energo.ru, office.russia@el5-energo.ru, office.russia@enel.com, office@ogk-5.com, recruitment@enel.com</t>
  </si>
  <si>
    <t>https://www.el5-energo.ru, www.ogk-5.com</t>
  </si>
  <si>
    <t>"ЭЛАНКО ЮРОП ГМБХ" (9 990 руб., 99.90%)
"ЭЛАНКО НИДЕРЛАНДЫ Б.В." (10 руб., 0.10%)</t>
  </si>
  <si>
    <t>485 780 000</t>
  </si>
  <si>
    <t>elastokam.nk@elastokam.ru, roman.dronov@e-kam.ru</t>
  </si>
  <si>
    <t>НИЖНЕКАМСКНЕФТЕХИМ, ПАО (79 120 000 руб., 50%)
ЭЛАСТОКАМ, ООО (79 120 000 руб., 50%)</t>
  </si>
  <si>
    <t>551 410 000</t>
  </si>
  <si>
    <t>ecopalataufa2009@yandex.ru, secretar_mmez@tdsigma.ru, vapravo7@mail.ru</t>
  </si>
  <si>
    <t>Махрова Марина Ивановна (1 600 000 руб., 100%)</t>
  </si>
  <si>
    <t>2 459 880 000</t>
  </si>
  <si>
    <t>help-info@list.ru, info@schneider-24.ru, management-msk@elevel.ru</t>
  </si>
  <si>
    <t>elevel.ru, legrand-24.ru, schneider-24.ru</t>
  </si>
  <si>
    <t>Борк Антон Рольфович (129 000 руб., 86%)
Бугаков Александр Владимирович (16 500 руб., 11%)
Татулова Тереза Викторовна (4 500 руб., 3%)</t>
  </si>
  <si>
    <t>211 820 000</t>
  </si>
  <si>
    <t>info@elekkom.ru</t>
  </si>
  <si>
    <t>elekkom.ru</t>
  </si>
  <si>
    <t>Филиппов Станислав Борисович (10 000 руб., 100%)</t>
  </si>
  <si>
    <t>elecond-market@elcudm.ru, elecond.29@elcudm.ru, elecond.des@yandex.ru, elecond.supercapacitor@elcudm.ru, elecond29@nm.ru, elecond@elcudm.ru, elecond@nm.ru, info@elcudm.ru</t>
  </si>
  <si>
    <t>www.elecond.ru</t>
  </si>
  <si>
    <t>Производство прочего электрического оборудования</t>
  </si>
  <si>
    <t>miv@rubilnik.ru, moshnikov.s@gmail.com, tender@rubilnik.ru</t>
  </si>
  <si>
    <t>Мошников Сергей Николаевич (100 000 руб., 100%)</t>
  </si>
  <si>
    <t>164 520 000</t>
  </si>
  <si>
    <t>nkz-nn@nkz-nn.ru</t>
  </si>
  <si>
    <t>nkz-nn.ru</t>
  </si>
  <si>
    <t>КАБЕЛЬ МЕНЕДЖМЕНТ, ООО (4 076 830.18 руб., 100%)</t>
  </si>
  <si>
    <t>e.farchenko@elektro.ru, e.tyuvikova@elektro.ru, elektro@24mail.ru, johneks@mail.ru, martali@elektro.ru, moiseeva1@elektro.ru, o.percev@elektro.ru</t>
  </si>
  <si>
    <t>elektro.ru</t>
  </si>
  <si>
    <t>113 000 000</t>
  </si>
  <si>
    <t>ceo@ekf.su, info@electrobaza.ru</t>
  </si>
  <si>
    <t>electrobaza.ru</t>
  </si>
  <si>
    <t>КОМПАНИЯ С ОГРАНИЧЕННОЙ ОТВЕТСТВЕННОСТЬЮ РЕВАНА АЛЬЯНС ЛТД (20 000 руб., 100%)</t>
  </si>
  <si>
    <t>473 570 000</t>
  </si>
  <si>
    <t>nan_2008@mail.ru</t>
  </si>
  <si>
    <t>esk-rf.ru</t>
  </si>
  <si>
    <t>Никифоров Алексей Николаевич (200 000 руб., 100%)</t>
  </si>
  <si>
    <t>12 390 000</t>
  </si>
  <si>
    <t>electroset@inbox.ru, elektroset@inbox.ru, info@electro.ru, re@we.ru, tyftgy@vhj.ru, uvedomlenie@oao-elektroset.ru</t>
  </si>
  <si>
    <t>oao-elektroset.ru</t>
  </si>
  <si>
    <t>info@esnabs.ru</t>
  </si>
  <si>
    <t>1 208 100 000</t>
  </si>
  <si>
    <t>electromeh57@icloud.com, office@ngs-privod.ru, office@privod-lysva.ru, zhuk@privod.lsv.ru</t>
  </si>
  <si>
    <t>www.privod-lysva.ru</t>
  </si>
  <si>
    <t>ФАЙБЕРЛАЙН КОРП. (376 204 760.93 руб., 95%)
Оксман Александр Львович (19 800 250.58 руб., 5%)</t>
  </si>
  <si>
    <t>80 160 000</t>
  </si>
  <si>
    <t>dasha@ukberkut.ru, info@eum.ru</t>
  </si>
  <si>
    <t>eum.ru</t>
  </si>
  <si>
    <t>39 970 000</t>
  </si>
  <si>
    <t>ecm-msku@mtu-net.ru, ecm@ecm.ru</t>
  </si>
  <si>
    <t>www.ecm.ru</t>
  </si>
  <si>
    <t>invest@elshield.com</t>
  </si>
  <si>
    <t>электрощит-стройсистема.рф</t>
  </si>
  <si>
    <t>Свеженцева Людмила Игоревна (122 559 500 руб., 95%)
Свеженцев Владислав Игоревич (6 450 500 руб., 5%)</t>
  </si>
  <si>
    <t>efrs@ulh.ru, element77@el.ulh.ru, klient@gaz.ru, zakupka@ulh.ru</t>
  </si>
  <si>
    <t>АМАРАНТ, АО (444 000 000 руб., 100%)</t>
  </si>
  <si>
    <t>azherebtsov@monetka.ru, info@company24.com, ir@monetka.ru, nlsazhin@monetka.ru, office@monetka.ru, vnaumshina@monetka.ru</t>
  </si>
  <si>
    <t>www.monetka.ru</t>
  </si>
  <si>
    <t>РМ-ГРУПП, ООО (13 278 219.56 руб., 99.90%)
ТК АТЛАС, ООО (13 291.51 руб., 0.10%)</t>
  </si>
  <si>
    <t>5 024 190 000</t>
  </si>
  <si>
    <t>muzdin@elinar-broiler.ru</t>
  </si>
  <si>
    <t>ЭЛФИН, ООО (100 000 руб., 100%)</t>
  </si>
  <si>
    <t>6152001000_616701001@eo.tensor.ru, elis@elis.ru, fo_glbuh@elegant.aaanet.ru, franch@elis.ru, hello@elis.ru, info@elis-shop.ru, pr@elis.ru</t>
  </si>
  <si>
    <t>303 310 000</t>
  </si>
  <si>
    <t>buh@elite.ooo, i.expert.irk@gmail.com, irk@elite.ooo</t>
  </si>
  <si>
    <t>Чеснаков Алексей Леонидович (21 000 руб., 51%)
Чеснакова Людмила Анатольевна (19 000 руб., 49%)</t>
  </si>
  <si>
    <t>60 300 000</t>
  </si>
  <si>
    <t>elitllc.ru</t>
  </si>
  <si>
    <t>Алексеев Максим Владимирович (300 000 руб., 100%)</t>
  </si>
  <si>
    <t>hab@elitacompany.ru</t>
  </si>
  <si>
    <t>ЭЙ ЭФ ДЖИ РУС, АО (10 000 руб., 100%)</t>
  </si>
  <si>
    <t>19 170 000</t>
  </si>
  <si>
    <t>litopt.ru</t>
  </si>
  <si>
    <t>ИНЖИНИРКОМПЛЕКТ, ООО (170 000 руб., 34%)
ИНВЕСТИЦИОННОЕ КОММЕРЧЕСКОЕ СОДРУЖЕСТВО, ООО (165 000 руб., 33%)
СОЛИТЕКС, ООО (165 000 руб., 33%)</t>
  </si>
  <si>
    <t>864 200 000</t>
  </si>
  <si>
    <t>elits2016@mail.ru</t>
  </si>
  <si>
    <t>Богданова Наталья Геннадьевна (10 000 руб., 100%)</t>
  </si>
  <si>
    <t>office@elkam.ru, td@elkam.ru</t>
  </si>
  <si>
    <t>Соколов Иван Юрьевич (7 850 руб., 78.50%)
Соколов Юрий Викторович (2 000 руб., 20%)
Галкин Анатолий Иванович (150 руб., 1.50%)</t>
  </si>
  <si>
    <t>98 200 000</t>
  </si>
  <si>
    <t>info@elko.ru, olga_menshikova@elko.ru</t>
  </si>
  <si>
    <t>www.elkogroup.com</t>
  </si>
  <si>
    <t>Ямницкий Александр Маркович (7 064 500 руб., 99.50%)
Федорова Оксана Всеволодовна (35 500 руб., 0.50%)</t>
  </si>
  <si>
    <t>923 170 000</t>
  </si>
  <si>
    <t>7804079187_781601001@eo.tensor.ru, kartashova@elcomspb.ru, spb@elcomspb.ru, tender@elcomspb.ru</t>
  </si>
  <si>
    <t>www.elcomspb.ru</t>
  </si>
  <si>
    <t>Лупанова Надежда Евгеньевна (45 000 руб., 45%)
Рыков Владимир Геннадьевич (45 000 руб., 45%)
Шальмиева Екатерина Вадимовна (10 000 руб., 10%)</t>
  </si>
  <si>
    <t>848 670 000</t>
  </si>
  <si>
    <t>avtotor@kld.avtotor.ru, novikovaui@kld.avtotor.ru</t>
  </si>
  <si>
    <t>АВТОТОР ХОЛДИНГ, ООО (1 000 000 руб., 100%)</t>
  </si>
  <si>
    <t>e.kallo@intrans.net</t>
  </si>
  <si>
    <t>САУНДНЕСС, АО (10 000 руб., 100%)</t>
  </si>
  <si>
    <t>info@elli22.ru</t>
  </si>
  <si>
    <t>elli22.ru</t>
  </si>
  <si>
    <t>Меркулов Сергей Витальевич (300 000 руб., 60%)
Ишмухамедов Эмиль Эрлихович (200 000 руб., 40%)</t>
  </si>
  <si>
    <t>223 070 000</t>
  </si>
  <si>
    <t>tender@elnavf.ru</t>
  </si>
  <si>
    <t>www.elnavf.ru</t>
  </si>
  <si>
    <t>Щербинина Наталья Юрьевна (56 100 руб., 51%)
Янкович Екатерина Сергеевна (53 900 руб., 49%)</t>
  </si>
  <si>
    <t>law2@elp.su</t>
  </si>
  <si>
    <t>creedfragrances.ru</t>
  </si>
  <si>
    <t>Давиди Владимир Тенгизович (10 000 руб., 100%)</t>
  </si>
  <si>
    <t>42 910 000</t>
  </si>
  <si>
    <t>info@elgamining.ru</t>
  </si>
  <si>
    <t>ЭСМС, ООО (1 000 000 руб., 100%)</t>
  </si>
  <si>
    <t>elsi@elsi.ru</t>
  </si>
  <si>
    <t>www.elsi.ru</t>
  </si>
  <si>
    <t>15 190 000</t>
  </si>
  <si>
    <t>elsib@elsib.ru, evtsokova@elsib.ru, gd@elsib.ru, nvkrylova@elsib.ru</t>
  </si>
  <si>
    <t>http://www.elsib.ru, www.elsib.ru/corpinfo/otchetnaya_inf/ezhekartal_otch.php</t>
  </si>
  <si>
    <t>КУЗБАССЭНЕРГО, АО (98.36%)</t>
  </si>
  <si>
    <t>107 690 000</t>
  </si>
  <si>
    <t>bazarnov@elteza.ru, elteza@elteza.ru, vishnevskiy@elteza.ru</t>
  </si>
  <si>
    <t>www.elteza.ru</t>
  </si>
  <si>
    <t>murata-ps.ru</t>
  </si>
  <si>
    <t>Перегуд Андрей Борисович (15 300 руб., 85%)
Тормашев Дмитрий Альфредович (720 руб., 4%)
Поленова Елена Владиславовна (540 руб., 3%)
Грязева Анна Сергеевна (360 руб., 2%)
Толстов Василий Евгеньевич (360 руб., 2%)
Харабажиу Андрей Иванович (360 руб., 2%)
Ивойлова Ирина Геннадьевна (180 руб., 1%)
Исаева Марина Евгеньевна (180 руб., 1%)</t>
  </si>
  <si>
    <t>142 480 000</t>
  </si>
  <si>
    <t>eltehnord2016@mail.ru</t>
  </si>
  <si>
    <t>ТАЛЕР, АО (485 000 руб., 97%)
Поспелов Денис Борисович (15 000 руб., 3%)</t>
  </si>
  <si>
    <t>141 790 000</t>
  </si>
  <si>
    <t>БИЗНЕСИНВЕСТ, ООО (86 020 000 руб., 100%)</t>
  </si>
  <si>
    <t>76 270 000</t>
  </si>
  <si>
    <t>oksana.polushchenko@mechel.com</t>
  </si>
  <si>
    <t>А-ПРОПЕРТИ, ООО (45 912 300 000 руб., 70%)
ЭНЕРГОГРУПП, ООО (13 117 800 000 руб., 20%)
АП КАПИТАЛ, АО (3 279 450 000 руб., 5%)
Сокровищук Родион Владимирович (3 279 450 000 руб., 5%)</t>
  </si>
  <si>
    <t>legal@elga.ru</t>
  </si>
  <si>
    <t>А-ПРОПЕРТИ, ООО (140 000 руб., 70%)
ЭНЕРГОГРУПП, ООО (40 000 руб., 20%)
АП КАПИТАЛ, АО (10 000 руб., 5%)
Сокровищук Родион Владимирович (10 000 руб., 5%)</t>
  </si>
  <si>
    <t>coal@elga.ru</t>
  </si>
  <si>
    <t>А-ПРОПЕРТИ, ООО (3 579 547 704 руб., 70%)
ЭНЕРГОГРУПП, ООО (1 022 727 915.2 руб., 20%)
АП КАПИТАЛ, АО (255 681 978.8 руб., 5%)
Сокровищук Родион Владимирович (255 681 978 руб., 5%)</t>
  </si>
  <si>
    <t>31 224 370 000</t>
  </si>
  <si>
    <t>kerry@kerry.ru</t>
  </si>
  <si>
    <t>www.kerry.ru</t>
  </si>
  <si>
    <t>301 500 000</t>
  </si>
  <si>
    <t>mg-global.ru</t>
  </si>
  <si>
    <t>Горгиджанов Заза Борисович (250 000 руб., 50%)
Моисеев Андижан Исаевич (225 000 руб., 45%)
Шашкин Дмитрий Михайлович (25 000 руб., 5%)</t>
  </si>
  <si>
    <t>6 770 000</t>
  </si>
  <si>
    <t>ljudmila.zarubina@mc-bauchemie.ru, nadejda.mikhailova@mc-bauchemie.ru, stroy@mc-bauchemie.ru</t>
  </si>
  <si>
    <t>www.mc-bauchemie.ru, www.plitonit.com</t>
  </si>
  <si>
    <t>Мондрус Александр Александрович (7 425 000 руб., 20%)
Остапчук Владимир Павлович (1 856 250 руб., 5%)</t>
  </si>
  <si>
    <t>172 400 000</t>
  </si>
  <si>
    <t>office@mgcom.ru</t>
  </si>
  <si>
    <t>mgcom.ru</t>
  </si>
  <si>
    <t>Горелик Дмитрий Евгеньевич (160 240 руб., 80.12%)
Поляков Олег Вячеславович (39 760 руб., 19.88%)</t>
  </si>
  <si>
    <t>335 090 000</t>
  </si>
  <si>
    <t>a.volodin@mxmgt.com</t>
  </si>
  <si>
    <t>emex.ru</t>
  </si>
  <si>
    <t>MXG PTE. LTD. (4 300 000 руб., 100%)</t>
  </si>
  <si>
    <t>info.ru@emerson.com</t>
  </si>
  <si>
    <t>www.emersonprocess.ru</t>
  </si>
  <si>
    <t>МЕТРАН ХОЛДИНГ, ООО (23 272 471.66 руб., 100%)</t>
  </si>
  <si>
    <t>39 330 000</t>
  </si>
  <si>
    <t>empils@empils.ru, sotnik@empils.ru</t>
  </si>
  <si>
    <t>www.empils.ru</t>
  </si>
  <si>
    <t>timurt@mail.ru, ts.othody@mail.ru</t>
  </si>
  <si>
    <t>nsc-company.ru</t>
  </si>
  <si>
    <t>Титаренко Илья Сергеевич (10 000 руб., 100%)</t>
  </si>
  <si>
    <t>629 830 000</t>
  </si>
  <si>
    <t>gpp_tender@nvg.ru, info@nvg.ru, lsemyonova@nvg.ru, tender@nvg.ru, tender@sitronics.com</t>
  </si>
  <si>
    <t>www.nvg.ru</t>
  </si>
  <si>
    <t>170 710 000</t>
  </si>
  <si>
    <t>ngs@eriell.com</t>
  </si>
  <si>
    <t>www.eriell.com</t>
  </si>
  <si>
    <t>КОМПАНИЯ "ЭРИЭЛЛ ХОЛДИНГ КОМПАНИ ЛИМИТЕД" (199 980 000 руб., 99.99%)
ERIELL GmbH BISHERIGE FIRMA: ERIELL Corporation s.r.o. (20 000 руб., 0.010%)</t>
  </si>
  <si>
    <t>1 820 150 000</t>
  </si>
  <si>
    <t>eia@et56.ru, gts@et56.ru, info@et56.ru, info@et78.ru</t>
  </si>
  <si>
    <t>Воробьев Дмитрий Сергеевич (1 020 000 руб., 100%)</t>
  </si>
  <si>
    <t>56 910 000</t>
  </si>
  <si>
    <t>7813548237_781301001@eo.tensor.ru, buh@energystroy.com, lvov@energystroy.com, mail@energystroy.com</t>
  </si>
  <si>
    <t>2 669 720 000</t>
  </si>
  <si>
    <t>energia_om@mail.ru</t>
  </si>
  <si>
    <t>Зубков Алексей Владимирович (10 200 руб., 51%)
Сапунов Алексей Владимирович (9 800 руб., 49%)</t>
  </si>
  <si>
    <t>276 310 000</t>
  </si>
  <si>
    <t>www.energy-yug.ru</t>
  </si>
  <si>
    <t>Григорьев Алексей Сергеевич (50 000 руб., 50%)
Цыбульский Михаил Михайлович (50 000 руб., 50%)</t>
  </si>
  <si>
    <t>64 460 000</t>
  </si>
  <si>
    <t>Дудник Ирина Викторовна (50 000 руб., 50%)
Магомедов Магомед Гусейнович (50 000 руб., 50%)</t>
  </si>
  <si>
    <t>irina.osipova@enrgo-oil.com</t>
  </si>
  <si>
    <t>Осипова Ирина Владимировна (16 700 000 руб., 100%)</t>
  </si>
  <si>
    <t>56 980 000</t>
  </si>
  <si>
    <t>89222831616@mail.ru, 9220991001@mail.ru, egn@mail.ru, egnomts@mail.ru, egnoyabrsk@yandex.ru, energo.gaz@mail.ru, entrgo@mai.ru, eritc.@mail.ru, erits.yanao@mail.ru, kirc@energosales.ru</t>
  </si>
  <si>
    <t>energo-gas-noyabrsk.ru, www.energo-gas-novabrsk.ru</t>
  </si>
  <si>
    <t>29 150 000</t>
  </si>
  <si>
    <t>findir@oilrb.ru</t>
  </si>
  <si>
    <t>nrgooil.ru</t>
  </si>
  <si>
    <t>Извольская Елена Рафаэльевна (7 000 руб., 70%)
Бадиков Константин Владимирович (2 000 руб., 20%)
Щербаков Алексей Владимирович (1 000 руб., 10%)</t>
  </si>
  <si>
    <t>58 820 000</t>
  </si>
  <si>
    <t>iri1906@yandex.ru, pavlov@jural.ru</t>
  </si>
  <si>
    <t>ekekb.ru</t>
  </si>
  <si>
    <t>RESBUD SE (17 560 руб., 87.80%)
ОБЩЕСТВО С ОГРАНИЧЕННОЙ ОТВЕТСТВЕННОСТЬЮ "КОНПОЛЬ" (1 700 руб., 8.50%)
ОБЩЕСТВО С ОГРАНИЧЕННОЙ ОТВЕТСТВЕННОСТЬЮ "ДЕЛЬКРАФТ ЭХИТУС" (740 руб., 3.70%)</t>
  </si>
  <si>
    <t>5 780 000</t>
  </si>
  <si>
    <t>eiectra@ek.karelia.ru, electra@ek.ek.karelia.ru, electra@ek.karela.ru, electra@ek.karelif.ru, electra@ek.kerelia.ru, electra@ek.rarelia.ru, electra@er.karelia.ru, electro@ek.karelia.ru, elekra@ek.karelia.ru, elektra@ek.karelia.ru</t>
  </si>
  <si>
    <t>energokomfort-karelia.ru</t>
  </si>
  <si>
    <t>РКС-ХОЛДИНГ, ООО (30 000 000 руб., 100%)</t>
  </si>
  <si>
    <t>52 220 000</t>
  </si>
  <si>
    <t>1@mail.ru, concern@energomera.ru, magazeevako@energomera.ru</t>
  </si>
  <si>
    <t>www.energomera.ru</t>
  </si>
  <si>
    <t>КОНЦЕРН ЭНЕРГОМЕРА, АО (1 215 000 000 руб.)</t>
  </si>
  <si>
    <t>Производство приборов и аппаратуры для измерения электрических величин или ионизирующих излучений</t>
  </si>
  <si>
    <t>1520@enm.spb.ru, ivanova_oa@enm.spb.ru, voronkova_ta@enm.spb.ru</t>
  </si>
  <si>
    <t>ГРУППА КОМПАНИЙ 1520, ООО (30 000 000 руб., 100%)</t>
  </si>
  <si>
    <t>476 990 000</t>
  </si>
  <si>
    <t>ent_serc@energoneft-t.ru, vamazhurin@ent.rosneft.ru</t>
  </si>
  <si>
    <t>energoneft-t.ru</t>
  </si>
  <si>
    <t>ТОМСКНЕФТЬ ВНК, АО (10 000 руб., 100%)</t>
  </si>
  <si>
    <t>info@zdenergo.su, statievdd@center.rzd.ru, zdenergo@energopsb.ru</t>
  </si>
  <si>
    <t>www.energopromsbyt.ru</t>
  </si>
  <si>
    <t>РЖД, ОАО (5 100 руб., 51%)
ЦЕНТРЭНЕРГОПРОМСТРОЙ, ООО (4 900 руб., 49%)</t>
  </si>
  <si>
    <t>info@enersbyt.ru</t>
  </si>
  <si>
    <t>enersbyt.ru</t>
  </si>
  <si>
    <t>Носков Алексей Олегович (1 000 000 руб., 100%)</t>
  </si>
  <si>
    <t>339 900 000</t>
  </si>
  <si>
    <t>anastasiya.fidyunina@tplusgroup.ru, viktoriya.savitskaya@esplus.ru</t>
  </si>
  <si>
    <t>63 380 000</t>
  </si>
  <si>
    <t>info@er-1.pro</t>
  </si>
  <si>
    <t>energorok-1.ru</t>
  </si>
  <si>
    <t>Волошин Станислав Игоревич (1 000 000 руб., 100%)</t>
  </si>
  <si>
    <t>40 960 000</t>
  </si>
  <si>
    <t>07.07.1966@mail.ru, 111@esplus.ru, 2432@mail.ru, 25012@mail.ru, 3125556@mail.ru, 5478451@mail.ru, 5623658@mail.ru, 58421455@mail.ru, 58745478@mail.ru, 6596583@mail.ru</t>
  </si>
  <si>
    <t>1 951 860 000</t>
  </si>
  <si>
    <t>info@aoesbt.ru</t>
  </si>
  <si>
    <t>aoesbt.ru</t>
  </si>
  <si>
    <t>25 130 000</t>
  </si>
  <si>
    <t>info@enholding.ru, nsafonova@enholding.ru</t>
  </si>
  <si>
    <t>enholding.ru</t>
  </si>
  <si>
    <t>ГАММАФИНАНС, ООО (5 500 000 руб., 100%)</t>
  </si>
  <si>
    <t>akulovaa@mrsksevzap.ru, vohotin@yandex.ru</t>
  </si>
  <si>
    <t>murad0510@yandex.ru, ukenergoservis2@mail.ru</t>
  </si>
  <si>
    <t>Тагирова Шуанат Абдулвагабовна (4 000 руб., 40%)
Велегаев Ариф Гуснединович (3 000 руб., 30%)
Шихшабеков Сайгид Саидович (3 000 руб., 30%)</t>
  </si>
  <si>
    <t>info@energoset.com, okp@energoset.com</t>
  </si>
  <si>
    <t>www.energoset.com</t>
  </si>
  <si>
    <t>Ильина Ксения Сергеевна (35 000 руб., 50%)
Яблонский Анатолий Владимирович (28 000 руб., 40%)
Самарина Ирина Ивановна (7 000 руб., 10%)</t>
  </si>
  <si>
    <t>2 380 000</t>
  </si>
  <si>
    <t>i_berman@ensm.ru, it@ensm.ru, konesm@ensm.ru</t>
  </si>
  <si>
    <t>www.ensm.ru</t>
  </si>
  <si>
    <t>secretar@enostr.ru</t>
  </si>
  <si>
    <t>enostr.ru</t>
  </si>
  <si>
    <t>168 780 000</t>
  </si>
  <si>
    <t>Тевис Александр Валентинович (544 572 965.8 руб., 100%)</t>
  </si>
  <si>
    <t>info@energosk.com, levkina-iv@yandex.ru</t>
  </si>
  <si>
    <t>Воробьев Антон Анатольевич (17 500 руб., 70%)
Боброва Анастасия Викторовна (7 500 руб., 30%)</t>
  </si>
  <si>
    <t>118 850 000</t>
  </si>
  <si>
    <t>aleksandr_bcs@mail.ru, borisenkovv@energosf.ru, dolgovaio@energosf.ru, energo@mail.ru</t>
  </si>
  <si>
    <t>Кожемякин Игорь Юрьевич (10 000 руб., 100%)</t>
  </si>
  <si>
    <t>115 500 000</t>
  </si>
  <si>
    <t>priemnaya@tmenergo.ru</t>
  </si>
  <si>
    <t>tmenergo.ru</t>
  </si>
  <si>
    <t>Свергин Александр Александрович (35 000 000 руб., 50%)
СЛ-ГРУПП, ООО (35 000 000 руб., 50%)</t>
  </si>
  <si>
    <t>207@nken.org, dodovor@nken.org, egrulbox@mail.ru, energo@gmail.com, or@nk-energy.ru, or@nken.org, titova@nken.ru</t>
  </si>
  <si>
    <t>Захарова Валентина Петровна (10 000 руб., 100%)</t>
  </si>
  <si>
    <t>73 960 000</t>
  </si>
  <si>
    <t>info@energo-t.org</t>
  </si>
  <si>
    <t>ЭНЕРГО, ООО УК (66 700 руб., 100%)</t>
  </si>
  <si>
    <t>16 400 000</t>
  </si>
  <si>
    <t>office@oilrb.ru</t>
  </si>
  <si>
    <t>ЭНЕРГОВЕКТОР, ООО (10 000 руб., 100%)</t>
  </si>
  <si>
    <t>32 660 000</t>
  </si>
  <si>
    <t>ipronin@omk.ru, shibanova_md@omk.ru</t>
  </si>
  <si>
    <t>querycom.ru/company/2700454</t>
  </si>
  <si>
    <t>РИКОМ, АО (100 000 руб., 100%)</t>
  </si>
  <si>
    <t>37 840 000</t>
  </si>
  <si>
    <t>yu.zabrodin@yandex.ru</t>
  </si>
  <si>
    <t>Егоров Юрий Анатольевич (464 604 руб., 46%)
Меркулова Марина Валерьевна (313 099 руб., 31%)
Булыгин Сергей Владимирович (232 297 руб., 23%)</t>
  </si>
  <si>
    <t>127 860 000</t>
  </si>
  <si>
    <t>advertisement.enkatc@enka.com, enkatc@enka.ru, julia.dvornikova@enka.com, kapitoliy.enkatc@enka.com, kuntsevopl.enkatc@enka.com, olga.reshetnyak@enka.com</t>
  </si>
  <si>
    <t>www.sitistore.ru</t>
  </si>
  <si>
    <t>АО ФИРМА "ЭНКА ХОЛДИНГ ИНВЕСТМЕНТ С.А" (3 224 815 195.63 руб., 88.28%)
АО "ИНТРЕЙД ГМБХ." (428 294 023.93 руб., 11.72%)</t>
  </si>
  <si>
    <t>1 581 180 000</t>
  </si>
  <si>
    <t>info.enkiconstruction@mail.ru</t>
  </si>
  <si>
    <t>КА-ГРУПП, ООО (51 000 руб., 51%)
Долин Артём Андреевич (49 000 руб., 49%)</t>
  </si>
  <si>
    <t>7 050 000</t>
  </si>
  <si>
    <t>eliseev@kuvalda.ru, kasatkin@kuvalda.ru</t>
  </si>
  <si>
    <t>kuvalda.ru, кувалда.рф</t>
  </si>
  <si>
    <t>Кувшинников Игорь Геннадьевич (10 000 руб., 100%)</t>
  </si>
  <si>
    <t>57 640 000</t>
  </si>
  <si>
    <t>anton.dmitrakov@mail.ru, e.semenova@eos-solutions.ru, eos@oooeos.ru</t>
  </si>
  <si>
    <t>Компания ЭОС Интернациональ Бетайлигунгс-Фервальт (6 385 500 руб., 99%)
EOS Holding GmbH (64 500 руб., 1%)</t>
  </si>
  <si>
    <t>Деятельность в области права и бухгалтерского учета</t>
  </si>
  <si>
    <t>4 562 480 000</t>
  </si>
  <si>
    <t>ask@epam.com, elena_tyurina@epam.com, info@rntgroup.com, vasily_agafonov@epam.com, vasily_agafonov@rntgroup.com, vladimir_mishko@rntgroup.com</t>
  </si>
  <si>
    <t>www.epam.com, www.vdiweb.com</t>
  </si>
  <si>
    <t>КОРПОРАЦИЯ ЭПАМ СИСТЕМЗ, ИНК (10 000 руб., 100%)</t>
  </si>
  <si>
    <t>4 734 910 000</t>
  </si>
  <si>
    <t>a.shamaev@epidbiomed.ru, bogatyreva@epidbiomed.ru, c.ivanova@epidbiomed.ru, chernotalova@epidbiomed.ru, e.i.vanova@epidbiomed.ru, e.ivanova@epidbiomed.ru, e.ivanova@epidiomed.ru, e.ivanova@pidbiomed.ru, e.ivanova@rpidbiomed.ru, efanova@epidbioimed.ru</t>
  </si>
  <si>
    <t>www.epidbiomed.com</t>
  </si>
  <si>
    <t>НОВУСФАРМ, ООО (750 000 руб., 75%)
Горемыкина Евгения Владимировна (250 000 руб., 25%)</t>
  </si>
  <si>
    <t>241 440 000</t>
  </si>
  <si>
    <t>tatiana.volkova@epiroc.com</t>
  </si>
  <si>
    <t>ЭПИРОК РОК ДРИЛЛС АКТИЕБОЛАГ (11 880 000 руб., 99%)
Epiroc Treasury AB (120 000 руб., 1%)</t>
  </si>
  <si>
    <t>410 910 000</t>
  </si>
  <si>
    <t>info@epicentr.net</t>
  </si>
  <si>
    <t>Бронников Илья Валерьевич (1 000 000 руб., 100%)</t>
  </si>
  <si>
    <t>51 160 000</t>
  </si>
  <si>
    <t>eic@eic.ru, gaz@eic.ru, info@eqbiz.ru</t>
  </si>
  <si>
    <t>www.eic.ru</t>
  </si>
  <si>
    <t>34 000 000</t>
  </si>
  <si>
    <t>epoha-v@mail.ru, epoxa-v@yandex.ru, info@epoha-v.ru</t>
  </si>
  <si>
    <t>Арутюнян Игорь Воваевич (37 500 руб., 75%)
Погосян Карен Мартинович (12 500 руб., 25%)</t>
  </si>
  <si>
    <t>230 050 000</t>
  </si>
  <si>
    <t>apple.ru</t>
  </si>
  <si>
    <t>"ЭППЛ ДИСТРИБЬЮШН ИНТЕРНЭШНЛ" (АPPLE DISTRIBUTION INTERNATIONAL) (3 283 500 руб., 99.50%)
APPLE OPERATIONS EUROPE LIMITED (16 500 руб., 0.50%)</t>
  </si>
  <si>
    <t>6 735 250 000</t>
  </si>
  <si>
    <t>Пахомова Светлана Константиновна (10 000 руб., 100%)</t>
  </si>
  <si>
    <t>163 410 000</t>
  </si>
  <si>
    <t>epupriemnaya@lukoil.com, evgeniya.portnova@lukoil.com, olga.y.shadrina@lukoil.com, secretary@epu.arcon.ru, svetlana.a.erohina@lukoil.com</t>
  </si>
  <si>
    <t>lukoil-epu.ru</t>
  </si>
  <si>
    <t>ЮГРАНЕФТЕПРОМ-ИНВЕСТ, ООО (30 000 000 000 руб., 100%)</t>
  </si>
  <si>
    <t>531 940 000</t>
  </si>
  <si>
    <t>88005001010@mail.ru, 89127909431@domru.ru, a.aksenov@clb.enforta.com, a.denisov@vvk.enforia.com, a.denisow@vvk.enforia.com, a.dudnikov@enforta.com, a.gotilov@nvk.enforta.com, abonement@fromdomru.ru, abonent@fromdomru.ru, abontnt@fromdomru.ru</t>
  </si>
  <si>
    <t>http://ertelecom.ru, www.domru.ru, www.ertelecom.ru</t>
  </si>
  <si>
    <t>ЭР-ТЕЛЕКОМ ХОЛДИНГ, МКАО (949 410 000 руб.)</t>
  </si>
  <si>
    <t>r-ulybka.ru</t>
  </si>
  <si>
    <t>ТД ЭРА, АО (14 000 руб., 98%)
ДРОГЕРИ РИТЕЙЛ, ООО (285.71 руб., 2%)</t>
  </si>
  <si>
    <t>334 480 000</t>
  </si>
  <si>
    <t>era@eraspb.ru, shmelev@eraspb.ru</t>
  </si>
  <si>
    <t>www.eraspb.ru</t>
  </si>
  <si>
    <t>Твердов Андрей Семенович (9.74%)
Татарский Виктор Сергеевич (9.33%)
Пшеничный Александр Васильевич (8.62%)
Василенко Владимир Николаевич (8.42%)
Лебедев Сергей Валентинович (4.91%)
Рокачевский Дмитрий Вячеславович (4.21%)
Кабанец Сергей Иванович (3.65%)
Вильчинская Юлия Федоровна (2.22%)
Бочарников Павел Николаевич (0.078%)</t>
  </si>
  <si>
    <t>market@era.trade, office@era.trade</t>
  </si>
  <si>
    <t>www.era.trade</t>
  </si>
  <si>
    <t>Пронькин Станислав Валерьевич (7 092 000 руб., 24%)
Заварзин Денис Александрович (3 743 000 руб., 12.67%)
Заварзин Максим Александрович (3 743 000 руб., 12.67%)
Заварзина Александра Александровна (3 743 000 руб., 12.67%)
Заварзина Дарья Александровна (3 743 000 руб., 12.67%)
Заварзина Наталья Сергеевна (3 743 000 руб., 12.67%)
Суриков Олег Валентинович (3 743 000 руб., 12.67%)</t>
  </si>
  <si>
    <t>527 250 000</t>
  </si>
  <si>
    <t>СИТИ-XXI ВЕК, АО (4 750 000 руб., 95%)
БИТЦА-ИНВЕСТ, ООО (250 000 руб., 5%)</t>
  </si>
  <si>
    <t>info@erismann.ru</t>
  </si>
  <si>
    <t>www.erismann.ru</t>
  </si>
  <si>
    <t>Фирма "ЭРИСМАНН &amp; ЦИ ГМБХ" (106 948 085 руб., 99.99%)
Берхер Петер Рольф (100 руб., 0.00010%)</t>
  </si>
  <si>
    <t>178 440 000</t>
  </si>
  <si>
    <t>hobotova@6030000.ru, maksimova@6030000.ru, petrova@6030000.ru</t>
  </si>
  <si>
    <t>ЭРКАФАРМ, АО (99 000 руб., 99%)
ПЛАНЕТА ТМ, ООО (1 000 руб., 1%)</t>
  </si>
  <si>
    <t>ecom@erkapharm.com, info@superapteka.ru</t>
  </si>
  <si>
    <t>www.stoletov.ru</t>
  </si>
  <si>
    <t>УК ЭРКАФАРМ, АО (497 077 000 руб.)</t>
  </si>
  <si>
    <t>ser_gu@mail.ru</t>
  </si>
  <si>
    <t>erkon-beton.ru</t>
  </si>
  <si>
    <t>РП-БЕТОН, АО (19 800 руб., 99%)
РП-ЛОГИСТИКА, АО (200 руб., 1%)</t>
  </si>
  <si>
    <t>23 070 000</t>
  </si>
  <si>
    <t>ivanova_t@erconproduct.ru</t>
  </si>
  <si>
    <t>ТД Р-КОН, ООО (6 500 000 руб., 100%)</t>
  </si>
  <si>
    <t>info@ehrmann.ru</t>
  </si>
  <si>
    <t>www.ehrmann.ru</t>
  </si>
  <si>
    <t>"ЭРМАНН АГ ОБЕРШЁНЕГГ ИМ АЛЛЬГОЙ" (1 518 629 421.85 руб., 100%)</t>
  </si>
  <si>
    <t>258 230 000</t>
  </si>
  <si>
    <t>erten08@mail.ru</t>
  </si>
  <si>
    <t>Магомадов Мовсар Рамзанович (5 000 руб., 50%)
Умаев Магамед Абуевич (5 000 руб., 50%)</t>
  </si>
  <si>
    <t>irina.gorbatenkova@sbcmedia.ru, reseption@sbcmedia.ru</t>
  </si>
  <si>
    <t>sbcmedia.ru</t>
  </si>
  <si>
    <t>Бахтеров Алексей Владимирович (2 500 000 руб., 50%)
Бахтерова Юлия Анатольевна (2 500 000 руб., 50%)</t>
  </si>
  <si>
    <t>129 020 000</t>
  </si>
  <si>
    <t>1 030 050 000</t>
  </si>
  <si>
    <t>do63323@scj.com</t>
  </si>
  <si>
    <t>www.scjohnson.com</t>
  </si>
  <si>
    <t>ЭС.СИ.ДЖЕЙ.Н.Л.ХОЛДИНГС Б.В. (1 179 339 084 руб., 84.70%)
S. C. Johnson &amp; Son, Inc. (213 032 916 руб., 15.30%)</t>
  </si>
  <si>
    <t>173sk@mail.ru, asharina_ia@esbvolga.ru, ato@esbvolga.ru, ato@esbvolsa.ru, ato@sebvolga.ru, ato@tsbvolga.ru, balakireva_ny@esbvolga.ru, belova_nv@esbvolga.ru, belova_oa@esbvlga.ru, belova_oa@esvolga.ru</t>
  </si>
  <si>
    <t>esbvolga.ru</t>
  </si>
  <si>
    <t>ЭСКБ-РАЗВИТИЕ, ООО (249 100 000 руб., 99.64%)
АКТИВ-ЭНЕРГИЯ, ООО (900 000 руб., 0.36%)</t>
  </si>
  <si>
    <t>18 310 000</t>
  </si>
  <si>
    <t>ekuneva@tksdg.ru, info@tksdg.ru</t>
  </si>
  <si>
    <t>Козлов Андрей Викторович (900 000 руб., 90%)
Бережной Андрей Викторович (100 000 руб., 10%)</t>
  </si>
  <si>
    <t>office@eskks.ru, zhagarina@eskks.ru</t>
  </si>
  <si>
    <t>eskks.ru</t>
  </si>
  <si>
    <t>ЗАВОД КРАСНОЕ СОРМОВО, ПАО (10 000 руб., 100%)</t>
  </si>
  <si>
    <t>bryksinalv@esc.rushydro.ru, bryksinalv@gmail.com, esc@esc.rushydro.ru, esc@rushydro.ru, filippoveyu@rushydro.ru</t>
  </si>
  <si>
    <t>esc-rushydro.ru</t>
  </si>
  <si>
    <t>РУСГИДРО, ПАО (100%)</t>
  </si>
  <si>
    <t>1 438 880 000</t>
  </si>
  <si>
    <t>a.slepova@energomost.com, energomost@energomost.com, it@energomost.com</t>
  </si>
  <si>
    <t>energomost.com</t>
  </si>
  <si>
    <t>Никитин Алексей Геннадьевич (15 007 500 руб., 75%)
Харитонов Павел Владимирович (5 002 500 руб., 25%)</t>
  </si>
  <si>
    <t>255 350 000</t>
  </si>
  <si>
    <t>esk-e.ru</t>
  </si>
  <si>
    <t>Кутищева Марина Владимировна (100 000 руб., 100%)</t>
  </si>
  <si>
    <t>0275038496_027801001@eo.tensor.ru, abdullina.ea@bashesk.ru, abramova_sa@bashesk.ru, agafonov_ay@bashesk.ru, agafonovfy@bashesk.ru, akhkrr@yandex.ru, alinka12_91@mail.ru, ansarik90@mail.ru, antipov_am@basheck.ru, antipov_am@bashesk.ru</t>
  </si>
  <si>
    <t>www.bashesk.ru</t>
  </si>
  <si>
    <t>ИНТЕР РАО, ПАО (50 869 491.3 руб., 99.99%)</t>
  </si>
  <si>
    <t>598 640 000</t>
  </si>
  <si>
    <t>ded@skek.ru, escc@mail.ru, eskk.pokazaniya@eskk.ru, eskk.pokazaniya@sdsenegro.ru, eskk.pokazaniya@sdsenerao.ru, eskk.pokazaniya@sdsenerqo.ru, essk42@essk.ru, essk@energo.hcsds.ru, essk@mail.ru, essk@yandex.ru</t>
  </si>
  <si>
    <t>ПИЛОТ, ООО ТД (4 013 361 руб., 80.10%)
ЭСКК, ООО (997 140 руб., 19.90%)</t>
  </si>
  <si>
    <t>520 000</t>
  </si>
  <si>
    <t>glavbux@escort-servis.ru</t>
  </si>
  <si>
    <t>escort-servis.ru</t>
  </si>
  <si>
    <t>Скворцов Вячеслав Юрьевич (3 500 руб., 35%)
Дзегуль Олег Евгеньевич (3 000 руб., 30%)
Ларионов Александр Евгеньевич (2 500 руб., 25%)
Милашенко Всеволод Геннадьевич (1 000 руб., 10%)</t>
  </si>
  <si>
    <t>378 090 000</t>
  </si>
  <si>
    <t>georgiy.utemov@uralchem.com, igor.burdin@uralchem.com</t>
  </si>
  <si>
    <t>http://www.uralchem.ru/</t>
  </si>
  <si>
    <t>ОХК УРАЛХИМ, АО (105 862 700 руб., 100%)</t>
  </si>
  <si>
    <t>260 000</t>
  </si>
  <si>
    <t>www.econika-style.ru</t>
  </si>
  <si>
    <t>УК ГРУППЫ НОВАРД, ООО (150 900 000 руб., 100%)</t>
  </si>
  <si>
    <t>936 990 000</t>
  </si>
  <si>
    <t>akhunovm@maheev.ru, cammon@maheev.ru</t>
  </si>
  <si>
    <t>www.maheev.ru</t>
  </si>
  <si>
    <t>644 750 000</t>
  </si>
  <si>
    <t>olga.philippova@essity.com, reception.moscow@sca.com</t>
  </si>
  <si>
    <t>essity.com</t>
  </si>
  <si>
    <t>Essity Group Holding B.V. (6 191 762 871 руб., 75.02%)
Essity GmbH (2 061 500 000 руб., 24.98%)</t>
  </si>
  <si>
    <t>819 910 000</t>
  </si>
  <si>
    <t>info@e-s-t.ru, torgi@e-s-t.ru</t>
  </si>
  <si>
    <t>camelion.ru, www.e-s-t.ru</t>
  </si>
  <si>
    <t>228 490 000</t>
  </si>
  <si>
    <t>info@estacons.com</t>
  </si>
  <si>
    <t>estacons.ru, www.estacons.com</t>
  </si>
  <si>
    <t>Булакчибаши Сонер (9 100 руб., 91%)
Денискина Елена Владимировна (900 руб., 9%)</t>
  </si>
  <si>
    <t>253 650 000</t>
  </si>
  <si>
    <t>lalykova@ru.estee.com</t>
  </si>
  <si>
    <t>ЭЛКО (63 447 690 руб., 99.90%)
Estee Lauder Europe, Inc. (34 825.15 руб., 0.10%)</t>
  </si>
  <si>
    <t>1 141 160 000</t>
  </si>
  <si>
    <t>lada.ryzhaeva@estralin.com, office@estralin.com</t>
  </si>
  <si>
    <t>www.estralin.com</t>
  </si>
  <si>
    <t>Бюрюмджекчи Эмрэ (3 000 000 руб., 25%)
Козлов Андрей Максимович (3 000 000 руб., 25%)
Кочина Елена Юрьевна (3 000 000 руб., 25%)
Маркин Антон Владимирович (3 000 000 руб., 25%)</t>
  </si>
  <si>
    <t>38 040 000</t>
  </si>
  <si>
    <t>e-otchet@europlan.ru, info@sfiholding.ru</t>
  </si>
  <si>
    <t>http://www.safmarinvest.ru</t>
  </si>
  <si>
    <t>borodin1917@gmail.com, kusovets_o@lenspecsmu.ru, lenspecsmu@etalongroup.com, tatyana.ignatishina@etalongroup.com, tender@etalongroup.com</t>
  </si>
  <si>
    <t>www.lenspecsmu.ru</t>
  </si>
  <si>
    <t>ГК ЭТАЛОН, АО (99.99%)
ГК ЭТАЛОН, ООО (0.00014%)</t>
  </si>
  <si>
    <t>daria.masalitina@yit.ru, ekaterina.siuziumova@yit.ru, olga.kraynova@ucmsgroup.ru</t>
  </si>
  <si>
    <t>ЭТАЛОН-ФИНАНС, АО (5 682 537 196.8 руб.)</t>
  </si>
  <si>
    <t>Создание геодезической, нивелирной, гравиметрической сетей</t>
  </si>
  <si>
    <t>etalon.35@yandex.ru</t>
  </si>
  <si>
    <t>Кочкарев Иван Владимирович (10 000 руб., 100%)</t>
  </si>
  <si>
    <t>es-admin@elko24.net, msuslova_pochta@mail.ru</t>
  </si>
  <si>
    <t>dobrostroy30.ru, добрострой.рф</t>
  </si>
  <si>
    <t>Ахмеев Ильдус Ахмейевич (5 000 руб., 50%)
Кулагин Владимир Владимирович (5 000 руб., 50%)</t>
  </si>
  <si>
    <t>201 030 000</t>
  </si>
  <si>
    <t>banschikov@f5com.ru, pavlov@f5com.ru</t>
  </si>
  <si>
    <t>f5com.ru</t>
  </si>
  <si>
    <t>Калмыкова Елена Васильевна (10 500 руб., 51.22%)
Быков Роман Сергеевич (10 000 руб., 48.78%)</t>
  </si>
  <si>
    <t>ЭФКО ПРОДУКТЫ ПИТАНИЯ, АО (13 336 руб., 100%)</t>
  </si>
  <si>
    <t>396 860 000</t>
  </si>
  <si>
    <t>e.beresneva@efko.ru, efko@belgtts.ru, n.gayko@efko.ru, priem-efko@efko.org</t>
  </si>
  <si>
    <t>ЭФКО ПРОДУКТЫ ПИТАНИЯ, АО (351 757 000 руб.)</t>
  </si>
  <si>
    <t>o.demyanova@efko.ru, v.romantsev@efko-trade.ru</t>
  </si>
  <si>
    <t>51 000 000</t>
  </si>
  <si>
    <t>Вартазаров Андрей Сергеевич (10 000 руб., 100%)</t>
  </si>
  <si>
    <t>8 310 000</t>
  </si>
  <si>
    <t>info@premierlounges.ru</t>
  </si>
  <si>
    <t>282 870 000</t>
  </si>
  <si>
    <t>aiz@aiz.ru</t>
  </si>
  <si>
    <t>aiz.ru</t>
  </si>
  <si>
    <t>Бурага Василий Алексеевич (16.21%)
Тасаков Денис Валерьевич (2.71%)</t>
  </si>
  <si>
    <t>Производство электрических изоляторов из стекла</t>
  </si>
  <si>
    <t>спецтехника-дальнийвосток.рф</t>
  </si>
  <si>
    <t>Юй Ян (10 000 руб., 100%)</t>
  </si>
  <si>
    <t>132 690 000</t>
  </si>
  <si>
    <t>e.stavitskaya@skuvis.ru, offise@skuvis.ru, ooo_sk_uvis2006@bk.ru</t>
  </si>
  <si>
    <t>skuvis.ru</t>
  </si>
  <si>
    <t>Остапенко Юрий Борисович (34 000 руб., 34%)
Башков Александр Юрьевич (33 000 руб., 33%)
Башков Владимир Юрьевич (33 000 руб., 33%)</t>
  </si>
  <si>
    <t>175 060 000</t>
  </si>
  <si>
    <t>info@uvelit.ru</t>
  </si>
  <si>
    <t>ivankulaga@yandex.ru, m.beloborodko@mdsft.ru</t>
  </si>
  <si>
    <t>bumagadobra.ru, сдай.рф</t>
  </si>
  <si>
    <t>КАМЕНСКАЯ БКФ, АО (135 000 руб., 100%)</t>
  </si>
  <si>
    <t>Обработка отходов бумаги и картона</t>
  </si>
  <si>
    <t>189 500 000</t>
  </si>
  <si>
    <t>КСК №4, ООО (50 010 000 руб., 50.01%)
ППИТ-1, ООО (40 000 000 руб., 40%)
ИНФРАВЭБ, АО (9 990 000 руб., 9.99%)</t>
  </si>
  <si>
    <t>147 060 000</t>
  </si>
  <si>
    <t>info@uvm23.ru</t>
  </si>
  <si>
    <t>Прояев Алексей Александрович (10 000 руб., 100%)</t>
  </si>
  <si>
    <t>79 730 000</t>
  </si>
  <si>
    <t>galinagalinana@mail.ru</t>
  </si>
  <si>
    <t>polimer-paket.ru</t>
  </si>
  <si>
    <t>Седых Иван Михайлович (10 000 руб., 100%)</t>
  </si>
  <si>
    <t>174 060 000</t>
  </si>
  <si>
    <t>asup@grain.ru, info@grain.ru</t>
  </si>
  <si>
    <t>grain.ru</t>
  </si>
  <si>
    <t>elena.rogalevich@yug-avto.ru</t>
  </si>
  <si>
    <t>www.yug-avto.ru</t>
  </si>
  <si>
    <t>ГЛОБАЛ ИММО ИНВЕСТ ГМБХ (7 004 000 руб., 33.33%)
ДБГИ ХОЛДИНГ ГМБХ (7 004 000 руб., 33.33%)
Яшина Виктория Игоревна (7 004 000 руб., 33.33%)</t>
  </si>
  <si>
    <t>216 760 000</t>
  </si>
  <si>
    <t>Сафронова Валентина Ивановна (4 000 руб., 33.33%)
Шеуджен Саида Казбековна (4 000 руб., 33.33%)
Яшина Виктория Игоревна (4 000 руб., 33.33%)</t>
  </si>
  <si>
    <t>453 310 000</t>
  </si>
  <si>
    <t>Скок Андрей Александрович (14 851 500 руб., 99.01%)
ПАРК РАЗВЛЕЧЕНИЙ КРАСНОДАР, ООО (148 500 руб., 0.99%)</t>
  </si>
  <si>
    <t>Деятельность по оказанию прочих услуг, связанных со службой предварительных заказов</t>
  </si>
  <si>
    <t>yug-farm.ru</t>
  </si>
  <si>
    <t>Федотов Сергей Анатольевич (14 886 руб., 74.43%)
Журавлева Елена Владимировна (1 997 руб., 9.98%)
Гвоздецкий Владимир Николаевич (1 038 руб., 5.19%)
Савченко Елена Павловна (886 руб., 4.43%)
Барышников Алексей Сергеевич (505 руб., 2.52%)
Воробьева Валентина Александровна (381 руб., 1.90%)
Щеглова Лада Анатольевна (307 руб., 1.53%)</t>
  </si>
  <si>
    <t>alex.zabolotnev@yandex.ru, ubsr@ubsr.ru</t>
  </si>
  <si>
    <t>УПРАВЛЯЮЩАЯ КОМПАНИЯ ЮБС, ООО (1 000 000 руб., 100%)</t>
  </si>
  <si>
    <t>n.ubeivolk@ugold.ru, oao_ugk@mail.ru, ugold@ugold.ru, user@ugold.ru</t>
  </si>
  <si>
    <t>Струков Константин Иванович (99.99%)
Кузнецова Евгения Константиновна (0.00010%)</t>
  </si>
  <si>
    <t>rus.zenit.17@mail.ru, titov.igor79@mail.ru, yugnefteprodukt@yandex.ru</t>
  </si>
  <si>
    <t>Карапетян Дмитрий Владимирович (1 119 430 руб., 98%)
Карапетян Владимир Аветисович (20 000 руб., 2%)</t>
  </si>
  <si>
    <t>127 380 000</t>
  </si>
  <si>
    <t>yugo-vostokagro@mail.ru</t>
  </si>
  <si>
    <t>Новак Руслан Андреевич (10 000 руб., 100%)</t>
  </si>
  <si>
    <t>124 960 000</t>
  </si>
  <si>
    <t>Хохлова Татьяна Игоревна (40 000 руб., 100%)</t>
  </si>
  <si>
    <t>7 536 740 000</t>
  </si>
  <si>
    <t>chuginav@uztec.ru, morozkinaeg@uztec.ru, nmoskvina@exch.uztec.ru, nmoskvina@uztec.ru, office@uztec.ru</t>
  </si>
  <si>
    <t>www.uztec.ru</t>
  </si>
  <si>
    <t>os@ugratimber.ru, shmikt@gmail.com, yrist.lzu@ugratimber.ru, yurist@ugratimber.ru</t>
  </si>
  <si>
    <t>www.ugratimber.com</t>
  </si>
  <si>
    <t>2 756 780 000</t>
  </si>
  <si>
    <t>a.dmitrienko@yugprom.ru, a.kundich@yugprom.ru</t>
  </si>
  <si>
    <t>yugprom.ru</t>
  </si>
  <si>
    <t>Печенов Юрий Анатольевич (8 100 000 руб., 90%)
Печенов Александр Анатольевич (900 000 руб., 10%)</t>
  </si>
  <si>
    <t>utsl08@mail.ru</t>
  </si>
  <si>
    <t>ютсл.рф</t>
  </si>
  <si>
    <t>Ливринц Андрей Андреевич (10 000 руб., 100%)</t>
  </si>
  <si>
    <t>ukyugs@mail.ru</t>
  </si>
  <si>
    <t>Гаевский Константин Константинович (10 000 руб., 100%)</t>
  </si>
  <si>
    <t>143 920 000</t>
  </si>
  <si>
    <t>sibngs@mail.ru</t>
  </si>
  <si>
    <t>Белобородов Алексей Викторович (1 500 руб., 15%)
Буянов Виктор Леонидович (1 250 руб., 12.50%)
Газарьянц Валерий Сергеевич (1 250 руб., 12.50%)
Жеребцов Александр Иванович (1 250 руб., 12.50%)
Киямов Рамиль Расимович (1 250 руб., 12.50%)
Летовальцев Сергей Александрович (1 250 руб., 12.50%)
СНГС, ООО (750 руб., 7.50%)
Дружинин Сергей Викторович (500 руб., 5%)
Окишев Александр Сергеевич (500 руб., 5%)
Спирченков Константин Александрович (500 руб., 5%)</t>
  </si>
  <si>
    <t>33 500 000</t>
  </si>
  <si>
    <t>d.churilov@fishdv.ru, d.tsitlionok@fishdv.ru, tender_com@fishdv.ru, v.solodovnikov@fishdv.ru, ymrf@ymrf.ru</t>
  </si>
  <si>
    <t>ymrf.ru</t>
  </si>
  <si>
    <t>1 537 630 000</t>
  </si>
  <si>
    <t>gardar2015@mail.ru</t>
  </si>
  <si>
    <t>ugardar.ru</t>
  </si>
  <si>
    <t>Снимщиков Егор Михайлович (10 732 166.48 руб., 100%)</t>
  </si>
  <si>
    <t>info@ukorona.ru, v.zhmuydov@mail.ru</t>
  </si>
  <si>
    <t>ГК ЮЖНАЯ КОРОНА, ООО (38 906 720 руб., 100%)</t>
  </si>
  <si>
    <t>21 260 000</t>
  </si>
  <si>
    <t>af-yuzhnaya@yandex.ru, af_yuzhnaya@inbox.ru, af_yuzhnaya@yandex.ru, hvatkinav@yajnaya.ru, office@yujnaya.ru, ttpp@list.ru</t>
  </si>
  <si>
    <t>ГК АРИАНТ, ООО (1 861 000 000 руб., 100%)</t>
  </si>
  <si>
    <t>Выращивание винограда</t>
  </si>
  <si>
    <t>2 435 430 000</t>
  </si>
  <si>
    <t>kovalev@utkr.ru</t>
  </si>
  <si>
    <t>ХК ЮЖУГОЛЬ, ООО (4 450 000 руб., 100%)</t>
  </si>
  <si>
    <t>fish@yukr.ru, ukrk2006@rambler.ru, yukr@yukr.ru</t>
  </si>
  <si>
    <t>КОНСТАНТА, АО (30 015 000 руб., 100%)</t>
  </si>
  <si>
    <t>21 110 000</t>
  </si>
  <si>
    <t>alesiktv@kuz.rikt.ru, pr1@kuz.rikt.ru, pr1@uk.mechel.com, prl@kuz.rikt.ru, tarasovasv@uk.mechel.com</t>
  </si>
  <si>
    <t>http://www.ukuzbass.ru, www.mechel.ru</t>
  </si>
  <si>
    <t>МЕЧЕЛ-МАЙНИНГ, АО (99.01%)
МЕЧЕЛ-СЕРВИС, ООО (0.00030%)</t>
  </si>
  <si>
    <t>demchenko-aa@yandex.ru, info@krasnodarskoemaslo.ru, info@so-pole.ru, polyus.y@mail.ru</t>
  </si>
  <si>
    <t>СИРИУС, ООО (10 395 000 руб., 49.50%)
Красавцев Борис Евгеньевич (8 925 000 руб., 42.50%)
Губская Елена Леонидовна (1 680 000 руб., 8%)</t>
  </si>
  <si>
    <t>169 880 000</t>
  </si>
  <si>
    <t>www.yujni.ru</t>
  </si>
  <si>
    <t>148 580 000</t>
  </si>
  <si>
    <t>ekaterina.dyuzheva@mechel.com, natalya.subocheva@mechel.com, pavel.bakumenko@mechelgroup.ru, svetlana.rudenko@mechel.com, tatyana.patanina@mechel.com, ukgres.reception@mechel.com, ukgres@mail.ru</t>
  </si>
  <si>
    <t>www.ukgres.ru</t>
  </si>
  <si>
    <t>МЕЧЕЛ-ЭНЕРГО, ООО (98.26%)</t>
  </si>
  <si>
    <t>y.misko@exillonenergy.ru</t>
  </si>
  <si>
    <t>Клэйбрук Лимитед (Claybrook Limited) (5 000 руб., 50%)
Экшнбрук Лимитед (Actionbrook Limited) (5 000 руб., 50%)</t>
  </si>
  <si>
    <t>620 000</t>
  </si>
  <si>
    <t>hazov59@mail.ru, region@ukmp.ru, ukmp1@yandex.ru, ukmpfin@yandex.ru</t>
  </si>
  <si>
    <t>www.u-mol.ru</t>
  </si>
  <si>
    <t>Поздеев Сергей Владимирович (4 817 070 руб., 100%)</t>
  </si>
  <si>
    <t>2 008 080 000</t>
  </si>
  <si>
    <t>yukolaneft@mail.ru</t>
  </si>
  <si>
    <t>Шумский Валерий Константинович (133 980 000 руб., 72.03%)
Месячик Вероника Николаевна (26 100 000 руб., 14.03%)
Фонд имени Преподобной Евфросинии Полоцкой (13 920 000 руб., 7.48%)
Шумская Ирина Валерьевна (4 987 632.9 руб., 2.68%)
Шумская Анна Валерьевна (2 473 360.09 руб., 1.33%)
БАКЛЭНД КАМПАНИ ИНКОРПОРЕЙТ (2 306 400 руб., 1.24%)
Халецкая Елена Константиновна (2 232 607.01 руб., 1.20%)</t>
  </si>
  <si>
    <t>1 343 160 000</t>
  </si>
  <si>
    <t>centr.yula@bk.ru</t>
  </si>
  <si>
    <t>Предоставление прочих социальных услуг без обеспечения проживания, не включенных в другие группировки</t>
  </si>
  <si>
    <t>admin@meinl-coffee.ru, v.petrova@meinl-coffee.ru</t>
  </si>
  <si>
    <t>www.meinlcoffee.com</t>
  </si>
  <si>
    <t>ООО ПО ПРАВУ АВСТРИИ ЮЛИУС МАЙНЛ (33 250 руб., 95%)
КОММ УЧР ЦФА КОНТАКТ-ФИНАНЦ-УНД ХАНДЕЛЬСАНШТАЛЬТ (1 750 руб., 5%)</t>
  </si>
  <si>
    <t>78 160 000</t>
  </si>
  <si>
    <t>www.ub-group.ru</t>
  </si>
  <si>
    <t>ПЛЭЙДЭЙ НЕТВОРКС ЛИМИТЕД (511 462 000 руб., 100%)</t>
  </si>
  <si>
    <t>169 060 000</t>
  </si>
  <si>
    <t>miraxoil.ru</t>
  </si>
  <si>
    <t>Винявский Анатолий Михайлович (198 000 руб., 99%)
Винявский Артем Анатольевич (2 000 руб., 1%)</t>
  </si>
  <si>
    <t>24 510 000</t>
  </si>
  <si>
    <t>onlineinfo@colins.ru, ruadvertisement@colinsjeans.com</t>
  </si>
  <si>
    <t>ЭРК ПАЗАРЛАМА ВЕ ГИЙИМ САНАЙИ ТИДЖАРЕТ АНОНИМ ШИРКЕТИ (241 618 244.21 руб., 100%)</t>
  </si>
  <si>
    <t>ekaterina.remizova@jungheinrich.ru, info@jh-shop.ru, info@jungheinrich.ru</t>
  </si>
  <si>
    <t>jh-shop.ru, www.jungheinrich.ru</t>
  </si>
  <si>
    <t>ООО "ЮНГХАЙНРИХ БЕТАЙЛИГУНС-ГМБХ" (7 884 459 руб., 99%)
АО "ЮНГХАЙНРИХ АКЦИЕНГЕЗЕЛЬШАФТ" (79 641 руб., 1%)</t>
  </si>
  <si>
    <t>593 880 000</t>
  </si>
  <si>
    <t>gsm@mail.ru, nvs.unigaz@mail.ru, suvorovaaa@junigaz.ru, unigas@bk.ru, unigaz@bk.ru, unigaz@br.ru, unigaz@mail.ru, vcbjk@mail.ru</t>
  </si>
  <si>
    <t>junigaz.ru</t>
  </si>
  <si>
    <t>Тихов Александр Владимирович (10 000 руб., 100%)</t>
  </si>
  <si>
    <t>gos@unident.ru, i.pavlenko@unident.net, info@unident.net, ktvlena@mail.ru, office@unident.net, ornt@unident-online.ru, ornt@unidentonline.ru, service@unident-online.ru, service@unident-service.ru, tender1@unident.ru</t>
  </si>
  <si>
    <t>unidentshop.ru, www.unident.net</t>
  </si>
  <si>
    <t>74 700 000</t>
  </si>
  <si>
    <t>help@uniqlo.ru, nhelp@uniqlo.ru, recruitment@uniqlo.ru</t>
  </si>
  <si>
    <t>uniqlo.com</t>
  </si>
  <si>
    <t>"ФАСТ РИТЭЙЛИНГ КО., ЛТД." (30 000 руб., 75%)
АКЦИОНЕРНОЕ ОБЩЕСТВО "МИЦУБИСИ КОРПОРЕЙШН" (10 000 руб., 25%)</t>
  </si>
  <si>
    <t>2 104 910 000</t>
  </si>
  <si>
    <t>a.kayumov@yunikom.com, office@ucmilk.ru</t>
  </si>
  <si>
    <t>ucmilk.ru</t>
  </si>
  <si>
    <t>Хусаенов Нурсиль Нурисламович (500 000 руб., 100%)</t>
  </si>
  <si>
    <t>247 420 000</t>
  </si>
  <si>
    <t>Корицкая Татьяна Николаевна (63 000 руб., 63%)
Прокопчук Николай Владимирович (37 000 руб., 37%)</t>
  </si>
  <si>
    <t>144 380 000</t>
  </si>
  <si>
    <t>Сильницкий Евгений Васильевич (1 140 000 руб., 95%)
Обручников Александр Сергеевич (60 000 руб., 5%)</t>
  </si>
  <si>
    <t>18 230 000</t>
  </si>
  <si>
    <t>7826704356_783450001@eo.tensor.ru, estel@unicosm.ru, ludmila_d@unicosm.ru</t>
  </si>
  <si>
    <t>www.unicosm.ru</t>
  </si>
  <si>
    <t>Охотин Лев Евгеньевич (2 975 360 руб., 40%)
Мицкевич Елена Леонидовна (1 780 752.96 руб., 23.94%)
Дубынин Анатолий Михайлович (894 095.68 руб., 12.02%)
Мицкевич Андрей Здислававич (894 095.68 руб., 12.02%)
Пантелеймонов Валерий Вадимович (894 095.68 руб., 12.02%)</t>
  </si>
  <si>
    <t>1 389 240 000</t>
  </si>
  <si>
    <t>lea@unicredit.ru, lea_krasnodar@unicredit.ru, lea_novosibirsk@unicredit.ru, lea_spb@unicredit.ru</t>
  </si>
  <si>
    <t>юникредитлизинг.рф</t>
  </si>
  <si>
    <t>ЮНИКРЕДИТ БАНК, АО (160 000 000 руб., 100%)</t>
  </si>
  <si>
    <t>193 390 000</t>
  </si>
  <si>
    <t>info-msk@junix.ru</t>
  </si>
  <si>
    <t>junix.ru</t>
  </si>
  <si>
    <t>Рындевич Дмитрий Владимирович (64 915 714.14 руб., 51%)
Трифоненков Максим Павлович (62 369 999.86 руб., 49%)</t>
  </si>
  <si>
    <t>13 500 000</t>
  </si>
  <si>
    <t>Давыдов Денис Владимирович (5 000 руб., 50%)
Петрова Екатерина Геннадьевна (4 000 руб., 40%)
Шитова Татьяна Анатольевна (1 000 руб., 10%)</t>
  </si>
  <si>
    <t>olga.karaban@unilever-rus.ru, reception.mmz@unilever.com</t>
  </si>
  <si>
    <t>www.unilever.com, www.unilever.ru</t>
  </si>
  <si>
    <t>Rizofoor B.V. (25 671 149 945.28 руб., 88.98%)
ООО "ЮНИЛЕВЕР ДОЙЧЛАНД ГМБХ" (3 176 240 323.91 руб., 11.01%)</t>
  </si>
  <si>
    <t>3 889 230 000</t>
  </si>
  <si>
    <t>ikonovalova@unilin.ru</t>
  </si>
  <si>
    <t>quick-step.ru</t>
  </si>
  <si>
    <t>Mohawk United International B.V. (1 445 381 850 руб., 100%)</t>
  </si>
  <si>
    <t>553 590 000</t>
  </si>
  <si>
    <t>info@union-rus.ru, max-kuvshinov@mail.ru</t>
  </si>
  <si>
    <t>union-flex.ru</t>
  </si>
  <si>
    <t>Кувшинов Максим Михайлович (2 986 000 руб., 99.53%)
Бешенцев Юрий Сергеевич (14 000 руб., 0.47%)</t>
  </si>
  <si>
    <t>Производство резиновых изделий</t>
  </si>
  <si>
    <t>bgres@mail.ru, dfghkj@mail.ru, dkfgg@mail.ru, ir@eon-russia.ru, jdhgh@mail.ru, lkdjg@mail.ru, shaturaeon@mail.ru, sokolova_o@eon-russia.ru, surgut_gres-2@unipro.energy, vorontsova_n@unipro.energy</t>
  </si>
  <si>
    <t>http://www.unipro.energy</t>
  </si>
  <si>
    <t>Юнипер СЕ (83.73%)</t>
  </si>
  <si>
    <t>СМАРТ СЕРВИС ЛТД, ООО (50 651 177 руб., 100%)</t>
  </si>
  <si>
    <t>1 489 800 000</t>
  </si>
  <si>
    <t>evgeniya.sarafonova@tplusgroup.ru</t>
  </si>
  <si>
    <t>71 420 000</t>
  </si>
  <si>
    <t>ssabyanina@protonam.com</t>
  </si>
  <si>
    <t>Мифтахутдинов Руслан Ренатович (10 000 руб., 100%)</t>
  </si>
  <si>
    <t>office@uni-mail.ru, uni-01@mail.ru</t>
  </si>
  <si>
    <t>Курнаков Вадим Викторович (10 000 руб., 100%)</t>
  </si>
  <si>
    <t>mail@unifrost.ru</t>
  </si>
  <si>
    <t>unifrost.ru</t>
  </si>
  <si>
    <t>Романова Анна Сергеевна (55 080 000 руб., 100%)</t>
  </si>
  <si>
    <t>1 229 950 000</t>
  </si>
  <si>
    <t>e.romanova@unact.ru</t>
  </si>
  <si>
    <t>unact.ru</t>
  </si>
  <si>
    <t>Сухобрусов Дмитрий Николаевич (70 000 руб., 100%)</t>
  </si>
  <si>
    <t>etp@jupiter9.ru, info@jupiter9.ru, valentin.melikhov@jupiter9.ru</t>
  </si>
  <si>
    <t>www.jupiter9.ru</t>
  </si>
  <si>
    <t>Борисоглебская Светлана Борисовна (500 000 руб., 50%)
Мелихов Валентин Евгеньевич (500 000 руб., 50%)</t>
  </si>
  <si>
    <t>911 430 000</t>
  </si>
  <si>
    <t>achkasov@sibatom.com, limon@vinograd-loza.ru</t>
  </si>
  <si>
    <t>Бронштейн Виктор Владимирович (5 200 000 руб., 52%)
Артамонова Вера Валерьевна (1 200 000 руб., 12%)
Бронштейн Даниил Викторович (1 200 000 руб., 12%)
Бронштейн Ольга Сергеевна (1 200 000 руб., 12%)
Матвеев Станислав Викторович (1 200 000 руб., 12%)</t>
  </si>
  <si>
    <t>28 460 000</t>
  </si>
  <si>
    <t>upl@com2com.ru</t>
  </si>
  <si>
    <t>www.uniphos.com, www.uplonline.com</t>
  </si>
  <si>
    <t>ФИРМА "ЮНАЙТЕД ФОСФОРУС ЛИМИТЕД" АНГЛИЯ (50 000 руб., 100%)</t>
  </si>
  <si>
    <t>olga.nikitina@upm-kymmene.com, t.tyurina@probirch.pro</t>
  </si>
  <si>
    <t>АКЦИОНЕРНОЕ ОБЩЕСТВО "АСТРОНАУТ РУС ХОЛДИНГС ОЮ" (2 210 599 109.55 руб., 100%)</t>
  </si>
  <si>
    <t>1 379 250 000</t>
  </si>
  <si>
    <t>moscow@upm-kymmene.com, svetlana.bobkova@upm-kymmene.com, svetlana.uvakina@upm.com, valentina.boytsova@upm.com</t>
  </si>
  <si>
    <t>www.upm-kymmene.com, www.upm.com, www.upm.ru</t>
  </si>
  <si>
    <t>АКЦИОНЕРНОЕ ОБЩЕСТВО "АСТРОНАУТ РУС ХОЛДИНГС ОЮ" (58 535 000 руб., 100%)</t>
  </si>
  <si>
    <t>Деятельность агентов, специализирующихся на оптовой торговле бумагой и картоном</t>
  </si>
  <si>
    <t>114 100 000</t>
  </si>
  <si>
    <t>an.kunavin@favorit-parts.ru, info@favorit-parts.ru, oa.kuznetsova@favorit-parts.ru, vasilina@favorit-auto.ru</t>
  </si>
  <si>
    <t>favorit-parts.ru</t>
  </si>
  <si>
    <t>Союзнов Сергей Викторович (30 000 000 руб., 35%)
Киселева Марина Юрьевна (27 857 143 руб., 32.50%)
Кунавин Алексей Николаевич (27 857 143 руб., 32.50%)</t>
  </si>
  <si>
    <t>1 552 550 000</t>
  </si>
  <si>
    <t>urves.ru</t>
  </si>
  <si>
    <t>Ярошенко Юрий Васильевич (8 000 000 руб., 100%)</t>
  </si>
  <si>
    <t>96 250 000</t>
  </si>
  <si>
    <t>medvedev@gorodissky.ru, pat@gorodissky.com, pat@gorodissky.ru</t>
  </si>
  <si>
    <t>www.gorodissky.ru</t>
  </si>
  <si>
    <t>Медведев Валерий Николаевич (700 000 руб., 100%)</t>
  </si>
  <si>
    <t>audit@yufa.ru, csc-nyagan@yuresk.ru, fedasr@yuresk.ru, ilyasovaah@yuresk.ru, kostromaas@yuresk.ru, mininamv@yuresk.ru, nohrinala@yuresk.ru, noreply@yuresk.ru, nyagan@yuresk.ru, papsuevaiv@yuresk.ru</t>
  </si>
  <si>
    <t>yuresk.ru</t>
  </si>
  <si>
    <t>www.ucb.com</t>
  </si>
  <si>
    <t>АКЦИОНЕРНОЕ ОБЩЕСТВО ЮСБ (UCB S.A.) (800 394 675 руб., 100%)</t>
  </si>
  <si>
    <t>www.yusen-logistics.сom</t>
  </si>
  <si>
    <t>ЧК с ОО "ЮСЕН ЛОДЖИСТИКС (ЮРОП) БИ.ВИ." (1 000 000 руб., 100%)</t>
  </si>
  <si>
    <t>377 290 000</t>
  </si>
  <si>
    <t>guseeva@ucgrus.ru, info@ucgrus.com</t>
  </si>
  <si>
    <t>www.ucgrus.com</t>
  </si>
  <si>
    <t>Добындо Степан Петрович (450 000 руб., 45%)
Брум Елена Александровна (225 000 руб., 22.50%)
Толстобров Геннадий Михайлович (225 000 руб., 22.50%)
Карташов Сергей Геннадьевич (100 000 руб., 10%)</t>
  </si>
  <si>
    <t>622 970 000</t>
  </si>
  <si>
    <t>iasltd@belrus.kuban.ru</t>
  </si>
  <si>
    <t>www.interagrosystems.ru, www.yugsok.com</t>
  </si>
  <si>
    <t>Жуков Сергей Николаевич (85 495 995.0891 руб., 71.93%)
Триандофилиди Сергей Павлович (33 352 434.9109 руб., 28.06%)</t>
  </si>
  <si>
    <t>buh@ussrostov.ru, ermolovdf@ussrostov.ru, ermolovdf@ussrotov.ru</t>
  </si>
  <si>
    <t>Верченко Лариса Юрьевна (1 003 520 руб., 99.95%)
Ермолов Дмитрий Федорович (480 руб., 0.050%)</t>
  </si>
  <si>
    <t>45 180 000</t>
  </si>
  <si>
    <t>ivshinarb@mail.ru, ussa86@list.ru</t>
  </si>
  <si>
    <t>Ившин Андрей Николаевич (10 000 руб., 100%)</t>
  </si>
  <si>
    <t>11 650 000</t>
  </si>
  <si>
    <t>uta-nn.ru, utawine.ru</t>
  </si>
  <si>
    <t>info@yutara.ru</t>
  </si>
  <si>
    <t>Таракчы Волкан (5 000 руб., 50%)
Юров Максим Александрович (5 000 руб., 50%)</t>
  </si>
  <si>
    <t>natalya.shmakova@bintg.com</t>
  </si>
  <si>
    <t>www.juteks.ru</t>
  </si>
  <si>
    <t>964 710 000</t>
  </si>
  <si>
    <t>buh@stc93.com</t>
  </si>
  <si>
    <t>Чистов Максим Максимилианович (49 500 000 руб., 99%)
Баженичев Алексей Михайлович (500 000 руб., 1%)</t>
  </si>
  <si>
    <t>36 500 000</t>
  </si>
  <si>
    <t>ilshat.mukhametshin@utair.ru, oksana.mukhina@utair.ru, utaircargo@utair.ru</t>
  </si>
  <si>
    <t>26 240 000</t>
  </si>
  <si>
    <t>alena.lisovaya@utair.ru, it@nuatc.ru, kom.quality@utair.ru, natalya.boyarskaya@utair.ru, natalya.musatova@utair.ru, noao@ugansk.wsnet.ru, olga.sakhnova@utair.ru, utair@utair.ru</t>
  </si>
  <si>
    <t>44 420 000</t>
  </si>
  <si>
    <t>alexey.budnik@utair.ru, office@zavod26.tumen.ru, office@zavod26.tyumen.ru, rashid.faradzhayev@utair.ru, ut-e@utair.ru, vadim.pshenichnikov@utair.ru</t>
  </si>
  <si>
    <t>http://utair-engineering.ru/</t>
  </si>
  <si>
    <t>6 762 130 000</t>
  </si>
  <si>
    <t>info@utek-rs.ru</t>
  </si>
  <si>
    <t>http://www.utek-rs.ru/, http://www.utek-rs.ru/index.php?option=com_content&amp;view=section&amp;id=7&amp;itemid=34, www.utek-ugra.ru</t>
  </si>
  <si>
    <t>966 220 000</t>
  </si>
  <si>
    <t>dir@utek-tehno.ru</t>
  </si>
  <si>
    <t>Бабаев Азер Кахраман Оглы (500 000 руб., 45.05%)
Блезэ Елена Альбертовна (500 000 руб., 45.05%)
Чапковский Вячеслав Валерьевич (110 000 руб., 9.90%)</t>
  </si>
  <si>
    <t>196 790 000</t>
  </si>
  <si>
    <t>buh@ufenal.ru</t>
  </si>
  <si>
    <t>www.ufenal.ru</t>
  </si>
  <si>
    <t>Теренин Андрей Алексеевич (10 000 руб., 100%)</t>
  </si>
  <si>
    <t>63 480 000</t>
  </si>
  <si>
    <t>adsfde@mail.ru, jhkjhjhkh@mail.ru, serk@ues.kamchaten.elektra.ru, teplo2@ues.kamchaten.elektra.ru, tm@kamenergo.ru, uesk-sekr@kamenergo.ru, uesk.sekr@kamenergo.ru, uesk@kamenergo.ru, uesk@mail.ru, uesk_sekr@kamenergo.ru</t>
  </si>
  <si>
    <t>ueskam.ru</t>
  </si>
  <si>
    <t>КАМЧАТСКЭНЕРГО, ПАО (100%)</t>
  </si>
  <si>
    <t>705 210 000</t>
  </si>
  <si>
    <t>736266@mail.ru, 736266@yandex.ru, abs@yvk.ru, balashova@vodokanal.yar.ru, balashova@vodokanal.yaroslavl.ru, balashova@vodokonal.yaroslavl.ru, bbbk@mail.ru, bodakanal76@mail.ru, derbenzeva@vodokanal.yaroslavl.ru, hgygy@maul.ru</t>
  </si>
  <si>
    <t>www.yvk.ru</t>
  </si>
  <si>
    <t>ДЕПАРТАМЕНТ ИМУЩЕСТВЕННЫХ И ЗЕМЕЛЬНЫХ ОТНОШЕНИЙ ЯРОСЛАВСКОЙ ОБЛАСТИ (100%)</t>
  </si>
  <si>
    <t>office@yagc.ru, pavlovaol@yagc.alrosa.ru, yagc@alrosa.ru</t>
  </si>
  <si>
    <t>АЛМАЗЫ АНАБАРА, АО (430 558 992 руб., 100%)</t>
  </si>
  <si>
    <t>235 530 000</t>
  </si>
  <si>
    <t>9871734402@mail.ru</t>
  </si>
  <si>
    <t>ЯДРАН-ГРУПП, ООО (1 000 000 руб., 100%)</t>
  </si>
  <si>
    <t>36 240 000</t>
  </si>
  <si>
    <t>info@yamilk.ru, toksubaev@yamilk.ru, torg@yamilk.ru</t>
  </si>
  <si>
    <t>finance-yrw@mail.ru, info@jrwc.ru, info@yrw.ru, otp@yrw.ru, soz@yrw.ru, yamal-2004@mail.ru</t>
  </si>
  <si>
    <t>yrw.ru</t>
  </si>
  <si>
    <t>16 570 000</t>
  </si>
  <si>
    <t>www.yazaki-group.com</t>
  </si>
  <si>
    <t>ЯЗАКИ КОРПОРЕЙШН (223 613 308 руб., 100%)</t>
  </si>
  <si>
    <t>Производство комплектующих и принадлежностей для автотранспортных средств</t>
  </si>
  <si>
    <t>60 580 000</t>
  </si>
  <si>
    <t>700@yzda.yaroslavl.ru, kravchenkoga@gaz.ru</t>
  </si>
  <si>
    <t>www.powertrain.ru</t>
  </si>
  <si>
    <t>112 010 000</t>
  </si>
  <si>
    <t>natalia.khokhlova@jdecoffee.com, olga.shakhranuk@jdecoffee.com, ru-info@jdecoffee.com, ru-proc@jdecoffee.com</t>
  </si>
  <si>
    <t>jacobsmonarch.com</t>
  </si>
  <si>
    <t>JACOBS DOUWE EGBERTS International B.V. (5 773 417 910 руб., 99.99%)
JACOBS DOUWE EGBERTS Minority B.V. (500 000 руб., 0.010%)</t>
  </si>
  <si>
    <t>5 758 490 000</t>
  </si>
  <si>
    <t>consulting_moscow@mckinsey.com, info@mck-megaconnect.ru</t>
  </si>
  <si>
    <t>ЯКОВ И ПАРТНЁРЫ, АО (10 000 руб., 100%)</t>
  </si>
  <si>
    <t>1 161 620 000</t>
  </si>
  <si>
    <t>teafactory@teafactory.ru</t>
  </si>
  <si>
    <t>akbar.ru, akbarcoffee.ru, akbartea.ru, bernley-tea.ru, bernley.ru, bernleytea.ru, newtea.ru, sapsantea.ru, tc-formulax.ru, гордон.рф</t>
  </si>
  <si>
    <t>Каплан Александр Сергеевич (10 000 руб., 50%)
Смулянский Михаил Олегович (10 000 руб., 50%)</t>
  </si>
  <si>
    <t>yakz@agrobel.ru</t>
  </si>
  <si>
    <t>100 860 000</t>
  </si>
  <si>
    <t>1.b.arkhipov@yakutskenergo.ru, 1435028701@mail.ru, 498801@mail.ru, 498803@mail.ru, 89841180873@mail.ru, a.d.bolshakova@yakutskenergo.ru, a.v.buldakova@yakut.dvec.ru, a.v.bulgakova@yakut.dvec.ru, a.v.cherckashin@yakutskenergo.ru, a.v.cherkashin@yakutskenergo.ru</t>
  </si>
  <si>
    <t>http://yakutskenergo.ru/shareholders_and_investors, www.yakutskenergo.ru</t>
  </si>
  <si>
    <t>РАО ЭС ВОСТОКА, АО (49.36%)
РУСГИДРО, ПАО (29.79%)</t>
  </si>
  <si>
    <t>office@yaspro.ru</t>
  </si>
  <si>
    <t>yaspro.ru</t>
  </si>
  <si>
    <t>РНГ ХОЛДИНГ, ООО (1 000 000 руб., 100%)</t>
  </si>
  <si>
    <t>435 240 000</t>
  </si>
  <si>
    <t>asokolov@yakutcement.ru, asokolova@yakutcement.ru, burnash@yakutcement.ru, gont@mail.ru, info@ykutcement.ru, law@yakutcement.ru, nfo@yakutcement.ru, personal@yakutcement.ru, petrovskaya@yakutcement.ru, petrovskaya@yakutsement.ru</t>
  </si>
  <si>
    <t>yakutcement.ru</t>
  </si>
  <si>
    <t>90 150 000</t>
  </si>
  <si>
    <t>avdeev.p.p@yandex.ru, orionptk@mail.ru</t>
  </si>
  <si>
    <t>Трубников Владимир Сергеевич (2 000 000 руб., 100%)</t>
  </si>
  <si>
    <t>s.pavlova@yamalspg.ru, secretary@yamalspg.ru, yamalspg@yamalspg.ru</t>
  </si>
  <si>
    <t>www.yamalspg.ru, yamallng.ru</t>
  </si>
  <si>
    <t>Сжижение и обогащение природного газа на месте добычи для последующей транспортировки</t>
  </si>
  <si>
    <t>4gossnab@mail.ru, guseva@yamalgs.ru, pegasova@yamalgs.ru, vgs@yamalgs.ru, yulya-guseva78@mail.ru, zakupki@yamalgs.ru</t>
  </si>
  <si>
    <t>178 400 000</t>
  </si>
  <si>
    <t>info@yamaldorstroy.ru, morozov@ymalgazprom.ru</t>
  </si>
  <si>
    <t>18 380 000</t>
  </si>
  <si>
    <t>1@yamalkomenergo.ru, 22154@mail.ru, 23494022390@mail.ru, 23634_89@mail.ru, 4@89.rospotrebnadzor.ru, 83492200000@mail.ru, 83492239963@mail.ru, 83494020424@mail.ru, 83494021299@mail.ru, 83494021792@mail.ru</t>
  </si>
  <si>
    <t>www.sts-corporation.ru/ru/228</t>
  </si>
  <si>
    <t>danilenko.tv@yamaltransstroy.com, in@yamaltransstroy.com, in@yamaltrasstroy.com, info@sgc-severtranssnroy.com, lekhner.tg@yamaltransstroy.com, petrova.ma@yamaltransstroy.com, yamaltrl@lbt.salekhard.ru</t>
  </si>
  <si>
    <t>corr@yummy-group.ru</t>
  </si>
  <si>
    <t>Надуева Яха Асламбековна (10 000 руб., 100%)</t>
  </si>
  <si>
    <t>175 680 000</t>
  </si>
  <si>
    <t>main@llflot.com</t>
  </si>
  <si>
    <t>228 150 000</t>
  </si>
  <si>
    <t>taxreports@yandex-team.ru</t>
  </si>
  <si>
    <t>КОМПАНИЯ С ОГРАНИЧЕННОЙ ОТВЕТСТВЕННОСТЬЮ ЯНДЕКС МЕДИА СЕРВИСЫ Б.В. (99 900 руб., 99.90%)
КОМПАНИЯ С ОГРАНИЧЕННОЙ ОТВЕТСТВЕННОСТЬЮ "ЯНДЕКС Н.В." (100 руб., 0.10%)</t>
  </si>
  <si>
    <t>adv@yandex-team.ru, pr@yandex-team.ru, register-yandex@yandex-team.ru</t>
  </si>
  <si>
    <t>www.yandex.com, www.yandex.ru</t>
  </si>
  <si>
    <t>2 146 800 000</t>
  </si>
  <si>
    <t>161vipavto.ru</t>
  </si>
  <si>
    <t>АКЦИОНЕРНОЕ ОБЩЕСТВО "ЯНДЕКС АВТО.РУ АГ" (12 700 000 руб., 100%)</t>
  </si>
  <si>
    <t>1 635 200 000</t>
  </si>
  <si>
    <t>register-taxi@yandex-team.ru</t>
  </si>
  <si>
    <t>yandex-courier-care.ru</t>
  </si>
  <si>
    <t>ЯНДЕКС.ДОСТАВКА ХОЛДИНГ, ООО (99 900 руб., 99.90%)
ЧАСТНАЯ КОМПАНИЯ С ОГРАНИЧЕННОЙ ОТВЕТСТВЕННОСТЬЮ "ФУДТЕХ ЭНД ДЕЛИВЕРИ Б.В." (100 руб., 0.10%)</t>
  </si>
  <si>
    <t>ЯНДЕКС.ДОСТАВКА ХОЛДИНГ, ООО (999 000 руб., 99.90%)
ЧАСТНАЯ КОМПАНИЯ С ОГРАНИЧЕННОЙ ОТВЕТСТВЕННОСТЬЮ "ФУДТЕХ ЭНД ДЕЛИВЕРИ Б.В." (1 000 руб., 0.10%)</t>
  </si>
  <si>
    <t>ЯНДЕКС, ООО (99 900 руб., 99.90%)
ЯНДЕКС.ТЕЛЕКОМ, ООО (100 руб., 0.10%)</t>
  </si>
  <si>
    <t>201 320 000</t>
  </si>
  <si>
    <t>taxreports@yandex-team.ru, zakupky@yandex-team.ru</t>
  </si>
  <si>
    <t>https://taxi.yandex.ru/</t>
  </si>
  <si>
    <t>Ridetech International B.V. (99 900 руб., 99.90%)
Yandex.Taxi Holding B.V. (100 руб., 0.10%)</t>
  </si>
  <si>
    <t>7 759 640 000</t>
  </si>
  <si>
    <t>412110_24@mail.ru, aksamentova@yantacom.ru, beda@yanta.info, chita2002@mail.ru, moloko68@mail.ru, mololko68@mail.ru, sidorova@yantacom.ru, sumkina@yantacom.ru, tokareva@yanta.info, tokareva@yantacom.ru</t>
  </si>
  <si>
    <t>ЯНТА-Т, ООО (190 000 руб., 76%)
МОЛОКО, ООО (60 000 руб., 24%)</t>
  </si>
  <si>
    <t>118 130 000</t>
  </si>
  <si>
    <t>111111@11.ru, aennsb@yaensb.ru, arhipovaaa@yaensb.ru, bagrationovsk@mail.ru, billing@yaensb.ru, bishanov@kdsbt.ru, budarnayaaa@yaensb.ru, dispet@yaensb.ru, dispzmro@yaensb.ru, dogovor.ul@yeansb.ru</t>
  </si>
  <si>
    <t>РОССЕТИ ЯНТАРЬ, АО (99.99%)</t>
  </si>
  <si>
    <t>749 010 000</t>
  </si>
  <si>
    <t>loskutova@yargeo.novatek.ru, yargeo@yargeo.novatek.ru</t>
  </si>
  <si>
    <t>НОВАТЭК, ПАО (2 486 757 450 руб., 51%)</t>
  </si>
  <si>
    <t>35 608 470 000</t>
  </si>
  <si>
    <t>bni_yardormost@inbox.ru, buh@yardormost.ru, info@yardomost.ru, info@yardormost.ru, markinaev@yardormost.ru, mehanik@yardormost.ru, nfo@yardomost.ru, sekretyardm@ramler.ru, tihomirovann@yardormost.ru, torgi@yardormost.ru</t>
  </si>
  <si>
    <t>ghhn@yfj.ll, orlova@yarkamp.ru</t>
  </si>
  <si>
    <t>yarkamp.ru</t>
  </si>
  <si>
    <t>Костров Николай Александрович (710 000 руб., 71%)
Ананьин Михаил Юрьевич (190 000 руб., 19%)
Лемешкин Евгений Викторович (100 000 руб., 10%)</t>
  </si>
  <si>
    <t>26 680 000</t>
  </si>
  <si>
    <t>oxa0681@mail.ru</t>
  </si>
  <si>
    <t>Ершов Иван Иванович (10 000 руб., 100%)</t>
  </si>
  <si>
    <t>34 300 000</t>
  </si>
  <si>
    <t>yarmolprod.ru</t>
  </si>
  <si>
    <t>Грицюк Ирина Алексеевна (3 441 969 руб., 100%)</t>
  </si>
  <si>
    <t>268 280 000</t>
  </si>
  <si>
    <t>mail@yarbroiler.ru, reseption@yarbroiler.ru, savinova@yarbroiler.ru</t>
  </si>
  <si>
    <t>www.yarbroiler.ru</t>
  </si>
  <si>
    <t>71 530 000</t>
  </si>
  <si>
    <t>ovchinnikovain@rpm-group.ru, skrebkovaev@yvrz.rempm.ru, ywrz@yaroslavl.ru</t>
  </si>
  <si>
    <t>www.rempm.ru, www.ywrz.yaroslavl.ru</t>
  </si>
  <si>
    <t>220 990 000</t>
  </si>
  <si>
    <t>chec@k-yarsk.ru, rodu@k-yarsk.ru</t>
  </si>
  <si>
    <t>k-yarsk.ru</t>
  </si>
  <si>
    <t>Дымов Вадим Георгиевич (58 592 660 руб., 97.33%)
Дуда Егор Анатольевич (1 607 340 руб., 2.67%)</t>
  </si>
  <si>
    <t>80 520 000</t>
  </si>
  <si>
    <t>Копалиани Заза Ардеванович (200 000 руб., 100%)</t>
  </si>
  <si>
    <t>bedrina_t@yastro.ru, info@yastro.ru, ozps@list.ru</t>
  </si>
  <si>
    <t>Плетюк Максим Николаевич (5 446 200 руб., 87%)
Тяшкун Станислав Владимирович (438 200 руб., 7%)
Кузницын Александр Эдуардович (375 600 руб., 6%)</t>
  </si>
  <si>
    <t>info@yatu.ru</t>
  </si>
  <si>
    <t>www.yatu.ru</t>
  </si>
  <si>
    <t>2 615 520 000</t>
  </si>
  <si>
    <t>fedorovvv@yatec.ru, hr@yatec.ru, innokentii_aleks@mail.ru, jsc-yatec@yatec.ru, kp@yatec.ru, moscow@yatec.ru, press@yatec.ru, prudetskiyae@yatec.ru, sb@yatec.ru, tender@yatec.ru</t>
  </si>
  <si>
    <t>www.yatec.ru</t>
  </si>
  <si>
    <t>tk_yahont@inbox.ru, tk_yakhont@bk.ru</t>
  </si>
  <si>
    <t>tk-yakhont.ru</t>
  </si>
  <si>
    <t>Дорошенко Павел Анатольевич (500 000 руб., 100%)</t>
  </si>
  <si>
    <t>"ИНН все клиенты"</t>
  </si>
  <si>
    <t>"все клиенты с выручкой от 1,8 млрд до бесконечности", "."</t>
  </si>
  <si>
    <t>20.30.22.170 Герметики
22.21.41.120 Пленки прочие пластмассовые пористые
20.16.10.119 Полиэтилен прочий</t>
  </si>
  <si>
    <t>"223 за 3 года", ".", "все клиенты с выручкой от 1,8 млрд до бесконечности", "поставщики маркер"</t>
  </si>
  <si>
    <t>1 059</t>
  </si>
  <si>
    <t>Банкроты ФБ 28.04.2023</t>
  </si>
  <si>
    <t>"06.2022_ФинХД", ".", "fk1", "Банкроты ФБ 28.04.2023"</t>
  </si>
  <si>
    <t>клиенты</t>
  </si>
  <si>
    <t>"клиенты с в от100млн 09.21", "."</t>
  </si>
  <si>
    <t>30.20.40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62 Продукты программные и услуги по разработке программного обеспечения; консультационные и аналогичные услуги в области информационных технологий
62.03.12.190 Услуги по управлению компьютерными системами прочие, не включенные в другие группировки
27.9 Оборудование электрическое прочее
43 Работы строительные специализированные
62.02.30.000 Услуги по технической поддержке информационных технологий</t>
  </si>
  <si>
    <t>За весь период компания заключила  5 контрактов на сумму  2 599 561 269,28 ?                                     ЗА 3 ГОДА ПО 223 ФЗ заключено 4 шт. с объемом НМЦ 112 007 579,17 ?</t>
  </si>
  <si>
    <t>"223 за 3 года", ".", "все клиенты с выручкой от 1,8 млрд до бесконечности", "производители", "рейтинг по нмц маркер", "это заказчик", "поставщики маркер"</t>
  </si>
  <si>
    <t>клиент ФК от 230 млн</t>
  </si>
  <si>
    <t>"Обороты по клиентам по кварталам (2022г)", ".", "ушедший портфель", "портфель 51",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</si>
  <si>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43.99.90.190 Работы строительные специализированные прочие, не включенные в другие группировки
41.20.40.200 Работы по сохранению и воссозданию нежилых зданий, являющихся объектами культурного наследия
43.31.10.110 Работы штукатурные внешние и внутренние с применением штукатурных сеток и дранок
81.30.10.000 Услуги по планировке ландшафта
41.20.40.900 Работы строительные по возведению нежилых зданий и сооружений прочие, не включенные в другие группировки
43.11.10.000 Работы по сносу зданий и сооружений
43.39.19.190 Работы завершающие и отделочные в зданиях и сооружениях, прочие, не включенные в другие группировки ****</t>
  </si>
  <si>
    <t>За весь период компания заключила  35 контрактов на сумму  16 075 580 506,08 ? За весь период заходили в конкурсы  89 раз на общую сумму обеспеченных контрактов с НМЦ 26 317 674 563,23 ? с БГУ  1 132 859 048,31 ? с БГИ 5 821 248 170,12 ? За 3 ГОДА по 44ФЗ заключено 50 шт. с объемом НМЦ  10 469 448 670,86 ? с БГИ 1 774 904 768,99 ? с БГГО 387 474 670,60 ? с авансированием до 1 283 379 569,62 ? с комиссией банку 37 292 055,73 ? с кв 324 440,88 ? ЗА 1 ГОД по 44ФЗ заключено 25 шт. c объемом НМЦ 3 768 321 337,17 ? с БГИ 522 624 663,09 ? с БГГО 93 348 365,25 ? с авансированием до  344 410 754,04 ? с комиссией банку  16 240 504,85 ? с кв 141 292,39 ? ЗА 3 ГОДА ПО 223 ФЗ заключено 4 шт. с объемом НМЦ 2 631 440 475,13 ?</t>
  </si>
  <si>
    <t>"223 за 3 года", "свод фт", ".", "рейтинг поставщиков в маркере по бг", "нокс счета", "ГРАНДИОЗНЫЙ ПРОЕКТ", "клиент металлинвеста", "Конкурсы 100+ (Восстановленный)", "Агентские отказ из-за непред-я док-ов", "кредиты фт", "Пункт 3.1 09.01.2023", "ПСБ Гарантии ", "ушедшие", "лимит сит по кредитам", "все клиенты с выручкой от 1,8 млрд до бесконечности", "Одобренные но не выданные 1 полугодие 2021", "44 фз с с БГ от 10 млн", "рейтинг по нмц маркер", "это заказчик", "на фт заводил Шутов", "на фт заводил Микульшин", "поставщики маркер", "44 за 3 года"</t>
  </si>
  <si>
    <t>28.15.1 Подшипники шариковые или роликовые
28.15.9 Услуги по производству подшипников, шестерен, передач зубчатых и элементов приводных отдельные, выполняемые субподрядчиком
28.15 Подшипники, зубчатые колеса, зубчатые передачи и элементы приводов</t>
  </si>
  <si>
    <t>59.11.22.000 Кинопленки</t>
  </si>
  <si>
    <t>"поставщики маркер", ".", "все клиенты с выручкой от 1,8 млрд до бесконечности", "производители"</t>
  </si>
  <si>
    <t>"производители", "."</t>
  </si>
  <si>
    <t>68.20 Услуги по сдаче в аренду (внаем) собственного или арендованного недвижимого имущества
43.29.1 Работы строительно-монтажные прочие</t>
  </si>
  <si>
    <t>Заказчик разыгравший 15 конкурсов на сумму  2 621 635 135,05 ?</t>
  </si>
  <si>
    <t>"223 за 3 года", ".", "рейтинг заказчиков маркер", "это заказчик", "поставщики маркер"</t>
  </si>
  <si>
    <t>"Обороты по клиентам по кварталам (2022г)", ".", "fk1", "клиенты с в от100млн 09.21", "все клиенты с выручкой от 1,8 млрд до бесконечности", "ФК клиенты с выручкой от 230 до бесконечности"</t>
  </si>
  <si>
    <t>Сообщение кредитора о намерении обратиться в суд с заявлением о банкротстве от 02.10.2022</t>
  </si>
  <si>
    <t>"все клиенты с выручкой от 1,8 млрд до бесконечности", ".", "fk1", "клиенты с в от100млн 09.21"</t>
  </si>
  <si>
    <t>33.12.29.900 Услуги по ремонту и техническому обслуживанию прочего оборудования специального назначения, не включенные в другие группировки</t>
  </si>
  <si>
    <t>ПОС на 03.04.2032</t>
  </si>
  <si>
    <t>"поставщики маркер", ".", "выдали", "fk1", "ПОС на 01.02.2023", "ПОС на 03.04.2023", "Обороты по клиентам по кварталам (2022г)", "производители", "это заказчик"</t>
  </si>
  <si>
    <t>55.90.19.000 Услуги по предоставлению временного жилья прочие, не включенные в другие группировки
55.90.11.000 Услуги по предоставлению временного жилья для студентов в студенческих общежитиях и школьных коллективных спальнях</t>
  </si>
  <si>
    <t>"44 за 3 года", ".", "это заказчик", "поставщики маркер"</t>
  </si>
  <si>
    <t>24.10.35 Прокат листовой горячекатаный из прочих легированных сталей, без дополнительной обработки, шириной не менее 600 мм
24.10.61.111 Прокат сортовой горячекатаный круглый со свободной намоткой в бухты из нелегированных сталей
24.10.62.124 Прокат сортовой горячекатаный полосовой прочий, без дополнительной обработки, включая смотанный после прокатки, из нелегированных сталей
24.10.71.120 Двутавры стальные горячекатаные из нелегированных сталей
24.10.74.110 Прокат листовой стальной в пакетах
24.10.80.190 Прокат черных металлов прочий, не включенный в другие группировки
24 Металлы основные
24.1 Железо, чугун, сталь и ферросплавы
24.10.21.141 Полуфабрикаты, полученные непрерывным литьем круглого или многоугольного сечения из нелегированной стали
24.20.13.130 Трубы стальные электросварные ****</t>
  </si>
  <si>
    <t>За весь период компания заключила  51 контрактов на сумму  14 576 428 662,91 ? За весь период заходили в конкурсы  2 раз на общую сумму обеспеченных контрактов с НМЦ 145 621 316,79 ? с БГУ  1 204 076,39 ? с БГИ 31 944 624,07 ?                             ЗА 3 ГОДА ПО 223 ФЗ заключено 107 шт. с объемом НМЦ 1 487 746 046,16 ? за 1 ГОД ПО 223ФЗ заключено 28  766 215 311,78 ?</t>
  </si>
  <si>
    <t>"223 за 3 года", ".", "рейтинг поставщиков в маркере по бг",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"рейтинг по нмц маркер", "это заказчик", "поставщики маркер", "44 за 3 года"</t>
  </si>
  <si>
    <t>27 Оборудование электрическое
27.20.11 Элементы первичные и батареи первичных элементов</t>
  </si>
  <si>
    <t>"поставщики маркер", ".", "все клиенты с выручкой от 1,8 млрд до бесконечности"</t>
  </si>
  <si>
    <t>60.20 Услуги в области телевизионного вещания
60.20.32.000 Программы телевизионных каналов, доступных только по подписке</t>
  </si>
  <si>
    <t>"223 за 3 года", ".", "поставщики маркер"</t>
  </si>
  <si>
    <t>1 653</t>
  </si>
  <si>
    <t>"производители", ".", "беники", "все клиенты с выручкой от 1,8 млрд до бесконечности"</t>
  </si>
  <si>
    <t>10.91.10.188 Комбикорма для рыб
28.29.12.119 Оборудование для фильтрования или очистки воды прочее, не включенное в другие группировки</t>
  </si>
  <si>
    <t>За весь период заходили в конкурсы  1 раз на общую сумму обеспеченных контрактов с НМЦ 136 039 954,39 ? с БГУ  13 753 430,40 ? с БГИ 82 520 582,42 ?</t>
  </si>
  <si>
    <t>"44 за 3 года", ".", "рейтинг поставщиков в маркере по бг", "fk1", "Обороты по клиентам по кварталам (2022г)", "производители", "поставщики маркер"</t>
  </si>
  <si>
    <t>"223 за 3 года", "."</t>
  </si>
  <si>
    <t>4 153</t>
  </si>
  <si>
    <t>"223 за 3 года", ".", "fk1", "клиенты с в от100млн 09.21", "все клиенты с выручкой от 1,8 млрд до бесконечности", "Обороты по клиентам по кварталам (2022г)"</t>
  </si>
  <si>
    <t>46.75.11 Услуги по оптовой торговле удобрениями и агрохимикатами</t>
  </si>
  <si>
    <t>Участники клиринга</t>
  </si>
  <si>
    <t>"223 за 3 года", ".", "все клиенты с выручкой от 1,8 млрд до бесконечности", "Участники клиринга"</t>
  </si>
  <si>
    <t>потенц.к в срм</t>
  </si>
  <si>
    <t>Сообщения о принятии решения о реорганизации от 12.09.2021</t>
  </si>
  <si>
    <t>10.51.11.190 Молоко прочее, не включенное в другие группировки
10.51.40.111 Сыры мягкие без вкусовых наполнителей
10.51.40.211 Молокосодержащие продукты с заменителем молочного жира, произведенные по технологии сыра, мягкие, в том числе с вкусовыми компонентами
10.51.52.140 Кефир
10.51.11.141 Молоко питьевое коровье стерилизованное
10.51.21.110 Молоко сухое не более 1,5 % жирности
10.51.3 Масло сливочное, пасты масляные, масло топленое, жир молочный, спреды и смеси топленые сливочно-растительные
10.51.40.131 Сыры твердые без вкусовых наполнителей
10.51.56.152 Сырки творожные
10.51.56.310 Напитки, коктейли, кисели молокосодержащие. Напитки, коктейли, кисели молокосодержащие с заменителем молочного жира ****</t>
  </si>
  <si>
    <t>"223 за 3 года", ".", "производители",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</si>
  <si>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42.91.20.190 Работы строительные и ремонтные, связанные с прочими водными сооружениями и работы по ремонту всех вышеуказанных сооружений
52.21.22.000 Услуги по эксплуатации автомагистралей
81.30.10.000 Услуги по планировке ландшафта
42.11.10.120 Дороги автомобильные, в том числе улично-дорожная сеть, и прочие автомобильные и пешеходные дороги
42.11.10.122 Дорога автомобильная с усовершенствованным облегченным или переходным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</si>
  <si>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заходили в конкурсы  2 раз на общую сумму обеспеченных контрактов с НМЦ 118 451 856,62 ? с БГУ  1 202 556,92 ? с БГИ 24 051 138,40 ?</t>
  </si>
  <si>
    <t>"44 за 3 года", ".", "рейтинг поставщиков в маркере по бг", "рейтинг по нмц маркер", "поставщики маркер"</t>
  </si>
  <si>
    <t>"производители", ".", "все клиенты с выручкой от 1,8 млрд до бесконечности"</t>
  </si>
  <si>
    <t>28.11.21 Турбины на водяном паре и прочие паровые турбины</t>
  </si>
  <si>
    <t>За весь период контрактов 4 шт. на общую сумму НМЦ 268 051 923 106,36 ?</t>
  </si>
  <si>
    <t>Сообщение кредитора о намерении обратиться в суд с заявлением о банкротстве от 20.06.2019</t>
  </si>
  <si>
    <t>"рейтинг по нмц маркер", ".", "все клиенты с выручкой от 1,8 млрд до бесконечности", "рейтинг заказчиков маркер"</t>
  </si>
  <si>
    <t>27.32.13.143 Кабели контрольные
26.51.63.130 Счетчики производства или потребления электроэнергии
26.30.2 Оборудование оконечное (пользовательское) телефонной или телеграфной связи, аппаратура видеосвязи
27.32.14.112 Кабели силовые с алюминиевой жилой на напряжение более 1 кВ
27.90 Оборудование электрическое прочее
27.11.42 Трансформаторы прочие мощностью не более 16 кВА
27.12.24.110 Реле управления промежуточные
27.12.24.190 Реле прочие
27.32.11.000 Провода обмоточные изолированные
27.33.13.130 Арматура кабельная ****</t>
  </si>
  <si>
    <t>За весь период компания заключила  19 контрактов на сумму  4 879 602 976,77 ?                                     ЗА 3 ГОДА ПО 223 ФЗ заключено 12 шт. с объемом НМЦ 1 563 840 274,40 ? за 1 ГОД ПО 223ФЗ заключено 2  65 366 290,40 ?</t>
  </si>
  <si>
    <t>"223 за 3 года", "свод фт", ".", "кредиты фт", "Пункт 3 09.01.23", "223 фз контракты 20+", "рейтинг по нмц маркер", "на фт заводил Синяев", "поставщики маркер"</t>
  </si>
  <si>
    <t>20.59.52.140 Среды готовые питательные для выращивания микроорганизмов</t>
  </si>
  <si>
    <t>"поставщики маркер", ".", "ушедший портфель", "fk1", "ИНН 3 года - нет КД БГ на 01.10.22", "Список ушедший ", "райф",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t>
  </si>
  <si>
    <t>52.23.19.113 Работы лесоавиационные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51.21.13.000 Услуги по перевозке прочих грузов воздушным транспортом на регулярной основе
51.21.14.000 Услуги по перевозке прочих грузов воздушным транспортом на нерегулярной основе
52.23.19.115 Работы с целью оказания медицинской помощи
77.39.19.110 Услуги по аренде и лизингу прочих машин и оборудования без оператора, не включенных в другие группировки
52.23.19.190 Услуги вспомогательные прочие, связанные с воздушным транспортом, не включенные в другие группировки
51.10.20.000 Услуги по аренде пассажирских воздушных судов с экипажем
51.21.20.120 Услуги по аренде грузовых вертолетов с экипажем
52.23.20.120 Услуги поисковых и аварийно-спасательных служб, в том числе по эвакуации спускаемых аппаратов (капсул), составных частей ракет космического назначения ****</t>
  </si>
  <si>
    <t>За весь период контрактов 3 шт. на общую сумму НМЦ 3 761 060 429,09 ?</t>
  </si>
  <si>
    <t>"223 за 3 года", ".", "рейтинг поставщиков в маркере по бг", "ПСБ Гарантии ", "все клиенты с выручкой от 1,8 млрд до бесконечности", "рейтинг по нмц маркер", "44 за 3 года"</t>
  </si>
  <si>
    <t>35.30.11.130 Энергия тепловая, отпущенная электрокотлами
35.30.12.110 Услуги по приготовлению воды на нужды горячего водоснабжения
35.13.10.000 Услуги по распределению электроэнергии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35.11.10.116 Электроэнергия, произведенная гидроэлектростанциями (ГЭС) общего назначения
35.11.10.111 Электроэнергия, произведенная конденсационными электростанциями (КЭС) общего назначения</t>
  </si>
  <si>
    <t>Заказчик разыгравший 88 конкурсов на сумму  40 318 230 928,69 ?</t>
  </si>
  <si>
    <t>Сообщения о принятии решения о реорганизации от 17.01.2022</t>
  </si>
  <si>
    <t>"223 за 3 года", ".", "рейтинг заказчиков маркер", "производители", "это заказчик", "поставщики маркер"</t>
  </si>
  <si>
    <t>26.51.63.130 Счетчики производства или потребления электроэнергии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33.20.39 Услуги по монтажу прочего оборудования специального назначения
33.12.29.900 Услуги по ремонту и техническому обслуживанию прочего оборудования специального назначения, не включенные в другие группировки
28.14.11.120 Арматура регулирующая
28.99.39.190 Оборудование специального назначения прочее, не включенное в другие группировки
26.20.30.000 Устройства автоматической обработки данных прочие
74.9 Услуги профессиональные, научные и технические, прочие, не включенные в другие группировки
33.19.10.000 Услуги по ремонту прочего оборудования
27.12.40 Части электрической распределительной или регулирующей аппаратуры ****</t>
  </si>
  <si>
    <t>Сообщение кредитора о намерении обратиться в суд с заявлением о банкротстве от 01.06.2020</t>
  </si>
  <si>
    <t>"223 за 3 года", ".", "все клиенты с выручкой от 1,8 млрд до бесконечности", "производители", "рейтинг по нмц маркер", "поставщики маркер"</t>
  </si>
  <si>
    <t>08.1 Камень, песок и глина
23.99 Продукция минеральная неметаллическая прочая, не включенная в другие группировки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t>
  </si>
  <si>
    <t>За весь период компания заключила  10 контрактов на сумму  2 811 739 044,80 ? За весь период заходили в конкурсы  4 раз на общую сумму обеспеченных контрактов с НМЦ 576 024 015,36 ? с БГУ  49 817 594,00 ? с БГИ 286 749 739,00 ?</t>
  </si>
  <si>
    <t>Сообщение кредитора о намерении обратиться в суд с заявлением о банкротстве от 06.08.2020</t>
  </si>
  <si>
    <t>"поставщики маркер", ".", "рейтинг поставщиков в маркере по бг", "все клиенты с выручкой от 1,8 млрд до бесконечности", "производители", "рейтинг по нмц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</si>
  <si>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42.11.10.159 Дороги подъездные, транспортные и пешеходные путепроводы над и под дорогой, велосипедные дорожки прочие
25.99.29.190 Изделия прочие из недрагоценных металлов, не включенные в другие группировки
25.11.23.120 Конструкции и детали конструкций из алюминия прочие
42.13.20.100 Работы строительные по строительству мостов и тоннелей, кроме работ по сохранению и воссозданию объектов культурного наследия
42.11.10.129 Дороги автомобильные, в том числе улично-дорожная сеть, и прочие автомобильные и пешеходные дороги, не включенные в другие группировки
23.61.12.111 Блоки фундаментов железобетонные
42.21.22.110 Работы строительные по прокладке местных трубопроводов воды или сточных вод</t>
  </si>
  <si>
    <t>За весь период компания заключила  148 контрактов на сумму  148 098 511 638,12 ? За весь период заходили в конкурсы  321 раз на общую сумму обеспеченных контрактов с НМЦ 164 562 154 740,84 ? с БГУ  7 854 326 095,32 ? с БГИ 28 563 217 598,77 ? За 3 ГОДА по 44ФЗ заключено 61 шт. с объемом НМЦ  35 722 636 163,68 ? с БГИ 5 462 397 158,34 ? с БГГО 202 549 165,40 ? с авансированием до 5 563 467 757,45 ? с комиссией банку 114 272 628,45 ? с кв 994 171,87 ? ЗА 1 ГОД по 44ФЗ заключено 20 шт. c объемом НМЦ 10 145 266 516,89 ? с БГИ 1 603 529 556,67 ? с БГГО 53 767 598,79 ? с авансированием до  1 770 713 000,31 ? с комиссией банку  44 510 150,19 ? с кв 387 238,31 ?</t>
  </si>
  <si>
    <t>"44 за 3 года", ".", "рейтинг поставщиков в маркере по бг", "ГРАНДИОЗНЫЙ ПРОЕКТ", "Конкурсы 100+ (Восстановленный)", "fk1", "все клиенты с выручкой от 1,8 млрд до бесконечности", "44 фз с с БГ от 10 млн", "рейтинг по нмц маркер", "поставщики маркер"</t>
  </si>
  <si>
    <t>"это заказчик", ".", "все клиенты с выручкой от 1,8 млрд до бесконечности"</t>
  </si>
  <si>
    <t>ЗА 3 ГОДА ПО 223 ФЗ заключено 15 шт. с объемом НМЦ 84 540 663,00 ? за 1 ГОД ПО 223ФЗ заключено 9  18 347 448,75 ?</t>
  </si>
  <si>
    <t>"223 за 3 года", ".", "44 за 3 года"</t>
  </si>
  <si>
    <t>35.30.11.120 Энергия тепловая, отпущенная котельными
35.30.11.111 Энергия тепловая, отпущенная тепловыми электроцентралями (ТЭЦ)
36.00.20.130 Услуги по транспортированию и распределению воды по водопроводам
35.30.11.119 Энергия тепловая, отпущенная прочими электростанциями</t>
  </si>
  <si>
    <t>23.99.13.114 Смеси асфальтобетонные дорожные, аэродромные и асфальтобетон горячие щебено-мастичные
23.99.13.111 Смеси асфальтобетонные дорожные, аэродромные и асфальтобетон горячие щебеночные
23.99.13.121 Смеси асфальтобетонные дорожные, аэродромные и асфальтобетон холодные щебеночные
23.99.13.113 Смеси асфальтобетонные дорожные, аэродромные и асфальтобетон горячие песчаные</t>
  </si>
  <si>
    <t>За весь период компания заключила  8 контрактов на сумму  4 085 418 999,83 ? За весь период заходили в конкурсы  13 раз на общую сумму обеспеченных контрактов с НМЦ 6 191 906 782,91 ? с БГУ  309 119 362,10 ? с БГИ 1 455 290 022,46 ? За 3 ГОДА по 44ФЗ заключено 9 шт. с объемом НМЦ  5 564 296 556,80 ? с БГИ 1 669 288 967,04 ? с БГГО 0,00 ? с авансированием до 0,00 ? с комиссией банку 60 746 491,34 ? с кв 528 494,47 ? ЗА 1 ГОД по 44ФЗ заключено 5 шт. c объемом НМЦ 2 820 985 124,00 ? с БГИ 846 295 537,20 ? с БГГО 0,00 ? с авансированием до  0,00 ? с комиссией банку  25 613 852,31 ? с кв 222 840,52 ?</t>
  </si>
  <si>
    <t>"44 за 3 года", ".", "рейтинг поставщиков в маркере по бг", "Конкурсы 100+ (Восстановленный)", "44 фз с с БГ от 10 млн", "производители", "рейтинг по нмц маркер", "поставщики маркер"</t>
  </si>
  <si>
    <t>"Обороты по клиентам по кварталам (2022г)", ".", "fk1", "корп 2", "клиенты с в от100млн 09.21", "все клиенты с выручкой от 1,8 млрд до бесконечности", "ФК клиенты с выручкой от 230 до бесконечности"</t>
  </si>
  <si>
    <t>"поставщики маркер", ".", "Участники клиринга"</t>
  </si>
  <si>
    <t>24.10.62.124 Прокат сортовой горячекатаный полосовой прочий, без дополнительной обработки, включая смотанный после прокатки, из нелегированных сталей
24.10.71.120 Двутавры стальные горячекатаные из нелегированных сталей
24.10.80.190 Прокат черных металлов прочий, не включенный в другие группировки
24.20.13.130 Трубы стальные электросварные
28.14.13 Арматура запорная для управления процессом (задвижки, краны, клапаны запорные, затворы дисковые и другая арматура)
24.10.62.123 Прокат сортовой горячекатаный шестигранный прочий, без дополнительной обработки, включая смотанный после прокатки, из нелегированных сталей
24.10.66.124 Прокат сортовой горячекатаный полосовой прочий, без дополнительной обработки, включая смотанный после прокатки, из прочих легированных сталей
24.20.21.000 Трубы для нефте- и газопроводов сварные, наружным диаметром более 406,4 мм, стальные
28.14.20.220 Фланцы
24.10.71.112 Уголки стальные горячекатаные неравнополочные из нелегированных сталей ****</t>
  </si>
  <si>
    <t>За весь период заходили в конкурсы  1 раз на общую сумму обеспеченных контрактов с НМЦ 57 597 078,36 ? с БГУ  643 542,78 ? с БГИ 3 217 713,88 ?                             ЗА 3 ГОДА ПО 223 ФЗ заключено 2 шт. с объемом НМЦ 31 207 338,79 ? за 1 ГОД ПО 223ФЗ заключено 1  15 822 088,79 ?</t>
  </si>
  <si>
    <t>"223 за 3 года", ".", "рейтинг поставщиков в маркере по бг", "ИНН 3 года - нет КД БГ на 01.10.22", "06.2022_ФинХД", "клиенты с в от100млн 09.21", "все клиенты с выручкой от 1,8 млрд до бесконечности", "ФК клиенты с выручкой от 230 до бесконечности", "рейтинг по нмц маркер",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</si>
  <si>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42.13.20.100 Работы строительные по строительству мостов и тоннелей, кроме работ по сохранению и воссозданию объектов культурного наследия</t>
  </si>
  <si>
    <t>За весь период компания заключила  21 контрактов на сумму  40 827 029 698,56 ? За весь период заходили в конкурсы  60 раз на общую сумму обеспеченных контрактов с НМЦ 44 318 514 628,81 ? с БГУ  1 874 749 797,48 ? с БГИ 8 136 347 004,45 ? За 3 ГОДА по 44ФЗ заключено 5 шт. с объемом НМЦ  4 287 387 340,00 ? с БГИ 596 537 184,14 ? с БГГО 42 873 873,68 ? с авансированием до 381 113 517,20 ? с комиссией банку 17 402 621,75 ? с кв 151 402,81 ?</t>
  </si>
  <si>
    <t>"223 за 3 года", ".", "рейтинг поставщиков в маркере по бг", "ГРАНДИОЗНЫЙ ПРОЕКТ", "все клиенты с выручкой от 1,8 млрд до бесконечности", "производители", "рейтинг по нмц маркер", "поставщики маркер", "44 за 3 года"</t>
  </si>
  <si>
    <t>1 446</t>
  </si>
  <si>
    <t>Сообщения о принятии решения о реорганизации от 15.08.2022</t>
  </si>
  <si>
    <t>"поставщики маркер", "."</t>
  </si>
  <si>
    <t>Сообщения о принятии решения о реорганизации от 20.04.2020</t>
  </si>
  <si>
    <t>10.20.13.121 Сельдь мороженая
10.20.13.122 Рыба морская мороженая (кроме сельди)</t>
  </si>
  <si>
    <t>За весь период компания заключила  1 контрактов на сумму  473 474 000,00 ?</t>
  </si>
  <si>
    <t>"поставщики маркер", ".", "fk1", "клиенты с в от100млн 09.21", "все клиенты с выручкой от 1,8 млрд до бесконечности", "рейтинг по нмц маркер"</t>
  </si>
  <si>
    <t>29.10 Средства автотранспортные
29.10.2 Автомобили легковые
43.21.10.140 Работы по монтажу систем пожарной сигнализации и охранной сигнализации
29.10.24.000 Средства автотранспортные для перевозки людей прочие
45.20 Услуги по техническому обслуживанию и ремонту автотранспортных средств
45.20.1 Услуги по техническому обслуживанию и ремонту легковых автомобилей и легких грузовых автотранспортных средств
29.10.23.000 Средства транспортные с поршневым двигателем внутреннего сгорания с воспламенением от сжатия (дизелем или полудизелем), новые
29.10.22.000 Средства транспортные с двигателем с искровым зажиганием, с рабочим объемом цилиндров более 1500 см3, новые</t>
  </si>
  <si>
    <t>"44 за 3 года", ".", "все клиенты с выручкой от 1,8 млрд до бесконечности", "поставщики маркер"</t>
  </si>
  <si>
    <t>20.42.15 Средства для ухода за кожей, макияжа или защитные средства для кожи (включая солнцезащитные и для загара), не включенные в другие группировки
20.42.15.190 Средства косметические для ухода за кожей прочие, не включенные в другие группировки
46.46.1 Услуги по оптовой торговле фармацевтической продукцией
20.20.14 Средства дезинфекционные
17.22.11 Бумага туалетная, платки носовые, салфетки и полотенца гигиенические или косметические, скатерти и салфетки для стола из бумажной массы, бумаги, целлюлозной ваты и полотна из целлюлозных волокон</t>
  </si>
  <si>
    <t>1 423</t>
  </si>
  <si>
    <t>10.11.20.110 Субпродукты пищевые крупного рогатого скота парные, остывшие или охлажденные
10.11.31.140 Субпродукты пищевые крупного рогатого скота замороженные
10.11.31.110 Говядина замороженная</t>
  </si>
  <si>
    <t>"поставщики маркер", ".", "все клиенты с выручкой от 1,8 млрд до бесконечности", "это заказчик"</t>
  </si>
  <si>
    <t>"это заказчик", "."</t>
  </si>
  <si>
    <t>1 579</t>
  </si>
  <si>
    <t>"это заказчик", ".", "производители"</t>
  </si>
  <si>
    <t>1 287</t>
  </si>
  <si>
    <t>"поставщики маркер", ".", "это заказчик"</t>
  </si>
  <si>
    <t>"поставщики маркер", ".", "все клиенты с выручкой от 1,8 млрд до бесконечности", "Участники клиринга", "производители"</t>
  </si>
  <si>
    <t>ЗА 3 ГОДА ПО 223 ФЗ заключено 1 шт. с объемом НМЦ 350 000 000,00 ?</t>
  </si>
  <si>
    <t>"Участники клиринга", ".", "fk1", "Кредитный портфель_01.11", "все клиенты с выручкой от 1,8 млрд до бесконечности", "Обороты по клиентам по кварталам (2022г)"</t>
  </si>
  <si>
    <t>20.20.12 Гербициды
20.20.13.110 Средства против прорастания
20.20.15 Фунгициды
20.20.19.000 Пестициды прочие и агрохимические продукты прочие
20.20.11.000 Инсектициды
35.30.12.110 Услуги по приготовлению воды на нужды горячего водоснабжения
46.75.11.000 Услуги по оптовой торговле удобрениями и агрохимикатами
35.30.11.120 Энергия тепловая, отпущенная котельными
20.20 Пестициды и агрохимические продукты прочие</t>
  </si>
  <si>
    <t>За весь период заходили в конкурсы  4 раз на общую сумму обеспеченных контрактов с НМЦ 117 630 619,58 ? с БГУ  11 763 061,96 ? с БГИ 235 261 239,16 ?                             ЗА 3 ГОДА ПО 223 ФЗ заключено 17 шт. с объемом НМЦ 75 057 938,10 ?</t>
  </si>
  <si>
    <t>"223 за 3 года", ".", "рейтинг поставщиков в маркере по бг", "производители", "рейтинг по нмц маркер", "это заказчик", "поставщики маркер"</t>
  </si>
  <si>
    <t>"производители", ".", "рейтинг заказчиков маркер"</t>
  </si>
  <si>
    <t>20.59.52.194 Реактивы химические общелабораторного назначения</t>
  </si>
  <si>
    <t>Список ушедший</t>
  </si>
  <si>
    <t>"все клиенты с выручкой от 1,8 млрд до бесконечности", ".", "ушедший портфель", "ИНН 3 года - нет КД БГ на 01.10.22", "Список ушедший "</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</si>
  <si>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70.2 Услуги консультативные по вопросам управления
42.22.23.900 Работы строительные по строительству электростанций, кроме атомных электростанций</t>
  </si>
  <si>
    <t>За весь период контрактов 4 шт. на общую сумму НМЦ 4 281 143 560,00 ?</t>
  </si>
  <si>
    <t>Сообщения о принятии решения о реорганизации от 14.09.2022</t>
  </si>
  <si>
    <t>"223 за 3 года", ".", "все клиенты с выручкой от 1,8 млрд до бесконечности", "рейтинг по нмц маркер", "это заказчик", "поставщики маркер"</t>
  </si>
  <si>
    <t>10.86.10.139 Смеси молочные сухие прочие для детей раннего возраста
10.86.10.130 Молоко сухое и смеси сухие молочные для детей раннего возраста
10.86.10 Продукция детского питания и диетическая
10.86.10.122 Смеси молочные последующие для детей раннего возраста
10.86.10.120 Смеси молочные и продукты в жидкой форме для детей раннего возраста
10.86.10.121 Смеси молочные адаптированные, в том числе начальные (заменители женского молока), для детей раннего возраста
10.51.56.220 Продукты сухие молочные</t>
  </si>
  <si>
    <t>20.13.6 Вещества химические неорганические основные прочие
20.30.22.220 Растворители и разбавители органические сложные; составы готовые для удаления красок и лаков (смывки)
20.14.12.229 Углеводороды ароматические с двумя или более сконденсированными бензольными кольцами прочие
20.41.20.110 Вещества поверхностно-активные анионные
46.75 Услуги по оптовой торговле химическими продуктами
20.12.11.130 Оксиды титана
20.14.34.100 Кислоты ароматические поликарбоновые, их ангидриды, галогенангидриды, пероксиды, пероксикислоты и их производные</t>
  </si>
  <si>
    <t>За 3 ГОДА по 44ФЗ заключено 1 шт. с объемом НМЦ  168 855 000,00 ? с БГИ 8 442 750,00 ? с БГГО 0,00 ? с авансированием до 84 427 500,00 ? с комиссией банку 211 878,33 ? с кв 1 843,34 ? ЗА 1 ГОД по 44ФЗ заключено 1 шт. c объемом НМЦ 168 855 000,00 ? с БГИ 8 442 750,00 ? с БГГО 0,00 ? с авансированием до  84 427 500,00 ? с комиссией банку  211 878,33 ? с кв 1 843,34 ?</t>
  </si>
  <si>
    <t>"44 за 3 года", ".", "рейтинг по нмц маркер", "поставщики маркер"</t>
  </si>
  <si>
    <t>21 Средства лекарственные и материалы, применяемые в медицинских целях
21.20.10.118 Препараты, способствующие пищеварению, включая ферментные препараты
21.20.10.133 Препараты антианемические
21.20.10.191 Препараты антибактериальные для системного использования
21.20.10.213 Иммуномодуляторы
21.20.10.262 Препараты для лечения заболеваний уха
21.20.10.251 Препараты назальные
21.20.2 Препараты лекарственные прочие и материалы, применяемые в медицинских целях
10.83.15.000 Настои из трав
32.50.22.190 Протезы органов человека, не включенные в другие группировки ****</t>
  </si>
  <si>
    <t>За весь период компания заключила  6 контрактов на сумму  1 108 198 564,40 ?                                     ЗА 3 ГОДА ПО 223 ФЗ заключено 8 шт. с объемом НМЦ 525 118 383,49 ?</t>
  </si>
  <si>
    <t>"223 за 3 года", "свод фт", ".", "ГРАНДИОЗНЫЙ ПРОЕКТ 223", "fk1", "корп 2", "Кредитный портфель_01.11", "Агентские одобренные но не выданные от 30.08",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"Одобренные но не выданные 1 полугодие 2021", "рейтинг по нмц маркер", "на фт заводил Реук", "поставщики маркер", "44 за 3 года"</t>
  </si>
  <si>
    <t>21.20.23.199 Средства нелечебные прочие
21 Средства лекарственные и материалы, применяемые в медицинских целях
21.10.20.130 Фосфоаминолипиды
21.10.54.190 Антибиотики и их производные прочие
21.20.10.191 Препараты антибактериальные для системного использования
21.20.10.241 Препараты противопротозойные
32.50.13.190 Инструменты и приспособления, применяемые в медицинских целях, прочие, не включенные в другие группировки
21.20.10 Препараты лекарственные
21.20.10.194 Препараты противовирусные для системного применения
21.20.10.119 Препараты для лечения сахарного диабета ****</t>
  </si>
  <si>
    <t>За весь период компания заключила  13 контрактов на сумму  2 722 242 126,28 ? За весь период заходили в конкурсы  31 раз на общую сумму обеспеченных контрактов с НМЦ 4 905 399 481,82 ? с БГУ  80 925 792,79 ? с БГИ 478 261 468,03 ? За 3 ГОДА по 44ФЗ заключено 426 шт. с объемом НМЦ  1 214 497 892,42 ? с БГИ 87 916 030,64 ? с БГГО 39 968,84 ? с авансированием до 12 289,73 ? с комиссией банку 996 508,48 ? с кв 8 669,62 ? ЗА 1 ГОД по 44ФЗ заключено 128 шт. c объемом НМЦ 315 463 406,12 ? с БГИ 26 561 328,53 ? с БГГО 0,00 ? с авансированием до  12 289,73 ? с комиссией банку  345 015,59 ? с кв 3 001,64 ? ЗА 3 ГОДА ПО 223 ФЗ заключено 22 шт. с объемом НМЦ 213 520 141,37 ? за 1 ГОД ПО 223ФЗ заключено 6  87 542 363,00 ?</t>
  </si>
  <si>
    <t>"223 за 3 года", ".", "рейтинг поставщиков в маркере по бг", "ГРАНДИОЗНЫЙ ПРОЕКТ", "06.2022_ФинХД", "все клиенты с выручкой от 1,8 млрд до бесконечности", "рейтинг по нмц маркер", "поставщики маркер", "44 за 3 года"</t>
  </si>
  <si>
    <t>21.20.10.242 Препараты противогельминтные
21.20.10.243 Препараты для уничтожения эктопаразитов (включая чесоточного клеща), инсектициды и репелленты
21.20.21.139 Вакцины прочие, применяемые в ветеринарии
21.20.10.240 Препараты противопаразитарные, инсектициды и репелленты
21.20 Препараты лекарственные и материалы, применяемые в медицинских целях
21.20.21.130 Вакцины и анатоксины, применяемые в ветеринарии
21.10.54.180 Антибиотики для животных
21.20.10.159 Антисептики и дезинфицирующие препараты прочие</t>
  </si>
  <si>
    <t>За весь период заходили в конкурсы  4 раз на общую сумму обеспеченных контрактов с НМЦ 261 944 865,00 ? с БГУ  2 656 002,42 ? с БГИ 13 280 012,10 ?</t>
  </si>
  <si>
    <t>"223 за 3 года", ".", "рейтинг поставщиков в маркере по бг", "fk1", "все клиенты с выручкой от 1,8 млрд до бесконечности", "Обороты по клиентам по кварталам (2022г)", "производители", "рейтинг по нмц маркер", "44 за 3 года"</t>
  </si>
  <si>
    <t>68.10.11.000 Услуги по покупке и продаже жилых зданий и занимаемых ими земельных участков</t>
  </si>
  <si>
    <t>За весь период заходили в конкурсы  5 раз на общую сумму обеспеченных контрактов с НМЦ 285 176 934,60 ? с БГУ  2 141 027,02 ? с БГИ 41 882 706,54 ?</t>
  </si>
  <si>
    <t>"44 за 3 года", ".", "рейтинг поставщиков в маркере по бг", "рейтинг по нмц маркер"</t>
  </si>
  <si>
    <t>26.80.13.000 Носители данных прочие, включая матрицы и основы для производства дисков
55.90.19.000 Услуги по предоставлению временного жилья прочие, не включенные в другие группировки
72.19.50.000 Работы оригинальные научных исследований и экспериментальных разработок в области естественных и технических наук, кроме биотехнологии
30.30.50 Части летательных и космических аппаратов прочие
25.11.23 Конструкции и детали конструкций прочие, листы, прутки, уголки, профили и аналогичные изделия из черных металлов или алюминия
30.30 Аппараты летательные и космические и соответствующее оборудование
55.20.11.000 Услуги по предоставлению временного жилья для посетителей в молодежных общежитиях и домиках для отдыха
30.30.16 Части турбореактивных или турбовинтовых двигателей
55.30.12.000 Услуги стоянок для передвижных дач и жилых автоприцепов
26.51.70.190 Приборы автоматические регулирующие и контрольно-измерительные прочие ****</t>
  </si>
  <si>
    <t>За весь период заходили в конкурсы  2 раз на общую сумму обеспеченных контрактов с НМЦ 592 800 000,00 ? с БГУ  38 000 000,00 ? с БГИ 228 000 000,00 ?                             ЗА 3 ГОДА ПО 223 ФЗ заключено 2 шт. с объемом НМЦ 51 400 000,00 ?</t>
  </si>
  <si>
    <t>"223 за 3 года", "свод фт", ".", "рейтинг поставщиков в маркере по бг", "все клиенты с выручкой от 1,8 млрд до бесконечности", "рейтинг заказчиков маркер", "производители", "рейтинг по нмц маркер", "это заказчик", "на фт заводил Адыгезалов", "crm управления", "в crm за Эльшаном", "поставщики маркер", "44 за 3 года"</t>
  </si>
  <si>
    <t>Сообщение кредитора о намерении обратиться в суд с заявлением о банкротстве от 15.12.2022</t>
  </si>
  <si>
    <t>"поставщики маркер", ".", "производители", "рейтинг по нмц маркер"</t>
  </si>
  <si>
    <t>За весь период компания заключила  1 контрактов на сумму  476 827 444,91 ?</t>
  </si>
  <si>
    <t>"223 за 3 года", ".", "рейтинг по нмц маркер", "поставщики маркер"</t>
  </si>
  <si>
    <t>52.23.19.113 Работы лесоавиационные
52.23.19.119 Работы авиационные прочие
33.16.10.000 Услуги по ремонту и техническому обслуживанию летательных и космических аппаратов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51.10.14.000 Услуги по нерегулярным пассажирским перевозкам воздушным транспортом на международных линиях
79.11.11.000 Услуги по бронированию авиабилетов
52.23.19.115 Работы с целью оказания медицинской помощи
51.10.11.000 Услуги по регулярным пассажирским перевозкам воздушным транспортом на местных линиях
30.30.50.110 Комплектующие (запасные части) летательных аппаратов, не имеющие самостоятельных группировок
51.10.20.000 Услуги по аренде пассажирских воздушных судов с экипажем ****</t>
  </si>
  <si>
    <t>За весь период компания заключила  9 контрактов на сумму  491 652 363,98 ? За весь период заходили в конкурсы  20 раз на общую сумму обеспеченных контрактов с НМЦ 1 724 928 109,58 ? с БГУ  19 905 436,41 ? с БГИ 211 889 674,29 ? За 3 ГОДА по 44ФЗ заключено 26 шт. с объемом НМЦ  941 417 386,49 ? с БГИ 82 920 623,75 ? с БГГО 2 748 121,26 ? с авансированием до 21 654 250,00 ? с комиссией банку 903 619,45 ? с кв 7 861,49 ? ЗА 1 ГОД по 44ФЗ заключено 6 шт. c объемом НМЦ 187 202 699,38 ? с БГИ 19 049 979,97 ? с БГГО 0,00 ? с авансированием до  6 724 830,00 ? с комиссией банку  224 407,33 ? с кв 1 952,34 ?     за 1 ГОД ПО 223ФЗ заключено 1  3 950 000,00 ?</t>
  </si>
  <si>
    <t>"223 за 3 года", ".", "рейтинг поставщиков в маркере по бг", "все клиенты с выручкой от 1,8 млрд до бесконечности", "рейтинг заказчиков маркер", "рейтинг по нмц маркер", "поставщики маркер", "44 за 3 года"</t>
  </si>
  <si>
    <t>51.1 Услуги по пассажирским перевозкам воздушным транспортом
51.10.14.000 Услуги по нерегулярным пассажирским перевозкам воздушным транспортом на международных линиях
79.11.11.000 Услуги по бронированию авиабилетов
52.23.19.190 Услуги вспомогательные прочие, связанные с воздушным транспортом, не включенные в другие группировки
51.10.11 Услуги по регулярным пассажирским перевозкам воздушным транспортом на местных линиях
51.10.20.000 Услуги по аренде пассажирских воздушных судов с экипажем
52.23.11.000 Услуги аэропортов, кроме обработки грузов</t>
  </si>
  <si>
    <t>"поставщики маркер", ".", "все клиенты с выручкой от 1,8 млрд до бесконечности", "уш кл3"</t>
  </si>
  <si>
    <t>52.23.19.113 Работы лесоавиационные
51.10.12 Услуги по нерегулярным пассажирским перевозкам воздушным транспортом на местных линиях, кроме услуг по осмотру достопримечательностей с воздуха
52.23.19.110 Работы авиационные
51.10 Услуги по пассажирским перевозкам воздушным транспортом
51.21.14.000 Услуги по перевозке прочих грузов воздушным транспортом на нерегулярной основе
79.11.11.000 Услуги по бронированию авиабилетов
52.23.19.115 Работы с целью оказания медицинской помощи
51.10.11.000 Услуги по регулярным пассажирским перевозкам воздушным транспортом на местных линиях
52.29.12 Услуги по фрахтованию судов прочие
52.23.19.190 Услуги вспомогательные прочие, связанные с воздушным транспортом, не включенные в другие группировки ****</t>
  </si>
  <si>
    <t>За весь период компания заключила  26 контрактов на сумму  13 739 007 000,82 ? За весь период заходили в конкурсы  23 раз на общую сумму обеспеченных контрактов с НМЦ 1 076 123 306,49 ? с БГУ  16 131 607,51 ? с БГИ 158 620 568,01 ? За 3 ГОДА по 44ФЗ заключено 47 шт. с объемом НМЦ  620 559 177,07 ? с БГИ 56 124 168,63 ? с БГГО 776 252,40 ? с авансированием до 0,00 ? с комиссией банку 719 075,66 ? с кв 6 255,96 ? ЗА 1 ГОД по 44ФЗ заключено 14 шт. c объемом НМЦ 364 656 681,20 ? с БГИ 36 432 035,23 ? с БГГО 0,00 ? с авансированием до  1 168 202,59 ? с комиссией банку  596 751,56 ? с кв 5 191,74 ? ЗА 3 ГОДА ПО 223 ФЗ заключено 9 шт. с объемом НМЦ 289 703 490,76 ?</t>
  </si>
  <si>
    <t>"223 за 3 года", ".", "рейтинг поставщиков в маркере по бг", "Конкурсы 100+ (Восстановленный)", "все клиенты с выручкой от 1,8 млрд до бесконечности", "Участники клиринга", "223 фз контракты 20+", "44 фз с с БГ от 10 млн", "рейтинг заказчиков маркер", "рейтинг по нмц маркер", "это заказчик", "44 за 3 года"</t>
  </si>
  <si>
    <t>52.23.19.113 Работы лесоавиационные
52.23.19.119 Работы авиационные прочие
33.16.10.000 Услуги по ремонту и техническому обслуживанию летательных и космических аппаратов
51 Услуги воздушного и космического транспорта
51.10 Услуги по пассажирским перевозкам воздушным транспортом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51.21.14.000 Услуги по перевозке прочих грузов воздушным транспортом на нерегулярной основе
52.23.19.115 Работы с целью оказания медицинской помощи
51.10.11.000 Услуги по регулярным пассажирским перевозкам воздушным транспортом на местных линиях
52.29.12 Услуги по фрахтованию судов прочие ****</t>
  </si>
  <si>
    <t>За весь период компания заключила  14 контрактов на сумму  2 262 439 790,99 ? За весь период заходили в конкурсы  22 раз на общую сумму обеспеченных контрактов с НМЦ 1 624 827 842,67 ? с БГУ  17 780 153,02 ? с БГИ 168 810 240,97 ? За 3 ГОДА по 44ФЗ заключено 50 шт. с объемом НМЦ  1 010 681 311,63 ? с БГИ 91 391 161,28 ? с БГГО 101 981,00 ? с авансированием до 8 910 000,00 ? с комиссией банку 1 228 811,07 ? с кв 10 690,66 ? ЗА 1 ГОД по 44ФЗ заключено 18 шт. c объемом НМЦ 355 012 899,37 ? с БГИ 32 620 758,79 ? с БГГО 0,00 ? с авансированием до  210 000,00 ? с комиссией банку  532 517,57 ? с кв 4 632,90 ? ЗА 3 ГОДА ПО 223 ФЗ заключено 4 шт. с объемом НМЦ 108 446 540,50 ?</t>
  </si>
  <si>
    <t>"223 за 3 года", ".", "рейтинг поставщиков в маркере по бг", "все клиенты с выручкой от 1,8 млрд до бесконечности", "рейтинг по нмц маркер", "поставщики маркер", "44 за 3 года"</t>
  </si>
  <si>
    <t>33.16.10.000 Услуги по ремонту и техническому обслуживанию летательных и космических аппаратов
51.21.14.000 Услуги по перевозке прочих грузов воздушным транспортом на нерегулярной основе
52.23.19.190 Услуги вспомогательные прочие, связанные с воздушным транспортом, не включенные в другие группировки
52.23.11 Услуги аэропортов, кроме обработки грузов</t>
  </si>
  <si>
    <t>"поставщики маркер", ".", "все клиенты с выручкой от 1,8 млрд до бесконечности", "рейтинг по нмц маркер", "это заказчик"</t>
  </si>
  <si>
    <t>"Обороты по клиентам по кварталам (2022г)", ".", "fk1", "инн Красносельская", "ИНН 3 года - нет КД БГ на 01.10.22", "06.2022_ФинХД", "клиенты с в от100млн 09.21", "все клиенты с выручкой от 1,8 млрд до бесконечности", "ФК клиенты с выручкой от 230 до бесконечности"</t>
  </si>
  <si>
    <t>51.10 Услуги по пассажирским перевозкам воздушным транспортом
79.11.11.000 Услуги по бронированию авиабилетов
73.11.19.000 Услуги рекламные прочие
51.10.11.000 Услуги по регулярным пассажирским перевозкам воздушным транспортом на местных линиях</t>
  </si>
  <si>
    <t>Заказчик разыгравший 431 конкурсов на сумму  883 805 923 441,29 ?</t>
  </si>
  <si>
    <t>"223 за 3 года", ".", "fk1", "Кредитный портфель_01.11", "06.2022_ФинХД", "все клиенты с выручкой от 1,8 млрд до бесконечности", "ФК клиенты с выручкой от 230 до бесконечности", "рейтинг заказчиков маркер"</t>
  </si>
  <si>
    <t>"рейтинг по нмц маркер", ".", "все клиенты с выручкой от 1,8 млрд до бесконечности"</t>
  </si>
  <si>
    <t>51.10.12.000 Услуги по нерегулярным пассажирским перевозкам воздушным транспортом на местных линиях, кроме услуг по осмотру достопримечательностей с воздуха</t>
  </si>
  <si>
    <t>За весь период компания заключила  1 контрактов на сумму  622 915 049,80 ?</t>
  </si>
  <si>
    <t>"44 за 3 года", ".", "все клиенты с выручкой от 1,8 млрд до бесконечности", "рейтинг по нмц маркер"</t>
  </si>
  <si>
    <t>51.1 Услуги по пассажирским перевозкам воздушным транспортом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51.10.11.000 Услуги по регулярным пассажирским перевозкам воздушным транспортом на местных линиях
51.10.20.000 Услуги по аренде пассажирских воздушных судов с экипажем
51.10.13.000 Услуги по регулярным пассажирским перевозкам воздушным транспортом на международных линиях</t>
  </si>
  <si>
    <t>За весь период компания заключила  6 контрактов на сумму  2 686 490 441,93 ?         За 3 ГОДА по 44ФЗ заключено 126 шт. с объемом НМЦ  340 230 398,26 ? с БГИ 23 314 367,92 ? с БГГО 1 807 590,28 ? с авансированием до 0,00 ? с комиссией банку 353 839,64 ? с кв 3 078,40 ? ЗА 1 ГОД по 44ФЗ заключено 67 шт. c объемом НМЦ 147 765 198,56 ? с БГИ 11 269 688,23 ? с БГГО 0,00 ? с авансированием до  0,00 ? с комиссией банку  188 501,70 ? с кв 1 639,96 ?</t>
  </si>
  <si>
    <t>"223 за 3 года", ".", "fk1", "06.2022_ФинХД", "все клиенты с выручкой от 1,8 млрд до бесконечности", "ФК клиенты с выручкой от 230 до бесконечности", "рейтинг по нмц маркер", "это заказчик", "поставщики маркер", "44 за 3 года"</t>
  </si>
  <si>
    <t>52.23.19.113 Работы лесоавиационные
51.1 Услуги по пассажирским перевозкам воздушным транспортом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51.10.14.000 Услуги по нерегулярным пассажирским перевозкам воздушным транспортом на международных линиях
51.10.11.000 Услуги по регулярным пассажирским перевозкам воздушным транспортом на местных линиях
19.20.24 Керосин
51.10.20.000 Услуги по аренде пассажирских воздушных судов с экипажем</t>
  </si>
  <si>
    <t>За весь период компания заключила  20 контрактов на сумму  5 521 437 898,69 ? За весь период заходили в конкурсы  17 раз на общую сумму обеспеченных контрактов с НМЦ 974 240 129,77 ? с БГУ  37 253 978,07 ? с БГИ 150 854 092,18 ?</t>
  </si>
  <si>
    <t>Сообщение кредитора о намерении обратиться в суд с заявлением о банкротстве от 11.02.2020</t>
  </si>
  <si>
    <t>"44 за 3 года", ".", "рейтинг поставщиков в маркере по бг", "все клиенты с выручкой от 1,8 млрд до бесконечности", "рейтинг заказчиков маркер", "рейтинг по нмц маркер"</t>
  </si>
  <si>
    <t>52.23.19.113 Работы лесоавиационные
86.90.19 Услуги в области здравоохранения прочие, не включенные в другие группировки
86.22.19.000 Услуги в области специализированной врачебной практики прочие
51 Услуги воздушного и космического транспорта
51.10 Услуги по пассажирским перевозкам воздушным транспортом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51.21.13.000 Услуги по перевозке прочих грузов воздушным транспортом на регулярной основе
51.21.14.000 Услуги по перевозке прочих грузов воздушным транспортом на нерегулярной основе
52.23.19.115 Работы с целью оказания медицинской помощи
51.10.11.000 Услуги по регулярным пассажирским перевозкам воздушным транспортом на местных линиях ****</t>
  </si>
  <si>
    <t>За весь период компания заключила  8 контрактов на сумму  1 112 914 751,92 ? За весь период заходили в конкурсы  5 раз на общую сумму обеспеченных контрактов с НМЦ 401 624 207,29 ? с БГУ  4 179 843,44 ? с БГИ 32 616 514,40 ?                             ЗА 3 ГОДА ПО 223 ФЗ заключено 4 шт. с объемом НМЦ 198 114 330,40 ?</t>
  </si>
  <si>
    <t>"223 за 3 года", ".", "рейтинг поставщиков в маркере по бг", "все клиенты с выручкой от 1,8 млрд до бесконечности", "рейтинг по нмц маркер", "44 за 3 года"</t>
  </si>
  <si>
    <t>За весь период контрактов 1 шт. на общую сумму НМЦ 758 999 914,77 ?</t>
  </si>
  <si>
    <t>"рейтинг по нмц маркер", "."</t>
  </si>
  <si>
    <t>20.15.39.000 Удобрения азотные и смеси прочие
20.59 Продукты химические прочие, не включенные в другие группировки
20.59.52.199 Реагенты сложные диагностические или лабораторные прочие, не включенные в другие группировки
20.59.59 Продукты разные химические, не включенные в другие группировки
20.13 Вещества химические неорганические основные прочие
38.22.29.000 Услуги по утилизации прочих опасных отходов
46.12.13.110 Услуги по оптовой торговле промышленными и техническими химическими веществами за вознаграждение или на договорной основе
20.16 Пластмассы в первичных формах
20.14.23.111 Этиленгликоль (этандиол)
20.59.52.194 Реактивы химические общелабораторного назначения ****</t>
  </si>
  <si>
    <t>За весь период компания заключила  8 контрактов на сумму  2 180 084 502,00 ? За весь период заходили в конкурсы  4 раз на общую сумму обеспеченных контрактов с НМЦ 230 357 354,00 ? с БГУ  2 344 286,02 ? с БГИ 30 431 430,20 ?                             ЗА 3 ГОДА ПО 223 ФЗ заключено 24 шт. с объемом НМЦ 620 641 290,40 ? за 1 ГОД ПО 223ФЗ заключено 13  164 510 683,43 ?</t>
  </si>
  <si>
    <t>"223 за 3 года", ".", "рейтинг поставщиков в маркере по бг", "БГ ФБ ЮР лица на 01.07.2021", "ушедшие", "все клиенты с выручкой от 1,8 млрд до бесконечности", "223 фз контракты 20+", "производители", "рейтинг по нмц маркер", "44 за 3 года"</t>
  </si>
  <si>
    <t>10.51.30.111 Масло сладко-сливочное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t>
  </si>
  <si>
    <t>"44 за 3 года", ".", "все клиенты с выручкой от 1,8 млрд до бесконечности", "производители", "поставщики маркер"</t>
  </si>
  <si>
    <t>"поставщики маркер", ".", "fk1", "корп 1", "Участники клиринга", "это заказчик"</t>
  </si>
  <si>
    <t>25.21.12.000 Котлы водогрейные центрального отопления для производства горячей воды или пара низкого давления
25.30.12.113 Оборудование котельное
25.21 Радиаторы и водогрейные котлы центрального отопления
77.1 Услуги по аренде и лизингу автотранспортных средств
77.11.10.000 Услуги по аренде и лизингу легковых автомобилей и легких автотранспортных средств
28.14.11.129 Арматура регулирующая прочая
28.14.1 Арматура (краны, клапаны и другая аналогичная арматура) для трубопроводов, сосудов, котлов, цистерн, баков и аналогичных емкостей
28.14.11.141 Клапаны предохранительные
28.14.20.390 Комплектующие арматуры прочие
28.14.2 Детали и узлы арматуры (кранов, клапанов и прочей арматуры) ****</t>
  </si>
  <si>
    <t>ЗА 3 ГОДА ПО 223 ФЗ заключено 11 шт. с объемом НМЦ 165 763 156,65 ?</t>
  </si>
  <si>
    <t>"223 за 3 года", ".", "все клиенты с выручкой от 1,8 млрд до бесконечности", "рейтинг по нмц маркер", "поставщики маркер", "44 за 3 года"</t>
  </si>
  <si>
    <t>"поставщики маркер", ".",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</si>
  <si>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20.59.59.900 Продукты разные химические прочие, не включенные в другие группировки</t>
  </si>
  <si>
    <t>fk(1)</t>
  </si>
  <si>
    <t>"поставщики маркер", ".", "fk1", "Обороты по клиентам по кварталам (2022г)", "рейтинг по нмц маркер"</t>
  </si>
  <si>
    <t>10.89.11.130 Заготовки для приготовления супов и бульонов
10.89.19.140 Концентраты белковые (протеиновые)
01.24.26.000 Нектарины
01.24.29.110 Черешня
01.25.31.000 Миндаль
10.13.14.119 Изделия колбасные вареные мясные прочие
10.20.14.110 Филе пресноводной рыбы мороженое
01.13.12.120 Капуста белокочанная
01.13.42.000 Чеснок
10.20.31.110 Ракообразные морские мороженые ****</t>
  </si>
  <si>
    <t>За весь период компания заключила  177 контрактов на сумму  25 946 622 460,25 ? За весь период заходили в конкурсы  395 раз на общую сумму обеспеченных контрактов с НМЦ 58 635 666 429,22 ? с БГУ  1 214 042 218,26 ? с БГИ 5 259 881 032,79 ? За 3 ГОДА по 44ФЗ заключено 177 шт. с объемом НМЦ  12 004 162 952,14 ? с БГИ 1 140 370 416,84 ? с БГГО 15 364 528,44 ? с авансированием до 0,00 ? с комиссией банку 37 565 692,00 ? с кв 326 821,52 ? ЗА 1 ГОД по 44ФЗ заключено 68 шт. c объемом НМЦ 3 632 348 733,26 ? с БГИ 361 291 786,26 ? с БГГО 0,00 ? с авансированием до  0,00 ? с комиссией банку  9 021 857,18 ? с кв 78 490,16 ?</t>
  </si>
  <si>
    <t>"44 за 3 года", ".", "рейтинг поставщиков в маркере по бг", "в отказе", "ГРАНДИОЗНЫЙ ПРОЕКТ", "Конкурсы 100+ (Восстановленный)", "44 фз с с БГ от 10 млн", "производители", "рейтинг по нмц маркер"</t>
  </si>
  <si>
    <t>Сообщение кредитора о намерении обратиться в суд с заявлением о банкротстве от 02.07.2019</t>
  </si>
  <si>
    <t>"поставщики маркер", ".", "портфель 51",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 "это заказчик"</t>
  </si>
  <si>
    <t>20.30.22.110 Материалы лакокрасочные для нанесения покрытий прочие</t>
  </si>
  <si>
    <t>"223 за 3 года", "свод фт", ".", "лимит сит по кредитам", "все клиенты с выручкой от 1,8 млрд до бесконечности", "на фт заводил Алиев", "crm управления", "в crm за Арифом", "поставщики маркер"</t>
  </si>
  <si>
    <t>27.33.11.190 Устройства коммутационные на напряжение не более 1 кВ прочие, не включенные в другие группировки
28.99.31.110 Сушилки для древесины, целлюлозы, бумаги или картона
27.12.1 Устройства для коммутации или защиты электрических цепей на напряжение более 1 кВ
27.3 Кабели и арматура кабельная
27.32.14.111 Кабели силовые с медной жилой на напряжение более 1 кВ
27.32.14.112 Кабели силовые с алюминиевой жилой на напряжение более 1 кВ
27.90 Оборудование электрическое прочее
27.90.20.110 Панели индикаторные с устройствами жидкокристаллическими или светодиодами
27.11.10.120 Электродвигатели постоянного тока прочие
27.32.11.000 Провода обмоточные изолированные ****</t>
  </si>
  <si>
    <t>"Корп 01"</t>
  </si>
  <si>
    <t>"223 за 3 года", ".", "fk1", "корп 1", "все клиенты с выручкой от 1,8 млрд до бесконечности", "Обороты по клиентам по кварталам (2022г)", "поставщики маркер", "44 за 3 года"</t>
  </si>
  <si>
    <t>"в crm за Самаром", "crm управления"</t>
  </si>
  <si>
    <t>"в crm за Самаром", ".", "это заказчик", "crm управления"</t>
  </si>
  <si>
    <t>"на фт заводил Еприкян", "свод фт", ".", "fk1", "корп 2", "все клиенты с выручкой от 1,8 млрд до бесконечности", "ФК клиенты с выручкой от 230 до бесконечности", "Обороты по клиентам по кварталам (2022г)"</t>
  </si>
  <si>
    <t>29.10 Средства автотранспортные
29.10.24.000 Средства автотранспортные для перевозки людей прочие
29.10.59.150 Средства транспортные для аварийно-спасательных служб и полиции
29.10.23.000 Средства транспортные с поршневым двигателем внутреннего сгорания с воспламенением от сжатия (дизелем или полудизелем), новые
29.10.30.130 Автобусы, имеющие технически допустимую максимальную массу не более 5 т
29.10.22.000 Средства транспортные с двигателем с искровым зажиганием, с рабочим объемом цилиндров более 1500 см3, новые</t>
  </si>
  <si>
    <t>За весь период компания заключила  15 контрактов на сумму  7 633 541 975,80 ? За весь период заходили в конкурсы  26 раз на общую сумму обеспеченных контрактов с НМЦ 8 789 188 513,92 ? с БГУ  142 926 662,55 ? с БГИ 998 555 862,05 ?</t>
  </si>
  <si>
    <t>"223 за 3 года", ".", "рейтинг поставщиков в маркере по бг", "fk1", "06.2022_ФинХД", "рейтинг по нмц маркер", "поставщики маркер", "44 за 3 года"</t>
  </si>
  <si>
    <t>29.10.22.000 Средства транспортные с двигателем с искровым зажиганием, с рабочим объемом цилиндров более 1500 см3, новые</t>
  </si>
  <si>
    <t>За весь период заходили в конкурсы  7 раз на общую сумму обеспеченных контрактов с НМЦ 940 241 622,81 ? с БГУ  39 482 609,07 ? с БГИ 140 275 851,10 ?</t>
  </si>
  <si>
    <t>"поставщики маркер", ".", "рейтинг поставщиков в маркере по бг", "рейтинг по нмц маркер"</t>
  </si>
  <si>
    <t>22.11.11.000 Шины и покрышки пневматические для легковых автомобилей новые</t>
  </si>
  <si>
    <t>1 283</t>
  </si>
  <si>
    <t>Отправлена клиенту;Рассматривается банком</t>
  </si>
  <si>
    <t>"223 за 3 года", "свод фт", ".", "кредиты фт", "лимит сит по кредитам", "все клиенты с выручкой от 1,8 млрд до бесконечности", "Одобренные но не выданные 1 полугодие 2021", "на фт заводил Шаклейн", "crm управления", "в crm за Шаклейном ", "поставщики маркер"</t>
  </si>
  <si>
    <t>2 472</t>
  </si>
  <si>
    <t>"Обороты по клиентам по кварталам (2022г)", ".", "ушедший портфель", "fk1", "ИНН 3 года - нет КД БГ на 01.10.22", "портфель 31.10.2021_10 тыс_проверка", "Список ушедший ", "06.2022_ФинХД", "клиенты с в от100млн 09.21", "все клиенты с выручкой от 1,8 млрд до бесконечности", "ФК клиенты с выручкой от 230 до бесконечности"</t>
  </si>
  <si>
    <t>35.11.10.120 Электроэнергия, произведенная блок-станциями</t>
  </si>
  <si>
    <t>"поставщики маркер",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</si>
  <si>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"в crm за Акимкиным", "свод фт", ".", "кредиты фт", "лимит сит по кредитам", "все клиенты с выручкой от 1,8 млрд до бесконечности", "на фт заводил Акимкин", "crm управления"</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</si>
  <si>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42.13.20.100 Работы строительные по строительству мостов и тоннелей, кроме работ по сохранению и воссозданию объектов культурного наследия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</si>
  <si>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60 контрактов на сумму  57 808 517 849,57 ? За весь период заходили в конкурсы  106 раз на общую сумму обеспеченных контрактов с НМЦ 65 203 393 906,45 ? с БГУ  2 524 212 409,90 ? с БГИ 12 669 792 985,83 ? За 3 ГОДА по 44ФЗ заключено 43 шт. с объемом НМЦ  35 838 923 737,07 ? с БГИ 8 407 731 937,64 ? с БГГО 806 350 907,96 ? с авансированием до 10 374 100 112,72 ? с комиссией банку 231 094 105,16 ? с кв 2 010 518,71 ? ЗА 1 ГОД по 44ФЗ заключено 13 шт. c объемом НМЦ 19 955 656 011,62 ? с БГИ 3 886 506 881,09 ? с БГГО 80 856 513,40 ? с авансированием до  8 095 106 417,02 ? с комиссией банку  89 693 470,38 ? с кв 780 333,19 ?</t>
  </si>
  <si>
    <t>"44 за 3 года", ".", "рейтинг поставщиков в маркере по бг", "ГРАНДИОЗНЫЙ ПРОЕКТ", "п6", "Конкурсы 100+ (Восстановленный)", "06.2022_ФинХД", "все клиенты с выручкой от 1,8 млрд до бесконечности", "44 фз с с БГ от 10 млн", "производители", "рейтинг по нмц маркер", "поставщики маркер"</t>
  </si>
  <si>
    <t>29.10.41.111 Автомобили грузовые с дизельным двигателем, имеющие технически допустимую максимальную массу не более 3,5 т
29.10.41.113 Автомобили грузовые с дизельным двигателем, имеющие технически допустимую максимальную массу свыше 12 т
28.30.23 Тракторы с мощностью двигателя более 59 кВт
29.1 Средства автотранспортные
29.10.4 Средства автотранспортные грузовые
29.10.41.110 Автомобили грузовые с дизельным двигателем
29.10.42 Средства автотранспортные грузовые с поршневым двигателем внутреннего сгорания с искровым зажиганием; прочие грузовые транспортные средства, новые
29.10.59 Средства автотранспортные специального назначения, не включенные в другие группировки
29.10.59.130 Средства транспортные для коммунального хозяйства и содержания дорог
29.20.23.120 Прицепы-цистерны и полуприцепы-цистерны для перевозки нефтепродуктов, воды и прочих жидкостей ****</t>
  </si>
  <si>
    <t>За весь период заходили в конкурсы  2 раз на общую сумму обеспеченных контрактов с НМЦ 198 423 763,17 ? с БГУ  10 164 672,67 ? с БГИ 47 731 402,66 ?</t>
  </si>
  <si>
    <t>"223 за 3 года", "кл фт ФК БГ 04.22", ".", "рейтинг поставщиков в маркере по бг", "ушедшие", "все клиенты с выручкой от 1,8 млрд до бесконечности", "клиенты от 100 млн", "действующие б не прям", "ФТ клиенты с продуктами по сотрудникам", "производители", "рейтинг по нмц маркер", "поставщики маркер", "44 за 3 года"</t>
  </si>
  <si>
    <t>29.10.30.190 Средства автотранспортные пассажирские с числом мест для сидения не менее 10 прочие
29.10.30.112 Автобусы, предназначенные для перевозки только сидящих пассажиров, имеющие технически допустимую максимальную массу более 5 т
45.19.11 Услуги по оптовой торговле грузовыми автомобилями, седельными тягачами, прицепами, полуприцепами и автобусами
29.10.30.119 Автобусы, имеющие технически допустимую максимальную массу более 5 т, прочие
45.19.21 Услуги по розничной торговле грузовыми автомобилями, седельными тягачами, прицепами, полуприцепами и автобусами в специализированных магазинах
29.10.30.110 Автобусы, имеющие технически допустимую максимальную массу более 5 т
29.10.30.111 Автобусы, предназначенные для перевозки стоящих и сидящих пассажиров, имеющие технически допустимую максимальную массу более 5 т</t>
  </si>
  <si>
    <t>За весь период компания заключила  4 контрактов на сумму  1 007 016 300,00 ? За весь период заходили в конкурсы  10 раз на общую сумму обеспеченных контрактов с НМЦ 2 793 136 763,87 ? с БГУ  22 509 908,23 ? с БГИ 259 776 132,84 ? За 3 ГОДА по 44ФЗ заключено 14 шт. с объемом НМЦ  2 623 015 233,11 ? с БГИ 285 141 703,33 ? с БГГО 39 203 148,66 ? с авансированием до 569 917 813,89 ? с комиссией банку 2 174 077,44 ? с кв 18 914,47 ? ЗА 1 ГОД по 44ФЗ заключено 7 шт. c объемом НМЦ 1 922 583 076,41 ? с БГИ 217 310 820,50 ? с БГГО 33 794 415,38 ? с авансированием до  531 056 563,89 ? с комиссией банку  1 754 939,07 ? с кв 15 267,97 ? ЗА 3 ГОДА ПО 223 ФЗ заключено 5 шт. с объемом НМЦ 1 227 475 000,00 ?</t>
  </si>
  <si>
    <t>"223 за 3 года", "свод фт", ".", "рейтинг поставщиков в маркере по бг", "fk1", "кредиты фт", "Пункт 3 09.01.23", "лимит сит по кредитам", "все клиенты с выручкой от 1,8 млрд до бесконечности", "44 фз с с БГ от 10 млн", "рейтинг по нмц маркер", "на фт заводил Кондаков", "на фт заводил Игнатенко", "поставщики маркер", "44 за 3 года"</t>
  </si>
  <si>
    <t>За весь период компания заключила  4 контрактов на сумму  2 591 065 162,89 ? За весь период заходили в конкурсы  7 раз на общую сумму обеспеченных контрактов с НМЦ 1 227 842 100,00 ? с БГУ  77 060 887,20 ? с БГИ 504 135 323,20 ?</t>
  </si>
  <si>
    <t>Сообщения о принятии решения о реорганизации от 11.10.2021</t>
  </si>
  <si>
    <t>"поставщики маркер", ".", "рейтинг поставщиков в маркере по бг", "беники", "fk1", "Кредитный портфель_01.11", "06.2022_ФинХД", "рейтинг заказчиков маркер", "производители", "рейтинг по нмц маркер", "это заказчик"</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</si>
  <si>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42.11.10.151 Дорога подъездная
71.12.20.190 Услуги по руководству строительными проектами прочие
42.22.21.110 Работы строительные по прокладке линий электропередачи значительной протяженности над землей, включая линии для железных дорог, и по их ремонту
42.13.20.100 Работы строительные по строительству мостов и тоннелей, кроме работ по сохранению и воссозданию объектов культурного наследия
42.11.10.150 Дороги подъездные, транспортные и пешеходные путепроводы над и под дорогой, велосипедные дорожки
42.11.10.129 Дороги автомобильные, в том числе улично-дорожная сеть, и прочие автомобильные и пешеходные дороги, не включенные в другие группировки
42.13.10.119 Мосты и путепроводы из любых материалов для всех типов сухопутного транспорта и для пешеходов прочие</t>
  </si>
  <si>
    <t>1 598</t>
  </si>
  <si>
    <t>За весь период компания заключила  42 контрактов на сумму  54 740 377 970,52 ? За весь период заходили в конкурсы  78 раз на общую сумму обеспеченных контрактов с НМЦ 62 831 487 476,67 ? с БГУ  2 916 050 974,33 ? с БГИ 10 561 138 350,97 ? За 3 ГОДА по 44ФЗ заключено 25 шт. с объемом НМЦ  8 697 601 624,65 ? с БГИ 1 750 079 143,51 ? с БГГО 33 768 159,84 ? с авансированием до 2 307 200 842,93 ? с комиссией банку 19 405 140,73 ? с кв 168 824,72 ? ЗА 1 ГОД по 44ФЗ заключено 4 шт. c объемом НМЦ 1 125 945 212,00 ? с БГИ 104 707 075,51 ? с БГГО 9 689 196,31 ? с авансированием до  484 459 815,50 ? с комиссией банку  3 178 823,71 ? с кв 27 655,77 ?</t>
  </si>
  <si>
    <t>Сообщения о принятии решения о реорганизации от 09.06.2022</t>
  </si>
  <si>
    <t>"44 за 3 года", ".", "рейтинг поставщиков в маркере по бг", "База Восточный (Мелкумов)", "Конкурсы 100+ (Восстановленный)", "все клиенты с выручкой от 1,8 млрд до бесконечности", "44 фз с с БГ от 10 млн", "производители", "рейтинг по нмц маркер", "поставщики маркер"</t>
  </si>
  <si>
    <t>45.11 Услуги по торговле легковыми автомобилями и грузовыми автомобилями малой грузоподъемности
45.11.1 Услуги по оптовой торговле легковыми автомобилями и легкими автотранспортными средствами
29.1 Средства автотранспортные
29.10.4 Средства автотранспортные грузовые
29.10.2 Автомобили легковые
29.10.22 Средства транспортные с двигателем с искровым зажиганием, с рабочим объемом цилиндров более 1500 см3, новые
29.10.24.000 Средства автотранспортные для перевозки людей прочие
45.20.1 Услуги по техническому обслуживанию и ремонту легковых автомобилей и легких грузовых автотранспортных средств
29.10.23.000 Средства транспортные с поршневым двигателем внутреннего сгорания с воспламенением от сжатия (дизелем или полудизелем), новые
45.1 Услуги по торговле автотранспортными средствами ****</t>
  </si>
  <si>
    <t>ЗА 3 ГОДА ПО 223 ФЗ заключено 12 шт. с объемом НМЦ 28 645 599,33 ?</t>
  </si>
  <si>
    <t>"223 за 3 года", ".", "все клиенты с выручкой от 1,8 млрд до бесконечности", "поставщики маркер", "44 за 3 года"</t>
  </si>
  <si>
    <t>29.10.30.190 Средства автотранспортные пассажирские с числом мест для сидения не менее 10 прочие
45.11 Услуги по торговле легковыми автомобилями и грузовыми автомобилями малой грузоподъемности
45.11.1 Услуги по оптовой торговле легковыми автомобилями и легкими автотранспортными средствами
45.11.21.000 Услуги по розничной торговле новыми пассажирскими автотранспортными средствами в специализированных магазинах
45.20.11.215 Услуги по ремонту тормозной системы
29.10.11.000 Двигатели внутреннего сгорания поршневые с искровым зажиганием, с рабочим объемом цилиндров не более 1000 см3 для автотранспортных средств
29.10.59 Средства автотранспортные специального назначения, не включенные в другие группировки
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29.10 Средства автотранспортные
29.10.2 Автомобили легковые ****</t>
  </si>
  <si>
    <t>За весь период компания заключила  1 контрактов на сумму  1 920 000 000,00 ?                                         за 1 ГОД ПО 223ФЗ заключено 3  4 234 710,60 ?</t>
  </si>
  <si>
    <t>"223 за 3 года", ".", "п6", "fk1", "06.2022_ФинХД", "все клиенты с выручкой от 1,8 млрд до бесконечности", "Обороты по клиентам по кварталам (2022г)", "производители", "рейтинг по нмц маркер", "это заказчик", "поставщики маркер", "44 за 3 года"</t>
  </si>
  <si>
    <t>Сообщения о принятии решения о реорганизации от 18.03.2020</t>
  </si>
  <si>
    <t>45.20.11.519 Прочие услуги по техническому обслуживанию и ремонту прочих автотранспортных средств, не включенные в другие группировки
29.32.30.220 Колеса, ступицы и их детали
45.20.21.111 Услуги по регламентным работам (по видам технического обслуживания)
29.10 Средства автотранспортные
29.10.2 Автомобили легковые
29.32.30.132 Колодки с накладками в сборе для дисковых и барабанных тормозов, фрикционные накладки для барабанных и дисковых тормозов
29.32.30.390 Части и принадлежности для автотранспортных средств прочие, не включенные в другие группировки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45.20.1 Услуги по техническому обслуживанию и ремонту легковых автомобилей и легких грузовых автотранспортных средств
29.32.30.219 Узлы и детали подвески прочие, не включенные в другие группировки ****</t>
  </si>
  <si>
    <t>За весь период компания заключила  3 контрактов на сумму  1 354 820 871,34 ?                                         за 1 ГОД ПО 223ФЗ заключено 3  4 697 000,00 ?</t>
  </si>
  <si>
    <t>Сообщения о принятии решения о реорганизации от 22.12.2021</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</si>
  <si>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t>
  </si>
  <si>
    <t>1 174</t>
  </si>
  <si>
    <t>За весь период компания заключила  50 контрактов на сумму  38 095 184 072,33 ? За весь период заходили в конкурсы  181 раз на общую сумму обеспеченных контрактов с НМЦ 46 170 854 449,58 ? с БГУ  1 577 362 522,52 ? с БГИ 6 487 198 049,98 ? За 3 ГОДА по 44ФЗ заключено 109 шт. с объемом НМЦ  13 108 775 891,61 ? с БГИ 1 151 868 723,28 ? с БГГО 13 971 047,80 ? с авансированием до 565 029 108,32 ? с комиссией банку 34 186 104,80 ? с кв 297 419,11 ? ЗА 1 ГОД по 44ФЗ заключено 59 шт. c объемом НМЦ 6 845 977 976,93 ? с БГИ 675 929 560,18 ? с БГГО 1 686 704,92 ? с авансированием до  166 616 388,00 ? с комиссией банку  21 303 328,87 ? с кв 185 338,96 ?</t>
  </si>
  <si>
    <t>"223 за 3 года", ".", "рейтинг поставщиков в маркере по бг", "ГРАНДИОЗНЫЙ ПРОЕКТ", "Конкурсы 100+ (Восстановленный)", "fk1", "ПОС на 01.02.2023", "корп 2", "ПОС на 03.04.2023", "Кредитный портфель_01.11", "ПСБ Гарантии ",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"производители", "рейтинг по нмц маркер", "это заказчик", "поставщики маркер", "44 за 3 года"</t>
  </si>
  <si>
    <t>За весь период контрактов 6 шт. с общей суммой НМЦ 833 365 706,35 ? с БГУ 28146886,86 и БГИ 254 692 977,23 ?</t>
  </si>
  <si>
    <t>74.90.12.125 Услуги по установлению рыночной или иной стоимости работ, услуг, информации
63.11.19 Услуги прочие по размещению и предоставлению инфраструктуры информационных технологий
71.20.19.112 Услуги по проведению негосударственной экспертизы проектной документации и результатов инженерных изысканий
71.12.20 Услуги по руководству строительными проектами
70.22.11.000 Услуги консультативные по вопросам стратегического управления
70.22.12 Услуги консультативные по вопросам финансового управления (кроме вопросов корпоративного налогообложения)</t>
  </si>
  <si>
    <t>За весь период компания заключила  4 контрактов на сумму  1 728 950 078,40 ?                                     ЗА 3 ГОДА ПО 223 ФЗ заключено 17 шт. с объемом НМЦ 203 598 994,08 ? за 1 ГОД ПО 223ФЗ заключено 15  190 162 905,41 ?</t>
  </si>
  <si>
    <t>"223 за 3 года", ".", "все клиенты с выручкой от 1,8 млрд до бесконечности", "рейтинг заказчиков маркер", "рейтинг по нмц маркер", "это заказчик", "поставщики маркер"</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</si>
  <si>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42.11.10.159 Дороги подъездные, транспортные и пешеходные путепроводы над и под дорогой, велосипедные дорожки прочие
43.21.10.120 Работы электромонтажные, связанные с установкой приборов
42.11.10.140 Стоянки автомобильные с твердым покрытием
42.13.20.100 Работы строительные по строительству мостов и тоннелей, кроме работ по сохранению и воссозданию объектов культурного наследия
42.11.10.150 Дороги подъездные, транспортные и пешеходные путепроводы над и под дорогой, велосипедные дорожки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
42.11.10.129 Дороги автомобильные, в том числе улично-дорожная сеть, и прочие автомобильные и пешеходные дороги, не включенные в другие группировки</t>
  </si>
  <si>
    <t>1 515</t>
  </si>
  <si>
    <t>За весь период компания заключила  84 контрактов на сумму  52 674 239 552,44 ? За весь период заходили в конкурсы  223 раз на общую сумму обеспеченных контрактов с НМЦ 73 235 225 514,04 ? с БГУ  4 048 808 232,78 ? с БГИ 19 732 825 561,95 ? За 3 ГОДА по 44ФЗ заключено 32 шт. с объемом НМЦ  13 687 604 137,04 ? с БГИ 2 495 454 099,24 ? с БГГО 376 016 245,59 ? с авансированием до 8 876 154 117,19 ? с комиссией банку 57 748 502,51 ? с кв 502 411,97 ? ЗА 1 ГОД по 44ФЗ заключено 6 шт. c объемом НМЦ 1 327 482 739,33 ? с БГИ 359 647 900,17 ? с БГГО 136 551,00 ? с авансированием до  18 462 620,70 ? с комиссией банку  9 357 977,49 ? с кв 81 414,40 ?</t>
  </si>
  <si>
    <t>Сообщение кредитора о намерении обратиться в суд с заявлением о банкротстве от 24.12.2020</t>
  </si>
  <si>
    <t>"44 за 3 года", "кл фт прямые бг 04.22", "кл фт агент бг 04.22", "свод фт", ".", "рейтинг поставщиков в маркере по бг", "ГРАНДИОЗНЫЙ ПРОЕКТ", "Конкурсы 100+ (Восстановленный)", "Агентские отказ из-за непред-я док-ов", "fk1", "ПОС на 03.04.2023", "Кредитный портфель_01.11", "Гарантии ФБ банкроты", "клиенты с в от100млн 09.21", "все клиенты с выручкой от 1,8 млрд до бесконечности", "портфель",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"44 фз с с БГ от 10 млн", "производители", "рейтинг по нмц маркер", "на фт заводил Шаклейн", "на фт заводил Адеев", "crm управления", "в crm за Шаклейном ",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</si>
  <si>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42.11.10.151 Дорога подъездная
52.21.22.000 Услуги по эксплуатации автомагистралей
42.13.10.110 Мосты и путепроводы из любых материалов для всех типов сухопутного транспорта и для пешеходов
42.11.10.120 Дороги автомобильные, в том числе улично-дорожная сеть, и прочие автомобильные и пешеходные дороги
42.22.21.110 Работы строительные по прокладке линий электропередачи значительной протяженности над землей, включая линии для железных дорог, и по их ремонту
42.13.10.111 Мост автодорожный
42.13.20.100 Работы строительные по строительству мостов и тоннелей, кроме работ по сохранению и воссозданию объектов культурного наследия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42.11.10.129 Дороги автомобильные, в том числе улично-дорожная сеть, и прочие автомобильные и пешеходные дороги, не включенные в другие группировки ****</t>
  </si>
  <si>
    <t>1 055</t>
  </si>
  <si>
    <t>За весь период компания заключила  100 контрактов на сумму  96 353 833 791,27 ? За весь период заходили в конкурсы  276 раз на общую сумму обеспеченных контрактов с НМЦ 117 474 349 340,79 ? с БГУ  6 435 505 913,37 ? с БГИ 20 082 520 120,08 ? За 3 ГОДА по 44ФЗ заключено 96 шт. с объемом НМЦ  24 449 326 562,70 ? с БГИ 2 354 711 976,15 ? с БГГО 322 586 661,03 ? с авансированием до 2 363 756 194,89 ? с комиссией банку 66 284 919,56 ? с кв 576 678,80 ? ЗА 1 ГОД по 44ФЗ заключено 24 шт. c объемом НМЦ 7 546 618 868,80 ? с БГИ 491 482 363,43 ? с БГГО 185 796,00 ? с авансированием до  2 297 634 517,14 ? с комиссией банку  11 515 760,99 ? с кв 100 187,12 ?     за 1 ГОД ПО 223ФЗ заключено 1  8 708 950,00 ?</t>
  </si>
  <si>
    <t>Сообщения о принятии решения о реорганизации от 14.05.2021</t>
  </si>
  <si>
    <t>"223 за 3 года", ".", "рейтинг поставщиков в маркере по бг", "компании Герберта", "ГРАНДИОЗНЫЙ ПРОЕКТ", "Конкурсы 100+ (Восстановленный)", "все клиенты с выручкой от 1,8 млрд до бесконечности", "44 фз с с БГ от 10 млн", "производители", "рейтинг по нмц маркер", "crm управления", "в crm за Чимровым", "поставщики маркер", "44 за 3 года"</t>
  </si>
  <si>
    <t>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42.13.10.110 Мосты и путепроводы из любых материалов для всех типов сухопутного транспорта и для пешеходов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</si>
  <si>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контрактов 50 шт. на общую сумму НМЦ 58 146 101 206,60 ?</t>
  </si>
  <si>
    <t>Сообщение кредитора о намерении обратиться в суд с заявлением о банкротстве от 12.01.2022</t>
  </si>
  <si>
    <t>"44 за 3 года", ".", "рейтинг поставщиков в маркере по бг", "компании Герберта", "ГРАНДИОЗНЫЙ ПРОЕКТ", "Конкурсы 100+ (Восстановленный)", "все клиенты с выручкой от 1,8 млрд до бесконечности", "44 фз с с БГ от 10 млн", "производители", "рейтинг по нмц маркер", "поставщики маркер"</t>
  </si>
  <si>
    <t>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35.30.11.110 Энергия тепловая, отпущенная электростанциями ****</t>
  </si>
  <si>
    <t>За весь период компания заключила  4 контрактов на сумму  2 260 800 271,88 ?                                     ЗА 3 ГОДА ПО 223 ФЗ заключено 29 шт. с объемом НМЦ 147 435 635,37 ? за 1 ГОД ПО 223ФЗ заключено 5  10 440 379,77 ?</t>
  </si>
  <si>
    <t>"223 за 3 года", ".", "все клиенты с выручкой от 1,8 млрд до бесконечности", "рейтинг заказчиков маркер", "производители", "рейтинг по нмц маркер", "это заказчик", "поставщики маркер"</t>
  </si>
  <si>
    <t>28.22 Оборудование подъемно-транспортное
29.32.30.269 Узлы и детали систем вентиляции, отопления и кондиционирования воздуха, не включенные в другие группировки
28.22.15.120 Погрузчики прочие
29.10.59.130 Средства транспортные для коммунального хозяйства и содержания дорог
29.32.30.220 Колеса, ступицы и их детали
29.32.30.390 Части и принадлежности для автотранспортных средств прочие, не включенные в другие группировки
28.22.18.390 Оборудование подъемно-транспортное и погрузочно-разгрузочное прочее, не включенное в другие группировки
33.17.19.000 Услуги по ремонту и техническому обслуживанию прочих транспортных средств и оборудования, не включенных в другие группировки
28.22.15.110 Автопогрузчики с вилочным захватом
28.92.25.000 Погрузчики фронтальные одноковшовые самоходные ****</t>
  </si>
  <si>
    <t>ЗА 3 ГОДА ПО 223 ФЗ заключено 9 шт. с объемом НМЦ 52 297 297,34 ?</t>
  </si>
  <si>
    <t>19.20.21.341 Топливо дизельное межсезонное вне классов
19.20.21.124 Бензин автомобильный с октановым числом более 92, но не более 95 по исследовательскому методу экологического класса К4
19.20.21 Топливо моторное, включая автомобильный и авиационный бензин
19.20.21.100 Бензин автомобильный
19.20.21.125 Бензин автомобильный с октановым числом более 92, но не более 95 по исследовательскому методу экологического класса К5
19.20.31.110 Пропан сжиженный
19.20.21.120 Бензин автомобильный с октановым числом более 92, но не более 95 по исследовательскому методу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19.20.21.345 Топливо дизельное межсезонное экологического класса К5 ****</t>
  </si>
  <si>
    <t>За весь период заходили в конкурсы  2 раз на общую сумму обеспеченных контрактов с НМЦ 50 823 299,00 ? с БГУ  1 016 465,98 ? с БГИ 10 164 659,80 ?                                 за 1 ГОД ПО 223ФЗ заключено 5  11 309 574,10 ?</t>
  </si>
  <si>
    <t>"223 за 3 года", ".", "рейтинг поставщиков в маркере по бг", "поставщики маркер", "44 за 3 года"</t>
  </si>
  <si>
    <t>ПОС на 03.04.2089</t>
  </si>
  <si>
    <t>"Обороты по клиентам по кварталам (2022г)", ".", "fk1", "инн Красносельская", "ПОС на 01.02.2023", "ПОС на 03.04.2023", "Кредитный портфель_01.11", "06.2022_ФинХД", "все клиенты с выручкой от 1,8 млрд до бесконечности"</t>
  </si>
  <si>
    <t>1 644</t>
  </si>
  <si>
    <t>28.13.11.110 Насосы топливные
28.15.10.140 Подшипники шарнирные
27.40.12.000 Лампы накаливания галогенные с вольфрамовой нитью, кроме ультрафиолетовых или инфракрасных ламп
29.10.41.113 Автомобили грузовые с дизельным двигателем, имеющие технически допустимую максимальную массу свыше 12 т
28.30.93.000 Части прочих машин и оборудования для сельского хозяйства
29.31.22.190 Оборудование электрическое прочее для транспортных средств, не включенное в другие группировки
45.31.12.000 Услуги по оптовой торговле прочими автомобильными деталями, узлами и принадлежностями
29.32.30.182 Муфты выключения сцеплений, подшипники муфт выключения сцеплений
29.32.30.214 Шарниры шаровые подвески и их элементы
29.32.30.269 Узлы и детали систем вентиляции, отопления и кондиционирования воздуха, не включенные в другие группировки ****</t>
  </si>
  <si>
    <t>За весь период заходили в конкурсы  37 раз на общую сумму обеспеченных контрактов с НМЦ 1 349 184 271,26 ? с БГУ  14 583 578,75 ? с БГИ 220 664 552,73 ?               ЗА 1 ГОД по 44ФЗ заключено 5 шт. c объемом НМЦ 220 352 178,53 ? с БГИ 29 425 987,90 ? с БГГО 9 349 119,58 ? с авансированием до  49 906 900,23 ? с комиссией банку  331 857,97 ? с кв 2 887,16 ? ЗА 3 ГОДА ПО 223 ФЗ заключено 8 шт. с объемом НМЦ 82 501 072,16 ?</t>
  </si>
  <si>
    <t>"223 за 3 года", "кл фт агент бг 04.22", ".", "рейтинг поставщиков в маркере по бг", "Конкурсы 100+ (Восстановленный)", "fk1", "БГ ФБ ЮР лица на 01.07.2021", "Гарантии ФБ банкроты", "филиал бизнес 31.01.22 ",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"44 фз с с БГ от 10 млн", "рейтинг по нмц маркер", "44 за 3 года"</t>
  </si>
  <si>
    <t>29.10.41.111 Автомобили грузовые с дизельным двигателем, имеющие технически допустимую максимальную массу не более 3,5 т
33.17 Услуги по ремонту и техническому обслуживанию прочих транспортных средств и оборудования
45.20.21.111 Услуги по регламентным работам (по видам технического обслуживания)
29.10.2 Автомобили легковые
45.20.1 Услуги по техническому обслуживанию и ремонту легковых автомобилей и легких грузовых автотранспортных средств</t>
  </si>
  <si>
    <t>45.20 Услуги по техническому обслуживанию и ремонту автотранспортных средств
45.20.11.111 Услуги по регламентным работам (по видам технического обслуживания)</t>
  </si>
  <si>
    <t>"поставщики маркер", ".", "fk1", "Кредитный портфель_01.11", "корп 1", "06.2022_ФинХД", "все клиенты с выручкой от 1,8 млрд до бесконечности", "ФК клиенты с выручкой от 230 до бесконечности"</t>
  </si>
  <si>
    <t>64.91 Услуги по финансовой аренде (лизингу/сублизингу)
29.10.24.000 Средства автотранспортные для перевозки людей прочие
29.10.21.000 Средства транспортные с двигателем с искровым зажиганием, с рабочим объемом цилиндров не более 1500 см3, новые
29.10.22.000 Средства транспортные с двигателем с искровым зажиганием, с рабочим объемом цилиндров более 1500 см3, новые</t>
  </si>
  <si>
    <t>45.11 Услуги по торговле легковыми автомобилями и грузовыми автомобилями малой грузоподъемности
33.12.1 Услуги по ремонту и техническому обслуживанию оборудования общего назначения
45.11.11.000 Услуги по оптовой торговле пассажирскими автотранспортными средствами</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</si>
  <si>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45.11 Услуги по торговле легковыми автомобилями и грузовыми автомобилями малой грузоподъемности
45.11.1 Услуги по оптовой торговле легковыми автомобилями и легкими автотранспортными средствами
45.11.21.000 Услуги по розничной торговле новыми пассажирскими автотранспортными средствами в специализированных магазинах
45.11.39.000 Услуги по розничной торговле легковыми автомобилями и грузовыми автомобилями малой грузоподъемности прочие, не включенные в другие группировки
45.20.11.519 Прочие услуги по техническому обслуживанию и ремонту прочих автотранспортных средств, не включенные в другие группировки
29.1 Средства автотранспортные
29.10.1 Двигатели внутреннего сгорания для автотранспортных средств
29.10.30 Средства автотранспортные для перевозки 10 или более человек ****</t>
  </si>
  <si>
    <t>За весь период компания заключила  12 контрактов на сумму  791 800 342,91 ? За весь период заходили в конкурсы  46 раз на общую сумму обеспеченных контрактов с НМЦ 2 452 708 419,83 ? с БГУ  124 557 827,77 ? с БГИ 561 941 130,88 ? За 3 ГОДА по 44ФЗ заключено 120 шт. с объемом НМЦ  1 031 591 176,00 ? с БГИ 154 801 415,56 ? с БГГО 12 909 330,84 ? с авансированием до 0,00 ? с комиссией банку 408 926,06 ? с кв 3 557,66 ? ЗА 1 ГОД по 44ФЗ заключено 25 шт. c объемом НМЦ 286 123 104,17 ? с БГИ 34 090 993,60 ? с БГГО 2 589 937,68 ? с авансированием до  0,00 ? с комиссией банку  242 064,50 ? с кв 2 105,96 ? ЗА 3 ГОДА ПО 223 ФЗ заключено 63 шт. с объемом НМЦ 314 336 996,83 ? за 1 ГОД ПО 223ФЗ заключено 14  72 212 525,93 ?</t>
  </si>
  <si>
    <t>"223 за 3 года", "кл фт прямые бг 04.22", "свод фт", ".", "рейтинг поставщиков в маркере по бг", "Гарантии_КИБ_31.03.22_Гиб._", "беники", "УПП на 2 номер", "fk1", "клиенты управления по БГ без открытых счетов", "ПОС на 01.02.2023", "Евразия_июлль-август 2019", "ПОС на 03.04.2023", "Кредитный портфель_01.11", "2. Финтендер 2022 31.03.22 Григорян для СПАРК", "БГ ФБ ЮР лица на 01.07.2021", "корп 1", "Премия 4 кв 22 г.бг", "Гарантии ФБ банкроты", "филиал бизнес 31.01.22 ", "06.2022_ФинХД", "все клиенты с выручкой от 1,8 млрд до бесконечности", "ФК клиенты с выручкой от 230 до бесконечности", "клиенты от 100 млн", "ФТ клиенты с продуктами по сотрудникам", "рейтинг по нмц маркер", "это заказчик", "на фт заводил Шаклейн", "на фт заводил Самар", "на фт заводил Середин", "на фт заводил Вохмина", "поставщики маркер", "44 за 3 года"</t>
  </si>
  <si>
    <t>45.11 Услуги по торговле легковыми автомобилями и грузовыми автомобилями малой грузоподъемности
45.32.12.000 Услуги по розничной торговле прочими автомобильными деталями, узлами и принадлежностями в специализированных магазинах
29.10 Средства автотранспортные
29.10.2 Автомобили легковые
45.11.11.000 Услуги по оптовой торговле пассажирскими автотранспортными средствами
29.10.22.000 Средства транспортные с двигателем с искровым зажиганием, с рабочим объемом цилиндров более 1500 см3, новые</t>
  </si>
  <si>
    <t>"223 за 3 года", ".", "fk1", "корп 2", "Кредитный портфель_01.11", "06.2022_ФинХД", "все клиенты с выручкой от 1,8 млрд до бесконечности", "ФК клиенты с выручкой от 230 до бесконечности", "клиенты от 100 млн", "поставщики маркер"</t>
  </si>
  <si>
    <t>Сообщение кредитора о намерении обратиться в суд с заявлением о банкротстве от 02.07.2018</t>
  </si>
  <si>
    <t>"fk1", "."</t>
  </si>
  <si>
    <t>38.11.19.000 Услуги по сбору прочих неопасных отходов, пригодных для повторного использования
38.21.2 Услуги по удалению неопасных отходов
38.22.29.000 Услуги по утилизации прочих опасных отходов
43.99.90.190 Работы строительные специализированные прочие, не включенные в другие группировки
38.11.31.000 Отходы неопасные бытовые, непригодные для повторного использования
49.41.2 Услуги по аренде грузовых транспортных средств с водителем
38.12.1 Услуги по сбору опасных отходов
38.11.21.000 Услуги по сбору неопасных отходов городского хозяйства, непригодных для повторного использования
38.2 Услуги по обработке и утилизации отходов
43.99.90.160 Аренда кранов и прочего строительного оборудования, которое не предназначено для одной конкретной строительной услуги, с оператором ****</t>
  </si>
  <si>
    <t>1 093</t>
  </si>
  <si>
    <t>Гарантия отправлена
Распределена в Банк
Системная проверка не пройдена</t>
  </si>
  <si>
    <t>"223 за 3 года", "свод фт", ".", "рейтинг поставщиков в маркере по бг", "УПП на 2 номер", "Конкурсы 100+ (Восстановленный)", "fk1", "кредиты фт", "клиенты управления по БГ без открытых счетов", "БГ ФБ ЮР лица на 01.07.2021", "филиал бизнес 31.01.22 ", "лимит сит по кредитам", "все клиенты с выручкой от 1,8 млрд до бесконечности", "ФК клиенты с выручкой от 230 до бесконечности", "Обороты по клиентам по кварталам (2022г)", "44 фз с с БГ от 10 млн", "производители", "рейтинг по нмц маркер", "это заказчик", "на фт заводил Найденко М", "на фт заводил Адеев", "поставщики маркер", "44 за 3 года"</t>
  </si>
  <si>
    <t>1 089</t>
  </si>
  <si>
    <t>"ФК клиенты с выручкой от 230 до бесконечности", ".", "все клиенты с выручкой от 1,8 млрд до бесконечности"</t>
  </si>
  <si>
    <t>45.20.21.111 Услуги по регламентным работам (по видам технического обслуживания)</t>
  </si>
  <si>
    <t>"06.2022_ФинХД"</t>
  </si>
  <si>
    <t>"поставщики маркер", ".", "06.2022_ФинХД"</t>
  </si>
  <si>
    <t>45.11.21.000 Услуги по розничной торговле новыми пассажирскими автотранспортными средствами в специализированных магазинах
29.10 Средства автотранспортные
29.10.2 Автомобили легковые
29.10.24.000 Средства автотранспортные для перевозки людей прочие
29.10.21.000 Средства транспортные с двигателем с искровым зажиганием, с рабочим объемом цилиндров не более 1500 см3, новые
45.20.11.514 Услуги по установке дополнительного оборудования (сигнализация, радиоаппаратура и т. п.)
29.10.22.000 Средства транспортные с двигателем с искровым зажиганием, с рабочим объемом цилиндров более 1500 см3, новые</t>
  </si>
  <si>
    <t>на фт заводил Пейсахова.xlsx</t>
  </si>
  <si>
    <t>"223 за 3 года", "кл фт прямые бг 04.22", "свод фт", ".", "fk1", "ПОС на 01.02.2023", "ПОС на 03.04.2023", "Кредитный портфель_01.11", "БГ ФБ ЮР лица на 01.07.2021", "корп 1", "Гарантии ФБ банкроты", "филиал бизнес 31.01.22 ",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"ФТ клиенты с продуктами по сотрудникам", "на фт заводил Пейсахова", "поставщики маркер", "44 за 3 года"</t>
  </si>
  <si>
    <t>райф</t>
  </si>
  <si>
    <t>"все клиенты с выручкой от 1,8 млрд до бесконечности", ".", "райф"</t>
  </si>
  <si>
    <t>Сообщение кредитора о намерении обратиться в суд с заявлением о банкротстве от 05.10.2021</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</si>
  <si>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28.92.29.000 Автомобили-самосвалы, предназначенные для использования в условиях бездорожья
45.20.11.519 Прочие услуги по техническому обслуживанию и ремонту прочих автотранспортных средств, не включенные в другие группировки
28.22.18.313 Машины для погрузки затаренных грузов
29.1 Средства автотранспортные
29.10.41.110 Автомобили грузовые с дизельным двигателем
29.10.41.112 Автомобили грузовые с дизельным двигателем, имеющие технически допустимую максимальную массу свыше 3,5 т, но не более 12 т
29.10.59.130 Средства транспортные для коммунального хозяйства и содержания дорог
28.22.18.310 Машины погрузочные и разгрузочные ****</t>
  </si>
  <si>
    <t>За весь период заходили в конкурсы  1 раз на общую сумму обеспеченных контрактов с НМЦ 109 031 814,17 ? с БГУ  1 305 770,23 ? с БГИ 13 057 702,31 ? За 3 ГОДА по 44ФЗ заключено 222 шт. с объемом НМЦ  1 287 287 202,01 ? с БГИ 109 887 987,33 ? с БГГО 40 074 233,02 ? с авансированием до 12 421 000,00 ? с комиссией банку 964 586,69 ? с кв 8 391,90 ? ЗА 1 ГОД по 44ФЗ заключено 38 шт. c объемом НМЦ 331 478 741,06 ? с БГИ 25 941 862,54 ? с БГГО 2 484 304,21 ? с авансированием до  139 000,00 ? с комиссией банку  188 719,86 ? с кв 1 641,86 ? ЗА 3 ГОДА ПО 223 ФЗ заключено 23 шт. с объемом НМЦ 136 441 327,79 ? за 1 ГОД ПО 223ФЗ заключено 13  112 308 037,78 ?</t>
  </si>
  <si>
    <t>Сообщения о принятии решения о реорганизации от 06.08.2021</t>
  </si>
  <si>
    <t>"223 за 3 года", ".", "рейтинг поставщиков в маркере по бг",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"44 фз с с БГ от 10 млн", "поставщики маркер", "44 за 3 года"</t>
  </si>
  <si>
    <t>Кредитный портфель_01.115</t>
  </si>
  <si>
    <t>"Обороты по клиентам по кварталам (2022г)", ".", "fk1", "Кредитный портфель_01.11", "06.2022_ФинХД"</t>
  </si>
  <si>
    <t>27.20.23.190 Батареи аккумуляторные прочие</t>
  </si>
  <si>
    <t>"223 за 3 года", ".", "ушедший портфель", "fk1", "ИНН 3 года - нет КД БГ на 01.10.22", "Список ушедший ", "клиенты с в от100млн 09.21", "все клиенты с выручкой от 1,8 млрд до бесконечности", "ФК клиенты с выручкой от 230 до бесконечности", "44 за 3 года"</t>
  </si>
  <si>
    <t>45.32.12.000 Услуги по розничной торговле прочими автомобильными деталями, узлами и принадлежностями в специализированных магазинах
45.20 Услуги по техническому обслуживанию и ремонту автотранспортных средств
45.20.21.519 Прочие услуги по техническому обслуживанию и ремонту прочих автотранспортных средств, не включенные в другие группировки
22.11 Шины, покрышки и камеры резиновые; восстановление протекторов и резиновых шин</t>
  </si>
  <si>
    <t>1 210</t>
  </si>
  <si>
    <t>"223 за 3 года", ".", "ушедший портфель", "fk1", "ИНН 3 года - нет КД БГ на 01.10.22", "ПОС на 01.02.2023", "Список ушедший ", "06.2022_ФинХД", "клиенты с в от100млн 09.21", "все клиенты с выручкой от 1,8 млрд до бесконечности", "ФК клиенты с выручкой от 230 до бесконечности", "клиенты от 100 млн", "поставщики маркер"</t>
  </si>
  <si>
    <t>"на фт заводил Самар", "кл фт прямые бг 04.22", "свод фт", ".", "fk1", "БГ ФБ ЮР лица на 01.07.2021", "клиенты с в от100млн 09.21", "все клиенты с выручкой от 1,8 млрд до бесконечности", "ФК клиенты с выручкой от 230 до бесконечности", "ФТ клиенты с продуктами по сотрудникам"</t>
  </si>
  <si>
    <t>29.10.4 Средства автотранспортные грузовые
28.92.29 Автомобили-самосвалы, предназначенные для использования в условиях бездорожья
28.92.61 Части бурильных или проходческих машин или машин для выемки грунта; части кранов
29.32.30.390 Части и принадлежности для автотранспортных средств прочие, не включенные в другие группировки
29.32.30 Комплектующие и принадлежности для автотранспортных средств, не включенные в другие группировки
29.32.30.250 Мосты ведущие с дифференциалом в сборе, полуоси
29.10.41.120 Автосамосвалы с дизельным двигателем
29.32.30.219 Узлы и детали подвески прочие, не включенные в другие группировки
29.10.59.390 Средства автотранспортные специального назначения прочие, не включенные в другие группировки
29.20 Кузова (корпуса) для автотранспортных средств; прицепы и полуприцепы ****</t>
  </si>
  <si>
    <t>За весь период компания заключила  12 контрактов на сумму  5 359 996 803,01 ? За весь период заходили в конкурсы  1 раз на общую сумму обеспеченных контрактов с НМЦ 0,00 ? с БГУ  3 839 563,00 ? с БГИ 61 433 008,00 ?</t>
  </si>
  <si>
    <t>"223 за 3 года", ".", "рейтинг поставщиков в маркере по бг",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t>
  </si>
  <si>
    <t>29.10.59.141 Автомобили пожарные для тушения пожаров водой
29.10.59.144 Автолестницы и автоподъемники пожарные
29.10.30.120 Троллейбусы
29.10.30.119 Автобусы, имеющие технически допустимую максимальную массу более 5 т, прочие
29.10.30.111 Автобусы, предназначенные для перевозки стоящих и сидящих пассажиров, имеющие технически допустимую максимальную массу более 5 т</t>
  </si>
  <si>
    <t>За весь период компания заключила  8 контрактов на сумму  3 792 293 508,54 ? За весь период заходили в конкурсы  10 раз на общую сумму обеспеченных контрактов с НМЦ 4 408 295 384,54 ? с БГУ  140 315 770,48 ? с БГИ 524 110 859,97 ? За 3 ГОДА по 44ФЗ заключено 11 шт. с объемом НМЦ  2 878 348 646,33 ? с БГИ 314 302 393,97 ? с БГГО 8 498 260,00 ? с авансированием до 113 870 394,00 ? с комиссией банку 2 257 169,76 ? с кв 19 637,38 ? ЗА 1 ГОД по 44ФЗ заключено 5 шт. c объемом НМЦ 1 163 542 666,50 ? с БГИ 64 073 133,32 ? с БГГО 6 998 260,00 ? с авансированием до  0,00 ? с комиссией банку  686 436,46 ? с кв 5 972,00 ? ЗА 3 ГОДА ПО 223 ФЗ заключено 1 шт. с объемом НМЦ 222 024 338,00 ?</t>
  </si>
  <si>
    <t>"223 за 3 года", "свод фт", ".", "рейтинг поставщиков в маркере по бг", "ГРАНДИОЗНЫЙ ПРОЕКТ", "УПП на 2 номер", "факторинг", "fk1", "клиенты управления по БГ без открытых счетов", "Кредитный портфель_01.11", "Гарантии ФБ банкроты", "06.2022_ФинХД", "Действующий клиент мсб с выр от 30 млн на 05.21", "ФК клиенты с выручкой от 230 до бесконечности", "44 фз с с БГ от 10 млн", "рейтинг по нмц маркер", "на фт заводил Самар", "на фт заводил Неустроев", "на фт заводил Микульшин", "на фт заводил Вохмина", "crm управления", "в crm за Самаром", "поставщики маркер", "44 за 3 года"</t>
  </si>
  <si>
    <t>29.10.30.112 Автобусы, предназначенные для перевозки только сидящих пассажиров, имеющие технически допустимую максимальную массу более 5 т
45.19.11 Услуги по оптовой торговле грузовыми автомобилями, седельными тягачами, прицепами, полуприцепами и автобусами
29.10.30.111 Автобусы, предназначенные для перевозки стоящих и сидящих пассажиров, имеющие технически допустимую максимальную массу более 5 т</t>
  </si>
  <si>
    <t>За весь период компания заключила  7 контрактов на сумму  8 364 490 664,50 ? За весь период заходили в конкурсы  6 раз на общую сумму обеспеченных контрактов с НМЦ 6 350 990 061,50 ? с БГУ  232 135 541,32 ? с БГИ 612 665 206,66 ? За 3 ГОДА по 44ФЗ заключено 6 шт. с объемом НМЦ  4 835 352 066,50 ? с БГИ 503 438 436,66 ? с БГГО 34 901 500,00 ? с авансированием до 49 000 000,00 ? с комиссией банку 11 958 913,26 ? с кв 104 042,55 ? ЗА 1 ГОД по 44ФЗ заключено 2 шт. c объемом НМЦ 108 700 000,00 ? с БГИ 49 435 000,00 ? с БГГО 1 000 000,00 ? с авансированием до  49 000 000,00 ? с комиссией банку  412 495,34 ? с кв 3 588,71 ? ЗА 3 ГОДА ПО 223 ФЗ заключено 3 шт. с объемом НМЦ 1 089 560 723,00 ?</t>
  </si>
  <si>
    <t>"223 за 3 года", "свод фт", ".", "рейтинг поставщиков в маркере по бг", "ГРАНДИОЗНЫЙ ПРОЕКТ", "УПП на 2 номер", "fk1", "кредиты фт", "клиенты управления по БГ без открытых счетов", "Пункт 3 09.01.23", "лимит сит по кредитам", "Одобренные но не выданные 1 полугодие 2021", "44 фз с с БГ от 10 млн", "производители", "рейтинг по нмц маркер", "на фт заводил Шаклейн", "на фт заводил Середин", "на фт заводил Неустроев", "поставщики маркер", "44 за 3 года"</t>
  </si>
  <si>
    <t>"поставщики маркер", ".", "рейтинг поставщиков в маркере по бг", "производители"</t>
  </si>
  <si>
    <t>6 157</t>
  </si>
  <si>
    <t>49.41.1 Услуги по грузовым перевозкам автомобильным транспортом</t>
  </si>
  <si>
    <t>1 035</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</si>
  <si>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42.11.10.140 Стоянки автомобильные с твердым покрытием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</si>
  <si>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67 контрактов на сумму  62 705 785 439,68 ? За весь период заходили в конкурсы  152 раз на общую сумму обеспеченных контрактов с НМЦ 57 072 879 252,82 ? с БГУ  2 644 359 508,14 ? с БГИ 15 276 008 458,90 ? За 3 ГОДА по 44ФЗ заключено 53 шт. с объемом НМЦ  19 799 090 780,56 ? с БГИ 5 025 071 867,76 ? с БГГО 345 429 460,64 ? с авансированием до 4 001 579 951,08 ? с комиссией банку 108 720 706,27 ? с кв 945 870,14 ? ЗА 1 ГОД по 44ФЗ заключено 17 шт. c объемом НМЦ 8 080 964 994,80 ? с БГИ 1 751 582 542,20 ? с БГГО 33 327 750,04 ? с авансированием до  3 481 457 182,16 ? с комиссией банку  35 953 307,11 ? с кв 312 793,77 ?</t>
  </si>
  <si>
    <t>"44 за 3 года", ".", "рейтинг поставщиков в маркере по бг", "ГРАНДИОЗНЫЙ ПРОЕКТ", "Конкурсы 100+ (Восстановленный)", "06.2022_ФинХД", "44 фз с с БГ от 10 млн", "производители", "рейтинг по нмц маркер", "поставщики маркер"</t>
  </si>
  <si>
    <t>ИНН_договоры_октябрь_</t>
  </si>
  <si>
    <t>"все клиенты с выручкой от 1,8 млрд до бесконечности", ".", "выдали", "ИНН_договоры_октябрь_"</t>
  </si>
  <si>
    <t>За весь период компания заключила  1 контрактов на сумму  957 732 398,00 ?</t>
  </si>
  <si>
    <t>"поставщики маркер", ".", "все клиенты с выручкой от 1,8 млрд до бесконечности", "рейтинг по нмц маркер"</t>
  </si>
  <si>
    <t>29.10.41.111 Автомобили грузовые с дизельным двигателем, имеющие технически допустимую максимальную массу не более 3,5 т
45 Услуги по оптовой и розничной торговле и услуги по ремонту автотранспортных средств и мотоциклов
45.1 Услуги по торговле автотранспортными средствами
29.10.22.000 Средства транспортные с двигателем с искровым зажиганием, с рабочим объемом цилиндров более 1500 см3, новые
29.10.30.110 Автобусы, имеющие технически допустимую максимальную массу более 5 т</t>
  </si>
  <si>
    <t>За год заключили по 223фз 1 контракта(ов) на сумму  4 900 000,00 ?</t>
  </si>
  <si>
    <t>"223 за 3 года", ".", "все клиенты с выручкой от 1,8 млрд до бесконечности", "рейтинг по нмц маркер", "поставщики маркер"</t>
  </si>
  <si>
    <t>29.10.41.111 Автомобили грузовые с дизельным двигателем, имеющие технически допустимую максимальную массу не более 3,5 т
30.99.10.190 Средства транспортные и оборудование прочие, не включенные в другие группировки
29.10.4 Средства автотранспортные грузовые
29.10.41.110 Автомобили грузовые с дизельным двигателем
29.10.41.112 Автомобили грузовые с дизельным двигателем, имеющие технически допустимую максимальную массу свыше 3,5 т, но не более 12 т
29.10.59.130 Средства транспортные для коммунального хозяйства и содержания дорог
29.10.24.000 Средства автотранспортные для перевозки людей прочие
29.10.41.123 Автосамосвалы с дизельным двигателем, имеющие технически допустимую максимальную массу свыше 12 т
29.10.59.270 Средства транспортные, оснащенные подъемниками с рабочими платформами</t>
  </si>
  <si>
    <t>ЗА 3 ГОДА ПО 223 ФЗ заключено 4 шт. с объемом НМЦ 28 470 499,20 ?</t>
  </si>
  <si>
    <t>Сообщения о принятии решения о реорганизации от 23.11.2021</t>
  </si>
  <si>
    <t>"223 за 3 года", ".", "Агентские одобренные но не выданные от 30.08", "поставщики маркер", "44 за 3 года"</t>
  </si>
  <si>
    <t>45.11.21.000 Услуги по розничной торговле новыми пассажирскими автотранспортными средствами в специализированных магазинах
29.10.24.000 Средства автотранспортные для перевозки людей прочие
29.10.23.000 Средства транспортные с поршневым двигателем внутреннего сгорания с воспламенением от сжатия (дизелем или полудизелем), новые
29.10.21.000 Средства транспортные с двигателем с искровым зажиганием, с рабочим объемом цилиндров не более 1500 см3, новые</t>
  </si>
  <si>
    <t>29.10.41.111 Автомобили грузовые с дизельным двигателем, имеющие технически допустимую максимальную массу не более 3,5 т
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28.92.40.120 Машины для дробления грунта, камня, руды и прочих минеральных веществ
28.30.86.130 Оборудование для лесного хозяйства, не включенное в другие группировки
26.51.62.120 Машины и приборы для испытания строительных материалов
45.32.12.000 Услуги по розничной торговле прочими автомобильными деталями, узлами и принадлежностями в специализированных магазинах
29.32.30.182 Муфты выключения сцеплений, подшипники муфт выключения сцеплений
45.20.11.519 Прочие услуги по техническому обслуживанию и ремонту прочих автотранспортных средств, не включенные в другие группировки
28.22.18.313 Машины для погрузки затаренных грузов ****</t>
  </si>
  <si>
    <t>За весь период компания заключила  11 контрактов на сумму  2 207 178 179,52 ? За весь период заходили в конкурсы  8 раз на общую сумму обеспеченных контрактов с НМЦ 1 518 842 878,62 ? с БГУ  13 218 328,18 ? с БГИ 286 801 667,54 ?                             ЗА 3 ГОДА ПО 223 ФЗ заключено 9 шт. с объемом НМЦ 310 257 593,54 ? за 1 ГОД ПО 223ФЗ заключено 2  20 817 516,66 ?</t>
  </si>
  <si>
    <t>"223 за 3 года", ".", "рейтинг поставщиков в маркере по бг", "выдали", "fk1", "ПОС на 01.02.2023", "ПОС на 03.04.2023", "06.2022_ФинХД", "Обороты по клиентам по кварталам (2022г)", "223 фз контракты 20+", "рейтинг по нмц маркер", "поставщики маркер", "44 за 3 года"</t>
  </si>
  <si>
    <t>Сообщение кредитора о намерении обратиться в суд с заявлением о банкротстве от 03.11.2022</t>
  </si>
  <si>
    <t>"223 за 3 года", ".", "все клиенты с выручкой от 1,8 млрд до бесконечности"</t>
  </si>
  <si>
    <t>28.14.12.110 Краны, клапаны для раковин, моек, биде, унитазов, ванн и аналогичная арматура
20.30.22.170 Герметики
25.73.40.116 Сверла перовые дереворежущие
25.93.14.119 Гвозди прочие
25.94.11.120 Шурупы из черных металлов
32.91.19.120 Кисти технические
23.51.12.112 Портландцемент с минеральными добавками
23.52.20.110 Гипс строительный
16.10.21.129 Пиломатериалы профилированные из прочих лиственных пород
28.30.52.000 Машины сеноуборочные ****</t>
  </si>
  <si>
    <t>"223 за 3 года", ".", "fk1", "все клиенты с выручкой от 1,8 млрд до бесконечности", "это заказчик", "поставщики маркер"</t>
  </si>
  <si>
    <t>10.20.13.122 Рыба морская мороженая (кроме сельди)</t>
  </si>
  <si>
    <t>ПОС на 03.04.2134</t>
  </si>
  <si>
    <t>Сообщения о принятии решения о реорганизации от 13.03.2020</t>
  </si>
  <si>
    <t>"поставщики маркер", ".", "fk1", "ПОС на 01.02.2023", "ПОС на 03.04.2023", "все клиенты с выручкой от 1,8 млрд до бесконечности"</t>
  </si>
  <si>
    <t>46.17 Услуги по оптовой торговле пищевыми продуктами, напитками и табачными изделиями за вознаграждение или на договорной основе
10.82.22.190 Продукты пищевые прочие, содержащие какао (кроме подслащенного какао-порошка), в упакованном виде
10.20.13.122 Рыба морская мороженая (кроме сельди)
10.13.14.112 Сосиски мясные
10 Продукты пищевые</t>
  </si>
  <si>
    <t>"223 за 3 года", ".", "производители", "это заказчик", "поставщики маркер"</t>
  </si>
  <si>
    <t>77.39.19 Услуги по аренде и лизингу прочих машин и оборудования без оператора и материальных средств, не включенных в другие группировки
77 Услуги по аренде и лизингу
35.13.10.000 Услуги по распределению электроэнергии
33.11.11.000 Услуги по ремонту и техническому обслуживанию металлических конструкций
35.11.10.114 Электроэнергия, произведенная дизельными электростанциями (ДЭС) общего назначения
33.14.1 Услуги по ремонту и техническому обслуживанию электрического оборудования
68.20.12.000 Услуги по сдаче в аренду (внаем) собственных или арендованных нежилых помещений
33.12.11 Услуги по ремонту и техническому обслуживанию двигателей и турбин, кроме авиационных, автомобильных и мотоциклетных двигателей
33.14 Услуги по ремонту электрического оборудования</t>
  </si>
  <si>
    <t>За весь период компания заключила  11 контрактов на сумму  10 500 161 920,46 ? За весь период заходили в конкурсы  1 раз на общую сумму обеспеченных контрактов с НМЦ 0,00 ? с БГУ  17 118 113,40 ? с БГИ 85 590 567,00 ?                                 за 1 ГОД ПО 223ФЗ заключено 2  127 929 304,85 ?</t>
  </si>
  <si>
    <t>"поставщики маркер", ".", "рейтинг поставщиков в маркере по бг", "Конкурсы 100+ (Восстановленный)", "все клиенты с выручкой от 1,8 млрд до бесконечности", "223 фз контракты 20+", "рейтинг по нмц маркер"</t>
  </si>
  <si>
    <t>65.12.21.000 Услуги по страхованию гражданской ответственности владельцев автотранспортных средств
82.99.19 Услуги вспомогательные, связанные с предпринимательской деятельностью, прочие, не включенные в другие группировки
68.20.12.000 Услуги по сдаче в аренду (внаем) собственных или арендованных нежилых помещений</t>
  </si>
  <si>
    <t>Заказчик разыгравший 154 конкурсов на сумму  37 603 500 946,26 ?</t>
  </si>
  <si>
    <t>"рейтинг заказчиков маркер", ".", "все клиенты с выручкой от 1,8 млрд до бесконечности", "ФК клиенты с выручкой от 230 до бесконечности"</t>
  </si>
  <si>
    <t>28.13.11.110 Насосы топливные
29.31.22.190 Оборудование электрическое прочее для транспортных средств, не включенное в другие группировки
29.32.30.182 Муфты выключения сцеплений, подшипники муфт выключения сцеплений
29.32.30.212 Элементы подвески демпфирующие и рулевого привода
29.32.30.214 Шарниры шаровые подвески и их элементы
29.32.30.269 Узлы и детали систем вентиляции, отопления и кондиционирования воздуха, не включенные в другие группировки
29.32.30.171 Теплообменники и термостаты
29.32.30.172 Насосы жидкостных систем охлаждения
29.32.30.220 Колеса, ступицы и их детали
29.32.30.240 Передачи карданные, валы приводные, шарниры неравных и равных угловых скоростей ****</t>
  </si>
  <si>
    <t>Пустые_Ушедшие_Клиенты</t>
  </si>
  <si>
    <t>"поставщики маркер", ".", "лимит сит по кредитам", "все клиенты с выручкой от 1,8 млрд до бесконечности", "уш кл3"</t>
  </si>
  <si>
    <t>35.30.11.120 Энергия тепловая, отпущенная котельными
36.00.20.130 Услуги по транспортированию и распределению воды по водопроводам</t>
  </si>
  <si>
    <t>1 134</t>
  </si>
  <si>
    <t>20.59.41 Материалы смазочные
20.59.43.120 Антифризы
20.20.14.000 Средства дезинфекционные
20.30.22.170 Герметики
19.20.29.119 Масла моторные прочие, не включенные в другие группировки
19.20.29.140 Масла индустриальные
19.20.29.150 Масла компрессорные
19.2 Нефтепродукты
46.71.12.000 Услуги по оптовой торговле моторным топливом, включая авиационный бензин
20.14.23.111 Этиленгликоль (этандиол) ****</t>
  </si>
  <si>
    <t>За весь период компания заключила  11 контрактов на сумму  587 804 352,20 ? За весь период заходили в конкурсы  11 раз на общую сумму обеспеченных контрактов с НМЦ 817 647 859,24 ? с БГУ  21 269 195,36 ? с БГИ 342 106 361,76 ?                                 за 1 ГОД ПО 223ФЗ заключено 7  6 331 164,06 ?</t>
  </si>
  <si>
    <t>"223 за 3 года", ".", "рейтинг поставщиков в маркере по бг", "Конкурсы 100+ (Восстановленный)", "Участники клиринга", "рейтинг по нмц маркер", "поставщики маркер", "44 за 3 года"</t>
  </si>
  <si>
    <t>35.30.11.130 Энергия тепловая, отпущенная электрокотлами
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71.11.22 Услуги в области архитектуры, связанные с проектами строительства нежилых зданий и сооружений
35.30.12.120 Услуги по приготовлению горячей воды с использованием нецентрализованных систем горячего водоснабжения
23.61.12.119 Конструкции фундаментов сборные железобетонные прочие, не включенные в другие группировки
71.12.12 Услуги по инженерно-техническому проектированию зданий
35.30.11.110 Энергия тепловая, отпущенная электростанциями
23.61.12.162 Опоры ЛЭП, связи и элементы контактной сети электрифицированных дорог и осветительной сети ****</t>
  </si>
  <si>
    <t>1 527</t>
  </si>
  <si>
    <t>За весь период компания заключила  2 контрактов на сумму  529 075 356,84 ?                                     ЗА 3 ГОДА ПО 223 ФЗ заключено 1 шт. с объемом НМЦ 33 000 004,80 ?</t>
  </si>
  <si>
    <t>"223 за 3 года", ".", "fk1", "ПОС на 01.02.2023", "06.2022_ФинХД", "все клиенты с выручкой от 1,8 млрд до бесконечности", "производители", "рейтинг по нмц маркер", "поставщики маркер"</t>
  </si>
  <si>
    <t>20.20.12 Гербициды
20.20 Пестициды и агрохимические продукты прочие
20.5 Продукты химические прочие</t>
  </si>
  <si>
    <t>"223 за 3 года", ".", "производители", "поставщики маркер"</t>
  </si>
  <si>
    <t>10.41.41.122 Жмых и остатки кормовые твердые прочие, полученные при экстракции подсолнечного масла</t>
  </si>
  <si>
    <t>"223 за 3 года", ".", "портфель 31.10.2021_10 тыс_проверка", "все клиенты с выручкой от 1,8 млрд до бесконечности", "производители", "поставщики маркер"</t>
  </si>
  <si>
    <t>21.20.21.133 Вакцины бактериальные профилактические ассоциированные, применяемые в ветеринарии
26.20.18.000 Устройства периферийные с двумя или более функциями: печать данных, копирование, сканирование, прием и передача факсимильных сообщений
21.20.21.139 Вакцины прочие, применяемые в ветеринарии
26.60.12.132 Аппараты ультразвукового сканирования
21.20.21.130 Вакцины и анатоксины, применяемые в ветеринарии</t>
  </si>
  <si>
    <t>49.20.1 Услуги железнодорожного транспорта по перевозке грузов</t>
  </si>
  <si>
    <t>10.61.12.000 Рис полуобрушенный или полностью обрушенный, или дробленый
10.61.33.111 Зерна овса плющеные или переработанные в хлопья
01.11.75.110 Зерно гороха
10.61.11.000 Рис шелушеный
10.61.32.114 Пшено</t>
  </si>
  <si>
    <t>"223 за 3 года", ".", "fk1", "все клиенты с выручкой от 1,8 млрд до бесконечности", "Обороты по клиентам по кварталам (2022г)", "производители", "поставщики маркер", "44 за 3 года"</t>
  </si>
  <si>
    <t>20.20.15.000 Фунгициды
20.20.11.000 Инсектициды
01.13.60 Семена овощных культур, кроме семян сахарной свеклы
20.20.12.000 Гербициды
01.11.95.110 Семена подсолнечника для посева</t>
  </si>
  <si>
    <t>1 897</t>
  </si>
  <si>
    <t>"это заказчик", ".", "все клиенты с выручкой от 1,8 млрд до бесконечности", "производители"</t>
  </si>
  <si>
    <t>29.10.12.000 Двигатели внутреннего сгорания поршневые с искровым зажиганием, с рабочим объемом цилиндров более 1000 см3 для автотранспортных средств</t>
  </si>
  <si>
    <t>"ПОС на 01.02.2023"</t>
  </si>
  <si>
    <t>"Обороты по клиентам по кварталам (2022г)", ".", "fk1", "ПОС на 01.02.2023", "Кредитный портфель_01.11", "06.2022_ФинХД"</t>
  </si>
  <si>
    <t>20.20.19.000 Пестициды прочие и агрохимические продукты прочие</t>
  </si>
  <si>
    <t>28.30.23.110 Тракторы сельскохозяйственные колесные с мощностью двигателя более 59 кВт
28.30.93 Части прочих машин и оборудования для сельского хозяйства
26.51.82.190 Комплектующие (запасные части), не включенные в другие группировки, не имеющие самостоятельных группировок</t>
  </si>
  <si>
    <t>Закрытые счета</t>
  </si>
  <si>
    <t>"поставщики маркер", ".", "закрыли счет", "все клиенты с выручкой от 1,8 млрд до бесконечности"</t>
  </si>
  <si>
    <t>28.30.93.000 Части прочих машин и оборудования для сельского хозяйства
45.20.2 Услуги по техническому обслуживанию и ремонту прочих автотранспортных средств
28.30.31.120 Машины для пахоты и глубокого рыхления (специального назначения)
29.32.30.390 Части и принадлежности для автотранспортных средств прочие, не включенные в другие группировки
28.30.23.120 Тракторы сельскохозяйственные гусеничные с мощностью двигателя более 59 кВт
46.14 Услуги по оптовой торговле машинами, производственным оборудованием, судами и летательными аппаратами за вознаграждение или на договорной основе</t>
  </si>
  <si>
    <t>"223 за 3 года", ".", "ушедший портфель", "инн Вавилова",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"поставщики маркер"</t>
  </si>
  <si>
    <t>"поставщики маркер", ".", "п6", "06.2022_ФинХД", "производители", "рейтинг по нмц маркер"</t>
  </si>
  <si>
    <t>46.34.12 Услуги по оптовой торговле алкогольными напитками
68.20.12.000 Услуги по сдаче в аренду (внаем) собственных или арендованных нежилых помещений</t>
  </si>
  <si>
    <t>"поставщики маркер", ".", "fk1", "все клиенты с выручкой от 1,8 млрд до бесконечности", "производители"</t>
  </si>
  <si>
    <t>10.91.10.183 Комбикорма для свиней
10.91.10.184 Комбикорма для овец
10.91.10.171 Премиксы для крупного рогатого скота
10.91.10.181 Комбикорма для крупного рогатого скота</t>
  </si>
  <si>
    <t>01.11.12.110 Пшеница озимая мягкая</t>
  </si>
  <si>
    <t>Сообщения о принятии решения о реорганизации от 03.08.2020</t>
  </si>
  <si>
    <t>На 16.03.2023 10:27 имеются действующие решения ФНС о приостановлении операций по счетам</t>
  </si>
  <si>
    <t>"поставщики маркер", ".", "производители"</t>
  </si>
  <si>
    <t>"поставщики маркер", ".", "Участники клиринга", "это заказчик"</t>
  </si>
  <si>
    <t>01.30.10.149 Культуры декоративные, включая черенки и отводки, прочие</t>
  </si>
  <si>
    <t>"поставщики маркер", ".", "рейтинг поставщиков в маркере по бг", "все клиенты с выручкой от 1,8 млрд до бесконечности", "производители", "рейтинг по нмц маркер", "это заказчик"</t>
  </si>
  <si>
    <t>10.13 Продукция мясная пищевая, в том числе из мяса птицы
10.41.24.000 Масло подсолнечное и его фракции нерафинированные
37.00.11.110 Услуги по водоотведению сточных вод
10.89.19.290 Продукты пищевые прочие, не включенные в другие группировки
10.12.20.110 Мясо кур, в том числе цыплят (включая цыплят-бройлеров) замороженное
10.51.30.113 Масло сливочное подсырное
68.20 Услуги по сдаче в аренду (внаем) собственного или арендованного недвижимого имущества
10.51.11.140 Молоко питьевое стерилизованное
10.51.40.330 Творог зерненый без вкусовых компонентов
35.30.11.120 Энергия тепловая, отпущенная котельными ****</t>
  </si>
  <si>
    <t>За весь период заходили в конкурсы  2 раз на общую сумму обеспеченных контрактов с НМЦ 157 735 805,00 ? с БГУ  800 000,00 ? с БГИ 16 000 000,00 ?                             ЗА 3 ГОДА ПО 223 ФЗ заключено 4 шт. с объемом НМЦ 27 863 686,40 ?</t>
  </si>
  <si>
    <t>Юридическое лицо находится в процессе уменьшения уставного капитала от 26.04.2023, Сообщения о принятии решения о реорганизации от 20.04.2022</t>
  </si>
  <si>
    <t>"223 за 3 года", ".", "рейтинг поставщиков в маркере по бг", "все клиенты с выручкой от 1,8 млрд до бесконечности", "производители", "это заказчик", "поставщики маркер"</t>
  </si>
  <si>
    <t>1 611</t>
  </si>
  <si>
    <t>"в crm за Эльшаном", "crm управления"</t>
  </si>
  <si>
    <t>"в crm за Эльшаном", ".", "производители", "crm управления"</t>
  </si>
  <si>
    <t>Сообщения о принятии решения о реорганизации от 19.04.2022</t>
  </si>
  <si>
    <t>68.31.14.130 Услуги посреднические по аренде нежилых зданий и занимаемых ими земельных участков за вознаграждение или на договорной основе
68.20.12.000 Услуги по сдаче в аренду (внаем) собственных или арендованных нежилых помещений</t>
  </si>
  <si>
    <t>1 808</t>
  </si>
  <si>
    <t>"поставщики маркер", ".", "производители", "crm управления", "в crm за Эльшаном"</t>
  </si>
  <si>
    <t>"это заказчик", ".", "Участники клиринга", "производители"</t>
  </si>
  <si>
    <t>1 509</t>
  </si>
  <si>
    <t>20.20.12 Гербициды
20.20.13.110 Средства против прорастания
20.20.15.000 Фунгициды
20.20.19.000 Пестициды прочие и агрохимические продукты прочие
20.20.11.000 Инсектициды
20.20.13.120 Регуляторы роста растений
01.1 Культуры однолетние
20.15.80.190 Удобрения растительного происхождения, не включенные в другие группировки
20.20 Пестициды и агрохимические продукты прочие
01.11.75.120 Семена гороха ****</t>
  </si>
  <si>
    <t>За 3 года по 223ФЗ заключено  21 шт контрактов на сумму 85 622 971,79 ?</t>
  </si>
  <si>
    <t>"223 за 3 года", ".", "223 фз контракты 20+", "поставщики маркер"</t>
  </si>
  <si>
    <t>19.20.21.315 Топливо дизельное летнее экологического класса К5
20.15.74.000 Удобрения, содержащие два питательных элемента: азот и фосфор
19.20.21.325 Топливо дизельное зимнее экологического класса К5</t>
  </si>
  <si>
    <t>"в crm за Досхоевым", "crm управления"</t>
  </si>
  <si>
    <t>"поставщики маркер", ".", "Участники клиринга", "производители", "crm управления", "в crm за Досхоевым"</t>
  </si>
  <si>
    <t>20.15.39.000 Удобрения азотные и смеси прочие</t>
  </si>
  <si>
    <t>Сообщения о принятии решения о реорганизации от 01.08.2013</t>
  </si>
  <si>
    <t>"поставщики маркер", ".", "все клиенты с выручкой от 1,8 млрд до бесконечности", "Участники клиринга"</t>
  </si>
  <si>
    <t>20.15.33.000 Нитрат аммония</t>
  </si>
  <si>
    <t>"Участники клиринга", "."</t>
  </si>
  <si>
    <t>20.15.71.000 Удобрения, содержащие три питательных элемента: азот, фосфор и калий</t>
  </si>
  <si>
    <t>"223 за 3 года", ".", "Участники клиринга", "поставщики маркер"</t>
  </si>
  <si>
    <t>20.15.71 Удобрения, содержащие три питательных элемента: азот, фосфор и калий</t>
  </si>
  <si>
    <t>"рейтинг по нмц маркер", ".", "Участники клиринга"</t>
  </si>
  <si>
    <t>"райф", "."</t>
  </si>
  <si>
    <t>"223 за 3 года", ".", "все клиенты с выручкой от 1,8 млрд до бесконечности", "Участники клиринга", "производители", "это заказчик"</t>
  </si>
  <si>
    <t>68.31.14.130 Услуги посреднические по аренде нежилых зданий и занимаемых ими земельных участков за вознаграждение или на договорной основе</t>
  </si>
  <si>
    <t>Сообщения о принятии решения о реорганизации от 05.10.2021</t>
  </si>
  <si>
    <t>За год заключили по 223фз 3 контракта(ов) на сумму  9 927 027,00 ?</t>
  </si>
  <si>
    <t>Сообщения о принятии решения о реорганизации от 19.10.2022</t>
  </si>
  <si>
    <t>28.30.59.112 Жатки рядковые
46.6 Услуги по оптовой торговле прочими машинами, оборудованием и инструментами
28.30.59.111 Комбайны зерноуборочные
29.10.59.130 Средства транспортные для коммунального хозяйства и содержания дорог
29.32.30 Комплектующие и принадлежности для автотранспортных средств, не включенные в другие группировки
28.13.32 Части воздушных или вакуумных насосов, воздушных или газовых компрессоров, вентиляторов, вытяжных шкафов
28.30.51.000 Косилки (включая устройства режущие для установки на тракторе), не включенные в другие группировки
28.30.59.190 Машины для уборки урожая и обмолота прочие, не включенные в другие группировки
28.29.13 Фильтры масляные, бензиновые и всасывающие воздушные для двигателей внутреннего сгорания</t>
  </si>
  <si>
    <t>ЗА 3 ГОДА ПО 223 ФЗ заключено 10 шт. с объемом НМЦ 106 072 212,36 ?</t>
  </si>
  <si>
    <t>Сообщения о принятии решения о реорганизации от 16.12.2022</t>
  </si>
  <si>
    <t>"223 за 3 года", "кл фт агент бг 04.22", ".", "Гарантии ФБ банкроты",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"поставщики маркер", "44 за 3 года"</t>
  </si>
  <si>
    <t>28.30.53.000 Прессы для соломы или сена, включая пресс-подборщики
28.30.59.111 Комбайны зерноуборочные
29.32.30 Комплектующие и принадлежности для автотранспортных средств, не включенные в другие группировки
28.30.21 Тракторы с мощностью двигателя не более 37 кВт
28.30.51.000 Косилки (включая устройства режущие для установки на тракторе), не включенные в другие группировки
28.30.39 Машины сельскохозяйственные для обработки почвы прочие</t>
  </si>
  <si>
    <t>20.15.39.000 Удобрения азотные и смеси прочие
20.15.31 Мочевина (карбамид)</t>
  </si>
  <si>
    <t>"223 за 3 года", ".", "клиент металлинвеста", "все клиенты с выручкой от 1,8 млрд до бесконечности", "Участники клиринга", "производители"</t>
  </si>
  <si>
    <t>22.11.14.190 Шины и покрышки пневматические прочие новые
22.11.13.110 Шины и покрышки пневматические для автобусов, троллейбусов и грузовых автомобилей новые</t>
  </si>
  <si>
    <t>за 1 ГОД ПО 223ФЗ заключено 2  10 828 392,00 ?</t>
  </si>
  <si>
    <t>"223 за 3 года", ".", "клиент металлинвеста", "все клиенты с выручкой от 1,8 млрд до бесконечности"</t>
  </si>
  <si>
    <t>28.30.93.000 Части прочих машин и оборудования для сельского хозяйства
19.20.29.119 Масла моторные прочие, не включенные в другие группировки
45.32.12.000 Услуги по розничной торговле прочими автомобильными деталями, узлами и принадлежностями в специализированных магазинах
29.32.30.231 Кузова (кабины)
28.14.20.290 Основные узлы, детали арматуры прочие (сальники, седла, золотники, плунжеры, штоки, шпиндели, мембраны и прочие)
30.99.10.190 Средства транспортные и оборудование прочие, не включенные в другие группировки
28.12.13.190 Насосы гидравлические прочие
28.22.18.246 Погрузчики универсальные сельскохозяйственного назначения
28.29 Машины и оборудование общего назначения прочие, не включенные в другие группировки
26.51.8 Части и принадлежности оборудования для измерения, испытаний и навигации ****</t>
  </si>
  <si>
    <t>За весь период заходили в конкурсы  1 раз на общую сумму обеспеченных контрактов с НМЦ 175 500 000,00 ? с БГУ  877 500,00 ? с БГИ 1 755 000,00 ?                             ЗА 3 ГОДА ПО 223 ФЗ заключено 65 шт. с объемом НМЦ 281 182 705,86 ? за 1 ГОД ПО 223ФЗ заключено 17  106 259 380,36 ?</t>
  </si>
  <si>
    <t>"223 за 3 года", "свод фт", ".", "рейтинг поставщиков в маркере по бг", "ГРАНДИОЗНЫЙ ПРОЕКТ", "ушедшие", "все клиенты с выручкой от 1,8 млрд до бесконечности", "223 фз контракты 20+", "производители", "на фт заводил Алиев", "поставщики маркер", "44 за 3 года"</t>
  </si>
  <si>
    <t>20.42.15.142 Кремы для ног
20.42.16.110 Шампуни
20.42.18.112 Порошки зубные
21.20.23.199 Средства нелечебные прочие
22.19.71.190 Изделия из резины, кроме твердой резины (эбонита), гигиенические или фармацевтические прочие
20.20.14.000 Средства дезинфекционные
21 Средства лекарственные и материалы, применяемые в медицинских целях
21.20.10.118 Препараты, способствующие пищеварению, включая ферментные препараты
21.20.10.133 Препараты антианемические
21.20.10.155 Препараты для лечения псориаза ****</t>
  </si>
  <si>
    <t>За весь период компания заключила  123 контрактов на сумму  38 003 902 913,02 ?                                     ЗА 3 ГОДА ПО 223 ФЗ заключено 13 шт. с объемом НМЦ 9 380 383 602,54 ? за 1 ГОД ПО 223ФЗ заключено 3  31 683 510,22 ?</t>
  </si>
  <si>
    <t>"223 за 3 года", ".", "ГРАНДИОЗНЫЙ ПРОЕКТ 223", "06.2022_ФинХД", "рейтинг по нмц маркер", "это заказчик", "поставщики маркер"</t>
  </si>
  <si>
    <t>37.00.11.110 Услуги по водоотведению сточных вод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t>
  </si>
  <si>
    <t>1 547</t>
  </si>
  <si>
    <t>Заказчик разыгравший 21 конкурсов на сумму  2 589 577 823,26 ?</t>
  </si>
  <si>
    <t>"рейтинг заказчиков маркер", ".", "Участники клиринга"</t>
  </si>
  <si>
    <t>10.1 Мясо и мясо птицы, прочие продукты убоя. Мясные пищевые продукты, включая продукты из мяса птицы
10.51.52.140 Кефир
10.12.2 Мясо сельскохозяйственной птицы замороженное, в том числе для детского питания
10.12.20.110 Мясо кур, в том числе цыплят (включая цыплят-бройлеров) замороженное
10.81.19 Сахар свекловичный или тростниковый прочий
10.51.1 Молоко и сливки, кроме сырых
10.51.52.200 Сметана
10.81.12 Сахар белый свекловичный или тростниковый и химически чистая сахароза в твердом состоянии без вкусоароматических или красящих добавок
10.51.11.110 Молоко питьевое пастеризованное
10.51.40.300 Творог ****</t>
  </si>
  <si>
    <t>46.6 Услуги по оптовой торговле прочими машинами, оборудованием и инструментами
19.20.21.310 Топливо дизельное летнее</t>
  </si>
  <si>
    <t>20.20.15.000 Фунгициды
20.20.11.000 Инсектициды
20.20.1 Пестициды и агрохимические продукты прочие</t>
  </si>
  <si>
    <t>01.11.95 Семена подсолнечника</t>
  </si>
  <si>
    <t>"223 за 3 года", ".", "все клиенты с выручкой от 1,8 млрд до бесконечности", "производители", "поставщики маркер"</t>
  </si>
  <si>
    <t>28.30.59.111 Комбайны зерноуборочные
28.30.23.110 Тракторы сельскохозяйственные колесные с мощностью двигателя более 59 кВт
28.22.18.222 Зернопогрузчики
28.30.59.114 Подборщики для зерновых, масличных, бобовых и крупяных культур</t>
  </si>
  <si>
    <t>10.92.10.120 Сухой корм растительного происхождения</t>
  </si>
  <si>
    <t>25.11.23.115 Конструкции и детали линий электропередач и открытых подстанций из черных металлов</t>
  </si>
  <si>
    <t>1 842</t>
  </si>
  <si>
    <t>"поставщики маркер", ".", "crm управления", "в crm за Досхоевым"</t>
  </si>
  <si>
    <t>20.20.15 Фунгициды
20.20.11.000 Инсектициды</t>
  </si>
  <si>
    <t>20.20.13.120 Регуляторы роста растений
20.20.12.000 Гербициды
46.21.12.000 Услуги по оптовой торговле семенами, кроме масличных семян
20.15 Удобрения и соединения азотные</t>
  </si>
  <si>
    <t>20.15.79.000 Удобрения минеральные или химические, содержащие два или три питательных элемента (азот, фосфор и калий), не включенные в другие группировки
20.20.15.000 Фунгициды
20.20.19.000 Пестициды прочие и агрохимические продукты прочие
20.20.11.000 Инсектициды
20.20.13.120 Регуляторы роста растений
20.20 Пестициды и агрохимические продукты прочие
20.20.12.000 Гербициды
20.12.24.110 Пигменты и красители, не включенные в другие группировки
01.11.95 Семена подсолнечника
20.15.75.000 Удобрения, содержащие два питательных элемента: фосфор и калий ****</t>
  </si>
  <si>
    <t>"поставщики маркер", ".", "рейтинг по нмц маркер"</t>
  </si>
  <si>
    <t>20.20.12 Гербициды
20.20.19.000 Пестициды прочие и агрохимические продукты прочие
20.20.1 Пестициды и агрохимические продукты прочие</t>
  </si>
  <si>
    <t>20.20.12.000 Гербициды</t>
  </si>
  <si>
    <t>"поставщики маркер", ".", "производители", "это заказчик"</t>
  </si>
  <si>
    <t>35.11.10.110 Электроэнергия, произведенная электростанциями общего назначения
68.20 Услуги по сдаче в аренду (внаем) собственного или арендованного недвижимого имущества
35.30.11.120 Энергия тепловая, отпущенная котельными
47.2 Услуги по розничной торговле пищевыми продуктами, напитками и табачными изделиями в специализированных магазинах
68.20.12.000 Услуги по сдаче в аренду (внаем) собственных или арендованных нежилых помещений</t>
  </si>
  <si>
    <t>Заказчик разыгравший 54 конкурсов на сумму  10 804 645 629,35 ?</t>
  </si>
  <si>
    <t>"223 за 3 года", ".", "fk1", "Кредитный портфель_01.11", "06.2022_ФинХД", "все клиенты с выручкой от 1,8 млрд до бесконечности", "ФК клиенты с выручкой от 230 до бесконечности", "рейтинг заказчиков маркер", "производители", "это заказчик", "поставщики маркер"</t>
  </si>
  <si>
    <t>20.59.43.120 Антифризы
22.19.73.113 Манжеты резинометаллические
28.30.53.000 Прессы для соломы или сена, включая пресс-подборщики
28.30.59.112 Жатки рядковые
19.20.29.119 Масла моторные прочие, не включенные в другие группировки
19.20.29.150 Масла компрессорные
29.32.30.212 Элементы подвески демпфирующие и рулевого привода
28.15.22.000 Валы передаточные (включая кулачковые и коленчатые валы) и кривошипы
28.30.59.111 Комбайны зерноуборочные
19.20.29.111 Масла универсальные ****</t>
  </si>
  <si>
    <t>"223 за 3 года", ".", "все клиенты с выручкой от 1,8 млрд до бесконечности", "производители", "поставщики маркер", "44 за 3 года"</t>
  </si>
  <si>
    <t>За весь период компания заключила  7 контрактов на сумму  5 999 736 376,22 ? За весь период заходили в конкурсы  5 раз на общую сумму обеспеченных контрактов с НМЦ 313 022 080,05 ? с БГУ  12 762 260,34 ? с БГИ 36 719 429,88 ?</t>
  </si>
  <si>
    <t>"44 за 3 года", ".", "рейтинг поставщиков в маркере по бг", "инн Вавилова", "fk1",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t>
  </si>
  <si>
    <t>68.10.14.000 Услуги по покупке и продаже нежилых зданий и занимаемых ими земельных участков
10.13.15.123 Консервы фаршевые мясосодержащие
10.11.12.110 Свинина парная, остывшая или охлажденная домашних свиней
10.13.15.113 Консервы фаршевые мясные</t>
  </si>
  <si>
    <t>4 218</t>
  </si>
  <si>
    <t>Сообщение кредитора о намерении обратиться в суд с заявлением о банкротстве от 02.11.2021</t>
  </si>
  <si>
    <t>1 257</t>
  </si>
  <si>
    <t>Сообщения о принятии решения о реорганизации от 19.02.2021</t>
  </si>
  <si>
    <t>01.61.10 Услуги, связанные с выращиванием сельскохозяйственных культур</t>
  </si>
  <si>
    <t>Сообщения о принятии решения о реорганизации от 23.09.2022</t>
  </si>
  <si>
    <t>10.51.52.140 Кефир
10.51.40.164 Сыры рассольные из коровьего молока с вкусовыми компонентами
10.12.20.110 Мясо кур, в том числе цыплят (включая цыплят-бройлеров) замороженное
10.51.11.119 Молоко питьевое пастеризованное прочее
10.12.40.121 Субпродукты кур (включая цыплят и цыплят-бройлеров) пищевые замороженные
10.51.11.110 Молоко питьевое пастеризованное
10.51.30.111 Масло сладко-сливочное
10.13.14.130 Изделия колбасные вареные из мяса и субпродуктов птицы
10.12 Мясо сельскохозяйственной птицы и прочие продукты убоя, включая консервированные
01.47.21.000 Яйца куриные в скорлупе свежие ****</t>
  </si>
  <si>
    <t>2 173</t>
  </si>
  <si>
    <t>"44 за 3 года", ".", "производители", "это заказчик", "поставщики маркер"</t>
  </si>
  <si>
    <t>37.00.11.110 Услуги по водоотведению сточных вод
46.71.12.000 Услуги по оптовой торговле моторным топливом, включая авиационный бензин
19.20.21.100 Бензин автомобильный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36.00.20.110 Услуги по очистке и подготовке воды для водоснабжения
19.20.21.125 Бензин автомобильный с октановым числом более 92, но не более 95 по исследовательскому методу экологического класса К5
19.20.21.115 Бензин автомобильный с октановым числом не менее 80, но не более 92 по исследовательскому методу экологического класса К5
37.00.11.130 Услуги по подключению (технологическому присоединению) к централизованной системе водоотведения
19.20.21.325 Топливо дизельное зимнее экологического класса К5
68.20.11.000 Услуги по сдаче в аренду (внаем) собственных или арендованных жилых помещений ****</t>
  </si>
  <si>
    <t>"223 за 3 года", ".", "п6", "все клиенты с выручкой от 1,8 млрд до бесконечности", "производители", "поставщики маркер"</t>
  </si>
  <si>
    <t>01.19.10.190 Культуры кормовые, не включенные в другие группировки</t>
  </si>
  <si>
    <t>36.00.20.130 Услуги по транспортированию и распределению воды по водопроводам</t>
  </si>
  <si>
    <t>20.15.39.000 Удобрения азотные и смеси прочие
20.15.79.000 Удобрения минеральные или химические, содержащие два или три питательных элемента (азот, фосфор и калий), не включенные в другие группировки
20.14 Вещества химические органические основные прочие</t>
  </si>
  <si>
    <t>20.15.39.000 Удобрения азотные и смеси прочие
20.15.79.000 Удобрения минеральные или химические, содержащие два или три питательных элемента (азот, фосфор и калий), не включенные в другие группировки
20.20.15.000 Фунгициды
20.20.19.000 Пестициды прочие и агрохимические продукты прочие
20.20.11.000 Инсектициды
20.15.31.000 Мочевина (карбамид)
20.15.59.000 Удобрения калийные прочие
20.14.32.121 Кислота уксусная
20.20.13.120 Регуляторы роста растений
20.15.32.000 Сульфат аммония ****</t>
  </si>
  <si>
    <t>"44 за 3 года", "свод фт", ".", "fk1", "кредиты фт", "ИНН по менеджерам", "Пункт 3.1 09.01.2023", "лимит сит по кредитам", "Действующий клиент мсб с выр от 30 млн на 05.21", "все клиенты с выручкой от 1,8 млрд до бесконечности", "ФК клиенты с выручкой от 230 до бесконечности", "Обороты по клиентам по кварталам (2022г)", "Участники клиринга", "производители", "на фт заводил Кашин", "поставщики маркер"</t>
  </si>
  <si>
    <t>20.20.19.000 Пестициды прочие и агрохимические продукты прочие
20.15.39 Удобрения азотные и смеси прочие
20.15.71.000 Удобрения, содержащие три питательных элемента: азот, фосфор и калий
20 Вещества химические и продукты химические</t>
  </si>
  <si>
    <t>20.15.39.000 Удобрения азотные и смеси прочие
20.20.12.000 Гербициды
20.15.79 Удобрения минеральные или химические, содержащие два или три питательных элемента (азот, фосфор и калий), не включенные в другие группировки</t>
  </si>
  <si>
    <t>"Участники клиринга", ".", "06.2022_ФинХД"</t>
  </si>
  <si>
    <t>28.30.59.111 Комбайны зерноуборочные
22.19 Изделия из резины прочие
28.30.23.110 Тракторы сельскохозяйственные колесные с мощностью двигателя более 59 кВт
28.30.51.000 Косилки (включая устройства режущие для установки на тракторе), не включенные в другие группировки
28.30.59.190 Машины для уборки урожая и обмолота прочие, не включенные в другие группировки</t>
  </si>
  <si>
    <t>Мой черновик</t>
  </si>
  <si>
    <t>"223 за 3 года", "свод фт", ".", "кредиты фт", "лимит сит по кредитам", "на фт заводил Синяев", "поставщики маркер", "44 за 3 года"</t>
  </si>
  <si>
    <t>28.30.93.000 Части прочих машин и оборудования для сельского хозяйства
19.20.29.150 Масла компрессорные
29.32.30.390 Части и принадлежности для автотранспортных средств прочие, не включенные в другие группировки
29.32.30 Комплектующие и принадлежности для автотранспортных средств, не включенные в другие группировки
45.31 Услуги по оптовой торговле автомобильными деталями, узлами и принадлежностями
28.30.21.110 Тракторы сельскохозяйственные колесные с мощностью двигателя не более 37 кВт</t>
  </si>
  <si>
    <t>ЗА 3 ГОДА ПО 223 ФЗ заключено 8 шт. с объемом НМЦ 35 113 600,83 ?</t>
  </si>
  <si>
    <t>"223 за 3 года", ".", "fk1", "поставщики маркер"</t>
  </si>
  <si>
    <t>30.20.40.151 Устройства блокировочные
45.20.21.111 Услуги по регламентным работам (по видам технического обслуживания)
28.30.23.110 Тракторы сельскохозяйственные колесные с мощностью двигателя более 59 кВт
26.30.50.153 Средства управления запирающие специальные без дистанционного контроля и управления
28.22.18.221 Погрузчики сельскохозяйственные специальные</t>
  </si>
  <si>
    <t>10.91.10.183 Комбикорма для свиней
10.91.10.181 Комбикорма для крупного рогатого скота
10.91.10.185 Комбикорма для пушных зверей, кроликов и нутрий
10.91.10.186 Комбикорма для сельскохозяйственной птицы</t>
  </si>
  <si>
    <t>Пункт 3.1 (09.01.2023)</t>
  </si>
  <si>
    <t>"223 за 3 года", ".", "fk1", "корп 2", "Кредитный портфель_01.11", "Пункт 3.1 09.01.2023", "06.2022_ФинХД", "клиенты от 100 млн", "Обороты по клиентам по кварталам (2022г)", "Одобренные но не выданные 1 полугодие 2021", "производители", "44 за 3 года"</t>
  </si>
  <si>
    <t>22.19 Изделия из резины прочие
22 Изделия резиновые и пластмассовые
28.30.32.130 Культиваторы</t>
  </si>
  <si>
    <t>ЗА 3 ГОДА ПО 223 ФЗ заключено 4 шт. с объемом НМЦ 30 918 320,00 ?</t>
  </si>
  <si>
    <t>46.32.11 Услуги по оптовой торговле мясом (включая мясо птицы)</t>
  </si>
  <si>
    <t>20 Вещества химические и продукты химические</t>
  </si>
  <si>
    <t>За весь период заходили в конкурсы  1 раз на общую сумму обеспеченных контрактов с НМЦ 51 020 090,00 ? с БГУ  2 500 000,00 ? с БГИ 15 000 000,00 ?</t>
  </si>
  <si>
    <t>"поставщики маркер", ".", "рейтинг поставщиков в маркере по бг", "производители", "это заказчик"</t>
  </si>
  <si>
    <t>Сообщения о принятии решения о реорганизации от 05.12.2022</t>
  </si>
  <si>
    <t>85.41.93.000 Услуги в области дополнительного образования вспомогательные
73.11.11.000 Набор рекламных услуг полный</t>
  </si>
  <si>
    <t>"поставщики маркер", ".", "fk1", "все клиенты с выручкой от 1,8 млрд до бесконечности"</t>
  </si>
  <si>
    <t>73.1 Услуги рекламные
73.11.19 Услуги рекламные прочие</t>
  </si>
  <si>
    <t>За весь период компания заключила  3 контрактов на сумму  1 133 554 200,80 ?</t>
  </si>
  <si>
    <t>21.20.23.199 Средства нелечебные прочие
21 Средства лекарственные и материалы, применяемые в медицинских целях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21.20.23.190 Препараты фармацевтические прочие
21.20.10 Препараты лекарственные
21.20.10.111 Препараты стоматологические ****</t>
  </si>
  <si>
    <t>За весь период компания заключила  5 контрактов на сумму  334 238 900,96 ? За весь период заходили в конкурсы  12 раз на общую сумму обеспеченных контрактов с НМЦ 966 911 370,88 ? с БГУ  7 314 387,08 ? с БГИ 77 453 852,36 ? За 3 ГОДА по 44ФЗ заключено 173 шт. с объемом НМЦ  1 727 041 281,86 ? с БГИ 185 451 501,71 ? с БГГО 0,00 ? с авансированием до 0,00 ? с комиссией банку 3 135 201,46 ? с кв 27 276,25 ? ЗА 1 ГОД по 44ФЗ заключено 100 шт. c объемом НМЦ 578 730 719,08 ? с БГИ 62 755 987,14 ? с БГГО 0,00 ? с авансированием до  0,00 ? с комиссией банку  1 127 981,90 ? с кв 9 813,44 ? ЗА 3 ГОДА ПО 223 ФЗ заключено 13 шт. с объемом НМЦ 24 459 598,03 ? за 1 ГОД ПО 223ФЗ заключено 8  20 856 430,11 ?</t>
  </si>
  <si>
    <t>"223 за 3 года", ".", "рейтинг поставщиков в маркере по бг", "все клиенты с выручкой от 1,8 млрд до бесконечности", "БизФин", "44 фз с с БГ от 10 млн", "рейтинг по нмц маркер", "поставщики маркер", "44 за 3 года"</t>
  </si>
  <si>
    <t>"Обороты по клиентам по кварталам (2022г)", ".", "клиенты с в от100млн 09.21", "все клиенты с выручкой от 1,8 млрд до бесконечности", "ФК клиенты с выручкой от 230 до бесконечности"</t>
  </si>
  <si>
    <t>Юридическое лицо находится в процессе реорганизации в форме присоединения к нему других юридических лиц от 27.01.2023, Сообщения о принятии решения о реорганизации от 26.01.2023</t>
  </si>
  <si>
    <t>32.30.15.113 Инвентарь для футбола и ручного мяча
14.1 Одежда, кроме одежды из меха
32.30.15.299 Изделия спортивные, инвентарь, включая тренировочный, прочие, не включенные в другие группировки</t>
  </si>
  <si>
    <t>Сообщение кредитора о намерении обратиться в суд с заявлением о банкротстве от 10.03.2020</t>
  </si>
  <si>
    <t>20.15.79.000 Удобрения минеральные или химические, содержащие два или три питательных элемента (азот, фосфор и калий), не включенные в другие группировки
20.20.13.110 Средства против прорастания
20.20.15.000 Фунгициды
20.20.19.000 Пестициды прочие и агрохимические продукты прочие
20.20.11.000 Инсектициды
01.11.11.111 Зерно озимой твердой пшеницы
20.20.12.000 Гербициды
01.11.93.121 Семена ярового рапса (кользы) для посева</t>
  </si>
  <si>
    <t>"44 за 3 года", ".", "Участники клиринга", "производители", "поставщики маркер"</t>
  </si>
  <si>
    <t>"в crm за Шаклейном ", "свод фт", ".", "портфель", "Одобренные но не выданные 1 полугодие 2021", "на фт заводил Шаклейн", "crm управления"</t>
  </si>
  <si>
    <t>29.10.30.119 Автобусы, имеющие технически допустимую максимальную массу более 5 т, прочие</t>
  </si>
  <si>
    <t>За весь период компания заключила  3 контрактов на сумму  1 620 456 599,96 ? За весь период заходили в конкурсы  5 раз на общую сумму обеспеченных контрактов с НМЦ 499 948 199,92 ? с БГУ  3 710 359,98 ? с БГИ 101 861 599,98 ?</t>
  </si>
  <si>
    <t>"44 за 3 года", ".", "рейтинг поставщиков в маркере по бг", "производители", "рейтинг по нмц маркер", "поставщики маркер"</t>
  </si>
  <si>
    <t>"в crm за Кашиным", "crm управления"</t>
  </si>
  <si>
    <t>"в crm за Кашиным", ".", "crm управления"</t>
  </si>
  <si>
    <t>10.51.4 Сыры, продукты сырные и творог
20.16.10.113 Полиэтилен низкого давления
10.51.30.100 Масло сливочное
20.41.31.130 Мыло туалетное жидкое
20.41.32.111 Средства для мытья посуды
20.41.32.114 Средства моющие для туалетов и ванных комнат</t>
  </si>
  <si>
    <t>За весь период компания заключила  5 контрактов на сумму  346 634 394,32 ?</t>
  </si>
  <si>
    <t>"Обороты по клиентам по кварталам (2022г)", ".", "fk1"</t>
  </si>
  <si>
    <t>"все клиенты с выручкой от 1,8 млрд до бесконечности", ".", "ушедший портфель", "fk1", "ИНН 3 года - нет КД БГ на 01.10.22", "Список ушедший ", "клиенты с в от100млн 09.21"</t>
  </si>
  <si>
    <t>За весь период компания заключила  2 контрактов на сумму  5 180 068 431,36 ?</t>
  </si>
  <si>
    <t>1 569</t>
  </si>
  <si>
    <t>"это заказчик", ".", "райф", "производители"</t>
  </si>
  <si>
    <t>"Участники клиринга", ".", "fk1", "06.2022_ФинХД", "Обороты по клиентам по кварталам (2022г)"</t>
  </si>
  <si>
    <t>20.51 Вещества взрывчатые
20.51.12.130 Детонаторы
20.15.33 Нитрат аммония
20.51.1 Вещества взрывчатые готовые; шнуры огнепроводные и детонирующие; детонаторы; запалы; электродетонаторы; пиропатроны; фейерверки
20.51.12.150 Электродетонаторы
20.51.11.000 Пороха и готовые взрывчатые вещества
20.51.12.120 Шнуры детонирующие</t>
  </si>
  <si>
    <t>ЗА 3 ГОДА ПО 223 ФЗ заключено 7 шт. с объемом НМЦ 132 004 401,96 ? за 1 ГОД ПО 223ФЗ заключено 2  14 992 797,26 ?</t>
  </si>
  <si>
    <t>"223 за 3 года", ".", "райф", "рейтинг по нмц маркер", "это заказчик", "поставщики маркер"</t>
  </si>
  <si>
    <t>29.1 Средства автотранспортные
20.14.32.121 Кислота уксусная
20.51.99.000 Услуги по производству взрывчатых веществ отдельные, выполняемые субподрядчиком
09 Услуги в области добычи полезных ископаемых</t>
  </si>
  <si>
    <t>За весь период контрактов 4 шт. на общую сумму НМЦ 2 648 934 712,11 ?</t>
  </si>
  <si>
    <t>"поставщики маркер", ".", "все клиенты с выручкой от 1,8 млрд до бесконечности", "производители", "это заказчик"</t>
  </si>
  <si>
    <t>73.1 Услуги рекламные</t>
  </si>
  <si>
    <t>52.29.12 Услуги по фрахтованию судов прочие
52.29 Услуги транспортные вспомогательные прочие</t>
  </si>
  <si>
    <t>"ушедшие"</t>
  </si>
  <si>
    <t>"все клиенты с выручкой от 1,8 млрд до бесконечности", ".", "ушедшие"</t>
  </si>
  <si>
    <t>"производители", ".", "fk1", "все клиенты с выручкой от 1,8 млрд до бесконечности"</t>
  </si>
  <si>
    <t>45.20.2 Услуги по техническому обслуживанию и ремонту прочих автотранспортных средств
29.10 Средства автотранспортные
29.10.2 Автомобили легковые
29.10.24.000 Средства автотранспортные для перевозки людей прочие
45.20.1 Услуги по техническому обслуживанию и ремонту легковых автомобилей и легких грузовых автотранспортных средств
29.10.42.111 Автомобили грузовые с бензиновым двигателем, имеющие технически допустимую максимальную массу не более 3,5 т
45.19.11.000 Услуги по оптовой торговле грузовыми автомобилями, седельными тягачами, прицепами, полуприцепами и автобусами
29.10.22.000 Средства транспортные с двигателем с искровым зажиганием, с рабочим объемом цилиндров более 1500 см3, новые</t>
  </si>
  <si>
    <t>"223 за 3 года", ".", "fk1", "все клиенты с выручкой от 1,8 млрд до бесконечности", "Обороты по клиентам по кварталам (2022г)", "поставщики маркер", "44 за 3 года"</t>
  </si>
  <si>
    <t>22.23.13.000 Резервуары, цистерны, баки и аналогичные емкости пластмассовые вместимостью свыше 300 л
22.29 Изделия пластмассовые прочие
22.22 Изделия пластмассовые упаковочные
29.20.21.129 Контейнеры специализированные прочие, не включенные в другие группировки
29.32.30.220 Колеса, ступицы и их детали
22.23.12.130 Унитазы, сиденья и крышки для них, смывные бачки пластмассовые
29.20.21.190 Контейнеры прочие, не включенные в другие в группировки
22.29.2 Изделия пластмассовые прочие, не включенные в другие группировки
25.72.14.110 Петли, арматура крепежная, фурнитура и аналогичные изделия для автотранспортных средств из недрагоценных металлов
25.94.12.190 Изделия крепежные нерезьбовые из черных металлов прочие, не включенные в другие группировки ****</t>
  </si>
  <si>
    <t>ЗА 3 ГОДА ПО 223 ФЗ заключено 6 шт. с объемом НМЦ 44 614 698,19 ?</t>
  </si>
  <si>
    <t>"223 за 3 года", ".", "все клиенты с выручкой от 1,8 млрд до бесконечности", "производители", "это заказчик", "поставщики маркер", "44 за 3 года"</t>
  </si>
  <si>
    <t>26.20.18 Устройства периферийные с двумя или более функциями: печать данных, копирование, сканирование, прием и передача факсимильных сообщений
26.20.91.000 Услуги по производству компьютеров и периферийного оборудования
46.51.1 Услуги по оптовой торговле компьютерами, компьютерными периферийными устройствами и программным обеспечением
62.03.1 Услуги по управлению компьютерным оборудованием
58.29.50 Услуги по предоставлению лицензий на право использовать компьютерное программное обеспечение
62.02.10 Услуги консультативные по компьютерному оборудованию
26.20.1 Компьютеры, их части и принадлежности
26.30.11.190 Аппаратура коммуникационная передающая с приемными устройствами прочая, не включенная в другие группировки
46.1 Услуги по оптовой торговле за вознаграждение или на договорной основе
58.29.29.000 Обеспечение программное прикладное прочее на электронном носителе ****</t>
  </si>
  <si>
    <t>За весь период компания заключила  229 контрактов на сумму  124 896 072 135,12 ? За весь период заходили в конкурсы  194 раз на общую сумму обеспеченных контрактов с НМЦ 38 423 595 337,27 ? с БГУ  1 993 847 369,70 ? с БГИ 11 396 829 187,92 ? За 3 ГОДА по 44ФЗ заключено 62 шт. с объемом НМЦ  4 749 577 447,72 ? с БГИ 1 337 708 232,54 ? с БГГО 274 510 606,69 ? с авансированием до 375 691 970,72 ? с комиссией банку 23 655 818,38 ? с кв 205 805,62 ? ЗА 1 ГОД по 44ФЗ заключено 15 шт. c объемом НМЦ 1 675 881 497,71 ? с БГИ 492 200 652,21 ? с БГГО 135 644 892,02 ? с авансированием до  0,00 ? с комиссией банку  17 897 986,01 ? с кв 155 712,48 ? ЗА 3 ГОДА ПО 223 ФЗ заключено 32 шт. с объемом НМЦ 532 021 080,99 ? за 1 ГОД ПО 223ФЗ заключено 6  97 685 881,62 ?</t>
  </si>
  <si>
    <t>"223 за 3 года", ".", "рейтинг поставщиков в маркере по бг", "беники", "Конкурсы 100+ (Восстановленный)", "fk1", "ПОС на 01.02.2023", "ПОС на 03.04.2023", "Кредитный портфель_01.11", "корп 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"44 фз с с БГ от 10 млн", "производители", "рейтинг по нмц маркер", "поставщики маркер", "44 за 3 года"</t>
  </si>
  <si>
    <t>26.51.43.116 Приборы цифровые электроизмерительные комбинированные
26.51.43.146 Приборы электроизмерительные лабораторные аналоговые комбинированные
49.4 Услуги по грузовым перевозкам автомобильным транспортом и услуги по переезду
49.2 Услуги железнодорожного транспорта по перевозке грузов
26.51.53.110 Газоанализаторы или дымоанализаторы</t>
  </si>
  <si>
    <t>За весь период компания заключила  1 контрактов на сумму  400 000 000,00 ?</t>
  </si>
  <si>
    <t>61.1 Услуги телекоммуникационные проводные
61.2 Услуги телекоммуникационные беспроводные
61.20.11.000 Услуги подвижной связи общего пользования - обеспечение доступа и поддержка пользователя
61.20.20 Услуги операторов связи в сфере беспроводных телекоммуникаций
61 Услуги телекоммуникационные
61.20.30.120 Услуги по передаче данных по беспроводным телекоммуникационным сетям
26.30.11.160 Средства связи, в том числе программное обеспечение, обеспечивающее выполнение установленных действий при проведении оперативно-розыскных мероприятий
73.11.12 Услуги по прямому маркетингу и прямой почтовой рекламе</t>
  </si>
  <si>
    <t>За весь период компания заключила  3 контрактов на сумму  1 165 508 620,08 ?                                     ЗА 3 ГОДА ПО 223 ФЗ заключено 1 шт. с объемом НМЦ 36 600 171,44 ?</t>
  </si>
  <si>
    <t>"223 за 3 года", ".", "fk1", "ПОС на 03.04.2023", "все клиенты с выручкой от 1,8 млрд до бесконечности", "рейтинг по нмц маркер", "поставщики маркер"</t>
  </si>
  <si>
    <t>1 165</t>
  </si>
  <si>
    <t>Сообщение кредитора о намерении обратиться в суд с заявлением о банкротстве от 26.03.2020</t>
  </si>
  <si>
    <t>"Обороты по клиентам по кварталам (2022г)", ".", "инн Вавилова", "fk1", "ПОС на 01.02.2023", "портфель 31.10.2021_10 тыс_проверка",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t>
  </si>
  <si>
    <t>73.12.1 Услуги по продаже места для рекламы за вознаграждение или на договорной основе</t>
  </si>
  <si>
    <t>"поставщики маркер", ".", "райф", "все клиенты с выручкой от 1,8 млрд до бесконечности"</t>
  </si>
  <si>
    <t>13.99.11.110 Полотно тюлевое
13.92.15.120 Шторы для интерьеров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26.20.16.150 Сканеры
26.20.18.000 Устройства периферийные с двумя или более функциями: печать данных, копирование, сканирование, прием и передача факсимильных сообщений
32.40.39.199 Игрушки пластмассовые прочие, не включенные в другие группировки
31.09.12.119 Диваны, софы, кушетки с деревянным каркасом, трансформируемые в кровати, прочие
26.40.51.000 Части и принадлежности звукового и видеооборудования
26.20.1 Компьютеры, их части и принадлежности
27.12.23.000 Устройства защиты электрических цепей на напряжение не более 1 кВ, не включенные в другие группировки ****</t>
  </si>
  <si>
    <t>За весь период компания заключила  8 контрактов на сумму  800 602 278,53 ? За весь период заходили в конкурсы  45 раз на общую сумму обеспеченных контрактов с НМЦ 6 825 237 266,51 ? с БГУ  179 940 950,42 ? с БГИ 1 195 834 038,19 ? За 3 ГОДА по 44ФЗ заключено 40 шт. с объемом НМЦ  2 716 315 779,09 ? с БГИ 255 645 421,06 ? с БГГО 50 689 765,39 ? с авансированием до 202 255 940,22 ? с комиссией банку 1 214 230,20 ? с кв 10 563,80 ? ЗА 1 ГОД по 44ФЗ заключено 12 шт. c объемом НМЦ 905 454 753,44 ? с БГИ 114 550 884,93 ? с БГГО 38 377 409,88 ? с авансированием до  165 220 266,72 ? с комиссией банку  721 246,50 ? с кв 6 274,84 ?</t>
  </si>
  <si>
    <t>"223 за 3 года", "кл фт прямые ВКЛ/РКО 04.22", "кл фт прямые бг 04.22", "кл фт агент ВКЛ/РКО 04.22", "кл фт агент бг 04.22", "свод фт", ".", "рейтинг поставщиков в маркере по бг", "ГРАНДИОЗНЫЙ ПРОЕКТ", "беники", "УПП на 2 номер", "fk1", "кредиты фт", "клиенты управления по БГ без открытых счетов", "Пункт 3.1 09.01.2023", "корп 1", "Премия 4 кв 22 г.бг", "Гарантии ФБ банкроты", "филиал бизнес 31.01.22 ", "Ссуды ФБ 29.04.2022 банкр.", "лимит сит по кредитам", "все клиенты с выручкой от 1,8 млрд до бесконечности", "филиал бизнес 01.03.22", "ФК клиенты с выручкой от 230 до бесконечности", "клиенты от 100 млн", "действующие б не прям", "ФТ клиенты с продуктами по сотрудникам", "производители", "рейтинг по нмц маркер", "на фт заводил Самар", "на фт заводил Середин", "поставщики маркер", "44 за 3 года"</t>
  </si>
  <si>
    <t>27.90.33.110 Комплектующие (запасные части) прочего электрического оборудования, не имеющие самостоятельных группировок
26.20.18 Устройства периферийные с двумя или более функциями: печать данных, копирование, сканирование, прием и передача факсимильных сообщений
26.30.50.112 Устройства приемно-контрольные охранные и охранно-пожарные
26.30.50.110 Приборы и аппаратура для систем охранной сигнализации
27.32.13.152 Кабели связи телефонные
27.40.24.120 Табло световые и аналогичные устройства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26.51.43.117 Преобразователи измерительные унифицирующие аналого-цифровые и цифро-аналоговые
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26.30.50.119 Приборы и аппаратура для систем охранной сигнализации прочие, не включенные в другие группировки ****</t>
  </si>
  <si>
    <t>ЗА 3 ГОДА ПО 223 ФЗ заключено 2 шт. с объемом НМЦ 23 397 373,74 ?</t>
  </si>
  <si>
    <t>82.30.1 Услуги по организации конференций и торговых выставок
73.11.13.000 Услуги по разработке рекламного дизайна и концепции
79.90.11.000 Услуги по продвижению туризма
82.30.11.000 Услуги по организации конференций
82.99.19.000 Услуги вспомогательные, связанные с предпринимательской деятельностью, прочие, не включенные в другие группировки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82.30.12.000 Услуги по организации торговых выставок
93.29.29.000 Услуги зрелищно-развлекательные, не включенные в другие группировки</t>
  </si>
  <si>
    <t>55.90.19.000 Услуги по предоставлению временного жилья прочие, не включенные в другие группировки
56.10.11.121 Услуги ресторанов без сопровождения развлекательных программ
56.10 Услуги ресторанов и услуги по доставке продуктов питания
56.10.11.129 Услуги прочих предприятий питания с полным обслуживанием без сопровождения развлекательных программ
56.29.20.110 Услуги столовых для рабочих и служащих
56.21.19.000 Услуги по поставке продукции общественного питания и обслуживанию торжественных мероприятий прочие
56.29.19.000 Услуги по обеспечению питанием, осуществляемые по договору, прочие
10.51 Молоко и молочная продукция</t>
  </si>
  <si>
    <t>5 999</t>
  </si>
  <si>
    <t>За весь период компания заключила  6 контрактов на сумму  1 952 379 162,83 ?</t>
  </si>
  <si>
    <t>"223 за 3 года", ".", "ушедшие", "рейтинг заказчиков маркер", "рейтинг по нмц маркер", "это заказчик", "поставщики маркер", "44 за 3 года"</t>
  </si>
  <si>
    <t>19.20.21 Топливо моторное, включая автомобильный и авиационный бензин
29.32.30 Комплектующие и принадлежности для автотранспортных средств, не включенные в другие группировки
27.20 Батареи и аккумуляторы
27.40.39 Светильники и осветительные устройства прочие, не включенные в другие группировки
22.21.21.122 Трубы напорные из полиэтилена</t>
  </si>
  <si>
    <t>41.20.30.100 Работы по возведению жилых зданий, кроме работ по сохранению и воссозданию объектов культурного наследия</t>
  </si>
  <si>
    <t>За весь период заходили в конкурсы  2 раз на общую сумму обеспеченных контрактов с НМЦ 451 295 013,03 ? с БГУ  22 696 790,00 ? с БГИ 136 180 740,00 ?</t>
  </si>
  <si>
    <t>"поставщики маркер", ".", "рейтинг поставщиков в маркере по бг", "fk1", "это заказчик"</t>
  </si>
  <si>
    <t>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29.1 Средства автотранспортные
29.10.4 Средства автотранспортные грузовые
29.10.59.130 Средства транспортные для коммунального хозяйства и содержания дорог
29.20.23.120 Прицепы-цистерны и полуприцепы-цистерны для перевозки нефтепродуктов, воды и прочих жидкостей
29.20.23.114 Прицепы и полуприцепы, технически допустимая максимальная масса которых свыше 10 т
45.19 Услуги по торговле прочими автотранспортными средствами
29 Средства автотранспортные, прицепы и полуприцепы
29.10.59.150 Средства транспортные для аварийно-спасательных служб и полиции ****</t>
  </si>
  <si>
    <t>За весь период заходили в конкурсы  5 раз на общую сумму обеспеченных контрактов с НМЦ 428 659 226,50 ? с БГУ  10 289 967,02 ? с БГИ 98 235 890,00 ? За 3 ГОДА по 44ФЗ заключено 13 шт. с объемом НМЦ  371 609 177,71 ? с БГИ 50 125 997,77 ? с БГГО 11 011 779,58 ? с авансированием до 16 348 740,00 ? с комиссией банку 232 191,35 ? с кв 2 020,06 ? ЗА 1 ГОД по 44ФЗ заключено 7 шт. c объемом НМЦ 181 890 666,70 ? с БГИ 21 479 400,00 ? с БГГО 8 696 650,00 ? с авансированием до  0,00 ? с комиссией банку  108 890,05 ? с кв 947,34 ? ЗА 3 ГОДА ПО 223 ФЗ заключено 4 шт. с объемом НМЦ 82 214 798,88 ?</t>
  </si>
  <si>
    <t>41.20.10.110 Здания жилые общего назначения
42.22.22 Работы строительные по прокладке местных линий электропередачи и связи</t>
  </si>
  <si>
    <t>1 403</t>
  </si>
  <si>
    <t>За весь период компания заключила  16 контрактов на сумму  25 387 237 018,33 ? За весь период заходили в конкурсы  18 раз на общую сумму обеспеченных контрактов с НМЦ 23 207 379 390,24 ? с БГУ  1 168 194 357,72 ? с БГИ 7 047 736 678,08 ? За 3 ГОДА по 44ФЗ заключено 55 шт. с объемом НМЦ  970 133 104,27 ? с БГИ 175 668 327,53 ? с БГГО 2 877 432,43 ? с авансированием до 156 707 033,49 ? с комиссией банку 4 156 993,42 ? с кв 36 165,84 ? ЗА 1 ГОД по 44ФЗ заключено 27 шт. c объемом НМЦ 528 099 866,26 ? с БГИ 110 217 049,17 ? с БГГО 1 094 691,06 ? с авансированием до  106 881 213,78 ? с комиссией банку  2 767 726,77 ? с кв 24 079,22 ?</t>
  </si>
  <si>
    <t>"44 за 3 года", ".", "рейтинг поставщиков в маркере по бг", "компании Герберта", "все клиенты с выручкой от 1,8 млрд до бесконечности", "Участники клиринга", "рейтинг заказчиков маркер", "рейтинг по нмц маркер", "это заказчик", "поставщики маркер"</t>
  </si>
  <si>
    <t>28.14.13.110 Клапаны запорные
28.14.1 Арматура (краны, клапаны и другая аналогичная арматура) для трубопроводов, сосудов, котлов, цистерн, баков и аналогичных емкостей
28.14.11.120 Арматура регулирующая
28.99.39.190 Оборудование специального назначения прочее, не включенное в другие группировки
28.14.11.130 Арматура обратная
28.14.13.120 Задвижки
28.14.13.130 Краны и затворы дисковые
28.14.13.142 Арматура запорная</t>
  </si>
  <si>
    <t>1 779</t>
  </si>
  <si>
    <t>За весь период компания заключила  7 контрактов на сумму  11 196 690 391,00 ?</t>
  </si>
  <si>
    <t>51.10.12.000 Услуги по нерегулярным пассажирским перевозкам воздушным транспортом на местных линиях, кроме услуг по осмотру достопримечательностей с воздуха
79.11.11.000 Услуги по бронированию авиабилетов
51.10.11.000 Услуги по регулярным пассажирским перевозкам воздушным транспортом на местных линиях
51.10.13.000 Услуги по регулярным пассажирским перевозкам воздушным транспортом на международных линиях</t>
  </si>
  <si>
    <t>За весь период компания заключила  5 контрактов на сумму  824 499 500,00 ?                                     ЗА 3 ГОДА ПО 223 ФЗ заключено 1 шт. с объемом НМЦ 29 684 909,13 ?</t>
  </si>
  <si>
    <t>Юридическое лицо находится в процессе уменьшения уставного капитала от 10.02.2023</t>
  </si>
  <si>
    <t>52.23.19.113 Работы лесоавиационные
52.23.19.119 Работы авиационные прочие
51.21 Услуги по перевозке грузов воздушным транспортом
51.10.12 Услуги по нерегулярным пассажирским перевозкам воздушным транспортом на местных линиях, кроме услуг по осмотру достопримечательностей с воздуха
52.23.19 Услуги вспомогательные прочие, связанные с воздушным транспортом
52.23.19.110 Работы авиационные
51 Услуги воздушного и космического транспорта
51.21.13.000 Услуги по перевозке прочих грузов воздушным транспортом на регулярной основе
51.21.14.000 Услуги по перевозке прочих грузов воздушным транспортом на нерегулярной основе
79.11.11.000 Услуги по бронированию авиабилетов ****</t>
  </si>
  <si>
    <t>За весь период компания заключила  33 контрактов на сумму  6 598 918 031,54 ? За весь период заходили в конкурсы  84 раз на общую сумму обеспеченных контрактов с НМЦ 10 231 872 083,88 ? с БГУ  150 447 307,86 ? с БГИ 1 750 692 808,24 ? За 3 ГОДА по 44ФЗ заключено 146 шт. с объемом НМЦ  2 298 892 888,64 ? с БГИ 186 300 354,40 ? с БГГО 395 734,09 ? с авансированием до 15 909 500,46 ? с комиссией банку 2 678 633,35 ? с кв 23 304,11 ? ЗА 1 ГОД по 44ФЗ заключено 58 шт. c объемом НМЦ 739 080 608,22 ? с БГИ 62 669 133,05 ? с БГГО 0,00 ? с авансированием до  18 721 311,29 ? с комиссией банку  1 518 849,72 ? с кв 13 213,99 ? ЗА 3 ГОДА ПО 223 ФЗ заключено 36 шт. с объемом НМЦ 963 535 393,62 ? за 1 ГОД ПО 223ФЗ заключено 8  160 088 714,90 ?</t>
  </si>
  <si>
    <t>"223 за 3 года", ".", "рейтинг поставщиков в маркере по бг", "Участники клиринга", "223 фз контракты 20+", "44 фз с с БГ от 10 млн", "рейтинг заказчиков маркер", "рейтинг по нмц маркер", "поставщики маркер", "44 за 3 года"</t>
  </si>
  <si>
    <t>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51.10.11.000 Услуги по регулярным пассажирским перевозкам воздушным транспортом на местных линиях
51.10.13.000 Услуги по регулярным пассажирским перевозкам воздушным транспортом на международных линиях</t>
  </si>
  <si>
    <t>1 019</t>
  </si>
  <si>
    <t>52.23.19.113 Работы лесоавиационные
86.10.19.000 Услуги больниц прочие
86.21.10.190 Услуги, предоставляемые врачами общей врачебной практики, прочие, не включенные в другие группировки
71.12.40.120 Услуги в области метрологии
51.21.1 Услуги по перевозке грузов воздушным транспортом
86.21.10 Услуги в области общей врачебной практики
52.23.19.110 Работы авиационные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79.11.11.000 Услуги по бронированию авиабилетов
51.10.11.000 Услуги по регулярным пассажирским перевозкам воздушным транспортом на местных линиях ****</t>
  </si>
  <si>
    <t>За весь период контрактов 3 шт. на общую сумму НМЦ 458 555 600,00 ?</t>
  </si>
  <si>
    <t>Сообщение кредитора о намерении обратиться в суд с заявлением о банкротстве от 13.06.2021</t>
  </si>
  <si>
    <t>"223 за 3 года", ".", "рейтинг поставщиков в маркере по бг", "fk1", "просрочка на 01.01.2023 г.", "Запрос в ЮД_просрочка на 01.01.2023", "Действующий клиент мсб с выр от 30 млн на 05.21", "все клиенты с выручкой от 1,8 млрд до бесконечности", "ФК клиенты с выручкой от 230 до бесконечности", "Участники клиринга", "рейтинг заказчиков маркер", "рейтинг по нмц маркер", "поставщики маркер", "44 за 3 года"</t>
  </si>
  <si>
    <t>52.23.19.113 Работы лесоавиационные
52.23.19.119 Работы авиационные прочие
51.21.1 Услуги по перевозке грузов воздушным транспортом
51.10.12 Услуги по нерегулярным пассажирским перевозкам воздушным транспортом на местных линиях, кроме услуг по осмотру достопримечательностей с воздуха
52.23.19.110 Работы авиационные
51.21.14.000 Услуги по перевозке прочих грузов воздушным транспортом на нерегулярной основе
52.23.19.115 Работы с целью оказания медицинской помощи
51.10.11.000 Услуги по регулярным пассажирским перевозкам воздушным транспортом на местных линиях
52.23.19.190 Услуги вспомогательные прочие, связанные с воздушным транспортом, не включенные в другие группировки
51.10.20.000 Услуги по аренде пассажирских воздушных судов с экипажем</t>
  </si>
  <si>
    <t>За весь период контрактов 38 шт. на общую сумму НМЦ 10 836 857 504,79 ?</t>
  </si>
  <si>
    <t>"223 за 3 года", ".", "рейтинг поставщиков в маркере по бг", "Конкурсы 100+ (Восстановленный)", "все клиенты с выручкой от 1,8 млрд до бесконечности", "223 фз контракты 20+", "44 фз с с БГ от 10 млн", "рейтинг по нмц маркер", "44 за 3 года"</t>
  </si>
  <si>
    <t>41.20.40.900 Работы строительные по возведению нежилых зданий и сооружений прочие, не включенные в другие группировки
41.20.10.190 Здания жилые прочие, не включенные в другие группировки</t>
  </si>
  <si>
    <t>За весь период компания заключила  37 контрактов на сумму  24 411 857 613,69 ? За весь период заходили в конкурсы  93 раз на общую сумму обеспеченных контрактов с НМЦ 36 365 157 478,63 ? с БГУ  1 638 541 639,59 ? с БГИ 3 708 131 570,18 ? За 3 ГОДА по 44ФЗ заключено 9 шт. с объемом НМЦ  4 679 193 726,55 ? с БГИ 467 919 372,66 ? с БГГО 73 149 613,05 ? с авансированием до 7 677 867 511,68 ? с комиссией банку 4 312 838,62 ? с кв 37 521,70 ?</t>
  </si>
  <si>
    <t>Сообщение кредитора о намерении обратиться в суд с заявлением о банкротстве от 02.06.2021</t>
  </si>
  <si>
    <t>"44 за 3 года", ".", "рейтинг поставщиков в маркере по бг", "ГРАНДИОЗНЫЙ ПРОЕКТ", "Конкурсы 100+ (Восстановленный)", "рейтинг по нмц маркер", "crm управления", "в crm за Егоровым ", "поставщики маркер"</t>
  </si>
  <si>
    <t>"223 за 3 года", ".", "производители", "crm управления", "в crm за Досхоевым", "поставщики маркер"</t>
  </si>
  <si>
    <t>19.20.21 Топливо моторное, включая автомобильный и авиационный бензин
19.20.42.121 Битумы нефтяные дорожные
19.20.21.125 Бензин автомобильный с октановым числом более 92, но не более 95 по исследовательскому методу экологического класса К5
19.20.21.315 Топливо дизельное летнее экологического класса К5
19.20.21.300 Топливо дизельное
19.20.28.113 Мазут с массовой долей серы не более 3,5 % с температурой вспышки в открытом тигле не ниже 90 °C, с содержанием сероводорода не более 10 ppm
19.20.42.120 Битумы нефтяные
29.10.30.111 Автобусы, предназначенные для перевозки стоящих и сидящих пассажиров, имеющие технически допустимую максимальную массу более 5 т</t>
  </si>
  <si>
    <t>За весь период компания заключила  16 контрактов на сумму  9 734 270 465,62 ? За весь период заходили в конкурсы  14 раз на общую сумму обеспеченных контрактов с НМЦ 8 719 876 643,24 ? с БГУ  431 099 133,36 ? с БГИ 934 070 786,20 ?                             ЗА 3 ГОДА ПО 223 ФЗ заключено 5 шт. с объемом НМЦ 2 312 751 400,00 ? за 1 ГОД ПО 223ФЗ заключено 1  736 700 000,00 ?</t>
  </si>
  <si>
    <t>"223 за 3 года", ".", "рейтинг поставщиков в маркере по бг", "Конкурсы 100+ (Восстановленный)", "Участники клиринга", "223 фз контракты 20+", "рейтинг по нмц маркер", "поставщики маркер", "44 за 3 года"</t>
  </si>
  <si>
    <t>28.29.12.110 Оборудование для фильтрования или очистки воды
28.29.12.112 Фильтры очистки воды бытовые
20.16.59.320 Смолы ионообменные на основе синтетических или природных полимеров в первичных формах
37.00.11.150 Услуги по техническому обслуживанию и очистке систем водоотведения и дренажных труб, включая арматуру систем водоотведения
28.29.12.190 Оборудование и установки для фильтрования или очистки жидкостей прочие, не включенные в другие группировки
33.12.29.900 Услуги по ремонту и техническому обслуживанию прочего оборудования специального назначения, не включенные в другие группировки
22.21.29.110 Трубы прочие пластмассовые
36.00.20.110 Услуги по очистке и подготовке воды для водоснабжения
28.29.12.153 Фильтры мембранные
43.22.11.130 Работы водопроводные взаимосвязанные ****</t>
  </si>
  <si>
    <t>Сообщения о принятии решения о реорганизации от 13.05.2022</t>
  </si>
  <si>
    <t>10.31.12 Картофель сушеный, включая нарезанный ломтиками, но не подвергнутый дальнейшей обработке
11.07.1 Воды минеральные и безалкогольные напитки
10.82.23 Изделия кондитерские сахаристые (включая белый шоколад), не содержащие какао
10.31.1 Картофель переработанный и консервированный
10.31.14 Картофель приготовленный или консервированный
10.8 Продукты пищевые прочие
10.89 Продукты пищевые прочие, не включенные в другие группировки
11.07 Напитки безалкогольные; минеральные воды и прочие питьевые воды в бутылках
10.72.1 Изделия сухарные и печенье; мучные кондитерские изделия, торты и пирожные длительного хранения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t>
  </si>
  <si>
    <t>"223 за 3 года", ".", "ушедшие", "все клиенты с выручкой от 1,8 млрд до бесконечности", "рейтинг по нмц маркер", "поставщики маркер"</t>
  </si>
  <si>
    <t>28.29.12.112 Фильтры очистки воды бытовые</t>
  </si>
  <si>
    <t>Сообщения о принятии решения о реорганизации от 17.11.2021</t>
  </si>
  <si>
    <t>"Обороты по клиентам по кварталам (2022г)", ".", "fk1", "корп 1", "клиенты с в от100млн 09.21", "все клиенты с выручкой от 1,8 млрд до бесконечности", "ФК клиенты с выручкой от 230 до бесконечности"</t>
  </si>
  <si>
    <t>"это заказчик", ".", "06.2022_ФинХД", "все клиенты с выручкой от 1,8 млрд до бесконечности"</t>
  </si>
  <si>
    <t>"поставщики маркер",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t>
  </si>
  <si>
    <t>20.3 Материалы лакокрасочные и аналогичные для нанесения покрытий, полиграфические краски и мастики
19 Кокс и нефтепродукты</t>
  </si>
  <si>
    <t>Сообщения о принятии решения о реорганизации от 20.10.2021</t>
  </si>
  <si>
    <t>08 Продукция горнодобывающих производств прочая
23.51 Цемент
23.51.12.110 Цементы общестроительные
23.51.12.190 Цементы прочие, не включенные в другие группировки
23.51.12 Портландцемент, цемент глиноземистый, цемент шлаковый и аналогичные гидравлические цементы</t>
  </si>
  <si>
    <t>1 256</t>
  </si>
  <si>
    <t>За 3 года по 223ФЗ заключено  3 шт контрактов на сумму 58 715 000,00 ?</t>
  </si>
  <si>
    <t>"223 за 3 года", ".", "все клиенты с выручкой от 1,8 млрд до бесконечности", "рейтинг заказчиков маркер", "рейтинг по нмц маркер"</t>
  </si>
  <si>
    <t>2 718</t>
  </si>
  <si>
    <t>27.33.11.190 Устройства коммутационные на напряжение не более 1 кВ прочие, не включенные в другие группировки
28.22.19 Части грузоподъемного и погрузочно-разгрузочного оборудования
27.12.10 Устройства для коммутации или защиты электрических цепей на напряжение более 1 кВ
27.20.21.000 Аккумуляторы свинцовые для запуска поршневых двигателей
27.20.22.000 Аккумуляторы свинцовые, кроме используемых для запуска поршневых двигателей
42.22.22.120 Работы строительные по строительству трансформаторных станций и подстанций для распределения электричества в пределах какого-либо района
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27.20.23.130 Батареи аккумуляторные литий-ионные
28.99.39.190 Оборудование специального назначения прочее, не включенное в другие группировки ****</t>
  </si>
  <si>
    <t>За весь период заходили в конкурсы  1 раз на общую сумму обеспеченных контрактов с НМЦ 128 438 411,19 ? с БГУ  1 290 838,30 ? с БГИ 103 267 064,27 ?                             ЗА 3 ГОДА ПО 223 ФЗ заключено 30 шт. с объемом НМЦ 301 914 149,11 ? за 1 ГОД ПО 223ФЗ заключено 11  39 169 243,42 ?</t>
  </si>
  <si>
    <t>"223 за 3 года", ".", "рейтинг поставщиков в маркере по бг",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 "поставщики маркер"</t>
  </si>
  <si>
    <t>За весь период контрактов 2 шт. на общую сумму НМЦ 147 175 090 276,00 ?</t>
  </si>
  <si>
    <t>"рейтинг по нмц маркер", ".", "рейтинг заказчиков маркер"</t>
  </si>
  <si>
    <t>За весь период компания заключила  1 контрактов на сумму  2 970 236 176,00 ?</t>
  </si>
  <si>
    <t>"рейтинг по нмц маркер", ".", "райф", "ушедшие", "все клиенты с выручкой от 1,8 млрд до бесконечности", "рейтинг заказчиков маркер"</t>
  </si>
  <si>
    <t>37.00.11.110 Услуги по водоотведению сточных вод
36.00.20.110 Услуги по очистке и подготовке воды для водоснабжения
20.15.33.000 Нитрат аммония
20.13.43.193 Карбонат кальция
49.20.19.190 Услуги железнодорожного транспорта по перевозке прочих грузов, не включенные в другие группировки</t>
  </si>
  <si>
    <t>"рейтинг по нмц маркер", ".", "Участники клиринга", "производители"</t>
  </si>
  <si>
    <t>Сообщения о принятии решения о реорганизации от 04.04.2022</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</si>
  <si>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43.13.10 Работы буровые и разведочные буровые
28.92.61.110 Комплектующие (запасные части) бурильных и проходческих машин, не имеющие самостоятельных группировок
28.92.40.110 Машины для сортировки, грохочения, сепарации или промывки грунта, камня, руды и прочих минеральных веществ
28.92.40.139 Машины для смешивания или перемешивания грунта, камня, руд или других минеральных ископаемых в твердом (в том числе порошкообразном или пастообразном) состоянии прочие
09.10.11.190 Услуги по бурению, связанные с добычей нефти и горючего природного газа, не включенные в другие группировки</t>
  </si>
  <si>
    <t>За весь период компания заключила  12 контрактов на сумму  5 922 630 128,75 ?</t>
  </si>
  <si>
    <t>"223 за 3 года", ".", "fk1", "Кредитный портфель_01.11", "06.2022_ФинХД", "Обороты по клиентам по кварталам (2022г)", "производители", "рейтинг по нмц маркер", "это заказчик", "поставщики маркер"</t>
  </si>
  <si>
    <t>56.29.19.000 Услуги по обеспечению питанием, осуществляемые по договору, прочие</t>
  </si>
  <si>
    <t>2 817</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</si>
  <si>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35.11.10.112 Электроэнергия, произведенная теплоэлектроцентралями (ТЭЦ) общего назначения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35.11.10.110 Электроэнергия, произведенная электростанциями общего назначения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t>
  </si>
  <si>
    <t>1 117</t>
  </si>
  <si>
    <t>За весь период контрактов 1 шт. на общую сумму НМЦ 661 231 890,00 ?</t>
  </si>
  <si>
    <t>Сообщения о принятии решения о реорганизации от 15.11.2019</t>
  </si>
  <si>
    <t>21.20.10.233 Препараты противоэпилептические
21.20.10.156 Препараты антибактериальные и противомикробные для лечения заболеваний кожи</t>
  </si>
  <si>
    <t>"поставщики маркер", ".", "портфель 31.10.2021_10 тыс_проверка", "все клиенты с выручкой от 1,8 млрд до бесконечности"</t>
  </si>
  <si>
    <t>46.1 Услуги по оптовой торговле за вознаграждение или на договорной основе
62.01 Продукты программные и услуги по разработке и тестированию программного обеспечения
62 Продукты программные и услуги по разработке программного обеспечения; консультационные и аналогичные услуги в области информационных технологий
62.02.20 Услуги консультативные по вопросам систем и программному обеспечению</t>
  </si>
  <si>
    <t>1 772</t>
  </si>
  <si>
    <t>За весь период компания заключила  29 контрактов на сумму  28 786 462 881,84 ?                                     ЗА 3 ГОДА ПО 223 ФЗ заключено 11 шт. с объемом НМЦ 910 437 526,08 ? за 1 ГОД ПО 223ФЗ заключено 1  31 380 046,80 ?</t>
  </si>
  <si>
    <t>"223 за 3 года", ".", "223 фз контракты 20+", "рейтинг по нмц маркер", "поставщики маркер"</t>
  </si>
  <si>
    <t>74.90.13.000 Услуги консультативные в области окружающей среды
02.40.10.111 Услуги по инвентаризации леса
84.13.11.000 Услуги государственного управления, связанные с сельским хозяйством, лесным хозяйством, рыболовством и охотой
02.40.10.119 Услуги, связанные с лесоводством, прочие, не включенные в другие группировки</t>
  </si>
  <si>
    <t>"crm Пител", "crm управления"</t>
  </si>
  <si>
    <t>"223 за 3 года", ".", "п6", "ушедшие", "закрыли счет", "все клиенты с выручкой от 1,8 млрд до бесконечности", "Участники клиринга", "это заказчик", "crm управления", "crm Пител", "поставщики маркер", "44 за 3 года"</t>
  </si>
  <si>
    <t>63.11.13.000 Услуги по предоставлению программного обеспечения без его размещения на компьютерном оборудовании пользователя</t>
  </si>
  <si>
    <t>58.13.10.000 Газеты печатные
58.14.1 Журналы и периодические издания печатные
58 Услуги издательские
62.01 Продукты программные и услуги по разработке и тестированию программного обеспечения
62.02 Услуги консультативные, связанные с компьютерной техникой
63.99 Услуги информационные прочие, не включенные в другие группировки
63.99.10.190 Услуги информационные автоматизированные компьютерные прочие, не включенные в другие группировки
58.29.12.000 Обеспечение программное сетевое на электронном носителе
62.09.20.190 Услуги по технической поддержке в области информационных технологий прочие, не включенные в другие группировки
58.14.20.000 Журналы и периодические издания электронные ****</t>
  </si>
  <si>
    <t>1 132</t>
  </si>
  <si>
    <t>"223 за 3 года", ".", "ушедшие", "все клиенты с выручкой от 1,8 млрд до бесконечности", "это заказчик", "crm управления", "в crm за Кашиным", "44 за 3 года"</t>
  </si>
  <si>
    <t>08 Продукция горнодобывающих производств прочая
08.93.10.111 Соль глыбовая
20.59.52.191 Стандарт-титры
20.13.62.130 Силикаты
20.16.56.190 Смолы полиуретановые прочие в первичных формах
08.93.10.115 Соль денатурированная, соль для промышленных целей
20.11.11.121 Аргон газообразный
08.93.10.110 Соль
08.93.10.112 Соль дробленка
08.91.19.190 Сырье минеральное для химических производств и продукты горнодобывающих производств прочие, не включенные в другие группировки ****</t>
  </si>
  <si>
    <t>ЗА 3 ГОДА ПО 223 ФЗ заключено 1 шт. с объемом НМЦ 84 070 367,79 ?</t>
  </si>
  <si>
    <t>1 604</t>
  </si>
  <si>
    <t>22.29 Изделия пластмассовые прочие
21.20.23.199 Средства нелечебные прочие
20.59.52.199 Реагенты сложные диагностические или лабораторные прочие, не включенные в другие группировки
13.99 Изделия текстильные прочие, не включенные в другие группировки
21 Средства лекарственные и материалы, применяемые в медицинских целях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21.10.60.194 Культуры микроорганизмов (кроме дрожжей)
21.20.10.118 Препараты, способствующие пищеварению, включая ферментные препараты
21.20.10.133 Препараты антианемические ****</t>
  </si>
  <si>
    <t>За весь период компания заключила  6 контрактов на сумму  5 281 000 000,00 ?         За 3 ГОДА по 44ФЗ заключено 738 шт. с объемом НМЦ  302 390 074,59 ? с БГИ 20 505 311,60 ? с БГГО 580 783,89 ? с авансированием до 11 107,84 ? с комиссией банку 222 585,13 ? с кв 1 936,49 ? ЗА 1 ГОД по 44ФЗ заключено 189 шт. c объемом НМЦ 110 329 906,34 ? с БГИ 14 787 138,07 ? с БГГО 946,00 ? с авансированием до  11 107,84 ? с комиссией банку  321 580,40 ? с кв 2 797,75 ? ЗА 3 ГОДА ПО 223 ФЗ заключено 1 шт. с объемом НМЦ 35 000 000,00 ?</t>
  </si>
  <si>
    <t>42.99.1 Сооружения гражданские прочие
71.12 Услуги в области инженерно-технического проектирования и связанные технические консультативные услуги
41.10.1 Документация проектная для строительства
71.12.20.190 Услуги по руководству строительными проектами прочие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41.20.20.180 Здания предприятий здравоохранения, науки и научного обслуживания, образования, культуры и искусства
43.91.19.110 Работы строительные по устройству любых видов кровельных покрытий зданий и сооружений
43.22.11.190 Работы по монтажу водопроводных и канализационных систем прочие, не включенные в другие группировки
42.22.22 Работы строительные по прокладке местных линий электропередачи и связи</t>
  </si>
  <si>
    <t>За весь период компания заключила  10 контрактов на сумму  9 490 690 379,53 ? За весь период заходили в конкурсы  8 раз на общую сумму обеспеченных контрактов с НМЦ 5 933 119 248,75 ? с БГУ  251 120 386,34 ? с БГИ 1 163 969 700,45 ?                             ЗА 3 ГОДА ПО 223 ФЗ заключено 4 шт. с объемом НМЦ 79 260 787,12 ?</t>
  </si>
  <si>
    <t>"223 за 3 года", ".", "рейтинг поставщиков в маркере по бг", "ГРАНДИОЗНЫЙ ПРОЕКТ", "беники", "fk1", "все клиенты с выручкой от 1,8 млрд до бесконечности", "Обороты по клиентам по кварталам (2022г)", "рейтинг заказчиков маркер", "производители", "рейтинг по нмц маркер", "это заказчик", "поставщики маркер", "44 за 3 года"</t>
  </si>
  <si>
    <t>10.51.40.330 Творог зерненый без вкусовых компонентов
35.30.11.120 Энергия тепловая, отпущенная котельными
10.51.30.111 Масло сладко-сливочное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
10.5 Молоко и молочная продукция
10.51.52.111 Йогурт без вкусовых компонентов</t>
  </si>
  <si>
    <t>За весь период компания заключила  7 контрактов на сумму  468 897 666,95 ?</t>
  </si>
  <si>
    <t>"223 за 3 года", ".", "все клиенты с выручкой от 1,8 млрд до бесконечности", "производители", "рейтинг по нмц маркер", "поставщики маркер", "44 за 3 года"</t>
  </si>
  <si>
    <t>ПОС на 03.04.2204</t>
  </si>
  <si>
    <t>"Обороты по клиентам по кварталам (2022г)", ".", "fk1", "ПОС на 01.02.2023", "ПОС на 03.04.2023", "компании пайрус", "06.2022_ФинХД", "закрыли счет"</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</si>
  <si>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45.11 Услуги по торговле легковыми автомобилями и грузовыми автомобилями малой грузоподъемности
45.20.11.519 Прочие услуги по техническому обслуживанию и ремонту прочих автотранспортных средств, не включенные в другие группировки
29.10.59 Средства автотранспортные специального назначения, не включенные в другие группировки
45.20.21.111 Услуги по регламентным работам (по видам технического обслуживания)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29.10.22 Средства транспортные с двигателем с искровым зажиганием, с рабочим объемом цилиндров более 1500 см3, новые
29.10.24.000 Средства автотранспортные для перевозки людей прочие
29.10.59.160 Автомобили скорой медицинской помощи ****</t>
  </si>
  <si>
    <t>За весь период компания заключила  5 контрактов на сумму  1 071 473 597,32 ? За весь период заходили в конкурсы  5 раз на общую сумму обеспеченных контрактов с НМЦ 1 431 402 430,50 ? с БГУ  19 679 824,30 ? с БГИ 99 770 691,24 ? За 3 ГОДА по 44ФЗ заключено 43 шт. с объемом НМЦ  1 605 049 305,35 ? с БГИ 154 166 255,60 ? с БГГО 33 409 175,86 ? с авансированием до 563 775 518,12 ? с комиссией банку 644 716,68 ? с кв 5 609,04 ? ЗА 1 ГОД по 44ФЗ заключено 14 шт. c объемом НМЦ 333 898 685,54 ? с БГИ 18 662 754,45 ? с БГГО 15 494 501,82 ? с авансированием до  0,00 ? с комиссией банку  258 009,30 ? с кв 2 244,68 ?</t>
  </si>
  <si>
    <t>"223 за 3 года", ".", "рейтинг поставщиков в маркере по бг", "выдали", "fk1",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 "44 за 3 года"</t>
  </si>
  <si>
    <t>45.11.39.000 Услуги по розничной торговле легковыми автомобилями и грузовыми автомобилями малой грузоподъемности прочие, не включенные в другие группировки
45.20.11.519 Прочие услуги по техническому обслуживанию и ремонту прочих автотранспортных средств, не включенные в другие группировки
45.20.2 Услуги по техническому обслуживанию и ремонту прочих автотранспортных средств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45.20.11.111 Услуги по регламентным работам (по видам технического обслуживания)
29.10.42.111 Автомобили грузовые с бензиновым двигателем, имеющие технически допустимую максимальную массу не более 3,5 т
45.2 Услуги по техническому обслуживанию и ремонту автотранспортных средств
45.20.11.217 Услуги по ремонту деталей</t>
  </si>
  <si>
    <t>"223 за 3 года", ".", "fk1", "корп 1", "Обороты по клиентам по кварталам (2022г)", "рейтинг по нмц маркер", "поставщики маркер", "44 за 3 года"</t>
  </si>
  <si>
    <t>Сообщения о принятии решения о реорганизации от 07.07.2020</t>
  </si>
  <si>
    <t>"поставщики маркер", ".", "Пустые_Клиенты"</t>
  </si>
  <si>
    <t>10.73.11.110 Макароны
10.61.21.110 Мука пшеничная
10.92.10.110 Сухой корм животного происхождения
10.61.21.114 Мука пшеничная хлебопекарная первого сорта
10.91.10.183 Комбикорма для свиней
10.91.10.186 Комбикорма для сельскохозяйственной птицы</t>
  </si>
  <si>
    <t>1 061</t>
  </si>
  <si>
    <t>за 1 ГОД ПО 223ФЗ заключено 3  14 752 174,16 ?</t>
  </si>
  <si>
    <t>"223 за 3 года", ".", "производители", "это заказчик",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</si>
  <si>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42.13.10.119 Мосты и путепроводы из любых материалов для всех типов сухопутного транспорта и для пешеходов прочие</t>
  </si>
  <si>
    <t>1 703</t>
  </si>
  <si>
    <t>За весь период компания заключила  133 контрактов на сумму  89 924 398 346,28 ? За весь период заходили в конкурсы  451 раз на общую сумму обеспеченных контрактов с НМЦ 154 539 863 790,02 ? с БГУ  5 797 274 628,45 ? с БГИ 32 973 677 316,60 ? За 3 ГОДА по 44ФЗ заключено 84 шт. с объемом НМЦ  15 052 552 600,00 ? с БГИ 3 553 462 548,74 ? с БГГО 422 319 077,87 ? с авансированием до 7 141 489 974,74 ? с комиссией банку 36 440 373,58 ? с кв 317 031,25 ? ЗА 1 ГОД по 44ФЗ заключено 29 шт. c объемом НМЦ 3 245 359 259,00 ? с БГИ 973 532 777,70 ? с БГГО 3 173 593,62 ? с авансированием до  870 104 676,20 ? с комиссией банку  13 500 210,17 ? с кв 117 451,83 ?</t>
  </si>
  <si>
    <t>Сообщение кредитора о намерении обратиться в суд с заявлением о банкротстве от 06.04.2021</t>
  </si>
  <si>
    <t>"223 за 3 года", ".", "рейтинг поставщиков в маркере по бг", "ГРАНДИОЗНЫЙ ПРОЕКТ", "Конкурсы 100+ (Восстановленный)", "все клиенты с выручкой от 1,8 млрд до бесконечности", "44 фз с с БГ от 10 млн", "рейтинг по нмц маркер", "44 за 3 года"</t>
  </si>
  <si>
    <t>"поставщики маркер", ".", "рейтинг заказчиков маркер", "производители"</t>
  </si>
  <si>
    <t>17.21.13.000 Ящики и коробки из гофрированной бумаги или гофрированного картона
17.12.7 Бумага и картон обработанные</t>
  </si>
  <si>
    <t>Сообщения о принятии решения о реорганизации от 01.04.2015</t>
  </si>
  <si>
    <t>21.20.23.199 Средства нелечебные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21.20.10.242 Препараты противогельминтные
21.20.10.262 Препараты для лечения заболеваний уха
21.20.10.251 Препараты назальные
21.20.23.190 Препараты фармацевтические прочие ****</t>
  </si>
  <si>
    <t>За весь период компания заключила  2 контрактов на сумму  498 762 348,90 ?         За 3 ГОДА по 44ФЗ заключено 270 шт. с объемом НМЦ  141 852 871,58 ? с БГИ 12 686 776,19 ? с БГГО 881 467,73 ? с авансированием до 1 211 800,70 ? с комиссией банку 178 529,03 ? с кв 1 553,20 ? ЗА 1 ГОД по 44ФЗ заключено 131 шт. c объемом НМЦ 64 098 071,02 ? с БГИ 5 701 769,35 ? с БГГО 0,00 ? с авансированием до  1 191 325,70 ? с комиссией банку  71 014,47 ? с кв 617,83 ? ЗА 3 ГОДА ПО 223 ФЗ заключено 8 шт. с объемом НМЦ 25 759 800,00 ?</t>
  </si>
  <si>
    <t>Рассматривается банком</t>
  </si>
  <si>
    <t>"на фт заводил Алиев", "свод фт", ".", "fk1", "просрочка на 01.01.2023 г.", "Запрос в ЮД_просрочка на 01.01.2023", "06.2022_ФинХД", "закрыли счет", "клиенты с в от100млн 09.21", "Пункт 3 09.01.23", "лимит сит по кредитам", "все клиенты с выручкой от 1,8 млрд до бесконечности", "ФК клиенты с выручкой от 230 до бесконечности", "Обороты по клиентам по кварталам (2022г)", "производители"</t>
  </si>
  <si>
    <t>10.86.10.130 Молоко сухое и смеси сухие молочные для детей раннего возраста
10.82 Какао, шоколад и изделия кондитерские сахаристые
10.82.23 Изделия кондитерские сахаристые (включая белый шоколад), не содержащие какао
10.89.19.110 Каши сухие</t>
  </si>
  <si>
    <t>1 750</t>
  </si>
  <si>
    <t>За весь период компания заключила  1 контрактов на сумму  500 000 000,00 ?</t>
  </si>
  <si>
    <t>10.82.22.121 Изделия шоколадные с начинкой
10.82.23.149 Конфеты, глазированные помадой, сахарной и жировой глазурью и неглазированные прочие, не включенные в другие группировки
10.82.23.240 Резинка жевательная
10.83.12.110 Заменители кофе
10.82.14.000 Порошок какао с добавками сахара или других подслащивающих веществ
10.82.2 Шоколад и кондитерские сахаристые изделия
10.82.22.119 Шоколад в упакованном виде прочий, не включенный в другие группировки
10.83.12.120 Экстракты, эссенции и концентраты кофе или заменителей кофе
10.11.32.110 Свинина замороженная
10.82.22 Шоколад и пищевые продукты, содержащие какао (кроме подслащенного какао-порошка), в упакованном виде ****</t>
  </si>
  <si>
    <t>2 640</t>
  </si>
  <si>
    <t>26.11.91.000 Услуги, связанные с производством электронных интегральных схем
26.80.14 Карты магнитные
26.12.30.000 Карты со встроенными интегральными схемами (смарт-карты)
26.80.1 Носители данных магнитные и оптические</t>
  </si>
  <si>
    <t>За весь период компания заключила  17 контрактов на сумму  12 094 174 744,65 ? За весь период заходили в конкурсы  1 раз на общую сумму обеспеченных контрактов с НМЦ 129 987 232,74 ? с БГУ  6 750 000,00 ? с БГИ 40 500 000,00 ?</t>
  </si>
  <si>
    <t>"223 за 3 года", ".", "рейтинг поставщиков в маркере по бг", "ИНН_договоры_октябрь_", "все клиенты с выручкой от 1,8 млрд до бесконечности", "производители", "рейтинг по нмц маркер", "crm управления", "в crm за Курилиным", "44 за 3 года"</t>
  </si>
  <si>
    <t>71.12.11 Услуги в виде научно-технических консультаций
71.12.17 Услуги по инженерно-техническому проектированию производственных процессов и производств</t>
  </si>
  <si>
    <t>за 1 ГОД ПО 223ФЗ заключено 1  4 500 000,00 ?</t>
  </si>
  <si>
    <t>27.90.33.110 Комплектующие (запасные части) прочего электрического оборудования, не имеющие самостоятельных группировок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33.13.1 Услуги по ремонту и техническому обслуживанию электронного и оптического оборудования
33.12.29.900 Услуги по ремонту и техническому обслуживанию прочего оборудования специального назначения, не включенные в другие группировки
26.60.12.140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
33.12.1 Услуги по ремонту и техническому обслуживанию оборудования общего назначения
32.50.13.120 Инструменты и приспособления офтальмологические
20.11.12.190 Соединения неметаллов кислородные неорганические прочие
27.40.15.119 Лампы газоразрядные прочие ****</t>
  </si>
  <si>
    <t>22.22.14.000 Бутыли, бутылки, флаконы и аналогичные изделия из пластмасс
22.22.19.000 Изделия упаковочные пластмассовые прочие
25.92.13.000 Пробки и заглушки, колпачки и крышки корончатые из недрагоценных металлов</t>
  </si>
  <si>
    <t>11.01 Напитки алкогольные дистиллированные и ректификованные
11.05 Пиво
11 Напитки
11.05.10 Пиво, кроме отходов пивоварения
23.41.12.110 Посуда столовая и кухонная из керамики, кроме фарфоровой
11.07.19.136 Напитки на минеральной воде</t>
  </si>
  <si>
    <t>"это заказчик", ".", "рейтинг заказчиков маркер"</t>
  </si>
  <si>
    <t>77.12 Услуги по аренде и лизингу грузовых транспортных средств
52.24.13.000 Услуги по обработке грузов в портах прочие
49.41 Услуги по грузовым перевозкам автомобильным транспортом</t>
  </si>
  <si>
    <t>1 496</t>
  </si>
  <si>
    <t>Заказчик разыгравший 70 конкурсов на сумму  12 265 500 264,06 ?</t>
  </si>
  <si>
    <t>"223 за 3 года", ".", "все клиенты с выручкой от 1,8 млрд до бесконечности", "рейтинг заказчиков маркер", "это заказчик",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</si>
  <si>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19.2 Нефтепродукты
52.10.12.110 Услуги по хранению и складированию нефти и продуктов ее переработки
19.20.21 Топливо моторное, включая автомобильный и авиационный бензин
42.11.10.120 Дороги автомобильные, в том числе улично-дорожная сеть, и прочие автомобильные и пешеходные дороги
52.23.19.110 Работы авиационные
49.39.39.000 Услуги по перевозке пассажиров сухопутным транспортом прочие, не включенные в другие группировки
27.11.31 Установки генераторные с двигателями внутреннего сгорания с воспламенением от сжатия</t>
  </si>
  <si>
    <t>За весь период компания заключила  9 контрактов на сумму  14 790 092 590,81 ? За весь период заходили в конкурсы  7 раз на общую сумму обеспеченных контрактов с НМЦ 2 850 379 198,43 ? с БГУ  110 252 169,89 ? с БГИ 282 770 369,10 ?                             ЗА 3 ГОДА ПО 223 ФЗ заключено 1 шт. с объемом НМЦ 355 140 268,80 ?</t>
  </si>
  <si>
    <t>"223 за 3 года", ".", "рейтинг поставщиков в маркере по бг", "ГРАНДИОЗНЫЙ ПРОЕКТ", "все клиенты с выручкой от 1,8 млрд до бесконечности", "рейтинг заказчиков маркер", "производители", "рейтинг по нмц маркер", "44 за 3 года"</t>
  </si>
  <si>
    <t>"это заказчик", ".", "СRM Шарифуллина", "все клиенты с выручкой от 1,8 млрд до бесконечности"</t>
  </si>
  <si>
    <t>"поставщики маркер", ".", "Участники клиринга", "рейтинг по нмц маркер"</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</si>
  <si>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 Электроэнергия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t>
  </si>
  <si>
    <t>За весь период компания заключила  6 контрактов на сумму  1 269 375 409,31 ? За весь период заходили в конкурсы  65 раз на общую сумму обеспеченных контрактов с НМЦ 1 066 819 114,31 ? с БГУ  10 988 368,24 ? с БГИ 109 883 682,40 ?                                 за 1 ГОД ПО 223ФЗ заключено 3  3 880 298,52 ?</t>
  </si>
  <si>
    <t>Сообщение должника о намерении обратиться в суд с заявлением о банкротстве от 22.07.2020</t>
  </si>
  <si>
    <t>"223 за 3 года", ".", "рейтинг поставщиков в маркере по бг", "все клиенты с выручкой от 1,8 млрд до бесконечности", "рейтинг заказчиков маркер", "рейтинг по нмц маркер", "это заказчик", "поставщики маркер"</t>
  </si>
  <si>
    <t>10.51.11.190 Молоко прочее, не включенное в другие группировки
10.51.52.140 Кефир
10.89.19.290 Продукты пищевые прочие, не включенные в другие группировки
10.51.40.131 Сыры твердые без вкусовых наполнителей
10.51.52.200 Сметана
10.51.40.300 Творог
10.51.56.159 Продукты на основе творога прочие, не включенные в другие группировки
10.51.52.212 Сметана от 18,0 % до 22,0 % жирности
10.51.30.111 Масло сладко-сливочное
10.51.56.244 Сметана сублимированная и продукты сметанные сублимированные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</si>
  <si>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35.11.10.143 Электроэнергия, произведенная геотермальными электростанциями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35.11.10 Электроэнергия
35.12.10.120 Услуги по технологическому присоединению к распределительным электросетям
35.13.10.000 Услуги по распределению электроэнергии ****</t>
  </si>
  <si>
    <t>За весь период компания заключила  17 контрактов на сумму  1 119 825 981,52 ? За весь период заходили в конкурсы  1 раз на общую сумму обеспеченных контрактов с НМЦ 34 860 494,08 ? с БГУ  627 301,94 ? с БГИ 2 985 957,27 ? За 3 ГОДА по 44ФЗ заключено 8 шт. с объемом НМЦ  136 500 743,88 ? с БГИ 4 274 962,87 ? с БГГО 2 045 144,00 ? с авансированием до 0,00 ? с комиссией банку 472 517,51 ? с кв 4 110,90 ?               ЗА 3 ГОДА ПО 223 ФЗ заключено 14 шт. с объемом НМЦ 68 733 964,66 ? за 1 ГОД ПО 223ФЗ заключено 7  34 300 431,36 ?</t>
  </si>
  <si>
    <t>"223 за 3 года", ".", "рейтинг поставщиков в маркере по бг", "рейтинг заказчиков маркер", "рейтинг по нмц маркер", "это заказчик", "поставщики маркер", "44 за 3 года"</t>
  </si>
  <si>
    <t>11.0 Напитки
11.01 Напитки алкогольные дистиллированные и ректификованные
11.04.10.120 Вина прочие ароматизированные, в том числе из свежего винограда
11.02.12.110 Вина
11.01.10.180 Виски
11.02.11.114 Вино игристое (шампанское)
11.01.10.111 Водка
11.01.10.190 Спиртные напитки прочие
11.02.11.110 Вина игристые
11.01.10.113 Водка особая ****</t>
  </si>
  <si>
    <t>"223 за 3 года", ".", "райф", "все клиенты с выручкой от 1,8 млрд до бесконечности", "поставщики маркер"</t>
  </si>
  <si>
    <t>27.11.41.000 Трансформаторы с жидким диэлектриком
27.12.32.000 Панели и прочие комплекты электрической аппаратуры коммутации или защиты на напряжение более 1 кВ
27.12.40.000 Части электрической распределительной или регулирующей аппаратуры
27.11.4 Трансформаторы электрические
27.11.43.000 Трансформаторы прочие мощностью более 16 кВА
27.33.13.169 Аппараты электрические для управления электротехническими установками прочие, не включенные в другие группировки
27.11.42.000 Трансформаторы прочие мощностью не более 16 кВА</t>
  </si>
  <si>
    <t>За весь период компания заключила  15 контрактов на сумму  10 127 548 550,65 ?                                         за 1 ГОД ПО 223ФЗ заключено 9  18 231 001,48 ?</t>
  </si>
  <si>
    <t>"223 за 3 года", ".", "все клиенты с выручкой от 1,8 млрд до бесконечности", "производители", "рейтинг по нмц маркер", "crm управления", "в crm за Муслимом", "поставщики маркер"</t>
  </si>
  <si>
    <t>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43.91.19.190 Работы кровельные прочие, не включенные в другие группировки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43.29.19.190 Работы монтажные прочие, не включенные в другие группировки</t>
  </si>
  <si>
    <t>За весь период компания заключила  19 контрактов на сумму  9 942 553 018,59 ? За весь период заходили в конкурсы  58 раз на общую сумму обеспеченных контрактов с НМЦ 15 790 885 075,35 ? с БГУ  774 245 509,65 ? с БГИ 1 635 833 584,78 ? За 3 ГОДА по 44ФЗ заключено 71 шт. с объемом НМЦ  18 651 666 903,49 ? с БГИ 1 881 570 551,67 ? с БГГО 24 441 179,76 ? с авансированием до 4 818 859 985,34 ? с комиссией банку 28 619 621,56 ? с кв 248 990,71 ? ЗА 1 ГОД по 44ФЗ заключено 29 шт. c объемом НМЦ 7 771 396 120,54 ? с БГИ 786 769 883,19 ? с БГГО 0,00 ? с авансированием до  746 063 187,52 ? с комиссией банку  11 530 100,79 ? с кв 100 311,88 ?</t>
  </si>
  <si>
    <t>"44 за 3 года", ".", "рейтинг поставщиков в маркере по бг", "ГРАНДИОЗНЫЙ ПРОЕКТ", "Конкурсы 100+ (Восстановленный)", "44 фз с с БГ от 10 млн", "рейтинг по нмц маркер", "crm управления", "в crm за Шаклейном ", "поставщики маркер"</t>
  </si>
  <si>
    <t>41.10.1 Документация проектная для строительства</t>
  </si>
  <si>
    <t>За весь период компания заключила  6 контрактов на сумму  4 239 621 663,27 ? За весь период заходили в конкурсы  7 раз на общую сумму обеспеченных контрактов с НМЦ 962 349 630,61 ? с БГУ  63 232 801,00 ? с БГИ 368 582 814,00 ?</t>
  </si>
  <si>
    <t>21.20.22.000 Средства химические контрацептивные на основе гормонов или сперматоцидов
21.20.23.110 Реагенты диагностические
21.20.23.113 Средства радиофармацевтические диагностические
21.20.23.199 Средства нелечебные прочие
21 Средства лекарственные и материалы, применяемые в медицинских целях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21.10.60.193 Кровь животных, приготовленная для использования в терапевтических, профилактических или диагностических целях
21.20.10.118 Препараты, способствующие пищеварению, включая ферментные препараты
21.20.10.133 Препараты антианемические ****</t>
  </si>
  <si>
    <t>За весь период компания заключила  31 контрактов на сумму  2 457 478 162,09 ? За весь период заходили в конкурсы  41 раз на общую сумму обеспеченных контрактов с НМЦ 2 149 553 004,64 ? с БГУ  83 028 658,55 ? с БГИ 361 591 564,57 ? За 3 ГОДА по 44ФЗ заключено 32132 шт. с объемом НМЦ  20 222 021 607,12 ? с БГИ 1 682 796 388,88 ? с БГГО 28 082 555,53 ? с авансированием до 9 415 934,03 ? с комиссией банку 23 562 542,39 ? с кв 204 994,12 ? ЗА 1 ГОД по 44ФЗ заключено 10643 шт. c объемом НМЦ 8 687 468 418,07 ? с БГИ 735 290 045,40 ? с БГГО 986 252,60 ? с авансированием до  4 714 740,19 ? с комиссией банку  11 888 251,33 ? с кв 103 427,79 ? ЗА 3 ГОДА ПО 223 ФЗ заключено 299 шт. с объемом НМЦ 1 015 765 306,91 ? за 1 ГОД ПО 223ФЗ заключено 89  224 368 881,03 ?</t>
  </si>
  <si>
    <t>"223 за 3 года", ".", "рейтинг поставщиков в маркере по бг", "223 фз контракты 20+", "44 фз с с БГ от 10 млн", "рейтинг по нмц маркер", "поставщики маркер", "44 за 3 года"</t>
  </si>
  <si>
    <t>"06.2022_ФинХД", "."</t>
  </si>
  <si>
    <t>20.14.64 Ферменты и прочие органические соединения, не включенные в другие группировки
20.59 Продукты химические прочие, не включенные в другие группировки
21.20.23.110 Реагенты диагностические
20.59.52.193 Комплексоны и комплексонаты, соединения комплексные
20.59.52.199 Реагенты сложные диагностические или лабораторные прочие, не включенные в другие группировки
20.59.59 Продукты разные химические, не включенные в другие группировки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20.59.52.194 Реактивы химические общелабораторного назначения
26.60.12.119 Аппараты электродиагностические прочие ****</t>
  </si>
  <si>
    <t>За весь период компания заключила  6 контрактов на сумму  345 228 075,92 ? За весь период заходили в конкурсы  10 раз на общую сумму обеспеченных контрактов с НМЦ 1 021 936 076,18 ? с БГУ  11 276 379,59 ? с БГИ 165 879 754,49 ? За 3 ГОДА по 44ФЗ заключено 249 шт. с объемом НМЦ  1 604 359 198,22 ? с БГИ 193 003 770,84 ? с БГГО 22 874 636,97 ? с авансированием до 3 539 662,50 ? с комиссией банку 995 999,10 ? с кв 8 665,19 ? ЗА 1 ГОД по 44ФЗ заключено 76 шт. c объемом НМЦ 501 721 725,36 ? с БГИ 53 906 731,75 ? с БГГО 145 969,00 ? с авансированием до  0,00 ? с комиссией банку  413 177,88 ? с кв 3 594,65 ? ЗА 3 ГОДА ПО 223 ФЗ заключено 58 шт. с объемом НМЦ 86 646 551,20 ? за 1 ГОД ПО 223ФЗ заключено 6  10 127 397,92 ?</t>
  </si>
  <si>
    <t>"223 за 3 года", ".", "рейтинг поставщиков в маркере по бг",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 "44 за 3 года"</t>
  </si>
  <si>
    <t>68.20.1 Услуги по сдаче в аренду (внаем) собственного или арендованного недвижимого имущества</t>
  </si>
  <si>
    <t>47.78.90.000 Услуги по розничной торговле непродовольственными товарами, не включенными в другие группировки, в специализированных магазинах</t>
  </si>
  <si>
    <t>"223 за 3 года", ".", "fk1", "Пункт 3.1 09.01.2023", "ушедшие", "все клиенты с выручкой от 1,8 млрд до бесконечности", "это заказчик", "поставщики маркер"</t>
  </si>
  <si>
    <t>"все клиенты с выручкой от 1,8 млрд до бесконечности", ".", "клиент металлинвеста"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</si>
  <si>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41.20.40.900 Работы строительные по возведению нежилых зданий и сооружений прочие, не включенные в другие группировки
42.12 Дороги железные наземные и подземные; строительные работы по строительству наземных и подземных железных дорог
42.13.20.100 Работы строительные по строительству мостов и тоннелей, кроме работ по сохранению и воссозданию объектов культурного наследия
42.11.10.160 Полосы взлетно-посадочные аэродромов, включая рулежные дорожки и аналогичных сооружений аэродромов, кроме зданий
42.13.10.119 Мосты и путепроводы из любых материалов для всех типов сухопутного транспорта и для пешеходов прочие
42.91.20.100 Работы строительные по строительству береговых и портовых сооружений, плотин, шлюзов и связанных гидромеханических сооружений, кроме работ по сохранению и воссозданию объектов культурного наследия</t>
  </si>
  <si>
    <t>1 433</t>
  </si>
  <si>
    <t>За весь период компания заключила  36 контрактов на сумму  66 756 903 177,95 ? За весь период заходили в конкурсы  41 раз на общую сумму обеспеченных контрактов с НМЦ 66 799 824 237,92 ? с БГУ  2 126 208 160,80 ? с БГИ 14 584 498 359,30 ? За 3 ГОДА по 44ФЗ заключено 7 шт. с объемом НМЦ  23 931 250 313,38 ? с БГИ 5 039 292 628,74 ? с БГГО 1 077 867 897,82 ? с авансированием до 5 039 292 628,73 ? с комиссией банку 185 167 105,31 ? с кв 1 610 953,82 ? ЗА 1 ГОД по 44ФЗ заключено 1 шт. c объемом НМЦ 1 999 438 555,00 ? с БГИ 599 831 566,50 ? с БГГО 0,00 ? с авансированием до  599 831 566,50 ? с комиссией банку  27 937 360,63 ? с кв 243 055,04 ? ЗА 3 ГОДА ПО 223 ФЗ заключено 1 шт. с объемом НМЦ 84 228 264,00 ? за 1 ГОД ПО 223ФЗ заключено 1  84 228 264,00 ?</t>
  </si>
  <si>
    <t>Сообщение кредитора о намерении обратиться в суд с заявлением о банкротстве от 01.11.2021</t>
  </si>
  <si>
    <t>"223 за 3 года", "свод фт", ".", "рейтинг поставщиков в маркере по бг", "ГРАНДИОЗНЫЙ ПРОЕКТ", "Конкурсы 100+ (Восстановленный)", "Агентские отказ из-за непред-я док-ов", "fk1", "Кредитный портфель_01.11", "корп 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"производители", "рейтинг по нмц маркер", "на фт заводил Шутов", "на фт заводил Шевченко", "на фт заводил Морозова", "на фт заводил Мелкумов", "44 за 3 года"</t>
  </si>
  <si>
    <t>41.20.40.900 Работы строительные по возведению нежилых зданий и сооружений прочие, не включенные в другие группировки</t>
  </si>
  <si>
    <t>3 066</t>
  </si>
  <si>
    <t>За весь период компания заключила  3 контрактов на сумму  13 317 821 940,70 ? За весь период заходили в конкурсы  3 раз на общую сумму обеспеченных контрактов с НМЦ 13 317 821 940,70 ? с БГУ  459 846 235,63 ? с БГИ 1 583 962 532,81 ?</t>
  </si>
  <si>
    <t>"44 за 3 года", "кл фт агент бг 04.22", ".", "рейтинг поставщиков в маркере по бг", "Рассрочка КВ Март 2023", "ГРАНДИОЗНЫЙ ПРОЕКТ", "fk1", "корп 1", "ушедшие",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"рейтинг по нмц маркер", "поставщики маркер"</t>
  </si>
  <si>
    <t>43.99.90.190 Работы строительные специализированные прочие, не включенные в другие группировки
43.39.19.190 Работы завершающие и отделочные в зданиях и сооружениях, прочие, не включенные в другие группировки</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</si>
  <si>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23.99.13.111 Смеси асфальтобетонные дорожные, аэродромные и асфальтобетон горячие щебеночные
42.11.10.120 Дороги автомобильные, в том числе улично-дорожная сеть, и прочие автомобильные и пешеходные дороги
41.20.20.100 Здания нежилые
42.99.22.100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кроме работ по сохранению и воссозданию объектов культурного наследия
42.11.10.129 Дороги автомобильные, в том числе улично-дорожная сеть, и прочие автомобильные и пешеходные дороги, не включенные в другие группировки
23.99.13.110 Смеси асфальтобетонные дорожные, аэродромные и асфальтобетон горячие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</si>
  <si>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8 контрактов на сумму  3 083 823 818,41 ? За весь период заходили в конкурсы  25 раз на общую сумму обеспеченных контрактов с НМЦ 5 271 766 265,29 ? с БГУ  112 083 497,93 ? с БГИ 994 622 514,34 ?</t>
  </si>
  <si>
    <t>"44 за 3 года", "свод фт", ".", "рейтинг поставщиков в маркере по бг", "fk1", "лимит сит по кредитам", "все клиенты с выручкой от 1,8 млрд до бесконечности", "рейтинг по нмц маркер", "на фт заводил Ростислав", "crm управления", "в crm за шинахововым", "поставщики маркер"</t>
  </si>
  <si>
    <t>28.15.39.110 Детали подшипников, не включенные в другие группировки
28.29.84.000 Части оборудования, не имеющие электрических соединений, не включенные в другие группировки
24 Металлы основные
24.10.21.149 Полуфабрикаты круглого или многоугольного сечения из нелегированной стали прочие
28.30.93.000 Части прочих машин и оборудования для сельского хозяйства
46.6 Услуги по оптовой торговле прочими машинами, оборудованием и инструментами
29.32.30.231 Кузова (кабины)
25.11.22.192 Опоры из черных металлов прочие, не включенные в другие группировки
28.14.20.290 Основные узлы, детали арматуры прочие (сальники, седла, золотники, плунжеры, штоки, шпиндели, мембраны и прочие)
28.11.42.000 Части прочих двигателей, не включенных в другие группировки ****</t>
  </si>
  <si>
    <t>ЗА 3 ГОДА ПО 223 ФЗ заключено 15 шт. с объемом НМЦ 23 097 173,86 ? за 1 ГОД ПО 223ФЗ заключено 9  7 461 997,95 ?</t>
  </si>
  <si>
    <t>"223 за 3 года", ".", "все клиенты с выручкой от 1,8 млрд до бесконечности", "Участники клиринга", "223 фз контракты 20+", "поставщики маркер", "44 за 3 года"</t>
  </si>
  <si>
    <t>21.20.10.191 Препараты антибактериальные для системного использования
21.20.10.213 Иммуномодуляторы
21.20.10.251 Препараты назальные
21.20.23.190 Препараты фармацевтические прочие
21.20.10 Препараты лекарственные
21.20.10.194 Препараты противовирусные для системного применения
21.20.10.239 Препараты для лечения заболеваний нервной системы прочие
21.20.10.119 Препараты для лечения сахарного диабета
21.20.10.131 Антикоагулянты
21.20.10.261 Препараты для лечения заболеваний глаз ****</t>
  </si>
  <si>
    <t>За весь период заходили в конкурсы  1 раз на общую сумму обеспеченных контрактов с НМЦ 45 882 081,00 ? с БГУ  549 486,00 ? с БГИ 5 494 860,00 ? За 3 ГОДА по 44ФЗ заключено 592 шт. с объемом НМЦ  1 252 042 579,48 ? с БГИ 98 871 929,94 ? с БГГО 66 013,00 ? с авансированием до 63 036,84 ? с комиссией банку 1 453 560,28 ? с кв 12 645,97 ? ЗА 1 ГОД по 44ФЗ заключено 362 шт. c объемом НМЦ 760 372 605,19 ? с БГИ 55 429 226,11 ? с БГГО 0,00 ? с авансированием до  51 706,75 ? с комиссией банку  743 430,20 ? с кв 6 467,84 ? ЗА 3 ГОДА ПО 223 ФЗ заключено 6 шт. с объемом НМЦ 21 916 776,00 ? за 1 ГОД ПО 223ФЗ заключено 6  23 975 052,00 ?</t>
  </si>
  <si>
    <t>"223 за 3 года", ".", "рейтинг поставщиков в маркере по бг", "Пункт 3 09.01.23", "все клиенты с выручкой от 1,8 млрд до бесконечности", "ФК клиенты с выручкой от 230 до бесконечности", "рейтинг по нмц маркер", "поставщики маркер", "44 за 3 года"</t>
  </si>
  <si>
    <t>За весь период заходили в конкурсы  1 раз на общую сумму обеспеченных контрактов с НМЦ 324 000 000,00 ? с БГУ  16 220 975,85 ? с БГИ 32 441 951,70 ?</t>
  </si>
  <si>
    <t>"поставщики маркер", ".", "рейтинг поставщиков в маркере по бг"</t>
  </si>
  <si>
    <t>Сообщения о принятии решения о реорганизации от 15.12.2020</t>
  </si>
  <si>
    <t>28.14.12.110 Краны, клапаны для раковин, моек, биде, унитазов, ванн и аналогичная арматура
20.30.22.170 Герметики
25.99.11.191 Оборудование санитарно-техническое прочее и его части из черных металлов
47.52.79.000 Услуги по розничной торговле прочими строительными материалами, не включенными в другие группировки, в специализированных магазинах
22.21.29.110 Трубы прочие пластмассовые
27.20.23.190 Батареи аккумуляторные прочие
23.51.12.115 Цемент композиционный
27.32.13.153 Кабели зоновой связи
27.51.25.110 Водонагреватели проточные и накопительные электрические
20.30.12.120 Краски на основе сложных полиэфиров, акриловых или виниловых полимеров в неводной среде ****</t>
  </si>
  <si>
    <t>"поставщики маркер", ".", "ушедший портфель", "ИНН 3 года - нет КД БГ на 01.10.22", "Список ушедший ", "уш кл2", "ушедшие", "лимит сит по кредитам", "все клиенты с выручкой от 1,8 млрд до бесконечности"</t>
  </si>
  <si>
    <t>41.20.10.120 Здания общежитий
41.20.40.900 Работы строительные по возведению нежилых зданий и сооружений прочие, не включенные в другие группировки</t>
  </si>
  <si>
    <t>За весь период компания заключила  11 контрактов на сумму  9 204 427 319,90 ? За весь период заходили в конкурсы  2 раз на общую сумму обеспеченных контрактов с НМЦ 1 751 196 832,00 ? с БГУ  11 760 223,51 ? с БГИ 414 076 610,60 ?               ЗА 1 ГОД по 44ФЗ заключено 1 шт. c объемом НМЦ 1 209 484 702,00 ? с БГИ 362 845 410,60 ? с БГГО 12 094 847,00 ? с авансированием до  362 845 410,60 ? с комиссией банку  5 427 769,70 ? с кв 47 221,60 ? ЗА 3 ГОДА ПО 223 ФЗ заключено 6 шт. с объемом НМЦ 11 586 501 036,00 ? за 1 ГОД ПО 223ФЗ заключено 2  28 507 200,00 ?</t>
  </si>
  <si>
    <t>Сообщение кредитора о намерении обратиться в суд с заявлением о банкротстве от 30.07.2021</t>
  </si>
  <si>
    <t>"223 за 3 года", ".", "рейтинг поставщиков в маркере по бг", "п6", "Конкурсы 100+ (Восстановленный)", "Агентские отказ из-за непред-я док-ов", "fk1", "Пункт 3.1 09.01.2023", "Агентские одобренные но не выданные от 30.08", "все клиенты с выручкой от 1,8 млрд до бесконечности", "рейтинг по нмц маркер", "поставщики маркер", "44 за 3 года"</t>
  </si>
  <si>
    <t>19.20.24.120 Керосины осветительные
46.12.11.000 Услуги по оптовой торговле твердым, жидким и газообразным топливом и связанными продуктами за вознаграждение или на договорной основе
19.20.21.200 Бензин авиационный
46.71 Услуги по оптовой торговле твердым, жидким и газообразным топливом и связанными продуктами
19.20.21 Топливо моторное, включая автомобильный и авиационный бензин
19.20.21.125 Бензин автомобильный с октановым числом более 92, но не более 95 по исследовательскому методу экологического класса К5
19.20.21.315 Топливо дизельное летнее экологического класса К5
19.20.21.320 Топливо дизельное зимнее
19.20.24 Керосин
19.20.21.300 Топливо дизельное ****</t>
  </si>
  <si>
    <t>ЗА 3 ГОДА ПО 223 ФЗ заключено 26 шт. с объемом НМЦ 221 813 295,79 ? за 1 ГОД ПО 223ФЗ заключено 11  184 739 887,16 ?</t>
  </si>
  <si>
    <t>"223 за 3 года", ".", "Участники клиринга", "223 фз контракты 20+", "поставщики маркер", "44 за 3 года"</t>
  </si>
  <si>
    <t>10.82.2 Шоколад и кондитерские сахаристые изделия</t>
  </si>
  <si>
    <t>"Обороты по клиентам по кварталам (2022г)", ".", "fk1", "все клиенты с выручкой от 1,8 млрд до бесконечности"</t>
  </si>
  <si>
    <t>Сообщения о принятии решения о реорганизации от 28.05.2020</t>
  </si>
  <si>
    <t>28.13.14.110 Насосы центробежные подачи жидкостей прочие
28.93.32.000 Части оборудования для производства пищевых продуктов
28.29 Машины и оборудование общего назначения прочие, не включенные в другие группировки
28.93.1 Оборудование для производства пищевых продуктов, напитков и табачных изделий, кроме его частей
28.99 Оборудование специального назначения прочее, не включенное в другие группировки
28.25.11.110 Теплообменники
27 Оборудование электрическое
28.93.3 Части оборудования для обработки пищевых продуктов, напитков и табака</t>
  </si>
  <si>
    <t>"в crm за Шевченко ОРК  4", "crm управления"</t>
  </si>
  <si>
    <t>"223 за 3 года", "кл фт прямые бг 04.22", "свод фт", ".", "fk1", "БГ ФБ ЮР лица на 01.07.2021", "Гарантии ФБ банкроты", "филиал бизнес 31.01.22 ", "все клиенты с выручкой от 1,8 млрд до бесконечности", "ФК клиенты с выручкой от 230 до бесконечности", "клиенты от 100 млн", "ФТ клиенты с продуктами по сотрудникам", "производители", "на фт заводил Тихонов ", "на фт заводил Середин", "на фт заводил Микульшин", "crm управления", "в crm за Шевченко ОРК  4", "поставщики маркер"</t>
  </si>
  <si>
    <t>41.20.40.900 Работы строительные по возведению нежилых зданий и сооружений прочие, не включенные в другие группировки
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</si>
  <si>
    <t>За весь период компания заключила  8 контрактов на сумму  14 114 122 124,69 ?</t>
  </si>
  <si>
    <t>"223 за 3 года", "свод фт", ".", "все клиенты с выручкой от 1,8 млрд до бесконечности", "производители", "рейтинг по нмц маркер", "на фт заводил Бесков", "на фт заводил Адеев", "crm управления", "в crm за Адеевым", "поставщики маркер"</t>
  </si>
  <si>
    <t>ФТ клиенты с продуктами по сотрудникам</t>
  </si>
  <si>
    <t>"поставщики маркер", "кл фт агент бг 04.22", ".", "fk1", "Кредитный портфель_01.11", "корп 1", "Гарантии ФБ банкроты",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t>
  </si>
  <si>
    <t>1 097</t>
  </si>
  <si>
    <t>77.39 Услуги по аренде и лизингу прочих машин, оборудования и материальных средств, не включенных в другие группировки</t>
  </si>
  <si>
    <t>За весь период контрактов 19 шт. на общую сумму НМЦ 97 728 200 141,07 ?</t>
  </si>
  <si>
    <t>"в crm за Ким", "crm управления"</t>
  </si>
  <si>
    <t>"в crm за Ким", ".", "crm управления"</t>
  </si>
  <si>
    <t>32.50.13.190 Инструменты и приспособления, применяемые в медицинских целях, прочие, не включенные в другие группировки
32.99.11.199 Средства индивидуальной защиты прочие, не включенные в другие группировки</t>
  </si>
  <si>
    <t>Сообщения о принятии решения о реорганизации от 21.12.2020</t>
  </si>
  <si>
    <t>22.29 Изделия пластмассовые прочие
13.99 Изделия текстильные прочие, не включенные в другие группировки
21 Средства лекарственные и материалы, применяемые в медицинских целях
14.31 Изделия чулочно-носочные трикотажные или вязаные
21.20.2 Препараты лекарственные прочие и материалы, применяемые в медицинских целях
32.50.42 Очки для коррекции зрения, защитные или прочие очки или аналогичные оптические приборы
13.99.19.111 Вата медицинская гигроскопическая
21.20.10 Препараты лекарственные
47.73.10.000 Услуги по розничной торговле лекарственными средствами в специализированных магазинах
23.13.11 Бутылки, банки, флаконы и прочая тара из стекла, кроме ампул; пробки, крышки и прочие укупорочные средства из стекла ****</t>
  </si>
  <si>
    <t>"поставщики маркер", ".", "fk1", "Участники клиринга"</t>
  </si>
  <si>
    <t>46.71 Услуги по оптовой торговле твердым, жидким и газообразным топливом и связанными продуктами
19.20.21.400 Топливо судовое
19.20.21.320 Топливо дизельное зимнее
19.20.21.325 Топливо дизельное зимнее экологического класса К5
19.20 Нефтепродукты</t>
  </si>
  <si>
    <t>За весь период компания заключила  3 контрактов на сумму  1 773 019 518,54 ? За весь период заходили в конкурсы  2 раз на общую сумму обеспеченных контрактов с НМЦ 106 039 037,08 ? с БГУ  1 178 211,52 ? с БГИ 11 782 115,22 ?</t>
  </si>
  <si>
    <t>"поставщики маркер", ".", "рейтинг поставщиков в маркере по бг", "Участники клиринга", "рейтинг по нмц маркер"</t>
  </si>
  <si>
    <t>77.1 Услуги по аренде и лизингу автотранспортных средств
77.11.10.000 Услуги по аренде и лизингу легковых автомобилей и легких автотранспортных средств
64.91 Услуги по финансовой аренде (лизингу/сублизингу)
49.32.12.000 Услуги по аренде легковых автомобилей с водителем
64.91.10.190 Услуги по финансовой аренде (лизингу/сублизингу) в прочих областях, кроме племенных животных
29.10.24 Средства автотранспортные для перевозки людей прочие
77.12.1 Услуги по аренде и лизингу грузовых транспортных средств
77.12.11.000 Услуги по аренде и лизингу грузовых транспортных средств без водителя</t>
  </si>
  <si>
    <t>1 307</t>
  </si>
  <si>
    <t>За 3 года по 223ФЗ заключено  30 шт контрактов на сумму 154 553 543,24 ?</t>
  </si>
  <si>
    <t>19.20.27.111 Топливо печное бытовое
23.99.13.114 Смеси асфальтобетонные дорожные, аэродромные и асфальтобетон горячие щебено-мастичные
19.20.21 Топливо моторное, включая автомобильный и авиационный бензин
19.20.21.100 Бензин автомобильный
19.20.21.310 Топливо дизельное летнее
19.20.42.121 Битумы нефтяные дорожные
20.59.5 Продукты химические прочие
19.20.21.320 Топливо дизельное зимнее
19.20.21.300 Топливо дизельное
19.20.28.190 Топливо жидкое прочее, не включенное в другие группировки ****</t>
  </si>
  <si>
    <t>За весь период компания заключила  1 контрактов на сумму  426 810 281,77 ? За весь период заходили в конкурсы  4 раз на общую сумму обеспеченных контрактов с НМЦ 981 597 881,77 ? с БГУ  54 009 729,00 ? с БГИ 257 138 374,02 ? За 3 ГОДА по 44ФЗ заключено 1 шт. с объемом НМЦ  456 481 584,86 ? с БГИ 136 944 475,46 ? с БГГО 0,00 ? с авансированием до 0,00 ? с комиссией банку 4 869 970,66 ? с кв 42 368,74 ?               ЗА 3 ГОДА ПО 223 ФЗ заключено 8 шт. с объемом НМЦ 155 519 700,00 ?</t>
  </si>
  <si>
    <t>"223 за 3 года", "свод фт", ".", "рейтинг поставщиков в маркере по бг", "Агентские отказ из-за непред-я док-ов", "fk1", "кредиты фт", "ОТКАЗ УДП", "Пункт 3.1 09.01.2023", "Банкроты ФБ 28.04.2023", "АИЛ портфель", "лимит сит по кредитам", "филиал бизнес 22.11", "клиенты от 100 млн", "Обороты по клиентам по кварталам (2022г)", "Одобренные но не выданные 1 полугодие 2021", "Участники клиринга", "производители", "рейтинг по нмц маркер", "на фт заводил Шутов", "на фт заводил Егоров ", "поставщики маркер", "44 за 3 года"</t>
  </si>
  <si>
    <t>22.22.14.000 Бутыли, бутылки, флаконы и аналогичные изделия из пластмасс</t>
  </si>
  <si>
    <t>28.13.14.110 Насосы центробежные подачи жидкостей прочие
28.99.39.190 Оборудование специального назначения прочее, не включенное в другие группировки
25.73.60.120 Инструменты для бурения скальных пород или грунтов
25.29.11.100 Резервуары и газгольдеры</t>
  </si>
  <si>
    <t>За весь период компания заключила  4 контрактов на сумму  1 698 418 497,76 ?                                     ЗА 3 ГОДА ПО 223 ФЗ заключено 1 шт. с объемом НМЦ 67 301 326,80 ? за 1 ГОД ПО 223ФЗ заключено 1  67 301 326,80 ?</t>
  </si>
  <si>
    <t>"223 за 3 года", ".", "fk1", "Кредитный портфель_01.11", "корп 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t>
  </si>
  <si>
    <t>Юридическим лицом принято решение об изменении места нахождения от 30.12.2022</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</si>
  <si>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41.20.40.900 Работы строительные по возведению нежилых зданий и сооружений прочие, не включенные в другие группировки
71.12.19.100 Услуги по инженерно-техническому проектированию прочих объектов, кроме объектов культурного наследия
41.20.30.100 Работы по возведению жилых зданий, кроме работ по сохранению и воссозданию объектов культурного наследия
41.10.10.000 Документация проектная для строительства
41.20.20.180 Здания предприятий здравоохранения, науки и научного обслуживания, образования, культуры и искусства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</si>
  <si>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27 контрактов на сумму  23 091 530 574,27 ? За весь период заходили в конкурсы  60 раз на общую сумму обеспеченных контрактов с НМЦ 28 558 558 038,53 ? с БГУ  738 618 413,63 ? с БГИ 4 607 553 097,04 ? За 3 ГОДА по 44ФЗ заключено 15 шт. с объемом НМЦ  8 593 705 501,22 ? с БГИ 1 486 914 512,98 ? с БГГО 145 098 136,43 ? с авансированием до 1 614 023 273,20 ? с комиссией банку 39 795 367,00 ? с кв 346 219,69 ? ЗА 1 ГОД по 44ФЗ заключено 2 шт. c объемом НМЦ 734 782 293,47 ? с БГИ 133 412 028,58 ? с БГГО 13 832 234,06 ? с авансированием до  74 494 365,65 ? с комиссией банку  7 205 787,54 ? с кв 62 690,35 ?</t>
  </si>
  <si>
    <t>Юридическим лицом принято решение об изменении места нахождения от 28.02.2023</t>
  </si>
  <si>
    <t>"223 за 3 года", "свод фт", ".", "рейтинг поставщиков в маркере по бг", "44 фз с с БГ от 10 млн", "рейтинг по нмц маркер", "это заказчик", "на фт заводил Хацкевич", "на фт заводил Толстенкова", "поставщики маркер", "44 за 3 года"</t>
  </si>
  <si>
    <t>19.20.21 Топливо моторное, включая автомобильный и авиационный бензин
19.20.28.111 Мазут с массовой долей серы не более 3,5 % с температурой вспышки в открытом тигле не ниже 90 °C, с содержанием сероводорода не более 30 ppm, но более 20 ppm</t>
  </si>
  <si>
    <t>Сообщение кредитора о намерении обратиться в суд с заявлением о банкротстве от 03.07.2018</t>
  </si>
  <si>
    <t>"223 за 3 года", ".", "все клиенты с выручкой от 1,8 млрд до бесконечности", "Участники клиринга", "рейтинг по нмц маркер", "поставщики маркер"</t>
  </si>
  <si>
    <t>19.20.42.121 Битумы нефтяные дорожные
46.71.13.120 Услуги по оптовой торговле мазутом</t>
  </si>
  <si>
    <t>За весь период заходили в конкурсы  5 раз на общую сумму обеспеченных контрактов с НМЦ 394 826 353,45 ? с БГУ  4 884 528,53 ? с БГИ 75 889 455,75 ?</t>
  </si>
  <si>
    <t>Юридическим лицом принято решение об изменении места нахождения от 03.02.2023, Сообщение кредитора о намерении обратиться в суд с заявлением о банкротстве от 02.09.2020</t>
  </si>
  <si>
    <t>"44 за 3 года", ".", "рейтинг поставщиков в маркере по бг", "все клиенты с выручкой от 1,8 млрд до бесконечности", "рейтинг по нмц маркер", "поставщики маркер"</t>
  </si>
  <si>
    <t>43.99.70.000 Работы по сборке и монтажу сборных конструкций
43.91.19.110 Работы строительные по устройству любых видов кровельных покрытий зданий и сооружений</t>
  </si>
  <si>
    <t>1 346</t>
  </si>
  <si>
    <t>За весь период заходили в конкурсы  1 раз на общую сумму обеспеченных контрактов с НМЦ 351 226 471,96 ? с БГУ  17 561 323,60 ? с БГИ 105 367 941,59 ? За 3 ГОДА по 44ФЗ заключено 1 шт. с объемом НМЦ  351 226 471,96 ? с БГИ 105 367 941,59 ? с БГГО 0,00 ? с авансированием до 0,00 ? с комиссией банку 1 177 811,51 ? с кв 10 246,96 ?</t>
  </si>
  <si>
    <t>"44 за 3 года", "свод фт", ".", "рейтинг поставщиков в маркере по бг", "все клиенты с выручкой от 1,8 млрд до бесконечности", "на фт заводил Морозова", "поставщики маркер"</t>
  </si>
  <si>
    <t>17.29 Изделия из бумаги и картона прочие
20.16.51 Полимеры пропилена и прочих олефинов в первичных формах
20.16.10.119 Полиэтилен прочий</t>
  </si>
  <si>
    <t>ЗА 3 ГОДА ПО 223 ФЗ заключено 2 шт. с объемом НМЦ 27 545 358,00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</si>
  <si>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43.99.70.000 Работы по сборке и монтажу сборных конструкций
43.99.90.190 Работы строительные специализированные прочие, не включенные в другие группировки
42.99.12.124 Территории парковые и парки для отдыха
81.29.12.000 Услуги по подметанию и уборке снега
81.30.10.000 Услуги по планировке ландшафта
42.11.10.120 Дороги автомобильные, в том числе улично-дорожная сеть, и прочие автомобильные и пешеходные дороги
43.99.90.160 Аренда кранов и прочего строительного оборудования, которое не предназначено для одной конкретной строительной услуги, с оператором
43.12.11.190 Работы земляные прочие, не включенные в другие группировки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 ****</t>
  </si>
  <si>
    <t>За весь период компания заключила  13 контрактов на сумму  3 248 111 038,46 ? За весь период заходили в конкурсы  42 раз на общую сумму обеспеченных контрактов с НМЦ 7 216 820 291,48 ? с БГУ  326 599 845,62 ? с БГИ 1 820 146 516,69 ? За 3 ГОДА по 44ФЗ заключено 108 шт. с объемом НМЦ  6 699 680 277,34 ? с БГИ 1 659 651 967,10 ? с БГГО 455 250 007,34 ? с авансированием до 192 769 445,85 ? с комиссией банку 15 162 368,94 ? с кв 131 912,61 ? ЗА 1 ГОД по 44ФЗ заключено 33 шт. c объемом НМЦ 2 297 565 328,88 ? с БГИ 466 987 670,26 ? с БГГО 23 081 074,01 ? с авансированием до  78 911 728,79 ? с комиссией банку  4 837 101,85 ? с кв 42 082,79 ?</t>
  </si>
  <si>
    <t>"44 за 3 года", "кл фт агент бг 04.22", ".", "рейтинг поставщиков в маркере по бг", "Конкурсы 100+ (Восстановленный)", "Агентские отказ из-за непред-я док-ов",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"44 фз с с БГ от 10 млн", "рейтинг по нмц маркер", "поставщики маркер"</t>
  </si>
  <si>
    <t>За весь период компания заключила  2 контрактов на сумму  854 577 165,22 ?</t>
  </si>
  <si>
    <t>клиенты от 100 млн 01.05.576</t>
  </si>
  <si>
    <t>"производители", ".", "fk1", "06.2022_ФинХД", "все клиенты с выручкой от 1,8 млрд до бесконечности", "клиенты от 100 млн", "Обороты по клиентам по кварталам (2022г)"</t>
  </si>
  <si>
    <t>10.82 Какао, шоколад и изделия кондитерские сахаристые
10.8 Продукты пищевые прочие
10 Продукты пищевые</t>
  </si>
  <si>
    <t>77.39.19.110 Услуги по аренде и лизингу прочих машин и оборудования без оператора, не включенных в другие группировки
19.20.29.113 Масла дизельные для авиационных поршневых двигателей
19.20.21.311 Топливо дизельное летнее вне классов</t>
  </si>
  <si>
    <t>"223 за 3 года", ".", "fk1", "все клиенты с выручкой от 1,8 млрд до бесконечности", "Участники клиринга", "рейтинг заказчиков маркер", "рейтинг по нмц маркер", "это заказчик", "поставщики маркер", "44 за 3 года"</t>
  </si>
  <si>
    <t>10.61.4 Отруби, высевки и прочие отходы от обработки зерновых культур
21.10.20.110 Лизин, кислота глутаминовая и их соли
20.14.75.000 Спирт этиловый и прочие денатурированные спирты любой концентрации (крепости)</t>
  </si>
  <si>
    <t>ЗА 3 ГОДА ПО 223 ФЗ заключено 6 шт. с объемом НМЦ 22 251 515,15 ? за 1 ГОД ПО 223ФЗ заключено 1  5 333 333,33 ?</t>
  </si>
  <si>
    <t>"223 за 3 года", ".", "все клиенты с выручкой от 1,8 млрд до бесконечности", "рейтинг заказчиков маркер", "это заказчик"</t>
  </si>
  <si>
    <t>За весь период заходили в конкурсы  1 раз на общую сумму обеспеченных контрактов с НМЦ 161 582 256,00 ? с БГУ  8 160 720,00 ? с БГИ 16 321 440,00 ?</t>
  </si>
  <si>
    <t>"поставщики маркер", ".", "рейтинг поставщиков в маркере по бг", "fk1", "ИНН_договоры_октябрь_", "Кредитный портфель_01.11", "корп 1", "06.2022_ФинХД", "все клиенты с выручкой от 1,8 млрд до бесконечности", "ФК клиенты с выручкой от 230 до бесконечности"</t>
  </si>
  <si>
    <t>10.89.19.140 Концентраты белковые (протеиновые)
10.51.52.140 Кефир
10.51.52.200 Сметана
10.51.11.110 Молоко питьевое пастеризованное
10.51.40.300 Творог
10.51.40.330 Творог зерненый без вкусовых компонентов
10.51.30.111 Масло сладко-сливочное
10.51.56.110 Продукты, термически обработанные после сквашивания, йогуртные, кефирные и прочие
10.51.40.313 Творог (кроме зерненого и произведенного с использованием ультрафильтрации и сепарирования) без вкусовых компонентов от 4 % до 11 % жирности
10.51.30.100 Масло сливочное ****</t>
  </si>
  <si>
    <t>"44 за 3 года", ".", "все клиенты с выручкой от 1,8 млрд до бесконечности", "производители"</t>
  </si>
  <si>
    <t>20.15.33.000 Нитрат аммония
20.15.3 Удобрения азотные минеральные или химические</t>
  </si>
  <si>
    <t>За весь период компания заключила  2 контрактов на сумму  1 651 513 392,23 ?</t>
  </si>
  <si>
    <t>Сообщение кредитора о намерении обратиться в суд с заявлением о банкротстве от 30.07.2020</t>
  </si>
  <si>
    <t>"поставщики маркер", ".", "Участники клиринга", "рейтинг заказчиков маркер", "рейтинг по нмц маркер"</t>
  </si>
  <si>
    <t>"223 за 3 года", ".", "все клиенты с выручкой от 1,8 млрд до бесконечности", "производители"</t>
  </si>
  <si>
    <t>"Обороты по клиентам по кварталам (2022г)", ".", "fk1", "все клиенты с выручкой от 1,8 млрд до бесконечности", "ФК клиенты с выручкой от 230 до бесконечности"</t>
  </si>
  <si>
    <t>21.20.23.110 Реагенты диагностические
21.20.23.199 Средства нелечебные прочие
21 Средства лекарственные и материалы, применяемые в медицинских целях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21.10.60.194 Культуры микроорганизмов (кроме дрожжей)
21.20.10.118 Препараты, способствующие пищеварению, включая ферментные препараты
21.20.10.133 Препараты антианемические
21.20.10.191 Препараты антибактериальные для системного использования
21.20.10.213 Иммуномодуляторы ****</t>
  </si>
  <si>
    <t>10.11.31.110 Говядина замороженная</t>
  </si>
  <si>
    <t>20.15.79.000 Удобрения минеральные или химические, содержащие два или три питательных элемента (азот, фосфор и калий), не включенные в другие группировки
20.15.76 Нитраты калия
20.15.7 Удобрения, не включенные в другие группировки</t>
  </si>
  <si>
    <t>26.20.16.150 Сканеры
26.20.18.000 Устройства периферийные с двумя или более функциями: печать данных, копирование, сканирование, прием и передача факсимильных сообщений
26.70.13.000 Видеокамеры цифровые
26.70.17.150 Экраны проекционные
26.20.1 Компьютеры, их части и принадлежности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33.13.1 Услуги по ремонту и техническому обслуживанию электронного и оптического оборудования
58.29.29.000 Обеспечение программное прикладное прочее на электронном носителе
58.29.5 Услуги по предоставлению лицензий на право использовать компьютерное программное обеспечение ****</t>
  </si>
  <si>
    <t>За весь период компания заключила  63 контрактов на сумму  27 368 394 767,86 ? За весь период заходили в конкурсы  60 раз на общую сумму обеспеченных контрактов с НМЦ 10 787 802 031,97 ? с БГУ  556 684 417,53 ? с БГИ 2 411 213 921,06 ? За 3 ГОДА по 44ФЗ заключено 22 шт. с объемом НМЦ  807 571 093,08 ? с БГИ 202 665 601,01 ? с БГГО 15 995 248,67 ? с авансированием до 0,00 ? с комиссией банку 4 115 279,78 ? с кв 35 802,93 ? ЗА 1 ГОД по 44ФЗ заключено 10 шт. c объемом НМЦ 554 650 807,06 ? с БГИ 127 145 340,77 ? с БГГО 10 739 536,98 ? с авансированием до  0,00 ? с комиссией банку  1 752 191,77 ? с кв 15 244,07 ? ЗА 3 ГОДА ПО 223 ФЗ заключено 20 шт. с объемом НМЦ 509 600 310,16 ? за 1 ГОД ПО 223ФЗ заключено 8  445 775 954,09 ?</t>
  </si>
  <si>
    <t>"223 за 3 года", "кл фт агент бг 04.22", ".", "рейтинг поставщиков в маркере по бг", "Конкурсы 100+ (Восстановленный)", "fk1", "2. Финтендер 2022 31.03.22 Григорян для СПАРК", "ПСБ Гарантии ", "все клиенты с выручкой от 1,8 млрд до бесконечности", "клиенты от 100 млн", "действующие б не прям", "Одобренные но не выданные 1 полугодие 2021", "ФТ клиенты с продуктами по сотрудникам", "223 фз контракты 20+", "44 фз с с БГ от 10 млн", "производители", "рейтинг по нмц маркер", "поставщики маркер", "44 за 3 года"</t>
  </si>
  <si>
    <t>41.2 Здания и работы по возведению зданий</t>
  </si>
  <si>
    <t>1 011</t>
  </si>
  <si>
    <t>Гарантия завершена;Заявка отозвана клиентом;Отклонена банком
Мой черновик
Отклонена банком
Распределена в Банк</t>
  </si>
  <si>
    <t>Сообщение кредитора о намерении обратиться в суд с заявлением о банкротстве от 09.04.2019</t>
  </si>
  <si>
    <t>"поставщики маркер", "свод фт", ".", "рейтинг поставщиков в маркере по бг", "УПП на 2 номер", "fk1", "клиенты управления по БГ без открытых счетов", "все клиенты с выручкой от 1,8 млрд до бесконечности", "ФК клиенты с выручкой от 230 до бесконечности", "Одобренные но не выданные 1 полугодие 2021", "рейтинг по нмц маркер", "на фт заводил Хацкевич", "на фт заводил Микульшин", "на фт заводил Еприкян", "на фт заводил Бесков"</t>
  </si>
  <si>
    <t>52.24.1 Услуги по обработке грузов
52.22.14.110 Услуги лоцманские на внутренних водных путях
35.12.10.120 Услуги по технологическому присоединению к распределительным электросетям
35.12.10.110 Услуги по передаче электроэнергии</t>
  </si>
  <si>
    <t>Заказчик разыгравший 9 конкурсов на сумму  12 204 889 416,56 ?</t>
  </si>
  <si>
    <t>Сообщения о принятии решения о реорганизации от 24.08.2022</t>
  </si>
  <si>
    <t>52.29.19.110 Услуги по экспедированию грузов</t>
  </si>
  <si>
    <t>"все клиенты с выручкой от 1,8 млрд до бесконечности", ".", "fk1"</t>
  </si>
  <si>
    <t>28.13.11.110 Насосы топливные
28.22 Оборудование подъемно-транспортное
28.12.12.119 Гидромоторы прочие
28.22.19.190 Комплектующие (запасные части) прочего подъемно-транспортного и погрузочно-разгрузочного оборудования, не имеющие самостоятельных группировок
19.20.29.119 Масла моторные прочие, не включенные в другие группировки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33.15 Услуги по ремонту и техническому обслуживанию судов и лодок
28.12.11.119 Гидроцилиндры прочие
28.12.13.190 Насосы гидравлические прочие
28.12.16.000 Системы гидравлические ****</t>
  </si>
  <si>
    <t>ЗА 3 ГОДА ПО 223 ФЗ заключено 21 шт. с объемом НМЦ 39 412 517,10 ? за 1 ГОД ПО 223ФЗ заключено 6  6 784 147,62 ?</t>
  </si>
  <si>
    <t>Сообщения о принятии решения о реорганизации от 21.02.2022</t>
  </si>
  <si>
    <t>"223 за 3 года", ".", "рейтинг по нмц маркер", "это заказчик", "поставщики маркер", "44 за 3 года"</t>
  </si>
  <si>
    <t>52.29.20.000 Услуги транспортные вспомогательные прочие, не включенные в другие группировки</t>
  </si>
  <si>
    <t>"поставщики маркер", ".", "все клиенты с выручкой от 1,8 млрд до бесконечности", "производители", "рейтинг по нмц маркер", "это заказчик"</t>
  </si>
  <si>
    <t>10.89.19.290 Продукты пищевые прочие, не включенные в другие группировки
10.12.20.110 Мясо кур, в том числе цыплят (включая цыплят-бройлеров) замороженное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10.12.10.110 Мясо кур, в том числе цыплят (включая цыплят-бройлеров) охлажденное</t>
  </si>
  <si>
    <t>1 121</t>
  </si>
  <si>
    <t>20.11.1 Газы промышленные</t>
  </si>
  <si>
    <t>2 178</t>
  </si>
  <si>
    <t>Сообщение кредитора о намерении обратиться в суд с заявлением о банкротстве от 21.07.2021</t>
  </si>
  <si>
    <t>"на фт заводил Шутов", "свод фт", ".", "кредиты фт", "лимит сит по кредитам", "все клиенты с выручкой от 1,8 млрд до бесконечности"</t>
  </si>
  <si>
    <t>28.92.21 Бульдозеры и бульдозеры с поворотным отвалом
28.92.2 Машины прочие для перемещения, грейдерных работ, планирования, скреперных работ, выемки, трамбовки, уплотнения или добычи, самоходные, для грунта, минералов или руд (включая бульдозеры, одноковшовые экскаваторы и дорожные катки)
46.69 Услуги по оптовой торговле прочими машинами и оборудованием
28.92 Оборудование для добычи полезных ископаемых подземным и открытым способами и строительства</t>
  </si>
  <si>
    <t>ЗА 3 ГОДА ПО 223 ФЗ заключено 4 шт. с объемом НМЦ 231 219 270,00 ? за 1 ГОД ПО 223ФЗ заключено 3  85 719 270,00 ?</t>
  </si>
  <si>
    <t>"223 за 3 года", ".", "портфель 31.10.2021_10 тыс_проверка", "223 фз контракты 20+", "рейтинг по нмц маркер", "поставщики маркер"</t>
  </si>
  <si>
    <t>05.10.10.130 Уголь, за исключением антрацита, угля коксующегося и угля бурого
05.20.10.120 Уголь бурый обогащенный (лигнит)
05.20.10.110 Уголь бурый рядовой (лигнит)
35.30.11.120 Энергия тепловая, отпущенная котельными
05.10.10 Уголь</t>
  </si>
  <si>
    <t>1 442</t>
  </si>
  <si>
    <t>ЗА 3 ГОДА ПО 223 ФЗ заключено 11 шт. с объемом НМЦ 46 353 838,20 ? за 1 ГОД ПО 223ФЗ заключено 13  27 316 275,00 ?</t>
  </si>
  <si>
    <t>19.20.21.321 Топливо дизельное зимнее вне классов
19.20.21.410 Топливо судовое с массовой долей серы 2 - 3,5 % с температурой вспышки в закрытом тигле не ниже 61 °C
19.20.21.440 Топливо судовое с массовой долей серы не более 0,5 % с температурой вспышки в закрытом тигле не ниже 61 °C
19.20.21 Топливо моторное, включая автомобильный и авиационный бензин
19.20.21.100 Бензин автомобильный
19.20.21.310 Топливо дизельное летнее
19.20.21.334 Топливо дизельное арктическое экологического класса К4
19.20.42.121 Битумы нефтяные дорожные
19.20.21.315 Топливо дизельное летнее экологического класса К5
19.20.21.320 Топливо дизельное зимнее ****</t>
  </si>
  <si>
    <t>За весь период компания заключила  21 контрактов на сумму  6 524 028 795,19 ? За весь период заходили в конкурсы  1 раз на общую сумму обеспеченных контрактов с НМЦ 212 449 725,00 ? с БГУ  10 784 250,00 ? с БГИ 64 705 500,00 ?                             ЗА 3 ГОДА ПО 223 ФЗ заключено 30 шт. с объемом НМЦ 176 055 460,60 ?</t>
  </si>
  <si>
    <t>"223 за 3 года", ".", "рейтинг поставщиков в маркере по бг", "ГРАНДИОЗНЫЙ ПРОЕКТ 223", "Участники клиринга", "производители", "рейтинг по нмц маркер", "поставщики маркер", "44 за 3 года"</t>
  </si>
  <si>
    <t>68.20.12.000 Услуги по сдаче в аренду (внаем) собственных или арендованных нежилых помещений</t>
  </si>
  <si>
    <t>За 3 года по 223ФЗ заключено  1 шт контрактов на сумму 31 613 720,00 ?</t>
  </si>
  <si>
    <t>Сообщения о принятии решения о реорганизации от 08.12.2021</t>
  </si>
  <si>
    <t>10.89.13.112 Дрожжи хлебопекарные сушеные</t>
  </si>
  <si>
    <t>11.0 Напитки
38.32.33 Сырье вторичное пластмассовое</t>
  </si>
  <si>
    <t>Сообщение кредитора о намерении обратиться в суд с заявлением о банкротстве от 25.12.2019</t>
  </si>
  <si>
    <t>"поставщики маркер", ".", "fk1", "все клиенты с выручкой от 1,8 млрд до бесконечности", "производители", "это заказчик"</t>
  </si>
  <si>
    <t>Сообщение кредитора о намерении обратиться в суд с заявлением о банкротстве от 04.03.2022</t>
  </si>
  <si>
    <t>73.20 Услуги по исследованию конъюнктуры рынка и общественного мнения
78.10 Услуги, предоставляемые агентствами по трудоустройству
78.30 Услуги в области трудовых ресурсов по обеспечению персоналом прочие</t>
  </si>
  <si>
    <t>78.10 Услуги, предоставляемые агентствами по трудоустройству
78 Услуги по трудоустройству и подбору персонала
62.01 Продукты программные и услуги по разработке и тестированию программного обеспечения
78.30 Услуги в области трудовых ресурсов по обеспечению персоналом прочие
78.10.12.000 Услуги по постоянному трудоустройству, кроме услуг по поиску руководящих работников</t>
  </si>
  <si>
    <t>2 428</t>
  </si>
  <si>
    <t>За весь период компания заключила  23 контрактов на сумму  1 772 395 630,54 ?                                     ЗА 3 ГОДА ПО 223 ФЗ заключено 1 шт. с объемом НМЦ 30 074 473,00 ?</t>
  </si>
  <si>
    <t>19.20.21.315 Топливо дизельное летнее экологического класса К5
19.20.21.325 Топливо дизельное зимнее экологического класса К5
06.10.10.490 Нефтепродукты, полученные из битуминозных пород, прочие</t>
  </si>
  <si>
    <t>"производители", ".", "fk1", "корп 1", "06.2022_ФинХД", "все клиенты с выручкой от 1,8 млрд до бесконечности", "Обороты по клиентам по кварталам (2022г)"</t>
  </si>
  <si>
    <t>41.20.40.900 Работы строительные по возведению нежилых зданий и сооружений прочие, не включенные в другие группировки
41.2 Здания и работы по возведению зданий
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</si>
  <si>
    <t>За весь период компания заключила  3 контрактов на сумму  17 791 553 033,01 ?</t>
  </si>
  <si>
    <t>"поставщики маркер", ".", "fk1", "корп 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t>
  </si>
  <si>
    <t>61.20.11.000 Услуги подвижной связи общего пользования - обеспечение доступа и поддержка пользователя
55.90.13.120 Услуги по предоставлению мест для временного проживания на судах
56.29.19.000 Услуги по обеспечению питанием, осуществляемые по договору, прочие
17.23.13.145 Билеты на право проезда, входа и прочие</t>
  </si>
  <si>
    <t>Сообщения о принятии решения о реорганизации от 20.04.2021</t>
  </si>
  <si>
    <t>20.14.22.118 Спирт октиловый (октанол) и его изомеры</t>
  </si>
  <si>
    <t>за 1 ГОД ПО 223ФЗ заключено 1  95 000 000,00 ?</t>
  </si>
  <si>
    <t>"поставщики маркер", ".", "Участники клиринга", "223 фз контракты 20+", "рейтинг по нмц маркер"</t>
  </si>
  <si>
    <t>20.59.54.110 Угли активированные из каменноугольного сырья
20.59.59 Продукты разные химические, не включенные в другие группировки
20.16.59.320 Смолы ионообменные на основе синтетических или природных полимеров в первичных формах
13.96.11.110 Пряжа металлизированная
20.1 Вещества химические основные, удобрения химические и азотные, пластмассы и синтетический каучук в первичных формах
20.59.52.194 Реактивы химические общелабораторного назначения
13.96.12.190 Ткани из металлической нити и ткани из металлизированной пряжи прочие, не включенные в другие группировки
05.10.10.141 Антрацит обогащенный
28.25.14.110 Оборудование и установки для фильтрования или очистки воздуха
13.96.11.120 Тесьма металлизированная позументная ****</t>
  </si>
  <si>
    <t>ПОС на 03.04.2276</t>
  </si>
  <si>
    <t>"223 за 3 года", ".", "выдали", "fk1", "ПОС на 03.04.2023", "Кредитный портфель_01.11", "06.2022_ФинХД", "Обороты по клиентам по кварталам (2022г)", "223 фз контракты 20+", "производители", "рейтинг по нмц маркер", "поставщики маркер"</t>
  </si>
  <si>
    <t>"поставщики маркер", ".", "fk1", "ПОС на 01.02.2023", "ПОС на 03.04.2023", "корп 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"это заказчик"</t>
  </si>
  <si>
    <t>50.40.22 Услуги по буксировке и маневровые услуги на внутреннем водном транспорте
50.40.19.900 Услуги по перевозке внутренним водным транспортом прочих грузов, не включенные в другие группировки
68.20.12.000 Услуги по сдаче в аренду (внаем) собственных или арендованных нежилых помещений
50.40.21.000 Услуги по аренде судов внутреннего водного транспорта для перевозки грузов с экипажем
50.40.1 Услуги по перевозке грузов внутренним водным транспортом</t>
  </si>
  <si>
    <t>ЗА 3 ГОДА ПО 223 ФЗ заключено 3 шт. с объемом НМЦ 57 956 331,19 ?</t>
  </si>
  <si>
    <t>10.61.32.113 Крупа гречневая
10.61.31.111 Крупа манная
10.61.12.000 Рис полуобрушенный или полностью обрушенный, или дробленый
01.11.75.110 Зерно гороха
10.61.32.114 Пшено
10.61.32.116 Крупа перловая</t>
  </si>
  <si>
    <t>"поставщики маркер", ".", "все клиенты с выручкой от 1,8 млрд до бесконечности", "производители", "crm управления", "в crm за Досхоевым"</t>
  </si>
  <si>
    <t>"производители", ".",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</si>
  <si>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01.11.3 Ячмень, рожь и овес</t>
  </si>
  <si>
    <t>За весь период компания заключила  1 контрактов на сумму  611 000 000,00 ?</t>
  </si>
  <si>
    <t>"поставщики маркер", ".", "все клиенты с выручкой от 1,8 млрд до бесконечности", "производители", "рейтинг по нмц маркер"</t>
  </si>
  <si>
    <t>10.13.14.113 Сардельки мясные
10.11.20.110 Субпродукты пищевые крупного рогатого скота парные, остывшие или охлажденные
10.12.20.110 Мясо кур, в том числе цыплят (включая цыплят-бройлеров) замороженное
10.13.14.123 Сардельки мясосодержащие
10.13.14.111 Колбасы (колбаски) вареные мясные
10.13.14.112 Сосиски мясные</t>
  </si>
  <si>
    <t>01.11.49.192 Семена зерновых культур, не включенных в другие группировки
01.63.10.000 Услуги в области растениеводства, предоставляемые после сбора урожая
01.11.12.111 Зерно озимой мягкой пшеницы
01.11.75.110 Зерно гороха
01.11.31.219 Зерно ячменя ярового прочего
10.91.10.230 Концентраты и смеси кормовые</t>
  </si>
  <si>
    <t>1 259</t>
  </si>
  <si>
    <t>Заказчик разыгравший 37 конкурсов на сумму  2 789 038 003,88 ?</t>
  </si>
  <si>
    <t>"поставщики маркер", ".", "все клиенты с выручкой от 1,8 млрд до бесконечности", "рейтинг заказчиков маркер", "производители", "это заказчик"</t>
  </si>
  <si>
    <t>Сообщения о принятии решения о реорганизации от 21.12.2022</t>
  </si>
  <si>
    <t>"поставщики маркер", ".", "Участники клиринга", "производители", "это заказчик"</t>
  </si>
  <si>
    <t>Сообщения о принятии решения о реорганизации от 27.01.2022</t>
  </si>
  <si>
    <t>42.99 Сооружения и строительные работы по строительству прочих гражданских сооружений, не включенных в другие группировки
43 Работы строительные специализированные
42 Сооружения и строительные работы в области гражданского строительства</t>
  </si>
  <si>
    <t>За весь период компания заключила  3 контрактов на сумму  927 126 252,06 ?                                     ЗА 3 ГОДА ПО 223 ФЗ заключено 1 шт. с объемом НМЦ 242 218 164,00 ?</t>
  </si>
  <si>
    <t>Сообщение кредитора о намерении обратиться в суд с заявлением о банкротстве от 23.03.2023</t>
  </si>
  <si>
    <t>"223 за 3 года", ".", "беники", "рейтинг по нмц маркер", "поставщики маркер"</t>
  </si>
  <si>
    <t>1 043</t>
  </si>
  <si>
    <t>22.22.19.000 Изделия упаковочные пластмассовые прочие
13.20.31 Ткани из синтетических и искусственных комплексных нитей
13.10.85 Нитки швейные и пряжа из искусственных и синтетических комплексных нитей и волокон
22.22.12.000 Мешки и сумки, включая конические, из прочих пластмасс, кроме полимеров этилена</t>
  </si>
  <si>
    <t>За весь период заходили в конкурсы  1 раз на общую сумму обеспеченных контрактов с НМЦ 74 025 000,00 ? с БГУ  0,00 ? с БГИ 7 402 500,00 ?</t>
  </si>
  <si>
    <t>"поставщики маркер", ".", "рейтинг поставщиков в маркере по бг", "выдали",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"производители", "рейтинг по нмц маркер", "это заказчик"</t>
  </si>
  <si>
    <t>30.20.40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</si>
  <si>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1 538</t>
  </si>
  <si>
    <t>"в crm за Эльшаном", "crm управления", "crm Пител"</t>
  </si>
  <si>
    <t>"223 за 3 года", ".", "crm управления", "в crm за Эльшаном", "crm Пител"</t>
  </si>
  <si>
    <t>68.32.13 Услуги по управлению объектами нежилого фонда, предоставляемые за вознаграждение или на договорной основе
81.10.10 Услуги по комплексному обслуживанию помещений
81 Услуги по обслуживанию зданий и территорий</t>
  </si>
  <si>
    <t>"поставщики маркер", ".", "п6", "все клиенты с выручкой от 1,8 млрд до бесконечности"</t>
  </si>
  <si>
    <t>Сообщения о принятии решения о реорганизации от 27.03.2020</t>
  </si>
  <si>
    <t>"все клиенты с выручкой от 1,8 млрд до бесконечности", ".", "п6"</t>
  </si>
  <si>
    <t>"Пункт 3.2 09.01.2023"</t>
  </si>
  <si>
    <t>47.73.10.000 Услуги по розничной торговле лекарственными средствами в специализированных магазинах</t>
  </si>
  <si>
    <t>"44 за 3 года", ".", "все клиенты с выручкой от 1,8 млрд до бесконечности", "crm управления", "в crm за Эльшаном", "поставщики маркер"</t>
  </si>
  <si>
    <t>Заявка отозвана
Распределена в Банк</t>
  </si>
  <si>
    <t>Сообщение кредитора о намерении обратиться в суд с заявлением о банкротстве от 27.11.2019</t>
  </si>
  <si>
    <t>"поставщики маркер", "свод фт", ".", "кредиты фт", "лимит сит по кредитам", "все клиенты с выручкой от 1,8 млрд до бесконечности", "рейтинг заказчиков маркер", "это заказчик", "на фт заводил Реук", "crm управления", "в crm за Эльшаном"</t>
  </si>
  <si>
    <t>47.73.10.000 Услуги по розничной торговле лекарственными средствами в специализированных магазинах
21.10 Субстанции фармацевтические</t>
  </si>
  <si>
    <t>Сообщение кредитора о намерении обратиться в суд с заявлением о банкротстве от 13.09.2018</t>
  </si>
  <si>
    <t>68.32.11.120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
86.90.19.190 Услуги в области медицины прочие, не включенные в другие группировки</t>
  </si>
  <si>
    <t>Сообщения о принятии решения о реорганизации от 21.08.2020</t>
  </si>
  <si>
    <t>"44 за 3 года", ".", "поставщики маркер"</t>
  </si>
  <si>
    <t>За весь период заходили в конкурсы  6 раз на общую сумму обеспеченных контрактов с НМЦ 222 334 362,49 ? с БГУ  7 297 740,00 ? с БГИ 37 451 940,00 ? За 3 ГОДА по 44ФЗ заключено 14 шт. с объемом НМЦ  488 429 026,86 ? с БГИ 40 871 704,27 ? с БГГО 0,00 ? с авансированием до 0,00 ? с комиссией банку 698 384,92 ? с кв 6 075,95 ? ЗА 1 ГОД по 44ФЗ заключено 5 шт. c объемом НМЦ 172 544 000,00 ? с БГИ 12 619 400,00 ? с БГГО 0,00 ? с авансированием до  0,00 ? с комиссией банку  265 936,71 ? с кв 2 313,65 ?</t>
  </si>
  <si>
    <t>86.90.11.000 Услуги, связанные с беременностью</t>
  </si>
  <si>
    <t>1 139</t>
  </si>
  <si>
    <t>16.24.12.111 Бочки деревянные для вин, соков и морсов</t>
  </si>
  <si>
    <t>За весь период контрактов 2 шт. на общую сумму НМЦ 949 286 864,40 ?</t>
  </si>
  <si>
    <t>Сообщение кредитора о намерении обратиться в суд с заявлением о банкротстве от 02.02.2018</t>
  </si>
  <si>
    <t>"рейтинг по нмц маркер", ".", "все клиенты с выручкой от 1,8 млрд до бесконечности", "производители"</t>
  </si>
  <si>
    <t>"Обороты по клиентам по кварталам (2022г)", ".", "ушедший портфель", "fk1", "ИНН 3 года - нет КД БГ на 01.10.22", "Список ушедший ", "все клиенты с выручкой от 1,8 млрд до бесконечности", "ФК клиенты с выручкой от 230 до бесконечности"</t>
  </si>
  <si>
    <t>21.20.23.199 Средства нелечебные прочие
21 Средства лекарственные и материалы, применяемые в медицинских целях
21.20.10.191 Препараты антибактериальные для системного использования
21.20.10.251 Препараты назальные
21.20.24.160 Материалы перевязочные и аналогичные изделия, в том числе пропитанные или покрытые лекарственными средствами
21.20.10 Препараты лекарственные
21.20.10.116 Препараты противодиарейные, кишечные противовоспалительные и противомикробные
21.20.10.132 Гемостатики
21.20.10.194 Препараты противовирусные для системного применения
21.20.10.239 Препараты для лечения заболеваний нервной системы прочие ****</t>
  </si>
  <si>
    <t>"44 за 3 года", ".", "все клиенты с выручкой от 1,8 млрд до бесконечности", "рейтинг по нмц маркер", "поставщики маркер"</t>
  </si>
  <si>
    <t>"поставщики маркер", ".", "клиент металлинвеста", "fk1", "производители"</t>
  </si>
  <si>
    <t>73.12.13 Услуги по продаже места или времени для рекламы в информационно-коммуникационной сети Интернет за вознаграждение или на договорной основе
73.11.19.000 Услуги рекламные прочие</t>
  </si>
  <si>
    <t>43.32.10.110 Работы по установке дверных и оконных блоков и коробок, навеске дверных полотен (кроме дверей автоматического действия и вращающихся дверей), окон, оконных створок, планчатых створок, дверей гаражного типа и т. п. из любых материалов
43.22.12.190 Работы по монтажу систем отопления, вентиляции и кондиционирования воздуха прочие, не включенные в другие группировки</t>
  </si>
  <si>
    <t>Сообщения о принятии решения о реорганизации от 07.08.2020</t>
  </si>
  <si>
    <t>27.40.25.123 Устройства осветительные электрические подвесные, потолочные, встраиваемые и настенные, предназначенные для использования со светодиодными лампами и прочими светодиодными источниками света
25.99 Металлоизделия готовые прочие, не включенные в другие группировки</t>
  </si>
  <si>
    <t>25.21.12.000 Котлы водогрейные центрального отопления для производства горячей воды или пара низкого давления
25.30.12.113 Оборудование котельное
25.21 Радиаторы и водогрейные котлы центрального отопления</t>
  </si>
  <si>
    <t>за 1 ГОД ПО 223ФЗ заключено 2  3 978 908,20 ?</t>
  </si>
  <si>
    <t>24.20.13.130 Трубы стальные электросварные
24.10.2 Сталь
24.20.12.110 Трубы обсадные бесшовные стальные
24.20.13 Трубы круглого сечения прочие стальные
24.20.21.000 Трубы для нефте- и газопроводов сварные, наружным диаметром более 406,4 мм, стальные
24.2 Трубы, профили пустотелые и их фитинги стальные
24.20.11 Трубы стальные для нефте- и газопроводов бесшовные
24.20.14.110 Трубы некруглого сечения стальные
24.20.31.000 Трубы сварные для нефте- и газопроводов, наружным диаметром не более 406,4 мм, стальные
24.10.71.110 Уголки стальные горячекатаные из нелегированных сталей ****</t>
  </si>
  <si>
    <t>За весь период компания заключила  11 контрактов на сумму  909 038 044,35 ?                                     ЗА 3 ГОДА ПО 223 ФЗ заключено 21 шт. с объемом НМЦ 366 725 770,32 ? за 1 ГОД ПО 223ФЗ заключено 12  27 779 156,65 ?</t>
  </si>
  <si>
    <t>"223 за 3 года", ".", "ГРАНДИОЗНЫЙ ПРОЕКТ 223",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"223 фз контракты 20+", "рейтинг по нмц маркер", "поставщики маркер"</t>
  </si>
  <si>
    <t>42.91.20.140 Работы дноуглубительные, работы по удалению скальных пород и илистых отложений и прочие строительные гидротехнические работы
42.91.20.190 Работы строительные и ремонтные, связанные с прочими водными сооружениями и работы по ремонту всех вышеуказанных сооружений
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
43.91.19.190 Работы кровельные прочие, не включенные в другие группировки
42.91.10.160 Берегоукрепление
41.20.20.900 Сооружения спортивно-оздоровительные и сооружения прочие, не включенные в другие группировки
43.21.10.290 Работы электромонтажные прочие, не включенные в другие группировки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t>
  </si>
  <si>
    <t>За весь период компания заключила  34 контрактов на сумму  5 857 523 147,40 ? За весь период заходили в конкурсы  198 раз на общую сумму обеспеченных контрактов с НМЦ 30 183 346 217,68 ? с БГУ  1 361 647 643,81 ? с БГИ 3 377 005 085,60 ? За 3 ГОДА по 44ФЗ заключено 69 шт. с объемом НМЦ  14 077 659 512,81 ? с БГИ 1 461 235 504,94 ? с БГГО 27 193 429,72 ? с авансированием до 10 104 029 613,29 ? с комиссией банку 15 847 857,35 ? с кв 137 876,36 ? ЗА 1 ГОД по 44ФЗ заключено 26 шт. c объемом НМЦ 6 874 848 234,56 ? с БГИ 721 614 564,10 ? с БГГО 0,00 ? с авансированием до  2 708 084 171,40 ? с комиссией банку  8 091 067,72 ? с кв 70 392,29 ?</t>
  </si>
  <si>
    <t>"44 за 3 года", "кл фт агент бг 04.22", ".", "рейтинг поставщиков в маркере по бг", "ГРАНДИОЗНЫЙ ПРОЕКТ", "Конкурсы 100+ (Восстановленный)", "2. Финтендер 2022 31.03.22 Григорян для СПАРК", "ПСБ Гарантии ", "Агентские одобренные но не выданные от 30.08", "клиенты от 100 млн", "действующие б не прям", "ФТ клиенты с продуктами по сотрудникам", "44 фз с с БГ от 10 млн", "рейтинг по нмц маркер", "поставщики маркер"</t>
  </si>
  <si>
    <t>19.20.21.341 Топливо дизельное межсезонное вне классов
19.2 Нефтепродукты
52.10.12.110 Услуги по хранению и складированию нефти и продуктов ее переработки
49.41.12.000 Услуги по перевозке автомобильным транспортом нефтепродуктов в автоцистернах или полуприцепах-цистернах
19.20.27.111 Топливо печное бытовое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19.20.21.310 Топливо дизельное летнее
19.20.42.121 Битумы нефтяные дорожные ****</t>
  </si>
  <si>
    <t>За весь период компания заключила  8 контрактов на сумму  487 640 426,39 ? За весь период заходили в конкурсы  23 раз на общую сумму обеспеченных контрактов с НМЦ 1 992 103 774,31 ? с БГУ  75 536 127,43 ? с БГИ 486 049 176,67 ? За 3 ГОДА по 44ФЗ заключено 170 шт. с объемом НМЦ  576 704 921,67 ? с БГИ 99 498 638,29 ? с БГГО 66 508,93 ? с авансированием до 125 748,15 ? с комиссией банку 1 295 977,53 ? с кв 11 275,00 ? ЗА 1 ГОД по 44ФЗ заключено 34 шт. c объемом НМЦ 113 894 533,46 ? с БГИ 27 005 201,25 ? с БГГО 0,00 ? с авансированием до  0,00 ? с комиссией банку  339 685,34 ? с кв 2 955,26 ? ЗА 3 ГОДА ПО 223 ФЗ заключено 14 шт. с объемом НМЦ 81 300 396,24 ? за 1 ГОД ПО 223ФЗ заключено 3  12 670 722,00 ?</t>
  </si>
  <si>
    <t>"223 за 3 года", "кл фт агент бг 04.22", ".", "рейтинг поставщиков в маркере по бг", "Конкурсы 100+ (Восстановленный)", "Гарантии ФБ банкроты",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"44 фз с с БГ от 10 млн", "производители", "рейтинг по нмц маркер", "crm управления", "в crm за Досхоевым", "поставщики маркер", "44 за 3 года"</t>
  </si>
  <si>
    <t>35.11.10.112 Электроэнергия, произведенная теплоэлектроцентралями (ТЭЦ)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35.12.10.120 Услуги по технологическому присоединению к распределительным электросетям
35.13.10.000 Услуги по распределению электроэнергии
35.11.10.115 Электроэнергия, произведенная атомными электростанциями (АЭС) общего назначения
35.30.11.111 Энергия тепловая, отпущенная тепловыми электроцентралями (ТЭЦ)
35.11.10.116 Электроэнергия, произведенная гидроэлектростанциями (ГЭС) общего назначения
35.11.10.119 Электроэнергия, произведенная нетиповыми электростанциями общего назначения ****</t>
  </si>
  <si>
    <t>"223 за 3 года", ".", "все клиенты с выручкой от 1,8 млрд до бесконечности", "это заказчик"</t>
  </si>
  <si>
    <t>10.51.52.140 Кефир
10.51.40.131 Сыры твердые без вкусовых наполнителей
10.51.52.200 Сметана
10.51.11.110 Молоко питьевое пастеризованное
10.51.22.111 Молоко сухое частично обезжиренное, от более 1,5 % до менее 26,0 % жирности
10.51.40.300 Творог
10.51.52.212 Сметана от 18,0 % до 22,0 % жирности
10.51.30.111 Масло сладко-сливочное
10.51.51.113 Молоко сгущенное (концентрированное) с сахаром
10.51.40.121 Сыры полутвердые без вкусовых наполнителей ****</t>
  </si>
  <si>
    <t>За 3 ГОДА по 44ФЗ заключено 91 шт. с объемом НМЦ  536 743 804,65 ? с БГИ 30 907 057,94 ? с БГГО 0,00 ? с авансированием до 0,00 ? с комиссией банку 411 498,85 ? с кв 3 580,04 ? ЗА 1 ГОД по 44ФЗ заключено 19 шт. c объемом НМЦ 178 356 207,68 ? с БГИ 10 759 846,01 ? с БГГО 0,00 ? с авансированием до  0,00 ? с комиссией банку  215 155,74 ? с кв 1 871,85 ?</t>
  </si>
  <si>
    <t>За весь период компания заключила  1 контрактов на сумму  31 386 666 600,00 ?</t>
  </si>
  <si>
    <t>"производители", ".", "06.2022_ФинХД", "все клиенты с выручкой от 1,8 млрд до бесконечности"</t>
  </si>
  <si>
    <t>28.30.8 Машины и оборудование сельскохозяйственные прочие</t>
  </si>
  <si>
    <t>27.32.13.191 Кабели монтажные
27.33.1 Изделия электроустановочные
27.90.33.110 Комплектующие (запасные части) прочего электрического оборудования, не имеющие самостоятельных группировок
25.11.23.119 Конструкции и детали конструкций из черных металлов прочие, не включенные в другие группировки
27.12.10 Устройства для коммутации или защиты электрических цепей на напряжение более 1 кВ
27.3 Кабели и арматура кабельная
27.33.11.140 Выключатели и переключатели неавтоматические
27.33.13.140 Контакторы электромагнитные
27.90.12.110 Изоляторы электрические
27.90.12.120 Арматура изолирующая для электрических машин и оборудования ****</t>
  </si>
  <si>
    <t>За весь период компания заключила  8 контрактов на сумму  985 221 831,35 ?                                     ЗА 3 ГОДА ПО 223 ФЗ заключено 32 шт. с объемом НМЦ 64 172 857,72 ? за 1 ГОД ПО 223ФЗ заключено 8  8 643 236,38 ?</t>
  </si>
  <si>
    <t>"223 за 3 года", "кл фт прямые бг 04.22", "свод фт", ".", "УПП на 2 номер", "fk1", "клиенты управления по БГ без открытых счетов", "2. Финтендер 2022 31.03.22 Григорян для СПАРК", "Гарантии ФБ банкроты", "клиенты от 100 млн", "ФТ клиенты с продуктами по сотрудникам", "производители", "рейтинг по нмц маркер", "на фт заводил Реук", "на фт заводил Бесков", "crm управления", "в crm за Эльшаном", "поставщики маркер", "44 за 3 года"</t>
  </si>
  <si>
    <t>28.14.13 Арматура запорная для управления процессом (задвижки, краны, клапаны запорные, затворы дисковые и другая арматура)
28.14.13.110 Клапаны запорные
23.99.11.130 Изделия из смесей на основе хризотила
25.94.12 Изделия крепежные нерезьбовые из черных металлов, не включенные в другие группировки
28.13.32.120 Комплектующие (запасные части) воздушных или газовых компрессоров, не имеющие самостоятельных группировок
28.14 Арматура трубопроводная (арматура) (краны, клапаны и прочие)
28.14.1 Арматура (краны, клапаны и другая аналогичная арматура) для трубопроводов, сосудов, котлов, цистерн, баков и аналогичных емкостей
28.14.11.120 Арматура регулирующая
28.99.39.190 Оборудование специального назначения прочее, не включенное в другие группировки
28.13.31.110 Комплектующие (запасные части) насосов, не имеющие самостоятельных группировок ****</t>
  </si>
  <si>
    <t>За весь период компания заключила  7 контрактов на сумму  3 349 489 286,93 ?</t>
  </si>
  <si>
    <t>"поставщики маркер", ".", "выдали", "портфель", "производители", "рейтинг по нмц маркер"</t>
  </si>
  <si>
    <t>1 235</t>
  </si>
  <si>
    <t>"Обороты по клиентам по кварталам (2022г)", ".", "fk1", "06.2022_ФинХД"</t>
  </si>
  <si>
    <t>22.29.29.190 Изделия пластмассовые прочие, не включенные в другие группировки
32.99.59.000 Изделия различные прочие, не включенные в другие группировки</t>
  </si>
  <si>
    <t>"223 за 3 года", ".", "Гарантии_КИБ_31.03.22_Гиб._", "fk1", "Кредитный портфель_01.11", "корп 1", "06.2022_ФинХД", "все клиенты с выручкой от 1,8 млрд до бесконечности", "ФК клиенты с выручкой от 230 до бесконечности", "клиенты от 100 млн", "поставщики маркер"</t>
  </si>
  <si>
    <t>10.86.10.243 Соки фруктовые и фруктово-овощные для детского питания
20.59.60.111 Желатины пищевые
01.25.31.000 Миндаль
10.13 Продукция мясная пищевая, в том числе из мяса птицы
10.13.14.119 Изделия колбасные вареные мясные прочие
10.20.14.110 Филе пресноводной рыбы мороженое
10.20.25.110 Консервы рыбные
01.13.12.120 Капуста белокочанная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t>
  </si>
  <si>
    <t>За весь период компания заключила  8 контрактов на сумму  289 117 470,82 ? За весь период заходили в конкурсы  8 раз на общую сумму обеспеченных контрактов с НМЦ 504 721 261,40 ? с БГУ  12 759 292,54 ? с БГИ 99 764 638,69 ?</t>
  </si>
  <si>
    <t>Сообщения о принятии решения о реорганизации от 13.05.2021</t>
  </si>
  <si>
    <t>"44 за 3 года", "кл фт агент бг 04.22", "свод фт", ".", "рейтинг поставщиков в маркере по бг", "fk1", "кредиты фт", "ПОС на 01.02.2023", "ПОС на 03.04.2023", "БГ ФБ ЮР лица на 01.07.2021", "клиенты с в от100млн 09.21", "лимит сит по кредитам",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"рейтинг по нмц маркер", "на фт заводил Морозова", "на фт заводил Бесков", "поставщики маркер"</t>
  </si>
  <si>
    <t>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33.12.29.900 Услуги по ремонту и техническому обслуживанию прочего оборудования специального назначения, не включенные в другие группировки
26.60.11.111 Томографы компьютерные</t>
  </si>
  <si>
    <t>ЗА 3 ГОДА ПО 223 ФЗ заключено 5 шт. с объемом НМЦ 52 238 999,40 ?</t>
  </si>
  <si>
    <t>"223 за 3 года", ".", "fk1", "ИНН 3 года - нет КД БГ на 01.10.22", "корп 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"поставщики маркер", "44 за 3 года"</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</si>
  <si>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43.99.70.000 Работы по сборке и монтажу сборных конструкций
43.99.90.190 Работы строительные специализированные прочие, не включенные в другие группировки
71.12.20.190 Услуги по руководству строительными проектами прочие
42.99.12.124 Территории парковые и парки для отдыха
81.29.12.000 Услуги по подметанию и уборке снега
81.30.10.000 Услуги по планировке ландшафта
41.20.40.900 Работы строительные по возведению нежилых зданий и сооружений прочие, не включенные в другие группировки ****</t>
  </si>
  <si>
    <t>За весь период компания заключила  66 контрактов на сумму  58 924 878 346,72 ? За весь период заходили в конкурсы  108 раз на общую сумму обеспеченных контрактов с НМЦ 67 899 324 651,99 ? с БГУ  3 006 031 092,80 ? с БГИ 14 729 645 111,37 ? За 3 ГОДА по 44ФЗ заключено 26 шт. с объемом НМЦ  18 960 805 319,49 ? с БГИ 3 682 903 478,94 ? с БГГО 274 580 418,05 ? с авансированием до 1 367 847 489,07 ? с комиссией банку 52 676 782,06 ? с кв 458 288,00 ? ЗА 1 ГОД по 44ФЗ заключено 16 шт. c объемом НМЦ 8 062 542 782,78 ? с БГИ 1 211 743 849,12 ? с БГГО 72 873 519,03 ? с авансированием до  602 055 107,33 ? с комиссией банку  37 972 482,87 ? с кв 330 360,60 ? ЗА 3 ГОДА ПО 223 ФЗ заключено 10 шт. с объемом НМЦ 165 211 765,36 ?</t>
  </si>
  <si>
    <t>"223 за 3 года", "кл фт ФК ВКЛ/РКО 04.22", "кл фт ФК БГ 04.22", ".", "рейтинг поставщиков в маркере по бг", "Рассрочка КВ Март 2023", "ГРАНДИОЗНЫЙ ПРОЕКТ", "Конкурсы 100+ (Восстановленный)", "fk1", "2. Финтендер 2022 31.03.22 Григорян для СПАРК", "Пункт 3.1 09.01.2023", "корп 1", "Агентские одобренные но не выданные от 30.08", "Банкроты ФБ 28.04.2023", "Ссуды ФБ 29.04.2022 банкр.", "клиенты с в от100млн 09.21", "все клиенты с выручкой от 1,8 млрд до бесконечности", "филиал бизнес 01.03.22",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"44 фз с с БГ от 10 млн", "рейтинг по нмц маркер", "поставщики маркер", "44 за 3 года"</t>
  </si>
  <si>
    <t>42.21.22.110 Работы строительные по прокладке местных трубопроводов воды или сточных вод
42.21.21 Работы строительные по прокладке магистральных трубопроводов
42.22.22 Работы строительные по прокладке местных линий электропередачи и связи</t>
  </si>
  <si>
    <t>За весь период контрактов 25 шт. на общую сумму НМЦ 20 316 316 548,76 ?</t>
  </si>
  <si>
    <t>"223 за 3 года", ".", "рейтинг поставщиков в маркере по бг", "все клиенты с выручкой от 1,8 млрд до бесконечности", "рейтинг по нмц маркер", "поставщики маркер"</t>
  </si>
  <si>
    <t>27.40 Оборудование электрическое осветительное
22.29 Изделия пластмассовые прочие
22.11.11.000 Шины и покрышки пневматические для легковых автомобилей новые
25.72 Замки и петли
45.31.12.000 Услуги по оптовой торговле прочими автомобильными деталями, узлами и принадлежностями
25.11 Металлоконструкции строительные и их части
33.12.2 Услуги по ремонту и техническому обслуживанию оборудования специального назначения
28.14 Арматура трубопроводная (арматура) (краны, клапаны и прочие)
28.15.24.131 Коробки передач
28.99.39.190 Оборудование специального назначения прочее, не включенное в другие группировки ****</t>
  </si>
  <si>
    <t>За 3 года по 223ФЗ заключено  9 шт контрактов на сумму 26 731 970,75 ?</t>
  </si>
  <si>
    <t>Кредитный портфель_01.339</t>
  </si>
  <si>
    <t>"клиенты до 49 млн", ".", "Кредитный портфель_01.11", "06.2022_ФинХД"</t>
  </si>
  <si>
    <t>68.10.14.000 Услуги по покупке и продаже нежилых зданий и занимаемых ими земельных участков</t>
  </si>
  <si>
    <t>За весь период заходили в конкурсы  1 раз на общую сумму обеспеченных контрактов с НМЦ 83 192 360,00 ? с БГУ  415 961,80 ? с БГИ 24 957 708,00 ?</t>
  </si>
  <si>
    <t>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35.11.10.112 Электроэнергия, произведенная теплоэлектроцентралями (ТЭЦ) общего назначения
33.13 Услуги по ремонту электронного и оптического оборудования
33.13.1 Услуги по ремонту и техническому обслуживанию электронного и оптического оборудования
35.11.10.110 Электроэнергия, произведенная электростанциями общего назначения
33.12.29.900 Услуги по ремонту и техническому обслуживанию прочего оборудования специального назначения, не включенные в другие группировки
43.21.10.210 Работы по установке приборов учета расхода электроэнергии
35.11.10.111 Электроэнергия, произведенная конденсационными электростанциями (КЭС) общего назначения
33.13.11.000 Услуги по ремонту и техническому обслуживанию инструментов и приборов для измерения, испытаний и навигации
35.12.10.110 Услуги по передаче электроэнергии</t>
  </si>
  <si>
    <t>ЗА 3 ГОДА ПО 223 ФЗ заключено 4 шт. с объемом НМЦ 52 791 195,00 ?</t>
  </si>
  <si>
    <t>68.10.14.000 Услуги по покупке и продаже нежилых зданий и занимаемых ими земельных участков
35.30.11.120 Энергия тепловая, отпущенная котельными
35.12.10.110 Услуги по передаче электроэнергии</t>
  </si>
  <si>
    <t>За весь период компания заключила  1 контрактов на сумму  957 283 494,75 ?</t>
  </si>
  <si>
    <t>43.99.90.190 Работы строительные специализированные прочие, не включенные в другие группировки
32.50.13.190 Инструменты и приспособления, применяемые в медицинских целях, прочие, не включенные в другие группировки
43.31.10.110 Работы штукатурные внешние и внутренние с применением штукатурных сеток и дранок
32.99.53.190 Модели, макеты и аналогичные изделия демонстрационные прочие
41.20.40.900 Работы строительные по возведению нежилых зданий и сооружений прочие, не включенные в другие группировки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43.39.19.190 Работы завершающие и отделочные в зданиях и сооружениях, прочие, не включенные в другие группировки
32.99.53.110 Оборудование для обучения трудовым процессам
32.30.14.129 Оборудование для занятий физкультурой, гимнастикой и атлетикой, занятий в спортзалах, фитнес-центрах прочее, не включенное в другие группировки
26.20.40.110 Устройства и блоки питания вычислительных машин ****</t>
  </si>
  <si>
    <t>За весь период компания заключила  13 контрактов на сумму  5 783 665 893,51 ? За весь период заходили в конкурсы  21 раз на общую сумму обеспеченных контрактов с НМЦ 6 983 530 972,79 ? с БГУ  34 521 226,14 ? с БГИ 726 221 460,87 ? За 3 ГОДА по 44ФЗ заключено 54 шт. с объемом НМЦ  6 096 674 564,47 ? с БГИ 636 230 206,10 ? с БГГО 225 692,00 ? с авансированием до 120 857 244,00 ? с комиссией банку 15 320 024,31 ? с кв 133 284,21 ? ЗА 1 ГОД по 44ФЗ заключено 36 шт. c объемом НМЦ 1 824 039 522,84 ? с БГИ 165 998 303,43 ? с БГГО 0,00 ? с авансированием до  0,00 ? с комиссией банку  3 259 020,75 ? с кв 28 353,48 ?</t>
  </si>
  <si>
    <t>"44 за 3 года", ".", "рейтинг поставщиков в маркере по бг", "ГРАНДИОЗНЫЙ ПРОЕКТ", "Конкурсы 100+ (Восстановленный)", "Участники клиринга", "44 фз с с БГ от 10 млн", "рейтинг по нмц маркер", "crm управления", "в crm за шинахововым", "crm Пител", "поставщики маркер"</t>
  </si>
  <si>
    <t>68.20 Услуги по сдаче в аренду (внаем) собственного или арендованного недвижимого имущества</t>
  </si>
  <si>
    <t>1 758</t>
  </si>
  <si>
    <t>"поставщики маркер", ".", "fk1", "все клиенты с выручкой от 1,8 млрд до бесконечности", "Участники клиринга"</t>
  </si>
  <si>
    <t>43.39.19.190 Работы завершающие и отделочные в зданиях и сооружениях, прочие, не включенные в другие группировки</t>
  </si>
  <si>
    <t>"44 за 3 года", ".", "fk1", "поставщики маркер"</t>
  </si>
  <si>
    <t>73.1 Услуги рекламные
58.2 Услуги по изданию программного обеспечения
73.11.19 Услуги рекламные прочие</t>
  </si>
  <si>
    <t>За весь период контрактов 2 шт. на общую сумму НМЦ 3 350 000 000,00 ?</t>
  </si>
  <si>
    <t>"рейтинг по нмц маркер", ".", "fk1", "все клиенты с выручкой от 1,8 млрд до бесконечности", "Обороты по клиентам по кварталам (2022г)"</t>
  </si>
  <si>
    <t>10.86.10.243 Соки фруктовые и фруктово-овощные для детского питания
10.86.10.613 Сардельки вареные для детского питания
11.04.10.120 Вина прочие ароматизированные, в том числе из свежего винограда
20.59.60.111 Желатины пищевые
01.24.26.000 Нектарины
01.24.29.110 Черешня
10.13.14.119 Изделия колбасные вареные мясные прочие
10.20.14.110 Филе пресноводной рыбы мороженое
01.13.12.120 Капуста белокочанная
01.13.42.000 Чеснок ****</t>
  </si>
  <si>
    <t>За весь период компания заключила  23 контрактов на сумму  1 257 897 836,21 ? За весь период заходили в конкурсы  117 раз на общую сумму обеспеченных контрактов с НМЦ 6 255 113 089,73 ? с БГУ  22 616 261,50 ? с БГИ 200 597 525,99 ? За 3 ГОДА по 44ФЗ заключено 172 шт. с объемом НМЦ  6 348 853 019,86 ? с БГИ 942 737 759,22 ? с БГГО 1 750 714,57 ? с авансированием до 2 548 486,53 ? с комиссией банку 20 826 292,06 ? с кв 181 188,74 ? ЗА 1 ГОД по 44ФЗ заключено 50 шт. c объемом НМЦ 1 502 629 239,61 ? с БГИ 172 302 466,60 ? с БГГО 0,00 ? с авансированием до  2 548 486,53 ? с комиссией банку  3 934 966,88 ? с кв 34 234,21 ?</t>
  </si>
  <si>
    <t>"44 за 3 года", "кл фт агент бг 04.22", "свод фт", ".", "рейтинг поставщиков в маркере по бг", "fk1", "2. Финтендер 2022 31.03.22 Григорян для СПАРК", "БГ ФБ ЮР лица на 01.07.2021", "Гарантии ФБ банкроты", "филиал бизнес 31.01.22 ", "клиенты с в от100млн 09.21", "все клиенты с выручкой от 1,8 млрд до бесконечности", "портфель",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"44 фз с с БГ от 10 млн", "производители", "рейтинг по нмц маркер", "на фт заводил Бесков", "поставщики маркер"</t>
  </si>
  <si>
    <t>20.41.32.129 Средства стиральные прочие
17.22.11.130 Салфетки и полотенца гигиенические или косметические из бумажной массы, бумаги, целлюлозной ваты и полотна из целлюлозных волокон
25.99.12.130 Изделия столовые, кухонные и бытовые и их детали из алюминия
20.41.32.121 Порошки стиральные
20.16 Пластмассы в первичных формах
13.92.29.110 Тряпки для мытья полов, посуды, удаления пыли
13.92.29.120 Салфетки текстильные для удаления пыли
20.41.41.000 Средства для дезодорирования и ароматизации воздуха в помещениях
32.91.11.000 Метлы и щетки для домашней уборки
22.22.11.000 Мешки и сумки, включая конические, из полимеров этилена ****</t>
  </si>
  <si>
    <t>1 052</t>
  </si>
  <si>
    <t>41.20.40.200 Работы по сохранению и воссозданию нежилых зданий, являющихся объектами культурного наследия
42.99.12.124 Территории парковые и парки для отдыха
41.20.40.900 Работы строительные по возведению нежилых зданий и сооружений прочие, не включенные в другие группировки
41.20.30 Работы по возведению жилых зданий
43.12.11.190 Работы земляные прочие, не включенные в другие группировки
42.11.10.129 Дороги автомобильные, в том числе улично-дорожная сеть, и прочие автомобильные и пешеходные дороги, не включенные в другие группировки
42.21.22.110 Работы строительные по прокладке местных трубопроводов воды или сточных вод
42.21.21 Работы строительные по прокладке магистральных трубопроводов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</si>
  <si>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42 контрактов на сумму  53 910 920 929,00 ? За весь период заходили в конкурсы  70 раз на общую сумму обеспеченных контрактов с НМЦ 55 427 318 354,03 ? с БГУ  2 037 973 880,73 ? с БГИ 11 692 863 133,60 ? За 3 ГОДА по 44ФЗ заключено 5 шт. с объемом НМЦ  4 425 508 503,40 ? с БГИ 591 405 453,44 ? с БГГО 51 604 892,00 ? с авансированием до 1 180 785 099,73 ? с комиссией банку 3 303 765,20 ? с кв 28 742,76 ?               ЗА 3 ГОДА ПО 223 ФЗ заключено 8 шт. с объемом НМЦ 5 130 420 127,38 ? за 1 ГОД ПО 223ФЗ заключено 5  67 040 052,36 ?</t>
  </si>
  <si>
    <t>"223 за 3 года", "кл фт прямые бг 04.22", "свод фт", ".", "рейтинг поставщиков в маркере по бг", "База Восточный (Мелкумов)", "ГРАНДИОЗНЫЙ ПРОЕКТ", "Конкурсы 100+ (Восстановленный)", "кредиты фт", "клиенты с в от100млн 09.21", "все клиенты с выручкой от 1,8 млрд до бесконечности", "ФК клиенты с выручкой от 230 до бесконечности", "клиенты от 100 млн", "Одобренные но не выданные 1 полугодие 2021", "ФТ клиенты с продуктами по сотрудникам", "БизФин", "223 фз контракты 20+", "44 фз с с БГ от 10 млн", "производители", "рейтинг по нмц маркер", "это заказчик", "на фт заводил Середин", "на фт заводил Дворецкий", "поставщики маркер", "44 за 3 года"</t>
  </si>
  <si>
    <t>31.09.13.140 Мебель детская деревянная</t>
  </si>
  <si>
    <t>"223 за 3 года", ".", "производители", "это заказчик", "crm управления", "в crm за Эльшаном", "поставщики маркер"</t>
  </si>
  <si>
    <t>35.30.11.120 Энергия тепловая, отпущенная котельными
17.11.12.000 Целлюлоза древесная натронная или сульфатная, кроме растворимых сортов</t>
  </si>
  <si>
    <t>За весь период компания заключила  15 контрактов на сумму  2 894 031 665,23 ?</t>
  </si>
  <si>
    <t>"поставщики маркер", ".", "производители", "рейтинг по нмц маркер", "это заказчик"</t>
  </si>
  <si>
    <t>Сообщения о принятии решения о реорганизации от 22.06.2020</t>
  </si>
  <si>
    <t>21.20.23.110 Реагенты диагностические
21.20.23.199 Средства нелечебные прочие
21 Средства лекарственные и материалы, применяемые в медицинских целях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21.20.10.155 Препараты для лечения псориаза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t>
  </si>
  <si>
    <t>За весь период компания заключила  10 контрактов на сумму  470 065 336,55 ? За весь период заходили в конкурсы  7 раз на общую сумму обеспеченных контрактов с НМЦ 389 445 716,30 ? с БГУ  13 549 380,66 ? с БГИ 86 150 319,00 ? За 3 ГОДА по 44ФЗ заключено 308 шт. с объемом НМЦ  1 535 205 817,61 ? с БГИ 121 426 480,89 ? с БГГО 3 333 550,89 ? с авансированием до 0,00 ? с комиссией банку 1 739 905,06 ? с кв 15 137,17 ? ЗА 1 ГОД по 44ФЗ заключено 115 шт. c объемом НМЦ 802 620 516,80 ? с БГИ 63 641 361,40 ? с БГГО 0,00 ? с авансированием до  0,00 ? с комиссией банку  832 366,53 ? с кв 7 241,59 ? ЗА 3 ГОДА ПО 223 ФЗ заключено 24 шт. с объемом НМЦ 323 871 817,17 ?</t>
  </si>
  <si>
    <t>"223 за 3 года", "кл фт агент бг 04.22", ".", "рейтинг поставщиков в маркере по бг", "fk1", "ПОС на 01.02.2023", "ПОС на 03.04.2023", "Кредитный портфель_01.11", "2. Финтендер 2022 31.03.22 Григорян для СПАРК",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"рейтинг по нмц маркер", "поставщики маркер", "44 за 3 года"</t>
  </si>
  <si>
    <t>68.20.12 Услуги по сдаче в аренду (внаем) собственных или арендованных нежилых помещений</t>
  </si>
  <si>
    <t>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</si>
  <si>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"поставщики маркер", ".", "06.2022_ФинХД", "все клиенты с выручкой от 1,8 млрд до бесконечности"</t>
  </si>
  <si>
    <t>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
43.29.12.110 Работы по установке оград, заборов, защитных перильных и аналогичных ограждений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41.20.30.100 Работы по возведению жилых зданий, кроме работ по сохранению и воссозданию объектов культурного наследия
43.12.11.190 Работы земляные прочие, не включенные в другие группировки
43.21.10.290 Работы электромонтажные прочие, не включенные в другие группировки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 ****</t>
  </si>
  <si>
    <t>За весь период компания заключила  57 контрактов на сумму  75 655 486 259,75 ? За весь период заходили в конкурсы  93 раз на общую сумму обеспеченных контрактов с НМЦ 77 723 974 353,99 ? с БГУ  3 418 379 067,31 ? с БГИ 12 708 929 726,66 ? За 3 ГОДА по 44ФЗ заключено 45 шт. с объемом НМЦ  29 195 838 492,37 ? с БГИ 4 783 581 204,81 ? с БГГО 673 625 149,69 ? с авансированием до 3 543 642 200,72 ? с комиссией банку 101 588 877,19 ? с кв 883 823,23 ? ЗА 1 ГОД по 44ФЗ заключено 8 шт. c объемом НМЦ 7 136 601 126,60 ? с БГИ 1 271 316 297,10 ? с БГГО 160 495 190,01 ? с авансированием до  1 055 902 500,34 ? с комиссией банку  36 639 057,87 ? с кв 318 759,80 ?</t>
  </si>
  <si>
    <t>"44 за 3 года", "кл фт ФК БГ 04.22", ".", "рейтинг поставщиков в маркере по бг", "ГРАНДИОЗНЫЙ ПРОЕКТ", "Конкурсы 100+ (Восстановленный)", "2. Финтендер 2022 31.03.22 Григорян для СПАРК", "Агентские одобренные но не выданные от 30.08", "ушедшие", "закрыли счет", "все клиенты с выручкой от 1,8 млрд до бесконечности", "клиенты от 100 млн", "действующие б не прям", "ФТ клиенты с продуктами по сотрудникам", "44 фз с с БГ от 10 млн", "рейтинг по нмц маркер", "поставщики маркер"</t>
  </si>
  <si>
    <t>Сообщения о принятии решения о реорганизации от 08.09.2021</t>
  </si>
  <si>
    <t>"223 за 3 года", ".", "ушедшие", "все клиенты с выручкой от 1,8 млрд до бесконечности", "производители", "это заказчик"</t>
  </si>
  <si>
    <t>25.99.12.130 Изделия столовые, кухонные и бытовые и их детали из алюминия</t>
  </si>
  <si>
    <t>22.11.1 Шины, покрышки и камеры резиновые новые</t>
  </si>
  <si>
    <t>"223 за 3 года", ".", "это заказчик", "поставщики маркер"</t>
  </si>
  <si>
    <t>28.13.11.110 Насосы топливные
28.15.24.134 Передачи гидромеханические
28.15.25.110 Маховики
28.15.26.140 Муфты гидродинамические
22.19.73.116 Амортизаторы формовые резиновые
28.30.22.110 Тракторы сельскохозяйственные колесные с мощностью двигателя от 37 кВт до 59 кВт
28.30.31.129 Плуги прочие, не включенные в другие группировки
28.30.53.000 Прессы для соломы или сена, включая пресс-подборщики
28.30.93.000 Части прочих машин и оборудования для сельского хозяйства
27.20.22.000 Аккумуляторы свинцовые, кроме используемых для запуска поршневых двигателей ****</t>
  </si>
  <si>
    <t>ЗА 3 ГОДА ПО 223 ФЗ заключено 25 шт. с объемом НМЦ 51 957 133,91 ?</t>
  </si>
  <si>
    <t>"223 за 3 года", ".", "fk1", "корп 2", "все клиенты с выручкой от 1,8 млрд до бесконечности", "ФК клиенты с выручкой от 230 до бесконечности", "Обороты по клиентам по кварталам (2022г)", "поставщики маркер", "44 за 3 года"</t>
  </si>
  <si>
    <t>10.20.41 Мука тонкого и грубого помола и гранулы из рыбы, ракообразных, моллюсков и других водных беспозвоночных, не пригодные для употребления в пищу
10.20.22.120 Мука рыбная тонкого и грубого помола и гранулы, пригодные для употребления в пищу</t>
  </si>
  <si>
    <t>ЗА 3 ГОДА ПО 223 ФЗ заключено 4 шт. с объемом НМЦ 21 270 000,00 ?</t>
  </si>
  <si>
    <t>"поставщики маркер", ".", "fk1", "06.2022_ФинХД", "все клиенты с выручкой от 1,8 млрд до бесконечности", "ФК клиенты с выручкой от 230 до бесконечности", "клиенты от 100 млн"</t>
  </si>
  <si>
    <t>"производители", ".", "п6", "06.2022_ФинХД", "все клиенты с выручкой от 1,8 млрд до бесконечности"</t>
  </si>
  <si>
    <t>"44 за 3 года", "."</t>
  </si>
  <si>
    <t>30.99.10.190 Средства транспортные и оборудование прочие, не включенные в другие группировки
28.30.59.111 Комбайны зерноуборочные
29.10.59.130 Средства транспортные для коммунального хозяйства и содержания дорог
28.30.23.110 Тракторы сельскохозяйственные колесные с мощностью двигателя более 59 кВт
28.30.86.110 Оборудование для сельского хозяйства, не включенное в другие группировки
28.30.33.111 Сеялки зерновые
28.92.24.120 Катки дорожные самоходные
29 Средства автотранспортные, прицепы и полуприцепы
28.92.27.119 Экскаваторы многоковшовые прочие
28.92.25.000 Погрузчики фронтальные одноковшовые самоходные ****</t>
  </si>
  <si>
    <t>За весь период заходили в конкурсы  14 раз на общую сумму обеспеченных контрактов с НМЦ 1 527 942 576,00 ? с БГУ  31 420 525,10 ? с БГИ 173 398 250,20 ? За 3 ГОДА по 44ФЗ заключено 36 шт. с объемом НМЦ  2 386 781 000,00 ? с БГИ 238 045 350,00 ? с БГГО 24 143 810,00 ? с авансированием до 0,00 ? с комиссией банку 1 126 766,96 ? с кв 9 802,87 ? ЗА 1 ГОД по 44ФЗ заключено 9 шт. c объемом НМЦ 445 970 000,00 ? с БГИ 43 986 500,00 ? с БГГО 4 459 700,00 ? с авансированием до  0,00 ? с комиссией банку  62 513,75 ? с кв 543,87 ? ЗА 3 ГОДА ПО 223 ФЗ заключено 1 шт. с объемом НМЦ 27 000 000,00 ?</t>
  </si>
  <si>
    <t>"223 за 3 года", ".", "рейтинг поставщиков в маркере по бг", "Конкурсы 100+ (Восстановленный)", "fk1", "Действующий клиент мсб с выр от 30 млн на 05.21", "все клиенты с выручкой от 1,8 млрд до бесконечности", "ФК клиенты с выручкой от 230 до бесконечности", "Одобренные но не выданные 1 полугодие 2021", "44 фз с с БГ от 10 млн", "рейтинг по нмц маркер", "поставщики маркер", "44 за 3 года"</t>
  </si>
  <si>
    <t>21.20.10 Препараты лекарственные
21.20 Препараты лекарственные и материалы, применяемые в медицинских целях
46.45 Услуги по оптовой торговле парфюмерными и косметическими товарами
10.86.10.910 Продукция пищевая диетического и диабетического питания</t>
  </si>
  <si>
    <t>За весь период контрактов 2 шт. на общую сумму НМЦ 500 000 000,00 ?</t>
  </si>
  <si>
    <t>"223 за 3 года", ".", "fk1", "все клиенты с выручкой от 1,8 млрд до бесконечности", "рейтинг по нмц маркер", "поставщики маркер"</t>
  </si>
  <si>
    <t>56.10.11.129 Услуги прочих предприятий питания с полным обслуживанием без сопровождения развлекательных программ</t>
  </si>
  <si>
    <t>За весь период компания заключила  7 контрактов на сумму  6 827 893 238,28 ? За весь период заходили в конкурсы  7 раз на общую сумму обеспеченных контрактов с НМЦ 6 768 322 892,65 ? с БГУ  429 805 087,63 ? с БГИ 859 610 175,27 ?</t>
  </si>
  <si>
    <t>"рейтинг по нмц маркер", ".", "рейтинг поставщиков в маркере по бг", "Пункт 3.1 09.01.2023", "все клиенты с выручкой от 1,8 млрд до бесконечности"</t>
  </si>
  <si>
    <t>28.13.14.110 Насосы центробежные подачи жидкостей прочие
20.14.73.190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28.29 Машины и оборудование общего назначения прочие, не включенные в другие группировки
28.29.12.190 Оборудование и установки для фильтрования или очистки жидкостей прочие, не включенные в другие группировки
71.12.20.190 Услуги по руководству строительными проектами прочие
13.10.31.120 Волокна полиамидные, включая волокна из ароматических полиамидов, подготовленные для прядения
20.59.5 Продукты химические прочие
28.29.12.111 Фильтры очистки воды промышленные
71.12.17.000 Услуги по инженерно-техническому проектированию производственных процессов и производств
20.59.59.900 Продукты разные химические прочие, не включенные в другие группировки</t>
  </si>
  <si>
    <t>За весь период компания заключила  3 контрактов на сумму  1 321 687 040,00 ?</t>
  </si>
  <si>
    <t>"223 за 3 года", "кл фт самоход бг 04.22", ".", "2. Финтендер 2022 31.03.22 Григорян для СПАРК",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"производители", "рейтинг по нмц маркер", "поставщики маркер"</t>
  </si>
  <si>
    <t>02.20.14.110 Дрова
02.20 Лесоматериалы необработанные</t>
  </si>
  <si>
    <t>ЗА 3 ГОДА ПО 223 ФЗ заключено 1 шт. с объемом НМЦ 478 253 220,00 ? за 1 ГОД ПО 223ФЗ заключено 2  956 506 440,00 ?</t>
  </si>
  <si>
    <t>"223 за 3 года", ".", "все клиенты с выручкой от 1,8 млрд до бесконечности", "223 фз контракты 20+", "поставщики маркер"</t>
  </si>
  <si>
    <t>52.24.1 Услуги по обработке грузов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35.11.10.112 Электроэнергия, произведенная теплоэлектроцентралями (ТЭЦ) общего назначения
49.41.15 Услуги по перевозке автомобильным транспортом сухих сыпучих грузов
41.20.10.110 Здания жилые общего назначения
35.30.11.130 Энергия тепловая, отпущенная электрокотлами
35.30.12.110 Услуги по приготовлению воды на нужды горячего водоснабжения
42.11.10.120 Дороги автомобильные, в том числе улично-дорожная сеть, и прочие автомобильные и пешеходные дороги
43.11.10.000 Работы по сносу зданий и сооружений
35.30.11.120 Энергия тепловая, отпущенная котельными ****</t>
  </si>
  <si>
    <t>За весь период компания заключила  2 контрактов на сумму  2 422 060 747,98 ? За весь период заходили в конкурсы  7 раз на общую сумму обеспеченных контрактов с НМЦ 647 274 483,85 ? с БГУ  18 101 443,49 ? с БГИ 125 424 989,88 ?                             ЗА 3 ГОДА ПО 223 ФЗ заключено 18 шт. с объемом НМЦ 1 203 541 004,34 ?</t>
  </si>
  <si>
    <t>"223 за 3 года", ".", "рейтинг поставщиков в маркере по бг", "рейтинг по нмц маркер", "поставщики маркер", "44 за 3 года"</t>
  </si>
  <si>
    <t>51.21.1 Услуги по перевозке грузов воздушным транспортом
28.99.39.190 Оборудование специального назначения прочее, не включенное в другие группировки
49.41 Услуги по грузовым перевозкам автомобильным транспортом
52.22.19.142 Услуги по снабженческому (шипчандлерскому) обслуживанию судов, включая бункеровку судов топливом, обслуживание судов в период стоянки в портах: агентирование судов, обследовательское (сюрвейерское) обслуживание судов на морском транспорте
52.29.1 Услуги грузовых транспортно-экспедиционных агентств</t>
  </si>
  <si>
    <t>ЗА 3 ГОДА ПО 223 ФЗ заключено 1 шт. с объемом НМЦ 97 000 000,00 ?</t>
  </si>
  <si>
    <t>"223 за 3 года", ".", "ушедшие", "все клиенты с выручкой от 1,8 млрд до бесконечности", "поставщики маркер", "44 за 3 года"</t>
  </si>
  <si>
    <t>28.22 Оборудование подъемно-транспортное
28.30.93.000 Части прочих машин и оборудования для сельского хозяйства
28.92.12.130 Машины бурильные
28.92.21 Бульдозеры и бульдозеры с поворотным отвалом
19.20.29.150 Масла компрессорные
26.51.20.121 Аппаратура радионавигационная для работы в системе спутниковой навигации ГЛОНАСС или ГЛОНАСС/GPS
33.20 Услуги по монтажу промышленных машин и оборудования
46.6 Услуги по оптовой торговле прочими машинами, оборудованием и инструментами
28.14.20.290 Основные узлы, детали арматуры прочие (сальники, седла, золотники, плунжеры, штоки, шпиндели, мембраны и прочие)
28.11.42.000 Части прочих двигателей, не включенных в другие группировки ****</t>
  </si>
  <si>
    <t>ЗА 3 ГОДА ПО 223 ФЗ заключено 57 шт. с объемом НМЦ 673 180 610,00 ? за 1 ГОД ПО 223ФЗ заключено 20  110 629 832,88 ?</t>
  </si>
  <si>
    <t>"223 за 3 года", ".", "п6", "fk1", "ПОС на 01.02.2023", "ПОС на 03.04.2023", "Кредитный портфель_01.11", "06.2022_ФинХД", "все клиенты с выручкой от 1,8 млрд до бесконечности", "Обороты по клиентам по кварталам (2022г)", "223 фз контракты 20+", "производители", "рейтинг по нмц маркер", "поставщики маркер", "44 за 3 года"</t>
  </si>
  <si>
    <t>11.0 Напитки
11.01 Напитки алкогольные дистиллированные и ректификованные
10.89.19.290 Продукты пищевые прочие, не включенные в другие группировки
11.01.10.160 Бренди
11.01.10.180 Виски
11.01.10.121 Водка виноградная
11.02.11.114 Вино игристое (шампанское)
11.01.10.111 Водка
11.01.10.140 Коньяки
11.07 Напитки безалкогольные; минеральные воды и прочие питьевые воды в бутылках ****</t>
  </si>
  <si>
    <t>Сообщения о принятии решения о реорганизации от 27.10.2021</t>
  </si>
  <si>
    <t>"Обороты по клиентам по кварталам (2022г)", ".",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t>
  </si>
  <si>
    <t>26.20.18.000 Устройства периферийные с двумя или более функциями: печать данных, копирование, сканирование, прием и передача факсимильных сообщений
28.25.12.130 Кондиционеры бытовые
27.51.11.110 Холодильники бытовые
27.51.26.110 Приборы отопительные электрические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27.51.21.119 Приборы электромеханические бытовые хозяйственные со встроенным электродвигателем прочие, не включенные в другие группировки
26.2 Компьютеры и периферийное оборудование
27.51.25.110 Водонагреватели проточные и накопительные электрические
27.51.27.000 Печи микроволновые
27.51.28.130 Плиты кухонные электрические ****</t>
  </si>
  <si>
    <t>"44 за 3 года", ".", "все клиенты с выручкой от 1,8 млрд до бесконечности", "производители", "crm управления", "в crm за Досхоевым", "поставщики маркер"</t>
  </si>
  <si>
    <t>01.11.12.110 Пшеница озимая мягкая
01.11 Культуры зерновые (кроме риса), зернобобовые, семена масличных культур</t>
  </si>
  <si>
    <t>Сообщения о принятии решения о реорганизации от 23.05.2018</t>
  </si>
  <si>
    <t>"Обороты по клиентам по кварталам (2022г)", ".", "fk1", "просрочка на 01.01.2023 г.", "Запрос в ЮД_просрочка на 01.01.2023", "клиенты с в от100млн 09.21", "все клиенты с выручкой от 1,8 млрд до бесконечности", "ФК клиенты с выручкой от 230 до бесконечности"</t>
  </si>
  <si>
    <t>20.42.16.110 Шампуни
24.42.25.000 Фольга алюминиевая толщиной не более 0,2 мм
20.42.17.120 Средства для волос прочие, не включенные в другие группировки
20.42 Средства парфюмерные и косметические
20.42.16.120 Лаки для волос</t>
  </si>
  <si>
    <t>19.20 Нефтепродукты</t>
  </si>
  <si>
    <t>"поставщики маркер", ".", "все клиенты с выручкой от 1,8 млрд до бесконечности", "Участники клиринга", "рейтинг по нмц маркер"</t>
  </si>
  <si>
    <t>за 1 ГОД ПО 223ФЗ заключено 1  4 591 433,10 ?</t>
  </si>
  <si>
    <t>21.20.23.192 Продукты терапевтические прочие</t>
  </si>
  <si>
    <t>41.20.40.900 Работы строительные по возведению нежилых зданий и сооружений прочие, не включенные в другие группировки
42.21.13 Системы оросительные (каналы); водоводы и водопроводные конструкции; водоочистные станции, станции очистки сточных вод и насосные станции</t>
  </si>
  <si>
    <t>За весь период компания заключила  6 контрактов на сумму  7 635 072 011,58 ? За весь период заходили в конкурсы  8 раз на общую сумму обеспеченных контрактов с НМЦ 7 147 737 447,16 ? с БГУ  139 732 464,44 ? с БГИ 2 365 171 664,68 ? За 3 ГОДА по 44ФЗ заключено 2 шт. с объемом НМЦ  2 693 987 005,00 ? с БГИ 799 560 088,14 ? с БГГО 50 232 555,00 ? с авансированием до 758 828 845,64 ? с комиссией банку 23 041 329,83 ? с кв 200 459,57 ?               ЗА 3 ГОДА ПО 223 ФЗ заключено 2 шт. с объемом НМЦ 1 385 597 600,80 ?</t>
  </si>
  <si>
    <t>"223 за 3 года", "свод фт", ".", "рейтинг поставщиков в маркере по бг", "компании Герберта", "ГРАНДИОЗНЫЙ ПРОЕКТ", "fk1", "Действующий клиент мсб с выр от 30 млн на 05.21", "все клиенты с выручкой от 1,8 млрд до бесконечности", "ФК клиенты с выручкой от 230 до бесконечности", "рейтинг по нмц маркер", "на фт заводил Егоров ", "crm управления", "в crm за Муслимом", "поставщики маркер", "44 за 3 года"</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</si>
  <si>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35.11.10.143 Электроэнергия, произведенная геотермальными электростанциями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35.30.12.110 Услуги по приготовлению воды на нужды горячего водоснабжения
35.12.10.120 Услуги по технологическому присоединению к распределительным электросетям
35.13.10 Услуги по распределению электроэнергии ****</t>
  </si>
  <si>
    <t>За весь период контрактов 14 шт. на общую сумму НМЦ 1 225 790 730,84 ?</t>
  </si>
  <si>
    <t>"Участники клиринга", ".", "ушедший портфель", "инн Вавилова", "fk1", "ИНН 3 года - нет КД БГ на 01.10.22", "Список ушедший ", "06.2022_ФинХД", "клиенты от 100 млн", "Обороты по клиентам по кварталам (2022г)"</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</si>
  <si>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42.91.20.110 Работы строительные по строительству портовых и речных сооружений, пристаней для яхт, набережных, пирсов, молов, доков и аналогичных портовых сооружений, включая ремонт
71.12.19.100 Услуги по инженерно-техническому проектированию прочих объектов, кроме объектов культурного наследия
42.13.20.100 Работы строительные по строительству мостов и тоннелей, кроме работ по сохранению и воссозданию объектов культурного наследия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</si>
  <si>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1 658</t>
  </si>
  <si>
    <t>За весь период компания заключила  56 контрактов на сумму  55 118 268 454,17 ? За весь период заходили в конкурсы  162 раз на общую сумму обеспеченных контрактов с НМЦ 59 694 995 021,34 ? с БГУ  2 961 019 665,85 ? с БГИ 18 866 565 202,70 ? За 3 ГОДА по 44ФЗ заключено 48 шт. с объемом НМЦ  13 597 866 238,52 ? с БГИ 3 041 379 476,58 ? с БГГО 218 139 799,36 ? с авансированием до 2 406 677 096,14 ? с комиссией банку 29 907 041,18 ? с кв 260 191,26 ? ЗА 1 ГОД по 44ФЗ заключено 20 шт. c объемом НМЦ 3 583 044 123,63 ? с БГИ 1 393 815 323,29 ? с БГГО 48 171 697,55 ? с авансированием до  1 154 889 350,92 ? с комиссией банку  14 749 523,97 ? с кв 128 320,86 ?</t>
  </si>
  <si>
    <t>Сообщение кредитора о намерении обратиться в суд с заявлением о банкротстве от 04.10.2022</t>
  </si>
  <si>
    <t>"44 за 3 года", "свод фт", ".", "рейтинг поставщиков в маркере по бг", "ГРАНДИОЗНЫЙ ПРОЕКТ", "Конкурсы 100+ (Восстановленный)", "ПСБ Гарантии ", "06.2022_ФинХД", "все клиенты с выручкой от 1,8 млрд до бесконечности", "44 фз с с БГ от 10 млн", "производители", "рейтинг по нмц маркер", "это заказчик", "на фт заводил Бесков", "поставщики маркер"</t>
  </si>
  <si>
    <t>29.10.59 Средства автотранспортные специального назначения, не включенные в другие группировки
26.2 Компьютеры и периферийное оборудование
27.90.31.110 Машины и оборудование электрические для пайки мягким и твердым припоем и сварки
70.22.11.000 Услуги консультативные по вопросам стратегического управления
26.51.66.120 Приборы неразрушающего контроля качества материалов и изделий</t>
  </si>
  <si>
    <t>За весь период контрактов 23 шт. на общую сумму НМЦ 50 221 454 520,42 ?</t>
  </si>
  <si>
    <t>Сообщения о принятии решения о реорганизации от 10.03.2021</t>
  </si>
  <si>
    <t>"223 за 3 года", ".", "рейтинг поставщиков в маркере по бг", "беники", "все клиенты с выручкой от 1,8 млрд до бесконечности", "рейтинг заказчиков маркер", "рейтинг по нмц маркер", "это заказчик", "поставщики маркер"</t>
  </si>
  <si>
    <t>Сообщение кредитора о намерении обратиться в суд с заявлением о банкротстве от 01.04.2022</t>
  </si>
  <si>
    <t>22.19.50.000 Материалы прорезиненные текстильные, кроме кордных тканей
22.19.71.190 Изделия из резины, кроме твердой резины (эбонита), гигиенические или фармацевтические прочие
20.20.14.000 Средства дезинфекционные
21 Средства лекарственные и материалы, применяемые в медицинских целях
21.20.2 Препараты лекарственные прочие и материалы, применяемые в медицинских целях
32.50.13.190 Инструменты и приспособления, применяемые в медицинских целях, прочие, не включенные в другие группировки
32.50.42 Очки для коррекции зрения, защитные или прочие очки или аналогичные оптические приборы
21.20.24.160 Материалы перевязочные и аналогичные изделия, в том числе пропитанные или покрытые лекарственными средствами
22.19.60.112 Перчатки резиновые технические
22.19.60.190 Предметы одежды и ее аксессуары из вулканизированной резины, кроме твердой резины (эбонита) ****</t>
  </si>
  <si>
    <t>За весь период компания заключила  9 контрактов на сумму  2 757 716 379,55 ?                                         за 1 ГОД ПО 223ФЗ заключено 7  5 060 442,00 ?</t>
  </si>
  <si>
    <t>"223 за 3 года", ".", "fk1", "ИНН 3 года - нет КД БГ на 01.10.22",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 "44 за 3 года"</t>
  </si>
  <si>
    <t>19.20.21 Топливо моторное, включая автомобильный и авиационный бензин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19.20.21.315 Топливо дизельное летнее экологического класса К5
19.20.21.320 Топливо дизельное зимнее
19.20.21.300 Топливо дизельное
19.20.25 Топливо реактивное керосинового типа
19.20.25.112 Топливо для реактивных двигателей летательных аппаратов с дозвуковой скоростью полета марки ТС-1
19.20.21.330 Топливо дизельное арктическое
19.20 Нефтепродукты ****</t>
  </si>
  <si>
    <t>За весь период контрактов 10 шт. на общую сумму НМЦ 17 678 501 226,73 ?</t>
  </si>
  <si>
    <t>"223 за 3 года", ".", "рейтинг поставщиков в маркере по бг", "Конкурсы 100+ (Восстановленный)", "все клиенты с выручкой от 1,8 млрд до бесконечности", "Участники клиринга", "рейтинг по нмц маркер", "поставщики маркер", "44 за 3 года"</t>
  </si>
  <si>
    <t>51.10.12 Услуги по нерегулярным пассажирским перевозкам воздушным транспортом на местных линиях, кроме услуг по осмотру достопримечательностей с воздуха
51 Услуги воздушного и космического транспорта
51.10.14.000 Услуги по нерегулярным пассажирским перевозкам воздушным транспортом на международных линиях
51.10.11.000 Услуги по регулярным пассажирским перевозкам воздушным транспортом на местных линиях
51.10.13.000 Услуги по регулярным пассажирским перевозкам воздушным транспортом на международных линиях</t>
  </si>
  <si>
    <t>За весь период контрактов 21 шт. на общую сумму НМЦ 14 883 608 402,54 ?</t>
  </si>
  <si>
    <t>"44 за 3 года", ".", "рейтинг поставщиков в маркере по бг", "44 фз с с БГ от 10 млн", "рейтинг заказчиков маркер", "рейтинг по нмц маркер"</t>
  </si>
  <si>
    <t>"ФК клиенты с выручкой от 230 до бесконечности", ".", "fk1", "портфель 31.10.2021_10 тыс_проверка", "Пункт 3.1 09.01.2023", "БГ ФБ ЮР лица на 01.07.2021", "Агентские одобренные но не выданные от 30.08", "Действующий клиент мсб с выр от 30 млн на 05.21", "все клиенты с выручкой от 1,8 млрд до бесконечности"</t>
  </si>
  <si>
    <t>28.30.93.000 Части прочих машин и оборудования для сельского хозяйства
29.32.30 Комплектующие и принадлежности для автотранспортных средств, не включенные в другие группировки
28.30.33.110 Сеялки</t>
  </si>
  <si>
    <t>27.40.11.000 Лампы герметичные узконаправленного света
22.11.11.000 Шины и покрышки пневматические для легковых автомобилей новые
20.59.43.120 Антифризы
20.30.22.220 Растворители и разбавители органические сложные; составы готовые для удаления красок и лаков (смывки)
25.73.30.290 Инструмент ручной прочий, не включенный в другие группировки
19.20.29.119 Масла моторные прочие, не включенные в другие группировки
27.20.21.000 Аккумуляторы свинцовые для запуска поршневых двигателей
28.29.13.130 Фильтры очистки воздуха всасывающие для двигателей внутреннего сгорания
20.59.43.130 Антиобледенители
28.29.13.110 Фильтры очистки масла для двигателей внутреннего сгорания ****</t>
  </si>
  <si>
    <t>1 326</t>
  </si>
  <si>
    <t>ПОС на 03.04.2351</t>
  </si>
  <si>
    <t>"Обороты по клиентам по кварталам (2022г)", ".", "fk1", "ПОС на 03.04.2023", "Кредитный портфель_01.11", "корп 1", "06.2022_ФинХД"</t>
  </si>
  <si>
    <t>ЗА 3 ГОДА ПО 223 ФЗ заключено 27 шт. с объемом НМЦ 324 777 782,18 ? за 1 ГОД ПО 223ФЗ заключено 18  75 394 874,73 ?</t>
  </si>
  <si>
    <t>71.20.1 Услуги в области технических испытаний, исследований и анализа</t>
  </si>
  <si>
    <t>2 841</t>
  </si>
  <si>
    <t>"поставщики маркер", ".",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t>
  </si>
  <si>
    <t>28.25.14.111 Фильтры для очистки воздуха
28.99.9 Услуги по производству прочего оборудования специального назначения, не включенного в другие группировки, отдельные, выполняемые субподрядчиком
28.41.12.130 Станки многофункциональные металлообрабатывающие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28.13.28.000 Компрессоры прочие
28.13.99 Услуги по производству насосов и компрессоров прочих отдельные, выполняемые субподрядчиком
33.12.2 Услуги по ремонту и техническому обслуживанию оборудования специального назначения
33.2 Услуги по монтажу промышленных машин и оборудования
77.39 Услуги по аренде и лизингу прочих машин, оборудования и материальных средств, не включенных в другие группировки
46.74.13 Услуги по оптовой торговле ручными инструментами ****</t>
  </si>
  <si>
    <t>За весь период компания заключила  8 контрактов на сумму  957 327 154,11 ? За весь период заходили в конкурсы  1 раз на общую сумму обеспеченных контрактов с НМЦ 39 632 795,56 ? с БГУ  2 250 000,00 ? с БГИ 7 500 000,00 ?                             ЗА 3 ГОДА ПО 223 ФЗ заключено 8 шт. с объемом НМЦ 42 991 494,85 ?</t>
  </si>
  <si>
    <t>"223 за 3 года", ".", "рейтинг поставщиков в маркере по бг", "все клиенты с выручкой от 1,8 млрд до бесконечности", "производители", "рейтинг по нмц маркер", "поставщики маркер", "44 за 3 года"</t>
  </si>
  <si>
    <t>"это заказчик", ".", "fk1", "Обороты по клиентам по кварталам (2022г)"</t>
  </si>
  <si>
    <t>1 958</t>
  </si>
  <si>
    <t>Юридическое лицо находится в процессе реорганизации в форме присоединения к нему других юридических лиц от 05.05.2023</t>
  </si>
  <si>
    <t>"поставщики маркер", ".", "fk1", "все клиенты с выручкой от 1,8 млрд до бесконечности", "crm управления", "в crm за Досхоевым"</t>
  </si>
  <si>
    <t>28.23.13.120 Аппараты контрольно-кассовые
62.02.20.110 Услуги по планированию и проектированию компьютерных систем
77.33.11.130 Услуги по аренде бухгалтерских машин и оборудования (электронных калькуляторов, кассовых аппаратов и аналогичных устройств)
26.20.12 Терминалы кассовые, банкоматы и аналогичное оборудование, подключаемое к компьютеру или сети передачи данных
85.42 Услуги по дополнительному профессиональному образованию
33.20.39.900 Услуги по монтажу прочего оборудования специального назначения, не включенные в другие группировки</t>
  </si>
  <si>
    <t>"поставщики маркер",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"это заказчик"</t>
  </si>
  <si>
    <t>28.14.13 Арматура запорная для управления процессом (задвижки, краны, клапаны запорные, затворы дисковые и другая арматура)
28.14.13.110 Клапаны запорные
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
25.29.11.900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прочие
28.14 Арматура трубопроводная (арматура) (краны, клапаны и прочие)
28.14.11.120 Арматура регулирующая
28.99.39.190 Оборудование специального назначения прочее, не включенное в другие группировки
25.30.22.119 Системы ядерных установок прочие, не включенные в другие группировки
71.20.12.000 Услуги в области испытаний, исследований и анализа физико-механических свойств материалов и веществ
25.29.1 Резервуары, цистерны и аналогичные емкости из металлов прочие ****</t>
  </si>
  <si>
    <t>За весь период компания заключила  26 контрактов на сумму  10 693 174 711,83 ?                                     ЗА 3 ГОДА ПО 223 ФЗ заключено 4 шт. с объемом НМЦ 107 741 250,00 ? за 1 ГОД ПО 223ФЗ заключено 1  32 760 000,00 ?</t>
  </si>
  <si>
    <t>"223 за 3 года", "свод фт", ".", "лимит сит по кредитам", "все клиенты с выручкой от 1,8 млрд до бесконечности", "223 фз контракты 20+", "производители", "рейтинг по нмц маркер", "на фт заводил Еприкян"</t>
  </si>
  <si>
    <t>64.30 Услуги инвестиционных фондов и аналогичных финансовых организаций</t>
  </si>
  <si>
    <t>За весь период компания заключила  4 контрактов на сумму  11 050 139 559,21 ?</t>
  </si>
  <si>
    <t>"поставщики маркер", ".", "все клиенты с выручкой от 1,8 млрд до бесконечности", "рейтинг заказчиков маркер", "рейтинг по нмц маркер", "это заказчик"</t>
  </si>
  <si>
    <t>35.14.10 Услуги по торговле электроэнергией
85.42.19.110 Услуги по подготовке специалистов в области использования атомной энергии
35.11.10 Электроэнергия
35.13.10.000 Услуги по распределению электроэнергии
35.11.10.115 Электроэнергия, произведенная атомными электростанциями (АЭС) общего назначения
35.12.10.110 Услуги по передаче электроэнергии</t>
  </si>
  <si>
    <t>ЗА 3 ГОДА ПО 223 ФЗ заключено 6 шт. с объемом НМЦ 69 150 687,02 ? за 1 ГОД ПО 223ФЗ заключено 2  7 912 357,42 ?</t>
  </si>
  <si>
    <t>Одобренные но не выданные 1 полугодие 2021(1)</t>
  </si>
  <si>
    <t>"поставщики маркер", ".", "все клиенты с выручкой от 1,8 млрд до бесконечности", "Одобренные но не выданные 1 полугодие 2021", "это заказчик"</t>
  </si>
  <si>
    <t>42.22.13.200 Электростанции атомные</t>
  </si>
  <si>
    <t>За весь период контрактов 39 шт. на общую сумму НМЦ 278 786 165 035,76 ?</t>
  </si>
  <si>
    <t>"поставщики маркер", ".", "беники", "223 фз контракты 20+", "рейтинг заказчиков маркер", "рейтинг по нмц маркер", "это заказчик"</t>
  </si>
  <si>
    <t>68.2 Услуги по сдаче в аренду (внаем) собственного или арендованного недвижимого имущества
72.19.50.000 Работы оригинальные научных исследований и экспериментальных разработок в области естественных и технических наук, кроме биотехнологии
74.90.13.000 Услуги консультативные в области окружающей среды
74.90.15.120 Услуги по проведению оценки уязвимости объектов промышленного назначения, связи, здравоохранения и аналогичных объектов
71.20.19.150 Услуги по оценке соответствия в области использования атомной энергии
71.12 Услуги в области инженерно-технического проектирования и связанные технические консультативные услуги
77.1 Услуги по аренде и лизингу автотранспортных средств
77.39.1 Услуги по аренде и лизингу прочих машин, оборудования и материальных средств, не включенных в другие группировки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72.19.29.120 Услуги по проведению научно-исследовательских и опытно-конструкторских работ в области использования атомной энергии ****</t>
  </si>
  <si>
    <t>За весь период компания заключила  17 контрактов на сумму  17 350 460 185,15 ? За весь период заходили в конкурсы  3 раз на общую сумму обеспеченных контрактов с НМЦ 6 733 575 220,00 ? с БГУ  34 176 116,10 ? с БГИ 2 014 116 966,00 ? За 3 ГОДА по 44ФЗ заключено 6 шт. с объемом НМЦ  2 216 716 000,00 ? с БГИ 503 449 680,00 ? с БГГО 0,00 ? с авансированием до 665 014 800,00 ? с комиссией банку 10 571 866,17 ? с кв 91 975,24 ? ЗА 1 ГОД по 44ФЗ заключено 4 шт. c объемом НМЦ 1 390 168 000,00 ? с БГИ 291 935 280,00 ? с БГГО 0,00 ? с авансированием до  417 050 400,00 ? с комиссией банку  9 290 290,82 ? с кв 80 825,53 ? ЗА 3 ГОДА ПО 223 ФЗ заключено 51 шт. с объемом НМЦ 678 890 860,47 ? за 1 ГОД ПО 223ФЗ заключено 6  90 473 748,50 ?</t>
  </si>
  <si>
    <t>Сообщения о принятии решения о реорганизации от 02.04.2021</t>
  </si>
  <si>
    <t>"223 за 3 года", ".", "рейтинг поставщиков в маркере по бг", "ГРАНДИОЗНЫЙ ПРОЕКТ", "беники", "Конкурсы 100+ (Восстановленный)", "все клиенты с выручкой от 1,8 млрд до бесконечности", "223 фз контракты 20+", "44 фз с с БГ от 10 млн", "рейтинг заказчиков маркер", "рейтинг по нмц маркер", "это заказчик", "поставщики маркер", "44 за 3 года"</t>
  </si>
  <si>
    <t>35.11.10.112 Электроэнергия, произведенная теплоэлектроцентралями (ТЭЦ) общего назначения
35.14 Услуги по торговле электроэнергией
35.11.10 Электроэнергия
35.13.10.000 Услуги по распределению электроэнергии
35.11.10.115 Электроэнергия, произведенная атомными электростанциями (АЭС) общего назначения
35.12 Услуги по передаче электроэнергии и технологическому присоединению к распределительным электросетям
35.12.10.110 Услуги по передаче электроэнергии</t>
  </si>
  <si>
    <t>За весь период компания заключила  16 контрактов на сумму  24 127 611 314,05 ?                                     ЗА 3 ГОДА ПО 223 ФЗ заключено 1 шт. с объемом НМЦ 164 961 285,84 ?</t>
  </si>
  <si>
    <t>"223 за 3 года", ".", "рейтинг заказчиков маркер", "рейтинг по нмц маркер", "это заказчик", "поставщики маркер"</t>
  </si>
  <si>
    <t>43.33.2 Работы по устройству покрытий полов и стен прочие, включая работы обойные
42.91.20.140 Работы дноуглубительные, работы по удалению скальных пород и илистых отложений и прочие строительные гидротехнические работы
42.91.20.190 Работы строительные и ремонтные, связанные с прочими водными сооружениями и работы по ремонту всех вышеуказанных сооружений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43.99.90.190 Работы строительные специализированные прочие, не включенные в другие группировки
71.20.19 Услуги по техническим испытаниям и анализу прочие
43.22.20.000 Работы по монтажу газовых систем
43.31.10.110 Работы штукатурные внешние и внутренние с применением штукатурных сеток и дранок
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 ****</t>
  </si>
  <si>
    <t>За весь период контрактов 46 шт. на общую сумму НМЦ 123 948 624 876,34 ?</t>
  </si>
  <si>
    <t>"223 за 3 года", ".", "рейтинг поставщиков в маркере по бг", "все клиенты с выручкой от 1,8 млрд до бесконечности", "223 фз контракты 20+", "рейтинг заказчиков маркер", "производители", "рейтинг по нмц маркер", "это заказчик", "crm управления", "crm Пител", "поставщики маркер", "44 за 3 года"</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</si>
  <si>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35.11.10.130 Электроэнергия, произведенная локальными электростанциями (не работающими в энергосистеме)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35.11.10.115 Электроэнергия, произведенная атомными электростанциями (АЭС) общего назначения
35.14.10.000 Услуги по торговле электроэнергией
35.11.10.116 Электроэнергия, произведенная гидроэлектростанциями (ГЭС) общего назначения
35.11.10.119 Электроэнергия, произведенная нетиповыми электростанциями общего назначения ****</t>
  </si>
  <si>
    <t>За год заключили по 223фз 8 контракта(ов) на сумму  8 601 061,99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</si>
  <si>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35.11.10.142 Электроэнергия, произведенная ветровыми электростанциями
35.22.10.110 Услуги по распределению и снабжению газовым топливом всех видов по системам распределительных трубопроводов
35.11.10 Электроэнергия
35.11.10.121 Электроэнергия, произведенная блок-станциями конденсационных электростанций (КЭС) ****</t>
  </si>
  <si>
    <t>За весь период компания заключила  64 контрактов на сумму  9 436 674 244,90 ?                                     ЗА 3 ГОДА ПО 223 ФЗ заключено 92 шт. с объемом НМЦ 596 024 099,41 ? за 1 ГОД ПО 223ФЗ заключено 45  327 519 600,12 ?</t>
  </si>
  <si>
    <t>"223 за 3 года", ".",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 "44 за 3 года"</t>
  </si>
  <si>
    <t>62.01 Продукты программные и услуги по разработке и тестированию программного обеспечения
62 Продукты программные и услуги по разработке программного обеспечения; консультационные и аналогичные услуги в области информационных технологий
62.02.20.110 Услуги по планированию и проектированию компьютерных систем
62.01.11 Услуги по проектированию, разработке информационных технологий для прикладных задач и тестированию программного обеспечения</t>
  </si>
  <si>
    <t>1 031</t>
  </si>
  <si>
    <t>За весь период заходили в конкурсы  1 раз на общую сумму обеспеченных контрактов с НМЦ 45 370 150,00 ? с БГУ  2 500 000,00 ? с БГИ 15 000 000,00 ?                             ЗА 3 ГОДА ПО 223 ФЗ заключено 1 шт. с объемом НМЦ 100 690 783,14 ? за 1 ГОД ПО 223ФЗ заключено 1  87 559 500,00 ?</t>
  </si>
  <si>
    <t>Сообщения о принятии решения о реорганизации от 04.08.2020</t>
  </si>
  <si>
    <t>"223 за 3 года", ".", "рейтинг поставщиков в маркере по бг", "Конкурсы 100+ (Восстановленный)", "fk1", "ПОС на 01.02.2023", "все клиенты с выручкой от 1,8 млрд до бесконечности", "Обороты по клиентам по кварталам (2022г)", "223 фз контракты 20+", "рейтинг по нмц маркер", "поставщики маркер"</t>
  </si>
  <si>
    <t>14.12.30.132 Юбки, халаты, блузки, фартуки, жилеты, платья и сорочки женские производственные и профессиональные
10.89.19.130 Продукты пищевые из муки, крупы, крахмала (кроме детского питания)
14.12.30.130 Юбки, халаты, блузки, фартуки, жилеты, платья и сорочки производственные и профессиональные
10.72.12.120 Печенье сладкое
35.30.11.120 Энергия тепловая, отпущенная котельными
35.30.12.130 Услуги по транспортированию горячей воды
15.12.12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для чистки одежды или обуви
10.11.11.110 Говядина парная, остывшая или охлажденная
10.11.39.190 Мясо и субпродукты пищевые прочие парные, остывшие, охлажденные или замороженные
10.71.11.111 Хлеб недлительного хранения из пшеничной муки ****</t>
  </si>
  <si>
    <t>1 401</t>
  </si>
  <si>
    <t>За весь период заходили в конкурсы  1 раз на общую сумму обеспеченных контрактов с НМЦ 120 067 745,00 ? с БГУ  6 319 355,00 ? с БГИ 12 638 710,00 ?</t>
  </si>
  <si>
    <t>"223 за 3 года", ".", "рейтинг поставщиков в маркере по бг", "производители", "поставщики маркер", "44 за 3 года"</t>
  </si>
  <si>
    <t>42.22.22.110 Работы строительные по прокладке местных линий электропередачи и связи над землей или под землей
61.10.30.120 Услуги документальной электросвязи
61.20.11.000 Услуги подвижной связи общего пользования - обеспечение доступа и поддержка пользователя
61.20.50.120 Услуги связи для цифрового телерадиовещания в области беспроводной связи
61.90.10.190 Услуги телекоммуникационные прочие, не включенные в другие группировки
61.10.13 Услуги фиксированной телефонной связи в выделенных сетях связи
61.90.10.130 Услуги по предоставлению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 д.
61.10.30 Услуги по передаче данных по проводным телекоммуникационным сетям
61.10.41.000 Услуги магистральные по информационно-коммуникационной сети Интернет
61.10.49 Услуги телекоммуникационные проводные в информационно-коммуникационной сети Интернет прочие ****</t>
  </si>
  <si>
    <t>За весь период компания заключила  55 контрактов на сумму  33 100 964 732,36 ? За весь период заходили в конкурсы  60 раз на общую сумму обеспеченных контрактов с НМЦ 22 889 973 294,27 ? с БГУ  1 125 907 742,55 ? с БГИ 6 749 027 436,47 ? За 3 ГОДА по 44ФЗ заключено 40 шт. с объемом НМЦ  13 353 567 482,95 ? с БГИ 4 111 809 367,29 ? с БГГО 228 430 664,99 ? с авансированием до 1 059 587 222,40 ? с комиссией банку 122 356 898,94 ? с кв 1 064 505,02 ? ЗА 1 ГОД по 44ФЗ заключено 17 шт. c объемом НМЦ 6 985 058 403,04 ? с БГИ 2 201 296 530,16 ? с БГГО 0,00 ? с авансированием до  750 982 319,79 ? с комиссией банку  87 870 153,63 ? с кв 764 470,34 ?</t>
  </si>
  <si>
    <t>"223 за 3 года", ".", "рейтинг поставщиков в маркере по бг", "ГРАНДИОЗНЫЙ ПРОЕКТ", "Конкурсы 100+ (Восстановленный)", "все клиенты с выручкой от 1,8 млрд до бесконечности", "44 фз с с БГ от 10 млн", "рейтинг заказчиков маркер", "рейтинг по нмц маркер", "это заказчик", "поставщики маркер", "44 за 3 года"</t>
  </si>
  <si>
    <t>1 013</t>
  </si>
  <si>
    <t>"поставщики маркер", ".", "fk1", "ушедшие", "все клиенты с выручкой от 1,8 млрд до бесконечности"</t>
  </si>
  <si>
    <t>49.39.33.000 Услуги по перевозке пассажиров автобусами по заказам в городском и пригородном сообщениях, кроме перевозки арендованными автобусами с водителем и по туристическим или экскурсионным маршрутам
52.21.29 Услуги, связанные с автомобильным транспортом, прочие
49.32.12.000 Услуги по аренде легковых автомобилей с водителем
49.39.39.000 Услуги по перевозке пассажиров сухопутным транспортом прочие, не включенные в другие группировки
52.29.20.000 Услуги транспортные вспомогательные прочие, не включенные в другие группировки
45.20.21.519 Прочие услуги по техническому обслуживанию и ремонту прочих автотранспортных средств, не включенные в другие группировки
49.41.19.900 Услуги по перевозке грузов автомобильным транспортом прочие, не включенные в другие группировки
49.31.21.110 Услуги (работы) по регулярным перевозкам пассажиров автобусами в городском и пригородном сообщении</t>
  </si>
  <si>
    <t>1 876</t>
  </si>
  <si>
    <t>"223 за 3 года", ".", "все клиенты с выручкой от 1,8 млрд до бесконечности", "это заказчик", "поставщики маркер", "44 за 3 года"</t>
  </si>
  <si>
    <t>30.11.91 Услуги по переоборудованию и восстановлению судов, плавучих платформ и конструкций
33.15 Услуги по ремонту и техническому обслуживанию судов и лодок
30.11.9 Услуги по переоборудованию, восстановлению и оснащению судов, плавучих платформ и конструкций; операции процесса производства судов и плавучих конструкций отдельные, выполняемые субподрядчиком
50.40.22.110 Услуги по буксировке на внутреннем водном транспорте
68.20.12.000 Услуги по сдаче в аренду (внаем) собственных или арендованных нежилых помещений
35.12.10.110 Услуги по передаче электроэнергии</t>
  </si>
  <si>
    <t>ЗА 3 ГОДА ПО 223 ФЗ заключено 1 шт. с объемом НМЦ 50 000 000,00 ? за 1 ГОД ПО 223ФЗ заключено 1  50 000 000,00 ?</t>
  </si>
  <si>
    <t>Сообщения о принятии решения о реорганизации от 24.11.2020</t>
  </si>
  <si>
    <t>"223 за 3 года", ".", "223 фз контракты 20+", "производители", "поставщики маркер", "44 за 3 года"</t>
  </si>
  <si>
    <t>45.20 Услуги по техническому обслуживанию и ремонту автотранспортных средств
45.20.11.111 Услуги по регламентным работам (по видам технического обслуживания)
45.20.1 Услуги по техническому обслуживанию и ремонту легковых автомобилей и легких грузовых автотранспортных средств
29.10.23.000 Средства транспортные с поршневым двигателем внутреннего сгорания с воспламенением от сжатия (дизелем или полудизелем), новые
29.10.22.000 Средства транспортные с двигателем с искровым зажиганием, с рабочим объемом цилиндров более 1500 см3, новые</t>
  </si>
  <si>
    <t>ЗА 3 ГОДА ПО 223 ФЗ заключено 4 шт. с объемом НМЦ 28 732 500,00 ? за 1 ГОД ПО 223ФЗ заключено 1  27 732 500,00 ?</t>
  </si>
  <si>
    <t>25.92.1 Тара металлическая легкая</t>
  </si>
  <si>
    <t>"223 за 3 года", ".", "производители", "рейтинг по нмц маркер"</t>
  </si>
  <si>
    <t>21.20.23.110 Реагенты диагностические
21.20.23.199 Средства нелечебные прочие
20.59.52.199 Реагенты сложные диагностические или лабораторные прочие, не включенные в другие группировки
26.60.11.119 Аппараты рентгеновские прочие, используемые для диагностики, применяемые в медицинских целях
32.50.13.190 Инструменты и приспособления, применяемые в медицинских целях, прочие, не включенные в другие группировки
32.50.21.112 Оборудование терапевтические
32.50.21.121 Аппараты для ингаляционного наркоза
32.50.21.122 Аппараты дыхательные реанимационные
26.60.11.113 Аппараты рентгенографические
26.60.12.119 Аппараты электродиагностические прочие ****</t>
  </si>
  <si>
    <t>За весь период компания заключила  16 контрактов на сумму  981 629 311,69 ? За весь период заходили в конкурсы  43 раз на общую сумму обеспеченных контрактов с НМЦ 5 944 784 881,73 ? с БГУ  262 877 963,63 ? с БГИ 1 943 451 990,68 ? За 3 ГОДА по 44ФЗ заключено 317 шт. с объемом НМЦ  7 769 364 333,40 ? с БГИ 2 346 554 786,53 ? с БГГО 411 286 182,31 ? с авансированием до 693 395 535,96 ? с комиссией банку 28 249 192,99 ? с кв 245 767,98 ? ЗА 1 ГОД по 44ФЗ заключено 136 шт. c объемом НМЦ 2 712 291 075,22 ? с БГИ 801 476 120,91 ? с БГГО 100 908 316,96 ? с авансированием до  244 150 664,37 ? с комиссией банку  11 111 490,69 ? с кв 96 669,97 ?</t>
  </si>
  <si>
    <t>"44 за 3 года", "кл фт прямые бг 04.22", "свод фт", ".", "рейтинг поставщиков в маркере по бг", "УПП на 2 номер", "Конкурсы 100+ (Восстановленный)", "fk1", "кредиты фт", "клиенты управления по БГ без открытых счетов", "Евразия_июлль-август 2019", "2. Финтендер 2022 31.03.22 Григорян для СПАРК", "Пункт 3.1 09.01.2023", "Премия 4 кв 22 г.бг", "Гарантии ФБ банкроты", "клиенты с в от100млн 09.21", "лимит сит по кредитам", "Действующий клиент мсб с выр от 30 млн на 05.21", "все клиенты с выручкой от 1,8 млрд до бесконечности", "филиал бизнес 01.03.22", "ФК клиенты с выручкой от 230 до бесконечности", "клиенты от 100 млн", "Одобренные но не выданные 1 полугодие 2021", "ФТ клиенты с продуктами по сотрудникам", "44 фз с с БГ от 10 млн", "рейтинг по нмц маркер", "на фт заводил Шутов", "на фт заводил Сехин", "на фт заводил Данченко", "поставщики маркер"</t>
  </si>
  <si>
    <t>За весь период компания заключила  5 контрактов на сумму  336 226 650,00 ?</t>
  </si>
  <si>
    <t>"производители", ".", "Пункт 3.1 09.01.2023"</t>
  </si>
  <si>
    <t>"223 за 3 года", ".", "п6", "fk1",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"поставщики маркер"</t>
  </si>
  <si>
    <t>36.00.30.000 Услуги по торговле водой, поставляемой по трубопроводам
35.30.11.111 Энергия тепловая, отпущенная тепловыми электроцентралями (ТЭЦ)</t>
  </si>
  <si>
    <t>Сообщение кредитора о намерении обратиться в суд с заявлением о банкротстве от 14.01.2022</t>
  </si>
  <si>
    <t>Заказчик разыгравший 241 конкурсов на сумму  296 502 470 516,18 ?</t>
  </si>
  <si>
    <t>"рейтинг заказчиков маркер", ".", "все клиенты с выручкой от 1,8 млрд до бесконечности"</t>
  </si>
  <si>
    <t>За весь период контрактов 2 шт. на общую сумму НМЦ 143 213 234 759,60 ?</t>
  </si>
  <si>
    <t>35.11.10.130 Электроэнергия, произведенная локальными электростанциями (не работающими в энергосистеме)
35.11.10.119 Электроэнергия, произведенная нетиповыми электростанциями общего назначения</t>
  </si>
  <si>
    <t>"223 за 3 года", ".", "fk1", "все клиенты с выручкой от 1,8 млрд до бесконечности", "производители", "это заказчик", "поставщики маркер"</t>
  </si>
  <si>
    <t>19.20.28.190 Топливо жидкое прочее, не включенное в другие группировки
19.20.25.112 Топливо для реактивных двигателей летательных аппаратов с дозвуковой скоростью полета марки ТС-1
19.20.25.120 Топливо для реактивных двигателей летательных аппаратов со сверхзвуковой скоростью полета
19.20 Нефтепродукты</t>
  </si>
  <si>
    <t>За весь период компания заключила  5 контрактов на сумму  820 410 187,54 ?                                     ЗА 3 ГОДА ПО 223 ФЗ заключено 1 шт. с объемом НМЦ 147 648 640,00 ?</t>
  </si>
  <si>
    <t>21.20.10.159 Антисептики и дезинфицирующие препараты прочие</t>
  </si>
  <si>
    <t>"поставщики маркер", ".", "райф", "все клиенты с выручкой от 1,8 млрд до бесконечности", "производители"</t>
  </si>
  <si>
    <t>52.23.19 Услуги вспомогательные прочие, связанные с воздушным транспортом
81.29.19 Услуги по чистке и уборке прочие, не включенные в другие группировки
56.29.11 Услуги по обеспечению питанием, осуществляемые по договору и предоставляемые транспортным предприятиям
56.10.11.129 Услуги прочих предприятий питания с полным обслуживанием без сопровождения развлекательных программ
56.10.19.140 Услуги по обеспечению питанием с использованием средств передвижения, приготовление и подача блюд и напитков для потребления на месте с машин или тележек
56.29.1 Услуги по обеспечению питанием, осуществляемые по договору
52.23.11 Услуги аэропортов, кроме обработки грузов
56.29.19.000 Услуги по обеспечению питанием, осуществляемые по договору, прочие</t>
  </si>
  <si>
    <t>За весь период компания заключила  8 контрактов на сумму  6 585 150 214,20 ?</t>
  </si>
  <si>
    <t>"поставщики маркер", ".", "fk1",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заказчиков маркер", "производители", "рейтинг по нмц маркер", "это заказчик"</t>
  </si>
  <si>
    <t>37.00.11.110 Услуги по водоотведению сточных вод
52.2 Услуги транспортные вспомогательные
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t>
  </si>
  <si>
    <t>1 605</t>
  </si>
  <si>
    <t>Заказчик разыгравший 72 конкурсов на сумму  7 312 455 160,22 ?</t>
  </si>
  <si>
    <t>"223 за 3 года", ".", "все клиенты с выручкой от 1,8 млрд до бесконечности", "рейтинг заказчиков маркер", "производители", "рейтинг по нмц маркер", "это заказчик", "поставщики маркер", "44 за 3 года"</t>
  </si>
  <si>
    <t>86.10.19.000 Услуги больниц прочие
61.90.10.190 Услуги телекоммуникационные прочие, не включенные в другие группировки
62.03 Услуги по управлению компьютерным оборудованием
47.30.2 Услуги по розничной торговле смазочными материалами и охлаждающими жидкостями для автотранспортных средств в специализированных магазинах
77.1 Услуги по аренде и лизингу автотранспортных средств
35.30.12.110 Услуги по приготовлению воды на нужды горячего водоснабжения
62.02.2 Услуги консультативные по вопросам систем и программному обеспечению
52.23.19 Услуги вспомогательные прочие, связанные с воздушным транспортом
62.02 Услуги консультативные, связанные с компьютерной техникой
62.02.30 Услуги по технической поддержке информационных технологий ****</t>
  </si>
  <si>
    <t>За весь период заходили в конкурсы  4 раз на общую сумму обеспеченных контрактов с НМЦ 181 439 905,68 ? с БГУ  3 628 798,12 ? с БГИ 36 287 981,12 ?                             ЗА 3 ГОДА ПО 223 ФЗ заключено 17 шт. с объемом НМЦ 101 129 867,18 ?</t>
  </si>
  <si>
    <t>52.23.19.119 Работы авиационные прочие
86.21.10.190 Услуги, предоставляемые врачами общей врачебной практики, прочие, не включенные в другие группировки
52.23.19.110 Работы авиационные
68.31.14.130 Услуги посреднические по аренде нежилых зданий и занимаемых ими земельных участков за вознаграждение или на договорной основе
49.31.21.110 Услуги (работы) по регулярным перевозкам пассажиров автобусами в городском и пригородном сообщении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19.20.25.112 Топливо для реактивных двигателей летательных аппаратов с дозвуковой скоростью полета марки ТС-1
52.23.11.000 Услуги аэропортов, кроме обработки грузов
52.23.12.110 Услуги по управлению полетами, предоставляемые аэродромным диспетчерским пунктом, включая управление подходом, посадкой и взлетом воздушных судов ****</t>
  </si>
  <si>
    <t>Заказчик разыгравший 9 конкурсов на сумму  1 226 162 087,59 ?</t>
  </si>
  <si>
    <t>"223 за 3 года",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"Участники клиринга", "рейтинг заказчиков маркер", "рейтинг по нмц маркер", "поставщики маркер", "44 за 3 года"</t>
  </si>
  <si>
    <t>68 Услуги по операциям с недвижимым имуществом
37.00.11.110 Услуги по водоотведению сточных вод
55.90.19.000 Услуги по предоставлению временного жилья прочие, не включенные в другие группировки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74.90.14 Услуги по прогнозу погоды и метеорологии
52.23.19 Услуги вспомогательные прочие, связанные с воздушным транспортом
20.59.42.120 Присадки к топливу
49.41.20.000 Услуги по аренде грузовых транспортных средств с водителем
52.23.19.190 Услуги вспомогательные прочие, связанные с воздушным транспортом, не включенные в другие группировки
71.12.39.116 Услуги по гидрометеорологическому обеспечению деятельности физических и юридических лиц ****</t>
  </si>
  <si>
    <t>за 1 ГОД ПО 223ФЗ заключено 2  7 551 618,88 ?</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</si>
  <si>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52.10.19.900 Услуги по складированию и хранению прочие, не включенные в другие группировки
49.39.33.000 Услуги по перевозке пассажиров автобусами по заказам в городском и пригородном сообщениях, кроме перевозки арендованными автобусами с водителем и по туристическим или экскурсионным маршрутам
55.10.10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33.12.29.900 Услуги по ремонту и техническому обслуживанию прочего оборудования специального назначения, не включенные в другие группировки
35.30.11.120 Энергия тепловая, отпущенная котельными
26 Оборудование компьютерное, электронное и оптическое
49.39.3 Услуги по перевозке пассажиров сухопутным транспортом по заказам
33.14.1 Услуги по ремонту и техническому обслуживанию электрического оборудования
35.30.11.111 Энергия тепловая, отпущенная тепловыми электроцентралями (ТЭЦ) ****</t>
  </si>
  <si>
    <t>1 685</t>
  </si>
  <si>
    <t>Заказчик разыгравший 18 конкурсов на сумму  2 321 100 340,64 ?</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</si>
  <si>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61.2 Услуги телекоммуникационные беспроводные
85.42.19.900 Услуги по профессиональному обучению прочие
35.30.11.130 Энергия тепловая, отпущенная электрокотлами
35.30.12.110 Услуги по приготовлению воды на нужды горячего водоснабжения
77.39.1 Услуги по аренде и лизингу прочих машин, оборудования и материальных средств, не включенных в другие группировки
77.39.12 Услуги по аренде и лизингу контейнеров
62.02.30 Услуги по технической поддержке информационных технологий
36.00.30.000 Услуги по торговле водой, поставляемой по трубопроводам ****</t>
  </si>
  <si>
    <t>Заказчик разыгравший 117 конкурсов на сумму  67 258 075 468,25 ?</t>
  </si>
  <si>
    <t>35.11.10.112 Электроэнергия, произведенная теплоэлектроцентралями (ТЭЦ) общего назначения
35.30.11.120 Энергия тепловая, отпущенная котельными
52.23.19.190 Услуги вспомогательные прочие, связанные с воздушным транспортом, не включенные в другие группировки
52.23.11 Услуги аэропортов, кроме обработки грузов
86.90.19.190 Услуги в области медицины прочие, не включенные в другие группировки
56.29.19.000 Услуги по обеспечению питанием, осуществляемые по договору, прочие
52.23.1 Услуги аэропортов (кроме обработки грузов), услуги по управлению воздушным движением и прочие услуги, связанные с воздушным транспортом
56.29.11.000 Услуги по обеспечению питанием, осуществляемые по договору и предоставляемые транспортным предприятиям
36.00.11.000 Вода питьевая</t>
  </si>
  <si>
    <t>ЗА 3 ГОДА ПО 223 ФЗ заключено 7 шт. с объемом НМЦ 77 072 404,00 ?</t>
  </si>
  <si>
    <t>26.40.33.190 Аппаратура записи и воспроизведения изображения прочая
52.23.19.190 Услуги вспомогательные прочие, связанные с воздушным транспортом, не включенные в другие группировки
26.40.33.110 Видеокамеры</t>
  </si>
  <si>
    <t>33.16.10 Услуги по ремонту и техническому обслуживанию летательных и космических аппаратов</t>
  </si>
  <si>
    <t>1 559</t>
  </si>
  <si>
    <t>За весь период контрактов 2 шт. на общую сумму НМЦ 1 127 134 800,00 ?</t>
  </si>
  <si>
    <t>"223 за 3 года", ".", "fk1", "все клиенты с выручкой от 1,8 млрд до бесконечности", "223 фз контракты 20+", "рейтинг заказчиков маркер", "рейтинг по нмц маркер"</t>
  </si>
  <si>
    <t>19.20.25.112 Топливо для реактивных двигателей летательных аппаратов с дозвуковой скоростью полета марки ТС-1</t>
  </si>
  <si>
    <t>ЗА 3 ГОДА ПО 223 ФЗ заключено 3 шт. с объемом НМЦ 648 026 712,42 ?</t>
  </si>
  <si>
    <t>49.10.19.111 Услуги по перевозке пассажиров железнодорожным транспортом в междугородном сообщении в регулируемом секторе
49.31.10.110 Услуги по перевозке пассажиров железнодорожным транспортом во внутригородском и пригородном сообщении в регулируемом секторе</t>
  </si>
  <si>
    <t>Заказчик разыгравший 42 конкурсов на сумму  39 708 571 888,99 ?</t>
  </si>
  <si>
    <t>Юридическим лицом принято решение об изменении места нахождения от 21.03.2023</t>
  </si>
  <si>
    <t>"223 за 3 года", ".", "fk1", "все клиенты с выручкой от 1,8 млрд до бесконечности", "Обороты по клиентам по кварталам (2022г)", "рейтинг заказчиков маркер", "рейтинг по нмц маркер", "это заказчик", "поставщики маркер"</t>
  </si>
  <si>
    <t>35.12.10.110 Услуги по передаче электроэнергии</t>
  </si>
  <si>
    <t>ЗА 3 ГОДА ПО 223 ФЗ заключено 1 шт. с объемом НМЦ 332 366 018,41 ?</t>
  </si>
  <si>
    <t>"223 за 3 года", ".", "все клиенты с выручкой от 1,8 млрд до бесконечности", "это заказчик", "поставщики маркер"</t>
  </si>
  <si>
    <t>39.00.21.900 Услуги прочие по реабилитации загрязненных участков
38.22.21.400 Услуги по захоронению удаляемых радиоактивных отходов
43.11.10.000 Работы по сносу зданий и сооружений
38.12.12.000 Услуги по сбору прочих опасных промышленных отходов
33.11.12.000 Услуги по ремонту и техническому обслуживанию резервуаров, цистерн и емкостей из металла
38.22.21.200 Услуги по переработке, кондиционированию и контейнеризации удаляемых радиоактивных отходов
74.90.19.190 Услуги, предоставляемые прочими научными и техническими консультантами, не включенными в другие группировки</t>
  </si>
  <si>
    <t>За весь период компания заключила  9 контрактов на сумму  6 189 410 407,11 ? За весь период заходили в конкурсы  11 раз на общую сумму обеспеченных контрактов с НМЦ 5 915 607 666,72 ? с БГУ  93 906 275,77 ? с БГИ 1 575 343 259,96 ? За 3 ГОДА по 44ФЗ заключено 6 шт. с объемом НМЦ  2 609 607 374,20 ? с БГИ 593 662 056,06 ? с БГГО 0,00 ? с авансированием до 31 919 290 789,80 ? с комиссией банку 7 584 565,04 ? с кв 65 985,72 ? ЗА 1 ГОД по 44ФЗ заключено 2 шт. c объемом НМЦ 110 700 000,00 ? с БГИ 33 210 000,00 ? с БГГО 0,00 ? с авансированием до  33 210 000,00 ? с комиссией банку  483 271,23 ? с кв 4 204,46 ? ЗА 3 ГОДА ПО 223 ФЗ заключено 2 шт. с объемом НМЦ 34 114 227,03 ?</t>
  </si>
  <si>
    <t>"223 за 3 года", ".", "рейтинг поставщиков в маркере по бг", "беники", "Конкурсы 100+ (Восстановленный)", "все клиенты с выручкой от 1,8 млрд до бесконечности", "44 фз с с БГ от 10 млн", "рейтинг заказчиков маркер", "рейтинг по нмц маркер", "crm управления", "crm Пител", "44 за 3 года"</t>
  </si>
  <si>
    <t>19.20.21.341 Топливо дизельное межсезонное вне классов
19.20.21.124 Бензин автомобильный с октановым числом более 92, но не более 95 по исследовательскому методу экологического класса К4
19.20.21.321 Топливо дизельное зимнее вне классов
19.20.21 Топливо моторное, включая автомобильный и авиационный бензин
19.20.21.100 Бензин автомобильный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19.20.21.145 Бензин автомобильный с октановым числом более 98 по исследовательскому методу экологического класса К5
19.20.21.340 Топливо дизельное межсезонное ****</t>
  </si>
  <si>
    <t>За 3 ГОДА по 44ФЗ заключено 156 шт. с объемом НМЦ  449 637 288,39 ? с БГИ 29 909 043,65 ? с БГГО 216 644,95 ? с авансированием до 0,00 ? с комиссией банку 302 785,98 ? с кв 2 634,24 ? ЗА 1 ГОД по 44ФЗ заключено 47 шт. c объемом НМЦ 125 663 258,71 ? с БГИ 9 107 752,85 ? с БГГО 0,00 ? с авансированием до  0,00 ? с комиссией банку  91 376,32 ? с кв 794,97 ?</t>
  </si>
  <si>
    <t>81.30.10.000 Услуги по планировке ландшафта</t>
  </si>
  <si>
    <t>За весь период компания заключила  2 контрактов на сумму  5 035 105 273,06 ?</t>
  </si>
  <si>
    <t>"поставщики маркер", ".", "все клиенты с выручкой от 1,8 млрд до бесконечности", "Участники клиринга", "рейтинг по нмц маркер", "это заказчик", "crm управления", "в crm за Эльшаном"</t>
  </si>
  <si>
    <t>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32.50.21.112 Оборудование терапевтические
32.50.21.121 Аппараты для ингаляционного наркоза
33.12.29.900 Услуги по ремонту и техническому обслуживанию прочего оборудования специального назначения, не включенные в другие группировки
32.5 Инструменты и оборудование медицинские
21.20.23.111 Препараты диагностические
21.20.10.134 Растворы плазмозамещающие и перфузионные
33.12.19.000 Услуги по ремонту и техническому обслуживанию прочего оборудования общего назначения, не включенного в другие группировки
32.50.13.110 Шприцы, иглы, катетеры, канюли и аналогичные инструменты</t>
  </si>
  <si>
    <t>"44 за 3 года", ".", "fk1", "все клиенты с выручкой от 1,8 млрд до бесконечности", "ФК клиенты с выручкой от 230 до бесконечности", "поставщики маркер"</t>
  </si>
  <si>
    <t>21.20.23.199 Средства нелечебные прочие
21.20.24.140 Пакеты перевязочные медицинские
20.59.60.111 Желатины пищевые
20.20.14.000 Средства дезинфекционные
21 Средства лекарственные и материалы, применяемые в медицинских целях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33.13.13.000 Услуги по ремонту и техническому обслуживанию профессиональных оптических приборов и фотооборудования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32.50.13.190 Инструменты и приспособления, применяемые в медицинских целях, прочие, не включенные в другие группировки
32.50.21.112 Оборудование терапевтические ****</t>
  </si>
  <si>
    <t>За 3 ГОДА по 44ФЗ заключено 741 шт. с объемом НМЦ  1 001 506 165,19 ? с БГИ 102 456 055,66 ? с БГГО 6 242 339,58 ? с авансированием до 3 192 771,39 ? с комиссией банку 1 396 442,82 ? с кв 12 149,05 ? ЗА 1 ГОД по 44ФЗ заключено 298 шт. c объемом НМЦ 448 962 252,87 ? с БГИ 43 355 639,45 ? с БГГО 1 442 398,40 ? с авансированием до  27 880,06 ? с комиссией банку  691 789,62 ? с кв 6 018,57 ?</t>
  </si>
  <si>
    <t>"223 за 3 года", ".", "fk1", "ИНН 3 года - нет КД БГ на 01.10.22", "06.2022_ФинХД", "все клиенты с выручкой от 1,8 млрд до бесконечности", "ФК клиенты с выручкой от 230 до бесконечности", "рейтинг по нмц маркер", "поставщики маркер", "44 за 3 года"</t>
  </si>
  <si>
    <t>Кредитный портфель_01.415</t>
  </si>
  <si>
    <t>"Обороты по клиентам по кварталам (2022г)", ".", "fk1", "Кредитный портфель_01.11", "корп 1", "06.2022_ФинХД", "клиенты от 100 млн"</t>
  </si>
  <si>
    <t>08.12.11 Пески природные
08.12.12.140 Щебень</t>
  </si>
  <si>
    <t>10.86.10.195 Продукция детского питания безлактозная
21.20.23.199 Средства нелечебные прочие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21.20.10.191 Препараты антибактериальные для системного использования
21.20.10.213 Иммуномодуляторы
32.50.13.190 Инструменты и приспособления, применяемые в медицинских целях, прочие, не включенные в другие группировки
32.50.21.112 Оборудование терапевтические
21.20.23.190 Препараты фармацевтические прочие ****</t>
  </si>
  <si>
    <t>За весь период компания заключила  9 контрактов на сумму  1 053 842 680,68 ? За весь период заходили в конкурсы  23 раз на общую сумму обеспеченных контрактов с НМЦ 2 845 845 604,95 ? с БГУ  33 037 575,90 ? с БГИ 257 481 571,55 ? За 3 ГОДА по 44ФЗ заключено 1361 шт. с объемом НМЦ  4 971 240 621,99 ? с БГИ 440 973 601,59 ? с БГГО 5 179 264,35 ? с авансированием до 6 408,60 ? с комиссией банку 6 204 302,98 ? с кв 53 977,44 ? ЗА 1 ГОД по 44ФЗ заключено 489 шт. c объемом НМЦ 2 350 814 785,88 ? с БГИ 206 341 582,25 ? с БГГО 3 750 000,00 ? с авансированием до  4 272,40 ? с комиссией банку  2 915 227,05 ? с кв 25 362,48 ? ЗА 3 ГОДА ПО 223 ФЗ заключено 18 шт. с объемом НМЦ 34 820 201,89 ?</t>
  </si>
  <si>
    <t>"223 за 3 года", "кл фт агент бг 04.22", ".", "рейтинг поставщиков в маркере по бг", "fk1", "ПОС на 01.02.2023", "ПОС на 03.04.2023", "Кредитный портфель_01.11", "ПСБ Гарантии ", "06.2022_ФинХД",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"44 фз с с БГ от 10 млн", "рейтинг по нмц маркер", "поставщики маркер", "44 за 3 года"</t>
  </si>
  <si>
    <t>"поставщики маркер", ".", "fk1", "все клиенты с выручкой от 1,8 млрд до бесконечности", "это заказчик"</t>
  </si>
  <si>
    <t>33.12.29.900 Услуги по ремонту и техническому обслуживанию прочего оборудования специального назначения, не включенные в другие группировки
20.20.1 Пестициды и агрохимические продукты прочие</t>
  </si>
  <si>
    <t>52.2 Услуги транспортные вспомогательные
49.41.19 Услуги по перевозке грузов автомобильным транспортом прочие
52.29.20.000 Услуги транспортные вспомогательные прочие, не включенные в другие группировки
52.29 Услуги транспортные вспомогательные прочие</t>
  </si>
  <si>
    <t>3 155</t>
  </si>
  <si>
    <t>Сообщения о принятии решения о реорганизации от 26.01.2021</t>
  </si>
  <si>
    <t>"223 за 3 года", ".", "fk1", "клиенты с в от100млн 09.21", "все клиенты с выручкой от 1,8 млрд до бесконечности", "ФК клиенты с выручкой от 230 до бесконечности", "это заказчик", "поставщики маркер"</t>
  </si>
  <si>
    <t>21 Средства лекарственные и материалы, применяемые в медицинских целях
32.50.13.190 Инструменты и приспособления, применяемые в медицинских целях, прочие, не включенные в другие группировки
21.20.24.160 Материалы перевязочные и аналогичные изделия, в том числе пропитанные или покрытые лекарственными средствами
32.50.5 Изделия медицинские, в том числе хирургические, прочие
21.20.24.150 Изделия медицинские ватно-марлевые
31.03.1 Матрасы
32.50.13.110 Шприцы, иглы, катетеры, канюли и аналогичные инструменты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
32.50.50.190 Изделия медицинские, в том числе хирургические, прочие, не включенные в другие группировки</t>
  </si>
  <si>
    <t>"223 за 3 года", ".", "уш кл 1", "лимит сит по кредитам", "поставщики маркер", "44 за 3 года"</t>
  </si>
  <si>
    <t>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19.20.21.145 Бензин автомобильный с октановым числом более 98 по исследовательскому методу экологического класса К5
19.20.31.110 Пропан сжиженный
19.20.21.120 Бензин автомобильный с октановым числом более 92, но не более 95 по исследовательскому методу
19.20.21.315 Топливо дизельное летнее экологического класса К5
19.20.21.345 Топливо дизельное межсезонное экологического класса К5
19.20.21.300 Топливо дизельное ****</t>
  </si>
  <si>
    <t>За весь период заходили в конкурсы  1 раз на общую сумму обеспеченных контрактов с НМЦ 61 167 625,00 ? с БГУ  3 073 750,00 ? с БГИ 3 073 750,00 ?</t>
  </si>
  <si>
    <t>"44 за 3 года", ".", "рейтинг поставщиков в маркере по бг", "все клиенты с выручкой от 1,8 млрд до бесконечности", "Участники клиринга", "рейтинг по нмц маркер", "поставщики маркер"</t>
  </si>
  <si>
    <t>35.11.10.112 Электроэнергия, произведенная теплоэлектроцентралями (ТЭЦ) общего назначения
35.11.10.122 Электроэнергия, произведенная блок-станциями теплоэлектроцентралей (ТЭЦ)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35.13.10.000 Услуги по распределению электроэнергии
35.30.11 Пар и горячая вода
35.30.11.120 Энергия тепловая, отпущенная котельными ****</t>
  </si>
  <si>
    <t>6 116</t>
  </si>
  <si>
    <t>За весь период контрактов 8 шт. на общую сумму НМЦ 508 176 681,63 ?</t>
  </si>
  <si>
    <t>"223 за 3 года", ".", "рейтинг заказчиков маркер", "производители", "рейтинг по нмц маркер", "это заказчик", "поставщики маркер"</t>
  </si>
  <si>
    <t>42.22.2 Работы строительные по строительству коммунальных объектов для электроснабжения и телекоммуникаций
35.11.10.112 Электроэнергия, произведенная теплоэлектроцентралями (ТЭЦ) общего назначения
35.30.11.130 Энергия тепловая, отпущенная электрокотлами
35.30.12.110 Услуги по приготовлению воды на нужды горячего водоснабжения
33 Услуги по ремонту и монтажу машин и оборудования
49.32.12.000 Услуги по аренде легковых автомобилей с водителем
35.13.10.000 Услуги по распределению электроэнергии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t>
  </si>
  <si>
    <t>1 171</t>
  </si>
  <si>
    <t>За 3 года по 223ФЗ заключено  6 шт контрактов на сумму 159 325 277,65 ?</t>
  </si>
  <si>
    <t>"223 за 3 года", ".", "рейтинг заказчиков маркер", "производители", "рейтинг по нмц маркер", "это заказчик", "поставщики маркер", "44 за 3 года"</t>
  </si>
  <si>
    <t>01.47.11.610 Бройлеры мясной породы</t>
  </si>
  <si>
    <t>28.15.24.120 Передачи винтовые шариковые или роликовые
28.41 Оборудование металлообрабатывающее
28.41.2 Станки токарные, расточные и фрезерные металлорежущие
28.41.21.120 Станки токарные металлорежущие с числовым программным управлением
28.41.22.130 Станки фрезерные металлорежущие
28.41.23.130 Станки шлифовальные металлообрабатывающие
28.99.39.190 Оборудование специального назначения прочее, не включенное в другие группировки
32.99.53.110 Оборудование для обучения трудовым процессам
28.41.22.120 Станки расточные металлорежущие
28.41.12.110 Центры металлообрабатывающие ****</t>
  </si>
  <si>
    <t>За весь период компания заключила  23 контрактов на сумму  3 240 428 296,92 ? За весь период заходили в конкурсы  18 раз на общую сумму обеспеченных контрактов с НМЦ 806 136 454,16 ? с БГУ  35 363 411,27 ? с БГИ 382 022 005,35 ?                             ЗА 3 ГОДА ПО 223 ФЗ заключено 2 шт. с объемом НМЦ 720 000 000,00 ? за 1 ГОД ПО 223ФЗ заключено 2  365 068 033,66 ?</t>
  </si>
  <si>
    <t>"223 за 3 года", ".", "рейтинг поставщиков в маркере по бг", "Конкурсы 100+ (Восстановленный)", "производители", "рейтинг по нмц маркер", "поставщики маркер", "44 за 3 года"</t>
  </si>
  <si>
    <t>28.92.12.130 Машины бурильные
68.10.14.000 Услуги по покупке и продаже нежилых зданий и занимаемых ими земельных участков
77.39.19.119 Услуги по аренде и лизингу прочих машин и оборудования научного и промышленного назначения
64.19.21 Услуги по предоставлению кредитов финансовыми организациями юридическим лицам
29.10.4 Средства автотранспортные грузовые
77.1 Услуги по аренде и лизингу автотранспортных средств
77.11.10.000 Услуги по аренде и лизингу легковых автомобилей и легких автотранспортных средств
64.91 Услуги по финансовой аренде (лизингу/сублизингу)
77.39.19 Услуги по аренде и лизингу прочих машин и оборудования без оператора и материальных средств, не включенных в другие группировки
29.10 Средства автотранспортные ****</t>
  </si>
  <si>
    <t>За весь период компания заключила  4 контрактов на сумму  281 437 915,91 ? За весь период заходили в конкурсы  2 раз на общую сумму обеспеченных контрактов с НМЦ 134 046 256,39 ? с БГУ  1 081 074,82 ? с БГИ 29 076 422,81 ?                             ЗА 3 ГОДА ПО 223 ФЗ заключено 64 шт. с объемом НМЦ 384 767 364,08 ? за 1 ГОД ПО 223ФЗ заключено 30  112 333 680,61 ?</t>
  </si>
  <si>
    <t>Сообщение кредитора о намерении обратиться в суд с заявлением о банкротстве от 21.02.2022</t>
  </si>
  <si>
    <t>"223 за 3 года", ".", "рейтинг поставщиков в маркере по бг", "fk1", "Кредитный портфель_01.11", "06.2022_ФинХД", "все клиенты с выручкой от 1,8 млрд до бесконечности", "ФК клиенты с выручкой от 230 до бесконечности", "рейтинг заказчиков маркер", "рейтинг по нмц маркер", "это заказчик", "поставщики маркер"</t>
  </si>
  <si>
    <t>19.20.21.440 Топливо судовое с массовой долей серы не более 0,5 % с температурой вспышки в закрытом тигле не ниже 61 °C
19.20.21.400 Топливо судовое</t>
  </si>
  <si>
    <t>"44 за 3 года", ".", "Участники клиринга", "поставщики маркер"</t>
  </si>
  <si>
    <t>41.20.40.900 Работы строительные по возведению нежилых зданий и сооружений прочие, не включенные в другие группировки
43.12.11.120 Работы по подготовке строительного участка для последующих строительных работ, включая буровзрывные работы и работы по удалению скальных пород</t>
  </si>
  <si>
    <t>За весь период компания заключила  16 контрактов на сумму  35 936 117 355,57 ? За весь период заходили в конкурсы  13 раз на общую сумму обеспеченных контрактов с НМЦ 28 016 359 658,06 ? с БГУ  1 089 482 782,64 ? с БГИ 3 656 312 945,29 ?</t>
  </si>
  <si>
    <t>"44 за 3 года", ".", "рейтинг поставщиков в маркере по бг", "ГРАНДИОЗНЫЙ ПРОЕКТ", "все клиенты с выручкой от 1,8 млрд до бесконечности", "рейтинг по нмц маркер", "поставщики маркер"</t>
  </si>
  <si>
    <t>28.13.11.110 Насосы топливные
28.13.14.110 Насосы центробежные подачи жидкостей прочие
28.15.10.116 Подшипники качения шариковые закрытого типа
28.15.26.140 Муфты гидродинамические
27.40.11.000 Лампы герметичные узконаправленного света
27.40.12.000 Лампы накаливания галогенные с вольфрамовой нитью, кроме ультрафиолетовых или инфракрасных ламп
22.11.11.000 Шины и покрышки пневматические для легковых автомобилей новые
20.59.43.120 Антифризы
22.11.14.199 Шины пневматические прочие, не включенные в другие группировки
22.19.30.135 Рукава резиновые напорно-всасывающие с текстильным каркасом неармированные ****</t>
  </si>
  <si>
    <t>За весь период заходили в конкурсы  1 раз на общую сумму обеспеченных контрактов с НМЦ 225 151 000,00 ? с БГУ  4 800 000,00 ? с БГИ 9 600 000,00 ?                                 за 1 ГОД ПО 223ФЗ заключено 1  4 292 139,00 ?</t>
  </si>
  <si>
    <t>"223 за 3 года", ".", "рейтинг поставщиков в маркере по бг", "ушедшие", "все клиенты с выручкой от 1,8 млрд до бесконечности", "рейтинг по нмц маркер", "поставщики маркер", "44 за 3 года"</t>
  </si>
  <si>
    <t>1 316</t>
  </si>
  <si>
    <t>За весь период компания заключила  12 контрактов на сумму  24 074 577 371,00 ? За весь период заходили в конкурсы  19 раз на общую сумму обеспеченных контрактов с НМЦ 24 769 969 895,00 ? с БГУ  1 211 318 896,95 ? с БГИ 2 573 963 686,00 ?</t>
  </si>
  <si>
    <t>"поставщики маркер", ".", "рейтинг поставщиков в маркере по бг", "производители", "рейтинг по нмц маркер"</t>
  </si>
  <si>
    <t>52.21.19.130 Услуги железнодорожных перегрузочных товарных станций</t>
  </si>
  <si>
    <t>За весь период компания заключила  6 контрактов на сумму  146 424 113 565,53 ?</t>
  </si>
  <si>
    <t>"поставщики маркер", ".", "райф", "все клиенты с выручкой от 1,8 млрд до бесконечности", "производители", "рейтинг по нмц маркер"</t>
  </si>
  <si>
    <t>17.29.1 Изделия из бумаги и картона прочие
17.12 Бумага и картон
17.12.11.110 Бумага газетная в рулонах
17.11.12.000 Целлюлоза древесная натронная или сульфатная, кроме растворимых сортов
17.12.14.112 Бумага офсетная
17.11.14.110 Масса древесная, получаемая механическим способом</t>
  </si>
  <si>
    <t>ЗА 3 ГОДА ПО 223 ФЗ заключено 4 шт. с объемом НМЦ 23 065 933,33 ? за 1 ГОД ПО 223ФЗ заключено 1  11 595 133,33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</si>
  <si>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t>
  </si>
  <si>
    <t>За весь период компания заключила  17 контрактов на сумму  110 733 465 896,39 ? За весь период заходили в конкурсы  17 раз на общую сумму обеспеченных контрактов с НМЦ 29 078 163 434,59 ? с БГУ  1 469 388 040,45 ? с БГИ 8 320 727 921,00 ?</t>
  </si>
  <si>
    <t>Сообщение кредитора о намерении обратиться в суд с заявлением о банкротстве от 14.08.2020</t>
  </si>
  <si>
    <t>"в crm за Адеевым", ".", "рейтинг поставщиков в маркере по бг", "производители", "рейтинг по нмц маркер", "crm управления"</t>
  </si>
  <si>
    <t>20.16 Пластмассы в первичных формах
22.29.22 Плиты, листы, пленка, лента и прочие плоские пластмассовые самоклеящиеся формы, прочие</t>
  </si>
  <si>
    <t>10.32 Продукция соковая из фруктов и овощей</t>
  </si>
  <si>
    <t>21.20.23.110 Реагенты диагностические
21.20.23.113 Средства радиофармацевтические диагностические
21.20.23.199 Средства нелечебные прочие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t>
  </si>
  <si>
    <t>За весь период компания заключила  20 контрактов на сумму  1 259 550 351,91 ? За весь период заходили в конкурсы  47 раз на общую сумму обеспеченных контрактов с НМЦ 2 800 215 392,07 ? с БГУ  39 373 136,40 ? с БГИ 291 366 301,04 ? За 3 ГОДА по 44ФЗ заключено 4237 шт. с объемом НМЦ  10 590 565 470,05 ? с БГИ 836 785 776,67 ? с БГГО 32 154 539,31 ? с авансированием до 135 019,96 ? с комиссией банку 10 926 068,19 ? с кв 95 056,79 ? ЗА 1 ГОД по 44ФЗ заключено 1649 шт. c объемом НМЦ 4 065 324 796,40 ? с БГИ 340 558 831,38 ? с БГГО 0,00 ? с авансированием до  47 537,64 ? с комиссией банку  4 579 768,97 ? с кв 39 843,99 ? ЗА 3 ГОДА ПО 223 ФЗ заключено 31 шт. с объемом НМЦ 50 100 931,89 ? за 1 ГОД ПО 223ФЗ заключено 8  5 734 068,17 ?</t>
  </si>
  <si>
    <t>"223 за 3 года", ".", "рейтинг поставщиков в маркере по бг", "fk1", "Банкроты ФБ 28.04.2023", "44 фз с с БГ от 10 млн", "рейтинг по нмц маркер", "поставщики маркер", "44 за 3 года"</t>
  </si>
  <si>
    <t>35.11.10.112 Электроэнергия, произведенная теплоэлектроцентралями (ТЭЦ) общего назначения
35.11.10.122 Электроэнергия, произведенная блок-станциями теплоэлектроцентралей (ТЭЦ)
35.30.11.130 Энергия тепловая, отпущенная электрокотлами
35.30.12.110 Услуги по приготовлению воды на нужды горячего водоснабжения
05.10.10.136 Уголь марки СС - слабоспекающийся
35.12.10.120 Услуги по технологическому присоединению к распределительным электросетям
35.13.10.000 Услуги по распределению электроэнергии
35.30.11 Пар и горячая вода
35.30.11.120 Энергия тепловая, отпущенная котельными
35.30.12.130 Услуги по транспортированию горячей воды ****</t>
  </si>
  <si>
    <t>За весь период компания заключила  6 контрактов на сумму  1 180 444 386,72 ?                                     ЗА 3 ГОДА ПО 223 ФЗ заключено 5 шт. с объемом НМЦ 47 388 021,77 ? за 1 ГОД ПО 223ФЗ заключено 2  20 121 925,00 ?</t>
  </si>
  <si>
    <t>Сообщения о принятии решения о реорганизации от 09.08.2021</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</si>
  <si>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82.11.10.000 Услуги в области административного обслуживания комплексные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35.11.10.114 Электроэнергия, произведенная дизельными электростанциями (ДЭС) общего назначения
35.11.10.115 Электроэнергия, произведенная атомными электростанциями (АЭС) общего назначения ****</t>
  </si>
  <si>
    <t>ЗА 3 ГОДА ПО 223 ФЗ заключено 4 шт. с объемом НМЦ 53 670 000,00 ? за 1 ГОД ПО 223ФЗ заключено 2  27 750 000,00 ?</t>
  </si>
  <si>
    <t>30.20.33.118 Вагоны-платформы железнодорожные</t>
  </si>
  <si>
    <t>За весь период компания заключила  2 контрактов на сумму  1 888 170 750,00 ?                                     ЗА 3 ГОДА ПО 223 ФЗ заключено 3 шт. с объемом НМЦ 4 206 000 000,00 ?</t>
  </si>
  <si>
    <t>"223 за 3 года", ".", "райф", "производители", "рейтинг по нмц маркер",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</si>
  <si>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42.91.20.140 Работы дноуглубительные, работы по удалению скальных пород и илистых отложений и прочие строительные гидротехнические работы
43.99.90.190 Работы строительные специализированные прочие, не включенные в другие группировки
23.61.12.141 Плиты покрытий железобетонные
42.13.10.110 Мосты и путепроводы из любых материалов для всех типов сухопутного транспорта и для пешеходов
42.99.12.124 Территории парковые и парки для отдыха
23.99.13.111 Смеси асфальтобетонные дорожные, аэродромные и асфальтобетон горячие щебеночные
42.11.10.110 Автомагистрали, кроме надземных автодорог (эстакад)
42.11.10.120 Дороги автомобильные, в том числе улично-дорожная сеть, и прочие автомобильные и пешеходные дороги
42.13.10.111 Мост автодорожный ****</t>
  </si>
  <si>
    <t>За весь период компания заключила  47 контрактов на сумму  48 382 988 377,27 ? За весь период заходили в конкурсы  153 раз на общую сумму обеспеченных контрактов с НМЦ 60 066 909 331,58 ? с БГУ  2 289 958 384,14 ? с БГИ 12 786 528 290,81 ? За 3 ГОДА по 44ФЗ заключено 45 шт. с объемом НМЦ  11 544 940 313,68 ? с БГИ 2 384 992 531,65 ? с БГГО 70 137 781,51 ? с авансированием до 3 443 148 209,31 ? с комиссией банку 69 530 741,28 ? с кв 604 917,45 ? ЗА 1 ГОД по 44ФЗ заключено 16 шт. c объемом НМЦ 4 806 545 502,10 ? с БГИ 739 835 732,41 ? с БГГО 34 315 706,15 ? с авансированием до  349 170 671,36 ? с комиссией банку  14 527 648,65 ? с кв 126 390,54 ? ЗА 3 ГОДА ПО 223 ФЗ заключено 1 шт. с объемом НМЦ 40 998 320,00 ?</t>
  </si>
  <si>
    <t>"223 за 3 года", ".", "рейтинг поставщиков в маркере по бг", "ГРАНДИОЗНЫЙ ПРОЕКТ", "Конкурсы 100+ (Восстановленный)", "fk1", "ПСБ Гарантии ", "Обороты по клиентам по кварталам (2022г)", "44 фз с с БГ от 10 млн", "производители", "рейтинг по нмц маркер", "поставщики маркер", "44 за 3 года"</t>
  </si>
  <si>
    <t>50.40.14.000 Услуги по перевозке контейнерных грузов внутренним водным транспортом с помощью судов-контейнеровозов
52.29.20.000 Услуги транспортные вспомогательные прочие, не включенные в другие группировки
82.99.19.000 Услуги вспомогательные, связанные с предпринимательской деятельностью, прочие, не включенные в другие группировки
49.41.1 Услуги по грузовым перевозкам автомобильным транспортом</t>
  </si>
  <si>
    <t>58.29.29.000 Обеспечение программное прикладное прочее на электронном носителе
62.01 Продукты программные и услуги по разработке и тестированию программного обеспечения
62.02.30 Услуги по технической поддержке информационных технологий
63.11.19 Услуги прочие по размещению и предоставлению инфраструктуры информационных технологий
63.99.10.190 Услуги информационные автоматизированные компьютерные прочие, не включенные в другие группировки
58.29 Услуги по изданию прочего программного обеспечения
62.09.20.120 Услуги по установке программного обеспечения
62.09.20.190 Услуги по технической поддержке в области информационных технологий прочие, не включенные в другие группировки
62.01.12 Услуги по проектированию и разработке информационных технологий для сетей и систем
61.90 Услуги телекоммуникационные прочие ****</t>
  </si>
  <si>
    <t>1 533</t>
  </si>
  <si>
    <t>За весь период компания заключила  35 контрактов на сумму  2 413 534 182,30 ? За весь период заходили в конкурсы  79 раз на общую сумму обеспеченных контрактов с НМЦ 7 271 218 613,42 ? с БГУ  235 441 193,79 ? с БГИ 1 698 807 236,34 ? За 3 ГОДА по 44ФЗ заключено 88 шт. с объемом НМЦ  2 794 324 550,29 ? с БГИ 434 661 491,22 ? с БГГО 34 714 233,68 ? с авансированием до 128 755 296,13 ? с комиссией банку 4 285 780,07 ? с кв 37 286,29 ? ЗА 1 ГОД по 44ФЗ заключено 49 шт. c объемом НМЦ 1 323 209 420,28 ? с БГИ 218 804 251,21 ? с БГГО 20 274 600,51 ? с авансированием до  61 720 850,47 ? с комиссией банку  2 696 287,96 ? с кв 23 457,71 ? ЗА 3 ГОДА ПО 223 ФЗ заключено 3 шт. с объемом НМЦ 74 475 000,00 ?</t>
  </si>
  <si>
    <t>"223 за 3 года", ".", "рейтинг поставщиков в маркере по бг", "ГРАНДИОЗНЫЙ ПРОЕКТ", "ушедший портфель", "Конкурсы 100+ (Восстановленный)", "fk1", "ИНН 3 года - нет КД БГ на 01.10.22", "Список ушедший ", "корп 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"44 фз с с БГ от 10 млн", "рейтинг по нмц маркер", "поставщики маркер", "44 за 3 года"</t>
  </si>
  <si>
    <t>"это заказчик", ".", "все клиенты с выручкой от 1,8 млрд до бесконечности", "рейтинг заказчиков маркер"</t>
  </si>
  <si>
    <t>24.10.14.120 Порошки железные</t>
  </si>
  <si>
    <t>45.31.12.000 Услуги по оптовой торговле прочими автомобильными деталями, узлами и принадлежностями
29.10.2 Автомобили легковые
29.32.30.390 Части и принадлежности для автотранспортных средств прочие, не включенные в другие группировки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45.20.11.111 Услуги по регламентным работам (по видам технического обслуживания)
45.20.1 Услуги по техническому обслуживанию и ремонту легковых автомобилей и легких грузовых автотранспортных средств
29.10.22.000 Средства транспортные с двигателем с искровым зажиганием, с рабочим объемом цилиндров более 1500 см3, новые</t>
  </si>
  <si>
    <t>08.12.11.120 Пески кварцевые
08.12.11.130 Пески строительные</t>
  </si>
  <si>
    <t>"поставщики маркер", ".", "fk1", "клиенты с в от100млн 09.21", "все клиенты с выручкой от 1,8 млрд до бесконечности", "это заказчик"</t>
  </si>
  <si>
    <t>23.61.12.165 Плиты специальные аэродромные железобетонные</t>
  </si>
  <si>
    <t>"поставщики маркер", ".", "п6", "fk1", "корп 1", "клиенты с в от100млн 09.21", "все клиенты с выручкой от 1,8 млрд до бесконечности", "ФК клиенты с выручкой от 230 до бесконечности"</t>
  </si>
  <si>
    <t>"портфель 31.10.2021_10 тыс_проверка", "."</t>
  </si>
  <si>
    <t>28.14.12.110 Краны, клапаны для раковин, моек, биде, унитазов, ванн и аналогичная арматура
27.40.25.110 Люстры
23.31.10.120 Плитки керамические
16.21.12.111 Фанера общего назначения
23.70.11.110 Мрамор обработанный и изделия из него (кроме брусчатки, камня бордюрного, плиты тротуарной, плит, блоков и аналогичных изделий)
24.43.23.120 Профили цинковые
20.30.11.110 Лаки на основе акриловых или виниловых полимеров в водной среде
20.30.22.170 Герметики
20.30.22.220 Растворители и разбавители органические сложные; составы готовые для удаления красок и лаков (смывки)
25.11.23.119 Конструкции и детали конструкций из черных металлов прочие, не включенные в другие группировки ****</t>
  </si>
  <si>
    <t>Сообщения о принятии решения о реорганизации от 25.05.2021</t>
  </si>
  <si>
    <t>за 1 ГОД ПО 223ФЗ заключено 3  9 317 383,38 ?</t>
  </si>
  <si>
    <t>10.20.13.122 Рыба морская мороженая (кроме сельди)
10.86.10.890 Кондитерские изделия для детского питания прочие
56.10.11.129 Услуги прочих предприятий питания с полным обслуживанием без сопровождения развлекательных программ
45.1 Услуги по торговле автотранспортными средствами
01.47.21.000 Яйца куриные в скорлупе свежие
10.12.10.110 Мясо кур, в том числе цыплят (включая цыплят-бройлеров) охлажденное
10.41.54.000 Масло подсолнечное и его фракции рафинированные, но не подвергнутые химической модификации</t>
  </si>
  <si>
    <t>52.2 Услуги транспортные вспомогательные
49.39.31.000 Услуги арендованных автобусов с водителем
85.42.19.900 Услуги по профессиональному обучению прочие
52.21.19.112 Услуги по предварительному заказу билетов на железнодорожный транспорт
49.31.2 Услуги по регулярным перевозкам пассажиров сухопутным транспортом в городском и пригородном сообщении прочие и в прямом смешанном сообщении
49.39.39.000 Услуги по перевозке пассажиров сухопутным транспортом прочие, не включенные в другие группировки
49.39 Услуги сухопутного пассажирского транспорта прочие, не включенные в другие группировки
85.31.11.000 Услуги по профессиональному обучению
49.39.13.000 Услуги по специальным перевозкам (для собственных нужд) пассажиров автобусами прочие
49.31.21.110 Услуги (работы) по регулярным перевозкам пассажиров автобусами в городском и пригородном сообщении ****</t>
  </si>
  <si>
    <t>За 3 ГОДА по 44ФЗ заключено 179 шт. с объемом НМЦ  266 088 650,21 ? с БГИ 14 683 200,52 ? с БГГО 64 819,07 ? с авансированием до 0,00 ? с комиссией банку 228 956,80 ? с кв 1 991,92 ? ЗА 1 ГОД по 44ФЗ заключено 66 шт. c объемом НМЦ 80 836 274,75 ? с БГИ 5 424 781,30 ? с БГГО 0,00 ? с авансированием до  0,00 ? с комиссией банку  94 653,11 ? с кв 823,48 ?</t>
  </si>
  <si>
    <t>"44 за 3 года", ".", "все клиенты с выручкой от 1,8 млрд до бесконечности", "рейтинг заказчиков маркер", "это заказчик", "поставщики маркер"</t>
  </si>
  <si>
    <t>22.23.20.000 Здания быстровозводимые из пластмасс
41.20.40.900 Работы строительные по возведению нежилых зданий и сооружений прочие, не включенные в другие группировки
25.11.10.000 Здания сборные из металла</t>
  </si>
  <si>
    <t>За весь период компания заключила  4 контрактов на сумму  2 582 083 767,90 ? За весь период заходили в конкурсы  10 раз на общую сумму обеспеченных контрактов с НМЦ 3 654 274 777,40 ? с БГУ  2 998 508,52 ? с БГИ 1 814 652 261,16 ? За 3 ГОДА по 44ФЗ заключено 5 шт. с объемом НМЦ  262 420 000,00 ? с БГИ 35 286 000,00 ? с БГГО 4 570 100,00 ? с авансированием до 0,00 ? с комиссией банку 239 149,59 ? с кв 2 080,60 ?</t>
  </si>
  <si>
    <t>"44 за 3 года", "свод фт", ".", "рейтинг поставщиков в маркере по бг", "выдали", "06.2022_ФинХД", "все клиенты с выручкой от 1,8 млрд до бесконечности", "производители", "рейтинг по нмц маркер", "на фт заводил Адеев", "поставщики маркер"</t>
  </si>
  <si>
    <t>68.10.14.000 Услуги по покупке и продаже нежилых зданий и занимаемых ими земельных участков
71.12.40.120 Услуги в области метрологии
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61.10.3 Услуги по передаче данных по проводным телекоммуникационным сетям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63.11.21.000 Услуги по передаче потокового видео
61.20.11.000 Услуги подвижной связи общего пользования - обеспечение доступа и поддержка пользователя
61.90.10.190 Услуги телекоммуникационные прочие, не включенные в другие группировки
26.30.30.000 Части и комплектующие коммуникационного оборудования
63.91.12.000 Услуги информационных агентств, предоставляемые аудиовизуальным средствам массовой информации ****</t>
  </si>
  <si>
    <t>За весь период компания заключила  13 контрактов на сумму  11 498 580 620,47 ? За весь период заходили в конкурсы  22 раз на общую сумму обеспеченных контрактов с НМЦ 9 578 956 794,24 ? с БГУ  322 444 957,93 ? с БГИ 1 336 378 134,73 ? За 3 ГОДА по 44ФЗ заключено 602 шт. с объемом НМЦ  2 321 044 453,55 ? с БГИ 154 606 497,36 ? с БГГО 16 100 015,98 ? с авансированием до 195 452 486,85 ? с комиссией банку 5 821 113,40 ? с кв 50 643,69 ? ЗА 1 ГОД по 44ФЗ заключено 267 шт. c объемом НМЦ 2 002 938 189,95 ? с БГИ 117 829 834,27 ? с БГГО 10 616 160,00 ? с авансированием до  265 875 382,38 ? с комиссией банку  5 380 792,23 ? с кв 46 812,89 ? ЗА 3 ГОДА ПО 223 ФЗ заключено 19 шт. с объемом НМЦ 23 014 488,88 ? за 1 ГОД ПО 223ФЗ заключено 7  5 983 866,00 ?</t>
  </si>
  <si>
    <t>"223 за 3 года", ".", "рейтинг поставщиков в маркере по бг", "беники", "все клиенты с выручкой от 1,8 млрд до бесконечности", "44 фз с с БГ от 10 млн", "рейтинг заказчиков маркер", "рейтинг по нмц маркер", "это заказчик", "поставщики маркер", "44 за 3 года"</t>
  </si>
  <si>
    <t>"это заказчик", ".", "все клиенты с выручкой от 1,8 млрд до бесконечности", "Участники клиринга"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</si>
  <si>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42.11.10.151 Дорога подъездная
42.99.12.124 Территории парковые и парки для отдыха
42.11.10.120 Дороги автомобильные, в том числе улично-дорожная сеть, и прочие автомобильные и пешеходные дороги
42.11.10.159 Дороги подъездные, транспортные и пешеходные путепроводы над и под дорогой, велосипедные дорожки прочие
42.21.13.190 Системы оросительные (каналы); водоводы и водопроводные конструкции; водоочистные станции, станции очистки сточных вод и насосные станции прочие
42.99.19.190 Сооружения гражданские прочие, не включенные в другие группировки
42.99.22.100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кроме работ по сохранению и воссозданию объектов культурного наследия
42.91.10.150 Плотины и аналогичные водоудерживающие сооружения и насыпи для береговых и прочих прибрежных участков
42.13.20.100 Работы строительные по строительству мостов и тоннелей, кроме работ по сохранению и воссозданию объектов культурного наследия ****</t>
  </si>
  <si>
    <t>4 498</t>
  </si>
  <si>
    <t>За весь период контрактов 236 шт. на общую сумму НМЦ 85 745 258 392,60 ?</t>
  </si>
  <si>
    <t>"223 за 3 года", "кл фт агент бг 04.22", ".", "рейтинг поставщиков в маркере по бг", "ГРАНДИОЗНЫЙ ПРОЕКТ", "Конкурсы 100+ (Восстановленный)", "fk1", "Кредитный портфель_01.11", "корп 1", "06.2022_ФинХД",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"44 фз с с БГ от 10 млн", "рейтинг заказчиков маркер", "производители", "рейтинг по нмц маркер", "это заказчик", "поставщики маркер", "44 за 3 года"</t>
  </si>
  <si>
    <t>"поставщики маркер", ".", "рейтинг заказчиков маркер", "это заказчик"</t>
  </si>
  <si>
    <t>61.90.10.190 Услуги телекоммуникационные прочие, не включенные в другие группировки
35.12.10.120 Услуги по технологическому присоединению к распределительным электросетям
35.13.10.000 Услуги по распределению электроэнергии
62.09.20.190 Услуги по технической поддержке в области информационных технологий прочие, не включенные в другие группировки
95.11.10.190 Услуги по ремонту прочего компьютерного и периферийного компьютерного оборудования
35.30.11.111 Энергия тепловая, отпущенная тепловыми электроцентралями (ТЭЦ)
41.20.20.310 Сооружения нефтехимических предприятий
35.1 Услуги по производству, передаче и распределению электроэнергии
35.12 Услуги по передаче электроэнергии и технологическому присоединению к распределительным электросетям
35.12.10.110 Услуги по передаче электроэнергии ****</t>
  </si>
  <si>
    <t>За весь период компания заключила  4 контрактов на сумму  37 676 244 270,38 ?                                     ЗА 3 ГОДА ПО 223 ФЗ заключено 73 шт. с объемом НМЦ 245 188 028,01 ? за 1 ГОД ПО 223ФЗ заключено 31  108 385 135,20 ?</t>
  </si>
  <si>
    <t>"223 за 3 года", ".", "портфель 51", "fk1", "Кредитный портфель_01.11", "06.2022_ФинХД",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</si>
  <si>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71.12.3 Услуги в области геологических, геофизических и взаимосвязанных изыскательных работ и консультативные услуги
71.12.31.000 Услуги геологические и геофизические консультативные
71.12.32.000 Услуги геофизические
09.10.12.190 Услуги, связанные с добычей нефти, газового конденсата и горючего природного газа, прочие
09.1 Услуги по добыче нефти и природного газа
09.10.11.190 Услуги по бурению, связанные с добычей нефти и горючего природного газа, не включенные в другие группировки</t>
  </si>
  <si>
    <t>3 327</t>
  </si>
  <si>
    <t>За весь период компания заключила  42 контрактов на сумму  41 700 509 085,30 ? За весь период заходили в конкурсы  4 раз на общую сумму обеспеченных контрактов с НМЦ 2 936 706 000,00 ? с БГУ  96 814 354,25 ? с БГИ 568 561 255,00 ?</t>
  </si>
  <si>
    <t>35.11.10.112 Электроэнергия, произведенная теплоэлектроцентралями (ТЭЦ) общего назначения
35.2 Газы горючие искусственные; услуги по распределению газообразного топлива по трубопроводам
35.11.10.110 Электроэнергия, произведенная электростанциями общего назначения
35.22.10.110 Услуги по распределению и снабжению газовым топливом всех видов по системам распределительных трубопроводов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77.12.19.000 Услуги по аренде и лизингу прочих сухопутных транспортных средств и оборудования без водителя
35.11.10 Электроэнергия
35.12.10.120 Услуги по технологическому присоединению к распределительным электросетям ****</t>
  </si>
  <si>
    <t>За весь период контрактов 15 шт. на общую сумму НМЦ 2 226 586 014,87 ?</t>
  </si>
  <si>
    <t>20.13 Вещества химические неорганические основные прочие
11.01.10.720 Спирт этиловый ректификованный из пищевого сырья
20.14.75.000 Спирт этиловый и прочие денатурированные спирты любой концентрации (крепости)
11.01.10.700 Спирты этиловые из пищевого сырья
11.01.10.730 Фармацевтическая субстанция спирта этилового (этанол)</t>
  </si>
  <si>
    <t>За весь период контрактов 2 шт. на общую сумму НМЦ 1 890 000 000,00 ?</t>
  </si>
  <si>
    <t>Сообщение кредитора о намерении обратиться в суд с заявлением о банкротстве от 03.02.2020</t>
  </si>
  <si>
    <t>"223 за 3 года", ".", "ушедший портфель", "fk1", "ИНН 3 года - нет КД БГ на 01.10.22", "Список ушедший ", "06.2022_ФинХД", "все клиенты с выручкой от 1,8 млрд до бесконечности", "ФК клиенты с выручкой от 230 до бесконечности", "Обороты по клиентам по кварталам (2022г)", "рейтинг заказчиков маркер", "производители", "рейтинг по нмц маркер", "это заказчик"</t>
  </si>
  <si>
    <t>"поставщики маркер", ".", "fk1", "компании пайрус", "Пункт 3 09.01.23", "Действующий клиент мсб с выр от 30 млн на 05.21", "все клиенты с выручкой от 1,8 млрд до бесконечности", "ФК клиенты с выручкой от 230 до бесконечности", "Участники клиринга"</t>
  </si>
  <si>
    <t>29.10.44 Шасси с установленными двигателями для автотранспортных средств
45.20.11.519 Прочие услуги по техническому обслуживанию и ремонту прочих автотранспортных средств, не включенные в другие группировки
45.20.21.111 Услуги по регламентным работам (по видам технического обслуживания)
45.20.21.211 Услуги по замене агрегатов
45.20.21.222 Услуги по ремонту и поверке контрольно-измерительных приборов
29.32.30.390 Части и принадлежности для автотранспортных средств прочие, не включенные в другие группировки
45.20.21.212 Услуги по ремонту двигателей
45.20.21.213 Услуги по ремонту коробки перемены передач (КПП)
45.20.21.215 Услуги по ремонту тормозной системы
45.20.21.214 Услуги по ремонту рулевого управления, передней оси и подвески</t>
  </si>
  <si>
    <t>24.52.10.000 Услуги по литью стали</t>
  </si>
  <si>
    <t>За весь период компания заключила  1 контрактов на сумму  511 455 014,12 ?</t>
  </si>
  <si>
    <t>09.10.1 Услуги по обеспечению добычи нефти и природного газа
09.10.12.190 Услуги, связанные с добычей нефти, газового конденсата и горючего природного газа, прочие
09.1 Услуги по добыче нефти и природного газа
74.90.19.190 Услуги, предоставляемые прочими научными и техническими консультантами, не включенными в другие группировки</t>
  </si>
  <si>
    <t>За весь период компания заключила  23 контрактов на сумму  14 545 042 145,27 ?</t>
  </si>
  <si>
    <t>71.12.12.190 Услуги по инженерно-техническому проектированию зданий прочие, не включенные в другие группировки</t>
  </si>
  <si>
    <t>"поставщики маркер", ".", "fk1", "Действующий клиент мсб с выр от 30 млн на 05.21", "ФК клиенты с выручкой от 230 до бесконечности", "Одобренные но не выданные 1 полугодие 2021"</t>
  </si>
  <si>
    <t>55.10 Услуги гостиниц и аналогичные услуги по предоставлению временного жилья</t>
  </si>
  <si>
    <t>35.30.11 Пар и горячая вода
35.30.11.111 Энергия тепловая, отпущенная тепловыми электроцентралями (ТЭЦ)
35.30.12 Услуги по снабжению паром и горячей водой по трубопроводам
20.13.24.122 Кислота серная</t>
  </si>
  <si>
    <t>За весь период компания заключила  10 контрактов на сумму  34 775 662 166,26 ?</t>
  </si>
  <si>
    <t>01.47.11.700 Куры для убоя</t>
  </si>
  <si>
    <t>41.20.40.900 Работы строительные по возведению нежилых зданий и сооружений прочие, не включенные в другие группировки
68.10.11.000 Услуги по покупке и продаже жилых зданий и занимаемых ими земельных участков
68.10.12.000 Услуги по покупке и продаже недвижимости, находящейся в собственности на фиксированное время года
68.20.12.000 Услуги по сдаче в аренду (внаем) собственных или арендованных нежилых помещений</t>
  </si>
  <si>
    <t>Заявка отозвана клиентом;Отклонена банком
Отклонена банком</t>
  </si>
  <si>
    <t>Решение о признании должника банкротом и открытии конкурсного производства от 26.05.2010, Сообщение кредитора о намерении обратиться в суд с заявлением о банкротстве от 24.03.2023</t>
  </si>
  <si>
    <t>"поставщики маркер", "свод фт", ".", "рейтинг поставщиков в маркере по бг", "все клиенты с выручкой от 1,8 млрд до бесконечности", "производители", "рейтинг по нмц маркер", "на фт заводил Бесков", "на фт заводил Адеев", "crm управления", "в crm за Чимровым"</t>
  </si>
  <si>
    <t>23.63.1 Бетон, готовый для заливки (товарный бетон)
23.64 Смеси и растворы строительные
23.99.12 Изделия из асфальта или аналогичных материалов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
23.99.13.110 Смеси асфальтобетонные дорожные, аэродромные и асфальтобетон горячие
23.99.13.113 Смеси асфальтобетонные дорожные, аэродромные и асфальтобетон горячие песчаные</t>
  </si>
  <si>
    <t>За весь период компания заключила  10 контрактов на сумму  3 310 243 025,63 ?</t>
  </si>
  <si>
    <t>23.69.19.000 Изделия из цемента, бетона или искусственного камня, не включенные в другие группировки
23.61.11.120 Плиты из цемента, бетона или искусственного камня</t>
  </si>
  <si>
    <t>ЗА 3 ГОДА ПО 223 ФЗ заключено 1 шт. с объемом НМЦ 30 493 064,32 ?</t>
  </si>
  <si>
    <t>"в crm за Муслимом", "crm управления"</t>
  </si>
  <si>
    <t>"поставщики маркер", ".", "ушедшие", "все клиенты с выручкой от 1,8 млрд до бесконечности", "crm управления", "в crm за Муслимом"</t>
  </si>
  <si>
    <t>77.39.19.116 Услуги по аренде и лизингу приборов, аппаратов и прочего оборудования, применяемых в медицинских целях</t>
  </si>
  <si>
    <t>За весь период заходили в конкурсы  1 раз на общую сумму обеспеченных контрактов с НМЦ 87 915 750,00 ? с БГУ  4 508 500,00 ? с БГИ 27 051 000,00 ?</t>
  </si>
  <si>
    <t>"поставщики маркер", ".", "рейтинг поставщиков в маркере по бг", "все клиенты с выручкой от 1,8 млрд до бесконечности"</t>
  </si>
  <si>
    <t>10.12.20.110 Мясо кур, в том числе цыплят (включая цыплят-бройлеров) замороженное
10.12.40.121 Субпродукты кур (включая цыплят и цыплят-бройлеров) пищевые замороженные
10.12.40.110 Субпродукты сельскохозяйственной птицы пищевые охлажденные
10.12.40.111 Субпродукты кур (включая цыплят и цыплят-бройлеров) пищевые охлажденные
10.12.10.110 Мясо кур, в том числе цыплят (включая цыплят-бройлеров) охлажденное</t>
  </si>
  <si>
    <t>ЗА 1 ГОД по 44ФЗ заключено 4 шт. c объемом НМЦ 65 121 047,50 ? с БГИ 3 256 052,38 ? с БГГО 0,00 ? с авансированием до  14 489,38 ? с комиссией банку  66 593,35 ? с кв 579,36 ?</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</si>
  <si>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 Молоко и сливки, кроме сырых
10.51.11.110 Молоко питьевое пастеризованное
10.51.40.330 Творог зерненый без вкусовых компонентов
10.51.30.111 Масло сладко-сливочное
10.51.11.129 Молоко питьевое ультрапастеризованное (ультравысокотемпературно-обработанное) прочее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10.51.40.121 Сыры полутвердые без вкусовых наполнителей
10.51.11.111 Молоко питьевое коровье пастеризованное ****</t>
  </si>
  <si>
    <t>за 1 ГОД ПО 223ФЗ заключено 5  4 548 350,36 ?</t>
  </si>
  <si>
    <t>Сообщения о принятии решения о реорганизации от 25.04.2022</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</si>
  <si>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42.91.20.120 Работы строительные по строительству плотин и дамб, включая ремонт
43.99.90.190 Работы строительные специализированные прочие, не включенные в другие группировки
42.11.10.151 Дорога подъездная
42.99.12.124 Территории парковые и парки для отдыха
41.20.40.900 Работы строительные по возведению нежилых зданий и сооружений прочие, не включенные в другие группировки
42.11.10.110 Автомагистрали, кроме надземных автодорог (эстакад)
43.39.19.190 Работы завершающие и отделочные в зданиях и сооружениях, прочие, не включенные в другие группировки
42.99.19.190 Сооружения гражданские прочие, не включенные в другие группировки
42.99.22.100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кроме работ по сохранению и воссозданию объектов культурного наследия ****</t>
  </si>
  <si>
    <t>1 005</t>
  </si>
  <si>
    <t>За весь период компания заключила  51 контрактов на сумму  7 366 578 416,18 ? За весь период заходили в конкурсы  216 раз на общую сумму обеспеченных контрактов с НМЦ 25 835 909 904,96 ? с БГУ  1 315 316 847,19 ? с БГИ 4 058 267 609,86 ? За 3 ГОДА по 44ФЗ заключено 481 шт. с объемом НМЦ  14 308 130 885,41 ? с БГИ 1 526 495 768,89 ? с БГГО 44 407 140,30 ? с авансированием до 65 426 338,63 ? с комиссией банку 17 298 265,95 ? с кв 150 494,91 ? ЗА 1 ГОД по 44ФЗ заключено 199 шт. c объемом НМЦ 4 945 496 413,09 ? с БГИ 513 939 593,62 ? с БГГО 970 615,57 ? с авансированием до  13 027 258,61 ? с комиссией банку  6 583 956,00 ? с кв 57 280,42 ?</t>
  </si>
  <si>
    <t>Сообщения о принятии решения о реорганизации от 28.04.2021</t>
  </si>
  <si>
    <t>"44 за 3 года", ".", "рейтинг поставщиков в маркере по бг", "Конкурсы 100+ (Восстановленный)", "все клиенты с выручкой от 1,8 млрд до бесконечности", "44 фз с с БГ от 10 млн", "производители", "рейтинг по нмц маркер", "это заказчик", "crm управления", "в crm за Шаклейном ", "поставщики маркер"</t>
  </si>
  <si>
    <t>2 492</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</si>
  <si>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35.11.10 Электроэнергия
35.11.10.121 Электроэнергия, произведенная блок-станциями конденсационных электростанций (КЭС)
35.11.10.140 Электроэнергия от возобновляемых источников энергии
35.12.10.120 Услуги по технологическому присоединению к распределительным электросетям
35.13.10.000 Услуги по распределению электроэнергии ****</t>
  </si>
  <si>
    <t>За весь период компания заключила  21 контрактов на сумму  1 425 259 756,22 ?                                     ЗА 3 ГОДА ПО 223 ФЗ заключено 18 шт. с объемом НМЦ 20 482 758,37 ? за 1 ГОД ПО 223ФЗ заключено 8  9 766 060,11 ?</t>
  </si>
  <si>
    <t>11.06.10.110 Солод ячменный пивоваренный</t>
  </si>
  <si>
    <t>Сообщение кредитора о намерении обратиться в суд с заявлением о банкротстве от 11.03.2021</t>
  </si>
  <si>
    <t>Сообщение кредитора о намерении обратиться в суд с заявлением о банкротстве от 14.09.2020</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</si>
  <si>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42.91.20.190 Работы строительные и ремонтные, связанные с прочими водными сооружениями и работы по ремонту всех вышеуказанных сооружений
52.21.22.000 Услуги по эксплуатации автомагистралей
42.11.10.120 Дороги автомобильные, в том числе улично-дорожная сеть, и прочие автомобильные и пешеходные дороги
42.11.10.159 Дороги подъездные, транспортные и пешеходные путепроводы над и под дорогой, велосипедные дорожки прочие
42.11.10.140 Стоянки автомобильные с твердым покрытием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t>
  </si>
  <si>
    <t>За весь период компания заключила  88 контрактов на сумму  54 676 956 027,97 ? За весь период заходили в конкурсы  231 раз на общую сумму обеспеченных контрактов с НМЦ 59 272 018 813,66 ? с БГУ  2 520 403 928,36 ? с БГИ 9 368 045 998,32 ? За 3 ГОДА по 44ФЗ заключено 282 шт. с объемом НМЦ  15 581 761 572,69 ? с БГИ 1 607 038 766,98 ? с БГГО 146 023 520,41 ? с авансированием до 657 619 517,70 ? с комиссией банку 10 900 296,42 ? с кв 94 832,58 ? ЗА 1 ГОД по 44ФЗ заключено 93 шт. c объемом НМЦ 11 885 269 523,19 ? с БГИ 1 226 306 872,05 ? с БГГО 6 415 873,63 ? с авансированием до  953 738 037,50 ? с комиссией банку  22 089 827,95 ? с кв 192 181,50 ?</t>
  </si>
  <si>
    <t>"44 за 3 года", ".", "рейтинг поставщиков в маркере по бг", "Конкурсы 100+ (Восстановленный)", "все клиенты с выручкой от 1,8 млрд до бесконечности", "Одобренные но не выданные 1 полугодие 2021", "44 фз с с БГ от 10 млн", "производители", "рейтинг по нмц маркер", "это заказчик", "поставщики маркер"</t>
  </si>
  <si>
    <t>36.00.11.000 Вода питьевая</t>
  </si>
  <si>
    <t>05.10.10 Уголь
05.10.10.131 Уголь марки Д - длиннопламенный</t>
  </si>
  <si>
    <t>За весь период заходили в конкурсы  5 раз на общую сумму обеспеченных контрактов с НМЦ 289 978 000,00 ? с БГУ  2 245 269,00 ? с БГИ 108 535 700,00 ?</t>
  </si>
  <si>
    <t>17.22.11.130 Салфетки и полотенца гигиенические или косметические из бумажной массы, бумаги, целлюлозной ваты и полотна из целлюлозных волокон
32.50.13.190 Инструменты и приспособления, применяемые в медицинских целях, прочие, не включенные в другие группировки
21.20.24.160 Материалы перевязочные и аналогичные изделия, в том числе пропитанные или покрытые лекарственными средствами
17.22.12.130 Изделия санитарно-гигиенического назначения прочие из бумажной массы, бумаги, целлюлозной ваты и полотна из целлюлозных волокон
20.42.15.190 Средства косметические для ухода за кожей прочие, не включенные в другие группировки
22.19.60.119 Перчатки резиновые прочие
17.22.12.110 Полотенца санитарно-гигиенические и тампоны из бумажной массы, бумаги, целлюлозной ваты и полотна из целлюлозных волокон
32.50.50.190 Изделия медицинские, в том числе хирургические, прочие, не включенные в другие группировки</t>
  </si>
  <si>
    <t>За весь период заходили в конкурсы  12 раз на общую сумму обеспеченных контрактов с НМЦ 614 010 393,02 ? с БГУ  2 800 000,00 ? с БГИ 16 800 000,00 ?</t>
  </si>
  <si>
    <t>1 224</t>
  </si>
  <si>
    <t>"это заказчик", ".", "беники", "все клиенты с выручкой от 1,8 млрд до бесконечности", "производители"</t>
  </si>
  <si>
    <t>10.51.51.113 Молоко сгущенное (концентрированное) с сахаром
10.51.51 Молоко и сливки, сгущенные или с добавками сахара или других подслащивающих веществ, не сухие
10.51 Молоко и молочная продукция</t>
  </si>
  <si>
    <t>23.14.11.120 Ровница и пряжа из стекловолокна
13.96.17.110 Ткани узкие
08.93.10.115 Соль денатурированная, соль для промышленных целей
23.14.12.110 Сетки из стекловолокна
22.11.13.110 Шины и покрышки пневматические для автобусов, троллейбусов и грузовых автомобилей новые</t>
  </si>
  <si>
    <t>За весь период заходили в конкурсы  2 раз на общую сумму обеспеченных контрактов с НМЦ 336 593 470,36 ? с БГУ  19 375 430,46 ? с БГИ 125 755 623,72 ?                             ЗА 3 ГОДА ПО 223 ФЗ заключено 12 шт. с объемом НМЦ 58 610 101,00 ?</t>
  </si>
  <si>
    <t>Сообщения о принятии решения о реорганизации от 03.08.2022</t>
  </si>
  <si>
    <t>"223 за 3 года", ".", "рейтинг поставщиков в маркере по бг", "fk1", "ПОС на 01.02.2023", "ПОС на 03.04.2023", "Кредитный портфель_01.11", "06.2022_ФинХД", "все клиенты с выручкой от 1,8 млрд до бесконечности", "Обороты по клиентам по кварталам (2022г)", "223 фз контракты 20+", "производители", "рейтинг по нмц маркер", "поставщики маркер", "44 за 3 года"</t>
  </si>
  <si>
    <t>37.00.11.110 Услуги по водоотведению сточных вод
36.00.20.140 Услуги по техническому обслуживанию приборов учета расхода воды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41.20.40.900 Работы строительные по возведению нежилых зданий и сооружений прочие, не включенные в другие группировки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37.00.11.130 Услуги по подключению (технологическому присоединению) к централизованной системе водоотведения
37.00.11.120 Услуги по транспортированию сточных вод ****</t>
  </si>
  <si>
    <t>За весь период заходили в конкурсы  2 раз на общую сумму обеспеченных контрактов с НМЦ 209 483 300,00 ? с БГУ  0,00 ? с БГИ 73 043 140,00 ?</t>
  </si>
  <si>
    <t>"223 за 3 года", ".", "рейтинг поставщиков в маркере по бг", "все клиенты с выручкой от 1,8 млрд до бесконечности", "рейтинг заказчиков маркер", "рейтинг по нмц маркер", "это заказчик", "поставщики маркер", "44 за 3 года"</t>
  </si>
  <si>
    <t>10.13 Продукция мясная пищевая, в том числе из мяса птицы
10.13.14.119 Изделия колбасные вареные мясные прочие
01.13.12.120 Капуста белокочанная
01.13.42.000 Чеснок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10.51.11.190 Молоко прочее, не включенное в другие группировки
10.51.52.140 Кефир
10.51.56.320 Творожные и сметанные продукты, желе, соусы, кремы, пудинги, муссы, пасты, суфле молокосодержащие. Желе, соусы, кремы, пудинги, муссы, пасты, суфле молокосодержащие с заменителем молочного жира
10.13.14.100 Изделия колбасные вареные, в том числе фаршированные
10.39.17.100 Овощи (кроме картофеля), консервированные без уксуса или уксусной кислоты, прочие (кроме готовых овощных блюд) ****</t>
  </si>
  <si>
    <t>2 876</t>
  </si>
  <si>
    <t>За 3 ГОДА по 44ФЗ заключено 1329 шт. с объемом НМЦ  667 042 692,62 ? с БГИ 38 548 717,17 ? с БГГО 502 516,51 ? с авансированием до 910 880,00 ? с комиссией банку 447 612,47 ? с кв 3 894,23 ? ЗА 1 ГОД по 44ФЗ заключено 400 шт. c объемом НМЦ 222 135 200,47 ? с БГИ 14 134 149,87 ? с БГГО 0,00 ? с авансированием до  895 400,00 ? с комиссией банку  194 614,34 ? с кв 1 693,14 ? ЗА 3 ГОДА ПО 223 ФЗ заключено 69 шт. с объемом НМЦ 214 445 854,98 ? за 1 ГОД ПО 223ФЗ заключено 20  21 927 997,20 ?</t>
  </si>
  <si>
    <t>"223 за 3 года", ".", "все клиенты с выручкой от 1,8 млрд до бесконечности", "223 фз контракты 20+", "производители", "это заказчик", "поставщики маркер", "44 за 3 года"</t>
  </si>
  <si>
    <t>09.10.1 Услуги по обеспечению добычи нефти и природного газа</t>
  </si>
  <si>
    <t>1 774</t>
  </si>
  <si>
    <t>Отклонена банком;Отправлена клиенту;Рассматривается банком</t>
  </si>
  <si>
    <t>Сообщения о принятии решения о реорганизации от 11.05.2022</t>
  </si>
  <si>
    <t>"поставщики маркер", "свод фт", ".", "кредиты фт", "лимит сит по кредитам", "все клиенты с выручкой от 1,8 млрд до бесконечности", "рейтинг по нмц маркер", "на фт заводил Самар"</t>
  </si>
  <si>
    <t>"Обороты по клиентам по кварталам (2022г)", ".",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t>
  </si>
  <si>
    <t>клиент ФК 37-80 млн</t>
  </si>
  <si>
    <t>"Пустые_Клиенты", ".", "лимит сит по кредитам"</t>
  </si>
  <si>
    <t>11.01.10 Напитки алкогольные дистиллированные и ректификованные</t>
  </si>
  <si>
    <t>Сообщения о принятии решения о реорганизации от 21.07.2022</t>
  </si>
  <si>
    <t>Сообщения о принятии решения о реорганизации от 07.07.2022</t>
  </si>
  <si>
    <t>11.0 Напитки</t>
  </si>
  <si>
    <t>Сообщения о принятии решения о реорганизации от 29.12.2020</t>
  </si>
  <si>
    <t>"выдали"</t>
  </si>
  <si>
    <t>"это заказчик", ".", "выдали"</t>
  </si>
  <si>
    <t>24 Металлы основные
24.20.99.000 Услуги по производству труб, пустотелых профилей и соответствующих фитингов отдельные, выполняемые субподрядчиком
25.11.23.119 Конструкции и детали конструкций из черных металлов прочие, не включенные в другие группировки
25.30.12.111 Трубопроводы
25.30.12.113 Оборудование котельное
25.11.23.150 Металлоконструкции специальные и детали металлоконструкций для области использования атомной энергии
28.11.42.000 Части прочих двигателей, не включенных в другие группировки
24.20.13.190 Трубы круглого сечения прочие стальные
25.30.12 Оборудование вспомогательное для использования вместе с паровыми котлами; конденсаторы для пароводяных или прочих паросиловых установок
28.14 Арматура трубопроводная (арматура) (краны, клапаны и прочие) ****</t>
  </si>
  <si>
    <t>За весь период компания заключила  44 контрактов на сумму  30 981 948 142,39 ?                                     ЗА 3 ГОДА ПО 223 ФЗ заключено 8 шт. с объемом НМЦ 999 426 381,37 ?</t>
  </si>
  <si>
    <t>"223 за 3 года", ".", "06.2022_ФинХД", "производители", "рейтинг по нмц маркер", "поставщики маркер"</t>
  </si>
  <si>
    <t>19.20.21.100 Бензин автомобильный</t>
  </si>
  <si>
    <t>42.91.20.120 Работы строительные по строительству плотин и дамб, включая ремонт
42.91.20.190 Работы строительные и ремонтные, связанные с прочими водными сооружениями и работы по ремонту всех вышеуказанных сооружений
43.99.90.190 Работы строительные специализированные прочие, не включенные в другие группировки
42.21.24.110 Работы по бурению водозаборных скважин или отрывке колодцев, требующие специальной квалификации
42.99.22.100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кроме работ по сохранению и воссозданию объектов культурного наследия
41.10.10.000 Документация проектная для строительства</t>
  </si>
  <si>
    <t>За весь период заходили в конкурсы  3 раз на общую сумму обеспеченных контрактов с НМЦ 595 231 367,91 ? с БГУ  10 770 895,75 ? с БГИ 32 608 459,87 ? За 3 ГОДА по 44ФЗ заключено 28 шт. с объемом НМЦ  203 977 966,01 ? с БГИ 15 633 757,39 ? с БГГО 4 853 060,00 ? с авансированием до 0,00 ? с комиссией банку 393 923,26 ? с кв 3 427,13 ?</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</si>
  <si>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33.12.29.900 Услуги по ремонту и техническому обслуживанию прочего оборудования специального назначения, не включенные в другие группировки
28.92.61.110 Комплектующие (запасные части) бурильных и проходческих машин, не имеющие самостоятельных группировок
25.11.22 Опоры башенные и мачты решетчатые из черных металлов</t>
  </si>
  <si>
    <t>За весь период компания заключила  10 контрактов на сумму  3 862 694 247,77 ?</t>
  </si>
  <si>
    <t>25.94.11 Изделия крепежные резьбовые из черных металлов, не включенные в другие группировки</t>
  </si>
  <si>
    <t>Сообщение кредитора о намерении обратиться в суд с заявлением о банкротстве от 18.05.2020</t>
  </si>
  <si>
    <t>1 173</t>
  </si>
  <si>
    <t>42.99.21.112 Строительство и ремонт главных шахтных стволов
36.00.12.000 Вода непитьевая</t>
  </si>
  <si>
    <t>За весь период заходили в конкурсы  10 раз на общую сумму обеспеченных контрактов с НМЦ 447 502 819,12 ? с БГУ  24 912 991,97 ? с БГИ 85 081 299,55 ? За 3 ГОДА по 44ФЗ заключено 4 шт. с объемом НМЦ  462 876 750,00 ? с БГИ 46 287 675,00 ? с БГГО 0,00 ? с авансированием до 0,00 ? с комиссией банку 706 327,08 ? с кв 6 145,05 ? ЗА 1 ГОД по 44ФЗ заключено 2 шт. c объемом НМЦ 212 790 000,00 ? с БГИ 21 279 000,00 ? с БГГО 0,00 ? с авансированием до  0,00 ? с комиссией банку  301 986,90 ? с кв 2 627,29 ?</t>
  </si>
  <si>
    <t>"44 за 3 года", ".", "рейтинг поставщиков в маркере по бг", "fk1", "44 фз с с БГ от 10 млн", "производители", "рейтинг по нмц маркер"</t>
  </si>
  <si>
    <t>"223 за 3 года", ".", "производители"</t>
  </si>
  <si>
    <t>77.39 Услуги по аренде и лизингу прочих машин, оборудования и материальных средств, не включенных в другие группировки
21.20.10.131 Антикоагулянты
21.20.10.254 Препараты для лечения обструктивных заболеваний дыхательных путей</t>
  </si>
  <si>
    <t>"44 за 3 года", ".", "Пункт 3.1 09.01.2023", "все клиенты с выручкой от 1,8 млрд до бесконечности", "поставщики маркер"</t>
  </si>
  <si>
    <t>ЗА 3 ГОДА ПО 223 ФЗ заключено 1 шт. с объемом НМЦ 50 400 000,00 ?</t>
  </si>
  <si>
    <t>26.20.16.150 Сканеры
26.20.18.000 Устройства периферийные с двумя или более функциями: печать данных, копирование, сканирование, прием и передача факсимильных сообщений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26.20.17.120 Проекторы, подключаемые к компьютеру
26.20.14.000 Машины вычислительные электронные цифровые, поставляемые в виде систем для автоматической обработки данных
26.20.16.120 Принтеры
26.20.17.110 Мониторы, подключаемые к компьютеру
26.20.40.110 Устройства и блоки питания вычислительных машин ****</t>
  </si>
  <si>
    <t>За весь период компания заключила  2 контрактов на сумму  1 064 835 708,28 ? За весь период заходили в конкурсы  3 раз на общую сумму обеспеченных контрактов с НМЦ 1 206 645 494,88 ? с БГУ  41 177 273,08 ? с БГИ 438 895 828,94 ?</t>
  </si>
  <si>
    <t>"223 за 3 года", ".", "рейтинг поставщиков в маркере по бг", "все клиенты с выручкой от 1,8 млрд до бесконечности", "рейтинг по нмц маркер", "это заказчик", "поставщики маркер"</t>
  </si>
  <si>
    <t>"в crm за Шаклейном ", "crm управления"</t>
  </si>
  <si>
    <t>"в crm за Шаклейном ", ".", "crm управления"</t>
  </si>
  <si>
    <t>Юридическое лицо находится в процессе реорганизации в форме присоединения к нему других юридических лиц от 10.05.2023</t>
  </si>
  <si>
    <t>19.20.21.440 Топливо судовое с массовой долей серы не более 0,5 % с температурой вспышки в закрытом тигле не ниже 61 °C</t>
  </si>
  <si>
    <t>За весь период заходили в конкурсы  2 раз на общую сумму обеспеченных контрактов с НМЦ 66 105 800,80 ? с БГУ  18 508 333,50 ? с БГИ 321 050 001,00 ?</t>
  </si>
  <si>
    <t>"44 за 3 года", ".", "рейтинг поставщиков в маркере по бг", "Участники клиринга", "рейтинг по нмц маркер", "поставщики маркер"</t>
  </si>
  <si>
    <t>1 648</t>
  </si>
  <si>
    <t>23.99.13.114 Смеси асфальтобетонные дорожные, аэродромные и асфальтобетон горячие щебено-мастичные
19.20.42.121 Битумы нефтяные дорожные</t>
  </si>
  <si>
    <t>За весь период компания заключила  6 контрактов на сумму  3 118 612 017,57 ? За весь период заходили в конкурсы  12 раз на общую сумму обеспеченных контрактов с НМЦ 4 888 012 671,10 ? с БГУ  229 773 883,69 ? с БГИ 1 380 642 010,20 ? За 3 ГОДА по 44ФЗ заключено 3 шт. с объемом НМЦ  979 099 551,85 ? с БГИ 293 729 865,55 ? с БГГО 0,00 ? с авансированием до 0,00 ? с комиссией банку 7 853 022,12 ? с кв 68 321,29 ? ЗА 1 ГОД по 44ФЗ заключено 1 шт. c объемом НМЦ 27 474 300,00 ? с БГИ 8 242 290,00 ? с БГГО 0,00 ? с авансированием до  0,00 ? с комиссией банку  171 168,65 ? с кв 1 489,17 ?</t>
  </si>
  <si>
    <t>"Обороты по клиентам по кварталам (2022г)", ".", "06.2022_ФинХД", "клиенты с в от100млн 09.21", "все клиенты с выручкой от 1,8 млрд до бесконечности", "ФК клиенты с выручкой от 230 до бесконечности"</t>
  </si>
  <si>
    <t>1 312</t>
  </si>
  <si>
    <t>1 444</t>
  </si>
  <si>
    <t>43.21.10.220 Работы по монтажу систем освещения и сигнализации автомобильных дорог, аэропортов и портов
26.40.32.190 Аппаратура для записи звука прочая
41.20.40.200 Работы по сохранению и воссозданию нежилых зданий, являющихся объектами культурного наследия
26.40.51.000 Части и принадлежности звукового и видеооборудования
26.70.16.190 Проекторы изображений прочие, не включенные в другие группировки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33.20.42.000 Услуги по монтажу профессионального электронного оборудования
80.20.10.000 Услуги систем обеспечения безопасности
62.01 Продукты программные и услуги по разработке и тестированию программного обеспечения ****</t>
  </si>
  <si>
    <t>За весь период компания заключила  25 контрактов на сумму  26 766 785 116,90 ? За весь период заходили в конкурсы  31 раз на общую сумму обеспеченных контрактов с НМЦ 9 652 801 692,01 ? с БГУ  356 292 862,83 ? с БГИ 2 129 213 815,04 ?                             ЗА 3 ГОДА ПО 223 ФЗ заключено 5 шт. с объемом НМЦ 69 201 807,71 ?</t>
  </si>
  <si>
    <t>ЗА 3 ГОДА ПО 223 ФЗ заключено 2 шт. с объемом НМЦ 176 341 612,86 ?</t>
  </si>
  <si>
    <t>ЗА 3 ГОДА ПО 223 ФЗ заключено 6 шт. с объемом НМЦ 54 571 170,00 ? за 1 ГОД ПО 223ФЗ заключено 1  4 795 670,00 ?</t>
  </si>
  <si>
    <t>Сообщения о принятии решения о реорганизации от 25.03.2021</t>
  </si>
  <si>
    <t>74.90.20 Услуги профессиональные, технические и коммерческие, прочие, не включенные в другие группировки</t>
  </si>
  <si>
    <t>ЗА 3 ГОДА ПО 223 ФЗ заключено 1 шт. с объемом НМЦ 22 000 000,00 ?</t>
  </si>
  <si>
    <t>"223 за 3 года", ".", "fk1", "клиенты с в от100млн 09.21", "лимит сит по кредитам", "Пустые_Клиенты", "все клиенты с выручкой от 1,8 млрд до бесконечности", "рейтинг по нмц маркер", "поставщики маркер"</t>
  </si>
  <si>
    <t>28.30.93.000 Части прочих машин и оборудования для сельского хозяйства
28.30.85 Машины и оборудование для содержания птицы
28 Машины и оборудование, не включенные в другие группировки</t>
  </si>
  <si>
    <t>За весь период компания заключила  2 контрактов на сумму  1 009 245 088,95 ?</t>
  </si>
  <si>
    <t>"223 за 3 года", ".", "производители", "рейтинг по нмц маркер", "поставщики маркер"</t>
  </si>
  <si>
    <t>28.13.14.110 Насосы центробежные подачи жидкостей прочие
25.73.30 Инструмент ручной прочий
25.73.40.290 Инструменты рабочие сменные для станков или для ручного инструмента прочие, не включенные в другие группировки
25.73.60.190 Инструмент прочий, не включенный в другие группировки
25.29.12.130 Баллоны стальные сварные для сжиженных углеводородных газов
28.29.22.120 Распылители
25.73.40.119 Сверла прочие, не включенные в другие группировки
28.49.24.110 Комплектующие (запасные части) станков для обработки дерева, пробки, не имеющие самостоятельных группировок
29.10.59.321 Снегоочистители роторные
28.12.1 Оборудование гидравлическое и пневматическое силовое ****</t>
  </si>
  <si>
    <t>"223 за 3 года", ".", "fk1", "ИНН_договоры_октябрь_", "все клиенты с выручкой от 1,8 млрд до бесконечности", "это заказчик", "поставщики маркер"</t>
  </si>
  <si>
    <t>26.20.91.000 Услуги по производству компьютеров и периферийного оборудования
58.29.29.000 Обеспечение программное прикладное прочее на электронном носителе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62.09.20.190 Услуги по технической поддержке в области информационных технологий прочие, не включенные в другие группировки
27.12.40.000 Части электрической распределительной или регулирующей аппаратуры
42.22 Сооружения и строительные работы по строительству коммунальных объектов для электроснабжения и связи
62 Продукты программные и услуги по разработке программного обеспечения; консультационные и аналогичные услуги в области информационных технологий
62.03.12 Услуги по управлению компьютерными системами
26.20.21.110 Устройства запоминающие внутренние ****</t>
  </si>
  <si>
    <t>ЗА 1 ГОД по 44ФЗ заключено 1 шт. c объемом НМЦ 66 564 105,00 ? с БГИ 19 969 231,50 ? с БГГО 0,00 ? с авансированием до  0,00 ? с комиссией банку  103 949,42 ? с кв 904,36 ? ЗА 3 ГОДА ПО 223 ФЗ заключено 13 шт. с объемом НМЦ 964 415 679,44 ? за 1 ГОД ПО 223ФЗ заключено 12  1 034 417 647,74 ?</t>
  </si>
  <si>
    <t>"223 за 3 года", ".", "223 фз контракты 20+", "44 фз с с БГ от 10 млн", "рейтинг по нмц маркер", "поставщики маркер", "44 за 3 года"</t>
  </si>
  <si>
    <t>41.20.10.110 Здания жилые общего назначения</t>
  </si>
  <si>
    <t>За весь период контрактов 2 шт. на общую сумму НМЦ 850 036 624,00 ?</t>
  </si>
  <si>
    <t>45.31.12.000 Услуги по оптовой торговле прочими автомобильными деталями, узлами и принадлежностями
19.20.29.111 Масла универсальные
29.32.30.390 Части и принадлежности для автотранспортных средств прочие, не включенные в другие группировки
19.20.29.110 Масла моторные (универсальные, карбюраторные, дизельные, для авиационных поршневых двигателей)
46.61.11.000 Услуги по оптовой торговле сельскохозяйственными и лесохозяйственными машинами, оборудованием и инструментами, включая тракторы</t>
  </si>
  <si>
    <t>"поставщики маркер", ".", "инн Вавилова",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</si>
  <si>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62.01 Продукты программные и услуги по разработке и тестированию программного обеспечения
74.90 Услуги профессиональные, научные и технические, прочие, не включенные в другие группировки
62 Продукты программные и услуги по разработке программного обеспечения; консультационные и аналогичные услуги в области информационных технологий
58.2 Услуги по изданию программного обеспечения
46.52 Услуги по оптовой торговле электронным и телекоммуникационным оборудованием и его частями</t>
  </si>
  <si>
    <t>За весь период компания заключила  2 контрактов на сумму  1 394 953 253,14 ?                                     ЗА 3 ГОДА ПО 223 ФЗ заключено 6 шт. с объемом НМЦ 35 266 239,69 ? за 1 ГОД ПО 223ФЗ заключено 4  18 923 820,64 ?</t>
  </si>
  <si>
    <t>"223 за 3 года", ".", "fk1", "ИНН_договоры_октябрь_", "все клиенты с выручкой от 1,8 млрд до бесконечности", "производители", "рейтинг по нмц маркер", "поставщики маркер"</t>
  </si>
  <si>
    <t>За весь период компания заключила  1 контрактов на сумму  498 978 860,70 ? За весь период заходили в конкурсы  2 раз на общую сумму обеспеченных контрактов с НМЦ 182 573 406,00 ? с БГУ  18 257 340,60 ? с БГИ 36 514 681,20 ?</t>
  </si>
  <si>
    <t>Сообщения о принятии решения о реорганизации от 03.11.2021</t>
  </si>
  <si>
    <t>"поставщики маркер", ".", "рейтинг поставщиков в маркере по бг", "портфель 51", "fk1", "Кредитный портфель_01.11", "корп 1", "06.2022_ФинХД", "все клиенты с выручкой от 1,8 млрд до бесконечности", "ФК клиенты с выручкой от 230 до бесконечности", "клиенты от 100 млн", "рейтинг заказчиков маркер", "рейтинг по нмц маркер", "это заказчик"</t>
  </si>
  <si>
    <t>26.51.20.121 Аппаратура радионавигационная для работы в системе спутниковой навигации ГЛОНАСС или ГЛОНАСС/GPS
74.90.15 Услуги консультативные по вопросам обеспечения безопасности
62.01 Продукты программные и услуги по разработке и тестированию программного обеспечения
62 Продукты программные и услуги по разработке программного обеспечения; консультационные и аналогичные услуги в области информационных технологий
26.51.11.190 Приборы и инструменты навигационные прочие
63.11.19.000 Услуги прочие по размещению и предоставлению инфраструктуры информационных технологий
74.90.20.149 Услуги (работы) в области защиты информации прочие
26.30.11 Аппаратура коммуникационная передающая с приемными устройствами
26.30.11.120 Средства связи, выполняющие функцию цифровых транспортных систем
62.01.11 Услуги по проектированию, разработке информационных технологий для прикладных задач и тестированию программного обеспечения</t>
  </si>
  <si>
    <t>За весь период компания заключила  4 контрактов на сумму  1 503 553 428,61 ? За весь период заходили в конкурсы  3 раз на общую сумму обеспеченных контрактов с НМЦ 1 497 908 154,92 ? с БГУ  18 465 134,78 ? с БГИ 170 979 697,81 ? За 3 ГОДА по 44ФЗ заключено 3 шт. с объемом НМЦ  585 205 159,42 ? с БГИ 64 564 387,96 ? с БГГО 2 014 624,01 ? с авансированием до 215 717 955,70 ? с комиссией банку 927 408,21 ? с кв 8 068,45 ? ЗА 1 ГОД по 44ФЗ заключено 1 шт. c объемом НМЦ 20 146 240,08 ? с БГИ 8 058 496,03 ? с БГГО 2 014 624,01 ? с авансированием до  8 058 496,03 ? с комиссией банку  153 663,38 ? с кв 1 336,87 ?     за 1 ГОД ПО 223ФЗ заключено 4  7 170 228,52 ?</t>
  </si>
  <si>
    <t>"223 за 3 года", ".", "рейтинг поставщиков в маркере по бг", "ГРАНДИОЗНЫЙ ПРОЕКТ", "все клиенты с выручкой от 1,8 млрд до бесконечности", "44 фз с с БГ от 10 млн", "рейтинг по нмц маркер", "поставщики маркер", "44 за 3 года"</t>
  </si>
  <si>
    <t>28.22 Оборудование подъемно-транспортное
28.30.93.000 Части прочих машин и оборудования для сельского хозяйства
46.6 Услуги по оптовой торговле прочими машинами, оборудованием и инструментами
28.22.18.220 Погрузчики сельскохозяйственные прочие, кроме универсальных и навесных
28.30.33 Сеялки, сажалки и рассадопосадочные машины
28.30.59.111 Комбайны зерноуборочные
45.20.21.111 Услуги по регламентным работам (по видам технического обслуживания)
28.30 Машины и оборудование для сельского и лесного хозяйства
28.30.23.110 Тракторы сельскохозяйственные колесные с мощностью двигателя более 59 кВт
28.30.34.000 Разбрасыватели органических и минеральных удобрений ****</t>
  </si>
  <si>
    <t>ЗА 3 ГОДА ПО 223 ФЗ заключено 33 шт. с объемом НМЦ 27 205 179,46 ? за 1 ГОД ПО 223ФЗ заключено 9  14 000 080,13 ?</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</si>
  <si>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42.21.22.120 Работы строительные по прокладке местных трубопроводов горячей воды
43.99.90.190 Работы строительные специализированные прочие, не включенные в другие группировки
43.22.20.000 Работы по монтажу газовых систем
71 Услуги в области архитектуры и инженерно-технического проектирования, технических испытаний, исследований и анализа
71.12.20.190 Услуги по руководству строительными проектами прочие
81.30.10.000 Услуги по планировке ландшафта
41.20.40.900 Работы строительные по возведению нежилых зданий и сооружений прочие, не включенные в другие группировки
41.20.20.330 Сооружения химических предприятий ****</t>
  </si>
  <si>
    <t>За весь период компания заключила  42 контрактов на сумму  34 449 828 480,47 ? За весь период заходили в конкурсы  87 раз на общую сумму обеспеченных контрактов с НМЦ 43 266 627 074,12 ? с БГУ  1 222 737 877,68 ? с БГИ 6 953 687 241,13 ? За 3 ГОДА по 44ФЗ заключено 31 шт. с объемом НМЦ  9 985 617 026,78 ? с БГИ 1 497 939 705,91 ? с БГГО 303 909 610,69 ? с авансированием до 1 549 502 207,17 ? с комиссией банку 30 388 019,66 ? с кв 264 375,77 ? ЗА 1 ГОД по 44ФЗ заключено 8 шт. c объемом НМЦ 3 321 675 530,65 ? с БГИ 165 768 668,32 ? с БГГО 110 196 081,04 ? с авансированием до  1 906 950 027,14 ? с комиссией банку  6 220 747,44 ? с кв 54 120,50 ?</t>
  </si>
  <si>
    <t>"44 за 3 года", "свод фт", ".", "рейтинг поставщиков в маркере по бг", "нокс счета", "ГРАНДИОЗНЫЙ ПРОЕКТ", "клиент металлинвеста", "Конкурсы 100+ (Восстановленный)", "Агентские отказ из-за непред-я док-ов", "fk1", "кредиты фт", "Агентские одобренные но не выданные от 30.08", "Пункт 3 09.01.23", "лимит сит по кредитам", "все клиенты с выручкой от 1,8 млрд до бесконечности", "Одобренные но не выданные 1 полугодие 2021", "44 фз с с БГ от 10 млн", "производители", "рейтинг по нмц маркер", "на фт заводил Шутов", "на фт заводил Кашин", "на фт заводил Абияев", "поставщики маркер"</t>
  </si>
  <si>
    <t>"производители", ".", "райф", "все клиенты с выручкой от 1,8 млрд до бесконечности"</t>
  </si>
  <si>
    <t>27.90.33.110 Комплектующие (запасные части) прочего электрического оборудования, не имеющие самостоятельных группировок
20.59.52.199 Реагенты сложные диагностические или лабораторные прочие, не включенные в другие группировки
20.20.14.000 Средства дезинфекционные
26.60.11.119 Аппараты рентгеновские прочие, используемые для диагностики, применяемые в медицинских целях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32.50.21.112 Оборудование терапевтические
32.50.21.121 Аппараты для ингаляционного наркоза
32.50.21.122 Аппараты дыхательные реанимационные
32.50.21.160 Инкубаторы для новорожденных ****</t>
  </si>
  <si>
    <t>За весь период компания заключила  33 контрактов на сумму  2 828 945 531,62 ? За весь период заходили в конкурсы  106 раз на общую сумму обеспеченных контрактов с НМЦ 11 918 112 155,03 ? с БГУ  231 639 658,17 ? с БГИ 2 092 735 639,26 ? За 3 ГОДА по 44ФЗ заключено 191 шт. с объемом НМЦ  6 649 108 973,33 ? с БГИ 889 679 217,28 ? с БГГО 176 136 127,49 ? с авансированием до 449 693 700,00 ? с комиссией банку 5 637 877,50 ? с кв 49 049,53 ? ЗА 1 ГОД по 44ФЗ заключено 58 шт. c объемом НМЦ 2 056 216 490,59 ? с БГИ 233 130 880,23 ? с БГГО 41 106 287,82 ? с авансированием до  402 005 200,00 ? с комиссией банку  2 730 941,11 ? с кв 23 759,19 ? ЗА 3 ГОДА ПО 223 ФЗ заключено 17 шт. с объемом НМЦ 84 184 485,39 ? за 1 ГОД ПО 223ФЗ заключено 2  15 182 945,60 ?</t>
  </si>
  <si>
    <t>"223 за 3 года", ".", "рейтинг поставщиков в маркере по бг", "ГРАНДИОЗНЫЙ ПРОЕКТ", "Конкурсы 100+ (Восстановленный)",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 "44 за 3 года"</t>
  </si>
  <si>
    <t>41.20 Здания и работы по возведению зданий
43.21.10.120 Работы электромонтажные, связанные с установкой приборов
41.20.10.190 Здания жилые прочие, не включенные в другие группировки
43 Работы строительные специализированные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 Сооружения и строительные работы в области гражданского строительства</t>
  </si>
  <si>
    <t>За весь период компания заключила  19 контрактов на сумму  11 574 113 226,24 ?</t>
  </si>
  <si>
    <t>Сообщение кредитора о намерении обратиться в суд с заявлением о банкротстве от 25.03.2022</t>
  </si>
  <si>
    <t>"поставщики маркер", "кл фт прямые бг 04.22", "свод фт", ".", "беники", "УПП на 2 номер", "fk1", "кредиты фт", "клиенты управления по БГ без открытых счетов", "Евразия_июлль-август 2019", "лимит сит по кредитам", "все клиенты с выручкой от 1,8 млрд до бесконечности", "портфель", "ФК клиенты с выручкой от 230 до бесконечности", "клиенты от 100 млн", "ФТ клиенты с продуктами по сотрудникам", "производители", "рейтинг по нмц маркер", "на фт заводил Шутов", "на фт заводил Хацкевич", "на фт заводил Данченко", "на фт заводил Бесков", "на фт заводил Алтухова"</t>
  </si>
  <si>
    <t>"поставщики маркер", ".", "fk1", "это заказчик"</t>
  </si>
  <si>
    <t>27.32.13.143 Кабели контрольные
21.20.23.110 Реагенты диагностические
21.20.23.113 Средства радиофармацевтические диагностические
21.20.23.199 Средства нелечебные прочие
20.59.52.140 Среды готовые питательные для выращивания микроорганизмов
20.59.52.193 Комплексоны и комплексонаты, соединения комплексные
20.59.52.199 Реагенты сложные диагностические или лабораторные прочие, не включенные в другие группировки
20.12.24.120 Вещества неорганические, применяемые в качестве люминофоров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t>
  </si>
  <si>
    <t>За весь период заходили в конкурсы  4 раз на общую сумму обеспеченных контрактов с НМЦ 120 731 638,90 ? с БГУ  2 355 540,12 ? с БГИ 23 555 401,00 ? За 3 ГОДА по 44ФЗ заключено 185 шт. с объемом НМЦ  376 455 041,63 ? с БГИ 31 614 975,94 ? с БГГО 1 692 198,28 ? с авансированием до 473 319,49 ? с комиссией банку 500 195,53 ? с кв 4 351,70 ? ЗА 1 ГОД по 44ФЗ заключено 66 шт. c объемом НМЦ 138 903 751,20 ? с БГИ 12 121 213,98 ? с БГГО 460 652,59 ? с авансированием до  473 319,49 ? с комиссией банку  244 752,77 ? с кв 2 129,35 ? ЗА 3 ГОДА ПО 223 ФЗ заключено 25 шт. с объемом НМЦ 30 285 555,25 ? за 1 ГОД ПО 223ФЗ заключено 7  11 166 541,71 ?</t>
  </si>
  <si>
    <t>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68.20 Услуги по сдаче в аренду (внаем) собственного или арендованного недвижимого имущества</t>
  </si>
  <si>
    <t>1 567</t>
  </si>
  <si>
    <t>"поставщики маркер", ".", "все клиенты с выручкой от 1,8 млрд до бесконечности", "Участники клиринга", "это заказчик"</t>
  </si>
  <si>
    <t>20.20.15.000 Фунгициды
20.20.19.000 Пестициды прочие и агрохимические продукты прочие
20.15.80.110 Удобрения животного происхождения
20.20.11.000 Инсектициды
20.20.13.120 Регуляторы роста растений
20.20.12.000 Гербициды
01.11.95.110 Семена подсолнечника для посева</t>
  </si>
  <si>
    <t>28.13.14.110 Насосы центробежные подачи жидкостей прочие
28.21.13.119 Электропечи и камеры промышленные или лабораторные прочие, не включенные в другие группировки
20.14.61.000 Соединения с альдегидной функциональной группой
20.14.71.182 Масла, полученные из древесного дегтя
22.22.14.000 Бутыли, бутылки, флаконы и аналогичные изделия из пластмасс
22.22.19.000 Изделия упаковочные пластмассовые прочие
22.29 Изделия пластмассовые прочие
20.16.10.190 Полимеры этилена в первичных формах прочие
20.14.24.112 Фенол синтетический технический
20.59 Продукты химические прочие, не включенные в другие группировки ****</t>
  </si>
  <si>
    <t>За весь период заходили в конкурсы  8 раз на общую сумму обеспеченных контрактов с НМЦ 715 071 622,61 ? с БГУ  21 383 799,69 ? с БГИ 163 064 967,39 ? За 3 ГОДА по 44ФЗ заключено 1023 шт. с объемом НМЦ  1 359 656 286,05 ? с БГИ 152 851 378,04 ? с БГГО 17 499 157,31 ? с авансированием до 25 357 100,66 ? с комиссией банку 1 272 425,52 ? с кв 11 070,10 ? ЗА 1 ГОД по 44ФЗ заключено 348 шт. c объемом НМЦ 572 849 280,27 ? с БГИ 54 506 089,45 ? с БГГО 7 966 140,99 ? с авансированием до  1 894 739,29 ? с комиссией банку  649 477,91 ? с кв 5 650,46 ? ЗА 3 ГОДА ПО 223 ФЗ заключено 35 шт. с объемом НМЦ 21 321 095,76 ? за 1 ГОД ПО 223ФЗ заключено 7  17 841 482,02 ?</t>
  </si>
  <si>
    <t>"223 за 3 года", "свод фт", ".", "рейтинг поставщиков в маркере по бг", "ушедшие", "все клиенты с выручкой от 1,8 млрд до бесконечности", "портфель", "рейтинг по нмц маркер", "на фт заводил Тихонов ", "поставщики маркер", "44 за 3 года"</t>
  </si>
  <si>
    <t>20.14.61.000 Соединения с альдегидной функциональной группой
22.22.19.000 Изделия упаковочные пластмассовые прочие
27.90.33.110 Комплектующие (запасные части) прочего электрического оборудования, не имеющие самостоятельных группировок
20.59 Продукты химические прочие, не включенные в другие группировки
21.20.23.110 Реагенты диагностические
21.20.23.113 Средства радиофармацевтические диагностические
21.20.23.199 Средства нелечебные прочие
20.59.52.140 Среды готовые питательные для выращивания микроорганизмов
20.59.52.193 Комплексоны и комплексонаты, соединения комплексные
20.59.52.199 Реагенты сложные диагностические или лабораторные прочие, не включенные в другие группировки ****</t>
  </si>
  <si>
    <t>За весь период компания заключила  13 контрактов на сумму  705 757 528,74 ? За весь период заходили в конкурсы  26 раз на общую сумму обеспеченных контрактов с НМЦ 1 798 045 066,87 ? с БГУ  54 763 972,00 ? с БГИ 684 592 038,90 ? За 3 ГОДА по 44ФЗ заключено 903 шт. с объемом НМЦ  3 324 362 479,77 ? с БГИ 442 622 526,51 ? с БГГО 55 893 433,02 ? с авансированием до 173 402 175,38 ? с комиссией банку 3 821 950,13 ? с кв 33 250,97 ? ЗА 1 ГОД по 44ФЗ заключено 334 шт. c объемом НМЦ 1 018 299 072,73 ? с БГИ 123 485 863,36 ? с БГГО 14 299 428,48 ? с авансированием до  106 230 846,64 ? с комиссией банку  1 230 852,18 ? с кв 10 708,41 ? ЗА 3 ГОДА ПО 223 ФЗ заключено 42 шт. с объемом НМЦ 182 969 474,02 ? за 1 ГОД ПО 223ФЗ заключено 5  78 951 261,33 ?</t>
  </si>
  <si>
    <t>"223 за 3 года", ".", "рейтинг поставщиков в маркере по бг", "выдали", "fk1", "ПОС на 03.04.2023", "Кредитный портфель_01.11", "ПСБ Гарантии ", "06.2022_ФинХД", "Обороты по клиентам по кварталам (2022г)", "223 фз контракты 20+", "44 фз с с БГ от 10 млн", "рейтинг по нмц маркер", "поставщики маркер", "44 за 3 года"</t>
  </si>
  <si>
    <t>26.20.14.000 Машины вычислительные электронные цифровые, поставляемые в виде систем для автоматической обработки данных</t>
  </si>
  <si>
    <t>45.11 Услуги по торговле легковыми автомобилями и грузовыми автомобилями малой грузоподъемности
45.11.21.000 Услуги по розничной торговле новыми пассажирскими автотранспортными средствами в специализированных магазинах
45.11.39.000 Услуги по розничной торговле легковыми автомобилями и грузовыми автомобилями малой грузоподъемности прочие, не включенные в другие группировки
45.20.11.519 Прочие услуги по техническому обслуживанию и ремонту прочих автотранспортных средств, не включенные в другие группировки
29.1 Средства автотранспортные
29.10.1 Двигатели внутреннего сгорания для автотранспортных средств
29.10.4 Средства автотранспортные грузовые
29.10.41.112 Автомобили грузовые с дизельным двигателем, имеющие технически допустимую максимальную массу свыше 3,5 т, но не более 12 т
29.10.42 Средства автотранспортные грузовые с поршневым двигателем внутреннего сгорания с искровым зажиганием; прочие грузовые транспортные средства, новые
29.10.59.130 Средства транспортные для коммунального хозяйства и содержания дорог ****</t>
  </si>
  <si>
    <t>За весь период компания заключила  4 контрактов на сумму  1 074 779 181,66 ? За весь период заходили в конкурсы  11 раз на общую сумму обеспеченных контрактов с НМЦ 1 243 215 180,24 ? с БГУ  12 259 131,80 ? с БГИ 85 510 691,77 ? За 3 ГОДА по 44ФЗ заключено 81 шт. с объемом НМЦ  1 464 393 873,05 ? с БГИ 175 848 458,82 ? с БГГО 32 400 917,50 ? с авансированием до 40 504 568,94 ? с комиссией банку 1 359 967,83 ? с кв 11 831,72 ? ЗА 1 ГОД по 44ФЗ заключено 19 шт. c объемом НМЦ 733 437 400,30 ? с БГИ 96 845 321,72 ? с БГГО 11 337 964,17 ? с авансированием до  9 535 333,33 ? с комиссией банку  804 794,22 ? с кв 7 001,71 ? ЗА 3 ГОДА ПО 223 ФЗ заключено 12 шт. с объемом НМЦ 35 193 453,33 ? за 1 ГОД ПО 223ФЗ заключено 2  20 206 998,74 ?</t>
  </si>
  <si>
    <t>"223 за 3 года", ".", "рейтинг поставщиков в маркере по бг", "fk1", "ИНН 3 года - нет КД БГ на 01.10.22",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"44 фз с с БГ от 10 млн", "рейтинг по нмц маркер", "поставщики маркер", "44 за 3 года"</t>
  </si>
  <si>
    <t>20.13.24.149 Кислоты неорганические прочие, не включенные в другие группировки
10.86.10.139 Смеси молочные сухие прочие для детей раннего возраста
22.22.14.000 Бутыли, бутылки, флаконы и аналогичные изделия из пластмасс
20.42.1 Средства парфюмерные и косметические
20.42.15.142 Кремы для ног
21.20.23.110 Реагенты диагностические
21.20.23.199 Средства нелечебные прочие
20.59.52.199 Реагенты сложные диагностические или лабораторные прочие, не включенные в другие группировки
22.19.71.190 Изделия из резины, кроме твердой резины (эбонита), гигиенические или фармацевтические прочие
14.12.30.132 Юбки, халаты, блузки, фартуки, жилеты, платья и сорочки женские производственные и профессиональные ****</t>
  </si>
  <si>
    <t>За весь период компания заключила  11 контрактов на сумму  1 558 519 456,32 ? За весь период заходили в конкурсы  30 раз на общую сумму обеспеченных контрактов с НМЦ 2 157 294 972,04 ? с БГУ  17 938 718,68 ? с БГИ 191 470 910,90 ? За 3 ГОДА по 44ФЗ заключено 1398 шт. с объемом НМЦ  2 327 895 563,37 ? с БГИ 197 808 235,85 ? с БГГО 1 344 606,02 ? с авансированием до 0,00 ? с комиссией банку 3 307 763,69 ? с кв 28 777,54 ? ЗА 1 ГОД по 44ФЗ заключено 505 шт. c объемом НМЦ 896 532 634,12 ? с БГИ 71 766 094,61 ? с БГГО 0,00 ? с авансированием до  0,00 ? с комиссией банку  1 324 861,90 ? с кв 11 526,30 ?</t>
  </si>
  <si>
    <t>"223 за 3 года", ".", "рейтинг поставщиков в маркере по бг", "все клиенты с выручкой от 1,8 млрд до бесконечности", "44 фз с с БГ от 10 млн", "рейтинг по нмц маркер", "поставщики маркер", "44 за 3 года"</t>
  </si>
  <si>
    <t>1 040</t>
  </si>
  <si>
    <t>Сообщение кредитора о намерении обратиться в суд с заявлением о банкротстве от 10.02.2022</t>
  </si>
  <si>
    <t>19.20.21.341 Топливо дизельное межсезонное вне классов
17.11.14.190 Целлюлоза из прочих волокнистых материалов, кроме древесины
22.21.41.110 Плиты, листы прочие пластмассовые пористые
19.20.42.121 Битумы нефтяные дорожные
22.21.41.119 Плиты, листы прочие пластмассовые пористые, не включенные в другие группировки
22.29.21.000 Плиты, листы, пленка, лента и прочие плоские полимерные самоклеящиеся формы, в рулонах шириной не более 20 см</t>
  </si>
  <si>
    <t>За весь период компания заключила  24 контрактов на сумму  40 235 059 155,46 ? За весь период заходили в конкурсы  34 раз на общую сумму обеспеченных контрактов с НМЦ 42 834 670 898,42 ? с БГУ  2 332 665 481,17 ? с БГИ 7 774 720 589,25 ? За 3 ГОДА по 44ФЗ заключено 9 шт. с объемом НМЦ  21 266 149 877,08 ? с БГИ 1 941 968 444,93 ? с БГГО 44 510 639,00 ? с авансированием до 0,00 ? с комиссией банку 20 920 878,38 ? с кв 182 011,64 ? ЗА 1 ГОД по 44ФЗ заключено 2 шт. c объемом НМЦ 6 724 828 710,00 ? с БГИ 672 354 685,50 ? с БГГО 13 700 901,00 ? с авансированием до  0,00 ? с комиссией банку  15 805 087,78 ? с кв 137 504,26 ?</t>
  </si>
  <si>
    <t>"44 за 3 года", "кл фт ФК ВКЛ/РКО 04.22", "свод фт", ".", "рейтинг поставщиков в маркере по бг", "Легкий кредит", "фт (2)", "кредиты фт", "Агентские одобренные но не выданные от 30.08", "Банкроты ФБ 28.04.2023", "Ссуды ФБ 29.04.2022 банкр.", "АИЛ портфель", "закрыли счет", "все клиенты с выручкой от 1,8 млрд до бесконечности", "филиал бизнес 01.03.22", "филиал бизнес 22.11", "клиенты от 100 млн", "Обороты по клиентам по кварталам (2022г)", "ФТ клиенты с продуктами по сотрудникам", "Участники клиринга", "44 фз с с БГ от 10 млн", "рейтинг по нмц маркер", "на фт заводил Шутов", "на фт заводил Сехин", "на фт заводил Данченко", "поставщики маркер"</t>
  </si>
  <si>
    <t>23.99.13.114 Смеси асфальтобетонные дорожные, аэродромные и асфальтобетон горячие щебено-мастичные
08.12.12.110 Гранулы каменные, крошка и порошок
23.51.11.000 Клинкеры цементные
08.12.12.140 Щебень
20.13.24.112 Кислота соляная
23.51.12.190 Цементы прочие, не включенные в другие группировки
08.12.11.130 Пески строительные
20.41.20.190 Вещества поверхностно-активные прочие
20.59.59.900 Продукты разные химические прочие, не включенные в другие группировки</t>
  </si>
  <si>
    <t>За весь период компания заключила  10 контрактов на сумму  17 068 892 443,46 ? За весь период заходили в конкурсы  11 раз на общую сумму обеспеченных контрактов с НМЦ 16 541 221 143,46 ? с БГУ  679 310 643,80 ? с БГИ 2 264 368 812,64 ? За 3 ГОДА по 44ФЗ заключено 4 шт. с объемом НМЦ  6 162 129 600,00 ? с БГИ 613 962 960,00 ? с БГГО 19 018 007,20 ? с авансированием до 0,00 ? с комиссией банку 535 012,75 ? с кв 4 654,61 ?</t>
  </si>
  <si>
    <t>"44 за 3 года", "свод фт", ".", "рейтинг поставщиков в маркере по бг", "fk1", "закрыли счет", "Действующий клиент мсб с выр от 30 млн на 05.21", "все клиенты с выручкой от 1,8 млрд до бесконечности", "рейтинг по нмц маркер", "на фт заводил Шутов", "на фт заводил Сехин", "на фт заводил Данченко"</t>
  </si>
  <si>
    <t>70.22.1 Услуги консультативные по вопросам управления деятельностью предприятия
73.20.14 Услуги по исследованию конъюнктуры рынка, кроме опросов
73.20.1 Услуги по исследованию конъюнктуры рынка и аналогичные услуги
72.20.30.000 Работы оригинальные научных исследований и экспериментальных разработок в области общественных и гуманитарных наук
69.20.22 Услуги по бухгалтерскому консультированию
94.11.10.000 Услуги, предоставляемые коммерческими и предпринимательскими членскими организациями
70.2 Услуги консультативные по вопросам управления
70.22.13 Услуги консультативные по вопросам управления маркетингом
70.22.11.000 Услуги консультативные по вопросам стратегического управления
70.22.20.000 Услуги по вопросам руководства проектами прочие, кроме руководства строительными проектами ****</t>
  </si>
  <si>
    <t>За весь период контрактов 12 шт. на общую сумму НМЦ 1 046 726 391,64 ?</t>
  </si>
  <si>
    <t>22.11.11.000 Шины и покрышки пневматические для легковых автомобилей новые
27.20.21.000 Аккумуляторы свинцовые для запуска поршневых двигателей
27.20.23.130 Батареи аккумуляторные литий-ионные
22.11.1 Шины, покрышки и камеры резиновые новые
22.11.14.110 Шины и покрышки пневматические для сельскохозяйственных машин
22.11.14.190 Шины и покрышки пневматические прочие новые
27.20.22 Аккумуляторы свинцовые, кроме используемых для запуска поршневых двигателей
19.20.2 Топливо жидкое и газообразное; масла смазочные
22.11.15.110 Камеры резиновые
22.11 Шины, покрышки и камеры резиновые; восстановление протекторов и резиновых шин ****</t>
  </si>
  <si>
    <t>ЗА 3 ГОДА ПО 223 ФЗ заключено 12 шт. с объемом НМЦ 122 976 511,29 ? за 1 ГОД ПО 223ФЗ заключено 4  108 610 799,59 ?</t>
  </si>
  <si>
    <t>"223 за 3 года", ".", "все клиенты с выручкой от 1,8 млрд до бесконечности", "223 фз контракты 20+", "рейтинг по нмц маркер", "это заказчик", "поставщики маркер"</t>
  </si>
  <si>
    <t>19.20.42 Кокс нефтяной, битум нефтяной и прочие остатки нефтепереработки
19.20.42.121 Битумы нефтяные дорожные
23.99.99.000 Услуги по производству минеральной неметаллической продукции, не включенной в другие группировки, отдельные, выполняемые субподрядчиком
19.20.42.120 Битумы нефтяные
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t>
  </si>
  <si>
    <t>За весь период компания заключила  14 контрактов на сумму  4 885 744 656,38 ?                                     ЗА 3 ГОДА ПО 223 ФЗ заключено 9 шт. с объемом НМЦ 4 058 851 500,00 ?</t>
  </si>
  <si>
    <t>"223 за 3 года", ".", "Участники клиринга", "производители", "рейтинг по нмц маркер", "поставщики маркер"</t>
  </si>
  <si>
    <t>19.20.42.121 Битумы нефтяные дорожные
20.59.41.000 Материалы смазочные</t>
  </si>
  <si>
    <t>"223 за 3 года", ".", "fk1"</t>
  </si>
  <si>
    <t>26.30.11.150 Средства связи радиоэлектронные
26.30.11.120 Средства связи, выполняющие функцию цифровых транспортных систем
46.52 Услуги по оптовой торговле электронным и телекоммуникационным оборудованием и его частями</t>
  </si>
  <si>
    <t>ЗА 3 ГОДА ПО 223 ФЗ заключено 4 шт. с объемом НМЦ 119 520 000,00 ?</t>
  </si>
  <si>
    <t>"223 за 3 года", ".", "fk1", "ФК клиенты с выручкой от 230 до бесконечности", "производители", "поставщики маркер"</t>
  </si>
  <si>
    <t>"Корп 2"</t>
  </si>
  <si>
    <t>"Обороты по клиентам по кварталам (2022г)", ".", "корп 2", "06.2022_ФинХД", "клиенты с в от100млн 09.21", "все клиенты с выручкой от 1,8 млрд до бесконечности"</t>
  </si>
  <si>
    <t>"Обороты по клиентам по кварталам (2022г)", ".", "fk1", "корп 1", "06.2022_ФинХД", "клиенты с в от100млн 09.21", "все клиенты с выручкой от 1,8 млрд до бесконечности", "ФК клиенты с выручкой от 230 до бесконечности"</t>
  </si>
  <si>
    <t>ЗА 3 ГОДА ПО 223 ФЗ заключено 4 шт. с объемом НМЦ 499 434 874,50 ? за 1 ГОД ПО 223ФЗ заключено 1  399 000 000,00 ?</t>
  </si>
  <si>
    <t>"223 за 3 года", "свод фт", ".", "Рассрочка КВ Март 2023", "беники", "УПП на 2 номер", "fk1", "кредиты фт", "клиенты управления по БГ без открытых счетов", "ОТКАЗ УДП", "Премия 4 кв 22 г.бг", "лимит сит по кредитам", "223 фз контракты 20+", "на фт заводил Шутов", "на фт заводил Удод"</t>
  </si>
  <si>
    <t>09.10.11.190 Услуги по бурению, связанные с добычей нефти и горючего природного газа, не включенные в другие группировки</t>
  </si>
  <si>
    <t>За весь период контрактов 2 шт. на общую сумму НМЦ 516 763 816,43 ?</t>
  </si>
  <si>
    <t>"это заказчик", ".", "fk1", "инн Красносельская",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 "рейтинг по нмц маркер"</t>
  </si>
  <si>
    <t>22.19.72.000 Покрытия и коврики напольные из вулканизированной резины, кроме пористой
22.23.15.000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t>
  </si>
  <si>
    <t>"на фт заводил Реук", "свод фт", ".", "fk1"</t>
  </si>
  <si>
    <t>За весь период компания заключила  59 контрактов на сумму  167 925 764 076,60 ?                                     ЗА 3 ГОДА ПО 223 ФЗ заключено 1 шт. с объемом НМЦ 50 000 000,00 ? за 1 ГОД ПО 223ФЗ заключено 2  50 780 000,00 ?</t>
  </si>
  <si>
    <t>"223 за 3 года", ".", "fk1", "все клиенты с выручкой от 1,8 млрд до бесконечности", "ФК клиенты с выручкой от 230 до бесконечности", "223 фз контракты 20+", "производители", "рейтинг по нмц маркер", "это заказчик", "поставщики маркер"</t>
  </si>
  <si>
    <t>23.20.11 Кирпичи, блоки, плитки и прочие керамические изделия из кремнеземистой каменной муки или диатомитовых земель
23.20.12.190 Изделия огнеупорные прочие, кроме изделий из кремнеземистой каменной муки или диатомитовых земель
56.10.19.110 Услуги по обеспечению питанием без предоставления мест для сидения
56.10.19.119 Услуги прочих предприятий быстрого питания без предоставления мест для сидения
56.10.11.120 Услуги по обеспечению питанием в ресторанах, кафе и прочих предприятиях без сопровождения развлекательных программ
35.30.11 Пар и горячая вода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23.20.12.110 Кирпичи огнеупорные, кроме изделий из кремнеземистой каменной муки или диатомитовых земель
56.10.11.129 Услуги прочих предприятий питания с полным обслуживанием без сопровождения развлекательных программ ****</t>
  </si>
  <si>
    <t>"223 за 3 года", ".", "все клиенты с выручкой от 1,8 млрд до бесконечности", "рейтинг по нмц маркер", "это заказчик", "44 за 3 года"</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</si>
  <si>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35.11.10.112 Электроэнергия, произведенная теплоэлектроцентралями (ТЭЦ) общего назначения
36.00.1 Вода природная
37.0 Услуги по водоотведению; шлам сточных вод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35.30.12.110 Услуги по приготовлению воды на нужды горячего водоснабжения
36.00.11 Вода питьевая
36.00.20.110 Услуги по очистке и подготовке воды для водоснабжения
36.00.20.120 Услуги по обработке воды для промышленных и прочих нужд ****</t>
  </si>
  <si>
    <t>Заказчик разыгравший 89 конкурсов на сумму  32 131 227 239,78 ?</t>
  </si>
  <si>
    <t>Сообщение кредитора о намерении обратиться в суд с заявлением о банкротстве от 15.05.2023</t>
  </si>
  <si>
    <t>"производители", ".", "06.2022_ФинХД"</t>
  </si>
  <si>
    <t>За весь период заходили в конкурсы  7 раз на общую сумму обеспеченных контрактов с НМЦ 302 543 819,19 ? с БГУ  16 304 215,00 ? с БГИ 78 100 270,00 ?</t>
  </si>
  <si>
    <t>"поставщики маркер", ".", "рейтинг поставщиков в маркере по бг", "все клиенты с выручкой от 1,8 млрд до бесконечности", "рейтинг по нмц маркер"</t>
  </si>
  <si>
    <t>45.20.2 Услуги по техническому обслуживанию и ремонту прочих автотранспортных средств
29.10.30.119 Автобусы, имеющие технически допустимую максимальную массу более 5 т, прочие
29.10.30.110 Автобусы, имеющие технически допустимую максимальную массу более 5 т
29.10.30.111 Автобусы, предназначенные для перевозки стоящих и сидящих пассажиров, имеющие технически допустимую максимальную массу более 5 т</t>
  </si>
  <si>
    <t>За весь период контрактов 5 шт. на общую сумму НМЦ 3 245 755 525,06 ?</t>
  </si>
  <si>
    <t>Сообщение кредитора о намерении обратиться в суд с заявлением о банкротстве от 04.02.2022</t>
  </si>
  <si>
    <t>"поставщики маркер", ".", "рейтинг поставщиков в маркере по бг", "спарк восточный ", "fk1", "корп 2", "Кредитный портфель_01.11", "06.2022_ФинХД", "клиенты с в от100млн 09.21", "клиенты от 100 млн", "рейтинг по нмц маркер"</t>
  </si>
  <si>
    <t>1 167</t>
  </si>
  <si>
    <t>Сообщения о принятии решения о реорганизации от 24.12.2021</t>
  </si>
  <si>
    <t>10.51.52.140 Кефир
10.51.1 Молоко и сливки, кроме сырых
10.51.56.310 Напитки, коктейли, кисели молокосодержащие. Напитки, коктейли, кисели молокосодержащие с заменителем молочного жира
10.51.11.110 Молоко питьевое пастеризованное
10.51.40.300 Творог
46.33.11.000 Услуги по оптовой торговле молочными продуктами
10.51.30.111 Масло сладко-сливочное
10.51.52.110 Йогурт
10.51.11.121 Молоко питьевое коровье ультрапастеризованное (ультравысокотемпературно-обработанное)
10.51.40.313 Творог (кроме зерненого и произведенного с использованием ультрафильтрации и сепарирования) без вкусовых компонентов от 4 % до 11 % жирности ****</t>
  </si>
  <si>
    <t>10.51.52.140 Кефир
10.51.52.213 Сметана от 23,0 % до 28,0 % жирности
10.51.56.321 Творожные и сметанные продукты, желе, соусы, кремы, пудинги, муссы, пасты, суфле молокосодержащие
10.51.40.131 Сыры твердые без вкусовых наполнителей
10.51.56.152 Сырки творожные
10.51.40.314 Творог (кроме зерненого и произведенного с использованием ультрафильтрации и сепарирования) без вкусовых компонентов от 12 % до 18 % жирности
10.51.52.200 Сметана
10.51.11.110 Молоко питьевое пастеризованное
10.51.40.300 Творог
10.51.40.330 Творог зерненый без вкусовых компонентов ****</t>
  </si>
  <si>
    <t>ЗА 3 ГОДА ПО 223 ФЗ заключено 10 шт. с объемом НМЦ 30 609 499,94 ?</t>
  </si>
  <si>
    <t>"223 за 3 года", ".", "все клиенты с выручкой от 1,8 млрд до бесконечности", "производители", "рейтинг по нмц маркер", "это заказчик", "поставщики маркер", "44 за 3 года"</t>
  </si>
  <si>
    <t>45.11 Услуги по торговле легковыми автомобилями и грузовыми автомобилями малой грузоподъемности
45.11.1 Услуги по оптовой торговле легковыми автомобилями и легкими автотранспортными средствами
45.11.21.000 Услуги по розничной торговле новыми пассажирскими автотранспортными средствами в специализированных магазинах
45.20.11.519 Прочие услуги по техническому обслуживанию и ремонту прочих автотранспортных средств, не включенные в другие группировки
29.10.30 Средства автотранспортные для перевозки 10 или более человек
45.11.31.000 Услуги по розничной торговле легковыми автомобилями и грузовыми автомобилями малой грузоподъемности через информационно-коммуникационную сеть Интернет
29.10 Средства автотранспортные
29.10.2 Автомобили легковые
45.20.21.212 Услуги по ремонту двигателей
29.10.22 Средства транспортные с двигателем с искровым зажиганием, с рабочим объемом цилиндров более 1500 см3, новые ****</t>
  </si>
  <si>
    <t>За весь период заходили в конкурсы  2 раз на общую сумму обеспеченных контрактов с НМЦ 99 574 605,00 ? с БГУ  1 039 272,00 ? с БГИ 10 392 720,00 ? За 3 ГОДА по 44ФЗ заключено 437 шт. с объемом НМЦ  1 279 499 724,66 ? с БГИ 107 416 641,05 ? с БГГО 22 647 304,38 ? с авансированием до 9 846 343,33 ? с комиссией банку 642 774,35 ? с кв 5 592,14 ? ЗА 1 ГОД по 44ФЗ заключено 107 шт. c объемом НМЦ 444 729 191,76 ? с БГИ 40 668 953,21 ? с БГГО 5 309 614,93 ? с авансированием до  8 985 443,33 ? с комиссией банку  323 861,34 ? с кв 2 817,59 ? ЗА 3 ГОДА ПО 223 ФЗ заключено 19 шт. с объемом НМЦ 33 120 130,01 ?</t>
  </si>
  <si>
    <t>"223 за 3 года", ".", "рейтинг поставщиков в маркере по бг", "портфель 51", "fk1", "портфель 31.10.2021_10 тыс_проверка",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"Одобренные но не выданные 1 полугодие 2021", "поставщики маркер", "44 за 3 года"</t>
  </si>
  <si>
    <t>10.51.40.100 Сыры</t>
  </si>
  <si>
    <t>10.91 Корма готовые для сельскохозяйственных животных
10.91.10.170 Премиксы
10.91.10.173 Премиксы для птиц
10.91.10.172 Премиксы для свиней
10.91.1 Корма готовые для сельскохозяйственных животных (кроме муки и гранул из люцерны)
10.91.10.183 Комбикорма для свиней
10.91.10.171 Премиксы для крупного рогатого скота
10.91.10.181 Комбикорма для крупного рогатого скота
10.91.10.186 Комбикорма для сельскохозяйственной птицы</t>
  </si>
  <si>
    <t>За весь период компания заключила  87 контрактов на сумму  6 230 021 571,90 ?</t>
  </si>
  <si>
    <t>"223 за 3 года", ".", "все клиенты с выручкой от 1,8 млрд до бесконечности", "рейтинг заказчиков маркер", "рейтинг по нмц маркер", "поставщики маркер"</t>
  </si>
  <si>
    <t>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t>
  </si>
  <si>
    <t>26.30.50.111 Извещатели охранные и охранно-пожарные</t>
  </si>
  <si>
    <t>17.21.13 Ящики и коробки из гофрированной бумаги или гофрированного картона
17.2 Изделия из бумаги и картона
17.21.11.000 Картон гофрированный в рулонах или листах
35.30.11.120 Энергия тепловая, отпущенная котельными
35.30.11.111 Энергия тепловая, отпущенная тепловыми электроцентралями (ТЭЦ)
17.21.1 Бумага и картон гофрированные и тара бумажная и картонная</t>
  </si>
  <si>
    <t>"поставщики маркер", ".", "fk1", "06.2022_ФинХД", "все клиенты с выручкой от 1,8 млрд до бесконечности", "ФК клиенты с выручкой от 230 до бесконечности", "Обороты по клиентам по кварталам (2022г)", "производители"</t>
  </si>
  <si>
    <t>Юридическое лицо находится в процессе реорганизации в форме преобразования от 13.12.2022, Сообщения о принятии решения о реорганизации от 12.12.2022</t>
  </si>
  <si>
    <t>68.10.14.000 Услуги по покупке и продаже нежилых зданий и занимаемых ими земельных участков
68.31.14.130 Услуги посреднические по аренде нежилых зданий и занимаемых ими земельных участков за вознаграждение или на договорной основе</t>
  </si>
  <si>
    <t>Сообщение кредитора о намерении обратиться в суд с заявлением о банкротстве от 06.05.2019</t>
  </si>
  <si>
    <t>Сообщения о принятии решения о реорганизации от 28.10.2021</t>
  </si>
  <si>
    <t>22.11.12.110 Шины пневматические для мотоциклов, мотоколясок, мотороллеров, мопедов и квадрициклов
22.11.14.191 Шины пневматические для строительных, дорожных, подъемно-транспортных и рудничных машин</t>
  </si>
  <si>
    <t>29.20.40 Услуги по переоборудованию, сборке, оснащению автотранспортных средств и кузовным работам</t>
  </si>
  <si>
    <t>Кредитный портфель_01.518</t>
  </si>
  <si>
    <t>"поставщики маркер", ".", "выдали", "fk1", "Кредитный портфель_01.11", "06.2022_ФинХД", "клиенты от 100 млн", "Обороты по клиентам по кварталам (2022г)", "производители"</t>
  </si>
  <si>
    <t>Сообщение кредитора о намерении обратиться в суд с заявлением о банкротстве от 27.12.2022</t>
  </si>
  <si>
    <t>Юридическое лицо находится в процессе реорганизации в форме выделения от 16.09.2022, Сообщения о принятии решения о реорганизации от 20.09.2022</t>
  </si>
  <si>
    <t>"поставщики маркер", ".", "fk1", "корп 2",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t>
  </si>
  <si>
    <t>28.25.11 Теплообменники и машины для сжижения воздуха или прочих газов
28.25.11.110 Теплообменники</t>
  </si>
  <si>
    <t>25.29.11.900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прочие
28.99.39.190 Оборудование специального назначения прочее, не включенное в другие группировки
25.29.11.111 Резервуары и газгольдеры полистовой сборки горизонтальные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28.29.12.111 Фильтры очистки воды промышленные
25.29.11.100 Резервуары и газгольдеры
28.25.14 Оборудование и установки для фильтрования или очистки газов, не включенные в другие группировки</t>
  </si>
  <si>
    <t>За весь период контрактов 4 шт. на общую сумму НМЦ 963 470 326,18 ?</t>
  </si>
  <si>
    <t>Сообщение кредитора о намерении обратиться в суд с заявлением о банкротстве от 16.04.2019</t>
  </si>
  <si>
    <t>"поставщики маркер", ".", "06.2022_ФинХД", "производители", "рейтинг по нмц маркер"</t>
  </si>
  <si>
    <t>За весь период компания заключила  1 контрактов на сумму  804 978 497,42 ? За весь период заходили в конкурсы  4 раз на общую сумму обеспеченных контрактов с НМЦ 1 513 018 545,09 ? с БГУ  49 487 625,94 ? с БГИ 287 957 386,07 ? За 3 ГОДА по 44ФЗ заключено 5 шт. с объемом НМЦ  1 254 844 826,60 ? с БГИ 190 230 070,06 ? с БГГО 2 234 063,86 ? с авансированием до 0,00 ? с комиссией банку 1 196 549,11 ? с кв 10 409,98 ? ЗА 1 ГОД по 44ФЗ заключено 3 шт. c объемом НМЦ 930 308 692,76 ? с БГИ 157 776 456,68 ? с БГГО 1 883 392,63 ? с авансированием до  0,00 ? с комиссией банку  1 195 132,96 ? с кв 10 397,66 ? ЗА 3 ГОДА ПО 223 ФЗ заключено 7 шт. с объемом НМЦ 217 591 165,39 ?</t>
  </si>
  <si>
    <t>"223 за 3 года", ".", "рейтинг поставщиков в маркере по бг", "Конкурсы 100+ (Восстановленный)", "все клиенты с выручкой от 1,8 млрд до бесконечности", "44 фз с с БГ от 10 млн", "рейтинг по нмц маркер", "поставщики маркер", "44 за 3 года"</t>
  </si>
  <si>
    <t>20.15.33.000 Нитрат аммония
20.15.49.000 Удобрения фосфатные прочие
20.15 Удобрения и соединения азотные</t>
  </si>
  <si>
    <t>"223 за 3 года", ".", "все клиенты с выручкой от 1,8 млрд до бесконечности", "Участники клиринга", "производители", "поставщики маркер"</t>
  </si>
  <si>
    <t>25.21.12 Котлы водогрейные центрального отопления для производства горячей воды или пара низкого давления
25.30.11 Котлы паровые и котлы паропроизводящие прочие; котлы, работающие с высокотемпературными органическими теплоносителями (ВОТ)
28.21.11.111 Горелки газовые
28.21.11 Горелки печные; механические топки и колосниковые решетки; механические золоудалители и аналогичные устройства</t>
  </si>
  <si>
    <t>За весь период компания заключила  1 контрактов на сумму  862 996 261,75 ?</t>
  </si>
  <si>
    <t>"производители", ".", "Пункт 3.1 09.01.2023", "все клиенты с выручкой от 1,8 млрд до бесконечности"</t>
  </si>
  <si>
    <t>11.07.11.122 Воды питьевые газированные, расфасованные в емкости
11.07.11.111 Воды минеральные природные питьевые столовые
11.07.11.121 Воды питьевые негазированные, расфасованные в емкости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36.00.11.000 Вода питьевая</t>
  </si>
  <si>
    <t>1 148</t>
  </si>
  <si>
    <t>"223 за 3 года", ".", "06.2022_ФинХД", "все клиенты с выручкой от 1,8 млрд до бесконечности", "производители", "это заказчик", "44 за 3 года"</t>
  </si>
  <si>
    <t>19.20.21.430 Топливо судовое с массовой долей серы 0,5 - 1,5 % с температурой вспышки в закрытом тигле не ниже 61 °C
19.20.23.190 Дистилляты легкие, не включенные в другие группировки
19.20.29.119 Масла моторные прочие, не включенные в другие группировки
46.71 Услуги по оптовой торговле твердым, жидким и газообразным топливом и связанными продуктами
19.20.21.321 Топливо дизельное зимнее вне классов
19.20.21.440 Топливо судовое с массовой долей серы не более 0,5 % с температурой вспышки в закрытом тигле не ниже 61 °C
19.20.21 Топливо моторное, включая автомобильный и авиационный бензин
19.20.21.100 Бензин автомобильный
19.20.23.129 Бензины специальные прочие
19.20.21.323 Топливо дизельное зимнее экологического класса К3 ****</t>
  </si>
  <si>
    <t>За весь период компания заключила  10 контрактов на сумму  6 594 178 358,51 ? За весь период заходили в конкурсы  12 раз на общую сумму обеспеченных контрактов с НМЦ 931 691 501,04 ? с БГУ  11 304 247,38 ? с БГИ 138 721 965,74 ? За 3 ГОДА по 44ФЗ заключено 43 шт. с объемом НМЦ  1 245 964 690,32 ? с БГИ 110 090 805,64 ? с БГГО 2 362 122,75 ? с авансированием до 0,00 ? с комиссией банку 598 256,01 ? с кв 5 204,83 ?               ЗА 3 ГОДА ПО 223 ФЗ заключено 21 шт. с объемом НМЦ 1 100 661 919,96 ? за 1 ГОД ПО 223ФЗ заключено 2  236 027 390,00 ?</t>
  </si>
  <si>
    <t>"223 за 3 года", ".", "рейтинг поставщиков в маркере по бг", "ушедшие", "все клиенты с выручкой от 1,8 млрд до бесконечности", "Одобренные но не выданные 1 полугодие 2021", "223 фз контракты 20+", "производители", "рейтинг по нмц маркер", "поставщики маркер", "44 за 3 года"</t>
  </si>
  <si>
    <t>"это заказчик", ".", "fk1", "инн Красносельская", "все клиенты с выручкой от 1,8 млрд до бесконечности", "Обороты по клиентам по кварталам (2022г)", "производители"</t>
  </si>
  <si>
    <t>10.13.15.110 Консервы мясные
10.20.15.130 Фарш рыбный мороженый
10.11.20.110 Субпродукты пищевые крупного рогатого скота парные, остывшие или охлажденные
10.12.20.110 Мясо кур, в том числе цыплят (включая цыплят-бройлеров) замороженное
10.20.13.120 Рыба морская мороженая
10.20.13.122 Рыба морская мороженая (кроме сельди)
10.13.15.111 Консервы кусковые мясные
10.20.25.111 Консервы рыбные натуральные
10.39.18.110 Овощи (кроме картофеля), приготовленные или консервированные с уксусом или уксусной кислотой
10.72.19.190 Изделия хлебобулочные сухие или хлебобулочные изделия длительного хранения прочие, не включенные в другие группировки ****</t>
  </si>
  <si>
    <t>2 726</t>
  </si>
  <si>
    <t>24.10.62.124 Прокат сортовой горячекатаный полосовой прочий, без дополнительной обработки, включая смотанный после прокатки, из нелегированных сталей
24.10.80.190 Прокат черных металлов прочий, не включенный в другие группировки
24 Металлы основные
24.20.13.130 Трубы стальные электросварные
24.10.62.110 Сталь кованая из нелегированных сталей, без дополнительной обработки
24.10.62.190 Прокат сортовой прочий, без дополнительной обработки, включая смотанный после прокатки, из нелегированных сталей
24.10.2 Сталь
24.20.12.110 Трубы обсадные бесшовные стальные
24.20.13.190 Трубы круглого сечения прочие стальные
25.11 Металлоконструкции строительные и их части ****</t>
  </si>
  <si>
    <t>ЗА 3 ГОДА ПО 223 ФЗ заключено 6 шт. с объемом НМЦ 91 459 584,80 ? за 1 ГОД ПО 223ФЗ заключено 4  46 989 414,03 ?</t>
  </si>
  <si>
    <t>"223 за 3 года", ".", "инн Вавилова", "fk1", "ПОС на 01.02.2023", "корп 2",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"это заказчик", "поставщики маркер"</t>
  </si>
  <si>
    <t>"223 за 3 года", ".",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"Участники клиринга"</t>
  </si>
  <si>
    <t>79.9 Услуги по бронированию и взаимосвязанные услуги прочие
74.90.20.130 Услуги агентств и агентов, действующих от имени физических лиц, обычно связанные с заключением контрактов (договоров) на участие в кинофильмах, театральных постановках и других развлекательных или спортивных мероприятиях, а также с предложением книг, пьес, предметов изобразительного искусства, фотографий издателям, продюсерам</t>
  </si>
  <si>
    <t>"223 за 3 года", ".", "fk1", "клиенты с в от100млн 09.21", "ФК клиенты с выручкой от 230 до бесконечности", "Обороты по клиентам по кварталам (2022г)"</t>
  </si>
  <si>
    <t>За весь период контрактов 7 шт. на общую сумму НМЦ 1 282 728 907,08 ?</t>
  </si>
  <si>
    <t>"в crm за Акимкиным", "crm управления"</t>
  </si>
  <si>
    <t>"в crm за Акимкиным", ".", "производители", "crm управления"</t>
  </si>
  <si>
    <t>71.12.16.000 Услуги по инженерно-техническому проектированию производственных процессов и производств
68.10.14.000 Услуги по покупке и продаже нежилых зданий и занимаемых ими земельных участков
42.21.13 Системы оросительные (каналы); водоводы и водопроводные конструкции; водоочистные станции, станции очистки сточных вод и насосные станции</t>
  </si>
  <si>
    <t>За весь период заходили в конкурсы  1 раз на общую сумму обеспеченных контрактов с НМЦ 316 221 250,00 ? с БГУ  3 162 212,50 ? с БГИ 15 811 062,50 ?                             ЗА 3 ГОДА ПО 223 ФЗ заключено 3 шт. с объемом НМЦ 36 633 649,78 ?</t>
  </si>
  <si>
    <t>Сообщения о принятии решения о реорганизации от 23.08.2022</t>
  </si>
  <si>
    <t>"223 за 3 года", ".", "рейтинг поставщиков в маркере по бг", "все клиенты с выручкой от 1,8 млрд до бесконечности", "crm управления", "в crm за Егоровым ", "поставщики маркер", "44 за 3 года"</t>
  </si>
  <si>
    <t>68.10.11.000 Услуги по покупке и продаже жилых зданий и занимаемых ими земельных участков
68.31.11.110 Услуги посреднические при купле-продаже жилых зданий и занимаемых ими земельных участков за вознаграждение или на договорной основе</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</si>
  <si>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23.99.13.114 Смеси асфальтобетонные дорожные, аэродромные и асфальтобетон горячие щебено-мастичные
42.99.12.124 Территории парковые и парки для отдыха
23.99.13.111 Смеси асфальтобетонные дорожные, аэродромные и асфальтобетон горячие щебеночные
42.11.10.110 Автомагистрали, кроме надземных автодорог (эстакад)
42.11.10.120 Дороги автомобильные, в том числе улично-дорожная сеть, и прочие автомобильные и пешеходные дороги
42.99.22.100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кроме работ по сохранению и воссозданию объектов культурного наследия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42.11.10.121 Дорога автомобильная с усовершенствованным капитальным типом дорожного покрытия
42.11.10.122 Дорога автомобильная с усовершенствованным облегченным или переходным типом дорожного покрытия ****</t>
  </si>
  <si>
    <t>1 133</t>
  </si>
  <si>
    <t>За весь период компания заключила  75 контрактов на сумму  20 159 371 392,15 ? За весь период заходили в конкурсы  151 раз на общую сумму обеспеченных контрактов с НМЦ 27 005 414 549,64 ? с БГУ  292 634 733,21 ? с БГИ 2 987 320 417,19 ? За 3 ГОДА по 44ФЗ заключено 466 шт. с объемом НМЦ  8 478 368 204,17 ? с БГИ 552 660 239,12 ? с БГГО 19 591 596,27 ? с авансированием до 131 205 795,63 ? с комиссией банку 11 438 872,43 ? с кв 99 518,19 ? ЗА 1 ГОД по 44ФЗ заключено 145 шт. c объемом НМЦ 5 060 214 620,56 ? с БГИ 344 458 309,77 ? с БГГО 6 945 632,04 ? с авансированием до  125 432 495,99 ? с комиссией банку  9 171 401,54 ? с кв 79 791,19 ?</t>
  </si>
  <si>
    <t>"223 за 3 года", ".", "рейтинг поставщиков в маркере по бг", "ГРАНДИОЗНЫЙ ПРОЕКТ", "Конкурсы 100+ (Восстановленный)", "ПСБ Гарантии ", "все клиенты с выручкой от 1,8 млрд до бесконечности", "44 фз с с БГ от 10 млн", "рейтинг заказчиков маркер", "рейтинг по нмц маркер", "это заказчик", "crm управления", "crm Пител",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</si>
  <si>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42.21.22.110 Работы строительные по прокладке местных трубопроводов воды или сточных вод</t>
  </si>
  <si>
    <t>За весь период контрактов 1 шт. на общую сумму НМЦ 437 000 000,00 ?</t>
  </si>
  <si>
    <t>Сообщение кредитора о намерении обратиться в суд с заявлением о банкротстве от 24.04.2023</t>
  </si>
  <si>
    <t>"44 за 3 года", ".", "рейтинг поставщиков в маркере по бг", "все клиенты с выручкой от 1,8 млрд до бесконечности", "производители", "рейтинг по нмц маркер", "это заказчик", "поставщики маркер"</t>
  </si>
  <si>
    <t>72.19.16.000 Услуги, связанные с научными исследованиями и экспериментальными разработками в области биологических наук
29.10.59.320 Снегоочистители</t>
  </si>
  <si>
    <t>"223 за 3 года", ".", "все клиенты с выручкой от 1,8 млрд до бесконечности", "производители", "это заказчик"</t>
  </si>
  <si>
    <t>2 984</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</si>
  <si>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35.13.10.000 Услуги по распределению электроэнергии
35.30.11 Пар и горячая вода
35.30.11.120 Энергия тепловая, отпущенная котельными ****</t>
  </si>
  <si>
    <t>ЗА 3 ГОДА ПО 223 ФЗ заключено 139 шт. с объемом НМЦ 250 520 684,92 ? за 1 ГОД ПО 223ФЗ заключено 60  108 562 831,57 ?</t>
  </si>
  <si>
    <t>Сообщение кредитора о намерении обратиться в суд с заявлением о банкротстве от 30.10.2020</t>
  </si>
  <si>
    <t>28.30.59.111 Комбайны зерноуборочные
28.30.59.113 Молотилки
28.30.86.110 Оборудование для сельского хозяйства, не включенное в другие группировки</t>
  </si>
  <si>
    <t>За год заключили по 223фз 1 контракта(ов) на сумму  13 092 206,40 ?</t>
  </si>
  <si>
    <t>Сообщение кредитора о намерении обратиться в суд с заявлением о банкротстве от 25.04.2023</t>
  </si>
  <si>
    <t>10.86.10.135 Смеси кисломолочные сухие для детей раннего возраста
22.22.14.000 Бутыли, бутылки, флаконы и аналогичные изделия из пластмасс
21.20.23.199 Средства нелечебные прочие
21.20.24.140 Пакеты перевязочные медицинские
20.59.52.199 Реагенты сложные диагностические или лабораторные прочие, не включенные в другие группировки
22.19.71.190 Изделия из резины, кроме твердой резины (эбонита), гигиенические или фармацевтические прочие
22.21.30.130 Полосы (ленты) пластмассовые, неармированные или не комбинированные с другими материалами
20.20.14.000 Средства дезинфекционные
21.20.10.118 Препараты, способствующие пищеварению, включая ферментные препараты
21.20.10.133 Препараты антианемические ****</t>
  </si>
  <si>
    <t>За весь период компания заключила  6 контрактов на сумму  315 919 898,20 ? За весь период заходили в конкурсы  19 раз на общую сумму обеспеченных контрактов с НМЦ 1 343 428 337,86 ? с БГУ  12 992 165,13 ? с БГИ 69 957 514,34 ? За 3 ГОДА по 44ФЗ заключено 562 шт. с объемом НМЦ  5 017 393 168,51 ? с БГИ 249 138 519,25 ? с БГГО 26 394,93 ? с авансированием до 30 950,89 ? с комиссией банку 2 970 772,80 ? с кв 25 845,72 ? ЗА 1 ГОД по 44ФЗ заключено 189 шт. c объемом НМЦ 1 981 909 670,07 ? с БГИ 98 770 581,49 ? с БГГО 0,00 ? с авансированием до  17 281,36 ? с комиссией банку  1 294 241,68 ? с кв 11 259,90 ? ЗА 3 ГОДА ПО 223 ФЗ заключено 123 шт. с объемом НМЦ 109 285 609,97 ? за 1 ГОД ПО 223ФЗ заключено 28  8 203 368,03 ?</t>
  </si>
  <si>
    <t>"223 за 3 года", ".", "рейтинг поставщиков в маркере по бг", "все клиенты с выручкой от 1,8 млрд до бесконечности", "44 фз с с БГ от 10 млн", "Все БГ Держава ", "рейтинг заказчиков маркер", "рейтинг по нмц маркер", "это заказчик",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</si>
  <si>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35.12.10.120 Услуги по технологическому присоединению к распределительным электросетям
33.12.19.000 Услуги по ремонту и техническому обслуживанию прочего оборудования общего назначения, не включенного в другие группировки
43.21.10.290 Работы электромонтажные прочие, не включенные в другие группировки
42.22.22.140 Работы по ремонту местных линий электропередачи и связи</t>
  </si>
  <si>
    <t>1 108</t>
  </si>
  <si>
    <t>Заказчик разыгравший 52 конкурсов на сумму  18 168 107 838,76 ?</t>
  </si>
  <si>
    <t>"223 за 3 года", ".", "fk1", "все клиенты с выручкой от 1,8 млрд до бесконечности", "рейтинг заказчиков маркер", "это заказчик", "поставщики маркер", "44 за 3 года"</t>
  </si>
  <si>
    <t>24.20.13.130 Трубы стальные электросварные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35.30.11.111 Энергия тепловая, отпущенная тепловыми электроцентралями (ТЭЦ)
36.00.20.130 Услуги по транспортированию и распределению воды по водопроводам
36.00.11.000 Вода питьевая</t>
  </si>
  <si>
    <t>Заказчик разыгравший 79 конкурсов на сумму  21 073 284 313,55 ?</t>
  </si>
  <si>
    <t>"рейтинг заказчиков маркер", ".", "ушедшие"</t>
  </si>
  <si>
    <t>42.22.2 Работы строительные по строительству коммунальных объектов для электроснабжения и телекоммуникаций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71.12 Услуги в области инженерно-технического проектирования и связанные технические консультативные услуги
43.21.10.130 Работы по монтажу сетей электроосвещения и электроснабжения и электроарматуры для систем аварийного электроснабжения
82.11.10.000 Услуги в области административного обслуживания комплексные
33.12.29.900 Услуги по ремонту и техническому обслуживанию прочего оборудования специального назначения, не включенные в другие группировки
35.12.10.120 Услуги по технологическому присоединению к распределительным электросетям
35.13.10.000 Услуги по распределению электроэнергии
43.21.10 Работы электромонтажные
43.21.10.120 Работы электромонтажные, связанные с установкой приборов ****</t>
  </si>
  <si>
    <t>За 3 года по 223ФЗ заключено  5 шт контрактов на сумму 28 516 159,64 ?</t>
  </si>
  <si>
    <t>Сообщения о принятии решения о реорганизации от 11.06.2021</t>
  </si>
  <si>
    <t>"223 за 3 года", ".", "все клиенты с выручкой от 1,8 млрд до бесконечности", "223 фз контракты 20+", "рейтинг заказчиков маркер", "производители", "это заказчик", "поставщики маркер", "44 за 3 года"</t>
  </si>
  <si>
    <t>За 3 года по 223ФЗ заключено  17 шт контрактов на сумму 91 743 476,88 ?</t>
  </si>
  <si>
    <t>Сообщение кредитора о намерении обратиться в суд с заявлением о банкротстве от 28.04.2020</t>
  </si>
  <si>
    <t>"223 за 3 года", ".", "fk1", "ушедшие", "рейтинг заказчиков маркер", "это заказчик", "поставщики маркер"</t>
  </si>
  <si>
    <t>41.20.40.200 Работы по сохранению и воссозданию нежилых зданий, являющихся объектами культурного наследия
71.20.19.111 Услуги по проведению государственной экспертизы проектной документации и результатов инженерных изысканий
41.20.40.900 Работы строительные по возведению нежилых зданий и сооружений прочие, не включенные в другие группировки
43.39.19 Работы завершающие и отделочные в зданиях и сооружениях прочие, не включенные в другие группировки
43.29 Работы строительно-монтажные прочие
42.99 Сооружения и строительные работы по строительству прочих гражданских сооружений, не включенных в другие группировки
68.10.11.000 Услуги по покупке и продаже жилых зданий и занимаемых ими земельных участков
43.12.11.190 Работы земляные прочие, не включенные в другие группировки
82.30.12.000 Услуги по организации торговых выставок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t>
  </si>
  <si>
    <t>За весь период контрактов 33 шт. на общую сумму НМЦ 26 672 223 309,86 ?</t>
  </si>
  <si>
    <t>"223 за 3 года", ".", "рейтинг поставщиков в маркере по бг", "п6", "Конкурсы 100+ (Восстановленный)",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"223 фз контракты 20+", "рейтинг по нмц маркер", "поставщики маркер", "44 за 3 года"</t>
  </si>
  <si>
    <t>10.86.10.195 Продукция детского питания безлактозная
20.13.66.190 Сера прочая, кроме сублимированной, осажденной и коллоидной
10.86.10.139 Смеси молочные сухие прочие для детей раннего возраста
22.29 Изделия пластмассовые прочие
20.42.15 Средства для ухода за кожей, макияжа или защитные средства для кожи (включая солнцезащитные и для загара), не включенные в другие группировки
21.20.23.110 Реагенты диагностические
21.20.23.113 Средства радиофармацевтические диагностические
21.20.23.199 Средства нелечебные прочие
20.59.52.140 Среды готовые питательные для выращивания микроорганизмов
20.59.52.199 Реагенты сложные диагностические или лабораторные прочие, не включенные в другие группировки ****</t>
  </si>
  <si>
    <t>За весь период компания заключила  302 контрактов на сумму  43 615 592 927,17 ? За весь период заходили в конкурсы  514 раз на общую сумму обеспеченных контрактов с НМЦ 38 650 477 591,32 ? с БГУ  967 299 566,51 ? с БГИ 5 742 946 400,33 ? За 3 ГОДА по 44ФЗ заключено 5783 шт. с объемом НМЦ  32 648 135 695,00 ? с БГИ 3 547 846 261,31 ? с БГГО 56 657 863,05 ? с авансированием до 3 056 428,83 ? с комиссией банку 52 585 885,78 ? с кв 457 497,21 ? ЗА 1 ГОД по 44ФЗ заключено 2099 шт. c объемом НМЦ 13 617 074 778,10 ? с БГИ 1 377 511 455,35 ? с БГГО 647 982,78 ? с авансированием до  2 606 081,39 ? с комиссией банку  26 338 153,06 ? с кв 229 141,93 ? ЗА 3 ГОДА ПО 223 ФЗ заключено 156 шт. с объемом НМЦ 1 165 618 496,89 ? за 1 ГОД ПО 223ФЗ заключено 55  229 602 009,81 ?</t>
  </si>
  <si>
    <t>"223 за 3 года", "кл фт прямые бг 04.22", "свод фт", ".", "рейтинг поставщиков в маркере по бг", "ГРАНДИОЗНЫЙ ПРОЕКТ 223", "беники", "УПП на 2 номер", "БГИ", "Конкурсы 100+ (Восстановленный)", "fk1", "клиенты управления по БГ без открытых счетов", "Евразия_июлль-август 2019", "2. Финтендер 2022 31.03.22 Григорян для СПАРК", "БГ ФБ ЮР лица на 01.07.2021", "Премия 4 кв 22 г.бг", "Гарантии ФБ банкроты", "филиал бизнес 31.01.22 ", "все клиенты с выручкой от 1,8 млрд до бесконечности", "портфель", "ФК клиенты с выручкой от 230 до бесконечности", "клиенты от 100 млн", "Одобренные но не выданные 1 полугодие 2021", "ФТ клиенты с продуктами по сотрудникам", "223 фз контракты 20+", "44 фз с с БГ от 10 млн", "рейтинг по нмц маркер", "на фт заводил Хацкевич", "на фт заводил Сехин", "на фт заводил Дементьев", "на фт заводил Данченко", "поставщики маркер", "44 за 3 года"</t>
  </si>
  <si>
    <t>19.20.28.110 Мазут топочный</t>
  </si>
  <si>
    <t>За весь период компания заключила  10 контрактов на сумму  637 096 278,65 ? За весь период заходили в конкурсы  1 раз на общую сумму обеспеченных контрактов с НМЦ 66 276 800,00 ? с БГУ  3 602 000,00 ? с БГИ 21 612 000,00 ?</t>
  </si>
  <si>
    <t>"223 за 3 года", ".", "рейтинг поставщиков в маркере по бг", "Участники клиринга", "рейтинг по нмц маркер", "поставщики маркер"</t>
  </si>
  <si>
    <t>Кредитный портфель_01.541</t>
  </si>
  <si>
    <t>"поставщики маркер", ".",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</si>
  <si>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42.12.20.190 Работы строительные по строительству наземных и подземных железных дорог прочие, не включенные в другие группировки
42.13.20.100 Работы строительные по строительству мостов и тоннелей, кроме работ по сохранению и воссозданию объектов культурного наследия</t>
  </si>
  <si>
    <t>2 013</t>
  </si>
  <si>
    <t>За весь период компания заключила  81 контрактов на сумму  478 757 132 908,01 ? За весь период заходили в конкурсы  78 раз на общую сумму обеспеченных контрактов с НМЦ 285 239 227 851,66 ? с БГУ  12 919 665 032,05 ? с БГИ 76 125 887 903,09 ? За 3 ГОДА по 44ФЗ заключено 5 шт. с объемом НМЦ  35 541 248 742,32 ? с БГИ 10 662 374 622,80 ? с БГГО 947 986 140,28 ? с авансированием до 67 848 864 008,64 ? с комиссией банку 10 317 313,07 ? с кв 89 760,62 ? ЗА 1 ГОД по 44ФЗ заключено 2 шт. c объемом НМЦ 1 305 723 669,68 ? с БГИ 391 717 100,91 ? с БГГО 1 584 464,00 ? с авансированием до  1 022 719 617,95 ? с комиссией банку  10 158 432,61 ? с кв 88 378,36 ?</t>
  </si>
  <si>
    <t>Сообщение кредитора о намерении обратиться в суд с заявлением о банкротстве от 09.04.2021</t>
  </si>
  <si>
    <t>"44 за 3 года", "свод фт", ".", "рейтинг поставщиков в маркере по бг", "ГРАНДИОЗНЫЙ ПРОЕКТ", "Конкурсы 100+ (Восстановленный)", "ушедшие", "все клиенты с выручкой от 1,8 млрд до бесконечности", "44 фз с с БГ от 10 млн", "рейтинг заказчиков маркер", "производители", "рейтинг по нмц маркер", "на фт заводил Егоров "</t>
  </si>
  <si>
    <t>20.14.22.113 Спирт изопропиловый (пропан-2-ол)
20.14.21.000 Спирты жирные промышленные
20.59.42.130 Присадки к смазочным материалам</t>
  </si>
  <si>
    <t>За 3 года по 223ФЗ заключено  6 шт контрактов на сумму 22 227 180,00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</si>
  <si>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43.12.11.120 Работы по подготовке строительного участка для последующих строительных работ, включая буровзрывные работы и работы по удалению скальных пород
42.11.10.159 Дороги подъездные, транспортные и пешеходные путепроводы над и под дорогой, велосипедные дорожки прочие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</si>
  <si>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За весь период компания заключила  63 контрактов на сумму  87 774 277 802,39 ? За весь период заходили в конкурсы  127 раз на общую сумму обеспеченных контрактов с НМЦ 81 966 410 948,98 ? с БГУ  4 408 227 426,63 ? с БГИ 16 803 388 335,31 ? За 3 ГОДА по 44ФЗ заключено 21 шт. с объемом НМЦ  6 072 838 096,59 ? с БГИ 1 198 093 528,71 ? с БГГО 71 026 671,31 ? с авансированием до 1 036 153 007,70 ? с комиссией банку 19 340 800,47 ? с кв 168 264,96 ? ЗА 1 ГОД по 44ФЗ заключено 11 шт. c объемом НМЦ 3 042 171 370,85 ? с БГИ 804 352 592,45 ? с БГГО 13 788 110,65 ? с авансированием до  956 112 092,44 ? с комиссией банку  15 354 837,54 ? с кв 133 587,09 ?</t>
  </si>
  <si>
    <t>Сообщение кредитора о намерении обратиться в суд с заявлением о банкротстве от 26.09.2018</t>
  </si>
  <si>
    <t>"44 за 3 года", ".", "рейтинг поставщиков в маркере по бг", "ГРАНДИОЗНЫЙ ПРОЕКТ", "Конкурсы 100+ (Восстановленный)", "44 фз с с БГ от 10 млн", "производители", "рейтинг по нмц маркер", "поставщики маркер"</t>
  </si>
  <si>
    <t>93.29.19.000 Услуги по организации отдыха и развлечений прочие, не включенные в другие группировки</t>
  </si>
  <si>
    <t>Заказчик разыгравший 13 конкурсов на сумму  4 234 838 660,23 ?</t>
  </si>
  <si>
    <t>21.20.23.199 Средства нелечебные прочие
21.20.10.118 Препараты, способствующие пищеварению, включая ферментные препараты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21.20.10.251 Препараты назальные
21.20.10 Препараты лекарственные
21.20.10.116 Препараты противодиарейные, кишечные противовоспалительные и противомикробные
21.20.10.143 Диуретики
21.20.10.174 Препараты для лечения урологических заболеваний ****</t>
  </si>
  <si>
    <t>11.07.11.121 Воды питьевые негазированные, расфасованные в емкости
33.11.12.000 Услуги по ремонту и техническому обслуживанию резервуаров, цистерн и емкостей из металла
42.21.12.120 Трубопровод местный для газа (газопровод)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36.00.11.000 Вода питьевая</t>
  </si>
  <si>
    <t>26.80.13.000 Носители данных прочие, включая матрицы и основы для производства дисков
26.30.2 Оборудование оконечное (пользовательское) телефонной или телеграфной связи, аппаратура видеосвязи
62.03.1 Услуги по управлению компьютерным оборудованием
26.30.30.000 Части и комплектующие коммуникационного оборудования
58.29.29.000 Обеспечение программное прикладное прочее на электронном носителе
58.29.5 Услуги по предоставлению лицензий на право использовать компьютерное программное обеспечение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27.12.31.000 Панели и прочие комплекты электрической аппаратуры коммутации или защиты на напряжение не более 1 кВ
26.20.30.000 Устройства автоматической обработки данных прочие ****</t>
  </si>
  <si>
    <t>За весь период компания заключила  17 контрактов на сумму  24 680 610 378,26 ? За весь период заходили в конкурсы  29 раз на общую сумму обеспеченных контрактов с НМЦ 6 199 772 276,85 ? с БГУ  329 606 917,27 ? с БГИ 1 796 641 280,92 ?</t>
  </si>
  <si>
    <t>"44 за 3 года", "свод фт", ".", "рейтинг поставщиков в маркере по бг", "беники", "Одобренные но не выданные 1 полугодие 2021", "производители", "рейтинг по нмц маркер", "на фт заводил Шутов", "на фт заводил Тихонов ", "поставщики маркер"</t>
  </si>
  <si>
    <t>За год заключили по 223фз 2 контракта(ов) на сумму  6 000 120,00 ?</t>
  </si>
  <si>
    <t>ПОС на 03.04.2480</t>
  </si>
  <si>
    <t>"Обороты по клиентам по кварталам (2022г)", ".", "fk1", "ПОС на 01.02.2023", "ПОС на 03.04.2023", "Кредитный портфель_01.11", "06.2022_ФинХД", "все клиенты с выручкой от 1,8 млрд до бесконечности"</t>
  </si>
  <si>
    <t>19.20.29.119 Масла моторные прочие, не включенные в другие группировки
19.20.21.440 Топливо судовое с массовой долей серы не более 0,5 % с температурой вспышки в закрытом тигле не ниже 61 °C
19.20.29.100 Масла нефтяные смазочные
19.20.21.300 Топливо дизельное
19.20.29.113 Масла дизельные для авиационных поршневых двигателей
19.20.29.110 Масла моторные (универсальные, карбюраторные, дизельные, для авиационных поршневых двигателей)</t>
  </si>
  <si>
    <t>"в crm за Шевченко ОРК 5", "crm управления"</t>
  </si>
  <si>
    <t>"44 за 3 года", ".", "рейтинг по нмц маркер", "crm управления", "в crm за Шевченко ОРК 5", "поставщики маркер"</t>
  </si>
  <si>
    <t>56.29.11.000 Услуги по обеспечению питанием, осуществляемые по договору и предоставляемые транспортным предприятиям</t>
  </si>
  <si>
    <t>Сообщение кредитора о намерении обратиться в суд с заявлением о банкротстве от 09.06.2021</t>
  </si>
  <si>
    <t>42.21.22.120 Работы строительные по прокладке местных трубопроводов горячей воды</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</si>
  <si>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71.12.3 Услуги в области геологических, геофизических и взаимосвязанных изыскательных работ и консультативные услуги
28.12 Оборудование гидравлическое и пневматическое силовое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71.20.12.000 Услуги в области испытаний, исследований и анализа физико-механических свойств материалов и веществ
25.73.60.120 Инструменты для бурения скальных пород или грунтов
23.51.12.140 Портландцементы тампонажные
28.99 Оборудование специального назначения прочее, не включенное в другие группировки
28.92 Оборудование для добычи полезных ископаемых подземным и открытым способами и строительства
09.1 Услуги по добыче нефти и природного газа ****</t>
  </si>
  <si>
    <t>2 026</t>
  </si>
  <si>
    <t>За весь период компания заключила  25 контрактов на сумму  17 992 905 160,94 ?</t>
  </si>
  <si>
    <t>"поставщики маркер", ".", "все клиенты с выручкой от 1,8 млрд до бесконечности", "рейтинг заказчиков маркер", "производители", "рейтинг по нмц маркер"</t>
  </si>
  <si>
    <t>"рейтинг по нмц маркер", ".", "производители"</t>
  </si>
  <si>
    <t>35.11.10.110 Электроэнергия, произведенная электростанциями общего назначения
35.14.10 Услуги по торговле электроэнергией
36.00.11 Вода питьевая
41.20.40.900 Работы строительные по возведению нежилых зданий и сооружений прочие, не включенные в другие группировки
49.39.39.000 Услуги по перевозке пассажиров сухопутным транспортом прочие, не включенные в другие группировки
35.11.10.120 Электроэнергия, произведенная блок-станциями</t>
  </si>
  <si>
    <t>За весь период компания заключила  10 контрактов на сумму  6 132 666 123,45 ? За весь период заходили в конкурсы  1 раз на общую сумму обеспеченных контрактов с НМЦ 227 129 121,80 ? с БГУ  9 270 576,40 ? с БГИ 46 352 882,00 ?</t>
  </si>
  <si>
    <t>58.29.29.000 Обеспечение программное прикладное прочее на электронном носителе
63.99.10.190 Услуги информационные автоматизированные компьютерные прочие, не включенные в другие группировки
62.02.3 Услуги по технической поддержке информационных технологий
62.09.20.120 Услуги по установке программного обеспечения
62.09.20.190 Услуги по технической поддержке в области информационных технологий прочие, не включенные в другие группировки
63.11.12.000 Услуги по размещению в информационно-коммуникационной сети Интернет
63.12.10.000 Содержание порталов в информационно-коммуникационной сети Интернет
26.20.40.190 Комплектующие и запасные части для вычислительных машин прочие, не включенные в другие группировки
63.11.19.000 Услуги прочие по размещению и предоставлению инфраструктуры информационных технологий
58.29.50.000 Услуги по предоставлению лицензий на право использовать компьютерное программное обеспечение ****</t>
  </si>
  <si>
    <t>За весь период компания заключила  38 контрактов на сумму  10 690 662 801,46 ? За весь период заходили в конкурсы  122 раз на общую сумму обеспеченных контрактов с НМЦ 21 762 791 294,12 ? с БГУ  935 552 879,58 ? с БГИ 6 536 151 420,77 ? За 3 ГОДА по 44ФЗ заключено 187 шт. с объемом НМЦ  14 650 769 788,07 ? с БГИ 3 139 829 970,37 ? с БГГО 369 048 507,29 ? с авансированием до 819 603 630,52 ? с комиссией банку 49 788 271,59 ? с кв 433 157,96 ? ЗА 1 ГОД по 44ФЗ заключено 54 шт. c объемом НМЦ 3 950 013 926,06 ? с БГИ 1 057 054 595,79 ? с БГГО 85 941 800,98 ? с авансированием до  150 499 980,00 ? с комиссией банку  18 601 485,11 ? с кв 161 832,92 ?</t>
  </si>
  <si>
    <t>"44 за 3 года", ".", "рейтинг поставщиков в маркере по бг", "ГРАНДИОЗНЫЙ ПРОЕКТ", "Конкурсы 100+ (Восстановленный)",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"44 фз с с БГ от 10 млн", "рейтинг по нмц маркер", "это заказчик", "поставщики маркер"</t>
  </si>
  <si>
    <t>02.20.14.117 Дрова березовые
02.20.14.129 Дрова из прочих пород и смесей пород деревьев
20.15.76.000 Нитраты калия
08.92.10.113 Торф фрезерный для сельского хозяйства
01.61.10.290 Услуги, связанные с выращиванием сельскохозяйственных культур прочие, не включенные в другие группировки</t>
  </si>
  <si>
    <t>"44 за 3 года", ".", "все клиенты с выручкой от 1,8 млрд до бесконечности", "производители", "это заказчик", "поставщики маркер"</t>
  </si>
  <si>
    <t>"производители", ".", "fk1", "райф", "лимит сит по кредитам", "Пустые_Клиенты", "все клиенты с выручкой от 1,8 млрд до бесконечности"</t>
  </si>
  <si>
    <t>43.22 Работы по монтажу систем водопровода, канализации, отопления и кондиционирования воздуха</t>
  </si>
  <si>
    <t>2 170</t>
  </si>
  <si>
    <t>Заказчик разыгравший 5 конкурсов на сумму  554 067 080,01 ?</t>
  </si>
  <si>
    <t>62.02.10 Услуги консультативные по компьютерному оборудованию
62.01 Продукты программные и услуги по разработке и тестированию программного обеспечения
62.02 Услуги консультативные, связанные с компьютерной техникой
62.02.30 Услуги по технической поддержке информационных технологий
62.01.1 Услуги по проектированию, разработке информационных технологий для прикладных задач и тестированию программного обеспечения
62.09.20.190 Услуги по технической поддержке в области информационных технологий прочие, не включенные в другие группировки
62.01.12 Услуги по проектированию и разработке информационных технологий для сетей и систем
62 Продукты программные и услуги по разработке программного обеспечения; консультационные и аналогичные услуги в области информационных технологий
62.09.20 Услуги в области информационных технологий и компьютерные услуги прочие, не включенные в другие группировки
62.01.11.000 Услуги по проектированию и разработке информационных технологий для прикладных задач и тестированию программного обеспечения</t>
  </si>
  <si>
    <t>За весь период компания заключила  42 контрактов на сумму  19 422 038 800,40 ? За весь период заходили в конкурсы  2 раз на общую сумму обеспеченных контрактов с НМЦ 112 135 000,00 ? с БГУ  6 777 663,46 ? с БГИ 40 665 980,79 ?                             ЗА 3 ГОДА ПО 223 ФЗ заключено 2 шт. с объемом НМЦ 68 289 344,00 ?</t>
  </si>
  <si>
    <t>"223 за 3 года", "кл фт агент бг 04.22", ".", "рейтинг поставщиков в маркере по бг", "fk1", "инн Красносельская", "Пункт 3 09.01.23", "все клиенты с выручкой от 1,8 млрд до бесконечности", "клиенты от 100 млн", "действующие б не прям", "ФТ клиенты с продуктами по сотрудникам", "производители", "рейтинг по нмц маркер", "поставщики маркер"</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</si>
  <si>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35.11.10.130 Электроэнергия, произведенная локальными электростанциями (не работающими в энергосистеме)
35.11.10 Электроэнергия
35.12.10.120 Услуги по технологическому присоединению к распределительным электросетям
35.13.10.000 Услуги по распределению электроэнергии
35.11.10.115 Электроэнергия, произведенная атомными электростанциями (АЭС) общего назначения
35.14.10.000 Услуги по торговле электроэнергией
35.30.11.111 Энергия тепловая, отпущенная тепловыми электроцентралями (ТЭЦ) ****</t>
  </si>
  <si>
    <t>За весь период компания заключила  4 контрактов на сумму  261 745 794,02 ?</t>
  </si>
  <si>
    <t>"поставщики маркер", ".", "все клиенты с выручкой от 1,8 млрд до бесконечности", "рейтинг заказчиков маркер", "рейтинг по нмц маркер", "это заказчик", "crm управления", "в crm за Акимкиным"</t>
  </si>
  <si>
    <t>Сообщение кредитора о намерении обратиться в суд с заявлением о банкротстве от 02.03.2021</t>
  </si>
  <si>
    <t>43.99.90.190 Работы строительные специализированные прочие, не включенные в другие группировки
71.20.19 Услуги по техническим испытаниям и анализу прочие
23.61.12 Блоки и прочие изделия сборные строительные для зданий и сооружений из цемента, бетона или искусственного камня
25.94 Изделия крепежные и винты крепежные
71.20.19.190 Услуги по техническим испытаниям и анализу прочие, не включенные в другие группировки
47.19.10.000 Услуги по розничной торговле большим товарным ассортиментом с преобладанием непродовольственных товаров в неспециализированных магазинах
71.20.19.120 Услуги по проведению сертификации продукции, услуг и организаций</t>
  </si>
  <si>
    <t>За весь период компания заключила  7 контрактов на сумму  280 951 032 221,20 ?                                         за 1 ГОД ПО 223ФЗ заключено 47  8 940 000,00 ?</t>
  </si>
  <si>
    <t>"223 за 3 года", ".", "АНАЛИЗ Все установленные лимиты на 01.12.2021 ОКВЭД Прочие Услуги", "все клиенты с выручкой от 1,8 млрд до бесконечности", "рейтинг заказчиков маркер", "производители", "рейтинг по нмц маркер", "это заказчик", "поставщики маркер", "44 за 3 года"</t>
  </si>
  <si>
    <t>На 16.05.2023 17:06 имеются действующие решения ФНС о приостановлении операций по счетам</t>
  </si>
  <si>
    <t>17.21.13.000 Ящики и коробки из гофрированной бумаги или гофрированного картона
17.23.13.110 Журналы регистрационные из бумаги или картона
26.80.13.000 Носители данных прочие, включая матрицы и основы для производства дисков
17 Бумага и изделия из бумаги
32.99.12.120 Ручки и маркеры с наконечником из фетра и прочих пористых материалов
32.99.15.110 Карандаши простые и цветные с грифелями в твердой оболочке
17.12.73.110 Бумага мелованная для печати
17.23.13.130 Скоросшиватели (папки) из бумаги или картона
17.23.13.191 Блокноты, записные книжки и книги для записей
17.23.13.192 Альбомы и папки с бумагой (включая блоки) ****</t>
  </si>
  <si>
    <t>За весь период заходили в конкурсы  1 раз на общую сумму обеспеченных контрактов с НМЦ 50 163 517,73 ? с БГУ  4 251 145,59 ? с БГИ 25 506 873,54 ?</t>
  </si>
  <si>
    <t>"44 за 3 года", ".", "рейтинг поставщиков в маркере по бг", "ушедшие", "все клиенты с выручкой от 1,8 млрд до бесконечности", "производители", "это заказчик", "поставщики маркер"</t>
  </si>
  <si>
    <t>63.11.12.000 Услуги по размещению в информационно-коммуникационной сети Интернет</t>
  </si>
  <si>
    <t>Сообщения о принятии решения о реорганизации от 07.10.2020</t>
  </si>
  <si>
    <t>"44 за 3 года", "кл фт агент бг 04.22", ".", "действующие бг с выр до 50", "клиенты до 18млн 22.29.21 ", "ФК клиенты с выручкой до 2,5 млн", "клиенты до 49 млн", "Действующий клиент мсб с выр до 6 млн на 05.21", "ФТ клиенты с продуктами по сотрудникам", "поставщики маркер"</t>
  </si>
  <si>
    <t>45.11.21.000 Услуги по розничной торговле новыми пассажирскими автотранспортными средствами в специализированных магазинах
29.10.2 Автомобили легковые
45.19 Услуги по торговле прочими автотранспортными средствами
29.10.22.000 Средства транспортные с двигателем с искровым зажиганием, с рабочим объемом цилиндров более 1500 см3, новые</t>
  </si>
  <si>
    <t>Сообщения о принятии решения о реорганизации от 10.11.2020</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</si>
  <si>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71.12.20.190 Услуги по руководству строительными проектами прочие
52.21.19.140 Услуги железнодорожной инфраструктуры
35.12.10.120 Услуги по технологическому присоединению к распределительным электросетям
43.12.11.120 Работы по подготовке строительного участка для последующих строительных работ, включая буровзрывные работы и работы по удалению скальных пород
42.11.10.159 Дороги подъездные, транспортные и пешеходные путепроводы над и под дорогой, велосипедные дорожки прочие
43.12.11.190 Работы земляные прочие, не включенные в другие группировки
42.13.20.100 Работы строительные по строительству мостов и тоннелей, кроме работ по сохранению и воссозданию объектов культурного наследия
71.12.20.120 Услуги по авторскому и техническому надзору при проведении работ по сохранению и воссозданию объекта культурного наследия
71.12.35.120 Услуги в области картографии, кроме услуг в области кадастровой деятельности ****</t>
  </si>
  <si>
    <t>За весь период компания заключила  402 контрактов на сумму  1 163 160 995 421,04 ? За весь период заходили в конкурсы  716 раз на общую сумму обеспеченных контрактов с НМЦ 905 109 671 697,96 ? с БГУ  42 260 576 179,74 ? с БГИ 118 828 665 860,54 ? За 3 ГОДА по 44ФЗ заключено 115 шт. с объемом НМЦ  195 409 681 650,14 ? с БГИ 11 465 480 081,90 ? с БГГО 318 441 520,31 ? с авансированием до 23 070 518 738,73 ? с комиссией банку 357 790 007,62 ? с кв 3 112 773,07 ? ЗА 1 ГОД по 44ФЗ заключено 49 шт. c объемом НМЦ 106 347 234 465,39 ? с БГИ 3 543 961 572,13 ? с БГГО 4 943 188,51 ? с авансированием до  17 121 111 344,13 ? с комиссией банку  129 014 379,50 ? с кв 1 122 425,10 ?</t>
  </si>
  <si>
    <t>"44 за 3 года", ".", "рейтинг поставщиков в маркере по бг", "фб 22.11", "ГРАНДИОЗНЫЙ ПРОЕКТ", "Конкурсы 100+ (Восстановленный)", "44 фз с с БГ от 10 млн", "производители", "рейтинг по нмц маркер", "поставщики маркер"</t>
  </si>
  <si>
    <t>55.90.19.000 Услуги по предоставлению временного жилья прочие, не включенные в другие группировки</t>
  </si>
  <si>
    <t>"Запрос в ЮД_просрочка на 01.01.2023 г.</t>
  </si>
  <si>
    <t>"производители", ".", "fk1", "просрочка на 01.01.2023 г.", "Запрос в ЮД_просрочка на 01.01.2023"</t>
  </si>
  <si>
    <t>22.29.25.000 Принадлежности канцелярские или школьные пластмассовые</t>
  </si>
  <si>
    <t>За 3 года по 223ФЗ заключено  2 шт контрактов на сумму 21 730 592,07 ?</t>
  </si>
  <si>
    <t>"223 за 3 года", ".", "fk1", "Кредитный портфель_01.11", "корп 1", "06.2022_ФинХД", "все клиенты с выручкой от 1,8 млрд до бесконечности", "ФК клиенты с выручкой от 230 до бесконечности", "клиенты от 100 млн", "производители", "это заказчик", "поставщики маркер"</t>
  </si>
  <si>
    <t>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51.1 Услуги по пассажирским перевозкам воздушным транспортом
51.10.11.000 Услуги по регулярным пассажирским перевозкам воздушным транспортом на местных линиях
79.11.11 Услуги по бронированию авиабилетов</t>
  </si>
  <si>
    <t>50.40.13.000 Услуги по перевозке прочих жидкостей и газов внутренним водным транспортом с помощью судов-танкеров</t>
  </si>
  <si>
    <t>За весь период контрактов 4 шт. с общей суммой НМЦ 566 154 963,00 ? с БГУ 11290000 и БГИ 301 800 000,00 ?</t>
  </si>
  <si>
    <t>"223 за 3 года", ".", "рейтинг поставщиков в маркере по бг", "инн Вавилова", "fk1", "ПОС на 01.02.2023", "ПОС на 03.04.2023",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</si>
  <si>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32.50.22.190 Протезы органов человека, не включенные в другие группировки
20.42.15.139 Средства для ухода за кожей лица прочие
20.42.15.130 Средства для ухода за кожей лица: лосьоны, кремы, специальные средства
20.42.15.190 Средства косметические для ухода за кожей прочие, не включенные в другие группировки
32.50 Инструменты и оборудование медицинские
32.50.11.190 Инструменты и приспособления стоматологические прочие</t>
  </si>
  <si>
    <t>21.20.10.242 Препараты противогельминтные
10.92.10.120 Сухой корм растительного происхождения
21.20.10.243 Препараты для уничтожения эктопаразитов (включая чесоточного клеща), инсектициды и репелленты
16.23.20.120 Домики деревянные для содержания зверей, животных и птиц
21.20.21.139 Вакцины прочие, применяемые в ветеринарии
46.90.10.000 Услуги по неспециализированной оптовой торговле
10.92.1 Корм готовый для непродуктивных животных
32.30.15.299 Изделия спортивные, инвентарь, включая тренировочный, прочие, не включенные в другие группировки
46.38 Услуги по оптовой торговле прочими пищевыми продуктами, включая рыбу, ракообразных и моллюсков
10.92.10.100 Сухой корм ****</t>
  </si>
  <si>
    <t>"223 за 3 года", ".", "Пункт 3.1 09.01.2023", "все клиенты с выручкой от 1,8 млрд до бесконечности", "44 за 3 года"</t>
  </si>
  <si>
    <t>Юридическим лицом принято решение об изменении места нахождения от 03.08.2020</t>
  </si>
  <si>
    <t>"производители", ".", "Участники клиринга"</t>
  </si>
  <si>
    <t>28.14.1 Арматура (краны, клапаны и другая аналогичная арматура) для трубопроводов, сосудов, котлов, цистерн, баков и аналогичных емкостей
22.21.29 Трубы, трубки и шланги и их фитинги прочие пластмассовые</t>
  </si>
  <si>
    <t>20.59.59 Продукты разные химические, не включенные в другие группировки
20.14.44.130 Изоцианаты и соединения прочие, содержащие другие азотсодержащие функциональные группы
20.41.44.190 Средства чистящие прочие
20.16.40.120 Полиэфиры в первичных формах
20.41.32.119 Средства моющие прочие
20.17.10.160 Каучуки элементоорганические
20.17.10 Каучуки синтетические в первичных формах</t>
  </si>
  <si>
    <t>Заказчик разыгравший 119 конкурсов на сумму  29 130 108 746,27 ?</t>
  </si>
  <si>
    <t>"223 за 3 года", ".", "рейтинг заказчиков маркер"</t>
  </si>
  <si>
    <t>35.22.10.110 Услуги по распределению и снабжению газовым топливом всех видов по системам распределительных трубопроводов
06.20.10.120 Газ нефтяной попутный (газ горючий природный нефтяных месторождений)</t>
  </si>
  <si>
    <t>За 3 года по 223ФЗ заключено  2 шт контрактов на сумму 25 918 190,42 ?</t>
  </si>
  <si>
    <t>29.10.30.110 Автобусы, имеющие технически допустимую максимальную массу более 5 т
29.10.30.111 Автобусы, предназначенные для перевозки стоящих и сидящих пассажиров, имеющие технически допустимую максимальную массу более 5 т</t>
  </si>
  <si>
    <t>За весь период компания заключила  6 контрактов на сумму  3 514 542 556,19 ? За весь период заходили в конкурсы  8 раз на общую сумму обеспеченных контрактов с НМЦ 4 079 481 796,19 ? с БГУ  58 982 042,58 ? с БГИ 595 514 814,21 ? За 3 ГОДА по 44ФЗ заключено 7 шт. с объемом НМЦ  2 484 237 147,13 ? с БГИ 317 877 756,61 ? с БГГО 14 231 235,90 ? с авансированием до 334 806 660,00 ? с комиссией банку 4 435 043,41 ? с кв 38 584,88 ? ЗА 1 ГОД по 44ФЗ заключено 3 шт. c объемом НМЦ 1 872 422 200,13 ? с БГИ 149 422 220,01 ? с БГГО 11 210 222,00 ? с авансированием до  334 806 660,00 ? с комиссией банку  2 716 210,98 ? с кв 23 631,04 ?</t>
  </si>
  <si>
    <t>"44 за 3 года", ".", "рейтинг поставщиков в маркере по бг", "Конкурсы 100+ (Восстановленный)", "44 фз с с БГ от 10 млн", "рейтинг по нмц маркер", "поставщики маркер"</t>
  </si>
  <si>
    <t>10.86.10.243 Соки фруктовые и фруктово-овощные для детского питания
10.1 Мясо и мясо птицы, прочие продукты убоя. Мясные пищевые продукты, включая продукты из мяса птицы
10.32.22.110 Напитки сокосодержащие фруктовые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10.51.12.110 Сливки питьевые
10.86.10.211 Консервы на овощной основе, овоще-фруктовой основах гомогенизированные для детского питания
10.32.17.130 Смеси фруктовых и овощных соков
10.86.10.126 Творог и творожные продукты для детей раннего возраста
10.51.1 Молоко и сливки, кроме сырых
10.51.56.152 Сырки творожные ****</t>
  </si>
  <si>
    <t>За весь период компания заключила  44 контрактов на сумму  72 762 573 651,10 ? За весь период заходили в конкурсы  88 раз на общую сумму обеспеченных контрактов с НМЦ 110 825 978 093,57 ? с БГУ  2 451 372 592,25 ? с БГИ 10 382 647 992,32 ?                             ЗА 3 ГОДА ПО 223 ФЗ заключено 11 шт. с объемом НМЦ 40 605 543,09 ? за 1 ГОД ПО 223ФЗ заключено 3  6 067 749,82 ?</t>
  </si>
  <si>
    <t>20.13.24.149 Кислоты неорганические прочие, не включенные в другие группировки
20.13.32 Гипохлориты, хлораты и перхлораты
20.13.51.112 Хроматы
20.15.60.000 Нитрат натрия
22.21.4 Плиты, листы, пленка и полосы (ленты) прочие пластмассовые
20.20.14.000 Средства дезинфекционные
20.30.22.220 Растворители и разбавители органические сложные; составы готовые для удаления красок и лаков (смывки)
20.1 Вещества химические основные, удобрения химические и азотные, пластмассы и синтетический каучук в первичных формах
20.13 Вещества химические неорганические основные прочие
20.13.21.290 Неметаллы, не включенные в другие группировки, прочие ****</t>
  </si>
  <si>
    <t>ЗА 3 ГОДА ПО 223 ФЗ заключено 29 шт. с объемом НМЦ 231 041 045,11 ? за 1 ГОД ПО 223ФЗ заключено 16  31 892 736,90 ?</t>
  </si>
  <si>
    <t>"223 за 3 года", ".", "рейтинг по нмц маркер", "поставщики маркер", "44 за 3 года"</t>
  </si>
  <si>
    <t>07.10.10.130 Концентрат железорудный
08.12.12.140 Щебень
68.20.12.000 Услуги по сдаче в аренду (внаем) собственных или арендованных нежилых помещений
36.00.12.000 Вода непитьевая</t>
  </si>
  <si>
    <t>3 234</t>
  </si>
  <si>
    <t>За 3 года по 223ФЗ заключено  1 шт контрактов на сумму 36 575 716,20 ?</t>
  </si>
  <si>
    <t>На 21.03.2023 10:04 имеются действующие решения ФНС о приостановлении операций по счетам, Определение о введении наблюдения от 29.03.2018, Сообщение кредитора о намерении обратиться в суд с заявлением о банкротстве от 28.04.2023</t>
  </si>
  <si>
    <t>84.25 Услуги по обеспечению безопасности в чрезвычайных ситуациях; услуги по обеспечению безопасности в области использования атомной энергии
85.3 Услуги по профессиональному обучению
72.19.2 Услуги, связанные с научными исследованиями и экспериментальными разработками в области технических наук и в области технологий, кроме биотехнологии
84.25.19.190 Услуги по обеспечению безопасности в чрезвычайных ситуациях прочие
85.41.99 Услуги в области дополнительного образования прочие, не включенные в другие группировки
68.20.12.000 Услуги по сдаче в аренду (внаем) собственных или арендованных нежилых помещений
99.00.10.000 Услуги, предоставляемые экстерриториальными организациями и органами</t>
  </si>
  <si>
    <t>За весь период компания заключила  4 контрактов на сумму  4 449 233 813,96 ?                                     ЗА 3 ГОДА ПО 223 ФЗ заключено 13 шт. с объемом НМЦ 27 508 812,49 ? за 1 ГОД ПО 223ФЗ заключено 3  12 189 803,71 ?</t>
  </si>
  <si>
    <t>28.13.12.000 Насосы возвратно-поступательные объемного действия прочие для перекачки жидкостей
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71.12.3 Услуги в области геологических, геофизических и взаимосвязанных изыскательных работ и консультативные услуги
09.10.1 Услуги по обеспечению добычи нефти и природного газа
28.99.39.190 Оборудование специального назначения прочее, не включенное в другие группировки
28.92.61.110 Комплектующие (запасные части) бурильных и проходческих машин, не имеющие самостоятельных группировок
09.10.12.190 Услуги, связанные с добычей нефти, газового конденсата и горючего природного газа, прочие
09.1 Услуги по добыче нефти и природного газа
09.10.11.190 Услуги по бурению, связанные с добычей нефти и горючего природного газа, не включенные в другие группировки</t>
  </si>
  <si>
    <t>За весь период компания заключила  45 контрактов на сумму  63 354 220 674,04 ?                                     ЗА 3 ГОДА ПО 223 ФЗ заключено 1 шт. с объемом НМЦ 43 000 000,00 ?</t>
  </si>
  <si>
    <t>За весь период компания заключила  2 контрактов на сумму  1 314 330 630,00 ?</t>
  </si>
  <si>
    <t>"Участники клиринга", ".", "fk1", "Обороты по клиентам по кварталам (2022г)"</t>
  </si>
  <si>
    <t>22.29 Изделия пластмассовые прочие
13.99 Изделия текстильные прочие, не включенные в другие группировки
21 Средства лекарственные и материалы, применяемые в медицинских целях
14.31 Изделия чулочно-носочные трикотажные или вязаные
21.20.2 Препараты лекарственные прочие и материалы, применяемые в медицинских целях
20.41.32.121 Порошки стиральные
32.50.42 Очки для коррекции зрения, защитные или прочие очки или аналогичные оптические приборы
13.99.19.111 Вата медицинская гигроскопическая
21.20.10 Препараты лекарственные
23.13.11 Бутылки, банки, флаконы и прочая тара из стекла, кроме ампул; пробки, крышки и прочие укупорочные средства из стекла ****</t>
  </si>
  <si>
    <t>"223 за 3 года", "свод фт", ".", "кредиты фт", "лимит сит по кредитам", "все клиенты с выручкой от 1,8 млрд до бесконечности", "рейтинг по нмц маркер", "на фт заводил Микульшин", "crm управления", "в crm за Микульшиным", "поставщики маркер"</t>
  </si>
  <si>
    <t>ПОС на 03.04.2505</t>
  </si>
  <si>
    <t>"производители", ".", "fk1", "ПОС на 01.02.2023", "ПОС на 03.04.2023", "Кредитный портфель_01.11", "06.2022_ФинХД", "все клиенты с выручкой от 1,8 млрд до бесконечности", "Обороты по клиентам по кварталам (2022г)"</t>
  </si>
  <si>
    <t>"производители", ".", "портфель 31.10.2021_10 тыс_проверка"</t>
  </si>
  <si>
    <t>"Обороты по клиентам по кварталам (2022г)", ".", "fk1", "клиенты с в от100млн 09.21", "ФК клиенты с выручкой от 230 до бесконечности"</t>
  </si>
  <si>
    <t>20.13.43.112 Сода кальцинированная техническая из нефелинового сырья
20.13.25 Оксиды, гидроксиды и пероксиды; гидразин и гидроксиламин и их неорганические соли
20.13.25.111 Гидроксид натрия (сода каустическая)</t>
  </si>
  <si>
    <t>20.14.64 Ферменты и прочие органические соединения, не включенные в другие группировки
20.59 Продукты химические прочие, не включенные в другие группировки
21.20.23.110 Реагенты диагностические
21.20.23.113 Средства радиофармацевтические диагностические
21.20.23.199 Средства нелечебные прочие
20.59.52.140 Среды готовые питательные для выращивания микроорганизмов
20.59.52.199 Реагенты сложные диагностические или лабораторные прочие, не включенные в другие группировки
26.20.16.150 Сканеры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t>
  </si>
  <si>
    <t>За весь период заходили в конкурсы  2 раз на общую сумму обеспеченных контрактов с НМЦ 138 775 387,15 ? с БГУ  7 081 719,44 ? с БГИ 14 173 435,08 ? За 3 ГОДА по 44ФЗ заключено 532 шт. с объемом НМЦ  843 169 215,00 ? с БГИ 98 881 129,66 ? с БГГО 2 192 355,23 ? с авансированием до 1 731 610,51 ? с комиссией банку 1 147 584,32 ? с кв 9 983,98 ? ЗА 1 ГОД по 44ФЗ заключено 194 шт. c объемом НМЦ 314 528 579,50 ? с БГИ 40 396 341,17 ? с БГГО 265 599,84 ? с авансированием до  1 724 829,75 ? с комиссией банку  389 281,24 ? с кв 3 386,75 ? ЗА 3 ГОДА ПО 223 ФЗ заключено 126 шт. с объемом НМЦ 84 499 669,93 ? за 1 ГОД ПО 223ФЗ заключено 23  13 298 730,68 ?</t>
  </si>
  <si>
    <t>"223 за 3 года", ".", "рейтинг поставщиков в маркере по бг", "все клиенты с выручкой от 1,8 млрд до бесконечности", "44 фз с с БГ от 10 млн", "crm управления", "в crm за Муслимом", "поставщики маркер", "44 за 3 года"</t>
  </si>
  <si>
    <t>21.20.23.110 Реагенты диагностические
21.20.23.113 Средства радиофармацевтические диагностические
21.20.23.199 Средства нелечебные прочие
20.59.52.193 Комплексоны и комплексонаты, соединения комплексные
20.59.52.199 Реагенты сложные диагностические или лабораторные прочие, не включенные в другие группировки
26.20.16.150 Сканеры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33.13.13.000 Услуги по ремонту и техническому обслуживанию профессиональных оптических приборов и фотооборудования
32.50.13.190 Инструменты и приспособления, применяемые в медицинских целях, прочие, не включенные в другие группировки
20.59.52.194 Реактивы химические общелабораторного назначения ****</t>
  </si>
  <si>
    <t>1 008</t>
  </si>
  <si>
    <t>За 3 ГОДА по 44ФЗ заключено 195 шт. с объемом НМЦ  320 157 197,57 ? с БГИ 23 372 522,38 ? с БГГО 839 846,78 ? с авансированием до 0,00 ? с комиссией банку 302 323,84 ? с кв 2 630,22 ? ЗА 1 ГОД по 44ФЗ заключено 77 шт. c объемом НМЦ 95 445 662,42 ? с БГИ 6 674 683,88 ? с БГГО 546 000,00 ? с авансированием до  0,00 ? с комиссией банку  88 964,42 ? с кв 773,99 ? ЗА 3 ГОДА ПО 223 ФЗ заключено 29 шт. с объемом НМЦ 192 625 168,23 ? за 1 ГОД ПО 223ФЗ заключено 1  61 913 477,68 ?</t>
  </si>
  <si>
    <t>20.12.11.130 Оксиды титана</t>
  </si>
  <si>
    <t>"поставщики маркер", ".", "fk1", "Обороты по клиентам по кварталам (2022г)", "рейтинг по нмц маркер", "это заказчик"</t>
  </si>
  <si>
    <t>21.20.10 Препараты лекарственные
21.20.10.239 Препараты для лечения заболеваний нервной системы прочие
21.2 Препараты лекарственные и материалы, применяемые в медицинских целях</t>
  </si>
  <si>
    <t>"223 за 3 года", ".", "ГРАНДИОЗНЫЙ ПРОЕКТ 223", "все клиенты с выручкой от 1,8 млрд до бесконечности", "рейтинг по нмц маркер", "поставщики маркер"</t>
  </si>
  <si>
    <t>Кредитный портфель_01.569</t>
  </si>
  <si>
    <t>"06.2022_ФинХД", ".", "fk1", "Кредитный портфель_01.11"</t>
  </si>
  <si>
    <t>01.11.1 Пшеница</t>
  </si>
  <si>
    <t>41.20.40.900 Работы строительные по возведению нежилых зданий и сооружений прочие, не включенные в другие группировки
31.01.11.122 Шкафы архивные металлические
31.01.12.133 Шкафы картотечные деревянные
42.99.29.200 Работы по сохранению и воссозданию гражданских сооружений, являющихся объектами культурного наследия, не включенные в другие группировки
41.20.30.100 Работы по возведению жилых зданий, кроме работ по сохранению и воссозданию объектов культурного наследия
31.09.13.190 Мебель деревянная прочая, не включенная в другие группировки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</si>
  <si>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26 контрактов на сумму  31 434 226 636,16 ? За весь период заходили в конкурсы  46 раз на общую сумму обеспеченных контрактов с НМЦ 34 320 739 416,77 ? с БГУ  1 753 119 747,57 ? с БГИ 7 410 421 967,82 ? За 3 ГОДА по 44ФЗ заключено 3 шт. с объемом НМЦ  5 385 938 597,74 ? с БГИ 538 593 859,78 ? с БГГО 301 330 288,00 ? с авансированием до 66 243 038,00 ? с комиссией банку 35 378 649,19 ? с кв 307 794,25 ?               ЗА 3 ГОДА ПО 223 ФЗ заключено 1 шт. с объемом НМЦ 3 785 085 050,00 ? за 1 ГОД ПО 223ФЗ заключено 1  764 862 130,92 ?</t>
  </si>
  <si>
    <t>"223 за 3 года", ".", "рейтинг поставщиков в маркере по бг", "ушедший портфель", "Конкурсы 100+ (Восстановленный)", "Агентские отказ из-за непред-я док-ов", "fk1", "ИНН 3 года - нет КД БГ на 01.10.22", "Список ушедший ", "корп 1", "06.2022_ФинХД", "клиенты от 100 млн", "Обороты по клиентам по кварталам (2022г)", "БизФин", "223 фз контракты 20+", "производители", "рейтинг по нмц маркер", "поставщики маркер", "44 за 3 года"</t>
  </si>
  <si>
    <t>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41.20.20.180 Здания предприятий здравоохранения, науки и научного обслуживания, образования, культуры и искусства
43 Работы строительные специализированные</t>
  </si>
  <si>
    <t>За весь период компания заключила  56 контрактов на сумму  183 732 210 559,78 ? За весь период заходили в конкурсы  3 раз на общую сумму обеспеченных контрактов с НМЦ 13 306 700 000,00 ? с БГУ  665 345 959,51 ? с БГИ 3 992 075 757,09 ? За 3 ГОДА по 44ФЗ заключено 3 шт. с объемом НМЦ  13 306 919 190,29 ? с БГИ 3 992 075 757,09 ? с БГГО 2 363 144 816,78 ? с авансированием до 3 992 075 757,09 ? с комиссией банку 140 535 093,86 ? с кв 1 222 655,32 ?</t>
  </si>
  <si>
    <t>Сообщение кредитора о намерении обратиться в суд с заявлением о банкротстве от 22.11.2019</t>
  </si>
  <si>
    <t>5 495</t>
  </si>
  <si>
    <t>22.21.30.130 Полосы (ленты) пластмассовые, неармированные или не комбинированные с другими материалами
23.52.20.110 Гипс строительный
27.51.11.110 Холодильники бытовые
27.51.26.110 Приборы отопительные электрические
28.30 Машины и оборудование для сельского и лесного хозяйства
28.30.23.110 Тракторы сельскохозяйственные колесные с мощностью двигателя более 59 кВт
25.99.12.112 Изделия столовые, кухонные и бытовые и их детали из нержавеющей стали
27.40.42.000 Части светильников и осветительных устройств
23.64.10.120 Растворы строительные
23.69.11.000 Изделия из гипса или смесей на его основе прочие, не включенные в другие группировки ****</t>
  </si>
  <si>
    <t>"44 за 3 года", ".", "fk1", "Действующий клиент мсб с выр от 30 млн на 05.21", "все клиенты с выручкой от 1,8 млрд до бесконечности", "ФК клиенты с выручкой от 230 до бесконечности", "Участники клиринга", "это заказчик", "поставщики маркер"</t>
  </si>
  <si>
    <t>Сообщение кредитора о намерении обратиться в суд с заявлением о банкротстве от 22.03.2022</t>
  </si>
  <si>
    <t>"ФТ клиенты с продуктами по сотрудникам", "кл фт агент бг 04.22", ".", "Легкий кредит", "фт (2)", "fk1", "корп 1", "ФК клиенты с выручкой от 230 до бесконечности", "действующие б не прям"</t>
  </si>
  <si>
    <t>21.20.10.133 Препараты антианемические
21.20.10.231 Анестетики
21.10.31.120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21.10.51.126 Кислота аскорбиновая, включая комбинации с другими препаратами
21.2 Препараты лекарственные и материалы, применяемые в медицинских целях</t>
  </si>
  <si>
    <t>"поставщики маркер", ".", "fk1", "Пункт 3.1 09.01.2023", "все клиенты с выручкой от 1,8 млрд до бесконечности", "Обороты по клиентам по кварталам (2022г)"</t>
  </si>
  <si>
    <t>"поставщики маркер", ".", "fk1", "корп 2", "Агентские одобренные но не выданные от 30.08", "клиенты с в от100млн 09.21", "все клиенты с выручкой от 1,8 млрд до бесконечности", "ФК клиенты с выручкой от 230 до бесконечности", "производители", "рейтинг по нмц маркер"</t>
  </si>
  <si>
    <t>01.11.2 Кукуруза</t>
  </si>
  <si>
    <t>78.10 Услуги, предоставляемые агентствами по трудоустройству
78 Услуги по трудоустройству и подбору персонала
82.11.10 Услуги в области административного обслуживания комплексные
78.30.19.000 Услуги в области трудовых ресурсов по обеспечению персоналом прочие, не включенные в другие группировки</t>
  </si>
  <si>
    <t>3 303</t>
  </si>
  <si>
    <t>За весь период компания заключила  1 контрактов на сумму  600 000 000,00 ?</t>
  </si>
  <si>
    <t>1 328</t>
  </si>
  <si>
    <t>3 082</t>
  </si>
  <si>
    <t>За весь период компания заключила  163 контрактов на сумму  15 494 482 990,88 ? За весь период заходили в конкурсы  473 раз на общую сумму обеспеченных контрактов с НМЦ 61 454 697 292,43 ? с БГУ  2 196 182 674,82 ? с БГИ 5 349 866 721,22 ? За 3 ГОДА по 44ФЗ заключено 29 шт. с объемом НМЦ  38 138 591 189,16 ? с БГИ 3 607 181 933,55 ? с БГГО 158 821,00 ? с авансированием до 0,00 ? с комиссией банку 133 876 877,37 ? с кв 1 164 728,83 ? ЗА 1 ГОД по 44ФЗ заключено 10 шт. c объемом НМЦ 17 458 323 243,38 ? с БГИ 1 745 832 324,38 ? с БГГО 0,00 ? с авансированием до  0,00 ? с комиссией банку  72 148 667,39 ? с кв 627 693,41 ?</t>
  </si>
  <si>
    <t>Юридическое лицо находится в процессе реорганизации в форме присоединения к нему других юридических лиц от 27.01.2023, Сообщения о принятии решения о реорганизации от 03.02.2023</t>
  </si>
  <si>
    <t>"44 за 3 года", ".", "рейтинг поставщиков в маркере по бг", "Конкурсы 100+ (Восстановленный)", "Пункт 3.1 09.01.2023", "ушедшие", "все клиенты с выручкой от 1,8 млрд до бесконечности", "44 фз с с БГ от 10 млн", "производители", "рейтинг по нмц маркер"</t>
  </si>
  <si>
    <t>ПОС на 03.04.2514</t>
  </si>
  <si>
    <t>Юридическое лицо находится в процессе уменьшения уставного капитала от 21.03.2023</t>
  </si>
  <si>
    <t>"223 за 3 года", ".", "fk1", "ПОС на 01.02.2023", "ПОС на 03.04.2023", "Кредитный портфель_01.11", "06.2022_ФинХД", "Обороты по клиентам по кварталам (2022г)"</t>
  </si>
  <si>
    <t>10.86.10.613 Сардельки вареные для детского питания
10.13.14.119 Изделия колбасные вареные мясные прочие
10.13.14.113 Сардельки мясные
10.13.14.419 Изделия колбасные копченые мясные прочие
10.13.14.421 Колбасы (колбаски) полукопченые мясосодержащие
10.13.14.713 Полуфабрикаты мясные рубленые охлажденные
10.13.14.110 Изделия колбасные вареные, в том числе фаршированные мясные
10.11.32.140 Субпродукты пищевые свиные замороженные
10.86.10.611 Колбасы вареные для детского питания
10.13.15.111 Консервы кусковые мясные ****</t>
  </si>
  <si>
    <t>19.20.21.341 Топливо дизельное межсезонное вне классов
19.2 Нефтепродукты
19.20.21.321 Топливо дизельное зимнее вне классов
19.20.21 Топливо моторное, включая автомобильный и авиационный бензин
19.20.21.100 Бензин автомобильный
19.20.21.310 Топливо дизельное летнее
05.10 Уголь
19.20.21.125 Бензин автомобильный с октановым числом более 92, но не более 95 по исследовательскому методу экологического класса К5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t>
  </si>
  <si>
    <t>За весь период компания заключила  51 контрактов на сумму  44 232 245 350,85 ? За весь период заходили в конкурсы  18 раз на общую сумму обеспеченных контрактов с НМЦ 1 938 334 120,96 ? с БГУ  82 557 466,42 ? с БГИ 342 703 441,12 ?                             ЗА 3 ГОДА ПО 223 ФЗ заключено 28 шт. с объемом НМЦ 4 716 657 454,70 ? за 1 ГОД ПО 223ФЗ заключено 13  3 900 005 450,00 ?</t>
  </si>
  <si>
    <t>"223 за 3 года", ".", "рейтинг поставщиков в маркере по бг", "ГРАНДИОЗНЫЙ ПРОЕКТ 223", "инн Вавилова", "Конкурсы 100+ (Восстановленный)", "fk1",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 "223 фз контракты 20+", "рейтинг по нмц маркер", "поставщики маркер"</t>
  </si>
  <si>
    <t>Сообщения о принятии решения о реорганизации от 14.11.2022</t>
  </si>
  <si>
    <t>20.30.11.130 Грунтовки на основе акриловых или виниловых полимеров в водной среде
20.59.5 Продукты химические прочие
20.30.21.110 Пигменты готовые
25.73 Инструмент
25.11.23.120 Конструкции и детали конструкций из алюминия прочие
20.30.12.150 Растворы синтетических или химически модифицированных природных полимеров в летучих органических растворителях
20.30.22.110 Материалы лакокрасочные для нанесения покрытий прочие</t>
  </si>
  <si>
    <t>за 1 ГОД ПО 223ФЗ заключено 1  6 888 000,00 ?</t>
  </si>
  <si>
    <t>23.51.12.111 Портландцемент без минеральных добавок
23.51 Цемент
23.51.12.114 Портландцемент пуццолановый
23.51.12 Портландцемент, цемент глиноземистый, цемент шлаковый и аналогичные гидравлические цементы</t>
  </si>
  <si>
    <t>ЗА 3 ГОДА ПО 223 ФЗ заключено 3 шт. с объемом НМЦ 82 335 000,00 ?</t>
  </si>
  <si>
    <t>"223 за 3 года", ".", "все клиенты с выручкой от 1,8 млрд до бесконечности", "производители", "рейтинг по нмц маркер"</t>
  </si>
  <si>
    <t>25.11.23.119 Конструкции и детали конструкций из черных металлов прочие, не включенные в другие группировки</t>
  </si>
  <si>
    <t>49.39.31.000 Услуги арендованных автобусов с водителем
49.31.10.120 Услуги по перевозке пассажиров железнодорожным транспортом во внутригородском и пригородном сообщении в нерегулируемом секторе
49.39.39.000 Услуги по перевозке пассажиров сухопутным транспортом прочие, не включенные в другие группировки
49.39.13.000 Услуги по специальным перевозкам (для собственных нужд) пассажиров автобусами прочие
49.31.21.110 Услуги (работы) по регулярным перевозкам пассажиров автобусами в городском и пригородном сообщении
49.31.21.120 Услуги (работы) по регулярным перевозкам пассажиров троллейбусами в городском и пригородном сообщении</t>
  </si>
  <si>
    <t>1 419</t>
  </si>
  <si>
    <t>За весь период компания заключила  20 контрактов на сумму  24 270 735 156,14 ? За весь период заходили в конкурсы  72 раз на общую сумму обеспеченных контрактов с НМЦ 33 239 448 787,57 ? с БГУ  272 608 629,63 ? с БГИ 5 452 172 592,44 ? За 3 ГОДА по 44ФЗ заключено 19 шт. с объемом НМЦ  4 956 380 648,32 ? с БГИ 495 638 064,83 ? с БГГО 0,00 ? с авансированием до 0,00 ? с комиссией банку 64 530 529,73 ? с кв 561 415,61 ?</t>
  </si>
  <si>
    <t>22.11.11.000 Шины и покрышки пневматические для легковых автомобилей новые
22.11.14.199 Шины пневматические прочие, не включенные в другие группировки
22.11.13.110 Шины и покрышки пневматические для автобусов, троллейбусов и грузовых автомобилей новые</t>
  </si>
  <si>
    <t>49.31.21.110 Услуги (работы) по регулярным перевозкам пассажиров автобусами в городском и пригородном сообщении</t>
  </si>
  <si>
    <t>2 958</t>
  </si>
  <si>
    <t>За весь период контрактов 13 шт. на общую сумму НМЦ 231 637 776 711,01 ?</t>
  </si>
  <si>
    <t>"производители", ".", "fk1"</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</si>
  <si>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23.99.12 Изделия из асфальта или аналогичных материалов
71.12.20.190 Услуги по руководству строительными проектами прочие
23.99.13.111 Смеси асфальтобетонные дорожные, аэродромные и асфальтобетон горячие щебеночные
23.99 Продукция минеральная неметаллическая прочая, не включенная в другие группировки
42.12.20.190 Работы строительные по строительству наземных и подземных железных дорог прочие, не включенные в другие группировки
71.12.11.900 Услуги в виде инженерно-технических консультаций прочие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
23.99.13.110 Смеси асфальтобетонные дорожные, аэродромные и асфальтобетон горячие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</si>
  <si>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38 контрактов на сумму  17 274 170 603,93 ? За весь период заходили в конкурсы  74 раз на общую сумму обеспеченных контрактов с НМЦ 20 990 818 479,94 ? с БГУ  788 175 252,96 ? с БГИ 4 413 884 797,68 ? За 3 ГОДА по 44ФЗ заключено 45 шт. с объемом НМЦ  7 933 677 913,54 ? с БГИ 3 231 827 286,94 ? с БГГО 45 449 655,28 ? с авансированием до 2 634 970 457,40 ? с комиссией банку 55 340 904,20 ? с кв 481 465,87 ? ЗА 1 ГОД по 44ФЗ заключено 29 шт. c объемом НМЦ 4 527 343 948,55 ? с БГИ 1 746 134 249,83 ? с БГГО 16 449 626,43 ? с авансированием до  1 379 830 895,67 ? с комиссией банку  30 440 092,75 ? с кв 264 828,81 ?</t>
  </si>
  <si>
    <t>Сообщение кредитора о намерении обратиться в суд с заявлением о банкротстве от 25.03.2021</t>
  </si>
  <si>
    <t>"44 за 3 года", "кл фт агент бг 04.22", ".", "рейтинг поставщиков в маркере по бг", "ГРАНДИОЗНЫЙ ПРОЕКТ", "Легкий кредит", "фт (2)", "Конкурсы 100+ (Восстановленный)", "Агентские отказ из-за непред-я док-ов", "fk1", "ушедшие", "закрыли счет", "все клиенты с выручкой от 1,8 млрд до бесконечности", "клиенты от 100 млн", "действующие б не прям", "ФТ клиенты с продуктами по сотрудникам", "БизФин", "44 фз с с БГ от 10 млн", "производители", "рейтинг по нмц маркер", "поставщики маркер"</t>
  </si>
  <si>
    <t>20.59.52.199 Реагенты сложные диагностические или лабораторные прочие, не включенные в другие группировки
72.11.11.000 Услуги, связанные с научными исследованиями и экспериментальными разработками в области биотехнологии в области здоровья
73.20.11.000 Услуги по исследованию конъюнктуры рынка: качественные исследования
70.22.11.000 Услуги консультативные по вопросам стратегического управления</t>
  </si>
  <si>
    <t>На 27.03.2023 15:12 имеются действующие решения ФНС о приостановлении операций по счетам</t>
  </si>
  <si>
    <t>"поставщики маркер", ".", "fk1", "рейтинг по нмц маркер"</t>
  </si>
  <si>
    <t>21.20.21.132 Вакцины бактериальные инактивированные профилактические, применяемые в ветеринарии
20.20.14.000 Средства дезинфекционные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21.20.10.242 Препараты противогельминтные
20.20.11.000 Инсектициды
21.20.10 Препараты лекарственные
21.20.10.222 Комбинации противовоспалительных препаратов ****</t>
  </si>
  <si>
    <t>ЗА 3 ГОДА ПО 223 ФЗ заключено 9 шт. с объемом НМЦ 25 032 581,54 ?</t>
  </si>
  <si>
    <t>22.29 Изделия пластмассовые прочие
20.42.16.110 Шампуни
21.20.21.132 Вакцины бактериальные инактивированные профилактические, применяемые в ветеринарии
21.20.21.133 Вакцины бактериальные профилактические ассоциированные, применяемые в ветеринарии
21.20.23.199 Средства нелечебные прочие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t>
  </si>
  <si>
    <t>31.01 Мебель для офисов и предприятий торговли</t>
  </si>
  <si>
    <t>За весь период контрактов 1 шт. на общую сумму НМЦ 765 308 522,39 ?</t>
  </si>
  <si>
    <t>"поставщики маркер", ".", "беники", "все клиенты с выручкой от 1,8 млрд до бесконечности", "рейтинг заказчиков маркер", "рейтинг по нмц маркер", "это заказчик"</t>
  </si>
  <si>
    <t>"в crm за Самаром", ".", "crm управления"</t>
  </si>
  <si>
    <t>52.29 Услуги транспортные вспомогательные прочие</t>
  </si>
  <si>
    <t>10.41.24.000 Масло подсолнечное и его фракции нерафинированные
10.82.22.121 Изделия шоколадные с начинкой
10.89.19.290 Продукты пищевые прочие, не включенные в другие группировки
10.41.54.000 Масло подсолнечное и его фракции рафинированные, но не подвергнутые химической модификации
10.41.59.155 Масла растительные ароматизированные</t>
  </si>
  <si>
    <t>ЗА 3 ГОДА ПО 223 ФЗ заключено 1 шт. с объемом НМЦ 30 000 000,00 ?</t>
  </si>
  <si>
    <t>21.20.10.172 Препараты для лечения гинекологических заболеваний прочие
21.20.10.191 Препараты антибактериальные для системного использования
21.20.10.143 Диуретики
21.20.10.212 Препараты противоопухолевые гормональные
21.20.10.192 Препараты противогрибковые для системного использования</t>
  </si>
  <si>
    <t>За весь период заходили в конкурсы  6 раз на общую сумму обеспеченных контрактов с НМЦ 225 058 408,22 ? с БГУ  13 781 613,23 ? с БГИ 57 209 510,76 ?</t>
  </si>
  <si>
    <t>13.92.15.120 Шторы для интерьеров
43.22.12.160 Работы по установке приборов учета расхода тепловой энергии</t>
  </si>
  <si>
    <t>45.20.11.519 Прочие услуги по техническому обслуживанию и ремонту прочих автотранспортных средств, не включенные в другие группировки
29.10.11.000 Двигатели внутреннего сгорания поршневые с искровым зажиганием, с рабочим объемом цилиндров не более 1000 см3 для автотранспортных средств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45.20.11.111 Услуги по регламентным работам (по видам технического обслуживания)</t>
  </si>
  <si>
    <t>Сообщения о принятии решения о реорганизации от 18.06.2021</t>
  </si>
  <si>
    <t>"223 за 3 года", ".", "fk1", "все клиенты с выручкой от 1,8 млрд до бесконечности", "Обороты по клиентам по кварталам (2022г)", "поставщики маркер"</t>
  </si>
  <si>
    <t>11.07.1 Воды минеральные и безалкогольные напитки
10.82.23 Изделия кондитерские сахаристые (включая белый шоколад), не содержащие какао
10.73.11 Изделия макаронные и аналогичные мучные изделия
11.07.19 Напитки безалкогольные прочие</t>
  </si>
  <si>
    <t>"223 за 3 года", ".", "поставщики маркер", "44 за 3 года"</t>
  </si>
  <si>
    <t>10.32.1 Соки из фруктов и овощей
10.32.19.111 Соки из фруктов прямого отжима прочие
46.37.10.000 Услуги по оптовой торговле кофе, чаем, какао и пряностями
10.32.17.130 Смеси фруктовых и овощных соков
10.32.18.111 Соки фруктовые диффузионные из свежих фруктов
46.36.13.000 Услуги по оптовой торговле шоколадом и сахаристыми кондитерскими изделиями
10.82.2 Шоколад и кондитерские сахаристые изделия
10.32.16 Сок яблочный
10.8 Продукты пищевые прочие
11.05.10 Пиво, кроме отходов пивоварения ****</t>
  </si>
  <si>
    <t>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t>
  </si>
  <si>
    <t>на фт заводил Козлова.xlsx</t>
  </si>
  <si>
    <t>"44 за 3 года", "свод фт", ".", "на фт заводил Козлова", "поставщики маркер"</t>
  </si>
  <si>
    <t>10.86.10.243 Соки фруктовые и фруктово-овощные для детского питания
01.24.29.110 Черешня
10.13.14.119 Изделия колбасные вареные мясные прочие
10.20.14.110 Филе пресноводной рыбы мороженое
01.13.12.120 Капуста белокочанная
01.13.42.000 Чеснок
10.31.13.110 Хлопья и гранулы из картофеля, в том числе из сушеного картофеля
10.84.30.140 Соль пищевая молотая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10.39.23.000 Орехи, арахис (земляные орехи), обжаренные, соленые или приготовленные другим способом ****</t>
  </si>
  <si>
    <t>1 330</t>
  </si>
  <si>
    <t>За весь период компания заключила  65 контрактов на сумму  5 484 431 029,76 ? За весь период заходили в конкурсы  167 раз на общую сумму обеспеченных контрактов с НМЦ 17 535 926 360,01 ? с БГУ  688 185 555,62 ? с БГИ 1 655 044 528,54 ? За 3 ГОДА по 44ФЗ заключено 15 шт. с объемом НМЦ  22 287 971 352,94 ? с БГИ 2 228 697 543,84 ? с БГГО 0,00 ? с авансированием до 0,00 ? с комиссией банку 75 293 297,25 ? с кв 655 051,69 ? ЗА 1 ГОД по 44ФЗ заключено 5 шт. c объемом НМЦ 12 883 453 566,95 ? с БГИ 1 288 345 356,76 ? с БГГО 0,00 ? с авансированием до  0,00 ? с комиссией банку  53 866 025,26 ? с кв 468 634,42 ?</t>
  </si>
  <si>
    <t>Юридическое лицо находится в процессе реорганизации в форме присоединения к другому юридическому лицу от 27.01.2023, Сообщения о принятии решения о реорганизации от 03.02.2023</t>
  </si>
  <si>
    <t>"44 за 3 года", ".", "рейтинг поставщиков в маркере по бг", "клиент металлинвеста", "Конкурсы 100+ (Восстановленный)", "все клиенты с выручкой от 1,8 млрд до бесконечности", "44 фз с с БГ от 10 млн", "производители", "рейтинг по нмц маркер"</t>
  </si>
  <si>
    <t>24.45.30.140 Магний и изделия из него, сплавы на основе магния, порошки
24.42.22.139 Профили прочие из алюминия или алюминиевых сплавов
24.45.30.144 Листы и плиты магниевые
24.45.30.147 Поковки, штамповки, кольца магниевые
24.42.22.111 Прутки из алюминия и алюминиевых сплавов круглого сечения
24.42 Алюминий
24.42.23.000 Проволока алюминиевая
25.50.20.110 Услуги по производству металлических изделий непосредственно из металлических порошков путем термической обработки (спекания) или под давлением (прессованием)
24.10.23.190 Полуфабрикаты прочие из прочих легированных сталей
24.42.26.110 Трубы алюминиевые ****</t>
  </si>
  <si>
    <t>За весь период компания заключила  3 контрактов на сумму  1 028 162 194,40 ?                                     ЗА 3 ГОДА ПО 223 ФЗ заключено 7 шт. с объемом НМЦ 49 548 150,00 ?</t>
  </si>
  <si>
    <t>10.32.24 Вещества натуральные ароматообразующие
10.89.19.300 Закваски для пищевой продукции</t>
  </si>
  <si>
    <t>35.14.10.000 Услуги по торговле электроэнергией
35.11.10.116 Электроэнергия, произведенная гидроэлектростанциями (ГЭС) общего назначения</t>
  </si>
  <si>
    <t>За весь период компания заключила  6 контрактов на сумму  21 405 579 557,81 ?</t>
  </si>
  <si>
    <t>"поставщики маркер", ".", "рейтинг заказчиков маркер", "рейтинг по нмц маркер", "это заказчик"</t>
  </si>
  <si>
    <t>ПОС на 03.04.2528</t>
  </si>
  <si>
    <t>"Обороты по клиентам по кварталам (2022г)", ".", "выдали", "fk1", "ПОС на 03.04.2023", "Кредитный портфель_01.11", "все клиенты с выручкой от 1,8 млрд до бесконечности"</t>
  </si>
  <si>
    <t>1 896</t>
  </si>
  <si>
    <t>11.0 Напитки
11.01 Напитки алкогольные дистиллированные и ректификованные
11.02.1 Вина виноградные, в том числе из свежего винограда; сусло виноградное
11.02.12.111 Вино столовое
11.02 Вина виноградные
11.02.11.111 Вино игристое (в том числе жемчужное)</t>
  </si>
  <si>
    <t>"ФК клиенты с выручкой от 230 до бесконечности", ".", "fk1", "Действующий клиент мсб с выр от 30 млн на 05.21", "все клиенты с выручкой от 1,8 млрд до бесконечности"</t>
  </si>
  <si>
    <t>33.17 Услуги по ремонту и техническому обслуживанию прочих транспортных средств и оборудования
29.10.59.130 Средства транспортные для коммунального хозяйства и содержания дорог
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45.32 Услуги по розничной торговле автомобильными деталями, узлами и принадлежностями
77.32 Услуги по аренде и лизингу строительных машин и оборудования для гражданского строительства
29.32.30.240 Передачи карданные, валы приводные, шарниры неравных и равных угловых скоростей
33.12.29.900 Услуги по ремонту и техническому обслуживанию прочего оборудования специального назначения, не включенные в другие группировки
28.92.6 Части оборудования для добычи полезных ископаемых подземным и открытым способами и строительства
28.92.61.120 Комплектующие (запасные части) машин для выемки грунта, не имеющие самостоятельных группировок
33.19.10.000 Услуги по ремонту прочего оборудования ****</t>
  </si>
  <si>
    <t>За весь период компания заключила  6 контрактов на сумму  1 325 078 863,59 ? За весь период заходили в конкурсы  10 раз на общую сумму обеспеченных контрактов с НМЦ 2 115 075 531,97 ? с БГУ  53 993 041,25 ? с БГИ 243 593 776,52 ?</t>
  </si>
  <si>
    <t>"223 за 3 года", ".", "рейтинг поставщиков в маркере по бг", "все клиенты с выручкой от 1,8 млрд до бесконечности", "рейтинг по нмц маркер"</t>
  </si>
  <si>
    <t>за 1 ГОД ПО 223ФЗ заключено 1  3 887 000,00 ?</t>
  </si>
  <si>
    <t>"поставщики маркер", ".", "Участники клиринга", "производители"</t>
  </si>
  <si>
    <t>27.20.22.000 Аккумуляторы свинцовые, кроме используемых для запуска поршневых двигателей
26.20.18.000 Устройства периферийные с двумя или более функциями: печать данных, копирование, сканирование, прием и передача факсимильных сообщений
27.12.23.000 Устройства защиты электрических цепей на напряжение не более 1 кВ, не включенные в другие группировки
27.20.23.130 Батареи аккумуляторные литий-ионные
26.30.30.000 Части и комплектующие коммуникационного оборудования
62.01 Продукты программные и услуги по разработке и тестированию программного обеспечения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62.09.20.190 Услуги по технической поддержке в области информационных технологий прочие, не включенные в другие группировки ****</t>
  </si>
  <si>
    <t>За весь период заходили в конкурсы  2 раз на общую сумму обеспеченных контрактов с НМЦ 265 180 949,00 ? с БГУ  13 374 680,00 ? с БГИ 80 248 080,00 ?</t>
  </si>
  <si>
    <t>"223 за 3 года", "кл фт агент бг 04.22", ".", "рейтинг поставщиков в маркере по бг", "инн Ленинградка", "БГ ФБ ЮР лица на 01.07.2021", "Гарантии ФБ банкроты", "филиал бизнес 31.01.22 ",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"поставщики маркер", "44 за 3 года"</t>
  </si>
  <si>
    <t>Заказчик разыгравший 7 конкурсов на сумму  785 228 856,34 ?</t>
  </si>
  <si>
    <t>"поставщики маркер", ".", "fk1", "все клиенты с выручкой от 1,8 млрд до бесконечности", "рейтинг заказчиков маркер", "это заказчик"</t>
  </si>
  <si>
    <t>22.22.19.000 Изделия упаковочные пластмассовые прочие
21.20.23.199 Средства нелечебные прочие
21 Средства лекарственные и материалы, применяемые в медицинских целях
21.20.10.118 Препараты, способствующие пищеварению, включая ферментные препараты
21.20.10.133 Препараты антианемические
21.20.10.191 Препараты антибактериальные для системного использования
21.20.10.213 Иммуномодуляторы
21.20.10.251 Препараты назальные
21.20.23.190 Препараты фармацевтические прочие
21.20.23.195 Средства хирургической десмургии ****</t>
  </si>
  <si>
    <t>За весь период компания заключила  15 контрактов на сумму  973 379 659,99 ? За весь период заходили в конкурсы  45 раз на общую сумму обеспеченных контрактов с НМЦ 3 412 736 799,37 ? с БГУ  46 181 322,42 ? с БГИ 318 826 726,66 ? За 3 ГОДА по 44ФЗ заключено 543 шт. с объемом НМЦ  6 723 079 312,51 ? с БГИ 584 670 763,48 ? с БГГО 20 871 245,46 ? с авансированием до 598 478,43 ? с комиссией банку 5 885 199,28 ? с кв 51 201,23 ? ЗА 1 ГОД по 44ФЗ заключено 175 шт. c объемом НМЦ 1 941 870 263,44 ? с БГИ 201 163 079,04 ? с БГГО 68 544,00 ? с авансированием до  111 024,00 ? с комиссией банку  2 427 183,42 ? с кв 21 116,50 ? ЗА 3 ГОДА ПО 223 ФЗ заключено 35 шт. с объемом НМЦ 351 941 543,11 ? за 1 ГОД ПО 223ФЗ заключено 7  73 515 692,50 ?</t>
  </si>
  <si>
    <t>"223 за 3 года", ".", "рейтинг поставщиков в маркере по бг", "БизФин", "223 фз контракты 20+", "44 фз с с БГ от 10 млн", "рейтинг по нмц маркер", "поставщики маркер", "44 за 3 года"</t>
  </si>
  <si>
    <t>58.29.50 Услуги по предоставлению лицензий на право использовать компьютерное программное обеспечение
62.01 Продукты программные и услуги по разработке и тестированию программного обеспечения
62.09.20.190 Услуги по технической поддержке в области информационных технологий прочие, не включенные в другие группировки
85.13.12.000 Услуги в области основного общего образования прочие
63.11.30.000 Место или время для рекламы в информационно-коммуникационной сети Интернет
63.11.11.000 Услуги по обработке данных</t>
  </si>
  <si>
    <t>За весь период контрактов 3 шт. на общую сумму НМЦ 679 285 000,00 ?</t>
  </si>
  <si>
    <t>"223 за 3 года", ".", "рейтинг поставщиков в маркере по бг", "ушедшие", "все клиенты с выручкой от 1,8 млрд до бесконечности", "рейтинг заказчиков маркер", "рейтинг по нмц маркер", "это заказчик", "поставщики маркер", "44 за 3 года"</t>
  </si>
  <si>
    <t>21.20.23.110 Реагенты диагностические
21.20.23.113 Средства радиофармацевтические диагностические
20.59.52.199 Реагенты сложные диагностические или лабораторные прочие, не включенные в другие группировки
21.20.10.133 Препараты антианемические
21.20.10.213 Иммуномодуляторы
32.50.13.190 Инструменты и приспособления, применяемые в медицинских целях, прочие, не включенные в другие группировки
20.59.52.194 Реактивы химические общелабораторного назначения
21.20.10 Препараты лекарственные
21.20.10.132 Гемостатики
21.20.10.194 Препараты противовирусные для системного применения ****</t>
  </si>
  <si>
    <t>За весь период компания заключила  11 контрактов на сумму  728 085 331,59 ? За весь период заходили в конкурсы  41 раз на общую сумму обеспеченных контрактов с НМЦ 3 495 671 767,60 ? с БГУ  125 727 212,57 ? с БГИ 369 114 083,50 ? За 3 ГОДА по 44ФЗ заключено 529 шт. с объемом НМЦ  6 017 128 927,84 ? с БГИ 609 100 581,33 ? с БГГО 10 379 483,98 ? с авансированием до 0,00 ? с комиссией банку 7 863 918,16 ? с кв 68 416,09 ? ЗА 1 ГОД по 44ФЗ заключено 220 шт. c объемом НМЦ 2 618 212 130,86 ? с БГИ 269 552 073,07 ? с БГГО 0,00 ? с авансированием до  0,00 ? с комиссией банку  4 192 393,92 ? с кв 36 473,83 ? ЗА 3 ГОДА ПО 223 ФЗ заключено 26 шт. с объемом НМЦ 93 306 754,90 ? за 1 ГОД ПО 223ФЗ заключено 3  16 363 655,00 ?</t>
  </si>
  <si>
    <t>"223 за 3 года", ".", "рейтинг поставщиков в маркере по бг", "все клиенты с выручкой от 1,8 млрд до бесконечности", "рейтинг по нмц маркер", "crm управления", "в crm за Чимровым", "поставщики маркер", "44 за 3 года"</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</si>
  <si>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35.13.10.000 Услуги по распределению электроэнергии
35.11.10.114 Электроэнергия, произведенная дизельными электростанциями (ДЭС) общего назначения
35.14.10.000 Услуги по торговле электроэнергией
35.11.10.116 Электроэнергия, произведенная гидроэлектростанциями (ГЭС) общего назначения
35.11.10.119 Электроэнергия, произведенная нетиповыми электростанциями общего назначения
35.30.11.110 Энергия тепловая, отпущенная электростанциями
35.11.10.149 Электроэнергия, произведенная прочими электростанциями от возобновляемых источников энергии
35.12.10.110 Услуги по передаче электроэнергии ****</t>
  </si>
  <si>
    <t>56.10.19.119 Услуги прочих предприятий быстрого питания без предоставления мест для сидения
56.29.20.120 Услуги школьных столовых и кухонь
56.10.11.129 Услуги прочих предприятий питания с полным обслуживанием без сопровождения развлекательных программ
56.29.19.000 Услуги по обеспечению питанием, осуществляемые по договору, прочие</t>
  </si>
  <si>
    <t>2 462</t>
  </si>
  <si>
    <t>За весь период компания заключила  114 контрактов на сумму  19 273 282 849,23 ? За весь период заходили в конкурсы  377 раз на общую сумму обеспеченных контрактов с НМЦ 31 986 205 325,53 ? с БГУ  2 060 270 882,80 ? с БГИ 4 317 071 916,57 ? За 3 ГОДА по 44ФЗ заключено 24 шт. с объемом НМЦ  24 701 570 247,26 ? с БГИ 2 469 657 027,86 ? с БГГО 0,00 ? с авансированием до 0,00 ? с комиссией банку 79 024 978,08 ? с кв 687 517,31 ? ЗА 1 ГОД по 44ФЗ заключено 6 шт. c объемом НМЦ 7 692 129 440,73 ? с БГИ 768 712 947,12 ? с БГГО 0,00 ? с авансированием до  0,00 ? с комиссией банку  31 815 273,87 ? с кв 276 792,88 ?</t>
  </si>
  <si>
    <t>"44 за 3 года", ".", "рейтинг поставщиков в маркере по бг", "fk1", "ПОС на 01.02.2023", "корп 2", "ПОС на 03.04.2023",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"производители", "рейтинг по нмц маркер"</t>
  </si>
  <si>
    <t>21.20.21.132 Вакцины бактериальные инактивированные профилактические, применяемые в ветеринарии
21.20.23.199 Средства нелечебные прочие
21 Средства лекарственные и материалы, применяемые в медицинских целях
10.91.10.170 Премиксы
21.20.23.190 Препараты фармацевтические прочие
21.20.10.243 Препараты для уничтожения эктопаразитов (включая чесоточного клеща), инсектициды и репелленты
10.91.10.173 Премиксы для птиц
21.20.21.139 Вакцины прочие, применяемые в ветеринарии
21.1 Субстанции фармацевтические
21.20.10.240 Препараты противопаразитарные, инсектициды и репелленты ****</t>
  </si>
  <si>
    <t>22.29 Изделия пластмассовые прочие
21.20.23.199 Средства нелечебные прочие
13.99 Изделия текстильные прочие, не включенные в другие группировки
21 Средства лекарственные и материалы, применяемые в медицинских целях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21.10.60.194 Культуры микроорганизмов (кроме дрожжей)
21.20.10.118 Препараты, способствующие пищеварению, включая ферментные препараты
21.20.10.133 Препараты антианемические
21.20.10.155 Препараты для лечения псориаза ****</t>
  </si>
  <si>
    <t>За весь период компания заключила  6 контрактов на сумму  9 918 000 000,00 ?                                     ЗА 3 ГОДА ПО 223 ФЗ заключено 13 шт. с объемом НМЦ 3 147 500 000,00 ?</t>
  </si>
  <si>
    <t>77.39.19.110 Услуги по аренде и лизингу прочих машин и оборудования без оператора, не включенных в другие группировки</t>
  </si>
  <si>
    <t>Сообщения о принятии решения о реорганизации от 01.02.2022</t>
  </si>
  <si>
    <t>35.30.11.120 Энергия тепловая, отпущенная котельными
35.30.11.111 Энергия тепловая, отпущенная тепловыми электроцентралями (ТЭЦ)</t>
  </si>
  <si>
    <t>"поставщики маркер", ".", "Премия 4 кв 22 г.бг", "все клиенты с выручкой от 1,8 млрд до бесконечности", "на фт заводил Кашин"</t>
  </si>
  <si>
    <t>62.01 Продукты программные и услуги по разработке и тестированию программного обеспечения
63.99.10.190 Услуги информационные автоматизированные компьютерные прочие, не включенные в другие группировки
62 Продукты программные и услуги по разработке программного обеспечения; консультационные и аналогичные услуги в области информационных технологий
63.11.19.000 Услуги прочие по размещению и предоставлению инфраструктуры информационных технологий
58.2 Услуги по изданию программного обеспечения
58.29.50.000 Услуги по предоставлению лицензий на право использовать компьютерное программное обеспечение
62.01.11.000 Услуги по проектированию и разработке информационных технологий для прикладных задач и тестированию программного обеспечения
62.02.30.000 Услуги по технической поддержке информационных технологий
63.11.11.000 Услуги по обработке данных</t>
  </si>
  <si>
    <t>За весь период компания заключила  3 контрактов на сумму  1 339 787 995,00 ? За весь период заходили в конкурсы  5 раз на общую сумму обеспеченных контрактов с НМЦ 1 536 760 755,70 ? с БГУ  24 877 367,86 ? с БГИ 204 927 105,32 ? За 3 ГОДА по 44ФЗ заключено 8 шт. с объемом НМЦ  1 131 870 726,15 ? с БГИ 112 401 447,50 ? с БГГО 36 959,47 ? с авансированием до 0,00 ? с комиссией банку 1 786 438,53 ? с кв 15 542,02 ?               ЗА 3 ГОДА ПО 223 ФЗ заключено 4 шт. с объемом НМЦ 135 155 236,67 ?</t>
  </si>
  <si>
    <t>Сообщения о принятии решения о реорганизации от 21.04.2021</t>
  </si>
  <si>
    <t>"на фт заводил Козлова", "кл фт прямые бг 04.22", "свод фт", ".", "ФТ клиенты с продуктами по сотрудникам", "производители"</t>
  </si>
  <si>
    <t>1 175</t>
  </si>
  <si>
    <t>74.9 Услуги профессиональные, научные и технические, прочие, не включенные в другие группировки
33.12 Услуги по ремонту оборудования
33.17.11 Услуги по ремонту и техническому обслуживанию железнодорожных локомотивов и подвижного состава
74 Услуги профессиональные, научные и технические, прочие
30.20.91.000 Услуги по восстановлению и оснащению (завершению) железнодорожных локомотивов, трамвайных моторных вагонов и прочего подвижного состава</t>
  </si>
  <si>
    <t>ЗА 3 ГОДА ПО 223 ФЗ заключено 8 шт. с объемом НМЦ 21 375 084,40 ? за 1 ГОД ПО 223ФЗ заключено 1  8 100 000,00 ?</t>
  </si>
  <si>
    <t>"223 за 3 года", ".", "рейтинг заказчиков маркер", "производители", "рейтинг по нмц маркер", "поставщики маркер"</t>
  </si>
  <si>
    <t>10.61.33.140 Продукты из зерновых хлопьев готовые взорванные или необжаренные или их смесей с обжаренными зерновыми хлопьями</t>
  </si>
  <si>
    <t>Сообщения о принятии решения о реорганизации от 31.12.2020</t>
  </si>
  <si>
    <t>Сообщения о принятии решения о реорганизации от 18.07.2022</t>
  </si>
  <si>
    <t>3 912</t>
  </si>
  <si>
    <t>35.11.10.112 Электроэнергия, произведенная теплоэлектроцентралями (ТЭЦ) общего назначения
35.22.10.110 Услуги по распределению и снабжению газовым топливом всех видов по системам распределительных трубопроводов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36.00.30.000 Услуги по торговле водой, поставляемой по трубопроводам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t>
  </si>
  <si>
    <t>2 085</t>
  </si>
  <si>
    <t>За 3 года по 223ФЗ заключено  24 шт контрактов на сумму 32 557 161,67 ?</t>
  </si>
  <si>
    <t>Юридическое лицо находится в процессе реорганизации в форме присоединения к нему других юридических лиц от 30.03.2023, Сообщения о принятии решения о реорганизации от 27.03.2023</t>
  </si>
  <si>
    <t>05 Уголь
05.10.10.130 Уголь, за исключением антрацита, угля коксующегося и угля бурого
05.10.10.136 Уголь марки СС - слабоспекающийся
05.20.10.110 Уголь бурый рядовой (лигнит)
05.10.10.131 Уголь марки Д - длиннопламенный</t>
  </si>
  <si>
    <t>За весь период компания заключила  4 контрактов на сумму  641 909 238,00 ? За весь период заходили в конкурсы  3 раз на общую сумму обеспеченных контрактов с НМЦ 213 555 000,00 ? с БГУ  4 140 000,00 ? с БГИ 20 700 000,00 ?               ЗА 1 ГОД по 44ФЗ заключено 10 шт. c объемом НМЦ 39 509 188,62 ? с БГИ 15 155 697,99 ? с БГГО 0,00 ? с авансированием до  14 664 353,92 ? с комиссией банку  59 683,44 ? с кв 519,25 ?</t>
  </si>
  <si>
    <t>"44 за 3 года", ".", "рейтинг поставщиков в маркере по бг", "44 фз с с БГ от 10 млн", "рейтинг по нмц маркер", "поставщики маркер"</t>
  </si>
  <si>
    <t>52.22.19.191 Услуги, связанные с морским транспортом, прочие
35.30.12.110 Услуги по приготовлению воды на нужды горячего водоснабжения
52.22.11.000 Услуги по эксплуатации портов и водных путей (кроме обработки грузов) в морских и прибрежных водах
52.22.19.190 Услуги, связанные с водным транспортом, прочие
35.30.11.120 Энергия тепловая, отпущенная котельными
35.30.12.130 Услуги по транспортированию горячей воды
35.30.11.111 Энергия тепловая, отпущенная тепловыми электроцентралями (ТЭЦ)
52.22.13.120 Услуги по постановке судов к причалу в морских и прибрежных водах
68.20.12.000 Услуги по сдаче в аренду (внаем) собственных или арендованных нежилых помещений
37.00.11.120 Услуги по транспортированию сточных вод ****</t>
  </si>
  <si>
    <t>1 147</t>
  </si>
  <si>
    <t>Заказчик разыгравший 25 конкурсов на сумму  7 863 955 661,26 ?</t>
  </si>
  <si>
    <t>"поставщики маркер", ".", "все клиенты с выручкой от 1,8 млрд до бесконечности", "Участники клиринга", "рейтинг заказчиков маркер", "это заказчик"</t>
  </si>
  <si>
    <t>10.31.13.110 Хлопья и гранулы из картофеля, в том числе из сушеного картофеля
11.07.1 Воды минеральные и безалкогольные напитки
19.20.29.111 Масла универсальные
10.73.11.110 Макароны
10.82.23 Изделия кондитерские сахаристые (включая белый шоколад), не содержащие какао
10.89.11 Супы; бульоны и заготовки для их приготовления
19.20.2 Топливо жидкое и газообразное; масла смазочные
20.59.43.110 Жидкости тормозные для гидравлических передач
10 Продукты пищевые
19.20.29 Масла нефтяные смазочные; дистилляты тяжелые, не включенные в другие группировки ****</t>
  </si>
  <si>
    <t>Сообщения о принятии решения о реорганизации от 16.10.2020</t>
  </si>
  <si>
    <t>За весь период компания заключила  2 контрактов на сумму  944 120 000,00 ?</t>
  </si>
  <si>
    <t>"это заказчик", ".", "рейтинг по нмц маркер"</t>
  </si>
  <si>
    <t>20.30.12.120 Краски на основе сложных полиэфиров, акриловых или виниловых полимеров в неводной среде
20.30.12.140 Грунтовки на основе сложных полиэфиров, акриловых или виниловых полимеров в неводной среде
20.30.21.130 Краски, эмали и глазури стекловидные
49.41.1 Услуги по грузовым перевозкам автомобильным транспортом
20.30.22.110 Материалы лакокрасочные для нанесения покрытий прочие</t>
  </si>
  <si>
    <t>52.29.19.110 Услуги по экспедированию грузов
49.31.21 Услуги по регулярным перевозкам пассажиров сухопутным транспортом прочие</t>
  </si>
  <si>
    <t>"223 за 3 года", ".", "fk1", "корп 2", "все клиенты с выручкой от 1,8 млрд до бесконечности", "ФК клиенты с выручкой от 230 до бесконечности", "Обороты по клиентам по кварталам (2022г)"</t>
  </si>
  <si>
    <t>35.11.10.112 Электроэнергия, произведенная теплоэлектроцентралями (ТЭЦ) общего назначения
42.22 Сооружения и строительные работы по строительству коммунальных объектов для электроснабжения и связи
35.30.11.111 Энергия тепловая, отпущенная тепловыми электроцентралями (ТЭЦ)
68.20.12.000 Услуги по сдаче в аренду (внаем) собственных или арендованных нежилых помещений
84.11.29.000 Услуги, обеспечивающие деятельность органов государственного управления, прочие
35.12.10.110 Услуги по передаче электроэнергии</t>
  </si>
  <si>
    <t>1 898</t>
  </si>
  <si>
    <t>За весь период компания заключила  3 контрактов на сумму  550 259 877,00 ?</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</si>
  <si>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35.11.10.130 Электроэнергия, произведенная локальными электростанциями (не работающими в энергосистеме)
35.12.10.120 Услуги по технологическому присоединению к распределительным электросетям
35.13.10.000 Услуги по распределению электроэнергии
35.14.10.000 Услуги по торговле электроэнергией
35.11.10.116 Электроэнергия, произведенная гидроэлектростанциями (ГЭС) общего назначения
35.11.10.119 Электроэнергия, произведенная нетиповыми электростанциями общего назначения
35.12.10 Услуги по передаче электроэнергии и технологическому присоединению к распределительным электросетям
35.11.10.111 Электроэнергия, произведенная конденсационными электростанциями (КЭС) общего назначения ****</t>
  </si>
  <si>
    <t>Заказчик разыгравший 12 конкурсов на сумму  964 546 326,72 ?</t>
  </si>
  <si>
    <t>"223 за 3 года", ".", "все клиенты с выручкой от 1,8 млрд до бесконечности", "рейтинг заказчиков маркер", "производители", "это заказчик", "поставщики маркер"</t>
  </si>
  <si>
    <t>22.22.14.000 Бутыли, бутылки, флаконы и аналогичные изделия из пластмасс
22.22.19.000 Изделия упаковочные пластмассовые прочие</t>
  </si>
  <si>
    <t>68.2 Услуги по сдаче в аренду (внаем) собственного или арендованного недвижимого имущества
71.12.40.120 Услуги в области метрологии
72.19.50.000 Работы оригинальные научных исследований и экспериментальных разработок в области естественных и технических наук, кроме биотехнологии
74.90.13.000 Услуги консультативные в области окружающей среды
71.20.19.150 Услуги по оценке соответствия в области использования атомной энергии
72.19.29.110 Услуги (работы), связанные с научными исследованиями и разработками в области защиты информации
72.19.29.122 Услуги по проведению опытно-конструкторских работ в области использования атомной энергии
84.25.11.135 Услуги по предотвращению и ликвидации последствий аварий на объектах использования атомной энергии (в том числе при транспортировании (перевозке) ядерных материалов, радиоактивных веществ и изделий из них)
85.42.19.900 Услуги по профессиональному обучению прочие
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 ****</t>
  </si>
  <si>
    <t>За весь период компания заключила  32 контрактов на сумму  6 060 435 774,04 ? За весь период заходили в конкурсы  2 раз на общую сумму обеспеченных контрактов с НМЦ 0,00 ? с БГУ  10 804 000,00 ? с БГИ 64 824 000,00 ?                             ЗА 3 ГОДА ПО 223 ФЗ заключено 76 шт. с объемом НМЦ 1 396 812 701,09 ? за 1 ГОД ПО 223ФЗ заключено 23  565 787 622,05 ?</t>
  </si>
  <si>
    <t>"223 за 3 года", ".", "рейтинг поставщиков в маркере по бг",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 "44 за 3 года"</t>
  </si>
  <si>
    <t>71.20.1 Услуги в области технических испытаний, исследований и анализа
58.29.50 Услуги по предоставлению лицензий на право использовать компьютерное программное обеспечение
71.20.19 Услуги по техническим испытаниям и анализу прочие
71.12 Услуги в области инженерно-технического проектирования и связанные технические консультативные услуги
33.1 Услуги по ремонту металлоизделий, машин и оборудования
74.90.12.125 Услуги по установлению рыночной или иной стоимости работ, услуг, информации
30.20.40.149 Комплектующие (запасные части) прочего подвижного состава, не включенного в другие группировки, не имеющие самостоятельных группировок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71.20.19.112 Услуги по проведению негосударственной экспертизы проектной документации и результатов инженерных изысканий
30.20.33 Вагоны железнодорожные или трамвайные грузовые и вагоны-платформы, несамоходные ****</t>
  </si>
  <si>
    <t>За весь период контрактов 15 шт. на общую сумму НМЦ 1 480 620 837,97 ?</t>
  </si>
  <si>
    <t>"223 за 3 года", ".", "fk1", "инн Красносельская", "ушедшие", "06.2022_ФинХД", "клиенты с в от100млн 09.21", "все клиенты с выручкой от 1,8 млрд до бесконечности", "ФК клиенты с выручкой от 230 до бесконечности", "рейтинг заказчиков маркер", "производители", "рейтинг по нмц маркер", "это заказчик", "поставщики маркер"</t>
  </si>
  <si>
    <t>01.13.42.000 Чеснок
10.84.22.110 Перец черный дробленый или молотый
10.12.20.110 Мясо кур, в том числе цыплят (включая цыплят-бройлеров) замороженное
10.13.14.612 Продукты из мяса свиные
52.29.20.000 Услуги транспортные вспомогательные прочие, не включенные в другие группировки
10.89.19.150 Добавки пищевые комплексные
10.11.32.110 Свинина замороженная
68.20.12.000 Услуги по сдаче в аренду (внаем) собственных или арендованных нежилых помещений
01.13.43.110 Лук репчатый
01.46.10.500 Свиньи для убоя ****</t>
  </si>
  <si>
    <t>1 400</t>
  </si>
  <si>
    <t>За весь период компания заключила  1 контрактов на сумму  11 346 751 485,02 ?</t>
  </si>
  <si>
    <t>"поставщики маркер", ".", "все клиенты с выручкой от 1,8 млрд до бесконечности", "Участники клиринга", "рейтинг заказчиков маркер", "рейтинг по нмц маркер", "это заказчик"</t>
  </si>
  <si>
    <t>За весь период контрактов 6 шт. на общую сумму НМЦ 14 858 982 528,93 ?</t>
  </si>
  <si>
    <t>"поставщики маркер", ".", "все клиенты с выручкой от 1,8 млрд до бесконечности", "рейтинг заказчиков маркер", "производители", "рейтинг по нмц маркер", "это заказчик"</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</si>
  <si>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36.00.20.140 Услуги по техническому обслуживанию приборов учета расхода воды
37.0 Услуги по водоотведению; шлам сточных вод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36.00.20 Услуги по очистке вод и распределению воды по водопроводам
36.00 Вода природная; услуги по очистке воды и водоснабжению ****</t>
  </si>
  <si>
    <t>за 1 ГОД ПО 223ФЗ заключено 12  8 452 333,86 ?</t>
  </si>
  <si>
    <t>"223 за 3 года", ".", "все клиенты с выручкой от 1,8 млрд до бесконечности", "рейтинг заказчиков маркер", "это заказчик", "поставщики маркер", "44 за 3 года"</t>
  </si>
  <si>
    <t>10.61.21.110 Мука пшеничная
10.81.12.110 Сахар белый свекловичный в твердом состоянии без вкусоароматических или красящих добавок</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</si>
  <si>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36.00.1 Вода природная
36.00.20.140 Услуги по техническому обслуживанию приборов учета расхода воды
37.0 Услуги по водоотведению; шлам сточных вод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t>
  </si>
  <si>
    <t>За весь период компания заключила  46 контрактов на сумму  14 228 422 325,92 ? За весь период заходили в конкурсы  1 раз на общую сумму обеспеченных контрактов с НМЦ 71 471 150,00 ? с БГУ  4 764 742,24 ? с БГИ 19 058 968,95 ?                             ЗА 3 ГОДА ПО 223 ФЗ заключено 263 шт. с объемом НМЦ 562 759 818,90 ? за 1 ГОД ПО 223ФЗ заключено 171  478 281 111,89 ?</t>
  </si>
  <si>
    <t>"223 за 3 года", ".", "рейтинг поставщиков в маркере по бг", "беники", "все клиенты с выручкой от 1,8 млрд до бесконечности", "223 фз контракты 20+", "рейтинг заказчиков маркер", "рейтинг по нмц маркер", "это заказчик", "поставщики маркер", "44 за 3 года"</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</si>
  <si>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36.00.20 Услуги по очистке вод и распределению воды по водопроводам
36.00 Вода природная; услуги по очистке воды и водоснабжению
37.00.11.130 Услуги по подключению (технологическому присоединению) к централизованной системе водоотведения ****</t>
  </si>
  <si>
    <t>За весь период заходили в конкурсы  14 раз на общую сумму обеспеченных контрактов с НМЦ 419 484 753,18 ? с БГУ  4 582 347,94 ? с БГИ 137 470 438,20 ? За 3 ГОДА по 44ФЗ заключено 8 шт. с объемом НМЦ  360 023 367,60 ? с БГИ 107 618 521,48 ? с БГГО 0,00 ? с авансированием до 0,00 ? с комиссией банку 1 855 047,91 ? с кв 16 138,92 ?</t>
  </si>
  <si>
    <t>43.22 Работы по монтажу систем водопровода, канализации, отопления и кондиционирования воздуха
37.00.11.110 Услуги по водоотведению сточных вод
36.00.1 Вода природная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36.00.20 Услуги по очистке вод и распределению воды по водопроводам
37 Услуги по водоотведению; шлам сточных вод ****</t>
  </si>
  <si>
    <t>За весь период компания заключила  13 контрактов на сумму  7 483 084 062,28 ? За весь период заходили в конкурсы  1 раз на общую сумму обеспеченных контрактов с НМЦ 90 787 217,40 ? с БГУ  4 585 213,00 ? с БГИ 9 170 426,00 ?                             ЗА 3 ГОДА ПО 223 ФЗ заключено 30 шт. с объемом НМЦ 89 778 424,17 ? за 1 ГОД ПО 223ФЗ заключено 15  25 139 631,79 ?</t>
  </si>
  <si>
    <t>"223 за 3 года", ".", "рейтинг поставщиков в маркере по бг", "все клиенты с выручкой от 1,8 млрд до бесконечности", "рейтинг заказчиков маркер", "производители", "рейтинг по нмц маркер", "это заказчик", "поставщики маркер"</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</si>
  <si>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84.12.13.000 Услуги государственного управления в области жилищного строительства и коммунального хозяйства
36.00 Вода природная; услуги по очистке воды и водоснабжению
36.00.2 Услуги по очистке вод и распределению воды по водопроводам
37.00.11.130 Услуги по подключению (технологическому присоединению) к централизованной системе водоотведения ****</t>
  </si>
  <si>
    <t>Заказчик разыгравший 30 конкурсов на сумму  13 952 045 437,55 ?</t>
  </si>
  <si>
    <t>"223 за 3 года", ".", "все клиенты с выручкой от 1,8 млрд до бесконечности", "ФК клиенты с выручкой от 230 до бесконечности", "рейтинг заказчиков маркер", "рейтинг по нмц маркер", "это заказчик", "поставщики маркер"</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</si>
  <si>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35.11.10.112 Электроэнергия, произведенная теплоэлектроцентралями (ТЭЦ) общего назначения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35.11.10.110 Электроэнергия, произведенная электростанциями общего назначения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43.39.19.190 Работы завершающие и отделочные в зданиях и сооружениях, прочие, не включенные в другие группировки
35.12.10.120 Услуги по технологическому присоединению к распределительным электросетям ****</t>
  </si>
  <si>
    <t>Заказчик разыгравший 89 конкурсов на сумму  11 694 040 760,18 ?</t>
  </si>
  <si>
    <t>"223 за 3 года", ".", "все клиенты с выручкой от 1,8 млрд до бесконечности", "рейтинг заказчиков маркер", "рейтинг по нмц маркер", "это заказчик", "поставщики маркер", "44 за 3 года"</t>
  </si>
  <si>
    <t>28.13.14.110 Насосы центробежные подачи жидкостей прочие
43.22 Работы по монтажу систем водопровода, канализации, отопления и кондиционирования воздуха
28.12.13.190 Насосы гидравлические прочие
28.14.11.129 Арматура регулирующая прочая
28.14.11.120 Арматура регулирующая
43.21.10.140 Работы по монтажу систем пожарной сигнализации и охранной сигнализации
28.14.20.100 Приводы и механизмы исполнительные
25.30.12.115 Оборудование теплообменное
28.13 Насосы и компрессоры прочие
28.13.14 Насосы центробежные подачи жидкостей прочие; насосы прочие ****</t>
  </si>
  <si>
    <t>ЗА 3 ГОДА ПО 223 ФЗ заключено 9 шт. с объемом НМЦ 27 025 847,95 ?</t>
  </si>
  <si>
    <t>"223 за 3 года", ".",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"223 фз контракты 20+", "рейтинг по нмц маркер", "поставщики маркер"</t>
  </si>
  <si>
    <t>79.90.20.000 Услуги экскурсионные туристические
50.30.19.000 Услуги по перевозке пассажиров внутренним водным транспортом прочие
79.1 Услуги туристических агентств и туроператоров
68.20.12.000 Услуги по сдаче в аренду (внаем) собственных или арендованных нежилых помещений</t>
  </si>
  <si>
    <t>1 755</t>
  </si>
  <si>
    <t>52.10.19.900 Услуги по складированию и хранению прочие, не включенные в другие группировки
10.89 Продукты пищевые прочие, не включенные в другие группировки
56.29.19.000 Услуги по обеспечению питанием, осуществляемые по договору, прочие</t>
  </si>
  <si>
    <t>"223 за 3 года", ".", "все клиенты с выручкой от 1,8 млрд до бесконечности", "производители", "это заказчик", "поставщики маркер"</t>
  </si>
  <si>
    <t>28.30.22.110 Тракторы сельскохозяйственные колесные с мощностью двигателя от 37 кВт до 59 кВт
29.10.41.111 Автомобили грузовые с дизельным двигателем, имеющие технически допустимую максимальную массу не более 3,5 т
41.20.10.120 Здания общежитий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29.10.41.112 Автомобили грузовые с дизельным двигателем, имеющие технически допустимую максимальную массу свыше 3,5 т, но не более 12 т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71.11.22.000 Услуги в области архитектуры, связанные с проектами строительства нежилых зданий и сооружений
28.30.23.110 Тракторы сельскохозяйственные колесные с мощностью двигателя более 59 кВт ****</t>
  </si>
  <si>
    <t>За весь период компания заключила  31 контрактов на сумму  21 384 070 101,49 ? За весь период заходили в конкурсы  72 раз на общую сумму обеспеченных контрактов с НМЦ 31 228 177 434,92 ? с БГУ  1 252 086 933,30 ? с БГИ 6 312 104 745,54 ? За 3 ГОДА по 44ФЗ заключено 76 шт. с объемом НМЦ  14 536 444 132,89 ? с БГИ 3 322 783 808,87 ? с БГГО 524 115 757,94 ? с авансированием до 2 729 694 420,64 ? с комиссией банку 44 502 445,18 ? с кв 387 171,27 ? ЗА 1 ГОД по 44ФЗ заключено 26 шт. c объемом НМЦ 4 697 376 668,51 ? с БГИ 798 075 245,09 ? с БГГО 121 803 481,33 ? с авансированием до  697 941 472,85 ? с комиссией банку  23 666 116,44 ? с кв 205 895,21 ?</t>
  </si>
  <si>
    <t>"44 за 3 года", "кл фт агент бг 04.22", ".", "рейтинг поставщиков в маркере по бг", "ГРАНДИОЗНЫЙ ПРОЕКТ", "Конкурсы 100+ (Восстановленный)", "Агентские отказ из-за непред-я док-ов", "fk1", "портфель 31.10.2021_10 тыс_проверка", "клиенты с в от100млн 09.21", "Пункт 3 09.01.23", "ФК клиенты с выручкой от 230 до бесконечности", "действующие б не прям", "Обороты по клиентам по кварталам (2022г)", "ФТ клиенты с продуктами по сотрудникам", "44 фз с с БГ от 10 млн", "рейтинг по нмц маркер", "это заказчик", "поставщики маркер"</t>
  </si>
  <si>
    <t>37.00.11.110 Услуги по водоотведению сточных вод
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68.20 Услуги по сдаче в аренду (внаем) собственного или арендованного недвижимого имущества
36.00.30.000 Услуги по торговле водой, поставляемой по трубопроводам
35.30.12.130 Услуги по транспортированию горячей воды
35.30.11.111 Энергия тепловая, отпущенная тепловыми электроцентралями (ТЭЦ)
52.23.19.190 Услуги вспомогательные прочие, связанные с воздушным транспортом, не включенные в другие группировки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t>
  </si>
  <si>
    <t>за 1 ГОД ПО 223ФЗ заключено 1  22 706 652,50 ?</t>
  </si>
  <si>
    <t>"223 за 3 года", ".", "все клиенты с выручкой от 1,8 млрд до бесконечности", "223 фз контракты 20+", "рейтинг заказчиков маркер", "рейтинг по нмц маркер", "это заказчик", "поставщики маркер", "44 за 3 года"</t>
  </si>
  <si>
    <t>68 Услуги по операциям с недвижимым имуществом
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73.12.13.000 Услуги по продаже места или времени для рекламы в информационно-коммуникационной сети Интернет за вознаграждение или на договорной основе
60.10.30.000 Время для рекламы на радио
60.20 Услуги в области телевизионного вещания
60.20.11.000 Услуги по составлению телепрограмм и вещанию в режиме on-line, кроме программ, доступных только на основе подписки
60.20.12.000 Услуги прочие по составлению телепрограмм и вещанию, кроме программ, доступных только на основе подписки
63.11.21.000 Услуги по передаче потокового видео
63.91 Услуги информационных агентств
43.99.90.190 Работы строительные специализированные прочие, не включенные в другие группировки ****</t>
  </si>
  <si>
    <t>За весь период компания заключила  6 контрактов на сумму  4 853 477 572,20 ? За весь период заходили в конкурсы  13 раз на общую сумму обеспеченных контрактов с НМЦ 898 237 027,96 ? с БГУ  3 712 113,23 ? с БГИ 91 764 356,54 ? За 3 ГОДА по 44ФЗ заключено 2087 шт. с объемом НМЦ  5 312 079 729,44 ? с БГИ 436 895 810,76 ? с БГГО 7 134 873,80 ? с авансированием до 61 607 838,75 ? с комиссией банку 4 892 659,32 ? с кв 42 566,14 ? ЗА 1 ГОД по 44ФЗ заключено 741 шт. c объемом НМЦ 1 938 172 505,23 ? с БГИ 175 852 293,94 ? с БГГО 0,00 ? с авансированием до  18 105 590,71 ? с комиссией банку  2 478 798,43 ? с кв 21 565,55 ? ЗА 3 ГОДА ПО 223 ФЗ заключено 87 шт. с объемом НМЦ 130 812 756,86 ? за 1 ГОД ПО 223ФЗ заключено 16  10 443 986,76 ?</t>
  </si>
  <si>
    <t>"223 за 3 года", ".", "рейтинг поставщиков в маркере по бг", "фб 22.11", "fk1", "корп 2", "рейтинг заказчиков маркер", "рейтинг по нмц маркер", "это заказчик", "поставщики маркер", "44 за 3 года"</t>
  </si>
  <si>
    <t>93.29.19.000 Услуги по организации отдыха и развлечений прочие, не включенные в другие группировки
79.90.20.000 Услуги экскурсионные туристические
94.99.19.150 Услуги объединений, создаваемых с целью проведения культурных и развлекательных мероприятий и организации досуга, кроме спорта или игр
79.90.39.110 Услуги по бронированию билетов на культурно-развлекательные мероприятия
90.02.11.000 Услуги по созданию спектаклей, концертов и иных зрелищных программ (произведений исполнительского искусства)
90.04.10.110 Услуги концертных залов, театров, оперных зданий, мюзик-холлов, включая услуги билетных касс
90.04.10 Услуги учреждений культуры и искусства
90.02.12.000 Услуги по организации показа спектаклей, концертов и иных зрелищных программ (произведений исполнительского искусства), включая мероприятия по продвижению исполнительских искусств
68.20.12.000 Услуги по сдаче в аренду (внаем) собственных или арендованных нежилых помещений
93.29.29.000 Услуги зрелищно-развлекательные, не включенные в другие группировки</t>
  </si>
  <si>
    <t>"44 за 3 года", ".", "все клиенты с выручкой от 1,8 млрд до бесконечности"</t>
  </si>
  <si>
    <t>70.22.30.000 Услуги консультативные прочие в области предпринимательства
82.99.12.000 Услуги вспомогательные телефонистов
74.90 Услуги профессиональные, научные и технические, прочие, не включенные в другие группировки
82.20.10.000 Услуги центров обработки телефонных вызовов</t>
  </si>
  <si>
    <t>4 528</t>
  </si>
  <si>
    <t>За весь период компания заключила  29 контрактов на сумму  13 509 709 409,43 ? За весь период заходили в конкурсы  1 раз на общую сумму обеспеченных контрактов с НМЦ 61 682 946,94 ? с БГУ  1 460 898,15 ? с БГИ 7 304 490,77 ?                             ЗА 3 ГОДА ПО 223 ФЗ заключено 7 шт. с объемом НМЦ 3 072 625 511,74 ? за 1 ГОД ПО 223ФЗ заключено 2  1 045 863 553,10 ?</t>
  </si>
  <si>
    <t>Сообщения о принятии решения о реорганизации от 20.12.2019</t>
  </si>
  <si>
    <t>"223 за 3 года", ".", "рейтинг поставщиков в маркере по бг", "Конкурсы 100+ (Восстановленный)", "все клиенты с выручкой от 1,8 млрд до бесконечности", "223 фз контракты 20+", "рейтинг по нмц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</si>
  <si>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52.21.22.000 Услуги по эксплуатации автомагистралей
81.30.10.000 Услуги по планировке ландшафта
81.29.13.000 Услуги санитарно-гигиенические прочие
33.11.11.000 Услуги по ремонту и техническому обслуживанию металлических конструкций
81.29.19.000 Услуги по чистке и уборке прочие, не включенные в другие группировки
43.22.11.190 Работы по монтажу водопроводных и канализационных систем прочие, не включенные в другие группировки
02.40.10.121 Услуги по рубке (валке) леса</t>
  </si>
  <si>
    <t>За весь период компания заключила  10 контрактов на сумму  24 931 842 741,94 ? За весь период заходили в конкурсы  17 раз на общую сумму обеспеченных контрактов с НМЦ 25 664 451 258,44 ? с БГУ  376 334 962,32 ? с БГИ 2 628 100 386,45 ? За 3 ГОДА по 44ФЗ заключено 11 шт. с объемом НМЦ  15 900 418 942,63 ? с БГИ 1 900 458 028,19 ? с БГГО 15 900 319,00 ? с авансированием до 1 822 822 918,30 ? с комиссией банку 75 412 831,87 ? с кв 656 091,64 ? ЗА 1 ГОД по 44ФЗ заключено 2 шт. c объемом НМЦ 4 273 958 710,63 ? с БГИ 427 415 845,59 ? с БГГО 4 273 859,00 ? с авансированием до  427 385 883,80 ? с комиссией банку  22 927 228,82 ? с кв 199 466,89 ?</t>
  </si>
  <si>
    <t>"44 за 3 года", ".", "рейтинг поставщиков в маркере по бг", "ГРАНДИОЗНЫЙ ПРОЕКТ", "Конкурсы 100+ (Восстановленный)", "44 фз с с БГ от 10 млн", "рейтинг по нмц маркер", "crm управления", "в crm за шинахововым", "в crm за Черненьким", "поставщики маркер"</t>
  </si>
  <si>
    <t>ЗА 3 ГОДА ПО 223 ФЗ заключено 1 шт. с объемом НМЦ 330 105 715,20 ?</t>
  </si>
  <si>
    <t>Сообщения о принятии решения о реорганизации от 16.06.2021</t>
  </si>
  <si>
    <t>17.29 Изделия из бумаги и картона прочие
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17.12.11.110 Бумага газетная в рулонах
35.30.11.111 Энергия тепловая, отпущенная тепловыми электроцентралями (ТЭЦ)
35.30.11.110 Энергия тепловая, отпущенная электростанциями
35.30.11.119 Энергия тепловая, отпущенная прочими электростанциями</t>
  </si>
  <si>
    <t>1 740</t>
  </si>
  <si>
    <t>Заказчик разыгравший 29 конкурсов на сумму  3 081 091 227,40 ?</t>
  </si>
  <si>
    <t>Сообщение должника о намерении обратиться в суд с заявлением о банкротстве от 30.12.2015</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</si>
  <si>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81.30.10.000 Услуги по планировке ландшафта
33.12.29.900 Услуги по ремонту и техническому обслуживанию прочего оборудования специального назначения, не включенные в другие группировки
33.19.10.000 Услуги по ремонту прочего оборудования
81.29.13.000 Услуги санитарно-гигиенические прочие
33.11.11.000 Услуги по ремонту и техническому обслуживанию металлических конструкций
42.91.10.160 Берегоукрепление
42.12.20.190 Работы строительные по строительству наземных и подземных железных дорог прочие, не включенные в другие группировки ****</t>
  </si>
  <si>
    <t>За весь период компания заключила  32 контрактов на сумму  38 665 987 468,48 ? За весь период заходили в конкурсы  73 раз на общую сумму обеспеченных контрактов с НМЦ 45 284 680 244,54 ? с БГУ  999 985 244,52 ? с БГИ 5 500 024 770,88 ? За 3 ГОДА по 44ФЗ заключено 25 шт. с объемом НМЦ  31 748 127 992,27 ? с БГИ 3 556 989 811,63 ? с БГГО 99 155 759,00 ? с авансированием до 3 423 296 744,70 ? с комиссией банку 113 684 231,55 ? с кв 989 052,81 ? ЗА 1 ГОД по 44ФЗ заключено 6 шт. c объемом НМЦ 12 639 343 693,00 ? с БГИ 1 388 413 364,30 ? с БГГО 12 639 342,98 ? с авансированием до  1 358 486 864,30 ? с комиссией банку  55 513 614,32 ? с кв 482 968,44 ?</t>
  </si>
  <si>
    <t>"44 за 3 года", ".", "рейтинг поставщиков в маркере по бг", "ГРАНДИОЗНЫЙ ПРОЕКТ", "Конкурсы 100+ (Восстановленный)", "44 фз с с БГ от 10 млн", "рейтинг по нмц маркер", "поставщики маркер"</t>
  </si>
  <si>
    <t>50.20.2 Услуги по аренде морских судов заграничного и каботажного плавания для перевозки грузов с экипажем; услуги по буксировке и маневровые услуги
52.24.19 Услуги по обработке грузов прочие</t>
  </si>
  <si>
    <t>Сообщения о принятии решения о реорганизации от 05.02.2020</t>
  </si>
  <si>
    <t>29.10.30.112 Автобусы, предназначенные для перевозки только сидящих пассажиров, имеющие технически допустимую максимальную массу более 5 т
45.20.11.111 Услуги по регламентным работам (по видам технического обслуживания)
29.10.30.119 Автобусы, имеющие технически допустимую максимальную массу более 5 т, прочие
45.20.30.000 Мойка автотранспортных средств, полирование и аналогичные услуги
29.10.30.111 Автобусы, предназначенные для перевозки стоящих и сидящих пассажиров, имеющие технически допустимую максимальную массу более 5 т</t>
  </si>
  <si>
    <t>За весь период заходили в конкурсы  2 раз на общую сумму обеспеченных контрактов с НМЦ 49 642 500,00 ? с БГУ  992 850,00 ? с БГИ 9 928 500,00 ?</t>
  </si>
  <si>
    <t>Сообщение кредитора о намерении обратиться в суд с заявлением о банкротстве от 08.02.2023</t>
  </si>
  <si>
    <t>"поставщики маркер", ".", "рейтинг поставщиков в маркере по бг", "спарк восточный ", "fk1", "все клиенты с выручкой от 1,8 млрд до бесконечности", "производители"</t>
  </si>
  <si>
    <t>29.10.30.190 Средства автотранспортные пассажирские с числом мест для сидения не менее 10 прочие
29.10.30.112 Автобусы, предназначенные для перевозки только сидящих пассажиров, имеющие технически допустимую максимальную массу более 5 т
29.10.30.130 Автобусы, имеющие технически допустимую максимальную массу не более 5 т</t>
  </si>
  <si>
    <t>За весь период контрактов 12 шт. на общую сумму НМЦ 7 602 211 969,01 ?</t>
  </si>
  <si>
    <t>"поставщики маркер", ".", "рейтинг поставщиков в маркере по бг", "спарк восточный ", "fk1", "все клиенты с выручкой от 1,8 млрд до бесконечности", "БизФин", "производители", "рейтинг по нмц маркер"</t>
  </si>
  <si>
    <t>За весь период компания заключила  97 контрактов на сумму  52 176 585 445,52 ? За весь период заходили в конкурсы  396 раз на общую сумму обеспеченных контрактов с НМЦ 94 583 613 246,49 ? с БГУ  3 591 847 614,27 ? с БГИ 14 782 954 821,39 ? За 3 ГОДА по 44ФЗ заключено 37 шт. с объемом НМЦ  8 450 183 727,16 ? с БГИ 1 401 694 017,95 ? с БГГО 69 277 900,06 ? с авансированием до 1 055 883 540,15 ? с комиссией банку 23 383 998,59 ? с кв 203 440,79 ? ЗА 1 ГОД по 44ФЗ заключено 9 шт. c объемом НМЦ 1 086 507 727,00 ? с БГИ 325 952 318,10 ? с БГГО 1 257 054,00 ? с авансированием до  230 749 197,00 ? с комиссией банку  4 302 095,39 ? с кв 37 428,23 ?</t>
  </si>
  <si>
    <t>"44 за 3 года", ".", "рейтинг поставщиков в маркере по бг", "компании Герберта", "ГРАНДИОЗНЫЙ ПРОЕКТ", "Конкурсы 100+ (Восстановленный)", "компании пайрус", "Все БГ поиск клиентов Банка и их контакты РЭБ", "закрыли счет", "все клиенты с выручкой от 1,8 млрд до бесконечности", "44 фз с с БГ от 10 млн", "рейтинг по нмц маркер"</t>
  </si>
  <si>
    <t>19.20.21.341 Топливо дизельное межсезонное вне классов
19.20.21.124 Бензин автомобильный с октановым числом более 92, но не более 95 по исследовательскому методу экологического класса К4
46.71.12.000 Услуги по оптовой торговле моторным топливом, включая авиационный бензин
45.20.11.519 Прочие услуги по техническому обслуживанию и ремонту прочих автотранспортных средств, не включенные в другие группировки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t>
  </si>
  <si>
    <t>За весь период заходили в конкурсы  4 раз на общую сумму обеспеченных контрактов с НМЦ 189 199 667,91 ? с БГУ  6 277 464,95 ? с БГИ 24 910 317,29 ?</t>
  </si>
  <si>
    <t>"223 за 3 года", ".", "рейтинг поставщиков в маркере по бг", "fk1", "ПОС на 01.02.2023", "корп 2",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 "производители", "рейтинг по нмц маркер", "поставщики маркер", "44 за 3 года"</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</si>
  <si>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35.30.12.110 Услуги по приготовлению воды на нужды горячего водоснабжения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35.13.10.000 Услуги по распределению электроэнергии ****</t>
  </si>
  <si>
    <t>За весь период компания заключила  10 контрактов на сумму  7 755 906 064,02 ?</t>
  </si>
  <si>
    <t>1 056</t>
  </si>
  <si>
    <t>Сообщение кредитора о намерении обратиться в суд с заявлением о банкротстве от 11.03.2022</t>
  </si>
  <si>
    <t>"поставщики маркер", ".", "рейтинг поставщиков в маркере по бг", "все клиенты с выручкой от 1,8 млрд до бесконечности", "рейтинг по нмц маркер", "crm управления", "в crm за Муслимом"</t>
  </si>
  <si>
    <t>28.30.59.111 Комбайны зерноуборочные
28.30.23.110 Тракторы сельскохозяйственные колесные с мощностью двигателя более 59 кВт
28.92.27.120 Погрузчики одноковшовые самоходные прочие
28.30.21.110 Тракторы сельскохозяйственные колесные с мощностью двигателя не более 37 кВт</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</si>
  <si>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66.19 Услуги вспомогательные прочие по отношению к финансовым услугам, кроме страхования и пенсионного обеспечения
35.11.10 Электроэнергия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t>
  </si>
  <si>
    <t>За весь период компания заключила  27 контрактов на сумму  3 410 395 059,95 ?                                     ЗА 3 ГОДА ПО 223 ФЗ заключено 96 шт. с объемом НМЦ 154 591 334,69 ? за 1 ГОД ПО 223ФЗ заключено 37  64 956 428,63 ?</t>
  </si>
  <si>
    <t>Сообщение кредитора о намерении обратиться в суд с заявлением о банкротстве от 13.02.2020</t>
  </si>
  <si>
    <t>"223 за 3 года", ".", "ГРАНДИОЗНЫЙ ПРОЕКТ 223", "все клиенты с выручкой от 1,8 млрд до бесконечности", "рейтинг заказчиков маркер", "рейтинг по нмц маркер", "это заказчик", "поставщики маркер"</t>
  </si>
  <si>
    <t>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29.31.22.190 Оборудование электрическое прочее для транспортных средств, не включенное в другие группировки
29.32.30.163 Тахографы
29.32.30.182 Муфты выключения сцеплений, подшипники муфт выключения сцеплений
29.32.30.212 Элементы подвески демпфирующие и рулевого привода
29.32.30.214 Шарниры шаровые подвески и их элементы
29.32.30.231 Кузова (кабины)
29.32.30.269 Узлы и детали систем вентиляции, отопления и кондиционирования воздуха, не включенные в другие группировки
29.32.30.270 Устройства сцепные (тягово-сцепные, седельно-сцепные и буксирные) ****</t>
  </si>
  <si>
    <t>45.11 Услуги по торговле легковыми автомобилями и грузовыми автомобилями малой грузоподъемности
45.20.11.519 Прочие услуги по техническому обслуживанию и ремонту прочих автотранспортных средств, не включенные в другие группировки
29.10.2 Автомобили легковые
45.20.22.000 Услуги по ремонту электрооборудования прочих автотранспортных средств
29.32.30.390 Части и принадлежности для автотранспортных средств прочие, не включенные в другие группировки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45.20.11.111 Услуги по регламентным работам (по видам технического обслуживания)
82.99.19.000 Услуги вспомогательные, связанные с предпринимательской деятельностью, прочие, не включенные в другие группировки
45.20.1 Услуги по техническому обслуживанию и ремонту легковых автомобилей и легких грузовых автотранспортных средств
45 Услуги по оптовой и розничной торговле и услуги по ремонту автотранспортных средств и мотоциклов ****</t>
  </si>
  <si>
    <t>20.14.61.000 Соединения с альдегидной функциональной группой
22.22.14.000 Бутыли, бутылки, флаконы и аналогичные изделия из пластмасс
21.20.23.110 Реагенты диагностические
21.20.23.199 Средства нелечебные прочие
20.59.52.199 Реагенты сложные диагностические или лабораторные прочие, не включенные в другие группировки
22.19.71.190 Изделия из резины, кроме твердой резины (эбонита), гигиенические или фармацевтические прочие
20.20.14.000 Средства дезинфекционные
21.10.54.190 Антибиотики и их производные прочие
21.20.10.118 Препараты, способствующие пищеварению, включая ферментные препараты
21.20.10.133 Препараты антианемические ****</t>
  </si>
  <si>
    <t>За весь период компания заключила  17 контрактов на сумму  1 010 415 082,85 ? За весь период заходили в конкурсы  23 раз на общую сумму обеспеченных контрактов с НМЦ 1 427 526 889,27 ? с БГУ  15 466 104,59 ? с БГИ 135 942 075,93 ? За 3 ГОДА по 44ФЗ заключено 339 шт. с объемом НМЦ  2 597 131 062,95 ? с БГИ 431 659 167,21 ? с БГГО 23 653 955,67 ? с авансированием до 0,00 ? с комиссией банку 4 291 545,54 ? с кв 37 336,45 ? ЗА 1 ГОД по 44ФЗ заключено 70 шт. c объемом НМЦ 581 057 313,29 ? с БГИ 97 704 007,27 ? с БГГО 148 666,66 ? с авансированием до  0,00 ? с комиссией банку  1 131 910,85 ? с кв 9 847,62 ? ЗА 3 ГОДА ПО 223 ФЗ заключено 15 шт. с объемом НМЦ 238 834 438,04 ? за 1 ГОД ПО 223ФЗ заключено 8  4 189 892,93 ?</t>
  </si>
  <si>
    <t>"223 за 3 года", ".", "рейтинг поставщиков в маркере по бг", "все клиенты с выручкой от 1,8 млрд до бесконечности", "рейтинг заказчиков маркер", "производители", "рейтинг по нмц маркер", "это заказчик", "поставщики маркер", "44 за 3 года"</t>
  </si>
  <si>
    <t>Сообщения о принятии решения о реорганизации от 25.05.2022</t>
  </si>
  <si>
    <t>08.91.19 Сырье минеральное для химических производств и производства удобрений прочее
08.91.19.190 Сырье минеральное для химических производств и продукты горнодобывающих производств прочие, не включенные в другие группировки</t>
  </si>
  <si>
    <t>"223 за 3 года", ".", "все клиенты с выручкой от 1,8 млрд до бесконечности", "Участники клиринга", "производители"</t>
  </si>
  <si>
    <t>"в crm за Шевченко ОРК 5", ".", "производители", "это заказчик", "crm управления"</t>
  </si>
  <si>
    <t>1 189</t>
  </si>
  <si>
    <t>Сообщение кредитора о намерении обратиться в суд с заявлением о банкротстве от 30.11.2022</t>
  </si>
  <si>
    <t>43.22.12.120 Работы по установке и техническому обслуживанию систем управления центральным отоплением
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35.11.10.130 Электроэнергия, произведенная локальными электростанциями (не работающими в энергосистеме)
35.30.11.130 Энергия тепловая, отпущенная электрокотлами
35.30.12.110 Услуги по приготовлению воды на нужды горячего водоснабжения
35.13.10.000 Услуги по распределению электроэнергии
35.30 Услуги по снабжению паром и кондиционированию воздуха
35.30.11.120 Энергия тепловая, отпущенная котельными
35.30.12.130 Услуги по транспортированию горячей воды ****</t>
  </si>
  <si>
    <t>за 1 ГОД ПО 223ФЗ заключено 7  6 823 750,22 ?</t>
  </si>
  <si>
    <t>43.21.10.220 Работы по монтажу систем освещения и сигнализации автомобильных дорог, аэропортов и портов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35.30.11.130 Энергия тепловая, отпущенная электрокотлами
43.22.12.140 Работы по ремонту и техническому обслуживанию бытовых отопительных котлов и бойлеров
35.12.10.120 Услуги по технологическому присоединению к распределительным электросетям ****</t>
  </si>
  <si>
    <t>1 429</t>
  </si>
  <si>
    <t>За год заключили по 223фз 10 контракта(ов) на сумму  8 537 299,81 ?</t>
  </si>
  <si>
    <t>45.20 Услуги по техническому обслуживанию и ремонту автотранспортных средств
28.92.27 Экскаваторы и одноковшовые погрузчики самоходные прочие; прочие самоходные машины для добычи полезных ископаемых
28.92.26 Экскаваторы одноковшовые и ковшовые погрузчики самоходные с поворотом кабины на 360° (полноповоротные машины), кроме фронтальных одноковшовых погрузчиков</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</si>
  <si>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42.11.10.110 Автомагистрали, кроме надземных автодорог (эстакад)
42.11.10.120 Дороги автомобильные, в том числе улично-дорожная сеть, и прочие автомобильные и пешеходные дороги
42.13.20.100 Работы строительные по строительству мостов и тоннелей, кроме работ по сохранению и воссозданию объектов культурного наследия
42.99.12.110 Площадки спортивные для спортивных игр на открытом воздухе
42.11.10.129 Дороги автомобильные, в том числе улично-дорожная сеть, и прочие автомобильные и пешеходные дороги, не включенные в другие группировки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</si>
  <si>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1 275</t>
  </si>
  <si>
    <t>За весь период компания заключила  49 контрактов на сумму  43 394 737 973,31 ? За весь период заходили в конкурсы  84 раз на общую сумму обеспеченных контрактов с НМЦ 46 385 584 559,18 ? с БГУ  2 387 605 908,22 ? с БГИ 8 721 817 512,43 ? За 3 ГОДА по 44ФЗ заключено 161 шт. с объемом НМЦ  9 701 982 643,44 ? с БГИ 711 986 282,50 ? с БГГО 88 222 635,60 ? с авансированием до 20 358 229,52 ? с комиссией банку 34 052 741,79 ? с кв 296 258,85 ? ЗА 1 ГОД по 44ФЗ заключено 36 шт. c объемом НМЦ 839 553 463,40 ? с БГИ 87 268 653,34 ? с БГГО 1 568 804,55 ? с авансированием до  13 353 730,41 ? с комиссией банку  1 262 799,06 ? с кв 10 986,35 ?</t>
  </si>
  <si>
    <t>22.1 Изделия резиновые
35.30.11.120 Энергия тепловая, отпущенная котельными
35.30.12.130 Услуги по транспортированию горячей воды
35.30.11.111 Энергия тепловая, отпущенная тепловыми электроцентралями (ТЭЦ)
22.11 Шины, покрышки и камеры резиновые; восстановление протекторов и резиновых шин</t>
  </si>
  <si>
    <t>1 036</t>
  </si>
  <si>
    <t>16.23.11.130 Двери, их коробки и пороги деревянные</t>
  </si>
  <si>
    <t>Сообщение кредитора о намерении обратиться в суд с заявлением о банкротстве от 28.08.2020</t>
  </si>
  <si>
    <t>42.21.22.120 Работы строительные по прокладке местных трубопроводов горячей воды
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35.11.10.112 Электроэнергия, произведенная теплоэлектроцентралями (ТЭЦ) общего назначения
43.39.19.190 Работы завершающие и отделочные в зданиях и сооружениях, прочие, не включенные в другие группировки
35.12.10.120 Услуги по технологическому присоединению к распределительным электросетям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42.21.11.120 Трубопроводы магистральные наземные и подводные для перекачки воды или прочих продуктов ****</t>
  </si>
  <si>
    <t>За весь период компания заключила  6 контрактов на сумму  2 838 759 886,17 ?</t>
  </si>
  <si>
    <t>05.10.10 Уголь
05.10.10.121 Уголь коксующийся марки ГЖО - газовый жирный отощенный</t>
  </si>
  <si>
    <t>За весь период компания заключила  10 контрактов на сумму  11 415 145 894,17 ?</t>
  </si>
  <si>
    <t>28.13.12.000 Насосы возвратно-поступательные объемного действия прочие для перекачки жидкостей
28.15.25.110 Маховики
22.11.11.000 Шины и покрышки пневматические для легковых автомобилей новые
22.11.14.199 Шины пневматические прочие, не включенные в другие группировки
22.19.40.120 Ремни приводные прорезиненные
28.25.14.111 Фильтры для очистки воздуха
28.30.22.110 Тракторы сельскохозяйственные колесные с мощностью двигателя от 37 кВт до 59 кВт
29.10.41.113 Автомобили грузовые с дизельным двигателем, имеющие технически допустимую максимальную массу свыше 12 т
28.92.40.133 Машины для смешивания минеральных веществ с битумом
28.30.86.130 Оборудование для лесного хозяйства, не включенное в другие группировки ****</t>
  </si>
  <si>
    <t>ЗА 3 ГОДА ПО 223 ФЗ заключено 15 шт. с объемом НМЦ 27 704 700,23 ?</t>
  </si>
  <si>
    <t>Сообщения о принятии решения о реорганизации от 11.12.2017</t>
  </si>
  <si>
    <t>"производители", ".", "все клиенты с выручкой от 1,8 млрд до бесконечности", "рейтинг заказчиков маркер"</t>
  </si>
  <si>
    <t>10.72.12.120 Печенье сладкое
10.82.23.210 Зефир</t>
  </si>
  <si>
    <t>1 216</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</si>
  <si>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25.99 Металлоизделия готовые прочие, не включенные в другие группировки
33.12 Услуги по ремонту оборудования
27 Оборудование электрическое
27.11 Электродвигатели, генераторы и трансформаторы
27.11.43.000 Трансформаторы прочие мощностью более 16 кВА
33.14 Услуги по ремонту электрического оборудования
27.11.42.000 Трансформаторы прочие мощностью не более 16 кВА
33.20.5 Услуги по монтажу электрического оборудования
35.1 Услуги по производству, передаче и распределению электроэнергии</t>
  </si>
  <si>
    <t>За весь период компания заключила  13 контрактов на сумму  1 605 539 230,84 ?</t>
  </si>
  <si>
    <t>1 024</t>
  </si>
  <si>
    <t>"это заказчик", ".", "все клиенты с выручкой от 1,8 млрд до бесконечности", "рейтинг заказчиков маркер", "производители"</t>
  </si>
  <si>
    <t>1 700</t>
  </si>
  <si>
    <t>25.11 Металлоконструкции строительные и их части
25 Изделия металлические готовые, кроме машин и оборудования</t>
  </si>
  <si>
    <t>1 490</t>
  </si>
  <si>
    <t>"поставщики маркер", ".", "все клиенты с выручкой от 1,8 млрд до бесконечности", "это заказчик", "crm управления", "в crm за Шевченко ОРК 5"</t>
  </si>
  <si>
    <t>Юридическое лицо находится в процессе уменьшения уставного капитала от 29.12.2020</t>
  </si>
  <si>
    <t>19.20.21.124 Бензин автомобильный с октановым числом более 92, но не более 95 по исследовательскому методу экологического класса К4
19.20.21.122 Бензин автомобильный с октановым числом более 92, но не более 95 по исследовательскому методу экологического класса К2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19.20.21.134 Бензин автомобильный с октановым числом более 95, но не более 98 по исследовательскому методу экологического класса К4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19.20.21.345 Топливо дизельное межсезонное экологического класса К5
19.20.21.300 Топливо дизельное
19.20.21.325 Топливо дизельное зимнее экологического класса К5 ****</t>
  </si>
  <si>
    <t>"в crm за Эльшаном", "crm управления", "в crm за Курилиным"</t>
  </si>
  <si>
    <t>"44 за 3 года", ".", "клиенты с в от100млн 09.21", "все клиенты с выручкой от 1,8 млрд до бесконечности", "ФК клиенты с выручкой от 230 до бесконечности", "crm управления", "в crm за Эльшаном", "в crm за Курилиным",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</si>
  <si>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42.91.20.120 Работы строительные по строительству плотин и дамб, включая ремонт
42.91.20.190 Работы строительные и ремонтные, связанные с прочими водными сооружениями и работы по ремонту всех вышеуказанных сооружений
42.11.10.151 Дорога подъездная
52.21.22.000 Услуги по эксплуатации автомагистралей
42.99.12.124 Территории парковые и парки для отдыха
42.21.13.126 Сооружение очистное канализации
41.20.20.290 Здания нежилые, не включенные в другие группировки
42.11.10.140 Стоянки автомобильные с твердым покрытием
42.13.20.100 Работы строительные по строительству мостов и тоннелей, кроме работ по сохранению и воссозданию объектов культурного наследия ****</t>
  </si>
  <si>
    <t>За весь период компания заключила  55 контрактов на сумму  29 226 798 216,98 ? За весь период заходили в конкурсы  163 раз на общую сумму обеспеченных контрактов с НМЦ 34 867 549 490,54 ? с БГУ  2 101 101 545,82 ? с БГИ 7 515 925 455,06 ? За 3 ГОДА по 44ФЗ заключено 65 шт. с объемом НМЦ  4 551 974 833,47 ? с БГИ 535 144 377,63 ? с БГГО 119 661 499,63 ? с авансированием до 178 513 278,94 ? с комиссией банку 20 331 647,00 ? с кв 176 885,33 ? ЗА 1 ГОД по 44ФЗ заключено 18 шт. c объемом НМЦ 1 638 395 545,20 ? с БГИ 220 121 373,01 ? с БГГО 42 376 812,00 ? с авансированием до  18 254 856,90 ? с комиссией банку  9 885 352,00 ? с кв 86 002,56 ?</t>
  </si>
  <si>
    <t>"223 за 3 года", "кл фт агент бг 04.22", "свод фт", ".", "рейтинг поставщиков в маркере по бг", "ГРАНДИОЗНЫЙ ПРОЕКТ", "Конкурсы 100+ (Восстановленный)", "fk1", "Агентские одобренные но не выданные от 30.08", "все клиенты с выручкой от 1,8 млрд до бесконечности", "клиенты от 100 млн", "действующие б не прям", "Одобренные но не выданные 1 полугодие 2021", "ФТ клиенты с продуктами по сотрудникам", "44 фз с с БГ от 10 млн", "производители", "рейтинг по нмц маркер", "это заказчик", "на фт заводил Адеев", "crm управления", "в crm за Адеевым", "поставщики маркер", "44 за 3 года"</t>
  </si>
  <si>
    <t>10.20.14.110 Филе пресноводной рыбы мороженое
10.20.24.121 Рыба и филе пресноводных рыб горячего копчения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10.31.11.000 Картофель замороженный
10.39.23.000 Орехи, арахис (земляные орехи), обжаренные, соленые или приготовленные другим способом
10.72.12 Печенье и пряники имбирные и аналогичные изделия; печенье сладкое; вафли и вафельные облатки; торты и пирожные длительного хранения
10.51.4 Сыры, продукты сырные и творог
10.82.22.112 Шоколад молочный в упакованном виде
10.82.22.113 Шоколад десертный в упакованном виде ****</t>
  </si>
  <si>
    <t>За весь период компания заключила  1 контрактов на сумму  459 508 045,83 ?</t>
  </si>
  <si>
    <t>77.1 Услуги по аренде и лизингу автотранспортных средств
77.11.10.000 Услуги по аренде и лизингу легковых автомобилей и легких автотранспортных средств
77.39 Услуги по аренде и лизингу прочих машин, оборудования и материальных средств, не включенных в другие группировки
52.21.29 Услуги, связанные с автомобильным транспортом, прочие
77 Услуги по аренде и лизингу
77.12.19.000 Услуги по аренде и лизингу прочих сухопутных транспортных средств и оборудования без водителя
64.91.10.190 Услуги по финансовой аренде (лизингу/сублизингу) в прочих областях, кроме племенных животных
77.39.19.115 Услуги по аренде и лизингу контрольно-измерительной аппаратуры
64.91.10 Услуги по финансовой аренде (лизингу/сублизингу)</t>
  </si>
  <si>
    <t>За 3 года по 223ФЗ заключено  17 шт контрактов на сумму 383 265 392,23 ?</t>
  </si>
  <si>
    <t>02.40.10.120 Услуги, связанные с лесозаготовками
16.29.14.192 Гранулы топливные (пеллеты) из отходов деревопереработки</t>
  </si>
  <si>
    <t>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
43.99.90.200 Работы строительные специализированные, не включенные в другие группировки, на объектах культурного наследия</t>
  </si>
  <si>
    <t>За весь период компания заключила  8 контрактов на сумму  1 727 516 441,53 ? За весь период заходили в конкурсы  75 раз на общую сумму обеспеченных контрактов с НМЦ 12 909 287 666,62 ? с БГУ  606 356 633,34 ? с БГИ 1 297 526 142,60 ? За 3 ГОДА по 44ФЗ заключено 11 шт. с объемом НМЦ  1 515 525 657,34 ? с БГИ 165 533 063,90 ? с БГГО 336 329,08 ? с авансированием до 58 931 500,44 ? с комиссией банку 2 792 508,08 ? с кв 24 294,82 ? ЗА 1 ГОД по 44ФЗ заключено 4 шт. c объемом НМЦ 919 758 790,04 ? с БГИ 104 666 004,59 ? с БГГО 0,00 ? с авансированием до  0,00 ? с комиссией банку  2 376 606,95 ? с кв 20 676,48 ?</t>
  </si>
  <si>
    <t>"44 за 3 года", ".", "рейтинг поставщиков в маркере по бг", "ГРАНДИОЗНЫЙ ПРОЕКТ", "44 фз с с БГ от 10 млн", "рейтинг по нмц маркер", "crm управления", "в crm за Муслимом", "поставщики маркер"</t>
  </si>
  <si>
    <t>"производители", ".", "все клиенты с выручкой от 1,8 млрд до бесконечности", "Участники клиринга"</t>
  </si>
  <si>
    <t>Сообщения о принятии решения о реорганизации от 18.12.2020</t>
  </si>
  <si>
    <t>13.10.32.110 Волокна вискозные, подготовленные для прядения
20.60.1 Волокна синтетические</t>
  </si>
  <si>
    <t>Сообщения о принятии решения о реорганизации от 13.07.2021</t>
  </si>
  <si>
    <t>20.20.14.000 Средства дезинфекционные</t>
  </si>
  <si>
    <t>28.22 Оборудование подъемно-транспортное
28.92.21 Бульдозеры и бульдозеры с поворотным отвалом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33.20 Услуги по монтажу промышленных машин и оборудования
28.92.12 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
33.1 Услуги по ремонту металлоизделий, машин и оборудования
33.17 Услуги по ремонту и техническому обслуживанию прочих транспортных средств и оборудования
29.10.23 Средства транспортные с поршневым двигателем внутреннего сгорания с воспламенением от сжатия (дизелем или полудизелем), новые
28.92.61 Части бурильных или проходческих машин или машин для выемки грунта; части кранов
28.92.61.120 Комплектующие (запасные части) машин для выемки грунта, не имеющие самостоятельных группировок ****</t>
  </si>
  <si>
    <t>За весь период компания заключила  18 контрактов на сумму  6 373 974 585,26 ?                                     ЗА 3 ГОДА ПО 223 ФЗ заключено 21 шт. с объемом НМЦ 102 844 125,43 ? за 1 ГОД ПО 223ФЗ заключено 3  50 607 300,00 ?</t>
  </si>
  <si>
    <t>Заказчик разыгравший 37 конкурсов на сумму  14 418 911 445,10 ?</t>
  </si>
  <si>
    <t>Сообщения о принятии решения о реорганизации от 27.11.2019</t>
  </si>
  <si>
    <t>08.11.30.127 Мука доломитовая
08.12.12.140 Щебень</t>
  </si>
  <si>
    <t>За весь период заходили в конкурсы  1 раз на общую сумму обеспеченных контрактов с НМЦ 126 104 610,00 ? с БГУ  6 466 899,07 ? с БГИ 38 801 394,42 ?</t>
  </si>
  <si>
    <t>Сообщение кредитора о намерении обратиться в суд с заявлением о банкротстве от 09.07.2021</t>
  </si>
  <si>
    <t>"поставщики маркер", ".", "рейтинг поставщиков в маркере по бг", "все клиенты с выручкой от 1,8 млрд до бесконечности", "производители"</t>
  </si>
  <si>
    <t>20.59.43.120 Антифризы
20.30.22.170 Герметики
20.41.43.130 Средства, кремы, мастики для транспортных средств полирующие
19.20.23.190 Дистилляты легкие, не включенные в другие группировки
17.21.13.000 Ящики и коробки из гофрированной бумаги или гофрированного картона
19.20.29.119 Масла моторные прочие, не включенные в другие группировки
19.20.29.140 Масла индустриальные
19.20.29.150 Масла компрессорные
17 Бумага и изделия из бумаги
19.2 Нефтепродукты ****</t>
  </si>
  <si>
    <t>93.29.19.000 Услуги по организации отдыха и развлечений прочие, не включенные в другие группировки
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
55.20.11.000 Услуги по предоставлению временного жилья для посетителей в молодежных общежитиях и домиках для отдыха</t>
  </si>
  <si>
    <t>За весь период компания заключила  1 контрактов на сумму  849 600 000,00 ?</t>
  </si>
  <si>
    <t>Сообщения о принятии решения о реорганизации от 26.08.2021</t>
  </si>
  <si>
    <t>"это заказчик", ".", "рейтинг заказчиков маркер", "рейтинг по нмц маркер"</t>
  </si>
  <si>
    <t>1 666</t>
  </si>
  <si>
    <t>Сообщения о принятии решения о реорганизации от 04.08.2021</t>
  </si>
  <si>
    <t>10.13 Продукция мясная пищевая, в том числе из мяса птицы
10.13.1 Продукты консервированные и готовые из мяса, субпродуктов и крови животных, из мяса и субпродуктов птицы</t>
  </si>
  <si>
    <t>"223 за 3 года",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"это заказчик", "поставщики маркер"</t>
  </si>
  <si>
    <t>52.29.19.110 Услуги по экспедированию грузов
52.29.20.000 Услуги транспортные вспомогательные прочие, не включенные в другие группировки
49.20.19 Услуги железнодорожного транспорта по перевозке прочих грузов
52.29.1 Услуги грузовых транспортно-экспедиционных агентств
52.24 Услуги по обработке грузов</t>
  </si>
  <si>
    <t>"223 за 3 года", ".", "выдали", "fk1",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t>
  </si>
  <si>
    <t>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t>
  </si>
  <si>
    <t>43.21.10.220 Работы по монтажу систем освещения и сигнализации автомобильных дорог, аэропортов и портов
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35.14.10 Услуги по торговле электроэнергией
35.12.10.120 Услуги по технологическому присоединению к распределительным электросетям
35.13.10 Услуги по распределению электроэнергии
35.11.10.115 Электроэнергия, произведенная атомными электростанциями (АЭС) общего назначения
43.21.10.120 Работы электромонтажные, связанные с установкой приборов
35.11.10.116 Электроэнергия, произведенная гидроэлектростанциями (ГЭС) общего назначения
35.11.10.119 Электроэнергия, произведенная нетиповыми электростанциями общего назначения ****</t>
  </si>
  <si>
    <t>1 663</t>
  </si>
  <si>
    <t>За 3 года по 223ФЗ заключено  26 шт контрактов на сумму 34 373 962,61 ?</t>
  </si>
  <si>
    <t>"223 за 3 года", ".", "все клиенты с выручкой от 1,8 млрд до бесконечности", "рейтинг заказчиков маркер", "производители", "это заказчик", "поставщики маркер", "44 за 3 года"</t>
  </si>
  <si>
    <t>49.41.20.000 Услуги по аренде грузовых транспортных средств с водителем</t>
  </si>
  <si>
    <t>За весь период компания заключила  4 контрактов на сумму  1 228 000 000,00 ?</t>
  </si>
  <si>
    <t>Юридическое лицо находится в процессе реорганизации в форме присоединения к нему других юридических лиц от 20.03.2023, Сообщения о принятии решения о реорганизации от 15.03.2023</t>
  </si>
  <si>
    <t>"это заказчик", ".", "fk1", "райф", "все клиенты с выручкой от 1,8 млрд до бесконечности", "рейтинг заказчиков маркер", "рейтинг по нмц маркер"</t>
  </si>
  <si>
    <t>Сообщение кредитора о намерении обратиться в суд с заявлением о банкротстве от 01.04.2021</t>
  </si>
  <si>
    <t>"поставщики маркер", ".", "Кредитный портфель_01.11", "ушедшие", "Участники клиринга", "производители"</t>
  </si>
  <si>
    <t>33.12.29.900 Услуги по ремонту и техническому обслуживанию прочего оборудования специального назначения, не включенные в другие группировки
09.10.11.190 Услуги по бурению, связанные с добычей нефти и горючего природного газа, не включенные в другие группировки</t>
  </si>
  <si>
    <t>За весь период контрактов 21 шт. на общую сумму НМЦ 9 617 253 084,54 ?</t>
  </si>
  <si>
    <t>В отношении юридического лица возбуждено производство по делу о несостоятельности (банкротстве) от 21.11.2022, Сообщение кредитора о намерении обратиться в суд с заявлением о банкротстве от 28.04.2023</t>
  </si>
  <si>
    <t>33.17.11.000 Услуги по ремонту и техническому обслуживанию железнодорожных локомотивов и подвижного состава</t>
  </si>
  <si>
    <t>За весь период контрактов 7 шт. на общую сумму НМЦ 2 548 237 482,94 ?</t>
  </si>
  <si>
    <t>30.20.33.110 Вагоны грузовые магистральные широкой колеи
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33.17.11.000 Услуги по ремонту и техническому обслуживанию железнодорожных локомотивов и подвижного состава
35.11.10.116 Электроэнергия, произведенная гидроэлектростанциями (ГЭС) общего назначения</t>
  </si>
  <si>
    <t>За весь период компания заключила  21 контрактов на сумму  11 873 840 704,97 ?                                         за 1 ГОД ПО 223ФЗ заключено 1  27 380 561,22 ?</t>
  </si>
  <si>
    <t>Сообщения о принятии решения о реорганизации от 26.03.2021</t>
  </si>
  <si>
    <t>"223 за 3 года", ".", "Гарантии_КИБ_31.03.22_Гиб._", "fk1", "ПОС на 01.02.2023", "ПОС на 03.04.2023", "06.2022_ФинХД", "клиенты с в от100млн 09.21", "все клиенты с выручкой от 1,8 млрд до бесконечности", "ФК клиенты с выручкой от 230 до бесконечности", "клиенты от 100 млн", "223 фз контракты 20+", "рейтинг заказчиков маркер", "производители", "рейтинг по нмц маркер", "это заказчик", "поставщики маркер"</t>
  </si>
  <si>
    <t>30.20.33.110 Вагоны грузовые магистральные широкой колеи
33.17 Услуги по ремонту и техническому обслуживанию прочих транспортных средств и оборудования
33.12.29.900 Услуги по ремонту и техническому обслуживанию прочего оборудования специального назначения, не включенные в другие группировки
33 Услуги по ремонту и монтажу машин и оборудования
30.20.9 Услуги по восстановлению и переоборудованию (комплектованию) железнодорожных и трамвайных локомотивов и подвижного состава; операции процесса производства железнодорожных локомотивов и прочего подвижного состава отдельные, выполняемые субподрядчиком
33.19.10.000 Услуги по ремонту прочего оборудования
33.17.11 Услуги по ремонту и техническому обслуживанию железнодорожных локомотивов и подвижного состава
33.17.19.000 Услуги по ремонту и техническому обслуживанию прочих транспортных средств и оборудования, не включенных в другие группировки</t>
  </si>
  <si>
    <t>За весь период контрактов 33 шт. на общую сумму НМЦ 14 754 824 631,38 ?</t>
  </si>
  <si>
    <t>"223 за 3 года", ".", "Пролонгации на 15.11.2021 г", "АНАЛИЗ Все установленные лимиты на 01.12.2021 ОКВЭД Прочие Услуги", "все клиенты с выручкой от 1,8 млрд до бесконечности", "рейтинг заказчиков маркер", "производители", "рейтинг по нмц маркер", "это заказчик", "поставщики маркер"</t>
  </si>
  <si>
    <t>30.20.91 Услуги по восстановлению и оснащению (завершению) железнодорожных локомотивов, трамвайных моторных вагонов и прочего подвижного состава</t>
  </si>
  <si>
    <t>За весь период компания заключила  21 контрактов на сумму  331 587 685 112,88 ? За весь период заходили в конкурсы  1 раз на общую сумму обеспеченных контрактов с НМЦ 124 177 232,60 ? с БГУ  2 642 068,78 ? с БГИ 39 631 031,66 ?                             ЗА 3 ГОДА ПО 223 ФЗ заключено 4 шт. с объемом НМЦ 2 173 791 800,00 ?</t>
  </si>
  <si>
    <t>08.12.12.140 Щебень
08.12.13.000 Смеси шлака и аналогичных промышленных отходов без добавления или с добавлением гальки, гравия, щебня и кремневой гальки для строительных целей</t>
  </si>
  <si>
    <t>1 732</t>
  </si>
  <si>
    <t>43.11.10.000 Работы по сносу зданий и сооружений
38.11.39.000 Отходы неопасные прочие, непригодные для повторного использования</t>
  </si>
  <si>
    <t>За весь период контрактов 30 шт. на общую сумму НМЦ 27 868 085 448,79 ?</t>
  </si>
  <si>
    <t>"223 за 3 года", ".", "рейтинг поставщиков в маркере по бг", "ушедший портфель", "Агентские отказ из-за непред-я док-ов",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"рейтинг по нмц маркер", "поставщики маркер"</t>
  </si>
  <si>
    <t>41.20.40.200 Работы по сохранению и воссозданию нежилых зданий, являющихся объектами культурного наследия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42.91.20.110 Работы строительные по строительству портовых и речных сооружений, пристаней для яхт, набережных, пирсов, молов, доков и аналогичных портовых сооружений, включая ремонт
41.20.40.110 Работы строительные по возведению и реконструкции объектов использования атомной энергии (кроме атомных электростанций)
71.12.12.110 Услуги по проектированию (включая изыскания) объектов использования атомной энергии
71.12.19.100 Услуги по инженерно-техническому проектированию прочих объектов, кроме объектов культурного наследия
71.11.32.000 Услуги по территориальному планированию и планировке территории
72.19.29.190 Услуги (работы), связанные с научными исследованиями и экспериментальными разработками в области технических наук и в области технологий, прочие, не включенные в другие группировки, кроме биотехнологии
41.10.10.000 Документация проектная для строительства ****</t>
  </si>
  <si>
    <t>За весь период контрактов 15 шт. на общую сумму НМЦ 34 256 555 932,57 ?</t>
  </si>
  <si>
    <t>"44 за 3 года", ".", "рейтинг поставщиков в маркере по бг", "компании Герберта", "ГРАНДИОЗНЫЙ ПРОЕКТ", "беники", "рейтинг заказчиков маркер", "рейтинг по нмц маркер", "это заказчик", "поставщики маркер"</t>
  </si>
  <si>
    <t>"поставщики маркер", ".", "fk1", "ПОС на 01.02.2023", "ПОС на 03.04.2023", "Кредитный портфель_01.11", "Пункт 3.1 09.01.2023", "все клиенты с выручкой от 1,8 млрд до бесконечности", "Обороты по клиентам по кварталам (2022г)", "Участники клиринга"</t>
  </si>
  <si>
    <t>19.20.21.315 Топливо дизельное летнее экологического класса К5
19.20.21.345 Топливо дизельное межсезонное экологического класса К5
19.20.21.300 Топливо дизельное
19.20.21.325 Топливо дизельное зимнее экологического класса К5
19.20.25.111 Топливо для реактивных двигателей летательных аппаратов с дозвуковой скоростью полета марки Джет-А1</t>
  </si>
  <si>
    <t>"223 за 3 года", ".", "fk1", "ПОС на 01.02.2023", "ПОС на 03.04.2023", "Кредитный портфель_01.11", "ушедшие", "06.2022_ФинХД", "все клиенты с выручкой от 1,8 млрд до бесконечности", "Обороты по клиентам по кварталам (2022г)", "Участники клиринга", "поставщики маркер"</t>
  </si>
  <si>
    <t>ЗА 3 ГОДА ПО 223 ФЗ заключено 23 шт. с объемом НМЦ 754 967 299,49 ? за 1 ГОД ПО 223ФЗ заключено 3  48 953 795,22 ?</t>
  </si>
  <si>
    <t>"223 за 3 года", ".", "223 фз контракты 20+", "рейтинг заказчиков маркер", "это заказчик"</t>
  </si>
  <si>
    <t>За весь период контрактов 13 шт. на общую сумму НМЦ 30 526 986 806,94 ?</t>
  </si>
  <si>
    <t>10.11.12 Свинина парная, остывшая или охлажденная, в том числе для детского питания
10.11.31.140 Субпродукты пищевые крупного рогатого скота замороженные
10.12.20.110 Мясо кур, в том числе цыплят (включая цыплят-бройлеров) замороженное
10.12.10.170 Мясо сельскохозяйственной птицы охлажденное для детского питания
10.12.40.121 Субпродукты кур (включая цыплят и цыплят-бройлеров) пищевые замороженные
10.12.40.111 Субпродукты кур (включая цыплят и цыплят-бройлеров) пищевые охлажденные
10.11.31.110 Говядина замороженная
01.47.21.000 Яйца куриные в скорлупе свежие
10.12.10.190 Мясо сельскохозяйственной птицы охлажденное, не включенное в другие группировки
10.12.10.110 Мясо кур, в том числе цыплят (включая цыплят-бройлеров) охлажденное</t>
  </si>
  <si>
    <t>ПОС на 03.04.2582</t>
  </si>
  <si>
    <t>"производители", ".", "выдали", "fk1", "ПОС на 03.04.2023", "Кредитный портфель_01.11", "06.2022_ФинХД", "Обороты по клиентам по кварталам (2022г)"</t>
  </si>
  <si>
    <t>38.22.29.000 Услуги по утилизации прочих опасных отходов
43.99.90.160 Аренда кранов и прочего строительного оборудования, которое не предназначено для одной конкретной строительной услуги, с оператором
38.11.19 Услуги по сбору прочих неопасных отходов, пригодных для повторного использования
38.21.29.000 Услуги по утилизации неопасных отходов прочие
49.41.20.000 Услуги по аренде грузовых транспортных средств с водителем
38.21.10.000 Услуги по переработке отходов неопасных для окончательной утилизации
46.49.36 Услуги по оптовой торговле сувенирами и предметами искусства
38.11.11.000 Услуги по сбору неопасных отходов городского хозяйства, пригодных для повторного использования
38.31.12.000 Услуги по демонтажу обломков, кроме судов и плавучих конструкций</t>
  </si>
  <si>
    <t>За весь период заходили в конкурсы  1 раз на общую сумму обеспеченных контрактов с НМЦ 52 687 176,40 ? с БГУ  3 154 920,75 ? с БГИ 6 309 841,50 ?</t>
  </si>
  <si>
    <t>"223 за 3 года", ".", "рейтинг поставщиков в маркере по бг", "fk1", "06.2022_ФинХД", "Обороты по клиентам по кварталам (2022г)", "рейтинг по нмц маркер", "это заказчик", "поставщики маркер", "44 за 3 года"</t>
  </si>
  <si>
    <t>24.44.1 Медь необработанная; штейн медный; медь цементационная (медь осажденная)
24.44.13.120 Сплавы медные необработанные</t>
  </si>
  <si>
    <t>38.32.11.000 Услуги по сортировке металлических материалов для восстановления</t>
  </si>
  <si>
    <t>"44 за 3 года", ".", "fk1", "ПОС на 01.02.2023", "ПОС на 03.04.2023", "Кредитный портфель_01.11", "корп 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"поставщики маркер"</t>
  </si>
  <si>
    <t>Заказчик разыгравший 28 конкурсов на сумму  9 604 349 735,77 ?</t>
  </si>
  <si>
    <t>"поставщики маркер", ".", "рейтинг заказчиков маркер"</t>
  </si>
  <si>
    <t>Сообщения о принятии решения о реорганизации от 30.06.2021</t>
  </si>
  <si>
    <t>41.20.40.900 Работы строительные по возведению нежилых зданий и сооружений прочие, не включенные в другие группировки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42.21.21.000 Работы строительные по прокладке магистральных трубопроводов</t>
  </si>
  <si>
    <t>За весь период компания заключила  16 контрактов на сумму  12 587 327 659,94 ? За весь период заходили в конкурсы  16 раз на общую сумму обеспеченных контрактов с НМЦ 10 560 362 896,87 ? с БГУ  486 739 371,69 ? с БГИ 1 439 274 809,51 ? За 3 ГОДА по 44ФЗ заключено 6 шт. с объемом НМЦ  4 067 970 067,59 ? с БГИ 406 797 006,76 ? с БГГО 50 056,00 ? с авансированием до 406 797 006,76 ? с комиссией банку 13 458 600,23 ? с кв 117 089,82 ?</t>
  </si>
  <si>
    <t>"223 за 3 года", "свод фт", ".", "рейтинг поставщиков в маркере по бг", "ГРАНДИОЗНЫЙ ПРОЕКТ", "Агентские отказ из-за непред-я док-ов", "производители", "рейтинг по нмц маркер", "на фт заводил Толстенкова", "crm управления", "crm Пител", "поставщики маркер", "44 за 3 года"</t>
  </si>
  <si>
    <t>Заказчик разыгравший 37 конкурсов на сумму  6 223 890 265,22 ?</t>
  </si>
  <si>
    <t>Юридическое лицо находится в процессе реорганизации в форме преобразования от 14.03.2023, Сообщения о принятии решения о реорганизации от 15.03.2023</t>
  </si>
  <si>
    <t>41.20.10.120 Здания общежитий
41.20.40.900 Работы строительные по возведению нежилых зданий и сооружений прочие, не включенные в другие группировки
43.32.10.110 Работы по установке дверных и оконных блоков и коробок, навеске дверных полотен (кроме дверей автоматического действия и вращающихся дверей), окон, оконных створок, планчатых створок, дверей гаражного типа и т. п. из любых материалов
43.39.19.190 Работы завершающие и отделочные в зданиях и сооружениях, прочие, не включенные в другие группировки
43.32.10.130 Работы по установке противопожарных дверей
43.34.10.110 Работы малярные во внутренних помещениях зданий
22.23.14.130 Ставни, жалюзи и аналогичные изделия и их комплектующие (запасные части) пластмассовые
43.29.19.190 Работы монтажные прочие, не включенные в другие группировки
43.32.10.120 Работы по устройству выходных дверей усиленной конструкции и установке дверей, усиленных металлической обшивкой</t>
  </si>
  <si>
    <t>24.44.24.120 Полосы и ленты из меди толщиной более 0,15 мм</t>
  </si>
  <si>
    <t>"поставщики маркер", ".", "fk1", "Обороты по клиентам по кварталам (2022г)"</t>
  </si>
  <si>
    <t>38.22.29.000 Услуги по утилизации прочих опасных отходов
38.22.19.000 Услуги по переработке прочих опасных отходов
38.12.13.000 Услуги по сбору опасных отходов городского хозяйства
38.21.10.000 Услуги по переработке отходов неопасных для окончательной утилизации</t>
  </si>
  <si>
    <t>47.52.7 Услуги по розничной торговле строительными материалами, не включенными в другие группировки, в специализированных магазинах
41.20 Здания и работы по возведению зданий
08.12.12.150 Камень природный дробленый
08.12 Гравий, песок, глины и каолин
43.99 Работы строительные специализированные, не включенные в другие группировки</t>
  </si>
  <si>
    <t>Заявка отозвана клиентом;Отклонена банком
Отказ из-за непредставления документов
Отклонена банком
Системная проверка не пройдена</t>
  </si>
  <si>
    <t>"223 за 3 года", "свод фт", ".", "кредиты фт", "лимит сит по кредитам", "рейтинг по нмц маркер", "на фт заводил Самар", "crm управления", "в crm за Самаром",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</si>
  <si>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61.1 Услуги телекоммуникационные проводные
61.10.3 Услуги по передаче данных по проводным телекоммуникационным сетям
61.10.30.120 Услуги документальной электросвязи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61.2 Услуги телекоммуникационные беспроводные
61.20.1 Услуги подвижной связи
61.20.11.000 Услуги подвижной связи общего пользования - обеспечение доступа и поддержка пользователя
61.20.2 Услуги операторов связи в сфере беспроводных телекоммуникаций
61.90.10.190 Услуги телекоммуникационные прочие, не включенные в другие группировки ****</t>
  </si>
  <si>
    <t>За весь период компания заключила  105 контрактов на сумму  33 453 904 442,86 ? За весь период заходили в конкурсы  147 раз на общую сумму обеспеченных контрактов с НМЦ 34 783 790 012,41 ? с БГУ  863 673 882,27 ? с БГИ 5 587 117 650,10 ? За 3 ГОДА по 44ФЗ заключено 585 шт. с объемом НМЦ  6 127 961 046,11 ? с БГИ 1 220 027 275,80 ? с БГГО 46 660 633,52 ? с авансированием до 102 476 198,14 ? с комиссией банку 10 104 788,46 ? с кв 87 911,66 ? ЗА 1 ГОД по 44ФЗ заключено 111 шт. c объемом НМЦ 935 760 283,82 ? с БГИ 185 546 085,09 ? с БГГО 526 244,00 ? с авансированием до  9 226 810,07 ? с комиссией банку  5 148 842,51 ? с кв 44 794,93 ? ЗА 3 ГОДА ПО 223 ФЗ заключено 247 шт. с объемом НМЦ 650 310 899,29 ? за 1 ГОД ПО 223ФЗ заключено 63  331 497 627,68 ?</t>
  </si>
  <si>
    <t>Сообщения о принятии решения о реорганизации от 31.05.2021</t>
  </si>
  <si>
    <t>"223 за 3 года", ".", "рейтинг поставщиков в маркере по бг", "ГРАНДИОЗНЫЙ ПРОЕКТ", "беники", "Конкурсы 100+ (Восстановленный)", "fk1", "ИНН_договоры_октябрь_", "06.2022_ФинХД", "клиенты с в от100млн 09.21", "все клиенты с выручкой от 1,8 млрд до бесконечности", "223 фз контракты 20+", "44 фз с с БГ от 10 млн", "рейтинг по нмц маркер", "это заказчик", "поставщики маркер", "44 за 3 года"</t>
  </si>
  <si>
    <t>"поставщики маркер", ".", "ушедшие", "все клиенты с выручкой от 1,8 млрд до бесконечности", "рейтинг заказчиков маркер", "это заказчик"</t>
  </si>
  <si>
    <t>52.29.19.110 Услуги по экспедированию грузов
49.20.14.000 Услуги железнодорожного транспорта по перевозке контейнеров для смешанной перевозки
49.41.14.000 Услуги по перевозке автомобильным транспортом грузов в контейнерах
49.41.20 Услуги по аренде грузовых транспортных средств с водителем
52.29.20.000 Услуги транспортные вспомогательные прочие, не включенные в другие группировки
49.20.16.000 Услуги железнодорожного транспорта по перевозке сыпучих бестарных грузов
49.41 Услуги по грузовым перевозкам автомобильным транспортом
49.41.19.900 Услуги по перевозке грузов автомобильным транспортом прочие, не включенные в другие группировки
52.21.29.000 Услуги, связанные с автомобильным транспортом, прочие
52.21.11.000 Услуги железнодорожные маневровые или буксировочные</t>
  </si>
  <si>
    <t>за 1 ГОД ПО 223ФЗ заключено 4  12 556 048,00 ?</t>
  </si>
  <si>
    <t>Юридическое лицо находится в процессе реорганизации в форме преобразования от 05.04.2023, Сообщения о принятии решения о реорганизации от 04.04.2023</t>
  </si>
  <si>
    <t>22.11.14.190 Шины и покрышки пневматические прочие новые</t>
  </si>
  <si>
    <t>"поставщики маркер", ".", "ушедший портфель", "fk1", "ИНН 3 года - нет КД БГ на 01.10.22", "Список ушедший ", "это заказчик"</t>
  </si>
  <si>
    <t>77 Услуги по аренде и лизингу</t>
  </si>
  <si>
    <t>За весь период компания заключила  1 контрактов на сумму  558 115 002,45 ?</t>
  </si>
  <si>
    <t>45.20 Услуги по техническому обслуживанию и ремонту автотранспортных средств</t>
  </si>
  <si>
    <t>Сообщение кредитора о намерении обратиться в суд с заявлением о банкротстве от 20.03.2023</t>
  </si>
  <si>
    <t>"223 за 3 года", ".", "fk1", "корп 1", "поставщики маркер"</t>
  </si>
  <si>
    <t>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42.13.10.110 Мосты и путепроводы из любых материалов для всех типов сухопутного транспорта и для пешеходов
42.11.10.120 Дороги автомобильные, в том числе улично-дорожная сеть, и прочие автомобильные и пешеходные дороги
52.29.2 Услуги транспортные вспомогательные прочие, не включенные в другие группировки
42.11.10.159 Дороги подъездные, транспортные и пешеходные путепроводы над и под дорогой, велосипедные дорожки прочие
42.13.10.111 Мост автодорожный
42.11.10.140 Стоянки автомобильные с твердым покрытием
42.13.20.100 Работы строительные по строительству мостов и тоннелей, кроме работ по сохранению и воссозданию объектов культурного наследия ****</t>
  </si>
  <si>
    <t>За весь период компания заключила  77 контрактов на сумму  29 437 560 550,21 ? За весь период заходили в конкурсы  192 раз на общую сумму обеспеченных контрактов с НМЦ 44 268 654 259,27 ? с БГУ  1 591 911 858,59 ? с БГИ 11 652 366 874,56 ? За 3 ГОДА по 44ФЗ заключено 633 шт. с объемом НМЦ  15 746 608 227,21 ? с БГИ 1 913 022 596,92 ? с БГГО 213 182 376,42 ? с авансированием до 546 327 047,11 ? с комиссией банку 23 304 684,99 ? с кв 202 750,76 ? ЗА 1 ГОД по 44ФЗ заключено 237 шт. c объемом НМЦ 7 420 073 718,40 ? с БГИ 1 026 633 600,62 ? с БГГО 71 776 325,57 ? с авансированием до  601 761 880,81 ? с комиссией банку  12 707 535,13 ? с кв 110 555,56 ? ЗА 3 ГОДА ПО 223 ФЗ заключено 12 шт. с объемом НМЦ 30 340 900,49 ?</t>
  </si>
  <si>
    <t>Сообщения о принятии решения о реорганизации от 22.02.2022</t>
  </si>
  <si>
    <t>"223 за 3 года", "кл фт агент бг 04.22", ".", "рейтинг поставщиков в маркере по бг", "ГРАНДИОЗНЫЙ ПРОЕКТ", "Конкурсы 100+ (Восстановленный)", "fk1", "БГ ФБ ЮР лица на 01.07.2021", "Гарантии ФБ банкроты", "филиал бизнес 31.01.22 ", "лимит сит по кредитам", "Пустые_Клиенты",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"44 фз с с БГ от 10 млн", "рейтинг заказчиков маркер", "производители", "рейтинг по нмц маркер", "это заказчик", "поставщики маркер", "44 за 3 года"</t>
  </si>
  <si>
    <t>42.99.19.142 Ограды (заборы) металлические
36.00.11 Вода питьевая
46.71.11.000 Услуги по оптовой торговле твердым топливом
36.00.30.000 Услуги по торговле водой, поставляемой по трубопроводам
35.30.11.120 Энергия тепловая, отпущенная котельными
35.30.11.111 Энергия тепловая, отпущенная тепловыми электроцентралями (ТЭЦ)
16.10.23.112 Щепа топливная</t>
  </si>
  <si>
    <t>"223 за 3 года", ".", "райф", "все клиенты с выручкой от 1,8 млрд до бесконечности", "производители", "поставщики маркер"</t>
  </si>
  <si>
    <t>71.12 Услуги в области инженерно-технического проектирования и связанные технические консультативные услуги
33.12.2 Услуги по ремонту и техническому обслуживанию оборудования специального назначения
74.90.2 Услуги профессиональные, технические и коммерческие, прочие, не включенные в другие группировки
62.01 Продукты программные и услуги по разработке и тестированию программного обеспечения
62.02.2 Услуги консультативные по вопросам систем и программному обеспечению
62.02 Услуги консультативные, связанные с компьютерной техникой
62.02.30 Услуги по технической поддержке информационных технологий
62.03.11 Услуги по управлению сетями
71.12.1 Услуги инженерно-технического характера
41.10 Документация проектная для строительства ****</t>
  </si>
  <si>
    <t>За весь период компания заключила  4 контрактов на сумму  805 230 195,06 ?                                     ЗА 3 ГОДА ПО 223 ФЗ заключено 3 шт. с объемом НМЦ 35 989 623,02 ? за 1 ГОД ПО 223ФЗ заключено 2  29 950 000,00 ?</t>
  </si>
  <si>
    <t>На 06.04.2023 14:10 имеются действующие решения ФНС о приостановлении операций по счетам</t>
  </si>
  <si>
    <t>"Участники клиринга", ".", "инн Ленинградка",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</si>
  <si>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1 297</t>
  </si>
  <si>
    <t>За 3 года по 223ФЗ заключено  1 шт контрактов на сумму 458 942 035,20 ?</t>
  </si>
  <si>
    <t>19.20.32.119 Газы нефтяные прочие, не включенные в другие группировки
19.20.21.124 Бензин автомобильный с октановым числом более 92, но не более 95 по исследовательскому методу экологического класса К4
46.71.12.000 Услуги по оптовой торговле моторным топливом, включая авиационный бензин
46.71.13.142 Услуги по оптовой торговле сжиженными углеводородными газами по нерегулируемым государством ценам (тарифам)
19.20.21.321 Топливо дизельное зимнее вне классов
19.20.31.120 Бутан сжиженный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06.20.10.130 Газ горючий природный сжиженный и регазифицированный ****</t>
  </si>
  <si>
    <t>За 3 ГОДА по 44ФЗ заключено 226 шт. с объемом НМЦ  319 991 845,31 ? с БГИ 18 344 948,85 ? с БГГО 215 295,22 ? с авансированием до 109 395,84 ? с комиссией банку 180 332,45 ? с кв 1 568,89 ?               ЗА 3 ГОДА ПО 223 ФЗ заключено 8 шт. с объемом НМЦ 26 703 987,00 ? за 1 ГОД ПО 223ФЗ заключено 2  6 290 520,00 ?</t>
  </si>
  <si>
    <t>"223 за 3 года", ".", "БГИ", "БГ ФБ ЮР лица на 01.07.2021", "филиал бизнес 31.01.22 ", "все клиенты с выручкой от 1,8 млрд до бесконечности", "ФК клиенты с выручкой от 230 до бесконечности", "Одобренные но не выданные 1 полугодие 2021", "производители", "это заказчик", "поставщики маркер", "44 за 3 года"</t>
  </si>
  <si>
    <t>71.12.16.000 Услуги по инженерно-техническому проектированию производственных процессов и производств
71.12 Услуги в области инженерно-технического проектирования и связанные технические консультативные услуги
71.11.22.000 Услуги в области архитектуры, связанные с проектами строительства нежилых зданий и сооружений
71.1 Услуги в области архитектуры, инженерно-технического проектирования и связанные технические консультативные услуги
71.12.1 Услуги инженерно-технического характера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68.20.12.000 Услуги по сдаче в аренду (внаем) собственных или арендованных нежилых помещений
71.12.12.190 Услуги по инженерно-техническому проектированию зданий прочие, не включенные в другие группировки</t>
  </si>
  <si>
    <t>За весь период компания заключила  30 контрактов на сумму  3 249 030 213,53 ? За весь период заходили в конкурсы  2 раз на общую сумму обеспеченных контрактов с НМЦ 82 500 000,00 ? с БГУ  4 972 221,10 ? с БГИ 32 922 211,00 ?</t>
  </si>
  <si>
    <t>"поставщики маркер", ".", "рейтинг поставщиков в маркере по бг", "все клиенты с выручкой от 1,8 млрд до бесконечности", "рейтинг по нмц маркер", "это заказчик"</t>
  </si>
  <si>
    <t>52.23.19.110 Работы авиационные
51.10 Услуги по пассажирским перевозкам воздушным транспортом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85.42.1 Услуги по дополнительному профессиональному образованию
51.10.11.000 Услуги по регулярным пассажирским перевозкам воздушным транспортом на местных линиях
68.20.12.000 Услуги по сдаче в аренду (внаем) собственных или арендованных нежилых помещений
52.23.11 Услуги аэропортов, кроме обработки грузов</t>
  </si>
  <si>
    <t>За весь период компания заключила  41 контрактов на сумму  23 129 001 546,08 ?                                         за 1 ГОД ПО 223ФЗ заключено 1  10 594 294 592,19 ?</t>
  </si>
  <si>
    <t>Сообщение кредитора о намерении обратиться в суд с заявлением о банкротстве от 14.12.2022</t>
  </si>
  <si>
    <t>"223 за 3 года", ".", "Конкурсы 100+ (Восстановленный)", "все клиенты с выручкой от 1,8 млрд до бесконечности", "223 фз контракты 20+", "рейтинг заказчиков маркер", "рейтинг по нмц маркер"</t>
  </si>
  <si>
    <t>27.90.33.110 Комплектующие (запасные части) прочего электрического оборудования, не имеющие самостоятельных группировок
71.12.16.000 Услуги по инженерно-техническому проектированию производственных процессов и производств
33.20.39 Услуги по монтажу прочего оборудования специального назначения
27.90 Оборудование электрическое прочее
71.12 Услуги в области инженерно-технического проектирования и связанные технические консультативные услуги
26.30.11.190 Аппаратура коммуникационная передающая с приемными устройствами прочая, не включенная в другие группировки
28.14.1 Арматура (краны, клапаны и другая аналогичная арматура) для трубопроводов, сосудов, котлов, цистерн, баков и аналогичных емкостей
28.99.39.190 Оборудование специального назначения прочее, не включенное в другие группировки
71.12.1 Услуги инженерно-технического характера
43.21.10 Работы электромонтажные ****</t>
  </si>
  <si>
    <t>За весь период контрактов 143 шт. на общую сумму НМЦ 128 291 461 065,40 ?</t>
  </si>
  <si>
    <t>"223 за 3 года", ".", "fk1", "все клиенты с выручкой от 1,8 млрд до бесконечности", "Обороты по клиентам по кварталам (2022г)", "рейтинг заказчиков маркер", "производители", "рейтинг по нмц маркер", "это заказчик", "поставщики маркер"</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</si>
  <si>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09.1 Услуги по добыче нефти и природного газа
09.10.11.190 Услуги по бурению, связанные с добычей нефти и горючего природного газа, не включенные в другие группировки</t>
  </si>
  <si>
    <t>За весь период контрактов 160 шт. на общую сумму НМЦ 345 459 250 649,22 ?</t>
  </si>
  <si>
    <t>Сообщение кредитора о намерении обратиться в суд с заявлением о банкротстве от 27.01.2021</t>
  </si>
  <si>
    <t>27.5 Приборы бытовые
27.51.2 Приборы бытовые электрические прочие, не включенные в другие группировки
27.52 Приборы бытовые неэлектрические
27.52.11.110 Плиты газовые бытовые
25.50.12.110 Услуги по штамповке изделий из черных металлов
32.99 Изделия готовые прочие, не включенные в другие группировки
27.52.12 Приборы бытовые прочие, на газовом топливе или на газовом и других видах топлива, на жидком топливе и на твердом топливе</t>
  </si>
  <si>
    <t>1 191</t>
  </si>
  <si>
    <t>Заказчик разыгравший 197 конкурсов на сумму  51 813 584 660,45 ?</t>
  </si>
  <si>
    <t>"рейтинг по нмц маркер", ".", "все клиенты с выручкой от 1,8 млрд до бесконечности", "рейтинг заказчиков маркер", "производители"</t>
  </si>
  <si>
    <t>71.12.16.000 Услуги по инженерно-техническому проектированию производственных процессов и производств
71.12.40.120 Услуги в области метрологии
72.19.50.000 Работы оригинальные научных исследований и экспериментальных разработок в области естественных и технических наук, кроме биотехнологии
09.10.11 Услуги по бурению, связанные с добычей нефти и горючего природного газа
71.12.33 Услуги по разведке полезных ископаемых и оценке их месторождений
72.20.11 Услуги, связанные с научными исследованиями и экспериментальными разработками в области экономики и предпринимательства
71.12.11 Услуги в виде научно-технических консультаций
71.12.31 Услуги геологические и геофизические консультативные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09.90.19 Услуги в горнодобывающем производстве, не включенные в другие группировки ****</t>
  </si>
  <si>
    <t>2 190</t>
  </si>
  <si>
    <t>За весь период компания заключила  22 контрактов на сумму  1 118 656 421,33 ? За весь период заходили в конкурсы  1 раз на общую сумму обеспеченных контрактов с НМЦ 99 000 000,00 ? с БГУ  5 500 000,00 ? с БГИ 16 500 000,00 ?                             ЗА 3 ГОДА ПО 223 ФЗ заключено 4 шт. с объемом НМЦ 66 768 636,44 ? за 1 ГОД ПО 223ФЗ заключено 1  31 000 000,00 ?</t>
  </si>
  <si>
    <t>Сообщения о принятии решения о реорганизации от 29.09.2021</t>
  </si>
  <si>
    <t>"223 за 3 года", ".", "рейтинг поставщиков в маркере по бг",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t>
  </si>
  <si>
    <t>71.12.20.190 Услуги по руководству строительными проектами прочие
71.12.40.139 Услуги в области аккредитации прочие, не включенные в другие группировки
71.20 Услуги в области технических испытаний, исследований, анализа и сертификации</t>
  </si>
  <si>
    <t>1 807</t>
  </si>
  <si>
    <t>Заказчик разыгравший 47 конкурсов на сумму  5 664 941 671,40 ?</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</si>
  <si>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85.31 Услуги по профессиональному обучению
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
09.10 Услуги по добыче нефти и природного газа
09.10.12.190 Услуги, связанные с добычей нефти, газового конденсата и горючего природного газа, прочие
09.10.12 Услуги по монтажу, ремонту и демонтажу буровых вышек и услуги взаимосвязанные по добыче нефти и горючего природного газа
71.20 Услуги в области технических испытаний, исследований, анализа и сертификации
85.42.19 Услуги по дополнительному профессиональному образованию прочие
71.20.19.110 Услуги по проведению экспертизы проектной документации и результатов инженерных изысканий
09.10.11.190 Услуги по бурению, связанные с добычей нефти и горючего природного газа, не включенные в другие группировки ****</t>
  </si>
  <si>
    <t>1 202</t>
  </si>
  <si>
    <t>За весь период контрактов 9 шт. на общую сумму НМЦ 1 538 017 363,84 ?</t>
  </si>
  <si>
    <t>"поставщики маркер", ".", "рейтинг заказчиков маркер", "производители", "рейтинг по нмц маркер", "это заказчик"</t>
  </si>
  <si>
    <t>35.22.10.110 Услуги по распределению и снабжению газовым топливом всех видов по системам распределительных трубопроводов
33.12.29.900 Услуги по ремонту и техническому обслуживанию прочего оборудования специального назначения, не включенные в другие группировки
35.12.10.120 Услуги по технологическому присоединению к распределительным электросетям
71.12.20 Услуги по руководству строительными проектами
35.22.10.120 Услуги по техническому обслуживанию приборов учета расхода газа
33.12.19.000 Услуги по ремонту и техническому обслуживанию прочего оборудования общего назначения, не включенного в другие группировки
42.21.12.152 Отвод от трубопровода местного (газопровода)
70.22 Услуги консультативные в области управления предприятием
35.23.10.110 Услуги по продаже потребителям газа, подаваемого по распределительным трубопроводам</t>
  </si>
  <si>
    <t>3 220</t>
  </si>
  <si>
    <t>За весь период компания заключила  3 контрактов на сумму  28 476 827 809,83 ?</t>
  </si>
  <si>
    <t>71.12.40.120 Услуги в области метрологии
43.99.90.190 Работы строительные специализированные прочие, не включенные в другие группировки
42.21.11.119 Трубопроводы и отводы магистральные наземные и подводные для перекачки нефтепродуктов и газа прочие
71.12.40.149 Услуги государственного контроля (надзора) за соблюдением требований технических регламентов прочие, не включенные в другие группировки
43.22.20.000 Работы по монтажу газовых систем
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35.22.10.110 Услуги по распределению и снабжению газовым топливом всех видов по системам распределительных трубопроводов
33.12.29.900 Услуги по ремонту и техническому обслуживанию прочего оборудования специального назначения, не включенные в другие группировки
42.21.11.113 Отвод от трубопровода магистрального для перекачки газа (газопровод магистральный) ****</t>
  </si>
  <si>
    <t>2 314</t>
  </si>
  <si>
    <t>За весь период заходили в конкурсы  1 раз на общую сумму обеспеченных контрактов с НМЦ 60 000 000,00 ? с БГУ  3 028 501,00 ? с БГИ 6 057 002,00 ?</t>
  </si>
  <si>
    <t>43.22.12.120 Работы по установке и техническому обслуживанию систем управления центральным отоплением
43.99.90.190 Работы строительные специализированные прочие, не включенные в другие группировки
42.21.11.119 Трубопроводы и отводы магистральные наземные и подводные для перекачки нефтепродуктов и газа прочие
43.22.20.000 Работы по монтажу газовых систем
35.22.10.110 Услуги по распределению и снабжению газовым топливом всех видов по системам распределительных трубопроводов
41.20.40.900 Работы строительные по возведению нежилых зданий и сооружений прочие, не включенные в другие группировки
43.22.12.140 Работы по ремонту и техническому обслуживанию бытовых отопительных котлов и бойлеров
35.12.10.120 Услуги по технологическому присоединению к распределительным электросетям
42.21.11.111 Трубопровод магистральный наземный и подводный для перекачки газа (газопровод магистральный)
35.22.10.120 Услуги по техническому обслуживанию приборов учета расхода газа ****</t>
  </si>
  <si>
    <t>3 587</t>
  </si>
  <si>
    <t>Заказчик разыгравший 43 конкурсов на сумму  10 568 706 080,92 ?</t>
  </si>
  <si>
    <t>"223 за 3 года", ".", "рейтинг поставщиков в маркере по бг", "все клиенты с выручкой от 1,8 млрд до бесконечности", "рейтинг заказчиков маркер", "это заказчик", "поставщики маркер", "44 за 3 года"</t>
  </si>
  <si>
    <t>43.22.12.120 Работы по установке и техническому обслуживанию систем управления центральным отоплением
43.22.20.000 Работы по монтажу газовых систем
33.12.2 Услуги по ремонту и техническому обслуживанию оборудования специального назначения
35.22.10.110 Услуги по распределению и снабжению газовым топливом всех видов по системам распределительных трубопроводов
33.12.29.900 Услуги по ремонту и техническому обслуживанию прочего оборудования специального назначения, не включенные в другие группировки
42.21.11.113 Отвод от трубопровода магистрального для перекачки газа (газопровод магистральный)
43.22.12.140 Работы по ремонту и техническому обслуживанию бытовых отопительных котлов и бойлеров
35.12.10.120 Услуги по технологическому присоединению к распределительным электросетям
35.30.11.120 Энергия тепловая, отпущенная котельными
42.21.11.111 Трубопровод магистральный наземный и подводный для перекачки газа (газопровод магистральный) ****</t>
  </si>
  <si>
    <t>3 952</t>
  </si>
  <si>
    <t>Заказчик разыгравший 33 конкурсов на сумму  2 963 464 961,59 ?</t>
  </si>
  <si>
    <t>49.50.1 Услуги трубопроводного транспорта
46.71.13.130 Услуги по оптовой торговле природным (естественным) газом
71.12.20.190 Услуги по руководству строительными проектами прочие
35.22.10.110 Услуги по распределению и снабжению газовым топливом всех видов по системам распределительных трубопроводов
35.22.10 Услуги по распределению газообразного топлива по трубопроводам
35.12.10.120 Услуги по технологическому присоединению к распределительным электросетям
42.21.11.111 Трубопровод магистральный наземный и подводный для перекачки газа (газопровод магистральный)
06.20.10.132 Газ горючий природный регазифицированный
06.20.10.131 Газ горючий природный сжиженный
42.21.12.120 Трубопровод местный для газа (газопровод) ****</t>
  </si>
  <si>
    <t>1 231</t>
  </si>
  <si>
    <t>За весь период компания заключила  10 контрактов на сумму  1 919 529 224,90 ? За весь период заходили в конкурсы  6 раз на общую сумму обеспеченных контрактов с НМЦ 1 173 924 708,41 ? с БГУ  75 206 362,45 ? с БГИ 229 177 532,50 ?</t>
  </si>
  <si>
    <t>43.99.90.190 Работы строительные специализированные прочие, не включенные в другие группировки
43.22.20.000 Работы по монтажу газовых систем
71.12.20.190 Услуги по руководству строительными проектами прочие
33.12.2 Услуги по ремонту и техническому обслуживанию оборудования специального назначения
35.22.10.110 Услуги по распределению и снабжению газовым топливом всех видов по системам распределительных трубопроводов
35.22.10 Услуги по распределению газообразного топлива по трубопроводам
33.12.29.900 Услуги по ремонту и техническому обслуживанию прочего оборудования специального назначения, не включенные в другие группировки
33.12.1 Услуги по ремонту и техническому обслуживанию оборудования общего назначения
35.12.10.120 Услуги по технологическому присоединению к распределительным электросетям
35.30.11.120 Энергия тепловая, отпущенная котельными ****</t>
  </si>
  <si>
    <t>5 902</t>
  </si>
  <si>
    <t>Заказчик разыгравший 126 конкурсов на сумму  31 384 947 930,50 ?</t>
  </si>
  <si>
    <t>43.99.90.190 Работы строительные специализированные прочие, не включенные в другие группировки
35.22 Услуги по распределению газообразного топлива по трубопроводам
71.12.40.149 Услуги государственного контроля (надзора) за соблюдением требований технических регламентов прочие, не включенные в другие группировки
43.22.20.000 Работы по монтажу газовых систем
71.12.20.190 Услуги по руководству строительными проектами прочие
71.20.19.111 Услуги по проведению государственной экспертизы проектной документации и результатов инженерных изысканий
35.22.10.110 Услуги по распределению и снабжению газовым топливом всех видов по системам распределительных трубопроводов
33.12.29.900 Услуги по ремонту и техническому обслуживанию прочего оборудования специального назначения, не включенные в другие группировки
42.21.11.113 Отвод от трубопровода магистрального для перекачки газа (газопровод магистральный)
71.11.22.000 Услуги в области архитектуры, связанные с проектами строительства нежилых зданий и сооружений ****</t>
  </si>
  <si>
    <t>2 188</t>
  </si>
  <si>
    <t>За весь период компания заключила  5 контрактов на сумму  1 108 686 534,46 ? За весь период заходили в конкурсы  11 раз на общую сумму обеспеченных контрактов с НМЦ 702 826 951,04 ? с БГУ  41 449 184,22 ? с БГИ 159 231 894,74 ?               ЗА 1 ГОД по 44ФЗ заключено 10 шт. c объемом НМЦ 24 378 812,51 ? с БГИ 1 444 200,24 ? с БГГО 123 915,11 ? с авансированием до  0,00 ? с комиссией банку  109 548,26 ? с кв 953,07 ?</t>
  </si>
  <si>
    <t>55.90.19.000 Услуги по предоставлению временного жилья прочие, не включенные в другие группировки
35.22 Услуги по распределению газообразного топлива по трубопроводам
43.22.20.000 Работы по монтажу газовых систем
71.12 Услуги в области инженерно-технического проектирования и связанные технические консультативные услуги
42.21.12 Трубопроводы местные для жидкостей и газа
71.20.19.111 Услуги по проведению государственной экспертизы проектной документации и результатов инженерных изысканий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41.20.40.900 Работы строительные по возведению нежилых зданий и сооружений прочие, не включенные в другие группировки
43.22.12.140 Работы по ремонту и техническому обслуживанию бытовых отопительных котлов и бойлеров ****</t>
  </si>
  <si>
    <t>2 727</t>
  </si>
  <si>
    <t>Заказчик разыгравший 28 конкурсов на сумму  2 828 261 565,49 ?</t>
  </si>
  <si>
    <t>"223 за 3 года", ".", "рейтинг заказчиков маркер", "это заказчик", "поставщики маркер", "44 за 3 года"</t>
  </si>
  <si>
    <t>80.10.19.000 Услуги в области обеспечения безопасности прочие
71.12.40.149 Услуги государственного контроля (надзора) за соблюдением требований технических регламентов прочие, не включенные в другие группировки
43.22.20.000 Работы по монтажу газовых систем
71.12.20.190 Услуги по руководству строительными проектами прочие
71.20.19.111 Услуги по проведению государственной экспертизы проектной документации и результатов инженерных изысканий
35.22.10.110 Услуги по распределению и снабжению газовым топливом всех видов по системам распределительных трубопроводов
33.12.29.900 Услуги по ремонту и техническому обслуживанию прочего оборудования специального назначения, не включенные в другие группировки
42.21.11.113 Отвод от трубопровода магистрального для перекачки газа (газопровод магистральный)
43.22.12.140 Работы по ремонту и техническому обслуживанию бытовых отопительных котлов и бойлеров
71.20.12.000 Услуги в области испытаний, исследований и анализа физико-механических свойств материалов и веществ ****</t>
  </si>
  <si>
    <t>4 320</t>
  </si>
  <si>
    <t>За весь период контрактов 4 шт. на общую сумму НМЦ 8 989 338 385,99 ?</t>
  </si>
  <si>
    <t>Сообщения о принятии решения о реорганизации от 13.10.2022</t>
  </si>
  <si>
    <t>43.22.12.120 Работы по установке и техническому обслуживанию систем управления центральным отоплением
42.11 Дороги автомобильные и автомагистрали; строительные работы по строительству автомобильных дорог и автомагистралей
43.99.90.190 Работы строительные специализированные прочие, не включенные в другие группировки
35.2 Газы горючие искусственные; услуги по распределению газообразного топлива по трубопроводам
42.21.11.119 Трубопроводы и отводы магистральные наземные и подводные для перекачки нефтепродуктов и газа прочие
43.22.20.000 Работы по монтажу газовых систем
35.22.10.110 Услуги по распределению и снабжению газовым топливом всех видов по системам распределительных трубопроводов
33.12.29.900 Услуги по ремонту и техническому обслуживанию прочего оборудования специального назначения, не включенные в другие группировки
43.22.12.140 Работы по ремонту и техническому обслуживанию бытовых отопительных котлов и бойлеров
35.30.12.140 Услуги по подключению (технологическому присоединению) к централизованной системе горячего водоснабжения ****</t>
  </si>
  <si>
    <t>3 790</t>
  </si>
  <si>
    <t>За весь период контрактов 1 шт. на общую сумму НМЦ 596 084 800,00 ?</t>
  </si>
  <si>
    <t>"223 за 3 года", ".", "рейтинг заказчиков маркер", "рейтинг по нмц маркер", "это заказчик", "поставщики маркер", "44 за 3 года"</t>
  </si>
  <si>
    <t>43.22.12.120 Работы по установке и техническому обслуживанию систем управления центральным отоплением
43.99.90.190 Работы строительные специализированные прочие, не включенные в другие группировки
35.22 Услуги по распределению газообразного топлива по трубопроводам
42.21.11.119 Трубопроводы и отводы магистральные наземные и подводные для перекачки нефтепродуктов и газа прочие
43.22.20.000 Работы по монтажу газовых систем
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42.21.12 Трубопроводы местные для жидкостей и газа
35.22.10.110 Услуги по распределению и снабжению газовым топливом всех видов по системам распределительных трубопроводов
33.12.29.900 Услуги по ремонту и техническому обслуживанию прочего оборудования специального назначения, не включенные в другие группировки ****</t>
  </si>
  <si>
    <t>2 902</t>
  </si>
  <si>
    <t>За весь период контрактов 5 шт. на общую сумму НМЦ 2 786 189 564,04 ?</t>
  </si>
  <si>
    <t>71.12.19 Услуги по инженерно-техническому проектированию прочих объектов
43.99.90.190 Работы строительные специализированные прочие, не включенные в другие группировки
33.20 Услуги по монтажу промышленных машин и оборудования
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43.22.20.000 Работы по монтажу газовых систем
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33.1 Услуги по ремонту металлоизделий, машин и оборудования
35.22.10.110 Услуги по распределению и снабжению газовым топливом всех видов по системам распределительных трубопроводов ****</t>
  </si>
  <si>
    <t>За весь период заходили в конкурсы  22 раз на общую сумму обеспеченных контрактов с НМЦ 151 182 840,00 ? с БГУ  3 029 656,80 ? с БГИ 90 889 704,00 ? За 3 ГОДА по 44ФЗ заключено 14 шт. с объемом НМЦ  157 854 823,07 ? с БГИ 45 857 824,07 ? с БГГО 1 594 827,24 ? с авансированием до 0,00 ? с комиссией банку 218 558,08 ? с кв 1 901,46 ?                   за 1 ГОД ПО 223ФЗ заключено 5  6 890 195,82 ?</t>
  </si>
  <si>
    <t>"223 за 3 года", ".", "рейтинг поставщиков в маркере по бг", "Конкурсы 100+ (Восстановленный)", "все клиенты с выручкой от 1,8 млрд до бесконечности", "44 фз с с БГ от 10 млн", "рейтинг заказчиков маркер", "это заказчик", "поставщики маркер", "44 за 3 года"</t>
  </si>
  <si>
    <t>42.11 Дороги автомобильные и автомагистрали; строительные работы по строительству автомобильных дорог и автомагистралей
35.22 Услуги по распределению газообразного топлива по трубопроводам
42.21.11.119 Трубопроводы и отводы магистральные наземные и подводные для перекачки нефтепродуктов и газа прочие
43.22.20.000 Работы по монтажу газовых систем
35.22.10.110 Услуги по распределению и снабжению газовым топливом всех видов по системам распределительных трубопроводов
82.99.19 Услуги вспомогательные, связанные с предпринимательской деятельностью, прочие, не включенные в другие группировки
33.12.29.900 Услуги по ремонту и техническому обслуживанию прочего оборудования специального назначения, не включенные в другие группировки
33.19.10.000 Услуги по ремонту прочего оборудования
35.12.10.120 Услуги по технологическому присоединению к распределительным электросетям
49.50.11.110 Услуги по транспортировке по трубопроводам нефти ****</t>
  </si>
  <si>
    <t>1 564</t>
  </si>
  <si>
    <t>За весь период компания заключила  2 контрактов на сумму  2 107 754 419,05 ?</t>
  </si>
  <si>
    <t>22.29 Изделия пластмассовые прочие
27.52 Приборы бытовые неэлектрические
22.11.11.000 Шины и покрышки пневматические для легковых автомобилей новые
22.21.2 Трубы, трубки и шланги и их фитинги пластмассовые
24 Металлы основные
24.20.13.130 Трубы стальные электросварные
25.73.30.180 Инструмент вспомогательный для крепления режущего инструмента
25.93.15.120 Электроды с покрытием
26.51.52.130 Приборы для измерения или контроля давления жидкостей и газов
17 Бумага и изделия из бумаги ****</t>
  </si>
  <si>
    <t>Заказчик разыгравший 32 конкурсов на сумму  9 575 017 130,79 ?</t>
  </si>
  <si>
    <t>"223 за 3 года", ".", "Конкурсы 100+ (Восстановленный)", "рейтинг заказчиков маркер", "это заказчик", "поставщики маркер"</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</si>
  <si>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43.22.20.000 Работы по монтажу газовых систем
71.12.20.190 Услуги по руководству строительными проектами прочие
35.22.10.110 Услуги по распределению и снабжению газовым топливом всех видов по системам распределительных трубопроводов
33.12.29.900 Услуги по ремонту и техническому обслуживанию прочего оборудования специального назначения, не включенные в другие группировки
43.22.12.140 Работы по ремонту и техническому обслуживанию бытовых отопительных котлов и бойлеров
94.11 Услуги, предоставляемые коммерческими и предпринимательскими членскими организациями
71.20.12.000 Услуги в области испытаний, исследований и анализа физико-механических свойств материалов и веществ ****</t>
  </si>
  <si>
    <t>2 058</t>
  </si>
  <si>
    <t>Заказчик разыгравший 62 конкурсов на сумму  11 586 179 869,79 ?</t>
  </si>
  <si>
    <t>71.12.40.120 Услуги в области метрологии
49.50.1 Услуги трубопроводного транспорта
42.21.11.119 Трубопроводы и отводы магистральные наземные и подводные для перекачки нефтепродуктов и газа прочие
43.22.20.000 Работы по монтажу газовых систем
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35.22.10.110 Услуги по распределению и снабжению газовым топливом всех видов по системам распределительных трубопроводов
49.50.12.120 Услуги по транспортировке по трубопроводам продуктов переработки газа
33.12.29.900 Услуги по ремонту и техническому обслуживанию прочего оборудования специального назначения, не включенные в другие группировки
42.21.11.111 Трубопровод магистральный наземный и подводный для перекачки газа (газопровод магистральный) ****</t>
  </si>
  <si>
    <t>1 428</t>
  </si>
  <si>
    <t>За весь период компания заключила  12 контрактов на сумму  741 577 608,87 ? За весь период заходили в конкурсы  11 раз на общую сумму обеспеченных контрактов с НМЦ 977 298 010,50 ? с БГУ  46 476 645,30 ? с БГИ 290 344 480,64 ?                                 за 1 ГОД ПО 223ФЗ заключено 5  5 047 602,72 ?</t>
  </si>
  <si>
    <t>Сообщения о принятии решения о реорганизации от 25.07.2019</t>
  </si>
  <si>
    <t>"223 за 3 года", ".", "рейтинг поставщиков в маркере по бг", "беники", "все клиенты с выручкой от 1,8 млрд до бесконечности", "рейтинг заказчиков маркер", "рейтинг по нмц маркер", "это заказчик", "crm управления", "в crm за Шевченко ОРК  4", "поставщики маркер", "44 за 3 года"</t>
  </si>
  <si>
    <t>43.99.90.190 Работы строительные специализированные прочие, не включенные в другие группировки
43.22.20.000 Работы по монтажу газовых систем
35.22.10.110 Услуги по распределению и снабжению газовым топливом всех видов по системам распределительных трубопроводов
35.22.10 Услуги по распределению газообразного топлива по трубопроводам
33.12.29.900 Услуги по ремонту и техническому обслуживанию прочего оборудования специального назначения, не включенные в другие группировки
43.22.12.140 Работы по ремонту и техническому обслуживанию бытовых отопительных котлов и бойлеров
42.21.11.111 Трубопровод магистральный наземный и подводный для перекачки газа (газопровод магистральный)
42.2 Сооружения и строительные работы по строительству инженерных коммуникаций
35.22.10.120 Услуги по техническому обслуживанию приборов учета расхода газа
43.22.12.110 Работы по монтажу отопительного оборудования (электрического, газового, нефтяного, неэлектрических солнечных коллекторов) ****</t>
  </si>
  <si>
    <t>За весь период контрактов 6 шт. на общую сумму НМЦ 3 316 997 097,40 ?</t>
  </si>
  <si>
    <t>"223 за 3 года", ".", "рейтинг поставщиков в маркере по бг", "все клиенты с выручкой от 1,8 млрд до бесконечности", "44 фз с с БГ от 10 млн", "рейтинг заказчиков маркер", "рейтинг по нмц маркер", "это заказчик", "поставщики маркер", "44 за 3 года"</t>
  </si>
  <si>
    <t>43.22.12.120 Работы по установке и техническому обслуживанию систем управления центральным отоплением
71.12.40.120 Услуги в области метрологии
49.50.1 Услуги трубопроводного транспорта
71.12.40.149 Услуги государственного контроля (надзора) за соблюдением требований технических регламентов прочие, не включенные в другие группировки
27.52.11.110 Плиты газовые бытовые
43.22.20.000 Работы по монтажу газовых систем
43.29.11.140 Работы по противопожарной защите
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35.22.10.110 Услуги по распределению и снабжению газовым топливом всех видов по системам распределительных трубопроводов ****</t>
  </si>
  <si>
    <t>7 588</t>
  </si>
  <si>
    <t>За весь период контрактов 3 шт. на общую сумму НМЦ 7 415 421 636,38 ?</t>
  </si>
  <si>
    <t>68 Услуги по операциям с недвижимым имуществом
35.22.10.110 Услуги по распределению и снабжению газовым топливом всех видов по системам распределительных трубопроводов
68.20 Услуги по сдаче в аренду (внаем) собственного или арендованного недвижимого имущества
35.12.10.120 Услуги по технологическому присоединению к распределительным электросетям
35.22.10.120 Услуги по техническому обслуживанию приборов учета расхода газа
68.10.12 Услуги по покупке и продаже недвижимости, находящейся в собственности на фиксированное время года
68.1 Услуги по покупке и продаже собственного недвижимого имущества</t>
  </si>
  <si>
    <t>За весь период компания заключила  22 контрактов на сумму  34 978 177 201,27 ?</t>
  </si>
  <si>
    <t>Сообщения о принятии решения о реорганизации от 30.04.2021</t>
  </si>
  <si>
    <t>46.71.13.142 Услуги по оптовой торговле сжиженными углеводородными газами по нерегулируемым государством ценам (тарифам)
19.20.21.335 Топливо дизельное арктическое экологического класса К5
06.20.10.131 Газ горючий природный сжиженный
19.20.2 Топливо жидкое и газообразное; масла смазочные
19.20.25.112 Топливо для реактивных двигателей летательных аппаратов с дозвуковой скоростью полета марки ТС-1</t>
  </si>
  <si>
    <t>За весь период компания заключила  4 контрактов на сумму  1 064 875 087,03 ?                                     ЗА 3 ГОДА ПО 223 ФЗ заключено 8 шт. с объемом НМЦ 214 355 527,94 ? за 1 ГОД ПО 223ФЗ заключено 1  4 944 996,00 ?</t>
  </si>
  <si>
    <t>"223 за 3 года", ".", "все клиенты с выручкой от 1,8 млрд до бесконечности", "Участники клиринга", "рейтинг заказчиков маркер", "производители", "рейтинг по нмц маркер", "это заказчик", "поставщики маркер"</t>
  </si>
  <si>
    <t>46.71.13.142 Услуги по оптовой торговле сжиженными углеводородными газами по нерегулируемым государством ценам (тарифам)
19.20.31.110 Пропан сжиженный
19.20.31 Пропан и бутан сжиженные</t>
  </si>
  <si>
    <t>ЗА 3 ГОДА ПО 223 ФЗ заключено 29 шт. с объемом НМЦ 120 613 664,50 ? за 1 ГОД ПО 223ФЗ заключено 10  45 438 035,50 ?</t>
  </si>
  <si>
    <t>"223 за 3 года", ".", "все клиенты с выручкой от 1,8 млрд до бесконечности", "Участники клиринга", "рейтинг заказчиков маркер", "рейтинг по нмц маркер", "это заказчик", "поставщики маркер"</t>
  </si>
  <si>
    <t>Заказчик разыгравший 278 конкурсов на сумму  72 067 994 304,80 ?</t>
  </si>
  <si>
    <t>"поставщики маркер", ".", "рейтинг заказчиков маркер", "производители", "это заказчик"</t>
  </si>
  <si>
    <t>58.11.1 Книги печатные
86.90.19.140 Услуги санаторно-курортных организаций
74.9 Услуги профессиональные, научные и технические, прочие, не включенные в другие группировки
68.20.12.000 Услуги по сдаче в аренду (внаем) собственных или арендованных нежилых помещений
58.11.12 Книги печатные профессиональные, технические и научные
55.2 Услуги по предоставлению временного жилья в местах отдыха и прочих местах для краткосрочного проживания
71.20.13.000 Услуги в области испытаний, исследований и анализа целостных механических и электрических систем</t>
  </si>
  <si>
    <t>За 3 года по 223ФЗ заключено  2 шт контрактов на сумму 80 483 519,84 ?</t>
  </si>
  <si>
    <t>"223 за 3 года", ".", "все клиенты с выручкой от 1,8 млрд до бесконечности", "рейтинг заказчиков маркер", "производители", "рейтинг по нмц маркер"</t>
  </si>
  <si>
    <t>71.12 Услуги в области инженерно-технического проектирования и связанные технические консультативные услуги</t>
  </si>
  <si>
    <t>Заказчик разыгравший 188 конкурсов на сумму  54 672 560 553,57 ?</t>
  </si>
  <si>
    <t>Заказчик разыгравший 369 конкурсов на сумму  68 331 988 310,13 ?</t>
  </si>
  <si>
    <t>Сообщения о принятии решения о реорганизации от 23.09.2020</t>
  </si>
  <si>
    <t>41.20.10.190 Здания жилые прочие, не включенные в другие группировки
68.20.12.000 Услуги по сдаче в аренду (внаем) собственных или арендованных нежилых помещений
55.90.12.000 Услуги по предоставлению временного жилья для рабочих в рабочих общежитиях или лагерях
86.90.19.190 Услуги в области медицины прочие, не включенные в другие группировки
29.10.59.230 Средства транспортные для перевозки нефтепродуктов</t>
  </si>
  <si>
    <t>За весь период контрактов 4 шт. на общую сумму НМЦ 2 630 530 449,50 ?</t>
  </si>
  <si>
    <t>Сообщения о принятии решения о реорганизации от 16.09.2020</t>
  </si>
  <si>
    <t>"223 за 3 года", ".", "все клиенты с выручкой от 1,8 млрд до бесконечности", "рейтинг заказчиков маркер", "производители", "рейтинг по нмц маркер", "это заказчик"</t>
  </si>
  <si>
    <t>52.24.1 Услуги по обработке грузов
68.20.11 Услуги по сдаче в аренду (внаем) собственных или арендованных жилых помещений
52.24.13.000 Услуги по обработке грузов в портах прочие
66.19.32.000 Услуги по хранению
35.12.10 Услуги по передаче электроэнергии и технологическому присоединению к распределительным электросетям
52.10 Услуги по складированию и хранению
19.20 Нефтепродукты</t>
  </si>
  <si>
    <t>за 1 ГОД ПО 223ФЗ заключено 2  9 853 513,84 ?</t>
  </si>
  <si>
    <t>"223 за 3 года", ".", "все клиенты с выручкой от 1,8 млрд до бесконечности", "рейтинг заказчиков маркер"</t>
  </si>
  <si>
    <t>20.11 Газы промышленные
63.99.10.110 Услуги по поиску информации за вознаграждение или на договорной основе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61.10.11 Услуги фиксированной телефонной связи - предоставление доступа и телефонные соединения</t>
  </si>
  <si>
    <t>За весь период компания заключила  4 контрактов на сумму  11 730 541 544,78 ?                                     ЗА 3 ГОДА ПО 223 ФЗ заключено 1 шт. с объемом НМЦ 32 800 000,00 ?</t>
  </si>
  <si>
    <t>За весь период компания заключила  1 контрактов на сумму  61 136 607 634,48 ?</t>
  </si>
  <si>
    <t>"рейтинг по нмц маркер", ".", "все клиенты с выручкой от 1,8 млрд до бесконечности", "Участники клиринга", "рейтинг заказчиков маркер", "производители"</t>
  </si>
  <si>
    <t>68.20.1 Услуги по сдаче в аренду (внаем) собственного или арендованного недвижимого имущества
55 Услуги по предоставлению мест для временного проживания
55.90.13.190 Услуги по предоставлению мест для временного проживания на прочих транспортных средствах
68.20.12.000 Услуги по сдаче в аренду (внаем) собственных или арендованных нежилых помещений
96.09 Услуги персональные прочие, не включенные в другие группировки</t>
  </si>
  <si>
    <t>ЗА 3 ГОДА ПО 223 ФЗ заключено 4 шт. с объемом НМЦ 394 291 316,82 ?</t>
  </si>
  <si>
    <t>Сообщения о принятии решения о реорганизации от 17.09.2020</t>
  </si>
  <si>
    <t>26.30.30 Части и комплектующие коммуникационного оборудования</t>
  </si>
  <si>
    <t>Заказчик разыгравший 295 конкурсов на сумму  103 170 989 353,83 ?</t>
  </si>
  <si>
    <t>74.9 Услуги профессиональные, научные и технические, прочие, не включенные в другие группировки
49.4 Услуги по грузовым перевозкам автомобильным транспортом и услуги по переезду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55.90.12 Услуги по предоставлению временного жилья для рабочих в рабочих общежитиях или лагерях</t>
  </si>
  <si>
    <t>За весь период компания заключила  8 контрактов на сумму  1 640 000 809,69 ?                                     ЗА 3 ГОДА ПО 223 ФЗ заключено 5 шт. с объемом НМЦ 99 784 223,10 ? за 1 ГОД ПО 223ФЗ заключено 1  8 892 000,00 ?</t>
  </si>
  <si>
    <t>Сообщения о принятии решения о реорганизации от 18.09.2020</t>
  </si>
  <si>
    <t>71.12.19.100 Услуги по инженерно-техническому проектированию прочих объектов, кроме объектов культурного наследия</t>
  </si>
  <si>
    <t>ЗА 3 ГОДА ПО 223 ФЗ заключено 12 шт. с объемом НМЦ 775 279 516,17 ? за 1 ГОД ПО 223ФЗ заключено 1  171 521 671,80 ?</t>
  </si>
  <si>
    <t>"223 за 3 года", ".", "Конкурсы 100+ (Восстановленный)", "все клиенты с выручкой от 1,8 млрд до бесконечности", "223 фз контракты 20+", "рейтинг заказчиков маркер", "это заказчик", "поставщики маркер"</t>
  </si>
  <si>
    <t>29.10.2 Автомобили легковые
71.12.20.110 Услуги заказчика-застройщика, генерального подрядчика
52.21.29.000 Услуги, связанные с автомобильным транспортом, прочие
68.20.12.000 Услуги по сдаче в аренду (внаем) собственных или арендованных нежилых помещений
42 Сооружения и строительные работы в области гражданского строительства</t>
  </si>
  <si>
    <t>За весь период компания заключила  20 контрактов на сумму  15 296 516 953,61 ?</t>
  </si>
  <si>
    <t>62.03.1 Услуги по управлению компьютерным оборудованием
58.29.50 Услуги по предоставлению лицензий на право использовать компьютерное программное обеспечение
71.12 Услуги в области инженерно-технического проектирования и связанные технические консультативные услуги
58.29.40 Обеспечение программное в диалоговом режиме
62.02.30 Услуги по технической поддержке информационных технологий
63.11.19 Услуги прочие по размещению и предоставлению инфраструктуры информационных технологий
58.29 Услуги по изданию прочего программного обеспечения
62.01.1 Услуги по проектированию, разработке информационных технологий для прикладных задач и тестированию программного обеспечения
62.09.20.190 Услуги по технической поддержке в области информационных технологий прочие, не включенные в другие группировки
47.41.20 Услуги по розничной торговле программным обеспечением в специализированных магазинах ****</t>
  </si>
  <si>
    <t>За весь период компания заключила  20 контрактов на сумму  18 615 529 164,82 ?</t>
  </si>
  <si>
    <t>"это заказчик", ".", "fk1", "все клиенты с выручкой от 1,8 млрд до бесконечности", "ФК клиенты с выручкой от 230 до бесконечности"</t>
  </si>
  <si>
    <t>За весь период контрактов 36 шт. на общую сумму НМЦ 11 902 572 984,13 ?</t>
  </si>
  <si>
    <t>"223 за 3 года", ".", "беники", "все клиенты с выручкой от 1,8 млрд до бесконечности", "рейтинг заказчиков маркер", "рейтинг по нмц маркер", "это заказчик", "поставщики маркер"</t>
  </si>
  <si>
    <t>06.20 Газ природный в газообразном или сжиженном состоянии
35.2 Газы горючие искусственные;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35.21.10.140 Газ горючий искусственный коксовый
35.30.11.120 Энергия тепловая, отпущенная котельными
06.20.10.132 Газ горючий природный регазифицированный
35.22.10.120 Услуги по техническому обслуживанию приборов учета расхода газа
06.20.10.131 Газ горючий природный сжиженный
06.20.10.110 Газ горючий природный (газ естественный) ****</t>
  </si>
  <si>
    <t>За весь период контрактов 7 шт. на общую сумму НМЦ 41 123 252 865,53 ?</t>
  </si>
  <si>
    <t>06.20 Газ природный в газообразном или сжиженном состоянии
35.22.10.110 Услуги по распределению и снабжению газовым топливом всех видов по системам распределительных трубопроводов
35.22.10 Услуги по распределению газообразного топлива по трубопроводам
35.21.10.140 Газ горючий искусственный коксовый
35.30.11.120 Энергия тепловая, отпущенная котельными
06.20.10.132 Газ горючий природный регазифицированный
35.21.10.111 Газ искусственный угольный
35.23 Услуги по торговле газом, подаваемым по трубопроводам
06.20.10.131 Газ горючий природный сжиженный
35.21.10.120 Газ горючий искусственный водяной ****</t>
  </si>
  <si>
    <t>За весь период компания заключила  5 контрактов на сумму  4 774 933 268,01 ?                                     ЗА 3 ГОДА ПО 223 ФЗ заключено 4 шт. с объемом НМЦ 365 798 456,92 ?</t>
  </si>
  <si>
    <t>06.20 Газ природный в газообразном или сжиженном состоянии
35.2 Газы горючие искусственные; услуги по распределению газообразного топлива по трубопроводам
35.11.10.110 Электроэнергия, произведенная электростанциями общего назначения
35.21.1 Газ угольный, газ водяной, газ генераторный и аналогичные газы, кроме нефтяных газов
35.22.10.110 Услуги по распределению и снабжению газовым топливом всех видов по системам распределительных трубопроводов
35.21.10.140 Газ горючий искусственный коксовый
06.20.10.132 Газ горючий природный регазифицированный
35.21.10.111 Газ искусственный угольный
35.23 Услуги по торговле газом, подаваемым по трубопроводам
06.20.10.131 Газ горючий природный сжиженный ****</t>
  </si>
  <si>
    <t>За весь период контрактов 11 шт. на общую сумму НМЦ 10 269 923 563,78 ?</t>
  </si>
  <si>
    <t>"223 за 3 года", ".", "все клиенты с выручкой от 1,8 млрд до бесконечности", "223 фз контракты 20+", "рейтинг заказчиков маркер", "рейтинг по нмц маркер", "это заказчик", "поставщики маркер"</t>
  </si>
  <si>
    <t>35.22.10.110 Услуги по распределению и снабжению газовым топливом всех видов по системам распределительных трубопроводов
35.23.1 Услуги по торговле газом, подаваемым по трубопроводам
35.30.11.120 Энергия тепловая, отпущенная котельными
06.20.10.110 Газ горючий природный (газ естественный)
35 Электроэнергия, газ, пар и кондиционирование воздуха
35.1 Услуги по производству, передаче и распределению электроэнергии
35.21.10.190 Газ генераторный и аналогичные горючие искусственные газы, кроме нефтяных газов
35.23.10.110 Услуги по продаже потребителям газа, подаваемого по распределительным трубопроводам</t>
  </si>
  <si>
    <t>За весь период компания заключила  16 контрактов на сумму  32 871 704 687,67 ?                                     ЗА 3 ГОДА ПО 223 ФЗ заключено 9 шт. с объемом НМЦ 526 227 307,73 ?</t>
  </si>
  <si>
    <t>"223 за 3 года", ".", "рейтинг по нмц маркер", "это заказчик", "поставщики маркер"</t>
  </si>
  <si>
    <t>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35.30.11.120 Энергия тепловая, отпущенная котельными
84.12.13.000 Услуги государственного управления в области жилищного строительства и коммунального хозяйства
06.20.10.132 Газ горючий природный регазифицированный
35.21.10.111 Газ искусственный угольный
35.22.10.120 Услуги по техническому обслуживанию приборов учета расхода газа
35.30.12.120 Услуги по приготовлению горячей воды с использованием нецентрализованных систем горячего водоснабжения
06.20.10.131 Газ горючий природный сжиженный
35.21.10.130 Газ горючий искусственный доменный ****</t>
  </si>
  <si>
    <t>За 3 года по 223ФЗ заключено  6 шт контрактов на сумму 56 349 138,46 ?</t>
  </si>
  <si>
    <t>35.2 Газы горючие искусственные;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35.30.12.110 Услуги по приготовлению воды на нужды горячего водоснабжения
49.50.12.120 Услуги по транспортировке по трубопроводам продуктов переработки газа
06.20.10.130 Газ горючий природный сжиженный и регазифицированный
35.23.1 Услуги по торговле газом, подаваемым по трубопроводам
35.30.11.120 Энергия тепловая, отпущенная котельными
35.21.10.111 Газ искусственный угольный
35.22.1 Услуги по распределению газообразного топлива по трубопроводам
35.22.10.120 Услуги по техническому обслуживанию приборов учета расхода газа ****</t>
  </si>
  <si>
    <t>За весь период контрактов 16 шт. на общую сумму НМЦ 18 699 354 905,89 ?</t>
  </si>
  <si>
    <t>"223 за 3 года", ".", "все клиенты с выручкой от 1,8 млрд до бесконечности", "223 фз контракты 20+", "рейтинг заказчиков маркер", "рейтинг по нмц маркер"</t>
  </si>
  <si>
    <t>06.20 Газ природный в газообразном или сжиженном состоянии
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46.71 Услуги по оптовой торговле твердым, жидким и газообразным топливом и связанными продуктами
46.71.13.130 Услуги по оптовой торговле природным (естественным) газом
35.22.10.110 Услуги по распределению и снабжению газовым топливом всех видов по системам распределительных трубопроводов
49.50.12.120 Услуги по транспортировке по трубопроводам продуктов переработки газа
46.71.13 Услуги по оптовой торговле прочим жидким и газообразным топливом и подобными продуктами
35.13.10.000 Услуги по распределению электроэнергии
35.21.10.140 Газ горючий искусственный коксовый ****</t>
  </si>
  <si>
    <t>За весь период компания заключила  6 контрактов на сумму  38 172 605 638,40 ?                                     ЗА 3 ГОДА ПО 223 ФЗ заключено 152 шт. с объемом НМЦ 284 157 273,38 ? за 1 ГОД ПО 223ФЗ заключено 49  137 578 898,55 ?</t>
  </si>
  <si>
    <t>35.2 Газы горючие искусственные; услуги по распределению газообразного топлива по трубопроводам
46.71.13.130 Услуги по оптовой торговле природным (естественным) газом
35.22.10.110 Услуги по распределению и снабжению газовым топливом всех видов по системам распределительных трубопроводов
35.30.11.120 Энергия тепловая, отпущенная котельными
06.20.10.132 Газ горючий природный регазифицированный
35.22.10.120 Услуги по техническому обслуживанию приборов учета расхода газа
35.30.12.120 Услуги по приготовлению горячей воды с использованием нецентрализованных систем горячего водоснабжения
06.20.10.131 Газ горючий природный сжиженный
35.21.10.120 Газ горючий искусственный водяной
06.20.10.110 Газ горючий природный (газ естественный) ****</t>
  </si>
  <si>
    <t>За весь период компания заключила  17 контрактов на сумму  33 029 739 740,38 ?                                     ЗА 3 ГОДА ПО 223 ФЗ заключено 11 шт. с объемом НМЦ 727 465 128,36 ? за 1 ГОД ПО 223ФЗ заключено 1  720 954 000,00 ?</t>
  </si>
  <si>
    <t>35.11.10.112 Электроэнергия, произведенная теплоэлектроцентралями (ТЭЦ) общего назначения
35.2 Газы горючие искусственные;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35.30.12.110 Услуги по приготовлению воды на нужды горячего водоснабжения
49.50.12.120 Услуги по транспортировке по трубопроводам продуктов переработки газа
35.22.10 Услуги по распределению газообразного топлива по трубопроводам
06.20.10.130 Газ горючий природный сжиженный и регазифицированный
35.30.11.120 Энергия тепловая, отпущенная котельными
35.30.12.130 Услуги по транспортированию горячей воды
06.20.10 Газ природный в газообразном или сжиженном состоянии ****</t>
  </si>
  <si>
    <t>За весь период компания заключила  15 контрактов на сумму  9 420 608 465,23 ? За весь период заходили в конкурсы  2 раз на общую сумму обеспеченных контрактов с НМЦ 3 060 182 701,89 ? с БГУ  0,00 ? с БГИ 365 394 262,80 ?                             ЗА 3 ГОДА ПО 223 ФЗ заключено 11 шт. с объемом НМЦ 435 651 270,43 ? за 1 ГОД ПО 223ФЗ заключено 5  424 153 966,01 ?</t>
  </si>
  <si>
    <t>"223 за 3 года", ".", "рейтинг поставщиков в маркере по бг", "все клиенты с выручкой от 1,8 млрд до бесконечности", "223 фз контракты 20+", "рейтинг заказчиков маркер", "рейтинг по нмц маркер", "это заказчик", "поставщики маркер"</t>
  </si>
  <si>
    <t>35.11.10.112 Электроэнергия, произведенная теплоэлектроцентралями (ТЭЦ) общего назначения
35.2 Газы горючие искусственные;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49.50.12.120 Услуги по транспортировке по трубопроводам продуктов переработки газа
06.20.10.130 Газ горючий природный сжиженный и регазифицированный
35.21.10.140 Газ горючий искусственный коксовый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06.20.10.132 Газ горючий природный регазифицированный
35.21.10.111 Газ искусственный угольный ****</t>
  </si>
  <si>
    <t>За весь период контрактов 9 шт. на общую сумму НМЦ 1 924 884 710,23 ?</t>
  </si>
  <si>
    <t>19.2 Нефтепродукты
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35.30.11.120 Энергия тепловая, отпущенная котельными
35.30.11.111 Энергия тепловая, отпущенная тепловыми электроцентралями (ТЭЦ)
06.20.10.110 Газ горючий природный (газ естественный)
35.23.10.110 Услуги по продаже потребителям газа, подаваемого по распределительным трубопроводам
35.30.11.119 Энергия тепловая, отпущенная прочими электростанциями</t>
  </si>
  <si>
    <t>За весь период компания заключила  9 контрактов на сумму  91 615 842 280,03 ?                                     ЗА 3 ГОДА ПО 223 ФЗ заключено 2 шт. с объемом НМЦ 329 900 000,00 ?</t>
  </si>
  <si>
    <t>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35.30.11.120 Энергия тепловая, отпущенная котельными
06.20.10.132 Газ горючий природный регазифицированный
06.20.10.131 Газ горючий природный сжиженный
06.20.10.110 Газ горючий природный (газ естественный)
49.50.12.110 Услуги по транспортировке по трубопроводам природного газа
35.21.10.190 Газ генераторный и аналогичные горючие искусственные газы, кроме нефтяных газов
35.23.10.110 Услуги по продаже потребителям газа, подаваемого по распределительным трубопроводам</t>
  </si>
  <si>
    <t>За весь период компания заключила  7 контрактов на сумму  6 148 900 714,86 ?                                     ЗА 3 ГОДА ПО 223 ФЗ заключено 9 шт. с объемом НМЦ 4 033 804 137,16 ? за 1 ГОД ПО 223ФЗ заключено 7  3 034 299 034,19 ?</t>
  </si>
  <si>
    <t>35.11.10.112 Электроэнергия, произведенная теплоэлектроцентралями (ТЭЦ) общего назначения
35.2 Газы горючие искусственные;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35.30.12.110 Услуги по приготовлению воды на нужды горячего водоснабжения
49.50.12.120 Услуги по транспортировке по трубопроводам продуктов переработки газа
49.50.11.110 Услуги по транспортировке по трубопроводам нефти
06.20.10.132 Газ горючий природный регазифицированный
35.22.10.120 Услуги по техническому обслуживанию приборов учета расхода газа
35.23 Услуги по торговле газом, подаваемым по трубопроводам
06.20.10.131 Газ горючий природный сжиженный ****</t>
  </si>
  <si>
    <t>За весь период компания заключила  12 контрактов на сумму  6 296 415 492,33 ?                                     ЗА 3 ГОДА ПО 223 ФЗ заключено 46 шт. с объемом НМЦ 24 136 116,31 ?</t>
  </si>
  <si>
    <t>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35.23.1 Услуги по торговле газом, подаваемым по трубопроводам
06.20.10 Газ природный в газообразном или сжиженном состоянии
35.22.10.120 Услуги по техническому обслуживанию приборов учета расхода газа
06.20.10.131 Газ горючий природный сжиженный
06.20.10.110 Газ горючий природный (газ естественный)
49.50.12.110 Услуги по транспортировке по трубопроводам природного газа
35.21.10.190 Газ генераторный и аналогичные горючие искусственные газы, кроме нефтяных газов
35.23.10.110 Услуги по продаже потребителям газа, подаваемого по распределительным трубопроводам</t>
  </si>
  <si>
    <t>За весь период компания заключила  4 контрактов на сумму  6 627 465 393,91 ?                                     ЗА 3 ГОДА ПО 223 ФЗ заключено 26 шт. с объемом НМЦ 42 976 628,99 ? за 1 ГОД ПО 223ФЗ заключено 5  23 346 398,38 ?</t>
  </si>
  <si>
    <t>"223 за 3 года", ".", "все клиенты с выручкой от 1,8 млрд до бесконечности", "рейтинг по нмц маркер"</t>
  </si>
  <si>
    <t>06.20 Газ природный в газообразном или сжиженном состоянии
35.11.10.112 Электроэнергия, произведенная теплоэлектроцентралями (ТЭЦ) общего назначения
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49.50.12.120 Услуги по транспортировке по трубопроводам продуктов переработки газа
06.20.10.130 Газ горючий природный сжиженный и регазифицированный
35.13.10.000 Услуги по распределению электроэнергии
35.21.10.140 Газ горючий искусственный коксовый ****</t>
  </si>
  <si>
    <t>За весь период компания заключила  22 контрактов на сумму  61 786 060 967,18 ?</t>
  </si>
  <si>
    <t>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46.71 Услуги по оптовой торговле твердым, жидким и газообразным топливом и связанными продуктами
46.71.13.130 Услуги по оптовой торговле природным (естественным) газом
35.22.10.110 Услуги по распределению и снабжению газовым топливом всех видов по системам распределительных трубопроводов
35.30.11.120 Энергия тепловая, отпущенная котельными
06.20.10.132 Газ горючий природный регазифицированный
35.22.10.120 Услуги по техническому обслуживанию приборов учета расхода газа
35.23 Услуги по торговле газом, подаваемым по трубопроводам
06.20.10.131 Газ горючий природный сжиженный ****</t>
  </si>
  <si>
    <t>За весь период компания заключила  12 контрактов на сумму  16 836 820 051,01 ?                                     ЗА 3 ГОДА ПО 223 ФЗ заключено 48 шт. с объемом НМЦ 2 743 178 632,99 ? за 1 ГОД ПО 223ФЗ заключено 23  96 555 001,51 ?</t>
  </si>
  <si>
    <t>35.22.10.110 Услуги по распределению и снабжению газовым топливом всех видов по системам распределительных трубопроводов
94.11 Услуги, предоставляемые коммерческими и предпринимательскими членскими организациями
35.30.11.120 Энергия тепловая, отпущенная котельными
35.30.12.130 Услуги по транспортированию горячей воды
06.20.10 Газ природный в газообразном или сжиженном состоянии
06.20.10.110 Газ горючий природный (газ естественный)
35.23.10.110 Услуги по продаже потребителям газа, подаваемого по распределительным трубопроводам</t>
  </si>
  <si>
    <t>ЗА 3 ГОДА ПО 223 ФЗ заключено 4 шт. с объемом НМЦ 572 613 233,86 ?</t>
  </si>
  <si>
    <t>35.2 Газы горючие искусственные; услуги по распределению газообразного топлива по трубопроводам
46.71.13.130 Услуги по оптовой торговле природным (естественным) газом
35.22.10.110 Услуги по распределению и снабжению газовым топливом всех видов по системам распределительных трубопроводов
06.20.10.132 Газ горючий природный регазифицированный
35.21.10.111 Газ искусственный угольный
35.22.1 Услуги по распределению газообразного топлива по трубопроводам
06.20.10.131 Газ горючий природный сжиженный
06.20.10.110 Газ горючий природный (газ естественный)
35.21.10.190 Газ генераторный и аналогичные горючие искусственные газы, кроме нефтяных газов
35.23.10.110 Услуги по продаже потребителям газа, подаваемого по распределительным трубопроводам</t>
  </si>
  <si>
    <t>За весь период компания заключила  2 контрактов на сумму  1 001 748 210,23 ?                                     ЗА 3 ГОДА ПО 223 ФЗ заключено 14 шт. с объемом НМЦ 647 627 876,68 ? за 1 ГОД ПО 223ФЗ заключено 6  469 876 940,52 ?</t>
  </si>
  <si>
    <t>"223 за 3 года", ".", "223 фз контракты 20+", "рейтинг по нмц маркер"</t>
  </si>
  <si>
    <t>06.20 Газ природный в газообразном или сжиженном состоянии
35.11.10.112 Электроэнергия, произведенная теплоэлектроцентралями (ТЭЦ) общего назначения
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46.71.13.130 Услуги по оптовой торговле природным (естественным) газом
35.11.10.110 Электроэнергия, произведенная электростанциями общего назначения
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94.11 Услуги, предоставляемые коммерческими и предпринимательскими членскими организациями
35.13.10.000 Услуги по распределению электроэнергии ****</t>
  </si>
  <si>
    <t>За весь период контрактов 35 шт. на общую сумму НМЦ 56 845 884 446,72 ?</t>
  </si>
  <si>
    <t>46.71.13.141 Услуги по оптовой торговле сжиженными углеводородными газами по регулируемым государством ценам (тарифам)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49.50 Услуги трубопроводного транспорта
06.20.10.130 Газ горючий природный сжиженный и регазифицированный
35.30.11.120 Энергия тепловая, отпущенная котельными
06.20.10.132 Газ горючий природный регазифицированный
35.22.10.120 Услуги по техническому обслуживанию приборов учета расхода газа
06.20.10.131 Газ горючий природный сжиженный
35.30.11.111 Энергия тепловая, отпущенная тепловыми электроцентралями (ТЭЦ) ****</t>
  </si>
  <si>
    <t>За весь период компания заключила  9 контрактов на сумму  34 743 053 262,33 ?</t>
  </si>
  <si>
    <t>35.22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35.21.10.140 Газ горючий искусственный коксовый
35.30.11.120 Энергия тепловая, отпущенная котельными
06.20.10 Газ природный в газообразном или сжиженном состоянии
06.20.10.132 Газ горючий природный регазифицированный
35.21.10.111 Газ искусственный угольный
35.22.10.120 Услуги по техническому обслуживанию приборов учета расхода газа
35.30.12.120 Услуги по приготовлению горячей воды с использованием нецентрализованных систем горячего водоснабжения ****</t>
  </si>
  <si>
    <t>За весь период компания заключила  7 контрактов на сумму  13 893 504 746,12 ?                                     ЗА 3 ГОДА ПО 223 ФЗ заключено 10 шт. с объемом НМЦ 1 210 900 414,96 ?</t>
  </si>
  <si>
    <t>"223 за 3 года", ".", "рейтинг заказчиков маркер", "рейтинг по нмц маркер"</t>
  </si>
  <si>
    <t>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06.20.10.130 Газ горючий природный сжиженный и регазифицированный
35.21.10.140 Газ горючий искусственный коксовый
35.30.11.120 Энергия тепловая, отпущенная котельными
06.20.10 Газ природный в газообразном или сжиженном состоянии
06.20.10.132 Газ горючий природный регазифицированный
35.21.10.111 Газ искусственный угольный ****</t>
  </si>
  <si>
    <t>за 1 ГОД ПО 223ФЗ заключено 4  13 427 076,29 ?</t>
  </si>
  <si>
    <t>35.22.10.110 Услуги по распределению и снабжению газовым топливом всех видов по системам распределительных трубопроводов
35.30.11.120 Энергия тепловая, отпущенная котельными
06.20.10.132 Газ горючий природный регазифицированный
35.21.10.111 Газ искусственный угольный
35.22.10.120 Услуги по техническому обслуживанию приборов учета расхода газа
06.20.10.131 Газ горючий природный сжиженный
09.10.13.120 Услуги по регазификации природного газа
06.20.10.110 Газ горючий природный (газ естественный)
49.50.12.110 Услуги по транспортировке по трубопроводам природного газа
35.21.10.112 Газ искусственный угольный сжиженный ****</t>
  </si>
  <si>
    <t>35.11.10.110 Электроэнергия, произведенная электростанциями общего назначения
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35.12.10.120 Услуги по технологическому присоединению к распределительным электросетям
35.21.10.140 Газ горючий искусственный коксовый
35.30.11.120 Энергия тепловая, отпущенная котельными
06.20.10.132 Газ горючий природный регазифицированный
35.21.10.111 Газ искусственный угольный
35.22.10.120 Услуги по техническому обслуживанию приборов учета расхода газа
06.20.10.131 Газ горючий природный сжиженный ****</t>
  </si>
  <si>
    <t>Заказчик разыгравший 9 конкурсов на сумму  1 246 694 274,26 ?</t>
  </si>
  <si>
    <t>06.2 Газ природный в газообразном или сжиженном состоянии
35.11.10.112 Электроэнергия, произведенная теплоэлектроцентралями (ТЭЦ) общего назначения
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46.71 Услуги по оптовой торговле твердым, жидким и газообразным топливом и связанными продуктами
46.71.13.130 Услуги по оптовой торговле природным (естественным) газом
46.71.13.141 Услуги по оптовой торговле сжиженными углеводородными газами по регулируемым государством ценам (тарифам)
46.71.13.142 Услуги по оптовой торговле сжиженными углеводородными газами по нерегулируемым государством ценам (тарифам)
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t>
  </si>
  <si>
    <t>За весь период компания заключила  116 контрактов на сумму  41 440 274 120,55 ? За весь период заходили в конкурсы  1 раз на общую сумму обеспеченных контрактов с НМЦ 468 219 078,85 ? с БГУ  0,00 ? с БГИ 46 821 907,89 ?                             ЗА 3 ГОДА ПО 223 ФЗ заключено 52 шт. с объемом НМЦ 351 402 386,22 ? за 1 ГОД ПО 223ФЗ заключено 17  180 611 867,42 ?</t>
  </si>
  <si>
    <t>"223 за 3 года", ".", "рейтинг поставщиков в маркере по бг", "все клиенты с выручкой от 1,8 млрд до бесконечности", "223 фз контракты 20+", "рейтинг заказчиков маркер", "рейтинг по нмц маркер"</t>
  </si>
  <si>
    <t>35.22.10.110 Услуги по распределению и снабжению газовым топливом всех видов по системам распределительных трубопроводов
49.50.12.120 Услуги по транспортировке по трубопроводам продуктов переработки газа
35.21.10.140 Газ горючий искусственный коксовый
35.30.11.120 Энергия тепловая, отпущенная котельными
84.12.13.000 Услуги государственного управления в области жилищного строительства и коммунального хозяйства
35.21.10.111 Газ искусственный угольный
06.20.10.131 Газ горючий природный сжиженный
35.21.10.120 Газ горючий искусственный водяной
35.21.10.130 Газ горючий искусственный доменный
35.11.10.116 Электроэнергия, произведенная гидроэлектростанциями (ГЭС) общего назначения ****</t>
  </si>
  <si>
    <t>За весь период контрактов 4 шт. на общую сумму НМЦ 1 531 760 443,61 ?</t>
  </si>
  <si>
    <t>"223 за 3 года", ".", "223 фз контракты 20+", "рейтинг заказчиков маркер", "рейтинг по нмц маркер", "это заказчик", "поставщики маркер"</t>
  </si>
  <si>
    <t>06.2 Газ природный в газообразном или сжиженном состоянии
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46.71 Услуги по оптовой торговле твердым, жидким и газообразным топливом и связанными продуктами
46.71.13.130 Услуги по оптовой торговле природным (естественным) газом
46.71.13.141 Услуги по оптовой торговле сжиженными углеводородными газами по регулируемым государством ценам (тарифам)
35.22.10.110 Услуги по распределению и снабжению газовым топливом всех видов по системам распределительных трубопроводов
35.30.12.110 Услуги по приготовлению воды на нужды горячего водоснабжения
49.50.12.120 Услуги по транспортировке по трубопроводам продуктов переработки газа
06.20.10.130 Газ горючий природный сжиженный и регазифицированный ****</t>
  </si>
  <si>
    <t>За весь период компания заключила  34 контрактов на сумму  68 568 465 983,43 ?                                     ЗА 3 ГОДА ПО 223 ФЗ заключено 20 шт. с объемом НМЦ 126 469 760,43 ? за 1 ГОД ПО 223ФЗ заключено 15  31 427 380,81 ?</t>
  </si>
  <si>
    <t>Юридическое лицо находится в процессе реорганизации в форме присоединения к нему других юридических лиц от 06.12.2022, Сообщения о принятии решения о реорганизации от 28.11.2022</t>
  </si>
  <si>
    <t>35.2 Газы горючие искусственные; услуги по распределению газообразного топлива по трубопроводам
46.71.13.130 Услуги по оптовой торговле природным (естественным) газом
35.22.10.110 Услуги по распределению и снабжению газовым топливом всех видов по системам распределительных трубопроводов
49.50.12.120 Услуги по транспортировке по трубопроводам продуктов переработки газа
46.71.11.000 Услуги по оптовой торговле твердым топливом
35.22.10 Услуги по распределению газообразного топлива по трубопроводам
06.20.10.130 Газ горючий природный сжиженный и регазифицированный
35.30.11.120 Энергия тепловая, отпущенная котельными
06.20.10.132 Газ горючий природный регазифицированный
35.21.10.111 Газ искусственный угольный ****</t>
  </si>
  <si>
    <t>За весь период компания заключила  44 контрактов на сумму  34 314 998 637,70 ?                                     ЗА 3 ГОДА ПО 223 ФЗ заключено 11 шт. с объемом НМЦ 4 801 678 567,93 ? за 1 ГОД ПО 223ФЗ заключено 9  4 793 186 913,35 ?</t>
  </si>
  <si>
    <t>35.2 Газы горючие искусственные;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49.50.12.120 Услуги по транспортировке по трубопроводам продуктов переработки газа
35.21.10 Газ угольный, газ водяной, газ генераторный и аналогичные газы, кроме нефтяных газов
35.23.1 Услуги по торговле газом, подаваемым по трубопроводам
35.30.11.120 Энергия тепловая, отпущенная котельными
06.20.10.132 Газ горючий природный регазифицированный
06.20.10.131 Газ горючий природный сжиженный
35.21.10.130 Газ горючий искусственный доменный
35.30.11.111 Энергия тепловая, отпущенная тепловыми электроцентралями (ТЭЦ) ****</t>
  </si>
  <si>
    <t>За весь период компания заключила  8 контрактов на сумму  5 093 517 907,37 ?                                     ЗА 3 ГОДА ПО 223 ФЗ заключено 42 шт. с объемом НМЦ 124 327 824,89 ? за 1 ГОД ПО 223ФЗ заключено 10  58 542 675,17 ?</t>
  </si>
  <si>
    <t>Сообщение должника о намерении обратиться в суд с заявлением о банкротстве от 02.07.2020</t>
  </si>
  <si>
    <t>06.20 Газ природный в газообразном или сжиженном состоянии
35.11.10.112 Электроэнергия, произведенная теплоэлектроцентралями (ТЭЦ) общего назначения
35.22.10.110 Услуги по распределению и снабжению газовым топливом всех видов по системам распределительных трубопроводов
49.50.12.120 Услуги по транспортировке по трубопроводам продуктов переработки газа
35.22.10 Услуги по распределению газообразного топлива по трубопроводам
06.20.10.130 Газ горючий природный сжиженный и регазифицированный
35.21.10.140 Газ горючий искусственный коксовый
35.23.1 Услуги по торговле газом, подаваемым по трубопроводам
35.30.11.120 Энергия тепловая, отпущенная котельными
06.20.10.132 Газ горючий природный регазифицированный ****</t>
  </si>
  <si>
    <t>За весь период компания заключила  9 контрактов на сумму  3 010 423 798,10 ?                                     ЗА 3 ГОДА ПО 223 ФЗ заключено 12 шт. с объемом НМЦ 310 298 734,58 ? за 1 ГОД ПО 223ФЗ заключено 9  309 954 811,40 ?</t>
  </si>
  <si>
    <t>"223 за 3 года", ".", "223 фз контракты 20+", "рейтинг по нмц маркер", "это заказчик", "поставщики маркер"</t>
  </si>
  <si>
    <t>06.20 Газ природный в газообразном или сжиженном состоянии
35.22.10.110 Услуги по распределению и снабжению газовым топливом всех видов по системам распределительных трубопроводов
35.22.10 Услуги по распределению газообразного топлива по трубопроводам
06.10.20.110 Сланцы горючие (битуминозные)
06.20.10.130 Газ горючий природный сжиженный и регазифицированный
35.23.1 Услуги по торговле газом, подаваемым по трубопроводам
35.30.11.120 Энергия тепловая, отпущенная котельными
06.20.10.132 Газ горючий природный регазифицированный
35.21.10.111 Газ искусственный угольный
35.22.10.120 Услуги по техническому обслуживанию приборов учета расхода газа ****</t>
  </si>
  <si>
    <t>За весь период компания заключила  10 контрактов на сумму  3 940 540 108,52 ?                                     ЗА 3 ГОДА ПО 223 ФЗ заключено 15 шт. с объемом НМЦ 85 660 133,87 ? за 1 ГОД ПО 223ФЗ заключено 10  12 975 399,38 ?</t>
  </si>
  <si>
    <t>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35.23.1 Услуги по торговле газом, подаваемым по трубопроводам
35.30.11.120 Энергия тепловая, отпущенная котельными
06.20.10.132 Газ горючий природный регазифицированный
35.21.10.111 Газ искусственный угольный
35.22.10.120 Услуги по техническому обслуживанию приборов учета расхода газа
06.20.10.131 Газ горючий природный сжиженный ****</t>
  </si>
  <si>
    <t>За весь период компания заключила  8 контрактов на сумму  4 448 934 282,31 ?                                     ЗА 3 ГОДА ПО 223 ФЗ заключено 24 шт. с объемом НМЦ 61 570 582,32 ? за 1 ГОД ПО 223ФЗ заключено 12  29 476 842,18 ?</t>
  </si>
  <si>
    <t>35.2 Газы горючие искусственные;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35.30.11.120 Энергия тепловая, отпущенная котельными
06.20.10.132 Газ горючий природный регазифицированный
35.23 Услуги по торговле газом, подаваемым по трубопроводам
06.20.10.131 Газ горючий природный сжиженный
06.20.10.110 Газ горючий природный (газ естественный)
35 Электроэнергия, газ, пар и кондиционирование воздуха
35.12.10.110 Услуги по передаче электроэнергии ****</t>
  </si>
  <si>
    <t>За весь период компания заключила  8 контрактов на сумму  83 804 452 178,20 ?                                         за 1 ГОД ПО 223ФЗ заключено 5  8 192 834,07 ?</t>
  </si>
  <si>
    <t>35.22.10.110 Услуги по распределению и снабжению газовым топливом всех видов по системам распределительных трубопроводов
94.11 Услуги, предоставляемые коммерческими и предпринимательскими членскими организациями
06.20.10.132 Газ горючий природный регазифицированный
06.20.10.131 Газ горючий природный сжиженный
06.20.10.110 Газ горючий природный (газ естественный)
49.50.12.110 Услуги по транспортировке по трубопроводам природного газа
35.23.10.110 Услуги по продаже потребителям газа, подаваемого по распределительным трубопроводам</t>
  </si>
  <si>
    <t>За весь период компания заключила  6 контрактов на сумму  13 263 558 090,82 ?                                     ЗА 3 ГОДА ПО 223 ФЗ заключено 7 шт. с объемом НМЦ 71 849 874,70 ? за 1 ГОД ПО 223ФЗ заключено 6  89 427 416,15 ?</t>
  </si>
  <si>
    <t>06.2 Газ природный в газообразном или сжиженном состоянии
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35.11.10.110 Электроэнергия, произведенная электростанциями общего назначения
35.22.10.110 Услуги по распределению и снабжению газовым топливом всех видов по системам распределительных трубопроводов
35.30.12.110 Услуги по приготовлению воды на нужды горячего водоснабжения
49.50.12.120 Услуги по транспортировке по трубопроводам продуктов переработки газа
06.20.10.130 Газ горючий природный сжиженный и регазифицированный
94.11 Услуги, предоставляемые коммерческими и предпринимательскими членскими организациями
35.13.10.000 Услуги по распределению электроэнергии ****</t>
  </si>
  <si>
    <t>За весь период компания заключила  18 контрактов на сумму  30 965 566 754,88 ?                                     ЗА 3 ГОДА ПО 223 ФЗ заключено 36 шт. с объемом НМЦ 429 030 354,04 ? за 1 ГОД ПО 223ФЗ заключено 12  130 413 216,02 ?</t>
  </si>
  <si>
    <t>"223 за 3 года", ".", "Конкурсы 100+ (Восстановленный)", "ИНН_договоры_октябрь_", "все клиенты с выручкой от 1,8 млрд до бесконечности", "223 фз контракты 20+", "рейтинг заказчиков маркер", "рейтинг по нмц маркер", "это заказчик", "поставщики маркер"</t>
  </si>
  <si>
    <t>06.20 Газ природный в газообразном или сжиженном состоянии
35.2 Газы горючие искусственные; услуги по распределению газообразного топлива по трубопроводам
46.71.13.130 Услуги по оптовой торговле природным (естественным) газом
46.71.13.141 Услуги по оптовой торговле сжиженными углеводородными газами по регулируемым государством ценам (тарифам)
35.22.10.110 Услуги по распределению и снабжению газовым топливом всех видов по системам распределительных трубопроводов
49.50.11.120 Услуги по транспортировке по трубопроводам нефтепродуктов
35.22.10 Услуги по распределению газообразного топлива по трубопроводам
06.20.10.130 Газ горючий природный сжиженный и регазифицированный
35.13.10.000 Услуги по распределению электроэнергии
35.23.1 Услуги по торговле газом, подаваемым по трубопроводам ****</t>
  </si>
  <si>
    <t>За весь период компания заключила  7 контрактов на сумму  2 489 473 383,45 ?                                     ЗА 3 ГОДА ПО 223 ФЗ заключено 47 шт. с объемом НМЦ 211 272 930,03 ? за 1 ГОД ПО 223ФЗ заключено 56  215 796 818,55 ?</t>
  </si>
  <si>
    <t>06.20 Газ природный в газообразном или сжиженном состоянии
46.71.13.130 Услуги по оптовой торговле природным (естественным) газом
35.22.10.110 Услуги по распределению и снабжению газовым топливом всех видов по системам распределительных трубопроводов
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06.20.10.132 Газ горючий природный регазифицированный
35.21.10.111 Газ искусственный угольный
35.22.1 Услуги по распределению газообразного топлива по трубопроводам ****</t>
  </si>
  <si>
    <t>За весь период компания заключила  11 контрактов на сумму  3 847 912 466,93 ?                                     ЗА 3 ГОДА ПО 223 ФЗ заключено 18 шт. с объемом НМЦ 467 716 961,78 ? за 1 ГОД ПО 223ФЗ заключено 7  157 839 294,58 ?</t>
  </si>
  <si>
    <t>35.11.10.112 Электроэнергия, произведенная теплоэлектроцентралями (ТЭЦ) общего назначения
35.2 Газы горючие искусственные;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35.22.10 Услуги по распределению газообразного топлива по трубопроводам
06.20.10.130 Газ горючий природный сжиженный и регазифицированный
35.30.11.120 Энергия тепловая, отпущенная котельными
06.20.10 Газ природный в газообразном или сжиженном состоянии
06.20.10.132 Газ горючий природный регазифицированный
35.21.10.111 Газ искусственный угольный
35.22.10.120 Услуги по техническому обслуживанию приборов учета расхода газа ****</t>
  </si>
  <si>
    <t>За весь период компания заключила  59 контрактов на сумму  245 679 327 419,44 ?                                     ЗА 3 ГОДА ПО 223 ФЗ заключено 41 шт. с объемом НМЦ 1 947 610 056,50 ? за 1 ГОД ПО 223ФЗ заключено 22  792 004 486,55 ?</t>
  </si>
  <si>
    <t>"223 за 3 года", ".", "Конкурсы 100+ (Восстановленный)", "все клиенты с выручкой от 1,8 млрд до бесконечности", "223 фз контракты 20+", "рейтинг заказчиков маркер", "рейтинг по нмц маркер", "это заказчик", "поставщики маркер"</t>
  </si>
  <si>
    <t>35.11.10.110 Электроэнергия, произведенная электростанциями общего назначения
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06.20.10.132 Газ горючий природный регазифицированный
35.21.10.111 Газ искусственный угольный
35.22.1 Услуги по распределению газообразного топлива по трубопроводам
35.22.10.120 Услуги по техническому обслуживанию приборов учета расхода газа
06.20.10.131 Газ горючий природный сжиженный
35.21.10.130 Газ горючий искусственный доменный
35.11.10.119 Электроэнергия, произведенная нетиповыми электростанциями общего назначения ****</t>
  </si>
  <si>
    <t>За весь период компания заключила  2 контрактов на сумму  398 354 922,34 ?                                     ЗА 3 ГОДА ПО 223 ФЗ заключено 13 шт. с объемом НМЦ 72 567 150,00 ? за 1 ГОД ПО 223ФЗ заключено 4  25 416 050,00 ?</t>
  </si>
  <si>
    <t>06.2 Газ природный в газообразном или сжиженном состоянии
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35.30.12.110 Услуги по приготовлению воды на нужды горячего водоснабжения
35.21.10.140 Газ горючий искусственный коксовый
35.30.11.120 Энергия тепловая, отпущенная котельными
06.20.10.132 Газ горючий природный регазифицированный
35.11.10.115 Электроэнергия, произведенная атомными электростанциями (АЭС) общего назначения
35.21.10.111 Газ искусственный угольный ****</t>
  </si>
  <si>
    <t>За весь период компания заключила  16 контрактов на сумму  1 564 869 249,77 ?                                     ЗА 3 ГОДА ПО 223 ФЗ заключено 67 шт. с объемом НМЦ 1 825 043 677,54 ? за 1 ГОД ПО 223ФЗ заключено 21  457 467 708,75 ?</t>
  </si>
  <si>
    <t>06.2 Газ природный в газообразном или сжиженном состоянии
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46.71 Услуги по оптовой торговле твердым, жидким и газообразным топливом и связанными продуктами
46.71.13.130 Услуги по оптовой торговле природным (естественным) газом
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35.23.1 Услуги по торговле газом, подаваемым по трубопроводам
35.30.11 Пар и горячая вода
35.30.11.120 Энергия тепловая, отпущенная котельными ****</t>
  </si>
  <si>
    <t>За весь период компания заключила  38 контрактов на сумму  21 855 528 685,19 ?                                     ЗА 3 ГОДА ПО 223 ФЗ заключено 127 шт. с объемом НМЦ 4 339 486 782,94 ? за 1 ГОД ПО 223ФЗ заключено 76  1 402 018 054,46 ?</t>
  </si>
  <si>
    <t>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46.71.13.130 Услуги по оптовой торговле природным (естественным) газом
35.11.10.110 Электроэнергия, произведенная электростанциями общего назначения
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35.23.1 Услуги по торговле газом, подаваемым по трубопроводам
35.30.11.120 Энергия тепловая, отпущенная котельными
49.50.11.110 Услуги по транспортировке по трубопроводам нефти
06.20.10.132 Газ горючий природный регазифицированный ****</t>
  </si>
  <si>
    <t>За весь период компания заключила  8 контрактов на сумму  4 438 200 382,27 ?                                         за 1 ГОД ПО 223ФЗ заключено 3  6 534 850,00 ?</t>
  </si>
  <si>
    <t>35.11.10.110 Электроэнергия, произведенная электростанциями общего назначения
35.22.10.110 Услуги по распределению и снабжению газовым топливом всех видов по системам распределительных трубопроводов
49.50.11.120 Услуги по транспортировке по трубопроводам нефтепродуктов
06.20.10.130 Газ горючий природный сжиженный и регазифицированный
94.11 Услуги, предоставляемые коммерческими и предпринимательскими членскими организациями
35.21.10.140 Газ горючий искусственный коксовый
35.23.1 Услуги по торговле газом, подаваемым по трубопроводам
35.30.11.120 Энергия тепловая, отпущенная котельными
49.50.11.110 Услуги по транспортировке по трубопроводам нефти
06.20.10.132 Газ горючий природный регазифицированный ****</t>
  </si>
  <si>
    <t>За весь период контрактов 13 шт. на общую сумму НМЦ 4 625 847 666,36 ?</t>
  </si>
  <si>
    <t>Сообщение кредитора о намерении обратиться в суд с заявлением о банкротстве от 23.08.2018</t>
  </si>
  <si>
    <t>"223 за 3 года", ".", "все клиенты с выручкой от 1,8 млрд до бесконечности", "223 фз контракты 20+", "рейтинг заказчиков маркер", "рейтинг по нмц маркер", "поставщики маркер"</t>
  </si>
  <si>
    <t>35.22 Услуги по распределению газообразного топлива по трубопроводам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35.11.10.121 Электроэнергия, произведенная блок-станциями конденсационных электростанций (КЭС)
06.20.10.132 Газ горючий природный регазифицированный
35.22.10.120 Услуги по техническому обслуживанию приборов учета расхода газа
35.23 Услуги по торговле газом, подаваемым по трубопроводам
35.30.12.120 Услуги по приготовлению горячей воды с использованием нецентрализованных систем горячего водоснабжения
35.30.22.000 Услуги по снабжению охлажденным воздухом и охлажденной водой
06.20.10.131 Газ горючий природный сжиженный ****</t>
  </si>
  <si>
    <t>За весь период компания заключила  14 контрактов на сумму  10 524 742 680,64 ?</t>
  </si>
  <si>
    <t>Сообщение должника о намерении обратиться в суд с заявлением о банкротстве от 12.11.2021</t>
  </si>
  <si>
    <t>06.20 Газ природный в газообразном или сжиженном состоянии
35.22.10.110 Услуги по распределению и снабжению газовым топливом всех видов по системам распределительных трубопроводов
49.50.12.120 Услуги по транспортировке по трубопроводам продуктов переработки газа
35.22.10 Услуги по распределению газообразного топлива по трубопроводам
06.20.10.130 Газ горючий природный сжиженный и регазифицированный
35.12.10.120 Услуги по технологическому присоединению к распределительным электросетям
35.23.1 Услуги по торговле газом, подаваемым по трубопроводам
35.30.11.120 Энергия тепловая, отпущенная котельными
06.20.10.132 Газ горючий природный регазифицированный
35.21.10.111 Газ искусственный угольный ****</t>
  </si>
  <si>
    <t>За весь период контрактов 9 шт. на общую сумму НМЦ 26 935 955 621,64 ?</t>
  </si>
  <si>
    <t>Сообщение кредитора о намерении обратиться в суд с заявлением о банкротстве от 14.08.2019</t>
  </si>
  <si>
    <t>35.22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35.30.12.110 Услуги по приготовлению воды на нужды горячего водоснабжения
06.20.10.130 Газ горючий природный сжиженный и регазифицированный
35.30.11.120 Энергия тепловая, отпущенная котельными
06.20.10.132 Газ горючий природный регазифицированный
35.21.10.111 Газ искусственный угольный
35.22.10.120 Услуги по техническому обслуживанию приборов учета расхода газа
35.23 Услуги по торговле газом, подаваемым по трубопроводам
35.30.12.120 Услуги по приготовлению горячей воды с использованием нецентрализованных систем горячего водоснабжения ****</t>
  </si>
  <si>
    <t>За весь период компания заключила  8 контрактов на сумму  3 239 871 981,73 ?                                     ЗА 3 ГОДА ПО 223 ФЗ заключено 8 шт. с объемом НМЦ 161 617 421,17 ? за 1 ГОД ПО 223ФЗ заключено 6  30 438 954,80 ?</t>
  </si>
  <si>
    <t>35.22.10.110 Услуги по распределению и снабжению газовым топливом всех видов по системам распределительных трубопроводов
35.21.10.140 Газ горючий искусственный коксовый
35.23.1 Услуги по торговле газом, подаваемым по трубопроводам
35.30.11.120 Энергия тепловая, отпущенная котельными
06.20.10 Газ природный в газообразном или сжиженном состоянии
06.20.10.132 Газ горючий природный регазифицированный
35.21.10.111 Газ искусственный угольный
35.22.1 Услуги по распределению газообразного топлива по трубопроводам
35.22.10.120 Услуги по техническому обслуживанию приборов учета расхода газа
06.20.10.131 Газ горючий природный сжиженный ****</t>
  </si>
  <si>
    <t>За весь период компания заключила  12 контрактов на сумму  4 245 681 896,50 ?</t>
  </si>
  <si>
    <t>"223 за 3 года", ".", "СRM Шарифуллина", "рейтинг по нмц маркер", "это заказчик", "поставщики маркер"</t>
  </si>
  <si>
    <t>35.11.10.112 Электроэнергия, произведенная теплоэлектроцентралями (ТЭЦ) общего назначения
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46.71 Услуги по оптовой торговле твердым, жидким и газообразным топливом и связанными продуктами
46.71.13.130 Услуги по оптовой торговле природным (естественным) газом
35.22.10.110 Услуги по распределению и снабжению газовым топливом всех видов по системам распределительных трубопроводов
35.30.12.110 Услуги по приготовлению воды на нужды горячего водоснабжения
49.50.12.120 Услуги по транспортировке по трубопроводам продуктов переработки газа
06.20.10.130 Газ горючий природный сжиженный и регазифицированный
35.12.10.120 Услуги по технологическому присоединению к распределительным электросетям ****</t>
  </si>
  <si>
    <t>За весь период компания заключила  32 контрактов на сумму  53 308 729 740,65 ?                                     ЗА 3 ГОДА ПО 223 ФЗ заключено 43 шт. с объемом НМЦ 453 494 032,42 ? за 1 ГОД ПО 223ФЗ заключено 20  112 457 293,38 ?</t>
  </si>
  <si>
    <t>37.00.11.110 Услуги по водоотведению сточных вод
46.71.13.130 Услуги по оптовой торговле природным (естественным) газом
35.22.10.110 Услуги по распределению и снабжению газовым топливом всех видов по системам распределительных трубопроводов
35.30.11.120 Энергия тепловая, отпущенная котельными
84.12.13.000 Услуги государственного управления в области жилищного строительства и коммунального хозяйства
06.20.10.132 Газ горючий природный регазифицированный
06.20.10.131 Газ горючий природный сжиженный
06.20.10.110 Газ горючий природный (газ естественный)
49.50.12.110 Услуги по транспортировке по трубопроводам природного газа
35.23.10.110 Услуги по продаже потребителям газа, подаваемого по распределительным трубопроводам ****</t>
  </si>
  <si>
    <t>За весь период компания заключила  10 контрактов на сумму  74 946 265 415,65 ?</t>
  </si>
  <si>
    <t>06.2 Газ природный в газообразном или сжиженном состоянии
35.22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35.21.10 Газ угольный, газ водяной, газ генераторный и аналогичные газы, кроме нефтяных газов
35.21.10.140 Газ горючий искусственный коксовый
35.30.11.120 Энергия тепловая, отпущенная котельными
06.20.10.132 Газ горючий природный регазифицированный
35.21.10.111 Газ искусственный угольный
35.22.10.120 Услуги по техническому обслуживанию приборов учета расхода газа ****</t>
  </si>
  <si>
    <t>За весь период компания заключила  1 контрактов на сумму  5 142 781 153,68 ?                                     ЗА 3 ГОДА ПО 223 ФЗ заключено 30 шт. с объемом НМЦ 42 350 001,33 ? за 1 ГОД ПО 223ФЗ заключено 13  20 542 566,51 ?</t>
  </si>
  <si>
    <t>35.22.10.110 Услуги по распределению и снабжению газовым топливом всех видов по системам распределительных трубопроводов
06.20.10.130 Газ горючий природный сжиженный и регазифицированный
35.13.10.000 Услуги по распределению электроэнергии
35.23.1 Услуги по торговле газом, подаваемым по трубопроводам
35.30.11.120 Энергия тепловая, отпущенная котельными
84.12.13.000 Услуги государственного управления в области жилищного строительства и коммунального хозяйства
06.20.10 Газ природный в газообразном или сжиженном состоянии
06.20.10.132 Газ горючий природный регазифицированный
35.22.10.120 Услуги по техническому обслуживанию приборов учета расхода газа
06.20.10.131 Газ горючий природный сжиженный ****</t>
  </si>
  <si>
    <t>За 3 года по 223ФЗ заключено  3 шт контрактов на сумму 184 279 202,29 ?</t>
  </si>
  <si>
    <t>06.2 Газ природный в газообразном или сжиженном состоянии
46.71.13.130 Услуги по оптовой торговле природным (естественным) газом
46.71.13.141 Услуги по оптовой торговле сжиженными углеводородными газами по регулируемым государством ценам (тарифам)
35.22.10.110 Услуги по распределению и снабжению газовым топливом всех видов по системам распределительных трубопроводов
46.71.13 Услуги по оптовой торговле прочим жидким и газообразным топливом и подобными продуктами
35.22.10 Услуги по распределению газообразного топлива по трубопроводам
94.11 Услуги, предоставляемые коммерческими и предпринимательскими членскими организациями
35.13.10.000 Услуги по распределению электроэнергии
35.30.11.120 Энергия тепловая, отпущенная котельными
06.20.10.132 Газ горючий природный регазифицированный ****</t>
  </si>
  <si>
    <t>За весь период компания заключила  11 контрактов на сумму  64 890 625 722,84 ?</t>
  </si>
  <si>
    <t>Сообщение кредитора о намерении обратиться в суд с заявлением о банкротстве от 31.12.2020</t>
  </si>
  <si>
    <t>19.20.32.119 Газы нефтяные прочие, не включенные в другие группировки
26.51.52.130 Приборы для измерения или контроля давления жидкостей и газов
68 Услуги по операциям с недвижимым имуществом
68.2 Услуги по сдаче в аренду (внаем) собственного или арендованного недвижимого имущества
19.20.32.110 Газы нефтяные
26.51.62.190 Машины и приборы для испытания прочих материалов и конструкций
26.51.43 Приборы для измерения электрических величин без записывающего устройства
26.20.30.000 Устройства автоматической обработки данных прочие
19.20.21.335 Топливо дизельное арктическое экологического класса К5
26.51 Оборудование для измерения, испытаний и навигации ****</t>
  </si>
  <si>
    <t>За весь период контрактов 105 шт. на общую сумму НМЦ 585 212 184 779,83 ?</t>
  </si>
  <si>
    <t>"223 за 3 года", ".", "рейтинг поставщиков в маркере по бг", "Конкурсы 100+ (Восстановленный)", "все клиенты с выручкой от 1,8 млрд до бесконечности", "Участники клиринга", "223 фз контракты 20+", "рейтинг заказчиков маркер", "рейтинг по нмц маркер", "это заказчик", "поставщики маркер"</t>
  </si>
  <si>
    <t>20.14.22.111 Спирт метиловый (метанол)
20 Вещества химические и продукты химические</t>
  </si>
  <si>
    <t>За весь период компания заключила  8 контрактов на сумму  3 351 596 133,34 ?                                     ЗА 3 ГОДА ПО 223 ФЗ заключено 2 шт. с объемом НМЦ 128 287 199,84 ?</t>
  </si>
  <si>
    <t>"223 за 3 года", ".", "беники", "все клиенты с выручкой от 1,8 млрд до бесконечности", "рейтинг заказчиков маркер", "рейтинг по нмц маркер"</t>
  </si>
  <si>
    <t>71.12.32.000 Услуги геофизические
74.90 Услуги профессиональные, научные и технические, прочие, не включенные в другие группировки
71.12.17 Услуги по инженерно-техническому проектированию производственных процессов и производств</t>
  </si>
  <si>
    <t>За весь период компания заключила  45 контрактов на сумму  11 698 057 709,72 ?                                     ЗА 3 ГОДА ПО 223 ФЗ заключено 2 шт. с объемом НМЦ 282 431 940,00 ? за 1 ГОД ПО 223ФЗ заключено 1  42 431 940,00 ?</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</si>
  <si>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71.12.40.120 Услуги в области метрологии
09.10.1 Услуги по обеспечению добычи нефти и природного газа
71.12.31 Услуги геологические и геофизические консультативные
71.12.32.000 Услуги геофизические
71.12.39.112 Работы гелиофизические и геофизические</t>
  </si>
  <si>
    <t>4 743</t>
  </si>
  <si>
    <t>За весь период компания заключила  73 контрактов на сумму  23 574 686 114,25 ? За весь период заходили в конкурсы  1 раз на общую сумму обеспеченных контрактов с НМЦ 755 175 174,36 ? с БГУ  4 080 710,00 ? с БГИ 244 842 600,00 ?                             ЗА 3 ГОДА ПО 223 ФЗ заключено 62 шт. с объемом НМЦ 10 601 126 911,67 ? за 1 ГОД ПО 223ФЗ заключено 57  7 279 654 271,82 ?</t>
  </si>
  <si>
    <t>20.11.11.140 Азот
37.00.11.110 Услуги по водоотведению сточных вод
84.25.11.120 Услуги по обеспечению пожарной безопасности
52.10.19.900 Услуги по складированию и хранению прочие, не включенные в другие группировки
20.15.10.130 Аммиак
35.30.12.110 Услуги по приготовлению воды на нужды горячего водоснабжения
20.15.31.000 Мочевина (карбамид)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84.25.19.190 Услуги по обеспечению безопасности в чрезвычайных ситуациях прочие ****</t>
  </si>
  <si>
    <t>За весь период компания заключила  11 контрактов на сумму  10 691 562 099,10 ?                                     ЗА 3 ГОДА ПО 223 ФЗ заключено 23 шт. с объемом НМЦ 51 614 434,67 ? за 1 ГОД ПО 223ФЗ заключено 9  23 189 390,88 ?</t>
  </si>
  <si>
    <t>09.10 Услуги по добыче нефти и природного газа
41.20.20.722 Установка очистки газообразных и жидких углеводородов от сернистых соединений</t>
  </si>
  <si>
    <t>За весь период компания заключила  5 контрактов на сумму  9 954 644 784,11 ?</t>
  </si>
  <si>
    <t>10.86.10.243 Соки фруктовые и фруктово-овощные для детского питания
01.13.12.120 Капуста белокочанная
01.13.42.000 Чеснок
46.39.12.000 Услуги по неспециализированной оптовой торговле незамороженными пищевыми продуктами, напитками и табачными изделиями
56.29.19 Услуги по обеспечению питанием, осуществляемые по договору, прочие
10.72.12.120 Печенье сладкое
56.10.11.120 Услуги по обеспечению питанием в ресторанах, кафе и прочих предприятиях без сопровождения развлекательных программ
56.10.11.121 Услуги ресторанов без сопровождения развлекательных программ
01.13.51.120 Картофель столовый поздний
10.82.22.119 Шоколад в упакованном виде прочий, не включенный в другие группировки ****</t>
  </si>
  <si>
    <t>6 839</t>
  </si>
  <si>
    <t>За весь период контрактов 19 шт. на общую сумму НМЦ 4 787 740 937,19 ?</t>
  </si>
  <si>
    <t>"223 за 3 года", ".",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</si>
  <si>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71.12.3 Услуги в области геологических, геофизических и взаимосвязанных изыскательных работ и консультативные услуги
09.10.11 Услуги по бурению, связанные с добычей нефти и горючего природного газа</t>
  </si>
  <si>
    <t>3 679</t>
  </si>
  <si>
    <t>За весь период контрактов 12 шт. на общую сумму НМЦ 27 592 155 466,51 ?</t>
  </si>
  <si>
    <t>71.12.19 Услуги по инженерно-техническому проектированию прочих объектов
72.19.15.000 Услуги, связанные с научными исследованиями и экспериментальными разработками в области наук о Земле и взаимосвязанных наук об окружающей среде
72.19.50.000 Работы оригинальные научных исследований и экспериментальных разработок в области естественных и технических наук, кроме биотехнологии
28.12.16.000 Системы гидравлические
28.29 Машины и оборудование общего назначения прочие, не включенные в другие группировки
71.12 Услуги в области инженерно-технического проектирования и связанные технические консультативные услуги
41.10.1 Документация проектная для строительства
71.12.33 Услуги по разведке полезных ископаемых и оценке их месторождений
71.11.22.000 Услуги в области архитектуры, связанные с проектами строительства нежилых зданий и сооружений
71.12.1 Услуги инженерно-технического характера ****</t>
  </si>
  <si>
    <t>5 119</t>
  </si>
  <si>
    <t>За весь период контрактов 19 шт. на общую сумму НМЦ 5 668 163 860,76 ?</t>
  </si>
  <si>
    <t>Сообщения о принятии решения о реорганизации от 08.10.2021</t>
  </si>
  <si>
    <t>ЗА 3 ГОДА ПО 223 ФЗ заключено 5 шт. с объемом НМЦ 103 899 675,28 ? за 1 ГОД ПО 223ФЗ заключено 2  19 090 400,00 ?</t>
  </si>
  <si>
    <t>"223 за 3 года", ".", "рейтинг заказчиков маркер", "производители"</t>
  </si>
  <si>
    <t>за 1 ГОД ПО 223ФЗ заключено 2  8 950 000,00 ?</t>
  </si>
  <si>
    <t>"223 за 3 года", ".", "рейтинг заказчиков маркер", "это заказчик"</t>
  </si>
  <si>
    <t>61.10.3 Услуги по передаче данных по проводным телекоммуникационным сетям
71.12.20.190 Услуги по руководству строительными проектами прочие
61.10 Услуги телекоммуникационные проводные
61.9 Услуги телекоммуникационные прочие
35.30.11.120 Энергия тепловая, отпущенная котельными
61.10.11.190 Услуги фиксированной телефонной связи - предоставление доступа и телефонные соединения, прочие
61.10.11.110 Услуги по предоставлению внутризоновых, междугородных и международных телефонных соединений
61.10.11.120 Услуги по предоставлению местных соединений
61.10.43.000 Услуги по широкополосному доступу к информационно-коммуникационной сети Интернет по проводным сетям
71.12.35.120 Услуги в области картографии, кроме услуг в области кадастровой деятельности ****</t>
  </si>
  <si>
    <t>Заказчик разыгравший 69 конкурсов на сумму  15 055 223 028,52 ?</t>
  </si>
  <si>
    <t>35.11.10.122 Электроэнергия, произведенная блок-станциями теплоэлектроцентралей (ТЭЦ)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35.14.10.000 Услуги по торговле электроэнергией ****</t>
  </si>
  <si>
    <t>ЗА 3 ГОДА ПО 223 ФЗ заключено 20 шт. с объемом НМЦ 76 295 596,29 ? за 1 ГОД ПО 223ФЗ заключено 10  32 112 238,23 ?</t>
  </si>
  <si>
    <t>35.11.10.112 Электроэнергия, произведенная теплоэлектроцентралями (ТЭЦ) общего назначения
35.30.12.110 Услуги по приготовлению воды на нужды горячего водоснабжения
36.00.20.110 Услуги по очистке и подготовке воды для водоснабжения
36.00.30.000 Услуги по торговле водой, поставляемой по трубопроводам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33.12.19.000 Услуги по ремонту и техническому обслуживанию прочего оборудования общего назначения, не включенного в другие группировки
35.30.11.111 Энергия тепловая, отпущенная тепловыми электроцентралями (ТЭЦ) ****</t>
  </si>
  <si>
    <t>4 084</t>
  </si>
  <si>
    <t>Заказчик разыгравший 206 конкурсов на сумму  47 767 017 472,46 ?</t>
  </si>
  <si>
    <t>93.19.19.000 Услуги в области спорта и отдыха прочие
33.12.19.000 Услуги по ремонту и техническому обслуживанию прочего оборудования общего назначения, не включенного в другие группировки
93.11.10 Услуги спортивных объектов</t>
  </si>
  <si>
    <t>Заказчик разыгравший 374 конкурсов на сумму  82 999 936 054,47 ?</t>
  </si>
  <si>
    <t>19.20.32.119 Газы нефтяные прочие, не включенные в другие группировки
35.22.10.110 Услуги по распределению и снабжению газовым топливом всех видов по системам распределительных трубопроводов
33.12.29.900 Услуги по ремонту и техническому обслуживанию прочего оборудования специального назначения, не включенные в другие группировки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06.20.10.132 Газ горючий природный регазифицированный
35.22.10.120 Услуги по техническому обслуживанию приборов учета расхода газа
71.12.19.100 Услуги по инженерно-техническому проектированию прочих объектов, кроме объектов культурного наследия
19.20.2 Топливо жидкое и газообразное; масла смазочные
33.12.19.000 Услуги по ремонту и техническому обслуживанию прочего оборудования общего назначения, не включенного в другие группировки ****</t>
  </si>
  <si>
    <t>ЗА 3 ГОДА ПО 223 ФЗ заключено 6 шт. с объемом НМЦ 55 724 032,02 ?</t>
  </si>
  <si>
    <t>43.22.12.120 Работы по установке и техническому обслуживанию систем управления центральным отоплением
43.22.20.000 Работы по монтажу газовых систем
35.22.10.110 Услуги по распределению и снабжению газовым топливом всех видов по системам распределительных трубопроводов
43.22.12.140 Работы по ремонту и техническому обслуживанию бытовых отопительных котлов и бойлеров
35.22.10.120 Услуги по техническому обслуживанию приборов учета расхода газа
43.22.12.110 Работы по монтажу отопительного оборудования (электрического, газового, нефтяного, неэлектрических солнечных коллекторов)
77.39.19.110 Услуги по аренде и лизингу прочих машин и оборудования без оператора, не включенных в другие группировки
06.20.10.110 Газ горючий природный (газ естественный)
06.20.10.120 Газ нефтяной попутный (газ горючий природный нефтяных месторождений)
35 Электроэнергия, газ, пар и кондиционирование воздуха ****</t>
  </si>
  <si>
    <t>За весь период компания заключила  1 контрактов на сумму  407 669 314,26 ?</t>
  </si>
  <si>
    <t>"223 за 3 года", ".", "Конкурсы 100+ (Восстановленный)", "все клиенты с выручкой от 1,8 млрд до бесконечности", "рейтинг заказчиков маркер", "производители", "рейтинг по нмц маркер", "на фт заводил Синяев"</t>
  </si>
  <si>
    <t>19.20.32.119 Газы нефтяные прочие, не включенные в другие группировки
35.2 Газы горючие искусственные; услуги по распределению газообразного топлива по трубопроводам
71.20.19.111 Услуги по проведению государственной экспертизы проектной документации и результатов инженерных изысканий
19 Кокс и нефтепродукты
35.30.11.111 Энергия тепловая, отпущенная тепловыми электроцентралями (ТЭЦ)
49.50.12 Услуги по транспортировке по трубопроводам природного газа и продуктов его переработки
19.20.32.190 Углеводороды газообразные, кроме природного газа</t>
  </si>
  <si>
    <t>за 1 ГОД ПО 223ФЗ заключено 1  8 326 272,79 ?</t>
  </si>
  <si>
    <t>"223 за 3 года", ".", "рейтинг заказчиков маркер", "производители", "рейтинг по нмц маркер"</t>
  </si>
  <si>
    <t>86.10.19.000 Услуги больниц прочие
35.22.10.110 Услуги по распределению и снабжению газовым топливом всех видов по системам распределительных трубопроводов
68.20.12.000 Услуги по сдаче в аренду (внаем) собственных или арендованных нежилых помещений
35.23.10.110 Услуги по продаже потребителям газа, подаваемого по распределительным трубопроводам</t>
  </si>
  <si>
    <t>Заказчик разыгравший 224 конкурсов на сумму  24 624 876 661,25 ?</t>
  </si>
  <si>
    <t>"223 за 3 года", ".", "рейтинг заказчиков маркер", "поставщики маркер"</t>
  </si>
  <si>
    <t>71.20.19.190 Услуги по техническим испытаниям и анализу прочие, не включенные в другие группировки
46.69.12.000 Услуги по оптовой торговле эксплуатационными материалами и принадлежностями машин и оборудования
24.20.40.000 Фитинги для труб стальные, кроме литых
68.32 Услуги по управлению недвижимым имуществом, предоставляемые за вознаграждение или на договорной основе
35.30.11.111 Энергия тепловая, отпущенная тепловыми электроцентралями (ТЭЦ)
52.21.29.000 Услуги, связанные с автомобильным транспортом, прочие</t>
  </si>
  <si>
    <t>Заказчик разыгравший 414 конкурсов на сумму  69 595 313 948,14 ?</t>
  </si>
  <si>
    <t>"223 за 3 года", ".", "все клиенты с выручкой от 1,8 млрд до бесконечности", "рейтинг заказчиков маркер", "производители", "рейтинг по нмц маркер", "поставщики маркер"</t>
  </si>
  <si>
    <t>33 Услуги по ремонту и монтажу машин и оборудования
35.30.11.120 Энергия тепловая, отпущенная котельными
49.50.12.110 Услуги по транспортировке по трубопроводам природного газа</t>
  </si>
  <si>
    <t>ЗА 3 ГОДА ПО 223 ФЗ заключено 9 шт. с объемом НМЦ 59 197 988,84 ? за 1 ГОД ПО 223ФЗ заключено 2  16 362 743,83 ?</t>
  </si>
  <si>
    <t>"223 за 3 года", ".", "все клиенты с выручкой от 1,8 млрд до бесконечности", "рейтинг заказчиков маркер", "производители", "на фт заводил Самар"</t>
  </si>
  <si>
    <t>Заказчик разыгравший 421 конкурсов на сумму  86 575 592 241,35 ?</t>
  </si>
  <si>
    <t>33.12.2 Услуги по ремонту и техническому обслуживанию оборудования специального назначения
35.22.10.110 Услуги по распределению и снабжению газовым топливом всех видов по системам распределительных трубопроводов
35.30.12.130 Услуги по транспортированию горячей воды</t>
  </si>
  <si>
    <t>Заказчик разыгравший 401 конкурсов на сумму  107 879 019 768,08 ?</t>
  </si>
  <si>
    <t>61.90.10.190 Услуги телекоммуникационные прочие, не включенные в другие группировки
71.12 Услуги в области инженерно-технического проектирования и связанные технические консультативные услуги
35.22.10.110 Услуги по распределению и снабжению газовым топливом всех видов по системам распределительных трубопроводов
68.20 Услуги по сдаче в аренду (внаем) собственного или арендованного недвижимого имущества
36.00.20.120 Услуги по обработке воды для промышленных и прочих нужд
71.20.14 Услуги по техническому осмотру автотранспортных средств
35.30.11 Пар и горячая вода
35.30.11.120 Энергия тепловая, отпущенная котельными
36.00 Вода природная; услуги по очистке воды и водоснабжению
68.20.12.000 Услуги по сдаче в аренду (внаем) собственных или арендованных нежилых помещений ****</t>
  </si>
  <si>
    <t>За весь период заходили в конкурсы  4 раз на общую сумму обеспеченных контрактов с НМЦ 181 749 138,64 ? с БГУ  17 918 072,37 ? с БГИ 88 819 837,36 ?                             ЗА 3 ГОДА ПО 223 ФЗ заключено 6 шт. с объемом НМЦ 120 761 539,23 ? за 1 ГОД ПО 223ФЗ заключено 1  68 838 158,47 ?</t>
  </si>
  <si>
    <t>"223 за 3 года", ".", "рейтинг поставщиков в маркере по бг", "все клиенты с выручкой от 1,8 млрд до бесконечности", "223 фз контракты 20+", "рейтинг заказчиков маркер", "производители", "рейтинг по нмц маркер", "поставщики маркер", "44 за 3 года"</t>
  </si>
  <si>
    <t>49.50.1 Услуги трубопроводного транспорта
33.12.29.900 Услуги по ремонту и техническому обслуживанию прочего оборудования специального назначения, не включенные в другие группировки
93.19.11 Услуги по содействию в подготовке спортивных и развлекательных мероприятий
71.20.19.190 Услуги по техническим испытаниям и анализу прочие, не включенные в другие группировки
93.11.10.000 Услуги спортивных объектов</t>
  </si>
  <si>
    <t>За весь период компания заключила  5 контрактов на сумму  1 111 748 867,74 ?                                     ЗА 3 ГОДА ПО 223 ФЗ заключено 17 шт. с объемом НМЦ 70 553 229,74 ? за 1 ГОД ПО 223ФЗ заключено 28  55 699 233,24 ?</t>
  </si>
  <si>
    <t>"223 за 3 года", ".", "рейтинг заказчиков маркер", "рейтинг по нмц маркер", "44 за 3 года"</t>
  </si>
  <si>
    <t>35.22.10.110 Услуги по распределению и снабжению газовым топливом всех видов по системам распределительных трубопроводов
06.20.10.132 Газ горючий природный регазифицированный
68.20.12.000 Услуги по сдаче в аренду (внаем) собственных или арендованных нежилых помещений
61.10.11 Услуги фиксированной телефонной связи - предоставление доступа и телефонные соединения
06.20.1 Газ природный в газообразном или сжиженном состоянии</t>
  </si>
  <si>
    <t>Заказчик разыгравший 392 конкурсов на сумму  81 312 760 371,57 ?</t>
  </si>
  <si>
    <t>"поставщики маркер", ".", "все клиенты с выручкой от 1,8 млрд до бесконечности", "рейтинг заказчиков маркер", "производители", "на фт заводил Синяев"</t>
  </si>
  <si>
    <t>71.12.20.190 Услуги по руководству строительными проектами прочие
68.20.12.000 Услуги по сдаче в аренду (внаем) собственных или арендованных нежилых помещений
27 Оборудование электрическое</t>
  </si>
  <si>
    <t>За весь период компания заключила  4 контрактов на сумму  270 248 813,93 ?                                     ЗА 3 ГОДА ПО 223 ФЗ заключено 5 шт. с объемом НМЦ 57 164 371,88 ? за 1 ГОД ПО 223ФЗ заключено 1  19 632 467,62 ?</t>
  </si>
  <si>
    <t>"223 за 3 года", ".", "все клиенты с выручкой от 1,8 млрд до бесконечности", "рейтинг заказчиков маркер", "рейтинг по нмц маркер", "на фт заводил Федоров", "поставщики маркер"</t>
  </si>
  <si>
    <t>68.20 Услуги по сдаче в аренду (внаем) собственного или арендованного недвижимого имущества
35.30.12.140 Услуги по подключению (технологическому присоединению) к централизованной системе горячего водоснабжения
19.20.31.110 Пропан сжиженный
35.30.12.120 Услуги по приготовлению горячей воды с использованием нецентрализованных систем горячего водоснабжения
68.20.12.000 Услуги по сдаче в аренду (внаем) собственных или арендованных нежилых помещений</t>
  </si>
  <si>
    <t>ЗА 3 ГОДА ПО 223 ФЗ заключено 8 шт. с объемом НМЦ 135 870 096,26 ? за 1 ГОД ПО 223ФЗ заключено 3  75 694 525,00 ?</t>
  </si>
  <si>
    <t>Сообщения о принятии решения о реорганизации от 25.09.2020</t>
  </si>
  <si>
    <t>"223 за 3 года", ".", "223 фз контракты 20+", "рейтинг заказчиков маркер", "производители", "это заказчик"</t>
  </si>
  <si>
    <t>68.10.14.000 Услуги по покупке и продаже нежилых зданий и занимаемых ими земельных участков
37.00.11.110 Услуги по водоотведению сточных вод
72.19.50.000 Работы оригинальные научных исследований и экспериментальных разработок в области естественных и технических наук, кроме биотехнологии
35.11.10.112 Электроэнергия, произведенная теплоэлектроцентралями (ТЭЦ) общего назначения
37.0 Услуги по водоотведению; шлам сточных вод
35.30.11.130 Энергия тепловая, отпущенная электрокотлами
35.30.12.110 Услуги по приготовлению воды на нужды горячего водоснабжения
36.00.11 Вода питьевая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36.00.20.110 Услуги по очистке и подготовке воды для водоснабжения ****</t>
  </si>
  <si>
    <t>за 1 ГОД ПО 223ФЗ заключено 10  4 474 711,18 ?</t>
  </si>
  <si>
    <t>Сообщения о принятии решения о реорганизации от 26.11.2020</t>
  </si>
  <si>
    <t>24 Металлы основные
24.20.13.130 Трубы стальные электросварные
24.20.12.110 Трубы обсадные бесшовные стальные
24.20.12.120 Трубы насосно-компрессорные бесшовные стальные
24.20.13.190 Трубы круглого сечения прочие стальные
24.20 Трубы, профили пустотелые и их фитинги стальные
24.20.13.110 Трубы стальные бесшовные горячедеформированные</t>
  </si>
  <si>
    <t>За весь период компания заключила  50 контрактов на сумму  429 942 560 235,33 ?</t>
  </si>
  <si>
    <t>"это заказчик", ".", "все клиенты с выручкой от 1,8 млрд до бесконечности", "рейтинг заказчиков маркер", "рейтинг по нмц маркер"</t>
  </si>
  <si>
    <t>77.34.1 Услуги по аренде и лизингу водных транспортных средств
68.20.12.000 Услуги по сдаче в аренду (внаем) собственных или арендованных нежилых помещений</t>
  </si>
  <si>
    <t>За весь период компания заключила  13 контрактов на сумму  48 435 532 223,16 ?</t>
  </si>
  <si>
    <t>31.01.11.190 Мебель офисная металлическая прочая</t>
  </si>
  <si>
    <t>За весь период компания заключила  2 контрактов на сумму  1 453 926 455,58 ?</t>
  </si>
  <si>
    <t>37.00.11.110 Услуги по водоотведению сточных вод
35.11.10.112 Электроэнергия, произведенная теплоэлектроцентралями (ТЭЦ) общего назначения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35.12.10.120 Услуги по технологическому присоединению к распределительным электросетям ****</t>
  </si>
  <si>
    <t>За весь период компания заключила  14 контрактов на сумму  4 995 147 001,56 ?</t>
  </si>
  <si>
    <t>За весь период контрактов 1 шт. на общую сумму НМЦ 49 865 493 315,20 ?</t>
  </si>
  <si>
    <t>68 Услуги по операциям с недвижимым имуществом
68.2 Услуги по сдаче в аренду (внаем) собственного или арендованного недвижимого имущества
19.20.31.120 Бутан сжиженный
19.20.32 Этилен, пропилен, бутилен, бутадиен и прочие нефтяные газы или газообразные углеводороды, кроме природного газа
77.39.14.000 Услуги по аренде и лизингу телекоммуникационного оборудования
68.32.11.120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
19.20.31 Пропан и бутан сжиженные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77.39.19.129 Услуги по аренде и лизингу прочих материальных средств, не включенных в другие группировки ****</t>
  </si>
  <si>
    <t>За весь период компания заключила  244 контрактов на сумму  3 091 099 817 565,27 ?                                     ЗА 3 ГОДА ПО 223 ФЗ заключено 111 шт. с объемом НМЦ 632 786 247,40 ? за 1 ГОД ПО 223ФЗ заключено 22  20 576 675,13 ?</t>
  </si>
  <si>
    <t>"223 за 3 года", ".", "fk1", "все клиенты с выручкой от 1,8 млрд до бесконечности", "рейтинг заказчиков маркер", "производители", "рейтинг по нмц маркер", "это заказчик", "поставщики маркер"</t>
  </si>
  <si>
    <t>77.1 Услуги по аренде и лизингу автотранспортных средств
77.11.10.000 Услуги по аренде и лизингу легковых автомобилей и легких автотранспортных средств
77.12 Услуги по аренде и лизингу грузовых транспортных средств
77.12.19.000 Услуги по аренде и лизингу прочих сухопутных транспортных средств и оборудования без водителя
64.91.10.190 Услуги по финансовой аренде (лизингу/сублизингу) в прочих областях, кроме племенных животных
77.12.11.000 Услуги по аренде и лизингу грузовых транспортных средств без водителя</t>
  </si>
  <si>
    <t>1 286</t>
  </si>
  <si>
    <t>За весь период контрактов 2 шт. с общей суммой НМЦ 233 460 000,00 ? с БГУ 2190141,49 и БГИ 96 431 997,06 ?</t>
  </si>
  <si>
    <t>30.99.10.190 Средства транспортные и оборудование прочие, не включенные в другие группировки
29.10.59.130 Средства транспортные для коммунального хозяйства и содержания дорог
26.40.33.190 Аппаратура записи и воспроизведения изображения прочая
77.12.19.000 Услуги по аренде и лизингу прочих сухопутных транспортных средств и оборудования без водителя
64.91.10.190 Услуги по финансовой аренде (лизингу/сублизингу) в прочих областях, кроме племенных животных
64.91.10 Услуги по финансовой аренде (лизингу/сублизингу)
77.39.19.129 Услуги по аренде и лизингу прочих материальных средств, не включенных в другие группировки
77.12.11.000 Услуги по аренде и лизингу грузовых транспортных средств без водителя</t>
  </si>
  <si>
    <t>За весь период контрактов 31 шт. на общую сумму НМЦ 73 756 703 798,99 ?</t>
  </si>
  <si>
    <t>"223 за 3 года", ".", "рейтинг поставщиков в маркере по бг", "все клиенты с выручкой от 1,8 млрд до бесконечности", "44 фз с с БГ от 10 млн", "рейтинг по нмц маркер", "это заказчик", "поставщики маркер", "44 за 3 года"</t>
  </si>
  <si>
    <t>77.12.19.000 Услуги по аренде и лизингу прочих сухопутных транспортных средств и оборудования без водителя
64.91.10.190 Услуги по финансовой аренде (лизингу/сублизингу) в прочих областях, кроме племенных животных
77.35.10.000 Услуги по аренде и лизингу воздушных транспортных средств</t>
  </si>
  <si>
    <t>За весь период контрактов 9 шт. на общую сумму НМЦ 5 879 716 512,59 ?</t>
  </si>
  <si>
    <t>"44 за 3 года", ".", "рейтинг поставщиков в маркере по бг", "ГРАНДИОЗНЫЙ ПРОЕКТ", "Конкурсы 100+ (Восстановленный)", "все клиенты с выручкой от 1,8 млрд до бесконечности", "44 фз с с БГ от 10 млн", "рейтинг по нмц маркер", "поставщики маркер"</t>
  </si>
  <si>
    <t>61.90.10.190 Услуги телекоммуникационные прочие, не включенные в другие группировки
61.10.13 Услуги фиксированной телефонной связи в выделенных сетях связи
61.10.11.190 Услуги фиксированной телефонной связи - предоставление доступа и телефонные соединения, прочие
61.10.11.110 Услуги по предоставлению внутризоновых, междугородных и международных телефонных соединений
61.10.11.120 Услуги по предоставлению местных соединений</t>
  </si>
  <si>
    <t>2 337</t>
  </si>
  <si>
    <t>1 000</t>
  </si>
  <si>
    <t>ЗА 3 ГОДА ПО 223 ФЗ заключено 2 шт. с объемом НМЦ 43 494 588,89 ? за 1 ГОД ПО 223ФЗ заключено 2  53 523 577,78 ?</t>
  </si>
  <si>
    <t>77.39 Услуги по аренде и лизингу прочих машин, оборудования и материальных средств, не включенных в другие группировки
35.30.11.120 Энергия тепловая, отпущенная котельными
35.30.12.130 Услуги по транспортированию горячей воды
33.14.1 Услуги по ремонту и техническому обслуживанию электрического оборудования
35.30.11.111 Энергия тепловая, отпущенная тепловыми электроцентралями (ТЭЦ)
35.12.10 Услуги по передаче электроэнергии и технологическому присоединению к распределительным электросетям
33.14 Услуги по ремонту электрического оборудования
35.30.11.119 Энергия тепловая, отпущенная прочими электростанциями</t>
  </si>
  <si>
    <t>3 401</t>
  </si>
  <si>
    <t>Заказчик разыгравший 357 конкурсов на сумму  98 026 398 357,63 ?</t>
  </si>
  <si>
    <t>71.12.40.120 Услуги в области метрологии
26.30.50.112 Устройства приемно-контрольные охранные и охранно-пожарные
80.20 Услуги систем обеспечения безопасности
26.30.50.113 Устройства сигнально-пусковые охранные и охранно-пожарные
43.21.10.140 Работы по монтажу систем пожарной сигнализации и охранной сигнализации
43.21.10 Работы электромонтажные
26.30.50.114 Приборы управления, приемно-контрольные и оповещатели охранные и охранно-пожарные
26.30.50.111 Извещатели охранные и охранно-пожарные
26.30.50.129 Приборы и аппаратура для систем автоматического пожаротушения и пожарной сигнализации прочие, не включенные в другие группировки
43.21.10.120 Работы электромонтажные, связанные с установкой приборов</t>
  </si>
  <si>
    <t>1 364</t>
  </si>
  <si>
    <t>за 1 ГОД ПО 223ФЗ заключено 1  45 102 496,32 ?</t>
  </si>
  <si>
    <t>"поставщики маркер", ".", "223 фз контракты 20+", "рейтинг по нмц маркер"</t>
  </si>
  <si>
    <t>51.10.12 Услуги по нерегулярным пассажирским перевозкам воздушным транспортом на местных линиях, кроме услуг по осмотру достопримечательностей с воздуха
35.14.10 Услуги по торговле электроэнергией
79.90 Услуги по бронированию и взаимосвязанные услуги прочие
51.1 Услуги по пассажирским перевозкам воздушным транспортом
55.90.12.000 Услуги по предоставлению временного жилья для рабочих в рабочих общежитиях или лагерях</t>
  </si>
  <si>
    <t>За весь период компания заключила  2 контрактов на сумму  6 026 105 365,00 ?</t>
  </si>
  <si>
    <t>Сообщение кредитора о намерении обратиться в суд с заявлением о банкротстве от 14.05.2019</t>
  </si>
  <si>
    <t>1 827</t>
  </si>
  <si>
    <t>За весь период контрактов 2 шт. на общую сумму НМЦ 2 037 933 107,30 ?</t>
  </si>
  <si>
    <t>09.10.1 Услуги по обеспечению добычи нефти и природного газа
09.10.12.190 Услуги, связанные с добычей нефти, газового конденсата и горючего природного газа, прочие
09.1 Услуги по добыче нефти и природного газа</t>
  </si>
  <si>
    <t>1 109</t>
  </si>
  <si>
    <t>За весь период компания заключила  8 контрактов на сумму  4 314 702 678,25 ?</t>
  </si>
  <si>
    <t>51.10.12 Услуги по нерегулярным пассажирским перевозкам воздушным транспортом на местных линиях, кроме услуг по осмотру достопримечательностей с воздуха
46.71 Услуги по оптовой торговле твердым, жидким и газообразным топливом и связанными продуктами
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47.99.30 Услуги по осуществлению прямых продаж топлива с доставкой по адресу клиента
68.20.1 Услуги по сдаче в аренду (внаем) собственного или арендованного недвижимого имущества
49.31.21 Услуги по регулярным перевозкам пассажиров сухопутным транспортом прочие
19.20.2 Топливо жидкое и газообразное; масла смазочные
68.20.12.000 Услуги по сдаче в аренду (внаем) собственных или арендованных нежилых помещений
55.20.12.000 Услуги по предоставлению временного жилья для посетителей в помещениях, предоставляемых по договорам краткосрочного найма
55.90.12.000 Услуги по предоставлению временного жилья для рабочих в рабочих общежитиях или лагерях ****</t>
  </si>
  <si>
    <t>За весь период контрактов 8 шт. на общую сумму НМЦ 2 541 270 810,47 ?</t>
  </si>
  <si>
    <t>"223 за 3 года", ".", "все клиенты с выручкой от 1,8 млрд до бесконечности", "223 фз контракты 20+", "рейтинг по нмц маркер", "поставщики маркер"</t>
  </si>
  <si>
    <t>52.21.22.000 Услуги по эксплуатации автомагистралей
35.11.10.110 Электроэнергия, произведенная электростанциями общего назначения
35.14.10 Услуги по торговле электроэнергией
79.90 Услуги по бронированию и взаимосвязанные услуги прочие
51 Услуги воздушного и космического транспорта
68.20.12.000 Услуги по сдаче в аренду (внаем) собственных или арендованных нежилых помещений</t>
  </si>
  <si>
    <t>за 1 ГОД ПО 223ФЗ заключено 1  38 684 590,10 ?</t>
  </si>
  <si>
    <t>"поставщики маркер", ".", "все клиенты с выручкой от 1,8 млрд до бесконечности", "223 фз контракты 20+"</t>
  </si>
  <si>
    <t>62.0 Продукты программные и услуги по разработке программного обеспечения; консультационные и аналогичные услуги в области информационных технологий
58.29.50.000 Услуги по предоставлению лицензий на право использовать компьютерное программное обеспечение
62.09 Услуги в области информационных технологий прочие и компьютерные услуги
63.11.1 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
63.11.13 Услуги по предоставлению программного обеспечения без его размещения на компьютерном оборудовании пользователя</t>
  </si>
  <si>
    <t>4 386</t>
  </si>
  <si>
    <t>35.22.10.110 Услуги по распределению и снабжению газовым топливом всех видов по системам распределительных трубопроводов
33.14.19.000 Услуги по ремонту и техническому обслуживанию прочего профессионального электрического оборудования
49.50.12.110 Услуги по транспортировке по трубопроводам природного газа</t>
  </si>
  <si>
    <t>1 204</t>
  </si>
  <si>
    <t>52.29.19.110 Услуги по экспедированию грузов
49.10.19.111 Услуги по перевозке пассажиров железнодорожным транспортом в междугородном сообщении в регулируемом секторе
49.10.19.110 Услуги по перевозке пассажиров железнодорожным транспортом в междугородном сообщении
49.20.13.000 Услуги железнодорожного транспорта по перевозке жидких и газообразных грузов в массе (наливом) в вагонах-цистернах
52.21.19.130 Услуги железнодорожных перегрузочных товарных станций
49.20.19.190 Услуги железнодорожного транспорта по перевозке прочих грузов, не включенные в другие группировки
49.20.1 Услуги железнодорожного транспорта по перевозке грузов</t>
  </si>
  <si>
    <t>За весь период контрактов 7 шт. на общую сумму НМЦ 50 754 961 224,81 ?</t>
  </si>
  <si>
    <t>28.99.39.190 Оборудование специального назначения прочее, не включенное в другие группировки
25.29.1 Резервуары, цистерны и аналогичные емкости из металлов прочие
46.14.19.000 Услуги по оптовой торговле прочими машинами и промышленным оборудованием, не включенными в другие группировки, за вознаграждение или на договорной основе
25.99.29.190 Изделия прочие из недрагоценных металлов, не включенные в другие группировки
26.30.50.129 Приборы и аппаратура для систем автоматического пожаротушения и пожарной сигнализации прочие, не включенные в другие группировки
28.13.14.190 Насосы прочие
25.29.12.199 Емкости из прочих металлов для сжатых или сжиженных газов прочие, не включенные в другие группировки</t>
  </si>
  <si>
    <t>43 Работы строительные специализированные</t>
  </si>
  <si>
    <t>За весь период заходили в конкурсы  4 раз на общую сумму обеспеченных контрактов с НМЦ 119 909 468,68 ? с БГУ  11 870 000,00 ? с БГИ 71 220 000,00 ?</t>
  </si>
  <si>
    <t>"поставщики маркер", ".", "рейтинг поставщиков в маркере по бг", "рейтинг по нмц маркер", "это заказчик"</t>
  </si>
  <si>
    <t>28.25.14.111 Фильтры для очистки воздуха
25.29.11.900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прочие
25.61.12.190 Услуги по нанесению на металлы прочих покрытий
28.99.39.190 Оборудование специального назначения прочее, не включенное в другие группировки
25.29.11.111 Резервуары и газгольдеры полистовой сборки горизонтальные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24.20.40.000 Фитинги для труб стальные, кроме литых
28.9 Оборудование специального назначения прочее
25.29.11.100 Резервуары и газгольдеры</t>
  </si>
  <si>
    <t>За весь период компания заключила  44 контрактов на сумму  7 000 686 550,54 ?                                     ЗА 3 ГОДА ПО 223 ФЗ заключено 3 шт. с объемом НМЦ 76 183 585,34 ?</t>
  </si>
  <si>
    <t>Сообщение кредитора о намерении обратиться в суд с заявлением о банкротстве от 17.05.2021</t>
  </si>
  <si>
    <t>За весь период компания заключила  2 контрактов на сумму  973 352 710,64 ?</t>
  </si>
  <si>
    <t>"поставщики маркер", ".", "все клиенты с выручкой от 1,8 млрд до бесконечности", "производители", "рейтинг по нмц маркер", "это заказчик", "crm управления", "в crm за Муслимом"</t>
  </si>
  <si>
    <t>52.21.22.000 Услуги по эксплуатации автомагистралей</t>
  </si>
  <si>
    <t>За весь период компания заключила  1 контрактов на сумму  870 464 496,38 ?</t>
  </si>
  <si>
    <t>43.22.12.120 Работы по установке и техническому обслуживанию систем управления центральным отоплением
35.22 Услуги по распределению газообразного топлива по трубопроводам
49.41.12.000 Услуги по перевозке автомобильным транспортом нефтепродуктов в автоцистернах или полуприцепах-цистернах
49.50.1 Услуги трубопроводного транспорта
43.22.20.000 Работы по монтажу газовых систем
35.22.10.110 Услуги по распределению и снабжению газовым топливом всех видов по системам распределительных трубопроводов
35.12.10.120 Услуги по технологическому присоединению к распределительным электросетям
06.20.10 Газ природный в газообразном или сжиженном состоянии
06.20.10.132 Газ горючий природный регазифицированный
35.22.10.120 Услуги по техническому обслуживанию приборов учета расхода газа ****</t>
  </si>
  <si>
    <t>2 721</t>
  </si>
  <si>
    <t>ЗА 3 ГОДА ПО 223 ФЗ заключено 14 шт. с объемом НМЦ 94 420 776,69 ? за 1 ГОД ПО 223ФЗ заключено 5  29 216 851,85 ?</t>
  </si>
  <si>
    <t>Юридическое лицо находится в процессе реорганизации в форме преобразования от 21.02.2014, Сообщения о принятии решения о реорганизации от 03.02.2014</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</si>
  <si>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 Электроэнергия
35.13.10.000 Услуги по распределению электроэнергии
35.11.10.114 Электроэнергия, произведенная дизельными электростанциями (ДЭС) общего назначения
35.14.10.000 Услуги по торговле электроэнергией
35.30.11.111 Энергия тепловая, отпущенная тепловыми электроцентралями (ТЭЦ)
35.11.10.116 Электроэнергия, произведенная гидроэлектростанциями (ГЭС) общего назначения
35.11.10.119 Электроэнергия, произведенная нетиповыми электростанциями общего назначения
35.11.10.111 Электроэнергия, произведенная конденсационными электростанциями (КЭС) общего назначения ****</t>
  </si>
  <si>
    <t>За весь период компания заключила  6 контрактов на сумму  6 474 146 069,89 ?                                         за 1 ГОД ПО 223ФЗ заключено 8  4 316 100,00 ?</t>
  </si>
  <si>
    <t>24.10.23 Сталь легированная прочая в слитках или в прочих первичных формах и полуфабрикаты из прочей легированной стали
68.20.12.000 Услуги по сдаче в аренду (внаем) собственных или арендованных нежилых помещений
35.30.12 Услуги по снабжению паром и горячей водой по трубопроводам</t>
  </si>
  <si>
    <t>За весь период компания заключила  9 контрактов на сумму  3 371 884 745,06 ?</t>
  </si>
  <si>
    <t>"поставщики маркер", ".", "Агентские одобренные но не выданные от 30.08", "все клиенты с выручкой от 1,8 млрд до бесконечности", "рейтинг заказчиков маркер", "производители", "рейтинг по нмц маркер", "это заказчик"</t>
  </si>
  <si>
    <t>43.21.10.220 Работы по монтажу систем освещения и сигнализации автомобильных дорог, аэропортов и портов
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43.21.10.210 Работы по установке приборов учета расхода электроэнергии
35.11.10 Электроэнергия
35.11.10.121 Электроэнергия, произведенная блок-станциями конденсационных электростанций (КЭС) ****</t>
  </si>
  <si>
    <t>За весь период компания заключила  55 контрактов на сумму  18 703 963 607,48 ? За весь период заходили в конкурсы  11 раз на общую сумму обеспеченных контрактов с НМЦ 328 717 841,94 ? с БГУ  24 050 640,17 ? с БГИ 68 002 042,57 ? За 3 ГОДА по 44ФЗ заключено 69 шт. с объемом НМЦ  292 771 033,64 ? с БГИ 9 409 634,40 ? с БГГО 121 224,96 ? с авансированием до 0,00 ? с комиссией банку 737 851,68 ? с кв 6 419,31 ? ЗА 1 ГОД по 44ФЗ заключено 20 шт. c объемом НМЦ 88 929 421,00 ? с БГИ 3 060 980,10 ? с БГГО 0,00 ? с авансированием до  0,00 ? с комиссией банку  338 538,56 ? с кв 2 945,29 ? ЗА 3 ГОДА ПО 223 ФЗ заключено 148 шт. с объемом НМЦ 898 071 169,21 ? за 1 ГОД ПО 223ФЗ заключено 85  635 917 298,16 ?</t>
  </si>
  <si>
    <t>35.11.10.112 Электроэнергия, произведенная теплоэлектроцентралями (ТЭЦ) общего назначения
35.30.12.110 Услуги по приготовлению воды на нужды горячего водоснабжения
35.30.12.130 Услуги по транспортированию горячей воды
35.30.11.111 Энергия тепловая, отпущенная тепловыми электроцентралями (ТЭЦ)
35.30.1 Пар и горячая вода; услуги по снабжению паром и горячей водой
35.30.12 Услуги по снабжению паром и горячей водой по трубопроводам
35.30.11.119 Энергия тепловая, отпущенная прочими электростанциями</t>
  </si>
  <si>
    <t>За весь период компания заключила  1 контрактов на сумму  455 733 514,85 ?                                     ЗА 3 ГОДА ПО 223 ФЗ заключено 3 шт. с объемом НМЦ 458 701 921,57 ? за 1 ГОД ПО 223ФЗ заключено 4  913 387 730,02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</si>
  <si>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35.11.10 Электроэнергия
35.12.10.120 Услуги по технологическому присоединению к распределительным электросетям ****</t>
  </si>
  <si>
    <t>За весь период компания заключила  12 контрактов на сумму  4 336 627 941,80 ?                                     ЗА 3 ГОДА ПО 223 ФЗ заключено 92 шт. с объемом НМЦ 1 312 142 335,09 ? за 1 ГОД ПО 223ФЗ заключено 38  167 598 676,63 ?</t>
  </si>
  <si>
    <t>"Участники клиринга", ".",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</si>
  <si>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10.32.19.111 Соки из фруктов прямого отжима прочие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10.51.12.110 Сливки питьевые
10.51.22.112 Молоко сухое цельное, от 26,0 % до 41,9 % жирности
10.51.52.140 Кефир
10.51.11.141 Молоко питьевое коровье стерилизованное
10.89.19.290 Продукты пищевые прочие, не включенные в другие группировки
10.51.40.131 Сыры твердые без вкусовых наполнителей
10.51.56.152 Сырки творожные
10.51.11.110 Молоко питьевое пастеризованное ****</t>
  </si>
  <si>
    <t>Сообщение кредитора о намерении обратиться в суд с заявлением о банкротстве от 22.01.2020</t>
  </si>
  <si>
    <t>"44 за 3 года", ".", "БизФин", "рейтинг по нмц маркер", "поставщики маркер"</t>
  </si>
  <si>
    <t>28.22.11.190 Подъемники, не включенные в другие группировки
27.51.21.119 Приборы электромеханические бытовые хозяйственные со встроенным электродвигателем прочие, не включенные в другие группировки
26.51.66.190 Инструменты, приборы и машины для измерения или контроля прочие, не включенные в другие группировки
28.24.11.000 Инструменты ручные электрические
25.73.30.299 Инструмент слесарно-монтажный прочий, не включенный в другие группировки</t>
  </si>
  <si>
    <t>Сообщения о принятии решения о реорганизации от 15.06.2022</t>
  </si>
  <si>
    <t>2 023</t>
  </si>
  <si>
    <t>Сообщения о принятии решения о реорганизации от 28.12.2021</t>
  </si>
  <si>
    <t>"поставщики маркер", ".", "fk1", "корп 2",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"это заказчик"</t>
  </si>
  <si>
    <t>"Обороты по клиентам по кварталам (2022г)",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t>
  </si>
  <si>
    <t>45.11 Услуги по торговле легковыми автомобилями и грузовыми автомобилями малой грузоподъемности
45.11.21.000 Услуги по розничной торговле новыми пассажирскими автотранспортными средствами в специализированных магазинах
45.11.39.000 Услуги по розничной торговле легковыми автомобилями и грузовыми автомобилями малой грузоподъемности прочие, не включенные в другие группировки
45.20.11.519 Прочие услуги по техническому обслуживанию и ремонту прочих автотранспортных средств, не включенные в другие группировки
29.10 Средства автотранспортные
29.10.2 Автомобили легковые
29.32.30.390 Части и принадлежности для автотранспортных средств прочие, не включенные в другие группировки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29.10.22 Средства транспортные с двигателем с искровым зажиганием, с рабочим объемом цилиндров более 1500 см3, новые
29.10.24.000 Средства автотранспортные для перевозки людей прочие ****</t>
  </si>
  <si>
    <t>За весь период заходили в конкурсы  7 раз на общую сумму обеспеченных контрактов с НМЦ 942 668 217,92 ? с БГУ  10 504 666,88 ? с БГИ 127 557 571,01 ?                             ЗА 3 ГОДА ПО 223 ФЗ заключено 5 шт. с объемом НМЦ 24 033 688,82 ?</t>
  </si>
  <si>
    <t>ЗА 3 ГОДА ПО 223 ФЗ заключено 5 шт. с объемом НМЦ 34 600 000,00 ?</t>
  </si>
  <si>
    <t>20.14.23.112 Пропиленгликоль (пропан-1,2-диол)
21.20.23.199 Средства нелечебные прочие
20.59.52.199 Реагенты сложные диагностические или лабораторные прочие, не включенные в другие группировки
22.19.71.190 Изделия из резины, кроме твердой резины (эбонита), гигиенические или фармацевтические прочие
20.20.14.000 Средства дезинфекционные
21.20.2 Препараты лекарственные прочие и материалы, применяемые в медицинских целях
26.60.11.119 Аппараты рентгеновские прочие, используемые для диагностики, применяемые в медицинских целях
26.60.11.121 Аппаратура стерилизационная, основанная на использовании альфа-, бета- или гамма-излучений, применяемая в медицинских целях
32.50.13.190 Инструменты и приспособления, применяемые в медицинских целях, прочие, не включенные в другие группировки
32.50.21.112 Оборудование терапевтические ****</t>
  </si>
  <si>
    <t>За весь период компания заключила  10 контрактов на сумму  383 575 583,00 ? За весь период заходили в конкурсы  18 раз на общую сумму обеспеченных контрактов с НМЦ 1 231 209 422,35 ? с БГУ  34 759 324,65 ? с БГИ 80 928 527,18 ? За 3 ГОДА по 44ФЗ заключено 951 шт. с объемом НМЦ  1 293 675 623,21 ? с БГИ 104 585 212,34 ? с БГГО 11 701 434,22 ? с авансированием до 5 785,66 ? с комиссией банку 1 165 451,38 ? с кв 10 139,43 ? ЗА 1 ГОД по 44ФЗ заключено 105 шт. c объемом НМЦ 171 270 257,19 ? с БГИ 12 203 500,25 ? с БГГО 632 962,00 ? с авансированием до  0,00 ? с комиссией банку  147 694,18 ? с кв 1 284,94 ? ЗА 3 ГОДА ПО 223 ФЗ заключено 72 шт. с объемом НМЦ 360 591 889,71 ? за 1 ГОД ПО 223ФЗ заключено 11  5 735 870,50 ?</t>
  </si>
  <si>
    <t>"223 за 3 года", ".", "рейтинг поставщиков в маркере по бг",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"производители", "рейтинг по нмц маркер", "поставщики маркер", "44 за 3 года"</t>
  </si>
  <si>
    <t>26.70.13.000 Видеокамеры цифровые
26.30.50.121 Извещатели пожарные
80.20.10.000 Услуги систем обеспечения безопасности
28.99.39.190 Оборудование специального назначения прочее, не включенное в другие группировки
26.30.50.114 Приборы управления, приемно-контрольные и оповещатели охранные и охранно-пожарные
26.30.60.190 Части устройств охранной или пожарной сигнализации и аналогичной аппаратуры прочие, не включенные в другие группировки
26.30.50.129 Приборы и аппаратура для систем автоматического пожаротушения и пожарной сигнализации прочие, не включенные в другие группировки
43.21.10.120 Работы электромонтажные, связанные с установкой приборов
28.29.22.110 Огнетушители</t>
  </si>
  <si>
    <t>56.10.11.129 Услуги прочих предприятий питания с полным обслуживанием без сопровождения развлекательных программ
82.30.11.000 Услуги по организации конференций
68.20.12.000 Услуги по сдаче в аренду (внаем) собственных или арендованных нежилых помещений
56.21.19.000 Услуги по поставке продукции общественного питания и обслуживанию торжественных мероприятий прочие
79 Услуги туристических агентств, туроператоров и прочие услуги по бронированию и сопутствующие им услуги</t>
  </si>
  <si>
    <t>Заказчик разыгравший 7 конкурсов на сумму  552 795 880,00 ?</t>
  </si>
  <si>
    <t>11.0 Напитки
11.01.10 Напитки алкогольные дистиллированные и ректификованные
11.02.12.119 Вина прочие
11.01.10.140 Коньяки</t>
  </si>
  <si>
    <t>"Обороты по клиентам по кварталам (2022г)", ".", "fk1", "портфель 31.10.2021_10 тыс_проверка", "Кредитный портфель_01.11", "06.2022_ФинХД", "все клиенты с выручкой от 1,8 млрд до бесконечности", "ФК клиенты с выручкой от 230 до бесконечности", "клиенты от 100 млн"</t>
  </si>
  <si>
    <t>19.2 Нефтепродукты
19.20.21 Топливо моторное, включая автомобильный и авиационный бензин
19.20.21.125 Бензин автомобильный с октановым числом более 92, но не более 95 по исследовательскому методу экологического класса К5
19.20.21.320 Топливо дизельное зимнее
19.20.21.345 Топливо дизельное межсезонное экологического класса К5
19.20.2 Топливо жидкое и газообразное; масла смазочные
19.20.21.300 Топливо дизельное
19.20.21.325 Топливо дизельное зимнее экологического класса К5</t>
  </si>
  <si>
    <t>за 1 ГОД ПО 223ФЗ заключено 1  80 000 040,00 ?</t>
  </si>
  <si>
    <t>55.10.1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33.17 Услуги по ремонту и техническому обслуживанию прочих транспортных средств и оборудования
56.29 Услуги по обеспечению питанием прочие</t>
  </si>
  <si>
    <t>Заказчик разыгравший 9 конкурсов на сумму  1 891 099 637,07 ?</t>
  </si>
  <si>
    <t>Юридическое лицо находится в процессе реорганизации в форме присоединения к другому юридическому лицу от 14.03.2023, Сообщение кредитора о намерении обратиться в суд с заявлением о банкротстве от 30.07.2021</t>
  </si>
  <si>
    <t>46.13.12.000 Услуги по оптовой торговле строительными материалами за вознаграждение или на договорной основе
28.13.14.190 Насосы прочие</t>
  </si>
  <si>
    <t>85.31.11.000 Услуги по профессиональному обучению</t>
  </si>
  <si>
    <t>Сообщения о принятии решения о реорганизации от 19.09.2022</t>
  </si>
  <si>
    <t>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41.20.30.100 Работы по возведению жилых зданий, кроме работ по сохранению и воссозданию объектов культурного наследия</t>
  </si>
  <si>
    <t>"223 за 3 года", "свод фт", ".", "рейтинг поставщиков в маркере по бг", "fk1", "клиенты с в от100млн 09.21", "все клиенты с выручкой от 1,8 млрд до бесконечности", "рейтинг заказчиков маркер", "рейтинг по нмц маркер", "это заказчик", "на фт заводил Меркулов", "на фт заводил Курилин", "crm управления", "в crm за Курилиным", "поставщики маркер", "44 за 3 года"</t>
  </si>
  <si>
    <t>28.11.2 Турбины
33.12 Услуги по ремонту оборудования
28.15.24.119 Редукторы и передачи зубчатые прочие
28.25.30.110 Комплектующие (запасные части) холодильного и морозильного оборудования, не имеющие самостоятельных группировок
33.12.19.000 Услуги по ремонту и техническому обслуживанию прочего оборудования общего назначения, не включенного в другие группировки
33.14.1 Услуги по ремонту и техническому обслуживанию электрического оборудования
28 Машины и оборудование, не включенные в другие группировки
28.13.3 Части насосов и компрессоров
28.25.14 Оборудование и установки для фильтрования или очистки газов, не включенные в другие группировки</t>
  </si>
  <si>
    <t>За весь период компания заключила  4 контрактов на сумму  828 902 331,74 ? За весь период заходили в конкурсы  1 раз на общую сумму обеспеченных контрактов с НМЦ 320 190 592,80 ? с БГУ  2 464 808,00 ? с БГИ 73 944 240,00 ?</t>
  </si>
  <si>
    <t>Сообщения о принятии решения о реорганизации от 10.10.2018</t>
  </si>
  <si>
    <t>"223 за 3 года", ".", "рейтинг поставщиков в маркере по бг", "все клиенты с выручкой от 1,8 млрд до бесконечности", "производители", "рейтинг по нмц маркер", "поставщики маркер"</t>
  </si>
  <si>
    <t>Сообщения о принятии решения о реорганизации от 09.10.2018</t>
  </si>
  <si>
    <t>32.5 Инструменты и оборудование медицинские</t>
  </si>
  <si>
    <t>1 182</t>
  </si>
  <si>
    <t>Сообщения о принятии решения о реорганизации от 29.09.2022</t>
  </si>
  <si>
    <t>Сообщение кредитора о намерении обратиться в суд с заявлением о банкротстве от 04.05.2021</t>
  </si>
  <si>
    <t>За весь период контрактов 1 шт. на общую сумму НМЦ 486 451 126,00 ?</t>
  </si>
  <si>
    <t>"поставщики маркер", ".", "рейтинг поставщиков в маркере по бг", "все клиенты с выручкой от 1,8 млрд до бесконечности", "производители", "рейтинг по нмц маркер", "это заказчик", "crm управления", "в crm за Кашиным"</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</si>
  <si>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42.91.20.190 Работы строительные и ремонтные, связанные с прочими водными сооружениями и работы по ремонту всех вышеуказанных сооружений
43.99.90.190 Работы строительные специализированные прочие, не включенные в другие группировки
41.20.40.200 Работы по сохранению и воссозданию нежилых зданий, являющихся объектами культурного наследия
42.13.20.200 Работы по сохранению и воссозданию мостов и тоннелей, являющихся объектами культурного наследия
43.99.30.100 Работы свайные; работы по строительству фундаментов, кроме работ на объектах культурного наследия
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71.20.19.111 Услуги по проведению государственной экспертизы проектной документации и результатов инженерных изысканий
41.20.40.900 Работы строительные по возведению нежилых зданий и сооружений прочие, не включенные в другие группировки ****</t>
  </si>
  <si>
    <t>Возвращена;Гарантия завершена;Гарантия отправлена;Заявка взята на рассмотрение;Заявка изменена;Заявка отозвана клиентом;Мой черновик;Отказ из-за непредставления документов;Отклонена банком;Отправлена клиенту
Отклонена ФО
Отклонена банком;Распределена в Банк</t>
  </si>
  <si>
    <t>Сообщение кредитора о намерении обратиться в суд с заявлением о банкротстве от 21.02.2023</t>
  </si>
  <si>
    <t>"223 за 3 года", "свод фт", ".", "рейтинг поставщиков в маркере по бг", "ГРАНДИОЗНЫЙ ПРОЕКТ 223", "Рассрочка КВ Март 2023", "ГРАНДИОЗНЫЙ ПРОЕКТ", "УПП на 2 номер", "Конкурсы 100+ (Восстановленный)", "fk1", "клиенты управления по БГ без открытых счетов", "Премия 4 кв 22 г.бг", "ушедшие", "Пункт 3 09.01.23", "лимит сит по кредитам", "все клиенты с выручкой от 1,8 млрд до бесконечности", "223 фз контракты 20+", "44 фз с с БГ от 10 млн", "производители", "рейтинг по нмц маркер", "на фт заводил Шутов", "на фт заводил Алиев", "поставщики маркер", "44 за 3 года"</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</si>
  <si>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41.20.40.900 Работы строительные по возведению нежилых зданий и сооружений прочие, не включенные в другие группировки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43.29.19 Работы строительно-монтажные прочие, не включенные в другие группировки
71.12.19.100 Услуги по инженерно-техническому проектированию прочих объектов, кроме объектов культурного наследия
42.12.20.190 Работы строительные по строительству наземных и подземных железных дорог прочие, не включенные в другие группировки
43.29.19.190 Работы монтажные прочие, не включенные в другие группировки</t>
  </si>
  <si>
    <t>За весь период компания заключила  2 контрактов на сумму  1 625 128 823,00 ? За весь период заходили в конкурсы  10 раз на общую сумму обеспеченных контрактов с НМЦ 2 937 812 036,38 ? с БГУ  45 485 230,57 ? с БГИ 528 291 888,12 ? За 3 ГОДА по 44ФЗ заключено 4 шт. с объемом НМЦ  1 706 737 328,91 ? с БГИ 194 125 957,47 ? с БГГО 80 646 421,23 ? с авансированием до 512 021 198,67 ? с комиссией банку 5 816 989,59 ? с кв 50 607,81 ? ЗА 1 ГОД по 44ФЗ заключено 3 шт. c объемом НМЦ 117 261 122,91 ? с БГИ 35 178 336,87 ? с БГГО 1 172 611,23 ? с авансированием до  35 178 336,87 ? с комиссией банку  164 550,92 ? с кв 1 431,59 ? ЗА 3 ГОДА ПО 223 ФЗ заключено 5 шт. с объемом НМЦ 1 253 462 480,00 ?</t>
  </si>
  <si>
    <t>Сообщение кредитора о намерении обратиться в суд с заявлением о банкротстве от 14.02.2023</t>
  </si>
  <si>
    <t>"223 за 3 года", "кл фт агент бг 04.22", ".", "рейтинг поставщиков в маркере по бг", "ГРАНДИОЗНЫЙ ПРОЕКТ", "Агентские отказ из-за непред-я док-ов", "fk1",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"44 фз с с БГ от 10 млн", "производители", "рейтинг по нмц маркер", "поставщики маркер", "44 за 3 года"</t>
  </si>
  <si>
    <t>За 3 года по 223ФЗ заключено  16 шт контрактов на сумму 120 919 060,06 ?</t>
  </si>
  <si>
    <t>"223 за 3 года", ".", "223 фз контракты 20+", "производители"</t>
  </si>
  <si>
    <t>За весь период компания заключила  1 контрактов на сумму  488 000 000,00 ?</t>
  </si>
  <si>
    <t>43.9 Работы строительные специализированные прочие
43.12.11.190 Работы земляные прочие, не включенные в другие группировки
43 Работы строительные специализированные
43.99.10.110 Работы по гидроизоляции плоских крыш и крыш-террас
39.00.22.000 Услуги по рекультивации прочие</t>
  </si>
  <si>
    <t>За весь период компания заключила  23 контрактов на сумму  27 921 967 226,14 ? За весь период заходили в конкурсы  24 раз на общую сумму обеспеченных контрактов с НМЦ 27 573 478 638,96 ? с БГУ  610 608 621,85 ? с БГИ 7 901 369 937,13 ? За 3 ГОДА по 44ФЗ заключено 10 шт. с объемом НМЦ  11 955 050 900,27 ? с БГИ 2 812 361 228,39 ? с БГГО 523 133 780,05 ? с авансированием до 100 269 441 718,11 ? с комиссией банку 106 265 291,97 ? с кв 924 508,04 ? ЗА 1 ГОД по 44ФЗ заключено 3 шт. c объемом НМЦ 3 371 012 442,34 ? с БГИ 825 310 115,84 ? с БГГО 116 576 590,00 ? с авансированием до  1 101 162 482,47 ? с комиссией банку  44 339 955,63 ? с кв 385 757,61 ?</t>
  </si>
  <si>
    <t>"44 за 3 года", ".", "рейтинг поставщиков в маркере по бг", "ГРАНДИОЗНЫЙ ПРОЕКТ", "Конкурсы 100+ (Восстановленный)", "Агентские отказ из-за непред-я док-ов", "все клиенты с выручкой от 1,8 млрд до бесконечности", "44 фз с с БГ от 10 млн", "рейтинг по нмц маркер",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</si>
  <si>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43 Работы строительные специализированные</t>
  </si>
  <si>
    <t>За весь период компания заключила  6 контрактов на сумму  10 417 459 685,79 ? За весь период заходили в конкурсы  5 раз на общую сумму обеспеченных контрактов с НМЦ 7 805 051 922,99 ? с БГУ  76 023 100,01 ? с БГИ 1 459 256 294,46 ? За 3 ГОДА по 44ФЗ заключено 1 шт. с объемом НМЦ  1 711 700 145,94 ? с БГИ 342 340 029,18 ? с БГГО 17 117 001,00 ? с авансированием до 324 880 687,70 ? с комиссией банку 21 140 669,20 ? с кв 183 923,82 ?               ЗА 3 ГОДА ПО 223 ФЗ заключено 1 шт. с объемом НМЦ 2 618 612 814,54 ?</t>
  </si>
  <si>
    <t>"223 за 3 года", "кл фт ФК БГ 04.22", "свод фт", ".", "рейтинг поставщиков в маркере по бг", "Рассрочка КВ Март 2023", "ГРАНДИОЗНЫЙ ПРОЕКТ", "Агентские отказ из-за непред-я док-ов", "fk1", "кредиты фт", "корп 1", "лимит сит по кредитам", "все клиенты с выручкой от 1,8 млрд до бесконечности", "портфель", "клиенты от 100 млн", "действующие б не прям", "Обороты по клиентам по кварталам (2022г)", "ФТ клиенты с продуктами по сотрудникам", "рейтинг по нмц маркер", "на фт заводил Синяев", "на фт заводил Егоров ", "поставщики маркер", "44 за 3 года"</t>
  </si>
  <si>
    <t>71.12.3 Услуги в области геологических, геофизических и взаимосвязанных изыскательных работ и консультативные услуги
71.12.31.000 Услуги геологические и геофизические консультативные
71.12.32.000 Услуги геофизические
71.12.39.112 Работы гелиофизические и геофизические</t>
  </si>
  <si>
    <t>За весь период контрактов 31 шт. на общую сумму НМЦ 26 710 580 628,15 ?</t>
  </si>
  <si>
    <t>Сообщение кредитора о намерении обратиться в суд с заявлением о банкротстве от 16.03.2022</t>
  </si>
  <si>
    <t>"44 за 3 года", ".", "рейтинг поставщиков в маркере по бг", "производители", "рейтинг по нмц маркер", "это заказчик",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</si>
  <si>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42.13.20.100 Работы строительные по строительству мостов и тоннелей, кроме работ по сохранению и воссозданию объектов культурного наследия</t>
  </si>
  <si>
    <t>За весь период компания заключила  39 контрактов на сумму  92 359 283 212,35 ? За весь период заходили в конкурсы  53 раз на общую сумму обеспеченных контрактов с НМЦ 91 387 416 204,26 ? с БГУ  3 473 882 827,84 ? с БГИ 19 592 320 294,30 ? За 3 ГОДА по 44ФЗ заключено 9 шт. с объемом НМЦ  32 221 414 524,73 ? с БГИ 4 813 150 236,28 ? с БГГО 314 237 808,46 ? с авансированием до 4 913 291 800,78 ? с комиссией банку 9 727 503,93 ? с кв 84 629,28 ?               ЗА 3 ГОДА ПО 223 ФЗ заключено 1 шт. с объемом НМЦ 48 111 583,66 ? за 1 ГОД ПО 223ФЗ заключено 1  48 111 583,66 ?</t>
  </si>
  <si>
    <t>"223 за 3 года", "свод фт", ".", "рейтинг поставщиков в маркере по бг", "ГРАНДИОЗНЫЙ ПРОЕКТ", "Конкурсы 100+ (Восстановленный)", "fk1", "корп 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"44 фз с с БГ от 10 млн", "производители", "рейтинг по нмц маркер", "на фт заводил Кашин", "поставщики маркер", "44 за 3 года"</t>
  </si>
  <si>
    <t>28.13.11.110 Насосы топливные
28.13.12.000 Насосы возвратно-поступательные объемного действия прочие для перекачки жидкостей
28.13.14.110 Насосы центробежные подачи жидкостей прочие
28.13.32.110 Комплектующие (запасные части) воздушных или вакуумных насосов, не имеющие самостоятельных группировок
25.62.2 Услуги по обработке металлических изделий с использованием прочих основных технологических процессов машиностроения
28.12 Оборудование гидравлическое и пневматическое силовое
28.12.13.190 Насосы гидравлические прочие
28.29 Машины и оборудование общего назначения прочие, не включенные в другие группировки
28.29.12.190 Оборудование и установки для фильтрования или очистки жидкостей прочие, не включенные в другие группировки
27.11.10.120 Электродвигатели постоянного тока прочие ****</t>
  </si>
  <si>
    <t>За весь период контрактов 56 шт. на общую сумму НМЦ 9 244 136 986,21 ?</t>
  </si>
  <si>
    <t>"223 за 3 года", ".", "fk1", "все клиенты с выручкой от 1,8 млрд до бесконечности", "223 фз контракты 20+", "рейтинг по нмц маркер", "поставщики маркер"</t>
  </si>
  <si>
    <t>71.12.16.000 Услуги по инженерно-техническому проектированию производственных процессов и производств
42.22.22.110 Работы строительные по прокладке местных линий электропередачи и связи над землей или под землей
42.91.20.120 Работы строительные по строительству плотин и дамб, включая ремонт
42.91.20.190 Работы строительные и ремонтные, связанные с прочими водными сооружениями и работы по ремонту всех вышеуказанных сооружений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43.99.90.190 Работы строительные специализированные прочие, не включенные в другие группировки
42.91.10.139 Причалы, молы, пирсы и аналогичные сооружения прочие
71.12 Услуги в области инженерно-технического проектирования и связанные технические консультативные услуги
33.20.50.000 Услуги по монтажу электрического оборудования
80.20.10.000 Услуги систем обеспечения безопасности ****</t>
  </si>
  <si>
    <t>За весь период компания заключила  138 контрактов на сумму  62 979 433 175,49 ? За весь период заходили в конкурсы  38 раз на общую сумму обеспеченных контрактов с НМЦ 23 248 248 074,55 ? с БГУ  1 118 683 867,76 ? с БГИ 6 223 091 557,07 ?               ЗА 1 ГОД по 44ФЗ заключено 1 шт. c объемом НМЦ 173 429 930,00 ? с БГИ 17 342 993,00 ? с БГГО 8 671 496,50 ? с авансированием до  0,00 ? с комиссией банку  98 831,30 ? с кв 859,83 ?</t>
  </si>
  <si>
    <t>"223 за 3 года", ".", "рейтинг поставщиков в маркере по бг", "беники", "все клиенты с выручкой от 1,8 млрд до бесконечности", "44 фз с с БГ от 10 млн", "рейтинг заказчиков маркер", "производители", "рейтинг по нмц маркер", "это заказчик", "crm управления", "crm Пител",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</si>
  <si>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41.20.30.100 Работы по возведению жилых зданий, кроме работ по сохранению и воссозданию объектов культурного наследия
42.11.10.140 Стоянки автомобильные с твердым покрытием
93.11.10.000 Услуги спортивных объектов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</si>
  <si>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25 контрактов на сумму  18 753 521 466,87 ? За весь период заходили в конкурсы  59 раз на общую сумму обеспеченных контрактов с НМЦ 13 924 753 478,40 ? с БГУ  658 144 394,80 ? с БГИ 4 067 895 494,00 ? За 3 ГОДА по 44ФЗ заключено 12 шт. с объемом НМЦ  1 682 587 808,75 ? с БГИ 189 142 122,24 ? с БГГО 9 122 813,80 ? с авансированием до 30 287 741,82 ? с комиссией банку 1 753 130,92 ? с кв 15 252,24 ? ЗА 1 ГОД по 44ФЗ заключено 5 шт. c объемом НМЦ 497 304 324,70 ? с БГИ 93 286 319,74 ? с БГГО 4 561 406,90 ? с авансированием до  15 143 870,91 ? с комиссией банку  698 063,78 ? с кв 6 073,15 ? ЗА 3 ГОДА ПО 223 ФЗ заключено 5 шт. с объемом НМЦ 25 917 324,00 ?</t>
  </si>
  <si>
    <t>За весь период компания заключила  1 контрактов на сумму  651 740 469,27 ?</t>
  </si>
  <si>
    <t>27.51.2 Приборы бытовые электрические прочие, не включенные в другие группировки
27.51.15.110 Вентиляторы бытовые
27.51.21.110 Приборы электромеханические бытовые хозяйственные со встроенным электродвигателем
27.51.21.119 Приборы электромеханические бытовые хозяйственные со встроенным электродвигателем прочие, не включенные в другие группировки
27.51 Приборы бытовые электрические
26.40.20.122 Приемники телевизионные (телевизоры) цветного изображения с жидкокристаллическим экраном, плазменной панелью
27.51.24.110 Электрочайники
27.51.24.120 Электрокофеварки</t>
  </si>
  <si>
    <t>"поставщики маркер", ".", "fk1", "все клиенты с выручкой от 1,8 млрд до бесконечности", "Обороты по клиентам по кварталам (2022г)"</t>
  </si>
  <si>
    <t>68.2 Услуги по сдаче в аренду (внаем) собственного или арендованного недвижимого имущества
68.20.12.000 Услуги по сдаче в аренду (внаем) собственных или арендованных нежилых помещений</t>
  </si>
  <si>
    <t>"поставщики маркер", ".", "п6", "все клиенты с выручкой от 1,8 млрд до бесконечности", "производители", "это заказчик"</t>
  </si>
  <si>
    <t>71 Услуги в области архитектуры и инженерно-технического проектирования, технических испытаний, исследований и анализа
71.12 Услуги в области инженерно-технического проектирования и связанные технические консультативные услуги
74.90 Услуги профессиональные, научные и технические, прочие, не включенные в другие группировки
71.20.19.190 Услуги по техническим испытаниям и анализу прочие, не включенные в другие группировки</t>
  </si>
  <si>
    <t>3 227</t>
  </si>
  <si>
    <t>За весь период компания заключила  38 контрактов на сумму  27 129 481 582,74 ?</t>
  </si>
  <si>
    <t>71.11.22.000 Услуги в области архитектуры, связанные с проектами строительства нежилых зданий и сооружений
71.12.12.120 Услуги по строительному надзору при строительстве и реконструкции объектов федеральных ядерных организаций
71.12.19.100 Услуги по инженерно-техническому проектированию прочих объектов, кроме объектов культурного наследия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41.10.10.000 Документация проектная для строительства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71.12.12 Услуги по инженерно-техническому проектированию зданий
71.12.17.000 Услуги по инженерно-техническому проектированию производственных процессов и производств</t>
  </si>
  <si>
    <t>За весь период заходили в конкурсы  1 раз на общую сумму обеспеченных контрактов с НМЦ 106 000 000,00 ? с БГУ  5 895 000,00 ? с БГИ 35 370 000,00 ?</t>
  </si>
  <si>
    <t>28.22 Оборудование подъемно-транспортное
29.10.30.190 Средства автотранспортные пассажирские с числом мест для сидения не менее 10 прочие
29.10.41.113 Автомобили грузовые с дизельным двигателем, имеющие технически допустимую максимальную массу свыше 12 т
45.11 Услуги по торговле легковыми автомобилями и грузовыми автомобилями малой грузоподъемности
30.99.1 Средства транспортные и оборудование прочие, не включенные в другие группировки
28.29 Машины и оборудование общего назначения прочие, не включенные в другие группировки
29.1 Средства автотранспортные
29.10.4 Средства автотранспортные грузовые
29.10.41.110 Автомобили грузовые с дизельным двигателем
29.10.41.112 Автомобили грузовые с дизельным двигателем, имеющие технически допустимую максимальную массу свыше 3,5 т, но не более 12 т ****</t>
  </si>
  <si>
    <t>ЗА 3 ГОДА ПО 223 ФЗ заключено 10 шт. с объемом НМЦ 5 990 913 372,62 ?</t>
  </si>
  <si>
    <t>"223 за 3 года", ".", "ушедшие", "все клиенты с выручкой от 1,8 млрд до бесконечности", "рейтинг по нмц маркер", "поставщики маркер", "44 за 3 года"</t>
  </si>
  <si>
    <t>Сообщения о принятии решения о реорганизации от 30.03.2020</t>
  </si>
  <si>
    <t>"Обороты по клиентам по кварталам (2022г)", ".", "fk1", "06.2022_ФинХД", "клиенты с в от100млн 09.21", "все клиенты с выручкой от 1,8 млрд до бесконечности", "ФК клиенты с выручкой от 230 до бесконечности"</t>
  </si>
  <si>
    <t>18.12.1 Услуги печатные прочие
18.1 Услуги полиграфические и услуги, связанные с печатанием
18.12.12 Услуги по печатанию торгово-рекламных каталогов, проспектов, плакатов и прочей печатной рекламной продукции
17.23.13.141 Бланки личных документов строгого учета
53.10.12.000 Услуги почтовой связи общего пользования, связанные с письменной корреспонденцией
53.10.13.190 Услуги почтовые, связанные с посылочной почтой, прочие
53.20.19.120 Услуги курьерские прочие, не включенные в другие группировки
18.12.16.000 Услуги по печатанию непосредственно на пластмассе, стекле, металле, дереве и керамике
73.11.13.000 Услуги по разработке рекламного дизайна и концепции
53.10.19.000 Услуги почтовой связи общего пользования прочие ****</t>
  </si>
  <si>
    <t>За весь период компания заключила  3 контрактов на сумму  1 036 748 165,48 ?                       ЗА 1 ГОД по 44ФЗ заключено 3 шт. c объемом НМЦ 51 233 868,02 ? с БГИ 5 123 386,80 ? с БГГО 0,00 ? с авансированием до  0,00 ? с комиссией банку  78 852,01 ? с кв 686,01 ?</t>
  </si>
  <si>
    <t>"223 за 3 года", ".", "fk1", "ПОС на 01.02.2023", "ПОС на 03.04.2023", "ушедшие", "все клиенты с выручкой от 1,8 млрд до бесконечности", "Обороты по клиентам по кварталам (2022г)", "рейтинг по нмц маркер", "поставщики маркер", "44 за 3 года"</t>
  </si>
  <si>
    <t>52.29.19.110 Услуги по экспедированию грузов
01.11.12.121 Зерно яровой мягкой пшеницы
01.11.32.111 Зерно озимой ржи
01.11.12.111 Зерно озимой мягкой пшеницы</t>
  </si>
  <si>
    <t>ЗА 3 ГОДА ПО 223 ФЗ заключено 3 шт. с объемом НМЦ 104 200 005,00 ? за 1 ГОД ПО 223ФЗ заключено 6  208 400 010,00 ?</t>
  </si>
  <si>
    <t>"223 за 3 года", ".", "компании пайрус", "Действующий клиент мсб с выр от 30 млн на 05.21", "все клиенты с выручкой от 1,8 млрд до бесконечности", "ФК клиенты с выручкой от 230 до бесконечности", "223 фз контракты 20+", "производители", "рейтинг по нмц маркер", "поставщики маркер"</t>
  </si>
  <si>
    <t>29.10.30.190 Средства автотранспортные пассажирские с числом мест для сидения не менее 10 прочие
28.92.1 Оборудование для добычи полезных ископаемых подземным способом
28.92.21 Бульдозеры и бульдозеры с поворотным отвалом
29.10.59.220 Средства транспортные для перевозки грузов с использованием прицепа-роспуска
46.6 Услуги по оптовой торговле прочими машинами, оборудованием и инструментами
29.10.41.110 Автомобили грузовые с дизельным двигателем
28.92.61.120 Комплектующие (запасные части) машин для выемки грунта, не имеющие самостоятельных группировок
29.20.23.114 Прицепы и полуприцепы, технически допустимая максимальная масса которых свыше 10 т
29.10.5 Средства автотранспортные специального назначения
29.10.59.120 Автолесовозы ****</t>
  </si>
  <si>
    <t>Сообщение кредитора о намерении обратиться в суд с заявлением о банкротстве от 08.10.2021</t>
  </si>
  <si>
    <t>"223 за 3 года", ".", "закрыли счет", "все клиенты с выручкой от 1,8 млрд до бесконечности", "рейтинг по нмц маркер", "поставщики маркер", "44 за 3 года"</t>
  </si>
  <si>
    <t>71.12.19 Услуги по инженерно-техническому проектированию прочих объектов
41.20.40.900 Работы строительные по возведению нежилых зданий и сооружений прочие, не включенные в другие группировки</t>
  </si>
  <si>
    <t>За весь период компания заключила  3 контрактов на сумму  2 035 206 125,40 ? За весь период заходили в конкурсы  2 раз на общую сумму обеспеченных контрактов с НМЦ 1 987 926 125,40 ? с БГУ  56 307 757,25 ? с БГИ 124 237 266,73 ?</t>
  </si>
  <si>
    <t>Сообщение кредитора о намерении обратиться в суд с заявлением о банкротстве от 09.11.2020</t>
  </si>
  <si>
    <t>Сообщение кредитора о намерении обратиться в суд с заявлением о банкротстве от 10.08.2018</t>
  </si>
  <si>
    <t>28.22.17.119 Конвейеры прочие, не включенные в другие группировки
28.99.9 Услуги по производству прочего оборудования специального назначения, не включенного в другие группировки, отдельные, выполняемые субподрядчиком
25.30.12.118 Сосуды расширительные и аккумуляторные для котлов, работающих с ВОТ
43.22 Работы по монтажу систем водопровода, канализации, отопления и кондиционирования воздуха
71.12.16.000 Услуги по инженерно-техническому проектированию производственных процессов и производств
71.12.19 Услуги по инженерно-техническому проектированию прочих объектов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42.21.22.120 Работы строительные по прокладке местных трубопроводов горячей воды
42.22.22.110 Работы строительные по прокладке местных линий электропередачи и связи над землей или под землей
19.2 Нефтепродукты ****</t>
  </si>
  <si>
    <t>За весь период компания заключила  360 контрактов на сумму  435 394 603 807,20 ? За весь период заходили в конкурсы  502 раз на общую сумму обеспеченных контрактов с НМЦ 409 921 096 395,15 ? с БГУ  12 900 774 840,26 ? с БГИ 96 422 789 346,42 ? За 3 ГОДА по 44ФЗ заключено 187 шт. с объемом НМЦ  130 733 631 488,76 ? с БГИ 27 191 252 842,17 ? с БГГО 3 815 834 314,65 ? с авансированием до 256 106 271 002,26 ? с комиссией банку 775 292 187,90 ? с кв 6 745 042,04 ? ЗА 1 ГОД по 44ФЗ заключено 58 шт. c объемом НМЦ 24 294 447 158,07 ? с БГИ 3 388 874 029,18 ? с БГГО 495 858 209,06 ? с авансированием до  2 542 807 247,27 ? с комиссией банку  119 871 800,79 ? с кв 1 042 884,67 ? ЗА 3 ГОДА ПО 223 ФЗ заключено 207 шт. с объемом НМЦ 69 275 557 874,77 ? за 1 ГОД ПО 223ФЗ заключено 74  3 421 672 751,29 ?</t>
  </si>
  <si>
    <t>Сообщение кредитора о намерении обратиться в суд с заявлением о банкротстве от 22.10.2022</t>
  </si>
  <si>
    <t>"223 за 3 года", "кл фт агент бг 04.22", "свод фт", ".", "рейтинг поставщиков в маркере по бг", "База Восточный (Мелкумов)", "ГРАНДИОЗНЫЙ ПРОЕКТ", "Конкурсы 100+ (Восстановленный)", "Агентские отказ из-за непред-я док-ов", "fk1", "Кредитный портфель_01.11", "корп 1", "06.2022_ФинХД", "лимит сит по кредитам",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"Участники клиринга", "223 фз контракты 20+", "44 фз с с БГ от 10 млн", "рейтинг заказчиков маркер", "производители", "рейтинг по нмц маркер", "это заказчик", "на фт заводил Морозова", "на фт заводил Мелкумов", "поставщики маркер", "44 за 3 года"</t>
  </si>
  <si>
    <t>5 111</t>
  </si>
  <si>
    <t>10.86.10.243 Соки фруктовые и фруктово-овощные для детского питания
10.86.10.613 Сардельки вареные для детского питания
10.13.14.119 Изделия колбасные вареные мясные прочие
10.20.25.110 Консервы рыбные
01.13.12.120 Капуста белокочанная
10.32.1 Соки из фруктов и овощей
10.84.30.140 Соль пищевая молотая
10.41.24.000 Масло подсолнечное и его фракции нерафинированные
10.61.32.113 Крупа гречневая
10.51.52.140 Кефир ****</t>
  </si>
  <si>
    <t>За 3 ГОДА по 44ФЗ заключено 395 шт. с объемом НМЦ  601 597 361,11 ? с БГИ 30 206 148,86 ? с БГГО 17 836,96 ? с авансированием до 13 369,12 ? с комиссией банку 357 176,92 ? с кв 3 107,44 ? ЗА 1 ГОД по 44ФЗ заключено 171 шт. c объемом НМЦ 331 901 122,38 ? с БГИ 16 782 094,60 ? с БГГО 0,00 ? с авансированием до  13 369,12 ? с комиссией банку  212 228,83 ? с кв 1 846,39 ?</t>
  </si>
  <si>
    <t>"223 за 3 года", ".", "это заказчик", "поставщики маркер", "44 за 3 года"</t>
  </si>
  <si>
    <t>"производители", "кл фт ФК БГ 04.22", ".", "выдали", "fk1", "ПОС на 03.04.2023", "2. Финтендер 2022 31.03.22 Григорян для СПАРК", "клиенты от 100 млн", "действующие б не прям", "Обороты по клиентам по кварталам (2022г)", "ФТ клиенты с продуктами по сотрудникам"</t>
  </si>
  <si>
    <t>49.20.16.000 Услуги железнодорожного транспорта по перевозке сыпучих бестарных грузов</t>
  </si>
  <si>
    <t>Кредитный портфель_01.723</t>
  </si>
  <si>
    <t>"06.2022_ФинХД", ".", "fk1", "Кредитный портфель_01.11", "корп 1"</t>
  </si>
  <si>
    <t>"Обороты по клиентам по кварталам (2022г)", ".", "fk1", "06.2022_ФинХД", "все клиенты с выручкой от 1,8 млрд до бесконечности"</t>
  </si>
  <si>
    <t>20.20.14.000 Средства дезинфекционные
20.20.15.000 Фунгициды
20.20.19.000 Пестициды прочие и агрохимические продукты прочие
20.1 Вещества химические основные, удобрения химические и азотные, пластмассы и синтетический каучук в первичных формах
20.20.11.000 Инсектициды
46.75 Услуги по оптовой торговле химическими продуктами
20.20.1 Пестициды и агрохимические продукты прочие
20 Вещества химические и продукты химические</t>
  </si>
  <si>
    <t>За 3 года по 223ФЗ заключено  3 шт контрактов на сумму 34 218 610,00 ?</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</si>
  <si>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10.51.52.140 Кефир
10.51.56.150 Продукты на основе творога
10.51.11.141 Молоко питьевое коровье стерилизованное
10.51.40.315 Творог (кроме зерненого и произведенного с использованием ультрафильтрации и сепарирования) без вкусовых компонентов от 19 % до 35 % жирности
10.51.52.213 Сметана от 23,0 % до 28,0 % жирности
10.86.10.126 Творог и творожные продукты для детей раннего возраста
10.51.1 Молоко и сливки, кроме сырых
10.51.3 Масло сливочное, пасты масляные, масло топленое, жир молочный, спреды и смеси топленые сливочно-растительные
10.51.40.131 Сыры твердые без вкусовых наполнителей ****</t>
  </si>
  <si>
    <t>ЗА 3 ГОДА ПО 223 ФЗ заключено 24 шт. с объемом НМЦ 32 409 529,38 ? за 1 ГОД ПО 223ФЗ заключено 4  5 612 851,72 ?</t>
  </si>
  <si>
    <t>Сообщения о принятии решения о реорганизации от 05.06.2014</t>
  </si>
  <si>
    <t>"223 за 3 года", ".", "fk1", "все клиенты с выручкой от 1,8 млрд до бесконечности", "производители", "поставщики маркер", "44 за 3 года"</t>
  </si>
  <si>
    <t>"поставщики маркер", ".", "fk1", "Кредитный портфель_01.11", "корп 1", "06.2022_ФинХД", "ФК клиенты с выручкой от 230 до бесконечности", "клиенты от 100 млн", "это заказчик"</t>
  </si>
  <si>
    <t>29.10.22.000 Средства транспортные с двигателем с искровым зажиганием, с рабочим объемом цилиндров более 1500 см3, новые
74.90.19.190 Услуги, предоставляемые прочими научными и техническими консультантами, не включенными в другие группировки</t>
  </si>
  <si>
    <t>За весь период компания заключила  1 контрактов на сумму  769 376 486,34 ?</t>
  </si>
  <si>
    <t>Юридическое лицо находится в процессе реорганизации в форме присоединения к нему других юридических лиц от 24.04.2023</t>
  </si>
  <si>
    <t>"поставщики маркер", ".", "выдали", "ИНН_договоры_октябрь_", "все клиенты с выручкой от 1,8 млрд до бесконечности", "рейтинг по нмц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</si>
  <si>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42.11.10.151 Дорога подъездная
52.21.22.000 Услуги по эксплуатации автомагистралей
42.11.10.120 Дороги автомобильные, в том числе улично-дорожная сеть, и прочие автомобильные и пешеходные дороги
71.20.12.000 Услуги в области испытаний, исследований и анализа физико-механических свойств материалов и веществ
52.29.20.000 Услуги транспортные вспомогательные прочие, не включенные в другие группировки
42.11.10.159 Дороги подъездные, транспортные и пешеходные путепроводы над и под дорогой, велосипедные дорожки прочие
42.11.10.130 Ограждения дорожные
42.99.22.100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кроме работ по сохранению и воссозданию объектов культурного наследия ****</t>
  </si>
  <si>
    <t>За весь период компания заключила  86 контрактов на сумму  48 887 027 032,54 ? За весь период заходили в конкурсы  255 раз на общую сумму обеспеченных контрактов с НМЦ 65 784 560 284,00 ? с БГУ  2 677 585 703,45 ? с БГИ 14 888 220 538,18 ? За 3 ГОДА по 44ФЗ заключено 119 шт. с объемом НМЦ  10 127 645 257,49 ? с БГИ 1 489 995 433,32 ? с БГГО 51 059 091,36 ? с авансированием до 693 724 377,33 ? с комиссией банку 22 377 686,06 ? с кв 194 685,87 ? ЗА 1 ГОД по 44ФЗ заключено 29 шт. c объемом НМЦ 4 454 638 727,45 ? с БГИ 678 826 226,85 ? с БГГО 2 528 450,11 ? с авансированием до  557 189 672,59 ? с комиссией банку  17 472 284,32 ? с кв 152 008,87 ? ЗА 3 ГОДА ПО 223 ФЗ заключено 7 шт. с объемом НМЦ 238 054 354,29 ?</t>
  </si>
  <si>
    <t>"223 за 3 года", ".", "рейтинг поставщиков в маркере по бг", "ГРАНДИОЗНЫЙ ПРОЕКТ 223", "ГРАНДИОЗНЫЙ ПРОЕКТ", "Конкурсы 100+ (Восстановленный)", "06.2022_ФинХД", "все клиенты с выручкой от 1,8 млрд до бесконечности", "Одобренные но не выданные 1 полугодие 2021", "223 фз контракты 20+", "44 фз с с БГ от 10 млн", "рейтинг заказчиков маркер", "производители", "рейтинг по нмц маркер", "это заказчик", "поставщики маркер", "44 за 3 года"</t>
  </si>
  <si>
    <t>28.22.18.261 Склады-накопители механизированные
25.30.12.115 Оборудование теплообменное</t>
  </si>
  <si>
    <t>Гарантия завершена;Отказ из-за непредставления документов;Отклонена банком;Отправлена клиенту
Гарантия завершена;Отклонена банком
Есть финальное предложение</t>
  </si>
  <si>
    <t>Сообщение кредитора о намерении обратиться в суд с заявлением о банкротстве от 25.02.2022</t>
  </si>
  <si>
    <t>"223 за 3 года", "кл фт прямые бг 04.22", "свод фт", ".", "Одобренные но не выданные 1 полугодие 2021(прямые)", "УПП на 2 номер", "fk1", "кредиты фт", "клиенты управления по БГ без открытых счетов", "портфель 31.10.2021_10 тыс_проверка", "ОТКАЗ УДП", "БГ ФБ ЮР лица на 01.07.2021", "клиенты с в от100млн 09.21", "лимит сит по кредитам", "все клиенты с выручкой от 1,8 млрд до бесконечности", "ФК клиенты с выручкой от 230 до бесконечности", "клиенты от 100 млн", "Обороты по клиентам по кварталам (2022г)", "ФТ клиенты с продуктами по сотрудникам", "производители", "рейтинг по нмц маркер", "это заказчик", "на фт заводил Хацкевич", "поставщики маркер"</t>
  </si>
  <si>
    <t>43.21.10.140 Работы по монтажу систем пожарной сигнализации и охранной сигнализации
42.21 Сооружения и строительные работы по строительству инженерных коммуникаций для жидкостей и газов</t>
  </si>
  <si>
    <t>"поставщики маркер", ".", "клиент металлинвеста",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</si>
  <si>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29.10.41.112 Автомобили грузовые с дизельным двигателем, имеющие технически допустимую максимальную массу свыше 3,5 т, но не более 12 т
29.10.59.130 Средства транспортные для коммунального хозяйства и содержания дорог
29.10.59.280 Средства транспортные - фургоны для перевозки пищевых продуктов
29.10.24.000 Средства автотранспортные для перевозки людей прочие
29.10.59.160 Автомобили скорой медицинской помощи
29.10.42.111 Автомобили грузовые с бензиновым двигателем, имеющие технически допустимую максимальную массу не более 3,5 т
29.10.42.112 Автомобили грузовые с бензиновым двигателем, имеющие технически допустимую максимальную массу свыше 3,5 т, но не более 12 т
29.10.21.000 Средства транспортные с двигателем с искровым зажиганием, с рабочим объемом цилиндров не более 1500 см3, новые ****</t>
  </si>
  <si>
    <t>За весь период компания заключила  9 контрактов на сумму  1 945 739 237,46 ? За весь период заходили в конкурсы  36 раз на общую сумму обеспеченных контрактов с НМЦ 4 094 718 267,96 ? с БГУ  38 634 993,69 ? с БГИ 565 745 296,61 ? За 3 ГОДА по 44ФЗ заключено 21 шт. с объемом НМЦ  1 926 224 417,06 ? с БГИ 193 766 612,62 ? с БГГО 53 070 099,32 ? с авансированием до 587 140 599,90 ? с комиссией банку 1 837 897,78 ? с кв 15 989,71 ? ЗА 1 ГОД по 44ФЗ заключено 6 шт. c объемом НМЦ 1 303 850 199,80 ? с БГИ 133 835 019,93 ? с БГГО 28 559 602,00 ? с авансированием до  587 140 599,90 ? с комиссией банку  1 020 115,96 ? с кв 8 875,01 ? ЗА 3 ГОДА ПО 223 ФЗ заключено 6 шт. с объемом НМЦ 5 789 076 116,00 ? за 1 ГОД ПО 223ФЗ заключено 4  3 237 976 116,00 ?</t>
  </si>
  <si>
    <t>Сообщения о принятии решения о реорганизации от 17.03.2021</t>
  </si>
  <si>
    <t>"223 за 3 года", ".", "рейтинг поставщиков в маркере по бг", "ГРАНДИОЗНЫЙ ПРОЕКТ 223", "ГРАНДИОЗНЫЙ ПРОЕКТ", "беники", "223 фз контракты 20+", "44 фз с с БГ от 10 млн", "рейтинг по нмц маркер", "это заказчик", "поставщики маркер", "44 за 3 года"</t>
  </si>
  <si>
    <t>81.29.12.000 Услуги по подметанию и уборке снега
38.21.29.000 Услуги по утилизации неопасных отходов прочие
38.21.10.000 Услуги по переработке отходов неопасных для окончательной утилизации
37.00.12.110 Услуги по опорожнению и чистке выгребных ям, сточных колодцев и септиков
38.11.11.000 Услуги по сбору неопасных отходов городского хозяйства, пригодных для повторного использования</t>
  </si>
  <si>
    <t>За весь период заходили в конкурсы  1 раз на общую сумму обеспеченных контрактов с НМЦ 52 177 921,60 ? с БГУ  1 098 482,56 ? с БГИ 5 492 412,80 ?                             ЗА 3 ГОДА ПО 223 ФЗ заключено 1 шт. с объемом НМЦ 203 286 014,28 ? за 1 ГОД ПО 223ФЗ заключено 1  203 286 014,28 ?</t>
  </si>
  <si>
    <t>"223 за 3 года", ".", "рейтинг поставщиков в маркере по бг", "223 фз контракты 20+", "рейтинг заказчиков маркер", "рейтинг по нмц маркер", "44 за 3 года"</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</si>
  <si>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28.11.13.130 Дизели промышленные
27.11.32.120 Установки генераторные прочие
27.11.25.000 Электродвигатели переменного тока, многофазные, выходной мощностью более 75 кВт
27.11.31.000 Установки генераторные с двигателями внутреннего сгорания с воспламенением от сжатия
27.11.21.000 Электродвигатели переменного и постоянного тока универсальные мощностью более 37,5 Вт
27.11 Электродвигатели, генераторы и трансформаторы
27.11.10.130 Генераторы постоянного тока
27.11.26.000 Генераторы переменного тока (синхронные генераторы)
33.14 Услуги по ремонту электрического оборудования</t>
  </si>
  <si>
    <t>За весь период заходили в конкурсы  1 раз на общую сумму обеспеченных контрактов с НМЦ 72 900 333,33 ? с БГУ  1 465 333,33 ? с БГИ 14 653 333,33 ?</t>
  </si>
  <si>
    <t>"223 за 3 года", ".", "рейтинг поставщиков в маркере по бг", "ушедший портфель", "клиент металлинвеста",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 "рейтинг по нмц маркер", "это заказчик", "поставщики маркер"</t>
  </si>
  <si>
    <t>37.00.11.110 Услуги по водоотведению сточных вод
02.40.10.120 Услуги, связанные с лесозаготовками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36.00.30.000 Услуги по торговле водой, поставляемой по трубопроводам
02.10.11.112 Сеянцы деревьев хвойных пород с закрытой корневой системой
02.20.11.111 Бревна сосновые для распиловки и строгания
35.30.11.120 Энергия тепловая, отпущенная котельными
35.30.12.130 Услуги по транспортированию горячей воды ****</t>
  </si>
  <si>
    <t>4 137</t>
  </si>
  <si>
    <t>За 3 года по 223ФЗ заключено  8 шт контрактов на сумму 73 560 083,73 ?</t>
  </si>
  <si>
    <t>Сообщение кредитора о намерении обратиться в суд с заявлением о банкротстве от 05.04.2023</t>
  </si>
  <si>
    <t>26.51.33.143 Угольники поверочные
28.15.26 Муфты и шарнирные соединения, включая универсальные шарниры
22.21.21.120 Трубы полимерные жесткие
25.92.13 Пробки и заглушки, колпачки и крышки корончатые из недрагоценных металлов
25.94.12 Изделия крепежные нерезьбовые из черных металлов, не включенные в другие группировки
26.51.44 Приборы и аппаратура для телекоммуникаций
46.73.16.000 Услуги по оптовой торговле прочими строительными материалами и изделиями
28.14.12 Арматура санитарно-техническая (краны, клапаны для раковин, моек, биде, унитазов, ванн и аналогичная арматура; клапаны для радиаторов центрального отопления)
27.33.13.120 Соединители электрические, зажимы контактные, наборы зажимов
23.14 Стекловолокно ****</t>
  </si>
  <si>
    <t>за 1 ГОД ПО 223ФЗ заключено 3  5 373 665,29 ?</t>
  </si>
  <si>
    <t>1 408</t>
  </si>
  <si>
    <t>20.41.44.190 Средства чистящие прочие</t>
  </si>
  <si>
    <t>Юридическим лицом принято решение об изменении места нахождения от 17.05.2021</t>
  </si>
  <si>
    <t>10.91.10.188 Комбикорма для рыб
10.91.10.181 Комбикорма для крупного рогатого скота
10.91.10.186 Комбикорма для сельскохозяйственной птицы</t>
  </si>
  <si>
    <t>ЗА 3 ГОДА ПО 223 ФЗ заключено 4 шт. с объемом НМЦ 340 225 032,32 ? за 1 ГОД ПО 223ФЗ заключено 1  105 616 532,32 ?</t>
  </si>
  <si>
    <t>"223 за 3 года", ".", "все клиенты с выручкой от 1,8 млрд до бесконечности", "223 фз контракты 20+", "производители"</t>
  </si>
  <si>
    <t>Кредитный портфель_01.728</t>
  </si>
  <si>
    <t>"поставщики маркер", ".", "инн Ленинградка", "fk1", "Кредитный портфель_01.11", "корп 1", "06.2022_ФинХД", "клиенты с в от100млн 09.21", "все клиенты с выручкой от 1,8 млрд до бесконечности", "клиенты от 100 млн", "Обороты по клиентам по кварталам (2022г)"</t>
  </si>
  <si>
    <t>71.12.19 Услуги по инженерно-техническому проектированию прочих объектов</t>
  </si>
  <si>
    <t>За весь период компания заключила  3 контрактов на сумму  431 855 689,92 ?                                     ЗА 3 ГОДА ПО 223 ФЗ заключено 2 шт. с объемом НМЦ 319 669 700,67 ?</t>
  </si>
  <si>
    <t>Сообщение кредитора о намерении обратиться в суд с заявлением о банкротстве от 04.03.2020</t>
  </si>
  <si>
    <t>"223 за 3 года", "свод фт", ".", "рейтинг заказчиков маркер", "рейтинг по нмц маркер", "это заказчик", "на фт заводил Ким", "на фт заводил Алиев", "crm управления", "crm Пител", "поставщики маркер"</t>
  </si>
  <si>
    <t>43.99.70.000 Работы по сборке и монтажу сборных конструкций
71.12.20.190 Услуги по руководству строительными проектами прочие
31.01.12.160 Мебель для сидения, преимущественно с деревянным каркасом
41.20.40.900 Работы строительные по возведению нежилых зданий и сооружений прочие, не включенные в другие группировки
32.30.15.239 Инвентарь прочий для занятий спортом или для игр на открытом воздухе, не включенный в другие группировки
25.91.12.000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16.29.14.199 Изделия из дерева прочие, не включенные в другие группировки
31.01.11.150 Мебель для сидения, преимущественно с металлическим каркасом</t>
  </si>
  <si>
    <t>1 375</t>
  </si>
  <si>
    <t>За весь период заходили в конкурсы  1 раз на общую сумму обеспеченных контрактов с НМЦ 344 201 942,52 ? с БГУ  17 561 323,60 ? с БГИ 105 367 941,59 ?</t>
  </si>
  <si>
    <t>"223 за 3 года", ".", "рейтинг поставщиков в маркере по бг", "все клиенты с выручкой от 1,8 млрд до бесконечности", "поставщики маркер", "44 за 3 года"</t>
  </si>
  <si>
    <t>28.22 Оборудование подъемно-транспортное
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29.10.59.141 Автомобили пожарные для тушения пожаров водой
29.10.41.110 Автомобили грузовые с дизельным двигателем
29.10.59.130 Средства транспортные для коммунального хозяйства и содержания дорог
29.10.30.112 Автобусы, предназначенные для перевозки только сидящих пассажиров, имеющие технически допустимую максимальную массу более 5 т
29.20.23.114 Прицепы и полуприцепы, технически допустимая максимальная масса которых свыше 10 т
45.19 Услуги по торговле прочими автотранспортными средствами
29.10.30.119 Автобусы, имеющие технически допустимую максимальную массу более 5 т, прочие ****</t>
  </si>
  <si>
    <t>За весь период заходили в конкурсы  3 раз на общую сумму обеспеченных контрактов с НМЦ 314 489 120,65 ? с БГУ  9 797 091,50 ? с БГИ 64 751 437,85 ?                             ЗА 3 ГОДА ПО 223 ФЗ заключено 4 шт. с объемом НМЦ 34 431 581,52 ?</t>
  </si>
  <si>
    <t>"223 за 3 года", "свод фт", ".", "рейтинг поставщиков в маркере по бг", "п6", "Пункт 3.1 09.01.2023", "ушедшие", "все клиенты с выручкой от 1,8 млрд до бесконечности", "на фт заводил Уткин", "на фт заводил Кашин", "поставщики маркер", "44 за 3 года"</t>
  </si>
  <si>
    <t>56.10.11.129 Услуги прочих предприятий питания с полным обслуживанием без сопровождения развлекательных программ
56.29.19.000 Услуги по обеспечению питанием, осуществляемые по договору, прочие</t>
  </si>
  <si>
    <t>За весь период компания заключила  13 контрактов на сумму  2 565 292 424,52 ? За весь период заходили в конкурсы  12 раз на общую сумму обеспеченных контрактов с НМЦ 2 230 065 991,21 ? с БГУ  30 537 394,85 ? с БГИ 132 518 696,15 ?</t>
  </si>
  <si>
    <t>"44 за 3 года", ".", "рейтинг поставщиков в маркере по бг", "все клиенты с выручкой от 1,8 млрд до бесконечности", "рейтинг по нмц маркер"</t>
  </si>
  <si>
    <t>23.61.12.143 Плиты дорожные железобетонные
23.61.12.115 Сваи железобетонные</t>
  </si>
  <si>
    <t>46.38.10 Услуги по оптовой торговле рыбой, ракообразными и моллюсками</t>
  </si>
  <si>
    <t>68.10.14.000 Услуги по покупке и продаже нежилых зданий и занимаемых ими земельных участков
41.20.10.110 Здания жилые общего назначения
68.10.11.000 Услуги по покупке и продаже жилых зданий и занимаемых ими земельных участков</t>
  </si>
  <si>
    <t>За весь период компания заключила  15 контрактов на сумму  9 597 648 160,68 ? За весь период заходили в конкурсы  20 раз на общую сумму обеспеченных контрактов с НМЦ 2 144 846 352,22 ? с БГУ  43 318 825,74 ? с БГИ 3 842 657 087,43 ? За 3 ГОДА по 44ФЗ заключено 33 шт. с объемом НМЦ  2 596 986 673,66 ? с БГИ 2 524 310 758,55 ? с БГГО 741 594,00 ? с авансированием до 2 522 827 576,63 ? с комиссией банку 107 665 537,83 ? с кв 936 690,18 ? ЗА 1 ГОД по 44ФЗ заключено 2 шт. c объемом НМЦ 312 697 966,88 ? с БГИ 312 697 966,88 ? с БГГО 0,00 ? с авансированием до  312 697 966,88 ? с комиссией банку  7 169 149,08 ? с кв 62 371,60 ? ЗА 3 ГОДА ПО 223 ФЗ заключено 1 шт. с объемом НМЦ 55 396 670,00 ? за 1 ГОД ПО 223ФЗ заключено 2  110 793 340,00 ?</t>
  </si>
  <si>
    <t>"223 за 3 года", ".", "рейтинг поставщиков в маркере по бг", "ГРАНДИОЗНЫЙ ПРОЕКТ", "Конкурсы 100+ (Восстановленный)", "все клиенты с выручкой от 1,8 млрд до бесконечности", "223 фз контракты 20+", "44 фз с с БГ от 10 млн", "рейтинг по нмц маркер", "это заказчик", "поставщики маркер", "44 за 3 года"</t>
  </si>
  <si>
    <t>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68.20 Услуги по сдаче в аренду (внаем) собственного или арендованного недвижимого имущества
49.39.39.000 Услуги по перевозке пассажиров сухопутным транспортом прочие, не включенные в другие группировки
56.10.11.129 Услуги прочих предприятий питания с полным обслуживанием без сопровождения развлекательных программ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56.21.19.000 Услуги по поставке продукции общественного питания и обслуживанию торжественных мероприятий прочие
51.10.13.000 Услуги по регулярным пассажирским перевозкам воздушным транспортом на международных линиях
86.21.10.130 Услуги, предоставляемые врачами общей врачебной практики, по лечению (наблюдению, включая проведение процедур)</t>
  </si>
  <si>
    <t>За весь период компания заключила  12 контрактов на сумму  8 309 486 500,00 ? За весь период заходили в конкурсы  5 раз на общую сумму обеспеченных контрактов с НМЦ 1 735 065 990,00 ? с БГУ  86 930 100,00 ? с БГИ 265 804 600,00 ?</t>
  </si>
  <si>
    <t>"поставщики маркер", ".", "рейтинг поставщиков в маркере по бг", "fk1", "все клиенты с выручкой от 1,8 млрд до бесконечности", "рейтинг заказчиков маркер", "рейтинг по нмц маркер", "это заказчик"</t>
  </si>
  <si>
    <t>За весь период заходили в конкурсы  3 раз на общую сумму обеспеченных контрактов с НМЦ 475 244 514,70 ? с БГУ  31 051 391,17 ? с БГИ 186 308 347,02 ?</t>
  </si>
  <si>
    <t>Определение о введении наблюдения от 21.04.2018, Сообщение кредитора о намерении обратиться в суд с заявлением о банкротстве от 27.11.2020</t>
  </si>
  <si>
    <t>"рейтинг по нмц маркер", ".", "рейтинг поставщиков в маркере по бг"</t>
  </si>
  <si>
    <t>За весь период компания заключила  1 контрактов на сумму  3 011 516 593,20 ?                                     ЗА 3 ГОДА ПО 223 ФЗ заключено 1 шт. с объемом НМЦ 23 400 000,00 ?</t>
  </si>
  <si>
    <t>Юридическое лицо находится в процессе реорганизации в форме присоединения к другому юридическому лицу от 22.12.2022, Сообщения о принятии решения о реорганизации от 21.12.2022</t>
  </si>
  <si>
    <t>21.20.10.111 Препараты стоматологические
21.20.10.194 Препараты противовирусные для системного применения
21.20.10.233 Препараты противоэпилептические
21.20.10.254 Препараты для лечения обструктивных заболеваний дыхательных путей
21.20.23.192 Продукты терапевтические прочие
21.20.10.141 Препараты для лечения заболеваний сердца
21.20.10.114 Препараты для лечения заболеваний печени и желчевыводящих путей</t>
  </si>
  <si>
    <t>За весь период компания заключила  26 контрактов на сумму  31 964 504 759,20 ? За весь период заходили в конкурсы  35 раз на общую сумму обеспеченных контрактов с НМЦ 32 846 116 485,57 ? с БГУ  354 453 023,74 ? с БГИ 3 518 636 185,62 ? За 3 ГОДА по 44ФЗ заключено 18 шт. с объемом НМЦ  19 370 715 714,96 ? с БГИ 1 936 994 396,50 ? с БГГО 16 488 602,64 ? с авансированием до 0,00 ? с комиссией банку 133 189 343,01 ? с кв 1 158 747,28 ?</t>
  </si>
  <si>
    <t>60.20 Услуги в области телевизионного вещания
63.91.12.000 Услуги информационных агентств, предоставляемые аудиовизуальным средствам массовой информации
73.11.11.000 Набор рекламных услуг полный
63.99.10.190 Услуги информационные автоматизированные компьютерные прочие, не включенные в другие группировки
63.11.12.000 Услуги по размещению в информационно-коммуникационной сети Интернет
73.20.11.000 Услуги по исследованию конъюнктуры рынка: качественные исследования
60.20.40.000 Время для рекламы на телевидении</t>
  </si>
  <si>
    <t>ЗА 3 ГОДА ПО 223 ФЗ заключено 8 шт. с объемом НМЦ 88 673 474,38 ? за 1 ГОД ПО 223ФЗ заключено 3  44 984 160,00 ?</t>
  </si>
  <si>
    <t>"223 за 3 года", ".", "Пункт 3.1 09.01.2023", "все клиенты с выручкой от 1,8 млрд до бесконечности", "поставщики маркер", "44 за 3 года"</t>
  </si>
  <si>
    <t>29.20.23.113 Прицепы и полуприцепы, технически допустимая максимальная масса которых свыше 3,5 т, но не более 10 т
29.20.23.190 Прицепы и полуприцепы прочие, не включенные в другие группировки</t>
  </si>
  <si>
    <t>за 1 ГОД ПО 223ФЗ заключено 1  73 850 000,00 ?</t>
  </si>
  <si>
    <t>Сообщения о принятии решения о реорганизации от 12.09.2022</t>
  </si>
  <si>
    <t>"223 фз контракты 20+", ".", "fk1", "Кредитный портфель_01.11", "06.2022_ФинХД", "клиенты от 100 млн", "Обороты по клиентам по кварталам (2022г)"</t>
  </si>
  <si>
    <t>45.32 Услуги по розничной торговле автомобильными деталями, узлами и принадлежностями
33.17.19.000 Услуги по ремонту и техническому обслуживанию прочих транспортных средств и оборудования, не включенных в другие группировки
45.20 Услуги по техническому обслуживанию и ремонту автотранспортных средств
45.20.21.400 Транспортирование неисправных прочих автотранспортных средств к месту их ремонта или стоянки
45.20.21.519 Прочие услуги по техническому обслуживанию и ремонту прочих автотранспортных средств, не включенные в другие группировки
45.20.23.000 Услуги по ремонту кузовов прочих автотранспортных средств и аналогичные услуги (ремонт дверей, замков, окон, перекрашивание, ремонт после повреждений)</t>
  </si>
  <si>
    <t>"223 за 3 года", ".", "fk1", "Кредитный портфель_01.11", "06.2022_ФинХД",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"Обороты по клиентам по кварталам (2022г)", "поставщики маркер", "44 за 3 года"</t>
  </si>
  <si>
    <t>21.10.54.190 Антибиотики и их производные прочие
21.20.10.191 Препараты антибактериальные для системного использования
21.20.10 Препараты лекарственные
21.20.10.194 Препараты противовирусные для системного применения
21.10.54.170 Цефалоспорины
21.20.10.119 Препараты для лечения сахарного диабета
21.20.10.232 Анальгетики
21.20.21.110 Сыворотки иммунные
21.20.21.120 Вакцины, анатоксины и токсины, применяемые в медицине
21.20 Препараты лекарственные и материалы, применяемые в медицинских целях ****</t>
  </si>
  <si>
    <t>За весь период заходили в конкурсы  3 раз на общую сумму обеспеченных контрактов с НМЦ 99 202 406,40 ? с БГУ  1 621 387,36 ? с БГИ 16 213 873,68 ? За 3 ГОДА по 44ФЗ заключено 140 шт. с объемом НМЦ  354 940 635,52 ? с БГИ 29 709 401,23 ? с БГГО 101 100,00 ? с авансированием до 17 250,00 ? с комиссией банку 223 783,31 ? с кв 1 946,91 ? ЗА 1 ГОД по 44ФЗ заключено 62 шт. c объемом НМЦ 116 979 428,65 ? с БГИ 9 149 179,62 ? с БГГО 0,00 ? с авансированием до  17 250,00 ? с комиссией банку  96 217,98 ? с кв 837,10 ?</t>
  </si>
  <si>
    <t>"223 за 3 года", ".", "рейтинг поставщиков в маркере по бг", "fk1", "инн Красносельская", "ушедшие", "все клиенты с выручкой от 1,8 млрд до бесконечности", "Обороты по клиентам по кварталам (2022г)", "рейтинг по нмц маркер", "поставщики маркер", "44 за 3 года"</t>
  </si>
  <si>
    <t>Сообщение кредитора о намерении обратиться в суд с заявлением о банкротстве от 10.09.2021</t>
  </si>
  <si>
    <t>"все клиенты с выручкой от 1,8 млрд до бесконечности", ".", "fk1", "просрочка на 01.01.2023 г.", "Запрос в ЮД_просрочка на 01.01.2023"</t>
  </si>
  <si>
    <t>Заказчик разыгравший 9 конкурсов на сумму  2 654 776 105,80 ?</t>
  </si>
  <si>
    <t>"поставщики маркер", ".", "райф", "рейтинг заказчиков маркер", "это заказчик"</t>
  </si>
  <si>
    <t>Юридическим лицом принято решение об изменении места нахождения от 10.04.2023</t>
  </si>
  <si>
    <t>24 Металлы основные</t>
  </si>
  <si>
    <t>"поставщики маркер", ".", "ушедший портфель", "fk1", "инн Красносельская",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t>
  </si>
  <si>
    <t>"это заказчик", ".", "fk1", "все клиенты с выручкой от 1,8 млрд до бесконечности"</t>
  </si>
  <si>
    <t>62.01 Продукты программные и услуги по разработке и тестированию программного обеспечения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</si>
  <si>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За весь период компания заключила  8 контрактов на сумму  12 099 887 158,89 ?                                     ЗА 3 ГОДА ПО 223 ФЗ заключено 3 шт. с объемом НМЦ 358 688 241,26 ?</t>
  </si>
  <si>
    <t>"223 за 3 года",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t>
  </si>
  <si>
    <t>1 892</t>
  </si>
  <si>
    <t>"поставщики маркер", ".", "fk1", "ПОС на 01.02.2023", "портфель 31.10.2021_10 тыс_проверка", "корп 2",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</si>
  <si>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08.11 Камень для памятников или строительства, известняк, гипс, мел и сланцы
08.12.13 Смеси шлака и аналогичных промышленных отходов без добавления или с добавлением гальки, гравия, щебня и кремневой гальки для строительных целей
08.11.12.190 Камень для памятников или строительства прочий
08.11.12 Гранит, песчаник и прочий камень для памятников или строительства
08.12.11.130 Пески строительные</t>
  </si>
  <si>
    <t>1 627</t>
  </si>
  <si>
    <t>Сообщение кредитора о намерении обратиться в суд с заявлением о банкротстве от 22.05.2019</t>
  </si>
  <si>
    <t>"223 за 3 года", ".", "производители", "это заказчик"</t>
  </si>
  <si>
    <t>25.11.23.119 Конструкции и детали конструкций из черных металлов прочие, не включенные в другие группировки
28.99.39.190 Оборудование специального назначения прочее, не включенное в другие группировки
28.14.13.143 Устройства контрольно-измерительные
28.13 Насосы и компрессоры прочие
28.13.14 Насосы центробежные подачи жидкостей прочие; насосы прочие
28.29.12.119 Оборудование для фильтрования или очистки воды прочее, не включенное в другие группировки
28.25.11.110 Теплообменники
33.20.60.000 Услуги по монтажу оборудования для управления производственным процессом
28.13.1 Насосы для перекачки жидкостей; подъемники жидкостей
43.22.11.190 Работы по монтажу водопроводных и канализационных систем прочие, не включенные в другие группировки</t>
  </si>
  <si>
    <t>За весь период контрактов 34 шт. на общую сумму НМЦ 48 632 678 969,53 ?</t>
  </si>
  <si>
    <t>84.12.12.000 Услуги государственного управления в сфере здравоохранения
84.21.12.000 Услуги, связанные с иностранной экономической помощью
62.01.11.000 Услуги по проектированию и разработке информационных технологий для прикладных задач и тестированию программного обеспечения
62.01.12.000 Услуги по проектированию и разработке информационных технологий для сетей и систем
62.02.30.000 Услуги по технической поддержке информационных технологий</t>
  </si>
  <si>
    <t>За весь период компания заключила  83 контрактов на сумму  76 910 691 827,71 ? За весь период заходили в конкурсы  141 раз на общую сумму обеспеченных контрактов с НМЦ 83 917 280 757,54 ? с БГУ  3 984 240 279,99 ? с БГИ 23 457 054 069,72 ? За 3 ГОДА по 44ФЗ заключено 61 шт. с объемом НМЦ  38 540 082 881,84 ? с БГИ 10 018 936 640,03 ? с БГГО 33 836 696,89 ? с авансированием до 45 178 099,98 ? с комиссией банку 96 582 360,39 ? с кв 840 266,54 ? ЗА 1 ГОД по 44ФЗ заключено 24 шт. c объемом НМЦ 13 936 791 389,38 ? с БГИ 3 213 693 116,81 ? с БГГО 9 989 000,00 ? с авансированием до  0,00 ? с комиссией банку  47 853 501,29 ? с кв 416 325,46 ?</t>
  </si>
  <si>
    <t>"44 за 3 года", ".", "рейтинг поставщиков в маркере по бг", "Конкурсы 100+ (Восстановленный)",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заказчиков маркер", "рейтинг по нмц маркер", "это заказчик", "поставщики маркер"</t>
  </si>
  <si>
    <t>19.2 Нефтепродукты
46.71 Услуги по оптовой торговле твердым, жидким и газообразным топливом и связанными продуктами
46.71.12.000 Услуги по оптовой торговле моторным топливом, включая авиационный бензин
19.20.21 Топливо моторное, включая автомобильный и авиационный бензин
19.20.21.100 Бензин автомобильный
46.11.12 Услуги по оптовой торговле цветами и растениями за вознаграждение или на договорной основе
19 Кокс и нефтепродукты
19.20.2 Топливо жидкое и газообразное; масла смазочные
19.20.21.300 Топливо дизельное
19.20.3 Газы нефтяные и углеводороды газообразные прочие, кроме газа горючего природного ****</t>
  </si>
  <si>
    <t>ЗА 3 ГОДА ПО 223 ФЗ заключено 13 шт. с объемом НМЦ 60 646 468,31 ?</t>
  </si>
  <si>
    <t>21.20.23.199 Средства нелечебные прочие
20.20.14.000 Средства дезинфекционные
21 Средства лекарственные и материалы, применяемые в медицинских целях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21.20.10.242 Препараты противогельминтные ****</t>
  </si>
  <si>
    <t>За весь период компания заключила  105 контрактов на сумму  9 688 322 339,83 ?</t>
  </si>
  <si>
    <t>"223 за 3 года", ".", "fk1", "лимит сит по кредитам", "Пустые_Клиенты", "все клиенты с выручкой от 1,8 млрд до бесконечности", "рейтинг по нмц маркер", "поставщики маркер", "44 за 3 года"</t>
  </si>
  <si>
    <t>17.23.13.140 Бланки из бумаги или картона
26.80.13.000 Носители данных прочие, включая матрицы и основы для производства дисков
17.29 Изделия из бумаги и картона прочие
58.19.14.110 Марки почтовые негашеные, гербовые и аналогичные марки
32.99.56.150 Изделия художественной обработки металла, кроме ювелирных
32.12.99.216 Услуги по чеканке и гравировке ювелирных изделий по индивидуальному заказу населения
17.23.13.199 Принадлежности канцелярские прочие из бумаги или картона, не включенные в другие группировки
17.29.99.000 Услуги по производству прочих изделий из бумаги и картона отдельные, выполняемые субподрядчиком
18.12.15.000 Услуги по печатанию этикеток и ярлыков
18.12.19.120 Услуги по печатанию нотных изданий ****</t>
  </si>
  <si>
    <t>За весь период компания заключила  132 контрактов на сумму  142 670 509 759,58 ? За весь период заходили в конкурсы  138 раз на общую сумму обеспеченных контрактов с НМЦ 44 589 285 394,40 ? с БГУ  791 666 547,89 ? с БГИ 8 996 249 692,11 ? За 3 ГОДА по 44ФЗ заключено 64 шт. с объемом НМЦ  5 973 766 017,56 ? с БГИ 668 562 233,46 ? с БГГО 6 611 896,20 ? с авансированием до 8 562 480,00 ? с комиссией банку 6 009 942,38 ? с кв 52 286,50 ? ЗА 1 ГОД по 44ФЗ заключено 25 шт. c объемом НМЦ 1 539 644 468,95 ? с БГИ 199 564 721,51 ? с БГГО 436 584,00 ? с авансированием до  0,00 ? с комиссией банку  2 891 120,56 ? с кв 25 152,75 ? ЗА 3 ГОДА ПО 223 ФЗ заключено 23 шт. с объемом НМЦ 35 899 692,80 ? за 1 ГОД ПО 223ФЗ заключено 9  30 141 934,80 ?</t>
  </si>
  <si>
    <t>Сообщение кредитора о намерении обратиться в суд с заявлением о банкротстве от 20.04.2016</t>
  </si>
  <si>
    <t>"223 за 3 года", ".", "рейтинг поставщиков в маркере по бг", "Конкурсы 100+ (Восстановленный)", "44 фз с с БГ от 10 млн", "рейтинг заказчиков маркер", "производители", "рейтинг по нмц маркер", "это заказчик", "поставщики маркер", "44 за 3 года"</t>
  </si>
  <si>
    <t>05.10 Уголь</t>
  </si>
  <si>
    <t>За весь период компания заключила  3 контрактов на сумму  10 180 118 234,30 ?                                     ЗА 3 ГОДА ПО 223 ФЗ заключено 2 шт. с объемом НМЦ 20 346 664 050,00 ?</t>
  </si>
  <si>
    <t>"223 за 3 года", ".", "рейтинг по нмц маркер"</t>
  </si>
  <si>
    <t>05.10.10.136 Уголь марки СС - слабоспекающийся
05.10.10 Уголь</t>
  </si>
  <si>
    <t>За весь период компания заключила  7 контрактов на сумму  11 340 164 294,98 ?</t>
  </si>
  <si>
    <t>"рейтинг по нмц маркер", ".", "беники"</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</si>
  <si>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42.21.13.126 Сооружение очистное канализации
43.39.19.190 Работы завершающие и отделочные в зданиях и сооружениях, прочие, не включенные в другие группировки
43.29.19.190 Работы монтажные прочие, не включенные в другие группировки
41.20.20.180 Здания предприятий здравоохранения, науки и научного обслуживания, образования, культуры и искусства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32.50.50.190 Изделия медицинские, в том числе хирургические, прочие, не включенные в другие группировки</t>
  </si>
  <si>
    <t>За весь период компания заключила  16 контрактов на сумму  12 920 467 048,03 ? За весь период заходили в конкурсы  29 раз на общую сумму обеспеченных контрактов с НМЦ 11 973 828 060,39 ? с БГУ  461 734 733,62 ? с БГИ 1 247 522 519,69 ? За 3 ГОДА по 44ФЗ заключено 16 шт. с объемом НМЦ  5 775 563 583,38 ? с БГИ 588 376 407,73 ? с БГГО 40 873 167,08 ? с авансированием до 1 386 196 250,95 ? с комиссией банку 23 698 644,38 ? с кв 206 178,21 ? ЗА 1 ГОД по 44ФЗ заключено 4 шт. c объемом НМЦ 1 510 746 265,06 ? с БГИ 184 503 029,16 ? с БГГО 8 771 533,99 ? с авансированием до  238 568 449,44 ? с комиссией банку  5 175 838,41 ? с кв 45 029,79 ?</t>
  </si>
  <si>
    <t>"44 за 3 года", "кл фт агент бг 04.22", ".", "рейтинг поставщиков в маркере по бг", "ГРАНДИОЗНЫЙ ПРОЕКТ", "Конкурсы 100+ (Восстановленный)", "Агентские отказ из-за непред-я док-ов", "fk1", "Гарантии ФБ банкроты",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"44 фз с с БГ от 10 млн", "рейтинг по нмц маркер", "поставщики маркер"</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</si>
  <si>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36.00.1 Вода природная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35.30.12.110 Услуги по приготовлению воды на нужды горячего водоснабжения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35.30.11.120 Энергия тепловая, отпущенная котельными ****</t>
  </si>
  <si>
    <t>За весь период компания заключила  7 контрактов на сумму  841 966 820,20 ?</t>
  </si>
  <si>
    <t>"223 за 3 года", ".", "fk1", "Кредитный портфель_01.11", "06.2022_ФинХД", "Обороты по клиентам по кварталам (2022г)", "Участники клиринга", "поставщики маркер", "44 за 3 года"</t>
  </si>
  <si>
    <t>08.12.12.120 Галька
08.12.12.140 Щебень</t>
  </si>
  <si>
    <t>Сообщения о принятии решения о реорганизации от 08.07.2022</t>
  </si>
  <si>
    <t>71.12.31.000 Услуги геологические и геофизические консультативные
77.39.19.120 Услуги по аренде и лизингу материальных средств, не включенных в другие группировки
09.1 Услуги по добыче нефти и природного газа
43.13.10.120 Работы по бурению разведочных скважин на нефть и газ</t>
  </si>
  <si>
    <t>1 385</t>
  </si>
  <si>
    <t>Мой черновик
Отказ из-за непредставления документов
Отклонена банком</t>
  </si>
  <si>
    <t>Сообщение кредитора о намерении обратиться в суд с заявлением о банкротстве от 11.05.2023</t>
  </si>
  <si>
    <t>"44 за 3 года", "свод фт", ".", "рейтинг поставщиков в маркере по бг", "Агентские отказ из-за непред-я док-ов", "кредиты фт", "лимит сит по кредитам", "рейтинг по нмц маркер", "на фт заводил Синяев", "на фт заводил Самар", "crm управления", "в crm за Самаром", "поставщики маркер"</t>
  </si>
  <si>
    <t>10.11.11.110 Говядина парная, остывшая или охлажденная
10.11.31.110 Говядина замороженная</t>
  </si>
  <si>
    <t>"поставщики маркер", ".", "ушедшие", "все клиенты с выручкой от 1,8 млрд до бесконечности", "производители"</t>
  </si>
  <si>
    <t>62.09.20.190 Услуги по технической поддержке в области информационных технологий прочие, не включенные в другие группировки
30.20.40.113 Комплектующие (запасные части) маневровых и промышленных тепловозов, не имеющие самостоятельных группировок
30.20.40.120 Комплектующие (запасные части) моторных трамвайных вагонов, не имеющие самостоятельных группировок
27.90.70.000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
29.20.10.000 Кузова для автотранспортных средств</t>
  </si>
  <si>
    <t>За весь период компания заключила  3 контрактов на сумму  1 122 000 019,93 ? За весь период заходили в конкурсы  1 раз на общую сумму обеспеченных контрактов с НМЦ 76 000 000,00 ? с БГУ  760 000,00 ? с БГИ 7 600 000,00 ?                                 за 1 ГОД ПО 223ФЗ заключено 1  16 635 000,00 ?</t>
  </si>
  <si>
    <t>"223 за 3 года", ".", "рейтинг поставщиков в маркере по бг", "fk1", "ИНН 3 года - нет КД БГ на 01.10.22", "06.2022_ФинХД", "Обороты по клиентам по кварталам (2022г)", "производители", "рейтинг по нмц маркер", "это заказчик",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</si>
  <si>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71 Услуги в области архитектуры и инженерно-технического проектирования, технических испытаний, исследований и анализа
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71.11.22.000 Услуги в области архитектуры, связанные с проектами строительства нежилых зданий и сооружений
41.20.20 Здания нежилые
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71.12.19.100 Услуги по инженерно-техническому проектированию прочих объектов, кроме объектов культурного наследия
41.10.10.000 Документация проектная для строительства ****</t>
  </si>
  <si>
    <t>За весь период контрактов 57 шт. на общую сумму НМЦ 69 721 070 755,17 ?</t>
  </si>
  <si>
    <t>Сообщение кредитора о намерении обратиться в суд с заявлением о банкротстве от 28.07.2021</t>
  </si>
  <si>
    <t>"44 за 3 года", ".", "рейтинг поставщиков в маркере по бг", "База Восточный (Мелкумов)", "Агентские отказ из-за непред-я док-ов", "fk1", "корп 1", "клиенты с в от100млн 09.21", "все клиенты с выручкой от 1,8 млрд до бесконечности", "Обороты по клиентам по кварталам (2022г)", "рейтинг по нмц маркер", "поставщики маркер"</t>
  </si>
  <si>
    <t>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28.92.6 Части оборудования для добычи полезных ископаемых подземным и открытым способами и строительства
33.12 Услуги по ремонту оборудования
45.20.11.111 Услуги по регламентным работам (по видам технического обслуживания)
29.3 Части и принадлежности для автотранспортных средств
29.32 Комплектующие и принадлежности для автотранспортных средств прочие
28.29.13 Фильтры масляные, бензиновые и всасывающие воздушные для двигателей внутреннего сгорания
33.12.24.000 Услуги по ремонту и техническому обслуживанию оборудования для добычи полезных ископаемых подземным и открытым способами и строительства</t>
  </si>
  <si>
    <t>за 1 ГОД ПО 223ФЗ заключено 2  3 935 683,20 ?</t>
  </si>
  <si>
    <t>19.20.32.119 Газы нефтяные прочие, не включенные в другие группировки
19.20.21.124 Бензин автомобильный с октановым числом более 92, но не более 95 по исследовательскому методу экологического класса К4
19.20.21.321 Топливо дизельное зимнее вне классов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19.20.21.310 Топливо дизельное летнее
06.20.10.130 Газ горючий природный сжиженный и регазифицированный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t>
  </si>
  <si>
    <t>ЗА 1 ГОД по 44ФЗ заключено 97 шт. c объемом НМЦ 158 229 106,48 ? с БГИ 8 724 249,19 ? с БГГО 0,00 ? с авансированием до  119 997,50 ? с комиссией банку  96 798,62 ? с кв 842,15 ?</t>
  </si>
  <si>
    <t>23.99.1 Продукция минеральная неметаллическая прочая, не включенная в другие группировки
23.51 Цемент
43.22.12.110 Работы по монтажу отопительного оборудования (электрического, газового, нефтяного, неэлектрических солнечных коллекторов)
23.51.12 Портландцемент, цемент глиноземистый, цемент шлаковый и аналогичные гидравлические цементы
23.51.12.120 Портландцементы белые</t>
  </si>
  <si>
    <t>05.10.10.131 Уголь марки Д - длиннопламенный</t>
  </si>
  <si>
    <t>За весь период компания заключила  10 контрактов на сумму  8 192 498 612,30 ? За весь период заходили в конкурсы  1 раз на общую сумму обеспеченных контрактов с НМЦ 44 198 550,00 ? с БГУ  534 300,00 ? с БГИ 5 343 000,00 ?</t>
  </si>
  <si>
    <t>11.0 Напитки
11.01 Напитки алкогольные дистиллированные и ректификованные</t>
  </si>
  <si>
    <t>56.10.19.110 Услуги по обеспечению питанием без предоставления мест для сидения
56.29.20.120 Услуги школьных столовых и кухонь
56.29.20.190 Услуги прочих столовых
56.10.11.129 Услуги прочих предприятий питания с полным обслуживанием без сопровождения развлекательных программ
56.10.11.119 Услуги прочих предприятий питания с полным обслуживанием в сопровождении развлекательных программ
56.29.19.000 Услуги по обеспечению питанием, осуществляемые по договору, прочие
56.29.11.000 Услуги по обеспечению питанием, осуществляемые по договору и предоставляемые транспортным предприятиям</t>
  </si>
  <si>
    <t>1 839</t>
  </si>
  <si>
    <t>За весь период компания заключила  38 контрактов на сумму  3 854 446 041,23 ? За весь период заходили в конкурсы  508 раз на общую сумму обеспеченных контрактов с НМЦ 19 698 184 681,89 ? с БГУ  298 869 546,36 ? с БГИ 2 166 476 566,12 ? За 3 ГОДА по 44ФЗ заключено 161 шт. с объемом НМЦ  7 093 549 933,99 ? с БГИ 712 064 967,74 ? с БГГО 0,00 ? с авансированием до 4 108 764,42 ? с комиссией банку 12 768 799,19 ? с кв 111 088,55 ? ЗА 1 ГОД по 44ФЗ заключено 78 шт. c объемом НМЦ 2 887 800 410,33 ? с БГИ 336 868 370,50 ? с БГГО 0,00 ? с авансированием до  4 108 764,42 ? с комиссией банку  6 834 232,75 ? с кв 59 457,82 ? ЗА 3 ГОДА ПО 223 ФЗ заключено 3 шт. с объемом НМЦ 69 714 120,30 ? за 1 ГОД ПО 223ФЗ заключено 2  65 213 005,00 ?</t>
  </si>
  <si>
    <t>Юридическое лицо находится в процессе реорганизации в форме присоединения к другому юридическому лицу от 04.04.2023, Сообщение кредитора о намерении обратиться в суд с заявлением о банкротстве от 12.01.2021</t>
  </si>
  <si>
    <t>"223 за 3 года", "кл фт прямые бг 04.22", "свод фт", ".", "рейтинг поставщиков в маркере по бг", "фб 22.11", "Конкурсы 100+ (Восстановленный)", "fk1", "кредиты фт", "ИНН 3 года - нет КД БГ на 01.10.22", "корп 1", "Гарантии ФБ банкроты", "06.2022_ФинХД", "клиенты с в от100млн 09.21", "лимит сит по кредитам", "все клиенты с выручкой от 1,8 млрд до бесконечности", "ФК клиенты с выручкой от 230 до бесконечности", "клиенты от 100 млн", "Обороты по клиентам по кварталам (2022г)", "Одобренные но не выданные 1 полугодие 2021", "ФТ клиенты с продуктами по сотрудникам", "223 фз контракты 20+", "44 фз с с БГ от 10 млн", "рейтинг по нмц маркер", "на фт заводил Хацкевич", "на фт заводил Пител", "на фт заводил Мамонтова", "на фт заводил Бесков", "поставщики маркер", "44 за 3 года"</t>
  </si>
  <si>
    <t>28.25.12.130 Кондиционеры бытовые
27.20.23.190 Батареи аккумуляторные прочие
33.17.19.000 Услуги по ремонту и техническому обслуживанию прочих транспортных средств и оборудования, не включенных в другие группировки
71.12.19.100 Услуги по инженерно-техническому проектированию прочих объектов, кроме объектов культурного наследия
27.33.13.190 Устройства коммутационные и/или предохранительные для электрических цепей прочие, не включенные в другие группировки
26.20.40.110 Устройства и блоки питания вычислительных машин
43.21.10.290 Работы электромонтажные прочие, не включенные в другие группировки
27.12.10.190 Устройства для коммутации или защиты электрических цепей на напряжение более 1 кВ прочие, не включенные в другие группировки
27.11.42.000 Трансформаторы прочие мощностью не более 16 кВА</t>
  </si>
  <si>
    <t>Сообщение кредитора о намерении обратиться в суд с заявлением о банкротстве от 03.02.2023</t>
  </si>
  <si>
    <t>"44 за 3 года", ".", "все клиенты с выручкой от 1,8 млрд до бесконечности", "производители", "это заказчик", "crm управления", "в crm за Муслимом", "поставщики маркер"</t>
  </si>
  <si>
    <t>10.51 Молоко и молочная продукция</t>
  </si>
  <si>
    <t>10.82.2 Шоколад и кондитерские сахаристые изделия
10 Продукты пищевые</t>
  </si>
  <si>
    <t>"223 за 3 года", ".", "fk1", "все клиенты с выручкой от 1,8 млрд до бесконечности", "ФК клиенты с выручкой от 230 до бесконечности", "производители", "рейтинг по нмц маркер", "это заказчик", "поставщики маркер"</t>
  </si>
  <si>
    <t>49.39.31.000 Услуги арендованных автобусов с водителем
49.42.19.000 Услуги по переезду прочие
49.31.21.110 Услуги (работы) по регулярным перевозкам пассажиров автобусами в городском и пригородном сообщении
49.31.21.130 Услуги (работы) по регулярным перевозкам пассажиров трамваями в городском и пригородном сообщении
49.31.21.120 Услуги (работы) по регулярным перевозкам пассажиров троллейбусами в городском и пригородном сообщении</t>
  </si>
  <si>
    <t>За весь период компания заключила  7 контрактов на сумму  3 187 519 900,24 ? За весь период заходили в конкурсы  20 раз на общую сумму обеспеченных контрактов с НМЦ 6 822 258 497,20 ? с БГУ  34 636 743,18 ? с БГИ 622 276 487,27 ? За 3 ГОДА по 44ФЗ заключено 17 шт. с объемом НМЦ  3 174 781 149,35 ? с БГИ 271 607 019,50 ? с БГГО 0,00 ? с авансированием до 0,00 ? с комиссией банку 2 612 524,74 ? с кв 22 728,97 ? ЗА 1 ГОД по 44ФЗ заключено 8 шт. c объемом НМЦ 895 207 299,25 ? с БГИ 77 133 684,43 ? с БГГО 0,00 ? с авансированием до  0,00 ? с комиссией банку  727 740,57 ? с кв 6 331,34 ?</t>
  </si>
  <si>
    <t>"44 за 3 года", ".", "рейтинг поставщиков в маркере по бг", "Конкурсы 100+ (Восстановленный)", "все клиенты с выручкой от 1,8 млрд до бесконечности", "44 фз с с БГ от 10 млн", "рейтинг заказчиков маркер", "рейтинг по нмц маркер", "это заказчик", "поставщики маркер"</t>
  </si>
  <si>
    <t>35.30.11.130 Энергия тепловая, отпущенная электрокотлами
35.30.12.110 Услуги по приготовлению воды на нужды горячего водоснабжения
36.00.20.120 Услуги по обработке воды для промышленных и прочих нужд
36.00.30.000 Услуги по торговле водой, поставляемой по трубопроводам
35.12.10.120 Услуги по технологическому присоединению к распределительным электросетям
35.13.10.000 Услуги по распределению электроэнергии
35.30 Услуги по снабжению паром и кондиционированию воздуха
35.30.11 Пар и горячая вода
35.30.11.120 Энергия тепловая, отпущенная котельными
35.30.12.130 Услуги по транспортированию горячей воды ****</t>
  </si>
  <si>
    <t>1 535</t>
  </si>
  <si>
    <t>За весь период компания заключила  3 контрактов на сумму  2 122 849 760,77 ?</t>
  </si>
  <si>
    <t>"223 за 3 года", "свод фт", ".", "все клиенты с выручкой от 1,8 млрд до бесконечности", "рейтинг заказчиков маркер", "производители", "рейтинг по нмц маркер", "это заказчик", "на фт заводил Левкин", "поставщики маркер", "44 за 3 года"</t>
  </si>
  <si>
    <t>52.23.19.119 Работы авиационные прочие
71.12.3 Услуги в области геологических, геофизических и взаимосвязанных изыскательных работ и консультативные услуги
71.12.40.120 Услуги в области метрологии
18.20.10.120 Услуги по копированию звукозаписей или видеозаписей на магнитные ленты
37.00.11.110 Услуги по водоотведению сточных вод
68.32.13 Услуги по управлению объектами нежилого фонда, предоставляемые за вознаграждение или на договорной основе
61.10.3 Услуги по передаче данных по проводным телекоммуникационным сетям
61.10.30.120 Услуги документальной электросвязи
61.20.11.000 Услуги подвижной связи общего пользования - обеспечение доступа и поддержка пользователя
61.90.10.190 Услуги телекоммуникационные прочие, не включенные в другие группировки ****</t>
  </si>
  <si>
    <t>За весь период заходили в конкурсы  2 раз на общую сумму обеспеченных контрактов с НМЦ 168 000 000,00 ? с БГУ  9 789 219,02 ? с БГИ 58 735 314,06 ?               ЗА 1 ГОД по 44ФЗ заключено 9 шт. c объемом НМЦ 25 869 485,40 ? с БГИ 3 738 475,57 ? с БГГО 0,00 ? с авансированием до  0,00 ? с комиссией банку  121 127,83 ? с кв 1 053,81 ? ЗА 3 ГОДА ПО 223 ФЗ заключено 64 шт. с объемом НМЦ 69 209 448,28 ? за 1 ГОД ПО 223ФЗ заключено 16  7 259 322,34 ?</t>
  </si>
  <si>
    <t>10.91.10.189 Комбикорма для прочих животных
10.91.10.183 Комбикорма для свиней
10.91.10.186 Комбикорма для сельскохозяйственной птицы</t>
  </si>
  <si>
    <t>Сообщения о принятии решения о реорганизации от 28.02.2020</t>
  </si>
  <si>
    <t>За весь период контрактов 2 шт. на общую сумму НМЦ 841 861 806,49 ?</t>
  </si>
  <si>
    <t>"рейтинг по нмц маркер", ".", "п6", "все клиенты с выручкой от 1,8 млрд до бесконечности", "производители"</t>
  </si>
  <si>
    <t>17.12.31.000 Картон тарный (крафт-лайнер) небеленый, немелованный</t>
  </si>
  <si>
    <t>17.21.13 Ящики и коробки из гофрированной бумаги или гофрированного картона
17.21.11.000 Картон гофрированный в рулонах или листах</t>
  </si>
  <si>
    <t>"поставщики маркер", ".", "райф", "производители"</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</si>
  <si>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42.11.10.120 Дороги автомобильные, в том числе улично-дорожная сеть, и прочие автомобильные и пешеходные дороги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</si>
  <si>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18 контрактов на сумму  5 661 863 759,00 ? За весь период заходили в конкурсы  80 раз на общую сумму обеспеченных контрактов с НМЦ 13 666 472 086,97 ? с БГУ  665 167 363,12 ? с БГИ 2 825 983 524,09 ? За 3 ГОДА по 44ФЗ заключено 38 шт. с объемом НМЦ  14 372 289 838,21 ? с БГИ 2 476 153 102,84 ? с БГГО 45 241 443,45 ? с авансированием до 710 208 998,10 ? с комиссией банку 63 289 110,73 ? с кв 550 615,26 ? ЗА 1 ГОД по 44ФЗ заключено 13 шт. c объемом НМЦ 7 702 462 125,82 ? с БГИ 1 741 008 796,30 ? с БГГО 15 672 864,00 ? с авансированием до  436 363 562,00 ? с комиссией банку  50 914 747,46 ? с кв 442 958,30 ?</t>
  </si>
  <si>
    <t>"44 за 3 года", ".", "рейтинг поставщиков в маркере по бг", "инн Ленинградка", "Конкурсы 100+ (Восстановленный)", "fk1", "Кредитный портфель_01.11", "06.2022_ФинХД",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t>
  </si>
  <si>
    <t>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43.11.10.000 Работы по сносу зданий и сооружений
43.39.19.190 Работы завершающие и отделочные в зданиях и сооружениях, прочие, не включенные в другие группировки
71.12.19.100 Услуги по инженерно-техническому проектированию прочих объектов, кроме объектов культурного наследия
41.20.30.100 Работы по возведению жилых зданий, кроме работ по сохранению и воссозданию объектов культурного наследия
43.29.19.190 Работы монтажные прочие, не включенные в другие группировки
41.20.20.713 Сеть тепловая магистральная</t>
  </si>
  <si>
    <t>3 191</t>
  </si>
  <si>
    <t>За весь период компания заключила  25 контрактов на сумму  30 128 258 235,84 ? За весь период заходили в конкурсы  26 раз на общую сумму обеспеченных контрактов с НМЦ 14 036 636 685,03 ? с БГУ  618 168 956,69 ? с БГИ 3 776 567 194,35 ? За 3 ГОДА по 44ФЗ заключено 12 шт. с объемом НМЦ  1 052 920 059,01 ? с БГИ 171 949 876,38 ? с БГГО 19 377 305,91 ? с авансированием до 55 814 323,85 ? с комиссией банку 5 501 525,36 ? с кв 47 863,27 ? ЗА 1 ГОД по 44ФЗ заключено 6 шт. c объемом НМЦ 95 793 444,11 ? с БГИ 5 251 850,71 ? с БГГО 0,00 ? с авансированием до  0,00 ? с комиссией банку  88 066,97 ? с кв 766,18 ? ЗА 3 ГОДА ПО 223 ФЗ заключено 41 шт. с объемом НМЦ 97 913 664 398,00 ? за 1 ГОД ПО 223ФЗ заключено 3  1 086 543 321,00 ?</t>
  </si>
  <si>
    <t>Сообщение кредитора о намерении обратиться в суд с заявлением о банкротстве от 14.03.2023</t>
  </si>
  <si>
    <t>"223 за 3 года", ".", "рейтинг поставщиков в маркере по бг", "ГРАНДИОЗНЫЙ ПРОЕКТ", "Конкурсы 100+ (Восстановленный)", "fk1", "ПСБ Гарантии ", "все клиенты с выручкой от 1,8 млрд до бесконечности", "223 фз контракты 20+", "рейтинг по нмц маркер", "поставщики маркер", "44 за 3 года"</t>
  </si>
  <si>
    <t>25.11.23.119 Конструкции и детали конструкций из черных металлов прочие, не включенные в другие группировки
28.13.14 Насосы центробежные подачи жидкостей прочие; насосы прочие
28.13.1 Насосы для перекачки жидкостей; подъемники жидкостей</t>
  </si>
  <si>
    <t>За весь период компания заключила  8 контрактов на сумму  4 587 371 681,95 ?</t>
  </si>
  <si>
    <t>"рейтинг по нмц маркер", ".",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t>
  </si>
  <si>
    <t>"рейтинг заказчиков маркер", "."</t>
  </si>
  <si>
    <t>20.59.56.150 Катализаторы, не включенные в другие группировки</t>
  </si>
  <si>
    <t>64.99.19.150 Услуги по факторингу
64.19.29.000 Услуги по предоставлению кредитов финансовыми организациями прочие</t>
  </si>
  <si>
    <t>За весь период компания заключила  6 контрактов на сумму  10 168 260 000,00 ?                                     ЗА 3 ГОДА ПО 223 ФЗ заключено 3 шт. с объемом НМЦ 65 249 999 999,64 ?</t>
  </si>
  <si>
    <t>10.89.19.160 Рационы питания и пайки
10.85.19.000 Продукты пищевые готовые и блюда прочие (включая замороженную пиццу)</t>
  </si>
  <si>
    <t>За весь период контрактов 3 шт. с общей суммой НМЦ 375 787 399,42 ? с БГУ 19665115,6 и БГИ 117 990 693,62 ?</t>
  </si>
  <si>
    <t>Сообщения о принятии решения о реорганизации от 01.07.2021</t>
  </si>
  <si>
    <t>"поставщики маркер", ".", "рейтинг поставщиков в маркере по бг", "fk1", "инн Красносельская",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"производители"</t>
  </si>
  <si>
    <t>28.30.2 Тракторы для сельского хозяйства прочие
29.10.4 Средства автотранспортные грузовые
28.92.61.130 Комплектующие (запасные части) кранового оборудования, не имеющие самостоятельных группировок
28.92.25 Погрузчики фронтальные одноковшовые самоходные
29.32.30.390 Части и принадлежности для автотранспортных средств прочие, не включенные в другие группировки
29.32.30 Комплектующие и принадлежности для автотранспортных средств, не включенные в другие группировки
29.3 Части и принадлежности для автотранспортных средств
29.32 Комплектующие и принадлежности для автотранспортных средств прочие
46.69 Услуги по оптовой торговле прочими машинами и оборудованием
45 Услуги по оптовой и розничной торговле и услуги по ремонту автотранспортных средств и мотоциклов</t>
  </si>
  <si>
    <t>За весь период компания заключила  5 контрактов на сумму  768 438 073,79 ?                                     ЗА 3 ГОДА ПО 223 ФЗ заключено 6 шт. с объемом НМЦ 162 856 695,34 ? за 1 ГОД ПО 223ФЗ заключено 1  8 353 210,80 ?</t>
  </si>
  <si>
    <t>"223 за 3 года", ".", "Пункт 3.1 09.01.2023", "все клиенты с выручкой от 1,8 млрд до бесконечности", "рейтинг по нмц маркер", "поставщики маркер"</t>
  </si>
  <si>
    <t>22.22.19.000 Изделия упаковочные пластмассовые прочие</t>
  </si>
  <si>
    <t>Сообщения о принятии решения о реорганизации от 25.10.2021</t>
  </si>
  <si>
    <t>49.10.19.111 Услуги по перевозке пассажиров железнодорожным транспортом в междугородном сообщении в регулируемом секторе
77.39.11 Услуги по аренде и лизингу железнодорожных транспортных средств
49.10.19.120 Услуги по перевозке пассажиров железнодорожным транспортом в международном сообщении</t>
  </si>
  <si>
    <t>За весь период компания заключила  3 контрактов на сумму  552 590 423,20 ?</t>
  </si>
  <si>
    <t>"это заказчик", ".", "fk1", "рейтинг заказчиков маркер", "рейтинг по нмц маркер"</t>
  </si>
  <si>
    <t>Сообщение кредитора о намерении обратиться в суд с заявлением о банкротстве от 20.02.2020</t>
  </si>
  <si>
    <t>"это заказчик", ".", "fk1", "райф", "производители"</t>
  </si>
  <si>
    <t>28.92.21 Бульдозеры и бульдозеры с поворотным отвалом
28.92.61.110 Комплектующие (запасные части) бурильных и проходческих машин, не имеющие самостоятельных группировок
28.92.61.120 Комплектующие (запасные части) машин для выемки грунта, не имеющие самостоятельных группировок
28.92.25 Погрузчики фронтальные одноковшовые самоходные
29.32.30.390 Части и принадлежности для автотранспортных средств прочие, не включенные в другие группировки
29.32.30 Комплектующие и принадлежности для автотранспортных средств, не включенные в другие группировки
28.92.12.190 Машины проходческие прочие
28.92.2 Машины прочие для перемещения, грейдерных работ, планирования, скреперных работ, выемки, трамбовки, уплотнения или добычи, самоходные, для грунта, минералов или руд (включая бульдозеры, одноковшовые экскаваторы и дорожные катки)
30.99.10 Средства транспортные и оборудование прочие, не включенные в другие группировки
28.92.21.110 Бульдозеры на гусеничных тракторах</t>
  </si>
  <si>
    <t>"44 за 3 года", ".", "fk1", "корп 2", "06.2022_ФинХД", "все клиенты с выручкой от 1,8 млрд до бесконечности", "Обороты по клиентам по кварталам (2022г)", "рейтинг по нмц маркер"</t>
  </si>
  <si>
    <t>25.11.23.119 Конструкции и детали конструкций из черных металлов прочие, не включенные в другие группировки
25.30.12.113 Оборудование котельное
71.12.40.120 Услуги в области метрологии
26.30.50.112 Устройства приемно-контрольные охранные и охранно-пожарные
26.30.50.123 Станции пожарной сигнализации, приборы управления и оповещатели пожарные
33.20.39 Услуги по монтажу прочего оборудования специального назначения
46.6 Услуги по оптовой торговле прочими машинами, оборудованием и инструментами
27.90 Оборудование электрическое прочее
71 Услуги в области архитектуры и инженерно-технического проектирования, технических испытаний, исследований и анализа
26.12.20.000 Платы звуковые, видеоплаты, сетевые и аналогичные платы для машин автоматической обработки информации ****</t>
  </si>
  <si>
    <t>За весь период компания заключила  20 контрактов на сумму  5 459 915 511,84 ? За весь период заходили в конкурсы  2 раз на общую сумму обеспеченных контрактов с НМЦ 1 464 191 200,00 ? с БГУ  77 126 798,50 ? с БГИ 462 760 791,00 ?                             ЗА 3 ГОДА ПО 223 ФЗ заключено 3 шт. с объемом НМЦ 44 436 517,53 ?</t>
  </si>
  <si>
    <t>"223 за 3 года", "свод фт", ".", "рейтинг поставщиков в маркере по бг", "кредиты фт", "лимит сит по кредитам", "все клиенты с выручкой от 1,8 млрд до бесконечности", "производители", "рейтинг по нмц маркер", "это заказчик", "на фт заводил Реук", "на фт заводил Адеев",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</si>
  <si>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41.20.40.900 Работы строительные по возведению нежилых зданий и сооружений прочие, не включенные в другие группировки
43.11.1 Работы по сносу зданий и сооружений
43.9 Работы строительные специализированные прочие
42.11.10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43.99.90.100 Работы строительные специализированные, не включенные в другие группировки, кроме работ на объектах культурного наследия
42.21.22.110 Работы строительные по прокладке местных трубопроводов воды или сточных вод ****</t>
  </si>
  <si>
    <t>За весь период компания заключила  27 контрактов на сумму  11 083 244 889,08 ? За весь период заходили в конкурсы  95 раз на общую сумму обеспеченных контрактов с НМЦ 19 401 894 910,68 ? с БГУ  1 028 497 621,17 ? с БГИ 5 034 426 803,40 ? За 3 ГОДА по 44ФЗ заключено 40 шт. с объемом НМЦ  5 177 924 756,61 ? с БГИ 809 997 912,02 ? с БГГО 123 732 324,57 ? с авансированием до 2 730 990 737,45 ? с комиссией банку 16 358 818,69 ? с кв 142 321,72 ? ЗА 1 ГОД по 44ФЗ заключено 10 шт. c объемом НМЦ 2 859 084 212,64 ? с БГИ 303 728 061,94 ? с БГГО 54 389 625,27 ? с авансированием до  1 183 133 144,47 ? с комиссией банку  9 491 349,81 ? с кв 82 574,74 ?</t>
  </si>
  <si>
    <t>"44 за 3 года", ".", "рейтинг поставщиков в маркере по бг", "выдали", "ГРАНДИОЗНЫЙ ПРОЕКТ", "клиент металлинвеста", "Конкурсы 100+ (Восстановленный)", "fk1", "Кредитный портфель_01.11", "06.2022_ФинХД", "клиенты от 100 млн", "Обороты по клиентам по кварталам (2022г)", "Одобренные но не выданные 1 полугодие 2021", "44 фз с с БГ от 10 млн", "производители", "рейтинг по нмц маркер", "поставщики маркер"</t>
  </si>
  <si>
    <t>52.29.19.110 Услуги по экспедированию грузов
01.11.12.121 Зерно яровой мягкой пшеницы
01.11.32.111 Зерно озимой ржи
01.11.12.111 Зерно озимой мягкой пшеницы
01.11.1 Пшеница</t>
  </si>
  <si>
    <t>ЗА 3 ГОДА ПО 223 ФЗ заключено 2 шт. с объемом НМЦ 26 229 640,00 ?</t>
  </si>
  <si>
    <t>84.25.19.190 Услуги по обеспечению безопасности в чрезвычайных ситуациях прочие
41.20.20.180 Здания предприятий здравоохранения, науки и научного обслуживания, образования, культуры и искусства</t>
  </si>
  <si>
    <t>За весь период компания заключила  3 контрактов на сумму  1 046 728 844,91 ? За весь период заходили в конкурсы  5 раз на общую сумму обеспеченных контрактов с НМЦ 1 217 632 722,20 ? с БГУ  84 876 651,72 ? с БГИ 579 591 664,16 ?</t>
  </si>
  <si>
    <t>"44 за 3 года", ".", "рейтинг поставщиков в маркере по бг", "п6", "06.2022_ФинХД", "Действующий клиент мсб с выр от 30 млн на 05.21", "все клиенты с выручкой от 1,8 млрд до бесконечности", "ФК клиенты с выручкой от 230 до бесконечности", "рейтинг по нмц маркер", "это заказчик", "поставщики маркер"</t>
  </si>
  <si>
    <t>"производители", ".", "закрыли счет", "Действующий клиент мсб с выр от 30 млн на 05.21", "все клиенты с выручкой от 1,8 млрд до бесконечности"</t>
  </si>
  <si>
    <t>23.51.12.140 Портландцементы тампонажные</t>
  </si>
  <si>
    <t>"рейтинг по нмц маркер", ".", "ушедший портфель", "fk1", "ИНН 3 года - нет КД БГ на 01.10.22", "Список ушедший ", "06.2022_ФинХД", "все клиенты с выручкой от 1,8 млрд до бесконечности", "ФК клиенты с выручкой от 230 до бесконечности", "Обороты по клиентам по кварталам (2022г)"</t>
  </si>
  <si>
    <t>41.20.40.900 Работы строительные по возведению нежилых зданий и сооружений прочие, не включенные в другие группировки
41.20.10.130 Здания спальных корпусов школ-итернатов, детских домов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t>
  </si>
  <si>
    <t>За весь период компания заключила  15 контрактов на сумму  12 409 072 295,58 ? За весь период заходили в конкурсы  29 раз на общую сумму обеспеченных контрактов с НМЦ 13 887 095 250,79 ? с БГУ  495 749 185,91 ? с БГИ 1 387 553 952,96 ? За 3 ГОДА по 44ФЗ заключено 13 шт. с объемом НМЦ  7 836 830 025,85 ? с БГИ 702 446 645,09 ? с БГГО 1 217 740,83 ? с авансированием до 596 567 682,48 ? с комиссией банку 5 291 052,18 ? с кв 46 032,15 ? ЗА 1 ГОД по 44ФЗ заключено 4 шт. c объемом НМЦ 2 932 171 873,87 ? с БГИ 293 217 187,39 ? с БГГО 0,00 ? с авансированием до  293 217 187,39 ? с комиссией банку  3 904 153,30 ? с кв 33 966,13 ?</t>
  </si>
  <si>
    <t>"223 за 3 года", ".", "рейтинг поставщиков в маркере по бг", "ГРАНДИОЗНЫЙ ПРОЕКТ", "Конкурсы 100+ (Восстановленный)", "fk1", "компании пайрус", "корп 1", "все клиенты с выручкой от 1,8 млрд до бесконечности", "ФК клиенты с выручкой от 230 до бесконечности", "Обороты по клиентам по кварталам (2022г)", "44 фз с с БГ от 10 млн", "рейтинг по нмц маркер", "это заказчик", "поставщики маркер", "44 за 3 года"</t>
  </si>
  <si>
    <t>1 477</t>
  </si>
  <si>
    <t>"это заказчик", ".", "райф", "06.2022_ФинХД", "все клиенты с выручкой от 1,8 млрд до бесконечности", "производители"</t>
  </si>
  <si>
    <t>70.22.14.000 Услуги консультативные по вопросам управления трудовыми ресурсами
69.20.21.000 Услуги по ведению (восстановлению) бухгалтерского учета
61.10.3 Услуги по передаче данных по проводным телекоммуникационным сетям
61.90.10.190 Услуги телекоммуникационные прочие, не включенные в другие группировки
62.03.1 Услуги по управлению компьютерным оборудованием
69.20.31.000 Услуги по налоговому консультированию и подготовка налоговой документации для юридических лиц
78 Услуги по трудоустройству и подбору персонала
61.90.10.130 Услуги по предоставлению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 д.
62.01 Продукты программные и услуги по разработке и тестированию программного обеспечения
62.02.2 Услуги консультативные по вопросам систем и программному обеспечению ****</t>
  </si>
  <si>
    <t>6 702</t>
  </si>
  <si>
    <t>За весь период компания заключила  32 контрактов на сумму  6 307 696 544,52 ? За весь период заходили в конкурсы  4 раз на общую сумму обеспеченных контрактов с НМЦ 478 713 504,00 ? с БГУ  19 675 488,13 ? с БГИ 97 996 534,08 ? За 3 ГОДА по 44ФЗ заключено 17 шт. с объемом НМЦ  136 141 553,62 ? с БГИ 22 503 945,75 ? с БГГО 1 042 516,00 ? с авансированием до 0,00 ? с комиссией банку 713 117,96 ? с кв 6 204,13 ?               ЗА 3 ГОДА ПО 223 ФЗ заключено 53 шт. с объемом НМЦ 168 872 350,32 ? за 1 ГОД ПО 223ФЗ заключено 16  53 881 631,76 ?</t>
  </si>
  <si>
    <t>"223 за 3 года", ".", "рейтинг поставщиков в маркере по бг", "все клиенты с выручкой от 1,8 млрд до бесконечности", "223 фз контракты 20+", "рейтинг заказчиков маркер", "рейтинг по нмц маркер", "это заказчик", "поставщики маркер", "44 за 3 года"</t>
  </si>
  <si>
    <t>Гарантия завершена;Распределена в Банк</t>
  </si>
  <si>
    <t>"поставщики маркер", "свод фт", ".", "все клиенты с выручкой от 1,8 млрд до бесконечности", "на фт заводил Шаклейн"</t>
  </si>
  <si>
    <t>ПОС на 03.04.2704</t>
  </si>
  <si>
    <t>"производители", ".", "fk1", "ПОС на 01.02.2023", "ПОС на 03.04.2023", "все клиенты с выручкой от 1,8 млрд до бесконечности", "Обороты по клиентам по кварталам (2022г)"</t>
  </si>
  <si>
    <t>29.32.30.269 Узлы и детали систем вентиляции, отопления и кондиционирования воздуха, не включенные в другие группировки
45.20.11.519 Прочие услуги по техническому обслуживанию и ремонту прочих автотранспортных средств, не включенные в другие группировки
28.15.22.000 Валы передаточные (включая кулачковые и коленчатые валы) и кривошипы
28.29.13.130 Фильтры очистки воздуха всасывающие для двигателей внутреннего сгорания
29.10.59.130 Средства транспортные для коммунального хозяйства и содержания дорог
45.20.21.111 Услуги по регламентным работам (по видам технического обслуживания)
28.29.13.110 Фильтры очистки масла для двигателей внутреннего сгорания
29.32.30.390 Части и принадлежности для автотранспортных средств прочие, не включенные в другие группировки
28.29.13.120 Фильтры очистки топлива для двигателей внутреннего сгорания
20.30.12.110 Лаки на основе сложных полиэфиров, акриловых или виниловых полимеров в неводной среде ****</t>
  </si>
  <si>
    <t>За весь период заходили в конкурсы  4 раз на общую сумму обеспеченных контрактов с НМЦ 193 561 300,00 ? с БГУ  6 117 400,00 ? с БГИ 44 474 000,00 ?</t>
  </si>
  <si>
    <t>"223 за 3 года", ".", "рейтинг поставщиков в маркере по бг", "выдали", "fk1", "ПОС на 03.04.2023", "все клиенты с выручкой от 1,8 млрд до бесконечности", "рейтинг по нмц маркер", "поставщики маркер", "44 за 3 года"</t>
  </si>
  <si>
    <t>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26.20.16.150 Сканеры
26.20.18.000 Устройства периферийные с двумя или более функциями: печать данных, копирование, сканирование, прием и передача факсимильных сообщений
26.20.40 Блоки, части и принадлежности вычислительных машин
26.20.40.120 Элементы замены типовые устройств ввода и вывода
28.23.25.000 Части и принадлежности прочих офисных машин
26.40.51.000 Части и принадлежности звукового и видеооборудования
26.20.1 Компьютеры, их части и принадлежности
26.20.16 Устройства ввода или вывода, содержащие или не содержащие в одном корпусе запоминающие устройства
26.30.30.000 Части и комплектующие коммуникационного оборудования ****</t>
  </si>
  <si>
    <t>"поставщики маркер", ".", "06.2022_ФинХД", "все клиенты с выручкой от 1,8 млрд до бесконечности", "производители"</t>
  </si>
  <si>
    <t>"Обороты по клиентам по кварталам (2022г)", ".", "fk1", "корп 1", "все клиенты с выручкой от 1,8 млрд до бесконечности", "ФК клиенты с выручкой от 230 до бесконечности"</t>
  </si>
  <si>
    <t>37.00.11.110 Услуги по водоотведению сточных вод
35.30.12.110 Услуги по приготовлению воды на нужды горячего водоснабжения
36.00.20.110 Услуги по очистке и подготовке воды для водоснабжения
36.00.30.000 Услуги по торговле водой, поставляемой по трубопроводам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36.00.12.000 Вода непитьевая
36.00.20.160 Услуги по подключению (технологическому присоединению) к централизованной системе водоснабжения ****</t>
  </si>
  <si>
    <t>51.10.11.000 Услуги по регулярным пассажирским перевозкам воздушным транспортом на местных линиях</t>
  </si>
  <si>
    <t>41.20.10.110 Здания жилые общего назначения
41.20.40.900 Работы строительные по возведению нежилых зданий и сооружений прочие, не включенные в другие группировки
41.20.40.110 Работы строительные по возведению и реконструкции объектов использования атомной энергии (кроме атомных электростанций)
68.10.11.000 Услуги по покупке и продаже жилых зданий и занимаемых ими земельных участков
41.20.20.180 Здания предприятий здравоохранения, науки и научного обслуживания, образования, культуры и искусства
41.20.40.113 Работы строительные по возведению пунктов захоронения радиоактивных отходов</t>
  </si>
  <si>
    <t>За весь период компания заключила  13 контрактов на сумму  5 868 324 930,62 ? За весь период заходили в конкурсы  62 раз на общую сумму обеспеченных контрактов с НМЦ 11 120 396 999,81 ? с БГУ  167 660 889,75 ? с БГИ 1 569 790 339,07 ? За 3 ГОДА по 44ФЗ заключено 22 шт. с объемом НМЦ  5 129 890 974,33 ? с БГИ 431 184 004,25 ? с БГГО 929 271,83 ? с авансированием до 0,00 ? с комиссией банку 6 228 370,84 ? с кв 54 186,83 ? ЗА 1 ГОД по 44ФЗ заключено 7 шт. c объемом НМЦ 1 081 466 100,40 ? с БГИ 108 146 610,04 ? с БГГО 293 450,00 ? с авансированием до  0,00 ? с комиссией банку  1 075 887,36 ? с кв 9 360,22 ?</t>
  </si>
  <si>
    <t>"44 за 3 года", ".", "рейтинг поставщиков в маркере по бг", "Конкурсы 100+ (Восстановленный)", "44 фз с с БГ от 10 млн", "рейтинг по нмц маркер", "crm управления", "в crm за Синяевым ", "поставщики маркер"</t>
  </si>
  <si>
    <t>20.42.16.110 Шампуни
17.22.11.130 Салфетки и полотенца гигиенические или косметические из бумажной массы, бумаги, целлюлозной ваты и полотна из целлюлозных волокон
20.41.32.121 Порошки стиральные
20.41.41.000 Средства для дезодорирования и ароматизации воздуха в помещениях
32.91.12.110 Щетки зубные, включая щетки для зубных протезов
22.22.11.000 Мешки и сумки, включая конические, из полимеров этилена
22.19.60.114 Перчатки резиновые хозяйственные
20.41.44.190 Средства чистящие прочие
20.41.32.113 Средства моющие для окон
32.99.52.110 Расчески, гребни для волос и аналогичные изделия ****</t>
  </si>
  <si>
    <t>30.20.33.110 Вагоны грузовые магистральные широкой колеи
30.20.33.116 Вагоны-хопперы
30.20.9 Услуги по восстановлению и переоборудованию (комплектованию) железнодорожных и трамвайных локомотивов и подвижного состава; операции процесса производства железнодорожных локомотивов и прочего подвижного состава отдельные, выполняемые субподрядчиком
33.17.11 Услуги по ремонту и техническому обслуживанию железнодорожных локомотивов и подвижного состава
33.17.19.000 Услуги по ремонту и техническому обслуживанию прочих транспортных средств и оборудования, не включенных в другие группировки
52.21.19 Услуги, связанные с железнодорожным транспортом, прочие</t>
  </si>
  <si>
    <t>За весь период компания заключила  3 контрактов на сумму  907 934 750,00 ?                                     ЗА 3 ГОДА ПО 223 ФЗ заключено 6 шт. с объемом НМЦ 80 840 850,54 ? за 1 ГОД ПО 223ФЗ заключено 1  20 000 000,00 ?</t>
  </si>
  <si>
    <t>49.20.16.000 Услуги железнодорожного транспорта по перевозке сыпучих бестарных грузов
49.20.1 Услуги железнодорожного транспорта по перевозке грузов</t>
  </si>
  <si>
    <t>За весь период контрактов 5 шт. на общую сумму НМЦ 1 468 573 566,42 ?</t>
  </si>
  <si>
    <t>Сообщения о принятии решения о реорганизации от 20.09.2022</t>
  </si>
  <si>
    <t>22.11.11.000 Шины и покрышки пневматические для легковых автомобилей новые
29.32.30.160 Приборы автомобилей, тракторов, мотоциклов и сельскохозяйственных машин
29.32.30.220 Колеса, ступицы и их детали</t>
  </si>
  <si>
    <t>за 1 ГОД ПО 223ФЗ заключено 2  5 025 596,04 ?</t>
  </si>
  <si>
    <t>"223 за 3 года", ".", "fk1", "Кредитный портфель_01.11", "06.2022_ФинХД", "все клиенты с выручкой от 1,8 млрд до бесконечности", "Обороты по клиентам по кварталам (2022г)", "это заказчик", "поставщики маркер"</t>
  </si>
  <si>
    <t>10.39.15.000 Фасоль, консервированная без уксуса или уксусной кислоты (кроме готовых блюд из овощей)
10.39.17.119 Пюре и пасты овощные прочие
10.39.17.190 Овощи (кроме картофеля), консервированные без уксуса или уксусной кислоты, прочие (кроме готовых овощных блюд), не включенные в другие группировки
10.39.25.120 Консервы фруктовые</t>
  </si>
  <si>
    <t>"44 за 3 года", ".", "ушедшие", "поставщики маркер"</t>
  </si>
  <si>
    <t>37.00.11.110 Услуги по водоотведению сточных вод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35.30.11.120 Энергия тепловая, отпущенная котельными
35.30.12.130 Услуги по транспортированию горячей воды
17.11.12.000 Целлюлоза древесная натронная или сульфатная, кроме растворимых сортов
35.30.11.111 Энергия тепловая, отпущенная тепловыми электроцентралями (ТЭЦ)
36.00.20.130 Услуги по транспортированию и распределению воды по водопроводам
35.30.11.119 Энергия тепловая, отпущенная прочими электростанциями ****</t>
  </si>
  <si>
    <t>За весь период компания заключила  15 контрактов на сумму  3 095 217 073,18 ?                                     ЗА 3 ГОДА ПО 223 ФЗ заключено 12 шт. с объемом НМЦ 515 597 175,33 ? за 1 ГОД ПО 223ФЗ заключено 4  497 188 509,74 ?</t>
  </si>
  <si>
    <t>"223 за 3 года", ".", "беники", "Конкурсы 100+ (Восстановленный)", "все клиенты с выручкой от 1,8 млрд до бесконечности", "Участники клиринга", "223 фз контракты 20+", "производители", "рейтинг по нмц маркер", "это заказчик"</t>
  </si>
  <si>
    <t>24.10.61.111 Прокат сортовой горячекатаный круглый со свободной намоткой в бухты из нелегированных сталей
25.11.23.119 Конструкции и детали конструкций из черных металлов прочие, не включенные в другие группировки
24.10.62.190 Прокат сортовой прочий, без дополнительной обработки, включая смотанный после прокатки, из нелегированных сталей
24.10.2 Сталь
25.93 Проволока, цепи и пружины
24.10.23.142 Полуфабрикаты кованые круглого или многоугольного сечения из прочих легированных сталей
24.10.66.120 Прокат сортовой горячекатаный прочий, без дополнительной обработки, включая смотанный после прокатки, из прочих легированных сталей
24.10.21.140 Полуфабрикаты круглого или многоугольного сечения из нелегированной стали
24.10.22.190 Полуфабрикаты из нержавеющей стали прочие
24.10.1 Продукты из железа и стали основные ****</t>
  </si>
  <si>
    <t>Сообщение кредитора о намерении обратиться в суд с заявлением о банкротстве от 30.12.2022</t>
  </si>
  <si>
    <t>"223 за 3 года", ".", "инн Вавилова",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"поставщики маркер"</t>
  </si>
  <si>
    <t>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29.10.22 Средства транспортные с двигателем с искровым зажиганием, с рабочим объемом цилиндров более 1500 см3, новые
29.10.24.000 Средства автотранспортные для перевозки людей прочие
45.20.11.111 Услуги по регламентным работам (по видам технического обслуживания)
45.20.1 Услуги по техническому обслуживанию и ремонту легковых автомобилей и легких грузовых автотранспортных средств
45.1 Услуги по торговле автотранспортными средствами
29.10.21.000 Средства транспортные с двигателем с искровым зажиганием, с рабочим объемом цилиндров не более 1500 см3, новые
45.2 Услуги по техническому обслуживанию и ремонту автотранспортных средств
45.20.11.200 Услуги по ремонту легковых автомобилей и легких грузовых автотранспортных средств, кроме услуг по ремонту электрооборудования, шин и кузовов</t>
  </si>
  <si>
    <t>"223 за 3 года", ".", "fk1", "Кредитный портфель_01.11", "корп 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 "44 за 3 года"</t>
  </si>
  <si>
    <t>86.10.19.000 Услуги больниц прочие
86.21.10.190 Услуги, предоставляемые врачами общей врачебной практики, прочие, не включенные в другие группировки
86.90.1 Услуги в области медицины прочие
86.90.14.000 Услуги скорой медицинской помощи
86.90.19.110 Услуги организаций санитарно-эпидемиологической службы
87.30.12.000 Услуги социальные, предоставляемые детям-инвалидам и подросткам-инвалидам в учреждениях с обеспечением проживания
88.91.12.000 Услуги по дневному уходу за детьми-инвалидами и подростками-инвалидами
86.90.19 Услуги в области здравоохранения прочие, не включенные в другие группировки
86.21.10 Услуги в области общей врачебной практики
86.1 Услуги больничных организаций ****</t>
  </si>
  <si>
    <t>6 541</t>
  </si>
  <si>
    <t>За три года по 44фз заключено 93 контрактов с общей суммой 290 359 843,11 ? с объемом БГИ 15 482 517,69 ? с наличием БГГО 0,00 ? с авансированием до  36 801,64 ? с комиссией по БГИ  175 977,66 ? и кв 1 529,88 ?</t>
  </si>
  <si>
    <t>Юридическое лицо находится в процессе реорганизации в форме присоединения к нему других юридических лиц от 13.04.2023, Сообщения о принятии решения о реорганизации от 10.02.2020</t>
  </si>
  <si>
    <t>"223 за 3 года", ".", "рейтинг поставщиков в маркере по бг", "портфель 51", "fk1", "Кредитный портфель_01.11", "корп 1", "06.2022_ФинХД", "все клиенты с выручкой от 1,8 млрд до бесконечности", "ФК клиенты с выручкой от 230 до бесконечности", "рейтинг по нмц маркер", "это заказчик", "поставщики маркер", "44 за 3 года"</t>
  </si>
  <si>
    <t>10.1 Мясо и мясо птицы, прочие продукты убоя. Мясные пищевые продукты, включая продукты из мяса птицы
10.2 Рыба переработанная и консервированная, ракообразные и моллюски</t>
  </si>
  <si>
    <t>10.84.30.140 Соль пищевая молотая
10.89.19 Продукты пищевые прочие, не включенные в другие группировки
10.89.19.150 Добавки пищевые комплексные</t>
  </si>
  <si>
    <t>"это заказчик", ".", "все клиенты с выручкой от 1,8 млрд до бесконечности", "Участники клиринга", "рейтинг заказчиков маркер", "производители"</t>
  </si>
  <si>
    <t>Сообщения о принятии решения о реорганизации от 22.07.2021</t>
  </si>
  <si>
    <t>"ФК клиенты с выручкой от 230 до бесконечности", ".", "fk1", "Кредитный портфель_01.11", "корп 1", "06.2022_ФинХД", "все клиенты с выручкой от 1,8 млрд до бесконечности"</t>
  </si>
  <si>
    <t>20.59 Продукты химические прочие, не включенные в другие группировки
21.20.23.110 Реагенты диагностические
21.20.23.113 Средства радиофармацевтические диагностические
21.20.23.199 Средства нелечебные прочие
20.59.52.199 Реагенты сложные диагностические или лабораторные прочие, не включенные в другие группировки
21 Средства лекарственные и материалы, применяемые в медицинских целях
21.20.2 Препараты лекарственные прочие и материалы, применяемые в медицинских целях
32.50.13.190 Инструменты и приспособления, применяемые в медицинских целях, прочие, не включенные в другие группировки
32.50.21.112 Оборудование терапевтические
20.59.52.194 Реактивы химические общелабораторного назначения ****</t>
  </si>
  <si>
    <t>За весь период заходили в конкурсы  11 раз на общую сумму обеспеченных контрактов с НМЦ 782 342 076,48 ? с БГУ  11 526 394,34 ? с БГИ 81 975 852,44 ? За 3 ГОДА по 44ФЗ заключено 1084 шт. с объемом НМЦ  3 367 510 932,78 ? с БГИ 278 224 565,67 ? с БГГО 7 715 563,53 ? с авансированием до 1 555 132,43 ? с комиссией банку 3 220 581,52 ? с кв 28 019,06 ? ЗА 1 ГОД по 44ФЗ заключено 446 шт. c объемом НМЦ 1 848 450 318,70 ? с БГИ 162 241 288,69 ? с БГГО 2 908 682,00 ? с авансированием до  1 343 211,01 ? с комиссией банку  1 887 363,18 ? с кв 16 420,06 ? ЗА 3 ГОДА ПО 223 ФЗ заключено 50 шт. с объемом НМЦ 530 003 014,64 ? за 1 ГОД ПО 223ФЗ заключено 10  97 576 619,11 ?</t>
  </si>
  <si>
    <t>"223 за 3 года", "кл фт агент бг 04.22", ".", "рейтинг поставщиков в маркере по бг", "fk1", "инн Красносельская", "2. Финтендер 2022 31.03.22 Григорян для СПАРК", "БГ ФБ ЮР лица на 01.07.2021", "ПСБ Гарантии ", "Гарантии ФБ банкроты", "все клиенты с выручкой от 1,8 млрд до бесконечности", "портфель",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"223 фз контракты 20+", "44 фз с с БГ от 10 млн", "рейтинг по нмц маркер", "поставщики маркер", "44 за 3 года"</t>
  </si>
  <si>
    <t>"Пункт 3.1 09.01.2023", "."</t>
  </si>
  <si>
    <t>10.61 Продукция мукомольно-крупяного производства</t>
  </si>
  <si>
    <t>"поставщики маркер", ".", "fk1", "ИНН 3 года - нет КД БГ на 01.10.22", "ПОС на 01.02.2023",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t>
  </si>
  <si>
    <t>"все клиенты с выручкой от 1,8 млрд до бесконечности", ".", "п6", "06.2022_ФинХД"</t>
  </si>
  <si>
    <t>27.32.13.136 Провода и кабели нагревательные</t>
  </si>
  <si>
    <t>28.30.59.112 Жатки рядковые
28.30.5 Машины для уборки урожая
28.30.59.111 Комбайны зерноуборочные
33.12 Услуги по ремонту оборудования
46.61 Услуги по оптовой торговле сельскохозяйственными машинами, оборудованием и инструментами
28.30.59.119 Машины для уборки зерновых, масличных, бобовых и крупяных культур прочие
32.99.59.000 Изделия различные прочие, не включенные в другие группировки
33.12.21 Услуги по ремонту и техническому обслуживанию оборудования для сельского и лесного хозяйства
28.30.59 Машины для уборки урожая и обмолота, не включенные в другие группировки</t>
  </si>
  <si>
    <t>За весь период заходили в конкурсы  3 раз на общую сумму обеспеченных контрактов с НМЦ 50 115 013,35 ? с БГУ  7 566 761,34 ? с БГИ 15 133 522,68 ?                             ЗА 3 ГОДА ПО 223 ФЗ заключено 12 шт. с объемом НМЦ 61 442 656,91 ?</t>
  </si>
  <si>
    <t>Сообщения о принятии решения о реорганизации от 31.03.2016</t>
  </si>
  <si>
    <t>"223 за 3 года", ".", "рейтинг поставщиков в маркере по бг", "райф", "44 за 3 года"</t>
  </si>
  <si>
    <t>Сообщение кредитора о намерении обратиться в суд с заявлением о банкротстве от 01.02.2023</t>
  </si>
  <si>
    <t>"Обороты по клиентам по кварталам (2022г)", ".", "инн Ленинградка", "fk1", "все клиенты с выручкой от 1,8 млрд до бесконечности"</t>
  </si>
  <si>
    <t>"ПК_0709"</t>
  </si>
  <si>
    <t>22.19.4 Ленты конвейерные или приводные ремни, или бельтинг из вулканизированной резины
22.19.50.000 Материалы прорезиненные текстильные, кроме кордных тканей
22.19 Изделия из резины прочие
22.19.40.110 Ленты конвейерные резинотканевые</t>
  </si>
  <si>
    <t>26.51.45.190 Приборы и аппаратура для измерения или контроля электрических величин прочие, не включенные в другие группировки
41.20.20.300 Сооружения топливно-энергетических, нефтехимических, газохимических и химических предприятий
28.99.39.190 Оборудование специального назначения прочее, не включенное в другие группировки
26.20.30.000 Устройства автоматической обработки данных прочие
33 Услуги по ремонту и монтажу машин и оборудования
43.21.10 Работы электромонтажные
27.12.40.000 Части электрической распределительной или регулирующей аппаратуры
84.25.11 Услуги по тушению и предупреждению пожаров; услуги по обеспечению безопасности в области использования атомной энергии
26.20.40.190 Комплектующие и запасные части для вычислительных машин прочие, не включенные в другие группировки
43.29.19.190 Работы монтажные прочие, не включенные в другие группировки ****</t>
  </si>
  <si>
    <t>5 940</t>
  </si>
  <si>
    <t>За весь период контрактов 44 шт. на общую сумму НМЦ 7 110 255 914,19 ?</t>
  </si>
  <si>
    <t>"поставщики маркер", ".", "ушедшие", "все клиенты с выручкой от 1,8 млрд до бесконечности", "рейтинг заказчиков маркер", "рейтинг по нмц маркер", "это заказчик"</t>
  </si>
  <si>
    <t>Заказчик разыгравший 71 конкурсов на сумму  14 523 705 013,32 ?</t>
  </si>
  <si>
    <t>Сообщение кредитора о намерении обратиться в суд с заявлением о банкротстве от 13.04.2021</t>
  </si>
  <si>
    <t>Заказчик разыгравший 199 конкурсов на сумму  44 143 557 798,96 ?</t>
  </si>
  <si>
    <t>Заказчик разыгравший 9 конкурсов на сумму  820 728 451,42 ?</t>
  </si>
  <si>
    <t>Сообщение кредитора о намерении обратиться в суд с заявлением о банкротстве от 03.12.2021</t>
  </si>
  <si>
    <t>"crm Пител", ".", "беники", "все клиенты с выручкой от 1,8 млрд до бесконечности", "это заказчик", "crm управления"</t>
  </si>
  <si>
    <t>1 736</t>
  </si>
  <si>
    <t>Сообщения о принятии решения о реорганизации от 19.12.2022</t>
  </si>
  <si>
    <t>55.10.1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55.90.12.000 Услуги по предоставлению временного жилья для рабочих в рабочих общежитиях или лагерях</t>
  </si>
  <si>
    <t>1 280</t>
  </si>
  <si>
    <t>Заказчик разыгравший 14 конкурсов на сумму  2 532 722 890,98 ?</t>
  </si>
  <si>
    <t>Сообщения о принятии решения о реорганизации от 26.07.2022</t>
  </si>
  <si>
    <t>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35.30.12 Услуги по снабжению паром и горячей водой по трубопроводам</t>
  </si>
  <si>
    <t>Заказчик разыгравший 17 конкурсов на сумму  8 713 253 661,03 ?</t>
  </si>
  <si>
    <t>Заказчик разыгравший 6 конкурсов на сумму  6 607 520 337,46 ?</t>
  </si>
  <si>
    <t>35.30.11.130 Энергия тепловая, отпущенная электрокотлами
35.30.11 Пар и горячая вода
35.30.11.120 Энергия тепловая, отпущенная котельными
35.30.12.130 Услуги по транспортированию горячей воды
35.30.12.120 Услуги по приготовлению горячей воды с использованием нецентрализованных систем горячего водоснабжения
35.30.22.000 Услуги по снабжению охлажденным воздухом и охлажденной водой
35.30.11.111 Энергия тепловая, отпущенная тепловыми электроцентралями (ТЭЦ)
35.30.11.110 Энергия тепловая, отпущенная электростанциями
35.30.1 Пар и горячая вода; услуги по снабжению паром и горячей водой
35.30.12 Услуги по снабжению паром и горячей водой по трубопроводам ****</t>
  </si>
  <si>
    <t>ЗА 3 ГОДА ПО 223 ФЗ заключено 4 шт. с объемом НМЦ 37 910 379,53 ? за 1 ГОД ПО 223ФЗ заключено 3  35 663 181,72 ?</t>
  </si>
  <si>
    <t>"223 за 3 года", ".", "fk1",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заказчиков маркер", "производители", "рейтинг по нмц маркер", "это заказчик", "поставщики маркер"</t>
  </si>
  <si>
    <t>"ФК клиенты с выручкой от 230 до бесконечности", ".", "fk1", "корп 2", "райф", "06.2022_ФинХД", "все клиенты с выручкой от 1,8 млрд до бесконечности"</t>
  </si>
  <si>
    <t>30.30.5 Части летательных и космических аппаратов прочие
77.12.19.000 Услуги по аренде и лизингу прочих сухопутных транспортных средств и оборудования без водителя
64.91.10.190 Услуги по финансовой аренде (лизингу/сублизингу) в прочих областях, кроме племенных животных
77.34.10.000 Услуги по аренде и лизингу водных транспортных средств
30.11.33.110 Земснаряды
77.32.10.000 Услуги по аренде и лизингу строительных машин и оборудования для гражданского строительства</t>
  </si>
  <si>
    <t>За весь период компания заключила  61 контрактов на сумму  85 173 646 570,29 ? За весь период заходили в конкурсы  47 раз на общую сумму обеспеченных контрактов с НМЦ 37 487 112 531,36 ? с БГУ  390 959 015,81 ? с БГИ 5 120 987 832,04 ? За 3 ГОДА по 44ФЗ заключено 12 шт. с объемом НМЦ  8 161 670 819,36 ? с БГИ 1 070 207 567,88 ? с БГГО 36 619 615,30 ? с авансированием до 705 865 502,98 ? с комиссией банку 18 324 963,34 ? с кв 159 427,18 ? ЗА 1 ГОД по 44ФЗ заключено 5 шт. c объемом НМЦ 5 510 493 628,74 ? с БГИ 933 457 986,22 ? с БГГО 47 258 378,00 ? с авансированием до  929 534 707,39 ? с комиссией банку  7 761 549,00 ? с кв 67 525,48 ? ЗА 3 ГОДА ПО 223 ФЗ заключено 1 шт. с объемом НМЦ 692 401 000,00 ?</t>
  </si>
  <si>
    <t>"223 за 3 года", ".", "рейтинг поставщиков в маркере по бг", "ГРАНДИОЗНЫЙ ПРОЕКТ", "Конкурсы 100+ (Восстановленный)", "fk1", "Кредитный портфель_01.11", "корп 1", "06.2022_ФинХД", "44 фз с с БГ от 10 млн", "рейтинг заказчиков маркер", "рейтинг по нмц маркер", "это заказчик", "поставщики маркер", "44 за 3 года"</t>
  </si>
  <si>
    <t>35.11.10.112 Электроэнергия, произведенная теплоэлектроцентралями (ТЭЦ) общего назначения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35.30 Услуги по снабжению паром и кондиционированию воздуха
35.30.11 Пар и горячая вода
35.30.11.120 Энергия тепловая, отпущенная котельными
35.30.12.130 Услуги по транспортированию горячей воды ****</t>
  </si>
  <si>
    <t>За весь период компания заключила  6 контрактов на сумму  388 006 613,71 ?                                     ЗА 3 ГОДА ПО 223 ФЗ заключено 15 шт. с объемом НМЦ 34 389 824,33 ? за 1 ГОД ПО 223ФЗ заключено 4  7 973 389,62 ?</t>
  </si>
  <si>
    <t>19.10.30.000 Пек и кокс пековый
49.41 Услуги по грузовым перевозкам автомобильным транспортом</t>
  </si>
  <si>
    <t>20.13.24.149 Кислоты неорганические прочие, не включенные в другие группировки
20.14.61.000 Соединения с альдегидной функциональной группой
22.22.14.000 Бутыли, бутылки, флаконы и аналогичные изделия из пластмасс
22.22.19.000 Изделия упаковочные пластмассовые прочие
20.14.32.120 Кислота уксусная, ее соли и сложные эфиры
20.14.32.123 Эфиры уксусной кислоты сложные
21.20.23.110 Реагенты диагностические
21.20.23.113 Средства радиофармацевтические диагностические
21.20.23.199 Средства нелечебные прочие
20.59.52.199 Реагенты сложные диагностические или лабораторные прочие, не включенные в другие группировки ****</t>
  </si>
  <si>
    <t>2 416</t>
  </si>
  <si>
    <t>За весь период компания заключила  53 контрактов на сумму  4 508 626 304,62 ? За весь период заходили в конкурсы  257 раз на общую сумму обеспеченных контрактов с НМЦ 16 192 829 330,79 ? с БГУ  540 627 372,05 ? с БГИ 2 655 840 962,09 ? За 3 ГОДА по 44ФЗ заключено 4024 шт. с объемом НМЦ  14 781 975 366,78 ? с БГИ 1 991 270 056,06 ? с БГГО 4 595 404,75 ? с авансированием до 1 061 804 192,87 ? с комиссией банку 44 330 634,85 ? с кв 385 676,52 ? ЗА 1 ГОД по 44ФЗ заключено 1388 шт. c объемом НМЦ 4 386 138 272,93 ? с БГИ 799 198 279,73 ? с БГГО 229 928,01 ? с авансированием до  537 955 062,13 ? с комиссией банку  19 820 864,80 ? с кв 172 441,52 ?     за 1 ГОД ПО 223ФЗ заключено 1  10 101 382,35 ?</t>
  </si>
  <si>
    <t>"223 за 3 года", ".", "рейтинг поставщиков в маркере по бг", "фб 22.11", "ГРАНДИОЗНЫЙ ПРОЕКТ", "Конкурсы 100+ (Восстановленный)", "все клиенты с выручкой от 1,8 млрд до бесконечности", "44 фз с с БГ от 10 млн", "рейтинг заказчиков маркер", "производители", "рейтинг по нмц маркер", "это заказчик", "поставщики маркер", "44 за 3 года"</t>
  </si>
  <si>
    <t>Сообщения о принятии решения о реорганизации от 22.05.2020</t>
  </si>
  <si>
    <t>"производители", ".", "райф"</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</si>
  <si>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42.13.20.100 Работы строительные по строительству мостов и тоннелей, кроме работ по сохранению и воссозданию объектов культурного наследия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</si>
  <si>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61 контрактов на сумму  29 982 392 210,97 ? За весь период заходили в конкурсы  197 раз на общую сумму обеспеченных контрактов с НМЦ 53 734 991 908,85 ? с БГУ  2 623 570 864,93 ? с БГИ 13 145 152 344,58 ? За 3 ГОДА по 44ФЗ заключено 44 шт. с объемом НМЦ  12 047 806 596,45 ? с БГИ 2 324 137 668,57 ? с БГГО 138 869 181,13 ? с авансированием до 874 384 823,68 ? с комиссией банку 49 577 586,79 ? с кв 431 325,01 ? ЗА 1 ГОД по 44ФЗ заключено 9 шт. c объемом НМЦ 3 586 923 110,46 ? с БГИ 597 015 608,59 ? с БГГО 20 308 679,18 ? с авансированием до  678 597 686,79 ? с комиссией банку  8 553 935,39 ? с кв 74 419,24 ?</t>
  </si>
  <si>
    <t>"44 за 3 года", "свод фт", ".", "рейтинг поставщиков в маркере по бг", "Рассрочка КВ Март 2023", "ГРАНДИОЗНЫЙ ПРОЕКТ", "п6", "УПП на 2 номер", "Конкурсы 100+ (Восстановленный)", "fk1", "клиенты управления по БГ без открытых счетов", "Премия 4 кв 22 г.бг", "лимит сит по кредитам", "все клиенты с выручкой от 1,8 млрд до бесконечности", "44 фз с с БГ от 10 млн", "производители", "рейтинг по нмц маркер", "это заказчик", "на фт заводил Шаклейн", "на фт заводил Реук", "поставщики маркер"</t>
  </si>
  <si>
    <t>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81.22.12 Услуги по чистке и уборке специализированные
68.32.11.120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
68.20.12.000 Услуги по сдаче в аренду (внаем) собственных или арендованных нежилых помещений
81.10.10.000 Услуги по обслуживанию помещений комплексные
68.32.13.120 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
63.11.11 Услуги по обработке данных</t>
  </si>
  <si>
    <t>За весь период компания заключила  5 контрактов на сумму  3 104 243 434,76 ? За весь период заходили в конкурсы  14 раз на общую сумму обеспеченных контрактов с НМЦ 4 084 719 659,82 ? с БГУ  179 946 951,50 ? с БГИ 656 204 905,40 ? За 3 ГОДА по 44ФЗ заключено 2 шт. с объемом НМЦ  2 507 858 640,00 ? с БГИ 250 785 864,00 ? с БГГО 2 507 858,00 ? с авансированием до 250 785 864,00 ? с комиссией банку 5 244 365,56 ? с кв 45 625,98 ? ЗА 1 ГОД по 44ФЗ заключено 1 шт. c объемом НМЦ 1 395 697 460,00 ? с БГИ 139 569 746,00 ? с БГГО 1 395 697,00 ? с авансированием до  139 569 746,00 ? с комиссией банку  4 756 842,85 ? с кв 41 384,53 ?</t>
  </si>
  <si>
    <t>24.10.23.140 Полуфабрикаты круглого или многоугольного поперечного сечения из прочих легированных сталей
24.33 Изделия холодной штамповки или гибки</t>
  </si>
  <si>
    <t>За весь период компания заключила  10 контрактов на сумму  3 599 787 070,66 ?</t>
  </si>
  <si>
    <t>35.30.12.110 Услуги по приготовлению воды на нужды горячего водоснабжения
35.30.11.120 Энергия тепловая, отпущенная котельными
35.11 Электроэнергия
35.12.10.110 Услуги по передаче электроэнергии</t>
  </si>
  <si>
    <t>"поставщики маркер", ".", "это заказчик", "на фт заводил Завистнов "</t>
  </si>
  <si>
    <t>28.14.13 Арматура запорная для управления процессом (задвижки, краны, клапаны запорные, затворы дисковые и другая арматура)
28.14.13.110 Клапаны запорные
28.14 Арматура трубопроводная (арматура) (краны, клапаны и прочие)
28.14.1 Арматура (краны, клапаны и другая аналогичная арматура) для трубопроводов, сосудов, котлов, цистерн, баков и аналогичных емкостей
28.14.11.120 Арматура регулирующая
28.99.39.190 Оборудование специального назначения прочее, не включенное в другие группировки
28.13.31.110 Комплектующие (запасные части) насосов, не имеющие самостоятельных группировок
28.14.11 Арматура регулирующая, обратная, предохранительная, распределительно-смесительная, разделительная, комбинированная, клапаны редукционные
28.14.11.130 Арматура обратная
25.62.20.000 Услуги по обработке металлических изделий с использованием прочих основных технологических процессов машиностроения ****</t>
  </si>
  <si>
    <t>За весь период контрактов 80 шт. на общую сумму НМЦ 36 188 666 289,10 ?</t>
  </si>
  <si>
    <t>"поставщики маркер", ".", "fk1", "просрочка на 01.01.2023 г.", "Запрос в ЮД_просрочка на 01.01.2023", "лимит сит по кредитам", "Пустые_Клиенты", "рейтинг по нмц маркер"</t>
  </si>
  <si>
    <t>66.19.32.000 Услуги по хранению</t>
  </si>
  <si>
    <t>За весь период контрактов 4 шт. на общую сумму НМЦ 3 066 586 966,45 ?</t>
  </si>
  <si>
    <t>29.10 Средства автотранспортные
28.92.25 Погрузчики фронтальные одноковшовые самоходные
28.92.2 Машины прочие для перемещения, грейдерных работ, планирования, скреперных работ, выемки, трамбовки, уплотнения или добычи, самоходные, для грунта, минералов или руд (включая бульдозеры, одноковшовые экскаваторы и дорожные катки)
28.92.27 Экскаваторы и одноковшовые погрузчики самоходные прочие; прочие самоходные машины для добычи полезных ископаемых
28.92 Оборудование для добычи полезных ископаемых подземным и открытым способами и строительства</t>
  </si>
  <si>
    <t>52.29.19.110 Услуги по экспедированию грузов
53.10.11.000 Услуги почтовой связи общего пользования, связанные с газетами и прочими периодическими изданиями
53.10.14.000 Услуги почтовых отделений (объектов) дополнительные
52.2 Услуги транспортные вспомогательные
61.10.30.120 Услуги документальной электросвязи
49.20.19.110 Услуги железнодорожного транспорта по перевозке опасных грузов
61.20.11.000 Услуги подвижной связи общего пользования - обеспечение доступа и поддержка пользователя
61.90.10.190 Услуги телекоммуникационные прочие, не включенные в другие группировки
80.10.11.000 Услуги по перевозкам в бронированных автомобилях
80.10.19.000 Услуги в области обеспечения безопасности прочие ****</t>
  </si>
  <si>
    <t>За весь период компания заключила  99 контрактов на сумму  8 461 036 292,68 ? За весь период заходили в конкурсы  37 раз на общую сумму обеспеченных контрактов с НМЦ 3 506 808 005,21 ? с БГУ  179 909 183,86 ? с БГИ 1 095 158 036,13 ? За 3 ГОДА по 44ФЗ заключено 141 шт. с объемом НМЦ  3 373 161 676,72 ? с БГИ 968 657 296,40 ? с БГГО 413 450,50 ? с авансированием до 2 577 619,46 ? с комиссией банку 51 653 362,28 ? с кв 449 384,25 ? ЗА 1 ГОД по 44ФЗ заключено 51 шт. c объемом НМЦ 2 307 943 357,41 ? с БГИ 684 797 338,48 ? с БГГО 146 565,57 ? с авансированием до  1 300,00 ? с комиссией банку  45 789 830,05 ? с кв 398 371,52 ? ЗА 3 ГОДА ПО 223 ФЗ заключено 158 шт. с объемом НМЦ 1 675 981 852,52 ? за 1 ГОД ПО 223ФЗ заключено 58  349 784 163,06 ?</t>
  </si>
  <si>
    <t>"223 за 3 года", ".", "рейтинг поставщиков в маркере по бг", "Конкурсы 100+ (Восстановленный)", "fk1", "ИНН_договоры_октябрь_", "ПОС на 01.02.2023", "ПОС на 03.04.2023", "Кредитный портфель_01.11", "06.2022_ФинХД", "Обороты по клиентам по кварталам (2022г)", "223 фз контракты 20+", "44 фз с с БГ от 10 млн", "рейтинг заказчиков маркер", "рейтинг по нмц маркер", "это заказчик", "поставщики маркер", "44 за 3 года"</t>
  </si>
  <si>
    <t>93.29.19.000 Услуги по организации отдыха и развлечений прочие, не включенные в другие группировки
73.1 Услуги рекламные
73.11.1 Услуги, предоставляемые рекламными агентствами
73.11.11.000 Набор рекламных услуг полный
79.90.11.000 Услуги по продвижению туризма
73.11.19.000 Услуги рекламные прочие
73.12.19.000 Услуги по продаже прочего места или времени для рекламы за вознаграждение или на договорной основе
73.12.20 Услуги по перепродаже места или времени для рекламы за вознаграждение или на договорной основе</t>
  </si>
  <si>
    <t>За весь период компания заключила  4 контрактов на сумму  1 277 227 600,00 ?                       ЗА 1 ГОД по 44ФЗ заключено 3 шт. c объемом НМЦ 37 270 995,50 ? с БГИ 10 627 798,65 ? с БГГО 0,00 ? с авансированием до  1 700 000,00 ? с комиссией банку  88 302,07 ? с кв 768,23 ? ЗА 3 ГОДА ПО 223 ФЗ заключено 13 шт. с объемом НМЦ 20 330 059,73 ?</t>
  </si>
  <si>
    <t>Сообщения о принятии решения о реорганизации от 17.12.2020</t>
  </si>
  <si>
    <t>"223 за 3 года", ".", "п6", "fk1", "06.2022_ФинХД", "клиенты с в от100млн 09.21", "лимит сит по кредитам", "Пустые_Клиенты", "все клиенты с выручкой от 1,8 млрд до бесконечности", "рейтинг по нмц маркер", "поставщики маркер", "44 за 3 года"</t>
  </si>
  <si>
    <t>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t>
  </si>
  <si>
    <t>За весь период компания заключила  77 контрактов на сумму  112 732 544 154,17 ?</t>
  </si>
  <si>
    <t>Сообщение кредитора о намерении обратиться в суд с заявлением о банкротстве от 09.03.2022</t>
  </si>
  <si>
    <t>3 704</t>
  </si>
  <si>
    <t>За 3 года по 223ФЗ заключено  1 шт контрактов на сумму 29 281 411,76 ?</t>
  </si>
  <si>
    <t>Сообщение кредитора о намерении обратиться в суд с заявлением о банкротстве от 06.10.2022</t>
  </si>
  <si>
    <t>Заказчик разыгравший 104 конкурсов на сумму  208 750 348 403,30 ?</t>
  </si>
  <si>
    <t>"все клиенты с выручкой от 1,8 млрд до бесконечности", ".", "Пункт 3.1 09.01.2023"</t>
  </si>
  <si>
    <t>26.30.11.150 Средства связи радиоэлектронные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26.3 Оборудование коммуникационное
26.30.3 Части и комплектующие коммуникационного оборудования
26.30.11.120 Средства связи, выполняющие функцию цифровых транспортных систем
46.52 Услуги по оптовой торговле электронным и телекоммуникационным оборудованием и его частями</t>
  </si>
  <si>
    <t>За весь период компания заключила  9 контрактов на сумму  11 764 836 692,90 ?                                     ЗА 3 ГОДА ПО 223 ФЗ заключено 2 шт. с объемом НМЦ 73 984 626,00 ? за 1 ГОД ПО 223ФЗ заключено 1  36 992 313,00 ?</t>
  </si>
  <si>
    <t>"223 за 3 года", ".", "все клиенты с выручкой от 1,8 млрд до бесконечности", "223 фз контракты 20+", "производители", "рейтинг по нмц маркер", "поставщики маркер"</t>
  </si>
  <si>
    <t>32.30.15.210 Изделия и принадлежности для альпинизма
81.21.10.000 Услуги по общей уборке зданий
81.29.12.000 Услуги по подметанию и уборке снега
43.32.10.110 Работы по установке дверных и оконных блоков и коробок, навеске дверных полотен (кроме дверей автоматического действия и вращающихся дверей), окон, оконных створок, планчатых створок, дверей гаражного типа и т. п. из любых материалов
43.99.90.150 Работы строительные специализированные для наружных стен зданий (очистка паром, пескоструйная обработка)
81.22.12.000 Услуги по чистке и уборке специализированные
81.10.10.000 Услуги по обслуживанию помещений комплексные
81.22.11.000 Услуги по мытью окон
81.29.19.000 Услуги по чистке и уборке прочие, не включенные в другие группировки
43.32.10 Работы столярные и плотничные ****</t>
  </si>
  <si>
    <t>За весь период заходили в конкурсы  1 раз на общую сумму обеспеченных контрактов с НМЦ 136 413 280,25 ? с БГУ  1 391 972,25 ? с БГИ 13 919 722,48 ? За 3 ГОДА по 44ФЗ заключено 25 шт. с объемом НМЦ  61 768 159,38 ? с БГИ 9 253 069,65 ? с БГГО 204 738,04 ? с авансированием до 13 916,10 ? с комиссией банку 186 319,21 ? с кв 1 620,98 ?</t>
  </si>
  <si>
    <t>"44 за 3 года", ".", "рейтинг поставщиков в маркере по бг", "портфель 51", "Банкроты ФБ 28.04.2023", "Действующий клиент мсб с выр от 30 млн на 05.21", "все клиенты с выручкой от 1,8 млрд до бесконечности", "филиал бизнес 22.11", "ФК клиенты с выручкой от 230 до бесконечности", "клиенты от 100 млн", "поставщики маркер"</t>
  </si>
  <si>
    <t>"поставщики маркер", ".", "все клиенты с выручкой от 1,8 млрд до бесконечности", "на фт заводил Алиев"</t>
  </si>
  <si>
    <t>19.20.32.119 Газы нефтяные прочие, не включенные в другие группировки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19.20.21.125 Бензин автомобильный с октановым числом более 92, но не более 95 по исследовательскому методу экологического класса К5
19.20.31.110 Пропан сжиженный
19.20.21.120 Бензин автомобильный с октановым числом более 92, но не более 95 по исследовательскому методу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19.20.21.345 Топливо дизельное межсезонное экологического класса К5 ****</t>
  </si>
  <si>
    <t>За 3 ГОДА по 44ФЗ заключено 161 шт. с объемом НМЦ  409 709 745,36 ? с БГИ 20 676 801,58 ? с БГГО 33 731,61 ? с авансированием до 0,00 ? с комиссией банку 356 605,24 ? с кв 3 102,47 ? ЗА 1 ГОД по 44ФЗ заключено 75 шт. c объемом НМЦ 265 775 629,28 ? с БГИ 13 668 543,79 ? с БГГО 0,00 ? с авансированием до  0,00 ? с комиссией банку  266 471,93 ? с кв 2 318,31 ?</t>
  </si>
  <si>
    <t>"223 за 3 года", ".", "Участники клиринга", "производители", "44 за 3 года"</t>
  </si>
  <si>
    <t>20.15.39.000 Удобрения азотные и смеси прочие
20.15.79.000 Удобрения минеральные или химические, содержащие два или три питательных элемента (азот, фосфор и калий), не включенные в другие группировки
20.15.31.000 Мочевина (карбамид)
28.30.23.110 Тракторы сельскохозяйственные колесные с мощностью двигателя более 59 кВт
28.30.86.110 Оборудование для сельского хозяйства, не включенное в другие группировки
20.15.32.000 Сульфат аммония
20.20 Пестициды и агрохимические продукты прочие
20.20.12.000 Гербициды
20.15.71.000 Удобрения, содержащие три питательных элемента: азот, фосфор и калий
20.15.75.000 Удобрения, содержащие два питательных элемента: фосфор и калий</t>
  </si>
  <si>
    <t>19.20.21.300 Топливо дизельное</t>
  </si>
  <si>
    <t>68 Услуги по операциям с недвижимым имуществом
68.20.12.000 Услуги по сдаче в аренду (внаем) собственных или арендованных нежилых помещений
02.40.10.121 Услуги по рубке (валке) леса</t>
  </si>
  <si>
    <t>Кредитный портфель_01.807</t>
  </si>
  <si>
    <t>Юридическое лицо находится в процессе реорганизации в форме присоединения к нему других юридических лиц от 26.01.2023, Сообщения о принятии решения о реорганизации от 15.03.2023</t>
  </si>
  <si>
    <t>"44 за 3 года", ".", "fk1", "Кредитный портфель_01.11", "06.2022_ФинХД", "все клиенты с выручкой от 1,8 млрд до бесконечности", "клиенты от 100 млн", "поставщики маркер"</t>
  </si>
  <si>
    <t>52.10.19 Услуги по складированию и хранению прочие
08.11.2 Известняк и гипс
08.12.12.150 Камень природный дробленый
71.12.35.120 Услуги в области картографии, кроме услуг в области кадастровой деятельности</t>
  </si>
  <si>
    <t>1 340</t>
  </si>
  <si>
    <t>Сообщение кредитора о намерении обратиться в суд с заявлением о банкротстве от 14.10.2022</t>
  </si>
  <si>
    <t>"поставщики маркер", ".", "fk1", "Обороты по клиентам по кварталам (2022г)", "Участники клиринга"</t>
  </si>
  <si>
    <t>3 719</t>
  </si>
  <si>
    <t>Заказчик разыгравший 22 конкурсов на сумму  3 877 370 368,65 ?</t>
  </si>
  <si>
    <t>"это заказчик", ".", "рейтинг заказчиков маркер", "производители"</t>
  </si>
  <si>
    <t>49.41 Услуги по грузовым перевозкам автомобильным транспортом</t>
  </si>
  <si>
    <t>Заказчик разыгравший 124 конкурсов на сумму  107 309 105 737,01 ?</t>
  </si>
  <si>
    <t>14.14.30.110 Футболки трикотажные или вязаные
17.22.11.130 Салфетки и полотенца гигиенические или косметические из бумажной массы, бумаги, целлюлозной ваты и полотна из целлюлозных волокон
26.51.20.121 Аппаратура радионавигационная для работы в системе спутниковой навигации ГЛОНАСС или ГЛОНАСС/GPS
27.20.22.000 Аккумуляторы свинцовые, кроме используемых для запуска поршневых двигателей
26.30.11.150 Средства связи радиоэлектронные
15.20.21.140 Кроссовки и аналогичные изделия
14.19.12.110 Костюмы спортивные трикотажные или вязаные
13.96.14.199 Ткани, пропитанные другими полимерными композициями, или с покрытием из других полимеров, прочие, не включенные в другие группировки
10.72.12.120 Печенье сладкое
10.73.11.130 Лапша ****</t>
  </si>
  <si>
    <t>ПОС на 03.04.2737</t>
  </si>
  <si>
    <t>"Одобренные но не выданные 1 полугодие 2021", ".", "fk1", "ПОС на 01.02.2023", "ПОС на 03.04.2023", "Кредитный портфель_01.11", "06.2022_ФинХД", "все клиенты с выручкой от 1,8 млрд до бесконечности", "клиенты от 100 млн", "Обороты по клиентам по кварталам (2022г)"</t>
  </si>
  <si>
    <t>35.30.11.120 Энергия тепловая, отпущенная котельными</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</si>
  <si>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 Молоко и молочная продукция</t>
  </si>
  <si>
    <t>За весь период заходили в конкурсы  8 раз на общую сумму обеспеченных контрактов с НМЦ 549 086 896,17 ? с БГУ  25 782 039,53 ? с БГИ 75 204 664,76 ?</t>
  </si>
  <si>
    <t>10.11 Мясо и прочие продукты убоя, включая мясо консервированное
10.11.31.140 Субпродукты пищевые крупного рогатого скота замороженные
10.12.20.110 Мясо кур, в том числе цыплят (включая цыплят-бройлеров) замороженное
10.12.40.121 Субпродукты кур (включая цыплят и цыплят-бройлеров) пищевые замороженные
10.12.20.120 Мясо индеек, в том числе индюшат замороженное
46.32.11.000 Услуги по оптовой торговле мясом (включая мясо птицы)
10.11.11.110 Говядина парная, остывшая или охлажденная
10.11.12.110 Свинина парная, остывшая или охлажденная домашних свиней
10.12.20.130 Мясо уток, в том числе утят замороженное
10.11.33.110 Баранина замороженная ****</t>
  </si>
  <si>
    <t>77.39.19.119 Услуги по аренде и лизингу прочих машин и оборудования научного и промышленного назначения
61.10.43 Услуги по широкополосному доступу к информационно-коммуникационной сети Интернет по проводным сетям
63.11.19 Услуги прочие по размещению и предоставлению инфраструктуры информационных технологий
33.12.29.900 Услуги по ремонту и техническому обслуживанию прочего оборудования специального назначения, не включенные в другие группировки
62.09.20.190 Услуги по технической поддержке в области информационных технологий прочие, не включенные в другие группировки
77.33.12.000 Услуги по аренде и лизингу вычислительной техники
63.11 Услуги по обработке данных, размещению и взаимосвязанные услуги
77.39.19.110 Услуги по аренде и лизингу прочих машин и оборудования без оператора, не включенных в другие группировки
61.10.30.190 Услуги по передаче данных по проводным телекоммуникационным сетям прочие
77.39.19.129 Услуги по аренде и лизингу прочих материальных средств, не включенных в другие группировки ****</t>
  </si>
  <si>
    <t>За весь период компания заключила  20 контрактов на сумму  6 640 347 968,56 ? За весь период заходили в конкурсы  29 раз на общую сумму обеспеченных контрактов с НМЦ 8 082 919 281,42 ? с БГУ  359 389 769,21 ? с БГИ 2 464 796 738,52 ? За 3 ГОДА по 44ФЗ заключено 14 шт. с объемом НМЦ  1 696 200 184,83 ? с БГИ 487 490 312,42 ? с БГГО 18 306 503,60 ? с авансированием до 0,00 ? с комиссией банку 22 218 538,36 ? с кв 193 301,28 ? ЗА 1 ГОД по 44ФЗ заключено 5 шт. c объемом НМЦ 129 497 909,94 ? с БГИ 23 521 578,84 ? с БГГО 0,00 ? с авансированием до  0,00 ? с комиссией банку  641 638,23 ? с кв 5 582,25 ? ЗА 3 ГОДА ПО 223 ФЗ заключено 2 шт. с объемом НМЦ 45 110 460,76 ? за 1 ГОД ПО 223ФЗ заключено 3  93 169 816,66 ?</t>
  </si>
  <si>
    <t>"223 за 3 года", "кл фт киб бг 04.22", ".", "рейтинг поставщиков в маркере по бг", "Кредитный портфель_01.11", "Пункт 3.1 09.01.2023", "БГ ФБ ЮР лица на 01.07.2021", "ПСБ Гарантии ", "Гарантии ФБ банкроты", "филиал бизнес 31.01.22 ", "06.2022_ФинХД", "ФТ клиенты с продуктами по сотрудникам", "223 фз контракты 20+", "44 фз с с БГ от 10 млн", "рейтинг заказчиков маркер", "рейтинг по нмц маркер", "это заказчик", "поставщики маркер", "44 за 3 года"</t>
  </si>
  <si>
    <t>20.16.20.190 Полимеры стирола в первичных формах прочие
20.16.56.190 Смолы полиуретановые прочие в первичных формах
23.99 Продукция минеральная неметаллическая прочая, не включенная в другие группировки
23.99.19.110 Материалы и изделия минеральные тепло- и звукоизоляционные</t>
  </si>
  <si>
    <t>За весь период компания заключила  4 контрактов на сумму  1 613 981 580,51 ?</t>
  </si>
  <si>
    <t>06.20 Газ природный в газообразном или сжиженном состоянии
33.12.2 Услуги по ремонту и техническому обслуживанию оборудования специального назначения
33.12.29.900 Услуги по ремонту и техническому обслуживанию прочего оборудования специального назначения, не включенные в другие группировки
33.12.1 Услуги по ремонту и техническому обслуживанию оборудования общего назначения
35.30.12.130 Услуги по транспортированию горячей воды
71.12.20.110 Услуги заказчика-застройщика, генерального подрядчика
36.00.20 Услуги по очистке вод и распределению воды по водопроводам
33.12.18 Услуги по ремонту и техническому обслуживанию небытового холодильного и вентиляционного оборудования
06.20.10.110 Газ горючий природный (газ естественный)
42.21.11 Трубопроводы магистральные для жидкостей и газа ****</t>
  </si>
  <si>
    <t>За весь период заходили в конкурсы  1 раз на общую сумму обеспеченных контрактов с НМЦ 49 891 624,61 ? с БГУ  2 499 950,00 ? с БГИ 12 499 750,00 ?                             ЗА 3 ГОДА ПО 223 ФЗ заключено 19 шт. с объемом НМЦ 1 063 054 730,80 ? за 1 ГОД ПО 223ФЗ заключено 3  744 636 088,90 ?</t>
  </si>
  <si>
    <t>"223 за 3 года", ".", "рейтинг поставщиков в маркере по бг", "все клиенты с выручкой от 1,8 млрд до бесконечности", "223 фз контракты 20+", "рейтинг заказчиков маркер", "производители", "на фт заводил Бесков", "поставщики маркер"</t>
  </si>
  <si>
    <t>5 335</t>
  </si>
  <si>
    <t>10.42 Маргарин, спреды растительно-сливочные и растительно-жировые, смеси топленые растительно-сливочные и растительно-жировые, жиры специального назначения, заменители молочного жира, эквиваленты, улучшители, заменители масла какао</t>
  </si>
  <si>
    <t>11.01 Напитки алкогольные дистиллированные и ректификованные</t>
  </si>
  <si>
    <t>20.59.43.120 Антифризы
20.30.22.170 Герметики
20.30.22.220 Растворители и разбавители органические сложные; составы готовые для удаления красок и лаков (смывки)
19.20.21.341 Топливо дизельное межсезонное вне классов
19.20.29.119 Масла моторные прочие, не включенные в другие группировки
19.20.29.150 Масла компрессорные
19.20.21.124 Бензин автомобильный с октановым числом более 92, но не более 95 по исследовательскому методу экологического класса К4
19.20.21.321 Топливо дизельное зимнее вне классов
19.20.29.111 Масла универсальные
19.20.21.100 Бензин автомобильный ****</t>
  </si>
  <si>
    <t>ЗА 1 ГОД по 44ФЗ заключено 77 шт. c объемом НМЦ 121 338 665,61 ? с БГИ 5 991 754,48 ? с БГГО 0,00 ? с авансированием до  43 495,20 ? с комиссией банку  60 274,81 ? с кв 524,39 ?</t>
  </si>
  <si>
    <t>28.22.17.190 Подъемники и конвейеры пневматические и прочие непрерывного действия для товаров или материалов, не включенные в другие группировки</t>
  </si>
  <si>
    <t>За весь период контрактов 3 шт. на общую сумму НМЦ 1 491 358 121,71 ?</t>
  </si>
  <si>
    <t>Сообщение кредитора о намерении обратиться в суд с заявлением о банкротстве от 03.08.2018</t>
  </si>
  <si>
    <t>Заказчик разыгравший 60 конкурсов на сумму  8 261 184 467,44 ?</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</si>
  <si>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t>
  </si>
  <si>
    <t>За весь период контрактов 28 шт. на общую сумму НМЦ 2 592 831 786,44 ?</t>
  </si>
  <si>
    <t>Сообщения о принятии решения о реорганизации от 22.03.2022</t>
  </si>
  <si>
    <t>"поставщики маркер", ".", "fk1", "райф", "просрочка на 01.01.2023 г.", "Запрос в ЮД_просрочка на 01.01.2023", "все клиенты с выручкой от 1,8 млрд до бесконечности"</t>
  </si>
  <si>
    <t>61.2 Услуги телекоммуникационные беспроводные
61.20.11.000 Услуги подвижной связи общего пользования - обеспечение доступа и поддержка пользователя
61.90.10.130 Услуги по предоставлению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 д.
62.09.20.120 Услуги по установке программного обеспечения
62.09.20.190 Услуги по технической поддержке в области информационных технологий прочие, не включенные в другие группировки
61.20.20 Услуги операторов связи в сфере беспроводных телекоммуникаций
61.20.12.000 Услуги подвижной связи дополнительные
61.20.49.000 Услуги телекоммуникационные беспроводные прочие в информационно-коммуникационной сети Интернет
61.90.10.150 Услуги телекоммуникационные посредством существующих телекоммуникационных соединений
61.10.1 Услуги фиксированной телефонной связи ****</t>
  </si>
  <si>
    <t>За весь период компания заключила  4 контрактов на сумму  735 273 972,35 ?                                     ЗА 3 ГОДА ПО 223 ФЗ заключено 9 шт. с объемом НМЦ 450 364 383,45 ?</t>
  </si>
  <si>
    <t>"223 за 3 года", ".", "fk1", "инн Красносельская", "ИНН 3 года - нет КД БГ на 01.10.22",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 "44 за 3 года"</t>
  </si>
  <si>
    <t>10.1 Мясо и мясо птицы, прочие продукты убоя. Мясные пищевые продукты, включая продукты из мяса птицы
10.31.11.000 Картофель замороженный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10.73.11.140 Изделия макаронные фигурные
10.51.4 Сыры, продукты сырные и творог
10.61.21.113 Мука пшеничная хлебопекарная высшего сорта
10.20.11.110 Филе рыбное свежее или охлажденное
10.12.20.110 Мясо кур, в том числе цыплят (включая цыплят-бройлеров) замороженное
10.84.12.130 Майонезы
20.13.43.119 Сода кальцинированная прочая ****</t>
  </si>
  <si>
    <t>"поставщики маркер", ".", "fk1", "корп 1", "все клиенты с выручкой от 1,8 млрд до бесконечности", "ФК клиенты с выручкой от 230 до бесконечности"</t>
  </si>
  <si>
    <t>58.14.32.000 Место для рекламы в электронных журналах и периодических изданиях
58.14.40.000 Услуги по предоставлению лицензий, связанных с журналами и периодическими изданиями</t>
  </si>
  <si>
    <t>25.99 Металлоизделия готовые прочие, не включенные в другие группировки
25.11.10.000 Здания сборные из металла
24.33.3 Панели многослойные из листового стального плакированного проката</t>
  </si>
  <si>
    <t>ЗА 3 ГОДА ПО 223 ФЗ заключено 3 шт. с объемом НМЦ 945 541 984,98 ?</t>
  </si>
  <si>
    <t>"223 за 3 года", "кл фт прямые бг 04.22", "свод фт", ".", "беники", "УПП на 2 номер", "fk1", "кредиты фт", "клиенты управления по БГ без открытых счетов", "ОТКАЗ УДП", "2. Финтендер 2022 31.03.22 Григорян для СПАРК", "Пункт 3.1 09.01.2023", "корп 1", "лимит сит по кредитам", "все клиенты с выручкой от 1,8 млрд до бесконечности", "портфель", "клиенты от 100 млн", "Одобренные но не выданные 1 полугодие 2021", "ФТ клиенты с продуктами по сотрудникам", "рейтинг заказчиков маркер", "производители", "рейтинг по нмц маркер", "это заказчик", "на фт заводил Федоров", "на фт заводил Егоров ", "поставщики маркер"</t>
  </si>
  <si>
    <t>Сообщение кредитора о намерении обратиться в суд с заявлением о банкротстве от 18.06.2021</t>
  </si>
  <si>
    <t>25.72.14.130 Петли, арматура крепежная, фурнитура и аналогичные изделия для мебели из недрагоценных металлов</t>
  </si>
  <si>
    <t>"поставщики маркер", ".",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</si>
  <si>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"поставщики маркер", ".", "fk1", "все клиенты с выручкой от 1,8 млрд до бесконечности", "рейтинг по нмц маркер"</t>
  </si>
  <si>
    <t>52.29.19.110 Услуги по экспедированию грузов
51.21 Услуги по перевозке грузов воздушным транспортом
52.2 Услуги транспортные вспомогательные
52.29.19 Услуги грузовых транспортно-экспедиционных агентств прочие
74.90.2 Услуги профессиональные, технические и коммерческие, прочие, не включенные в другие группировки
49.41.11.000 Услуги по перевозке автомобильным транспортом грузов в автофургонах-рефрижераторах
49.41.19 Услуги по перевозке грузов автомобильным транспортом прочие
53.20.11.110 Услуги специальной почтовой связи
51.21.13.000 Услуги по перевозке прочих грузов воздушным транспортом на регулярной основе
74.9 Услуги профессиональные, научные и технические, прочие, не включенные в другие группировки ****</t>
  </si>
  <si>
    <t>ЗА 3 ГОДА ПО 223 ФЗ заключено 20 шт. с объемом НМЦ 41 371 589,00 ? за 1 ГОД ПО 223ФЗ заключено 3  8 013 500,00 ?</t>
  </si>
  <si>
    <t>Юридическое лицо находится в процессе реорганизации в форме присоединения к нему других юридических лиц от 21.04.2023, Сообщения о принятии решения о реорганизации от 10.06.2021</t>
  </si>
  <si>
    <t>"223 за 3 года", "кл фт киб бг 04.22", ".", "ПОС на 01.02.2023", "ПОС на 03.04.2023", "Кредитный портфель_01.11", "БГ ФБ ЮР лица на 01.07.2021", "Гарантии ФБ банкроты", "филиал бизнес 31.01.22 ", "06.2022_ФинХД",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"поставщики маркер", "44 за 3 года"</t>
  </si>
  <si>
    <t>"на фт заводил Кашин", "свод фт", ".", "производители"</t>
  </si>
  <si>
    <t>20.59.42.130 Присадки к смазочным материалам</t>
  </si>
  <si>
    <t>"поставщики маркер", ".", "корп 2", "06.2022_ФинХД", "клиенты с в от100млн 09.21", "все клиенты с выручкой от 1,8 млрд до бесконечности", "ФК клиенты с выручкой от 230 до бесконечности", "производители"</t>
  </si>
  <si>
    <t>22.22.14.000 Бутыли, бутылки, флаконы и аналогичные изделия из пластмасс
22.22.19.000 Изделия упаковочные пластмассовые прочие
21.20.23.110 Реагенты диагностические
21.20.23.199 Средства нелечебные прочие
20.59.52.140 Среды готовые питательные для выращивания микроорганизмов
20.59.52.199 Реагенты сложные диагностические или лабораторные прочие, не включенные в другие группировки
22.19.71.190 Изделия из резины, кроме твердой резины (эбонита), гигиенические или фармацевтические прочие
28.29.84.000 Части оборудования, не имеющие электрических соединений, не включенные в другие группировки
20.20.14.000 Средства дезинфекционные
26.51.41.169 Детекторы ионизирующих излучений прочие ****</t>
  </si>
  <si>
    <t>За весь период компания заключила  17 контрактов на сумму  1 496 990 289,40 ? За весь период заходили в конкурсы  50 раз на общую сумму обеспеченных контрактов с НМЦ 4 740 476 926,44 ? с БГУ  88 092 903,46 ? с БГИ 945 902 135,66 ? За 3 ГОДА по 44ФЗ заключено 352 шт. с объемом НМЦ  5 704 091 600,67 ? с БГИ 713 643 960,77 ? с БГГО 110 528 828,32 ? с авансированием до 1 251 715 684,72 ? с комиссией банку 7 980 588,53 ? с кв 69 431,12 ? ЗА 1 ГОД по 44ФЗ заключено 133 шт. c объемом НМЦ 2 934 754 007,83 ? с БГИ 299 114 619,12 ? с БГГО 46 188 864,81 ? с авансированием до  974 552 240,75 ? с комиссией банку  3 244 725,21 ? с кв 28 229,11 ? ЗА 3 ГОДА ПО 223 ФЗ заключено 30 шт. с объемом НМЦ 49 302 778,72 ? за 1 ГОД ПО 223ФЗ заключено 4  4 117 064,78 ?</t>
  </si>
  <si>
    <t>32.50.13.190 Инструменты и приспособления, применяемые в медицинских целях, прочие, не включенные в другие группировки
14.19.22.190 Одежда прочая из текстильных материалов, кроме трикотажных или вязаных
22.19.60.112 Перчатки резиновые технические
14.19.32.120 Одежда из нетканых материалов
14.12.11.120 Костюмы мужские производственные и профессиональные
32.99.11.120 Респираторы
32.99.11.191 Средства индивидуальной защиты от радиоактивных веществ
22.29.10.110 Одежда и ее аксессуары пластмассовые
21.20.24.150 Изделия медицинские ватно-марлевые
14.12.30.170 Одежда для поддержания физической формы (противоперегрузочные, профилактико-нагрузочные, профилактические костюмы) специальная ****</t>
  </si>
  <si>
    <t>За весь период компания заключила  7 контрактов на сумму  2 069 004 763,76 ? За весь период заходили в конкурсы  1 раз на общую сумму обеспеченных контрактов с НМЦ 839 300 000,00 ? с БГУ  0,00 ? с БГИ 8 393 000,00 ?                             ЗА 3 ГОДА ПО 223 ФЗ заключено 22 шт. с объемом НМЦ 325 270 686,60 ?</t>
  </si>
  <si>
    <t>"223 за 3 года", ".", "рейтинг поставщиков в маркере по бг",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t>
  </si>
  <si>
    <t>42.21.22.190 Работы строительные по прокладке местных трубопроводов прочих жидкостей и газов</t>
  </si>
  <si>
    <t>Заказчик разыгравший 60 конкурсов на сумму  16 572 863 494,08 ?</t>
  </si>
  <si>
    <t>77.1 Услуги по аренде и лизингу автотранспортных средств
64.91 Услуги по финансовой аренде (лизингу/сублизингу)
64.91.10.190 Услуги по финансовой аренде (лизингу/сублизингу) в прочих областях, кроме племенных животных
77.12.11 Услуги по аренде и лизингу грузовых транспортных средств без водителя
77.11.10 Услуги по аренде и лизингу легковых автомобилей и легких автотранспортных средств</t>
  </si>
  <si>
    <t>За весь период компания заключила  6 контрактов на сумму  395 235 908,88 ?</t>
  </si>
  <si>
    <t>"поставщики маркер", ".", "fk1", "все клиенты с выручкой от 1,8 млрд до бесконечности", "рейтинг заказчиков маркер", "рейтинг по нмц маркер", "это заказчик"</t>
  </si>
  <si>
    <t>"crm управления", "в crm за Чимровым"</t>
  </si>
  <si>
    <t>Сообщения о принятии решения о реорганизации от 16.11.2020</t>
  </si>
  <si>
    <t>"в crm за Чимровым", ".", "crm управления"</t>
  </si>
  <si>
    <t>Сообщения о принятии решения о реорганизации от 22.07.2022</t>
  </si>
  <si>
    <t>29.10.24.000 Средства автотранспортные для перевозки людей прочие
29.10.21.000 Средства транспортные с двигателем с искровым зажиганием, с рабочим объемом цилиндров не более 1500 см3, новые
26.51.66.120 Приборы неразрушающего контроля качества материалов и изделий</t>
  </si>
  <si>
    <t>"44 за 3 года", ".", "fk1", "ПОС на 01.02.2023", "ПОС на 03.04.2023", "райф", "Кредитный портфель_01.11", "06.2022_ФинХД", "Обороты по клиентам по кварталам (2022г)", "поставщики маркер"</t>
  </si>
  <si>
    <t>1 397</t>
  </si>
  <si>
    <t>"поставщики маркер", ".", "выдали", "fk1", "ПОС на 01.02.2023", "ПОС на 03.04.2023", "Кредитный портфель_01.11", "06.2022_ФинХД",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</si>
  <si>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85.42.1 Услуги по дополнительному профессиональному образованию</t>
  </si>
  <si>
    <t>56.10.19.119 Услуги прочих предприятий быстрого питания без предоставления мест для сидения
56.29.20.120 Услуги школьных столовых и кухонь
56.10.11.129 Услуги прочих предприятий питания с полным обслуживанием без сопровождения развлекательных программ
56.10.11.119 Услуги прочих предприятий питания с полным обслуживанием в сопровождении развлекательных программ
56.10.19.140 Услуги по обеспечению питанием с использованием средств передвижения, приготовление и подача блюд и напитков для потребления на месте с машин или тележек
56.29.1 Услуги по обеспечению питанием, осуществляемые по договору
56.21.19.000 Услуги по поставке продукции общественного питания и обслуживанию торжественных мероприятий прочие
56.29.20.130 Услуги столовых для студентов учебных заведений
56.29.19.000 Услуги по обеспечению питанием, осуществляемые по договору, прочие
56.29.11.000 Услуги по обеспечению питанием, осуществляемые по договору и предоставляемые транспортным предприятиям</t>
  </si>
  <si>
    <t>1 028</t>
  </si>
  <si>
    <t>За весь период компания заключила  52 контрактов на сумму  5 589 277 938,74 ? За весь период заходили в конкурсы  3398 раз на общую сумму обеспеченных контрактов с НМЦ 14 246 082 139,03 ? с БГУ  326 303 712,97 ? с БГИ 2 709 257 866,12 ? За 3 ГОДА по 44ФЗ заключено 93 шт. с объемом НМЦ  10 217 657 509,04 ? с БГИ 1 270 520 023,28 ? с БГГО 0,00 ? с авансированием до 74 880,80 ? с комиссией банку 19 937 551,82 ? с кв 173 456,70 ? ЗА 1 ГОД по 44ФЗ заключено 30 шт. c объемом НМЦ 5 474 559 009,07 ? с БГИ 779 867 871,92 ? с БГГО 0,00 ? с авансированием до  74 880,80 ? с комиссией банку  14 874 776,59 ? с кв 129 410,56 ?</t>
  </si>
  <si>
    <t>"223 за 3 года", ".", "рейтинг поставщиков в маркере по бг", "Конкурсы 100+ (Восстановленный)", "все клиенты с выручкой от 1,8 млрд до бесконечности", "44 фз с с БГ от 10 млн", "рейтинг заказчиков маркер", "производители", "рейтинг по нмц маркер", "это заказчик", "поставщики маркер", "44 за 3 года"</t>
  </si>
  <si>
    <t>26.20.18.000 Устройства периферийные с двумя или более функциями: печать данных, копирование, сканирование, прием и передача факсимильных сообщений
26.30.30.000 Части и комплектующие коммуникационного оборудования
58.29.29.000 Обеспечение программное прикладное прочее на электронном носителе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26.20.14 Машины вычислительные электронные цифровые, поставляемые в виде систем для автоматической обработки данных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58.29.12.000 Обеспечение программное сетевое на электронном носителе
26 Оборудование компьютерное, электронное и оптическое
26.20 Компьютеры и периферийное оборудование ****</t>
  </si>
  <si>
    <t>За весь период компания заключила  55 контрактов на сумму  21 613 643 556,10 ? За весь период заходили в конкурсы  169 раз на общую сумму обеспеченных контрактов с НМЦ 29 926 332 868,94 ? с БГУ  1 592 614 015,96 ? с БГИ 8 073 556 963,48 ? За 3 ГОДА по 44ФЗ заключено 12 шт. с объемом НМЦ  1 923 501 149,98 ? с БГИ 322 860 763,42 ? с БГГО 37 596 331,67 ? с авансированием до 99 333 782,06 ? с комиссией банку 1 066 577,17 ? с кв 9 279,22 ?</t>
  </si>
  <si>
    <t>"223 за 3 года", ".", "рейтинг поставщиков в маркере по бг", "ГРАНДИОЗНЫЙ ПРОЕКТ", "fk1", "инн Красносельская", "ПСБ Гарантии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 "рейтинг по нмц маркер", "поставщики маркер", "44 за 3 года"</t>
  </si>
  <si>
    <t>За 3 года по 223ФЗ заключено  4 шт контрактов на сумму 1 268 626 000,00 ?</t>
  </si>
  <si>
    <t>"223 за 3 года", ".", "Конкурсы 100+ (Восстановленный)", "все клиенты с выручкой от 1,8 млрд до бесконечности", "223 фз контракты 20+", "производители"</t>
  </si>
  <si>
    <t>10.62.20.160 Продукты кормовые крахмалопаточного производства</t>
  </si>
  <si>
    <t>За 3 года по 223ФЗ заключено  10 шт контрактов на сумму 59 385 366,70 ?</t>
  </si>
  <si>
    <t>80.10.19.000 Услуги в области обеспечения безопасности прочие
28.23.25.000 Части и принадлежности прочих офисных машин
61.20 Услуги телекоммуникационные беспроводные
33.20.42.000 Услуги по монтажу профессионального электронного оборудования
33.20.50.000 Услуги по монтажу электрического оборудования
85.41.91 Услуги школ по изучению иностранных языков
62.03.11.000 Услуги по управлению сетями
61.90.10.150 Услуги телекоммуникационные посредством существующих телекоммуникационных соединений
62.02.20.140 Услуги по подготовке компьютерных систем к эксплуатации
41.10.10.000 Документация проектная для строительства ****</t>
  </si>
  <si>
    <t>За весь период компания заключила  1 контрактов на сумму  7 065 742 790,00 ?                                     ЗА 3 ГОДА ПО 223 ФЗ заключено 2 шт. с объемом НМЦ 45 864 397,20 ?</t>
  </si>
  <si>
    <t>82.92.10.000 Услуги по упаковыванию
32.40 Игры и игрушки
26.80.14.000 Карты магнитные
32.50.50.190 Изделия медицинские, в том числе хирургические, прочие, не включенные в другие группировки</t>
  </si>
  <si>
    <t>Сообщения о принятии решения о реорганизации от 20.01.2023</t>
  </si>
  <si>
    <t>"поставщики маркер", ".", "fk1", "все клиенты с выручкой от 1,8 млрд до бесконечности", "ФК клиенты с выручкой от 230 до бесконечности", "рейтинг заказчиков маркер", "производители", "это заказчик"</t>
  </si>
  <si>
    <t>ЗА 3 ГОДА ПО 223 ФЗ заключено 5 шт. с объемом НМЦ 50 084 435,77 ?</t>
  </si>
  <si>
    <t>Сообщения о принятии решения о реорганизации от 05.08.2021</t>
  </si>
  <si>
    <t>"223 за 3 года", ".", "fk1", "все клиенты с выручкой от 1,8 млрд до бесконечности"</t>
  </si>
  <si>
    <t>Юридическим лицом принято решение об изменении места нахождения от 22.06.2022</t>
  </si>
  <si>
    <t>10.86.10.139 Смеси молочные сухие прочие для детей раннего возраста
21.20.23.199 Средства нелечебные прочие
20.20.14.000 Средства дезинфекционные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t>
  </si>
  <si>
    <t>За весь период компания заключила  10 контрактов на сумму  641 846 467,95 ? За весь период заходили в конкурсы  30 раз на общую сумму обеспеченных контрактов с НМЦ 2 758 202 938,01 ? с БГУ  25 416 936,63 ? с БГИ 290 166 361,79 ? За 3 ГОДА по 44ФЗ заключено 3742 шт. с объемом НМЦ  10 651 560 107,58 ? с БГИ 1 050 090 962,90 ? с БГГО 5 205 790,26 ? с авансированием до 3 436 427,99 ? с комиссией банку 17 639 829,18 ? с кв 153 466,51 ? ЗА 1 ГОД по 44ФЗ заключено 1450 шт. c объемом НМЦ 4 584 688 878,27 ? с БГИ 445 920 437,38 ? с БГГО 79 843,70 ? с авансированием до  2 144 040,62 ? с комиссией банку  8 192 284,67 ? с кв 71 272,88 ? ЗА 3 ГОДА ПО 223 ФЗ заключено 105 шт. с объемом НМЦ 383 259 452,38 ? за 1 ГОД ПО 223ФЗ заключено 50  386 129 184,18 ?</t>
  </si>
  <si>
    <t>"223 за 3 года", "кл фт мсб бг 04.22", "кл фт агент бг 04.22", ".", "рейтинг поставщиков в маркере по бг", "Конкурсы 100+ (Восстановленный)", "fk1", "портфель", "клиенты от 100 млн", "действующие б не прям", "Одобренные но не выданные 1 полугодие 2021", "ФТ клиенты с продуктами по сотрудникам", "223 фз контракты 20+", "44 фз с с БГ от 10 млн", "рейтинг по нмц маркер", "поставщики маркер", "44 за 3 года"</t>
  </si>
  <si>
    <t>21.20.23.110 Реагенты диагностические
21.20.23.199 Средства нелечебные прочие
21 Средства лекарственные и материалы, применяемые в медицинских целях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t>
  </si>
  <si>
    <t>За весь период контрактов 30 шт. на общую сумму НМЦ 6 310 610 652,23 ?</t>
  </si>
  <si>
    <t>"223 за 3 года", ".", "рейтинг поставщиков в маркере по бг", "п6", "Конкурсы 100+ (Восстановленный)", "06.2022_ФинХД", "все клиенты с выручкой от 1,8 млрд до бесконечности", "44 фз с с БГ от 10 млн", "рейтинг заказчиков маркер", "рейтинг по нмц маркер", "это заказчик", "поставщики маркер", "44 за 3 года"</t>
  </si>
  <si>
    <t>19.20.21.341 Топливо дизельное межсезонное вне классов
19.20.32.119 Газы нефтяные прочие, не включенные в другие группировки
19.2 Нефтепродукты
19.20.21.124 Бензин автомобильный с октановым числом более 92, но не более 95 по исследовательскому методу экологического класса К4
19.20.21.321 Топливо дизельное зимнее вне классов
19.20.21.324 Топливо дизельное зимнее экологического класса К4
19.20.31.120 Бутан сжиженный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t>
  </si>
  <si>
    <t>За весь период заходили в конкурсы  2 раз на общую сумму обеспеченных контрактов с НМЦ 162 568 864,17 ? с БГУ  249 086,70 ? с БГИ 2 490 866,96 ? За 3 ГОДА по 44ФЗ заключено 719 шт. с объемом НМЦ  1 554 877 149,05 ? с БГИ 96 916 915,68 ? с БГГО 424 689,47 ? с авансированием до 17 303 267,53 ? с комиссией банку 1 018 164,28 ? с кв 8 858,03 ? ЗА 1 ГОД по 44ФЗ заключено 263 шт. c объемом НМЦ 742 478 127,79 ? с БГИ 43 090 779,64 ? с БГГО 0,00 ? с авансированием до  613 960,02 ? с комиссией банку  528 084,62 ? с кв 4 594,34 ? ЗА 3 ГОДА ПО 223 ФЗ заключено 135 шт. с объемом НМЦ 586 610 756,22 ? за 1 ГОД ПО 223ФЗ заключено 36  315 886 883,27 ?</t>
  </si>
  <si>
    <t>"223 за 3 года", ".", "рейтинг поставщиков в маркере по бг", "все клиенты с выручкой от 1,8 млрд до бесконечности", "223 фз контракты 20+", "поставщики маркер", "44 за 3 года"</t>
  </si>
  <si>
    <t>"все клиенты с выручкой от 1,8 млрд до бесконечности", ".", "06.2022_ФинХД"</t>
  </si>
  <si>
    <t>62.02.30 Услуги по технической поддержке информационных технологий
63.11.19.000 Услуги прочие по размещению и предоставлению инфраструктуры информационных технологий
62.01.11.000 Услуги по проектированию и разработке информационных технологий для прикладных задач и тестированию программного обеспечения
62.09.10.000 Услуги по установке компьютеров и периферийного оборудования</t>
  </si>
  <si>
    <t>ЗА 3 ГОДА ПО 223 ФЗ заключено 3 шт. с объемом НМЦ 20 346 281,42 ?</t>
  </si>
  <si>
    <t>"223 за 3 года", ".", "рейтинг по нмц маркер", "crm управления", "в crm за Самаром", "поставщики маркер", "44 за 3 года"</t>
  </si>
  <si>
    <t>28.11.2 Турбины
28.11.33.000 Части газовых турбин, кроме турбореактивных и турбовинтовых двигателей
28.11.23 Турбины газовые, кроме турбореактивных и турбовинтовых
42.22.23.900 Работы строительные по строительству электростанций, кроме атомных электростанций</t>
  </si>
  <si>
    <t>За весь период компания заключила  42 контрактов на сумму  57 871 982 327,21 ?                                     ЗА 3 ГОДА ПО 223 ФЗ заключено 2 шт. с объемом НМЦ 727 582 838,75 ?</t>
  </si>
  <si>
    <t>27.40.12.000 Лампы накаливания галогенные с вольфрамовой нитью, кроме ультрафиолетовых или инфракрасных ламп
20.59.52.199 Реагенты сложные диагностические или лабораторные прочие, не включенные в другие группировки
20.11.11.140 Азот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26.60.12.119 Аппараты электродиагностические прочие
33.12.12.000 Услуги по ремонту и техническому обслуживанию гидравлического и пневматического силового оборудования, кроме насосов, компрессоров, кранов и клапанов
33.12.29.900 Услуги по ремонту и техническому обслуживанию прочего оборудования специального назначения, не включенные в другие группировки
27.40.15.120 Лампы ультрафиолетовые
24.45.30.313 Изделия из индия ****</t>
  </si>
  <si>
    <t>За весь период заходили в конкурсы  13 раз на общую сумму обеспеченных контрактов с НМЦ 674 479 289,45 ? с БГУ  13 895 202,19 ? с БГИ 161 224 751,32 ? За 3 ГОДА по 44ФЗ заключено 5 шт. с объемом НМЦ  327 685 299,24 ? с БГИ 31 635 074,09 ? с БГГО 0,00 ? с авансированием до 29 108 000,00 ? с комиссией банку 889 242,89 ? с кв 7 736,41 ? ЗА 1 ГОД по 44ФЗ заключено 1 шт. c объемом НМЦ 145 540 000,00 ? с БГИ 29 108 000,00 ? с БГГО 0,00 ? с авансированием до  29 108 000,00 ? с комиссией банку  515 171,73 ? с кв 4 481,99 ?</t>
  </si>
  <si>
    <t>"223 за 3 года", ".", "рейтинг поставщиков в маркере по бг", "ГРАНДИОЗНЫЙ ПРОЕКТ", "Конкурсы 100+ (Восстановленный)", "все клиенты с выручкой от 1,8 млрд до бесконечности", "44 фз с с БГ от 10 млн", "производители", "рейтинг по нмц маркер", "поставщики маркер", "44 за 3 года"</t>
  </si>
  <si>
    <t>1 234</t>
  </si>
  <si>
    <t>21.20.23.199 Средства нелечебные прочие
21 Средства лекарственные и материалы, применяемые в медицинских целях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21.20.10.191 Препараты антибактериальные для системного использования
21.20.10.213 Иммуномодуляторы
21.20.10.116 Препараты противодиарейные, кишечные противовоспалительные и противомикробные
21.20.10.132 Гемостатики
21.20.10.143 Диуретики ****</t>
  </si>
  <si>
    <t>За весь период контрактов 7 шт. с общей суммой НМЦ 75 580 834,23 ? с БГУ 21500199,48 и БГИ 71 667 331,63 ?</t>
  </si>
  <si>
    <t>"223 за 3 года", ".", "рейтинг поставщиков в маркере по бг", "fk1", "клиенты с в от100млн 09.21", "все клиенты с выручкой от 1,8 млрд до бесконечности", "рейтинг по нмц маркер"</t>
  </si>
  <si>
    <t>28.92.1 Оборудование для добычи полезных ископаемых подземным способом
28.92.27 Экскаваторы и одноковшовые погрузчики самоходные прочие; прочие самоходные машины для добычи полезных ископаемых</t>
  </si>
  <si>
    <t>ЗА 3 ГОДА ПО 223 ФЗ заключено 4 шт. с объемом НМЦ 163 632 000,00 ?</t>
  </si>
  <si>
    <t>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33.12.12.000 Услуги по ремонту и техническому обслуживанию гидравлического и пневматического силового оборудования, кроме насосов, компрессоров, кранов и клапанов
33.12.2 Услуги по ремонту и техническому обслуживанию оборудования специального назначения
33.13 Услуги по ремонту электронного и оптического оборудования
33.13.1 Услуги по ремонту и техническому обслуживанию электронного и оптического оборудования
33.12.29.900 Услуги по ремонту и техническому обслуживанию прочего оборудования специального назначения, не включенные в другие группировки
33.12.1 Услуги по ремонту и техническому обслуживанию оборудования общего назначения
32.5 Инструменты и оборудование медицинские
32.50.41.110 Линзы контактные
33.14.19.000 Услуги по ремонту и техническому обслуживанию прочего профессионального электрического оборудования ****</t>
  </si>
  <si>
    <t>41.20.20.290 Здания нежилые, не включенные в другие группировки</t>
  </si>
  <si>
    <t>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26.51.53.190 Приборы и аппаратура для физического или химического анализа прочие, не включенные в другие группировки
33.13.19.000 Услуги по ремонту и техническому обслуживанию прочего профессионального электронного оборудования
26.51.53.120 Анализаторы жидкостей</t>
  </si>
  <si>
    <t>"44 за 3 года", ".", "ушедшие", "все клиенты с выручкой от 1,8 млрд до бесконечности", "поставщики маркер"</t>
  </si>
  <si>
    <t>20.15.32.000 Сульфат аммония
20.15.33.000 Нитрат аммония
20.15.71.000 Удобрения, содержащие три питательных элемента: азот, фосфор и калий
20.15.7 Удобрения, не включенные в другие группировки
20.15.74.000 Удобрения, содержащие два питательных элемента: азот и фосфор
20.15 Удобрения и соединения азотные</t>
  </si>
  <si>
    <t>"223 за 3 года", ".", "Участники клиринга", "рейтинг по нмц маркер", "поставщики маркер"</t>
  </si>
  <si>
    <t>80.20 Услуги систем обеспечения безопасности
46.51.1 Услуги по оптовой торговле компьютерами, компьютерными периферийными устройствами и программным обеспечением
62.03.1 Услуги по управлению компьютерным оборудованием
58.29.50 Услуги по предоставлению лицензий на право использовать компьютерное программное обеспечение
28.23.25.000 Части и принадлежности прочих офисных машин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46.51.10.110 Услуги по оптовой торговле компьютерами, компьютерными периферийными устройствами
62.01 Продукты программные и услуги по разработке и тестированию программного обеспечения
62.02.2 Услуги консультативные по вопросам систем и программному обеспечению ****</t>
  </si>
  <si>
    <t>За весь период компания заключила  28 контрактов на сумму  4 146 714 478,45 ? За весь период заходили в конкурсы  32 раз на общую сумму обеспеченных контрактов с НМЦ 2 124 588 121,66 ? с БГУ  87 084 110,35 ? с БГИ 627 829 534,74 ? За 3 ГОДА по 44ФЗ заключено 23 шт. с объемом НМЦ  789 838 948,91 ? с БГИ 170 495 368,14 ? с БГГО 19 268 142,39 ? с авансированием до 0,00 ? с комиссией банку 1 659 625,25 ? с кв 14 438,74 ? ЗА 1 ГОД по 44ФЗ заключено 8 шт. c объемом НМЦ 383 742 872,08 ? с БГИ 76 779 366,70 ? с БГГО 16 439 706,97 ? с авансированием до  0,00 ? с комиссией банку  1 108 167,97 ? с кв 9 641,06 ? ЗА 3 ГОДА ПО 223 ФЗ заключено 19 шт. с объемом НМЦ 208 280 039,95 ? за 1 ГОД ПО 223ФЗ заключено 3  13 656 240,00 ?</t>
  </si>
  <si>
    <t>32.50.13.190 Инструменты и приспособления, применяемые в медицинских целях, прочие, не включенные в другие группировки
21.20.24.120 Шовные материалы</t>
  </si>
  <si>
    <t>"поставщики маркер", ".", "fk1"</t>
  </si>
  <si>
    <t>58.29.5 Услуги по предоставлению лицензий на право использовать компьютерное программное обеспечение
62.01 Продукты программные и услуги по разработке и тестированию программного обеспечения
58.29 Услуги по изданию прочего программного обеспечения
62.0 Продукты программные и услуги по разработке программного обеспечения; консультационные и аналогичные услуги в области информационных технологий
62.02.20.110 Услуги по планированию и проектированию компьютерных систем
62.01.11.000 Услуги по проектированию и разработке информационных технологий для прикладных задач и тестированию программного обеспечения
62.09 Услуги в области информационных технологий прочие и компьютерные услуги
62.02.30.000 Услуги по технической поддержке информационных технологий</t>
  </si>
  <si>
    <t>ЗА 3 ГОДА ПО 223 ФЗ заключено 3 шт. с объемом НМЦ 44 801 473,50 ? за 1 ГОД ПО 223ФЗ заключено 3  63 120 303,50 ?</t>
  </si>
  <si>
    <t>Сообщения о принятии решения о реорганизации от 25.05.2020</t>
  </si>
  <si>
    <t>"223 за 3 года", ".", "fk1", "ИНН_договоры_октябрь_", "все клиенты с выручкой от 1,8 млрд до бесконечности", "223 фз контракты 20+", "рейтинг по нмц маркер", "поставщики маркер", "44 за 3 года"</t>
  </si>
  <si>
    <t>68.20.1 Услуги по сдаче в аренду (внаем) собственного или арендованного недвижимого имущества
33.12.11.000 Услуги по ремонту и техническому обслуживанию двигателей и турбин, кроме авиационных, автомобильных и мотоциклетных двигателей
33.12.29 Услуги по ремонту и техническому обслуживанию прочего оборудования специального назначения</t>
  </si>
  <si>
    <t>За весь период компания заключила  5 контрактов на сумму  4 601 496 964,71 ?</t>
  </si>
  <si>
    <t>"223 за 3 года", ".", "беники", "рейтинг заказчиков маркер", "рейтинг по нмц маркер", "это заказчик", "поставщики маркер"</t>
  </si>
  <si>
    <t>23.70.11.110 Мрамор обработанный и изделия из него (кроме брусчатки, камня бордюрного, плиты тротуарной, плит, блоков и аналогичных изделий)
31.09.12.119 Диваны, софы, кушетки с деревянным каркасом, трансформируемые в кровати, прочие
31.01.12.160 Мебель для сидения, преимущественно с деревянным каркасом
31.02.10.110 Столы кухонные
95.24.10.120 Услуги по сборке мебели на дому у заказчика, приобретенной им в торговой сети в разобранном виде</t>
  </si>
  <si>
    <t>10.41 Масла и жиры</t>
  </si>
  <si>
    <t>ЗА 3 ГОДА ПО 223 ФЗ заключено 2 шт. с объемом НМЦ 46 091 250,00 ? за 1 ГОД ПО 223ФЗ заключено 2  46 091 250,00 ?</t>
  </si>
  <si>
    <t>"223 за 3 года", ".", "223 фз контракты 20+", "это заказчик", "поставщики маркер"</t>
  </si>
  <si>
    <t>"в crm за Рябовым", "crm управления"</t>
  </si>
  <si>
    <t>"в crm за Рябовым", ".", "все клиенты с выручкой от 1,8 млрд до бесконечности", "производители", "crm управления"</t>
  </si>
  <si>
    <t>46.12.11.000 Услуги по оптовой торговле твердым, жидким и газообразным топливом и связанными продуктами за вознаграждение или на договорной основе
19.20.21.440 Топливо судовое с массовой долей серы не более 0,5 % с температурой вспышки в закрытом тигле не ниже 61 °C
19.20.21.310 Топливо дизельное летнее
19.20.21.400 Топливо судовое
19.20.21.315 Топливо дизельное летнее экологического класса К5
19.20.21.300 Топливо дизельное
19.20 Нефтепродукты</t>
  </si>
  <si>
    <t>За весь период компания заключила  6 контрактов на сумму  417 450 000,00 ? За весь период заходили в конкурсы  2 раз на общую сумму обеспеченных контрактов с НМЦ 49 973 233,60 ? с БГУ  499 732,34 ? с БГИ 4 997 323,36 ?                             ЗА 3 ГОДА ПО 223 ФЗ заключено 5 шт. с объемом НМЦ 263 450 000,00 ?</t>
  </si>
  <si>
    <t>"223 за 3 года", ".", "рейтинг поставщиков в маркере по бг", "выдали", "Участники клиринга", "производители", "рейтинг по нмц маркер"</t>
  </si>
  <si>
    <t>28.13.12.000 Насосы возвратно-поступательные объемного действия прочие для перекачки жидкостей
28.13.14.110 Насосы центробежные подачи жидкостей прочие
28.12.13.190 Насосы гидравлические прочие
25.61.2 Услуги по обработке металлов прочие
25.29.12.190 Емкости металлические для сжатых или сжиженных газов прочие, не включенные в другие группировки
28.99.39.190 Оборудование специального назначения прочее, не включенное в другие группировки
28.92.61.110 Комплектующие (запасные части) бурильных и проходческих машин, не имеющие самостоятельных группировок
28.13 Насосы и компрессоры прочие
28.13.14 Насосы центробежные подачи жидкостей прочие; насосы прочие
28.13.31.110 Комплектующие (запасные части) насосов, не имеющие самостоятельных группировок ****</t>
  </si>
  <si>
    <t>1 094</t>
  </si>
  <si>
    <t>За весь период компания заключила  9 контрактов на сумму  2 084 618 629,57 ?                                     ЗА 3 ГОДА ПО 223 ФЗ заключено 3 шт. с объемом НМЦ 223 917 801,52 ?</t>
  </si>
  <si>
    <t>"223 за 3 года", ".", "все клиенты с выручкой от 1,8 млрд до бесконечности", "производители", "рейтинг по нмц маркер", "44 за 3 года"</t>
  </si>
  <si>
    <t>86.90.19.140 Услуги санаторно-курортных организаций
23.20.1 Изделия огнеупорные
23.20.12.120 Блоки кроме изделий из кремнеземистой каменной муки или диатомитовых земель
68.10.12.000 Услуги по покупке и продаже недвижимости, находящейся в собственности на фиксированное время года</t>
  </si>
  <si>
    <t>"44 за 3 года", ".", "производители", "рейтинг по нмц маркер"</t>
  </si>
  <si>
    <t>Сообщения о принятии решения о реорганизации от 26.01.2022</t>
  </si>
  <si>
    <t>82.20 Услуги центров обработки телефонных вызовов</t>
  </si>
  <si>
    <t>3 609</t>
  </si>
  <si>
    <t>"поставщики маркер",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t>
  </si>
  <si>
    <t>"ФТ клиенты с продуктами по сотрудникам", "кл фт ФК БГ 04.22", ".", "fk1", "ПОС на 01.02.2023", "ПОС на 03.04.2023", "Кредитный портфель_01.11", "корп 1",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t>
  </si>
  <si>
    <t>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26.2 Компьютеры и периферийное оборудование
26.30 Оборудование коммуникационное
26.20.40.190 Комплектующие и запасные части для вычислительных машин прочие, не включенные в другие группировки
26.30.22.000 Аппараты телефонные для сотовых сетей связи или для прочих беспроводных сетей
26.30.11 Аппаратура коммуникационная передающая с приемными устройствами</t>
  </si>
  <si>
    <t>За весь период компания заключила  2 контрактов на сумму  873 074 354,45 ?</t>
  </si>
  <si>
    <t>08.12.12.110 Гранулы каменные, крошка и порошок
08.12.12.140 Щебень
08.11.11.190 Камень известняковый для памятников или строительства прочий
08.12.11.130 Пески строительные</t>
  </si>
  <si>
    <t>ЗА 3 ГОДА ПО 223 ФЗ заключено 1 шт. с объемом НМЦ 123 021 500,00 ?</t>
  </si>
  <si>
    <t>"223 за 3 года", ".", "crm управления", "crm Пител", "поставщики маркер", "44 за 3 года"</t>
  </si>
  <si>
    <t>На 20.09.2022 13:05 имеются действующие решения ФНС о приостановлении операций по счетам</t>
  </si>
  <si>
    <t>70.22.30.000 Услуги консультативные прочие в области предпринимательства
69.1 Услуги юридические
69.20.1 Услуги по проведению финансового аудита
72.19.50.000 Работы оригинальные научных исследований и экспериментальных разработок в области естественных и технических наук, кроме биотехнологии
73.20.19.000 Услуги по исследованию конъюнктуры рынка прочие
74.90.12.126 Услуги по установлению рыночной или иной стоимости иных объектов гражданских прав, в отношении которых законодательством Российской Федерации установлена возможность их участия в гражданском обороте
64.30.10.000 Услуги инвестиционных фондов и аналогичных финансовых организаций
62.03.1 Услуги по управлению компьютерным оборудованием
71.20.19 Услуги по техническим испытаниям и анализу прочие
71 Услуги в области архитектуры и инженерно-технического проектирования, технических испытаний, исследований и анализа ****</t>
  </si>
  <si>
    <t>1 080</t>
  </si>
  <si>
    <t>За весь период компания заключила  35 контрактов на сумму  3 666 391 325,21 ? За весь период заходили в конкурсы  10 раз на общую сумму обеспеченных контрактов с НМЦ 756 488 000,01 ? с БГУ  45 418 051,34 ? с БГИ 257 587 885,40 ?                             ЗА 3 ГОДА ПО 223 ФЗ заключено 36 шт. с объемом НМЦ 714 312 631,06 ? за 1 ГОД ПО 223ФЗ заключено 9  27 263 933,33 ?</t>
  </si>
  <si>
    <t>2 393</t>
  </si>
  <si>
    <t>за 1 ГОД ПО 223ФЗ заключено 2  12 000 000,00 ?</t>
  </si>
  <si>
    <t>"223 за 3 года", ".", "Гарантии_КИБ_31.03.22_Гиб._", "ПОС на 01.02.2023", "06.2022_ФинХД", "все клиенты с выручкой от 1,8 млрд до бесконечности", "клиенты от 100 млн", "поставщики маркер"</t>
  </si>
  <si>
    <t>20.59.42.120 Присадки к топливу
19.20.25.112 Топливо для реактивных двигателей летательных аппаратов с дозвуковой скоростью полета марки ТС-1</t>
  </si>
  <si>
    <t>29.32.30.390 Части и принадлежности для автотранспортных средств прочие, не включенные в другие группировки
28.22.18.390 Оборудование подъемно-транспортное и погрузочно-разгрузочное прочее, не включенное в другие группировки
29.32 Комплектующие и принадлежности для автотранспортных средств прочие</t>
  </si>
  <si>
    <t>Сообщение кредитора о намерении обратиться в суд с заявлением о банкротстве от 06.09.2021</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</si>
  <si>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71.12.20.190 Услуги по руководству строительными проектами прочие
42.11.10.120 Дороги автомобильные, в том числе улично-дорожная сеть, и прочие автомобильные и пешеходные дороги
71.12.20.110 Услуги заказчика-застройщика, генерального подрядчика
42.99.19.190 Сооружения гражданские прочие, не включенные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42.11.10.129 Дороги автомобильные, в том числе улично-дорожная сеть, и прочие автомобильные и пешеходные дороги,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</si>
  <si>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За весь период компания заключила  49 контрактов на сумму  24 611 881 959,75 ? За весь период заходили в конкурсы  139 раз на общую сумму обеспеченных контрактов с НМЦ 37 525 369 342,84 ? с БГУ  1 340 220 699,29 ? с БГИ 8 214 671 531,43 ? За 3 ГОДА по 44ФЗ заключено 84 шт. с объемом НМЦ  13 661 051 763,86 ? с БГИ 3 040 603 413,69 ? с БГГО 619 719 125,66 ? с авансированием до 67 865 658 264,65 ? с комиссией банку 64 770 732,28 ? с кв 563 505,37 ? ЗА 1 ГОД по 44ФЗ заключено 16 шт. c объемом НМЦ 3 431 038 347,07 ? с БГИ 978 280 171,05 ? с БГГО 106 637 498,29 ? с авансированием до  458 320 326,00 ? с комиссией банку  30 959 287,45 ? с кв 269 345,80 ?</t>
  </si>
  <si>
    <t>"44 за 3 года", "кл фт прямые бг 04.22", "кл фт агент бг 04.22", "свод фт", ".", "рейтинг поставщиков в маркере по бг", "УПП на 2 номер", "Конкурсы 100+ (Восстановленный)", "Агентские отказ из-за непред-я док-ов", "fk1", "кредиты фт", "клиенты управления по БГ без открытых счетов", "Пункт 3.1 09.01.2023", "корп 1", "Премия 4 кв 22 г.бг", "ПСБ Гарантии ", "лимит сит по кредитам", "все клиенты с выручкой от 1,8 млрд до бесконечности", "портфель",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"БизФин", "44 фз с с БГ от 10 млн", "рейтинг по нмц маркер", "на фт заводил Синяев", "на фт заводил Середин", "на фт заводил Микульшин", "поставщики маркер"</t>
  </si>
  <si>
    <t>Заказчик разыгравший 6 конкурсов на сумму  547 132 501,98 ?</t>
  </si>
  <si>
    <t>"ФК клиенты с выручкой от 230 до бесконечности", ".", "fk1", "06.2022_ФинХД", "Действующий клиент мсб с выр от 30 млн на 05.21", "все клиенты с выручкой от 1,8 млрд до бесконечности"</t>
  </si>
  <si>
    <t>20.59 Продукты химические прочие, не включенные в другие группировки
21.20.23.110 Реагенты диагностические
21.20.23.113 Средства радиофармацевтические диагностические
20.59.52.199 Реагенты сложные диагностические или лабораторные прочие, не включенные в другие группировки
26.20.18.000 Устройства периферийные с двумя или более функциями: печать данных, копирование, сканирование, прием и передача факсимильных сообщений
26.60.11.121 Аппаратура стерилизационная, основанная на использовании альфа-, бета- или гамма-излучений, применяемая в медицинских целях
32.50.13.190 Инструменты и приспособления, применяемые в медицинских целях, прочие, не включенные в другие группировки
26.51.53.141 Анализаторы для диагностики in vitro
20.59.52.194 Реактивы химические общелабораторного назначения
26.51.53.150 Приборы и аппаратура для спектрального анализа, основанные на действии оптического излучения (ультрафиолетового, видимой части спектра, инфракрасного) ****</t>
  </si>
  <si>
    <t>За весь период заходили в конкурсы  1 раз на общую сумму обеспеченных контрактов с НМЦ 49 634 970,40 ? с БГУ  496 349,70 ? с БГИ 4 963 497,04 ? За 3 ГОДА по 44ФЗ заключено 416 шт. с объемом НМЦ  871 923 247,28 ? с БГИ 83 957 078,39 ? с БГГО 5 876 620,45 ? с авансированием до 20 031 865,42 ? с комиссией банку 928 838,23 ? с кв 8 080,89 ? ЗА 1 ГОД по 44ФЗ заключено 163 шт. c объемом НМЦ 319 336 468,98 ? с БГИ 31 433 184,13 ? с БГГО 1 402 255,51 ? с авансированием до  9 131 909,92 ? с комиссией банку  424 759,44 ? с кв 3 695,41 ? ЗА 3 ГОДА ПО 223 ФЗ заключено 50 шт. с объемом НМЦ 52 026 066,58 ?</t>
  </si>
  <si>
    <t>"223 за 3 года", ".", "рейтинг поставщиков в маркере по бг", "fk1", "клиенты с в от100млн 09.21", "все клиенты с выручкой от 1,8 млрд до бесконечности", "поставщики маркер", "44 за 3 года"</t>
  </si>
  <si>
    <t>27.51.13.120 Машины сушильные бытовые
27.51.2 Приборы бытовые электрические прочие, не включенные в другие группировки
27.51.24 Приборы электронагревательные прочие
28.25.13.111 Шкафы холодильные
28.25.14.111 Фильтры для очистки воздуха
15.12.12.191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28.93.17.210 Оборудование для переработки чая или кофе
25.73.60.190 Инструмент прочий, не включенный в другие группировки
28.94.40.000 Машины швейные бытовые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t>
  </si>
  <si>
    <t>ЗА 3 ГОДА ПО 223 ФЗ заключено 211 шт. с объемом НМЦ 86 187 312,47 ? за 1 ГОД ПО 223ФЗ заключено 59  20 729 298,15 ?</t>
  </si>
  <si>
    <t>"223 за 3 года", ".", "06.2022_ФинХД", "все клиенты с выручкой от 1,8 млрд до бесконечности", "производители", "это заказчик", "поставщики маркер", "44 за 3 года"</t>
  </si>
  <si>
    <t>Сообщения о принятии решения о реорганизации от 08.10.2020</t>
  </si>
  <si>
    <t>02.20.11.119 Бревна прочих хвойных пород для распиловки и строгания
02.40.10.121 Услуги по рубке (валке) леса
02.20.11.115 Бревна пихтовые для распиловки и строгания</t>
  </si>
  <si>
    <t>"44 за 3 года", ".", "Участники клиринга", "это заказчик"</t>
  </si>
  <si>
    <t>28.12.14.111 Гидроклапаны давления
26.30.50.121 Извещатели пожарные
23.64.10.110 Смеси строительные
24.10.62.210 Сталь арматурная</t>
  </si>
  <si>
    <t>Скоринг пройден</t>
  </si>
  <si>
    <t>"44 за 3 года", "свод фт", ".", "инн Вавилова", "клиент металлинвеста", "fk1", "закрыли счет", "клиенты с в от100млн 09.21", "все клиенты с выручкой от 1,8 млрд до бесконечности", "ФК клиенты с выручкой от 230 до бесконечности", "производители", "на фт заводил Пейсахова"</t>
  </si>
  <si>
    <t>Заказчик разыгравший 29 конкурсов на сумму  5 399 776 919,90 ?</t>
  </si>
  <si>
    <t>"это заказчик", ".", "fk1", "лимит сит по кредитам", "Пустые_Клиенты", "рейтинг заказчиков маркер"</t>
  </si>
  <si>
    <t>46 Услуги по оптовой торговле, кроме оптовой торговли автотранспортными средствами и мотоциклами
31.01.11.150 Мебель для сидения, преимущественно с металлическим каркасом</t>
  </si>
  <si>
    <t>"это заказчик",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</si>
  <si>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62.01 Продукты программные и услуги по разработке и тестированию программного обеспечения</t>
  </si>
  <si>
    <t>За весь период компания заключила  2 контрактов на сумму  461 347 161,08 ?</t>
  </si>
  <si>
    <t>За весь период контрактов 3 шт. с общей суммой НМЦ 711 688 752,08 ? с БГУ 35660973,44 и БГИ 71 321 946,86 ?</t>
  </si>
  <si>
    <t>"44 за 3 года", ".", "рейтинг поставщиков в маркере по бг", "это заказчик", "поставщики маркер"</t>
  </si>
  <si>
    <t>29.10.30.190 Средства автотранспортные пассажирские с числом мест для сидения не менее 10 прочие
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36.00.20.110 Услуги по очистке и подготовке воды для водоснабжения
35.30.11.120 Энергия тепловая, отпущенная котельными
35.30.11.111 Энергия тепловая, отпущенная тепловыми электроцентралями (ТЭЦ)
81.29.11.000 Услуги по дезинфекции, дезинсекции и дератизации
52.21.29.000 Услуги, связанные с автомобильным транспортом, прочие
35.11.10.116 Электроэнергия, произведенная гидроэлектростанциями (ГЭС) общего назначения
29.10.59.390 Средства автотранспортные специального назначения прочие, не включенные в другие группировки ****</t>
  </si>
  <si>
    <t>ЗА 3 ГОДА ПО 223 ФЗ заключено 4 шт. с объемом НМЦ 32 589 605,16 ? за 1 ГОД ПО 223ФЗ заключено 3  22 789 761,50 ?</t>
  </si>
  <si>
    <t>Сообщение кредитора о намерении обратиться в суд с заявлением о банкротстве от 24.08.2021</t>
  </si>
  <si>
    <t>"поставщики маркер", "свод фт", ".", "Премия 4 кв 22 г3рко.", "fk1", "кредиты фт", "портфель 31.10.2021_10 тыс_проверка", "лимит сит по кредитам", "все клиенты с выручкой от 1,8 млрд до бесконечности", "рейтинг по нмц маркер", "на фт заводил Чимров", "на фт заводил Адеев", "crm управления", "в crm за Чимровым"</t>
  </si>
  <si>
    <t>1 852</t>
  </si>
  <si>
    <t>За весь период контрактов 28 шт. на общую сумму НМЦ 98 972 612 555,97 ?</t>
  </si>
  <si>
    <t>"44 за 3 года", ".", "рейтинг поставщиков в маркере по бг", "ГРАНДИОЗНЫЙ ПРОЕКТ", "Конкурсы 100+ (Восстановленный)", "fk1", "инн Красносельская", "корп 2",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t>
  </si>
  <si>
    <t>1 021</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</si>
  <si>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42.13.10.110 Мосты и путепроводы из любых материалов для всех типов сухопутного транспорта и для пешеходов
42.11.10.120 Дороги автомобильные, в том числе улично-дорожная сеть, и прочие автомобильные и пешеходные дороги
42.21.21.000 Работы строительные по прокладке магистральных трубопроводов
42.13.20.100 Работы строительные по строительству мостов и тоннелей, кроме работ по сохранению и воссозданию объектов культурного наследия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t>
  </si>
  <si>
    <t>2 290</t>
  </si>
  <si>
    <t>За весь период компания заключила  71 контрактов на сумму  240 432 232 729,69 ? За весь период заходили в конкурсы  98 раз на общую сумму обеспеченных контрактов с НМЦ 146 788 262 909,02 ? с БГУ  5 261 486 324,36 ? с БГИ 22 743 447 064,74 ? За 3 ГОДА по 44ФЗ заключено 12 шт. с объемом НМЦ  21 339 938 296,34 ? с БГИ 2 896 711 953,54 ? с БГГО 51 102 319,84 ? с авансированием до 1 621 328 649,50 ? с комиссией банку 64 425 059,25 ? с кв 560 498,02 ? ЗА 1 ГОД по 44ФЗ заключено 7 шт. c объемом НМЦ 1 903 164 155,06 ? с БГИ 190 316 415,50 ? с БГГО 109 399,00 ? с авансированием до  112 647 147,80 ? с комиссией банку  2 785 989,13 ? с кв 24 238,11 ?</t>
  </si>
  <si>
    <t>"44 за 3 года", ".", "рейтинг поставщиков в маркере по бг", "выдали", "ГРАНДИОЗНЫЙ ПРОЕКТ", "Конкурсы 100+ (Восстановленный)", "fk1",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заказчиков маркер", "производители", "рейтинг по нмц маркер", "это заказчик", "поставщики маркер"</t>
  </si>
  <si>
    <t>За весь период компания заключила  6 контрактов на сумму  346 962 864,70 ?</t>
  </si>
  <si>
    <t>1 223</t>
  </si>
  <si>
    <t>Сообщение кредитора о намерении обратиться в суд с заявлением о банкротстве от 28.01.2020</t>
  </si>
  <si>
    <t>1 101</t>
  </si>
  <si>
    <t>ПОС на 03.04.2812</t>
  </si>
  <si>
    <t>Сообщение кредитора о намерении обратиться в суд с заявлением о банкротстве от 11.04.2023</t>
  </si>
  <si>
    <t>"все клиенты с выручкой от 1,8 млрд до бесконечности", ".", "fk1", "инн Красносельская", "ПОС на 01.02.2023", "ПОС на 03.04.2023", "Кредитный портфель_01.11", "06.2022_ФинХД"</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</si>
  <si>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42.11.10.121 Дорога автомобильная с усовершенствованным капитальным типом дорожного покрытия
42.11.10.122 Дорога автомобильная с усовершенствованным облегченным или переходным типом дорожного покрытия</t>
  </si>
  <si>
    <t>За весь период компания заключила  38 контрактов на сумму  31 875 389 866,48 ? За весь период заходили в конкурсы  72 раз на общую сумму обеспеченных контрактов с НМЦ 37 971 158 540,15 ? с БГУ  1 972 818 743,30 ? с БГИ 9 634 515 849,33 ? За 3 ГОДА по 44ФЗ заключено 15 шт. с объемом НМЦ  5 224 031 141,33 ? с БГИ 977 547 850,35 ? с БГГО 44 698 256,99 ? с авансированием до 557 784 714,22 ? с комиссией банку 28 808 962,75 ? с кв 250 637,98 ? ЗА 1 ГОД по 44ФЗ заключено 4 шт. c объемом НМЦ 1 660 746 560,69 ? с БГИ 355 925 060,00 ? с БГГО 6 177 074,68 ? с авансированием до  45 334 237,99 ? с комиссией банку  12 193 966,64 ? с кв 106 087,51 ?</t>
  </si>
  <si>
    <t>"44 за 3 года", "свод фт", ".", "рейтинг поставщиков в маркере по бг", "ГРАНДИОЗНЫЙ ПРОЕКТ", "Конкурсы 100+ (Восстановленный)", "fk1", "Одобренные но не выданные 1 полугодие 2021", "44 фз с с БГ от 10 млн", "производители", "рейтинг по нмц маркер", "на фт заводил Егоров ", "crm управления", "в crm за Муслимом",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</si>
  <si>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52.21.23.000 Услуги по эксплуатации мостов и тоннелей</t>
  </si>
  <si>
    <t>За весь период компания заключила  25 контрактов на сумму  18 587 997 877,83 ? За весь период заходили в конкурсы  71 раз на общую сумму обеспеченных контрактов с НМЦ 17 804 279 194,10 ? с БГУ  1 277 017 086,29 ? с БГИ 4 561 788 019,44 ? За 3 ГОДА по 44ФЗ заключено 28 шт. с объемом НМЦ  4 168 857 358,70 ? с БГИ 390 394 530,65 ? с БГГО 21 372 610,62 ? с авансированием до 0,00 ? с комиссией банку 7 855 184,37 ? с кв 68 340,10 ? ЗА 1 ГОД по 44ФЗ заключено 8 шт. c объемом НМЦ 642 909 237,00 ? с БГИ 64 290 923,70 ? с БГГО 0,00 ? с авансированием до  0,00 ? с комиссией банку  667 041,58 ? с кв 5 803,26 ?</t>
  </si>
  <si>
    <t>"44 за 3 года", ".", "Участники клиринга", "рейтинг заказчиков маркер", "производители", "это заказчик"</t>
  </si>
  <si>
    <t>10.41.24.000 Масло подсолнечное и его фракции нерафинированные
10.41 Масла и жиры
10.4 Масла и жиры животные и растительные</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</si>
  <si>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41.20.40.900 Работы строительные по возведению нежилых зданий и сооружений прочие, не включенные в другие группировки
42.11.10.120 Дороги автомобильные, в том числе улично-дорожная сеть, и прочие автомобильные и пешеходные дороги
42.99 Сооружения и строительные работы по строительству прочих гражданских сооружений, не включенных в другие группировки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</si>
  <si>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56 контрактов на сумму  69 967 413 828,05 ? За весь период заходили в конкурсы  86 раз на общую сумму обеспеченных контрактов с НМЦ 67 087 155 502,37 ? с БГУ  3 434 930 273,88 ? с БГИ 13 487 013 125,31 ? За 3 ГОДА по 44ФЗ заключено 15 шт. с объемом НМЦ  16 762 606 650,00 ? с БГИ 1 663 773 294,00 ? с БГГО 178 835 426,95 ? с авансированием до 1 260 761 459,00 ? с комиссией банку 60 161 995,37 ? с кв 523 409,36 ? ЗА 1 ГОД по 44ФЗ заключено 4 шт. c объемом НМЦ 7 786 606 843,00 ? с БГИ 743 755 021,30 ? с БГГО 0,00 ? с авансированием до  1 095 794 608,00 ? с комиссией банку  35 061 016,90 ? с кв 305 030,85 ?     за 1 ГОД ПО 223ФЗ заключено 3  7 636 660,00 ?</t>
  </si>
  <si>
    <t>"223 за 3 года", "свод фт", ".", "рейтинг поставщиков в маркере по бг", "ГРАНДИОЗНЫЙ ПРОЕКТ", "Конкурсы 100+ (Восстановленный)", "fk1", "Кредитный портфель_01.11", "корп 1", "06.2022_ФинХД", "все клиенты с выручкой от 1,8 млрд до бесконечности", "клиенты от 100 млн", "Обороты по клиентам по кварталам (2022г)", "44 фз с с БГ от 10 млн", "рейтинг по нмц маркер", "на фт заводил Данченко",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</si>
  <si>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42.99.12.124 Территории парковые и парки для отдыха
42.11.10.120 Дороги автомобильные, в том числе улично-дорожная сеть, и прочие автомобильные и пешеходные дороги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</si>
  <si>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34 контрактов на сумму  27 624 779 369,82 ? За весь период заходили в конкурсы  104 раз на общую сумму обеспеченных контрактов с НМЦ 32 820 899 336,11 ? с БГУ  1 812 170 637,25 ? с БГИ 6 926 391 202,04 ? За 3 ГОДА по 44ФЗ заключено 24 шт. с объемом НМЦ  4 271 630 316,93 ? с БГИ 788 495 113,95 ? с БГГО 22 721 211,14 ? с авансированием до 231 868 038,60 ? с комиссией банку 10 894 520,36 ? с кв 94 782,33 ? ЗА 1 ГОД по 44ФЗ заключено 5 шт. c объемом НМЦ 1 603 108 147,80 ? с БГИ 170 905 693,94 ? с БГГО 1 705 038,00 ? с авансированием до  141 395 888,20 ? с комиссией банку  1 675 713,66 ? с кв 14 578,71 ?</t>
  </si>
  <si>
    <t>Сообщение кредитора о намерении обратиться в суд с заявлением о банкротстве от 22.12.2015</t>
  </si>
  <si>
    <t>"44 за 3 года", ".", "рейтинг поставщиков в маркере по бг", "ГРАНДИОЗНЫЙ ПРОЕКТ", "все клиенты с выручкой от 1,8 млрд до бесконечности", "Одобренные но не выданные 1 полугодие 2021", "44 фз с с БГ от 10 млн", "производители", "рейтинг по нмц маркер", "поставщики маркер"</t>
  </si>
  <si>
    <t>19.20.21.332 Топливо дизельное арктическое экологического класса К2
19.20.21.341 Топливо дизельное межсезонное вне классов
19.20.21.124 Бензин автомобильный с октановым числом более 92, но не более 95 по исследовательскому методу экологического класса К4
19.20.21.321 Топливо дизельное зимнее вне классов
19.20.21.324 Топливо дизельное зимнее экологического класса К4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19.20.21.334 Топливо дизельное арктическое экологического класса К4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t>
  </si>
  <si>
    <t>За весь период заходили в конкурсы  10 раз на общую сумму обеспеченных контрактов с НМЦ 983 239 889,14 ? с БГУ  9 832 312,00 ? с БГИ 82 555 120,00 ? За 3 ГОДА по 44ФЗ заключено 322 шт. с объемом НМЦ  1 483 897 857,18 ? с БГИ 99 743 778,88 ? с БГГО 18 402,22 ? с авансированием до 461 361,78 ? с комиссией банку 868 340,59 ? с кв 7 554,56 ? ЗА 1 ГОД по 44ФЗ заключено 106 шт. c объемом НМЦ 592 350 731,85 ? с БГИ 35 515 959,95 ? с БГГО 0,00 ? с авансированием до  458 136,78 ? с комиссией банку  492 652,89 ? с кв 4 286,08 ?</t>
  </si>
  <si>
    <t>"223 за 3 года", ".", "рейтинг поставщиков в маркере по бг", "44 фз с с БГ от 10 млн", "рейтинг по нмц маркер", "поставщики маркер", "44 за 3 года"</t>
  </si>
  <si>
    <t>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23.99.13.111 Смеси асфальтобетонные дорожные, аэродромные и асфальтобетон горячие щебеночные
42.11.10.120 Дороги автомобильные, в том числе улично-дорожная сеть, и прочие автомобильные и пешеходные дороги
42.11.10.140 Стоянки автомобильные с твердым покрытием
42.11.10.129 Дороги автомобильные, в том числе улично-дорожная сеть, и прочие автомобильные и пешеходные дороги, не включенные в другие группировки</t>
  </si>
  <si>
    <t>1 026</t>
  </si>
  <si>
    <t>За весь период компания заключила  12 контрактов на сумму  1 658 968 859,48 ? За весь период заходили в конкурсы  23 раз на общую сумму обеспеченных контрактов с НМЦ 2 971 561 047,26 ? с БГУ  102 841 829,40 ? с БГИ 813 790 758,18 ? За 3 ГОДА по 44ФЗ заключено 32 шт. с объемом НМЦ  1 252 658 662,64 ? с БГИ 322 973 641,58 ? с БГГО 16 717 693,72 ? с авансированием до 235 231 972,10 ? с комиссией банку 4 960 180,62 ? с кв 43 153,57 ? ЗА 1 ГОД по 44ФЗ заключено 8 шт. c объемом НМЦ 515 915 494,62 ? с БГИ 162 288 491,39 ? с БГГО 2 137 031,00 ? с авансированием до  160 582 495,89 ? с комиссией банку  3 591 332,28 ? с кв 31 244,59 ?</t>
  </si>
  <si>
    <t>"223 за 3 года", ".", "рейтинг поставщиков в маркере по бг", "ГРАНДИОЗНЫЙ ПРОЕКТ", "Конкурсы 100+ (Восстановленный)", "все клиенты с выручкой от 1,8 млрд до бесконечности", "44 фз с с БГ от 10 млн", "рейтинг по нмц маркер", "это заказчик", "поставщики маркер", "44 за 3 года"</t>
  </si>
  <si>
    <t>Заказчик разыгравший 16 конкурсов на сумму  5 093 048 010,22 ?</t>
  </si>
  <si>
    <t>Сообщение кредитора о намерении обратиться в суд с заявлением о банкротстве от 24.03.2022</t>
  </si>
  <si>
    <t>"поставщики маркер", ".", "беники", "fk1", "Кредитный портфель_01.11", "06.2022_ФинХД", "все клиенты с выручкой от 1,8 млрд до бесконечности", "ФК клиенты с выручкой от 230 до бесконечности", "клиенты от 100 млн", "рейтинг заказчиков маркер", "это заказчик"</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</si>
  <si>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42.11.10.120 Дороги автомобильные, в том числе улично-дорожная сеть, и прочие автомобильные и пешеходные дороги
42.13.20.100 Работы строительные по строительству мостов и тоннелей, кроме работ по сохранению и воссозданию объектов культурного наследия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39.00.22.000 Услуги по рекультивации прочие
52.21.23.000 Услуги по эксплуатации мостов и тоннелей</t>
  </si>
  <si>
    <t>За весь период компания заключила  40 контрактов на сумму  58 642 911 255,81 ? За весь период заходили в конкурсы  65 раз на общую сумму обеспеченных контрактов с НМЦ 62 936 037 149,56 ? с БГУ  2 013 913 612,71 ? с БГИ 7 312 131 277,63 ? За 3 ГОДА по 44ФЗ заключено 16 шт. с объемом НМЦ  24 858 310 674,64 ? с БГИ 1 554 736 923,14 ? с БГГО 287 174 999,72 ? с авансированием до 31 787 071 841,68 ? с комиссией банку 93 345 712,47 ? с кв 812 107,70 ? ЗА 1 ГОД по 44ФЗ заключено 6 шт. c объемом НМЦ 6 568 951 162,00 ? с БГИ 656 895 116,20 ? с БГГО 65 689 512,00 ? с авансированием до  3 166 554 196,20 ? с комиссией банку  38 191 828,61 ? с кв 332 268,91 ? ЗА 3 ГОДА ПО 223 ФЗ заключено 2 шт. с объемом НМЦ 310 208 566,80 ? за 1 ГОД ПО 223ФЗ заключено 2  310 208 566,80 ?</t>
  </si>
  <si>
    <t>"223 за 3 года", ".", "рейтинг поставщиков в маркере по бг", "ГРАНДИОЗНЫЙ ПРОЕКТ", "Конкурсы 100+ (Восстановленный)", "все клиенты с выручкой от 1,8 млрд до бесконечности", "223 фз контракты 20+", "44 фз с с БГ от 10 млн", "производители", "рейтинг по нмц маркер",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</si>
  <si>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42.91.20.190 Работы строительные и ремонтные, связанные с прочими водными сооружениями и работы по ремонту всех вышеуказанных сооружений
42.99.12.124 Территории парковые и парки для отдыха
42.11.10.120 Дороги автомобильные, в том числе улично-дорожная сеть, и прочие автомобильные и пешеходные дороги
42.13.20.100 Работы строительные по строительству мостов и тоннелей, кроме работ по сохранению и воссозданию объектов культурного наследия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</si>
  <si>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45 контрактов на сумму  19 142 728 303,09 ? За весь период заходили в конкурсы  115 раз на общую сумму обеспеченных контрактов с НМЦ 28 804 431 946,90 ? с БГУ  1 391 066 440,80 ? с БГИ 5 283 894 480,43 ? За 3 ГОДА по 44ФЗ заключено 87 шт. с объемом НМЦ  17 703 070 891,23 ? с БГИ 2 880 010 617,70 ? с БГГО 61 683 324,50 ? с авансированием до 2 370 900 286,52 ? с комиссией банку 23 160 301,88 ? с кв 201 494,63 ? ЗА 1 ГОД по 44ФЗ заключено 46 шт. c объемом НМЦ 10 167 718 286,87 ? с БГИ 1 904 333 162,79 ? с БГГО 18 887 156,43 ? с авансированием до  1 981 975 949,34 ? с комиссией банку  23 890 003,95 ? с кв 207 843,03 ?</t>
  </si>
  <si>
    <t>"44 за 3 года", "кл фт агент бг 04.22", ".", "рейтинг поставщиков в маркере по бг", "ГРАНДИОЗНЫЙ ПРОЕКТ", "Конкурсы 100+ (Восстановленный)", "Агентские отказ из-за непред-я док-ов", "fk1", "все клиенты с выручкой от 1,8 млрд до бесконечности", "портфель",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"БизФин", "44 фз с с БГ от 10 млн", "рейтинг по нмц маркер",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</si>
  <si>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42.91.20.190 Работы строительные и ремонтные, связанные с прочими водными сооружениями и работы по ремонту всех вышеуказанных сооружений
43.99.90.190 Работы строительные специализированные прочие, не включенные в другие группировки
42.13.20.200 Работы по сохранению и воссозданию мостов и тоннелей, являющихся объектами культурного наследия
42.99.12.124 Территории парковые и парки для отдыха
41.20.40.900 Работы строительные по возведению нежилых зданий и сооружений прочие, не включенные в другие группировки
42.21.13.126 Сооружение очистное канализации
41.20.20.330 Сооружения химических предприятий
42.11.10.120 Дороги автомобильные, в том числе улично-дорожная сеть, и прочие автомобильные и пешеходные дороги
42.11.10.159 Дороги подъездные, транспортные и пешеходные путепроводы над и под дорогой, велосипедные дорожки прочие ****</t>
  </si>
  <si>
    <t>2 019</t>
  </si>
  <si>
    <t>За весь период компания заключила  123 контрактов на сумму  156 109 122 969,67 ? За весь период заходили в конкурсы  282 раз на общую сумму обеспеченных контрактов с НМЦ 171 642 799 511,97 ? с БГУ  7 614 580 571,17 ? с БГИ 24 108 806 605,50 ? За 3 ГОДА по 44ФЗ заключено 66 шт. с объемом НМЦ  10 059 203 923,67 ? с БГИ 1 666 201 969,31 ? с БГГО 221 505 335,88 ? с авансированием до 1 007 826 623,08 ? с комиссией банку 19 240 125,47 ? с кв 167 389,09 ? ЗА 1 ГОД по 44ФЗ заключено 13 шт. c объемом НМЦ 2 513 846 178,84 ? с БГИ 466 219 832,31 ? с БГГО 86 108 619,17 ? с авансированием до  322 252 821,63 ? с комиссией банку  5 498 870,83 ? с кв 47 840,18 ? ЗА 3 ГОДА ПО 223 ФЗ заключено 5 шт. с объемом НМЦ 83 450 240,00 ?</t>
  </si>
  <si>
    <t>Сообщение кредитора о намерении обратиться в суд с заявлением о банкротстве от 01.02.2022</t>
  </si>
  <si>
    <t>"223 за 3 года", "свод фт", ".", "рейтинг поставщиков в маркере по бг", "ГРАНДИОЗНЫЙ ПРОЕКТ", "Конкурсы 100+ (Восстановленный)", "Агентские отказ из-за непред-я док-ов", "райф",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"44 фз с с БГ от 10 млн", "производители", "рейтинг по нмц маркер", "на фт заводил Юмагужин", "поставщики маркер", "44 за 3 года"</t>
  </si>
  <si>
    <t>25.11 Металлоконструкции строительные и их части</t>
  </si>
  <si>
    <t>ЗА 3 ГОДА ПО 223 ФЗ заключено 9 шт. с объемом НМЦ 31 256 942,21 ? за 1 ГОД ПО 223ФЗ заключено 9  31 256 942,21 ?</t>
  </si>
  <si>
    <t>25.11 Металлоконструкции строительные и их части
41.20.40.900 Работы строительные по возведению нежилых зданий и сооружений прочие, не включенные в другие группировки
25.11.23.110 Конструкции и детали конструкций из черных металлов
25.12 Двери и окна из металлов
25.9 Изделия металлические готовые прочие
25.93.13.112 Решетки, сетки и ограждения из проволоки из черных металлов
41.20.20.180 Здания предприятий здравоохранения, науки и научного обслуживания, образования, культуры и искусства
25 Изделия металлические готовые, кроме машин и оборудования</t>
  </si>
  <si>
    <t>За весь период компания заключила  5 контрактов на сумму  3 143 845 800,00 ?         За 3 ГОДА по 44ФЗ заключено 1 шт. с объемом НМЦ  84 865 812,11 ? с БГИ 16 973 162,42 ? с БГГО 0,00 ? с авансированием до 16 973 162,42 ? с комиссией банку 250 179,76 ? с кв 2 176,56 ?</t>
  </si>
  <si>
    <t>"44 за 3 года", ".", "все клиенты с выручкой от 1,8 млрд до бесконечности", "производители", "рейтинг по нмц маркер", "поставщики маркер"</t>
  </si>
  <si>
    <t>10.20 Рыба переработанная и консервированная, ракообразные и моллюски
10.82 Какао, шоколад и изделия кондитерские сахаристые
10 Продукты пищевые</t>
  </si>
  <si>
    <t>10.85.1 Продукты пищевые готовые и блюда
10.8 Продукты пищевые прочие</t>
  </si>
  <si>
    <t>ЗА 3 ГОДА ПО 223 ФЗ заключено 2 шт. с объемом НМЦ 101 025 533,12 ?</t>
  </si>
  <si>
    <t>35.30.11.120 Энергия тепловая, отпущенная котельными
35.30.11.111 Энергия тепловая, отпущенная тепловыми электроцентралями (ТЭЦ)
35.30.11.110 Энергия тепловая, отпущенная электростанциями
36.00.20.130 Услуги по транспортированию и распределению воды по водопроводам
36.00.11.000 Вода питьевая</t>
  </si>
  <si>
    <t>36.00.30.000 Услуги по торговле водой, поставляемой по трубопроводам
29.20.21.190 Контейнеры прочие, не включенные в другие в группировки
25.40.1 Оружие и боеприпасы и их части
37.00.11.120 Услуги по транспортированию сточных вод
22.2 Изделия из пластмасс
25.40 Оружие и боеприпасы
36.00.20.130 Услуги по транспортированию и распределению воды по водопроводам</t>
  </si>
  <si>
    <t>"223 за 3 года", ".", "fk1", "Обороты по клиентам по кварталам (2022г)", "производители", "рейтинг по нмц маркер", "это заказчик", "поставщики маркер"</t>
  </si>
  <si>
    <t>86.21.10.190 Услуги, предоставляемые врачами общей врачебной практики, прочие, не включенные в другие группировки
86.90.15.000 Услуги медицинских лабораторий
84.12.13.000 Услуги государственного управления в области жилищного строительства и коммунального хозяйства
52.21.24.000 Услуги стоянок для транспортных средств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52.23.11.000 Услуги аэропортов, кроме обработки грузов</t>
  </si>
  <si>
    <t>Заказчик разыгравший 115 конкурсов на сумму  41 991 841 261,31 ?</t>
  </si>
  <si>
    <t>Сообщения о принятии решения о реорганизации от 11.02.2022</t>
  </si>
  <si>
    <t>20.41 Мыло и моющие средства, чистящие и полирующие средства
10.89.19.210 Добавки биологически активные к пище
20.42 Средства парфюмерные и косметические</t>
  </si>
  <si>
    <t>20.14.2 Спирты, фенолы, фенолоспирты и их галогенированные, сульфированные, нитрованные или нитрозированные производные; спирты жирные промышленные</t>
  </si>
  <si>
    <t>"223 за 3 года", ".", "ушедшие", "06.2022_ФинХД", "все клиенты с выручкой от 1,8 млрд до бесконечности", "поставщики маркер"</t>
  </si>
  <si>
    <t>"металл"</t>
  </si>
  <si>
    <t>"поставщики маркер", ".", "клиент металлинвеста"</t>
  </si>
  <si>
    <t>68.2 Услуги по сдаче в аренду (внаем) собственного или арендованного недвижимого имущества
35.11.10.112 Электроэнергия, произведенная теплоэлектроцентралями (ТЭЦ) общего назначения
35.12.10.120 Услуги по технологическому присоединению к распределительным электросетям
35.30.11.111 Энергия тепловая, отпущенная тепловыми электроцентралями (ТЭЦ)
68.20.12.000 Услуги по сдаче в аренду (внаем) собственных или арендованных нежилых помещений
35.11.10.116 Электроэнергия, произведенная гидроэлектростанциями (ГЭС) общего назначения
35.11.10.119 Электроэнергия, произведенная нетиповыми электростанциями общего назначения
35.12.10 Услуги по передаче электроэнергии и технологическому присоединению к распределительным электросетям
35.12.10.110 Услуги по передаче электроэнергии
61.20.30 Услуги по передаче данных по беспроводным телекоммуникационным сетям</t>
  </si>
  <si>
    <t>За весь период контрактов 10 шт. на общую сумму НМЦ 5 297 856 040,81 ?</t>
  </si>
  <si>
    <t>69.20.31.000 Услуги по налоговому консультированию и подготовка налоговой документации для юридических лиц
70.22.1 Услуги консультативные по вопросам управления деятельностью предприятия
62.01 Продукты программные и услуги по разработке и тестированию программного обеспечения
72.20.30.000 Работы оригинальные научных исследований и экспериментальных разработок в области общественных и гуманитарных наук
70.2 Услуги консультативные по вопросам управления
69.10.12 Услуги по юридическим консультациям и представительству в судебных процедурах в связи с правом предпринимательской деятельности и коммерческим правом
69.10.15.000 Услуги юридические, касающиеся патентов, авторских прав и прочих прав интеллектуальной собственности
69.20 Услуги в области бухгалтерского учета; по проведению финансового аудита; по налоговому консультированию
69.10 Услуги юридические
62.01.11 Услуги по проектированию, разработке информационных технологий для прикладных задач и тестированию программного обеспечения ****</t>
  </si>
  <si>
    <t>69.20.1 Услуги по проведению финансового аудита
70.22.11 Услуги консультативные по вопросам стратегического управления
69 Услуги юридические и бухгалтерские
70.22.1 Услуги консультативные по вопросам управления деятельностью предприятия
73.20.14 Услуги по исследованию конъюнктуры рынка, кроме опросов
62.02 Услуги консультативные, связанные с компьютерной техникой
70.2 Услуги консультативные по вопросам управления
69.2 Услуги в области бухгалтерского учета; по проведению финансового аудита; по налоговому консультированию
62 Продукты программные и услуги по разработке программного обеспечения; консультационные и аналогичные услуги в области информационных технологий
64.99 Услуги финансовые прочие, кроме услуг по страхованию и пенсионному обеспечению, не включенные в другие группировки ****</t>
  </si>
  <si>
    <t>1 367</t>
  </si>
  <si>
    <t>За весь период компания заключила  18 контрактов на сумму  1 729 389 058,80 ? За весь период заходили в конкурсы  12 раз на общую сумму обеспеченных контрактов с НМЦ 1 433 984 990,00 ? с БГУ  67 462 198,14 ? с БГИ 350 673 466,51 ?</t>
  </si>
  <si>
    <t>"223 за 3 года", ".", "рейтинг поставщиков в маркере по бг", "fk1", "все клиенты с выручкой от 1,8 млрд до бесконечности", "рейтинг по нмц маркер", "поставщики маркер", "44 за 3 года"</t>
  </si>
  <si>
    <t>1 566</t>
  </si>
  <si>
    <t>41.20.10.110 Здания жилые общего назначения
68.10.11.000 Услуги по покупке и продаже жилых зданий и занимаемых ими земельных участков</t>
  </si>
  <si>
    <t>"44 за 3 года", ".", "производители"</t>
  </si>
  <si>
    <t>Сообщения о принятии решения о реорганизации от 15.06.2021</t>
  </si>
  <si>
    <t>"поставщики маркер", ".", "fk1", "все клиенты с выручкой от 1,8 млрд до бесконечности", "Участники клиринга", "это заказчик"</t>
  </si>
  <si>
    <t>20.59.43.120 Антифризы
28.25.14.111 Фильтры для очистки воздуха
20.30.22.170 Герметики
20.30.22.220 Растворители и разбавители органические сложные; составы готовые для удаления красок и лаков (смывки)
43.22.12.120 Работы по установке и техническому обслуживанию систем управления центральным отоплением
43.29.11.190 Работы изоляционные прочие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43.99.90.190 Работы строительные специализированные прочие, не включенные в другие группировки
80.10.19.000 Услуги в области обеспечения безопасности прочие ****</t>
  </si>
  <si>
    <t>За весь период компания заключила  7 контрактов на сумму  1 710 117 679,17 ? За весь период заходили в конкурсы  1 раз на общую сумму обеспеченных контрактов с НМЦ 115 740 000,00 ? с БГУ  1 157 430,50 ? с БГИ 11 574 305,00 ?                             ЗА 3 ГОДА ПО 223 ФЗ заключено 4 шт. с объемом НМЦ 107 997 496,28 ? за 1 ГОД ПО 223ФЗ заключено 5  110 698 577,48 ?</t>
  </si>
  <si>
    <t>"223 за 3 года", ".", "рейтинг поставщиков в маркере по бг", "223 фз контракты 20+", "рейтинг заказчиков маркер", "рейтинг по нмц маркер", "это заказчик",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</si>
  <si>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42.91.20.120 Работы строительные по строительству плотин и дамб, включая ремонт
42.91.20.140 Работы дноуглубительные, работы по удалению скальных пород и илистых отложений и прочие строительные гидротехнические работы
42.91.20.190 Работы строительные и ремонтные, связанные с прочими водными сооружениями и работы по ремонту всех вышеуказанных сооружений
41.20.10.110 Здания жилые общего назначения
42.99.12.124 Территории парковые и парки для отдыха
41.20.40.900 Работы строительные по возведению нежилых зданий и сооружений прочие, не включенные в другие группировки
42.11.10.120 Дороги автомобильные, в том числе улично-дорожная сеть, и прочие автомобильные и пешеходные дороги
42.11.10.159 Дороги подъездные, транспортные и пешеходные путепроводы над и под дорогой, велосипедные дорожки прочие ****</t>
  </si>
  <si>
    <t>За весь период компания заключила  136 контрактов на сумму  92 072 860 272,81 ? За весь период заходили в конкурсы  289 раз на общую сумму обеспеченных контрактов с НМЦ 98 917 016 579,61 ? с БГУ  5 500 172 706,46 ? с БГИ 20 400 726 844,76 ? За 3 ГОДА по 44ФЗ заключено 202 шт. с объемом НМЦ  25 427 282 039,48 ? с БГИ 4 649 970 422,14 ? с БГГО 614 423 840,00 ? с авансированием до 21 966 216 976,98 ? с комиссией банку 130 716 804,93 ? с кв 1 137 236,20 ? ЗА 1 ГОД по 44ФЗ заключено 83 шт. c объемом НМЦ 15 917 338 209,95 ? с БГИ 2 430 556 134,53 ? с БГГО 130 844 949,45 ? с авансированием до  2 413 289 124,40 ? с комиссией банку  84 715 728,10 ? с кв 737 026,83 ?</t>
  </si>
  <si>
    <t>"223 за 3 года", "кл фт ФК БГ 04.22", "свод фт", ".", "рейтинг поставщиков в маркере по бг", "ГРАНДИОЗНЫЙ ПРОЕКТ", "Конкурсы 100+ (Восстановленный)", "Агентские отказ из-за непред-я док-ов", "fk1", "райф",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"44 фз с с БГ от 10 млн", "рейтинг заказчиков маркер", "производители", "рейтинг по нмц маркер", "это заказчик", "на фт заводил Хацкевич", "на фт заводил Бесков",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</si>
  <si>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68.10.14.000 Услуги по покупке и продаже нежилых зданий и занимаемых ими земельных участков
42.11.10.110 Автомагистрали, кроме надземных автодорог (эстакад)
68.10.11.000 Услуги по покупке и продаже жилых зданий и занимаемых ими земельных участков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t>
  </si>
  <si>
    <t>За весь период компания заключила  50 контрактов на сумму  333 891 775 100,88 ? За весь период заходили в конкурсы  62 раз на общую сумму обеспеченных контрактов с НМЦ 246 819 917 117,95 ? с БГУ  8 717 219 533,32 ? с БГИ 54 067 744 203,45 ? За 3 ГОДА по 44ФЗ заключено 6 шт. с объемом НМЦ  59 294 914 724,12 ? с БГИ 8 865 727 221,91 ? с БГГО 76 213 838,50 ? с авансированием до 9 116 744 208,21 ? с комиссией банку 12 312 100,54 ? с кв 107 115,27 ? ЗА 1 ГОД по 44ФЗ заключено 1 шт. c объемом НМЦ 1 081 622 765,82 ? с БГИ 162 243 414,87 ? с БГГО 0,00 ? с авансированием до  540 811 382,91 ? с комиссией банку  6 231 925,14 ? с кв 54 217,75 ?</t>
  </si>
  <si>
    <t>"44 за 3 года", ".", "рейтинг поставщиков в маркере по бг", "ГРАНДИОЗНЫЙ ПРОЕКТ", "беники", "Конкурсы 100+ (Восстановленный)", "fk1", "ПСБ Гарантии ", "Действующий клиент мсб с выр от 30 млн на 05.21", "все клиенты с выручкой от 1,8 млрд до бесконечности", "ФК клиенты с выручкой от 230 до бесконечности", "44 фз с с БГ от 10 млн", "рейтинг заказчиков маркер", "рейтинг по нмц маркер", "это заказчик",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</si>
  <si>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42.12.10.113 Полотно железнодорожное однопутное (дорога железная однопутная)
42.99.19.142 Ограды (заборы) металлические
42.13.10.110 Мосты и путепроводы из любых материалов для всех типов сухопутного транспорта и для пешеходов
41.20.40.900 Работы строительные по возведению нежилых зданий и сооружений прочие, не включенные в другие группировки
42.11.10.110 Автомагистрали, кроме надземных автодорог (эстакад)
42.91.20.110 Работы строительные по строительству портовых и речных сооружений, пристаней для яхт, набережных, пирсов, молов, доков и аналогичных портовых сооружений, включая ремонт
42.13.10.111 Мост автодорожный
42.99.29.200 Работы по сохранению и воссозданию гражданских сооружений, являющихся объектами культурного наследия, не включенные в другие группировки
41.20.20.290 Здания нежилые, не включенные в другие группировки ****</t>
  </si>
  <si>
    <t>За весь период компания заключила  80 контрактов на сумму  256 844 284 908,48 ? За весь период заходили в конкурсы  123 раз на общую сумму обеспеченных контрактов с НМЦ 260 875 511 081,75 ? с БГУ  13 002 645 842,61 ? с БГИ 56 020 660 576,71 ? За 3 ГОДА по 44ФЗ заключено 34 шт. с объемом НМЦ  104 871 162 483,88 ? с БГИ 15 727 630 991,86 ? с БГГО 740 385 120,22 ? с авансированием до 22 269 887 844,90 ? с комиссией банку 444 420 435,78 ? с кв 3 866 457,79 ? ЗА 1 ГОД по 44ФЗ заключено 11 шт. c объемом НМЦ 28 998 571 892,52 ? с БГИ 2 965 484 641,84 ? с БГГО 220 778 058,52 ? с авансированием до  6 539 775 736,11 ? с комиссией банку  188 818 161,98 ? с кв 1 642 718,01 ?</t>
  </si>
  <si>
    <t>"44 за 3 года", "свод фт", ".", "рейтинг поставщиков в маркере по бг", "ГРАНДИОЗНЫЙ ПРОЕКТ", "Конкурсы 100+ (Восстановленный)", "fk1", "все клиенты с выручкой от 1,8 млрд до бесконечности", "44 фз с с БГ от 10 млн", "производители", "рейтинг по нмц маркер", "на фт заводил Синяев", "crm управления", "в crm за Синяевым ", "поставщики маркер"</t>
  </si>
  <si>
    <t>1 542</t>
  </si>
  <si>
    <t>26.70.13.000 Видеокамеры цифровые
46.14.11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33.20.42.000 Услуги по монтажу профессионального электронного оборудования
26.20.14 Машины вычислительные электронные цифровые, поставляемые в виде систем для автоматической обработки данных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26.30.50.119 Приборы и аппаратура для систем охранной сигнализации прочие, не включенные в другие группировки
26.40.33 Видеокамеры для записи и прочая аппаратура для записи или воспроизведения изображения
26.40.33.190 Аппаратура записи и воспроизведения изображения прочая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</si>
  <si>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t>
  </si>
  <si>
    <t>За весь период компания заключила  26 контрактов на сумму  16 507 508 859,00 ? За весь период заходили в конкурсы  66 раз на общую сумму обеспеченных контрактов с НМЦ 21 018 043 254,08 ? с БГУ  1 099 202 682,71 ? с БГИ 5 371 539 117,27 ? За 3 ГОДА по 44ФЗ заключено 8 шт. с объемом НМЦ  10 496 423 582,00 ? с БГИ 1 512 900 937,84 ? с БГГО 28 016 423,00 ? с авансированием до 9 753 993 212,80 ? с комиссией банку 16 030 368,33 ? с кв 139 464,20 ? ЗА 1 ГОД по 44ФЗ заключено 1 шт. c объемом НМЦ 1 413 958 882,00 ? с БГИ 141 395 888,20 ? с БГГО 0,00 ? с авансированием до  141 395 888,20 ? с комиссией банку  1 309 364,66 ? с кв 11 391,47 ?</t>
  </si>
  <si>
    <t>"44 за 3 года", "кл фт агент бг 04.22", ".", "рейтинг поставщиков в маркере по бг", "ГРАНДИОЗНЫЙ ПРОЕКТ", "Агентские отказ из-за непред-я док-ов", "fk1", "портфель", "клиенты от 100 млн", "действующие б не прям", "Одобренные но не выданные 1 полугодие 2021", "ФТ клиенты с продуктами по сотрудникам", "44 фз с с БГ от 10 млн", "производители", "рейтинг по нмц маркер", "crm управления", "в crm за Шевченко ОРК 5", "в crm за Синяевым ", "поставщики маркер"</t>
  </si>
  <si>
    <t>43.21.10.220 Работы по монтажу систем освещения и сигнализации автомобильных дорог, аэропортов и портов
42.11 Дороги автомобильные и автомагистрали; строительные работы по строительству автомобильных дорог и автомагистралей
42.11.2 Работы строительные по строительству автомагистралей, автомобильных дорог, в том числе проходящих по улицам населенных пунктов, и прочих автомобильных или пешеходных дорог, и взлетно-посадочных полос аэродромов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43.99.70.000 Работы по сборке и монтажу сборных конструкций
43.99.90.190 Работы строительные специализированные прочие, не включенные в другие группировки
42.11.10.152 Дорога внутрихозяйственная
42.21.12.110 Трубопровод местный для воды (водопровод)
52.21.22.000 Услуги по эксплуатации автомагистралей
42.21.24.110 Работы по бурению водозаборных скважин или отрывке колодцев, требующие специальной квалификации ****</t>
  </si>
  <si>
    <t>За весь период компания заключила  65 контрактов на сумму  47 736 072 936,87 ? За весь период заходили в конкурсы  160 раз на общую сумму обеспеченных контрактов с НМЦ 55 862 334 895,72 ? с БГУ  2 070 159 570,11 ? с БГИ 10 064 785 663,02 ? За 3 ГОДА по 44ФЗ заключено 358 шт. с объемом НМЦ  13 509 597 566,13 ? с БГИ 2 302 661 931,81 ? с БГГО 666 833 482,23 ? с авансированием до 301 236 899,75 ? с комиссией банку 44 344 019,53 ? с кв 385 792,97 ? ЗА 1 ГОД по 44ФЗ заключено 100 шт. c объемом НМЦ 3 146 243 527,89 ? с БГИ 749 402 726,34 ? с БГГО 236 468 429,69 ? с авансированием до  152 365 134,35 ? с комиссией банку  21 009 058,16 ? с кв 182 778,81 ?</t>
  </si>
  <si>
    <t>"44 за 3 года", "свод фт", ".", "рейтинг поставщиков в маркере по бг", "ГРАНДИОЗНЫЙ ПРОЕКТ", "беники", "Конкурсы 100+ (Восстановленный)", "Агентские отказ из-за непред-я док-ов", "fk1", "Кредитный портфель_01.11", "корп 1", "06.2022_ФинХД", "все клиенты с выручкой от 1,8 млрд до бесконечности", "клиенты от 100 млн", "Обороты по клиентам по кварталам (2022г)", "Одобренные но не выданные 1 полугодие 2021", "44 фз с с БГ от 10 млн", "рейтинг заказчиков маркер", "производители", "рейтинг по нмц маркер", "это заказчик", "на фт заводил Удод", "поставщики маркер"</t>
  </si>
  <si>
    <t>01.11.81.120 Бобы соевые для переработки
10.41.21 Масло соевое и его фракции нерафинированные
10.91.10.183 Комбикорма для свиней</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</si>
  <si>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42.11.10.129 Дороги автомобильные, в том числе улично-дорожная сеть, и прочие автомобильные и пешеходные дороги, не включенные в другие группировки</t>
  </si>
  <si>
    <t>За 3 года по 223ФЗ заключено  1 шт контрактов на сумму 54 400 745,06 ?</t>
  </si>
  <si>
    <t>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42.91.20.120 Работы строительные по строительству плотин и дамб, включая ремонт
42.99.12.124 Территории парковые и парки для отдыха
41.20.40.900 Работы строительные по возведению нежилых зданий и сооружений прочие, не включенные в другие группировки
42.11.10.120 Дороги автомобильные, в том числе улично-дорожная сеть, и прочие автомобильные и пешеходные дороги
42.11.10.129 Дороги автомобильные, в том числе улично-дорожная сеть, и прочие автомобильные и пешеходные дороги, не включенные в другие группировки
42.1 Дороги автомобильные и железные; строительные работы по строительству автомобильных дорог и железных дорог</t>
  </si>
  <si>
    <t>За весь период контрактов 69 шт. на общую сумму НМЦ 24 121 679 697,40 ?</t>
  </si>
  <si>
    <t>Сообщение кредитора о намерении обратиться в суд с заявлением о банкротстве от 10.03.2023</t>
  </si>
  <si>
    <t>"223 за 3 года", ".", "рейтинг поставщиков в маркере по бг", "выдали", "ГРАНДИОЗНЫЙ ПРОЕКТ", "Конкурсы 100+ (Восстановленный)", "fk1", "райф", "Кредитный портфель_01.11", "06.2022_ФинХД",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"44 фз с с БГ от 10 млн", "рейтинг по нмц маркер",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</si>
  <si>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35.13.10.000 Услуги по распределению электроэнергии
42.13.20.100 Работы строительные по строительству мостов и тоннелей, кроме работ по сохранению и воссозданию объектов культурного наследия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</si>
  <si>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39 контрактов на сумму  33 209 266 730,78 ? За весь период заходили в конкурсы  106 раз на общую сумму обеспеченных контрактов с НМЦ 41 585 028 748,53 ? с БГУ  2 503 198 746,95 ? с БГИ 7 312 274 204,31 ? За 3 ГОДА по 44ФЗ заключено 43 шт. с объемом НМЦ  8 403 849 916,67 ? с БГИ 1 422 076 535,40 ? с БГГО 119 263 571,50 ? с авансированием до 480 378 334,17 ? с комиссией банку 42 410 463,70 ? с кв 368 971,03 ? ЗА 1 ГОД по 44ФЗ заключено 14 шт. c объемом НМЦ 1 562 137 825,60 ? с БГИ 533 962 271,40 ? с БГГО 172 163,00 ? с авансированием до  476 280 898,37 ? с комиссией банку  19 069 810,22 ? с кв 165 907,35 ?</t>
  </si>
  <si>
    <t>"44 за 3 года", ".", "рейтинг поставщиков в маркере по бг", "ГРАНДИОЗНЫЙ ПРОЕКТ", "Конкурсы 100+ (Восстановленный)",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t>
  </si>
  <si>
    <t>10.13.15.121 Консервы кусковые мясосодержащие
10.13.15.111 Консервы кусковые мясные
10.51.40.110 Сыры мягкие
10.51.40.121 Сыры полутвердые без вкусовых наполнителей
10.13.14.111 Колбасы (колбаски) вареные мясные
10.13.14.122 Сосиски мясосодержащие
10.13.14.112 Сосиски мясные
10.51.40.120 Сыры полутвердые</t>
  </si>
  <si>
    <t>3 109</t>
  </si>
  <si>
    <t>63.99.10.190 Услуги информационные автоматизированные компьютерные прочие, не включенные в другие группировки
62.09.20.120 Услуги по установке программного обеспечения
62.09.20.190 Услуги по технической поддержке в области информационных технологий прочие, не включенные в другие группировки
63.11.30 Место или время для рекламы в информационно-коммуникационной сети Интернет
82.99.19.000 Услуги вспомогательные, связанные с предпринимательской деятельностью, прочие, не включенные в другие группировки
58.29.32.000 Обеспечение программное прикладное для загрузки
71.12.34.120 Услуги в области изучения земной поверхности, кроме услуг в области землеустройства
68.20.12.000 Услуги по сдаче в аренду (внаем) собственных или арендованных нежилых помещений
58.29.13.000 Обеспечение программное для администрирования баз данных на электронном носителе
71.12.35.120 Услуги в области картографии, кроме услуг в области кадастровой деятельности ****</t>
  </si>
  <si>
    <t>"223 за 3 года", ".", "все клиенты с выручкой от 1,8 млрд до бесконечности", "рейтинг по нмц маркер", "crm управления", "в crm за Эльшаном", "поставщики маркер", "44 за 3 года"</t>
  </si>
  <si>
    <t>10.82.23.290 Изделия кондитерские сахаристые прочие, не включенные в другие группировки
84.23.12.000 Услуги, связанные с задержанием или реабилитацией преступников</t>
  </si>
  <si>
    <t>11.07.11.122 Воды питьевые газированные, расфасованные в емкости
11.07.11.111 Воды минеральные природные питьевые столовые
11.07.11.110 Воды минеральные природные питьевые
11.07.11.121 Воды питьевые негазированные, расфасованные в емкости
11.07.19.134 Напитки на ароматизаторах
11.07.11.112 Воды минеральные природные питьевые лечебно-столовые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27.51.24.190 Приборы электронагревательные бытовые прочие, не включенные в другие группировки</t>
  </si>
  <si>
    <t>52.23.19.190 Услуги вспомогательные прочие, связанные с воздушным транспортом, не включенные в другие группировки
52.10.1 Услуги по складированию и хранению</t>
  </si>
  <si>
    <t>За весь период компания заключила  2 контрактов на сумму  1 328 168 592,36 ?</t>
  </si>
  <si>
    <t>"это заказчик", ".", "все клиенты с выручкой от 1,8 млрд до бесконечности", "Участники клиринга", "рейтинг заказчиков маркер", "рейтинг по нмц маркер"</t>
  </si>
  <si>
    <t>"ФК клиенты с выручкой от 230 до бесконечности", ".", "fk1", "все клиенты с выручкой от 1,8 млрд до бесконечности"</t>
  </si>
  <si>
    <t>20.14.23.112 Пропиленгликоль (пропан-1,2-диол)
21.20.23.199 Средства нелечебные прочие
20.20.14.000 Средства дезинфекционные
35.30.11.120 Энергия тепловая, отпущенная котельными
20.59.59.200 Спиртосодержащие растворы непищевые
20.41.32.119 Средства моющие прочие
35.30.11.111 Энергия тепловая, отпущенная тепловыми электроцентралями (ТЭЦ)
36.00.12.000 Вода непитьевая
19.20.25.112 Топливо для реактивных двигателей летательных аппаратов с дозвуковой скоростью полета марки ТС-1
20.42.19.190 Средства парфюмерные, косметические и туалетные средства прочие, не включенные в другие группировки ****</t>
  </si>
  <si>
    <t>За весь период компания заключила  5 контрактов на сумму  1 897 859 895,36 ? За весь период заходили в конкурсы  2 раз на общую сумму обеспеченных контрактов с НМЦ 50 234 266,44 ? с БГУ  495 444,08 ? с БГИ 4 954 440,76 ?</t>
  </si>
  <si>
    <t>"223 за 3 года", ".", "рейтинг поставщиков в маркере по бг", "все клиенты с выручкой от 1,8 млрд до бесконечности", "Участники клиринга", "рейтинг по нмц маркер", "44 за 3 года"</t>
  </si>
  <si>
    <t>52.29.19.110 Услуги по экспедированию грузов
51.21 Услуги по перевозке грузов воздушным транспортом
52.2 Услуги транспортные вспомогательные
51.21.14 Услуги по перевозке прочих грузов воздушным транспортом на нерегулярной основе
51.10.11.000 Услуги по регулярным пассажирским перевозкам воздушным транспортом на местных линиях
49.41 Услуги по грузовым перевозкам автомобильным транспортом
50.40.19 Услуги по перевозке грузов внутренним водным транспортом прочие
52.1 Услуги по складированию и хранению
50.20.19 Услуги по заграничным и каботажным перевозкам морскими судами прочих грузов
51.21.11.000 Услуги по перевозке контейнерных грузов воздушным транспортом на регулярной основе</t>
  </si>
  <si>
    <t>52.29.19.110 Услуги по экспедированию грузов
51.21 Услуги по перевозке грузов воздушным транспортом
52.2 Услуги транспортные вспомогательные
52.29.19 Услуги грузовых транспортно-экспедиционных агентств прочие
53.20.11.110 Услуги специальной почтовой связи
53.10.12.000 Услуги почтовой связи общего пользования, связанные с письменной корреспонденцией
53.10.13.190 Услуги почтовые, связанные с посылочной почтой, прочие
53.20.19.120 Услуги курьерские прочие, не включенные в другие группировки
51.1 Услуги по пассажирским перевозкам воздушным транспортом
51.21.13.000 Услуги по перевозке прочих грузов воздушным транспортом на регулярной основе ****</t>
  </si>
  <si>
    <t>За весь период компания заключила  3 контрактов на сумму  1 662 344 313,09 ?                                     ЗА 3 ГОДА ПО 223 ФЗ заключено 20 шт. с объемом НМЦ 23 730 765,00 ? за 1 ГОД ПО 223ФЗ заключено 7  7 390 191,05 ?</t>
  </si>
  <si>
    <t>ПОС на 03.04.2833</t>
  </si>
  <si>
    <t>Сообщения о принятии решения о реорганизации от 28.10.2019</t>
  </si>
  <si>
    <t>"поставщики маркер", ".", "fk1", "инн Красносельская", "ПОС на 01.02.2023", "ПОС на 03.04.2023", "Кредитный портфель_01.11", "06.2022_ФинХД", "все клиенты с выручкой от 1,8 млрд до бесконечности", "Обороты по клиентам по кварталам (2022г)", "рейтинг заказчиков маркер", "производители", "это заказчик"</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</si>
  <si>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35.11.10.142 Электроэнергия, произведенная ветровыми электростанциями
35.30.12.110 Услуги по приготовлению воды на нужды горячего водоснабжения
35.11.10 Электроэнергия
35.11.10.121 Электроэнергия, произведенная блок-станциями конденсационных электростанций (КЭС) ****</t>
  </si>
  <si>
    <t>За весь период компания заключила  58 контрактов на сумму  8 564 860 868,52 ?                                     ЗА 3 ГОДА ПО 223 ФЗ заключено 151 шт. с объемом НМЦ 466 300 919,81 ? за 1 ГОД ПО 223ФЗ заключено 70  215 128 477,62 ?</t>
  </si>
  <si>
    <t>Сообщение кредитора о намерении обратиться в суд с заявлением о банкротстве от 09.12.2016</t>
  </si>
  <si>
    <t>"223 за 3 года", ".", "ГРАНДИОЗНЫЙ ПРОЕКТ 223", "fk1",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 "44 за 3 года"</t>
  </si>
  <si>
    <t>81.29.11.000 Услуги по дезинфекции, дезинсекции и дератизации
68.20.12.000 Услуги по сдаче в аренду (внаем) собственных или арендованных нежилых помещений</t>
  </si>
  <si>
    <t>Юридическое лицо находится в процессе реорганизации в форме преобразования от 29.08.2022, Сообщения о принятии решения о реорганизации от 26.09.2022</t>
  </si>
  <si>
    <t>За весь период компания заключила  10 контрактов на сумму  9 705 855 776,60 ? За весь период заходили в конкурсы  20 раз на общую сумму обеспеченных контрактов с НМЦ 10 802 146 684,66 ? с БГУ  583 365 638,24 ? с БГИ 1 996 732 716,04 ? За 3 ГОДА по 44ФЗ заключено 4 шт. с объемом НМЦ  3 311 772 924,00 ? с БГИ 560 660 269,20 ? с БГГО 170 232 128,96 ? с авансированием до 560 660 269,20 ? с комиссией банку 11 336 915,34 ? с кв 98 631,16 ? ЗА 1 ГОД по 44ФЗ заключено 1 шт. c объемом НМЦ 1 448 753 839,00 ? с БГИ 289 750 767,80 ? с БГГО 0,00 ? с авансированием до  289 750 767,80 ? с комиссией банку  4 461 367,99 ? с кв 38 813,90 ?</t>
  </si>
  <si>
    <t>Сообщение кредитора о намерении обратиться в суд с заявлением о банкротстве от 16.08.2021</t>
  </si>
  <si>
    <t>"44 за 3 года", "свод фт", ".", "рейтинг поставщиков в маркере по бг", "ГРАНДИОЗНЫЙ ПРОЕКТ", "Конкурсы 100+ (Восстановленный)", "Агентские отказ из-за непред-я док-ов", "кредиты фт", "Пункт 3.1 09.01.2023", "лимит сит по кредитам", "все клиенты с выручкой от 1,8 млрд до бесконечности", "рейтинг по нмц маркер", "на фт заводил Синяев", "crm управления", "в crm за Муслимом",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</si>
  <si>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42.13.10.110 Мосты и путепроводы из любых материалов для всех типов сухопутного транспорта и для пешеходов
42.11.10.120 Дороги автомобильные, в том числе улично-дорожная сеть, и прочие автомобильные и пешеходные дороги
42.13.10.111 Мост автодорожный
42.11.10.121 Дорога автомобильная с усовершенствованным капитальным типом дорожного покрытия
42.13.10.119 Мосты и путепроводы из любых материалов для всех типов сухопутного транспорта и для пешеходов прочие
52.21.23.000 Услуги по эксплуатации мостов и тоннелей</t>
  </si>
  <si>
    <t>За весь период компания заключила  26 контрактов на сумму  26 947 846 503,20 ? За весь период заходили в конкурсы  35 раз на общую сумму обеспеченных контрактов с НМЦ 27 803 960 633,98 ? с БГУ  1 355 217 650,82 ? с БГИ 3 734 183 883,14 ?</t>
  </si>
  <si>
    <t>"44 за 3 года", ".", "рейтинг поставщиков в маркере по бг", "ГРАНДИОЗНЫЙ ПРОЕКТ", "fk1",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t>
  </si>
  <si>
    <t>38 Услуги по сбору, обработке и удалению отходов; услуги по утилизации отходов
65.12.32 Услуги по страхованию гражданской ответственности владельцев воздушных и космических транспортных средств</t>
  </si>
  <si>
    <t>2 668</t>
  </si>
  <si>
    <t>Заказчик разыгравший 126 конкурсов на сумму  53 336 894 427,72 ?</t>
  </si>
  <si>
    <t>Юридическое лицо находится в процессе реорганизации в форме присоединения к нему других юридических лиц от 07.04.2023, Сообщения о принятии решения о реорганизации от 03.04.2023</t>
  </si>
  <si>
    <t>43.29 Работы строительно-монтажные прочие
42.21.13 Системы оросительные (каналы); водоводы и водопроводные конструкции; водоочистные станции, станции очистки сточных вод и насосные станции</t>
  </si>
  <si>
    <t>за 1 ГОД ПО 223ФЗ заключено 2  66 826 604,00 ?</t>
  </si>
  <si>
    <t>46.31.12 Услуги по оптовой торговле переработанными овощами, фруктами и орехами
10 Продукты пищевые
10.3 Фрукты и овощи переработанные и консервированные</t>
  </si>
  <si>
    <t>43.39.19.190 Работы завершающие и отделочные в зданиях и сооружениях, прочие, не включенные в другие группировки
41.20.30.100 Работы по возведению жилых зданий, кроме работ по сохранению и воссозданию объектов культурного наследия</t>
  </si>
  <si>
    <t>За весь период заходили в конкурсы  2 раз на общую сумму обеспеченных контрактов с НМЦ 283 858 667,80 ? с БГУ  2 827 004,30 ? с БГИ 84 810 128,76 ?</t>
  </si>
  <si>
    <t>"44 за 3 года", "свод фт", ".", "рейтинг поставщиков в маркере по бг", "fk1", "все клиенты с выручкой от 1,8 млрд до бесконечности", "это заказчик", "на фт заводил Реук", "crm управления", "в crm за Адеевым", "поставщики маркер"</t>
  </si>
  <si>
    <t>"производители", ".", "fk1", "все клиенты с выручкой от 1,8 млрд до бесконечности", "Обороты по клиентам по кварталам (2022г)"</t>
  </si>
  <si>
    <t>21.20.10.191 Препараты антибактериальные для системного использования
21.20.2 Препараты лекарственные прочие и материалы, применяемые в медицинских целях
21.20.10.194 Препараты противовирусные для системного применения
21.20.10.134 Растворы плазмозамещающие и перфузионные</t>
  </si>
  <si>
    <t>2 163</t>
  </si>
  <si>
    <t>"223 за 3 года", ".",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 "это заказчик", "поставщики маркер"</t>
  </si>
  <si>
    <t>56.10.19.119 Услуги прочих предприятий быстрого питания без предоставления мест для сидения
56.29.19.000 Услуги по обеспечению питанием, осуществляемые по договору, прочие</t>
  </si>
  <si>
    <t>24.10.12.170 Феррованадий</t>
  </si>
  <si>
    <t>24.10.21.141 Полуфабрикаты, полученные непрерывным литьем круглого или многоугольного сечения из нелегированной стали
24.20.13.130 Трубы стальные электросварные
24.10.62.121 Прокат сортовой горячекатаный круглый прочий, без дополнительной обработки, включая смотанный после прокатки, из нелегированных сталей
24.10.62.190 Прокат сортовой прочий, без дополнительной обработки, включая смотанный после прокатки, из нелегированных сталей
24.10.21.110 Сталь нелегированная в слитках или в прочих первичных формах
24.10.21.139 Полуфабрикаты квадратного поперечного сечения из нелегированной стали прочие
24.20.13.190 Трубы круглого сечения прочие стальные
25.11.23 Конструкции и детали конструкций прочие, листы, прутки, уголки, профили и аналогичные изделия из черных металлов или алюминия
24.10.33.000 Прокат листовой горячекатаный из нержавеющих сталей, без дополнительной обработки, шириной не менее 600 мм
24.20.14.120 Профили пустотелые стальные ****</t>
  </si>
  <si>
    <t>ЗА 3 ГОДА ПО 223 ФЗ заключено 9 шт. с объемом НМЦ 404 471 838,56 ? за 1 ГОД ПО 223ФЗ заключено 5  494 552 126,62 ?</t>
  </si>
  <si>
    <t>Сообщения о принятии решения о реорганизации от 24.06.2019</t>
  </si>
  <si>
    <t>24.10.80.120 Колеса цельнокатаные
30.20.40.143 Комплектующие (запасные части) железнодорожных грузовых вагонов, не имеющие самостоятельных группировок
24.10.75.120 Рельсы для трамвайных путей
24.10.11 Чугун зеркальный и передельный в чушках, болванках или в прочих первичных формах
24.10.80.110 Бандажи для подвижного состава
24.10.75.111 Рельсы железнодорожные широкой колеи</t>
  </si>
  <si>
    <t>За весь период контрактов 41 шт. на общую сумму НМЦ 170 690 840 026,39 ?</t>
  </si>
  <si>
    <t>"223 за 3 года", ".", "Конкурсы 100+ (Восстановленный)", "все клиенты с выручкой от 1,8 млрд до бесконечности", "223 фз контракты 20+", "рейтинг по нмц маркер"</t>
  </si>
  <si>
    <t>ПОС на 03.04.2842</t>
  </si>
  <si>
    <t>"производители", ".", "fk1", "ПОС на 01.02.2023", "ПОС на 03.04.2023", "Кредитный портфель_01.11", "06.2022_ФинХД", "Обороты по клиентам по кварталам (2022г)"</t>
  </si>
  <si>
    <t>08 Продукция горнодобывающих производств прочая
08.12.11 Пески природные
08.12.12.140 Щебень
08.12.12.160 Смеси песчано-гравийные
08.12.12.150 Камень природный дробленый</t>
  </si>
  <si>
    <t>ЗА 3 ГОДА ПО 223 ФЗ заключено 7 шт. с объемом НМЦ 53 833 130,00 ?</t>
  </si>
  <si>
    <t>"223 за 3 года", ".", "выдали",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 "44 за 3 года"</t>
  </si>
  <si>
    <t>"ФК клиенты с выручкой от 230 до бесконечности", ".", "fk1", "закрыли счет", "все клиенты с выручкой от 1,8 млрд до бесконечности"</t>
  </si>
  <si>
    <t>35.12.10.120 Услуги по технологическому присоединению к распределительным электросетям</t>
  </si>
  <si>
    <t>За весь период контрактов 3 шт. на общую сумму НМЦ 4 052 841 888,00 ?</t>
  </si>
  <si>
    <t>55 Услуги по предоставлению мест для временного проживания</t>
  </si>
  <si>
    <t>За весь период контрактов 3 шт. на общую сумму НМЦ 1 980 608 774,50 ?</t>
  </si>
  <si>
    <t>Сообщение кредитора о намерении обратиться в суд с заявлением о банкротстве от 20.02.2021</t>
  </si>
  <si>
    <t>"поставщики маркер", ".", "беники", "все клиенты с выручкой от 1,8 млрд до бесконечности", "рейтинг по нмц маркер"</t>
  </si>
  <si>
    <t>71.12.16.000 Услуги по инженерно-техническому проектированию производственных процессов и производств
42.21.13 Системы оросительные (каналы); водоводы и водопроводные конструкции; водоочистные станции, станции очистки сточных вод и насосные станции</t>
  </si>
  <si>
    <t>Сообщения о принятии решения о реорганизации от 07.02.2023</t>
  </si>
  <si>
    <t>28.13.28.000 Компрессоры прочие
29.10.59.130 Средства транспортные для коммунального хозяйства и содержания дорог
27.90.11 Машины электрические и аппаратура специализированные
28.13 Насосы и компрессоры прочие
28.92.27.120 Погрузчики одноковшовые самоходные прочие
28.92.2 Машины прочие для перемещения, грейдерных работ, планирования, скреперных работ, выемки, трамбовки, уплотнения или добычи, самоходные, для грунта, минералов или руд (включая бульдозеры, одноковшовые экскаваторы и дорожные катки)
28.92.27 Экскаваторы и одноковшовые погрузчики самоходные прочие; прочие самоходные машины для добычи полезных ископаемых
29.10.5 Средства автотранспортные специального назначения
27.90.31.110 Машины и оборудование электрические для пайки мягким и твердым припоем и сварки
28.92.25.000 Погрузчики фронтальные одноковшовые самоходные ****</t>
  </si>
  <si>
    <t>за 1 ГОД ПО 223ФЗ заключено 2  7 000 000,00 ?</t>
  </si>
  <si>
    <t>28.22 Оборудование подъемно-транспортное
28.22.14.162 Краны-штабелеры электрические стеллажные
28.22.15 Автопогрузчики с вилочным захватом, прочие погрузчики; тягачи, используемые на платформах железнодорожных станций
45.20.11.519 Прочие услуги по техническому обслуживанию и ремонту прочих автотранспортных средств, не включенные в другие группировки
28.22.15.120 Погрузчики прочие
29.10.41.112 Автомобили грузовые с дизельным двигателем, имеющие технически допустимую максимальную массу свыше 3,5 т, но не более 12 т
29.10.59 Средства автотранспортные специального назначения, не включенные в другие группировки
46.69.19 Услуги по оптовой торговле прочими машинами, приборами, аппаратурой и оборудованием общепромышленного и специального назначения
45.20.21.111 Услуги по регламентным работам (по видам технического обслуживания)
45.20.21.217 Услуги по ремонту деталей ****</t>
  </si>
  <si>
    <t>За весь период компания заключила  3 контрактов на сумму  1 502 634 320,00 ?                                     ЗА 3 ГОДА ПО 223 ФЗ заключено 14 шт. с объемом НМЦ 36 145 985,65 ? за 1 ГОД ПО 223ФЗ заключено 9  31 695 039,20 ?</t>
  </si>
  <si>
    <t>"223 за 3 года", ".", "fk1", "Одобренные но не выданные 1 полугодие 2021", "рейтинг по нмц маркер", "поставщики маркер", "44 за 3 года"</t>
  </si>
  <si>
    <t>43.22 Работы по монтажу систем водопровода, канализации, отопления и кондиционирования воздуха
71.12.40.120 Услуги в области метрологии
43.21 Работы электромонтажные
28.14 Арматура трубопроводная (арматура) (краны, клапаны и прочие)
43.29 Работы строительно-монтажные прочие
42.21 Сооружения и строительные работы по строительству инженерных коммуникаций для жидкостей и газов
43.99.90.100 Работы строительные специализированные, не включенные в другие группировки, кроме работ на объектах культурного наследия</t>
  </si>
  <si>
    <t>За весь период компания заключила  13 контрактов на сумму  3 953 209 966,30 ? За весь период заходили в конкурсы  6 раз на общую сумму обеспеченных контрактов с НМЦ 1 884 013 272,19 ? с БГУ  103 853 856,36 ? с БГИ 346 179 521,14 ?                             ЗА 3 ГОДА ПО 223 ФЗ заключено 45 шт. с объемом НМЦ 3 042 897 183,76 ? за 1 ГОД ПО 223ФЗ заключено 20  2 962 488 934,18 ?</t>
  </si>
  <si>
    <t>"223 за 3 года", ".", "рейтинг поставщиков в маркере по бг", "Конкурсы 100+ (Восстановленный)", "все клиенты с выручкой от 1,8 млрд до бесконечности", "223 фз контракты 20+", "рейтинг заказчиков маркер", "рейтинг по нмц маркер", "это заказчик"</t>
  </si>
  <si>
    <t>43.29.19.110 Работы по монтажу лифтов, эскалаторов и движущихся тротуаров, требующие специальной квалификации, включая ремонт и техническое обслуживание</t>
  </si>
  <si>
    <t>За весь период компания заключила  85 контрактов на сумму  10 236 454 525,45 ? За весь период заходили в конкурсы  284 раз на общую сумму обеспеченных контрактов с НМЦ 28 176 463 171,07 ? с БГУ  1 277 157 947,37 ? с БГИ 6 211 496 111,90 ?</t>
  </si>
  <si>
    <t>"44 за 3 года", ".", "рейтинг поставщиков в маркере по бг",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 "рейтинг по нмц маркер", "поставщики маркер"</t>
  </si>
  <si>
    <t>52.29.1 Услуги грузовых транспортно-экспедиционных агентств</t>
  </si>
  <si>
    <t>Юридическое лицо находится в процессе реорганизации в форме присоединения к нему других юридических лиц от 06.04.2023, Сообщения о принятии решения о реорганизации от 04.04.2023</t>
  </si>
  <si>
    <t>"поставщики маркер", ".", "выдали",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</si>
  <si>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10.20.25.110 Консервы рыбные
01.13.12.120 Капуста белокочанная
10.84.30.140 Соль пищевая молотая
03.11.20.126 Минтай свежий или охлажденный
10.61.32.113 Крупа гречневая
10.84.22.110 Перец черный дробленый или молотый
10.51.40.199 Продукты сыроделия прочие, не включенные в другие группировки, прочие
10.13.15.110 Консервы мясные
10.71.11.110 Хлеб недлительного хранения
10.81.11.110 Сахар-сырец свекловичный в твердом состоянии ****</t>
  </si>
  <si>
    <t>28.30.59.111 Комбайны зерноуборочные
33.12.11.000 Услуги по ремонту и техническому обслуживанию двигателей и турбин, кроме авиационных, автомобильных и мотоциклетных двигателей
28.30.51.000 Косилки (включая устройства режущие для установки на тракторе), не включенные в другие группировки
46.61.11.000 Услуги по оптовой торговле сельскохозяйственными и лесохозяйственными машинами, оборудованием и инструментами, включая тракторы</t>
  </si>
  <si>
    <t>17.12.73.120 Бумага высокохудожественной печати
17.12.77.110 Бумага из целлюлозных волокон мелованная с пропиткой, покрытием, окрашенной поверхностью или с отпечатанными знаками, в рулонах или листах
17.29 Изделия из бумаги и картона прочие
17 Бумага и изделия из бумаги
17.12.73.110 Бумага мелованная для печати
17.23.13.199 Принадлежности канцелярские прочие из бумаги или картона, не включенные в другие группировки
17.1 Целлюлоза, бумага и картон
17.12.14.115 Бумага картографическая
17.12.14.129 Бумага печатная прочая
17.12.32.000 Картон для гофротары белый; мелованный крафт-лайнер ****</t>
  </si>
  <si>
    <t>За весь период компания заключила  1 контрактов на сумму  2 362 766 510,00 ?                                         за 1 ГОД ПО 223ФЗ заключено 3  4 807 722,00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</si>
  <si>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42.21.22.130 Работы строительные по прокладке местных трубопроводов газа и пара
71.12.35.110 Услуги в области кадастровой деятельности</t>
  </si>
  <si>
    <t>За весь период компания заключила  10 контрактов на сумму  31 253 395 511,66 ? За весь период заходили в конкурсы  7 раз на общую сумму обеспеченных контрактов с НМЦ 13 212 617 802,66 ? с БГУ  474 808 966,27 ? с БГИ 2 829 933 984,40 ? За 3 ГОДА по 44ФЗ заключено 3 шт. с объемом НМЦ  4 251 916 058,00 ? с БГИ 633 785 555,60 ? с БГГО 8 976 752,00 ? с авансированием до 1 042 969 749,00 ? с комиссией банку 21 411 071,38 ? с кв 186 276,32 ? ЗА 1 ГОД по 44ФЗ заключено 1 шт. c объемом НМЦ 1 409 223 762,00 ? с БГИ 140 922 376,20 ? с БГГО 1 409 224,00 ? с авансированием до  0,00 ? с комиссией банку  6 192 862,78 ? с кв 53 877,91 ?</t>
  </si>
  <si>
    <t>"44 за 3 года", ".", "рейтинг поставщиков в маркере по бг", "ГРАНДИОЗНЫЙ ПРОЕКТ", "факторинг", "Конкурсы 100+ (Восстановленный)", "fk1", "все клиенты с выручкой от 1,8 млрд до бесконечности", "ФК клиенты с выручкой от 230 до бесконечности", "Обороты по клиентам по кварталам (2022г)", "44 фз с с БГ от 10 млн", "рейтинг по нмц маркер", "поставщики маркер"</t>
  </si>
  <si>
    <t>65.12 Услуги по страхованию, кроме страхования жизни
64.91.10.190 Услуги по финансовой аренде (лизингу/сублизингу) в прочих областях, кроме племенных животных
65.12.2 Услуги по страхованию автотранспортных средств</t>
  </si>
  <si>
    <t>22.22.11.000 Мешки и сумки, включая конические, из полимеров этилена
22.22.1 Изделия пластмассовые упаковочные</t>
  </si>
  <si>
    <t>Заказчик разыгравший 2 конкурсов на сумму  793 826 717,00 ?</t>
  </si>
  <si>
    <t>Сообщения о принятии решения о реорганизации от 01.04.2022</t>
  </si>
  <si>
    <t>"поставщики маркер", ".", "все клиенты с выручкой от 1,8 млрд до бесконечности", "рейтинг заказчиков маркер", "это заказчик"</t>
  </si>
  <si>
    <t>41.20.40.900 Работы строительные по возведению нежилых зданий и сооружений прочие, не включенные в другие группировки
41.20.20 Здания нежилые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42.21.21.000 Работы строительные по прокладке магистральных трубопроводов
42.99.12.110 Площадки спортивные для спортивных игр на открытом воздухе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t>
  </si>
  <si>
    <t>За весь период компания заключила  40 контрактов на сумму  21 802 724 042,66 ? За весь период заходили в конкурсы  139 раз на общую сумму обеспеченных контрактов с НМЦ 40 383 548 182,31 ? с БГУ  1 962 200 098,28 ? с БГИ 5 238 829 442,32 ? За 3 ГОДА по 44ФЗ заключено 61 шт. с объемом НМЦ  19 665 002 627,95 ? с БГИ 2 628 780 348,42 ? с БГГО 27 248 729,72 ? с авансированием до 2 210 392 617,71 ? с комиссией банку 48 640 454,81 ? с кв 423 171,96 ? ЗА 1 ГОД по 44ФЗ заключено 40 шт. c объемом НМЦ 13 128 861 408,08 ? с БГИ 1 310 165 851,24 ? с БГГО 12 736 695,00 ? с авансированием до  1 590 781 260,21 ? с комиссией банку  19 433 349,38 ? с кв 169 070,14 ?</t>
  </si>
  <si>
    <t>"44 за 3 года", ".", "рейтинг поставщиков в маркере по бг", "ГРАНДИОЗНЫЙ ПРОЕКТ", "Конкурсы 100+ (Восстановленный)", "44 фз с с БГ от 10 млн", "производители", "рейтинг по нмц маркер", "crm управления", "в crm за Эльшаном",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</si>
  <si>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42.99.12.124 Территории парковые и парки для отдыха
81.30.10.000 Услуги по планировке ландшафта
41.20.40.900 Работы строительные по возведению нежилых зданий и сооружений прочие, не включенные в другие группировки
42.99 Сооружения и строительные работы по строительству прочих гражданских сооружений, не включенных в другие группировки
42.91.2 Работы строительные по строительству береговых и портовых сооружений, плотин, шлюзов и связанных гидромеханических сооружений
42.21.22.110 Работы строительные по прокладке местных трубопроводов воды или сточных вод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</si>
  <si>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контрактов 14 шт. на общую сумму НМЦ 28 119 678 074,05 ?</t>
  </si>
  <si>
    <t>Сообщение кредитора о намерении обратиться в суд с заявлением о банкротстве от 20.04.2023</t>
  </si>
  <si>
    <t>"44 за 3 года", ".", "рейтинг поставщиков в маркере по бг", "ГРАНДИОЗНЫЙ ПРОЕКТ", "Конкурсы 100+ (Восстановленный)", "44 фз с с БГ от 10 млн", "рейтинг по нмц маркер", "crm управления", "в crm за Курилиным", "поставщики маркер"</t>
  </si>
  <si>
    <t>42.91.20.190 Работы строительные и ремонтные, связанные с прочими водными сооружениями и работы по ремонту всех вышеуказанных сооружений
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43.21.10.290 Работы электромонтажные прочие, не включенные в другие группировки
42.99.12.110 Площадки спортивные для спортивных игр на открытом воздухе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</si>
  <si>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70 контрактов на сумму  46 575 090 934,08 ? За весь период заходили в конкурсы  223 раз на общую сумму обеспеченных контрактов с НМЦ 72 056 454 665,46 ? с БГУ  2 884 930 305,74 ? с БГИ 6 742 309 018,43 ? За 3 ГОДА по 44ФЗ заключено 49 шт. с объемом НМЦ  14 934 540 171,08 ? с БГИ 1 525 802 908,54 ? с БГГО 2 226 108,75 ? с авансированием до 3 511 483 653,20 ? с комиссией банку 13 484 430,23 ? с кв 117 314,54 ? ЗА 1 ГОД по 44ФЗ заключено 19 шт. c объемом НМЦ 4 646 069 638,50 ? с БГИ 479 370 301,91 ? с БГГО 0,00 ? с авансированием до  455 511 674,73 ? с комиссией банку  5 057 899,99 ? с кв 44 003,73 ?</t>
  </si>
  <si>
    <t>"44 за 3 года", ".", "рейтинг поставщиков в маркере по бг", "Конкурсы 100+ (Восстановленный)", "Все БГ поиск клиентов Банка и их контакты РЭБ", "44 фз с с БГ от 10 млн", "рейтинг по нмц маркер", "поставщики маркер"</t>
  </si>
  <si>
    <t>28.30.34.000 Разбрасыватели органических и минеральных удобрений</t>
  </si>
  <si>
    <t>19.20.21.124 Бензин автомобильный с октановым числом более 92, но не более 95 по исследовательскому методу экологического класса К4
19.20.21 Топливо моторное, включая автомобильный и авиационный бензин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19.20.21.345 Топливо дизельное межсезонное экологического класса К5
19.20.2 Топливо жидкое и газообразное; масла смазочные
19.20.21.300 Топливо дизельное
47.30.10.000 Услуги по розничной торговле моторным топливом в специализированных магазинах ****</t>
  </si>
  <si>
    <t>1 116</t>
  </si>
  <si>
    <t>ЗА 1 ГОД по 44ФЗ заключено 15 шт. c объемом НМЦ 72 388 652,37 ? с БГИ 7 955 925,57 ? с БГГО 0,00 ? с авансированием до  0,00 ? с комиссией банку  118 235,37 ? с кв 1 028,65 ?     за 1 ГОД ПО 223ФЗ заключено 2  5 958 800,00 ?</t>
  </si>
  <si>
    <t>"223 за 3 года", ".", "все клиенты с выручкой от 1,8 млрд до бесконечности", "Участники клиринга", "производители", "поставщики маркер", "44 за 3 года"</t>
  </si>
  <si>
    <t>20.15.79.000 Удобрения минеральные или химические, содержащие два или три питательных элемента (азот, фосфор и калий), не включенные в другие группировки
20.59.52.199 Реагенты сложные диагностические или лабораторные прочие, не включенные в другие группировки
20.15.10.111 Кислота азотная концентрированная в моногидрате
20.15.31.000 Мочевина (карбамид)
20.15.32 Сульфат аммония
20.15.33.000 Нитрат аммония
20.15.39 Удобрения азотные и смеси прочие
20.15.3 Удобрения азотные минеральные или химические</t>
  </si>
  <si>
    <t>За весь период компания заключила  4 контрактов на сумму  1 769 661 952,00 ?                                     ЗА 3 ГОДА ПО 223 ФЗ заключено 11 шт. с объемом НМЦ 35 965 406,40 ?</t>
  </si>
  <si>
    <t>"223 за 3 года", ".", "все клиенты с выручкой от 1,8 млрд до бесконечности", "Участники клиринга", "производители", "рейтинг по нмц маркер", "поставщики маркер"</t>
  </si>
  <si>
    <t>20.14.2 Спирты, фенолы, фенолоспирты и их галогенированные, сульфированные, нитрованные или нитрозированные производные; спирты жирные промышленные
20.1 Вещества химические основные, удобрения химические и азотные, пластмассы и синтетический каучук в первичных формах
20.14.34.119 Соли фталевой кислоты прочие
20.41.2 Вещества органические поверхностно-активные, кроме мыла</t>
  </si>
  <si>
    <t>"223 за 3 года", ".",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"поставщики маркер"</t>
  </si>
  <si>
    <t>1 959</t>
  </si>
  <si>
    <t>"поставщики маркер", ".", "беники", "все клиенты с выручкой от 1,8 млрд до бесконечности", "производители", "это заказчик"</t>
  </si>
  <si>
    <t>Юридическое лицо находится в процессе реорганизации в форме присоединения к нему других юридических лиц от 22.12.2022, Сообщения о принятии решения о реорганизации от 21.12.2022</t>
  </si>
  <si>
    <t>15.20.14.130 Обувь валяная
68.20.12.000 Услуги по сдаче в аренду (внаем) собственных или арендованных нежилых помещений</t>
  </si>
  <si>
    <t>14.31 Изделия чулочно-носочные трикотажные или вязаные</t>
  </si>
  <si>
    <t>20.1 Вещества химические основные, удобрения химические и азотные, пластмассы и синтетический каучук в первичных формах
20.13.23.111 Натрий
20.13.99.000 Услуги по производству прочих основных неорганических химических веществ отдельные, выполняемые субподрядчиком
46.75 Услуги по оптовой торговле химическими продуктами
20.13.25 Оксиды, гидроксиды и пероксиды; гидразин и гидроксиламин и их неорганические соли
20.13.25.111 Гидроксид натрия (сода каустическая)</t>
  </si>
  <si>
    <t>За весь период компания заключила  12 контрактов на сумму  637 284 511,94 ?                                     ЗА 3 ГОДА ПО 223 ФЗ заключено 12 шт. с объемом НМЦ 579 451 831,43 ? за 1 ГОД ПО 223ФЗ заключено 5  359 953 228,18 ?</t>
  </si>
  <si>
    <t>"223 за 3 года", ".", "ГРАНДИОЗНЫЙ ПРОЕКТ 223", "Конкурсы 100+ (Восстановленный)", "06.2022_ФинХД", "все клиенты с выручкой от 1,8 млрд до бесконечности", "223 фз контракты 20+", "рейтинг по нмц маркер", "поставщики маркер"</t>
  </si>
  <si>
    <t>"в срм за Мелкумовым", "свод фт", ".", "все клиенты с выручкой от 1,8 млрд до бесконечности", "рейтинг заказчиков маркер", "это заказчик", "на фт заводил Мелкумов", "crm управления"</t>
  </si>
  <si>
    <t>47 Услуги по розничной торговле, кроме розничной торговли автотранспортными средствами и мотоциклами
47.78.90.000 Услуги по розничной торговле непродовольственными товарами, не включенными в другие группировки, в специализированных магазинах</t>
  </si>
  <si>
    <t>"223 за 3 года", ".", "fk1", "все клиенты с выручкой от 1,8 млрд до бесконечности", "поставщики маркер"</t>
  </si>
  <si>
    <t>61.20.1 Услуги подвижной связи
61.20.11.000 Услуги подвижной связи общего пользования - обеспечение доступа и поддержка пользователя
61.30.10.000 Услуги спутниковой связи, кроме услуг для целей теле- и радиовещания
61.10.11.110 Услуги по предоставлению внутризоновых, междугородных и международных телефонных соединений
68.20.12.000 Услуги по сдаче в аренду (внаем) собственных или арендованных нежилых помещений
26.30.22.000 Аппараты телефонные для сотовых сетей связи или для прочих беспроводных сетей
61.10.30.190 Услуги по передаче данных по проводным телекоммуникационным сетям прочие
61.20.30 Услуги по передаче данных по беспроводным телекоммуникационным сетям</t>
  </si>
  <si>
    <t>"поставщики маркер", ".", "райф"</t>
  </si>
  <si>
    <t>51.21 Услуги по перевозке грузов воздушным транспортом
52.29.19 Услуги грузовых транспортно-экспедиционных агентств прочие
66.22.10.000 Услуги страховых агентов и брокеров
52.29 Услуги транспортные вспомогательные прочие
74.90.19.190 Услуги, предоставляемые прочими научными и техническими консультантами, не включенными в другие группировки</t>
  </si>
  <si>
    <t>ЗА 3 ГОДА ПО 223 ФЗ заключено 6 шт. с объемом НМЦ 292 481 392,00 ?</t>
  </si>
  <si>
    <t>"223 за 3 года", ".", "06.2022_ФинХД", "все клиенты с выручкой от 1,8 млрд до бесконечности", "рейтинг по нмц маркер", "поставщики маркер", "44 за 3 года"</t>
  </si>
  <si>
    <t>ПОС на 03.04.2864</t>
  </si>
  <si>
    <t>"Обороты по клиентам по кварталам (2022г)", ".", "п6", "fk1", "ПОС на 01.02.2023", "ПОС на 03.04.2023", "Кредитный портфель_01.11", "06.2022_ФинХД", "все клиенты с выручкой от 1,8 млрд до бесконечности"</t>
  </si>
  <si>
    <t>1 453</t>
  </si>
  <si>
    <t>Сообщения о принятии решения о реорганизации от 15.02.2022</t>
  </si>
  <si>
    <t>"это заказчик", ".", "fk1", "райф", "все клиенты с выручкой от 1,8 млрд до бесконечности", "рейтинг заказчиков маркер"</t>
  </si>
  <si>
    <t>Заказчик разыгравший 3 конкурсов на сумму  1 509 763 888,49 ?</t>
  </si>
  <si>
    <t>"поставщики маркер", ".", "06.2022_ФинХД", "все клиенты с выручкой от 1,8 млрд до бесконечности", "ФК клиенты с выручкой от 230 до бесконечности", "клиенты от 100 млн", "рейтинг заказчиков маркер", "это заказчик"</t>
  </si>
  <si>
    <t>За 3 года по 223ФЗ заключено  8 шт контрактов на сумму 30 064 121,14 ?</t>
  </si>
  <si>
    <t>Сообщение кредитора о намерении обратиться в суд с заявлением о банкротстве от 12.03.2019</t>
  </si>
  <si>
    <t>42.21.22.120 Работы строительные по прокладке местных трубопроводов горячей воды
42.22.22.110 Работы строительные по прокладке местных линий электропередачи и связи над землей или под землей
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42.21.13.126 Сооружение очистное канализации ****</t>
  </si>
  <si>
    <t>За весь период контрактов 9 шт. на общую сумму НМЦ 1 490 361 393,29 ?</t>
  </si>
  <si>
    <t>43.22.12.120 Работы по установке и техническому обслуживанию систем управления центральным отоплением
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35.13.10.000 Услуги по распределению электроэнергии ****</t>
  </si>
  <si>
    <t>За весь период компания заключила  18 контрактов на сумму  27 204 163 318,99 ?                                     ЗА 3 ГОДА ПО 223 ФЗ заключено 31 шт. с объемом НМЦ 884 413 453,38 ? за 1 ГОД ПО 223ФЗ заключено 20  941 801 307,96 ?</t>
  </si>
  <si>
    <t>Сообщения о принятии решения о реорганизации от 16.12.2021</t>
  </si>
  <si>
    <t>"223 за 3 года", ".", "Конкурсы 100+ (Восстановленный)", "223 фз контракты 20+", "рейтинг заказчиков маркер", "рейтинг по нмц маркер", "это заказчик", "поставщики маркер"</t>
  </si>
  <si>
    <t>"Участники клиринга", "кл фт ФК БГ 04.22", ".", "fk1", "ПОС на 01.02.2023", "ПОС на 03.04.2023", "Кредитный портфель_01.11", "2. Финтендер 2022 31.03.22 Григорян для СПАРК", "06.2022_ФинХД", "все клиенты с выручкой от 1,8 млрд до бесконечности", "клиенты от 100 млн", "действующие б не прям", "Обороты по клиентам по кварталам (2022г)", "ФТ клиенты с продуктами по сотрудникам"</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</si>
  <si>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09.1 Услуги по добыче нефти и природного газа</t>
  </si>
  <si>
    <t>6 412</t>
  </si>
  <si>
    <t>За весь период компания заключила  7 контрактов на сумму  7 602 280 576,21 ?</t>
  </si>
  <si>
    <t>19.20.29.119 Масла моторные прочие, не включенные в другие группировки
52.10.12.110 Услуги по хранению и складированию нефти и продуктов ее переработки
52.22.14.110 Услуги лоцманские на внутренних водных путях
50.40.19.900 Услуги по перевозке внутренним водным транспортом прочих грузов, не включенные в другие группировки
50.40.12.000 Услуги по перевозке нефти внутренним водным транспортом с помощью судов-танкеров
50.40.14.000 Услуги по перевозке контейнерных грузов внутренним водным транспортом с помощью судов-контейнеровозов
19.20.2 Топливо жидкое и газообразное; масла смазочные
50.40.22.120 Услуги маневровые на внутреннем водном транспорте
05.10.10.137 Уголь марки Т - тощий
52.22.19.192 Услуги, связанные с внутренним водным транспортом, прочие ****</t>
  </si>
  <si>
    <t>За весь период компания заключила  31 контрактов на сумму  17 907 511 179,98 ? За весь период заходили в конкурсы  21 раз на общую сумму обеспеченных контрактов с НМЦ 523 100 533,20 ? с БГУ  19 286 730,97 ? с БГИ 153 613 842,02 ?                             ЗА 3 ГОДА ПО 223 ФЗ заключено 18 шт. с объемом НМЦ 813 258 397,69 ? за 1 ГОД ПО 223ФЗ заключено 4  91 661 157,64 ?</t>
  </si>
  <si>
    <t>"223 за 3 года", ".", "рейтинг поставщиков в маркере по бг", "223 фз контракты 20+", "производители", "рейтинг по нмц маркер", "это заказчик", "поставщики маркер", "44 за 3 года"</t>
  </si>
  <si>
    <t>10.89.19.140 Концентраты белковые (протеиновые)
10.86.10.139 Смеси молочные сухие прочие для детей раннего возраста
22.22.19.000 Изделия упаковочные пластмассовые прочие
22.29 Изделия пластмассовые прочие
21.20.23.199 Средства нелечебные прочие
20.59.52.193 Комплексоны и комплексонаты, соединения комплексные
20.59.52.199 Реагенты сложные диагностические или лабораторные прочие, не включенные в другие группировки
20.59.60.111 Желатины пищевые
13.99 Изделия текстильные прочие, не включенные в другие группировки
20.20.14.000 Средства дезинфекционные ****</t>
  </si>
  <si>
    <t>За весь период контрактов 18 шт. на общую сумму НМЦ 1 022 644 840,69 ?</t>
  </si>
  <si>
    <t>"223 за 3 года", "свод фт", ".", "рейтинг поставщиков в маркере по бг", "fk1", "Евразия_июлль-август 2019", "БГ ФБ ЮР лица на 01.07.2021", "филиал бизнес 31.01.22 ", "все клиенты с выручкой от 1,8 млрд до бесконечности", "портфель", "ФК клиенты с выручкой от 230 до бесконечности", "рейтинг по нмц маркер", "на фт заводил Тихонов ", "на фт заводил Забалотний", "на фт заводил Алиев", "crm управления", "в crm за Арифом", "поставщики маркер", "44 за 3 года"</t>
  </si>
  <si>
    <t>68.2 Услуги по сдаче в аренду (внаем) собственного или арендованного недвижимого имущества
35.30.11.130 Энергия тепловая, отпущенная электрокотлами
35.30.12.110 Услуги по приготовлению воды на нужды горячего водоснабжения
35.12.10.120 Услуги по технологическому присоединению к распределительным электросетям
35.30 Услуги по снабжению паром и кондиционированию воздуха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t>
  </si>
  <si>
    <t>1 262</t>
  </si>
  <si>
    <t>За весь период компания заключила  11 контрактов на сумму  24 921 039 223,67 ?                                     ЗА 3 ГОДА ПО 223 ФЗ заключено 5 шт. с объемом НМЦ 33 045 447,97 ? за 1 ГОД ПО 223ФЗ заключено 1  13 296 209,53 ?</t>
  </si>
  <si>
    <t>"Участники клиринга", ".", "fk1", "корп 2",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</si>
  <si>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42.13.10.110 Мосты и путепроводы из любых материалов для всех типов сухопутного транспорта и для пешеходов
42.13.20.100 Работы строительные по строительству мостов и тоннелей, кроме работ по сохранению и воссозданию объектов культурного наследия
42.11.10.129 Дороги автомобильные, в том числе улично-дорожная сеть, и прочие автомобильные и пешеходные дороги, не включенные в другие группировки
42.13.10.119 Мосты и путепроводы из любых материалов для всех типов сухопутного транспорта и для пешеходов прочие
52.21.23.000 Услуги по эксплуатации мостов и тоннелей</t>
  </si>
  <si>
    <t>За весь период компания заключила  76 контрактов на сумму  102 872 957 017,26 ? За весь период заходили в конкурсы  196 раз на общую сумму обеспеченных контрактов с НМЦ 100 991 948 720,49 ? с БГУ  5 629 149 522,73 ? с БГИ 16 122 757 989,29 ? За 3 ГОДА по 44ФЗ заключено 25 шт. с объемом НМЦ  9 684 296 435,08 ? с БГИ 1 416 301 404,68 ? с БГГО 265 894 622,29 ? с авансированием до 2 987 108 599,31 ? с комиссией банку 53 295 071,64 ? с кв 463 667,12 ? ЗА 1 ГОД по 44ФЗ заключено 11 шт. c объемом НМЦ 4 461 004 971,74 ? с БГИ 782 099 582,55 ? с БГГО 15 999 068,47 ? с авансированием до  2 060 208 713,32 ? с комиссией банку  31 987 581,43 ? с кв 278 291,96 ?</t>
  </si>
  <si>
    <t>"44 за 3 года", ".", "рейтинг поставщиков в маркере по бг", "ГРАНДИОЗНЫЙ ПРОЕКТ", "п6", "Конкурсы 100+ (Восстановленный)", "fk1", "ПОС на 01.02.2023", "ПОС на 03.04.2023", "Кредитный портфель_01.11", "Гарантии ФБ банкроты", "06.2022_ФинХД", "все клиенты с выручкой от 1,8 млрд до бесконечности", "клиенты от 100 млн", "44 фз с с БГ от 10 млн", "рейтинг по нмц маркер", "поставщики маркер"</t>
  </si>
  <si>
    <t>24.45.30.243 Изделия из марганца
20.14.41.130 Моно- и полиамины циклоалкановые, циклоалкеновые и циклотерпеновые и их производные, соли этих соединений
20.16.40.130 Смолы эпоксидные в первичных формах
20.14.63.110 Эфиры простые</t>
  </si>
  <si>
    <t>20.17.10.141 Каучуки бутадиеннитрильные</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</si>
  <si>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35.11.10.142 Электроэнергия, произведенная ветровыми электростанциями
35.11.10 Электроэнергия
35.11.10.121 Электроэнергия, произведенная блок-станциями конденсационных электростанций (КЭС)
35.11.10.140 Электроэнергия от возобновляемых источников энергии ****</t>
  </si>
  <si>
    <t>За весь период компания заключила  8 контрактов на сумму  505 111 034,93 ?                                     ЗА 3 ГОДА ПО 223 ФЗ заключено 30 шт. с объемом НМЦ 86 068 067,25 ? за 1 ГОД ПО 223ФЗ заключено 6  8 527 667,76 ?</t>
  </si>
  <si>
    <t>43.21.10.220 Работы по монтажу систем освещения и сигнализации автомобильных дорог, аэропортов и портов
43.22.12.120 Работы по установке и техническому обслуживанию систем управления центральным отоплением
43.22.12.160 Работы по установке приборов учета расхода тепловой энергии
71.12.16.000 Услуги по инженерно-техническому проектированию производственных процессов и производств
42.21.22.120 Работы строительные по прокладке местных трубопроводов горячей воды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35.11.10.112 Электроэнергия, произведенная теплоэлектроцентралями (ТЭЦ) общего назначения
35.14 Услуги по торговле электроэнергией
43.22.20.000 Работы по монтажу газовых систем
71.12 Услуги в области инженерно-технического проектирования и связанные технические консультативные услуги ****</t>
  </si>
  <si>
    <t>За весь период компания заключила  34 контрактов на сумму  4 051 006 373,71 ? За весь период заходили в конкурсы  153 раз на общую сумму обеспеченных контрактов с НМЦ 6 716 187 380,68 ? с БГУ  164 977 291,55 ? с БГИ 811 727 191,45 ? За 3 ГОДА по 44ФЗ заключено 224 шт. с объемом НМЦ  4 165 771 769,14 ? с БГИ 143 374 550,56 ? с БГГО 21 110 117,36 ? с авансированием до 44 385,00 ? с комиссией банку 973 822,08 ? с кв 8 472,25 ? ЗА 1 ГОД по 44ФЗ заключено 51 шт. c объемом НМЦ 606 810 232,39 ? с БГИ 17 552 472,66 ? с БГГО 1 765 194,19 ? с авансированием до  44 385,00 ? с комиссией банку  426 889,85 ? с кв 3 713,94 ? ЗА 3 ГОДА ПО 223 ФЗ заключено 20 шт. с объемом НМЦ 773 640 607,57 ? за 1 ГОД ПО 223ФЗ заключено 10  1 044 385 098,22 ?</t>
  </si>
  <si>
    <t>"223 за 3 года", ".", "рейтинг поставщиков в маркере по бг", "Конкурсы 100+ (Восстановленный)", "все клиенты с выручкой от 1,8 млрд до бесконечности", "223 фз контракты 20+", "рейтинг заказчиков маркер", "рейтинг по нмц маркер", "это заказчик", "поставщики маркер", "44 за 3 года"</t>
  </si>
  <si>
    <t>35.12.10.120 Услуги по технологическому присоединению к распределительным электросетям
27.12.40.000 Части электрической распределительной или регулирующей аппаратуры
68.20.12.000 Услуги по сдаче в аренду (внаем) собственных или арендованных нежилых помещений
27.40.39.113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</si>
  <si>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За 3 ГОДА по 44ФЗ заключено 12 шт. с объемом НМЦ  172 388 252,63 ? с БГИ 51 423 704,74 ? с БГГО 0,00 ? с авансированием до 24 837 888,93 ? с комиссией банку 501 309,07 ? с кв 4 361,39 ? ЗА 1 ГОД по 44ФЗ заключено 8 шт. c объемом НМЦ 120 377 879,99 ? с БГИ 35 972 935,37 ? с БГГО 0,00 ? с авансированием до  13 838 299,98 ? с комиссией банку  338 831,65 ? с кв 2 947,84 ?     за 1 ГОД ПО 223ФЗ заключено 1  5 505 200,74 ?</t>
  </si>
  <si>
    <t>"44 за 3 года", ".", "все клиенты с выручкой от 1,8 млрд до бесконечности", "рейтинг заказчиков маркер", "производители", "рейтинг по нмц маркер", "это заказчик", "поставщики маркер"</t>
  </si>
  <si>
    <t>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71.12.19.100 Услуги по инженерно-техническому проектированию прочих объектов, кроме объектов культурного наследия</t>
  </si>
  <si>
    <t>За весь период компания заключила  16 контрактов на сумму  17 861 118 077,75 ? За весь период заходили в конкурсы  14 раз на общую сумму обеспеченных контрактов с НМЦ 16 308 373 570,34 ? с БГУ  403 861 146,31 ? с БГИ 1 760 940 848,18 ? За 3 ГОДА по 44ФЗ заключено 5 шт. с объемом НМЦ  5 911 386 024,97 ? с БГИ 567 944 272,83 ? с БГГО 2 720 690,57 ? с авансированием до 43 106 885,86 ? с комиссией банку 15 754 466,25 ? с кв 137 063,86 ? ЗА 1 ГОД по 44ФЗ заключено 1 шт. c объемом НМЦ 1 159 716 483,02 ? с БГИ 92 777 318,64 ? с БГГО 1 159 716,00 ? с авансированием до  0,00 ? с комиссией банку  4 143 206,28 ? с кв 36 045,89 ?</t>
  </si>
  <si>
    <t>Сообщение кредитора о намерении обратиться в суд с заявлением о банкротстве от 06.02.2023</t>
  </si>
  <si>
    <t>"44 за 3 года", ".", "рейтинг поставщиков в маркере по бг", "ГРАНДИОЗНЫЙ ПРОЕКТ", "клиент металлинвеста", "Конкурсы 100+ (Восстановленный)", "fk1", "инн Красносельская", "Обороты по клиентам по кварталам (2022г)", "44 фз с с БГ от 10 млн", "рейтинг по нмц маркер", "поставщики маркер"</t>
  </si>
  <si>
    <t>27.90 Оборудование электрическое прочее
27.90.20.120 Приборы световой и звуковой сигнализации электрические
30.20.40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27.90.70.000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
27.11.43.000 Трансформаторы прочие мощностью более 16 кВА</t>
  </si>
  <si>
    <t>За весь период заходили в конкурсы  3 раз на общую сумму обеспеченных контрактов с НМЦ 716 998 908,23 ? с БГУ  50 726 896,01 ? с БГИ 84 336 577,44 ? За 3 ГОДА по 44ФЗ заключено 8 шт. с объемом НМЦ  1 280 457 884,71 ? с БГИ 126 969 656,64 ? с БГГО 128 045 788,15 ? с авансированием до 0,00 ? с комиссией банку 563 339,38 ? с кв 4 901,05 ? ЗА 1 ГОД по 44ФЗ заключено 3 шт. c объемом НМЦ 461 684 481,91 ? с БГИ 46 039 314,31 ? с БГГО 46 168 448,19 ? с авансированием до  0,00 ? с комиссией банку  326 037,16 ? с кв 2 836,52 ?</t>
  </si>
  <si>
    <t>"44 за 3 года", ".", "рейтинг поставщиков в маркере по бг", "все клиенты с выручкой от 1,8 млрд до бесконечности", "44 фз с с БГ от 10 млн", "рейтинг по нмц маркер", "поставщики маркер"</t>
  </si>
  <si>
    <t>"поставщики маркер", ".", "рейтинг поставщиков в маркере по бг", "все клиенты с выручкой от 1,8 млрд до бесконечности", "рейтинг по нмц маркер", "crm управления", "в crm за Ким"</t>
  </si>
  <si>
    <t>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68.20.12.000 Услуги по сдаче в аренду (внаем) собственных или арендованных нежилых помещений
35.30.11.110 Энергия тепловая, отпущенная электростанциями
35.30.11.119 Энергия тепловая, отпущенная прочими электростанциями</t>
  </si>
  <si>
    <t>За весь период контрактов 18 шт. на общую сумму НМЦ 24 670 637 128,66 ?</t>
  </si>
  <si>
    <t>"поставщики маркер", ".", "рейтинг поставщиков в маркере по бг", "Пролонгации на 15.11.2021 г", "АНАЛИЗ Все установленные лимиты на 01.12.2021 ОКВЭД Прочие Услуги", "06.2022_ФинХД", "все клиенты с выручкой от 1,8 млрд до бесконечности", "производители", "рейтинг по нмц маркер"</t>
  </si>
  <si>
    <t>43.99.90.190 Работы строительные специализированные прочие, не включенные в другие группировки
33.19.10.000 Услуги по ремонту прочего оборудования
43.99.9 Работы строительные специализированные, не включенные в другие группировки
33.12.19.000 Услуги по ремонту и техническому обслуживанию прочего оборудования общего назначения, не включенного в другие группировки
43.21.10.290 Работы электромонтажные прочие, не включенные в другие группировки</t>
  </si>
  <si>
    <t>ЗА 3 ГОДА ПО 223 ФЗ заключено 6 шт. с объемом НМЦ 109 144 002,00 ?</t>
  </si>
  <si>
    <t>71.20 Услуги в области технических испытаний, исследований, анализа и сертификации</t>
  </si>
  <si>
    <t>Заказчик разыгравший 12 конкурсов на сумму  930 902 889,67 ?</t>
  </si>
  <si>
    <t>52.29.19.110 Услуги по экспедированию грузов
49.20 Услуги железнодорожного транспорта по перевозке грузов
52.29.19 Услуги грузовых транспортно-экспедиционных агентств прочие
49.41.19 Услуги по перевозке грузов автомобильным транспортом прочие
49.20.14.000 Услуги железнодорожного транспорта по перевозке контейнеров для смешанной перевозки
49.41 Услуги по грузовым перевозкам автомобильным транспортом
49.20.19.190 Услуги железнодорожного транспорта по перевозке прочих грузов, не включенные в другие группировки
52.29.1 Услуги грузовых транспортно-экспедиционных агентств
53.20.11 Услуги по курьерской доставке различными видами транспорта</t>
  </si>
  <si>
    <t>за 1 ГОД ПО 223ФЗ заключено 1  5 000 000,00 ?</t>
  </si>
  <si>
    <t>Сообщение кредитора о намерении обратиться в суд с заявлением о банкротстве от 15.04.2019</t>
  </si>
  <si>
    <t>49.41 Услуги по грузовым перевозкам автомобильным транспортом
52.29 Услуги транспортные вспомогательные прочие
49.20.1 Услуги железнодорожного транспорта по перевозке грузов</t>
  </si>
  <si>
    <t>Заказчик разыгравший 122 конкурсов на сумму  18 935 129 316,68 ?</t>
  </si>
  <si>
    <t>14.19.32.120 Одежда из нетканых материалов</t>
  </si>
  <si>
    <t>1 514</t>
  </si>
  <si>
    <t>42.22.2 Работы строительные по строительству коммунальных объектов для электроснабжения и телекоммуникаций
41.20.40.900 Работы строительные по возведению нежилых зданий и сооружений прочие, не включенные в другие группировки
68.10.11.000 Услуги по покупке и продаже жилых зданий и занимаемых ими земельных участков
68.20.12.000 Услуги по сдаче в аренду (внаем) собственных или арендованных нежилых помещений
42.1 Дороги автомобильные и железные; строительные работы по строительству автомобильных дорог и железных дорог</t>
  </si>
  <si>
    <t>За весь период компания заключила  4 контрактов на сумму  1 345 711 030,80 ? За весь период заходили в конкурсы  7 раз на общую сумму обеспеченных контрактов с НМЦ 1 740 347 586,72 ? с БГУ  115 849 572,35 ? с БГИ 618 549 866,54 ?</t>
  </si>
  <si>
    <t>Сообщения о принятии решения о реорганизации от 07.06.2022</t>
  </si>
  <si>
    <t>"клиенты от 100 млн", ".", "fk1", "корп 1", "06.2022_ФинХД", "все клиенты с выручкой от 1,8 млрд до бесконечности", "ФК клиенты с выручкой от 230 до бесконечности"</t>
  </si>
  <si>
    <t>1 032</t>
  </si>
  <si>
    <t>Заказчик разыгравший 2 конкурсов на сумму  2 417 546 903,82 ?</t>
  </si>
  <si>
    <t>35.11.10.112 Электроэнергия, произведенная теплоэлектроцентралями (ТЭЦ) общего назначения
36.00.1 Вода природная
36.00.20.140 Услуги по техническому обслуживанию приборов учета расхода воды
35.11.10.122 Электроэнергия, произведенная блок-станциями теплоэлектроцентралей (ТЭЦ)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t>
  </si>
  <si>
    <t>За весь период компания заключила  22 контрактов на сумму  1 368 746 604,29 ? За весь период заходили в конкурсы  1 раз на общую сумму обеспеченных контрактов с НМЦ 76 370 383,01 ? с БГУ  3 876 669,19 ? с БГИ 23 260 015,13 ?                             ЗА 3 ГОДА ПО 223 ФЗ заключено 45 шт. с объемом НМЦ 118 835 250,05 ? за 1 ГОД ПО 223ФЗ заключено 10  43 123 807,89 ?</t>
  </si>
  <si>
    <t>Сообщение кредитора о намерении обратиться в суд с заявлением о банкротстве от 12.02.2021</t>
  </si>
  <si>
    <t>35.30.11.120 Энергия тепловая, отпущенная котельными
16.10.23.112 Щепа топливная
35.11.10.119 Электроэнергия, произведенная нетиповыми электростанциями общего назначения</t>
  </si>
  <si>
    <t>1 587</t>
  </si>
  <si>
    <t>"поставщики маркер", ".", "все клиенты с выручкой от 1,8 млрд до бесконечности", "Участники клиринга", "производители", "это заказчик"</t>
  </si>
  <si>
    <t>56.29.20.190 Услуги прочих столовых
10.71.11.110 Хлеб недлительного хранения
10.61 Продукция мукомольно-крупяного производства
10.71.11.111 Хлеб недлительного хранения из пшеничной муки
10.71.11.119 Хлеб недлительного хранения прочий
10.71.11.112 Хлеб недлительного хранения из ржаной и смеси ржаной и пшеничной муки
56.21.19.000 Услуги по поставке продукции общественного питания и обслуживанию торжественных мероприятий прочие
56.29.19.000 Услуги по обеспечению питанием, осуществляемые по договору, прочие
10.71 Изделия хлебобулочные; мучные кондитерские изделия, торты и пирожные недлительного хранения
10.72 Изделия сухарные и печенье; мучные кондитерские изделия, торты и пирожные длительного хранения ****</t>
  </si>
  <si>
    <t>За весь период контрактов 11 шт. на общую сумму НМЦ 11 457 096 980,52 ?</t>
  </si>
  <si>
    <t>"223 за 3 года", ".", "fk1", "АНАЛИЗ Все установленные лимиты на 01.12.2021 ОКВЭД Прочие Услуги", "просрочка на 01.01.2023 г.", "Запрос в ЮД_просрочка на 01.01.2023", "все клиенты с выручкой от 1,8 млрд до бесконечности", "рейтинг заказчиков маркер", "производители", "рейтинг по нмц маркер", "это заказчик",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</si>
  <si>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42.11.10.130 Ограждения дорожные
42.91.10.150 Плотины и аналогичные водоудерживающие сооружения и насыпи для береговых и прочих прибрежных участков
42.13.20.100 Работы строительные по строительству мостов и тоннелей, кроме работ по сохранению и воссозданию объектов культурного наследия</t>
  </si>
  <si>
    <t>За весь период компания заключила  34 контрактов на сумму  22 839 515 771,00 ? За весь период заходили в конкурсы  86 раз на общую сумму обеспеченных контрактов с НМЦ 28 457 843 522,28 ? с БГУ  753 656 533,97 ? с БГИ 4 191 611 411,33 ? За 3 ГОДА по 44ФЗ заключено 48 шт. с объемом НМЦ  10 734 948 372,67 ? с БГИ 1 173 282 533,84 ? с БГГО 254 999 207,24 ? с авансированием до 1 427 200 416,10 ? с комиссией банку 10 834 316,27 ? с кв 94 258,55 ? ЗА 1 ГОД по 44ФЗ заключено 20 шт. c объемом НМЦ 3 623 558 990,07 ? с БГИ 344 641 604,69 ? с БГГО 41 825 644,74 ? с авансированием до  432 200 712,20 ? с комиссией банку  7 243 344,12 ? с кв 63 017,09 ?</t>
  </si>
  <si>
    <t>Сообщения о принятии решения о реорганизации от 03.11.2022</t>
  </si>
  <si>
    <t>"223 за 3 года", ".", "рейтинг поставщиков в маркере по бг", "ГРАНДИОЗНЫЙ ПРОЕКТ", "все клиенты с выручкой от 1,8 млрд до бесконечности", "44 фз с с БГ от 10 млн", "производители", "рейтинг по нмц маркер", "crm управления", "в crm за Кашиным", "поставщики маркер", "44 за 3 года"</t>
  </si>
  <si>
    <t>24.20.13 Трубы круглого сечения прочие стальные
28.13.31 Части насосов; части подъемников жидкостей
72.19.29.190 Услуги (работы), связанные с научными исследованиями и экспериментальными разработками в области технических наук и в области технологий, прочие, не включенные в другие группировки, кроме биотехнологии
28.29.60.000 Установки для обработки материалов с использованием процессов, включающих изменение температуры, не включенные в другие группировки
23.32.13.119 Трубы керамические прочие</t>
  </si>
  <si>
    <t>За весь период заходили в конкурсы  2 раз на общую сумму обеспеченных контрактов с НМЦ 180 000 000,00 ? с БГУ  0,00 ? с БГИ 31 000 000,00 ?</t>
  </si>
  <si>
    <t>"поставщики маркер", ".", "рейтинг поставщиков в маркере по бг", "райф", "все клиенты с выручкой от 1,8 млрд до бесконечности", "производители"</t>
  </si>
  <si>
    <t>27.32.13.159 Кабели, провода и шнуры связи прочие, не включенные в другие группировки</t>
  </si>
  <si>
    <t>За весь период контрактов 8 шт. на общую сумму НМЦ 457 450 628,13 ?</t>
  </si>
  <si>
    <t>Сообщение кредитора о намерении обратиться в суд с заявлением о банкротстве от 05.10.2022</t>
  </si>
  <si>
    <t>08.12.22.111 Бентониты (глины бентонитовые)
22.23.19.000 Изделия пластмассовые строительные, не включенные в другие группировки
22.23.99.000 Услуги по производству полимерных строительных изделий отдельные, выполняемые субподрядчиком
25.93.13.112 Решетки, сетки и ограждения из проволоки из черных металлов
22.29.29 Изделия пластмассовые прочие
22.21.30.110 Плиты, листы пластмассовые, неармированные или не комбинированные с другими материалами</t>
  </si>
  <si>
    <t>29.10.41.111 Автомобили грузовые с дизельным двигателем, имеющие технически допустимую максимальную массу не более 3,5 т
30.99.10.190 Средства транспортные и оборудование прочие, не включенные в другие группировки
29.1 Средства автотранспортные
29.10.59.130 Средства транспортные для коммунального хозяйства и содержания дорог
28.22.20.000 Ковши, черпаки, грейферы и захваты для подъемных кранов, экскаваторов и аналогичного оборудования
29.20.23.120 Прицепы-цистерны и полуприцепы-цистерны для перевозки нефтепродуктов, воды и прочих жидкостей
29.32.30.390 Части и принадлежности для автотранспортных средств прочие, не включенные в другие группировки
29.32.30 Комплектующие и принадлежности для автотранспортных средств, не включенные в другие группировки
29.32.30.250 Мосты ведущие с дифференциалом в сборе, полуоси
28.92.28.120 Отвалы бульдозеров поворотные ****</t>
  </si>
  <si>
    <t>За весь период компания заключила  9 контрактов на сумму  502 422 958,49 ? За весь период заходили в конкурсы  13 раз на общую сумму обеспеченных контрактов с НМЦ 833 695 992,90 ? с БГУ  18 812 181,85 ? с БГИ 113 233 187,07 ? За 3 ГОДА по 44ФЗ заключено 29 шт. с объемом НМЦ  368 605 409,01 ? с БГИ 26 912 562,13 ? с БГГО 6 210 452,29 ? с авансированием до 0,00 ? с комиссией банку 194 043,15 ? с кв 1 688,18 ?               ЗА 3 ГОДА ПО 223 ФЗ заключено 8 шт. с объемом НМЦ 65 167 480,00 ? за 1 ГОД ПО 223ФЗ заключено 1  8 722 313,33 ?</t>
  </si>
  <si>
    <t>27.33.1 Изделия электроустановочные
27.33.11.190 Устройства коммутационные на напряжение не более 1 кВ прочие, не включенные в другие группировки
26.40.52.000 Части радиоприемной и радиопередающей аппаратуры
26.1 Компоненты электронные и платы
26.11.22.130 Диоды лазерные (полупроводниковые лазеры)
27.33.13.120 Соединители электрические, зажимы контактные, наборы зажимов
27.33.13.130 Арматура кабельная
27.33.13 Разъемы, розетки и прочая аппаратура коммутации или защиты электрических цепей, не включенная в другие группировки
26.11 Компоненты электронные
26.11.4 Части электронных ламп и трубок, и прочих электронных компонентов, не включенные в другие группировки ****</t>
  </si>
  <si>
    <t>За весь период заходили в конкурсы  6 раз на общую сумму обеспеченных контрактов с НМЦ 703 900 000,00 ? с БГУ  3 539 500,00 ? с БГИ 566 320 000,00 ?</t>
  </si>
  <si>
    <t>"223 за 3 года", ".", "рейтинг поставщиков в маркере по бг", "производители", "рейтинг по нмц маркер", "поставщики маркер"</t>
  </si>
  <si>
    <t>1 007</t>
  </si>
  <si>
    <t>30.11.21.110 Суда морские пассажирские
30.11.24.130 Суда сухогрузные смешанного плавания "река - море"
30.11.21.119 Суда морские пассажирские прочие</t>
  </si>
  <si>
    <t>За весь период компания заключила  15 контрактов на сумму  29 483 451 719,94 ? За весь период заходили в конкурсы  5 раз на общую сумму обеспеченных контрактов с НМЦ 23 929 381 400,00 ? с БГУ  581 090 540,15 ? с БГИ 19 922 209 740,90 ?                             ЗА 3 ГОДА ПО 223 ФЗ заключено 4 шт. с объемом НМЦ 1 852 316 730,00 ?</t>
  </si>
  <si>
    <t>"223 за 3 года", ".", "рейтинг поставщиков в маркере по бг", "fk1", "все клиенты с выручкой от 1,8 млрд до бесконечности", "рейтинг заказчиков маркер", "рейтинг по нмц маркер", "это заказчик", "поставщики маркер"</t>
  </si>
  <si>
    <t>26.1 Компоненты электронные и платы
28.99.20 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
35.30.12.110 Услуги по приготовлению воды на нужды горячего водоснабжения
23.19.25.000 Изоляторы электрические стеклянные
35.30.11.120 Энергия тепловая, отпущенная котельными
35.30.12.130 Услуги по транспортированию горячей воды
26.11.40.190 Части прочих электронных компонентов, не включенные в другие группировки
26.11 Компоненты электронные
35.30.11.111 Энергия тепловая, отпущенная тепловыми электроцентралями (ТЭЦ)
36.00.12.000 Вода непитьевая ****</t>
  </si>
  <si>
    <t>Заказчик разыгравший 10 конкурсов на сумму  4 222 555 881,00 ?</t>
  </si>
  <si>
    <t>"223 за 3 года", ".", "рейтинг заказчиков маркер", "производители", "рейтинг по нмц маркер", "это заказчик"</t>
  </si>
  <si>
    <t>28.14 Арматура трубопроводная (арматура) (краны, клапаны и прочие)
28.14.1 Арматура (краны, клапаны и другая аналогичная арматура) для трубопроводов, сосудов, котлов, цистерн, баков и аналогичных емкостей
28.99.39.190 Оборудование специального назначения прочее, не включенное в другие группировки
28.14.13.143 Устройства контрольно-измерительные
28.14.13.142 Арматура запорная</t>
  </si>
  <si>
    <t>За весь период контрактов 17 шт. на общую сумму НМЦ 15 980 032 647,54 ?</t>
  </si>
  <si>
    <t>25.21.12.000 Котлы водогрейные центрального отопления для производства горячей воды или пара низкого давления
25.30.12.113 Оборудование котельное
28.99.39.190 Оборудование специального назначения прочее, не включенное в другие группировки
43.29.1 Работы строительно-монтажные прочие
25.30.11.190 Котлы паропроизводящие прочие
27.11.4 Трансформаторы электрические
43.29.19.190 Работы монтажные прочие, не включенные в другие группировки
27.11.43 Трансформаторы прочие мощностью более 16 кВА</t>
  </si>
  <si>
    <t>За весь период компания заключила  10 контрактов на сумму  824 158 492,91 ? За весь период заходили в конкурсы  2 раз на общую сумму обеспеченных контрактов с НМЦ 128 739 565,92 ? с БГУ  5 115 479,46 ? с БГИ 119 361 187,40 ?</t>
  </si>
  <si>
    <t>"поставщики маркер", ".", "рейтинг поставщиков в маркере по бг", "райф", "производители", "рейтинг по нмц маркер", "это заказчик"</t>
  </si>
  <si>
    <t>25.61.11.190 Услуги по нанесению металлических покрытий прочими методами
25.11.23.119 Конструкции и детали конструкций из черных металлов прочие, не включенные в другие группировки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43.99.70.000 Работы по сборке и монтажу сборных конструкций
25.11 Металлоконструкции строительные и их части
52.21.22.000 Услуги по эксплуатации автомагистралей
43.29.12.110 Работы по установке оград, заборов, защитных перильных и аналогичных ограждений
42.11.10.130 Ограждения дорожные</t>
  </si>
  <si>
    <t>За весь период заходили в конкурсы  7 раз на общую сумму обеспеченных контрактов с НМЦ 744 119 925,06 ? с БГУ  29 354 273,57 ? с БГИ 141 286 945,32 ?               ЗА 1 ГОД по 44ФЗ заключено 3 шт. c объемом НМЦ 57 873 819,22 ? с БГИ 13 540 161,53 ? с БГГО 0,00 ? с авансированием до  0,00 ? с комиссией банку  140 286,32 ? с кв 1 220,49 ?</t>
  </si>
  <si>
    <t>"223 за 3 года", ".", "рейтинг поставщиков в маркере по бг", "fk1", "все клиенты с выручкой от 1,8 млрд до бесконечности", "ФК клиенты с выручкой от 230 до бесконечности", "Обороты по клиентам по кварталам (2022г)", "44 фз с с БГ от 10 млн", "производители", "рейтинг по нмц маркер", "это заказчик", "поставщики маркер", "44 за 3 года"</t>
  </si>
  <si>
    <t>28.13.12.000 Насосы возвратно-поступательные объемного действия прочие для перекачки жидкостей
28.13.14.110 Насосы центробежные подачи жидкостей прочие
45.11.39.000 Услуги по розничной торговле легковыми автомобилями и грузовыми автомобилями малой грузоподъемности прочие, не включенные в другие группировки
28.11.13.130 Дизели промышленные
28.12 Оборудование гидравлическое и пневматическое силовое
27.11.10.120 Электродвигатели постоянного тока прочие
28.99.39.190 Оборудование специального назначения прочее, не включенное в другие группировки
28.92.61.110 Комплектующие (запасные части) бурильных и проходческих машин, не имеющие самостоятельных группировок
27.11.3 Установки генераторные электрические и вращающиеся преобразователи
27.11.32.120 Установки генераторные прочие ****</t>
  </si>
  <si>
    <t>За весь период компания заключила  11 контрактов на сумму  3 141 385 655,65 ?                                     ЗА 3 ГОДА ПО 223 ФЗ заключено 14 шт. с объемом НМЦ 368 009 638,60 ? за 1 ГОД ПО 223ФЗ заключено 2  6 189 600,00 ?</t>
  </si>
  <si>
    <t>"223 за 3 года", ".", "ПСБ Гарантии ", "производители", "рейтинг по нмц маркер", "это заказчик", "поставщики маркер"</t>
  </si>
  <si>
    <t>20.59.43.120 Антифризы
19.20.29.119 Масла моторные прочие, не включенные в другие группировки
19.20.29.150 Масла компрессорные
19.20.29.130 Масла гидравлические
20.59.43.110 Жидкости тормозные для гидравлических передач
19.20.29.120 Масла трансмиссионные
19.20.29.210 Пластичные смазки
19.20.29.230 Нефтепродукты смазочно-охлаждающие
19.20.29.113 Масла дизельные для авиационных поршневых двигателей
19.20.29 Масла нефтяные смазочные; дистилляты тяжелые, не включенные в другие группировки ****</t>
  </si>
  <si>
    <t>"223 за 3 года", ".", "Участники клиринга", "производители", "это заказчик", "поставщики маркер"</t>
  </si>
  <si>
    <t>1 900</t>
  </si>
  <si>
    <t>1 118</t>
  </si>
  <si>
    <t>Сообщения о принятии решения о реорганизации от 22.11.2019</t>
  </si>
  <si>
    <t>25.92.13 Пробки и заглушки, колпачки и крышки корончатые из недрагоценных металлов</t>
  </si>
  <si>
    <t>"223 за 3 года", ".", "райф", "все клиенты с выручкой от 1,8 млрд до бесконечности", "производители", "рейтинг по нмц маркер"</t>
  </si>
  <si>
    <t>46.61.11 Услуги по оптовой торговле сельскохозяйственными и лесохозяйственными машинами, оборудованием и инструментами, включая тракторы
29.2 Кузова (корпуса) для автотранспортных средств; прицепы и полуприцепы
25.11.1 Здания сборные из металла
29.20.22.000 Прицепы и полуприцепы типа фургонов для проживания или отдыха на природе
29.20.23.130 Прицепы и полуприцепы тракторные
29.20.23.190 Прицепы и полуприцепы прочие, не включенные в другие группировки</t>
  </si>
  <si>
    <t>За весь период компания заключила  4 контрактов на сумму  309 112 800,00 ? За весь период заходили в конкурсы  9 раз на общую сумму обеспеченных контрактов с НМЦ 691 167 378,00 ? с БГУ  51 268 180,00 ? с БГИ 307 609 080,00 ?</t>
  </si>
  <si>
    <t>61.20.11.000 Услуги подвижной связи общего пользования - обеспечение доступа и поддержка пользователя
61.90.10.130 Услуги по предоставлению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 д.
61.90.10.150 Услуги телекоммуникационные посредством существующих телекоммуникационных соединений
61.20.20.000 Услуги операторов связи в сфере беспроводных телекоммуникаций
61.10.30.110 Услуги по передаче данных для целей передачи голосовой информации (IP-телефония)</t>
  </si>
  <si>
    <t>За весь период компания заключила  4 контрактов на сумму  1 792 847 735,00 ?</t>
  </si>
  <si>
    <t>43.99.90.190 Работы строительные специализированные прочие, не включенные в другие группировки
81.21.10.000 Услуги по общей уборке зданий
82.11.10.000 Услуги в области административного обслуживания комплексные
78.30.14.000 Услуги в области трудовых ресурсов по обеспечению персоналом прочие в области транспорта, складирования, логистики или промышленности
78.30.19.000 Услуги в области трудовых ресурсов по обеспечению персоналом прочие, не включенные в другие группировки
81.29.19.000 Услуги по чистке и уборке прочие, не включенные в другие группировки
52.21.19.190 Услуги вспомогательные для железнодорожного транспорта прочие, не включенные в другие группировки</t>
  </si>
  <si>
    <t>клиент ФК 8-18 млн</t>
  </si>
  <si>
    <t>"поставщики маркер", ".", "fk1", "ФК клиенты с выручкой 8-18 млн"</t>
  </si>
  <si>
    <t>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41.20 Здания и работы по возведению зданий
43.39.19 Работы завершающие и отделочные в зданиях и сооружениях прочие, не включенные в другие группировки
41.20.30.100 Работы по возведению жилых зданий, кроме работ по сохранению и воссозданию объектов культурного наследия
41.20.20.180 Здания предприятий здравоохранения, науки и научного обслуживания, образования, культуры и искусства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
42.11.10.129 Дороги автомобильные, в том числе улично-дорожная сеть, и прочие автомобильные и пешеходные дороги, не включенные в другие группировки
42.99.19.120 Полигон складирования бытовых отходов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</si>
  <si>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3 925</t>
  </si>
  <si>
    <t>За весь период компания заключила  27 контрактов на сумму  75 188 651 710,36 ? За весь период заходили в конкурсы  17 раз на общую сумму обеспеченных контрактов с НМЦ 21 382 936 379,77 ? с БГУ  907 565 133,74 ? с БГИ 2 513 441 564,31 ? За 3 ГОДА по 44ФЗ заключено 13 шт. с объемом НМЦ  13 978 924 325,40 ? с БГИ 1 012 991 362,24 ? с БГГО 51 875 818,00 ? с авансированием до 986 268 286,52 ? с комиссией банку 39 627 867,88 ? с кв 344 762,45 ? ЗА 1 ГОД по 44ФЗ заключено 5 шт. c объемом НМЦ 286 594 351,89 ? с БГИ 112 677 687,06 ? с БГГО 2 832 242,00 ? с авансированием до  112 406 678,40 ? с комиссией банку  4 030 409,74 ? с кв 35 064,56 ? ЗА 3 ГОДА ПО 223 ФЗ заключено 6 шт. с объемом НМЦ 15 183 145 089,00 ? за 1 ГОД ПО 223ФЗ заключено 3  5 245 213 011,00 ?</t>
  </si>
  <si>
    <t>Сообщение кредитора о намерении обратиться в суд с заявлением о банкротстве от 17.01.2023</t>
  </si>
  <si>
    <t>"223 за 3 года", ".", "рейтинг поставщиков в маркере по бг", "Конкурсы 100+ (Восстановленный)", "все клиенты с выручкой от 1,8 млрд до бесконечности", "223 фз контракты 20+", "44 фз с с БГ от 10 млн", "рейтинг по нмц маркер", "это заказчик", "поставщики маркер", "44 за 3 года"</t>
  </si>
  <si>
    <t>29.32.30.390 Части и принадлежности для автотранспортных средств прочие, не включенные в другие группировки</t>
  </si>
  <si>
    <t>"клиент металлинвеста", "."</t>
  </si>
  <si>
    <t>20.15.39.000 Удобрения азотные и смеси прочие
20.15.71.000 Удобрения, содержащие три питательных элемента: азот, фосфор и калий
20.2 Пестициды и агрохимические продукты прочие</t>
  </si>
  <si>
    <t>1 789</t>
  </si>
  <si>
    <t>46.73.1 Услуги по оптовой торговле лесоматериалами, строительными материалами и санитарно-техническим оборудованием
24.2 Трубы, профили пустотелые и их фитинги стальные
70.22.16.000 Услуги консультативные по вопросам управления цепями поставок и прочие консультативные услуги по вопросам управления</t>
  </si>
  <si>
    <t>За весь период компания заключила  15 контрактов на сумму  62 095 421 495,58 ?                                     ЗА 3 ГОДА ПО 223 ФЗ заключено 10 шт. с объемом НМЦ 874 793 964,17 ? за 1 ГОД ПО 223ФЗ заключено 7  799 028 219,46 ?</t>
  </si>
  <si>
    <t>"223 за 3 года", ".", "Конкурсы 100+ (Восстановленный)", "все клиенты с выручкой от 1,8 млрд до бесконечности", "Участники клиринга", "223 фз контракты 20+", "рейтинг заказчиков маркер", "рейтинг по нмц маркер", "это заказчик", "поставщики маркер"</t>
  </si>
  <si>
    <t>41.20 Здания и работы по возведению зданий</t>
  </si>
  <si>
    <t>Гарантия завершена;Гарантия отправлена;Заявка отозвана клиентом;Отклонена банком</t>
  </si>
  <si>
    <t>Сообщение кредитора о намерении обратиться в суд с заявлением о банкротстве от 20.02.2023</t>
  </si>
  <si>
    <t>"поставщики маркер", "кл фт прямые бг 04.22", "свод фт", ".", "клиент металлинвеста", "Агентские отказ из-за непред-я док-ов", "fk1", "просрочка на 01.01.2023 г.", "Запрос в ЮД_просрочка на 01.01.2023", "корп 1", "портфель", "клиенты от 100 млн", "Обороты по клиентам по кварталам (2022г)", "ФТ клиенты с продуктами по сотрудникам", "рейтинг по нмц маркер", "на фт заводил Еприкян"</t>
  </si>
  <si>
    <t>70.22.17.000 Услуги по управлению бизнес-процессами</t>
  </si>
  <si>
    <t>Заказчик разыгравший 119 конкурсов на сумму  15 705 424 234,51 ?</t>
  </si>
  <si>
    <t>Заказчик разыгравший 117 конкурсов на сумму  33 282 062 949,11 ?</t>
  </si>
  <si>
    <t>35.30.12.130 Услуги по транспортированию горячей воды</t>
  </si>
  <si>
    <t>"производители", ".", "ушедшие", "все клиенты с выручкой от 1,8 млрд до бесконечности"</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</si>
  <si>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45.11.23.000 Услуги по розничной торговле новыми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в специализированных магазинах
29.10.59 Средства автотранспортные специального назначения, не включенные в другие группировки
29.10 Средства автотранспортные
45.20 Услуги по техническому обслуживанию и ремонту автотранспортных средств
45.20.11.111 Услуги по регламентным работам (по видам технического обслуживания)
45 Услуги по оптовой и розничной торговле и услуги по ремонту автотранспортных средств и мотоциклов
29.10.59.390 Средства автотранспортные специального назначения прочие, не включенные в другие группировки</t>
  </si>
  <si>
    <t>"223 за 3 года", ".", "ушедший портфель", "fk1", "ИНН 3 года - нет КД БГ на 01.10.22", "Список ушедший ",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t>
  </si>
  <si>
    <t>10.13.15.119 Консервы мясные прочие, не включенные в другие группировки
10.85.11.000 Продукты пищевые готовые и блюда на основе мяса, мясных субпродуктов или крови</t>
  </si>
  <si>
    <t>2 403</t>
  </si>
  <si>
    <t>Заказчик разыгравший 7 конкурсов на сумму  595 476 673,99 ?</t>
  </si>
  <si>
    <t>"в crm за Еприкяном", "crm управления"</t>
  </si>
  <si>
    <t>Сообщения о принятии решения о реорганизации от 27.10.2020</t>
  </si>
  <si>
    <t>"в crm за Еприкяном", ".", "все клиенты с выручкой от 1,8 млрд до бесконечности", "crm управления"</t>
  </si>
  <si>
    <t>20.14.52.110 Соединения гетероциклические, не включенные в другие группировки
21.20.10.194 Препараты противовирусные для системного применения
21.20.10.158 Антисептики и дезинфицирующие препараты</t>
  </si>
  <si>
    <t>20.13.24.149 Кислоты неорганические прочие, не включенные в другие группировки
22.22.19.000 Изделия упаковочные пластмассовые прочие
22.29 Изделия пластмассовые прочие
20.42.16.110 Шампуни
21.20.23.199 Средства нелечебные прочие
20.59.52.199 Реагенты сложные диагностические или лабораторные прочие, не включенные в другие группировки
22.19.50.000 Материалы прорезиненные текстильные, кроме кордных тканей
22.19.71.190 Изделия из резины, кроме твердой резины (эбонита), гигиенические или фармацевтические прочие
13.99 Изделия текстильные прочие, не включенные в другие группировки
20.20.14.000 Средства дезинфекционные ****</t>
  </si>
  <si>
    <t>За весь период компания заключила  8 контрактов на сумму  1 806 830 837,50 ? За весь период заходили в конкурсы  1 раз на общую сумму обеспеченных контрактов с НМЦ 60 571 560,30 ? с БГУ  608 759,40 ? с БГИ 6 087 594,00 ? За 3 ГОДА по 44ФЗ заключено 2397 шт. с объемом НМЦ  1 958 453 490,52 ? с БГИ 222 906 435,81 ? с БГГО 2 160 397,86 ? с авансированием до 673 797,99 ? с комиссией банку 3 592 180,80 ? с кв 31 251,97 ? ЗА 1 ГОД по 44ФЗ заключено 849 шт. c объемом НМЦ 949 683 850,15 ? с БГИ 93 344 373,59 ? с БГГО 225 329,32 ? с авансированием до  410 446,20 ? с комиссией банку  1 560 653,21 ? с кв 13 577,68 ? ЗА 3 ГОДА ПО 223 ФЗ заключено 13 шт. с объемом НМЦ 40 314 024,76 ?</t>
  </si>
  <si>
    <t>"223 за 3 года", ".", "рейтинг поставщиков в маркере по бг", "База Восточный (Мелкумов)",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 "44 за 3 года"</t>
  </si>
  <si>
    <t>Сообщения о принятии решения о реорганизации от 31.03.2021</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</si>
  <si>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02.10.11.232 Саженцы деревьев мягколиственных пород с закрытой корневой системой
02.10.11.252 Саженцы кустарников с закрытой корневой системой
52.21.22.000 Услуги по эксплуатации автомагистралей
42.99.12.124 Территории парковые и парки для отдыха
81.30.10.000 Услуги по планировке ландшафта
02.10.11.212 Саженцы деревьев хвойных пород с закрытой корневой системой</t>
  </si>
  <si>
    <t>За весь период компания заключила  21 контрактов на сумму  27 259 150 539,18 ? За весь период заходили в конкурсы  27 раз на общую сумму обеспеченных контрактов с НМЦ 24 061 265 673,16 ? с БГУ  1 215 291 551,59 ? с БГИ 3 706 038 575,54 ? За 3 ГОДА по 44ФЗ заключено 15 шт. с объемом НМЦ  4 544 474 564,43 ? с БГИ 681 587 402,83 ? с БГГО 33 570 384,38 ? с авансированием до 1 678 288 201,00 ? с комиссией банку 33 698 891,79 ? с кв 293 180,36 ? ЗА 1 ГОД по 44ФЗ заключено 10 шт. c объемом НМЦ 4 132 676 903,14 ? с БГИ 568 487 790,54 ? с БГГО 33 565 764,02 ? с авансированием до  1 678 288 201,00 ? с комиссией банку  24 437 134,82 ? с кв 212 603,07 ?</t>
  </si>
  <si>
    <t>"44 за 3 года", "свод фт", ".", "рейтинг поставщиков в маркере по бг", "ГРАНДИОЗНЫЙ ПРОЕКТ", "УПП на 2 номер", "Конкурсы 100+ (Восстановленный)", "fk1", "клиенты управления по БГ без открытых счетов", "Премия 4 кв 22 г.бг", "44 фз с с БГ от 10 млн", "рейтинг по нмц маркер", "на фт заводил Кашин", "crm управления", "в crm за Кашиным", "поставщики маркер"</t>
  </si>
  <si>
    <t>"Обороты по клиентам по кварталам (2022г)", ".", "fk1", "ПОС на 01.02.2023", "корп 2",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t>
  </si>
  <si>
    <t>10.85.19.000 Продукты пищевые готовые и блюда прочие (включая замороженную пиццу)
10 Продукты пищевые
46.3 Услуги по оптовой торговле пищевыми продуктами, напитками и табачными изделиями</t>
  </si>
  <si>
    <t>"поставщики маркер", ".", "06.2022_ФинХД", "все клиенты с выручкой от 1,8 млрд до бесконечности", "производители", "это заказчик"</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</si>
  <si>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t>
  </si>
  <si>
    <t>За весь период компания заключила  3 контрактов на сумму  1 778 537 832,66 ? За весь период заходили в конкурсы  4 раз на общую сумму обеспеченных контрактов с НМЦ 1 911 524 452,98 ? с БГУ  95 952 866,51 ? с БГИ 327 973 108,34 ?</t>
  </si>
  <si>
    <t>"поставщики маркер", "кл фт прямые бг 04.22", "кл фт агент бг 04.22", "свод фт", ".", "рейтинг поставщиков в маркере по бг", "портфель 51", "УПП на 2 номер", "fk1", "кредиты фт", "клиенты управления по БГ без открытых счетов", "лимит сит по кредитам",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"рейтинг по нмц маркер", "на фт заводил Черненький ", "на фт заводил Микульшин", "crm управления", "в crm за Черненьким"</t>
  </si>
  <si>
    <t>37.00.11.110 Услуги по водоотведению сточных вод</t>
  </si>
  <si>
    <t>Сообщение кредитора о намерении обратиться в суд с заявлением о банкротстве от 28.05.2019</t>
  </si>
  <si>
    <t>Сообщения о принятии решения о реорганизации от 06.07.2020</t>
  </si>
  <si>
    <t>"производители", ".", "fk1", "06.2022_ФинХД", "все клиенты с выручкой от 1,8 млрд до бесконечности", "Обороты по клиентам по кварталам (2022г)"</t>
  </si>
  <si>
    <t>23.99 Продукция минеральная неметаллическая прочая, не включенная в другие группировки</t>
  </si>
  <si>
    <t>25.30.12.111 Трубопроводы
25.30.12.113 Оборудование котельное
24.20.13.190 Трубы круглого сечения прочие стальные
25.30.11.120 Котлы пароводогрейные
25.30.12.115 Оборудование теплообменное
25.30.12.119 Оборудование вспомогательное для использования вместе с паровыми котлами прочее
25.30.13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25.99 Металлоизделия готовые прочие, не включенные в другие группировки
28.11.21.110 Турбины на водяном паре
25.30.11.190 Котлы паропроизводящие прочие ****</t>
  </si>
  <si>
    <t>За весь период контрактов 14 шт. на общую сумму НМЦ 53 826 295 046,80 ?</t>
  </si>
  <si>
    <t>"поставщики маркер", ".", "беники", "портфель 51",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t>
  </si>
  <si>
    <t>20.59 Продукты химические прочие, не включенные в другие группировки
08.11.3 Мел и некальцинированный доломит
20.13.62.190 Соли неорганических кислот или пероксикислот прочие</t>
  </si>
  <si>
    <t>За весь период компания заключила  9 контрактов на сумму  2 079 228 307,50 ? За весь период заходили в конкурсы  3 раз на общую сумму обеспеченных контрактов с НМЦ 1 325 724 393,46 ? с БГУ  50 582 146,78 ? с БГИ 269 498 983,35 ?</t>
  </si>
  <si>
    <t>25.93.14.111 Гвозди строительные
25.93.14.119 Гвозди прочие
25.93.15.120 Электроды с покрытием
25.94.11.120 Шурупы из черных металлов
25.94.12.120 Заклепки из черных металлов (кроме трубчатых или раздвоенных заклепок общего назначения)
25.94.12.130 Шпонки и шплинты из черных металлов
25.94.12.110 Шайбы из черных металлов
25.94.11.190 Изделия резьбовые из черных металлов прочие, не включенные в другие группировки
25.94.11.130 Гайки из черных металлов
25.99.29.190 Изделия прочие из недрагоценных металлов, не включенные в другие группировки ****</t>
  </si>
  <si>
    <t>За весь период заходили в конкурсы  2 раз на общую сумму обеспеченных контрактов с НМЦ 183 552 467,18 ? с БГУ  1 902 100,48 ? с БГИ 19 021 004,88 ?</t>
  </si>
  <si>
    <t>"поставщики маркер", ".", "рейтинг поставщиков в маркере по бг",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</si>
  <si>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За весь период заходили в конкурсы  6 раз на общую сумму обеспеченных контрактов с НМЦ 342 569 555,66 ? с БГУ  6 851 391,10 ? с БГИ 68 513 911,14 ?</t>
  </si>
  <si>
    <t>Сообщения о принятии решения о реорганизации от 28.07.2022</t>
  </si>
  <si>
    <t>"44 за 3 года", ".", "рейтинг поставщиков в маркере по бг", "fk1", "все клиенты с выручкой от 1,8 млрд до бесконечности", "рейтинг по нмц маркер"</t>
  </si>
  <si>
    <t>35.30.1 Пар и горячая вода; услуги по снабжению паром и горячей водой</t>
  </si>
  <si>
    <t>23.61.12.172 Блоки коммуникаций железобетонные
23.61.12.210 Блоки и прочие изделия сборные строительные для зданий и сооружений из искусственного камня
23.69.19.000 Изделия из цемента, бетона или искусственного камня, не включенные в другие группировки
23.61.12 Блоки и прочие изделия сборные строительные для зданий и сооружений из цемента, бетона или искусственного камня
23.61.12.134 Блоки стеновые железобетонные
23.61.12.141 Плиты покрытий железобетонные
23.61.12.143 Плиты дорожные железобетонные
23.61.12.154 Конструкции и детали каналов и открытых водоводов железобетонные
23.63.10.000 Бетон, готовый для заливки (товарный бетон)
23.61.12.115 Сваи железобетонные ****</t>
  </si>
  <si>
    <t>1 373</t>
  </si>
  <si>
    <t>За весь период заходили в конкурсы  1 раз на общую сумму обеспеченных контрактов с НМЦ 119 397 000,00 ? с БГУ  1 263 467,50 ? с БГИ 12 634 675,00 ?</t>
  </si>
  <si>
    <t>"в crm за Шевченко ОРК  4", ".", "рейтинг поставщиков в маркере по бг", "производители", "рейтинг по нмц маркер", "crm управления"</t>
  </si>
  <si>
    <t>1 382</t>
  </si>
  <si>
    <t>"в crm за Шаклейном ", "свод фт", ".", "все клиенты с выручкой от 1,8 млрд до бесконечности", "на фт заводил Шаклейн", "crm управления", "в crm за шинахововым"</t>
  </si>
  <si>
    <t>10.51.11.190 Молоко прочее, не включенное в другие группировки
10.51.30.131 Масло сливочное сухое
10.51.40.111 Сыры мягкие без вкусовых наполнителей
10.51.52.140 Кефир
10.51.11.141 Молоко питьевое коровье стерилизованное
10.51.56.321 Творожные и сметанные продукты, желе, соусы, кремы, пудинги, муссы, пасты, суфле молокосодержащие
10.89.19.290 Продукты пищевые прочие, не включенные в другие группировки
10.86.10.126 Творог и творожные продукты для детей раннего возраста
10.51.30.113 Масло сливочное подсырное
10.51.40.131 Сыры твердые без вкусовых наполнителей ****</t>
  </si>
  <si>
    <t>1 177</t>
  </si>
  <si>
    <t>За весь период компания заключила  18 контрактов на сумму  3 972 628 409,07 ?         За 3 ГОДА по 44ФЗ заключено 126 шт. с объемом НМЦ  1 321 087 141,39 ? с БГИ 127 087 007,58 ? с БГГО 6 434,00 ? с авансированием до 60 115,30 ? с комиссией банку 1 647 522,68 ? с кв 14 333,45 ? ЗА 1 ГОД по 44ФЗ заключено 28 шт. c объемом НМЦ 268 316 996,62 ? с БГИ 23 192 375,70 ? с БГГО 0,00 ? с авансированием до  8 365,68 ? с комиссией банку  434 651,62 ? с кв 3 781,47 ?</t>
  </si>
  <si>
    <t>"44 за 3 года", ".", "производители", "рейтинг по нмц маркер", "это заказчик", "поставщики маркер"</t>
  </si>
  <si>
    <t>72.19.50.000 Работы оригинальные научных исследований и экспериментальных разработок в области естественных и технических наук, кроме биотехнологии
30.99.9 Услуги по производству прочих транспортных средств и оборудования, не включенных в другие группировки, отдельные, выполняемые субподрядчиком
30.20.33.118 Вагоны-платформы железнодорожные</t>
  </si>
  <si>
    <t>За весь период компания заключила  6 контрактов на сумму  6 484 392 000,00 ?                                     ЗА 3 ГОДА ПО 223 ФЗ заключено 4 шт. с объемом НМЦ 5 445 600 000,00 ?</t>
  </si>
  <si>
    <t>"223 за 3 года", ".", "fk1", "Кредитный портфель_01.11", "06.2022_ФинХД", "все клиенты с выручкой от 1,8 млрд до бесконечности", "Обороты по клиентам по кварталам (2022г)", "производители", "рейтинг по нмц маркер", "поставщики маркер"</t>
  </si>
  <si>
    <t>Заказчик разыгравший 13 конкурсов на сумму  1 538 787 524,52 ?</t>
  </si>
  <si>
    <t>68.20.11.000 Услуги по сдаче в аренду (внаем) собственных или арендованных жилых помещений</t>
  </si>
  <si>
    <t>2 283</t>
  </si>
  <si>
    <t>35.30.11.120 Энергия тепловая, отпущенная котельными
20.51.1 Вещества взрывчатые готовые; шнуры огнепроводные и детонирующие; детонаторы; запалы; электродетонаторы; пиропатроны; фейерверки
20.51.14.190 Средства пиротехнические прочие, кроме фейерверков</t>
  </si>
  <si>
    <t>ЗА 3 ГОДА ПО 223 ФЗ заключено 2 шт. с объемом НМЦ 67 200 000,00 ?</t>
  </si>
  <si>
    <t>71.12 Услуги в области инженерно-технического проектирования и связанные технические консультативные услуги
42.21.12 Трубопроводы местные для жидкостей и газа
41.10 Документация проектная для строительства
41.20.20.719 Сооружения электрических и тепловых сетей прочие
71.12.19.100 Услуги по инженерно-техническому проектированию прочих объектов, кроме объектов культурного наследия
43.22.12.110 Работы по монтажу отопительного оборудования (электрического, газового, нефтяного, неэлектрических солнечных коллекторов)
42.21 Сооружения и строительные работы по строительству инженерных коммуникаций для жидкостей и газов</t>
  </si>
  <si>
    <t>За весь период компания заключила  38 контрактов на сумму  8 854 744 827,88 ? За весь период заходили в конкурсы  5 раз на общую сумму обеспеченных контрактов с НМЦ 412 603 275,23 ? с БГУ  21 286 020,51 ? с БГИ 116 949 327,65 ? За 3 ГОДА по 44ФЗ заключено 4 шт. с объемом НМЦ  615 672 450,00 ? с БГИ 184 701 735,00 ? с БГГО 24 485 585,80 ? с авансированием до 89 592 192,00 ? с комиссией банку 4 996 737,01 ? с кв 43 471,61 ? ЗА 1 ГОД по 44ФЗ заключено 2 шт. c объемом НМЦ 453 187 780,00 ? с БГИ 135 956 334,00 ? с БГГО 18 022 974,80 ? с авансированием до  89 592 192,00 ? с комиссией банку  3 948 516,18 ? с кв 34 352,09 ?     за 1 ГОД ПО 223ФЗ заключено 2  5 269 745,52 ?</t>
  </si>
  <si>
    <t>Сообщение кредитора о намерении обратиться в суд с заявлением о банкротстве от 22.02.2018</t>
  </si>
  <si>
    <t>"223 за 3 года", ".", "рейтинг поставщиков в маркере по бг", "все клиенты с выручкой от 1,8 млрд до бесконечности", "44 фз с с БГ от 10 млн", "рейтинг заказчиков маркер", "производители", "рейтинг по нмц маркер", "это заказчик", "поставщики маркер", "44 за 3 года"</t>
  </si>
  <si>
    <t>41.20.10.120 Здания общежитий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41.20.40.200 Работы по сохранению и воссозданию нежилых зданий, являющихся объектами культурного наследия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42.91.20.110 Работы строительные по строительству портовых и речных сооружений, пристаней для яхт, набережных, пирсов, молов, доков и аналогичных портовых сооружений, включая ремонт
43.39.19.190 Работы завершающие и отделочные в зданиях и сооружениях, прочие, не включенные в другие группировки
43.91.19.190 Работы кровельные прочие, не включенные в другие группировки
71.12.12.130 Услуги, связанные с разработкой инженерно-технической проектной документации по консервации, ремонту, реставрации, приспособлению и воссозданию зданий, являющихся объектами культурного наследия ****</t>
  </si>
  <si>
    <t>Сообщение кредитора о намерении обратиться в суд с заявлением о банкротстве от 07.04.2023</t>
  </si>
  <si>
    <t>"44 за 3 года", "кл фт мсб ВКЛ/РКО 04.22", "свод фт", ".", "рейтинг поставщиков в маркере по бг", "ГРАНДИОЗНЫЙ ПРОЕКТ", "Пролонгации на 15.11.2021 г", "Агентские отказ из-за непред-я док-ов", "fk1", "АНАЛИЗ Все установленные лимиты на 01.12.2021 ОКВЭД Прочие Услуги", "просрочка на 01.01.2023 г.", "Запрос в ЮД_просрочка на 01.01.2023", "Портфель ЛП", "Ссуды ФБ 29.04.2022 банкр.", "АИЛ портфель", "клиенты с в от100млн 09.21", "филиал бизнес 01.03.22", "филиал бизнес 22.11", "ФК клиенты с выручкой от 230 до бесконечности", "клиенты от 100 млн", "ФТ клиенты с продуктами по сотрудникам", "44 фз с с БГ от 10 млн", "рейтинг по нмц маркер", "на фт заводил Пител", "на фт заводил Алиев", "поставщики маркер"</t>
  </si>
  <si>
    <t>49.39.33.000 Услуги по перевозке пассажиров автобусами по заказам в городском и пригородном сообщениях, кроме перевозки арендованными автобусами с водителем и по туристическим или экскурсионным маршрутам</t>
  </si>
  <si>
    <t>За весь период компания заключила  1 контрактов на сумму  539 600 000,00 ?</t>
  </si>
  <si>
    <t>"поставщики маркер", ".", "беники", "рейтинг по нмц маркер", "это заказчик"</t>
  </si>
  <si>
    <t>62.09.20.190 Услуги по технической поддержке в области информационных технологий прочие, не включенные в другие группировки
18.12.11.000 Услуги по печатанию марок почтовых, марок гербовых, документов правоустанавливающих, карточек микропроцессорных, книжек чековых и прочих ценных бумаг и аналогичной продукции
58.29.3 Обеспечение программное для загрузки
62.0 Продукты программные и услуги по разработке программного обеспечения; консультационные и аналогичные услуги в области информационных технологий
58.29.50.000 Услуги по предоставлению лицензий на право использовать компьютерное программное обеспечение
62.01.11.000 Услуги по проектированию и разработке информационных технологий для прикладных задач и тестированию программного обеспечения</t>
  </si>
  <si>
    <t>За весь период компания заключила  4 контрактов на сумму  544 300 000,00 ? За весь период заходили в конкурсы  2 раз на общую сумму обеспеченных контрактов с НМЦ 421 000 000,00 ? с БГУ  41 519 038,38 ? с БГИ 96 038 076,76 ?</t>
  </si>
  <si>
    <t>"44 за 3 года", ".", "рейтинг поставщиков в маркере по бг", "fk1", "ИНН_договоры_октябрь_",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"рейтинг по нмц маркер", "поставщики маркер"</t>
  </si>
  <si>
    <t>19.2 Нефтепродукты</t>
  </si>
  <si>
    <t>Сообщения о принятии решения о реорганизации от 01.10.2020</t>
  </si>
  <si>
    <t>"поставщики маркер", ".", "fk1", "Кредитный портфель_01.11", "корп 1", "06.2022_ФинХД", "все клиенты с выручкой от 1,8 млрд до бесконечности", "ФК клиенты с выручкой от 230 до бесконечности", "клиенты от 100 млн", "это заказчик"</t>
  </si>
  <si>
    <t>43.21.10.220 Работы по монтажу систем освещения и сигнализации автомобильных дорог, аэропортов и портов
02.40.10.114 Услуги по противопожарному обустройству лесов и тушению пожаров в лесах
42.11.10.151 Дорога подъездная
43.11.10.000 Работы по сносу зданий и сооружений
49.4 Услуги по грузовым перевозкам автомобильным транспортом и услуги по переезду
49.41 Услуги по грузовым перевозкам автомобильным транспортом
43.12.11.190 Работы земляные прочие, не включенные в другие группировки
81.29.19.000 Услуги по чистке и уборке прочие, не включенные в другие группировки
42.11.10.150 Дороги подъездные, транспортные и пешеходные путепроводы над и под дорогой, велосипедные дорожки</t>
  </si>
  <si>
    <t>"223 за 3 года", ".", "Гарантии_КИБ_31.03.22_Гиб._", "портфель 51", "fk1", "Кредитный портфель_01.11", "корп 1", "06.2022_ФинХД", "все клиенты с выручкой от 1,8 млрд до бесконечности", "ФК клиенты с выручкой от 230 до бесконечности", "клиенты от 100 млн", "поставщики маркер", "44 за 3 года"</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</si>
  <si>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10.51.4 Сыры, продукты сырные и творог
10.51.40.111 Сыры мягкие без вкусовых наполнителей
10.51.52.140 Кефир
10.51.11.141 Молоко питьевое коровье стерилизованное
10.51.52.213 Сметана от 23,0 % до 28,0 % жирности
10.11.3 Мясо и пищевые субпродукты замороженные, в том числе для детского питания
10.86.10.126 Творог и творожные продукты для детей раннего возраста
10.51.1 Молоко и сливки, кроме сырых
10.51.3 Масло сливочное, пасты масляные, масло топленое, жир молочный, спреды и смеси топленые сливочно-растительные ****</t>
  </si>
  <si>
    <t>За 3 ГОДА по 44ФЗ заключено 128 шт. с объемом НМЦ  357 509 415,18 ? с БГИ 74 379 251,89 ? с БГГО 38 874,00 ? с авансированием до 0,00 ? с комиссией банку 400 555,49 ? с кв 3 484,83 ? ЗА 1 ГОД по 44ФЗ заключено 35 шт. c объемом НМЦ 63 754 555,73 ? с БГИ 9 344 522,53 ? с БГГО 0,00 ? с авансированием до  0,00 ? с комиссией банку  173 827,09 ? с кв 1 512,30 ? ЗА 3 ГОДА ПО 223 ФЗ заключено 59 шт. с объемом НМЦ 76 973 244,72 ? за 1 ГОД ПО 223ФЗ заключено 22  22 611 336,50 ?</t>
  </si>
  <si>
    <t>"223 за 3 года", "свод фт", ".", "производители", "рейтинг по нмц маркер", "на фт заводил Зубарев", "поставщики маркер", "44 за 3 года"</t>
  </si>
  <si>
    <t>"производители", ".", "портфель 31.10.2021_10 тыс_проверка", "Пункт 3.1 09.01.2023", "все клиенты с выручкой от 1,8 млрд до бесконечности"</t>
  </si>
  <si>
    <t>35.30.11.120 Энергия тепловая, отпущенная котельными
35.30.12 Услуги по снабжению паром и горячей водой по трубопроводам</t>
  </si>
  <si>
    <t>2 372</t>
  </si>
  <si>
    <t>25.11.23.120 Конструкции и детали конструкций из алюминия прочие</t>
  </si>
  <si>
    <t>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42.11.10.151 Дорога подъездная
52.21.22.000 Услуги по эксплуатации автомагистралей
42.13.10.110 Мосты и путепроводы из любых материалов для всех типов сухопутного транспорта и для пешеходов
81.30.10.000 Услуги по планировке ландшафта
43.12.11.140 Работы по расчистке территории, удалению растительности
43.12.11.190 Работы земляные прочие, не включенные в другие группировки
42.13.20.100 Работы строительные по строительству мостов и тоннелей, кроме работ по сохранению и воссозданию объектов культурного наследия ****</t>
  </si>
  <si>
    <t>За весь период компания заключила  17 контрактов на сумму  8 167 190 741,74 ? За весь период заходили в конкурсы  13 раз на общую сумму обеспеченных контрактов с НМЦ 1 692 948 301,85 ? с БГУ  27 974 208,96 ? с БГИ 239 016 094,62 ? За 3 ГОДА по 44ФЗ заключено 7 шт. с объемом НМЦ  282 996 722,40 ? с БГИ 69 688 520,66 ? с БГГО 1 270 041,00 ? с авансированием до 40 941 485,20 ? с комиссией банку 1 636 281,52 ? с кв 14 235,65 ? ЗА 1 ГОД по 44ФЗ заключено 4 шт. c объемом НМЦ 273 015 799,60 ? с БГИ 67 694 216,12 ? с БГГО 1 112 211,00 ? с авансированием до  40 941 485,20 ? с комиссией банку  1 596 530,41 ? с кв 13 889,81 ?</t>
  </si>
  <si>
    <t>Сообщение кредитора о намерении обратиться в суд с заявлением о банкротстве от 20.05.2021</t>
  </si>
  <si>
    <t>"44 за 3 года", "свод фт", ".", "рейтинг поставщиков в маркере по бг", "ГРАНДИОЗНЫЙ ПРОЕКТ", "ушедший портфель", "fk1", "кредиты фт", "ИНН 3 года - нет КД БГ на 01.10.22", "Список ушедший ", "06.2022_ФинХД", "лимит сит по кредитам", "все клиенты с выручкой от 1,8 млрд до бесконечности", "Обороты по клиентам по кварталам (2022г)", "44 фз с с БГ от 10 млн", "рейтинг по нмц маркер", "на фт заводил Синяев", "на фт заводил Меркулов", "на фт заводил Егоров ", "crm управления", "в crm за Егоровым ", "поставщики маркер"</t>
  </si>
  <si>
    <t>22.22.14.000 Бутыли, бутылки, флаконы и аналогичные изделия из пластмасс
22.22.19.000 Изделия упаковочные пластмассовые прочие
22.29.23.120 Предметы домашнего обихода пластмассовые прочие
22.29.29.190 Изделия пластмассовые прочие, не включенные в другие группировки</t>
  </si>
  <si>
    <t>28.92.21 Бульдозеры и бульдозеры с поворотным отвалом</t>
  </si>
  <si>
    <t>71.12.20.190 Услуги по руководству строительными проектами прочие
42.99.12.124 Территории парковые и парки для отдыха
81.29.12.000 Услуги по подметанию и уборке снега
33.12.29.900 Услуги по ремонту и техническому обслуживанию прочего оборудования специального назначения, не включенные в другие группировки
41.20.40.900 Работы строительные по возведению нежилых зданий и сооружений прочие, не включенные в другие группировки
71.11.22.000 Услуги в области архитектуры, связанные с проектами строительства нежилых зданий и сооружений
71.12.19.100 Услуги по инженерно-техническому проектированию прочих объектов, кроме объектов культурного наследия
42.21.21.000 Работы строительные по прокладке магистральных трубопроводов
43.12.11.190 Работы земляные прочие, не включенные в другие группировки
81.29.19.000 Услуги по чистке и уборке прочие, не включенные в другие группировки ****</t>
  </si>
  <si>
    <t>За весь период компания заключила  19 контрактов на сумму  7 373 734 869,24 ? За весь период заходили в конкурсы  55 раз на общую сумму обеспеченных контрактов с НМЦ 13 060 875 251,81 ? с БГУ  658 631 894,83 ? с БГИ 3 107 433 109,57 ? За 3 ГОДА по 44ФЗ заключено 16 шт. с объемом НМЦ  2 184 768 789,04 ? с БГИ 450 599 466,91 ? с БГГО 245 260 231,99 ? с авансированием до 133 621 461,25 ? с комиссией банку 12 592 825,01 ? с кв 109 557,58 ? ЗА 1 ГОД по 44ФЗ заключено 1 шт. c объемом НМЦ 445 404 870,82 ? с БГИ 133 621 461,25 ? с БГГО 22 270 244,00 ? с авансированием до  133 621 461,25 ? с комиссией банку  1 420 414,44 ? с кв 12 357,61 ?</t>
  </si>
  <si>
    <t>"44 за 3 года", ".", "рейтинг поставщиков в маркере по бг", "ГРАНДИОЗНЫЙ ПРОЕКТ", "Конкурсы 100+ (Восстановленный)", "fk1", "Кредитный портфель_01.11", "06.2022_ФинХД", "закрыли счет", "клиенты с в от100млн 09.21",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t>
  </si>
  <si>
    <t>73.1 Услуги рекламные
63.11.30.000 Место или время для рекламы в информационно-коммуникационной сети Интернет</t>
  </si>
  <si>
    <t>За весь период компания заключила  4 контрактов на сумму  5 368 375 000,00 ?</t>
  </si>
  <si>
    <t>"поставщики маркер", ".", "инн Ленинградка", "fk1", "корп 1", "клиенты с в от100млн 09.21", "Обороты по клиентам по кварталам (2022г)", "рейтинг по нмц маркер"</t>
  </si>
  <si>
    <t>73.1 Услуги рекламные
73.12.13 Услуги по продаже места или времени для рекламы в информационно-коммуникационной сети Интернет за вознаграждение или на договорной основе
79.90.11.000 Услуги по продвижению туризма
73.11.11 Набор рекламных услуг полный
63.11 Услуги по обработке данных, размещению и взаимосвязанные услуги
62.09 Услуги в области информационных технологий прочие и компьютерные услуги</t>
  </si>
  <si>
    <t>За весь период компания заключила  2 контрактов на сумму  2 942 345 488,00 ? За весь период заходили в конкурсы  1 раз на общую сумму обеспеченных контрактов с НМЦ 41 714 616,32 ? с БГУ  507 428,53 ? с БГИ 15 222 856,02 ?</t>
  </si>
  <si>
    <t>22.11.11.000 Шины и покрышки пневматические для легковых автомобилей новые
45.11 Услуги по торговле легковыми автомобилями и грузовыми автомобилями малой грузоподъемности
29.10 Средства автотранспортные
29.10.2 Автомобили легковые
29.32.30.390 Части и принадлежности для автотранспортных средств прочие, не включенные в другие группировки
29.10.22 Средства транспортные с двигателем с искровым зажиганием, с рабочим объемом цилиндров более 1500 см3, новые
45.20.11.111 Услуги по регламентным работам (по видам технического обслуживания)
45.1 Услуги по торговле автотранспортными средствами
45.11.11.000 Услуги по оптовой торговле пассажирскими автотранспортными средствами
22.21.30.120 Пленки пластмассовые, неармированные или не комбинированные с другими материалами</t>
  </si>
  <si>
    <t>за 1 ГОД ПО 223ФЗ заключено 3  8 459 000,00 ?</t>
  </si>
  <si>
    <t>Сообщения о принятии решения о реорганизации от 01.06.2022</t>
  </si>
  <si>
    <t>"223 за 3 года", ".", "ушедший портфель", "fk1", "ИНН 3 года - нет КД БГ на 01.10.22", "Список ушедший ", "все клиенты с выручкой от 1,8 млрд до бесконечности", "ФК клиенты с выручкой от 230 до бесконечности", "Обороты по клиентам по кварталам (2022г)", "поставщики маркер", "44 за 3 года"</t>
  </si>
  <si>
    <t>62.01 Продукты программные и услуги по разработке и тестированию программного обеспечения
62.0 Продукты программные и услуги по разработке программного обеспечения; консультационные и аналогичные услуги в области информационных технологий
62.01.11.000 Услуги по проектированию и разработке информационных технологий для прикладных задач и тестированию программного обеспечения
62.09 Услуги в области информационных технологий прочие и компьютерные услуги</t>
  </si>
  <si>
    <t>За весь период компания заключила  12 контрактов на сумму  15 764 287 188,74 ? За весь период заходили в конкурсы  5 раз на общую сумму обеспеченных контрактов с НМЦ 425 546 160,00 ? с БГУ  23 277 819,38 ? с БГИ 139 666 916,34 ?                             ЗА 3 ГОДА ПО 223 ФЗ заключено 13 шт. с объемом НМЦ 888 528 396,41 ?</t>
  </si>
  <si>
    <t>63 Услуги в области информационных технологий
62.0 Продукты программные и услуги по разработке программного обеспечения; консультационные и аналогичные услуги в области информационных технологий</t>
  </si>
  <si>
    <t>1 225</t>
  </si>
  <si>
    <t>"223 за 3 года", ".", "fk1", "06.2022_ФинХД", "поставщики маркер"</t>
  </si>
  <si>
    <t>26.20.16.150 Сканеры
26.51.43.120 Системы информационные электроизмерительные, комплексы измерительно-вычислительные и установки для измерения электрических и магнитных величин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26.20.18.000 Устройства периферийные с двумя или более функциями: печать данных, копирование, сканирование, прием и передача факсимильных сообщений
62.03 Услуги по управлению компьютерным оборудованием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46.1 Услуги по оптовой торговле за вознаграждение или на договорной основе
58.29.29.000 Обеспечение программное прикладное прочее на электронном носителе
62.01 Продукты программные и услуги по разработке и тестированию программного обеспечения ****</t>
  </si>
  <si>
    <t>За весь период компания заключила  140 контрактов на сумму  68 850 021 874,49 ? За весь период заходили в конкурсы  315 раз на общую сумму обеспеченных контрактов с НМЦ 67 655 366 141,75 ? с БГУ  3 426 249 970,33 ? с БГИ 15 388 448 378,95 ? За 3 ГОДА по 44ФЗ заключено 23 шт. с объемом НМЦ  2 211 169 914,48 ? с БГИ 309 163 408,44 ? с БГГО 128 034 230,13 ? с авансированием до 0,00 ? с комиссией банку 3 222 929,93 ? с кв 28 039,49 ? ЗА 1 ГОД по 44ФЗ заключено 12 шт. c объемом НМЦ 747 835 422,96 ? с БГИ 138 085 644,78 ? с БГГО 46 389 910,23 ? с авансированием до  2 980 408,24 ? с комиссией банку  2 170 697,48 ? с кв 18 885,07 ? ЗА 3 ГОДА ПО 223 ФЗ заключено 17 шт. с объемом НМЦ 6 985 326 771,73 ? за 1 ГОД ПО 223ФЗ заключено 5  767 003 030,98 ?</t>
  </si>
  <si>
    <t>"223 за 3 года", ".", "рейтинг поставщиков в маркере по бг", "Гарантии_КИБ_31.03.22_Гиб._", "ГРАНДИОЗНЫЙ ПРОЕКТ", "Конкурсы 100+ (Восстановленный)", "fk1", "Кредитный портфель_01.11", "06.2022_ФинХД", "все клиенты с выручкой от 1,8 млрд до бесконечности", "клиенты от 100 млн", "223 фз контракты 20+", "44 фз с с БГ от 10 млн", "производители", "рейтинг по нмц маркер", "поставщики маркер", "44 за 3 года"</t>
  </si>
  <si>
    <t>42.12.20.190 Работы строительные по строительству наземных и подземных железных дорог прочие, не включенные в другие группировки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t>
  </si>
  <si>
    <t>2 323</t>
  </si>
  <si>
    <t>За весь период компания заключила  7 контрактов на сумму  57 343 453 179,39 ? За весь период заходили в конкурсы  4 раз на общую сумму обеспеченных контрактов с НМЦ 996 458 559,76 ? с БГУ  626 498 723,97 ? с БГИ 3 271 210 824,06 ?</t>
  </si>
  <si>
    <t>"поставщики маркер", "свод фт", ".", "рейтинг поставщиков в маркере по бг", "fk1", "все клиенты с выручкой от 1,8 млрд до бесконечности", "Обороты по клиентам по кварталам (2022г)", "рейтинг по нмц маркер", "на фт заводил Бесков"</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</si>
  <si>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35.11.10.115 Электроэнергия, произведенная атомными электростанциями (АЭС) общего назначения ****</t>
  </si>
  <si>
    <t>ЗА 3 ГОДА ПО 223 ФЗ заключено 11 шт. с объемом НМЦ 570 233 106,25 ? за 1 ГОД ПО 223ФЗ заключено 4  10 986 461,00 ?</t>
  </si>
  <si>
    <t>"223 за 3 года", ".", "ГРАНДИОЗНЫЙ ПРОЕКТ 223", "все клиенты с выручкой от 1,8 млрд до бесконечности", "производители", "рейтинг по нмц маркер", "это заказчик", "поставщики маркер"</t>
  </si>
  <si>
    <t>73.12 Услуги по представительству в средствах массовой информации</t>
  </si>
  <si>
    <t>Сообщения о принятии решения о реорганизации от 27.12.2021</t>
  </si>
  <si>
    <t>"223 за 3 года", ".", "fk1", "Обороты по клиентам по кварталам (2022г)", "это заказчик"</t>
  </si>
  <si>
    <t>11.07.11.111 Воды минеральные природные питьевые столовые
11.07 Напитки безалкогольные; минеральные воды и прочие питьевые воды в бутылках
11.07.11.112 Воды минеральные природные питьевые лечебно-столовые</t>
  </si>
  <si>
    <t>ЗА 3 ГОДА ПО 223 ФЗ заключено 2 шт. с объемом НМЦ 206 785 916,00 ?</t>
  </si>
  <si>
    <t>86.21.10.190 Услуги, предоставляемые врачами общей врачебной практики, прочие, не включенные в другие группировки
37.00.11.110 Услуги по водоотведению сточных вод
51.10.12 Услуги по нерегулярным пассажирским перевозкам воздушным транспортом на местных линиях, кроме услуг по осмотру достопримечательностей с воздуха
35.30.11.120 Энергия тепловая, отпущенная котельными
51.10.11.000 Услуги по регулярным пассажирским перевозкам воздушным транспортом на местных линиях
68.20.12.000 Услуги по сдаче в аренду (внаем) собственных или арендованных нежилых помещений
51.10.20.000 Услуги по аренде пассажирских воздушных судов с экипажем
74.90.20.149 Услуги (работы) в области защиты информации прочие
19.20.25.112 Топливо для реактивных двигателей летательных аппаратов с дозвуковой скоростью полета марки ТС-1
52.23.11.000 Услуги аэропортов, кроме обработки грузов ****</t>
  </si>
  <si>
    <t>За весь период компания заключила  6 контрактов на сумму  3 904 390 000,00 ?</t>
  </si>
  <si>
    <t>"223 за 3 года",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заказчиков маркер", "производители", "рейтинг по нмц маркер", "44 за 3 года"</t>
  </si>
  <si>
    <t>28.13.12.000 Насосы возвратно-поступательные объемного действия прочие для перекачки жидкостей
28.13.14.110 Насосы центробежные подачи жидкостей прочие
28.99.39.190 Оборудование специального назначения прочее, не включенное в другие группировки
25.73.30.175 Ключи специальные
28.92.61.110 Комплектующие (запасные части) бурильных и проходческих машин, не имеющие самостоятельных группировок
28.13.14 Насосы центробежные подачи жидкостей прочие; насосы прочие
28.13.31.110 Комплектующие (запасные части) насосов, не имеющие самостоятельных группировок
28.13.1 Насосы для перекачки жидкостей; подъемники жидкостей</t>
  </si>
  <si>
    <t>За весь период компания заключила  4 контрактов на сумму  1 916 630 999,89 ?</t>
  </si>
  <si>
    <t>24.10.62.124 Прокат сортовой горячекатаный полосовой прочий, без дополнительной обработки, включая смотанный после прокатки, из нелегированных сталей
24.10.80.190 Прокат черных металлов прочий, не включенный в другие группировки
24.1 Железо, чугун, сталь и ферросплавы
24.20.13.130 Трубы стальные электросварные
24.10.21.149 Полуфабрикаты круглого или многоугольного сечения из нелегированной стали прочие
25.93.15.110 Проволока, прутки присадочные, стержни, пластины
25.93.15.120 Электроды с покрытием
25.94.11.120 Шурупы из черных металлов
24.10.43.000 Прокат листовой холоднокатаный из прочих легированных сталей, без дополнительной обработки, шириной не менее 600 мм
24.10.62.121 Прокат сортовой горячекатаный круглый прочий, без дополнительной обработки, включая смотанный после прокатки, из нелегированных сталей ****</t>
  </si>
  <si>
    <t>За весь период компания заключила  7 контрактов на сумму  513 962 040,00 ?                                         за 1 ГОД ПО 223ФЗ заключено 1  4 118 117,40 ?</t>
  </si>
  <si>
    <t>"223 за 3 года", ".", "производители", "рейтинг по нмц маркер", "поставщики маркер", "44 за 3 года"</t>
  </si>
  <si>
    <t>Заказчик разыгравший 14 конкурсов на сумму  5 595 365 526,48 ?</t>
  </si>
  <si>
    <t>58.11.1 Книги печатные
58.11.15.000 Атласы и прочие книги с картами печатные
18.12.14.000 Услуги по печатанию книг, географических карт, гидрографических или аналогичных карт всех видов, репродукций, чертежей и фотографий, открыток
46.49.21.000 Услуги по оптовой торговле книгами
58.11.14.000 Словари и энциклопедии печатные
58.11.13.000 Книги печатные для детей
18.12.19.130 Услуги по печатанию книг, журналов, нотных изданий, альбомов иллюстраций, географических альбомов для слепых
18.12.19.190 Услуги печатные прочие, не включенные в другие группировки
58.11.12.000 Книги печатные профессиональные, технические и научные
58.11.19.000 Книги, брошюры, листовки печатные прочие и подобные печатные материалы ****</t>
  </si>
  <si>
    <t>"223 за 3 года", ".", "ушедшие", "все клиенты с выручкой от 1,8 млрд до бесконечности", "производители", "поставщики маркер"</t>
  </si>
  <si>
    <t>18.12.14.000 Услуги по печатанию книг, географических карт, гидрографических или аналогичных карт всех видов, репродукций, чертежей и фотографий, открыток
58.11.13.000 Книги печатные для детей
58.11.12.000 Книги печатные профессиональные, технические и научные
58.11.19.000 Книги, брошюры, листовки печатные прочие и подобные печатные материалы
18.12 Услуги печатные прочие
58.11.11.000 Учебники печатные общеобразовательного назначения</t>
  </si>
  <si>
    <t>"223 за 3 года", ".", "райф", "все клиенты с выручкой от 1,8 млрд до бесконечности", "производители"</t>
  </si>
  <si>
    <t>58.11.1 Книги печатные
58.11.15.000 Атласы и прочие книги с картами печатные
18.12.14.000 Услуги по печатанию книг, географических карт, гидрографических или аналогичных карт всех видов, репродукций, чертежей и фотографий, открыток
58.11.14.000 Словари и энциклопедии печатные
58.11.30.120 Книги профессиональные, технические и научные в электронной форме
74.90.20.130 Услуги агентств и агентов, действующих от имени физических лиц, обычно связанные с заключением контрактов (договоров) на участие в кинофильмах, театральных постановках и других развлекательных или спортивных мероприятиях, а также с предложением книг, пьес, предметов изобразительного искусства, фотографий издателям, продюсерам
58.11.13.000 Книги печатные для детей
58.11.30.190 Книги, брошюры, листовки печатные прочие и подобные материалы в электронной форме
18.12.19.190 Услуги печатные прочие, не включенные в другие группировки
58.11.12.000 Книги печатные профессиональные, технические и научные ****</t>
  </si>
  <si>
    <t>Сообщения о принятии решения о реорганизации от 08.11.2021</t>
  </si>
  <si>
    <t>"223 за 3 года", ".", "fk1", "Обороты по клиентам по кварталам (2022г)", "производители", "поставщики маркер"</t>
  </si>
  <si>
    <t>58.11.16.000 Карты и гидрографические или аналогичные схемы печатные, не в виде книги
17.23.13.110 Журналы регистрационные из бумаги или картона
17 Бумага и изделия из бумаги
58.11.1 Книги печатные
85.11.10.000 Услуги в области дошкольного образования
85.13.11.000 Услуги в области дистанционного основного общего образования в информационно-коммуникационной сети Интернет
85.14 Услуги в области общего среднего образования
58.11.11 Учебники печатные общеобразовательного назначения
58.11.15.000 Атласы и прочие книги с картами печатные
17.23.13.191 Блокноты, записные книжки и книги для записей ****</t>
  </si>
  <si>
    <t>За весь период компания заключила  51 контрактов на сумму  6 896 569 014,69 ? За весь период заходили в конкурсы  23 раз на общую сумму обеспеченных контрактов с НМЦ 4 579 375 729,49 ? с БГУ  45 795 660,00 ? с БГИ 669 960 094,97 ?                             ЗА 3 ГОДА ПО 223 ФЗ заключено 622 шт. с объемом НМЦ 575 711 472,34 ? за 1 ГОД ПО 223ФЗ заключено 53  48 298 215,89 ?</t>
  </si>
  <si>
    <t>"223 за 3 года", "ао", ".", "рейтинг поставщиков в маркере по бг",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 "44 за 3 года"</t>
  </si>
  <si>
    <t>58.11.1 Книги печатные
58.11.11 Учебники печатные общеобразовательного назначения
58.11.15.000 Атласы и прочие книги с картами печатные
58.11.41.000 Место для рекламы в печатных книгах
46.18.12.000 Услуги по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за вознаграждение или на договорной основе
18.12.14.000 Услуги по печатанию книг, географических карт, гидрографических или аналогичных карт всех видов, репродукций, чертежей и фотографий, открыток
46.49.21.000 Услуги по оптовой торговле книгами
58.19.11.200 Прочая издательская продукция печатная
58.11.14.000 Словари и энциклопедии печатные
58.11.50 Услуги по изданию книг за вознаграждение или на договорной основе ****</t>
  </si>
  <si>
    <t>1 500</t>
  </si>
  <si>
    <t>Сообщения о принятии решения о реорганизации от 19.11.2021</t>
  </si>
  <si>
    <t>73.1 Услуги рекламные
63.91.12.000 Услуги информационных агентств, предоставляемые аудиовизуальным средствам массовой информации
73.11.11.000 Набор рекламных услуг полный
73.11.13.000 Услуги по разработке рекламного дизайна и концепции
79.90.11.000 Услуги по продвижению туризма
63.11.12.000 Услуги по размещению в информационно-коммуникационной сети Интернет
73.11.19.000 Услуги рекламные прочие
73.12.19.000 Услуги по продаже прочего места или времени для рекламы за вознаграждение или на договорной основе
73.11.12.000 Услуги по прямому маркетингу и прямой почтовой рекламе
63.11.30.000 Место или время для рекламы в информационно-коммуникационной сети Интернет</t>
  </si>
  <si>
    <t>За весь период компания заключила  2 контрактов на сумму  475 362 854,37 ? За весь период заходили в конкурсы  6 раз на общую сумму обеспеченных контрактов с НМЦ 989 861 518,56 ? с БГУ  38 215 891,54 ? с БГИ 315 765 607,14 ?                             ЗА 3 ГОДА ПО 223 ФЗ заключено 11 шт. с объемом НМЦ 79 021 760,32 ? за 1 ГОД ПО 223ФЗ заключено 2  59 994 063,00 ?</t>
  </si>
  <si>
    <t>"223 за 3 года", ".", "рейтинг поставщиков в маркере по бг", "fk1", "корп 2",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"Одобренные но не выданные 1 полугодие 2021", "223 фз контракты 20+", "рейтинг по нмц маркер", "поставщики маркер"</t>
  </si>
  <si>
    <t>45.11 Услуги по торговле легковыми автомобилями и грузовыми автомобилями малой грузоподъемности
45.11.21.000 Услуги по розничной торговле новыми пассажирскими автотранспортными средствами в специализированных магазинах
45.11.39.000 Услуги по розничной торговле легковыми автомобилями и грузовыми автомобилями малой грузоподъемности прочие, не включенные в другие группировки
45.19.49.000 Услуги по оптовой торговле прочими автотранспортными средствами за вознаграждение или на договорной основе прочие
45.20.11.215 Услуги по ремонту тормозной системы
45.20.11.519 Прочие услуги по техническому обслуживанию и ремонту прочих автотранспортных средств, не включенные в другие группировки
29.10.44.000 Шасси с установленными двигателями для автотранспортных средств
29.10 Средства автотранспортные
29.10.2 Автомобили легковые
45.11.12.000 Услуги по оптовой торговле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t>
  </si>
  <si>
    <t>За весь период заходили в конкурсы  3 раз на общую сумму обеспеченных контрактов с НМЦ 202 530 773,92 ? с БГУ  7 873 483,50 ? с БГИ 24 874 711,65 ?                                 за 1 ГОД ПО 223ФЗ заключено 1  4 400 000,00 ?</t>
  </si>
  <si>
    <t>"223 за 3 года", "кл фт прямые бг 04.22", "свод фт", ".", "рейтинг поставщиков в маркере по бг", "беники", "УПП на 2 номер", "fk1", "клиенты управления по БГ без открытых счетов", "Евразия_июлль-август 2019", "2. Финтендер 2022 31.03.22 Григорян для СПАРК", "БГ ФБ ЮР лица на 01.07.2021", "Премия 4 кв 22 г.бг", "Гарантии ФБ банкроты", "филиал бизнес 31.01.22 ", "все клиенты с выручкой от 1,8 млрд до бесконечности", "портфель", "ФК клиенты с выручкой от 230 до бесконечности", "клиенты от 100 млн", "Одобренные но не выданные 1 полугодие 2021", "ФТ клиенты с продуктами по сотрудникам", "рейтинг по нмц маркер", "на фт заводил Шутов", "на фт заводил Хацкевич", "на фт заводил Удод", "на фт заводил Данченко", "поставщики маркер", "44 за 3 года"</t>
  </si>
  <si>
    <t>01.11 Культуры зерновые (кроме риса), зернобобовые, семена масличных культур</t>
  </si>
  <si>
    <t>За весь период компания заключила  1 контрактов на сумму  561 000 000,00 ?</t>
  </si>
  <si>
    <t>"поставщики маркер", ".", "уш кл 1", "клиенты с в от100млн 09.21", "лимит сит по кредитам", "все клиенты с выручкой от 1,8 млрд до бесконечности", "рейтинг заказчиков маркер", "производители", "рейтинг по нмц маркер", "это заказчик"</t>
  </si>
  <si>
    <t>"это заказчик", ".", "fk1", "Обороты по клиентам по кварталам (2022г)", "производители"</t>
  </si>
  <si>
    <t>"это заказчик", ".", "fk1"</t>
  </si>
  <si>
    <t>71 Услуги в области архитектуры и инженерно-технического проектирования, технических испытаний, исследований и анализа
71.12.20.190 Услуги по руководству строительными проектами прочие
42.22 Сооружения и строительные работы по строительству коммунальных объектов для электроснабжения и связи
42.21.21.000 Работы строительные по прокладке магистральных трубопроводов
71.12.11.900 Услуги в виде инженерно-технических консультаций прочие</t>
  </si>
  <si>
    <t>За весь период компания заключила  5 контрактов на сумму  879 846 429,16 ? За весь период заходили в конкурсы  5 раз на общую сумму обеспеченных контрактов с НМЦ 709 443 096,14 ? с БГУ  33 507 034,74 ? с БГИ 201 042 208,44 ? За 3 ГОДА по 44ФЗ заключено 7 шт. с объемом НМЦ  388 730 818,25 ? с БГИ 115 817 363,31 ? с БГГО 5 807 207,05 ? с авансированием до 0,00 ? с комиссией банку 3 246 708,74 ? с кв 28 246,37 ?               ЗА 3 ГОДА ПО 223 ФЗ заключено 29 шт. с объемом НМЦ 5 184 151 123,67 ? за 1 ГОД ПО 223ФЗ заключено 12  7 348 817 678,29 ?</t>
  </si>
  <si>
    <t>"223 за 3 года", ".", "рейтинг поставщиков в маркере по бг", "ГРАНДИОЗНЫЙ ПРОЕКТ 223", "223 фз контракты 20+", "рейтинг по нмц маркер", "поставщики маркер", "44 за 3 года"</t>
  </si>
  <si>
    <t>Сообщение кредитора о намерении обратиться в суд с заявлением о банкротстве от 05.12.2022</t>
  </si>
  <si>
    <t>35.30.11.130 Энергия тепловая, отпущенная электрокотлами
35.30.12.110 Услуги по приготовлению воды на нужды горячего водоснабжения
35.13.10.000 Услуги по распределению электроэнергии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35.30.11.111 Энергия тепловая, отпущенная тепловыми электроцентралями (ТЭЦ)
35.30.11.112 Энергия тепловая, отпущенная атомными электростанциями (АЭС)
36.00.12.000 Вода непитьевая
36.00.20.130 Услуги по транспортированию и распределению воды по водопроводам ****</t>
  </si>
  <si>
    <t>За 3 года по 223ФЗ заключено  1 шт контрактов на сумму 35 986 713,52 ?</t>
  </si>
  <si>
    <t>"223 за 3 года", ".", "fk1", "Кредитный портфель_01.11", "корп 1", "06.2022_ФинХД", "все клиенты с выручкой от 1,8 млрд до бесконечности", "ФК клиенты с выручкой от 230 до бесконечности", "клиенты от 100 млн", "рейтинг заказчиков маркер", "это заказчик", "поставщики маркер"</t>
  </si>
  <si>
    <t>21.20.23.110 Реагенты диагностические
21.20.23.199 Средства нелечебные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21.20.10.251 Препараты назальные
21.20.23.190 Препараты фармацевтические прочие
21.10.51.123 Витамины A и D и их комбинация ****</t>
  </si>
  <si>
    <t>За весь период заходили в конкурсы  12 раз на общую сумму обеспеченных контрактов с НМЦ 1 586 397 400,28 ? с БГУ  14 716 176,66 ? с БГИ 132 063 891,26 ? За 3 ГОДА по 44ФЗ заключено 2659 шт. с объемом НМЦ  8 737 940 227,21 ? с БГИ 659 640 350,80 ? с БГГО 1 739 580,90 ? с авансированием до 1 722 514,04 ? с комиссией банку 9 731 919,79 ? с кв 84 667,70 ? ЗА 1 ГОД по 44ФЗ заключено 1242 шт. c объемом НМЦ 4 086 175 204,79 ? с БГИ 338 400 151,07 ? с БГГО 0,00 ? с авансированием до  1 686 866,20 ? с комиссией банку  5 095 528,65 ? с кв 44 331,10 ? ЗА 3 ГОДА ПО 223 ФЗ заключено 19 шт. с объемом НМЦ 128 968 453,88 ? за 1 ГОД ПО 223ФЗ заключено 17  139 349 529,71 ?</t>
  </si>
  <si>
    <t>"223 за 3 года", "кл фт прямые бг 04.22", "свод фт", ".", "рейтинг поставщиков в маркере по бг", "БГИ", "fk1", "корп 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"Одобренные но не выданные 1 полугодие 2021", "ФТ клиенты с продуктами по сотрудникам", "223 фз контракты 20+", "44 фз с с БГ от 10 млн", "рейтинг по нмц маркер", "на фт заводил Алтухова", "поставщики маркер", "44 за 3 года"</t>
  </si>
  <si>
    <t>За весь период контрактов 1 шт. на общую сумму НМЦ 424 980 000,00 ?</t>
  </si>
  <si>
    <t>"поставщики маркер", ".", "fk1", "все клиенты с выручкой от 1,8 млрд до бесконечности", "Обороты по клиентам по кварталам (2022г)", "рейтинг по нмц маркер"</t>
  </si>
  <si>
    <t>"Обороты по клиентам по кварталам (2022г)", ".", "Кредитный портфель_01.11", "06.2022_ФинХД", "ФК клиенты с выручкой 8-18 млн", "клиенты до 49 млн"</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</si>
  <si>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42.11.10.152 Дорога внутрихозяйственная
42.11.10.120 Дороги автомобильные, в том числе улично-дорожная сеть, и прочие автомобильные и пешеходные дороги
42.11.10.159 Дороги подъездные, транспортные и пешеходные путепроводы над и под дорогой, велосипедные дорожки прочие
42.11.10.150 Дороги подъездные, транспортные и пешеходные путепроводы над и под дорогой, велосипедные дорожки
42.11.10.122 Дорога автомобильная с усовершенствованным облегченным или переходным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t>
  </si>
  <si>
    <t>Заявка отозвана
Заявка отозвана клиентом
Мой черновик
Отклонена банком</t>
  </si>
  <si>
    <t>Сообщение кредитора о намерении обратиться в суд с заявлением о банкротстве от 13.11.2020</t>
  </si>
  <si>
    <t>"223 за 3 года", "кл фт агент бг 04.22", "свод фт", ".", "рейтинг поставщиков в маркере по бг", "Рассрочка КВ Март 2023", "ГРАНДИОЗНЫЙ ПРОЕКТ", "БГИ", "Конкурсы 100+ (Восстановленный)", "fk1", "кредиты фт", "райф", "Пункт 3.1 09.01.2023", "ПСБ Гарантии ", "лимит сит по кредитам", "все клиенты с выручкой от 1,8 млрд до бесконечности",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"44 фз с с БГ от 10 млн", "рейтинг по нмц маркер", "это заказчик", "на фт заводил Егоров ", "crm управления", "в crm за Егоровым ", "поставщики маркер", "44 за 3 года"</t>
  </si>
  <si>
    <t>24.10.42 Прокат листовой холоднокатаный из нержавеющих сталей, без дополнительной обработки, шириной не менее 600 мм
24.10.21.110 Сталь нелегированная в слитках или в прочих первичных формах
24.10.33.000 Прокат листовой горячекатаный из нержавеющих сталей, без дополнительной обработки, шириной не менее 600 мм
24.10.22.110 Сталь нержавеющая в слитках или прочих первичных формах
25.99 Металлоизделия готовые прочие, не включенные в другие группировки
24.10.22.190 Полуфабрикаты из нержавеющей стали прочие
24.10.1 Продукты из железа и стали основные
24.10.34.000 Прокат листовой горячекатаный из нержавеющих сталей, без дополнительной обработки, шириной менее 600 мм
24.10.35.000 Прокат листовой горячекатаный из прочих легированных сталей, без дополнительной обработки, шириной не менее 600 мм
24.10 Железо, чугун, сталь и ферросплавы</t>
  </si>
  <si>
    <t>17.21.1 Бумага и картон гофрированные и тара бумажная и картонная</t>
  </si>
  <si>
    <t>За весь период компания заключила  2 контрактов на сумму  842 938 117,53 ?</t>
  </si>
  <si>
    <t>"223 за 3 года", ".", "fk1", "корп 1", "лимит сит по кредитам", "Пустые_Клиенты", "все клиенты с выручкой от 1,8 млрд до бесконечности", "ФК клиенты с выручкой от 230 до бесконечности", "производители"</t>
  </si>
  <si>
    <t>10.86.10.195 Продукция детского питания безлактозная
10.86.10.210 Консервы на овощной, овоще-фруктовой основах для детского питания, кроме томатных
10.86.10.243 Соки фруктовые и фруктово-овощные для детского питания
10.86.10.135 Смеси кисломолочные сухие для детей раннего возраста
10.86.10.139 Смеси молочные сухие прочие для детей раннего возраста
10.86.10.211 Консервы на овощной основе, овоще-фруктовой основах гомогенизированные для детского питания
10.86.10.660 Консервы мясные для детского питания
10.83.13.120 Чай черный (ферментированный) в упаковках массой не более 3 кг
10.86.10.661 Консервы мясные гомогенизированные для детского питания
10.86.10.242 Консервы на фруктовой и фруктово-овощной основах протертые для детского питания ****</t>
  </si>
  <si>
    <t>за 1 ГОД ПО 223ФЗ заключено 2  5 100 412,00 ?</t>
  </si>
  <si>
    <t>20.13.25.117 Гидроксид алюминия
22.22.14.000 Бутыли, бутылки, флаконы и аналогичные изделия из пластмасс
22.22.19.000 Изделия упаковочные пластмассовые прочие
20.16.20.122 Сополимеры акрилонитрилбутадиенстирольные (АБС-пластик) в первичных формах
20.59 Продукты химические прочие, не включенные в другие группировки
21.20.23.110 Реагенты диагностические
21.20.23.113 Средства радиофармацевтические диагностические
21.20.23.199 Средства нелечебные прочие
20.59.52.140 Среды готовые питательные для выращивания микроорганизмов
20.59.52.193 Комплексоны и комплексонаты, соединения комплексные ****</t>
  </si>
  <si>
    <t>За весь период заходили в конкурсы  14 раз на общую сумму обеспеченных контрактов с НМЦ 1 013 659 568,47 ? с БГУ  32 253 403,80 ? с БГИ 210 506 665,25 ? За 3 ГОДА по 44ФЗ заключено 877 шт. с объемом НМЦ  2 852 915 706,11 ? с БГИ 271 317 321,16 ? с БГГО 23 184 118,41 ? с авансированием до 17 809 016,31 ? с комиссией банку 2 460 579,22 ? с кв 21 407,04 ? ЗА 1 ГОД по 44ФЗ заключено 214 шт. c объемом НМЦ 670 700 201,01 ? с БГИ 59 335 414,29 ? с БГГО 1 720 637,03 ? с авансированием до  1 926 319,25 ? с комиссией банку  832 446,02 ? с кв 7 242,28 ? ЗА 3 ГОДА ПО 223 ФЗ заключено 185 шт. с объемом НМЦ 232 836 466,40 ? за 1 ГОД ПО 223ФЗ заключено 18  16 147 735,13 ?</t>
  </si>
  <si>
    <t>21.20.23.110 Реагенты диагностические
21.20.23.113 Средства радиофармацевтические диагностические
21.20.23.199 Средства нелечебные прочие
20.59.52.199 Реагенты сложные диагностические или лабораторные прочие, не включенные в другие группировки
20.59.52.194 Реактивы химические общелабораторного назначения
21.20.23.111 Препараты диагностические
20.59.52.190 Реагенты сложные диагностические или лабораторные, не включенные в другие группировки
21.10.60.196 Препараты диагностические (реагенты) микробного и вирусного происхождения; наборы диагностические
21.20.23.112 Вещества контрастные
20.59.52.195 Реагенты для определения аналитов для диагностики in vitro ****</t>
  </si>
  <si>
    <t>За 3 ГОДА по 44ФЗ заключено 433 шт. с объемом НМЦ  442 049 293,94 ? с БГИ 39 393 417,17 ? с БГГО 1 641 253,07 ? с авансированием до 102 143,36 ? с комиссией банку 357 354,78 ? с кв 3 108,99 ? ЗА 1 ГОД по 44ФЗ заключено 196 шт. c объемом НМЦ 177 718 544,19 ? с БГИ 13 477 700,88 ? с БГГО 0,00 ? с авансированием до  7 064,77 ? с комиссией банку  138 724,60 ? с кв 1 206,90 ? ЗА 3 ГОДА ПО 223 ФЗ заключено 8 шт. с объемом НМЦ 40 009 005,33 ? за 1 ГОД ПО 223ФЗ заключено 10  72 514 998,16 ?</t>
  </si>
  <si>
    <t>"223 за 3 года", "кл фт агент бг 04.22", ".", "портфель", "клиенты от 100 млн", "действующие б не прям", "Одобренные но не выданные 1 полугодие 2021", "ФТ клиенты с продуктами по сотрудникам", "223 фз контракты 20+", "производители", "поставщики маркер", "44 за 3 года"</t>
  </si>
  <si>
    <t>25.40.11.000 Оружие боевое, кроме револьверов, пистолетов и аналогичного оружия
25.40.1 Оружие и боеприпасы и их части</t>
  </si>
  <si>
    <t>19.2 Нефтепродукты
19.20.21 Топливо моторное, включая автомобильный и авиационный бензин
19.20.42.121 Битумы нефтяные дорожные
19.20.29.160 Масла турбинные
19.20.2 Топливо жидкое и газообразное; масла смазочные
19.20.28.110 Мазут топочный</t>
  </si>
  <si>
    <t>ЗА 3 ГОДА ПО 223 ФЗ заключено 12 шт. с объемом НМЦ 570 711 241,48 ?</t>
  </si>
  <si>
    <t>"223 за 3 года", ".", "fk1", "корп 1", "06.2022_ФинХД", "все клиенты с выручкой от 1,8 млрд до бесконечности", "ФК клиенты с выручкой от 230 до бесконечности", "Участники клиринга", "рейтинг по нмц маркер", "поставщики маркер"</t>
  </si>
  <si>
    <t>10.13.11.000 Свинина соленая, в рассоле, копченая, сушеная (в том числе сублимационной сушки)
10.13.13 Мясо и мясные пищевые субпродукты прочие, соленые, в рассоле, копченые, сушеные (в том числе сублимационной сушки) (кроме мяса свиней и крупного рогатого скота); мясо птицы сухое, мука тонкого и грубого помола из мяса и мясных субпродуктов, пригодная для употребления в пищу
10.51.56.142 Желе, соусы, кремы, пудинги, муссы, пасты, суфле сливочные
10.61.11.000 Рис шелушеный
10.61.21 Мука пшеничная и пшенично-ржаная
10.85.13 Продукты пищевые готовые и блюда на основе овощей</t>
  </si>
  <si>
    <t>46.5 Услуги по оптовой торговле информационным и коммуникационным оборудованием
62.02 Услуги консультативные, связанные с компьютерной техникой
26 Оборудование компьютерное, электронное и оптическое
26.20 Компьютеры и периферийное оборудование
46.51.10 Услуги по оптовой торговле компьютерами, компьютерными периферийными устройствами и программным обеспечением
46.52 Услуги по оптовой торговле электронным и телекоммуникационным оборудованием и его частями</t>
  </si>
  <si>
    <t>За весь период компания заключила  24 контрактов на сумму  23 535 577 737,77 ?                                     ЗА 3 ГОДА ПО 223 ФЗ заключено 11 шт. с объемом НМЦ 232 613 623,86 ?</t>
  </si>
  <si>
    <t>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17.29.19.190 Изделия прочие из бумаги и картона, не включенные в другие группировки
18.12.19.190 Услуги печатные прочие, не включенные в другие группировки
22.21.30.120 Пленки пластмассовые, неармированные или не комбинированные с другими материалами</t>
  </si>
  <si>
    <t>33.17 Услуги по ремонту и техническому обслуживанию прочих транспортных средств и оборудования
33.17.11.000 Услуги по ремонту и техническому обслуживанию железнодорожных локомотивов и подвижного состава</t>
  </si>
  <si>
    <t>За весь период контрактов 24 шт. на общую сумму НМЦ 7 405 491 598,01 ?</t>
  </si>
  <si>
    <t>Сообщения о принятии решения о реорганизации от 23.06.2021</t>
  </si>
  <si>
    <t>"223 за 3 года", ".", "АНАЛИЗ Все установленные лимиты на 01.12.2021 ОКВЭД Прочие Услуги", "все клиенты с выручкой от 1,8 млрд до бесконечности", "рейтинг заказчиков маркер", "производители", "рейтинг по нмц маркер", "это заказчик", "поставщики маркер"</t>
  </si>
  <si>
    <t>19.20.21.341 Топливо дизельное межсезонное вне классов
19.20.21.321 Топливо дизельное зимнее вне классов
19.20.21 Топливо моторное, включая автомобильный и авиационный бензин
19.20.21.100 Бензин автомобильный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19.20.21.134 Бензин автомобильный с октановым числом более 95, но не более 98 по исследовательскому методу экологического класса К4
19.20.21.145 Бензин автомобильный с октановым числом более 98 по исследовательскому методу экологического класса К5
19.20.21.340 Топливо дизельное межсезонное
19.20.21.120 Бензин автомобильный с октановым числом более 92, но не более 95 по исследовательскому методу ****</t>
  </si>
  <si>
    <t>За 3 ГОДА по 44ФЗ заключено 558 шт. с объемом НМЦ  489 917 985,48 ? с БГИ 33 815 896,31 ? с БГГО 843 189,97 ? с авансированием до 589 978,21 ? с комиссией банку 288 128,65 ? с кв 2 506,72 ? ЗА 1 ГОД по 44ФЗ заключено 174 шт. c объемом НМЦ 135 342 763,12 ? с БГИ 11 103 966,84 ? с БГГО 0,00 ? с авансированием до  19 554,50 ? с комиссией банку  138 590,52 ? с кв 1 205,74 ? ЗА 3 ГОДА ПО 223 ФЗ заключено 40 шт. с объемом НМЦ 40 181 218,00 ? за 1 ГОД ПО 223ФЗ заключено 9  6 995 218,67 ?</t>
  </si>
  <si>
    <t>"223 за 3 года", ".", "fk1", "все клиенты с выручкой от 1,8 млрд до бесконечности", "Участники клиринга", "производители", "поставщики маркер", "44 за 3 года"</t>
  </si>
  <si>
    <t>28.30.86.130 Оборудование для лесного хозяйства, не включенное в другие группировки
28.29 Машины и оборудование общего назначения прочие, не включенные в другие группировки
28.22.20.000 Ковши, черпаки, грейферы и захваты для подъемных кранов, экскаваторов и аналогичного оборудования
28.99.39.190 Оборудование специального назначения прочее, не включенное в другие группировки
29.32.30.390 Части и принадлежности для автотранспортных средств прочие, не включенные в другие группировки
29.10.59.321 Снегоочистители роторные
29.32.30 Комплектующие и принадлежности для автотранспортных средств, не включенные в другие группировки
32.91.19.110 Щетки технические
28.92.62.000 Части машин для сортировки, дробления или прочих способов обработки грунта, камня и аналогичных материалов</t>
  </si>
  <si>
    <t>за 1 ГОД ПО 223ФЗ заключено 2  4 978 906,33 ?</t>
  </si>
  <si>
    <t>"223 за 3 года", ".", "инн Вавилова",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"это заказчик", "поставщики маркер", "44 за 3 года"</t>
  </si>
  <si>
    <t>27.32.13.143 Кабели контрольные
27.32.13.131 Провода силовые для электрических установок
27.32.13.151 Кабели дальней связи
27.32.14.111 Кабели силовые с медной жилой на напряжение более 1 кВ
27.32.14.112 Кабели силовые с алюминиевой жилой на напряжение более 1 кВ
27.32.11.000 Провода обмоточные изолированные
27.32.13.133 Провода и шнуры осветительные
27.33.13.120 Соединители электрические, зажимы контактные, наборы зажимов
27.33.13.130 Арматура кабельная
27.32 Провода и кабели электронные и электрические прочие ****</t>
  </si>
  <si>
    <t>За весь период компания заключила  8 контрактов на сумму  5 732 940 474,48 ? За весь период заходили в конкурсы  5 раз на общую сумму обеспеченных контрактов с НМЦ 5 029 918 890,77 ? с БГУ  254 316 955,00 ? с БГИ 508 633 910,00 ?                             ЗА 3 ГОДА ПО 223 ФЗ заключено 2 шт. с объемом НМЦ 31 653 720,53 ?</t>
  </si>
  <si>
    <t>"223 за 3 года", ".", "рейтинг поставщиков в маркере по бг", "fk1", "ПОС на 01.02.2023", "ПОС на 03.04.2023", "Кредитный портфель_01.11", "06.2022_ФинХД", "все клиенты с выручкой от 1,8 млрд до бесконечности", "клиенты от 100 млн", "Обороты по клиентам по кварталам (2022г)", "производители", "рейтинг по нмц маркер", "поставщики маркер"</t>
  </si>
  <si>
    <t>за 1 ГОД ПО 223ФЗ заключено 4  5 971 916,00 ?</t>
  </si>
  <si>
    <t>"поставщики маркер", ".", "ушедший портфель", "инн Ленинградка",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"Участники клиринга"</t>
  </si>
  <si>
    <t>"в crm за Чимровым", ".", "производители", "crm управления"</t>
  </si>
  <si>
    <t>19.20.21.430 Топливо судовое с массовой долей серы 0,5 - 1,5 % с температурой вспышки в закрытом тигле не ниже 61 °C
19.20.21.440 Топливо судовое с массовой долей серы не более 0,5 % с температурой вспышки в закрытом тигле не ниже 61 °C
19.20.21.100 Бензин автомобильный
19.20.21.310 Топливо дизельное летнее
19.20.21.400 Топливо судовое
19.20.2 Топливо жидкое и газообразное; масла смазочные
19.20.21.325 Топливо дизельное зимнее экологического класса К5
19.20.28.110 Мазут топочный
19.20 Нефтепродукты</t>
  </si>
  <si>
    <t>За весь период заходили в конкурсы  3 раз на общую сумму обеспеченных контрактов с НМЦ 165 547 859,97 ? с БГУ  3 999 000,25 ? с БГИ 27 761 251,25 ? За 3 ГОДА по 44ФЗ заключено 17 шт. с объемом НМЦ  533 163 329,94 ? с БГИ 66 826 412,08 ? с БГГО 0,00 ? с авансированием до 0,00 ? с комиссией банку 652 690,54 ? с кв 5 678,41 ? ЗА 1 ГОД по 44ФЗ заключено 4 шт. c объемом НМЦ 159 410 037,27 ? с БГИ 15 941 003,73 ? с БГГО 0,00 ? с авансированием до  0,00 ? с комиссией банку  163 993,18 ? с кв 1 426,74 ?</t>
  </si>
  <si>
    <t>"223 за 3 года", "кл фт агент бг 04.22", ".", "рейтинг поставщиков в маркере по бг", "Легкий кредит", "фт (2)", "портфель", "клиенты от 100 млн", "действующие б не прям", "ФТ клиенты с продуктами по сотрудникам", "Участники клиринга", "производители", "рейтинг по нмц маркер", "поставщики маркер", "44 за 3 года"</t>
  </si>
  <si>
    <t>75.00.12.000 Услуги ветеринарные для сельскохозяйственных животных</t>
  </si>
  <si>
    <t>"производители", ".", "fk1", "Кредитный портфель_01.11", "корп 1", "06.2022_ФинХД", "все клиенты с выручкой от 1,8 млрд до бесконечности", "ФК клиенты с выручкой от 230 до бесконечности", "клиенты от 100 млн"</t>
  </si>
  <si>
    <t>62.09.20.190 Услуги по технической поддержке в области информационных технологий прочие, не включенные в другие группировки
58.29.50.000 Услуги по предоставлению лицензий на право использовать компьютерное программное обеспечение</t>
  </si>
  <si>
    <t>1 466</t>
  </si>
  <si>
    <t>"Участники клиринга", ".", "fk1", "ПОС на 01.02.2023", "ПОС на 03.04.2023", "Кредитный портфель_01.11", "06.2022_ФинХД", "все клиенты с выручкой от 1,8 млрд до бесконечности", "Обороты по клиентам по кварталам (2022г)"</t>
  </si>
  <si>
    <t>19.30.13.120 Термоугли из угля, кроме антрацита и бурого угля (лигнита)</t>
  </si>
  <si>
    <t>01.11.1 Пшеница
01.11.32 Рожь</t>
  </si>
  <si>
    <t>09.1 Услуги по добыче нефти и природного газа</t>
  </si>
  <si>
    <t>За весь период контрактов 47 шт. на общую сумму НМЦ 87 545 993 750,22 ?</t>
  </si>
  <si>
    <t>Сообщение кредитора о намерении обратиться в суд с заявлением о банкротстве от 09.03.2023</t>
  </si>
  <si>
    <t>"в crm за Рябовым", ".", "производители", "crm управления"</t>
  </si>
  <si>
    <t>46.71.13.120 Услуги по оптовой торговле мазутом
19.20.21.315 Топливо дизельное летнее экологического класса К5
19.20.21.345 Топливо дизельное межсезонное экологического класса К5
19.20.21.300 Топливо дизельное
19.20.21.325 Топливо дизельное зимнее экологического класса К5</t>
  </si>
  <si>
    <t>За весь период компания заключила  8 контрактов на сумму  12 087 142 574,62 ? За весь период заходили в конкурсы  13 раз на общую сумму обеспеченных контрактов с НМЦ 12 357 623 486,57 ? с БГУ  849 517 050,91 ? с БГИ 2 812 532 627,26 ?                             ЗА 3 ГОДА ПО 223 ФЗ заключено 2 шт. с объемом НМЦ 29 956 482,60 ?</t>
  </si>
  <si>
    <t>"223 за 3 года", ".", "рейтинг поставщиков в маркере по бг", "все клиенты с выручкой от 1,8 млрд до бесконечности", "Участники клиринга", "рейтинг по нмц маркер", "поставщики маркер", "44 за 3 года"</t>
  </si>
  <si>
    <t>За весь период контрактов 11 шт. на общую сумму НМЦ 32 050 343 909,92 ?</t>
  </si>
  <si>
    <t>"поставщики маркер", ".", "беники", "портфель 51", "fk1", "корп 1", "06.2022_ФинХД", "все клиенты с выручкой от 1,8 млрд до бесконечности", "ФК клиенты с выручкой от 230 до бесконечности", "производители", "рейтинг по нмц маркер"</t>
  </si>
  <si>
    <t>19.20.21.440 Топливо судовое с массовой долей серы не более 0,5 % с температурой вспышки в закрытом тигле не ниже 61 °C
19.20.21 Топливо моторное, включая автомобильный и авиационный бензин
33.17.11.000 Услуги по ремонту и техническому обслуживанию железнодорожных локомотивов и подвижного состава
19.20.21.300 Топливо дизельное</t>
  </si>
  <si>
    <t>ЗА 3 ГОДА ПО 223 ФЗ заключено 4 шт. с объемом НМЦ 210 724 366,54 ? за 1 ГОД ПО 223ФЗ заключено 1  53 170 227,00 ?</t>
  </si>
  <si>
    <t>"223 за 3 года", ".", "fk1", "все клиенты с выручкой от 1,8 млрд до бесконечности", "портфель", "Обороты по клиентам по кварталам (2022г)", "223 фз контракты 20+", "рейтинг по нмц маркер", "поставщики маркер"</t>
  </si>
  <si>
    <t>68.10.14 Услуги по покупке и продаже нежилых зданий и занимаемых ими земельных участков
71.12.20.190 Услуги по руководству строительными проектами прочие
55 Услуги по предоставлению мест для временного проживания
33.12 Услуги по ремонту оборудования
82.30.11.000 Услуги по организации конференций
35.22.10.120 Услуги по техническому обслуживанию приборов учета расхода газа
85.41.99.000 Услуги в области дополнительного образования прочие, не включенные в другие группировки</t>
  </si>
  <si>
    <t>за 1 ГОД ПО 223ФЗ заключено 1  5 482 998,00 ?</t>
  </si>
  <si>
    <t>Сообщения о принятии решения о реорганизации от 28.10.2020</t>
  </si>
  <si>
    <t>42.22.22.120 Работы строительные по строительству трансформаторных станций и подстанций для распределения электричества в пределах какого-либо района
41.20.40.900 Работы строительные по возведению нежилых зданий и сооружений прочие, не включенные в другие группировки
71.12.13 Услуги по инженерно-техническому проектированию систем энергоснабжения
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81.29.19.000 Услуги по чистке и уборке прочие, не включенные в другие группировки
43.29.19.190 Работы монтажные прочие, не включенные в другие группировки
71.20.13.000 Услуги в области испытаний, исследований и анализа целостных механических и электрических систем
43.99.90.100 Работы строительные специализированные, не включенные в другие группировки, кроме работ на объектах культурного наследия
71.12.12.190 Услуги по инженерно-техническому проектированию зданий прочие, не включенные в другие группировки</t>
  </si>
  <si>
    <t>За весь период компания заключила  9 контрактов на сумму  4 885 211 472,07 ? За весь период заходили в конкурсы  12 раз на общую сумму обеспеченных контрактов с НМЦ 4 319 214 548,51 ? с БГУ  134 236 360,96 ? с БГИ 794 012 763,68 ? За 3 ГОДА по 44ФЗ заключено 1 шт. с объемом НМЦ  133 366 490,00 ? с БГИ 40 009 947,00 ? с БГГО 1 333 665,00 ? с авансированием до 0,00 ? с комиссией банку 1 010 662,22 ? с кв 8 792,76 ?</t>
  </si>
  <si>
    <t>"223 за 3 года", ".", "рейтинг поставщиков в маркере по бг", "БизФин", "производители", "рейтинг по нмц маркер", "поставщики маркер", "44 за 3 года"</t>
  </si>
  <si>
    <t>Сообщение кредитора о намерении обратиться в суд с заявлением о банкротстве от 26.07.2021</t>
  </si>
  <si>
    <t>86.10.19.000 Услуги больниц прочие
86.21.10.190 Услуги, предоставляемые врачами общей врачебной практики, прочие, не включенные в другие группировки
86.22.11 Услуги по проведению и расшифровке медицинских исследований
86.90.19.110 Услуги организаций санитарно-эпидемиологической службы
86.10.15.000 Услуги больниц прочие, оказываемые врачами
86.22.19.000 Услуги в области специализированной врачебной практики прочие
86.90.15.000 Услуги медицинских лабораторий
21.20.10.134 Растворы плазмозамещающие и перфузионные
86.90 Услуги в области медицины прочие
86.90.19.190 Услуги в области медицины прочие, не включенные в другие группировки ****</t>
  </si>
  <si>
    <t>За 3 ГОДА по 44ФЗ заключено 130 шт. с объемом НМЦ  134 384 985,14 ? с БГИ 11 086 601,28 ? с БГГО 37 085,42 ? с авансированием до 90 000,00 ? с комиссией банку 204 907,66 ? с кв 1 782,70 ? ЗА 1 ГОД по 44ФЗ заключено 44 шт. c объемом НМЦ 49 102 304,92 ? с БГИ 3 924 342,43 ? с БГГО 0,00 ? с авансированием до  180 000,00 ? с комиссией банку  82 136,39 ? с кв 714,59 ?</t>
  </si>
  <si>
    <t>20.59.52.199 Реагенты сложные диагностические или лабораторные прочие, не включенные в другие группировки
86.10.19.000 Услуги больниц прочие
86.22.11 Услуги по проведению и расшифровке медицинских исследований
86.90.19.110 Услуги организаций санитарно-эпидемиологической службы
86.10.15.000 Услуги больниц прочие, оказываемые врачами
72.11.11.000 Услуги, связанные с научными исследованиями и экспериментальными разработками в области биотехнологии в области здоровья
86.21.10.110 Услуги консультативные, предоставляемые врачами общей врачебной практики
86.90.12.000 Услуги по медицинскому уходу
86.90.15 Услуги медицинских лабораторий
86.90.13.000 Услуги физиотерапевтические ****</t>
  </si>
  <si>
    <t>1 474</t>
  </si>
  <si>
    <t>За 3 ГОДА по 44ФЗ заключено 288 шт. с объемом НМЦ  398 498 078,44 ? с БГИ 42 036 034,67 ? с БГГО 2 086 068,13 ? с авансированием до 5 900,00 ? с комиссией банку 381 671,13 ? с кв 3 320,54 ? ЗА 1 ГОД по 44ФЗ заключено 75 шт. c объемом НМЦ 100 023 489,18 ? с БГИ 12 407 027,08 ? с БГГО 29 000,00 ? с авансированием до  0,00 ? с комиссией банку  185 259,60 ? с кв 1 611,76 ?     за 1 ГОД ПО 223ФЗ заключено 5  5 633 760,00 ?</t>
  </si>
  <si>
    <t>"223 за 3 года", ".", "ушедший портфель", "fk1", "ИНН 3 года - нет КД БГ на 01.10.22", "Список ушедший ", "райф",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"это заказчик", "44 за 3 года"</t>
  </si>
  <si>
    <t>86.10.19.000 Услуги больниц прочие
86.21.10.190 Услуги, предоставляемые врачами общей врачебной практики, прочие, не включенные в другие группировки
86.90.1 Услуги в области медицины прочие
86.90.14.000 Услуги скорой медицинской помощи
86.90.19.110 Услуги организаций санитарно-эпидемиологической службы
86.10.15.000 Услуги больниц прочие, оказываемые врачами
86.90.15.000 Услуги медицинских лабораторий
86.90.17.000 Услуги по диагностической визуализации без расшифровки
86 Услуги в области здравоохранения
86.22.11.000 Услуги по проведению и расшифровке медицинских исследований ****</t>
  </si>
  <si>
    <t>"223 за 3 года", ".", "fk1", "все клиенты с выручкой от 1,8 млрд до бесконечности", "ФК клиенты с выручкой от 230 до бесконечности", "Обороты по клиентам по кварталам (2022г)", "поставщики маркер", "44 за 3 года"</t>
  </si>
  <si>
    <t>86.10.19.000 Услуги больниц прочие
86.10.15.000 Услуги больниц прочие, оказываемые врачами
86.90.12.000 Услуги по медицинскому уходу
86.90.15 Услуги медицинских лабораторий
86.22.11.000 Услуги по проведению и расшифровке медицинских исследований
86.90.19.190 Услуги в области медицины прочие, не включенные в другие группировки
86.21.10.120 Услуги, предоставляемые врачами общей врачебной практики, по проведению диагностических процедур и постановке диагноза</t>
  </si>
  <si>
    <t>За весь период контрактов 1 шт. на общую сумму НМЦ 468 873 000,00 ?</t>
  </si>
  <si>
    <t>Решение о признании должника банкротом и открытии конкурсного производства от 24.10.2020, Юридическое лицо признано несостоятельным (банкротом) и в отношении него открыто конкурсное производство от 18.10.2020, Сообщение кредитора о намерении обратиться в суд с заявлением о банкротстве от 07.03.2020</t>
  </si>
  <si>
    <t>Юридическое лицо находится в процессе реорганизации в форме присоединения к другому юридическому лицу от 09.12.2021</t>
  </si>
  <si>
    <t>Сообщение кредитора о намерении обратиться в суд с заявлением о банкротстве от 22.02.2023</t>
  </si>
  <si>
    <t>25.62 Услуги по обработке металлических изделий с использованием основных технологических процессов машиностроения
25.3 Котлы паровые, кроме водогрейных котлов центрального отопления
25.11.23.115 Конструкции и детали линий электропередач и открытых подстанций из черных металлов
23.61.12.162 Опоры ЛЭП, связи и элементы контактной сети электрифицированных дорог и осветительной сети</t>
  </si>
  <si>
    <t>2 009</t>
  </si>
  <si>
    <t>10.13.14.112 Сосиски мясные</t>
  </si>
  <si>
    <t>71 Услуги в области архитектуры и инженерно-технического проектирования, технических испытаний, исследований и анализа
42.22 Сооружения и строительные работы по строительству коммунальных объектов для электроснабжения и связи
71.12.11.900 Услуги в виде инженерно-технических консультаций прочие</t>
  </si>
  <si>
    <t>За весь период компания заключила  4 контрактов на сумму  1 718 759 481,32 ?                                         за 1 ГОД ПО 223ФЗ заключено 7  1 804 387 647,82 ?</t>
  </si>
  <si>
    <t>"223 за 3 года", ".", "Конкурсы 100+ (Восстановленный)", "223 фз контракты 20+", "рейтинг по нмц маркер", "поставщики маркер", "44 за 3 года"</t>
  </si>
  <si>
    <t>1 162</t>
  </si>
  <si>
    <t>За весь период заходили в конкурсы  1 раз на общую сумму обеспеченных контрактов с НМЦ 316 020 391,37 ? с БГУ  15 801 019,57 ? с БГИ 31 602 039,14 ?</t>
  </si>
  <si>
    <t>43.99.90.190 Работы строительные специализированные прочие, не включенные в другие группировки
71.12.20.190 Услуги по руководству строительными проектами прочие
71.12.12.190 Услуги по инженерно-техническому проектированию зданий прочие, не включенные в другие группировки</t>
  </si>
  <si>
    <t>За весь период заходили в конкурсы  9 раз на общую сумму обеспеченных контрактов с НМЦ 722 867 848,39 ? с БГУ  27 187 168,95 ? с БГИ 151 410 094,95 ?</t>
  </si>
  <si>
    <t>"44 за 3 года", ".", "рейтинг поставщиков в маркере по бг", "fk1", "рейтинг по нмц маркер",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</si>
  <si>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41.20.40.200 Работы по сохранению и воссозданию нежилых зданий, являющихся объектами культурного наследия
01.30.10.113 Луковицы тюльпанов
71.12.20.190 Услуги по руководству строительными проектами прочие
42.21.24.120 Работы по монтажу водозаборных насосов и систем водозаборных трубопроводов
42.99.12.124 Территории парковые и парки для отдыха
81.30.10.000 Услуги по планировке ландшафта
41.20.40.900 Работы строительные по возведению нежилых зданий и сооружений прочие, не включенные в другие группировки
71.11.22.000 Услуги в области архитектуры, связанные с проектами строительства нежилых зданий и сооружений ****</t>
  </si>
  <si>
    <t>За весь период компания заключила  29 контрактов на сумму  15 347 099 498,97 ? За весь период заходили в конкурсы  95 раз на общую сумму обеспеченных контрактов с НМЦ 26 322 365 441,98 ? с БГУ  1 055 803 594,91 ? с БГИ 5 524 788 270,27 ? За 3 ГОДА по 44ФЗ заключено 30 шт. с объемом НМЦ  12 219 845 099,54 ? с БГИ 2 886 490 080,91 ? с БГГО 905 103 011,60 ? с авансированием до 1 914 391 024,81 ? с комиссией банку 19 005 996,84 ? с кв 165 352,17 ? ЗА 1 ГОД по 44ФЗ заключено 14 шт. c объемом НМЦ 7 872 650 176,82 ? с БГИ 1 758 961 892,28 ? с БГГО 119 173 281,19 ? с авансированием до  1 623 659 067,53 ? с комиссией банку  68 595 868,08 ? с кв 596 784,05 ? ЗА 3 ГОДА ПО 223 ФЗ заключено 6 шт. с объемом НМЦ 892 878 449,97 ?</t>
  </si>
  <si>
    <t>"223 за 3 года", ".", "рейтинг поставщиков в маркере по бг", "ГРАНДИОЗНЫЙ ПРОЕКТ", "клиент металлинвеста", "Конкурсы 100+ (Восстановленный)", "Агентские отказ из-за непред-я док-ов", "fk1", "06.2022_ФинХД",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</si>
  <si>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42.21.12 Трубопроводы местные для жидкостей и газа
41.20.40.900 Работы строительные по возведению нежилых зданий и сооружений прочие, не включенные в другие группировки
71.12.16 Услуги по инженерно-техническому проектированию объектов водоснабжения и канализации
71.12.19.100 Услуги по инженерно-техническому проектированию прочих объектов, кроме объектов культурного наследия
37.00.11.130 Услуги по подключению (технологическому присоединению) к централизованной системе водоотведения
42.21.22 Работы строительные по прокладке местных трубопроводов
36.00.20.160 Услуги по подключению (технологическому присоединению) к централизованной системе водоснабжения
42.21.22.110 Работы строительные по прокладке местных трубопроводов воды или сточных вод
42.21.21 Работы строительные по прокладке магистральных трубопроводов</t>
  </si>
  <si>
    <t>1 344</t>
  </si>
  <si>
    <t>За весь период контрактов 7 шт. на общую сумму НМЦ 797 920 178,09 ?</t>
  </si>
  <si>
    <t>"223 за 3 года", ".", "беники", "инн Вавилова", "fk1", "ПОС на 01.02.2023", "ПОС на 03.04.2023", "06.2022_ФинХД",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"223 фз контракты 20+", "производители", "рейтинг по нмц маркер", "поставщики маркер"</t>
  </si>
  <si>
    <t>"производители", ".", "fk1", "Обороты по клиентам по кварталам (2022г)"</t>
  </si>
  <si>
    <t>43 Работы строительные специализированные
42.22.22 Работы строительные по прокладке местных линий электропередачи и связи</t>
  </si>
  <si>
    <t>За весь период компания заключила  6 контрактов на сумму  5 430 079 816,10 ? За весь период заходили в конкурсы  2 раз на общую сумму обеспеченных контрактов с НМЦ 0,00 ? с БГУ  7 337 136,75 ? с БГИ 73 371 367,47 ?                             ЗА 3 ГОДА ПО 223 ФЗ заключено 1 шт. с объемом НМЦ 10 147 443 740,00 ? за 1 ГОД ПО 223ФЗ заключено 2  20 294 887 480,00 ?</t>
  </si>
  <si>
    <t>Сообщение кредитора о намерении обратиться в суд с заявлением о банкротстве от 07.12.2022</t>
  </si>
  <si>
    <t>"223 за 3 года", "кл фт прямые бг 04.22", "свод фт", ".", "рейтинг поставщиков в маркере по бг", "Рассрочка КВ Март 2023", "гарантии, остаток на внебалансе равен нулю", "УПП на 2 номер", "fk1", "кредиты фт", "клиенты управления по БГ без открытых счетов", "Премия 4 кв 22 г.бг", "Банкроты ФБ 28.04.2023", "Ссуды ФБ 29.04.2022 банкр.", "АИЛ портфель", "клиенты с в от100млн 09.21", "лимит сит по кредитам", "Действующий клиент мсб с выр от 30 млн на 05.21", "все клиенты с выручкой от 1,8 млрд до бесконечности", "филиал бизнес 22.11", "ФК клиенты с выручкой от 230 до бесконечности", "клиенты от 100 млн", "ФТ клиенты с продуктами по сотрудникам", "223 фз контракты 20+", "рейтинг по нмц маркер", "на фт заводил Шутов", "на фт заводил Чекин", "на фт заводил Еприкян", "поставщики маркер"</t>
  </si>
  <si>
    <t>3 008</t>
  </si>
  <si>
    <t>43.22.12.160 Работы по установке приборов учета расхода тепловой энергии
41.20.20.300 Сооружения топливно-энергетических, нефтехимических, газохимических и химических предприятий
28.99.39.190 Оборудование специального назначения прочее, не включенное в другие группировки
71.12.1 Услуги инженерно-технического характера
71.12.19.100 Услуги по инженерно-техническому проектированию прочих объектов, кроме объектов культурного наследия
42 Сооружения и строительные работы в области гражданского строительства</t>
  </si>
  <si>
    <t>За весь период компания заключила  12 контрактов на сумму  4 181 246 865,26 ? За весь период заходили в конкурсы  3 раз на общую сумму обеспеченных контрактов с НМЦ 965 433 780,00 ? с БГУ  39 687 944,80 ? с БГИ 235 923 371,00 ?</t>
  </si>
  <si>
    <t>10.13.14.119 Изделия колбасные вареные мясные прочие
10.13.14.113 Сардельки мясные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10.11.3 Мясо и пищевые субпродукты замороженные, в том числе для детского питания
10.11.31.140 Субпродукты пищевые крупного рогатого скота замороженные
10.12.20.110 Мясо кур, в том числе цыплят (включая цыплят-бройлеров) замороженное
10.13.14.419 Изделия колбасные копченые мясные прочие
10.13.14.110 Изделия колбасные вареные, в том числе фаршированные мясные
10.11.31 Мясо крупного рогатого скота (говядина и телятина) замороженное, в том числе для детского питания
46.32.11 Услуги по оптовой торговле мясом (включая мясо птицы) ****</t>
  </si>
  <si>
    <t>26.51.63.130 Счетчики производства или потребления электроэнергии
26.51.63 Счетчики потребления или производства газа, жидкости или электроэнергии</t>
  </si>
  <si>
    <t>За весь период компания заключила  6 контрактов на сумму  382 051 269,05 ?</t>
  </si>
  <si>
    <t>"223 за 3 года", ".", "ушедший портфель", "fk1", "инн Красносельская",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t>
  </si>
  <si>
    <t>62.01 Продукты программные и услуги по разработке и тестированию программного обеспечения
62.02 Услуги консультативные, связанные с компьютерной техникой
26.20.14 Машины вычислительные электронные цифровые, поставляемые в виде систем для автоматической обработки данных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62.09.20.190 Услуги по технической поддержке в области информационных технологий прочие, не включенные в другие группировки
62.01.12 Услуги по проектированию и разработке информационных технологий для сетей и систем
26.20.2 Устройства запоминающие и прочие устройства хранения данных
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26.20.21.120 Устройства запоминающие внешние
27.9 Оборудование электрическое прочее ****</t>
  </si>
  <si>
    <t>За весь период компания заключила  23 контрактов на сумму  9 964 489 539,81 ? За весь период заходили в конкурсы  23 раз на общую сумму обеспеченных контрактов с НМЦ 2 227 429 500,13 ? с БГУ  107 569 740,67 ? с БГИ 665 239 953,82 ? За 3 ГОДА по 44ФЗ заключено 11 шт. с объемом НМЦ  773 337 945,97 ? с БГИ 179 902 032,74 ? с БГГО 25 399 727,52 ? с авансированием до 93 746 002,23 ? с комиссией банку 1 838 861,16 ? с кв 15 998,09 ? ЗА 1 ГОД по 44ФЗ заключено 6 шт. c объемом НМЦ 491 992 709,93 ? с БГИ 142 824 405,88 ? с БГГО 21 339 818,73 ? с авансированием до  93 746 002,23 ? с комиссией банку  1 720 210,06 ? с кв 14 965,83 ?     за 1 ГОД ПО 223ФЗ заключено 2  4 453 842,59 ?</t>
  </si>
  <si>
    <t>"223 за 3 года", ".", "рейтинг поставщиков в маркере по бг", "ГРАНДИОЗНЫЙ ПРОЕКТ", "fk1", "ПСБ Гарантии ", "все клиенты с выручкой от 1,8 млрд до бесконечности", "Обороты по клиентам по кварталам (2022г)", "44 фз с с БГ от 10 млн", "рейтинг по нмц маркер", "поставщики маркер", "44 за 3 года"</t>
  </si>
  <si>
    <t>27.33.1 Изделия электроустановочные
27.40 Оборудование электрическое осветительное
26.80.13.000 Носители данных прочие, включая матрицы и основы для производства дисков
42.22.22.110 Работы строительные по прокладке местных линий электропередачи и связи над землей или под землей
26.20.18.000 Устройства периферийные с двумя или более функциями: печать данных, копирование, сканирование, прием и передача факсимильных сообщений
26.20.40 Блоки, части и принадлежности вычислительных машин
26.30.11.150 Средства связи радиоэлектронные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46.52.1 Услуги по оптовой торговле электронным и телекоммуникационным оборудованием и его частями
62.03 Услуги по управлению компьютерным оборудованием ****</t>
  </si>
  <si>
    <t>За весь период компания заключила  189 контрактов на сумму  86 988 220 234,60 ? За весь период заходили в конкурсы  4 раз на общую сумму обеспеченных контрактов с НМЦ 2 013 124 394,29 ? с БГУ  102 562 994,68 ? с БГИ 229 114 231,25 ?                             ЗА 3 ГОДА ПО 223 ФЗ заключено 18 шт. с объемом НМЦ 997 797 564,52 ? за 1 ГОД ПО 223ФЗ заключено 20  924 893 327,11 ?</t>
  </si>
  <si>
    <t>"223 за 3 года", ".", "рейтинг поставщиков в маркере по бг", "Конкурсы 100+ (Восстановленный)", "все клиенты с выручкой от 1,8 млрд до бесконечности", "223 фз контракты 20+", "производители", "рейтинг по нмц маркер", "это заказчик", "поставщики маркер", "44 за 3 года"</t>
  </si>
  <si>
    <t>20.30.1 Материалы лакокрасочные на основе полимеров</t>
  </si>
  <si>
    <t>"поставщики маркер", ".", "все клиенты с выручкой от 1,8 млрд до бесконечности", "crm управления", "в crm за Муслимом"</t>
  </si>
  <si>
    <t>86.21.10.110 Услуги консультативные, предоставляемые врачами общей врачебной практики
62.09.20.120 Услуги по установке программного обеспечения
62.09.20.190 Услуги по технической поддержке в области информационных технологий прочие, не включенные в другие группировки
26.60.12.129 Приборы и аппараты для функциональной диагностики прочие, применяемые в медицинских целях, не включенные в другие группировки
86.90.19.190 Услуги в области медицины прочие, не включенные в другие группировки
58.29.50.000 Услуги по предоставлению лицензий на право использовать компьютерное программное обеспечение
62.01.11.000 Услуги по проектированию и разработке информационных технологий для прикладных задач и тестированию программного обеспечения
86.21.10.120 Услуги, предоставляемые врачами общей врачебной практики, по проведению диагностических процедур и постановке диагноза
63.11.13.000 Услуги по предоставлению программного обеспечения без его размещения на компьютерном оборудовании пользователя
62.01.12.000 Услуги по проектированию и разработке информационных технологий для сетей и систем ****</t>
  </si>
  <si>
    <t>ЗА 1 ГОД по 44ФЗ заключено 10 шт. c объемом НМЦ 90 260 266,36 ? с БГИ 9 003 406,62 ? с БГГО 1 399 329,00 ? с авансированием до  1 460 760,00 ? с комиссией банку  67 549,79 ? с кв 587,68 ?</t>
  </si>
  <si>
    <t>"223 за 3 года", ".", "это заказчик", "44 за 3 года"</t>
  </si>
  <si>
    <t>Сообщение кредитора о намерении обратиться в суд с заявлением о банкротстве от 03.05.2023</t>
  </si>
  <si>
    <t>20.59.52.130 Составы и заряды для огнетушителей
28.29.84.000 Части оборудования, не имеющие электрических соединений, не включенные в другие группировки
23.99.11.130 Изделия из смесей на основе хризотила
22.19.30.137 Рукава пожарные напорные прорезиненные из синтетических нитей
25.91.12.000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32.30.15.299 Изделия спортивные, инвентарь, включая тренировочный, прочие, не включенные в другие группировки
28.29.22.110 Огнетушители
25.73.30.299 Инструмент слесарно-монтажный прочий, не включенный в другие группировки
24.42.26.130 Фитинги для труб и трубок алюминиевые</t>
  </si>
  <si>
    <t>За весь период заходили в конкурсы  1 раз на общую сумму обеспеченных контрактов с НМЦ 60 054 405,86 ? с БГУ  3 111 627,25 ? с БГИ 6 223 254,49 ?</t>
  </si>
  <si>
    <t>24.10.2 Сталь
24.10.33.000 Прокат листовой горячекатаный из нержавеющих сталей, без дополнительной обработки, шириной не менее 600 мм
24.20 Трубы, профили пустотелые и их фитинги стальные
24.10.22.110 Сталь нержавеющая в слитках или прочих первичных формах
24.10.22.190 Полуфабрикаты из нержавеющей стали прочие
24.10.22.141 Полуфабрикаты, полученные непрерывным литьем круглого или многоугольного сечения из нержавеющей стали
24.10.42.000 Прокат листовой холоднокатаный из нержавеющих сталей, без дополнительной обработки, шириной не менее 600 мм
24.10.11.110 Чугун зеркальный в чушках, болванках или в прочих первичных формах</t>
  </si>
  <si>
    <t>"223 за 3 года",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t>
  </si>
  <si>
    <t>24.10.3 Прокат листовой горячекатаный стальной, без дополнительной обработки</t>
  </si>
  <si>
    <t>26.20.12.110 Терминалы кассовые, подключаемые к компьютеру или сети передачи данных
26.2 Компьютеры и периферийное оборудование</t>
  </si>
  <si>
    <t>За весь период компания заключила  26 контрактов на сумму  28 588 348 618,48 ?</t>
  </si>
  <si>
    <t>24 Металлы основные
46.74.12 Услуги по оптовой торговле водопроводным и отопительным оборудованием и санитарно-технической арматурой
24.20.13.190 Трубы круглого сечения прочие стальные
24.20 Трубы, профили пустотелые и их фитинги стальные
24.20.40.000 Фитинги для труб стальные, кроме литых
24.20.13.160 Трубы стальные водогазопроводные</t>
  </si>
  <si>
    <t>ЗА 3 ГОДА ПО 223 ФЗ заключено 10 шт. с объемом НМЦ 183 754 899,29 ? за 1 ГОД ПО 223ФЗ заключено 4  63 459 614,78 ?</t>
  </si>
  <si>
    <t>"223 за 3 года", ".", "fk1", "223 фз контракты 20+", "поставщики маркер"</t>
  </si>
  <si>
    <t>2 418</t>
  </si>
  <si>
    <t>За весь период контрактов 1 шт. на общую сумму НМЦ 1 981 189 203,70 ?</t>
  </si>
  <si>
    <t>Сообщение кредитора о намерении обратиться в суд с заявлением о банкротстве от 29.12.2021</t>
  </si>
  <si>
    <t>26.60.11.119 Аппараты рентгеновские прочие, используемые для диагностики, применяемые в медицинских целях
26.60.13.150 Аппараты ультразвуковой терапии
32.50.13.190 Инструменты и приспособления, применяемые в медицинских целях, прочие, не включенные в другие группировки
32.50.21.112 Оборудование терапевтические
32.50.21.121 Аппараты для ингаляционного наркоза
32.50.21.122 Аппараты дыхательные реанимационные
26.60.11.113 Аппараты рентгенографические
26.60.12 Аппараты электродиагностические, применяемые в медицинских целях
26.60.12.119 Аппараты электродиагностические прочие
26.60.12.132 Аппараты ультразвукового сканирования ****</t>
  </si>
  <si>
    <t>За весь период компания заключила  25 контрактов на сумму  1 502 565 595,42 ? За весь период заходили в конкурсы  51 раз на общую сумму обеспеченных контрактов с НМЦ 3 548 935 905,07 ? с БГУ  76 695 194,15 ? с БГИ 728 892 219,36 ? За 3 ГОДА по 44ФЗ заключено 89 шт. с объемом НМЦ  2 987 423 133,32 ? с БГИ 461 234 200,94 ? с БГГО 126 377 309,89 ? с авансированием до 121 495 551,07 ? с комиссией банку 4 201 269,57 ? с кв 36 551,05 ? ЗА 1 ГОД по 44ФЗ заключено 21 шт. c объемом НМЦ 767 919 044,26 ? с БГИ 143 490 299,17 ? с БГГО 29 991 181,09 ? с авансированием до  51 542 601,85 ? с комиссией банку  1 878 306,35 ? с кв 16 341,27 ? ЗА 3 ГОДА ПО 223 ФЗ заключено 1 шт. с объемом НМЦ 31 040 000,00 ?</t>
  </si>
  <si>
    <t>"223 за 3 года", ".", "рейтинг поставщиков в маркере по бг", "ГРАНДИОЗНЫЙ ПРОЕКТ", "ПОС на 03.04.2023", "44 фз с с БГ от 10 млн", "рейтинг по нмц маркер", "поставщики маркер", "44 за 3 года"</t>
  </si>
  <si>
    <t>43.22.11 Работы по монтажу водопроводных и канализационных систем
43.21 Работы электромонтажные
41.20.20 Здания нежилые
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27.9 Оборудование электрическое прочее
43.29.19.190 Работы монтажные прочие, не включенные в другие группировки
43.21.10.170 Работы электромонтажные по прокладке телекоммуникационной проводки</t>
  </si>
  <si>
    <t>За весь период контрактов 34 шт. на общую сумму НМЦ 34 346 412 277,15 ?</t>
  </si>
  <si>
    <t>Юридическое лицо находится в процессе реорганизации в форме преобразования от 13.10.2022, Сообщения о принятии решения о реорганизации от 24.10.2022</t>
  </si>
  <si>
    <t>Сообщение кредитора о намерении обратиться в суд с заявлением о банкротстве от 31.08.2018</t>
  </si>
  <si>
    <t>52.29.19.110 Услуги по экспедированию грузов
10.89.19.290 Продукты пищевые прочие, не включенные в другие группировки
56.29.19.000 Услуги по обеспечению питанием, осуществляемые по договору, прочие
46.17.11.000 Услуги по оптовой торговле пищевыми продуктами за вознаграждение или на договорной основе</t>
  </si>
  <si>
    <t>2 126</t>
  </si>
  <si>
    <t>Заказчик разыгравший 20 конкурсов на сумму  2 319 256 902,34 ?</t>
  </si>
  <si>
    <t>"поставщики маркер", ".", "все клиенты с выручкой от 1,8 млрд до бесконечности", "рейтинг заказчиков маркер"</t>
  </si>
  <si>
    <t>71 Услуги в области архитектуры и инженерно-технического проектирования, технических испытаний, исследований и анализа
71.20.11.190 Услуги в области испытаний и анализа состава и чистоты прочих веществ
72.19.29.190 Услуги (работы), связанные с научными исследованиями и экспериментальными разработками в области технических наук и в области технологий, прочие, не включенные в другие группировки, кроме биотехнологии</t>
  </si>
  <si>
    <t>1 022</t>
  </si>
  <si>
    <t>71.12.20.190 Услуги по руководству строительными проектами прочие
71.1 Услуги в области архитектуры, инженерно-технического проектирования и связанные технические консультативные услуги
71.20.19.190 Услуги по техническим испытаниям и анализу прочие, не включенные в другие группировки
71.12.19.100 Услуги по инженерно-техническому проектированию прочих объектов, кроме объектов культурного наследия
71.12.14 Услуги по инженерно-техническому проектированию тоннелей, автомагистралей, улиц, транспортных развязок и подобных объектов
71.11.32.000 Услуги по территориальному планированию и планировке территории
42.13.20.100 Работы строительные по строительству мостов и тоннелей, кроме работ по сохранению и воссозданию объектов культурного наследия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</si>
  <si>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За весь период компания заключила  28 контрактов на сумму  7 080 777 687,36 ? За весь период заходили в конкурсы  60 раз на общую сумму обеспеченных контрактов с НМЦ 11 299 397 201,26 ? с БГУ  500 815 167,42 ? с БГИ 2 017 273 624,27 ? За 3 ГОДА по 44ФЗ заключено 27 шт. с объемом НМЦ  3 532 419 646,58 ? с БГИ 452 477 604,36 ? с БГГО 3 676 484,23 ? с авансированием до 0,00 ? с комиссией банку 4 270 493,19 ? с кв 37 153,29 ? ЗА 1 ГОД по 44ФЗ заключено 8 шт. c объемом НМЦ 1 127 477 620,05 ? с БГИ 112 736 128,67 ? с БГГО 0,00 ? с авансированием до  0,00 ? с комиссией банку  1 355 345,00 ? с кв 11 791,50 ? ЗА 3 ГОДА ПО 223 ФЗ заключено 6 шт. с объемом НМЦ 289 339 549,75 ? за 1 ГОД ПО 223ФЗ заключено 2  5 236 101,36 ?</t>
  </si>
  <si>
    <t>"223 за 3 года", ".", "рейтинг поставщиков в маркере по бг", "Конкурсы 100+ (Восстановленный)", "44 фз с с БГ от 10 млн", "рейтинг по нмц маркер", "поставщики маркер", "44 за 3 года"</t>
  </si>
  <si>
    <t>71.12.40.149 Услуги государственного контроля (надзора) за соблюдением требований технических регламентов прочие, не включенные в другие группировки
71.12.20.190 Услуги по руководству строительными проектами прочие
71.20.19.111 Услуги по проведению государственной экспертизы проектной документации и результатов инженерных изысканий
71.11.22.000 Услуги в области архитектуры, связанные с проектами строительства нежилых зданий и сооружений
71.12.1 Услуги инженерно-технического характера
71.12.31.000 Услуги геологические и геофизические консультативные
71.12.16 Услуги по инженерно-техническому проектированию объектов водоснабжения и канализации
71.12.19.100 Услуги по инженерно-техническому проектированию прочих объектов, кроме объектов культурного наследия
71.12.12 Услуги по инженерно-техническому проектированию зданий
71.12.11.100 Услуги в виде инженерно-технических консультаций по энергосбережению и повышению энергетической эффективности ****</t>
  </si>
  <si>
    <t>1 414</t>
  </si>
  <si>
    <t>За весь период компания заключила  27 контрактов на сумму  8 949 285 202,00 ? За весь период заходили в конкурсы  73 раз на общую сумму обеспеченных контрактов с НМЦ 16 964 113 795,48 ? с БГУ  655 214 826,43 ? с БГИ 1 930 337 994,58 ? За 3 ГОДА по 44ФЗ заключено 6 шт. с объемом НМЦ  806 983 386,95 ? с БГИ 126 841 757,10 ? с БГГО 18 343 640,00 ? с авансированием до 6 730 770,60 ? с комиссией банку 574 429,73 ? с кв 4 997,54 ? ЗА 1 ГОД по 44ФЗ заключено 1 шт. c объемом НМЦ 106 123 992,40 ? с БГИ 10 612 399,24 ? с БГГО 3 183 720,00 ? с авансированием до  0,00 ? с комиссией банку  230 856,03 ? с кв 2 008,45 ? ЗА 3 ГОДА ПО 223 ФЗ заключено 65 шт. с объемом НМЦ 831 109 822,44 ? за 1 ГОД ПО 223ФЗ заключено 17  252 260 695,80 ?</t>
  </si>
  <si>
    <t>"223 за 3 года", ".", "рейтинг поставщиков в маркере по бг", "все клиенты с выручкой от 1,8 млрд до бесконечности", "223 фз контракты 20+", "44 фз с с БГ от 10 млн", "рейтинг заказчиков маркер", "рейтинг по нмц маркер", "это заказчик", "поставщики маркер", "44 за 3 года"</t>
  </si>
  <si>
    <t>71.12.16.000 Услуги по инженерно-техническому проектированию производственных процессов и производств
72.19.50.000 Работы оригинальные научных исследований и экспериментальных разработок в области естественных и технических наук, кроме биотехнологии
71.12.40.149 Услуги государственного контроля (надзора) за соблюдением требований технических регламентов прочие, не включенные в другие группировки
71.12.20.190 Услуги по руководству строительными проектами прочие
71.11.22.000 Услуги в области архитектуры, связанные с проектами строительства нежилых зданий и сооружений
72.20.30.000 Работы оригинальные научных исследований и экспериментальных разработок в области общественных и гуманитарных наук
71.12.20 Услуги по руководству строительными проектами
71.20.19.190 Услуги по техническим испытаниям и анализу прочие, не включенные в другие группировки
71.12.19.100 Услуги по инженерно-техническому проектированию прочих объектов, кроме объектов культурного наследия
71.12.14 Услуги по инженерно-техническому проектированию тоннелей, автомагистралей, улиц, транспортных развязок и подобных объектов ****</t>
  </si>
  <si>
    <t>За весь период компания заключила  34 контрактов на сумму  10 719 497 195,70 ? За весь период заходили в конкурсы  99 раз на общую сумму обеспеченных контрактов с НМЦ 16 557 725 694,49 ? с БГУ  897 339 739,97 ? с БГИ 4 189 499 222,72 ? За 3 ГОДА по 44ФЗ заключено 32 шт. с объемом НМЦ  1 814 373 593,02 ? с БГИ 353 793 670,67 ? с БГГО 49 277 795,71 ? с авансированием до 78 737 958,91 ? с комиссией банку 6 214 343,58 ? с кв 54 064,79 ? ЗА 1 ГОД по 44ФЗ заключено 5 шт. c объемом НМЦ 99 793 877,86 ? с БГИ 17 419 556,14 ? с БГГО 3 627 690,28 ? с авансированием до  17 908 186,51 ? с комиссией банку  234 195,24 ? с кв 2 037,50 ?</t>
  </si>
  <si>
    <t>"44 за 3 года", ".", "рейтинг поставщиков в маркере по бг", "ГРАНДИОЗНЫЙ ПРОЕКТ", "fk1", "инн Красносельская", "все клиенты с выручкой от 1,8 млрд до бесконечности", "44 фз с с БГ от 10 млн", "рейтинг по нмц маркер", "поставщики маркер"</t>
  </si>
  <si>
    <t>28.22.19 Части грузоподъемного и погрузочно-разгрузочного оборудования
45.20.2 Услуги по техническому обслуживанию и ремонту прочих автотранспортных средств
45.20.1 Услуги по техническому обслуживанию и ремонту легковых автомобилей и легких грузовых автотранспортных средств
28.22.19.150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28.92 Оборудование для добычи полезных ископаемых подземным и открытым способами и строительства</t>
  </si>
  <si>
    <t>19.20.21.100 Бензин автомобильный
19.20.21.310 Топливо дизельное летнее
19.20.21.320 Топливо дизельное зимнее</t>
  </si>
  <si>
    <t>За весь период контрактов 12 шт. на общую сумму НМЦ 13 704 524 326,82 ?</t>
  </si>
  <si>
    <t>Сообщение кредитора о намерении обратиться в суд с заявлением о банкротстве от 21.04.2023</t>
  </si>
  <si>
    <t>"поставщики маркер", "свод фт", ".", "рейтинг по нмц маркер", "это заказчик", "на фт заводил Кашин"</t>
  </si>
  <si>
    <t>19.20.21.125 Бензин автомобильный с октановым числом более 92, но не более 95 по исследовательскому методу экологического класса К5
19.20.21.315 Топливо дизельное летнее экологического класса К5
19.20.21.325 Топливо дизельное зимнее экологического класса К5</t>
  </si>
  <si>
    <t>"223 за 3 года", ".", "все клиенты с выручкой от 1,8 млрд до бесконечности", "Участники клиринга", "поставщики маркер"</t>
  </si>
  <si>
    <t>20.60.12.110 Нити полиамидные высокопрочные
20.60.12.120 Нити полиэфирные высокопрочные
13.10.61.129 Пряжа хлопчатобумажная смешанная аппаратного прядения прочая
13.10.85.115 Нитки швейные синтетические из полиэфирных текстурированных нитей
13.10.61.119 Пряжа хлопчатобумажная аппаратного прядения прочая
13.10.61.135 Пряжа хлопчатобумажная крученая гребенная мерсиризованная для трикотажного производства
13.96.13.110 Нити и шнуры резиновые с текстильным покрытием</t>
  </si>
  <si>
    <t>22.19.71.190 Изделия из резины, кроме твердой резины (эбонита), гигиенические или фармацевтические прочие
13.92.12.113 Наволочки из хлопчатобумажных тканей
14.12.30.132 Юбки, халаты, блузки, фартуки, жилеты, платья и сорочки женские производственные и профессиональные
14.19.42.150 Уборы головные швейные женские или для девочек
15.20.12.113 Туфли комнатные и прочая домашняя обувь мужская или для мальчиков на подошве и с верхом из резины или пластмассы, кроме водонепроницаемой или спортивной обуви (включая тапочки комнатные, туфли для танцев, туфли домашние без задников)
14.31.10.111 Носки мужские из хлопчатобумажной и смешанной пряжи
17.22.11.130 Салфетки и полотенца гигиенические или косметические из бумажной массы, бумаги, целлюлозной ваты и полотна из целлюлозных волокон
14.31.10.210 Изделия чулочно-носочные спортивного назначения для взрослых из хлопчатобумажной и смешанной пряжи трикотажные или вязаные
22.19.60.190 Предметы одежды и ее аксессуары из вулканизированной резины, кроме твердой резины (эбонита)
14.19.32.120 Одежда из нетканых материалов ****</t>
  </si>
  <si>
    <t>"44 за 3 года", "свод фт", ".", "на фт заводил Шаклейн", "crm управления", "в crm за Шаклейном ", "поставщики маркер"</t>
  </si>
  <si>
    <t>Заказчик разыгравший 50 конкурсов на сумму  50 144 188 340,60 ?</t>
  </si>
  <si>
    <t>Юридическое лицо находится в процессе реорганизации в форме присоединения к другому юридическому лицу от 15.05.2023, Сообщения о принятии решения о реорганизации от 20.07.2021</t>
  </si>
  <si>
    <t>62.02.2 Услуги консультативные по вопросам систем и программному обеспечению
63 Услуги в области информационных технологий
62 Продукты программные и услуги по разработке программного обеспечения; консультационные и аналогичные услуги в области информационных технологий
62.03.12.190 Услуги по управлению компьютерными системами прочие, не включенные в другие группировки
62.01.11.000 Услуги по проектированию и разработке информационных технологий для прикладных задач и тестированию программного обеспечения
62.01.12.000 Услуги по проектированию и разработке информационных технологий для сетей и систем</t>
  </si>
  <si>
    <t>ЗА 3 ГОДА ПО 223 ФЗ заключено 5 шт. с объемом НМЦ 118 810 998,73 ? за 1 ГОД ПО 223ФЗ заключено 1  24 263 364,96 ?</t>
  </si>
  <si>
    <t>26.51.52.130 Приборы для измерения или контроля давления жидкостей и газов
26.60.11.119 Аппараты рентгеновские прочие, используемые для диагностики, применяемые в медицинских целях
26.60.12.112 Аппараты сцинтиграфические
26.60.13.150 Аппараты ультразвуковой терапии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32.50.21.112 Оборудование терапевтические
32.50.21.121 Аппараты для ингаляционного наркоза
32.50.21.122 Аппараты дыхательные реанимационные
32.50.22.128 Костыли ****</t>
  </si>
  <si>
    <t>За весь период компания заключила  28 контрактов на сумму  4 231 699 774,81 ? За весь период заходили в конкурсы  112 раз на общую сумму обеспеченных контрактов с НМЦ 8 413 551 025,16 ? с БГУ  231 579 977,24 ? с БГИ 1 002 047 071,65 ? За 3 ГОДА по 44ФЗ заключено 494 шт. с объемом НМЦ  7 239 818 172,50 ? с БГИ 582 785 114,09 ? с БГГО 169 230 718,08 ? с авансированием до 4 940 000,00 ? с комиссией банку 8 638 014,60 ? с кв 75 150,73 ? ЗА 1 ГОД по 44ФЗ заключено 216 шт. c объемом НМЦ 2 744 036 626,85 ? с БГИ 209 780 294,10 ? с БГГО 56 500 697,49 ? с авансированием до  4 940 000,00 ? с комиссией банку  3 311 056,09 ? с кв 28 806,19 ? ЗА 3 ГОДА ПО 223 ФЗ заключено 21 шт. с объемом НМЦ 111 128 973,52 ? за 1 ГОД ПО 223ФЗ заключено 4  8 805 039,76 ?</t>
  </si>
  <si>
    <t>"223 за 3 года", ".", "рейтинг поставщиков в маркере по бг", "ГРАНДИОЗНЫЙ ПРОЕКТ", "Конкурсы 100+ (Восстановленный)", "fk1", "ПОС на 03.04.2023", "Кредитный портфель_01.11", "ПСБ Гарантии ",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 "44 за 3 года"</t>
  </si>
  <si>
    <t>21.20.23.110 Реагенты диагностические
20.59.52.199 Реагенты сложные диагностические или лабораторные прочие, не включенные в другие группировки
21.20.10.133 Препараты антианемические
21.20.10.172 Препараты для лечения гинекологических заболеваний прочие
21.20.10.213 Иммуномодуляторы
32.50.13.190 Инструменты и приспособления, применяемые в медицинских целях, прочие, не включенные в другие группировки
21.20.23.190 Препараты фармацевтические прочие
21.20.10.132 Гемостатики
21.20.10.174 Препараты для лечения урологических заболеваний
21.20.10.194 Препараты противовирусные для системного применения ****</t>
  </si>
  <si>
    <t>За весь период компания заключила  49  5 806 084 343,53 ? За весь период заходили в конкурсы  162 раз на общую сумму обеспеченных контрактов с НМЦ 22 516 516 507,21 ? с БГУ  215 155 506,75 ? с БГИ 1 997 505 488,44 ? За 3 ГОДА по 44ФЗ заключено 1383 шт. с объемом НМЦ  21 490 291 082,38 ? с БГИ 1 757 671 299,70 ? с БГГО 88 871 418,01 ? с авансированием до 17 424 121,70 ? с комиссией банку 20 367 861,74 ? с кв 177 200,40 ? ЗА 1 ГОД по 44ФЗ заключено 508 шт. c объемом НМЦ 6 205 468 562,14 ? с БГИ 519 985 525,50 ? с БГГО 1 076 214,00 ? с авансированием до  17 424 121,70 ? с комиссией банку  7 991 483,58 ? с кв 69 525,91 ? ЗА 3 ГОДА ПО 223 ФЗ заключено 1 шт. с объемом НМЦ 320 442 016,00 ?</t>
  </si>
  <si>
    <t>За весь период компания заключила  11 контрактов на сумму  34 647 862 396,14 ?</t>
  </si>
  <si>
    <t>"поставщики маркер", ".", "все клиенты с выручкой от 1,8 млрд до бесконечности", "ФК клиенты с выручкой от 230 до бесконечности", "рейтинг заказчиков маркер", "рейтинг по нмц маркер", "это заказчик"</t>
  </si>
  <si>
    <t>42.91.20.190 Работы строительные и ремонтные, связанные с прочими водными сооружениями и работы по ремонту всех вышеуказанных сооружений
42.21.13.129 Сооружения водоснабжения и очистки прочие
71.12 Услуги в области инженерно-технического проектирования и связанные технические консультативные услуги
33.12.29.900 Услуги по ремонту и техническому обслуживанию прочего оборудования специального назначения, не включенные в другие группировки
42.91.20.110 Работы строительные по строительству портовых и речных сооружений, пристаней для яхт, набережных, пирсов, молов, доков и аналогичных портовых сооружений, включая ремонт
26.20.30.000 Устройства автоматической обработки данных прочие
43.21.10.140 Работы по монтажу систем пожарной сигнализации и охранной сигнализации
33.14.19.000 Услуги по ремонту и техническому обслуживанию прочего профессионального электрического оборудования
71.12.19.100 Услуги по инженерно-техническому проектированию прочих объектов, кроме объектов культурного наследия
71.12.19.200 Услуги по инженерно-техническому проектированию прочих объектов культурного наследия, не включенных в другие группировки ****</t>
  </si>
  <si>
    <t>За весь период компания заключила  16 контрактов на сумму  59 618 614 429,59 ? За весь период заходили в конкурсы  4 раз на общую сумму обеспеченных контрактов с НМЦ 12 205 894 040,62 ? с БГУ  136 016 004,24 ? с БГИ 3 214 293 172,75 ?                             ЗА 3 ГОДА ПО 223 ФЗ заключено 1 шт. с объемом НМЦ 27 058 900,00 ?</t>
  </si>
  <si>
    <t>"223 за 3 года", ".", "рейтинг поставщиков в маркере по бг", "беники", "рейтинг заказчиков маркер", "рейтинг по нмц маркер", "это заказчик", "поставщики маркер", "44 за 3 года"</t>
  </si>
  <si>
    <t>58.29.50.000 Услуги по предоставлению лицензий на право использовать компьютерное программное обеспечение
62.01.11 Услуги по проектированию, разработке информационных технологий для прикладных задач и тестированию программного обеспечения
62.03.12.130 Услуги по сопровождению компьютерных систем</t>
  </si>
  <si>
    <t>За весь период компания заключила  9 контрактов на сумму  559 188 474,34 ?</t>
  </si>
  <si>
    <t>37.00.11.110 Услуги по водоотведению сточных вод
71 Услуги в области архитектуры и инженерно-технического проектирования, технических испытаний, исследований и анализа
35.30.11.130 Энергия тепловая, отпущенная электрокотлами
35.30.12.110 Услуги по приготовлению воды на нужды горячего водоснабжения
77.39.1 Услуги по аренде и лизингу прочих машин, оборудования и материальных средств, не включенных в другие группировки
77.39.19 Услуги по аренде и лизингу прочих машин и оборудования без оператора и материальных средств, не включенных в другие группировки
36.00.20.110 Услуги по очистке и подготовке воды для водоснабжения
36.00.20.120 Услуги по обработке воды для промышленных и прочих нужд
71.2 Услуги в области технических испытаний, исследований, анализа и сертификации
36.00.30.000 Услуги по торговле водой, поставляемой по трубопроводам ****</t>
  </si>
  <si>
    <t>За весь период компания заключила  14 контрактов на сумму  45 249 664 433,05 ?                                     ЗА 3 ГОДА ПО 223 ФЗ заключено 13 шт. с объемом НМЦ 463 615 852,71 ?</t>
  </si>
  <si>
    <t>"223 за 3 года", ".", "беники", "Участники клиринга", "рейтинг заказчиков маркер", "производители", "рейтинг по нмц маркер", "это заказчик", "поставщики маркер", "44 за 3 года"</t>
  </si>
  <si>
    <t>28.13.14.110 Насосы центробежные подачи жидкостей прочие
27.4 Оборудование электрическое осветительное
27.51.26 Электроприборы для обогрева воздуха и электроприборы для обогрева почвы
13.1 Пряжа и нити текстильные
20.42.15 Средства для ухода за кожей, макияжа или защитные средства для кожи (включая солнцезащитные и для загара), не включенные в другие группировки
20.59.41 Материалы смазочные
25.73.30 Инструмент ручной прочий
25.21.12.000 Котлы водогрейные центрального отопления для производства горячей воды или пара низкого давления
25.73.30.210 Рубанки, долота, стамески и аналогичные режущие инструменты для обработки древесины
25.73.30.220 Инструмент для крепления обрабатываемых деталей и изделий ****</t>
  </si>
  <si>
    <t>"223 за 3 года", ".", "fk1", "06.2022_ФинХД", "клиенты с в от100млн 09.21", "все клиенты с выручкой от 1,8 млрд до бесконечности", "ФК клиенты с выручкой от 230 до бесконечности", "поставщики маркер"</t>
  </si>
  <si>
    <t>28.92.24.120 Катки дорожные самоходные
29.10.30.119 Автобусы, имеющие технически допустимую максимальную массу более 5 т, прочие
28.92.25.000 Погрузчики фронтальные одноковшовые самоходные</t>
  </si>
  <si>
    <t>ЗА 3 ГОДА ПО 223 ФЗ заключено 2 шт. с объемом НМЦ 39 746 723,00 ? за 1 ГОД ПО 223ФЗ заключено 1  30 000 000,00 ?</t>
  </si>
  <si>
    <t>"223 за 3 года", ".", "fk1", "223 фз контракты 20+", "поставщики маркер", "44 за 3 года"</t>
  </si>
  <si>
    <t>21.20.23.199 Средства нелечебные прочие
21 Средства лекарственные и материалы, применяемые в медицинских целях
21.20.10.133 Препараты антианемические
21.20.10.191 Препараты антибактериальные для системного использования
21.20.10.213 Иммуномодуляторы
21.20.23.190 Препараты фармацевтические прочие
21.20.10 Препараты лекарственные
21.20.10.116 Препараты противодиарейные, кишечные противовоспалительные и противомикробные
21.20.10.132 Гемостатики
21.20.10.143 Диуретики ****</t>
  </si>
  <si>
    <t>За весь период компания заключила  4 контрактов на сумму  557 000 000,00 ? За весь период заходили в конкурсы  1 раз на общую сумму обеспеченных контрактов с НМЦ 203 003 861,88 ? с БГУ  4 912 321,40 ? с БГИ 22 105 446,30 ? За 3 ГОДА по 44ФЗ заключено 112 шт. с объемом НМЦ  254 157 861,59 ? с БГИ 16 557 437,32 ? с БГГО 26 746,50 ? с авансированием до 0,00 ? с комиссией банку 173 085,49 ? с кв 1 505,84 ? ЗА 1 ГОД по 44ФЗ заключено 72 шт. c объемом НМЦ 175 930 411,55 ? с БГИ 10 480 169,82 ? с БГГО 26 746,50 ? с авансированием до  0,00 ? с комиссией банку  115 751,50 ? с кв 1 007,04 ? ЗА 3 ГОДА ПО 223 ФЗ заключено 6 шт. с объемом НМЦ 901 631 334,90 ?</t>
  </si>
  <si>
    <t>"223 за 3 года", "кл фт прямые бг 04.22", "свод фт", ".", "рейтинг поставщиков в маркере по бг", "УПП на 2 номер", "БГИ", "fk1", "клиенты управления по БГ без открытых счетов", "Евразия_июлль-август 2019", "2. Финтендер 2022 31.03.22 Григорян для СПАРК", "Премия 4 кв 22 г.бг", "Гарантии ФБ банкроты", "все клиенты с выручкой от 1,8 млрд до бесконечности", "клиенты от 100 млн", "ФТ клиенты с продуктами по сотрудникам", "рейтинг по нмц маркер", "на фт заводил Собакарь", "на фт заводил Кирьянов", "поставщики маркер", "44 за 3 года"</t>
  </si>
  <si>
    <t>77.11.10.000 Услуги по аренде и лизингу легковых автомобилей и легких автотранспортных средств
77.39.19 Услуги по аренде и лизингу прочих машин и оборудования без оператора и материальных средств, не включенных в другие группировки
29.10.2 Автомобили легковые
77.12 Услуги по аренде и лизингу грузовых транспортных средств
77.12.19.000 Услуги по аренде и лизингу прочих сухопутных транспортных средств и оборудования без водителя
64.91.10.190 Услуги по финансовой аренде (лизингу/сублизингу) в прочих областях, кроме племенных животных
77.12.11.000 Услуги по аренде и лизингу грузовых транспортных средств без водителя</t>
  </si>
  <si>
    <t>За весь период контрактов 4 шт. на общую сумму НМЦ 632 895 939,96 ?</t>
  </si>
  <si>
    <t>"223 за 3 года", ".", "fk1", "Кредитный портфель_01.11", "06.2022_ФинХД", "все клиенты с выручкой от 1,8 млрд до бесконечности", "рейтинг по нмц маркер", "поставщики маркер"</t>
  </si>
  <si>
    <t>24 Металлы основные
24.10.41.000 Прокат листовой холоднокатаный из прочих нелегированных сталей, без дополнительной обработки, шириной не менее 600 мм
24.10.64.121 Прокат сортовой горячекатаный круглый прочий из нержавеющих сталей, без дополнительной обработки, включая смотанные после прокатки</t>
  </si>
  <si>
    <t>Сообщения о принятии решения о реорганизации от 04.03.2021</t>
  </si>
  <si>
    <t>24.10.11.131 Чугун литейный обычный
38.32.22.121 Лом и отходы чугунные нелегированные (углеродистые)
24.10.11.122 Чугун передельный для литейного производства</t>
  </si>
  <si>
    <t>17.12.14.110 Бумага для печати
58.19.14.130 Книжки чековые, банкноты, акции и аналогичные виды ценных бумаг
53.20.1 Услуги почтовой связи прочие и услуги курьерские
26.30.22.000 Аппараты телефонные для сотовых сетей связи или для прочих беспроводных сетей
53.20.11 Услуги по курьерской доставке различными видами транспорта
58.11.11.000 Учебники печатные общеобразовательного назначения</t>
  </si>
  <si>
    <t>Заказчик разыгравший 3 конкурсов на сумму  709 994 547,70 ?</t>
  </si>
  <si>
    <t>13.92.21.190 Изделия упаковочные прочие из текстильных материалов</t>
  </si>
  <si>
    <t>28.13.11.110 Насосы топливные
28.15.25.110 Маховики
20.15.39.000 Удобрения азотные и смеси прочие
20.15.79.000 Удобрения минеральные или химические, содержащие два или три питательных элемента (азот, фосфор и калий), не включенные в другие группировки
29.10.30.190 Средства автотранспортные пассажирские с числом мест для сидения не менее 10 прочие
28.30.93.000 Части прочих машин и оборудования для сельского хозяйства
28.30.94.000 Части доильных аппаратов и оборудования для обработки молока, не включенные в другие группировки
45.11 Услуги по торговле легковыми автомобилями и грузовыми автомобилями малой грузоподъемности
29.31.22.190 Оборудование электрическое прочее для транспортных средств, не включенное в другие группировки
45.31.1 Услуги по оптовой торговле автомобильными деталями, узлами и принадлежностями ****</t>
  </si>
  <si>
    <t>ЗА 3 ГОДА ПО 223 ФЗ заключено 10 шт. с объемом НМЦ 29 668 566,67 ?</t>
  </si>
  <si>
    <t>"223 за 3 года", "свод фт", ".", "кредиты фт", "лимит сит по кредитам", "все клиенты с выручкой от 1,8 млрд до бесконечности", "производители", "на фт заводил Шаклейн", "поставщики маркер", "44 за 3 года"</t>
  </si>
  <si>
    <t>71.12.39.119 Услуги в области гидрометеорологии и смежных с ней областях прочие</t>
  </si>
  <si>
    <t>1 025</t>
  </si>
  <si>
    <t>"поставщики маркер", ".", "производители", "это заказчик", "crm управления", "в crm за Шаклейном "</t>
  </si>
  <si>
    <t>22.21.30.120 Пленки пластмассовые, неармированные или не комбинированные с другими материалами</t>
  </si>
  <si>
    <t>ЗА 3 ГОДА ПО 223 ФЗ заключено 3 шт. с объемом НМЦ 720 000 000,00 ?</t>
  </si>
  <si>
    <t>2 783</t>
  </si>
  <si>
    <t>42.22.2 Работы строительные по строительству коммунальных объектов для электроснабжения и телекоммуникаций
71.20.19 Услуги по техническим испытаниям и анализу прочие
43.21.10 Работы электромонтажные
71.12.12.130 Услуги, связанные с разработкой инженерно-технической проектной документации по консервации, ремонту, реставрации, приспособлению и воссозданию зданий, являющихся объектами культурного наследия
43.29 Работы строительно-монтажные прочие
42.22 Сооружения и строительные работы по строительству коммунальных объектов для электроснабжения и связи
42.22.23.900 Работы строительные по строительству электростанций, кроме атомных электростанций
42.22.13 Электростанции</t>
  </si>
  <si>
    <t>За весь период компания заключила  24 контрактов на сумму  93 381 449 071,41 ? За весь период заходили в конкурсы  1 раз на общую сумму обеспеченных контрактов с НМЦ 9 373 245 502,51 ? с БГУ  249 953 213,40 ? с БГИ 1 249 766 067,00 ?                             ЗА 3 ГОДА ПО 223 ФЗ заключено 13 шт. с объемом НМЦ 208 588 133,44 ?</t>
  </si>
  <si>
    <t>"223 за 3 года", ".", "рейтинг поставщиков в маркере по бг", "беники", "все клиенты с выручкой от 1,8 млрд до бесконечности", "производители", "рейтинг по нмц маркер", "это заказчик", "поставщики маркер"</t>
  </si>
  <si>
    <t>63.91 Услуги информационных агентств
61.90.10.190 Услуги телекоммуникационные прочие, не включенные в другие группировки
70.22.11 Услуги консультативные по вопросам стратегического управления
58.14.2 Журналы и периодические издания электронные
63.91.11.000 Услуги информационных агентств, предоставляемые газетам и периодическим изданиям
63.91.12.000 Услуги информационных агентств, предоставляемые аудиовизуальным средствам массовой информации
63.99.10.130 Услуги по сбору и обобщению фактов и информации, кроме списков адресатов
58.29.29.000 Обеспечение программное прикладное прочее на электронном носителе
62.01 Продукты программные и услуги по разработке и тестированию программного обеспечения
63.11.19 Услуги прочие по размещению и предоставлению инфраструктуры информационных технологий ****</t>
  </si>
  <si>
    <t>За весь период заходили в конкурсы  8 раз на общую сумму обеспеченных контрактов с НМЦ 376 943 166,26 ? с БГУ  24 132 041,76 ? с БГИ 108 516 679,04 ? За 3 ГОДА по 44ФЗ заключено 72 шт. с объемом НМЦ  296 280 135,33 ? с БГИ 48 699 707,14 ? с БГГО 885 982,56 ? с авансированием до 274 929,98 ? с комиссией банку 467 163,11 ? с кв 4 064,32 ? ЗА 1 ГОД по 44ФЗ заключено 24 шт. c объемом НМЦ 49 656 091,64 ? с БГИ 4 348 937,34 ? с БГГО 10 480,00 ? с авансированием до  137 464,99 ? с комиссией банку  99 158,09 ? с кв 862,68 ? ЗА 3 ГОДА ПО 223 ФЗ заключено 30 шт. с объемом НМЦ 32 756 950,23 ?</t>
  </si>
  <si>
    <t>Сообщения о принятии решения о реорганизации от 07.10.2021</t>
  </si>
  <si>
    <t>18.12.12.000 Услуги по печатанию торгово-рекламных каталогов, проспектов, плакатов и прочей печатной рекламной продукции
32.30.15.239 Инвентарь прочий для занятий спортом или для игр на открытом воздухе, не включенный в другие группировки
43.22.12.190 Работы по монтажу систем отопления, вентиляции и кондиционирования воздуха прочие, не включенные в другие группировки</t>
  </si>
  <si>
    <t>"поставщики маркер",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t>
  </si>
  <si>
    <t>Мой черновик
Отклонена банком
Распределена в Банк</t>
  </si>
  <si>
    <t>"на фт заводил Адеев", "свод фт", ".", "лимит сит по кредитам", "все клиенты с выручкой от 1,8 млрд до бесконечности", "производители", "на фт заводил Шутов", "на фт заводил Тихонов "</t>
  </si>
  <si>
    <t>25.30.11.110 Котлы паровые
25.30.12.111 Трубопроводы
24.20.13.190 Трубы круглого сечения прочие стальные
25.30.12 Оборудование вспомогательное для использования вместе с паровыми котлами; конденсаторы для пароводяных или прочих паросиловых установок
28.14 Арматура трубопроводная (арматура) (краны, клапаны и прочие)
24.2 Трубы, профили пустотелые и их фитинги стальные
24.20.1 Трубы, профили пустотелые бесшовные и их фитинги стальные
25.99 Металлоизделия готовые прочие, не включенные в другие группировки
24.20.23.000 Трубы круглого сечения сварные прочие, наружным диаметром более 406,4 мм, стальные
24.20.40.000 Фитинги для труб стальные, кроме литых ****</t>
  </si>
  <si>
    <t>За весь период компания заключила  29 контрактов на сумму  31 274 939 315,15 ?                                     ЗА 3 ГОДА ПО 223 ФЗ заключено 4 шт. с объемом НМЦ 9 133 397 843,76 ?</t>
  </si>
  <si>
    <t>"223 за 3 года", "кл фт прямые бг 04.22", "свод фт", ".", "беники", "УПП на 2 номер", "fk1", "кредиты фт", "клиенты управления по БГ без открытых счетов", "ИНН 3 года - нет КД БГ на 01.10.22", "Евразия_июлль-август 2019", "2. Финтендер 2022 31.03.22 Григорян для СПАРК", "БГ ФБ ЮР лица на 01.07.2021", "Гарантии ФБ банкроты", "филиал бизнес 31.01.22 ", "06.2022_ФинХД", "лимит сит по кредитам",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"Одобренные но не выданные 1 полугодие 2021", "ФТ клиенты с продуктами по сотрудникам", "рейтинг по нмц маркер", "это заказчик", "на фт заводил Шутов", "на фт заводил Федоров", "на фт заводил Тихонов ", "поставщики маркер"</t>
  </si>
  <si>
    <t>19.20.29.190 Масла нефтяные смазочные прочие, не включенные в другие группировки
19.20.29.210 Пластичные смазки</t>
  </si>
  <si>
    <t>За весь период компания заключила  9 контрактов на сумму  471 538 749,16 ?                                     ЗА 3 ГОДА ПО 223 ФЗ заключено 15 шт. с объемом НМЦ 487 604 346,72 ? за 1 ГОД ПО 223ФЗ заключено 22  4 695 087 379,68 ?</t>
  </si>
  <si>
    <t>"223 за 3 года", ".", "Конкурсы 100+ (Восстановленный)", "223 фз контракты 20+", "производители", "рейтинг по нмц маркер", "поставщики маркер"</t>
  </si>
  <si>
    <t>22.29.23.110 Посуда столовая и кухонная пластмассовая</t>
  </si>
  <si>
    <t>"это заказчик", ".", "Гарантии ФБ банкроты", "ушедшие", "все клиенты с выручкой от 1,8 млрд до бесконечности", "производители"</t>
  </si>
  <si>
    <t>47.62.20.000 Услуги по розничной торговле писчебумажными и канцелярскими товарами в специализированных магазинах
23.13.12.120 Стаканы и прочие сосуды для питья из прочего стекла
23.13.13.112 Посуда столовая и кухонная из прочего стекла
25.99.12.119 Изделия столовые, кухонные и бытовые и их детали из прочих черных металлов
16.29.12.000 Принадлежности столовые и кухонные деревянные
23.41.12.110 Посуда столовая и кухонная из керамики, кроме фарфоровой</t>
  </si>
  <si>
    <t>Юридическое лицо находится в процессе реорганизации в форме присоединения к нему других юридических лиц от 22.03.2023</t>
  </si>
  <si>
    <t>"ФК клиенты с выручкой от 230 до бесконечности", ".", "клиенты с в от100млн 09.21", "все клиенты с выручкой от 1,8 млрд до бесконечности"</t>
  </si>
  <si>
    <t>21.20.10 Препараты лекарственные</t>
  </si>
  <si>
    <t>61.20.11.000 Услуги подвижной связи общего пользования - обеспечение доступа и поддержка пользователя
61.20 Услуги телекоммуникационные беспроводные
62.09.20.190 Услуги по технической поддержке в области информационных технологий прочие, не включенные в другие группировки
61.10.1 Услуги фиксированной телефонной связи
61.20.20.000 Услуги операторов связи в сфере беспроводных телекоммуникаций
61.20.30.120 Услуги по передаче данных по беспроводным телекоммуникационным сетям</t>
  </si>
  <si>
    <t>За весь период компания заключила  2 контрактов на сумму  708 279 000,00 ?</t>
  </si>
  <si>
    <t>46.6 Услуги по оптовой торговле прочими машинами, оборудованием и инструментами
46.5 Услуги по оптовой торговле информационным и коммуникационным оборудованием
26.20 Компьютеры и периферийное оборудование</t>
  </si>
  <si>
    <t>Сообщения о принятии решения о реорганизации от 09.09.2022</t>
  </si>
  <si>
    <t>19.20.21.341 Топливо дизельное межсезонное вне классов
19.2 Нефтепродукты
19.20.21.124 Бензин автомобильный с октановым числом более 92, но не более 95 по исследовательскому методу экологического класса К4
46.71 Услуги по оптовой торговле твердым, жидким и газообразным топливом и связанными продуктами
46.71.12.000 Услуги по оптовой торговле моторным топливом, включая авиационный бензин
19.20.21.321 Топливо дизельное зимнее вне классов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19.20.21.310 Топливо дизельное летнее ****</t>
  </si>
  <si>
    <t>За весь период заходили в конкурсы  3 раз на общую сумму обеспеченных контрактов с НМЦ 182 516 627,00 ? с БГУ  1 861 620,34 ? с БГИ 16 118 403,44 ?                             ЗА 3 ГОДА ПО 223 ФЗ заключено 15 шт. с объемом НМЦ 102 542 771,10 ?</t>
  </si>
  <si>
    <t>62.03 Услуги по управлению компьютерным оборудованием
46.51.10.110 Услуги по оптовой торговле компьютерами, компьютерными периферийными устройствами
62.02 Услуги консультативные, связанные с компьютерной техникой
33.12.29.900 Услуги по ремонту и техническому обслуживанию прочего оборудования специального назначения, не включенные в другие группировки
68.20 Услуги по сдаче в аренду (внаем) собственного или арендованного недвижимого имущества
71.12.20.110 Услуги заказчика-застройщика, генерального подрядчика
26 Оборудование компьютерное, электронное и оптическое
26.20 Компьютеры и периферийное оборудование
61.10.11.190 Услуги фиксированной телефонной связи - предоставление доступа и телефонные соединения, прочие
63.99.10 Услуги информационные прочие, не включенные в другие группировки ****</t>
  </si>
  <si>
    <t>За весь период компания заключила  7 контрактов на сумму  454 390 188,26 ?                                         за 1 ГОД ПО 223ФЗ заключено 5  32 488 417,88 ?</t>
  </si>
  <si>
    <t>"223 за 3 года", ".", "все клиенты с выручкой от 1,8 млрд до бесконечности", "рейтинг заказчиков маркер", "рейтинг по нмц маркер", "поставщики маркер", "44 за 3 года"</t>
  </si>
  <si>
    <t>73.20.19.000 Услуги по исследованию конъюнктуры рынка прочие
58.29.50 Услуги по предоставлению лицензий на право использовать компьютерное программное обеспечение
63.91.11.000 Услуги информационных агентств, предоставляемые газетам и периодическим изданиям
63.91.12.000 Услуги информационных агентств, предоставляемые аудиовизуальным средствам массовой информации
63.99.10.130 Услуги по сбору и обобщению фактов и информации, кроме списков адресатов
63.99.10.110 Услуги по поиску информации за вознаграждение или на договорной основе
63.99.10.190 Услуги информационные автоматизированные компьютерные прочие, не включенные в другие группировки
62.09.20.190 Услуги по технической поддержке в области информационных технологий прочие, не включенные в другие группировки
58.14.20.000 Журналы и периодические издания электронные
70.21.10.000 Услуги по связи с общественностью и информации ****</t>
  </si>
  <si>
    <t>За 3 ГОДА по 44ФЗ заключено 78 шт. с объемом НМЦ  371 572 105,13 ? с БГИ 63 902 329,55 ? с БГГО 1 085 832,00 ? с авансированием до 18 202 730,81 ? с комиссией банку 1 062 103,72 ? с кв 9 240,30 ? ЗА 1 ГОД по 44ФЗ заключено 43 шт. c объемом НМЦ 228 765 730,47 ? с БГИ 44 540 031,67 ? с БГГО 914 172,00 ? с авансированием до  15 947 800,82 ? с комиссией банку  793 198,71 ? с кв 6 900,83 ? ЗА 3 ГОДА ПО 223 ФЗ заключено 8 шт. с объемом НМЦ 20 018 131,20 ? за 1 ГОД ПО 223ФЗ заключено 4  18 246 960,00 ?</t>
  </si>
  <si>
    <t>77.40.19.000 Услуги по предоставлению лицензий на право использования прочей интеллектуальной собственности и аналогичных продуктов, кроме произведений, охраняемых авторским правом
74.90.15 Услуги консультативные по вопросам обеспечения безопасности
62.03 Услуги по управлению компьютерным оборудованием
58.29.50 Услуги по предоставлению лицензий на право использовать компьютерное программное обеспечение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58.29.29.000 Обеспечение программное прикладное прочее на электронном носителе
46.5 Услуги по оптовой торговле информационным и коммуникационным оборудованием
46.66.10.000 Услуги по оптовой торговле прочей офисной техникой и оборудованием
62.01 Продукты программные и услуги по разработке и тестированию программного обеспечения ****</t>
  </si>
  <si>
    <t>За весь период компания заключила  73 контрактов на сумму  11 612 737 861,27 ? За весь период заходили в конкурсы  147 раз на общую сумму обеспеченных контрактов с НМЦ 18 114 787 562,17 ? с БГУ  652 122 315,03 ? с БГИ 3 296 549 149,20 ? За 3 ГОДА по 44ФЗ заключено 111 шт. с объемом НМЦ  5 736 130 598,60 ? с БГИ 630 048 970,20 ? с БГГО 61 900 366,39 ? с авансированием до 15 877 950,54 ? с комиссией банку 8 569 290,15 ? с кв 74 552,82 ? ЗА 1 ГОД по 44ФЗ заключено 38 шт. c объемом НМЦ 1 829 399 775,84 ? с БГИ 180 663 972,76 ? с БГГО 23 463 474,54 ? с авансированием до  9 201 422,70 ? с комиссией банку  2 996 241,31 ? с кв 26 067,30 ? ЗА 3 ГОДА ПО 223 ФЗ заключено 35 шт. с объемом НМЦ 150 840 394,22 ? за 1 ГОД ПО 223ФЗ заключено 3  53 761 658,89 ?</t>
  </si>
  <si>
    <t>"223 за 3 года", ".", "рейтинг поставщиков в маркере по бг", "Субъект в CRM, клиент у нас ФТ", "инн Ленинградка", "Конкурсы 100+ (Восстановленный)", "fk1", "Кредитный портфель_01.11", "Пункт 3.1 09.01.2023",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"44 фз с с БГ от 10 млн", "рейтинг по нмц маркер", "поставщики маркер", "44 за 3 года"</t>
  </si>
  <si>
    <t>43.21.10.220 Работы по монтажу систем освещения и сигнализации автомобильных дорог, аэропортов и портов
46.14.11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
74.90.15 Услуги консультативные по вопросам обеспечения безопасности
80.2 Услуги систем обеспечения безопасности
46.52.1 Услуги по оптовой торговле электронным и телекоммуникационным оборудованием и его частями
62.03 Услуги по управлению компьютерным оборудованием
58.29.50 Услуги по предоставлению лицензий на право использовать компьютерное программное обеспечение
62.02.10 Услуги консультативные по компьютерному оборудованию
27.90 Оборудование электрическое прочее
26.40.51.000 Части и принадлежности звукового и видеооборудования ****</t>
  </si>
  <si>
    <t>За весь период компания заключила  115 контрактов на сумму  42 184 288 501,27 ? За весь период заходили в конкурсы  70 раз на общую сумму обеспеченных контрактов с НМЦ 10 889 562 973,38 ? с БГУ  463 533 285,23 ? с БГИ 2 552 975 632,98 ? За 3 ГОДА по 44ФЗ заключено 43 шт. с объемом НМЦ  3 081 552 015,00 ? с БГИ 586 717 778,94 ? с БГГО 69 380 480,50 ? с авансированием до 245 498 366,05 ? с комиссией банку 9 108 875,65 ? с кв 79 247,22 ? ЗА 1 ГОД по 44ФЗ заключено 18 шт. c объемом НМЦ 1 084 653 458,04 ? с БГИ 232 124 784,49 ? с БГГО 28 197 060,30 ? с авансированием до  0,00 ? с комиссией банку  3 223 398,45 ? с кв 28 043,57 ? ЗА 3 ГОДА ПО 223 ФЗ заключено 68 шт. с объемом НМЦ 1 508 927 655,53 ? за 1 ГОД ПО 223ФЗ заключено 17  153 175 117,44 ?</t>
  </si>
  <si>
    <t>"223 за 3 года", ".", "рейтинг поставщиков в маркере по бг", "Конкурсы 100+ (Восстановленный)", "fk1", "ИНН 3 года - нет КД БГ на 01.10.22", "корп 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"223 фз контракты 20+", "44 фз с с БГ от 10 млн", "производители", "рейтинг по нмц маркер", "поставщики маркер", "44 за 3 года"</t>
  </si>
  <si>
    <t>28.99.14.150 Устройства печатные цифровые цветные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26.20.16.150 Сканеры
26.20.18 Устройства периферийные с двумя или более функциями: печать данных, копирование, сканирование, прием и передача факсимильных сообщений
26.20.40 Блоки, части и принадлежности вычислительных машин
26.20.40.120 Элементы замены типовые устройств ввода и вывода
26.20.91.000 Услуги по производству компьютеров и периферийного оборудования
26.30.11.150 Средства связи радиоэлектронные
26.30.13.000 Камеры телевизионные
33.20 Услуги по монтажу промышленных машин и оборудования ****</t>
  </si>
  <si>
    <t>За весь период компания заключила  9 контрактов на сумму  1 902 994 960,90 ? За весь период заходили в конкурсы  8 раз на общую сумму обеспеченных контрактов с НМЦ 1 298 842 291,01 ? с БГУ  61 619 976,37 ? с БГИ 370 184 943,56 ? За 3 ГОДА по 44ФЗ заключено 3 шт. с объемом НМЦ  189 837 239,94 ? с БГИ 24 527 901,20 ? с БГГО 4 375 843,28 ? с авансированием до 80 187 733,95 ? с комиссией банку 320 299,84 ? с кв 2 786,61 ? ЗА 1 ГОД по 44ФЗ заключено 1 шт. c объемом НМЦ 25 980 000,00 ? с БГИ 7 794 000,00 ? с БГГО 2 598 000,00 ? с авансированием до  0,00 ? с комиссией банку  91 819,73 ? с кв 798,83 ? ЗА 3 ГОДА ПО 223 ФЗ заключено 3 шт. с объемом НМЦ 49 305 019,67 ? за 1 ГОД ПО 223ФЗ заключено 1  20 248 444,17 ?</t>
  </si>
  <si>
    <t>"223 за 3 года", ".", "рейтинг поставщиков в маркере по бг", "fk1", "корп 2", "Кредитный портфель_01.11", "06.2022_ФинХД", "все клиенты с выручкой от 1,8 млрд до бесконечности", "клиенты от 100 млн", "Обороты по клиентам по кварталам (2022г)", "223 фз контракты 20+", "рейтинг по нмц маркер", "поставщики маркер", "44 за 3 года"</t>
  </si>
  <si>
    <t>49.20.19.110 Услуги железнодорожного транспорта по перевозке опасных грузов
52.29.1 Услуги грузовых транспортно-экспедиционных агентств</t>
  </si>
  <si>
    <t>За весь период контрактов 5 шт. на общую сумму НМЦ 1 219 895 163,31 ?</t>
  </si>
  <si>
    <t>26.20.4 Блоки, части и принадлежности вычислительных машин
58.29.5 Услуги по предоставлению лицензий на право использовать компьютерное программное обеспечение
62.02 Услуги консультативные, связанные с компьютерной техникой
26.20.30.000 Устройства автоматической обработки данных прочие
46.52.12.000 Услуги по оптовой торговле электронным оборудованием и его частями
62.09.20.190 Услуги по технической поддержке в области информационных технологий прочие, не включенные в другие группировки
63.9 Услуги информационные прочие
58.29.14.000 Средства разработки инструментальные и программное обеспечение языков программирования на электронном носителе
62.0 Продукты программные и услуги по разработке программного обеспечения; консультационные и аналогичные услуги в области информационных технологий
26.20.14.000 Машины вычислительные электронные цифровые, поставляемые в виде систем для автоматической обработки данных ****</t>
  </si>
  <si>
    <t>За весь период компания заключила  8 контрактов на сумму  1 120 872 650,42 ? За весь период заходили в конкурсы  14 раз на общую сумму обеспеченных контрактов с НМЦ 1 822 092 650,42 ? с БГУ  121 672 445,74 ? с БГИ 698 801 384,80 ?                             ЗА 3 ГОДА ПО 223 ФЗ заключено 6 шт. с объемом НМЦ 127 270 515,60 ?</t>
  </si>
  <si>
    <t>"223 за 3 года", "свод фт", ".", "рейтинг поставщиков в маркере по бг", "fk1", "Кредитный портфель_01.11", "Гарантии ФБ банкроты",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 "на фт заводил Середин", "поставщики маркер", "44 за 3 года"</t>
  </si>
  <si>
    <t>71.12.40 Услуги в области технического регулирования, стандартизации, метрологии, аккредитации, каталогизации продукции
80.20 Услуги систем обеспечения безопасности
71.12 Услуги в области инженерно-технического проектирования и связанные технические консультативные услуги
71.2 Услуги в области технических испытаний, исследований, анализа и сертификации
61 Услуги телекоммуникационные
33.14 Услуги по ремонту электрического оборудования
71.12.40.129 Услуги в области метрологии прочие, не включенные в другие группировки</t>
  </si>
  <si>
    <t>1 590</t>
  </si>
  <si>
    <t>"223 за 3 года", ".", "06.2022_ФинХД", "все клиенты с выручкой от 1,8 млрд до бесконечности", "это заказчик", "поставщики маркер"</t>
  </si>
  <si>
    <t>24.20.40.000 Фитинги для труб стальные, кроме литых</t>
  </si>
  <si>
    <t>33.20.39 Услуги по монтажу прочего оборудования специального назначения
28.14.11.120 Арматура регулирующая
28.99.39.190 Оборудование специального назначения прочее, не включенное в другие группировки
26.20.30.000 Устройства автоматической обработки данных прочие
43.21.10 Работы электромонтажные
26.51.70.190 Приборы автоматические регулирующие и контрольно-измерительные прочие
26.30.11.110 Средства связи, выполняющие функцию систем коммутации</t>
  </si>
  <si>
    <t>За весь период контрактов 4 шт. на общую сумму НМЦ 1 173 303 339,13 ?</t>
  </si>
  <si>
    <t>46.74.12 Услуги по оптовой торговле водопроводным и отопительным оборудованием и санитарно-технической арматурой
25.11.22.192 Опоры из черных металлов прочие, не включенные в другие группировки
24.20.13 Трубы круглого сечения прочие стальные
24.20 Трубы, профили пустотелые и их фитинги стальные
35.30.11.120 Энергия тепловая, отпущенная котельными
35.30.12.130 Услуги по транспортированию горячей воды
22.21 Плиты, листы, трубы и профили пластмассовые
24.20.33.000 Трубы круглого сечения сварные прочие, наружным диаметром не более 406,4 мм, стальные
35.30.11.111 Энергия тепловая, отпущенная тепловыми электроцентралями (ТЭЦ)
24.45.30.188 Поковки, штамповки, кольца титановые ****</t>
  </si>
  <si>
    <t>ЗА 3 ГОДА ПО 223 ФЗ заключено 1 шт. с объемом НМЦ 22 965 009,54 ?</t>
  </si>
  <si>
    <t>71.12.16.000 Услуги по инженерно-техническому проектированию производственных процессов и производств
71.12.3 Услуги в области геологических, геофизических и взаимосвязанных изыскательных работ и консультативные услуги
25.21 Радиаторы и водогрейные котлы центрального отопления
42.21.13.120 Системы и сооружения водоснабжения и очистки
71.12.16 Услуги по инженерно-техническому проектированию объектов водоснабжения и канализации
42.21.13 Системы оросительные (каналы); водоводы и водопроводные конструкции; водоочистные станции, станции очистки сточных вод и насосные станции
28.29.12.111 Фильтры очистки воды промышленные
41 Здания и работы по возведению зданий
28.29.12.114 Установки для очистки питьевых, сточных вод и улучшения качества питьевых вод
43.22.11.190 Работы по монтажу водопроводных и канализационных систем прочие, не включенные в другие группировки</t>
  </si>
  <si>
    <t>За весь период контрактов 16 шт. на общую сумму НМЦ 4 756 788 665,72 ?</t>
  </si>
  <si>
    <t>"поставщики маркер", ".", "рейтинг поставщиков в маркере по бг",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"производители", "рейтинг по нмц маркер", "это заказчик"</t>
  </si>
  <si>
    <t>71.12.19 Услуги по инженерно-техническому проектированию прочих объектов
71.12 Услуги в области инженерно-технического проектирования и связанные технические консультативные услуги
71.11.22.000 Услуги в области архитектуры, связанные с проектами строительства нежилых зданий и сооружений
71.12.1 Услуги инженерно-технического характера
71.12.31.000 Услуги геологические и геофизические консультативные
71.12.19.100 Услуги по инженерно-техническому проектированию прочих объектов, кроме объектов культурного наследия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71.12.17 Услуги по инженерно-техническому проектированию производственных процессов и производств
42.21.11 Трубопроводы магистральные для жидкостей и газа
71.12.12.190 Услуги по инженерно-техническому проектированию зданий прочие, не включенные в другие группировки</t>
  </si>
  <si>
    <t>За весь период компания заключила  20 контрактов на сумму  6 228 974 299,60 ? За весь период заходили в конкурсы  3 раз на общую сумму обеспеченных контрактов с НМЦ 210 386 401,80 ? с БГУ  2 876 085,12 ? с БГИ 70 838 131,54 ?                             ЗА 3 ГОДА ПО 223 ФЗ заключено 2 шт. с объемом НМЦ 39 904 218,57 ?</t>
  </si>
  <si>
    <t>"223 за 3 года", ".", "рейтинг поставщиков в маркере по бг", "рейтинг по нмц маркер", "поставщики маркер"</t>
  </si>
  <si>
    <t>52.24.1 Услуги по обработке грузов
52.29.1 Услуги грузовых транспортно-экспедиционных агентств</t>
  </si>
  <si>
    <t>За весь период компания заключила  7 контрактов на сумму  10 772 016 129,00 ?</t>
  </si>
  <si>
    <t>73.20 Услуги по исследованию конъюнктуры рынка и общественного мнения
72.20.19 Услуги, связанные с научными исследованиями и экспериментальными разработками в области прочих общественных наук
73.20.14 Услуги по исследованию конъюнктуры рынка, кроме опросов
94.11.10.000 Услуги, предоставляемые коммерческими и предпринимательскими членскими организациями
73.20.12.000 Услуги по исследованию конъюнктуры рынка: количественные специальные исследования
70.22.13 Услуги консультативные по вопросам управления маркетингом</t>
  </si>
  <si>
    <t>за 1 ГОД ПО 223ФЗ заключено 1  7 760 832,00 ?</t>
  </si>
  <si>
    <t>"223 за 3 года", ".", "ИНН_договоры_октябрь_", "все клиенты с выручкой от 1,8 млрд до бесконечности", "рейтинг по нмц маркер"</t>
  </si>
  <si>
    <t>Сообщение кредитора о намерении обратиться в суд с заявлением о банкротстве от 17.03.2021</t>
  </si>
  <si>
    <t>52.23.19.113 Работы лесоавиационные
52.23.19.119 Работы авиационные прочие
51.21 Услуги по перевозке грузов воздушным транспортом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51.21.14.000 Услуги по перевозке прочих грузов воздушным транспортом на нерегулярной основе
52.23.19.115 Работы с целью оказания медицинской помощи
51.10.11.000 Услуги по регулярным пассажирским перевозкам воздушным транспортом на местных линиях
52.29.12 Услуги по фрахтованию судов прочие
52.23.19.190 Услуги вспомогательные прочие, связанные с воздушным транспортом, не включенные в другие группировки
51.10.20.000 Услуги по аренде пассажирских воздушных судов с экипажем ****</t>
  </si>
  <si>
    <t>1 002</t>
  </si>
  <si>
    <t>За весь период компания заключила  8 контрактов на сумму  2 433 186 483,99 ? За весь период заходили в конкурсы  10 раз на общую сумму обеспеченных контрактов с НМЦ 632 021 143,05 ? с БГУ  8 312 063,30 ? с БГИ 56 421 952,98 ?                             ЗА 3 ГОДА ПО 223 ФЗ заключено 15 шт. с объемом НМЦ 349 003 326,40 ? за 1 ГОД ПО 223ФЗ заключено 1  29 252 000,00 ?</t>
  </si>
  <si>
    <t>"223 за 3 года", ".", "рейтинг поставщиков в маркере по бг", "все клиенты с выручкой от 1,8 млрд до бесконечности", "223 фз контракты 20+", "рейтинг по нмц маркер", "поставщики маркер", "44 за 3 года"</t>
  </si>
  <si>
    <t>17.12.31.000 Картон тарный (крафт-лайнер) небеленый, немелованный
17.21.13.000 Ящики и коробки из гофрированной бумаги или гофрированного картона
17.12.72 Бумага и картон крепированные, гофрированные, тисненые или перфорированные</t>
  </si>
  <si>
    <t>10.51.52.140 Кефир
10.51.11.141 Молоко питьевое коровье стерилизованное
10.51.52.213 Сметана от 23,0 % до 28,0 % жирности
10.51.40.131 Сыры твердые без вкусовых наполнителей
10.51.52.200 Сметана
10.51.11.110 Молоко питьевое пастеризованное
10.51.40.300 Творог
10.51.40.330 Творог зерненый без вкусовых компонентов
10.51.56.154 Желе, соусы, кремы, пудинги, муссы, пасты, суфле творожные
10.52.10.151 Мороженое пломбир без наполнителей и добавок ****</t>
  </si>
  <si>
    <t>1 315</t>
  </si>
  <si>
    <t>Заказчик разыгравший 276 конкурсов на сумму  43 006 021 469,90 ?</t>
  </si>
  <si>
    <t>21.20.23.110 Реагенты диагностические
21.20.23.113 Средства радиофармацевтические диагностические
21.20.23.199 Средства нелечебные прочие
21 Средства лекарственные и материалы, применяемые в медицинских целях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t>
  </si>
  <si>
    <t>За весь период компания заключила  133 контрактов на сумму  63 967 648 612,70 ? За весь период заходили в конкурсы  369 раз на общую сумму обеспеченных контрактов с НМЦ 70 877 809 790,83 ? с БГУ  4 736 173 196,81 ? с БГИ 17 332 594 044,13 ? За 3 ГОДА по 44ФЗ заключено 3445 шт. с объемом НМЦ  35 597 679 828,76 ? с БГИ 3 606 665 283,65 ? с БГГО 4 993 200,54 ? с авансированием до 5 485 159,17 ? с комиссией банку 72 334 522,48 ? с кв 629 310,35 ? ЗА 1 ГОД по 44ФЗ заключено 1993 шт. c объемом НМЦ 20 331 351 735,94 ? с БГИ 1 996 300 028,77 ? с БГГО 429 576,27 ? с авансированием до  1 061 308,63 ? с комиссией банку  23 844 409,77 ? с кв 207 446,36 ? ЗА 3 ГОДА ПО 223 ФЗ заключено 55 шт. с объемом НМЦ 292 130 378,10 ? за 1 ГОД ПО 223ФЗ заключено 26  180 468 763,74 ?</t>
  </si>
  <si>
    <t>"223 за 3 года", "свод фт", ".", "рейтинг поставщиков в маркере по бг", "фб 22.11", "УПП на 2 номер", "Конкурсы 100+ (Восстановленный)", "fk1", "клиенты управления по БГ без открытых счетов", "все клиенты с выручкой от 1,8 млрд до бесконечности", "223 фз контракты 20+", "44 фз с с БГ от 10 млн", "рейтинг по нмц маркер", "на фт заводил Шутов", "на фт заводил Бесков", "поставщики маркер", "44 за 3 года"</t>
  </si>
  <si>
    <t>21.20.23.110 Реагенты диагностические
21.20.23.113 Средства радиофармацевтические диагностические
21.20.23.199 Средства нелечебные прочие
20.59.52.140 Среды готовые питательные для выращивания микроорганизмов
20.59.52.199 Реагенты сложные диагностические или лабораторные прочие, не включенные в другие группировки
20.20.14.000 Средства дезинфекционные
21.10.20.130 Фосфоаминолипиды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21.20.10.118 Препараты, способствующие пищеварению, включая ферментные препараты ****</t>
  </si>
  <si>
    <t>За весь период компания заключила  122 контрактов на сумму  27 511 564 185,88 ? За весь период заходили в конкурсы  324 раз на общую сумму обеспеченных контрактов с НМЦ 51 247 086 124,96 ? с БГУ  687 347 745,21 ? с БГИ 6 194 040 963,95 ? За 3 ГОДА по 44ФЗ заключено 3593 шт. с объемом НМЦ  50 127 548 273,75 ? с БГИ 6 188 393 836,78 ? с БГГО 310 592 340,67 ? с авансированием до 397 122 144,81 ? с комиссией банку 88 086 228,22 ? с кв 766 350,19 ? ЗА 1 ГОД по 44ФЗ заключено 564 шт. c объемом НМЦ 11 980 402 647,09 ? с БГИ 1 516 098 230,08 ? с БГГО 67 015 626,07 ? с авансированием до  159 065 705,19 ? с комиссией банку  14 516 831,76 ? с кв 126 296,44 ? ЗА 3 ГОДА ПО 223 ФЗ заключено 118 шт. с объемом НМЦ 342 483 849,07 ? за 1 ГОД ПО 223ФЗ заключено 15  71 082 359,86 ?</t>
  </si>
  <si>
    <t>"223 за 3 года", "свод фт", ".", "рейтинг поставщиков в маркере по бг", "Конкурсы 100+ (Восстановленный)", "fk1", "Евразия_июлль-август 2019", "БГ ФБ ЮР лица на 01.07.2021", "филиал бизнес 31.01.22 ", "06.2022_ФинХД", "Действующий клиент мсб с выр от 30 млн на 05.21", "все клиенты с выручкой от 1,8 млрд до бесконечности", "ФК клиенты с выручкой от 230 до бесконечности", "223 фз контракты 20+", "44 фз с с БГ от 10 млн", "рейтинг по нмц маркер", "на фт заводил Шутов", "на фт заводил Дементьев", "поставщики маркер", "44 за 3 года"</t>
  </si>
  <si>
    <t>71.12.3 Услуги в области геологических, геофизических и взаимосвязанных изыскательных работ и консультативные услуги
71.20.1 Услуги в области технических испытаний, исследований и анализа
71 Услуги в области архитектуры и инженерно-технического проектирования, технических испытаний, исследований и анализа
71.12 Услуги в области инженерно-технического проектирования и связанные технические консультативные услуги
71.12.1 Услуги инженерно-технического характера
72.1 Услуги, связанные с научными исследованиями и экспериментальными разработками в области естественных и технических наук
71.20.11.190 Услуги в области испытаний и анализа состава и чистоты прочих веществ
72.19.2 Услуги, связанные с научными исследованиями и экспериментальными разработками в области технических наук и в области технологий, кроме биотехнологии
71.20.11 Услуги в области испытаний и анализа состава и чистоты веществ
68.20.12.000 Услуги по сдаче в аренду (внаем) собственных или арендованных нежилых помещений ****</t>
  </si>
  <si>
    <t>"на фт заводил Егоров ", "свод фт", ".", "fk1", "все клиенты с выручкой от 1,8 млрд до бесконечности", "производители"</t>
  </si>
  <si>
    <t>За весь период компания заключила  6 контрактов на сумму  15 661 347 104,00 ?</t>
  </si>
  <si>
    <t>1 436</t>
  </si>
  <si>
    <t>27.32.14.110 Кабели силовые для стационарной прокладки на напряжение более 1 кВ</t>
  </si>
  <si>
    <t>Кредитный портфель_01.1160</t>
  </si>
  <si>
    <t>"223 за 3 года", ".", "fk1", "Кредитный портфель_01.11", "06.2022_ФинХД", "это заказчик"</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</si>
  <si>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33.12.1 Услуги по ремонту и техническому обслуживанию оборудования общего назначения ****</t>
  </si>
  <si>
    <t>За весь период компания заключила  5 контрактов на сумму  1 928 957 283,88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</si>
  <si>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35.30.11.130 Энергия тепловая, отпущенная электрокотлами
35.30.12.110 Услуги по приготовлению воды на нужды горячего водоснабжения
35.11.10 Электроэнергия
35.11.10.121 Электроэнергия, произведенная блок-станциями конденсационных электростанций (КЭС) ****</t>
  </si>
  <si>
    <t>За весь период контрактов 8 шт. на общую сумму НМЦ 872 016 573,74 ?</t>
  </si>
  <si>
    <t>10.13.12.000 Мясо крупного рогатого скота соленое, в рассоле, копченое, сушеное (в том числе сублимационной сушки)
10.51.52.140 Кефир
10.51.11.141 Молоко питьевое коровье стерилизованное
10.13.14.113 Сардельки мясные
10.11.31.140 Субпродукты пищевые крупного рогатого скота замороженные
10.51.56.152 Сырки творожные
10.13.14.713 Полуфабрикаты мясные рубленые охлажденные
10.51.52.200 Сметана
10.11.13.110 Баранина парная, остывшая или охлажденная домашних овец и баранов
10.7 Изделия хлебобулочные и мучные кондитерские ****</t>
  </si>
  <si>
    <t>"223 за 3 года", ".", "райф", "все клиенты с выручкой от 1,8 млрд до бесконечности", "поставщики маркер", "44 за 3 года"</t>
  </si>
  <si>
    <t>84.25.19.190 Услуги по обеспечению безопасности в чрезвычайных ситуациях прочие</t>
  </si>
  <si>
    <t>37.00.11.110 Услуги по водоотведению сточных вод
35.30.11.120 Энергия тепловая, отпущенная котельными
35.30.12.130 Услуги по транспортированию горячей воды
36.00.11.000 Вода питьевая</t>
  </si>
  <si>
    <t>26.70.23 Устройства на жидких кристаллах; лазеры, кроме лазерных диодов; оптические приборы и инструменты прочие, не включенные в другие группировки
26.51.85.120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28.99.39.190 Оборудование специального назначения прочее, не включенное в другие группировки
28.4 Оборудование металлообрабатывающее и станки
26.70.21.120 Линзы, призмы, зеркала и элементы оптические прочие (кроме изготовленных из стекла неоптического) в сборе и не в сборе, кроме предназначенных для камер, проекторов или фотоувеличителей, или фотоуменьшителей
26.70.23.120 Лазеры, кроме лазерных диодов
26.70.25 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
26 Оборудование компьютерное, электронное и оптическое
27.31.11.000 Кабели волоконно-оптические, состоящие из волокон с индивидуальными оболочками
33.13.19.000 Услуги по ремонту и техническому обслуживанию прочего профессионального электронного оборудования ****</t>
  </si>
  <si>
    <t>За весь период компания заключила  5 контрактов на сумму  6 110 434 635,92 ? За весь период заходили в конкурсы  2 раз на общую сумму обеспеченных контрактов с НМЦ 153 933 912,00 ? с БГУ  3 577 444,00 ? с БГИ 63 446 640,00 ?                                 за 1 ГОД ПО 223ФЗ заключено 1  37 029 733,34 ?</t>
  </si>
  <si>
    <t>"223 за 3 года", ".", "рейтинг поставщиков в маркере по бг", "все клиенты с выручкой от 1,8 млрд до бесконечности", "223 фз контракты 20+", "производители", "рейтинг по нмц маркер", "поставщики маркер"</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</si>
  <si>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71.20.19 Услуги по техническим испытаниям и анализу прочие
09.10.1 Услуги по обеспечению добычи нефти и природного газа
09.1 Услуги по добыче нефти и природного газа
09.10.11.190 Услуги по бурению, связанные с добычей нефти и горючего природного газа, не включенные в другие группировки</t>
  </si>
  <si>
    <t>1 354</t>
  </si>
  <si>
    <t>За весь период компания заключила  23 контрактов на сумму  14 311 716 921,59 ?                                     ЗА 3 ГОДА ПО 223 ФЗ заключено 1 шт. с объемом НМЦ 135 116 027,40 ?</t>
  </si>
  <si>
    <t>"223 за 3 года",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"это заказчик", "поставщики маркер"</t>
  </si>
  <si>
    <t>21.10.2 Лизин, кислота глутаминовая и их соли; соли четвертичные и гидроксиды аммония; фосфоаминолипиды; амиды, их производные и соли
10.91.10.170 Премиксы
20.14.23 Диолы, спирты многоатомные, спирты циклические и их производные
21.10.20.110 Лизин, кислота глутаминовая и их соли
10.62.11.162 Глютен кукурузный
21.20.10.121 Добавки минеральные
10.20.41 Мука тонкого и грубого помола и гранулы из рыбы, ракообразных, моллюсков и других водных беспозвоночных, не пригодные для употребления в пищу
10.20.41.110 Мука кормовая тонкого и грубого помола и гранулы из рыбы
10.89.19.150 Добавки пищевые комплексные
10.91.10.290 Корма для сельскохозяйственных животных прочие ****</t>
  </si>
  <si>
    <t>ЗА 3 ГОДА ПО 223 ФЗ заключено 29 шт. с объемом НМЦ 127 477 121,21 ? за 1 ГОД ПО 223ФЗ заключено 10  57 961 060,61 ?</t>
  </si>
  <si>
    <t>77.39.1 Услуги по аренде и лизингу прочих машин, оборудования и материальных средств, не включенных в другие группировки
33.12.29.900 Услуги по ремонту и техническому обслуживанию прочего оборудования специального назначения, не включенные в другие группировки
46.71.1 Услуги по оптовой торговле твердым, жидким и газообразным топливом и подобными продуктами</t>
  </si>
  <si>
    <t>15.20.12.129 Обувь женская и для девочек на подошве и с верхом из резины или пластмассы кроме обуви водонепроницаемой или спортивной, прочая, не включенная в другие группировки
22.19.50.000 Материалы прорезиненные текстильные, кроме кордных тканей
13.99.13.139 Полотна пропитанные с покрытием или дублированные термосклеенные войлочные из прочих текстильных материалов
15.11.22.130 Кожа металлизированная
15.11.52.110 Кожа композиционная на основе натуральной кожи
13.96.14.110 Ткани, пропитанные поливинилхлоридной композицией, или с покрытием из поливинилхлорида
17.21.13.000 Ящики и коробки из гофрированной бумаги или гофрированного картона
22.19.20.110 Смеси резиновые и изделия из них
22.19.20.111 Смеси резиновые
22.19.60.190 Предметы одежды и ее аксессуары из вулканизированной резины, кроме твердой резины (эбонита) ****</t>
  </si>
  <si>
    <t>"44 за 3 года", ".", "производители", "поставщики маркер"</t>
  </si>
  <si>
    <t>10.11 Мясо и прочие продукты убоя, включая мясо консервированное
10.51.4 Сыры, продукты сырные и творог
10.51.52.200 Сметана
10.51.40.300 Творог
10.86.10.611 Колбасы вареные для детского питания
10.11.11.110 Говядина парная, остывшая или охлажденная
10.51.40 Сыры; молокосодержащие продукты с заменителем молочного жира, произведенные по технологии сыра; творог
10.86.10.612 Сосиски (колбаски) вареные для детского питания
10.86.10.620 Изделия колбасные полукопченые для детского питания
10.51.30.100 Масло сливочное ****</t>
  </si>
  <si>
    <t>1 295</t>
  </si>
  <si>
    <t>28.13.28.000 Компрессоры прочие
35.30.11.120 Энергия тепловая, отпущенная котельными
35.30.12.130 Услуги по транспортированию горячей воды
35.30.11.111 Энергия тепловая, отпущенная тепловыми электроцентралями (ТЭЦ)
33.12.24.000 Услуги по ремонту и техническому обслуживанию оборудования для добычи полезных ископаемых подземным и открытым способами и строительства
35.30.11.110 Энергия тепловая, отпущенная электростанциями
35.30.1 Пар и горячая вода; услуги по снабжению паром и горячей водой
33.20.42 Услуги по монтажу профессионального электронного оборудования</t>
  </si>
  <si>
    <t>За весь период компания заключила  6 контрактов на сумму  3 065 707 117,84 ?</t>
  </si>
  <si>
    <t>"223 за 3 года", ".", "ушедший портфель", "п6", "fk1", "ИНН 3 года - нет КД БГ на 01.10.22", "Список ушедший ", "все клиенты с выручкой от 1,8 млрд до бесконечности", "ФК клиенты с выручкой от 230 до бесконечности", "Обороты по клиентам по кварталам (2022г)", "рейтинг заказчиков маркер", "производители", "рейтинг по нмц маркер", "это заказчик", "поставщики маркер"</t>
  </si>
  <si>
    <t>3 311</t>
  </si>
  <si>
    <t>"crm Пител", ".", "беники", "это заказчик", "crm управления"</t>
  </si>
  <si>
    <t>19.2 Нефтепродукты
19.20.29.230 Нефтепродукты смазочно-охлаждающие
19.20.29 Масла нефтяные смазочные; дистилляты тяжелые, не включенные в другие группировки</t>
  </si>
  <si>
    <t>"поставщики маркер", ".", "fk1", "ПОС на 01.02.2023", "ПОС на 03.04.2023", "Кредитный портфель_01.11", "06.2022_ФинХД", "все клиенты с выручкой от 1,8 млрд до бесконечности", "Участники клиринга", "рейтинг по нмц маркер"</t>
  </si>
  <si>
    <t>19.20.29.119 Масла моторные прочие, не включенные в другие группировки
19.2 Нефтепродукты
19.20.21 Топливо моторное, включая автомобильный и авиационный бензин
19.20.29.100 Масла нефтяные смазочные
19.20.21.315 Топливо дизельное летнее экологического класса К5
19.20.2 Топливо жидкое и газообразное; масла смазочные
19.20.21.300 Топливо дизельное</t>
  </si>
  <si>
    <t>За весь период компания заключила  16 контрактов на сумму  932 242 815,52 ? За весь период заходили в конкурсы  4 раз на общую сумму обеспеченных контрактов с НМЦ 264 812 628,77 ? с БГУ  7 209 002,99 ? с БГИ 27 290 029,90 ?</t>
  </si>
  <si>
    <t>"поставщики маркер", ".", "рейтинг поставщиков в маркере по бг", "fk1", "ПОС на 01.02.2023", "ПОС на 03.04.2023", "Кредитный портфель_01.11", "06.2022_ФинХД", "Участники клиринга", "рейтинг по нмц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</si>
  <si>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77.11 Услуги по аренде и лизингу легковых автомобилей и легких автотранспортных средств
68.20.12.000 Услуги по сдаче в аренду (внаем) собственных или арендованных нежилых помещений</t>
  </si>
  <si>
    <t>За весь период заходили в конкурсы  14 раз на общую сумму обеспеченных контрактов с НМЦ 1 220 502 042,59 ? с БГУ  15 304 356,92 ? с БГИ 158 042 503,07 ? За 3 ГОДА по 44ФЗ заключено 5 шт. с объемом НМЦ  324 107 896,20 ? с БГИ 33 901 371,06 ? с БГГО 0,00 ? с авансированием до 16 000 771,06 ? с комиссией банку 289 950,39 ? с кв 2 522,57 ? ЗА 1 ГОД по 44ФЗ заключено 2 шт. c объемом НМЦ 137 648 989,00 ? с БГИ 13 764 898,90 ? с БГГО 0,00 ? с авансированием до  13 764 898,90 ? с комиссией банку  85 570,65 ? с кв 744,46 ?</t>
  </si>
  <si>
    <t>"223 за 3 года", "свод фт", ".", "рейтинг поставщиков в маркере по бг", "лимит сит по кредитам", "все клиенты с выручкой от 1,8 млрд до бесконечности", "рейтинг по нмц маркер", "это заказчик", "на фт заводил Реук", "поставщики маркер", "44 за 3 года"</t>
  </si>
  <si>
    <t>29.10.30.190 Средства автотранспортные пассажирские с числом мест для сидения не менее 10 прочие
29.10.59.130 Средства транспортные для коммунального хозяйства и содержания дорог
28.30.23.110 Тракторы сельскохозяйственные колесные с мощностью двигателя более 59 кВт
45.19 Услуги по торговле прочими автотранспортными средствами
27.51.21.113 Электрополомойки
29.10.59.390 Средства автотранспортные специального назначения прочие, не включенные в другие группировки
28.92.26.110 Экскаваторы самоходные одноковшовые
29.10.41.123 Автосамосвалы с дизельным двигателем, имеющие технически допустимую максимальную массу свыше 12 т
29.10.30.130 Автобусы, имеющие технически допустимую максимальную массу не более 5 т
28.22.1 Оборудование подъемно-транспортное и его части ****</t>
  </si>
  <si>
    <t>"в crm за Досхоевым", "кл фт агент бг 04.22", ".", "Легкий кредит", "фт (2)", "инн Ленинградка", "fk1", "2. Финтендер 2022 31.03.22 Григорян для СПАРК", "клиенты от 100 млн", "действующие б не прям", "ФТ клиенты с продуктами по сотрудникам", "crm управления"</t>
  </si>
  <si>
    <t>20.13.51.111 Алюминаты
20.14.23.119 Диолы прочие
19.20.32.119 Газы нефтяные прочие, не включенные в другие группировки
19.20.31.110 Пропан сжиженный
20.14.22.111 Спирт метиловый (метанол)
23.44.11.110 Изделия лабораторного и химического назначения фарфоровые
20.11.12.110 Диоксид углерода (газ углекислый)
20.59.56.150 Катализаторы, не включенные в другие группировки
20.13.62.190 Соли неорганических кислот или пероксикислот прочие</t>
  </si>
  <si>
    <t>За весь период компания заключила  4 контрактов на сумму  1 019 879 613,30 ?</t>
  </si>
  <si>
    <t>"рейтинг по нмц маркер", ".", "fk1", "ПОС на 01.02.2023", "ПОС на 03.04.2023", "Кредитный портфель_01.11", "06.2022_ФинХД", "клиенты от 100 млн", "Обороты по клиентам по кварталам (2022г)"</t>
  </si>
  <si>
    <t>41.20.20.100 Здания нежилые
41.20.20.290 Здания нежилые, не включенные в другие группировки</t>
  </si>
  <si>
    <t>За весь период компания заключила  6 контрактов на сумму  12 997 808 062,80 ? За весь период заходили в конкурсы  10 раз на общую сумму обеспеченных контрактов с НМЦ 8 288 340 006,22 ? с БГУ  649 401 956,43 ? с БГИ 3 157 537 670,96 ?</t>
  </si>
  <si>
    <t>"поставщики маркер", ".", "рейтинг поставщиков в маркере по бг", "компании Герберта", "рейтинг заказчиков маркер", "рейтинг по нмц маркер", "crm управления", "crm Пител"</t>
  </si>
  <si>
    <t>52.29.19.110 Услуги по экспедированию грузов
52.2 Услуги транспортные вспомогательные
49.41.15 Услуги по перевозке автомобильным транспортом сухих сыпучих грузов
49.41.11.000 Услуги по перевозке автомобильным транспортом грузов в автофургонах-рефрижераторах
49.42 Услуги по переезду
49.41.19 Услуги по перевозке грузов автомобильным транспортом прочие
49.41 Услуги по грузовым перевозкам автомобильным транспортом
49.41.19.900 Услуги по перевозке грузов автомобильным транспортом прочие, не включенные в другие группировки
52 Услуги по складированию и вспомогательные транспортные услуги</t>
  </si>
  <si>
    <t>5 678</t>
  </si>
  <si>
    <t>ЗА 3 ГОДА ПО 223 ФЗ заключено 9 шт. с объемом НМЦ 28 264 500,00 ?</t>
  </si>
  <si>
    <t>"223 за 3 года", "свод фт", ".", "Одобренные но не выданные 1 полугодие 2021(прямые)", "fk1", "инн Красносельская", "06.2022_ФинХД", "все клиенты с выручкой от 1,8 млрд до бесконечности", "Обороты по клиентам по кварталам (2022г)", "рейтинг по нмц маркер", "это заказчик", "на фт заводил Середин", "поставщики маркер"</t>
  </si>
  <si>
    <t>2 451</t>
  </si>
  <si>
    <t>1 979</t>
  </si>
  <si>
    <t>24.20.1 Трубы, профили пустотелые бесшовные и их фитинги стальные
43.29.11 Работы изоляционные</t>
  </si>
  <si>
    <t>28.99.4 Части печатного и переплетного оборудования
28.99.14 Оборудование печатное прочее, кроме печатного оборудования офисного типа
28.95.12.000 Части оборудования для производства бумаги и картона
20.16.10.119 Полиэтилен прочий
28.99.40.110 Комплектующие (запасные части) печатного оборудования, не имеющие самостоятельных группировок
28.99.14.120 Машины печатные для трафаретной печати
25.93.13 Ткань металлическая, решетки, сетки и ограждения из проволоки из черных металлов или меди</t>
  </si>
  <si>
    <t>30.30.50 Части летательных и космических аппаратов прочие
30.30.50.110 Комплектующие (запасные части) летательных аппаратов, не имеющие самостоятельных группировок</t>
  </si>
  <si>
    <t>За весь период компания заключила  3 контрактов на сумму  8 879 012 400,00 ? За весь период заходили в конкурсы  1 раз на общую сумму обеспеченных контрактов с НМЦ 150 000 000,00 ? с БГУ  1 500 000,00 ? с БГИ 15 000 000,00 ?</t>
  </si>
  <si>
    <t>"223 за 3 года", "свод фт", ".", "рейтинг поставщиков в маркере по бг", "кредиты фт", "рейтинг заказчиков маркер", "рейтинг по нмц маркер", "на фт заводил Шутов",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</si>
  <si>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42.21.22 Работы строительные по прокладке местных трубопроводов
42.21.22.110 Работы строительные по прокладке местных трубопроводов воды или сточных вод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</si>
  <si>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114 контрактов на сумму  400 473 384 648,14 ? За весь период заходили в конкурсы  128 раз на общую сумму обеспеченных контрактов с НМЦ 336 434 839 723,99 ? с БГУ  16 553 207 786,74 ? с БГИ 90 218 668 289,33 ? За 3 ГОДА по 44ФЗ заключено 25 шт. с объемом НМЦ  34 426 118 868,06 ? с БГИ 6 886 406 876,66 ? с БГГО 286 535 003,67 ? с авансированием до 251 883 534 956,57 ? с комиссией банку 64 036 815,52 ? с кв 557 120,30 ? ЗА 1 ГОД по 44ФЗ заключено 8 шт. c объемом НМЦ 5 664 425 641,02 ? с БГИ 928 517 295,39 ? с БГГО 0,00 ? с авансированием до  928 517 295,38 ? с комиссией банку  29 635 760,00 ? с кв 257 831,11 ?</t>
  </si>
  <si>
    <t>"44 за 3 года", "кл фт агент ВКЛ/РКО 04.22", "кл фт агент бг 04.22", "свод фт", ".", "рейтинг поставщиков в маркере по бг", "Рассрочка КВ Март 2023", "УПП на 2 номер", "Конкурсы 100+ (Восстановленный)", "fk1", "кредиты фт", "клиенты управления по БГ без открытых счетов", "корп 1", "Премия 4 кв 22 г.бг", "Ссуды ФБ 29.04.2022 банкр.", "АИЛ портфель", "Пункт 3 09.01.23", "лимит сит по кредитам", "все клиенты с выручкой от 1,8 млрд до бесконечности", "филиал бизнес 01.03.22", "портфель", "филиал бизнес 22.11",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"Участники клиринга", "44 фз с с БГ от 10 млн", "рейтинг по нмц маркер", "это заказчик", "на фт заводил Удод", "на фт заводил Тихонов ", "на фт заводил Олейник", "на фт заводил Вохмина", "поставщики маркер"</t>
  </si>
  <si>
    <t>77.39.19 Услуги по аренде и лизингу прочих машин и оборудования без оператора и материальных средств, не включенных в другие группировки
71.20.11.190 Услуги в области испытаний и анализа состава и чистоты прочих веществ
72.19.2 Услуги, связанные с научными исследованиями и экспериментальными разработками в области технических наук и в области технологий, кроме биотехнологии
77.39.19.110 Услуги по аренде и лизингу прочих машин и оборудования без оператора, не включенных в другие группировки
42.21.22 Работы строительные по прокладке местных трубопроводов
09.1 Услуги по добыче нефти и природного газа</t>
  </si>
  <si>
    <t>За весь период компания заключила  9 контрактов на сумму  2 285 496 149,25 ? За весь период заходили в конкурсы  1 раз на общую сумму обеспеченных контрактов с НМЦ 497 550 000,00 ? с БГУ  26 750 000,00 ? с БГИ 160 500 000,00 ?</t>
  </si>
  <si>
    <t>"в crm за Кашиным", "свод фт", ".", "рейтинг поставщиков в маркере по бг", "кредиты фт", "лимит сит по кредитам", "все клиенты с выручкой от 1,8 млрд до бесконечности", "производители", "рейтинг по нмц маркер", "на фт заводил Кашин", "crm управления"</t>
  </si>
  <si>
    <t>27.32.13.143 Кабели контрольные
26.30.11.150 Средства связи радиоэлектронные
27.32.13.131 Провода силовые для электрических установок
27.32.14.111 Кабели силовые с медной жилой на напряжение более 1 кВ
27.32.14.112 Кабели силовые с алюминиевой жилой на напряжение более 1 кВ
77.39.19 Услуги по аренде и лизингу прочих машин и оборудования без оператора и материальных средств, не включенных в другие группировки
27.32.13.133 Провода и шнуры осветительные
27.33.13.130 Арматура кабельная
27.12.31.000 Панели и прочие комплекты электрической аппаратуры коммутации или защиты на напряжение не более 1 кВ
27.32 Провода и кабели электронные и электрические прочие ****</t>
  </si>
  <si>
    <t>За весь период компания заключила  18 контрактов на сумму  5 134 918 844,13 ? За весь период заходили в конкурсы  1 раз на общую сумму обеспеченных контрактов с НМЦ 98 794 676,61 ? с БГУ  5 510 693,89 ? с БГИ 11 021 387,78 ?</t>
  </si>
  <si>
    <t>"223 за 3 года", ".", "рейтинг поставщиков в маркере по бг",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 "это заказчик", "поставщики маркер"</t>
  </si>
  <si>
    <t>62.01 Продукты программные и услуги по разработке и тестированию программного обеспечения
63 Услуги в области информационных технологий
43.21.10.290 Работы электромонтажные прочие, не включенные в другие группировки</t>
  </si>
  <si>
    <t>За весь период компания заключила  32 контрактов на сумму  36 379 328 649,80 ? За весь период заходили в конкурсы  4 раз на общую сумму обеспеченных контрактов с НМЦ 2 503 655 392,01 ? с БГУ  103 584 629,30 ? с БГИ 501 507 800,34 ?                             ЗА 3 ГОДА ПО 223 ФЗ заключено 1 шт. с объемом НМЦ 111 849 999,60 ?</t>
  </si>
  <si>
    <t>"223 за 3 года", "свод фт", ".", "рейтинг поставщиков в маркере по бг", "Одобренные но не выданные 1 полугодие 2021(прямые)", "Субъект в CRM, клиент у нас ФТ", "клиент металлинвеста", "кредиты фт", "ушедшие", "закрыли счет", "лимит сит по кредитам", "все клиенты с выручкой от 1,8 млрд до бесконечности", "производители", "рейтинг по нмц маркер", "на фт заводил Шутов", "на фт заводил Хацкевич", "на фт заводил Мамонтова", "на фт заводил Бесков", "на фт заводил Алтухова", "поставщики маркер"</t>
  </si>
  <si>
    <t>39.00.21.900 Услуги прочие по реабилитации загрязненных участков
71 Услуги в области архитектуры и инженерно-технического проектирования, технических испытаний, исследований и анализа
71.12.20.190 Услуги по руководству строительными проектами прочие
71.1 Услуги в области архитектуры, инженерно-технического проектирования и связанные технические консультативные услуги
42.22 Сооружения и строительные работы по строительству коммунальных объектов для электроснабжения и связи
71.12.16 Услуги по инженерно-техническому проектированию объектов водоснабжения и канализации
71.12.19.100 Услуги по инженерно-техническому проектированию прочих объектов, кроме объектов культурного наследия
42.21.22.110 Работы строительные по прокладке местных трубопроводов воды или сточных вод
42.21.21 Работы строительные по прокладке магистральных трубопроводов
42.22.22 Работы строительные по прокладке местных линий электропередачи и связи</t>
  </si>
  <si>
    <t>За весь период компания заключила  38 контрактов на сумму  38 299 684 361,92 ?                                     ЗА 3 ГОДА ПО 223 ФЗ заключено 4 шт. с объемом НМЦ 3 675 679 813,71 ?</t>
  </si>
  <si>
    <t>Сообщение кредитора о намерении обратиться в суд с заявлением о банкротстве от 01.03.2023</t>
  </si>
  <si>
    <t>"223 за 3 года", ".", "инн Ленинградка",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t>
  </si>
  <si>
    <t>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10.11.32 Свинина замороженная, в том числе для детского питания
46.32.12 Услуги по оптовой торговле мясными продуктами (включая продукты из мяса птицы)
10.13.14.111 Колбасы (колбаски) вареные мясные
10.11.32.110 Свинина замороженная
10.13.14 Изделия колбасные и аналогичная пищевая продукция из мяса, субпродуктов или крови животных, из мяса и субпродуктов птицы
10.13.14.112 Сосиски мясные</t>
  </si>
  <si>
    <t>68.10.14.000 Услуги по покупке и продаже нежилых зданий и занимаемых ими земельных участков
35.11.10.112 Электроэнергия, произведенная теплоэлектроцентралями (ТЭЦ) общего назначения
68.20 Услуги по сдаче в аренду (внаем) собственного или арендованного недвижимого имущества
19.20.21.125 Бензин автомобильный с октановым числом более 92, но не более 95 по исследовательскому методу экологического класса К5
35.12.10.120 Услуги по технологическому присоединению к распределительным электросетям
42.22 Сооружения и строительные работы по строительству коммунальных объектов для электроснабжения и связи
19.20.21.115 Бензин автомобильный с октановым числом не менее 80, но не более 92 по исследовательскому методу экологического класса К5
19.20.21.300 Топливо дизельное
42.99.22.100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кроме работ по сохранению и воссозданию объектов культурного наследия
19.20.21.325 Топливо дизельное зимнее экологического класса К5 ****</t>
  </si>
  <si>
    <t>За 3 года по 223ФЗ заключено  16 шт контрактов на сумму 26 568 315,58 ?</t>
  </si>
  <si>
    <t>10.13.14.110 Изделия колбасные вареные, в том числе фаршированные мясные
10.13.1 Продукты консервированные и готовые из мяса, субпродуктов и крови животных, из мяса и субпродуктов птицы
10.86.10.614 Ветчина вареная в оболочке для детского питания
10.13.14.111 Колбасы (колбаски) вареные мясные
10.13.14 Изделия колбасные и аналогичная пищевая продукция из мяса, субпродуктов или крови животных, из мяса и субпродуктов птицы
10.13.14.112 Сосиски мясные
10.13.14.411 Колбасы (колбаски) полукопченые мясные</t>
  </si>
  <si>
    <t>86.21.10.190 Услуги, предоставляемые врачами общей врачебной практики, прочие, не включенные в другие группировки
86.90.15.000 Услуги медицинских лабораторий
86.90.19.190 Услуги в области медицины прочие, не включенные в другие группировки</t>
  </si>
  <si>
    <t>"223 за 3 года", ".", "все клиенты с выручкой от 1,8 млрд до бесконечности", "это заказчик", "44 за 3 года"</t>
  </si>
  <si>
    <t>61.20.11.000 Услуги подвижной связи общего пользования - обеспечение доступа и поддержка пользователя
61.20.2 Услуги операторов связи в сфере беспроводных телекоммуникаций
61.10.11.190 Услуги фиксированной телефонной связи - предоставление доступа и телефонные соединения, прочие
61.20.12.000 Услуги подвижной связи дополнительные
61.10.11.110 Услуги по предоставлению внутризоновых, междугородных и международных телефонных соединений
61.20.13.000 Услуги подвижной связи в выделенных радиосетях
61.30.10 Услуги спутниковой связи, кроме услуг для целей телевизионного и радиовещания
61.10.13.000 Услуги фиксированной телефонной связи в выделенных сетях связи
61.20.30.120 Услуги по передаче данных по беспроводным телекоммуникационным сетям
61.20.30.110 Услуги подвижной связи для целей передачи голоса ****</t>
  </si>
  <si>
    <t>за 1 ГОД ПО 223ФЗ заключено 2  10 436 426,00 ?</t>
  </si>
  <si>
    <t>26.20.16.150 Сканеры
26.51.45.190 Приборы и аппаратура для измерения или контроля электрических величин прочие, не включенные в другие группировки
26.20.18 Устройства периферийные с двумя или более функциями: печать данных, копирование, сканирование, прием и передача факсимильных сообщений
26.30.11.150 Средства связи радиоэлектронные
26.30.2 Оборудование оконечное (пользовательское) телефонной или телеграфной связи, аппаратура видеосвязи
46.14.11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
26.40.51.000 Части и принадлежности звукового и видеооборудования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62.02.30 Услуги по технической поддержке информационных технологий ****</t>
  </si>
  <si>
    <t>За весь период компания заключила  9 контрактов на сумму  2 846 971 593,24 ? За весь период заходили в конкурсы  6 раз на общую сумму обеспеченных контрактов с НМЦ 1 922 090 418,98 ? с БГУ  108 415 089,21 ? с БГИ 684 820 164,23 ? За 3 ГОДА по 44ФЗ заключено 23 шт. с объемом НМЦ  807 226 323,09 ? с БГИ 153 401 972,32 ? с БГГО 7 555 498,39 ? с авансированием до 188 122 175,03 ? с комиссией банку 1 380 108,73 ? с кв 12 006,95 ? ЗА 1 ГОД по 44ФЗ заключено 15 шт. c объемом НМЦ 726 015 098,73 ? с БГИ 137 710 932,58 ? с БГГО 6 712 485,00 ? с авансированием до  188 122 175,03 ? с комиссией банку  1 806 864,80 ? с кв 15 719,72 ? ЗА 3 ГОДА ПО 223 ФЗ заключено 9 шт. с объемом НМЦ 1 083 362 990,40 ? за 1 ГОД ПО 223ФЗ заключено 6  1 001 988 310,54 ?</t>
  </si>
  <si>
    <t>"223 за 3 года", ".", "рейтинг поставщиков в маркере по бг", "ГРАНДИОЗНЫЙ ПРОЕКТ 223", "клиент металлинвеста", "Конкурсы 100+ (Восстановленный)", "ПСБ Гарантии ", "223 фз контракты 20+", "44 фз с с БГ от 10 млн", "рейтинг по нмц маркер", "crm управления", "crm Пител", "поставщики маркер", "44 за 3 года"</t>
  </si>
  <si>
    <t>"Обороты по клиентам по кварталам (2022г)", ".", "fk1",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t>
  </si>
  <si>
    <t>27.32.13.130 Провода и шнуры силовые
27.32.13.143 Кабели контрольные
27.32.13.191 Кабели монтажные
27.32.13.193 Провода и кабели бортовые
27.3 Кабели и арматура кабельная
27.32.13.131 Провода силовые для электрических установок
27.32.13.157 Шнуры слаботочные
27.32.14.110 Кабели силовые для стационарной прокладки на напряжение более 1 кВ
27.32.14.111 Кабели силовые с медной жилой на напряжение более 1 кВ
27.32.14.112 Кабели силовые с алюминиевой жилой на напряжение более 1 кВ ****</t>
  </si>
  <si>
    <t>ЗА 3 ГОДА ПО 223 ФЗ заключено 18 шт. с объемом НМЦ 106 779 458,37 ? за 1 ГОД ПО 223ФЗ заключено 6  9 173 282,49 ?</t>
  </si>
  <si>
    <t>"223 за 3 года", "свод фт", ".", "Агентские одобренные но не выданные от 30.08", "рейтинг по нмц маркер", "на фт заводил Алиев", "поставщики маркер", "44 за 3 года"</t>
  </si>
  <si>
    <t>27.32.13.130 Провода и шнуры силовые</t>
  </si>
  <si>
    <t>27.32.13.130 Провода и шнуры силовые
27.32.13.143 Кабели контрольные
27.32.13.191 Кабели монтажные
27.32.13.131 Провода силовые для электрических установок
27.32.13.157 Шнуры слаботочные
27.32.14.111 Кабели силовые с медной жилой на напряжение более 1 кВ
27.32.14.112 Кабели силовые с алюминиевой жилой на напряжение более 1 кВ
27.32.11.000 Провода обмоточные изолированные
27.32.13.133 Провода и шнуры осветительные
27.32.13.141 Кабели управления ****</t>
  </si>
  <si>
    <t>За весь период компания заключила  4 контрактов на сумму  421 733 141,40 ?</t>
  </si>
  <si>
    <t>"рейтинг по нмц маркер", ".", "fk1", "Обороты по клиентам по кварталам (2022г)"</t>
  </si>
  <si>
    <t>На 04.05.2023 10:13 имеются действующие решения ФНС о приостановлении операций по счетам</t>
  </si>
  <si>
    <t>Сообщения о принятии решения о реорганизации от 15.03.2022</t>
  </si>
  <si>
    <t>10.61.21.114 Мука пшеничная хлебопекарная первого сорта</t>
  </si>
  <si>
    <t>Сообщение кредитора о намерении обратиться в суд с заявлением о банкротстве от 02.11.2022</t>
  </si>
  <si>
    <t>35.30.11.120 Энергия тепловая, отпущенная котельными
35.30.11.111 Энергия тепловая, отпущенная тепловыми электроцентралями (ТЭЦ)
35.30.11.119 Энергия тепловая, отпущенная прочими электростанциями</t>
  </si>
  <si>
    <t>28.13.14.110 Насосы центробежные подачи жидкостей прочие
28.13.25 Турбокомпрессоры
28.13.28.000 Компрессоры прочие
33.12.29 Услуги по ремонту и техническому обслуживанию прочего оборудования специального назначения</t>
  </si>
  <si>
    <t>За весь период компания заключила  3 контрактов на сумму  1 993 500 000,00 ?</t>
  </si>
  <si>
    <t>"рейтинг по нмц маркер", ".", "беники", "все клиенты с выручкой от 1,8 млрд до бесконечности", "производители"</t>
  </si>
  <si>
    <t>20.59 Продукты химические прочие, не включенные в другие группировки
55.90.19.000 Услуги по предоставлению временного жилья прочие, не включенные в другие группировки
20.16.52.190 Полимеры виниловые прочие в первичных формах
20.16.10.113 Полиэтилен низкого давления</t>
  </si>
  <si>
    <t>за 1 ГОД ПО 223ФЗ заключено 1  15 000 000,00 ?</t>
  </si>
  <si>
    <t>"223 за 3 года", ".", "Участники клиринга", "рейтинг заказчиков маркер", "производители", "рейтинг по нмц маркер",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</si>
  <si>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42.13.10.111 Мост автодорожный
42.11.10.129 Дороги автомобильные, в том числе улично-дорожная сеть, и прочие автомобильные и пешеходные дороги, не включенные в другие группировки
42.13.10.119 Мосты и путепроводы из любых материалов для всех типов сухопутного транспорта и для пешеходов прочие</t>
  </si>
  <si>
    <t>За весь период компания заключила  81 контрактов на сумму  105 145 966 647,59 ? За весь период заходили в конкурсы  182 раз на общую сумму обеспеченных контрактов с НМЦ 115 278 016 733,30 ? с БГУ  4 296 638 563,18 ? с БГИ 20 083 917 879,80 ? За 3 ГОДА по 44ФЗ заключено 12 шт. с объемом НМЦ  10 254 697 231,00 ? с БГИ 1 843 826 913,10 ? с БГГО 9 662 167,36 ? с авансированием до 6 798 551 410,30 ? с комиссией банку 8 066 374,49 ? с кв 70 177,46 ? ЗА 1 ГОД по 44ФЗ заключено 1 шт. c объемом НМЦ 88 204 880,00 ? с БГИ 26 461 464,00 ? с БГГО 88 205,00 ? с авансированием до  26 461 464,00 ? с комиссией банку  249 390,24 ? с кв 2 169,70 ?</t>
  </si>
  <si>
    <t>Сообщение кредитора о намерении обратиться в суд с заявлением о банкротстве от 30.12.2019</t>
  </si>
  <si>
    <t>"44 за 3 года", "свод фт", ".", "рейтинг поставщиков в маркере по бг", "Конкурсы 100+ (Восстановленный)", "все клиенты с выручкой от 1,8 млрд до бесконечности", "44 фз с с БГ от 10 млн", "производители", "рейтинг по нмц маркер", "на фт заводил Шутов", "на фт заводил Данченко", "поставщики маркер"</t>
  </si>
  <si>
    <t>42.21.22.190 Работы строительные по прокладке местных трубопроводов прочих жидкостей и газов
42.12.20.190 Работы строительные по строительству наземных и подземных железных дорог прочие, не включенные в другие группировки</t>
  </si>
  <si>
    <t>За весь период компания заключила  18 контрактов на сумму  35 290 160 040,55 ? За весь период заходили в конкурсы  18 раз на общую сумму обеспеченных контрактов с НМЦ 26 889 429 381,90 ? с БГУ  1 344 808 291,54 ? с БГИ 1 814 812 766,35 ? За 3 ГОДА по 44ФЗ заключено 16 шт. с объемом НМЦ  10 885 224 880,97 ? с БГИ 242 232 289,39 ? с БГГО 0,00 ? с авансированием до 69 800 000,00 ? с комиссией банку 3 287 314,42 ? с кв 28 599,64 ? ЗА 1 ГОД по 44ФЗ заключено 11 шт. c объемом НМЦ 7 793 278 454,84 ? с БГИ 166 024 474,77 ? с БГГО 0,00 ? с авансированием до  69 800 000,00 ? с комиссией банку  2 040 974,86 ? с кв 17 756,48 ?</t>
  </si>
  <si>
    <t>Определение о введении наблюдения от 05.03.2011, Сообщение кредитора о намерении обратиться в суд с заявлением о банкротстве от 22.10.2021</t>
  </si>
  <si>
    <t>"44 за 3 года", ".", "рейтинг поставщиков в маркере по бг", "Конкурсы 100+ (Восстановленный)", "Все БГ поиск клиентов Банка и их контакты РЭБ", "все клиенты с выручкой от 1,8 млрд до бесконечности", "44 фз с с БГ от 10 млн", "рейтинг заказчиков маркер", "рейтинг по нмц маркер", "crm управления", "в crm за Егоровым "</t>
  </si>
  <si>
    <t>43.22.12.120 Работы по установке и техническому обслуживанию систем управления центральным отоплением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35.11.10.112 Электроэнергия, произведенная теплоэлектроцентралями (ТЭЦ) общего назначения
90.03.11.190 Услуги, предоставляемые авторами (писателями, композиторами, скульпторами и др.), за исключением исполнителей артистов, кроме работ на объектах культурного наследия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36.00.30.000 Услуги по торговле водой, поставляемой по трубопроводам ****</t>
  </si>
  <si>
    <t>1 073</t>
  </si>
  <si>
    <t>За весь период заходили в конкурсы  17 раз на общую сумму обеспеченных контрактов с НМЦ 1 642 433 850,51 ? с БГУ  56 393 405,94 ? с БГИ 447 895 269,88 ?               ЗА 1 ГОД по 44ФЗ заключено 5 шт. c объемом НМЦ 33 542 135,47 ? с БГИ 8 085 546,28 ? с БГГО 0,00 ? с авансированием до  0,00 ? с комиссией банку  62 193,48 ? с кв 541,08 ?</t>
  </si>
  <si>
    <t>"223 за 3 года", ".", "рейтинг поставщиков в маркере по бг", "выдали", "рейтинг заказчиков маркер", "производители", "рейтинг по нмц маркер", "это заказчик", "поставщики маркер", "44 за 3 года"</t>
  </si>
  <si>
    <t>19.20.21.321 Топливо дизельное зимнее вне классов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19.20.21.120 Бензин автомобильный с октановым числом более 92, но не более 95 по исследовательскому методу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19.20.21.345 Топливо дизельное межсезонное экологического класса К5 ****</t>
  </si>
  <si>
    <t>ЗА 3 ГОДА ПО 223 ФЗ заключено 9 шт. с объемом НМЦ 103 608 312,62 ? за 1 ГОД ПО 223ФЗ заключено 3  51 144 965,62 ?</t>
  </si>
  <si>
    <t>"223 за 3 года", ".", "Конкурсы 100+ (Восстановленный)", "Участники клиринга", "223 фз контракты 20+", "производители", "поставщики маркер", "44 за 3 года"</t>
  </si>
  <si>
    <t>За весь период компания заключила  4 контрактов на сумму  44 492 579 274,58 ?</t>
  </si>
  <si>
    <t>08.99.29.260 Янтарь
36.00 Вода природная; услуги по очистке воды и водоснабжению
86.90 Услуги в области медицины прочие</t>
  </si>
  <si>
    <t>Заказчик разыгравший 64 конкурсов на сумму  8 309 049 923,42 ?</t>
  </si>
  <si>
    <t>"поставщики маркер", ".", "все клиенты с выручкой от 1,8 млрд до бесконечности", "рейтинг заказчиков маркер", "рейтинг по нмц маркер"</t>
  </si>
  <si>
    <t>43.22.12.120 Работы по установке и техническому обслуживанию систем управления центральным отоплением
35.11.10.112 Электроэнергия, произведенная теплоэлектроцентралями (ТЭЦ) общего назначения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35.13.10.000 Услуги по распределению электроэнергии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t>
  </si>
  <si>
    <t>ЗА 3 ГОДА ПО 223 ФЗ заключено 14 шт. с объемом НМЦ 20 680 711,36 ?</t>
  </si>
  <si>
    <t>10.61.32.111 Крупа овсяная
10.61.32.113 Крупа гречневая
10.61.21.113 Мука пшеничная хлебопекарная высшего сорта
01.11.75 Горох сушеный
10.61.31.111 Крупа манная
10.61 Продукция мукомольно-крупяного производства
46.38.29.120 Услуги по оптовой торговле мукой и макаронными изделиями
01.11.49.110 Гречиха
10.61.31.110 Крупа из пшеницы
10.61.22.112 Мука ржаная обдирная ****</t>
  </si>
  <si>
    <t>ЗА 3 ГОДА ПО 223 ФЗ заключено 5 шт. с объемом НМЦ 29 356 264,10 ? за 1 ГОД ПО 223ФЗ заключено 2  13 770 580,00 ?</t>
  </si>
  <si>
    <t>Сообщение кредитора о намерении обратиться в суд с заявлением о банкротстве от 17.11.2021</t>
  </si>
  <si>
    <t>24 Металлы основные
28.12 Оборудование гидравлическое и пневматическое силовое
28.12.11.110 Гидроцилиндры
45.20.2 Услуги по техническому обслуживанию и ремонту прочих автотранспортных средств
33.12.29.900 Услуги по ремонту и техническому обслуживанию прочего оборудования специального назначения, не включенные в другие группировки
24.10.13 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 в кусках, окатышах или аналогичных формах
28.49.24.110 Комплектующие (запасные части) станков для обработки дерева, пробки, не имеющие самостоятельных группировок
33.12.19.000 Услуги по ремонту и техническому обслуживанию прочего оборудования общего назначения, не включенного в другие группировки
45.31 Услуги по оптовой торговле автомобильными деталями, узлами и принадлежностями</t>
  </si>
  <si>
    <t>21.20.23.199 Средства нелечебные прочие
21.20.10.133 Препараты антианемические
21.20.10.191 Препараты антибактериальные для системного использования
21.20.10.213 Иммуномодуляторы
52.10.19.900 Услуги по складированию и хранению прочие, не включенные в другие группировки
21.20.24.160 Материалы перевязочные и аналогичные изделия, в том числе пропитанные или покрытые лекарственными средствами
21.20.10 Препараты лекарственные
21.20.10.111 Препараты стоматологические
21.20.10.116 Препараты противодиарейные, кишечные противовоспалительные и противомикробные
21.20.10.132 Гемостатики ****</t>
  </si>
  <si>
    <t>За весь период компания заключила  24 контрактов на сумму  1 526 142 499,10 ? За весь период заходили в конкурсы  4 раз на общую сумму обеспеченных контрактов с НМЦ 379 588 765,27 ? с БГУ  5 000 000,00 ? с БГИ 50 000 000,00 ?</t>
  </si>
  <si>
    <t>1 554</t>
  </si>
  <si>
    <t>За весь период контрактов 10 шт. на общую сумму НМЦ 624 892 571,80 ?</t>
  </si>
  <si>
    <t>1 146</t>
  </si>
  <si>
    <t>Заказчик разыгравший 14 конкурсов на сумму  3 435 494 787,71 ?</t>
  </si>
  <si>
    <t>Сообщения о принятии решения о реорганизации от 12.07.2021</t>
  </si>
  <si>
    <t>"223 за 3 года", ".", "все клиенты с выручкой от 1,8 млрд до бесконечности", "рейтинг заказчиков маркер", "это заказчик", "44 за 3 года"</t>
  </si>
  <si>
    <t>"Обороты по клиентам по кварталам (2022г)", ".", "инн Ленинградка", "fk1", "Пункт 3.1 09.01.2023", "корп 1", "клиенты с в от100млн 09.21", "все клиенты с выручкой от 1,8 млрд до бесконечности", "ФК клиенты с выручкой от 230 до бесконечности"</t>
  </si>
  <si>
    <t>29.32.30.390 Части и принадлежности для автотранспортных средств прочие, не включенные в другие группировки
29.10.13.000 Двигатели внутреннего сгорания поршневые с воспламенением от сжатия для транспортных средств
45.19 Услуги по торговле прочими автотранспортными средствами
45.1 Услуги по торговле автотранспортными средствами
45.19.11.000 Услуги по оптовой торговле грузовыми автомобилями, седельными тягачами, прицепами, полуприцепами и автобусами</t>
  </si>
  <si>
    <t>За год заключили по 223фз 1 контракта(ов) на сумму  6 208 666,66 ?</t>
  </si>
  <si>
    <t>29.10.59.130 Средства транспортные для коммунального хозяйства и содержания дорог
29.10.59.390 Средства автотранспортные специального назначения прочие, не включенные в другие группировки
29.10.41.123 Автосамосвалы с дизельным двигателем, имеющие технически допустимую максимальную массу свыше 12 т
29.10.43.000 Автомобили-тягачи седельные для полуприцепов</t>
  </si>
  <si>
    <t>За весь период заходили в конкурсы  1 раз на общую сумму обеспеченных контрактов с НМЦ 43 095 973,17 ? с БГУ  563 783,73 ? с БГИ 5 637 837,34 ?</t>
  </si>
  <si>
    <t>"поставщики маркер", ".", "рейтинг поставщиков в маркере по бг", "fk1", "ПОС на 01.02.2023", "ПОС на 03.04.2023", "Кредитный портфель_01.11", "БГ ФБ ЮР лица на 01.07.2021", "филиал бизнес 31.01.22 ", "06.2022_ФинХД",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t>
  </si>
  <si>
    <t>17.21.13 Ящики и коробки из гофрированной бумаги или гофрированного картона
17.21 Бумага и картон гофрированные и тара бумажная и картонная</t>
  </si>
  <si>
    <t>90.04.10.110 Услуги концертных залов, театров, оперных зданий, мюзик-холлов, включая услуги билетных касс</t>
  </si>
  <si>
    <t>24.1 Железо, чугун, сталь и ферросплавы
25.73.40.160 Фрезы
25.73.40.163 Фрезы для станков с ЧПУ и для автоматических линий
28.41.2 Станки токарные, расточные и фрезерные металлорежущие
28.49.12.110 Станки деревообрабатывающие
28.41.23.130 Станки шлифовальные металлообрабатывающие
28.41.24.120 Станки пильные металлообрабатывающие
25.73.40.170 Пилы дисковые
28.41.11.000 Станки для обработки металла путем удаления материала с помощью лазера, ультразвука и аналогичным способом
28.49.12.113 Станки деревообрабатывающие фрезерные, шипорезные, шлифовальные и полировальные</t>
  </si>
  <si>
    <t>Гарантия завершена;Гарантия отправлена;Черновик</t>
  </si>
  <si>
    <t>"223 за 3 года", "кл фт прямые бг 04.22", "свод фт", ".", "УПП на 2 номер", "fk1", "клиенты управления по БГ без открытых счетов", "2. Финтендер 2022 31.03.22 Григорян для СПАРК", "клиенты с в от100млн 09.21", "Действующий клиент мсб с выр от 30 млн на 05.21", "все клиенты с выручкой от 1,8 млрд до бесконечности", "портфель", "ФК клиенты с выручкой от 230 до бесконечности", "клиенты от 100 млн", "Обороты по клиентам по кварталам (2022г)", "ФТ клиенты с продуктами по сотрудникам", "на фт заводил Шутов", "на фт заводил Хацкевич"</t>
  </si>
  <si>
    <t>19.20.29.119 Масла моторные прочие, не включенные в другие группировки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29.32.30.390 Части и принадлежности для автотранспортных средств прочие, не включенные в другие группировки
33.12 Услуги по ремонту оборудования
33.12.11 Услуги по ремонту и техническому обслуживанию двигателей и турбин, кроме авиационных, автомобильных и мотоциклетных двигателей
33.15.10 Услуги по ремонту и техническому обслуживанию судов и лодок</t>
  </si>
  <si>
    <t>За весь период компания заключила  4 контрактов на сумму  768 980 433,30 ?</t>
  </si>
  <si>
    <t>"производители", ".", "06.2022_ФинХД", "все клиенты с выручкой от 1,8 млрд до бесконечности", "рейтинг заказчиков маркер"</t>
  </si>
  <si>
    <t>29.10.1 Двигатели внутреннего сгорания для автотранспортных средств
29.32.30.390 Части и принадлежности для автотранспортных средств прочие, не включенные в другие группировки
33.17.1 Услуги по ремонту и техническому обслуживанию прочих транспортных средств и оборудования
33.19.10 Услуги по ремонту прочего оборудования</t>
  </si>
  <si>
    <t>28.92.1 Оборудование для добычи полезных ископаемых подземным способом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45.31.12.000 Услуги по оптовой торговле прочими автомобильными деталями, узлами и принадлежностями
45.20.11.519 Прочие услуги по техническому обслуживанию и ремонту прочих автотранспортных средств, не включенные в другие группировки
28.30.3 Машины и оборудование сельскохозяйственные для обработки почвы
33.2 Услуги по монтажу промышленных машин и оборудования
45.20.2 Услуги по техническому обслуживанию и ремонту прочих автотранспортных средств
33.12.29.900 Услуги по ремонту и техническому обслуживанию прочего оборудования специального назначения, не включенные в другие группировки
45.20.21.111 Услуги по регламентным работам (по видам технического обслуживания)
28.92.6 Части оборудования для добычи полезных ископаемых подземным и открытым способами и строительства ****</t>
  </si>
  <si>
    <t>ЗА 3 ГОДА ПО 223 ФЗ заключено 22 шт. с объемом НМЦ 63 567 158,76 ? за 1 ГОД ПО 223ФЗ заключено 5  17 583 003,54 ?</t>
  </si>
  <si>
    <t>"223 за 3 года", ".", "производители", "рейтинг по нмц маркер", "это заказчик", "поставщики маркер", "44 за 3 года"</t>
  </si>
  <si>
    <t>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29.10.59.220 Средства транспортные для перевозки грузов с использованием прицепа-роспуска
29.10.59.130 Средства транспортные для коммунального хозяйства и содержания дорог
28.22.20.000 Ковши, черпаки, грейферы и захваты для подъемных кранов, экскаваторов и аналогичного оборудования
28.99.39.190 Оборудование специального назначения прочее, не включенное в другие группировки
28.22.18.314 Манипуляторы погрузочные и разгрузочные
29.10.41.122 Автосамосвалы с дизельным двигателем, имеющие технически допустимую максимальную массу свыше 3,5 т, но не более 12 т
29.10.41.123 Автосамосвалы с дизельным двигателем, имеющие технически допустимую максимальную массу свыше 12 т
45.19.11.000 Услуги по оптовой торговле грузовыми автомобилями, седельными тягачами, прицепами, полуприцепами и автобусами ****</t>
  </si>
  <si>
    <t>"44 за 3 года", ".", "БГ ФБ ЮР лица на 01.07.2021", "клиенты с в от100млн 09.21", "все клиенты с выручкой от 1,8 млрд до бесконечности", "ФК клиенты с выручкой от 230 до бесконечности", "crm управления", "crm Пител", "поставщики маркер"</t>
  </si>
  <si>
    <t>52.29.19.110 Услуги по экспедированию грузов
52.2 Услуги транспортные вспомогательные
52.29.19 Услуги грузовых транспортно-экспедиционных агентств прочие
52.29.19.120 Услуги по комплектованию и рассортировке грузов
52.29.2 Услуги транспортные вспомогательные прочие, не включенные в другие группировки
53.20.19.120 Услуги курьерские прочие, не включенные в другие группировки
49.41.14.000 Услуги по перевозке автомобильным транспортом грузов в контейнерах
53.10.1 Услуги почтовой связи общего пользования
53.10.13 Услуги почтовой связи общего пользования, связанные с посылочной почтой
53.20.11.190 Услуги по курьерской доставке различными видами транспорта прочие ****</t>
  </si>
  <si>
    <t>Сообщение кредитора о намерении обратиться в суд с заявлением о банкротстве от 03.02.2022</t>
  </si>
  <si>
    <t>"223 за 3 года", ".", "fk1", "все клиенты с выручкой от 1,8 млрд до бесконечности", "рейтинг по нмц маркер", "это заказчик", "поставщики маркер"</t>
  </si>
  <si>
    <t>43.91.19.110 Работы строительные по устройству любых видов кровельных покрытий зданий и сооружений</t>
  </si>
  <si>
    <t>ЗА 1 ГОД по 44ФЗ заключено 2 шт. c объемом НМЦ 16 988 700,00 ? с БГИ 5 096 610,00 ? с БГГО 169 887,00 ? с авансированием до  0,00 ? с комиссией банку  112 888,92 ? с кв 982,13 ?</t>
  </si>
  <si>
    <t>77.33.11.110 Услуги по аренде копировально-множительных машин
33.12.2 Услуги по ремонту и техническому обслуживанию оборудования специального назначения
33.13.13 Услуги по ремонту и техническому обслуживанию профессиональных оптических приборов и фотооборудования</t>
  </si>
  <si>
    <t>ЗА 3 ГОДА ПО 223 ФЗ заключено 3 шт. с объемом НМЦ 21 500 000,00 ? за 1 ГОД ПО 223ФЗ заключено 3  25 000 000,00 ?</t>
  </si>
  <si>
    <t>За весь период контрактов 3 шт. на общую сумму НМЦ 14 314 530 500,00 ?</t>
  </si>
  <si>
    <t>"поставщики маркер", ".", "беники", "все клиенты с выручкой от 1,8 млрд до бесконечности", "рейтинг по нмц маркер", "это заказчик"</t>
  </si>
  <si>
    <t>71.12.20.190 Услуги по руководству строительными проектами прочие
42.99.12.124 Территории парковые и парки для отдыха
41.20.40.900 Работы строительные по возведению нежилых зданий и сооружений прочие, не включенные в другие группировки
71.12.19.100 Услуги по инженерно-техническому проектированию прочих объектов, кроме объектов культурного наследия
42.99.19 Сооружения гражданские прочие, не включенные в другие группировки</t>
  </si>
  <si>
    <t>За весь период компания заключила  18 контрактов на сумму  18 573 022 356,73 ? За весь период заходили в конкурсы  11 раз на общую сумму обеспеченных контрактов с НМЦ 9 538 156 153,06 ? с БГУ  340 313 804,96 ? с БГИ 2 613 531 371,02 ? За 3 ГОДА по 44ФЗ заключено 3 шт. с объемом НМЦ  1 743 386 724,23 ? с БГИ 523 016 017,28 ? с БГГО 87 169 336,00 ? с авансированием до 485 743 502,11 ? с комиссией банку 10 969 844,88 ? с кв 95 437,65 ?               ЗА 3 ГОДА ПО 223 ФЗ заключено 2 шт. с объемом НМЦ 10 830 312 169,00 ? за 1 ГОД ПО 223ФЗ заключено 2  16 452 883 244,00 ?</t>
  </si>
  <si>
    <t>"223 за 3 года", "кл фт агент бг 04.22", "свод фт", ".", "рейтинг поставщиков в маркере по бг", "нокс счета", "Одобренные но не выданные 1 полугодие 2021(прямые)", "ГРАНДИОЗНЫЙ ПРОЕКТ", "fk1", "Евразия_июлль-август 2019",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"рейтинг по нмц маркер", "на фт заводил Юмагужин", "на фт заводил Пейсахова", "crm управления", "в crm за Акимкиным", "поставщики маркер", "44 за 3 года"</t>
  </si>
  <si>
    <t>20.59.52.199 Реагенты сложные диагностические или лабораторные прочие, не включенные в другие группировки
32.50.13.190 Инструменты и приспособления, применяемые в медицинских целях, прочие, не включенные в другие группировки
32.50.21.112 Оборудование терапевтические
32.50.21.122 Аппараты дыхательные реанимационные
21.20.24.170 Аптечки и сумки санитарные для оказания первой помощи
28.29.11.130 Установки для дистилляции или очистки
14.19.32.120 Одежда из нетканых материалов
26.70.17.140 Негатоскопы
26.51.53.150 Приборы и аппаратура для спектрального анализа, основанные на действии оптического излучения (ультрафиолетового, видимой части спектра, инфракрасного)
26.60.13.110 Ингаляторы ****</t>
  </si>
  <si>
    <t>За весь период компания заключила  9 контрактов на сумму  15 959 883 096,87 ? За весь период заходили в конкурсы  1 раз на общую сумму обеспеченных контрактов с НМЦ 777 382 941,18 ? с БГУ  39 646 530,00 ? с БГИ 79 293 060,00 ?</t>
  </si>
  <si>
    <t>"поставщики маркер", "кл фт агент бг 04.22", ".", "рейтинг поставщиков в маркере по бг", "fk1", "корп 1", "клиенты с в от100млн 09.21", "все клиенты с выручкой от 1,8 млрд до бесконечности", "портфель",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"рейтинг по нмц маркер"</t>
  </si>
  <si>
    <t>За 3 года по 223ФЗ заключено  2 шт контрактов на сумму 34 510 000,00 ?</t>
  </si>
  <si>
    <t>"223 за 3 года", ".", "223 фз контракты 20+"</t>
  </si>
  <si>
    <t>10.71.11.110 Хлеб недлительного хранения
10.7 Изделия хлебобулочные и мучные кондитерские
10.71.11.111 Хлеб недлительного хранения из пшеничной муки
10.71.11.119 Хлеб недлительного хранения прочий
10.72.11.100 Хлебобулочные изделия пониженной влажности
10.71.11 Изделия хлебобулочные недлительного хранения
10.71.11.112 Хлеб недлительного хранения из ржаной и смеси ржаной и пшеничной муки
10.71.11.100 Хлеб и хлебобулочные изделия недлительного хранения
10.72.11.120 Изделия хлебобулочные сухарные
46.36.12 Услуги по оптовой торговле хлебобулочными изделиями ****</t>
  </si>
  <si>
    <t>10.71.11.179 Изделия хлебобулочные специализированные, в том числе диетические, а также обогащенные микронутриентами прочие
10.71.11.190 Изделия хлебобулочные недлительного хранения прочие
10.89.19.130 Продукты пищевые из муки, крупы, крахмала (кроме детского питания)
10.71.11.110 Хлеб недлительного хранения
10.71.11.170 Изделия хлебобулочные специализированные, в том числе диетические, а также обогащенные микронутриентами
10.72.19.140 Полуфабрикаты хлебобулочные замороженные
10.71.11.111 Хлеб недлительного хранения из пшеничной муки
10.71.11.112 Хлеб недлительного хранения из ржаной и смеси ржаной и пшеничной муки
10.71.11.140 Изделия хлебобулочные слоеные
10.71.11.160 Хлебобулочные изделия с зерновыми продуктами ****</t>
  </si>
  <si>
    <t>1 773</t>
  </si>
  <si>
    <t>1 270</t>
  </si>
  <si>
    <t>За весь период заходили в конкурсы  2 раз на общую сумму обеспеченных контрактов с НМЦ 193 463 820,00 ? с БГУ  9 721 800,00 ? с БГИ 58 330 800,00 ?</t>
  </si>
  <si>
    <t>Юридическое лицо находится в процессе реорганизации в форме присоединения к нему других юридических лиц от 14.02.2023, Сообщения о принятии решения о реорганизации от 14.02.2023</t>
  </si>
  <si>
    <t>46.34 Услуги по оптовой торговле алкогольными и другими напитками
11.07.11.122 Воды питьевые газированные, расфасованные в емкости
11.07.11.111 Воды минеральные природные питьевые столовые
11.07.11.121 Воды питьевые негазированные, расфасованные в емкости
11.07 Напитки безалкогольные; минеральные воды и прочие питьевые воды в бутылках
11.07.19.134 Напитки на ароматизаторах
11.07.11.112 Воды минеральные природные питьевые лечебно-столовые
11.07.19.140 Сиропы
36.00.11.000 Вода питьевая</t>
  </si>
  <si>
    <t>10.42.10.150 Заменители молочного жира
10.41.2 Масла растительные и их фракции нерафинированные
46 Услуги по оптовой торговле, кроме оптовой торговли автотранспортными средствами и мотоциклами</t>
  </si>
  <si>
    <t>Сообщения о принятии решения о реорганизации от 24.01.2022</t>
  </si>
  <si>
    <t>46.71 Услуги по оптовой торговле твердым, жидким и газообразным топливом и связанными продуктами</t>
  </si>
  <si>
    <t>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t>
  </si>
  <si>
    <t>15.20.12.121 Сандалии, босоножки, туфли открытые женские и для девочек на подошве и с верхом из резины или пластмассы
15.20.21.140 Кроссовки и аналогичные изделия
15.20.13.130 Обувь летняя с верхом из кожи
15.20.13.110 Обувь повседневная с верхом из кожи
15.20.14.110 Обувь с верхом из текстильных материалов
15.20.21.130 Обувь для гимнастики</t>
  </si>
  <si>
    <t>Юридическое лицо находится в процессе реорганизации в форме присоединения к нему других юридических лиц от 14.02.2023, Сообщения о принятии решения о реорганизации от 09.02.2023</t>
  </si>
  <si>
    <t>77.1 Услуги по аренде и лизингу автотранспортных средств
77.11.10.000 Услуги по аренде и лизингу легковых автомобилей и легких автотранспортных средств
64.91 Услуги по финансовой аренде (лизингу/сублизингу)
77.12.19.000 Услуги по аренде и лизингу прочих сухопутных транспортных средств и оборудования без водителя
64.91.10.190 Услуги по финансовой аренде (лизингу/сублизингу) в прочих областях, кроме племенных животных
77.12.11 Услуги по аренде и лизингу грузовых транспортных средств без водителя
29.10.22.000 Средства транспортные с двигателем с искровым зажиганием, с рабочим объемом цилиндров более 1500 см3, новые</t>
  </si>
  <si>
    <t>За 3 года по 223ФЗ заключено  15 шт контрактов на сумму 48 825 975,58 ?</t>
  </si>
  <si>
    <t>68.10.14.000 Услуги по покупке и продаже нежилых зданий и занимаемых ими земельных участков
41.20.40.900 Работы строительные по возведению нежилых зданий и сооружений прочие, не включенные в другие группировки</t>
  </si>
  <si>
    <t>За весь период компания заключила  2 контрактов на сумму  926 892 406,32 ? За весь период заходили в конкурсы  2 раз на общую сумму обеспеченных контрактов с НМЦ 926 892 406,32 ? с БГУ  46 344 621,00 ? с БГИ 185 378 484,00 ?</t>
  </si>
  <si>
    <t>Сообщение кредитора о намерении обратиться в суд с заявлением о банкротстве от 26.08.2020</t>
  </si>
  <si>
    <t>"поставщики маркер", ".", "рейтинг поставщиков в маркере по бг", "все клиенты с выручкой от 1,8 млрд до бесконечности", "рейтинг по нмц маркер", "crm управления", "в crm за Курилиным"</t>
  </si>
  <si>
    <t>21.20.23.110 Реагенты диагностические
20.59.52.199 Реагенты сложные диагностические или лабораторные прочие, не включенные в другие группировки
26.70.25.000 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
26.70.13.000 Видеокамеры цифровые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33.13.13.000 Услуги по ремонту и техническому обслуживанию профессиональных оптических приборов и фотооборудования
32.50.13.190 Инструменты и приспособления, применяемые в медицинских целях, прочие, не включенные в другие группировки
32.50.21.112 Оборудование терапевтические
32.50.22.190 Протезы органов человека, не включенные в другие группировки
20.59.52.194 Реактивы химические общелабораторного назначения ****</t>
  </si>
  <si>
    <t>За весь период компания заключила  20 контрактов на сумму  13 284 904 558,01 ? За весь период заходили в конкурсы  42 раз на общую сумму обеспеченных контрактов с НМЦ 11 098 249 544,38 ? с БГУ  132 095 811,80 ? с БГИ 811 157 245,82 ? За 3 ГОДА по 44ФЗ заключено 167 шт. с объемом НМЦ  911 724 091,23 ? с БГИ 157 095 941,25 ? с БГГО 10 897 395,85 ? с авансированием до 129 748 557,03 ? с комиссией банку 401 294,90 ? с кв 3 491,27 ? ЗА 1 ГОД по 44ФЗ заключено 19 шт. c объемом НМЦ 215 841 046,90 ? с БГИ 32 885 360,24 ? с БГГО 662 658,00 ? с авансированием до  61 400 865,44 ? с комиссией банку  135 738,03 ? с кв 1 180,92 ? ЗА 3 ГОДА ПО 223 ФЗ заключено 66 шт. с объемом НМЦ 395 846 637,63 ? за 1 ГОД ПО 223ФЗ заключено 7  5 136 597,00 ?</t>
  </si>
  <si>
    <t>"223 за 3 года", ".", "рейтинг поставщиков в маркере по бг", "ГРАНДИОЗНЫЙ ПРОЕКТ", "Конкурсы 100+ (Восстановленный)", "все клиенты с выручкой от 1,8 млрд до бесконечности", "44 фз с с БГ от 10 млн", "производители", "рейтинг по нмц маркер", "crm управления", "crm Пител", "поставщики маркер", "44 за 3 года"</t>
  </si>
  <si>
    <t>29.10.23.000 Средства транспортные с поршневым двигателем внутреннего сгорания с воспламенением от сжатия (дизелем или полудизелем), новые</t>
  </si>
  <si>
    <t>за 1 ГОД ПО 223ФЗ заключено 2  7 460 000,00 ?</t>
  </si>
  <si>
    <t>20.16 Пластмассы в первичных формах
20.16.10.111 Полиэтилен высокого давления
19.20.29 Масла нефтяные смазочные; дистилляты тяжелые, не включенные в другие группировки</t>
  </si>
  <si>
    <t>"поставщики маркер", ".", "fk1", "Кредитный портфель_01.11", "корп 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t>
  </si>
  <si>
    <t>17.21.13.000 Ящики и коробки из гофрированной бумаги или гофрированного картона
35.30.11.120 Энергия тепловая, отпущенная котельными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t>
  </si>
  <si>
    <t>28.92.40.120 Машины для дробления грунта, камня, руды и прочих минеральных веществ
28.92.40.121 Дробилки щековые
46.69.12.000 Услуги по оптовой торговле эксплуатационными материалами и принадлежностями машин и оборудования
28.92.62.000 Части машин для сортировки, дробления или прочих способов обработки грунта, камня и аналогичных материалов</t>
  </si>
  <si>
    <t>"44 за 3 года", ".", "fk1", "ПОС на 03.04.2023", "Кредитный портфель_01.11", "корп 1", "06.2022_ФинХД", "закрыли счет",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 "это заказчик", "поставщики маркер"</t>
  </si>
  <si>
    <t>28.22.19 Части грузоподъемного и погрузочно-разгрузочного оборудования
28.22.20 Ковши, черпаки, грейферы и захваты для подъемных кранов, экскаваторов и аналогичного оборудования
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28.92.21 Бульдозеры и бульдозеры с поворотным отвалом
28.92.24 Машины трамбовочные и дорожные катки самоходные
29.10.52.190 Средства транспортные самоходные аналогичные
29.10.59.220 Средства транспортные для перевозки грузов с использованием прицепа-роспуска
29.31.22.190 Оборудование электрическое прочее для транспортных средств, не включенное в другие группировки
45.31.12.000 Услуги по оптовой торговле прочими автомобильными деталями, узлами и принадлежностями ****</t>
  </si>
  <si>
    <t>За весь период компания заключила  17 контрактов на сумму  1 376 344 088,65 ? За весь период заходили в конкурсы  11 раз на общую сумму обеспеченных контрактов с НМЦ 1 130 277 852,60 ? с БГУ  27 351 187,65 ? с БГИ 197 177 311,28 ? За 3 ГОДА по 44ФЗ заключено 112 шт. с объемом НМЦ  1 826 122 930,39 ? с БГИ 271 177 526,71 ? с БГГО 22 911 410,81 ? с авансированием до 190 530 629,85 ? с комиссией банку 1 836 492,87 ? с кв 15 977,49 ? ЗА 1 ГОД по 44ФЗ заключено 27 шт. c объемом НМЦ 418 810 213,09 ? с БГИ 33 651 988,13 ? с БГГО 3 265 360,00 ? с авансированием до  7 259 999,85 ? с комиссией банку  213 143,61 ? с кв 1 854,35 ? ЗА 3 ГОДА ПО 223 ФЗ заключено 52 шт. с объемом НМЦ 504 863 697,04 ? за 1 ГОД ПО 223ФЗ заключено 13  180 216 022,54 ?</t>
  </si>
  <si>
    <t>"223 за 3 года", "кл фт агент бг 04.22", "свод фт", ".", "рейтинг поставщиков в маркере по бг", "База Восточный (Мелкумов)", "ГРАНДИОЗНЫЙ ПРОЕКТ", "кредиты фт", "Пункт 3 09.01.23", "лимит сит по кредитам", "Одобренные но не выданные 1 полугодие 2021", "ФТ клиенты с продуктами по сотрудникам", "223 фз контракты 20+", "рейтинг по нмц маркер", "на фт заводил Бесков", "crm управления", "в crm за Эльшаном", "поставщики маркер", "44 за 3 года"</t>
  </si>
  <si>
    <t>27.90.40.190 Оборудование электрическое прочее, не включенное в другие группировки
28.30.40.000 Косилки для газонов, парков или спортивных площадок
27.51.25.110 Водонагреватели проточные и накопительные электрические</t>
  </si>
  <si>
    <t>42.21.22.120 Работы строительные по прокладке местных трубопроводов горячей воды
42.22.22.110 Работы строительные по прокладке местных линий электропередачи и связи над землей или под землей
42.22.22.120 Работы строительные по строительству трансформаторных станций и подстанций для распределения электричества в пределах какого-либо района
43.99.90.190 Работы строительные специализированные прочие, не включенные в другие группировки
41.20.40.200 Работы по сохранению и воссозданию нежилых зданий, являющихся объектами культурного наследия
71.12.20.190 Услуги по руководству строительными проектами прочие
42.99.12.124 Территории парковые и парки для отдыха
41.20.40.900 Работы строительные по возведению нежилых зданий и сооружений прочие, не включенные в другие группировки
71.11.22.000 Услуги в области архитектуры, связанные с проектами строительства нежилых зданий и сооружений
27.33.13.120 Соединители электрические, зажимы контактные, наборы зажимов ****</t>
  </si>
  <si>
    <t>За весь период компания заключила  63 контрактов на сумму  50 994 625 941,08 ? За весь период заходили в конкурсы  68 раз на общую сумму обеспеченных контрактов с НМЦ 26 541 924 617,47 ? с БГУ  963 064 009,53 ? с БГИ 5 776 725 805,41 ? За 3 ГОДА по 44ФЗ заключено 10 шт. с объемом НМЦ  3 651 850 496,29 ? с БГИ 942 616 997,14 ? с БГГО 63 121 311,21 ? с авансированием до 794 572 490,57 ? с комиссией банку 10 932 235,04 ? с кв 95 110,44 ? ЗА 1 ГОД по 44ФЗ заключено 4 шт. c объемом НМЦ 1 586 814 716,07 ? с БГИ 377 577 076,77 ? с БГГО 44 756 124,61 ? с авансированием до  305 357 132,57 ? с комиссией банку  10 418 310,36 ? с кв 90 639,30 ? ЗА 3 ГОДА ПО 223 ФЗ заключено 35 шт. с объемом НМЦ 3 449 280 022,75 ? за 1 ГОД ПО 223ФЗ заключено 8  891 021 827,73 ?</t>
  </si>
  <si>
    <t>Сообщение кредитора о намерении обратиться в суд с заявлением о банкротстве от 22.03.2023</t>
  </si>
  <si>
    <t>"223 за 3 года", "кл фт агент бг 04.22", ".", "рейтинг поставщиков в маркере по бг", "ГРАНДИОЗНЫЙ ПРОЕКТ", "Конкурсы 100+ (Восстановленный)", "fk1", "2. Финтендер 2022 31.03.22 Григорян для СПАРК", "корп 1", "ПСБ Гарантии ", "Агентские одобренные но не выданные от 30.08", "Гарантии ФБ банкроты",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"Одобренные но не выданные 1 полугодие 2021", "ФТ клиенты с продуктами по сотрудникам", "223 фз контракты 20+", "44 фз с с БГ от 10 млн", "производители", "рейтинг по нмц маркер", "поставщики маркер", "44 за 3 года"</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</si>
  <si>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43.21.1 Работы электромонтажные
43.21.10.290 Работы электромонтажные прочие, не включенные в другие группировки
35.12.10.110 Услуги по передаче электроэнергии</t>
  </si>
  <si>
    <t>За весь период компания заключила  16 контрактов на сумму  18 717 181 789,43 ?                                     ЗА 3 ГОДА ПО 223 ФЗ заключено 15 шт. с объемом НМЦ 708 052 614,86 ? за 1 ГОД ПО 223ФЗ заключено 3  11 753 280,00 ?</t>
  </si>
  <si>
    <t>49.41.15 Услуги по перевозке автомобильным транспортом сухих сыпучих грузов
52.29.1 Услуги грузовых транспортно-экспедиционных агентств</t>
  </si>
  <si>
    <t>За весь период контрактов 2 шт. на общую сумму НМЦ 975 093 200,00 ?</t>
  </si>
  <si>
    <t>46.73.16.000 Услуги по оптовой торговле прочими строительными материалами и изделиями
23.31.10 Плиты и плитки керамические</t>
  </si>
  <si>
    <t>Сообщение кредитора о намерении обратиться в суд с заявлением о банкротстве от 02.02.2023</t>
  </si>
  <si>
    <t>Сообщение кредитора о намерении обратиться в суд с заявлением о банкротстве от 17.09.2021</t>
  </si>
  <si>
    <t>09.10.1 Услуги по обеспечению добычи нефти и природного газа
09.1 Услуги по добыче нефти и природного газа</t>
  </si>
  <si>
    <t>За весь период компания заключила  37 контрактов на сумму  73 553 881 461,47 ?</t>
  </si>
  <si>
    <t>Сообщение кредитора о намерении обратиться в суд с заявлением о банкротстве от 12.04.2018</t>
  </si>
  <si>
    <t>"поставщики маркер",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"это заказчик"</t>
  </si>
  <si>
    <t>49.41.19.900 Услуги по перевозке грузов автомобильным транспортом прочие, не включенные в другие группировки</t>
  </si>
  <si>
    <t>1 027</t>
  </si>
  <si>
    <t>За весь период компания заключила  16 контрактов на сумму  51 326 881 160,57 ?</t>
  </si>
  <si>
    <t>"поставщики маркер", ".", "fk1", "клиенты с в от100млн 09.21", "рейтинг по нмц маркер"</t>
  </si>
  <si>
    <t>За весь период компания заключила  2 контрактов на сумму  1 102 566 509,99 ?</t>
  </si>
  <si>
    <t>"рейтинг по нмц маркер", ".", "fk1", "клиенты с в от100млн 09.21", "Обороты по клиентам по кварталам (2022г)"</t>
  </si>
  <si>
    <t>20.13.24.149 Кислоты неорганические прочие, не включенные в другие группировки
20.14.71.159 Скипидар прочий
10.86.10.139 Смеси молочные сухие прочие для детей раннего возраста
22.22.14.000 Бутыли, бутылки, флаконы и аналогичные изделия из пластмасс
22.29 Изделия пластмассовые прочие
20.42.1 Средства парфюмерные и косметические
20.42.15.140 Средства для ухода за кожей тела: лосьоны, кремы (в том числе детские)
20.42.15.142 Кремы для ног
20.42.16.110 Шампуни
20.42.18.112 Порошки зубные ****</t>
  </si>
  <si>
    <t>За весь период компания заключила  72 контрактов на сумму  48 574 723 625,14 ? За весь период заходили в конкурсы  28 раз на общую сумму обеспеченных контрактов с НМЦ 7 306 881 226,68 ? с БГУ  735 190 782,99 ? с БГИ 1 599 386 883,50 ?                             ЗА 3 ГОДА ПО 223 ФЗ заключено 49 шт. с объемом НМЦ 5 395 307 766,02 ? за 1 ГОД ПО 223ФЗ заключено 6  8 707 072,19 ?</t>
  </si>
  <si>
    <t>"223 за 3 года", ".", "рейтинг поставщиков в маркере по бг", "ГРАНДИОЗНЫЙ ПРОЕКТ 223", "райф", "все клиенты с выручкой от 1,8 млрд до бесконечности", "рейтинг по нмц маркер", "это заказчик", "поставщики маркер", "44 за 3 года"</t>
  </si>
  <si>
    <t>Сообщения о принятии решения о реорганизации от 20.01.2022</t>
  </si>
  <si>
    <t>20.13.24.149 Кислоты неорганические прочие, не включенные в другие группировки
20.51 Вещества взрывчатые
20.59 Продукты химические прочие, не включенные в другие группировки
20.20.14.000 Средства дезинфекционные
20.1 Вещества химические основные, удобрения химические и азотные, пластмассы и синтетический каучук в первичных формах
20.13 Вещества химические неорганические основные прочие
37.00.11.110 Услуги по водоотведению сточных вод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35.30.12.110 Услуги по приготовлению воды на нужды горячего водоснабжения
20.13.25.110 Оксиды, гидроксиды и пероксиды ****</t>
  </si>
  <si>
    <t>За весь период компания заключила  3 контрактов на сумму  963 224 012,59 ?         За 3 ГОДА по 44ФЗ заключено 6 шт. с объемом НМЦ  15 733 681,37 ? с БГИ 9 003 234,07 ? с БГГО 0,00 ? с авансированием до 2 337 350,60 ? с комиссией банку 170 160,22 ? с кв 1 480,39 ? ЗА 1 ГОД по 44ФЗ заключено 2 шт. c объемом НМЦ 6 734 889,87 ? с БГИ 4 443 594,49 ? с БГГО 0,00 ? с авансированием до  0,00 ? с комиссией банку  89 358,86 ? с кв 777,42 ? ЗА 3 ГОДА ПО 223 ФЗ заключено 23 шт. с объемом НМЦ 228 812 972,84 ? за 1 ГОД ПО 223ФЗ заключено 9  79 821 276,40 ?</t>
  </si>
  <si>
    <t>Сообщения о принятии решения о реорганизации от 02.09.2022</t>
  </si>
  <si>
    <t>"223 за 3 года", ".", "223 фз контракты 20+", "производители", "рейтинг по нмц маркер", "поставщики маркер", "44 за 3 года"</t>
  </si>
  <si>
    <t>Отклонена ФО
Отклонена банком</t>
  </si>
  <si>
    <t>"на фт заводил Тихонов ", "свод фт", ".", "лимит сит по кредитам", "на фт заводил Шутов"</t>
  </si>
  <si>
    <t>Сообщения о принятии решения о реорганизации от 28.01.2020</t>
  </si>
  <si>
    <t>38.11.19.000 Услуги по сбору прочих неопасных отходов, пригодных для повторного использования
38.21.2 Услуги по удалению неопасных отходов
38.22.29.000 Услуги по утилизации прочих опасных отходов
38.11.31.000 Отходы неопасные бытовые, непригодные для повторного использования
38.11.21.000 Услуги по сбору неопасных отходов городского хозяйства, непригодных для повторного использования
38.2 Услуги по обработке и утилизации отходов
38.11 Отходы неопасные; услуги по сбору неопасных отходов
38.11.29 Услуги по сбору прочих неопасных отходов, непригодных для повторного использования
38.21.29.000 Услуги по утилизации неопасных отходов прочие
38 Услуги по сбору, обработке и удалению отходов; услуги по утилизации отходов ****</t>
  </si>
  <si>
    <t>Заказчик разыгравший 26 конкурсов на сумму  29 483 774 629,50 ?</t>
  </si>
  <si>
    <t>26.30.50.123 Станции пожарной сигнализации, приборы управления и оповещатели пожарные
26.30.50.121 Извещатели пожарные</t>
  </si>
  <si>
    <t>Юридическое лицо находится в процессе реорганизации в форме присоединения к другому юридическому лицу от 13.09.2022, Сообщения о принятии решения о реорганизации от 12.09.2022</t>
  </si>
  <si>
    <t>86.21.10.190 Услуги, предоставляемые врачами общей врачебной практики, прочие, не включенные в другие группировки
86.90.14.000 Услуги скорой медицинской помощи
86.10.15.000 Услуги больниц прочие, оказываемые врачами
86.22.19.000 Услуги в области специализированной врачебной практики прочие
86.90.19.190 Услуги в области медицины прочие, не включенные в другие группировки
86.21.10.120 Услуги, предоставляемые врачами общей врачебной практики, по проведению диагностических процедур и постановке диагноза</t>
  </si>
  <si>
    <t>Юридическое лицо находится в процессе реорганизации в форме присоединения к нему других юридических лиц от 04.04.2023</t>
  </si>
  <si>
    <t>1 083</t>
  </si>
  <si>
    <t>10.71.11.190 Изделия хлебобулочные недлительного хранения прочие
10.71.11.110 Хлеб недлительного хранения
10.71.11.111 Хлеб недлительного хранения из пшеничной муки
10.71.11.119 Хлеб недлительного хранения прочий
10.71.11.112 Хлеб недлительного хранения из ржаной и смеси ржаной и пшеничной муки
10.71.11.121 Булочные изделия из пшеничной муки</t>
  </si>
  <si>
    <t>"223 за 3 года", ".", "райф", "все клиенты с выручкой от 1,8 млрд до бесконечности", "производители", "поставщики маркер", "44 за 3 года"</t>
  </si>
  <si>
    <t>43.22.12.120 Работы по установке и техническому обслуживанию систем управления центральным отоплением
43.22.12.160 Работы по установке приборов учета расхода тепловой энергии
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35.14.10 Услуги по торговле электроэнергией
35.22.10.110 Услуги по распределению и снабжению газовым топливом всех видов по системам распределительных трубопроводов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t>
  </si>
  <si>
    <t>За весь период контрактов 17 шт. на общую сумму НМЦ 4 530 084 742,25 ?</t>
  </si>
  <si>
    <t>"223 за 3 года", ".", "корп 2", "06.2022_ФинХД", "все клиенты с выручкой от 1,8 млрд до бесконечности", "ФК клиенты с выручкой от 230 до бесконечности", "рейтинг заказчиков маркер", "производители", "рейтинг по нмц маркер", "это заказчик", "поставщики маркер"</t>
  </si>
  <si>
    <t>19.20.21.341 Топливо дизельное межсезонное вне классов
19.20.21.124 Бензин автомобильный с октановым числом более 92, но не более 95 по исследовательскому методу экологического класса К4
19.20.21.321 Топливо дизельное зимнее вне классов
19.20.21.324 Топливо дизельное зимнее экологического класса К4
19.20.21 Топливо моторное, включая автомобильный и авиационный бензин
19.20.21.100 Бензин автомобильный
19.20.21.125 Бензин автомобильный с октановым числом более 92, но не более 95 по исследовательскому методу экологического класса К5
19.20.21.145 Бензин автомобильный с октановым числом более 98 по исследовательскому методу экологического класса К5
19.20.21.340 Топливо дизельное межсезонное
19.20.21.120 Бензин автомобильный с октановым числом более 92, но не более 95 по исследовательскому методу ****</t>
  </si>
  <si>
    <t>"44 за 3 года", ".", "fk1", "Участники клиринга", "рейтинг по нмц маркер", "поставщики маркер"</t>
  </si>
  <si>
    <t>25.30.11.110 Котлы паровые
25.30.12.111 Трубопроводы
25.30.12.113 Оборудование котельное
26.51.63.130 Счетчики производства или потребления электроэнергии
42.21.22.120 Работы строительные по прокладке местных трубопроводов горячей воды
71.12.40.120 Услуги в области метрологии
42.91.20.190 Работы строительные и ремонтные, связанные с прочими водными сооружениями и работы по ремонту всех вышеуказанных сооружений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33.13.13.000 Услуги по ремонту и техническому обслуживанию профессиональных оптических приборов и фотооборудования ****</t>
  </si>
  <si>
    <t>За весь период контрактов 117 шт. на общую сумму НМЦ 31 177 377 406,56 ?</t>
  </si>
  <si>
    <t>27.32.13.143 Кабели контрольные
24.10.80.190 Прокат черных металлов прочий, не включенный в другие группировки
24.43.23.140 Плиты и листы цинковые
24.20.13.130 Трубы стальные электросварные
25.94.11.120 Шурупы из черных металлов
27.3 Кабели и арматура кабельная
27.32.13.131 Провода силовые для электрических установок
27.32.14.112 Кабели силовые с алюминиевой жилой на напряжение более 1 кВ
25.72.14.120 Петли, арматура крепежная, фурнитура и аналогичные изделия для дверей и окон из недрагоценных металлов
24.10.2 Сталь ****</t>
  </si>
  <si>
    <t>За весь период заходили в конкурсы  1 раз на общую сумму обеспеченных контрактов с НМЦ 17 659 655,56 ? с БГУ  500 000,00 ? с БГИ 10 000 000,00 ?</t>
  </si>
  <si>
    <t>"223 за 3 года", ".", "рейтинг поставщиков в маркере по бг", "это заказчик", "поставщики маркер"</t>
  </si>
  <si>
    <t>28.22.19.190 Комплектующие (запасные части) прочего подъемно-транспортного и погрузочно-разгрузочного оборудования, не имеющие самостоятельных группировок
45.31.12.000 Услуги по оптовой торговле прочими автомобильными деталями, узлами и принадлежностями
28.22.15.120 Погрузчики прочие
29.10.1 Двигатели внутреннего сгорания для автотранспортных средств
28.92.40.129 Дробилки прочие, не включенные в другие группировки
29.10.59 Средства автотранспортные специального назначения, не включенные в другие группировки
45.20.2 Услуги по техническому обслуживанию и ремонту прочих автотранспортных средств
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45.20.21.111 Услуги по регламентным работам (по видам технического обслуживания)
28.22.14.159 Машины самоходные и тележки, оснащенные подъемным краном, прочие, не включенные в другие группировки ****</t>
  </si>
  <si>
    <t>За весь период компания заключила  11 контрактов на сумму  1 436 710 444,72 ? За весь период заходили в конкурсы  2 раз на общую сумму обеспеченных контрактов с НМЦ 168 017 685,00 ? с БГУ  5 756 339,41 ? с БГИ 105 441 764,30 ?                             ЗА 3 ГОДА ПО 223 ФЗ заключено 6 шт. с объемом НМЦ 163 977 153,84 ? за 1 ГОД ПО 223ФЗ заключено 3  125 946 387,61 ?</t>
  </si>
  <si>
    <t>"223 за 3 года", ".", "рейтинг поставщиков в маркере по бг", "портфель 31.10.2021_10 тыс_проверка", "ушедшие", "все клиенты с выручкой от 1,8 млрд до бесконечности", "223 фз контракты 20+", "рейтинг по нмц маркер", "поставщики маркер"</t>
  </si>
  <si>
    <t>Сообщения о принятии решения о реорганизации от 02.02.2022</t>
  </si>
  <si>
    <t>"производители", ".", "клиент металлинвеста", "06.2022_ФинХД"</t>
  </si>
  <si>
    <t>33.17.19.000 Услуги по ремонту и техническому обслуживанию прочих транспортных средств и оборудования, не включенных в другие группировки</t>
  </si>
  <si>
    <t>За весь период компания заключила  46 контрактов на сумму  64 896 985 313,36 ?</t>
  </si>
  <si>
    <t>"это заказчик", ".", "Пункт 3.1 09.01.2023", "все клиенты с выручкой от 1,8 млрд до бесконечности", "рейтинг по нмц маркер"</t>
  </si>
  <si>
    <t>Юридическим лицом принято решение об изменении места нахождения от 27.05.2021</t>
  </si>
  <si>
    <t>За весь период компания заключила  26 контрактов на сумму  26 702 515 891,68 ?                                     ЗА 3 ГОДА ПО 223 ФЗ заключено 2 шт. с объемом НМЦ 4 959 316 800,00 ? за 1 ГОД ПО 223ФЗ заключено 1  988 407 000,00 ?</t>
  </si>
  <si>
    <t>"223 за 3 года", "свод фт", ".", "все клиенты с выручкой от 1,8 млрд до бесконечности", "Участники клиринга", "223 фз контракты 20+", "рейтинг по нмц маркер", "на фт заводил Пейсахова", "поставщики маркер"</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</si>
  <si>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35.30.11.130 Энергия тепловая, отпущенная электрокотлами
35.30.12.110 Услуги по приготовлению воды на нужды горячего водоснабжения
36.00.20.120 Услуги по обработке воды для промышленных и прочих нужд
35.30 Услуги по снабжению паром и кондиционированию воздуха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t>
  </si>
  <si>
    <t>За весь период компания заключила  2 контрактов на сумму  548 608 752,23 ?</t>
  </si>
  <si>
    <t>19.20.21.315 Топливо дизельное летнее экологического класса К5
19.20.21.115 Бензин автомобильный с октановым числом не менее 80, но не более 92 по исследовательскому методу экологического класса К5
19.20.21.325 Топливо дизельное зимнее экологического класса К5
19.20.42.120 Битумы нефтяные
19.20.25 Топливо реактивное керосинового типа</t>
  </si>
  <si>
    <t>За 3 года по 223ФЗ заключено  4 шт контрактов на сумму 24 380 933,67 ?</t>
  </si>
  <si>
    <t>"223 за 3 года", ".", "fk1", "ИНН 3 года - нет КД БГ на 01.10.22", "ПОС на 01.02.2023", "корп 2",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"Участники клиринга", "рейтинг по нмц маркер", "поставщики маркер"</t>
  </si>
  <si>
    <t>10.85.1 Продукты пищевые готовые и блюда
10.39.23.000 Орехи, арахис (земляные орехи), обжаренные, соленые или приготовленные другим способом
10.72.12 Печенье и пряники имбирные и аналогичные изделия; печенье сладкое; вафли и вафельные облатки; торты и пирожные длительного хранения
10.82.22.112 Шоколад молочный в упакованном виде
10.82.22.121 Изделия шоколадные с начинкой
10.82.23.120 Карамель
10.82.23.149 Конфеты, глазированные помадой, сахарной и жировой глазурью и неглазированные прочие, не включенные в другие группировки
10.72.12.115 Рулеты
10.72.12.150 Изделия мучные кондитерские длительного хранения прочие
10.72.12.120 Печенье сладкое ****</t>
  </si>
  <si>
    <t>ЗА 3 ГОДА ПО 223 ФЗ заключено 19 шт. с объемом НМЦ 151 063 664,60 ? за 1 ГОД ПО 223ФЗ заключено 3  54 466 586,00 ?</t>
  </si>
  <si>
    <t>"223 за 3 года", ".", "все клиенты с выручкой от 1,8 млрд до бесконечности", "223 фз контракты 20+", "рейтинг по нмц маркер", "44 за 3 года"</t>
  </si>
  <si>
    <t>86.10.19.000 Услуги больниц прочие
86.90.1 Услуги в области медицины прочие
86.90.19.110 Услуги организаций санитарно-эпидемиологической службы
86.10.15.000 Услуги больниц прочие, оказываемые врачами
86.22 Услуги в области специализированной врачебной практики
86.90.15 Услуги медицинских лабораторий
86.22.11.000 Услуги по проведению и расшифровке медицинских исследований
86.90.19.190 Услуги в области медицины прочие, не включенные в другие группировки</t>
  </si>
  <si>
    <t>1 638</t>
  </si>
  <si>
    <t>За 3 ГОДА по 44ФЗ заключено 165 шт. с объемом НМЦ  158 214 725,77 ? с БГИ 12 336 763,11 ? с БГГО 425 722,76 ? с авансированием до 0,00 ? с комиссией банку 177 238,74 ? с кв 1 541,98 ? ЗА 1 ГОД по 44ФЗ заключено 50 шт. c объемом НМЦ 64 365 508,68 ? с БГИ 3 900 303,01 ? с БГГО 0,00 ? с авансированием до  0,00 ? с комиссией банку  101 914,73 ? с кв 886,66 ? ЗА 3 ГОДА ПО 223 ФЗ заключено 21 шт. с объемом НМЦ 92 454 934,87 ? за 1 ГОД ПО 223ФЗ заключено 10  9 599 171,73 ?</t>
  </si>
  <si>
    <t>"223 за 3 года",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"поставщики маркер", "44 за 3 года"</t>
  </si>
  <si>
    <t>01.24.29.110 Черешня
10.20.14.110 Филе пресноводной рыбы мороженое
10.39.23.000 Орехи, арахис (земляные орехи), обжаренные, соленые или приготовленные другим способом
10.62.13.190 Сахар и сиропы сахарные, не включенные в другие группировки
56.29.20.120 Услуги школьных столовых и кухонь
10.82.22.121 Изделия шоколадные с начинкой
10.82.22.136 Конфеты шоколадные без начинки
10.82.23.161 Халва кунжутная (тахинная)
10.83.13.110 Чай зеленый (неферментированный) в упаковках массой не более 3 кг
10.83.15.000 Настои из трав ****</t>
  </si>
  <si>
    <t>1 930</t>
  </si>
  <si>
    <t>За весь период компания заключила  208 контрактов на сумму  36 906 950 724,03 ? За весь период заходили в конкурсы  473 раз на общую сумму обеспеченных контрактов с НМЦ 68 825 206 211,46 ? с БГУ  3 308 106 846,34 ? с БГИ 6 779 735 390,26 ? За 3 ГОДА по 44ФЗ заключено 31 шт. с объемом НМЦ  44 920 629 723,71 ? с БГИ 4 055 513 394,66 ? с БГГО 279 589,00 ? с авансированием до 15 954 352,57 ? с комиссией банку 179 245 485,38 ? с кв 1 559 435,72 ? ЗА 1 ГОД по 44ФЗ заключено 12 шт. c объемом НМЦ 25 166 043 453,97 ? с БГИ 2 518 572 733,14 ? с БГГО 0,00 ? с авансированием до  15 801 642,07 ? с комиссией банку  104 352 487,69 ? с кв 907 866,64 ?</t>
  </si>
  <si>
    <t>"44 за 3 года", ".", "рейтинг поставщиков в маркере по бг", "ГРАНДИОЗНЫЙ ПРОЕКТ", "Конкурсы 100+ (Восстановленный)", "44 фз с с БГ от 10 млн", "рейтинг по нмц маркер"</t>
  </si>
  <si>
    <t>19.20.21.124 Бензин автомобильный с октановым числом более 92, но не более 95 по исследовательскому методу экологического класса К4
19.20.21.321 Топливо дизельное зимнее вне классов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19.20.21.145 Бензин автомобильный с октановым числом более 98 по исследовательскому методу экологического класса К5
19.20.21.340 Топливо дизельное межсезонное
19.20.31.110 Пропан сжиженный ****</t>
  </si>
  <si>
    <t>За 3 ГОДА по 44ФЗ заключено 464 шт. с объемом НМЦ  394 551 509,77 ? с БГИ 23 410 161,68 ? с БГГО 85 286,83 ? с авансированием до 45 800 850,20 ? с комиссией банку 287 192,69 ? с кв 2 498,58 ? ЗА 1 ГОД по 44ФЗ заключено 245 шт. c объемом НМЦ 238 899 257,19 ? с БГИ 15 437 162,35 ? с БГГО 0,00 ? с авансированием до  35 343 417,60 ? с комиссией банку  210 378,93 ? с кв 1 830,30 ? ЗА 3 ГОДА ПО 223 ФЗ заключено 26 шт. с объемом НМЦ 42 464 109,58 ? за 1 ГОД ПО 223ФЗ заключено 10  27 371 177,78 ?</t>
  </si>
  <si>
    <t>20.59.43.120 Антифризы
19.20.21.341 Топливо дизельное межсезонное вне классов
19.20.22 Топливо реактивное бензинового типа
19.20.29.119 Масла моторные прочие, не включенные в другие группировки
19.20.29.140 Масла индустриальные
19.20.29.150 Масла компрессорные
19.2 Нефтепродукты
19.20.21.124 Бензин автомобильный с октановым числом более 92, но не более 95 по исследовательскому методу экологического класса К4
46.71 Услуги по оптовой торговле твердым, жидким и газообразным топливом и связанными продуктами
46.71.12.000 Услуги по оптовой торговле моторным топливом, включая авиационный бензин ****</t>
  </si>
  <si>
    <t>1 996</t>
  </si>
  <si>
    <t>За весь период заходили в конкурсы  31 раз на общую сумму обеспеченных контрактов с НМЦ 3 410 319 615,00 ? с БГУ  60 707 219,59 ? с БГИ 409 683 172,57 ? За 3 ГОДА по 44ФЗ заключено 533 шт. с объемом НМЦ  2 271 146 998,34 ? с БГИ 192 643 820,15 ? с БГГО 23 794 074,19 ? с авансированием до 75 935 999,90 ? с комиссией банку 3 797 179,15 ? с кв 33 035,46 ? ЗА 1 ГОД по 44ФЗ заключено 207 шт. c объемом НМЦ 846 295 525,46 ? с БГИ 59 098 157,09 ? с БГГО 0,00 ? с авансированием до  37 967 999,95 ? с комиссией банку  1 089 460,01 ? с кв 9 478,30 ? ЗА 3 ГОДА ПО 223 ФЗ заключено 70 шт. с объемом НМЦ 204 128 207,36 ? за 1 ГОД ПО 223ФЗ заключено 32  144 913 141,42 ?</t>
  </si>
  <si>
    <t>"223 за 3 года", ".", "рейтинг поставщиков в маркере по бг", "Конкурсы 100+ (Восстановленный)", "223 фз контракты 20+", "44 фз с с БГ от 10 млн", "производители", "рейтинг по нмц маркер", "поставщики маркер", "44 за 3 года"</t>
  </si>
  <si>
    <t>"поставщики маркер",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"это заказчик"</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</si>
  <si>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42.91.20.190 Работы строительные и ремонтные, связанные с прочими водными сооружениями и работы по ремонту всех вышеуказанных сооружений
42.13.10.110 Мосты и путепроводы из любых материалов для всех типов сухопутного транспорта и для пешеходов
42.99.12.124 Территории парковые и парки для отдыха
41.20.40.900 Работы строительные по возведению нежилых зданий и сооружений прочие, не включенные в другие группировки
42.91.20.110 Работы строительные по строительству портовых и речных сооружений, пристаней для яхт, набережных, пирсов, молов, доков и аналогичных портовых сооружений, включая ремонт
42.13.10.111 Мост автодорожный
42.21.13.190 Системы оросительные (каналы); водоводы и водопроводные конструкции; водоочистные станции, станции очистки сточных вод и насосные станции прочие
42.21.12.190 Трубопроводы местные прочие
42.99.22.100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кроме работ по сохранению и воссозданию объектов культурного наследия ****</t>
  </si>
  <si>
    <t>За весь период компания заключила  39 контрактов на сумму  19 831 951 520,89 ? За весь период заходили в конкурсы  139 раз на общую сумму обеспеченных контрактов с НМЦ 34 229 519 697,01 ? с БГУ  1 371 894 527,37 ? с БГИ 4 808 522 756,96 ? За 3 ГОДА по 44ФЗ заключено 50 шт. с объемом НМЦ  12 150 625 502,45 ? с БГИ 1 184 621 195,29 ? с БГГО 128 111 221,93 ? с авансированием до 2 053 313 950,11 ? с комиссией банку 25 509 139,12 ? с кв 221 929,51 ? ЗА 1 ГОД по 44ФЗ заключено 20 шт. c объемом НМЦ 3 851 743 388,77 ? с БГИ 335 541 674,17 ? с БГГО 21 141 834,00 ? с авансированием до  823 176 979,07 ? с комиссией банку  8 655 795,90 ? с кв 75 305,42 ?</t>
  </si>
  <si>
    <t>"44 за 3 года", ".", "рейтинг поставщиков в маркере по бг", "ГРАНДИОЗНЫЙ ПРОЕКТ", "Конкурсы 100+ (Восстановленный)", "ПСБ Гарантии ", "все клиенты с выручкой от 1,8 млрд до бесконечности", "44 фз с с БГ от 10 млн", "производители", "рейтинг по нмц маркер", "crm управления", "в crm за Шаклейном ", "поставщики маркер"</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</si>
  <si>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35.11.10.130 Электроэнергия, произведенная локальными электростанциями (не работающими в энергосистеме)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t>
  </si>
  <si>
    <t>За весь период компания заключила  4 контрактов на сумму  5 204 626 765,06 ?                                     ЗА 3 ГОДА ПО 223 ФЗ заключено 34 шт. с объемом НМЦ 35 773 999,03 ? за 1 ГОД ПО 223ФЗ заключено 14  16 877 440,06 ?</t>
  </si>
  <si>
    <t>Сообщения о принятии решения о реорганизации от 14.03.2016</t>
  </si>
  <si>
    <t>20.13 Вещества химические неорганические основные прочие
20.13.41.130 Сульфаты
46.75 Услуги по оптовой торговле химическими продуктами
20.13.52.110 Соединения неорганические, не включенные в другие группировки</t>
  </si>
  <si>
    <t>ЗА 3 ГОДА ПО 223 ФЗ заключено 5 шт. с объемом НМЦ 61 803 704,00 ? за 1 ГОД ПО 223ФЗ заключено 2  33 983 704,00 ?</t>
  </si>
  <si>
    <t>20.13.24.149 Кислоты неорганические прочие, не включенные в другие группировки
20.13.41.120 Сульфиты
20.13.6 Вещества химические неорганические основные прочие
20.59 Продукты химические прочие, не включенные в другие группировки
20.14.23 Диолы, спирты многоатомные, спирты циклические и их производные
20.59.42.120 Присадки к топливу
20.59.42.140 Продукты аналогичные присадкам к топливу и смазочным материалам
20.13.32.110 Гипохлориты
20.41.20.110 Вещества поверхностно-активные анионные
20.13.24.112 Кислота соляная ****</t>
  </si>
  <si>
    <t>За весь период компания заключила  5 контрактов на сумму  683 438 799,65 ?</t>
  </si>
  <si>
    <t>"поставщики маркер", ".", "fk1", "ушедшие", "все клиенты с выручкой от 1,8 млрд до бесконечности", "Участники клиринга", "производители", "рейтинг по нмц маркер"</t>
  </si>
  <si>
    <t>43.22.12.120 Работы по установке и техническому обслуживанию систем управления центральным отоплением
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35.11.10.143 Электроэнергия, произведенная геотермальными электростанциями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35.30.11.130 Энергия тепловая, отпущенная электрокотлами
35.30.12.110 Услуги по приготовлению воды на нужды горячего водоснабжения ****</t>
  </si>
  <si>
    <t>За весь период контрактов 7 шт. на общую сумму НМЦ 1 622 302 262,25 ?</t>
  </si>
  <si>
    <t>Сообщения о принятии решения о реорганизации от 20.11.2019</t>
  </si>
  <si>
    <t>"223 за 3 года", ".", "ИНН_договоры_октябрь_", "все клиенты с выручкой от 1,8 млрд до бесконечности", "рейтинг заказчиков маркер", "производители", "рейтинг по нмц маркер", "это заказчик", "поставщики маркер"</t>
  </si>
  <si>
    <t>28.13.14.110 Насосы центробежные подачи жидкостей прочие
27.90.33.110 Комплектующие (запасные части) прочего электрического оборудования, не имеющие самостоятельных группировок
28.99.9 Услуги по производству прочего оборудования специального назначения, не включенного в другие группировки, отдельные, выполняемые субподрядчиком
30.99.10.190 Средства транспортные и оборудование прочие, не включенные в другие группировки
27.51.21 Приборы бытовые электромеханические со встроенным электродвигателем
27.51.21.190 Приборы электромеханические бытовые со встроенным электродвигателем прочие, не включенные в другие группировки
27.90 Оборудование электрическое прочее
28.12 Оборудование гидравлическое и пневматическое силовое
28.12.15.190 Гидроаппараты прочие и приборы
28.29 Машины и оборудование общего назначения прочие, не включенные в другие группировки ****</t>
  </si>
  <si>
    <t>За весь период заходили в конкурсы  3 раз на общую сумму обеспеченных контрактов с НМЦ 195 031 257,47 ? с БГУ  11 814 644,93 ? с БГИ 44 929 462,66 ?                             ЗА 3 ГОДА ПО 223 ФЗ заключено 27 шт. с объемом НМЦ 36 320 019,04 ? за 1 ГОД ПО 223ФЗ заключено 9  16 789 177,22 ?</t>
  </si>
  <si>
    <t>"223 за 3 года", ".", "рейтинг поставщиков в маркере по бг", "все клиенты с выручкой от 1,8 млрд до бесконечности", "223 фз контракты 20+", "рейтинг по нмц маркер", "crm управления", "crm Пител", "поставщики маркер", "44 за 3 года"</t>
  </si>
  <si>
    <t>30.20.40.172 Пересечения глухие, съезды перекрестные, крестовины, скрепления широкой колеи
30.20.40.175 Оборудование стрелочное специальное
30.20.40.171 Переводы стрелочные широкой колеи
30.20.40.173 Вагонозамедлители</t>
  </si>
  <si>
    <t>За весь период заходили в конкурсы  8 раз на общую сумму обеспеченных контрактов с НМЦ 417 993 089,34 ? с БГУ  10 896 577,82 ? с БГИ 111 158 085,76 ? За 3 ГОДА по 44ФЗ заключено 3 шт. с объемом НМЦ  316 329 231,70 ? с БГИ 80 658 928,44 ? с БГГО 0,00 ? с авансированием до 0,00 ? с комиссией банку 1 109 030,27 ? с кв 9 648,56 ? ЗА 1 ГОД по 44ФЗ заключено 1 шт. c объемом НМЦ 130 816 676,30 ? с БГИ 39 245 002,89 ? с БГГО 0,00 ? с авансированием до  0,00 ? с комиссией банку  623 619,22 ? с кв 5 425,49 ?</t>
  </si>
  <si>
    <t>"44 за 3 года", ".", "рейтинг поставщиков в маркере по бг", "Конкурсы 100+ (Восстановленный)", "все клиенты с выручкой от 1,8 млрд до бесконечности", "44 фз с с БГ от 10 млн", "рейтинг заказчиков маркер", "производители", "рейтинг по нмц маркер", "это заказчик", "поставщики маркер"</t>
  </si>
  <si>
    <t>73.12.13.000 Услуги по продаже места или времени для рекламы в информационно-коммуникационной сети Интернет за вознаграждение или на договорной основе
62.02 Услуги консультативные, связанные с компьютерной техникой
73.11.11.000 Набор рекламных услуг полный
63.9 Услуги информационные прочие
78.30.19.000 Услуги в области трудовых ресурсов по обеспечению персоналом прочие, не включенные в другие группировки
62.09 Услуги в области информационных технологий прочие и компьютерные услуги
63.11.1 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
63.11.13.000 Услуги по предоставлению программного обеспечения без его размещения на компьютерном оборудовании пользователя
73.11.19 Услуги рекламные прочие</t>
  </si>
  <si>
    <t>за 1 ГОД ПО 223ФЗ заключено 3  7 185 100,00 ?</t>
  </si>
  <si>
    <t>49.41.12.000 Услуги по перевозке автомобильным транспортом нефтепродуктов в автоцистернах или полуприцепах-цистернах
49.31.10.110 Услуги по перевозке пассажиров железнодорожным транспортом во внутригородском и пригородном сообщении в регулируемом секторе
36.00.30.000 Услуги по торговле водой, поставляемой по трубопроводам
33.17.11.000 Услуги по ремонту и техническому обслуживанию железнодорожных локомотивов и подвижного состава
49.20.19.190 Услуги железнодорожного транспорта по перевозке прочих грузов, не включенные в другие группировки
49.20.12.000 Услуги железнодорожного транспорта по перевозке нефтепродуктов в вагонах-цистернах
36.00.20.130 Услуги по транспортированию и распределению воды по водопроводам
33.13.11.000 Услуги по ремонту и техническому обслуживанию инструментов и приборов для измерения, испытаний и навигации
36.00.11.000 Вода питьевая</t>
  </si>
  <si>
    <t>за 1 ГОД ПО 223ФЗ заключено 2  102 384 000,00 ?</t>
  </si>
  <si>
    <t>"поставщики маркер", ".", "все клиенты с выручкой от 1,8 млрд до бесконечности", "223 фз контракты 20+", "рейтинг заказчиков маркер", "производители", "рейтинг по нмц маркер", "это заказчик"</t>
  </si>
  <si>
    <t>86.10.19.000 Услуги больниц прочие
86.21.1 Услуги в области общей врачебной практики
86.21.10.190 Услуги, предоставляемые врачами общей врачебной практики, прочие, не включенные в другие группировки
86.10.15.000 Услуги больниц прочие, оказываемые врачами
86.22.19.000 Услуги в области специализированной врачебной практики прочие
86.90.19.140 Услуги санаторно-курортных организаций
86.21.10.110 Услуги консультативные, предоставляемые врачами общей врачебной практики
86.90.15.000 Услуги медицинских лабораторий
86.22.11.000 Услуги по проведению и расшифровке медицинских исследований
86.90.19.120 Услуги организаций судебно-медицинской экспертизы ****</t>
  </si>
  <si>
    <t>"223 за 3 года", ".", "fk1", "все клиенты с выручкой от 1,8 млрд до бесконечности", "это заказчик", "поставщики маркер", "44 за 3 года"</t>
  </si>
  <si>
    <t>За весь период компания заключила  1 контрактов на сумму  610 000 000,00 ? За весь период заходили в конкурсы  1 раз на общую сумму обеспеченных контрактов с НМЦ 610 000 000,00 ? с БГУ  30 500 000,00 ? с БГИ 183 000 000,00 ?</t>
  </si>
  <si>
    <t>"поставщики маркер", ".", "рейтинг поставщиков в маркере по бг", "беники", "fk1",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 "это заказчик"</t>
  </si>
  <si>
    <t>27.32.12.000 Кабели коаксиальные и прочие коаксиальные проводники электрического тока
27.32.14 Проводники электрические прочие на напряжение более 1 кВ
27.32.14.190 Проводники электрические на напряжение более 1 кВ прочие, не включенные в другие группировки</t>
  </si>
  <si>
    <t>ЗА 3 ГОДА ПО 223 ФЗ заключено 1 шт. с объемом НМЦ 200 000 000,00 ?</t>
  </si>
  <si>
    <t>"в crm за Кашиным", "свод фт", ".", "производители", "на фт заводил Кашин", "crm управления"</t>
  </si>
  <si>
    <t>За весь период компания заключила  2 контрактов на сумму  1 020 472 000,00 ?</t>
  </si>
  <si>
    <t>23.99.12.110 Материалы рулонные кровельные и гидроизоляционные</t>
  </si>
  <si>
    <t>Заказчик разыгравший 1 конкурсов на сумму  618 117 575,46 ?</t>
  </si>
  <si>
    <t>22.22.19.000 Изделия упаковочные пластмассовые прочие
20.16.10.110 Полиэтилен
22.21.30 Плиты, листы, пленка и полосы (ленты) полимерные, неармированные или не комбинированные с другими материалами
20.16.10.119 Полиэтилен прочий
22.21.30.120 Пленки пластмассовые, неармированные или не комбинированные с другими материалами</t>
  </si>
  <si>
    <t>25.11.22.190 Опоры и мачты решетчатые из черных металлов прочие, не включенные в другие группировки
35.1 Услуги по производству, передаче и распределению электроэнергии</t>
  </si>
  <si>
    <t>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36.00.20.160 Услуги по подключению (технологическому присоединению) к централизованной системе водоснабжения
35.30.11.119 Энергия тепловая, отпущенная прочими электростанциями</t>
  </si>
  <si>
    <t>"223 за 3 года", ".", "fk1",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заказчиков маркер"</t>
  </si>
  <si>
    <t>2 059</t>
  </si>
  <si>
    <t>"производители", ".", "fk1", "корп 2",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</si>
  <si>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20.20.14.000 Средства дезинфекционные
81.29.11.000 Услуги по дезинфекции, дезинсекции и дератизации
21.20.10.159 Антисептики и дезинфицирующие препараты прочие</t>
  </si>
  <si>
    <t>"223 за 3 года", ".", "ИНН_договоры_октябрь_", "все клиенты с выручкой от 1,8 млрд до бесконечности", "производители"</t>
  </si>
  <si>
    <t>66.19.99.131 Услуги операторов по приему платежей физических лиц
63.9 Услуги информационные прочие</t>
  </si>
  <si>
    <t>За весь период заходили в конкурсы  1 раз на общую сумму обеспеченных контрактов с НМЦ 340 078 810,12 ? с БГУ  17 350 959,70 ? с БГИ 104 105 758,20 ?</t>
  </si>
  <si>
    <t>"поставщики маркер", ".", "рейтинг поставщиков в маркере по бг", "все клиенты с выручкой от 1,8 млрд до бесконечности", "рейтинг заказчиков маркер", "это заказчик"</t>
  </si>
  <si>
    <t>22.19.73.111 Кольца резиновые уплотнительные</t>
  </si>
  <si>
    <t>37.00.11.110 Услуги по водоотведению сточных вод
19.20.21.100 Бензин автомобильный
19.20.21.125 Бензин автомобильный с октановым числом более 92, но не более 95 по исследовательскому методу экологического класса К5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47.30.10.000 Услуги по розничной торговле моторным топливом в специализированных магазинах
19.20.21.325 Топливо дизельное зимнее экологического класса К5
19.20.21.133 Бензин автомобильный с октановым числом более 95, но не более 98 по исследовательскому методу экологического класса К3</t>
  </si>
  <si>
    <t>"223 за 3 года", ".", "Участники клиринга", "производители", "поставщики маркер"</t>
  </si>
  <si>
    <t>1 405</t>
  </si>
  <si>
    <t>Сообщения о принятии решения о реорганизации от 15.11.2017</t>
  </si>
  <si>
    <t>10.51.52.140 Кефир
10.51.21.110 Молоко сухое не более 1,5 % жирности
10.51.40.314 Творог (кроме зерненого и произведенного с использованием ультрафильтрации и сепарирования) без вкусовых компонентов от 12 % до 18 % жирности
10.51.11.110 Молоко питьевое пастеризованное
10.51.52.212 Сметана от 18,0 % до 22,0 % жирности
10.51.30.111 Масло сладко-сливочное
10.51.30.300 Масло топленое
10.51.52.110 Йогурт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t>
  </si>
  <si>
    <t>71.12 Услуги в области инженерно-технического проектирования и связанные технические консультативные услуги
24.20.31.000 Трубы сварные для нефте- и газопроводов, наружным диаметром не более 406,4 мм, стальные
09.10.12.190 Услуги, связанные с добычей нефти, газового конденсата и горючего природного газа, прочие
41.20.20.100 Здания нежилые
42.21 Сооружения и строительные работы по строительству инженерных коммуникаций для жидкостей и газов
42.21.22 Работы строительные по прокладке местных трубопроводов
41.10.10.000 Документация проектная для строительства
42.21.21.000 Работы строительные по прокладке магистральных трубопроводов
42.21.1 Коммуникации инженерные для жидкостей и газов
71.12.35.110 Услуги в области кадастровой деятельности</t>
  </si>
  <si>
    <t>"поставщики маркер", "свод фт", ".", "производители", "рейтинг по нмц маркер", "на фт заводил Алиев"</t>
  </si>
  <si>
    <t>ПСБ Гарантии</t>
  </si>
  <si>
    <t>Юридическое лицо находится в процессе реорганизации в форме присоединения к нему других юридических лиц от 13.04.2023, Сообщения о принятии решения о реорганизации от 11.04.2023</t>
  </si>
  <si>
    <t>"ПСБ Гарантии ", "."</t>
  </si>
  <si>
    <t>"на фт заводил Морозова", "свод фт", ".", "fk1", "все клиенты с выручкой от 1,8 млрд до бесконечности", "ФК клиенты с выручкой от 230 до бесконечности", "рейтинг по нмц маркер", "это заказчик"</t>
  </si>
  <si>
    <t>43.2 Работы электромонтажные, работы по монтажу водопроводных и канализационных систем и прочие строительно-монтажные работы
33.19.10 Услуги по ремонту прочего оборудования</t>
  </si>
  <si>
    <t>1 244</t>
  </si>
  <si>
    <t>В отношении юридического лица возбуждено производство по делу о несостоятельности (банкротстве) от 16.03.2023, Сообщение кредитора о намерении обратиться в суд с заявлением о банкротстве от 04.05.2023</t>
  </si>
  <si>
    <t>"поставщики маркер", "свод фт", ".", "это заказчик", "на фт заводил Самар", "crm управления", "в crm за Самаром"</t>
  </si>
  <si>
    <t>52.29.19 Услуги грузовых транспортно-экспедиционных агентств прочие
49.39 Услуги сухопутного пассажирского транспорта прочие, не включенные в другие группировки
49.41 Услуги по грузовым перевозкам автомобильным транспортом
52.29.1 Услуги грузовых транспортно-экспедиционных агентств</t>
  </si>
  <si>
    <t>1 289</t>
  </si>
  <si>
    <t>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</si>
  <si>
    <t>41.20.20.180 Здания предприятий здравоохранения, науки и научного обслуживания, образования, культуры и искусства</t>
  </si>
  <si>
    <t>За весь период контрактов 1 шт. на общую сумму НМЦ 1 112 161 180,00 ?</t>
  </si>
  <si>
    <t>"44 за 3 года", ".", "рейтинг поставщиков в маркере по бг", "ГРАНДИОЗНЫЙ ПРОЕКТ", "производители", "рейтинг по нмц маркер", "поставщики маркер"</t>
  </si>
  <si>
    <t>"223 за 3 года", ".", "производители", "на фт заводил Чугунова"</t>
  </si>
  <si>
    <t>"ФК клиенты с выручкой 8-18 млн", ".", "fk1"</t>
  </si>
  <si>
    <t>2 218</t>
  </si>
  <si>
    <t>"поставщики маркер", ".",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t>
  </si>
  <si>
    <t>Юридическим лицом принято решение об изменении места нахождения от 10.05.2023</t>
  </si>
  <si>
    <t>73.11.19.000 Услуги рекламные прочие</t>
  </si>
  <si>
    <t>86.90.15.000 Услуги медицинских лабораторий</t>
  </si>
  <si>
    <t>86.21.10 Услуги в области общей врачебной практики
86.90.15.000 Услуги медицинских лабораторий</t>
  </si>
  <si>
    <t>1 709</t>
  </si>
  <si>
    <t>"производители", ".", "ушедший портфель", "клиент металлинвеста", "инн Ленинградка",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</si>
  <si>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"все клиенты с выручкой от 1,8 млрд до бесконечности", ".", "ИНН_договоры_октябрь_"</t>
  </si>
  <si>
    <t>10.13.14.119 Изделия колбасные вареные мясные прочие
10.13.14.113 Сардельки мясные
10.13.15.110 Консервы мясные
10.11.31.140 Субпродукты пищевые крупного рогатого скота замороженные
10.12.20.110 Мясо кур, в том числе цыплят (включая цыплят-бройлеров) замороженное
93.29.19.000 Услуги по организации отдыха и развлечений прочие, не включенные в другие группировки
10.11.32.140 Субпродукты пищевые свиные замороженные
10.13.14.612 Продукты из мяса свиные
10.86.10.611 Колбасы вареные для детского питания
10.13.15.111 Консервы кусковые мясные ****</t>
  </si>
  <si>
    <t>1 285</t>
  </si>
  <si>
    <t>За 3 ГОДА по 44ФЗ заключено 28 шт. с объемом НМЦ  187 227 537,35 ? с БГИ 52 305 309,43 ? с БГГО 32 790,30 ? с авансированием до 0,00 ? с комиссией банку 224 871,04 ? с кв 1 956,38 ? ЗА 1 ГОД по 44ФЗ заключено 4 шт. c объемом НМЦ 95 377 165,00 ? с БГИ 27 659 377,85 ? с БГГО 0,00 ? с авансированием до  0,00 ? с комиссией банку  153 085,40 ? с кв 1 331,84 ?</t>
  </si>
  <si>
    <t>"44 за 3 года", ".", "все клиенты с выручкой от 1,8 млрд до бесконечности", "44 фз с с БГ от 10 млн", "производители", "это заказчик", "поставщики маркер"</t>
  </si>
  <si>
    <t>"в crm за Кашиным", ".", "все клиенты с выручкой от 1,8 млрд до бесконечности", "crm управления"</t>
  </si>
  <si>
    <t>35.14.10.000 Услуги по торговле электроэнергией
35.11.10.111 Электроэнергия, произведенная конденсационными электростанциями (КЭС) общего назначения</t>
  </si>
  <si>
    <t>37.00.11.110 Услуги по водоотведению сточных вод
35.30.12.110 Услуги по приготовлению воды на нужды горячего водоснабжения
36.00.20.110 Услуги по очистке и подготовке воды для водоснабжения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24.10.11.131 Чугун литейный обычный
36.00.12.000 Вода непитьевая
35.30.1 Пар и горячая вода; услуги по снабжению паром и горячей водой ****</t>
  </si>
  <si>
    <t>"поставщики маркер", ".", "райф", "все клиенты с выручкой от 1,8 млрд до бесконечности", "рейтинг по нмц маркер", "на фт заводил Федоров"</t>
  </si>
  <si>
    <t>1 787</t>
  </si>
  <si>
    <t>25.11.23.162 Панели трехслойные типа "сэндвич" с обшивками из стального холоднокатаного тонкого листа с сердцевиной из пенополиуретана
25.11.23.160 Панели трехслойные типа "сэндвич" с обшивками из стального холоднокатаного тонкого листа и утеплителем
24.33.3 Панели многослойные из листового стального плакированного проката
16.21.22 Древесина прессованная в виде блоков, плит, брусьев или профилированных изделий</t>
  </si>
  <si>
    <t>"223 за 3 года", ".", "fk1", "Кредитный портфель_01.11",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"поставщики маркер"</t>
  </si>
  <si>
    <t>"Обороты по клиентам по кварталам (2022г)", ".", "fk1", "корп 1", "06.2022_ФинХД", "клиенты с в от100млн 09.21", "все клиенты с выручкой от 1,8 млрд до бесконечности", "ФК клиенты с выручкой от 230 до бесконечности", "клиенты от 100 млн"</t>
  </si>
  <si>
    <t>"223 за 3 года", ".",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</si>
  <si>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25.11.23.119 Конструкции и детали конструкций из черных металлов прочие, не включенные в другие группировки
46.1 Услуги по оптовой торговле за вознаграждение или на договорной основе
47.52.79.000 Услуги по розничной торговле прочими строительными материалами, не включенными в другие группировки, в специализированных магазинах
24.33.12.000 Профили незамкнутые холодной штамповки или гибки из нержавеющих сталей
24.33.2 Профили листовые из нелегированной стали
68.20.12.000 Услуги по сдаче в аренду (внаем) собственных или арендованных нежилых помещений
24.33.30.000 Панели многослойные из листового стального плакированного проката</t>
  </si>
  <si>
    <t>Сообщения о принятии решения о реорганизации от 21.07.2021</t>
  </si>
  <si>
    <t>"223 за 3 года", ".", "ушедший портфель", "fk1", "ИНН 3 года - нет КД БГ на 01.10.22", "Список ушедший ", "06.2022_ФинХД", "Обороты по клиентам по кварталам (2022г)", "производители", "это заказчик"</t>
  </si>
  <si>
    <t>05.10.10.132 Уголь марки ДГ - длиннопламенный газовый
05.10 Уголь
05.10.10.131 Уголь марки Д - длиннопламенный
46.71.1 Услуги по оптовой торговле твердым, жидким и газообразным топливом и подобными продуктами</t>
  </si>
  <si>
    <t>За весь период компания заключила  8 контрактов на сумму  4 899 454 432,28 ? За весь период заходили в конкурсы  11 раз на общую сумму обеспеченных контрактов с НМЦ 712 679 864,74 ? с БГУ  47 389 464,69 ? с БГИ 144 603 501,97 ?                             ЗА 3 ГОДА ПО 223 ФЗ заключено 9 шт. с объемом НМЦ 1 130 331 333,33 ? за 1 ГОД ПО 223ФЗ заключено 2  334 000 000,00 ?</t>
  </si>
  <si>
    <t>2 320</t>
  </si>
  <si>
    <t>"поставщики маркер", ".", "беники", "все клиенты с выручкой от 1,8 млрд до бесконечности", "производители", "crm управления", "crm Пител"</t>
  </si>
  <si>
    <t>"производители", ".", "fk1", "просрочка на 01.01.2023 г.", "Запрос в ЮД_просрочка на 01.01.2023", "все клиенты с выручкой от 1,8 млрд до бесконечности"</t>
  </si>
  <si>
    <t>17.12.73.140 Картон, используемый для письма, печати или прочих графических целей, мелованный каолином или прочими неорганическими веществами
35.30.11.120 Энергия тепловая, отпущенная котельными
17.12.3 Картон тарный</t>
  </si>
  <si>
    <t>За весь период компания заключила  1 контрактов на сумму  842 627 085,60 ?</t>
  </si>
  <si>
    <t>"поставщики маркер", ".", "выдали", "fk1", "корп 2",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 "производители"</t>
  </si>
  <si>
    <t>09.10.12.190 Услуги, связанные с добычей нефти, газового конденсата и горючего природного газа, прочие
09.1 Услуги по добыче нефти и природного газа</t>
  </si>
  <si>
    <t>1 659</t>
  </si>
  <si>
    <t>За весь период компания заключила  10 контрактов на сумму  4 196 183 589,46 ?</t>
  </si>
  <si>
    <t>28.13.25 Турбокомпрессоры
19.20.21.341 Топливо дизельное межсезонное вне классов
19.20.28.112 Мазут с массовой долей серы не более 3,5 % с температурой вспышки в открытом тигле не ниже 90 °C, с содержанием сероводорода не более 20 ppm, но более 10 ppm
19.2 Нефтепродукты
19.20.21.124 Бензин автомобильный с октановым числом более 92, но не более 95 по исследовательскому методу экологического класса К4
46.71 Услуги по оптовой торговле твердым, жидким и газообразным топливом и связанными продуктами
46.71.12.000 Услуги по оптовой торговле моторным топливом, включая авиационный бензин
28.29.13.130 Фильтры очистки воздуха всасывающие для двигателей внутреннего сгорания
19.20.21.321 Топливо дизельное зимнее вне классов
19.20.21 Топливо моторное, включая автомобильный и авиационный бензин ****</t>
  </si>
  <si>
    <t>За весь период компания заключила  51 контрактов на сумму  9 311 866 072,24 ? За весь период заходили в конкурсы  2577 раз на общую сумму обеспеченных контрактов с НМЦ 5 904 342 426,45 ? с БГУ  141 141 894,88 ? с БГИ 1 145 210 351,25 ? За 3 ГОДА по 44ФЗ заключено 1103 шт. с объемом НМЦ  5 795 474 246,54 ? с БГИ 510 835 600,46 ? с БГГО 4 276 717,89 ? с авансированием до 2 276 765,84 ? с комиссией банку 4 987 883,61 ? с кв 43 394,59 ? ЗА 1 ГОД по 44ФЗ заключено 344 шт. c объемом НМЦ 1 614 579 180,31 ? с БГИ 137 133 668,38 ? с БГГО 4 959,00 ? с авансированием до  90 419,84 ? с комиссией банку  1 957 419,30 ? с кв 17 029,55 ? ЗА 3 ГОДА ПО 223 ФЗ заключено 103 шт. с объемом НМЦ 1 371 884 871,12 ? за 1 ГОД ПО 223ФЗ заключено 36  477 220 525,55 ?</t>
  </si>
  <si>
    <t>"223 за 3 года", ".", "рейтинг поставщиков в маркере по бг", "Конкурсы 100+ (Восстановленный)", "все клиенты с выручкой от 1,8 млрд до бесконечности", "Участники клиринга", "223 фз контракты 20+", "44 фз с с БГ от 10 млн", "рейтинг заказчиков маркер", "производители", "рейтинг по нмц маркер", "это заказчик", "поставщики маркер", "44 за 3 года"</t>
  </si>
  <si>
    <t>46.52 Услуги по оптовой торговле электронным и телекоммуникационным оборудованием и его частями</t>
  </si>
  <si>
    <t>"поставщики маркер", ".", "fk1", "производители"</t>
  </si>
  <si>
    <t>22.11.11.000 Шины и покрышки пневматические для легковых автомобилей новые
29.32.30.220 Колеса, ступицы и их детали
29.32.30.390 Части и принадлежности для автотранспортных средств прочие, не включенные в другие группировки
29.10.13 Двигатели внутреннего сгорания поршневые с воспламенением от сжатия для транспортных средств</t>
  </si>
  <si>
    <t>На 28.04.2023 11:31 имеются действующие решения ФНС о приостановлении операций по счетам</t>
  </si>
  <si>
    <t>"производители", ".", "fk1", "ОТКАЗ УДП", "просрочка на 01.01.2023 г.", "Запрос в ЮД_просрочка на 01.01.2023", "Обороты по клиентам по кварталам (2022г)"</t>
  </si>
  <si>
    <t>1 141</t>
  </si>
  <si>
    <t>35.30.12.110 Услуги по приготовлению воды на нужды горячего водоснабжения
36.00.30.000 Услуги по торговле водой, поставляемой по трубопроводам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36.00.20.160 Услуги по подключению (технологическому присоединению) к централизованной системе водоснабжения
35.30.11.119 Энергия тепловая, отпущенная прочими электростанциями
36.00.11.000 Вода питьевая</t>
  </si>
  <si>
    <t>Сообщение кредитора о намерении обратиться в суд с заявлением о банкротстве от 04.06.2018</t>
  </si>
  <si>
    <t>"223 за 3 года", ".", "все клиенты с выручкой от 1,8 млрд до бесконечности", "Участники клиринга", "рейтинг заказчиков маркер", "это заказчик", "поставщики маркер"</t>
  </si>
  <si>
    <t>49.32.12.000 Услуги по аренде легковых автомобилей с водителем
49.39.39.000 Услуги по перевозке пассажиров сухопутным транспортом прочие, не включенные в другие группировки
49.39 Услуги сухопутного пассажирского транспорта прочие, не включенные в другие группировки</t>
  </si>
  <si>
    <t>Сообщение кредитора о намерении обратиться в суд с заявлением о банкротстве от 31.01.2020</t>
  </si>
  <si>
    <t>10.13 Продукция мясная пищевая, в том числе из мяса птицы
10.11 Мясо и прочие продукты убоя, включая мясо консервированное
10.51.4 Сыры, продукты сырные и творог
10.72.19.140 Полуфабрикаты хлебобулочные замороженные
47.29 Услуги по розничной торговли прочими пищевыми продуктами в специализированных магазинах
10.13.14.130 Изделия колбасные вареные из мяса и субпродуктов птицы
10.85 Продукты пищевые готовые и блюда
10.51 Молоко и молочная продукция
10.13.14 Изделия колбасные и аналогичная пищевая продукция из мяса, субпродуктов или крови животных, из мяса и субпродуктов птицы
10.13.14.112 Сосиски мясные ****</t>
  </si>
  <si>
    <t>10.71.11.190 Изделия хлебобулочные недлительного хранения прочие
10.71.11.110 Хлеб недлительного хранения
10.71.11.111 Хлеб недлительного хранения из пшеничной муки
10.71.11.119 Хлеб недлительного хранения прочий
10.71.11.112 Хлеб недлительного хранения из ржаной и смеси ржаной и пшеничной муки
10.71.11.100 Хлеб и хлебобулочные изделия недлительного хранения
10.72.11.120 Изделия хлебобулочные сухарные
10.71 Изделия хлебобулочные; мучные кондитерские изделия, торты и пирожные недлительного хранения
10.71.11.121 Булочные изделия из пшеничной муки</t>
  </si>
  <si>
    <t>1 562</t>
  </si>
  <si>
    <t>Сообщения о принятии решения о реорганизации от 14.01.2022</t>
  </si>
  <si>
    <t>43.12 Работы по подготовке строительной площадки</t>
  </si>
  <si>
    <t>19.20.21.321 Топливо дизельное зимнее вне классов
19.20.21.310 Топливо дизельное летнее
19.20.42.121 Битумы нефтяные дорожные
19.20.21.315 Топливо дизельное летнее экологического класса К5
19.20.21.320 Топливо дизельное зимнее
19.20.2 Топливо жидкое и газообразное; масла смазочные
19.20.21.115 Бензин автомобильный с октановым числом не менее 80, но не более 92 по исследовательскому методу экологического класса К5
19.20.21.300 Топливо дизельное
19.20.21.325 Топливо дизельное зимнее экологического класса К5
19.20.28.100 Мазут ****</t>
  </si>
  <si>
    <t>За весь период компания заключила  19 контрактов на сумму  1 169 930 523,20 ? За весь период заходили в конкурсы  30 раз на общую сумму обеспеченных контрактов с НМЦ 1 705 009 286,66 ? с БГУ  26 753 002,77 ? с БГИ 258 266 744,76 ?                             ЗА 3 ГОДА ПО 223 ФЗ заключено 3 шт. с объемом НМЦ 298 680 005,18 ?</t>
  </si>
  <si>
    <t>71.20.1 Услуги в области технических испытаний, исследований и анализа
35.11.10.112 Электроэнергия, произведенная теплоэлектроцентралями (ТЭЦ) общего назначения
71.12.39 Услуги в области геологических, геофизических и взаимосвязанных изыскательных работ прочие, не включенные в другие группировки
35.13.10.000 Услуги по распределению электроэнергии
71.20 Услуги в области технических испытаний, исследований, анализа и сертификации
35.11.10.116 Электроэнергия, произведенная гидроэлектростанциями (ГЭС) общего назначения
35.11.10.113 Электроэнергия, произведенная газотурбинными электростанциями (ГТЭС) общего назначения
35.12.10.110 Услуги по передаче электроэнергии</t>
  </si>
  <si>
    <t>Заказчик разыгравший 69 конкурсов на сумму  16 864 483 218,20 ?</t>
  </si>
  <si>
    <t>"223 за 3 года", ".", "рейтинг поставщиков в маркере по бг", "это заказчик"</t>
  </si>
  <si>
    <t>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29.10.59.130 Средства транспортные для коммунального хозяйства и содержания дорог
29.10.41.122 Автосамосвалы с дизельным двигателем, имеющие технически допустимую максимальную массу свыше 3,5 т, но не более 12 т
29.10.41.123 Автосамосвалы с дизельным двигателем, имеющие технически допустимую максимальную массу свыше 12 т
29.10.43.000 Автомобили-тягачи седельные для полуприцепов
29.10.51.000 Автокраны</t>
  </si>
  <si>
    <t>17.21.13.000 Ящики и коробки из гофрированной бумаги или гофрированного картона</t>
  </si>
  <si>
    <t>Агентские одобренные но не выданные от (30.08)</t>
  </si>
  <si>
    <t>"223 за 3 года", ".", "Агентские одобренные но не выданные от 30.08", "рейтинг заказчиков маркер", "производители", "это заказчик", "поставщики маркер"</t>
  </si>
  <si>
    <t>56.29.20.120 Услуги школьных столовых и кухонь
56.29.20.190 Услуги прочих столовых</t>
  </si>
  <si>
    <t>За весь период компания заключила  81 контрактов на сумму  25 450 168 062,01 ? За весь период заходили в конкурсы  172 раз на общую сумму обеспеченных контрактов с НМЦ 27 164 672 750,45 ? с БГУ  802 673 136,46 ? с БГИ 1 625 794 094,34 ?</t>
  </si>
  <si>
    <t>10.13.14.413 Колбасы (колбаски) сырокопченые мясные</t>
  </si>
  <si>
    <t>28.30.2 Тракторы для сельского хозяйства прочие
33.17 Услуги по ремонту и техническому обслуживанию прочих транспортных средств и оборудования
33.17.19 Услуги по ремонту и техническому обслуживанию прочих транспортных средств и оборудования, не включенных в другие группировки
28.92.6 Части оборудования для добычи полезных ископаемых подземным и открытым способами и строительства
28.92.27.120 Погрузчики одноковшовые самоходные прочие
29.32 Комплектующие и принадлежности для автотранспортных средств прочие
28.22.19.150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45.1 Услуги по торговле автотранспортными средствами
45.2 Услуги по техническому обслуживанию и ремонту автотранспортных средств</t>
  </si>
  <si>
    <t>35.11.10.112 Электроэнергия, произведенная теплоэлектроцентралями (ТЭЦ)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 Электроэнергия
35.11.10.121 Электроэнергия, произведенная блок-станциями конденсационных электростанций (КЭС)
35.11.10.140 Электроэнергия от возобновляемых источников энергии
35.12.10.120 Услуги по технологическому присоединению к распределительным электросетям
35.13.10.000 Услуги по распределению электроэнергии ****</t>
  </si>
  <si>
    <t>За весь период компания заключила  17 контрактов на сумму  6 174 847 509,95 ?</t>
  </si>
  <si>
    <t>31.01.11.130 Стеллажи офисные металлические</t>
  </si>
  <si>
    <t>Возвращена;Заявка отозвана клиентом
Возвращена;Заявка отозвана клиентом;Отклонена банком;Распределена в Банк
Гарантия завершена
Гарантия завершена;Заявка взята на рассмотрение
Гарантия отправлена
Отклонена банком
Отклонена банком;Рассматривается банком</t>
  </si>
  <si>
    <t>"поставщики маркер", "свод фт", ".", "УПП на 2 номер", "fk1", "кредиты фт", "клиенты управления по БГ без открытых счетов", "Банкроты ФБ 28.04.2023", "закрыли счет", "клиенты с в от100млн 09.21", "лимит сит по кредитам", "все клиенты с выручкой от 1,8 млрд до бесконечности", "ФК клиенты с выручкой от 230 до бесконечности", "Обороты по клиентам по кварталам (2022г)", "Одобренные но не выданные 1 полугодие 2021", "производители", "на фт заводил Чекин", "на фт заводил Федоров", "на фт заводил Лобышев Д", "на фт заводил Алиев"</t>
  </si>
  <si>
    <t>13.95.10.111 Материалы нетканые из текстильных волокон
35.30.11.120 Энергия тепловая, отпущенная котельными
35.30.12.130 Услуги по транспортированию горячей воды
13.20.11.129 Ткани готовые с массовой долей шелка не менее 85 % прочие
35.30.11.119 Энергия тепловая, отпущенная прочими электростанциями</t>
  </si>
  <si>
    <t>35.11.10.112 Электроэнергия, произведенная теплоэлектроцентралями (ТЭЦ) общего назначения
35.30.11.130 Энергия тепловая, отпущенная электрокотлами
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35.30.11.110 Энергия тепловая, отпущенная электростанциями
35.11.10.111 Электроэнергия, произведенная конденсационными электростанциями (КЭС) общего назначения ****</t>
  </si>
  <si>
    <t>За 3 года по 223ФЗ заключено  6 шт контрактов на сумму 37 211 196,51 ?</t>
  </si>
  <si>
    <t>61.1 Услуги телекоммуникационные проводные
61.10.3 Услуги по передаче данных по проводным телекоммуникационным сетям
63.11.21.000 Услуги по передаче потокового видео
61.10.52 Услуги связи для целей кабельного вещания, пакет по выбору
61.2 Услуги телекоммуникационные беспроводные
61.20.11.000 Услуги подвижной связи общего пользования - обеспечение доступа и поддержка пользователя
61.90.10.190 Услуги телекоммуникационные прочие, не включенные в другие группировки
61.10.43 Услуги по широкополосному доступу к информационно-коммуникационной сети Интернет по проводным сетям
61.90.10.130 Услуги по предоставлению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 д.
61.10.20 Услуги операторов связи в сфере проводных телекоммуникаций ****</t>
  </si>
  <si>
    <t>За весь период компания заключила  75 контрактов на сумму  84 560 523 879,59 ? За весь период заходили в конкурсы  122 раз на общую сумму обеспеченных контрактов с НМЦ 121 343 092 737,27 ? с БГУ  4 714 394 904,88 ? с БГИ 19 491 537 811,44 ? За 3 ГОДА по 44ФЗ заключено 135 шт. с объемом НМЦ  20 387 472 773,08 ? с БГИ 1 401 092 579,07 ? с БГГО 843 572,50 ? с авансированием до 113 183,32 ? с комиссией банку 71 244 136,64 ? с кв 619 823,99 ? ЗА 1 ГОД по 44ФЗ заключено 32 шт. c объемом НМЦ 5 229 981 662,17 ? с БГИ 536 452 794,85 ? с БГГО 158 119,20 ? с авансированием до  0,00 ? с комиссией банку  50 004 952,76 ? с кв 435 043,09 ? ЗА 3 ГОДА ПО 223 ФЗ заключено 28 шт. с объемом НМЦ 195 146 600,08 ? за 1 ГОД ПО 223ФЗ заключено 17  113 572 761,86 ?</t>
  </si>
  <si>
    <t>"223 за 3 года", "кл фт киб бг 04.22", "свод фт", ".", "рейтинг поставщиков в маркере по бг",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"223 фз контракты 20+", "44 фз с с БГ от 10 млн", "рейтинг заказчиков маркер", "рейтинг по нмц маркер", "это заказчик", "на фт заводил Середин", "поставщики маркер", "44 за 3 года"</t>
  </si>
  <si>
    <t>64.99 Услуги финансовые прочие, кроме услуг по страхованию и пенсионному обеспечению, не включенные в другие группировки</t>
  </si>
  <si>
    <t>За весь период компания заключила  4 контрактов на сумму  5 967 600 000,00 ?                                     ЗА 3 ГОДА ПО 223 ФЗ заключено 10 шт. с объемом НМЦ 1 867 250 000,00 ? за 1 ГОД ПО 223ФЗ заключено 6  2 360 000 000,00 ?</t>
  </si>
  <si>
    <t>"223 за 3 года", ".", "все клиенты с выручкой от 1,8 млрд до бесконечности", "223 фз контракты 20+", "рейтинг заказчиков маркер", "производители", "рейтинг по нмц маркер", "это заказчик", "crm управления", "crm Пител", "поставщики маркер"</t>
  </si>
  <si>
    <t>10.86.10.243 Соки фруктовые и фруктово-овощные для детского питания
10.13.13.121 Субпродукты домашних свиней пищевые соленые, в рассоле, сушеные или копченые
10.13.14.119 Изделия колбасные вареные мясные прочие
10.20.25.110 Консервы рыбные
10.20.33.110 Беспозвоночные водные прочие мороженые
03.11.20.126 Минтай свежий или охлажденный
03.12.12.123 Семга живая
10.13.14.100 Изделия колбасные вареные, в том числе фаршированные
10.61.21.113 Мука пшеничная хлебопекарная высшего сорта
10.13.14.113 Сардельки мясные ****</t>
  </si>
  <si>
    <t>За весь период заходили в конкурсы  1 раз на общую сумму обеспеченных контрактов с НМЦ 47 748 750,00 ? с БГУ  2 512 500,00 ? с БГИ 10 050 000,00 ?               ЗА 1 ГОД по 44ФЗ заключено 45 шт. c объемом НМЦ 48 395 594,04 ? с БГИ 6 542 889,33 ? с БГГО 0,00 ? с авансированием до  0,00 ? с комиссией банку  89 126,92 ? с кв 775,40 ?</t>
  </si>
  <si>
    <t>"223 за 3 года", ".", "рейтинг поставщиков в маркере по бг", "производители", "рейтинг по нмц маркер", "поставщики маркер", "44 за 3 года"</t>
  </si>
  <si>
    <t>20.16.10.119 Полиэтилен прочий
20.16.10.114 Полиэтилен линейный низкой плотности</t>
  </si>
  <si>
    <t>46.71 Услуги по оптовой торговле твердым, жидким и газообразным топливом и связанными продуктами
19.20.21 Топливо моторное, включая автомобильный и авиационный бензин
19.20.21.100 Бензин автомобильный
19.20.2 Топливо жидкое и газообразное; масла смазочные
19.20.21.300 Топливо дизельное
47.30.10.000 Услуги по розничной торговле моторным топливом в специализированных магазинах
20.59.4 Материалы смазочные; присадки; антифризы
19.20.21.123 Бензин автомобильный с октановым числом более 92, но не более 95 по исследовательскому методу экологического класса К3
19.20 Нефтепродукты</t>
  </si>
  <si>
    <t>"поставщики маркер", ".", "все клиенты с выручкой от 1,8 млрд до бесконечности", "crm управления", "crm Пител"</t>
  </si>
  <si>
    <t>20.42.15.190 Средства косметические для ухода за кожей прочие, не включенные в другие группировки
20 Вещества химические и продукты химические</t>
  </si>
  <si>
    <t>45.31.12.000 Услуги по оптовой торговле прочими автомобильными деталями, узлами и принадлежностями
45.20 Услуги по техническому обслуживанию и ремонту автотранспортных средств</t>
  </si>
  <si>
    <t>ЗА 3 ГОДА ПО 223 ФЗ заключено 1 шт. с объемом НМЦ 65 370 000,00 ?</t>
  </si>
  <si>
    <t>"223 за 3 года", ".", "fk1", "рейтинг по нмц маркер", "это заказчик", "поставщики маркер"</t>
  </si>
  <si>
    <t>20.20.14.000 Средства дезинфекционные
20.42.15.150 Средства защитные для кожи (включая солнцезащитные и для загара), не включенные в другие группировки
21.20.10.159 Антисептики и дезинфицирующие препараты прочие</t>
  </si>
  <si>
    <t>"в crm за Егоровым ", "свод фт", ".", "ушедший портфель", "ИНН 3 года - нет КД БГ на 01.10.22", "Список ушедший ", "корп 2",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"на фт заводил Егоров ", "crm управления"</t>
  </si>
  <si>
    <t>51.21 Услуги по перевозке грузов воздушным транспортом
51.21.14.000 Услуги по перевозке прочих грузов воздушным транспортом на нерегулярной основе
49.41.19.900 Услуги по перевозке грузов автомобильным транспортом прочие, не включенные в другие группировки</t>
  </si>
  <si>
    <t>за 1 ГОД ПО 223ФЗ заключено 1  4 850 000,00 ?</t>
  </si>
  <si>
    <t>28.14.12.110 Краны, клапаны для раковин, моек, биде, унитазов, ванн и аналогичная арматура
28.21.13.121 Оборудование индукционного электронагрева
27.51.24.180 Электросоковыжималки
28.29.31.112 Весы платформенные и бункерные
28.25.13.111 Шкафы холодильные
28.25.13.112 Камеры холодильные сборные
28.25.13.113 Прилавки, прилавки-витрины холодильные
28.93.15.124 Сковороды опрокидывающиеся, жаровни и фритюрницы
28.93.17.110 Машины для переработки мяса, овощей и теста (оборудование для механической обработки продуктов на предприятиях общественного питания)
28.93.32.000 Части оборудования для производства пищевых продуктов ****</t>
  </si>
  <si>
    <t>"поставщики маркер", ".", "fk1", "ПОС на 01.02.2023", "ПОС на 03.04.2023", "Кредитный портфель_01.11", "Банкроты ФБ 28.04.2023", "06.2022_ФинХД", "Ссуды ФБ 29.04.2022 банкр.", "клиенты с в от100млн 09.21", "Действующий клиент мсб с выр от 30 млн на 05.21", "все клиенты с выручкой от 1,8 млрд до бесконечности", "филиал бизнес 01.03.22", "филиал бизнес 22.11", "ФК клиенты с выручкой от 230 до бесконечности", "клиенты от 100 млн", "Обороты по клиентам по кварталам (2022г)", "Одобренные но не выданные 1 полугодие 2021"</t>
  </si>
  <si>
    <t>28.25.1 Теплообменники; оборудование промышленное для кондиционирования воздуха, холодильное и морозильное оборудование</t>
  </si>
  <si>
    <t>"Запрос в ЮД_просрочка на 01.01.2023", ".", "fk1", "просрочка на 01.01.2023 г."</t>
  </si>
  <si>
    <t>84.11.11.111 Услуги федеральных органов государственной власти, кроме полномочных представителей Президента Российской Федерации и территориальных органов федеральных органов исполнительной власти
05 Уголь
05.20.10.120 Уголь бурый обогащенный (лигнит)
05.20.10.110 Уголь бурый рядовой (лигнит)
05.10.10.131 Уголь марки Д - длиннопламенный</t>
  </si>
  <si>
    <t>За весь период контрактов 1 шт. на общую сумму НМЦ 9 642 095 167,00 ?</t>
  </si>
  <si>
    <t>"223 за 3 года", ".", "рейтинг поставщиков в маркере по бг", "все клиенты с выручкой от 1,8 млрд до бесконечности", "рейтинг заказчиков маркер", "рейтинг по нмц маркер", "44 за 3 года"</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</si>
  <si>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39.00.23.900 Услуги специализированные прочие по контролю над загрязнением окружающей среды, не включенные в другие группировки
36.00.20.140 Услуги по техническому обслуживанию приборов учета расхода воды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36.00.20 Услуги по очистке вод и распределению воды по водопроводам ****</t>
  </si>
  <si>
    <t>1 643</t>
  </si>
  <si>
    <t>За весь период компания заключила  2 контрактов на сумму  889 208 484,33 ?                                     ЗА 3 ГОДА ПО 223 ФЗ заключено 39 шт. с объемом НМЦ 92 903 008,90 ? за 1 ГОД ПО 223ФЗ заключено 12  41 400 725,15 ?</t>
  </si>
  <si>
    <t>20.59.52.199 Реагенты сложные диагностические или лабораторные прочие, не включенные в другие группировки
20.20.14.000 Средства дезинфекционные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32.50.21.112 Оборудование терапевтические
32.50.21.122 Аппараты дыхательные реанимационные
32.50.22.190 Протезы органов человека, не включенные в другие группировки
20.59.52.194 Реактивы химические общелабораторного назначения
26.60.11.113 Аппараты рентгенографические
26.60.12.119 Аппараты электродиагностические прочие ****</t>
  </si>
  <si>
    <t>За весь период компания заключила  9 контрактов на сумму  571 035 079,87 ? За весь период заходили в конкурсы  21 раз на общую сумму обеспеченных контрактов с НМЦ 1 544 695 969,28 ? с БГУ  37 946 443,57 ? с БГИ 293 937 715,73 ? За 3 ГОДА по 44ФЗ заключено 86 шт. с объемом НМЦ  963 260 643,27 ? с БГИ 89 248 624,34 ? с БГГО 17 028 820,30 ? с авансированием до 14 500,00 ? с комиссией банку 701 467,80 ? с кв 6 102,77 ? ЗА 1 ГОД по 44ФЗ заключено 32 шт. c объемом НМЦ 399 348 769,16 ? с БГИ 39 604 135,87 ? с БГГО 385 000,00 ? с авансированием до  11 900,00 ? с комиссией банку  331 053,30 ? с кв 2 880,16 ?</t>
  </si>
  <si>
    <t>"223 за 3 года", "свод фт", ".", "рейтинг поставщиков в маркере по бг", "все клиенты с выручкой от 1,8 млрд до бесконечности", "ФК клиенты с выручкой от 230 до бесконечности", "Одобренные но не выданные 1 полугодие 2021", "Все БГ Держава ", "производители", "рейтинг по нмц маркер", "на фт заводил Мамонтова", "поставщики маркер", "44 за 3 года"</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</si>
  <si>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27.90 Оборудование электрическое прочее
27.12.31.000 Панели и прочие комплекты электрической аппаратуры коммутации или защиты на напряжение не более 1 кВ
27.11.4 Трансформаторы электрические</t>
  </si>
  <si>
    <t>"поставщики маркер", ".", "fk1", "ПОС на 01.02.2023", "корп 2",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t>
  </si>
  <si>
    <t>01.11.12.110 Пшеница озимая мягкая
01.11.31.110 Зерно озимого ячменя</t>
  </si>
  <si>
    <t>10.82 Какао, шоколад и изделия кондитерские сахаристые
10.39 Фрукты, овощи и грибы переработанные и консервированные, не включенные в другие группировки
10.89 Продукты пищевые прочие, не включенные в другие группировки
68.20.12.000 Услуги по сдаче в аренду (внаем) собственных или арендованных нежилых помещений</t>
  </si>
  <si>
    <t>20.59.52.199 Реагенты сложные диагностические или лабораторные прочие, не включенные в другие группировки
20.14.11.110 Углеводороды ациклические насыщенные
33.12 Услуги по ремонту оборудования
20.59.52.190 Реагенты сложные диагностические или лабораторные, не включенные в другие группировки
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t>
  </si>
  <si>
    <t>За весь период контрактов 1 шт. на общую сумму НМЦ 601 800 000,00 ?</t>
  </si>
  <si>
    <t>Сообщение кредитора о намерении обратиться в суд с заявлением о банкротстве от 13.02.2023</t>
  </si>
  <si>
    <t>19.20.21.125 Бензин автомобильный с октановым числом более 92, но не более 95 по исследовательскому методу экологического класса К5
19.20.21.135 Бензин автомобильный с октановым числом более 95, но не более 98 по исследовательскому методу экологического класса К5
19.20.21.300 Топливо дизельное</t>
  </si>
  <si>
    <t>21.20.21.133 Вакцины бактериальные профилактические ассоциированные, применяемые в ветеринарии
21.20.23.199 Средства нелечебные прочие
21.20.24.140 Пакеты перевязочные медицинские
21.10.20.130 Фосфоаминолипиды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21.20.10.118 Препараты, способствующие пищеварению, включая ферментные препараты
21.20.10.133 Препараты антианемические
21.20.10.155 Препараты для лечения псориаза
21.20.10.172 Препараты для лечения гинекологических заболеваний прочие ****</t>
  </si>
  <si>
    <t>За весь период компания заключила  12 контрактов на сумму  1 750 109 541,57 ? За весь период заходили в конкурсы  27 раз на общую сумму обеспеченных контрактов с НМЦ 1 175 350 780,00 ? с БГУ  13 011 429,37 ? с БГИ 130 114 293,76 ? За 3 ГОДА по 44ФЗ заключено 1445 шт. с объемом НМЦ  1 519 680 060,60 ? с БГИ 129 450 008,59 ? с БГГО 698 908,20 ? с авансированием до 0,00 ? с комиссией банку 2 100 119,73 ? с кв 18 271,04 ? ЗА 1 ГОД по 44ФЗ заключено 404 шт. c объемом НМЦ 490 977 310,51 ? с БГИ 40 702 856,64 ? с БГГО 8 092,07 ? с авансированием до  0,00 ? с комиссией банку  855 341,26 ? с кв 7 441,47 ?</t>
  </si>
  <si>
    <t>46.12.11.000 Услуги по оптовой торговле твердым, жидким и газообразным топливом и связанными продуктами за вознаграждение или на договорной основе</t>
  </si>
  <si>
    <t>За весь период контрактов 5 шт. на общую сумму НМЦ 15 409 420 096,56 ?</t>
  </si>
  <si>
    <t>На 04.04.2023 16:51 имеются действующие решения ФНС о приостановлении операций по счетам, Юридическим лицом принято решение об изменении места нахождения от 21.03.2023, Сообщение кредитора о намерении обратиться в суд с заявлением о банкротстве от 01.12.2022</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</si>
  <si>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42.99.12.124 Территории парковые и парки для отдыха
43.39.19.190 Работы завершающие и отделочные в зданиях и сооружениях, прочие, не включенные в другие группировки
42.21.22.190 Работы строительные по прокладке местных трубопроводов прочих жидкостей и газов
42.21.13.125 Сооружение очистное-водоснабжения
42.22.12.111 Линии электропередачи местные воздушные
42.21 Сооружения и строительные работы по строительству инженерных коммуникаций для жидкостей и газов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 ****</t>
  </si>
  <si>
    <t>За весь период компания заключила  19 контрактов на сумму  2 233 392 566,76 ? За весь период заходили в конкурсы  44 раз на общую сумму обеспеченных контрактов с НМЦ 5 596 192 846,18 ? с БГУ  232 114 979,69 ? с БГИ 1 131 861 692,17 ? За 3 ГОДА по 44ФЗ заключено 20 шт. с объемом НМЦ  1 354 920 521,51 ? с БГИ 313 360 255,12 ? с БГГО 43 085 077,74 ? с авансированием до 206 577 585,96 ? с комиссией банку 2 324 446,77 ? с кв 20 222,69 ? ЗА 1 ГОД по 44ФЗ заключено 8 шт. c объемом НМЦ 130 954 908,38 ? с БГИ 23 095 490,64 ? с БГГО 6 107 449,47 ? с авансированием до  0,00 ? с комиссией банку  212 324,73 ? с кв 1 847,23 ?</t>
  </si>
  <si>
    <t>Сообщения о принятии решения о реорганизации от 21.05.2021</t>
  </si>
  <si>
    <t>"223 за 3 года", "свод фт", ".", "рейтинг поставщиков в маркере по бг", "ФК клиенты с выручкой от 230 до бесконечности", "Одобренные но не выданные 1 полугодие 2021", "44 фз с с БГ от 10 млн", "Все БГ Держава ", "производители", "рейтинг по нмц маркер", "на фт заводил Удод", "поставщики маркер", "44 за 3 года"</t>
  </si>
  <si>
    <t>20.20.14.000 Средства дезинфекционные
20.20.15.000 Фунгициды
20.20.19.000 Пестициды прочие и агрохимические продукты прочие
20.20.11.000 Инсектициды
20.20.12.000 Гербициды
20.15.3 Удобрения азотные минеральные или химические
01.11.95.110 Семена подсолнечника для посева
20.15.75.000 Удобрения, содержащие два питательных элемента: фосфор и калий</t>
  </si>
  <si>
    <t>Юридическое лицо находится в процессе реорганизации в форме присоединения к нему других юридических лиц от 25.04.2023, Сообщения о принятии решения о реорганизации от 25.04.2023</t>
  </si>
  <si>
    <t>Сообщения о принятии решения о реорганизации от 04.06.2021</t>
  </si>
  <si>
    <t>28.30.22.110 Тракторы сельскохозяйственные колесные с мощностью двигателя от 37 кВт до 59 кВт
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45.11 Услуги по торговле легковыми автомобилями и грузовыми автомобилями малой грузоподъемности
45.11.21.000 Услуги по розничной торговле новыми пассажирскими автотранспортными средствами в специализированных магазинах
45.11.39.000 Услуги по розничной торговле легковыми автомобилями и грузовыми автомобилями малой грузоподъемности прочие, не включенные в другие группировки
46.69.13 Услуги по оптовой торговле подъемно-транспортными машинами и оборудованием
30.99.10.190 Средства транспортные и оборудование прочие, не включенные в другие группировки ****</t>
  </si>
  <si>
    <t>За весь период компания заключила  14 контрактов на сумму  1 724 529 173,36 ? За весь период заходили в конкурсы  44 раз на общую сумму обеспеченных контрактов с НМЦ 3 599 829 898,74 ? с БГУ  109 165 209,42 ? с БГИ 1 557 264 658,06 ?                             ЗА 3 ГОДА ПО 223 ФЗ заключено 26 шт. с объемом НМЦ 300 635 389,29 ? за 1 ГОД ПО 223ФЗ заключено 7  61 874 600,00 ?</t>
  </si>
  <si>
    <t>"223 за 3 года", ".", "рейтинг поставщиков в маркере по бг",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"производители", "рейтинг по нмц маркер", "это заказчик", "поставщики маркер", "44 за 3 года"</t>
  </si>
  <si>
    <t>За весь период компания заключила  6 контрактов на сумму  6 888 214 267,13 ? За весь период заходили в конкурсы  4 раз на общую сумму обеспеченных контрактов с НМЦ 752 021 390,00 ? с БГУ  63 334 258,20 ? с БГИ 451 212 834,00 ?</t>
  </si>
  <si>
    <t>"поставщики маркер", ".", "рейтинг поставщиков в маркере по бг", "рейтинг по нмц маркер", "crm управления", "в crm за Муслимом"</t>
  </si>
  <si>
    <t>"44 за 3 года", ".", "райф", "поставщики маркер"</t>
  </si>
  <si>
    <t>26.20.12.110 Терминалы кассовые, подключаемые к компьютеру или сети передачи данных
26.20.16.150 Сканеры
26.80.13 Носители данных прочие, включая матрицы и основы для производства дисков
17.12.14.141 Бумага специального назначения
28.23.13.120 Аппараты контрольно-кассовые
28.23.25.000 Части и принадлежности прочих офисных машин
58.29.29.000 Обеспечение программное прикладное прочее на электронном носителе
46.51.10.110 Услуги по оптовой торговле компьютерами, компьютерными периферийными устройствами
62.02 Услуги консультативные, связанные с компьютерной техникой
62.02.30 Услуги по технической поддержке информационных технологий ****</t>
  </si>
  <si>
    <t>6 074</t>
  </si>
  <si>
    <t>За 3 года по 223ФЗ заключено  38 шт контрактов на сумму 30 927 869,48 ?</t>
  </si>
  <si>
    <t>68.10.14.000 Услуги по покупке и продаже нежилых зданий и занимаемых ими земельных участков
43.21.10.130 Работы по монтажу сетей электроосвещения и электроснабжения и электроарматуры для систем аварийного электроснабжения
41.20.40.900 Работы строительные по возведению нежилых зданий и сооружений прочие, не включенные в другие группировки
43.22.12.140 Работы по ремонту и техническому обслуживанию бытовых отопительных котлов и бойлеров
43.11.10.000 Работы по сносу зданий и сооружений
43.22.12.190 Работы по монтажу систем отопления, вентиляции и кондиционирования воздуха прочие, не включенные в другие группировки
25.29.11.910 Резервуары, цистерны, баки и аналогичные емкости (кроме емкостей для сжатых или сжиженных газов) из черных металлов и алюминия, вместимостью более 300 л, без механического или теплотехнического оборудования прочие
43.22.11.190 Работы по монтажу водопроводных и канализационных систем прочие, не включенные в другие группировки</t>
  </si>
  <si>
    <t>За весь период заходили в конкурсы  3 раз на общую сумму обеспеченных контрактов с НМЦ 123 733 524,00 ? с БГУ  29 911 587,00 ? с БГИ 134 269 158,00 ?</t>
  </si>
  <si>
    <t>"44 за 3 года", "кл фт мсб бг 04.22", ".", "рейтинг поставщиков в маркере по бг", "fk1", "все клиенты с выручкой от 1,8 млрд до бесконечности", "портфель", "клиенты от 100 млн", "действующие б не прям", "ФТ клиенты с продуктами по сотрудникам", "производители", "рейтинг по нмц маркер", "поставщики маркер"</t>
  </si>
  <si>
    <t>61.1 Услуги телекоммуникационные проводные
61.10.3 Услуги по передаче данных по проводным телекоммуникационным сетям
61.10.30.120 Услуги документальной электросвязи
61.2 Услуги телекоммуникационные беспроводные
61.20.11.000 Услуги подвижной связи общего пользования - обеспечение доступа и поддержка пользователя
61.90.10.190 Услуги телекоммуникационные прочие, не включенные в другие группировки
61.10.12 Услуги фиксированной телефонной связи дополнительные
61.10.43 Услуги по широкополосному доступу к информационно-коммуникационной сети Интернет по проводным сетям
61.90.10.130 Услуги по предоставлению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 д.
61.10.20 Услуги операторов связи в сфере проводных телекоммуникаций ****</t>
  </si>
  <si>
    <t>За весь период контрактов 100 шт. на общую сумму НМЦ 41 714 267 002,81 ?</t>
  </si>
  <si>
    <t>Сообщения о принятии решения о реорганизации от 17.11.2020</t>
  </si>
  <si>
    <t>"223 за 3 года", ".", "рейтинг поставщиков в маркере по бг", "беники", "fk1", "ИНН_договоры_октябрь_", "Кредитный портфель_01.11", "06.2022_ФинХД", "все клиенты с выручкой от 1,8 млрд до бесконечности", "клиенты от 100 млн", "рейтинг заказчиков маркер", "рейтинг по нмц маркер", "это заказчик", "поставщики маркер", "44 за 3 года"</t>
  </si>
  <si>
    <t>19.2 Нефтепродукты
46.71.12.000 Услуги по оптовой торговле моторным топливом, включая авиационный бензин
19.20.21 Топливо моторное, включая автомобильный и авиационный бензин
19.20.21.100 Бензин автомобильный
19.20.21.310 Топливо дизельное летнее
19.20.42.121 Битумы нефтяные дорожные
19.20.21.125 Бензин автомобильный с октановым числом более 92, но не более 95 по исследовательскому методу экологического класса К5
19.20.21.335 Топливо дизельное арктическое экологического класса К5
46.71.13.120 Услуги по оптовой торговле мазутом
19.20.21.315 Топливо дизельное летнее экологического класса К5 ****</t>
  </si>
  <si>
    <t>За весь период компания заключила  21 контрактов на сумму  2 949 730 382,15 ? За весь период заходили в конкурсы  2 раз на общую сумму обеспеченных контрактов с НМЦ 185 458 356,59 ? с БГУ  9 977 792,88 ? с БГИ 29 933 378,64 ?                             ЗА 3 ГОДА ПО 223 ФЗ заключено 5 шт. с объемом НМЦ 247 502 708,31 ? за 1 ГОД ПО 223ФЗ заключено 3  182 529 773,00 ?</t>
  </si>
  <si>
    <t>"223 за 3 года", ".", "рейтинг поставщиков в маркере по бг", "ГРАНДИОЗНЫЙ ПРОЕКТ 223", "все клиенты с выручкой от 1,8 млрд до бесконечности", "Участники клиринга", "223 фз контракты 20+", "рейтинг по нмц маркер", "поставщики маркер", "44 за 3 года"</t>
  </si>
  <si>
    <t>21.20.23.199 Средства нелечебные прочие
21 Средства лекарственные и материалы, применяемые в медицинских целях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21.20.10.191 Препараты антибактериальные для системного использования
21.20.10.213 Иммуномодуляторы
21.20.10.241 Препараты противопротозойные
21.20.23.190 Препараты фармацевтические прочие
21.20.23.195 Средства хирургической десмургии ****</t>
  </si>
  <si>
    <t>За весь период компания заключила  63 контрактов на сумму  11 716 014 896,18 ? За весь период заходили в конкурсы  160 раз на общую сумму обеспеченных контрактов с НМЦ 17 263 825 413,08 ? с БГУ  499 407 141,25 ? с БГИ 2 142 368 097,96 ? За 3 ГОДА по 44ФЗ заключено 3682 шт. с объемом НМЦ  15 562 133 354,08 ? с БГИ 1 478 630 089,30 ? с БГГО 15 888 433,29 ? с авансированием до 250 367,84 ? с комиссией банку 21 231 391,93 ? с кв 184 713,11 ? ЗА 1 ГОД по 44ФЗ заключено 1372 шт. c объемом НМЦ 4 557 420 028,09 ? с БГИ 470 292 188,96 ? с БГГО 51 293,54 ? с авансированием до  9 728,99 ? с комиссией банку  6 884 408,22 ? с кв 59 894,35 ? ЗА 3 ГОДА ПО 223 ФЗ заключено 123 шт. с объемом НМЦ 890 176 230,80 ? за 1 ГОД ПО 223ФЗ заключено 37  198 348 727,37 ?</t>
  </si>
  <si>
    <t>"223 за 3 года", ".", "рейтинг поставщиков в маркере по бг", "Конкурсы 100+ (Восстановленный)",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"44 фз с с БГ от 10 млн", "производители", "рейтинг по нмц маркер", "поставщики маркер", "44 за 3 года"</t>
  </si>
  <si>
    <t>21.20.23.199 Средства нелечебные прочие
21.20.24.140 Пакеты перевязочные медицинские
21 Средства лекарственные и материалы, применяемые в медицинских целях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21.20.10.242 Препараты противогельминтные ****</t>
  </si>
  <si>
    <t>За весь период компания заключила  6 контрактов на сумму  638 023 001,09 ?                                         за 1 ГОД ПО 223ФЗ заключено 1  1 700 000 000,00 ?</t>
  </si>
  <si>
    <t>"223 за 3 года", ".", "Конкурсы 100+ (Восстановленный)", "все клиенты с выручкой от 1,8 млрд до бесконечности", "223 фз контракты 20+", "рейтинг по нмц маркер", "поставщики маркер", "44 за 3 года"</t>
  </si>
  <si>
    <t>28.21.13.119 Электропечи и камеры промышленные или лабораторные прочие, не включенные в другие группировки
28.21.13.121 Оборудование индукционного электронагрева
20.14.41.140 Моноамины ароматические и их производные, соли этих соединений
27.40.12.000 Лампы накаливания галогенные с вольфрамовой нитью, кроме ультрафиолетовых или инфракрасных ламп
20.14.61.000 Соединения с альдегидной функциональной группой
22.22.14.000 Бутыли, бутылки, флаконы и аналогичные изделия из пластмасс
22.22.19.000 Изделия упаковочные пластмассовые прочие
20.16.20.122 Сополимеры акрилонитрилбутадиенстирольные (АБС-пластик) в первичных формах
27.90.33.110 Комплектующие (запасные части) прочего электрического оборудования, не имеющие самостоятельных группировок
20.14.23.119 Диолы прочие ****</t>
  </si>
  <si>
    <t>За весь период компания заключила  21 контрактов на сумму  5 667 052 410,05 ? За весь период заходили в конкурсы  36 раз на общую сумму обеспеченных контрактов с НМЦ 6 513 123 710,02 ? с БГУ  84 899 481,62 ? с БГИ 524 941 495,43 ? За 3 ГОДА по 44ФЗ заключено 1403 шт. с объемом НМЦ  4 008 386 993,80 ? с БГИ 415 773 497,57 ? с БГГО 44 232 228,41 ? с авансированием до 221 214 425,42 ? с комиссией банку 2 827 813,20 ? с кв 24 601,97 ? ЗА 1 ГОД по 44ФЗ заключено 442 шт. c объемом НМЦ 1 626 232 772,96 ? с БГИ 182 203 006,05 ? с БГГО 14 889 547,26 ? с авансированием до  159 360 208,70 ? с комиссией банку  1 308 311,44 ? с кв 11 382,31 ? ЗА 3 ГОДА ПО 223 ФЗ заключено 303 шт. с объемом НМЦ 352 775 472,73 ? за 1 ГОД ПО 223ФЗ заключено 56  109 408 805,29 ?</t>
  </si>
  <si>
    <t>"223 за 3 года", ".", "рейтинг поставщиков в маркере по бг", "fk1", "Кредитный портфель_01.11", "Пункт 3.1 09.01.2023",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"44 фз с с БГ от 10 млн", "производители", "рейтинг по нмц маркер", "поставщики маркер", "44 за 3 года"</t>
  </si>
  <si>
    <t>19.20.21.341 Топливо дизельное межсезонное вне классов
19.20.21.321 Топливо дизельное зимнее вне классов
19.20.21.324 Топливо дизельное зимнее экологического класса К4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19.20.21.125 Бензин автомобильный с октановым числом более 92, но не более 95 по исследовательскому методу экологического класса К5
19.20.21.145 Бензин автомобильный с октановым числом более 98 по исследовательскому методу экологического класса К5
19.20.21.120 Бензин автомобильный с октановым числом более 92, но не более 95 по исследовательскому методу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t>
  </si>
  <si>
    <t>ЗА 3 ГОДА ПО 223 ФЗ заключено 11 шт. с объемом НМЦ 23 049 046,00 ?</t>
  </si>
  <si>
    <t>"223 за 3 года", ".", "производители", "crm управления", "crm Пител", "поставщики маркер", "44 за 3 года"</t>
  </si>
  <si>
    <t>10.11.3 Мясо и пищевые субпродукты замороженные, в том числе для детского питания
10.11.32 Свинина замороженная, в том числе для детского питания</t>
  </si>
  <si>
    <t>10.86.10.210 Консервы на овощной, овоще-фруктовой основах для детского питания, кроме томатных
10.86.10.139 Смеси молочные сухие прочие для детей раннего возраста
10.86.10.190 Продукция молочная для детского питания прочая
10.86.10.133 Смеси молочные адаптированные (заменители женского молока), в том числе начальные, сухие для детей раннего возраста
10.86.10.400 Продукция для детского питания на зерновой основе
10.86.10.121 Смеси молочные адаптированные, в том числе начальные (заменители женского молока), для детей раннего возраста</t>
  </si>
  <si>
    <t>19.20.21.341 Топливо дизельное межсезонное вне классов
19.20.22 Топливо реактивное бензинового типа
19.20.21.124 Бензин автомобильный с октановым числом более 92, но не более 95 по исследовательскому методу экологического класса К4
19.20.21.321 Топливо дизельное зимнее вне классов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t>
  </si>
  <si>
    <t>"223 за 3 года", ".", "инн Вавилова", "fk1", "ПОС на 01.02.2023", "ПОС на 03.04.2023", "Кредитный портфель_01.11", "корп 1", "06.2022_ФинХД", "клиенты с в от100млн 09.21", "все клиенты с выручкой от 1,8 млрд до бесконечности", "клиенты от 100 млн", "Обороты по клиентам по кварталам (2022г)", "Участники клиринга", "поставщики маркер", "44 за 3 года"</t>
  </si>
  <si>
    <t>27.40.24.113 Указатели светящиеся, предназначенные для использования со светодиодными лампами и прочими светодиодными источниками света</t>
  </si>
  <si>
    <t>28.93.20.000 Машины для очистки, сортировки или калибровки семян, зерна или сухих бобовых культур
22.21.29 Трубы, трубки и шланги и их фитинги прочие пластмассовые</t>
  </si>
  <si>
    <t>ПОС на 03.04.3171</t>
  </si>
  <si>
    <t>"223 за 3 года", ".", "fk1", "ПОС на 01.02.2023", "ПОС на 03.04.2023", "корп 1", "06.2022_ФинХД", "клиенты от 100 млн", "Обороты по клиентам по кварталам (2022г)", "поставщики маркер", "44 за 3 года"</t>
  </si>
  <si>
    <t>31.01.12.110 Столы письменные деревянные для офисов, административных помещений
25.99.29.190 Изделия прочие из недрагоценных металлов, не включенные в другие группировки</t>
  </si>
  <si>
    <t>ЗА 3 ГОДА ПО 223 ФЗ заключено 1 шт. с объемом НМЦ 73 345 650,00 ? за 1 ГОД ПО 223ФЗ заключено 1  97 959 176,97 ?</t>
  </si>
  <si>
    <t>"223 за 3 года", "кл фт прямые бг 04.22", "свод фт", ".", "Рассрочка КВ Март 2023", "Евразия(Заболотний)_n (22)", "беники", "УПП на 2 номер", "fk1", "клиенты управления по БГ без открытых счетов", "2. Финтендер 2022 31.03.22 Григорян для СПАРК", "БГ ФБ ЮР лица на 01.07.2021", "Премия 4 кв 22 г.бг", "филиал бизнес 31.01.22 ", "клиенты с в от100млн 09.21", "ФК клиенты с выручкой от 230 до бесконечности", "клиенты от 100 млн", "Обороты по клиентам по кварталам (2022г)", "Одобренные но не выданные 1 полугодие 2021", "ФТ клиенты с продуктами по сотрудникам", "223 фз контракты 20+", "на фт заводил Еприкян", "поставщики маркер"</t>
  </si>
  <si>
    <t>19.20.24.120 Керосины осветительные
19.20.21.124 Бензин автомобильный с октановым числом более 92, но не более 95 по исследовательскому методу экологического класса К4
46.71 Услуги по оптовой торговле твердым, жидким и газообразным топливом и связанными продуктами
19.20.21.321 Топливо дизельное зимнее вне классов
19.20.21.440 Топливо судовое с массовой долей серы не более 0,5 % с температурой вспышки в закрытом тигле не ниже 61 °C
19.20.21 Топливо моторное, включая автомобильный и авиационный бензин
19.20.21.100 Бензин автомобильный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19.20.21.145 Бензин автомобильный с октановым числом более 98 по исследовательскому методу экологического класса К5 ****</t>
  </si>
  <si>
    <t>За весь период компания заключила  12 контрактов на сумму  529 669 660,74 ? За весь период заходили в конкурсы  7 раз на общую сумму обеспеченных контрактов с НМЦ 598 727 940,88 ? с БГУ  17 908 102,50 ? с БГИ 108 493 200,00 ?                             ЗА 3 ГОДА ПО 223 ФЗ заключено 7 шт. с объемом НМЦ 65 845 380,90 ? за 1 ГОД ПО 223ФЗ заключено 1  66 500 000,00 ?</t>
  </si>
  <si>
    <t>"223 за 3 года", ".", "рейтинг поставщиков в маркере по бг", "Участники клиринга", "223 фз контракты 20+", "производители", "рейтинг по нмц маркер", "поставщики маркер", "44 за 3 года"</t>
  </si>
  <si>
    <t>32.91.12.110 Щетки зубные, включая щетки для зубных протезов
26.60.12.129 Приборы и аппараты для функциональной диагностики прочие, применяемые в медицинских целях, не включенные в другие группировки</t>
  </si>
  <si>
    <t>ПОС на 03.04.3174</t>
  </si>
  <si>
    <t>"Обороты по клиентам по кварталам (2022г)", ".", "fk1", "ПОС на 01.02.2023", "ПОС на 03.04.2023", "Кредитный портфель_01.11", "06.2022_ФинХД", "клиенты от 100 млн"</t>
  </si>
  <si>
    <t>71.12.13 Услуги по инженерно-техническому проектированию систем энергоснабжения
43.21.10.120 Работы электромонтажные, связанные с установкой приборов
43.21.10.290 Работы электромонтажные прочие, не включенные в другие группировки
26.8 Носители информации магнитные и оптические
42 Сооружения и строительные работы в области гражданского строительства</t>
  </si>
  <si>
    <t>За весь период компания заключила  19 контрактов на сумму  1 533 010 918,53 ?                                     ЗА 3 ГОДА ПО 223 ФЗ заключено 11 шт. с объемом НМЦ 557 767 069,72 ? за 1 ГОД ПО 223ФЗ заключено 3  613 640 008,78 ?</t>
  </si>
  <si>
    <t>27.31 Кабели волоконно-оптические
62.01 Продукты программные и услуги по разработке и тестированию программного обеспечения
27.32 Провода и кабели электронные и электрические прочие
26.3 Оборудование коммуникационное
62.0 Продукты программные и услуги по разработке программного обеспечения; консультационные и аналогичные услуги в области информационных технологий
26.30.11.110 Средства связи, выполняющие функцию систем коммутации
62.01.29.000 Оригиналы программного обеспечения прочие
46.52 Услуги по оптовой торговле электронным и телекоммуникационным оборудованием и его частями</t>
  </si>
  <si>
    <t>За весь период компания заключила  11 контрактов на сумму  13 870 785 196,60 ?</t>
  </si>
  <si>
    <t>27.90.52.000 Конденсаторы постоянной емкости прочие
27.40.42.000 Части светильников и осветительных устройств
26.11.40.190 Части прочих электронных компонентов, не включенные в другие группировки
26.11.22.210 Светодиоды</t>
  </si>
  <si>
    <t>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42.99.12.124 Территории парковые и парки для отдыха
41.20.40.900 Работы строительные по возведению нежилых зданий и сооружений прочие, не включенные в другие группировки
42.99.21.122 Работы строительные по ремонту сооружений для обрабатывающей промышленности
43.21.10.290 Работы электромонтажные прочие, не включенные в другие группировки
62.01.11.000 Услуги по проектированию и разработке информационных технологий для прикладных задач и тестированию программного обеспечения
62.02.30.000 Услуги по технической поддержке информационных технологий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</si>
  <si>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10 контрактов на сумму  6 735 958 873,50 ? За весь период заходили в конкурсы  10 раз на общую сумму обеспеченных контрактов с НМЦ 4 600 867 773,66 ? с БГУ  295 329 628,53 ? с БГИ 1 124 331 344,98 ?               ЗА 1 ГОД по 44ФЗ заключено 2 шт. c объемом НМЦ 893 862 326,24 ? с БГИ 44 769 116,31 ? с БГГО 44 617 116,31 ? с авансированием до  44 617 116,31 ? с комиссией банку  1 032 777,16 ? с кв 8 985,16 ? ЗА 3 ГОДА ПО 223 ФЗ заключено 4 шт. с объемом НМЦ 1 854 389 104,53 ?</t>
  </si>
  <si>
    <t>"223 за 3 года", "кл фт ФК БГ 04.22", ".", "рейтинг поставщиков в маркере по бг", "ГРАНДИОЗНЫЙ ПРОЕКТ", "Агентские отказ из-за непред-я док-ов", "fk1",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"44 фз с с БГ от 10 млн", "рейтинг по нмц маркер", "поставщики маркер", "44 за 3 года"</t>
  </si>
  <si>
    <t>30.99.10.190 Средства транспортные и оборудование прочие, не включенные в другие группировки
45.20.11.519 Прочие услуги по техническому обслуживанию и ремонту прочих автотранспортных средств, не включенные в другие группировки
29.10.4 Средства автотранспортные грузовые
29.10.41.110 Автомобили грузовые с дизельным двигателем
29.10.44.000 Шасси с установленными двигателями для автотранспортных средств
45.20.21.111 Услуги по регламентным работам (по видам технического обслуживания)
29.10 Средства автотранспортные
29.10.59.280 Средства транспортные - фургоны для перевозки пищевых продуктов
29.32.30.390 Части и принадлежности для автотранспортных средств прочие, не включенные в другие группировки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t>
  </si>
  <si>
    <t>ЗА 3 ГОДА ПО 223 ФЗ заключено 3 шт. с объемом НМЦ 22 726 293,32 ? за 1 ГОД ПО 223ФЗ заключено 5  35 528 626,65 ?</t>
  </si>
  <si>
    <t>"223 за 3 года", ".", "fk1", "инн Красносельская", "ПОС на 01.02.2023", "ПОС на 03.04.2023", "Кредитный портфель_01.11", "корп 1", "Агентские одобренные но не выданные от 30.08",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"44 за 3 года"</t>
  </si>
  <si>
    <t>29.32.30.132 Колодки с накладками в сборе для дисковых и барабанных тормозов, фрикционные накладки для барабанных и дисковых тормозов
29.32.30.390 Части и принадлежности для автотранспортных средств прочие, не включенные в другие группировки</t>
  </si>
  <si>
    <t>За весь период заходили в конкурсы  1 раз на общую сумму обеспеченных контрактов с НМЦ 93 083 733,46 ? с БГУ  949 834,02 ? с БГИ 9 498 340,15 ?</t>
  </si>
  <si>
    <t>28.14.12.110 Краны, клапаны для раковин, моек, биде, унитазов, ванн и аналогичная арматура
27.51.13.120 Машины сушильные бытовые
22.22.14.000 Бутыли, бутылки, флаконы и аналогичные изделия из пластмасс
22.22.19.000 Изделия упаковочные пластмассовые прочие
22.29 Изделия пластмассовые прочие
23.13.13.111 Посуда столовая и кухонная из хрусталя
20.42.15 Средства для ухода за кожей, макияжа или защитные средства для кожи (включая солнцезащитные и для загара), не включенные в другие группировки
20.42.16.110 Шампуни
21.20.23.110 Реагенты диагностические
21.20.23.199 Средства нелечебные прочие ****</t>
  </si>
  <si>
    <t>ЗА 3 ГОДА ПО 223 ФЗ заключено 122 шт. с объемом НМЦ 32 242 847,15 ? за 1 ГОД ПО 223ФЗ заключено 27  9 362 778,54 ?</t>
  </si>
  <si>
    <t>ПОС на 03.04.3181</t>
  </si>
  <si>
    <t>"Обороты по клиентам по кварталам (2022г)", ".", "fk1", "ПОС на 01.02.2023", "корп 2", "ПОС на 03.04.2023", "Кредитный портфель_01.11", "06.2022_ФинХД", "все клиенты с выручкой от 1,8 млрд до бесконечности", "клиенты от 100 млн"</t>
  </si>
  <si>
    <t>71.20.19 Услуги по техническим испытаниям и анализу прочие
33.19.10.000 Услуги по ремонту прочего оборудования
28.12.20.000 Части гидравлического и пневматического силового оборудования
25.11.23.110 Конструкции и детали конструкций из черных металлов
25.94.11 Изделия крепежные резьбовые из черных металлов, не включенные в другие группировки
28.13.31.110 Комплектующие (запасные части) насосов, не имеющие самостоятельных группировок
27.11.61.110 Комплектующие (запасные части) электродвигателей, не имеющие самостоятельных группировок
72.19 Услуги, связанные с научными исследованиями и экспериментальными разработками в области естественных и технических наук, прочие
25.62.20.000 Услуги по обработке металлических изделий с использованием прочих основных технологических процессов машиностроения
25.94.11.140 Шпильки из черных металлов ****</t>
  </si>
  <si>
    <t>За весь период компания заключила  85 контрактов на сумму  105 533 738 026,64 ?</t>
  </si>
  <si>
    <t>"поставщики маркер", ".", "беники", "все клиенты с выручкой от 1,8 млрд до бесконечности", "рейтинг заказчиков маркер", "производители", "рейтинг по нмц маркер", "это заказчик"</t>
  </si>
  <si>
    <t>2 941</t>
  </si>
  <si>
    <t>ЗА 3 ГОДА ПО 223 ФЗ заключено 11 шт. с объемом НМЦ 427 551 941,16 ?</t>
  </si>
  <si>
    <t>25.92.11.000 Банки консервные из черных металлов, закрываемые пайкой или отбортовкой, вместимостью менее 50 л
25.92.13.000 Пробки и заглушки, колпачки и крышки корончатые из недрагоценных металлов</t>
  </si>
  <si>
    <t>"в crm за Кашиным", "свод фт", ".", "ушедшие", "все клиенты с выручкой от 1,8 млрд до бесконечности", "рейтинг заказчиков маркер", "производители", "на фт заводил Кашин", "crm управления"</t>
  </si>
  <si>
    <t>37.00.11.110 Услуги по водоотведению сточных вод
36.00.20.130 Услуги по транспортированию и распределению воды по водопроводам</t>
  </si>
  <si>
    <t>"Участники клиринга", ".", "все клиенты с выручкой от 1,8 млрд до бесконечности"</t>
  </si>
  <si>
    <t>"в crm за Чимровым", ".", "все клиенты с выручкой от 1,8 млрд до бесконечности", "crm управления"</t>
  </si>
  <si>
    <t>71.12.20.190 Услуги по руководству строительными проектами прочие
71.20.19.111 Услуги по проведению государственной экспертизы проектной документации и результатов инженерных изысканий
71.20.19.112 Услуги по проведению негосударственной экспертизы проектной документации и результатов инженерных изысканий
71.12.20.110 Услуги заказчика-застройщика, генерального подрядчика
71.20.19.190 Услуги по техническим испытаниям и анализу прочие, не включенные в другие группировки
71.12.19.100 Услуги по инженерно-техническому проектированию прочих объектов, кроме объектов культурного наследия
71.12.40.140 Услуги государственного контроля (надзора) за соблюдением требований технических регламентов
71.20 Услуги в области технических испытаний, исследований, анализа и сертификации
71.12.11.900 Услуги в виде инженерно-технических консультаций прочие
42 Сооружения и строительные работы в области гражданского строительства</t>
  </si>
  <si>
    <t>За весь период компания заключила  1 контрактов на сумму  738 329 176,90 ? За весь период заходили в конкурсы  5 раз на общую сумму обеспеченных контрактов с НМЦ 749 704 507,19 ? с БГУ  43 032 326,14 ? с БГИ 140 427 202,28 ? За 3 ГОДА по 44ФЗ заключено 4 шт. с объемом НМЦ  262 805 067,34 ? с БГИ 32 117 494,68 ? с БГГО 24 352 598,55 ? с авансированием до 0,00 ? с комиссией банку 1 503 213,81 ? с кв 13 077,96 ? ЗА 1 ГОД по 44ФЗ заключено 2 шт. c объемом НМЦ 255 426 121,08 ? с БГИ 31 748 547,36 ? с БГГО 23 991 128,00 ? с авансированием до  0,00 ? с комиссией банку  1 390 559,39 ? с кв 12 097,87 ? ЗА 3 ГОДА ПО 223 ФЗ заключено 33 шт. с объемом НМЦ 1 213 398 960,50 ? за 1 ГОД ПО 223ФЗ заключено 23  715 101 163,26 ?</t>
  </si>
  <si>
    <t>"223 за 3 года", ".", "рейтинг поставщиков в маркере по бг", "Конкурсы 100+ (Восстановленный)", "223 фз контракты 20+", "44 фз с с БГ от 10 млн", "рейтинг заказчиков маркер", "рейтинг по нмц маркер", "это заказчик", "поставщики маркер", "44 за 3 года"</t>
  </si>
  <si>
    <t>27.90.6 Резисторы, кроме нагревательных резисторов
27.90 Оборудование электрическое прочее
26.11 Компоненты электронные
26.11.30.000 Схемы интегральные электронные</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</si>
  <si>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42.99.12.120 Объекты и сооружения для отдыха
41.20.40.900 Работы строительные по возведению нежилых зданий и сооружений прочие, не включенные в другие группировки
43.11.10.000 Работы по сносу зданий и сооружений
42.12.20.190 Работы строительные по строительству наземных и подземных железных дорог прочие, не включенные в другие группировки
39.00.22.000 Услуги по рекультивации прочие</t>
  </si>
  <si>
    <t>За весь период компания заключила  20 контрактов на сумму  25 339 784 610,74 ? За весь период заходили в конкурсы  27 раз на общую сумму обеспеченных контрактов с НМЦ 27 120 025 774,69 ? с БГУ  1 038 313 586,48 ? с БГИ 5 965 789 985,41 ? За 3 ГОДА по 44ФЗ заключено 11 шт. с объемом НМЦ  11 242 311 314,06 ? с БГИ 3 423 029 928,17 ? с БГГО 458 953 815,05 ? с авансированием до 3 250 183 244,50 ? с комиссией банку 99 203 025,74 ? с кв 863 066,32 ? ЗА 1 ГОД по 44ФЗ заключено 3 шт. c объемом НМЦ 2 095 578 001,54 ? с БГИ 625 790 624,65 ? с БГГО 105 355 455,32 ? с авансированием до  533 867 820,16 ? с комиссией банку  12 500 205,42 ? с кв 108 751,79 ?</t>
  </si>
  <si>
    <t>"44 за 3 года", ".", "рейтинг поставщиков в маркере по бг", "ГРАНДИОЗНЫЙ ПРОЕКТ", "Конкурсы 100+ (Восстановленный)",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t>
  </si>
  <si>
    <t>10.86.10.243 Соки фруктовые и фруктово-овощные для детского питания
10.86.10.135 Смеси кисломолочные сухие для детей раннего возраста
10.86.10.139 Смеси молочные сухие прочие для детей раннего возраста
10.32.1 Соки из фруктов и овощей
10.39.22.130 Пюре и пасты фруктовые, ягодные и ореховые
10.82.22.121 Изделия шоколадные с начинкой
10.86.10.193 Продукты безглютеновые для детского питания
10.86.10.211 Консервы на овощной основе, овоще-фруктовой основах гомогенизированные для детского питания
10.86.10.661 Консервы мясные гомогенизированные для детского питания
01.26.1 Оливки (маслины) ****</t>
  </si>
  <si>
    <t>1 343</t>
  </si>
  <si>
    <t>За весь период компания заключила  2 контрактов на сумму  575 109 704,00 ? За весь период заходили в конкурсы  1 раз на общую сумму обеспеченных контрактов с НМЦ 55 109 704,00 ? с БГУ  3 487 959,92 ? с БГИ 6 975 919,84 ?</t>
  </si>
  <si>
    <t>1 001</t>
  </si>
  <si>
    <t>24.10.33 Прокат листовой горячекатаный из нержавеющих сталей, без дополнительной обработки, шириной не менее 600 мм
24.10.42 Прокат листовой холоднокатаный из нержавеющих сталей, без дополнительной обработки, шириной не менее 600 мм
24.10.66.110 Сталь кованая из прочих легированных сталей, без дополнительной обработки
28.22.19 Части грузоподъемного и погрузочно-разгрузочного оборудования
24 Металлы основные
24.1 Железо, чугун, сталь и ферросплавы
24.10.22.119 Формы первичные из нержавеющей стали прочие
24.10.22.149 Полуфабрикаты круглого или многоугольного сечения из нержавеющей стали прочие
28.22.19.140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24.45.30.390 Металлы цветные прочие, изделия из них, порошки ****</t>
  </si>
  <si>
    <t>ЗА 3 ГОДА ПО 223 ФЗ заключено 18 шт. с объемом НМЦ 47 800 071,33 ?</t>
  </si>
  <si>
    <t>"223 за 3 года", ".", "п6", "fk1", "райф", "Кредитный портфель_01.11", "корп 1", "06.2022_ФинХД",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 "44 за 3 года"</t>
  </si>
  <si>
    <t>28.21.13.121 Оборудование индукционного электронагрева
28.41.21.120 Станки токарные металлорежущие с числовым программным управлением
19.20.29.150 Масла компрессорные
26.51.33.199 Инструмент измерительный прочий, не включенный в другие группировки
26.51.53.130 Анализаторы аэрозолей, твердых и сыпучих веществ
46.71.12.000 Услуги по оптовой торговле моторным топливом, включая авиационный бензин
25.11.23.150 Металлоконструкции специальные и детали металлоконструкций для области использования атомной энергии
28.21.13.111 Электропечи сопротивления
28.92.40.129 Дробилки прочие, не включенные в другие группировки
19.20.21.321 Топливо дизельное зимнее вне классов ****</t>
  </si>
  <si>
    <t>ЗА 1 ГОД по 44ФЗ заключено 3 шт. c объемом НМЦ 6 203 849,44 ? с БГИ 2 912 870,55 ? с БГГО 33 616,37 ? с авансированием до  2 689 309,95 ? с комиссией банку  98 240,93 ? с кв 854,70 ? ЗА 3 ГОДА ПО 223 ФЗ заключено 7 шт. с объемом НМЦ 53 009 582,00 ?</t>
  </si>
  <si>
    <t>22.11.15 Камеры и шины резиновые сплошные или полупневматические, протекторы взаимозаменяемые и ленты ободные из резины
28.30.2 Тракторы для сельского хозяйства прочие
45.32 Услуги по розничной торговле автомобильными деталями, узлами и принадлежностями
33.12.29.900 Услуги по ремонту и техническому обслуживанию прочего оборудования специального назначения, не включенные в другие группировки
45.20.21.111 Услуги по регламентным работам (по видам технического обслуживания)
28.99.39.190 Оборудование специального назначения прочее, не включенное в другие группировки
28.92.6 Части оборудования для добычи полезных ископаемых подземным и открытым способами и строительства
28.92.61.120 Комплектующие (запасные части) машин для выемки грунта, не имеющие самостоятельных группировок
43.99.90.160 Аренда кранов и прочего строительного оборудования, которое не предназначено для одной конкретной строительной услуги, с оператором
29.32.30.390 Части и принадлежности для автотранспортных средств прочие, не включенные в другие группировки ****</t>
  </si>
  <si>
    <t>Сообщение кредитора о намерении обратиться в суд с заявлением о банкротстве от 21.10.2022</t>
  </si>
  <si>
    <t>39.00.12.110 Услуги по очистке поверхности воды (морей, океанов, прибрежных вод) после разлива нефти, конденсата газового и продуктов их переработки
38.11.31.000 Отходы неопасные бытовые, непригодные для повторного использования
38.12.12.000 Услуги по сбору прочих опасных промышленных отходов</t>
  </si>
  <si>
    <t>43.99.90.190 Работы строительные специализированные прочие, не включенные в другие группировки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71.11.21.000 Услуги в области архитектуры, связанные с проектами жилищного строительства</t>
  </si>
  <si>
    <t>За весь период компания заключила  24 контрактов на сумму  98 025 195 113,40 ? За весь период заходили в конкурсы  24 раз на общую сумму обеспеченных контрактов с НМЦ 45 381 588 037,77 ? с БГУ  2 358 494 656,87 ? с БГИ 13 181 204 510,56 ?                             ЗА 3 ГОДА ПО 223 ФЗ заключено 2 шт. с объемом НМЦ 4 798 092 187,51 ? за 1 ГОД ПО 223ФЗ заключено 2  9 589 766 189,02 ?</t>
  </si>
  <si>
    <t>"223 за 3 года", ".", "рейтинг поставщиков в маркере по бг", "компании Герберта", "ГРАНДИОЗНЫЙ ПРОЕКТ", "все клиенты с выручкой от 1,8 млрд до бесконечности", "223 фз контракты 20+", "рейтинг по нмц маркер", "поставщики маркер", "44 за 3 года"</t>
  </si>
  <si>
    <t>Сообщение должника о намерении обратиться в суд с заявлением о банкротстве от 28.04.2023</t>
  </si>
  <si>
    <t>Юридическое лицо находится в процессе реорганизации в форме преобразования от 19.12.2022, Сообщения о принятии решения о реорганизации от 20.12.2022</t>
  </si>
  <si>
    <t>55.10 Услуги гостиниц и аналогичные услуги по предоставлению временного жилья
55.90.19.000 Услуги по предоставлению временного жилья прочие, не включенные в другие группировки
47.9 Услуги по розничной торговле вне магазинов, палаток, рынков
38.22.21.100 Услуги по сбору и сортировке удаляемых радиоактивных отходов
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74.90.2 Услуги профессиональные, технические и коммерческие, прочие, не включенные в другие группировки
35.30.12.110 Услуги по приготовлению воды на нужды горячего водоснабжения
38.22.21.400 Услуги по захоронению удаляемых радиоактивных отходов
36.00.20.110 Услуги по очистке и подготовке воды для водоснабжения
36.00.30.000 Услуги по торговле водой, поставляемой по трубопроводам ****</t>
  </si>
  <si>
    <t>За весь период компания заключила  14 контрактов на сумму  55 048 070 512,75 ? За весь период заходили в конкурсы  15 раз на общую сумму обеспеченных контрактов с НМЦ 5 103 172 677,51 ? с БГУ  93 186 246,97 ? с БГИ 1 804 921 867,68 ? За 3 ГОДА по 44ФЗ заключено 7 шт. с объемом НМЦ  1 630 020 660,58 ? с БГИ 413 826 164,66 ? с БГГО 217 860 863,38 ? с авансированием до 268 832 980,57 ? с комиссией банку 5 574 393,16 ? с кв 48 497,22 ? ЗА 1 ГОД по 44ФЗ заключено 1 шт. c объемом НМЦ 813 923 018,40 ? с БГИ 170 923 833,86 ? с БГГО 0,00 ? с авансированием до  244 176 905,52 ? с комиссией банку  3 137 505,99 ? с кв 27 296,30 ? ЗА 3 ГОДА ПО 223 ФЗ заключено 13 шт. с объемом НМЦ 78 480 048,55 ? за 1 ГОД ПО 223ФЗ заключено 5  46 896 933,97 ?</t>
  </si>
  <si>
    <t>"223 за 3 года", ".", "рейтинг поставщиков в маркере по бг", "ГРАНДИОЗНЫЙ ПРОЕКТ", "беники", "Конкурсы 100+ (Восстановленный)", "все клиенты с выручкой от 1,8 млрд до бесконечности", "Участники клиринга", "223 фз контракты 20+", "44 фз с с БГ от 10 млн", "рейтинг заказчиков маркер", "рейтинг по нмц маркер", "это заказчик", "поставщики маркер", "44 за 3 года"</t>
  </si>
  <si>
    <t>37.00.11.110 Услуги по водоотведению сточных вод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36.00.20 Услуги по очистке вод и распределению воды по водопроводам
36.00 Вода природная; услуги по очистке воды и водоснабжению
37.00.11.130 Услуги по подключению (технологическому присоединению) к централизованной системе водоотведения
37.00.11.120 Услуги по транспортированию сточных вод ****</t>
  </si>
  <si>
    <t>ЗА 3 ГОДА ПО 223 ФЗ заключено 81 шт. с объемом НМЦ 65 594 913,36 ? за 1 ГОД ПО 223ФЗ заключено 25  27 219 048,14 ?</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</si>
  <si>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35.11.10.130 Электроэнергия, произведенная локальными электростанциями (не работающими в энергосистеме)
35.30.11.130 Энергия тепловая, отпущенная электрокотлами
35.30.12.110 Услуги по приготовлению воды на нужды горячего водоснабжения
35.12.10.120 Услуги по технологическому присоединению к распределительным электросетям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t>
  </si>
  <si>
    <t>2 246</t>
  </si>
  <si>
    <t>За весь период контрактов 9 шт. на общую сумму НМЦ 554 814 769,79 ?</t>
  </si>
  <si>
    <t>68.2 Услуги по сдаче в аренду (внаем) собственного или арендованного недвижимого имущества</t>
  </si>
  <si>
    <t>28.92.61.110 Комплектующие (запасные части) бурильных и проходческих машин, не имеющие самостоятельных группировок
28.92.12.190 Машины проходческие прочие</t>
  </si>
  <si>
    <t>2 704</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</si>
  <si>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t>
  </si>
  <si>
    <t>Сообщения о принятии решения о реорганизации от 09.07.2020</t>
  </si>
  <si>
    <t>10.89.19.290 Продукты пищевые прочие, не включенные в другие группировки</t>
  </si>
  <si>
    <t>28.14.12.110 Краны, клапаны для раковин, моек, биде, унитазов, ванн и аналогичная арматура
28.92.1 Оборудование для добычи полезных ископаемых подземным способом
28.14.13 Арматура запорная для управления процессом (задвижки, краны, клапаны запорные, затворы дисковые и другая арматура)
46.69.19.130 Услуги по оптовой торговле химическим и нефтегазоперерабатывающим оборудованием
28.14.13.120 Задвижки
28.14.20 Приводы и механизмы исполнительные, основные узлы, детали, комплектующие арматуры</t>
  </si>
  <si>
    <t>За весь период компания заключила  4 контрактов на сумму  669 528 063,81 ?</t>
  </si>
  <si>
    <t>За весь период компания заключила  1 контрактов на сумму  439 835 790,00 ? За весь период заходили в конкурсы  2 раз на общую сумму обеспеченных контрактов с НМЦ 526 976 075,93 ? с БГУ  16 791 939,41 ? с БГИ 49 574 326,02 ?</t>
  </si>
  <si>
    <t>"поставщики маркер", ".", "рейтинг поставщиков в маркере по бг", "fk1", "Действующий клиент мсб с выр от 30 млн на 05.21", "все клиенты с выручкой от 1,8 млрд до бесконечности", "ФК клиенты с выручкой от 230 до бесконечности", "Участники клиринга", "рейтинг по нмц маркер", "crm управления", "в crm за Егоровым "</t>
  </si>
  <si>
    <t>19.2 Нефтепродукты
47.99.30 Услуги по осуществлению прямых продаж топлива с доставкой по адресу клиента
19.20.21.400 Топливо судовое
19.20.21.300 Топливо дизельное
19.20.27.119 Топливо нефтяное дистиллятное прочее, не включенное в другие группировки</t>
  </si>
  <si>
    <t>За весь период заходили в конкурсы  1 раз на общую сумму обеспеченных контрактов с НМЦ 46 103 500,00 ? с БГУ  551 237,50 ? с БГИ 5 512 375,00 ?                             ЗА 3 ГОДА ПО 223 ФЗ заключено 14 шт. с объемом НМЦ 325 295 007,00 ? за 1 ГОД ПО 223ФЗ заключено 4  211 390 007,00 ?</t>
  </si>
  <si>
    <t>45.20.11.519 Прочие услуги по техническому обслуживанию и ремонту прочих автотранспортных средств, не включенные в другие группировки
29.32.30.390 Части и принадлежности для автотранспортных средств прочие, не включенные в другие группировки
45.20.21.212 Услуги по ремонту двигателей
33.17.19.000 Услуги по ремонту и техническому обслуживанию прочих транспортных средств и оборудования, не включенных в другие группировки</t>
  </si>
  <si>
    <t>За весь период заходили в конкурсы  6 раз на общую сумму обеспеченных контрактов с НМЦ 779 809 944,73 ? с БГУ  4 862 313,90 ? с БГИ 62 579 639,00 ? За 3 ГОДА по 44ФЗ заключено 11 шт. с объемом НМЦ  620 500 445,93 ? с БГИ 80 385 022,30 ? с БГГО 12 764 927,00 ? с авансированием до 0,00 ? с комиссией банку 1 334 743,56 ? с кв 11 612,27 ?</t>
  </si>
  <si>
    <t>"223 за 3 года", "свод фт", ".", "рейтинг поставщиков в маркере по бг", "кредиты фт", "рейтинг по нмц маркер", "на фт заводил Досхоев", "поставщики маркер", "44 за 3 года"</t>
  </si>
  <si>
    <t>20.14.32.112 Соли муравьиной кислоты
20.20.19.000 Пестициды прочие и агрохимические продукты прочие
20.2 Пестициды и агрохимические продукты прочие
21.10.51.126 Кислота аскорбиновая, включая комбинации с другими препаратами
20.14.3 Кислоты промышленные монокарбоновые жирные, кислоты карбоновые и их производные
21.10.20 Лизин, кислота глутаминовая и их соли; соли четвертичные и гидроксиды аммония; фосфоаминолипиды; амиды, их производные и соли</t>
  </si>
  <si>
    <t>За весь период компания заключила  3 контрактов на сумму  1 248 400 000,01 ?</t>
  </si>
  <si>
    <t>28.14.13.120 Задвижки</t>
  </si>
  <si>
    <t>За весь период компания заключила  21 контрактов на сумму  6 301 140 547,67 ?</t>
  </si>
  <si>
    <t>2 361</t>
  </si>
  <si>
    <t>10.51.4 Сыры, продукты сырные и творог
10.51.40.174 Сыры плавленые пастообразные с вкусовыми компонентами
10.13.15.110 Консервы мясные
10.41.51.000 Масло соевое и его фракции рафинированные, но не подвергнутые химической модификации
10.51.40.131 Сыры твердые без вкусовых наполнителей
10.51.40.216 Молокосодержащие продукты с заменителем молочного жира, произведенные по технологии сыра, рассольные, в том числе с вкусовыми компонентами
10.42.10.111 Маргарин твердый
10.51.51.111 Молоко сгущенное (концентрированное) стерилизованное
10.51.40.179 Сыры плавленые прочие
10.42.10.110 Маргарин ****</t>
  </si>
  <si>
    <t>"223 за 3 года", ".", "все клиенты с выручкой от 1,8 млрд до бесконечности", "рейтинг по нмц маркер", "это заказчик", "поставщики маркер", "44 за 3 года"</t>
  </si>
  <si>
    <t>"производители", ".", "п6", "все клиенты с выручкой от 1,8 млрд до бесконечности"</t>
  </si>
  <si>
    <t>за 1 ГОД ПО 223ФЗ заключено 1  8 778 000,00 ?</t>
  </si>
  <si>
    <t>82.30.1 Услуги по организации конференций и торговых выставок
85.42.19.900 Услуги по профессиональному обучению прочие
85.23 Услуги по подготовке кадров высшей квалификации
85.41.93.000 Услуги в области дополнительного образования вспомогательные
85.3 Услуги по профессиональному обучению
85.4 Услуги по дополнительному образованию
82.30.11.000 Услуги по организации конференций
93.19 Услуги в области спорта прочие
85.41.99 Услуги в области дополнительного образования прочие, не включенные в другие группировки
82.99.19.000 Услуги вспомогательные, связанные с предпринимательской деятельностью, прочие, не включенные в другие группировки ****</t>
  </si>
  <si>
    <t>Заказчик разыгравший 11 конкурсов на сумму  2 631 094 102,76 ?</t>
  </si>
  <si>
    <t>"223 за 3 года", ".", "рейтинг поставщиков в маркере по бг", "все клиенты с выручкой от 1,8 млрд до бесконечности", "рейтинг заказчиков маркер", "поставщики маркер"</t>
  </si>
  <si>
    <t>"223 за 3 года", ".", "все клиенты с выручкой от 1,8 млрд до бесконечности", "44 за 3 года"</t>
  </si>
  <si>
    <t>27.12.10 Устройства для коммутации или защиты электрических цепей на напряжение более 1 кВ
42.22.2 Работы строительные по строительству коммунальных объектов для электроснабжения и телекоммуникаций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33.20 Услуги по монтажу промышленных машин и оборудования
28.14.13 Арматура запорная для управления процессом (задвижки, краны, клапаны запорные, затворы дисковые и другая арматура)
28.14.13.110 Клапаны запорные
27.32.14.111 Кабели силовые с медной жилой на напряжение более 1 кВ
33.20.50.000 Услуги по монтажу электрического оборудования
28.14 Арматура трубопроводная (арматура) (краны, клапаны и прочие)
28.14.1 Арматура (краны, клапаны и другая аналогичная арматура) для трубопроводов, сосудов, котлов, цистерн, баков и аналогичных емкостей ****</t>
  </si>
  <si>
    <t>"223 за 3 года", "свод фт", ".", "рейтинг поставщиков в маркере по бг", "Конкурсы 100+ (Восстановленный)",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"производители", "рейтинг по нмц маркер", "на фт заводил Тихонов ",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</si>
  <si>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68.10.14.000 Услуги по покупке и продаже нежилых зданий и занимаемых ими земельных участков
43.99.90.190 Работы строительные специализированные прочие, не включенные в другие группировки
41.20.10.110 Здания жилые общего назначения
41.20.40.900 Работы строительные по возведению нежилых зданий и сооружений прочие, не включенные в другие группировки
43.11.10.000 Работы по сносу зданий и сооружений
35.30.11.120 Энергия тепловая, отпущенная котельными
42.21.13 Системы оросительные (каналы); водоводы и водопроводные конструкции; водоочистные станции, станции очистки сточных вод и насосные станции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68.10.11.000 Услуги по покупке и продаже жилых зданий и занимаемых ими земельных участков ****</t>
  </si>
  <si>
    <t>За весь период компания заключила  41 контрактов на сумму  31 633 349 473,96 ? За весь период заходили в конкурсы  125 раз на общую сумму обеспеченных контрактов с НМЦ 41 803 776 655,30 ? с БГУ  2 253 718 637,59 ? с БГИ 11 456 792 461,41 ? За 3 ГОДА по 44ФЗ заключено 9 шт. с объемом НМЦ  2 430 493 502,31 ? с БГИ 263 062 286,95 ? с БГГО 34 139 965,43 ? с авансированием до 181 093 533,03 ? с комиссией банку 10 153 290,11 ? с кв 88 333,62 ? ЗА 1 ГОД по 44ФЗ заключено 7 шт. c объемом НМЦ 2 117 966 830,71 ? с БГИ 192 323 226,95 ? с БГГО 16 707 535,69 ? с авансированием до  181 093 533,03 ? с комиссией банку  9 519 280,57 ? с кв 82 817,74 ? ЗА 3 ГОДА ПО 223 ФЗ заключено 5 шт. с объемом НМЦ 25 064 400,37 ?</t>
  </si>
  <si>
    <t>"223 за 3 года", ".", "рейтинг поставщиков в маркере по бг", "компании Герберта", "ГРАНДИОЗНЫЙ ПРОЕКТ", "все клиенты с выручкой от 1,8 млрд до бесконечности", "БизФин", "44 фз с с БГ от 10 млн", "рейтинг по нмц маркер", "поставщики маркер", "44 за 3 года"</t>
  </si>
  <si>
    <t>"производители", ".", "выдали",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</si>
  <si>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68.10.14.000 Услуги по покупке и продаже нежилых зданий и занимаемых ими земельных участков
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93.19.11 Услуги по содействию в подготовке спортивных и развлекательных мероприятий
56.10.11.129 Услуги прочих предприятий питания с полным обслуживанием без сопровождения развлекательных программ
82.30.11.000 Услуги по организации конференций
68.20.12.000 Услуги по сдаче в аренду (внаем) собственных или арендованных нежилых помещений
93.11.10.000 Услуги спортивных объектов</t>
  </si>
  <si>
    <t>20.20.13.110 Средства против прорастания
20.20.13.120 Регуляторы роста растений
01.61.10.170 Услуги по уборке урожая
20.20.12.000 Гербициды
01.11.95.110 Семена подсолнечника для посева</t>
  </si>
  <si>
    <t>24.10.62.124 Прокат сортовой горячекатаный полосовой прочий, без дополнительной обработки, включая смотанный после прокатки, из нелегированных сталей
24.10.80.190 Прокат черных металлов прочий, не включенный в другие группировки
24.20.13.130 Трубы стальные электросварные
25.93.15.120 Электроды с покрытием
24.10.23.141 Полуфабрикаты, полученные непрерывным литьем круглого или многоугольного сечения из прочих легированных сталей
24.10.43.000 Прокат листовой холоднокатаный из прочих легированных сталей, без дополнительной обработки, шириной не менее 600 мм
24.10.62.121 Прокат сортовой горячекатаный круглый прочий, без дополнительной обработки, включая смотанный после прокатки, из нелегированных сталей
24.10.62.123 Прокат сортовой горячекатаный шестигранный прочий, без дополнительной обработки, включая смотанный после прокатки, из нелегированных сталей
24.10.73.111 Уголки стальные горячекатаные равнополочные из прочих легированных сталей
24.20.13.190 Трубы круглого сечения прочие стальные ****</t>
  </si>
  <si>
    <t>68.10.14.000 Услуги по покупке и продаже нежилых зданий и занимаемых ими земельных участков
09.90.19.900 Услуги в горнодобывающем производстве прочие, не включенные в другие группировки
52.24.12.120 Услуги грузовых контейнерных терминалов (не расположенных в портах) для всех видов транспорта, включая работы по погрузке и разгрузке грузовых вагонов
42.21.23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09 Услуги в области добычи полезных ископаемых
52.21.2 Услуги, связанные с автомобильным транспортом</t>
  </si>
  <si>
    <t>За весь период компания заключила  3 контрактов на сумму  2 368 202 628,85 ?                                     ЗА 3 ГОДА ПО 223 ФЗ заключено 6 шт. с объемом НМЦ 35 742 575,00 ?</t>
  </si>
  <si>
    <t>"223 за 3 года", ".", "Агентские отказ из-за непред-я док-ов",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"это заказчик", "поставщики маркер", "44 за 3 года"</t>
  </si>
  <si>
    <t>43.99.90.190 Работы строительные специализированные прочие, не включенные в другие группировки
43.29 Работы строительно-монтажные прочие
42.2 Сооружения и строительные работы по строительству инженерных коммуникаций
43.99.9 Работы строительные специализированные, не включенные в другие группировки
42.12 Дороги железные наземные и подземные; строительные работы по строительству наземных и подземных железных дорог
42.13 Мосты и тоннели; строительные работы по строительству мостов и тоннелей
42 Сооружения и строительные работы в области гражданского строительства</t>
  </si>
  <si>
    <t>За весь период компания заключила  27 контрактов на сумму  20 190 442 453,89 ? За весь период заходили в конкурсы  1 раз на общую сумму обеспеченных контрактов с НМЦ 123 418 647,00 ? с БГУ  1 246 653,00 ? с БГИ 37 399 590,00 ?                             ЗА 3 ГОДА ПО 223 ФЗ заключено 11 шт. с объемом НМЦ 4 798 310 382,03 ? за 1 ГОД ПО 223ФЗ заключено 6  3 130 187 932,08 ?</t>
  </si>
  <si>
    <t>"223 за 3 года", ".", "рейтинг поставщиков в маркере по бг", "Конкурсы 100+ (Восстановленный)", "223 фз контракты 20+", "рейтинг по нмц маркер"</t>
  </si>
  <si>
    <t>20.59 Продукты химические прочие, не включенные в другие группировки
20.59.59 Продукты разные химические, не включенные в другие группировки
46.6 Услуги по оптовой торговле прочими машинами, оборудованием и инструментами
30.99.10.190 Средства транспортные и оборудование прочие, не включенные в другие группировки
28.92.40.121 Дробилки щековые
28.11.22.110 Турбины гидравлические
28.99.39.190 Оборудование специального назначения прочее, не включенное в другие группировки
28.92.30.190 Машины для выемки грунта и строительства прочие, не включенные в другие группировки
29.32.30.390 Части и принадлежности для автотранспортных средств прочие, не включенные в другие группировки
28.29.23.120 Уплотнения механические ****</t>
  </si>
  <si>
    <t>За весь период заходили в конкурсы  3 раз на общую сумму обеспеченных контрактов с НМЦ 132 556 000,00 ? с БГУ  1 825 550,00 ? с БГИ 34 766 900,00 ? За 3 ГОДА по 44ФЗ заключено 13 шт. с объемом НМЦ  397 179 126,07 ? с БГИ 80 788 292,51 ? с БГГО 28 416 903,00 ? с авансированием до 0,00 ? с комиссией банку 704 520,43 ? с кв 6 129,33 ? ЗА 1 ГОД по 44ФЗ заключено 5 шт. c объемом НМЦ 151 773 343,24 ? с БГИ 31 217 336,71 ? с БГГО 10 327 149,00 ? с авансированием до  0,00 ? с комиссией банку  407 719,26 ? с кв 3 547,16 ? ЗА 3 ГОДА ПО 223 ФЗ заключено 23 шт. с объемом НМЦ 168 566 956,73 ?</t>
  </si>
  <si>
    <t>"223 за 3 года", ".", "рейтинг поставщиков в маркере по бг", "Конкурсы 100+ (Восстановленный)", "fk1", "инн Красносельская", "БГ ФБ ЮР лица на 01.07.2021",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"44 фз с с БГ от 10 млн", "рейтинг по нмц маркер", "поставщики маркер", "44 за 3 года"</t>
  </si>
  <si>
    <t>29.10.2 Автомобили легковые
45.20.30.000 Мойка автотранспортных средств, полирование и аналогичные услуги</t>
  </si>
  <si>
    <t>20.15.80.110 Удобрения животного происхождения
46.21.13.000 Услуги по оптовой торговле масличными семенами и маслосодержащими плодами
01.11.95.110 Семена подсолнечника для посева</t>
  </si>
  <si>
    <t>"223 за 3 года", ".", "Пустые_Ушедшие_Клиенты", "лимит сит по кредитам", "все клиенты с выручкой от 1,8 млрд до бесконечности", "ФК клиенты с выручкой от 230 до бесконечности", "Обороты по клиентам по кварталам (2022г)", "производители", "поставщики маркер"</t>
  </si>
  <si>
    <t>62.01 Продукты программные и услуги по разработке и тестированию программного обеспечения
62.01.1 Услуги по проектированию, разработке информационных технологий для прикладных задач и тестированию программного обеспечения
62.09.20.190 Услуги по технической поддержке в области информационных технологий прочие, не включенные в другие группировки
62.0 Продукты программные и услуги по разработке программного обеспечения; консультационные и аналогичные услуги в области информационных технологий
96.0 Услуги персональные прочие
62.01.11.000 Услуги по проектированию и разработке информационных технологий для прикладных задач и тестированию программного обеспечения
62.03.12.130 Услуги по сопровождению компьютерных систем</t>
  </si>
  <si>
    <t>1 079</t>
  </si>
  <si>
    <t>За весь период компания заключила  15 контрактов на сумму  2 982 702 982,15 ? За весь период заходили в конкурсы  2 раз на общую сумму обеспеченных контрактов с НМЦ 1 411 740 000,00 ? с БГУ  14 833 000,00 ? с БГИ 444 990 000,00 ?                             ЗА 3 ГОДА ПО 223 ФЗ заключено 8 шт. с объемом НМЦ 265 296 914,10 ?</t>
  </si>
  <si>
    <t>46.73.13.000 Услуги по оптовой торговле санитарно-техническим оборудованием</t>
  </si>
  <si>
    <t>"поставщики маркер",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</si>
  <si>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35.11.10.130 Электроэнергия, произведенная локальными электростанциями (не работающими в энергосистеме)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36.00.30.000 Услуги по торговле водой, поставляемой по трубопроводам
35.12.10.120 Услуги по технологическому присоединению к распределительным электросетям
35.30.11.120 Энергия тепловая, отпущенная котельными
35.30.12.130 Услуги по транспортированию горячей воды ****</t>
  </si>
  <si>
    <t>Заказчик разыгравший 250 конкурсов на сумму  60 644 905 668,80 ?</t>
  </si>
  <si>
    <t>28.41.40 Части и принадлежности станков для обработки металлов
28.29.23.120 Уплотнения механические
26.30.50.114 Приборы управления, приемно-контрольные и оповещатели охранные и охранно-пожарные
24.20.40.000 Фитинги для труб стальные, кроме литых
46.69.11.000 Услуги по оптовой торговле транспортными средствами, кроме автомобилей, мотоциклов и велосипедов</t>
  </si>
  <si>
    <t>За весь период компания заключила  8 контрактов на сумму  4 172 326 032,46 ?                                     ЗА 3 ГОДА ПО 223 ФЗ заключено 4 шт. с объемом НМЦ 436 260 000,00 ?</t>
  </si>
  <si>
    <t>"223 за 3 года", ".", "производители", "рейтинг по нмц маркер", "это заказчик", "поставщики маркер"</t>
  </si>
  <si>
    <t>10.86.10.195 Продукция детского питания безлактозная
10.89.19.140 Концентраты белковые (протеиновые)
10.86.10.139 Смеси молочные сухие прочие для детей раннего возраста
21.20.23.113 Средства радиофармацевтические диагностические
21.20.23.199 Средства нелечебные прочие
21 Средства лекарственные и материалы, применяемые в медицинских целях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t>
  </si>
  <si>
    <t>За весь период компания заключила  52 контрактов на сумму  10 738 477 298,17 ? За весь период заходили в конкурсы  114 раз на общую сумму обеспеченных контрактов с НМЦ 15 462 126 022,91 ? с БГУ  655 114 502,03 ? с БГИ 3 045 519 937,55 ? За 3 ГОДА по 44ФЗ заключено 3092 шт. с объемом НМЦ  4 804 381 596,90 ? с БГИ 397 249 912,44 ? с БГГО 20 610 544,70 ? с авансированием до 392 882,02 ? с комиссией банку 5 339 222,50 ? с кв 46 451,24 ? ЗА 1 ГОД по 44ФЗ заключено 977 шт. c объемом НМЦ 1 681 362 400,51 ? с БГИ 144 480 234,31 ? с БГГО 163 309,08 ? с авансированием до  326 085,41 ? с комиссией банку  1 930 677,79 ? с кв 16 796,90 ? ЗА 3 ГОДА ПО 223 ФЗ заключено 64 шт. с объемом НМЦ 173 370 940,30 ? за 1 ГОД ПО 223ФЗ заключено 13  17 207 027,07 ?</t>
  </si>
  <si>
    <t>Сообщение кредитора о намерении обратиться в суд с заявлением о банкротстве от 20.04.2021</t>
  </si>
  <si>
    <t>"223 за 3 года", ".", "рейтинг поставщиков в маркере по бг",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"Одобренные но не выданные 1 полугодие 2021", "производители", "рейтинг по нмц маркер", "поставщики маркер", "44 за 3 года"</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</si>
  <si>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35.11.10 Электроэнергия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35.13.10.000 Услуги по распределению электроэнергии ****</t>
  </si>
  <si>
    <t>За 3 года по 223ФЗ заключено  22 шт контрактов на сумму 159 218 590,92 ?</t>
  </si>
  <si>
    <t>32.99.11.199 Средства индивидуальной защиты прочие, не включенные в другие группировки</t>
  </si>
  <si>
    <t>"поставщики маркер", ".", "fk1", "просрочка на 01.01.2023 г.", "Запрос в ЮД_просрочка на 01.01.2023", "закрыли счет", "все клиенты с выручкой от 1,8 млрд до бесконечности", "Обороты по клиентам по кварталам (2022г)", "производители"</t>
  </si>
  <si>
    <t>1 138</t>
  </si>
  <si>
    <t>"на фт заводил Собакарь", ".", "производители"</t>
  </si>
  <si>
    <t>10.91.10.170 Премиксы
10.91.10.172 Премиксы для свиней</t>
  </si>
  <si>
    <t>ЗА 3 ГОДА ПО 223 ФЗ заключено 4 шт. с объемом НМЦ 53 552 727,27 ?</t>
  </si>
  <si>
    <t>01.27.12.130 Лист черного чая сортовой
10.83.13.120 Чай черный (ферментированный) в упаковках массой не более 3 кг
10.83.12.120 Экстракты, эссенции и концентраты кофе или заменителей кофе
10.82.13.000 Порошок какао без добавок сахара или других подслащивающих веществ
10.89.19.230 Концентраты сладких блюд
10.89.19.231 Кисели на плодово-ягодной основе (сухой кисель)
10.83.13.130 Чай частично ферментированный в упаковках массой не более 3 кг</t>
  </si>
  <si>
    <t>"поставщики маркер", ".", "ушедший портфель", "fk1", "ИНН 3 года - нет КД БГ на 01.10.22", "портфель 31.10.2021_10 тыс_проверка",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t>
  </si>
  <si>
    <t>На 30.03.2023 09:42 имеются действующие решения ФНС о приостановлении операций по счетам, Сообщение кредитора о намерении обратиться в суд с заявлением о банкротстве от 18.04.2023</t>
  </si>
  <si>
    <t>38.11.19.000 Услуги по сбору прочих неопасных отходов, пригодных для повторного использования</t>
  </si>
  <si>
    <t>Заказчик разыгравший 20 конкурсов на сумму  2 314 144 759,56 ?</t>
  </si>
  <si>
    <t>"поставщики маркер", ".", "fk1", "рейтинг заказчиков маркер", "это заказчик"</t>
  </si>
  <si>
    <t>03.11.20.126 Минтай свежий или охлажденный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10.20.13.122 Рыба морская мороженая (кроме сельди)
10.20.1 Продукция из рыбы свежая, охлажденная или мороженая
10.11.11.110 Говядина парная, остывшая или охлажденная
10.11.31.110 Говядина замороженная</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</si>
  <si>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43.99.90.190 Работы строительные специализированные прочие, не включенные в другие группировки
52.21.22.000 Услуги по эксплуатации автомагистралей
42.99.12.124 Территории парковые и парки для отдыха
42.11.10.110 Автомагистрали, кроме надземных автодорог (эстакад)
42.11.10.120 Дороги автомобильные, в том числе улично-дорожная сеть, и прочие автомобильные и пешеходные дороги
52.29.20.000 Услуги транспортные вспомогательные прочие, не включенные в другие группировки
43.12.11.140 Работы по расчистке территории, удалению растительности ****</t>
  </si>
  <si>
    <t>За весь период компания заключила  66 контрактов на сумму  37 423 939 165,96 ? За весь период заходили в конкурсы  179 раз на общую сумму обеспеченных контрактов с НМЦ 50 365 487 629,46 ? с БГУ  2 045 512 525,88 ? с БГИ 8 608 107 228,59 ? За 3 ГОДА по 44ФЗ заключено 193 шт. с объемом НМЦ  15 469 004 201,76 ? с БГИ 2 295 744 838,04 ? с БГГО 142 095 164,03 ? с авансированием до 8 370 402 904,82 ? с комиссией банку 47 753 196,53 ? с кв 415 452,81 ? ЗА 1 ГОД по 44ФЗ заключено 76 шт. c объемом НМЦ 4 664 726 650,66 ? с БГИ 1 007 465 380,97 ? с БГГО 80 738 910,39 ? с авансированием до  815 608 230,52 ? с комиссией банку  29 112 128,53 ? с кв 253 275,52 ?</t>
  </si>
  <si>
    <t>"44 за 3 года", ".", "рейтинг поставщиков в маркере по бг", "компании Герберта", "ГРАНДИОЗНЫЙ ПРОЕКТ", "Конкурсы 100+ (Восстановленный)", "ПСБ Гарантии ", "06.2022_ФинХД", "все клиенты с выручкой от 1,8 млрд до бесконечности", "44 фз с с БГ от 10 млн", "рейтинг заказчиков маркер", "производители", "рейтинг по нмц маркер", "это заказчик", "поставщики маркер"</t>
  </si>
  <si>
    <t>38.11.19.000 Услуги по сбору прочих неопасных отходов, пригодных для повторного использования
38.22.29.000 Услуги по утилизации прочих опасных отходов
38.11.31.000 Отходы неопасные бытовые, непригодные для повторного использования
38.11.21.000 Услуги по сбору неопасных отходов городского хозяйства, непригодных для повторного использования
38.11 Отходы неопасные; услуги по сбору неопасных отходов
38.21.29.000 Услуги по утилизации неопасных отходов прочие
38.11.59.000 Отходы неопасные прочие, пригодные для повторного использования, не включенные в другие группировки
49.41.20.000 Услуги по аренде грузовых транспортных средств с водителем
38.11.29.000 Услуги по сбору прочих неопасных отходов, непригодных для повторного использования
38.11.69.000 Услуги перегрузочных станций, связанные с прочими неопасными отходами ****</t>
  </si>
  <si>
    <t>Сообщения о принятии решения о реорганизации от 16.08.2016</t>
  </si>
  <si>
    <t>"223 за 3 года", "свод фт", ".", "Пункт 3.1 09.01.2023", "рейтинг заказчиков маркер", "это заказчик", "на фт заводил Ким", "crm управления", "в crm за Ким", "поставщики маркер", "44 за 3 года"</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</si>
  <si>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35.11.10.115 Электроэнергия, произведенная атомными электростанциями (АЭС) общего назначения ****</t>
  </si>
  <si>
    <t>Заказчик разыгравший 73 конкурсов на сумму  18 203 731 693,81 ?</t>
  </si>
  <si>
    <t>Сообщения о принятии решения о реорганизации от 24.11.2021</t>
  </si>
  <si>
    <t>"Обороты по клиентам по кварталам (2022г)", ".", "fk1", "корп 2", "все клиенты с выручкой от 1,8 млрд до бесконечности", "ФК клиенты с выручкой от 230 до бесконечности"</t>
  </si>
  <si>
    <t>52.23.19.113 Работы лесоавиационные
52.23.19.119 Работы авиационные прочие
51.21.1 Услуги по перевозке грузов воздушным транспортом
51.10.12 Услуги по нерегулярным пассажирским перевозкам воздушным транспортом на местных линиях, кроме услуг по осмотру достопримечательностей с воздуха
51 Услуги воздушного и космического транспорта
51.1 Услуги по пассажирским перевозкам воздушным транспортом
51.21.14.000 Услуги по перевозке прочих грузов воздушным транспортом на нерегулярной основе
52.23.19.115 Работы с целью оказания медицинской помощи
51.10.11.000 Услуги по регулярным пассажирским перевозкам воздушным транспортом на местных линиях
52.23.19.190 Услуги вспомогательные прочие, связанные с воздушным транспортом, не включенные в другие группировки ****</t>
  </si>
  <si>
    <t>За весь период компания заключила  18 контрактов на сумму  15 446 161 950,49 ? За весь период заходили в конкурсы  7 раз на общую сумму обеспеченных контрактов с НМЦ 313 154 920,00 ? с БГУ  3 352 946,95 ? с БГИ 41 343 894,50 ? За 3 ГОДА по 44ФЗ заключено 71 шт. с объемом НМЦ  732 003 463,67 ? с БГИ 44 267 375,20 ? с БГГО 970 543,50 ? с авансированием до 4 158 033,21 ? с комиссией банку 342 727,04 ? с кв 2 981,73 ? ЗА 1 ГОД по 44ФЗ заключено 26 шт. c объемом НМЦ 213 348 111,26 ? с БГИ 9 451 405,57 ? с БГГО 0,00 ? с авансированием до  0,00 ? с комиссией банку  112 803,55 ? с кв 981,39 ? ЗА 3 ГОДА ПО 223 ФЗ заключено 5 шт. с объемом НМЦ 483 765 636,32 ? за 1 ГОД ПО 223ФЗ заключено 1  26 299 460,00 ?</t>
  </si>
  <si>
    <t>"223 за 3 года", ".", "рейтинг поставщиков в маркере по бг", "все клиенты с выручкой от 1,8 млрд до бесконечности", "223 фз контракты 20+", "рейтинг заказчиков маркер", "рейтинг по нмц маркер",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</si>
  <si>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08.12.12.140 Щебень</t>
  </si>
  <si>
    <t>Сообщение кредитора о намерении обратиться в суд с заявлением о банкротстве от 26.11.2021</t>
  </si>
  <si>
    <t>"поставщики маркер", ".", "рейтинг поставщиков в маркере по бг", "ГРАНДИОЗНЫЙ ПРОЕКТ", "производители"</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</si>
  <si>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35.30.12.110 Услуги по приготовлению воды на нужды горячего водоснабжения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35.12.10.120 Услуги по технологическому присоединению к распределительным электросетям
35.30.11.120 Энергия тепловая, отпущенная котельными ****</t>
  </si>
  <si>
    <t>1 836</t>
  </si>
  <si>
    <t>За весь период компания заключила  9 контрактов на сумму  1 161 605 713,10 ? За весь период заходили в конкурсы  4 раз на общую сумму обеспеченных контрактов с НМЦ 375 573 946,74 ? с БГУ  21 455 346,92 ? с БГИ 128 732 081,56 ?                                 за 1 ГОД ПО 223ФЗ заключено 15  7 136 157,26 ?</t>
  </si>
  <si>
    <t>Заказчик разыгравший 265 конкурсов на сумму  71 702 128 261,07 ?</t>
  </si>
  <si>
    <t>55.10 Услуги гостиниц и аналогичные услуги по предоставлению временного жилья
93.19.19.000 Услуги в области спорта и отдыха прочие
93.29 Услуги в области развлечений и отдыха прочие</t>
  </si>
  <si>
    <t>2 396</t>
  </si>
  <si>
    <t>Сообщение кредитора о намерении обратиться в суд с заявлением о банкротстве от 08.06.2018</t>
  </si>
  <si>
    <t>42.11.2 Работы строительные по строительству автомагистралей, автомобильных дорог, в том числе проходящих по улицам населенных пунктов, и прочих автомобильных или пешеходных дорог, и взлетно-посадочных полос аэродромов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42.11.10.151 Дорога подъездная
52.21.22.000 Услуги по эксплуатации автомагистралей
42.11.10.120 Дороги автомобильные, в том числе улично-дорожная сеть, и прочие автомобильные и пешеходные дороги
42.11.10.159 Дороги подъездные, транспортные и пешеходные путепроводы над и под дорогой, велосипедные дорожки прочие
42.13.20.100 Работы строительные по строительству мостов и тоннелей, кроме работ по сохранению и воссозданию объектов культурного наследия
42.11.10.150 Дороги подъездные, транспортные и пешеходные путепроводы над и под дорогой, велосипедные дорожки
42.11.10.121 Дорога автомобильная с усовершенствованным капитальным типом дорожного покрытия ****</t>
  </si>
  <si>
    <t>За весь период компания заключила  47 контрактов на сумму  15 125 835 151,69 ? За весь период заходили в конкурсы  138 раз на общую сумму обеспеченных контрактов с НМЦ 26 992 094 179,53 ? с БГУ  1 612 817 907,02 ? с БГИ 6 089 065 121,62 ? За 3 ГОДА по 44ФЗ заключено 203 шт. с объемом НМЦ  11 886 182 425,13 ? с БГИ 2 454 267 476,25 ? с БГГО 309 803 011,62 ? с авансированием до 1 262 531 393,28 ? с комиссией банку 42 467 946,48 ? с кв 369 471,13 ? ЗА 1 ГОД по 44ФЗ заключено 89 шт. c объемом НМЦ 4 932 735 796,13 ? с БГИ 1 004 057 887,64 ? с БГГО 198 575,45 ? с авансированием до  714 273 188,66 ? с комиссией банку  16 265 625,24 ? с кв 141 510,94 ?</t>
  </si>
  <si>
    <t>"44 за 3 года", ".", "рейтинг поставщиков в маркере по бг", "ГРАНДИОЗНЫЙ ПРОЕКТ", "Конкурсы 100+ (Восстановленный)", "все клиенты с выручкой от 1,8 млрд до бесконечности", "44 фз с с БГ от 10 млн", "производители", "рейтинг по нмц маркер", "поставщики маркер"</t>
  </si>
  <si>
    <t>Сообщения о принятии решения о реорганизации от 05.04.2022</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</si>
  <si>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45.11 Услуги по торговле легковыми автомобилями и грузовыми автомобилями малой грузоподъемности
45.11.39.000 Услуги по розничной торговле легковыми автомобилями и грузовыми автомобилями малой грузоподъемности прочие, не включенные в другие группировки
45.20.11.519 Прочие услуги по техническому обслуживанию и ремонту прочих автотранспортных средств, не включенные в другие группировки
29.10.41.112 Автомобили грузовые с дизельным двигателем, имеющие технически допустимую максимальную массу свыше 3,5 т, но не более 12 т
29.10 Средства автотранспортные
29.10.2 Автомобили легковые
29.10.22 Средства транспортные с двигателем с искровым зажиганием, с рабочим объемом цилиндров более 1500 см3, новые
29.10.24.000 Средства автотранспортные для перевозки людей прочие ****</t>
  </si>
  <si>
    <t>За весь период компания заключила  6 контрактов на сумму  1 577 666 383,26 ? За весь период заходили в конкурсы  15 раз на общую сумму обеспеченных контрактов с НМЦ 2 976 449 159,34 ? с БГУ  126 170 497,54 ? с БГИ 383 567 352,58 ?                             ЗА 3 ГОДА ПО 223 ФЗ заключено 11 шт. с объемом НМЦ 45 987 890,00 ?</t>
  </si>
  <si>
    <t>35.22 Услуги по распределению газообразного топлива по трубопроводам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35.13.10.000 Услуги по распределению электроэнергии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42.21.22.190 Работы строительные по прокладке местных трубопроводов прочих жидкостей и газов
35.30.12.120 Услуги по приготовлению горячей воды с использованием нецентрализованных систем горячего водоснабжения ****</t>
  </si>
  <si>
    <t>Заказчик разыгравший 27 конкурсов на сумму  10 427 827 307,67 ?</t>
  </si>
  <si>
    <t>Сообщение кредитора о намерении обратиться в суд с заявлением о банкротстве от 29.11.2022</t>
  </si>
  <si>
    <t>"223 за 3 года", ".", "fk1", "просрочка на 01.01.2023 г.", "Запрос в ЮД_просрочка на 01.01.2023", "клиенты с в от100млн 09.21", "все клиенты с выручкой от 1,8 млрд до бесконечности", "ФК клиенты с выручкой от 230 до бесконечности", "рейтинг заказчиков маркер", "это заказчик", "поставщики маркер"</t>
  </si>
  <si>
    <t>29.10.30.190 Средства автотранспортные пассажирские с числом мест для сидения не менее 10 прочие
29.1 Средства автотранспортные
29.10.41.112 Автомобили грузовые с дизельным двигателем, имеющие технически допустимую максимальную массу свыше 3,5 т, но не более 12 т
28.99.39.190 Оборудование специального назначения прочее, не включенное в другие группировки
29.10.59.150 Средства транспортные для аварийно-спасательных служб и полиции
45.1 Услуги по торговле автотранспортными средствами
29.10.59.390 Средства автотранспортные специального назначения прочие, не включенные в другие группировки
29.20 Кузова (корпуса) для автотранспортных средств; прицепы и полуприцепы
29.10.41.123 Автосамосвалы с дизельным двигателем, имеющие технически допустимую максимальную массу свыше 12 т
29.10.59.230 Средства транспортные для перевозки нефтепродуктов ****</t>
  </si>
  <si>
    <t>За весь период компания заключила  7 контрактов на сумму  919 092 283,90 ? За весь период заходили в конкурсы  3 раз на общую сумму обеспеченных контрактов с НМЦ 262 772 920,00 ? с БГУ  21 840 600,00 ? с БГИ 131 043 600,00 ?                             ЗА 3 ГОДА ПО 223 ФЗ заключено 1 шт. с объемом НМЦ 30 000 000,00 ?</t>
  </si>
  <si>
    <t>"223 за 3 года", ".", "рейтинг поставщиков в маркере по бг", "все клиенты с выручкой от 1,8 млрд до бесконечности", "рейтинг по нмц маркер", "это заказчик", "поставщики маркер", "44 за 3 года"</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</si>
  <si>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36.00.1 Вода природная
36.00.20.140 Услуги по техническому обслуживанию приборов учета расхода воды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84.12.13.000 Услуги государственного управления в области жилищного строительства и коммунального хозяйства ****</t>
  </si>
  <si>
    <t>ЗА 3 ГОДА ПО 223 ФЗ заключено 19 шт. с объемом НМЦ 32 882 533,81 ? за 1 ГОД ПО 223ФЗ заключено 3  9 528 293,32 ?</t>
  </si>
  <si>
    <t>"223 за 3 года", ".", "райф", "все клиенты с выручкой от 1,8 млрд до бесконечности", "рейтинг заказчиков маркер", "рейтинг по нмц маркер", "это заказчик", "поставщики маркер"</t>
  </si>
  <si>
    <t>21.20.21.132 Вакцины бактериальные инактивированные профилактические, применяемые в ветеринарии
20.20.14.000 Средства дезинфекционные
20.20.19.000 Пестициды прочие и агрохимические продукты прочие
21.10.54.190 Антибиотики и их производные прочие
21.20.10.191 Препараты антибактериальные для системного использования
21.20.10.213 Иммуномодуляторы
21.20.10.241 Препараты противопротозойные
21.20.10.242 Препараты противогельминтные
21.20.2 Препараты лекарственные прочие и материалы, применяемые в медицинских целях
32.50.13.190 Инструменты и приспособления, применяемые в медицинских целях, прочие, не включенные в другие группировки ****</t>
  </si>
  <si>
    <t>ЗА 3 ГОДА ПО 223 ФЗ заключено 32 шт. с объемом НМЦ 24 349 254,10 ? за 1 ГОД ПО 223ФЗ заключено 9  7 084 734,38 ?</t>
  </si>
  <si>
    <t>41.20.40.900 Работы строительные по возведению нежилых зданий и сооружений прочие, не включенные в другие группировки
68.10.11.000 Услуги по покупке и продаже жилых зданий и занимаемых ими земельных участков</t>
  </si>
  <si>
    <t>ЗА 3 ГОДА ПО 223 ФЗ заключено 2 шт. с объемом НМЦ 175 947 948,00 ?</t>
  </si>
  <si>
    <t>23.13.11 Бутылки, банки, флаконы и прочая тара из стекла, кроме ампул; пробки, крышки и прочие укупорочные средства из стекла
36.00.30.000 Услуги по торговле водой, поставляемой по трубопроводам
36.00.20.130 Услуги по транспортированию и распределению воды по водопроводам</t>
  </si>
  <si>
    <t>Кредитный портфель_01.1380</t>
  </si>
  <si>
    <t>01.11.31 Ячмень
01.11.11 Пшеница твердая
01.11.1 Пшеница</t>
  </si>
  <si>
    <t>ЗА 3 ГОДА ПО 223 ФЗ заключено 2 шт. с объемом НМЦ 195 000 000,00 ?</t>
  </si>
  <si>
    <t>Юридическое лицо находится в процессе реорганизации в форме присоединения к другому юридическому лицу от 07.04.2023, Сообщения о принятии решения о реорганизации от 03.04.2023</t>
  </si>
  <si>
    <t>За весь период компания заключила  1 контрактов на сумму  2 353 452 158,08 ?                                     ЗА 3 ГОДА ПО 223 ФЗ заключено 1 шт. с объемом НМЦ 101 217 200,40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</si>
  <si>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82.99.19 Услуги вспомогательные, связанные с предпринимательской деятельностью, прочие, не включенные в другие группировки
35.11.10 Электроэнергия
35.11.10.121 Электроэнергия, произведенная блок-станциями конденсационных электростанций (КЭС)
35.11.10.140 Электроэнергия от возобновляемых источников энергии ****</t>
  </si>
  <si>
    <t>За весь период компания заключила  26 контрактов на сумму  7 507 991 897,06 ? За весь период заходили в конкурсы  1 раз на общую сумму обеспеченных контрактов с НМЦ 73 402 215,48 ? с БГУ  734 022,15 ? с БГИ 7 340 221,55 ? За 3 ГОДА по 44ФЗ заключено 74 шт. с объемом НМЦ  182 552 239,24 ? с БГИ 18 141 704,84 ? с БГГО 5 470,40 ? с авансированием до 0,00 ? с комиссией банку 928 939,64 ? с кв 8 081,77 ?               ЗА 3 ГОДА ПО 223 ФЗ заключено 46 шт. с объемом НМЦ 460 687 350,71 ? за 1 ГОД ПО 223ФЗ заключено 12  62 170 498,97 ?</t>
  </si>
  <si>
    <t>"223 за 3 года", ".", "рейтинг поставщиков в маркере по бг", "fk1", "все клиенты с выручкой от 1,8 млрд до бесконечности", "Обороты по клиентам по кварталам (2022г)", "223 фз контракты 20+", "рейтинг заказчиков маркер", "рейтинг по нмц маркер", "это заказчик", "поставщики маркер", "44 за 3 года"</t>
  </si>
  <si>
    <t>55.20.12.000 Услуги по предоставлению временного жилья для посетителей в помещениях, предоставляемых по договорам краткосрочного найма</t>
  </si>
  <si>
    <t>За весь период заходили в конкурсы  3 раз на общую сумму обеспеченных контрактов с НМЦ 190 998 672,30 ? с БГУ  3 603 918,80 ? с БГИ 27 312 961,00 ?</t>
  </si>
  <si>
    <t>93.19.13.000 Услуги вспомогательные, связанные со спортом и отдыхом
63.11.21.000 Услуги по передаче потокового видео
43.99.90.190 Работы строительные специализированные прочие, не включенные в другие группировки
94.99.19.150 Услуги объединений, создаваемых с целью проведения культурных и развлекательных мероприятий и организации досуга, кроме спорта или игр
93.19.11 Услуги по содействию в подготовке спортивных и развлекательных мероприятий
90.04.10.110 Услуги концертных залов, театров, оперных зданий, мюзик-холлов, включая услуги билетных касс
94.11.10.000 Услуги, предоставляемые коммерческими и предпринимательскими членскими организациями
82.30.11.000 Услуги по организации конференций
90.02.12.000 Услуги по организации показа спектаклей, концертов и иных зрелищных программ (произведений исполнительского искусства), включая мероприятия по продвижению исполнительских искусств
82.99.19.000 Услуги вспомогательные, связанные с предпринимательской деятельностью, прочие, не включенные в другие группировки ****</t>
  </si>
  <si>
    <t>За весь период компания заключила  7 контрактов на сумму  362 506 733,59 ? За весь период заходили в конкурсы  19 раз на общую сумму обеспеченных контрактов с НМЦ 1 303 026 741,19 ? с БГУ  93 847 295,88 ? с БГИ 443 639 651,64 ? За 3 ГОДА по 44ФЗ заключено 6 шт. с объемом НМЦ  275 148 959,00 ? с БГИ 62 599 418,85 ? с БГГО 0,00 ? с авансированием до 0,00 ? с комиссией банку 751 920,43 ? с кв 6 541,71 ? ЗА 1 ГОД по 44ФЗ заключено 1 шт. c объемом НМЦ 80 930 500,00 ? с БГИ 24 279 150,00 ? с БГГО 0,00 ? с авансированием до  0,00 ? с комиссией банку  143 679,35 ? с кв 1 250,01 ?</t>
  </si>
  <si>
    <t>"44 за 3 года", ".", "рейтинг поставщиков в маркере по бг",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"44 фз с с БГ от 10 млн", "рейтинг по нмц маркер", "поставщики маркер"</t>
  </si>
  <si>
    <t>35.30.11.120 Энергия тепловая, отпущенная котельными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35.30.11.110 Энергия тепловая, отпущенная электростанциями</t>
  </si>
  <si>
    <t>24.10.61.111 Прокат сортовой горячекатаный круглый со свободной намоткой в бухты из нелегированных сталей
24.10.62.124 Прокат сортовой горячекатаный полосовой прочий, без дополнительной обработки, включая смотанный после прокатки, из нелегированных сталей
24.10.66.190 Прокат сортовой прочий из прочих легированных сталей, без дополнительной обработки, включая смотанный после прокатки
24.10.80.190 Прокат черных металлов прочий, не включенный в другие группировки
24 Металлы основные
24.20.13.130 Трубы стальные электросварные
24.10.21.149 Полуфабрикаты круглого или многоугольного сечения из нелегированной стали прочие
25.11.23.119 Конструкции и детали конструкций из черных металлов прочие, не включенные в другие группировки
25.93.15.120 Электроды с покрытием
24.10.43.000 Прокат листовой холоднокатаный из прочих легированных сталей, без дополнительной обработки, шириной не менее 600 мм ****</t>
  </si>
  <si>
    <t>За весь период компания заключила  12 контрактов на сумму  1 082 069 145,61 ?                                     ЗА 3 ГОДА ПО 223 ФЗ заключено 11 шт. с объемом НМЦ 89 260 551,80 ? за 1 ГОД ПО 223ФЗ заключено 5  139 266 371,85 ?</t>
  </si>
  <si>
    <t>"223 за 3 года", ".", "выдали", "06.2022_ФинХД", "все клиенты с выручкой от 1,8 млрд до бесконечности", "223 фз контракты 20+", "производители", "рейтинг по нмц маркер", "это заказчик", "поставщики маркер", "44 за 3 года"</t>
  </si>
  <si>
    <t>24.41.30.141 Иридий в виде порошка
32.12.14.112 Изделия технические из золота и золотых сплавов
24.10.6 Прокат сортовой и катанка горячекатаные стальные
24.41.99.000 Услуги по производству изделий из драгоценных металлов отдельные, выполняемые субподрядчиком
68.20.12.000 Услуги по сдаче в аренду (внаем) собственных или арендованных нежилых помещений
32.12.14.119 Изделия технические из прочих драгоценных металлов
24.41.20.120 Золото в слитках
32.12.14.111 Изделия технические из серебра и серебряных сплавов
32.12.14.110 Изделия технические из драгоценных металлов
32.12.14.113 Изделия технические из платины и платиновых сплавов</t>
  </si>
  <si>
    <t>За весь период заходили в конкурсы  5 раз на общую сумму обеспеченных контрактов с НМЦ 280 000 000,00 ? с БГУ  31 516 666,66 ? с БГИ 256 625 000,00 ?</t>
  </si>
  <si>
    <t>"223 за 3 года", ".", "рейтинг поставщиков в маркере по бг", "fk1", "рейтинг заказчиков маркер", "рейтинг по нмц маркер", "44 за 3 года"</t>
  </si>
  <si>
    <t>37.00.11.110 Услуги по водоотведению сточных вод
43.99.90.190 Работы строительные специализированные прочие, не включенные в другие группировки
35.11.10.112 Электроэнергия, произведенная теплоэлектроцентралями (ТЭЦ) общего назначения
35.11.10.122 Электроэнергия, произведенная блок-станциями теплоэлектроцентралей (ТЭЦ)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35.12.10.120 Услуги по технологическому присоединению к распределительным электросетям ****</t>
  </si>
  <si>
    <t>3 112</t>
  </si>
  <si>
    <t>За весь период компания заключила  16 контрактов на сумму  9 617 658 899,21 ? За весь период заходили в конкурсы  19 раз на общую сумму обеспеченных контрактов с НМЦ 4 357 388 650,74 ? с БГУ  283 767 914,80 ? с БГИ 1 749 841 444,91 ?               ЗА 1 ГОД по 44ФЗ заключено 1 шт. c объемом НМЦ 71 463 440,00 ? с БГИ 14 292 688,00 ? с БГГО 7 146 344,00 ? с авансированием до  0,00 ? с комиссией банку  110 425,70 ? с кв 960,70 ? ЗА 3 ГОДА ПО 223 ФЗ заключено 5 шт. с объемом НМЦ 222 086 514,49 ? за 1 ГОД ПО 223ФЗ заключено 1  8 097 434,18 ?</t>
  </si>
  <si>
    <t>Сообщение кредитора о намерении обратиться в суд с заявлением о банкротстве от 08.09.2021</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</si>
  <si>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35.30.11.120 Энергия тепловая, отпущенная котельными ****</t>
  </si>
  <si>
    <t>ЗА 3 ГОДА ПО 223 ФЗ заключено 15 шт. с объемом НМЦ 150 891 453,16 ?</t>
  </si>
  <si>
    <t>Сообщение кредитора о намерении обратиться в суд с заявлением о банкротстве от 11.11.2020</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</si>
  <si>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t>
  </si>
  <si>
    <t>За весь период заходили в конкурсы  7 раз на общую сумму обеспеченных контрактов с НМЦ 367 413 584,84 ? с БГУ  27 977 006,33 ? с БГИ 292 221 963,33 ?               ЗА 1 ГОД по 44ФЗ заключено 2 шт. c объемом НМЦ 55 970 315,00 ? с БГИ 5 352 980,50 ? с БГГО 0,00 ? с авансированием до  0,00 ? с комиссией банку  107 153,32 ? с кв 932,23 ?</t>
  </si>
  <si>
    <t>Сообщение кредитора о намерении обратиться в суд с заявлением о банкротстве от 24.12.2019</t>
  </si>
  <si>
    <t>20.59.42.120 Присадки к топливу
51.10.11.000 Услуги по регулярным пассажирским перевозкам воздушным транспортом на местных линиях
19.20.24.110 Керосины технические
52.21.24.000 Услуги стоянок для транспортных средств
52.23.19.190 Услуги вспомогательные прочие, связанные с воздушным транспортом, не включенные в другие группировки
19.20.25.112 Топливо для реактивных двигателей летательных аппаратов с дозвуковой скоростью полета марки ТС-1
52.23.11.000 Услуги аэропортов, кроме обработки грузов</t>
  </si>
  <si>
    <t>ЗА 3 ГОДА ПО 223 ФЗ заключено 22 шт. с объемом НМЦ 14 018 143 634,30 ? за 1 ГОД ПО 223ФЗ заключено 10  24 624 322,60 ?</t>
  </si>
  <si>
    <t>Заказчик разыгравший 9 конкурсов на сумму  797 063 292,42 ?</t>
  </si>
  <si>
    <t>62.02 Услуги консультативные, связанные с компьютерной техникой
62.02.30 Услуги по технической поддержке информационных технологий
26.20.14 Машины вычислительные электронные цифровые, поставляемые в виде систем для автоматической обработки данных
26.20.30.000 Устройства автоматической обработки данных прочие
58.29 Услуги по изданию прочего программного обеспечения
62.09.20.120 Услуги по установке программного обеспечения
62.0 Продукты программные и услуги по разработке программного обеспечения; консультационные и аналогичные услуги в области информационных технологий
62.01.29 Оригиналы программного обеспечения прочие
58.2 Услуги по изданию программного обеспечения
72 Услуги и работы, связанные с научными исследованиями и экспериментальными разработками ****</t>
  </si>
  <si>
    <t>За весь период заходили в конкурсы  5 раз на общую сумму обеспеченных контрактов с НМЦ 173 600 000,00 ? с БГУ  12 410 000,00 ? с БГИ 29 220 000,00 ?               ЗА 1 ГОД по 44ФЗ заключено 3 шт. c объемом НМЦ 68 923 200,00 ? с БГИ 9 676 960,00 ? с БГГО 6 034 624,00 ? с авансированием до  0,00 ? с комиссией банку  106 926,06 ? с кв 930,26 ?     за 1 ГОД ПО 223ФЗ заключено 3  9 337 778,47 ?</t>
  </si>
  <si>
    <t>Сообщения о принятии решения о реорганизации от 17.07.2020</t>
  </si>
  <si>
    <t>20.15.79.000 Удобрения минеральные или химические, содержащие два или три питательных элемента (азот, фосфор и калий), не включенные в другие группировки
20.20.12 Гербициды
20.20.15 Фунгициды
20.20.19.000 Пестициды прочие и агрохимические продукты прочие
01.11.11.112 Семена озимой твердой пшеницы
20.1 Вещества химические основные, удобрения химические и азотные, пластмассы и синтетический каучук в первичных формах
20.20.11.000 Инсектициды
20.20.13.120 Регуляторы роста растений
01.11.95.110 Семена подсолнечника для посева
01.11.20.132 Семена зубовидной кукурузы и кукурузы прочих сортов</t>
  </si>
  <si>
    <t>Сообщения о принятии решения о реорганизации от 17.07.2019</t>
  </si>
  <si>
    <t>"223 за 3 года", ".", "выдали", "производители", "поставщики маркер"</t>
  </si>
  <si>
    <t>35.11.10.112 Электроэнергия, произведенная теплоэлектроцентралями (ТЭЦ) общего назначения
10.81.99.000 Услуги по производству сахара отдельные, выполняемые субподрядчиком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35.11.10.121 Электроэнергия, произведенная блок-станциями конденсационных электростанций (КЭС)
35.30.11.120 Энергия тепловая, отпущенная котельными
35.11.10.120 Электроэнергия, произведенная блок-станциями
35.30.11.111 Энергия тепловая, отпущенная тепловыми электроцентралями (ТЭЦ)
35.30.11.110 Энергия тепловая, отпущенная электростанциями</t>
  </si>
  <si>
    <t>70.22.14.000 Услуги консультативные по вопросам управления трудовыми ресурсами
69.1 Услуги юридические
69.20.1 Услуги по проведению финансового аудита
70.21 Услуги по связи с общественностью и информации
73.20.19.000 Услуги по исследованию конъюнктуры рынка прочие
74.90.12.126 Услуги по установлению рыночной или иной стоимости иных объектов гражданских прав, в отношении которых законодательством Российской Федерации установлена возможность их участия в гражданском обороте
70.22.11 Услуги консультативные по вопросам стратегического управления
69 Услуги юридические и бухгалтерские
69.20.31.000 Услуги по налоговому консультированию и подготовка налоговой документации для юридических лиц
70.22.1 Услуги консультативные по вопросам управления деятельностью предприятия ****</t>
  </si>
  <si>
    <t>2 898</t>
  </si>
  <si>
    <t>За весь период компания заключила  28 контрактов на сумму  4 827 258 962,43 ? За весь период заходили в конкурсы  42 раз на общую сумму обеспеченных контрактов с НМЦ 6 939 905 713,00 ? с БГУ  361 957 737,80 ? с БГИ 2 808 388 662,00 ? За 3 ГОДА по 44ФЗ заключено 7 шт. с объемом НМЦ  251 902 178,67 ? с БГИ 38 017 301,20 ? с БГГО 20 048 051,20 ? с авансированием до 4 818 000,00 ? с комиссией банку 1 165 278,03 ? с кв 10 137,92 ?               ЗА 3 ГОДА ПО 223 ФЗ заключено 13 шт. с объемом НМЦ 307 543 610,05 ?</t>
  </si>
  <si>
    <t>15.20.32.129 Обувь специальная прочая, не включенная в другие группировки
14.12.11.120 Костюмы мужские производственные и профессиональные
14.12.30.130 Юбки, халаты, блузки, фартуки, жилеты, платья и сорочки производственные и профессиональные
14.12.30.121 Куртки мужские производственные и профессиональные
14.3 Предметы одежды трикотажные и вязаные
14.12.12.130 Бриджи и шорты мужские производственные и профессиональные
15.20.32.122 Обувь специальная кожаная для защиты от механических воздействий
14.12.30.131 Халаты, фартуки, жилеты и сорочки мужские производственные и профессиональные
15.20.32.120 Обувь различная специальная
14.12 Спецодежда ****</t>
  </si>
  <si>
    <t>15.20.11.119 Обувь резиновая прочая, не включенная в другие группировки
13.94.20 Тряпье, отходы шпагата, бечевки, веревки или канатов и изделия из текстильных материалов, бывшие в употреблении
14.14.23.120 Рубашки и батники женские или для девочек из текстильных материалов, кроме трикотажных или вязаных
17.22 Изделия хозяйственные и санитарно-гигиенические и туалетные принадлежности
14.12 Спецодежда
14.12.30.190 Одежда производственная и профессиональная прочая, не включенная в другие группировки
14.13.31.120 Куртки женские или для девочек из текстильных материалов, кроме трикотажных или вязаных
15.20.14.110 Обувь с верхом из текстильных материалов</t>
  </si>
  <si>
    <t>ЗА 3 ГОДА ПО 223 ФЗ заключено 19 шт. с объемом НМЦ 10 205 376 937,57 ? за 1 ГОД ПО 223ФЗ заключено 32  27 054 372 219,03 ?</t>
  </si>
  <si>
    <t>"223 за 3 года", ".", "Конкурсы 100+ (Восстановленный)", "все клиенты с выручкой от 1,8 млрд до бесконечности", "223 фз контракты 20+", "поставщики маркер"</t>
  </si>
  <si>
    <t>25.11 Металлоконструкции строительные и их части
46.1 Услуги по оптовой торговле за вознаграждение или на договорной основе
25.11.23.120 Конструкции и детали конструкций из алюминия прочие</t>
  </si>
  <si>
    <t>22.21 Плиты, листы, трубы и профили пластмассовые</t>
  </si>
  <si>
    <t>19.2 Нефтепродукты
19.20.21.100 Бензин автомобильный
19.20.21.125 Бензин автомобильный с октановым числом более 92, но не более 95 по исследовательскому методу экологического класса К5
19.20.21.120 Бензин автомобильный с октановым числом более 92, но не более 95 по исследовательскому методу
19.20.21.315 Топливо дизельное летнее экологического класса К5
19.20.21.320 Топливо дизельное зимнее
19.20.2 Топливо жидкое и газообразное; масла смазочные
19.20.21.115 Бензин автомобильный с октановым числом не менее 80, но не более 92 по исследовательскому методу экологического класса К5
19.20.21.300 Топливо дизельное
19.20.21.325 Топливо дизельное зимнее экологического класса К5 ****</t>
  </si>
  <si>
    <t>За весь период компания заключила  10 контрактов на сумму  1 208 837 665,00 ?                                     ЗА 3 ГОДА ПО 223 ФЗ заключено 6 шт. с объемом НМЦ 894 417 504,13 ? за 1 ГОД ПО 223ФЗ заключено 2  12 704 538,38 ?</t>
  </si>
  <si>
    <t>"223 за 3 года", ".", "fk1", "Действующий клиент мсб с выр от 30 млн на 05.21", "все клиенты с выручкой от 1,8 млрд до бесконечности", "ФК клиенты с выручкой от 230 до бесконечности", "Участники клиринга", "рейтинг по нмц маркер", "поставщики маркер", "44 за 3 года"</t>
  </si>
  <si>
    <t>26.80.13.000 Носители данных прочие, включая матрицы и основы для производства дисков
26.30.11.140 Оборудование, используемое для учета объема оказанных услуг связи
77.40.19.000 Услуги по предоставлению лицензий на право использования прочей интеллектуальной собственности и аналогичных продуктов, кроме произведений, охраняемых авторским правом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43.99.90.190 Работы строительные специализированные прочие, не включенные в другие группировки
33.20 Услуги по монтажу промышленных машин и оборудования
46.52.1 Услуги по оптовой торговле электронным и телекоммуникационным оборудованием и его частями
77.39.19.119 Услуги по аренде и лизингу прочих машин и оборудования научного и промышленного назначения
62.03.1 Услуги по управлению компьютерным оборудованием
58.29.50 Услуги по предоставлению лицензий на право использовать компьютерное программное обеспечение ****</t>
  </si>
  <si>
    <t>За весь период компания заключила  298 контрактов на сумму  103 375 030 540,74 ? За весь период заходили в конкурсы  365 раз на общую сумму обеспеченных контрактов с НМЦ 61 846 245 179,85 ? с БГУ  3 203 619 379,73 ? с БГИ 16 982 519 090,21 ? За 3 ГОДА по 44ФЗ заключено 98 шт. с объемом НМЦ  6 633 527 516,12 ? с БГИ 1 177 533 427,61 ? с БГГО 105 935 166,33 ? с авансированием до 63 932,19 ? с комиссией банку 10 294 185,98 ? с кв 89 559,42 ? ЗА 1 ГОД по 44ФЗ заключено 21 шт. c объемом НМЦ 447 068 885,61 ? с БГИ 104 736 872,40 ? с БГГО 20 478 223,00 ? с авансированием до  0,00 ? с комиссией банку  2 126 893,24 ? с кв 18 503,97 ? ЗА 3 ГОДА ПО 223 ФЗ заключено 68 шт. с объемом НМЦ 3 319 735 064,70 ? за 1 ГОД ПО 223ФЗ заключено 19  1 033 057 533,00 ?</t>
  </si>
  <si>
    <t>"223 за 3 года", ".", "рейтинг поставщиков в маркере по бг", "ГРАНДИОЗНЫЙ ПРОЕКТ 223", "Конкурсы 100+ (Восстановленный)", "fk1", "ПОС на 01.02.2023", "ПОС на 03.04.2023", "Кредитный портфель_01.11", "ПСБ Гарантии ",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"44 фз с с БГ от 10 млн", "производители", "рейтинг по нмц маркер", "это заказчик", "поставщики маркер", "44 за 3 года"</t>
  </si>
  <si>
    <t>26.51.62.120 Машины и приборы для испытания строительных материалов
26.51.66.129 Приборы неразрушающего контроля прочие
26.80.12.000 Носители данных оптические без записи
26.30.11.190 Аппаратура коммуникационная передающая с приемными устройствами прочая, не включенная в другие группировки
26.51.53.149 Приборы универсальные для определения состава и физико-химических свойств газов, жидкостей и твердых веществ прочие
41.20.40.900 Работы строительные по возведению нежилых зданий и сооружений прочие, не включенные в другие группировки
41.20.20.210 Здания для органов государственного управления, обороны, государственной безопасности, финансов и иностранных представительств
26.51.53.140 Приборы универсальные для определения состава и физико-химических свойств газов, жидкостей и твердых веществ
26.51.41.190 Приборы и аппаратура для измерения или обнаружения ионизирующих излучений прочие
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t>
  </si>
  <si>
    <t>За весь период контрактов 37 шт. на общую сумму НМЦ 166 464 480 015,13 ?</t>
  </si>
  <si>
    <t>"44 за 3 года", ".", "рейтинг поставщиков в маркере по бг", "fk1", "портфель 31.10.2021_10 тыс_проверка", "все клиенты с выручкой от 1,8 млрд до бесконечности", "44 фз с с БГ от 10 млн", "рейтинг заказчиков маркер", "производители", "рейтинг по нмц маркер", "поставщики маркер"</t>
  </si>
  <si>
    <t>"поставщики маркер", ".", "все клиенты с выручкой от 1,8 млрд до бесконечности", "Участники клиринга", "crm управления", "в crm за Кашиным"</t>
  </si>
  <si>
    <t>22.29.10.120 Перчатки пластмассовые
22.19.60.119 Перчатки резиновые прочие</t>
  </si>
  <si>
    <t>"в crm за Муслимом", ".", "Участники клиринга", "crm управления"</t>
  </si>
  <si>
    <t>19.20.42.121 Битумы нефтяные дорожные
19.20.42.129 Битумы нефтяные прочие
23.99.12.190 Изделия из асфальта или аналогичных материалов прочие, не включенные в другие группировки</t>
  </si>
  <si>
    <t>За весь период компания заключила  4 контрактов на сумму  261 985 638,97 ? За весь период заходили в конкурсы  32 раз на общую сумму обеспеченных контрактов с НМЦ 2 982 937 439,09 ? с БГУ  32 697 517,32 ? с БГИ 331 925 173,20 ? За 3 ГОДА по 44ФЗ заключено 59 шт. с объемом НМЦ  2 296 154 872,51 ? с БГИ 201 824 826,76 ? с БГГО 7 607 938,00 ? с авансированием до 0,00 ? с комиссией банку 2 077 387,06 ? с кв 18 073,27 ? ЗА 1 ГОД по 44ФЗ заключено 21 шт. c объемом НМЦ 747 868 068,10 ? с БГИ 61 367 026,77 ? с БГГО 0,00 ? с авансированием до  0,00 ? с комиссией банку  690 672,22 ? с кв 6 008,85 ?     за 1 ГОД ПО 223ФЗ заключено 1  8 500 000,00 ?</t>
  </si>
  <si>
    <t>"223 за 3 года", ".", "рейтинг поставщиков в маркере по бг", "ушедший портфель", "портфель 51", "Конкурсы 100+ (Восстановленный)",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"44 фз с с БГ от 10 млн", "рейтинг по нмц маркер", "поставщики маркер", "44 за 3 года"</t>
  </si>
  <si>
    <t>"это заказчик", ".", "райф", "все клиенты с выручкой от 1,8 млрд до бесконечности", "производители"</t>
  </si>
  <si>
    <t>26.30.30.000 Части и комплектующие коммуникационного оборудования
46.51.10.110 Услуги по оптовой торговле компьютерами, компьютерными периферийными устройствами
62.02 Услуги консультативные, связанные с компьютерной техникой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62.09.20.120 Услуги по установке программного обеспечения
62.09.20.190 Услуги по технической поддержке в области информационных технологий прочие, не включенные в другие группировки
26.2 Компьютеры и периферийное оборудование
62.0 Продукты программные и услуги по разработке программного обеспечения; консультационные и аналогичные услуги в области информационных технологий ****</t>
  </si>
  <si>
    <t>За весь период заходили в конкурсы  4 раз на общую сумму обеспеченных контрактов с НМЦ 676 185 289,16 ? с БГУ  33 965 860,68 ? с БГИ 72 453 801,38 ? За 3 ГОДА по 44ФЗ заключено 36 шт. с объемом НМЦ  739 332 858,97 ? с БГИ 124 830 170,50 ? с БГГО 45 653 840,90 ? с авансированием до 200 000,00 ? с комиссией банку 1 091 895,36 ? с кв 9 499,49 ? ЗА 1 ГОД по 44ФЗ заключено 14 шт. c объемом НМЦ 192 228 562,21 ? с БГИ 29 425 292,30 ? с БГГО 7 872 107,00 ? с авансированием до  0,00 ? с комиссией банку  237 352,20 ? с кв 2 064,96 ? ЗА 3 ГОДА ПО 223 ФЗ заключено 3 шт. с объемом НМЦ 30 764 215,68 ? за 1 ГОД ПО 223ФЗ заключено 1  23 545 944,00 ?</t>
  </si>
  <si>
    <t>"223 за 3 года", ".", "рейтинг поставщиков в маркере по бг", "fk1", "инн Красносельская", "Агентские одобренные но не выданные от 30.08", "ушедшие", "223 фз контракты 20+", "44 фз с с БГ от 10 млн", "рейтинг по нмц маркер", "поставщики маркер", "44 за 3 года"</t>
  </si>
  <si>
    <t>42.99.12.124 Территории парковые и парки для отдыха
41.20.40.900 Работы строительные по возведению нежилых зданий и сооружений прочие, не включенные в другие группировки
41.20.20.100 Здания нежилые
42.21.22 Работы строительные по прокладке местных трубопроводов
41.20.30.100 Работы по возведению жилых зданий, кроме работ по сохранению и воссозданию объектов культурного наследия
42.21.22.110 Работы строительные по прокладке местных трубопроводов воды или сточных вод
42.21.21 Работы строительные по прокладке магистральных трубопроводов</t>
  </si>
  <si>
    <t>5 484</t>
  </si>
  <si>
    <t>За весь период компания заключила  12 контрактов на сумму  33 239 660 354,87 ? За весь период заходили в конкурсы  19 раз на общую сумму обеспеченных контрактов с НМЦ 28 173 849 122,63 ? с БГУ  1 208 086 331,68 ? с БГИ 7 771 413 160,25 ? За 3 ГОДА по 44ФЗ заключено 10 шт. с объемом НМЦ  12 797 092 118,94 ? с БГИ 3 449 051 058,17 ? с БГГО 80 569 799,97 ? с авансированием до 1 667 873 575,17 ? с комиссией банку 73 453 730,67 ? с кв 639 047,46 ? ЗА 1 ГОД по 44ФЗ заключено 5 шт. c объемом НМЦ 2 901 810 900,37 ? с БГИ 408 807 415,25 ? с БГГО 46 106 066,00 ? с авансированием до  523 832 569,46 ? с комиссией банку  9 757 285,49 ? с кв 84 888,38 ? ЗА 3 ГОДА ПО 223 ФЗ заключено 3 шт. с объемом НМЦ 4 183 553 277,36 ?</t>
  </si>
  <si>
    <t>Сообщения о принятии решения о реорганизации от 25.11.2021</t>
  </si>
  <si>
    <t>"223 за 3 года", "свод фт", ".", "рейтинг поставщиков в маркере по бг", "ГРАНДИОЗНЫЙ ПРОЕКТ", "Конкурсы 100+ (Восстановленный)", "Агентские отказ из-за непред-я док-ов", "все клиенты с выручкой от 1,8 млрд до бесконечности", "44 фз с с БГ от 10 млн", "производители", "рейтинг по нмц маркер", "это заказчик", "на фт заводил Пител", "на фт заводил Морозова", "на фт заводил Меркулов", "на фт заводил Бесков", "crm управления", "в crm за Муслимом", "поставщики маркер", "44 за 3 года"</t>
  </si>
  <si>
    <t>22.19.20.110 Смеси резиновые и изделия из них
22.19.60.190 Предметы одежды и ее аксессуары из вулканизированной резины, кроме твердой резины (эбонита)
32.99.11.190 Уборы головные защитные и средства защиты прочие, не включенные в другие группировки</t>
  </si>
  <si>
    <t>20.20.14.000 Средства дезинфекционные
10.91 Корма готовые для сельскохозяйственных животных
10.91.10.120 Корма животные сухие</t>
  </si>
  <si>
    <t>"223 за 3 года", ".", "п6", "06.2022_ФинХД", "все клиенты с выручкой от 1,8 млрд до бесконечности", "производители", "это заказчик"</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</si>
  <si>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43.99.70.000 Работы по сборке и монтажу сборных конструкций
43.99.90.190 Работы строительные специализированные прочие, не включенные в другие группировки
42.99.12.124 Территории парковые и парки для отдыха
42.11.10.110 Автомагистрали, кроме надземных автодорог (эстакад)
42.11.10.120 Дороги автомобильные, в том числе улично-дорожная сеть, и прочие автомобильные и пешеходные дороги
42.11.10.159 Дороги подъездные, транспортные и пешеходные путепроводы над и под дорогой, велосипедные дорожки прочие
42.99.19.190 Сооружения гражданские прочие, не включенные в другие группировки
42.99.22.100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кроме работ по сохранению и воссозданию объектов культурного наследия
43.29.19.140 Работы по монтажу знаков (светящихся или нет) ****</t>
  </si>
  <si>
    <t>За весь период компания заключила  15 контрактов на сумму  16 601 937 424,81 ? За весь период заходили в конкурсы  15 раз на общую сумму обеспеченных контрактов с НМЦ 9 563 614 683,19 ? с БГУ  447 824 149,92 ? с БГИ 3 476 900 173,04 ?</t>
  </si>
  <si>
    <t>На 23.03.2023 16:04 имеются действующие решения ФНС о приостановлении операций по счетам, Сообщение кредитора о намерении обратиться в суд с заявлением о банкротстве от 10.02.2020</t>
  </si>
  <si>
    <t>"223 за 3 года", ".", "рейтинг поставщиков в маркере по бг", "рейтинг заказчиков маркер", "рейтинг по нмц маркер", "это заказчик", "crm управления", "в crm за Шевченко ОРК  4", "поставщики маркер", "44 за 3 года"</t>
  </si>
  <si>
    <t>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35.11.10.110 Электроэнергия, произведенная электростанциями общего назначения
35.22.10.110 Услуги по распределению и снабжению газовым топливом всех видов по системам распределительных трубопроводов
33.12.29.900 Услуги по ремонту и техническому обслуживанию прочего оборудования специального назначения, не включенные в другие группировки
06.20.10.130 Газ горючий природный сжиженный и регазифицированный
35.12.10.120 Услуги по технологическому присоединению к распределительным электросетям
35.30.11.120 Энергия тепловая, отпущенная котельными
06.20.10.132 Газ горючий природный регазифицированный
35.22.10.120 Услуги по техническому обслуживанию приборов учета расхода газа ****</t>
  </si>
  <si>
    <t>За весь период компания заключила  1 контрактов на сумму  485 582 274,78 ?                                         за 1 ГОД ПО 223ФЗ заключено 6  4 790 211,62 ?</t>
  </si>
  <si>
    <t>43.22.12.120 Работы по установке и техническому обслуживанию систем управления центральным отоплением
35.11.10.112 Электроэнергия, произведенная теплоэлектроцентралями (ТЭЦ) общего назначения
35.11.10.122 Электроэнергия, произведенная блок-станциями теплоэлектроцентралей (ТЭЦ)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35.12.10.120 Услуги по технологическому присоединению к распределительным электросетям
35.30 Услуги по снабжению паром и кондиционированию воздуха
35.30.11 Пар и горячая вода
35.30.11.120 Энергия тепловая, отпущенная котельными ****</t>
  </si>
  <si>
    <t>за 1 ГОД ПО 223ФЗ заключено 4  6 447 217,70 ?</t>
  </si>
  <si>
    <t>35.11.10.112 Электроэнергия, произведенная теплоэлектроцентралями (ТЭЦ) общего назначения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35.11.10.140 Электроэнергия от возобновляемых источников энергии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35.30.11.111 Энергия тепловая, отпущенная тепловыми электроцентралями (ТЭЦ)
35.30.11.110 Энергия тепловая, отпущенная электростанциями ****</t>
  </si>
  <si>
    <t>ЗА 3 ГОДА ПО 223 ФЗ заключено 2 шт. с объемом НМЦ 647 246 949,12 ?</t>
  </si>
  <si>
    <t>"в crm за Эльшаном", ".", "crm управления"</t>
  </si>
  <si>
    <t>10.71.11.190 Изделия хлебобулочные недлительного хранения прочие
10.72.12.150 Изделия мучные кондитерские длительного хранения прочие
10.71.11.110 Хлеб недлительного хранения
10.72.12.120 Печенье сладкое
10.71.11.129 Булочные изделия недлительного хранения прочие
10.72.12.112 Пряники
10.71.11.170 Изделия хлебобулочные специализированные, в том числе диетические, а также обогащенные микронутриентами
10.72.19.119 Хлеб и булочные изделия длительного хранения прочие
10.89.13.111 Дрожжи хлебопекарные прессованные
10.71.11.111 Хлеб недлительного хранения из пшеничной муки ****</t>
  </si>
  <si>
    <t>2 147</t>
  </si>
  <si>
    <t>Заказчик разыгравший 41 конкурсов на сумму  3 705 970 771,21 ?</t>
  </si>
  <si>
    <t>"223 за 3 года", ".", "все клиенты с выручкой от 1,8 млрд до бесконечности", "рейтинг заказчиков маркер", "производители", "это заказчик", "crm управления", "в crm за Курилиным", "поставщики маркер", "44 за 3 года"</t>
  </si>
  <si>
    <t>35.11.10.112 Электроэнергия, произведенная теплоэлектроцентралями (ТЭЦ) общего назначения
80.10.19.000 Услуги в области обеспечения безопасности прочие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 Электроэнергия
35.11.10.121 Электроэнергия, произведенная блок-станциями конденсационных электростанций (КЭС)
35.11.10.140 Электроэнергия от возобновляемых источников энергии
35.12.10.120 Услуги по технологическому присоединению к распределительным электросетям
35.13.10.000 Услуги по распределению электроэнергии ****</t>
  </si>
  <si>
    <t>За весь период компания заключила  26 контрактов на сумму  1 715 545 988,21 ?                                     ЗА 3 ГОДА ПО 223 ФЗ заключено 18 шт. с объемом НМЦ 77 746 196,03 ? за 1 ГОД ПО 223ФЗ заключено 5  29 878 377,03 ?</t>
  </si>
  <si>
    <t>1 596</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</si>
  <si>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35.11.10.110 Электроэнергия, произведенная электростанциями общего назначения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35.30.11 Пар и горячая вода
35.30.11.120 Энергия тепловая, отпущенная котельными ****</t>
  </si>
  <si>
    <t>За весь период компания заключила  8 контрактов на сумму  484 591 440,00 ? За весь период заходили в конкурсы  2 раз на общую сумму обеспеченных контрактов с НМЦ 61 394 000,00 ? с БГУ  6 139 400,00 ? с БГИ 36 836 400,00 ?                             ЗА 3 ГОДА ПО 223 ФЗ заключено 5 шт. с объемом НМЦ 82 572 667,45 ?</t>
  </si>
  <si>
    <t>"223 за 3 года", ".", "рейтинг поставщиков в маркере по бг", "ГРАНДИОЗНЫЙ ПЛАН заказчики", "06.2022_ФинХД", "все клиенты с выручкой от 1,8 млрд до бесконечности", "рейтинг заказчиков маркер", "рейтинг по нмц маркер", "это заказчик", "поставщики маркер", "44 за 3 года"</t>
  </si>
  <si>
    <t>1 489</t>
  </si>
  <si>
    <t>За весь период компания заключила  7 контрактов на сумму  11 007 375 109,67 ?</t>
  </si>
  <si>
    <t>26.20.91.000 Услуги по производству компьютеров и периферийного оборудования
33.20 Услуги по монтажу промышленных машин и оборудования
95.11.10.120 Услуги по ремонту ксерокопировальных аппаратов
28.23.25.000 Части и принадлежности прочих офисных машин
95.11.1 Услуги по ремонту компьютеров и периферийного оборудования
33.12.29.900 Услуги по ремонту и техническому обслуживанию прочего оборудования специального назначения, не включенные в другие группировки
33.19.10.000 Услуги по ремонту прочего оборудования
95.11.10.190 Услуги по ремонту прочего компьютерного и периферийного компьютерного оборудования
33.12.16.000 Услуги по ремонту и техническому обслуживанию офисных машин и оборудования, кроме компьютеров и периферийного оборудования
33.17.19.000 Услуги по ремонту и техническому обслуживанию прочих транспортных средств и оборудования, не включенных в другие группировки ****</t>
  </si>
  <si>
    <t>За весь период компания заключила  4 контрактов на сумму  1 117 361 413,25 ? За весь период заходили в конкурсы  4 раз на общую сумму обеспеченных контрактов с НМЦ 345 779 517,96 ? с БГУ  18 498 027,30 ? с БГИ 110 988 163,83 ? За 3 ГОДА по 44ФЗ заключено 14 шт. с объемом НМЦ  68 878 316,69 ? с БГИ 6 747 582,78 ? с БГГО 343 770,26 ? с авансированием до 2 123 500,00 ? с комиссией банку 169 069,61 ? с кв 1 470,91 ?                   за 1 ГОД ПО 223ФЗ заключено 1  180 649 518,00 ?</t>
  </si>
  <si>
    <t>"223 за 3 года", ".", "рейтинг поставщиков в маркере по бг", "Конкурсы 100+ (Восстановленный)", "все клиенты с выручкой от 1,8 млрд до бесконечности", "223 фз контракты 20+", "рейтинг по нмц маркер", "crm управления", "crm Пител", "44 за 3 года"</t>
  </si>
  <si>
    <t>Кредитный портфель_01.1410</t>
  </si>
  <si>
    <t>Сообщение кредитора о намерении обратиться в суд с заявлением о банкротстве от 05.05.2023</t>
  </si>
  <si>
    <t>"поставщики маркер", ".", "ушедшие", "все клиенты с выручкой от 1,8 млрд до бесконечности", "это заказчик"</t>
  </si>
  <si>
    <t>41.20.40.900 Работы строительные по возведению нежилых зданий и сооружений прочие, не включенные в другие группировки
42.21.22.190 Работы строительные по прокладке местных трубопроводов прочих жидкостей и газов
41.20.30.100 Работы по возведению жилых зданий, кроме работ по сохранению и воссозданию объектов культурного наследия</t>
  </si>
  <si>
    <t>За весь период компания заключила  20 контрактов на сумму  9 078 008 901,55 ? За весь период заходили в конкурсы  89 раз на общую сумму обеспеченных контрактов с НМЦ 14 090 104 679,80 ? с БГУ  1 440 055 614,45 ? с БГИ 4 434 675 055,83 ? За 3 ГОДА по 44ФЗ заключено 4 шт. с объемом НМЦ  404 540 537,95 ? с БГИ 55 145 973,49 ? с БГГО 0,00 ? с авансированием до 34 158 925,28 ? с комиссией банку 326 358,46 ? с кв 2 839,32 ? ЗА 1 ГОД по 44ФЗ заключено 4 шт. c объемом НМЦ 404 540 537,95 ? с БГИ 55 145 973,49 ? с БГГО 0,00 ? с авансированием до  34 158 925,28 ? с комиссией банку  326 358,46 ? с кв 2 839,32 ?</t>
  </si>
  <si>
    <t>"44 за 3 года", ".", "рейтинг поставщиков в маркере по бг", "ГРАНДИОЗНЫЙ ПРОЕКТ", "ПСБ Гарантии ", "06.2022_ФинХД", "44 фз с с БГ от 10 млн", "рейтинг по нмц маркер", "поставщики маркер"</t>
  </si>
  <si>
    <t>24.10.9 Услуги по производству железа, чугуна, стали и ферросплавов отдельные, выполняемые субподрядчиком
22 Изделия резиновые и пластмассовые
25.94.12.190 Изделия крепежные нерезьбовые из черных металлов прочие, не включенные в другие группировки</t>
  </si>
  <si>
    <t>За весь период компания заключила  17 контрактов на сумму  8 998 872 413,12 ? За весь период заходили в конкурсы  2 раз на общую сумму обеспеченных контрактов с НМЦ 485 468 139,52 ? с БГУ  19 418 725,58 ? с БГИ 97 093 627,90 ?                                 за 1 ГОД ПО 223ФЗ заключено 2  81 378 020,00 ?</t>
  </si>
  <si>
    <t>"223 за 3 года", ".", "рейтинг поставщиков в маркере по бг", "Пункт 3.1 09.01.2023", "все клиенты с выручкой от 1,8 млрд до бесконечности", "223 фз контракты 20+", "производители", "рейтинг по нмц маркер", "поставщики маркер"</t>
  </si>
  <si>
    <t>ПОС на 03.04.3247</t>
  </si>
  <si>
    <t>"производители", ".", "fk1", "ПОС на 01.02.2023", "ПОС на 03.04.2023", "Кредитный портфель_01.11", "корп 1", "06.2022_ФинХД", "клиенты от 100 млн", "Обороты по клиентам по кварталам (2022г)"</t>
  </si>
  <si>
    <t>27.90.33.110 Комплектующие (запасные части) прочего электрического оборудования, не имеющие самостоятельных группировок
27.33.11.140 Выключатели и переключатели неавтоматические
41.20.40.900 Работы строительные по возведению нежилых зданий и сооружений прочие, не включенные в другие группировки
22.23.19.000 Изделия пластмассовые строительные, не включенные в другие группировки
27.33.11.130 Выключатели и переключатели пакетные
27.33 Изделия электроустановочные</t>
  </si>
  <si>
    <t>ЗА 3 ГОДА ПО 223 ФЗ заключено 1 шт. с объемом НМЦ 20 571 060,00 ?</t>
  </si>
  <si>
    <t>Юридическим лицом принято решение об изменении места нахождения от 25.12.2020</t>
  </si>
  <si>
    <t>"223 за 3 года", "кл фт агент бг 04.22", "свод фт", ".", "2. Финтендер 2022 31.03.22 Григорян для СПАРК", "Гарантии ФБ банкроты", "филиал бизнес 31.01.22 ", "портфель", "клиенты от 100 млн", "действующие б не прям", "Одобренные но не выданные 1 полугодие 2021", "ФТ клиенты с продуктами по сотрудникам", "производители", "на фт заводил Кашин", "crm управления", "в crm за Кашиным", "поставщики маркер", "44 за 3 года"</t>
  </si>
  <si>
    <t>"райф", ".", "портфель 31.10.2021_10 тыс_проверка"</t>
  </si>
  <si>
    <t>за 1 ГОД ПО 223ФЗ заключено 1  58 151 835,25 ?</t>
  </si>
  <si>
    <t>"производители", ".", "все клиенты с выручкой от 1,8 млрд до бесконечности", "223 фз контракты 20+"</t>
  </si>
  <si>
    <t>61.20.11.000 Услуги подвижной связи общего пользования - обеспечение доступа и поддержка пользователя
61.90 Услуги телекоммуникационные прочие</t>
  </si>
  <si>
    <t>46.71.11.000 Услуги по оптовой торговле твердым топливом
05.1 Уголь</t>
  </si>
  <si>
    <t>За весь период компания заключила  9 контрактов на сумму  2 600 358 689,99 ? За весь период заходили в конкурсы  1 раз на общую сумму обеспеченных контрактов с НМЦ 499 006 746,10 ? с БГУ  31 070 723,20 ? с БГИ 124 282 892,80 ?</t>
  </si>
  <si>
    <t>Сообщение кредитора о намерении обратиться в суд с заявлением о банкротстве от 27.10.2020</t>
  </si>
  <si>
    <t>"поставщики маркер", ".", "рейтинг поставщиков в маркере по бг", "все клиенты с выручкой от 1,8 млрд до бесконечности", "Участники клиринга", "рейтинг заказчиков маркер", "рейтинг по нмц маркер"</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</si>
  <si>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35.11.10.112 Электроэнергия, произведенная теплоэлектроцентралями (ТЭЦ) общего назначения
36.00.20.140 Услуги по техническому обслуживанию приборов учета расхода воды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35.11.10.122 Электроэнергия, произведенная блок-станциями теплоэлектроцентралей (ТЭЦ)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t>
  </si>
  <si>
    <t>2 507</t>
  </si>
  <si>
    <t>Заказчик разыгравший 106 конкурсов на сумму  18 174 864 937,46 ?</t>
  </si>
  <si>
    <t>Юридическое лицо находится в процессе реорганизации в форме присоединения к нему других юридических лиц от 03.04.2023, Сообщения о принятии решения о реорганизации от 06.04.2023</t>
  </si>
  <si>
    <t>"223 за 3 года", ".", "инн Красносельская", "ПСБ Гарантии ", "рейтинг заказчиков маркер", "рейтинг по нмц маркер", "это заказчик", "поставщики маркер"</t>
  </si>
  <si>
    <t>20.59.43.120 Антифризы
19.20.29.119 Масла моторные прочие, не включенные в другие группировки
19.2 Нефтепродукты
19.20.21 Топливо моторное, включая автомобильный и авиационный бензин
19.20.21.310 Топливо дизельное летнее
19.20.21.315 Топливо дизельное летнее экологического класса К5
19.20.21.320 Топливо дизельное зимнее
19.20.21.345 Топливо дизельное межсезонное экологического класса К5
19.20.21.300 Топливо дизельное
19.20.21.325 Топливо дизельное зимнее экологического класса К5 ****</t>
  </si>
  <si>
    <t>За весь период заходили в конкурсы  11 раз на общую сумму обеспеченных контрактов с НМЦ 711 606 751,90 ? с БГУ  7 102 778,24 ? с БГИ 156 962 053,37 ?               ЗА 1 ГОД по 44ФЗ заключено 3 шт. c объемом НМЦ 98 092 333,40 ? с БГИ 9 809 233,34 ? с БГГО 0,00 ? с авансированием до  0,00 ? с комиссией банку  64 206,35 ? с кв 558,60 ? ЗА 3 ГОДА ПО 223 ФЗ заключено 2 шт. с объемом НМЦ 32 452 000,00 ?</t>
  </si>
  <si>
    <t>Сообщение кредитора о намерении обратиться в суд с заявлением о банкротстве от 22.09.2021</t>
  </si>
  <si>
    <t>Заказчик разыгравший 184 конкурсов на сумму  31 817 937 546,98 ?</t>
  </si>
  <si>
    <t>"поставщики маркер", ".", "райф", "все клиенты с выручкой от 1,8 млрд до бесконечности", "рейтинг заказчиков маркер", "производители", "это заказчик"</t>
  </si>
  <si>
    <t>"поставщики маркер", ".", "fk1", "все клиенты с выручкой от 1,8 млрд до бесконечности", "Участники клиринга", "производители"</t>
  </si>
  <si>
    <t>49.39.39.000 Услуги по перевозке пассажиров сухопутным транспортом прочие, не включенные в другие группировки
68.20.12.000 Услуги по сдаче в аренду (внаем) собственных или арендованных нежилых помещений</t>
  </si>
  <si>
    <t>За весь период компания заключила  1 контрактов на сумму  583 183 417,08 ?</t>
  </si>
  <si>
    <t>"44 за 3 года", ".", "все клиенты с выручкой от 1,8 млрд до бесконечности", "рейтинг заказчиков маркер", "рейтинг по нмц маркер", "это заказчик", "поставщики маркер"</t>
  </si>
  <si>
    <t>24.10.80.190 Прокат черных металлов прочий, не включенный в другие группировки
24 Металлы основные
24.20.35.000 Трубы прочие, с открытым швом, клепаные или соединенные аналогичным способом, наружным диаметром не более 406,4 мм, стальные
25.11.23.119 Конструкции и детали конструкций из черных металлов прочие, не включенные в другие группировки
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43.99.70.000 Работы по сборке и монтажу сборных конструкций
43.99.90.190 Работы строительные специализированные прочие, не включенные в другие группировки
25.11.22.192 Опоры из черных металлов прочие, не включенные в другие группировки
42.99.19.142 Ограды (заборы) металлические ****</t>
  </si>
  <si>
    <t>За весь период контрактов 20 шт. на общую сумму НМЦ 6 559 529 630,37 ?</t>
  </si>
  <si>
    <t>"223 за 3 года", "кл фт агент бг 04.22", ".", "рейтинг поставщиков в маркере по бг", "Конкурсы 100+ (Восстановленный)", "fk1", "2. Финтендер 2022 31.03.22 Григорян для СПАРК", "Агентские одобренные но не выданные от 30.08", "ушедшие", "все клиенты с выручкой от 1,8 млрд до бесконечности", "клиенты от 100 млн", "действующие б не прям", "Одобренные но не выданные 1 полугодие 2021", "ФТ клиенты с продуктами по сотрудникам", "44 фз с с БГ от 10 млн", "рейтинг заказчиков маркер", "производители", "рейтинг по нмц маркер", "это заказчик", "поставщики маркер", "44 за 3 года"</t>
  </si>
  <si>
    <t>35.22.10.110 Услуги по распределению и снабжению газовым топливом всех видов по системам распределительных трубопроводов
35.30.12.110 Услуги по приготовлению воды на нужды горячего водоснабжения
36.00.30.000 Услуги по торговле водой, поставляемой по трубопроводам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35.30.11.112 Энергия тепловая, отпущенная атомными электростанциями (АЭС) ****</t>
  </si>
  <si>
    <t>1 252</t>
  </si>
  <si>
    <t>За 3 года по 223ФЗ заключено  13 шт контрактов на сумму 37 206 790,85 ?</t>
  </si>
  <si>
    <t>Сообщения о принятии решения о реорганизации от 01.03.2019</t>
  </si>
  <si>
    <t>Юридическое лицо находится в процессе реорганизации в форме присоединения к нему других юридических лиц от 01.02.2023, Сообщения о принятии решения о реорганизации от 18.01.2023</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</si>
  <si>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42.91.20.190 Работы строительные и ремонтные, связанные с прочими водными сооружениями и работы по ремонту всех вышеуказанных сооружений
43.99.90.190 Работы строительные специализированные прочие, не включенные в другие группировки
41.20.10.110 Здания жилые общего назначения
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
71.12.19.100 Услуги по инженерно-техническому проектированию прочих объектов, кроме объектов культурного наследия
43.22.12.190 Работы по монтажу систем отопления, вентиляции и кондиционирования воздуха прочие, не включенные в другие группировки
41.20.20.100 Здания нежилые
42.99.19.190 Сооружения гражданские прочие, не включенные в другие группировки ****</t>
  </si>
  <si>
    <t>За весь период компания заключила  88 контрактов на сумму  97 854 760 879,16 ? За весь период заходили в конкурсы  120 раз на общую сумму обеспеченных контрактов с НМЦ 87 608 647 808,33 ? с БГУ  2 750 763 690,77 ? с БГИ 16 418 507 927,38 ? За 3 ГОДА по 44ФЗ заключено 26 шт. с объемом НМЦ  9 700 151 098,65 ? с БГИ 1 791 589 158,04 ? с БГГО 26 544 275,48 ? с авансированием до 1 461 002 575,18 ? с комиссией банку 45 566 468,78 ? с кв 396 428,28 ?</t>
  </si>
  <si>
    <t>"44 за 3 года", "кл фт прямые бг 04.22", "кл фт агент бг 04.22", "свод фт", ".", "рейтинг поставщиков в маркере по бг", "Рассрочка КВ Март 2023", "ГРАНДИОЗНЫЙ ПРОЕКТ", "УПП на 2 номер", "fk1", "клиенты управления по БГ без открытых счетов", "Премия 4 кв 22 г.бг", "Гарантии ФБ банкроты", "филиал бизнес 31.01.22 ", "Действующий клиент мсб с выр от 30 млн на 05.21", "все клиенты с выручкой от 1,8 млрд до бесконечности", "портфель",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"производители", "рейтинг по нмц маркер", "на фт заводил Тихонов ", "на фт заводил Синяев", "на фт заводил Мелкумов", "на фт заводил Егоров ", "на фт заводил Бесков", "поставщики маркер"</t>
  </si>
  <si>
    <t>Сообщения о принятии решения о реорганизации от 29.09.2020</t>
  </si>
  <si>
    <t>"44 за 3 года", ".", "crm управления", "crm Пител", "поставщики маркер"</t>
  </si>
  <si>
    <t>11.0 Напитки
93.21 Услуги парков культуры и отдыха и тематических парков
11.05 Пиво
10.82.2 Шоколад и кондитерские сахаристые изделия
11.07.11.110 Воды минеральные природные питьевые
46.34.12 Услуги по оптовой торговле алкогольными напитками</t>
  </si>
  <si>
    <t>28.22.17.110 Конвейеры
19.20.21 Топливо моторное, включая автомобильный и авиационный бензин
28.30.92.000 Части оборудования для обработки и возделывания почвы
28.41.33.110 Машины и молоты ковочные
22.19.3 Трубы, трубки, шланги и рукава из вулканизированной резины, кроме твердой резины (эбонита)
26.20 Компьютеры и периферийное оборудование
29.20.21.120 Контейнеры специализированные
62 Продукты программные и услуги по разработке программного обеспечения; консультационные и аналогичные услуги в области информационных технологий
31.01 Мебель для офисов и предприятий торговли
22.19.30.136 Рукава резиновые высокого давления с металлическими оплетками неармированные ****</t>
  </si>
  <si>
    <t>81.29.12.000 Услуги по подметанию и уборке снега
36.00.20.120 Услуги по обработке воды для промышленных и прочих нужд
38.11.21.000 Услуги по сбору неопасных отходов городского хозяйства, непригодных для повторного использования
84.12.13.000 Услуги государственного управления в области жилищного строительства и коммунального хозяйства
33.12.19.000 Услуги по ремонту и техническому обслуживанию прочего оборудования общего назначения, не включенного в другие группировки
35.30.11.111 Энергия тепловая, отпущенная тепловыми электроцентралями (ТЭЦ)
68.32.11.120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
81.10.10.000 Услуги по обслуживанию помещений комплексные
35.11.10.111 Электроэнергия, произведенная конденсационными электростанциями (КЭС) общего назначения
68.32.11.110 Услуги по технической инвентаризации недвижимого имущества жилого фонда ****</t>
  </si>
  <si>
    <t>Юридическим лицом принято решение об изменении места нахождения от 26.09.2017</t>
  </si>
  <si>
    <t>1 161</t>
  </si>
  <si>
    <t>1 017</t>
  </si>
  <si>
    <t>19.20.2 Топливо жидкое и газообразное; масла смазочные</t>
  </si>
  <si>
    <t>Сообщение кредитора о намерении обратиться в суд с заявлением о банкротстве от 18.02.2020</t>
  </si>
  <si>
    <t>1 029</t>
  </si>
  <si>
    <t>За 3 года по 223ФЗ заключено  1 шт контрактов на сумму 56 811 473,10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</si>
  <si>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42.11.10.120 Дороги автомобильные, в том числе улично-дорожная сеть, и прочие автомобильные и пешеходные дороги
42.91.20.110 Работы строительные по строительству портовых и речных сооружений, пристаней для яхт, набережных, пирсов, молов, доков и аналогичных портовых сооружений, включая ремонт
43.39.19.190 Работы завершающие и отделочные в зданиях и сооружениях, прочие, не включенные в другие группировки
42.13.20.100 Работы строительные по строительству мостов и тоннелей, кроме работ по сохранению и воссозданию объектов культурного наследия
43.29.19.190 Работы монтажные прочие, не включенные в другие группировки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42.11.10.121 Дорога автомобильная с усовершенствованным капитальным типом дорожного покрытия ****</t>
  </si>
  <si>
    <t>За весь период компания заключила  45 контрактов на сумму  22 589 929 926,48 ? За весь период заходили в конкурсы  153 раз на общую сумму обеспеченных контрактов с НМЦ 36 524 891 283,96 ? с БГУ  1 442 815 273,54 ? с БГИ 6 126 247 186,44 ? За 3 ГОДА по 44ФЗ заключено 55 шт. с объемом НМЦ  9 421 785 734,38 ? с БГИ 605 879 711,87 ? с БГГО 45 636 173,83 ? с авансированием до 1 305 222 423,10 ? с комиссией банку 19 709 681,42 ? с кв 171 474,23 ? ЗА 1 ГОД по 44ФЗ заключено 27 шт. c объемом НМЦ 5 253 690 028,10 ? с БГИ 305 059 235,36 ? с БГГО 27 257 066,18 ? с авансированием до  1 130 422 599,10 ? с комиссией банку  10 797 172,38 ? с кв 93 935,40 ?</t>
  </si>
  <si>
    <t>"223 за 3 года", ".", "рейтинг поставщиков в маркере по бг", "ГРАНДИОЗНЫЙ ПРОЕКТ", "Конкурсы 100+ (Восстановленный)", "44 фз с с БГ от 10 млн", "производители", "рейтинг по нмц маркер", "crm управления", "в crm за Самаром", "crm Пител", "поставщики маркер", "44 за 3 года"</t>
  </si>
  <si>
    <t>49.20.19.190 Услуги железнодорожного транспорта по перевозке прочих грузов, не включенные в другие группировки</t>
  </si>
  <si>
    <t>ЗА 3 ГОДА ПО 223 ФЗ заключено 1 шт. с объемом НМЦ 21 294 000,00 ?</t>
  </si>
  <si>
    <t>"223 за 3 года", ".", "райф", "поставщики маркер"</t>
  </si>
  <si>
    <t>43.22.12.120 Работы по установке и техническому обслуживанию систем управления центральным отоплением
35.30.11.130 Энергия тепловая, отпущенная электрокотлами
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35.11.10.116 Электроэнергия, произведенная гидроэлектростанциями (ГЭС) общего назначения
35.30.11.110 Энергия тепловая, отпущенная электростанциями ****</t>
  </si>
  <si>
    <t>ЗА 3 ГОДА ПО 223 ФЗ заключено 8 шт. с объемом НМЦ 32 111 471,60 ? за 1 ГОД ПО 223ФЗ заключено 3  9 616 163,90 ?</t>
  </si>
  <si>
    <t>Сообщения о принятии решения о реорганизации от 15.11.2022</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</si>
  <si>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35.30.11.130 Энергия тепловая, отпущенная электрокотлами
35.11.10 Электроэнергия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 Услуги по распределению электроэнергии ****</t>
  </si>
  <si>
    <t>За весь период компания заключила  21 контрактов на сумму  2 609 668 430,64 ?</t>
  </si>
  <si>
    <t>35.14.10 Услуги по торговле электроэнергией
35.30.11.130 Энергия тепловая, отпущенная электрокотлами
35.30.12.110 Услуги по приготовлению воды на нужды горячего водоснабжения
35.30 Услуги по снабжению паром и кондиционированию воздуха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35.30.11.110 Энергия тепловая, отпущенная электростанциями ****</t>
  </si>
  <si>
    <t>За 3 года по 223ФЗ заключено  19 шт контрактов на сумму 19 867 516,16 ?</t>
  </si>
  <si>
    <t>52.24.1 Услуги по обработке грузов
25.11 Металлоконструкции строительные и их части
25.11.23 Конструкции и детали конструкций прочие, листы, прутки, уголки, профили и аналогичные изделия из черных металлов или алюминия
25.11.9 Услуги по производству металлоконструкций и их частей отдельные, выполняемые субподрядчиком</t>
  </si>
  <si>
    <t>За весь период компания заключила  5 контрактов на сумму  339 867 863,22 ?</t>
  </si>
  <si>
    <t>"поставщики маркер", "свод фт", ".", "райф", "все клиенты с выручкой от 1,8 млрд до бесконечности", "производители", "рейтинг по нмц маркер", "это заказчик", "на фт заводил Кашин", "crm управления", "в crm за Кашиным"</t>
  </si>
  <si>
    <t>22.21.41.113 Плиты, листы теплоизоляционные из пенополиуретана</t>
  </si>
  <si>
    <t>05.10.10.120 Уголь коксующийся
05.10.10.125 Уголь коксующийся марки К - коксовый
05.10.10 Уголь</t>
  </si>
  <si>
    <t>28.30.2 Тракторы для сельского хозяйства прочие
45.20.2 Услуги по техническому обслуживанию и ремонту прочих автотранспортных средств
28.30.34.000 Разбрасыватели органических и минеральных удобрений
29.32.30.390 Части и принадлежности для автотранспортных средств прочие, не включенные в другие группировки
28.29.22.120 Распылители
28.30.32.112 Бороны дисковые
28.30.33.111 Сеялки зерновые
29.32.30 Комплектующие и принадлежности для автотранспортных средств, не включенные в другие группировки
45.20 Услуги по техническому обслуживанию и ремонту автотранспортных средств
28.22.17.190 Подъемники и конвейеры пневматические и прочие непрерывного действия для товаров или материалов, не включенные в другие группировки ****</t>
  </si>
  <si>
    <t>24 Металлы основные
24.31 Прутки холоднотянутые
24.44.22 Прутки и профили медные
24.44.22.110 Прутки медные
24.45.2 Полуфабрикаты из никеля или сплавов на основе никеля
24.45.30.234 Сплавы на основе циркония
24.45.30.390 Металлы цветные прочие, изделия из них, порошки
25.93.1 Проволока, цепи и пружины
24.42.21 Порошки алюминиевые и чешуйки
24.44.13.120 Сплавы медные необработанные ****</t>
  </si>
  <si>
    <t>За весь период контрактов 10 шт. на общую сумму НМЦ 606 324 891,55 ?</t>
  </si>
  <si>
    <t>24.42.22.110 Прутки из алюминия или алюминиевых сплавов
24.42.22.120 Катанка из алюминия или алюминиевых сплавов
24 Металлы основные
24.42.22 Прутки, катанка и профили из алюминия или алюминиевых сплавов
24.42.22.139 Профили прочие из алюминия или алюминиевых сплавов
24.42.26.112 Трубы прессованные из алюминия и алюминиевых сплавов
24.45.30.147 Поковки, штамповки, кольца магниевые
24.45.30.390 Металлы цветные прочие, изделия из них, порошки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24.42.22.111 Прутки из алюминия и алюминиевых сплавов круглого сечения ****</t>
  </si>
  <si>
    <t>За весь период компания заключила  11 контрактов на сумму  1 420 286 695,28 ?                                     ЗА 3 ГОДА ПО 223 ФЗ заключено 20 шт. с объемом НМЦ 333 888 532,84 ?</t>
  </si>
  <si>
    <t>Сообщение кредитора о намерении обратиться в суд с заявлением о банкротстве от 12.01.2021</t>
  </si>
  <si>
    <t>21.20.23.199 Средства нелечебные прочие
32.50.22.190 Протезы органов человека, не включенные в другие группировки
32.50.13.120 Инструменты и приспособления офтальмологические
32.50.41.110 Линзы контактные</t>
  </si>
  <si>
    <t>10.13.14.700 Полуфабрикаты мясные, мясосодержащие, охлажденные, замороженные
10.12.10.110 Мясо кур, в том числе цыплят (включая цыплят-бройлеров) охлажденное</t>
  </si>
  <si>
    <t>За весь период компания заключила  4 контрактов на сумму  1 982 356 461,52 ?</t>
  </si>
  <si>
    <t>43.99.90.190 Работы строительные специализированные прочие, не включенные в другие группировки
25.11 Металлоконструкции строительные и их части
41.20.40.900 Работы строительные по возведению нежилых зданий и сооружений прочие, не включенные в другие группировки
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41.20.20.100 Здания нежилые
41.20.20.900 Сооружения спортивно-оздоровительные и сооружения прочие, не включенные в другие группировки
41.20.20.180 Здания предприятий здравоохранения, науки и научного обслуживания, образования, культуры и искусства
42.13.10.119 Мосты и путепроводы из любых материалов для всех типов сухопутного транспорта и для пешеходов прочие
23.61.12.151 Конструкции и детали пролетных строений мостов железобетонные</t>
  </si>
  <si>
    <t>2 204</t>
  </si>
  <si>
    <t>За весь период компания заключила  11 контрактов на сумму  6 160 354 190,32 ? За весь период заходили в конкурсы  32 раз на общую сумму обеспеченных контрактов с НМЦ 7 414 368 328,17 ? с БГУ  73 715 810,32 ? с БГИ 1 428 674 357,77 ? За 3 ГОДА по 44ФЗ заключено 31 шт. с объемом НМЦ  3 927 421 990,71 ? с БГИ 689 971 431,99 ? с БГГО 25 806 973,01 ? с авансированием до 745 454 473,84 ? с комиссией банку 14 815 506,55 ? с кв 128 894,91 ? ЗА 1 ГОД по 44ФЗ заключено 18 шт. c объемом НМЦ 1 418 904 563,91 ? с БГИ 170 842 358,70 ? с БГГО 12 670 845,21 ? с авансированием до  150 100 656,74 ? с комиссией банку  4 973 949,38 ? с кв 43 273,36 ?</t>
  </si>
  <si>
    <t>Сообщения о принятии решения о реорганизации от 25.08.2017</t>
  </si>
  <si>
    <t>"поставщики маркер", ".", "fk1", "06.2022_ФинХД", "Обороты по клиентам по кварталам (2022г)", "производители", "рейтинг по нмц маркер", "это заказчик"</t>
  </si>
  <si>
    <t>Юридическое лицо находится в процессе реорганизации в форме выделения от 10.02.2023, Сообщения о принятии решения о реорганизации от 17.04.2023</t>
  </si>
  <si>
    <t>ЗА 3 ГОДА ПО 223 ФЗ заключено 2 шт. с объемом НМЦ 21 711 848,43 ?</t>
  </si>
  <si>
    <t>Сообщения о принятии решения о реорганизации от 07.09.2020</t>
  </si>
  <si>
    <t>68.10.15.000 Услуги по покупке и продаже пустующей земли, предназначенной для застройки нежилыми зданиями</t>
  </si>
  <si>
    <t>ЗА 3 ГОДА ПО 223 ФЗ заключено 7 шт. с объемом НМЦ 40 933 191,27 ? за 1 ГОД ПО 223ФЗ заключено 3  6 290 702,37 ?</t>
  </si>
  <si>
    <t>Сообщения о принятии решения о реорганизации от 30.05.2022</t>
  </si>
  <si>
    <t>68.10.14.000 Услуги по покупке и продаже нежилых зданий и занимаемых ими земельных участков
42.21.12.110 Трубопровод местный для воды (водопровод)
41.20.10.110 Здания жилые общего назначения
41.20.40.900 Работы строительные по возведению нежилых зданий и сооружений прочие, не включенные в другие группировки
68.10.11.000 Услуги по покупке и продаже жилых зданий и занимаемых ими земельных участков
68.10.12.000 Услуги по покупке и продаже недвижимости, находящейся в собственности на фиксированное время года
68.10.15.000 Услуги по покупке и продаже пустующей земли, предназначенной для застройки нежилыми зданиями
68.20.12.000 Услуги по сдаче в аренду (внаем) собственных или арендованных нежилых помещений
41.20.20.180 Здания предприятий здравоохранения, науки и научного обслуживания, образования, культуры и искусства</t>
  </si>
  <si>
    <t>1 613</t>
  </si>
  <si>
    <t>За весь период компания заключила  14 контрактов на сумму  5 222 069 820,23 ? За весь период заходили в конкурсы  23 раз на общую сумму обеспеченных контрактов с НМЦ 5 669 126 715,63 ? с БГУ  252 379 571,28 ? с БГИ 1 237 213 559,40 ? За 3 ГОДА по 44ФЗ заключено 78 шт. с объемом НМЦ  2 206 521 346,00 ? с БГИ 612 950 472,96 ? с БГГО 102 227 235,42 ? с авансированием до 607 794 534,00 ? с комиссией банку 36 125 802,65 ? с кв 314 294,48 ?</t>
  </si>
  <si>
    <t>"44 за 3 года", ".", "рейтинг поставщиков в маркере по бг", "компании Герберта", "ГРАНДИОЗНЫЙ ПРОЕКТ", "производители", "рейтинг по нмц маркер", "поставщики маркер"</t>
  </si>
  <si>
    <t>53.2 Услуги почтовой связи прочие и услуги курьерские</t>
  </si>
  <si>
    <t>"все клиенты с выручкой от 1,8 млрд до бесконечности", ".", "инн Вавилова", "fk1", "клиенты с в от100млн 09.21"</t>
  </si>
  <si>
    <t>10.84.12 Соусы; приправы и пряности смешанные; мука и порошок горчичные; горчица готовая
10.72.1 Изделия сухарные и печенье; мучные кондитерские изделия, торты и пирожные длительного хранения</t>
  </si>
  <si>
    <t>35.11.10.111 Электроэнергия, произведенная конденсационными электростанциями (КЭС) общего назначения</t>
  </si>
  <si>
    <t>"поставщики маркер", ".", "все клиенты с выручкой от 1,8 млрд до бесконечности", "на фт заводил Удод"</t>
  </si>
  <si>
    <t>10.61.21.113 Мука пшеничная хлебопекарная высшего сорта
10.61.21.110 Мука пшеничная
10.61.21.114 Мука пшеничная хлебопекарная первого сорта
52.10.13 Услуги по хранению зерна</t>
  </si>
  <si>
    <t>Заказчик разыгравший 5 конкурсов на сумму  51 330 300 000,00 ?</t>
  </si>
  <si>
    <t>"223 за 3 года", ".", "рейтинг заказчиков маркер", "производители", "поставщики маркер"</t>
  </si>
  <si>
    <t>Сообщение должника о намерении обратиться в суд с заявлением о банкротстве от 21.09.2022</t>
  </si>
  <si>
    <t>45.20.21.111 Услуги по регламентным работам (по видам технического обслуживания)
29.10.22.000 Средства транспортные с двигателем с искровым зажиганием, с рабочим объемом цилиндров более 1500 см3, новые</t>
  </si>
  <si>
    <t>"поставщики маркер", ".", "рейтинг поставщиков в маркере по бг",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t>
  </si>
  <si>
    <t>10.12.50.100 Сырье перо-пуховое
68.10.11.000 Услуги по покупке и продаже жилых зданий и занимаемых ими земельных участков</t>
  </si>
  <si>
    <t>14 353</t>
  </si>
  <si>
    <t>Сообщения о принятии решения о реорганизации от 13.10.2021</t>
  </si>
  <si>
    <t>20.20.19.000 Пестициды прочие и агрохимические продукты прочие
20.20.12.000 Гербициды</t>
  </si>
  <si>
    <t>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32.50.21.112 Оборудование терапевтические
32.50.22.190 Протезы органов человека, не включенные в другие группировки
26.60.12.119 Аппараты электродиагностические прочие
33.12.12.000 Услуги по ремонту и техническому обслуживанию гидравлического и пневматического силового оборудования, кроме насосов, компрессоров, кранов и клапанов
33.12.29.900 Услуги по ремонту и техническому обслуживанию прочего оборудования специального назначения, не включенные в другие группировки
26.60.13.140 Аппараты ударно-волновой терапии
33.19.10.000 Услуги по ремонту прочего оборудования
26.60.12.129 Приборы и аппараты для функциональной диагностики прочие, применяемые в медицинских целях, не включенные в другие группировки ****</t>
  </si>
  <si>
    <t>За весь период компания заключила  2 контрактов на сумму  549 276 804,74 ? За весь период заходили в конкурсы  5 раз на общую сумму обеспеченных контрактов с НМЦ 803 264 107,44 ? с БГУ  49 565 668,54 ? с БГИ 184 124 061,24 ? За 3 ГОДА по 44ФЗ заключено 114 шт. с объемом НМЦ  118 096 470,99 ? с БГИ 15 399 748,82 ? с БГГО 2 367 784,35 ? с авансированием до 0,00 ? с комиссией банку 202 228,31 ? с кв 1 759,39 ? ЗА 1 ГОД по 44ФЗ заключено 44 шт. c объемом НМЦ 55 222 607,63 ? с БГИ 9 213 786,18 ? с БГГО 1 908 286,57 ? с авансированием до  0,00 ? с комиссией банку  124 664,42 ? с кв 1 084,58 ?</t>
  </si>
  <si>
    <t>"223 за 3 года", ".", "рейтинг поставщиков в маркере по бг", "все клиенты с выручкой от 1,8 млрд до бесконечности", "производители", "рейтинг по нмц маркер", "44 за 3 года"</t>
  </si>
  <si>
    <t>25.21.12.000 Котлы водогрейные центрального отопления для производства горячей воды или пара низкого давления
43.21.10.220 Работы по монтажу систем освещения и сигнализации автомобильных дорог, аэропортов и портов
42.22.22.110 Работы строительные по прокладке местных линий электропередачи и связи над землей или под землей
85.42.19.900 Услуги по профессиональному обучению прочие
85.41.93.000 Услуги в области дополнительного образования вспомогательные
43.21.10.180 Работы электромонтажные по монтажу прочего электрического оборудования, включая электрические солнечные коллекторы и плинтусные обогреватели, в зданиях и сооружениях
35.12.10.120 Услуги по технологическому присоединению к распределительным электросетям
84.25.19.190 Услуги по обеспечению безопасности в чрезвычайных ситуациях прочие
85.31.11.000 Услуги по профессиональному обучению
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t>
  </si>
  <si>
    <t>3 917</t>
  </si>
  <si>
    <t>За 3 года по 223ФЗ заключено  16 шт контрактов на сумму 80 091 625,07 ?</t>
  </si>
  <si>
    <t>69.20.1 Услуги по проведению финансового аудита
70.22.1 Услуги консультативные по вопросам управления деятельностью предприятия
72.20.11.000 Услуги, связанные с научными исследованиями и экспериментальными разработками в области экономики и предпринимательства
73.20.14 Услуги по исследованию конъюнктуры рынка, кроме опросов
63.99.10.130 Услуги по сбору и обобщению фактов и информации, кроме списков адресатов
62.01 Продукты программные и услуги по разработке и тестированию программного обеспечения
70.2 Услуги консультативные по вопросам управления
70.22.14 Услуги консультативные по вопросам управления трудовыми ресурсами
63.11 Услуги по обработке данных, размещению и взаимосвязанные услуги
69.20 Услуги в области бухгалтерского учета; по проведению финансового аудита; по налоговому консультированию ****</t>
  </si>
  <si>
    <t>За весь период компания заключила  3 контрактов на сумму  837 169 556,25 ?                                     ЗА 3 ГОДА ПО 223 ФЗ заключено 6 шт. с объемом НМЦ 394 849 352,00 ? за 1 ГОД ПО 223ФЗ заключено 2  111 811 200,00 ?</t>
  </si>
  <si>
    <t>35.11.10.112 Электроэнергия, произведенная теплоэлектроцентралями (ТЭЦ) общего назначения
58.29 Услуги по изданию прочего программного обеспечения
26.30 Оборудование коммуникационное
35 Электроэнергия, газ, пар и кондиционирование воздуха</t>
  </si>
  <si>
    <t>За весь период заходили в конкурсы  1 раз на общую сумму обеспеченных контрактов с НМЦ 62 513 760,00 ? с БГУ  383 520,00 ? с БГИ 7 670 400,00 ?</t>
  </si>
  <si>
    <t>"223 за 3 года", ".", "рейтинг поставщиков в маркере по бг", "ушедший портфель", "fk1", "ИНН 3 года - нет КД БГ на 01.10.22", "Список ушедший ", "06.2022_ФинХД",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t>
  </si>
  <si>
    <t>23.61.12.210 Блоки и прочие изделия сборные строительные для зданий и сооружений из искусственного камня
23.69.19.000 Изделия из цемента, бетона или искусственного камня, не включенные в другие группировки
23.61.12.143 Плиты дорожные железобетонные
23.61.12.115 Сваи железобетонные
23.61.12.140 Плиты, панели и настилы перекрытий и покрытий железобетонные
23.61.12.113 Плиты фундаментов железобетонные
23.61.12.162 Опоры ЛЭП, связи и элементы контактной сети электрифицированных дорог и осветительной сети
23.61.12.111 Блоки фундаментов железобетонные</t>
  </si>
  <si>
    <t>ЗА 3 ГОДА ПО 223 ФЗ заключено 2 шт. с объемом НМЦ 47 164 603,36 ?</t>
  </si>
  <si>
    <t>29.31.22.190 Оборудование электрическое прочее для транспортных средств, не включенное в другие группировки
28.22.19.140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28.29.13.130 Фильтры очистки воздуха всасывающие для двигателей внутреннего сгорания
29.32.30.160 Приборы автомобилей, тракторов, мотоциклов и сельскохозяйственных машин
29.32.30.220 Колеса, ступицы и их детали
28.29.13.110 Фильтры очистки масла для двигателей внутреннего сгорания
25.93.11.120 Канаты из черных металлов без электрической изоляции
29.32.30.130 Тормоза, их узлы и детали
29.32.30.390 Части и принадлежности для автотранспортных средств прочие, не включенные в другие группировки
28.29.13.120 Фильтры очистки топлива для двигателей внутреннего сгорания ****</t>
  </si>
  <si>
    <t>"Обороты по клиентам по кварталам (2022г)", ".", "выдали", "портфель 51", "fk1", "ПОС на 01.02.2023", "корп 2",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t>
  </si>
  <si>
    <t>11.0 Напитки
10.89.19.290 Продукты пищевые прочие, не включенные в другие группировки
11.01.10.110 Водки
11.02.12.110 Вина
11.01.10.160 Бренди
11.01.10.180 Виски
11.02.11.114 Вино игристое (шампанское)
11.02.12.112 Вино с защищенным географическим указанием
11.01.10.111 Водка
11.01.10.190 Спиртные напитки прочие ****</t>
  </si>
  <si>
    <t>1 370</t>
  </si>
  <si>
    <t>За весь период заходили в конкурсы  1 раз на общую сумму обеспеченных контрактов с НМЦ 42 780 157,62 ? с БГУ  3 395 250,60 ? с БГИ 6 790 501,21 ?</t>
  </si>
  <si>
    <t>20.52.10.190 Клеи прочие
52.21.11.000 Услуги железнодорожные маневровые или буксировочные</t>
  </si>
  <si>
    <t>Сообщения о принятии решения о реорганизации от 21.05.2020</t>
  </si>
  <si>
    <t>17.12.14.119 Бумага для печати прочая</t>
  </si>
  <si>
    <t>26.20.16.150 Сканеры
26.80.13.000 Носители данных прочие, включая матрицы и основы для производства дисков
26.20.18.000 Устройства периферийные с двумя или более функциями: печать данных, копирование, сканирование, прием и передача факсимильных сообщений
26.20.40 Блоки, части и принадлежности вычислительных машин
26.70.13.000 Видеокамеры цифровые
58.29.50 Услуги по предоставлению лицензий на право использовать компьютерное программное обеспечение
26.40.51.000 Части и принадлежности звукового и видеооборудования
26.30.11.190 Аппаратура коммуникационная передающая с приемными устройствами прочая, не включенная в другие группировки
58.29.29.000 Обеспечение программное прикладное прочее на электронном носителе
62.01 Продукты программные и услуги по разработке и тестированию программного обеспечения ****</t>
  </si>
  <si>
    <t>За весь период компания заключила  15 контрактов на сумму  8 702 627 215,26 ? За весь период заходили в конкурсы  13 раз на общую сумму обеспеченных контрактов с НМЦ 1 435 880 810,98 ? с БГУ  60 316 619,44 ? с БГИ 389 828 281,24 ? За 3 ГОДА по 44ФЗ заключено 21 шт. с объемом НМЦ  402 352 455,39 ? с БГИ 116 937 053,36 ? с БГГО 36 509 608,00 ? с авансированием до 7 026 550,00 ? с комиссией банку 590 584,21 ? с кв 5 138,08 ? ЗА 1 ГОД по 44ФЗ заключено 3 шт. c объемом НМЦ 98 363 784,80 ? с БГИ 29 429 478,48 ? с БГГО 9 789 850,00 ? с авансированием до  0,00 ? с комиссией банку  124 481,59 ? с кв 1 082,99 ? ЗА 3 ГОДА ПО 223 ФЗ заключено 9 шт. с объемом НМЦ 120 733 274,82 ? за 1 ГОД ПО 223ФЗ заключено 2  25 888 577,00 ?</t>
  </si>
  <si>
    <t>"223 за 3 года", "свод фт", ".", "рейтинг поставщиков в маркере по бг", "клиент металлинвеста", "Конкурсы 100+ (Восстановленный)", "все клиенты с выручкой от 1,8 млрд до бесконечности", "44 фз с с БГ от 10 млн", "рейтинг по нмц маркер", "на фт заводил Канищева", "на фт заводил Бесков", "поставщики маркер", "44 за 3 года"</t>
  </si>
  <si>
    <t>20.13.23.113 Калий
20.59.52.199 Реагенты сложные диагностические или лабораторные прочие, не включенные в другие группировки
86.10.19.000 Услуги больниц прочие
86.21.10.190 Услуги, предоставляемые врачами общей врачебной практики, прочие, не включенные в другие группировки
86.90.1 Услуги в области медицины прочие
86.90.14.000 Услуги скорой медицинской помощи
86.90.19.110 Услуги организаций санитарно-эпидемиологической службы
20.59.52.194 Реактивы химические общелабораторного назначения
86.22.19.000 Услуги в области специализированной врачебной практики прочие
86.90.12.000 Услуги по медицинскому уходу ****</t>
  </si>
  <si>
    <t>За весь период заходили в конкурсы  9 раз на общую сумму обеспеченных контрактов с НМЦ 505 039 357,36 ? с БГУ  4 400 000,00 ? с БГИ 28 000 000,00 ? За 3 ГОДА по 44ФЗ заключено 740 шт. с объемом НМЦ  1 427 520 678,99 ? с БГИ 114 870 176,57 ? с БГГО 1 176 394,31 ? с авансированием до 15 150,04 ? с комиссией банку 1 495 987,68 ? с кв 13 015,09 ? ЗА 1 ГОД по 44ФЗ заключено 327 шт. c объемом НМЦ 540 909 489,92 ? с БГИ 35 350 985,64 ? с БГГО 76 666,00 ? с авансированием до  15 150,04 ? с комиссией банку  665 531,27 ? с кв 5 790,12 ? ЗА 3 ГОДА ПО 223 ФЗ заключено 84 шт. с объемом НМЦ 1 159 725 299,96 ? за 1 ГОД ПО 223ФЗ заключено 27  40 362 538,11 ?</t>
  </si>
  <si>
    <t>"223 за 3 года", ".", "рейтинг поставщиков в маркере по бг", "fk1", "инн Красносельская", "все клиенты с выручкой от 1,8 млрд до бесконечности", "Обороты по клиентам по кварталам (2022г)", "БизФин", "223 фз контракты 20+", "рейтинг по нмц маркер", "это заказчик", "44 за 3 года"</t>
  </si>
  <si>
    <t>62.02.2 Услуги консультативные по вопросам систем и программному обеспечению
62 Продукты программные и услуги по разработке программного обеспечения; консультационные и аналогичные услуги в области информационных технологий
62.01.11.000 Услуги по проектированию и разработке информационных технологий для прикладных задач и тестированию программного обеспечения
62.02.20.190 Услуги консультативные в области компьютерных технологий прочие
62.03.12.130 Услуги по сопровождению компьютерных систем</t>
  </si>
  <si>
    <t>За 3 ГОДА по 44ФЗ заключено 1 шт. с объемом НМЦ  269 541 577,55 ? с БГИ 13 477 078,88 ? с БГГО 13 477 078,88 ? с авансированием до 0,00 ? с комиссией банку 172 063,53 ? с кв 1 496,95 ?</t>
  </si>
  <si>
    <t>"44 за 3 года", ".", "fk1", "все клиенты с выручкой от 1,8 млрд до бесконечности", "рейтинг по нмц маркер", "это заказчик", "поставщики маркер"</t>
  </si>
  <si>
    <t>29.10.21.000 Средства транспортные с двигателем с искровым зажиганием, с рабочим объемом цилиндров не более 1500 см3, новые
29.10.22.000 Средства транспортные с двигателем с искровым зажиганием, с рабочим объемом цилиндров более 1500 см3, новые</t>
  </si>
  <si>
    <t>За весь период заходили в конкурсы  15 раз на общую сумму обеспеченных контрактов с НМЦ 2 060 144 826,57 ? с БГУ  20 224 959,16 ? с БГИ 175 028 970,76 ? За 3 ГОДА по 44ФЗ заключено 24 шт. с объемом НМЦ  2 627 015 812,33 ? с БГИ 240 329 865,63 ? с БГГО 49 610 210,27 ? с авансированием до 113 109 250,01 ? с комиссией банку 2 501 472,69 ? с кв 21 762,81 ? ЗА 1 ГОД по 44ФЗ заключено 16 шт. c объемом НМЦ 1 499 079 111,45 ? с БГИ 168 250 411,21 ? с БГГО 37 268 418,26 ? с авансированием до  113 109 250,01 ? с комиссией банку  1 606 230,52 ? с кв 13 974,21 ?</t>
  </si>
  <si>
    <t>"44 за 3 года", ".", "рейтинг поставщиков в маркере по бг", "Конкурсы 100+ (Восстановленный)", "fk1", "ушедшие", "44 фз с с БГ от 10 млн", "рейтинг по нмц маркер", "поставщики маркер"</t>
  </si>
  <si>
    <t>за 1 ГОД ПО 223ФЗ заключено 1  4 059 400,00 ?</t>
  </si>
  <si>
    <t>45.11.21.000 Услуги по розничной торговле новыми пассажирскими автотранспортными средствами в специализированных магазинах
29.10.2 Автомобили легковые
29.10.24.000 Средства автотранспортные для перевозки людей прочие
29.10.22.000 Средства транспортные с двигателем с искровым зажиганием, с рабочим объемом цилиндров более 1500 см3, новые</t>
  </si>
  <si>
    <t>"рейтинг заказчиков маркер", ".", "п6",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</si>
  <si>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За весь период заходили в конкурсы  2 раз на общую сумму обеспеченных контрактов с НМЦ 109 395 503,36 ? с БГУ  8 124 843,20 ? с БГИ 48 749 059,20 ?</t>
  </si>
  <si>
    <t>"поставщики маркер", ".", "рейтинг поставщиков в маркере по бг", "все клиенты с выручкой от 1,8 млрд до бесконечности", "производители", "это заказчик"</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</si>
  <si>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10.51.56.152 Сырки творожные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10.51.52.130 Ряженка и варенец
10.51.56.153 Продукты творожные, термически обработанные
10.51.52.111 Йогурт без вкусовых компонентов</t>
  </si>
  <si>
    <t>10.51.52.112 Йогурт с вкусовыми компонентами</t>
  </si>
  <si>
    <t>"поставщики маркер", ".", "fk1", "Пункт 3.1 09.01.2023", "все клиенты с выручкой от 1,8 млрд до бесконечности", "производители"</t>
  </si>
  <si>
    <t>Заказчик разыгравший 23 конкурсов на сумму  105 545 395 502,06 ?</t>
  </si>
  <si>
    <t>26.20.1 Компьютеры, их части и принадлежности
28.21.13 Печи и камеры промышленные или лабораторные электрические; индукционное или диэлектрическое нагревательное оборудование
62.09.20.190 Услуги по технической поддержке в области информационных технологий прочие, не включенные в другие группировки
26.2 Компьютеры и периферийное оборудование
27.33.11 Выключатели на напряжение не более 1 кВ
26.51.5 Приборы для контроля прочих физических величин
26.51.4 Приборы для измерения электрических величин или ионизирующих излучений
26.51.70.110 Термостаты
26.51.12.190 Инструменты и приборы прочие
26.20.21 Устройства запоминающие ****</t>
  </si>
  <si>
    <t>"223 за 3 года", ".", "06.2022_ФинХД", "все клиенты с выручкой от 1,8 млрд до бесконечности", "производители", "поставщики маркер"</t>
  </si>
  <si>
    <t>46.5 Услуги по оптовой торговле информационным и коммуникационным оборудованием
62.09.20.190 Услуги по технической поддержке в области информационных технологий прочие, не включенные в другие группировки
62.0 Продукты программные и услуги по разработке программного обеспечения; консультационные и аналогичные услуги в области информационных технологий
46.51 Услуги по оптовой торговле компьютерами, компьютерными периферийными устройствами и программным обеспечением</t>
  </si>
  <si>
    <t>За весь период компания заключила  5 контрактов на сумму  2 197 322 024,46 ?</t>
  </si>
  <si>
    <t>58.29.50 Услуги по предоставлению лицензий на право использовать компьютерное программное обеспечение
62.09.20.120 Услуги по установке программного обеспечения
62.09.20.190 Услуги по технической поддержке в области информационных технологий прочие, не включенные в другие группировки
47.41.20.000 Услуги по розничной торговле программным обеспечением в специализированных магазинах
62.01.11 Услуги по проектированию, разработке информационных технологий для прикладных задач и тестированию программного обеспечения
62.01.29.000 Оригиналы программного обеспечения прочие
63.11.11.000 Услуги по обработке данных</t>
  </si>
  <si>
    <t>За весь период заходили в конкурсы  2 раз на общую сумму обеспеченных контрактов с НМЦ 600 300 085,60 ? с БГУ  6 454 841,76 ? с БГИ 64 548 417,58 ? За 3 ГОДА по 44ФЗ заключено 2 шт. с объемом НМЦ  339 144 125,92 ? с БГИ 37 194 820,19 ? с БГГО 0,00 ? с авансированием до 0,00 ? с комиссией банку 1 084 170,32 ? с кв 9 432,28 ?               ЗА 3 ГОДА ПО 223 ФЗ заключено 4 шт. с объемом НМЦ 73 661 251,11 ? за 1 ГОД ПО 223ФЗ заключено 1  10 840 428,47 ?</t>
  </si>
  <si>
    <t>26.20.18.000 Устройства периферийные с двумя или более функциями: печать данных, копирование, сканирование, прием и передача факсимильных сообщений
62.02.10 Услуги консультативные по компьютерному оборудованию
72.19.29.110 Услуги (работы), связанные с научными исследованиями и разработками в области защиты информации
27.90 Оборудование электрическое прочее
26.51.12.160 Инструменты и приборы геофизические
71.12.20.190 Услуги по руководству строительными проектами прочие
26.51.82.110 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группировок
58.29.29.000 Обеспечение программное прикладное прочее на электронном носителе
46.5 Услуги по оптовой торговле информационным и коммуникационным оборудованием
62.01 Продукты программные и услуги по разработке и тестированию программного обеспечения ****</t>
  </si>
  <si>
    <t>За весь период компания заключила  181 контрактов на сумму  100 253 516 711,58 ? За весь период заходили в конкурсы  311 раз на общую сумму обеспеченных контрактов с НМЦ 56 430 407 519,03 ? с БГУ  2 529 328 335,82 ? с БГИ 13 432 683 168,10 ? За 3 ГОДА по 44ФЗ заключено 72 шт. с объемом НМЦ  10 792 127 689,51 ? с БГИ 1 431 620 378,73 ? с БГГО 476 135 427,73 ? с авансированием до 4 172 036,63 ? с комиссией банку 33 836 400,24 ? с кв 294 376,68 ? ЗА 1 ГОД по 44ФЗ заключено 28 шт. c объемом НМЦ 6 791 615 684,02 ? с БГИ 907 134 811,84 ? с БГГО 413 868 221,93 ? с авансированием до  4 172 036,63 ? с комиссией банку  29 057 504,13 ? с кв 252 800,29 ? ЗА 3 ГОДА ПО 223 ФЗ заключено 8 шт. с объемом НМЦ 95 215 082,12 ?</t>
  </si>
  <si>
    <t>"223 за 3 года", ".", "рейтинг поставщиков в маркере по бг", "ГРАНДИОЗНЫЙ ПРОЕКТ", "Конкурсы 100+ (Восстановленный)", "fk1", "корп 1", "06.2022_ФинХД", "все клиенты с выручкой от 1,8 млрд до бесконечности", "ФК клиенты с выручкой от 230 до бесконечности", "44 фз с с БГ от 10 млн", "производители", "рейтинг по нмц маркер", "поставщики маркер", "44 за 3 года"</t>
  </si>
  <si>
    <t>43.22 Работы по монтажу систем водопровода, канализации, отопления и кондиционирования воздуха
42.22.22.120 Работы строительные по строительству трансформаторных станций и подстанций для распределения электричества в пределах какого-либо района
26.20.18.000 Устройства периферийные с двумя или более функциями: печать данных, копирование, сканирование, прием и передача факсимильных сообщений
26.30.13.000 Камеры телевизионные
43.99.90.190 Работы строительные специализированные прочие, не включенные в другие группировки
46.52.1 Услуги по оптовой торговле электронным и телекоммуникационным оборудованием и его частями
32.50.13.190 Инструменты и приспособления, применяемые в медицинских целях, прочие, не включенные в другие группировки
58.29.50 Услуги по предоставлению лицензий на право использовать компьютерное программное обеспечение
41.20.40.200 Работы по сохранению и воссозданию нежилых зданий, являющихся объектами культурного наследия
26.40.51.000 Части и принадлежности звукового и видеооборудования ****</t>
  </si>
  <si>
    <t>За весь период компания заключила  77 контрактов на сумму  59 364 538 364,97 ? За весь период заходили в конкурсы  149 раз на общую сумму обеспеченных контрактов с НМЦ 60 339 330 648,24 ? с БГУ  2 542 678 063,99 ? с БГИ 14 438 430 542,32 ? За 3 ГОДА по 44ФЗ заключено 52 шт. с объемом НМЦ  12 050 700 644,34 ? с БГИ 3 333 763 387,83 ? с БГГО 309 718 445,86 ? с авансированием до 6 573 428 465,71 ? с комиссией банку 1 683 806,67 ? с кв 14 649,12 ? ЗА 1 ГОД по 44ФЗ заключено 10 шт. c объемом НМЦ 9 333 805 135,26 ? с БГИ 2 796 222 163,38 ? с БГГО 186 692 075,60 ? с авансированием до  6 415 756 741,91 ? с комиссией банку  62 582 195,47 ? с кв 544 465,10 ? ЗА 3 ГОДА ПО 223 ФЗ заключено 23 шт. с объемом НМЦ 336 549 945,78 ? за 1 ГОД ПО 223ФЗ заключено 5  66 702 325,59 ?</t>
  </si>
  <si>
    <t>"223 за 3 года", "кл фт агент бг 04.22", ".", "рейтинг поставщиков в маркере по бг", "ГРАНДИОЗНЫЙ ПРОЕКТ", "Конкурсы 100+ (Восстановленный)", "fk1", "корп 1", "Гарантии ФБ банкроты", "06.2022_ФинХД",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"223 фз контракты 20+", "44 фз с с БГ от 10 млн", "производители", "рейтинг по нмц маркер", "поставщики маркер", "44 за 3 года"</t>
  </si>
  <si>
    <t>62.01 Продукты программные и услуги по разработке и тестированию программного обеспечения
62 Продукты программные и услуги по разработке программного обеспечения; консультационные и аналогичные услуги в области информационных технологий
58.29.50.000 Услуги по предоставлению лицензий на право использовать компьютерное программное обеспечение
62.01.11.000 Услуги по проектированию и разработке информационных технологий для прикладных задач и тестированию программного обеспечения
63.11.13.000 Услуги по предоставлению программного обеспечения без его размещения на компьютерном оборудовании пользователя
62.01.12.000 Услуги по проектированию и разработке информационных технологий для сетей и систем
62.02.30.000 Услуги по технической поддержке информационных технологий</t>
  </si>
  <si>
    <t>1 347</t>
  </si>
  <si>
    <t>За весь период компания заключила  5 контрактов на сумму  331 403 411,38 ? За весь период заходили в конкурсы  24 раз на общую сумму обеспеченных контрактов с НМЦ 2 152 209 120,42 ? с БГУ  58 864 422,69 ? с БГИ 275 625 864,61 ? За 3 ГОДА по 44ФЗ заключено 15 шт. с объемом НМЦ  586 345 869,15 ? с БГИ 59 343 702,31 ? с БГГО 5 284 728,33 ? с авансированием до 0,00 ? с комиссией банку 729 211,82 ? с кв 6 344,14 ?               ЗА 3 ГОДА ПО 223 ФЗ заключено 5 шт. с объемом НМЦ 51 633 821,63 ? за 1 ГОД ПО 223ФЗ заключено 2  44 640 000,00 ?</t>
  </si>
  <si>
    <t>"223 за 3 года", ".", "рейтинг поставщиков в маркере по бг", "Конкурсы 100+ (Восстановленный)", "223 фз контракты 20+", "рейтинг по нмц маркер", "поставщики маркер", "44 за 3 года"</t>
  </si>
  <si>
    <t>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26.20.14 Машины вычислительные электронные цифровые, поставляемые в виде систем для автоматической обработки данных
26.20.30.000 Устройства автоматической обработки данных прочие
58.2 Услуги по изданию программного обеспечения
62.01.29.000 Оригиналы программного обеспечения прочие</t>
  </si>
  <si>
    <t>За весь период заходили в конкурсы  12 раз на общую сумму обеспеченных контрактов с НМЦ 2 117 173 134,02 ? с БГУ  33 189 371,45 ? с БГИ 247 101 662,62 ?</t>
  </si>
  <si>
    <t>ПОС на 03.04.3282</t>
  </si>
  <si>
    <t>"Обороты по клиентам по кварталам (2022г)", ".", "fk1", "ПОС на 01.02.2023", "ПОС на 03.04.2023", "Кредитный портфель_01.11", "06.2022_ФинХД"</t>
  </si>
  <si>
    <t>21.20.22.000 Средства химические контрацептивные на основе гормонов или сперматоцидов
21.20.23.110 Реагенты диагностические
21.20.23.113 Средства радиофармацевтические диагностические
21.20.23.199 Средства нелечебные прочие
20.59.52.199 Реагенты сложные диагностические или лабораторные прочие, не включенные в другие группировки
20.20.14.000 Средства дезинфекционные
21 Средства лекарственные и материалы, применяемые в медицинских целях
21.10.20.130 Фосфоаминолипиды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t>
  </si>
  <si>
    <t>За весь период компания заключила  123 контрактов на сумму  9 006 857 237,87 ? За весь период заходили в конкурсы  342 раз на общую сумму обеспеченных контрактов с НМЦ 28 359 891 460,89 ? с БГУ  740 376 114,75 ? с БГИ 3 830 508 215,31 ? За 3 ГОДА по 44ФЗ заключено 16767 шт. с объемом НМЦ  38 719 970 370,33 ? с БГИ 3 354 947 669,19 ? с БГГО 68 150 495,03 ? с авансированием до 14 407 214,73 ? с комиссией банку 45 542 476,79 ? с кв 396 219,55 ? ЗА 1 ГОД по 44ФЗ заключено 6591 шт. c объемом НМЦ 14 108 837 750,40 ? с БГИ 1 221 471 160,85 ? с БГГО 1 733 185,27 ? с авансированием до  11 476 882,19 ? с комиссией банку  17 496 243,46 ? с кв 152 217,32 ? ЗА 3 ГОДА ПО 223 ФЗ заключено 413 шт. с объемом НМЦ 1 724 510 383,63 ? за 1 ГОД ПО 223ФЗ заключено 114  201 156 647,61 ?</t>
  </si>
  <si>
    <t>"223 за 3 года", ".", "рейтинг поставщиков в маркере по бг", "фб 22.11", "Конкурсы 100+ (Восстановленный)", "fk1",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"223 фз контракты 20+", "44 фз с с БГ от 10 млн", "производители", "рейтинг по нмц маркер", "поставщики маркер", "44 за 3 года"</t>
  </si>
  <si>
    <t>Юридическое лицо находится в процессе реорганизации в форме присоединения к нему других юридических лиц от 05.12.2022, Сообщения о принятии решения о реорганизации от 05.12.2022</t>
  </si>
  <si>
    <t>Юридическое лицо находится в процессе реорганизации в форме присоединения к нему других юридических лиц от 05.12.2022, Сообщения о принятии решения о реорганизации от 06.12.2022</t>
  </si>
  <si>
    <t>"производители", ".", "fk1", "корп 1", "06.2022_ФинХД"</t>
  </si>
  <si>
    <t>28.92.21 Бульдозеры и бульдозеры с поворотным отвалом
28.92.25 Погрузчики фронтальные одноковшовые самоходные
28.99 Оборудование специального назначения прочее, не включенное в другие группировки
28.92 Оборудование для добычи полезных ископаемых подземным и открытым способами и строительства
28.92.26 Экскаваторы одноковшовые и ковшовые погрузчики самоходные с поворотом кабины на 360° (полноповоротные машины), кроме фронтальных одноковшовых погрузчиков</t>
  </si>
  <si>
    <t>ЗА 3 ГОДА ПО 223 ФЗ заключено 10 шт. с объемом НМЦ 168 237 348,00 ? за 1 ГОД ПО 223ФЗ заключено 3  20 859 500,00 ?</t>
  </si>
  <si>
    <t>"223 за 3 года", ".", "рейтинг по нмц маркер", "crm управления", "в crm за Кашиным", "поставщики маркер", "44 за 3 года"</t>
  </si>
  <si>
    <t>31.01.12.110 Столы письменные деревянные для офисов, административных помещений
41.20.40.900 Работы строительные по возведению нежилых зданий и сооружений прочие, не включенные в другие группировки
31.01.12.190 Мебель офисная деревянная прочая
68.32 Услуги по управлению недвижимым имуществом, предоставляемые за вознаграждение или на договорной основе
31.01.12.139 Шкафы деревянные прочие
31.01.12.150 Тумбы офисные деревянные
68.32.11.120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
68.32.13.120 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t>
  </si>
  <si>
    <t>За весь период контрактов 5 шт. на общую сумму НМЦ 2 158 245 624,66 ?</t>
  </si>
  <si>
    <t>Сообщения о принятии решения о реорганизации от 06.09.2019</t>
  </si>
  <si>
    <t>"223 за 3 года", ".", "рейтинг поставщиков в маркере по бг", "ПОС на 01.02.2023",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"рейтинг заказчиков маркер", "рейтинг по нмц маркер", "это заказчик", "поставщики маркер", "44 за 3 года"</t>
  </si>
  <si>
    <t>28.14.12.110 Краны, клапаны для раковин, моек, биде, унитазов, ванн и аналогичная арматура
20.59 Продукты химические прочие, не включенные в другие группировки
21.20.23.199 Средства нелечебные прочие
20.59.52.199 Реагенты сложные диагностические или лабораторные прочие, не включенные в другие группировки
25.11.23.119 Конструкции и детали конструкций из черных металлов прочие, не включенные в другие группировки
20.1 Вещества химические основные, удобрения химические и азотные, пластмассы и синтетический каучук в первичных формах
20.11.11 Водород, аргон, газы инертные, азот и кислород
20.11.11.122 Аргон жидкий
20.11.11.140 Азот
52.29.19.110 Услуги по экспедированию грузов ****</t>
  </si>
  <si>
    <t>За весь период компания заключила  10 контрактов на сумму  540 234 530,78 ? За весь период заходили в конкурсы  8 раз на общую сумму обеспеченных контрактов с НМЦ 405 932 677,90 ? с БГУ  14 584 341,20 ? с БГИ 36 813 204,40 ? За 3 ГОДА по 44ФЗ заключено 1085 шт. с объемом НМЦ  2 827 689 484,27 ? с БГИ 242 403 357,74 ? с БГГО 5 271 591,37 ? с авансированием до 937 820,36 ? с комиссией банку 3 537 679,45 ? с кв 30 777,81 ? ЗА 1 ГОД по 44ФЗ заключено 361 шт. c объемом НМЦ 791 045 249,93 ? с БГИ 64 381 791,80 ? с БГГО 81 429,00 ? с авансированием до  464 583,33 ? с комиссией банку  1 199 291,14 ? с кв 10 433,83 ? ЗА 3 ГОДА ПО 223 ФЗ заключено 19 шт. с объемом НМЦ 122 423 616,01 ? за 1 ГОД ПО 223ФЗ заключено 9  72 176 640,84 ?</t>
  </si>
  <si>
    <t>"223 за 3 года", ".", "рейтинг поставщиков в маркере по бг", "все клиенты с выручкой от 1,8 млрд до бесконечности", "223 фз контракты 20+", "производители", "рейтинг по нмц маркер", "это заказчик", "поставщики маркер", "44 за 3 года"</t>
  </si>
  <si>
    <t>Заказчик разыгравший 98 конкурсов на сумму  14 254 569 940,57 ?</t>
  </si>
  <si>
    <t>86.10.19.000 Услуги больниц прочие
86.21.10.190 Услуги, предоставляемые врачами общей врачебной практики, прочие, не включенные в другие группировки
86.22.11 Услуги по проведению и расшифровке медицинских исследований
86.10.15.000 Услуги больниц прочие, оказываемые врачами
86.22 Услуги в области специализированной врачебной практики
86.22.19.000 Услуги в области специализированной врачебной практики прочие
86.90.15.000 Услуги медицинских лабораторий
86.90.17.000 Услуги по диагностической визуализации без расшифровки
86.90 Услуги в области медицины прочие
86.90.19.190 Услуги в области медицины прочие, не включенные в другие группировки ****</t>
  </si>
  <si>
    <t>За весь период компания заключила  6 контрактов на сумму  605 432 918,22 ? За весь период заходили в конкурсы  21 раз на общую сумму обеспеченных контрактов с НМЦ 1 678 899 399,90 ? с БГУ  56 661 418,94 ? с БГИ 300 704 365,40 ? За 3 ГОДА по 44ФЗ заключено 59 шт. с объемом НМЦ  1 861 145 888,85 ? с БГИ 144 728 417,43 ? с БГГО 483 000,00 ? с авансированием до 0,00 ? с комиссией банку 2 973 350,45 ? с кв 25 868,15 ? ЗА 1 ГОД по 44ФЗ заключено 22 шт. c объемом НМЦ 647 675 337,88 ? с БГИ 40 401 217,27 ? с БГГО 0,00 ? с авансированием до  0,00 ? с комиссией банку  1 332 359,49 ? с кв 11 591,53 ? ЗА 3 ГОДА ПО 223 ФЗ заключено 4 шт. с объемом НМЦ 23 035 754,99 ? за 1 ГОД ПО 223ФЗ заключено 4  23 035 754,99 ?</t>
  </si>
  <si>
    <t>Сообщения о принятии решения о реорганизации от 10.06.2021</t>
  </si>
  <si>
    <t>"223 за 3 года", ".", "рейтинг поставщиков в маркере по бг", "выдали", "fk1", "06.2022_ФинХД", "все клиенты с выручкой от 1,8 млрд до бесконечности", "Обороты по клиентам по кварталам (2022г)", "44 фз с с БГ от 10 млн", "рейтинг по нмц маркер", "поставщики маркер", "44 за 3 года"</t>
  </si>
  <si>
    <t>68.20.12.000 Услуги по сдаче в аренду (внаем) собственных или арендованных нежилых помещений
55.20.12.000 Услуги по предоставлению временного жилья для посетителей в помещениях, предоставляемых по договорам краткосрочного найма</t>
  </si>
  <si>
    <t>Сообщения о принятии решения о реорганизации от 15.05.2017</t>
  </si>
  <si>
    <t>"рейтинг по нмц маркер", ".", "Участники клиринга", "рейтинг заказчиков маркер"</t>
  </si>
  <si>
    <t>27.51.11.110 Холодильники бытовые
27.51.27.000 Печи микроволновые
26.40.20.122 Приемники телевизионные (телевизоры) цветного изображения с жидкокристаллическим экраном, плазменной панелью</t>
  </si>
  <si>
    <t>"поставщики маркер", ".", "fk1",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</si>
  <si>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10.51.4 Сыры, продукты сырные и творог
10.51.52.140 Кефир
10.86.10.144 Творог и продукты на его основе, в том числе с фруктовыми и плодовоовощными компонентами, для детей дошкольного возраста и детей школьного возраста
10.51.1 Молоко и сливки, кроме сырых
10.51.3 Масло сливочное, пасты масляные, масло топленое, жир молочный, спреды и смеси топленые сливочно-растительные
10.51.56.152 Сырки творожные
10.51.11.119 Молоко питьевое пастеризованное прочее
10.51.52.200 Сметана
10.51.11.110 Молоко питьевое пастеризованное
10.51.40.300 Творог ****</t>
  </si>
  <si>
    <t>"223 за 3 года", ".", "fk1", "закрыли счет", "все клиенты с выручкой от 1,8 млрд до бесконечности", "ФК клиенты с выручкой от 230 до бесконечности", "поставщики маркер", "44 за 3 года"</t>
  </si>
  <si>
    <t>"в crm за Рябовым", ".", "все клиенты с выручкой от 1,8 млрд до бесконечности", "crm управления"</t>
  </si>
  <si>
    <t>33.20 Услуги по монтажу промышленных машин и оборудования
46.90.1 Услуги по неспециализированной оптовой торговле
28.13 Насосы и компрессоры прочие</t>
  </si>
  <si>
    <t>Сообщение кредитора о намерении обратиться в суд с заявлением о банкротстве от 14.04.2023</t>
  </si>
  <si>
    <t>"поставщики маркер", ".", "fk1", "клиенты с в от100млн 09.21", "все клиенты с выручкой от 1,8 млрд до бесконечности", "ФК клиенты с выручкой от 230 до бесконечности", "производители", "crm управления", "в crm за Кашиным"</t>
  </si>
  <si>
    <t>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29.10.22.000 Средства транспортные с двигателем с искровым зажиганием, с рабочим объемом цилиндров более 1500 см3, новые</t>
  </si>
  <si>
    <t>43.99.90.190 Работы строительные специализированные прочие, не включенные в другие группировки</t>
  </si>
  <si>
    <t>Кредитный портфель_01.1459</t>
  </si>
  <si>
    <t>"поставщики маркер", ".", "fk1", "Кредитный портфель_01.11", "06.2022_ФинХД", "Обороты по клиентам по кварталам (2022г)"</t>
  </si>
  <si>
    <t>32.99.11 Уборы головные защитные и средства защиты прочие
14.12 Спецодежда</t>
  </si>
  <si>
    <t>за 1 ГОД ПО 223ФЗ заключено 2  54 068 430,00 ?</t>
  </si>
  <si>
    <t>"223 за 3 года", ".", "223 фз контракты 20+", "производители", "рейтинг по нмц маркер", "это заказчик", "поставщики маркер"</t>
  </si>
  <si>
    <t>28.22.19 Части грузоподъемного и погрузочно-разгрузочного оборудования
33.12.15 Услуги по ремонту и техническому обслуживанию подъемно-транспортного оборудования
33.19.10.000 Услуги по ремонту прочего оборудования
28.22.16.110 Лифты
43.29.1 Работы строительно-монтажные прочие
43.29.19.110 Работы по монтажу лифтов, эскалаторов и движущихся тротуаров, требующие специальной квалификации, включая ремонт и техническое обслуживание
71.20.19.190 Услуги по техническим испытаниям и анализу прочие, не включенные в другие группировки
33.12 Услуги по ремонту оборудования
33.12.11.000 Услуги по ремонту и техническому обслуживанию двигателей и турбин, кроме авиационных, автомобильных и мотоциклетных двигателей
33.17.19.000 Услуги по ремонту и техническому обслуживанию прочих транспортных средств и оборудования, не включенных в другие группировки ****</t>
  </si>
  <si>
    <t>За весь период заходили в конкурсы  2 раз на общую сумму обеспеченных контрактов с НМЦ 132 819 611,50 ? с БГУ  7 626 546,50 ? с БГИ 45 759 279,00 ?                             ЗА 3 ГОДА ПО 223 ФЗ заключено 13 шт. с объемом НМЦ 46 430 753,40 ?</t>
  </si>
  <si>
    <t>Юридическим лицом принято решение об изменении места нахождения от 28.03.2023</t>
  </si>
  <si>
    <t>21.20.23.199 Средства нелечебные прочие
21 Средства лекарственные и материалы, применяемые в медицинских целях
21.10.20.130 Фосфоаминолипиды
21.20.10.118 Препараты, способствующие пищеварению, включая ферментные препараты
21.20.10.133 Препараты антианемические
21.20.10.155 Препараты для лечения псориаза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21.20.10.251 Препараты назальные ****</t>
  </si>
  <si>
    <t>За весь период компания заключила  9 контрактов на сумму  440 701 619,16 ? За весь период заходили в конкурсы  14 раз на общую сумму обеспеченных контрактов с НМЦ 1 070 759 563,56 ? с БГУ  10 142 349,18 ? с БГИ 106 123 303,27 ? За 3 ГОДА по 44ФЗ заключено 773 шт. с объемом НМЦ  2 616 595 385,35 ? с БГИ 213 481 927,79 ? с БГГО 16 854 538,62 ? с авансированием до 16 764,00 ? с комиссией банку 2 510 881,44 ? с кв 21 844,67 ? ЗА 1 ГОД по 44ФЗ заключено 310 шт. c объемом НМЦ 840 541 010,91 ? с БГИ 61 443 591,38 ? с БГГО 28 397,64 ? с авансированием до  0,00 ? с комиссией банку  1 124 001,99 ? с кв 9 778,82 ? ЗА 3 ГОДА ПО 223 ФЗ заключено 3 шт. с объемом НМЦ 36 886 555,93 ?</t>
  </si>
  <si>
    <t>"223 за 3 года", "свод фт", ".", "рейтинг поставщиков в маркере по бг", "fk1", "кредиты фт", "клиенты с в от100млн 09.21", "лимит сит по кредитам", "все клиенты с выручкой от 1,8 млрд до бесконечности", "44 фз с с БГ от 10 млн", "рейтинг по нмц маркер", "на фт заводил Шинахов", "на фт заводил Середин", "crm управления", "в crm за шинахововым", "поставщики маркер", "44 за 3 года"</t>
  </si>
  <si>
    <t>23.13.11.121 Банки стеклянные для консервов
81.29.19.000 Услуги по чистке и уборке прочие, не включенные в другие группировки</t>
  </si>
  <si>
    <t>25.21.12.000 Котлы водогрейные центрального отопления для производства горячей воды или пара низкого давления
25.21.1 Радиаторы и водогрейные котлы центрального отопления</t>
  </si>
  <si>
    <t>72.19.14.000 Услуги, связанные с научными исследованиями и экспериментальными разработками в области химических наук</t>
  </si>
  <si>
    <t>За весь период компания заключила  2 контрактов на сумму  1 515 855 209,00 ?</t>
  </si>
  <si>
    <t>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71.12.39 Услуги в области геологических, геофизических и взаимосвязанных изыскательных работ прочие, не включенные в другие группировки
71.12.20.110 Услуги заказчика-застройщика, генерального подрядчика
71.12.19.100 Услуги по инженерно-техническому проектированию прочих объектов, кроме объектов культурного наследия
71.11.32.000 Услуги по территориальному планированию и планировке территории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
71.12.33.900 Услуги по разведке прочих полезных ископаемых и оценке их месторождений, не включенные в другие группировки</t>
  </si>
  <si>
    <t>За весь период компания заключила  8 контрактов на сумму  153 508 369 274,91 ? За весь период заходили в конкурсы  5 раз на общую сумму обеспеченных контрактов с НМЦ 736 052 902,05 ? с БГУ  40 200 105,10 ? с БГИ 145 495 779,74 ?                             ЗА 3 ГОДА ПО 223 ФЗ заключено 3 шт. с объемом НМЦ 88 500 000 000,00 ? за 1 ГОД ПО 223ФЗ заключено 1  29 500 000 000,00 ?</t>
  </si>
  <si>
    <t>"223 за 3 года", ".", "рейтинг поставщиков в маркере по бг", "Конкурсы 100+ (Восстановленный)", "06.2022_ФинХД", "223 фз контракты 20+", "рейтинг по нмц маркер", "поставщики маркер", "44 за 3 года"</t>
  </si>
  <si>
    <t>За весь период компания заключила  1 контрактов на сумму  671 622 427,76 ?</t>
  </si>
  <si>
    <t>"производители", ".", "ушедшие"</t>
  </si>
  <si>
    <t>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71.12.12.130 Услуги, связанные с разработкой инженерно-технической проектной документации по консервации, ремонту, реставрации, приспособлению и воссозданию зданий, являющихся объектами культурного наследия
43.29.12.110 Работы по установке оград, заборов, защитных перильных и аналогичных ограждений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43.29.19.190 Работы монтажные прочие,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</si>
  <si>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За весь период компания заключила  31 контрактов на сумму  45 995 661 440,40 ? За весь период заходили в конкурсы  15 раз на общую сумму обеспеченных контрактов с НМЦ 12 886 240 705,80 ? с БГУ  256 159 601,20 ? с БГИ 2 567 258 897,89 ?</t>
  </si>
  <si>
    <t>"223 за 3 года", "свод фт", ".", "рейтинг поставщиков в маркере по бг", "Рассрочка КВ Март 2023", "fk1", "все клиенты с выручкой от 1,8 млрд до бесконечности", "производители", "рейтинг по нмц маркер", "на фт заводил Удод", "поставщики маркер"</t>
  </si>
  <si>
    <t>"в crm за Синяевым ", "crm управления", "в crm за Шевченко ОРК 5"</t>
  </si>
  <si>
    <t>"в crm за Синяевым ", ".", "все клиенты с выручкой от 1,8 млрд до бесконечности", "производители", "crm управления", "в crm за Шевченко ОРК 5"</t>
  </si>
  <si>
    <t>43.99.90.190 Работы строительные специализированные прочие, не включенные в другие группировки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41.10.10.000 Документация проектная для строительства
43.29.19.190 Работы монтажные прочие, не включенные в другие группировки
71.12.12.190 Услуги по инженерно-техническому проектированию зданий прочие, не включенные в другие группировки</t>
  </si>
  <si>
    <t>За весь период компания заключила  9 контрактов на сумму  25 401 458 894,98 ? За весь период заходили в конкурсы  9 раз на общую сумму обеспеченных контрактов с НМЦ 11 267 519 834,45 ? с БГУ  325 307 404,92 ? с БГИ 1 230 921 198,85 ?</t>
  </si>
  <si>
    <t>"44 за 3 года", "свод фт", ".", "рейтинг поставщиков в маркере по бг", "ГРАНДИОЗНЫЙ ПРОЕКТ", "fk1", "Действующий клиент мсб с выр от 30 млн на 05.21", "все клиенты с выручкой от 1,8 млрд до бесконечности", "ФК клиенты с выручкой от 230 до бесконечности", "рейтинг по нмц маркер", "на фт заводил Кашин", "crm управления", "в crm за Кашиным", "поставщики маркер"</t>
  </si>
  <si>
    <t>23.61.12.210 Блоки и прочие изделия сборные строительные для зданий и сооружений из искусственного камня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23.99.13.114 Смеси асфальтобетонные дорожные, аэродромные и асфальтобетон горячие щебено-мастичные
23.99.13.120 Смеси асфальтобетонные дорожные, аэродромные и асфальтобетон холодные
23.99.13.111 Смеси асфальтобетонные дорожные, аэродромные и асфальтобетон горячие щебеночные
19.20.42.121 Битумы нефтяные дорожные
08.12.12.140 Щебень
19.20.42.120 Битумы нефтяные
20.13.13.120 Сплавы, эмульсии, керамические изделия и смеси, содержащие эти элементы, изотопы или соединения
08.99.10.110 Битумы и асфальты природные ****</t>
  </si>
  <si>
    <t>за 1 ГОД ПО 223ФЗ заключено 2  5 154 166,50 ?</t>
  </si>
  <si>
    <t>"производители", ".", "портфель 51", "fk1", "ПОС на 01.02.2023", "корп 2",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</si>
  <si>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27.33.1 Изделия электроустановочные
27.3 Кабели и арматура кабельная
27.33.13.140 Контакторы электромагнитные
27.90 Оборудование электрическое прочее
27.11.10.120 Электродвигатели постоянного тока прочие
27.12.22 Выключатели автоматические на напряжение не более 1 кВ
27.12.24.190 Реле прочие
30.30 Аппараты летательные и космические и соответствующее оборудование
28.15.2 Подшипники прочие, зубчатые колеса, зубчатые передачи и элементы приводов
28.15.21.113 Цепи приводные зубчатые ****</t>
  </si>
  <si>
    <t>За весь период компания заключила  4 контрактов на сумму  318 768 395,60 ?</t>
  </si>
  <si>
    <t>22.22.14.000 Бутыли, бутылки, флаконы и аналогичные изделия из пластмасс
20.42.1 Средства парфюмерные и косметические
21.20.23.110 Реагенты диагностические
21.20.23.199 Средства нелечебные прочие
20.59.52.199 Реагенты сложные диагностические или лабораторные прочие, не включенные в другие группировки
20.20.14.000 Средства дезинфекционные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21.20.10.155 Препараты для лечения псориаза ****</t>
  </si>
  <si>
    <t>За 3 ГОДА по 44ФЗ заключено 1957 шт. с объемом НМЦ  1 112 200 978,56 ? с БГИ 90 477 912,27 ? с БГГО 4 646 948,10 ? с авансированием до 0,00 ? с комиссией банку 1 336 909,66 ? с кв 11 631,11 ? ЗА 1 ГОД по 44ФЗ заключено 637 шт. c объемом НМЦ 438 854 279,72 ? с БГИ 37 028 510,59 ? с БГГО 0,00 ? с авансированием до  0,00 ? с комиссией банку  592 648,69 ? с кв 5 156,04 ? ЗА 3 ГОДА ПО 223 ФЗ заключено 21 шт. с объемом НМЦ 30 431 951,50 ? за 1 ГОД ПО 223ФЗ заключено 10  10 000 761,12 ?</t>
  </si>
  <si>
    <t>43.9 Работы строительные специализированные прочие
16.29.14.192 Гранулы топливные (пеллеты) из отходов деревопереработки</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</si>
  <si>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16.10.23.112 Щепа топливная
42.11.10.129 Дороги автомобильные, в том числе улично-дорожная сеть, и прочие автомобильные и пешеходные дороги, не включенные в другие группировки</t>
  </si>
  <si>
    <t>2 003</t>
  </si>
  <si>
    <t>Юридическое лицо находится в процессе реорганизации в форме присоединения к нему других юридических лиц от 20.01.2023, Сообщения о принятии решения о реорганизации от 19.01.2023</t>
  </si>
  <si>
    <t>"Обороты по клиентам по кварталам (2022г)", ".", "fk1", "ПОС на 03.04.2023", "клиенты с в от100млн 09.21", "все клиенты с выручкой от 1,8 млрд до бесконечности", "ФК клиенты с выручкой от 230 до бесконечности"</t>
  </si>
  <si>
    <t>28.22 Оборудование подъемно-транспортное
28.12.12.119 Гидромоторы прочие
28.22.19 Части грузоподъемного и погрузочно-разгрузочного оборудования
28.22.19.190 Комплектующие (запасные части) прочего подъемно-транспортного и погрузочно-разгрузочного оборудования, не имеющие самостоятельных группировок
28.92.1 Оборудование для добычи полезных ископаемых подземным способом
28.92.21 Бульдозеры и бульдозеры с поворотным отвалом
33.12.15 Услуги по ремонту и техническому обслуживанию подъемно-транспортного оборудования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33.19 Услуги по ремонту прочего оборудования
45.32.12.000 Услуги по розничной торговле прочими автомобильными деталями, узлами и принадлежностями в специализированных магазинах ****</t>
  </si>
  <si>
    <t>За весь период компания заключила  52 контрактов на сумму  18 047 227 112,95 ? За весь период заходили в конкурсы  3 раз на общую сумму обеспеченных контрактов с НМЦ 192 860 985,00 ? с БГУ  13 887 480,00 ? с БГИ 222 199 680,00 ?                             ЗА 3 ГОДА ПО 223 ФЗ заключено 71 шт. с объемом НМЦ 794 652 150,41 ? за 1 ГОД ПО 223ФЗ заключено 7  24 470 900,53 ?</t>
  </si>
  <si>
    <t>"223 за 3 года", ".", "рейтинг поставщиков в маркере по бг", "все клиенты с выручкой от 1,8 млрд до бесконечности", "223 фз контракты 20+", "производители", "рейтинг по нмц маркер", "это заказчик"</t>
  </si>
  <si>
    <t>10.81.11.110 Сахар-сырец свекловичный в твердом состоянии</t>
  </si>
  <si>
    <t>Юридическим лицом принято решение об изменении места нахождения от 20.11.2017</t>
  </si>
  <si>
    <t>23.91.12.120 Шкурка шлифовальная на бумажной или картонной основе
28.49.12.119 Станки деревообрабатывающие прочие
28.49.12.114 Станки деревообрабатывающие сверлильные, пазовальные и долбежные</t>
  </si>
  <si>
    <t>"44 за 3 года", ".", "crm управления", "в crm за Шевченко ОРК  4"</t>
  </si>
  <si>
    <t>Сообщения о принятии решения о реорганизации от 16.08.2021</t>
  </si>
  <si>
    <t>32.50.13.190 Инструменты и приспособления, применяемые в медицинских целях, прочие, не включенные в другие группировки</t>
  </si>
  <si>
    <t>"поставщики маркер", ".", "fk1", "корп 1", "клиенты с в от100млн 09.21", "ФК клиенты с выручкой от 230 до бесконечности", "Обороты по клиентам по кварталам (2022г)"</t>
  </si>
  <si>
    <t>24.20.13.130 Трубы стальные электросварные
46.74.12 Услуги по оптовой торговле водопроводным и отопительным оборудованием и санитарно-технической арматурой
24.20.12.110 Трубы обсадные бесшовные стальные
24.20.13.190 Трубы круглого сечения прочие стальные
24.20.31 Трубы сварные для нефте- и газопроводов, наружным диаметром не более 406,4 мм, стальные
28.22.14.159 Машины самоходные и тележки, оснащенные подъемным краном, прочие, не включенные в другие группировки
24.2 Трубы, профили пустотелые и их фитинги стальные
24.20.11.000 Трубы стальные для нефте- и газопроводов бесшовные
28.92.61.110 Комплектующие (запасные части) бурильных и проходческих машин, не имеющие самостоятельных группировок
28.22.18.390 Оборудование подъемно-транспортное и погрузочно-разгрузочное прочее, не включенное в другие группировки ****</t>
  </si>
  <si>
    <t>За весь период компания заключила  13 контрактов на сумму  2 204 740 586,50 ? За весь период заходили в конкурсы  1 раз на общую сумму обеспеченных контрактов с НМЦ 114 402 805,45 ? с БГУ  5 927 606,50 ? с БГИ 17 782 819,50 ?                             ЗА 3 ГОДА ПО 223 ФЗ заключено 7 шт. с объемом НМЦ 92 943 007,53 ? за 1 ГОД ПО 223ФЗ заключено 3  83 329 538,64 ?</t>
  </si>
  <si>
    <t>Юридическое лицо находится в процессе реорганизации в форме присоединения к нему других юридических лиц от 09.12.2022, Сообщения о принятии решения о реорганизации от 02.12.2022</t>
  </si>
  <si>
    <t>"223 за 3 года", ".", "рейтинг поставщиков в маркере по бг", "Участники клиринга", "223 фз контракты 20+", "производители", "рейтинг по нмц маркер", "это заказчик", "поставщики маркер"</t>
  </si>
  <si>
    <t>14.19.31.119 Перчатки защитные, рукавицы, варежки, митенки из натуральной или композиционной кожи, не включенные в другие группировки
14.19.9 Услуги по производству прочей одежды и аксессуаров
14.19 Одежда прочая и аксессуары</t>
  </si>
  <si>
    <t>29.10.2 Автомобили легковые</t>
  </si>
  <si>
    <t>19.20.21.341 Топливо дизельное межсезонное вне классов
19.20.23.190 Дистилляты легкие, не включенные в другие группировки
19.2 Нефтепродукты
19.20.21.124 Бензин автомобильный с октановым числом более 92, но не более 95 по исследовательскому методу экологического класса К4
46.12.11.000 Услуги по оптовой торговле твердым, жидким и газообразным топливом и связанными продуктами за вознаграждение или на договорной основе
46.71 Услуги по оптовой торговле твердым, жидким и газообразным топливом и связанными продуктами
46.71.12.000 Услуги по оптовой торговле моторным топливом, включая авиационный бензин
19.20.27.111 Топливо печное бытовое
19.20.21.321 Топливо дизельное зимнее вне классов
19.20.21.324 Топливо дизельное зимнее экологического класса К4 ****</t>
  </si>
  <si>
    <t>За весь период компания заключила  129 контрактов на сумму  40 031 557 998,74 ? За весь период заходили в конкурсы  432 раз на общую сумму обеспеченных контрактов с НМЦ 35 179 428 366,70 ? с БГУ  1 996 728 243,57 ? с БГИ 7 404 085 790,10 ? За 3 ГОДА по 44ФЗ заключено 3390 шт. с объемом НМЦ  8 192 443 940,94 ? с БГИ 649 903 123,77 ? с БГГО 5 907 107,21 ? с авансированием до 518 607 650,98 ? с комиссией банку 10 056 777,59 ? с кв 87 493,97 ? ЗА 1 ГОД по 44ФЗ заключено 1148 шт. c объемом НМЦ 3 138 693 452,33 ? с БГИ 198 824 443,24 ? с БГГО 0,00 ? с авансированием до  158 331 975,35 ? с комиссией банку  3 387 034,10 ? с кв 29 467,20 ? ЗА 3 ГОДА ПО 223 ФЗ заключено 577 шт. с объемом НМЦ 3 080 355 819,04 ? за 1 ГОД ПО 223ФЗ заключено 221  910 202 617,48 ?</t>
  </si>
  <si>
    <t>"223 за 3 года", ".", "рейтинг поставщиков в маркере по бг", "все клиенты с выручкой от 1,8 млрд до бесконечности", "223 фз контракты 20+", "44 фз с с БГ от 10 млн", "производители", "рейтинг по нмц маркер", "поставщики маркер", "44 за 3 года"</t>
  </si>
  <si>
    <t>71.12.16.000 Услуги по инженерно-техническому проектированию производственных процессов и производств
43.99.90.190 Работы строительные специализированные прочие, не включенные в другие группировки
71.20.19.150 Услуги по оценке соответствия в области использования атомной энергии
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
71.20.12.000 Услуги в области испытаний, исследований и анализа физико-механических свойств материалов и веществ
43.21.10.140 Работы по монтажу систем пожарной сигнализации и охранной сигнализации
33.12.29.100 Услуги по ремонту объектов использования атомной энергии
84.25.11.130 Услуги по обеспечению безопасности на объектах использования атомной энергии
71.20.19.190 Услуги по техническим испытаниям и анализу прочие, не включенные в другие группировки
33.20.39.100 Услуги по монтажу оборудования для объектов использования атомной энергии ****</t>
  </si>
  <si>
    <t>1 976</t>
  </si>
  <si>
    <t>За весь период компания заключила  23 контрактов на сумму  17 119 299 354,66 ? За весь период заходили в конкурсы  8 раз на общую сумму обеспеченных контрактов с НМЦ 2 610 727 504,15 ? с БГУ  17 194 626,98 ? с БГИ 342 940 030,80 ? За 3 ГОДА по 44ФЗ заключено 3 шт. с объемом НМЦ  379 651 957,62 ? с БГИ 42 323 669,28 ? с БГГО 185 379,00 ? с авансированием до 78 670 301,71 ? с комиссией банку 756 821,54 ? с кв 6 584,35 ? ЗА 1 ГОД по 44ФЗ заключено 1 шт. c объемом НМЦ 157 340 603,41 ? с БГИ 23 601 090,51 ? с БГГО 0,00 ? с авансированием до  78 670 301,71 ? с комиссией банку  756 528,11 ? с кв 6 581,79 ? ЗА 3 ГОДА ПО 223 ФЗ заключено 51 шт. с объемом НМЦ 536 993 284,65 ? за 1 ГОД ПО 223ФЗ заключено 18  230 565 289,48 ?</t>
  </si>
  <si>
    <t>"223 за 3 года", ".", "рейтинг поставщиков в маркере по бг", "все клиенты с выручкой от 1,8 млрд до бесконечности", "223 фз контракты 20+", "44 фз с с БГ от 10 млн", "рейтинг заказчиков маркер", "производители", "рейтинг по нмц маркер", "это заказчик", "поставщики маркер", "44 за 3 года"</t>
  </si>
  <si>
    <t>1 245</t>
  </si>
  <si>
    <t>"ФК клиенты с выручкой от 230 до бесконечности", ".", "fk1", "корп 1", "06.2022_ФинХД", "все клиенты с выручкой от 1,8 млрд до бесконечности"</t>
  </si>
  <si>
    <t>10.91.10.180 Комбикорма
10.91.10.188 Комбикорма для рыб
10.92.10.110 Сухой корм животного происхождения
10.92.10.111 Сухой корм животного происхождения для собак</t>
  </si>
  <si>
    <t>"223 за 3 года", ".", "райф", "все клиенты с выручкой от 1,8 млрд до бесконечности", "производители", "это заказчик"</t>
  </si>
  <si>
    <t>10.61.32.113 Крупа гречневая
10.73.11.140 Изделия макаронные фигурные
10.61.21.113 Мука пшеничная хлебопекарная высшего сорта
10.71.11.179 Изделия хлебобулочные специализированные, в том числе диетические, а также обогащенные микронутриентами прочие
10.71.11.190 Изделия хлебобулочные недлительного хранения прочие
10.71.11.110 Хлеб недлительного хранения
10.71.11.129 Булочные изделия недлительного хранения прочие
10.20.25.113 Консервы рыбные в масле
10.7 Изделия хлебобулочные и мучные кондитерские
10.73.11.110 Макароны ****</t>
  </si>
  <si>
    <t>2 355</t>
  </si>
  <si>
    <t>ЗА 1 ГОД по 44ФЗ заключено 59 шт. c объемом НМЦ 95 740 541,84 ? с БГИ 6 501 544,36 ? с БГГО 0,00 ? с авансированием до  66 256,25 ? с комиссией банку  78 139,48 ? с кв 679,81 ?</t>
  </si>
  <si>
    <t>28.22.15.120 Погрузчики прочие
45.20.14.000 Услуги по ремонту кузовов легковых автомобилей и легких грузовых автотранспортных средств и аналогичные услуги (ремонт дверей, замков, окон, перекрашивание, ремонт после повреждений)
28.15.24.130 Коробки передач и прочие переключатели скоростей
77.12.11 Услуги по аренде и лизингу грузовых транспортных средств без водителя
28.22.15.110 Автопогрузчики с вилочным захватом
28.15.24.110 Редукторы и передачи зубчатые
45.1 Услуги по торговле автотранспортными средствами
45.2 Услуги по техническому обслуживанию и ремонту автотранспортных средств</t>
  </si>
  <si>
    <t>ЗА 3 ГОДА ПО 223 ФЗ заключено 7 шт. с объемом НМЦ 33 911 391,60 ?</t>
  </si>
  <si>
    <t>77.29.15.000 Услуги по прокату текстильных изделий, одежды и обуви
77.29.19.000 Услуги по прокату прочих бытовых изделий и предметов личного пользования, не включенных в другие группировки
77.39.19.119 Услуги по аренде и лизингу прочих машин и оборудования научного и промышленного назначения
96.01.12.125 Услуги по химической чистке изделий из декоративных тканей на основе смеси из искусственных волокон
96.01.19.139 Прочие услуги прачечных
96.01 Услуги по стирке и чистке (в том числе химической) изделий из тканей и меха
96.0 Услуги персональные прочие
82.99.19.000 Услуги вспомогательные, связанные с предпринимательской деятельностью, прочие, не включенные в другие группировки
77.2 Услуги по прокату бытовых изделий и предметов личного пользования
77.39.19.110 Услуги по аренде и лизингу прочих машин и оборудования без оператора, не включенных в другие группировки ****</t>
  </si>
  <si>
    <t>"223 за 3 года", ".",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 "поставщики маркер"</t>
  </si>
  <si>
    <t>10.86.10.192 Продукция детского питания на основе полных или частичных гидролизатов белка</t>
  </si>
  <si>
    <t>1 532</t>
  </si>
  <si>
    <t>На 06.01.2023 22:01 имеются действующие решения ФНС о приостановлении операций по счетам</t>
  </si>
  <si>
    <t>Сообщения о принятии решения о реорганизации от 01.03.2022</t>
  </si>
  <si>
    <t>24.20.13.130 Трубы стальные электросварные
24.2 Трубы, профили пустотелые и их фитинги стальные
24.20.2 Трубы сварные круглого сечения, наружным диаметром более 406,4 мм, стальные
24.20.33.000 Трубы круглого сечения сварные прочие, наружным диаметром не более 406,4 мм, стальные
24.20.40 Фитинги для труб стальные, кроме литых
24.20.13.160 Трубы стальные водогазопроводные
24.20.13.110 Трубы стальные бесшовные горячедеформированные
24.20.13.140 Трубы стальные бесшовные холоднодеформированные общего назначения</t>
  </si>
  <si>
    <t>1 203</t>
  </si>
  <si>
    <t>За весь период компания заключила  19 контрактов на сумму  8 395 475 197,53 ?</t>
  </si>
  <si>
    <t>Юридическое лицо находится в процессе реорганизации в форме присоединения к нему других юридических лиц от 07.04.2023, Сообщения о принятии решения о реорганизации от 28.03.2023</t>
  </si>
  <si>
    <t>20.20.11.000 Инсектициды
58.11.12.000 Книги печатные профессиональные, технические и научные
20 Вещества химические и продукты химические</t>
  </si>
  <si>
    <t>"223 за 3 года",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t>
  </si>
  <si>
    <t>27.40 Оборудование электрическое осветительное
28.29.12.110 Оборудование для фильтрования или очистки воды
28.25.14.111 Фильтры для очистки воздуха
43.99.90.190 Работы строительные специализированные прочие, не включенные в другие группировки
28.29 Машины и оборудование общего назначения прочие, не включенные в другие группировки
28.29.12.190 Оборудование и установки для фильтрования или очистки жидкостей прочие, не включенные в другие группировки
27.40.15.120 Лампы ультрафиолетовые
27.12.31.000 Панели и прочие комплекты электрической аппаратуры коммутации или защиты на напряжение не более 1 кВ
43.21.10.180 Работы электромонтажные по монтажу прочего электрического оборудования, включая электрические солнечные коллекторы и плинтусные обогреватели, в зданиях и сооружениях
27.40.42.000 Части светильников и осветительных устройств ****</t>
  </si>
  <si>
    <t>За весь период заходили в конкурсы  1 раз на общую сумму обеспеченных контрактов с НМЦ 53 665 542,96 ? с БГУ  1 084 152,38 ? с БГИ 5 420 761,92 ?                             ЗА 3 ГОДА ПО 223 ФЗ заключено 30 шт. с объемом НМЦ 581 673 470,33 ? за 1 ГОД ПО 223ФЗ заключено 5  29 286 940,00 ?</t>
  </si>
  <si>
    <t>Юридическое лицо находится в процессе реорганизации в форме присоединения к нему других юридических лиц от 22.02.2023, Сообщения о принятии решения о реорганизации от 27.02.2023</t>
  </si>
  <si>
    <t>1 510</t>
  </si>
  <si>
    <t>62.01 Продукты программные и услуги по разработке и тестированию программного обеспечения
63.99.10.190 Услуги информационные автоматизированные компьютерные прочие, не включенные в другие группировки
62.09.20.190 Услуги по технической поддержке в области информационных технологий прочие, не включенные в другие группировки
63.11.12.000 Услуги по размещению в информационно-коммуникационной сети Интернет
58.11.30.120 Книги профессиональные, технические и научные в электронной форме
58.11.30.130 Книги для детей в электронной форме
58.14.20.000 Журналы и периодические издания электронные
63.12.10.000 Содержание порталов в информационно-коммуникационной сети Интернет
63.99.20.000 Сборники фактов/информации оригинальные
61.90 Услуги телекоммуникационные прочие ****</t>
  </si>
  <si>
    <t>За весь период заходили в конкурсы  1 раз на общую сумму обеспеченных контрактов с НМЦ 96 000 000,00 ? с БГУ  1 020 000,00 ? с БГИ 10 200 000,00 ?</t>
  </si>
  <si>
    <t>"223 за 3 года", ".", "рейтинг поставщиков в маркере по бг", "fk1", "все клиенты с выручкой от 1,8 млрд до бесконечности", "поставщики маркер", "44 за 3 года"</t>
  </si>
  <si>
    <t>77.39.19.119 Услуги по аренде и лизингу прочих машин и оборудования научного и промышленного назначения
29.10.41.112 Автомобили грузовые с дизельным двигателем, имеющие технически допустимую максимальную массу свыше 3,5 т, но не более 12 т
77.1 Услуги по аренде и лизингу автотранспортных средств
77.11.10.000 Услуги по аренде и лизингу легковых автомобилей и легких автотранспортных средств
64.91 Услуги по финансовой аренде (лизингу/сублизингу)
77.32 Услуги по аренде и лизингу строительных машин и оборудования для гражданского строительства
29.10.2 Автомобили легковые
77 Услуги по аренде и лизингу
77.12 Услуги по аренде и лизингу грузовых транспортных средств
64.91.10.190 Услуги по финансовой аренде (лизингу/сублизингу) в прочих областях, кроме племенных животных ****</t>
  </si>
  <si>
    <t>ЗА 3 ГОДА ПО 223 ФЗ заключено 65 шт. с объемом НМЦ 329 742 429,90 ? за 1 ГОД ПО 223ФЗ заключено 8  27 411 095,15 ?</t>
  </si>
  <si>
    <t>Сообщение кредитора о намерении обратиться в суд с заявлением о банкротстве от 26.10.2022</t>
  </si>
  <si>
    <t>"223 за 3 года", ".", "портфель 51", "fk1", "Кредитный портфель_01.11", "корп 1", "06.2022_ФинХД", "все клиенты с выручкой от 1,8 млрд до бесконечности", "ФК клиенты с выручкой от 230 до бесконечности", "клиенты от 100 млн", "поставщики маркер"</t>
  </si>
  <si>
    <t>Кредитный портфель_01.1496</t>
  </si>
  <si>
    <t>"223 за 3 года", ".", "fk1", "Кредитный портфель_01.11"</t>
  </si>
  <si>
    <t>20.14.32.123 Эфиры уксусной кислоты сложные
20.14.22.113 Спирт изопропиловый (пропан-2-ол)
20.14.12.141 Толуол нефтяной</t>
  </si>
  <si>
    <t>"223 за 3 года", "кл фт агент бг 04.22", ".", "fk1", "все клиенты с выручкой от 1,8 млрд до бесконечности",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"Участники клиринга"</t>
  </si>
  <si>
    <t>10.61.21.113 Мука пшеничная хлебопекарная высшего сорта
10.61.31.110 Крупа из пшеницы
10.61.21.114 Мука пшеничная хлебопекарная первого сорта
10.91.10.186 Комбикорма для сельскохозяйственной птицы</t>
  </si>
  <si>
    <t>"223 за 3 года", ".", "fk1", "производители", "это заказчик", "поставщики маркер"</t>
  </si>
  <si>
    <t>2 043</t>
  </si>
  <si>
    <t>71.12 Услуги в области инженерно-технического проектирования и связанные технические консультативные услуги
41.20.40.900 Работы строительные по возведению нежилых зданий и сооружений прочие, не включенные в другие группировки
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71.12.19.100 Услуги по инженерно-техническому проектированию прочих объектов, кроме объектов культурного наследия</t>
  </si>
  <si>
    <t>2 781</t>
  </si>
  <si>
    <t>За весь период компания заключила  7 контрактов на сумму  27 675 843 134,32 ? За весь период заходили в конкурсы  2 раз на общую сумму обеспеченных контрактов с НМЦ 9 717 654 148,16 ? с БГУ  422 506 702,10 ? с БГИ 845 013 404,20 ? За 3 ГОДА по 44ФЗ заключено 2 шт. с объемом НМЦ  4 254 998 761,91 ? с БГИ 3 929 562,10 ? с БГГО 93 638,80 ? с авансированием до 299 317 409,60 ? с комиссией банку 24 626 625,45 ? с кв 214 251,64 ?</t>
  </si>
  <si>
    <t>"44 за 3 года", ".", "рейтинг поставщиков в маркере по бг", "fk1", "Кредитный портфель_01.11", "корп 1", "06.2022_ФинХД", "все клиенты с выручкой от 1,8 млрд до бесконечности", "клиенты от 100 млн", "Обороты по клиентам по кварталам (2022г)", "рейтинг по нмц маркер", "поставщики маркер"</t>
  </si>
  <si>
    <t>46 Услуги по оптовой торговле, кроме оптовой торговли автотранспортными средствами и мотоциклами
32 Изделия готовые прочие</t>
  </si>
  <si>
    <t>За весь период компания заключила  2 контрактов на сумму  56 539 835 350,00 ?</t>
  </si>
  <si>
    <t>"поставщики маркер", "свод фт", ".", "УПП на 2 номер", "fk1", "кредиты фт", "клиенты управления по БГ без открытых счетов", "Банкроты ФБ 28.04.2023", "06.2022_ФинХД", "АИЛ портфель", "Пункт 3 09.01.23", "лимит сит по кредитам", "все клиенты с выручкой от 1,8 млрд до бесконечности", "филиал бизнес 22.11", "рейтинг по нмц маркер", "это заказчик", "на фт заводил Бесков"</t>
  </si>
  <si>
    <t>52.29.19.110 Услуги по экспедированию грузов
49.20.1 Услуги железнодорожного транспорта по перевозке грузов</t>
  </si>
  <si>
    <t>За весь период компания заключила  2 контрактов на сумму  2 165 939 493,00 ?</t>
  </si>
  <si>
    <t>за 1 ГОД ПО 223ФЗ заключено 2  5 963 644,80 ?</t>
  </si>
  <si>
    <t>28.13.11.110 Насосы топливные
28.22.15 Автопогрузчики с вилочным захватом, прочие погрузчики; тягачи, используемые на платформах железнодорожных станций
28.22.19 Части грузоподъемного и погрузочно-разгрузочного оборудования
28.22.20 Ковши, черпаки, грейферы и захваты для подъемных кранов, экскаваторов и аналогичного оборудования
28.92.29.000 Автомобили-самосвалы, предназначенные для использования в условиях бездорожья
28.30.86.130 Оборудование для лесного хозяйства, не включенное в другие группировки
33.12.15 Услуги по ремонту и техническому обслуживанию подъемно-транспортного оборудования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45.11 Услуги по торговле легковыми автомобилями и грузовыми автомобилями малой грузоподъемности
45.31.12.000 Услуги по оптовой торговле прочими автомобильными деталями, узлами и принадлежностями ****</t>
  </si>
  <si>
    <t>За весь период компания заключила  7 контрактов на сумму  4 213 746 180,81 ? За весь период заходили в конкурсы  16 раз на общую сумму обеспеченных контрактов с НМЦ 2 798 653 024,57 ? с БГУ  101 129 810,12 ? с БГИ 452 191 834,64 ? За 3 ГОДА по 44ФЗ заключено 26 шт. с объемом НМЦ  835 730 989,37 ? с БГИ 82 551 370,54 ? с БГГО 8 721 843,00 ? с авансированием до 0,00 ? с комиссией банку 2 442 537,29 ? с кв 21 250,07 ? ЗА 1 ГОД по 44ФЗ заключено 11 шт. c объемом НМЦ 279 113 605,08 ? с БГИ 25 414 745,58 ? с БГГО 3 335 061,00 ? с авансированием до  0,00 ? с комиссией банку  987 971,33 ? с кв 8 595,35 ? ЗА 3 ГОДА ПО 223 ФЗ заключено 52 шт. с объемом НМЦ 203 776 014,94 ? за 1 ГОД ПО 223ФЗ заключено 16  36 467 354,24 ?</t>
  </si>
  <si>
    <t>"223 за 3 года", ".", "рейтинг поставщиков в маркере по бг", "портфель 31.10.2021_10 тыс_проверка", "ушедшие", "все клиенты с выручкой от 1,8 млрд до бесконечности", "223 фз контракты 20+", "44 фз с с БГ от 10 млн", "производители", "рейтинг по нмц маркер", "поставщики маркер", "44 за 3 года"</t>
  </si>
  <si>
    <t>42.91.20.140 Работы дноуглубительные, работы по удалению скальных пород и илистых отложений и прочие строительные гидротехнические работы
52.10.12.110 Услуги по хранению и складированию нефти и продуктов ее переработки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52.10.19.900 Услуги по складированию и хранению прочие, не включенные в другие группировки
41.20.10.110 Здания жилые общего назначения
19.20.21.310 Топливо дизельное летнее
50.40.19.900 Услуги по перевозке внутренним водным транспортом прочих грузов, не включенные в другие группировки
52.22.11.000 Услуги по эксплуатации портов и водных путей (кроме обработки грузов) в морских и прибрежных водах
19.20.21.145 Бензин автомобильный с октановым числом более 98 по исследовательскому методу экологического класса К5
50.40.12.000 Услуги по перевозке нефти внутренним водным транспортом с помощью судов-танкеров ****</t>
  </si>
  <si>
    <t>1 941</t>
  </si>
  <si>
    <t>За весь период компания заключила  9 контрактов на сумму  1 847 503 775,38 ? За весь период заходили в конкурсы  8 раз на общую сумму обеспеченных контрактов с НМЦ 607 511 783,15 ? с БГУ  22 230 875,15 ? с БГИ 238 956 032,81 ? За 3 ГОДА по 44ФЗ заключено 55 шт. с объемом НМЦ  412 913 289,50 ? с БГИ 97 171 972,46 ? с БГГО 1 135 703,73 ? с авансированием до 81 101 263,13 ? с комиссией банку 3 309 116,64 ? с кв 28 789,31 ? ЗА 1 ГОД по 44ФЗ заключено 13 шт. c объемом НМЦ 233 651 918,92 ? с БГИ 62 468 560,25 ? с БГГО 155 598,00 ? с авансированием до  54 555 997,76 ? с комиссией банку  2 099 114,43 ? с кв 18 262,30 ? ЗА 3 ГОДА ПО 223 ФЗ заключено 23 шт. с объемом НМЦ 182 026 257,48 ? за 1 ГОД ПО 223ФЗ заключено 10  52 668 270,83 ?</t>
  </si>
  <si>
    <t>"223 за 3 года", ".", "рейтинг поставщиков в маркере по бг", "Агентские отказ из-за непред-я док-ов", "все клиенты с выручкой от 1,8 млрд до бесконечности", "Одобренные но не выданные 1 полугодие 2021", "223 фз контракты 20+", "рейтинг заказчиков маркер", "рейтинг по нмц маркер", "это заказчик", "поставщики маркер", "44 за 3 года"</t>
  </si>
  <si>
    <t>1 211</t>
  </si>
  <si>
    <t>"поставщики маркер", ".", "райф", "ушедшие", "все клиенты с выручкой от 1,8 млрд до бесконечности", "рейтинг по нмц маркер"</t>
  </si>
  <si>
    <t>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82.30.11.000 Услуги по организации конференций
52.21.24.000 Услуги стоянок для транспортных средств
68.20.12.000 Услуги по сдаче в аренду (внаем) собственных или арендованных нежилых помещений</t>
  </si>
  <si>
    <t>"поставщики маркер", ".", "ИНН_договоры_октябрь_", "все клиенты с выручкой от 1,8 млрд до бесконечности"</t>
  </si>
  <si>
    <t>43.21.10.220 Работы по монтажу систем освещения и сигнализации автомобильных дорог, аэропортов и портов
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35.11.10.112 Электроэнергия, произведенная теплоэлектроцентралями (ТЭЦ) общего назначения
33.12.29.900 Услуги по ремонту и техническому обслуживанию прочего оборудования специального назначения, не включенные в другие группировки
35.12.10.120 Услуги по технологическому присоединению к распределительным электросетям
35.13.10.000 Услуги по распределению электроэнергии
43.21.10 Работы электромонтажные
42.22.11.110 Линии (кабели) электропередачи высокого напряжения ****</t>
  </si>
  <si>
    <t>За весь период контрактов 6 шт. с общей суммой НМЦ 344 625 964,12 ? с БГУ 35943496,2 и БГИ 71 886 992,48 ?</t>
  </si>
  <si>
    <t>"223 за 3 года", ".", "рейтинг поставщиков в маркере по бг", "Конкурсы 100+ (Восстановленный)", "все клиенты с выручкой от 1,8 млрд до бесконечности", "рейтинг заказчиков маркер", "производители", "рейтинг по нмц маркер", "это заказчик", "поставщики маркер", "44 за 3 года"</t>
  </si>
  <si>
    <t>71.12.2 Услуги по руководству строительными проектами
32.9 Изделия готовые, не включенные в другие группировки
23.1 Стекло и изделия из стекла
25.99.29.190 Изделия прочие из недрагоценных металлов, не включенные в другие группировки
25.12 Двери и окна из металлов
25.12.10.000 Двери, окна и их рамы и пороги для дверей из металлов</t>
  </si>
  <si>
    <t>За весь период компания заключила  1 контрактов на сумму  470 357 508,43 ?</t>
  </si>
  <si>
    <t>Сообщения о принятии решения о реорганизации от 23.08.2019</t>
  </si>
  <si>
    <t>41.20.40.900 Работы строительные по возведению нежилых зданий и сооружений прочие, не включенные в другие группировки
41.20.30.100 Работы по возведению жилых зданий, кроме работ по сохранению и воссозданию объектов культурного наследия
41.20.20.180 Здания предприятий здравоохранения, науки и научного обслуживания, образования, культуры и искусства</t>
  </si>
  <si>
    <t>За весь период компания заключила  6 контрактов на сумму  16 445 026 302,85 ? За весь период заходили в конкурсы  12 раз на общую сумму обеспеченных контрактов с НМЦ 17 461 322 087,97 ? с БГУ  211 712 386,90 ? с БГИ 1 327 305 241,22 ? За 3 ГОДА по 44ФЗ заключено 3 шт. с объемом НМЦ  7 024 785 980,46 ? с БГИ 442 880 318,96 ? с БГГО 32 111 989,61 ? с авансированием до 432 947 068,90 ? с комиссией банку 19 101 095,57 ? с кв 166 179,53 ? ЗА 1 ГОД по 44ФЗ заключено 1 шт. c объемом НМЦ 6 208 281 285,00 ? с БГИ 310 414 064,25 ? с БГГО 31 041 406,00 ? с авансированием до  300 480 814,19 ? с комиссией банку  19 101 095,57 ? с кв 166 179,53 ?</t>
  </si>
  <si>
    <t>42.13.10.110 Мосты и путепроводы из любых материалов для всех типов сухопутного транспорта и для пешеходов
42.99.19.190 Сооружения гражданские прочие, не включенные в другие группировки
08.12 Гравий, песок, глины и каолин
08.12.11.130 Пески строительные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t>
  </si>
  <si>
    <t>За весь период компания заключила  13 контрактов на сумму  5 570 132 583,07 ? За весь период заходили в конкурсы  3 раз на общую сумму обеспеченных контрактов с НМЦ 299 226 613,44 ? с БГУ  15 472 190,70 ? с БГИ 78 476 593,40 ?</t>
  </si>
  <si>
    <t>35.13.10.000 Услуги по распределению электроэнергии</t>
  </si>
  <si>
    <t>Пустые_Клиенты</t>
  </si>
  <si>
    <t>Сообщения о принятии решения о реорганизации от 15.07.2016</t>
  </si>
  <si>
    <t>"все клиенты с выручкой от 1,8 млрд до бесконечности", ".", "fk1", "лимит сит по кредитам", "Пустые_Клиенты"</t>
  </si>
  <si>
    <t>68.10.14.000 Услуги по покупке и продаже нежилых зданий и занимаемых ими земельных участков
68.2 Услуги по сдаче в аренду (внаем) собственного или арендованного недвижимого имущества
41.20.10.110 Здания жилые общего назначения
68.10.11.000 Услуги по покупке и продаже жилых зданий и занимаемых ими земельных участков
68.20.11.000 Услуги по сдаче в аренду (внаем) собственных или арендованных жилых помещений
68.31.11.110 Услуги посреднические при купле-продаже жилых зданий и занимаемых ими земельных участков за вознаграждение или на договорной основе</t>
  </si>
  <si>
    <t>За весь период компания заключила  42 контрактов на сумму  17 637 514 157,16 ? За весь период заходили в конкурсы  95 раз на общую сумму обеспеченных контрактов с НМЦ 15 964 584 698,32 ? с БГУ  206 186 910,27 ? с БГИ 25 051 657 430,85 ? За 3 ГОДА по 44ФЗ заключено 45 шт. с объемом НМЦ  1 509 470 992,63 ? с БГИ 424 841 552,34 ? с БГГО 0,00 ? с авансированием до 365 131 488,96 ? с комиссией банку 16 811 685,81 ? с кв 146 261,67 ? ЗА 1 ГОД по 44ФЗ заключено 20 шт. c объемом НМЦ 720 731 229,66 ? с БГИ 36 036 561,52 ? с БГГО 0,00 ? с авансированием до  0,00 ? с комиссией банку  747 460,35 ? с кв 6 502,91 ?</t>
  </si>
  <si>
    <t>Сообщения о принятии решения о реорганизации от 11.05.2016</t>
  </si>
  <si>
    <t>Сообщения о принятии решения о реорганизации от 21.12.2021</t>
  </si>
  <si>
    <t>41.10.10.000 Документация проектная для строительства</t>
  </si>
  <si>
    <t>За весь период компания заключила  9 контрактов на сумму  16 467 439 354,62 ? За весь период заходили в конкурсы  13 раз на общую сумму обеспеченных контрактов с НМЦ 783 644 347,93 ? с БГУ  68 229 557,60 ? с БГИ 227 796 736,80 ?</t>
  </si>
  <si>
    <t>"223 за 3 года", ".", "рейтинг поставщиков в маркере по бг", "fk1", "просрочка на 01.01.2023 г.", "Запрос в ЮД_просрочка на 01.01.2023", "все клиенты с выручкой от 1,8 млрд до бесконечности", "рейтинг заказчиков маркер", "рейтинг по нмц маркер", "поставщики маркер"</t>
  </si>
  <si>
    <t>41.20.10.120 Здания общежитий
42.21.22.110 Работы строительные по прокладке местных трубопроводов воды или сточных вод</t>
  </si>
  <si>
    <t>1 219</t>
  </si>
  <si>
    <t>За весь период компания заключила  8 контрактов на сумму  4 349 332 639,36 ? За весь период заходили в конкурсы  10 раз на общую сумму обеспеченных контрактов с НМЦ 3 482 257 111,46 ? с БГУ  292 274 414,01 ? с БГИ 919 233 134,53 ?                                 за 1 ГОД ПО 223ФЗ заключено 1  4 787 040,00 ?</t>
  </si>
  <si>
    <t>Сообщения о принятии решения о реорганизации от 08.04.2013</t>
  </si>
  <si>
    <t>41.20.40.900 Работы строительные по возведению нежилых зданий и сооружений прочие, не включенные в другие группировки
43.11.10.000 Работы по сносу зданий и сооружений
43.99.40.190 Работы бетонные и железобетонные прочие, не включенные в другие группировки</t>
  </si>
  <si>
    <t>За весь период контрактов 3 шт. на общую сумму НМЦ 1 374 614 275,99 ?</t>
  </si>
  <si>
    <t>"Участники клиринга", ".", "выдали", "fk1", "ПОС на 01.02.2023", "ПОС на 03.04.2023", "06.2022_ФинХД", "все клиенты с выручкой от 1,8 млрд до бесконечности", "Обороты по клиентам по кварталам (2022г)"</t>
  </si>
  <si>
    <t>24.51.20.110 Трубы чугунные</t>
  </si>
  <si>
    <t>1 390</t>
  </si>
  <si>
    <t>Сообщение кредитора о намерении обратиться в суд с заявлением о банкротстве от 16.11.2021</t>
  </si>
  <si>
    <t>"в crm за Кашиным", "свод фт", ".", "на фт заводил Кашин", "crm управления"</t>
  </si>
  <si>
    <t>11.0 Напитки
11.01 Напитки алкогольные дистиллированные и ректификованные
11.02.11 Вина игристые и газированные, в том числе из свежего винограда
11.01.10.160 Бренди
11.01.10.180 Виски
11.01.10.225 Джины крепостью свыше 25 %
11.02.11.114 Вино игристое (шампанское)
11.01.10.111 Водка
11.02.12.119 Вина прочие
11.01.10.214 Ликеры крепостью до 25 % включительно ****</t>
  </si>
  <si>
    <t>Кредитный портфель_01.1520</t>
  </si>
  <si>
    <t>"клиенты от 100 млн", ".", "fk1", "Кредитный портфель_01.11", "корп 1", "06.2022_ФинХД", "все клиенты с выручкой от 1,8 млрд до бесконечности", "ФК клиенты с выручкой от 230 до бесконечности"</t>
  </si>
  <si>
    <t>37.00.11.110 Услуги по водоотведению сточных вод
68.20 Услуги по сдаче в аренду (внаем) собственного или арендованного недвижимого имущества
35.13.10.000 Услуги по распределению электроэнергии
35.30.11.120 Энергия тепловая, отпущенная котельными
35.30.12.130 Услуги по транспортированию горячей воды
93.19.11 Услуги по содействию в подготовке спортивных и развлекательных мероприятий
35.30.11.111 Энергия тепловая, отпущенная тепловыми электроцентралями (ТЭЦ)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37.00.11.120 Услуги по транспортированию сточных вод ****</t>
  </si>
  <si>
    <t>Заказчик разыгравший 217 конкурсов на сумму  132 883 824 056,41 ?</t>
  </si>
  <si>
    <t>1 832</t>
  </si>
  <si>
    <t>За весь период контрактов 2 шт. на общую сумму НМЦ 1 283 690 919,43 ?</t>
  </si>
  <si>
    <t>29.10.41.111 Автомобили грузовые с дизельным двигателем, имеющие технически допустимую максимальную массу не более 3,5 т
68.10.14.000 Услуги по покупке и продаже нежилых зданий и занимаемых ими земельных участков
29.10.41.112 Автомобили грузовые с дизельным двигателем, имеющие технически допустимую максимальную массу свыше 3,5 т, но не более 12 т
29.10 Средства автотранспортные
29.10.59.160 Автомобили скорой медицинской помощи
29.10.41.120 Автосамосвалы с дизельным двигателем
29.10.41.122 Автосамосвалы с дизельным двигателем, имеющие технически допустимую максимальную массу свыше 3,5 т, но не более 12 т
29.10.42.111 Автомобили грузовые с бензиновым двигателем, имеющие технически допустимую максимальную массу не более 3,5 т
29.10.30.130 Автобусы, имеющие технически допустимую максимальную массу не более 5 т
29.10.22.000 Средства транспортные с двигателем с искровым зажиганием, с рабочим объемом цилиндров более 1500 см3, новые ****</t>
  </si>
  <si>
    <t>За весь период компания заключила  12 контрактов на сумму  1 060 743 274,22 ? За весь период заходили в конкурсы  24 раз на общую сумму обеспеченных контрактов с НМЦ 2 758 121 170,13 ? с БГУ  162 985 119,83 ? с БГИ 770 133 047,36 ?</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</si>
  <si>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29.10.23 Средства транспортные с поршневым двигателем внутреннего сгорания с воспламенением от сжатия (дизелем или полудизелем), новые
45.20.21.514 Услуги по установке дополнительного оборудования (сигнализация, радиоаппаратура, и т.п.)
29.10.24.000 Средства автотранспортные для перевозки людей прочие
29.10.30.112 Автобусы, предназначенные для перевозки только сидящих пассажиров, имеющие технически допустимую максимальную массу более 5 т
29.10.59.160 Автомобили скорой медицинской помощи
45.1 Услуги по торговле автотранспортными средствами
29.10.59.390 Средства автотранспортные специального назначения прочие, не включенные в другие группировки
29.20.10.000 Кузова для автотранспортных средств ****</t>
  </si>
  <si>
    <t>За весь период компания заключила  2 контрактов на сумму  1 556 394 760,03 ?                                         за 1 ГОД ПО 223ФЗ заключено 2  5 411 667,00 ?</t>
  </si>
  <si>
    <t>29.10.30.190 Средства автотранспортные пассажирские с числом мест для сидения не менее 10 прочие
45.11.23.000 Услуги по розничной торговле новыми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в специализированных магазинах
45.11.39.000 Услуги по розничной торговле легковыми автомобилями и грузовыми автомобилями малой грузоподъемности прочие, не включенные в другие группировки
30.99.1 Средства транспортные и оборудование прочие, не включенные в другие группировки
45.20.11.519 Прочие услуги по техническому обслуживанию и ремонту прочих автотранспортных средств, не включенные в другие группировки
29.10.4 Средства автотранспортные грузовые
29.10.41.112 Автомобили грузовые с дизельным двигателем, имеющие технически допустимую максимальную массу свыше 3,5 т, но не более 12 т
29.10.44.000 Шасси с установленными двигателями для автотранспортных средств
29.10.59 Средства автотранспортные специального назначения, не включенные в другие группировки
29.10.59.130 Средства транспортные для коммунального хозяйства и содержания дорог ****</t>
  </si>
  <si>
    <t>За весь период заходили в конкурсы  12 раз на общую сумму обеспеченных контрактов с НМЦ 1 037 407 573,23 ? с БГУ  8 013 994,34 ? с БГИ 140 349 965,82 ? За 3 ГОДА по 44ФЗ заключено 18 шт. с объемом НМЦ  592 156 078,45 ? с БГИ 54 136 856,76 ? с БГГО 19 451 186,86 ? с авансированием до 615 000,00 ? с комиссией банку 450 174,56 ? с кв 3 916,52 ?               ЗА 3 ГОДА ПО 223 ФЗ заключено 12 шт. с объемом НМЦ 70 932 968,34 ?</t>
  </si>
  <si>
    <t>28.29 Машины и оборудование общего назначения прочие, не включенные в другие группировки
26.30 Оборудование коммуникационное
26.40 Техника бытовая электронная</t>
  </si>
  <si>
    <t>19.20.21.100 Бензин автомобильный
64.19.30 Услуги по посредничеству в денежно-кредитной сфере прочие, не включенные в другие группировки
59.12.15.000 Услуги в области анимации
68.20.12.000 Услуги по сдаче в аренду (внаем) собственных или арендованных нежилых помещений
19.20.21.111 Бензин автомобильный с октановым числом не менее 80, но не более 92 по исследовательскому методу вне классов</t>
  </si>
  <si>
    <t>За весь период компания заключила  6 контрактов на сумму  90 662 157 282,93 ?</t>
  </si>
  <si>
    <t>35.30.11.120 Энергия тепловая, отпущенная котельными
35.30.12.130 Услуги по транспортированию горячей воды
35.30.11.111 Энергия тепловая, отпущенная тепловыми электроцентралями (ТЭЦ)
35.30.11.110 Энергия тепловая, отпущенная электростанциями</t>
  </si>
  <si>
    <t>За весь период контрактов 2 шт. на общую сумму НМЦ 3 178 250 766,25 ?</t>
  </si>
  <si>
    <t>19.20.25.110 Топливо для реактивных двигателей летательных аппаратов с дозвуковой скоростью полета
19.20.25.113 Топливо для реактивных двигателей летательных аппаратов с дозвуковой скоростью полета марки РТ
19.20.25 Топливо реактивное керосинового типа
19.20.25.112 Топливо для реактивных двигателей летательных аппаратов с дозвуковой скоростью полета марки ТС-1
19.20.25.120 Топливо для реактивных двигателей летательных аппаратов со сверхзвуковой скоростью полета
19.20 Нефтепродукты</t>
  </si>
  <si>
    <t>За весь период компания заключила  7 контрактов на сумму  4 615 651 202,20 ?                                     ЗА 3 ГОДА ПО 223 ФЗ заключено 13 шт. с объемом НМЦ 1 512 008 969,74 ?</t>
  </si>
  <si>
    <t>Сообщения о принятии решения о реорганизации от 27.07.2021</t>
  </si>
  <si>
    <t>19.20.21.200 Бензин авиационный
19.20.21 Топливо моторное, включая автомобильный и авиационный бензин
19.20.21.100 Бензин автомобильный
19.20.25.113 Топливо для реактивных двигателей летательных аппаратов с дозвуковой скоростью полета марки РТ
19.20.24.110 Керосины технические
19.20.25 Топливо реактивное керосинового типа
19.20.25.112 Топливо для реактивных двигателей летательных аппаратов с дозвуковой скоростью полета марки ТС-1
19.20 Нефтепродукты</t>
  </si>
  <si>
    <t>За весь период компания заключила  9 контрактов на сумму  437 862 812,04 ? За весь период заходили в конкурсы  11 раз на общую сумму обеспеченных контрактов с НМЦ 934 096 671,41 ? с БГУ  9 694 939,32 ? с БГИ 96 949 393,18 ?                             ЗА 3 ГОДА ПО 223 ФЗ заключено 5 шт. с объемом НМЦ 1 542 999 030,00 ?</t>
  </si>
  <si>
    <t>Сообщения о принятии решения о реорганизации от 15.03.2021</t>
  </si>
  <si>
    <t>36.00.12 Вода непитьевая</t>
  </si>
  <si>
    <t>За весь период контрактов 1 шт. на общую сумму НМЦ 649 804 279,93 ?</t>
  </si>
  <si>
    <t>Сообщения о принятии решения о реорганизации от 09.06.2021</t>
  </si>
  <si>
    <t>37.00.11.110 Услуги по водоотведению сточных вод
36.00.20.130 Услуги по транспортированию и распределению воды по водопроводам
36.00.11.000 Вода питьевая</t>
  </si>
  <si>
    <t>1 255</t>
  </si>
  <si>
    <t>За весь период контрактов 2 шт. на общую сумму НМЦ 604 876 188,59 ?</t>
  </si>
  <si>
    <t>06.10.10.100 Нефтегазоводяная смесь (скважинная жидкость)
68.20.12.000 Услуги по сдаче в аренду (внаем) собственных или арендованных нежилых помещений
19.20.21.330 Топливо дизельное арктическое
06.20.10.120 Газ нефтяной попутный (газ горючий природный нефтяных месторождений)</t>
  </si>
  <si>
    <t>За весь период контрактов 4 шт. на общую сумму НМЦ 5 056 414 268,24 ?</t>
  </si>
  <si>
    <t>Сообщения о принятии решения о реорганизации от 16.09.2022</t>
  </si>
  <si>
    <t>"223 за 3 года", ".", "лимит сит по кредитам", "Пустые_Клиенты", "все клиенты с выручкой от 1,8 млрд до бесконечности", "Участники клиринга", "производители", "рейтинг по нмц маркер", "это заказчик", "поставщики маркер"</t>
  </si>
  <si>
    <t>26.20.16.150 Сканеры
26.20.18.000 Устройства периферийные с двумя или более функциями: печать данных, копирование, сканирование, прием и передача факсимильных сообщений
31.01.12.110 Столы письменные деревянные для офисов, административных помещений
31.01.12.131 Шкафы для одежды деревянные
77.33.11.190 Услуги по аренде прочих офисных машин и оборудования
71.12.20.110 Услуги заказчика-застройщика, генерального подрядчика
31.01.12.190 Мебель офисная деревянная прочая
26.20.14.000 Машины вычислительные электронные цифровые, поставляемые в виде систем для автоматической обработки данных
26.20.16.120 Принтеры
26.20.16.130 Графопостроители ****</t>
  </si>
  <si>
    <t>2 910</t>
  </si>
  <si>
    <t>за 1 ГОД ПО 223ФЗ заключено 2  5 256 995,40 ?</t>
  </si>
  <si>
    <t>Сообщения о принятии решения о реорганизации от 12.04.2021</t>
  </si>
  <si>
    <t>69.10.19 Услуги юридические прочие
06.20.10.120 Газ нефтяной попутный (газ горючий природный нефтяных месторождений)</t>
  </si>
  <si>
    <t>49.50.11 Услуги по транспортировке по трубопроводам нефти и нефтепродуктов
46.71.13.130 Услуги по оптовой торговле природным (естественным) газом
41.20.10.110 Здания жилые общего назначения
09.10 Услуги по добыче нефти и природного газа
68.20 Услуги по сдаче в аренду (внаем) собственного или арендованного недвижимого имущества
46.71.13.110 Услуги по оптовой торговле нефтью
68.10.11.000 Услуги по покупке и продаже жилых зданий и занимаемых ими земельных участков
68.20.12.000 Услуги по сдаче в аренду (внаем) собственных или арендованных нежилых помещений
19.20.21.330 Топливо дизельное арктическое
06.20.10.120 Газ нефтяной попутный (газ горючий природный нефтяных месторождений)</t>
  </si>
  <si>
    <t>За весь период контрактов 16 шт. на общую сумму НМЦ 8 069 135 352,61 ?</t>
  </si>
  <si>
    <t>Сообщения о принятии решения о реорганизации от 29.07.2021</t>
  </si>
  <si>
    <t>"223 за 3 года", ".", "Конкурсы 100+ (Восстановленный)", "все клиенты с выручкой от 1,8 млрд до бесконечности", "223 фз контракты 20+", "рейтинг заказчиков маркер", "рейтинг по нмц маркер", "это заказчик", "поставщики маркер", "44 за 3 года"</t>
  </si>
  <si>
    <t>35.30.11.120 Энергия тепловая, отпущенная котельными
35.30.11.111 Энергия тепловая, отпущенная тепловыми электроцентралями (ТЭЦ)
68.20.12.000 Услуги по сдаче в аренду (внаем) собственных или арендованных нежилых помещений
35.30.11.110 Энергия тепловая, отпущенная электростанциями
36.00.20.130 Услуги по транспортированию и распределению воды по водопроводам
36.00.11.000 Вода питьевая</t>
  </si>
  <si>
    <t>За 3 года по 223ФЗ заключено  6 шт контрактов на сумму 265 330 629,00 ?</t>
  </si>
  <si>
    <t>"223 за 3 года", ".", "беники", "все клиенты с выручкой от 1,8 млрд до бесконечности", "223 фз контракты 20+", "рейтинг заказчиков маркер", "рейтинг по нмц маркер", "это заказчик", "поставщики маркер"</t>
  </si>
  <si>
    <t>19.20.21.400 Топливо судовое</t>
  </si>
  <si>
    <t>За весь период компания заключила  1 контрактов на сумму  723 035 913,87 ?</t>
  </si>
  <si>
    <t>71.20.11.190 Услуги в области испытаний и анализа состава и чистоты прочих веществ</t>
  </si>
  <si>
    <t>За весь период компания заключила  7 контрактов на сумму  455 171 683,61 ?</t>
  </si>
  <si>
    <t>37.00.11.110 Услуги по водоотведению сточных вод
36.00.20.110 Услуги по очистке и подготовке воды для водоснабжения
37.00.20.000 Отстой сточных вод</t>
  </si>
  <si>
    <t>За весь период компания заключила  5 контрактов на сумму  4 270 853 832,65 ?                                     ЗА 3 ГОДА ПО 223 ФЗ заключено 2 шт. с объемом НМЦ 20 023 672,68 ? за 1 ГОД ПО 223ФЗ заключено 4  12 064 525,26 ?</t>
  </si>
  <si>
    <t>49.50.12.110 Услуги по транспортировке по трубопроводам природного газа
33.20.39.900 Услуги по монтажу прочего оборудования специального назначения, не включенные в другие группировки</t>
  </si>
  <si>
    <t>ЗА 3 ГОДА ПО 223 ФЗ заключено 6 шт. с объемом НМЦ 239 835 832,63 ? за 1 ГОД ПО 223ФЗ заключено 1  92 921 471,00 ?</t>
  </si>
  <si>
    <t>"223 за 3 года", ".", "fk1", "все клиенты с выручкой от 1,8 млрд до бесконечности", "223 фз контракты 20+", "поставщики маркер"</t>
  </si>
  <si>
    <t>19.20.21 Топливо моторное, включая автомобильный и авиационный бензин
19.20.21.100 Бензин автомобильный
19.20.21.125 Бензин автомобильный с октановым числом более 92, но не более 95 по исследовательскому методу экологического класса К5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19.20.21.300 Топливо дизельное
19.20.21.325 Топливо дизельное зимнее экологического класса К5
19.20.21.311 Топливо дизельное летнее вне классов</t>
  </si>
  <si>
    <t>За весь период компания заключила  61 контрактов на сумму  445 889 013 494,45 ? За весь период заходили в конкурсы  44 раз на общую сумму обеспеченных контрактов с НМЦ 18 611 896 430,91 ? с БГУ  1 258 077 873,65 ? с БГИ 8 083 321 008,51 ?</t>
  </si>
  <si>
    <t>19.20.21 Топливо моторное, включая автомобильный и авиационный бензин
19.20.21.340 Топливо дизельное межсезонное
19.20.21.300 Топливо дизельное
19.20.21.325 Топливо дизельное зимнее экологического класса К5
19.20.28.110 Мазут топочный
19.20.21.311 Топливо дизельное летнее вне классов</t>
  </si>
  <si>
    <t>За весь период компания заключила  23 контрактов на сумму  30 290 254 557,48 ? За весь период заходили в конкурсы  1 раз на общую сумму обеспеченных контрактов с НМЦ 0,00 ? с БГУ  26 000 000,00 ? с БГИ 520 000 000,00 ?                             ЗА 3 ГОДА ПО 223 ФЗ заключено 16 шт. с объемом НМЦ 59 256 144 792,00 ? за 1 ГОД ПО 223ФЗ заключено 18  63 583 236 792,00 ?</t>
  </si>
  <si>
    <t>"223 за 3 года", ".", "рейтинг поставщиков в маркере по бг", "Конкурсы 100+ (Восстановленный)", "все клиенты с выручкой от 1,8 млрд до бесконечности", "Участники клиринга", "223 фз контракты 20+", "производители", "рейтинг по нмц маркер", "поставщики маркер"</t>
  </si>
  <si>
    <t>35.11.10.112 Электроэнергия, произведенная теплоэлектроцентралями (ТЭЦ) общего назначения
35.30.11.120 Энергия тепловая, отпущенная котельными
35.30.12.130 Услуги по транспортированию горячей воды
35.30.11.111 Энергия тепловая, отпущенная тепловыми электроцентралями (ТЭЦ)
35.30.11.119 Энергия тепловая, отпущенная прочими электростанциями</t>
  </si>
  <si>
    <t>ЗА 3 ГОДА ПО 223 ФЗ заключено 5 шт. с объемом НМЦ 39 153 203,82 ? за 1 ГОД ПО 223ФЗ заключено 5  51 189 242,00 ?</t>
  </si>
  <si>
    <t>"223 за 3 года", ".", "все клиенты с выручкой от 1,8 млрд до бесконечности", "223 фз контракты 20+", "рейтинг заказчиков маркер", "это заказчик", "поставщики маркер"</t>
  </si>
  <si>
    <t>19.20.21.341 Топливо дизельное межсезонное вне классов
19.20.21.321 Топливо дизельное зимнее вне классов
19.20.21 Топливо моторное, включая автомобильный и авиационный бензин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19.20.21.120 Бензин автомобильный с октановым числом более 92, но не более 95 по исследовательскому методу
19.20.21.315 Топливо дизельное летнее экологического класса К5
19.20.2 Топливо жидкое и газообразное; масла смазочные
19.20.21.300 Топливо дизельное
19.20.21.325 Топливо дизельное зимнее экологического класса К5 ****</t>
  </si>
  <si>
    <t>За весь период компания заключила  39 контрактов на сумму  9 094 534 518,81 ? За весь период заходили в конкурсы  2 раз на общую сумму обеспеченных контрактов с НМЦ 1 041 133 126,69 ? с БГУ  35 112 970,53 ? с БГИ 137 548 111,22 ?                                 за 1 ГОД ПО 223ФЗ заключено 1  83 400 000,00 ?</t>
  </si>
  <si>
    <t>"223 за 3 года", ".", "рейтинг поставщиков в маркере по бг", "все клиенты с выручкой от 1,8 млрд до бесконечности", "Участники клиринга", "223 фз контракты 20+", "производители", "рейтинг по нмц маркер", "поставщики маркер"</t>
  </si>
  <si>
    <t>35.11.10.112 Электроэнергия, произведенная теплоэлектроцентралями (ТЭЦ) общего назначения
35.30.12.110 Услуги по приготовлению воды на нужды горячего водоснабжения
82.11.10.000 Услуги в области административного обслуживания комплексные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33.12.11.000 Услуги по ремонту и техническому обслуживанию двигателей и турбин, кроме авиационных, автомобильных и мотоциклетных двигателей
35.30.11.111 Энергия тепловая, отпущенная тепловыми электроцентралями (ТЭЦ)
35.30.11.110 Энергия тепловая, отпущенная электростанциями
35.30.11.119 Энергия тепловая, отпущенная прочими электростанциями</t>
  </si>
  <si>
    <t>ЗА 3 ГОДА ПО 223 ФЗ заключено 7 шт. с объемом НМЦ 28 781 449,05 ? за 1 ГОД ПО 223ФЗ заключено 6  23 659 689,00 ?</t>
  </si>
  <si>
    <t>85.42.19.900 Услуги по профессиональному обучению прочие
62.02.30 Услуги по технической поддержке информационных технологий
62.01.29 Оригиналы программного обеспечения прочие
63.11 Услуги по обработке данных, размещению и взаимосвязанные услуги
61.10.42.000 Услуги по узкополосному доступу к информационно-коммуникационной сети Интернет по проводным сетям
63.11.19.000 Услуги прочие по размещению и предоставлению инфраструктуры информационных технологий
74.90.20.140 Услуги (работы) в области защиты информации</t>
  </si>
  <si>
    <t>77.34.10.000 Услуги по аренде и лизингу водных транспортных средств</t>
  </si>
  <si>
    <t>За весь период контрактов 6 шт. на общую сумму НМЦ 16 404 975 790,96 ?</t>
  </si>
  <si>
    <t>ЗА 3 ГОДА ПО 223 ФЗ заключено 1 шт. с объемом НМЦ 74 247 145,91 ? за 1 ГОД ПО 223ФЗ заключено 1  74 247 145,91 ?</t>
  </si>
  <si>
    <t>"223 за 3 года", ".", "Участники клиринга", "223 фз контракты 20+", "рейтинг по нмц маркер", "это заказчик", "поставщики маркер"</t>
  </si>
  <si>
    <t>19.20.21.341 Топливо дизельное межсезонное вне классов
19.20.21.321 Топливо дизельное зимнее вне классов
19.20.21 Топливо моторное, включая автомобильный и авиационный бензин
19.20 Нефтепродукты
19.20.21.311 Топливо дизельное летнее вне классов</t>
  </si>
  <si>
    <t>за 1 ГОД ПО 223ФЗ заключено 3  11 272 638,00 ?</t>
  </si>
  <si>
    <t>19.20.21.341 Топливо дизельное межсезонное вне классов
19.20.21.321 Топливо дизельное зимнее вне классов
19.20.21.125 Бензин автомобильный с октановым числом более 92, но не более 95 по исследовательскому методу экологического класса К5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19.20.21.300 Топливо дизельное
19.20.21.121 Бензин автомобильный с октановым числом более 92, но не более 95 по исследовательскому методу вне классов
19.20.21.311 Топливо дизельное летнее вне классов</t>
  </si>
  <si>
    <t>За весь период компания заключила  10 контрактов на сумму  17 388 268 646,92 ? За весь период заходили в конкурсы  14 раз на общую сумму обеспеченных контрактов с НМЦ 1 501 934 110,26 ? с БГУ  82 634 458,80 ? с БГИ 487 654 531,62 ?</t>
  </si>
  <si>
    <t>Сообщения о принятии решения о реорганизации от 13.12.2022</t>
  </si>
  <si>
    <t>"поставщики маркер", ".", "рейтинг поставщиков в маркере по бг", "все клиенты с выручкой от 1,8 млрд до бесконечности", "Участники клиринга", "производители", "рейтинг по нмц маркер", "это заказчик"</t>
  </si>
  <si>
    <t>01.61.10.290 Услуги, связанные с выращиванием сельскохозяйственных культур прочие, не включенные в другие группировки</t>
  </si>
  <si>
    <t>За 3 года по 223ФЗ заключено  10 шт контрактов на сумму 39 231 716,94 ?</t>
  </si>
  <si>
    <t>Сообщения о принятии решения о реорганизации от 04.04.2016</t>
  </si>
  <si>
    <t>"223 за 3 года", ".", "223 фз контракты 20+", "рейтинг заказчиков маркер", "это заказчик", "поставщики маркер"</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</si>
  <si>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35.14.10 Услуги по торговле электроэнергией
35.3 Услуги по снабжению паром и кондиционированию воздуха
35.13.10.000 Услуги по распределению электроэнергии
35.11.10.119 Электроэнергия, произведенная нетиповыми электростанциями общего назначения
35.12.10 Услуги по передаче электроэнергии и технологическому присоединению к распределительным электросетям
35.11.10.111 Электроэнергия, произведенная конденсационными электростанциями (КЭС) общего назначения
35.12.10.110 Услуги по передаче электроэнергии</t>
  </si>
  <si>
    <t>За весь период компания заключила  2 контрактов на сумму  1 135 311 908,45 ?</t>
  </si>
  <si>
    <t>Юридическое лицо находится в процессе реорганизации в форме присоединения к другому юридическому лицу от 23.01.2023, Сообщения о принятии решения о реорганизации от 20.01.2023</t>
  </si>
  <si>
    <t>37.00.11.110 Услуги по водоотведению сточных вод
35.11.10.112 Электроэнергия, произведенная теплоэлектроцентралями (ТЭЦ) общего назначения
35.30.11.120 Энергия тепловая, отпущенная котельными
35.30.11.111 Энергия тепловая, отпущенная тепловыми электроцентралями (ТЭЦ)
35.30.11.110 Энергия тепловая, отпущенная электростанциями
74.90.12.110 Услуги посреднические по организации покупки и продажи малых или средних коммерческих предприятий, включая профессиональную практику
35.12.10.110 Услуги по передаче электроэнергии
35.30.11.119 Энергия тепловая, отпущенная прочими электростанциями
36.00.11.000 Вода питьевая</t>
  </si>
  <si>
    <t>За весь период компания заключила  2 контрактов на сумму  954 436 267,50 ?                                     ЗА 3 ГОДА ПО 223 ФЗ заключено 14 шт. с объемом НМЦ 254 337 142,73 ? за 1 ГОД ПО 223ФЗ заключено 9  251 355 793,88 ?</t>
  </si>
  <si>
    <t>Юридическое лицо находится в процессе реорганизации в форме присоединения к нему других юридических лиц от 23.01.2023, Сообщения о принятии решения о реорганизации от 20.01.2023</t>
  </si>
  <si>
    <t>19.20.21.341 Топливо дизельное межсезонное вне классов
19.20.21.321 Топливо дизельное зимнее вне классов
19.20.21.315 Топливо дизельное летнее экологического класса К5
19.20.21.131 Бензин автомобильный с октановым числом более 95, но не более 98 по исследовательскому методу вне классов
19.20.21.311 Топливо дизельное летнее вне классов</t>
  </si>
  <si>
    <t>"223 за 3 года", ".", "все клиенты с выручкой от 1,8 млрд до бесконечности", "Участники клиринга", "производители", "рейтинг по нмц маркер", "это заказчик", "поставщики маркер"</t>
  </si>
  <si>
    <t>80.2 Услуги систем обеспечения безопасности
33.13.13 Услуги по ремонту и техническому обслуживанию профессиональных оптических приборов и фотооборудования
33.14.19 Услуги по ремонту и техническому обслуживанию прочего профессионального электрического оборудования
84.24.19 Услуги, связанные с обеспечением общественного порядка и безопасности, прочие
43.21.10.140 Работы по монтажу систем пожарной сигнализации и охранной сигнализации
43.21.10 Работы электромонтажные
26.2 Компьютеры и периферийное оборудование
43.2 Работы электромонтажные, работы по монтажу водопроводных и канализационных систем и прочие строительно-монтажные работы
80.10.12 Услуги охраны
33.12.19.000 Услуги по ремонту и техническому обслуживанию прочего оборудования общего назначения, не включенного в другие группировки ****</t>
  </si>
  <si>
    <t>ЗА 3 ГОДА ПО 223 ФЗ заключено 16 шт. с объемом НМЦ 103 495 251,97 ?</t>
  </si>
  <si>
    <t>28.13.14.110 Насосы центробежные подачи жидкостей прочие
25.73.60.190 Инструмент прочий, не включенный в другие группировки
46.74.12 Услуги по оптовой торговле водопроводным и отопительным оборудованием и санитарно-технической арматурой
46.1 Услуги по оптовой торговле за вознаграждение или на договорной основе
46.74 Услуги по оптовой торговле скобяными изделиями, водопроводным и отопительным оборудованием и санитарно-технической арматурой
28.14 Арматура трубопроводная (арматура) (краны, клапаны и прочие)
22.23.12.130 Унитазы, сиденья и крышки для них, смывные бачки пластмассовые
24.20 Трубы, профили пустотелые и их фитинги стальные
46.90 Услуги по неспециализированной оптовой торговле
22.21.21.129 Трубы полимерные жесткие прочие ****</t>
  </si>
  <si>
    <t>08.12.13 Смеси шлака и аналогичных промышленных отходов без добавления или с добавлением гальки, гравия, щебня и кремневой гальки для строительных целей
05.10.10 Уголь</t>
  </si>
  <si>
    <t>1 251</t>
  </si>
  <si>
    <t>За весь период контрактов 5 шт. на общую сумму НМЦ 16 311 297 713,56 ?</t>
  </si>
  <si>
    <t>43.22 Работы по монтажу систем водопровода, канализации, отопления и кондиционирования воздуха
33.19 Услуги по ремонту прочего оборудования
71.12 Услуги в области инженерно-технического проектирования и связанные технические консультативные услуги
42.91 Сооружения водные; работы строительные по строительству водных сооружений
43.21 Работы электромонтажные
33.12.2 Услуги по ремонту и техническому обслуживанию оборудования специального назначения
33.13.1 Услуги по ремонту и техническому обслуживанию электронного и оптического оборудования
71.1 Услуги в области архитектуры, инженерно-технического проектирования и связанные технические консультативные услуги
33.12.1 Услуги по ремонту и техническому обслуживанию оборудования общего назначения
33.20.12.000 Услуги по монтажу прочих металлоизделий, кроме машин и оборудования ****</t>
  </si>
  <si>
    <t>За весь период контрактов 15 шт. на общую сумму НМЦ 10 866 886 860,07 ?</t>
  </si>
  <si>
    <t>01.13.12.120 Капуста белокочанная
01.13.42.000 Чеснок
28.41.21.120 Станки токарные металлорежущие с числовым программным управлением
26.70.22.130 Телескопы оптические прочие
10.61.32.113 Крупа гречневая
10.51.52.140 Кефир
33.20.41.120 Услуги по монтажу высокоточных и оптических инструментов
10.51.11.141 Молоко питьевое коровье стерилизованное
10.61.21.113 Мука пшеничная хлебопекарная высшего сорта
10.71.11.190 Изделия хлебобулочные недлительного хранения прочие ****</t>
  </si>
  <si>
    <t>За весь период компания заключила  21 контрактов на сумму  5 548 000 096,90 ? За весь период заходили в конкурсы  17 раз на общую сумму обеспеченных контрактов с НМЦ 5 535 783 648,55 ? с БГУ  72 033 474,61 ? с БГИ 2 690 316 556,37 ? За 3 ГОДА по 44ФЗ заключено 6 шт. с объемом НМЦ  353 627 964,00 ? с БГИ 33 593 158,20 ? с БГГО 15 256 325,00 ? с авансированием до 45 441 000,00 ? с комиссией банку 931 815,60 ? с кв 8 106,80 ? ЗА 1 ГОД по 44ФЗ заключено 1 шт. c объемом НМЦ 151 470 000,00 ? с БГИ 15 147 000,00 ? с БГГО 7 573 500,00 ? с авансированием до  45 441 000,00 ? с комиссией банку  496 323,62 ? с кв 4 318,02 ? ЗА 3 ГОДА ПО 223 ФЗ заключено 11 шт. с объемом НМЦ 53 174 337,84 ?</t>
  </si>
  <si>
    <t>"223 за 3 года", ".", "рейтинг поставщиков в маркере по бг", "все клиенты с выручкой от 1,8 млрд до бесконечности", "44 фз с с БГ от 10 млн", "рейтинг заказчиков маркер", "производители", "рейтинг по нмц маркер", "это заказчик", "44 за 3 года"</t>
  </si>
  <si>
    <t>26.51.43.116 Приборы цифровые электроизмерительные комбинированные
26.51.43.120 Системы информационные электроизмерительные, комплексы измерительно-вычислительные и установки для измерения электрических и магнитных величин
27.11.41.000 Трансформаторы с жидким диэлектриком
42.22.22.110 Работы строительные по прокладке местных линий электропередачи и связи над землей или под землей
42.22.22.120 Работы строительные по строительству трансформаторных станций и подстанций для распределения электричества в пределах какого-либо района
71 Услуги в области архитектуры и инженерно-технического проектирования, технических испытаний, исследований и анализа
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42.22.21 Работы строительные по прокладке магистральных линий электропередачи и связи
25.29.11.900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прочие ****</t>
  </si>
  <si>
    <t>За весь период компания заключила  33 контрактов на сумму  63 120 215 477,04 ? За весь период заходили в конкурсы  7 раз на общую сумму обеспеченных контрактов с НМЦ 6 317 623 170,19 ? с БГУ  85 095 974,00 ? с БГИ 655 228 251,27 ?                             ЗА 3 ГОДА ПО 223 ФЗ заключено 2 шт. с объемом НМЦ 2 801 455 790,00 ?</t>
  </si>
  <si>
    <t>"223 за 3 года", ".", "рейтинг поставщиков в маркере по бг", "fk1", "06.2022_ФинХД", "Обороты по клиентам по кварталам (2022г)", "рейтинг заказчиков маркер", "производители", "рейтинг по нмц маркер", "это заказчик", "поставщики маркер"</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</si>
  <si>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35.13.10.000 Услуги по распределению электроэнергии ****</t>
  </si>
  <si>
    <t>За весь период контрактов 7 шт. на общую сумму НМЦ 491 189 852,80 ?</t>
  </si>
  <si>
    <t>35.11.10.110 Электроэнергия, произведенная электростанциями общего назначения
35.14.10 Услуги по торговле электроэнергией
35.30.12.110 Услуги по приготовлению воды на нужды горячего водоснабжения
35.13.10.000 Услуги по распределению электроэнергии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36 Вода природная; услуги по очистке воды и водоснабжению ****</t>
  </si>
  <si>
    <t>Заказчик разыгравший 34 конкурсов на сумму  4 075 371 468,49 ?</t>
  </si>
  <si>
    <t>Сообщение кредитора о намерении обратиться в суд с заявлением о банкротстве от 13.05.2019</t>
  </si>
  <si>
    <t>"44 за 3 года", ".", "fk1", "все клиенты с выручкой от 1,8 млрд до бесконечности", "рейтинг заказчиков маркер", "это заказчик", "поставщики маркер"</t>
  </si>
  <si>
    <t>Сообщения о принятии решения о реорганизации от 29.10.2020</t>
  </si>
  <si>
    <t>11.05 Пиво</t>
  </si>
  <si>
    <t>35.12.10.120 Услуги по технологическому присоединению к распределительным электросетям
68.20.12.000 Услуги по сдаче в аренду (внаем) собственных или арендованных нежилых помещений
36.00.20.130 Услуги по транспортированию и распределению воды по водопроводам
35.12.10.110 Услуги по передаче электроэнергии</t>
  </si>
  <si>
    <t>За весь период компания заключила  2 контрактов на сумму  23 468 842 475,31 ?</t>
  </si>
  <si>
    <t>27.40.12.000 Лампы накаливания галогенные с вольфрамовой нитью, кроме ультрафиолетовых или инфракрасных ламп
27.5 Приборы бытовые
27.90.33.110 Комплектующие (запасные части) прочего электрического оборудования, не имеющие самостоятельных группировок
28.99.14.150 Устройства печатные цифровые цветные
26.40.44.000 Аппаратура приемная для радиотелефонной или радиотелеграфной связи, не включенная в другие группировки
26.20.12.110 Терминалы кассовые, подключаемые к компьютеру или сети передачи данных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26.20.16.150 Сканеры
26.80.13.000 Носители данных прочие, включая матрицы и основы для производства дисков
27.12.10 Устройства для коммутации или защиты электрических цепей на напряжение более 1 кВ ****</t>
  </si>
  <si>
    <t>За весь период заходили в конкурсы  2 раз на общую сумму обеспеченных контрактов с НМЦ 174 975 115,00 ? с БГУ  5 432 235,00 ? с БГИ 36 525 610,00 ?                             ЗА 3 ГОДА ПО 223 ФЗ заключено 88 шт. с объемом НМЦ 39 635 271,58 ? за 1 ГОД ПО 223ФЗ заключено 16  25 969 068,99 ?</t>
  </si>
  <si>
    <t>"223 за 3 года", ".", "рейтинг поставщиков в маркере по бг", "fk1", "ИНН_договоры_октябрь_", "корп 1", "клиенты с в от100млн 09.21", "все клиенты с выручкой от 1,8 млрд до бесконечности", "Обороты по клиентам по кварталам (2022г)", "производители", "рейтинг по нмц маркер", "44 за 3 года"</t>
  </si>
  <si>
    <t>Юридическое лицо находится в процессе реорганизации в форме присоединения к нему других юридических лиц от 10.06.2021, Сообщения о принятии решения о реорганизации от 09.06.2021</t>
  </si>
  <si>
    <t>20.59 Продукты химические прочие, не включенные в другие группировки
20.59.41 Материалы смазочные
20.59.43.120 Антифризы
20.30.22.220 Растворители и разбавители органические сложные; составы готовые для удаления красок и лаков (смывки)
19.20.29.119 Масла моторные прочие, не включенные в другие группировки
19.20.29.140 Масла индустриальные
19.20.29.150 Масла компрессорные
19.20.29.180 Масла базовые
19.20.29.111 Масла универсальные
19.20.21 Топливо моторное, включая автомобильный и авиационный бензин ****</t>
  </si>
  <si>
    <t>ЗА 3 ГОДА ПО 223 ФЗ заключено 19 шт. с объемом НМЦ 79 383 826,06 ? за 1 ГОД ПО 223ФЗ заключено 3  10 228 808,13 ?</t>
  </si>
  <si>
    <t>"223 за 3 года", ".", "Участники клиринга", "это заказчик", "поставщики маркер", "44 за 3 года"</t>
  </si>
  <si>
    <t>21.20.23.110 Реагенты диагностические
21.20.23.199 Средства нелечебные прочие
26.60.11.119 Аппараты рентгеновские прочие, используемые для диагностики, применяемые в медицинских целях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32.50.21.112 Оборудование терапевтические
32.50.21.121 Аппараты для ингаляционного наркоза
32.50.21.122 Аппараты дыхательные реанимационные
32.50.22.128 Костыли
32.50.22.190 Протезы органов человека, не включенные в другие группировки ****</t>
  </si>
  <si>
    <t>За весь период компания заключила  34 контрактов на сумму  3 239 977 268,18 ? За весь период заходили в конкурсы  135 раз на общую сумму обеспеченных контрактов с НМЦ 10 045 133 004,63 ? с БГУ  260 965 234,05 ? с БГИ 1 866 949 531,89 ? За 3 ГОДА по 44ФЗ заключено 819 шт. с объемом НМЦ  8 001 374 172,61 ? с БГИ 825 162 664,59 ? с БГГО 119 340 492,26 ? с авансированием до 168 861 377,30 ? с комиссией банку 6 184 497,73 ? с кв 53 805,13 ? ЗА 1 ГОД по 44ФЗ заключено 281 шт. c объемом НМЦ 1 913 892 963,43 ? с БГИ 178 450 228,44 ? с БГГО 15 693 954,41 ? с авансированием до  24 261 169,82 ? с комиссией банку  2 616 200,33 ? с кв 22 760,94 ? ЗА 3 ГОДА ПО 223 ФЗ заключено 39 шт. с объемом НМЦ 157 457 406,74 ? за 1 ГОД ПО 223ФЗ заключено 6  4 597 930,79 ?</t>
  </si>
  <si>
    <t>"Участники клиринга", ".", "выдали", "корп 2", "Кредитный портфель_01.11", "06.2022_ФинХД", "клиенты от 100 млн"</t>
  </si>
  <si>
    <t>19.20.21.341 Топливо дизельное межсезонное вне классов
19.20.24.120 Керосины осветительные
19.2 Нефтепродукты
19.20.21.124 Бензин автомобильный с октановым числом более 92, но не более 95 по исследовательскому методу экологического класса К4
52.10.12.110 Услуги по хранению и складированию нефти и продуктов ее переработки
52.10.19.900 Услуги по складированию и хранению прочие, не включенные в другие группировки
19.20.21.321 Топливо дизельное зимнее вне классов
19.20.21.324 Топливо дизельное зимнее экологического класса К4
19.20.21 Топливо моторное, включая автомобильный и авиационный бензин
19.20.21.100 Бензин автомобильный ****</t>
  </si>
  <si>
    <t>ЗА 3 ГОДА ПО 223 ФЗ заключено 10 шт. с объемом НМЦ 34 598 619,78 ? за 1 ГОД ПО 223ФЗ заключено 2  7 309 090,00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</si>
  <si>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t>
  </si>
  <si>
    <t>За весь период контрактов 19 шт. на общую сумму НМЦ 17 949 608 604,81 ?</t>
  </si>
  <si>
    <t>22.22.13.000 Коробки, ящики, корзины и аналогичные пластмассовые изделия
20.42.15.131 Кремы жидкие для ухода за кожей лица, питательные и с биологически активными веществами
20.42.12.110 Средства для макияжа губ
20.42.12.120 Средства для макияжа глаз
20.42.14.110 Пудры и крем-пудры
20.42.19.190 Средства парфюмерные, косметические и туалетные средства прочие, не включенные в другие группировки
32.91.12.150 Кисточки косметические</t>
  </si>
  <si>
    <t>за 1 ГОД ПО 223ФЗ заключено 1  3 944 050,80 ?</t>
  </si>
  <si>
    <t>Сообщения о принятии решения о реорганизации от 22.10.2020</t>
  </si>
  <si>
    <t>52.21.22.000 Услуги по эксплуатации автомагистралей
74.90 Услуги профессиональные, научные и технические, прочие, не включенные в другие группировки
26.80.11.000 Носители данных магнитные без записи, кроме магнитных карт
82.99.19.000 Услуги вспомогательные, связанные с предпринимательской деятельностью, прочие, не включенные в другие группировки
42.11.10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</si>
  <si>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41.20.40.900 Работы строительные по возведению нежилых зданий и сооружений прочие, не включенные в другие группировки
43.12.11.190 Работы земляные прочие, не включенные в другие группировки
25.11.10.000 Здания сборные из металла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</si>
  <si>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39 контрактов на сумму  19 633 684 498,69 ? За весь период заходили в конкурсы  128 раз на общую сумму обеспеченных контрактов с НМЦ 35 722 285 912,98 ? с БГУ  1 887 085 516,48 ? с БГИ 9 964 984 831,49 ? За 3 ГОДА по 44ФЗ заключено 12 шт. с объемом НМЦ  5 477 126 408,19 ? с БГИ 1 558 093 789,96 ? с БГГО 167 068 117,60 ? с авансированием до 1 856 676 567,45 ? с комиссией банку 35 319 254,21 ? с кв 307 277,51 ?               ЗА 3 ГОДА ПО 223 ФЗ заключено 12 шт. с объемом НМЦ 19 175 792 481,56 ?</t>
  </si>
  <si>
    <t>"223 за 3 года", "кл фт ФК БГ 04.22", "свод фт", ".", "рейтинг поставщиков в маркере по бг", "ГРАНДИОЗНЫЙ ПРОЕКТ", "Конкурсы 100+ (Восстановленный)", "fk1", "ПСБ Гарантии ", "ушедшие", "закрыли счет", "Пункт 3 09.01.23", "клиенты от 100 млн", "действующие б не прям", "Обороты по клиентам по кварталам (2022г)", "ФТ клиенты с продуктами по сотрудникам", "44 фз с с БГ от 10 млн", "рейтинг по нмц маркер", "на фт заводил Чимров", "поставщики маркер", "44 за 3 года"</t>
  </si>
  <si>
    <t>"в crm за Муслимом", ".", "все клиенты с выручкой от 1,8 млрд до бесконечности", "crm управления"</t>
  </si>
  <si>
    <t>28.13.14.110 Насосы центробежные подачи жидкостей прочие
28.29.12.110 Оборудование для фильтрования или очистки воды
24.20.13.130 Трубы стальные электросварные
25.11.23.119 Конструкции и детали конструкций из черных металлов прочие, не включенные в другие группировки
28.14.13.110 Клапаны запорные
28.14.20.220 Фланцы
22.21.21.123 Трубы канализационные и фасонные части к ним из полиэтилена
22.21.29.110 Трубы прочие пластмассовые
28.99.39.190 Оборудование специального назначения прочее, не включенное в другие группировки
22 Изделия резиновые и пластмассовые ****</t>
  </si>
  <si>
    <t>За весь период заходили в конкурсы  1 раз на общую сумму обеспеченных контрактов с НМЦ 64 008 594,81 ? с БГУ  3 200 429,74 ? с БГИ 6 400 859,48 ?</t>
  </si>
  <si>
    <t>"223 за 3 года", "кл фт ФК БГ 04.22", ".", "рейтинг поставщиков в маркере по бг", "fk1", "2. Финтендер 2022 31.03.22 Григорян для СПАРК", "Агентские одобренные но не выданные от 30.08",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"223 фз контракты 20+", "рейтинг по нмц маркер", "поставщики маркер", "44 за 3 года"</t>
  </si>
  <si>
    <t>27.20.21.000 Аккумуляторы свинцовые для запуска поршневых двигателей</t>
  </si>
  <si>
    <t>02.40.10.114 Услуги по противопожарному обустройству лесов и тушению пожаров в лесах</t>
  </si>
  <si>
    <t>1 112</t>
  </si>
  <si>
    <t>68.20.12.000 Услуги по сдаче в аренду (внаем) собственных или арендованных нежилых помещений
77.39.19.129 Услуги по аренде и лизингу прочих материальных средств, не включенных в другие группировки</t>
  </si>
  <si>
    <t>Заказчик разыгравший 2 конкурсов на сумму  614 597 862,02 ?</t>
  </si>
  <si>
    <t>22.29 Изделия пластмассовые прочие
13.99 Изделия текстильные прочие, не включенные в другие группировки
21 Средства лекарственные и материалы, применяемые в медицинских целях
14.31 Изделия чулочно-носочные трикотажные или вязаные
21.20.2 Препараты лекарственные прочие и материалы, применяемые в медицинских целях
32.50.13.190 Инструменты и приспособления, применяемые в медицинских целях, прочие, не включенные в другие группировки
32.50.42 Очки для коррекции зрения, защитные или прочие очки или аналогичные оптические приборы
13.99.19.111 Вата медицинская гигроскопическая
21.20.10 Препараты лекарственные
14.14.24 Майки и прочие нижние рубашки, комбинации, юбки нижние, трусы, панталоны, рубашки ночные, пижамы, пеньюары, халаты купальные, халаты домашние и аналогичные изделия женские или для девочек из текстильных материалов, кроме трикотажных или вязаных ****</t>
  </si>
  <si>
    <t>За весь период контрактов 12 шт. на общую сумму НМЦ 4 579 140 694,40 ?</t>
  </si>
  <si>
    <t>"223 за 3 года", ".", "ГРАНДИОЗНЫЙ ПРОЕКТ 223", "fk1", "все клиенты с выручкой от 1,8 млрд до бесконечности", "223 фз контракты 20+", "рейтинг по нмц маркер", "поставщики маркер"</t>
  </si>
  <si>
    <t>38.11.19.000 Услуги по сбору прочих неопасных отходов, пригодных для повторного использования
38.11.31.000 Отходы неопасные бытовые, непригодные для повторного использования
81.29.12.000 Услуги по подметанию и уборке снега
38.11.21.000 Услуги по сбору неопасных отходов городского хозяйства, непригодных для повторного использования
81.29.13.000 Услуги санитарно-гигиенические прочие
38.11 Отходы неопасные; услуги по сбору неопасных отходов
38.11.29 Услуги по сбору прочих неопасных отходов, непригодных для повторного использования
38.21.29.000 Услуги по утилизации неопасных отходов прочие
49.41.19.900 Услуги по перевозке грузов автомобильным транспортом прочие, не включенные в другие группировки
38 Услуги по сбору, обработке и удалению отходов; услуги по утилизации отходов ****</t>
  </si>
  <si>
    <t>За год заключили по 223фз 11 контракта(ов) на сумму  6 828 099,24 ?</t>
  </si>
  <si>
    <t>"223 за 3 года", ".", "все клиенты с выручкой от 1,8 млрд до бесконечности", "рейтинг заказчиков маркер", "это заказчик", "crm управления", "crm Пител", "поставщики маркер"</t>
  </si>
  <si>
    <t>93.19.13.000 Услуги вспомогательные, связанные со спортом и отдыхом
93.19.19.000 Услуги в области спорта и отдыха прочие
43.33.29.110 Работы по укладке ковровых покрытий, линолеума и прочих гибких материалов для покрытия полов
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
93.19.11 Услуги по содействию в подготовке спортивных и развлекательных мероприятий
32.30.14.121 Тренажеры силовые
32.30.15.239 Инвентарь прочий для занятий спортом или для игр на открытом воздухе, не включенный в другие группировки
43.33.29.120 Работы по настилу деревянных и дощатых полов и стенных покрытий, включая устройство паркетных и прочих деревянных полов
71.12.19.100 Услуги по инженерно-техническому проектированию прочих объектов, кроме объектов культурного наследия ****</t>
  </si>
  <si>
    <t>Заявка отозвана клиентом
Отклонена банком</t>
  </si>
  <si>
    <t>Сообщение кредитора о намерении обратиться в суд с заявлением о банкротстве от 16.05.2023</t>
  </si>
  <si>
    <t>"44 за 3 года", "свод фт", ".", "рейтинг поставщиков в маркере по бг", "ГРАНДИОЗНЫЙ ПРОЕКТ", "БГИ", "Агентские отказ из-за непред-я док-ов", "клиенты с в от100млн 09.21", "лимит сит по кредитам", "все клиенты с выручкой от 1,8 млрд до бесконечности", "портфель", "ФК клиенты с выручкой от 230 до бесконечности", "Одобренные но не выданные 1 полугодие 2021", "44 фз с с БГ от 10 млн", "производители", "рейтинг по нмц маркер", "на фт заводил Микульшин", "на фт заводил Кашин", "crm управления", "в crm за Кашиным", "поставщики маркер"</t>
  </si>
  <si>
    <t>29.10 Средства автотранспортные
29.10.30.111 Автобусы, предназначенные для перевозки стоящих и сидящих пассажиров, имеющие технически допустимую максимальную массу более 5 т</t>
  </si>
  <si>
    <t>За весь период компания заключила  2 контрактов на сумму  537 136 583,30 ? За весь период заходили в конкурсы  7 раз на общую сумму обеспеченных контрактов с НМЦ 1 346 839 013,29 ? с БГУ  9 312 128,44 ? с БГИ 267 110 400,10 ? За 3 ГОДА по 44ФЗ заключено 10 шт. с объемом НМЦ  969 309 999,99 ? с БГИ 212 170 500,00 ? с БГГО 89 697 300,00 ? с авансированием до 129 680 000,00 ? с комиссией банку 1 452 297,86 ? с кв 12 634,99 ? ЗА 1 ГОД по 44ФЗ заключено 5 шт. c объемом НМЦ 529 649 999,99 ? с БГИ 52 438 500,00 ? с БГГО 47 861 100,00 ? с авансированием до  0,00 ? с комиссией банку  603 447,21 ? с кв 5 249,99 ?</t>
  </si>
  <si>
    <t>"223 за 3 года", "свод фт", ".", "рейтинг поставщиков в маркере по бг", "ГРАНДИОЗНЫЙ ПРОЕКТ", "кредиты фт", "лимит сит по кредитам", "44 фз с с БГ от 10 млн", "рейтинг по нмц маркер", "на фт заводил Чимров", "поставщики маркер", "44 за 3 года"</t>
  </si>
  <si>
    <t>ЗА 3 ГОДА ПО 223 ФЗ заключено 1 шт. с объемом НМЦ 93 057 798,96 ?</t>
  </si>
  <si>
    <t>"Обороты по клиентам по кварталам (2022г)", ".", "ушедший портфель", "fk1", "инн Красносельская", "ИНН 3 года - нет КД БГ на 01.10.22", "ПОС на 01.02.2023", "Список ушедший ", "ПОС на 03.04.2023", "корп 1", "06.2022_ФинХД", "клиенты с в от100млн 09.21", "все клиенты с выручкой от 1,8 млрд до бесконечности", "ФК клиенты с выручкой от 230 до бесконечности"</t>
  </si>
  <si>
    <t>"поставщики маркер", ".", "райф", "производители", "это заказчик"</t>
  </si>
  <si>
    <t>62.01 Продукты программные и услуги по разработке и тестированию программного обеспечения
62.02 Услуги консультативные, связанные с компьютерной техникой
62 Продукты программные и услуги по разработке программного обеспечения; консультационные и аналогичные услуги в области информационных технологий</t>
  </si>
  <si>
    <t>За весь период компания заключила  4 контрактов на сумму  635 750 040,44 ?</t>
  </si>
  <si>
    <t>28.92.1 Оборудование для добычи полезных ископаемых подземным способом
28.92.12.130 Машины бурильные
19.20.29.119 Масла моторные прочие, не включенные в другие группировки
19.20.29.140 Масла индустриальные
19.20.29.150 Масла компрессорные
19.20.29.111 Масла универсальные
33.17 Услуги по ремонту и техническому обслуживанию прочих транспортных средств и оборудования
33.12.29.900 Услуги по ремонту и техническому обслуживанию прочего оборудования специального назначения, не включенные в другие группировки
20.15.31.000 Мочевина (карбамид)
28.22.18.310 Машины погрузочные и разгрузочные ****</t>
  </si>
  <si>
    <t>ЗА 3 ГОДА ПО 223 ФЗ заключено 12 шт. с объемом НМЦ 186 701 103,72 ? за 1 ГОД ПО 223ФЗ заключено 1  30 000 000,00 ?</t>
  </si>
  <si>
    <t>"223 за 3 года", ".", "fk1",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"223 фз контракты 20+", "рейтинг по нмц маркер", "поставщики маркер"</t>
  </si>
  <si>
    <t>19.2 Нефтепродукты
33.12.29.900 Услуги по ремонту и техническому обслуживанию прочего оборудования специального назначения, не включенные в другие группировки
29.32.30.390 Части и принадлежности для автотранспортных средств прочие, не включенные в другие группировки
41 Здания и работы по возведению зданий
19.20.29 Масла нефтяные смазочные; дистилляты тяжелые, не включенные в другие группировки</t>
  </si>
  <si>
    <t>За весь период компания заключила  3 контрактов на сумму  821 416 690,80 ?                                     ЗА 3 ГОДА ПО 223 ФЗ заключено 4 шт. с объемом НМЦ 234 490 000,40 ?</t>
  </si>
  <si>
    <t>"223 за 3 года", ".", "рейтинг по нмц маркер", "crm управления", "в crm за Эльшаном", "поставщики маркер"</t>
  </si>
  <si>
    <t>37.00.11.110 Услуги по водоотведению сточных вод
85.31 Услуги по профессиональному обучению
46.6 Услуги по оптовой торговле прочими машинами, оборудованием и инструментами
85.42.19.900 Услуги по профессиональному обучению прочие
36.00.30.000 Услуги по торговле водой, поставляемой по трубопроводам
35.30.11.120 Энергия тепловая, отпущенная котельными
35.30.12.130 Услуги по транспортированию горячей воды
68.31.14.130 Услуги посреднические по аренде нежилых зданий и занимаемых ими земельных участков за вознаграждение или на договорной основе
52.29.20.000 Услуги транспортные вспомогательные прочие, не включенные в другие группировки
85.42.1 Услуги по дополнительному профессиональному образованию ****</t>
  </si>
  <si>
    <t>Заказчик разыгравший 40 конкурсов на сумму  7 246 064 092,25 ?</t>
  </si>
  <si>
    <t>26.20.18.000 Устройства периферийные с двумя или более функциями: печать данных, копирование, сканирование, прием и передача факсимильных сообщений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26.20.16.130 Графопостроители
26.20.16.190 Устройства ввода/вывода данных прочие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26.20.40.190 Комплектующие и запасные части для вычислительных машин прочие, не включенные в другие группировки
26.40.20.122 Приемники телевизионные (телевизоры) цветного изображения с жидкокристаллическим экраном, плазменной панелью
26.20.16.160 Устройства ввода сенсорные
26.40.31.190 Аппаратура для воспроизведения звука прочая ****</t>
  </si>
  <si>
    <t>"производители", ".", "fk1", "ПСБ Гарантии ", "все клиенты с выручкой от 1,8 млрд до бесконечности", "ФК клиенты с выручкой от 230 до бесконечности"</t>
  </si>
  <si>
    <t>2 261</t>
  </si>
  <si>
    <t>за 1 ГОД ПО 223ФЗ заключено 1  4 933 218,02 ?</t>
  </si>
  <si>
    <t>"223 за 3 года", ".", "райф", "44 за 3 года"</t>
  </si>
  <si>
    <t>20.30.11.120 Краски на основе акриловых или виниловых полимеров в водной среде
22.19.20.112 Изделия из резиновых смесей
25.72.14.190 Детали крепежные и установочные и аналогичные изделия из недрагоценных металлов
20.30.21.130 Краски, эмали и глазури стекловидные
32.99.59.000 Изделия различные прочие, не включенные в другие группировки
35.12.10.110 Услуги по передаче электроэнергии</t>
  </si>
  <si>
    <t>74.90 Услуги профессиональные, научные и технические, прочие, не включенные в другие группировки</t>
  </si>
  <si>
    <t>За весь период контрактов 3 шт. на общую сумму НМЦ 2 336 921 820,00 ?</t>
  </si>
  <si>
    <t>26.80.13.000 Носители данных прочие, включая матрицы и основы для производства дисков
26.20.40.120 Элементы замены типовые устройств ввода и вывода
60.20.11.000 Услуги по составлению телепрограмм и вещанию в режиме on-line, кроме программ, доступных только на основе подписки
63.11.21.000 Услуги по передаче потокового видео
26.40.51.000 Части и принадлежности звукового и видеооборудования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63.99.10.190 Услуги информационные автоматизированные компьютерные прочие, не включенные в другие группировки
26.20.17.120 Проекторы, подключаемые к компьютеру
26.20.14.000 Машины вычислительные электронные цифровые, поставляемые в виде систем для автоматической обработки данных ****</t>
  </si>
  <si>
    <t>За весь период компания заключила  47 контрактов на сумму  29 370 797 170,00 ? За весь период заходили в конкурсы  100 раз на общую сумму обеспеченных контрактов с НМЦ 34 202 675 178,33 ? с БГУ  1 194 558 457,29 ? с БГИ 3 898 540 500,86 ? За 3 ГОДА по 44ФЗ заключено 46 шт. с объемом НМЦ  18 339 406 141,73 ? с БГИ 2 089 495 160,14 ? с БГГО 571 104 221,04 ? с авансированием до 424 159 921,33 ? с комиссией банку 44 315 693,14 ? с кв 385 546,53 ? ЗА 1 ГОД по 44ФЗ заключено 10 шт. c объемом НМЦ 1 330 674 894,37 ? с БГИ 222 841 813,58 ? с БГГО 7 979 715,99 ? с авансированием до  0,00 ? с комиссией банку  5 224 980,74 ? с кв 45 457,33 ? ЗА 3 ГОДА ПО 223 ФЗ заключено 2 шт. с объемом НМЦ 19 988 297,48 ? за 1 ГОД ПО 223ФЗ заключено 1  17 088 297,48 ?</t>
  </si>
  <si>
    <t>"223 за 3 года", "кл фт ФК БГ 04.22", ".", "рейтинг поставщиков в маркере по бг", "Рассрочка КВ Март 2023", "БГИ", "Конкурсы 100+ (Восстановленный)", "fk1", "корп 2", "Кредитный портфель_01.11", "Агентские одобренные но не выданные от 30.08", "Гарантии ФБ банкроты", "06.2022_ФинХД", "клиенты с в от100млн 09.21", "все клиенты с выручкой от 1,8 млрд до бесконечности", "портфель",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"44 фз с с БГ от 10 млн", "производители", "рейтинг по нмц маркер", "поставщики маркер", "44 за 3 года"</t>
  </si>
  <si>
    <t>45.20.11.111 Услуги по регламентным работам (по видам технического обслуживания)
29.10.22.000 Средства транспортные с двигателем с искровым зажиганием, с рабочим объемом цилиндров более 1500 см3, новые</t>
  </si>
  <si>
    <t>На 15.01.2023 22:29 имеются действующие решения ФНС о приостановлении операций по счетам</t>
  </si>
  <si>
    <t>Юридическое лицо находится в процессе реорганизации в форме присоединения к нему других юридических лиц от 16.12.2022, Сообщения о принятии решения о реорганизации от 13.12.2022</t>
  </si>
  <si>
    <t>"поставщики маркер", ".", "выдали", "fk1", "ПОС на 01.02.2023", "ПОС на 03.04.2023", "Кредитный портфель_01.11", "06.2022_ФинХД", "все клиенты с выручкой от 1,8 млрд до бесконечности", "ФК клиенты с выручкой от 230 до бесконечности", "Обороты по клиентам по кварталам (2022г)", "производители", "это заказчик"</t>
  </si>
  <si>
    <t>45.20.2 Услуги по техническому обслуживанию и ремонту прочих автотранспортных средств
45.20.21.111 Услуги по регламентным работам (по видам технического обслуживания)
45.20.21.217 Услуги по ремонту деталей
45.20.22.000 Услуги по ремонту электрооборудования прочих автотранспортных средств
29.32.30.390 Части и принадлежности для автотранспортных средств прочие, не включенные в другие группировки
45.20.21.212 Услуги по ремонту двигателей
29.10.30.112 Автобусы, предназначенные для перевозки только сидящих пассажиров, имеющие технически допустимую максимальную массу более 5 т
45.20.21.113 Услуги смазочно-заправочные
45.20.21.519 Прочие услуги по техническому обслуживанию и ремонту прочих автотранспортных средств, не включенные в другие группировки
45.20.21.219 Услуги по ремонту ведущих мостов и приводов ведущих колес ****</t>
  </si>
  <si>
    <t>За весь период компания заключила  10 контрактов на сумму  1 930 458 462,42 ? За весь период заходили в конкурсы  13 раз на общую сумму обеспеченных контрактов с НМЦ 3 291 933 513,47 ? с БГУ  130 380 008,02 ? с БГИ 609 703 114,74 ?               ЗА 1 ГОД по 44ФЗ заключено 2 шт. c объемом НМЦ 36 406 204,53 ? с БГИ 3 141 177,16 ? с БГГО 0,00 ? с авансированием до  0,00 ? с комиссией банку  73 340,75 ? с кв 638,06 ? ЗА 3 ГОДА ПО 223 ФЗ заключено 3 шт. с объемом НМЦ 27 577 286,66 ?</t>
  </si>
  <si>
    <t>26.40.44.000 Аппаратура приемная для радиотелефонной или радиотелеграфной связи, не включенная в другие группировки
47.42.10.000 Услуги по розничной торговле телекоммуникационным оборудованием, включая розничную торговлю мобильными телефонами, в специализированных магазинах
61.20.11.000 Услуги подвижной связи общего пользования - обеспечение доступа и поддержка пользователя
27.90.20.110 Панели индикаторные с устройствами жидкокристаллическими или светодиодами
26.30.30.000 Части и комплектующие коммуникационного оборудования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73.11.1 Услуги, предоставляемые рекламными агентствами
27.90.40.190 Оборудование электрическое прочее, не включенное в другие группировки
26.20 Компьютеры и периферийное оборудование ****</t>
  </si>
  <si>
    <t>35.13.10.000 Услуги по распределению электроэнергии
35.30.12.130 Услуги по транспортированию горячей воды
36.00.20.130 Услуги по транспортированию и распределению воды по водопроводам</t>
  </si>
  <si>
    <t>клиенты от 100 млн 01.05.3615</t>
  </si>
  <si>
    <t>Сообщения о принятии решения о реорганизации от 17.08.2022</t>
  </si>
  <si>
    <t>"поставщики маркер", ".", "fk1", "Гарантии ФБ банкроты", "все клиенты с выручкой от 1,8 млрд до бесконечности", "клиенты от 100 млн"</t>
  </si>
  <si>
    <t>25.73.30 Инструмент ручной прочий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33.15 Услуги по ремонту и техническому обслуживанию судов и лодок
46.6 Услуги по оптовой торговле прочими машинами, оборудованием и инструментами
28.11.42.000 Части прочих двигателей, не включенных в другие группировки
77.39.19 Услуги по аренде и лизингу прочих машин и оборудования без оператора и материальных средств, не включенных в другие группировки
33.12.29.900 Услуги по ремонту и техническому обслуживанию прочего оборудования специального назначения, не включенные в другие группировки
46.69.12.000 Услуги по оптовой торговле эксплуатационными материалами и принадлежностями машин и оборудования
28.30.23.120 Тракторы сельскохозяйственные гусеничные с мощностью двигателя более 59 кВт
28.92.27 Экскаваторы и одноковшовые погрузчики самоходные прочие; прочие самоходные машины для добычи полезных ископаемых ****</t>
  </si>
  <si>
    <t>За весь период компания заключила  12 контрактов на сумму  2 757 636 490,15 ? За весь период заходили в конкурсы  2 раз на общую сумму обеспеченных контрактов с НМЦ 54 110 000,00 ? с БГУ  1 082 200,00 ? с БГИ 10 822 000,00 ?                             ЗА 3 ГОДА ПО 223 ФЗ заключено 5 шт. с объемом НМЦ 158 020 040,86 ?</t>
  </si>
  <si>
    <t>ЗА 3 ГОДА ПО 223 ФЗ заключено 1 шт. с объемом НМЦ 52 216 600,00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</si>
  <si>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42.13.20.100 Работы строительные по строительству мостов и тоннелей, кроме работ по сохранению и воссозданию объектов культурного наследия
42.11.10.129 Дороги автомобильные, в том числе улично-дорожная сеть, и прочие автомобильные и пешеходные дороги, не включенные в другие группировки
42.21.22.110 Работы строительные по прокладке местных трубопроводов воды или сточных вод</t>
  </si>
  <si>
    <t>Юридическим лицом принято решение об изменении места нахождения от 05.07.2022</t>
  </si>
  <si>
    <t>"44 за 3 года", "кл фт агент бг 04.22", "свод фт", ".", "рейтинг поставщиков в маркере по бг", "ГРАНДИОЗНЫЙ ПРОЕКТ", "Конкурсы 100+ (Восстановленный)", "fk1", "кредиты фт", "ПОС на 03.04.2023", "Кредитный портфель_01.11", "БГ ФБ ЮР лица на 01.07.2021", "Агентские одобренные но не выданные от 30.08", "Гарантии ФБ банкроты", "филиал бизнес 31.01.22 ", "лимит сит по кредитам",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"44 фз с с БГ от 10 млн", "производители", "рейтинг по нмц маркер", "это заказчик", "на фт заводил Синяев", "поставщики маркер"</t>
  </si>
  <si>
    <t>19.20.21.400 Топливо судовое
19.20.21.300 Топливо дизельное
19.20.21.325 Топливо дизельное зимнее экологического класса К5</t>
  </si>
  <si>
    <t>ЗА 3 ГОДА ПО 223 ФЗ заключено 5 шт. с объемом НМЦ 61 540 000,00 ?</t>
  </si>
  <si>
    <t>"223 за 3 года", ".", "Участники клиринга", "производители", "поставщики маркер", "44 за 3 года"</t>
  </si>
  <si>
    <t>"поставщики маркер", ".", "все клиенты с выручкой от 1,8 млрд до бесконечности", "рейтинг заказчиков маркер", "производители"</t>
  </si>
  <si>
    <t>14.13.24.110 Брюки мужские или для мальчиков из текстильных материалов, кроме трикотажных или вязаных</t>
  </si>
  <si>
    <t>10.51.30.111 Масло сладко-сливочное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10.51.11.122 Молоко питьевое козье ультрапастеризованное (ультравысокотемпературно-обработанное)
10.51.40.313 Творог (кроме зерненого и произведенного с использованием ультрафильтрации и сепарирования) без вкусовых компонентов от 4 % до 11 % жирности
10.51.30.100 Масло сливочное
10.51.52.112 Йогурт с вкусовыми компонентами</t>
  </si>
  <si>
    <t>35.30.11.120 Энергия тепловая, отпущенная котельными
35.30.12.130 Услуги по транспортированию горячей воды
35.30.11.111 Энергия тепловая, отпущенная тепловыми электроцентралями (ТЭЦ)
68.20.12.000 Услуги по сдаче в аренду (внаем) собственных или арендованных нежилых помещений
36.00.12.000 Вода непитьевая
36.00.20.130 Услуги по транспортированию и распределению воды по водопроводам
36.00.11.000 Вода питьевая</t>
  </si>
  <si>
    <t>ЗА 3 ГОДА ПО 223 ФЗ заключено 10 шт. с объемом НМЦ 35 487 679,31 ?</t>
  </si>
  <si>
    <t>За 3 года по 223ФЗ заключено  16 шт контрактов на сумму 30 721 727,29 ?</t>
  </si>
  <si>
    <t>1 088</t>
  </si>
  <si>
    <t>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10.82.2 Шоколад и кондитерские сахаристые изделия
10.72.19.140 Полуфабрикаты хлебобулочные замороженные
10.8 Продукты пищевые прочие
10.71.12.115 Торты прочие
10.20.14.120 Филе морской рыбы мороженое
10.11.31.110 Говядина замороженная
10.11.33.120 Мясо ягнят замороженное
10.5 Молоко и молочная продукция ****</t>
  </si>
  <si>
    <t>за 1 ГОД ПО 223ФЗ заключено 1  4 008 155,00 ?</t>
  </si>
  <si>
    <t>Сообщение кредитора о намерении обратиться в суд с заявлением о банкротстве от 31.03.2021</t>
  </si>
  <si>
    <t>1 184</t>
  </si>
  <si>
    <t>20.42.15.110 Средства косметические для макияжа лица, не включенные в другие группировки
32.50.13.190 Инструменты и приспособления, применяемые в медицинских целях, прочие, не включенные в другие группировки
32.50.22.190 Протезы органов человека, не включенные в другие группировки
20.42.15.139 Средства для ухода за кожей лица прочие
20.42.15.130 Средства для ухода за кожей лица: лосьоны, кремы, специальные средства
20.42.15.150 Средства защитные для кожи (включая солнцезащитные и для загара), не включенные в другие группировки
20.42.15.190 Средства косметические для ухода за кожей прочие, не включенные в другие группировки
20.42.15.120 Средства для очистки кожи лица (в том числе для удаления косметики и грима)
20.42.17.120 Средства для волос прочие, не включенные в другие группировки
32.50 Инструменты и оборудование медицинские ****</t>
  </si>
  <si>
    <t>24.10.22 Сталь нержавеющая в слитках или прочих первичных формах и полуфабрикаты из нержавеющей стали</t>
  </si>
  <si>
    <t>За весь период контрактов 3 шт. на общую сумму НМЦ 806 327 494,74 ?</t>
  </si>
  <si>
    <t>20.13.24.149 Кислоты неорганические прочие, не включенные в другие группировки
20.14.2 Спирты, фенолы, фенолоспирты и их галогенированные, сульфированные, нитрованные или нитрозированные производные; спирты жирные промышленные
20.59.59 Продукты разные химические, не включенные в другие группировки
20.13.42.130 Фосфаты
20.13.21.150 Углерод технический (сажи и прочие формы дисперсного углерода, не включенные в другие группировки)</t>
  </si>
  <si>
    <t>52.23.12 Услуги по управлению воздушным движением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79.11.11.000 Услуги по бронированию авиабилетов
19.20.25.110 Топливо для реактивных двигателей летательных аппаратов с дозвуковой скоростью полета
51.10.11.000 Услуги по регулярным пассажирским перевозкам воздушным транспортом на местных линиях
52.23.19.190 Услуги вспомогательные прочие, связанные с воздушным транспортом, не включенные в другие группировки
52.23.11.000 Услуги аэропортов, кроме обработки грузов
52.23.12.120 Услуги радиолокационных станций, расположенных в аэропортах
52.23 Услуги вспомогательные, связанные с воздушным и космическим транспортом</t>
  </si>
  <si>
    <t>за 1 ГОД ПО 223ФЗ заключено 3  4 746 839,24 ?</t>
  </si>
  <si>
    <t>28.30 Машины и оборудование для сельского и лесного хозяйства</t>
  </si>
  <si>
    <t>За 3 года по 223ФЗ заключено  1 шт контрактов на сумму 36 000 000,00 ?</t>
  </si>
  <si>
    <t>"это заказчик", ".", "все клиенты с выручкой от 1,8 млрд до бесконечности", "производители", "рейтинг по нмц маркер"</t>
  </si>
  <si>
    <t>10.51.22.112 Молоко сухое цельное, от 26,0 % до 41,9 % жирности
10.51.30.400 Жир молочный
10.51.4 Сыры, продукты сырные и творог
10.51.52.140 Кефир
10.51.56.150 Продукты на основе творога
10.51.11.141 Молоко питьевое коровье стерилизованное
10.89.19.290 Продукты пищевые прочие, не включенные в другие группировки
10.51.1 Молоко и сливки, кроме сырых
10.51.21.110 Молоко сухое не более 1,5 % жирности
10.51.3 Масло сливочное, пасты масляные, масло топленое, жир молочный, спреды и смеси топленые сливочно-растительные ****</t>
  </si>
  <si>
    <t>ЗА 3 ГОДА ПО 223 ФЗ заключено 29 шт. с объемом НМЦ 67 985 034,61 ? за 1 ГОД ПО 223ФЗ заключено 4  11 093 955,20 ?</t>
  </si>
  <si>
    <t>41.20.20.900 Сооружения спортивно-оздоровительные и сооружения прочие, не включенные в другие группировки</t>
  </si>
  <si>
    <t>"44 за 3 года", ".", "все клиенты с выручкой от 1,8 млрд до бесконечности", "Участники клиринга", "crm управления", "в crm за Шаклейном ", "поставщики маркер"</t>
  </si>
  <si>
    <t>Сообщения о принятии решения о реорганизации от 01.12.2017</t>
  </si>
  <si>
    <t>Сообщения о принятии решения о реорганизации от 28.02.2022</t>
  </si>
  <si>
    <t>20.13.24.149 Кислоты неорганические прочие, не включенные в другие группировки
20.20.14.000 Средства дезинфекционные
20.30.22.220 Растворители и разбавители органические сложные; составы готовые для удаления красок и лаков (смывки)
20.14.12.220 Углеводороды ароматические с двумя или более сконденсированными бензольными кольцами
20.59.42.140 Продукты аналогичные присадкам к топливу и смазочным материалам
72.19.2 Услуги, связанные с научными исследованиями и экспериментальными разработками в области технических наук и в области технологий, кроме биотехнологии
20.41.20.120 Вещества поверхностно-активные катионные
20.41.20.130 Вещества поверхностно-активные неионогенные
20.59.59.900 Продукты разные химические прочие, не включенные в другие группировки</t>
  </si>
  <si>
    <t>За весь период компания заключила  8 контрактов на сумму  15 864 239 092,87 ?                                         за 1 ГОД ПО 223ФЗ заключено 1  7 680 702,00 ?</t>
  </si>
  <si>
    <t>32.50.13.190 Инструменты и приспособления, применяемые в медицинских целях, прочие, не включенные в другие группировки
77.29.19.000 Услуги по прокату прочих бытовых изделий и предметов личного пользования, не включенных в другие группировки
77.29.14.000 Услуги по прокату бытовых бельевых изделий
96.01.19.139 Прочие услуги прачечных
96.01 Услуги по стирке и чистке (в том числе химической) изделий из тканей и меха
77.39.19.129 Услуги по аренде и лизингу прочих материальных средств, не включенных в другие группировки
96.01.19.100 Услуги прачечных
96.01.19.124 Услуги по стирке спецодежды
32.50.50.190 Изделия медицинские, в том числе хирургические, прочие, не включенные в другие группировки
96.01.19.115 Услуги по стирке прямого хлопчатобумажного и льняного белья ****</t>
  </si>
  <si>
    <t>1 048</t>
  </si>
  <si>
    <t>За весь период компания заключила  5 контрактов на сумму  4 838 985 127,49 ? За весь период заходили в конкурсы  9 раз на общую сумму обеспеченных контрактов с НМЦ 862 555 161,05 ? с БГУ  11 047 820,09 ? с БГИ 111 320 131,46 ?               ЗА 1 ГОД по 44ФЗ заключено 6 шт. c объемом НМЦ 13 776 654,97 ? с БГИ 4 126 124,16 ? с БГГО 0,00 ? с авансированием до  3 488 789,09 ? с комиссией банку  105 039,40 ? с кв 913,84 ?</t>
  </si>
  <si>
    <t>"44 за 3 года", ".", "рейтинг поставщиков в маркере по бг", "ушедшие", "все клиенты с выручкой от 1,8 млрд до бесконечности", "производители", "рейтинг по нмц маркер", "поставщики маркер"</t>
  </si>
  <si>
    <t>73 Услуги рекламные и услуги по исследованию конъюнктуры рынка
73.11.1 Услуги, предоставляемые рекламными агентствами</t>
  </si>
  <si>
    <t>"Обороты по клиентам по кварталам (2022г)", ".", "fk1", "корп 1", "ФК клиенты с выручкой от 230 до бесконечности"</t>
  </si>
  <si>
    <t>19.2 Нефтепродукты
46.71 Услуги по оптовой торговле твердым, жидким и газообразным топливом и связанными продуктами
19.20.21 Топливо моторное, включая автомобильный и авиационный бензин
19.20.21.100 Бензин автомобильный
19 Кокс и нефтепродукты
19.20.21.125 Бензин автомобильный с октановым числом более 92, но не более 95 по исследовательскому методу экологического класса К5
19.20.9 Услуги по производству нефтепродуктов отдельные, выполняемые субподрядчиком
19.20.21.120 Бензин автомобильный с октановым числом более 92, но не более 95 по исследовательскому методу
19.20.2 Топливо жидкое и газообразное; масла смазочные
19.20.21.300 Топливо дизельное ****</t>
  </si>
  <si>
    <t>За весь период контрактов 2 шт. на общую сумму НМЦ 9 760 226 351,04 ?</t>
  </si>
  <si>
    <t>"223 за 3 года", "свод фт", ".", "ушедшие", "все клиенты с выручкой от 1,8 млрд до бесконечности", "рейтинг по нмц маркер", "на фт заводил Кашин", "crm управления", "в crm за шинахововым", "поставщики маркер"</t>
  </si>
  <si>
    <t>21.20.23.113 Средства радиофармацевтические диагностические
21.20.23.199 Средства нелечебные прочие
21 Средства лекарственные и материалы, применяемые в медицинских целях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21.20.10.155 Препараты для лечения псориаза
21.20.10.191 Препараты антибактериальные для системного использования
21.20.10.213 Иммуномодуляторы
21.20.10.241 Препараты противопротозойные ****</t>
  </si>
  <si>
    <t>За весь период компания заключила  49  3 285 161 261,11 ? За весь период заходили в конкурсы  79 раз на общую сумму обеспеченных контрактов с НМЦ 5 735 939 470,01 ? с БГУ  173 419 114,24 ? с БГИ 862 219 674,43 ? За 3 ГОДА по 44ФЗ заключено 1316 шт. с объемом НМЦ  4 098 375 787,80 ? с БГИ 399 808 956,25 ? с БГГО 6 603 507,88 ? с авансированием до 0,00 ? с комиссией банку 3 908 551,80 ? с кв 34 004,40 ? ЗА 1 ГОД по 44ФЗ заключено 362 шт. c объемом НМЦ 1 121 137 090,32 ? с БГИ 106 829 989,84 ? с БГГО 0,00 ? с авансированием до  0,00 ? с комиссией банку  1 673 261,59 ? с кв 14 557,38 ? ЗА 3 ГОДА ПО 223 ФЗ заключено 52 шт. с объемом НМЦ 317 738 774,05 ? за 1 ГОД ПО 223ФЗ заключено 13  86 930 944,10 ?</t>
  </si>
  <si>
    <t>55.90.19.000 Услуги по предоставлению временного жилья прочие, не включенные в другие группировки
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51.10.11.000 Услуги по регулярным пассажирским перевозкам воздушным транспортом на местных линиях
19.20.25.112 Топливо для реактивных двигателей летательных аппаратов с дозвуковой скоростью полета марки ТС-1
51.10.13.000 Услуги по регулярным пассажирским перевозкам воздушным транспортом на международных линиях
19.20 Нефтепродукты</t>
  </si>
  <si>
    <t>За весь период заходили в конкурсы  2 раз на общую сумму обеспеченных контрактов с НМЦ 169 473 156,64 ? с БГУ  855 925,04 ? с БГИ 17 118 500,68 ?</t>
  </si>
  <si>
    <t>28.92.6 Части оборудования для добычи полезных ископаемых подземным и открытым способами и строительства
08.12.12.140 Щебень
08.12.12.150 Камень природный дробленый
08.11.11.190 Камень известняковый для памятников или строительства прочий
08.12.11.130 Пески строительные</t>
  </si>
  <si>
    <t>За весь период компания заключила  5 контрактов на сумму  312 826 736,75 ? За весь период заходили в конкурсы  6 раз на общую сумму обеспеченных контрактов с НМЦ 409 074 972,54 ? с БГУ  5 409 952,96 ? с БГИ 66 129 718,01 ? За 3 ГОДА по 44ФЗ заключено 1 шт. с объемом НМЦ  99 303 768,00 ? с БГИ 9 930 376,80 ? с БГГО 0,00 ? с авансированием до 0,00 ? с комиссией банку 204 048,84 ? с кв 1 775,22 ?</t>
  </si>
  <si>
    <t>"44 за 3 года", ".", "рейтинг поставщиков в маркере по бг", "fk1", "все клиенты с выручкой от 1,8 млрд до бесконечности", "Обороты по клиентам по кварталам (2022г)", "рейтинг по нмц маркер", "поставщики маркер"</t>
  </si>
  <si>
    <t>25.30.11.110 Котлы паровые
25.30.12.111 Трубопроводы
25.30.12.113 Оборудование котельное
28.14.11.120 Арматура регулирующая
22.21.29.110 Трубы прочие пластмассовые
24.20.11.000 Трубы стальные для нефте- и газопроводов бесшовные
27.11.32.120 Установки генераторные прочие
28.11.21.110 Турбины на водяном паре
24.20.23.000 Трубы круглого сечения сварные прочие, наружным диаметром более 406,4 мм, стальные
24.20.33.000 Трубы круглого сечения сварные прочие, наружным диаметром не более 406,4 мм, стальные ****</t>
  </si>
  <si>
    <t>За весь период компания заключила  23 контрактов на сумму  9 566 379 185,75 ?                                     ЗА 3 ГОДА ПО 223 ФЗ заключено 4 шт. с объемом НМЦ 290 715 604,69 ?</t>
  </si>
  <si>
    <t>На 28.04.2023 11:21 имеются действующие решения ФНС о приостановлении операций по счетам</t>
  </si>
  <si>
    <t>"223 за 3 года", ".", "рейтинг по нмц маркер", "crm управления", "в crm за Шаклейном "</t>
  </si>
  <si>
    <t>45.20 Услуги по техническому обслуживанию и ремонту автотранспортных средств
29.10.23.000 Средства транспортные с поршневым двигателем внутреннего сгорания с воспламенением от сжатия (дизелем или полудизелем), новые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t>
  </si>
  <si>
    <t>45.20.11.519 Прочие услуги по техническому обслуживанию и ремонту прочих автотранспортных средств, не включенные в другие группировки
45.20.21.111 Услуги по регламентным работам (по видам технического обслуживания)
45.11.3 Услуги по розничной торговле легковыми автомобилями и грузовыми автомобилями малой грузоподъемности прочие</t>
  </si>
  <si>
    <t>ЗА 3 ГОДА ПО 223 ФЗ заключено 3 шт. с объемом НМЦ 25 047 185,33 ?</t>
  </si>
  <si>
    <t>20.13.41.120 Сульфиты
22.22.14.000 Бутыли, бутылки, флаконы и аналогичные изделия из пластмасс
22.22.19.000 Изделия упаковочные пластмассовые прочие
20.42.15.140 Средства для ухода за кожей тела: лосьоны, кремы (в том числе детские)
21.20.23.110 Реагенты диагностические
21.20.23.199 Средства нелечебные прочие
21.20.24.140 Пакеты перевязочные медицинские
20.59.52.199 Реагенты сложные диагностические или лабораторные прочие, не включенные в другие группировки
22.19.50.000 Материалы прорезиненные текстильные, кроме кордных тканей
22.19.71.120 Соски различных типов (в том числе для бутылочек) и аналогичные изделия для детей ****</t>
  </si>
  <si>
    <t>За весь период компания заключила  16 контрактов на сумму  1 480 183 623,60 ? За весь период заходили в конкурсы  320 раз на общую сумму обеспеченных контрактов с НМЦ 708 080 607,51 ? с БГУ  190 444 716,33 ? с БГИ 326 139 879,98 ?               ЗА 1 ГОД по 44ФЗ заключено 6 шт. c объемом НМЦ 199 404 076,66 ? с БГИ 9 683 158,16 ? с БГГО 0,00 ? с авансированием до  23 547 750,00 ? с комиссией банку  86 002,74 ? с кв 748,22 ? ЗА 3 ГОДА ПО 223 ФЗ заключено 47 шт. с объемом НМЦ 25 889 116,35 ? за 1 ГОД ПО 223ФЗ заключено 5  4 770 659,06 ?</t>
  </si>
  <si>
    <t>Сообщения о принятии решения о реорганизации от 18.03.2022</t>
  </si>
  <si>
    <t>22.23.15.000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t>
  </si>
  <si>
    <t>28.14.12.110 Краны, клапаны для раковин, моек, биде, унитазов, ванн и аналогичная арматура
23.52.10.110 Известь негашеная
23.20.12.190 Изделия огнеупорные прочие, кроме изделий из кремнеземистой каменной муки или диатомитовых земель
23.31.10.110 Плиты керамические
23.31.10.120 Плитки керамические
20.59 Продукты химические прочие, не включенные в другие группировки
16.21.12.110 Фанера
16.21.12.111 Фанера общего назначения
22.21.4 Плиты, листы, пленка и полосы (ленты) прочие пластмассовые
22.21.42.130 Полосы (ленты) прочие пластмассовые непористые ****</t>
  </si>
  <si>
    <t>ЗА 3 ГОДА ПО 223 ФЗ заключено 22 шт. с объемом НМЦ 53 594 002,14 ? за 1 ГОД ПО 223ФЗ заключено 5  25 874 889,17 ?</t>
  </si>
  <si>
    <t>Заказчик разыгравший 16 конкурсов на сумму  1 416 787 827,94 ?</t>
  </si>
  <si>
    <t>Сообщения о принятии решения о реорганизации от 09.06.2017</t>
  </si>
  <si>
    <t>26.20.18.000 Устройства периферийные с двумя или более функциями: печать данных, копирование, сканирование, прием и передача факсимильных сообщений
26.4 Техника бытовая электронная
27.51.12.000 Машины посудомоечные бытовые
28.23.25.000 Части и принадлежности прочих офисных машин
15.12.12.199 Изделия аналогичные прочие из натуральной кожи, сочетаний кожи, листов пластмассы, текстильных материалов, вулканизированных волокон или картона
26.70.14.190 Фотокамеры прочие
27.51.11.110 Холодильники бытовые
27.51.26.110 Приборы отопительные электрические
25.99.12.112 Изделия столовые, кухонные и бытовые и их детали из нержавеющей стали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t>
  </si>
  <si>
    <t>Заказчик разыгравший 8 конкурсов на сумму  3 076 491 066,16 ?</t>
  </si>
  <si>
    <t>"223 за 3 года", ".", "ИНН_договоры_октябрь_", "Кредитный портфель_01.11", "корп 1", "06.2022_ФинХД", "все клиенты с выручкой от 1,8 млрд до бесконечности", "ФК клиенты с выручкой от 230 до бесконечности", "рейтинг заказчиков маркер", "это заказчик", "поставщики маркер"</t>
  </si>
  <si>
    <t>За весь период заходили в конкурсы  1 раз на общую сумму обеспеченных контрактов с НМЦ 0,00 ? с БГУ  91 173 517,57 ? с БГИ 607 823 450,44 ?</t>
  </si>
  <si>
    <t>"рейтинг по нмц маркер", ".", "рейтинг поставщиков в маркере по бг", "все клиенты с выручкой от 1,8 млрд до бесконечности"</t>
  </si>
  <si>
    <t>50.40.19.900 Услуги по перевозке внутренним водным транспортом прочих грузов, не включенные в другие группировки
68.31.14.130 Услуги посреднические по аренде нежилых зданий и занимаемых ими земельных участков за вознаграждение или на договорной основе
68.20.12.000 Услуги по сдаче в аренду (внаем) собственных или арендованных нежилых помещений</t>
  </si>
  <si>
    <t>"поставщики маркер", ".", "ушедший портфель", "fk1", "ИНН 3 года - нет КД БГ на 01.10.22", "Список ушедший ",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 "это заказчик"</t>
  </si>
  <si>
    <t>За 3 года по 223ФЗ заключено  8 шт контрактов на сумму 32 071 503,14 ?</t>
  </si>
  <si>
    <t>"223 за 3 года", ".", "рейтинг поставщиков в маркере по бг", "все клиенты с выручкой от 1,8 млрд до бесконечности", "Участники клиринга", "поставщики маркер"</t>
  </si>
  <si>
    <t>43.39.19.190 Работы завершающие и отделочные в зданиях и сооружениях, прочие, не включенные в другие группировки
43.21.10.290 Работы электромонтажные прочие, не включенные в другие группировки</t>
  </si>
  <si>
    <t>Юридическое лицо находится в процессе реорганизации в форме присоединения к нему других юридических лиц от 20.02.2023, Сообщения о принятии решения о реорганизации от 21.02.2023</t>
  </si>
  <si>
    <t>За год заключили по 223фз 3 контракта(ов) на сумму  8 318 330,57 ?</t>
  </si>
  <si>
    <t>1 046</t>
  </si>
  <si>
    <t>"поставщики маркер", "свод фт", ".", "ушедший портфель",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"на фт заводил Вохмина"</t>
  </si>
  <si>
    <t>11.07.1 Воды минеральные и безалкогольные напитки
46.34.12.120 Услуги по оптовой торговле пивом
11.05.1 Пиво, кроме отходов пивоварения</t>
  </si>
  <si>
    <t>71.12.16.000 Услуги по инженерно-техническому проектированию производственных процессов и производств
71.12.20.190 Услуги по руководству строительными проектами прочие
43.39.19 Работы завершающие и отделочные в зданиях и сооружениях прочие, не включенные в другие группировки
41.10.10.000 Документация проектная для строительства
71.12.12.190 Услуги по инженерно-техническому проектированию зданий прочие, не включенные в другие группировки</t>
  </si>
  <si>
    <t>За весь период компания заключила  23 контрактов на сумму  17 331 201 745,66 ? За весь период заходили в конкурсы  24 раз на общую сумму обеспеченных контрактов с НМЦ 12 625 201 718,34 ? с БГУ  684 872 169,72 ? с БГИ 1 636 106 386,44 ?</t>
  </si>
  <si>
    <t>Сообщение кредитора о намерении обратиться в суд с заявлением о банкротстве от 28.02.2020</t>
  </si>
  <si>
    <t>"поставщики маркер", ".", "рейтинг поставщиков в маркере по бг", "все клиенты с выручкой от 1,8 млрд до бесконечности", "рейтинг по нмц маркер", "crm управления", "в crm за Черненьким"</t>
  </si>
  <si>
    <t>43.22 Работы по монтажу систем водопровода, канализации, отопления и кондиционирования воздуха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42.21.22.120 Работы строительные по прокладке местных трубопроводов горячей воды
71 Услуги в области архитектуры и инженерно-технического проектирования, технических испытаний, исследований и анализа
71.20.19.190 Услуги по техническим испытаниям и анализу прочие, не включенные в другие группировки
71.12.16 Услуги по инженерно-техническому проектированию объектов водоснабжения и канализации
71.12.19.100 Услуги по инженерно-техническому проектированию прочих объектов, кроме объектов культурного наследия
42.12.20.190 Работы строительные по строительству наземных и подземных железных дорог прочие, не включенные в другие группировки
42.21.21.000 Работы строительные по прокладке магистральных трубопроводов
71.12.35.120 Услуги в области картографии, кроме услуг в области кадастровой деятельности ****</t>
  </si>
  <si>
    <t>За весь период компания заключила  42 контрактов на сумму  40 635 871 685,35 ? За весь период заходили в конкурсы  64 раз на общую сумму обеспеченных контрактов с НМЦ 37 594 655 030,97 ? с БГУ  1 605 579 214,86 ? с БГИ 9 305 780 440,77 ? За 3 ГОДА по 44ФЗ заключено 17 шт. с объемом НМЦ  12 991 172 453,38 ? с БГИ 2 181 048 903,20 ? с БГГО 258 777 106,81 ? с авансированием до 810 444 389,63 ? с комиссией банку 8 718 930,41 ? с кв 75 854,69 ? ЗА 1 ГОД по 44ФЗ заключено 8 шт. c объемом НМЦ 5 279 214 784,40 ? с БГИ 724 637 613,31 ? с БГГО 88 609 904,01 ? с авансированием до  499 311 003,71 ? с комиссией банку  5 598 329,87 ? с кв 48 705,47 ?</t>
  </si>
  <si>
    <t>"223 за 3 года", "свод фт", ".", "рейтинг поставщиков в маркере по бг", "ГРАНДИОЗНЫЙ ПРОЕКТ", "fk1", "ПОС на 01.02.2023", "ПОС на 03.04.2023", "Кредитный портфель_01.11", "06.2022_ФинХД", "все клиенты с выручкой от 1,8 млрд до бесконечности", "Обороты по клиентам по кварталам (2022г)", "44 фз с с БГ от 10 млн", "производители", "рейтинг по нмц маркер", "на фт заводил Кашин", "поставщики маркер", "44 за 3 года"</t>
  </si>
  <si>
    <t>20.13.41.130 Сульфаты
21.10.20.110 Лизин, кислота глутаминовая и их соли
10.91.10.173 Премиксы для птиц
21.20.10.121 Добавки минеральные
10.92.10.300 Кормовые добавки для непродуктивных животных
10.89.19.150 Добавки пищевые комплексные
10.91.10.172 Премиксы для свиней
20.14.42.000 Аминосоединения, включающие кислородсодержащую функциональную группу, кроме лизина и глутаминовой кислоты
10.91.10.171 Премиксы для крупного рогатого скота</t>
  </si>
  <si>
    <t>"223 за 3 года", ".", "райф", "06.2022_ФинХД", "производители", "рейтинг по нмц маркер", "это заказчик", "поставщики маркер"</t>
  </si>
  <si>
    <t>"производители", ".", "fk1", "райф", "клиенты с в от100млн 09.21", "все клиенты с выручкой от 1,8 млрд до бесконечности"</t>
  </si>
  <si>
    <t>Сообщение кредитора о намерении обратиться в суд с заявлением о банкротстве от 12.04.2023</t>
  </si>
  <si>
    <t>71.12.16.000 Услуги по инженерно-техническому проектированию производственных процессов и производств
31.09.13.142 Наборы детской деревянной мебели
42.99.12.124 Территории парковые и парки для отдыха
41.20.40.900 Работы строительные по возведению нежилых зданий и сооружений прочие, не включенные в другие группировки
42.11.10.120 Дороги автомобильные, в том числе улично-дорожная сеть, и прочие автомобильные и пешеходные дороги
41.20.20.700 Сооружения жилищно-коммунального хозяйства, охраны окружающей среды и рационального природопользования
31.01.12.190 Мебель офисная деревянная прочая
68.10.11.000 Услуги по покупке и продаже жилых зданий и занимаемых ими земельных участков
31.09.11.190 Мебель металлическая хозяйственно-бытового назначения прочая, не включенная в другие группировки
31.09.13.140 Мебель детская деревянная ****</t>
  </si>
  <si>
    <t>За весь период компания заключила  53 контрактов на сумму  15 262 153 445,33 ? За весь период заходили в конкурсы  195 раз на общую сумму обеспеченных контрактов с НМЦ 30 063 206 744,58 ? с БГУ  372 564 866,50 ? с БГИ 7 792 608 105,04 ? За 3 ГОДА по 44ФЗ заключено 74 шт. с объемом НМЦ  9 744 889 967,58 ? с БГИ 2 523 640 484,45 ? с БГГО 169 693 499,55 ? с авансированием до 47 001 323,18 ? с комиссией банку 28 245 118,08 ? с кв 245 732,53 ? ЗА 1 ГОД по 44ФЗ заключено 24 шт. c объемом НМЦ 2 269 834 257,26 ? с БГИ 649 616 061,73 ? с БГГО 15 667 107,73 ? с авансированием до  47 001 323,18 ? с комиссией банку  12 456 182,59 ? с кв 108 368,79 ?</t>
  </si>
  <si>
    <t>"44 за 3 года", ".", "рейтинг поставщиков в маркере по бг", "Конкурсы 100+ (Восстановленный)", "все клиенты с выручкой от 1,8 млрд до бесконечности", "44 фз с с БГ от 10 млн", "рейтинг по нмц маркер", "crm управления", "в crm за Досхоевым", "поставщики маркер"</t>
  </si>
  <si>
    <t>26.30.22 Аппараты телефонные для сотовых сетей связи или для прочих беспроводных сетей</t>
  </si>
  <si>
    <t>60.10.30.000 Время для рекламы на радио
60.10.20.000 Программы радиоканалов
63.91.12.000 Услуги информационных агентств, предоставляемые аудиовизуальным средствам массовой информации
73 Услуги рекламные и услуги по исследованию конъюнктуры рынка
90.02.19.000 Услуги по поддержке в области исполнительских искусств прочие
73.11.19.000 Услуги рекламные прочие
73.12.12.000 Услуги по продаже места или времени для рекламы на телевидении/радио за вознаграждение или на договорной основе
60.1 Услуги в области радиовещания
73.12.19.000 Услуги по продаже прочего места или времени для рекламы за вознаграждение или на договорной основе
60.10.11.000 Услуги по составлению программ радиопередач и их передаче ****</t>
  </si>
  <si>
    <t>Юридическое лицо находится в процессе реорганизации в форме присоединения к нему других юридических лиц от 24.03.2023</t>
  </si>
  <si>
    <t>27.40.12.000 Лампы накаливания галогенные с вольфрамовой нитью, кроме ультрафиолетовых или инфракрасных ламп
22.22.14.000 Бутыли, бутылки, флаконы и аналогичные изделия из пластмасс
27.90.33.110 Комплектующие (запасные части) прочего электрического оборудования, не имеющие самостоятельных группировок
21.20.23.110 Реагенты диагностические
21.20.23.113 Средства радиофармацевтические диагностические
21.20.23.199 Средства нелечебные прочие
20.59.52.140 Среды готовые питательные для выращивания микроорганизмов
20.59.52.199 Реагенты сложные диагностические или лабораторные прочие, не включенные в другие группировки
28.29.12.112 Фильтры очистки воды бытовые
26.60.11.119 Аппараты рентгеновские прочие, используемые для диагностики, применяемые в медицинских целях ****</t>
  </si>
  <si>
    <t>За весь период компания заключила  38 контрактов на сумму  2 673 173 893,84 ? За весь период заходили в конкурсы  108 раз на общую сумму обеспеченных контрактов с НМЦ 6 719 282 818,30 ? с БГУ  293 926 928,91 ? с БГИ 1 419 291 896,14 ? За 3 ГОДА по 44ФЗ заключено 718 шт. с объемом НМЦ  3 667 261 432,22 ? с БГИ 505 259 750,39 ? с БГГО 70 881 429,33 ? с авансированием до 107 494 820,52 ? с комиссией банку 4 830 966,72 ? с кв 42 029,41 ? ЗА 1 ГОД по 44ФЗ заключено 283 шт. c объемом НМЦ 1 050 189 528,78 ? с БГИ 127 994 345,50 ? с БГГО 20 959 914,67 ? с авансированием до  107 494 820,52 ? с комиссией банку  2 053 549,83 ? с кв 17 865,88 ? ЗА 3 ГОДА ПО 223 ФЗ заключено 18 шт. с объемом НМЦ 300 663 289,14 ?</t>
  </si>
  <si>
    <t>"223 за 3 года", "кл фт агент бг 04.22", ".", "рейтинг поставщиков в маркере по бг", "Легкий кредит", "фт (2)", "fk1", "ПОС на 01.02.2023", "ПОС на 03.04.2023", "Кредитный портфель_01.11", "2. Финтендер 2022 31.03.22 Григорян для СПАРК", "БГ ФБ ЮР лица на 01.07.2021", "филиал бизнес 31.01.22 ",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"44 фз с с БГ от 10 млн", "рейтинг по нмц маркер", "поставщики маркер", "44 за 3 года"</t>
  </si>
  <si>
    <t>73.11.19 Услуги рекламные прочие</t>
  </si>
  <si>
    <t>21.20.21.132 Вакцины бактериальные инактивированные профилактические, применяемые в ветеринарии
21.20.23.113 Средства радиофармацевтические диагностические
21.20.23.199 Средства нелечебные прочие
21 Средства лекарственные и материалы, применяемые в медицинских целях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21.20.10.155 Препараты для лечения псориаза
21.20.10.172 Препараты для лечения гинекологических заболеваний прочие
21.20.10.191 Препараты антибактериальные для системного использования ****</t>
  </si>
  <si>
    <t>За весь период компания заключила  19 контрактов на сумму  1 556 067 518,67 ? За весь период заходили в конкурсы  47 раз на общую сумму обеспеченных контрактов с НМЦ 4 888 037 865,17 ? с БГУ  80 095 007,90 ? с БГИ 554 765 622,95 ? За 3 ГОДА по 44ФЗ заключено 678 шт. с объемом НМЦ  3 930 686 547,34 ? с БГИ 319 984 116,62 ? с БГГО 6 835 477,69 ? с авансированием до 37 049,05 ? с комиссией банку 5 189 134,53 ? с кв 45 145,47 ? ЗА 1 ГОД по 44ФЗ заключено 100 шт. c объемом НМЦ 859 375 657,03 ? с БГИ 64 835 957,07 ? с БГГО 369,59 ? с авансированием до  36 233,12 ? с комиссией банку  827 993,14 ? с кв 7 203,54 ? ЗА 3 ГОДА ПО 223 ФЗ заключено 19 шт. с объемом НМЦ 40 238 038,14 ?</t>
  </si>
  <si>
    <t>"223 за 3 года", "кл фт агент бг 04.22", ".", "рейтинг поставщиков в маркере по бг", "клиенты с в от100млн 09.21", "все клиенты с выручкой от 1,8 млрд до бесконечности", "ФК клиенты с выручкой от 230 до бесконечности", "действующие б не прям", "Одобренные но не выданные 1 полугодие 2021", "ФТ клиенты с продуктами по сотрудникам", "44 фз с с БГ от 10 млн", "рейтинг по нмц маркер", "поставщики маркер", "44 за 3 года"</t>
  </si>
  <si>
    <t>86.21.10.190 Услуги, предоставляемые врачами общей врачебной практики, прочие, не включенные в другие группировки
86.21.10 Услуги в области общей врачебной практики
86.22.19.000 Услуги в области специализированной врачебной практики прочие
86.90.15.000 Услуги медицинских лабораторий</t>
  </si>
  <si>
    <t>1 070</t>
  </si>
  <si>
    <t>За весь период заходили в конкурсы  4 раз на общую сумму обеспеченных контрактов с НМЦ 63 139 399,00 ? с БГУ  7 060 480,00 ? с БГИ 29 021 440,00 ? За 3 ГОДА по 44ФЗ заключено 1 шт. с объемом НМЦ  59 404 800,00 ? с БГИ 8 910 720,00 ? с БГГО 0,00 ? с авансированием до 0,00 ? с комиссией банку 374 006,11 ? с кв 3 253,85 ?</t>
  </si>
  <si>
    <t>21.20.23.113 Средства радиофармацевтические диагностические
21.20.23.199 Средства нелечебные прочие
21 Средства лекарственные и материалы, применяемые в медицинских целях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t>
  </si>
  <si>
    <t>За весь период заходили в конкурсы  12 раз на общую сумму обеспеченных контрактов с НМЦ 635 379 386,83 ? с БГУ  34 856 425,68 ? с БГИ 127 916 537,28 ? За 3 ГОДА по 44ФЗ заключено 1309 шт. с объемом НМЦ  3 482 692 370,80 ? с БГИ 318 661 737,35 ? с БГГО 6 941 045,73 ? с авансированием до 33 115 373,40 ? с комиссией банку 3 873 024,91 ? с кв 33 695,32 ? ЗА 1 ГОД по 44ФЗ заключено 496 шт. c объемом НМЦ 1 363 098 051,92 ? с БГИ 123 249 614,31 ? с БГГО 545 744,55 ? с авансированием до  28 308 697,15 ? с комиссией банку  1 664 662,90 ? с кв 14 482,57 ? ЗА 3 ГОДА ПО 223 ФЗ заключено 25 шт. с объемом НМЦ 54 147 113,84 ? за 1 ГОД ПО 223ФЗ заключено 17  31 106 260,16 ?</t>
  </si>
  <si>
    <t>"223 за 3 года", "свод фт", ".", "рейтинг поставщиков в маркере по бг", "Евразия_июлль-август 2019", "ПСБ Гарантии ", "все клиенты с выручкой от 1,8 млрд до бесконечности", "производители", "рейтинг по нмц маркер", "на фт заводил Тихонов ", "на фт заводил Забалотний", "поставщики маркер", "44 за 3 года"</t>
  </si>
  <si>
    <t>"Обороты по клиентам по кварталам (2022г)", ".", "fk1", "инн Красносельская", "корп 1"</t>
  </si>
  <si>
    <t>21.20.21.110 Сыворотки иммунные
21.20.10.134 Растворы плазмозамещающие и перфузионные
21.20.10.227 Препараты для лечения заболеваний костей</t>
  </si>
  <si>
    <t>за 1 ГОД ПО 223ФЗ заключено 1  4 394 836,20 ?</t>
  </si>
  <si>
    <t>"поставщики маркер", ".", "fk1", "инн Красносельская",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"это заказчик"</t>
  </si>
  <si>
    <t>21.20.22.000 Средства химические контрацептивные на основе гормонов или сперматоцидов
21.20.23.110 Реагенты диагностические
21.20.23.113 Средства радиофармацевтические диагностические
21.20.23.199 Средства нелечебные прочие
21 Средства лекарственные и материалы, применяемые в медицинских целях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t>
  </si>
  <si>
    <t>За весь период компания заключила  94 контрактов на сумму  14 473 565 984,07 ? За весь период заходили в конкурсы  280 раз на общую сумму обеспеченных контрактов с НМЦ 29 006 333 946,63 ? с БГУ  1 500 912 752,89 ? с БГИ 5 270 510 759,77 ? За 3 ГОДА по 44ФЗ заключено 8867 шт. с объемом НМЦ  26 495 212 376,70 ? с БГИ 2 416 054 693,71 ? с БГГО 59 292 699,39 ? с авансированием до 5 893 395,75 ? с комиссией банку 27 712 688,64 ? с кв 241 100,39 ? ЗА 1 ГОД по 44ФЗ заключено 3233 шт. c объемом НМЦ 10 495 120 684,22 ? с БГИ 937 798 023,41 ? с БГГО 445 562,86 ? с авансированием до  3 346 109,91 ? с комиссией банку  12 556 521,35 ? с кв 109 241,74 ? ЗА 3 ГОДА ПО 223 ФЗ заключено 401 шт. с объемом НМЦ 1 327 017 706,04 ? за 1 ГОД ПО 223ФЗ заключено 102  263 867 265,76 ?</t>
  </si>
  <si>
    <t>"223 за 3 года", ".", "рейтинг поставщиков в маркере по бг", "Конкурсы 100+ (Восстановленный)", "fk1", "инн Красносельская",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"44 фз с с БГ от 10 млн", "производители", "рейтинг по нмц маркер", "поставщики маркер", "44 за 3 года"</t>
  </si>
  <si>
    <t>86.10.15.000 Услуги больниц прочие, оказываемые врачами
86.90.15.000 Услуги медицинских лабораторий
86.22.19 Услуги в области специализированной врачебной практики прочие</t>
  </si>
  <si>
    <t>"44 за 3 года", ".", "все клиенты с выручкой от 1,8 млрд до бесконечности", "рейтинг заказчиков маркер"</t>
  </si>
  <si>
    <t>21.20.23.113 Средства радиофармацевтические диагностические
21.20.23.199 Средства нелечебные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21.20.10.263 Препараты для лечения заболеваний глаз и уха
21.20.23.190 Препараты фармацевтические прочие ****</t>
  </si>
  <si>
    <t>За весь период компания заключила  7 контрактов на сумму  382 740 591,38 ? За весь период заходили в конкурсы  15 раз на общую сумму обеспеченных контрактов с НМЦ 1 026 419 839,84 ? с БГУ  8 909 713,02 ? с БГИ 117 297 526,48 ? За 3 ГОДА по 44ФЗ заключено 3244 шт. с объемом НМЦ  10 125 170 125,11 ? с БГИ 886 380 529,91 ? с БГГО 925 916,81 ? с авансированием до 4 753 393,56 ? с комиссией банку 13 551 225,00 ? с кв 117 895,66 ? ЗА 1 ГОД по 44ФЗ заключено 1567 шт. c объемом НМЦ 5 115 603 066,53 ? с БГИ 458 293 411,01 ? с БГГО 536 303,46 ? с авансированием до  3 882 962,39 ? с комиссией банку  7 013 532,31 ? с кв 61 017,73 ? ЗА 3 ГОДА ПО 223 ФЗ заключено 49 шт. с объемом НМЦ 153 689 375,61 ? за 1 ГОД ПО 223ФЗ заключено 39  144 545 667,20 ?</t>
  </si>
  <si>
    <t>"223 за 3 года", ".", "рейтинг поставщиков в маркере по бг", "Конкурсы 100+ (Восстановленный)", "223 фз контракты 20+", "44 фз с с БГ от 10 млн", "рейтинг по нмц маркер", "поставщики маркер", "44 за 3 года"</t>
  </si>
  <si>
    <t>71.12.40.120 Услуги в области метрологии
26.60.11.119 Аппараты рентгеновские прочие, используемые для диагностики, применяемые в медицинских целях
26.60.99.000 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33.13.13.000 Услуги по ремонту и техническому обслуживанию профессиональных оптических приборов и фотооборудования
33.19 Услуги по ремонту прочего оборудования
32.50.13.190 Инструменты и приспособления, применяемые в медицинских целях, прочие, не включенные в другие группировки
32.50.21.112 Оборудование терапевтические
32.50.21.121 Аппараты для ингаляционного наркоза
32.50.21.122 Аппараты дыхательные реанимационные ****</t>
  </si>
  <si>
    <t>За весь период компания заключила  15 контрактов на сумму  967 246 149,90 ? За весь период заходили в конкурсы  42 раз на общую сумму обеспеченных контрактов с НМЦ 4 104 444 626,02 ? с БГУ  53 193 131,30 ? с БГИ 438 925 456,42 ? За 3 ГОДА по 44ФЗ заключено 1258 шт. с объемом НМЦ  5 984 903 197,34 ? с БГИ 603 823 888,27 ? с БГГО 109 616 984,15 ? с авансированием до 127 710 000,00 ? с комиссией банку 9 392 983,67 ? с кв 81 718,96 ? ЗА 1 ГОД по 44ФЗ заключено 547 шт. c объемом НМЦ 1 597 536 990,21 ? с БГИ 148 094 811,37 ? с БГГО 24 851 543,02 ? с авансированием до  78 600 000,00 ? с комиссией банку  1 899 211,97 ? с кв 16 523,14 ? ЗА 3 ГОДА ПО 223 ФЗ заключено 25 шт. с объемом НМЦ 530 371 753,28 ? за 1 ГОД ПО 223ФЗ заключено 7  18 310 165,45 ?</t>
  </si>
  <si>
    <t>"223 за 3 года", ".", "рейтинг поставщиков в маркере по бг", "ГРАНДИОЗНЫЙ ПРОЕКТ", "44 фз с с БГ от 10 млн", "рейтинг по нмц маркер", "это заказчик", "поставщики маркер", "44 за 3 года"</t>
  </si>
  <si>
    <t>32.50.13.190 Инструменты и приспособления, применяемые в медицинских целях, прочие, не включенные в другие группировки
32.50.50.190 Изделия медицинские, в том числе хирургические, прочие, не включенные в другие группировки</t>
  </si>
  <si>
    <t>клиент ФК 2,5-4457</t>
  </si>
  <si>
    <t>"44 за 3 года", ".", "факторинг", "Действующий клиент мсб с выр до 6 млн на 05.21", "ФК клиенты с выручкой 2,5-8 млн"</t>
  </si>
  <si>
    <t>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32.50.21.121 Аппараты для ингаляционного наркоза
32.50.21.122 Аппараты дыхательные реанимационные
32.50.22.190 Протезы органов человека, не включенные в другие группировки
33.12.29.900 Услуги по ремонту и техническому обслуживанию прочего оборудования специального назначения, не включенные в другие группировки
33.19.10.000 Услуги по ремонту прочего оборудования
77.39.19.116 Услуги по аренде и лизингу приборов, аппаратов и прочего оборудования, применяемых в медицинских целях
32.50.22.192 Протезы сердечно-сосудистые
22.21.29.120 Трубки, шланги и рукава прочие пластмассовые ****</t>
  </si>
  <si>
    <t>За весь период заходили в конкурсы  7 раз на общую сумму обеспеченных контрактов с НМЦ 201 345 407,21 ? с БГУ  8 904 055,54 ? с БГИ 62 310 909,86 ?</t>
  </si>
  <si>
    <t>20.13.24.142 Бромид водорода (кислота бромисто-водородная)
20.14.71.151 Скипидар живичный
10.86.10.139 Смеси молочные сухие прочие для детей раннего возраста
21.20.23.110 Реагенты диагностические
21.20.23.113 Средства радиофармацевтические диагностические
21.20.23.199 Средства нелечебные прочие
20.59.52.199 Реагенты сложные диагностические или лабораторные прочие, не включенные в другие группировки
20.20.14.000 Средства дезинфекционные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t>
  </si>
  <si>
    <t>За весь период компания заключила  1 контрактов на сумму  1 218 470 554,83 ?         За 3 ГОДА по 44ФЗ заключено 116 шт. с объемом НМЦ  59 374 464,76 ? с БГИ 11 888 787,52 ? с БГГО 2 065,00 ? с авансированием до 0,00 ? с комиссией банку 234 702,22 ? с кв 2 041,91 ? ЗА 1 ГОД по 44ФЗ заключено 20 шт. c объемом НМЦ 27 801 823,82 ? с БГИ 7 810 945,46 ? с БГГО 0,00 ? с авансированием до  0,00 ? с комиссией банку  177 497,56 ? с кв 1 544,23 ? ЗА 3 ГОДА ПО 223 ФЗ заключено 105 шт. с объемом НМЦ 911 874 173,08 ? за 1 ГОД ПО 223ФЗ заключено 40  355 060 497,36 ?</t>
  </si>
  <si>
    <t>"223 за 3 года", ".", "fk1",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"223 фз контракты 20+", "рейтинг по нмц маркер", "поставщики маркер", "44 за 3 года"</t>
  </si>
  <si>
    <t>24.42.2 Полуфабрикаты из алюминия или алюминиевых сплавов</t>
  </si>
  <si>
    <t>55.10 Услуги гостиниц и аналогичные услуги по предоставлению временного жилья
86.10.19.000 Услуги больниц прочие
86.21.10.190 Услуги, предоставляемые врачами общей врачебной практики, прочие, не включенные в другие группировки
55.90.19.000 Услуги по предоставлению временного жилья прочие, не включенные в другие группировки
85.42.19.900 Услуги по профессиональному обучению прочие
86.1 Услуги больничных организаций
86.22.19.000 Услуги в области специализированной врачебной практики прочие
80.20.10.000 Услуги систем обеспечения безопасности
55.10.10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68.20 Услуги по сдаче в аренду (внаем) собственного или арендованного недвижимого имущества ****</t>
  </si>
  <si>
    <t>ЗА 3 ГОДА ПО 223 ФЗ заключено 10 шт. с объемом НМЦ 80 167 671,48 ? за 1 ГОД ПО 223ФЗ заключено 5  4 014 539,64 ?</t>
  </si>
  <si>
    <t>"223 за 3 года", ".", "беники", "все клиенты с выручкой от 1,8 млрд до бесконечности", "рейтинг заказчиков маркер", "рейтинг по нмц маркер", "это заказчик", "поставщики маркер", "44 за 3 года"</t>
  </si>
  <si>
    <t>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61.90.10.190 Услуги телекоммуникационные прочие, не включенные в другие группировки
56.10.11.121 Услуги ресторанов без сопровождения развлекательных программ
74.90.14 Услуги по прогнозу погоды и метеорологии
56.29.11 Услуги по обеспечению питанием, осуществляемые по договору и предоставляемые транспортным предприятиям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61.10.11.190 Услуги фиксированной телефонной связи - предоставление доступа и телефонные соединения, прочие
35.30.12.120 Услуги по приготовлению горячей воды с использованием нецентрализованных систем горячего водоснабжения
61.10.11.110 Услуги по предоставлению внутризоновых, междугородных и международных телефонных соединений ****</t>
  </si>
  <si>
    <t>1 331</t>
  </si>
  <si>
    <t>Заказчик разыгравший 26 конкурсов на сумму  2 000 316 157,58 ?</t>
  </si>
  <si>
    <t>85.42.19.900 Услуги по профессиональному обучению прочие
85.41.93.000 Услуги в области дополнительного образования вспомогательные
85.3 Услуги по профессиональному обучению
85.4 Услуги по дополнительному образованию
35.30.11.120 Энергия тепловая, отпущенная котельными
35.30.12.120 Услуги по приготовлению горячей воды с использованием нецентрализованных систем горячего водоснабжения
85.21.12.000 Услуги в области среднего профессионального образования прочие
52.21.24.000 Услуги стоянок для транспортных средств
52.23.19.190 Услуги вспомогательные прочие, связанные с воздушным транспортом, не включенные в другие группировки
85.41.99.000 Услуги в области дополнительного образования прочие, не включенные в другие группировки ****</t>
  </si>
  <si>
    <t>1 739</t>
  </si>
  <si>
    <t>За весь период компания заключила  2 контрактов на сумму  471 257 705,00 ?                                     ЗА 3 ГОДА ПО 223 ФЗ заключено 6 шт. с объемом НМЦ 803 059 000,00 ?</t>
  </si>
  <si>
    <t>49.20 Услуги железнодорожного транспорта по перевозке грузов</t>
  </si>
  <si>
    <t>Заказчик разыгравший 158 конкурсов на сумму  129 832 365 808,60 ?</t>
  </si>
  <si>
    <t>10.13 Продукция мясная пищевая, в том числе из мяса птицы
10.1 Мясо и мясо птицы, прочие продукты убоя. Мясные пищевые продукты, включая продукты из мяса птицы
10.13.14.432 Изделия колбасные варено-копченые из мяса птицы
10.13.14.110 Изделия колбасные вареные, в том числе фаршированные мясные
10.13.14.121 Колбасы (колбаски) вареные мясосодержащие
10.13.13.110 Мясо и мясные пищевые субпродукты прочие, соленые, в рассоле, копченые, сушеные (в том числе сублимационной сушки) (кроме мяса свиней и крупного рогатого скота); мука тонкого и грубого помола из мяса и мясных субпродуктов, пригодная для употребления в пищу</t>
  </si>
  <si>
    <t>1 882</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</si>
  <si>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37.0 Услуги по водоотведению; шлам сточных вод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35.30.12.110 Услуги по приготовлению воды на нужды горячего водоснабжения
36.00.20.110 Услуги по очистке и подготовке воды для водоснабжения
36.00.30.000 Услуги по торговле водой, поставляемой по трубопроводам
35.12.10.120 Услуги по технологическому присоединению к распределительным электросетям
35.30.11.120 Энергия тепловая, отпущенная котельными
35.30.12.130 Услуги по транспортированию горячей воды ****</t>
  </si>
  <si>
    <t>Заказчик разыгравший 123 конкурсов на сумму  25 758 009 639,61 ?</t>
  </si>
  <si>
    <t>"223 за 3 года", ".",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заказчиков маркер", "рейтинг по нмц маркер", "это заказчик", "поставщики маркер"</t>
  </si>
  <si>
    <t>35.14.10.000 Услуги по торговле электроэнергией</t>
  </si>
  <si>
    <t>20.15.33 Нитрат аммония
20.15.79 Удобрения минеральные или химические, содержащие два или три питательных элемента (азот, фосфор и калий), не включенные в другие группировки</t>
  </si>
  <si>
    <t>За весь период компания заключила  1 контрактов на сумму  1 406 866 186,42 ?                                     ЗА 3 ГОДА ПО 223 ФЗ заключено 2 шт. с объемом НМЦ 75 102 418,80 ?</t>
  </si>
  <si>
    <t>"223 за 3 года", ".", "Участники клиринга", "рейтинг заказчиков маркер", "производители", "рейтинг по нмц маркер", "это заказчик"</t>
  </si>
  <si>
    <t>10.51.52.140 Кефир
10.51.52.200 Сметана
10.51.11.110 Молоко питьевое пастеризованное
35.30.11.120 Энергия тепловая, отпущенная котельными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
10.51.52.211 Сметана от 10,0 % до 17,0 % жирности
10.51.52.130 Ряженка и варенец</t>
  </si>
  <si>
    <t>17.21.13.000 Ящики и коробки из гофрированной бумаги или гофрированного картона
17.22.11.130 Салфетки и полотенца гигиенические или косметические из бумажной массы, бумаги, целлюлозной ваты и полотна из целлюлозных волокон
10.84.22.110 Перец черный дробленый или молотый
10.83.13.120 Чай черный (ферментированный) в упаковках массой не более 3 кг
10.39.17.119 Пюре и пасты овощные прочие
10.61.33.140 Продукты из зерновых хлопьев готовые взорванные или необжаренные или их смесей с обжаренными зерновыми хлопьями
10.83.12.120 Экстракты, эссенции и концентраты кофе или заменителей кофе
10.13.15.129 Консервы мясосодержащие прочие, не включенные в другие группировки
10.89.99.000 Услуги по производству прочих пищевых продуктов, не включенных в другие группировки, отдельные, выполняемые субподрядчиком
10.13.15.111 Консервы кусковые мясные ****</t>
  </si>
  <si>
    <t>Кредитный портфель_01.1621</t>
  </si>
  <si>
    <t>"поставщики маркер", ".", "fk1", "Кредитный портфель_01.11", "06.2022_ФинХД", "Обороты по клиентам по кварталам (2022г)", "производители", "это заказчик"</t>
  </si>
  <si>
    <t>"поставщики маркер", ".", "fk1", "ПОС на 03.04.2023",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</si>
  <si>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1 129</t>
  </si>
  <si>
    <t>"поставщики маркер", ".", "ПОС на 03.04.2023", "Кредитный портфель_01.11", "06.2022_ФинХД", "все клиенты с выручкой от 1,8 млрд до бесконечности", "ФК клиенты с выручкой от 230 до бесконечности", "Обороты по клиентам по кварталам (2022г)", "это заказчик"</t>
  </si>
  <si>
    <t>05.10.10.136 Уголь марки СС - слабоспекающийся</t>
  </si>
  <si>
    <t>За 3 года по 223ФЗ заключено  8 шт контрактов на сумму 18 941 269 711,50 ?</t>
  </si>
  <si>
    <t>"поставщики маркер", ".", "Пункт 3.1 09.01.2023", "все клиенты с выручкой от 1,8 млрд до бесконечности", "производители"</t>
  </si>
  <si>
    <t>Сообщение кредитора о намерении обратиться в суд с заявлением о банкротстве от 14.09.2015</t>
  </si>
  <si>
    <t>1 172</t>
  </si>
  <si>
    <t>"это заказчик", ".", "инн Красносельская",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"производители"</t>
  </si>
  <si>
    <t>46.32.12.190 Услуги по оптовой торговле прочими продуктами из мяса и мяса птицы</t>
  </si>
  <si>
    <t>Заказчик разыгравший 3 конкурсов на сумму  732 720 000,00 ?</t>
  </si>
  <si>
    <t>"производители", ".", "Пункт 3 09.01.23", "все клиенты с выручкой от 1,8 млрд до бесконечности", "рейтинг заказчиков маркер"</t>
  </si>
  <si>
    <t>28.30.22.110 Тракторы сельскохозяйственные колесные с мощностью двигателя от 37 кВт до 59 кВт
29.10.41.111 Автомобили грузовые с дизельным двигателем, имеющие технически допустимую максимальную массу не более 3,5 т
29.10.41.112 Автомобили грузовые с дизельным двигателем, имеющие технически допустимую максимальную массу свыше 3,5 т, но не более 12 т
29.10.59.114 Автогудронаторы
29.10.59.130 Средства транспортные для коммунального хозяйства и содержания дорог
28.99.39.190 Оборудование специального назначения прочее, не включенное в другие группировки
29.32.30.390 Части и принадлежности для автотранспортных средств прочие, не включенные в другие группировки
28.92.24.120 Катки дорожные самоходные
29.10.59.321 Снегоочистители роторные
28.13 Насосы и компрессоры прочие ****</t>
  </si>
  <si>
    <t>За весь период компания заключила  7 контрактов на сумму  3 873 524 186,63 ? За весь период заходили в конкурсы  24 раз на общую сумму обеспеченных контрактов с НМЦ 5 660 943 015,01 ? с БГУ  341 780 168,44 ? с БГИ 1 205 192 829,29 ?</t>
  </si>
  <si>
    <t>"223 за 3 года", "кл фт прямые бг 04.22", "свод фт", ".", "рейтинг поставщиков в маркере по бг", "гарантии, остаток на внебалансе равен нулю", "Евразия(Заболотний)_n (22)", "fk1", "корп 1", "все клиенты с выручкой от 1,8 млрд до бесконечности", "портфель", "ФК клиенты с выручкой от 230 до бесконечности", "клиенты от 100 млн", "Одобренные но не выданные 1 полугодие 2021", "ФТ клиенты с продуктами по сотрудникам", "производители", "рейтинг по нмц маркер", "это заказчик", "на фт заводил Шумлин", "на фт заводил Скрипников", "на фт заводил Пейсахова", "на фт заводил Еприкян", "на фт заводил Абияев", "поставщики маркер", "44 за 3 года"</t>
  </si>
  <si>
    <t>28.30.22.110 Тракторы сельскохозяйственные колесные с мощностью двигателя от 37 кВт до 59 кВт
29.10.41.113 Автомобили грузовые с дизельным двигателем, имеющие технически допустимую максимальную массу свыше 12 т
28.22.15.120 Погрузчики прочие
29.1 Средства автотранспортные
29.10.41.112 Автомобили грузовые с дизельным двигателем, имеющие технически допустимую максимальную массу свыше 3,5 т, но не более 12 т
29.10.42.113 Автомобили грузовые с бензиновым двигателем, имеющие технически допустимую максимальную массу свыше 12 т
29.10.59 Средства автотранспортные специального назначения, не включенные в другие группировки
29.10.59.114 Автогудронаторы
29.10.59.130 Средства транспортные для коммунального хозяйства и содержания дорог
45.20.21.111 Услуги по регламентным работам (по видам технического обслуживания) ****</t>
  </si>
  <si>
    <t>Возвращена;Гарантия отправлена;Заявка отозвана клиентом
Гарантия отправлена;Отказ из-за непредставления документов;Отправлена клиенту
Гарантия отправлена;Претензия по коммерческой банковской гарантии
Заявка отозвана клиентом
Заявка отозвана клиентом;Мой черновик;Отправлена клиенту;Скоринг пройден
Отказ из-за непредставления документов
Отклонена банком</t>
  </si>
  <si>
    <t>"223 за 3 года", "кл фт прямые бг 04.22", "свод фт", ".", "рейтинг поставщиков в маркере по бг", "Евразия(Заболотний)_n (22)", "fk1", "кредиты фт", "лимит сит по кредитам", "все клиенты с выручкой от 1,8 млрд до бесконечности", "ФК клиенты с выручкой от 230 до бесконечности", "клиенты от 100 млн", "Одобренные но не выданные 1 полугодие 2021", "ФТ клиенты с продуктами по сотрудникам", "44 фз с с БГ от 10 млн", "Все БГ Держава ", "производители", "рейтинг по нмц маркер", "на фт заводил Скрипников", "на фт заводил Пейсахова", "на фт заводил Еприкян", "на фт заводил Абияев", "поставщики маркер", "44 за 3 года"</t>
  </si>
  <si>
    <t>"ИННФТ"</t>
  </si>
  <si>
    <t>"инн фт", "."</t>
  </si>
  <si>
    <t>29.10.22 Средства транспортные с двигателем с искровым зажиганием, с рабочим объемом цилиндров более 1500 см3, новые
29.10.21.000 Средства транспортные с двигателем с искровым зажиганием, с рабочим объемом цилиндров не более 1500 см3, новые</t>
  </si>
  <si>
    <t>"44 за 3 года", ".", "fk1", "Обороты по клиентам по кварталам (2022г)", "поставщики маркер"</t>
  </si>
  <si>
    <t>41.20.40.900 Работы строительные по возведению нежилых зданий и сооружений прочие, не включенные в другие группировки
43.21.10.140 Работы по монтажу систем пожарной сигнализации и охранной сигнализации
43.91.1 Работы кровельные
43.21.10.290 Работы электромонтажные прочие, не включенные в другие группировки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t>
  </si>
  <si>
    <t>За весь период компания заключила  11 контрактов на сумму  6 347 827 310,96 ? За весь период заходили в конкурсы  17 раз на общую сумму обеспеченных контрактов с НМЦ 6 255 358 342,53 ? с БГУ  197 196 739,85 ? с БГИ 1 321 667 126,51 ?</t>
  </si>
  <si>
    <t>"44 за 3 года", "свод фт", ".", "рейтинг поставщиков в маркере по бг", "fk1", "Кредитный портфель_01.11", "06.2022_ФинХД", "клиенты с в от100млн 09.21", "Пункт 3 09.01.23", "все клиенты с выручкой от 1,8 млрд до бесконечности", "ФК клиенты с выручкой от 230 до бесконечности", "клиенты от 100 млн", "Обороты по клиентам по кварталам (2022г)", "Одобренные но не выданные 1 полугодие 2021", "44 фз с с БГ от 10 млн", "рейтинг по нмц маркер", "на фт заводил Вохмина", "поставщики маркер"</t>
  </si>
  <si>
    <t>46.6 Услуги по оптовой торговле прочими машинами, оборудованием и инструментами
58.29.5 Услуги по предоставлению лицензий на право использовать компьютерное программное обеспечение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26.20.2 Устройства запоминающие и прочие устройства хранения данных
26.30 Оборудование коммуникационное
62.01.29 Оригиналы программного обеспечения прочие
62 Продукты программные и услуги по разработке программного обеспечения; консультационные и аналогичные услуги в области информационных технологий
26.20.40.190 Комплектующие и запасные части для вычислительных машин прочие, не включенные в другие группировки
26.30.12.000 Аппаратура коммуникационная передающая без приемных устройств
46.52 Услуги по оптовой торговле электронным и телекоммуникационным оборудованием и его частями</t>
  </si>
  <si>
    <t>За весь период компания заключила  2 контрактов на сумму  1 907 887 970,83 ?                                     ЗА 3 ГОДА ПО 223 ФЗ заключено 10 шт. с объемом НМЦ 171 250 527,36 ?</t>
  </si>
  <si>
    <t>"223 за 3 года", ".", "fk1", "06.2022_ФинХД", "все клиенты с выручкой от 1,8 млрд до бесконечности", "Обороты по клиентам по кварталам (2022г)", "рейтинг заказчиков маркер", "рейтинг по нмц маркер", "это заказчик", "поставщики маркер"</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</si>
  <si>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45.11 Услуги по торговле легковыми автомобилями и грузовыми автомобилями малой грузоподъемности
30.99.10.190 Средства транспортные и оборудование прочие, не включенные в другие группировки
29.10 Средства автотранспортные
29.10.2 Автомобили легковые
49.32.12.000 Услуги по аренде легковых автомобилей с водителем
77.12.19.000 Услуги по аренде и лизингу прочих сухопутных транспортных средств и оборудования без водителя
29.32.30.390 Части и принадлежности для автотранспортных средств прочие, не включенные в другие группировки
45.20 Услуги по техническому обслуживанию и ремонту автотранспортных средств ****</t>
  </si>
  <si>
    <t>За весь период компания заключила  6 контрактов на сумму  914 199 273,87 ? За весь период заходили в конкурсы  5 раз на общую сумму обеспеченных контрактов с НМЦ 803 355 068,86 ? с БГУ  25 454 116,95 ? с БГИ 177 296 929,33 ?</t>
  </si>
  <si>
    <t>"223 за 3 года", ".", "рейтинг поставщиков в маркере по бг", "fk1", "ИНН_договоры_октябрь_", "Кредитный портфель_01.11", "06.2022_ФинХД", "все клиенты с выручкой от 1,8 млрд до бесконечности", "ФК клиенты с выручкой от 230 до бесконечности", "производители", "рейтинг по нмц маркер", "поставщики маркер", "44 за 3 года"</t>
  </si>
  <si>
    <t>77.11.10.000 Услуги по аренде и лизингу легковых автомобилей и легких автотранспортных средств
29.10.23.000 Средства транспортные с поршневым двигателем внутреннего сгорания с воспламенением от сжатия (дизелем или полудизелем), новые</t>
  </si>
  <si>
    <t>Кредитный портфель_01.1633</t>
  </si>
  <si>
    <t>"223 за 3 года", ".", "fk1", "Кредитный портфель_01.11", "06.2022_ФинХД", "все клиенты с выручкой от 1,8 млрд до бесконечности", "поставщики маркер"</t>
  </si>
  <si>
    <t>Кредитный портфель_01.1634</t>
  </si>
  <si>
    <t>"клиенты от 100 млн", ".", "Гарантии_КИБ_31.03.22_Гиб._", "fk1", "инн Красносельская", "Кредитный портфель_01.11"</t>
  </si>
  <si>
    <t>"поставщики маркер", ".", "crm управления", "в crm за Кашиным"</t>
  </si>
  <si>
    <t>"поставщики маркер", ".", "ушедшие", "все клиенты с выручкой от 1,8 млрд до бесконечности"</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</si>
  <si>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43.11.10.000 Работы по сносу зданий и сооружений
23.99.12.190 Изделия из асфальта или аналогичных материалов прочие, не включенные в другие группировки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</si>
  <si>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заходили в конкурсы  2 раз на общую сумму обеспеченных контрактов с НМЦ 140 052 718,99 ? с БГУ  4 078 641,24 ? с БГИ 15 636 728,40 ? За 3 ГОДА по 44ФЗ заключено 6 шт. с объемом НМЦ  270 938 322,28 ? с БГИ 61 088 136,72 ? с БГГО 50 142 867,15 ? с авансированием до 49 485 422,75 ? с комиссией банку 852 433,03 ? с кв 7 416,17 ?</t>
  </si>
  <si>
    <t>"44 за 3 года", ".", "рейтинг поставщиков в маркере по бг", "fk1", "закрыли счет", "все клиенты с выручкой от 1,8 млрд до бесконечности", "ФК клиенты с выручкой от 230 до бесконечности", "поставщики маркер"</t>
  </si>
  <si>
    <t>Кредитная линия закрыта;Отклонена банком</t>
  </si>
  <si>
    <t>"на фт заводил Пител", "кл фт прямые ВКЛ/РКО 04.22", "свод фт", ".", "fk1", "кредиты фт", "корп 1", "Ссуды ФБ 29.04.2022 банкр.", "Пункт 3 09.01.23", "лимит сит по кредитам", "филиал бизнес 01.03.22", "портфель", "клиенты от 100 млн", "ФТ клиенты с продуктами по сотрудникам"</t>
  </si>
  <si>
    <t>20.14.24 Фенолы, фенолоспирты и их производные
20.16.55.120 Смолы карбамидоформальдегидные в первичных формах
20.16.56.120 Смолы фенолоальдегидные прочие в первичных формах
20 Вещества химические и продукты химические</t>
  </si>
  <si>
    <t>За весь период компания заключила  3 контрактов на сумму  2 725 379 200,00 ?                                     ЗА 3 ГОДА ПО 223 ФЗ заключено 2 шт. с объемом НМЦ 1 000 120 000,00 ?</t>
  </si>
  <si>
    <t>"беники", "."</t>
  </si>
  <si>
    <t>24.10.80.190 Прокат черных металлов прочий, не включенный в другие группировки
24 Металлы основные
24.1 Железо, чугун, сталь и ферросплавы
24.20.13.130 Трубы стальные электросварные
24.20.13 Трубы круглого сечения прочие стальные
24.2 Трубы, профили пустотелые и их фитинги стальные
24.20.14.110 Трубы некруглого сечения стальные
24.10.71.110 Уголки стальные горячекатаные из нелегированных сталей
24.20.1 Трубы, профили пустотелые бесшовные и их фитинги стальные
25.30.12.110 Оборудование вспомогательное для использования вместе с паровыми котлами ****</t>
  </si>
  <si>
    <t>за 1 ГОД ПО 223ФЗ заключено 8  5 897 863,18 ?</t>
  </si>
  <si>
    <t>"223 за 3 года", ".", "fk1", "инн Красносельская",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"это заказчик", "поставщики маркер"</t>
  </si>
  <si>
    <t>24.10.80.190 Прокат черных металлов прочий, не включенный в другие группировки
24.20.13 Трубы круглого сечения прочие стальные
46.13.11.000 Услуги по оптовой торговле древесиной и лесоматериалами за вознаграждение или на договорной основе
24.20.11.000 Трубы стальные для нефте- и газопроводов бесшовные
46.72.1 Услуги по оптовой торговле металлами и металлическими рудами
24.10.52.000 Прокат листовой из прочих легированных сталей, шириной не менее 600 мм, плакированный, с гальваническим или иным покрытием
24.45 Металлы цветные прочие
24.10.31.000 Прокат листовой горячекатаный из нелегированных сталей, без дополнительной обработки, шириной не менее 600 мм
24.10 Железо, чугун, сталь и ферросплавы
24.10.62.213 Прокат арматурный свариваемый периодического профиля ****</t>
  </si>
  <si>
    <t>За весь период компания заключила  4 контрактов на сумму  1 126 146 957,63 ?</t>
  </si>
  <si>
    <t>"поставщики маркер", ".",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"это заказчик"</t>
  </si>
  <si>
    <t>24.10.62.124 Прокат сортовой горячекатаный полосовой прочий, без дополнительной обработки, включая смотанный после прокатки, из нелегированных сталей
24.1 Железо, чугун, сталь и ферросплавы
24.20.13.130 Трубы стальные электросварные
24.10.62.121 Прокат сортовой горячекатаный круглый прочий, без дополнительной обработки, включая смотанный после прокатки, из нелегированных сталей
24.42.22 Прутки, катанка и профили из алюминия или алюминиевых сплавов
24.45.30.390 Металлы цветные прочие, изделия из них, порошки
24.20.13 Трубы круглого сечения прочие стальные
24.10.33.000 Прокат листовой горячекатаный из нержавеющих сталей, без дополнительной обработки, шириной не менее 600 мм
24.44.2 Полуфабрикаты из меди или медных сплавов
24.2 Трубы, профили пустотелые и их фитинги стальные ****</t>
  </si>
  <si>
    <t>"223 за 3 года", ".", "fk1", "ИНН 3 года - нет КД БГ на 01.10.22",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t>
  </si>
  <si>
    <t>24.10.62.124 Прокат сортовой горячекатаный полосовой прочий, без дополнительной обработки, включая смотанный после прокатки, из нелегированных сталей
24.20.13.130 Трубы стальные электросварные
24.20.14.120 Профили пустотелые стальные
24.10.61.112 Прокат сортовой горячекатаный квадратный со свободной намоткой в бухты из нелегированных сталей
49.20.19.190 Услуги железнодорожного транспорта по перевозке прочих грузов, не включенные в другие группировки
24.10.31.000 Прокат листовой горячекатаный из нелегированных сталей, без дополнительной обработки, шириной не менее 600 мм
24.10.62.211 Сталь арматурная горячекатаная для железобетонных конструкций
24.20.13.160 Трубы стальные водогазопроводные
24.10.62.213 Прокат арматурный свариваемый периодического профиля
24.10.71.111 Уголки стальные горячекатаные равнополочные из нелегированных сталей ****</t>
  </si>
  <si>
    <t>25.1 Металлоконструкции строительные
24.10.31.000 Прокат листовой горячекатаный из нелегированных сталей, без дополнительной обработки, шириной не менее 600 мм
24.10.8 Прокат черных металлов прочий, не включенный в другие группировки
24.10.71.111 Уголки стальные горячекатаные равнополочные из нелегированных сталей</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</si>
  <si>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 Электроэнергия
35.12.10.120 Услуги по технологическому присоединению к распределительным электросетям
35.13.10.000 Услуги по распределению электроэнергии
35.11.10.114 Электроэнергия, произведенная дизельными электростанциями (ДЭС) общего назначения
35.14.10.000 Услуги по торговле электроэнергией
35.11.10.116 Электроэнергия, произведенная гидроэлектростанциями (ГЭС) общего назначения
35.11.10.119 Электроэнергия, произведенная нетиповыми электростанциями общего назначения ****</t>
  </si>
  <si>
    <t>За весь период компания заключила  3 контрактов на сумму  1 347 568 524,44 ?</t>
  </si>
  <si>
    <t>20.59.59 Продукты разные химические, не включенные в другие группировки
37.00.11.110 Услуги по водоотведению сточных вод
20.16 Пластмассы в первичных формах
20.14.11.119 Углеводороды ациклические насыщенные прочие
21.10.31.120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20.14.23.120 Спирты многоатомные
68.10.11.000 Услуги по покупке и продаже жилых зданий и занимаемых ими земельных участков
20.16.54.000 Полиамиды в первичных формах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t>
  </si>
  <si>
    <t>За весь период заходили в конкурсы  4 раз на общую сумму обеспеченных контрактов с НМЦ 170 108 800,00 ? с БГУ  1 748 288,00 ? с БГИ 34 965 760,00 ?                             ЗА 3 ГОДА ПО 223 ФЗ заключено 3 шт. с объемом НМЦ 23 655 876,00 ? за 1 ГОД ПО 223ФЗ заключено 1  23 416 774,20 ?</t>
  </si>
  <si>
    <t>За весь период компания заключила  1 контрактов на сумму  391 300 000,00 ?</t>
  </si>
  <si>
    <t>24.10.80.190 Прокат черных металлов прочий, не включенный в другие группировки
25.94.11.120 Шурупы из черных металлов
25.94.11.110 Болты и винты из черных металлов</t>
  </si>
  <si>
    <t>24.10.35.000 Прокат листовой горячекатаный из прочих легированных сталей, без дополнительной обработки, шириной не менее 600 мм</t>
  </si>
  <si>
    <t>28.13.11.110 Насосы топливные
28.13.14.110 Насосы центробежные подачи жидкостей прочие
28.13.14.120 Насосы для ядерных установок
28.12.13.190 Насосы гидравлические прочие
28.13.14.121 Насосы для воды I и II контуров
28.13.31.110 Комплектующие (запасные части) насосов, не имеющие самостоятельных группировок
28.13.14.190 Насосы прочие
28.13.14.129 Насосы для ядерных установок прочие, не включенные в другие группировки</t>
  </si>
  <si>
    <t>ЗА 3 ГОДА ПО 223 ФЗ заключено 3 шт. с объемом НМЦ 80 303 349,48 ?</t>
  </si>
  <si>
    <t>"223 за 3 года", "свод фт", ".", "УПП на 2 номер", "fk1", "клиенты управления по БГ без открытых счетов", "ИНН 3 года - нет КД БГ на 01.10.22", "Премия 4 кв 22 г.бг",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"на фт заводил Егоров ", "на фт заводил Варданян", "на фт заводил Бесков", "поставщики маркер"</t>
  </si>
  <si>
    <t>10.11 Мясо и прочие продукты убоя, включая мясо консервированное
56.10.12.120 Услуги по обеспечению питанием на водном пассажирском транспорте
46.17 Услуги по оптовой торговле пищевыми продуктами, напитками и табачными изделиями за вознаграждение или на договорной основе
10.89.19.130 Продукты пищевые из муки, крупы, крахмала (кроме детского питания)
10.89.19.290 Продукты пищевые прочие, не включенные в другие группировки
56.10.11.120 Услуги по обеспечению питанием в ресторанах, кафе и прочих предприятиях без сопровождения развлекательных программ
46.34 Услуги по оптовой торговле алкогольными и другими напитками
46.36 Услуги по оптовой торговле сахаром, шоколадом и сахаристыми кондитерскими изделиями
10.61 Продукция мукомольно-крупяного производства
46.90.10.000 Услуги по неспециализированной оптовой торговле ****</t>
  </si>
  <si>
    <t>ЗА 3 ГОДА ПО 223 ФЗ заключено 16 шт. с объемом НМЦ 21 975 509,76 ? за 1 ГОД ПО 223ФЗ заключено 4  16 144 257,42 ?</t>
  </si>
  <si>
    <t>Сообщение кредитора о намерении обратиться в суд с заявлением о банкротстве от 15.07.2021</t>
  </si>
  <si>
    <t>"223 за 3 года", ".", "fk1", "Пункт 3.1 09.01.2023", "все клиенты с выручкой от 1,8 млрд до бесконечности", "производители", "рейтинг по нмц маркер", "это заказчик", "поставщики маркер"</t>
  </si>
  <si>
    <t>1 927</t>
  </si>
  <si>
    <t>За весь период компания заключила  1 контрактов на сумму  2 425 226 986,08 ? За весь период заходили в конкурсы  1 раз на общую сумму обеспеченных контрактов с НМЦ 2 425 226 986,08 ? с БГУ  121 261 349,30 ? с БГИ 242 522 698,61 ?</t>
  </si>
  <si>
    <t>Заказчик разыгравший 1 конкурсов на сумму  452 530 500,00 ?</t>
  </si>
  <si>
    <t>Сообщения о принятии решения о реорганизации от 21.11.2022</t>
  </si>
  <si>
    <t>24.10.61.111 Прокат сортовой горячекатаный круглый со свободной намоткой в бухты из нелегированных сталей
24.10.66.110 Сталь кованая из прочих легированных сталей, без дополнительной обработки
24.10.66.190 Прокат сортовой прочий из прочих легированных сталей, без дополнительной обработки, включая смотанный после прокатки
24.10.80.190 Прокат черных металлов прочий, не включенный в другие группировки
24 Металлы основные
24.10.22.149 Полуфабрикаты круглого или многоугольного сечения из нержавеющей стали прочие
24.34.12.000 Проволока холоднотянутая из нержавеющей стали
24.45.2 Полуфабрикаты из никеля или сплавов на основе никеля
24.10.2 Сталь
24.31.30.110 Прутки холоднотянутые из нержавеющих сталей ****</t>
  </si>
  <si>
    <t>За весь период компания заключила  21 контрактов на сумму  10 371 190 798,07 ? За весь период заходили в конкурсы  1 раз на общую сумму обеспеченных контрактов с НМЦ 39 899 782,40 ? с БГУ  498 747,28 ? с БГИ 2 493 736,40 ?                             ЗА 3 ГОДА ПО 223 ФЗ заключено 15 шт. с объемом НМЦ 85 731 359,75 ? за 1 ГОД ПО 223ФЗ заключено 2  22 490 000,00 ?</t>
  </si>
  <si>
    <t>"223 за 3 года", ".", "рейтинг поставщиков в маркере по бг", "все клиенты с выручкой от 1,8 млрд до бесконечности", "производители", "рейтинг по нмц маркер"</t>
  </si>
  <si>
    <t>2 406</t>
  </si>
  <si>
    <t>Сообщение кредитора о намерении обратиться в суд с заявлением о банкротстве от 01.09.2021</t>
  </si>
  <si>
    <t>81.22.12 Услуги по чистке и уборке специализированные
08.12.12.140 Щебень</t>
  </si>
  <si>
    <t>2 000</t>
  </si>
  <si>
    <t>24.10.33 Прокат листовой горячекатаный из нержавеющих сталей, без дополнительной обработки, шириной не менее 600 мм
24 Металлы основные
24.1 Железо, чугун, сталь и ферросплавы
24.20.13.130 Трубы стальные электросварные
25.11.23.119 Конструкции и детали конструкций из черных металлов прочие, не включенные в другие группировки
24.10.62.121 Прокат сортовой горячекатаный круглый прочий, без дополнительной обработки, включая смотанный после прокатки, из нелегированных сталей
24.10.62.123 Прокат сортовой горячекатаный шестигранный прочий, без дополнительной обработки, включая смотанный после прокатки, из нелегированных сталей
24.10.62.190 Прокат сортовой прочий, без дополнительной обработки, включая смотанный после прокатки, из нелегированных сталей
25.11.23 Конструкции и детали конструкций прочие, листы, прутки, уголки, профили и аналогичные изделия из черных металлов или алюминия
46.12.12 Услуги по оптовой торговле металлическими рудами и металлами в первичных формах за вознаграждение или на договорной основе ****</t>
  </si>
  <si>
    <t>За весь период контрактов 10 шт. на общую сумму НМЦ 1 439 542 769,73 ?</t>
  </si>
  <si>
    <t>"223 за 3 года", ".", "Конкурсы 100+ (Восстановленный)", "все клиенты с выручкой от 1,8 млрд до бесконечности", "223 фз контракты 20+", "рейтинг по нмц маркер", "это заказчик", "поставщики маркер"</t>
  </si>
  <si>
    <t>Заказчик разыгравший 1 конкурсов на сумму  792 576 000,00 ?</t>
  </si>
  <si>
    <t>35.11.10.112 Электроэнергия, произведенная теплоэлектроцентралями (ТЭЦ) общего назначения
35.30.11.130 Энергия тепловая, отпущенная электрокотлами
35.30.12.110 Услуги по приготовлению воды на нужды горячего водоснабжения
35.13.10.000 Услуги по распределению электроэнергии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t>
  </si>
  <si>
    <t>1 143</t>
  </si>
  <si>
    <t>За весь период контрактов 2 шт. на общую сумму НМЦ 664 236 512,48 ?</t>
  </si>
  <si>
    <t>Сообщение кредитора о намерении обратиться в суд с заявлением о банкротстве от 11.11.2021</t>
  </si>
  <si>
    <t>Сообщение кредитора о намерении обратиться в суд с заявлением о банкротстве от 28.09.2020</t>
  </si>
  <si>
    <t>38.11.58.000 Отходы металлов неопасные
49.41.20.000 Услуги по аренде грузовых транспортных средств с водителем</t>
  </si>
  <si>
    <t>23.99.12.110 Материалы рулонные кровельные и гидроизоляционные
24.33.1 Профили незамкнутые холодной штамповки или гибки
46.1 Услуги по оптовой торговле за вознаграждение или на договорной основе
23.99 Продукция минеральная неметаллическая прочая, не включенная в другие группировки
24.20.13.140 Трубы стальные бесшовные холоднодеформированные общего назначения</t>
  </si>
  <si>
    <t>19.20.28.112 Мазут с массовой долей серы не более 3,5 % с температурой вспышки в открытом тигле не ниже 90 °C, с содержанием сероводорода не более 20 ppm, но более 10 ppm
19.20.28.110 Мазут топочный</t>
  </si>
  <si>
    <t>За весь период компания заключила  1 контрактов на сумму  756 021 600,00 ?</t>
  </si>
  <si>
    <t>35 Электроэнергия, газ, пар и кондиционирование воздуха</t>
  </si>
  <si>
    <t>26.20 Компьютеры и периферийное оборудование</t>
  </si>
  <si>
    <t>ЗА 3 ГОДА ПО 223 ФЗ заключено 1 шт. с объемом НМЦ 20 236 500,00 ?</t>
  </si>
  <si>
    <t>27.90.33.110 Комплектующие (запасные части) прочего электрического оборудования, не имеющие самостоятельных группировок
26.1 Компоненты электронные и платы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28.94.22 Машины стиральные для прачечных; машины для сухой чистки; сушильные машины с загрузкой более 10 кг
33.14.19.000 Услуги по ремонту и техническому обслуживанию прочего профессионального электрического оборудования
27.51.13.110 Машины стиральные бытовые
33.12.19.000 Услуги по ремонту и техническому обслуживанию прочего оборудования общего назначения, не включенного в другие группировки
33.13.19.000 Услуги по ремонту и техническому обслуживанию прочего профессионального электронного оборудования
33.11.13.000 Услуги по ремонту и техническому обслуживанию ядерных реакторов и паровых котлов, кроме водяных котлов центрального отопления
27.51.24.190 Приборы электронагревательные бытовые прочие, не включенные в другие группировки ****</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</si>
  <si>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10.51.52.140 Кефир
10.89.19.290 Продукты пищевые прочие, не включенные в другие группировки
10.51.11.110 Молоко питьевое пастеризованное
10.51.52.212 Сметана от 18,0 % до 22,0 % жирности
10.51.30.111 Масло сладко-сливочное
10.51.11.129 Молоко питьевое ультрапастеризованное (ультравысокотемпературно-обработанное) прочее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10.51.11.111 Молоко питьевое коровье пастеризованное ****</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</si>
  <si>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10.51.40.111 Сыры мягкие без вкусовых наполнителей
10.51.52.140 Кефир
10.51.40.131 Сыры твердые без вкусовых наполнителей
10.51.56.152 Сырки творожные
10.51.56.310 Напитки, коктейли, кисели молокосодержащие. Напитки, коктейли, кисели молокосодержащие с заменителем молочного жира
10.51.52.200 Сметана
10.51.11.110 Молоко питьевое пастеризованное
10.51.40.300 Творог
10.51.40.330 Творог зерненый без вкусовых компонентов ****</t>
  </si>
  <si>
    <t>За весь период компания заключила  5 контрактов на сумму  304 584 846,10 ? За весь период заходили в конкурсы  202 раз на общую сумму обеспеченных контрактов с НМЦ 769 148 689,24 ? с БГУ  5 187 463,14 ? с БГИ 28 552 817,04 ? За 3 ГОДА по 44ФЗ заключено 323 шт. с объемом НМЦ  1 115 806 580,19 ? с БГИ 91 586 000,52 ? с БГГО 398 434,35 ? с авансированием до 0,00 ? с комиссией банку 826 235,12 ? с кв 7 188,25 ? ЗА 1 ГОД по 44ФЗ заключено 120 шт. c объемом НМЦ 560 989 513,76 ? с БГИ 63 187 281,50 ? с БГГО 0,00 ? с авансированием до  0,00 ? с комиссией банку  606 863,17 ? с кв 5 279,71 ?</t>
  </si>
  <si>
    <t>"223 за 3 года", ".", "рейтинг поставщиков в маркере по бг", "все клиенты с выручкой от 1,8 млрд до бесконечности", "44 фз с с БГ от 10 млн", "рейтинг заказчиков маркер", "производители", "рейтинг по нмц маркер", "поставщики маркер", "44 за 3 года"</t>
  </si>
  <si>
    <t>10.51.11.190 Молоко прочее, не включенное в другие группировки
10.51.11.129 Молоко питьевое ультрапастеризованное (ультравысокотемпературно-обработанное) прочее
10.51 Молоко и молочная продукция
10.51.5 Молочная продукция прочая
10.51.11 Молоко, кроме сырого</t>
  </si>
  <si>
    <t>ЗА 3 ГОДА ПО 223 ФЗ заключено 4 шт. с объемом НМЦ 32 930 348,25 ? за 1 ГОД ПО 223ФЗ заключено 2  18 601 595,04 ?</t>
  </si>
  <si>
    <t>1 102</t>
  </si>
  <si>
    <t>26.60.12.119 Аппараты электродиагностические прочие
26.60.12.132 Аппараты ультразвукового сканирования
26.60.12.129 Приборы и аппараты для функциональной диагностики прочие, применяемые в медицинских целях, не включенные в другие группировки</t>
  </si>
  <si>
    <t>За весь период компания заключила  1 контрактов на сумму  460 493 625,90 ?</t>
  </si>
  <si>
    <t>27.32.13.130 Провода и шнуры силовые
27.32.13.143 Кабели контрольные
27.32.13.148 Кабели с минеральной изоляцией нагревостойкие
27.32.13.191 Кабели монтажные
27.33.1 Изделия электроустановочные
27.33.11.190 Устройства коммутационные на напряжение не более 1 кВ прочие, не включенные в другие группировки
27.33.13.165 Элементы логические магнитные, полупроводниковые
27.4 Оборудование электрическое осветительное
27.40.12.000 Лампы накаливания галогенные с вольфрамовой нитью, кроме ультрафиолетовых или инфракрасных ламп
27.40.15.115 Лампы металлогалогенные ****</t>
  </si>
  <si>
    <t>ЗА 3 ГОДА ПО 223 ФЗ заключено 44 шт. с объемом НМЦ 40 062 360,95 ? за 1 ГОД ПО 223ФЗ заключено 8  9 090 176,12 ?</t>
  </si>
  <si>
    <t>Сообщения о принятии решения о реорганизации от 24.09.2021</t>
  </si>
  <si>
    <t>"223 за 3 года", ".", "fk1", "все клиенты с выручкой от 1,8 млрд до бесконечности", "Обороты по клиентам по кварталам (2022г)", "производители", "рейтинг по нмц маркер", "это заказчик", "поставщики маркер", "44 за 3 года"</t>
  </si>
  <si>
    <t>Отправлена клиенту
Отклонена банком</t>
  </si>
  <si>
    <t>"на фт заводил Бесков", "свод фт", ".", "кредиты фт", "лимит сит по кредитам", "все клиенты с выручкой от 1,8 млрд до бесконечности", "производители"</t>
  </si>
  <si>
    <t>27.11.43.000 Трансформаторы прочие мощностью более 16 кВА</t>
  </si>
  <si>
    <t>42.22.22.110 Работы строительные по прокладке местных линий электропередачи и связи над землей или под землей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42.99.2 Работы строительные по строительству прочих гражданских сооружений
43.11.10.000 Работы по сносу зданий и сооружений
90.03.13.000 Подлинники произведений живописцев, графиков и скульпторов
71.12.19.100 Услуги по инженерно-техническому проектированию прочих объектов, кроме объектов культурного наследия
42.12.20.190 Работы строительные по строительству наземных и подземных железных дорог прочие, не включенные в другие группировки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71.12.12.190 Услуги по инженерно-техническому проектированию зданий прочие, не включенные в другие группировки ****</t>
  </si>
  <si>
    <t>За весь период контрактов 69 шт. на общую сумму НМЦ 231 756 134 959,28 ?</t>
  </si>
  <si>
    <t>На 16.05.2023 11:57 имеются действующие решения ФНС о приостановлении операций по счетам, Сообщение кредитора о намерении обратиться в суд с заявлением о банкротстве от 29.03.2023</t>
  </si>
  <si>
    <t>"223 за 3 года", ".", "рейтинг поставщиков в маркере по бг", "беники", "все клиенты с выручкой от 1,8 млрд до бесконечности", "рейтинг заказчиков маркер", "производители", "рейтинг по нмц маркер", "это заказчик", "поставщики маркер"</t>
  </si>
  <si>
    <t>25.11.23.119 Конструкции и детали конструкций из черных металлов прочие, не включенные в другие группировки
30.20.31.116 Машины для погрузки и транспортирования звеньев путей, материалов и перевозки людей, не включенные в другие группировки
23.61.12.164 Блоки и тюбинги для тоннелей и шахтная крепь
22.23.19.000 Изделия пластмассовые строительные, не включенные в другие группировки
23.61.12.160 Конструкции и детали специального назначения сборные железобетонные</t>
  </si>
  <si>
    <t>ЗА 3 ГОДА ПО 223 ФЗ заключено 7 шт. с объемом НМЦ 969 019 106,70 ?</t>
  </si>
  <si>
    <t>"все клиенты с выручкой от 1,8 млрд до бесконечности", ".", "ПСБ Гарантии "</t>
  </si>
  <si>
    <t>ПОС на 03.04.3462</t>
  </si>
  <si>
    <t>"производители", ".", "fk1", "ПОС на 03.04.2023"</t>
  </si>
  <si>
    <t>24.20.13.130 Трубы стальные электросварные
24.20.12.110 Трубы обсадные бесшовные стальные
24.20.13 Трубы круглого сечения прочие стальные
24.10.11 Чугун зеркальный и передельный в чушках, болванках или в прочих первичных формах
24.2 Трубы, профили пустотелые и их фитинги стальные
24.10.23.142 Полуфабрикаты кованые круглого или многоугольного сечения из прочих легированных сталей
24.20.1 Трубы, профили пустотелые бесшовные и их фитинги стальные
24.20.2 Трубы сварные круглого сечения, наружным диаметром более 406,4 мм, стальные
24.20.33.000 Трубы круглого сечения сварные прочие, наружным диаметром не более 406,4 мм, стальные
24.20.13.120 Трубы стальные бесшовные высокого давления ****</t>
  </si>
  <si>
    <t>За весь период компания заключила  13 контрактов на сумму  6 617 382 678,41 ?</t>
  </si>
  <si>
    <t>Юридическое лицо находится в процессе уменьшения уставного капитала от 14.03.2023</t>
  </si>
  <si>
    <t>6 353</t>
  </si>
  <si>
    <t>1 294</t>
  </si>
  <si>
    <t>28.14.12.110 Краны, клапаны для раковин, моек, биде, унитазов, ванн и аналогичная арматура
25.11.23.119 Конструкции и детали конструкций из черных металлов прочие, не включенные в другие группировки
25.93.12.130 Канаты из меди или алюминия без электрической изоляции
45.31.1 Услуги по оптовой торговле автомобильными деталями, узлами и принадлежностями
28.11.42.000 Части прочих двигателей, не включенных в другие группировки
28.92.40.121 Дробилки щековые
25.93.17.110 Цепи (кроме шарнирных цепей) и их детали из черных металлов
29.10.59.130 Средства транспортные для коммунального хозяйства и содержания дорог
29.32.30.240 Передачи карданные, валы приводные, шарниры неравных и равных угловых скоростей
33.12.29.900 Услуги по ремонту и техническому обслуживанию прочего оборудования специального назначения, не включенные в другие группировки ****</t>
  </si>
  <si>
    <t>За весь период компания заключила  11 контрактов на сумму  2 765 241 741,50 ? За весь период заходили в конкурсы  32 раз на общую сумму обеспеченных контрактов с НМЦ 30 574 951 802,94 ? с БГУ  171 986 228,13 ? с БГИ 593 390 093,84 ? За 3 ГОДА по 44ФЗ заключено 17 шт. с объемом НМЦ  2 366 844 230,56 ? с БГИ 226 842 088,11 ? с БГГО 16 186 669,00 ? с авансированием до 0,00 ? с комиссией банку 4 453 088,05 ? с кв 38 741,87 ? ЗА 1 ГОД по 44ФЗ заключено 2 шт. c объемом НМЦ 106 056 407,44 ? с БГИ 10 105 790,74 ? с БГГО 1 060 564,00 ? с авансированием до  0,00 ? с комиссией банку  381 294,92 ? с кв 3 317,27 ?</t>
  </si>
  <si>
    <t>"223 за 3 года", "свод фт", ".", "рейтинг поставщиков в маркере по бг",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"на фт заводил Морозова", "44 за 3 года"</t>
  </si>
  <si>
    <t>За весь период контрактов 1 шт. на общую сумму НМЦ 840 535 069,02 ?</t>
  </si>
  <si>
    <t>Заявка отозвана</t>
  </si>
  <si>
    <t>"на фт заводил Кашин", "свод фт", ".", "кредиты фт", "Пункт 3.1 09.01.2023", "лимит сит по кредитам", "производители"</t>
  </si>
  <si>
    <t>ЗА 3 ГОДА ПО 223 ФЗ заключено 22 шт. с объемом НМЦ 3 009 963 173,93 ? за 1 ГОД ПО 223ФЗ заключено 21  3 009 963 173,93 ?</t>
  </si>
  <si>
    <t>26.51.63.130 Счетчики производства или потребления электроэнергии
26.51.64.120 Счетчики количества продукции
63.11.19 Услуги прочие по размещению и предоставлению инфраструктуры информационных технологий
63.99 Услуги информационные прочие, не включенные в другие группировки
26.51.70.190 Приборы автоматические регулирующие и контрольно-измерительные прочие</t>
  </si>
  <si>
    <t>ЗА 3 ГОДА ПО 223 ФЗ заключено 15 шт. с объемом НМЦ 546 603 060,80 ? за 1 ГОД ПО 223ФЗ заключено 4  37 541 545,30 ?</t>
  </si>
  <si>
    <t>45.20.11.519 Прочие услуги по техническому обслуживанию и ремонту прочих автотранспортных средств, не включенные в другие группировки
28.22.15.120 Погрузчики прочие
45.20.21.111 Услуги по регламентным работам (по видам технического обслуживания)
28.92.25 Погрузчики фронтальные одноковшовые самоходные
28.92.26.120 Погрузчики полноповоротные ковшовые, кроме фронтальных одноковшовых погрузчиков
25.73.40.169 Фрезы прочие, не включенные в другие группировки</t>
  </si>
  <si>
    <t>"44 за 3 года", ".", "fk1", "ПОС на 01.02.2023", "корп 2",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"поставщики маркер"</t>
  </si>
  <si>
    <t>20.59.43.120 Антифризы
28.22.19.190 Комплектующие (запасные части) прочего подъемно-транспортного и погрузочно-разгрузочного оборудования, не имеющие самостоятельных группировок
28.30.31.129 Плуги прочие, не включенные в другие группировки
28.30.93.000 Части прочих машин и оборудования для сельского хозяйства
13.94.11.110 Шпагат из джута или прочих лубяных текстильных волокон
19.20.29.119 Масла моторные прочие, не включенные в другие группировки
19.20.29.150 Масла компрессорные
46.6 Услуги по оптовой торговле прочими машинами, оборудованием и инструментами
30.99.10.190 Средства транспортные и оборудование прочие, не включенные в другие группировки
28.29.13.130 Фильтры очистки воздуха всасывающие для двигателей внутреннего сгорания ****</t>
  </si>
  <si>
    <t>ЗА 3 ГОДА ПО 223 ФЗ заключено 40 шт. с объемом НМЦ 108 806 995,47 ? за 1 ГОД ПО 223ФЗ заключено 15  44 765 326,51 ?</t>
  </si>
  <si>
    <t>"223 за 3 года", ".", "fk1", "корп 2",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"поставщики маркер", "44 за 3 года"</t>
  </si>
  <si>
    <t>22.22.14.000 Бутыли, бутылки, флаконы и аналогичные изделия из пластмасс
21.20.23.110 Реагенты диагностические
21.20.23.113 Средства радиофармацевтические диагностические
20.59.52.199 Реагенты сложные диагностические или лабораторные прочие, не включенные в другие группировки
32.50.13.190 Инструменты и приспособления, применяемые в медицинских целях, прочие, не включенные в другие группировки
20.59.52.194 Реактивы химические общелабораторного назначения
26.60.12.119 Аппараты электродиагностические прочие
21.20.10.139 Препараты гематологические прочие
26.60.12.140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
32.5 Инструменты и оборудование медицинские ****</t>
  </si>
  <si>
    <t>За весь период компания заключила  9 контрактов на сумму  4 774 936 021,15 ? За весь период заходили в конкурсы  18 раз на общую сумму обеспеченных контрактов с НМЦ 1 287 836 142,47 ? с БГУ  26 730 313,53 ? с БГИ 144 063 246,47 ? За 3 ГОДА по 44ФЗ заключено 828 шт. с объемом НМЦ  4 144 278 292,69 ? с БГИ 325 810 507,18 ? с БГГО 11 624 701,44 ? с авансированием до 1 252 955,00 ? с комиссией банку 3 662 886,94 ? с кв 31 867,12 ? ЗА 1 ГОД по 44ФЗ заключено 358 шт. c объемом НМЦ 1 809 401 956,66 ? с БГИ 142 400 061,67 ? с БГГО 351 241,00 ? с авансированием до  0,00 ? с комиссией банку  1 954 766,67 ? с кв 17 006,47 ? ЗА 3 ГОДА ПО 223 ФЗ заключено 19 шт. с объемом НМЦ 71 270 989,50 ?</t>
  </si>
  <si>
    <t>"223 за 3 года", ".", "рейтинг поставщиков в маркере по бг", "fk1", "ПОС на 01.02.2023", "ПОС на 03.04.2023",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 "44 за 3 года"</t>
  </si>
  <si>
    <t>22.29 Изделия пластмассовые прочие
20.20.14.000 Средства дезинфекционные
20.41.31.210 Вещества органические поверхностно-активные и средства, используемые в качестве мыла
17.22.11.130 Салфетки и полотенца гигиенические или косметические из бумажной массы, бумаги, целлюлозной ваты и полотна из целлюлозных волокон
20.41.32.121 Порошки стиральные
32.91.1 Метлы и щетки
20.16.10.110 Полиэтилен
13.92.29 Изделия текстильные готовые прочие (включая тряпки для мытья полов, посуды, удаления пыли и аналогичные текстильные изделия, спасательные жилеты и пояса)
13.92.29.110 Тряпки для мытья полов, посуды, удаления пыли
20.41.41.000 Средства для дезодорирования и ароматизации воздуха в помещениях ****</t>
  </si>
  <si>
    <t>01.46.10.220 Молодняк свиней основного стада, кроме чистопородных
01.46.10.200 Свиньи основного стада, кроме чистопородных
01.46.10.210 Свиньи взрослые основного стада, кроме чистопородных
01.46.10.120 Молодняк чистопородных племенных свиней</t>
  </si>
  <si>
    <t>07.10.10.131 Концентрат железорудный с массовой долей железа не менее 69,5 %
36.00.20.110 Услуги по очистке и подготовке воды для водоснабжения
35.30.11.120 Энергия тепловая, отпущенная котельными
35.30.12.130 Услуги по транспортированию горячей воды
07.10.10.130 Концентрат железорудный
68.20.12.000 Услуги по сдаче в аренду (внаем) собственных или арендованных нежилых помещений
36.00.12.000 Вода непитьевая
36.00.20.130 Услуги по транспортированию и распределению воды по водопроводам</t>
  </si>
  <si>
    <t>"223 за 3 года", ".", "Участники клиринга", "рейтинг заказчиков маркер", "производители"</t>
  </si>
  <si>
    <t>24.20.13.130 Трубы стальные электросварные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46.74.12 Услуги по оптовой торговле водопроводным и отопительным оборудованием и санитарно-технической арматурой
24.45.30.390 Металлы цветные прочие, изделия из них, порошки
24.20.12.110 Трубы обсадные бесшовные стальные
24.20.13.190 Трубы круглого сечения прочие стальные
22.21.29.110 Трубы прочие пластмассовые
24.2 Трубы, профили пустотелые и их фитинги стальные
24.20.11.000 Трубы стальные для нефте- и газопроводов бесшовные
22.21 Плиты, листы, трубы и профили пластмассовые ****</t>
  </si>
  <si>
    <t>За весь период заходили в конкурсы  1 раз на общую сумму обеспеченных контрактов с НМЦ 0,00 ? с БГУ  4 960 208,34 ? с БГИ 49 602 083,40 ?                             ЗА 3 ГОДА ПО 223 ФЗ заключено 8 шт. с объемом НМЦ 83 916 830,01 ? за 1 ГОД ПО 223ФЗ заключено 5  25 272 088,69 ?</t>
  </si>
  <si>
    <t>"223 за 3 года", "кл фт агент бг 04.22", ".", "рейтинг поставщиков в маркере по бг", "2. Финтендер 2022 31.03.22 Григорян для СПАРК", "все клиенты с выручкой от 1,8 млрд до бесконечности", "клиенты от 100 млн", "действующие б не прям", "Одобренные но не выданные 1 полугодие 2021", "ФТ клиенты с продуктами по сотрудникам", "223 фз контракты 20+", "рейтинг по нмц маркер", "поставщики маркер"</t>
  </si>
  <si>
    <t>28.30.83 Оборудование для приготовления кормов для животных
28.93.13.149 Оборудование технологическое прочее для комбикормовой промышленности</t>
  </si>
  <si>
    <t>27.32.13.135 Провода силовые общего назначения
27.32.14.120 Провода для воздушных линий электропередач</t>
  </si>
  <si>
    <t>"44 за 3 года", ".", "06.2022_ФинХД", "все клиенты с выручкой от 1,8 млрд до бесконечности", "производители"</t>
  </si>
  <si>
    <t>38.22.29.000 Услуги по утилизации прочих опасных отходов
81.21.10.000 Услуги по общей уборке зданий
38.11.21.000 Услуги по сбору неопасных отходов городского хозяйства, непригодных для повторного использования
81.29.13.000 Услуги санитарно-гигиенические прочие
38.11 Отходы неопасные; услуги по сбору неопасных отходов
38.21.29.000 Услуги по утилизации неопасных отходов прочие
49.41.19.900 Услуги по перевозке грузов автомобильным транспортом прочие, не включенные в другие группировки
38.11.29.000 Услуги по сбору прочих неопасных отходов, непригодных для повторного использования
38.21.10.000 Услуги по переработке отходов неопасных для окончательной утилизации
81.10.10.000 Услуги по обслуживанию помещений комплексные ****</t>
  </si>
  <si>
    <t>За весь период компания заключила  12 контрактов на сумму  81 137 207 860,24 ? За весь период заходили в конкурсы  74 раз на общую сумму обеспеченных контрактов с НМЦ 40 721 053 769,03 ? с БГУ  1 989 334 374,84 ? с БГИ 2 456 274 095,03 ?</t>
  </si>
  <si>
    <t>"223 за 3 года", ".", "рейтинг поставщиков в маркере по бг", "fk1", "БГ ФБ ЮР лица на 01.07.2021",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 "44 за 3 года"</t>
  </si>
  <si>
    <t>Сообщения о принятии решения о реорганизации от 11.08.2016</t>
  </si>
  <si>
    <t>"поставщики маркер", ".", "беники", "все клиенты с выручкой от 1,8 млрд до бесконечности", "производители"</t>
  </si>
  <si>
    <t>10.51.52.140 Кефир
10.51.11.141 Молоко питьевое коровье стерилизованное
10.51.51.129 Молоко сгущенное (концентрированное) с сахаром и прочими вкусовыми компонентами
10.89.19.290 Продукты пищевые прочие, не включенные в другие группировки
10.86.10.126 Творог и творожные продукты для детей раннего возраста
10.51.40.131 Сыры твердые без вкусовых наполнителей
10.51.56.152 Сырки творожные
10.51.11.119 Молоко питьевое пастеризованное прочее
10.51.52.200 Сметана
10.42.10.122 Спреды растительно-жировые ****</t>
  </si>
  <si>
    <t>За весь период заходили в конкурсы  2 раз на общую сумму обеспеченных контрактов с НМЦ 627 152 264,43 ? с БГУ  31 590 976,58 ? с БГИ 189 545 859,49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</si>
  <si>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41.20.40.900 Работы строительные по возведению нежилых зданий и сооружений прочие, не включенные в другие группировки
42.12.20.190 Работы строительные по строительству наземных и подземных железных дорог прочие, не включенные в другие группировки
39.00.22.000 Услуги по рекультивации прочие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</si>
  <si>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132 контрактов на сумму  456 855 584 057,35 ? За весь период заходили в конкурсы  207 раз на общую сумму обеспеченных контрактов с НМЦ 432 737 330 759,26 ? с БГУ  20 133 585 623,03 ? с БГИ 122 695 732 564,61 ? За 3 ГОДА по 44ФЗ заключено 10 шт. с объемом НМЦ  36 535 795 828,44 ? с БГИ 8 421 667 955,63 ? с БГГО 186 378 902,41 ? с авансированием до 53 902 389 301,93 ? с комиссией банку 51 421 818,62 ? с кв 447 369,82 ? ЗА 1 ГОД по 44ФЗ заключено 1 шт. c объемом НМЦ 1 340 257 340,44 ? с БГИ 402 077 202,13 ? с БГГО 67 012 867,02 ? с авансированием до  402 077 202,13 ? с комиссией банку  51 421 818,62 ? с кв 447 369,82 ? ЗА 3 ГОДА ПО 223 ФЗ заключено 1 шт. с объемом НМЦ 35 043 544,14 ? за 1 ГОД ПО 223ФЗ заключено 1  35 043 544,14 ?</t>
  </si>
  <si>
    <t>Сообщение кредитора о намерении обратиться в суд с заявлением о банкротстве от 03.06.2021</t>
  </si>
  <si>
    <t>10.73.11.140 Изделия макаронные фигурные
10.61.21.113 Мука пшеничная хлебопекарная высшего сорта
10.73.11.130 Лапша
10.73.11.110 Макароны
10.61.21.110 Мука пшеничная
10.61.22.112 Мука ржаная обдирная
10.73.11.120 Вермишель
10.61.21.114 Мука пшеничная хлебопекарная первого сорта
10.73.11.150 Рожки
10.61.21.119 Мука пшеничная прочая ****</t>
  </si>
  <si>
    <t>25.73.30.176 Головки сменные и принадлежности к ним в наборах и россыпью
25.73.30.233 Отвертки диэлектрические
25.73.40.290 Инструменты рабочие сменные для станков или для ручного инструмента прочие, не включенные в другие группировки
25.73.60.190 Инструмент прочий, не включенный в другие группировки
25.73.30.234 Наборы отверток
25.73.40.260 Полотна ножовочные
25.73.30.165 Ножницы по металлу ручные
25.73.30.141 Молотки
25.73.40.119 Сверла прочие, не включенные в другие группировки
25.73.40.170 Пилы дисковые ****</t>
  </si>
  <si>
    <t>За весь период заходили в конкурсы  1 раз на общую сумму обеспеченных контрактов с НМЦ 75 940 343,16 ? с БГУ  3 816 097,65 ? с БГИ 22 896 585,88 ?</t>
  </si>
  <si>
    <t>"223 за 3 года", "свод фт", ".", "рейтинг поставщиков в маркере по бг", "кредиты фт", "лимит сит по кредитам", "рейтинг по нмц маркер", "на фт заводил Федоров", "поставщики маркер", "44 за 3 года"</t>
  </si>
  <si>
    <t>24.10.71.130 Швеллеры стальные горячекатаные из нелегированных сталей</t>
  </si>
  <si>
    <t>Сообщение кредитора о намерении обратиться в суд с заявлением о банкротстве от 09.10.2019</t>
  </si>
  <si>
    <t>21 Средства лекарственные и материалы, применяемые в медицинских целях
32.50.42 Очки для коррекции зрения, защитные или прочие очки или аналогичные оптические приборы
13.99.19.111 Вата медицинская гигроскопическая
23.13.11 Бутылки, банки, флаконы и прочая тара из стекла, кроме ампул; пробки, крышки и прочие укупорочные средства из стекла
23.19.23.120 Посуда для гигиенических или фармацевтических целей стеклянная
10.86.10 Продукция детского питания и диетическая
20.20.14 Средства дезинфекционные
10.32 Продукция соковая из фруктов и овощей
22.29.29.130 Емкости, контейнеры для проб для диагностики in vitro
10.89.19.210 Добавки биологически активные к пище ****</t>
  </si>
  <si>
    <t>21.20.23.110 Реагенты диагностические
21.20.23.199 Средства нелечебные прочие
20.59.52.140 Среды готовые питательные для выращивания микроорганизмов
20.59.52.199 Реагенты сложные диагностические или лабораторные прочие, не включенные в другие группировки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21.20.10.191 Препараты антибактериальные для системного использования
21.20.10.213 Иммуномодуляторы
21.20.10.241 Препараты противопротозойные ****</t>
  </si>
  <si>
    <t>За весь период компания заключила  34 контрактов на сумму  1 680 006 989,67 ? За весь период заходили в конкурсы  93 раз на общую сумму обеспеченных контрактов с НМЦ 7 977 136 001,73 ? с БГУ  435 600 723,90 ? с БГИ 1 866 052 494,48 ? За 3 ГОДА по 44ФЗ заключено 1806 шт. с объемом НМЦ  4 011 423 241,13 ? с БГИ 327 824 680,29 ? с БГГО 35 756 181,09 ? с авансированием до 1 662 639,33 ? с комиссией банку 4 293 343,15 ? с кв 37 352,09 ? ЗА 1 ГОД по 44ФЗ заключено 530 шт. c объемом НМЦ 1 001 725 433,01 ? с БГИ 74 287 358,70 ? с БГГО 5 007 843,36 ? с авансированием до  1 165 039,93 ? с комиссией банку  872 181,90 ? с кв 7 587,98 ? ЗА 3 ГОДА ПО 223 ФЗ заключено 29 шт. с объемом НМЦ 38 551 749,40 ? за 1 ГОД ПО 223ФЗ заключено 10  9 794 265,20 ?</t>
  </si>
  <si>
    <t>"223 за 3 года", ".", "рейтинг поставщиков в маркере по бг",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 "44 за 3 года"</t>
  </si>
  <si>
    <t>33.17.11.000 Услуги по ремонту и техническому обслуживанию железнодорожных локомотивов и подвижного состава
33.12.19.000 Услуги по ремонту и техническому обслуживанию прочего оборудования общего назначения, не включенного в другие группировки</t>
  </si>
  <si>
    <t>1 850</t>
  </si>
  <si>
    <t>За весь период компания заключила  4 контрактов на сумму  16 401 227 152,98 ? За весь период заходили в конкурсы  3 раз на общую сумму обеспеченных контрактов с НМЦ 632 720 482,00 ? с БГУ  30 727 206,52 ? с БГИ 356 150 291,12 ? За 3 ГОДА по 44ФЗ заключено 2 шт. с объемом НМЦ  459 238 891,28 ? с БГИ 215 546 762,93 ? с БГГО 0,00 ? с авансированием до 209 515 613,20 ? с комиссией банку 2 255 772,99 ? с кв 19 625,23 ?</t>
  </si>
  <si>
    <t>"44 за 3 года", ".", "рейтинг поставщиков в маркере по бг", "СRM Шарифуллина", "ГРАНДИОЗНЫЙ ПРОЕКТ", "рейтинг по нмц маркер", "поставщики маркер"</t>
  </si>
  <si>
    <t>"это заказчик", ".", "райф", "все клиенты с выручкой от 1,8 млрд до бесконечности"</t>
  </si>
  <si>
    <t>71.12.12.190 Услуги по инженерно-техническому проектированию зданий прочие, не включенные в другие группировки
42.1 Дороги автомобильные и железные; строительные работы по строительству автомобильных дорог и железных дорог</t>
  </si>
  <si>
    <t>Заявка взята на рассмотрение
Заявка отозвана клиентом
Распределена в Банк</t>
  </si>
  <si>
    <t>"223 за 3 года", "свод фт", ".", "лимит сит по кредитам", "все клиенты с выручкой от 1,8 млрд до бесконечности", "рейтинг заказчиков маркер", "производители", "рейтинг по нмц маркер", "на фт заводил Шутов", "на фт заводил Дементьев"</t>
  </si>
  <si>
    <t>52.24.1 Услуги по обработке грузов
35.30.11.111 Энергия тепловая, отпущенная тепловыми электроцентралями (ТЭЦ)
52.24.13 Услуги по обработке грузов в портах прочие
68.20.12.000 Услуги по сдаче в аренду (внаем) собственных или арендованных нежилых помещений</t>
  </si>
  <si>
    <t>Заказчик разыгравший 124 конкурсов на сумму  22 862 285 758,29 ?</t>
  </si>
  <si>
    <t>42.22.23 Работы строительные по строительству электростанций</t>
  </si>
  <si>
    <t>"поставщики маркер", ".", "ушедшие", "все клиенты с выручкой от 1,8 млрд до бесконечности", "производители", "рейтинг по нмц маркер"</t>
  </si>
  <si>
    <t>69.20.1 Услуги по проведению финансового аудита
32.30.15.240 Бассейны плавательные и бассейны для гребли</t>
  </si>
  <si>
    <t>"на фт заводил Вохмина", ".", "все клиенты с выручкой от 1,8 млрд до бесконечности"</t>
  </si>
  <si>
    <t>10.86.10.300 Вода питьевая, напитки безалкогольные для детского питания
11.07.1 Воды минеральные и безалкогольные напитки
36.00.11 Вода питьевая
11.07.11.122 Воды питьевые газированные, расфасованные в емкости
11.07.11.111 Воды минеральные природные питьевые столовые
11.07.11.110 Воды минеральные природные питьевые
10.8 Продукты пищевые прочие
36.00 Вода природная; услуги по очистке воды и водоснабжению
11.07.11.121 Воды питьевые негазированные, расфасованные в емкости
11.07 Напитки безалкогольные; минеральные воды и прочие питьевые воды в бутылках ****</t>
  </si>
  <si>
    <t>ЗА 3 ГОДА ПО 223 ФЗ заключено 3 шт. с объемом НМЦ 26 099 308,88 ? за 1 ГОД ПО 223ФЗ заключено 1  17 234 796,28 ?</t>
  </si>
  <si>
    <t>"поставщики маркер", "кл фт ФК БГ 04.22", ".", "fk1", "корп 2", "все клиенты с выручкой от 1,8 млрд до бесконечности", "клиенты от 100 млн", "действующие б не прям", "Обороты по клиентам по кварталам (2022г)", "ФТ клиенты с продуктами по сотрудникам", "рейтинг по нмц маркер"</t>
  </si>
  <si>
    <t>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 Компьютеры и периферийное оборудование
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t>
  </si>
  <si>
    <t>35.11.10.112 Электроэнергия, произведенная теплоэлектроцентралями (ТЭЦ) общего назначения
35.11.10.143 Электроэнергия, произведенная геотермальными электростанциями
35.11.10.122 Электроэнергия, произведенная блок-станциями теплоэлектроцентралей (ТЭЦ)
35.11.10.142 Электроэнергия, произведенная ветровыми электростанциями
77.39 Услуги по аренде и лизингу прочих машин, оборудования и материальных средств, не включенных в другие группировки
71.12.1 Услуги инженерно-технического характера
27.11.32.120 Установки генераторные прочие
35.12.10.120 Услуги по технологическому присоединению к распределительным электросетям
35.13.10 Услуги по распределению электроэнергии
35.30.11.120 Энергия тепловая, отпущенная котельными ****</t>
  </si>
  <si>
    <t>Заказчик разыгравший 257 конкурсов на сумму  75 808 309 923,92 ?</t>
  </si>
  <si>
    <t>"223 за 3 года", ".", "ушедший портфель", "п6", "fk1", "ИНН 3 года - нет КД БГ на 01.10.22", "Список ушедший ", "ушедшие", "все клиенты с выручкой от 1,8 млрд до бесконечности", "Участники клиринга", "рейтинг заказчиков маркер", "рейтинг по нмц маркер", "это заказчик", "поставщики маркер", "44 за 3 года"</t>
  </si>
  <si>
    <t>Сообщения о принятии решения о реорганизации от 11.08.2020</t>
  </si>
  <si>
    <t>"поставщики маркер", ".", "06.2022_ФинХД", "производители"</t>
  </si>
  <si>
    <t>ЗА 3 ГОДА ПО 223 ФЗ заключено 25 шт. с объемом НМЦ 42 365 094,61 ? за 1 ГОД ПО 223ФЗ заключено 13  42 488 224,00 ?</t>
  </si>
  <si>
    <t>52.29.19.110 Услуги по экспедированию грузов
52.29.20.000 Услуги транспортные вспомогательные прочие, не включенные в другие группировки
52.29 Услуги транспортные вспомогательные прочие</t>
  </si>
  <si>
    <t>"223 за 3 года", ".", "клиент металлинвеста"</t>
  </si>
  <si>
    <t>28.92.30 Машины для выемки грунта и строительства прочие
29.32.30.172 Насосы жидкостных систем охлаждения
29.32.30.240 Передачи карданные, валы приводные, шарниры неравных и равных угловых скоростей
28.92.30.190 Машины для выемки грунта и строительства прочие, не включенные в другие группировки
29.32.30.164 Указатели и датчики аварийных состояний
29.32.30.390 Части и принадлежности для автотранспортных средств прочие, не включенные в другие группировки
28.22.18.390 Оборудование подъемно-транспортное и погрузочно-разгрузочное прочее, не включенное в другие группировки
29.32.30.110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29.32.30.161 Спидометры, их датчики и комбинации приборов, включающие спидометры
28.15.24.119 Редукторы и передачи зубчатые прочие ****</t>
  </si>
  <si>
    <t>1 198</t>
  </si>
  <si>
    <t>"поставщики маркер", ".", "fk1", "клиенты с в от100млн 09.21", "все клиенты с выручкой от 1,8 млрд до бесконечности", "ФК клиенты с выручкой от 230 до бесконечности", "это заказчик"</t>
  </si>
  <si>
    <t>"в crm за Курилиным", "crm управления"</t>
  </si>
  <si>
    <t>"в crm за Курилиным", ".", "crm управления"</t>
  </si>
  <si>
    <t>52.29.19.110 Услуги по экспедированию грузов
51.2 Услуги по перевозке грузов воздушным транспортом и космическим транспортом
49.39.31.000 Услуги арендованных автобусов с водителем
49.20.19.190 Услуги железнодорожного транспорта по перевозке прочих грузов, не включенные в другие группировки
52.29.1 Услуги грузовых транспортно-экспедиционных агентств
51.10.20.000 Услуги по аренде пассажирских воздушных судов с экипажем
49.20.1 Услуги железнодорожного транспорта по перевозке грузов</t>
  </si>
  <si>
    <t>1 284</t>
  </si>
  <si>
    <t>За 22 г по 44фз контрактов 2 шт. с нмц 28 548 000,00 ? с БГИ на сумму 4 282 200,00 ? с БГГО на 0,00 ? с авансированием до 0,00 ? с комиссией по БГИ  122 463,32 ? и с кв 1 065,43 ?</t>
  </si>
  <si>
    <t>"223 за 3 года", ".", "портфель 31.10.2021_10 тыс_проверка", "все клиенты с выручкой от 1,8 млрд до бесконечности", "рейтинг по нмц маркер", "это заказчик", "поставщики маркер", "44 за 3 года"</t>
  </si>
  <si>
    <t>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</si>
  <si>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За весь период компания заключила  4 контрактов на сумму  1 368 354 550,00 ?</t>
  </si>
  <si>
    <t>"223 за 3 года", ".", "ушедшие", "все клиенты с выручкой от 1,8 млрд до бесконечности", "рейтинг заказчиков маркер", "рейтинг по нмц маркер", "это заказчик",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</si>
  <si>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77.39.19.119 Услуги по аренде и лизингу прочих машин и оборудования научного и промышленного назначения
42.99.19.142 Ограды (заборы) металлические
71.12.20.190 Услуги по руководству строительными проектами прочие
19.20.42.121 Битумы нефтяные дорожные
71.12.19.100 Услуги по инженерно-техническому проектированию прочих объектов, кроме объектов культурного наследия
68.20.12.000 Услуги по сдаче в аренду (внаем) собственных или арендованных нежилых помещений
42.13.20.100 Работы строительные по строительству мостов и тоннелей, кроме работ по сохранению и воссозданию объектов культурного наследия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</si>
  <si>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В архиве
Заявка отозвана клиентом;Отказ из-за непредставления документов;Отклонена банком
Отклонена ФО
Отклонена банком
Отклонена банком;Скоринг пройден</t>
  </si>
  <si>
    <t>"44 за 3 года", "свод фт", ".", "рейтинг поставщиков в маркере по бг", "ГРАНДИОЗНЫЙ ПРОЕКТ", "Агентские отказ из-за непред-я док-ов", "fk1", "корп 1", "Агентские одобренные но не выданные от 30.08", "клиенты с в от100млн 09.21", "Пункт 3 09.01.23", "лимит сит по кредитам", "Действующий клиент мсб с выр от 30 млн на 05.21", "ФК клиенты с выручкой от 230 до бесконечности", "Одобренные но не выданные 1 полугодие 2021", "44 фз с с БГ от 10 млн", "рейтинг заказчиков маркер", "рейтинг по нмц маркер", "это заказчик", "на фт заводил Шутов", "на фт заводил Синяев", "на фт заводил Морозова", "на фт заводил Мелкумов", "поставщики маркер"</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</si>
  <si>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10.51.11.190 Молоко прочее, не включенное в другие группировки
10.51.40.111 Сыры мягкие без вкусовых наполнителей
10.51.52.140 Кефир
10.51.11.141 Молоко питьевое коровье стерилизованное
10.86.10.126 Творог и творожные продукты для детей раннего возраста
10.51.30.113 Масло сливочное подсырное
10.51.40.131 Сыры твердые без вкусовых наполнителей
10.51.56.152 Сырки творожные
10.51.11.119 Молоко питьевое пастеризованное прочее ****</t>
  </si>
  <si>
    <t>1 558</t>
  </si>
  <si>
    <t>За весь период заходили в конкурсы  249 раз на общую сумму обеспеченных контрактов с НМЦ 205 714 328,61 ? с БГУ  15 816 452,88 ? с БГИ 49 717 846,30 ? За 3 ГОДА по 44ФЗ заключено 179 шт. с объемом НМЦ  2 011 348 435,08 ? с БГИ 255 678 056,65 ? с БГГО 2 500,00 ? с авансированием до 0,00 ? с комиссией банку 2 384 530,80 ? с кв 20 745,42 ? ЗА 1 ГОД по 44ФЗ заключено 47 шт. c объемом НМЦ 300 866 949,32 ? с БГИ 80 614 192,22 ? с БГГО 0,00 ? с авансированием до  0,00 ? с комиссией банку  1 070 468,58 ? с кв 9 313,08 ?</t>
  </si>
  <si>
    <t>"поставщики маркер", ".", "портфель 31.10.2021_10 тыс_проверка", "райф", "все клиенты с выручкой от 1,8 млрд до бесконечности", "производители"</t>
  </si>
  <si>
    <t>"поставщики маркер", ".", "fk1", "лимит сит по кредитам", "Пустые_Клиенты", "все клиенты с выручкой от 1,8 млрд до бесконечности", "производители", "это заказчик"</t>
  </si>
  <si>
    <t>10.51.40.330 Творог зерненый без вкусовых компонентов
10.51.30.111 Масло сладко-сливочное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10.51.11.111 Молоко питьевое коровье пастеризованное</t>
  </si>
  <si>
    <t>10.51.54.110 Сахар молочный</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</si>
  <si>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10.51.56.152 Сырки творожные
10.51.40.300 Творог
10.51.56 Продукция молочная, не включенная в другие группировки
10.51.52.212 Сметана от 18,0 % до 22,0 % жирности
10.51.52.110 Йогурт
10.51.11.129 Молоко питьевое ультрапастеризованное (ультравысокотемпературно-обработанное) прочее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10.86.10.143 Напитки на молочной основе жидкие, в том числе обогащенные, для детей дошкольного возраста и детей школьного возраста ****</t>
  </si>
  <si>
    <t>За весь период заходили в конкурсы  13 раз на общую сумму обеспеченных контрактов с НМЦ 797 343 808,96 ? с БГУ  67 321 051,11 ? с БГИ 148 866 872,54 ?</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</si>
  <si>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 Молоко и сливки, кроме сырых
10.51.11.110 Молоко питьевое пастеризованное
10.51.11.129 Молоко питьевое ультрапастеризованное (ультравысокотемпературно-обработанное) прочее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10.51.11.111 Молоко питьевое коровье пастеризованное</t>
  </si>
  <si>
    <t>10.51.22.112 Молоко сухое цельное, от 26,0 % до 41,9 % жирности
10.51.21.110 Молоко сухое не более 1,5 % жирности
10.42.10.121 Спреды растительно-сливочные
10.51.30.111 Масло сладко-сливочное
10.51.40 Сыры; молокосодержащие продукты с заменителем молочного жира, произведенные по технологии сыра; творог
10.42 Маргарин, спреды растительно-сливочные и растительно-жировые, смеси топленые растительно-сливочные и растительно-жировые, жиры специального назначения, заменители молочного жира, эквиваленты, улучшители, заменители масла какао
10.51.22.110 Молоко (частично обезжиренное, цельное) сухое
10.51.30.100 Масло сливочное
10.51 Молоко и молочная продукция
10.41.54.000 Масло подсолнечное и его фракции рафинированные, но не подвергнутые химической модификации ****</t>
  </si>
  <si>
    <t>ЗА 3 ГОДА ПО 223 ФЗ заключено 9 шт. с объемом НМЦ 292 777 405,00 ? за 1 ГОД ПО 223ФЗ заключено 1  8 560 695,00 ?</t>
  </si>
  <si>
    <t>71.12.16.000 Услуги по инженерно-техническому проектированию производственных процессов и производств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26.20.18.000 Устройства периферийные с двумя или более функциями: печать данных, копирование, сканирование, прием и передача факсимильных сообщений
26.30.11.150 Средства связи радиоэлектронные
26.70.13.000 Видеокамеры цифровые
84.25.11.120 Услуги по обеспечению пожарной безопасности
61.1 Услуги телекоммуникационные проводные
61.10.3 Услуги по передаче данных по проводным телекоммуникационным сетям
61.10.30.120 Услуги документальной электросвязи
63.11.21.000 Услуги по передаче потокового видео ****</t>
  </si>
  <si>
    <t>За весь период компания заключила  231 контрактов на сумму  131 877 627 541,69 ? За весь период заходили в конкурсы  376 раз на общую сумму обеспеченных контрактов с НМЦ 117 596 515 369,94 ? с БГУ  5 242 909 686,32 ? с БГИ 29 916 928 648,73 ? За 3 ГОДА по 44ФЗ заключено 2579 шт. с объемом НМЦ  33 974 094 536,44 ? с БГИ 6 429 200 107,16 ? с БГГО 164 637 652,33 ? с авансированием до 564 901 053,12 ? с комиссией банку 125 343 505,67 ? с кв 1 090 488,50 ? ЗА 1 ГОД по 44ФЗ заключено 929 шт. c объемом НМЦ 6 951 889 012,10 ? с БГИ 1 317 489 474,03 ? с БГГО 25 097 208,59 ? с авансированием до  45 012 205,58 ? с комиссией банку  31 952 794,57 ? с кв 277 989,31 ? ЗА 3 ГОДА ПО 223 ФЗ заключено 296 шт. с объемом НМЦ 1 319 540 418,56 ? за 1 ГОД ПО 223ФЗ заключено 130  159 345 023,50 ?</t>
  </si>
  <si>
    <t>"223 за 3 года", ".", "рейтинг поставщиков в маркере по бг", "ГРАНДИОЗНЫЙ ПРОЕКТ", "Конкурсы 100+ (Восстановленный)", "fk1", "ИНН_договоры_октябрь_", "Кредитный портфель_01.11", "06.2022_ФинХД", "все клиенты с выручкой от 1,8 млрд до бесконечности", "ФК клиенты с выручкой от 230 до бесконечности", "223 фз контракты 20+", "44 фз с с БГ от 10 млн", "рейтинг заказчиков маркер", "рейтинг по нмц маркер", "это заказчик", "поставщики маркер", "44 за 3 года"</t>
  </si>
  <si>
    <t>23.31.10.120 Плитки керамические
22.21.10.130 Профили фасонные пластмассовые
24.42.22.139 Профили прочие из алюминия или алюминиевых сплавов
22.23 Изделия пластмассовые строительные
22.23.15.000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23.99.19.110 Материалы и изделия минеральные тепло- и звукоизоляционные
22.23.19.000 Изделия пластмассовые строительные, не включенные в другие группировки
24.31.20.120 Профили со сплошным сечением из легированных сталей, кроме нержавеющих
23.99.19.190 Продукция минеральная неметаллическая прочая, не включенная в другие группировки
24.42.22.133 Профили прямоугольные уголкового сечения из алюминия или алюминиевых сплавов</t>
  </si>
  <si>
    <t>За весь период компания заключила  2 контрактов на сумму  1 407 223 712,12 ? За весь период заходили в конкурсы  1 раз на общую сумму обеспеченных контрактов с НМЦ 574 749 889,82 ? с БГУ  30 571 802,65 ? с БГИ 183 430 815,90 ?</t>
  </si>
  <si>
    <t>22.22.19.000 Изделия упаковочные пластмассовые прочие
22.22 Изделия пластмассовые упаковочные
35.30.11.120 Энергия тепловая, отпущенная котельными
22 Изделия резиновые и пластмассовые
20.16.10.119 Полиэтилен прочий
22.2 Изделия из пластмасс
22.21.30.120 Пленки пластмассовые, неармированные или не комбинированные с другими материалами</t>
  </si>
  <si>
    <t>37.00.11.110 Услуги по водоотведению сточных вод
35.30.11.120 Энергия тепловая, отпущенная котельными</t>
  </si>
  <si>
    <t>За весь период компания заключила  2 контрактов на сумму  1 206 663 388,25 ?</t>
  </si>
  <si>
    <t>"рейтинг по нмц маркер", ".", "беники", "fk1", "все клиенты с выручкой от 1,8 млрд до бесконечности", "рейтинг заказчиков маркер", "производители"</t>
  </si>
  <si>
    <t>Сообщение кредитора о намерении обратиться в суд с заявлением о банкротстве от 29.04.2021</t>
  </si>
  <si>
    <t>1 087</t>
  </si>
  <si>
    <t>23.99.15.000 Корунд искусственный
53.20.11.190 Услуги по курьерской доставке различными видами транспорта прочие</t>
  </si>
  <si>
    <t>За весь период компания заключила  3 контрактов на сумму  662 581 228,80 ?                                     ЗА 3 ГОДА ПО 223 ФЗ заключено 1 шт. с объемом НМЦ 93 668 375,91 ?</t>
  </si>
  <si>
    <t>1 185</t>
  </si>
  <si>
    <t>41.20.40.900 Работы строительные по возведению нежилых зданий и сооружений прочие, не включенные в другие группировки
32.99.59.000 Изделия различные прочие, не включенные в другие группировки</t>
  </si>
  <si>
    <t>Гарантия завершена;Отклонена банком</t>
  </si>
  <si>
    <t>"поставщики маркер", "кл фт прямые бг 04.22", "свод фт", ".", "рейтинг поставщиков в маркере по бг", "БГ ФБ ЮР лица на 01.07.2021", "Гарантии ФБ банкроты", "все клиенты с выручкой от 1,8 млрд до бесконечности", "ФК клиенты с выручкой от 230 до бесконечности", "клиенты от 100 млн", "ФТ клиенты с продуктами по сотрудникам", "рейтинг по нмц маркер", "это заказчик", "на фт заводил Хацкевич"</t>
  </si>
  <si>
    <t>"в crm за Егоровым ", "свод фт", ".", "кредиты фт", "Пункт 3.1 09.01.2023", "лимит сит по кредитам", "на фт заводил Егоров ", "crm управления"</t>
  </si>
  <si>
    <t>"ФТ клиенты с продуктами по сотрудникам", "кл фт ФК ВКЛ/РКО 04.22", ".", "fk1", "АНАЛИЗ Все установленные лимиты на 01.12.2021 ОКВЭД Прочие Услуги", "корп 2", "Портфель ЛП", "Ссуды ФБ 29.04.2022 банкр.", "клиенты с в от100млн 09.21", "Пункт 3 09.01.23", "все клиенты с выручкой от 1,8 млрд до бесконечности", "филиал бизнес 01.03.22", "ФК клиенты с выручкой от 230 до бесконечности", "клиенты от 100 млн", "Обороты по клиентам по кварталам (2022г)"</t>
  </si>
  <si>
    <t>19.20.21.300 Топливо дизельное
49.41.1 Услуги по грузовым перевозкам автомобильным транспортом</t>
  </si>
  <si>
    <t>62.01 Продукты программные и услуги по разработке и тестированию программного обеспечения
62 Продукты программные и услуги по разработке программного обеспечения; консультационные и аналогичные услуги в области информационных технологий
58.2 Услуги по изданию программного обеспечения
58.29.50.000 Услуги по предоставлению лицензий на право использовать компьютерное программное обеспечение</t>
  </si>
  <si>
    <t>За весь период компания заключила  5 контрактов на сумму  781 602 471,39 ?                                     ЗА 3 ГОДА ПО 223 ФЗ заключено 4 шт. с объемом НМЦ 84 847 670,67 ? за 1 ГОД ПО 223ФЗ заключено 1  22 769 673,57 ?</t>
  </si>
  <si>
    <t>Сообщения о принятии решения о реорганизации от 16.09.2021</t>
  </si>
  <si>
    <t>"223 за 3 года", ".", "ушедший портфель", "fk1", "ИНН 3 года - нет КД БГ на 01.10.22", "Список ушедший ", "Пункт 3.1 09.01.2023",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"223 фз контракты 20+", "рейтинг по нмц маркер", "поставщики маркер"</t>
  </si>
  <si>
    <t>42.21.11.111 Трубопровод магистральный наземный и подводный для перекачки газа (газопровод магистральный)
43.22.11.110 Работы по монтажу основных сетей горячего и холодного водоснабжения (т. е. водопроводных), работы по монтажу спринклерных систем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</si>
  <si>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14.12.30 Спецодежда прочая
14.12.30.160 Средства защиты от радиации и воздействия других неблагоприятных факторов внешней среды специализированные, не содержащие встроенных дыхательных аппаратов
26.51.66.120 Приборы неразрушающего контроля качества материалов и изделий
29.10.59.170 Комплексы медицинские на шасси транспортных средств</t>
  </si>
  <si>
    <t>За весь период заходили в конкурсы  3 раз на общую сумму обеспеченных контрактов с НМЦ 131 361 902,74 ? с БГУ  8 079 302,57 ? с БГИ 38 500 815,46 ?</t>
  </si>
  <si>
    <t>"поставщики маркер", ".", "рейтинг поставщиков в маркере по бг", "п6", "инн Вавилова", "fk1", "Кредитный портфель_01.11",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 "рейтинг по нмц маркер"</t>
  </si>
  <si>
    <t>Юридическое лицо находится в процессе реорганизации в форме присоединения к другому юридическому лицу от 11.04.2023</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</si>
  <si>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t>
  </si>
  <si>
    <t>Заказчик разыгравший 9 конкурсов на сумму  1 116 279 536,20 ?</t>
  </si>
  <si>
    <t>Сообщение кредитора о намерении обратиться в суд с заявлением о банкротстве от 24.11.2020</t>
  </si>
  <si>
    <t>1 051</t>
  </si>
  <si>
    <t>ЗА 3 ГОДА ПО 223 ФЗ заключено 8 шт. с объемом НМЦ 51 979 046,27 ?</t>
  </si>
  <si>
    <t>37.00.11.110 Услуги по водоотведению сточных вод
85.42.19.900 Услуги по профессиональному обучению прочие
36.00.30.000 Услуги по торговле водой, поставляемой по трубопроводам
35.30.11.120 Энергия тепловая, отпущенная котельными
68.20.1 Услуги по сдаче в аренду (внаем) собственного или арендованного недвижимого имущества
63.99.1 Услуги информационные прочие, не включенные в другие группировки
84.22.12 Услуги в области гражданской обороны
84.25.1 Услуги по обеспечению безопасности в чрезвычайных ситуациях; услуги по обеспечению безопасности в области использования атомной энергии
68.20.12.000 Услуги по сдаче в аренду (внаем) собственных или арендованных нежилых помещений
36.00.20.130 Услуги по транспортированию и распределению воды по водопроводам ****</t>
  </si>
  <si>
    <t>1 103</t>
  </si>
  <si>
    <t>Заказчик разыгравший 131 конкурсов на сумму  15 560 336 393,61 ?</t>
  </si>
  <si>
    <t>"223 за 3 года", ".", "райф", "все клиенты с выручкой от 1,8 млрд до бесконечности", "рейтинг заказчиков маркер", "это заказчик", "поставщики маркер"</t>
  </si>
  <si>
    <t>Определение о введении наблюдения от 15.04.2011</t>
  </si>
  <si>
    <t>Гарантия отправлена;Отправлена клиенту</t>
  </si>
  <si>
    <t>"на фт заводил Федоров", "свод фт", ".", "ушедший портфель", "беники", "клиент металлинвеста", "УПП на 2 номер", "fk1", "клиенты управления по БГ без открытых счетов", "ИНН 3 года - нет КД БГ на 01.10.22", "Список ушедший ", "корп 2", "Премия 4 кв 22 г.бг", "06.2022_ФинХД", "все клиенты с выручкой от 1,8 млрд до бесконечности", "клиенты от 100 млн", "Обороты по клиентам по кварталам (2022г)", "производители"</t>
  </si>
  <si>
    <t>Сообщения о принятии решения о реорганизации от 06.03.2020</t>
  </si>
  <si>
    <t>"Обороты по клиентам по кварталам (2022г)", ".", "выдали", "fk1", "06.2022_ФинХД", "все клиенты с выручкой от 1,8 млрд до бесконечности"</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</si>
  <si>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49.50.1 Услуги трубопроводного транспорта
19.20.21.321 Топливо дизельное зимнее вне классов
19.20.21.440 Топливо судовое с массовой долей серы не более 0,5 % с температурой вспышки в закрытом тигле не ниже 61 °C
19.20.21.310 Топливо дизельное летнее
19.20.21.400 Топливо судовое
19.20.21.315 Топливо дизельное летнее экологического класса К5
19.20.21.300 Топливо дизельное
19.20.21.313 Топливо дизельное летнее экологического класса К3
19.20.21.325 Топливо дизельное зимнее экологического класса К5 ****</t>
  </si>
  <si>
    <t>За весь период компания заключила  12 контрактов на сумму  1 761 877 691,42 ? За весь период заходили в конкурсы  10 раз на общую сумму обеспеченных контрактов с НМЦ 563 119 834,96 ? с БГУ  6 797 260,39 ? с БГИ 52 014 796,68 ?                             ЗА 3 ГОДА ПО 223 ФЗ заключено 14 шт. с объемом НМЦ 945 795 296,41 ? за 1 ГОД ПО 223ФЗ заключено 7  1 117 175 329,31 ?</t>
  </si>
  <si>
    <t>"223 за 3 года", ".", "рейтинг поставщиков в маркере по бг", "База Восточный (Мелкумов)", "Конкурсы 100+ (Восстановленный)", "Пункт 3 09.01.23", "все клиенты с выручкой от 1,8 млрд до бесконечности", "Участники клиринга", "223 фз контракты 20+", "рейтинг заказчиков маркер", "производители", "рейтинг по нмц маркер", "44 за 3 года"</t>
  </si>
  <si>
    <t>35.30.12.130 Услуги по транспортированию горячей воды
35.30.11.111 Энергия тепловая, отпущенная тепловыми электроцентралями (ТЭЦ)
35.30.1 Пар и горячая вода; услуги по снабжению паром и горячей водой
35.30.12 Услуги по снабжению паром и горячей водой по трубопроводам</t>
  </si>
  <si>
    <t>За весь период контрактов 20 шт. на общую сумму НМЦ 21 000 719 262,47 ?</t>
  </si>
  <si>
    <t>Сообщение кредитора о намерении обратиться в суд с заявлением о банкротстве от 25.01.2021</t>
  </si>
  <si>
    <t>"поставщики маркер", ".", "рейтинг поставщиков в маркере по бг", "fk1", "инн Красносельская", "клиенты с в от100млн 09.21", "все клиенты с выручкой от 1,8 млрд до бесконечности", "ФК клиенты с выручкой от 230 до бесконечности", "рейтинг по нмц маркер"</t>
  </si>
  <si>
    <t>86.90.14.000 Услуги скорой медицинской помощи
49.39.31.000 Услуги арендованных автобусов с водителем
49.32.12.000 Услуги по аренде легковых автомобилей с водителем
49.39.39.000 Услуги по перевозке пассажиров сухопутным транспортом прочие, не включенные в другие группировки
49.41.19.900 Услуги по перевозке грузов автомобильным транспортом прочие, не включенные в другие группировки
49.41.20.000 Услуги по аренде грузовых транспортных средств с водителем
49.31.21.190 Услуги по перевозкам пассажиров в городском и пригородном сообщении прочим сухопутным транспортом</t>
  </si>
  <si>
    <t>За весь период компания заключила  103 контрактов на сумму  133 066 133 864,19 ? За весь период заходили в конкурсы  1549 раз на общую сумму обеспеченных контрактов с НМЦ 127 571 057 706,37 ? с БГУ  4 542 689 950,50 ? с БГИ 22 076 075 207,20 ? За 3 ГОДА по 44ФЗ заключено 33 шт. с объемом НМЦ  16 940 322 272,23 ? с БГИ 1 674 826 882,66 ? с БГГО 0,00 ? с авансированием до 0,00 ? с комиссией банку 53 587 701,06 ? с кв 466 213,00 ? ЗА 1 ГОД по 44ФЗ заключено 13 шт. c объемом НМЦ 4 425 024 835,82 ? с БГИ 430 227 018,95 ? с БГГО 0,00 ? с авансированием до  0,00 ? с комиссией банку  25 308 386,04 ? с кв 220 182,96 ?</t>
  </si>
  <si>
    <t>"223 за 3 года", ".", "рейтинг поставщиков в маркере по бг", "Конкурсы 100+ (Восстановленный)", "все клиенты с выручкой от 1,8 млрд до бесконечности", "44 фз с с БГ от 10 млн", "рейтинг заказчиков маркер", "рейтинг по нмц маркер", "это заказчик", "44 за 3 года"</t>
  </si>
  <si>
    <t>22.11.11.000 Шины и покрышки пневматические для легковых автомобилей новые
22.11.14 Шины и покрышки пневматические для сельскохозяйственных машин; шины и покрышки пневматические прочие новые
22.11.1 Шины, покрышки и камеры резиновые новые</t>
  </si>
  <si>
    <t>"Обороты по клиентам по кварталам (2022г)",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</si>
  <si>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36.00.1 Вода природная
36.00.20.140 Услуги по техническому обслуживанию приборов учета расхода воды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36.00.20 Услуги по очистке вод и распределению воды по водопроводам ****</t>
  </si>
  <si>
    <t>За весь период компания заключила  102 контрактов на сумму  15 671 616 538,46 ? За весь период заходили в конкурсы  27 раз на общую сумму обеспеченных контрактов с НМЦ 2 211 194 321,01 ? с БГУ  136 963 299,38 ? с БГИ 812 242 760,21 ?                             ЗА 3 ГОДА ПО 223 ФЗ заключено 95 шт. с объемом НМЦ 163 126 815,74 ? за 1 ГОД ПО 223ФЗ заключено 34  86 981 822,83 ?</t>
  </si>
  <si>
    <t>Сообщение кредитора о намерении обратиться в суд с заявлением о банкротстве от 06.06.2019</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</si>
  <si>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42.91.20.190 Работы строительные и ремонтные, связанные с прочими водными сооружениями и работы по ремонту всех вышеуказанных сооружений
37.0 Услуги по водоотведению; шлам сточных вод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37.00.20 Отстой сточных вод
37.00.11.130 Услуги по подключению (технологическому присоединению) к централизованной системе водоотведения
37.00.11.120 Услуги по транспортированию сточных вод
37.00.12.110 Услуги по опорожнению и чистке выгребных ям, сточных колодцев и септиков ****</t>
  </si>
  <si>
    <t>За весь период компания заключила  55 контрактов на сумму  89 208 879 951,69 ? За весь период заходили в конкурсы  31 раз на общую сумму обеспеченных контрактов с НМЦ 7 017 868 694,58 ? с БГУ  280 551 138,63 ? с БГИ 2 083 550 767,30 ?                             ЗА 3 ГОДА ПО 223 ФЗ заключено 37 шт. с объемом НМЦ 55 162 955,40 ? за 1 ГОД ПО 223ФЗ заключено 16  8 218 253,94 ?</t>
  </si>
  <si>
    <t>"223 за 3 года", ".", "рейтинг поставщиков в маркере по бг", "ГРАНДИОЗНЫЙ ПРОЕКТ", "все клиенты с выручкой от 1,8 млрд до бесконечности", "рейтинг заказчиков маркер", "рейтинг по нмц маркер", "это заказчик", "поставщики маркер", "44 за 3 года"</t>
  </si>
  <si>
    <t>43.22 Работы по монтажу систем водопровода, канализации, отопления и кондиционирования воздуха
43.22.12.120 Работы по установке и техническому обслуживанию систем управления центральным отоплением
33.11.13 Услуги по ремонту и техническому обслуживанию ядерных реакторов и паровых котлов, кроме водяных котлов центрального отопления
43.99.90.190 Работы строительные специализированные прочие, не включенные в другие группировки
35.2 Газы горючие искусственные; услуги по распределению газообразного топлива по трубопроводам
35.22 Услуги по распределению газообразного топлива по трубопроводам
43.22.20.000 Работы по монтажу газовых систем
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
71.20.19.111 Услуги по проведению государственной экспертизы проектной документации и результатов инженерных изысканий
33.12.2 Услуги по ремонту и техническому обслуживанию оборудования специального назначения ****</t>
  </si>
  <si>
    <t>За весь период компания заключила  30 контрактов на сумму  3 212 648 965,75 ? За весь период заходили в конкурсы  152 раз на общую сумму обеспеченных контрактов с НМЦ 4 968 773 426,52 ? с БГУ  290 909 041,26 ? с БГИ 2 147 625 197,92 ? За 3 ГОДА по 44ФЗ заключено 21 шт. с объемом НМЦ  444 730 765,49 ? с БГИ 50 551 958,74 ? с БГГО 1 029 479,11 ? с авансированием до 0,00 ? с комиссией банку 556 031,74 ? с кв 4 837,48 ?               ЗА 3 ГОДА ПО 223 ФЗ заключено 63 шт. с объемом НМЦ 855 332 438,81 ? за 1 ГОД ПО 223ФЗ заключено 16  24 016 716,88 ?</t>
  </si>
  <si>
    <t>71.12 Услуги в области инженерно-технического проектирования и связанные технические консультативные услуги
71.11.21.000 Услуги в области архитектуры, связанные с проектами жилищного строительства
71.11.22.000 Услуги в области архитектуры, связанные с проектами строительства нежилых зданий и сооружений
71.1 Услуги в области архитектуры, инженерно-технического проектирования и связанные технические консультативные услуги
71.12.19.100 Услуги по инженерно-техническому проектированию прочих объектов, кроме объектов культурного наследия
72.19 Услуги, связанные с научными исследованиями и экспериментальными разработками в области естественных и технических наук, прочие
41.10.10.000 Документация проектная для строительства
71.12.12.190 Услуги по инженерно-техническому проектированию зданий прочие,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
74.90.12.121 Услуги по установлению рыночной или иной стоимости отдельных материальных объектов (вещей)</t>
  </si>
  <si>
    <t>За весь период компания заключила  14 контрактов на сумму  47 993 991 030,50 ? За весь период заходили в конкурсы  14 раз на общую сумму обеспеченных контрактов с НМЦ 1 960 599 483,82 ? с БГУ  89 074 511,72 ? с БГИ 420 585 725,38 ? За 3 ГОДА по 44ФЗ заключено 1 шт. с объемом НМЦ  67 563 904,33 ? с БГИ 20 269 171,30 ? с БГГО 0,00 ? с авансированием до 0,00 ? с комиссией банку 444 255,81 ? с кв 3 865,03 ?               ЗА 3 ГОДА ПО 223 ФЗ заключено 2 шт. с объемом НМЦ 50 371 002,98 ?</t>
  </si>
  <si>
    <t>49.10.19.111 Услуги по перевозке пассажиров железнодорожным транспортом в междугородном сообщении в регулируемом секторе
35.11.10.112 Электроэнергия, произведенная теплоэлектроцентралями (ТЭЦ) общего назначения
49.39.31.000 Услуги арендованных автобусов с водителем
52.10.19.900 Услуги по складированию и хранению прочие, не включенные в другие группировки
49.31.10.110 Услуги по перевозке пассажиров железнодорожным транспортом во внутригородском и пригородном сообщении в регулируемом секторе
73 Услуги рекламные и услуги по исследованию конъюнктуры рынка
50.40.22.110 Услуги по буксировке на внутреннем водном транспорте
49.32.12.000 Услуги по аренде легковых автомобилей с водителем
35.13.10.000 Услуги по распределению электроэнергии
35.30.12.130 Услуги по транспортированию горячей воды ****</t>
  </si>
  <si>
    <t>За весь период компания заключила  3 контрактов на сумму  1 020 377 701,54 ? За весь период заходили в конкурсы  3 раз на общую сумму обеспеченных контрактов с НМЦ 1 000 646 609,73 ? с БГУ  52 060 656,24 ? с БГИ 241 643 312,00 ? За 3 ГОДА по 44ФЗ заключено 26 шт. с объемом НМЦ  210 787 185,00 ? с БГИ 13 041 706,07 ? с БГГО 97 750,00 ? с авансированием до 0,00 ? с комиссией банку 386 947,88 ? с кв 3 366,45 ? ЗА 1 ГОД по 44ФЗ заключено 3 шт. c объемом НМЦ 105 185 079,00 ? с БГИ 5 269 341,27 ? с БГГО 0,00 ? с авансированием до  0,00 ? с комиссией банку  227 617,95 ? с кв 1 980,28 ?</t>
  </si>
  <si>
    <t>Сообщение кредитора о намерении обратиться в суд с заявлением о банкротстве от 11.02.2022</t>
  </si>
  <si>
    <t>"44 за 3 года", ".", "рейтинг поставщиков в маркере по бг", "ГРАНДИОЗНЫЙ ПЛАН заказчики", "все клиенты с выручкой от 1,8 млрд до бесконечности", "рейтинг заказчиков маркер", "производители", "рейтинг по нмц маркер", "это заказчик", "поставщики маркер"</t>
  </si>
  <si>
    <t>22.22.14.000 Бутыли, бутылки, флаконы и аналогичные изделия из пластмасс
20.42.16.110 Шампуни
21.20.21.132 Вакцины бактериальные инактивированные профилактические, применяемые в ветеринарии
21.20.21.133 Вакцины бактериальные профилактические ассоциированные, применяемые в ветеринарии
21.20.23.199 Средства нелечебные прочие
20.20.14.000 Средства дезинфекционные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21.20.10.118 Препараты, способствующие пищеварению, включая ферментные препараты
21.20.10.133 Препараты антианемические ****</t>
  </si>
  <si>
    <t>ЗА 3 ГОДА ПО 223 ФЗ заключено 26 шт. с объемом НМЦ 37 203 078,97 ? за 1 ГОД ПО 223ФЗ заключено 5  15 707 347,96 ?</t>
  </si>
  <si>
    <t>"223 за 3 года", "кл фт агент бг 04.22", ".", "fk1", "2. Финтендер 2022 31.03.22 Григорян для СПАРК",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</si>
  <si>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71.1 Услуги в области архитектуры, инженерно-технического проектирования и связанные технические консультативные услуги
41.20 Здания и работы по возведению зданий
43.11.10.000 Работы по сносу зданий и сооружений
71.12.20 Услуги по руководству строительными проектами
71.12.19.100 Услуги по инженерно-техническому проектированию прочих объектов, кроме объектов культурного наследия
41.20.10 Здания жилые</t>
  </si>
  <si>
    <t>За весь период компания заключила  119 контрактов на сумму  1 537 266 404 402,44 ? За весь период заходили в конкурсы  204 раз на общую сумму обеспеченных контрактов с НМЦ 135 414 745 529,06 ? с БГУ  6 052 887 646,67 ? с БГИ 37 179 320 575,57 ?                             ЗА 3 ГОДА ПО 223 ФЗ заключено 1 шт. с объемом НМЦ 700 915 458,29 ?</t>
  </si>
  <si>
    <t>"223 за 3 года", ".", "рейтинг поставщиков в маркере по бг", "беники", "все клиенты с выручкой от 1,8 млрд до бесконечности", "рейтинг заказчиков маркер", "рейтинг по нмц маркер", "это заказчик", "поставщики маркер", "44 за 3 года"</t>
  </si>
  <si>
    <t>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t>
  </si>
  <si>
    <t>"поставщики маркер", ".", "рейтинг поставщиков в маркере по бг", "fk1", "корп 1", "клиенты с в от100млн 09.21", "все клиенты с выручкой от 1,8 млрд до бесконечности", "ФК клиенты с выручкой от 230 до бесконечности", "рейтинг по нмц маркер", "это заказчик"</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</si>
  <si>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71.12.20.190 Услуги по руководству строительными проектами прочие
42.99.12.124 Территории парковые и парки для отдыха
41.20.40.900 Работы строительные по возведению нежилых зданий и сооружений прочие, не включенные в другие группировки
71.11.22.000 Услуги в области архитектуры, связанные с проектами строительства нежилых зданий и сооружений
43.11.10.000 Работы по сносу зданий и сооружений
43.39.19.190 Работы завершающие и отделочные в зданиях и сооружениях, прочие, не включенные в другие группировки
71.12.19.100 Услуги по инженерно-техническому проектированию прочих объектов, кроме объектов культурного наследия
71.12.19.200 Услуги по инженерно-техническому проектированию прочих объектов культурного наследия, не включенных в другие группировки ****</t>
  </si>
  <si>
    <t>За весь период контрактов 103 шт. на общую сумму НМЦ 66 622 845 879,84 ?</t>
  </si>
  <si>
    <t>Сообщение кредитора о намерении обратиться в суд с заявлением о банкротстве от 26.01.2023</t>
  </si>
  <si>
    <t>"223 за 3 года", ".", "рейтинг поставщиков в маркере по бг", "Рассрочка КВ Март 2023", "ГРАНДИОЗНЫЙ ПРОЕКТ",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заказчиков маркер", "рейтинг по нмц маркер", "это заказчик", "поставщики маркер", "44 за 3 года"</t>
  </si>
  <si>
    <t>"корп 1", ".", "fk1"</t>
  </si>
  <si>
    <t>ЗА 3 ГОДА ПО 223 ФЗ заключено 1 шт. с объемом НМЦ 92 385 600,00 ?</t>
  </si>
  <si>
    <t>52.23.11.000 Услуги аэропортов, кроме обработки грузов
52.24 Услуги по обработке грузов</t>
  </si>
  <si>
    <t>1 791</t>
  </si>
  <si>
    <t>За весь период компания заключила  2 контрактов на сумму  8 612 333 811,56 ?                                     ЗА 3 ГОДА ПО 223 ФЗ заключено 3 шт. с объемом НМЦ 22 318 660,50 ? за 1 ГОД ПО 223ФЗ заключено 3  22 318 660,50 ?</t>
  </si>
  <si>
    <t>За весь период контрактов 3 шт. на общую сумму НМЦ 2 490 322 740,24 ?</t>
  </si>
  <si>
    <t>49.10.19.111 Услуги по перевозке пассажиров железнодорожным транспортом в междугородном сообщении в регулируемом секторе
47.89.10.110 Услуги по розничной торговле в нестационарных торговых объектах прочими товарами
71.12.20.190 Услуги по руководству строительными проектами прочие
49.31.10.110 Услуги по перевозке пассажиров железнодорожным транспортом во внутригородском и пригородном сообщении в регулируемом секторе
71.12.31.000 Услуги геологические и геофизические консультативные
49.10.19.120 Услуги по перевозке пассажиров железнодорожным транспортом в международном сообщении
49.39.39.000 Услуги по перевозке пассажиров сухопутным транспортом прочие, не включенные в другие группировки
71.20.19.190 Услуги по техническим испытаниям и анализу прочие, не включенные в другие группировки
49.39.13.000 Услуги по специальным перевозкам (для собственных нужд) пассажиров автобусами прочие
49.31.21.110 Услуги (работы) по регулярным перевозкам пассажиров автобусами в городском и пригородном сообщении ****</t>
  </si>
  <si>
    <t>За весь период компания заключила  8 контрактов на сумму  3 565 227 565,82 ?</t>
  </si>
  <si>
    <t>"223 за 3 года", ".", "ГРАНДИОЗНЫЙ ПЛАН заказчики", "все клиенты с выручкой от 1,8 млрд до бесконечности", "рейтинг заказчиков маркер", "рейтинг по нмц маркер", "это заказчик", "поставщики маркер"</t>
  </si>
  <si>
    <t>28.99.39.190 Оборудование специального назначения прочее, не включенное в другие группировки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33.19.10.000 Услуги по ремонту прочего оборудования
33.12.29.100 Услуги по ремонту объектов использования атомной энергии
27.12.40.000 Части электрической распределительной или регулирующей аппаратуры
71.20.19.190 Услуги по техническим испытаниям и анализу прочие, не включенные в другие группировки
26.51.66.190 Инструменты, приборы и машины для измерения или контроля прочие, не включенные в другие группировки
26.20.14.000 Машины вычислительные электронные цифровые, поставляемые в виде систем для автоматической обработки данных
27.31.11.000 Кабели волоконно-оптические, состоящие из волокон с индивидуальными оболочками ****</t>
  </si>
  <si>
    <t>За весь период компания заключила  11 контрактов на сумму  12 762 531 368,40 ?                                     ЗА 3 ГОДА ПО 223 ФЗ заключено 7 шт. с объемом НМЦ 1 153 615 361,29 ?</t>
  </si>
  <si>
    <t>"223 за 3 года", ".", "Пункт 3.1 09.01.2023", "все клиенты с выручкой от 1,8 млрд до бесконечности", "производители", "рейтинг по нмц маркер", "поставщики маркер"</t>
  </si>
  <si>
    <t>33.17.11 Услуги по ремонту и техническому обслуживанию железнодорожных локомотивов и подвижного состава</t>
  </si>
  <si>
    <t>За весь период контрактов 6 шт. на общую сумму НМЦ 130 304 620 221,64 ?</t>
  </si>
  <si>
    <t>Сообщение кредитора о намерении обратиться в суд с заявлением о банкротстве от 05.11.2020</t>
  </si>
  <si>
    <t>"поставщики маркер", ".", "Пункт 3.1 09.01.2023", "все клиенты с выручкой от 1,8 млрд до бесконечности", "рейтинг заказчиков маркер", "производители", "рейтинг по нмц маркер", "это заказчик"</t>
  </si>
  <si>
    <t>43.99.90.190 Работы строительные специализированные прочие, не включенные в другие группировки
86.90.15.000 Услуги медицинских лабораторий</t>
  </si>
  <si>
    <t>Заказчик разыгравший 165 конкурсов на сумму  8 736 705 103,03 ?</t>
  </si>
  <si>
    <t>37.00.11.120 Услуги по транспортированию сточных вод
36.00.20.130 Услуги по транспортированию и распределению воды по водопроводам</t>
  </si>
  <si>
    <t>Сообщение кредитора о намерении обратиться в суд с заявлением о банкротстве от 20.04.2020</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</si>
  <si>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43.99.90.190 Работы строительные специализированные прочие, не включенные в другие группировки
61.90.10.190 Услуги телекоммуникационные прочие, не включенные в другие группировки
33.12.2 Услуги по ремонту и техническому обслуживанию оборудования специального назначения
81.29.12.000 Услуги по подметанию и уборке снега
33.12.29.900 Услуги по ремонту и техническому обслуживанию прочего оборудования специального назначения, не включенные в другие группировки
41.20.40.900 Работы строительные по возведению нежилых зданий и сооружений прочие, не включенные в другие группировки
43.21.10.180 Работы электромонтажные по монтажу прочего электрического оборудования, включая электрические солнечные коллекторы и плинтусные обогреватели, в зданиях и сооружениях ****</t>
  </si>
  <si>
    <t>1 439</t>
  </si>
  <si>
    <t>За весь период компания заключила  11 контрактов на сумму  1 094 098 150,45 ? За весь период заходили в конкурсы  22 раз на общую сумму обеспеченных контрактов с НМЦ 1 081 788 896,80 ? с БГУ  92 993 902,64 ? с БГИ 562 030 688,81 ?                             ЗА 3 ГОДА ПО 223 ФЗ заключено 9 шт. с объемом НМЦ 43 186 345,88 ? за 1 ГОД ПО 223ФЗ заключено 3  30 273 686,48 ?</t>
  </si>
  <si>
    <t>Сообщения о принятии решения о реорганизации от 03.09.2020</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</si>
  <si>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33.12.15 Услуги по ремонту и техническому обслуживанию подъемно-транспортного оборудования
43.99.90.190 Работы строительные специализированные прочие, не включенные в другие группировки
42.99.12.124 Территории парковые и парки для отдыха
33.1 Услуги по ремонту металлоизделий, машин и оборудования
33.12.29.900 Услуги по ремонту и техническому обслуживанию прочего оборудования специального назначения, не включенные в другие группировки
41.20.40.900 Работы строительные по возведению нежилых зданий и сооружений прочие, не включенные в другие группировки
43.29.19.120 Работы по монтажу дверей автоматического действия и вращающихся дверей
42.99.21.122 Работы строительные по ремонту сооружений для обрабатывающей промышленности
33 Услуги по ремонту и монтажу машин и оборудования ****</t>
  </si>
  <si>
    <t>За весь период компания заключила  107 контрактов на сумму  29 594 737 395,25 ? За весь период заходили в конкурсы  324 раз на общую сумму обеспеченных контрактов с НМЦ 36 834 187 375,26 ? с БГУ  1 783 824 216,29 ? с БГИ 10 334 399 625,89 ? За 3 ГОДА по 44ФЗ заключено 139 шт. с объемом НМЦ  3 310 606 763,93 ? с БГИ 942 379 032,33 ? с БГГО 19 980 943,29 ? с авансированием до 30 960,00 ? с комиссией банку 41 073 493,82 ? с кв 357 339,40 ? ЗА 1 ГОД по 44ФЗ заключено 43 шт. c объемом НМЦ 1 189 476 510,03 ? с БГИ 335 316 869,56 ? с БГГО 9 107 633,00 ? с авансированием до  0,00 ? с комиссией банку  21 196 475,23 ? с кв 184 409,33 ? ЗА 3 ГОДА ПО 223 ФЗ заключено 20 шт. с объемом НМЦ 22 596 614,06 ? за 1 ГОД ПО 223ФЗ заключено 8  19 145 971,69 ?</t>
  </si>
  <si>
    <t>"223 за 3 года", ".", "рейтинг поставщиков в маркере по бг", "Конкурсы 100+ (Восстановленный)", "fk1", "Кредитный портфель_01.11", "Гарантии ФБ банкроты", "все клиенты с выручкой от 1,8 млрд до бесконечности", "клиенты от 100 млн", "44 фз с с БГ от 10 млн", "рейтинг заказчиков маркер", "производители", "рейтинг по нмц маркер", "это заказчик", "поставщики маркер", "44 за 3 года"</t>
  </si>
  <si>
    <t>Заказчик разыгравший 10 конкурсов на сумму  1 648 754 620,00 ?</t>
  </si>
  <si>
    <t>"поставщики маркер", ".", "fk1", "Кредитный портфель_01.11", "рейтинг заказчиков маркер", "производители", "это заказчик"</t>
  </si>
  <si>
    <t>41.20.40.900 Работы строительные по возведению нежилых зданий и сооружений прочие, не включенные в другие группировки
42.12.20.190 Работы строительные по строительству наземных и подземных железных дорог прочие, не включенные в другие группировки</t>
  </si>
  <si>
    <t>За весь период контрактов 27 шт. на общую сумму НМЦ 175 818 140 018,04 ?</t>
  </si>
  <si>
    <t>"223 за 3 года", ".", "рейтинг поставщиков в маркере по бг", "Конкурсы 100+ (Восстановленный)", "все клиенты с выручкой от 1,8 млрд до бесконечности", "223 фз контракты 20+", "рейтинг заказчиков маркер", "рейтинг по нмц маркер"</t>
  </si>
  <si>
    <t>25.21.12.000 Котлы водогрейные центрального отопления для производства горячей воды или пара низкого давления
25.30.12.113 Оборудование котельное
43.22.12.120 Работы по установке и техническому обслуживанию систем управления центральным отоплением
43.22.12.160 Работы по установке приборов учета расхода тепловой энергии
71.12.16.000 Услуги по инженерно-техническому проектированию производственных процессов и производств
71.12.3 Услуги в области геологических, геофизических и взаимосвязанных изыскательных работ и консультативные услуги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71.12.40.120 Услуги в области метрологии
33.19 Услуги по ремонту прочего оборудования
43.99.90.190 Работы строительные специализированные прочие, не включенные в другие группировки ****</t>
  </si>
  <si>
    <t>За весь период компания заключила  23 контрактов на сумму  1 741 115 337,65 ? За весь период заходили в конкурсы  15 раз на общую сумму обеспеченных контрактов с НМЦ 1 271 945 547,72 ? с БГУ  43 724 739,14 ? с БГИ 277 685 286,43 ? За 3 ГОДА по 44ФЗ заключено 38 шт. с объемом НМЦ  1 471 879 040,03 ? с БГИ 281 015 583,05 ? с БГГО 65 341 095,07 ? с авансированием до 95 594 392,93 ? с комиссией банку 3 572 210,58 ? с кв 31 078,23 ? ЗА 1 ГОД по 44ФЗ заключено 12 шт. c объемом НМЦ 703 093 492,65 ? с БГИ 86 503 096,72 ? с БГГО 26 662 833,65 ? с авансированием до  69 747 615,74 ? с комиссией банку  2 844 785,67 ? с кв 24 749,64 ? ЗА 3 ГОДА ПО 223 ФЗ заключено 29 шт. с объемом НМЦ 193 024 235,96 ? за 1 ГОД ПО 223ФЗ заключено 5  14 435 668,44 ?</t>
  </si>
  <si>
    <t>35.11.10.112 Электроэнергия, произведенная теплоэлектроцентралями (ТЭЦ) общего назначения
35.2 Газы горючие искусственные;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06.20.10.131 Газ горючий природный сжиженный
06.20.10.110 Газ горючий природный (газ естественный)
49.50.12.110 Услуги по транспортировке по трубопроводам природного газа
35.23.10.110 Услуги по продаже потребителям газа, подаваемого по распределительным трубопроводам</t>
  </si>
  <si>
    <t>За весь период компания заключила  4 контрактов на сумму  1 563 509 154,64 ?</t>
  </si>
  <si>
    <t>"поставщики маркер", "кл фт прямые бг 04.22", "свод фт", ".", "корп 1", "все клиенты с выручкой от 1,8 млрд до бесконечности", "ФК клиенты с выручкой от 230 до бесконечности", "клиенты от 100 млн", "ФТ клиенты с продуктами по сотрудникам", "рейтинг по нмц маркер", "на фт заводил Алиев"</t>
  </si>
  <si>
    <t>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82.91 Услуги агентств по сбору платежей и бюро кредитной информации
66.19.99.130 Услуги по приему платежей физических лиц платежными агентами
66.19.99.131 Услуги операторов по приему платежей физических лиц
66.19 Услуги вспомогательные прочие по отношению к финансовым услугам, кроме страхования и пенсионного обеспечения
64.19.30.000 Услуги по посредничеству в денежно-кредитной сфере прочие, не включенные в другие группировки
82.91.12 Услуги агентств по сбору платежей
64.19 Услуги по посредничеству в денежно-кредитной сфере прочие
66.19.99.132 Услуги платежных субагентов по приему платежей физических лиц
66.19.99.190 Услуги вспомогательные по отношению к финансовым услугам прочие, не включенные в другие группировки, кроме страхования и пенсионного обеспечения ****</t>
  </si>
  <si>
    <t>2 129</t>
  </si>
  <si>
    <t>За весь период компания заключила  6 контрактов на сумму  3 234 230 526,01 ? За весь период заходили в конкурсы  7 раз на общую сумму обеспеченных контрактов с НМЦ 1 139 882 353,64 ? с БГУ  9 899 411,76 ? с БГИ 125 988 235,36 ? За 3 ГОДА по 44ФЗ заключено 41 шт. с объемом НМЦ  1 441 169 173,73 ? с БГИ 140 907 901,17 ? с БГГО 0,00 ? с авансированием до 0,00 ? с комиссией банку 2 285 542,37 ? с кв 19 884,22 ? ЗА 1 ГОД по 44ФЗ заключено 14 шт. c объемом НМЦ 531 826 558,04 ? с БГИ 53 028 626,08 ? с БГГО 0,00 ? с авансированием до  0,00 ? с комиссией банку  1 098 532,85 ? с кв 9 557,24 ? ЗА 3 ГОДА ПО 223 ФЗ заключено 14 шт. с объемом НМЦ 85 527 913,23 ?</t>
  </si>
  <si>
    <t>"223 за 3 года", ".", "рейтинг поставщиков в маркере по бг", "все клиенты с выручкой от 1,8 млрд до бесконечности", "44 фз с с БГ от 10 млн", "рейтинг заказчиков маркер", "рейтинг по нмц маркер", "это заказчик", "44 за 3 года"</t>
  </si>
  <si>
    <t>43.21.10.220 Работы по монтажу систем освещения и сигнализации автомобильных дорог, аэропортов и портов
41.20.10.120 Здания общежитий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35.11.10.112 Электроэнергия, произведенная теплоэлектроцентралями (ТЭЦ) общего назначения
43.22.20.000 Работы по монтажу газовых систем
71.12 Услуги в области инженерно-технического проектирования и связанные технические консультативные услуги
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
71.20.19.111 Услуги по проведению государственной экспертизы проектной документации и результатов инженерных изысканий ****</t>
  </si>
  <si>
    <t>За весь период компания заключила  7 контрактов на сумму  1 714 002 454,16 ? За весь период заходили в конкурсы  1 раз на общую сумму обеспеченных контрактов с НМЦ 48 100 000,00 ? с БГУ  2 498 456,15 ? с БГИ 14 990 736,89 ?               ЗА 1 ГОД по 44ФЗ заключено 7 шт. c объемом НМЦ 98 684 541,88 ? с БГИ 7 938 215,27 ? с БГГО 0,00 ? с авансированием до  0,00 ? с комиссией банку  125 194,95 ? с кв 1 089,20 ?</t>
  </si>
  <si>
    <t>Сообщение кредитора о намерении обратиться в суд с заявлением о банкротстве от 19.07.2018</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</si>
  <si>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71.12.20.190 Услуги по руководству строительными проектами прочие
71.12.19.100 Услуги по инженерно-техническому проектированию прочих объектов, кроме объектов культурного наследия
42.12.20.190 Работы строительные по строительству наземных и подземных железных дорог прочие,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</si>
  <si>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1 241</t>
  </si>
  <si>
    <t>За весь период контрактов 59 шт. на общую сумму НМЦ 295 524 311 072,31 ?</t>
  </si>
  <si>
    <t>"44 за 3 года", ".", "рейтинг поставщиков в маркере по бг", "беники", "fk1", "инн Красносельская", "портфель 31.10.2021_10 тыс_проверка", "Кредитный портфель_01.11", "ушедшие",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заказчиков маркер", "рейтинг по нмц маркер", "это заказчик", "поставщики маркер"</t>
  </si>
  <si>
    <t>68.10.14.000 Услуги по покупке и продаже нежилых зданий и занимаемых ими земельных участков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t>
  </si>
  <si>
    <t>Заявка отозвана клиентом;Отказ из-за непредставления документов;Отклонена банком;Отправлена клиенту;Распределена в Банк
Отклонена банком</t>
  </si>
  <si>
    <t>Сообщение кредитора о намерении обратиться в суд с заявлением о банкротстве от 03.03.2023</t>
  </si>
  <si>
    <t>"223 за 3 года", "свод фт", ".", "рейтинг поставщиков в маркере по бг", "fk1", "кредиты фт", "корп 1", "лимит сит по кредитам", "все клиенты с выручкой от 1,8 млрд до бесконечности", "ФК клиенты с выручкой от 230 до бесконечности", "Одобренные но не выданные 1 полугодие 2021", "производители", "рейтинг по нмц маркер", "это заказчик", "на фт заводил Егоров ", "поставщики маркер"</t>
  </si>
  <si>
    <t>За весь период контрактов 1 шт. на общую сумму НМЦ 12 410 197 200,00 ?</t>
  </si>
  <si>
    <t>На 20.04.2023 13:11 имеются действующие решения ФНС о приостановлении операций по счетам, Сообщение кредитора о намерении обратиться в суд с заявлением о банкротстве от 06.04.2023</t>
  </si>
  <si>
    <t>19.20.31.110 Пропан сжиженный
19.20.31 Пропан и бутан сжиженные</t>
  </si>
  <si>
    <t>Сообщение кредитора о намерении обратиться в суд с заявлением о банкротстве от 26.01.2022</t>
  </si>
  <si>
    <t>"поставщики маркер", ".", "ушедший портфель", "fk1", "ИНН 3 года - нет КД БГ на 01.10.22", "ПОС на 01.02.2023", "Список ушедший ", "ПОС на 03.04.2023", "ушедшие", "06.2022_ФинХД", "все клиенты с выручкой от 1,8 млрд до бесконечности", "Обороты по клиентам по кварталам (2022г)", "Участники клиринга"</t>
  </si>
  <si>
    <t>71.12.20.190 Услуги по руководству строительными проектами прочие
71.12.16 Услуги по инженерно-техническому проектированию объектов водоснабжения и канализации
71.12.19.100 Услуги по инженерно-техническому проектированию прочих объектов, кроме объектов культурного наследия
71.11.32.000 Услуги по территориальному планированию и планировке территории
41.10.10.000 Документация проектная для строительства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</si>
  <si>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За весь период компания заключила  11 контрактов на сумму  2 168 219 450,00 ? За весь период заходили в конкурсы  26 раз на общую сумму обеспеченных контрактов с НМЦ 4 247 874 357,00 ? с БГУ  171 851 239,93 ? с БГИ 938 657 879,48 ? За 3 ГОДА по 44ФЗ заключено 10 шт. с объемом НМЦ  707 673 711,14 ? с БГИ 102 554 888,73 ? с БГГО 8 861 985,50 ? с авансированием до 60 205 934,00 ? с комиссией банку 1 639 838,49 ? с кв 14 266,59 ? ЗА 1 ГОД по 44ФЗ заключено 4 шт. c объемом НМЦ 291 895 038,08 ? с БГИ 60 468 937,82 ? с БГГО 7 715 238,95 ? с авансированием до  60 205 934,00 ? с комиссией банку  1 311 610,81 ? с кв 11 411,01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</si>
  <si>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42.91.20.120 Работы строительные по строительству плотин и дамб, включая ремонт
42.13.10.110 Мосты и путепроводы из любых материалов для всех типов сухопутного транспорта и для пешеходов
42.13.10.111 Мост автодорожный</t>
  </si>
  <si>
    <t>За весь период заходили в конкурсы  10 раз на общую сумму обеспеченных контрактов с НМЦ 641 367 107,60 ? с БГУ  30 876 475,90 ? с БГИ 168 897 358,56 ?</t>
  </si>
  <si>
    <t>"44 за 3 года", ".", "рейтинг поставщиков в маркере по бг", "Агентские отказ из-за непред-я док-ов", "лимит сит по кредитам", "Пустые_Клиенты", "рейтинг по нмц маркер"</t>
  </si>
  <si>
    <t>23.61.12.143 Плиты дорожные железобетонные
23.63.10.000 Бетон, готовый для заливки (товарный бетон)
25.11 Металлоконструкции строительные и их части
35.30.11.120 Энергия тепловая, отпущенная котельными
35.30.12.130 Услуги по транспортированию горячей воды
23.61.12.115 Сваи железобетонные
08.12.12.140 Щебень
23.61.1 Изделия строительные из бетона
08.12.11.130 Пески строительные
08.12.13.000 Смеси шлака и аналогичных промышленных отходов без добавления или с добавлением гальки, гравия, щебня и кремневой гальки для строительных целей ****</t>
  </si>
  <si>
    <t>1 209</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</si>
  <si>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43.29 Работы строительно-монтажные прочие
42.12 Дороги железные наземные и подземные; строительные работы по строительству наземных и подземных железных дорог
43 Работы строительные специализированные</t>
  </si>
  <si>
    <t>2 212</t>
  </si>
  <si>
    <t>За весь период компания заключила  17 контрактов на сумму  20 476 450 799,01 ? За весь период заходили в конкурсы  1 раз на общую сумму обеспеченных контрактов с НМЦ 2 868 768 589,88 ? с БГУ  86 063 057,70 ? с БГИ 860 630 576,96 ?</t>
  </si>
  <si>
    <t>"рейтинг по нмц маркер", ".", "рейтинг поставщиков в маркере по бг", "ушедший портфель", "инн Вавилова", "fk1", "ИНН 3 года - нет КД БГ на 01.10.22", "Список ушедший ", "просрочка на 01.01.2023 г.", "Запрос в ЮД_просрочка на 01.01.2023",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</si>
  <si>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42.91.20.120 Работы строительные по строительству плотин и дамб, включая ремонт
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42.13.10.110 Мосты и путепроводы из любых материалов для всех типов сухопутного транспорта и для пешеходов
41.20.40.900 Работы строительные по возведению нежилых зданий и сооружений прочие, не включенные в другие группировки
42.11.10.120 Дороги автомобильные, в том числе улично-дорожная сеть, и прочие автомобильные и пешеходные дороги
42.13.10.120 Дороги надземные автомобильные (автодорожные эстакады) для движения автотранспортных средств
42.11.10.159 Дороги подъездные, транспортные и пешеходные путепроводы над и под дорогой, велосипедные дорожки прочие ****</t>
  </si>
  <si>
    <t>За весь период компания заключила  123 контрактов на сумму  269 837 421 022,67 ? За весь период заходили в конкурсы  220 раз на общую сумму обеспеченных контрактов с НМЦ 251 924 215 357,26 ? с БГУ  7 904 244 038,25 ? с БГИ 46 018 336 967,72 ? За 3 ГОДА по 44ФЗ заключено 51 шт. с объемом НМЦ  106 919 161 040,14 ? с БГИ 14 031 294 996,33 ? с БГГО 372 975 907,66 ? с авансированием до 16 702 694 989,62 ? с комиссией банку 543 148 979,43 ? с кв 4 725 396,12 ? ЗА 1 ГОД по 44ФЗ заключено 18 шт. c объемом НМЦ 17 159 283 681,98 ? с БГИ 2 515 008 837,18 ? с БГГО 51 060 866,02 ? с авансированием до  2 324 671 085,59 ? с комиссией банку  143 810 847,23 ? с кв 1 251 154,37 ? ЗА 3 ГОДА ПО 223 ФЗ заключено 1 шт. с объемом НМЦ 300 363 998,62 ?</t>
  </si>
  <si>
    <t>"223 за 3 года", ".", "рейтинг поставщиков в маркере по бг", "ГРАНДИОЗНЫЙ ПРОЕКТ", "Конкурсы 100+ (Восстановленный)", "06.2022_ФинХД", "44 фз с с БГ от 10 млн", "производители", "рейтинг по нмц маркер", "поставщики маркер", "44 за 3 года"</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</si>
  <si>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42.91.10.139 Причалы, молы, пирсы и аналогичные сооружения прочие
52.21.22.000 Услуги по эксплуатации автомагистралей
42.13.10.110 Мосты и путепроводы из любых материалов для всех типов сухопутного транспорта и для пешеходов
43.11.10.000 Работы по сносу зданий и сооружений
42.12 Дороги железные наземные и подземные; строительные работы по строительству наземных и подземных железных дорог
42.13.20.100 Работы строительные по строительству мостов и тоннелей, кроме работ по сохранению и воссозданию объектов культурного наследия
43.21.10.290 Работы электромонтажные прочие, не включенные в другие группировки
52.21.19.190 Услуги вспомогательные для железнодорожного транспорта прочие, не включенные в другие группировки ****</t>
  </si>
  <si>
    <t>За весь период контрактов 141 шт. на общую сумму НМЦ 939 701 342 798,73 ?</t>
  </si>
  <si>
    <t>"44 за 3 года", ".", "рейтинг поставщиков в маркере по бг", "ГРАНДИОЗНЫЙ ПРОЕКТ", "Конкурсы 100+ (Восстановленный)", "просрочка на 01.01.2023 г.", "Запрос в ЮД_просрочка на 01.01.2023", "44 фз с с БГ от 10 млн", "производители", "рейтинг по нмц маркер", "это заказчик", "поставщики маркер"</t>
  </si>
  <si>
    <t>49.39.31.000 Услуги арендованных автобусов с водителем
49.39.33.000 Услуги по перевозке пассажиров автобусами по заказам в городском и пригородном сообщениях, кроме перевозки арендованными автобусами с водителем и по туристическим или экскурсионным маршрутам
49.39.39.000 Услуги по перевозке пассажиров сухопутным транспортом прочие, не включенные в другие группировки
49.39.11 Услуги по регулярным перевозкам пассажиров сухопутным транспортом в междугородном и международном сообщениях, кроме железнодорожного транспорта
49.39.13.000 Услуги по специальным перевозкам (для собственных нужд) пассажиров автобусами прочие
49.39.3 Услуги по перевозке пассажиров сухопутным транспортом по заказам
49.31.21.110 Услуги (работы) по регулярным перевозкам пассажиров автобусами в городском и пригородном сообщении
49.41.20.000 Услуги по аренде грузовых транспортных средств с водителем
49.31 Услуги по перевозке пассажиров сухопутным транспортом в городском и пригородном сообщении
49.39.12.000 Услуги по специальным перевозкам (для собственных нужд) пассажиров автобусами в междугородном сообщении ****</t>
  </si>
  <si>
    <t>За весь период контрактов 117 шт. на общую сумму НМЦ 44 304 390 288,32 ?</t>
  </si>
  <si>
    <t>Юридическое лицо находится в процессе уменьшения уставного капитала от 10.05.2023</t>
  </si>
  <si>
    <t>"223 за 3 года", ".", "рейтинг поставщиков в маркере по бг", "ГРАНДИОЗНЫЙ ПРОЕКТ", "Конкурсы 100+ (Восстановленный)", "06.2022_ФинХД", "все клиенты с выручкой от 1,8 млрд до бесконечности", "44 фз с с БГ от 10 млн", "рейтинг заказчиков маркер", "рейтинг по нмц маркер", "это заказчик", "поставщики маркер", "44 за 3 года"</t>
  </si>
  <si>
    <t>68.10.14.000 Услуги по покупке и продаже нежилых зданий и занимаемых ими земельных участков
37.00.11.110 Услуги по водоотведению сточных вод
35.3 Услуги по снабжению паром и кондиционированию воздуха
27.12.31.000 Панели и прочие комплекты электрической аппаратуры коммутации или защиты на напряжение не более 1 кВ
35.30.11.120 Энергия тепловая, отпущенная котельными
35.30.12.130 Услуги по транспортированию горячей воды
35.30.11.111 Энергия тепловая, отпущенная тепловыми электроцентралями (ТЭЦ)
68.20.12.000 Услуги по сдаче в аренду (внаем) собственных или арендованных нежилых помещений
35.30.11.110 Энергия тепловая, отпущенная электростанциями
35.30.11.112 Энергия тепловая, отпущенная атомными электростанциями (АЭС) ****</t>
  </si>
  <si>
    <t>За весь период компания заключила  32 контрактов на сумму  3 231 743 796,31 ? За весь период заходили в конкурсы  1 раз на общую сумму обеспеченных контрактов с НМЦ 51 425 825,14 ? с БГУ  0,00 ? с БГИ 5 142 582,51 ?                             ЗА 3 ГОДА ПО 223 ФЗ заключено 7 шт. с объемом НМЦ 50 354 115,71 ?</t>
  </si>
  <si>
    <t>43.21.10.220 Работы по монтажу систем освещения и сигнализации автомобильных дорог, аэропортов и портов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43.99.90.190 Работы строительные специализированные прочие, не включенные в другие группировки
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43.21 Работы электромонтажные
43.21.10.130 Работы по монтажу сетей электроосвещения и электроснабжения и электроарматуры для систем аварийного электроснабжения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t>
  </si>
  <si>
    <t>За весь период компания заключила  358 контрактов на сумму  193 265 130 282,38 ? За весь период заходили в конкурсы  13 раз на общую сумму обеспеченных контрактов с НМЦ 3 220 476 942,21 ? с БГУ  44 960 529,98 ? с БГИ 318 675 691,07 ? За 3 ГОДА по 44ФЗ заключено 7 шт. с объемом НМЦ  2 560 355 888,34 ? с БГИ 218 898 685,16 ? с БГГО 3 792 169,36 ? с авансированием до 0,00 ? с комиссией банку 19 753 234,19 ? с кв 171 853,14 ?               ЗА 3 ГОДА ПО 223 ФЗ заключено 105 шт. с объемом НМЦ 1 113 400 919,28 ? за 1 ГОД ПО 223ФЗ заключено 19  248 901 471,84 ?</t>
  </si>
  <si>
    <t>"223 за 3 года", ".", "рейтинг поставщиков в маркере по бг", "223 фз контракты 20+", "рейтинг заказчиков маркер", "производители", "рейтинг по нмц маркер", "это заказчик", "поставщики маркер", "44 за 3 года"</t>
  </si>
  <si>
    <t>73.1 Услуги рекламные
73.12 Услуги по представительству в средствах массовой информации
73.11 Услуги, предоставляемые рекламными агентствами</t>
  </si>
  <si>
    <t>Юридическое лицо находится в процессе реорганизации в форме присоединения к нему других юридических лиц от 02.06.2021</t>
  </si>
  <si>
    <t>Отклонена банком
Рассматривается банком</t>
  </si>
  <si>
    <t>"на фт заводил Тахмазов ", "свод фт", ".", "fk1", "кредиты фт", "корп 1", "Пункт 3 09.01.23", "лимит сит по кредитам", "ФК клиенты с выручкой от 230 до бесконечности", "на фт заводил Шутов"</t>
  </si>
  <si>
    <t>21.20.23.110 Реагенты диагностические
21.20.23.199 Средства нелечебные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21.20.10.251 Препараты назальные
21.20.23.190 Препараты фармацевтические прочие ****</t>
  </si>
  <si>
    <t>За весь период заходили в конкурсы  2 раз на общую сумму обеспеченных контрактов с НМЦ 116 549 987,40 ? с БГУ  1 109 999,88 ? с БГИ 11 099 998,80 ? За 3 ГОДА по 44ФЗ заключено 3307 шт. с объемом НМЦ  9 131 387 954,15 ? с БГИ 804 291 532,00 ? с БГГО 29 495 393,98 ? с авансированием до 225 995,10 ? с комиссией банку 9 840 932,48 ? с кв 85 616,11 ? ЗА 1 ГОД по 44ФЗ заключено 1115 шт. c объемом НМЦ 3 141 536 567,48 ? с БГИ 286 002 101,40 ? с БГГО 0,00 ? с авансированием до  96 854,10 ? с комиссией банку  3 568 543,81 ? с кв 31 046,33 ? ЗА 3 ГОДА ПО 223 ФЗ заключено 28 шт. с объемом НМЦ 51 577 788,56 ? за 1 ГОД ПО 223ФЗ заключено 16  50 496 059,13 ?</t>
  </si>
  <si>
    <t>"223 за 3 года", ".", "рейтинг поставщиков в маркере по бг", "fk1", "инн Красносельская",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"рейтинг по нмц маркер", "поставщики маркер", "44 за 3 года"</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</si>
  <si>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35.22.10.110 Услуги по распределению и снабжению газовым топливом всех видов по системам распределительных трубопроводов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35.12.10.120 Услуги по технологическому присоединению к распределительным электросетям
35.13.10.000 Услуги по распределению электроэнергии
35.30.11 Пар и горячая вода ****</t>
  </si>
  <si>
    <t>За весь период контрактов 197 шт. на общую сумму НМЦ 20 160 166 900,27 ?</t>
  </si>
  <si>
    <t>"223 за 3 года", ".", "рейтинг поставщиков в маркере по бг", "все клиенты с выручкой от 1,8 млрд до бесконечности", "223 фз контракты 20+", "рейтинг заказчиков маркер", "производители", "рейтинг по нмц маркер", "это заказчик",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</si>
  <si>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 Работы строительные по строительству коммунальных объектов для электроснабжения и телекоммуникаций
42.22.22.110 Работы строительные по прокладке местных линий электропередачи и связи над землей или под землей
71 Услуги в области архитектуры и инженерно-технического проектирования, технических испытаний, исследований и анализа
71.12.20.190 Услуги по руководству строительными проектами прочие
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
43.29 Работы строительно-монтажные прочие
42.22 Сооружения и строительные работы по строительству коммунальных объектов для электроснабжения и связи
71.12.19.100 Услуги по инженерно-техническому проектированию прочих объектов, кроме объектов культурного наследия
43.29.19.190 Работы монтажные прочие, не включенные в другие группировки ****</t>
  </si>
  <si>
    <t>За весь период компания заключила  43 контрактов на сумму  34 515 925 634,37 ? За весь период заходили в конкурсы  4 раз на общую сумму обеспеченных контрактов с НМЦ 3 894 296 435,65 ? с БГУ  239 325 568,94 ? с БГИ 1 081 714 807,40 ?                             ЗА 3 ГОДА ПО 223 ФЗ заключено 22 шт. с объемом НМЦ 972 170 750,10 ? за 1 ГОД ПО 223ФЗ заключено 8  892 401 445,41 ?</t>
  </si>
  <si>
    <t>"223 за 3 года", ".", "рейтинг поставщиков в маркере по бг", "Гарантии_КИБ_31.03.22_Гиб._", "ГРАНДИОЗНЫЙ ПРОЕКТ", "беники", "Конкурсы 100+ (Восстановленный)", "fk1", "Кредитный портфель_01.11", "корп 1", "06.2022_ФинХД", "все клиенты с выручкой от 1,8 млрд до бесконечности", "ФК клиенты с выручкой от 230 до бесконечности", "клиенты от 100 млн", "223 фз контракты 20+", "рейтинг заказчиков маркер", "рейтинг по нмц маркер", "это заказчик", "поставщики маркер", "44 за 3 года"</t>
  </si>
  <si>
    <t>26.80.13.000 Носители данных прочие, включая матрицы и основы для производства дисков
62.02.30 Услуги по технической поддержке информационных технологий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26.20 Компьютеры и периферийное оборудование
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26.20.14.000 Машины вычислительные электронные цифровые, поставляемые в виде систем для автоматической обработки данных
26.20.21.120 Устройства запоминающие внешние
62 Продукты программные и услуги по разработке программного обеспечения; консультационные и аналогичные услуги в области информационных технологий ****</t>
  </si>
  <si>
    <t>За весь период компания заключила  23 контрактов на сумму  20 621 216 456,63 ? За весь период заходили в конкурсы  46 раз на общую сумму обеспеченных контрактов с НМЦ 6 274 164 382,35 ? с БГУ  358 654 374,16 ? с БГИ 1 990 745 023,25 ? За 3 ГОДА по 44ФЗ заключено 8 шт. с объемом НМЦ  421 048 284,89 ? с БГИ 22 160 829,10 ? с БГГО 14 083 210,00 ? с авансированием до 0,00 ? с комиссией банку 262 566,35 ? с кв 2 284,33 ?               ЗА 3 ГОДА ПО 223 ФЗ заключено 6 шт. с объемом НМЦ 39 192 662,66 ?</t>
  </si>
  <si>
    <t>"223 за 3 года", ".", "рейтинг поставщиков в маркере по бг", "fk1", "ПОС на 01.02.2023", "ПОС на 03.04.2023", "Кредитный портфель_01.11", "ПСБ Гарантии ",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заказчиков маркер", "рейтинг по нмц маркер", "поставщики маркер", "44 за 3 года"</t>
  </si>
  <si>
    <t>37.00.11.110 Услуги по водоотведению сточных вод
35.30.11.120 Энергия тепловая, отпущенная котельными
36.00.20.130 Услуги по транспортированию и распределению воды по водопроводам
36.00.11.000 Вода питьевая</t>
  </si>
  <si>
    <t>2 225</t>
  </si>
  <si>
    <t>10.13 Продукция мясная пищевая, в том числе из мяса птицы
10.13.14.119 Изделия колбасные вареные мясные прочие
10.13.11.000 Свинина соленая, в рассоле, копченая, сушеная (в том числе сублимационной сушки)
10.13.14.113 Сардельки мясные
10.13.14.120 Изделия колбасные вареные, в том числе фаршированные мясосодержащие
10.13.14.110 Изделия колбасные вареные, в том числе фаршированные мясные
10.13.14.111 Колбасы (колбаски) вареные мясные
10.13.14.412 Колбасы (колбаски) варено-копченые мясные
10.13.14 Изделия колбасные и аналогичная пищевая продукция из мяса, субпродуктов или крови животных, из мяса и субпродуктов птицы
10.13.14.112 Сосиски мясные</t>
  </si>
  <si>
    <t>1 303</t>
  </si>
  <si>
    <t>25.94.11.190 Изделия резьбовые из черных металлов прочие, не включенные в другие группировки
28.92.12.129 Оборудование для проходки тоннелей прочее
23.61.12.151 Конструкции и детали пролетных строений мостов железобетонные
24.10.71 Профили незамкнутые горячекатаные, горячетянутые или экструдированные, без дополнительной обработки, из нелегированных сталей</t>
  </si>
  <si>
    <t>ПОС на 03.04.3532</t>
  </si>
  <si>
    <t>"поставщики маркер", ".", "fk1", "ПОС на 03.04.2023", "все клиенты с выручкой от 1,8 млрд до бесконечности", "производители"</t>
  </si>
  <si>
    <t>ЗА 3 ГОДА ПО 223 ФЗ заключено 3 шт. с объемом НМЦ 77 096 718,18 ?</t>
  </si>
  <si>
    <t>3 688</t>
  </si>
  <si>
    <t>Сообщения о принятии решения о реорганизации от 05.04.2021</t>
  </si>
  <si>
    <t>43.21 Работы электромонтажные</t>
  </si>
  <si>
    <t>"поставщики маркер", ".", "райф", "все клиенты с выручкой от 1,8 млрд до бесконечности", "это заказчик"</t>
  </si>
  <si>
    <t>10.51.52.140 Кефир
10.51.52.200 Сметана
10.51.11.110 Молоко питьевое пастеризованное
10.51.40.300 Творог
10.51.40.330 Творог зерненый без вкусовых компонентов
10.51.52.212 Сметана от 18,0 % до 22,0 % жирности
10.51.30.111 Масло сладко-сливочное
10.51.52.110 Йогурт
10.51.52.120 Ацидофилин
10.51.56.110 Продукты, термически обработанные после сквашивания, йогуртные, кефирные и прочие ****</t>
  </si>
  <si>
    <t>"производители", ".", "выдали", "fk1", "ПОС на 01.02.2023", "ПОС на 03.04.2023", "Кредитный портфель_01.11", "корп 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</si>
  <si>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За весь период контрактов 4 шт. с общей суммой НМЦ 479 980 486,20 ? с БГУ 41094779 и БГИ 222 764 296,00 ?</t>
  </si>
  <si>
    <t>"поставщики маркер", ".", "рейтинг поставщиков в маркере по бг", "ушедшие", "все клиенты с выручкой от 1,8 млрд до бесконечности"</t>
  </si>
  <si>
    <t>43.22 Работы по монтажу систем водопровода, канализации, отопления и кондиционирования воздуха
43.22.12.160 Работы по установке приборов учета расхода тепловой энергии
42.11 Дороги автомобильные и автомагистрали; строительные работы по строительству автомобильных дорог и автомагистралей
42.11.2 Работы строительные по строительству автомагистралей, автомобильных дорог, в том числе проходящих по улицам населенных пунктов, и прочих автомобильных или пешеходных дорог, и взлетно-посадочных полос аэродромов
26.51.20.121 Аппаратура радионавигационная для работы в системе спутниковой навигации ГЛОНАСС или ГЛОНАСС/GPS
71.12.19 Услуги по инженерно-техническому проектированию прочих объектов
71.12.3 Услуги в области геологических, геофизических и взаимосвязанных изыскательных работ и консультативные услуги
26.1 Компоненты электронные и платы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26.20.16.150 Сканеры ****</t>
  </si>
  <si>
    <t>За весь период компания заключила  58 контрактов на сумму  10 858 280 848,30 ? За весь период заходили в конкурсы  1 раз на общую сумму обеспеченных контрактов с НМЦ 0,00 ? с БГУ  3 704 483,72 ? с БГИ 7 408 967,44 ?                             ЗА 3 ГОДА ПО 223 ФЗ заключено 33 шт. с объемом НМЦ 60 419 592,71 ?</t>
  </si>
  <si>
    <t>"223 за 3 года", ".", "рейтинг поставщиков в маркере по бг", "беники", "все клиенты с выручкой от 1,8 млрд до бесконечности", "производители", "рейтинг по нмц маркер", "это заказчик", "crm управления", "в crm за Досхоевым", "crm Пител", "поставщики маркер"</t>
  </si>
  <si>
    <t>3 967</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</si>
  <si>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42.22.22.120 Работы строительные по строительству трансформаторных станций и подстанций для распределения электричества в пределах какого-либо района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43.99.90.190 Работы строительные специализированные прочие, не включенные в другие группировки
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t>
  </si>
  <si>
    <t>За весь период компания заключила  7 контрактов на сумму  903 893 030,49 ? За весь период заходили в конкурсы  5 раз на общую сумму обеспеченных контрактов с НМЦ 461 334 498,34 ? с БГУ  8 806 722,21 ? с БГИ 61 647 478,25 ? За 3 ГОДА по 44ФЗ заключено 25 шт. с объемом НМЦ  263 188 033,30 ? с БГИ 24 612 622,89 ? с БГГО 3 825 684,74 ? с авансированием до 0,00 ? с комиссией банку 435 227,41 ? с кв 3 786,48 ? ЗА 1 ГОД по 44ФЗ заключено 6 шт. c объемом НМЦ 53 684 738,06 ? с БГИ 2 362 655,01 ? с БГГО 381 768,72 ? с авансированием до  0,00 ? с комиссией банку  66 540,83 ? с кв 578,91 ? ЗА 3 ГОДА ПО 223 ФЗ заключено 110 шт. с объемом НМЦ 515 149 636,70 ? за 1 ГОД ПО 223ФЗ заключено 31  211 924 007,48 ?</t>
  </si>
  <si>
    <t>"223 за 3 года", ".", "рейтинг поставщиков в маркере по бг", "fk1", "ушедшие",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 "44 за 3 года"</t>
  </si>
  <si>
    <t>42.91.20.110 Работы строительные по строительству портовых и речных сооружений, пристаней для яхт, набережных, пирсов, молов, доков и аналогичных портовых сооружений, включая ремонт
42.91.20.100 Работы строительные по строительству береговых и портовых сооружений, плотин, шлюзов и связанных гидромеханических сооружений, кроме работ по сохранению и воссозданию объектов культурного наследия</t>
  </si>
  <si>
    <t>За весь период компания заключила  7 контрактов на сумму  136 185 702 052,41 ? За весь период заходили в конкурсы  4 раз на общую сумму обеспеченных контрактов с НМЦ 114 807 478 694,73 ? с БГУ  61 710 865,63 ? с БГИ 31 228 188 991,90 ?</t>
  </si>
  <si>
    <t>"поставщики маркер", ".", "рейтинг поставщиков в маркере по бг", "беники", "все клиенты с выручкой от 1,8 млрд до бесконечности", "рейтинг по нмц маркер", "это заказчик"</t>
  </si>
  <si>
    <t>"поставщики маркер", ".", "рейтинг по нмц маркер", "это заказчик"</t>
  </si>
  <si>
    <t>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11.0 Напитки
11.07.11.113 Воды минеральные природные питьевые лечебные
10.32.1 Соки из фруктов и овощей
10.32.14 Сок ананасовый
10.32.19.111 Соки из фруктов прямого отжима прочие
10.32.19.130 Соки из фруктов и овощей концентрированные
10.32.22.110 Напитки сокосодержащие фруктовые ****</t>
  </si>
  <si>
    <t>За весь период компания заключила  5 контрактов на сумму  768 926 627,00 ?                                     ЗА 3 ГОДА ПО 223 ФЗ заключено 65 шт. с объемом НМЦ 512 564 050,42 ? за 1 ГОД ПО 223ФЗ заключено 11  3 905 706,32 ?</t>
  </si>
  <si>
    <t>"223 за 3 года", ".", "все клиенты с выручкой от 1,8 млрд до бесконечности", "223 фз контракты 20+", "производители", "рейтинг по нмц маркер", "это заказчик", "поставщики маркер", "44 за 3 года"</t>
  </si>
  <si>
    <t>Заявка взята на рассмотрение;Отклонена банком
Заявка отозвана клиентом
Отклонена банком;Распределена в Банк</t>
  </si>
  <si>
    <t>"223 за 3 года", "свод фт", ".", "п6", "все клиенты с выручкой от 1,8 млрд до бесконечности", "на фт заводил Кашин", "на фт заводил Бесков", "crm управления", "в crm за Кашиным"</t>
  </si>
  <si>
    <t>"223 за 3 года", "кл фт ФК БГ 04.22", "кл фт агент бг 04.22", ".", "fk1", "2. Финтендер 2022 31.03.22 Григорян для СПАРК", "Пункт 3.1 09.01.2023", "БГ ФБ ЮР лица на 01.07.2021", "корп 1", "Гарантии ФБ банкроты", "клиенты с в от100млн 09.21", "все клиенты с выручкой от 1,8 млрд до бесконечности", "портфель",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"производители"</t>
  </si>
  <si>
    <t>23.99.12.110 Материалы рулонные кровельные и гидроизоляционные
24.1 Железо, чугун, сталь и ферросплавы
24.20.13.130 Трубы стальные электросварные
46.72.13 Услуги по оптовой торговле черными металлами в первичных формах
24.10.62.121 Прокат сортовой горячекатаный круглый прочий, без дополнительной обработки, включая смотанный после прокатки, из нелегированных сталей
24.10.62.123 Прокат сортовой горячекатаный шестигранный прочий, без дополнительной обработки, включая смотанный после прокатки, из нелегированных сталей
24.10.73.111 Уголки стальные горячекатаные равнополочные из прочих легированных сталей
24.10.2 Сталь
24.20.13 Трубы круглого сечения прочие стальные
25.11 Металлоконструкции строительные и их части ****</t>
  </si>
  <si>
    <t>ЗА 3 ГОДА ПО 223 ФЗ заключено 32 шт. с объемом НМЦ 141 575 068,15 ? за 1 ГОД ПО 223ФЗ заключено 3  21 836 428,00 ?</t>
  </si>
  <si>
    <t>Сообщения о принятии решения о реорганизации от 23.05.2019</t>
  </si>
  <si>
    <t>"223 за 3 года", ".", "Агентские отказ из-за непред-я док-ов", "все клиенты с выручкой от 1,8 млрд до бесконечности", "223 фз контракты 20+", "поставщики маркер", "44 за 3 года"</t>
  </si>
  <si>
    <t>71.12.19.100 Услуги по инженерно-техническому проектированию прочих объектов, кроме объектов культурного наследия
71.12.12.190 Услуги по инженерно-техническому проектированию зданий прочие, не включенные в другие группировки</t>
  </si>
  <si>
    <t>1 909</t>
  </si>
  <si>
    <t>За весь период компания заключила  2 контрактов на сумму  1 775 697 332,68 ?                                         за 1 ГОД ПО 223ФЗ заключено 1  65 522 648,40 ?</t>
  </si>
  <si>
    <t>"223 за 3 года", ".", "п6", "fk1", "ПОС на 01.02.2023", "ПОС на 03.04.2023", "райф", "06.2022_ФинХД", "все клиенты с выручкой от 1,8 млрд до бесконечности", "Обороты по клиентам по кварталам (2022г)", "223 фз контракты 20+", "производители", "рейтинг по нмц маркер", "поставщики маркер"</t>
  </si>
  <si>
    <t>77.1 Услуги по аренде и лизингу автотранспортных средств
29.10.2 Автомобили легковые
77.11 Услуги по аренде и лизингу легковых автомобилей и легких автотранспортных средств</t>
  </si>
  <si>
    <t>За 3 года по 223ФЗ заключено  3 шт контрактов на сумму 19 709 944,00 ?</t>
  </si>
  <si>
    <t>"223 за 3 года", ".", "портфель 31.10.2021_10 тыс_проверка", "поставщики маркер"</t>
  </si>
  <si>
    <t>10.86.10.940 Продукция пищевая энтерального питания
46.38.2 Услуги по оптовой торговле прочими пищевыми продуктами</t>
  </si>
  <si>
    <t>43.22.20.000 Работы по монтажу газовых систем
35.12.10.120 Услуги по технологическому присоединению к распределительным электросетям
35.13.10.000 Услуги по распределению электроэнергии</t>
  </si>
  <si>
    <t>Заказчик разыгравший 30 конкурсов на сумму  3 322 157 122,29 ?</t>
  </si>
  <si>
    <t>За весь период компания заключила  1 контрактов на сумму  4 154 853 222,00 ?</t>
  </si>
  <si>
    <t>"поставщики маркер", ".", "06.2022_ФинХД", "рейтинг по нмц маркер"</t>
  </si>
  <si>
    <t>30.20.40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30.20.40.172 Пересечения глухие, съезды перекрестные, крестовины, скрепления широкой колеи
30.20.40.180 Оборудование управления движением механическое
30.20.40.175 Оборудование стрелочное специальное
30.20.40.171 Переводы стрелочные широкой колеи</t>
  </si>
  <si>
    <t>За весь период компания заключила  18 контрактов на сумму  25 351 534 059,58 ? За весь период заходили в конкурсы  2 раз на общую сумму обеспеченных контрактов с НМЦ 179 715 720,33 ? с БГУ  9 229 024,53 ? с БГИ 18 458 049,05 ?                             ЗА 3 ГОДА ПО 223 ФЗ заключено 13 шт. с объемом НМЦ 27 592 578 303,80 ? за 1 ГОД ПО 223ФЗ заключено 20  54 878 996 073,60 ?</t>
  </si>
  <si>
    <t>"223 за 3 года", ".", "рейтинг поставщиков в маркере по бг", "Конкурсы 100+ (Восстановленный)", "все клиенты с выручкой от 1,8 млрд до бесконечности", "223 фз контракты 20+", "рейтинг по нмц маркер", "поставщики маркер"</t>
  </si>
  <si>
    <t>1 273</t>
  </si>
  <si>
    <t>"производители", ".", "fk1", "ПОС на 01.02.2023", "ПОС на 03.04.2023", "корп 1", "Банкроты ФБ 28.04.2023", "06.2022_ФинХД", "клиенты с в от100млн 09.21", "филиал бизнес 22.11", "ФК клиенты с выручкой от 230 до бесконечности", "Обороты по клиентам по кварталам (2022г)"</t>
  </si>
  <si>
    <t>68.10.14.000 Услуги по покупке и продаже нежилых зданий и занимаемых ими земельных участков
38.11.19.000 Услуги по сбору прочих неопасных отходов, пригодных для повторного использования
38.22.29.000 Услуги по утилизации прочих опасных отходов
38.11.31.000 Отходы неопасные бытовые, непригодные для повторного использования
81.21.10.000 Услуги по общей уборке зданий
38.11.21.000 Услуги по сбору неопасных отходов городского хозяйства, непригодных для повторного использования
38.2 Услуги по обработке и утилизации отходов
81.29.13.000 Услуги санитарно-гигиенические прочие
38.11 Отходы неопасные; услуги по сбору неопасных отходов
38.11.29 Услуги по сбору прочих неопасных отходов, непригодных для повторного использования ****</t>
  </si>
  <si>
    <t>За весь период компания заключила  8 контрактов на сумму  43 543 171 792,89 ? За весь период заходили в конкурсы  5 раз на общую сумму обеспеченных контрактов с НМЦ 25 993 824 668,51 ? с БГУ  1 245 253 474,80 ? с БГИ 2 594 046 798,64 ? За 3 ГОДА по 44ФЗ заключено 16 шт. с объемом НМЦ  165 099 732,59 ? с БГИ 15 206 278,97 ? с БГГО 0,00 ? с авансированием до 0,00 ? с комиссией банку 280 693,33 ? с кв 2 442,03 ?</t>
  </si>
  <si>
    <t>"223 за 3 года", "свод фт", ".", "рейтинг поставщиков в маркере по бг", "УПП на 2 номер", "клиенты управления по БГ без открытых счетов", "ИНН_договоры_октябрь_", "Премия 4 кв 22 г.бг", "все клиенты с выручкой от 1,8 млрд до бесконечности", "ФК клиенты с выручкой от 230 до бесконечности", "Одобренные но не выданные 1 полугодие 2021", "рейтинг заказчиков маркер", "рейтинг по нмц маркер", "на фт заводил Удод", "на фт заводил Алтухова", "44 за 3 года"</t>
  </si>
  <si>
    <t>За весь период контрактов 7 шт. на общую сумму НМЦ 4 090 959 125,70 ?</t>
  </si>
  <si>
    <t>26.60.11.119 Аппараты рентгеновские прочие, используемые для диагностики, применяемые в медицинских целях
32.50.21.112 Оборудование терапевтические
26.60.12.129 Приборы и аппараты для функциональной диагностики прочие, применяемые в медицинских целях, не включенные в другие группировки</t>
  </si>
  <si>
    <t>"поставщики маркер", ".", "выдали", "fk1",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</si>
  <si>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71.12.20.120 Услуги по авторскому и техническому надзору при проведении работ по сохранению и воссозданию объекта культурного наследия</t>
  </si>
  <si>
    <t>Сообщение кредитора о намерении обратиться в суд с заявлением о банкротстве от 17.04.2023</t>
  </si>
  <si>
    <t>"Обороты по клиентам по кварталам (2022г)", ".", "fk1", "ПОС на 01.02.2023", "ПОС на 03.04.2023", "Агентские одобренные но не выданные от 30.08", "клиенты с в от100млн 09.21", "все клиенты с выручкой от 1,8 млрд до бесконечности", "ФК клиенты с выручкой от 230 до бесконечности"</t>
  </si>
  <si>
    <t>За весь период компания заключила  3 контрактов на сумму  1 156 239 071,93 ?</t>
  </si>
  <si>
    <t>30.20.40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30.20.40.169 Арматура тормозная прочая
30.20.40.153 Воздухораспределители</t>
  </si>
  <si>
    <t>За весь период контрактов 7 шт. на общую сумму НМЦ 365 853 140,42 ?</t>
  </si>
  <si>
    <t>"223 за 3 года", ".", "ушедшие", "производители", "рейтинг по нмц маркер", "поставщики маркер"</t>
  </si>
  <si>
    <t>22.11.11.000 Шины и покрышки пневматические для легковых автомобилей новые
22.11.13 Шины и покрышки пневматические для автобусов, грузовых автомобилей или для использования в авиации новые
22.11.14 Шины и покрышки пневматические для сельскохозяйственных машин; шины и покрышки пневматические прочие новые
22.11.14.199 Шины пневматические прочие, не включенные в другие группировки
28.30.93.000 Части прочих машин и оборудования для сельского хозяйства
22.1 Изделия резиновые
28.29 Машины и оборудование общего назначения прочие, не включенные в другие группировки
29.32.30.220 Колеса, ступицы и их детали
22.11.1 Шины, покрышки и камеры резиновые новые
22.19 Изделия из резины прочие ****</t>
  </si>
  <si>
    <t>ЗА 3 ГОДА ПО 223 ФЗ заключено 35 шт. с объемом НМЦ 110 187 056,74 ? за 1 ГОД ПО 223ФЗ заключено 10  44 134 240,13 ?</t>
  </si>
  <si>
    <t>"223 за 3 года", "кл фт агент бг 04.22", ".", "fk1", "райф", "Гарантии ФБ банкроты", "филиал бизнес 31.01.22 ",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"223 фз контракты 20+", "рейтинг по нмц маркер", "это заказчик", "поставщики маркер", "44 за 3 года"</t>
  </si>
  <si>
    <t>25.93.12.110 Проволока колючая из черных металлов
25.93.14.110 Гвозди
25.93.14.111 Гвозди строительные
25.94.11.120 Шурупы из черных металлов
25.94.12.120 Заклепки из черных металлов (кроме трубчатых или раздвоенных заклепок общего назначения)
25.94 Изделия крепежные и винты крепежные
25.94.12.110 Шайбы из черных металлов
25.94.11 Изделия крепежные резьбовые из черных металлов, не включенные в другие группировки
25.94.11.190 Изделия резьбовые из черных металлов прочие, не включенные в другие группировки
25.94.11.130 Гайки из черных металлов ****</t>
  </si>
  <si>
    <t>За весь период заходили в конкурсы  2 раз на общую сумму обеспеченных контрактов с НМЦ 0,00 ? с БГУ  1 194 600,54 ? с БГИ 11 946 005,34 ?</t>
  </si>
  <si>
    <t>"223 за 3 года", ".", "рейтинг поставщиков в маркере по бг", "инн Вавилова", "fk1", "Кредитный портфель_01.11", "06.2022_ФинХД", "все клиенты с выручкой от 1,8 млрд до бесконечности", "Обороты по клиентам по кварталам (2022г)", "рейтинг по нмц маркер", "поставщики маркер"</t>
  </si>
  <si>
    <t>За весь период компания заключила  2 контрактов на сумму  448 927 921,03 ?</t>
  </si>
  <si>
    <t>"поставщики маркер", "свод фт", ".", "рейтинг по нмц маркер", "на фт заводил Пейсахова"</t>
  </si>
  <si>
    <t>26.60.11.113 Аппараты рентгенографические
32.50 Инструменты и оборудование медицинские</t>
  </si>
  <si>
    <t>За весь период компания заключила  13 контрактов на сумму  986 663 504,68 ? За весь период заходили в конкурсы  35 раз на общую сумму обеспеченных контрактов с НМЦ 2 589 596 560,49 ? с БГУ  181 952 498,57 ? с БГИ 687 101 689,00 ?</t>
  </si>
  <si>
    <t>"223 за 3 года", ".", "рейтинг поставщиков в маркере по бг", "fk1", "ПОС на 01.02.2023", "ПОС на 03.04.2023",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 "поставщики маркер"</t>
  </si>
  <si>
    <t>26.60.11.119 Аппараты рентгеновские прочие, используемые для диагностики, применяемые в медицинских целях
26.60.13.150 Аппараты ультразвуковой терапии
32.50.13.190 Инструменты и приспособления, применяемые в медицинских целях, прочие, не включенные в другие группировки
32.50.21.112 Оборудование терапевтические
32.50.21.121 Аппараты для ингаляционного наркоза
32.50.21.122 Аппараты дыхательные реанимационные
26.51.85.120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26.60.11.113 Аппараты рентгенографические
26.60.12.119 Аппараты электродиагностические прочие
26.60.13.110 Ингаляторы ****</t>
  </si>
  <si>
    <t>За весь период компания заключила  20 контрактов на сумму  1 522 205 869,17 ? За весь период заходили в конкурсы  23 раз на общую сумму обеспеченных контрактов с НМЦ 1 667 763 279,83 ? с БГУ  40 654 835,38 ? с БГИ 270 033 978,40 ? За 3 ГОДА по 44ФЗ заключено 80 шт. с объемом НМЦ  900 744 114,75 ? с БГИ 87 941 952,17 ? с БГГО 19 013 729,15 ? с авансированием до 44 950 489,82 ? с комиссией банку 493 119,62 ? с кв 4 290,14 ? ЗА 1 ГОД по 44ФЗ заключено 36 шт. c объемом НМЦ 355 254 654,72 ? с БГИ 38 150 135,82 ? с БГГО 9 313 196,78 ? с авансированием до  37 613 815,82 ? с комиссией банку  405 519,98 ? с кв 3 528,02 ? ЗА 3 ГОДА ПО 223 ФЗ заключено 17 шт. с объемом НМЦ 37 377 540,00 ? за 1 ГОД ПО 223ФЗ заключено 4  17 179 476,00 ?</t>
  </si>
  <si>
    <t>"223 за 3 года", ".", "рейтинг поставщиков в маркере по бг", "Конкурсы 100+ (Восстановленный)", "fk1", "06.2022_ФинХД", "все клиенты с выручкой от 1,8 млрд до бесконечности", "Обороты по клиентам по кварталам (2022г)", "44 фз с с БГ от 10 млн", "рейтинг по нмц маркер", "поставщики маркер", "44 за 3 года"</t>
  </si>
  <si>
    <t>46.65.10.000 Услуги по оптовой торговле офисной мебелью</t>
  </si>
  <si>
    <t>5 670</t>
  </si>
  <si>
    <t>Сообщения о принятии решения о реорганизации от 05.05.2021</t>
  </si>
  <si>
    <t>26.51.20.121 Аппаратура радионавигационная для работы в системе спутниковой навигации ГЛОНАСС или ГЛОНАСС/GPS
26.51.63.130 Счетчики производства или потребления электроэнергии
26.30.11.150 Средства связи радиоэлектронные
26.30.50.112 Устройства приемно-контрольные охранные и охранно-пожарные
26.40.32.190 Аппаратура для записи звука прочая
26.70.13.000 Видеокамеры цифровые
61.1 Услуги телекоммуникационные проводные
61.10.3 Услуги по передаче данных по проводным телекоммуникационным сетям
61.10.30.120 Услуги документальной электросвязи
63.11.21.000 Услуги по передаче потокового видео ****</t>
  </si>
  <si>
    <t>За весь период контрактов 131 шт. на общую сумму НМЦ 31 885 438 487,12 ?</t>
  </si>
  <si>
    <t>Юридическое лицо находится в процессе уменьшения уставного капитала от 09.07.2018, Сообщения о принятии решения о реорганизации от 07.10.2021</t>
  </si>
  <si>
    <t>"223 за 3 года", ".", "рейтинг поставщиков в маркере по бг", "фб 22.11", "ГРАНДИОЗНЫЙ ПРОЕКТ", "ИНН_договоры_октябрь_", "все клиенты с выручкой от 1,8 млрд до бесконечности", "ФК клиенты с выручкой от 230 до бесконечности", "223 фз контракты 20+", "44 фз с с БГ от 10 млн", "производители", "рейтинг по нмц маркер", "это заказчик", "поставщики маркер", "44 за 3 года"</t>
  </si>
  <si>
    <t>61.20.11.000 Услуги подвижной связи общего пользования - обеспечение доступа и поддержка пользователя
61.90.10.190 Услуги телекоммуникационные прочие, не включенные в другие группировки
61.90.10.130 Услуги по предоставлению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 д.
61.10 Услуги телекоммуникационные проводные
61.10.20.120 Услуги операторов связи по присоединению и пропуску международного трафика
61.10.11.190 Услуги фиксированной телефонной связи - предоставление доступа и телефонные соединения, прочие
61.90 Услуги телекоммуникационные прочие
61.10.11.110 Услуги по предоставлению внутризоновых, междугородных и международных телефонных соединений
61.10.11.120 Услуги по предоставлению местных соединений
61.20.13.000 Услуги подвижной связи в выделенных радиосетях ****</t>
  </si>
  <si>
    <t>За весь период компания заключила  8 контрактов на сумму  10 083 669 188,85 ? За весь период заходили в конкурсы  5 раз на общую сумму обеспеченных контрактов с НМЦ 953 124 053,09 ? с БГУ  41 780 600,81 ? с БГИ 633 310 387,69 ? За 3 ГОДА по 44ФЗ заключено 3 шт. с объемом НМЦ  167 425 698,62 ? с БГИ 49 917 309,59 ? с БГГО 0,00 ? с авансированием до 0,00 ? с комиссией банку 421 977,62 ? с кв 3 671,21 ? ЗА 1 ГОД по 44ФЗ заключено 2 шт. c объемом НМЦ 166 973 698,62 ? с БГИ 49 894 709,59 ? с БГГО 0,00 ? с авансированием до  0,00 ? с комиссией банку  421 500,93 ? с кв 3 667,06 ?</t>
  </si>
  <si>
    <t>"223 за 3 года", ".", "рейтинг поставщиков в маркере по бг", "ПСБ Гарантии ", "все клиенты с выручкой от 1,8 млрд до бесконечности", "44 фз с с БГ от 10 млн", "рейтинг по нмц маркер", "поставщики маркер", "44 за 3 года"</t>
  </si>
  <si>
    <t>46.74.12 Услуги по оптовой торговле водопроводным и отопительным оборудованием и санитарно-технической арматурой
24.20 Трубы, профили пустотелые и их фитинги стальные
24.20.11.000 Трубы стальные для нефте- и газопроводов бесшовные
71.12.13 Услуги по инженерно-техническому проектированию систем энергоснабжения
43.29 Работы строительно-монтажные прочие</t>
  </si>
  <si>
    <t>За весь период компания заключила  2 контрактов на сумму  5 000 284 411,95 ?                                     ЗА 3 ГОДА ПО 223 ФЗ заключено 5 шт. с объемом НМЦ 78 493 053,78 ?</t>
  </si>
  <si>
    <t>Сообщения о принятии решения о реорганизации от 01.02.2023</t>
  </si>
  <si>
    <t>"223 за 3 года",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заказчиков маркер", "производители", "рейтинг по нмц маркер", "это заказчик", "поставщики маркер"</t>
  </si>
  <si>
    <t>26.40.52.000 Части радиоприемной и радиопередающей аппаратуры
32.20.14.190 Инструменты электромузыкальные прочие
32.20.15.190 Инструменты музыкальные прочие, не включенные в другие группировки
32.20.16.120 Камертоны и камертоны-дудки
32.20.20.190 Части и принадлежности прочих музыкальных инструментов
27.32.13.147 Кабели и провода термоэлектродные
26.40.51.000 Части и принадлежности звукового и видеооборудования
26.30.11.190 Аппаратура коммуникационная передающая с приемными устройствами прочая, не включенная в другие группировки
32.20.11.110 Фортепиано
32.20.20.140 Части и принадлежности электромузыкальных инструментов ****</t>
  </si>
  <si>
    <t>61.10.3 Услуги по передаче данных по проводным телекоммуникационным сетям
62.09.20 Услуги в области информационных технологий и компьютерные услуги прочие, не включенные в другие группировки
62.09.10.000 Услуги по установке компьютеров и периферийного оборудования
63.1 Услуги по обработке данных, размещению и взаимосвязанные услуги; порталы в информационно-коммуникационной сети Интернет
63.11.11.000 Услуги по обработке данных</t>
  </si>
  <si>
    <t>За весь период компания заключила  11 контрактов на сумму  26 969 498 873,68 ?</t>
  </si>
  <si>
    <t>61.20.11.000 Услуги подвижной связи общего пользования - обеспечение доступа и поддержка пользователя
61.30.10.000 Услуги спутниковой связи, кроме услуг для целей теле- и радиовещания
55.90.13.120 Услуги по предоставлению мест для временного проживания на судах
56.29.19.000 Услуги по обеспечению питанием, осуществляемые по договору, прочие
17.23.13.145 Билеты на право проезда, входа и прочие</t>
  </si>
  <si>
    <t>Юридическое лицо находится в процессе реорганизации в форме выделения от 09.12.2021, Сообщения о принятии решения о реорганизации от 18.05.2021</t>
  </si>
  <si>
    <t>35.30.12.110 Услуги по приготовлению воды на нужды горячего водоснабжения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35.14.10.000 Услуги по торговле электроэнергией
35.30.11.111 Энергия тепловая, отпущенная тепловыми электроцентралями (ТЭЦ)
35.30.11.110 Энергия тепловая, отпущенная электростанциями
35.30.1 Пар и горячая вода; услуги по снабжению паром и горячей водой ****</t>
  </si>
  <si>
    <t>В архиве</t>
  </si>
  <si>
    <t>"223 за 3 года", "свод фт", ".", "кредиты фт", "лимит сит по кредитам", "рейтинг заказчиков маркер", "рейтинг по нмц маркер", "это заказчик", "на фт заводил Найденко М", "crm управления", "crm Пител", "поставщики маркер"</t>
  </si>
  <si>
    <t>38.11.19.000 Услуги по сбору прочих неопасных отходов, пригодных для повторного использования
38.22.29.000 Услуги по утилизации прочих опасных отходов
38.11.31.000 Отходы неопасные бытовые, непригодные для повторного использования
38.11.21.000 Услуги по сбору неопасных отходов городского хозяйства, непригодных для повторного использования
38.11 Отходы неопасные; услуги по сбору неопасных отходов
38.11.2 Услуги по сбору неопасных отходов, непригодных для повторного использования
38.21.29.000 Услуги по утилизации неопасных отходов прочие
38 Услуги по сбору, обработке и удалению отходов; услуги по утилизации отходов
38.11.59.000 Отходы неопасные прочие, пригодные для повторного использования, не включенные в другие группировки
38.12.12.000 Услуги по сбору прочих опасных промышленных отходов ****</t>
  </si>
  <si>
    <t>За весь период компания заключила  12 контрактов на сумму  7 024 984 445,51 ? За весь период заходили в конкурсы  30 раз на общую сумму обеспеченных контрактов с НМЦ 9 249 927 255,28 ? с БГУ  777 662 739,76 ? с БГИ 2 673 086 518,68 ?</t>
  </si>
  <si>
    <t>"223 за 3 года", ".", "рейтинг поставщиков в маркере по бг", "ИНН_договоры_октябрь_", "все клиенты с выручкой от 1,8 млрд до бесконечности", "рейтинг заказчиков маркер", "рейтинг по нмц маркер", "это заказчик", "поставщики маркер", "44 за 3 года"</t>
  </si>
  <si>
    <t>46.11 Услуги по оптовой торговле сельскохозяйственным сырьем, живыми животными, текстильным сырьем и полуфабрикатами за вознаграждение или на договорной основе
10.91 Корма готовые для сельскохозяйственных животных
21.20.10.121 Добавки минеральные
10.51.56.260 Заменитель цельного молока сухой для телят
10.91.10.290 Корма для сельскохозяйственных животных прочие
10.91.10.181 Комбикорма для крупного рогатого скота</t>
  </si>
  <si>
    <t>"223 за 3 года", ".", "fk1", "клиенты с в от100млн 09.21", "все клиенты с выручкой от 1,8 млрд до бесконечности", "ФК клиенты с выручкой от 230 до бесконечности", "производители", "это заказчик", "поставщики маркер"</t>
  </si>
  <si>
    <t>26.30.30.000 Части и комплектующие коммуникационного оборудования
33.12.29.900 Услуги по ремонту и техническому обслуживанию прочего оборудования специального назначения, не включенные в другие группировки
63.99.10.190 Услуги информационные автоматизированные компьютерные прочие, не включенные в другие группировки
58.29.50.000 Услуги по предоставлению лицензий на право использовать компьютерное программное обеспечение
62.01.11 Услуги по проектированию, разработке информационных технологий для прикладных задач и тестированию программного обеспечения
26.20.40.140 Средства защиты информации, а также информационные и телекоммуникационные системы, защищенные с использованием средств защиты информации
26.30.11.160 Средства связи, в том числе программное обеспечение, обеспечивающее выполнение установленных действий при проведении оперативно-розыскных мероприятий</t>
  </si>
  <si>
    <t>"44 за 3 года", ".", "fk1", "все клиенты с выручкой от 1,8 млрд до бесконечности", "Обороты по клиентам по кварталам (2022г)", "рейтинг по нмц маркер", "поставщики маркер"</t>
  </si>
  <si>
    <t>21.20.23.199 Средства нелечебные прочие
21 Средства лекарственные и материалы, применяемые в медицинских целях
21.20.10.191 Препараты антибактериальные для системного использования
21.20.10.213 Иммуномодуляторы
32.50.42 Очки для коррекции зрения, защитные или прочие очки или аналогичные оптические приборы
21.20.23.190 Препараты фармацевтические прочие
21.20.23.195 Средства хирургической десмургии
13.99.19.111 Вата медицинская гигроскопическая
21.20.10 Препараты лекарственные
21.20.10.111 Препараты стоматологические ****</t>
  </si>
  <si>
    <t>За весь период компания заключила  19 контрактов на сумму  1 156 209 093,73 ? За весь период заходили в конкурсы  23 раз на общую сумму обеспеченных контрактов с НМЦ 1 564 007 333,73 ? с БГУ  25 056 083,00 ? с БГИ 216 458 172,64 ? За 3 ГОДА по 44ФЗ заключено 828 шт. с объемом НМЦ  4 608 012 741,44 ? с БГИ 365 560 189,87 ? с БГГО 5 627 558,66 ? с авансированием до 792 674,00 ? с комиссией банку 3 693 915,67 ? с кв 32 137,07 ? ЗА 1 ГОД по 44ФЗ заключено 263 шт. c объемом НМЦ 1 652 637 052,96 ? с БГИ 148 552 360,07 ? с БГГО 0,00 ? с авансированием до  792 674,00 ? с комиссией банку  1 523 330,90 ? с кв 13 252,98 ? ЗА 3 ГОДА ПО 223 ФЗ заключено 55 шт. с объемом НМЦ 161 438 245,06 ? за 1 ГОД ПО 223ФЗ заключено 12  39 394 467,80 ?</t>
  </si>
  <si>
    <t>"223 за 3 года", ".", "рейтинг поставщиков в маркере по бг", "fk1", "ПОС на 01.02.2023", "ПОС на 03.04.2023", "06.2022_ФинХД", "все клиенты с выручкой от 1,8 млрд до бесконечности", "Обороты по клиентам по кварталам (2022г)", "44 фз с с БГ от 10 млн", "рейтинг по нмц маркер", "поставщики маркер", "44 за 3 года"</t>
  </si>
  <si>
    <t>Юридическое лицо находится в процессе реорганизации в форме присоединения к нему других юридических лиц от 11.04.2023, Сообщения о принятии решения о реорганизации от 10.04.2023</t>
  </si>
  <si>
    <t>За весь период компания заключила  41 контрактов на сумму  8 124 352 049,17 ? За весь период заходили в конкурсы  77 раз на общую сумму обеспеченных контрактов с НМЦ 6 046 019 215,90 ? с БГУ  193 601 686,86 ? с БГИ 1 471 974 978,26 ? За 3 ГОДА по 44ФЗ заключено 2395 шт. с объемом НМЦ  9 511 696 650,52 ? с БГИ 1 291 623 492,87 ? с БГГО 19 086 996,74 ? с авансированием до 21 964 664,76 ? с комиссией банку 14 079 214,04 ? с кв 122 489,16 ? ЗА 1 ГОД по 44ФЗ заключено 1039 шт. c объемом НМЦ 3 807 840 559,93 ? с БГИ 456 135 316,22 ? с БГГО 44 439,00 ? с авансированием до  16 426 024,39 ? с комиссией банку  6 871 950,03 ? с кв 59 785,97 ? ЗА 3 ГОДА ПО 223 ФЗ заключено 25 шт. с объемом НМЦ 151 837 084,78 ? за 1 ГОД ПО 223ФЗ заключено 7  45 828 308,40 ?</t>
  </si>
  <si>
    <t>"223 за 3 года", ".", "рейтинг поставщиков в маркере по бг", "выдали",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</si>
  <si>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41.20.40.900 Работы строительные по возведению нежилых зданий и сооружений прочие, не включенные в другие группировки</t>
  </si>
  <si>
    <t>За весь период контрактов 68 шт. на общую сумму НМЦ 71 485 570 307,07 ?</t>
  </si>
  <si>
    <t>Сообщение кредитора о намерении обратиться в суд с заявлением о банкротстве от 26.04.2023</t>
  </si>
  <si>
    <t>"поставщики маркер", ".", "рейтинг поставщиков в маркере по бг",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"это заказчик"</t>
  </si>
  <si>
    <t>64.91.10.190 Услуги по финансовой аренде (лизингу/сублизингу) в прочих областях, кроме племенных животных</t>
  </si>
  <si>
    <t>За весь период компания заключила  1 контрактов на сумму  1 175 268 166,39 ?</t>
  </si>
  <si>
    <t>"поставщики маркер", ".", "Пункт 3.1 09.01.2023", "рейтинг по нмц маркер"</t>
  </si>
  <si>
    <t>43.11.10.000 Работы по сносу зданий и сооружений
41.20.30.100 Работы по возведению жилых зданий, кроме работ по сохранению и воссозданию объектов культурного наследия</t>
  </si>
  <si>
    <t>За весь период контрактов 66 шт. на общую сумму НМЦ 78 570 186 546,18 ?</t>
  </si>
  <si>
    <t>Сообщение кредитора о намерении обратиться в суд с заявлением о банкротстве от 15.02.2018</t>
  </si>
  <si>
    <t>"223 за 3 года", "свод фт", ".", "рейтинг поставщиков в маркере по бг", "fk1",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"на фт заводил Данченко", "поставщики маркер"</t>
  </si>
  <si>
    <t>85.22.12.000 Услуги в области высшего образования прочие - бакалавриат</t>
  </si>
  <si>
    <t>20.15.39.000 Удобрения азотные и смеси прочие
20.15.79.000 Удобрения минеральные или химические, содержащие два или три питательных элемента (азот, фосфор и калий), не включенные в другие группировки
20.15.10.110 Кислота азотная
20.15.71.000 Удобрения, содержащие три питательных элемента: азот, фосфор и калий</t>
  </si>
  <si>
    <t>За 3 года по 223ФЗ заключено  6 шт контрактов на сумму 91 527 871,26 ?</t>
  </si>
  <si>
    <t>"223 за 3 года", ".", "fk1", "все клиенты с выручкой от 1,8 млрд до бесконечности", "Участники клиринга", "223 фз контракты 20+", "производители", "поставщики маркер"</t>
  </si>
  <si>
    <t>82.20.10.000 Услуги центров обработки телефонных вызовов</t>
  </si>
  <si>
    <t>4 077</t>
  </si>
  <si>
    <t>За весь период компания заключила  12 контрактов на сумму  15 189 305 083,83 ? За весь период заходили в конкурсы  1 раз на общую сумму обеспеченных контрактов с НМЦ 1 876 970 070,17 ? с БГУ  93 848 504,53 ? с БГИ 187 697 009,06 ?               ЗА 1 ГОД по 44ФЗ заключено 1 шт. c объемом НМЦ 210 063 000,00 ? с БГИ 63 018 900,00 ? с БГГО 0,00 ? с авансированием до  0,00 ? с комиссией банку  1 315 627,45 ? с кв 11 445,96 ?     за 1 ГОД ПО 223ФЗ заключено 1  10 789 480,00 ?</t>
  </si>
  <si>
    <t>"223 за 3 года", ".", "рейтинг поставщиков в маркере по бг", "все клиенты с выручкой от 1,8 млрд до бесконечности", "44 фз с с БГ от 10 млн", "рейтинг заказчиков маркер", "рейтинг по нмц маркер", "44 за 3 года"</t>
  </si>
  <si>
    <t>23.51.12.111 Портландцемент без минеральных добавок</t>
  </si>
  <si>
    <t>ПОС на 03.04.3557</t>
  </si>
  <si>
    <t>"поставщики маркер", "свод фт", ".", "fk1", "корп 1", "06.2022_ФинХД", "клиенты с в от100млн 09.21", "ФК клиенты с выручкой от 230 до бесконечности", "Обороты по клиентам по кварталам (2022г)", "на фт заводил Шевченко"</t>
  </si>
  <si>
    <t>86.21.10.190 Услуги, предоставляемые врачами общей врачебной практики, прочие, не включенные в другие группировки
86.10.15.000 Услуги больниц прочие, оказываемые врачами
86.21.10.110 Услуги консультативные, предоставляемые врачами общей врачебной практики
86.90.17.000 Услуги по диагностической визуализации без расшифровки
86.90.19.190 Услуги в области медицины прочие, не включенные в другие группировки
86.21.10.120 Услуги, предоставляемые врачами общей врачебной практики, по проведению диагностических процедур и постановке диагноза</t>
  </si>
  <si>
    <t>Заказчик разыгравший 6 конкурсов на сумму  487 507 016,55 ?</t>
  </si>
  <si>
    <t>"44 за 3 года", ".", "рейтинг заказчиков маркер", "это заказчик", "поставщики маркер"</t>
  </si>
  <si>
    <t>10.41.41.112 Жмых и остатки кормовые твердые прочие, полученные при экстракции соевого масла
10.41.41.119 Жмых и остатки твердые, полученные при экстракции соевого масла, прочие
10.91.10.186 Комбикорма для сельскохозяйственной птицы</t>
  </si>
  <si>
    <t>За весь период контрактов 6 шт. на общую сумму НМЦ 548 600 734,00 ?</t>
  </si>
  <si>
    <t>"223 за 3 года", ".", "ГРАНДИОЗНЫЙ ПРОЕКТ 223", "Конкурсы 100+ (Восстановленный)", "все клиенты с выручкой от 1,8 млрд до бесконечности", "223 фз контракты 20+", "рейтинг по нмц маркер", "это заказчик", "crm управления", "crm Пител", "поставщики маркер"</t>
  </si>
  <si>
    <t>45.11 Услуги по торговле легковыми автомобилями и грузовыми автомобилями малой грузоподъемности
29.10.2 Автомобили легковые
29.10.24.000 Средства автотранспортные для перевозки людей прочие
29.10.23.000 Средства транспортные с поршневым двигателем внутреннего сгорания с воспламенением от сжатия (дизелем или полудизелем), новые
29.10.21.000 Средства транспортные с двигателем с искровым зажиганием, с рабочим объемом цилиндров не более 1500 см3, новые</t>
  </si>
  <si>
    <t>За весь период заходили в конкурсы  4 раз на общую сумму обеспеченных контрактов с НМЦ 216 493 954,90 ? с БГУ  13 463 287,00 ? с БГИ 30 401 267,00 ?</t>
  </si>
  <si>
    <t>29.10.41.111 Автомобили грузовые с дизельным двигателем, имеющие технически допустимую максимальную массу не более 3,5 т
29.10.41.110 Автомобили грузовые с дизельным двигателем
29.10.2 Автомобили легковые
29.10.24.000 Средства автотранспортные для перевозки людей прочие
29.10.23.000 Средства транспортные с поршневым двигателем внутреннего сгорания с воспламенением от сжатия (дизелем или полудизелем), новые
29.10.59.390 Средства автотранспортные специального назначения прочие, не включенные в другие группировки
29.10.22.000 Средства транспортные с двигателем с искровым зажиганием, с рабочим объемом цилиндров более 1500 см3, новые</t>
  </si>
  <si>
    <t>45.11 Услуги по торговле легковыми автомобилями и грузовыми автомобилями малой грузоподъемности
45.11.21.000 Услуги по розничной торговле новыми пассажирскими автотранспортными средствами в специализированных магазинах
29.10 Средства автотранспортные
29.10.2 Автомобили легковые
29.10.24.000 Средства автотранспортные для перевозки людей прочие
29.10.59.150 Средства транспортные для аварийно-спасательных служб и полиции
29.10.23.000 Средства транспортные с поршневым двигателем внутреннего сгорания с воспламенением от сжатия (дизелем или полудизелем), новые
45.1 Услуги по торговле автотранспортными средствами
29.10.22.000 Средства транспортные с двигателем с искровым зажиганием, с рабочим объемом цилиндров более 1500 см3, новые</t>
  </si>
  <si>
    <t>За весь период компания заключила  7 контрактов на сумму  916 504 720,19 ? За весь период заходили в конкурсы  34 раз на общую сумму обеспеченных контрактов с НМЦ 3 856 279 480,15 ? с БГУ  314 620 669,55 ? с БГИ 910 160 602,54 ? За 3 ГОДА по 44ФЗ заключено 18 шт. с объемом НМЦ  928 002 492,07 ? с БГИ 223 283 075,92 ? с БГГО 1 893 451,36 ? с авансированием до 0,00 ? с комиссией банку 1 296 763,80 ? с кв 11 281,85 ? ЗА 1 ГОД по 44ФЗ заключено 8 шт. c объемом НМЦ 341 464 998,73 ? с БГИ 95 271 699,62 ? с БГГО 305 626,00 ? с авансированием до  0,00 ? с комиссией банку  717 312,57 ? с кв 6 240,62 ? ЗА 3 ГОДА ПО 223 ФЗ заключено 8 шт. с объемом НМЦ 32 934 490,44 ? за 1 ГОД ПО 223ФЗ заключено 1  4 200 000,00 ?</t>
  </si>
  <si>
    <t>29.10 Средства автотранспортные
29.10.2 Автомобили легковые
29.10.22 Средства транспортные с двигателем с искровым зажиганием, с рабочим объемом цилиндров более 1500 см3, новые
29.10.24.000 Средства автотранспортные для перевозки людей прочие
29.10.59.150 Средства транспортные для аварийно-спасательных служб и полиции
29.10.23.000 Средства транспортные с поршневым двигателем внутреннего сгорания с воспламенением от сжатия (дизелем или полудизелем), новые
29.10.21.000 Средства транспортные с двигателем с искровым зажиганием, с рабочим объемом цилиндров не более 1500 см3, новые</t>
  </si>
  <si>
    <t>За весь период компания заключила  10 контрактов на сумму  2 259 257 717,75 ? За весь период заходили в конкурсы  37 раз на общую сумму обеспеченных контрактов с НМЦ 8 590 071 910,25 ? с БГУ  147 133 388,48 ? с БГИ 1 140 961 110,98 ? За 3 ГОДА по 44ФЗ заключено 35 шт. с объемом НМЦ  4 425 711 840,00 ? с БГИ 483 444 336,07 ? с БГГО 394 159 433,33 ? с авансированием до 20 472 400,00 ? с комиссией банку 6 177 154,50 ? с кв 53 741,24 ? ЗА 1 ГОД по 44ФЗ заключено 7 шт. c объемом НМЦ 355 331 750,00 ? с БГИ 27 700 580,75 ? с БГГО 22 593 760,00 ? с авансированием до  20 472 400,00 ? с комиссией банку  132 988,80 ? с кв 1 157,00 ? ЗА 3 ГОДА ПО 223 ФЗ заключено 12 шт. с объемом НМЦ 61 237 566,67 ? за 1 ГОД ПО 223ФЗ заключено 1  12 837 500,00 ?</t>
  </si>
  <si>
    <t>"223 за 3 года", ".", "рейтинг поставщиков в маркере по бг", "fk1", "все клиенты с выручкой от 1,8 млрд до бесконечности", "44 фз с с БГ от 10 млн", "рейтинг по нмц маркер", "поставщики маркер", "44 за 3 года"</t>
  </si>
  <si>
    <t>52.2 Услуги транспортные вспомогательные
52.24.19.120 Услуги транспортные вспомогательные для грузового транспорта, не включенные в другие группировки
49.41.16.000 Услуги по перевозке автомобильным транспортом живых животных
49.20.14.000 Услуги железнодорожного транспорта по перевозке контейнеров для смешанной перевозки
49.42.1 Услуги по переезду
52.29 Услуги транспортные вспомогательные прочие</t>
  </si>
  <si>
    <t>ЗА 3 ГОДА ПО 223 ФЗ заключено 1 шт. с объемом НМЦ 64 800 000,00 ?</t>
  </si>
  <si>
    <t>77.1 Услуги по аренде и лизингу автотранспортных средств
77.11.10.000 Услуги по аренде и лизингу легковых автомобилей и легких автотранспортных средств
64.91 Услуги по финансовой аренде (лизингу/сублизингу)
77 Услуги по аренде и лизингу
64.91.10.190 Услуги по финансовой аренде (лизингу/сублизингу) в прочих областях, кроме племенных животных
29.10.23.000 Средства транспортные с поршневым двигателем внутреннего сгорания с воспламенением от сжатия (дизелем или полудизелем), новые</t>
  </si>
  <si>
    <t>77.11.10 Услуги по аренде и лизингу легковых автомобилей и легких автотранспортных средств</t>
  </si>
  <si>
    <t>52.29.19.110 Услуги по экспедированию грузов
52.2 Услуги транспортные вспомогательные
52.10.19.900 Услуги по складированию и хранению прочие, не включенные в другие группировки
52.29.19 Услуги грузовых транспортно-экспедиционных агентств прочие
53.20.19.120 Услуги курьерские прочие, не включенные в другие группировки
53.20.11.190 Услуги по курьерской доставке различными видами транспорта прочие
53.10.12 Услуги почтовой связи общего пользования, связанные с письменной корреспонденцией
53.20.19.110 Услуги почтовой связи прочие, не включенные в другие группировки
29.20 Кузова (корпуса) для автотранспортных средств; прицепы и полуприцепы
53.20 Услуги почтовой связи прочие и услуги курьерские</t>
  </si>
  <si>
    <t>29.10.41.111 Автомобили грузовые с дизельным двигателем, имеющие технически допустимую максимальную массу не более 3,5 т
45.11.21.000 Услуги по розничной торговле новыми пассажирскими автотранспортными средствами в специализированных магазинах
29.10 Средства автотранспортные
29.10.2 Автомобили легковые
29.10.22 Средства транспортные с двигателем с искровым зажиганием, с рабочим объемом цилиндров более 1500 см3, новые
45.1 Услуги по торговле автотранспортными средствами
45.11.2 Услуги по розничной торговле легковыми автомобилями и грузовыми автомобилями малой грузоподъемности в специализированных магазинах</t>
  </si>
  <si>
    <t>За весь период заходили в конкурсы  9 раз на общую сумму обеспеченных контрактов с НМЦ 506 457 326,20 ? с БГУ  36 913 172,55 ? с БГИ 101 986 085,10 ?                                 за 1 ГОД ПО 223ФЗ заключено 4  7 375 858,00 ?</t>
  </si>
  <si>
    <t>45.20.11.215 Услуги по ремонту тормозной системы
45.20.11.519 Прочие услуги по техническому обслуживанию и ремонту прочих автотранспортных средств, не включенные в другие группировки
45.20.2 Услуги по техническому обслуживанию и ремонту прочих автотранспортных средств
45.20.21.217 Услуги по ремонту деталей
33.19.10.000 Услуги по ремонту прочего оборудования
45.20.14.000 Услуги по ремонту кузовов легковых автомобилей и легких грузовых автотранспортных средств и аналогичные услуги (ремонт дверей, замков, окон, перекрашивание, ремонт после повреждений)
29.32.30.390 Части и принадлежности для автотранспортных средств прочие, не включенные в другие группировки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33.17.19.000 Услуги по ремонту и техническому обслуживанию прочих транспортных средств и оборудования, не включенных в другие группировки
45.20 Услуги по техническому обслуживанию и ремонту автотранспортных средств ****</t>
  </si>
  <si>
    <t>За весь период заходили в конкурсы  1 раз на общую сумму обеспеченных контрактов с НМЦ 53 865 969 530,72 ? с БГУ  12 600 000,00 ? с БГИ 37 800 000,00 ?</t>
  </si>
  <si>
    <t>"44 за 3 года", ".", "рейтинг поставщиков в маркере по бг", "все клиенты с выручкой от 1,8 млрд до бесконечности", "поставщики маркер"</t>
  </si>
  <si>
    <t>26.20.18.000 Устройства периферийные с двумя или более функциями: печать данных, копирование, сканирование, прием и передача факсимильных сообщений
81.29.12.000 Услуги по подметанию и уборке снега</t>
  </si>
  <si>
    <t>35.14.10.000 Услуги по торговле электроэнергией
35.11.1 Электроэнергия</t>
  </si>
  <si>
    <t>"поставщики маркер", ".", "fk1", "просрочка на 01.01.2023 г.", "Запрос в ЮД_просрочка на 01.01.2023", "Обороты по клиентам по кварталам (2022г)", "рейтинг по нмц маркер"</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</si>
  <si>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 Электроэнергия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84.12.13.000 Услуги государственного управления в области жилищного строительства и коммунального хозяйства
35.11.10.114 Электроэнергия, произведенная дизельными электростанциями (ДЭС) общего назначения ****</t>
  </si>
  <si>
    <t>За весь период компания заключила  2 контрактов на сумму  466 376 253,10 ?                                     ЗА 3 ГОДА ПО 223 ФЗ заключено 9 шт. с объемом НМЦ 319 925 017,00 ?</t>
  </si>
  <si>
    <t>27.90 Оборудование электрическое прочее
27.1 Электродвигатели, генераторы, трансформаторы и электрическая распределительная и контрольно-измерительная аппаратура</t>
  </si>
  <si>
    <t>Кредитный портфель_01.1790</t>
  </si>
  <si>
    <t>"поставщики маркер", ".", "fk1", "Кредитный портфель_01.11", "все клиенты с выручкой от 1,8 млрд до бесконечности", "производители"</t>
  </si>
  <si>
    <t>"поставщики маркер", ".", "fk1", "просрочка на 01.01.2023 г.", "Запрос в ЮД_просрочка на 01.01.2023", "рейтинг заказчиков маркер", "производители", "это заказчик"</t>
  </si>
  <si>
    <t>4 891</t>
  </si>
  <si>
    <t>43.21.10.220 Работы по монтажу систем освещения и сигнализации автомобильных дорог, аэропортов и портов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43.99.90.190 Работы строительные специализированные прочие, не включенные в другие группировки
33.20 Услуги по монтажу промышленных машин и оборудования
35.11.10.112 Электроэнергия, произведенная теплоэлектроцентралями (ТЭЦ) общего назначения
19.20.28.120 Мазут флотский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33.12.29.900 Услуги по ремонту и техническому обслуживанию прочего оборудования специального назначения, не включенные в другие группировки ****</t>
  </si>
  <si>
    <t>За весь период контрактов 7 шт. на общую сумму НМЦ 368 269 284,49 ?</t>
  </si>
  <si>
    <t>Сообщения о принятии решения о реорганизации от 02.03.2022</t>
  </si>
  <si>
    <t>"223 за 3 года", ".", "рейтинг поставщиков в маркере по бг", "все клиенты с выручкой от 1,8 млрд до бесконечности", "Участники клиринга", "рейтинг заказчиков маркер", "производители", "рейтинг по нмц маркер", "это заказчик", "поставщики маркер", "44 за 3 года"</t>
  </si>
  <si>
    <t>1 723</t>
  </si>
  <si>
    <t>15.2 Обувь</t>
  </si>
  <si>
    <t>ПОС на 03.04.3562</t>
  </si>
  <si>
    <t>"рейтинг по нмц маркер", ".", "fk1", "ПОС на 01.02.2023", "ПОС на 03.04.2023", "06.2022_ФинХД", "Обороты по клиентам по кварталам (2022г)"</t>
  </si>
  <si>
    <t>1 737</t>
  </si>
  <si>
    <t>10.13 Продукция мясная пищевая, в том числе из мяса птицы
10.1 Мясо и мясо птицы, прочие продукты убоя. Мясные пищевые продукты, включая продукты из мяса птицы
10.61.32.111 Крупа овсяная
10.61.32.113 Крупа гречневая
10.51.52.140 Кефир
10.61.21.113 Мука пшеничная хлебопекарная высшего сорта
10.51.40.131 Сыры твердые без вкусовых наполнителей
10.83.12.110 Заменители кофе
10.83.13.120 Чай черный (ферментированный) в упаковках массой не более 3 кг
10.61.31.111 Крупа манная ****</t>
  </si>
  <si>
    <t>"223 за 3 года", ".", "выдали", "fk1", "портфель 31.10.2021_10 тыс_проверка",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"поставщики маркер", "44 за 3 года"</t>
  </si>
  <si>
    <t>37.00.11.110 Услуги по водоотведению сточных вод
10.11.12.110 Свинина парная, остывшая или охлажденная домашних свиней
10.13.14.111 Колбасы (колбаски) вареные мясные
10.13.14.112 Сосиски мясные</t>
  </si>
  <si>
    <t>Сообщения о принятии решения о реорганизации от 24.02.2021</t>
  </si>
  <si>
    <t>10.86.10.613 Сардельки вареные для детского питания
10.89.11.130 Заготовки для приготовления супов и бульонов
20.14.34.230 Кислота лимонная, ее соли и сложные эфиры
20.59.60.111 Желатины пищевые
01.21.12.120 Виноград свежий прочих сортов, не включенный в другие группировки
01.24.26.000 Нектарины
01.24.29.110 Черешня
01.25.31.000 Миндаль
01.27.12.130 Лист черного чая сортовой
10.13.14.119 Изделия колбасные вареные мясные прочие ****</t>
  </si>
  <si>
    <t>За весь период контрактов 44 шт. на общую сумму НМЦ 6 954 638 186,98 ?</t>
  </si>
  <si>
    <t>10.13.14.110 Изделия колбасные вареные, в том числе фаршированные мясные
35.30.12.130 Услуги по транспортированию горячей воды
10.86.10.614 Ветчина вареная в оболочке для детского питания
10.13.14.111 Колбасы (колбаски) вареные мясные
85.41.9 Услуги в области дополнительного образования прочие
10.13.14.112 Сосиски мясные</t>
  </si>
  <si>
    <t>1 424</t>
  </si>
  <si>
    <t>1 201</t>
  </si>
  <si>
    <t>10.13 Продукция мясная пищевая, в том числе из мяса птицы
10 Продукты пищевые</t>
  </si>
  <si>
    <t>1 377</t>
  </si>
  <si>
    <t>10.13.14.110 Изделия колбасные вареные, в том числе фаршированные мясные
10.13.14.111 Колбасы (колбаски) вареные мясные
10.13.14.112 Сосиски мясные
10.12.10.110 Мясо кур, в том числе цыплят (включая цыплят-бройлеров) охлажденное
10.13.14.411 Колбасы (колбаски) полукопченые мясные</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</si>
  <si>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42.13.20.100 Работы строительные по строительству мостов и тоннелей, кроме работ по сохранению и воссозданию объектов культурного наследия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</si>
  <si>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21 контрактов на сумму  15 480 912 691,52 ? За весь период заходили в конкурсы  54 раз на общую сумму обеспеченных контрактов с НМЦ 19 934 529 656,99 ? с БГУ  1 023 123 016,15 ? с БГИ 3 991 391 652,07 ? За 3 ГОДА по 44ФЗ заключено 12 шт. с объемом НМЦ  5 571 207 902,47 ? с БГИ 1 022 580 187,14 ? с БГГО 160 770 525,31 ? с авансированием до 531 097 457,69 ? с комиссией банку 15 187 956,32 ? с кв 132 135,22 ? ЗА 1 ГОД по 44ФЗ заключено 3 шт. c объемом НМЦ 2 305 452 185,30 ? с БГИ 530 987 541,24 ? с БГГО 7 718 486,00 ? с авансированием до  678 088 152,69 ? с комиссией банку  3 581 719,21 ? с кв 31 160,96 ?</t>
  </si>
  <si>
    <t>"44 за 3 года", "кл фт прямые бг 04.22", "свод фт", ".", "рейтинг поставщиков в маркере по бг", "ГРАНДИОЗНЫЙ ПРОЕКТ", "Евразия(Заболотний)_n (22)", "Конкурсы 100+ (Восстановленный)", "fk1", "корп 1", "все клиенты с выручкой от 1,8 млрд до бесконечности", "портфель", "ФК клиенты с выручкой от 230 до бесконечности", "клиенты от 100 млн", "ФТ клиенты с продуктами по сотрудникам", "44 фз с с БГ от 10 млн", "производители", "рейтинг по нмц маркер", "на фт заводил Скрипников", "поставщики маркер"</t>
  </si>
  <si>
    <t>28.13.11.110 Насосы топливные
27.40.12.000 Лампы накаливания галогенные с вольфрамовой нитью, кроме ультрафиолетовых или инфракрасных ламп
28.12.12.119 Гидромоторы прочие
22.11.11.000 Шины и покрышки пневматические для легковых автомобилей новые
20.59.43.120 Антифризы
22.11.14.199 Шины пневматические прочие, не включенные в другие группировки
29.10.41.113 Автомобили грузовые с дизельным двигателем, имеющие технически допустимую максимальную массу свыше 12 т
20.30.22.170 Герметики
19.20.29.119 Масла моторные прочие, не включенные в другие группировки
19.20.29.150 Масла компрессорные ****</t>
  </si>
  <si>
    <t>ЗА 3 ГОДА ПО 223 ФЗ заключено 3 шт. с объемом НМЦ 29 411 044,00 ?</t>
  </si>
  <si>
    <t>Сообщения о принятии решения о реорганизации от 28.12.2020</t>
  </si>
  <si>
    <t>"223 за 3 года", "свод фт", ".", "УПП на 2 номер", "fk1", "клиенты управления по БГ без открытых счетов", "Премия 4 кв 22 г.бг", "все клиенты с выручкой от 1,8 млрд до бесконечности", "ФК клиенты с выручкой от 230 до бесконечности", "рейтинг по нмц маркер", "на фт заводил Шутов", "на фт заводил Удод", "поставщики маркер", "44 за 3 года"</t>
  </si>
  <si>
    <t>25.21.12.000 Котлы водогрейные центрального отопления для производства горячей воды или пара низкого давления
27.52.12.000 Приборы бытовые прочие, на газовом топливе или на газовом и других видах топлива, на жидком топливе и на твердом топливе</t>
  </si>
  <si>
    <t>За весь период заходили в конкурсы  2 раз на общую сумму обеспеченных контрактов с НМЦ 54 313 740,00 ? с БГУ  2 172 549,60 ? с БГИ 32 588 244,00 ?                                 за 1 ГОД ПО 223ФЗ заключено 1  7 695 000,00 ?</t>
  </si>
  <si>
    <t>51.21.1 Услуги по перевозке грузов воздушным транспортом
52.2 Услуги транспортные вспомогательные
52.29.1 Услуги грузовых транспортно-экспедиционных агентств
50.40.19 Услуги по перевозке грузов внутренним водным транспортом прочие
52.1 Услуги по складированию и хранению
50.20.19 Услуги по заграничным и каботажным перевозкам морскими судами прочих грузов
49.41.1 Услуги по грузовым перевозкам автомобильным транспортом</t>
  </si>
  <si>
    <t>ЗА 3 ГОДА ПО 223 ФЗ заключено 4 шт. с объемом НМЦ 50 000 000,00 ? за 1 ГОД ПО 223ФЗ заключено 1  25 000 000,00 ?</t>
  </si>
  <si>
    <t>"223 за 3 года", "кл фт агент бг 04.22", "свод фт", ".", "fk1", "2. Финтендер 2022 31.03.22 Григорян для СПАРК", "Агентские одобренные но не выданные от 30.08", "филиал бизнес 31.01.22 ", "клиенты с в от100млн 09.21", "лимит сит по кредитам", "все клиенты с выручкой от 1,8 млрд до бесконечности",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"223 фз контракты 20+", "на фт заводил Олейник", "поставщики маркер"</t>
  </si>
  <si>
    <t>21.20.23.110 Реагенты диагностические
21.20.23.113 Средства радиофармацевтические диагностические
21.20.23.199 Средства нелечебные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21.20.10.242 Препараты противогельминтные ****</t>
  </si>
  <si>
    <t>За 3 ГОДА по 44ФЗ заключено 5543 шт. с объемом НМЦ  14 053 585 995,70 ? с БГИ 1 137 287 712,34 ? с БГГО 26 079 055,09 ? с авансированием до 3 013 677,30 ? с комиссией банку 16 247 250,81 ? с кв 141 351,08 ? ЗА 1 ГОД по 44ФЗ заключено 1978 шт. c объемом НМЦ 4 995 896 461,32 ? с БГИ 427 456 742,41 ? с БГГО 1 033,76 ? с авансированием до  1 124 675,24 ? с комиссией банку  6 917 744,66 ? с кв 60 184,38 ? ЗА 3 ГОДА ПО 223 ФЗ заключено 50 шт. с объемом НМЦ 349 163 170,21 ? за 1 ГОД ПО 223ФЗ заключено 20  176 970 590,32 ?</t>
  </si>
  <si>
    <t>"223 за 3 года", ".", "портфель 51",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"44 фз с с БГ от 10 млн", "рейтинг по нмц маркер",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</si>
  <si>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42.13.10.110 Мосты и путепроводы из любых материалов для всех типов сухопутного транспорта и для пешеходов
42.13.10.119 Мосты и путепроводы из любых материалов для всех типов сухопутного транспорта и для пешеходов прочие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
52.21.23.000 Услуги по эксплуатации мостов и тоннелей</t>
  </si>
  <si>
    <t>Гарантия завершена;Заявка отозвана клиентом;Отклонена банком;Отправлена клиенту;Претензия по банковской гарантии
Заявка отозвана
Заявка отозвана клиентом;Отклонена банком
Отправлена клиенту</t>
  </si>
  <si>
    <t>Сообщение кредитора о намерении обратиться в суд с заявлением о банкротстве от 27.03.2023</t>
  </si>
  <si>
    <t>"44 за 3 года", "кл фт прямые бг 04.22", "свод фт", ".", "рейтинг поставщиков в маркере по бг", "Одобренные но не выданные 1 полугодие 2021(прямые)", "ГРАНДИОЗНЫЙ ПРОЕКТ", "УПП на 2 номер", "Конкурсы 100+ (Восстановленный)", "fk1", "кредиты фт", "клиенты управления по БГ без открытых счетов", "клиенты с в от100млн 09.21", "лимит сит по кредитам", "все клиенты с выручкой от 1,8 млрд до бесконечности", "ФК клиенты с выручкой от 230 до бесконечности", "клиенты от 100 млн", "Обороты по клиентам по кварталам (2022г)", "ФТ клиенты с продуктами по сотрудникам", "44 фз с с БГ от 10 млн", "рейтинг по нмц маркер", "на фт заводил Синяев", "поставщики маркер"</t>
  </si>
  <si>
    <t>10.13.14.111 Колбасы (колбаски) вареные мясные
10.13.14.112 Сосиски мясные</t>
  </si>
  <si>
    <t>22.22.14.000 Бутыли, бутылки, флаконы и аналогичные изделия из пластмасс
20.42.1 Средства парфюмерные и косметические
21.20.21.132 Вакцины бактериальные инактивированные профилактические, применяемые в ветеринарии
21.20.23.110 Реагенты диагностические
21.20.23.199 Средства нелечебные прочие
21.20.24.140 Пакеты перевязочные медицинские
20.59.52.140 Среды готовые питательные для выращивания микроорганизмов
20.59.52.199 Реагенты сложные диагностические или лабораторные прочие, не включенные в другие группировки
22.19.50.000 Материалы прорезиненные текстильные, кроме кордных тканей
22.19.71.120 Соски различных типов (в том числе для бутылочек) и аналогичные изделия для детей ****</t>
  </si>
  <si>
    <t>За весь период компания заключила  14 контрактов на сумму  1 712 938 980,74 ?         За 3 ГОДА по 44ФЗ заключено 407 шт. с объемом НМЦ  408 371 451,82 ? с БГИ 19 722 927,19 ? с БГГО 2 658 965,28 ? с авансированием до 199 548,00 ? с комиссией банку 223 473,13 ? с кв 1 944,22 ? ЗА 1 ГОД по 44ФЗ заключено 90 шт. c объемом НМЦ 163 173 136,47 ? с БГИ 8 924 010,61 ? с БГГО 308 371,00 ? с авансированием до  199 548,00 ? с комиссией банку  107 534,48 ? с кв 935,55 ? ЗА 3 ГОДА ПО 223 ФЗ заключено 36 шт. с объемом НМЦ 23 078 293,98 ? за 1 ГОД ПО 223ФЗ заключено 16  10 050 739,63 ?</t>
  </si>
  <si>
    <t>"223 за 3 года", "кл фт прямые бг 04.22", "свод фт", ".", "Субъект в CRM, клиент у нас ФТ", "Евразия(Заболотний)_n (22)", "УПП на 2 номер", "БГИ", "fk1", "клиенты управления по БГ без открытых счетов", "2. Финтендер 2022 31.03.22 Григорян для СПАРК", "БГ ФБ ЮР лица на 01.07.2021", "Премия 4 кв 22 г.бг", "Гарантии ФБ банкроты", "филиал бизнес 31.01.22 ", "лимит сит по кредитам", "все клиенты с выручкой от 1,8 млрд до бесконечности", "портфель", "ФК клиенты с выручкой от 230 до бесконечности", "клиенты от 100 млн", "ФТ клиенты с продуктами по сотрудникам", "рейтинг по нмц маркер", "это заказчик", "на фт заводил Чекин", "на фт заводил Еприкян", "на фт заводил Данченко", "поставщики маркер", "44 за 3 года"</t>
  </si>
  <si>
    <t>68.10.14.000 Услуги по покупке и продаже нежилых зданий и занимаемых ими земельных участков
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24.10.11 Чугун зеркальный и передельный в чушках, болванках или в прочих первичных формах
24.10.6 Прокат сортовой и катанка горячекатаные стальные
68.10.11.000 Услуги по покупке и продаже жилых зданий и занимаемых ими земельных участков
68.20.12.000 Услуги по сдаче в аренду (внаем) собственных или арендованных нежилых помещений</t>
  </si>
  <si>
    <t>За весь период компания заключила  15 контрактов на сумму  1 447 747 285,36 ?</t>
  </si>
  <si>
    <t>28.30.53.000 Прессы для соломы или сена, включая пресс-подборщики
28.30.59.112 Жатки рядковые
28.30.59.111 Комбайны зерноуборочные
29.10.59.130 Средства транспортные для коммунального хозяйства и содержания дорог
28.30.23.110 Тракторы сельскохозяйственные колесные с мощностью двигателя более 59 кВт
29.32.30.390 Части и принадлежности для автотранспортных средств прочие, не включенные в другие группировки
28.30.32.112 Бороны дисковые
28.30.33.111 Сеялки зерновые
28.30.33.119 Сеялки прочие
28.30.51 Косилки (включая устройства режущие для установки на тракторе), не включенные в другие группировки ****</t>
  </si>
  <si>
    <t>За 3 ГОДА по 44ФЗ заключено 11 шт. с объемом НМЦ  154 662 827,86 ? с БГИ 43 539 036,71 ? с БГГО 162 359,60 ? с авансированием до 38 899 499,85 ? с комиссией банку 328 313,17 ? с кв 2 856,32 ? ЗА 1 ГОД по 44ФЗ заключено 3 шт. c объемом НМЦ 93 833 404,33 ? с БГИ 39 571 856,98 ? с БГГО 0,00 ? с авансированием до  38 899 499,85 ? с комиссией банку  323 701,49 ? с кв 2 816,20 ?</t>
  </si>
  <si>
    <t>"44 за 3 года", ".", "все клиенты с выручкой от 1,8 млрд до бесконечности", "44 фз с с БГ от 10 млн", "поставщики маркер"</t>
  </si>
  <si>
    <t>35.11.10.112 Электроэнергия, произведенная теплоэлектроцентралями (ТЭЦ) общего назначения
35.30.11.130 Энергия тепловая, отпущенная электрокотлами
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35.11.10.116 Электроэнергия, произведенная гидроэлектростанциями (ГЭС) общего назначения
35.11.10.119 Электроэнергия, произведенная нетиповыми электростанциями общего назначения ****</t>
  </si>
  <si>
    <t>За весь период компания заключила  1 контрактов на сумму  6 872 529 755,22 ?</t>
  </si>
  <si>
    <t>42.99.12.124 Территории парковые и парки для отдыха
35.30.12.110 Услуги по приготовлению воды на нужды горячего водоснабжения
36.00.20.110 Услуги по очистке и подготовке воды для водоснабжения
36.00.30.000 Услуги по торговле водой, поставляемой по трубопроводам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10.11.32.110 Свинина замороженная
35.30.11.110 Энергия тепловая, отпущенная электростанциями
36.00.20.160 Услуги по подключению (технологическому присоединению) к централизованной системе водоснабжения
01.46.10.500 Свиньи для убоя ****</t>
  </si>
  <si>
    <t>За весь период контрактов 7 шт. на общую сумму НМЦ 470 460 408,80 ?</t>
  </si>
  <si>
    <t>28.22.15 Автопогрузчики с вилочным захватом, прочие погрузчики; тягачи, используемые на платформах железнодорожных станций
28.22.15.120 Погрузчики прочие
28.22.18.246 Погрузчики универсальные сельскохозяйственного назначения
28.92.30 Машины для выемки грунта и строительства прочие
46.63.10.000 Услуги по оптовой торговле машинами и оборудованием для добычи полезных ископаемых и строительства
45.20.21.111 Услуги по регламентным работам (по видам технического обслуживания)
28.22.20.000 Ковши, черпаки, грейферы и захваты для подъемных кранов, экскаваторов и аналогичного оборудования
28.30.23.110 Тракторы сельскохозяйственные колесные с мощностью двигателя более 59 кВт
28.92.30.190 Машины для выемки грунта и строительства прочие, не включенные в другие группировки
28.30.86.120 Оборудование для садоводства, не включенное в другие группировки ****</t>
  </si>
  <si>
    <t>За весь период заходили в конкурсы  3 раз на общую сумму обеспеченных контрактов с НМЦ 252 275 720,24 ? с БГУ  10 142 500,00 ? с БГИ 35 550 000,00 ?</t>
  </si>
  <si>
    <t>21.20.10.118 Препараты, способствующие пищеварению, включая ферментные препараты
21.20.10.241 Препараты противопротозойные
21.20.10 Препараты лекарственные
21.20.10.111 Препараты стоматологические
21.20.10.194 Препараты противовирусные для системного применения
21.20.10.119 Препараты для лечения сахарного диабета
21.20.10.169 Препараты для лечения заболеваний кожи прочие
21.20.21.120 Вакцины, анатоксины и токсины, применяемые в медицине
21.20.10.254 Препараты для лечения обструктивных заболеваний дыхательных путей
21.20.10.117 Препараты для лечения ожирения (исключая диетические продукты) ****</t>
  </si>
  <si>
    <t>За весь период компания заключила  16 контрактов на сумму  16 983 235 000,63 ? За весь период заходили в конкурсы  29 раз на общую сумму обеспеченных контрактов с НМЦ 18 513 639 426,19 ? с БГУ  185 629 127,29 ? с БГИ 1 853 849 724,68 ? За 3 ГОДА по 44ФЗ заключено 93 шт. с объемом НМЦ  15 400 349 848,14 ? с БГИ 1 519 710 968,14 ? с БГГО 0,00 ? с авансированием до 0,00 ? с комиссией банку 41 458 791,08 ? с кв 360 691,48 ? ЗА 1 ГОД по 44ФЗ заключено 43 шт. c объемом НМЦ 10 533 383 997,55 ? с БГИ 1 047 470 624,51 ? с БГГО 0,00 ? с авансированием до  0,00 ? с комиссией банку  13 408 991,56 ? с кв 116 658,23 ?</t>
  </si>
  <si>
    <t>"223 за 3 года", ".", "рейтинг поставщиков в маркере по бг", "беники", "Конкурсы 100+ (Восстановленный)", "все клиенты с выручкой от 1,8 млрд до бесконечности", "44 фз с с БГ от 10 млн", "производители", "рейтинг по нмц маркер", "44 за 3 года"</t>
  </si>
  <si>
    <t>"на фт заводил Данченко", "."</t>
  </si>
  <si>
    <t>21.20.23.110 Реагенты диагностические
21.20.23.199 Средства нелечебные прочие
20.59.52.199 Реагенты сложные диагностические или лабораторные прочие, не включенные в другие группировки
20.20.14.000 Средства дезинфекционные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t>
  </si>
  <si>
    <t>За весь период компания заключила  10 контрактов на сумму  1 433 281 032,85 ? За весь период заходили в конкурсы  19 раз на общую сумму обеспеченных контрактов с НМЦ 2 411 826 624,28 ? с БГУ  71 456 782,22 ? с БГИ 237 308 077,32 ? За 3 ГОДА по 44ФЗ заключено 1198 шт. с объемом НМЦ  3 082 811 626,93 ? с БГИ 283 509 516,82 ? с БГГО 16 165 809,64 ? с авансированием до 0,00 ? с комиссией банку 3 835 734,87 ? с кв 33 370,89 ? ЗА 1 ГОД по 44ФЗ заключено 430 шт. c объемом НМЦ 1 187 097 115,34 ? с БГИ 110 349 583,29 ? с БГГО 1 197 997,60 ? с авансированием до  0,00 ? с комиссией банку  1 374 320,92 ? с кв 11 956,59 ? ЗА 3 ГОДА ПО 223 ФЗ заключено 26 шт. с объемом НМЦ 142 369 932,95 ? за 1 ГОД ПО 223ФЗ заключено 5  13 671 278,72 ?</t>
  </si>
  <si>
    <t>"223 за 3 года", ".", "рейтинг поставщиков в маркере по бг", "fk1",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 "44 за 3 года"</t>
  </si>
  <si>
    <t>42.12.20.190 Работы строительные по строительству наземных и подземных железных дорог прочие, не включенные в другие группировки</t>
  </si>
  <si>
    <t>3 473</t>
  </si>
  <si>
    <t>За весь период компания заключила  2 контрактов на сумму  2 815 052 266,73 ?</t>
  </si>
  <si>
    <t>"рейтинг по нмц маркер", ".", "рейтинг заказчиков маркер", "производители"</t>
  </si>
  <si>
    <t>20.42.1 Средства парфюмерные и косметические</t>
  </si>
  <si>
    <t>25.11 Металлоконструкции строительные и их части
25.11.23 Конструкции и детали конструкций прочие, листы, прутки, уголки, профили и аналогичные изделия из черных металлов или алюминия
25.29.11.900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прочие
25.11.23.114 Конструкции и детали гидротехнических сооружений из черных металлов</t>
  </si>
  <si>
    <t>За весь период компания заключила  2 контрактов на сумму  557 915 011,50 ?</t>
  </si>
  <si>
    <t>"поставщики маркер", ".", "выдали", "fk1", "Кредитный портфель_01.11", "корп 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t>
  </si>
  <si>
    <t>"Участники клиринга", ".", "fk1", "ПОС на 01.02.2023", "ПОС на 03.04.2023", "Кредитный портфель_01.11", "06.2022_ФинХД", "Обороты по клиентам по кварталам (2022г)"</t>
  </si>
  <si>
    <t>19.20.21.315 Топливо дизельное летнее экологического класса К5
19.20.21.300 Топливо дизельное
19.20.25.112 Топливо для реактивных двигателей летательных аппаратов с дозвуковой скоростью полета марки ТС-1</t>
  </si>
  <si>
    <t>ЗА 3 ГОДА ПО 223 ФЗ заключено 1 шт. с объемом НМЦ 128 589 974,58 ?</t>
  </si>
  <si>
    <t>"223 за 3 года", ".", "fk1", "все клиенты с выручкой от 1,8 млрд до бесконечности", "Участники клиринга", "рейтинг по нмц маркер", "поставщики маркер"</t>
  </si>
  <si>
    <t>19.20.28.112 Мазут с массовой долей серы не более 3,5 % с температурой вспышки в открытом тигле не ниже 90 °C, с содержанием сероводорода не более 20 ppm, но более 10 ppm
42.11 Дороги автомобильные и автомагистрали; строительные работы по строительству автомобильных дорог и автомагистралей
19.20.21.321 Топливо дизельное зимнее вне классов
19.20.21.100 Бензин автомобильный
19.20.42.121 Битумы нефтяные дорожные
19 Кокс и нефтепродукты
19.20.21.125 Бензин автомобильный с октановым числом более 92, но не более 95 по исследовательскому методу экологического класса К5
19.20.26 Газойли
19.20.21.120 Бензин автомобильный с октановым числом более 92, но не более 95 по исследовательскому методу
19.20.21.135 Бензин автомобильный с октановым числом более 95, но не более 98 по исследовательскому методу экологического класса К5 ****</t>
  </si>
  <si>
    <t>За весь период заходили в конкурсы  5 раз на общую сумму обеспеченных контрактов с НМЦ 448 577 305,25 ? с БГУ  19 818 028,50 ? с БГИ 63 992 967,50 ?                             ЗА 3 ГОДА ПО 223 ФЗ заключено 25 шт. с объемом НМЦ 1 034 684 172,70 ? за 1 ГОД ПО 223ФЗ заключено 11  941 527 800,46 ?</t>
  </si>
  <si>
    <t>"223 за 3 года", "свод фт", ".", "рейтинг поставщиков в маркере по бг", "все клиенты с выручкой от 1,8 млрд до бесконечности", "Участники клиринга", "223 фз контракты 20+", "производители", "рейтинг по нмц маркер", "на фт заводил Злобина", "на фт заводил Багаев", "на фт заводил Алиев", "поставщики маркер", "44 за 3 года"</t>
  </si>
  <si>
    <t>52.29.19 Услуги грузовых транспортно-экспедиционных агентств прочие
19.20.28.100 Мазут</t>
  </si>
  <si>
    <t>"поставщики маркер", ".", "fk1", "рейтинг заказчиков маркер"</t>
  </si>
  <si>
    <t>ПОС на 03.04.3578</t>
  </si>
  <si>
    <t>"поставщики маркер", ".", "fk1", "ПОС на 01.02.2023", "ПОС на 03.04.2023", "Кредитный портфель_01.11", "06.2022_ФинХД", "все клиенты с выручкой от 1,8 млрд до бесконечности", "клиенты от 100 млн", "Обороты по клиентам по кварталам (2022г)"</t>
  </si>
  <si>
    <t>37.00.11.110 Услуги по водоотведению сточных вод
36.00.20.110 Услуги по очистке и подготовке воды для водоснабжения
35.30.11.120 Энергия тепловая, отпущенная котельными
37.00.11.130 Услуги по подключению (технологическому присоединению) к централизованной системе водоотведения
35.30.11.111 Энергия тепловая, отпущенная тепловыми электроцентралями (ТЭЦ)
68.20.12.000 Услуги по сдаче в аренду (внаем) собственных или арендованных нежилых помещений
36.00.20.130 Услуги по транспортированию и распределению воды по водопроводам</t>
  </si>
  <si>
    <t>1 144</t>
  </si>
  <si>
    <t>За весь период компания заключила  2 контрактов на сумму  23 200 000 000,00 ?</t>
  </si>
  <si>
    <t>21.20.10.191 Препараты антибактериальные для системного использования
21.20.10.213 Иммуномодуляторы
21.20.10.132 Гемостатики
21.20.10.194 Препараты противовирусные для системного применения
26.60.11.113 Аппараты рентгенографические
26.60.12.119 Аппараты электродиагностические прочие
21.20.21.110 Сыворотки иммунные
21.20.21.120 Вакцины, анатоксины и токсины, применяемые в медицине
21.20.21.125 Вакцины вирусные инактивированные, применяемые в медицине
26.60.12.132 Аппараты ультразвукового сканирования ****</t>
  </si>
  <si>
    <t>За весь период компания заключила  98 контрактов на сумму  122 357 987 186,80 ? За весь период заходили в конкурсы  178 раз на общую сумму обеспеченных контрактов с НМЦ 103 571 944 862,96 ? с БГУ  840 751 862,97 ? с БГИ 11 736 246 338,82 ? За 3 ГОДА по 44ФЗ заключено 28 шт. с объемом НМЦ  2 197 634 420,14 ? с БГИ 164 222 029,50 ? с БГГО 0,00 ? с авансированием до 0,00 ? с комиссией банку 3 960 885,57 ? с кв 34 459,70 ? ЗА 1 ГОД по 44ФЗ заключено 10 шт. c объемом НМЦ 551 779 019,14 ? с БГИ 55 177 901,93 ? с БГГО 0,00 ? с авансированием до  0,00 ? с комиссией банку  2 925 951,35 ? с кв 25 455,78 ?</t>
  </si>
  <si>
    <t>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63.11.19.000 Услуги прочие по размещению и предоставлению инфраструктуры информационных технологий</t>
  </si>
  <si>
    <t>ЗА 3 ГОДА ПО 223 ФЗ заключено 8 шт. с объемом НМЦ 22 571 040,00 ? за 1 ГОД ПО 223ФЗ заключено 8  32 440 320,00 ?</t>
  </si>
  <si>
    <t>60.20 Услуги в области телевизионного вещания
60.20.11.000 Услуги по составлению телепрограмм и вещанию в режиме on-line, кроме программ, доступных только на основе подписки
61.20 Услуги телекоммуникационные беспроводные
61.30.20.000 Услуги спутниковой связи для целей телевизионного и радиовещания
61.30.20 Услуги спутниковой связи для целей теле- и радиовещания
60.20.31.000 Программы телеканалов, кроме телевидения, доступного только по подписке
61.20.50.110 Услуги связи для целей эфирного вещания
61.90.10.160 Услуги связи по предоставлению каналов связи</t>
  </si>
  <si>
    <t>ЗА 3 ГОДА ПО 223 ФЗ заключено 2 шт. с объемом НМЦ 52 980 000,00 ? за 1 ГОД ПО 223ФЗ заключено 1  24 780 000,00 ?</t>
  </si>
  <si>
    <t>"223 за 3 года", ".", "223 фз контракты 20+", "это заказчик", "поставщики маркер", "44 за 3 года"</t>
  </si>
  <si>
    <t>19.20.21.310 Топливо дизельное летнее
50.20.2 Услуги по аренде морских судов заграничного и каботажного плавания для перевозки грузов с экипажем; услуги по буксировке и маневровые услуги
19.20.21.400 Топливо судовое
19.20.21.315 Топливо дизельное летнее экологического класса К5
19.20.21.320 Топливо дизельное зимнее
19.20.21.325 Топливо дизельное зимнее экологического класса К5
50 Услуги водного транспорта</t>
  </si>
  <si>
    <t>За весь период компания заключила  4 контрактов на сумму  675 616 334,80 ?                                     ЗА 3 ГОДА ПО 223 ФЗ заключено 3 шт. с объемом НМЦ 82 619 800,00 ?</t>
  </si>
  <si>
    <t>"223 за 3 года", "свод фт", ".", "клиенты без менеджера в банке", "fk1", "кредиты фт", "Пункт 3 09.01.23", "лимит сит по кредитам", "Пустые_Клиенты", "производители", "рейтинг по нмц маркер", "на фт заводил Еприкян"</t>
  </si>
  <si>
    <t>49.20 Услуги железнодорожного транспорта по перевозке грузов
10.61.21.113 Мука пшеничная хлебопекарная высшего сорта
10.61 Продукция мукомольно-крупяного производства
01.11.32.111 Зерно озимой ржи
10.61.21.114 Мука пшеничная хлебопекарная первого сорта</t>
  </si>
  <si>
    <t>За 3 года по 223ФЗ заключено  8 шт контрактов на сумму 48 950 996,00 ?</t>
  </si>
  <si>
    <t>Сообщение кредитора о намерении обратиться в суд с заявлением о банкротстве от 09.06.2018</t>
  </si>
  <si>
    <t>за 1 ГОД ПО 223ФЗ заключено 1  6 801 663,84 ?</t>
  </si>
  <si>
    <t>61.10.43 Услуги по широкополосному доступу к информационно-коммуникационной сети Интернет по проводным сетям
41.20.20.390 Сооружения топливо-энергетических предприятий прочие, не включенные в другие группировки
26.30.11.110 Средства связи, выполняющие функцию систем коммутации</t>
  </si>
  <si>
    <t>"поставщики маркер", ".", "fk1", "рейтинг заказчиков маркер", "производители", "рейтинг по нмц маркер", "это заказчик"</t>
  </si>
  <si>
    <t>30.20.33.110 Вагоны грузовые магистральные широкой колеи
30.20.91 Услуги по восстановлению и оснащению (завершению) железнодорожных локомотивов, трамвайных моторных вагонов и прочего подвижного состава
30.20.40.143 Комплектующие (запасные части) железнодорожных грузовых вагонов, не имеющие самостоятельных группировок
30.20.9 Услуги по восстановлению и переоборудованию (комплектованию) железнодорожных и трамвайных локомотивов и подвижного состава; операции процесса производства железнодорожных локомотивов и прочего подвижного состава отдельные, выполняемые субподрядчиком
26.51.9 Услуги по производству оборудования для измерения, испытаний и навигации отдельные, выполняемые субподрядчиком
33.17.11 Услуги по ремонту и техническому обслуживанию железнодорожных локомотивов и подвижного состава
33.17.19.000 Услуги по ремонту и техническому обслуживанию прочих транспортных средств и оборудования, не включенных в другие группировки</t>
  </si>
  <si>
    <t>9 085</t>
  </si>
  <si>
    <t>За весь период компания заключила  7 контрактов на сумму  1 467 172 869,95 ?                                     ЗА 3 ГОДА ПО 223 ФЗ заключено 14 шт. с объемом НМЦ 491 286 086,98 ? за 1 ГОД ПО 223ФЗ заключено 3  19 165 616,99 ?</t>
  </si>
  <si>
    <t>"223 за 3 года", ".", "fk1", "райф", "все клиенты с выручкой от 1,8 млрд до бесконечности", "рейтинг заказчиков маркер", "производители", "рейтинг по нмц маркер", "это заказчик", "поставщики маркер"</t>
  </si>
  <si>
    <t>82.30.11.000 Услуги по организации конференций
82.30.12.000 Услуги по организации торговых выставок</t>
  </si>
  <si>
    <t>За весь период контрактов 1 шт. на общую сумму НМЦ 3 975 579 956,00 ?</t>
  </si>
  <si>
    <t>"поставщики маркер", ".", "рейтинг поставщиков в маркере по бг", "лимит сит по кредитам", "Пустые_Клиенты", "рейтинг заказчиков маркер", "рейтинг по нмц маркер", "это заказчик"</t>
  </si>
  <si>
    <t>1 393</t>
  </si>
  <si>
    <t>За весь период контрактов 10 шт. на общую сумму НМЦ 9 143 072 082,07 ?</t>
  </si>
  <si>
    <t>Сообщение кредитора о намерении обратиться в суд с заявлением о банкротстве от 29.10.2020</t>
  </si>
  <si>
    <t>"поставщики маркер", ".", "нокс счета", "портфель 31.10.2021_10 тыс_проверка", "производители", "рейтинг по нмц маркер"</t>
  </si>
  <si>
    <t>За год заключили по 223фз 2 контракта(ов) на сумму  14 040 000,00 ?</t>
  </si>
  <si>
    <t>"клиенты от 100 млн", ".", "fk1", "корп 2", "Кредитный портфель_01.11", "06.2022_ФинХД", "все клиенты с выручкой от 1,8 млрд до бесконечности", "ФК клиенты с выручкой от 230 до бесконечности"</t>
  </si>
  <si>
    <t>На 15.05.2023 15:51 имеются действующие решения ФНС о приостановлении операций по счетам, Сообщение кредитора о намерении обратиться в суд с заявлением о банкротстве от 11.05.2023</t>
  </si>
  <si>
    <t>"поставщики маркер", ".", "производители", "это заказчик", "crm управления", "в crm за Еприкяном"</t>
  </si>
  <si>
    <t>71.12.20.190 Услуги по руководству строительными проектами прочие</t>
  </si>
  <si>
    <t>Сообщения о принятии решения о реорганизации от 18.11.2021</t>
  </si>
  <si>
    <t>"поставщики маркер", "кл фт агент бг 04.22", ".", "fk1", "2. Финтендер 2022 31.03.22 Григорян для СПАРК", "клиенты от 100 млн", "действующие б не прям", "Обороты по клиентам по кварталам (2022г)", "ФТ клиенты с продуктами по сотрудникам"</t>
  </si>
  <si>
    <t>42.21.22.120 Работы строительные по прокладке местных трубопроводов горячей воды
43.99.90.190 Работы строительные специализированные прочие, не включенные в другие группировки
42.21.13.126 Сооружение очистное канализации
43.21.10 Работы электромонтажные
42.21.22.190 Работы строительные по прокладке местных трубопроводов прочих жидкостей и газов
43.12.11.120 Работы по подготовке строительного участка для последующих строительных работ, включая буровзрывные работы и работы по удалению скальных пород
42.21.13.190 Системы оросительные (каналы); водоводы и водопроводные конструкции; водоочистные станции, станции очистки сточных вод и насосные станции прочие
43.22.12.110 Работы по монтажу отопительного оборудования (электрического, газового, нефтяного, неэлектрических солнечных коллекторов)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42.21.21.000 Работы строительные по прокладке магистральных трубопроводов ****</t>
  </si>
  <si>
    <t>За весь период компания заключила  36 контрактов на сумму  23 702 794 892,84 ? За весь период заходили в конкурсы  7 раз на общую сумму обеспеченных контрактов с НМЦ 13 529 394 589,40 ? с БГУ  145 405 549,46 ? с БГИ 2 884 827 913,63 ? За 3 ГОДА по 44ФЗ заключено 5 шт. с объемом НМЦ  2 598 172 493,20 ? с БГИ 771 735 188,16 ? с БГГО 770 190 076,20 ? с авансированием до 0,00 ? с комиссией банку 40 641 691,90 ? с кв 353 582,72 ?</t>
  </si>
  <si>
    <t>Сообщение кредитора о намерении обратиться в суд с заявлением о банкротстве от 22.02.2019</t>
  </si>
  <si>
    <t>"44 за 3 года", "кл фт агент бг 04.22", "свод фт", ".", "рейтинг поставщиков в маркере по бг", "Агентские отказ из-за непред-я док-ов", "fk1", "Гарантии ФБ банкроты", "филиал бизнес 31.01.22 ", "Пункт 3 09.01.23",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"производители", "рейтинг по нмц маркер", "это заказчик", "на фт заводил Бесков", "crm управления", "в crm за Эльшаном", "в crm за Курилиным", "поставщики маркер"</t>
  </si>
  <si>
    <t>43.99.9 Работы строительные специализированные, не включенные в другие группировки
42.21.21.000 Работы строительные по прокладке магистральных трубопроводов
43 Работы строительные специализированные
43.22.11.190 Работы по монтажу водопроводных и канализационных систем прочие, не включенные в другие группировки
42 Сооружения и строительные работы в области гражданского строительства
42.21.22.110 Работы строительные по прокладке местных трубопроводов воды или сточных вод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</si>
  <si>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6 контрактов на сумму  1 438 741 994,02 ? За весь период заходили в конкурсы  8 раз на общую сумму обеспеченных контрактов с НМЦ 1 928 410 120,34 ? с БГУ  43 566 206,31 ? с БГИ 315 609 344,61 ?                             ЗА 3 ГОДА ПО 223 ФЗ заключено 4 шт. с объемом НМЦ 1 180 707 612,00 ?</t>
  </si>
  <si>
    <t>"223 за 3 года", "кл фт ФК ВКЛ/РКО 04.22", "кл фт ФК БГ 04.22", "кл фт агент ВКЛ/РКО 04.22", "кл фт агент бг 04.22", "свод фт", ".", "рейтинг поставщиков в маркере по бг", "fk1", "кредиты фт", "2. Финтендер 2022 31.03.22 Григорян для СПАРК", "БГ ФБ ЮР лица на 01.07.2021", "Гарантии ФБ банкроты", "филиал бизнес 31.01.22 ", "Банкроты ФБ 28.04.2023", "Ссуды ФБ 29.04.2022 банкр.", "АИЛ портфель", "закрыли счет", "Пункт 3 09.01.23", "лимит сит по кредитам", "все клиенты с выручкой от 1,8 млрд до бесконечности", "филиал бизнес 01.03.22", "филиал бизнес 22.11",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"рейтинг по нмц маркер", "на фт заводил Алиев", "поставщики маркер", "44 за 3 года"</t>
  </si>
  <si>
    <t>71.12 Услуги в области инженерно-технического проектирования и связанные технические консультативные услуги
42.21 Сооружения и строительные работы по строительству инженерных коммуникаций для жидкостей и газов
43.99 Работы строительные специализированные, не включенные в другие группировки
42.21.21 Работы строительные по прокладке магистральных трубопроводов</t>
  </si>
  <si>
    <t>"поставщики маркер", ".", "ушедший портфель", "fk1", "ИНН 3 года - нет КД БГ на 01.10.22", "Список ушедший ",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t>
  </si>
  <si>
    <t>27.90.33.110 Комплектующие (запасные части) прочего электрического оборудования, не имеющие самостоятельных группировок
21.20.23.199 Средства нелечебные прочие
21.20.24.140 Пакеты перевязочные медицинские
21.10.60.191 Продукты человеческого или животного происхождения для терапевтического или профилактического использования прочие
32.50.13.190 Инструменты и приспособления, применяемые в медицинских целях, прочие, не включенные в другие группировки
32.50.21.112 Оборудование терапевтические
32.50.21.121 Аппараты для ингаляционного наркоза
32.50.21.122 Аппараты дыхательные реанимационные
32.50.22.190 Протезы органов человека, не включенные в другие группировки
32.50.50.110 Сшивающие аппараты ****</t>
  </si>
  <si>
    <t>За весь период заходили в конкурсы  2 раз на общую сумму обеспеченных контрактов с НМЦ 49 910 900,00 ? с БГУ  5 000 000,00 ? с БГИ 10 000 000,00 ? За 3 ГОДА по 44ФЗ заключено 448 шт. с объемом НМЦ  1 227 017 231,00 ? с БГИ 117 458 370,04 ? с БГГО 12 169 094,95 ? с авансированием до 12 548 588,42 ? с комиссией банку 1 726 973,12 ? с кв 15 024,67 ? ЗА 1 ГОД по 44ФЗ заключено 199 шт. c объемом НМЦ 494 997 983,85 ? с БГИ 47 604 517,49 ? с БГГО 1 564 551,17 ? с авансированием до  12 516 781,18 ? с комиссией банку  587 272,01 ? с кв 5 109,27 ?</t>
  </si>
  <si>
    <t>10.82 Какао, шоколад и изделия кондитерские сахаристые
10.72 Изделия сухарные и печенье; мучные кондитерские изделия, торты и пирожные длительного хранения</t>
  </si>
  <si>
    <t>27.40 Оборудование электрическое осветительное
27.40.15.150 Лампы светодиодные
32.99.53.110 Оборудование для обучения трудовым процессам
27.9 Оборудование электрическое прочее</t>
  </si>
  <si>
    <t>"223 за 3 года", ".", "все клиенты с выручкой от 1,8 млрд до бесконечности", "ФК клиенты с выручкой от 230 до бесконечности", "поставщики маркер"</t>
  </si>
  <si>
    <t>"производители", ".", "портфель 51", "fk1", "корп 1", "06.2022_ФинХД", "все клиенты с выручкой от 1,8 млрд до бесконечности", "ФК клиенты с выручкой от 230 до бесконечности", "клиенты от 100 млн"</t>
  </si>
  <si>
    <t>17.12.35.000 Тест-лайнер (картон регенерированный для плоских слоев гофрированного картона)
17.12.33 Бумага для гофрирования из полуцеллюлозы
17.1 Целлюлоза, бумага и картон
17.12.73.140 Картон, используемый для письма, печати или прочих графических целей, мелованный каолином или прочими неорганическими веществами
17.12 Бумага и картон
17.12.14.111 Бумага типографская
17.12.14.112 Бумага офсетная
46.76.11 Услуги по оптовой торговле бумагой и картоном</t>
  </si>
  <si>
    <t>ЗА 3 ГОДА ПО 223 ФЗ заключено 28 шт. с объемом НМЦ 42 498 730,00 ? за 1 ГОД ПО 223ФЗ заключено 6  12 596 820,00 ?</t>
  </si>
  <si>
    <t>52.24.1 Услуги по обработке грузов</t>
  </si>
  <si>
    <t>За весь период компания заключила  4 контрактов на сумму  28 952 998 724,00 ?</t>
  </si>
  <si>
    <t>"это заказчик", ".", "все клиенты с выручкой от 1,8 млрд до бесконечности", "рейтинг по нмц маркер"</t>
  </si>
  <si>
    <t>19.20.28.113 Мазут с массовой долей серы не более 3,5 % с температурой вспышки в открытом тигле не ниже 90 °C, с содержанием сероводорода не более 10 ppm</t>
  </si>
  <si>
    <t>За весь период компания заключила  3 контрактов на сумму  707 071 849,99 ? За весь период заходили в конкурсы  1 раз на общую сумму обеспеченных контрактов с НМЦ 63 656 249,99 ? с БГУ  1 968 750,00 ? с БГИ 19 687 500,00 ?                             ЗА 3 ГОДА ПО 223 ФЗ заключено 2 шт. с объемом НМЦ 596 434 363,68 ?</t>
  </si>
  <si>
    <t>"223 за 3 года", ".", "рейтинг поставщиков в маркере по бг", "Участники клиринга", "производители", "рейтинг по нмц маркер", "поставщики маркер"</t>
  </si>
  <si>
    <t>38.11.19.000 Услуги по сбору прочих неопасных отходов, пригодных для повторного использования
38.22.29.000 Услуги по утилизации прочих опасных отходов
38.22.21.100 Услуги по сбору и сортировке удаляемых радиоактивных отходов
38.11.31.000 Отходы неопасные бытовые, непригодные для повторного использования
81.21.10.000 Услуги по общей уборке зданий
81.29.12.000 Услуги по подметанию и уборке снега
38.11.21.000 Услуги по сбору неопасных отходов городского хозяйства, непригодных для повторного использования
81.29.13.000 Услуги санитарно-гигиенические прочие
38.11 Отходы неопасные; услуги по сбору неопасных отходов
38.11.29 Услуги по сбору прочих неопасных отходов, непригодных для повторного использования ****</t>
  </si>
  <si>
    <t>ЗА 3 ГОДА ПО 223 ФЗ заключено 26 шт. с объемом НМЦ 34 954 154,94 ? за 1 ГОД ПО 223ФЗ заключено 18  23 399 055,46 ?</t>
  </si>
  <si>
    <t>"в crm за Синяевым ", "crm управления"</t>
  </si>
  <si>
    <t>На 11.05.2023 09:12 имеются действующие решения ФНС о приостановлении операций по счетам, Юридическим лицом принято решение об изменении места нахождения от 19.07.2022, Сообщение кредитора о намерении обратиться в суд с заявлением о банкротстве от 09.11.2022</t>
  </si>
  <si>
    <t>"в crm за Синяевым ", ".", "это заказчик", "crm управления"</t>
  </si>
  <si>
    <t>28.25.12 Оборудование для кондиционирования воздуха
28.99 Оборудование специального назначения прочее, не включенное в другие группировки</t>
  </si>
  <si>
    <t>"поставщики маркер",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t>
  </si>
  <si>
    <t>"ушедшие", ".", "fk1"</t>
  </si>
  <si>
    <t>10.32.1 Соки из фруктов и овощей
46.34.11 Услуги по оптовой торговле соками, минеральной водой и прочими безалкогольными напитками
11.07.1 Воды минеральные и безалкогольные напитки
46.32.11 Услуги по оптовой торговле мясом (включая мясо птицы)
10.32.16.120 Сок яблочный восстановленный
46.34.1 Услуги по оптовой торговле алкогольными и другими напитками</t>
  </si>
  <si>
    <t>"поставщики маркер", ".", "ушедший портфель", "fk1", "ИНН 3 года - нет КД БГ на 01.10.22", "Список ушедший ", "ПОС на 03.04.2023",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</si>
  <si>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20.13.24.149 Кислоты неорганические прочие, не включенные в другие группировки
20.13.6 Вещества химические неорганические основные прочие
20.14.71.151 Скипидар живичный
20.14.23.112 Пропиленгликоль (пропан-1,2-диол)
20.30.21.120 Глушители стекла
27.90.12.110 Изоляторы электрические
22.19.20.111 Смеси резиновые
20.14.4 Органические соединения с азотсодержащими функциональными группами
20.59.42.120 Присадки к топливу
20.16.40.130 Смолы эпоксидные в первичных формах ****</t>
  </si>
  <si>
    <t>За весь период компания заключила  6 контрактов на сумму  671 342 671,83 ?                                     ЗА 3 ГОДА ПО 223 ФЗ заключено 1 шт. с объемом НМЦ 51 482 822,40 ? за 1 ГОД ПО 223ФЗ заключено 1  51 482 822,40 ?</t>
  </si>
  <si>
    <t>"223 за 3 года", ".", "все клиенты с выручкой от 1,8 млрд до бесконечности", "223 фз контракты 20+", "рейтинг по нмц маркер", "это заказчик", "поставщики маркер", "44 за 3 года"</t>
  </si>
  <si>
    <t>32.50.13.190 Инструменты и приспособления, применяемые в медицинских целях, прочие, не включенные в другие группировки
21.20.24.160 Материалы перевязочные и аналогичные изделия, в том числе пропитанные или покрытые лекарственными средствами
21.20.24.150 Изделия медицинские ватно-марлевые
32.50.13.110 Шприцы, иглы, катетеры, канюли и аналогичные инструменты
21.20.24.110 Материалы клейкие перевязочные</t>
  </si>
  <si>
    <t>10.86.10.195 Продукция детского питания безлактозная
10.86.10.243 Соки фруктовые и фруктово-овощные для детского питания
10.86.10.135 Смеси кисломолочные сухие для детей раннего возраста
10.86.10.139 Смеси молочные сухие прочие для детей раннего возраста
10.86.10.211 Консервы на овощной основе, овоще-фруктовой основах гомогенизированные для детского питания
10.32.17.130 Смеси фруктовых и овощных соков
10.86.10.661 Консервы мясные гомогенизированные для детского питания
10.86.10.671 Консервы мясосодержащие гомогенизированные для детского питания
10.86.10.100 Продукция молочная для детского питания
10.86.10.133 Смеси молочные адаптированные (заменители женского молока), в том числе начальные, сухие для детей раннего возраста ****</t>
  </si>
  <si>
    <t>За весь период компания заключила  5 контрактов на сумму  2 027 943 595,06 ? За весь период заходили в конкурсы  6 раз на общую сумму обеспеченных контрактов с НМЦ 2 298 942 039,06 ? с БГУ  113 129 638,92 ? с БГИ 392 689 290,25 ?</t>
  </si>
  <si>
    <t>68.20.11 Услуги по сдаче в аренду (внаем) собственных или арендованных жилых помещений</t>
  </si>
  <si>
    <t>"поставщики маркер", ".", "fk1", "ушедшие", "клиенты с в от100млн 09.21", "все клиенты с выручкой от 1,8 млрд до бесконечности", "ФК клиенты с выручкой от 230 до бесконечности"</t>
  </si>
  <si>
    <t>88.99.19.000 Услуги социальные без обеспечения проживания прочие, не включенные в другие группировки
32.50.13.190 Инструменты и приспособления, применяемые в медицинских целях, прочие, не включенные в другие группировки
32.50.21.112 Оборудование терапевтические
32.50.22.121 Протезы внешние
32.50.22.125 Корсеты, реклинаторы, обтураторы
32.50.22.128 Костыли
32.50.22.190 Протезы органов человека, не включенные в другие группировки
32.50.23.120 Отделочные (косметические) элементы протезов
32.50.22.123 Туторы верхних конечностей
32.50.22.124 Туторы нижних конечностей ****</t>
  </si>
  <si>
    <t>3 319</t>
  </si>
  <si>
    <t>За весь период компания заключила  48 контрактов на сумму  2 929 813 709,66 ? За весь период заходили в конкурсы  155 раз на общую сумму обеспеченных контрактов с НМЦ 7 479 419 224,31 ? с БГУ  211 752 623,45 ? с БГИ 2 179 087 847,55 ? За 3 ГОДА по 44ФЗ заключено 1850 шт. с объемом НМЦ  6 664 295 822,72 ? с БГИ 1 732 462 613,55 ? с БГГО 166 159 193,10 ? с авансированием до 38 445 310,69 ? с комиссией банку 18 843 740,63 ? с кв 163 940,54 ? ЗА 1 ГОД по 44ФЗ заключено 1273 шт. c объемом НМЦ 4 603 006 864,62 ? с БГИ 1 202 664 319,17 ? с БГГО 113 785 975,57 ? с авансированием до  45 974 662,99 ? с комиссией банку  13 725 518,45 ? с кв 119 412,01 ?</t>
  </si>
  <si>
    <t>"44 за 3 года", "кл фт ФК БГ 04.22", "кл фт агент бг 04.22", ".", "рейтинг поставщиков в маркере по бг", "гарантии, остаток на внебалансе равен нулю", "БГИ", "Конкурсы 100+ (Восстановленный)", "fk1", "БГ ФБ ЮР лица на 01.07.2021", "Гарантии ФБ банкроты", "филиал бизнес 31.01.22 ",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"44 фз с с БГ от 10 млн", "Все БГ Держава ", "рейтинг заказчиков маркер", "производители", "рейтинг по нмц маркер", "это заказчик", "поставщики маркер"</t>
  </si>
  <si>
    <t>46.72 Услуги по оптовой торговле металлами и металлическими рудами</t>
  </si>
  <si>
    <t>"на фт заводил Тихонов ", "свод фт", ".", "ушедший портфель", "ИНН 3 года - нет КД БГ на 01.10.22", "Список ушедший ", "корп 1", "Пустые_Ушедшие_Клиенты", "лимит сит по кредитам", "все клиенты с выручкой от 1,8 млрд до бесконечности", "ФК клиенты с выручкой от 230 до бесконечности"</t>
  </si>
  <si>
    <t>32.99.11.120 Респираторы</t>
  </si>
  <si>
    <t>1 550</t>
  </si>
  <si>
    <t>"ФК клиенты с выручкой от 230 до бесконечности", ".", "ушедший портфель", "ИНН 3 года - нет КД БГ на 01.10.22", "Список ушедший ", "ушедшие", "клиенты с в от100млн 09.21", "все клиенты с выручкой от 1,8 млрд до бесконечности"</t>
  </si>
  <si>
    <t>62.01 Продукты программные и услуги по разработке и тестированию программного обеспечения
62.02.30 Услуги по технической поддержке информационных технологий
62 Продукты программные и услуги по разработке программного обеспечения; консультационные и аналогичные услуги в области информационных технологий
62.01.12.000 Услуги по проектированию и разработке информационных технологий для сетей и систем</t>
  </si>
  <si>
    <t>За весь период компания заключила  13 контрактов на сумму  24 170 495 004,19 ?</t>
  </si>
  <si>
    <t>08.12.11.193 Пески кварц-полевошпатовые
08.12.12 Гранулы, крошка и порошок; галька, гравий
08.1 Камень, песок и глина
08.12.11.110 Пески кремнистые
08.12.11 Пески природные
08.12.12.110 Гранулы каменные, крошка и порошок
08.12.1 Гравий и песок
08.12.11.190 Пески природные, не включенные в другие группировки
08.12.12.140 Щебень
08.12.12.160 Смеси песчано-гравийные ****</t>
  </si>
  <si>
    <t>За весь период заходили в конкурсы  2 раз на общую сумму обеспеченных контрактов с НМЦ 106 942 575,84 ? с БГУ  2 898 992,79 ? с БГИ 22 163 133,04 ?</t>
  </si>
  <si>
    <t>"223 за 3 года", ".", "рейтинг поставщиков в маркере по бг", "Агентские отказ из-за непред-я док-ов", "рейтинг по нмц маркер", "поставщики маркер", "44 за 3 года"</t>
  </si>
  <si>
    <t>22.23.19.000 Изделия пластмассовые строительные, не включенные в другие группировки
08.12.12.140 Щебень</t>
  </si>
  <si>
    <t>ЗА 3 ГОДА ПО 223 ФЗ заключено 5 шт. с объемом НМЦ 95 287 000,00 ?</t>
  </si>
  <si>
    <t>11.01.10.180 Виски
11.01.10.121 Водка виноградная
11.02.11.114 Вино игристое (шампанское)
11.01.10.140 Коньяки
11.04.10.110 Вермут</t>
  </si>
  <si>
    <t>46.5 Услуги по оптовой торговле информационным и коммуникационным оборудованием
62.02.30 Услуги по технической поддержке информационных технологий
77.33.12.000 Услуги по аренде и лизингу вычислительной техники
46.52 Услуги по оптовой торговле электронным и телекоммуникационным оборудованием и его частями</t>
  </si>
  <si>
    <t>ЗА 3 ГОДА ПО 223 ФЗ заключено 13 шт. с объемом НМЦ 837 514 176,81 ?</t>
  </si>
  <si>
    <t>3 837</t>
  </si>
  <si>
    <t>25.11.23.119 Конструкции и детали конструкций из черных металлов прочие, не включенные в другие группировки
71.12.40 Услуги в области технического регулирования, стандартизации, метрологии, аккредитации, каталогизации продукции
71.12.40.120 Услуги в области метрологии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33.20.39 Услуги по монтажу прочего оборудования специального назначения
62.03 Услуги по управлению компьютерным оборудованием
71 Услуги в области архитектуры и инженерно-технического проектирования, технических испытаний, исследований и анализа
71.12 Услуги в области инженерно-технического проектирования и связанные технические консультативные услуги
71.20.19.111 Услуги по проведению государственной экспертизы проектной документации и результатов инженерных изысканий
28.99.39.190 Оборудование специального назначения прочее, не включенное в другие группировки ****</t>
  </si>
  <si>
    <t>1 847</t>
  </si>
  <si>
    <t>За весь период компания заключила  25 контрактов на сумму  41 732 819 692,27 ?                                     ЗА 3 ГОДА ПО 223 ФЗ заключено 4 шт. с объемом НМЦ 20 170 553,85 ?</t>
  </si>
  <si>
    <t>"223 за 3 года", ".", "fk1", "06.2022_ФинХД", "Обороты по клиентам по кварталам (2022г)", "производители", "рейтинг по нмц маркер", "поставщики маркер"</t>
  </si>
  <si>
    <t>Заказчик разыгравший 2 конкурсов на сумму  2 100 000 000,00 ?</t>
  </si>
  <si>
    <t>За весь период контрактов 79 шт. на общую сумму НМЦ 64 812 691 310,89 ?</t>
  </si>
  <si>
    <t>Сообщение кредитора о намерении обратиться в суд с заявлением о банкротстве от 29.03.2023</t>
  </si>
  <si>
    <t>"поставщики маркер", ".", "рейтинг поставщиков в маркере по бг", "ГРАНДИОЗНЫЙ ПРОЕКТ", "fk1", "корп 1", "клиенты с в от100млн 09.21", "все клиенты с выручкой от 1,8 млрд до бесконечности", "ФК клиенты с выручкой от 230 до бесконечности", "рейтинг по нмц маркер", "это заказчик"</t>
  </si>
  <si>
    <t>19.20.21 Топливо моторное, включая автомобильный и авиационный бензин
19.20.21.315 Топливо дизельное летнее экологического класса К5
19.20.21.300 Топливо дизельное
19.20.21.325 Топливо дизельное зимнее экологического класса К5</t>
  </si>
  <si>
    <t>"223 за 3 года", ".", "ПОС на 01.02.2023", "Кредитный портфель_01.11", "06.2022_ФинХД", "все клиенты с выручкой от 1,8 млрд до бесконечности", "Участники клиринга", "рейтинг по нмц маркер", "поставщики маркер"</t>
  </si>
  <si>
    <t>19.20.32.115 Конденсат газовый стабильный
19.20.21.310 Топливо дизельное летнее
19.20.42.121 Битумы нефтяные дорожные
19 Кокс и нефтепродукты
19.20.21.125 Бензин автомобильный с октановым числом более 92, но не более 95 по исследовательскому методу экологического класса К5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19.20.21.345 Топливо дизельное межсезонное экологического класса К5
19.20.2 Топливо жидкое и газообразное; масла смазочные
19.20.21.115 Бензин автомобильный с октановым числом не менее 80, но не более 92 по исследовательскому методу экологического класса К5 ****</t>
  </si>
  <si>
    <t>За весь период заходили в конкурсы  2 раз на общую сумму обеспеченных контрактов с НМЦ 49 753 900,00 ? с БГУ  4 975 390,00 ? с БГИ 14 926 170,00 ?                             ЗА 3 ГОДА ПО 223 ФЗ заключено 18 шт. с объемом НМЦ 162 421 887,00 ?</t>
  </si>
  <si>
    <t>"223 за 3 года", ".", "рейтинг поставщиков в маркере по бг", "Участники клиринга", "поставщики маркер", "44 за 3 года"</t>
  </si>
  <si>
    <t>52.21.19.130 Услуги железнодорожных перегрузочных товарных станций
49.20.16.000 Услуги железнодорожного транспорта по перевозке сыпучих бестарных грузов
52.29.1 Услуги грузовых транспортно-экспедиционных агентств
49.20.1 Услуги железнодорожного транспорта по перевозке грузов</t>
  </si>
  <si>
    <t>За весь период контрактов 17 шт. на общую сумму НМЦ 220 255 531 952,27 ?</t>
  </si>
  <si>
    <t>Сообщения о принятии решения о реорганизации от 18.10.2022</t>
  </si>
  <si>
    <t>19.2 Нефтепродукты
19.20.21.440 Топливо судовое с массовой долей серы не более 0,5 % с температурой вспышки в закрытом тигле не ниже 61 °C
19.20.21 Топливо моторное, включая автомобильный и авиационный бензин
19.20.21.400 Топливо судовое
19.20.21.315 Топливо дизельное летнее экологического класса К5
19.20.21.300 Топливо дизельное
19.20.27.119 Топливо нефтяное дистиллятное прочее, не включенное в другие группировки
19.20.28.100 Мазут
19.20.28.113 Мазут с массовой долей серы не более 3,5 % с температурой вспышки в открытом тигле не ниже 90 °C, с содержанием сероводорода не более 10 ppm
19.20.28.110 Мазут топочный ****</t>
  </si>
  <si>
    <t>За весь период заходили в конкурсы  6 раз на общую сумму обеспеченных контрактов с НМЦ 351 479 235,69 ? с БГУ  8 489 129,96 ? с БГИ 71 198 399,55 ?                             ЗА 3 ГОДА ПО 223 ФЗ заключено 1 шт. с объемом НМЦ 20 183 100,00 ?</t>
  </si>
  <si>
    <t>19.2 Нефтепродукты
19.20.21.321 Топливо дизельное зимнее вне классов
19.20.21 Топливо моторное, включая автомобильный и авиационный бензин
19.20.21.100 Бензин автомобильный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19.20.21.114 Бензин автомобильный с октановым числом не менее 80, но не более 92 по исследовательскому методу экологического класса К4
19.20.21.120 Бензин автомобильный с октановым числом более 92, но не более 95 по исследовательскому методу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t>
  </si>
  <si>
    <t>За весь период компания заключила  11 контрактов на сумму  572 628 097,25 ? За весь период заходили в конкурсы  9 раз на общую сумму обеспеченных контрактов с НМЦ 550 946 469,90 ? с БГУ  2 897 870,46 ? с БГИ 28 978 704,36 ? За 3 ГОДА по 44ФЗ заключено 204 шт. с объемом НМЦ  678 127 921,84 ? с БГИ 33 661 620,23 ? с БГГО 459 067,50 ? с авансированием до 148 715,12 ? с комиссией банку 235 422,39 ? с кв 2 048,17 ? ЗА 1 ГОД по 44ФЗ заключено 31 шт. c объемом НМЦ 142 803 558,45 ? с БГИ 8 909 572,43 ? с БГГО 0,00 ? с авансированием до  0,00 ? с комиссией банку  78 197,05 ? с кв 680,31 ? ЗА 3 ГОДА ПО 223 ФЗ заключено 16 шт. с объемом НМЦ 81 503 472,70 ?</t>
  </si>
  <si>
    <t>"223 за 3 года", ".", "рейтинг поставщиков в маркере по бг", "fk1", "корп 2", "все клиенты с выручкой от 1,8 млрд до бесконечности", "рейтинг по нмц маркер", "поставщики маркер", "44 за 3 года"</t>
  </si>
  <si>
    <t>Юридическим лицом принято решение об изменении места нахождения от 22.12.2022</t>
  </si>
  <si>
    <t>"ФК клиенты с выручкой от 230 до бесконечности", ".", "fk1", "Пункт 3 09.01.23", "Действующий клиент мсб с выр от 30 млн на 05.21"</t>
  </si>
  <si>
    <t>09.10.11 Услуги по бурению, связанные с добычей нефти и горючего природного газа</t>
  </si>
  <si>
    <t>1 464</t>
  </si>
  <si>
    <t>Заказчик разыгравший 22 конкурсов на сумму  2 008 338 057,92 ?</t>
  </si>
  <si>
    <t>Юридическое лицо находится в процессе реорганизации в форме присоединения к нему других юридических лиц от 30.09.2021, Сообщения о принятии решения о реорганизации от 06.10.2021</t>
  </si>
  <si>
    <t>2 050</t>
  </si>
  <si>
    <t>Сообщение кредитора о намерении обратиться в суд с заявлением о банкротстве от 23.06.2021</t>
  </si>
  <si>
    <t>"поставщики маркер", ".", "беники", "все клиенты с выручкой от 1,8 млрд до бесконечности"</t>
  </si>
  <si>
    <t>беники</t>
  </si>
  <si>
    <t>24.10.80.190 Прокат черных металлов прочий, не включенный в другие группировки
24.10.62.121 Прокат сортовой горячекатаный круглый прочий, без дополнительной обработки, включая смотанный после прокатки, из нелегированных сталей
24.10.32 Прокат листовой горячекатаный из нелегированных сталей, без дополнительной обработки, шириной менее 600 мм
24.10.3 Прокат листовой горячекатаный стальной, без дополнительной обработки
24.32 Штрипс узкий холоднокатаный</t>
  </si>
  <si>
    <t>За весь период контрактов 2 шт. на общую сумму НМЦ 856 500 000,00 ?</t>
  </si>
  <si>
    <t>Сообщения о принятии решения о реорганизации от 16.06.2022</t>
  </si>
  <si>
    <t>26.20.1 Компьютеры, их части и принадлежности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26.51.43.117 Преобразователи измерительные унифицирующие аналого-цифровые и цифро-аналоговые
26.51.66.140 Средства автоматизации и механизации контроля размеров
26 Оборудование компьютерное, электронное и оптическое
26.51.52 Приборы для измерения или контроля расхода, уровня, давления или прочих переменных характеристик жидкостей и газов
26.20.17.110 Мониторы, подключаемые к компьютеру
26.20.21.110 Устройства запоминающие внутренние
26.30.11.130 Средства связи, выполняющие функцию систем управления и мониторинга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</si>
  <si>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43.99.70.000 Работы по сборке и монтажу сборных конструкций
52.21.22.000 Услуги по эксплуатации автомагистралей
42.99.12.124 Территории парковые и парки для отдыха
81.29.12.000 Услуги по подметанию и уборке снега
81.30.10.000 Услуги по планировке ландшафта
43.12.11.140 Работы по расчистке территории, удалению растительности
42.91.20.290 Работы по сохранению и воссозданию прочих водных сооружений, являющихся объектами культурного наследия
43.12.11.190 Работы земляные прочие, не включенные в другие группировки
42.11.10.129 Дороги автомобильные, в том числе улично-дорожная сеть, и прочие автомобильные и пешеходные дороги, не включенные в другие группировки ****</t>
  </si>
  <si>
    <t>За весь период компания заключила  59 контрактов на сумму  24 357 729 238,70 ? За весь период заходили в конкурсы  165 раз на общую сумму обеспеченных контрактов с НМЦ 41 958 052 756,32 ? с БГУ  2 298 618 482,62 ? с БГИ 11 827 352 091,65 ? За 3 ГОДА по 44ФЗ заключено 35 шт. с объемом НМЦ  6 295 397 007,28 ? с БГИ 976 752 412,63 ? с БГГО 92 642 467,45 ? с авансированием до 1 797 908 379,46 ? с комиссией банку 10 063 445,36 ? с кв 87 551,97 ? ЗА 1 ГОД по 44ФЗ заключено 20 шт. c объемом НМЦ 3 742 108 303,24 ? с БГИ 366 622 382,40 ? с БГГО 44 092 588,38 ? с авансированием до  1 385 615 536,99 ? с комиссией банку  8 728 325,18 ? с кв 75 936,43 ?</t>
  </si>
  <si>
    <t>Сообщение кредитора о намерении обратиться в суд с заявлением о банкротстве от 15.03.2022</t>
  </si>
  <si>
    <t>"44 за 3 года", "кл фт агент бг 04.22", "свод фт", ".", "рейтинг поставщиков в маркере по бг", "ГРАНДИОЗНЫЙ ПРОЕКТ", "УПП на 2 номер", "Конкурсы 100+ (Восстановленный)", "Агентские отказ из-за непред-я док-ов", "fk1", "кредиты фт", "клиенты управления по БГ без открытых счетов", "Пункт 3.1 09.01.2023", "Премия 4 кв 22 г.бг", "закрыли счет", "лимит сит по кредитам", "все клиенты с выручкой от 1,8 млрд до бесконечности", "клиенты от 100 млн", "действующие б не прям", "Одобренные но не выданные 1 полугодие 2021", "ФТ клиенты с продуктами по сотрудникам", "44 фз с с БГ от 10 млн", "рейтинг по нмц маркер", "на фт заводил Синяев", "на фт заводил Морозова", "поставщики маркер"</t>
  </si>
  <si>
    <t>28.13.11.110 Насосы топливные
27.40.12.000 Лампы накаливания галогенные с вольфрамовой нитью, кроме ультрафиолетовых или инфракрасных ламп
22.11.11.000 Шины и покрышки пневматические для легковых автомобилей новые
20.59.43.120 Антифризы
22.11.14.199 Шины пневматические прочие, не включенные в другие группировки
22.19.73.113 Манжеты резинометаллические
28.30.93.000 Части прочих машин и оборудования для сельского хозяйства
19.20.29.119 Масла моторные прочие, не включенные в другие группировки
19.20.29.150 Масла компрессорные
27.20.21.000 Аккумуляторы свинцовые для запуска поршневых двигателей ****</t>
  </si>
  <si>
    <t>ЗА 3 ГОДА ПО 223 ФЗ заключено 14 шт. с объемом НМЦ 49 007 606,53 ? за 1 ГОД ПО 223ФЗ заключено 8  32 707 804,64 ?</t>
  </si>
  <si>
    <t>"223 за 3 года", ".", "все клиенты с выручкой от 1,8 млрд до бесконечности", "223 фз контракты 20+", "рейтинг по нмц маркер", "поставщики маркер", "44 за 3 года"</t>
  </si>
  <si>
    <t>29.10.24.000 Средства автотранспортные для перевозки людей прочие
45.20 Услуги по техническому обслуживанию и ремонту автотранспортных средств
29.10.42.111 Автомобили грузовые с бензиновым двигателем, имеющие технически допустимую максимальную массу не более 3,5 т
29.10.21.000 Средства транспортные с двигателем с искровым зажиганием, с рабочим объемом цилиндров не более 1500 см3, новые
45.20.11.211 Услуги по замене агрегатов
29.10.22.000 Средства транспортные с двигателем с искровым зажиганием, с рабочим объемом цилиндров более 1500 см3, новые
45.20.11.200 Услуги по ремонту легковых автомобилей и легких грузовых автотранспортных средств, кроме услуг по ремонту электрооборудования, шин и кузовов</t>
  </si>
  <si>
    <t>"223 за 3 года", ".", "выдали",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"это заказчик", "поставщики маркер", "44 за 3 года"</t>
  </si>
  <si>
    <t>22.11.11.000 Шины и покрышки пневматические для легковых автомобилей новые
29.10.2 Автомобили легковые
29.10.24.000 Средства автотранспортные для перевозки людей прочие
29.10.23.000 Средства транспортные с поршневым двигателем внутреннего сгорания с воспламенением от сжатия (дизелем или полудизелем), новые
29.10.21.000 Средства транспортные с двигателем с искровым зажиганием, с рабочим объемом цилиндров не более 1500 см3, новые
29.10.22.000 Средства транспортные с двигателем с искровым зажиганием, с рабочим объемом цилиндров более 1500 см3, новые</t>
  </si>
  <si>
    <t>За весь период компания заключила  2 контрактов на сумму  457 821 528,10 ?                       ЗА 1 ГОД по 44ФЗ заключено 2 шт. c объемом НМЦ 61 370 328,10 ? с БГИ 5 959 592,81 ? с БГГО 595 959,28 ? с авансированием до  0,00 ? с комиссией банку  65 685,12 ? с кв 571,46 ?</t>
  </si>
  <si>
    <t>"223 за 3 года", ".",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 "44 за 3 года"</t>
  </si>
  <si>
    <t>Кредитный портфель_01.1853</t>
  </si>
  <si>
    <t>"поставщики маркер", ".", "fk1", "Кредитный портфель_01.11", "06.2022_ФинХД"</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</si>
  <si>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36.00.1 Вода природная
36.00.20.140 Услуги по техническому обслуживанию приборов учета расхода воды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43.21.10.130 Работы по монтажу сетей электроосвещения и электроснабжения и электроарматуры для систем аварийного электроснабжения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t>
  </si>
  <si>
    <t>3 069</t>
  </si>
  <si>
    <t>За весь период компания заключила  2 контрактов на сумму  1 693 677 076,40 ?                                     ЗА 3 ГОДА ПО 223 ФЗ заключено 22 шт. с объемом НМЦ 36 509 446,24 ? за 1 ГОД ПО 223ФЗ заключено 4  16 500 000,00 ?</t>
  </si>
  <si>
    <t>Заказчик разыгравший 90 конкурсов на сумму  37 437 953 416,18 ?</t>
  </si>
  <si>
    <t>"поставщики маркер", ".", "СRM Шарифуллина", "все клиенты с выручкой от 1,8 млрд до бесконечности", "рейтинг заказчиков маркер", "производители", "это заказчик"</t>
  </si>
  <si>
    <t>37.00.11.110 Услуги по водоотведению сточных вод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36.00.20.110 Услуги по очистке и подготовке воды для водоснабжения
35.30.11.120 Энергия тепловая, отпущенная котельными
33.17.11.000 Услуги по ремонту и техническому обслуживанию железнодорожных локомотивов и подвижного состава
35.30.11.111 Энергия тепловая, отпущенная тепловыми электроцентралями (ТЭЦ)
68.20.11.000 Услуги по сдаче в аренду (внаем) собственных или арендованных жилых помещений
20.14.63.110 Эфиры простые
36.00.20.130 Услуги по транспортированию и распределению воды по водопроводам
35.11.10.123 Электроэнергия, произведенная блок-станциями гидроэлектростанций (ГЭС) ****</t>
  </si>
  <si>
    <t>За весь период компания заключила  3 контрактов на сумму  802 155 770,80 ?</t>
  </si>
  <si>
    <t>"рейтинг по нмц маркер", ".", "беники", "fk1", "ушедшие", "все клиенты с выручкой от 1,8 млрд до бесконечности", "Участники клиринга", "рейтинг заказчиков маркер", "производители"</t>
  </si>
  <si>
    <t>"на фт заводил Горячев", ".", "производители"</t>
  </si>
  <si>
    <t>38.11.19.000 Услуги по сбору прочих неопасных отходов, пригодных для повторного использования
38.11.31.000 Отходы неопасные бытовые, непригодные для повторного использования
35.11.10.110 Электроэнергия, произведенная электростанциями общего назначения
38.11.21.000 Услуги по сбору неопасных отходов городского хозяйства, непригодных для повторного использования
81.29.13.000 Услуги санитарно-гигиенические прочие
38.11 Отходы неопасные; услуги по сбору неопасных отходов
38.11.2 Услуги по сбору неопасных отходов, непригодных для повторного использования
38.21.29.000 Услуги по утилизации неопасных отходов прочие
38 Услуги по сбору, обработке и удалению отходов; услуги по утилизации отходов
38.11.59.000 Отходы неопасные прочие, пригодные для повторного использования, не включенные в другие группировки ****</t>
  </si>
  <si>
    <t>ЗА 3 ГОДА ПО 223 ФЗ заключено 23 шт. с объемом НМЦ 21 214 558,24 ?</t>
  </si>
  <si>
    <t>"223 за 3 года", ".", "все клиенты с выручкой от 1,8 млрд до бесконечности", "рейтинг заказчиков маркер", "поставщики маркер"</t>
  </si>
  <si>
    <t>71.20.19 Услуги по техническим испытаниям и анализу прочие
71.12 Услуги в области инженерно-технического проектирования и связанные технические консультативные услуги
63.91.11.000 Услуги информационных агентств, предоставляемые газетам и периодическим изданиям
72.11.1 Услуги, связанные с научными исследованиями и экспериментальными разработками в области биотехнологии, в области здоровья, окружающей среды, сельского хозяйства и прочей биотехнологии
68.20 Услуги по сдаче в аренду (внаем) собственного или арендованного недвижимого имущества
71.20.12.000 Услуги в области испытаний, исследований и анализа физико-механических свойств материалов и веществ
72.1 Услуги, связанные с научными исследованиями и экспериментальными разработками в области естественных и технических наук
74.90 Услуги профессиональные, научные и технические, прочие, не включенные в другие группировки
62.09.20.120 Услуги по установке программного обеспечения
62.09.20.190 Услуги по технической поддержке в области информационных технологий прочие, не включенные в другие группировки ****</t>
  </si>
  <si>
    <t>За весь период контрактов 30 шт. на общую сумму НМЦ 25 864 681 894,40 ?</t>
  </si>
  <si>
    <t>"223 за 3 года", ".", "Конкурсы 100+ (Восстановленный)",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t>
  </si>
  <si>
    <t>26.51.43.120 Системы информационные электроизмерительные, комплексы измерительно-вычислительные и установки для измерения электрических и магнитных величин
71.20.19 Услуги по техническим испытаниям и анализу прочие
71.12 Услуги в области инженерно-технического проектирования и связанные технические консультативные услуги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62.02.30 Услуги по технической поддержке информационных технологий
33.12.29.900 Услуги по ремонту и техническому обслуживанию прочего оборудования специального назначения, не включенные в другие группировки
72.1 Услуги, связанные с научными исследованиями и экспериментальными разработками в области естественных и технических наук
74.90 Услуги профессиональные, научные и технические, прочие, не включенные в другие группировки
62.09.20.120 Услуги по установке программного обеспечения
62.09.20.190 Услуги по технической поддержке в области информационных технологий прочие, не включенные в другие группировки ****</t>
  </si>
  <si>
    <t>За весь период компания заключила  34 контрактов на сумму  14 911 271 546,80 ? За весь период заходили в конкурсы  1 раз на общую сумму обеспеченных контрактов с НМЦ 44 999 000,00 ? с БГУ  2 500 000,00 ? с БГИ 2 500 000,00 ?                             ЗА 3 ГОДА ПО 223 ФЗ заключено 18 шт. с объемом НМЦ 452 255 560,84 ?</t>
  </si>
  <si>
    <t>27.33.1 Изделия электроустановочные
42.22.22.120 Работы строительные по строительству трансформаторных станций и подстанций для распределения электричества в пределах какого-либо района
27.11.50.120 Преобразователи электрические статические</t>
  </si>
  <si>
    <t>За весь период заходили в конкурсы  3 раз на общую сумму обеспеченных контрактов с НМЦ 489 213 009,10 ? с БГУ  38 090 916,20 ? с БГИ 139 893 627,20 ?</t>
  </si>
  <si>
    <t>"44 за 3 года", "кл фт агент бг 04.22", ".", "рейтинг поставщиков в маркере по бг", "Легкий кредит", "фт (2)", "лимит сит по кредитам", "все клиенты с выручкой от 1,8 млрд до бесконечности", "портфель", "клиенты от 100 млн", "действующие б не прям", "уш кл3", "Одобренные но не выданные 1 полугодие 2021", "ФТ клиенты с продуктами по сотрудникам", "производители", "рейтинг по нмц маркер", "поставщики маркер"</t>
  </si>
  <si>
    <t>23.20.13.110 Цементы огнеупорные</t>
  </si>
  <si>
    <t>За весь период компания заключила  7 контрактов на сумму  5 439 874 290,26 ?                                     ЗА 3 ГОДА ПО 223 ФЗ заключено 2 шт. с объемом НМЦ 23 477 400,00 ? за 1 ГОД ПО 223ФЗ заключено 2  41 590 080,00 ?</t>
  </si>
  <si>
    <t>71.12.16.000 Услуги по инженерно-техническому проектированию производственных процессов и производств
41.10.10.000 Документация проектная для строительства
68.32.13.120 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t>
  </si>
  <si>
    <t>66.12.12.000 Услуги по брокерским операциям с товарами</t>
  </si>
  <si>
    <t>"44 за 3 года", ".", "fk1", "ПОС на 01.02.2023", "ПОС на 03.04.2023", "Обороты по клиентам по кварталам (2022г)", "Участники клиринга", "поставщики маркер"</t>
  </si>
  <si>
    <t>32.50.22.124 Туторы нижних конечностей
32.5 Инструменты и оборудование медицинские
32.50.22.129 Приспособления ортопедические прочие
32.50.50.190 Изделия медицинские, в том числе хирургические, прочие, не включенные в другие группировки</t>
  </si>
  <si>
    <t>1 526</t>
  </si>
  <si>
    <t>"223 за 3 года", ".", "fk1", "инн Красносельская", "клиенты с в от100млн 09.21", "все клиенты с выручкой от 1,8 млрд до бесконечности", "производители", "рейтинг по нмц маркер", "это заказчик", "поставщики маркер"</t>
  </si>
  <si>
    <t>46.71 Услуги по оптовой торговле твердым, жидким и газообразным топливом и связанными продуктами
19.20.21.440 Топливо судовое с массовой долей серы не более 0,5 % с температурой вспышки в закрытом тигле не ниже 61 °C
19.20.21.400 Топливо судовое
19.20.21.315 Топливо дизельное летнее экологического класса К5
19.20.28.100 Мазут
19.20.28.110 Мазут топочный</t>
  </si>
  <si>
    <t>49.41.12.000 Услуги по перевозке автомобильным транспортом нефтепродуктов в автоцистернах или полуприцепах-цистернах
46.71 Услуги по оптовой торговле твердым, жидким и газообразным топливом и связанными продуктами
19.20.21.440 Топливо судовое с массовой долей серы не более 0,5 % с температурой вспышки в закрытом тигле не ниже 61 °C
19.20.27 Топливо нефтяное дистиллятное прочее, дистилляты средние, не включенные в другие группировки
19.20.21.335 Топливо дизельное арктическое экологического класса К5
19.20.21.315 Топливо дизельное летнее экологического класса К5
19.20.21.320 Топливо дизельное зимнее
19.20.21.420 Топливо судовое с массовой долей серы 1,5 - 2 % с температурой вспышки в закрытом тигле не ниже 61 °C
19.20.21.300 Топливо дизельное
19.20.21.325 Топливо дизельное зимнее экологического класса К5 ****</t>
  </si>
  <si>
    <t>За весь период контрактов 6 шт. на общую сумму НМЦ 1 254 189 228,39 ?</t>
  </si>
  <si>
    <t>"223 за 3 года", ".", "рейтинг поставщиков в маркере по бг", "Участники клиринга", "производители", "рейтинг по нмц маркер", "поставщики маркер", "44 за 3 года"</t>
  </si>
  <si>
    <t>1 152</t>
  </si>
  <si>
    <t>За весь период компания заключила  21 контрактов на сумму  62 202 436 784,50 ?</t>
  </si>
  <si>
    <t>74.9 Услуги профессиональные, научные и технические, прочие, не включенные в другие группировки</t>
  </si>
  <si>
    <t>4 192</t>
  </si>
  <si>
    <t>За весь период контрактов 3 шт. на общую сумму НМЦ 6 679 267 354,64 ?</t>
  </si>
  <si>
    <t>"поставщики маркер", ".", "беники", "fk1", "Кредитный портфель_01.11", "корп 1", "06.2022_ФинХД", "все клиенты с выручкой от 1,8 млрд до бесконечности", "ФК клиенты с выручкой от 230 до бесконечности", "клиенты от 100 млн", "производители", "рейтинг по нмц маркер", "это заказчик"</t>
  </si>
  <si>
    <t>20.51.11 Пороха и готовые взрывчатые вещества
29.1 Средства автотранспортные
28.92.61.120 Комплектующие (запасные части) машин для выемки грунта, не имеющие самостоятельных группировок</t>
  </si>
  <si>
    <t>За весь период компания заключила  6 контрактов на сумму  320 676 663,90 ?</t>
  </si>
  <si>
    <t>22.22.19.000 Изделия упаковочные пластмассовые прочие
20.42.16.110 Шампуни
20.20.14.000 Средства дезинфекционные
17.22.11.130 Салфетки и полотенца гигиенические или косметические из бумажной массы, бумаги, целлюлозной ваты и полотна из целлюлозных волокон
25.99.12.130 Изделия столовые, кухонные и бытовые и их детали из алюминия
20.41.32.121 Порошки стиральные
32.91.12.130 Щетки туалетные прочие для ухода за внешностью
20.20.11.000 Инсектициды
13.92.29.110 Тряпки для мытья полов, посуды, удаления пыли
25.99.29.129 Лопаты прочие ****</t>
  </si>
  <si>
    <t>Сообщение кредитора о намерении обратиться в суд с заявлением о банкротстве от 11.10.2022</t>
  </si>
  <si>
    <t>"поставщики маркер", ".", "fk1", "корп 2", "клиенты с в от100млн 09.21", "все клиенты с выручкой от 1,8 млрд до бесконечности", "производители"</t>
  </si>
  <si>
    <t>52.24.19.120 Услуги транспортные вспомогательные для грузового транспорта, не включенные в другие группировки
43.11.10.000 Работы по сносу зданий и сооружений
52.29.20.000 Услуги транспортные вспомогательные прочие, не включенные в другие группировки
49.4 Услуги по грузовым перевозкам автомобильным транспортом и услуги по переезду
43.99.90 Работы строительные специализированные, не включенные в другие группировки</t>
  </si>
  <si>
    <t>Заявка отозвана
Отклонена банком</t>
  </si>
  <si>
    <t>"поставщики маркер", "свод фт", ".", "кредиты фт", "лимит сит по кредитам", "рейтинг заказчиков маркер", "рейтинг по нмц маркер", "это заказчик", "на фт заводил Хацкевич", "на фт заводил Горячев", "на фт заводил Алтухова"</t>
  </si>
  <si>
    <t>"на фт заводил Хацкевич", "свод фт", ".", "кредиты фт", "Пункт 3.1 09.01.2023", "лимит сит по кредитам"</t>
  </si>
  <si>
    <t>За весь период контрактов 5 шт. на общую сумму НМЦ 337 796 024,65 ?</t>
  </si>
  <si>
    <t>За весь период контрактов 5 шт. на общую сумму НМЦ 6 426 000 000,00 ?</t>
  </si>
  <si>
    <t>Сообщения о принятии решения о реорганизации от 29.04.2022</t>
  </si>
  <si>
    <t>"это заказчик", ".", "06.2022_ФинХД", "все клиенты с выручкой от 1,8 млрд до бесконечности", "Участники клиринга", "рейтинг по нмц маркер"</t>
  </si>
  <si>
    <t>24.10.12.160 Ферромолибден
24.45.30.390 Металлы цветные прочие, изделия из них, порошки
24.45.11.000 Никель необработанный</t>
  </si>
  <si>
    <t>Сообщение кредитора о намерении обратиться в суд с заявлением о банкротстве от 29.07.2021</t>
  </si>
  <si>
    <t>82.99.19.000 Услуги вспомогательные, связанные с предпринимательской деятельностью, прочие, не включенные в другие группировки</t>
  </si>
  <si>
    <t>за 1 ГОД ПО 223ФЗ заключено 2  8 528 634,41 ?</t>
  </si>
  <si>
    <t>"223 за 3 года", ".", "портфель 31.10.2021_10 тыс_проверка", "все клиенты с выручкой от 1,8 млрд до бесконечности", "производители", "рейтинг по нмц маркер"</t>
  </si>
  <si>
    <t>За весь период компания заключила  11 контрактов на сумму  4 528 608 250,00 ?</t>
  </si>
  <si>
    <t>24.34 Проволока холоднотянутая</t>
  </si>
  <si>
    <t>35.11.10.112 Электроэнергия, произведенная теплоэлектроцентралями (ТЭЦ) общего назначения
35.30.11.120 Энергия тепловая, отпущенная котельными
35.30.11.111 Энергия тепловая, отпущенная тепловыми электроцентралями (ТЭЦ)
37.00.11.120 Услуги по транспортированию сточных вод
36.00.12.000 Вода непитьевая
24.10.62.211 Сталь арматурная горячекатаная для железобетонных конструкций
36.00.20.130 Услуги по транспортированию и распределению воды по водопроводам</t>
  </si>
  <si>
    <t>ЗА 3 ГОДА ПО 223 ФЗ заключено 5 шт. с объемом НМЦ 36 251 479,87 ?</t>
  </si>
  <si>
    <t>35.11.10.112 Электроэнергия, произведенная теплоэлектроцентралями (ТЭЦ) общего назначения
38.32 Услуги по сортировке материалов для восстановления; сырье вторичное
35.30.11.120 Энергия тепловая, отпущенная котельными
52.10 Услуги по складированию и хранению</t>
  </si>
  <si>
    <t>Заказчик разыгравший 92 конкурсов на сумму  21 256 382 394,68 ?</t>
  </si>
  <si>
    <t>52.10.13 Услуги по хранению зерна</t>
  </si>
  <si>
    <t>19.20.21.124 Бензин автомобильный с октановым числом более 92, но не более 95 по исследовательскому методу экологического класса К4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19.20.21.134 Бензин автомобильный с октановым числом более 95, но не более 98 по исследовательскому методу экологического класса К4
19.20.21.120 Бензин автомобильный с октановым числом более 92, но не более 95 по исследовательскому методу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t>
  </si>
  <si>
    <t>За весь период компания заключила  7 контрактов на сумму  4 276 784 591,15 ? За весь период заходили в конкурсы  2 раз на общую сумму обеспеченных контрактов с НМЦ 324 665 105,52 ? с БГУ  16 367 405,04 ? с БГИ 32 734 810,07 ?               ЗА 1 ГОД по 44ФЗ заключено 11 шт. c объемом НМЦ 56 821 497,76 ? с БГИ 5 633 704,78 ? с БГГО 0,00 ? с авансированием до  0,00 ? с комиссией банку  77 591,18 ? с кв 675,04 ?</t>
  </si>
  <si>
    <t>"223 за 3 года", ".", "рейтинг поставщиков в маркере по бг", "fk1", "все клиенты с выручкой от 1,8 млрд до бесконечности", "Участники клиринга", "производители", "рейтинг по нмц маркер", "поставщики маркер", "44 за 3 года"</t>
  </si>
  <si>
    <t>20.41 Мыло и моющие средства, чистящие и полирующие средства
01.11.95.110 Семена подсолнечника для посева
20.41.31.119 Мыло туалетное твердое прочее
20.41.31.130 Мыло туалетное жидкое</t>
  </si>
  <si>
    <t>74.90.2 Услуги профессиональные, технические и коммерческие, прочие, не включенные в другие группировки</t>
  </si>
  <si>
    <t>За весь период компания заключила  5 контрактов на сумму  82 653 904 972,80 ?</t>
  </si>
  <si>
    <t>"поставщики маркер", ".", "райф", "рейтинг заказчиков маркер", "рейтинг по нмц маркер", "это заказчик"</t>
  </si>
  <si>
    <t>72.19.50.000 Работы оригинальные научных исследований и экспериментальных разработок в области естественных и технических наук, кроме биотехнологии
84.11.11.111 Услуги федеральных органов государственной власти, кроме полномочных представителей Президента Российской Федерации и территориальных органов федеральных органов исполнительной власти
32.50.13.190 Инструменты и приспособления, применяемые в медицинских целях, прочие, не включенные в другие группировки
85.42.19.900 Услуги по профессиональному обучению прочие
82.30.11.000 Услуги по организации конференций
85.41.10.000 Услуги по спортивному образованию и образованию в развлекательных целях
72.20.19.000 Услуги, связанные с научными исследованиями и экспериментальными разработками в области прочих общественных наук
32.99.53.130 Приборы, аппаратура и устройства учебные демонстрационные
25.11.10.000 Здания сборные из металла
32.99.59.000 Изделия различные прочие, не включенные в другие группировки ****</t>
  </si>
  <si>
    <t>За весь период контрактов 5 шт. с общей суммой НМЦ 378 702 900,00 ? с БГУ 19200000 и БГИ 115 200 000,00 ?</t>
  </si>
  <si>
    <t>"44 за 3 года", "кл фт ФК БГ 04.22", ".", "рейтинг поставщиков в маркере по бг", "Легкий кредит", "фт (2)", "fk1", "инн Красносельская", "клиенты от 49 до 100", "БГ ФБ ЮР лица на 01.07.2021", "филиал бизнес 31.01.22 ", "клиенты 09.21 от 18 до 100млн", "действующие б не прям", "ФТ клиенты с продуктами по сотрудникам", "рейтинг по нмц маркер"</t>
  </si>
  <si>
    <t>71.12.3 Услуги в области геологических, геофизических и взаимосвязанных изыскательных работ и консультативные услуги</t>
  </si>
  <si>
    <t>"223 за 3 года", ".", "все клиенты с выручкой от 1,8 млрд до бесконечности", "crm управления", "в crm за Шевченко ОРК  4", "поставщики маркер"</t>
  </si>
  <si>
    <t>За весь период компания заключила  1 контрактов на сумму  1 575 338 983,05 ?</t>
  </si>
  <si>
    <t>1 956</t>
  </si>
  <si>
    <t>24.42.22.110 Прутки из алюминия или алюминиевых сплавов
25.11.23.119 Конструкции и детали конструкций из черных металлов прочие, не включенные в другие группировки
27.20.21.000 Аккумуляторы свинцовые для запуска поршневых двигателей
46.71 Услуги по оптовой торговле твердым, жидким и газообразным топливом и связанными продуктами
27.32.14.112 Кабели силовые с алюминиевой жилой на напряжение более 1 кВ
23.61 Изделия из бетона, используемые в строительстве
19.20.21.440 Топливо судовое с массовой долей серы не более 0,5 % с температурой вспышки в закрытом тигле не ниже 61 °C
27.32.11 Провода обмоточные изолированные
27.32.13.199 Кабели, провода и другие проводники прочие на напряжение до 1 кВ, не включенные в другие группировки
19.20.28.111 Мазут с массовой долей серы не более 3,5 % с температурой вспышки в открытом тигле не ниже 90 °C, с содержанием сероводорода не более 30 ppm, но более 20 ppm ****</t>
  </si>
  <si>
    <t>За весь период компания заключила  7 контрактов на сумму  324 929 504,21 ? За весь период заходили в конкурсы  2 раз на общую сумму обеспеченных контрактов с НМЦ 68 900 000,00 ? с БГУ  1 378 000,00 ? с БГИ 13 780 000,00 ?                             ЗА 3 ГОДА ПО 223 ФЗ заключено 3 шт. с объемом НМЦ 123 756 667,00 ? за 1 ГОД ПО 223ФЗ заключено 1  7 773 333,00 ?</t>
  </si>
  <si>
    <t>"223 за 3 года", ".", "рейтинг поставщиков в маркере по бг", "все клиенты с выручкой от 1,8 млрд до бесконечности", "Участники клиринга", "производители", "рейтинг по нмц маркер", "поставщики маркер"</t>
  </si>
  <si>
    <t>5 952</t>
  </si>
  <si>
    <t>За весь период компания заключила  7 контрактов на сумму  27 280 791 702,40 ? За весь период заходили в конкурсы  8 раз на общую сумму обеспеченных контрактов с НМЦ 21 881 263 877,80 ? с БГУ  1 875 647 353,44 ? с БГИ 9 808 771 182,60 ? За 3 ГОДА по 44ФЗ заключено 1 шт. с объемом НМЦ  124 255 182,00 ? с БГИ 12 425 518,20 ? с БГГО 12 425 518,20 ? с авансированием до 0,00 ? с комиссией банку 172 255,13 ? с кв 1 498,62 ?               ЗА 3 ГОДА ПО 223 ФЗ заключено 5 шт. с объемом НМЦ 1 710 193 458,50 ? за 1 ГОД ПО 223ФЗ заключено 1  7 699 504,27 ?</t>
  </si>
  <si>
    <t>"Обороты по клиентам по кварталам (2022г)", ".", "fk1", "ПОС на 01.02.2023", "ПОС на 03.04.2023", "корп 1", "клиенты с в от100млн 09.21", "ФК клиенты с выручкой от 230 до бесконечности"</t>
  </si>
  <si>
    <t>За весь период контрактов 1 шт. на общую сумму НМЦ 3 632 771 740,92 ?</t>
  </si>
  <si>
    <t>"это заказчик", ".", "п6", "все клиенты с выручкой от 1,8 млрд до бесконечности", "рейтинг заказчиков маркер", "производители", "рейтинг по нмц маркер"</t>
  </si>
  <si>
    <t>26.80.14 Карты магнитные
26.12.3 Карты со встроенными интегральными схемами (смарт-карты)
26.80.1 Носители данных магнитные и оптические
63.11.11.000 Услуги по обработке данных</t>
  </si>
  <si>
    <t>За весь период компания заключила  13 контрактов на сумму  17 018 808 507,85 ?</t>
  </si>
  <si>
    <t>"рейтинг по нмц маркер", ".", "ИНН_договоры_октябрь_", "все клиенты с выручкой от 1,8 млрд до бесконечности"</t>
  </si>
  <si>
    <t>32.50.13.190 Инструменты и приспособления, применяемые в медицинских целях, прочие, не включенные в другие группировки
32.50.21.122 Аппараты дыхательные реанимационные
21.20.24.170 Аптечки и сумки санитарные для оказания первой помощи
25.30.22.151 Средства и оборудование технологическое радиационно-защитное
26.60.13.190 Оборудование для электротерапии прочее, не включенное в другие группировки</t>
  </si>
  <si>
    <t>"поставщики маркер", ".", "рейтинг по нмц маркер", "crm управления", "в crm за Самаром"</t>
  </si>
  <si>
    <t>52.23.19.119 Работы авиационные прочие
19.20.21.200 Бензин авиационный
46.71 Услуги по оптовой торговле твердым, жидким и газообразным топливом и связанными продуктами
52.23.19.190 Услуги вспомогательные прочие, связанные с воздушным транспортом, не включенные в другие группировки
19.20.25.112 Топливо для реактивных двигателей летательных аппаратов с дозвуковой скоростью полета марки ТС-1
52.23.11.000 Услуги аэропортов, кроме обработки грузов</t>
  </si>
  <si>
    <t>За весь период компания заключила  2 контрактов на сумму  8 507 634 070,62 ?</t>
  </si>
  <si>
    <t>За весь период контрактов 3 шт. на общую сумму НМЦ 4 885 851 860,55 ?</t>
  </si>
  <si>
    <t>10.51.40.131 Сыры твердые без вкусовых наполнителей
10.51.40.300 Творог
10.51.52.210 Сметана без вкусовых компонентов
10.51.40.100 Сыры</t>
  </si>
  <si>
    <t>за 1 ГОД ПО 223ФЗ заключено 5  6 082 980,42 ?</t>
  </si>
  <si>
    <t>Юридическое лицо находится в процессе уменьшения уставного капитала от 03.02.2023</t>
  </si>
  <si>
    <t>19.20.32.119 Газы нефтяные прочие, не включенные в другие группировки
19.20.31.110 Пропан сжиженный
19.20.31 Пропан и бутан сжиженные
19.20 Нефтепродукты</t>
  </si>
  <si>
    <t>"223 за 3 года", ".", "Участники клиринга", "это заказчик", "поставщики маркер"</t>
  </si>
  <si>
    <t>06.20.10.110 Газ горючий природный (газ естественный)
35.23.10.110 Услуги по продаже потребителям газа, подаваемого по распределительным трубопроводам</t>
  </si>
  <si>
    <t>Заказчик разыгравший 13 конкурсов на сумму  1 778 798 305,23 ?</t>
  </si>
  <si>
    <t>35 Электроэнергия, газ, пар и кондиционирование воздуха
35.23.10.110 Услуги по продаже потребителям газа, подаваемого по распределительным трубопроводам</t>
  </si>
  <si>
    <t>За весь период компания заключила  9 контрактов на сумму  17 506 895 155,78 ?</t>
  </si>
  <si>
    <t>"поставщики маркер", ".", "fk1", "лимит сит по кредитам", "Пустые_Клиенты", "все клиенты с выручкой от 1,8 млрд до бесконечности", "рейтинг заказчиков маркер", "рейтинг по нмц маркер", "это заказчик"</t>
  </si>
  <si>
    <t>35.2 Газы горючие искусственные; услуги по распределению газообразного топлива по трубопроводам
35.11.10.110 Электроэнергия, произведенная электростанциями общего назначения
35.22.10.110 Услуги по распределению и снабжению газовым топливом всех видов по системам распределительных трубопроводов
35.30.11.120 Энергия тепловая, отпущенная котельными
06.20.10.132 Газ горючий природный регазифицированный
35.21.10.111 Газ искусственный угольный
06.20.10.131 Газ горючий природный сжиженный
35.21.10.130 Газ горючий искусственный доменный
06.20.10.110 Газ горючий природный (газ естественный)
35.11.10.111 Электроэнергия, произведенная конденсационными электростанциями (КЭС) общего назначения ****</t>
  </si>
  <si>
    <t>За весь период компания заключила  5 контрактов на сумму  1 752 222 930,45 ?                                     ЗА 3 ГОДА ПО 223 ФЗ заключено 5 шт. с объемом НМЦ 94 396 298,83 ?</t>
  </si>
  <si>
    <t>35.22.10.110 Услуги по распределению и снабжению газовым топливом всех видов по системам распределительных трубопроводов
06.20.10.132 Газ горючий природный регазифицированный
35.21.10.111 Газ искусственный угольный
06.20.10.131 Газ горючий природный сжиженный
35.21.10.120 Газ горючий искусственный водяной
35.30.11.111 Энергия тепловая, отпущенная тепловыми электроцентралями (ТЭЦ)
06.20.10.110 Газ горючий природный (газ естественный)
35.21 Газы горючие искусственные
35.21.10.190 Газ генераторный и аналогичные горючие искусственные газы, кроме нефтяных газов
35.23.10.110 Услуги по продаже потребителям газа, подаваемого по распределительным трубопроводам</t>
  </si>
  <si>
    <t>За весь период компания заключила  6 контрактов на сумму  7 042 387 856,69 ?</t>
  </si>
  <si>
    <t>Заказчик разыгравший 6 конкурсов на сумму  1 168 905 796,36 ?</t>
  </si>
  <si>
    <t>"поставщики маркер", ".", "беники", "все клиенты с выручкой от 1,8 млрд до бесконечности", "рейтинг заказчиков маркер", "это заказчик"</t>
  </si>
  <si>
    <t>35.22.10.110 Услуги по распределению и снабжению газовым топливом всех видов по системам распределительных трубопроводов
35.23.10.110 Услуги по продаже потребителям газа, подаваемого по распределительным трубопроводам</t>
  </si>
  <si>
    <t>за 1 ГОД ПО 223ФЗ заключено 1  9 500 000,00 ?</t>
  </si>
  <si>
    <t>61.90.10.190 Услуги телекоммуникационные прочие, не включенные в другие группировки
35.22.10.110 Услуги по распределению и снабжению газовым топливом всех видов по системам распределительных трубопроводов
06.20.10.110 Газ горючий природный (газ естественный)
35.23.10.110 Услуги по продаже потребителям газа, подаваемого по распределительным трубопроводам</t>
  </si>
  <si>
    <t>Заказчик разыгравший 94 конкурсов на сумму  35 618 906 089,52 ?</t>
  </si>
  <si>
    <t>"рейтинг заказчиков маркер", ".", "беники", "все клиенты с выручкой от 1,8 млрд до бесконечности"</t>
  </si>
  <si>
    <t>За весь период компания заключила  1 контрактов на сумму  3 099 712 800,00 ?</t>
  </si>
  <si>
    <t>1 427</t>
  </si>
  <si>
    <t>Заказчик разыгравший 12 конкурсов на сумму  1 263 233 915,68 ?</t>
  </si>
  <si>
    <t>Заказчик разыгравший 79 конкурсов на сумму  41 451 568 999,06 ?</t>
  </si>
  <si>
    <t>"рейтинг заказчиков маркер", ".", "все клиенты с выручкой от 1,8 млрд до бесконечности", "Участники клиринга"</t>
  </si>
  <si>
    <t>25.99.12.130 Изделия столовые, кухонные и бытовые и их детали из алюминия
25.72.14.120 Петли, арматура крепежная, фурнитура и аналогичные изделия для дверей и окон из недрагоценных металлов
28.25.12.130 Кондиционеры бытовые
13.93.19.120 Покрытия текстильные напольные прочие (включая войлочные)
27.40.39.119 Светильники и устройства осветительные прочие, не включенные в другие группировки, предназначенные для использования с лампами прочих типов
13.99.19.121 Прокладки женские гигиенические, салфетки и тампоны из ваты из хлопка
22.23.15.000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23.99.19.110 Материалы и изделия минеральные тепло- и звукоизоляционные
31.01.11.130 Стеллажи офисные металлические
27.40.14.000 Лампы накаливания прочие, не включенные в другие группировки ****</t>
  </si>
  <si>
    <t>1 475</t>
  </si>
  <si>
    <t>21.20.23.110 Реагенты диагностические
21.20.23.199 Средства нелечебные прочие
21 Средства лекарственные и материалы, применяемые в медицинских целях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t>
  </si>
  <si>
    <t>ЗА 3 ГОДА ПО 223 ФЗ заключено 43 шт. с объемом НМЦ 37 335 512,43 ? за 1 ГОД ПО 223ФЗ заключено 8  5 595 645,65 ?</t>
  </si>
  <si>
    <t>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</si>
  <si>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Юридическим лицом принято решение об изменении места нахождения от 15.05.2023</t>
  </si>
  <si>
    <t>ЗА 3 ГОДА ПО 223 ФЗ заключено 1 шт. с объемом НМЦ 500 000 000,00 ?</t>
  </si>
  <si>
    <t>10.13 Продукция мясная пищевая, в том числе из мяса птицы
10.13.14.111 Колбасы (колбаски) вареные мясные
10.84 Приправы и пряности
10.13.14.129 Изделия колбасные вареные мясосодержащие прочие
10.13.14.412 Колбасы (колбаски) варено-копченые мясные
10.13.14 Изделия колбасные и аналогичная пищевая продукция из мяса, субпродуктов или крови животных, из мяса и субпродуктов птицы
10.13.14.112 Сосиски мясные</t>
  </si>
  <si>
    <t>19.20.21.341 Топливо дизельное межсезонное вне классов
19.2 Нефтепродукты
46.71.12.000 Услуги по оптовой торговле моторным топливом, включая авиационный бензин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19.20.31.110 Пропан сжиженный ****</t>
  </si>
  <si>
    <t>За 3 ГОДА по 44ФЗ заключено 527 шт. с объемом НМЦ  500 262 279,83 ? с БГИ 32 052 488,61 ? с БГГО 812 506,55 ? с авансированием до 2 289 858,77 ? с комиссией банку 280 023,45 ? с кв 2 436,20 ? ЗА 1 ГОД по 44ФЗ заключено 154 шт. c объемом НМЦ 153 549 146,70 ? с БГИ 10 032 626,11 ? с БГГО 0,00 ? с авансированием до  746 381,54 ? с комиссией банку  102 841,53 ? с кв 894,72 ? ЗА 3 ГОДА ПО 223 ФЗ заключено 26 шт. с объемом НМЦ 117 133 947,52 ? за 1 ГОД ПО 223ФЗ заключено 6  25 788 504,27 ?</t>
  </si>
  <si>
    <t>"223 за 3 года", ".", "Участники клиринга", "производители", "рейтинг по нмц маркер", "поставщики маркер", "44 за 3 года"</t>
  </si>
  <si>
    <t>10.81.12 Сахар белый свекловичный или тростниковый и химически чистая сахароза в твердом состоянии без вкусоароматических или красящих добавок
10.81 Сахар
10.61.22.112 Мука ржаная обдирная
10.81.12.110 Сахар белый свекловичный в твердом состоянии без вкусоароматических или красящих добавок
10.61.32.114 Пшено</t>
  </si>
  <si>
    <t>17.21.13.000 Ящики и коробки из гофрированной бумаги или гофрированного картона
36.00.30.000 Услуги по торговле водой, поставляемой по трубопроводам
17.29.11.110 Ярлыки и этикетки из бумаги
68.20.12.000 Услуги по сдаче в аренду (внаем) собственных или арендованных нежилых помещений
13.92.21.120 Пакеты для упаковки готовых изделий
01.47.11.700 Куры для убоя
10.12.10.110 Мясо кур, в том числе цыплят (включая цыплят-бройлеров) охлажденное
36.00.20.130 Услуги по транспортированию и распределению воды по водопроводам</t>
  </si>
  <si>
    <t>Сообщение кредитора о намерении обратиться в суд с заявлением о банкротстве от 18.03.2021</t>
  </si>
  <si>
    <t>"44 за 3 года", ".", "все клиенты с выручкой от 1,8 млрд до бесконечности", "производители", "рейтинг по нмц маркер", "это заказчик", "поставщики маркер"</t>
  </si>
  <si>
    <t>20.13.23.113 Калий
20.14.61.000 Соединения с альдегидной функциональной группой
21.20.23.110 Реагенты диагностические
21.20.23.113 Средства радиофармацевтические диагностические
21.20.23.199 Средства нелечебные прочие
20.59.52.199 Реагенты сложные диагностические или лабораторные прочие, не включенные в другие группировки
20.20.14.000 Средства дезинфекционные
21.20.10.118 Препараты, способствующие пищеварению, включая ферментные препараты
21.20.10.133 Препараты антианемические
21.20.10.155 Препараты для лечения псориаза ****</t>
  </si>
  <si>
    <t>За весь период компания заключила  49  3 380 328 801,80 ? За весь период заходили в конкурсы  142 раз на общую сумму обеспеченных контрактов с НМЦ 11 436 996 931,46 ? с БГУ  112 667 084,56 ? с БГИ 1 122 473 166,04 ? За 3 ГОДА по 44ФЗ заключено 1658 шт. с объемом НМЦ  18 645 509 879,63 ? с БГИ 1 519 380 883,47 ? с БГГО 19 851 557,29 ? с авансированием до 798,97 ? с комиссией банку 21 770 336,39 ? с кв 189 401,93 ? ЗА 1 ГОД по 44ФЗ заключено 645 шт. c объемом НМЦ 7 201 015 941,03 ? с БГИ 633 615 107,51 ? с БГГО 0,00 ? с авансированием до  504,05 ? с комиссией банку  9 216 548,72 ? с кв 80 183,97 ? ЗА 3 ГОДА ПО 223 ФЗ заключено 6 шт. с объемом НМЦ 171 318 344,22 ? за 1 ГОД ПО 223ФЗ заключено 3  147 385 555,00 ?</t>
  </si>
  <si>
    <t>"223 за 3 года", "свод фт", ".", "рейтинг поставщиков в маркере по бг", "Конкурсы 100+ (Восстановленный)", "223 фз контракты 20+", "44 фз с с БГ от 10 млн", "рейтинг по нмц маркер", "на фт заводил Хацкевич", "на фт заводил Самар", "на фт заводил Вохмина", "поставщики маркер", "44 за 3 года"</t>
  </si>
  <si>
    <t>35.11.10.112 Электроэнергия, произведенная теплоэлектроцентралями (ТЭЦ)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35.11.10.142 Электроэнергия, произведенная ветровыми электростанциями
35.12.10.120 Услуги по технологическому присоединению к распределительным электросетям
35.13.10 Услуги по распределению электроэнергии
35.30.11.120 Энергия тепловая, отпущенная котельными
35.11.10.114 Электроэнергия, произведенная дизельными электростанциями (ДЭС) общего назначения ****</t>
  </si>
  <si>
    <t>ЗА 3 ГОДА ПО 223 ФЗ заключено 22 шт. с объемом НМЦ 39 779 365,50 ? за 1 ГОД ПО 223ФЗ заключено 9  23 281 686,20 ?</t>
  </si>
  <si>
    <t>"223 за 3 года", ".", "п6", "все клиенты с выручкой от 1,8 млрд до бесконечности", "рейтинг заказчиков маркер", "рейтинг по нмц маркер", "это заказчик", "поставщики маркер"</t>
  </si>
  <si>
    <t>17.21.13.000 Ящики и коробки из гофрированной бумаги или гофрированного картона
17.12.79.000 Картон прочий (кроме используемого для письма, печати и прочих графических целей), мелованный каолином или прочими неорганическими веществами</t>
  </si>
  <si>
    <t>"223 за 3 года", ".", "беники", "все клиенты с выручкой от 1,8 млрд до бесконечности", "производители", "поставщики маркер"</t>
  </si>
  <si>
    <t>46.33.12.000 Услуги по оптовой торговле яйцами
01.47.23.110 Яйца инкубационные куриные
01.47.11 Куры живые
01.47.21.000 Яйца куриные в скорлупе свежие
01.47.23.112 Яйца инкубационные кур яичных пород</t>
  </si>
  <si>
    <t>За весь период контрактов 1 шт. на общую сумму НМЦ 5 000 000 000,00 ?</t>
  </si>
  <si>
    <t>Заказчик разыгравший 143 конкурсов на сумму  38 212 022 385,26 ?</t>
  </si>
  <si>
    <t>"в crm за Досхоевым", "свод фт", ".", "кредиты фт", "лимит сит по кредитам", "производители", "на фт заводил Досхоев", "crm управления"</t>
  </si>
  <si>
    <t>68.10.14.000 Услуги по покупке и продаже нежилых зданий и занимаемых ими земельных участков
41.20.10.110 Здания жилые общего назначения</t>
  </si>
  <si>
    <t>За весь период заходили в конкурсы  1 раз на общую сумму обеспеченных контрактов с НМЦ 168 634 500,00 ? с БГУ  1 686 345,00 ? с БГИ 16 863 450,00 ?</t>
  </si>
  <si>
    <t>"44 за 3 года", ".", "рейтинг поставщиков в маркере по бг", "все клиенты с выручкой от 1,8 млрд до бесконечности", "рейтинг по нмц маркер", "это заказчик", "поставщики маркер"</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</si>
  <si>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36.00.1 Вода природная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35.12.10.120 Услуги по технологическому присоединению к распределительным электросетям
35.30.11.120 Энергия тепловая, отпущенная котельными ****</t>
  </si>
  <si>
    <t>1 545</t>
  </si>
  <si>
    <t>За весь период компания заключила  7 контрактов на сумму  428 071 809,77 ?                                     ЗА 3 ГОДА ПО 223 ФЗ заключено 6 шт. с объемом НМЦ 33 179 699,82 ? за 1 ГОД ПО 223ФЗ заключено 1  28 632 112,50 ?</t>
  </si>
  <si>
    <t>"223 за 3 года", ".", "fk1", "все клиенты с выручкой от 1,8 млрд до бесконечности", "223 фз контракты 20+", "рейтинг заказчиков маркер", "рейтинг по нмц маркер", "это заказчик", "поставщики маркер"</t>
  </si>
  <si>
    <t>37.00.11.110 Услуги по водоотведению сточных вод
16.10 Лесоматериалы, распиленные и строганые
36.00.30.000 Услуги по торговле водой, поставляемой по трубопроводам
35.30.11.120 Энергия тепловая, отпущенная котельными
35.30.22.000 Услуги по снабжению охлажденным воздухом и охлажденной водой
35.30.11.111 Энергия тепловая, отпущенная тепловыми электроцентралями (ТЭЦ)</t>
  </si>
  <si>
    <t>1 378</t>
  </si>
  <si>
    <t>Сообщение кредитора о намерении обратиться в суд с заявлением о банкротстве от 09.07.2020</t>
  </si>
  <si>
    <t>42.22 Сооружения и строительные работы по строительству коммунальных объектов для электроснабжения и связи</t>
  </si>
  <si>
    <t>За весь период контрактов 3 шт. с общей суммой НМЦ 487 128 876,25 ? с БГУ 31558224,09 и БГИ 101 817 885,60 ?</t>
  </si>
  <si>
    <t>Сообщение кредитора о намерении обратиться в суд с заявлением о банкротстве от 27.04.2023</t>
  </si>
  <si>
    <t>28.13.14.110 Насосы центробежные подачи жидкостей прочие
28.12.14.111 Гидроклапаны давления
28.29.12.190 Оборудование и установки для фильтрования или очистки жидкостей прочие, не включенные в другие группировки
28.99.39.190 Оборудование специального назначения прочее, не включенное в другие группировки
28.13 Насосы и компрессоры прочие
28.13.14 Насосы центробежные подачи жидкостей прочие; насосы прочие
27.11.25.000 Электродвигатели переменного тока, многофазные, выходной мощностью более 75 кВт
27.11.31.000 Установки генераторные с двигателями внутреннего сгорания с воспламенением от сжатия
27.11.61.110 Комплектующие (запасные части) электродвигателей, не имеющие самостоятельных группировок
27.11.21.000 Электродвигатели переменного и постоянного тока универсальные мощностью более 37,5 Вт ****</t>
  </si>
  <si>
    <t>3 727</t>
  </si>
  <si>
    <t>За весь период компания заключила  24 контрактов на сумму  89 158 466 118,29 ?</t>
  </si>
  <si>
    <t>10.91.10.183 Комбикорма для свиней
10.91.10.186 Комбикорма для сельскохозяйственной птицы</t>
  </si>
  <si>
    <t>20.59.52.199 Реагенты сложные диагностические или лабораторные прочие, не включенные в другие группировки
46.75.12.000 Услуги по оптовой торговле промышленными химическими веществами</t>
  </si>
  <si>
    <t>За весь период компания заключила  6 контрактов на сумму  2 559 157 350,72 ?                                     ЗА 3 ГОДА ПО 223 ФЗ заключено 2 шт. с объемом НМЦ 280 839 000,00 ? за 1 ГОД ПО 223ФЗ заключено 1  25 506 000,00 ?</t>
  </si>
  <si>
    <t>"223 за 3 года", ".", "все клиенты с выручкой от 1,8 млрд до бесконечности", "223 фз контракты 20+", "производители", "рейтинг по нмц маркер"</t>
  </si>
  <si>
    <t>Сообщение кредитора о намерении обратиться в суд с заявлением о банкротстве от 02.12.2021</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</si>
  <si>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42.11.10.160 Полосы взлетно-посадочные аэродромов, включая рулежные дорожки и аналогичных сооружений аэродромов, кроме зданий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42.13.10.119 Мосты и путепроводы из любых материалов для всех типов сухопутного транспорта и для пешеходов прочие
42.21.22.110 Работы строительные по прокладке местных трубопроводов воды или сточных вод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</si>
  <si>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2 670</t>
  </si>
  <si>
    <t>За весь период компания заключила  253 контрактов на сумму  169 806 108 784,34 ? За весь период заходили в конкурсы  670 раз на общую сумму обеспеченных контрактов с НМЦ 219 743 232 236,07 ? с БГУ  12 716 926 295,80 ? с БГИ 39 738 901 731,41 ? За 3 ГОДА по 44ФЗ заключено 205 шт. с объемом НМЦ  44 082 810 394,63 ? с БГИ 5 857 295 543,43 ? с БГГО 186 481 199,16 ? с авансированием до 69 713 397 726,71 ? с комиссией банку 148 279 151,77 ? с кв 1 290 028,62 ? ЗА 1 ГОД по 44ФЗ заключено 63 шт. c объемом НМЦ 16 218 914 710,22 ? с БГИ 2 537 227 633,53 ? с БГГО 32 218 231,57 ? с авансированием до  4 195 576 652,55 ? с комиссией банку  71 671 899,84 ? с кв 623 545,53 ?</t>
  </si>
  <si>
    <t>"44 за 3 года", ".", "рейтинг поставщиков в маркере по бг", "ГРАНДИОЗНЫЙ ПРОЕКТ", "Конкурсы 100+ (Восстановленный)",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заказчиков маркер", "производители", "рейтинг по нмц маркер", "это заказчик", "поставщики маркер"</t>
  </si>
  <si>
    <t>10.12.20.110 Мясо кур, в том числе цыплят (включая цыплят-бройлеров) замороженное
10.12.20.170 Мясо сельскохозяйственной птицы замороженное для детского питания
68.10.15.000 Услуги по покупке и продаже пустующей земли, предназначенной для застройки нежилыми зданиями
10.12.10.110 Мясо кур, в том числе цыплят (включая цыплят-бройлеров) охлажденное</t>
  </si>
  <si>
    <t>1 856</t>
  </si>
  <si>
    <t>52.29.19.110 Услуги по экспедированию грузов
01.11.12.121 Зерно яровой мягкой пшеницы
01.11.32.111 Зерно озимой ржи
01.11.32.121 Зерно яровой ржи
01.11.12.111 Зерно озимой мягкой пшеницы
01.11.1 Пшеница</t>
  </si>
  <si>
    <t>За весь период заходили в конкурсы  2 раз на общую сумму обеспеченных контрактов с НМЦ 105 399 884,50 ? с БГУ  566 666,50 ? с БГИ 11 333 330,00 ?</t>
  </si>
  <si>
    <t>43.22.12.160 Работы по установке приборов учета расхода тепловой энергии
43.29.11.190 Работы изоляционные прочие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43.21 Работы электромонтажные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t>
  </si>
  <si>
    <t>За весь период компания заключила  29 контрактов на сумму  4 844 385 101,84 ? За весь период заходили в конкурсы  2 раз на общую сумму обеспеченных контрактов с НМЦ 123 950 000,00 ? с БГУ  1 280 000,00 ? с БГИ 12 800 000,00 ?                             ЗА 3 ГОДА ПО 223 ФЗ заключено 15 шт. с объемом НМЦ 245 172 610,67 ? за 1 ГОД ПО 223ФЗ заключено 7  229 136 189,49 ?</t>
  </si>
  <si>
    <t>"223 за 3 года", ".", "рейтинг поставщиков в маркере по бг", "fk1", "ПОС на 01.02.2023", "ПОС на 03.04.2023", "Кредитный портфель_01.11", "06.2022_ФинХД", "все клиенты с выручкой от 1,8 млрд до бесконечности", "ФК клиенты с выручкой от 230 до бесконечности", "Обороты по клиентам по кварталам (2022г)", "223 фз контракты 20+", "рейтинг заказчиков маркер", "рейтинг по нмц маркер", "это заказчик", "поставщики маркер", "44 за 3 года"</t>
  </si>
  <si>
    <t>61.1 Услуги телекоммуникационные проводные
26.30.30.000 Части и комплектующие коммуникационного оборудования
33.20.42.000 Услуги по монтажу профессионального электронного оборудования
61.90.10.130 Услуги по предоставлению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 д.
61.10.20 Услуги операторов связи в сфере проводных телекоммуникаций
26.20.30.000 Устройства автоматической обработки данных прочие
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26.40.33.190 Аппаратура записи и воспроизведения изображения прочая
43.21.10.140 Работы по монтажу систем пожарной сигнализации и охранной сигнализации
61.10.41.000 Услуги магистральные по информационно-коммуникационной сети Интернет ****</t>
  </si>
  <si>
    <t>За 3 ГОДА по 44ФЗ заключено 154 шт. с объемом НМЦ  168 192 254,89 ? с БГИ 26 305 434,87 ? с БГГО 683 312,66 ? с авансированием до 65 123 375,31 ? с комиссией банку 384 968,16 ? с кв 3 349,22 ? ЗА 1 ГОД по 44ФЗ заключено 71 шт. c объемом НМЦ 95 421 946,57 ? с БГИ 16 482 837,85 ? с БГГО 417 617,00 ? с авансированием до  770 659,74 ? с комиссией банку  277 968,38 ? с кв 2 418,32 ?</t>
  </si>
  <si>
    <t>Сообщения о принятии решения о реорганизации от 25.12.2020</t>
  </si>
  <si>
    <t>"ФК клиенты с выручкой от 230 до бесконечности", ".", "Кредитный портфель_01.11", "корп 1", "06.2022_ФинХД", "все клиенты с выручкой от 1,8 млрд до бесконечности"</t>
  </si>
  <si>
    <t>За весь период компания заключила  19 контрактов на сумму  19 543 303 082,92 ? За весь период заходили в конкурсы  6 раз на общую сумму обеспеченных контрактов с НМЦ 5 873 902 943,24 ? с БГУ  86 171 356,70 ? с БГИ 980 994 688,37 ?                             ЗА 3 ГОДА ПО 223 ФЗ заключено 3 шт. с объемом НМЦ 1 278 231 398,00 ?</t>
  </si>
  <si>
    <t>"223 за 3 года", "кл фт прямые бг 04.22", "свод фт", ".", "рейтинг поставщиков в маркере по бг", "Одобренные но не выданные 1 полугодие 2021(прямые)", "Евразия(Заболотний)_n (22)", "беники", "fk1", "кредиты фт", "ИНН 3 года - нет КД БГ на 01.10.22", "Гарантии ФБ банкроты", "клиенты с в от100млн 09.21", "Пункт 3 09.01.23", "лимит сит по кредитам", "все клиенты с выручкой от 1,8 млрд до бесконечности", "ФК клиенты с выручкой от 230 до бесконечности", "клиенты от 100 млн", "Обороты по клиентам по кварталам (2022г)", "Одобренные но не выданные 1 полугодие 2021", "ФТ клиенты с продуктами по сотрудникам", "производители", "рейтинг по нмц маркер", "на фт заводил Юмагужин", "на фт заводил Еприкян", "поставщики маркер", "44 за 3 года"</t>
  </si>
  <si>
    <t>28.13.14.110 Насосы центробежные подачи жидкостей прочие
28.29.12.190 Оборудование и установки для фильтрования или очистки жидкостей прочие, не включенные в другие группировки
28.13.14 Насосы центробежные подачи жидкостей прочие; насосы прочие
27.11.25.000 Электродвигатели переменного тока, многофазные, выходной мощностью более 75 кВт
09.1 Услуги по добыче нефти и природного газа
28.13.1 Насосы для перекачки жидкостей; подъемники жидкостей
28.13.13.000 Насосы роторные объемные прочие для перекачки жидкостей</t>
  </si>
  <si>
    <t>1 777</t>
  </si>
  <si>
    <t>За весь период компания заключила  24 контрактов на сумму  70 031 949 420,14 ?</t>
  </si>
  <si>
    <t>13 Текстиль и изделия текстильные</t>
  </si>
  <si>
    <t>46.32 Услуги по оптовой торговле мясом и мясными продуктами
46.32.11 Услуги по оптовой торговле мясом (включая мясо птицы)</t>
  </si>
  <si>
    <t>26.20.18.000 Устройства периферийные с двумя или более функциями: печать данных, копирование, сканирование, прием и передача факсимильных сообщений
26.20.40 Блоки, части и принадлежности вычислительных машин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58.29.12.000 Обеспечение программное сетевое на электронном носителе
26.20 Компьютеры и периферийное оборудование
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26.20.14.000 Машины вычислительные электронные цифровые, поставляемые в виде систем для автоматической обработки данных
26.20.16.120 Принтеры
26.20.16.190 Устройства ввода/вывода данных прочие ****</t>
  </si>
  <si>
    <t>За весь период компания заключила  10 контрактов на сумму  1 948 587 439,20 ? За весь период заходили в конкурсы  27 раз на общую сумму обеспеченных контрактов с НМЦ 4 450 457 896,01 ? с БГУ  128 660 745,62 ? с БГИ 757 396 262,74 ? За 3 ГОДА по 44ФЗ заключено 8 шт. с объемом НМЦ  1 989 057 501,44 ? с БГИ 257 632 275,94 ? с БГГО 85 844 345,09 ? с авансированием до 0,00 ? с комиссией банку 2 133 158,14 ? с кв 18 558,48 ? ЗА 1 ГОД по 44ФЗ заключено 2 шт. c объемом НМЦ 202 384 110,02 ? с БГИ 19 885 445,40 ? с БГГО 2 023 841,10 ? с авансированием до  0,00 ? с комиссией банку  120 468,99 ? с кв 1 048,08 ?</t>
  </si>
  <si>
    <t>"223 за 3 года", ".", "рейтинг поставщиков в маркере по бг", "fk1", "все клиенты с выручкой от 1,8 млрд до бесконечности", "44 фз с с БГ от 10 млн", "производители", "рейтинг по нмц маркер", "поставщики маркер", "44 за 3 года"</t>
  </si>
  <si>
    <t>29.20.23.190 Прицепы и полуприцепы прочие, не включенные в другие группировки
29.20.40.000 Услуги по переоборудованию, сборке, оснащению автотранспортных средств и кузовным работам</t>
  </si>
  <si>
    <t>"223 за 3 года", ".", "все клиенты с выручкой от 1,8 млрд до бесконечности", "производители", "crm управления", "crm Пител", "поставщики маркер"</t>
  </si>
  <si>
    <t>1 327</t>
  </si>
  <si>
    <t>20.20.14.000 Средства дезинфекционные
13.99.19.141 Прокладки женские гигиенические, салфетки и тампоны из ваты из прочих текстильных нитей</t>
  </si>
  <si>
    <t>за 1 ГОД ПО 223ФЗ заключено 3  6 214 808,42 ?</t>
  </si>
  <si>
    <t>51.21.1 Услуги по перевозке грузов воздушным транспортом
51.21.14.000 Услуги по перевозке прочих грузов воздушным транспортом на нерегулярной основе
50.20.19.110 Услуги по заграничным перевозкам морскими судами прочих грузов</t>
  </si>
  <si>
    <t>ЗА 3 ГОДА ПО 223 ФЗ заключено 2 шт. с объемом НМЦ 480 000 000,00 ?</t>
  </si>
  <si>
    <t>28.99.3 Оборудование специального назначения, не включенное в другие группировки
26.51.43.120 Системы информационные электроизмерительные, комплексы измерительно-вычислительные и установки для измерения электрических и магнитных величин
26.20.18.000 Устройства периферийные с двумя или более функциями: печать данных, копирование, сканирование, прием и передача факсимильных сообщений
26.20.4 Блоки, части и принадлежности вычислительных машин
26.30.11.150 Средства связи радиоэлектронные
28.23.25.000 Части и принадлежности прочих офисных машин
26.40.51.000 Части и принадлежности звукового и видеооборудования
26.70.16.190 Проекторы изображений прочие, не включенные в другие группировки
26.70.17 Фотовспышки; фотоувеличители; аппаратура для фотолабораторий; негатоскопы, проекционные экраны
26.20.1 Компьютеры, их части и принадлежности ****</t>
  </si>
  <si>
    <t>ЗА 3 ГОДА ПО 223 ФЗ заключено 16 шт. с объемом НМЦ 161 566 804,86 ?</t>
  </si>
  <si>
    <t>За весь период компания заключила  1 контрактов на сумму  994 000 000,00 ?</t>
  </si>
  <si>
    <t>10.61 Продукция мукомольно-крупяного производства
10.81 Сахар
46.36.11 Услуги по оптовой торговле сахаром
46.38.29.130 Услуги по оптовой торговле крупами</t>
  </si>
  <si>
    <t>ЗА 3 ГОДА ПО 223 ФЗ заключено 8 шт. с объемом НМЦ 41 181 025,00 ? за 1 ГОД ПО 223ФЗ заключено 3  18 587 035,00 ?</t>
  </si>
  <si>
    <t>27.32.13.143 Кабели контрольные
27.32.13.131 Провода силовые для электрических установок
27.32.14.110 Кабели силовые для стационарной прокладки на напряжение более 1 кВ
27.32.14.112 Кабели силовые с алюминиевой жилой на напряжение более 1 кВ
27.90.12.110 Изоляторы электрические
46.69.19.110 Услуги по оптовой торговле энергетическим оборудованием
27.32.11.000 Провода обмоточные изолированные
27.33.13.130 Арматура кабельная
23.19.25.000 Изоляторы электрические стеклянные
46.69.15.000 Услуги по оптовой торговле производственным электрическим оборудованием, машинами, аппаратурой и материалами ****</t>
  </si>
  <si>
    <t>За весь период компания заключила  31 контрактов на сумму  4 365 944 751,20 ?</t>
  </si>
  <si>
    <t>"223 за 3 года", "кл фт агент бг 04.22", "свод фт", ".", "fk1", "кредиты фт", "Агентские одобренные но не выданные от 30.08", "лимит сит по кредитам", "все клиенты с выручкой от 1,8 млрд до бесконечности",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"рейтинг по нмц маркер", "на фт заводил Середин", "поставщики маркер"</t>
  </si>
  <si>
    <t>За весь период компания заключила  2 контрактов на сумму  1 354 035 865,64 ? За весь период заходили в конкурсы  2 раз на общую сумму обеспеченных контрактов с НМЦ 1 354 035 865,64 ? с БГУ  67 871 471,96 ? с БГИ 407 228 831,78 ?</t>
  </si>
  <si>
    <t>"поставщики маркер", ".", "все клиенты с выручкой от 1,8 млрд до бесконечности", "производители", "crm управления", "crm Пител"</t>
  </si>
  <si>
    <t>52.10.12.110 Услуги по хранению и складированию нефти и продуктов ее переработки
29.10.2 Автомобили легковые
71.1 Услуги в области архитектуры, инженерно-технического проектирования и связанные технические консультативные услуги
41.10 Документация проектная для строительства
46.33 Услуги по оптовой торговле молочными продуктами, яйцами, пищевыми маслами и жирами
56.29 Услуги по обеспечению питанием прочие
56.29.1 Услуги по обеспечению питанием, осуществляемые по договору
52 Услуги по складированию и вспомогательные транспортные услуги
10 Продукты пищевые
68.31.11 Услуги по продаже жилых зданий и занимаемых ими земельных участков, предоставляемые за вознаграждение или на договорной основе, кроме недвижимости, находящейся в собственности на фиксированное время года</t>
  </si>
  <si>
    <t>За весь период контрактов 11 шт. на общую сумму НМЦ 23 452 961 437,77 ?</t>
  </si>
  <si>
    <t>Сообщение кредитора о намерении обратиться в суд с заявлением о банкротстве от 15.10.2020</t>
  </si>
  <si>
    <t>08.12.11.193 Пески кварц-полевошпатовые
23.52.10.110 Известь негашеная
23.51.12.111 Портландцемент без минеральных добавок
23.99.12 Изделия из асфальта или аналогичных материалов
46.1 Услуги по оптовой торговле за вознаграждение или на договорной основе
33.1 Услуги по ремонту металлоизделий, машин и оборудования
46.73.16.000 Услуги по оптовой торговле прочими строительными материалами и изделиями
08.12.12.140 Щебень
05.10.10.137 Уголь марки Т - тощий
08.12.11.130 Пески строительные ****</t>
  </si>
  <si>
    <t>Сообщения о принятии решения о реорганизации от 29.06.2021</t>
  </si>
  <si>
    <t>"223 за 3 года", ".", "рейтинг поставщиков в маркере по бг", "производители", "это заказчик", "поставщики маркер"</t>
  </si>
  <si>
    <t>71.12.40.120 Услуги в области метрологии
33.1 Услуги по ремонту металлоизделий, машин и оборудования
46.73.16.000 Услуги по оптовой торговле прочими строительными материалами и изделиями
47.99.90.000 Услуги по прочей розничной торговле вне магазинов, нестационарных торговых объектов, рынков, не включенной в другие группировки</t>
  </si>
  <si>
    <t>Заказчик разыгравший 3 конкурсов на сумму  568 631 204,00 ?</t>
  </si>
  <si>
    <t>"поставщики маркер", ".", "беники", "рейтинг заказчиков маркер", "производители", "это заказчик"</t>
  </si>
  <si>
    <t>35.11.10.112 Электроэнергия, произведенная теплоэлектроцентралями (ТЭЦ) общего назначения
35.11.10.130 Электроэнергия, произведенная локальными электростанциями (не работающими в энергосистеме)
35.30.11.120 Энергия тепловая, отпущенная котельными
35.30.12.130 Услуги по транспортированию горячей воды
35.11.10.114 Электроэнергия, произведенная дизельными электростанциями (ДЭС) общего назначения
35.12.10.110 Услуги по передаче электроэнергии</t>
  </si>
  <si>
    <t>1 062</t>
  </si>
  <si>
    <t>За весь период контрактов 8 шт. на общую сумму НМЦ 10 270 015 523,24 ?</t>
  </si>
  <si>
    <t>Сообщения о принятии решения о реорганизации от 19.03.2018</t>
  </si>
  <si>
    <t>19.2 Нефтепродукты
46.71 Услуги по оптовой торговле твердым, жидким и газообразным топливом и связанными продуктами
19.20.42.124 Битумы нефтяные строительные
19.20.21 Топливо моторное, включая автомобильный и авиационный бензин
19.20.21.310 Топливо дизельное летнее
19.20.21.335 Топливо дизельное арктическое экологического класса К5
19.20.21.315 Топливо дизельное летнее экологического класса К5
19.20.21.320 Топливо дизельное зимнее
19.20.21.322 Топливо дизельное зимнее экологического класса К2
19.20.21.300 Топливо дизельное ****</t>
  </si>
  <si>
    <t>За весь период компания заключила  7 контрактов на сумму  5 291 404 191,46 ?                                     ЗА 3 ГОДА ПО 223 ФЗ заключено 107 шт. с объемом НМЦ 772 711 801,50 ? за 1 ГОД ПО 223ФЗ заключено 28  271 352 324,50 ?</t>
  </si>
  <si>
    <t>"223 за 3 года", ".", "ГРАНДИОЗНЫЙ ПРОЕКТ 223", "Участники клиринга", "223 фз контракты 20+", "рейтинг по нмц маркер", "поставщики маркер"</t>
  </si>
  <si>
    <t>22.29 Изделия пластмассовые прочие
21.20.23.199 Средства нелечебные прочие
13.99 Изделия текстильные прочие, не включенные в другие группировки
21 Средства лекарственные и материалы, применяемые в медицинских целях
21.20.10.191 Препараты антибактериальные для системного использования
21.20.10.213 Иммуномодуляторы
14.31 Изделия чулочно-носочные трикотажные или вязаные
21.20.2 Препараты лекарственные прочие и материалы, применяемые в медицинских целях
32.50.42 Очки для коррекции зрения, защитные или прочие очки или аналогичные оптические приборы
13.99.19.111 Вата медицинская гигроскопическая ****</t>
  </si>
  <si>
    <t>За весь период компания заключила  21 контрактов на сумму  3 831 044 909,25 ? За весь период заходили в конкурсы  2 раз на общую сумму обеспеченных контрактов с НМЦ 73 184 303,51 ? с БГУ  1 419 336,38 ? с БГИ 14 193 363,78 ?</t>
  </si>
  <si>
    <t>80.2 Услуги систем обеспечения безопасности
43.21 Работы электромонтажные
33.12.1 Услуги по ремонту и техническому обслуживанию оборудования общего назначения
74 Услуги профессиональные, научные и технические, прочие
62.09 Услуги в области информационных технологий прочие и компьютерные услуги
62.03.12.130 Услуги по сопровождению компьютерных систем
62.09.2 Услуги в области информационных технологий и компьютерные услуги прочие, не включенные в другие группировки</t>
  </si>
  <si>
    <t>4 709</t>
  </si>
  <si>
    <t>За весь период контрактов 3 шт. на общую сумму НМЦ 4 391 348 150,71 ?</t>
  </si>
  <si>
    <t>Юридическое лицо находится в процессе реорганизации в форме присоединения к нему других юридических лиц от 10.04.2023, Сообщения о принятии решения о реорганизации от 10.04.2023</t>
  </si>
  <si>
    <t>"поставщики маркер", ".", "fk1", "Кредитный портфель_01.11",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t>
  </si>
  <si>
    <t>Заказчик разыгравший 26 конкурсов на сумму  6 714 536 010,67 ?</t>
  </si>
  <si>
    <t>20.13.24.149 Кислоты неорганические прочие, не включенные в другие группировки
20.59.59 Продукты разные химические, не включенные в другие группировки
20.14.34.190 Кислоты ароматические поликарбоновые, их ангидриды, галогенангидриды, пероксиды, пероксикислоты и их производные прочие
20.16 Пластмассы в первичных формах
20.59.52.194 Реактивы химические общелабораторного назначения
20.17.10.150 Каучуки хлоропреновые
21.10.20.140 Амиды, их производные и соли
20.14.41.110 Моноамины ациклические и их производные, соли этих соединений
20.59.56.140 Пластификаторы составные и стабилизаторы для резин и пластмасс
20.17 Каучуки синтетические в первичных формах ****</t>
  </si>
  <si>
    <t>"Обороты по клиентам по кварталам (2022г)", ".", "выдали", "fk1", "06.2022_ФинХД"</t>
  </si>
  <si>
    <t>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 Компьютеры и периферийное оборудование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26.30.22.000 Аппараты телефонные для сотовых сетей связи или для прочих беспроводных сетей</t>
  </si>
  <si>
    <t>21.20.23.199 Средства нелечебные прочие
20.59.52.199 Реагенты сложные диагностические или лабораторные прочие, не включенные в другие группировки
20.20.14.000 Средства дезинфекционные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t>
  </si>
  <si>
    <t>За весь период компания заключила  170 контрактов на сумму  73 021 239 448,43 ? За весь период заходили в конкурсы  273 раз на общую сумму обеспеченных контрактов с НМЦ 8 108 511 637,06 ? с БГУ  371 129 846,02 ? с БГИ 634 548 557,16 ?</t>
  </si>
  <si>
    <t>17.21.13 Ящики и коробки из гофрированной бумаги или гофрированного картона
17.2 Изделия из бумаги и картона
17.21.1 Бумага и картон гофрированные и тара бумажная и картонная</t>
  </si>
  <si>
    <t>27.32.13.130 Провода и шнуры силовые
27.32.13.140 Кабели управления, контроля, сигнализации; кабели и провода термоэлектродные
27.32.13.143 Кабели контрольные
27.32.13.191 Кабели монтажные
27.3 Кабели и арматура кабельная
27.32.13.147 Кабели и провода термоэлектродные
27.32.11 Провода обмоточные изолированные
27.32.13.141 Кабели управления
27.32 Провода и кабели электронные и электрические прочие
27.32.13.111 Кабели силовые с медной жилой на напряжение до 1 кВ ****</t>
  </si>
  <si>
    <t>За весь период компания заключила  3 контрактов на сумму  1 123 479 129,99 ?</t>
  </si>
  <si>
    <t>"поставщики маркер", ".", "fk1", "ПОС на 01.02.2023", "ПОС на 03.04.2023", "Кредитный портфель_01.11", "06.2022_ФинХД", "Обороты по клиентам по кварталам (2022г)", "производители", "рейтинг по нмц маркер"</t>
  </si>
  <si>
    <t>ПОС на 03.04.3660</t>
  </si>
  <si>
    <t>"производители", ".", "fk1", "ПОС на 03.04.2023", "Кредитный портфель_01.11", "клиенты от 100 млн", "Обороты по клиентам по кварталам (2022г)"</t>
  </si>
  <si>
    <t>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33.20.50.000 Услуги по монтажу электрического оборудования
71.12.13 Услуги по инженерно-техническому проектированию систем энергоснабжения
43.29.19.190 Работы монтажные прочие, не включенные в другие группировки</t>
  </si>
  <si>
    <t>За весь период компания заключила  36 контрактов на сумму  9 636 774 893,17 ?</t>
  </si>
  <si>
    <t>"ФК клиенты с выручкой от 230 до бесконечности", ".", "fk1", "райф", "все клиенты с выручкой от 1,8 млрд до бесконечности"</t>
  </si>
  <si>
    <t>20.15.31.000 Мочевина (карбамид)
20.15.10.120 Кислоты сульфоазотные
01.11.12 Пшеница, кроме твердой пшеницы</t>
  </si>
  <si>
    <t>ЗА 3 ГОДА ПО 223 ФЗ заключено 5 шт. с объемом НМЦ 60 597 926,80 ?</t>
  </si>
  <si>
    <t>28.22.17.110 Конвейеры
25.30.12.113 Оборудование котельное
28.22.17.111 Конвейеры ленточные
10.20.41 Мука тонкого и грубого помола и гранулы из рыбы, ракообразных, моллюсков и других водных беспозвоночных, не пригодные для употребления в пищу
10.20.41.110 Мука кормовая тонкого и грубого помола и гранулы из рыбы
25.99.29.190 Изделия прочие из недрагоценных металлов, не включенные в другие группировки
28.92.40.110 Машины для сортировки, грохочения, сепарации или промывки грунта, камня, руды и прочих минеральных веществ
28.22.1 Оборудование подъемно-транспортное и его части
10.20.22.120 Мука рыбная тонкого и грубого помола и гранулы, пригодные для употребления в пищу</t>
  </si>
  <si>
    <t>42.21.2 Работы строительные по строительству коммунальных объектов для жидкостей
27.12.22.000 Выключатели автоматические на напряжение не более 1 кВ</t>
  </si>
  <si>
    <t>"223 за 3 года", ".", "райф", "производители", "поставщики маркер"</t>
  </si>
  <si>
    <t>26.30.40 Антенны и антенные отражатели всех видов и их части; части передающей радио- и телевизионной аппаратуры и телевизионных камер
30.11.9 Услуги по переоборудованию, восстановлению и оснащению судов, плавучих платформ и конструкций; операции процесса производства судов и плавучих конструкций отдельные, выполняемые субподрядчиком
26.30 Оборудование коммуникационное
26.11 Компоненты электронные
27.90.1 Оборудование электрическое прочее и его части
28.99 Оборудование специального назначения прочее, не включенное в другие группировки
26.30.11.160 Средства связи, в том числе программное обеспечение, обеспечивающее выполнение установленных действий при проведении оперативно-розыскных мероприятий</t>
  </si>
  <si>
    <t>Отклонена ФО</t>
  </si>
  <si>
    <t>Сообщение кредитора о намерении обратиться в суд с заявлением о банкротстве от 26.03.2018</t>
  </si>
  <si>
    <t>"223 за 3 года", "свод фт", ".", "рейтинг поставщиков в маркере по бг", "лимит сит по кредитам", "рейтинг по нмц маркер", "на фт заводил Шутов", "поставщики маркер"</t>
  </si>
  <si>
    <t>20.13.24.110 Хлорид водорода, кислота соляная
20.13.24.140 Кислоты неорганические прочие
20.13.25.117 Гидроксид алюминия
20.13.32 Гипохлориты, хлораты и перхлораты
20.13.41 Сульфиды, сульфиты и сульфаты
20.13.6 Вещества химические неорганические основные прочие
20.59.52.199 Реагенты сложные диагностические или лабораторные прочие, не включенные в другие группировки
20.59.59 Продукты разные химические, не включенные в другие группировки
20.20.14.000 Средства дезинфекционные
10.84.30.140 Соль пищевая молотая ****</t>
  </si>
  <si>
    <t>За весь период компания заключила  22 контрактов на сумму  6 392 766 728,99 ? За весь период заходили в конкурсы  2 раз на общую сумму обеспеченных контрактов с НМЦ 218 037 204,00 ? с БГУ  2 202 396,00 ? с БГИ 22 023 960,00 ?                             ЗА 3 ГОДА ПО 223 ФЗ заключено 33 шт. с объемом НМЦ 393 905 326,27 ? за 1 ГОД ПО 223ФЗ заключено 22  364 740 908,07 ?</t>
  </si>
  <si>
    <t>20.30.22.230 Фольга для тиснения
22.21.3 Плиты, листы, пленка и полосы (ленты) полимерные, неармированные или не комбинированные с другими материалами</t>
  </si>
  <si>
    <t>За весь период компания заключила  24 контрактов на сумму  47 190 221 707,66 ?</t>
  </si>
  <si>
    <t>43.21.10.220 Работы по монтажу систем освещения и сигнализации автомобильных дорог, аэропортов и портов
26.51.63.130 Счетчики производства или потребления электроэнергии
26.30.50.112 Устройства приемно-контрольные охранные и охранно-пожарные
26.30.50.123 Станции пожарной сигнализации, приборы управления и оповещатели пожарные
33.20 Услуги по монтажу промышленных машин и оборудования
26.51.85.120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33.12.29.900 Услуги по ремонту и техническому обслуживанию прочего оборудования специального назначения, не включенные в другие группировки
26.51.43.117 Преобразователи измерительные унифицирующие аналого-цифровые и цифро-аналоговые ****</t>
  </si>
  <si>
    <t>За весь период компания заключила  8 контрактов на сумму  2 022 641 008,69 ? За весь период заходили в конкурсы  2 раз на общую сумму обеспеченных контрактов с НМЦ 59 537 101,24 ? с БГУ  5 953 710,16 ? с БГИ 11 907 420,32 ?                             ЗА 3 ГОДА ПО 223 ФЗ заключено 19 шт. с объемом НМЦ 140 738 591,19 ?</t>
  </si>
  <si>
    <t>"223 за 3 года", ".", "рейтинг поставщиков в маркере по бг", "06.2022_ФинХД", "все клиенты с выручкой от 1,8 млрд до бесконечности", "ФК клиенты с выручкой от 230 до бесконечности", "рейтинг заказчиков маркер", "производители", "рейтинг по нмц маркер", "это заказчик", "поставщики маркер", "44 за 3 года"</t>
  </si>
  <si>
    <t>21.20.21.120 Вакцины, анатоксины и токсины, применяемые в медицине
21.20.21.129 Вакцины и прочие лечебно-профилактические бактериальные препараты</t>
  </si>
  <si>
    <t>За весь период компания заключила  17 контрактов на сумму  46 283 559 856,58 ? За весь период заходили в конкурсы  25 раз на общую сумму обеспеченных контрактов с НМЦ 41 222 674 573,52 ? с БГУ  786 053 863,85 ? с БГИ 6 239 360 666,84 ? За 3 ГОДА по 44ФЗ заключено 3 шт. с объемом НМЦ  12 594 100 260,67 ? с БГИ 1 259 410 026,06 ? с БГГО 0,00 ? с авансированием до 0,00 ? с комиссией банку 5 641 402,98 ? с кв 49 080,21 ? ЗА 1 ГОД по 44ФЗ заключено 2 шт. c объемом НМЦ 2 468 959 335,87 ? с БГИ 246 895 933,58 ? с БГГО 0,00 ? с авансированием до  0,00 ? с комиссией банку  5 641 402,98 ? с кв 49 080,21 ?</t>
  </si>
  <si>
    <t>"44 за 3 года", ".", "рейтинг поставщиков в маркере по бг", "44 фз с с БГ от 10 млн", "производители", "рейтинг по нмц маркер", "это заказчик", "поставщики маркер"</t>
  </si>
  <si>
    <t>25.99.21.130 Ящики металлические, специально предназначенные для хранения денег и документов, и аналогичные изделия
31.01.11.121 Шкафы для одежды металлические
31.09.12.131 Столы обеденные деревянные для столовой и гостиной
32.50.13.190 Инструменты и приспособления, применяемые в медицинских целях, прочие, не включенные в другие группировки
25.99.21.114 Сейфы и шкафы взломостойкие для хранения документов и ценностей
31.01.11.190 Мебель офисная металлическая прочая
31.01.12.131 Шкафы для одежды деревянные
25.99.21.113 Сейфы и шкафы взломостойкие для хранения наркотических и специальных средств
31.01.11.122 Шкафы архивные металлические
31.01.11.123 Шкафы картотечные металлические ****</t>
  </si>
  <si>
    <t>2 368</t>
  </si>
  <si>
    <t>ЗА 3 ГОДА ПО 223 ФЗ заключено 11 шт. с объемом НМЦ 102 651 853,28 ? за 1 ГОД ПО 223ФЗ заключено 6  169 939 496,44 ?</t>
  </si>
  <si>
    <t>20.59.43.130 Антиобледенители</t>
  </si>
  <si>
    <t>За весь период компания заключила  52 контрактов на сумму  53 693 755 732,57 ? За весь период заходили в конкурсы  82 раз на общую сумму обеспеченных контрактов с НМЦ 53 874 256 841,91 ? с БГУ  2 370 160 957,22 ? с БГИ 8 790 154 785,25 ? За 3 ГОДА по 44ФЗ заключено 4 шт. с объемом НМЦ  1 762 565 571,86 ? с БГИ 176 256 557,18 ? с БГГО 7 892 580,00 ? с авансированием до 0,00 ? с комиссией банку 3 425 785,66 ? с кв 29 804,34 ? ЗА 1 ГОД по 44ФЗ заключено 3 шт. c объемом НМЦ 1 696 372 383,86 ? с БГИ 169 637 238,38 ? с БГГО 7 230 648,00 ? с авансированием до  0,00 ? с комиссией банку  3 290 497,67 ? с кв 28 627,33 ?</t>
  </si>
  <si>
    <t>68.32.13.110 Услуги по технической инвентаризации недвижимого имущества нежилого фонда
26.30.11 Аппаратура коммуникационная передающая с приемными устройствами
33.19.10 Услуги по ремонту прочего оборудования</t>
  </si>
  <si>
    <t>За весь период заходили в конкурсы  4 раз на общую сумму обеспеченных контрактов с НМЦ 270 020 000,00 ? с БГУ  496 200,00 ? с БГИ 235 220 000,00 ?</t>
  </si>
  <si>
    <t>"поставщики маркер", ".", "рейтинг поставщиков в маркере по бг", "все клиенты с выручкой от 1,8 млрд до бесконечности", "производители", "рейтинг по нмц маркер", "это заказчик", "crm управления", "в crm за Курилиным"</t>
  </si>
  <si>
    <t>За весь период компания заключила  31 контрактов на сумму  24 493 793 879,62 ? За весь период заходили в конкурсы  68 раз на общую сумму обеспеченных контрактов с НМЦ 27 411 841 104,37 ? с БГУ  1 287 386 324,15 ? с БГИ 6 332 424 577,79 ? За 3 ГОДА по 44ФЗ заключено 11 шт. с объемом НМЦ  6 837 629 073,30 ? с БГИ 1 507 151 314,38 ? с БГГО 152 059 085,78 ? с авансированием до 350 029 758,20 ? с комиссией банку 24 545 417,45 ? с кв 213 545,13 ?               ЗА 3 ГОДА ПО 223 ФЗ заключено 2 шт. с объемом НМЦ 1 362 240 240,00 ?</t>
  </si>
  <si>
    <t>"223 за 3 года", "свод фт", ".", "рейтинг поставщиков в маркере по бг", "Агентские отказ из-за непред-я док-ов", "кредиты фт", "Пункт 3.1 09.01.2023", "лимит сит по кредитам", "все клиенты с выручкой от 1,8 млрд до бесконечности", "рейтинг по нмц маркер", "на фт заводил Микульшин", "crm управления", "crm Пител", "поставщики маркер", "44 за 3 года"</t>
  </si>
  <si>
    <t>71.20.19 Услуги по техническим испытаниям и анализу прочие
62.09.20.190 Услуги по технической поддержке в области информационных технологий прочие, не включенные в другие группировки
33.13.19.000 Услуги по ремонту и техническому обслуживанию прочего профессионального электронного оборудования
32.99.53.130 Приборы, аппаратура и устройства учебные демонстрационные
33.19.10 Услуги по ремонту прочего оборудования</t>
  </si>
  <si>
    <t>ЗА 3 ГОДА ПО 223 ФЗ заключено 6 шт. с объемом НМЦ 173 577 073,44 ? за 1 ГОД ПО 223ФЗ заключено 1  102 243 360,00 ?</t>
  </si>
  <si>
    <t>"223 за 3 года", ".", "Конкурсы 100+ (Восстановленный)", "223 фз контракты 20+", "производители", "поставщики маркер", "44 за 3 года"</t>
  </si>
  <si>
    <t>23.14.11.120 Ровница и пряжа из стекловолокна
13.99.13.131 Полотна пропитанные с покрытием или дублированные вязально-прошивные из натуральных или химических нитей
37.00.11.110 Услуги по водоотведению сточных вод
20.13.21.290 Неметаллы, не включенные в другие группировки, прочие
13.92.29 Изделия текстильные готовые прочие (включая тряпки для мытья полов, посуды, удаления пыли и аналогичные текстильные изделия, спасательные жилеты и пояса)
35.22.10.110 Услуги по распределению и снабжению газовым топливом всех видов по системам распределительных трубопроводов
35.13.10.000 Услуги по распределению электроэнергии
35.30.11.120 Энергия тепловая, отпущенная котельными
35.30.12.130 Услуги по транспортированию горячей воды
23.14.12.190 Изделия из стекловолокна прочие, кроме стеклотканей ****</t>
  </si>
  <si>
    <t>За весь период компания заключила  4 контрактов на сумму  262 799 203,08 ? За весь период заходили в конкурсы  1 раз на общую сумму обеспеченных контрактов с НМЦ 155 000 000,00 ? с БГУ  7 860 000,00 ? с БГИ 47 160 000,00 ?                             ЗА 3 ГОДА ПО 223 ФЗ заключено 27 шт. с объемом НМЦ 220 486 171,68 ? за 1 ГОД ПО 223ФЗ заключено 7  162 718 854,00 ?</t>
  </si>
  <si>
    <t>"223 за 3 года", ".", "рейтинг поставщиков в маркере по бг", "Конкурсы 100+ (Восстановленный)", "223 фз контракты 20+", "производители", "рейтинг по нмц маркер", "поставщики маркер"</t>
  </si>
  <si>
    <t>1 687</t>
  </si>
  <si>
    <t>За весь период компания заключила  6 контрактов на сумму  3 129 313 552,00 ?</t>
  </si>
  <si>
    <t>Юридическим лицом принято решение об изменении места нахождения от 07.12.2021</t>
  </si>
  <si>
    <t>61.10.11.190 Услуги фиксированной телефонной связи - предоставление доступа и телефонные соединения, прочие
68.10.11.000 Услуги по покупке и продаже жилых зданий и занимаемых ими земельных участков
42.21.22.110 Работы строительные по прокладке местных трубопроводов воды или сточных вод</t>
  </si>
  <si>
    <t>За весь период компания заключила  2 контрактов на сумму  708 431 214,00 ? За весь период заходили в конкурсы  7 раз на общую сумму обеспеченных контрактов с НМЦ 1 201 330 922,77 ? с БГУ  72 341 132,07 ? с БГИ 511 169 324,40 ?</t>
  </si>
  <si>
    <t>Сообщение кредитора о намерении обратиться в суд с заявлением о банкротстве от 26.02.2020</t>
  </si>
  <si>
    <t>"поставщики маркер", ".", "рейтинг поставщиков в маркере по бг", "закрыли счет", "все клиенты с выручкой от 1,8 млрд до бесконечности", "ФК клиенты с выручкой от 230 до бесконечности", "рейтинг по нмц маркер"</t>
  </si>
  <si>
    <t>71.12.40.120 Услуги в области метрологии
33.13 Услуги по ремонту электронного и оптического оборудования
26.51.52.190 Приборы для измерения или контроля прочих переменных характеристик жидкостей и газов
33.13.11.000 Услуги по ремонту и техническому обслуживанию инструментов и приборов для измерения, испытаний и навигации
71.12.40.129 Услуги в области метрологии прочие, не включенные в другие группировки</t>
  </si>
  <si>
    <t>"223 за 3 года", ".", "fk1", "ФК клиенты с выручкой от 230 до бесконечности", "Обороты по клиентам по кварталам (2022г)", "производители", "рейтинг по нмц маркер", "поставщики маркер"</t>
  </si>
  <si>
    <t>28.12 Оборудование гидравлическое и пневматическое силовое
09.10 Услуги по добыче нефти и природного газа</t>
  </si>
  <si>
    <t>"223 за 3 года", ".", "fk1", "все клиенты с выручкой от 1,8 млрд до бесконечности", "производители", "поставщики маркер"</t>
  </si>
  <si>
    <t>35.1 Услуги по производству, передаче и распределению электроэнергии</t>
  </si>
  <si>
    <t>30.11 Корабли, суда и плавучие конструкции</t>
  </si>
  <si>
    <t>За весь период заходили в конкурсы  2 раз на общую сумму обеспеченных контрактов с НМЦ 111 173 920,00 ? с БГУ  5 770 000,00 ? с БГИ 34 620 000,00 ?</t>
  </si>
  <si>
    <t>86.10.19.000 Услуги больниц прочие
86.90.19.110 Услуги организаций санитарно-эпидемиологической службы
86.10.15.000 Услуги больниц прочие, оказываемые врачами
86.22.19.000 Услуги в области специализированной врачебной практики прочие
86.90.11.000 Услуги, связанные с беременностью
86.90.12.000 Услуги по медицинскому уходу
86.90.15 Услуги медицинских лабораторий
86 Услуги в области здравоохранения
86.22.11.000 Услуги по проведению и расшифровке медицинских исследований
86.90 Услуги в области медицины прочие ****</t>
  </si>
  <si>
    <t>1 734</t>
  </si>
  <si>
    <t>За 3 ГОДА по 44ФЗ заключено 418 шт. с объемом НМЦ  348 783 227,51 ? с БГИ 22 873 530,10 ? с БГГО 31 104,34 ? с авансированием до 0,00 ? с комиссией банку 355 727,42 ? с кв 3 094,83 ? ЗА 1 ГОД по 44ФЗ заключено 184 шт. c объемом НМЦ 133 410 715,92 ? с БГИ 9 080 173,79 ? с БГГО 12 242,17 ? с авансированием до  0,00 ? с комиссией банку  165 080,48 ? с кв 1 436,20 ?</t>
  </si>
  <si>
    <t>29.10 Средства автотранспортные
71.20.19.190 Услуги по техническим испытаниям и анализу прочие, не включенные в другие группировки
71.20.13.000 Услуги в области испытаний, исследований и анализа целостных механических и электрических систем</t>
  </si>
  <si>
    <t>28.22.15 Автопогрузчики с вилочным захватом, прочие погрузчики; тягачи, используемые на платформах железнодорожных станций
29.10.41.112 Автомобили грузовые с дизельным двигателем, имеющие технически допустимую максимальную массу свыше 3,5 т, но не более 12 т
28.92.25 Погрузчики фронтальные одноковшовые самоходные
27.90.11 Машины электрические и аппаратура специализированные
45.19.11 Услуги по оптовой торговле грузовыми автомобилями, седельными тягачами, прицепами, полуприцепами и автобусами
29.10.5 Средства автотранспортные специального назначения
28.13.26 Компрессоры поршневые объемные
28.22.14.122 Краны козловые и полукозловые электрические</t>
  </si>
  <si>
    <t>ЗА 3 ГОДА ПО 223 ФЗ заключено 18 шт. с объемом НМЦ 4 968 275 721,33 ? за 1 ГОД ПО 223ФЗ заключено 1  135 131 202,00 ?</t>
  </si>
  <si>
    <t>"223 за 3 года", "кл фт агент бг 04.22", ".", "Конкурсы 100+ (Восстановленный)", "fk1",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"223 фз контракты 20+", "производители", "рейтинг по нмц маркер", "поставщики маркер"</t>
  </si>
  <si>
    <t>На 25.04.2023 11:43 имеются действующие решения ФНС о приостановлении операций по счетам</t>
  </si>
  <si>
    <t>За весь период компания заключила  1 контрактов на сумму  1 837 521 554,64 ?</t>
  </si>
  <si>
    <t>За весь период контрактов 4 шт. на общую сумму НМЦ 2 369 952 995,80 ?</t>
  </si>
  <si>
    <t>Сообщение кредитора о намерении обратиться в суд с заявлением о банкротстве от 10.09.2018</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</si>
  <si>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68.10.14.000 Услуги по покупке и продаже нежилых зданий и занимаемых ими земельных участков
42.99.12.120 Объекты и сооружения для отдыха
42.99.12.124 Территории парковые и парки для отдыха
68.10.11.000 Услуги по покупке и продаже жилых зданий и занимаемых ими земельных участков
41.20.20.160 Здания предприятий строительной индустрии, транспорта и связи
41.20.20.180 Здания предприятий здравоохранения, науки и научного обслуживания, образования, культуры и искусства
42.21.22.110 Работы строительные по прокладке местных трубопроводов воды или сточных вод</t>
  </si>
  <si>
    <t>"44 за 3 года", "свод фт", ".", "рейтинг поставщиков в маркере по бг", "лимит сит по кредитам", "все клиенты с выручкой от 1,8 млрд до бесконечности", "44 фз с с БГ от 10 млн", "производители", "рейтинг по нмц маркер", "на фт заводил Хацкевич", "поставщики маркер"</t>
  </si>
  <si>
    <t>25.11.23.119 Конструкции и детали конструкций из черных металлов прочие, не включенные в другие группировки
25.11 Металлоконструкции строительные и их части
30.20.40.172 Пересечения глухие, съезды перекрестные, крестовины, скрепления широкой колеи
25.11.23.110 Конструкции и детали конструкций из черных металлов
25.99.29.190 Изделия прочие из недрагоценных металлов, не включенные в другие группировки</t>
  </si>
  <si>
    <t>За весь период компания заключила  12 контрактов на сумму  19 760 627 284,90 ?                                     ЗА 3 ГОДА ПО 223 ФЗ заключено 10 шт. с объемом НМЦ 34 107 764 404,80 ? за 1 ГОД ПО 223ФЗ заключено 20  68 215 528 809,60 ?</t>
  </si>
  <si>
    <t>58.29.12.000 Обеспечение программное сетевое на электронном носителе
62.02.30.000 Услуги по технической поддержке информационных технологий</t>
  </si>
  <si>
    <t>За весь период контрактов 3 шт. на общую сумму НМЦ 5 348 780 293,78 ?</t>
  </si>
  <si>
    <t>Юридическое лицо находится в процессе реорганизации в форме присоединения к нему других юридических лиц от 17.03.2023, Сообщения о принятии решения о реорганизации от 16.03.2023</t>
  </si>
  <si>
    <t>За весь период компания заключила  1 контрактов на сумму  4 554 190 013,76 ?</t>
  </si>
  <si>
    <t>24.45 Металлы цветные прочие</t>
  </si>
  <si>
    <t>33.15 Услуги по ремонту и техническому обслуживанию судов и лодок
52.22.19.142 Услуги по снабженческому (шипчандлерскому) обслуживанию судов, включая бункеровку судов топливом, обслуживание судов в период стоянки в портах: агентирование судов, обследовательское (сюрвейерское) обслуживание судов на морском транспорте
52.22.13.120 Услуги по постановке судов к причалу в морских и прибрежных водах
30.11.24.115 Суда грузопассажирские морские
30.11.91.000 Услуги по переоборудованию и восстановлению судов, плавучих платформ и конструкций</t>
  </si>
  <si>
    <t>За весь период контрактов 11 шт. на общую сумму НМЦ 3 699 702 331,03 ?</t>
  </si>
  <si>
    <t>Сообщение кредитора о намерении обратиться в суд с заявлением о банкротстве от 20.08.2018</t>
  </si>
  <si>
    <t>"223 за 3 года", ".", "рейтинг поставщиков в маркере по бг", "выдали", "fk1", "Кредитный портфель_01.11", "06.2022_ФинХД", "Обороты по клиентам по кварталам (2022г)", "производители", "рейтинг по нмц маркер", "это заказчик"</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</si>
  <si>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08.12.11 Пески природные
08.12.11.130 Пески строительные</t>
  </si>
  <si>
    <t>За весь период заходили в конкурсы  1 раз на общую сумму обеспеченных контрактов с НМЦ 46 228 179,00 ? с БГУ  2 526 130,00 ? с БГИ 15 156 780,00 ?</t>
  </si>
  <si>
    <t>17.23.1 Принадлежности канцелярские бумажные</t>
  </si>
  <si>
    <t>За весь период контрактов 1 шт. на общую сумму НМЦ 11 047 419 089,90 ?</t>
  </si>
  <si>
    <t>Юридическое лицо находится в процессе реорганизации в форме присоединения к нему других юридических лиц от 10.03.2023, Сообщения о принятии решения о реорганизации от 09.03.2023</t>
  </si>
  <si>
    <t>2 231</t>
  </si>
  <si>
    <t>За весь период компания заключила  7 контрактов на сумму  5 429 580 196,82 ?</t>
  </si>
  <si>
    <t>"это заказчик", ".", "райф", "06.2022_ФинХД", "все клиенты с выручкой от 1,8 млрд до бесконечности", "рейтинг по нмц маркер"</t>
  </si>
  <si>
    <t>За весь период заходили в конкурсы  1 раз на общую сумму обеспеченных контрактов с НМЦ 132 115 433,81 ? с БГУ  660 577,17 ? с БГИ 6 605 771,69 ?</t>
  </si>
  <si>
    <t>Сообщения о принятии решения о реорганизации от 26.08.2022</t>
  </si>
  <si>
    <t>"поставщики маркер", ".", "рейтинг поставщиков в маркере по бг", "это заказчик"</t>
  </si>
  <si>
    <t>26.20.16.150 Сканеры
26.70.13.000 Видеокамеры цифровые
26.40.51.000 Части и принадлежности звукового и видеооборудования
26.30.11.190 Аппаратура коммуникационная передающая с приемными устройствами прочая, не включенная в другие группировки
58.29.29.000 Обеспечение программное прикладное прочее на электронном носителе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32.30.15.113 Инвентарь для футбола и ручного мяча ****</t>
  </si>
  <si>
    <t>За весь период компания заключила  7 контрактов на сумму  2 091 930 509,15 ? За весь период заходили в конкурсы  17 раз на общую сумму обеспеченных контрактов с НМЦ 4 666 896 636,22 ? с БГУ  229 536 734,14 ? с БГИ 675 828 478,32 ? За 3 ГОДА по 44ФЗ заключено 17 шт. с объемом НМЦ  3 459 968 426,38 ? с БГИ 493 410 175,48 ? с БГГО 204 799 229,25 ? с авансированием до 662 312 846,67 ? с комиссией банку 12 166 524,53 ? с кв 105 848,76 ? ЗА 1 ГОД по 44ФЗ заключено 11 шт. c объемом НМЦ 2 380 702 562,18 ? с БГИ 382 541 589,06 ? с БГГО 170 437 592,92 ? с авансированием до  488 479 513,34 ? с комиссией банку  10 592 756,21 ? с кв 92 156,98 ?</t>
  </si>
  <si>
    <t>"44 за 3 года", ".", "рейтинг поставщиков в маркере по бг", "Конкурсы 100+ (Восстановленный)", "44 фз с с БГ от 10 млн", "рейтинг заказчиков маркер", "производители", "рейтинг по нмц маркер", "это заказчик", "поставщики маркер"</t>
  </si>
  <si>
    <t>"поставщики маркер", ".", "fk1", "ПОС на 01.02.2023", "ПОС на 03.04.2023", "Кредитный портфель_01.11", "Пункт 3.1 09.01.2023", "корп 1", "06.2022_ФинХД", "клиенты от 100 млн", "Обороты по клиентам по кварталам (2022г)", "Участники клиринга"</t>
  </si>
  <si>
    <t>84.24.19 Услуги, связанные с обеспечением общественного порядка и безопасности, прочие
73.11.19.000 Услуги рекламные прочие</t>
  </si>
  <si>
    <t>"223 за 3 года", "свод фт", ".", "лимит сит по кредитам", "производители", "на фт заводил Егоров ", "crm управления", "в crm за Егоровым ", "поставщики маркер"</t>
  </si>
  <si>
    <t>Заказчик разыгравший 1 конкурсов на сумму  1 764 487 802,14 ?</t>
  </si>
  <si>
    <t>"223 за 3 года", "свод фт", ".", "кредиты фт", "лимит сит по кредитам", "на фт заводил Шаклейн", "поставщики маркер"</t>
  </si>
  <si>
    <t>24.10.62.124 Прокат сортовой горячекатаный полосовой прочий, без дополнительной обработки, включая смотанный после прокатки, из нелегированных сталей
24.20.13.130 Трубы стальные электросварные
24.10.23.141 Полуфабрикаты, полученные непрерывным литьем круглого или многоугольного сечения из прочих легированных сталей
24.10.62.121 Прокат сортовой горячекатаный круглый прочий, без дополнительной обработки, включая смотанный после прокатки, из нелегированных сталей
25.93.13.111 Ткани металлические из черных металлов
28.14.11.129 Арматура регулирующая прочая
27.33.13.130 Арматура кабельная
24.10.33.000 Прокат листовой горячекатаный из нержавеющих сталей, без дополнительной обработки, шириной не менее 600 мм
24.20.14.110 Трубы некруглого сечения стальные
24.20.14.120 Профили пустотелые стальные ****</t>
  </si>
  <si>
    <t>За весь период компания заключила  1 контрактов на сумму  836 961 197,00 ?</t>
  </si>
  <si>
    <t>"поставщики маркер", ".", "п6", "fk1",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t>
  </si>
  <si>
    <t>68 Услуги по операциям с недвижимым имуществом
10.39.25.139 Фрукты сушеные прочие</t>
  </si>
  <si>
    <t>За весь период контрактов 8 шт. с общей суммой НМЦ 690 171 153,67 ? с БГУ 68962306,64 и БГИ 137 924 613,34 ?</t>
  </si>
  <si>
    <t>ПОС на 03.04.3706</t>
  </si>
  <si>
    <t>56.10.12.111 Услуги по обеспечению питанием в железнодорожных вагонах-ресторанах</t>
  </si>
  <si>
    <t>1 857</t>
  </si>
  <si>
    <t>За весь период компания заключила  3 контрактов на сумму  829 944 367,59 ?</t>
  </si>
  <si>
    <t>Сообщение кредитора о намерении обратиться в суд с заявлением о банкротстве от 13.08.2019</t>
  </si>
  <si>
    <t>35.11.10.112 Электроэнергия, произведенная теплоэлектроцентралями (ТЭЦ) общего назначения
35.11.10.122 Электроэнергия, произведенная блок-станциями теплоэлектроцентралей (ТЭЦ)
35.30.11.130 Энергия тепловая, отпущенная электрокотлами
35.30.12.110 Услуги по приготовлению воды на нужды горячего водоснабжения
36.00.30.000 Услуги по торговле водой, поставляемой по трубопроводам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35.30.22.000 Услуги по снабжению охлажденным воздухом и охлажденной водой ****</t>
  </si>
  <si>
    <t>2 014</t>
  </si>
  <si>
    <t>ЗА 3 ГОДА ПО 223 ФЗ заключено 41 шт. с объемом НМЦ 368 002 568,24 ? за 1 ГОД ПО 223ФЗ заключено 19  333 356 992,72 ?</t>
  </si>
  <si>
    <t>21.2 Препараты лекарственные и материалы, применяемые в медицинских целях</t>
  </si>
  <si>
    <t>26.20.12.110 Терминалы кассовые, подключаемые к компьютеру или сети передачи данных
26.20.40.120 Элементы замены типовые устройств ввода и вывода
29.32.30.163 Тахографы
28.23.13.120 Аппараты контрольно-кассовые
33.20.50.000 Услуги по монтажу электрического оборудования
62.01 Продукты программные и услуги по разработке и тестированию программного обеспечения
28.23.13.190 Машины, содержащие счетные устройства, прочие, не включенные в другие группировки
43.21.10 Работы электромонтажные
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28.23 Машины офисные и оборудование, кроме компьютеров и периферийного оборудования ****</t>
  </si>
  <si>
    <t>За весь период компания заключила  14 контрактов на сумму  5 843 045 192,57 ? За весь период заходили в конкурсы  14 раз на общую сумму обеспеченных контрактов с НМЦ 4 223 824 728,44 ? с БГУ  214 756 516,17 ? с БГИ 997 857 409,57 ?</t>
  </si>
  <si>
    <t>"223 за 3 года", ".", "рейтинг поставщиков в маркере по бг", "fk1", "06.2022_ФинХД", "Обороты по клиентам по кварталам (2022г)", "производители", "рейтинг по нмц маркер"</t>
  </si>
  <si>
    <t>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27.90.40.190 Оборудование электрическое прочее, не включенное в другие группировки
27.1 Электродвигатели, генераторы, трансформаторы и электрическая распределительная и контрольно-измерительная аппаратура
26.30 Оборудование коммуникационное
26.30.12.000 Аппаратура коммуникационная передающая без приемных устройств
26.30.11.110 Средства связи, выполняющие функцию систем коммутации
26.30.11.120 Средства связи, выполняющие функцию цифровых транспортных систем
47.99.50.000 Услуги по осуществлению розничных продаж комиссионными агентами вне магазинов</t>
  </si>
  <si>
    <t>Гарантия завершена;Гарантия отправлена
Гарантия завершена;Заявка отозвана клиентом;Отказ из-за непредставления документов;Отклонена банком</t>
  </si>
  <si>
    <t>"поставщики маркер", "кл фт прямые бг 04.22", "свод фт", ".", "беники", "УПП на 2 номер", "fk1", "клиенты управления по БГ без открытых счетов", "2. Финтендер 2022 31.03.22 Григорян для СПАРК", "клиенты с в от100млн 09.21", "Действующий клиент мсб с выр от 30 млн на 05.21", "все клиенты с выручкой от 1,8 млрд до бесконечности", "портфель", "ФК клиенты с выручкой от 230 до бесконечности", "клиенты от 100 млн", "Обороты по клиентам по кварталам (2022г)", "ФТ клиенты с продуктами по сотрудникам", "производители", "рейтинг по нмц маркер", "это заказчик", "на фт заводил Егоров "</t>
  </si>
  <si>
    <t>26.51.41.110 Приборы, установки, системы дозиметрические
26.60.11.119 Аппараты рентгеновские прочие, используемые для диагностики, применяемые в медицинских целях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33.12.29.900 Услуги по ремонту и техническому обслуживанию прочего оборудования специального назначения, не включенные в другие группировки
26.60.11.130 Части и принадлежности аппаратов, основанных на использовании рентгеновского или альфа-, бета- или гамма-излучений, применяемых в медицинских целях, включая хирургию, стоматологию, ветеринарию
26.60.12.132 Аппараты ультразвукового сканирования
26.60.12.129 Приборы и аппараты для функциональной диагностики прочие, применяемые в медицинских целях, не включенные в другие группировки
26.60.13.190 Оборудование для электротерапии прочее, не включенное в другие группировки
33.13.19.000 Услуги по ремонту и техническому обслуживанию прочего профессионального электронного оборудования ****</t>
  </si>
  <si>
    <t>За весь период компания заключила  13 контрактов на сумму  829 894 960,64 ? За весь период заходили в конкурсы  32 раз на общую сумму обеспеченных контрактов с НМЦ 3 572 296 743,28 ? с БГУ  57 161 785,96 ? с БГИ 490 773 329,73 ? За 3 ГОДА по 44ФЗ заключено 62 шт. с объемом НМЦ  3 037 226 210,15 ? с БГИ 361 739 735,69 ? с БГГО 91 149 634,43 ? с авансированием до 21 482 440,00 ? с комиссией банку 4 526 945,56 ? с кв 39 384,43 ? ЗА 1 ГОД по 44ФЗ заключено 26 шт. c объемом НМЦ 1 031 546 977,43 ? с БГИ 138 754 104,93 ? с БГГО 16 411 899,73 ? с авансированием до  21 482 440,00 ? с комиссией банку  2 140 703,03 ? с кв 18 624,12 ?</t>
  </si>
  <si>
    <t>"44 за 3 года", ".", "рейтинг поставщиков в маркере по бг", "ГРАНДИОЗНЫЙ ПРОЕКТ", "Конкурсы 100+ (Восстановленный)", "fk1", "клиенты с в от100млн 09.21", "все клиенты с выручкой от 1,8 млрд до бесконечности", "Обороты по клиентам по кварталам (2022г)", "44 фз с с БГ от 10 млн", "рейтинг по нмц маркер", "поставщики маркер"</t>
  </si>
  <si>
    <t>71.20.1 Услуги в области технических испытаний, исследований и анализа
71 Услуги в области архитектуры и инженерно-технического проектирования, технических испытаний, исследований и анализа
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
74.90.2 Услуги профессиональные, технические и коммерческие, прочие, не включенные в другие группировки
62.01 Продукты программные и услуги по разработке и тестированию программного обеспечения
42.22.21 Работы строительные по прокладке магистральных линий электропередачи и связи
71.12.13 Услуги по инженерно-техническому проектированию систем энергоснабжения
74.9 Услуги профессиональные, научные и технические, прочие, не включенные в другие группировки
42.22 Сооружения и строительные работы по строительству коммунальных объектов для электроснабжения и связи
71.20.19.190 Услуги по техническим испытаниям и анализу прочие, не включенные в другие группировки ****</t>
  </si>
  <si>
    <t>За весь период компания заключила  43 контрактов на сумму  7 770 719 766,87 ? За весь период заходили в конкурсы  6 раз на общую сумму обеспеченных контрактов с НМЦ 1 123 811 894,37 ? с БГУ  62 700 052,68 ? с БГИ 140 147 957,95 ?</t>
  </si>
  <si>
    <t>Сообщение кредитора о намерении обратиться в суд с заявлением о банкротстве от 16.02.2018</t>
  </si>
  <si>
    <t>"44 за 3 года", ".", "рейтинг поставщиков в маркере по бг", "ГРАНДИОЗНЫЙ ПРОЕКТ", "беники", "все клиенты с выручкой от 1,8 млрд до бесконечности", "рейтинг заказчиков маркер", "производители", "рейтинг по нмц маркер", "это заказчик", "поставщики маркер"</t>
  </si>
  <si>
    <t>71.1 Услуги в области архитектуры, инженерно-технического проектирования и связанные технические консультативные услуги
42.12.20.190 Работы строительные по строительству наземных и подземных железных дорог прочие, не включенные в другие группировки
71.12.12.190 Услуги по инженерно-техническому проектированию зданий прочие, не включенные в другие группировки</t>
  </si>
  <si>
    <t>За 3 года по 223ФЗ заключено  5 шт контрактов на сумму 582 933 668,87 ?</t>
  </si>
  <si>
    <t>"223 за 3 года", ".", "Конкурсы 100+ (Восстановленный)", "все клиенты с выручкой от 1,8 млрд до бесконечности", "223 фз контракты 20+", "производители", "crm управления", "в crm за Муслимом", "поставщики маркер"</t>
  </si>
  <si>
    <t>24.44.22.110 Прутки медные
24.45.30.390 Металлы цветные прочие, изделия из них, порошки
24.44.24.110 Плиты и листы медные
24.44.24.120 Полосы и ленты из меди толщиной более 0,15 мм
24.44.23.000 Проволока медная
24.45.30 Металлы цветные и продукция из них; спеченные материалы (керметы), зола и остатки, содержащие металлы или соединения металлов, прочие</t>
  </si>
  <si>
    <t>"рейтинг по нмц маркер", "кл фт агент ВКЛ/РКО 04.22", ".", "п6", "fk1", "Ссуды ФБ 29.04.2022 банкр.", "АИЛ портфель", "все клиенты с выручкой от 1,8 млрд до бесконечности", "филиал бизнес 01.03.22", "филиал бизнес 22.11", "клиенты от 100 млн", "Обороты по клиентам по кварталам (2022г)", "ФТ клиенты с продуктами по сотрудникам"</t>
  </si>
  <si>
    <t>35.11.10.112 Электроэнергия, произведенная теплоэлектроцентралями (ТЭЦ) общего назначения
36.00.1 Вода природная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35.12.10.120 Услуги по технологическому присоединению к распределительным электросетям ****</t>
  </si>
  <si>
    <t>За весь период контрактов 20 шт. на общую сумму НМЦ 3 125 840 337,17 ?</t>
  </si>
  <si>
    <t>Сообщения о принятии решения о реорганизации от 23.09.2019</t>
  </si>
  <si>
    <t>"223 за 3 года", ".", "рейтинг поставщиков в маркере по бг", "беники", "все клиенты с выручкой от 1,8 млрд до бесконечности", "рейтинг заказчиков маркер", "производители", "рейтинг по нмц маркер", "это заказчик", "поставщики маркер", "44 за 3 года"</t>
  </si>
  <si>
    <t>35.11.10.112 Электроэнергия, произведенная теплоэлектроцентралями (ТЭЦ) общего назначения
35.11.10.143 Электроэнергия, произведенная геотермальными электростанциями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35.12.10.120 Услуги по технологическому присоединению к распределительным электросетям
35.13.10.000 Услуги по распределению электроэнергии
35.11.10.114 Электроэнергия, произведенная дизельными электростанциями (ДЭС) общего назначения
35.11.10.115 Электроэнергия, произведенная атомными электростанциями (АЭС) общего назначения
35.14.10.000 Услуги по торговле электроэнергией ****</t>
  </si>
  <si>
    <t>2 091</t>
  </si>
  <si>
    <t>За весь период компания заключила  5 контрактов на сумму  3 917 786 377,11 ?</t>
  </si>
  <si>
    <t>Сообщения о принятии решения о реорганизации от 04.05.2022</t>
  </si>
  <si>
    <t>За весь период заходили в конкурсы  8 раз на общую сумму обеспеченных контрактов с НМЦ 368 315 991,34 ? с БГУ  11 404 164,72 ? с БГИ 50 591 156,67 ?</t>
  </si>
  <si>
    <t>84.25.11 Услуги по тушению и предупреждению пожаров; услуги по обеспечению безопасности в области использования атомной энергии
52.21.1 Услуги, связанные с железнодорожным транспортом</t>
  </si>
  <si>
    <t>Заказчик разыгравший 50 конкурсов на сумму  17 286 649 364,06 ?</t>
  </si>
  <si>
    <t>"поставщики маркер", ".", "райф", "все клиенты с выручкой от 1,8 млрд до бесконечности", "рейтинг заказчиков маркер", "рейтинг по нмц маркер", "это заказчик"</t>
  </si>
  <si>
    <t>28.13.14.110 Насосы центробежные подачи жидкостей прочие
46.6 Услуги по оптовой торговле прочими машинами, оборудованием и инструментами
28.25.20.119 Вентиляторы общего назначения прочие
26.11.40.190 Части прочих электронных компонентов, не включенные в другие группировки
26.51.43.115 Измерители частоты и временных интервалов цифровые
27.1 Электродвигатели, генераторы, трансформаторы и электрическая распределительная и контрольно-измерительная аппаратура
28.13 Насосы и компрессоры прочие
28.13.14 Насосы центробежные подачи жидкостей прочие; насосы прочие
28.25.12.190 Оборудование для кондиционирования воздуха прочее, не включенное в другие группировки
28.25.20.111 Вентиляторы осевые ****</t>
  </si>
  <si>
    <t>33.2 Услуги по монтажу промышленных машин и оборудования
43.29 Работы строительно-монтажные прочие
33.12 Услуги по ремонту оборудования
43.91.19 Работы кровельные прочие
33.14 Услуги по ремонту электрического оборудования
42 Сооружения и строительные работы в области гражданского строительства
33.11 Услуги по ремонту металлоизделий</t>
  </si>
  <si>
    <t>За весь период контрактов 15 шт. на общую сумму НМЦ 19 392 254 043,31 ?</t>
  </si>
  <si>
    <t>"223 за 3 года", ".", "просрочка на 01.01.2023 г.", "Запрос в ЮД_просрочка на 01.01.2023", "все клиенты с выручкой от 1,8 млрд до бесконечности", "производители", "рейтинг по нмц маркер", "поставщики маркер"</t>
  </si>
  <si>
    <t>19.20.21.400 Топливо судовое
19.20.21.300 Топливо дизельное</t>
  </si>
  <si>
    <t>За весь период контрактов 1 шт. на общую сумму НМЦ 1 206 000 000,00 ?</t>
  </si>
  <si>
    <t>"223 за 3 года", ".", "все клиенты с выручкой от 1,8 млрд до бесконечности", "Участники клиринга", "производители", "рейтинг по нмц маркер"</t>
  </si>
  <si>
    <t>49.20.13.000 Услуги железнодорожного транспорта по перевозке жидких и газообразных грузов в массе (наливом) в вагонах-цистернах
49.20.12 Услуги железнодорожного транспорта по перевозке нефтепродуктов в вагонах-цистернах</t>
  </si>
  <si>
    <t>Заказчик разыгравший 2 конкурсов на сумму  2 128 295 136,00 ?</t>
  </si>
  <si>
    <t>35.11.10.112 Электроэнергия, произведенная теплоэлектроцентралями (ТЭЦ) общего назначения
36.00.20.130 Услуги по транспортированию и распределению воды по водопроводам
36.00.11.000 Вода питьевая</t>
  </si>
  <si>
    <t>1 753</t>
  </si>
  <si>
    <t>Сообщение кредитора о намерении обратиться в суд с заявлением о банкротстве от 05.04.2021</t>
  </si>
  <si>
    <t>27.90.33.110 Комплектующие (запасные части) прочего электрического оборудования, не имеющие самостоятельных группировок
26.20.16.150 Сканеры
26.51.64.190 Приборы для измерения параметров движения и количества прочие
26.20.18.000 Устройства периферийные с двумя или более функциями: печать данных, копирование, сканирование, прием и передача факсимильных сообщений
26.30.50.112 Устройства приемно-контрольные охранные и охранно-пожарные
26.70.13.000 Видеокамеры цифровые
33.13.13.000 Услуги по ремонту и техническому обслуживанию профессиональных оптических приборов и фотооборудования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61.90.10.190 Услуги телекоммуникационные прочие, не включенные в другие группировки
26.30.50.151 Средства управления запирающие специальные с дистанционным контролем и дистанционным управлением ****</t>
  </si>
  <si>
    <t>За весь период контрактов 78 шт. на общую сумму НМЦ 23 777 565 550,52 ?</t>
  </si>
  <si>
    <t>"223 за 3 года", ".", "рейтинг поставщиков в маркере по бг", "ГРАНДИОЗНЫЙ ПРОЕКТ", "беники", "Конкурсы 100+ (Восстановленный)", "все клиенты с выручкой от 1,8 млрд до бесконечности", "44 фз с с БГ от 10 млн", "рейтинг заказчиков маркер", "производители", "рейтинг по нмц маркер", "поставщики маркер", "44 за 3 года"</t>
  </si>
  <si>
    <t>24.20.12.110 Трубы обсадные бесшовные стальные
28.92.61.110 Комплектующие (запасные части) бурильных и проходческих машин, не имеющие самостоятельных группировок</t>
  </si>
  <si>
    <t>43.99.90.190 Работы строительные специализированные прочие, не включенные в другие группировки
43.99.3 Работы свайные; работы по строительству фундаментов
41.20.40.900 Работы строительные по возведению нежилых зданий и сооружений прочие, не включенные в другие группировки
42.99 Сооружения и строительные работы по строительству прочих гражданских сооружений, не включенных в другие группировки
71.12.19.200 Услуги по инженерно-техническому проектированию прочих объектов культурного наследия, не включенных в другие группировки
42.9 Сооружения и строительные работы по строительству прочих гражданских сооружений</t>
  </si>
  <si>
    <t>За весь период компания заключила  4 контрактов на сумму  1 806 894 757,84 ? За весь период заходили в конкурсы  2 раз на общую сумму обеспеченных контрактов с НМЦ 108 779 670,00 ? с БГУ  553 060,70 ? с БГИ 11 061 214,00 ?</t>
  </si>
  <si>
    <t>"44 за 3 года", ".", "рейтинг поставщиков в маркере по бг", "fk1", "просрочка на 01.01.2023 г.", "Запрос в ЮД_просрочка на 01.01.2023", "все клиенты с выручкой от 1,8 млрд до бесконечности", "Обороты по клиентам по кварталам (2022г)", "производители", "рейтинг по нмц маркер", "поставщики маркер"</t>
  </si>
  <si>
    <t>Сообщение кредитора о намерении обратиться в суд с заявлением о банкротстве от 12.05.2021</t>
  </si>
  <si>
    <t>"это заказчик", ".",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t>
  </si>
  <si>
    <t>26.60.11.119 Аппараты рентгеновские прочие, используемые для диагностики, применяемые в медицинских целях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32.50.21.112 Оборудование терапевтические
32.50.21.121 Аппараты для ингаляционного наркоза
32.50.21.122 Аппараты дыхательные реанимационные
26.60.11.110 Аппараты, основанные на использовании рентгеновского излучения, применяемые в медицинских целях, включая хирургию, стоматологию, ветеринарию
26.60.11.113 Аппараты рентгенографические
26.60.12.119 Аппараты электродиагностические прочие
26.60.12.122 Средства измерений массы, силы, энергии, линейных и угловых величин, температуры ****</t>
  </si>
  <si>
    <t>За весь период компания заключила  15 контрактов на сумму  2 843 123 180,39 ? За весь период заходили в конкурсы  59 раз на общую сумму обеспеченных контрактов с НМЦ 9 441 855 797,15 ? с БГУ  119 670 956,43 ? с БГИ 1 646 399 373,53 ? За 3 ГОДА по 44ФЗ заключено 102 шт. с объемом НМЦ  5 178 417 473,58 ? с БГИ 668 931 369,65 ? с БГГО 165 904 050,67 ? с авансированием до 203 175 010,12 ? с комиссией банку 2 111 546,09 ? с кв 18 370,45 ? ЗА 1 ГОД по 44ФЗ заключено 22 шт. c объемом НМЦ 682 010 369,05 ? с БГИ 65 542 698,92 ? с БГГО 18 539 075,00 ? с авансированием до  39 583 269,81 ? с комиссией банку  820 002,17 ? с кв 7 134,02 ? ЗА 3 ГОДА ПО 223 ФЗ заключено 6 шт. с объемом НМЦ 624 313 333,00 ?</t>
  </si>
  <si>
    <t>"223 за 3 года", ".", "рейтинг поставщиков в маркере по бг", "ГРАНДИОЗНЫЙ ПРОЕКТ", "Конкурсы 100+ (Восстановленный)", "fk1", "Кредитный портфель_01.11",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"44 фз с с БГ от 10 млн", "рейтинг по нмц маркер", "поставщики маркер", "44 за 3 года"</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</si>
  <si>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71.20.19 Услуги по техническим испытаниям и анализу прочие
09.10.1 Услуги по обеспечению добычи нефти и природного газа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25.73.60.120 Инструменты для бурения скальных пород или грунтов
28.99 Оборудование специального назначения прочее, не включенное в другие группировки
09.1 Услуги по добыче нефти и природного газа
09.10.11.190 Услуги по бурению, связанные с добычей нефти и горючего природного газа, не включенные в другие группировки</t>
  </si>
  <si>
    <t>За весь период контрактов 44 шт. на общую сумму НМЦ 93 968 424 518,42 ?</t>
  </si>
  <si>
    <t>За весь период компания заключила  54 контрактов на сумму  84 791 447 663,30 ?</t>
  </si>
  <si>
    <t>"рейтинг по нмц маркер", ".", "п6", "все клиенты с выручкой от 1,8 млрд до бесконечности"</t>
  </si>
  <si>
    <t>27.12.1 Устройства для коммутации или защиты электрических цепей на напряжение более 1 кВ
27.90 Оборудование электрическое прочее
27.1 Электродвигатели, генераторы, трансформаторы и электрическая распределительная и контрольно-измерительная аппаратура
27.12.32.000 Панели и прочие комплекты электрической аппаратуры коммутации или защиты на напряжение более 1 кВ
71.12.19.100 Услуги по инженерно-техническому проектированию прочих объектов, кроме объектов культурного наследия
27.11.4 Трансформаторы электрические
27.12 Аппаратура распределительная и регулирующая электрическая</t>
  </si>
  <si>
    <t>"на фт заводил Кашин", "свод фт", ".", "кредиты фт", "лимит сит по кредитам", "производители"</t>
  </si>
  <si>
    <t>"Обороты по клиентам по кварталам (2022г)", "."</t>
  </si>
  <si>
    <t>25.11.23.119 Конструкции и детали конструкций из черных металлов прочие, не включенные в другие группировки
26.30.11.150 Средства связи радиоэлектронные
43.99.90.190 Работы строительные специализированные прочие, не включенные в другие группировки
26.30.50.151 Средства управления запирающие специальные с дистанционным контролем и дистанционным управлением
26.30.50.110 Приборы и аппаратура для систем охранной сигнализации
41.20.40.900 Работы строительные по возведению нежилых зданий и сооружений прочие, не включенные в другие группировки
42.22.23.120 Работы по вводу в эксплуатацию атомных электростанций
28.99.39.190 Оборудование специального назначения прочее, не включенное в другие группировки
43.21.10.140 Работы по монтажу систем пожарной сигнализации и охранной сигнализации
43.21.10 Работы электромонтажные ****</t>
  </si>
  <si>
    <t>За весь период компания заключила  31 контрактов на сумму  7 812 459 909,84 ? За весь период заходили в конкурсы  4 раз на общую сумму обеспеченных контрактов с НМЦ 625 713 125,81 ? с БГУ  11 601 442,86 ? с БГИ 116 243 751,82 ? За 3 ГОДА по 44ФЗ заключено 8 шт. с объемом НМЦ  492 416 088,39 ? с БГИ 71 918 514,41 ? с БГГО 2 293 505,00 ? с авансированием до 199 007 550,00 ? с комиссией банку 1 760 909,03 ? с кв 15 319,91 ? ЗА 1 ГОД по 44ФЗ заключено 4 шт. c объемом НМЦ 402 088 450,86 ? с БГИ 59 905 932,54 ? с БГГО 0,00 ? с авансированием до  199 007 550,00 ? с комиссией банку  1 636 841,72 ? с кв 14 240,52 ? ЗА 3 ГОДА ПО 223 ФЗ заключено 33 шт. с объемом НМЦ 1 068 758 667,76 ? за 1 ГОД ПО 223ФЗ заключено 7  461 162 817,28 ?</t>
  </si>
  <si>
    <t>"223 за 3 года", ".", "рейтинг поставщиков в маркере по бг", "fk1", "корп 2", "Кредитный портфель_01.11", "06.2022_ФинХД", "Обороты по клиентам по кварталам (2022г)", "223 фз контракты 20+", "44 фз с с БГ от 10 млн", "производители", "рейтинг по нмц маркер", "это заказчик", "поставщики маркер", "44 за 3 года"</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</si>
  <si>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35.11.10 Электроэнергия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t>
  </si>
  <si>
    <t>За весь период компания заключила  39 контрактов на сумму  2 443 162 674,97 ? За весь период заходили в конкурсы  1 раз на общую сумму обеспеченных контрактов с НМЦ 67 531 959,79 ? с БГУ  4 561 000,00 ? с БГИ 27 366 000,00 ?                             ЗА 3 ГОДА ПО 223 ФЗ заключено 61 шт. с объемом НМЦ 183 517 043,28 ? за 1 ГОД ПО 223ФЗ заключено 23  53 356 050,04 ?</t>
  </si>
  <si>
    <t>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43.21 Работы электромонтажные
33.12.29.900 Услуги по ремонту и техническому обслуживанию прочего оборудования специального назначения, не включенные в другие группировки
43.11.10.000 Работы по сносу зданий и сооружений
35.12.10.120 Услуги по технологическому присоединению к распределительным электросетям
35.13.10.000 Услуги по распределению электроэнергии
43.21.10.120 Работы электромонтажные, связанные с установкой приборов
35.14.10.000 Услуги по торговле электроэнергией
35.11.10.116 Электроэнергия, произведенная гидроэлектростанциями (ГЭС) общего назначения ****</t>
  </si>
  <si>
    <t>3 324</t>
  </si>
  <si>
    <t>За 3 года по 223ФЗ заключено  4 шт контрактов на сумму 34 459 844,12 ?</t>
  </si>
  <si>
    <t>37.00.11.110 Услуги по водоотведению сточных вод
35.11.10.112 Электроэнергия, произведенная теплоэлектроцентралями (ТЭЦ) общего назначения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t>
  </si>
  <si>
    <t>ЗА 3 ГОДА ПО 223 ФЗ заключено 19 шт. с объемом НМЦ 118 515 862,91 ? за 1 ГОД ПО 223ФЗ заключено 14  23 675 714,34 ?</t>
  </si>
  <si>
    <t>33.12 Услуги по ремонту оборудования</t>
  </si>
  <si>
    <t>68.20.12.000 Услуги по сдаче в аренду (внаем) собственных или арендованных нежилых помещений
20.41.31.120 Мыло хозяйственное твердое</t>
  </si>
  <si>
    <t>Юридическое лицо находится в процессе реорганизации в форме присоединения к нему других юридических лиц от 16.03.2023, Сообщения о принятии решения о реорганизации от 03.03.2023</t>
  </si>
  <si>
    <t>47.2 Услуги по розничной торговле пищевыми продуктами, напитками и табачными изделиями в специализированных магазинах
32.99.59.000 Изделия различные прочие, не включенные в другие группировки</t>
  </si>
  <si>
    <t>За год заключили по 223фз 3 контракта(ов) на сумму  72 620 000,00 ?</t>
  </si>
  <si>
    <t>"223 за 3 года", ".", "fk1", "все клиенты с выручкой от 1,8 млрд до бесконечности", "223 фз контракты 20+", "производители", "это заказчик", "поставщики маркер"</t>
  </si>
  <si>
    <t>58.2 Услуги по изданию программного обеспечения</t>
  </si>
  <si>
    <t>За весь период компания заключила  2 контрактов на сумму  1 628 895 871,66 ?                                     ЗА 3 ГОДА ПО 223 ФЗ заключено 1 шт. с объемом НМЦ 584 995 050,90 ?</t>
  </si>
  <si>
    <t>Сообщение кредитора о намерении обратиться в суд с заявлением о банкротстве от 29.04.2020</t>
  </si>
  <si>
    <t>26.20.40 Блоки, части и принадлежности вычислительных машин
46.14.11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
46.6 Услуги по оптовой торговле прочими машинами, оборудованием и инструментами
46.5 Услуги по оптовой торговле информационным и коммуникационным оборудованием
46.51.10.110 Услуги по оптовой торговле компьютерами, компьютерными периферийными устройствами
62.02 Услуги консультативные, связанные с компьютерной техникой
62.02.30 Услуги по технической поддержке информационных технологий
26.20.14 Машины вычислительные электронные цифровые, поставляемые в виде систем для автоматической обработки данных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t>
  </si>
  <si>
    <t>За весь период компания заключила  43 контрактов на сумму  46 627 732 376,06 ?                                     ЗА 3 ГОДА ПО 223 ФЗ заключено 29 шт. с объемом НМЦ 447 802 544,68 ? за 1 ГОД ПО 223ФЗ заключено 7  9 290 679,37 ?</t>
  </si>
  <si>
    <t>"223 за 3 года", ".", "беники", "Кредитный портфель_01.11", "корп 1", "06.2022_ФинХД", "все клиенты с выручкой от 1,8 млрд до бесконечности", "ФК клиенты с выручкой от 230 до бесконечности", "рейтинг по нмц маркер", "это заказчик", "поставщики маркер"</t>
  </si>
  <si>
    <t>Сообщение кредитора о намерении обратиться в суд с заявлением о банкротстве от 12.08.2020</t>
  </si>
  <si>
    <t>20.13.24.149 Кислоты неорганические прочие, не включенные в другие группировки
21.20.23.110 Реагенты диагностические
21.20.23.199 Средства нелечебные прочие
20.59.52.199 Реагенты сложные диагностические или лабораторные прочие, не включенные в другие группировки
22.19.71.190 Изделия из резины, кроме твердой резины (эбонита), гигиенические или фармацевтические прочие
20.20.14.000 Средства дезинфекционные
20.41.31.210 Вещества органические поверхностно-активные и средства, используемые в качестве мыла
21.10.54.190 Антибиотики и их производные прочие
21.10.60.194 Культуры микроорганизмов (кроме дрожжей)
21.20.10.118 Препараты, способствующие пищеварению, включая ферментные препараты ****</t>
  </si>
  <si>
    <t>1 417</t>
  </si>
  <si>
    <t>За весь период компания заключила  28 контрактов на сумму  1 810 018 240,94 ? За весь период заходили в конкурсы  32 раз на общую сумму обеспеченных контрактов с НМЦ 2 268 709 998,73 ? с БГУ  86 576 593,53 ? с БГИ 588 405 942,17 ? За 3 ГОДА по 44ФЗ заключено 2541 шт. с объемом НМЦ  5 587 446 514,41 ? с БГИ 366 582 046,05 ? с БГГО 12 867 652,78 ? с авансированием до 0,00 ? с комиссией банку 4 419 422,63 ? с кв 38 448,98 ? ЗА 1 ГОД по 44ФЗ заключено 810 шт. c объемом НМЦ 2 822 024 727,43 ? с БГИ 198 569 758,31 ? с БГГО 0,00 ? с авансированием до  0,00 ? с комиссией банку  2 613 445,62 ? с кв 22 736,98 ?</t>
  </si>
  <si>
    <t>"223 за 3 года", ".", "рейтинг поставщиков в маркере по бг", "Конкурсы 100+ (Восстановленный)", "клиенты с в от100млн 09.21", "все клиенты с выручкой от 1,8 млрд до бесконечности", "44 фз с с БГ от 10 млн", "рейтинг заказчиков маркер", "рейтинг по нмц маркер", "это заказчик", "поставщики маркер", "44 за 3 года"</t>
  </si>
  <si>
    <t>41.20.40.900 Работы строительные по возведению нежилых зданий и сооружений прочие, не включенные в другие группировки
35.30.11.120 Энергия тепловая, отпущенная котельными
84.12.13.000 Услуги государственного управления в области жилищного строительства и коммунального хозяйства
68.10.11.000 Услуги по покупке и продаже жилых зданий и занимаемых ими земельных участков
35.30.11.111 Энергия тепловая, отпущенная тепловыми электроцентралями (ТЭЦ)
35.30.11.110 Энергия тепловая, отпущенная электростанциями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t>
  </si>
  <si>
    <t>За весь период компания заключила  7 контрактов на сумму  6 614 423 796,26 ? За весь период заходили в конкурсы  10 раз на общую сумму обеспеченных контрактов с НМЦ 5 817 564 929,80 ? с БГУ  306 194 247,88 ? с БГИ 1 662 585 688,92 ? За 3 ГОДА по 44ФЗ заключено 77 шт. с объемом НМЦ  1 228 459 751,15 ? с БГИ 345 160 791,45 ? с БГГО 34 234 582,00 ? с авансированием до 62 078 708,36 ? с комиссией банку 14 093 035,70 ? с кв 122 609,41 ? ЗА 1 ГОД по 44ФЗ заключено 41 шт. c объемом НМЦ 1 190 109 917,15 ? с БГИ 344 793 677,65 ? с БГГО 34 234 582,00 ? с авансированием до  62 078 708,36 ? с комиссией банку  14 071 828,86 ? с кв 122 424,91 ?</t>
  </si>
  <si>
    <t>13.96.17.190 Материалы отделочные и аналогичные изделия прочие, не включенные в другие группировки</t>
  </si>
  <si>
    <t>Сообщение кредитора о намерении обратиться в суд с заявлением о банкротстве от 12.12.2022</t>
  </si>
  <si>
    <t>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42.11.10.140 Стоянки автомобильные с твердым покрытием
42.13.20.100 Работы строительные по строительству мостов и тоннелей, кроме работ по сохранению и воссозданию объектов культурного наследия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</si>
  <si>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59 контрактов на сумму  25 448 126 972,92 ? За весь период заходили в конкурсы  175 раз на общую сумму обеспеченных контрактов с НМЦ 42 535 037 555,87 ? с БГУ  808 411 179,65 ? с БГИ 9 197 877 987,05 ? За 3 ГОДА по 44ФЗ заключено 69 шт. с объемом НМЦ  10 520 504 717,06 ? с БГИ 1 463 895 729,57 ? с БГГО 126 450 878,75 ? с авансированием до 2 178 658 711,10 ? с комиссией банку 22 510 312,73 ? с кв 195 839,72 ? ЗА 1 ГОД по 44ФЗ заключено 17 шт. c объемом НМЦ 3 511 999 150,48 ? с БГИ 382 467 373,43 ? с БГГО 15 641 432,00 ? с авансированием до  397 817 999,76 ? с комиссией банку  10 891 203,20 ? с кв 94 753,47 ?</t>
  </si>
  <si>
    <t>Юридическое лицо находится в процессе реорганизации в форме преобразования от 09.11.2022, Сообщения о принятии решения о реорганизации от 08.11.2022</t>
  </si>
  <si>
    <t>"44 за 3 года", ".", "рейтинг поставщиков в маркере по бг", "ГРАНДИОЗНЫЙ ПРОЕКТ", "Конкурсы 100+ (Восстановленный)", "ПОС на 03.04.2023", "44 фз с с БГ от 10 млн", "рейтинг заказчиков маркер", "производители", "рейтинг по нмц маркер", "это заказчик", "поставщики маркер"</t>
  </si>
  <si>
    <t>62 Продукты программные и услуги по разработке программного обеспечения; консультационные и аналогичные услуги в области информационных технологий
62.02.20.140 Услуги по подготовке компьютерных систем к эксплуатации
63.11.19.000 Услуги прочие по размещению и предоставлению инфраструктуры информационных технологий
63.11.1 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t>
  </si>
  <si>
    <t>За весь период компания заключила  2 контрактов на сумму  873 743 736,26 ? За весь период заходили в конкурсы  2 раз на общую сумму обеспеченных контрактов с НМЦ 873 743 736,26 ? с БГУ  17 467 470,58 ? с БГИ 174 674 705,86 ? За 3 ГОДА по 44ФЗ заключено 2 шт. с объемом НМЦ  2 228 355 757,92 ? с БГИ 222 835 575,80 ? с БГГО 0,00 ? с авансированием до 0,00 ? с комиссией банку 4 834 419,63 ? с кв 42 059,45 ? ЗА 1 ГОД по 44ФЗ заключено 1 шт. c объемом НМЦ 1 354 982 228,67 ? с БГИ 135 498 222,87 ? с БГГО 0,00 ? с авансированием до  0,00 ? с комиссией банку  2 843 606,54 ? с кв 24 739,38 ?</t>
  </si>
  <si>
    <t>"223 за 3 года", ".", "рейтинг поставщиков в маркере по бг", "все клиенты с выручкой от 1,8 млрд до бесконечности", "44 фз с с БГ от 10 млн", "рейтинг заказчиков маркер", "рейтинг по нмц маркер", "crm управления", "crm Пител", "поставщики маркер", "44 за 3 года"</t>
  </si>
  <si>
    <t>42.22.22.110 Работы строительные по прокладке местных линий электропередачи и связи над землей или под землей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35.30.12.130 Услуги по транспортированию горячей воды
36.00 Вода природная; услуги по очистке воды и водоснабжению
42.22.12.111 Линии электропередачи местные воздушные
43.21.10.120 Работы электромонтажные, связанные с установкой приборов
68.20.12.000 Услуги по сдаче в аренду (внаем) собственных или арендованных нежилых помещений
23.61.12.162 Опоры ЛЭП, связи и элементы контактной сети электрифицированных дорог и осветительной сети ****</t>
  </si>
  <si>
    <t>1 835</t>
  </si>
  <si>
    <t>Заказчик разыгравший 150 конкурсов на сумму  40 506 281 039,01 ?</t>
  </si>
  <si>
    <t>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68.20.11 Услуги по сдаче в аренду (внаем) собственных или арендованных жилых помещений
35.12.10.120 Услуги по технологическому присоединению к распределительным электросетям
35.13.10.000 Услуги по распределению электроэнергии
25.11.22.120 Опоры радиорелейных линий из черных металлов</t>
  </si>
  <si>
    <t>Заказчик разыгравший 37 конкурсов на сумму  5 078 931 940,13 ?</t>
  </si>
  <si>
    <t>Сообщение кредитора о намерении обратиться в суд с заявлением о банкротстве от 25.11.2019</t>
  </si>
  <si>
    <t>52.29.19 Услуги грузовых транспортно-экспедиционных агентств прочие
49.41.2 Услуги по аренде грузовых транспортных средств с водителем
49.41.19 Услуги по перевозке грузов автомобильным транспортом прочие
49.20.14.000 Услуги железнодорожного транспорта по перевозке контейнеров для смешанной перевозки
52.29.1 Услуги грузовых транспортно-экспедиционных агентств
49.41.18.000 Услуги по перевозке автомобильным транспортом писем и бандеролей</t>
  </si>
  <si>
    <t>"поставщики маркер", ".", "fk1", "просрочка на 01.01.2023 г.", "Запрос в ЮД_просрочка на 01.01.2023", "все клиенты с выручкой от 1,8 млрд до бесконечности", "Обороты по клиентам по кварталам (2022г)", "рейтинг по нмц маркер"</t>
  </si>
  <si>
    <t>85.42.19 Услуги по дополнительному профессиональному образованию прочие</t>
  </si>
  <si>
    <t>Заказчик разыгравший 23 конкурсов на сумму  562 806 322,35 ?</t>
  </si>
  <si>
    <t>Юридическим лицом принято решение об изменении места нахождения от 19.04.2023</t>
  </si>
  <si>
    <t>08.12.12.130 Гравий
08.11.12.151 Гранит
08.12.12.140 Щебень
08.12.12.160 Смеси песчано-гравийные
08.12.12.150 Камень природный дробленый
08.12.11.130 Пески строительные</t>
  </si>
  <si>
    <t>За весь период заходили в конкурсы  7 раз на общую сумму обеспеченных контрактов с НМЦ 813 613 156,92 ? с БГУ  20 349 112,33 ? с БГИ 176 581 208,29 ? За 3 ГОДА по 44ФЗ заключено 3 шт. с объемом НМЦ  402 302 880,45 ? с БГИ 86 735 589,14 ? с БГГО 0,00 ? с авансированием до 0,00 ? с комиссией банку 1 179 414,28 ? с кв 10 260,90 ?               ЗА 3 ГОДА ПО 223 ФЗ заключено 1 шт. с объемом НМЦ 22 807 500,00 ?</t>
  </si>
  <si>
    <t>Определение о введении наблюдения от 17.04.2014</t>
  </si>
  <si>
    <t>"223 за 3 года", ".", "рейтинг поставщиков в маркере по бг", "Агентские отказ из-за непред-я док-ов", "все клиенты с выручкой от 1,8 млрд до бесконечности", "производители", "рейтинг по нмц маркер",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</si>
  <si>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41.20.40.900 Работы строительные по возведению нежилых зданий и сооружений прочие, не включенные в другие группировки
42.12.20.190 Работы строительные по строительству наземных и подземных железных дорог прочие, не включенные в другие группировки
42.11.10.160 Полосы взлетно-посадочные аэродромов, включая рулежные дорожки и аналогичных сооружений аэродромов, кроме зданий
42.21.22.110 Работы строительные по прокладке местных трубопроводов воды или сточных вод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</si>
  <si>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89 контрактов на сумму  530 894 206 636,84 ? За весь период заходили в конкурсы  79 раз на общую сумму обеспеченных контрактов с НМЦ 296 557 733 895,43 ? с БГУ  12 501 803 608,23 ? с БГИ 78 697 908 070,03 ?                             ЗА 3 ГОДА ПО 223 ФЗ заключено 5 шт. с объемом НМЦ 20 887 106 849,39 ? за 1 ГОД ПО 223ФЗ заключено 1  8 509 281 103,66 ?</t>
  </si>
  <si>
    <t>"223 за 3 года", ".", "рейтинг поставщиков в маркере по бг", "компании Герберта", "ГРАНДИОЗНЫЙ ПРОЕКТ", "Конкурсы 100+ (Восстановленный)", "ПСБ Гарантии ", "все клиенты с выручкой от 1,8 млрд до бесконечности", "223 фз контракты 20+", "44 фз с с БГ от 10 млн", "рейтинг по нмц маркер", "44 за 3 года"</t>
  </si>
  <si>
    <t>10.73.11.140 Изделия макаронные фигурные
10.61.21.113 Мука пшеничная хлебопекарная высшего сорта
10.71.11.190 Изделия хлебобулочные недлительного хранения прочие
10.71.11.110 Хлеб недлительного хранения
10.73.11.130 Лапша
10.71.11.129 Булочные изделия недлительного хранения прочие
10.61.33.140 Продукты из зерновых хлопьев готовые взорванные или необжаренные или их смесей с обжаренными зерновыми хлопьями
10.7 Изделия хлебобулочные и мучные кондитерские
10.73.11.110 Макароны
10.61.2 Мука из зерновых культур, овощных и других растительных культур; смеси из них ****</t>
  </si>
  <si>
    <t>1 851</t>
  </si>
  <si>
    <t>за 1 ГОД ПО 223ФЗ заключено 2  4 113 440,00 ?</t>
  </si>
  <si>
    <t>"223 за 3 года", ".", "все клиенты с выручкой от 1,8 млрд до бесконечности", "производители", "44 за 3 года"</t>
  </si>
  <si>
    <t>32.99.51.119 Изделия для новогодних и рождественских праздников прочие
10.72.12.150 Изделия мучные кондитерские длительного хранения прочие
10.72.12.120 Печенье сладкое
46.36 Услуги по оптовой торговле сахаром, шоколадом и сахаристыми кондитерскими изделиями
10.72.12.112 Пряники
10.82 Какао, шоколад и изделия кондитерские сахаристые
10.82.2 Шоколад и кондитерские сахаристые изделия
10.82.22.130 Конфеты шоколадные
46.36.13 Услуги по оптовой торговле шоколадом и сахаристыми кондитерскими изделиями
10.82.22.110 Шоколад в упакованном виде ****</t>
  </si>
  <si>
    <t>"223 за 3 года", ".", "fk1", "06.2022_ФинХД", "все клиенты с выручкой от 1,8 млрд до бесконечности", "производители", "поставщики маркер", "44 за 3 года"</t>
  </si>
  <si>
    <t>1 064</t>
  </si>
  <si>
    <t>"производители", ".",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</si>
  <si>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35.11.10.112 Электроэнергия, произведенная теплоэлектроцентралями (ТЭЦ) общего назначения
35.30.11.130 Энергия тепловая, отпущенная электрокотлами
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35.30.11.111 Энергия тепловая, отпущенная тепловыми электроцентралями (ТЭЦ)
35.11.10.119 Электроэнергия, произведенная нетиповыми электростанциями общего назначения
35.30.11.110 Энергия тепловая, отпущенная электростанциями
35.30.11.112 Энергия тепловая, отпущенная атомными электростанциями (АЭС)
35.30.1 Пар и горячая вода; услуги по снабжению паром и горячей водой ****</t>
  </si>
  <si>
    <t>За весь период компания заключила  11 контрактов на сумму  7 542 618 460,17 ?                                     ЗА 3 ГОДА ПО 223 ФЗ заключено 6 шт. с объемом НМЦ 396 106 882,86 ?</t>
  </si>
  <si>
    <t>"223 за 3 года", ".", "ГРАНДИОЗНЫЙ ПРОЕКТ 223", "все клиенты с выручкой от 1,8 млрд до бесконечности", "рейтинг заказчиков маркер", "производители", "рейтинг по нмц маркер", "это заказчик", "поставщики маркер"</t>
  </si>
  <si>
    <t>35.30.12.110 Услуги по приготовлению воды на нужды горячего водоснабжения
23.20 Изделия огнеупорные
35.30.11.120 Энергия тепловая, отпущенная котельными
23.20.12.110 Кирпичи огнеупорные, кроме изделий из кремнеземистой каменной муки или диатомитовых земель
23.32.11.110 Кирпич керамический неогнеупорный строительный
71.20.11.190 Услуги в области испытаний и анализа состава и чистоты прочих веществ
43.22.11.130 Работы водопроводные взаимосвязанные
35.30.11.111 Энергия тепловая, отпущенная тепловыми электроцентралями (ТЭЦ)
23.20.14.190 Изделия огнеупорные керамические прочие</t>
  </si>
  <si>
    <t>2 221</t>
  </si>
  <si>
    <t>"это заказчик", ".", "ушедшие", "клиенты с в от100млн 09.21", "все клиенты с выручкой от 1,8 млрд до бесконечности", "ФК клиенты с выручкой от 230 до бесконечности", "производители"</t>
  </si>
  <si>
    <t>Заказчик разыгравший 12 конкурсов на сумму  7 751 628 853,62 ?</t>
  </si>
  <si>
    <t>"это заказчик", ".", "беники", "рейтинг заказчиков маркер"</t>
  </si>
  <si>
    <t>41.20.10.120 Здания общежитий
32.30.14.120 Оборудование для занятий физкультурой, гимнастикой и атлетикой, занятий в спортзалах, фитнес-центрах
32.50.13.190 Инструменты и приспособления, применяемые в медицинских целях, прочие, не включенные в другие группировки
42.99.12.120 Объекты и сооружения для отдыха
42.99.12.124 Территории парковые и парки для отдыха
32.99.53.190 Модели, макеты и аналогичные изделия демонстрационные прочие
41.20.40.900 Работы строительные по возведению нежилых зданий и сооружений прочие, не включенные в другие группировки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32.30.15.239 Инвентарь прочий для занятий спортом или для игр на открытом воздухе, не включенный в другие группировки
32.99.53.110 Оборудование для обучения трудовым процессам ****</t>
  </si>
  <si>
    <t>За весь период компания заключила  41 контрактов на сумму  21 869 991 929,17 ? За весь период заходили в конкурсы  104 раз на общую сумму обеспеченных контрактов с НМЦ 27 051 986 022,80 ? с БГУ  652 568 511,91 ? с БГИ 5 042 855 190,36 ? За 3 ГОДА по 44ФЗ заключено 79 шт. с объемом НМЦ  14 460 967 490,92 ? с БГИ 2 157 525 716,19 ? с БГГО 390 316 172,72 ? с авансированием до 1 231 187 892,18 ? с комиссией банку 39 433 408,41 ? с кв 343 070,65 ? ЗА 1 ГОД по 44ФЗ заключено 24 шт. c объемом НМЦ 4 315 477 677,44 ? с БГИ 425 835 491,75 ? с БГГО 0,00 ? с авансированием до  0,00 ? с комиссией банку  7 392 928,32 ? с кв 64 318,48 ?</t>
  </si>
  <si>
    <t>Юридическое лицо находится в процессе реорганизации в форме преобразования от 07.02.2023, Сообщения о принятии решения о реорганизации от 03.02.2023</t>
  </si>
  <si>
    <t>"44 за 3 года", "кл фт агент бг 04.22", ".", "рейтинг поставщиков в маркере по бг", "ГРАНДИОЗНЫЙ ПРОЕКТ", "Конкурсы 100+ (Восстановленный)", "Агентские отказ из-за непред-я док-ов", "fk1",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"44 фз с с БГ от 10 млн", "рейтинг по нмц маркер", "это заказчик", "crm управления", "в crm за Муслимом", "поставщики маркер"</t>
  </si>
  <si>
    <t>За весь период компания заключила  13 контрактов на сумму  1 453 350 840,60 ?</t>
  </si>
  <si>
    <t>"поставщики маркер", ".", "fk1", "Кредитный портфель_01.11", "корп 1", "06.2022_ФинХД", "все клиенты с выручкой от 1,8 млрд до бесконечности", "ФК клиенты с выручкой от 230 до бесконечности", "производители", "рейтинг по нмц маркер"</t>
  </si>
  <si>
    <t>26.51.52.130 Приборы для измерения или контроля давления жидкостей и газов
26.51.64.190 Приборы для измерения параметров движения и количества прочие
28.14.13 Арматура запорная для управления процессом (задвижки, краны, клапаны запорные, затворы дисковые и другая арматура)
28.14.13.110 Клапаны запорные
28.12.16.000 Системы гидравлические
28.29.39.000 Оборудование для взвешивания и дозировки прочее
25.29.11.900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прочие
28.14.1 Арматура (краны, клапаны и другая аналогичная арматура) для трубопроводов, сосудов, котлов, цистерн, баков и аналогичных емкостей
28.99.39.190 Оборудование специального назначения прочее, не включенное в другие группировки
26.51.43.117 Преобразователи измерительные унифицирующие аналого-цифровые и цифро-аналоговые ****</t>
  </si>
  <si>
    <t>За весь период компания заключила  16 контрактов на сумму  12 988 522 032,50 ?</t>
  </si>
  <si>
    <t>"поставщики маркер", ".", "fk1", "все клиенты с выручкой от 1,8 млрд до бесконечности", "производители", "рейтинг по нмц маркер"</t>
  </si>
  <si>
    <t>21.20.10 Препараты лекарственные
21.20.10.119 Препараты для лечения сахарного диабета</t>
  </si>
  <si>
    <t>25.11.23.119 Конструкции и детали конструкций из черных металлов прочие, не включенные в другие группировки
16.23.20.160 Помещения деревянные контейнерного типа
43.99.90.190 Работы строительные специализированные прочие, не включенные в другие группировки
28.99.39.190 Оборудование специального назначения прочее, не включенное в другие группировки
27.12.31.000 Панели и прочие комплекты электрической аппаратуры коммутации или защиты на напряжение не более 1 кВ
42.99.11.119 Сооружения для горнодобывающей промышленности и связанные сооружения прочие, не включенные в другие группировки
42.99.19.190 Сооружения гражданские прочие, не включенные в другие группировки</t>
  </si>
  <si>
    <t>За весь период компания заключила  10 контрактов на сумму  5 551 856 744,52 ? За весь период заходили в конкурсы  1 раз на общую сумму обеспеченных контрактов с НМЦ 50 995 944,52 ? с БГУ  3 385 573,00 ? с БГИ 13 542 292,00 ?</t>
  </si>
  <si>
    <t>"поставщики маркер", ".", "рейтинг поставщиков в маркере по бг", "ИНН 3 года - нет КД БГ на 01.10.22", "06.2022_ФинХД", "все клиенты с выручкой от 1,8 млрд до бесконечности", "ФК клиенты с выручкой от 230 до бесконечности", "производители", "рейтинг по нмц маркер"</t>
  </si>
  <si>
    <t>46.71.13 Услуги по оптовой торговле прочим жидким и газообразным топливом и подобными продуктами
50.40.22.110 Услуги по буксировке на внутреннем водном транспорте
50.40 Услуги по перевозке грузов внутренним водным транспортом
68.10.11 Услуги по покупке и продаже жилых зданий и занимаемых ими земельных участков</t>
  </si>
  <si>
    <t>За весь период заходили в конкурсы  8 раз на общую сумму обеспеченных контрактов с НМЦ 958 707 642,82 ? с БГУ  50 371 927,49 ? с БГИ 302 231 564,91 ?               ЗА 1 ГОД по 44ФЗ заключено 1 шт. c объемом НМЦ 359 050 303,80 ? с БГИ 107 715 091,14 ? с БГГО 0,00 ? с авансированием до  107 715 091,14 ? с комиссией банку  318 718,63 ? с кв 2 772,85 ?</t>
  </si>
  <si>
    <t>"44 за 3 года", ".", "рейтинг поставщиков в маркере по бг", "ГРАНДИОЗНЫЙ ПРОЕКТ", "Конкурсы 100+ (Восстановленный)", "44 фз с с БГ от 10 млн", "производители", "рейтинг по нмц маркер", "это заказчик", "поставщики маркер"</t>
  </si>
  <si>
    <t>19.20.21.100 Бензин автомобильный
19.20.21.125 Бензин автомобильный с октановым числом более 92, но не более 95 по исследовательскому методу экологического класса К5
19.20.21.315 Топливо дизельное летнее экологического класса К5
19.20.21.345 Топливо дизельное межсезонное экологического класса К5
19.20.21.300 Топливо дизельное
19.20.21.325 Топливо дизельное зимнее экологического класса К5
19.20.28.113 Мазут с массовой долей серы не более 3,5 % с температурой вспышки в открытом тигле не ниже 90 °C, с содержанием сероводорода не более 10 ppm</t>
  </si>
  <si>
    <t>За весь период заходили в конкурсы  3 раз на общую сумму обеспеченных контрактов с НМЦ 185 935 830,75 ? с БГУ  3 849 465,52 ? с БГИ 17 086 796,56 ?                             ЗА 3 ГОДА ПО 223 ФЗ заключено 4 шт. с объемом НМЦ 29 900 916,00 ?</t>
  </si>
  <si>
    <t>"223 за 3 года", ".", "рейтинг поставщиков в маркере по бг", "ушедший портфель", "инн Ленинградка",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 "производители", "рейтинг по нмц маркер", "поставщики маркер", "44 за 3 года"</t>
  </si>
  <si>
    <t>2 746</t>
  </si>
  <si>
    <t>За весь период контрактов 26 шт. на общую сумму НМЦ 24 879 855 237,18 ?</t>
  </si>
  <si>
    <t>77.39.19.112 Услуги по аренде и лизингу горного и нефтепромыслового оборудования
09.1 Услуги по добыче нефти и природного газа
77.3 Услуги по аренде и лизингу прочих машин, оборудования и материальных средств</t>
  </si>
  <si>
    <t>За весь период контрактов 9 шт. на общую сумму НМЦ 20 526 788 039,92 ?</t>
  </si>
  <si>
    <t>"223 за 3 года", ".", "Конкурсы 100+ (Восстановленный)", "223 фз контракты 20+", "производители", "рейтинг по нмц маркер", "это заказчик", "поставщики маркер"</t>
  </si>
  <si>
    <t>06.10.10 Нефть и нефтепродукты, полученные из битуминозных пород</t>
  </si>
  <si>
    <t>ЗА 3 ГОДА ПО 223 ФЗ заключено 1 шт. с объемом НМЦ 66 300 000,00 ? за 1 ГОД ПО 223ФЗ заключено 1  66 300 000,00 ?</t>
  </si>
  <si>
    <t>"223 за 3 года", ".", "Участники клиринга", "223 фз контракты 20+", "рейтинг по нмц маркер"</t>
  </si>
  <si>
    <t>68.10.14.000 Услуги по покупке и продаже нежилых зданий и занимаемых ими земельных участков
41.20.40.900 Работы строительные по возведению нежилых зданий и сооружений прочие, не включенные в другие группировки
41.20.20.100 Здания нежилые</t>
  </si>
  <si>
    <t>За весь период компания заключила  4 контрактов на сумму  1 388 194 290,58 ? За весь период заходили в конкурсы  4 раз на общую сумму обеспеченных контрактов с НМЦ 1 388 194 290,58 ? с БГУ  73 404 842,45 ? с БГИ 303 669 995,70 ? За 3 ГОДА по 44ФЗ заключено 3 шт. с объемом НМЦ  1 465 730 333,79 ? с БГИ 238 371 721,94 ? с БГГО 4 952 556,00 ? с авансированием до 420 805 263,54 ? с комиссией банку 5 803 742,10 ? с кв 50 492,56 ?</t>
  </si>
  <si>
    <t>"223 за 3 года", "свод фт", ".", "рейтинг поставщиков в маркере по бг", "ГРАНДИОЗНЫЙ ПРОЕКТ", "беники", "УПП на 2 номер", "fk1", "клиенты управления по БГ без открытых счетов", "производители", "рейтинг по нмц маркер", "на фт заводил Синяев", "crm управления", "в crm за Синяевым ", "поставщики маркер", "44 за 3 года"</t>
  </si>
  <si>
    <t>1 410</t>
  </si>
  <si>
    <t>20.14.2 Спирты, фенолы, фенолоспирты и их галогенированные, сульфированные, нитрованные или нитрозированные производные; спирты жирные промышленные
20.14.23.112 Пропиленгликоль (пропан-1,2-диол)
20.59.52.199 Реагенты сложные диагностические или лабораторные прочие, не включенные в другие группировки
20.13.24.130 Пентоксид фосфора
20.14.33.100 Кислоты ненасыщенные ациклические монокарбоновые, их ангидриды, галогенангидриды, пероксиды, пероксикислоты и производные этих соединений
20.59.52.194 Реактивы химические общелабораторного назначения
20.13.32.130 Перхлораты
20.13.51.113 Манганиты, манганаты и перманганаты
20.14.23.110 Диолы
36.00.2 Услуги по очистке вод и распределению воды по водопроводам ****</t>
  </si>
  <si>
    <t>ЗА 3 ГОДА ПО 223 ФЗ заключено 5 шт. с объемом НМЦ 28 983 618,77 ? за 1 ГОД ПО 223ФЗ заключено 1  26 554 440,00 ?</t>
  </si>
  <si>
    <t>"223 за 3 года", ".", "223 фз контракты 20+", "поставщики маркер", "44 за 3 года"</t>
  </si>
  <si>
    <t>30.30 Аппараты летательные и космические и соответствующее оборудование
30.30.5 Части летательных и космических аппаратов прочие
09.10.11.190 Услуги по бурению, связанные с добычей нефти и горючего природного газа, не включенные в другие группировки</t>
  </si>
  <si>
    <t>За весь период контрактов 2 шт. на общую сумму НМЦ 456 719 000,00 ?</t>
  </si>
  <si>
    <t>50.40.22.110 Услуги по буксировке на внутреннем водном транспорте
82.99.19.000 Услуги вспомогательные, связанные с предпринимательской деятельностью, прочие, не включенные в другие группировки
68.20.12.000 Услуги по сдаче в аренду (внаем) собственных или арендованных нежилых помещений</t>
  </si>
  <si>
    <t>Сообщения о принятии решения о реорганизации от 21.04.2022</t>
  </si>
  <si>
    <t>17.29.11.110 Ярлыки и этикетки из бумаги
22.2 Изделия из пластмасс</t>
  </si>
  <si>
    <t>6 858</t>
  </si>
  <si>
    <t>Юридическое лицо находится в процессе реорганизации в форме присоединения к другому юридическому лицу от 21.04.2023, Сообщения о принятии решения о реорганизации от 20.04.2023</t>
  </si>
  <si>
    <t>26.1 Компоненты электронные и платы
26.80.13.000 Носители данных прочие, включая матрицы и основы для производства дисков
26.40.51.000 Части и принадлежности звукового и видеооборудования
27.12.24.190 Реле прочие
26.30.30.000 Части и комплектующие коммуникационного оборудования
33.20.50.000 Услуги по монтажу электрического оборудования
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26.30.40.110 Антенны и отражатели антенные всех видов и их части
26.40.41.000 Микрофоны и подставки для них
27.40.39.110 Светильники и устройства осветительные прочие, не включенные в другие группировки ****</t>
  </si>
  <si>
    <t>За весь период компания заключила  6 контрактов на сумму  1 271 581 961,23 ? За весь период заходили в конкурсы  6 раз на общую сумму обеспеченных контрактов с НМЦ 461 199 902,87 ? с БГУ  32 119 395,21 ? с БГИ 105 754 834,25 ? За 3 ГОДА по 44ФЗ заключено 8 шт. с объемом НМЦ  517 839 965,92 ? с БГИ 140 450 492,83 ? с БГГО 7 450 748,47 ? с авансированием до 0,00 ? с комиссией банку 1 291 428,61 ? с кв 11 235,43 ?                   за 1 ГОД ПО 223ФЗ заключено 2  40 548 633,15 ?</t>
  </si>
  <si>
    <t>23.91.11.110 Жернова, шары, вальцы и аналогичные изделия для размалывания или растирания</t>
  </si>
  <si>
    <t>32.13.10.120 Награды
47.64.1 Услуги по розничной торговле спортивным оборудованием и спортивными товарами в специализированных магазинах
32.30.11.131 Коньки ледовые, включая коньки с ботинками</t>
  </si>
  <si>
    <t>10.13.14.600 Продукты из мяса и мяса птицы
10.11.31.140 Субпродукты пищевые крупного рогатого скота замороженные
10.12.20.110 Мясо кур, в том числе цыплят (включая цыплят-бройлеров) замороженное
77.39 Услуги по аренде и лизингу прочих машин, оборудования и материальных средств, не включенных в другие группировки
10.12.40.121 Субпродукты кур (включая цыплят и цыплят-бройлеров) пищевые замороженные
01.47.23.110 Яйца инкубационные куриные
01.47.21.000 Яйца куриные в скорлупе свежие
10.12.10.110 Мясо кур, в том числе цыплят (включая цыплят-бройлеров) охлажденное</t>
  </si>
  <si>
    <t>за 1 ГОД ПО 223ФЗ заключено 3  882 842 243,02 ?</t>
  </si>
  <si>
    <t>Сообщение кредитора о намерении обратиться в суд с заявлением о банкротстве от 03.06.2019</t>
  </si>
  <si>
    <t>"223 за 3 года", ".", "Конкурсы 100+ (Восстановленный)", "fk1", "ИНН 3 года - нет КД БГ на 01.10.22", "ПОС на 01.02.2023", "портфель 31.10.2021_10 тыс_проверка", "корп 2",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"рейтинг по нмц маркер"</t>
  </si>
  <si>
    <t>28.30.59.111 Комбайны зерноуборочные
01.19.10 Культуры кормовые
28.30.51.000 Косилки (включая устройства режущие для установки на тракторе), не включенные в другие группировки
01.11.1 Пшеница</t>
  </si>
  <si>
    <t>ЗА 3 ГОДА ПО 223 ФЗ заключено 2 шт. с объемом НМЦ 25 200 000,00 ?</t>
  </si>
  <si>
    <t>"223 за 3 года", ".", "06.2022_ФинХД", "производители", "это заказчик", "поставщики маркер", "44 за 3 года"</t>
  </si>
  <si>
    <t>17.21 Бумага и картон гофрированные и тара бумажная и картонная</t>
  </si>
  <si>
    <t>"223 за 3 года", ".", "fk1", "райф", "производители"</t>
  </si>
  <si>
    <t>01.11.11.111 Зерно озимой твердой пшеницы
01.11.12.121 Зерно яровой мягкой пшеницы
01.11.31.119 Зерно ячменя озимого прочего
01.11.20.141 Зерно разнотипной кукурузы
01.11.20.131 Зерно зубовидной кукурузы и кукурузы прочих сортов
01.11.31.200 Ячмень яровой
01.11.12.111 Зерно озимой мягкой пшеницы
01.11.12.120 Пшеница яровая мягкая
01.11.20.130 Кукуруза зубовидная и кукуруза прочих сортов, кроме сахарной</t>
  </si>
  <si>
    <t>19.2 Нефтепродукты
19.20.21 Топливо моторное, включая автомобильный и авиационный бензин
19.20.28.111 Мазут с массовой долей серы не более 3,5 % с температурой вспышки в открытом тигле не ниже 90 °C, с содержанием сероводорода не более 30 ppm, но более 20 ppm
19.20.21.315 Топливо дизельное летнее экологического класса К5
19.20.21.320 Топливо дизельное зимнее
19.20.2 Топливо жидкое и газообразное; масла смазочные
19.20.21.300 Топливо дизельное
19.20.21.325 Топливо дизельное зимнее экологического класса К5
19.20.28.100 Мазут
19.20.28.113 Мазут с массовой долей серы не более 3,5 % с температурой вспышки в открытом тигле не ниже 90 °C, с содержанием сероводорода не более 10 ppm ****</t>
  </si>
  <si>
    <t>За весь период компания заключила  9 контрактов на сумму  345 583 527,20 ? За весь период заходили в конкурсы  3 раз на общую сумму обеспеченных контрактов с НМЦ 345 729 460,79 ? с БГУ  8 717 593,63 ? с БГИ 47 431 766,17 ?                             ЗА 3 ГОДА ПО 223 ФЗ заключено 4 шт. с объемом НМЦ 115 644 552,00 ?</t>
  </si>
  <si>
    <t>"223 за 3 года", "кл фт ФК БГ 04.22", ".", "рейтинг поставщиков в маркере по бг", "fk1", "Кредитный портфель_01.11", "корп 1",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"Участники клиринга", "рейтинг по нмц маркер", "поставщики маркер"</t>
  </si>
  <si>
    <t>27.90.33.110 Комплектующие (запасные части) прочего электрического оборудования, не имеющие самостоятельных группировок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33.13.13.000 Услуги по ремонту и техническому обслуживанию профессиональных оптических приборов и фотооборудования
33.19 Услуги по ремонту прочего оборудования
33.12.12.000 Услуги по ремонту и техническому обслуживанию гидравлического и пневматического силового оборудования, кроме насосов, компрессоров, кранов и клапанов
33.13 Услуги по ремонту электронного и оптического оборудования
33.12.29.900 Услуги по ремонту и техническому обслуживанию прочего оборудования специального назначения, не включенные в другие группировки
33.14.19.000 Услуги по ремонту и техническому обслуживанию прочего профессионального электрического оборудования
33.12.19.000 Услуги по ремонту и техническому обслуживанию прочего оборудования общего назначения, не включенного в другие группировки
33.13.19.000 Услуги по ремонту и техническому обслуживанию прочего профессионального электронного оборудования</t>
  </si>
  <si>
    <t>За 3 ГОДА по 44ФЗ заключено 108 шт. с объемом НМЦ  274 359 092,88 ? с БГИ 28 226 386,49 ? с БГГО 3 452 872,56 ? с авансированием до 0,00 ? с комиссией банку 357 893,41 ? с кв 3 113,67 ? ЗА 1 ГОД по 44ФЗ заключено 42 шт. c объемом НМЦ 117 916 191,17 ? с БГИ 11 276 378,61 ? с БГГО 1 753 993,07 ? с авансированием до  0,00 ? с комиссией банку  237 579,20 ? с кв 2 066,94 ?</t>
  </si>
  <si>
    <t>41.2 Здания и работы по возведению зданий
24.10.62.210 Сталь арматурная</t>
  </si>
  <si>
    <t>За весь период компания заключила  23 контрактов на сумму  30 055 007 445,91 ? За весь период заходили в конкурсы  13 раз на общую сумму обеспеченных контрактов с НМЦ 5 726 258 565,59 ? с БГУ  319 292 796,85 ? с БГИ 1 582 486 559,33 ?</t>
  </si>
  <si>
    <t>46 Услуги по оптовой торговле, кроме оптовой торговли автотранспортными средствами и мотоциклами</t>
  </si>
  <si>
    <t>за 1 ГОД ПО 223ФЗ заключено 3  5 362 700,00 ?</t>
  </si>
  <si>
    <t>"223 за 3 года", ".", "Участники клиринга", "производители"</t>
  </si>
  <si>
    <t>61.20.11.000 Услуги подвижной связи общего пользования - обеспечение доступа и поддержка пользователя
55.90.13.120 Услуги по предоставлению мест для временного проживания на судах
56.29.19.000 Услуги по обеспечению питанием, осуществляемые по договору, прочие</t>
  </si>
  <si>
    <t>Сообщения о принятии решения о реорганизации от 14.12.2020</t>
  </si>
  <si>
    <t>22.22.14.000 Бутыли, бутылки, флаконы и аналогичные изделия из пластмасс
22.22.19.000 Изделия упаковочные пластмассовые прочие
21.20.23.110 Реагенты диагностические
21.20.23.113 Средства радиофармацевтические диагностические
20.59.52.140 Среды готовые питательные для выращивания микроорганизмов
20.59.52.199 Реагенты сложные диагностические или лабораторные прочие, не включенные в другие группировки
22.19.71.190 Изделия из резины, кроме твердой резины (эбонита), гигиенические или фармацевтические прочие
21.10.60.193 Кровь животных, приготовленная для использования в терапевтических, профилактических или диагностических целях
21.10.60.194 Культуры микроорганизмов (кроме дрожжей)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t>
  </si>
  <si>
    <t>За весь период компания заключила  6 контрактов на сумму  300 336 258,98 ? За весь период заходили в конкурсы  17 раз на общую сумму обеспеченных контрактов с НМЦ 713 450 489,23 ? с БГУ  11 113 461,36 ? с БГИ 116 087 999,79 ? За 3 ГОДА по 44ФЗ заключено 285 шт. с объемом НМЦ  613 492 016,11 ? с БГИ 47 448 669,95 ? с БГГО 1 663 202,68 ? с авансированием до 48 494,50 ? с комиссией банку 783 096,36 ? с кв 6 812,94 ? ЗА 1 ГОД по 44ФЗ заключено 92 шт. c объемом НМЦ 181 034 095,20 ? с БГИ 12 939 641,53 ? с БГГО 342 694,78 ? с авансированием до  0,00 ? с комиссией банку  290 038,58 ? с кв 2 523,34 ? ЗА 3 ГОДА ПО 223 ФЗ заключено 19 шт. с объемом НМЦ 33 036 752,53 ? за 1 ГОД ПО 223ФЗ заключено 10  31 514 961,07 ?</t>
  </si>
  <si>
    <t>"223 за 3 года", ".", "рейтинг поставщиков в маркере по бг", "fk1", "ПОС на 01.02.2023", "ПОС на 03.04.2023",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"рейтинг по нмц маркер", "поставщики маркер", "44 за 3 года"</t>
  </si>
  <si>
    <t>28.14.12.110 Краны, клапаны для раковин, моек, биде, унитазов, ванн и аналогичная арматура
20.30.12.120 Краски на основе сложных полиэфиров, акриловых или виниловых полимеров в неводной среде
25.99.29.190 Изделия прочие из недрагоценных металлов, не включенные в другие группировки
42.21.21.000 Работы строительные по прокладке магистральных трубопроводов</t>
  </si>
  <si>
    <t>Кредитный портфель_01.2014</t>
  </si>
  <si>
    <t>63.91.12.000 Услуги информационных агентств, предоставляемые аудиовизуальным средствам массовой информации
73.12.13 Услуги по продаже места или времени для рекламы в информационно-коммуникационной сети Интернет за вознаграждение или на договорной основе
79.90.11.000 Услуги по продвижению туризма
73.11.11 Набор рекламных услуг полный</t>
  </si>
  <si>
    <t>За весь период заходили в конкурсы  1 раз на общую сумму обеспеченных контрактов с НМЦ 35 000 000,00 ? с БГУ  535 758,80 ? с БГИ 16 072 763,94 ?                                 за 1 ГОД ПО 223ФЗ заключено 2  5 809 667,00 ?</t>
  </si>
  <si>
    <t>"44 за 3 года", ".", "рейтинг поставщиков в маркере по бг", "все клиенты с выручкой от 1,8 млрд до бесконечности", "223 фз контракты 20+", "поставщики маркер"</t>
  </si>
  <si>
    <t>25.11.22.190 Опоры и мачты решетчатые из черных металлов прочие, не включенные в другие группировки</t>
  </si>
  <si>
    <t>08.12.21.110 Каолин</t>
  </si>
  <si>
    <t>ЗА 3 ГОДА ПО 223 ФЗ заключено 3 шт. с объемом НМЦ 34 111 960,00 ? за 1 ГОД ПО 223ФЗ заключено 4  68 000 000,00 ?</t>
  </si>
  <si>
    <t>24 Металлы основные
24.20.13.130 Трубы стальные электросварные
24.20.12.110 Трубы обсадные бесшовные стальные
24.10.14.190 Порошки прочих сталей
24.20 Трубы, профили пустотелые и их фитинги стальные
46.72.13.000 Услуги по оптовой торговле черными металлами в первичных формах
24.20.13.160 Трубы стальные водогазопроводные</t>
  </si>
  <si>
    <t>За 3 года по 223ФЗ заключено  4 шт контрактов на сумму 29 636 301,72 ?</t>
  </si>
  <si>
    <t>20.13.24.149 Кислоты неорганические прочие, не включенные в другие группировки
20.13.41.120 Сульфиты
20.14.23.112 Пропиленгликоль (пропан-1,2-диол)
20.20.19.000 Пестициды прочие и агрохимические продукты прочие
20.14.23 Диолы, спирты многоатомные, спирты циклические и их производные
20.14.32.181 Кислота стеариновая
20.59.52.194 Реактивы химические общелабораторного назначения
20.13.41.110 Сульфиды
20.14.6 Эфиры простые, пероксиды органические, эпоксиды, ацетали и полуацетали; соединения органические прочие
20.14.33.452 Ангидрид малеиновый ****</t>
  </si>
  <si>
    <t>За весь период заходили в конкурсы  1 раз на общую сумму обеспеченных контрактов с НМЦ 237 330 385,00 ? с БГУ  1 192 615,00 ? с БГИ 23 852 300,00 ?</t>
  </si>
  <si>
    <t>"поставщики маркер", ".", "рейтинг поставщиков в маркере по бг", "fk1", "все клиенты с выручкой от 1,8 млрд до бесконечности", "ФК клиенты с выручкой от 230 до бесконечности"</t>
  </si>
  <si>
    <t>81.2 Услуги по чистке и уборке
81.21 Услуги по общей уборке зданий
81.29.12.000 Услуги по подметанию и уборке снега
81.22.12.000 Услуги по чистке и уборке специализированные
81 Услуги по обслуживанию зданий и территорий
81.10.10.000 Услуги по обслуживанию помещений комплексные
81.1 Услуги по комплексному обслуживанию помещений</t>
  </si>
  <si>
    <t>4 265</t>
  </si>
  <si>
    <t>За весь период компания заключила  18 контрактов на сумму  2 834 359 835,65 ? За весь период заходили в конкурсы  15 раз на общую сумму обеспеченных контрактов с НМЦ 1 764 918 334,48 ? с БГУ  44 162 952,84 ? с БГИ 306 455 298,02 ?</t>
  </si>
  <si>
    <t>"поставщики маркер", ".", "рейтинг поставщиков в маркере по бг", "fk1", "корп 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t>
  </si>
  <si>
    <t>43.22.12.120 Работы по установке и техническому обслуживанию систем управления центральным отоплением
35.11.10.112 Электроэнергия, произведенная теплоэлектроцентралями (ТЭЦ) общего назначения
35.30.12.110 Услуги по приготовлению воды на нужды горячего водоснабжения
35.12.10.120 Услуги по технологическому присоединению к распределительным электросетям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t>
  </si>
  <si>
    <t>За весь период контрактов 13 шт. на общую сумму НМЦ 821 862 545,95 ?</t>
  </si>
  <si>
    <t>"производители", ".", "fk1", "06.2022_ФинХД", "все клиенты с выручкой от 1,8 млрд до бесконечности"</t>
  </si>
  <si>
    <t>43.22 Работы по монтажу систем водопровода, канализации, отопления и кондиционирования воздуха
37.00.11.110 Услуги по водоотведению сточных вод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36.00.20 Услуги по очистке вод и распределению воды по водопроводам
43.12.1 Работы по подготовке строительной площадки
36.00 Вода природная; услуги по очистке воды и водоснабжению
42.21.13.190 Системы оросительные (каналы); водоводы и водопроводные конструкции; водоочистные станции, станции очистки сточных вод и насосные станции прочие
37.00.11.130 Услуги по подключению (технологическому присоединению) к централизованной системе водоотведения ****</t>
  </si>
  <si>
    <t>1 844</t>
  </si>
  <si>
    <t>За весь период компания заключила  5 контрактов на сумму  328 212 177,00 ?                                     ЗА 3 ГОДА ПО 223 ФЗ заключено 6 шт. с объемом НМЦ 251 171 328,71 ?</t>
  </si>
  <si>
    <t>37.00.11.120 Услуги по транспортированию сточных вод</t>
  </si>
  <si>
    <t>Сообщения о принятии решения о реорганизации от 30.01.2023</t>
  </si>
  <si>
    <t>"поставщики маркер", ".", "рейтинг заказчиков маркер", "производители", "рейтинг по нмц маркер"</t>
  </si>
  <si>
    <t>25.11.23.119 Конструкции и детали конструкций из черных металлов прочие, не включенные в другие группировки
25.11 Металлоконструкции строительные и их части
25.11.22.140 Радиобашни отдельно стоящие из черных металлов
25.11.23.110 Конструкции и детали конструкций из черных металлов
25.61.11.112 Услуги по лужению
25.11.23.115 Конструкции и детали линий электропередач и открытых подстанций из черных металлов
25.61.11.111 Услуги по цинкованию горячим способом
25 Изделия металлические готовые, кроме машин и оборудования
25.11.22.110 Опоры линий электропередачи (ЛЭП) из черных металлов
35.1 Услуги по производству, передаче и распределению электроэнергии</t>
  </si>
  <si>
    <t>За весь период компания заключила  3 контрактов на сумму  3 322 217 158,24 ?</t>
  </si>
  <si>
    <t>"223 за 3 года", ".", "все клиенты с выручкой от 1,8 млрд до бесконечности", "производители", "рейтинг по нмц маркер", "это заказчик", "crm управления", "в crm за Микульшиным", "поставщики маркер", "44 за 3 года"</t>
  </si>
  <si>
    <t>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35.30.11.111 Энергия тепловая, отпущенная тепловыми электроцентралями (ТЭЦ)
35.30.11.110 Энергия тепловая, отпущенная электростанциями</t>
  </si>
  <si>
    <t>"223 за 3 года", ".", "все клиенты с выручкой от 1,8 млрд до бесконечности", "Участники клиринга", "производители", "это заказчик", "поставщики маркер"</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</si>
  <si>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35.12.10.120 Услуги по технологическому присоединению к распределительным электросетям
35.13.10.000 Услуги по распределению электроэнергии
35.14.10.000 Услуги по торговле электроэнергией
35.30.11.111 Энергия тепловая, отпущенная тепловыми электроцентралями (ТЭЦ)
35.11.10.119 Электроэнергия, произведенная нетиповыми электростанциями общего назначения
71.12.13.000 Услуги по инженерно-техническому проектированию систем энергоснабжения
35.11.10.111 Электроэнергия, произведенная конденсационными электростанциями (КЭС) общего назначения
35.12.10.110 Услуги по передаче электроэнергии</t>
  </si>
  <si>
    <t>Заказчик разыгравший 61 конкурсов на сумму  7 407 792 982,83 ?</t>
  </si>
  <si>
    <t>"223 за 3 года", ".", "все клиенты с выручкой от 1,8 млрд до бесконечности", "рейтинг заказчиков маркер", "производители", "это заказчик", "crm управления", "в crm за Ким", "поставщики маркер", "44 за 3 года"</t>
  </si>
  <si>
    <t>1 164</t>
  </si>
  <si>
    <t>За весь период компания заключила  1 контрактов на сумму  593 070 191,26 ?</t>
  </si>
  <si>
    <t>Сообщение кредитора о намерении обратиться в суд с заявлением о банкротстве от 30.08.2021</t>
  </si>
  <si>
    <t>"поставщики маркер", "свод фт", ".", "fk1", "просрочка на 01.01.2023 г.", "Запрос в ЮД_просрочка на 01.01.2023",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 "рейтинг по нмц маркер", "это заказчик", "на фт заводил Шаклейн", "на фт заводил Кашин", "crm управления", "в crm за Кашиным"</t>
  </si>
  <si>
    <t>02.20.14.129 Дрова из прочих пород и смесей пород деревьев
16.10.23.120 Стружка древесная
16.10.23.111 Щепа технологическая</t>
  </si>
  <si>
    <t>19.20.21.100 Бензин автомобильный
06.20.10.131 Газ горючий природный сжиженный
19.20.21.300 Топливо дизельное
19.20 Нефтепродукты
47.30.1 Услуги по розничной торговле моторным топливом в специализированных магазинах</t>
  </si>
  <si>
    <t>20.59.43.120 Антифризы
22.11.14.199 Шины пневматические прочие, не включенные в другие группировки
22.19.50.000 Материалы прорезиненные текстильные, кроме кордных тканей
26.20.16.150 Сканеры
26.20.18 Устройства периферийные с двумя или более функциями: печать данных, копирование, сканирование, прием и передача факсимильных сообщений
26.70.13.000 Видеокамеры цифровые
26.70.14.190 Фотокамеры прочие
26.30.11.190 Аппаратура коммуникационная передающая с приемными устройствами прочая, не включенная в другие группировки
26.70.11 Объективы для фотокамер, кинокамер, проекторов или фотоувеличителей, или фотооборудования для проецирования изображения с уменьшением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t>
  </si>
  <si>
    <t>"223 за 3 года", ".", "fk1", "производители", "поставщики маркер"</t>
  </si>
  <si>
    <t>2 624</t>
  </si>
  <si>
    <t>10.89.19.150 Добавки пищевые комплексные</t>
  </si>
  <si>
    <t>46.5 Услуги по оптовой торговле информационным и коммуникационным оборудованием
62.01 Продукты программные и услуги по разработке и тестированию программного обеспечения
26.2 Компьютеры и периферийное оборудование
46.52 Услуги по оптовой торговле электронным и телекоммуникационным оборудованием и его частями</t>
  </si>
  <si>
    <t>За весь период компания заключила  29 контрактов на сумму  95 054 899 055,03 ?</t>
  </si>
  <si>
    <t>"Участники клиринга", ".", "выдали", "fk1", "ПОС на 01.02.2023", "ПОС на 03.04.2023", "Кредитный портфель_01.11", "06.2022_ФинХД", "все клиенты с выручкой от 1,8 млрд до бесконечности", "клиенты от 100 млн", "Обороты по клиентам по кварталам (2022г)"</t>
  </si>
  <si>
    <t>19.20.21 Топливо моторное, включая автомобильный и авиационный бензин
19.20.21.100 Бензин автомобильный
19.20.21.300 Топливо дизельное</t>
  </si>
  <si>
    <t>"поставщики маркер", ".", "выдали", "п6", "fk1", "ПОС на 01.02.2023", "ПОС на 03.04.2023", "Кредитный портфель_01.11", "06.2022_ФинХД", "все клиенты с выручкой от 1,8 млрд до бесконечности", "Обороты по клиентам по кварталам (2022г)", "Участники клиринга", "рейтинг по нмц маркер"</t>
  </si>
  <si>
    <t>32.50.42.110 Очки для коррекции зрения
86.90.19.190 Услуги в области медицины прочие, не включенные в другие группировки</t>
  </si>
  <si>
    <t>32.50.13.190 Инструменты и приспособления, применяемые в медицинских целях, прочие, не включенные в другие группировки
32.50.13.120 Инструменты и приспособления офтальмологические
32.50.4 Очки, линзы и их части
32.50.41.110 Линзы контактные
20.42 Средства парфюмерные и косметические
32.50.41.120 Линзы для очков из различных материалов</t>
  </si>
  <si>
    <t>22.22.14.000 Бутыли, бутылки, флаконы и аналогичные изделия из пластмасс
22.22.19.000 Изделия упаковочные пластмассовые прочие
22.29 Изделия пластмассовые прочие
20.42.11.130 Одеколоны
20.42.16.110 Шампуни
20.59.52.199 Реагенты сложные диагностические или лабораторные прочие, не включенные в другие группировки
28.29.12.112 Фильтры очистки воды бытовые
13.20.20.110 Ткани хлопчатобумажные бытовые
13.20.20.119 Ткани хлопчатобумажные бытовые прочие
13.99 Изделия текстильные прочие, не включенные в другие группировки ****</t>
  </si>
  <si>
    <t>За весь период заходили в конкурсы  5 раз на общую сумму обеспеченных контрактов с НМЦ 781 757 845,02 ? с БГУ  41 298 244,74 ? с БГИ 85 597 218,78 ?                             ЗА 3 ГОДА ПО 223 ФЗ заключено 43 шт. с объемом НМЦ 71 357 923,83 ?</t>
  </si>
  <si>
    <t>"223 за 3 года", "свод фт", ".", "рейтинг поставщиков в маркере по бг", "ушедшие", "все клиенты с выручкой от 1,8 млрд до бесконечности", "это заказчик", "на фт заводил Цветков", "поставщики маркер", "44 за 3 года"</t>
  </si>
  <si>
    <t>21.20.23.199 Средства нелечебные прочие
21.20.2 Препараты лекарственные прочие и материалы, применяемые в медицинских целях
21.20.23.190 Препараты фармацевтические прочие
32.50.4 Очки, линзы и их части
32.50.41.110 Линзы контактные
15.12.12.193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21.20.23.192 Продукты терапевтические прочие</t>
  </si>
  <si>
    <t>10.11 Мясо и прочие продукты убоя, включая мясо консервированное
10.11.60.110 Сырье кишечное и мочевые пузыри (кроме рыбьих) целые или в частях
10.89 Продукты пищевые прочие, не включенные в другие группировки
10.89.19.150 Добавки пищевые комплексные
10.91.10.230 Концентраты и смеси кормовые
46.21.14 Услуги по оптовой торговле кормами для животных</t>
  </si>
  <si>
    <t>21.20.23.110 Реагенты диагностические
21.20.23.113 Средства радиофармацевтические диагностические
21.20.23.199 Средства нелечебные прочие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21.20.23.190 Препараты фармацевтические прочие
21.20.10 Препараты лекарственные ****</t>
  </si>
  <si>
    <t>За весь период компания заключила  14 контрактов на сумму  893 617 039,55 ? За весь период заходили в конкурсы  33 раз на общую сумму обеспеченных контрактов с НМЦ 1 769 087 717,94 ? с БГУ  16 286 891,60 ? с БГИ 162 761 003,79 ? За 3 ГОДА по 44ФЗ заключено 1464 шт. с объемом НМЦ  7 855 502 540,72 ? с БГИ 676 337 835,75 ? с БГГО 19 524 051,66 ? с авансированием до 46 320 257,26 ? с комиссией банку 10 573 440,16 ? с кв 91 988,93 ? ЗА 1 ГОД по 44ФЗ заключено 548 шт. c объемом НМЦ 2 979 677 247,03 ? с БГИ 270 305 586,34 ? с БГГО 99 772,89 ? с авансированием до  23 115 785,19 ? с комиссией банку  4 996 215,38 ? с кв 43 467,07 ? ЗА 3 ГОДА ПО 223 ФЗ заключено 23 шт. с объемом НМЦ 126 147 947,41 ? за 1 ГОД ПО 223ФЗ заключено 9  31 692 779,69 ?</t>
  </si>
  <si>
    <t>"223 за 3 года", ".", "рейтинг поставщиков в маркере по бг", "БГИ", "клиенты с в от100млн 09.21", "лимит сит по кредитам", "все клиенты с выручкой от 1,8 млрд до бесконечности", "портфель", "ФК клиенты с выручкой от 230 до бесконечности", "уш кл3", "Одобренные но не выданные 1 полугодие 2021", "44 фз с с БГ от 10 млн", "рейтинг по нмц маркер", "поставщики маркер", "44 за 3 года"</t>
  </si>
  <si>
    <t>За 3 года по 223ФЗ заключено  20 шт контрактов на сумму 120 956 070,29 ?</t>
  </si>
  <si>
    <t>43.21.10.220 Работы по монтажу систем освещения и сигнализации автомобильных дорог, аэропортов и портов
42.22.22.110 Работы строительные по прокладке местных линий электропередачи и связи над землей или под землей
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43.11.10.000 Работы по сносу зданий и сооружений
43.21.10.210 Работы по установке приборов учета расхода электроэнергии
35.11.10 Электроэнергия ****</t>
  </si>
  <si>
    <t>За весь период контрактов 14 шт. на общую сумму НМЦ 6 150 101 963,67 ?</t>
  </si>
  <si>
    <t>Сообщение кредитора о намерении обратиться в суд с заявлением о банкротстве от 28.04.2021</t>
  </si>
  <si>
    <t>"ФК клиенты с выручкой от 230 до бесконечности", ".", "корп 1", "все клиенты с выручкой от 1,8 млрд до бесконечности"</t>
  </si>
  <si>
    <t>10.89.99.000 Услуги по производству прочих пищевых продуктов, не включенных в другие группировки, отдельные, выполняемые субподрядчиком</t>
  </si>
  <si>
    <t>01.27.12.130 Лист черного чая сортовой
01.30.10.136 Виноград (культура ягодная)
10.13 Продукция мясная пищевая, в том числе из мяса птицы
10.13.14.119 Изделия колбасные вареные мясные прочие
01.13.12.120 Капуста белокочанная
01.13.42.000 Чеснок
10.39.22.130 Пюре и пасты фруктовые, ягодные и ореховые
10.41.24.000 Масло подсолнечное и его фракции нерафинированные
10.61.32.111 Крупа овсяная
10.61.32.113 Крупа гречневая ****</t>
  </si>
  <si>
    <t>22.23.15.000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25.72.14.190 Детали крепежные и установочные и аналогичные изделия из недрагоценных металлов
20.52.10.110 Клеи на основе полимеризационных смол</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</si>
  <si>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42.12.20.190 Работы строительные по строительству наземных и подземных железных дорог прочие, не включенные в другие группировки
42.13.20.100 Работы строительные по строительству мостов и тоннелей, кроме работ по сохранению и воссозданию объектов культурного наследия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t>
  </si>
  <si>
    <t>За весь период контрактов 12 шт. на общую сумму НМЦ 12 150 499 737,61 ?</t>
  </si>
  <si>
    <t>"223 за 3 года", ".", "рейтинг поставщиков в маркере по бг", "ГРАНДИОЗНЫЙ ПРОЕКТ", "Конкурсы 100+ (Восстановленный)", "все клиенты с выручкой от 1,8 млрд до бесконечности", "223 фз контракты 20+", "рейтинг заказчиков маркер", "рейтинг по нмц маркер", "это заказчик", "поставщики маркер", "44 за 3 года"</t>
  </si>
  <si>
    <t>За 3 года по 223ФЗ заключено  10 шт контрактов на сумму 93 754 733,40 ?</t>
  </si>
  <si>
    <t>20.14.33.452 Ангидрид малеиновый</t>
  </si>
  <si>
    <t>29.10.2 Автомобили легковые
74.90.20.130 Услуги агентств и агентов, действующих от имени физических лиц, обычно связанные с заключением контрактов (договоров) на участие в кинофильмах, театральных постановках и других развлекательных или спортивных мероприятиях, а также с предложением книг, пьес, предметов изобразительного искусства, фотографий издателям, продюсерам
45.20.11.111 Услуги по регламентным работам (по видам технического обслуживания)
45.20.21.100 Услуги по обычному (текущему) техническому обслуживанию прочих автотранспортных средств, кроме услуг по ремонту электрооборудования и кузовов
45.20.11.500 Прочие услуги по техническому обслуживанию и ремонту легковых автомобилей и легких грузовых автотранспортных средств
29.10.22.000 Средства транспортные с двигателем с искровым зажиганием, с рабочим объемом цилиндров более 1500 см3, новые</t>
  </si>
  <si>
    <t>49.41.19.900 Услуги по перевозке грузов автомобильным транспортом прочие, не включенные в другие группировки
49.41.20.000 Услуги по аренде грузовых транспортных средств с водителем</t>
  </si>
  <si>
    <t>1 047</t>
  </si>
  <si>
    <t>10.91 Корма готовые для сельскохозяйственных животных
10.41.41 Жмых и прочие твердые остатки растительных жиров или масел
10.91.1 Корма готовые для сельскохозяйственных животных (кроме муки и гранул из люцерны)
10.41.41.121 Жмых и остатки пищевые твердые прочие, полученные при экстракции подсолнечного масла
10.91.10.181 Комбикорма для крупного рогатого скота</t>
  </si>
  <si>
    <t>22.29 Изделия пластмассовые прочие
26.12.30 Карты со встроенными интегральными схемами (смарт-карты)
26.80.14 Карты магнитные
22.29.2 Изделия пластмассовые прочие, не включенные в другие группировки
26.20 Компьютеры и периферийное оборудование
18.12.11.000 Услуги по печатанию марок почтовых, марок гербовых, документов правоустанавливающих, карточек микропроцессорных, книжек чековых и прочих ценных бумаг и аналогичной продукции
26.80.1 Носители данных магнитные и оптические</t>
  </si>
  <si>
    <t>За весь период контрактов 16 шт. на общую сумму НМЦ 13 194 127 321,05 ?</t>
  </si>
  <si>
    <t>"223 за 3 года", ".", "рейтинг поставщиков в маркере по бг", "fk1", "ИНН_договоры_октябрь_", "ПСБ Гарантии ", "все клиенты с выручкой от 1,8 млрд до бесконечности", "Одобренные но не выданные 1 полугодие 2021", "223 фз контракты 20+", "рейтинг по нмц маркер", "поставщики маркер"</t>
  </si>
  <si>
    <t>49.41.15 Услуги по перевозке автомобильным транспортом сухих сыпучих грузов
43.21.10 Работы электромонтажные</t>
  </si>
  <si>
    <t>1 945</t>
  </si>
  <si>
    <t>ЗА 3 ГОДА ПО 223 ФЗ заключено 2 шт. с объемом НМЦ 250 300 000,00 ?</t>
  </si>
  <si>
    <t>Сообщение кредитора о намерении обратиться в суд с заявлением о банкротстве от 14.09.2021</t>
  </si>
  <si>
    <t>"223 за 3 года", ".", "все клиенты с выручкой от 1,8 млрд до бесконечности", "Участники клиринга", "рейтинг по нмц маркер", "поставщики маркер", "44 за 3 года"</t>
  </si>
  <si>
    <t>43.21.10.220 Работы по монтажу систем освещения и сигнализации автомобильных дорог, аэропортов и портов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77.39 Услуги по аренде и лизингу прочих машин, оборудования и материальных средств, не включенных в другие группировки
35.12.10.120 Услуги по технологическому присоединению к распределительным электросетям
68.20.12.000 Услуги по сдаче в аренду (внаем) собственных или арендованных нежилых помещений
43.21.10.290 Работы электромонтажные прочие, не включенные в другие группировки</t>
  </si>
  <si>
    <t>1 961</t>
  </si>
  <si>
    <t>Заказчик разыгравший 47 конкурсов на сумму  3 868 537 765,03 ?</t>
  </si>
  <si>
    <t>"44 за 3 года", ".", "все клиенты с выручкой от 1,8 млрд до бесконечности", "рейтинг заказчиков маркер", "производители", "это заказчик", "поставщики маркер"</t>
  </si>
  <si>
    <t>Заказчик разыгравший 82 конкурсов на сумму  23 631 439 335,20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</si>
  <si>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42.11.10.152 Дорога внутрихозяйственная
42.11.10.120 Дороги автомобильные, в том числе улично-дорожная сеть, и прочие автомобильные и пешеходные дороги
42.11.10.130 Ограждения дорожные
42.13.20.100 Работы строительные по строительству мостов и тоннелей, кроме работ по сохранению и воссозданию объектов культурного наследия
42.11.10.160 Полосы взлетно-посадочные аэродромов, включая рулежные дорожки и аналогичных сооружений аэродромов, кроме зданий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 ****</t>
  </si>
  <si>
    <t>За весь период компания заключила  113 контрактов на сумму  112 132 607 690,39 ? За весь период заходили в конкурсы  264 раз на общую сумму обеспеченных контрактов с НМЦ 106 096 943 032,78 ? с БГУ  6 635 588 786,34 ? с БГИ 18 029 268 545,22 ? За 3 ГОДА по 44ФЗ заключено 275 шт. с объемом НМЦ  15 422 499 973,26 ? с БГИ 2 262 039 120,85 ? с БГГО 263 632 050,46 ? с авансированием до 492 061 889,78 ? с комиссией банку 62 351 631,69 ? с кв 542 459,20 ? ЗА 1 ГОД по 44ФЗ заключено 96 шт. c объемом НМЦ 3 664 580 929,44 ? с БГИ 484 399 505,56 ? с БГГО 21 575 640,76 ? с авансированием до  61 837 484,72 ? с комиссией банку  9 518 536,54 ? с кв 82 811,27 ?</t>
  </si>
  <si>
    <t>"44 за 3 года", ".", "рейтинг поставщиков в маркере по бг", "Конкурсы 100+ (Восстановленный)", "fk1", "все клиенты с выручкой от 1,8 млрд до бесконечности", "Обороты по клиентам по кварталам (2022г)", "44 фз с с БГ от 10 млн", "рейтинг заказчиков маркер", "производители", "рейтинг по нмц маркер", "это заказчик",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</si>
  <si>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68.10.14.000 Услуги по покупке и продаже нежилых зданий и занимаемых ими земельных участков
26.30.11.150 Средства связи радиоэлектронные
42.99.12.124 Территории парковые и парки для отдыха
26.30.30.000 Части и комплектующие коммуникационного оборудования
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
43.91 Работы кровельные
28.13.31 Части насосов; части подъемников жидкостей
68.10.11.000 Услуги по покупке и продаже жилых зданий и занимаемых ими земельных участков ****</t>
  </si>
  <si>
    <t>1 985</t>
  </si>
  <si>
    <t>За весь период компания заключила  3 контрактов на сумму  1 025 570 070,10 ? За весь период заходили в конкурсы  8 раз на общую сумму обеспеченных контрактов с НМЦ 2 105 139 897,45 ? с БГУ  79 880 385,63 ? с БГИ 654 513 103,48 ? За 3 ГОДА по 44ФЗ заключено 17 шт. с объемом НМЦ  263 496 627,28 ? с БГИ 73 599 711,15 ? с БГГО 7 357 917,91 ? с авансированием до 0,00 ? с комиссией банку 1 013 230,51 ? с кв 8 815,11 ?</t>
  </si>
  <si>
    <t>"44 за 3 года", ".", "рейтинг поставщиков в маркере по бг", "все клиенты с выручкой от 1,8 млрд до бесконечности", "производители", "рейтинг по нмц маркер"</t>
  </si>
  <si>
    <t>"поставщики маркер", ".", "fk1", "все клиенты с выручкой от 1,8 млрд до бесконечности", "Обороты по клиентам по кварталам (2022г)", "производители"</t>
  </si>
  <si>
    <t>ЗА 3 ГОДА ПО 223 ФЗ заключено 1 шт. с объемом НМЦ 30 570 000,00 ?</t>
  </si>
  <si>
    <t>46.37.10.000 Услуги по оптовой торговле кофе, чаем, какао и пряностями</t>
  </si>
  <si>
    <t>ЗА 3 ГОДА ПО 223 ФЗ заключено 2 шт. с объемом НМЦ 1 307 125 585,64 ?</t>
  </si>
  <si>
    <t>10 Продукты пищевые</t>
  </si>
  <si>
    <t>Юридическое лицо находится в процессе реорганизации в форме присоединения к нему других юридических лиц от 28.04.2023, Сообщения о принятии решения о реорганизации от 05.04.2023</t>
  </si>
  <si>
    <t>"это заказчик", ".", "fk1", "корп 2",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</si>
  <si>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43.22.11.120 Работы по монтажу санитарно-технических приборов
43.99.90.190 Работы строительные специализированные прочие, не включенные в другие группировки
43.31.10.110 Работы штукатурные внешние и внутренние с применением штукатурных сеток и дранок
43.33.29.110 Работы по укладке ковровых покрытий, линолеума и прочих гибких материалов для покрытия полов
43.34.10.130 Работы по окрашиванию, перил, решеток, дверей и оконных коробок зданий и т. п.
41.20.40.900 Работы строительные по возведению нежилых зданий и сооружений прочие, не включенные в другие группировки
43.32.10.110 Работы по установке дверных и оконных блоков и коробок, навеске дверных полотен (кроме дверей автоматического действия и вращающихся дверей), окон, оконных створок, планчатых створок, дверей гаражного типа и т. п. из любых материалов
42.11.10.120 Дороги автомобильные, в том числе улично-дорожная сеть, и прочие автомобильные и пешеходные дороги
43.39.19.190 Работы завершающие и отделочные в зданиях и сооружениях, прочие, не включенные в другие группировки
43.91.19.190 Работы кровельные прочие, не включенные в другие группировки ****</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</si>
  <si>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28.92.12.130 Машины бурильные
45.11 Услуги по торговле легковыми автомобилями и грузовыми автомобилями малой грузоподъемности
29.10.44 Шасси с установленными двигателями для автотранспортных средств
29.32.30.231 Кузова (кабины)
28.14.20.290 Основные узлы, детали арматуры прочие (сальники, седла, золотники, плунжеры, штоки, шпиндели, мембраны и прочие)
45.20.11.519 Прочие услуги по техническому обслуживанию и ремонту прочих автотранспортных средств, не включенные в другие группировки ****</t>
  </si>
  <si>
    <t>За весь период заходили в конкурсы  2 раз на общую сумму обеспеченных контрактов с НМЦ 49 876 666,70 ? с БГУ  1 050 766,67 ? с БГИ 8 013 833,34 ?                             ЗА 3 ГОДА ПО 223 ФЗ заключено 24 шт. с объемом НМЦ 107 572 570,44 ?</t>
  </si>
  <si>
    <t>"223 за 3 года", ".", "рейтинг поставщиков в маркере по бг", "ушедшие", "все клиенты с выручкой от 1,8 млрд до бесконечности", "рейтинг по нмц маркер", "crm управления", "в crm за Курилиным", "поставщики маркер", "44 за 3 года"</t>
  </si>
  <si>
    <t>38.22.29.000 Услуги по утилизации прочих опасных отходов
38.32.22.110 Лом и отходы стальные
22.19.73.119 Изделия технического назначения из вулканизированной резины прочие, не включенные в другие группировки</t>
  </si>
  <si>
    <t>ПОС на 03.04.3773</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</si>
  <si>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 Электроэнергия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35.11.10.114 Электроэнергия, произведенная дизельными электростанциями (ДЭС) общего назначения
35.11.10.115 Электроэнергия, произведенная атомными электростанциями (АЭС) общего назначения ****</t>
  </si>
  <si>
    <t>За весь период компания заключила  5 контрактов на сумму  292 121 615,56 ? За весь период заходили в конкурсы  1 раз на общую сумму обеспеченных контрактов с НМЦ 53 640 521,70 ? с БГУ  274 203,27 ? с БГИ 32 904,39 ?                             ЗА 3 ГОДА ПО 223 ФЗ заключено 12 шт. с объемом НМЦ 212 243 250,10 ? за 1 ГОД ПО 223ФЗ заключено 3  150 388 153,84 ?</t>
  </si>
  <si>
    <t>"223 за 3 года", ".", "рейтинг поставщиков в маркере по бг", "223 фз контракты 20+", "рейтинг заказчиков маркер", "рейтинг по нмц маркер", "это заказчик", "поставщики маркер", "44 за 3 года"</t>
  </si>
  <si>
    <t>1 804</t>
  </si>
  <si>
    <t>13.9 Изделия текстильные прочие
31.09 Мебель прочая</t>
  </si>
  <si>
    <t>1 946</t>
  </si>
  <si>
    <t>1 274</t>
  </si>
  <si>
    <t>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43.99.90.190 Работы строительные специализированные прочие, не включенные в другие группировки
43.29 Работы строительно-монтажные прочие
42.13.10 Мосты и тоннели
42.22.11.110 Линии (кабели) электропередачи высокого напряжения
42.12 Дороги железные наземные и подземные; строительные работы по строительству наземных и подземных железных дорог
43.9 Работы строительные специализированные прочие
42.12.10 Дороги железные наземные и подземные
42.12.10.110 Полотно железнодорожное для железных дорог ****</t>
  </si>
  <si>
    <t>За весь период компания заключила  115 контрактов на сумму  244 970 928 225,91 ? За весь период заходили в конкурсы  3 раз на общую сумму обеспеченных контрактов с НМЦ 11 138 146 219,23 ? с БГУ  537 957 918,54 ? с БГИ 1 075 915 825,78 ?                             ЗА 3 ГОДА ПО 223 ФЗ заключено 55 шт. с объемом НМЦ 24 420 308 886,28 ? за 1 ГОД ПО 223ФЗ заключено 27  65 685 927 105,85 ?</t>
  </si>
  <si>
    <t>"223 за 3 года", ".", "рейтинг поставщиков в маркере по бг", "Конкурсы 100+ (Восстановленный)", "fk1", "просрочка на 01.01.2023 г.", "Запрос в ЮД_просрочка на 01.01.2023", "06.2022_ФинХД", "все клиенты с выручкой от 1,8 млрд до бесконечности", "223 фз контракты 20+", "производители", "рейтинг по нмц маркер"</t>
  </si>
  <si>
    <t>Сообщения о принятии решения о реорганизации от 27.05.2021</t>
  </si>
  <si>
    <t>"это заказчик", ".", "ушедшие", "все клиенты с выручкой от 1,8 млрд до бесконечности", "рейтинг по нмц маркер"</t>
  </si>
  <si>
    <t>61.2 Услуги телекоммуникационные беспроводные
61.20.11.000 Услуги подвижной связи общего пользования - обеспечение доступа и поддержка пользователя
62.09.20.120 Услуги по установке программного обеспечения
62.09.20.190 Услуги по технической поддержке в области информационных технологий прочие, не включенные в другие группировки
62.0 Продукты программные и услуги по разработке программного обеспечения; консультационные и аналогичные услуги в области информационных технологий
61.10.1 Услуги фиксированной телефонной связи
61.10.30.190 Услуги по передаче данных по проводным телекоммуникационным сетям прочие
61.20.20.000 Услуги операторов связи в сфере беспроводных телекоммуникаций
61.10.4 Услуги телекоммуникационные проводные в информационно-коммуникационной сети Интернет
61.20.30.120 Услуги по передаче данных по беспроводным телекоммуникационным сетям ****</t>
  </si>
  <si>
    <t>За весь период компания заключила  9 контрактов на сумму  1 728 165 864,25 ? За весь период заходили в конкурсы  5 раз на общую сумму обеспеченных контрактов с НМЦ 1 102 619 011,56 ? с БГУ  55 805 739,99 ? с БГИ 218 125 096,35 ?</t>
  </si>
  <si>
    <t>"223 за 3 года", ".", "рейтинг поставщиков в маркере по бг", "ИНН_договоры_октябрь_", "все клиенты с выручкой от 1,8 млрд до бесконечности", "рейтинг по нмц маркер", "поставщики маркер", "44 за 3 года"</t>
  </si>
  <si>
    <t>За весь период компания заключила  1 контрактов на сумму  439 319 111,00 ? За весь период заходили в конкурсы  5 раз на общую сумму обеспеченных контрактов с НМЦ 792 946 988,83 ? с БГУ  22 880 866,19 ? с БГИ 155 401 449,17 ?</t>
  </si>
  <si>
    <t>Сообщение кредитора о намерении обратиться в суд с заявлением о банкротстве от 13.01.2023</t>
  </si>
  <si>
    <t>52.21.22.000 Услуги по эксплуатации автомагистралей
42.11.10.110 Автомагистрали, кроме надземных автодорог (эстакад)
42.11.10.140 Стоянки автомобильные с твердым покрытием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</si>
  <si>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1 контрактов на сумму  5 958 939 117,54 ?</t>
  </si>
  <si>
    <t>32.50 Инструменты и оборудование медицинские
32.50.11.110 Аппараты, инструменты и приспособления стоматологические</t>
  </si>
  <si>
    <t>"все клиенты с выручкой от 1,8 млрд до бесконечности", ".", "Пустые_Клиенты"</t>
  </si>
  <si>
    <t>43.99.70.000 Работы по сборке и монтажу сборных конструкций
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t>
  </si>
  <si>
    <t>За весь период контрактов 7 шт. с общей суммой НМЦ 853 021 872,45 ? с БГУ 54365132,66 и БГИ 326 190 795,97 ?</t>
  </si>
  <si>
    <t>3 764</t>
  </si>
  <si>
    <t>Сообщения о принятии решения о реорганизации от 05.07.2018</t>
  </si>
  <si>
    <t>26.20.40 Блоки, части и принадлежности вычислительных машин
43.99.70.000 Работы по сборке и монтажу сборных конструкций
58.29.50 Услуги по предоставлению лицензий на право использовать компьютерное программное обеспечение
26.30.30.000 Части и комплектующие коммуникационного оборудования
58.29.29.000 Обеспечение программное прикладное прочее на электронном носителе
80.20.10.000 Услуги систем обеспечения безопасности
62.02 Услуги консультативные, связанные с компьютерной техникой
26.20.14 Машины вычислительные электронные цифровые, поставляемые в виде систем для автоматической обработки данных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t>
  </si>
  <si>
    <t>За весь период компания заключила  72 контрактов на сумму  26 821 018 645,13 ? За весь период заходили в конкурсы  62 раз на общую сумму обеспеченных контрактов с НМЦ 13 462 689 438,98 ? с БГУ  507 013 388,62 ? с БГИ 3 746 327 371,23 ? За 3 ГОДА по 44ФЗ заключено 14 шт. с объемом НМЦ  2 857 786 177,87 ? с БГИ 420 764 713,65 ? с БГГО 29 047 711,44 ? с авансированием до 65 000 000,00 ? с комиссией банку 8 980 360,77 ? с кв 78 129,14 ? ЗА 1 ГОД по 44ФЗ заключено 7 шт. c объемом НМЦ 731 212 997,80 ? с БГИ 190 081 385,64 ? с БГГО 6 362 289,92 ? с авансированием до  65 000 000,00 ? с комиссией банку  2 672 829,67 ? с кв 23 253,62 ? ЗА 3 ГОДА ПО 223 ФЗ заключено 17 шт. с объемом НМЦ 1 162 838 083,65 ? за 1 ГОД ПО 223ФЗ заключено 4  190 797 942,47 ?</t>
  </si>
  <si>
    <t>"223 за 3 года", "кл фт агент бг 04.22", ".", "рейтинг поставщиков в маркере по бг", "ГРАНДИОЗНЫЙ ПРОЕКТ", "Конкурсы 100+ (Восстановленный)", "fk1", "ИНН 3 года - нет КД БГ на 01.10.22", "БГ ФБ ЮР лица на 01.07.2021", "Гарантии ФБ банкроты", "филиал бизнес 31.01.22 ",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"223 фз контракты 20+", "44 фз с с БГ от 10 млн", "Все БГ Держава ", "рейтинг заказчиков маркер", "производители", "рейтинг по нмц маркер", "поставщики маркер", "44 за 3 года"</t>
  </si>
  <si>
    <t>27.20.22.000 Аккумуляторы свинцовые, кроме используемых для запуска поршневых двигателей
26.20.18 Устройства периферийные с двумя или более функциями: печать данных, копирование, сканирование, прием и передача факсимильных сообщений
28.23.25.000 Части и принадлежности прочих офисных машин
26.70.17.150 Экраны проекционные
26.20.1 Компьютеры, их части и принадлежности
26.20.16 Устройства ввода или вывода, содержащие или не содержащие в одном корпусе запоминающие устройства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t>
  </si>
  <si>
    <t>Юридическим лицом принято решение об изменении места нахождения от 11.05.2021, Сообщения о принятии решения о реорганизации от 25.12.2019</t>
  </si>
  <si>
    <t>"223 за 3 года", ".", "fk1", "ИНН_договоры_октябрь_", "все клиенты с выручкой от 1,8 млрд до бесконечности", "производители", "поставщики маркер"</t>
  </si>
  <si>
    <t>Заказчик разыгравший 1 конкурсов на сумму  1 895 058 556,00 ?</t>
  </si>
  <si>
    <t>62.01 Продукты программные и услуги по разработке и тестированию программного обеспечения
62.02.20.130 Услуги по обучению пользователей
62.09.20.190 Услуги по технической поддержке в области информационных технологий прочие, не включенные в другие группировки
62.0 Продукты программные и услуги по разработке программного обеспечения; консультационные и аналогичные услуги в области информационных технологий
62.03.12.110 Услуги по управлению компьютерными системами непосредственно
62.03.12.190 Услуги по управлению компьютерными системами прочие, не включенные в другие группировки
62.01.11.000 Услуги по проектированию и разработке информационных технологий для прикладных задач и тестированию программного обеспечения
62.02.20.190 Услуги консультативные в области компьютерных технологий прочие
62.09 Услуги в области информационных технологий прочие и компьютерные услуги
62.01.12.000 Услуги по проектированию и разработке информационных технологий для сетей и систем ****</t>
  </si>
  <si>
    <t>1 578</t>
  </si>
  <si>
    <t>За весь период компания заключила  100 контрактов на сумму  46 668 187 554,18 ? За весь период заходили в конкурсы  277 раз на общую сумму обеспеченных контрактов с НМЦ 57 990 510 272,03 ? с БГУ  2 217 004 327,31 ? с БГИ 10 807 492 693,44 ? За 3 ГОДА по 44ФЗ заключено 95 шт. с объемом НМЦ  17 625 092 034,81 ? с БГИ 2 999 843 977,55 ? с БГГО 722 188 187,91 ? с авансированием до 763 035 445,30 ? с комиссией банку 63 351 986,80 ? с кв 551 162,29 ? ЗА 1 ГОД по 44ФЗ заключено 45 шт. c объемом НМЦ 9 969 458 208,56 ? с БГИ 1 581 864 194,16 ? с БГГО 544 464 325,58 ? с авансированием до  615 318 838,97 ? с комиссией банку  47 220 335,76 ? с кв 410 816,92 ?</t>
  </si>
  <si>
    <t>"44 за 3 года", ".", "рейтинг поставщиков в маркере по бг", "ГРАНДИОЗНЫЙ ПРОЕКТ", "Конкурсы 100+ (Восстановленный)", "fk1", "Кредитный портфель_01.11", "Все БГ поиск клиентов Банка и их контакты РЭБ",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t>
  </si>
  <si>
    <t>22.19.60.119 Перчатки резиновые прочие
21.20.10.158 Антисептики и дезинфицирующие препараты</t>
  </si>
  <si>
    <t>"поставщики маркер", ".", "п6", "fk1", "все клиенты с выручкой от 1,8 млрд до бесконечности", "это заказчик"</t>
  </si>
  <si>
    <t>09.1 Услуги по добыче нефти и природного газа
09.10.11.190 Услуги по бурению, связанные с добычей нефти и горючего природного газа, не включенные в другие группировки</t>
  </si>
  <si>
    <t>За весь период контрактов 4 шт. на общую сумму НМЦ 2 954 874 269,67 ?</t>
  </si>
  <si>
    <t>"поставщики маркер", ".", "Участники клиринга", "производители", "рейтинг по нмц маркер", "это заказчик"</t>
  </si>
  <si>
    <t>46.71.12.000 Услуги по оптовой торговле моторным топливом, включая авиационный бензин
19.20.21.300 Топливо дизельное</t>
  </si>
  <si>
    <t>За весь период контрактов 7 шт. на общую сумму НМЦ 1 214 913 730,19 ?</t>
  </si>
  <si>
    <t>"223 за 3 года", ".", "fk1", "ПОС на 01.02.2023", "ПОС на 03.04.2023", "Кредитный портфель_01.11", "корп 1", "06.2022_ФинХД", "все клиенты с выручкой от 1,8 млрд до бесконечности", "клиенты от 100 млн", "Обороты по клиентам по кварталам (2022г)", "Участники клиринга", "223 фз контракты 20+", "рейтинг по нмц маркер", "поставщики маркер"</t>
  </si>
  <si>
    <t>52.29.19 Услуги грузовых транспортно-экспедиционных агентств прочие</t>
  </si>
  <si>
    <t>28.13.25 Турбокомпрессоры
28.21.13.119 Электропечи и камеры промышленные или лабораторные прочие, не включенные в другие группировки
28.96.10 Оборудование для обработки резины и пластмасс и для производства продукции из этих материалов, не включенное в другие группировки
25.73.30 Инструмент ручной прочий
25.73.30.220 Инструмент для крепления обрабатываемых деталей и изделий
25.73.40.290 Инструменты рабочие сменные для станков или для ручного инструмента прочие, не включенные в другие группировки
25.93.15.120 Электроды с покрытием
25.99.25 Застежки, оправы с застежками, пряжки, пряжки-застежки, крючки, колечки, петельки и аналогичные изделия из недрагоценных металлов, используемые для одежды, обуви, навесов, дамских сумочек, дорожных принадлежностей или прочих готовых изделий; трубчатые или раздвоенные заклепки из недрагоценных металлов; бусины и блестки из недрагоценных металлов
25.99.29 Изделия из недрагоценных металлов прочие, не включенные в другие группировки
32.50.13.190 Инструменты и приспособления, применяемые в медицинских целях, прочие, не включенные в другие группировки ****</t>
  </si>
  <si>
    <t>За весь период заходили в конкурсы  4 раз на общую сумму обеспеченных контрактов с НМЦ 153 030 872,67 ? с БГУ  5 988 098,77 ? с БГИ 55 020 562,64 ? За 3 ГОДА по 44ФЗ заключено 221 шт. с объемом НМЦ  468 220 258,68 ? с БГИ 80 958 980,16 ? с БГГО 4 521 720,75 ? с авансированием до 0,00 ? с комиссией банку 950 849,90 ? с кв 8 272,39 ? ЗА 1 ГОД по 44ФЗ заключено 48 шт. c объемом НМЦ 346 289 789,90 ? с БГИ 52 129 812,96 ? с БГГО 1 918 765,33 ? с авансированием до  0,00 ? с комиссией банку  624 259,35 ? с кв 5 431,06 ? ЗА 3 ГОДА ПО 223 ФЗ заключено 27 шт. с объемом НМЦ 318 185 229,00 ? за 1 ГОД ПО 223ФЗ заключено 10  4 037 116,00 ?</t>
  </si>
  <si>
    <t>клиенты от 100 млн 01.05.4696</t>
  </si>
  <si>
    <t>Сообщение кредитора о намерении обратиться в суд с заявлением о банкротстве от 27.08.2019</t>
  </si>
  <si>
    <t>"клиенты от 100 млн", "."</t>
  </si>
  <si>
    <t>За весь период компания заключила  8 контрактов на сумму  22 153 351 905,23 ?</t>
  </si>
  <si>
    <t>Заказчик разыгравший 5 конкурсов на сумму  2 725 303 452,39 ?</t>
  </si>
  <si>
    <t>Сообщения о принятии решения о реорганизации от 29.07.2016</t>
  </si>
  <si>
    <t>19.20.21.341 Топливо дизельное межсезонное вне классов
19.2 Нефтепродукты
19.20.21.124 Бензин автомобильный с октановым числом более 92, но не более 95 по исследовательскому методу экологического класса К4
46.71.12.000 Услуги по оптовой торговле моторным топливом, включая авиационный бензин
19.20.21.321 Топливо дизельное зимнее вне классов
19.20.21.324 Топливо дизельное зимнее экологического класса К4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19.20.21.310 Топливо дизельное летнее ****</t>
  </si>
  <si>
    <t>За весь период компания заключила  10 контрактов на сумму  567 343 052,65 ? За весь период заходили в конкурсы  11 раз на общую сумму обеспеченных контрактов с НМЦ 1 125 358 576,72 ? с БГУ  12 771 219,30 ? с БГИ 337 324 629,00 ? За 3 ГОДА по 44ФЗ заключено 601 шт. с объемом НМЦ  2 232 589 509,71 ? с БГИ 428 328 218,14 ? с БГГО 1 429 682,80 ? с авансированием до 5 044 353,22 ? с комиссией банку 5 029 746,64 ? с кв 43 758,80 ? ЗА 1 ГОД по 44ФЗ заключено 200 шт. c объемом НМЦ 909 906 123,89 ? с БГИ 175 594 760,69 ? с БГГО 395 000,00 ? с авансированием до  553 762,40 ? с комиссией банку  2 536 953,10 ? с кв 22 071,49 ? ЗА 3 ГОДА ПО 223 ФЗ заключено 33 шт. с объемом НМЦ 737 044 702,02 ? за 1 ГОД ПО 223ФЗ заключено 10  21 726 083,66 ?</t>
  </si>
  <si>
    <t>"223 за 3 года", ".", "рейтинг поставщиков в маркере по бг", "Конкурсы 100+ (Восстановленный)", "все клиенты с выручкой от 1,8 млрд до бесконечности", "Участники клиринга", "223 фз контракты 20+", "44 фз с с БГ от 10 млн", "рейтинг по нмц маркер", "поставщики маркер", "44 за 3 года"</t>
  </si>
  <si>
    <t>20.13.43.112 Сода кальцинированная техническая из нефелинового сырья
20.15.60.000 Нитрат натрия
22.22.19.000 Изделия упаковочные пластмассовые прочие
22.29 Изделия пластмассовые прочие
20.42.16.110 Шампуни
20.59 Продукты химические прочие, не включенные в другие группировки
22.19.71.190 Изделия из резины, кроме твердой резины (эбонита), гигиенические или фармацевтические прочие
13.20.20.119 Ткани хлопчатобумажные бытовые прочие
20.20.14.000 Средства дезинфекционные
20.41.31.210 Вещества органические поверхностно-активные и средства, используемые в качестве мыла ****</t>
  </si>
  <si>
    <t>ЗА 3 ГОДА ПО 223 ФЗ заключено 40 шт. с объемом НМЦ 24 372 947,26 ? за 1 ГОД ПО 223ФЗ заключено 14  8 717 588,94 ?</t>
  </si>
  <si>
    <t>Сообщения о принятии решения о реорганизации от 09.11.2022</t>
  </si>
  <si>
    <t>20.20.14.000 Средства дезинфекционные
20.30.22.220 Растворители и разбавители органические сложные; составы готовые для удаления красок и лаков (смывки)
13.94.11.110 Шпагат из джута или прочих лубяных текстильных волокон
17.22.11.130 Салфетки и полотенца гигиенические или косметические из бумажной массы, бумаги, целлюлозной ваты и полотна из целлюлозных волокон
17.23.13.110 Журналы регистрационные из бумаги или картона
25.99.29.110 Магниты металлические постоянные
17 Бумага и изделия из бумаги
20.41.32.121 Порошки стиральные
32.50.13.190 Инструменты и приспособления, применяемые в медицинских целях, прочие, не включенные в другие группировки
32.91.1 Метлы и щетки ****</t>
  </si>
  <si>
    <t>22.22.19.000 Изделия упаковочные пластмассовые прочие
20.42.15.140 Средства для ухода за кожей тела: лосьоны, кремы (в том числе детские)
22.19.50.000 Материалы прорезиненные текстильные, кроме кордных тканей
22.19.71.190 Изделия из резины, кроме твердой резины (эбонита), гигиенические или фармацевтические прочие
25.71.12.120 Лезвия для бритв
28.25.13.111 Шкафы холодильные
13.20.20.119 Ткани хлопчатобумажные бытовые прочие
20.20.14.000 Средства дезинфекционные
20.60.12.110 Нити полиамидные высокопрочные
25.73.30.210 Рубанки, долота, стамески и аналогичные режущие инструменты для обработки древесины ****</t>
  </si>
  <si>
    <t>22.29 Изделия пластмассовые прочие
25.72.14.120 Петли, арматура крепежная, фурнитура и аналогичные изделия для дверей и окон из недрагоценных металлов
17.23.13.130 Скоросшиватели (папки) из бумаги или картона
17.23.13.199 Принадлежности канцелярские прочие из бумаги или картона, не включенные в другие группировки
17.12.14.129 Бумага печатная прочая
31.01.12.110 Столы письменные деревянные для офисов, административных помещений
31.01.12.131 Шкафы для одежды деревянные
27.51.15.110 Вентиляторы бытовые
17.23.11.150 Бумага клейкая или гуммированная
17.12 Бумага и картон ****</t>
  </si>
  <si>
    <t>1 519</t>
  </si>
  <si>
    <t>Кредитная линия закрыта;Рассматривается банком</t>
  </si>
  <si>
    <t>"на фт заводил Синяев", "кл фт прямые ВКЛ/РКО 04.22", "свод фт", ".", "fk1", "кредиты фт", "Ссуды ФБ 29.04.2022 банкр.", "АИЛ портфель", "клиенты с в от100млн 09.21", "Пункт 3 09.01.23", "лимит сит по кредитам", "все клиенты с выручкой от 1,8 млрд до бесконечности", "филиал бизнес 01.03.22", "портфель", "филиал бизнес 22.11", "ФК клиенты с выручкой от 230 до бесконечности", "клиенты от 100 млн", "Обороты по клиентам по кварталам (2022г)", "ФТ клиенты с продуктами по сотрудникам"</t>
  </si>
  <si>
    <t>93.19.13.000 Услуги вспомогательные, связанные со спортом и отдыхом
25.40.12.400 Оружие спортивное
25.40.12.410 Оружие спортивное огнестрельное с нарезным стволом
25.40.12.420 Оружие спортивное огнестрельное гладкоствольное
25.40.12.430 Оружие спортивное пневматическое с дульной энергией свыше 3 Дж
32.99.53.190 Модели, макеты и аналогичные изделия демонстрационные прочие
32.30.15.150 Инвентарь для пулевой и стендовой стрельбы, кроме оружия и боеприпасов
93.19 Услуги в области спорта прочие
25.40.12.900 Оружие огнестрельное прочее, не предназначенное для ведения боевых действий
25.40.13.190 Патроны и боеприпасы прочие и их детали ****</t>
  </si>
  <si>
    <t>"это заказчик", ".", "Гарантии_КИБ_31.03.22_Гиб._", "п6", "fk1", "корп 1", "06.2022_ФинХД", "все клиенты с выручкой от 1,8 млрд до бесконечности", "ФК клиенты с выручкой от 230 до бесконечности"</t>
  </si>
  <si>
    <t>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84.25.11.120 Услуги по обеспечению пожарной безопасности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33.13.13.000 Услуги по ремонту и техническому обслуживанию профессиональных оптических приборов и фотооборудования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84.11.11 Услуги органов законодательной и исполнительной государственной власти
43.99.90.190 Работы строительные специализированные прочие, не включенные в другие группировки
33.20.41.120 Услуги по монтажу высокоточных и оптических инструментов
80.10.11.000 Услуги по перевозкам в бронированных автомобилях
80.10.19.000 Услуги в области обеспечения безопасности прочие ****</t>
  </si>
  <si>
    <t>За весь период компания заключила  72 контрактов на сумму  7 164 108 616,91 ? За весь период заходили в конкурсы  92 раз на общую сумму обеспеченных контрактов с НМЦ 7 507 628 740,43 ? с БГУ  250 182 035,75 ? с БГИ 1 450 764 171,70 ? За 3 ГОДА по 44ФЗ заключено 3822 шт. с объемом НМЦ  11 774 426 285,56 ? с БГИ 1 428 519 716,27 ? с БГГО 16 551 953,73 ? с авансированием до 70 137 032,65 ? с комиссией банку 23 788 553,36 ? с кв 206 960,41 ? ЗА 1 ГОД по 44ФЗ заключено 1347 шт. c объемом НМЦ 4 324 389 461,14 ? с БГИ 452 774 087,21 ? с БГГО 3 890 936,59 ? с авансированием до  21 737 590,79 ? с комиссией банку  10 852 865,95 ? с кв 94 419,93 ? ЗА 3 ГОДА ПО 223 ФЗ заключено 257 шт. с объемом НМЦ 1 724 100 409,53 ? за 1 ГОД ПО 223ФЗ заключено 99  836 490 975,96 ?</t>
  </si>
  <si>
    <t>"223 за 3 года", ".", "рейтинг поставщиков в маркере по бг", "фб 22.11", "Конкурсы 100+ (Восстановленный)", "ИНН_договоры_октябрь_", "все клиенты с выручкой от 1,8 млрд до бесконечности", "223 фз контракты 20+", "44 фз с с БГ от 10 млн", "рейтинг заказчиков маркер", "рейтинг по нмц маркер", "это заказчик", "поставщики маркер", "44 за 3 года"</t>
  </si>
  <si>
    <t>63.11.19 Услуги прочие по размещению и предоставлению инфраструктуры информационных технологий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58.29 Услуги по изданию прочего программного обеспечения
62.09.20.190 Услуги по технической поддержке в области информационных технологий прочие, не включенные в другие группировки
26.20.14.000 Машины вычислительные электронные цифровые, поставляемые в виде систем для автоматической обработки данных
62 Продукты программные и услуги по разработке программного обеспечения; консультационные и аналогичные услуги в области информационных технологий
58.29.29 Обеспечение программное прикладное прочее на электронном носителе
62.01.11.000 Услуги по проектированию и разработке информационных технологий для прикладных задач и тестированию программного обеспечения
62.01.29.000 Оригиналы программного обеспечения прочие
58.29.1 Обеспечение программное системное на электронном носителе ****</t>
  </si>
  <si>
    <t>За весь период контрактов 23 шт. на общую сумму НМЦ 1 325 908 888,74 ?</t>
  </si>
  <si>
    <t>"223 за 3 года", ".", "ушедшие", "все клиенты с выручкой от 1,8 млрд до бесконечности", "рейтинг заказчиков маркер", "рейтинг по нмц маркер", "это заказчик", "поставщики маркер", "44 за 3 года"</t>
  </si>
  <si>
    <t>71.12.20.190 Услуги по руководству строительными проектами прочие
71.11.21.000 Услуги в области архитектуры, связанные с проектами жилищного строительства
35.12.10.120 Услуги по технологическому присоединению к распределительным электросетям
35.13.10.000 Услуги по распределению электроэнергии
71.12.19.100 Услуги по инженерно-техническому проектированию прочих объектов, кроме объектов культурного наследия
71.12.13.000 Услуги по инженерно-техническому проектированию систем энергоснабжения
71.12.11.100 Услуги в виде инженерно-технических консультаций по энергосбережению и повышению энергетической эффективности</t>
  </si>
  <si>
    <t>За весь период компания заключила  22 контрактов на сумму  12 265 767 307,37 ? За весь период заходили в конкурсы  26 раз на общую сумму обеспеченных контрактов с НМЦ 1 508 786 329,79 ? с БГУ  84 311 276,59 ? с БГИ 526 925 520,34 ?</t>
  </si>
  <si>
    <t>"223 за 3 года", ".", "рейтинг поставщиков в маркере по бг",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заказчиков маркер", "производители", "рейтинг по нмц маркер", "это заказчик", "поставщики маркер", "44 за 3 года"</t>
  </si>
  <si>
    <t>71.12.16.000 Услуги по инженерно-техническому проектированию производственных процессов и производств
41.20.40.900 Работы строительные по возведению нежилых зданий и сооружений прочие, не включенные в другие группировки
41.20.20.100 Здания нежилые
42.22.23 Работы строительные по строительству электростанций</t>
  </si>
  <si>
    <t>Сообщение кредитора о намерении обратиться в суд с заявлением о банкротстве от 03.02.2021</t>
  </si>
  <si>
    <t>"поставщики маркер", "кл фт прямые бг 04.22", "свод фт", ".", "рейтинг поставщиков в маркере по бг", "все клиенты с выручкой от 1,8 млрд до бесконечности", "ФТ клиенты с продуктами по сотрудникам", "рейтинг по нмц маркер", "это заказчик", "на фт заводил Кашин"</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</si>
  <si>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66.19.99.130 Услуги по приему платежей физических лиц платежными агентами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35.11.10 Электроэнергия
35.12.10.120 Услуги по технологическому присоединению к распределительным электросетям
35.13.10.000 Услуги по распределению электроэнергии ****</t>
  </si>
  <si>
    <t>ЗА 3 ГОДА ПО 223 ФЗ заключено 40 шт. с объемом НМЦ 95 647 089,55 ? за 1 ГОД ПО 223ФЗ заключено 19  25 397 433,89 ?</t>
  </si>
  <si>
    <t>35.30.11.120 Энергия тепловая, отпущенная котельными
55.20.12.000 Услуги по предоставлению временного жилья для посетителей в помещениях, предоставляемых по договорам краткосрочного найма
56.29.19.000 Услуги по обеспечению питанием, осуществляемые по договору, прочие</t>
  </si>
  <si>
    <t>20.20.12 Гербициды</t>
  </si>
  <si>
    <t>10.91.10.183 Комбикорма для свиней</t>
  </si>
  <si>
    <t>1 263</t>
  </si>
  <si>
    <t>10.51.11.121 Молоко питьевое коровье ультрапастеризованное (ультравысокотемпературно-обработанное)</t>
  </si>
  <si>
    <t>"производители", ".", "fk1", "Действующий клиент мсб с выр от 30 млн на 05.21", "все клиенты с выручкой от 1,8 млрд до бесконечности", "ФК клиенты с выручкой от 230 до бесконечности"</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</si>
  <si>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37.00.11.150 Услуги по техническому обслуживанию и очистке систем водоотведения и дренажных труб, включая арматуру систем водоотведения
81.29.12.000 Услуги по подметанию и уборке снега
30.20.31.130 Средства транспортные, предназначенные для технического обслуживания или ремонта трамвайных путей
33.20.29.000 Услуги по монтажу прочего оборудования общего назначения, не включенного в другие группировки
42.11.10.129 Дороги автомобильные, в том числе улично-дорожная сеть, и прочие автомобильные и пешеходные дороги, не включенные в другие группировки
42.13.10.119 Мосты и путепроводы из любых материалов для всех типов сухопутного транспорта и для пешеходов прочие
39.00.22.000 Услуги по рекультивации прочие
42.21.22.110 Работы строительные по прокладке местных трубопроводов воды или сточных вод</t>
  </si>
  <si>
    <t>За весь период компания заключила  24 контрактов на сумму  3 066 063 921,24 ? За весь период заходили в конкурсы  82 раз на общую сумму обеспеченных контрактов с НМЦ 8 750 972 707,90 ? с БГУ  250 173 411,12 ? с БГИ 961 484 409,62 ? За 3 ГОДА по 44ФЗ заключено 44 шт. с объемом НМЦ  5 006 953 485,04 ? с БГИ 465 353 914,03 ? с БГГО 7 620 790,00 ? с авансированием до 2 603 327 895,00 ? с комиссией банку 3 205 056,54 ? с кв 27 883,99 ? ЗА 1 ГОД по 44ФЗ заключено 9 шт. c объемом НМЦ 1 065 205 273,00 ? с БГИ 94 834 450,88 ? с БГГО 424 345,00 ? с авансированием до  81 604 782,50 ? с комиссией банку  810 881,03 ? с кв 7 054,66 ?</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</si>
  <si>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09.10.1 Услуги по обеспечению добычи нефти и природного газа
09.1 Услуги по добыче нефти и природного газа
09.10.11.190 Услуги по бурению, связанные с добычей нефти и горючего природного газа, не включенные в другие группировки
09.10.12.110 Услуги по монтажу буровых вышек</t>
  </si>
  <si>
    <t>1 310</t>
  </si>
  <si>
    <t>За весь период компания заключила  56 контрактов на сумму  127 049 126 600,94 ?</t>
  </si>
  <si>
    <t>"рейтинг по нмц маркер", ".", "fk1", "ПОС на 01.02.2023", "ПОС на 03.04.2023", "ушедшие", "клиенты с в от100млн 09.21", "все клиенты с выручкой от 1,8 млрд до бесконечности", "Обороты по клиентам по кварталам (2022г)"</t>
  </si>
  <si>
    <t>22.29.21.000 Плиты, листы, пленка, лента и прочие плоские полимерные самоклеящиеся формы, в рулонах шириной не более 20 см</t>
  </si>
  <si>
    <t>25.99.29 Изделия из недрагоценных металлов прочие, не включенные в другие группировки
31.01.11.121 Шкафы для одежды металлические
31.01.11.120 Шкафы офисные металлические
31.09.11.120 Стеллажи, стойки, вешалки металлические
31.01.11.150 Мебель для сидения, преимущественно с металлическим каркасом</t>
  </si>
  <si>
    <t>19.20.29.119 Масла моторные прочие, не включенные в другие группировки
19.20.29.130 Масла гидравлические
19.20.29.120 Масла трансмиссионные</t>
  </si>
  <si>
    <t>на фт заводил Шаклейн.xlsx</t>
  </si>
  <si>
    <t>"поставщики маркер", "свод фт", ".", "на фт заводил Шаклейн"</t>
  </si>
  <si>
    <t>за 1 ГОД ПО 223ФЗ заключено 11  7 333 351,75 ?</t>
  </si>
  <si>
    <t>45.31.12.000 Услуги по оптовой торговле прочими автомобильными деталями, узлами и принадлежностями
29.10.2 Автомобили легковые
29.10.22 Средства транспортные с двигателем с искровым зажиганием, с рабочим объемом цилиндров более 1500 см3, новые
65.12.29.000 Услуги по страхованию автотранспортных средств прочие
45.20 Услуги по техническому обслуживанию и ремонту автотранспортных средств
45.20.11.500 Прочие услуги по техническому обслуживанию и ремонту легковых автомобилей и легких грузовых автотранспортных средств</t>
  </si>
  <si>
    <t>21.20.10.118 Препараты, способствующие пищеварению, включая ферментные препараты
21.20.10.133 Препараты антианемические
21.20.10.191 Препараты антибактериальные для системного использования
21.20.10.213 Иммуномодуляторы
21.20.23.190 Препараты фармацевтические прочие
21.20.10.132 Гемостатики
21.20.10.194 Препараты противовирусные для системного применения
21.20.10.239 Препараты для лечения заболеваний нервной системы прочие
21.20.10.250 Препараты для лечения органов дыхательной системы
26.60.11.113 Аппараты рентгенографические ****</t>
  </si>
  <si>
    <t>За весь период компания заключила  7 контрактов на сумму  395 766 400,74 ? За весь период заходили в конкурсы  14 раз на общую сумму обеспеченных контрактов с НМЦ 1 325 256 440,26 ? с БГУ  8 201 344,72 ? с БГИ 114 086 025,31 ? За 3 ГОДА по 44ФЗ заключено 455 шт. с объемом НМЦ  3 597 761 931,57 ? с БГИ 255 869 588,88 ? с БГГО 1 888 148,86 ? с авансированием до 0,00 ? с комиссией банку 3 549 425,54 ? с кв 30 880,00 ? ЗА 1 ГОД по 44ФЗ заключено 247 шт. c объемом НМЦ 2 254 225 736,68 ? с БГИ 159 668 581,17 ? с БГГО 28 129,00 ? с авансированием до  0,00 ? с комиссией банку  1 906 519,91 ? с кв 16 586,72 ?</t>
  </si>
  <si>
    <t>"223 за 3 года", "кл фт агент бг 04.22", ".", "рейтинг поставщиков в маркере по бг", "fk1", "2. Финтендер 2022 31.03.22 Григорян для СПАРК", "Агентские одобренные но не выданные от 30.08", "Гарантии ФБ банкроты", "филиал бизнес 31.01.22 ", "ФК клиенты с выручкой от 230 до бесконечности", "клиенты от 100 млн", "действующие б не прям", "Обороты по клиентам по кварталам (2022г)", "Одобренные но не выданные 1 полугодие 2021", "ФТ клиенты с продуктами по сотрудникам", "44 фз с с БГ от 10 млн", "рейтинг по нмц маркер", "поставщики маркер", "44 за 3 года"</t>
  </si>
  <si>
    <t>19.20.31.110 Пропан сжиженный
19.20.21.120 Бензин автомобильный с октановым числом более 92, но не более 95 по исследовательскому методу
19.20.21.315 Топливо дизельное летнее экологического класса К5
19.20.21.121 Бензин автомобильный с октановым числом более 92, но не более 95 по исследовательскому методу вне классов
19.20.21.130 Бензин автомобильный с октановым числом более 95, но не более 98 по исследовательскому методу</t>
  </si>
  <si>
    <t>"поставщики маркер", ".", "райф", "все клиенты с выручкой от 1,8 млрд до бесконечности", "Участники клиринга", "производители"</t>
  </si>
  <si>
    <t>43.21.10.220 Работы по монтажу систем освещения и сигнализации автомобильных дорог, аэропортов и портов
42.22.22.110 Работы строительные по прокладке местных линий электропередачи и связи над землей или под землей
42.22.22.120 Работы строительные по строительству трансформаторных станций и подстанций для распределения электричества в пределах какого-либо района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27.11.10.110 Электродвигатели мощностью не более 37,5 Вт
43.21.10.130 Работы по монтажу сетей электроосвещения и электроснабжения и электроарматуры для систем аварийного электроснабжения
35.11.10.110 Электроэнергия, произведенная электростанциями общего назначения ****</t>
  </si>
  <si>
    <t>За весь период контрактов 12 шт. на общую сумму НМЦ 4 923 247 715,65 ?</t>
  </si>
  <si>
    <t>38.32.21.110 Лом и отходы золота и золотых сплавов</t>
  </si>
  <si>
    <t>Сообщение кредитора о намерении обратиться в суд с заявлением о банкротстве от 10.07.2018</t>
  </si>
  <si>
    <t>01.21.11 Виноград свежий столовых сортов
68.20.12.000 Услуги по сдаче в аренду (внаем) собственных или арендованных нежилых помещений
36.00.12.000 Вода непитьевая</t>
  </si>
  <si>
    <t>2 217</t>
  </si>
  <si>
    <t>Заказчик разыгравший 56 конкурсов на сумму  6 305 227 509,01 ?</t>
  </si>
  <si>
    <t>"223 за 3 года", ".", "все клиенты с выручкой от 1,8 млрд до бесконечности", "рейтинг заказчиков маркер", "производители"</t>
  </si>
  <si>
    <t>17.12.73.110 Бумага мелованная для печати
17.1 Целлюлоза, бумага и картон
17.12.14.115 Бумага картографическая
17.12 Бумага и картон
17.12.14 Бумага прочая и картон для графических целей
17.12.11.110 Бумага газетная в рулонах
20.30.24.119 Краски полиграфические специального назначения прочие
17.12.14.112 Бумага офсетная
25.11.23.120 Конструкции и детали конструкций из алюминия прочие</t>
  </si>
  <si>
    <t>За весь период заходили в конкурсы  1 раз на общую сумму обеспеченных контрактов с НМЦ 56 159 936,36 ? с БГУ  3 719 201,09 ? с БГИ 22 315 206,53 ?                             ЗА 3 ГОДА ПО 223 ФЗ заключено 13 шт. с объемом НМЦ 84 455 456,35 ? за 1 ГОД ПО 223ФЗ заключено 2  12 935 772,00 ?</t>
  </si>
  <si>
    <t>"223 за 3 года", ".", "рейтинг поставщиков в маркере по бг", "рейтинг по нмц маркер", "это заказчик", "поставщики маркер"</t>
  </si>
  <si>
    <t>17.22.11.130 Салфетки и полотенца гигиенические или косметические из бумажной массы, бумаги, целлюлозной ваты и полотна из целлюлозных волокон
22.22.11.000 Мешки и сумки, включая конические, из полимеров этилена
22.22.13.000 Коробки, ящики, корзины и аналогичные пластмассовые изделия
17.22.12.130 Изделия санитарно-гигиенического назначения прочие из бумажной массы, бумаги, целлюлозной ваты и полотна из целлюлозных волокон
17.22.11.140 Скатерти и салфетки для стола из бумажной массы, бумаги, целлюлозной ваты и полотна из целлюлозных волокон
17.12.20.110 Бумага для изготовления гигиенических и косметических салфеток, полотенец или скатертей
20.41.31.110 Мыло туалетное твердое
17.22.11.110 Бумага туалетная из бумажной массы, бумаги, целлюлозной ваты и целлюлозных волокон и полотна из целлюлозных волокон
17.22.12.110 Полотенца санитарно-гигиенические и тампоны из бумажной массы, бумаги, целлюлозной ваты и полотна из целлюлозных волокон</t>
  </si>
  <si>
    <t>43.21.10.210 Работы по установке приборов учета расхода электроэнергии</t>
  </si>
  <si>
    <t>Возвращена
Отклонена банком</t>
  </si>
  <si>
    <t>"223 за 3 года", "свод фт", ".", "рейтинг по нмц маркер", "на фт заводил Меркулов", "на фт заводил Курилин", "crm управления", "в crm за Курилиным", "поставщики маркер"</t>
  </si>
  <si>
    <t>13.94.11 Шпагат, канаты, веревки и шнуры из джута или прочих текстильных лубяных материалов
22.23.1 Изделия пластмассовые строительные; линолеум и твердые неполимерные материалы для покрытия пола
22.23.15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t>
  </si>
  <si>
    <t>22.22.14.000 Бутыли, бутылки, флаконы и аналогичные изделия из пластмасс
22.22.19.000 Изделия упаковочные пластмассовые прочие
21.20.23.110 Реагенты диагностические
21.20.23.113 Средства радиофармацевтические диагностические
21.20.23.199 Средства нелечебные прочие
21.20.24.140 Пакеты перевязочные медицинские
20.59.52.140 Среды готовые питательные для выращивания микроорганизмов
20.59.52.199 Реагенты сложные диагностические или лабораторные прочие, не включенные в другие группировки
20.59.60.111 Желатины пищевые
22.19.50.000 Материалы прорезиненные текстильные, кроме кордных тканей ****</t>
  </si>
  <si>
    <t>За весь период компания заключила  6 контрактов на сумму  385 534 257,93 ? За весь период заходили в конкурсы  48 раз на общую сумму обеспеченных контрактов с НМЦ 609 840 063,80 ? с БГУ  13 595 288,62 ? с БГИ 118 728 754,14 ? За 3 ГОДА по 44ФЗ заключено 1371 шт. с объемом НМЦ  2 267 375 786,38 ? с БГИ 153 304 868,88 ? с БГГО 10 861 802,51 ? с авансированием до 6 567 105,79 ? с комиссией банку 1 900 919,47 ? с кв 16 538,00 ? ЗА 1 ГОД по 44ФЗ заключено 484 шт. c объемом НМЦ 539 385 905,63 ? с БГИ 39 308 334,91 ? с БГГО 1 918 373,98 ? с авансированием до  464 395,50 ? с комиссией банку  598 292,46 ? с кв 5 205,14 ? ЗА 3 ГОДА ПО 223 ФЗ заключено 43 шт. с объемом НМЦ 61 330 124,56 ? за 1 ГОД ПО 223ФЗ заключено 6  10 532 600,00 ?</t>
  </si>
  <si>
    <t>"223 за 3 года", ".", "рейтинг поставщиков в маркере по бг", "ПСБ Гарантии ", "все клиенты с выручкой от 1,8 млрд до бесконечности", "рейтинг по нмц маркер", "поставщики маркер", "44 за 3 года"</t>
  </si>
  <si>
    <t>43.29.19.190 Работы монтажные прочие, не включенные в другие группировки</t>
  </si>
  <si>
    <t>41.20.20.310 Сооружения нефтехимических предприятий</t>
  </si>
  <si>
    <t>За весь период компания заключила  6 контрактов на сумму  16 467 459 400,00 ?</t>
  </si>
  <si>
    <t>56.10.19.110 Услуги по обеспечению питанием без предоставления мест для сидения
56.10.19.119 Услуги прочих предприятий быстрого питания без предоставления мест для сидения
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56.29.2 Услуги столовых
56.10.11 Услуги по обеспечению питанием с полным ресторанным обслуживанием
56.29.19.000 Услуги по обеспечению питанием, осуществляемые по договору, прочие
56.29.11.000 Услуги по обеспечению питанием, осуществляемые по договору и предоставляемые транспортным предприятиям
36.00.11.000 Вода питьевая</t>
  </si>
  <si>
    <t>3 378</t>
  </si>
  <si>
    <t>"44 за 3 года", ".", "производители", "рейтинг по нмц маркер", "поставщики маркер"</t>
  </si>
  <si>
    <t>56.29 Услуги по обеспечению питанием прочие
56.10.11 Услуги по обеспечению питанием с полным ресторанным обслуживанием
55.20.12.000 Услуги по предоставлению временного жилья для посетителей в помещениях, предоставляемых по договорам краткосрочного найма</t>
  </si>
  <si>
    <t>4 256</t>
  </si>
  <si>
    <t>За год заключили по 223фз 1 контракта(ов) на сумму  12 405 569,83 ?</t>
  </si>
  <si>
    <t>"223 за 3 года", ".", "ПОС на 01.02.2023", "корп 2", "ПОС на 03.04.2023", "06.2022_ФинХД", "клиенты с в от100млн 09.21", "все клиенты с выручкой от 1,8 млрд до бесконечности", "ФК клиенты с выручкой от 230 до бесконечности", "клиенты от 100 млн", "производители", "рейтинг по нмц маркер", "это заказчик", "44 за 3 года"</t>
  </si>
  <si>
    <t>56.10.11.129 Услуги прочих предприятий питания с полным обслуживанием без сопровождения развлекательных программ
56.29.1 Услуги по обеспечению питанием, осуществляемые по договору
56.29.19.000 Услуги по обеспечению питанием, осуществляемые по договору, прочие</t>
  </si>
  <si>
    <t>3 901</t>
  </si>
  <si>
    <t>49.39.31.000 Услуги арендованных автобусов с водителем
49.39.33.000 Услуги по перевозке пассажиров автобусами по заказам в городском и пригородном сообщениях, кроме перевозки арендованными автобусами с водителем и по туристическим или экскурсионным маршрутам
35.30.12.130 Услуги по транспортированию горячей воды
49.39.39.000 Услуги по перевозке пассажиров сухопутным транспортом прочие, не включенные в другие группировки
49.39.34 Услуги по перевозке пассажиров автобусами по заказам в междугородном и международном сообщениях, кроме перевозки арендованными автобусами с водителем и по туристическим или экскурсионным маршрутам
49.39 Услуги сухопутного пассажирского транспорта прочие, не включенные в другие группировки
49.39.13.000 Услуги по специальным перевозкам (для собственных нужд) пассажиров автобусами прочие
49.31.21 Услуги по регулярным перевозкам пассажиров сухопутным транспортом прочие
49.31.21.110 Услуги (работы) по регулярным перевозкам пассажиров автобусами в городском и пригородном сообщении
68.20.12.000 Услуги по сдаче в аренду (внаем) собственных или арендованных нежилых помещений ****</t>
  </si>
  <si>
    <t>За весь период заходили в конкурсы  2 раз на общую сумму обеспеченных контрактов с НМЦ 436 115 987,82 ? с БГУ  7 891 450,30 ? с БГИ 43 597 323,70 ? За 3 ГОДА по 44ФЗ заключено 6 шт. с объемом НМЦ  227 377 592,51 ? с БГИ 35 702 912,90 ? с БГГО 17 280 327,98 ? с авансированием до 0,00 ? с комиссией банку 916 108,40 ? с кв 7 970,14 ? ЗА 1 ГОД по 44ФЗ заключено 2 шт. c объемом НМЦ 159 463 949,23 ? с БГИ 15 946 394,92 ? с БГГО 0,00 ? с авансированием до  0,00 ? с комиссией банку  642 270,71 ? с кв 5 587,76 ?</t>
  </si>
  <si>
    <t>20.20.14.000 Средства дезинфекционные
32.50.13.190 Инструменты и приспособления, применяемые в медицинских целях, прочие, не включенные в другие группировки
21.20.24.160 Материалы перевязочные и аналогичные изделия, в том числе пропитанные или покрытые лекарственными средствами
21.20.10 Препараты лекарственные
32.50.5 Изделия медицинские, в том числе хирургические, прочие
32.5 Инструменты и оборудование медицинские
20.42.15.145 Лосьоны для ухода за кожей тела
20.42.15.190 Средства косметические для ухода за кожей прочие, не включенные в другие группировки
21.20.24.130 Бинты медицинские
21.20.24.133 Бинты эластичные медицинские ****</t>
  </si>
  <si>
    <t>ЗА 3 ГОДА ПО 223 ФЗ заключено 6 шт. с объемом НМЦ 52 765 118,58 ? за 1 ГОД ПО 223ФЗ заключено 2  10 412 416,20 ?</t>
  </si>
  <si>
    <t>22.11.1 Шины, покрышки и камеры резиновые новые
68.20.12.000 Услуги по сдаче в аренду (внаем) собственных или арендованных нежилых помещений</t>
  </si>
  <si>
    <t>61.90.10.190 Услуги телекоммуникационные прочие, не включенные в другие группировки
61.20.50 Услуги связи для целей эфирного вещания
77.39.14.000 Услуги по аренде и лизингу телекоммуникационного оборудования
61.90.10.193 Услуги конференц-связи по телефонному каналу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63.11.19.000 Услуги прочие по размещению и предоставлению инфраструктуры информационных технологий
61.90.10.191 Услуги телеграфной связи
77.39.19.129 Услуги по аренде и лизингу прочих материальных средств, не включенных в другие группировки
41.20.20.626 Сооружение антенно-мачтовое ****</t>
  </si>
  <si>
    <t>11.07.11.122 Воды питьевые газированные, расфасованные в емкости
11.07.11.121 Воды питьевые негазированные, расфасованные в емкости
11.07.19.134 Напитки на ароматизаторах</t>
  </si>
  <si>
    <t>"44 за 3 года", ".", "производители", "crm управления", "в crm за Эльшаном"</t>
  </si>
  <si>
    <t>35.11.10.112 Электроэнергия, произведенная теплоэлектроцентралями (ТЭЦ) общего назначения
35.12.10.120 Услуги по технологическому присоединению к распределительным электросетям
77.39.19.129 Услуги по аренде и лизингу прочих материальных средств, не включенных в другие группировки
35.11.10.149 Электроэнергия, произведенная прочими электростанциями от возобновляемых источников энергии
35.12.10.110 Услуги по передаче электроэнергии</t>
  </si>
  <si>
    <t>1 918</t>
  </si>
  <si>
    <t>Юридическое лицо находится в процессе реорганизации в форме выделения от 09.03.2023, Сообщения о принятии решения о реорганизации от 07.03.2023</t>
  </si>
  <si>
    <t>Заказчик разыгравший 1 конкурсов на сумму  480 000 000,00 ?</t>
  </si>
  <si>
    <t>"поставщики маркер",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заказчиков маркер", "это заказчик"</t>
  </si>
  <si>
    <t>20.41.31.140 Мыло хозяйственное жидкое</t>
  </si>
  <si>
    <t>42.21.24.110 Работы по бурению водозаборных скважин или отрывке колодцев, требующие специальной квалификации
42.21.24.120 Работы по монтажу водозаборных насосов и систем водозаборных трубопроводов
43.99 Работы строительные специализированные, не включенные в другие группировки</t>
  </si>
  <si>
    <t>За весь период контрактов 2 шт. на общую сумму НМЦ 3 598 177 826,09 ?</t>
  </si>
  <si>
    <t>Сообщение кредитора о намерении обратиться в суд с заявлением о банкротстве от 10.05.2023</t>
  </si>
  <si>
    <t>"223 за 3 года", ".", "рейтинг по нмц маркер", "crm управления", "crm Пител", "поставщики маркер"</t>
  </si>
  <si>
    <t>71.12.40.120 Услуги в области метрологии
26.51.45 Приборы и аппаратура для измерения или контроля электрических величин, не включенные в другие группировки
26.60.12.122 Средства измерений массы, силы, энергии, линейных и угловых величин, температуры
71.12.4 Услуги в области технического регулирования, стандартизации, метрологии, аккредитации, каталогизации продукции
26.51 Оборудование для измерения, испытаний и навигации
26.51.52.110 Приборы для измерения или контроля расхода жидкостей и газов
27.1 Электродвигатели, генераторы, трансформаторы и электрическая распределительная и контрольно-измерительная аппаратура
26.51.52 Приборы для измерения или контроля расхода, уровня, давления или прочих переменных характеристик жидкостей и газов
27.90.9 Услуги по производству прочего электрического оборудования отдельные, выполняемые субподрядчиком
26.51.7 Термостаты, стабилизаторы давления и прочие приборы и аппаратура для автоматического регулирования или управления</t>
  </si>
  <si>
    <t>Сообщение кредитора о намерении обратиться в суд с заявлением о банкротстве от 16.09.2020</t>
  </si>
  <si>
    <t>49.20 Услуги железнодорожного транспорта по перевозке грузов
49.1 Услуги железнодорожного транспорта по перевозке пассажиров в междугородном и международном сообщении
52.21.19.130 Услуги железнодорожных перегрузочных товарных станций
49.20.16.000 Услуги железнодорожного транспорта по перевозке сыпучих бестарных грузов
52.29.1 Услуги грузовых транспортно-экспедиционных агентств</t>
  </si>
  <si>
    <t>За весь период компания заключила  19 контрактов на сумму  93 274 295 038,50 ? За весь период заходили в конкурсы  5 раз на общую сумму обеспеченных контрактов с НМЦ 3 772 690 040,52 ? с БГУ  219 204 183,88 ? с БГИ 876 816 735,31 ?</t>
  </si>
  <si>
    <t>"поставщики маркер", ".", "рейтинг поставщиков в маркере по бг", "все клиенты с выручкой от 1,8 млрд до бесконечности", "рейтинг заказчиков маркер", "рейтинг по нмц маркер", "это заказчик"</t>
  </si>
  <si>
    <t>21.20.23.110 Реагенты диагностические
21.20.23.199 Средства нелечебные прочие
21.20.10.118 Препараты, способствующие пищеварению, включая ферментные препараты
21.20.10.133 Препараты антианемические
21.20.10.191 Препараты антибактериальные для системного использования
21.20.10.213 Иммуномодуляторы
21.20.10.262 Препараты для лечения заболеваний уха
21.20.10.263 Препараты для лечения заболеваний глаз и уха
21.20.10.251 Препараты назальные
21.20.23.190 Препараты фармацевтические прочие ****</t>
  </si>
  <si>
    <t>За весь период компания заключила  5 контрактов на сумму  298 655 314,88 ? За весь период заходили в конкурсы  7 раз на общую сумму обеспеченных контрактов с НМЦ 456 813 606,08 ? с БГУ  9 145 249,10 ? с БГИ 34 593 565,74 ? За 3 ГОДА по 44ФЗ заключено 1168 шт. с объемом НМЦ  5 444 921 962,99 ? с БГИ 443 661 494,36 ? с БГГО 484 560,00 ? с авансированием до 535 402,42 ? с комиссией банку 4 648 161,13 ? с кв 40 439,00 ? ЗА 1 ГОД по 44ФЗ заключено 562 шт. c объемом НМЦ 2 696 013 653,51 ? с БГИ 218 897 329,12 ? с БГГО 338 915,05 ? с авансированием до  3 000,00 ? с комиссией банку  2 364 747,72 ? с кв 20 573,31 ? ЗА 3 ГОДА ПО 223 ФЗ заключено 12 шт. с объемом НМЦ 78 386 994,80 ? за 1 ГОД ПО 223ФЗ заключено 8  28 296 656,55 ?</t>
  </si>
  <si>
    <t>28.30.23.110 Тракторы сельскохозяйственные колесные с мощностью двигателя более 59 кВт
28.30.39.000 Машины сельскохозяйственные для обработки почвы прочие</t>
  </si>
  <si>
    <t>За весь период заходили в конкурсы  3 раз на общую сумму обеспеченных контрактов с НМЦ 217 368 850,00 ? с БГУ  3 667 544,00 ? с БГИ 21 771 220,00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</si>
  <si>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42.91.20.130 Работы строительные и ремонтные, связанные со шлюзами, шлюзовыми затворами, затворами, судоподъемниками, сухими доками, слипами, водоподъемными плотинами и прочими гидромеханическими сооружениями
42.13.20.100 Работы строительные по строительству мостов и тоннелей, кроме работ по сохранению и воссозданию объектов культурного наследия
42.13.10.119 Мосты и путепроводы из любых материалов для всех типов сухопутного транспорта и для пешеходов прочие
52.21.23.000 Услуги по эксплуатации мостов и тоннелей</t>
  </si>
  <si>
    <t>За весь период компания заключила  33 контрактов на сумму  47 997 505 216,09 ? За весь период заходили в конкурсы  50 раз на общую сумму обеспеченных контрактов с НМЦ 49 991 322 526,20 ? с БГУ  2 193 797 114,87 ? с БГИ 8 776 426 218,85 ? За 3 ГОДА по 44ФЗ заключено 15 шт. с объемом НМЦ  15 738 059 668,37 ? с БГИ 2 215 501 260,57 ? с БГГО 321 810 784,70 ? с авансированием до 51 191 776 360,29 ? с комиссией банку 65 993 169,26 ? с кв 574 140,57 ? ЗА 1 ГОД по 44ФЗ заключено 3 шт. c объемом НМЦ 5 148 986 237,17 ? с БГИ 514 898 623,72 ? с БГГО 53 645 016,88 ? с авансированием до  2 547 553 693,59 ? с комиссией банку  22 942 291,58 ? с кв 199 597,94 ?</t>
  </si>
  <si>
    <t>Сообщение кредитора о намерении обратиться в суд с заявлением о банкротстве от 25.05.2021</t>
  </si>
  <si>
    <t>"44 за 3 года", "свод фт", ".", "рейтинг поставщиков в маркере по бг", "ГРАНДИОЗНЫЙ ПРОЕКТ", "fk1", "закрыли счет", "все клиенты с выручкой от 1,8 млрд до бесконечности", "44 фз с с БГ от 10 млн", "рейтинг по нмц маркер", "на фт заводил Шутов", "на фт заводил Хацкевич", "на фт заводил Тихонов "</t>
  </si>
  <si>
    <t>5 240</t>
  </si>
  <si>
    <t>Сообщение кредитора о намерении обратиться в суд с заявлением о банкротстве от 10.06.2019</t>
  </si>
  <si>
    <t>10.82.22.139 Конфеты шоколадные, не включенные в другие группировки, прочие</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</si>
  <si>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43.99.90.190 Работы строительные специализированные прочие, не включенные в другие группировки
35.11.10.112 Электроэнергия, произведенная теплоэлектроцентралями (ТЭЦ) общего назначения
71.12 Услуги в области инженерно-технического проектирования и связанные технические консультативные услуги
27.12.24.190 Реле прочие
42.99.12.120 Объекты и сооружения для отдыха ****</t>
  </si>
  <si>
    <t>За весь период контрактов 27 шт. на общую сумму НМЦ 12 103 541 058,96 ?</t>
  </si>
  <si>
    <t>В отношении юридического лица возбуждено производство по делу о несостоятельности (банкротстве) от 17.04.2023, Сообщение кредитора о намерении обратиться в суд с заявлением о банкротстве от 20.02.2023</t>
  </si>
  <si>
    <t>"223 за 3 года", ".", "рейтинг поставщиков в маркере по бг", "fk1", "Кредитный портфель_01.11", "06.2022_ФинХД", "все клиенты с выручкой от 1,8 млрд до бесконечности", "44 фз с с БГ от 10 млн", "рейтинг заказчиков маркер", "производители", "рейтинг по нмц маркер", "это заказчик", "поставщики маркер", "44 за 3 года"</t>
  </si>
  <si>
    <t>10.86.10.230 Соки, нектары, напитки сокосодержащие овощные и овощефруктовые для детского питания
11.0 Напитки
11.07.11.113 Воды минеральные природные питьевые лечебные
10.31.13.110 Хлопья и гранулы из картофеля, в том числе из сушеного картофеля
10.32.1 Соки из фруктов и овощей
10.32.19.111 Соки из фруктов прямого отжима прочие
10.32.22.110 Напитки сокосодержащие фруктовые
10.85.1 Продукты пищевые готовые и блюда
10.85.19 Продукты пищевые готовые и блюда прочие (включая замороженную пиццу)
10.39.22.130 Пюре и пасты фруктовые, ягодные и ореховые ****</t>
  </si>
  <si>
    <t>За весь период компания заключила  6 контрактов на сумму  3 531 145 975,00 ?                                     ЗА 3 ГОДА ПО 223 ФЗ заключено 32 шт. с объемом НМЦ 617 632 959,95 ? за 1 ГОД ПО 223ФЗ заключено 8  19 459 043,79 ?</t>
  </si>
  <si>
    <t>"223 за 3 года", ".", "fk1", "все клиенты с выручкой от 1,8 млрд до бесконечности", "производители", "рейтинг по нмц маркер", "это заказчик", "поставщики маркер"</t>
  </si>
  <si>
    <t>10.51.30.111 Масло сладко-сливочное</t>
  </si>
  <si>
    <t>68 Услуги по операциям с недвижимым имуществом
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17.12.14.129 Бумага печатная прочая
35.11.10.110 Электроэнергия, произведенная электростанциями общего назначения
18.12.14.000 Услуги по печатанию книг, географических карт, гидрографических или аналогичных карт всех видов, репродукций, чертежей и фотографий, открыток
36.00.20.110 Услуги по очистке и подготовке воды для водоснабжения
36.00.30.000 Услуги по торговле водой, поставляемой по трубопроводам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t>
  </si>
  <si>
    <t>Заказчик разыгравший 137 конкурсов на сумму  14 918 698 811,58 ?</t>
  </si>
  <si>
    <t>"поставщики маркер", ".", "ушедшие", "все клиенты с выручкой от 1,8 млрд до бесконечности", "рейтинг заказчиков маркер", "производители", "это заказчик"</t>
  </si>
  <si>
    <t>"производители", ".", "fk1", "клиенты с в от100млн 09.21", "все клиенты с выручкой от 1,8 млрд до бесконечности", "ФК клиенты с выручкой от 230 до бесконечности"</t>
  </si>
  <si>
    <t>52.22.19.191 Услуги, связанные с морским транспортом, прочие
36.00.11.000 Вода питьевая</t>
  </si>
  <si>
    <t>Сообщения о принятии решения о реорганизации от 10.03.2022</t>
  </si>
  <si>
    <t>19.20.42.121 Битумы нефтяные дорожные
19.20 Нефтепродукты</t>
  </si>
  <si>
    <t>За весь период заходили в конкурсы  1 раз на общую сумму обеспеченных контрактов с НМЦ 0,00 ? с БГУ  92 107 556,59 ? с БГИ 187 006 251,26 ?</t>
  </si>
  <si>
    <t>71.12 Услуги в области инженерно-технического проектирования и связанные технические консультативные услуги
71.12.12.190 Услуги по инженерно-техническому проектированию зданий прочие, не включенные в другие группировки</t>
  </si>
  <si>
    <t>За весь период компания заключила  14 контрактов на сумму  22 124 139 262,59 ? За весь период заходили в конкурсы  2 раз на общую сумму обеспеченных контрактов с НМЦ 1 357 287 772,80 ? с БГУ  70 956 259,00 ? с БГИ 226 638 210,00 ?</t>
  </si>
  <si>
    <t>Сообщение кредитора о намерении обратиться в суд с заявлением о банкротстве от 02.04.2021</t>
  </si>
  <si>
    <t>"поставщики маркер", "кл фт ФК БГ 04.22", "кл фт агент бг 04.22", ".", "рейтинг поставщиков в маркере по бг", "портфель 51", "fk1", "2. Финтендер 2022 31.03.22 Григорян для СПАРК",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"производители", "рейтинг по нмц маркер", "это заказчик"</t>
  </si>
  <si>
    <t>Сообщение кредитора о намерении обратиться в суд с заявлением о банкротстве от 27.07.2021</t>
  </si>
  <si>
    <t>"производители", ".", "Гарантии_КИБ_31.03.22_Гиб._", "fk1", "Кредитный портфель_01.11", "корп 1", "06.2022_ФинХД", "все клиенты с выручкой от 1,8 млрд до бесконечности", "ФК клиенты с выручкой от 230 до бесконечности", "клиенты от 100 млн"</t>
  </si>
  <si>
    <t>10.71.11.111 Хлеб недлительного хранения из пшеничной муки
10.71.11.119 Хлеб недлительного хранения прочий
10.71.11.112 Хлеб недлительного хранения из ржаной и смеси ржаной и пшеничной муки
10.71.11.130 Изделия хлебобулочные сдобные</t>
  </si>
  <si>
    <t>Сообщения о принятии решения о реорганизации от 20.03.2018</t>
  </si>
  <si>
    <t>"44 за 3 года", ".", "fk1", "ПОС на 01.02.2023",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"поставщики маркер"</t>
  </si>
  <si>
    <t>16.21.12.110 Фанера
16.21.12.111 Фанера общего назначения
16.23.12.110 Опалубка деревянная для бетонных строительных работ
25.1 Металлоконструкции строительные
16.21.14.000 Плиты древесно-волокнистые из древесины или других одревесневших материалов
16.10.10.110 Пиломатериалы хвойных пород
16.21.1 Фанера, панели деревянные фанерованные и аналогичные материалы слоистые из древесины; плиты древесно-стружечные и аналогичные плиты из древесины и других одревесневших материалов
16.29.25.130 Изделия из прочих материалов для плетения
16.10.10.119 Пиломатериалы из прочих хвойных пород
16.10.10.120 Пиломатериалы лиственных пород ****</t>
  </si>
  <si>
    <t>ЗА 3 ГОДА ПО 223 ФЗ заключено 2 шт. с объемом НМЦ 532 382 928,12 ? за 1 ГОД ПО 223ФЗ заключено 2  7 552 587,00 ?</t>
  </si>
  <si>
    <t>24.10.71.120 Двутавры стальные горячекатаные из нелегированных сталей
24.20.13.130 Трубы стальные электросварные
24.10.22.149 Полуфабрикаты круглого или многоугольного сечения из нержавеющей стали прочие
24.10.43.000 Прокат листовой холоднокатаный из прочих легированных сталей, без дополнительной обработки, шириной не менее 600 мм
24.10.62.121 Прокат сортовой горячекатаный круглый прочий, без дополнительной обработки, включая смотанный после прокатки, из нелегированных сталей
24.10.62.123 Прокат сортовой горячекатаный шестигранный прочий, без дополнительной обработки, включая смотанный после прокатки, из нелегированных сталей
24.44.22.110 Прутки медные
24.10.2 Сталь
24.10.21.110 Сталь нелегированная в слитках или в прочих первичных формах
24.20.13 Трубы круглого сечения прочие стальные ****</t>
  </si>
  <si>
    <t>"223 за 3 года", "свод фт", ".", "06.2022_ФинХД", "все клиенты с выручкой от 1,8 млрд до бесконечности", "рейтинг по нмц маркер", "это заказчик", "на фт заводил Еприкян", "поставщики маркер"</t>
  </si>
  <si>
    <t>1 149</t>
  </si>
  <si>
    <t>"это заказчик", ".", "райф"</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</si>
  <si>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71.12.40.149 Услуги государственного контроля (надзора) за соблюдением требований технических регламентов прочие, не включенные в другие группировки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35.11.10.142 Электроэнергия, произведенная ветровыми электростанциями
35.11.10 Электроэнергия
35.11.10.121 Электроэнергия, произведенная блок-станциями конденсационных электростанций (КЭС) ****</t>
  </si>
  <si>
    <t>За весь период компания заключила  25 контрактов на сумму  1 922 730 975,48 ? За весь период заходили в конкурсы  1 раз на общую сумму обеспеченных контрактов с НМЦ 64 029 723,75 ? с БГУ  1 047 444,92 ? с БГИ 6 740 308,06 ?                             ЗА 3 ГОДА ПО 223 ФЗ заключено 30 шт. с объемом НМЦ 49 648 137,50 ? за 1 ГОД ПО 223ФЗ заключено 7  106 659 584,42 ?</t>
  </si>
  <si>
    <t>"223 за 3 года", "свод фт", ".", "рейтинг поставщиков в маркере по бг", "fk1", "Кредитный портфель_01.11", "06.2022_ФинХД", "все клиенты с выручкой от 1,8 млрд до бесконечности", "ФК клиенты с выручкой от 230 до бесконечности", "Обороты по клиентам по кварталам (2022г)", "223 фз контракты 20+", "рейтинг заказчиков маркер", "рейтинг по нмц маркер", "это заказчик", "на фт заводил Ротканов В", "поставщики маркер"</t>
  </si>
  <si>
    <t>27.32.14.111 Кабели силовые с медной жилой на напряжение более 1 кВ
27.32 Провода и кабели электронные и электрические прочие
27.32.13 Проводники электрические прочие на напряжение не более 1 кВ
27.32.13.124 Кабели силовые гибкие общего назначения
27.32.13.111 Кабели силовые с медной жилой на напряжение до 1 кВ
27.11.42.000 Трансформаторы прочие мощностью не более 16 кВА</t>
  </si>
  <si>
    <t>За весь период компания заключила  2 контрактов на сумму  3 432 958 543,75 ? За весь период заходили в конкурсы  1 раз на общую сумму обеспеченных контрактов с НМЦ 3 389 958 543,75 ? с БГУ  180 316 943,82 ? с БГИ 360 633 887,63 ?</t>
  </si>
  <si>
    <t>10.12.2 Мясо сельскохозяйственной птицы замороженное, в том числе для детского питания
10.12.20.110 Мясо кур, в том числе цыплят (включая цыплят-бройлеров) замороженное
10.13.1 Продукты консервированные и готовые из мяса, субпродуктов и крови животных, из мяса и субпродуктов птицы
10.12.1 Мясо птицы охлажденное, в том числе для детского питания
10.12.10.110 Мясо кур, в том числе цыплят (включая цыплят-бройлеров) охлажденное</t>
  </si>
  <si>
    <t>За год заключили по 223фз 2 контракта(ов) на сумму  34 760 000,00 ?</t>
  </si>
  <si>
    <t>"crm Пител", ".", "все клиенты с выручкой от 1,8 млрд до бесконечности", "crm управления"</t>
  </si>
  <si>
    <t>45.11 Услуги по торговле легковыми автомобилями и грузовыми автомобилями малой грузоподъемности
35.22 Услуги по распределению газообразного топлива по трубопроводам
35.22.10.110 Услуги по распределению и снабжению газовым топливом всех видов по системам распределительных трубопроводов
42.2 Сооружения и строительные работы по строительству инженерных коммуникаций
71.20.19.190 Услуги по техническим испытаниям и анализу прочие, не включенные в другие группировки
35.22.10.120 Услуги по техническому обслуживанию приборов учета расхода газа
71.12.19.100 Услуги по инженерно-техническому проектированию прочих объектов, кроме объектов культурного наследия
42.21 Сооружения и строительные работы по строительству инженерных коммуникаций для жидкостей и газов
45.19.3 Услуги по розничной торговле прочими автотранспортными средствами прочие
42.21.12.120 Трубопровод местный для газа (газопровод) ****</t>
  </si>
  <si>
    <t>2 856</t>
  </si>
  <si>
    <t>За весь период компания заключила  6 контрактов на сумму  821 295 565,52 ?                                     ЗА 3 ГОДА ПО 223 ФЗ заключено 44 шт. с объемом НМЦ 411 184 284,28 ? за 1 ГОД ПО 223ФЗ заключено 34  340 965 822,76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</si>
  <si>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 Услуги по снабжению паром и кондиционированию воздуха
35.30.11.130 Энергия тепловая, отпущенная электрокотлами
35.11.10 Электроэнергия
35.12.10.120 Услуги по технологическому присоединению к распределительным электросетям ****</t>
  </si>
  <si>
    <t>За весь период компания заключила  104 контрактов на сумму  33 922 819 334,80 ? За весь период заходили в конкурсы  1 раз на общую сумму обеспеченных контрактов с НМЦ 27 641 271,28 ? с БГУ  368 551,04 ? с БГИ 1 050 370,47 ?               ЗА 1 ГОД по 44ФЗ заключено 71 шт. c объемом НМЦ 346 152 541,51 ? с БГИ 2 010 475,24 ? с БГГО 4 329,00 ? с авансированием до  0,00 ? с комиссией банку  61 417,60 ? с кв 534,33 ? ЗА 3 ГОДА ПО 223 ФЗ заключено 43 шт. с объемом НМЦ 4 028 623 172,87 ? за 1 ГОД ПО 223ФЗ заключено 12  203 649 997,00 ?</t>
  </si>
  <si>
    <t>21.20.23.199 Средства нелечебные прочие
20.20.14.000 Средства дезинфекционные
21.20.10.133 Препараты антианемические
21.20.10.251 Препараты назальные
21.20.23.190 Препараты фармацевтические прочие
10.62.13.113 Глюкоза кристаллическая ангидридная пищевая фармакопейная
86.90.11.000 Услуги, связанные с беременностью
47.73.10.000 Услуги по розничной торговле лекарственными средствами в специализированных магазинах
20.13.43.191 Водородкарбонат натрия (бикарбонат натрия)
21.10.20.120 Соли четвертичные и гидроксиды аммония ****</t>
  </si>
  <si>
    <t>Заказчик разыгравший 15 конкурсов на сумму  49 502 223 051,77 ?</t>
  </si>
  <si>
    <t>86.90.19.140 Услуги санаторно-курортных организаций
49.1 Услуги железнодорожного транспорта по перевозке пассажиров в междугородном и международном сообщении
49.31.10.110 Услуги по перевозке пассажиров железнодорожным транспортом во внутригородском и пригородном сообщении в регулируемом секторе
17.23.13.141 Бланки личных документов строгого учета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49.39.39.000 Услуги по перевозке пассажиров сухопутным транспортом прочие, не включенные в другие группировки
52.29.20.000 Услуги транспортные вспомогательные прочие, не включенные в другие группировки
51.10.11.000 Услуги по регулярным пассажирским перевозкам воздушным транспортом на местных линиях
49.10.19 Услуги железнодорожного транспорта по перевозке пассажиров в междугородном и международном сообщении прочие
49.39 Услуги сухопутного пассажирского транспорта прочие, не включенные в другие группировки ****</t>
  </si>
  <si>
    <t>ЗА 3 ГОДА ПО 223 ФЗ заключено 19 шт. с объемом НМЦ 50 457 945,00 ? за 1 ГОД ПО 223ФЗ заключено 5  5 148 950,00 ?</t>
  </si>
  <si>
    <t>35.11.10.112 Электроэнергия, произведенная теплоэлектроцентралями (ТЭЦ) общего назначения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35.12.10.120 Услуги по технологическому присоединению к распределительным электросетям
35.13.10.000 Услуги по распределению электроэнергии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t>
  </si>
  <si>
    <t>За весь период компания заключила  13 контрактов на сумму  1 882 408 817,53 ?</t>
  </si>
  <si>
    <t>"в crm за Синяевым ", ".", "все клиенты с выручкой от 1,8 млрд до бесконечности", "производители", "crm управления"</t>
  </si>
  <si>
    <t>20.14.2 Спирты, фенолы, фенолоспирты и их галогенированные, сульфированные, нитрованные или нитрозированные производные; спирты жирные промышленные
28.92.12.130 Машины бурильные
20.59.42.120 Присадки к топливу
28.25.20.119 Вентиляторы общего назначения прочие
28.25.20.111 Вентиляторы осевые
28.13.14.190 Насосы прочие
28.25.20.112 Вентиляторы радиальные
41.20.20.310 Сооружения нефтехимических предприятий</t>
  </si>
  <si>
    <t>За весь период контрактов 32 шт. на общую сумму НМЦ 76 639 305 823,94 ?</t>
  </si>
  <si>
    <t>"поставщики маркер", ".", "рейтинг поставщиков в маркере по бг", "рейтинг заказчиков маркер", "рейтинг по нмц маркер", "это заказчик"</t>
  </si>
  <si>
    <t>17.12.73.110 Бумага мелованная для печати</t>
  </si>
  <si>
    <t>за 1 ГОД ПО 223ФЗ заключено 4  4 826 437,03 ?</t>
  </si>
  <si>
    <t>61.1 Услуги телекоммуникационные проводные
61.2 Услуги телекоммуникационные беспроводные
61.90.10.190 Услуги телекоммуникационные прочие, не включенные в другие группировки
61.10.2 Услуги операторов связи в сфере проводных телекоммуникаций
46.5 Услуги по оптовой торговле информационным и коммуникационным оборудованием
61.10.11.190 Услуги фиксированной телефонной связи - предоставление доступа и телефонные соединения, прочие
61.90 Услуги телекоммуникационные прочие
61.10.11.110 Услуги по предоставлению внутризоновых, междугородных и международных телефонных соединений
61 Услуги телекоммуникационные
61.10.4 Услуги телекоммуникационные проводные в информационно-коммуникационной сети Интернет ****</t>
  </si>
  <si>
    <t>За весь период компания заключила  6 контрактов на сумму  635 700 746,00 ? За весь период заходили в конкурсы  1 раз на общую сумму обеспеченных контрактов с НМЦ 85 696 600,00 ? с БГУ  1 318 400,00 ? с БГИ 13 184 000,00 ?                             ЗА 3 ГОДА ПО 223 ФЗ заключено 4 шт. с объемом НМЦ 39 339 200,00 ?</t>
  </si>
  <si>
    <t>"223 за 3 года", ".", "рейтинг поставщиков в маркере по бг", "ИНН_договоры_октябрь_", "все клиенты с выручкой от 1,8 млрд до бесконечности", "рейтинг по нмц маркер", "поставщики маркер"</t>
  </si>
  <si>
    <t>45.11.1 Услуги по оптовой торговле легковыми автомобилями и легкими автотранспортными средствами
45.20.11.519 Прочие услуги по техническому обслуживанию и ремонту прочих автотранспортных средств, не включенные в другие группировки
29.1 Средства автотранспортные
29.10.2 Автомобили легковые
45.20.14.000 Услуги по ремонту кузовов легковых автомобилей и легких грузовых автотранспортных средств и аналогичные услуги (ремонт дверей, замков, окон, перекрашивание, ремонт после повреждений)
29.10.22 Средства транспортные с двигателем с искровым зажиганием, с рабочим объемом цилиндров более 1500 см3, новые
29.10.24.000 Средства автотранспортные для перевозки людей прочие
29.10.59.150 Средства транспортные для аварийно-спасательных служб и полиции
45.11.11.000 Услуги по оптовой торговле пассажирскими автотранспортными средствами
29.10.21.000 Средства транспортные с двигателем с искровым зажиганием, с рабочим объемом цилиндров не более 1500 см3, новые ****</t>
  </si>
  <si>
    <t>"44 за 3 года", ".", "выдали", "fk1", "ПСБ Гарантии ", "все клиенты с выручкой от 1,8 млрд до бесконечности", "Обороты по клиентам по кварталам (2022г)", "поставщики маркер"</t>
  </si>
  <si>
    <t>24.20.12.130 Трубы бурильные для бурения нефтяных и газовых скважин бесшовные стальные
28.25.12.190 Оборудование для кондиционирования воздуха прочее, не включенное в другие группировки
28.92.2 Машины прочие для перемещения, грейдерных работ, планирования, скреперных работ, выемки, трамбовки, уплотнения или добычи, самоходные, для грунта, минералов или руд (включая бульдозеры, одноковшовые экскаваторы и дорожные катки)
46.69 Услуги по оптовой торговле прочими машинами и оборудованием
28.13.14.190 Насосы прочие
27.11.4 Трансформаторы электрические
28.13.1 Насосы для перекачки жидкостей; подъемники жидкостей
24.42.26.114 Трубы бурильные из алюминиевых сплавов
27.11.43 Трансформаторы прочие мощностью более 16 кВА</t>
  </si>
  <si>
    <t>За весь период компания заключила  19 контрактов на сумму  20 518 534 492,12 ?</t>
  </si>
  <si>
    <t>"223 за 3 года",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 "поставщики маркер"</t>
  </si>
  <si>
    <t>За весь период контрактов 1 шт. на общую сумму НМЦ 480 760 000,00 ?</t>
  </si>
  <si>
    <t>19.2 Нефтепродукты
46.71.12.000 Услуги по оптовой торговле моторным топливом, включая авиационный бензин
19.20.21 Топливо моторное, включая автомобильный и авиационный бензин
19.20.21.315 Топливо дизельное летнее экологического класса К5
19.20.21.320 Топливо дизельное зимнее
19.20.21.345 Топливо дизельное межсезонное экологического класса К5
19.20.2 Топливо жидкое и газообразное; масла смазочные
19.20.21.300 Топливо дизельное
19.20.21.325 Топливо дизельное зимнее экологического класса К5
19.20.28.100 Мазут ****</t>
  </si>
  <si>
    <t>За весь период компания заключила  7 контрактов на сумму  272 558 980,00 ?                                     ЗА 3 ГОДА ПО 223 ФЗ заключено 16 шт. с объемом НМЦ 571 218 133,82 ? за 1 ГОД ПО 223ФЗ заключено 3  21 647 892,08 ?</t>
  </si>
  <si>
    <t>"223 за 3 года", ".", "fk1", "Кредитный портфель_01.11", "06.2022_ФинХД", "Обороты по клиентам по кварталам (2022г)", "Участники клиринга", "рейтинг по нмц маркер", "поставщики маркер", "44 за 3 года"</t>
  </si>
  <si>
    <t>19.20.21.100 Бензин автомобильный
19.20.21.300 Топливо дизельное
19.20.28.190 Топливо жидкое прочее, не включенное в другие группировки</t>
  </si>
  <si>
    <t>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</si>
  <si>
    <t>Сообщение кредитора о намерении обратиться в суд с заявлением о банкротстве от 18.10.2022</t>
  </si>
  <si>
    <t>"поставщики маркер", "кл фт ФК БГ 04.22", ".", "Рассрочка КВ Март 2023", "fk1", "корп 2", "все клиенты с выручкой от 1,8 млрд до бесконечности", "портфель",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"производители", "рейтинг по нмц маркер"</t>
  </si>
  <si>
    <t>19.20.21.315 Топливо дизельное летнее экологического класса К5</t>
  </si>
  <si>
    <t>"поставщики маркер", ".", "инн Ленинградка", "fk1", "ПОС на 01.02.2023", "ПОС на 03.04.2023", "Кредитный портфель_01.11", "06.2022_ФинХД", "все клиенты с выручкой от 1,8 млрд до бесконечности", "Обороты по клиентам по кварталам (2022г)", "Участники клиринга"</t>
  </si>
  <si>
    <t>19.2 Нефтепродукты
46.71.12.000 Услуги по оптовой торговле моторным топливом, включая авиационный бензин
19.20.21.335 Топливо дизельное арктическое экологического класса К5
19.20.21.315 Топливо дизельное летнее экологического класса К5
19.20.2 Топливо жидкое и газообразное; масла смазочные
19.20.21.300 Топливо дизельное
19.20.21.325 Топливо дизельное зимнее экологического класса К5
19.20.25 Топливо реактивное керосинового типа
46.71.13.190 Услуги по оптовой торговле прочим жидким и газообразным топливом и подобными продуктами, не включенными в другие группировки</t>
  </si>
  <si>
    <t>За весь период компания заключила  19 контрактов на сумму  18 950 198 585,71 ? За весь период заходили в конкурсы  6 раз на общую сумму обеспеченных контрактов с НМЦ 532 194 592,19 ? с БГУ  9 142 082,77 ? с БГИ 108 833 328,71 ?                             ЗА 3 ГОДА ПО 223 ФЗ заключено 21 шт. с объемом НМЦ 11 755 392 233,89 ? за 1 ГОД ПО 223ФЗ заключено 1  4 095 000,00 ?</t>
  </si>
  <si>
    <t>"223 за 3 года", ".", "рейтинг поставщиков в маркере по бг",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 "рейтинг по нмц маркер", "поставщики маркер"</t>
  </si>
  <si>
    <t>05.20.10.110 Уголь бурый рядовой (лигнит)</t>
  </si>
  <si>
    <t>За весь период компания заключила  9 контрактов на сумму  18 430 339 395,36 ?</t>
  </si>
  <si>
    <t>За весь период компания заключила  4 контрактов на сумму  270 188 728,00 ?</t>
  </si>
  <si>
    <t>35.30.11 Пар и горячая вода
35.30.11.120 Энергия тепловая, отпущенная котельными
35.30.11.119 Энергия тепловая, отпущенная прочими электростанциями</t>
  </si>
  <si>
    <t>68.10.14.000 Услуги по покупке и продаже нежилых зданий и занимаемых ими земельных участков
35.30.12.110 Услуги по приготовлению воды на нужды горячего водоснабжения
41.20.40.900 Работы строительные по возведению нежилых зданий и сооружений прочие, не включенные в другие группировки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42.99 Сооружения и строительные работы по строительству прочих гражданских сооружений, не включенных в другие группировки
35.30.22.000 Услуги по снабжению охлажденным воздухом и охлажденной водой
68.10.11.000 Услуги по покупке и продаже жилых зданий и занимаемых ими земельных участков
43.9 Работы строительные специализированные прочие ****</t>
  </si>
  <si>
    <t>1 537</t>
  </si>
  <si>
    <t>За весь период заходили в конкурсы  11 раз на общую сумму обеспеченных контрактов с НМЦ 1 736 790 846,42 ? с БГУ  99 856 729,85 ? с БГИ 445 608 124,28 ? За 3 ГОДА по 44ФЗ заключено 1 шт. с объемом НМЦ  154 338 195,53 ? с БГИ 46 301 458,66 ? с БГГО 15 433 820,00 ? с авансированием до 0,00 ? с комиссией банку 312 059,15 ? с кв 2 714,91 ?</t>
  </si>
  <si>
    <t>"44 за 3 года", "свод фт", ".", "рейтинг поставщиков в маркере по бг", "ушедший портфель", "fk1", "ИНН 3 года - нет КД БГ на 01.10.22", "Список ушедший ", "Евразия_июлль-август 2019", "Все БГ поиск клиентов Банка и их контакты РЭБ", "06.2022_ФинХД", "закрыли счет", "лимит сит по кредитам", "все клиенты с выручкой от 1,8 млрд до бесконечности", "производители", "рейтинг по нмц маркер", "это заказчик", "на фт заводил Шевченко", "на фт заводил Кондаков", "поставщики маркер"</t>
  </si>
  <si>
    <t>24.41.30.112 Платина в слитках
24.41.10.130 Серебро полуобработанное
24.41.30.122 Палладий в слитках
24.41.20.120 Золото в слитках</t>
  </si>
  <si>
    <t>Заказчик разыгравший 22 конкурсов на сумму  1 955 116 860,37 ?</t>
  </si>
  <si>
    <t>"223 за 3 года", ".", "fk1", "все клиенты с выручкой от 1,8 млрд до бесконечности", "ФК клиенты с выручкой от 230 до бесконечности", "рейтинг заказчиков маркер", "это заказчик", "поставщики маркер", "44 за 3 года"</t>
  </si>
  <si>
    <t>35.30.11.120 Энергия тепловая, отпущенная котельными
35.12.10.110 Услуги по передаче электроэнергии</t>
  </si>
  <si>
    <t>Заказчик разыгравший 1 конкурсов на сумму  1 000 000 000,00 ?</t>
  </si>
  <si>
    <t>"поставщики маркер", ".", "Одобренные но не выданные 1 полугодие 2021(прямые)", "все клиенты с выручкой от 1,8 млрд до бесконечности", "рейтинг заказчиков маркер", "производители", "на фт заводил Некрасов"</t>
  </si>
  <si>
    <t>10.32.22.110 Напитки сокосодержащие фруктовые</t>
  </si>
  <si>
    <t>1 142</t>
  </si>
  <si>
    <t>ПОС на 03.04.3846</t>
  </si>
  <si>
    <t>Сообщения о принятии решения о реорганизации от 04.05.2021</t>
  </si>
  <si>
    <t>"223 за 3 года", ".", "fk1", "ПОС на 01.02.2023", "ПОС на 03.04.2023", "06.2022_ФинХД", "Обороты по клиентам по кварталам (2022г)", "поставщики маркер"</t>
  </si>
  <si>
    <t>27.11.4 Трансформаторы электрические</t>
  </si>
  <si>
    <t>За весь период компания заключила  1 контрактов на сумму  397 857 600,00 ?</t>
  </si>
  <si>
    <t>"поставщики маркер", ".", "fk1", "06.2022_ФинХД", "все клиенты с выручкой от 1,8 млрд до бесконечности", "ФК клиенты с выручкой от 230 до бесконечности", "рейтинг заказчиков маркер", "рейтинг по нмц маркер", "это заказчик"</t>
  </si>
  <si>
    <t>43.21.10.220 Работы по монтажу систем освещения и сигнализации автомобильных дорог, аэропортов и портов
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52.21.22.000 Услуги по эксплуатации автомагистралей
71.12.19.100 Услуги по инженерно-техническому проектированию прочих объектов, кроме объектов культурного наследия
42.11.10.130 Ограждения дорожные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42.11.10.129 Дороги автомобильные, в том числе улично-дорожная сеть, и прочие автомобильные и пешеходные дороги, не включенные в другие группировки ****</t>
  </si>
  <si>
    <t>Гарантия отправлена;Мой черновик;Отклонена банком;Отправлена клиенту
Кредитная линия открыта
Распределена в Банк
Рассматривается банком</t>
  </si>
  <si>
    <t>Сообщение кредитора о намерении обратиться в суд с заявлением о банкротстве от 04.04.2023</t>
  </si>
  <si>
    <t>"223 за 3 года", "кл фт прямые ВКЛ/РКО 04.22", "кл фт прямые бг 04.22", "свод фт", ".", "рейтинг поставщиков в маркере по бг", "ГРАНДИОЗНЫЙ ПРОЕКТ", "портфель 51", "УПП на 2 номер", "Конкурсы 100+ (Восстановленный)", "fk1", "кредиты фт", "клиенты управления по БГ без открытых счетов", "портфель 31.10.2021_10 тыс_проверка", "2. Финтендер 2022 31.03.22 Григорян для СПАРК", "корп 1", "Банкроты ФБ 28.04.2023", "Ссуды ФБ 29.04.2022 банкр.", "АИЛ портфель", "Пункт 3 09.01.23", "лимит сит по кредитам", "все клиенты с выручкой от 1,8 млрд до бесконечности", "филиал бизнес 01.03.22", "филиал бизнес 22.11", "ФК клиенты с выручкой от 230 до бесконечности", "клиенты от 100 млн", "Одобренные но не выданные 1 полугодие 2021", "ФТ клиенты с продуктами по сотрудникам", "44 фз с с БГ от 10 млн", "производители", "рейтинг по нмц маркер", "на фт заводил Мелкумов", "на фт заводил Бесков", "crm управления", "в срм за Мелкумовым", "поставщики маркер", "44 за 3 года"</t>
  </si>
  <si>
    <t>За 3 года по 223ФЗ заключено  12 шт контрактов на сумму 200 165 866,41 ?</t>
  </si>
  <si>
    <t>"223 за 3 года", ".", "fk1", "Кредитный портфель_01.11", "корп 1", "06.2022_ФинХД", "все клиенты с выручкой от 1,8 млрд до бесконечности", "ФК клиенты с выручкой от 230 до бесконечности", "клиенты от 100 млн", "44 за 3 года"</t>
  </si>
  <si>
    <t>68.20.12.000 Услуги по сдаче в аренду (внаем) собственных или арендованных нежилых помещений
37.00.11.120 Услуги по транспортированию сточных вод</t>
  </si>
  <si>
    <t>37.00.11.110 Услуги по водоотведению сточных вод
43.99.90.190 Работы строительные специализированные прочие, не включенные в другие группировки
35.30.12.110 Услуги по приготовлению воды на нужды горячего водоснабжения
41.20.40.900 Работы строительные по возведению нежилых зданий и сооружений прочие, не включенные в другие группировки
35.13.10.000 Услуги по распределению электроэнергии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84.12.13.000 Услуги государственного управления в области жилищного строительства и коммунального хозяйства
35.30.12.120 Услуги по приготовлению горячей воды с использованием нецентрализованных систем горячего водоснабжения
68.32.11.120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 ****</t>
  </si>
  <si>
    <t>Сообщение кредитора о намерении обратиться в суд с заявлением о банкротстве от 11.01.2023</t>
  </si>
  <si>
    <t>1 619</t>
  </si>
  <si>
    <t>1 379</t>
  </si>
  <si>
    <t>Сообщение кредитора о намерении обратиться в суд с заявлением о банкротстве от 10.02.2021</t>
  </si>
  <si>
    <t>22.22.19.000 Изделия упаковочные пластмассовые прочие
22.21.42.130 Полосы (ленты) прочие пластмассовые непористые
28.99.11.120 Машины для комплектовки и скрепления брошюр и книжных блоков
25.73.60.190 Инструмент прочий, не включенный в другие группировки
13.94.11.110 Шпагат из джута или прочих лубяных текстильных волокон
17.12.76.110 Бумага копировальная в рулонах или листах
17.21.13.000 Ящики и коробки из гофрированной бумаги или гофрированного картона
17.22.11.130 Салфетки и полотенца гигиенические или косметические из бумажной массы, бумаги, целлюлозной ваты и полотна из целлюлозных волокон
17.23.13.110 Журналы регистрационные из бумаги или картона
17.23.13.140 Бланки из бумаги или картона ****</t>
  </si>
  <si>
    <t>За весь период заходили в конкурсы  4 раз на общую сумму обеспеченных контрактов с НМЦ 286 603 496,46 ? с БГУ  2 396 986,41 ? с БГИ 23 969 864,10 ? За 3 ГОДА по 44ФЗ заключено 158 шт. с объемом НМЦ  529 746 316,16 ? с БГИ 76 152 065,45 ? с БГГО 10 831 384,20 ? с авансированием до 23 813,39 ? с комиссией банку 1 267 917,41 ? с кв 11 030,88 ? ЗА 1 ГОД по 44ФЗ заключено 40 шт. c объемом НМЦ 294 991 391,28 ? с БГИ 42 041 369,24 ? с БГГО 8 767 820,10 ? с авансированием до  0,00 ? с комиссией банку  813 753,84 ? с кв 7 079,66 ? ЗА 3 ГОДА ПО 223 ФЗ заключено 12 шт. с объемом НМЦ 114 483 283,30 ? за 1 ГОД ПО 223ФЗ заключено 2  22 445 875,20 ?</t>
  </si>
  <si>
    <t>"223 за 3 года", ".", "рейтинг поставщиков в маркере по бг", "ПОС на 03.04.2023", "Кредитный портфель_01.11", "06.2022_ФинХД", "клиенты от 100 млн", "44 фз с с БГ от 10 млн", "рейтинг по нмц маркер", "crm управления", "в crm за Шевченко ОРК 5", "поставщики маркер", "44 за 3 года"</t>
  </si>
  <si>
    <t>Сообщения о принятии решения о реорганизации от 01.12.2022</t>
  </si>
  <si>
    <t>20.13.41.130 Сульфаты
20.16.30.112 Поливинилхлорид суспензионный
20.14.34.231 Кислота лимонная</t>
  </si>
  <si>
    <t>"поставщики маркер", ".", "fk1", "ПОС на 01.02.2023", "ПОС на 03.04.2023", "просрочка на 01.01.2023 г.", "Запрос в ЮД_просрочка на 01.01.2023", "06.2022_ФинХД", "все клиенты с выручкой от 1,8 млрд до бесконечности", "Обороты по клиентам по кварталам (2022г)"</t>
  </si>
  <si>
    <t>28.92.27 Экскаваторы и одноковшовые погрузчики самоходные прочие; прочие самоходные машины для добычи полезных ископаемых</t>
  </si>
  <si>
    <t>29.32 Комплектующие и принадлежности для автотранспортных средств прочие
22.11.13.110 Шины и покрышки пневматические для автобусов, троллейбусов и грузовых автомобилей новые</t>
  </si>
  <si>
    <t>1 485</t>
  </si>
  <si>
    <t>За весь период контрактов 24 шт. на общую сумму НМЦ 49 009 798 262,71 ?</t>
  </si>
  <si>
    <t>29.10.30.190 Средства автотранспортные пассажирские с числом мест для сидения не менее 10 прочие
45.11.21.000 Услуги по розничной торговле новыми пассажирскими автотранспортными средствами в специализированных магазинах
29.32.30.269 Узлы и детали систем вентиляции, отопления и кондиционирования воздуха, не включенные в другие группировки
29.32.30.132 Колодки с накладками в сборе для дисковых и барабанных тормозов, фрикционные накладки для барабанных и дисковых тормозов
29.32.30.390 Части и принадлежности для автотранспортных средств прочие, не включенные в другие группировки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29.10.30.112 Автобусы, предназначенные для перевозки только сидящих пассажиров, имеющие технически допустимую максимальную массу более 5 т
45.19 Услуги по торговле прочими автотранспортными средствами
45.20 Услуги по техническому обслуживанию и ремонту автотранспортных средств
45.20.11.111 Услуги по регламентным работам (по видам технического обслуживания) ****</t>
  </si>
  <si>
    <t>За весь период контрактов 6 шт. на общую сумму НМЦ 2 821 820 520,66 ?</t>
  </si>
  <si>
    <t>41.10.10.000 Документация проектная для строительства
41.20.20.290 Здания нежилые, не включенные в другие группировки</t>
  </si>
  <si>
    <t>За весь период компания заключила  1 контрактов на сумму  567 846 500,00 ? За весь период заходили в конкурсы  1 раз на общую сумму обеспеченных контрактов с НМЦ 567 846 500,00 ? с БГУ  5 707 000,00 ? с БГИ 57 070 000,00 ? За 3 ГОДА по 44ФЗ заключено 2 шт. с объемом НМЦ  1 166 731 700,00 ? с БГИ 86 871 585,00 ? с БГГО 88 138 170,00 ? с авансированием до 468 898 138,39 ? с комиссией банку 5 195 018,06 ? с кв 45 196,66 ? ЗА 1 ГОД по 44ФЗ заключено 1 шт. c объемом НМЦ 596 031 700,00 ? с БГИ 29 801 585,00 ? с БГГО 59 603 170,00 ? с авансированием до  468 898 138,39 ? с комиссией банку  1 308 003,81 ? с кв 11 379,63 ?</t>
  </si>
  <si>
    <t>"44 за 3 года", "свод фт", ".", "рейтинг поставщиков в маркере по бг", "Агентские отказ из-за непред-я док-ов", "кредиты фт", "Пункт 3.1 09.01.2023", "лимит сит по кредитам", "все клиенты с выручкой от 1,8 млрд до бесконечности", "44 фз с с БГ от 10 млн", "рейтинг по нмц маркер", "на фт заводил Еприкян", "на фт заводил Егоров ", "поставщики маркер"</t>
  </si>
  <si>
    <t>1 571</t>
  </si>
  <si>
    <t>47.30.10.000 Услуги по розничной торговле моторным топливом в специализированных магазинах</t>
  </si>
  <si>
    <t>"223 за 3 года", ".", "райф", "производители"</t>
  </si>
  <si>
    <t>17.29 Изделия из бумаги и картона прочие
17.29.11 Ярлыки и этикетки из бумаги или картона
17.12.13.110 Бумага, используемая как основа для фоточувствительной, теплочувствительной и электрочувствительной бумаги
17.29.11.110 Ярлыки и этикетки из бумаги</t>
  </si>
  <si>
    <t>37.00.11.110 Услуги по водоотведению сточных вод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35.30.12.110 Услуги по приготовлению воды на нужды горячего водоснабжения
36.00.30.000 Услуги по торговле водой, поставляемой по трубопроводам
36.00.20.130 Услуги по транспортированию и распределению воды по водопроводам</t>
  </si>
  <si>
    <t>2 424</t>
  </si>
  <si>
    <t>Сообщение кредитора о намерении обратиться в суд с заявлением о банкротстве от 01.02.2017</t>
  </si>
  <si>
    <t>24.33.11.000 Профили незамкнутые холодной штамповки или гибки из нелегированных сталей
24.33.20.000 Профили листовые из нелегированной стали</t>
  </si>
  <si>
    <t>82.19.11.000 Услуги по размножению документов
74 Услуги профессиональные, научные и технические, прочие
35.1 Услуги по производству, передаче и распределению электроэнергии</t>
  </si>
  <si>
    <t>"223 за 3 года", ".", "портфель 51", "fk1", "корп 2", "06.2022_ФинХД", "клиенты от 100 млн", "производители", "это заказчик", "поставщики маркер"</t>
  </si>
  <si>
    <t>"Обороты по клиентам по кварталам (2022г)", ".", "ушедший портфель", "инн Ленинградка",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t>
  </si>
  <si>
    <t>28.13.12.000 Насосы возвратно-поступательные объемного действия прочие для перекачки жидкостей
24 Металлы основные
24.20.12 Трубы обсадные, насосно-компрессорные трубы и бурильные трубы, используемые для бурения нефтяных или газовых скважин, бесшовные стальные
24.20.21.000 Трубы для нефте- и газопроводов сварные, наружным диаметром более 406,4 мм, стальные
33.12.29.900 Услуги по ремонту и техническому обслуживанию прочего оборудования специального назначения, не включенные в другие группировки
28.99.39.190 Оборудование специального назначения прочее, не включенное в другие группировки
24.20 Трубы, профили пустотелые и их фитинги стальные
33.11.19 Услуги по ремонту и техническому обслуживанию прочих металлоизделий
24.20.12.130 Трубы бурильные для бурения нефтяных и газовых скважин бесшовные стальные
33.12.17 Услуги по ремонту и техническому обслуживанию ручных инструментов с механическим приводом ****</t>
  </si>
  <si>
    <t>За весь период компания заключила  6 контрактов на сумму  3 108 482 871,08 ?</t>
  </si>
  <si>
    <t>"223 за 3 года", ".", "производители", "рейтинг по нмц маркер", "crm управления", "в crm за Ким", "поставщики маркер"</t>
  </si>
  <si>
    <t>35.30.11.120 Энергия тепловая, отпущенная котельными
35.30.12.130 Услуги по транспортированию горячей воды
35.30.12.120 Услуги по приготовлению горячей воды с использованием нецентрализованных систем горячего водоснабжения
68.20.12.000 Услуги по сдаче в аренду (внаем) собственных или арендованных нежилых помещений</t>
  </si>
  <si>
    <t>Заказчик разыгравший 52 конкурсов на сумму  13 717 810 066,89 ?</t>
  </si>
  <si>
    <t>"поставщики маркер", ".", "crm управления", "в crm за Ким"</t>
  </si>
  <si>
    <t>71.12.3 Услуги в области геологических, геофизических и взаимосвязанных изыскательных работ и консультативные услуги
09.10.1 Услуги по обеспечению добычи нефти и природного газа
09.10 Услуги по добыче нефти и природного газа
71.12.31.000 Услуги геологические и геофизические консультативные
09.10.12.190 Услуги, связанные с добычей нефти, газового конденсата и горючего природного газа, прочие
71.12.11.900 Услуги в виде инженерно-технических консультаций прочие</t>
  </si>
  <si>
    <t>За весь период компания заключила  7 контрактов на сумму  2 762 292 777,81 ?</t>
  </si>
  <si>
    <t>"поставщики маркер", ".", "выдали", "fk1", "ПОС на 01.02.2023", "ПОС на 03.04.2023", "Кредитный портфель_01.11", "06.2022_ФинХД", "все клиенты с выручкой от 1,8 млрд до бесконечности", "Обороты по клиентам по кварталам (2022г)", "рейтинг по нмц маркер"</t>
  </si>
  <si>
    <t>24.20.13.130 Трубы стальные электросварные
24.20.13.190 Трубы круглого сечения прочие стальные
24.20 Трубы, профили пустотелые и их фитинги стальные
24.20.14.110 Трубы некруглого сечения стальные
24.20.14.120 Профили пустотелые стальные
25.99 Металлоизделия готовые прочие, не включенные в другие группировки
24.10.3 Прокат листовой горячекатаный стальной, без дополнительной обработки
24.10.4 Прокат листовой холоднокатаный стальной, без дополнительной обработки, шириной не менее 600 мм
24.10.31.000 Прокат листовой горячекатаный из нелегированных сталей, без дополнительной обработки, шириной не менее 600 мм
25.93.13.112 Решетки, сетки и ограждения из проволоки из черных металлов ****</t>
  </si>
  <si>
    <t>Сообщения о принятии решения о реорганизации от 12.08.2021</t>
  </si>
  <si>
    <t>45.20.21.111 Услуги по регламентным работам (по видам технического обслуживания)
45.20.21.211 Услуги по замене агрегатов
45.20.21.217 Услуги по ремонту деталей
29.32.30.132 Колодки с накладками в сборе для дисковых и барабанных тормозов, фрикционные накладки для барабанных и дисковых тормозов
29.32.30.390 Части и принадлежности для автотранспортных средств прочие, не включенные в другие группировки
45.20.21.212 Услуги по ремонту двигателей
30.99.99.000 Услуги по производству прочих транспортных средств и оборудования, не включенных в другие группировки, отдельные, выполняемые субподрядчиком
45.20.21.223 Услуги шиномонтажные</t>
  </si>
  <si>
    <t>За весь период компания заключила  12 контрактов на сумму  14 764 922 325,80 ? За весь период заходили в конкурсы  35 раз на общую сумму обеспеченных контрактов с НМЦ 17 385 368 023,09 ? с БГУ  632 221 619,21 ? с БГИ 2 166 446 823,77 ? За 3 ГОДА по 44ФЗ заключено 47 шт. с объемом НМЦ  4 633 101 279,51 ? с БГИ 575 181 770,00 ? с БГГО 220 586 864,32 ? с авансированием до 0,00 ? с комиссией банку 12 354 569,32 ? с кв 107 484,75 ? ЗА 1 ГОД по 44ФЗ заключено 10 шт. c объемом НМЦ 566 015 703,38 ? с БГИ 119 777 220,18 ? с БГГО 3 980 000,00 ? с авансированием до  0,00 ? с комиссией банку  3 288 300,57 ? с кв 28 608,21 ?</t>
  </si>
  <si>
    <t>"44 за 3 года", ".", "рейтинг поставщиков в маркере по бг", "Конкурсы 100+ (Восстановленный)", "Агентские отказ из-за непред-я док-ов", "Агентские одобренные но не выданные от 30.08", "44 фз с с БГ от 10 млн", "рейтинг по нмц маркер", "поставщики маркер"</t>
  </si>
  <si>
    <t>"в crm за Черненьким", "crm управления"</t>
  </si>
  <si>
    <t>"в crm за Черненьким", ".", "crm управления"</t>
  </si>
  <si>
    <t>"поставщики маркер", ".", "выдали", "все клиенты с выручкой от 1,8 млрд до бесконечности"</t>
  </si>
  <si>
    <t>Сообщения о принятии решения о реорганизации от 26.03.2020</t>
  </si>
  <si>
    <t>"223 за 3 года", ".", "crm управления", "в crm за Синяевым "</t>
  </si>
  <si>
    <t>20.42.14.120 Гримы, гуммозы
13.99.13.131 Полотна пропитанные с покрытием или дублированные вязально-прошивные из натуральных или химических нитей
20.30.11.110 Лаки на основе акриловых или виниловых полимеров в водной среде
32.91.12.140 Кисти художественные, кисточки для письма
20.30.11.120 Краски на основе акриловых или виниловых полимеров в водной среде
17.23.13.192 Альбомы и папки с бумагой (включая блоки)
32.99.15.130 Пастели и карандаши угольные для рисования
22.29.2 Изделия пластмассовые прочие, не включенные в другие группировки
25.72.14.130 Петли, арматура крепежная, фурнитура и аналогичные изделия для мебели из недрагоценных металлов
20.30.11.130 Грунтовки на основе акриловых или виниловых полимеров в водной среде ****</t>
  </si>
  <si>
    <t>2 347</t>
  </si>
  <si>
    <t>13.20.20.114 Ткани хлопчатобумажные бельевые постельные
32.99.11.170 Средства защиты органов слуха
15.20.32.129 Обувь специальная прочая, не включенная в другие группировки
14.19.19.113 Воротники, манжеты трикотажные или вязаные
13.20.31.129 Ткани готовые с массовой долей прочих синтетических нитей не менее 85 %
14.12.11.120 Костюмы мужские производственные и профессиональные
13.96.13.130 Ленты текстильные пропитанные или с пластмассовым или резиновым покрытием
13.96.17.131 Тесьма плетеная и шнуры
32.99.23.120 Пуговицы
32.99.23.130 Застежки-молнии ****</t>
  </si>
  <si>
    <t>"44 за 3 года", ".", "06.2022_ФинХД", "все клиенты с выручкой от 1,8 млрд до бесконечности", "производители", "рейтинг по нмц маркер", "поставщики маркер"</t>
  </si>
  <si>
    <t>13.92.21.190 Изделия упаковочные прочие из текстильных материалов
22.22.11.000 Мешки и сумки, включая конические, из полимеров этилена</t>
  </si>
  <si>
    <t>Сообщения о принятии решения о реорганизации от 28.05.2021</t>
  </si>
  <si>
    <t>"производители",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</si>
  <si>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43.21.10.220 Работы по монтажу систем освещения и сигнализации автомобильных дорог, аэропортов и портов
43.29.19.150 Работы по монтажу молниеотводов
71.12.16.000 Услуги по инженерно-техническому проектированию производственных процессов и производств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43.99.90.190 Работы строительные специализированные прочие, не включенные в другие группировки
35.11.10.112 Электроэнергия, произведенная теплоэлектроцентралями (ТЭЦ) общего назначения
43.21.10.230 Работы по приспособлению систем электрообеспечения на объектах культурного наследия ****</t>
  </si>
  <si>
    <t>За весь период компания заключила  41 контрактов на сумму  18 554 253 208,01 ? За весь период заходили в конкурсы  35 раз на общую сумму обеспеченных контрактов с НМЦ 3 528 961 293,37 ? с БГУ  69 922 469,58 ? с БГИ 457 356 350,79 ? За 3 ГОДА по 44ФЗ заключено 209 шт. с объемом НМЦ  3 398 276 054,35 ? с БГИ 334 332 651,07 ? с БГГО 63 495 313,73 ? с авансированием до 51 870 173,86 ? с комиссией банку 3 143 036,32 ? с кв 27 344,42 ? ЗА 1 ГОД по 44ФЗ заключено 71 шт. c объемом НМЦ 1 030 219 501,28 ? с БГИ 74 261 134,43 ? с БГГО 20 036 337,96 ? с авансированием до  11 420 642,44 ? с комиссией банку  821 291,29 ? с кв 7 145,23 ? ЗА 3 ГОДА ПО 223 ФЗ заключено 54 шт. с объемом НМЦ 166 973 152,43 ? за 1 ГОД ПО 223ФЗ заключено 10  35 742 053,94 ?</t>
  </si>
  <si>
    <t>Сообщение кредитора о намерении обратиться в суд с заявлением о банкротстве от 20.04.2018</t>
  </si>
  <si>
    <t>"223 за 3 года", ".", "рейтинг поставщиков в маркере по бг", "Конкурсы 100+ (Восстановленный)", "все клиенты с выручкой от 1,8 млрд до бесконечности", "ФК клиенты с выручкой от 230 до бесконечности", "223 фз контракты 20+", "44 фз с с БГ от 10 млн", "рейтинг заказчиков маркер", "производители", "рейтинг по нмц маркер", "это заказчик", "поставщики маркер", "44 за 3 года"</t>
  </si>
  <si>
    <t>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26.20.40 Блоки, части и принадлежности вычислительных машин
62.03 Услуги по управлению компьютерным оборудованием
58.29.50 Услуги по предоставлению лицензий на право использовать компьютерное программное обеспечение
26.20.1 Компьютеры, их части и принадлежности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62.02 Услуги консультативные, связанные с компьютерной техникой
62.02.30 Услуги по технической поддержке информационных технологий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t>
  </si>
  <si>
    <t>За весь период компания заключила  41 контрактов на сумму  24 450 793 642,84 ? За весь период заходили в конкурсы  10 раз на общую сумму обеспеченных контрактов с НМЦ 1 327 651 735,84 ? с БГУ  34 985 070,05 ? с БГИ 244 799 685,86 ?                             ЗА 3 ГОДА ПО 223 ФЗ заключено 21 шт. с объемом НМЦ 627 754 985,94 ? за 1 ГОД ПО 223ФЗ заключено 3  48 713 445,43 ?</t>
  </si>
  <si>
    <t>"223 за 3 года", ".", "рейтинг поставщиков в маркере по бг", "Конкурсы 100+ (Восстановленный)", "fk1", "06.2022_ФинХД", "все клиенты с выручкой от 1,8 млрд до бесконечности", "223 фз контракты 20+", "производители", "рейтинг по нмц маркер", "это заказчик", "поставщики маркер", "44 за 3 года"</t>
  </si>
  <si>
    <t>84.25.11.120 Услуги по обеспечению пожарной безопасности
21.10.20.110 Лизин, кислота глутаминовая и их соли</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</si>
  <si>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10.41.24.000 Масло подсолнечное и его фракции нерафинированные
10.51.52.140 Кефир
10.51.56.320 Творожные и сметанные продукты, желе, соусы, кремы, пудинги, муссы, пасты, суфле молокосодержащие. Желе, соусы, кремы, пудинги, муссы, пасты, суфле молокосодержащие с заменителем молочного жира
10.51.11.141 Молоко питьевое коровье стерилизованное
10.51.40.164 Сыры рассольные из коровьего молока с вкусовыми компонентами
10.51.40.345 Творог (кроме зерненого и произведенного с использованием ультрафильтрации и сепарирования) с вкусовыми компонентами обезжиренный, от 19 % до 35 % жирности
10.51.52.170 Айран
10.51.56.321 Творожные и сметанные продукты, желе, соусы, кремы, пудинги, муссы, пасты, суфле молокосодержащие
10.86.10.144 Творог и продукты на его основе, в том числе с фруктовыми и плодовоовощными компонентами, для детей дошкольного возраста и детей школьного возраста ****</t>
  </si>
  <si>
    <t>За 3 ГОДА по 44ФЗ заключено 141 шт. с объемом НМЦ  423 309 651,06 ? с БГИ 57 190 284,70 ? с БГГО 862 746,55 ? с авансированием до 0,00 ? с комиссией банку 901 216,51 ? с кв 7 840,58 ? ЗА 1 ГОД по 44ФЗ заключено 37 шт. c объемом НМЦ 92 634 271,07 ? с БГИ 11 423 480,23 ? с БГГО 0,00 ? с авансированием до  0,00 ? с комиссией банку  226 140,39 ? с кв 1 967,42 ? ЗА 3 ГОДА ПО 223 ФЗ заключено 8 шт. с объемом НМЦ 38 828 661,70 ? за 1 ГОД ПО 223ФЗ заключено 7  60 714 176,57 ?</t>
  </si>
  <si>
    <t>"223 за 3 года", ".", "fk1", "все клиенты с выручкой от 1,8 млрд до бесконечности", "БизФин", "производители", "поставщики маркер", "44 за 3 года"</t>
  </si>
  <si>
    <t>За весь период компания заключила  1 контрактов на сумму  428 221 464,93 ?</t>
  </si>
  <si>
    <t>24.10.61.111 Прокат сортовой горячекатаный круглый со свободной намоткой в бухты из нелегированных сталей
24.10.80.190 Прокат черных металлов прочий, не включенный в другие группировки
20.30.22.170 Герметики
20.30.22.220 Растворители и разбавители органические сложные; составы готовые для удаления красок и лаков (смывки)
23.99.12.110 Материалы рулонные кровельные и гидроизоляционные
24.20.13.130 Трубы стальные электросварные
24.34.12.000 Проволока холоднотянутая из нержавеющей стали
25.73.60.190 Инструмент прочий, не включенный в другие группировки
25.93.14.110 Гвозди
25.93.14.119 Гвозди прочие ****</t>
  </si>
  <si>
    <t>"223 за 3 года", ".", "06.2022_ФинХД", "все клиенты с выручкой от 1,8 млрд до бесконечности", "поставщики маркер", "44 за 3 года"</t>
  </si>
  <si>
    <t>Кредитный портфель_01.2147</t>
  </si>
  <si>
    <t>"поставщики маркер", ".", "fk1", "Кредитный портфель_01.11", "06.2022_ФинХД", "Обороты по клиентам по кварталам (2022г)", "производители"</t>
  </si>
  <si>
    <t>35.30.11.120 Энергия тепловая, отпущенная котельными
08.12.12.140 Щебень</t>
  </si>
  <si>
    <t>Заказчик разыгравший 10 конкурсов на сумму  1 353 232 344,62 ?</t>
  </si>
  <si>
    <t>"223 за 3 года", ".", "Повторные рестракт", "Пролонгации на 15.11.2021 г", "АНАЛИЗ Все установленные лимиты на 01.12.2021 ОКВЭД Прочие Услуги", "все клиенты с выручкой от 1,8 млрд до бесконечности", "рейтинг заказчиков маркер", "производители", "рейтинг по нмц маркер", "это заказчик", "поставщики маркер"</t>
  </si>
  <si>
    <t>19.20.28.120 Мазут флотский</t>
  </si>
  <si>
    <t>33.16.10 Услуги по ремонту и техническому обслуживанию летательных и космических аппаратов
30.40.10 Танки и прочие боевые самоходные бронированные машины, и их части
26.51 Оборудование для измерения, испытаний и навигации
30.1 Корабли, суда и лодки
30.30.50.110 Комплектующие (запасные части) летательных аппаратов, не имеющие самостоятельных группировок
30.30.60.130 Услуги по восстановлению вертолетов
27.33.13.190 Устройства коммутационные и/или предохранительные для электрических цепей прочие, не включенные в другие группировки
27.31.12.110 Волокна оптические и жгуты волоконно-оптические
26.51.1 Приборы навигационные, метеорологические, геофизические и аналогичные инструменты
26.30.11 Аппаратура коммуникационная передающая с приемными устройствами ****</t>
  </si>
  <si>
    <t>За весь период компания заключила  10 контрактов на сумму  613 318 642,68 ? За весь период заходили в конкурсы  10 раз на общую сумму обеспеченных контрактов с НМЦ 678 718 466,18 ? с БГУ  25 518 825,82 ? с БГИ 884 989 770,18 ?</t>
  </si>
  <si>
    <t>"44 за 3 года", ".", "рейтинг поставщиков в маркере по бг", "все клиенты с выручкой от 1,8 млрд до бесконечности", "производители", "рейтинг по нмц маркер", "поставщики маркер"</t>
  </si>
  <si>
    <t>За весь период компания заключила  1 контрактов на сумму  4 499 625 000,00 ?</t>
  </si>
  <si>
    <t>Сообщения о принятии решения о реорганизации от 23.06.2020</t>
  </si>
  <si>
    <t>"поставщики маркер", ".", "fk1", "клиенты с в от100млн 09.21", "все клиенты с выручкой от 1,8 млрд до бесконечности", "ФК клиенты с выручкой от 230 до бесконечности", "рейтинг заказчиков маркер", "производители", "рейтинг по нмц маркер", "это заказчик"</t>
  </si>
  <si>
    <t>30.20.40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30.20.40.140 Комплектующие (запасные части) прочего подвижного состава, не имеющие самостоятельных группировок
47.78.90.000 Услуги по розничной торговле непродовольственными товарами, не включенными в другие группировки, в специализированных магазинах</t>
  </si>
  <si>
    <t>25.11.23.119 Конструкции и детали конструкций из черных металлов прочие, не включенные в другие группировки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42.91.20.190 Работы строительные и ремонтные, связанные с прочими водными сооружениями и работы по ремонту всех вышеуказанных сооружений
43.99.90.190 Работы строительные специализированные прочие, не включенные в другие группировки
42.13.20.200 Работы по сохранению и воссозданию мостов и тоннелей, являющихся объектами культурного наследия
42.91.20.110 Работы строительные по строительству портовых и речных сооружений, пристаней для яхт, набережных, пирсов, молов, доков и аналогичных портовых сооружений, включая ремонт
43.12.11.130 Работы по подготовке участка для горных работ: работы по удалению вскрыши и прочие работы по разработке и подготовке месторождений полезных ископаемых и участков, включая прокладку тоннелей, кроме услуг, связанных с добычей нефти и газа
42.11.10.159 Дороги подъездные, транспортные и пешеходные путепроводы над и под дорогой, велосипедные дорожки прочие
42.13.10.111 Мост автодорожный
42.99.29.200 Работы по сохранению и воссозданию гражданских сооружений, являющихся объектами культурного наследия, не включенные в другие группировки ****</t>
  </si>
  <si>
    <t>За весь период компания заключила  91 контрактов на сумму  166 208 352 481,27 ? За весь период заходили в конкурсы  140 раз на общую сумму обеспеченных контрактов с НМЦ 129 708 475 352,23 ? с БГУ  5 117 361 552,22 ? с БГИ 23 489 430 182,72 ? За 3 ГОДА по 44ФЗ заключено 29 шт. с объемом НМЦ  23 823 536 056,22 ? с БГИ 4 209 159 234,80 ? с БГГО 505 958 171,90 ? с авансированием до 8 254 595 871,91 ? с комиссией банку 148 026 815,10 ? с кв 1 287 833,29 ? ЗА 1 ГОД по 44ФЗ заключено 11 шт. c объемом НМЦ 12 560 616 046,66 ? с БГИ 1 323 455 070,43 ? с БГГО 123 019 615,70 ? с авансированием до  6 120 353 509,78 ? с комиссией банку  46 811 091,53 ? с кв 407 256,50 ? ЗА 3 ГОДА ПО 223 ФЗ заключено 1 шт. с объемом НМЦ 131 527 429,00 ? за 1 ГОД ПО 223ФЗ заключено 1  131 527 429,00 ?</t>
  </si>
  <si>
    <t>"223 за 3 года", ".", "рейтинг поставщиков в маркере по бг", "ГРАНДИОЗНЫЙ ПРОЕКТ", "fk1", "Кредитный портфель_01.11", "корп 1", "06.2022_ФинХД", "все клиенты с выручкой от 1,8 млрд до бесконечности", "Обороты по клиентам по кварталам (2022г)", "223 фз контракты 20+", "44 фз с с БГ от 10 млн", "производители", "рейтинг по нмц маркер", "это заказчик", "поставщики маркер", "44 за 3 года"</t>
  </si>
  <si>
    <t>33.12.2 Услуги по ремонту и техническому обслуживанию оборудования специального назначения
29.10.59.130 Средства транспортные для коммунального хозяйства и содержания дорог
28.30.23.110 Тракторы сельскохозяйственные колесные с мощностью двигателя более 59 кВт
68.20.1 Услуги по сдаче в аренду (внаем) собственного или арендованного недвижимого имущества
29.10.5 Средства автотранспортные специального назначения
68.1 Услуги по покупке и продаже собственного недвижимого имущества
68.20.12.000 Услуги по сдаче в аренду (внаем) собственных или арендованных нежилых помещений
28.92.26.110 Экскаваторы самоходные одноковшовые</t>
  </si>
  <si>
    <t>23.99.12.110 Материалы рулонные кровельные и гидроизоляционные
24 Металлы основные
25.11.2 Металлоконструкции строительные и их части
25.99 Металлоизделия готовые прочие, не включенные в другие группировки
24.10.21.121 Полуфабрикаты, полученные непрерывным литьем прямоугольного (кроме квадратного) поперечного сечения из нелегированной стали
25 Изделия металлические готовые, кроме машин и оборудования</t>
  </si>
  <si>
    <t>ЗА 3 ГОДА ПО 223 ФЗ заключено 7 шт. с объемом НМЦ 77 203 032,06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</si>
  <si>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42.11.10.120 Дороги автомобильные, в том числе улично-дорожная сеть, и прочие автомобильные и пешеходные дороги
42.11.10.129 Дороги автомобильные, в том числе улично-дорожная сеть, и прочие автомобильные и пешеходные дороги, не включенные в другие группировки
52.21.23.000 Услуги по эксплуатации мостов и тоннелей</t>
  </si>
  <si>
    <t>За весь период компания заключила  49 контрактов на сумму  81 083 339 321,12 ? За весь период заходили в конкурсы  123 раз на общую сумму обеспеченных контрактов с НМЦ 82 282 042 155,92 ? с БГУ  6 346 278 439,70 ? с БГИ 23 326 635 474,12 ? За 3 ГОДА по 44ФЗ заключено 34 шт. с объемом НМЦ  3 561 100 005,10 ? с БГИ 626 741 198,13 ? с БГГО 14 759 450,00 ? с авансированием до 0,00 ? с комиссией банку 19 550 737,51 ? с кв 170 091,42 ? ЗА 1 ГОД по 44ФЗ заключено 6 шт. c объемом НМЦ 617 754 632,00 ? с БГИ 120 442 680,39 ? с БГГО 617 754,78 ? с авансированием до  0,00 ? с комиссией банку  1 793 098,28 ? с кв 15 599,96 ?</t>
  </si>
  <si>
    <t>Сообщение кредитора о намерении обратиться в суд с заявлением о банкротстве от 05.06.2019</t>
  </si>
  <si>
    <t>"44 за 3 года", "кл фт прямые бг 04.22", "свод фт", ".", "рейтинг поставщиков в маркере по бг", "Одобренные но не выданные 1 полугодие 2021(прямые)", "УПП на 2 номер", "БГИ", "Конкурсы 100+ (Восстановленный)", "fk1", "кредиты фт", "клиенты управления по БГ без открытых счетов", "БГ ФБ ЮР лица на 01.07.2021", "Гарантии ФБ банкроты", "филиал бизнес 31.01.22 ", "лимит сит по кредитам", "все клиенты с выручкой от 1,8 млрд до бесконечности", "ФК клиенты с выручкой от 230 до бесконечности", "клиенты от 100 млн", "Обороты по клиентам по кварталам (2022г)", "Одобренные но не выданные 1 полугодие 2021", "ФТ клиенты с продуктами по сотрудникам", "44 фз с с БГ от 10 млн", "рейтинг по нмц маркер", "на фт заводил Синяев", "поставщики маркер"</t>
  </si>
  <si>
    <t>Сообщения о принятии решения о реорганизации от 03.12.2021</t>
  </si>
  <si>
    <t>42.21.22.130 Работы строительные по прокладке местных трубопроводов газа и пара</t>
  </si>
  <si>
    <t>Сообщение кредитора о намерении обратиться в суд с заявлением о банкротстве от 19.04.2023</t>
  </si>
  <si>
    <t>20.13 Вещества химические неорганические основные прочие
24.41.30.140 Иридий и его сплавы
38.22.21.900 Услуги по обращению с удаляемыми радиоактивными отходами прочие, не включенные в другие группировки
20.13.99.000 Услуги по производству прочих основных неорганических химических веществ отдельные, выполняемые субподрядчиком
72.19.13.000 Услуги, связанные с научными исследованиями и экспериментальными разработками в области физики
68.20.12.000 Услуги по сдаче в аренду (внаем) собственных или арендованных нежилых помещений
20.13.13.110 Элементы, изотопы и их соединения радиоактивные прочие
24.45.30.260 Германий и изделия из него, порошки
20.11.11.130 Газы инертные прочие</t>
  </si>
  <si>
    <t>За весь период компания заключила  6 контрактов на сумму  3 226 707 578,93 ? За весь период заходили в конкурсы  2 раз на общую сумму обеспеченных контрактов с НМЦ 64 000 000,00 ? с БГУ  640 000,00 ? с БГИ 38 400 000,00 ?                             ЗА 3 ГОДА ПО 223 ФЗ заключено 1 шт. с объемом НМЦ 52 322 833,09 ? за 1 ГОД ПО 223ФЗ заключено 1  87 296 752,14 ?</t>
  </si>
  <si>
    <t>"223 за 3 года", ".", "рейтинг поставщиков в маркере по бг", "все клиенты с выручкой от 1,8 млрд до бесконечности", "223 фз контракты 20+", "рейтинг заказчиков маркер", "производители", "рейтинг по нмц маркер"</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</si>
  <si>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36.00.1 Вода природная
36.00.20.140 Услуги по техническому обслуживанию приборов учета расхода воды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35.30.11.130 Энергия тепловая, отпущенная электрокотлами
35.30.12.110 Услуги по приготовлению воды на нужды горячего водоснабжения
36.00.11 Вода питьевая
36.00.20.110 Услуги по очистке и подготовке воды для водоснабжения
36.00.20.120 Услуги по обработке воды для промышленных и прочих нужд ****</t>
  </si>
  <si>
    <t>Заказчик разыгравший 49 конкурсов на сумму  6 774 426 625,76 ?</t>
  </si>
  <si>
    <t>"поставщики маркер", ".", "ушедший портфель", "fk1", "ИНН 3 года - нет КД БГ на 01.10.22", "Список ушедший ", "корп 2", "06.2022_ФинХД", "клиенты от 100 млн", "Обороты по клиентам по кварталам (2022г)"</t>
  </si>
  <si>
    <t>25.21.12.000 Котлы водогрейные центрального отопления для производства горячей воды или пара низкого давления</t>
  </si>
  <si>
    <t>Сообщение кредитора о намерении обратиться в суд с заявлением о банкротстве от 03.09.2020</t>
  </si>
  <si>
    <t>"поставщики маркер", ".", "все клиенты с выручкой от 1,8 млрд до бесконечности", "рейтинг заказчиков маркер", "это заказчик", "на фт заводил Синяев"</t>
  </si>
  <si>
    <t>2 952</t>
  </si>
  <si>
    <t>29.10.59.310 Средства транспортные, оснащенные кранами-манипуляторами</t>
  </si>
  <si>
    <t>За весь период заходили в конкурсы  3 раз на общую сумму обеспеченных контрактов с НМЦ 281 062 900,00 ? с БГУ  2 374 700,00 ? с БГИ 122 392 000,00 ?</t>
  </si>
  <si>
    <t>74.90.20.149 Услуги (работы) в области защиты информации прочие
73.11.19 Услуги рекламные прочие</t>
  </si>
  <si>
    <t>За весь период заходили в конкурсы  1 раз на общую сумму обеспеченных контрактов с НМЦ 300 000 000,00 ? с БГУ  3 000 000,00 ? с БГИ 21 000 000,00 ?</t>
  </si>
  <si>
    <t>"поставщики маркер", ".", "рейтинг поставщиков в маркере по бг", "fk1", "Кредитный портфель_01.11", "ушедшие", "06.2022_ФинХД", "все клиенты с выручкой от 1,8 млрд до бесконечности", "Обороты по клиентам по кварталам (2022г)"</t>
  </si>
  <si>
    <t>32.50.13.190 Инструменты и приспособления, применяемые в медицинских целях, прочие, не включенные в другие группировки
32.99.11.120 Респираторы
26.60.12.129 Приборы и аппараты для функциональной диагностики прочие, применяемые в медицинских целях, не включенные в другие группировки
14.12.30.131 Халаты, фартуки, жилеты и сорочки мужские производственные и профессиональные
14.19.42.153 Шляпы, панамы, береты швейные женские или для девочек
14.12.30.190 Одежда производственная и профессиональная прочая, не включенная в другие группировки
22.19.60.119 Перчатки резиновые прочие
26.70.22.150 Микроскопы оптические
32.50.50.190 Изделия медицинские, в том числе хирургические, прочие, не включенные в другие группировки</t>
  </si>
  <si>
    <t>Юридическим лицом принято решение об изменении места нахождения от 10.02.2023</t>
  </si>
  <si>
    <t>43.21.10.220 Работы по монтажу систем освещения и сигнализации автомобильных дорог, аэропортов и портов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71.12 Услуги в области инженерно-технического проектирования и связанные технические консультативные услуги
43.21 Работы электромонтажные
33.12.29.900 Услуги по ремонту и техническому обслуживанию прочего оборудования специального назначения, не включенные в другие группировки
71.20.12.000 Услуги в области испытаний, исследований и анализа физико-механических свойств материалов и веществ
85.3 Услуги по профессиональному обучению
35.12.10.120 Услуги по технологическому присоединению к распределительным электросетям
33.12 Услуги по ремонту оборудования
33.14.19.000 Услуги по ремонту и техническому обслуживанию прочего профессионального электрического оборудования ****</t>
  </si>
  <si>
    <t>За весь период компания заключила  15 контрактов на сумму  13 655 090 580,91 ? За весь период заходили в конкурсы  1 раз на общую сумму обеспеченных контрактов с НМЦ 47 000 000,00 ? с БГУ  501 329,46 ? с БГИ 7 519 941,90 ?</t>
  </si>
  <si>
    <t>86.22.19.000 Услуги в области специализированной врачебной практики прочие
71.20.14.000 Услуги по техническому осмотру автотранспортных средств
52.21.24.000 Услуги стоянок для транспортных средств</t>
  </si>
  <si>
    <t>За весь период компания заключила  3 контрактов на сумму  477 951 229,46 ?                                     ЗА 3 ГОДА ПО 223 ФЗ заключено 1 шт. с объемом НМЦ 117 753 500,00 ?</t>
  </si>
  <si>
    <t>10.7 Изделия хлебобулочные и мучные кондитерские</t>
  </si>
  <si>
    <t>23.31.10.120 Плитки керамические
16.22 Полы паркетные
22.23.11.000 Материалы для покрытий пола, стен или потолка пластмассовые в рулонах или в форме плиток
20.52 Клеи
22.23.15.000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22.23.19.000 Изделия пластмассовые строительные, не включенные в другие группировки
22.23.1 Изделия пластмассовые строительные; линолеум и твердые неполимерные материалы для покрытия пола
16.21.12.190 Материалы слоистые из древесины</t>
  </si>
  <si>
    <t>"223 за 3 года", ".", "Пункт 3.1 09.01.2023", "все клиенты с выручкой от 1,8 млрд до бесконечности", "поставщики маркер"</t>
  </si>
  <si>
    <t>1 362</t>
  </si>
  <si>
    <t>Сообщение кредитора о намерении обратиться в суд с заявлением о банкротстве от 01.07.2015</t>
  </si>
  <si>
    <t>Гарантия отправлена
Заявка отозвана;Кредитная линия открыта
Кредитная линия закрыта;Кредитная линия открыта
Кредитная линия закрыта;Отклонена банком</t>
  </si>
  <si>
    <t>"поставщики маркер", "кл фт прямые ВКЛ/РКО 04.22", "свод фт", ".", "Премия 4 кв 22 г.2кредит", "УПП на 2 номер", "fk1", "кредиты фт", "клиенты управления по БГ без открытых счетов", "Пункт 3.1 09.01.2023", "Банкроты ФБ 28.04.2023", "Ссуды ФБ 29.04.2022 банкр.", "АИЛ портфель", "клиенты с в от100млн 09.21", "лимит сит по кредитам", "все клиенты с выручкой от 1,8 млрд до бесконечности", "филиал бизнес 01.03.22", "филиал бизнес 22.11", "ФК клиенты с выручкой от 230 до бесконечности", "клиенты от 100 млн", "Обороты по клиентам по кварталам (2022г)", "ФТ клиенты с продуктами по сотрудникам", "на фт заводил Мелкумов", "на фт заводил Кашин", "на фт заводил Бесков"</t>
  </si>
  <si>
    <t>49.41.2 Услуги по аренде грузовых транспортных средств с водителем
49.41.19 Услуги по перевозке грузов автомобильным транспортом прочие
19.20.21.300 Топливо дизельное
49.20.19.190 Услуги железнодорожного транспорта по перевозке прочих грузов, не включенные в другие группировки
49.41.1 Услуги по грузовым перевозкам автомобильным транспортом
52.29 Услуги транспортные вспомогательные прочие
45.19.39.000 Услуги по розничной торговле автотранспортными средствами прочие, не включенные в другие группировки</t>
  </si>
  <si>
    <t>За весь период компания заключила  5 контрактов на сумму  1 376 605 747,12 ?</t>
  </si>
  <si>
    <t>"223 за 3 года", ".", "все клиенты с выручкой от 1,8 млрд до бесконечности", "Участники клиринга", "рейтинг по нмц маркер", "crm управления", "crm Пител", "поставщики маркер"</t>
  </si>
  <si>
    <t>43.99.40.120 Работы, включающие производство опалубочных форм и арматуры</t>
  </si>
  <si>
    <t>2 520</t>
  </si>
  <si>
    <t>За весь период заходили в конкурсы  1 раз на общую сумму обеспеченных контрактов с НМЦ 111 112 254,47 ? с БГУ  5 700 987,92 ? с БГИ 11 401 975,83 ?</t>
  </si>
  <si>
    <t>"поставщики маркер", ".", "рейтинг поставщиков в маркере по бг", "fk1", "ИНН 3 года - нет КД БГ на 01.10.22", "корп 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</si>
  <si>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20.16.40.140 Поликарбонаты в первичных формах</t>
  </si>
  <si>
    <t>22.22.11.000 Мешки и сумки, включая конические, из полимеров этилена
22.21.30 Плиты, листы, пленка и полосы (ленты) полимерные, неармированные или не комбинированные с другими материалами
17.29.11.110 Ярлыки и этикетки из бумаги
20 Вещества химические и продукты химические</t>
  </si>
  <si>
    <t>"223 за 3 года", ".", "223 фз контракты 20+", "производители", "поставщики маркер"</t>
  </si>
  <si>
    <t>29.10.41.113 Автомобили грузовые с дизельным двигателем, имеющие технически допустимую максимальную массу свыше 12 т
29.10.4 Средства автотранспортные грузовые
29.10.41.110 Автомобили грузовые с дизельным двигателем
28.92.29 Автомобили-самосвалы, предназначенные для использования в условиях бездорожья
45.20.2 Услуги по техническому обслуживанию и ремонту прочих автотранспортных средств
29.10.23 Средства транспортные с поршневым двигателем внутреннего сгорания с воспламенением от сжатия (дизелем или полудизелем), новые
29.32.30.390 Части и принадлежности для автотранспортных средств прочие, не включенные в другие группировки
70.22.14 Услуги консультативные по вопросам управления трудовыми ресурсами
29 Средства автотранспортные, прицепы и полуприцепы
29.10.5 Средства автотранспортные специального назначения ****</t>
  </si>
  <si>
    <t>За весь период компания заключила  12 контрактов на сумму  6 611 747 577,21 ? За весь период заходили в конкурсы  5 раз на общую сумму обеспеченных контрактов с НМЦ 1 385 287 823,15 ? с БГУ  1 583 005,18 ? с БГИ 9 606 727,90 ?</t>
  </si>
  <si>
    <t>за 1 ГОД ПО 223ФЗ заключено 1  5 130 000,00 ?</t>
  </si>
  <si>
    <t>46.1 Услуги по оптовой торговле за вознаграждение или на договорной основе
22.21 Плиты, листы, трубы и профили пластмассовые
13.95.10.112 Материалы нетканые из химических нитей
13.95.10.190 Изделия из нетканых материалов прочие, кроме одежды
22.21.30.120 Пленки пластмассовые, неармированные или не комбинированные с другими материалами
22.21.3 Плиты, листы, пленка и полосы (ленты) полимерные, неармированные или не комбинированные с другими материалами
22.21.30.110 Плиты, листы пластмассовые, неармированные или не комбинированные с другими материалами
46.18.19.190 Услуги по оптовой торговле прочими товарами, не включенными в другие группировки, за вознаграждение или на договорной основе</t>
  </si>
  <si>
    <t>"рейтинг по нмц маркер", ".", "БГ ФБ ЮР лица на 01.07.2021", "клиенты с в от100млн 09.21", "все клиенты с выручкой от 1,8 млрд до бесконечности", "ФК клиенты с выручкой от 230 до бесконечности", "производители"</t>
  </si>
  <si>
    <t>20.16.10.113 Полиэтилен низкого давления</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</si>
  <si>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35.11.10.112 Электроэнергия, произведенная теплоэлектроцентралями (ТЭЦ) общего назначения
35.22 Услуги по распределению газообразного топлива по трубопроводам
33.14.19 Услуги по ремонту и техническому обслуживанию прочего профессионального электрического оборудования
27.40.39.119 Светильники и устройства осветительные прочие, не включенные в другие группировки, предназначенные для использования с лампами прочих типов
35.12.10.120 Услуги по технологическому присоединению к распределительным электросетям
35.13.10 Услуги по распределению электроэнергии
35.30.11 Пар и горячая вода
35.22.10.120 Услуги по техническому обслуживанию приборов учета расхода газа
33.12.19.000 Услуги по ремонту и техническому обслуживанию прочего оборудования общего назначения, не включенного в другие группировки ****</t>
  </si>
  <si>
    <t>За весь период компания заключила  47 контрактов на сумму  14 020 220 402,49 ?                                     ЗА 3 ГОДА ПО 223 ФЗ заключено 68 шт. с объемом НМЦ 449 944 119,50 ? за 1 ГОД ПО 223ФЗ заключено 36  34 635 545,88 ?</t>
  </si>
  <si>
    <t>Сообщения о принятии решения о реорганизации от 30.01.2020</t>
  </si>
  <si>
    <t>"223 за 3 года", ".", "Евразия_июлль-август 2019", "все клиенты с выручкой от 1,8 млрд до бесконечности", "223 фз контракты 20+", "рейтинг заказчиков маркер", "производители", "рейтинг по нмц маркер", "это заказчик", "на фт заводил Мамонтова", "поставщики маркер", "44 за 3 года"</t>
  </si>
  <si>
    <t>20.59.41 Материалы смазочные
20.59.59 Продукты разные химические, не включенные в другие группировки</t>
  </si>
  <si>
    <t>"223 за 3 года", ".", "fk1", "производители"</t>
  </si>
  <si>
    <t>20.59.5 Продукты химические прочие</t>
  </si>
  <si>
    <t>20.59 Продукты химические прочие, не включенные в другие группировки
20.59.59 Продукты разные химические, не включенные в другие группировки
23.63.10.000 Бетон, готовый для заливки (товарный бетон)
20.59.56.140 Пластификаторы составные и стабилизаторы для резин и пластмасс
23.64.10.120 Растворы строительные
20.59.5 Продукты химические прочие
20.59.99.000 Услуги по производству прочих химических продуктов отдельные, выполняемые субподрядчиком
23.64.1 Смеси и растворы строительные</t>
  </si>
  <si>
    <t>ЗА 3 ГОДА ПО 223 ФЗ заключено 14 шт. с объемом НМЦ 23 329 915,62 ?</t>
  </si>
  <si>
    <t>13.94.11.110 Шпагат из джута или прочих лубяных текстильных волокон
36.00.20.110 Услуги по очистке и подготовке воды для водоснабжения
46.76.19 Услуги по оптовой торговле промежуточными продуктами, кроме сельскохозяйственных, не включенными в другие группировки
28.29.12.114 Установки для очистки питьевых, сточных вод и улучшения качества питьевых вод</t>
  </si>
  <si>
    <t>22.21.2 Трубы, трубки и шланги и их фитинги пластмассовые
22.21.21 Оболочки искусственные из отвержденных протеинов или целлюлозных материалов, трубы, трубки, шланги, рукава, жесткие, пластмассовые
28.14.13 Арматура запорная для управления процессом (задвижки, краны, клапаны запорные, затворы дисковые и другая арматура)
28.14.13.110 Клапаны запорные
22.21.21.120 Трубы полимерные жесткие
22.21.21.123 Трубы канализационные и фасонные части к ним из полиэтилена
22.21.29.110 Трубы прочие пластмассовые
22.21.21.129 Трубы полимерные жесткие прочие
28.15.26.190 Муфты и шарнирные соединения прочие, включая универсальные шарниры
22.19.73.111 Кольца резиновые уплотнительные ****</t>
  </si>
  <si>
    <t>За весь период заходили в конкурсы  2 раз на общую сумму обеспеченных контрактов с НМЦ 149 308 842,65 ? с БГУ  1 527 222,60 ? с БГИ 7 636 113,00 ?                             ЗА 3 ГОДА ПО 223 ФЗ заключено 9 шт. с объемом НМЦ 67 890 626,68 ? за 1 ГОД ПО 223ФЗ заключено 5  30 766 567,91 ?</t>
  </si>
  <si>
    <t>41.20.40.200 Работы по сохранению и воссозданию нежилых зданий, являющихся объектами культурного наследия
41.20.40.900 Работы строительные по возведению нежилых зданий и сооружений прочие, не включенные в другие группировки
74.10.20.000 Работы оригинальные в области дизайна</t>
  </si>
  <si>
    <t>За весь период компания заключила  14 контрактов на сумму  73 718 649 912,49 ? За весь период заходили в конкурсы  29 раз на общую сумму обеспеченных контрактов с НМЦ 69 917 364 987,44 ? с БГУ  1 255 097 224,13 ? с БГИ 16 874 055 982,72 ? За 3 ГОДА по 44ФЗ заключено 4 шт. с объемом НМЦ  16 011 227 637,70 ? с БГИ 2 640 541 218,86 ? с БГГО 1 489 310 015,85 ? с авансированием до 3 786 802 688,43 ? с комиссией банку 9 478 044,95 ? с кв 82 458,99 ? ЗА 1 ГОД по 44ФЗ заключено 2 шт. c объемом НМЦ 2 236 254 949,66 ? с БГИ 223 625 494,96 ? с БГГО 111 812 747,48 ? с авансированием до  670 876 484,90 ? с комиссией банку  9 478 044,95 ? с кв 82 458,99 ? ЗА 3 ГОДА ПО 223 ФЗ заключено 2 шт. с объемом НМЦ 2 699 905 240,00 ? за 1 ГОД ПО 223ФЗ заключено 1  1 349 952 620,00 ?</t>
  </si>
  <si>
    <t>"223 за 3 года", ".", "рейтинг поставщиков в маркере по бг", "компании Герберта", "Конкурсы 100+ (Восстановленный)", "все клиенты с выручкой от 1,8 млрд до бесконечности", "223 фз контракты 20+", "44 фз с с БГ от 10 млн", "рейтинг заказчиков маркер", "рейтинг по нмц маркер", "это заказчик", "crm управления", "в crm за Чимровым", "поставщики маркер", "44 за 3 года"</t>
  </si>
  <si>
    <t>20.59 Продукты химические прочие, не включенные в другие группировки
20.59.42.140 Продукты аналогичные присадкам к топливу и смазочным материалам
20.13.99.000 Услуги по производству прочих основных неорганических химических веществ отдельные, выполняемые субподрядчиком
20.42.15.190 Средства косметические для ухода за кожей прочие, не включенные в другие группировки
20.59.5 Продукты химические прочие
20.13.24.112 Кислота соляная
20.16.99.000 Услуги по производству пластмасс в первичных формах отдельные, выполняемые субподрядчиком
20.59.59.900 Продукты разные химические прочие, не включенные в другие группировки</t>
  </si>
  <si>
    <t>"поставщики маркер", ".", "беники", "все клиенты с выручкой от 1,8 млрд до бесконечности", "это заказчик"</t>
  </si>
  <si>
    <t>3 114</t>
  </si>
  <si>
    <t>1 942</t>
  </si>
  <si>
    <t>Сообщение кредитора о намерении обратиться в суд с заявлением о банкротстве от 29.11.2021</t>
  </si>
  <si>
    <t>27.20.21.000 Аккумуляторы свинцовые для запуска поршневых двигателей
27.20.22.000 Аккумуляторы свинцовые, кроме используемых для запуска поршневых двигателей
27 Оборудование электрическое</t>
  </si>
  <si>
    <t>38.22.29.000 Услуги по утилизации прочих опасных отходов
52.22.13.120 Услуги по постановке судов к причалу в морских и прибрежных водах
36.00.12.000 Вода непитьевая
52.21.24 Услуги стоянок для транспортных средств
36.00.20.130 Услуги по транспортированию и распределению воды по водопроводам
36.00.11.000 Вода питьевая</t>
  </si>
  <si>
    <t>Заказчик разыгравший 46 конкурсов на сумму  10 220 098 649,76 ?</t>
  </si>
  <si>
    <t>Заказчик разыгравший 5 конкурсов на сумму  1 074 928 051,87 ?</t>
  </si>
  <si>
    <t>46.51.1 Услуги по оптовой торговле компьютерами, компьютерными периферийными устройствами и программным обеспечением
26.20.1 Компьютеры, их части и принадлежности
46.51.10.110 Услуги по оптовой торговле компьютерами, компьютерными периферийными устройствами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 Оборудование компьютерное, электронное и оптическое
26.2 Компьютеры и периферийное оборудование
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26.20.16.190 Устройства ввода/вывода данных прочие ****</t>
  </si>
  <si>
    <t>Заказчик разыгравший 58 конкурсов на сумму  6 187 218 654,11 ?</t>
  </si>
  <si>
    <t>53.10.12.000 Услуги почтовой связи общего пользования, связанные с письменной корреспонденцией
53.10.19.000 Услуги почтовой связи общего пользования прочие</t>
  </si>
  <si>
    <t>13.92.13.191 Скатерти из прочих тканей
32.99.51.119 Изделия для новогодних и рождественских праздников прочие
23.13.13.110 Посуда столовая и кухонная из стекла
23.41.11.110 Посуда столовая и кухонная из фарфора
13.92.12.114 Комплекты постельного белья из хлопчатобумажных тканей
25.99.12.112 Изделия столовые, кухонные и бытовые и их детали из нержавеющей стали
13.92.14.110 Белье туалетное
13.92.24.140 Подушки
23.13.12.120 Стаканы и прочие сосуды для питья из прочего стекла
23.49.12.000 Изделия керамические нестроительные прочие, не включенные в другие группировки ****</t>
  </si>
  <si>
    <t>"44 за 3 года", ".", "fk1", "просрочка на 01.01.2023 г.", "Запрос в ЮД_просрочка на 01.01.2023", "все клиенты с выручкой от 1,8 млрд до бесконечности", "Обороты по клиентам по кварталам (2022г)", "рейтинг заказчиков маркер", "поставщики маркер"</t>
  </si>
  <si>
    <t>1 371</t>
  </si>
  <si>
    <t>17.12.77.110 Бумага из целлюлозных волокон мелованная с пропиткой, покрытием, окрашенной поверхностью или с отпечатанными знаками, в рулонах или листах
58.13.10.000 Газеты печатные
58.13.31.000 Место для рекламы в печатных газетах
58.14.1 Журналы и периодические издания печатные
58.14.12 Бизнес-журналы, профессиональные и академические журналы и периодические издания
17.21.13.000 Ящики и коробки из гофрированной бумаги или гофрированного картона
17.21.14.110 Ящики и коробки складывающиеся из негофрированной бумаги
17.23.13.110 Журналы регистрационные из бумаги или картона
17.23.13.140 Бланки из бумаги или картона
53.10.11.000 Услуги почтовой связи общего пользования, связанные с газетами и прочими периодическими изданиями ****</t>
  </si>
  <si>
    <t>За весь период контрактов 198 шт. на общую сумму НМЦ 93 985 257 038,20 ?
За весь период контрактов 66 шт. на общую сумму НМЦ 29 408 960 957,36 ?</t>
  </si>
  <si>
    <t>Сообщение кредитора о намерении обратиться в суд с заявлением о банкротстве от 19.10.2021</t>
  </si>
  <si>
    <t>"223 за 3 года", ".", "рейтинг поставщиков в маркере по бг", "Конкурсы 100+ (Восстановленный)", "fk1", "Кредитный портфель_01.11", "06.2022_ФинХД", "все клиенты с выручкой от 1,8 млрд до бесконечности", "ФК клиенты с выручкой от 230 до бесконечности", "223 фз контракты 20+", "44 фз с с БГ от 10 млн", "рейтинг заказчиков маркер", "рейтинг по нмц маркер", "это заказчик", "поставщики маркер", "44 за 3 года"</t>
  </si>
  <si>
    <t>2 052</t>
  </si>
  <si>
    <t>22.1 Изделия резиновые
22.11.1 Шины, покрышки и камеры резиновые новые
22.11.14.110 Шины и покрышки пневматические для сельскохозяйственных машин
22.11 Шины, покрышки и камеры резиновые; восстановление протекторов и резиновых шин
22.11.14.191 Шины пневматические для строительных, дорожных, подъемно-транспортных и рудничных машин
22.11.11 Шины и покрышки пневматические для легковых автомобилей новые
22.11.13.110 Шины и покрышки пневматические для автобусов, троллейбусов и грузовых автомобилей новые</t>
  </si>
  <si>
    <t>19.20.32.119 Газы нефтяные прочие, не включенные в другие группировки
37.00.11.110 Услуги по водоотведению сточных вод
35.11.10.112 Электроэнергия, произведенная теплоэлектроцентралями (ТЭЦ) общего назначения
36.00.1 Вода природная
71.12 Услуги в области инженерно-технического проектирования и связанные технические консультативные услуги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35.11.10.110 Электроэнергия, произведенная электростанциями общего назначения
35.11.10.122 Электроэнергия, произведенная блок-станциями теплоэлектроцентралей (ТЭЦ)
35.3 Услуги по снабжению паром и кондиционированию воздуха
35.30.12.110 Услуги по приготовлению воды на нужды горячего водоснабжения ****</t>
  </si>
  <si>
    <t>ЗА 3 ГОДА ПО 223 ФЗ заключено 8 шт. с объемом НМЦ 31 867 995,08 ?</t>
  </si>
  <si>
    <t>28.13.12.000 Насосы возвратно-поступательные объемного действия прочие для перекачки жидкостей
28.13.14.110 Насосы центробежные подачи жидкостей прочие
28.14.12.110 Краны, клапаны для раковин, моек, биде, унитазов, ванн и аналогичная арматура
28.14.12.120 Клапаны для радиаторов центрального отопления
13.10.82.141 Пряжа однониточная с массовой долей других синтетических штапельных волокон не менее 85 %
20.13.23.113 Калий
20.13.43.112 Сода кальцинированная техническая из нефелинового сырья
20.14.53.120 Эфиры сложные прочих неорганических кислот (кроме сложных эфиров галогенводородов) и их соли
27.32.13.140 Кабели управления, контроля, сигнализации; кабели и провода термоэлектродные
27.32.13.148 Кабели с минеральной изоляцией нагревостойкие ****</t>
  </si>
  <si>
    <t>За весь период компания заключила  41 контрактов на сумму  16 016 485 261,15 ? За весь период заходили в конкурсы  62 раз на общую сумму обеспеченных контрактов с НМЦ 7 653 775 426,61 ? с БГУ  437 091 906,89 ? с БГИ 2 173 532 714,60 ?</t>
  </si>
  <si>
    <t>"223 за 3 года", "свод фт", ".", "рейтинг поставщиков в маркере по бг", "все клиенты с выручкой от 1,8 млрд до бесконечности", "рейтинг заказчиков маркер", "производители", "рейтинг по нмц маркер", "это заказчик", "на фт заводил Данченко", "поставщики маркер", "44 за 3 года"</t>
  </si>
  <si>
    <t>19.2 Нефтепродукты
46.12.11.000 Услуги по оптовой торговле твердым, жидким и газообразным топливом и связанными продуктами за вознаграждение или на договорной основе
46.71 Услуги по оптовой торговле твердым, жидким и газообразным топливом и связанными продуктами
46.71.12.000 Услуги по оптовой торговле моторным топливом, включая авиационный бензин
19.20.21 Топливо моторное, включая автомобильный и авиационный бензин
19.20.21.100 Бензин автомобильный
19 Кокс и нефтепродукты
19.20.21.125 Бензин автомобильный с октановым числом более 92, но не более 95 по исследовательскому методу экологического класса К5
19.20.21.120 Бензин автомобильный с октановым числом более 92, но не более 95 по исследовательскому методу
19.20.21.315 Топливо дизельное летнее экологического класса К5 ****</t>
  </si>
  <si>
    <t>За весь период компания заключила  18 контрактов на сумму  11 435 009 157,76 ?                                     ЗА 3 ГОДА ПО 223 ФЗ заключено 24 шт. с объемом НМЦ 621 171 414,24 ? за 1 ГОД ПО 223ФЗ заключено 10  149 103 263,10 ?</t>
  </si>
  <si>
    <t>"223 за 3 года", ".", "ГРАНДИОЗНЫЙ ПРОЕКТ 223", "Конкурсы 100+ (Восстановленный)", "все клиенты с выручкой от 1,8 млрд до бесконечности", "223 фз контракты 20+", "рейтинг по нмц маркер"</t>
  </si>
  <si>
    <t>32.50.21.122 Аппараты дыхательные реанимационные
26.60.11.113 Аппараты рентгенографические
26.60.12.119 Аппараты электродиагностические прочие
26.60.11.112 Аппараты рентгеноскопические (флуороскопические)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26.60.13.190 Оборудование для электротерапии прочее, не включенное в другие группировки
42.21.22 Работы строительные по прокладке местных трубопроводов
42.21.21.000 Работы строительные по прокладке магистральных трубопроводов
32.50.50.190 Изделия медицинские, в том числе хирургические, прочие, не включенные в другие группировки</t>
  </si>
  <si>
    <t>За весь период компания заключила  40 контрактов на сумму  90 738 271 365,89 ? За весь период заходили в конкурсы  39 раз на общую сумму обеспеченных контрактов с НМЦ 73 673 146 655,56 ? с БГУ  3 630 036 892,23 ? с БГИ 9 134 722 916,27 ? За 3 ГОДА по 44ФЗ заключено 21 шт. с объемом НМЦ  2 100 933 324,76 ? с БГИ 106 726 706,23 ? с БГГО 88 087 145,88 ? с авансированием до 0,00 ? с комиссией банку 763 925,78 ? с кв 6 646,15 ? ЗА 1 ГОД по 44ФЗ заключено 13 шт. c объемом НМЦ 1 677 208 414,26 ? с БГИ 83 860 420,70 ? с БГГО 72 652 682,43 ? с авансированием до  0,00 ? с комиссией банку  606 122,30 ? с кв 5 273,26 ?</t>
  </si>
  <si>
    <t>25.21.11.130 Радиаторы центрального отопления и их секции из прочих металлов</t>
  </si>
  <si>
    <t>01.13.12.120 Капуста белокочанная
10.41.24.000 Масло подсолнечное и его фракции нерафинированные
10.61.32.111 Крупа овсяная
10.61.32.113 Крупа гречневая
10.73.11.140 Изделия макаронные фигурные
10.84.12.150 Приправы и пряности смешанные
10.61.21.113 Мука пшеничная хлебопекарная высшего сорта
10.86.10.240 Консервы для детского питания на фруктовой и фруктово-овощной основе; продукция соковая из фруктов и фруктово-овощная для детского питания
10.72.12.120 Печенье сладкое
10.83.13.120 Чай черный (ферментированный) в упаковках массой не более 3 кг ****</t>
  </si>
  <si>
    <t>3 093</t>
  </si>
  <si>
    <t>За весь период компания заключила  5 контрактов на сумму  2 375 522 313,60 ?</t>
  </si>
  <si>
    <t>"поставщики маркер", "свод фт", ".", "Рассрочка КВ Март 2023", "fk1", "ушедшие", "клиенты с в от100млн 09.21", "все клиенты с выручкой от 1,8 млрд до бесконечности", "ФК клиенты с выручкой от 230 до бесконечности", "рейтинг по нмц маркер", "это заказчик", "на фт заводил Толстенкова", "на фт заводил Тихонов ", "на фт заводил Егоров ", "на фт заводил Бесков", "crm управления", "в crm за Егоровым "</t>
  </si>
  <si>
    <t>21.20.23.190 Препараты фармацевтические прочие
21.20.10 Препараты лекарственные</t>
  </si>
  <si>
    <t>ЗА 3 ГОДА ПО 223 ФЗ заключено 7 шт. с объемом НМЦ 24 946 055,15 ?</t>
  </si>
  <si>
    <t>"223 за 3 года", ".", "ГРАНДИОЗНЫЙ ПРОЕКТ 223", "все клиенты с выручкой от 1,8 млрд до бесконечности", "производители", "рейтинг по нмц маркер", "поставщики маркер"</t>
  </si>
  <si>
    <t>СRM Шарифуллина</t>
  </si>
  <si>
    <t>"СRM Шарифуллина", "."</t>
  </si>
  <si>
    <t>10.13.15.111 Консервы кусковые мясные
10.51.40.121 Сыры полутвердые без вкусовых наполнителей
10.13.14.411 Колбасы (колбаски) полукопченые мясные</t>
  </si>
  <si>
    <t>28.13.11.110 Насосы топливные
28.22 Оборудование подъемно-транспортное
22.19.40.120 Ремни приводные прорезиненные
28.22.15 Автопогрузчики с вилочным захватом, прочие погрузчики; тягачи, используемые на платформах железнодорожных станций
29.10.30.190 Средства автотранспортные пассажирские с числом мест для сидения не менее 10 прочие
30.99.10.190 Средства транспортные и оборудование прочие, не включенные в другие группировки
45.20.11.519 Прочие услуги по техническому обслуживанию и ремонту прочих автотранспортных средств, не включенные в другие группировки
28.22.15.120 Погрузчики прочие
28.22.18.246 Погрузчики универсальные сельскохозяйственного назначения
28.22.2 Ковши, черпаки, грейферы и захваты для подъемных кранов, экскаваторов и аналогичного оборудования ****</t>
  </si>
  <si>
    <t>За весь период заходили в конкурсы  13 раз на общую сумму обеспеченных контрактов с НМЦ 739 441 699,98 ? с БГУ  27 166 428,43 ? с БГИ 140 358 999,04 ? За 3 ГОДА по 44ФЗ заключено 30 шт. с объемом НМЦ  1 724 939 546,14 ? с БГИ 314 810 035,21 ? с БГГО 156 051 306,66 ? с авансированием до 0,00 ? с комиссией банку 4 544 622,78 ? с кв 39 538,22 ? ЗА 1 ГОД по 44ФЗ заключено 7 шт. c объемом НМЦ 1 486 737 682,85 ? с БГИ 293 666 467,48 ? с БГГО 145 324 916,66 ? с авансированием до  0,00 ? с комиссией банку  4 540 631,77 ? с кв 39 503,50 ? ЗА 3 ГОДА ПО 223 ФЗ заключено 34 шт. с объемом НМЦ 300 649 652,89 ? за 1 ГОД ПО 223ФЗ заключено 6  68 550 010,67 ?</t>
  </si>
  <si>
    <t>"223 за 3 года", ".", "рейтинг поставщиков в маркере по бг", "все клиенты с выручкой от 1,8 млрд до бесконечности", "223 фз контракты 20+", "44 фз с с БГ от 10 млн", "рейтинг по нмц маркер", "crm управления", "в crm за Ким", "поставщики маркер", "44 за 3 года"</t>
  </si>
  <si>
    <t>43.22.11.120 Работы по монтажу санитарно-технических приборов
71.12.16.000 Услуги по инженерно-техническому проектированию производственных процессов и производств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43.99.90.190 Работы строительные специализированные прочие, не включенные в другие группировки
71.12.20.190 Услуги по руководству строительными проектами прочие
46.13.11.000 Услуги по оптовой торговле древесиной и лесоматериалами за вознаграждение или на договорной основе
31.01.11.190 Мебель офисная металлическая прочая
31.01.12.110 Столы письменные деревянные для офисов, административных помещений
31.01.12.131 Шкафы для одежды деревянные
31.01.12.160 Мебель для сидения, преимущественно с деревянным каркасом ****</t>
  </si>
  <si>
    <t>За весь период компания заключила  6 контрактов на сумму  307 188 133,52 ? За весь период заходили в конкурсы  5 раз на общую сумму обеспеченных контрактов с НМЦ 415 077 865,52 ? с БГУ  4 025 510,78 ? с БГИ 102 497 952,78 ?</t>
  </si>
  <si>
    <t>Сообщения о принятии решения о реорганизации от 21.09.2021</t>
  </si>
  <si>
    <t>43 Работы строительные специализированные
42 Сооружения и строительные работы в области гражданского строительства
42.1 Дороги автомобильные и железные; строительные работы по строительству автомобильных дорог и железных дорог
42.21.11.110 Трубопроводы магистральные наземные и подводные для перекачки нефтепродуктов и газа</t>
  </si>
  <si>
    <t>За весь период компания заключила  20 контрактов на сумму  9 389 438 134,65 ?</t>
  </si>
  <si>
    <t>"поставщики маркер", ".", "fk1", "корп 2", "06.2022_ФинХД", "все клиенты с выручкой от 1,8 млрд до бесконечности", "Думающие УДП", "ФК клиенты с выручкой от 230 до бесконечности", "клиенты от 100 млн", "рейтинг по нмц маркер"</t>
  </si>
  <si>
    <t>28.22.18.314 Манипуляторы погрузочные и разгрузочные</t>
  </si>
  <si>
    <t>ПОС на 03.04.3924</t>
  </si>
  <si>
    <t>"поставщики маркер", ".", "выдали", "fk1", "ПОС на 01.02.2023", "ПОС на 03.04.2023", "06.2022_ФинХД", "все клиенты с выручкой от 1,8 млрд до бесконечности", "Обороты по клиентам по кварталам (2022г)"</t>
  </si>
  <si>
    <t>2 695</t>
  </si>
  <si>
    <t>"поставщики маркер", ".", "fk1", "инн Красносельская", "ИНН 3 года - нет КД БГ на 01.10.22", "портфель 31.10.2021_10 тыс_проверка", "ПОС на 03.04.2023", "корп 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</si>
  <si>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02.40.10.114 Услуги по противопожарному обустройству лесов и тушению пожаров в лесах
16.10 Лесоматериалы, распиленные и строганые
52.23.19.114 Работы строительно-монтажные и погрузочно-разгрузочные
02.40.10.129 Услуги, связанные с лесозаготовками, прочие
49.41.19.900 Услуги по перевозке грузов автомобильным транспортом прочие, не включенные в другие группировки</t>
  </si>
  <si>
    <t>1 181</t>
  </si>
  <si>
    <t>Юридическое лицо находится в процессе реорганизации в форме присоединения к нему других юридических лиц от 03.02.2023, Сообщение кредитора о намерении обратиться в суд с заявлением о банкротстве от 22.03.2023</t>
  </si>
  <si>
    <t>"44 за 3 года", ".", "рейтинг поставщиков в маркере по бг", "рейтинг по нмц маркер", "это заказчик", "поставщики маркер"</t>
  </si>
  <si>
    <t>43.99.10 Работы гидроизоляционные</t>
  </si>
  <si>
    <t>ЗА 3 ГОДА ПО 223 ФЗ заключено 3 шт. с объемом НМЦ 587 598 890,48 ?</t>
  </si>
  <si>
    <t>71.12.40.120 Услуги в области метрологии
27.90 Оборудование электрическое прочее
33.14.19 Услуги по ремонту и техническому обслуживанию прочего профессионального электрического оборудования
28.14 Арматура трубопроводная (арматура) (краны, клапаны и прочие)
33.12.1 Услуги по ремонту и техническому обслуживанию оборудования общего назначения
33.12 Услуги по ремонту оборудования
28.13.31.110 Комплектующие (запасные части) насосов, не имеющие самостоятельных группировок
28.14.11 Арматура регулирующая, обратная, предохранительная, распределительно-смесительная, разделительная, комбинированная, клапаны редукционные
26.11 Компоненты электронные
33.13.19.000 Услуги по ремонту и техническому обслуживанию прочего профессионального электронного оборудования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</si>
  <si>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24.10.61.110 Прокат сортовой горячекатаный со свободной намоткой в бухты из нелегированных сталей
35.30.12.110 Услуги по приготовлению воды на нужды горячего водоснабжения
36.00.20.120 Услуги по обработке воды для промышленных и прочих нужд
36.00.30.000 Услуги по торговле водой, поставляемой по трубопроводам
35.30.11.120 Энергия тепловая, отпущенная котельными
35.30.12.130 Услуги по транспортированию горячей воды
36.00.20 Услуги по очистке вод и распределению воды по водопроводам
24.10.61.120 Катанка горячекатаная со свободной намоткой в бухты из нелегированных сталей
24.20.33.000 Трубы круглого сечения сварные прочие, наружным диаметром не более 406,4 мм, стальные ****</t>
  </si>
  <si>
    <t>2 651</t>
  </si>
  <si>
    <t>Юридическое лицо находится в процессе реорганизации в форме присоединения к нему других юридических лиц от 06.10.2022, Сообщения о принятии решения о ликвидации от 05.10.2021</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</si>
  <si>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42.91.20.120 Работы строительные по строительству плотин и дамб, включая ремонт
35.30.11.120 Энергия тепловая, отпущенная котельными
42.11.10.129 Дороги автомобильные, в том числе улично-дорожная сеть, и прочие автомобильные и пешеходные дороги, не включенные в другие группировки</t>
  </si>
  <si>
    <t>"44 за 3 года", ".", "рейтинг поставщиков в маркере по бг", "все клиенты с выручкой от 1,8 млрд до бесконечности", "производители", "поставщики маркер"</t>
  </si>
  <si>
    <t>На 11.05.2023 11:46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05.12.2022</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</si>
  <si>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42.91.20.140 Работы дноуглубительные, работы по удалению скальных пород и илистых отложений и прочие строительные гидротехнические работы
52.21.22.000 Услуги по эксплуатации автомагистралей
42.11.10.120 Дороги автомобильные, в том числе улично-дорожная сеть, и прочие автомобильные и пешеходные дороги
42.11.10.159 Дороги подъездные, транспортные и пешеходные путепроводы над и под дорогой, велосипедные дорожки прочие
42.13.20.100 Работы строительные по строительству мостов и тоннелей, кроме работ по сохранению и воссозданию объектов культурного наследия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42.11.10.121 Дорога автомобильная с усовершенствованным капитальным типом дорожного покрытия
42.11.10.122 Дорога автомобильная с усовершенствованным облегченным или переходным типом дорожного покрытия ****</t>
  </si>
  <si>
    <t>Отказ из-за непредставления документов;Скоринг не пройден</t>
  </si>
  <si>
    <t>Сообщение кредитора о намерении обратиться в суд с заявлением о банкротстве от 29.10.2021</t>
  </si>
  <si>
    <t>"223 за 3 года", "свод фт", ".", "рейтинг поставщиков в маркере по бг", "ГРАНДИОЗНЫЙ ПРОЕКТ", "Конкурсы 100+ (Восстановленный)", "все клиенты с выручкой от 1,8 млрд до бесконечности", "44 фз с с БГ от 10 млн", "рейтинг заказчиков маркер", "рейтинг по нмц маркер", "это заказчик", "на фт заводил Толстенкова", "поставщики маркер", "44 за 3 года"</t>
  </si>
  <si>
    <t>21.20.23.113 Средства радиофармацевтические диагностические
21.20.23.199 Средства нелечебные прочие
21.10.54.190 Антибиотики и их производные прочие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21.20.23.190 Препараты фармацевтические прочие
21.20.10 Препараты лекарственные
21.20.10.143 Диуретики
21.20.10.194 Препараты противовирусные для системного применения ****</t>
  </si>
  <si>
    <t>За весь период компания заключила  43 контрактов на сумму  17 259 408 788,81 ? За весь период заходили в конкурсы  99 раз на общую сумму обеспеченных контрактов с НМЦ 29 620 826 116,17 ? с БГУ  319 759 477,89 ? с БГИ 3 096 101 566,12 ? За 3 ГОДА по 44ФЗ заключено 7047 шт. с объемом НМЦ  28 835 949 159,23 ? с БГИ 2 685 507 971,78 ? с БГГО 33 990 633,77 ? с авансированием до 1 979 294,57 ? с комиссией банку 70 016 119,23 ? с кв 609 140,24 ? ЗА 1 ГОД по 44ФЗ заключено 2429 шт. c объемом НМЦ 11 773 144 057,97 ? с БГИ 1 107 799 103,57 ? с БГГО 21,00 ? с авансированием до  1 322 135,73 ? с комиссией банку  20 863 155,77 ? с кв 181 509,46 ? ЗА 3 ГОДА ПО 223 ФЗ заключено 174 шт. с объемом НМЦ 405 327 559,00 ? за 1 ГОД ПО 223ФЗ заключено 81  191 942 098,81 ?</t>
  </si>
  <si>
    <t>Сообщения о принятии решения о реорганизации от 09.03.2021</t>
  </si>
  <si>
    <t>71.12.16.000 Услуги по инженерно-техническому проектированию производственных процессов и производств
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43.22.11 Работы по монтажу водопроводных и канализационных систем
36.00.20.140 Услуги по техническому обслуживанию приборов учета расхода воды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42.21.22.190 Работы строительные по прокладке местных трубопроводов прочих жидкостей и газов ****</t>
  </si>
  <si>
    <t>За весь период компания заключила  5 контрактов на сумму  13 268 992 631,49 ?                                     ЗА 3 ГОДА ПО 223 ФЗ заключено 9 шт. с объемом НМЦ 438 094 060,47 ?</t>
  </si>
  <si>
    <t>"223 за 3 года", "кл фт мсб бг 04.22", ".", "все клиенты с выручкой от 1,8 млрд до бесконечности", "клиенты от 100 млн", "действующие б не прям", "ФТ клиенты с продуктами по сотрудникам", "рейтинг заказчиков маркер", "рейтинг по нмц маркер", "это заказчик", "поставщики маркер"</t>
  </si>
  <si>
    <t>84.11.11.111 Услуги федеральных органов государственной власти, кроме полномочных представителей Президента Российской Федерации и территориальных органов федеральных органов исполнительной власти
05 Уголь
05.20.10.120 Уголь бурый обогащенный (лигнит)
05.10.10.140 Уголь и антрацит обогащенные
05.20.10.110 Уголь бурый рядовой (лигнит)
05.20.10.130 Концентрат бурого угля (лигнита)
05.20.10 Уголь бурый (лигнит)
52.21.11.000 Услуги железнодорожные маневровые или буксировочные
05.10.10.131 Уголь марки Д - длиннопламенный</t>
  </si>
  <si>
    <t>За весь период контрактов 42 шт. на общую сумму НМЦ 43 917 865 185,61 ?</t>
  </si>
  <si>
    <t>Сообщения о принятии решения о реорганизации от 13.12.2021</t>
  </si>
  <si>
    <t>"223 за 3 года", ".", "рейтинг поставщиков в маркере по бг", "все клиенты с выручкой от 1,8 млрд до бесконечности", "223 фз контракты 20+", "производители", "рейтинг по нмц маркер", "44 за 3 года"</t>
  </si>
  <si>
    <t>20.52 Клеи</t>
  </si>
  <si>
    <t>На 02.12.2022 11:47 имеются действующие решения ФНС о приостановлении операций по счетам</t>
  </si>
  <si>
    <t>08.12.11 Пески природные
08.12.11.190 Пески природные, не включенные в другие группировки
08.12.12.140 Щебень</t>
  </si>
  <si>
    <t>"поставщики маркер", ".", "fk1", "райф", "все клиенты с выручкой от 1,8 млрд до бесконечности", "Обороты по клиентам по кварталам (2022г)", "производители"</t>
  </si>
  <si>
    <t>68 Услуги по операциям с недвижимым имуществом
71.12 Услуги в области инженерно-технического проектирования и связанные технические консультативные услуги
68.32.13.110 Услуги по технической инвентаризации недвижимого имущества нежилого фонда
71.12.34.110 Услуги в области землеустройства
71.12.12.190 Услуги по инженерно-техническому проектированию зданий прочие, не включенные в другие группировки
71.12.35.110 Услуги в области кадастровой деятельности</t>
  </si>
  <si>
    <t>"поставщики маркер", ".", "выдали", "06.2022_ФинХД", "все клиенты с выручкой от 1,8 млрд до бесконечности"</t>
  </si>
  <si>
    <t>"поставщики маркер", ".", "выдали", "fk1", "Обороты по клиентам по кварталам (2022г)"</t>
  </si>
  <si>
    <t>29.10.59.141 Автомобили пожарные для тушения пожаров водой
29.10.59.144 Автолестницы и автоподъемники пожарные
28.13.32.120 Комплектующие (запасные части) воздушных или газовых компрессоров, не имеющие самостоятельных группировок
29.10.59.143 Автомобили пожарные комбинированного тушения крупных пожаров
50.20.19.120 Услуги по каботажным перевозкам морскими судами прочих грузов
29.10.59.140 Автомобили пожарные
29.10.59.142 Автомобили пожарные для тушения пожаров специальными огнегасительными средствами
50.20.19.129 Услуги по каботажным перевозкам морскими судами прочих грузов, не включенные в другие группировки
29.20.23.113 Прицепы и полуприцепы, технически допустимая максимальная масса которых свыше 3,5 т, но не более 10 т</t>
  </si>
  <si>
    <t>За весь период компания заключила  12 контрактов на сумму  1 102 603 972,86 ? За весь период заходили в конкурсы  38 раз на общую сумму обеспеченных контрактов с НМЦ 3 802 447 345,07 ? с БГУ  185 282 098,54 ? с БГИ 1 110 687 226,61 ? За 3 ГОДА по 44ФЗ заключено 51 шт. с объемом НМЦ  997 120 965,00 ? с БГИ 83 441 998,37 ? с БГГО 8 618 360,41 ? с авансированием до 15 980 200,00 ? с комиссией банку 704 164,10 ? с кв 6 126,23 ? ЗА 1 ГОД по 44ФЗ заключено 17 шт. c объемом НМЦ 387 280 033,37 ? с БГИ 28 906 296,67 ? с БГГО 1 358 200,00 ? с авансированием до  0,00 ? с комиссией банку  340 708,30 ? с кв 2 964,16 ? ЗА 3 ГОДА ПО 223 ФЗ заключено 5 шт. с объемом НМЦ 29 161 854,16 ? за 1 ГОД ПО 223ФЗ заключено 2  29 500 000,00 ?</t>
  </si>
  <si>
    <t>"223 за 3 года", ".", "рейтинг поставщиков в маркере по бг", "ГРАНДИОЗНЫЙ ПРОЕКТ", "223 фз контракты 20+", "производители", "рейтинг по нмц маркер", "поставщики маркер", "44 за 3 года"</t>
  </si>
  <si>
    <t>Юридическое лицо находится в процессе реорганизации в форме присоединения к нему других юридических лиц от 16.02.2023, Сообщения о принятии решения о реорганизации от 20.02.2023</t>
  </si>
  <si>
    <t>28.13.14.110 Насосы центробежные подачи жидкостей прочие
27.90 Оборудование электрическое прочее
28.29.12.190 Оборудование и установки для фильтрования или очистки жидкостей прочие, не включенные в другие группировки
28.13.14 Насосы центробежные подачи жидкостей прочие; насосы прочие
27.11.25.000 Электродвигатели переменного тока, многофазные, выходной мощностью более 75 кВт
27.11.31.000 Установки генераторные с двигателями внутреннего сгорания с воспламенением от сжатия
27.11.61.110 Комплектующие (запасные части) электродвигателей, не имеющие самостоятельных группировок
27.11.21.000 Электродвигатели переменного и постоянного тока универсальные мощностью более 37,5 Вт
77.39.19.112 Услуги по аренде и лизингу горного и нефтепромыслового оборудования
09.1 Услуги по добыче нефти и природного газа ****</t>
  </si>
  <si>
    <t>За весь период компания заключила  56 контрактов на сумму  108 346 710 496,99 ?                                     ЗА 3 ГОДА ПО 223 ФЗ заключено 4 шт. с объемом НМЦ 1 058 290 699,50 ? за 1 ГОД ПО 223ФЗ заключено 5  1 083 506 505,40 ?</t>
  </si>
  <si>
    <t>"223 за 3 года", ".", "Конкурсы 100+ (Восстановленный)", "fk1", "Кредитный портфель_01.11", "все клиенты с выручкой от 1,8 млрд до бесконечности", "223 фз контракты 20+", "рейтинг по нмц маркер"</t>
  </si>
  <si>
    <t>20.13.24.149 Кислоты неорганические прочие, не включенные в другие группировки
20.30.22.220 Растворители и разбавители органические сложные; составы готовые для удаления красок и лаков (смывки)
20.30.11.120 Краски на основе акриловых или виниловых полимеров в водной среде
32.99.11.120 Респираторы
20.30.12.110 Лаки на основе сложных полиэфиров, акриловых или виниловых полимеров в неводной среде
13.96.17.190 Материалы отделочные и аналогичные изделия прочие, не включенные в другие группировки
20.30.12.120 Краски на основе сложных полиэфиров, акриловых или виниловых полимеров в неводной среде
20.16.20.111 Полистирол блочный
25.94.11.110 Болты и винты из черных металлов
20.52.10.190 Клеи прочие ****</t>
  </si>
  <si>
    <t>38.11.19.000 Услуги по сбору прочих неопасных отходов, пригодных для повторного использования
38.22.29.000 Услуги по утилизации прочих опасных отходов
32.50.13.190 Инструменты и приспособления, применяемые в медицинских целях, прочие, не включенные в другие группировки
38.11.1 Услуги по сбору неопасных отходов, пригодных для повторного использования
38.11.31.000 Отходы неопасные бытовые, непригодные для повторного использования
38.11.21.000 Услуги по сбору неопасных отходов городского хозяйства, непригодных для повторного использования
38.2 Услуги по обработке и утилизации отходов
81.29.13.000 Услуги санитарно-гигиенические прочие
38.11.29 Услуги по сбору прочих неопасных отходов, непригодных для повторного использования
32.50.30.119 Мебель медицинская прочая, включая хирургическую, стоматологическую или ветеринарную, и ее части ****</t>
  </si>
  <si>
    <t>За весь период компания заключила  4 контрактов на сумму  807 348 149,77 ? За весь период заходили в конкурсы  5 раз на общую сумму обеспеченных контрактов с НМЦ 860 080 850,27 ? с БГУ  8 704 310,63 ? с БГИ 52 225 863,75 ? За 3 ГОДА по 44ФЗ заключено 2 шт. с объемом НМЦ  104 440 915,18 ? с БГИ 31 070 936,95 ? с БГГО 0,00 ? с авансированием до 0,00 ? с комиссией банку 1 284 937,76 ? с кв 11 178,96 ? ЗА 1 ГОД по 44ФЗ заключено 1 шт. c объемом НМЦ 103 395 564,80 ? с БГИ 31 018 669,44 ? с БГГО 0,00 ? с авансированием до  0,00 ? с комиссией банку  1 284 937,76 ? с кв 11 178,96 ?</t>
  </si>
  <si>
    <t>Сообщения о принятии решения о реорганизации от 10.02.2021</t>
  </si>
  <si>
    <t>21.20.10 Препараты лекарственные
22.19 Изделия из резины прочие
10.89.19 Продукты пищевые прочие, не включенные в другие группировки
21.10 Субстанции фармацевтические
21.20 Препараты лекарственные и материалы, применяемые в медицинских целях
10.86.10 Продукция детского питания и диетическая
10.89.19.210 Добавки биологически активные к пище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23.19.23 Посуда стеклянная для лабораторных, гигиенических или фармацевтических целей; ампулы из стекла
46.46 Услуги по оптовой торговле фармацевтической продукцией ****</t>
  </si>
  <si>
    <t>За весь период компания заключила  3 контрактов на сумму  502 000 000,00 ?                                     ЗА 3 ГОДА ПО 223 ФЗ заключено 4 шт. с объемом НМЦ 3 213 999 000,00 ? за 1 ГОД ПО 223ФЗ заключено 1  3 000 000 000,00 ?</t>
  </si>
  <si>
    <t>"223 за 3 года", ".", "все клиенты с выручкой от 1,8 млрд до бесконечности", "223 фз контракты 20+", "рейтинг по нмц маркер"</t>
  </si>
  <si>
    <t>10.13 Продукция мясная пищевая, в том числе из мяса птицы
10.13.14.119 Изделия колбасные вареные мясные прочие
20.30.22.220 Растворители и разбавители органические сложные; составы готовые для удаления красок и лаков (смывки)
25.93.15.110 Проволока, прутки присадочные, стержни, пластины
25.93.15.120 Электроды с покрытием
10.11 Мясо и прочие продукты убоя, включая мясо консервированное
20.1 Вещества химические основные, удобрения химические и азотные, пластмассы и синтетический каучук в первичных формах
20.11.11 Водород, аргон, газы инертные, азот и кислород
20.11.11.140 Азот
10.61.32.111 Крупа овсяная ****</t>
  </si>
  <si>
    <t>ЗА 3 ГОДА ПО 223 ФЗ заключено 27 шт. с объемом НМЦ 355 783 658,27 ?</t>
  </si>
  <si>
    <t>62.01 Продукты программные и услуги по разработке и тестированию программного обеспечения
62.01.1 Услуги по проектированию, разработке информационных технологий для прикладных задач и тестированию программного обеспечения
62.09.20.190 Услуги по технической поддержке в области информационных технологий прочие, не включенные в другие группировки
62.0 Продукты программные и услуги по разработке программного обеспечения; консультационные и аналогичные услуги в области информационных технологий
72.19.29.190 Услуги (работы), связанные с научными исследованиями и экспериментальными разработками в области технических наук и в области технологий, прочие, не включенные в другие группировки, кроме биотехнологии
62.01.11.000 Услуги по проектированию и разработке информационных технологий для прикладных задач и тестированию программного обеспечения
62.01.29.000 Оригиналы программного обеспечения прочие
62.02.20.190 Услуги консультативные в области компьютерных технологий прочие
62.01.12.000 Услуги по проектированию и разработке информационных технологий для сетей и систем
62.02.10.000 Услуги консультативные по компьютерному оборудованию ****</t>
  </si>
  <si>
    <t>За весь период компания заключила  39 контрактов на сумму  8 233 233 526,72 ? За весь период заходили в конкурсы  146 раз на общую сумму обеспеченных контрактов с НМЦ 22 180 291 851,07 ? с БГУ  1 019 304 229,47 ? с БГИ 5 230 783 813,24 ? За 3 ГОДА по 44ФЗ заключено 109 шт. с объемом НМЦ  9 941 611 745,20 ? с БГИ 2 178 673 470,99 ? с БГГО 281 878 765,21 ? с авансированием до 824 341 080,00 ? с комиссией банку 54 436 309,55 ? с кв 473 595,89 ? ЗА 1 ГОД по 44ФЗ заключено 41 шт. c объемом НМЦ 4 527 668 338,44 ? с БГИ 1 210 395 911,80 ? с БГГО 170 272 294,29 ? с авансированием до  823 140 630,00 ? с комиссией банку  33 719 658,19 ? с кв 293 361,03 ?</t>
  </si>
  <si>
    <t>"44 за 3 года", "свод фт", ".", "рейтинг поставщиков в маркере по бг", "Конкурсы 100+ (Восстановленный)",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"на фт заводил Тихонов ", "поставщики маркер"</t>
  </si>
  <si>
    <t>2 082</t>
  </si>
  <si>
    <t>За весь период компания заключила  2 контрактов на сумму  599 908 708,00 ?</t>
  </si>
  <si>
    <t>26.20.16.150 Сканеры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42.91.20.120 Работы строительные по строительству плотин и дамб, включая ремонт
42.91.20.140 Работы дноуглубительные, работы по удалению скальных пород и илистых отложений и прочие строительные гидротехнические работы
42.91.20.190 Работы строительные и ремонтные, связанные с прочими водными сооружениями и работы по ремонту всех вышеуказанных сооружений
26.20.18.000 Устройства периферийные с двумя или более функциями: печать данных, копирование, сканирование, прием и передача факсимильных сообщений
42.21.12.110 Трубопровод местный для воды (водопровод)
33.20.42.000 Услуги по монтажу профессионального электронного оборудования
41.20.40.900 Работы строительные по возведению нежилых зданий и сооружений прочие, не включенные в другие группировки
42.11.10.120 Дороги автомобильные, в том числе улично-дорожная сеть, и прочие автомобильные и пешеходные дороги ****</t>
  </si>
  <si>
    <t>За весь период компания заключила  32 контрактов на сумму  31 950 128 512,63 ? За весь период заходили в конкурсы  58 раз на общую сумму обеспеченных контрактов с НМЦ 36 156 800 398,83 ? с БГУ  1 627 899 050,34 ? с БГИ 6 525 538 804,08 ? За 3 ГОДА по 44ФЗ заключено 28 шт. с объемом НМЦ  18 473 349 754,07 ? с БГИ 4 030 149 682,50 ? с БГГО 59 413 774,63 ? с авансированием до 3 999 939 245,76 ? с комиссией банку 79 582 638,71 ? с кв 692 368,96 ? ЗА 1 ГОД по 44ФЗ заключено 9 шт. c объемом НМЦ 12 287 716 568,19 ? с БГИ 2 362 217 908,81 ? с БГГО 15 217 580,92 ? с авансированием до  3 240 768 419,26 ? с комиссией банку  62 458 318,97 ? с кв 543 387,38 ?</t>
  </si>
  <si>
    <t>"44 за 3 года", "свод фт", ".", "рейтинг поставщиков в маркере по бг", "ГРАНДИОЗНЫЙ ПРОЕКТ", "Конкурсы 100+ (Восстановленный)", "Агентские отказ из-за непред-я док-ов", "fk1", "Пункт 3.1 09.01.2023", "Действующий клиент мсб с выр от 30 млн на 05.21", "все клиенты с выручкой от 1,8 млрд до бесконечности", "ФК клиенты с выручкой от 230 до бесконечности", "Обороты по клиентам по кварталам (2022г)", "44 фз с с БГ от 10 млн", "рейтинг по нмц маркер", "на фт заводил Шаклейн", "на фт заводил Алтухова", "на фт заводил Алиев", "поставщики маркер"</t>
  </si>
  <si>
    <t>01.11.2 Кукуруза
01.19.10 Культуры кормовые</t>
  </si>
  <si>
    <t>ЗА 3 ГОДА ПО 223 ФЗ заключено 21 шт. с объемом НМЦ 22 168 813,08 ? за 1 ГОД ПО 223ФЗ заключено 3  4 333 600,00 ?</t>
  </si>
  <si>
    <t>Сообщения о принятии решения о реорганизации от 20.09.2021</t>
  </si>
  <si>
    <t>1 662</t>
  </si>
  <si>
    <t>1 493</t>
  </si>
  <si>
    <t>10.84.30.140 Соль пищевая молотая
10.61.32.111 Крупа овсяная
10.61.32.113 Крупа гречневая
10.61.22.112 Мука ржаная обдирная
10.61.21.114 Мука пшеничная хлебопекарная первого сорта
10.61.21.115 Мука пшеничная хлебопекарная второго сорта
10.81.12.110 Сахар белый свекловичный в твердом состоянии без вкусоароматических или красящих добавок
01.11.75.110 Зерно гороха
10.61.32.114 Пшено
10.84.30.110 Соль пищевая дробленая</t>
  </si>
  <si>
    <t>За весь период заходили в конкурсы  4 раз на общую сумму обеспеченных контрактов с НМЦ 358 239 589,00 ? с БГУ  12 552 952,14 ? с БГИ 109 964 984,40 ?</t>
  </si>
  <si>
    <t>"223 за 3 года", ".", "рейтинг поставщиков в маркере по бг", "БизФин", "производители", "поставщики маркер", "44 за 3 года"</t>
  </si>
  <si>
    <t>46.33 Услуги по оптовой торговле молочными продуктами, яйцами, пищевыми маслами и жирами
46.32.1 Услуги по оптовой торговле мясом и мясными продуктами
46.38.29 Услуги по оптовой торговле прочими пищевыми продуктами, не включенными в другие группировки</t>
  </si>
  <si>
    <t>10.13.14.119 Изделия колбасные вареные мясные прочие
10.20.14.110 Филе пресноводной рыбы мороженое
10.32.1 Соки из фруктов и овощей
10.39.22.130 Пюре и пасты фруктовые, ягодные и ореховые
10.51.12.110 Сливки питьевые
10.51.22.112 Молоко сухое цельное, от 26,0 % до 41,9 % жирности
10.82.22.121 Изделия шоколадные с начинкой
10.51.52.140 Кефир
10.82.23.240 Резинка жевательная
10.39.17.100 Овощи (кроме картофеля), консервированные без уксуса или уксусной кислоты, прочие (кроме готовых овощных блюд) ****</t>
  </si>
  <si>
    <t>За 3 ГОДА по 44ФЗ заключено 98 шт. с объемом НМЦ  396 942 649,69 ? с БГИ 61 701 208,45 ? с БГГО 98 752,92 ? с авансированием до 0,00 ? с комиссией банку 602 896,19 ? с кв 5 245,20 ?</t>
  </si>
  <si>
    <t>"223 за 3 года", ".", "все клиенты с выручкой от 1,8 млрд до бесконечности", "223 фз контракты 20+", "crm управления", "crm Пител", "поставщики маркер", "44 за 3 года"</t>
  </si>
  <si>
    <t>10.89.11.130 Заготовки для приготовления супов и бульонов
10.13.14.119 Изделия колбасные вареные мясные прочие
10.13.15.118 Блюда обеденные вторые мясные консервированные
10.20.25.110 Консервы рыбные
01.13.12.120 Капуста белокочанная
01.13.42.000 Чеснок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10.31.13.110 Хлопья и гранулы из картофеля, в том числе из сушеного картофеля
10.32.1 Соки из фруктов и овощей ****</t>
  </si>
  <si>
    <t>"поставщики маркер", ".", "fk1", "06.2022_ФинХД", "клиенты с в от100млн 09.21", "Пункт 3 09.01.23", "ФК клиенты с выручкой от 230 до бесконечности", "Обороты по клиентам по кварталам (2022г)", "Участники клиринга", "рейтинг по нмц маркер"</t>
  </si>
  <si>
    <t>Сообщение кредитора о намерении обратиться в суд с заявлением о банкротстве от 23.03.2022</t>
  </si>
  <si>
    <t>"это заказчик", ".", "ушедший портфель", "fk1", "ИНН 3 года - нет КД БГ на 01.10.22", "Список ушедший ", "просрочка на 01.01.2023 г.", "Запрос в ЮД_просрочка на 01.01.2023",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</si>
  <si>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10.82.23.240 Резинка жевательная
11.07.1 Воды минеральные и безалкогольные напитки
10.82.2 Шоколад и кондитерские сахаристые изделия
10.89.19 Продукты пищевые прочие, не включенные в другие группировки
10.32.21 Нектары фруктовые и (или) овощные</t>
  </si>
  <si>
    <t>41.20.40.900 Работы строительные по возведению нежилых зданий и сооружений прочие, не включенные в другие группировки
41.10.10.000 Документация проектная для строительства</t>
  </si>
  <si>
    <t>За весь период контрактов 9 шт. на общую сумму НМЦ 12 915 175 471,16 ?</t>
  </si>
  <si>
    <t>Сообщение кредитора о намерении обратиться в суд с заявлением о банкротстве от 17.02.2023</t>
  </si>
  <si>
    <t>"223 за 3 года", ".", "рейтинг поставщиков в маркере по бг", "Конкурсы 100+ (Восстановленный)", "все клиенты с выручкой от 1,8 млрд до бесконечности", "44 фз с с БГ от 10 млн", "рейтинг по нмц маркер", "crm управления", "в crm за Адеевым", "поставщики маркер", "44 за 3 года"</t>
  </si>
  <si>
    <t>41.20.40.900 Работы строительные по возведению нежилых зданий и сооружений прочие, не включенные в другие группировки
41.10.10.000 Документация проектная для строительства
41.20.20.180 Здания предприятий здравоохранения, науки и научного обслуживания, образования, культуры и искусства
62.09.10.000 Услуги по установке компьютеров и периферийного оборудования
71.12.12.190 Услуги по инженерно-техническому проектированию зданий прочие,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</si>
  <si>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2 158</t>
  </si>
  <si>
    <t>За весь период контрактов 4 шт. на общую сумму НМЦ 2 939 822 419,20 ?</t>
  </si>
  <si>
    <t>"223 за 3 года", ".", "рейтинг поставщиков в маркере по бг", "ГРАНДИОЗНЫЙ ПРОЕКТ", "рейтинг по нмц маркер", "это заказчик", "поставщики маркер", "44 за 3 года"</t>
  </si>
  <si>
    <t>20.11.11 Водород, аргон, газы инертные, азот и кислород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24.20.13 Трубы круглого сечения прочие стальные
43.11.10.000 Работы по сносу зданий и сооружений
19.20.31.110 Пропан сжиженный
43.2 Работы электромонтажные, работы по монтажу водопроводных и канализационных систем и прочие строительно-монтажные работы
20.11.11.150 Кислород
20.11.12.110 Диоксид углерода (газ углекислый)
20.11.11.121 Аргон газообразный</t>
  </si>
  <si>
    <t>1 242</t>
  </si>
  <si>
    <t>За весь период компания заключила  3 контрактов на сумму  1 581 424 152,51 ?</t>
  </si>
  <si>
    <t>"223 за 3 года", ".", "ушедший портфель", "п6", "fk1", "ИНН 3 года - нет КД БГ на 01.10.22", "Список ушедший ", "все клиенты с выручкой от 1,8 млрд до бесконечности", "ФК клиенты с выручкой от 230 до бесконечности", "Обороты по клиентам по кварталам (2022г)", "производители", "рейтинг по нмц маркер", "это заказчик", "поставщики маркер"</t>
  </si>
  <si>
    <t>28.14.12.110 Краны, клапаны для раковин, моек, биде, унитазов, ванн и аналогичная арматура
28.14.12.120 Клапаны для радиаторов центрального отопления
22.29 Изделия пластмассовые прочие
22.21.30.130 Полосы (ленты) пластмассовые, неармированные или не комбинированные с другими материалами
20.30.22.170 Герметики
24.20.13.130 Трубы стальные электросварные
24.20.3 Трубы сварные, наружным диаметром не более 406,4 мм, стальные
25.11.23.119 Конструкции и детали конструкций из черных металлов прочие, не включенные в другие группировки
25.21.11.140 Конвекторы отопительные чугунные
25.73.60.190 Инструмент прочий, не включенный в другие группировки ****</t>
  </si>
  <si>
    <t>"223 за 3 года", ".", "fk1", "Пункт 3.1 09.01.2023", "06.2022_ФинХД", "все клиенты с выручкой от 1,8 млрд до бесконечности", "производители", "поставщики маркер", "44 за 3 года"</t>
  </si>
  <si>
    <t>19.20.21.345 Топливо дизельное межсезонное экологического класса К5</t>
  </si>
  <si>
    <t>17.12 Бумага и картон
17.12.59.000 Картон немелованный прочий</t>
  </si>
  <si>
    <t>37.00.11 Услуги по удалению и очистке сточных отходов</t>
  </si>
  <si>
    <t>за 1 ГОД ПО 223ФЗ заключено 1  4 890 000,00 ?</t>
  </si>
  <si>
    <t>72.19.29.190 Услуги (работы), связанные с научными исследованиями и экспериментальными разработками в области технических наук и в области технологий, прочие, не включенные в другие группировки, кроме биотехнологии
28.29.8 Части прочего оборудования общего назначения, не включенного в другие группировки
28.13.31.112 Комплектующие (запасные части) насосов для ядерных установок и радиохимического производства, не имеющие самостоятельных группировок
27.33 Изделия электроустановочные</t>
  </si>
  <si>
    <t>За весь период контрактов 11 шт. на общую сумму НМЦ 2 123 431 616,96 ?</t>
  </si>
  <si>
    <t>Сообщение кредитора о намерении обратиться в суд с заявлением о банкротстве от 20.03.2020</t>
  </si>
  <si>
    <t>"223 за 3 года", ".", "рейтинг поставщиков в маркере по бг", "все клиенты с выручкой от 1,8 млрд до бесконечности", "рейтинг заказчиков маркер", "производители", "рейтинг по нмц маркер"</t>
  </si>
  <si>
    <t>ЗА 3 ГОДА ПО 223 ФЗ заключено 2 шт. с объемом НМЦ 170 000 000,00 ?</t>
  </si>
  <si>
    <t>49.31.21 Услуги по регулярным перевозкам пассажиров сухопутным транспортом прочие
49.39.39 Услуги по перевозке пассажиров сухопутным транспортом прочие, не включенные в другие группировки</t>
  </si>
  <si>
    <t>06.20.10 Газ природный в газообразном или сжиженном состоянии
19.20.32.190 Углеводороды газообразные, кроме природного газа</t>
  </si>
  <si>
    <t>За весь период компания заключила  8 контрактов на сумму  108 328 217 715,06 ?</t>
  </si>
  <si>
    <t>10.86.10.231 Соки овощные и овощефруктовые для детского питания
21.20.23.110 Реагенты диагностические
21.20.23.113 Средства радиофармацевтические диагностические
21.20.23.199 Средства нелечебные прочие
21.20.24.140 Пакеты перевязочные медицинские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21.20.10.118 Препараты, способствующие пищеварению, включая ферментные препараты
21.20.10.133 Препараты антианемические
21.20.10.155 Препараты для лечения псориаза ****</t>
  </si>
  <si>
    <t>За весь период компания заключила  15 контрактов на сумму  900 402 021,40 ? За весь период заходили в конкурсы  126 раз на общую сумму обеспеченных контрактов с НМЦ 5 501 858 765,12 ? с БГУ  198 987 824,73 ? с БГИ 915 782 983,14 ? За 3 ГОДА по 44ФЗ заключено 3159 шт. с объемом НМЦ  7 939 447 385,30 ? с БГИ 822 958 928,65 ? с БГГО 40 738 970,11 ? с авансированием до 229 974 055,31 ? с комиссией банку 11 449 845,51 ? с кв 99 613,66 ? ЗА 1 ГОД по 44ФЗ заключено 1097 шт. c объемом НМЦ 3 238 706 929,22 ? с БГИ 335 358 419,70 ? с БГГО 5 896 761,94 ? с авансированием до  112 155 657,12 ? с комиссией банку  5 356 758,28 ? с кв 46 603,80 ? ЗА 3 ГОДА ПО 223 ФЗ заключено 26 шт. с объемом НМЦ 4 027 357 970,75 ? за 1 ГОД ПО 223ФЗ заключено 7  4 000 980 894,37 ?</t>
  </si>
  <si>
    <t>"223 за 3 года", ".", "рейтинг поставщиков в маркере по бг", "Конкурсы 100+ (Восстановленный)", "все клиенты с выручкой от 1,8 млрд до бесконечности", "223 фз контракты 20+", "44 фз с с БГ от 10 млн", "производители", "рейтинг по нмц маркер", "поставщики маркер", "44 за 3 года"</t>
  </si>
  <si>
    <t>23.20.11 Кирпичи, блоки, плитки и прочие керамические изделия из кремнеземистой каменной муки или диатомитовых земель
08.91.19.140 Шпат плавиковый (флюорит)
23.20.1 Изделия огнеупорные
23.20.11.190 Изделия огнеупорные прочие из кремнеземистой каменной муки или диатомитовых земель</t>
  </si>
  <si>
    <t>26.70.25.000 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
26.20.16.150 Сканеры
26.30.30.000 Части и комплектующие коммуникационного оборудования
28.99.39.190 Оборудование специального назначения прочее, не включенное в другие группировки
26.20.30.000 Устройства автоматической обработки данных прочие
28.23.23.000 Машины офисные прочие
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26.20.16.120 Принтеры
18.12.19.190 Услуги печатные прочие, не включенные в другие группировки
26.20.17.110 Мониторы, подключаемые к компьютеру ****</t>
  </si>
  <si>
    <t>ЗА 3 ГОДА ПО 223 ФЗ заключено 1 шт. с объемом НМЦ 553 014 562,76 ? за 1 ГОД ПО 223ФЗ заключено 1  553 014 562,76 ?</t>
  </si>
  <si>
    <t>"223 за 3 года", ".", "все клиенты с выручкой от 1,8 млрд до бесконечности", "223 фз контракты 20+"</t>
  </si>
  <si>
    <t>32.50.21.129 Оборудование дыхательное прочее, не включенное в другие группировки</t>
  </si>
  <si>
    <t>За 3 года по 223ФЗ заключено  5 шт контрактов на сумму 49 057 366,86 ?</t>
  </si>
  <si>
    <t>"223 за 3 года", ".",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 "поставщики маркер"</t>
  </si>
  <si>
    <t>35.30.11.120 Энергия тепловая, отпущенная котельными
36.00.20.130 Услуги по транспортированию и распределению воды по водопроводам
36.00.11.000 Вода питьевая</t>
  </si>
  <si>
    <t>23.31 Плиты и плитки керамические</t>
  </si>
  <si>
    <t>1 973</t>
  </si>
  <si>
    <t>28.13.24.000 Компрессоры воздушные передвижные на колесных шасси</t>
  </si>
  <si>
    <t>28.41 Оборудование металлообрабатывающее
28.41.12.130 Станки многофункциональные металлообрабатывающие
28.41.2 Станки токарные, расточные и фрезерные металлорежущие
28.41.21.120 Станки токарные металлорежущие с числовым программным управлением
28.41.22.130 Станки фрезерные металлорежущие
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
28.41.12.110 Центры металлообрабатывающие
28.41.24.190 Станки для прочих видов обработки металлов резанием
28.41.24 Станки продольно-строгальные, пильные, отрезные или станки для прочей резки металла</t>
  </si>
  <si>
    <t>За весь период компания заключила  10 контрактов на сумму  740 538 166,08 ? За весь период заходили в конкурсы  18 раз на общую сумму обеспеченных контрактов с НМЦ 1 447 149 368,54 ? с БГУ  62 672 967,87 ? с БГИ 1 144 157 890,36 ?               ЗА 1 ГОД по 44ФЗ заключено 1 шт. c объемом НМЦ 32 570 000,00 ? с БГИ 3 257 000,00 ? с БГГО 325 700,00 ? с авансированием до  9 771 000,00 ? с комиссией банку  109 756,44 ? с кв 954,88 ?</t>
  </si>
  <si>
    <t>"44 за 3 года", "кл фт прямые бг 04.22", "свод фт", ".", "рейтинг поставщиков в маркере по бг", "УПП на 2 номер", "fk1", "клиенты управления по БГ без открытых счетов", "райф", "2. Финтендер 2022 31.03.22 Григорян для СПАРК", "Премия 4 кв 22 г.бг", "все клиенты с выручкой от 1,8 млрд до бесконечности", "клиенты от 100 млн", "ФТ клиенты с продуктами по сотрудникам", "производители", "рейтинг по нмц маркер", "на фт заводил Меркулов", "на фт заводил Курилин", "на фт заводил Данченко", "на фт заводил Бесков", "поставщики маркер"</t>
  </si>
  <si>
    <t>21.20.10.191 Препараты антибактериальные для системного использования
21.20.10 Препараты лекарственные
21.20.10.194 Препараты противовирусные для системного применения</t>
  </si>
  <si>
    <t>За весь период компания заключила  2 контрактов на сумму  1 393 468 044,54 ?</t>
  </si>
  <si>
    <t>"производители", ".", "клиент металлинвеста"</t>
  </si>
  <si>
    <t>"поставщики маркер", ".",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t>
  </si>
  <si>
    <t>Сообщения о принятии решения о реорганизации от 05.03.2022</t>
  </si>
  <si>
    <t>33.12.19.000 Услуги по ремонту и техническому обслуживанию прочего оборудования общего назначения, не включенного в другие группировки</t>
  </si>
  <si>
    <t>За весь период контрактов 2 шт. на общую сумму НМЦ 3 495 961 521,36 ?</t>
  </si>
  <si>
    <t>"223 за 3 года", ".", "Конкурсы 100+ (Восстановленный)", "производители", "рейтинг по нмц маркер", "crm управления", "в crm за Рябовым", "поставщики маркер"</t>
  </si>
  <si>
    <t>20.51 Вещества взрывчатые
20.51.1 Вещества взрывчатые готовые; шнуры огнепроводные и детонирующие; детонаторы; запалы; электродетонаторы; пиропатроны; фейерверки
20.51.11.000 Пороха и готовые взрывчатые вещества
20.51.99 Услуги по производству взрывчатых веществ отдельные, выполняемые субподрядчиком</t>
  </si>
  <si>
    <t>За весь период компания заключила  4 контрактов на сумму  1 208 638 169,76 ?</t>
  </si>
  <si>
    <t>"223 за 3 года", ".", "ушедшие", "рейтинг по нмц маркер", "это заказчик", "поставщики маркер"</t>
  </si>
  <si>
    <t>10.91.10.181 Комбикорма для крупного рогатого скота</t>
  </si>
  <si>
    <t>"в crm за Чимровым", ".", "ушедший портфель", "п6", "ИНН 3 года - нет КД БГ на 01.10.22", "Список ушедший ", "клиенты с в от100млн 09.21", "все клиенты с выручкой от 1,8 млрд до бесконечности", "ФК клиенты с выручкой от 230 до бесконечности", "это заказчик", "crm управления"</t>
  </si>
  <si>
    <t>43.99.90.190 Работы строительные специализированные прочие, не включенные в другие группировки
41.20 Здания и работы по возведению зданий
42.12 Дороги железные наземные и подземные; строительные работы по строительству наземных и подземных железных дорог
42.13 Мосты и тоннели; строительные работы по строительству мостов и тоннелей
43.9 Работы строительные специализированные прочие
42.12.10 Дороги железные наземные и подземные
43 Работы строительные специализированные</t>
  </si>
  <si>
    <t>За весь период контрактов 11 шт. на общую сумму НМЦ 3 260 262 989,50 ?</t>
  </si>
  <si>
    <t>28.13.11.140 Бетононасосы
46.73.16.000 Услуги по оптовой торговле прочими строительными материалами и изделиями
25.94 Изделия крепежные и винты крепежные
51.21.14.000 Услуги по перевозке прочих грузов воздушным транспортом на нерегулярной основе
25.9 Изделия металлические готовые прочие
23.99.19 Продукция минеральная неметаллическая, не включенная в другие группировки
25 Изделия металлические готовые, кроме машин и оборудования</t>
  </si>
  <si>
    <t>ЗА 3 ГОДА ПО 223 ФЗ заключено 4 шт. с объемом НМЦ 112 951 839,85 ?</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</si>
  <si>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 Работы строительные по строительству коммунальных объектов для электроснабжения и телекоммуникаций
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43.99.90.190 Работы строительные специализированные прочие, не включенные в другие группировки
35.11.10.112 Электроэнергия, произведенная теплоэлектроцентралями (ТЭЦ) общего назначения
43.22.20.000 Работы по монтажу газовых систем
43.21.10.130 Работы по монтажу сетей электроосвещения и электроснабжения и электроарматуры для систем аварийного электроснабжения ****</t>
  </si>
  <si>
    <t>За весь период контрактов 104 шт. на общую сумму НМЦ 24 705 669 577,67 ?</t>
  </si>
  <si>
    <t>"223 за 3 года", ".", "рейтинг поставщиков в маркере по бг", "fk1", "06.2022_ФинХД", "все клиенты с выручкой от 1,8 млрд до бесконечности", "223 фз контракты 20+", "44 фз с с БГ от 10 млн", "рейтинг заказчиков маркер", "производители", "рейтинг по нмц маркер", "это заказчик", "поставщики маркер", "44 за 3 года"</t>
  </si>
  <si>
    <t>05.10.10.132 Уголь марки ДГ - длиннопламенный газовый
05.10.10.133 Уголь марки Г - газовый
05.10.10.131 Уголь марки Д - длиннопламенный</t>
  </si>
  <si>
    <t>За весь период компания заключила  7 контрактов на сумму  357 336 939,03 ? За весь период заходили в конкурсы  3 раз на общую сумму обеспеченных контрактов с НМЦ 120 269 368,00 ? с БГУ  938 549,76 ? с БГИ 18 770 994,90 ?                             ЗА 3 ГОДА ПО 223 ФЗ заключено 1 шт. с объемом НМЦ 93 465 588,96 ?</t>
  </si>
  <si>
    <t>33.12.29.900 Услуги по ремонту и техническому обслуживанию прочего оборудования специального назначения, не включенные в другие группировки
33.20.1 Услуги по монтажу металлоизделий, кроме машин и оборудования
35.11 Электроэнергия</t>
  </si>
  <si>
    <t>За весь период компания заключила  28 контрактов на сумму  15 008 306 675,96 ? За весь период заходили в конкурсы  2 раз на общую сумму обеспеченных контрактов с НМЦ 130 941 145,63 ? с БГУ  2 781 040,00 ? с БГИ 27 810 400,00 ?</t>
  </si>
  <si>
    <t>"44 за 3 года", "кл фт прямые бг 04.22", "свод фт", ".", "рейтинг поставщиков в маркере по бг", "Одобренные но не выданные 1 полугодие 2021(прямые)", "УПП на 2 номер", "fk1", "клиенты управления по БГ без открытых счетов", "2. Финтендер 2022 31.03.22 Григорян для СПАРК", "все клиенты с выручкой от 1,8 млрд до бесконечности", "портфель", "клиенты от 100 млн", "ФТ клиенты с продуктами по сотрудникам", "44 фз с с БГ от 10 млн", "производители", "рейтинг по нмц маркер", "на фт заводил Федоров", "поставщики маркер"</t>
  </si>
  <si>
    <t>24.42.23.000 Проволока алюминиевая
24.4 Металлы основные драгоценные и цветные прочие; топливо ядерное переработанное</t>
  </si>
  <si>
    <t>"рейтинг по нмц маркер", ".", "инн Вавилова", "fk1",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</si>
  <si>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24.42.22.110 Прутки из алюминия или алюминиевых сплавов
24.43.23.140 Плиты и листы цинковые
24.44 Медь
24.45.30.140 Магний и изделия из него, сплавы на основе магния, порошки
24 Металлы основные
25.11.23.119 Конструкции и детали конструкций из черных металлов прочие, не включенные в другие группировки
24.45.30.230 Цирконий и изделия из него, сплавы на основе циркония, порошки
25.93.15.110 Проволока, прутки присадочные, стержни, пластины
25.94.11.120 Шурупы из черных металлов
27.11.41.000 Трансформаторы с жидким диэлектриком ****</t>
  </si>
  <si>
    <t>ЗА 3 ГОДА ПО 223 ФЗ заключено 32 шт. с объемом НМЦ 47 599 449,55 ? за 1 ГОД ПО 223ФЗ заключено 6  27 982 380,05 ?</t>
  </si>
  <si>
    <t>"223 за 3 года", ".", "все клиенты с выручкой от 1,8 млрд до бесконечности", "223 фз контракты 20+", "рейтинг по нмц маркер", "crm управления", "в crm за Ким", "поставщики маркер", "44 за 3 года"</t>
  </si>
  <si>
    <t>25.62 Услуги по обработке металлических изделий с использованием основных технологических процессов машиностроения
25.62.20.000 Услуги по обработке металлических изделий с использованием прочих основных технологических процессов машиностроения
25.11.99.000 Услуги по производству металлоконструкций и их частей отдельные, выполняемые субподрядчиком</t>
  </si>
  <si>
    <t>58.11.11.000 Учебники печатные общеобразовательного назначения</t>
  </si>
  <si>
    <t>26.51.43.116 Приборы цифровые электроизмерительные комбинированные
26.51.45.190 Приборы и аппаратура для измерения или контроля электрических величин прочие, не включенные в другие группировки
26.51.63.130 Счетчики производства или потребления электроэнергии
42.22.22.120 Работы строительные по строительству трансформаторных станций и подстанций для распределения электричества в пределах какого-либо района
71.12.40.120 Услуги в области метрологии
26.30.50.112 Устройства приемно-контрольные охранные и охранно-пожарные
26.30.50.123 Станции пожарной сигнализации, приборы управления и оповещатели пожарные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33.20 Услуги по монтажу промышленных машин и оборудования ****</t>
  </si>
  <si>
    <t>За весь период компания заключила  21 контрактов на сумму  1 244 427 913,56 ?                                     ЗА 3 ГОДА ПО 223 ФЗ заключено 40 шт. с объемом НМЦ 411 689 793,76 ? за 1 ГОД ПО 223ФЗ заключено 12  54 974 264,80 ?</t>
  </si>
  <si>
    <t>"223 за 3 года", ".", "все клиенты с выручкой от 1,8 млрд до бесконечности", "ФК клиенты с выручкой от 230 до бесконечности", "223 фз контракты 20+", "производители", "рейтинг по нмц маркер", "поставщики маркер"</t>
  </si>
  <si>
    <t>27.52.11 Приборы бытовые неэлектрические для приготовления пищи и подогрева тарелок из черных металлов или меди
27.51.11.120 Морозильники бытовые</t>
  </si>
  <si>
    <t>20.20.14.000 Средства дезинфекционные
21.10.31.120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21.10.40.110 Сахара химически чистые, не включенные в другие группировки</t>
  </si>
  <si>
    <t>30.30.5 Части летательных и космических аппаратов прочие</t>
  </si>
  <si>
    <t>"ИНН ФК 1 часть"</t>
  </si>
  <si>
    <t>"клиенты 09.21 от 18 до 100млн", ".", "fk1"</t>
  </si>
  <si>
    <t>25.93.12.110 Проволока колючая из черных металлов
20.13 Вещества химические неорганические основные прочие
28.14.13.110 Клапаны запорные
28.12 Оборудование гидравлическое и пневматическое силовое
28.14 Арматура трубопроводная (арматура) (краны, клапаны и прочие)
23 Продукты минеральные неметаллические прочие
24.20.14.120 Профили пустотелые стальные
24.51 Услуги по литью чугуна
25.11.23.110 Конструкции и детали конструкций из черных металлов
24.10.23.190 Полуфабрикаты прочие из прочих легированных сталей ****</t>
  </si>
  <si>
    <t>"ФК клиенты с выручкой от 230 до бесконечности", ".", "fk1", "закрыли счет", "клиенты с в от100млн 09.21", "все клиенты с выручкой от 1,8 млрд до бесконечности"</t>
  </si>
  <si>
    <t>24.10.62.124 Прокат сортовой горячекатаный полосовой прочий, без дополнительной обработки, включая смотанный после прокатки, из нелегированных сталей
24.10.66.110 Сталь кованая из прочих легированных сталей, без дополнительной обработки
24.10.80.190 Прокат черных металлов прочий, не включенный в другие группировки
24.10.21.141 Полуфабрикаты, полученные непрерывным литьем круглого или многоугольного сечения из нелегированной стали
24.20.13.130 Трубы стальные электросварные
24.10.21.149 Полуфабрикаты круглого или многоугольного сечения из нелегированной стали прочие
24.10.22.119 Формы первичные из нержавеющей стали прочие
25.11.23.119 Конструкции и детали конструкций из черных металлов прочие, не включенные в другие группировки
25.93.11.140 Стропы и аналогичные изделия из черных металлов без электрической изоляции
25.93.15.120 Электроды с покрытием ****</t>
  </si>
  <si>
    <t>"44 за 3 года", ".", "fk1", "ПОС на 01.02.2023", "ПОС на 03.04.2023", "Кредитный портфель_01.11", "06.2022_ФинХД", "Пункт 3 09.01.23", "Действующий клиент мсб с выр от 30 млн на 05.21", "все клиенты с выручкой от 1,8 млрд до бесконечности", "ФК клиенты с выручкой от 230 до бесконечности", "Обороты по клиентам по кварталам (2022г)", "поставщики маркер"</t>
  </si>
  <si>
    <t>24.10.62.124 Прокат сортовой горячекатаный полосовой прочий, без дополнительной обработки, включая смотанный после прокатки, из нелегированных сталей
24.10.71.120 Двутавры стальные горячекатаные из нелегированных сталей
24 Металлы основные
24.20.13.130 Трубы стальные электросварные
24.10.62.121 Прокат сортовой горячекатаный круглый прочий, без дополнительной обработки, включая смотанный после прокатки, из нелегированных сталей
24.10.62.123 Прокат сортовой горячекатаный шестигранный прочий, без дополнительной обработки, включая смотанный после прокатки, из нелегированных сталей
24.42.22 Прутки, катанка и профили из алюминия или алюминиевых сплавов
24.10.2 Сталь
24.10.33.000 Прокат листовой горячекатаный из нержавеющих сталей, без дополнительной обработки, шириной не менее 600 мм
24.10.64 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 ****</t>
  </si>
  <si>
    <t>1 009</t>
  </si>
  <si>
    <t>"поставщики маркер", ".", "выдали", "fk1", "просрочка на 01.01.2023 г.", "Запрос в ЮД_просрочка на 01.01.2023", "06.2022_ФинХД", "все клиенты с выручкой от 1,8 млрд до бесконечности"</t>
  </si>
  <si>
    <t>22.29 Изделия пластмассовые прочие
20.42.15.142 Кремы для ног
21.20.23.199 Средства нелечебные прочие
13.99 Изделия текстильные прочие, не включенные в другие группировки
21 Средства лекарственные и материалы, применяемые в медицинских целях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t>
  </si>
  <si>
    <t>Гарантия завершена
Гарантия отправлена</t>
  </si>
  <si>
    <t>Сообщение кредитора о намерении обратиться в суд с заявлением о банкротстве от 02.05.2023</t>
  </si>
  <si>
    <t>"223 за 3 года", "кл фт прямые бг 04.22", "свод фт", ".", "рейтинг поставщиков в маркере по бг", "fk1", "корп 2", "Евразия_июлль-август 2019", "клиенты с в от100млн 09.21", "все клиенты с выручкой от 1,8 млрд до бесконечности", "ФК клиенты с выручкой от 230 до бесконечности", "ФТ клиенты с продуктами по сотрудникам", "производители", "рейтинг по нмц маркер", "на фт заводил Хацкевич", "на фт заводил Данченко", "поставщики маркер", "44 за 3 года"</t>
  </si>
  <si>
    <t>24.43.23.120 Профили цинковые
24.43.23.140 Плиты и листы цинковые
20.30.22.170 Герметики
24.10.62.190 Прокат сортовой прочий, без дополнительной обработки, включая смотанный после прокатки, из нелегированных сталей
24.20.13.190 Трубы круглого сечения прочие стальные
25.1 Металлоконструкции строительные
24.10.33.000 Прокат листовой горячекатаный из нержавеющих сталей, без дополнительной обработки, шириной не менее 600 мм
24.20.14.110 Трубы некруглого сечения стальные
24.20.14.120 Профили пустотелые стальные
24.10.52.000 Прокат листовой из прочих легированных сталей, шириной не менее 600 мм, плакированный, с гальваническим или иным покрытием ****</t>
  </si>
  <si>
    <t>"223 за 3 года", ".", "производители", "44 за 3 года"</t>
  </si>
  <si>
    <t>28.13.14.110 Насосы центробежные подачи жидкостей прочие
27.51.25.110 Водонагреватели проточные и накопительные электрические</t>
  </si>
  <si>
    <t>За весь период компания заключила  1 контрактов на сумму  1 063 310 012,87 ?</t>
  </si>
  <si>
    <t>"поставщики маркер", ".", "fk1", "ФК клиенты с выручкой от 230 до бесконечности", "рейтинг по нмц маркер"</t>
  </si>
  <si>
    <t>35.11 Электроэнергия</t>
  </si>
  <si>
    <t>За весь период компания заключила  2 контрактов на сумму  914 857 061,50 ?                                     ЗА 3 ГОДА ПО 223 ФЗ заключено 12 шт. с объемом НМЦ 1 952 420 185,44 ?</t>
  </si>
  <si>
    <t>35.30.11.130 Энергия тепловая, отпущенная электрокотлами
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35.30.11.110 Энергия тепловая, отпущенная электростанциями
35.30.11.112 Энергия тепловая, отпущенная атомными электростанциями (АЭС)
35.30.11.140 Энергия тепловая, отпущенная промышленными утилизационными установками ****</t>
  </si>
  <si>
    <t>За весь период компания заключила  8 контрактов на сумму  532 025 184,23 ?                                     ЗА 3 ГОДА ПО 223 ФЗ заключено 2 шт. с объемом НМЦ 669 183 482,82 ?</t>
  </si>
  <si>
    <t>Юридическое лицо находится в процессе реорганизации в форме присоединения к нему других юридических лиц от 15.02.2023, Сообщение кредитора о намерении обратиться в суд с заявлением о банкротстве от 26.04.2019</t>
  </si>
  <si>
    <t>42.22.22.110 Работы строительные по прокладке местных линий электропередачи и связи над землей или под землей
42.22.22.120 Работы строительные по строительству трансформаторных станций и подстанций для распределения электричества в пределах какого-либо района
42.22.21.130 Работы строительные по прокладке надземных линий связи значительной протяженности и по их ремонту
42.22 Сооружения и строительные работы по строительству коммунальных объектов для электроснабжения и связи
42.22.21.120 Работы строительные по прокладке подводных или подземных линий электропередачи значительной протяженности и по их ремонту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t>
  </si>
  <si>
    <t>"223 за 3 года", "кл фт агент бг 04.22", "свод фт", ".", "ГРАНДИОЗНЫЙ ПРОЕКТ 223", "Рассрочка КВ Март 2023", "fk1", "Гарантии ФБ банкроты",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"Одобренные но не выданные 1 полугодие 2021", "ФТ клиенты с продуктами по сотрудникам", "223 фз контракты 20+", "рейтинг по нмц маркер", "это заказчик", "на фт заводил Шутов", "поставщики маркер"</t>
  </si>
  <si>
    <t>"223 за 3 года", ".", "Участники клиринга"</t>
  </si>
  <si>
    <t>29.10.59.130 Средства транспортные для коммунального хозяйства и содержания дорог</t>
  </si>
  <si>
    <t>Сообщение кредитора о намерении обратиться в суд с заявлением о банкротстве от 22.10.2019</t>
  </si>
  <si>
    <t>77.12.1 Услуги по аренде и лизингу грузовых транспортных средств
77.12.11.000 Услуги по аренде и лизингу грузовых транспортных средств без водителя</t>
  </si>
  <si>
    <t>За весь период контрактов 3 шт. на общую сумму НМЦ 1 411 398 333,42 ?</t>
  </si>
  <si>
    <t>"223 за 3 года", ".", "рейтинг поставщиков в маркере по бг", "ПСБ Гарантии ", "рейтинг заказчиков маркер", "рейтинг по нмц маркер", "это заказчик"</t>
  </si>
  <si>
    <t>31.01.12.160 Мебель для сидения, преимущественно с деревянным каркасом
41.20.40.900 Работы строительные по возведению нежилых зданий и сооружений прочие, не включенные в другие группировки
43.29.11.120 Работы по теплоизоляции трубопроводов для подачи горячей или охлажденной воды, котлов и трубных разводок
43.12.11.190 Работы земляные прочие, не включенные в другие группировки
25.11.10.000 Здания сборные из металла
33.20.39.900 Услуги по монтажу прочего оборудования специального назначения, не включенные в другие группировки</t>
  </si>
  <si>
    <t>За весь период контрактов 4 шт. на общую сумму НМЦ 2 843 055 339,95 ?</t>
  </si>
  <si>
    <t>"44 за 3 года", ".", "рейтинг поставщиков в маркере по бг", "рейтинг по нмц маркер", "crm управления", "в crm за Чимровым", "поставщики маркер"</t>
  </si>
  <si>
    <t>28.13.11.110 Насосы топливные
28.15.10.140 Подшипники шарнирные
28.15.25.110 Маховики
28.15.26.140 Муфты гидродинамические
28.15.39.110 Детали подшипников, не включенные в другие группировки
22.11.11.000 Шины и покрышки пневматические для легковых автомобилей новые
22.19.73.113 Манжеты резинометаллические
28.22.19.190 Комплектующие (запасные части) прочего подъемно-транспортного и погрузочно-разгрузочного оборудования, не имеющие самостоятельных группировок
29.31.22.190 Оборудование электрическое прочее для транспортных средств, не включенное в другие группировки
45.31.1 Услуги по оптовой торговле автомобильными деталями, узлами и принадлежностями ****</t>
  </si>
  <si>
    <t>За весь период компания заключила  2 контрактов на сумму  604 143 840,00 ? За весь период заходили в конкурсы  1 раз на общую сумму обеспеченных контрактов с НМЦ 604 143 840,00 ? с БГУ  6 133 440,00 ? с БГИ 30 667 200,00 ?                             ЗА 3 ГОДА ПО 223 ФЗ заключено 17 шт. с объемом НМЦ 35 782 040,00 ? за 1 ГОД ПО 223ФЗ заключено 8  28 489 080,00 ?</t>
  </si>
  <si>
    <t>"223 за 3 года", ".", "рейтинг поставщиков в маркере по бг", "Конкурсы 100+ (Восстановленный)", "все клиенты с выручкой от 1,8 млрд до бесконечности", "рейтинг по нмц маркер", "crm управления", "в crm за Эльшаном", "поставщики маркер", "44 за 3 года"</t>
  </si>
  <si>
    <t>27.32.13.143 Кабели контрольные
27.32.13.131 Провода силовые для электрических установок
27.32.14.111 Кабели силовые с медной жилой на напряжение более 1 кВ
27.32.14.112 Кабели силовые с алюминиевой жилой на напряжение более 1 кВ
27.32.13.133 Провода и шнуры осветительные
27.33.13.120 Соединители электрические, зажимы контактные, наборы зажимов
27.32.13.124 Кабели силовые гибкие общего назначения
27.32.13.111 Кабели силовые с медной жилой на напряжение до 1 кВ
27.32.13.135 Провода силовые общего назначения
27.32.14.120 Провода для воздушных линий электропередач</t>
  </si>
  <si>
    <t>За весь период компания заключила  2 контрактов на сумму  294 627 284,72 ?                                         за 1 ГОД ПО 223ФЗ заключено 1  13 000 000,00 ?</t>
  </si>
  <si>
    <t>21.20.10.133 Препараты антианемические
21.20.10.191 Препараты антибактериальные для системного использования
21.20.10.213 Иммуномодуляторы
21.20.10.132 Гемостатики
21.20.10.194 Препараты противовирусные для системного применения
21.20.10.131 Антикоагулянты
21.20.10.254 Препараты для лечения обструктивных заболеваний дыхательных путей
21.20.23.192 Продукты терапевтические прочие
21.10.52.110 Гормоны и их производные
21.20.10.214 Иммунодепрессанты ****</t>
  </si>
  <si>
    <t>За весь период компания заключила  3 контрактов на сумму  7 451 123 359,76 ? За весь период заходили в конкурсы  3 раз на общую сумму обеспеченных контрактов с НМЦ 7 451 123 359,76 ? с БГУ  39 511 419,82 ? с БГИ 150 000 000,00 ?</t>
  </si>
  <si>
    <t>За весь период контрактов 2 шт. на общую сумму НМЦ 640 992 102,76 ?</t>
  </si>
  <si>
    <t>На 29.03.2023 12:01 имеются действующие решения ФНС о приостановлении операций по счетам, Сообщение кредитора о намерении обратиться в суд с заявлением о банкротстве от 14.04.2023</t>
  </si>
  <si>
    <t>Сообщение кредитора о намерении обратиться в суд с заявлением о банкротстве от 20.12.2019</t>
  </si>
  <si>
    <t>19.20.21.341 Топливо дизельное межсезонное вне классов
19.2 Нефтепродукты
19.20.21.124 Бензин автомобильный с октановым числом более 92, но не более 95 по исследовательскому методу экологического класса К4
19.20.21.321 Топливо дизельное зимнее вне классов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19.20.21.125 Бензин автомобильный с октановым числом более 92, но не более 95 по исследовательскому методу экологического класса К5
19.20.21.340 Топливо дизельное межсезонное
19.20.21.114 Бензин автомобильный с октановым числом не менее 80, но не более 92 по исследовательскому методу экологического класса К4 ****</t>
  </si>
  <si>
    <t>ЗА 3 ГОДА ПО 223 ФЗ заключено 19 шт. с объемом НМЦ 282 877 442,80 ? за 1 ГОД ПО 223ФЗ заключено 7  45 373 724,80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</si>
  <si>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35.11.10.114 Электроэнергия, произведенная дизельными электростанциями (ДЭС) общего назначения ****</t>
  </si>
  <si>
    <t>За весь период компания заключила  11 контрактов на сумму  2 276 817 884,92 ?                                     ЗА 3 ГОДА ПО 223 ФЗ заключено 10 шт. с объемом НМЦ 162 968 695,89 ?</t>
  </si>
  <si>
    <t>5 272</t>
  </si>
  <si>
    <t>"поставщики маркер", ".", "fk1", "корп 2",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</si>
  <si>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ЗА 3 ГОДА ПО 223 ФЗ заключено 3 шт. с объемом НМЦ 34 280 209,38 ? за 1 ГОД ПО 223ФЗ заключено 2  20 393 571,31 ?</t>
  </si>
  <si>
    <t>"223 за 3 года", ".", "беники", "производители", "это заказчик",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</si>
  <si>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41.20.40.900 Работы строительные по возведению нежилых зданий и сооружений прочие, не включенные в другие группировки
42.13.10.140 Тоннели для подземного железнодорожного движения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t>
  </si>
  <si>
    <t>За весь период контрактов 61 шт. на общую сумму НМЦ 171 649 966 325,87 ?</t>
  </si>
  <si>
    <t>На 16.01.2023 14:27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01.02.2023, Сообщение кредитора о намерении обратиться в суд с заявлением о банкротстве от 19.10.2022</t>
  </si>
  <si>
    <t>"44 за 3 года", ".", "рейтинг поставщиков в маркере по бг", "компании Герберта", "производители", "рейтинг по нмц маркер", "crm управления", "в crm за Муслимом", "поставщики маркер"</t>
  </si>
  <si>
    <t>43.22.12.160 Работы по установке приборов учета расхода тепловой энергии
43.99.90.190 Работы строительные специализированные прочие, не включенные в другие группировки
43.39.19.190 Работы завершающие и отделочные в зданиях и сооружениях, прочие, не включенные в другие группировки
35.30.12.130 Услуги по транспортированию горячей воды
43.3 Работы завершающие и отделочные в зданиях и сооружениях
68.20.12.000 Услуги по сдаче в аренду (внаем) собственных или арендованных нежилых помещений</t>
  </si>
  <si>
    <t>За весь период компания заключила  5 контрактов на сумму  1 564 154 183,42 ? За весь период заходили в конкурсы  2 раз на общую сумму обеспеченных контрактов с НМЦ 66 779 361,73 ? с БГУ  6 677 936,18 ? с БГИ 40 067 617,04 ?</t>
  </si>
  <si>
    <t>Сообщение кредитора о намерении обратиться в суд с заявлением о банкротстве от 07.03.2023</t>
  </si>
  <si>
    <t>"поставщики маркер", "кл фт агент бг 04.22", "свод фт", ".", "рейтинг поставщиков в маркере по бг", "портфель 51", "fk1", "06.2022_ФинХД", "клиенты с в от100млн 09.21", "все клиенты с выручкой от 1,8 млрд до бесконечности", "ФК клиенты с выручкой от 230 до бесконечности", "действующие б не прям", "Обороты по клиентам по кварталам (2022г)", "ФТ клиенты с продуктами по сотрудникам", "рейтинг по нмц маркер", "на фт заводил Кашин", "на фт заводил Алиев"</t>
  </si>
  <si>
    <t>"223 за 3 года", ".", "беники", "производители"</t>
  </si>
  <si>
    <t>Сообщения о принятии решения о реорганизации от 25.08.2022</t>
  </si>
  <si>
    <t>За весь период контрактов 5 шт. с общей суммой НМЦ 476 146 464,05 ? с БГУ 8659424,15 и БГИ 86 594 241,50 ?</t>
  </si>
  <si>
    <t>ЗА 3 ГОДА ПО 223 ФЗ заключено 49 шт. с объемом НМЦ 12 967 278 871,87 ? за 1 ГОД ПО 223ФЗ заключено 3  136 640 289,60 ?</t>
  </si>
  <si>
    <t>За весь период заходили в конкурсы  1 раз на общую сумму обеспеченных контрактов с НМЦ 128 036 120,00 ? с БГУ  6 599 800,00 ? с БГИ 39 598 800,00 ?                             ЗА 3 ГОДА ПО 223 ФЗ заключено 40 шт. с объемом НМЦ 26 329 452 526,66 ? за 1 ГОД ПО 223ФЗ заключено 7  1 409 594 931,94 ?</t>
  </si>
  <si>
    <t>"223 за 3 года", ".", "рейтинг поставщиков в маркере по бг", "Конкурсы 100+ (Восстановленный)", "fk1", "ПОС на 03.04.2023", "Кредитный портфель_01.11", "Гарантии ФБ банкроты", "клиенты от 100 млн", "223 фз контракты 20+", "crm управления", "в crm за Кашиным", "поставщики маркер"</t>
  </si>
  <si>
    <t>37.00.11.110 Услуги по водоотведению сточных вод
35.11.10.112 Электроэнергия, произведенная теплоэлектроцентралями (ТЭЦ) общего назначения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37.00.12.120 Услуги по обработке туалетов с химической стерилизацией
35.30.11 Пар и горячая вода
35.30.11.120 Энергия тепловая, отпущенная котельными ****</t>
  </si>
  <si>
    <t>За весь период контрактов 12 шт. на общую сумму НМЦ 3 767 086 842,68 ?</t>
  </si>
  <si>
    <t>23.61.12.142 Плиты перекрытий железобетонные
23.61.12 Блоки и прочие изделия сборные строительные для зданий и сооружений из цемента, бетона или искусственного камня
23.61.12.143 Плиты дорожные железобетонные
23.61.12.190 Конструкции сборные строительные железобетонные прочие
23.61.12.115 Сваи железобетонные
23.61.12.140 Плиты, панели и настилы перекрытий и покрытий железобетонные
23.61.12.165 Плиты специальные аэродромные железобетонные
23.6 Изделия из бетона, цемента и гипса
23.61.1 Изделия строительные из бетона
23.61.12.113 Плиты фундаментов железобетонные ****</t>
  </si>
  <si>
    <t>ЗА 3 ГОДА ПО 223 ФЗ заключено 8 шт. с объемом НМЦ 50 306 105,96 ?</t>
  </si>
  <si>
    <t>"223 за 3 года", "кл фт прямые бг 04.22", "свод фт", ".", "УПП на 2 номер", "fk1", "клиенты управления по БГ без открытых счетов", "все клиенты с выручкой от 1,8 млрд до бесконечности", "портфель", "ФК клиенты с выручкой от 230 до бесконечности", "клиенты от 100 млн", "Одобренные но не выданные 1 полугодие 2021", "ФТ клиенты с продуктами по сотрудникам", "рейтинг по нмц маркер", "это заказчик", "на фт заводил Синяев", "на фт заводил Морозова", "поставщики маркер", "44 за 3 года"</t>
  </si>
  <si>
    <t>01.47.21 Яйца куриные в скорлупе свежие</t>
  </si>
  <si>
    <t>86.90.12.000 Услуги по медицинскому уходу</t>
  </si>
  <si>
    <t>5 118</t>
  </si>
  <si>
    <t>10.12.40.111 Субпродукты кур (включая цыплят и цыплят-бройлеров) пищевые охлажденные
10.12.10.110 Мясо кур, в том числе цыплят (включая цыплят-бройлеров) охлажденное</t>
  </si>
  <si>
    <t>10.11 Мясо и прочие продукты убоя, включая мясо консервированное
10.89.12.141 Желтки яичные пищевые сушеные
10.12.20.110 Мясо кур, в том числе цыплят (включая цыплят-бройлеров) замороженное
10.91.10.210 Концентраты белково-витаминно-минеральные
10.12.20.170 Мясо сельскохозяйственной птицы замороженное для детского питания
10.86.10.611 Колбасы вареные для детского питания
10.89.12.111 Меланж
10.13.14.111 Колбасы (колбаски) вареные мясные
10.13.14.130 Изделия колбасные вареные из мяса и субпродуктов птицы
10.12.20.190 Мясо сельскохозяйственной птицы замороженное, не включенное в другие группировки ****</t>
  </si>
  <si>
    <t>1 517</t>
  </si>
  <si>
    <t>Заказчик разыгравший 16 конкурсов на сумму  1 134 710 946,80 ?</t>
  </si>
  <si>
    <t>01.47.11.100 Куры яичных пород прародительского стада</t>
  </si>
  <si>
    <t>10.13.16.112 Мука костная и мясокостная кормовая
10.12.20.110 Мясо кур, в том числе цыплят (включая цыплят-бройлеров) замороженное
01.11.31 Ячмень
01.47.11.610 Бройлеры мясной породы
01.11.1 Пшеница
10.12.10.110 Мясо кур, в том числе цыплят (включая цыплят-бройлеров) охлажденное</t>
  </si>
  <si>
    <t>1 624</t>
  </si>
  <si>
    <t>за 1 ГОД ПО 223ФЗ заключено 9  105 955 576,41 ?</t>
  </si>
  <si>
    <t>"поставщики маркер", ".", "все клиенты с выручкой от 1,8 млрд до бесконечности", "223 фз контракты 20+", "рейтинг заказчиков маркер", "это заказчик"</t>
  </si>
  <si>
    <t>1 125</t>
  </si>
  <si>
    <t>01.47.21 Яйца куриные в скорлупе свежие
68.20.12.000 Услуги по сдаче в аренду (внаем) собственных или арендованных нежилых помещений
01.41.20 Молоко сырое крупного рогатого скота</t>
  </si>
  <si>
    <t>1 628</t>
  </si>
  <si>
    <t>ЗА 3 ГОДА ПО 223 ФЗ заключено 4 шт. с объемом НМЦ 75 419 400,00 ?</t>
  </si>
  <si>
    <t>Сообщения о принятии решения о реорганизации от 28.07.2021</t>
  </si>
  <si>
    <t>01.49.27.000 Эмбрионы сельскохозяйственных животных для репродукции
01.47.23.110 Яйца инкубационные куриные
01.47.23.111 Яйца инкубационные кур мясных пород
01.47.21 Яйца куриные в скорлупе свежие
01.47.23.112 Яйца инкубационные кур яичных пород</t>
  </si>
  <si>
    <t>"223 за 3 года", ".", "все клиенты с выручкой от 1,8 млрд до бесконечности", "производители", "рейтинг по нмц маркер", "на фт заводил Некрасов", "поставщики маркер", "44 за 3 года"</t>
  </si>
  <si>
    <t>2 382</t>
  </si>
  <si>
    <t>37.00.11.120 Услуги по транспортированию сточных вод
01.47.21.000 Яйца куриные в скорлупе свежие</t>
  </si>
  <si>
    <t>Заказчик разыгравший 15 конкурсов на сумму  851 078 796,69 ?</t>
  </si>
  <si>
    <t>"поставщики маркер", ".", "п6", "Пункт 3.1 09.01.2023", "все клиенты с выручкой от 1,8 млрд до бесконечности", "рейтинг заказчиков маркер", "производители", "это заказчик"</t>
  </si>
  <si>
    <t>20.59.59 Продукты разные химические, не включенные в другие группировки
22.22.11.000 Мешки и сумки, включая конические, из полимеров этилена
22.29.2 Изделия пластмассовые прочие, не включенные в другие группировки
22.21.42.120 Пленки прочие пластмассовые непористые
17.23.12.110 Конверты, письма-секретки
22.22.12.000 Мешки и сумки, включая конические, из прочих пластмасс, кроме полимеров этилена
22.21.30.120 Пленки пластмассовые, неармированные или не комбинированные с другими материалами</t>
  </si>
  <si>
    <t>"223 за 3 года", "кл фт ФК ВКЛ/РКО 04.22", "кл фт ФК БГ 04.22", ".", "fk1", "корп 2", "Кредитный портфель_01.11", "2. Финтендер 2022 31.03.22 Григорян для СПАРК", "06.2022_ФинХД", "Ссуды ФБ 29.04.2022 банкр.", "все клиенты с выручкой от 1,8 млрд до бесконечности", "филиал бизнес 01.03.22", "клиенты от 100 млн", "действующие б не прям", "Обороты по клиентам по кварталам (2022г)", "ФТ клиенты с продуктами по сотрудникам", "производители", "рейтинг по нмц маркер", "поставщики маркер"</t>
  </si>
  <si>
    <t>25.94 Изделия крепежные и винты крепежные</t>
  </si>
  <si>
    <t>05.10.10 Уголь</t>
  </si>
  <si>
    <t>24.10.74.110 Прокат листовой стальной в пакетах
24.20.13.130 Трубы стальные электросварные
24.10.2 Сталь
24.20.11.000 Трубы стальные для нефте- и газопроводов бесшовные
24.10.62.210 Сталь арматурная
24.10 Железо, чугун, сталь и ферросплавы
24.10.62.213 Прокат арматурный свариваемый периодического профиля</t>
  </si>
  <si>
    <t>10.84.30.140 Соль пищевая молотая
10.61.32.113 Крупа гречневая
10.51.12.110 Сливки питьевые
10.61.21.113 Мука пшеничная хлебопекарная высшего сорта
20.14.32.121 Кислота уксусная
01.11.49.111 Зерно гречихи
10.82.12.000 Какао-масло и его фракции
10.61.22.140 Мука ячменная
10.51.12.113 Сливки питьевые стерилизованные
10.61.22.130 Мука рисовая ****</t>
  </si>
  <si>
    <t>52.24.1 Услуги по обработке грузов
52.24.19 Услуги по обработке грузов прочие</t>
  </si>
  <si>
    <t>За весь период компания заключила  11 контрактов на сумму  66 392 607 055,10 ?</t>
  </si>
  <si>
    <t>10.1 Мясо и мясо птицы, прочие продукты убоя. Мясные пищевые продукты, включая продукты из мяса птицы
01.47 Птица сельскохозяйственная живая и яйца
01.47.11.300 Куры яичных пород промышленного стада
01.47.11.310 Куры яичных пород промышленного стада взрослые</t>
  </si>
  <si>
    <t>68.10.14.000 Услуги по покупке и продаже нежилых зданий и занимаемых ими земельных участков
42.21.13.129 Сооружения водоснабжения и очистки прочие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41.20.20.719 Сооружения электрических и тепловых сетей прочие
71.12.19.100 Услуги по инженерно-техническому проектированию прочих объектов, кроме объектов культурного наследия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71.12.12.190 Услуги по инженерно-техническому проектированию зданий прочие,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</si>
  <si>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"44 за 3 года", "кл фт ФК ВКЛ/РКО 04.22", "свод фт", ".", "рейтинг поставщиков в маркере по бг", "ГРАНДИОЗНЫЙ ПРОЕКТ", "Конкурсы 100+ (Восстановленный)", "fk1", "Пункт 3.1 09.01.2023", "Банкроты ФБ 28.04.2023", "Ссуды ФБ 29.04.2022 банкр.", "АИЛ портфель", "клиенты с в от100млн 09.21", "все клиенты с выручкой от 1,8 млрд до бесконечности", "филиал бизнес 01.03.22", "филиал бизнес 22.11", "ФК клиенты с выручкой от 230 до бесконечности", "клиенты от 100 млн", "Обороты по клиентам по кварталам (2022г)", "ФТ клиенты с продуктами по сотрудникам", "44 фз с с БГ от 10 млн", "рейтинг заказчиков маркер", "производители", "рейтинг по нмц маркер", "это заказчик", "на фт заводил Шумлин", "поставщики маркер"</t>
  </si>
  <si>
    <t>26.20.12.110 Терминалы кассовые, подключаемые к компьютеру или сети передачи данных
26.20.40 Блоки, части и принадлежности вычислительных машин
26.20.40.120 Элементы замены типовые устройств ввода и вывода
46.14.11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
61.10.30.120 Услуги документальной электросвязи
77.40.19.000 Услуги по предоставлению лицензий на право использования прочей интеллектуальной собственности и аналогичных продуктов, кроме произведений, охраняемых авторским правом
62.01.21.000 Оригиналы программного обеспечения компьютерных игр
62.03 Услуги по управлению компьютерным оборудованием
58.29.50 Услуги по предоставлению лицензий на право использовать компьютерное программное обеспечение
28.23.13.120 Аппараты контрольно-кассовые ****</t>
  </si>
  <si>
    <t>За весь период заходили в конкурсы  1 раз на общую сумму обеспеченных контрактов с НМЦ 90 153 100,00 ? с БГУ  4 899 625,00 ? с БГИ 29 397 750,00 ? За 3 ГОДА по 44ФЗ заключено 618 шт. с объемом НМЦ  309 721 562,97 ? с БГИ 27 972 758,75 ? с БГГО 921 521,96 ? с авансированием до 11 437 748,65 ? с комиссией банку 356 109,22 ? с кв 3 098,15 ? ЗА 1 ГОД по 44ФЗ заключено 214 шт. c объемом НМЦ 174 299 889,77 ? с БГИ 16 828 303,89 ? с БГГО 553 665,75 ? с авансированием до  16 582,50 ? с комиссией банку  236 793,29 ? с кв 2 060,10 ? ЗА 3 ГОДА ПО 223 ФЗ заключено 86 шт. с объемом НМЦ 24 117 214,44 ? за 1 ГОД ПО 223ФЗ заключено 28  12 683 088,64 ?</t>
  </si>
  <si>
    <t>"223 за 3 года", ".", "рейтинг поставщиков в маркере по бг", "ИНН_договоры_октябрь_", "все клиенты с выручкой от 1,8 млрд до бесконечности", "это заказчик", "поставщики маркер", "44 за 3 года"</t>
  </si>
  <si>
    <t>21.20.10.172 Препараты для лечения гинекологических заболеваний прочие
21.20.10.191 Препараты антибактериальные для системного использования
21.20.21.122 Вакцины бактериальные химические и инактивированные профилактические, применяемые в медицине
21.20.21.129 Вакцины и прочие лечебно-профилактические бактериальные препараты
21.20.10.192 Препараты противогрибковые для системного использования
21.20.10.214 Иммунодепрессанты
21.20.21.121 Вакцины бактериальные живые профилактические, применяемые в медицине</t>
  </si>
  <si>
    <t>73.1 Услуги рекламные
93 Услуги, связанные со спортом, и услуги по организации развлечений и отдыха
73.11.19.000 Услуги рекламные прочие</t>
  </si>
  <si>
    <t>За весь период контрактов 3 шт. на общую сумму НМЦ 1 149 974 000,00 ?</t>
  </si>
  <si>
    <t>"это заказчик", ".", "fk1", "Кредитный портфель_01.11", "06.2022_ФинХД", "все клиенты с выручкой от 1,8 млрд до бесконечности", "клиенты от 100 млн", "рейтинг заказчиков маркер", "производители", "рейтинг по нмц маркер"</t>
  </si>
  <si>
    <t>52.29.19.110 Услуги по экспедированию грузов
52.2 Услуги транспортные вспомогательные
49.41.11 Услуги по перевозке автомобильным транспортом грузов в автофургонах-рефрижераторах
49.4 Услуги по грузовым перевозкам автомобильным транспортом и услуги по переезду
49.41 Услуги по грузовым перевозкам автомобильным транспортом
49.41.19.900 Услуги по перевозке грузов автомобильным транспортом прочие, не включенные в другие группировки
52.10.1 Услуги по складированию и хранению
53.20 Услуги почтовой связи прочие и услуги курьерские
49.20.1 Услуги железнодорожного транспорта по перевозке грузов</t>
  </si>
  <si>
    <t>"223 за 3 года", "кл фт ФК БГ 04.22", ".", "fk1",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"это заказчик", "поставщики маркер"</t>
  </si>
  <si>
    <t>66.19.99.131 Услуги операторов по приему платежей физических лиц
63.11 Услуги по обработке данных, размещению и взаимосвязанные услуги
43.21.10.290 Работы электромонтажные прочие, не включенные в другие группировки</t>
  </si>
  <si>
    <t>Заказчик разыгравший 58 конкурсов на сумму  14 993 930 761,09 ?</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</si>
  <si>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82.11.10.000 Услуги в области административного обслуживания комплексные
35.11.10 Электроэнергия
35.12.10.120 Услуги по технологическому присоединению к распределительным электросетям
35.13.10.000 Услуги по распределению электроэнергии
35.11.10.114 Электроэнергия, произведенная дизельными электростанциями (ДЭС) общего назначения
35.11.10.115 Электроэнергия, произведенная атомными электростанциями (АЭС) общего назначения ****</t>
  </si>
  <si>
    <t>За весь период компания заключила  6 контрактов на сумму  402 399 843,80 ?</t>
  </si>
  <si>
    <t>Заказчик разыгравший 9 конкурсов на сумму  7 070 557 586,90 ?</t>
  </si>
  <si>
    <t>"crm Пител", ".", "беники", "рейтинг заказчиков маркер", "это заказчик", "crm управления"</t>
  </si>
  <si>
    <t>Мой черновик
Отправлена клиенту</t>
  </si>
  <si>
    <t>"на фт заводил Дементьев", "свод фт", ".", "кредиты фт", "лимит сит по кредитам", "на фт заводил Шутов"</t>
  </si>
  <si>
    <t>"Обороты по клиентам по кварталам (2022г)", ".", "ушедший портфель", "fk1", "ИНН 3 года - нет КД БГ на 01.10.22", "ПОС на 01.02.2023", "Список ушедший ", "ПОС на 03.04.2023", "06.2022_ФинХД", "клиенты с в от100млн 09.21", "все клиенты с выручкой от 1,8 млрд до бесконечности", "ФК клиенты с выручкой от 230 до бесконечности", "клиенты от 100 млн"</t>
  </si>
  <si>
    <t>27.51.2 Приборы бытовые электрические прочие, не включенные в другие группировки
28.25.12.130 Кондиционеры бытовые
28.25.12.110 Кондиционеры промышленные
25.21.12 Котлы водогрейные центрального отопления для производства горячей воды или пара низкого давления
28.25.12.190 Оборудование для кондиционирования воздуха прочее, не включенное в другие группировки
43.22.1 Работы по монтажу систем водопровода, канализации, отопления, вентиляции и кондиционирования воздуха
27.52.12 Приборы бытовые прочие, на газовом топливе или на газовом и других видах топлива, на жидком топливе и на твердом топливе</t>
  </si>
  <si>
    <t>Сообщения о принятии решения о реорганизации от 13.04.2022</t>
  </si>
  <si>
    <t>45.11.21.000 Услуги по розничной торговле новыми пассажирскими автотранспортными средствами в специализированных магазинах
29.10.2 Автомобили легковые
29.10.22 Средства транспортные с двигателем с искровым зажиганием, с рабочим объемом цилиндров более 1500 см3, новые
29.10.24.000 Средства автотранспортные для перевозки людей прочие
45.20.11.111 Услуги по регламентным работам (по видам технического обслуживания)
29.10.59.150 Средства транспортные для аварийно-спасательных служб и полиции
84.11.29.000 Услуги, обеспечивающие деятельность органов государственного управления, прочие
29.10.21.000 Средства транспортные с двигателем с искровым зажиганием, с рабочим объемом цилиндров не более 1500 см3, новые
45.11.2 Услуги по розничной торговле легковыми автомобилями и грузовыми автомобилями малой грузоподъемности в специализированных магазинах</t>
  </si>
  <si>
    <t>ЗА 1 ГОД по 44ФЗ заключено 24 шт. c объемом НМЦ 86 009 761,48 ? с БГИ 14 399 763,27 ? с БГГО 299 898,83 ? с авансированием до  12 585 119,95 ? с комиссией банку  59 207,62 ? с кв 515,11 ?     за 1 ГОД ПО 223ФЗ заключено 5  9 373 759,33 ?</t>
  </si>
  <si>
    <t>"223 за 3 года", "свод фт", ".", "все клиенты с выручкой от 1,8 млрд до бесконечности", "рейтинг по нмц маркер", "на фт заводил Шумлин", "поставщики маркер", "44 за 3 года"</t>
  </si>
  <si>
    <t>28.13.12.000 Насосы возвратно-поступательные объемного действия прочие для перекачки жидкостей
28.13.14.110 Насосы центробежные подачи жидкостей прочие
28.14.12.110 Краны, клапаны для раковин, моек, биде, унитазов, ванн и аналогичная арматура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43.99.70.000 Работы по сборке и монтажу сборных конструкций
43.99.90.190 Работы строительные специализированные прочие, не включенные в другие группировки
23.99.13.114 Смеси асфальтобетонные дорожные, аэродромные и асфальтобетон горячие щебено-мастичные
42.99.12.124 Территории парковые и парки для отдыха
81.29.12.000 Услуги по подметанию и уборке снега
81.30.10.000 Услуги по планировке ландшафта ****</t>
  </si>
  <si>
    <t>За весь период контрактов 70 шт. на общую сумму НМЦ 46 448 242 204,46 ?</t>
  </si>
  <si>
    <t>Сообщение должника о намерении обратиться в суд с заявлением о банкротстве от 25.03.2022</t>
  </si>
  <si>
    <t>"44 за 3 года", ".", "рейтинг поставщиков в маркере по бг", "База Восточный (Мелкумов)", "ГРАНДИОЗНЫЙ ПРОЕКТ", "Конкурсы 100+ (Восстановленный)", "Агентские отказ из-за непред-я док-ов", "06.2022_ФинХД", "Пункт 3 09.01.23", "все клиенты с выручкой от 1,8 млрд до бесконечности", "44 фз с с БГ от 10 млн", "рейтинг по нмц маркер", "crm управления", "в crm за Самаром", "поставщики маркер"</t>
  </si>
  <si>
    <t>10.86.10.243 Соки фруктовые и фруктово-овощные для детского питания
21.20.23.110 Реагенты диагностические
21.20.23.113 Средства радиофармацевтические диагностические
21.20.23.199 Средства нелечебные прочие
20.59.52.140 Среды готовые питательные для выращивания микроорганизмов
20.59.52.199 Реагенты сложные диагностические или лабораторные прочие, не включенные в другие группировки
20.59.60.111 Желатины пищевые
20.20.14.000 Средства дезинфекционные
21 Средства лекарственные и материалы, применяемые в медицинских целях
21.10.54.190 Антибиотики и их производные прочие ****</t>
  </si>
  <si>
    <t>За весь период компания заключила  697 контрактов на сумму  245 464 052 465,63 ? За весь период заходили в конкурсы  2082 раз на общую сумму обеспеченных контрактов с НМЦ 327 589 756 008,49 ? с БГУ  9 425 293 647,01 ? с БГИ 54 939 741 627,57 ? За 3 ГОДА по 44ФЗ заключено 26716 шт. с объемом НМЦ  153 160 523 660,84 ? с БГИ 13 604 653 433,56 ? с БГГО 344 060 303,85 ? с авансированием до 24 459 511,36 ? с комиссией банку 330 709 640,37 ? с кв 2 877 173,87 ? ЗА 1 ГОД по 44ФЗ заключено 9751 шт. c объемом НМЦ 59 402 208 996,79 ? с БГИ 5 283 073 118,21 ? с БГГО 11 831 080,54 ? с авансированием до  22 372 001,78 ? с комиссией банку  100 720 304,56 ? с кв 876 266,65 ? ЗА 3 ГОДА ПО 223 ФЗ заключено 863 шт. с объемом НМЦ 7 578 614 038,28 ? за 1 ГОД ПО 223ФЗ заключено 228  2 105 928 129,95 ?</t>
  </si>
  <si>
    <t>"223 за 3 года", "кл фт самоход бг 04.22", ".", "рейтинг поставщиков в маркере по бг", "фб 22.11", "БГИ", "Конкурсы 100+ (Восстановленный)", "fk1", "Кредитный портфель_01.11", "БГ ФБ ЮР лица на 01.07.2021", "корп 1", "Гарантии ФБ банкроты", "филиал бизнес 31.01.22 ",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"223 фз контракты 20+", "44 фз с с БГ от 10 млн", "производители", "рейтинг по нмц маркер", "это заказчик", "поставщики маркер", "44 за 3 года"</t>
  </si>
  <si>
    <t>10.13 Продукция мясная пищевая, в том числе из мяса птицы</t>
  </si>
  <si>
    <t>1 115</t>
  </si>
  <si>
    <t>10.13 Продукция мясная пищевая, в том числе из мяса птицы
10.13.14.119 Изделия колбасные вареные мясные прочие
10.1 Мясо и мясо птицы, прочие продукты убоя. Мясные пищевые продукты, включая продукты из мяса птицы
10.13.14.100 Изделия колбасные вареные, в том числе фаршированные
10.13.14.710 Полуфабрикаты мясные охлажденные, замороженные
10.13.11.000 Свинина соленая, в рассоле, копченая, сушеная (в том числе сублимационной сушки)
10.13.14.113 Сардельки мясные
10.13.14.120 Изделия колбасные вареные, в том числе фаршированные мясосодержащие
10.12.20.110 Мясо кур, в том числе цыплят (включая цыплят-бройлеров) замороженное
46.32 Услуги по оптовой торговле мясом и мясными продуктами ****</t>
  </si>
  <si>
    <t>2 529</t>
  </si>
  <si>
    <t>"223 за 3 года", ".", "все клиенты с выручкой от 1,8 млрд до бесконечности", "ФК клиенты с выручкой от 230 до бесконечности", "Обороты по клиентам по кварталам (2022г)", "производители", "поставщики маркер", "44 за 3 года"</t>
  </si>
  <si>
    <t>71.11.22.000 Услуги в области архитектуры, связанные с проектами строительства нежилых зданий и сооружений
71.12.12.130 Услуги, связанные с разработкой инженерно-технической проектной документации по консервации, ремонту, реставрации, приспособлению и воссозданию зданий, являющихся объектами культурного наследия
71.12.20.120 Услуги по авторскому и техническому надзору при проведении работ по сохранению и воссозданию объекта культурного наследия</t>
  </si>
  <si>
    <t>2 588</t>
  </si>
  <si>
    <t>Заявка отозвана
Отклонена банком
Рассматривается банком</t>
  </si>
  <si>
    <t>"поставщики маркер", "свод фт", ".", "кредиты фт", "лимит сит по кредитам", "все клиенты с выручкой от 1,8 млрд до бесконечности", "это заказчик", "на фт заводил Шутов", "на фт заводил Досхоев"</t>
  </si>
  <si>
    <t>20.59.59 Продукты разные химические, не включенные в другие группировки
20.59.5 Продукты химические прочие
20 Вещества химические и продукты химические</t>
  </si>
  <si>
    <t>За весь период заходили в конкурсы  1 раз на общую сумму обеспеченных контрактов с НМЦ 65 616 660,25 ? с БГУ  709 369,30 ? с БГИ 7 093 693,00 ?</t>
  </si>
  <si>
    <t>"поставщики маркер", ".", "рейтинг поставщиков в маркере по бг", "ушедшие", "все клиенты с выручкой от 1,8 млрд до бесконечности", "производители", "рейтинг по нмц маркер"</t>
  </si>
  <si>
    <t>43.21.10.220 Работы по монтажу систем освещения и сигнализации автомобильных дорог, аэропортов и портов
42.11 Дороги автомобильные и автомагистрали; строительные работы по строительству автомобильных дорог и автомагистралей
42.22.22.110 Работы строительные по прокладке местных линий электропередачи и связи над землей или под землей
68.2 Услуги по сдаче в аренду (внаем) собственного или арендованного недвижимого имущества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35.11.10.112 Электроэнергия, произведенная теплоэлектроцентралями (ТЭЦ) общего назначения
35.12.10.120 Услуги по технологическому присоединению к распределительным электросетям
35.13.10.000 Услуги по распределению электроэнергии
42.22.12.110 Линии электропередачи местные
42.22.12.111 Линии электропередачи местные воздушные ****</t>
  </si>
  <si>
    <t>За 3 года по 223ФЗ заключено  58 шт контрактов на сумму 1 297 713 908,57 ?</t>
  </si>
  <si>
    <t>"223 за 3 года", ".", "06.2022_ФинХД",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t>
  </si>
  <si>
    <t>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43.99.90.190 Работы строительные специализированные прочие, не включенные в другие группировки
43.21.10.130 Работы по монтажу сетей электроосвещения и электроснабжения и электроарматуры для систем аварийного электроснабжения
43.21.10.210 Работы по установке приборов учета расхода электроэнергии
35.12.10.120 Услуги по технологическому присоединению к распределительным электросетям
35.13.10.000 Услуги по распределению электроэнергии
71.12.2 Услуги по руководству строительными проектами
71.12.19.100 Услуги по инженерно-техническому проектированию прочих объектов, кроме объектов культурного наследия
35.14.10.000 Услуги по торговле электроэнергией ****</t>
  </si>
  <si>
    <t>За весь период компания заключила  23 контрактов на сумму  9 728 706 775,19 ? За весь период заходили в конкурсы  1 раз на общую сумму обеспеченных контрактов с НМЦ 43 950 066,34 ? с БГУ  549 375,83 ? с БГИ 16 481 274,88 ? За 3 ГОДА по 44ФЗ заключено 1 шт. с объемом НМЦ  54 937 582,92 ? с БГИ 16 481 274,88 ? с БГГО 0,00 ? с авансированием до 0,00 ? с комиссией банку 259 184,98 ? с кв 2 254,91 ?               ЗА 3 ГОДА ПО 223 ФЗ заключено 7 шт. с объемом НМЦ 1 703 289 690,16 ?</t>
  </si>
  <si>
    <t>Сообщение кредитора о намерении обратиться в суд с заявлением о банкротстве от 08.06.2021</t>
  </si>
  <si>
    <t>"223 за 3 года", ".", "рейтинг поставщиков в маркере по бг", "беники", "ушедшие", "все клиенты с выручкой от 1,8 млрд до бесконечности", "рейтинг заказчиков маркер", "производители", "рейтинг по нмц маркер", "это заказчик", "поставщики маркер", "44 за 3 года"</t>
  </si>
  <si>
    <t>46.49.21.000 Услуги по оптовой торговле книгами
58.11.11.000 Учебники печатные общеобразовательного назначения</t>
  </si>
  <si>
    <t>46.71.11.000 Услуги по оптовой торговле твердым топливом
05.10 Уголь</t>
  </si>
  <si>
    <t>"в crm за Синяевым ", ".", "crm управления"</t>
  </si>
  <si>
    <t>05.10.10.137 Уголь марки Т - тощий
05.10.10 Уголь</t>
  </si>
  <si>
    <t>За весь период компания заключила  8 контрактов на сумму  10 007 637 532,11 ?                                     ЗА 3 ГОДА ПО 223 ФЗ заключено 2 шт. с объемом НМЦ 137 390 400,00 ?</t>
  </si>
  <si>
    <t>1 502</t>
  </si>
  <si>
    <t>52.23.19.114 Работы строительно-монтажные и погрузочно-разгрузочные</t>
  </si>
  <si>
    <t>Сообщения о принятии решения о реорганизации от 22.09.2016</t>
  </si>
  <si>
    <t>"crm Пител", "в crm за Микульшиным", "crm управления"</t>
  </si>
  <si>
    <t>"crm Пител", ".", "все клиенты с выручкой от 1,8 млрд до бесконечности", "crm управления", "в crm за Микульшиным"</t>
  </si>
  <si>
    <t>46.12.11.000 Услуги по оптовой торговле твердым, жидким и газообразным топливом и связанными продуктами за вознаграждение или на договорной основе
05 Уголь
46.71.11.000 Услуги по оптовой торговле твердым топливом
05.10.10.140 Уголь и антрацит обогащенные
05.20.10.110 Уголь бурый рядовой (лигнит)
05.10.10.110 Антрацит
05.10.10.131 Уголь марки Д - длиннопламенный</t>
  </si>
  <si>
    <t>За весь период компания заключила  16 контрактов на сумму  12 275 784 347,20 ?                                     ЗА 3 ГОДА ПО 223 ФЗ заключено 5 шт. с объемом НМЦ 72 496 523,00 ? за 1 ГОД ПО 223ФЗ заключено 3  55 501 740,00 ?</t>
  </si>
  <si>
    <t>Юридическое лицо находится в процессе реорганизации в форме присоединения к другому юридическому лицу от 17.01.2023, Сообщения о принятии решения о реорганизации от 12.01.2023</t>
  </si>
  <si>
    <t>"223 за 3 года", ".", "все клиенты с выручкой от 1,8 млрд до бесконечности", "223 фз контракты 20+", "производители", "рейтинг по нмц маркер", "поставщики маркер", "44 за 3 года"</t>
  </si>
  <si>
    <t>05.20 Уголь бурый (лигнит)
05 Уголь
05.20.10.120 Уголь бурый обогащенный (лигнит)
05.20.10.110 Уголь бурый рядовой (лигнит)</t>
  </si>
  <si>
    <t>За весь период компания заключила  25 контрактов на сумму  32 903 721 852,84 ?                                     ЗА 3 ГОДА ПО 223 ФЗ заключено 6 шт. с объемом НМЦ 69 858 114,90 ? за 1 ГОД ПО 223ФЗ заключено 2  51 326 133,46 ?</t>
  </si>
  <si>
    <t>1 516</t>
  </si>
  <si>
    <t>За 3 года по 223ФЗ заключено  3 шт контрактов на сумму 211 024 100,00 ?</t>
  </si>
  <si>
    <t>"223 за 3 года", ".", "все клиенты с выручкой от 1,8 млрд до бесконечности", "223 фз контракты 20+", "рейтинг заказчиков маркер", "это заказчик"</t>
  </si>
  <si>
    <t>77.39.19.119 Услуги по аренде и лизингу прочих машин и оборудования научного и промышленного назначения
77.39.14.000 Услуги по аренде и лизингу телекоммуникационного оборудования</t>
  </si>
  <si>
    <t>За весь период контрактов 3 шт. на общую сумму НМЦ 1 386 325 887,61 ?</t>
  </si>
  <si>
    <t>15.2 Обувь
15.20.13.110 Обувь повседневная с верхом из кожи</t>
  </si>
  <si>
    <t>На 26.04.2023 18:13 имеются действующие решения ФНС о приостановлении операций по счетам</t>
  </si>
  <si>
    <t>35.30.12.110 Услуги по приготовлению воды на нужды горячего водоснабжения
35.13.10.000 Услуги по распределению электроэнергии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35.30.11.111 Энергия тепловая, отпущенная тепловыми электроцентралями (ТЭЦ)
35.30.11.110 Энергия тепловая, отпущенная электростанциями
35.30.11.112 Энергия тепловая, отпущенная атомными электростанциями (АЭС)
43.22.12.130 Работы по подключению к районным системам отопления
36.00.20.160 Услуги по подключению (технологическому присоединению) к централизованной системе водоснабжения ****</t>
  </si>
  <si>
    <t>1 229</t>
  </si>
  <si>
    <t>За весь период контрактов 4 шт. на общую сумму НМЦ 1 031 416 276,23 ?</t>
  </si>
  <si>
    <t>Сообщения о принятии решения о реорганизации от 12.01.2023</t>
  </si>
  <si>
    <t>10.91.10.120 Корма животные сухие
10.71.11.111 Хлеб недлительного хранения из пшеничной муки
10.71.11.112 Хлеб недлительного хранения из ржаной и смеси ржаной и пшеничной муки
68.20.12.000 Услуги по сдаче в аренду (внаем) собственных или арендованных нежилых помещений
52.10 Услуги по складированию и хранению
10.91.10.186 Комбикорма для сельскохозяйственной птицы</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</si>
  <si>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t>
  </si>
  <si>
    <t>За весь период контрактов 3 шт. на общую сумму НМЦ 1 662 514 378,27 ?</t>
  </si>
  <si>
    <t>4 659</t>
  </si>
  <si>
    <t>"Участники клиринга", ".", "fk1", "корп 2", "Кредитный портфель_01.11", "06.2022_ФинХД", "клиенты с в от100млн 09.21", "ФК клиенты с выручкой от 230 до бесконечности", "клиенты от 100 млн", "Обороты по клиентам по кварталам (2022г)"</t>
  </si>
  <si>
    <t>20.1 Вещества химические основные, удобрения химические и азотные, пластмассы и синтетический каучук в первичных формах
30.30.5 Части летательных и космических аппаратов прочие
30.30.50.110 Комплектующие (запасные части) летательных аппаратов, не имеющие самостоятельных группировок</t>
  </si>
  <si>
    <t>За весь период компания заключила  2 контрактов на сумму  8 088 358 800,00 ?         За 3 ГОДА по 44ФЗ заключено 33 шт. с объемом НМЦ  264 033 845,63 ? с БГИ 23 648 527,73 ? с БГГО 3 053 016,58 ? с авансированием до 12 536 170,70 ? с комиссией банку 176 463,23 ? с кв 1 535,23 ? ЗА 1 ГОД по 44ФЗ заключено 8 шт. c объемом НМЦ 56 167 437,03 ? с БГИ 2 808 371,85 ? с БГГО 561 674,00 ? с авансированием до  0,00 ? с комиссией банку  62 332,61 ? с кв 542,29 ?</t>
  </si>
  <si>
    <t>"44 за 3 года", "кл фт ФК БГ 04.22", ".", "инн Вавилова", "БГИ", "fk1",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"рейтинг по нмц маркер", "это заказчик", "поставщики маркер"</t>
  </si>
  <si>
    <t>61.20.11.000 Услуги подвижной связи общего пользования - обеспечение доступа и поддержка пользователя
61.90.10.150 Услуги телекоммуникационные посредством существующих телекоммуникационных соединений
61.10.30.110 Услуги по передаче данных для целей передачи голосовой информации (IP-телефония)
61.20.30.120 Услуги по передаче данных по беспроводным телекоммуникационным сетям</t>
  </si>
  <si>
    <t>За весь период компания заключила  2 контрактов на сумму  989 000 000,00 ?</t>
  </si>
  <si>
    <t>ЗА 3 ГОДА ПО 223 ФЗ заключено 1 шт. с объемом НМЦ 20 000 000,00 ?</t>
  </si>
  <si>
    <t>68 Услуги по операциям с недвижимым имуществом
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36.00.30.000 Услуги по торговле водой, поставляемой по трубопроводам
68.20.12.000 Услуги по сдаче в аренду (внаем) собственных или арендованных нежилых помещений
36.00.11.000 Вода питьевая</t>
  </si>
  <si>
    <t>2 130</t>
  </si>
  <si>
    <t>2 625</t>
  </si>
  <si>
    <t>71.12.19 Услуги по инженерно-техническому проектированию прочих объектов
26.51.63.130 Счетчики производства или потребления электроэнергии
27.12.10 Устройства для коммутации или защиты электрических цепей на напряжение более 1 кВ
33.20.39 Услуги по монтажу прочего оборудования специального назначения
28.99.39.190 Оборудование специального назначения прочее, не включенное в другие группировки
27.12.31.000 Панели и прочие комплекты электрической аппаратуры коммутации или защиты на напряжение не более 1 кВ
27.12.32.000 Панели и прочие комплекты электрической аппаратуры коммутации или защиты на напряжение более 1 кВ
27.12.40.000 Части электрической распределительной или регулирующей аппаратуры
26.51.70.190 Приборы автоматические регулирующие и контрольно-измерительные прочие
71.12.12.110 Услуги по проектированию (включая изыскания) объектов использования атомной энергии ****</t>
  </si>
  <si>
    <t>За весь период компания заключила  30 контрактов на сумму  70 546 604 727,98 ? За весь период заходили в конкурсы  1 раз на общую сумму обеспеченных контрактов с НМЦ 7 067 180 000,00 ? с БГУ  70 671 800,00 ? с БГИ 148 410 780,00 ?                             ЗА 3 ГОДА ПО 223 ФЗ заключено 8 шт. с объемом НМЦ 105 572 062,64 ? за 1 ГОД ПО 223ФЗ заключено 2  43 466 749,85 ?</t>
  </si>
  <si>
    <t>01.19.31.110 Семена кормовой свеклы
01.13 Овощи и культуры бахчевые, корнеплоды и клубнеплоды
01.63.10.000 Услуги в области растениеводства, предоставляемые после сбора урожая
01.13.72.130 Семена сахарной свеклы инкрустированные</t>
  </si>
  <si>
    <t>20.15.33 Нитрат аммония</t>
  </si>
  <si>
    <t>ПОС на 03.04.4049</t>
  </si>
  <si>
    <t>"223 за 3 года", ".", "fk1", "ПОС на 01.02.2023", "портфель 31.10.2021_10 тыс_проверка", "ПОС на 03.04.2023", "Кредитный портфель_01.11", "06.2022_ФинХД", "Обороты по клиентам по кварталам (2022г)", "поставщики маркер"</t>
  </si>
  <si>
    <t>20.15.39.000 Удобрения азотные и смеси прочие
20.15.31.000 Мочевина (карбамид)
82.30.12.000 Услуги по организации торговых выставок
08.91.19.190 Сырье минеральное для химических производств и продукты горнодобывающих производств прочие, не включенные в другие группировки</t>
  </si>
  <si>
    <t>За весь период компания заключила  3 контрактов на сумму  890 473 151,00 ? За весь период заходили в конкурсы  1 раз на общую сумму обеспеченных контрактов с НМЦ 70 000 000,00 ? с БГУ  2 559 880,00 ? с БГИ 38 398 200,00 ?                             ЗА 3 ГОДА ПО 223 ФЗ заключено 3 шт. с объемом НМЦ 88 479 200,00 ?</t>
  </si>
  <si>
    <t>"223 за 3 года", ".", "рейтинг поставщиков в маркере по бг", "fk1", "все клиенты с выручкой от 1,8 млрд до бесконечности", "рейтинг заказчиков маркер", "производители", "рейтинг по нмц маркер", "это заказчик", "поставщики маркер"</t>
  </si>
  <si>
    <t>77.1 Услуги по аренде и лизингу автотранспортных средств</t>
  </si>
  <si>
    <t>За весь период компания заключила  5 контрактов на сумму  5 336 353 693,05 ?</t>
  </si>
  <si>
    <t>28.92.29.000 Автомобили-самосвалы, предназначенные для использования в условиях бездорожья
29.31.22.190 Оборудование электрическое прочее для транспортных средств, не включенное в другие группировки
29.32.30.182 Муфты выключения сцеплений, подшипники муфт выключения сцеплений
33.17 Услуги по ремонту и техническому обслуживанию прочих транспортных средств и оборудования
29.10.59.130 Средства транспортные для коммунального хозяйства и содержания дорог
45.20.2 Услуги по техническому обслуживанию и ремонту прочих автотранспортных средств
45.32 Услуги по розничной торговле автомобильными деталями, узлами и принадлежностями
29.32.30.220 Колеса, ступицы и их детали
45.20.21.111 Услуги по регламентным работам (по видам технического обслуживания)
45.20.21.211 Услуги по замене агрегатов ****</t>
  </si>
  <si>
    <t>За весь период заходили в конкурсы  2 раз на общую сумму обеспеченных контрактов с НМЦ 181 127 811,09 ? с БГУ  7 681 889,11 ? с БГИ 15 843 778,23 ? За 3 ГОДА по 44ФЗ заключено 9 шт. с объемом НМЦ  272 914 256,87 ? с БГИ 18 036 136,34 ? с БГГО 9 905 883,00 ? с авансированием до 0,00 ? с комиссией банку 542 296,75 ? с кв 4 717,98 ? ЗА 1 ГОД по 44ФЗ заключено 3 шт. c объемом НМЦ 149 105 486,88 ? с БГИ 11 955 274,34 ? с БГГО 3 855 274,00 ? с авансированием до  0,00 ? с комиссией банку  363 469,20 ? с кв 3 162,18 ?</t>
  </si>
  <si>
    <t>"223 за 3 года", ".", "рейтинг поставщиков в маркере по бг",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"поставщики маркер", "44 за 3 года"</t>
  </si>
  <si>
    <t>56.29.20.190 Услуги прочих столовых
56.10.11.129 Услуги прочих предприятий питания с полным обслуживанием без сопровождения развлекательных программ
56.10.12.111 Услуги по обеспечению питанием в железнодорожных вагонах-ресторанах
56.29 Услуги по обеспечению питанием прочие
56.29.19.000 Услуги по обеспечению питанием, осуществляемые по договору, прочие</t>
  </si>
  <si>
    <t>2 203</t>
  </si>
  <si>
    <t>Отклонена банком;Системная проверка не пройдена</t>
  </si>
  <si>
    <t>"223 за 3 года", "свод фт", ".", "рейтинг поставщиков в маркере по бг", "все клиенты с выручкой от 1,8 млрд до бесконечности", "223 фз контракты 20+", "44 фз с с БГ от 10 млн", "рейтинг по нмц маркер", "на фт заводил Шутов", "поставщики маркер", "44 за 3 года"</t>
  </si>
  <si>
    <t>62 Продукты программные и услуги по разработке программного обеспечения; консультационные и аналогичные услуги в области информационных технологий
62.01.11.000 Услуги по проектированию и разработке информационных технологий для прикладных задач и тестированию программного обеспечения</t>
  </si>
  <si>
    <t>За весь период контрактов 1 шт. на общую сумму НМЦ 734 500 000,00 ?</t>
  </si>
  <si>
    <t>Заказчик разыгравший 7 конкурсов на сумму  3 281 354 411,77 ?</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</si>
  <si>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43.99.90.190 Работы строительные специализированные прочие, не включенные в другие группировки
36.00.20.140 Услуги по техническому обслуживанию приборов учета расхода воды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35.30.11.120 Энергия тепловая, отпущенная котельными ****</t>
  </si>
  <si>
    <t>1 890</t>
  </si>
  <si>
    <t>За весь период компания заключила  2 контрактов на сумму  679 535 745,63 ?                                     ЗА 3 ГОДА ПО 223 ФЗ заключено 19 шт. с объемом НМЦ 24 600 363,58 ? за 1 ГОД ПО 223ФЗ заключено 5  4 982 490,58 ?</t>
  </si>
  <si>
    <t>26.20.2 Устройства запоминающие и прочие устройства хранения данных</t>
  </si>
  <si>
    <t>За весь период контрактов 1 шт. на общую сумму НМЦ 2 396 640 932,56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</si>
  <si>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35.11.10.143 Электроэнергия, произведенная геотермальными электростанциями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t>
  </si>
  <si>
    <t>За весь период компания заключила  9 контрактов на сумму  1 909 526 271,57 ?                                     ЗА 3 ГОДА ПО 223 ФЗ заключено 17 шт. с объемом НМЦ 1 014 208 881,00 ? за 1 ГОД ПО 223ФЗ заключено 7  532 363 599,00 ?</t>
  </si>
  <si>
    <t>"223 за 3 года", ".", "Конкурсы 100+ (Восстановленный)", "223 фз контракты 20+", "рейтинг заказчиков маркер", "производители", "рейтинг по нмц маркер", "это заказчик", "поставщики маркер"</t>
  </si>
  <si>
    <t>Заказчик разыгравший 22 конкурсов на сумму  10 015 298 299,95 ?</t>
  </si>
  <si>
    <t>За 3 года по 223ФЗ заключено  20 шт контрактов на сумму 38 901 087,13 ?</t>
  </si>
  <si>
    <t>45.19.11 Услуги по оптовой торговле грузовыми автомобилями, седельными тягачами, прицепами, полуприцепами и автобусами</t>
  </si>
  <si>
    <t>За весь период контрактов 3 шт. на общую сумму НМЦ 2 057 730 000,00 ?</t>
  </si>
  <si>
    <t>63.91.12.000 Услуги информационных агентств, предоставляемые аудиовизуальным средствам массовой информации
58.2 Услуги по изданию программного обеспечения
96.09.19 Услуги разнообразные прочие, не включенные в другие группировки
63.11.1 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
63.11.30.000 Место или время для рекламы в информационно-коммуникационной сети Интернет</t>
  </si>
  <si>
    <t>Сообщение кредитора о намерении обратиться в суд с заявлением о банкротстве от 10.04.2020</t>
  </si>
  <si>
    <t>"производители", ".", "fk1", "клиенты с в от100млн 09.21", "ФК клиенты с выручкой от 230 до бесконечности"</t>
  </si>
  <si>
    <t>28.25.12.130 Кондиционеры бытовые
27.51.11.110 Холодильники бытовые
27.51.24.190 Приборы электронагревательные бытовые прочие, не включенные в другие группировки</t>
  </si>
  <si>
    <t>26.20.18 Устройства периферийные с двумя или более функциями: печать данных, копирование, сканирование, прием и передача факсимильных сообщений
26.20.1 Компьютеры, их части и принадлежности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 Оборудование компьютерное, электронное и оптическое
26.20 Компьютеры и периферийное оборудование
26.20.16.110 Клавиатуры
26.20.17.120 Проекторы, подключаемые к компьютеру
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26.20.14.000 Машины вычислительные электронные цифровые, поставляемые в виде систем для автоматической обработки данных ****</t>
  </si>
  <si>
    <t>"223 за 3 года", ".", "инн Ленинградка", "fk1", "корп 1", "клиенты с в от100млн 09.21", "все клиенты с выручкой от 1,8 млрд до бесконечности", "ФК клиенты с выручкой от 230 до бесконечности"</t>
  </si>
  <si>
    <t>1 482</t>
  </si>
  <si>
    <t>45.20.14.000 Услуги по ремонту кузовов легковых автомобилей и легких грузовых автотранспортных средств и аналогичные услуги (ремонт дверей, замков, окон, перекрашивание, ремонт после повреждений)
29.10.23.000 Средства транспортные с поршневым двигателем внутреннего сгорания с воспламенением от сжатия (дизелем или полудизелем), новые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29.10.22.000 Средства транспортные с двигателем с искровым зажиганием, с рабочим объемом цилиндров более 1500 см3, новые
45.2 Услуги по техническому обслуживанию и ремонту автотранспортных средств</t>
  </si>
  <si>
    <t>Сообщения о принятии решения о реорганизации от 29.06.2022</t>
  </si>
  <si>
    <t>"223 за 3 года", ".", "ушедший портфель", "ИНН 3 года - нет КД БГ на 01.10.22", "Список ушедший ", "06.2022_ФинХД", "все клиенты с выручкой от 1,8 млрд до бесконечности", "ФК клиенты с выручкой от 230 до бесконечности", "Обороты по клиентам по кварталам (2022г)", "поставщики маркер"</t>
  </si>
  <si>
    <t>11.0 Напитки
11.01 Напитки алкогольные дистиллированные и ректификованные
14.13 Одежда верхняя прочая
23.13.13 Посуда из стекла столовая и кухонная, принадлежности из стекла туалетные и канцелярские, украшения для интерьера и аналогичные изделия из стекла
11.01.10.180 Виски
23.41.11.110 Посуда столовая и кухонная из фарфора
11.01.10.111 Водка
23.41.1 Изделия керамические хозяйственные и декоративные
11.01.10.140 Коньяки
11.01.10.141 Коньяк ****</t>
  </si>
  <si>
    <t>Сообщения о принятии решения о реорганизации от 07.09.2022</t>
  </si>
  <si>
    <t>10.51.4 Сыры, продукты сырные и творог
10.51.99.000 Услуги по производству молочной продукции, выполняемые субподрядчиком
10.61.11 Рис шелушеный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t>
  </si>
  <si>
    <t>1 145</t>
  </si>
  <si>
    <t>42.21.22 Работы строительные по прокладке местных трубопроводов
41.20.30.100 Работы по возведению жилых зданий, кроме работ по сохранению и воссозданию объектов культурного наследия</t>
  </si>
  <si>
    <t>За весь период компания заключила  1 контрактов на сумму  855 358 018,30 ?                                     ЗА 3 ГОДА ПО 223 ФЗ заключено 5 шт. с объемом НМЦ 8 323 408 807,00 ?</t>
  </si>
  <si>
    <t>"223 за 3 года", ".", "Пункт 3 09.01.23", "все клиенты с выручкой от 1,8 млрд до бесконечности", "рейтинг по нмц маркер", "поставщики маркер"</t>
  </si>
  <si>
    <t>"поставщики маркер", ".", "fk1", "все клиенты с выручкой от 1,8 млрд до бесконечности", "ФК клиенты с выручкой от 230 до бесконечности"</t>
  </si>
  <si>
    <t>19.20.21 Топливо моторное, включая автомобильный и авиационный бензин
19.20.21.100 Бензин автомобильный
19.20.21.315 Топливо дизельное летнее экологического класса К5
19.20.21.345 Топливо дизельное межсезонное экологического класса К5
19.20.24 Керосин
19.20.2 Топливо жидкое и газообразное; масла смазочные
19.20.21.300 Топливо дизельное
19.20.25.112 Топливо для реактивных двигателей летательных аппаратов с дозвуковой скоростью полета марки ТС-1
19.20 Нефтепродукты</t>
  </si>
  <si>
    <t>За весь период компания заключила  9 контрактов на сумму  344 383 102,29 ?</t>
  </si>
  <si>
    <t>Заказчик разыгравший 50 конкурсов на сумму  31 025 914 321,00 ?</t>
  </si>
  <si>
    <t>22.21.2 Трубы, трубки и шланги и их фитинги пластмассовые
22.21.10.130 Профили фасонные пластмассовые
22.21.21.120 Трубы полимерные жесткие
22.21.21.123 Трубы канализационные и фасонные части к ним из полиэтилена
22.21.29.110 Трубы прочие пластмассовые
22 Изделия резиновые и пластмассовые
22.21.21.129 Трубы полимерные жесткие прочие
24.20.1 Трубы, профили пустотелые бесшовные и их фитинги стальные
24.10.6 Прокат сортовой и катанка горячекатаные стальные
22.21 Плиты, листы, трубы и профили пластмассовые ****</t>
  </si>
  <si>
    <t>ЗА 3 ГОДА ПО 223 ФЗ заключено 8 шт. с объемом НМЦ 237 864 878,67 ? за 1 ГОД ПО 223ФЗ заключено 5  10 448 713,86 ?</t>
  </si>
  <si>
    <t>"223 за 3 года", ".", "выдали", "ПОС на 01.02.2023", "портфель 31.10.2021_10 тыс_проверка", "ПОС на 03.04.2023", "компании пайрус", "Кредитный портфель_01.11", "ушедшие", "06.2022_ФинХД", "закрыли счет", "все клиенты с выручкой от 1,8 млрд до бесконечности", "Обороты по клиентам по кварталам (2022г)", "производители", "рейтинг по нмц маркер", "поставщики маркер", "44 за 3 года"</t>
  </si>
  <si>
    <t>20.17 Каучуки синтетические в первичных формах
20.16.10.119 Полиэтилен прочий
20.14 Вещества химические органические основные прочие
20.16.40.170 Полиэтилентерефталат в первичных формах</t>
  </si>
  <si>
    <t>20.59.43.120 Антифризы
20.20.14.000 Средства дезинфекционные
20.59.42.120 Присадки к топливу
20.14.13.000 Производные ациклических углеводородов хлорированные
20.59.56.150 Катализаторы, не включенные в другие группировки
20.59.59.900 Продукты разные химические прочие, не включенные в другие группировки</t>
  </si>
  <si>
    <t>За весь период компания заключила  10 контрактов на сумму  27 906 368 782,45 ?</t>
  </si>
  <si>
    <t>"поставщики маркер", ".", "fk1", "ПОС на 03.04.2023", "Кредитный портфель_01.11", "корп 1", "06.2022_ФинХД", "Обороты по клиентам по кварталам (2022г)", "Участники клиринга", "рейтинг по нмц маркер"</t>
  </si>
  <si>
    <t>За весь период контрактов 6 шт. на общую сумму НМЦ 11 672 200 645,78 ?</t>
  </si>
  <si>
    <t>За весь период контрактов 6 шт. на общую сумму НМЦ 11 286 736 500,00 ?</t>
  </si>
  <si>
    <t>30.20.33 Вагоны железнодорожные или трамвайные грузовые и вагоны-платформы, несамоходные
49.20.19 Услуги железнодорожного транспорта по перевозке прочих грузов
49.20.1 Услуги железнодорожного транспорта по перевозке грузов</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</si>
  <si>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35.13.10.000 Услуги по распределению электроэнергии
42.22.12.110 Линии электропередачи местные
42.22.12.111 Линии электропередачи местные воздушные
41.10.10.000 Документация проектная для строительства
42.12.20.150 Услуги по реконструкции или ремонту железнодорожных путей
42.22.12.112 Линии электропередачи местные кабельные
71.12.13.000 Услуги по инженерно-техническому проектированию систем энергоснабжения ****</t>
  </si>
  <si>
    <t>За весь период компания заключила  18 контрактов на сумму  11 849 943 061,75 ? За весь период заходили в конкурсы  29 раз на общую сумму обеспеченных контрактов с НМЦ 12 794 696 451,66 ? с БГУ  595 409 656,85 ? с БГИ 1 553 486 294,99 ? За 3 ГОДА по 44ФЗ заключено 17 шт. с объемом НМЦ  5 995 651 779,00 ? с БГИ 742 736 209,60 ? с БГГО 2 086 322,00 ? с авансированием до 0,00 ? с комиссией банку 10 658 348,47 ? с кв 92 727,63 ? ЗА 1 ГОД по 44ФЗ заключено 6 шт. c объемом НМЦ 2 859 684 540,00 ? с БГИ 302 867 911,20 ? с БГГО 0,00 ? с авансированием до  0,00 ? с комиссией банку  6 844 787,42 ? с кв 59 549,65 ? ЗА 3 ГОДА ПО 223 ФЗ заключено 3 шт. с объемом НМЦ 24 229 639,05 ?</t>
  </si>
  <si>
    <t>"223 за 3 года", ".", "рейтинг поставщиков в маркере по бг", "выдали", "Конкурсы 100+ (Восстановленный)", "fk1",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 "44 за 3 года"</t>
  </si>
  <si>
    <t>19.20.21 Топливо моторное, включая автомобильный и авиационный бензин
19.20.21.345 Топливо дизельное межсезонное экологического класса К5
19.20.2 Топливо жидкое и газообразное; масла смазочные
19.20.21.300 Топливо дизельное
19.20.31 Пропан и бутан сжиженные</t>
  </si>
  <si>
    <t>"поставщики маркер", ".", "инн фт", "Участники клиринга"</t>
  </si>
  <si>
    <t>22.22.19.000 Изделия упаковочные пластмассовые прочие
20.42.16.110 Шампуни
20.20.14.000 Средства дезинфекционные
17.12.41.120 Крафт-бумага мешочная крепированная или гофрированная
17.22.11.130 Салфетки и полотенца гигиенические или косметические из бумажной массы, бумаги, целлюлозной ваты и полотна из целлюлозных волокон
17.23.13.110 Журналы регистрационные из бумаги или картона
17 Бумага и изделия из бумаги
26.20.18.000 Устройства периферийные с двумя или более функциями: печать данных, копирование, сканирование, прием и передача факсимильных сообщений
20.41.32.121 Порошки стиральные
32.91.12.140 Кисти художественные, кисточки для письма ****</t>
  </si>
  <si>
    <t>За весь период компания заключила  8 контрактов на сумму  663 492 402,69 ? За весь период заходили в конкурсы  3 раз на общую сумму обеспеченных контрактов с НМЦ 461 084 835,29 ? с БГУ  24 795 855,02 ? с БГИ 144 173 584,61 ?</t>
  </si>
  <si>
    <t>"223 за 3 года", "кл фт прямые бг 04.22", "свод фт", ".", "рейтинг поставщиков в маркере по бг", "Одобренные но не выданные 1 полугодие 2021(прямые)", "все клиенты с выручкой от 1,8 млрд до бесконечности", "портфель", "ФК клиенты с выручкой от 230 до бесконечности", "клиенты от 100 млн", "ФТ клиенты с продуктами по сотрудникам", "рейтинг заказчиков маркер", "рейтинг по нмц маркер", "на фт заводил Середин", "на фт заводил Микульшин", "crm управления", "в crm за Шаклейном ",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</si>
  <si>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42.99.12.124 Территории парковые и парки для отдыха
81.30.10.000 Услуги по планировке ландшафта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</si>
  <si>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11 контрактов на сумму  11 541 968 688,34 ? За весь период заходили в конкурсы  13 раз на общую сумму обеспеченных контрактов с НМЦ 9 871 127 454,84 ? с БГУ  416 675 910,22 ? с БГИ 2 571 814 792,69 ? За 3 ГОДА по 44ФЗ заключено 5 шт. с объемом НМЦ  4 539 451 052,25 ? с БГИ 907 890 210,45 ? с БГГО 15 558 341,00 ? с авансированием до 39 112 955 476,25 ? с комиссией банку 11 017 689,05 ? с кв 95 853,89 ? ЗА 1 ГОД по 44ФЗ заключено 3 шт. c объемом НМЦ 2 609 902 301,25 ? с БГИ 521 980 460,25 ? с БГГО 8 939 772,00 ? с авансированием до  521 980 460,25 ? с комиссией банку  6 555 937,97 ? с кв 57 036,66 ? ЗА 3 ГОДА ПО 223 ФЗ заключено 1 шт. с объемом НМЦ 153 285 040,00 ? за 1 ГОД ПО 223ФЗ заключено 1  153 285 040,00 ?</t>
  </si>
  <si>
    <t>"223 за 3 года", ".", "рейтинг поставщиков в маркере по бг", "ГРАНДИОЗНЫЙ ПРОЕКТ", "Конкурсы 100+ (Восстановленный)", "fk1", "Агентские одобренные но не выданные от 30.08", "клиенты с в от100млн 09.21", "ФК клиенты с выручкой от 230 до бесконечности", "Обороты по клиентам по кварталам (2022г)", "223 фз контракты 20+", "44 фз с с БГ от 10 млн", "рейтинг по нмц маркер", "поставщики маркер", "44 за 3 года"</t>
  </si>
  <si>
    <t>1 616</t>
  </si>
  <si>
    <t>27.90.33.110 Комплектующие (запасные части) прочего электрического оборудования, не имеющие самостоятельных группировок
23.99.14.130 Продукты на основе графита или прочих форм углерода в виде полуфабрикатов
25.30.12.111 Трубопроводы
25.30.12.113 Оборудование котельное
25.93.15.120 Электроды с покрытием
46.42.11.110 Услуги по оптовой торговле одеждой, включая спортивную, кроме нательного белья
28.13.21 Насосы вакуумные
28.14.13 Арматура запорная для управления процессом (задвижки, краны, клапаны запорные, затворы дисковые и другая арматура)
28.15.1 Подшипники шариковые или роликовые
28.12.13.190 Насосы гидравлические прочие ****</t>
  </si>
  <si>
    <t>За весь период компания заключила  4 контрактов на сумму  274 561 683,84 ?                                     ЗА 3 ГОДА ПО 223 ФЗ заключено 37 шт. с объемом НМЦ 1 249 351 419,34 ? за 1 ГОД ПО 223ФЗ заключено 39  1 102 769 334,23 ?</t>
  </si>
  <si>
    <t>38.22.29.000 Услуги по утилизации прочих опасных отходов
43.99.90.190 Работы строительные специализированные прочие, не включенные в другие группировки
42.13.10.110 Мосты и путепроводы из любых материалов для всех типов сухопутного транспорта и для пешеходов
43.21.10 Работы электромонтажные
08.12 Гравий, песок, глины и каолин
20.13.62.190 Соли неорганических кислот или пероксикислот прочие
02.40.10.121 Услуги по рубке (валке) леса
41.20.20.310 Сооружения нефтехимических предприятий
42.22.1 Сооружения коммунальные для электроснабжения и связи
42.22.12 Линии электропередачи и связи местные ****</t>
  </si>
  <si>
    <t>За весь период компания заключила  23 контрактов на сумму  19 545 358 768,98 ?</t>
  </si>
  <si>
    <t>45.20.21.111 Услуги по регламентным работам (по видам технического обслуживания)
22.11.1 Шины, покрышки и камеры резиновые новые
22.11.13.110 Шины и покрышки пневматические для автобусов, троллейбусов и грузовых автомобилей новые</t>
  </si>
  <si>
    <t>"223 за 3 года", ".", "fk1", "Действующий клиент мсб с выр от 30 млн на 05.21", "все клиенты с выручкой от 1,8 млрд до бесконечности", "ФК клиенты с выручкой от 230 до бесконечности", "поставщики маркер"</t>
  </si>
  <si>
    <t>49.39.39.000 Услуги по перевозке пассажиров сухопутным транспортом прочие, не включенные в другие группировки
49.41.19.900 Услуги по перевозке грузов автомобильным транспортом прочие, не включенные в другие группировки
49.41.1 Услуги по грузовым перевозкам автомобильным транспортом</t>
  </si>
  <si>
    <t>За весь период контрактов 2 шт. на общую сумму НМЦ 2 523 459 842,52 ?</t>
  </si>
  <si>
    <t>За весь период контрактов 2 шт. на общую сумму НМЦ 11 522 000 000,00 ?</t>
  </si>
  <si>
    <t>За весь период контрактов 2 шт. на общую сумму НМЦ 2 150 000 000,00 ?</t>
  </si>
  <si>
    <t>26.20.18.000 Устройства периферийные с двумя или более функциями: печать данных, копирование, сканирование, прием и передача факсимильных сообщений
26.70.14.190 Фотокамеры прочие
26.20.1 Компьютеры, их части и принадлежности
26.70.19.000 Части и принадлежности фотографического оборудования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26.20.14 Машины вычислительные электронные цифровые, поставляемые в виде систем для автоматической обработки данных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27.32.13.150 Кабели, провода и шнуры связи
15.12.12.193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t>
  </si>
  <si>
    <t>"223 за 3 года", ".", "06.2022_ФинХД", "все клиенты с выручкой от 1,8 млрд до бесконечности", "ФК клиенты с выручкой от 230 до бесконечности", "рейтинг по нмц маркер", "это заказчик"</t>
  </si>
  <si>
    <t>"223 за 3 года", ".", "fk1", "Обороты по клиентам по кварталам (2022г)", "производители"</t>
  </si>
  <si>
    <t>43.99.90.190 Работы строительные специализированные прочие, не включенные в другие группировки
41.20.40.200 Работы по сохранению и воссозданию нежилых зданий, являющихся объектами культурного наследия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71.11.22.000 Услуги в области архитектуры, связанные с проектами строительства нежилых зданий и сооружений
43.32.10.110 Работы по установке дверных и оконных блоков и коробок, навеске дверных полотен (кроме дверей автоматического действия и вращающихся дверей), окон, оконных створок, планчатых створок, дверей гаражного типа и т. п. из любых материалов
43.39.19.190 Работы завершающие и отделочные в зданиях и сооружениях, прочие, не включенные в другие группировки
71.12.12.130 Услуги, связанные с разработкой инженерно-технической проектной документации по консервации, ремонту, реставрации, приспособлению и воссозданию зданий, являющихся объектами культурного наследия
43.29.19.110 Работы по монтажу лифтов, эскалаторов и движущихся тротуаров, требующие специальной квалификации, включая ремонт и техническое обслуживание
42.99.29.200 Работы по сохранению и воссозданию гражданских сооружений, являющихся объектами культурного наследия, не включенные в другие группировки ****</t>
  </si>
  <si>
    <t>За весь период компания заключила  56 контрактов на сумму  24 690 679 788,88 ? За весь период заходили в конкурсы  140 раз на общую сумму обеспеченных контрактов с НМЦ 38 972 634 550,91 ? с БГУ  1 570 427 824,53 ? с БГИ 7 872 797 452,57 ? За 3 ГОДА по 44ФЗ заключено 58 шт. с объемом НМЦ  11 288 432 486,34 ? с БГИ 2 065 059 914,24 ? с БГГО 436 673 386,56 ? с авансированием до 6 070 901 763,87 ? с комиссией банку 30 921 699,81 ? с кв 269 018,79 ? ЗА 1 ГОД по 44ФЗ заключено 19 шт. c объемом НМЦ 3 730 635 196,77 ? с БГИ 581 834 999,49 ? с БГГО 139 982 343,33 ? с авансированием до  566 712 014,00 ? с комиссией банку  25 887 193,80 ? с кв 225 218,59 ? ЗА 3 ГОДА ПО 223 ФЗ заключено 1 шт. с объемом НМЦ 49 998 273,99 ? за 1 ГОД ПО 223ФЗ заключено 2  51 091 127,11 ?</t>
  </si>
  <si>
    <t>"223 за 3 года", ".", "рейтинг поставщиков в маркере по бг", "выдали", "ГРАНДИОЗНЫЙ ПРОЕКТ", "Конкурсы 100+ (Восстановленный)", "fk1", "все клиенты с выручкой от 1,8 млрд до бесконечности", "Обороты по клиентам по кварталам (2022г)", "223 фз контракты 20+", "44 фз с с БГ от 10 млн", "рейтинг по нмц маркер", "поставщики маркер", "44 за 3 года"</t>
  </si>
  <si>
    <t>Заказчик разыгравший 1685 конкурсов на сумму  13 146 097 954 072,30 ?</t>
  </si>
  <si>
    <t>2 686</t>
  </si>
  <si>
    <t>77.1 Услуги по аренде и лизингу автотранспортных средств
77.11.10.000 Услуги по аренде и лизингу легковых автомобилей и легких автотранспортных средств
64.91 Услуги по финансовой аренде (лизингу/сублизингу)
77 Услуги по аренде и лизингу
77.12 Услуги по аренде и лизингу грузовых транспортных средств
77.12.19.000 Услуги по аренде и лизингу прочих сухопутных транспортных средств и оборудования без водителя
64.91.10.190 Услуги по финансовой аренде (лизингу/сублизингу) в прочих областях, кроме племенных животных
29.10.23.000 Средства транспортные с поршневым двигателем внутреннего сгорания с воспламенением от сжатия (дизелем или полудизелем), новые
29.10.21.000 Средства транспортные с двигателем с искровым зажиганием, с рабочим объемом цилиндров не более 1500 см3, новые
77.12.11.000 Услуги по аренде и лизингу грузовых транспортных средств без водителя</t>
  </si>
  <si>
    <t>ЗА 3 ГОДА ПО 223 ФЗ заключено 27 шт. с объемом НМЦ 84 336 522,04 ?</t>
  </si>
  <si>
    <t>Сообщение кредитора о намерении обратиться в суд с заявлением о банкротстве от 15.12.2021</t>
  </si>
  <si>
    <t>"223 за 3 года", ".", "fk1", "все клиенты с выручкой от 1,8 млрд до бесконечности", "ФК клиенты с выручкой от 230 до бесконечности", "рейтинг по нмц маркер", "поставщики маркер"</t>
  </si>
  <si>
    <t>28.23.23.000 Машины офисные прочие</t>
  </si>
  <si>
    <t>За весь период компания заключила  1 контрактов на сумму  1 139 873 914,10 ? За весь период заходили в конкурсы  1 раз на общую сумму обеспеченных контрактов с НМЦ 1 139 873 914,10 ? с БГУ  34 716 972,00 ? с БГИ 115 723 240,01 ?</t>
  </si>
  <si>
    <t>"поставщики маркер", ".", "рейтинг поставщиков в маркере по бг", "fk1", "корп 1", "Банкроты ФБ 28.04.2023", "клиенты с в от100млн 09.21", "Пункт 3 09.01.23",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t>
  </si>
  <si>
    <t>43.99.40.130 Работы по укреплению фундаментов
43.99.90.190 Работы строительные специализированные прочие, не включенные в другие группировки
43.39.19.190 Работы завершающие и отделочные в зданиях и сооружениях, прочие, не включенные в другие группировки
43.91.19.190 Работы кровельные прочие, не включенные в другие группировки
43.39.1 Работы завершающие и отделочные в зданиях и сооружениях, прочие
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43.9 Работы строительные специализированные прочие
43.29.12.120 Работы по монтажу пожарных (металлических) лестниц, требующие специальной квалификации
43.21.10.290 Работы электромонтажные прочие, не включенные в другие группировки
43 Работы строительные специализированные ****</t>
  </si>
  <si>
    <t>ООО «Бизнес-Финанс»</t>
  </si>
  <si>
    <t>"223 за 3 года", ".", "БизФин", "поставщики маркер", "44 за 3 года"</t>
  </si>
  <si>
    <t>За весь период компания заключила  72 контрактов на сумму  34 934 117 469,24 ?</t>
  </si>
  <si>
    <t>05.10.1 Уголь</t>
  </si>
  <si>
    <t>Сообщения о принятии решения о реорганизации от 08.07.2020</t>
  </si>
  <si>
    <t>10.13.14.119 Изделия колбасные вареные мясные прочие
10.13.14.100 Изделия колбасные вареные, в том числе фаршированные
10.13.11.000 Свинина соленая, в рассоле, копченая, сушеная (в том числе сублимационной сушки)
10.13.14.113 Сардельки мясные
10.13.14.110 Изделия колбасные вареные, в том числе фаршированные мясные
10.86.10.611 Колбасы вареные для детского питания
10.11.11.110 Говядина парная, остывшая или охлажденная
10.51.51.113 Молоко сгущенное (концентрированное) с сахаром
10.13.14.413 Колбасы (колбаски) сырокопченые мясные
10.13.14.422 Колбасы (колбаски) варено-копченые мясосодержащие ****</t>
  </si>
  <si>
    <t>99.00.10 Услуги, предоставляемые экстерриториальными организациями и органами</t>
  </si>
  <si>
    <t>26.20.18.000 Устройства периферийные с двумя или более функциями: печать данных, копирование, сканирование, прием и передача факсимильных сообщений
28.23.25.000 Части и принадлежности прочих офисных машин
26.20.2 Устройства запоминающие и прочие устройства хранения данных
26.30 Оборудование коммуникационное
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</si>
  <si>
    <t>За весь период компания заключила  1 контрактов на сумму  1 099 999 998,00 ? За весь период заходили в конкурсы  3 раз на общую сумму обеспеченных контрактов с НМЦ 1 530 015 934,66 ? с БГУ  77 571 001,03 ? с БГИ 340 264 423,98 ?</t>
  </si>
  <si>
    <t>"223 за 3 года", ".", "рейтинг поставщиков в маркере по бг", "портфель 51", "fk1", "корп 1", "06.2022_ФинХД", "все клиенты с выручкой от 1,8 млрд до бесконечности", "ФК клиенты с выручкой от 230 до бесконечности", "клиенты от 100 млн", "рейтинг по нмц маркер", "поставщики маркер"</t>
  </si>
  <si>
    <t>23.61.12.112 Фундаменты стаканного типа и башмаки железобетонные
23.69.19.000 Изделия из цемента, бетона или искусственного камня, не включенные в другие группировки
24.10.62.124 Прокат сортовой горячекатаный полосовой прочий, без дополнительной обработки, включая смотанный после прокатки, из нелегированных сталей
24.10.71.120 Двутавры стальные горячекатаные из нелегированных сталей
24.10.80.190 Прокат черных металлов прочий, не включенный в другие группировки
24 Металлы основные
24.20.13.130 Трубы стальные электросварные
24.10.21.149 Полуфабрикаты круглого или многоугольного сечения из нелегированной стали прочие
23.61 Изделия из бетона, используемые в строительстве
23.61.12 Блоки и прочие изделия сборные строительные для зданий и сооружений из цемента, бетона или искусственного камня ****</t>
  </si>
  <si>
    <t>ЗА 3 ГОДА ПО 223 ФЗ заключено 18 шт. с объемом НМЦ 71 648 201,46 ? за 1 ГОД ПО 223ФЗ заключено 3  10 182 724,40 ?</t>
  </si>
  <si>
    <t>"223 за 3 года", "свод фт", ".", "все клиенты с выручкой от 1,8 млрд до бесконечности", "Одобренные но не выданные 1 полугодие 2021", "рейтинг по нмц маркер", "это заказчик", "на фт заводил Алиев", "crm управления", "в crm за Арифом", "поставщики маркер", "44 за 3 года"</t>
  </si>
  <si>
    <t>82.99.19 Услуги вспомогательные, связанные с предпринимательской деятельностью, прочие, не включенные в другие группировки
49.32.12.000 Услуги по аренде легковых автомобилей с водителем
49.39 Услуги сухопутного пассажирского транспорта прочие, не включенные в другие группировки
52.21.29.000 Услуги, связанные с автомобильным транспортом, прочие
49.32.12 Услуги арендованных легковых автомобилей с водителем</t>
  </si>
  <si>
    <t>За весь период компания заключила  9 контрактов на сумму  12 052 613 765,31 ?                                     ЗА 3 ГОДА ПО 223 ФЗ заключено 2 шт. с объемом НМЦ 4 266 930 760,16 ?</t>
  </si>
  <si>
    <t>"223 за 3 года", "свод фт", ".", "инн Вавилова", "fk1", "корп 2",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заказчиков маркер", "рейтинг по нмц маркер", "это заказчик", "на фт заводил Тихонов ", "поставщики маркер"</t>
  </si>
  <si>
    <t>20.59.52.199 Реагенты сложные диагностические или лабораторные прочие, не включенные в другие группировки
17.11.14.190 Целлюлоза из прочих волокнистых материалов, кроме древесины
16.10.23.120 Стружка древесная
46.7 Услуги по специализированной оптовой торговле прочие
16.29.14.192 Гранулы топливные (пеллеты) из отходов деревопереработки
01.19.39.000 Сырье растительное, не включенное в другие группировки
23.99.19.190 Продукция минеральная неметаллическая прочая, не включенная в другие группировки</t>
  </si>
  <si>
    <t>"ФТ клиенты с продуктами по сотрудникам", "кл фт агент бг 04.22", ".", "fk1", "корп 1", "Агентские одобренные но не выданные от 30.08", "клиенты с в от100млн 09.21", "ФК клиенты с выручкой от 230 до бесконечности", "клиенты от 100 млн", "действующие б не прям", "Обороты по клиентам по кварталам (2022г)"</t>
  </si>
  <si>
    <t>29.10.24.000 Средства автотранспортные для перевозки людей прочие
29.10.59.150 Средства транспортные для аварийно-спасательных служб и полиции
29.10.42.111 Автомобили грузовые с бензиновым двигателем, имеющие технически допустимую максимальную массу не более 3,5 т
29.10.22.000 Средства транспортные с двигателем с искровым зажиганием, с рабочим объемом цилиндров более 1500 см3, новые</t>
  </si>
  <si>
    <t>"44 за 3 года", ".", "клиент металлинвеста", "все клиенты с выручкой от 1,8 млрд до бесконечности", "поставщики маркер"</t>
  </si>
  <si>
    <t>Заказчик разыгравший 21 конкурсов на сумму  4 137 994 919,76 ?</t>
  </si>
  <si>
    <t>52.24.1 Услуги по обработке грузов
52.29.19.110 Услуги по экспедированию грузов
50.40.19.900 Услуги по перевозке внутренним водным транспортом прочих грузов, не включенные в другие группировки
52.24.13.000 Услуги по обработке грузов в портах прочие
52.21.1 Услуги, связанные с железнодорожным транспортом
52.22.19.192 Услуги, связанные с внутренним водным транспортом, прочие
50.40 Услуги по перевозке грузов внутренним водным транспортом
52.24.19 Услуги по обработке грузов прочие</t>
  </si>
  <si>
    <t>За весь период компания заключила  2 контрактов на сумму  9 698 954 050,30 ?                                     ЗА 3 ГОДА ПО 223 ФЗ заключено 15 шт. с объемом НМЦ 67 349 809,42 ? за 1 ГОД ПО 223ФЗ заключено 3  8 408 385,00 ?</t>
  </si>
  <si>
    <t>За весь период компания заключила  1 контрактов на сумму  579 902 418,88 ?</t>
  </si>
  <si>
    <t>52.24.1 Услуги по обработке грузов
52.29.19.110 Услуги по экспедированию грузов
46.12.11.000 Услуги по оптовой торговле твердым, жидким и газообразным топливом и связанными продуктами за вознаграждение или на договорной основе
30.20.12.120 Тепловозы маневровые и промышленные
49.20 Услуги железнодорожного транспорта по перевозке грузов
77.39.11.000 Услуги по аренде и лизингу железнодорожных транспортных средств
52.29.19 Услуги грузовых транспортно-экспедиционных агентств прочие
52.24.12.120 Услуги грузовых контейнерных терминалов (не расположенных в портах) для всех видов транспорта, включая работы по погрузке и разгрузке грузовых вагонов
49.20.13.000 Услуги железнодорожного транспорта по перевозке жидких и газообразных грузов в массе (наливом) в вагонах-цистернах
49.41.20 Услуги по аренде грузовых транспортных средств с водителем ****</t>
  </si>
  <si>
    <t>За весь период компания заключила  21 контрактов на сумму  20 411 698 886,18 ? За весь период заходили в конкурсы  3 раз на общую сумму обеспеченных контрактов с НМЦ 1 854 556 931,90 ? с БГУ  115 705 361,63 ? с БГИ 449 607 051,41 ?                             ЗА 3 ГОДА ПО 223 ФЗ заключено 12 шт. с объемом НМЦ 60 929 810,35 ? за 1 ГОД ПО 223ФЗ заключено 2  8 395 000,00 ?</t>
  </si>
  <si>
    <t>"223 за 3 года", ".", "рейтинг поставщиков в маркере по бг", "fk1", "06.2022_ФинХД", "все клиенты с выручкой от 1,8 млрд до бесконечности", "рейтинг заказчиков маркер", "рейтинг по нмц маркер", "это заказчик", "поставщики маркер"</t>
  </si>
  <si>
    <t>93.19.19.000 Услуги в области спорта и отдыха прочие
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86.90.19.140 Услуги санаторно-курортных организаций
35.30.12.110 Услуги по приготовлению воды на нужды горячего водоснабжения
86.90.13.000 Услуги физиотерапевтические
86 Услуги в области здравоохранения
86.90.19.190 Услуги в области медицины прочие, не включенные в другие группировки</t>
  </si>
  <si>
    <t>За весь период компания заключила  2 контрактов на сумму  1 625 000 000,00 ?                                         за 1 ГОД ПО 223ФЗ заключено 13  28 303 722,00 ?</t>
  </si>
  <si>
    <t>80.10.19.000 Услуги в области обеспечения безопасности прочие
84.25.19.110 Услуги по обеспечению безопасности на водных объектах</t>
  </si>
  <si>
    <t>4 270</t>
  </si>
  <si>
    <t>За весь период заходили в конкурсы  3 раз на общую сумму обеспеченных контрактов с НМЦ 316 599 619,20 ? с БГУ  9 599 568,00 ? с БГИ 24 239 136,00 ?                             ЗА 3 ГОДА ПО 223 ФЗ заключено 4 шт. с объемом НМЦ 51 078 500,00 ? за 1 ГОД ПО 223ФЗ заключено 13  4 097 818 769,43 ?</t>
  </si>
  <si>
    <t>"223 за 3 года", ".", "рейтинг поставщиков в маркере по бг", "Конкурсы 100+ (Восстановленный)", "все клиенты с выручкой от 1,8 млрд до бесконечности", "223 фз контракты 20+", "рейтинг заказчиков маркер", "рейтинг по нмц маркер", "это заказчик", "поставщики маркер"</t>
  </si>
  <si>
    <t>18.12.19.190 Услуги печатные прочие, не включенные в другие группировки
95.11.10 Услуги по ремонту компьютеров и периферийного оборудования</t>
  </si>
  <si>
    <t>2 094</t>
  </si>
  <si>
    <t>За весь период контрактов 4 шт. на общую сумму НМЦ 2 829 155 596,40 ?</t>
  </si>
  <si>
    <t>23.63.1 Бетон, готовый для заливки (товарный бетон)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71.12.20.190 Услуги по руководству строительными проектами прочие
42.13.10.110 Мосты и путепроводы из любых материалов для всех типов сухопутного транспорта и для пешеходов
41.20.40.900 Работы строительные по возведению нежилых зданий и сооружений прочие, не включенные в другие группировки
23.61.12.163 Шпалы и брусья железобетонные
23.61.12.190 Конструкции сборные строительные железобетонные прочие
23.61.11.131 Кирпич силикатный и шлаковый
71.20.19.190 Услуги по техническим испытаниям и анализу прочие, не включенные в другие группировки
42.12.20.190 Работы строительные по строительству наземных и подземных железных дорог прочие, не включенные в другие группировки ****</t>
  </si>
  <si>
    <t>За весь период контрактов 87 шт. на общую сумму НМЦ 277 555 711 235,78 ?</t>
  </si>
  <si>
    <t>Сообщение кредитора о намерении обратиться в суд с заявлением о банкротстве от 17.07.2019</t>
  </si>
  <si>
    <t>"223 за 3 года", ".", "рейтинг поставщиков в маркере по бг", "АНАЛИЗ Все установленные лимиты на 01.12.2021 ОКВЭД Прочие Услуги", "все клиенты с выручкой от 1,8 млрд до бесконечности", "рейтинг заказчиков маркер", "производители", "рейтинг по нмц маркер", "это заказчик", "поставщики маркер"</t>
  </si>
  <si>
    <t>10.91.10.180 Комбикорма
10.61.21.113 Мука пшеничная хлебопекарная высшего сорта
01.11.50.000 Солома и мякина зерновых культур
10.61.40.000 Отруби, высевки и прочие отходы от обработки зерновых культур
08.11.30.127 Мука доломитовая
01.11.11.122 Семена яровой твердой пшеницы
01.11.31.119 Зерно ячменя озимого прочего
01.11.11.120 Пшеница яровая твердая
10.91.10.183 Комбикорма для свиней
10.91.10.171 Премиксы для крупного рогатого скота ****</t>
  </si>
  <si>
    <t>"в crm за Арифом", "crm управления"</t>
  </si>
  <si>
    <t>Сообщение кредитора о намерении обратиться в суд с заявлением о банкротстве от 09.08.2021</t>
  </si>
  <si>
    <t>"в crm за Арифом", ".", "беники", "crm управления"</t>
  </si>
  <si>
    <t>28.30.3 Машины и оборудование сельскохозяйственные для обработки почвы
49.41.19.900 Услуги по перевозке грузов автомобильным транспортом прочие, не включенные в другие группировки
28.30.31.124 Плуги рыхлительные
28.30.32.110 Бороны
28.30.39 Машины сельскохозяйственные для обработки почвы прочие</t>
  </si>
  <si>
    <t>1 006</t>
  </si>
  <si>
    <t>Юридическим лицом принято решение об изменении места нахождения от 19.11.2020</t>
  </si>
  <si>
    <t>2 081</t>
  </si>
  <si>
    <t>Сообщения о принятии решения о реорганизации от 11.02.2020</t>
  </si>
  <si>
    <t>52.29.19.110 Услуги по экспедированию грузов
01.11.32.121 Зерно яровой ржи</t>
  </si>
  <si>
    <t>20.16.59.110 Смолы и политерпены нефтяные, кумароновые, инденовые и кумарон-инденовые в первичных формах
20.12.11.130 Оксиды титана</t>
  </si>
  <si>
    <t>"поставщики маркер", "свод фт", ".", "на фт заводил Сайпудинов М", "crm управления", "в crm за Муслимом"</t>
  </si>
  <si>
    <t>21.10.99 Услуги по производству основных фармацевтических продуктов отдельные, выполняемые субподрядчиком
21.20.10.133 Препараты антианемические
21.20.10.191 Препараты антибактериальные для системного использования
21.20.10 Препараты лекарственные
21.20.10.143 Диуретики
47.73.10.000 Услуги по розничной торговле лекарственными средствами в специализированных магазинах
21.20.10.182 Препараты для лечения заболеваний щитовидной железы
21.20 Препараты лекарственные и материалы, применяемые в медицинских целях
21.20.10.121 Добавки минеральные
21.10.10 Кислота салициловая, кислота О-ацетилсалициловая, их соли и эфиры сложные ****</t>
  </si>
  <si>
    <t>Сообщения о принятии решения о реорганизации от 31.10.2022</t>
  </si>
  <si>
    <t>"223 за 3 года", ".", "fk1", "лимит сит по кредитам", "Пустые_Клиенты", "это заказчик", "поставщики маркер", "44 за 3 года"</t>
  </si>
  <si>
    <t>28.14.12.120 Клапаны для радиаторов центрального отопления
28.12.14.111 Гидроклапаны давления
28.99.39.190 Оборудование специального назначения прочее, не включенное в другие группировки
28.22.19.169 Комплектующие (запасные части) лифтов прочие, не имеющие самостоятельных группировок</t>
  </si>
  <si>
    <t>28.14.11.120 Арматура регулирующая</t>
  </si>
  <si>
    <t>96.01.11.000 Услуги по стирке с использованием машин-автоматов, действующих при опускании жетонов (монет)
77.29.15.000 Услуги по прокату текстильных изделий, одежды и обуви
77.29.19.000 Услуги по прокату прочих бытовых изделий и предметов личного пользования, не включенных в другие группировки
77.29.14.000 Услуги по прокату бытовых бельевых изделий
81.29.13.000 Услуги санитарно-гигиенические прочие
96.01.19.116 Услуги по стирке фасонного хлопчатобумажного и льняного белья
96.01.19.127 Услуги по дезинфекции белья
96.01.19.139 Прочие услуги прачечных
96 Услуги персональные прочие
96.01 Услуги по стирке и чистке (в том числе химической) изделий из тканей и меха ****</t>
  </si>
  <si>
    <t>За весь период компания заключила  6 контрактов на сумму  721 348 403,91 ?         За 3 ГОДА по 44ФЗ заключено 85 шт. с объемом НМЦ  937 985 845,58 ? с БГИ 161 276 635,85 ? с БГГО 824,07 ? с авансированием до 55 931,03 ? с комиссией банку 5 448 839,65 ? с кв 47 404,90 ? ЗА 1 ГОД по 44ФЗ заключено 24 шт. c объемом НМЦ 143 006 706,56 ? с БГИ 18 235 308,66 ? с БГГО 0,00 ? с авансированием до  55 931,03 ? с комиссией банку  378 489,43 ? с кв 3 292,86 ? ЗА 3 ГОДА ПО 223 ФЗ заключено 24 шт. с объемом НМЦ 2 618 973 102,05 ? за 1 ГОД ПО 223ФЗ заключено 3  4 586 500,00 ?</t>
  </si>
  <si>
    <t>"223 за 3 года", "кл фт ФК БГ 04.22", ".", "одобренные", "fk1", "ИНН 3 года - нет КД БГ на 01.10.22", "БГ ФБ ЮР лица на 01.07.2021", "филиал бизнес 31.01.22 ",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"рейтинг по нмц маркер", "это заказчик", "поставщики маркер", "44 за 3 года"</t>
  </si>
  <si>
    <t>52.29.19.110 Услуги по экспедированию грузов
51.21.1 Услуги по перевозке грузов воздушным транспортом
52.29.19 Услуги грузовых транспортно-экспедиционных агентств прочие
51.21.14.000 Услуги по перевозке прочих грузов воздушным транспортом на нерегулярной основе
52.29.20.000 Услуги транспортные вспомогательные прочие, не включенные в другие группировки
51.10.13.000 Услуги по регулярным пассажирским перевозкам воздушным транспортом на международных линиях
49.41.1 Услуги по грузовым перевозкам автомобильным транспортом</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</si>
  <si>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81.29.19.000 Услуги по чистке и уборке прочие, не включенные в другие группировки</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</si>
  <si>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35.11.10.112 Электроэнергия, произведенная теплоэлектроцентралями (ТЭЦ) общего назначения
35.14 Услуги по торговле электроэнергией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35.11.10.110 Электроэнергия, произведенная электростанциями общего назначения
35.11.10.122 Электроэнергия, произведенная блок-станциями теплоэлектроцентралей (ТЭЦ)
35.30.11.130 Энергия тепловая, отпущенная электрокотлами
35.30.12.110 Услуги по приготовлению воды на нужды горячего водоснабжения ****</t>
  </si>
  <si>
    <t>За весь период контрактов 24 шт. на общую сумму НМЦ 25 428 276 046,75 ?</t>
  </si>
  <si>
    <t>Юридическое лицо находится в процессе реорганизации в форме присоединения к нему других юридических лиц от 11.04.2023, Сообщения о принятии решения о реорганизации от 31.03.2023</t>
  </si>
  <si>
    <t>46.90.10.000 Услуги по неспециализированной оптовой торговле
10.8 Продукты пищевые прочие</t>
  </si>
  <si>
    <t>"поставщики маркер", ".", "fk1", "просрочка на 01.01.2023 г.", "Запрос в ЮД_просрочка на 01.01.2023", "06.2022_ФинХД", "Обороты по клиентам по кварталам (2022г)"</t>
  </si>
  <si>
    <t>За весь период заходили в конкурсы  2 раз на общую сумму обеспеченных контрактов с НМЦ 260 000 000,00 ? с БГУ  0,00 ? с БГИ 30 000 000,00 ?</t>
  </si>
  <si>
    <t>13.95 Материалы нетканые и изделия из них (кроме одежды)</t>
  </si>
  <si>
    <t>За 3 года по 223ФЗ заключено  1 шт контрактов на сумму 157 836 462,80 ?</t>
  </si>
  <si>
    <t>Сообщение кредитора о намерении обратиться в суд с заявлением о банкротстве от 22.01.2021</t>
  </si>
  <si>
    <t>"223 за 3 года", ".", "fk1", "Кредитный портфель_01.11", "06.2022_ФинХД"</t>
  </si>
  <si>
    <t>42.21.12.110 Трубопровод местный для воды (водопровод)
68.20.12.000 Услуги по сдаче в аренду (внаем) собственных или арендованных нежилых помещений
68.32.13.120 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t>
  </si>
  <si>
    <t>Сообщение кредитора о намерении обратиться в суд с заявлением о банкротстве от 05.10.2020</t>
  </si>
  <si>
    <t>28.25.13.111 Шкафы холодильные
21.20.10.191 Препараты антибактериальные для системного использования
25.11.23.119 Конструкции и детали конструкций из черных металлов прочие, не включенные в другие группировки
25.21.12.000 Котлы водогрейные центрального отопления для производства горячей воды или пара низкого давления
29.32.30.260 Системы вентиляции, отопления и кондиционирования воздуха, их узлы и детали
29.32.30.269 Узлы и детали систем вентиляции, отопления и кондиционирования воздуха, не включенные в другие группировки
28.25.12.130 Кондиционеры бытовые
46.90 Услуги по неспециализированной оптовой торговле
21.20.10.131 Антикоагулянты
21.20.10.148 Препараты, влияющие на систему ренин-ангиотензин ****</t>
  </si>
  <si>
    <t>Сообщения о принятии решения о реорганизации от 12.03.2021</t>
  </si>
  <si>
    <t>"223 за 3 года", ".", "fk1", "06.2022_ФинХД", "Обороты по клиентам по кварталам (2022г)", "это заказчик", "поставщики маркер", "44 за 3 года"</t>
  </si>
  <si>
    <t>10.13.14.119 Изделия колбасные вареные мясные прочие
10.11.11.110 Говядина парная, остывшая или охлажденная
10.11.12.110 Свинина парная, остывшая или охлажденная домашних свиней
10.11.11.130 Говядина и телятина парные, остывшие или охлажденные для детского питания
10.13.14.111 Колбасы (колбаски) вареные мясные
10.11.31.110 Говядина замороженная
10.11.32.110 Свинина замороженная
10.13.14.112 Сосиски мясные</t>
  </si>
  <si>
    <t>ЗА 1 ГОД по 44ФЗ заключено 3 шт. c объемом НМЦ 84 922 223,14 ? с БГИ 4 246 111,19 ? с БГГО 0,00 ? с авансированием до  0,00 ? с комиссией банку  83 558,17 ? с кв 726,96 ? ЗА 3 ГОДА ПО 223 ФЗ заключено 1 шт. с объемом НМЦ 38 571 957,00 ? за 1 ГОД ПО 223ФЗ заключено 3  115 715 871,00 ?</t>
  </si>
  <si>
    <t>"223 за 3 года", ".", "выдали", "fk1",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"производители", "поставщики маркер", "44 за 3 года"</t>
  </si>
  <si>
    <t>19.20.21.345 Топливо дизельное межсезонное экологического класса К5
19.20.21.300 Топливо дизельное</t>
  </si>
  <si>
    <t>За весь период заходили в конкурсы  7 раз на общую сумму обеспеченных контрактов с НМЦ 983 611 614,13 ? с БГУ  35 405 937,74 ? с БГИ 159 784 475,86 ?</t>
  </si>
  <si>
    <t>"44 за 3 года", ".", "рейтинг поставщиков в маркере по бг", "Участники клиринга", "рейтинг по нмц маркер", "crm управления", "в crm за Адеевым", "поставщики маркер"</t>
  </si>
  <si>
    <t>71.12.16.000 Услуги по инженерно-техническому проектированию производственных процессов и производств
71.12.19 Услуги по инженерно-техническому проектированию прочих объектов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42.22.22.120 Работы строительные по строительству трансформаторных станций и подстанций для распределения электричества в пределах какого-либо района
43.12.11.160 Работы по бурению горизонтальных каналов для прокладки кабелей или дренажных труб
43.99.90.190 Работы строительные специализированные прочие, не включенные в другие группировки
43.22.11 Работы по монтажу водопроводных и канализационных систем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t>
  </si>
  <si>
    <t>За весь период компания заключила  21 контрактов на сумму  7 601 222 763,76 ? За весь период заходили в конкурсы  4 раз на общую сумму обеспеченных контрактов с НМЦ 2 603 323 720,00 ? с БГУ  72 456 423,60 ? с БГИ 331 546 612,00 ?                             ЗА 3 ГОДА ПО 223 ФЗ заключено 22 шт. с объемом НМЦ 223 594 147,18 ? за 1 ГОД ПО 223ФЗ заключено 5  49 202 856,22 ?</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</si>
  <si>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35.3 Услуги по снабжению паром и кондиционированию воздуха
35.11.10 Электроэнергия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t>
  </si>
  <si>
    <t>За весь период компания заключила  8 контрактов на сумму  1 451 329 563,43 ?                                     ЗА 3 ГОДА ПО 223 ФЗ заключено 33 шт. с объемом НМЦ 146 318 217,45 ? за 1 ГОД ПО 223ФЗ заключено 13  29 166 643,28 ?</t>
  </si>
  <si>
    <t>"223 за 3 года", ".", "рейтинг заказчиков маркер", "рейтинг по нмц маркер", "поставщики маркер"</t>
  </si>
  <si>
    <t>ЗА 3 ГОДА ПО 223 ФЗ заключено 4 шт. с объемом НМЦ 21 369 011,00 ?</t>
  </si>
  <si>
    <t>10.11.31.140 Субпродукты пищевые крупного рогатого скота замороженные
10.11.11.110 Говядина парная, остывшая или охлажденная
10.11.39.190 Мясо и субпродукты пищевые прочие парные, остывшие, охлажденные или замороженные
10.13.14.123 Сардельки мясосодержащие
10.13.14.111 Колбасы (колбаски) вареные мясные
10.11.31.110 Говядина замороженная
10.13.14.122 Сосиски мясосодержащие
10.13.14.112 Сосиски мясные</t>
  </si>
  <si>
    <t>29.10.52.130 Квадроциклы
29.10.52.110 Средства транспортные снегоходные</t>
  </si>
  <si>
    <t>За весь период компания заключила  5 контрактов на сумму  302 365 197,87 ? За весь период заходили в конкурсы  12 раз на общую сумму обеспеченных контрактов с НМЦ 862 156 106,80 ? с БГУ  24 588 424,36 ? с БГИ 339 878 095,87 ?</t>
  </si>
  <si>
    <t>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10.12 Мясо сельскохозяйственной птицы и прочие продукты убоя, включая консервированные</t>
  </si>
  <si>
    <t>71.20.12.000 Услуги в области испытаний, исследований и анализа физико-механических свойств материалов и веществ
71.20.11.190 Услуги в области испытаний и анализа состава и чистоты прочих веществ
43.13.10.190 Работы разведочные буровые прочие
09.10.11.140 Услуги геолого-разведочные, связанные с добычей нефти и газа
09.10.12.190 Услуги, связанные с добычей нефти, газового конденсата и горючего природного газа, прочие
09.10.11.190 Услуги по бурению, связанные с добычей нефти и горючего природного газа, не включенные в другие группировки</t>
  </si>
  <si>
    <t>За весь период контрактов 16 шт. на общую сумму НМЦ 8 762 438 708,16 ?</t>
  </si>
  <si>
    <t>35.11.10.112 Электроэнергия, произведенная теплоэлектроцентралями (ТЭЦ) общего назначения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36.00.30.000 Услуги по торговле водой, поставляемой по трубопроводам
35.13.10.000 Услуги по распределению электроэнергии
35.30 Услуги по снабжению паром и кондиционированию воздуха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t>
  </si>
  <si>
    <t>ЗА 3 ГОДА ПО 223 ФЗ заключено 13 шт. с объемом НМЦ 27 400 526,20 ? за 1 ГОД ПО 223ФЗ заключено 9  24 289 098,00 ?</t>
  </si>
  <si>
    <t>19.2 Нефтепродукты
19.20.21.321 Топливо дизельное зимнее вне классов
19.20.21 Топливо моторное, включая автомобильный и авиационный бензин
19.20.21.100 Бензин автомобильный
19.20.21.125 Бензин автомобильный с октановым числом более 92, но не более 95 по исследовательскому методу экологического класса К5
19.20.21.120 Бензин автомобильный с октановым числом более 92, но не более 95 по исследовательскому методу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19.20.21.345 Топливо дизельное межсезонное экологического класса К5
19.20.21.300 Топливо дизельное ****</t>
  </si>
  <si>
    <t>19.20.28.112 Мазут с массовой долей серы не более 3,5 % с температурой вспышки в открытом тигле не ниже 90 °C, с содержанием сероводорода не более 20 ppm, но более 10 ppm
19.20.42.124 Битумы нефтяные строительные
19.20.21.310 Топливо дизельное летнее
19.20.42.121 Битумы нефтяные дорожные
19.20.21.320 Топливо дизельное зимнее
19.20.21.300 Топливо дизельное
19.20.28.100 Мазут
19.20.28.113 Мазут с массовой долей серы не более 3,5 % с температурой вспышки в открытом тигле не ниже 90 °C, с содержанием сероводорода не более 10 ppm
19.20.28.110 Мазут топочный
19.20 Нефтепродукты</t>
  </si>
  <si>
    <t>За весь период компания заключила  10 контрактов на сумму  390 766 084,23 ?                                     ЗА 3 ГОДА ПО 223 ФЗ заключено 7 шт. с объемом НМЦ 36 207 616,00 ?</t>
  </si>
  <si>
    <t>"223 за 3 года", ".", "fk1", "ПОС на 01.02.2023", "ПОС на 03.04.2023", "Кредитный портфель_01.11", "корп 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 "рейтинг по нмц маркер", "поставщики маркер"</t>
  </si>
  <si>
    <t>35.11.10.112 Электроэнергия, произведенная теплоэлектроцентралями (ТЭЦ)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35.13.10.000 Услуги по распределению электроэнергии
35.11.10.115 Электроэнергия, произведенная атомными электростанциями (АЭС) общего назначения
35.11.10.116 Электроэнергия, произведенная гидроэлектростанциями (ГЭС) общего назначения
35.11.10.119 Электроэнергия, произведенная нетиповыми электростанциями общего назначения
35.11.10.111 Электроэнергия, произведенная конденсационными электростанциями (КЭС) общего назначения
35 Электроэнергия, газ, пар и кондиционирование воздуха ****</t>
  </si>
  <si>
    <t>За весь период компания заключила  30 контрактов на сумму  44 550 448 534,95 ?                                     ЗА 3 ГОДА ПО 223 ФЗ заключено 5 шт. с объемом НМЦ 87 076 568,37 ?</t>
  </si>
  <si>
    <t>08.12.12.160 Смеси песчано-гравийные</t>
  </si>
  <si>
    <t>Сообщение кредитора о намерении обратиться в суд с заявлением о банкротстве от 15.10.2021</t>
  </si>
  <si>
    <t>"поставщики маркер", ".", "Участники клиринга", "рейтинг по нмц маркер", "это заказчик"</t>
  </si>
  <si>
    <t>25.99.29.190 Изделия прочие из недрагоценных металлов, не включенные в другие группировки</t>
  </si>
  <si>
    <t>Сообщения о принятии решения о реорганизации от 12.05.2022</t>
  </si>
  <si>
    <t>"поставщики маркер", ".", "fk1", "корп 1", "производители"</t>
  </si>
  <si>
    <t>55.10 Услуги гостиниц и аналогичные услуги по предоставлению временного жилья
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t>
  </si>
  <si>
    <t>Юридическое лицо находится в процессе реорганизации в форме выделения от 10.08.2021, Сообщение кредитора о намерении обратиться в суд с заявлением о банкротстве от 28.04.2023</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</si>
  <si>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71.12.20.190 Услуги по руководству строительными проектами прочие
43.29 Работы строительно-монтажные прочие
42.13.10.111 Мост автодорожный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43.29.19.190 Работы монтажные прочие, не включенные в другие группировки
42.11.10.160 Полосы взлетно-посадочные аэродромов, включая рулежные дорожки и аналогичных сооружений аэродромов, кроме зданий
43.99.90.100 Работы строительные специализированные, не включенные в другие группировки, кроме работ на объектах культурного наследия
39.00.22.000 Услуги по рекультивации прочие</t>
  </si>
  <si>
    <t>3 391</t>
  </si>
  <si>
    <t>"223 за 3 года", "свод фт", ".", "рейтинг поставщиков в маркере по бг", "ГРАНДИОЗНЫЙ ПРОЕКТ", "Конкурсы 100+ (Восстановленный)", "все клиенты с выручкой от 1,8 млрд до бесконечности", "44 фз с с БГ от 10 млн", "производители", "рейтинг по нмц маркер", "на фт заводил Бесков", "на фт заводил Адеев", "поставщики маркер", "44 за 3 года"</t>
  </si>
  <si>
    <t>28.29.21.120 Оборудование для розлива, закупоривания и упаковывания бутылок и прочих емкостей</t>
  </si>
  <si>
    <t>"производители", ".", "Гарантии_КИБ_31.03.22_Гиб._", "портфель 51", "fk1", "корп 1", "06.2022_ФинХД", "все клиенты с выручкой от 1,8 млрд до бесконечности", "ФК клиенты с выручкой от 230 до бесконечности", "клиенты от 100 млн"</t>
  </si>
  <si>
    <t>"на фт заводил Адеев", "свод фт", ".", "беники", "УПП на 2 номер", "fk1", "клиенты управления по БГ без открытых счетов", "Премия 4 кв 22 г.бг", "клиенты от 100 млн", "на фт заводил Куриленко"</t>
  </si>
  <si>
    <t>"производители", ".", "fk1", "Кредитный портфель_01.11", "корп 1", "06.2022_ФинХД", "клиенты с в от100млн 09.21", "ФК клиенты с выручкой от 230 до бесконечности", "клиенты от 100 млн", "Обороты по клиентам по кварталам (2022г)"</t>
  </si>
  <si>
    <t>23.91.11.190 Изделия абразивные прочие, не включенные в другие группировки</t>
  </si>
  <si>
    <t>10.51.52.140 Кефир
10.84.12.130 Майонезы
10.51.11.119 Молоко питьевое пастеризованное прочее
10.20 Рыба переработанная и консервированная, ракообразные и моллюски
10.51.11.110 Молоко питьевое пастеризованное
10.51.40.300 Творог
10.51.40.330 Творог зерненый без вкусовых компонентов
10.51.30.111 Масло сладко-сливочное
10.13.14.700 Полуфабрикаты мясные, мясосодержащие, охлажденные, замороженные
10.51.11.121 Молоко питьевое коровье ультрапастеризованное (ультравысокотемпературно-обработанное) ****</t>
  </si>
  <si>
    <t>ЗА 1 ГОД по 44ФЗ заключено 39 шт. c объемом НМЦ 73 748 687,60 ? с БГИ 3 833 111,57 ? с БГГО 0,00 ? с авансированием до  0,00 ? с комиссией банку  71 923,49 ? с кв 625,73 ? ЗА 3 ГОДА ПО 223 ФЗ заключено 9 шт. с объемом НМЦ 29 431 218,39 ? за 1 ГОД ПО 223ФЗ заключено 3  24 548 368,00 ?</t>
  </si>
  <si>
    <t>55.10 Услуги гостиниц и аналогичные услуги по предоставлению временного жилья
55.90.19.000 Услуги по предоставлению временного жилья прочие, не включенные в другие группировки
26.30.11.150 Средства связи радиоэлектронные
93.19.19.000 Услуги в области спорта и отдыха прочие
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35.14.10.000 Услуги по торговле электроэнергией
35.12.10 Услуги по передаче электроэнергии и технологическому присоединению к распределительным электросетям
93.11.10 Услуги спортивных объектов
56.10.11 Услуги по обеспечению питанием с полным ресторанным обслуживанием</t>
  </si>
  <si>
    <t>2 012</t>
  </si>
  <si>
    <t>22.29 Изделия пластмассовые прочие
26.80.14 Карты магнитные
22.29.2 Изделия пластмассовые прочие, не включенные в другие группировки
26.12.30.000 Карты со встроенными интегральными схемами (смарт-карты)
63.11.11.000 Услуги по обработке данных</t>
  </si>
  <si>
    <t>За весь период компания заключила  17 контрактов на сумму  24 894 955 137,09 ? За весь период заходили в конкурсы  7 раз на общую сумму обеспеченных контрактов с НМЦ 515 030 366,05 ? с БГУ  31 396 121,83 ? с БГИ 188 376 730,97 ?</t>
  </si>
  <si>
    <t>Юридическое лицо находится в процессе реорганизации в форме присоединения к нему других юридических лиц от 24.06.2020, Сообщения о принятии решения о реорганизации от 02.07.2020</t>
  </si>
  <si>
    <t>"рейтинг по нмц маркер", ".", "рейтинг поставщиков в маркере по бг", "fk1", "ИНН_договоры_октябрь_", "корп 1", "06.2022_ФинХД", "клиенты с в от100млн 09.21", "все клиенты с выручкой от 1,8 млрд до бесконечности", "ФК клиенты с выручкой от 230 до бесконечности"</t>
  </si>
  <si>
    <t>28.21.13.119 Электропечи и камеры промышленные или лабораторные прочие, не включенные в другие группировки
21.20.23.199 Средства нелечебные прочие
28.25.14.120 Оборудование газоочистное и пылеулавливающее
20.16.59.180 Смолы поликсилоловые, полиэтиленимины и прочие синтетические полимеры в первичных формах
20.20.14.000 Средства дезинфекционные
21.20.2 Препараты лекарственные прочие и материалы, применяемые в медицинских целях
26.60.13.150 Аппараты ультразвуковой терапии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 Инструменты и приспособления хирургические и стоматологические
32.50.13.190 Инструменты и приспособления, применяемые в медицинских целях, прочие, не включенные в другие группировки ****</t>
  </si>
  <si>
    <t>За весь период заходили в конкурсы  3 раз на общую сумму обеспеченных контрактов с НМЦ 141 931 333,36 ? с БГУ  2 346 626,86 ? с БГИ 23 466 268,60 ?                             ЗА 3 ГОДА ПО 223 ФЗ заключено 75 шт. с объемом НМЦ 60 821 092,26 ? за 1 ГОД ПО 223ФЗ заключено 16  17 594 117,12 ?</t>
  </si>
  <si>
    <t>"223 за 3 года", ".", "рейтинг поставщиков в маркере по бг", "все клиенты с выручкой от 1,8 млрд до бесконечности", "производители", "поставщики маркер", "44 за 3 года"</t>
  </si>
  <si>
    <t>72.20.11.000 Услуги, связанные с научными исследованиями и экспериментальными разработками в области экономики и предпринимательства
62.01 Продукты программные и услуги по разработке и тестированию программного обеспечения
62.09.20.190 Услуги по технической поддержке в области информационных технологий прочие, не включенные в другие группировки
73.20.11.000 Услуги по исследованию конъюнктуры рынка: качественные исследования
62.02.20.110 Услуги по планированию и проектированию компьютерных систем
72.19.12.000 Услуги, связанные с научными исследованиями и экспериментальными разработками в области компьютерных наук и информационных технологий
72.20.19.000 Услуги, связанные с научными исследованиями и экспериментальными разработками в области прочих общественных наук
62.01.11.000 Услуги по проектированию и разработке информационных технологий для прикладных задач и тестированию программного обеспечения
62.02.20.190 Услуги консультативные в области компьютерных технологий прочие
84.11.13.000 Услуги в области общегосударственного экономического и социального планирования и статистики ****</t>
  </si>
  <si>
    <t>За весь период компания заключила  14 контрактов на сумму  1 700 162 275,33 ? За весь период заходили в конкурсы  31 раз на общую сумму обеспеченных контрактов с НМЦ 3 886 692 711,77 ? с БГУ  187 111 888,23 ? с БГИ 1 094 972 667,13 ? За 3 ГОДА по 44ФЗ заключено 80 шт. с объемом НМЦ  3 039 503 555,46 ? с БГИ 712 973 147,02 ? с БГГО 118 081 658,70 ? с авансированием до 130 000,00 ? с комиссией банку 9 531 397,92 ? с кв 82 923,16 ? ЗА 1 ГОД по 44ФЗ заключено 27 шт. c объемом НМЦ 1 040 751 231,15 ? с БГИ 265 970 471,05 ? с БГГО 44 851 684,70 ? с авансированием до  65 000,00 ? с комиссией банку  4 581 062,31 ? с кв 39 855,24 ? ЗА 3 ГОДА ПО 223 ФЗ заключено 17 шт. с объемом НМЦ 239 800 338,44 ? за 1 ГОД ПО 223ФЗ заключено 8  226 685 882,83 ?</t>
  </si>
  <si>
    <t>"223 за 3 года", ".", "рейтинг поставщиков в маркере по бг", "клиент металлинвеста", "Конкурсы 100+ (Восстановленный)", "223 фз контракты 20+", "44 фз с с БГ от 10 млн", "рейтинг по нмц маркер", "поставщики маркер", "44 за 3 года"</t>
  </si>
  <si>
    <t>2 087</t>
  </si>
  <si>
    <t>22.11.11.000 Шины и покрышки пневматические для легковых автомобилей новые
45.11 Услуги по торговле легковыми автомобилями и грузовыми автомобилями малой грузоподъемности
45.11.1 Услуги по оптовой торговле легковыми автомобилями и легкими автотранспортными средствами
45.11.21.000 Услуги по розничной торговле новыми пассажирскими автотранспортными средствами в специализированных магазинах
45.11.39.000 Услуги по розничной торговле легковыми автомобилями и грузовыми автомобилями малой грузоподъемности прочие, не включенные в другие группировки
45.20.11.215 Услуги по ремонту тормозной системы
45.20.11.519 Прочие услуги по техническому обслуживанию и ремонту прочих автотранспортных средств, не включенные в другие группировки
29.1 Средства автотранспортные
45.20.2 Услуги по техническому обслуживанию и ремонту прочих автотранспортных средств
29.32.30.220 Колеса, ступицы и их детали ****</t>
  </si>
  <si>
    <t>За весь период компания заключила  6 контрактов на сумму  341 894 426,96 ? За весь период заходили в конкурсы  8 раз на общую сумму обеспеченных контрактов с НМЦ 495 666 757,78 ? с БГУ  17 202 295,80 ? с БГИ 122 198 500,39 ?               ЗА 1 ГОД по 44ФЗ заключено 15 шт. c объемом НМЦ 100 245 318,96 ? с БГИ 6 924 481,90 ? с БГГО 904 996,00 ? с авансированием до  0,00 ? с комиссией банку  64 533,18 ? с кв 561,44 ? ЗА 3 ГОДА ПО 223 ФЗ заключено 42 шт. с объемом НМЦ 438 760 538,00 ? за 1 ГОД ПО 223ФЗ заключено 12  165 600 965,58 ?</t>
  </si>
  <si>
    <t>"223 за 3 года", ".", "рейтинг поставщиков в маркере по бг", "Гарантии_КИБ_31.03.22_Гиб._", "fk1", "ПОС на 01.02.2023", "ПОС на 03.04.2023", "Кредитный портфель_01.11", "корп 1", "06.2022_ФинХД", "все клиенты с выручкой от 1,8 млрд до бесконечности", "ФК клиенты с выручкой от 230 до бесконечности", "клиенты от 100 млн", "223 фз контракты 20+", "рейтинг по нмц маркер", "поставщики маркер", "44 за 3 года"</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</si>
  <si>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45.11 Услуги по торговле легковыми автомобилями и грузовыми автомобилями малой грузоподъемности
45.11.1 Услуги по оптовой торговле легковыми автомобилями и легкими автотранспортными средствами
45.11.21.000 Услуги по розничной торговле новыми пассажирскими автотранспортными средствами в специализированных магазинах
45.11.23.000 Услуги по розничной торговле новыми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в специализированных магазинах
45.11.39.000 Услуги по розничной торговле легковыми автомобилями и грузовыми автомобилями малой грузоподъемности прочие, не включенные в другие группировки
45.20.11.517 Услуги по установке, тонированию и бронированию стекол автомобилей
45.20.11.519 Прочие услуги по техническому обслуживанию и ремонту прочих автотранспортных средств, не включенные в другие группировки
29.1 Средства автотранспортные ****</t>
  </si>
  <si>
    <t>За весь период заходили в конкурсы  15 раз на общую сумму обеспеченных контрактов с НМЦ 1 117 725 687,75 ? с БГУ  42 395 688,73 ? с БГИ 195 949 483,68 ? За 3 ГОДА по 44ФЗ заключено 118 шт. с объемом НМЦ  753 126 401,94 ? с БГИ 97 971 683,21 ? с БГГО 6 894 722,86 ? с авансированием до 1 000 000,00 ? с комиссией банку 311 446,33 ? с кв 2 709,58 ? ЗА 1 ГОД по 44ФЗ заключено 40 шт. c объемом НМЦ 328 288 866,72 ? с БГИ 23 244 559,70 ? с БГГО 892 264,00 ? с авансированием до  1 000 000,00 ? с комиссией банку  108 585,98 ? с кв 944,70 ? ЗА 3 ГОДА ПО 223 ФЗ заключено 45 шт. с объемом НМЦ 174 850 529,98 ? за 1 ГОД ПО 223ФЗ заключено 7  18 675 399,68 ?</t>
  </si>
  <si>
    <t>"223 за 3 года", ".", "рейтинг поставщиков в маркере по бг", "Гарантии_КИБ_31.03.22_Гиб._", "fk1", "ПОС на 01.02.2023",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"223 фз контракты 20+", "рейтинг по нмц маркер", "поставщики маркер", "44 за 3 года"</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</si>
  <si>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45.11 Услуги по торговле легковыми автомобилями и грузовыми автомобилями малой грузоподъемности
45.11.1 Услуги по оптовой торговле легковыми автомобилями и легкими автотранспортными средствами
45.11.12 Услуги по оптовой торговле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45.11.21.000 Услуги по розничной торговле новыми пассажирскими автотранспортными средствами в специализированных магазинах
45.11.23.000 Услуги по розничной торговле новыми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в специализированных магазинах
45.11.39.000 Услуги по розничной торговле легковыми автомобилями и грузовыми автомобилями малой грузоподъемности прочие, не включенные в другие группировки
29.32.30.269 Узлы и детали систем вентиляции, отопления и кондиционирования воздуха, не включенные в другие группировки
45.20.11.215 Услуги по ремонту тормозной системы ****</t>
  </si>
  <si>
    <t>За весь период компания заключила  26 контрактов на сумму  82 527 901 994,08 ? За весь период заходили в конкурсы  49 раз на общую сумму обеспеченных контрактов с НМЦ 233 669 502 985,09 ? с БГУ  217 242 440,78 ? с БГИ 1 346 036 373,31 ? За 3 ГОДА по 44ФЗ заключено 48 шт. с объемом НМЦ  398 822 720,94 ? с БГИ 41 888 409,35 ? с БГГО 13 891 977,79 ? с авансированием до 56 976 000,00 ? с комиссией банку 283 231,00 ? с кв 2 464,11 ? ЗА 1 ГОД по 44ФЗ заключено 27 шт. c объемом НМЦ 238 070 249,63 ? с БГИ 20 408 395,32 ? с БГГО 6 498 320,47 ? с авансированием до  56 976 000,00 ? с комиссией банку  199 490,75 ? с кв 1 735,57 ? ЗА 3 ГОДА ПО 223 ФЗ заключено 13 шт. с объемом НМЦ 60 206 999,66 ? за 1 ГОД ПО 223ФЗ заключено 10  53 333 932,64 ?</t>
  </si>
  <si>
    <t>Сообщения о принятии решения о реорганизации от 19.04.2021</t>
  </si>
  <si>
    <t>"223 за 3 года", ".", "рейтинг поставщиков в маркере по бг", "Гарантии_КИБ_31.03.22_Гиб._", "fk1", "ИНН_договоры_октябрь_", "Кредитный портфель_01.11", "корп 1", "06.2022_ФинХД", "все клиенты с выручкой от 1,8 млрд до бесконечности", "ФК клиенты с выручкой от 230 до бесконечности", "клиенты от 100 млн", "44 фз с с БГ от 10 млн", "производители", "рейтинг по нмц маркер", "это заказчик", "поставщики маркер", "44 за 3 года"</t>
  </si>
  <si>
    <t>64.91 Услуги по финансовой аренде (лизингу/сублизингу)
77.3 Услуги по аренде и лизингу прочих машин, оборудования и материальных средств</t>
  </si>
  <si>
    <t>За весь период компания заключила  2 контрактов на сумму  515 762 547,92 ?</t>
  </si>
  <si>
    <t>За весь период контрактов 14 шт. на общую сумму НМЦ 19 122 263 656,51 ?</t>
  </si>
  <si>
    <t>"поставщики маркер", "свод фт", ".", "рейтинг поставщиков в маркере по бг", "Все БГ поиск клиентов Банка и их контакты РЭБ", "рейтинг заказчиков маркер", "рейтинг по нмц маркер", "это заказчик", "на фт заводил Шутов"</t>
  </si>
  <si>
    <t>02.40.10.114 Услуги по противопожарному обустройству лесов и тушению пожаров в лесах
46.36.1 Услуги по оптовой торговле сахаром, шоколадом и сахаристыми кондитерскими изделиями
10.81.12.110 Сахар белый свекловичный в твердом состоянии без вкусоароматических или красящих добавок</t>
  </si>
  <si>
    <t>"ушедшие", "."</t>
  </si>
  <si>
    <t>"Обороты по клиентам по кварталам (2022г)", ".", "fk1", "корп 2",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t>
  </si>
  <si>
    <t>64.91 Услуги по финансовой аренде (лизингу/сублизингу)
77.12.19.000 Услуги по аренде и лизингу прочих сухопутных транспортных средств и оборудования без водителя
64.91.10.190 Услуги по финансовой аренде (лизингу/сублизингу) в прочих областях, кроме племенных животных
77.31.10.000 Услуги по аренде и лизингу сельскохозяйственных машин и оборудования
28.30.33.111 Сеялки зерновые
28.30.33.119 Сеялки прочие
28.30.32.110 Бороны</t>
  </si>
  <si>
    <t>За весь период контрактов 4 шт. с общей суммой НМЦ 261 294 014,71 ? с БГУ 4081086,12 и БГИ 69 366 223,90 ?</t>
  </si>
  <si>
    <t>"223 за 3 года", ".", "рейтинг поставщиков в маркере по бг", "fk1", "Кредитный портфель_01.11", "корп 1", "06.2022_ФинХД", "все клиенты с выручкой от 1,8 млрд до бесконечности", "ФК клиенты с выручкой от 230 до бесконечности", "223 фз контракты 20+", "44 фз с с БГ от 10 млн", "рейтинг заказчиков маркер", "рейтинг по нмц маркер", "это заказчик", "поставщики маркер", "44 за 3 года"</t>
  </si>
  <si>
    <t>49.20.12 Услуги железнодорожного транспорта по перевозке нефтепродуктов в вагонах-цистернах
49.20.1 Услуги железнодорожного транспорта по перевозке грузов</t>
  </si>
  <si>
    <t>ПОС на 03.04.4118</t>
  </si>
  <si>
    <t>"рейтинг по нмц маркер", ".", "fk1", "ПОС на 03.04.2023", "Кредитный портфель_01.11", "06.2022_ФинХД", "Обороты по клиентам по кварталам (2022г)"</t>
  </si>
  <si>
    <t>2 725</t>
  </si>
  <si>
    <t>79.90.12.110 Услуги по предоставлению информационных материалов (каталогов, туристических схем, описаний маршрутов и т. п.)
90.01.10 Услуги в области исполнительских искусств
93.29.19.000 Услуги по организации отдыха и развлечений прочие, не включенные в другие группировки
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93.29.29 Услуги зрелищно-развлекательные, не включенные в другие группировки
90.04.10.130 Услуги учреждений клубного типа: клубов, дворцов и домов культуры, домов народного творчества
94.99.19.150 Услуги объединений, создаваемых с целью проведения культурных и развлекательных мероприятий и организации досуга, кроме спорта или игр
79.90.39.110 Услуги по бронированию билетов на культурно-развлекательные мероприятия
90.02.11.000 Услуги по созданию спектаклей, концертов и иных зрелищных программ (произведений исполнительского искусства)
90.04.10.110 Услуги концертных залов, театров, оперных зданий, мюзик-холлов, включая услуги билетных касс ****</t>
  </si>
  <si>
    <t>Заказчик разыгравший 44 конкурсов на сумму  10 974 659 289,25 ?</t>
  </si>
  <si>
    <t>49.31.2 Услуги по регулярным перевозкам пассажиров сухопутным транспортом в городском и пригородном сообщении прочие и в прямом смешанном сообщении
49.39.39.000 Услуги по перевозке пассажиров сухопутным транспортом прочие, не включенные в другие группировки
43.12.11.120 Работы по подготовке строительного участка для последующих строительных работ, включая буровзрывные работы и работы по удалению скальных пород</t>
  </si>
  <si>
    <t>Гарантия отправлена;Заявка отозвана клиентом;Отклонена банком
Отказ из-за непредставления документов</t>
  </si>
  <si>
    <t>Сообщение кредитора о намерении обратиться в суд с заявлением о банкротстве от 19.06.2018</t>
  </si>
  <si>
    <t>"223 за 3 года", "свод фт", ".", "рейтинг поставщиков в маркере по бг", "fk1", "лимит сит по кредитам", "рейтинг по нмц маркер", "на фт заводил Шаклейн", "crm управления", "в crm за Шаклейном ", "поставщики маркер"</t>
  </si>
  <si>
    <t>71.20.1 Услуги в области технических испытаний, исследований и анализа
71.11.33.900 Услуги по подготовке схемы планировочной организации земельного участка, кроме размещения объектов использования атомной энергии
71.12.20.190 Услуги по руководству строительными проектами прочие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71.11.22.000 Услуги в области архитектуры, связанные с проектами строительства нежилых зданий и сооружений
71.12.1 Услуги инженерно-технического характера
71.12.31.000 Услуги геологические и геофизические консультативные
71.12.32.000 Услуги геофизические
71.12.20.110 Услуги заказчика-застройщика, генерального подрядчика
71.12.39.119 Услуги в области гидрометеорологии и смежных с ней областях прочие ****</t>
  </si>
  <si>
    <t>За весь период компания заключила  13 контрактов на сумму  335 539 210 246,98 ? За весь период заходили в конкурсы  9 раз на общую сумму обеспеченных контрактов с НМЦ 1 766 681 644,00 ? с БГУ  91 851 488,00 ? с БГИ 546 189 848,00 ?                             ЗА 3 ГОДА ПО 223 ФЗ заключено 5 шт. с объемом НМЦ 147 502 971 085,00 ? за 1 ГОД ПО 223ФЗ заключено 2  147 500 238 206,00 ?</t>
  </si>
  <si>
    <t>42.91.20.190 Работы строительные и ремонтные, связанные с прочими водными сооружениями и работы по ремонту всех вышеуказанных сооружений
71.12.20.190 Услуги по руководству строительными проектами прочие
71.20.19.190 Услуги по техническим испытаниям и анализу прочие, не включенные в другие группировки
71.12.16 Услуги по инженерно-техническому проектированию объектов водоснабжения и канализации
47.64.10.000 Услуги по розничной торговле спортивным оборудованием и спортивными товарами в специализированных магазинах
43.29.19.190 Работы монтажные прочие,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
71.20.19.170 Услуги (работы) по производству судебных экспертиз и экспертных исследований</t>
  </si>
  <si>
    <t>За весь период компания заключила  13 контрактов на сумму  13 453 094 300,65 ? За весь период заходили в конкурсы  24 раз на общую сумму обеспеченных контрактов с НМЦ 3 706 793 193,90 ? с БГУ  284 554 159,15 ? с БГИ 1 585 276 384,55 ?</t>
  </si>
  <si>
    <t>"223 за 3 года", ".", "рейтинг поставщиков в маркере по бг", "ушедшие", "все клиенты с выручкой от 1,8 млрд до бесконечности", "производители", "рейтинг по нмц маркер", "crm управления", "в crm за Синяевым ", "поставщики маркер"</t>
  </si>
  <si>
    <t>56.10.11.121 Услуги ресторанов без сопровождения развлекательных программ
56.29.19.000 Услуги по обеспечению питанием, осуществляемые по договору, прочие</t>
  </si>
  <si>
    <t>За 3 года по 223ФЗ заключено  12 шт контрактов на сумму 563 548 749,02 ?</t>
  </si>
  <si>
    <t>"223 за 3 года", ".", "fk1", "Кредитный портфель_01.11", "ушедшие",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"это заказчик", "поставщики маркер"</t>
  </si>
  <si>
    <t>84.11.11.111 Услуги федеральных органов государственной власти, кроме полномочных представителей Президента Российской Федерации и территориальных органов федеральных органов исполнительной власти
82.30.1 Услуги по организации конференций и торговых выставок
73.1 Услуги рекламные
82.11.10.000 Услуги в области административного обслуживания комплексные
93.29.29 Услуги зрелищно-развлекательные, не включенные в другие группировки
93.29 Услуги в области развлечений и отдыха прочие
73 Услуги рекламные и услуги по исследованию конъюнктуры рынка
73.11.11.000 Набор рекламных услуг полный
73.11.19.000 Услуги рекламные прочие
73.12.14.000 Услуги по продаже рекламы, связанной с мероприятиями ****</t>
  </si>
  <si>
    <t>За весь период контрактов 17 шт. на общую сумму НМЦ 22 342 740 564,83 ?</t>
  </si>
  <si>
    <t>За весь период компания заключила  10 контрактов на сумму  6 144 188 853,00 ?</t>
  </si>
  <si>
    <t>50.10.20.110 Услуги по аренде морских судов заграничного плавания для перевозки пассажиров с экипажем
77.34.1 Услуги по аренде и лизингу водных транспортных средств
85.42.19.900 Услуги по профессиональному обучению прочие
52.22.19.191 Услуги, связанные с морским транспортом, прочие
35.11.10.110 Электроэнергия, произведенная электростанциями общего назначения
52.22 Услуги, связанные с водным транспортом
52.22.11.000 Услуги по эксплуатации портов и водных путей (кроме обработки грузов) в морских и прибрежных водах
52.22.19.120 Услуги ледокольного флота
52.22.19.131 Услуги по навигационному обеспечению судоходства на внутреннем водном транспорте
52.22.19.190 Услуги, связанные с водным транспортом, прочие ****</t>
  </si>
  <si>
    <t>За весь период компания заключила  3 контрактов на сумму  1 754 683 969,48 ?         За 3 ГОДА по 44ФЗ заключено 31 шт. с объемом НМЦ  308 066 625,31 ? с БГИ 18 677 549,24 ? с БГГО 418 074,95 ? с авансированием до 73 509,53 ? с комиссией банку 243 993,89 ? с кв 2 122,75 ?               ЗА 3 ГОДА ПО 223 ФЗ заключено 19 шт. с объемом НМЦ 59 630 100,13 ? за 1 ГОД ПО 223ФЗ заключено 5  9 363 469,14 ?</t>
  </si>
  <si>
    <t>"223 за 3 года", ".", "ГРАНДИОЗНЫЙ ПЛАН заказчики", "fk1", "все клиенты с выручкой от 1,8 млрд до бесконечности", "рейтинг заказчиков маркер", "производители", "рейтинг по нмц маркер", "это заказчик", "поставщики маркер", "44 за 3 года"</t>
  </si>
  <si>
    <t>90.03.11.190 Услуги, предоставляемые авторами (писателями, композиторами, скульпторами и др.), за исключением исполнителей артистов, кроме работ на объектах культурного наследия
58.11.41.000 Место для рекламы в печатных книгах
46.18.12.000 Услуги по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за вознаграждение или на договорной основе
18.12.14.000 Услуги по печатанию книг, географических карт, гидрографических или аналогичных карт всех видов, репродукций, чертежей и фотографий, открыток
46.49.21.000 Услуги по оптовой торговле книгами
58.11.14.000 Словари и энциклопедии печатные
58.11.13.000 Книги печатные для детей
58.11.30.190 Книги, брошюры, листовки печатные прочие и подобные материалы в электронной форме
18.12.19.190 Услуги печатные прочие, не включенные в другие группировки
58.11.12.000 Книги печатные профессиональные, технические и научные ****</t>
  </si>
  <si>
    <t>24.10.80.190 Прокат черных металлов прочий, не включенный в другие группировки
20.30.22.170 Герметики
25.11.23.119 Конструкции и детали конструкций из черных металлов прочие, не включенные в другие группировки
25.94.11.120 Шурупы из черных металлов
22.21.10.130 Профили фасонные пластмассовые
25.94.12 Изделия крепежные нерезьбовые из черных металлов, не включенные в другие группировки
16.24.11 Поддоны деревянные, включая поддоны с бортами, и прочие деревянные погрузочные щиты
24.10.51 Прокат листовой из нелегированных сталей, шириной не менее 600 мм, плакированный, с гальваническим или иным покрытием
22.21.30 Плиты, листы, пленка и полосы (ленты) полимерные, неармированные или не комбинированные с другими материалами
25.94 Изделия крепежные и винты крепежные ****</t>
  </si>
  <si>
    <t>ЗА 3 ГОДА ПО 223 ФЗ заключено 8 шт. с объемом НМЦ 34 537 806,13 ? за 1 ГОД ПО 223ФЗ заключено 4  6 106 147,99 ?</t>
  </si>
  <si>
    <t>"223 за 3 года", ".", "все клиенты с выручкой от 1,8 млрд до бесконечности", "crm управления", "в crm за Синяевым ", "44 за 3 года"</t>
  </si>
  <si>
    <t>Сообщения о принятии решения о реорганизации от 20.04.2022</t>
  </si>
  <si>
    <t>35.11.10.112 Электроэнергия, произведенная теплоэлектроцентралями (ТЭЦ) общего назначения
71.20.19.111 Услуги по проведению государственной экспертизы проектной документации и результатов инженерных изысканий
35.12.10.120 Услуги по технологическому присоединению к распределительным электросетям
35.30.11.120 Энергия тепловая, отпущенная котельными
71.12.13.000 Услуги по инженерно-техническому проектированию систем энергоснабжения
27 Оборудование электрическое
71.20.13.000 Услуги в области испытаний, исследований и анализа целостных механических и электрических систем
71.12.11.100 Услуги в виде инженерно-технических консультаций по энергосбережению и повышению энергетической эффективности
35.12.10.110 Услуги по передаче электроэнергии</t>
  </si>
  <si>
    <t>За весь период компания заключила  9 контрактов на сумму  4 897 071 811,64 ?</t>
  </si>
  <si>
    <t>Сообщение кредитора о намерении обратиться в суд с заявлением о банкротстве от 17.07.2020</t>
  </si>
  <si>
    <t>"223 за 3 года", ".", "беники", "все клиенты с выручкой от 1,8 млрд до бесконечности", "рейтинг заказчиков маркер", "производители", "рейтинг по нмц маркер", "это заказчик",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</si>
  <si>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42.99.12.124 Территории парковые и парки для отдыха
42.11.10.120 Дороги автомобильные, в том числе улично-дорожная сеть, и прочие автомобильные и пешеходные дороги
42.13.20.100 Работы строительные по строительству мостов и тоннелей, кроме работ по сохранению и воссозданию объектов культурного наследия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</si>
  <si>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58 контрактов на сумму  27 188 757 687,03 ? За весь период заходили в конкурсы  114 раз на общую сумму обеспеченных контрактов с НМЦ 34 485 882 551,86 ? с БГУ  2 121 816 170,56 ? с БГИ 10 796 551 545,73 ? За 3 ГОДА по 44ФЗ заключено 110 шт. с объемом НМЦ  7 767 323 579,06 ? с БГИ 2 223 253 566,48 ? с БГГО 42 055 355,83 ? с авансированием до 1 865 309 152,97 ? с комиссией банку 48 595 025,68 ? с кв 422 776,72 ? ЗА 1 ГОД по 44ФЗ заключено 70 шт. c объемом НМЦ 6 014 979 656,23 ? с БГИ 1 984 484 827,90 ? с БГГО 570 244,90 ? с авансированием до  1 865 164 202,90 ? с комиссией банку  46 117 528,50 ? с кв 401 222,50 ?</t>
  </si>
  <si>
    <t>"223 за 3 года", ".", "рейтинг поставщиков в маркере по бг", "ГРАНДИОЗНЫЙ ПРОЕКТ", "Конкурсы 100+ (Восстановленный)", "Агентские отказ из-за непред-я док-ов", "ушедшие", "клиенты с в от100млн 09.21", "портфель", "ФК клиенты с выручкой от 230 до бесконечности", "Одобренные но не выданные 1 полугодие 2021", "44 фз с с БГ от 10 млн", "производители", "рейтинг по нмц маркер", "поставщики маркер", "44 за 3 года"</t>
  </si>
  <si>
    <t>26.51.63.130 Счетчики производства или потребления электроэнергии
23.64 Смеси и растворы строительные
25.73.30.165 Ножницы по металлу ручные
25.73.30.175 Ключи специальные
28.24.12.110 Инструменты ручные пневматические
25.73.30.141 Молотки
25.73.30.173 Ключи трубные
25.73.30.239 Отвертки прочие, не включенные в другие группировки
28.29.6 Установки для обработки материалов с использованием процессов, включающих изменение температуры, не включенные в другие группировки
25.73.30.299 Инструмент слесарно-монтажный прочий, не включенный в другие группировки ****</t>
  </si>
  <si>
    <t>"поставщики маркер", ".", "fk1",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</si>
  <si>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За весь период компания заключила  4 контрактов на сумму  761 472 000,00 ?</t>
  </si>
  <si>
    <t>10.41.2 Масла растительные и их фракции нерафинированные
10.41.54.000 Масло подсолнечное и его фракции рафинированные, но не подвергнутые химической модификации</t>
  </si>
  <si>
    <t>ЗА 3 ГОДА ПО 223 ФЗ заключено 12 шт. с объемом НМЦ 124 565 427,27 ? за 1 ГОД ПО 223ФЗ заключено 3  26 670 000,00 ?</t>
  </si>
  <si>
    <t>58.14.3 Место для рекламы в журналах и периодических изданиях</t>
  </si>
  <si>
    <t>Заказчик разыгравший 74 конкурсов на сумму  11 869 245 255,02 ?</t>
  </si>
  <si>
    <t>28.30.70.000 Прицепы и полуприцепы самозагружающиеся или саморазгружающиеся для сельского хозяйства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</si>
  <si>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42.11.10.151 Дорога подъездная
52.21.22.000 Услуги по эксплуатации автомагистралей
42.13.10.110 Мосты и путепроводы из любых материалов для всех типов сухопутного транспорта и для пешеходов
42.99.12.124 Территории парковые и парки для отдыха
81.29.12.000 Услуги по подметанию и уборке снега
81.30.10.000 Услуги по планировке ландшафта
42.11.10.120 Дороги автомобильные, в том числе улично-дорожная сеть, и прочие автомобильные и пешеходные дороги
43.99.40.190 Работы бетонные и железобетонные прочие, не включенные в другие группировки ****</t>
  </si>
  <si>
    <t>За весь период компания заключила  73 контрактов на сумму  17 097 288 465,66 ? За весь период заходили в конкурсы  219 раз на общую сумму обеспеченных контрактов с НМЦ 36 077 670 106,69 ? с БГУ  1 579 469 467,38 ? с БГИ 7 039 327 265,10 ? За 3 ГОДА по 44ФЗ заключено 290 шт. с объемом НМЦ  16 672 758 354,04 ? с БГИ 2 556 435 777,20 ? с БГГО 431 109 521,42 ? с авансированием до 483 767 682,08 ? с комиссией банку 49 890 517,34 ? с кв 434 047,50 ? ЗА 1 ГОД по 44ФЗ заключено 63 шт. c объемом НМЦ 2 292 014 966,64 ? с БГИ 481 891 533,68 ? с БГГО 85 026 708,05 ? с авансированием до  285 330 694,18 ? с комиссией банку  9 925 287,66 ? с кв 86 350,00 ?</t>
  </si>
  <si>
    <t>Юридическое лицо находится в процессе реорганизации в форме преобразования от 25.01.2023, Сообщения о принятии решения о реорганизации от 20.01.2023</t>
  </si>
  <si>
    <t>2 123</t>
  </si>
  <si>
    <t>ЗА 3 ГОДА ПО 223 ФЗ заключено 15 шт. с объемом НМЦ 28 871 747,27 ? за 1 ГОД ПО 223ФЗ заключено 5  18 228 950,64 ?</t>
  </si>
  <si>
    <t>"223 за 3 года", ".", "fk1", "06.2022_ФинХД", "все клиенты с выручкой от 1,8 млрд до бесконечности", "рейтинг заказчиков маркер", "рейтинг по нмц маркер", "это заказчик", "поставщики маркер"</t>
  </si>
  <si>
    <t>35.11.10.112 Электроэнергия, произведенная теплоэлектроцентралями (ТЭЦ) общего назначения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35.11.10 Электроэнергия
35.30 Услуги по снабжению паром и кондиционированию воздуха
35.30.11 Пар и горячая вода
35.30.11.120 Энергия тепловая, отпущенная котельными
35.30.12.130 Услуги по транспортированию горячей воды ****</t>
  </si>
  <si>
    <t>За весь период контрактов 7 шт. на общую сумму НМЦ 469 157 840,54 ?</t>
  </si>
  <si>
    <t>Сообщение кредитора о намерении обратиться в суд с заявлением о банкротстве от 09.08.2018</t>
  </si>
  <si>
    <t>01.11.12.111 Зерно озимой мягкой пшеницы</t>
  </si>
  <si>
    <t>За весь период компания заключила  2 контрактов на сумму  537 308 540,00 ?</t>
  </si>
  <si>
    <t>1 497</t>
  </si>
  <si>
    <t>"это заказчик", ".", "fk1",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</si>
  <si>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43.99.90.130 Работы строительные по строительству открытых плавательных бассейнов
41.20.20.180 Здания предприятий здравоохранения, науки и научного обслуживания, образования, культуры и искусства</t>
  </si>
  <si>
    <t>За весь период компания заключила  8 контрактов на сумму  6 859 179 092,00 ? За весь период заходили в конкурсы  15 раз на общую сумму обеспеченных контрактов с НМЦ 8 010 730 418,00 ? с БГУ  365 842 490,80 ? с БГИ 948 494 348,30 ? За 3 ГОДА по 44ФЗ заключено 3 шт. с объемом НМЦ  3 025 755 180,00 ? с БГИ 302 575 518,00 ? с БГГО 8 767 491,90 ? с авансированием до 302 575 518,00 ? с комиссией банку 8 156 386,06 ? с кв 70 960,56 ?</t>
  </si>
  <si>
    <t>"44 за 3 года", ".", "рейтинг поставщиков в маркере по бг", "ГРАНДИОЗНЫЙ ПРОЕКТ", "Агентские отказ из-за непред-я док-ов", "БизФин", "рейтинг по нмц маркер", "поставщики маркер"</t>
  </si>
  <si>
    <t>За весь период компания заключила  4 контрактов на сумму  2 727 863 648,35 ? За весь период заходили в конкурсы  6 раз на общую сумму обеспеченных контрактов с НМЦ 3 442 967 384,35 ? с БГУ  215 704 569,12 ? с БГИ 656 077 946,71 ?</t>
  </si>
  <si>
    <t>24.20.12 Трубы обсадные, насосно-компрессорные трубы и бурильные трубы, используемые для бурения нефтяных или газовых скважин, бесшовные стальные
24.10.31 Прокат листовой горячекатаный из нелегированных сталей, без дополнительной обработки, шириной не менее 600 мм</t>
  </si>
  <si>
    <t>22.11.11.000 Шины и покрышки пневматические для легковых автомобилей новые
22.11.13 Шины и покрышки пневматические для автобусов, грузовых автомобилей или для использования в авиации новые
22.11.14.199 Шины пневматические прочие, не включенные в другие группировки
27.20.21.000 Аккумуляторы свинцовые для запуска поршневых двигателей
19.20.21 Топливо моторное, включая автомобильный и авиационный бензин
29.32.30.220 Колеса, ступицы и их детали
22.11.1 Шины, покрышки и камеры резиновые новые
22.19 Изделия из резины прочие
29.32.30.390 Части и принадлежности для автотранспортных средств прочие, не включенные в другие группировки
22.11.14.110 Шины и покрышки пневматические для сельскохозяйственных машин ****</t>
  </si>
  <si>
    <t>ЗА 3 ГОДА ПО 223 ФЗ заключено 8 шт. с объемом НМЦ 59 819 309,00 ?</t>
  </si>
  <si>
    <t>Сообщения о принятии решения о реорганизации от 10.09.2021</t>
  </si>
  <si>
    <t>"223 за 3 года", ".", "fk1", "это заказчик", "поставщики маркер", "44 за 3 года"</t>
  </si>
  <si>
    <t>22.11.11.000 Шины и покрышки пневматические для легковых автомобилей новые
22.11.13 Шины и покрышки пневматические для автобусов, грузовых автомобилей или для использования в авиации новые
22.11.14.199 Шины пневматические прочие, не включенные в другие группировки
27.20.21.000 Аккумуляторы свинцовые для запуска поршневых двигателей
22.1 Изделия резиновые
45.32 Услуги по розничной торговле автомобильными деталями, узлами и принадлежностями
22.11.1 Шины, покрышки и камеры резиновые новые
45.32.1 Услуги по розничной торговле автомобильными деталями, узлами и принадлежностями в специализированных магазинах
22.11.14.110 Шины и покрышки пневматические для сельскохозяйственных машин
22.11.14.190 Шины и покрышки пневматические прочие новые ****</t>
  </si>
  <si>
    <t>"223 за 3 года", ".", "клиенты с в от100млн 09.21", "все клиенты с выручкой от 1,8 млрд до бесконечности", "ФК клиенты с выручкой от 230 до бесконечности", "поставщики маркер"</t>
  </si>
  <si>
    <t>"поставщики маркер", ".", "fk1", "райф", "все клиенты с выручкой от 1,8 млрд до бесконечности", "производители"</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</si>
  <si>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41.20.40.900 Работы строительные по возведению нежилых зданий и сооружений прочие, не включенные в другие группировки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t>
  </si>
  <si>
    <t>За весь период компания заключила  35 контрактов на сумму  26 880 715 514,13 ? За весь период заходили в конкурсы  75 раз на общую сумму обеспеченных контрактов с НМЦ 31 473 410 811,21 ? с БГУ  1 254 040 835,48 ? с БГИ 7 314 775 245,64 ? За 3 ГОДА по 44ФЗ заключено 8 шт. с объемом НМЦ  6 453 025 904,27 ? с БГИ 1 767 507 904,67 ? с БГГО 13 640 032,22 ? с авансированием до 1 189 774 264,88 ? с комиссией банку 76 975 560,47 ? с кв 669 687,38 ? ЗА 1 ГОД по 44ФЗ заключено 3 шт. c объемом НМЦ 3 187 525 239,16 ? с БГИ 954 561 894,55 ? с БГГО 2 088 651,00 ? с авансированием до  377 989 283,45 ? с комиссией банку  46 737 341,12 ? с кв 406 614,87 ?</t>
  </si>
  <si>
    <t>"44 за 3 года", ".", "рейтинг поставщиков в маркере по бг", "ГРАНДИОЗНЫЙ ПРОЕКТ", "ушедший портфель", "Конкурсы 100+ (Восстановленный)", "fk1", "ИНН 3 года - нет КД БГ на 01.10.22", "Список ушедший ", "06.2022_ФинХД", "клиенты с в от100млн 09.21", "ФК клиенты с выручкой от 230 до бесконечности", "Обороты по клиентам по кварталам (2022г)", "44 фз с с БГ от 10 млн", "рейтинг по нмц маркер", "поставщики маркер"</t>
  </si>
  <si>
    <t>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33.13.13.000 Услуги по ремонту и техническому обслуживанию профессиональных оптических приборов и фотооборудования
33.1 Услуги по ремонту металлоизделий, машин и оборудования
33.12.2 Услуги по ремонту и техническому обслуживанию оборудования специального назначения
33.13 Услуги по ремонту электронного и оптического оборудования
33.12.29.900 Услуги по ремонту и техническому обслуживанию прочего оборудования специального назначения, не включенные в другие группировки
26.60.12.140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
33.19.10.000 Услуги по ремонту прочего оборудования
33.12.11.000 Услуги по ремонту и техническому обслуживанию двигателей и турбин, кроме авиационных, автомобильных и мотоциклетных двигателей
33.14.19.000 Услуги по ремонту и техническому обслуживанию прочего профессионального электрического оборудования ****</t>
  </si>
  <si>
    <t>ЗА 1 ГОД по 44ФЗ заключено 22 шт. c объемом НМЦ 55 671 648,72 ? с БГИ 4 199 628,89 ? с БГГО 362 737,19 ? с авансированием до  18 410,80 ? с комиссией банку  71 637,02 ? с кв 623,24 ?</t>
  </si>
  <si>
    <t>43.22.11.190 Работы по монтажу водопроводных и канализационных систем прочие, не включенные в другие группировки
42.21.21 Работы строительные по прокладке магистральных трубопроводов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</si>
  <si>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2 контрактов на сумму  1 821 534 741,54 ? За весь период заходили в конкурсы  1 раз на общую сумму обеспеченных контрактов с НМЦ 417 134 951,44 ? с БГУ  20 961 555,35 ? с БГИ 125 769 332,09 ?                             ЗА 3 ГОДА ПО 223 ФЗ заключено 5 шт. с объемом НМЦ 216 710 380,33 ? за 1 ГОД ПО 223ФЗ заключено 3  142 863 989,75 ?</t>
  </si>
  <si>
    <t>"223 за 3 года", ".", "рейтинг поставщиков в маркере по бг", "ГРАНДИОЗНЫЙ ПРОЕКТ", "клиенты с в от100млн 09.21", "все клиенты с выручкой от 1,8 млрд до бесконечности", "ФК клиенты с выручкой от 230 до бесконечности", "223 фз контракты 20+", "рейтинг по нмц маркер", "поставщики маркер"</t>
  </si>
  <si>
    <t>Заказчик разыгравший 134 конкурсов на сумму  33 491 003 089,30 ?</t>
  </si>
  <si>
    <t>Сообщения о принятии решения о реорганизации от 13.12.2018</t>
  </si>
  <si>
    <t>"рейтинг по нмц маркер", ".", "fk1", "все клиенты с выручкой от 1,8 млрд до бесконечности"</t>
  </si>
  <si>
    <t>63.91.12.000 Услуги информационных агентств, предоставляемые аудиовизуальным средствам массовой информации
73.11.11.000 Набор рекламных услуг полный
73.11.13.000 Услуги по разработке рекламного дизайна и концепции
79.90.11.000 Услуги по продвижению туризма
73.11.19.000 Услуги рекламные прочие</t>
  </si>
  <si>
    <t>За весь период компания заключила  2 контрактов на сумму  575 700 000,00 ? За весь период заходили в конкурсы  5 раз на общую сумму обеспеченных контрактов с НМЦ 1 096 200 000,00 ? с БГУ  34 445 107,00 ? с БГИ 274 503 767,96 ? За 3 ГОДА по 44ФЗ заключено 3 шт. с объемом НМЦ  322 629 258,34 ? с БГИ 67 953 277,17 ? с БГГО 0,00 ? с авансированием до 0,00 ? с комиссией банку 269 024,22 ? с кв 2 340,51 ?</t>
  </si>
  <si>
    <t>"44 за 3 года", ".", "рейтинг поставщиков в маркере по бг", "Агентские отказ из-за непред-я док-ов", "fk1", "клиенты с в от100млн 09.21", "все клиенты с выручкой от 1,8 млрд до бесконечности", "рейтинг по нмц маркер", "поставщики маркер"</t>
  </si>
  <si>
    <t>За весь период заходили в конкурсы  3 раз на общую сумму обеспеченных контрактов с НМЦ 235 211 153,00 ? с БГУ  13 205 970,00 ? с БГИ 26 411 940,00 ?</t>
  </si>
  <si>
    <t>"44 за 3 года", ".", "рейтинг поставщиков в маркере по бг", "все клиенты с выручкой от 1,8 млрд до бесконечности", "производители"</t>
  </si>
  <si>
    <t>45.20 Услуги по техническому обслуживанию и ремонту автотранспортных средств
29.10.22.000 Средства транспортные с двигателем с искровым зажиганием, с рабочим объемом цилиндров более 1500 см3, новые</t>
  </si>
  <si>
    <t>Юридическое лицо находится в процессе реорганизации в форме присоединения к нему других юридических лиц от 14.03.2023, Сообщения о принятии решения о реорганизации от 17.03.2023</t>
  </si>
  <si>
    <t>27.33.1 Изделия электроустановочные
27.40 Оборудование электрическое осветительное
27.40.12.000 Лампы накаливания галогенные с вольфрамовой нитью, кроме ультрафиолетовых или инфракрасных ламп
27.40.15.115 Лампы металлогалогенные
27.90.33.110 Комплектующие (запасные части) прочего электрического оборудования, не имеющие самостоятельных группировок
25.94.11.120 Шурупы из черных металлов
26.51.63.130 Счетчики производства или потребления электроэнергии
27.11.41.000 Трансформаторы с жидким диэлектриком
27.40.25.129 Устройства осветительные электрические подвесные, потолочные, встраиваемые и настенные, предназначенные для использования с лампами прочих типов
27.32.13.131 Провода силовые для электрических установок ****</t>
  </si>
  <si>
    <t>За весь период заходили в конкурсы  4 раз на общую сумму обеспеченных контрактов с НМЦ 201 211 595,85 ? с БГУ  13 720 524,24 ? с БГИ 82 323 145,42 ?                             ЗА 3 ГОДА ПО 223 ФЗ заключено 50 шт. с объемом НМЦ 32 297 658,50 ? за 1 ГОД ПО 223ФЗ заключено 32  17 349 997,88 ?</t>
  </si>
  <si>
    <t>"223 за 3 года", ".", "рейтинг поставщиков в маркере по бг", "fk1", "ИНН 3 года - нет КД БГ на 01.10.22", "06.2022_ФинХД", "клиенты с в от100млн 09.21", "все клиенты с выручкой от 1,8 млрд до бесконечности", "рейтинг по нмц маркер", "это заказчик", "поставщики маркер"</t>
  </si>
  <si>
    <t>Кредитный портфель_01.2442</t>
  </si>
  <si>
    <t>"поставщики маркер", ".", "Гарантии_КИБ_31.03.22_Гиб._", "fk1", "Кредитный портфель_01.11", "корп 1", "06.2022_ФинХД", "производители", "это заказчик"</t>
  </si>
  <si>
    <t>"Обороты по клиентам по кварталам (2022г)", ".", "инн Вавилова", "fk1",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t>
  </si>
  <si>
    <t>68.10.14.000 Услуги по покупке и продаже нежилых зданий и занимаемых ими земельных участков
68.31.14.130 Услуги посреднические по аренде нежилых зданий и занимаемых ими земельных участков за вознаграждение или на договорной основе
68.10.13.000 Услуги по покупке и продаже пустующей земли, предназначенной для застройки жилыми зданиями
68.20.12.000 Услуги по сдаче в аренду (внаем) собственных или арендованных нежилых помещений
77.39.19.129 Услуги по аренде и лизингу прочих материальных средств, не включенных в другие группировки
68.10 Услуги по покупке и продаже собственного недвижимого имущества
68.10.11 Услуги по покупке и продаже жилых зданий и занимаемых ими земельных участков</t>
  </si>
  <si>
    <t>За весь период контрактов 5 шт. на общую сумму НМЦ 2 987 142 017,88 ?</t>
  </si>
  <si>
    <t>1 606</t>
  </si>
  <si>
    <t>35.11.10.110 Электроэнергия, произведенная электростанциями общего назначения
35.12.10.110 Услуги по передаче электроэнергии</t>
  </si>
  <si>
    <t>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
43.91.19.190 Работы кровельные прочие, не включенные в другие группировки
43.29.1 Работы строительно-монтажные прочие
43.22.11.130 Работы водопроводные взаимосвязанные
43.22.12.190 Работы по монтажу систем отопления, вентиляции и кондиционирования воздуха прочие, не включенные в другие группировки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41.20.20.900 Сооружения спортивно-оздоровительные и сооружения прочие, не включенные в другие группировки
43.22.12.150 Работы по монтажу вентиляционного, холодильного оборудования или оборудования для кондиционирования воздуха в жилых зданиях, компьютерных центрах, офисах и магазинах ****</t>
  </si>
  <si>
    <t>За весь период компания заключила  37 контрактов на сумму  10 681 532 049,81 ? За весь период заходили в конкурсы  194 раз на общую сумму обеспеченных контрактов с НМЦ 33 933 441 527,43 ? с БГУ  1 669 016 950,56 ? с БГИ 3 699 881 877,48 ? За 3 ГОДА по 44ФЗ заключено 74 шт. с объемом НМЦ  13 590 580 047,11 ? с БГИ 1 518 709 514,98 ? с БГГО 24 772 755,41 ? с авансированием до 2 972 624 707,87 ? с комиссией банку 21 232 372,49 ? с кв 184 721,64 ? ЗА 1 ГОД по 44ФЗ заключено 26 шт. c объемом НМЦ 6 338 605 235,63 ? с БГИ 716 450 556,12 ? с БГГО 16 900,00 ? с авансированием до  602 365 832,56 ? с комиссией банку  8 483 851,34 ? с кв 73 809,51 ?</t>
  </si>
  <si>
    <t>"44 за 3 года", ".", "рейтинг поставщиков в маркере по бг", "ГРАНДИОЗНЫЙ ПРОЕКТ", "Конкурсы 100+ (Восстановленный)", "Все БГ поиск клиентов Банка и их контакты РЭБ", "44 фз с с БГ от 10 млн", "рейтинг по нмц маркер", "crm управления", "crm Пител", "поставщики маркер"</t>
  </si>
  <si>
    <t>23.99.13.114 Смеси асфальтобетонные дорожные, аэродромные и асфальтобетон горячие щебено-мастичные
41.20.40.900 Работы строительные по возведению нежилых зданий и сооружений прочие, не включенные в другие группировки
71.12.19.100 Услуги по инженерно-техническому проектированию прочих объектов, кроме объектов культурного наследия
41.20.30.100 Работы по возведению жилых зданий, кроме работ по сохранению и воссозданию объектов культурного наследия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
42.21.22.110 Работы строительные по прокладке местных трубопроводов воды или сточных вод</t>
  </si>
  <si>
    <t>За весь период компания заключила  9 контрактов на сумму  13 763 796 347,47 ? За весь период заходили в конкурсы  6 раз на общую сумму обеспеченных контрактов с НМЦ 12 625 749 604,09 ? с БГУ  137 952 609,97 ? с БГИ 1 264 987 764,74 ? За 3 ГОДА по 44ФЗ заключено 10 шт. с объемом НМЦ  24 681 685 619,87 ? с БГИ 6 899 192 323,59 ? с БГГО 216 983 442,60 ? с авансированием до 17 272 988 320,84 ? с комиссией банку 282 052 951,18 ? с кв 2 453 860,68 ? ЗА 1 ГОД по 44ФЗ заключено 5 шт. c объемом НМЦ 10 948 776 777,76 ? с БГИ 2 795 355 083,03 ? с БГГО 91 007 578,26 ? с авансированием до  6 954 420 960,37 ? с комиссией банку  101 548 803,16 ? с кв 883 474,59 ? ЗА 3 ГОДА ПО 223 ФЗ заключено 1 шт. с объемом НМЦ 3 811 739 353,00 ? за 1 ГОД ПО 223ФЗ заключено 1  3 811 739 353,00 ?</t>
  </si>
  <si>
    <t>"223 за 3 года", "кл фт ФК ВКЛ/РКО 04.22", "кл фт ФК БГ 04.22", "кл фт мсб ВКЛ/РКО 04.22", "кл фт мсб бг 04.22", "кл фт агент ВКЛ/РКО 04.22", "кл фт агент бг 04.22", "свод фт", ".", "рейтинг поставщиков в маркере по бг", "Рассрочка КВ Март 2023", "ГРАНДИОЗНЫЙ ПРОЕКТ", "Конкурсы 100+ (Восстановленный)", "Агентские отказ из-за непред-я док-ов", "fk1", "2. Финтендер 2022 31.03.22 Григорян для СПАРК", "Ссуды ФБ 29.04.2022 банкр.", "АИЛ портфель", "клиенты с в от100млн 09.21", "все клиенты с выручкой от 1,8 млрд до бесконечности", "филиал бизнес 01.03.22", "филиал бизнес 22.11",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"223 фз контракты 20+", "44 фз с с БГ от 10 млн", "рейтинг по нмц маркер", "на фт заводил Олейник", "на фт заводил Морозова", "поставщики маркер", "44 за 3 года"</t>
  </si>
  <si>
    <t>"ФТ клиенты с продуктами по сотрудникам", "кл фт агент бг 04.22", ".", "портфель 51", "ушедшие", "все клиенты с выручкой от 1,8 млрд до бесконечности", "ФК клиенты с выручкой от 230 до бесконечности", "действующие б не прям", "Одобренные но не выданные 1 полугодие 2021"</t>
  </si>
  <si>
    <t>43.22.12.120 Работы по установке и техническому обслуживанию систем управления центральным отоплением
43.22.12.160 Работы по установке приборов учета расхода тепловой энергии
43.29.11.190 Работы изоляционные прочие
71.12.16.000 Услуги по инженерно-техническому проектированию производственных процессов и производств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42.21.22.120 Работы строительные по прокладке местных трубопроводов горячей воды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33.13.13.000 Услуги по ремонту и техническому обслуживанию профессиональных оптических приборов и фотооборудования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43.99.90.190 Работы строительные специализированные прочие, не включенные в другие группировки ****</t>
  </si>
  <si>
    <t>За весь период компания заключила  57 контрактов на сумму  71 423 675 100,97 ? За весь период заходили в конкурсы  5 раз на общую сумму обеспеченных контрактов с НМЦ 1 641 337 844,93 ? с БГУ  62 176 591,85 ? с БГИ 499 862 544,59 ?</t>
  </si>
  <si>
    <t>Сообщения о принятии решения о реорганизации от 17.08.2021</t>
  </si>
  <si>
    <t>"44 за 3 года", ".", "рейтинг поставщиков в маркере по бг", "все клиенты с выручкой от 1,8 млрд до бесконечности", "рейтинг заказчиков маркер", "рейтинг по нмц маркер", "это заказчик", "поставщики маркер"</t>
  </si>
  <si>
    <t>42.21.22.120 Работы строительные по прокладке местных трубопроводов горячей воды
43.99.90.190 Работы строительные специализированные прочие, не включенные в другие группировки
36.00.20.110 Услуги по очистке и подготовке воды для водоснабжения
43.39.19.190 Работы завершающие и отделочные в зданиях и сооружениях, прочие, не включенные в другие группировки
43.21.10.120 Работы электромонтажные, связанные с установкой приборов
43.22.11.110 Работы по монтажу основных сетей горячего и холодного водоснабжения (т. е. водопроводных), работы по монтажу спринклерных систем
43.22.11.190 Работы по монтажу водопроводных и канализационных систем прочие, не включенные в другие группировки
41.20.20.713 Сеть тепловая магистральная</t>
  </si>
  <si>
    <t>23.13.11.111 Бутылки стеклянные для алкогольной и безалкогольной пищевой продукции</t>
  </si>
  <si>
    <t>За весь период компания заключила  6 контрактов на сумму  709 880 000,00 ?</t>
  </si>
  <si>
    <t>"223 за 3 года", ".", "fk1", "просрочка на 01.01.2023 г.", "Запрос в ЮД_просрочка на 01.01.2023", "все клиенты с выручкой от 1,8 млрд до бесконечности", "производители", "рейтинг по нмц маркер", "это заказчик"</t>
  </si>
  <si>
    <t>1 800</t>
  </si>
  <si>
    <t>За весь период контрактов 1 шт. на общую сумму НМЦ 622 613 000,00 ?</t>
  </si>
  <si>
    <t>58.29.5 Услуги по предоставлению лицензий на право использовать компьютерное программное обеспечение
63.99.10.190 Услуги информационные автоматизированные компьютерные прочие, не включенные в другие группировки
62.01.1 Услуги по проектированию, разработке информационных технологий для прикладных задач и тестированию программного обеспечения
26.20 Компьютеры и периферийное оборудование
62.0 Продукты программные и услуги по разработке программного обеспечения; консультационные и аналогичные услуги в области информационных технологий
46.52.11.000 Услуги по оптовой торговле телекоммуникационным оборудованием и его частями
62.01.11.000 Услуги по проектированию и разработке информационных технологий для прикладных задач и тестированию программного обеспечения
62.01.29.000 Оригиналы программного обеспечения прочие
62.02.20.190 Услуги консультативные в области компьютерных технологий прочие
62.01.12.000 Услуги по проектированию и разработке информационных технологий для сетей и систем ****</t>
  </si>
  <si>
    <t>1 435</t>
  </si>
  <si>
    <t>За весь период компания заключила  17 контрактов на сумму  7 178 395 040,42 ? За весь период заходили в конкурсы  12 раз на общую сумму обеспеченных контрактов с НМЦ 1 892 048 702,41 ? с БГУ  25 274 746,96 ? с БГИ 215 636 995,53 ? За 3 ГОДА по 44ФЗ заключено 9 шт. с объемом НМЦ  1 132 351 582,57 ? с БГИ 151 336 700,25 ? с БГГО 85 540 773,33 ? с авансированием до 0,00 ? с комиссией банку 1 025 221,86 ? с кв 8 919,43 ? ЗА 1 ГОД по 44ФЗ заключено 3 шт. c объемом НМЦ 92 650 000,00 ? с БГИ 9 265 000,00 ? с БГГО 0,00 ? с авансированием до  0,00 ? с комиссией банку  142 104,11 ? с кв 1 236,31 ?</t>
  </si>
  <si>
    <t>13.20.31.190 Ткани из синтетических и искусственных комплексных нитей прочие
13.20.20.125 Ткани хлопчатобумажные смешанные одежные</t>
  </si>
  <si>
    <t>"поставщики маркер", ".", "fk1", "корп 1", "06.2022_ФинХД", "клиенты с в от100млн 09.21", "ФК клиенты с выручкой от 230 до бесконечности", "Обороты по клиентам по кварталам (2022г)"</t>
  </si>
  <si>
    <t>64.92 Услуги по предоставлению кредитов прочие
64.92.12.000 Услуги по предоставлению кредитов физическим лицам, оказываемые нефинансовыми организациями
64.9 Услуги финансовые прочие, кроме услуг по страхованию и пенсионному обеспечению
64.19.2 Услуги по предоставлению кредитов финансовыми организациями
64.92.19.110 Услуги по предоставлению займов промышленности</t>
  </si>
  <si>
    <t>За весь период компания заключила  11 контрактов на сумму  54 039 234 885,20 ?</t>
  </si>
  <si>
    <t>25.30.12.113 Оборудование котельное
74.90.2 Услуги профессиональные, технические и коммерческие, прочие, не включенные в другие группировки
71.20.19.140 Услуги по энергетическому обследованию
71.12.17 Услуги по инженерно-техническому проектированию производственных процессов и производств</t>
  </si>
  <si>
    <t>За весь период компания заключила  3 контрактов на сумму  7 427 737 333,90 ?</t>
  </si>
  <si>
    <t>Юридическое лицо находится в процессе уменьшения уставного капитала от 24.03.2023</t>
  </si>
  <si>
    <t>"223 за 3 года", ".", "Агентские одобренные но не выданные от 30.08", "рейтинг заказчиков маркер", "рейтинг по нмц маркер", "это заказчик", "поставщики маркер"</t>
  </si>
  <si>
    <t>Заказчик разыгравший 4 конкурсов на сумму  8 911 652 166,93 ?</t>
  </si>
  <si>
    <t>58.29.29.000 Обеспечение программное прикладное прочее на электронном носителе
63.99.10.190 Услуги информационные автоматизированные компьютерные прочие, не включенные в другие группировки
62.09.20.120 Услуги по установке программного обеспечения
62.09.20.190 Услуги по технической поддержке в области информационных технологий прочие, не включенные в другие группировки
26.20.14.000 Машины вычислительные электронные цифровые, поставляемые в виде систем для автоматической обработки данных
74.90.20.149 Услуги (работы) в области защиты информации прочие
58.29.50.000 Услуги по предоставлению лицензий на право использовать компьютерное программное обеспечение
62.01.11.000 Услуги по проектированию и разработке информационных технологий для прикладных задач и тестированию программного обеспечения
26.20.40.140 Средства защиты информации, а также информационные и телекоммуникационные системы, защищенные с использованием средств защиты информации
74.90.20.142 Услуги (работы) по разработке информационных и телекоммуникационных систем, защищенных с использованием средств защиты информации ****</t>
  </si>
  <si>
    <t>За весь период компания заключила  6 контрактов на сумму  4 280 133 104,24 ? За весь период заходили в конкурсы  11 раз на общую сумму обеспеченных контрактов с НМЦ 5 012 153 954,71 ? с БГУ  221 828 989,09 ? с БГИ 1 273 289 675,01 ? За 3 ГОДА по 44ФЗ заключено 13 шт. с объемом НМЦ  996 110 472,29 ? с БГИ 239 949 521,98 ? с БГГО 14 271 038,89 ? с авансированием до 70 935 762,24 ? с комиссией банку 9 397 686,94 ? с кв 81 759,88 ? ЗА 1 ГОД по 44ФЗ заключено 9 шт. c объемом НМЦ 412 100 598,96 ? с БГИ 64 746 559,98 ? с БГГО 14 271 038,89 ? с авансированием до  70 935 762,24 ? с комиссией банку  1 121 041,87 ? с кв 9 753,06 ?     за 1 ГОД ПО 223ФЗ заключено 1  27 515 000,00 ?</t>
  </si>
  <si>
    <t>"223 за 3 года", ".", "рейтинг поставщиков в маркере по бг", "223 фз контракты 20+", "44 фз с с БГ от 10 млн", "рейтинг заказчиков маркер", "рейтинг по нмц маркер", "44 за 3 года"</t>
  </si>
  <si>
    <t>62.03.12.130 Услуги по сопровождению компьютерных систем</t>
  </si>
  <si>
    <t>3 118</t>
  </si>
  <si>
    <t>За весь период компания заключила  7 контрактов на сумму  5 702 247 958,99 ?</t>
  </si>
  <si>
    <t>Сообщения о принятии решения о реорганизации от 10.07.2020</t>
  </si>
  <si>
    <t>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26.80.13.000 Носители данных прочие, включая матрицы и основы для производства дисков
26.20.40 Блоки, части и принадлежности вычислительных машин
58.29.50 Услуги по предоставлению лицензий на право использовать компьютерное программное обеспечение
26.20.1 Компьютеры, их части и принадлежности
26.30.11.190 Аппаратура коммуникационная передающая с приемными устройствами прочая, не включенная в другие группировки
62.01 Продукты программные и услуги по разработке и тестированию программного обеспечения
62.02 Услуги консультативные, связанные с компьютерной техникой
26.20.14 Машины вычислительные электронные цифровые, поставляемые в виде систем для автоматической обработки данных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t>
  </si>
  <si>
    <t>За весь период компания заключила  16 контрактов на сумму  11 788 485 434,64 ? За весь период заходили в конкурсы  17 раз на общую сумму обеспеченных контрактов с НМЦ 7 611 795 780,69 ? с БГУ  387 017 589,20 ? с БГИ 1 728 640 395,99 ? За 3 ГОДА по 44ФЗ заключено 19 шт. с объемом НМЦ  4 672 058 409,18 ? с БГИ 971 904 688,13 ? с БГГО 73 863 434,84 ? с авансированием до 0,00 ? с комиссией банку 23 473 382,90 ? с кв 204 218,43 ? ЗА 1 ГОД по 44ФЗ заключено 9 шт. c объемом НМЦ 1 588 757 486,56 ? с БГИ 402 759 741,52 ? с БГГО 32 157 950,61 ? с авансированием до  0,00 ? с комиссией банку  4 498 176,06 ? с кв 39 134,13 ? ЗА 3 ГОДА ПО 223 ФЗ заключено 4 шт. с объемом НМЦ 60 567 581,63 ?</t>
  </si>
  <si>
    <t>"223 за 3 года", ".", "рейтинг поставщиков в маркере по бг", "фб 22.11", "Конкурсы 100+ (Восстановленный)", "44 фз с с БГ от 10 млн", "рейтинг заказчиков маркер", "рейтинг по нмц маркер", "это заказчик", "поставщики маркер", "44 за 3 года"</t>
  </si>
  <si>
    <t>24.42.99 Услуги по производству алюминия отдельные, выполняемые субподрядчиком
24.42.11 Алюминий необработанный
24.42.22 Прутки, катанка и профили из алюминия или алюминиевых сплавов
24.42.22.111 Прутки из алюминия и алюминиевых сплавов круглого сечения
24.42.26.110 Трубы алюминиевые
24.42.24 Плиты, листы, полосы и ленты алюминиевые толщиной более 0,2 мм
20.30.12 Материалы лакокрасочные на основе сложных полиэфиров, акриловых или виниловых полимеров в неводной среде; растворы
24.42.24.110 Плиты и листы алюминиевые
24.45.30 Металлы цветные и продукция из них; спеченные материалы (керметы), зола и остатки, содержащие металлы или соединения металлов, прочие
24.45.30.183 Проволока, прутки, профили титановые</t>
  </si>
  <si>
    <t>За весь период компания заключила  6 контрактов на сумму  286 869 160,83 ?</t>
  </si>
  <si>
    <t>19.20.21.345 Топливо дизельное межсезонное экологического класса К5
19.20.21.325 Топливо дизельное зимнее экологического класса К5
19.20.28.113 Мазут с массовой долей серы не более 3,5 % с температурой вспышки в открытом тигле не ниже 90 °C, с содержанием сероводорода не более 10 ppm
19.20.28.110 Мазут топочный</t>
  </si>
  <si>
    <t>За весь период заходили в конкурсы  1 раз на общую сумму обеспеченных контрактов с НМЦ 79 500 000,00 ? с БГУ  426 169,38 ? с БГИ 426 169,38 ?               ЗА 1 ГОД по 44ФЗ заключено 2 шт. c объемом НМЦ 19 900 000,00 ? с БГИ 3 690 000,00 ? с БГГО 0,00 ? с авансированием до  0,00 ? с комиссией банку  56 442,74 ? с кв 491,05 ? ЗА 3 ГОДА ПО 223 ФЗ заключено 10 шт. с объемом НМЦ 70 128 000,00 ? за 1 ГОД ПО 223ФЗ заключено 15  114 628 000,00 ?</t>
  </si>
  <si>
    <t>"223 за 3 года", ".", "рейтинг поставщиков в маркере по бг", "Пункт 3.1 09.01.2023", "все клиенты с выручкой от 1,8 млрд до бесконечности", "Участники клиринга", "поставщики маркер", "44 за 3 года"</t>
  </si>
  <si>
    <t>Заказчик разыгравший 49 конкурсов на сумму  8 476 972 386,20 ?</t>
  </si>
  <si>
    <t>Сообщение кредитора о намерении обратиться в суд с заявлением о банкротстве от 16.08.2018</t>
  </si>
  <si>
    <t>"поставщики маркер", ".", "Рассрочка КВ Март 2023", "fk1", "рейтинг заказчиков маркер", "производители", "это заказчик"</t>
  </si>
  <si>
    <t>61.2 Услуги телекоммуникационные беспроводные
61.20.11.000 Услуги подвижной связи общего пользования - обеспечение доступа и поддержка пользователя
61.90.10.130 Услуги по предоставлению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 д.
61.10.30 Услуги по передаче данных по проводным телекоммуникационным сетям
62.02.30 Услуги по технической поддержке информационных технологий
62.09.20.190 Услуги по технической поддержке в области информационных технологий прочие, не включенные в другие группировки
61.10.11.190 Услуги фиксированной телефонной связи - предоставление доступа и телефонные соединения, прочие
61.30.10.000 Услуги спутниковой связи, кроме услуг для целей теле- и радиовещания
61.90.10 Услуги телекоммуникационные прочие
61.10.42.000 Услуги по узкополосному доступу к информационно-коммуникационной сети Интернет по проводным сетям ****</t>
  </si>
  <si>
    <t>За весь период компания заключила  31 контрактов на сумму  41 979 738 429,03 ? За весь период заходили в конкурсы  43 раз на общую сумму обеспеченных контрактов с НМЦ 14 802 269 586,87 ? с БГУ  811 330 052,02 ? с БГИ 3 507 847 183,72 ? За 3 ГОДА по 44ФЗ заключено 38 шт. с объемом НМЦ  6 505 237 305,67 ? с БГИ 1 286 380 758,91 ? с БГГО 124 630,00 ? с авансированием до 169 540,00 ? с комиссией банку 14 669 152,25 ? с кв 127 621,62 ?</t>
  </si>
  <si>
    <t>Сообщения о принятии решения о реорганизации от 14.03.2022</t>
  </si>
  <si>
    <t>Сообщение кредитора о намерении обратиться в суд с заявлением о банкротстве от 17.11.2020</t>
  </si>
  <si>
    <t>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60.20 Услуги в области телевизионного вещания
60.20.11.000 Услуги по составлению телепрограмм и вещанию в режиме on-line, кроме программ, доступных только на основе подписки
60.20.12.000 Услуги прочие по составлению телепрограмм и вещанию, кроме программ, доступных только на основе подписки
61.1 Услуги телекоммуникационные проводные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61.2 Услуги телекоммуникационные беспроводные
61.20.11.000 Услуги подвижной связи общего пользования - обеспечение доступа и поддержка пользователя
61.20.50.120 Услуги связи для цифрового телерадиовещания в области беспроводной связи
61.30 Услуги спутниковой связи ****</t>
  </si>
  <si>
    <t>За весь период компания заключила  15 контрактов на сумму  40 399 672 462,17 ? За весь период заходили в конкурсы  1 раз на общую сумму обеспеченных контрактов с НМЦ 80 700 000,00 ? с БГУ  4 800 000,00 ? с БГИ 24 000 000,00 ? За 3 ГОДА по 44ФЗ заключено 125 шт. с объемом НМЦ  251 357 615,33 ? с БГИ 15 204 514,14 ? с БГГО 79 656,00 ? с авансированием до 470 687,33 ? с комиссией банку 210 370,59 ? с кв 1 830,22 ? ЗА 1 ГОД по 44ФЗ заключено 42 шт. c объемом НМЦ 91 331 039,66 ? с БГИ 4 040 549,87 ? с БГГО 0,00 ? с авансированием до  470 687,33 ? с комиссией банку  79 938,80 ? с кв 695,47 ? ЗА 3 ГОДА ПО 223 ФЗ заключено 83 шт. с объемом НМЦ 234 787 375,81 ? за 1 ГОД ПО 223ФЗ заключено 29  23 219 719,54 ?</t>
  </si>
  <si>
    <t>"223 за 3 года", ".", "рейтинг поставщиков в маркере по бг", "fk1", "все клиенты с выручкой от 1,8 млрд до бесконечности", "Обороты по клиентам по кварталам (2022г)", "рейтинг заказчиков маркер", "производители", "рейтинг по нмц маркер", "это заказчик", "поставщики маркер", "44 за 3 года"</t>
  </si>
  <si>
    <t>68 Услуги по операциям с недвижимым имуществом
69.10.18 Услуги юридические, связанные с аукционами
63.12.10.000 Содержание порталов в информационно-коммуникационной сети Интернет
82.99.19.000 Услуги вспомогательные, связанные с предпринимательской деятельностью, прочие, не включенные в другие группировки
47.91 Услуги по розничной торговле по почте или по информационно-коммуникационной сети Интернет
35.1 Услуги по производству, передаче и распределению электроэнергии
62.03.12.130 Услуги по сопровождению компьютерных систем</t>
  </si>
  <si>
    <t>ЗА 3 ГОДА ПО 223 ФЗ заключено 1486 шт. с объемом НМЦ 59 317 314 104,74 ? за 1 ГОД ПО 223ФЗ заключено 470  2 277 617 525,66 ?</t>
  </si>
  <si>
    <t>"223 за 3 года", ".", "Конкурсы 100+ (Восстановленный)", "Кредитный портфель_01.11", "корп 1", "06.2022_ФинХД", "223 фз контракты 20+", "это заказчик", "поставщики маркер", "44 за 3 года"</t>
  </si>
  <si>
    <t>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71.11.22.000 Услуги в области архитектуры, связанные с проектами строительства нежилых зданий и сооружений
43.29.19.110 Работы по монтажу лифтов, эскалаторов и движущихся тротуаров, требующие специальной квалификации, включая ремонт и техническое обслуживание
71.12.19.100 Услуги по инженерно-техническому проектированию прочих объектов, кроме объектов культурного наследия
28.22.16.111 Лифты пассажирские
43.29.19.190 Работы монтажные прочие, не включенные в другие группировки
71.12.17.000 Услуги по инженерно-техническому проектированию производственных процессов и производств
71.12.12.190 Услуги по инженерно-техническому проектированию зданий прочие, не включенные в другие группировки</t>
  </si>
  <si>
    <t>За весь период контрактов 60 шт. на общую сумму НМЦ 8 445 372 607,41 ?</t>
  </si>
  <si>
    <t>"223 за 3 года", "кл фт ФК БГ 04.22", "кл фт агент бг 04.22", "свод фт", ".", "рейтинг поставщиков в маркере по бг", "fk1", "2. Финтендер 2022 31.03.22 Григорян для СПАРК", "Гарантии ФБ банкроты", "филиал бизнес 31.01.22 ",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"производители", "рейтинг по нмц маркер", "на фт заводил Тихонов ", "поставщики маркер", "44 за 3 года"</t>
  </si>
  <si>
    <t>"поставщики маркер", ".", "fk1", "ПОС на 01.02.2023", "ПОС на 03.04.2023", "Кредитный портфель_01.11", "06.2022_ФинХД", "Обороты по клиентам по кварталам (2022г)", "Участники клиринга", "рейтинг по нмц маркер"</t>
  </si>
  <si>
    <t>71.20.19.112 Услуги по проведению негосударственной экспертизы проектной документации и результатов инженерных изысканий</t>
  </si>
  <si>
    <t>за 1 ГОД ПО 223ФЗ заключено 4  9 071 578,49 ?</t>
  </si>
  <si>
    <t>26.30.50.123 Станции пожарной сигнализации, приборы управления и оповещатели пожарные
84.25.11.120 Услуги по обеспечению пожарной безопасности
80.20 Услуги систем обеспечения безопасности
71.12 Услуги в области инженерно-технического проектирования и связанные технические консультативные услуги
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
26.30.50.121 Извещатели пожарные
71.20.19.190 Услуги по техническим испытаниям и анализу прочие, не включенные в другие группировки
71.12.19.100 Услуги по инженерно-техническому проектированию прочих объектов, кроме объектов культурного наследия
26.51.5 Приборы для контроля прочих физических величин
33.12.19.000 Услуги по ремонту и техническому обслуживанию прочего оборудования общего назначения, не включенного в другие группировки ****</t>
  </si>
  <si>
    <t>За весь период заходили в конкурсы  2 раз на общую сумму обеспеченных контрактов с НМЦ 97 064 600,00 ? с БГУ  2 368 540,66 ? с БГИ 35 528 109,98 ?</t>
  </si>
  <si>
    <t>Юридическое лицо находится в процессе реорганизации в форме присоединения к нему других юридических лиц от 13.09.2022, Сообщения о принятии решения о реорганизации от 12.09.2022</t>
  </si>
  <si>
    <t>ЗА 3 ГОДА ПО 223 ФЗ заключено 1 шт. с объемом НМЦ 32 000 000,00 ? за 1 ГОД ПО 223ФЗ заключено 2  64 000 000,00 ?</t>
  </si>
  <si>
    <t>"223 за 3 года", ".", "все клиенты с выручкой от 1,8 млрд до бесконечности", "223 фз контракты 20+", "производители", "поставщики маркер"</t>
  </si>
  <si>
    <t>26.20.18.000 Устройства периферийные с двумя или более функциями: печать данных, копирование, сканирование, прием и передача факсимильных сообщений
62.02.10 Услуги консультативные по компьютерному оборудованию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58.29.29.000 Обеспечение программное прикладное прочее на электронном носителе
62.02.30 Услуги по технической поддержке информационных технологий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26.20.14 Машины вычислительные электронные цифровые, поставляемые в виде систем для автоматической обработки данных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t>
  </si>
  <si>
    <t>За весь период компания заключила  24 контрактов на сумму  50 346 971 986,91 ? За весь период заходили в конкурсы  44 раз на общую сумму обеспеченных контрактов с НМЦ 45 156 378 643,11 ? с БГУ  2 318 121 392,90 ? с БГИ 5 122 817 725,49 ? За 3 ГОДА по 44ФЗ заключено 58 шт. с объемом НМЦ  35 558 957 930,52 ? с БГИ 3 806 142 195,39 ? с БГГО 92 551 108,01 ? с авансированием до 325 501 892,25 ? с комиссией банку 36 143 984,16 ? с кв 314 452,66 ? ЗА 1 ГОД по 44ФЗ заключено 20 шт. c объемом НМЦ 12 670 641 701,90 ? с БГИ 1 382 197 873,41 ? с БГГО 31 523 942,00 ? с авансированием до  138 445 350,00 ? с комиссией банку  20 054 311,52 ? с кв 174 472,51 ? ЗА 3 ГОДА ПО 223 ФЗ заключено 11 шт. с объемом НМЦ 441 273 315,10 ? за 1 ГОД ПО 223ФЗ заключено 1  87 997 722,00 ?</t>
  </si>
  <si>
    <t>71.12.3 Услуги в области геологических, геофизических и взаимосвязанных изыскательных работ и консультативные услуги
52.21.22.000 Услуги по эксплуатации автомагистралей</t>
  </si>
  <si>
    <t>"44 за 3 года", ".", "fk1", "все клиенты с выручкой от 1,8 млрд до бесконечности", "производители"</t>
  </si>
  <si>
    <t>08.12.12.140 Щебень</t>
  </si>
  <si>
    <t>38.11.19.000 Услуги по сбору прочих неопасных отходов, пригодных для повторного использования
38.22.29.000 Услуги по утилизации прочих опасных отходов
38.11.31.000 Отходы неопасные бытовые, непригодные для повторного использования
38.11.21.000 Услуги по сбору неопасных отходов городского хозяйства, непригодных для повторного использования
38.2 Услуги по обработке и утилизации отходов
38.21.22 Услуги по прочему захоронению мусора
38.11 Отходы неопасные; услуги по сбору неопасных отходов
38.11.29 Услуги по сбору прочих неопасных отходов, непригодных для повторного использования
38.21.29.000 Услуги по утилизации неопасных отходов прочие
38.22 Услуги по переработке и утилизации опасных отходов ****</t>
  </si>
  <si>
    <t>Заказчик разыгравший 25 конкурсов на сумму  41 244 096 910,59 ?</t>
  </si>
  <si>
    <t>Сообщение кредитора о намерении обратиться в суд с заявлением о банкротстве от 10.11.2022</t>
  </si>
  <si>
    <t>"223 за 3 года", ".", "fk1", "корп 1", "06.2022_ФинХД", "все клиенты с выручкой от 1,8 млрд до бесконечности", "ФК клиенты с выручкой от 230 до бесконечности", "рейтинг заказчиков маркер", "рейтинг по нмц маркер"</t>
  </si>
  <si>
    <t>Заказчик разыгравший 29 конкурсов на сумму  4 065 130 026,95 ?</t>
  </si>
  <si>
    <t>"поставщики маркер", ".", "06.2022_ФинХД", "все клиенты с выручкой от 1,8 млрд до бесконечности", "рейтинг заказчиков маркер", "рейтинг по нмц маркер", "это заказчик"</t>
  </si>
  <si>
    <t>Сообщения о принятии решения о реорганизации от 12.08.2015</t>
  </si>
  <si>
    <t>"производители", ".", "fk1", "корп 2",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</si>
  <si>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За 3 года по 223ФЗ заключено  1 шт контрактов на сумму 23 400 000,00 ?</t>
  </si>
  <si>
    <t>1 217</t>
  </si>
  <si>
    <t>Сообщение кредитора о намерении обратиться в суд с заявлением о банкротстве от 01.11.2022</t>
  </si>
  <si>
    <t>35.11.10.112 Электроэнергия, произведенная теплоэлектроцентралями (ТЭЦ) общего назначения
35.30.11.120 Энергия тепловая, отпущенная котельными
35.30.11.111 Энергия тепловая, отпущенная тепловыми электроцентралями (ТЭЦ)
35.30.11.110 Энергия тепловая, отпущенная электростанциями</t>
  </si>
  <si>
    <t>77.39.11 Услуги по аренде и лизингу железнодорожных транспортных средств</t>
  </si>
  <si>
    <t>За весь период контрактов 5 шт. на общую сумму НМЦ 3 686 608 463,00 ?</t>
  </si>
  <si>
    <t>Сообщения о принятии решения о реорганизации от 24.10.2022</t>
  </si>
  <si>
    <t>"223 за 3 года", ".", "беники", "fk1", "все клиенты с выручкой от 1,8 млрд до бесконечности", "ФК клиенты с выручкой от 230 до бесконечности", "рейтинг заказчиков маркер", "производители", "это заказчик"</t>
  </si>
  <si>
    <t>01.11.75.110 Зерно гороха</t>
  </si>
  <si>
    <t>70.22.16.000 Услуги консультативные по вопросам управления цепями поставок и прочие консультативные услуги по вопросам управления</t>
  </si>
  <si>
    <t>За весь период компания заключила  14 контрактов на сумму  7 043 162 354,63 ?</t>
  </si>
  <si>
    <t>73.20.19.000 Услуги по исследованию конъюнктуры рынка прочие
26.20.1 Компьютеры, их части и принадлежности
73.20.14 Услуги по исследованию конъюнктуры рынка, кроме опросов
46.69.19 Услуги по оптовой торговле прочими машинами, приборами, аппаратурой и оборудованием общепромышленного и специального назначения
41.20.20.719 Сооружения электрических и тепловых сетей прочие
28.11.31 Части турбин на водяном паре и прочих паровых турбин
25.30.22.111 Системы контроля ядерных установок</t>
  </si>
  <si>
    <t>За весь период компания заключила  5 контрактов на сумму  2 465 949 107,39 ?</t>
  </si>
  <si>
    <t>"поставщики маркер", ".", "беники", "06.2022_ФинХД", "все клиенты с выручкой от 1,8 млрд до бесконечности", "рейтинг заказчиков маркер", "рейтинг по нмц маркер", "это заказчик"</t>
  </si>
  <si>
    <t>07.21.10.119 Руды и концентраты урановые прочие
43.13 Работы буровые и разведочные буровые
42.21.24.110 Работы по бурению водозаборных скважин или отрывке колодцев, требующие специальной квалификации
09.90.11.130 Услуги геолого-разведочные, связанные c горным промыслом
43.13.10.110 Работы по отбору проб грунта (кернов) для строительных целей, геофизических, геологических или аналогичных исследований</t>
  </si>
  <si>
    <t>За весь период контрактов 8 шт. на общую сумму НМЦ 1 421 661 882,70 ?</t>
  </si>
  <si>
    <t>ЗА 3 ГОДА ПО 223 ФЗ заключено 3 шт. с объемом НМЦ 36 365 710,00 ?</t>
  </si>
  <si>
    <t>Заказчик разыгравший 19 конкурсов на сумму  23 413 478 471,66 ?</t>
  </si>
  <si>
    <t>"это заказчик", ".", "п6", "ушедшие", "все клиенты с выручкой от 1,8 млрд до бесконечности", "рейтинг заказчиков маркер"</t>
  </si>
  <si>
    <t>Заказчик разыгравший 36 конкурсов на сумму  35 296 595 637,75 ?</t>
  </si>
  <si>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71.2 Услуги в области технических испытаний, исследований, анализа и сертификации
68.20.1 Услуги по сдаче в аренду (внаем) собственного или арендованного недвижимого имущества
69.20 Услуги в области бухгалтерского учета; по проведению финансового аудита; по налоговому консультированию
33.12.19.000 Услуги по ремонту и техническому обслуживанию прочего оборудования общего назначения, не включенного в другие группировки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64.19.21.000 Услуги по предоставлению кредитов финансовыми организациями юридическим лицам
71.20.13.000 Услуги в области испытаний, исследований и анализа целостных механических и электрических систем
64.92.19.110 Услуги по предоставлению займов промышленности</t>
  </si>
  <si>
    <t>За весь период компания заключила  18 контрактов на сумму  40 097 268 309,92 ?</t>
  </si>
  <si>
    <t>"223 за 3 года", ".", "беники", "fk1", "все клиенты с выручкой от 1,8 млрд до бесконечности", "рейтинг заказчиков маркер", "рейтинг по нмц маркер", "это заказчик", "поставщики маркер"</t>
  </si>
  <si>
    <t>52.23.19 Услуги вспомогательные прочие, связанные с воздушным транспортом
52.23.11 Услуги аэропортов, кроме обработки грузов</t>
  </si>
  <si>
    <t>За весь период компания заключила  2 контрактов на сумму  884 445 743,00 ? За весь период заходили в конкурсы  1 раз на общую сумму обеспеченных контрактов с НМЦ 173 000 000,00 ? с БГУ  0,00 ? с БГИ 51 900 000,00 ?</t>
  </si>
  <si>
    <t>Заказчик разыгравший 13 конкурсов на сумму  1 424 782 689,38 ?</t>
  </si>
  <si>
    <t>"это заказчик", ".", "Участники клиринга", "рейтинг заказчиков маркер", "производители"</t>
  </si>
  <si>
    <t>10.92.10 Корм готовый для непродуктивных животных</t>
  </si>
  <si>
    <t>Кредитный портфель_01.2475</t>
  </si>
  <si>
    <t>"Обороты по клиентам по кварталам (2022г)", ".", "fk1", "Кредитный портфель_01.11", "06.2022_ФинХД", "все клиенты с выручкой от 1,8 млрд до бесконечности", "клиенты от 100 млн"</t>
  </si>
  <si>
    <t>52.29.19.110 Услуги по экспедированию грузов
52.24.12 Услуги по обработке контейнеров прочие</t>
  </si>
  <si>
    <t>ЗА 3 ГОДА ПО 223 ФЗ заключено 8 шт. с объемом НМЦ 26 426 074,20 ? за 1 ГОД ПО 223ФЗ заключено 4  24 516 800,00 ?</t>
  </si>
  <si>
    <t>"223 за 3 года", ".", "все клиенты с выручкой от 1,8 млрд до бесконечности", "ФК клиенты с выручкой от 230 до бесконечности", "223 фз контракты 20+", "рейтинг по нмц маркер", "это заказчик", "поставщики маркер"</t>
  </si>
  <si>
    <t>51.10.12.000 Услуги по нерегулярным пассажирским перевозкам воздушным транспортом на местных линиях, кроме услуг по осмотру достопримечательностей с воздуха
51.10.11.000 Услуги по регулярным пассажирским перевозкам воздушным транспортом на местных линиях</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</si>
  <si>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23.99.13.114 Смеси асфальтобетонные дорожные, аэродромные и асфальтобетон горячие щебено-мастичные
42.2 Сооружения и строительные работы по строительству инженерных коммуникаций
42.12.20.190 Работы строительные по строительству наземных и подземных железных дорог прочие, не включенные в другие группировки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</si>
  <si>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73 контрактов на сумму  101 660 553 376,25 ? За весь период заходили в конкурсы  134 раз на общую сумму обеспеченных контрактов с НМЦ 100 766 613 966,10 ? с БГУ  4 130 105 656,14 ? с БГИ 24 426 206 317,47 ? За 3 ГОДА по 44ФЗ заключено 24 шт. с объемом НМЦ  28 515 573 328,67 ? с БГИ 8 052 905 611,46 ? с БГГО 433 971 451,00 ? с авансированием до 6 608 504 425,43 ? с комиссией банку 157 407 960,93 ? с кв 1 369 449,26 ? ЗА 1 ГОД по 44ФЗ заключено 7 шт. c объемом НМЦ 12 594 831 125,36 ? с БГИ 3 420 164 051,57 ? с БГГО 293 332 389,00 ? с авансированием до  2 610 402 320,53 ? с комиссией банку  145 793 900,82 ? с кв 1 268 406,94 ? ЗА 3 ГОДА ПО 223 ФЗ заключено 7 шт. с объемом НМЦ 4 844 829 961,87 ?</t>
  </si>
  <si>
    <t>28.22.19.190 Комплектующие (запасные части) прочего подъемно-транспортного и погрузочно-разгрузочного оборудования, не имеющие самостоятельных группировок
29.10.41.113 Автомобили грузовые с дизельным двигателем, имеющие технически допустимую максимальную массу свыше 12 т
28.92.12.130 Машины бурильные
29.10.4 Средства автотранспортные грузовые
29.10.41.112 Автомобили грузовые с дизельным двигателем, имеющие технически допустимую максимальную массу свыше 3,5 т, но не более 12 т
29.10.59 Средства автотранспортные специального назначения, не включенные в другие группировки
28.22.14.129 Краны грузоподъемные прочие
28.1 Машины и оборудование общего назначения
29.10.5 Средства автотранспортные специального назначения
28.22.18.314 Манипуляторы погрузочные и разгрузочные ****</t>
  </si>
  <si>
    <t>21.20.23.110 Реагенты диагностические
21.20.23.199 Средства нелечебные прочие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21.20.10.242 Препараты противогельминтные ****</t>
  </si>
  <si>
    <t>За весь период компания заключила  48 контрактов на сумму  4 745 560 177,93 ? За весь период заходили в конкурсы  140 раз на общую сумму обеспеченных контрактов с НМЦ 12 846 902 118,65 ? с БГУ  211 730 858,63 ? с БГИ 1 379 501 927,99 ? За 3 ГОДА по 44ФЗ заключено 3210 шт. с объемом НМЦ  14 633 482 790,67 ? с БГИ 1 450 508 810,98 ? с БГГО 50 610 431,91 ? с авансированием до 2 137 963,10 ? с комиссией банку 17 702 029,81 ? с кв 154 007,66 ? ЗА 1 ГОД по 44ФЗ заключено 1158 шт. c объемом НМЦ 4 162 890 390,06 ? с БГИ 398 665 450,71 ? с БГГО 210 000,00 ? с авансированием до  1 253 379,92 ? с комиссией банку  5 436 922,90 ? с кв 47 301,23 ? ЗА 3 ГОДА ПО 223 ФЗ заключено 111 шт. с объемом НМЦ 237 692 892,81 ? за 1 ГОД ПО 223ФЗ заключено 20  69 491 630,57 ?</t>
  </si>
  <si>
    <t>"223 за 3 года", ".", "рейтинг поставщиков в маркере по бг", "Конкурсы 100+ (Восстановленный)", "fk1", "корп 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 "44 за 3 года"</t>
  </si>
  <si>
    <t>"в crm за Акимкиным", ".", "crm управления"</t>
  </si>
  <si>
    <t>43.29.11.190 Работы изоляционные прочие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43.21.10.180 Работы электромонтажные по монтажу прочего электрического оборудования, включая электрические солнечные коллекторы и плинтусные обогреватели, в зданиях и сооружениях ****</t>
  </si>
  <si>
    <t>За весь период компания заключила  5 контрактов на сумму  2 215 165 941,65 ?                                     ЗА 3 ГОДА ПО 223 ФЗ заключено 8 шт. с объемом НМЦ 898 670 682,70 ? за 1 ГОД ПО 223ФЗ заключено 1  24 283 189,03 ?</t>
  </si>
  <si>
    <t>Сообщение кредитора о намерении обратиться в суд с заявлением о банкротстве от 11.10.2021</t>
  </si>
  <si>
    <t>24.10.35 Прокат листовой горячекатаный из прочих легированных сталей, без дополнительной обработки, шириной не менее 600 мм
24.10.71.120 Двутавры стальные горячекатаные из нелегированных сталей
24.10.80.190 Прокат черных металлов прочий, не включенный в другие группировки
24 Металлы основные
24.10.73.111 Уголки стальные горячекатаные равнополочные из прочих легированных сталей
24.45.23.130 Ленты никелевые
24.10.2 Сталь
24.20.13.190 Трубы круглого сечения прочие стальные
24.31.30.110 Прутки холоднотянутые из нержавеющих сталей
24.20 Трубы, профили пустотелые и их фитинги стальные ****</t>
  </si>
  <si>
    <t>ЗА 3 ГОДА ПО 223 ФЗ заключено 14 шт. с объемом НМЦ 73 222 808,39 ? за 1 ГОД ПО 223ФЗ заключено 2  17 605 987,33 ?</t>
  </si>
  <si>
    <t>"223 за 3 года", "кл фт ФК БГ 04.22", ".",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"рейтинг по нмц маркер", "поставщики маркер"</t>
  </si>
  <si>
    <t>68.20.12.000 Услуги по сдаче в аренду (внаем) собственных или арендованных нежилых помещений
68.32.13.120 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t>
  </si>
  <si>
    <t>Сообщение кредитора о намерении обратиться в суд с заявлением о банкротстве от 15.10.2018</t>
  </si>
  <si>
    <t>"поставщики маркер", ".", "fk1", "корп 2", "Кредитный портфель_01.11", "06.2022_ФинХД", "все клиенты с выручкой от 1,8 млрд до бесконечности", "ФК клиенты с выручкой от 230 до бесконечности", "клиенты от 100 млн", "рейтинг заказчиков маркер", "это заказчик"</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</si>
  <si>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42.21.13.190 Системы оросительные (каналы); водоводы и водопроводные конструкции; водоочистные станции, станции очистки сточных вод и насосные станции прочие
42.22.22.130 Работы строительные по монтажу антенн и строительству трансформаторных станций для распределения электричества
42.13.20.100 Работы строительные по строительству мостов и тоннелей, кроме работ по сохранению и воссозданию объектов культурного наследия
42.11.10.129 Дороги автомобильные, в том числе улично-дорожная сеть, и прочие автомобильные и пешеходные дороги, не включенные в другие группировки
42.13.10.119 Мосты и путепроводы из любых материалов для всех типов сухопутного транспорта и для пешеходов прочие
39.00.22.000 Услуги по рекультивации прочие</t>
  </si>
  <si>
    <t>За весь период компания заключила  27 контрактов на сумму  5 638 909 148,47 ? За весь период заходили в конкурсы  98 раз на общую сумму обеспеченных контрактов с НМЦ 13 162 110 888,93 ? с БГУ  598 473 853,91 ? с БГИ 3 214 458 695,21 ? За 3 ГОДА по 44ФЗ заключено 28 шт. с объемом НМЦ  2 228 885 317,29 ? с БГИ 631 456 595,19 ? с БГГО 99 661 671,53 ? с авансированием до 393 848 587,20 ? с комиссией банку 4 996 703,02 ? с кв 43 471,32 ? ЗА 1 ГОД по 44ФЗ заключено 7 шт. c объемом НМЦ 346 313 478,00 ? с БГИ 103 894 043,40 ? с БГГО 346 314,40 ? с авансированием до  103 894 043,40 ? с комиссией банку  676 313,49 ? с кв 5 883,93 ?</t>
  </si>
  <si>
    <t>"44 за 3 года", "кл фт агент бг 04.22", ".", "рейтинг поставщиков в маркере по бг", "ГРАНДИОЗНЫЙ ПРОЕКТ", "Агентские отказ из-за непред-я док-ов", "fk1", "Агентские одобренные но не выданные от 30.08", "действующие б не прям", "Одобренные но не выданные 1 полугодие 2021", "ФТ клиенты с продуктами по сотрудникам", "44 фз с с БГ от 10 млн", "рейтинг по нмц маркер", "crm управления", "в crm за Муслимом", "поставщики маркер"</t>
  </si>
  <si>
    <t>73.1 Услуги рекламные
73.11.11.000 Набор рекламных услуг полный
79.90.11.000 Услуги по продвижению туризма
73.11.19.000 Услуги рекламные прочие
63.99.10 Услуги информационные прочие, не включенные в другие группировки
73.12.19.000 Услуги по продаже прочего места или времени для рекламы за вознаграждение или на договорной основе</t>
  </si>
  <si>
    <t>ЗА 3 ГОДА ПО 223 ФЗ заключено 5 шт. с объемом НМЦ 59 127 726,40 ?</t>
  </si>
  <si>
    <t>Сообщения о принятии решения о реорганизации от 27.09.2022</t>
  </si>
  <si>
    <t>За весь период заходили в конкурсы  2 раз на общую сумму обеспеченных контрактов с НМЦ 126 000 000,00 ? с БГУ  4 729 577,26 ? с БГИ 15 765 257,54 ?</t>
  </si>
  <si>
    <t>"поставщики маркер", "кл фт агент бг 04.22", ".", "рейтинг поставщиков в маркере по бг", "все клиенты с выручкой от 1,8 млрд до бесконечности", "портфель", "ФК клиенты с выручкой от 230 до бесконечности", "действующие б не прям", "ФТ клиенты с продуктами по сотрудникам", "crm управления", "в crm за Чимровым"</t>
  </si>
  <si>
    <t>19.20.42.121 Битумы нефтяные дорожные</t>
  </si>
  <si>
    <t>Сообщение кредитора о намерении обратиться в суд с заявлением о банкротстве от 21.03.2022</t>
  </si>
  <si>
    <t>"производители", ".", "fk1",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</si>
  <si>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71.12.40 Услуги в области технического регулирования, стандартизации, метрологии, аккредитации, каталогизации продукции
71.20.1 Услуги в области технических испытаний, исследований и анализа
71.20.19 Услуги по техническим испытаниям и анализу прочие
71.12 Услуги в области инженерно-технического проектирования и связанные технические консультативные услуги
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
71.20.19.111 Услуги по проведению государственной экспертизы проектной документации и результатов инженерных изысканий
33.12.2 Услуги по ремонту и техническому обслуживанию оборудования специального назначения
71.20.19.129 Услуги по проведению сертификации продукции, услуг и организаций прочие, не включенные в другие группировки
71.2 Услуги в области технических испытаний, исследований, анализа и сертификации
71.20.12.000 Услуги в области испытаний, исследований и анализа физико-механических свойств материалов и веществ ****</t>
  </si>
  <si>
    <t>За весь период компания заключила  19 контрактов на сумму  1 657 674 266,49 ?                                     ЗА 3 ГОДА ПО 223 ФЗ заключено 13 шт. с объемом НМЦ 1 361 158 871,71 ? за 1 ГОД ПО 223ФЗ заключено 11  1 641 788 348,29 ?</t>
  </si>
  <si>
    <t>"223 за 3 года", ".", "Агентские одобренные но не выданные от 30.08", "223 фз контракты 20+", "рейтинг по нмц маркер", "поставщики маркер"</t>
  </si>
  <si>
    <t>"44 за 3 года", ".", "06.2022_ФинХД", "производители", "поставщики маркер"</t>
  </si>
  <si>
    <t>61.90.10.190 Услуги телекоммуникационные прочие, не включенные в другие группировки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t>
  </si>
  <si>
    <t>Сообщения о принятии решения о реорганизации от 27.12.2019</t>
  </si>
  <si>
    <t>10.61.21.113 Мука пшеничная хлебопекарная высшего сорта
10.61.22.112 Мука ржаная обдирная
13.92.21.110 Мешки для упаковки готовых изделий
10.61.21.114 Мука пшеничная хлебопекарная первого сорта
68.20.12.000 Услуги по сдаче в аренду (внаем) собственных или арендованных нежилых помещений
49.41.15.000 Услуги по перевозке автомобильным транспортом сухих сыпучих грузов</t>
  </si>
  <si>
    <t>Сообщения о принятии решения о реорганизации от 06.09.2022</t>
  </si>
  <si>
    <t>29.1 Средства автотранспортные
29.10.30 Средства автотранспортные для перевозки 10 или более человек
49.41.11.000 Услуги по перевозке автомобильным транспортом грузов в автофургонах-рефрижераторах
29.10.21 Средства транспортные с двигателем с искровым зажиганием, с рабочим объемом цилиндров не более 1500 см3, новые
29.10.24.000 Средства автотранспортные для перевозки людей прочие
29.10.30.112 Автобусы, предназначенные для перевозки только сидящих пассажиров, имеющие технически допустимую максимальную массу более 5 т
46.14.19.000 Услуги по оптовой торговле прочими машинами и промышленным оборудованием, не включенными в другие группировки, за вознаграждение или на договорной основе
49.41.19.900 Услуги по перевозке грузов автомобильным транспортом прочие, не включенные в другие группировки
29.10.30.119 Автобусы, имеющие технически допустимую максимальную массу более 5 т, прочие
29.10.5 Средства автотранспортные специального назначения ****</t>
  </si>
  <si>
    <t>За весь период компания заключила  6 контрактов на сумму  1 972 164 332,34 ? За весь период заходили в конкурсы  22 раз на общую сумму обеспеченных контрактов с НМЦ 709 910 000,00 ? с БГУ  14 107 980,00 ? с БГИ 164 577 600,00 ?                             ЗА 3 ГОДА ПО 223 ФЗ заключено 1 шт. с объемом НМЦ 44 487 372,72 ? за 1 ГОД ПО 223ФЗ заключено 2  5 945 459,99 ?</t>
  </si>
  <si>
    <t>"223 за 3 года", ".", "рейтинг поставщиков в маркере по бг", "клиент металлинвеста", "рейтинг по нмц маркер", "поставщики маркер"</t>
  </si>
  <si>
    <t>Сообщение кредитора о намерении обратиться в суд с заявлением о банкротстве от 10.02.2016</t>
  </si>
  <si>
    <t>"поставщики маркер", ".", "п6", "все клиенты с выручкой от 1,8 млрд до бесконечности", "производители"</t>
  </si>
  <si>
    <t>"производители", ".", "портфель 51", "fk1", "корп 1", "06.2022_ФинХД", "все клиенты с выручкой от 1,8 млрд до бесконечности", "ФК клиенты с выручкой от 230 до бесконечности"</t>
  </si>
  <si>
    <t>05.20 Уголь бурый (лигнит)
19.10.10.120 Кокс и полукокс из бурого угля (лигнита)
84.11.11.111 Услуги федеральных органов государственной власти, кроме полномочных представителей Президента Российской Федерации и территориальных органов федеральных органов исполнительной власти
05 Уголь
05.20.10.110 Уголь бурый рядовой (лигнит)
05.10.10.142 Уголь коксующийся обогащенный
19.30 Продукция агломерации угля
19.30.12.110 Уголь бурый (лигнит) агломерированный
05.10.10.131 Уголь марки Д - длиннопламенный</t>
  </si>
  <si>
    <t>За весь период контрактов 85 шт. на общую сумму НМЦ 170 021 183 285,48 ?</t>
  </si>
  <si>
    <t>"223 за 3 года", ".", "рейтинг поставщиков в маркере по бг", "Конкурсы 100+ (Восстановленный)", "06.2022_ФинХД", "все клиенты с выручкой от 1,8 млрд до бесконечности", "Участники клиринга", "223 фз контракты 20+", "44 фз с с БГ от 10 млн", "рейтинг по нмц маркер", "это заказчик", "поставщики маркер", "44 за 3 года"</t>
  </si>
  <si>
    <t>10.71.11.110 Хлеб недлительного хранения
10.71.11.111 Хлеб недлительного хранения из пшеничной муки
10.71.11.112 Хлеб недлительного хранения из ржаной и смеси ржаной и пшеничной муки</t>
  </si>
  <si>
    <t>Сообщения о принятии решения о реорганизации от 06.11.2020</t>
  </si>
  <si>
    <t>25.40.12.400 Оружие спортивное
25.40.12.410 Оружие спортивное огнестрельное с нарезным стволом
25.40.12.430 Оружие спортивное пневматическое с дульной энергией свыше 3 Дж
91.02.20.000 Коллекции музейные
25.40.12.510 Оружие охотничье огнестрельное длинноствольное с нарезным стволом
25.40.12.900 Оружие огнестрельное прочее, не предназначенное для ведения боевых действий
25.40.12.700 Оружие служебное
25.40 Оружие и боеприпасы</t>
  </si>
  <si>
    <t>"223 за 3 года", ".", "fk1", "рейтинг заказчиков маркер", "это заказчик", "поставщики маркер", "44 за 3 года"</t>
  </si>
  <si>
    <t>35.22.10.110 Услуги по распределению и снабжению газовым топливом всех видов по системам распределительных трубопроводов</t>
  </si>
  <si>
    <t>За весь период контрактов 4 шт. на общую сумму НМЦ 18 856 025 200,00 ?</t>
  </si>
  <si>
    <t>19.2 Нефтепродукты
46.71 Услуги по оптовой торговле твердым, жидким и газообразным топливом и связанными продуктами
19.20.21.315 Топливо дизельное летнее экологического класса К5
19.20.21.300 Топливо дизельное
19.20.21.325 Топливо дизельное зимнее экологического класса К5</t>
  </si>
  <si>
    <t>ЗА 3 ГОДА ПО 223 ФЗ заключено 2 шт. с объемом НМЦ 40 396 500,00 ? за 1 ГОД ПО 223ФЗ заключено 1  25 185 000,00 ?</t>
  </si>
  <si>
    <t>"223 за 3 года", "свод фт", ".", "кредиты фт", "Пункт 3 09.01.23", "лимит сит по кредитам", "Участники клиринга", "223 фз контракты 20+", "рейтинг по нмц маркер", "это заказчик", "на фт заводил Пител", "поставщики маркер", "44 за 3 года"</t>
  </si>
  <si>
    <t>08.93.10.111 Соль глыбовая
23.52.10.110 Известь негашеная
10.84.30.140 Соль пищевая молотая
46.38.29.140 Услуги по оптовой торговле солью
23 Продукты минеральные неметаллические прочие
08.93.10.115 Соль денатурированная, соль для промышленных целей
08.93.10 Соль и хлорид натрия чистый, вода морская
46.7 Услуги по специализированной оптовой торговле прочие
46.75 Услуги по оптовой торговле химическими продуктами
10.84.3 Соль пищевая ****</t>
  </si>
  <si>
    <t>ЗА 3 ГОДА ПО 223 ФЗ заключено 8 шт. с объемом НМЦ 55 230 293,07 ?</t>
  </si>
  <si>
    <t>Сообщение кредитора о намерении обратиться в суд с заявлением о банкротстве от 02.10.2019</t>
  </si>
  <si>
    <t>01.24.26.000 Нектарины
01.24.29.110 Черешня
10.13.14.119 Изделия колбасные вареные мясные прочие
10.20.14.110 Филе пресноводной рыбы мороженое
01.13.12.120 Капуста белокочанная
10.20.31.110 Ракообразные морские мороженые
10.41.24.000 Масло подсолнечное и его фракции нерафинированные
10.61.32.113 Крупа гречневая
10.72.19.130 Пироги, пирожки, пончики длительного хранения
56.10.19.119 Услуги прочих предприятий быстрого питания без предоставления мест для сидения ****</t>
  </si>
  <si>
    <t>3 731</t>
  </si>
  <si>
    <t>За весь период компания заключила  193 контрактов на сумму  15 590 872 803,54 ? За весь период заходили в конкурсы  505 раз на общую сумму обеспеченных контрактов с НМЦ 52 744 537 324,20 ? с БГУ  2 251 170 567,42 ? с БГИ 5 104 484 955,90 ? За 3 ГОДА по 44ФЗ заключено 50 шт. с объемом НМЦ  70 491 499 663,11 ? с БГИ 7 043 977 145,86 ? с БГГО 0,00 ? с авансированием до 0,00 ? с комиссией банку 234 440 577,55 ? с кв 2 039 633,02 ? ЗА 1 ГОД по 44ФЗ заключено 11 шт. c объемом НМЦ 17 909 777 526,36 ? с БГИ 1 789 130 315,44 ? с БГГО 0,00 ? с авансированием до  0,00 ? с комиссией банку  74 196 653,73 ? с кв 645 510,89 ?</t>
  </si>
  <si>
    <t>"223 за 3 года", ".", "рейтинг поставщиков в маркере по бг", "Конкурсы 100+ (Восстановленный)", "ушедшие", "все клиенты с выручкой от 1,8 млрд до бесконечности", "44 фз с с БГ от 10 млн", "производители", "рейтинг по нмц маркер", "44 за 3 года"</t>
  </si>
  <si>
    <t>11.01.10.110 Водки
11.01.10.140 Коньяки
11.01.10.200 Ликероводочные изделия</t>
  </si>
  <si>
    <t>"223 за 3 года", ".", "fk1", "корп 1", "06.2022_ФинХД"</t>
  </si>
  <si>
    <t>"производители", ".", "портфель 51", "fk1", "инн Красносельская", "ПОС на 01.02.2023", "портфель 31.10.2021_10 тыс_проверка",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</si>
  <si>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01.11.20.150 Зерноотходы кукурузы
10.62.20.160 Продукты кормовые крахмалопаточного производства</t>
  </si>
  <si>
    <t>"223 за 3 года", ".", "fk1", "все клиенты с выручкой от 1,8 млрд до бесконечности", "производители"</t>
  </si>
  <si>
    <t>22.19.40.110 Ленты конвейерные резинотканевые
22.11.13.110 Шины и покрышки пневматические для автобусов, троллейбусов и грузовых автомобилей новые</t>
  </si>
  <si>
    <t>19.20.21.320 Топливо дизельное зимнее
20.14.71.171 Канифоль и кислоты смоляные и их производные
19.20.25.112 Топливо для реактивных двигателей летательных аппаратов с дозвуковой скоростью полета марки ТС-1</t>
  </si>
  <si>
    <t>За весь период компания заключила  5 контрактов на сумму  6 299 501 714,80 ?</t>
  </si>
  <si>
    <t>"рейтинг по нмц маркер", ".", "fk1", "инн Красносельская", "06.2022_ФинХД", "клиенты с в от100млн 09.21", "ФК клиенты с выручкой от 230 до бесконечности", "Обороты по клиентам по кварталам (2022г)"</t>
  </si>
  <si>
    <t>"Участники клиринга", ".", "fk1", "ПОС на 01.02.2023", "ПОС на 03.04.2023", "Обороты по клиентам по кварталам (2022г)"</t>
  </si>
  <si>
    <t>42.21.12 Трубопроводы местные для жидкостей и газа
43.29 Работы строительно-монтажные прочие
42.12 Дороги железные наземные и подземные; строительные работы по строительству наземных и подземных железных дорог
37.00.11.130 Услуги по подключению (технологическому присоединению) к централизованной системе водоотведения
43.22.1 Работы по монтажу систем водопровода, канализации, отопления, вентиляции и кондиционирования воздуха
36.00.20.160 Услуги по подключению (технологическому присоединению) к централизованной системе водоснабжения
43.99 Работы строительные специализированные, не включенные в другие группировки
42.21.22.110 Работы строительные по прокладке местных трубопроводов воды или сточных вод
42.21.21 Работы строительные по прокладке магистральных трубопроводов</t>
  </si>
  <si>
    <t>За весь период компания заключила  14 контрактов на сумму  2 279 649 986,13 ? За весь период заходили в конкурсы  2 раз на общую сумму обеспеченных контрактов с НМЦ 256 911 075,00 ? с БГУ  12 785 916,00 ? с БГИ 25 571 834,00 ?                             ЗА 3 ГОДА ПО 223 ФЗ заключено 34 шт. с объемом НМЦ 4 447 873 845,10 ? за 1 ГОД ПО 223ФЗ заключено 19  3 288 992 779,02 ?</t>
  </si>
  <si>
    <t>"223 за 3 года", ".", "рейтинг поставщиков в маркере по бг", "Конкурсы 100+ (Восстановленный)", "fk1", "инн Красносельская", "ПОС на 03.04.2023", "Кредитный портфель_01.11", "06.2022_ФинХД", "все клиенты с выручкой от 1,8 млрд до бесконечности", "Обороты по клиентам по кварталам (2022г)", "223 фз контракты 20+", "рейтинг по нмц маркер"</t>
  </si>
  <si>
    <t>20.30.22.220 Растворители и разбавители органические сложные; составы готовые для удаления красок и лаков (смывки)
20.13 Вещества химические неорганические основные прочие
19.20.21.200 Бензин авиационный
10.89.15.131 Агар-агар
20.14.22.113 Спирт изопропиловый (пропан-2-ол)
20.14.32.181 Кислота стеариновая
20.59.52.194 Реактивы химические общелабораторного назначения
01.29.10.000 Каучук натуральный
19.20.23 Дистилляты легкие, не включенные в другие группировки
20.13.25.110 Оксиды, гидроксиды и пероксиды ****</t>
  </si>
  <si>
    <t>"223 за 3 года", ".", "уш кл 1", "все клиенты с выручкой от 1,8 млрд до бесконечности", "Участники клиринга", "поставщики маркер"</t>
  </si>
  <si>
    <t>20.14.62.000 Соединения с кетоновой функциональной группой и хиноновой функциональной группой
20.59.56.140 Пластификаторы составные и стабилизаторы для резин и пластмасс
20.14.12.141 Толуол нефтяной
20.14.19.190 Производные углеводородов прочие, не включенные в другие группировки</t>
  </si>
  <si>
    <t>35.11.10.110 Электроэнергия, произведенная электростанциями общего назначения
35.11.10 Электроэнергия
35.14.10.000 Услуги по торговле электроэнергией
35.12.10.110 Услуги по передаче электроэнергии
35.13 Услуги по распределению электроэнергии</t>
  </si>
  <si>
    <t>За весь период компания заключила  3 контрактов на сумму  621 273 480,00 ?                                     ЗА 3 ГОДА ПО 223 ФЗ заключено 1 шт. с объемом НМЦ 43 550 159,50 ?</t>
  </si>
  <si>
    <t>За весь период компания заключила  7 контрактов на сумму  12 388 397 560,67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</si>
  <si>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 Электроэнергия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35.13.10.000 Услуги по распределению электроэнергии ****</t>
  </si>
  <si>
    <t>За весь период компания заключила  5 контрактов на сумму  1 016 113 051,73 ?                                     ЗА 3 ГОДА ПО 223 ФЗ заключено 9 шт. с объемом НМЦ 41 694 493,00 ? за 1 ГОД ПО 223ФЗ заключено 1  10 720 554,00 ?</t>
  </si>
  <si>
    <t>"223 за 3 года", ".", "ИНН_договоры_октябрь_", "все клиенты с выручкой от 1,8 млрд до бесконечности", "рейтинг по нмц маркер", "это заказчик", "поставщики маркер"</t>
  </si>
  <si>
    <t>05.10 Уголь
19.30.12.110 Уголь бурый (лигнит) агломерированный
05.10.10.131 Уголь марки Д - длиннопламенный</t>
  </si>
  <si>
    <t>За весь период контрактов 5 шт. на общую сумму НМЦ 3 064 960 000,00 ?</t>
  </si>
  <si>
    <t>1 196</t>
  </si>
  <si>
    <t>93.19.13.000 Услуги вспомогательные, связанные со спортом и отдыхом
71.20.19 Услуги по техническим испытаниям и анализу прочие
93.19.19.000 Услуги в области спорта и отдыха прочие
71.20.19.129 Услуги по проведению сертификации продукции, услуг и организаций прочие, не включенные в другие группировки
71.12.40.119 Услуги по техническому регулированию и стандартизации, кроме услуг по техническому регулированию и стандартизации в области использования атомной энергии
71.20 Услуги в области технических испытаний, исследований, анализа и сертификации
93.11.10 Услуги спортивных объектов
43.99 Работы строительные специализированные, не включенные в другие группировки
71.20.19.120 Услуги по проведению сертификации продукции, услуг и организаций</t>
  </si>
  <si>
    <t>55.90.19.000 Услуги по предоставлению временного жилья прочие, не включенные в другие группировки
61.20.11.000 Услуги подвижной связи общего пользования - обеспечение доступа и поддержка пользователя
55.90.13.120 Услуги по предоставлению мест для временного проживания на судах
56.29.19.000 Услуги по обеспечению питанием, осуществляемые по договору, прочие
17.23.13.145 Билеты на право проезда, входа и прочие</t>
  </si>
  <si>
    <t>Сообщения о принятии решения о реорганизации от 31.01.2023</t>
  </si>
  <si>
    <t>27.90.6 Резисторы, кроме нагревательных резисторов
27.90.8 Части электрических конденсаторов, электрических резисторов, реостатов и потенциометров
27.12.10 Устройства для коммутации или защиты электрических цепей на напряжение более 1 кВ
26.11 Компоненты электронные
26.11.4 Части электронных ламп и трубок, и прочих электронных компонентов, не включенные в другие группировки
29.32.30.179 Узлы и детали систем охлаждения прочие, не включенные в другие группировки
43.29.19.190 Работы монтажные прочие, не включенные в другие группировки
26.11.22 Приборы полупроводниковые; диоды светоизлучающие полупроводниковые; приборы пьезоэлектрические; их части
42.21.22.110 Работы строительные по прокладке местных трубопроводов воды или сточных вод</t>
  </si>
  <si>
    <t>68.1 Услуги по покупке и продаже собственного недвижимого имущества</t>
  </si>
  <si>
    <t>За весь период компания заключила  4 контрактов на сумму  11 937 040 334,26 ?</t>
  </si>
  <si>
    <t>10.86.10.243 Соки фруктовые и фруктово-овощные для детского питания
10.32.22.110 Напитки сокосодержащие фруктовые
10.82.22.113 Шоколад десертный в упакованном виде
10.82.22.121 Изделия шоколадные с начинкой
10.82.23.240 Резинка жевательная
10.83.13.110 Чай зеленый (неферментированный) в упаковках массой не более 3 кг
10.72.12.115 Рулеты
10.72.12.120 Печенье сладкое
10.82.22.111 Шоколад обыкновенный в упакованном виде
10.83.13.120 Чай черный (ферментированный) в упаковках массой не более 3 кг ****</t>
  </si>
  <si>
    <t>За весь период компания заключила  7 контрактов на сумму  8 960 483 870,95 ?</t>
  </si>
  <si>
    <t>22.29 Изделия пластмассовые прочие
47.52.7 Услуги по розничной торговле строительными материалами, не включенными в другие группировки, в специализированных магазинах
28.99.39.190 Оборудование специального назначения прочее, не включенное в другие группировки
29.32.30.390 Части и принадлежности для автотранспортных средств прочие, не включенные в другие группировки
28.15.10.126 Подшипники качения роликовые для букс железнодорожного подвижного состава
27.90.70.000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
28.29.31.111 Весы транспортные</t>
  </si>
  <si>
    <t>За весь период компания заключила  11 контрактов на сумму  1 216 603 624,89 ?                                     ЗА 3 ГОДА ПО 223 ФЗ заключено 7 шт. с объемом НМЦ 668 137 538,51 ? за 1 ГОД ПО 223ФЗ заключено 12  792 562 497,98 ?</t>
  </si>
  <si>
    <t>"223 за 3 года", "свод фт", ".", "Конкурсы 100+ (Восстановленный)", "кредиты фт", "Пункт 3 09.01.23", "лимит сит по кредитам", "все клиенты с выручкой от 1,8 млрд до бесконечности", "223 фз контракты 20+", "рейтинг по нмц маркер", "на фт заводил Синяев", "на фт заводил Вохмина", "поставщики маркер"</t>
  </si>
  <si>
    <t>"Обороты по клиентам по кварталам (2022г)", ".", "fk1", "ушедшие", "клиенты с в от100млн 09.21", "все клиенты с выручкой от 1,8 млрд до бесконечности", "ФК клиенты с выручкой от 230 до бесконечности"</t>
  </si>
  <si>
    <t>33.20 Услуги по монтажу промышленных машин и оборудования
27.12.23.000 Устройства защиты электрических цепей на напряжение не более 1 кВ, не включенные в другие группировки
33.12.29.900 Услуги по ремонту и техническому обслуживанию прочего оборудования специального назначения, не включенные в другие группировки
28.99.39.190 Оборудование специального назначения прочее, не включенное в другие группировки
27.12.32.000 Панели и прочие комплекты электрической аппаратуры коммутации или защиты на напряжение более 1 кВ
27.12.40.000 Части электрической распределительной или регулирующей аппаратуры
28.13.27.000 Компрессоры центробежные одновальные или многовальные
28.9 Оборудование специального назначения прочее
27.11.4 Трансформаторы электрические
28.11.31.000 Части турбин на водяном паре и прочих паровых турбин ****</t>
  </si>
  <si>
    <t>За весь период компания заключила  17 контрактов на сумму  8 897 678 700,41 ? За весь период заходили в конкурсы  3 раз на общую сумму обеспеченных контрактов с НМЦ 879 000 000,00 ? с БГУ  45 750 000,00 ? с БГИ 274 500 000,00 ?</t>
  </si>
  <si>
    <t>Юридическое лицо находится в процессе реорганизации в форме присоединения к другому юридическому лицу от 30.09.2021, Сообщения о принятии решения о реорганизации от 02.09.2020</t>
  </si>
  <si>
    <t>"рейтинг по нмц маркер", ".", "рейтинг поставщиков в маркере по бг", "все клиенты с выручкой от 1,8 млрд до бесконечности", "рейтинг заказчиков маркер", "производители"</t>
  </si>
  <si>
    <t>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35.11.10.112 Электроэнергия, произведенная теплоэлектроцентралями (ТЭЦ) общего назначения
35.12.10.120 Услуги по технологическому присоединению к распределительным электросетям
35.13.10.000 Услуги по распределению электроэнергии
42.22.12.121 Линии (кабели) технологической связи местные
35.11.10.116 Электроэнергия, произведенная гидроэлектростанциями (ГЭС) общего назначения
35.12.10 Услуги по передаче электроэнергии и технологическому присоединению к распределительным электросетям
43.21.10.290 Работы электромонтажные прочие, не включенные в другие группировки
74.90.12 Услуги брокерские коммерческие и услуги по оценке, кроме относящихся к недвижимости и страхованию ****</t>
  </si>
  <si>
    <t>За весь период заходили в конкурсы  1 раз на общую сумму обеспеченных контрактов с НМЦ 58 079 999,00 ? с БГУ  640 000,00 ? с БГИ 6 400 000,00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</si>
  <si>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 Электроэнергия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t>
  </si>
  <si>
    <t>За весь период компания заключила  9 контрактов на сумму  572 107 662,23 ?                                     ЗА 3 ГОДА ПО 223 ФЗ заключено 21 шт. с объемом НМЦ 58 426 403,30 ? за 1 ГОД ПО 223ФЗ заключено 10  34 015 029,00 ?</t>
  </si>
  <si>
    <t>"223 за 3 года", ".", "223 фз контракты 20+", "рейтинг заказчиков маркер", "производители", "рейтинг по нмц маркер", "это заказчик", "поставщики маркер"</t>
  </si>
  <si>
    <t>10.51.52.140 Кефир
10.51.52.200 Сметана
10.51.11.110 Молоко питьевое пастеризованное
10.51.40.300 Творог
10.51.40.330 Творог зерненый без вкусовых компонентов
10.51.30.111 Масло сладко-сливочное
10.51.52.110 Йогурт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10.51.40.313 Творог (кроме зерненого и произведенного с использованием ультрафильтрации и сепарирования) без вкусовых компонентов от 4 % до 11 % жирности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</si>
  <si>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42.11.10.151 Дорога подъездная
71.12.20.190 Услуги по руководству строительными проектами прочие
42.11.10.120 Дороги автомобильные, в том числе улично-дорожная сеть, и прочие автомобильные и пешеходные дороги
42.13.20.100 Работы строительные по строительству мостов и тоннелей, кроме работ по сохранению и воссозданию объектов культурного наследия
42.11.10.122 Дорога автомобильная с усовершенствованным облегченным или переходным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</si>
  <si>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1 298</t>
  </si>
  <si>
    <t>За весь период компания заключила  76 контрактов на сумму  25 162 265 408,11 ? За весь период заходили в конкурсы  226 раз на общую сумму обеспеченных контрактов с НМЦ 44 535 821 095,48 ? с БГУ  913 120 582,57 ? с БГИ 9 077 621 188,72 ? За 3 ГОДА по 44ФЗ заключено 134 шт. с объемом НМЦ  11 104 457 102,56 ? с БГИ 1 810 461 305,03 ? с БГГО 42 844 575,78 ? с авансированием до 24 505 766 151,49 ? с комиссией банку 40 911 133,80 ? с кв 355 926,86 ? ЗА 1 ГОД по 44ФЗ заключено 31 шт. c объемом НМЦ 3 050 126 749,82 ? с БГИ 479 481 869,71 ? с БГГО 3 404 138,29 ? с авансированием до  1 276 317 338,34 ? с комиссией банку  13 716 233,08 ? с кв 119 331,23 ?</t>
  </si>
  <si>
    <t>"44 за 3 года", ".", "рейтинг поставщиков в маркере по бг", "ГРАНДИОЗНЫЙ ПРОЕКТ", "Конкурсы 100+ (Восстановленный)", "ПСБ Гарантии ", "все клиенты с выручкой от 1,8 млрд до бесконечности", "БизФин", "44 фз с с БГ от 10 млн", "рейтинг заказчиков маркер", "производители", "рейтинг по нмц маркер", "это заказчик", "поставщики маркер"</t>
  </si>
  <si>
    <t>20.15.79.000 Удобрения минеральные или химические, содержащие два или три питательных элемента (азот, фосфор и калий), не включенные в другие группировки
20.20.14.000 Средства дезинфекционные
20.13.32.110 Гипохлориты
20.15.33.000 Нитрат аммония
20.15.71.000 Удобрения, содержащие три питательных элемента: азот, фосфор и калий</t>
  </si>
  <si>
    <t>Сообщения о принятии решения о реорганизации от 11.01.2022</t>
  </si>
  <si>
    <t>22.22.19.000 Изделия упаковочные пластмассовые прочие
22.23.13.000 Резервуары, цистерны, баки и аналогичные емкости пластмассовые вместимостью свыше 300 л
21.20.23.199 Средства нелечебные прочие
22.21.42.130 Полосы (ленты) прочие пластмассовые непористые
13.20.20.114 Ткани хлопчатобумажные бельевые постельные
20.30.22.220 Растворители и разбавители органические сложные; составы готовые для удаления красок и лаков (смывки)
25.73.60.190 Инструмент прочий, не включенный в другие группировки
20.41.32.129 Средства стиральные прочие
17.23.13.110 Журналы регистрационные из бумаги или картона
20.1 Вещества химические основные, удобрения химические и азотные, пластмассы и синтетический каучук в первичных формах ****</t>
  </si>
  <si>
    <t>2 465</t>
  </si>
  <si>
    <t>За весь период компания заключила  14 контрактов на сумму  7 906 465 481,62 ? За весь период заходили в конкурсы  20 раз на общую сумму обеспеченных контрактов с НМЦ 11 507 472 373,25 ? с БГУ  12 206 480,19 ? с БГИ 610 289 645,35 ? За 3 ГОДА по 44ФЗ заключено 23 шт. с объемом НМЦ  1 211 809 772,65 ? с БГИ 284 328 375,31 ? с БГГО 6 281 746,31 ? с авансированием до 268 485 464,00 ? с комиссией банку 5 482 848,43 ? с кв 47 700,78 ? ЗА 1 ГОД по 44ФЗ заключено 4 шт. c объемом НМЦ 426 434 735,62 ? с БГИ 44 144 225,78 ? с БГГО 2 129 472,00 ? с авансированием до  27 386 986,80 ? с комиссией банку  4 152 307,43 ? с кв 36 125,07 ? ЗА 3 ГОДА ПО 223 ФЗ заключено 7 шт. с объемом НМЦ 3 137 278 576,78 ? за 1 ГОД ПО 223ФЗ заключено 8  2 112 545 086,72 ?</t>
  </si>
  <si>
    <t>79.11.11.000 Услуги по бронированию авиабилетов
82.99.19.000 Услуги вспомогательные, связанные с предпринимательской деятельностью, прочие, не включенные в другие группировки
79.11 Услуги туристических агентств</t>
  </si>
  <si>
    <t>"Обороты по клиентам по кварталам (2022г)", ".", "fk1", "06.2022_ФинХД", "клиенты с в от100млн 09.21", "все клиенты с выручкой от 1,8 млрд до бесконечности", "ФК клиенты с выручкой от 230 до бесконечности", "клиенты от 100 млн"</t>
  </si>
  <si>
    <t>58.11.13.000 Книги печатные для детей</t>
  </si>
  <si>
    <t>"поставщики маркер", ".", "инн Ленинградка", "fk1", "ИНН 3 года - нет КД БГ на 01.10.22",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</si>
  <si>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73.11 Услуги, предоставляемые рекламными агентствами</t>
  </si>
  <si>
    <t>80.20.10.000 Услуги систем обеспечения безопасности
33.12.29.900 Услуги по ремонту и техническому обслуживанию прочего оборудования специального назначения, не включенные в другие группировки
43.21.10.140 Работы по монтажу систем пожарной сигнализации и охранной сигнализации
33.14.19.000 Услуги по ремонту и техническому обслуживанию прочего профессионального электрического оборудования
33.12.19.000 Услуги по ремонту и техническому обслуживанию прочего оборудования общего назначения, не включенного в другие группировки</t>
  </si>
  <si>
    <t>19.2 Нефтепродукты
19.20.21.321 Топливо дизельное зимнее вне классов
19.20.21 Топливо моторное, включая автомобильный и авиационный бензин
19.20.21.100 Бензин автомобильный
19.20.21.125 Бензин автомобильный с октановым числом более 92, но не более 95 по исследовательскому методу экологического класса К5
19.20.21.340 Топливо дизельное межсезонное
19.20.21.120 Бензин автомобильный с октановым числом более 92, но не более 95 по исследовательскому методу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19.20.21.320 Топливо дизельное зимнее ****</t>
  </si>
  <si>
    <t>28.30.60.000 Устройства механические для разбрасывания или распыления жидкостей или порошков, используемые в сельском хозяйстве или садоводстве</t>
  </si>
  <si>
    <t>10.86.10.900 Специализированная пищевая продукция, в том числе диетическая, не включенная в другие группировки
10.32.21.110 Нектары фруктовые
21.2 Препараты лекарственные и материалы, применяемые в медицинских целях</t>
  </si>
  <si>
    <t>Заказчик разыгравший 4 конкурсов на сумму  450 200 934,13 ?</t>
  </si>
  <si>
    <t>20.13 Вещества химические неорганические основные прочие
23.11.11.120 Стекло листовое тянутое окрашенное в массе, всех марок
23.1 Стекло и изделия из стекла</t>
  </si>
  <si>
    <t>27.90.33.110 Комплектующие (запасные части) прочего электрического оборудования, не имеющие самостоятельных группировок
23.99.12.110 Материалы рулонные кровельные и гидроизоляционные
22.21.42.142 Покрытия полимерные защитные дезактивируемые
23.99.19.112 Материалы и изделия минеральные звукоизоляционные
24.20 Трубы, профили пустотелые и их фитинги стальные
27.90.40.190 Оборудование электрическое прочее, не включенное в другие группировки
23.14.12.190 Изделия из стекловолокна прочие, кроме стеклотканей
22 Изделия резиновые и пластмассовые
23.99.19.110 Материалы и изделия минеральные тепло- и звукоизоляционные
27.12.40.000 Части электрической распределительной или регулирующей аппаратуры ****</t>
  </si>
  <si>
    <t>За весь период компания заключила  11 контрактов на сумму  8 449 688 724,27 ?</t>
  </si>
  <si>
    <t>Юридическим лицом принято решение об изменении места нахождения от 11.04.2023, Сообщения о принятии решения о реорганизации от 10.11.2020</t>
  </si>
  <si>
    <t>"это заказчик", ".", "все клиенты с выручкой от 1,8 млрд до бесконечности", "рейтинг заказчиков маркер", "производители", "рейтинг по нмц маркер"</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</si>
  <si>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35.11.10.112 Электроэнергия, произведенная теплоэлектроцентралями (ТЭЦ) общего назначения
36.00.20.140 Услуги по техническому обслуживанию приборов учета расхода воды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35.30.12.110 Услуги по приготовлению воды на нужды горячего водоснабжения
36.00.20.110 Услуги по очистке и подготовке воды для водоснабжения ****</t>
  </si>
  <si>
    <t>1 311</t>
  </si>
  <si>
    <t>За весь период компания заключила  16 контрактов на сумму  1 000 038 589,13 ?                                     ЗА 3 ГОДА ПО 223 ФЗ заключено 15 шт. с объемом НМЦ 29 257 471,17 ? за 1 ГОД ПО 223ФЗ заключено 13  22 522 106,50 ?</t>
  </si>
  <si>
    <t>28.25.13.111 Шкафы холодильные
28.25.13.112 Камеры холодильные сборные
32.20.15.190 Инструменты музыкальные прочие, не включенные в другие группировки
29.32.30.269 Узлы и детали систем вентиляции, отопления и кондиционирования воздуха, не включенные в другие группировки
27.51.21.129 Машины и приборы для механизации кухонных работ прочие, не включенные в другие группировки
27.51.21.190 Приборы электромеханические бытовые со встроенным электродвигателем прочие, не включенные в другие группировки
28.25.12.130 Кондиционеры бытовые
28.93.17.113 Машины месильно-перемешивающие
29.20.21.129 Контейнеры специализированные прочие, не включенные в другие группировки
27.51.11.110 Холодильники бытовые ****</t>
  </si>
  <si>
    <t>клиент ФК до 2,5 млн</t>
  </si>
  <si>
    <t>"44 за 3 года", ".", "лимит сит по кредитам", "клиенты до 18млн 22.29.21 ", "ФК клиенты с выручкой до 2,5 млн", "уш кл3", "поставщики маркер"</t>
  </si>
  <si>
    <t>26.51.43.120 Системы информационные электроизмерительные, комплексы измерительно-вычислительные и установки для измерения электрических и магнитных величин
42.22.2 Работы строительные по строительству коммунальных объектов для электроснабжения и телекоммуникаций
42.22.22.110 Работы строительные по прокладке местных линий электропередачи и связи над землей или под землей
42.22.22.120 Работы строительные по строительству трансформаторных станций и подстанций для распределения электричества в пределах какого-либо района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62.09.20.110 Услуги по восстановлению данных и поддержке повседневных компьютеризованных работ в случае чрезвычайного происшествия, такого как пожар или наводнение
33.1 Услуги по ремонту металлоизделий, машин и оборудования
62.02.30 Услуги по технической поддержке информационных технологий
71.12.13 Услуги по инженерно-техническому проектированию систем энергоснабжения ****</t>
  </si>
  <si>
    <t>За весь период компания заключила  33 контрактов на сумму  2 363 966 718,20 ? За весь период заходили в конкурсы  7 раз на общую сумму обеспеченных контрактов с НМЦ 446 263 428,50 ? с БГУ  36 027 871,57 ? с БГИ 203 845 606,79 ? За 3 ГОДА по 44ФЗ заключено 2 шт. с объемом НМЦ  224 012 978,04 ? с БГИ 67 203 893,42 ? с БГГО 0,00 ? с авансированием до 0,00 ? с комиссией банку 486 077,48 ? с кв 4 228,87 ? ЗА 1 ГОД по 44ФЗ заключено 2 шт. c объемом НМЦ 224 012 978,04 ? с БГИ 67 203 893,42 ? с БГГО 0,00 ? с авансированием до  0,00 ? с комиссией банку  486 077,48 ? с кв 4 228,87 ? ЗА 3 ГОДА ПО 223 ФЗ заключено 91 шт. с объемом НМЦ 744 545 518,69 ? за 1 ГОД ПО 223ФЗ заключено 40  186 524 398,48 ?</t>
  </si>
  <si>
    <t>"223 за 3 года", ".", "рейтинг поставщиков в маркере по бг", "ушедшие", "все клиенты с выручкой от 1,8 млрд до бесконечности", "223 фз контракты 20+", "44 фз с с БГ от 10 млн", "производители", "рейтинг по нмц маркер", "поставщики маркер", "44 за 3 года"</t>
  </si>
  <si>
    <t>10.41.41.112 Жмых и остатки кормовые твердые прочие, полученные при экстракции соевого масла
10.41 Масла и жиры
10.41.41 Жмых и прочие твердые остатки растительных жиров или масел
10.41.41.110 Жмых и остатки твердые прочие, полученные при экстракции соевого масла
10.41.41.119 Жмых и остатки твердые, полученные при экстракции соевого масла, прочие
10.41.41.111 Жмых и остатки пищевые твердые прочие, полученные при экстракции соевого масла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</si>
  <si>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42.11.10.120 Дороги автомобильные, в том числе улично-дорожная сеть, и прочие автомобильные и пешеходные дороги
43.39.19.190 Работы завершающие и отделочные в зданиях и сооружениях, прочие, не включенные в другие группировки
42.11.10.159 Дороги подъездные, транспортные и пешеходные путепроводы над и под дорогой, велосипедные дорожки прочие
42.13.20.100 Работы строительные по строительству мостов и тоннелей, кроме работ по сохранению и воссозданию объектов культурного наследия
42.11.10.150 Дороги подъездные, транспортные и пешеходные путепроводы над и под дорогой, велосипедные дорожки
42.11.10.129 Дороги автомобильные, в том числе улично-дорожная сеть, и прочие автомобильные и пешеходные дороги, не включенные в другие группировки</t>
  </si>
  <si>
    <t>1 372</t>
  </si>
  <si>
    <t>За весь период компания заключила  80 контрактов на сумму  131 096 161 167,23 ? За весь период заходили в конкурсы  173 раз на общую сумму обеспеченных контрактов с НМЦ 145 841 396 914,97 ? с БГУ  5 824 428 962,85 ? с БГИ 32 285 794 849,53 ? За 3 ГОДА по 44ФЗ заключено 55 шт. с объемом НМЦ  48 254 354 103,74 ? с БГИ 10 732 879 272,26 ? с БГГО 29 809 752,82 ? с авансированием до 20 890 128 114,40 ? с комиссией банку 368 052 373,55 ? с кв 3 202 055,65 ? ЗА 1 ГОД по 44ФЗ заключено 22 шт. c объемом НМЦ 14 319 637 587,14 ? с БГИ 2 273 274 606,80 ? с БГГО 107 894,00 ? с авансированием до  5 964 615 703,57 ? с комиссией банку  28 919 881,19 ? с кв 251 602,97 ?</t>
  </si>
  <si>
    <t>"44 за 3 года", ".", "рейтинг поставщиков в маркере по бг", "Конкурсы 100+ (Восстановленный)", "все клиенты с выручкой от 1,8 млрд до бесконечности", "44 фз с с БГ от 10 млн", "производители", "рейтинг по нмц маркер", "поставщики маркер"</t>
  </si>
  <si>
    <t>За весь период компания заключила  31 контрактов на сумму  1 948 355 398,53 ?                                     ЗА 3 ГОДА ПО 223 ФЗ заключено 29 шт. с объемом НМЦ 285 950 566,97 ? за 1 ГОД ПО 223ФЗ заключено 12  160 553 812,91 ?</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</si>
  <si>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39.00.23.900 Услуги специализированные прочие по контролю над загрязнением окружающей среды, не включенные в другие группировки
36.00.20.140 Услуги по техническому обслуживанию приборов учета расхода воды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36.00 Вода природная; услуги по очистке воды и водоснабжению ****</t>
  </si>
  <si>
    <t>2 067</t>
  </si>
  <si>
    <t>За весь период компания заключила  3 контрактов на сумму  2 162 041 966,21 ?</t>
  </si>
  <si>
    <t>1 862</t>
  </si>
  <si>
    <t>За весь период компания заключила  10 контрактов на сумму  661 756 909,38 ?                                     ЗА 3 ГОДА ПО 223 ФЗ заключено 4 шт. с объемом НМЦ 21 080 480,17 ?</t>
  </si>
  <si>
    <t>"223 за 3 года", ".", "fk1", "все клиенты с выручкой от 1,8 млрд до бесконечности", "рейтинг заказчиков маркер", "рейтинг по нмц маркер", "это заказчик", "поставщики маркер"</t>
  </si>
  <si>
    <t>37.00.11.110 Услуги по водоотведению сточных вод
43.99.90.190 Работы строительные специализированные прочие, не включенные в другие группировки
35.30.11.120 Энергия тепловая, отпущенная котельными
35.30.12.130 Услуги по транспортированию горячей воды
68.32.11.120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
81.10.10.000 Услуги по обслуживанию помещений комплексные
68.32.13.120 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t>
  </si>
  <si>
    <t>Отказ из-за непредставления документов;Отклонена банком</t>
  </si>
  <si>
    <t>"на фт заводил Алиев", "свод фт", ".", "кредиты фт", "лимит сит по кредитам"</t>
  </si>
  <si>
    <t>68 Услуги по операциям с недвижимым имуществом</t>
  </si>
  <si>
    <t>20.30.24.110 Краски полиграфические
20.30 Материалы лакокрасочные и аналогичные для нанесения покрытий, полиграфические краски и мастики
20.30.24.119 Краски полиграфические специального назначения прочие
20.30.24.112 Краски полиграфические для офсетной печати
20.14.31.120 Кислота олеиновая промышленная
20.41.44.120 Порошки чистящие</t>
  </si>
  <si>
    <t>Юридическое лицо находится в процессе реорганизации в форме присоединения к нему других юридических лиц от 06.09.2022, Сообщения о принятии решения о реорганизации от 05.09.2022</t>
  </si>
  <si>
    <t>43.22.12.120 Работы по установке и техническому обслуживанию систем управления центральным отоплением
43.22.12.160 Работы по установке приборов учета расхода тепловой энергии
43.99.90.190 Работы строительные специализированные прочие, не включенные в другие группировки
35.11.10.112 Электроэнергия, произведенная теплоэлектроцентралями (ТЭЦ) общего назначения
36.00.20.140 Услуги по техническому обслуживанию приборов учета расхода воды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35.11.10.142 Электроэнергия, произведенная ветровыми электростанциями
35.14.10 Услуги по торговле электроэнергией ****</t>
  </si>
  <si>
    <t>За весь период контрактов 105 шт. на общую сумму НМЦ 105 791 067 445,14 ?</t>
  </si>
  <si>
    <t>Юридическое лицо находится в процессе реорганизации в форме присоединения к нему других юридических лиц от 07.04.2023, Сообщения о принятии решения о реорганизации от 21.03.2023</t>
  </si>
  <si>
    <t>"223 за 3 года", ".", "все клиенты с выручкой от 1,8 млрд до бесконечности", "Участники клиринга", "223 фз контракты 20+", "рейтинг заказчиков маркер", "производители", "рейтинг по нмц маркер", "это заказчик", "поставщики маркер"</t>
  </si>
  <si>
    <t>86.90.19.140 Услуги санаторно-курортных организаций
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49.41.20.000 Услуги по аренде грузовых транспортных средств с водителем</t>
  </si>
  <si>
    <t>1 099</t>
  </si>
  <si>
    <t>29.10.23 Средства транспортные с поршневым двигателем внутреннего сгорания с воспламенением от сжатия (дизелем или полудизелем), новые
28.92.61 Части бурильных или проходческих машин или машин для выемки грунта; части кранов
28.92.61.110 Комплектующие (запасные части) бурильных и проходческих машин, не имеющие самостоятельных группировок
28.92.12.190 Машины проходческие прочие</t>
  </si>
  <si>
    <t>За весь период контрактов 3 шт. на общую сумму НМЦ 1 414 045 034,09 ?</t>
  </si>
  <si>
    <t>21.20.10.118 Препараты, способствующие пищеварению, включая ферментные препараты
21.20.10.133 Препараты антианемические
21.20.10.191 Препараты антибактериальные для системного использования
21.20.10.111 Препараты стоматологические
21.20.10.116 Препараты противодиарейные, кишечные противовоспалительные и противомикробные
21.20.10.119 Препараты для лечения сахарного диабета
21.20.10.113 Препараты для лечения функциональных расстройств желудочно-кишечного тракта
21.20.10.255 Препараты, применяемые при кашле и простудных заболеваниях
21.20.10.254 Препараты для лечения обструктивных заболеваний дыхательных путей
21.20.23.192 Продукты терапевтические прочие ****</t>
  </si>
  <si>
    <t>За весь период компания заключила  15 контрактов на сумму  4 446 471 732,38 ? За весь период заходили в конкурсы  47 раз на общую сумму обеспеченных контрактов с НМЦ 12 367 564 361,53 ? с БГУ  123 574 211,81 ? с БГИ 1 228 177 009,60 ? За 3 ГОДА по 44ФЗ заключено 355 шт. с объемом НМЦ  17 048 993 609,65 ? с БГИ 1 598 057 915,38 ? с БГГО 2 862 918,28 ? с авансированием до 1 504 004,96 ? с комиссией банку 41 235 077,96 ? с кв 358 745,18 ? ЗА 1 ГОД по 44ФЗ заключено 151 шт. c объемом НМЦ 8 011 930 551,33 ? с БГИ 761 419 840,89 ? с БГГО 0,00 ? с авансированием до  655 809,25 ? с комиссией банку  10 471 637,42 ? с кв 91 103,25 ? ЗА 3 ГОДА ПО 223 ФЗ заключено 2 шт. с объемом НМЦ 21 248 416,00 ?</t>
  </si>
  <si>
    <t>"223 за 3 года", ".", "рейтинг поставщиков в маркере по бг", "беники", "Конкурсы 100+ (Восстановленный)", "все клиенты с выручкой от 1,8 млрд до бесконечности", "44 фз с с БГ от 10 млн", "производители", "рейтинг по нмц маркер", "поставщики маркер", "44 за 3 года"</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</si>
  <si>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35.11.10.117 Электроэнергия, произведенная гидроаккумулирующими электростанциями (ГАЭС) общего назначения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81.29.12.000 Услуги по подметанию и уборке снега
36.00.20.110 Услуги по очистке и подготовке воды для водоснабжения ****</t>
  </si>
  <si>
    <t>2 682</t>
  </si>
  <si>
    <t>Заказчик разыгравший 134 конкурсов на сумму  32 813 968 501,45 ?</t>
  </si>
  <si>
    <t>Сообщение кредитора о намерении обратиться в суд с заявлением о банкротстве от 28.04.2023</t>
  </si>
  <si>
    <t>19.20.21 Топливо моторное, включая автомобильный и авиационный бензин
19.20.25.112 Топливо для реактивных двигателей летательных аппаратов с дозвуковой скоростью полета марки ТС-1</t>
  </si>
  <si>
    <t>За весь период компания заключила  6 контрактов на сумму  2 085 228 593,80 ?</t>
  </si>
  <si>
    <t>"поставщики маркер", ".", "fk1", "ПОС на 01.02.2023", "ПОС на 03.04.2023", "Кредитный портфель_01.11", "06.2022_ФинХД", "клиенты от 100 млн", "Обороты по клиентам по кварталам (2022г)", "Участники клиринга", "рейтинг по нмц маркер"</t>
  </si>
  <si>
    <t>28.13.14.110 Насосы центробежные подачи жидкостей прочие
28.14.12.110 Краны, клапаны для раковин, моек, биде, унитазов, ванн и аналогичная арматура
28.14.12.120 Клапаны для радиаторов центрального отопления
22.19.73.113 Манжеты резинометаллические
22.21.2 Трубы, трубки и шланги и их фитинги пластмассовые
20.60.12.110 Нити полиамидные высокопрочные
20.30.22.170 Герметики
20.30.22.220 Растворители и разбавители органические сложные; составы готовые для удаления красок и лаков (смывки)
23.99.12.110 Материалы рулонные кровельные и гидроизоляционные
24.20.13.130 Трубы стальные электросварные ****</t>
  </si>
  <si>
    <t>За весь период заходили в конкурсы  1 раз на общую сумму обеспеченных контрактов с НМЦ 17 213 067,66 ? с БГУ  529 632,88 ? с БГИ 5 296 328,80 ?                             ЗА 3 ГОДА ПО 223 ФЗ заключено 17 шт. с объемом НМЦ 85 275 435,72 ? за 1 ГОД ПО 223ФЗ заключено 4  46 925 899,26 ?</t>
  </si>
  <si>
    <t>"223 за 3 года", ".", "рейтинг поставщиков в маркере по бг",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 "поставщики маркер", "44 за 3 года"</t>
  </si>
  <si>
    <t>32.50.21 Инструменты и приспособления терапевтические; дыхательное оборудование</t>
  </si>
  <si>
    <t>69.20.10.000 Услуги по проведению финансового аудита
62.01 Продукты программные и услуги по разработке и тестированию программного обеспечения
62.02.2 Услуги консультативные по вопросам систем и программному обеспечению
62.02.30 Услуги по технической поддержке информационных технологий
62.01.1 Услуги по проектированию, разработке информационных технологий для прикладных задач и тестированию программного обеспечения
62.02.20.130 Услуги по обучению пользователей
62 Продукты программные и услуги по разработке программного обеспечения; консультационные и аналогичные услуги в области информационных технологий
58.29.50.000 Услуги по предоставлению лицензий на право использовать компьютерное программное обеспечение
62.01.29.000 Оригиналы программного обеспечения прочие
62.09 Услуги в области информационных технологий прочие и компьютерные услуги ****</t>
  </si>
  <si>
    <t>За весь период контрактов 19 шт. на общую сумму НМЦ 9 218 725 576,05 ?</t>
  </si>
  <si>
    <t>27.32.13.143 Кабели контрольные
27.32.13.191 Кабели монтажные
27.3 Кабели и арматура кабельная
27.32.13.131 Провода силовые для электрических установок
27.32.13.145 Кабели сигнально-блокировочные
27.32.14.110 Кабели силовые для стационарной прокладки на напряжение более 1 кВ
27.32.14.111 Кабели силовые с медной жилой на напряжение более 1 кВ
27.32.14.112 Кабели силовые с алюминиевой жилой на напряжение более 1 кВ
27.32.11.000 Провода обмоточные изолированные
27.32.12.000 Кабели коаксиальные и прочие коаксиальные проводники электрического тока ****</t>
  </si>
  <si>
    <t>За весь период компания заключила  24 контрактов на сумму  5 935 990 590,03 ? За весь период заходили в конкурсы  3 раз на общую сумму обеспеченных контрактов с НМЦ 217 540 581,00 ? с БГУ  12 153 105,09 ? с БГИ 72 918 630,45 ?                             ЗА 3 ГОДА ПО 223 ФЗ заключено 21 шт. с объемом НМЦ 353 572 705,99 ? за 1 ГОД ПО 223ФЗ заключено 1  6 638 584,06 ?</t>
  </si>
  <si>
    <t>"223 за 3 года", ".", "рейтинг поставщиков в маркере по бг", "производители", "рейтинг по нмц маркер", "crm управления", "в crm за Курилиным", "поставщики маркер"</t>
  </si>
  <si>
    <t>20.14.43.130 Соединения, содержащие нитрильные функциональные группы и их производные
71.20.11.190 Услуги в области испытаний и анализа состава и чистоты прочих веществ
35.30.11.111 Энергия тепловая, отпущенная тепловыми электроцентралями (ТЭЦ)
71.20.11 Услуги в области испытаний и анализа состава и чистоты веществ</t>
  </si>
  <si>
    <t>ЗА 3 ГОДА ПО 223 ФЗ заключено 2 шт. с объемом НМЦ 22 377 000,00 ?</t>
  </si>
  <si>
    <t>Сообщения о принятии решения о реорганизации от 31.05.2022</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</si>
  <si>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35.11.10 Электроэнергия
35.12.10.120 Услуги по технологическому присоединению к распределительным электросетям
35.13.10.000 Услуги по распределению электроэнергии ****</t>
  </si>
  <si>
    <t>За весь период компания заключила  8 контрактов на сумму  949 726 111,10 ? За весь период заходили в конкурсы  5 раз на общую сумму обеспеченных контрактов с НМЦ 377 218 654,73 ? с БГУ  3 164 432,81 ? с БГИ 7 094 112,09 ?                             ЗА 3 ГОДА ПО 223 ФЗ заключено 70 шт. с объемом НМЦ 164 358 890,47 ? за 1 ГОД ПО 223ФЗ заключено 22  23 235 276,21 ?</t>
  </si>
  <si>
    <t>28.29.12.190 Оборудование и установки для фильтрования или очистки жидкостей прочие, не включенные в другие группировки
28.99.39.190 Оборудование специального назначения прочее, не включенное в другие группировки
28.29.12.153 Фильтры мембранные
27.90.40.190 Оборудование электрическое прочее, не включенное в другие группировки
71.20.11.190 Услуги в области испытаний и анализа состава и чистоты прочих веществ
28.29.60.000 Установки для обработки материалов с использованием процессов, включающих изменение температуры, не включенные в другие группировки
28.29.12.119 Оборудование для фильтрования или очистки воды прочее, не включенное в другие группировки
32.99.59.000 Изделия различные прочие, не включенные в другие группировки</t>
  </si>
  <si>
    <t>За весь период заходили в конкурсы  9 раз на общую сумму обеспеченных контрактов с НМЦ 1 319 098 505,95 ? с БГУ  13 265 063,66 ? с БГИ 188 534 816,48 ?                                 за 1 ГОД ПО 223ФЗ заключено 3  675 937 336,68 ?</t>
  </si>
  <si>
    <t>"223 за 3 года", ".", "рейтинг поставщиков в маркере по бг", "Конкурсы 100+ (Восстановленный)", "все клиенты с выручкой от 1,8 млрд до бесконечности", "223 фз контракты 20+", "рейтинг по нмц маркер", "crm управления", "crm Пител", "поставщики маркер", "44 за 3 года"</t>
  </si>
  <si>
    <t>52.29.19.110 Услуги по экспедированию грузов
49.41.1 Услуги по грузовым перевозкам автомобильным транспортом</t>
  </si>
  <si>
    <t>"поставщики маркер", ".",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</si>
  <si>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28.25.14.119 Оборудование и установки для фильтрования или очистки воздуха прочие</t>
  </si>
  <si>
    <t>1 784</t>
  </si>
  <si>
    <t>Заказчик разыгравший 1 конкурсов на сумму  1 539 381 532,89 ?</t>
  </si>
  <si>
    <t>"44 за 3 года", ".", "все клиенты с выручкой от 1,8 млрд до бесконечности", "рейтинг заказчиков маркер", "поставщики маркер"</t>
  </si>
  <si>
    <t>45.11.21.000 Услуги по розничной торговле новыми пассажирскими автотранспортными средствами в специализированных магазинах
45.11.39.000 Услуги по розничной торговле легковыми автомобилями и грузовыми автомобилями малой грузоподъемности прочие, не включенные в другие группировки
29.1 Средства автотранспортные
29.10.2 Автомобили легковые
29.10.22 Средства транспортные с двигателем с искровым зажиганием, с рабочим объемом цилиндров более 1500 см3, новые
29.10.24.000 Средства автотранспортные для перевозки людей прочие
29 Средства автотранспортные, прицепы и полуприцепы
32.30.15.299 Изделия спортивные, инвентарь, включая тренировочный, прочие, не включенные в другие группировки
29.10.23.000 Средства транспортные с поршневым двигателем внутреннего сгорания с воспламенением от сжатия (дизелем или полудизелем), новые
29.10.59.390 Средства автотранспортные специального назначения прочие, не включенные в другие группировки ****</t>
  </si>
  <si>
    <t>За 3 ГОДА по 44ФЗ заключено 75 шт. с объемом НМЦ  284 046 074,89 ? с БГИ 29 295 675,30 ? с БГГО 5 907 211,30 ? с авансированием до 2 131 250,00 ? с комиссией банку 237 392,48 ? с кв 2 065,31 ? ЗА 1 ГОД по 44ФЗ заключено 11 шт. c объемом НМЦ 37 909 233,30 ? с БГИ 5 797 119,99 ? с БГГО 438 320,00 ? с авансированием до  0,00 ? с комиссией банку  65 831,29 ? с кв 572,73 ?     за 1 ГОД ПО 223ФЗ заключено 4  10 825 900,00 ?</t>
  </si>
  <si>
    <t>"223 за 3 года", ".", "fk1", "все клиенты с выручкой от 1,8 млрд до бесконечности", "рейтинг по нмц маркер", "это заказчик", "поставщики маркер", "44 за 3 года"</t>
  </si>
  <si>
    <t>10.11.31.140 Субпродукты пищевые крупного рогатого скота замороженные
10.12.20.110 Мясо кур, в том числе цыплят (включая цыплят-бройлеров) замороженное
01.47.11.410 Куры мясных пород прародительского стада
01.47.11.412 Молодняк кур мясных пород ремонтный прародительского стада</t>
  </si>
  <si>
    <t>71.12.16.000 Услуги по инженерно-техническому проектированию производственных процессов и производств
68.10.14.000 Услуги по покупке и продаже нежилых зданий и занимаемых ими земельных участков
41.20.10.110 Здания жилые общего назначения
41.20.40.900 Работы строительные по возведению нежилых зданий и сооружений прочие, не включенные в другие группировки
71.11.21.000 Услуги в области архитектуры, связанные с проектами жилищного строительства
71.11.22.000 Услуги в области архитектуры, связанные с проектами строительства нежилых зданий и сооружений
71.12.19.100 Услуги по инженерно-техническому проектированию прочих объектов, кроме объектов культурного наследия
68.10.11.000 Услуги по покупке и продаже жилых зданий и занимаемых ими земельных участков
41.20.20.900 Сооружения спортивно-оздоровительные и сооружения прочие, не включенные в другие группировки
41.20.30.100 Работы по возведению жилых зданий, кроме работ по сохранению и воссозданию объектов культурного наследия ****</t>
  </si>
  <si>
    <t>За весь период компания заключила  40 контрактов на сумму  26 709 752 240,04 ? За весь период заходили в конкурсы  78 раз на общую сумму обеспеченных контрактов с НМЦ 34 500 143 590,27 ? с БГУ  1 569 838 350,32 ? с БГИ 7 585 007 772,27 ? За 3 ГОДА по 44ФЗ заключено 7 шт. с объемом НМЦ  2 567 288 858,58 ? с БГИ 374 302 792,72 ? с БГГО 63 919 615,19 ? с авансированием до 264 329 724,93 ? с комиссией банку 1 546 313,69 ? с кв 13 452,93 ?</t>
  </si>
  <si>
    <t>Сообщение кредитора о намерении обратиться в суд с заявлением о банкротстве от 05.08.2021</t>
  </si>
  <si>
    <t>"44 за 3 года", "свод фт", ".", "рейтинг поставщиков в маркере по бг", "ГРАНДИОЗНЫЙ ПРОЕКТ", "Агентские отказ из-за непред-я док-ов", "fk1", "производители", "рейтинг по нмц маркер", "на фт заводил Самар", "поставщики маркер"</t>
  </si>
  <si>
    <t>52.24.1 Услуги по обработке грузов
52.22.11.000 Услуги по эксплуатации портов и водных путей (кроме обработки грузов) в морских и прибрежных водах
35.13.10.000 Услуги по распределению электроэнергии
52.29.1 Услуги грузовых транспортно-экспедиционных агентств</t>
  </si>
  <si>
    <t>За весь период компания заключила  17 контрактов на сумму  7 799 190 977,91 ?</t>
  </si>
  <si>
    <t>"44 за 3 года", ".", "рейтинг по нмц маркер"</t>
  </si>
  <si>
    <t>35.11.10.112 Электроэнергия, произведенная теплоэлектроцентралями (ТЭЦ)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35.11.10 Электроэнергия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35.13.10.000 Услуги по распределению электроэнергии ****</t>
  </si>
  <si>
    <t>За весь период контрактов 15 шт. на общую сумму НМЦ 2 261 553 109,13 ?</t>
  </si>
  <si>
    <t>19.20.21.332 Топливо дизельное арктическое экологического класса К2
19.20.21.341 Топливо дизельное межсезонное вне классов
19.2 Нефтепродукты
19.20.21.124 Бензин автомобильный с октановым числом более 92, но не более 95 по исследовательскому методу экологического класса К4
52.10.12.110 Услуги по хранению и складированию нефти и продуктов ее переработки
52.10.19 Услуги по складированию и хранению прочие
46.71 Услуги по оптовой торговле твердым, жидким и газообразным топливом и связанными продуктами
46.71.12.000 Услуги по оптовой торговле моторным топливом, включая авиационный бензин
52.10.19.900 Услуги по складированию и хранению прочие, не включенные в другие группировки
19.20.21.321 Топливо дизельное зимнее вне классов ****</t>
  </si>
  <si>
    <t>За весь период компания заключила  20 контрактов на сумму  3 201 834 942,78 ? За весь период заходили в конкурсы  17 раз на общую сумму обеспеченных контрактов с НМЦ 1 075 240 626,83 ? с БГУ  13 011 132,11 ? с БГИ 222 075 135,42 ? За 3 ГОДА по 44ФЗ заключено 858 шт. с объемом НМЦ  1 926 932 897,97 ? с БГИ 110 970 032,92 ? с БГГО 3 225 995,88 ? с авансированием до 22 038 967,33 ? с комиссией банку 1 089 739,35 ? с кв 9 480,73 ? ЗА 1 ГОД по 44ФЗ заключено 294 шт. c объемом НМЦ 786 735 535,46 ? с БГИ 40 826 552,75 ? с БГГО 0,00 ? с авансированием до  9 435 115,30 ? с комиссией банку  397 387,33 ? с кв 3 457,27 ? ЗА 3 ГОДА ПО 223 ФЗ заключено 152 шт. с объемом НМЦ 895 442 106,91 ? за 1 ГОД ПО 223ФЗ заключено 41  341 358 062,20 ?</t>
  </si>
  <si>
    <t>"223 за 3 года", "свод фт", ".", "рейтинг поставщиков в маркере по бг", "Конкурсы 100+ (Восстановленный)", "лимит сит по кредитам", "все клиенты с выручкой от 1,8 млрд до бесконечности", "Участники клиринга", "223 фз контракты 20+", "44 фз с с БГ от 10 млн", "рейтинг заказчиков маркер", "производители", "рейтинг по нмц маркер", "это заказчик", "на фт заводил Шевченко", "поставщики маркер", "44 за 3 года"</t>
  </si>
  <si>
    <t>36.00.20.110 Услуги по очистке и подготовке воды для водоснабжения
36.00.20.130 Услуги по транспортированию и распределению воды по водопроводам</t>
  </si>
  <si>
    <t>35.30.12.130 Услуги по транспортированию горячей воды
35.12.10.110 Услуги по передаче электроэнергии</t>
  </si>
  <si>
    <t>06.20 Газ природный в газообразном или сжиженном состоянии
35.11.10.112 Электроэнергия, произведенная теплоэлектроцентралями (ТЭЦ) общего назначения
35.2 Газы горючие искусственные; услуги по распределению газообразного топлива по трубопроводам
41.20.10.110 Здания жилые общего назначения
42.21.2 Работы строительные по строительству коммунальных объектов для жидкостей
35.11.10.110 Электроэнергия, произведенная электростанциями общего назначения
35.21.1 Газ угольный, газ водяной, газ генераторный и аналогичные газы, кроме нефтяных газов
35.22.10.110 Услуги по распределению и снабжению газовым топливом всех видов по системам распределительных трубопроводов
35.22.10 Услуги по распределению газообразного топлива по трубопроводам
35.30.11.120 Энергия тепловая, отпущенная котельными ****</t>
  </si>
  <si>
    <t>За весь период компания заключила  18 контрактов на сумму  23 070 628 893,39 ? За весь период заходили в конкурсы  6 раз на общую сумму обеспеченных контрактов с НМЦ 780 182 052,86 ? с БГУ  18 875 742,46 ? с БГИ 155 169 422,64 ?                             ЗА 3 ГОДА ПО 223 ФЗ заключено 15 шт. с объемом НМЦ 33 682 305,61 ? за 1 ГОД ПО 223ФЗ заключено 5  17 908 105,46 ?</t>
  </si>
  <si>
    <t>"223 за 3 года", ".", "рейтинг поставщиков в маркере по бг", "все клиенты с выручкой от 1,8 млрд до бесконечности", "рейтинг заказчиков маркер", "производители", "рейтинг по нмц маркер", "поставщики маркер", "44 за 3 года"</t>
  </si>
  <si>
    <t>37.00.11.110 Услуги по водоотведению сточных вод
35.11.10.112 Электроэнергия, произведенная теплоэлектроцентралями (ТЭЦ) общего назначения
35.11.10.143 Электроэнергия, произведенная геотермальными электростанциями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t>
  </si>
  <si>
    <t>2 539</t>
  </si>
  <si>
    <t>За весь период контрактов 11 шт. на общую сумму НМЦ 56 360 918 679,28 ?</t>
  </si>
  <si>
    <t>41.20 Здания и работы по возведению зданий
68.10.11.000 Услуги по покупке и продаже жилых зданий и занимаемых ими земельных участков
68.10.12.000 Услуги по покупке и продаже недвижимости, находящейся в собственности на фиксированное время года
41.20.10 Здания жилые</t>
  </si>
  <si>
    <t>За весь период контрактов 3 шт. на общую сумму НМЦ 3 061 826 725,74 ?</t>
  </si>
  <si>
    <t>"223 за 3 года", ".", "рейтинг поставщиков в маркере по бг", "в отказе", "производители", "рейтинг по нмц маркер", "crm управления", "crm Пител", "поставщики маркер", "44 за 3 года"</t>
  </si>
  <si>
    <t>За весь период компания заключила  7 контрактов на сумму  2 069 711 568,49 ? За весь период заходили в конкурсы  9 раз на общую сумму обеспеченных контрактов с НМЦ 160 659 589,71 ? с БГУ  21 541 152,59 ? с БГИ 27 582 434,03 ?                             ЗА 3 ГОДА ПО 223 ФЗ заключено 5 шт. с объемом НМЦ 74 300 898,54 ?</t>
  </si>
  <si>
    <t>Сообщение кредитора о намерении обратиться в суд с заявлением о банкротстве от 30.03.2023</t>
  </si>
  <si>
    <t>10.51.40.300 Творог
46.33 Услуги по оптовой торговле молочными продуктами, яйцами, пищевыми маслами и жирами</t>
  </si>
  <si>
    <t>10.12.20.110 Мясо кур, в том числе цыплят (включая цыплят-бройлеров) замороженное
46.32.12.190 Услуги по оптовой торговле прочими продуктами из мяса и мяса птицы
10.12.10.170 Мясо сельскохозяйственной птицы охлажденное для детского питания
10.12.40.121 Субпродукты кур (включая цыплят и цыплят-бройлеров) пищевые замороженные
46.32.11.000 Услуги по оптовой торговле мясом (включая мясо птицы)
10.12.40.111 Субпродукты кур (включая цыплят и цыплят-бройлеров) пищевые охлажденные
10.12.10 Мясо птицы охлажденное, в том числе для детского питания
10.12.10.190 Мясо сельскохозяйственной птицы охлажденное, не включенное в другие группировки
10.12.10.110 Мясо кур, в том числе цыплят (включая цыплят-бройлеров) охлажденное</t>
  </si>
  <si>
    <t>за 1 ГОД ПО 223ФЗ заключено 4  5 372 019,80 ?</t>
  </si>
  <si>
    <t>"223 за 3 года", ".", "fk1", "все клиенты с выручкой от 1,8 млрд до бесконечности", "производители", "рейтинг по нмц маркер", "поставщики маркер"</t>
  </si>
  <si>
    <t>37.00.11.110 Услуги по водоотведению сточных вод
86.9 Услуги в области медицины прочие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68.20.12.000 Услуги по сдаче в аренду (внаем) собственных или арендованных нежилых помещений
36.00.20.130 Услуги по транспортированию и распределению воды по водопроводам
61.90.10.160 Услуги связи по предоставлению каналов связи
36.00.11.000 Вода питьевая</t>
  </si>
  <si>
    <t>Сообщения о принятии решения о реорганизации от 25.12.2014</t>
  </si>
  <si>
    <t>"223 за 3 года", ".", "это заказчик"</t>
  </si>
  <si>
    <t>Заказчик разыгравший 9 конкурсов на сумму  4 781 392 947,27 ?</t>
  </si>
  <si>
    <t>64.99.19.150 Услуги по факторингу
64.99 Услуги финансовые прочие, кроме услуг по страхованию и пенсионному обеспечению, не включенные в другие группировки</t>
  </si>
  <si>
    <t>За весь период компания заключила  2 контрактов на сумму  7 540 200 000,00 ?                                     ЗА 3 ГОДА ПО 223 ФЗ заключено 2 шт. с объемом НМЦ 206 186 301,17 ?</t>
  </si>
  <si>
    <t>"223 за 3 года", ".", "рейтинг заказчиков маркер", "рейтинг по нмц маркер", "это заказчик"</t>
  </si>
  <si>
    <t>62.03 Услуги по управлению компьютерным оборудованием
62.02 Услуги консультативные, связанные с компьютерной техникой
62.02.30 Услуги по технической поддержке информационных технологий
95.11.10.190 Услуги по ремонту прочего компьютерного и периферийного компьютерного оборудования
95.11 Услуги по ремонту компьютеров и периферийного оборудования
62 Продукты программные и услуги по разработке программного обеспечения; консультационные и аналогичные услуги в области информационных технологий
77.39.19.129 Услуги по аренде и лизингу прочих материальных средств, не включенных в другие группировки
62.01.11.000 Услуги по проектированию и разработке информационных технологий для прикладных задач и тестированию программного обеспечения
62.09 Услуги в области информационных технологий прочие и компьютерные услуги
62.02.10.000 Услуги консультативные по компьютерному оборудованию</t>
  </si>
  <si>
    <t>За весь период компания заключила  50 контрактов на сумму  69 837 159 062,42 ? За весь период заходили в конкурсы  6 раз на общую сумму обеспеченных контрактов с НМЦ 2 770 471 520,44 ? с БГУ  140 881 487,06 ? с БГИ 407 791 518,33 ?                             ЗА 3 ГОДА ПО 223 ФЗ заключено 11 шт. с объемом НМЦ 50 187 621,88 ?</t>
  </si>
  <si>
    <t>26.20.40.190 Комплектующие и запасные части для вычислительных машин прочие, не включенные в другие группировки
62.01.29.000 Оригиналы программного обеспечения прочие</t>
  </si>
  <si>
    <t>"Клиенты Вавилова-1 ОРК-2 без собственных переводов и СКБ"</t>
  </si>
  <si>
    <t>"поставщики маркер", ".", "Клиенты Вавилова-1 ОРК-2 без собственных переводов и СК с выр до 190 млн", "это заказчик"</t>
  </si>
  <si>
    <t>53.20.11.190 Услуги по курьерской доставке различными видами транспорта прочие
52.21.29.000 Услуги, связанные с автомобильным транспортом, прочие
53.10 Услуги почтовой связи общего пользования</t>
  </si>
  <si>
    <t>2 242</t>
  </si>
  <si>
    <t>За весь период компания заключила  5 контрактов на сумму  109 152 000 000,00 ?</t>
  </si>
  <si>
    <t>45.11 Услуги по торговле легковыми автомобилями и грузовыми автомобилями малой грузоподъемности
45.11.21.000 Услуги по розничной торговле новыми пассажирскими автотранспортными средствами в специализированных магазинах
45.20.11.519 Прочие услуги по техническому обслуживанию и ремонту прочих автотранспортных средств, не включенные в другие группировки
29.1 Средства автотранспортные
45.20.21.111 Услуги по регламентным работам (по видам технического обслуживания)
29.10.2 Автомобили легковые
45.11.22.000 Услуги по розничной торговле бывшими в употреблении пассажирскими автотранспортными средствами в специализированных магазинах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29.10.22 Средства транспортные с двигателем с искровым зажиганием, с рабочим объемом цилиндров более 1500 см3, новые
29.10.24.000 Средства автотранспортные для перевозки людей прочие ****</t>
  </si>
  <si>
    <t>За весь период заходили в конкурсы  8 раз на общую сумму обеспеченных контрактов с НМЦ 501 691 409,08 ? с БГУ  5 118 086,47 ? с БГИ 47 352 932,30 ?                             ЗА 3 ГОДА ПО 223 ФЗ заключено 22 шт. с объемом НМЦ 302 994 714,68 ?</t>
  </si>
  <si>
    <t>За весь период компания заключила  20 контрактов на сумму  33 089 466 030,39 ? За весь период заходили в конкурсы  65 раз на общую сумму обеспеченных контрактов с НМЦ 38 386 556 225,06 ? с БГУ  899 824 162,57 ? с БГИ 3 760 969 533,54 ? За 3 ГОДА по 44ФЗ заключено 8 шт. с объемом НМЦ  5 831 003 285,00 ? с БГИ 622 987 461,57 ? с БГГО 4 276 331,63 ? с авансированием до 711 244 169,80 ? с комиссией банку 11 132 883,14 ? с кв 96 856,08 ? ЗА 1 ГОД по 44ФЗ заключено 2 шт. c объемом НМЦ 446 203 649,00 ? с БГИ 44 620 364,90 ? с БГГО 0,00 ? с авансированием до  133 861 094,70 ? с комиссией банку  2 425 030,00 ? с кв 21 097,76 ?</t>
  </si>
  <si>
    <t>"44 за 3 года", ".", "рейтинг поставщиков в маркере по бг", "ГРАНДИОЗНЫЙ ПРОЕКТ", "Конкурсы 100+ (Восстановленный)", "Агентские отказ из-за непред-я док-ов", "fk1", "ушедшие", "все клиенты с выручкой от 1,8 млрд до бесконечности", "44 фз с с БГ от 10 млн", "рейтинг по нмц маркер", "crm управления", "в crm за Муслимом", "поставщики маркер"</t>
  </si>
  <si>
    <t>19.20.42.121 Битумы нефтяные дорожные
19.20.42.129 Битумы нефтяные прочие
49.41.19.900 Услуги по перевозке грузов автомобильным транспортом прочие, не включенные в другие группировки
19.20.42.120 Битумы нефтяные</t>
  </si>
  <si>
    <t>За весь период заходили в конкурсы  1 раз на общую сумму обеспеченных контрактов с НМЦ 0,00 ? с БГУ  2 607 845,00 ? с БГИ 15 647 070,00 ? За 3 ГОДА по 44ФЗ заключено 213 шт. с объемом НМЦ  695 080 235,53 ? с БГИ 71 228 403,15 ? с БГГО 7 780 075,44 ? с авансированием до 0,00 ? с комиссией банку 542 828,23 ? с кв 4 722,61 ? ЗА 1 ГОД по 44ФЗ заключено 32 шт. c объемом НМЦ 104 591 204,72 ? с БГИ 11 082 903,57 ? с БГГО 124 667,00 ? с авансированием до  0,00 ? с комиссией банку  104 727,50 ? с кв 911,13 ? ЗА 3 ГОДА ПО 223 ФЗ заключено 7 шт. с объемом НМЦ 94 180 656,25 ? за 1 ГОД ПО 223ФЗ заключено 1  34 239 656,25 ?</t>
  </si>
  <si>
    <t>"223 за 3 года", ".", "рейтинг поставщиков в маркере по бг", "fk1", "просрочка на 01.01.2023 г.", "Запрос в ЮД_просрочка на 01.01.2023", "223 фз контракты 20+", "crm управления", "в crm за Шаклейном ", "поставщики маркер", "44 за 3 года"</t>
  </si>
  <si>
    <t>"в crm за Муслимом", ".", "crm управления"</t>
  </si>
  <si>
    <t>"Обороты по клиентам по кварталам (2022г)", ".", "портфель 51", "fk1", "корп 2", "06.2022_ФинХД", "клиенты с в от100млн 09.21", "все клиенты с выручкой от 1,8 млрд до бесконечности", "ФК клиенты с выручкой от 230 до бесконечности", "клиенты от 100 млн"</t>
  </si>
  <si>
    <t>"поставщики маркер", "свод фт", ".", "рейтинг поставщиков в маркере по бг",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"это заказчик", "на фт заводил Акимкин"</t>
  </si>
  <si>
    <t>43.22 Работы по монтажу систем водопровода, канализации, отопления и кондиционирования воздуха
43.22.12.120 Работы по установке и техническому обслуживанию систем управления центральным отоплением
43.99.90.190 Работы строительные специализированные прочие, не включенные в другие группировки
35.2 Газы горючие искусственные; услуги по распределению газообразного топлива по трубопроводам
43.22.20.000 Работы по монтажу газовых систем
35.22.10.110 Услуги по распределению и снабжению газовым топливом всех видов по системам распределительных трубопроводов
35.30.12.110 Услуги по приготовлению воды на нужды горячего водоснабжения
33.12.29.900 Услуги по ремонту и техническому обслуживанию прочего оборудования специального назначения, не включенные в другие группировки
43.22.12.140 Работы по ремонту и техническому обслуживанию бытовых отопительных котлов и бойлеров
06.20.10.130 Газ горючий природный сжиженный и регазифицированный ****</t>
  </si>
  <si>
    <t>4 669</t>
  </si>
  <si>
    <t>За 3 года по 223ФЗ заключено  24 шт контрактов на сумму 95 763 912,50 ?</t>
  </si>
  <si>
    <t>Сообщения о принятии решения о реорганизации от 21.10.2021</t>
  </si>
  <si>
    <t>35.22.10.110 Услуги по распределению и снабжению газовым топливом всех видов по системам распределительных трубопроводов
35.30.11.120 Энергия тепловая, отпущенная котельными
68.20.11.000 Услуги по сдаче в аренду (внаем) собственных или арендованных жилых помещений
35.30.11.119 Энергия тепловая, отпущенная прочими электростанциями</t>
  </si>
  <si>
    <t>35.30.11.120 Энергия тепловая, отпущенная котельными
35.30.11.119 Энергия тепловая, отпущенная прочими электростанциями</t>
  </si>
  <si>
    <t>1 078</t>
  </si>
  <si>
    <t>1 318</t>
  </si>
  <si>
    <t>37.00.11.110 Услуги по водоотведению сточных вод
35.30.11.120 Энергия тепловая, отпущенная котельными
35.30.12.130 Услуги по транспортированию горячей воды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</si>
  <si>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71.12.40.149 Услуги государственного контроля (надзора) за соблюдением требований технических регламентов прочие, не включенные в другие группировки
52.21.22.000 Услуги по эксплуатации автомагистралей
71.12.20.190 Услуги по руководству строительными проектами прочие
42.99.12.124 Территории парковые и парки для отдыха
42.11.10.120 Дороги автомобильные, в том числе улично-дорожная сеть, и прочие автомобильные и пешеходные дороги
71.12.40.140 Услуги государственного контроля (надзора) за соблюдением требований технических регламентов
42.13.20.100 Работы строительные по строительству мостов и тоннелей, кроме работ по сохранению и воссозданию объектов культурного наследия
42.11.10.121 Дорога автомобильная с усовершенствованным капитальным типом дорожного покрытия
42.11.10.122 Дорога автомобильная с усовершенствованным облегченным или переходным типом дорожного покрытия ****</t>
  </si>
  <si>
    <t>За весь период компания заключила  83 контрактов на сумму  57 910 388 902,33 ? За весь период заходили в конкурсы  221 раз на общую сумму обеспеченных контрактов с НМЦ 70 685 763 436,13 ? с БГУ  2 028 102 083,73 ? с БГИ 11 583 346 598,00 ? За 3 ГОДА по 44ФЗ заключено 33 шт. с объемом НМЦ  13 651 990 519,83 ? с БГИ 1 348 556 355,27 ? с БГГО 32 380 602,60 ? с авансированием до 739 554 774,74 ? с комиссией банку 2 117 473,75 ? с кв 18 422,02 ? ЗА 1 ГОД по 44ФЗ заключено 6 шт. c объемом НМЦ 249 920 150,65 ? с БГИ 12 579 144,73 ? с БГГО 192 535,00 ? с авансированием до  10 442 687,99 ? с комиссией банку  181 488,78 ? с кв 1 578,95 ?</t>
  </si>
  <si>
    <t>"223 за 3 года", ".", "рейтинг поставщиков в маркере по бг", "ГРАНДИОЗНЫЙ ПРОЕКТ", "Конкурсы 100+ (Восстановленный)", "44 фз с с БГ от 10 млн", "рейтинг заказчиков маркер", "производители", "рейтинг по нмц маркер", "это заказчик", "поставщики маркер", "44 за 3 года"</t>
  </si>
  <si>
    <t>09.10.1 Услуги по обеспечению добычи нефти и природного газа
24.20.12.120 Трубы насосно-компрессорные бесшовные стальные
28.13.32.120 Комплектующие (запасные части) воздушных или газовых компрессоров, не имеющие самостоятельных группировок
09.10.11.190 Услуги по бурению, связанные с добычей нефти и горючего природного газа, не включенные в другие группировки</t>
  </si>
  <si>
    <t>За весь период компания заключила  23 контрактов на сумму  50 389 823 857,06 ?                                     ЗА 3 ГОДА ПО 223 ФЗ заключено 3 шт. с объемом НМЦ 68 552 534,74 ?</t>
  </si>
  <si>
    <t>33.14.1 Услуги по ремонту и техническому обслуживанию электрического оборудования
23.13.11.111 Бутылки стеклянные для алкогольной и безалкогольной пищевой продукции</t>
  </si>
  <si>
    <t>За весь период компания заключила  12 контрактов на сумму  3 012 599 105,23 ?</t>
  </si>
  <si>
    <t>"это заказчик", ".", "п6", "райф", "все клиенты с выручкой от 1,8 млрд до бесконечности", "рейтинг по нмц маркер"</t>
  </si>
  <si>
    <t>01.47.11.413 Цыплята кур мясных пород прародительского стада
01.47.11.423 Цыплята кур мясных пород родительского стада
01.47.11.610 Бройлеры мясной породы
01.47.11.600 Бройлеры
10.91.10.186 Комбикорма для сельскохозяйственной птицы</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</si>
  <si>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</si>
  <si>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40 контрактов на сумму  61 313 129 344,54 ? За весь период заходили в конкурсы  94 раз на общую сумму обеспеченных контрактов с НМЦ 70 328 671 612,05 ? с БГУ  3 759 399 862,34 ? с БГИ 18 147 200 997,52 ? За 3 ГОДА по 44ФЗ заключено 9 шт. с объемом НМЦ  20 576 855 163,79 ? с БГИ 4 545 641 877,65 ? с БГГО 548 835 053,00 ? с авансированием до 10 263 070 919,18 ? с комиссией банку 30 986 364,43 ? с кв 269 581,37 ? ЗА 1 ГОД по 44ФЗ заключено 3 шт. c объемом НМЦ 2 092 192 690,91 ? с БГИ 587 273 213,97 ? с БГГО 0,00 ? с авансированием до  567 080 917,32 ? с комиссией банку  28 379 974,16 ? с кв 246 905,78 ?</t>
  </si>
  <si>
    <t>"44 за 3 года", ".", "рейтинг поставщиков в маркере по бг", "ГРАНДИОЗНЫЙ ПРОЕКТ", "44 фз с с БГ от 10 млн", "производители", "рейтинг по нмц маркер", "crm управления", "в crm за Адеевым", "поставщики маркер"</t>
  </si>
  <si>
    <t>Заказчик разыгравший 5 конкурсов на сумму  13 500 000 000,00 ?</t>
  </si>
  <si>
    <t>1 010</t>
  </si>
  <si>
    <t>10.86.10.243 Соки фруктовые и фруктово-овощные для детского питания
20.59.60.111 Желатины пищевые
01.23.13 Апельсины
10.13.14.119 Изделия колбасные вареные мясные прочие
10.20.25.110 Консервы рыбные
01.13.12.120 Капуста белокочанная
01.13.42.000 Чеснок
01.13.9 Овощи свежие, не включенные в другие группировки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t>
  </si>
  <si>
    <t>1 635</t>
  </si>
  <si>
    <t>За 3 года по 223ФЗ заключено  1 шт контрактов на сумму 22 616 075,00 ?</t>
  </si>
  <si>
    <t>"поставщики маркер", ".", "Пункт 3.1 09.01.2023"</t>
  </si>
  <si>
    <t>За 3 года по 223ФЗ заключено  8 шт контрактов на сумму 57 594 226,25 ?</t>
  </si>
  <si>
    <t>ПОС на 03.04.4245</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</si>
  <si>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43.21.10 Работы электромонтажные
27.12.32.000 Панели и прочие комплекты электрической аппаратуры коммутации или защиты на напряжение более 1 кВ
27 Оборудование электрическое</t>
  </si>
  <si>
    <t>За весь период компания заключила  11 контрактов на сумму  2 109 647 450,27 ? За весь период заходили в конкурсы  1 раз на общую сумму обеспеченных контрактов с НМЦ 130 894 213,87 ? с БГУ  1 747 586,30 ? с БГИ 17 475 863,00 ?</t>
  </si>
  <si>
    <t>Сообщения о принятии решения о реорганизации от 07.08.2015</t>
  </si>
  <si>
    <t>"223 за 3 года", "кл фт агент бг 04.22", ".", "рейтинг поставщиков в маркере по бг", "Агентские отказ из-за непред-я док-ов", "fk1", "2. Финтендер 2022 31.03.22 Григорян для СПАРК",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"рейтинг по нмц маркер", "на фт заводил Алтухова", "поставщики маркер"</t>
  </si>
  <si>
    <t>ЗА 3 ГОДА ПО 223 ФЗ заключено 6 шт. с объемом НМЦ 47 679 750,12 ? за 1 ГОД ПО 223ФЗ заключено 1  24 611 389,20 ?</t>
  </si>
  <si>
    <t>"223 за 3 года", ".", "Пункт 3.1 09.01.2023", "223 фз контракты 20+"</t>
  </si>
  <si>
    <t>61.90.10.190 Услуги телекоммуникационные прочие, не включенные в другие группировки
29.10.59 Средства автотранспортные специального назначения, не включенные в другие группировки
61.10.30 Услуги по передаче данных по проводным телекоммуникационным сетям
61.10.11.190 Услуги фиксированной телефонной связи - предоставление доступа и телефонные соединения, прочие
77.33.12 Услуги по аренде и лизингу вычислительной техники
63.99.10 Услуги информационные прочие, не включенные в другие группировки
61.10.11.110 Услуги по предоставлению внутризоновых, междугородных и международных телефонных соединений
61.90.10.150 Услуги телекоммуникационные посредством существующих телекоммуникационных соединений
68.20.12.000 Услуги по сдаче в аренду (внаем) собственных или арендованных нежилых помещений
61.90.10.192 Услуги факсимильной связи ****</t>
  </si>
  <si>
    <t>За весь период компания заключила  106 контрактов на сумму  231 411 260 899,12 ?</t>
  </si>
  <si>
    <t>93.29.19.000 Услуги по организации отдыха и развлечений прочие, не включенные в другие группировки
86.90.19.140 Услуги санаторно-курортных организаций
71.20.11.190 Услуги в области испытаний и анализа состава и чистоты прочих веществ</t>
  </si>
  <si>
    <t>49.41.12.000 Услуги по перевозке автомобильным транспортом нефтепродуктов в автоцистернах или полуприцепах-цистернах
49.1 Услуги железнодорожного транспорта по перевозке пассажиров в междугородном и международном сообщении</t>
  </si>
  <si>
    <t>За весь период контрактов 15 шт. на общую сумму НМЦ 12 233 631 489,14 ?</t>
  </si>
  <si>
    <t>Сообщения о принятии решения о реорганизации от 14.05.2020</t>
  </si>
  <si>
    <t>"поставщики маркер", ".", "fk1", "все клиенты с выручкой от 1,8 млрд до бесконечности", "рейтинг заказчиков маркер", "производители", "рейтинг по нмц маркер", "это заказчик"</t>
  </si>
  <si>
    <t>За весь период контрактов 5 шт. на общую сумму НМЦ 22 262 253 049,92 ?</t>
  </si>
  <si>
    <t>"рейтинг по нмц маркер", ".", "п6", "fk1", "корп 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</si>
  <si>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Сообщения о принятии решения о реорганизации от 18.08.2020</t>
  </si>
  <si>
    <t>10.13 Продукция мясная пищевая, в том числе из мяса птицы
10.11 Мясо и прочие продукты убоя, включая мясо консервированное
01.49 Животные живые прочие и продукты животного происхождения
01.2 Культуры многолетние
10.61 Продукция мукомольно-крупяного производства
01.47 Птица сельскохозяйственная живая и яйца
10.39 Фрукты, овощи и грибы переработанные и консервированные, не включенные в другие группировки
10.73 Изделия макаронные, кускус и аналогичные мучные изделия
10.81 Сахар
10.82.22.130 Конфеты шоколадные ****</t>
  </si>
  <si>
    <t>Гарантия отправлена
Черновик</t>
  </si>
  <si>
    <t>"поставщики маркер", "свод фт", ".", "лимит сит по кредитам", "на фт заводил Пител", "crm управления", "crm Пител"</t>
  </si>
  <si>
    <t>35.30.12.110 Услуги по приготовлению воды на нужды горячего водоснабжения
26.51.63 Счетчики потребления или производства газа, жидкости или электроэнергии
35.12.10.120 Услуги по технологическому присоединению к распределительным электросетям
35.30.11.120 Энергия тепловая, отпущенная котельными
35.30.12.130 Услуги по транспортированию горячей воды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68.32.11.120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
71.20.13.000 Услуги в области испытаний, исследований и анализа целостных механических и электрических систем
35.12.10.110 Услуги по передаче электроэнергии ****</t>
  </si>
  <si>
    <t>За весь период компания заключила  1 контрактов на сумму  1 587 370 656,90 ?                                     ЗА 3 ГОДА ПО 223 ФЗ заключено 33 шт. с объемом НМЦ 247 604 631,91 ? за 1 ГОД ПО 223ФЗ заключено 6  5 908 316,16 ?</t>
  </si>
  <si>
    <t>11.01.10.110 Водки
11.01.10.160 Бренди
11.01.10.140 Коньяки</t>
  </si>
  <si>
    <t>20.30.11.130 Грунтовки на основе акриловых или виниловых полимеров в водной среде</t>
  </si>
  <si>
    <t>27 Оборудование электрическое
23.42 Изделия санитарно-технические из керамики</t>
  </si>
  <si>
    <t>41.20.10.120 Здания общежитий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68.10.14.000 Услуги по покупке и продаже нежилых зданий и занимаемых ими земельных участков
43.99.90.190 Работы строительные специализированные прочие, не включенные в другие группировки
41.20.10.110 Здания жилые общего назначения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71.11.22.000 Услуги в области архитектуры, связанные с проектами строительства нежилых зданий и сооружений
43.11.10.000 Работы по сносу зданий и сооружений
42.91.10.160 Берегоукрепление ****</t>
  </si>
  <si>
    <t>За весь период контрактов 27 шт. на общую сумму НМЦ 161 180 400 536,96 ?</t>
  </si>
  <si>
    <t>24.10.80.190 Прокат черных металлов прочий, не включенный в другие группировки
46.71.12.000 Услуги по оптовой торговле моторным топливом, включая авиационный бензин
19.20.21 Топливо моторное, включая автомобильный и авиационный бензин
24.34.11.150 Проволока холоднотянутая для армирования железобетонных конструкций из нелегированной стали
19.20.2 Топливо жидкое и газообразное; масла смазочные
24.20.13.110 Трубы стальные бесшовные горячедеформированные
19.20 Нефтепродукты</t>
  </si>
  <si>
    <t>За 3 года по 223ФЗ заключено  24 шт контрактов на сумму 162 685 746,04 ?</t>
  </si>
  <si>
    <t>"223 за 3 года", ".", "Участники клиринга", "223 фз контракты 20+", "производители", "это заказчик", "поставщики маркер"</t>
  </si>
  <si>
    <t>05.10.10.136 Уголь марки СС - слабоспекающийся
35.30.11.120 Энергия тепловая, отпущенная котельными
35.30.12.130 Услуги по транспортированию горячей воды
05.10.10 Уголь
05.10.10.131 Уголь марки Д - длиннопламенный</t>
  </si>
  <si>
    <t>За весь период контрактов 10 шт. на общую сумму НМЦ 4 084 469 918,01 ?</t>
  </si>
  <si>
    <t>53.20.19.120 Услуги курьерские прочие, не включенные в другие группировки
53.10.1 Услуги почтовой связи общего пользования
53.10.13.120 Услуги почтовой связи общего пользования по перевозке внутренней и международной посылочной почты
53.20.11.190 Услуги по курьерской доставке различными видами транспорта прочие
53.2 Услуги почтовой связи прочие и услуги курьерские
52.29.1 Услуги грузовых транспортно-экспедиционных агентств
49.41.1 Услуги по грузовым перевозкам автомобильным транспортом
53.20.11 Услуги по курьерской доставке различными видами транспорта
53.10.14 Услуги почтовых отделений (объектов) дополнительные</t>
  </si>
  <si>
    <t>3 528</t>
  </si>
  <si>
    <t>61.20.30.120 Услуги по передаче данных по беспроводным телекоммуникационным сетям</t>
  </si>
  <si>
    <t>"поставщики маркер", ".", "fk1", "инн Красносельская",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</si>
  <si>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28.92.40.120 Машины для дробления грунта, камня, руды и прочих минеральных веществ
24.33.1 Профили незамкнутые холодной штамповки или гибки
28.30.2 Тракторы для сельского хозяйства прочие
22.19.40.110 Ленты конвейерные резинотканевые
28.12.13 Насосы гидравлические
28.92.62 Части машин для сортировки, дробления или прочих способов обработки грунта, камня и аналогичных материалов
28.13.14.190 Насосы прочие
28.92.40.110 Машины для сортировки, грохочения, сепарации или промывки грунта, камня, руды и прочих минеральных веществ
32.99.59.000 Изделия различные прочие, не включенные в другие группировки
33.20.70 Услуги по монтажу прочих изделий, не включенных в другие группировки</t>
  </si>
  <si>
    <t>За весь период компания заключила  3 контрактов на сумму  734 937 613,21 ?                                     ЗА 3 ГОДА ПО 223 ФЗ заключено 7 шт. с объемом НМЦ 21 288 077,09 ?</t>
  </si>
  <si>
    <t>"223 за 3 года", ".", "все клиенты с выручкой от 1,8 млрд до бесконечности", "производители", "рейтинг по нмц маркер", "это заказчик", "crm управления", "в crm за Еприкяном", "поставщики маркер"</t>
  </si>
  <si>
    <t>Кредитный портфель_01.2564</t>
  </si>
  <si>
    <t>"поставщики маркер", ".", "fk1", "корп 2", "Кредитный портфель_01.11", "06.2022_ФинХД", "все клиенты с выручкой от 1,8 млрд до бесконечности", "клиенты от 100 млн", "Обороты по клиентам по кварталам (2022г)"</t>
  </si>
  <si>
    <t>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29.32.30.390 Части и принадлежности для автотранспортных средств прочие, не включенные в другие группировки
45.20.1 Услуги по техническому обслуживанию и ремонту легковых автомобилей и легких грузовых автотранспортных средств
33.12.24.000 Услуги по ремонту и техническому обслуживанию оборудования для добычи полезных ископаемых подземным и открытым способами и строительства
45.3 Услуги по торговле автомобильными деталями, узлами и принадлежностями
29.10.30.110 Автобусы, имеющие технически допустимую максимальную массу более 5 т</t>
  </si>
  <si>
    <t>За весь период компания заключила  4 контрактов на сумму  1 302 217 329,42 ?</t>
  </si>
  <si>
    <t>52.21.22.000 Услуги по эксплуатации автомагистралей
71.12.31.000 Услуги геологические и геофизические консультативные
52.21.23.000 Услуги по эксплуатации мостов и тоннелей</t>
  </si>
  <si>
    <t>За весь период заходили в конкурсы  1 раз на общую сумму обеспеченных контрактов с НМЦ 199 000 000,00 ? с БГУ  2 318 212,00 ? с БГИ 69 546 350,00 ?</t>
  </si>
  <si>
    <t>"44 за 3 года", ".", "рейтинг поставщиков в маркере по бг", "беники", "все клиенты с выручкой от 1,8 млрд до бесконечности", "рейтинг заказчиков маркер"</t>
  </si>
  <si>
    <t>"производители",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</si>
  <si>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20.20.14.000 Средства дезинфекционные
21.20.2 Препараты лекарственные прочие и материалы, применяемые в медицинских целях
32.50.1 Инструменты и приспособления хирургические и стоматологические
32.50.13.190 Инструменты и приспособления, применяемые в медицинских целях, прочие, не включенные в другие группировки
32.50.22.190 Протезы органов человека, не включенные в другие группировки
21.20.24.160 Материалы перевязочные и аналогичные изделия, в том числе пропитанные или покрытые лекарственными средствами
20.59.52.110 Пасты для лепки
21.20.10 Препараты лекарственные
21.20.10.111 Препараты стоматологические
32.99.59 Изделия различные прочие, не включенные в другие группировки ****</t>
  </si>
  <si>
    <t>ЗА 3 ГОДА ПО 223 ФЗ заключено 83 шт. с объемом НМЦ 44 173 089,27 ? за 1 ГОД ПО 223ФЗ заключено 31  18 931 617,81 ?</t>
  </si>
  <si>
    <t>Заказчик разыгравший 201 конкурсов на сумму  99 240 489 217,94 ?</t>
  </si>
  <si>
    <t>"поставщики маркер", ".", "райф", "производители", "это заказчик", "crm управления", "в crm за Синяевым "</t>
  </si>
  <si>
    <t>52.23.19.190 Услуги вспомогательные прочие, связанные с воздушным транспортом, не включенные в другие группировки
46.18.1 Услуги по оптовой торговле прочими отдельными товарами за вознаграждение или на договорной основе
46.18.19 Услуги по оптовой торговле прочими отдельными товарами, не включенными в другие группировки, за вознаграждение или на договорной основе
52.29 Услуги транспортные вспомогательные прочие</t>
  </si>
  <si>
    <t>"223 за 3 года", ".", "fk1", "инн Красносельская", "ИНН 3 года - нет КД БГ на 01.10.22",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</si>
  <si>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42.13.10.110 Мосты и путепроводы из любых материалов для всех типов сухопутного транспорта и для пешеходов
42.11.10.110 Автомагистрали, кроме надземных автодорог (эстакад)
42.11.10.120 Дороги автомобильные, в том числе улично-дорожная сеть, и прочие автомобильные и пешеходные дороги
42.11.10.122 Дорога автомобильная с усовершенствованным облегченным или переходным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</si>
  <si>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57 контрактов на сумму  20 354 782 901,73 ? За весь период заходили в конкурсы  163 раз на общую сумму обеспеченных контрактов с НМЦ 30 994 462 481,34 ? с БГУ  1 057 939 250,59 ? с БГИ 6 833 854 263,26 ? За 3 ГОДА по 44ФЗ заключено 50 шт. с объемом НМЦ  8 285 785 437,21 ? с БГИ 880 775 580,54 ? с БГГО 177 662 905,06 ? с авансированием до 845 715 994,35 ? с комиссией банку 16 074 647,16 ? с кв 139 849,43 ? ЗА 1 ГОД по 44ФЗ заключено 14 шт. c объемом НМЦ 383 355 025,21 ? с БГИ 38 335 502,52 ? с БГГО 4 561 363,40 ? с авансированием до  14 714 273,10 ? с комиссией банку  251 530,30 ? с кв 2 188,31 ?</t>
  </si>
  <si>
    <t>"44 за 3 года", ".", "рейтинг поставщиков в маркере по бг", "все клиенты с выручкой от 1,8 млрд до бесконечности", "рейтинг заказчиков маркер", "производители", "рейтинг по нмц маркер", "это заказчик", "crm управления", "в crm за Самаром", "поставщики маркер"</t>
  </si>
  <si>
    <t>26.51.63.130 Счетчики производства или потребления электроэнергии
42.22.22.110 Работы строительные по прокладке местных линий электропередачи и связи над землей или под землей
26.30.2 Оборудование оконечное (пользовательское) телефонной или телеграфной связи, аппаратура видеосвязи
33.13.13.000 Услуги по ремонту и техническому обслуживанию профессиональных оптических приборов и фотооборудования
58.29.50 Услуги по предоставлению лицензий на право использовать компьютерное программное обеспечение
26.30.30.000 Части и комплектующие коммуникационного оборудования
46.51.10.110 Услуги по оптовой торговле компьютерами, компьютерными периферийными устройствами
62.01 Продукты программные и услуги по разработке и тестированию программного обеспечения
43.21.10.210 Работы по установке приборов учета расхода электроэнергии
74.90 Услуги профессиональные, научные и технические, прочие, не включенные в другие группировки ****</t>
  </si>
  <si>
    <t>За весь период компания заключила  24 контрактов на сумму  10 817 554 125,13 ? За весь период заходили в конкурсы  2 раз на общую сумму обеспеченных контрактов с НМЦ 372 079 704,00 ? с БГУ  3 720 797,04 ? с БГИ 55 811 955,60 ? За 3 ГОДА по 44ФЗ заключено 2 шт. с объемом НМЦ  372 079 704,00 ? с БГИ 55 811 955,60 ? с БГГО 0,00 ? с авансированием до 0,00 ? с комиссией банку 6 365 396,12 ? с кв 55 378,95 ?               ЗА 3 ГОДА ПО 223 ФЗ заключено 27 шт. с объемом НМЦ 1 250 686 835,02 ? за 1 ГОД ПО 223ФЗ заключено 7  84 797 425,00 ?</t>
  </si>
  <si>
    <t>Сообщение кредитора о намерении обратиться в суд с заявлением о банкротстве от 06.02.2020</t>
  </si>
  <si>
    <t>"223 за 3 года", ".", "рейтинг поставщиков в маркере по бг", "fk1", "Кредитный портфель_01.11", "корп 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"44 фз с с БГ от 10 млн", "рейтинг заказчиков маркер", "рейтинг по нмц маркер", "это заказчик", "поставщики маркер", "44 за 3 года"</t>
  </si>
  <si>
    <t>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26.60.11.113 Аппараты рентгенографические
26.60.12.129 Приборы и аппараты для функциональной диагностики прочие, применяемые в медицинских целях, не включенные в другие группировки</t>
  </si>
  <si>
    <t>За весь период компания заключила  8 контрактов на сумму  1 089 258 739,67 ? За весь период заходили в конкурсы  13 раз на общую сумму обеспеченных контрактов с НМЦ 1 116 669 586,75 ? с БГУ  26 630 572,93 ? с БГИ 227 974 821,95 ?</t>
  </si>
  <si>
    <t>За весь период компания заключила  2 контрактов на сумму  1 163 253 000,00 ?</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</si>
  <si>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35.11.10.114 Электроэнергия, произведенная дизельными электростанциями (ДЭС) общего назначения
35.11.10.115 Электроэнергия, произведенная атомными электростанциями (АЭС) общего назначения ****</t>
  </si>
  <si>
    <t>ЗА 3 ГОДА ПО 223 ФЗ заключено 10 шт. с объемом НМЦ 468 643 432,50 ? за 1 ГОД ПО 223ФЗ заключено 5  324 741 898,20 ?</t>
  </si>
  <si>
    <t>Сообщения о принятии решения о реорганизации от 13.04.2021</t>
  </si>
  <si>
    <t>"в crm за Кашиным", ".", "fk1", "ФК клиенты с выручкой до 2,5 млн", "рейтинг заказчиков маркер", "это заказчик", "crm управления"</t>
  </si>
  <si>
    <t>"поставщики маркер", ".", "fk1", "райф", "все клиенты с выручкой от 1,8 млрд до бесконечности", "производители", "это заказчик"</t>
  </si>
  <si>
    <t>02.20.11.110 Лесоматериалы круглые хвойных пород для распиловки и строгания
02.20.12.141 Балансы березовые
02.20.14.129 Дрова из прочих пород и смесей пород деревьев
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35.30.12.110 Услуги по приготовлению воды на нужды горячего водоснабжения
02.20.11.111 Бревна сосновые для распиловки и строгания
02.20.14 Древесина топливная
02.20.14.110 Дрова
35.30.11.120 Энергия тепловая, отпущенная котельными ****</t>
  </si>
  <si>
    <t>За 3 года по 223ФЗ заключено  5 шт контрактов на сумму 112 455 360,00 ?</t>
  </si>
  <si>
    <t>"223 за 3 года", ".", "райф", "все клиенты с выручкой от 1,8 млрд до бесконечности", "Участники клиринга", "223 фз контракты 20+", "производители", "рейтинг по нмц маркер", "это заказчик", "поставщики маркер"</t>
  </si>
  <si>
    <t>20.30.22.170 Герметики
23.20.1 Изделия огнеупорные
23.64.10.110 Смеси строительные
20.30.22.120 Шпатлевки
32.99.59.000 Изделия различные прочие, не включенные в другие группировки
26.51.6 Инструменты и приборы прочие для измерения, контроля и испытаний</t>
  </si>
  <si>
    <t>За весь период заходили в конкурсы  2 раз на общую сумму обеспеченных контрактов с НМЦ 109 554 944,50 ? с БГУ  3 124 690,00 ? с БГИ 15 623 450,00 ?</t>
  </si>
  <si>
    <t>"223 за 3 года", ".", "рейтинг поставщиков в маркере по бг", "fk1", "Кредитный портфель_01.11", "06.2022_ФинХД", "все клиенты с выручкой от 1,8 млрд до бесконечности", "Обороты по клиентам по кварталам (2022г)", "производители", "рейтинг по нмц маркер"</t>
  </si>
  <si>
    <t>1 131</t>
  </si>
  <si>
    <t>"все клиенты с выручкой от 1,8 млрд до бесконечности", ".", "ПОС на 01.02.2023", "ПОС на 03.04.2023", "Кредитный портфель_01.11", "ушедшие", "06.2022_ФинХД"</t>
  </si>
  <si>
    <t>20.42.12.110 Средства для макияжа губ
20.42.12.120 Средства для макияжа глаз
20.42.14.110 Пудры и крем-пудры</t>
  </si>
  <si>
    <t>63.99.10.190 Услуги информационные автоматизированные компьютерные прочие, не включенные в другие группировки
77.33.12 Услуги по аренде и лизингу вычислительной техники
77.39.19.120 Услуги по аренде и лизингу материальных средств, не включенных в другие группировки
58.29.32.000 Обеспечение программное прикладное для загрузки
63.11.19.000 Услуги прочие по размещению и предоставлению инфраструктуры информационных технологий</t>
  </si>
  <si>
    <t>Сообщения о принятии решения о реорганизации от 17.05.2021</t>
  </si>
  <si>
    <t>"223 за 3 года", ".", "п6", "fk1", "06.2022_ФинХД", "все клиенты с выручкой от 1,8 млрд до бесконечности", "ФК клиенты с выручкой от 230 до бесконечности", "производители", "это заказчик", "поставщики маркер"</t>
  </si>
  <si>
    <t>17.12.35.000 Тест-лайнер (картон регенерированный для плоских слоев гофрированного картона)
35.30.11.111 Энергия тепловая, отпущенная тепловыми электроцентралями (ТЭЦ)</t>
  </si>
  <si>
    <t>1 458</t>
  </si>
  <si>
    <t>Сообщение кредитора о намерении обратиться в суд с заявлением о банкротстве от 10.08.2015</t>
  </si>
  <si>
    <t>"поставщики маркер", ".", "рейтинг заказчиков маркер", "рейтинг по нмц маркер"</t>
  </si>
  <si>
    <t>1 541</t>
  </si>
  <si>
    <t>08.93 Соль и хлорид натрия чистый, вода морская
10.84.30 Соль пищевая
10.84.30.140 Соль пищевая молотая
10.61.32.111 Крупа овсяная
10.61.32.113 Крупа гречневая
10.73.11.140 Изделия макаронные фигурные
10.61.21.113 Мука пшеничная хлебопекарная высшего сорта
10.61.32.117 Крупа кукурузная
10.81.11.110 Сахар-сырец свекловичный в твердом состоянии
10.61.31.111 Крупа манная ****</t>
  </si>
  <si>
    <t>9 957</t>
  </si>
  <si>
    <t>24 Металлы основные
20.13 Вещества химические неорганические основные прочие
24.43.2 Полуфабрикаты из свинца, цинка и олова или их сплавов
24.45.30.390 Металлы цветные прочие, изделия из них, порошки
24.10.14.190 Порошки прочих сталей
20.13.23 Металлы щелочные и щелочно-земельные; металлы редкоземельные, включая скандий и иттрий; ртуть
24.4 Металлы основные драгоценные и цветные прочие; топливо ядерное переработанное
25.99 Металлоизделия готовые прочие, не включенные в другие группировки
25.99.11.193 Оборудование санитарно-техническое прочее и его части из алюминия
24.45 Металлы цветные прочие ****</t>
  </si>
  <si>
    <t>ЗА 3 ГОДА ПО 223 ФЗ заключено 19 шт. с объемом НМЦ 144 507 904,98 ? за 1 ГОД ПО 223ФЗ заключено 3  29 304 525,00 ?</t>
  </si>
  <si>
    <t>1 183</t>
  </si>
  <si>
    <t>Сообщения о принятии решения о реорганизации от 04.02.2020</t>
  </si>
  <si>
    <t>65.12.12.000 Услуги по медицинскому страхованию
86.10.15.000 Услуги больниц прочие, оказываемые врачами
86.9 Услуги в области медицины прочие
86.90.15.000 Услуги медицинских лабораторий</t>
  </si>
  <si>
    <t>"все клиенты с выручкой от 1,8 млрд до бесконечности", ".", "райф", "Пункт 3.1 09.01.2023"</t>
  </si>
  <si>
    <t>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79.90.20.000 Услуги экскурсионные туристические</t>
  </si>
  <si>
    <t>27.33.11.190 Устройства коммутационные на напряжение не более 1 кВ прочие, не включенные в другие группировки
26.30.13.000 Камеры телевизионные
26.30.2 Оборудование оконечное (пользовательское) телефонной или телеграфной связи, аппаратура видеосвязи
26.70.17.150 Экраны проекционные
62.01 Продукты программные и услуги по разработке и тестированию программного обеспечения
62.02 Услуги консультативные, связанные с компьютерной техникой
62.02.30 Услуги по технической поддержке информационных технологий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26.20.14 Машины вычислительные электронные цифровые, поставляемые в виде систем для автоматической обработки данных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t>
  </si>
  <si>
    <t>2 258</t>
  </si>
  <si>
    <t>За весь период компания заключила  41 контрактов на сумму  13 600 795 673,99 ? За весь период заходили в конкурсы  95 раз на общую сумму обеспеченных контрактов с НМЦ 16 266 064 344,17 ? с БГУ  789 773 363,02 ? с БГИ 3 825 779 842,62 ? За 3 ГОДА по 44ФЗ заключено 37 шт. с объемом НМЦ  2 265 094 420,84 ? с БГИ 550 637 337,86 ? с БГГО 25 427 434,16 ? с авансированием до 0,00 ? с комиссией банку 4 012 527,21 ? с кв 34 908,99 ? ЗА 1 ГОД по 44ФЗ заключено 13 шт. c объемом НМЦ 625 921 784,65 ? с БГИ 178 917 355,59 ? с БГГО 1 913 591,00 ? с авансированием до  0,00 ? с комиссией банку  2 080 994,08 ? с кв 18 104,65 ? ЗА 3 ГОДА ПО 223 ФЗ заключено 16 шт. с объемом НМЦ 474 562 255,72 ? за 1 ГОД ПО 223ФЗ заключено 2  12 380 497,67 ?</t>
  </si>
  <si>
    <t>"223 за 3 года", ".", "рейтинг поставщиков в маркере по бг", "фб 22.11", "п6", "Конкурсы 100+ (Восстановленный)", "корп 1", "уш кл 1", "клиенты с в от100млн 09.21", "лимит сит по кредитам", "все клиенты с выручкой от 1,8 млрд до бесконечности", "ФК клиенты с выручкой от 230 до бесконечности", "44 фз с с БГ от 10 млн", "рейтинг по нмц маркер", "поставщики маркер", "44 за 3 года"</t>
  </si>
  <si>
    <t>"на фт заводил Алиев", "свод фт", ".", "кредиты фт", "лимит сит по кредитам", "это заказчик"</t>
  </si>
  <si>
    <t>За весь период компания заключила  12 контрактов на сумму  18 072 558 889,32 ?</t>
  </si>
  <si>
    <t>82.99.19 Услуги вспомогательные, связанные с предпринимательской деятельностью, прочие, не включенные в другие группировки
49.32.12.000 Услуги по аренде легковых автомобилей с водителем
49.39.39.000 Услуги по перевозке пассажиров сухопутным транспортом прочие, не включенные в другие группировки
49.39.31 Услуги арендованных автобусов с водителем
49.39 Услуги сухопутного пассажирского транспорта прочие, не включенные в другие группировки
49.39.13.000 Услуги по специальным перевозкам (для собственных нужд) пассажиров автобусами прочие
49.31.21 Услуги по регулярным перевозкам пассажиров сухопутным транспортом прочие
49.41.19.900 Услуги по перевозке грузов автомобильным транспортом прочие, не включенные в другие группировки
49.3 Услуги сухопутного пассажирского транспорта прочие
49.41.1 Услуги по грузовым перевозкам автомобильным транспортом ****</t>
  </si>
  <si>
    <t>За весь период контрактов 47 шт. на общую сумму НМЦ 27 509 059 777,41 ?</t>
  </si>
  <si>
    <t>Сообщение кредитора о намерении обратиться в суд с заявлением о банкротстве от 06.03.2023</t>
  </si>
  <si>
    <t>"223 за 3 года", ".", "рейтинг поставщиков в маркере по бг", "ПСБ Гарантии ", "все клиенты с выручкой от 1,8 млрд до бесконечности", "рейтинг по нмц маркер", "это заказчик", "поставщики маркер"</t>
  </si>
  <si>
    <t>68.32.11.120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
96.09.19.139 Прочие персональные услуги, не включенные в другие группировки
68.20.12.000 Услуги по сдаче в аренду (внаем) собственных или арендованных нежилых помещений
81.10.10.000 Услуги по обслуживанию помещений комплексные
36.00.20.160 Услуги по подключению (технологическому присоединению) к централизованной системе водоснабжения
68.32.13.120 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t>
  </si>
  <si>
    <t>33.20.39 Услуги по монтажу прочего оборудования специального назначения
62.09.20.190 Услуги по технической поддержке в области информационных технологий прочие, не включенные в другие группировки
26.30 Оборудование коммуникационное
46.52.11.000 Услуги по оптовой торговле телекоммуникационным оборудованием и его частями
26.11 Компоненты электронные
61.10.1 Услуги фиксированной телефонной связи
63.11.19.000 Услуги прочие по размещению и предоставлению инфраструктуры информационных технологий
62.01.11 Услуги по проектированию, разработке информационных технологий для прикладных задач и тестированию программного обеспечения
62.01.11.000 Услуги по проектированию и разработке информационных технологий для прикладных задач и тестированию программного обеспечения
46.52 Услуги по оптовой торговле электронным и телекоммуникационным оборудованием и его частями ****</t>
  </si>
  <si>
    <t>За весь период компания заключила  6 контрактов на сумму  376 634 314,84 ? За весь период заходили в конкурсы  5 раз на общую сумму обеспеченных контрактов с НМЦ 714 120 000,00 ? с БГУ  26 430 159,49 ? с БГИ 136 228 784,61 ? За 3 ГОДА по 44ФЗ заключено 4 шт. с объемом НМЦ  217 100 000,00 ? с БГИ 41 150 000,00 ? с БГГО 32 000,00 ? с авансированием до 0,00 ? с комиссией банку 1 377 657,53 ? с кв 11 985,62 ? ЗА 1 ГОД по 44ФЗ заключено 3 шт. c объемом НМЦ 119 100 000,00 ? с БГИ 11 750 000,00 ? с БГГО 32 000,00 ? с авансированием до  0,00 ? с комиссией банку  183 521,10 ? с кв 1 596,63 ? ЗА 3 ГОДА ПО 223 ФЗ заключено 3 шт. с объемом НМЦ 135 151 340,33 ? за 1 ГОД ПО 223ФЗ заключено 1  99 414 660,00 ?</t>
  </si>
  <si>
    <t>"223 за 3 года", "кл фт прямые бг 04.22", "свод фт", ".", "рейтинг поставщиков в маркере по бг", "Премия 4 кв 22 г3рко.", "УПП на 2 номер", "fk1", "кредиты фт", "клиенты управления по БГ без открытых счетов", "2. Финтендер 2022 31.03.22 Григорян для СПАРК", "Премия 4 кв 22 г.бг", "лимит сит по кредитам", "все клиенты с выручкой от 1,8 млрд до бесконечности", "портфель", "клиенты от 100 млн", "ФТ клиенты с продуктами по сотрудникам", "223 фз контракты 20+", "производители", "рейтинг по нмц маркер", "это заказчик", "на фт заводил Мелкумов", "на фт заводил Кашин", "на фт заводил Бесков", "crm управления", "в срм за Мелкумовым", "поставщики маркер", "44 за 3 года"</t>
  </si>
  <si>
    <t>"поставщики маркер", ".", "Участники клиринга", "производители", "рейтинг по нмц маркер"</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</si>
  <si>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09.10.11.190 Услуги по бурению, связанные с добычей нефти и горючего природного газа, не включенные в другие группировки</t>
  </si>
  <si>
    <t>За весь период контрактов 20 шт. на общую сумму НМЦ 15 429 404 601,21 ?</t>
  </si>
  <si>
    <t>Сообщение кредитора о намерении обратиться в суд с заявлением о банкротстве от 04.10.2021</t>
  </si>
  <si>
    <t>16.10 Лесоматериалы, распиленные и строганые
19.20.21.321 Топливо дизельное зимнее вне классов
19.20.21.440 Топливо судовое с массовой долей серы не более 0,5 % с температурой вспышки в закрытом тигле не ниже 61 °C
19.20.21 Топливо моторное, включая автомобильный и авиационный бензин
19.20.21.100 Бензин автомобильный
19.20.21.310 Топливо дизельное летнее
19 Кокс и нефтепродукты
19.20.21.125 Бензин автомобильный с октановым числом более 92, но не более 95 по исследовательскому методу экологического класса К5
02.20.14 Древесина топливная
02.20.14.110 Дрова ****</t>
  </si>
  <si>
    <t>За весь период компания заключила  5 контрактов на сумму  5 280 395 191,67 ? За весь период заходили в конкурсы  1 раз на общую сумму обеспеченных контрактов с НМЦ 46 868 140,00 ? с БГУ  517 880,00 ? с БГИ 5 178 800,00 ?                             ЗА 3 ГОДА ПО 223 ФЗ заключено 14 шт. с объемом НМЦ 645 042 323,91 ? за 1 ГОД ПО 223ФЗ заключено 5  627 852 365,00 ?</t>
  </si>
  <si>
    <t>"223 за 3 года", "кл фт прямые бг 04.22", "свод фт", ".", "рейтинг поставщиков в маркере по бг", "ГРАНДИОЗНЫЙ ПРОЕКТ 223", "УПП на 2 номер", "БГИ", "fk1", "клиенты управления по БГ без открытых счетов", "2. Финтендер 2022 31.03.22 Григорян для СПАРК", "все клиенты с выручкой от 1,8 млрд до бесконечности", "портфель", "ФК клиенты с выручкой от 230 до бесконечности", "клиенты от 100 млн", "Одобренные но не выданные 1 полугодие 2021", "ФТ клиенты с продуктами по сотрудникам", "223 фз контракты 20+", "рейтинг заказчиков маркер", "рейтинг по нмц маркер", "это заказчик", "на фт заводил Шестакова ", "на фт заводил Кирьянов", "на фт заводил Багаев", "поставщики маркер", "44 за 3 года"</t>
  </si>
  <si>
    <t>Сообщения о принятии решения о реорганизации от 11.03.2020</t>
  </si>
  <si>
    <t>24.10.80.190 Прокат черных металлов прочий, не включенный в другие группировки
24.10.65 Прокат сортовой и катанка горячекатаные со свободной намоткой в бухты из прочих легированных сталей
24.10.2 Сталь
24.10.21.110 Сталь нелегированная в слитках или в прочих первичных формах
24.10.33.000 Прокат листовой горячекатаный из нержавеющих сталей, без дополнительной обработки, шириной не менее 600 мм
24.10.63 Прокат сортовой и катанка горячекатаные со свободной намоткой в бухты из нержавеющих сталей
24.10.21.140 Полуфабрикаты круглого или многоугольного сечения из нелегированной стали
24.10.41 Прокат листовой холоднокатаный из прочих нелегированных сталей, без дополнительной обработки, шириной не менее 600 мм
24.10.6 Прокат сортовой и катанка горячекатаные стальные
24.10.64.124 Прокат сортовой горячекатаный полосовой прочий из нержавеющих сталей, без дополнительной обработки, включая смотанные после прокатки ****</t>
  </si>
  <si>
    <t>ЗА 3 ГОДА ПО 223 ФЗ заключено 8 шт. с объемом НМЦ 198 486 284,52 ?</t>
  </si>
  <si>
    <t>43.29.11.190 Работы изоляционные прочие
68.2 Услуги по сдаче в аренду (внаем) собственного или арендованного недвижимого имущества
37.00.11.110 Услуги по водоотведению сточных вод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35.11.10.122 Электроэнергия, произведенная блок-станциями теплоэлектроцентралей (ТЭЦ)
66.30.11.190 Услуги по управлению активами прочие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t>
  </si>
  <si>
    <t>Заказчик разыгравший 947 конкурсов на сумму  226 224 837 307,11 ?</t>
  </si>
  <si>
    <t>клиенты от 100 млн 01.05.6047</t>
  </si>
  <si>
    <t>Сообщение кредитора о намерении обратиться в суд с заявлением о банкротстве от 28.03.2023</t>
  </si>
  <si>
    <t>"поставщики маркер", ".", "fk1", "06.2022_ФинХД", "все клиенты с выручкой от 1,8 млрд до бесконечности", "клиенты от 100 млн", "это заказчик"</t>
  </si>
  <si>
    <t>71.20.1 Услуги в области технических испытаний, исследований и анализа
71.20.19 Услуги по техническим испытаниям и анализу прочие
71.12 Услуги в области инженерно-технического проектирования и связанные технические консультативные услуги
71.20.19.129 Услуги по проведению сертификации продукции, услуг и организаций прочие, не включенные в другие группировки
71.12.39.113 Услуги по мониторингу загрязнения окружающей среды для физических и юридических лиц
71.2 Услуги в области технических испытаний, исследований, анализа и сертификации
71.12.20 Услуги по руководству строительными проектами
71.20.11.190 Услуги в области испытаний и анализа состава и чистоты прочих веществ
71.20.12 Услуги в области испытаний, исследований и анализа физико-механических свойств материалов и веществ
71.20.19.190 Услуги по техническим испытаниям и анализу прочие, не включенные в другие группировки ****</t>
  </si>
  <si>
    <t>2 869</t>
  </si>
  <si>
    <t>За весь период компания заключила  4 контрактов на сумму  1 253 198 042,67 ?                                     ЗА 3 ГОДА ПО 223 ФЗ заключено 6 шт. с объемом НМЦ 27 781 560,66 ?</t>
  </si>
  <si>
    <t>"клиенты от 100 млн", ".", "fk1", "корп 1", "06.2022_ФинХД", "ФК клиенты с выручкой от 230 до бесконечности"</t>
  </si>
  <si>
    <t>68.10.14.000 Услуги по покупке и продаже нежилых зданий и занимаемых ими земельных участков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68.10.11.000 Услуги по покупке и продаже жилых зданий и занимаемых ими земельных участков
35.30.11.111 Энергия тепловая, отпущенная тепловыми электроцентралями (ТЭЦ)</t>
  </si>
  <si>
    <t>За весь период компания заключила  4 контрактов на сумму  2 991 678 744,06 ? За весь период заходили в конкурсы  2 раз на общую сумму обеспеченных контрактов с НМЦ 1 148 722 903,48 ? с БГУ  22 971 525,00 ? с БГИ 689 145 750,00 ? За 3 ГОДА по 44ФЗ заключено 9 шт. с объемом НМЦ  70 725 600,00 ? с БГИ 70 725 600,00 ? с БГГО 0,00 ? с авансированием до 0,00 ? с комиссией банку 1 501 911,91 ? с кв 13 066,63 ?</t>
  </si>
  <si>
    <t>68.20.12.000 Услуги по сдаче в аренду (внаем) собственных или арендованных нежилых помещений
36.00.20.130 Услуги по транспортированию и распределению воды по водопроводам</t>
  </si>
  <si>
    <t>Юридическое лицо находится в процессе реорганизации в форме присоединения к нему других юридических лиц от 02.05.2023, Сообщения о принятии решения о реорганизации от 10.04.2023</t>
  </si>
  <si>
    <t>Заказчик разыгравший 4 конкурсов на сумму  1 169 529 046,34 ?</t>
  </si>
  <si>
    <t>"поставщики маркер", ".", "корп 1", "все клиенты с выручкой от 1,8 млрд до бесконечности", "ФК клиенты с выручкой от 230 до бесконечности", "рейтинг заказчиков маркер", "это заказчик"</t>
  </si>
  <si>
    <t>"ИНН ФК 1 часть", "1"</t>
  </si>
  <si>
    <t>"Обороты по клиентам по кварталам (2022г)", ".", "fk1", "Кредитный портфель_01.11", "06.2022_ФинХД", "клиенты 09.21 от 18 до 100млн", "клиенты до 49 млн"</t>
  </si>
  <si>
    <t>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71.12.20.110 Услуги заказчика-застройщика, генерального подрядчика
71.12.19.100 Услуги по инженерно-техническому проектированию прочих объектов, кроме объектов культурного наследия</t>
  </si>
  <si>
    <t>За весь период компания заключила  76 контрактов на сумму  100 512 126 580,94 ? За весь период заходили в конкурсы  8 раз на общую сумму обеспеченных контрактов с НМЦ 2 501 312 241,46 ? с БГУ  79 457 800,07 ? с БГИ 650 531 951,80 ?</t>
  </si>
  <si>
    <t>"поставщики маркер", ".", "рейтинг поставщиков в маркере по бг", "ушедшие", "все клиенты с выручкой от 1,8 млрд до бесконечности", "рейтинг заказчиков маркер", "рейтинг по нмц маркер", "это заказчик"</t>
  </si>
  <si>
    <t>Заказчик разыгравший 26 конкурсов на сумму  3 253 760 331,29 ?</t>
  </si>
  <si>
    <t>20.13.43.119 Сода кальцинированная прочая
68.20.12.000 Услуги по сдаче в аренду (внаем) собственных или арендованных нежилых помещений</t>
  </si>
  <si>
    <t>Сообщение кредитора о намерении обратиться в суд с заявлением о банкротстве от 06.07.2017</t>
  </si>
  <si>
    <t>1 786</t>
  </si>
  <si>
    <t>За весь период компания заключила  12 контрактов на сумму  9 164 995 080,43 ?</t>
  </si>
  <si>
    <t>Сообщение кредитора о намерении обратиться в суд с заявлением о банкротстве от 16.02.2021</t>
  </si>
  <si>
    <t>ЗА 3 ГОДА ПО 223 ФЗ заключено 1 шт. с объемом НМЦ 114 270 458,67 ?</t>
  </si>
  <si>
    <t>"223 за 3 года", ".", "ушедшие", "все клиенты с выручкой от 1,8 млрд до бесконечности", "поставщики маркер"</t>
  </si>
  <si>
    <t>70.22.14.000 Услуги консультативные по вопросам управления трудовыми ресурсами
70.22.30.000 Услуги консультативные прочие в области предпринимательства
69.20.10.000 Услуги по проведению финансового аудита
69.20.21.000 Услуги по ведению (восстановлению) бухгалтерского учета
72.19.50.000 Работы оригинальные научных исследований и экспериментальных разработок в области естественных и технических наук, кроме биотехнологии
73.20 Услуги по исследованию конъюнктуры рынка и общественного мнения
74.90.12.126 Услуги по установлению рыночной или иной стоимости иных объектов гражданских прав, в отношении которых законодательством Российской Федерации установлена возможность их участия в гражданском обороте
66.29 Услуги вспомогательные в сфере страхования и пенсионного обеспечения прочие
68.31.14.120 Услуги консультационные при купле-продаже нежилых зданий и занимаемых ими земельных участков за вознаграждение или на договорной основе
69 Услуги юридические и бухгалтерские ****</t>
  </si>
  <si>
    <t>1 333</t>
  </si>
  <si>
    <t>За весь период компания заключила  18 контрактов на сумму  2 300 019 097,08 ? За весь период заходили в конкурсы  2 раз на общую сумму обеспеченных контрактов с НМЦ 98 720 005,00 ? с БГУ  3 796 667,58 ? с БГИ 8 091 668,96 ?                             ЗА 3 ГОДА ПО 223 ФЗ заключено 24 шт. с объемом НМЦ 231 525 011,46 ? за 1 ГОД ПО 223ФЗ заключено 2  6 644 400,00 ?</t>
  </si>
  <si>
    <t>21.20.23.110 Реагенты диагностические
21.20.23.113 Средства радиофармацевтические диагностические
21.20.23.199 Средства нелечебные прочие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21.20.10.155 Препараты для лечения псориаза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t>
  </si>
  <si>
    <t>За весь период компания заключила  27 контрактов на сумму  2 413 112 968,55 ? За весь период заходили в конкурсы  37 раз на общую сумму обеспеченных контрактов с НМЦ 3 174 319 413,98 ? с БГУ  77 731 878,95 ? с БГИ 462 142 606,16 ? За 3 ГОДА по 44ФЗ заключено 2095 шт. с объемом НМЦ  5 599 621 665,74 ? с БГИ 541 665 009,56 ? с БГГО 37 226 921,56 ? с авансированием до 25 702 867,94 ? с комиссией банку 6 838 190,60 ? с кв 59 492,26 ? ЗА 1 ГОД по 44ФЗ заключено 717 шт. c объемом НМЦ 1 678 842 859,10 ? с БГИ 205 065 737,59 ? с БГГО 6 616 080,90 ? с авансированием до  22 293 109,07 ? с комиссией банку  3 295 858,17 ? с кв 28 673,97 ? ЗА 3 ГОДА ПО 223 ФЗ заключено 18 шт. с объемом НМЦ 33 953 417,36 ? за 1 ГОД ПО 223ФЗ заключено 3  6 193 266,30 ?</t>
  </si>
  <si>
    <t>"223 за 3 года", "кл фт агент бг 04.22", ".", "рейтинг поставщиков в маркере по бг", "fk1", "2. Финтендер 2022 31.03.22 Григорян для СПАРК", "БГ ФБ ЮР лица на 01.07.2021", "Гарантии ФБ банкроты",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"44 фз с с БГ от 10 млн", "рейтинг по нмц маркер", "поставщики маркер", "44 за 3 года"</t>
  </si>
  <si>
    <t>35.30.11.120 Энергия тепловая, отпущенная котельными
35.30.12.130 Услуги по транспортированию горячей воды
35.30.11.110 Энергия тепловая, отпущенная электростанциями
36.00.20.130 Услуги по транспортированию и распределению воды по водопроводам
35.12.10.110 Услуги по передаче электроэнергии
35.30.11.119 Энергия тепловая, отпущенная прочими электростанциями
36.00.11.000 Вода питьевая</t>
  </si>
  <si>
    <t>"это заказчик", ".", "ушедший портфель", "fk1", "ИНН 3 года - нет КД БГ на 01.10.22", "Список ушедший ", "ПОС на 03.04.2023",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</si>
  <si>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За весь период контрактов 3 шт. на общую сумму НМЦ 63 757 610 062,00 ?</t>
  </si>
  <si>
    <t>"223 за 3 года", ".", "06.2022_ФинХД", "все клиенты с выручкой от 1,8 млрд до бесконечности", "рейтинг по нмц маркер", "поставщики маркер"</t>
  </si>
  <si>
    <t>22.29 Изделия пластмассовые прочие
20.20.14.000 Средства дезинфекционные
21 Средства лекарственные и материалы, применяемые в медицинских целях
21.10.60.191 Продукты человеческого или животного происхождения для терапевтического или профилактического использования прочие
21.20.10.118 Препараты, способствующие пищеварению, включая ферментные препараты
21.20.10.191 Препараты антибактериальные для системного использования
21.20.10.242 Препараты противогельминтные
20.11.11 Водород, аргон, газы инертные, азот и кислород
21.20.2 Препараты лекарственные прочие и материалы, применяемые в медицинских целях
32.50.13.190 Инструменты и приспособления, применяемые в медицинских целях, прочие, не включенные в другие группировки ****</t>
  </si>
  <si>
    <t>Заказчик разыгравший 87 конкурсов на сумму  70 075 543 917,70 ?</t>
  </si>
  <si>
    <t>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41.20.40.900 Работы строительные по возведению нежилых зданий и сооружений прочие, не включенные в другие группировки
42.11.10.120 Дороги автомобильные, в том числе улично-дорожная сеть, и прочие автомобильные и пешеходные дороги
42.13.10.111 Мост автодорожный
41.20.30.100 Работы по возведению жилых зданий, кроме работ по сохранению и воссозданию объектов культурного наследия
42.11.10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42.11.10.121 Дорога автомобильная с усовершенствованным капитальным типом дорожного покрытия
52.21.23.000 Услуги по эксплуатации мостов и тоннелей</t>
  </si>
  <si>
    <t>За весь период контрактов 66 шт. на общую сумму НМЦ 33 777 174 110,58 ?</t>
  </si>
  <si>
    <t>"223 за 3 года", "кл фт агент бг 04.22", ".", "рейтинг поставщиков в маркере по бг", "компании Герберта", "ГРАНДИОЗНЫЙ ПРОЕКТ", "Конкурсы 100+ (Восстановленный)", "fk1", "ПСБ Гарантии ", "клиенты от 100 млн", "действующие б не прям", "Одобренные но не выданные 1 полугодие 2021", "ФТ клиенты с продуктами по сотрудникам", "44 фз с с БГ от 10 млн", "производители", "рейтинг по нмц маркер", "поставщики маркер", "44 за 3 года"</t>
  </si>
  <si>
    <t>Сообщения о принятии решения о реорганизации от 11.06.2020</t>
  </si>
  <si>
    <t>Юридическим лицом принято решение об изменении места нахождения от 06.03.2023</t>
  </si>
  <si>
    <t>"поставщики маркер", ".", "ушедший портфель", "п6", "fk1", "ИНН 3 года - нет КД БГ на 01.10.22", "Список ушедший ", "все клиенты с выручкой от 1,8 млрд до бесконечности", "производители"</t>
  </si>
  <si>
    <t>68.10.14.000 Услуги по покупке и продаже нежилых зданий и занимаемых ими земельных участков
41.20.40.900 Работы строительные по возведению нежилых зданий и сооружений прочие, не включенные в другие группировки
41.20.20.100 Здания нежилые
68.10.11.000 Услуги по покупке и продаже жилых зданий и занимаемых ими земельных участков
41.20.10.190 Здания жилые прочие, не включенные в другие группировки
41.20.20.180 Здания предприятий здравоохранения, науки и научного обслуживания, образования, культуры и искусства
68.10.1 Услуги по покупке и продаже собственного недвижимого имущества
41.20.20.690 Сооружения прочего транспорта</t>
  </si>
  <si>
    <t>За весь период компания заключила  1 контрактов на сумму  1 086 637 325,00 ? За весь период заходили в конкурсы  2 раз на общую сумму обеспеченных контрактов с НМЦ 662 846 212,33 ? с БГУ  19 588 531,73 ? с БГИ 124 306 395,33 ?</t>
  </si>
  <si>
    <t>"44 за 3 года", ".", "рейтинг поставщиков в маркере по бг", "ушедшие", "закрыли счет", "все клиенты с выручкой от 1,8 млрд до бесконечности", "рейтинг по нмц маркер", "crm управления", "в crm за Синяевым "</t>
  </si>
  <si>
    <t>68.20 Услуги по сдаче в аренду (внаем) собственного или арендованного недвижимого имущества
70.22 Услуги консультативные в области управления предприятием</t>
  </si>
  <si>
    <t>1 620</t>
  </si>
  <si>
    <t>За весь период контрактов 14 шт. на общую сумму НМЦ 153 998 012 306,00 ?</t>
  </si>
  <si>
    <t>"223 за 3 года", ".", "Конкурсы 100+ (Восстановленный)", "все клиенты с выручкой от 1,8 млрд до бесконечности", "223 фз контракты 20+", "рейтинг заказчиков маркер", "рейтинг по нмц маркер", "это заказчик"</t>
  </si>
  <si>
    <t>1 261</t>
  </si>
  <si>
    <t>20.20.14.000 Средства дезинфекционные
20.41.32.129 Средства стиральные прочие
10.84.30.140 Соль пищевая молотая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10.41.24.000 Масло подсолнечное и его фракции нерафинированные
10.51.12.110 Сливки питьевые
10.51.22.112 Молоко сухое цельное, от 26,0 % до 41,9 % жирности
10.51.40.111 Сыры мягкие без вкусовых наполнителей
10.82.22.112 Шоколад молочный в упакованном виде
10.51.40.211 Молокосодержащие продукты с заменителем молочного жира, произведенные по технологии сыра, мягкие, в том числе с вкусовыми компонентами ****</t>
  </si>
  <si>
    <t>1 157</t>
  </si>
  <si>
    <t>27.40 Оборудование электрическое осветительное</t>
  </si>
  <si>
    <t>"поставщики маркер", ".",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t>
  </si>
  <si>
    <t>Заказчик разыгравший 8 конкурсов на сумму  703 132 479,65 ?</t>
  </si>
  <si>
    <t>2 341</t>
  </si>
  <si>
    <t>"Обороты по клиентам по кварталам (2022г)", ".", "fk1", "ИНН_договоры_октябрь_", "корп 1", "клиенты с в от100млн 09.21", "ФК клиенты с выручкой от 230 до бесконечности"</t>
  </si>
  <si>
    <t>"поставщики маркер", ".", "fk1", "корп 1", "все клиенты с выручкой от 1,8 млрд до бесконечности", "ФК клиенты с выручкой от 230 до бесконечности", "Обороты по клиентам по кварталам (2022г)"</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</si>
  <si>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68.10.14.000 Услуги по покупке и продаже нежилых зданий и занимаемых ими земельных участков
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43.99.90.190 Работы строительные специализированные прочие, не включенные в другие группировки
32.50.13.190 Инструменты и приспособления, применяемые в медицинских целях, прочие, не включенные в другие группировки
32.50.21.112 Оборудование терапевтические
32.50.21.121 Аппараты для ингаляционного наркоза
32.50.21.122 Аппараты дыхательные реанимационные
41.20.40.200 Работы по сохранению и воссозданию нежилых зданий, являющихся объектами культурного наследия
41.20.10.110 Здания жилые общего назначения ****</t>
  </si>
  <si>
    <t>1 623</t>
  </si>
  <si>
    <t>За весь период компания заключила  84 контрактов на сумму  142 270 366 386,38 ? За весь период заходили в конкурсы  138 раз на общую сумму обеспеченных контрактов с НМЦ 133 739 782 908,06 ? с БГУ  6 159 954 322,76 ? с БГИ 34 788 061 627,56 ? За 3 ГОДА по 44ФЗ заключено 40 шт. с объемом НМЦ  19 567 128 740,07 ? с БГИ 2 029 723 412,37 ? с БГГО 70 033 458,67 ? с авансированием до 3 271 370 097,92 ? с комиссией банку 68 285 988,92 ? с кв 594 088,10 ? ЗА 1 ГОД по 44ФЗ заключено 14 шт. c объемом НМЦ 3 899 417 356,60 ? с БГИ 627 901 468,77 ? с БГГО 19 783 866,49 ? с авансированием до  430 033 277,42 ? с комиссией банку  25 208 012,50 ? с кв 219 309,71 ? ЗА 3 ГОДА ПО 223 ФЗ заключено 11 шт. с объемом НМЦ 41 811 182,09 ? за 1 ГОД ПО 223ФЗ заключено 5  21 678 657,75 ?</t>
  </si>
  <si>
    <t>Сообщение кредитора о намерении обратиться в суд с заявлением о банкротстве от 31.05.2018</t>
  </si>
  <si>
    <t>"223 за 3 года", "кл фт прямые бг 04.22", "свод фт", ".", "рейтинг поставщиков в маркере по бг", "ГРАНДИОЗНЫЙ ПРОЕКТ", "УПП на 2 номер", "Конкурсы 100+ (Восстановленный)", "fk1", "клиенты управления по БГ без открытых счетов", "корп 1", "все клиенты с выручкой от 1,8 млрд до бесконечности", "портфель", "ФК клиенты с выручкой от 230 до бесконечности", "клиенты от 100 млн", "Обороты по клиентам по кварталам (2022г)", "ФТ клиенты с продуктами по сотрудникам", "44 фз с с БГ от 10 млн", "производители", "рейтинг по нмц маркер", "на фт заводил Кашин", "crm управления", "в crm за Кашиным", "поставщики маркер", "44 за 3 года"</t>
  </si>
  <si>
    <t>27.32.11.000 Провода обмоточные изолированные</t>
  </si>
  <si>
    <t>24.10.71.120 Двутавры стальные горячекатаные из нелегированных сталей
25.11.23 Конструкции и детали конструкций прочие, листы, прутки, уголки, профили и аналогичные изделия из черных металлов или алюминия
24.34.11.150 Проволока холоднотянутая для армирования железобетонных конструкций из нелегированной стали
24.10.71.110 Уголки стальные горячекатаные из нелегированных сталей
24.10.22.110 Сталь нержавеющая в слитках или прочих первичных формах
24.10.54.000 Прокат листовой из электротехнической стали, шириной менее 600 мм
24.10.65.120 Катанка горячекатаная со свободной намоткой в бухты из прочих легированных сталей
24.10.31.000 Прокат листовой горячекатаный из нелегированных сталей, без дополнительной обработки, шириной не менее 600 мм
24.10.71.130 Швеллеры стальные горячекатаные из нелегированных сталей
24.20.13.110 Трубы стальные бесшовные горячедеформированные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</si>
  <si>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42.13.10.110 Мосты и путепроводы из любых материалов для всех типов сухопутного транспорта и для пешеходов
42.11.10.120 Дороги автомобильные, в том числе улично-дорожная сеть, и прочие автомобильные и пешеходные дороги
42.13.10.111 Мост автодорожный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</si>
  <si>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47 контрактов на сумму  36 445 011 683,01 ? За весь период заходили в конкурсы  126 раз на общую сумму обеспеченных контрактов с НМЦ 44 055 210 660,22 ? с БГУ  2 517 347 643,26 ? с БГИ 10 865 341 697,20 ? За 3 ГОДА по 44ФЗ заключено 17 шт. с объемом НМЦ  7 475 861 403,00 ? с БГИ 1 548 101 763,83 ? с БГГО 5 961 853,26 ? с авансированием до 2 628 917 436,50 ? с комиссией банку 4 712 958,88 ? с кв 41 002,74 ? ЗА 1 ГОД по 44ФЗ заключено 6 шт. c объемом НМЦ 6 102 082 483,00 ? с БГИ 1 469 967 286,35 ? с БГГО 5 257 834,88 ? с авансированием до  2 822 802 819,50 ? с комиссией банку  13 256 401,45 ? с кв 115 330,69 ?</t>
  </si>
  <si>
    <t>25.29.12 Емкости металлические для сжатых или сжиженных газов
25.29.11.900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прочие
28.99.39.190 Оборудование специального назначения прочее, не включенное в другие группировки
28.92.61.110 Комплектующие (запасные части) бурильных и проходческих машин, не имеющие самостоятельных группировок
25.29.11.111 Резервуары и газгольдеры полистовой сборки горизонтальные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28.13.31.110 Комплектующие (запасные части) насосов, не имеющие самостоятельных группировок
25.29.11.100 Резервуары и газгольдеры
28.25.14 Оборудование и установки для фильтрования или очистки газов, не включенные в другие группировки
28.92.40.139 Машины для смешивания или перемешивания грунта, камня, руд или других минеральных ископаемых в твердом (в том числе порошкообразном или пастообразном) состоянии прочие</t>
  </si>
  <si>
    <t>За весь период компания заключила  11 контрактов на сумму  6 342 155 072,21 ?</t>
  </si>
  <si>
    <t>68.10.14.000 Услуги по покупке и продаже нежилых зданий и занимаемых ими земельных участков
28.29.11.120 Газогенераторы ацетиленовые и аналогичные
41.20.40.900 Работы строительные по возведению нежилых зданий и сооружений прочие, не включенные в другие группировки
42.2 Сооружения и строительные работы по строительству инженерных коммуникаций
68.10.11.000 Услуги по покупке и продаже жилых зданий и занимаемых ими земельных участков
68.10.12.000 Услуги по покупке и продаже недвижимости, находящейся в собственности на фиксированное время года
41.20.20.180 Здания предприятий здравоохранения, науки и научного обслуживания, образования, культуры и искусства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</si>
  <si>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19 контрактов на сумму  18 223 633 696,05 ? За весь период заходили в конкурсы  48 раз на общую сумму обеспеченных контрактов с НМЦ 19 877 310 728,48 ? с БГУ  765 801 632,75 ? с БГИ 4 834 680 213,08 ? За 3 ГОДА по 44ФЗ заключено 45 шт. с объемом НМЦ  4 163 362 848,50 ? с БГИ 323 770 387,66 ? с БГГО 31 055 884,20 ? с авансированием до 1 001 824 672,72 ? с комиссией банку 17 427 294,01 ? с кв 151 617,46 ? ЗА 1 ГОД по 44ФЗ заключено 2 шт. c объемом НМЦ 2 836 418 450,40 ? с БГИ 283 641 845,04 ? с БГГО 28 364 184,50 ? с авансированием до  1 001 824 672,72 ? с комиссией банку  12 419 812,01 ? с кв 108 052,36 ? ЗА 3 ГОДА ПО 223 ФЗ заключено 2 шт. с объемом НМЦ 94 348 425,49 ?</t>
  </si>
  <si>
    <t>"223 за 3 года", "свод фт", ".", "рейтинг поставщиков в маркере по бг", "выдали", "ГРАНДИОЗНЫЙ ПРОЕКТ", "УПП на 2 номер", "клиенты управления по БГ без открытых счетов", "ПОС на 01.02.2023", "ПОС на 03.04.2023", "все клиенты с выручкой от 1,8 млрд до бесконечности", "портфель", "ФК клиенты с выручкой от 230 до бесконечности", "Одобренные но не выданные 1 полугодие 2021", "44 фз с с БГ от 10 млн", "рейтинг заказчиков маркер", "производители", "рейтинг по нмц маркер", "это заказчик", "на фт заводил Бесков", "поставщики маркер", "44 за 3 года"</t>
  </si>
  <si>
    <t>19.20.21 Топливо моторное, включая автомобильный и авиационный бензин
19.20.21.100 Бензин автомобильный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19.20.31.110 Пропан сжиженный
19.20.21.120 Бензин автомобильный с октановым числом более 92, но не более 95 по исследовательскому методу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19.20.21.320 Топливо дизельное зимнее
19.20.21.345 Топливо дизельное межсезонное экологического класса К5 ****</t>
  </si>
  <si>
    <t>За весь период компания заключила  10 контрактов на сумму  572 132 210,36 ? За весь период заходили в конкурсы  9 раз на общую сумму обеспеченных контрактов с НМЦ 582 582 582,01 ? с БГУ  11 926 112,97 ? с БГИ 71 835 131,83 ?                             ЗА 3 ГОДА ПО 223 ФЗ заключено 22 шт. с объемом НМЦ 147 903 612,85 ?</t>
  </si>
  <si>
    <t>"223 за 3 года", ".", "рейтинг поставщиков в маркере по бг", "Пункт 3.1 09.01.2023", "все клиенты с выручкой от 1,8 млрд до бесконечности", "Участники клиринга", "рейтинг по нмц маркер", "поставщики маркер", "44 за 3 года"</t>
  </si>
  <si>
    <t>19.20.21.332 Топливо дизельное арктическое экологического класса К2
19.20.21.341 Топливо дизельное межсезонное вне классов
19.2 Нефтепродукты
19.20.21.124 Бензин автомобильный с октановым числом более 92, но не более 95 по исследовательскому методу экологического класса К4
46.71 Услуги по оптовой торговле твердым, жидким и газообразным топливом и связанными продуктами
46.71.12.000 Услуги по оптовой торговле моторным топливом, включая авиационный бензин
19.20.21.321 Топливо дизельное зимнее вне классов
19.20.21.324 Топливо дизельное зимнее экологического класса К4
19.20.21 Топливо моторное, включая автомобильный и авиационный бензин
19.20.21.100 Бензин автомобильный ****</t>
  </si>
  <si>
    <t>За весь период заходили в конкурсы  3 раз на общую сумму обеспеченных контрактов с НМЦ 209 954 296,42 ? с БГУ  2 122 043,26 ? с БГИ 18 720 432,70 ? За 3 ГОДА по 44ФЗ заключено 454 шт. с объемом НМЦ  658 510 110,07 ? с БГИ 58 787 625,65 ? с БГГО 6 937 206,39 ? с авансированием до 499 891,53 ? с комиссией банку 412 460,46 ? с кв 3 588,41 ? ЗА 1 ГОД по 44ФЗ заключено 178 шт. c объемом НМЦ 252 583 347,91 ? с БГИ 14 084 780,36 ? с БГГО 0,00 ? с авансированием до  29 934,28 ? с комиссией банку  221 883,66 ? с кв 1 930,39 ? ЗА 3 ГОДА ПО 223 ФЗ заключено 44 шт. с объемом НМЦ 265 669 150,41 ? за 1 ГОД ПО 223ФЗ заключено 18  112 888 443,61 ?</t>
  </si>
  <si>
    <t>63.91 Услуги информационных агентств
35.12.10.120 Услуги по технологическому присоединению к распределительным электросетям
35.30.12.130 Услуги по транспортированию горячей воды
35.30.11.111 Энергия тепловая, отпущенная тепловыми электроцентралями (ТЭЦ)
68.20.12.000 Услуги по сдаче в аренду (внаем) собственных или арендованных нежилых помещений
56.29.19.000 Услуги по обеспечению питанием, осуществляемые по договору, прочие
35.12.10.110 Услуги по передаче электроэнергии</t>
  </si>
  <si>
    <t>за 1 ГОД ПО 223ФЗ заключено 5  20 447 290,40 ?</t>
  </si>
  <si>
    <t>"223 за 3 года", ".", "ГРАНДИОЗНЫЙ ПЛАН заказчики", "все клиенты с выручкой от 1,8 млрд до бесконечности", "рейтинг заказчиков маркер", "это заказчик", "поставщики маркер"</t>
  </si>
  <si>
    <t>"223 за 3 года", ".", "производители", "рейтинг по нмц маркер", "crm управления", "crm Пител"</t>
  </si>
  <si>
    <t>10.11.32.110 Свинина замороженная</t>
  </si>
  <si>
    <t>"Обороты по клиентам по кварталам (2022г)", ".", "fk1", "ПОС на 01.02.2023", "06.2022_ФинХД", "клиенты от 100 млн"</t>
  </si>
  <si>
    <t>19.20.28.112 Мазут с массовой долей серы не более 3,5 % с температурой вспышки в открытом тигле не ниже 90 °C, с содержанием сероводорода не более 20 ppm, но более 10 ppm
19.20.21.440 Топливо судовое с массовой долей серы не более 0,5 % с температурой вспышки в закрытом тигле не ниже 61 °C
19.20.28.120 Мазут флотский
19.20.21 Топливо моторное, включая автомобильный и авиационный бензин
19.20.28.111 Мазут с массовой долей серы не более 3,5 % с температурой вспышки в открытом тигле не ниже 90 °C, с содержанием сероводорода не более 30 ppm, но более 20 ppm
19 Кокс и нефтепродукты
19.20.21.315 Топливо дизельное летнее экологического класса К5
19.20.2 Топливо жидкое и газообразное; масла смазочные
19.20.21.300 Топливо дизельное
19.20.21.325 Топливо дизельное зимнее экологического класса К5 ****</t>
  </si>
  <si>
    <t>За весь период компания заключила  19 контрактов на сумму  1 535 628 246,16 ? За весь период заходили в конкурсы  9 раз на общую сумму обеспеченных контрактов с НМЦ 596 619 886,95 ? с БГУ  18 321 786,70 ? с БГИ 72 415 606,98 ?                             ЗА 3 ГОДА ПО 223 ФЗ заключено 13 шт. с объемом НМЦ 125 056 244,04 ? за 1 ГОД ПО 223ФЗ заключено 9  378 965 069,44 ?</t>
  </si>
  <si>
    <t>"223 за 3 года", ".", "рейтинг поставщиков в маркере по бг", "одобренные", "Конкурсы 100+ (Восстановленный)", "Агентские отказ из-за непред-я док-ов", "fk1", "райф", "Кредитный портфель_01.11", "корп 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 "223 фз контракты 20+", "Все БГ Держава ", "производители", "рейтинг по нмц маркер", "это заказчик", "поставщики маркер", "44 за 3 года"</t>
  </si>
  <si>
    <t>24.20.13.130 Трубы стальные электросварные
23.99.11.130 Изделия из смесей на основе хризотила
28.14.20.220 Фланцы
26.51.52.110 Приборы для измерения или контроля расхода жидкостей и газов
20.30.12.140 Грунтовки на основе сложных полиэфиров, акриловых или виниловых полимеров в неводной среде
24.20.40.000 Фитинги для труб стальные, кроме литых
25.94.11.130 Гайки из черных металлов
23.99.19.111 Материалы и изделия минеральные теплоизоляционные
25.11.23.120 Конструкции и детали конструкций из алюминия прочие
25.94.11.110 Болты и винты из черных металлов ****</t>
  </si>
  <si>
    <t>10.61.32.113 Крупа гречневая
46.36.1 Услуги по оптовой торговле сахаром, шоколадом и сахаристыми кондитерскими изделиями
10.61 Продукция мукомольно-крупяного производства
01.11.49.110 Гречиха
10.81 Сахар
10.81.12.110 Сахар белый свекловичный в твердом состоянии без вкусоароматических или красящих добавок
10.61.11.000 Рис шелушеный
46.36.11 Услуги по оптовой торговле сахаром</t>
  </si>
  <si>
    <t>ЗА 3 ГОДА ПО 223 ФЗ заключено 13 шт. с объемом НМЦ 109 046 355,00 ? за 1 ГОД ПО 223ФЗ заключено 4  56 313 840,00 ?</t>
  </si>
  <si>
    <t>"на фт заводил Синяев", "свод фт", ".", "кредиты фт", "лимит сит по кредитам", "рейтинг заказчиков маркер", "производители"</t>
  </si>
  <si>
    <t>05.20 Уголь бурый (лигнит)
05 Уголь
05.20.10.120 Уголь бурый обогащенный (лигнит)
05.20.10.110 Уголь бурый рядовой (лигнит)
35.30.11 Пар и горячая вода
35.30.11.120 Энергия тепловая, отпущенная котельными</t>
  </si>
  <si>
    <t>За весь период заходили в конкурсы  2 раз на общую сумму обеспеченных контрактов с НМЦ 135 830 709,19 ? с БГУ  1 330 896,00 ? с БГИ 159 707 520,00 ?                             ЗА 3 ГОДА ПО 223 ФЗ заключено 42 шт. с объемом НМЦ 918 454 665,01 ? за 1 ГОД ПО 223ФЗ заключено 18  811 487 256,57 ?</t>
  </si>
  <si>
    <t>"223 за 3 года", ".", "рейтинг поставщиков в маркере по бг", "Конкурсы 100+ (Восстановленный)", "райф", "Участники клиринга", "223 фз контракты 20+", "44 за 3 года"</t>
  </si>
  <si>
    <t>1 100</t>
  </si>
  <si>
    <t>Сообщения о принятии решения о реорганизации от 21.10.2022</t>
  </si>
  <si>
    <t>37.00.11.110 Услуги по водоотведению сточных вод
35.30.11.120 Энергия тепловая, отпущенная котельными
68.20.12.000 Услуги по сдаче в аренду (внаем) собственных или арендованных нежилых помещений
37.00.11.120 Услуги по транспортированию сточных вод
52.10.1 Услуги по складированию и хранению
52.21.19.190 Услуги вспомогательные для железнодорожного транспорта прочие, не включенные в другие группировки
36.00.20.130 Услуги по транспортированию и распределению воды по водопроводам
42.21.13.123 Система канализации</t>
  </si>
  <si>
    <t>Сообщения о принятии решения о реорганизации от 25.09.2018</t>
  </si>
  <si>
    <t>"поставщики маркер", ".", "беники", "все клиенты с выручкой от 1,8 млрд до бесконечности", "рейтинг заказчиков маркер", "производители", "это заказчик"</t>
  </si>
  <si>
    <t>35.11.10.112 Электроэнергия, произведенная теплоэлектроцентралями (ТЭЦ) общего назначения
35.14.10.000 Услуги по торговле электроэнергией
35.12.10.110 Услуги по передаче электроэнергии</t>
  </si>
  <si>
    <t>За весь период компания заключила  1 контрактов на сумму  608 283 236,00 ?</t>
  </si>
  <si>
    <t>35.11.10.112 Электроэнергия, произведенная теплоэлектроцентралями (ТЭЦ) общего назначения
35.11.10.122 Электроэнергия, произведенная блок-станциями теплоэлектроцентралей (ТЭЦ)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35.30.11 Пар и горячая вода
35.30.11.120 Энергия тепловая, отпущенная котельными ****</t>
  </si>
  <si>
    <t>За весь период компания заключила  13 контрактов на сумму  2 919 728 961,09 ?                                         за 1 ГОД ПО 223ФЗ заключено 3  5 556 302,90 ?</t>
  </si>
  <si>
    <t>Сообщения о принятии решения о реорганизации от 24.12.2020</t>
  </si>
  <si>
    <t>Сообщения о принятии решения о реорганизации от 02.07.2021</t>
  </si>
  <si>
    <t>28.22.17.110 Конвейеры
25.30.12.111 Трубопроводы
28.12 Оборудование гидравлическое и пневматическое силовое
28.92.40.129 Дробилки прочие, не включенные в другие группировки
71.12 Услуги в области инженерно-технического проектирования и связанные технические консультативные услуги
33.12.29.900 Услуги по ремонту и техническому обслуживанию прочего оборудования специального назначения, не включенные в другие группировки
28.14 Арматура трубопроводная (арматура) (краны, клапаны и прочие)
28.15.2 Подшипники прочие, зубчатые колеса, зубчатые передачи и элементы приводов
28.15.24 Передачи зубчатые; передачи винтовые шариковые или роликовые; коробки передач и прочие переключатели скоростей
24.20 Трубы, профили пустотелые и их фитинги стальные ****</t>
  </si>
  <si>
    <t>5 632</t>
  </si>
  <si>
    <t>За весь период компания заключила  14 контрактов на сумму  5 150 358 608,96 ? За весь период заходили в конкурсы  1 раз на общую сумму обеспеченных контрактов с НМЦ 336 022 170,00 ? с БГУ  3 360 221,70 ? с БГИ 16 801 108,50 ?</t>
  </si>
  <si>
    <t>Юридическим лицом принято решение об изменении места нахождения от 21.04.2023</t>
  </si>
  <si>
    <t>"223 за 3 года", ".", "рейтинг поставщиков в маркере по бг", "все клиенты с выручкой от 1,8 млрд до бесконечности", "производители", "рейтинг по нмц маркер", "crm управления", "в crm за Шевченко ОРК  4", "поставщики маркер", "44 за 3 года"</t>
  </si>
  <si>
    <t>Сообщения о принятии решения о реорганизации от 10.11.2021</t>
  </si>
  <si>
    <t>ЗА 3 ГОДА ПО 223 ФЗ заключено 1 шт. с объемом НМЦ 20 454 545,45 ? за 1 ГОД ПО 223ФЗ заключено 1  20 454 545,45 ?</t>
  </si>
  <si>
    <t>77 Услуги по аренде и лизингу
77.39.19.110 Услуги по аренде и лизингу прочих машин и оборудования без оператора, не включенных в другие группировки</t>
  </si>
  <si>
    <t>26.20.91.000 Услуги по производству компьютеров и периферийного оборудования
77.40.19.000 Услуги по предоставлению лицензий на право использования прочей интеллектуальной собственности и аналогичных продуктов, кроме произведений, охраняемых авторским правом
62.01 Продукты программные и услуги по разработке и тестированию программного обеспечения
62.02 Услуги консультативные, связанные с компьютерной техникой
62.02.30 Услуги по технической поддержке информационных технологий
74.90.20.141 Услуги (работы) по разработке средств защиты информации
26.20.30.000 Устройства автоматической обработки данных прочие
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62.01.1 Услуги по проектированию, разработке информационных технологий для прикладных задач и тестированию программного обеспечения
62.09.20.120 Услуги по установке программного обеспечения ****</t>
  </si>
  <si>
    <t>За весь период компания заключила  22 контрактов на сумму  2 977 350 696,65 ? За весь период заходили в конкурсы  4 раз на общую сумму обеспеченных контрактов с НМЦ 305 878 662,80 ? с БГУ  14 130 718,66 ? с БГИ 55 004 393,79 ?                             ЗА 3 ГОДА ПО 223 ФЗ заключено 26 шт. с объемом НМЦ 1 112 503 379,79 ? за 1 ГОД ПО 223ФЗ заключено 3  69 509 484,04 ?</t>
  </si>
  <si>
    <t>"223 за 3 года", ".", "рейтинг поставщиков в маркере по бг", "223 фз контракты 20+", "рейтинг по нмц маркер", "поставщики маркер"</t>
  </si>
  <si>
    <t>30.30.99.000 Операции процесса производства аппаратов летательных и кораблей космических и соответствующего оборудования отдельные, выполняемые субподрядчиком</t>
  </si>
  <si>
    <t>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45.31.12.000 Услуги по оптовой торговле прочими автомобильными деталями, узлами и принадлежностями
28.15.22.000 Валы передаточные (включая кулачковые и коленчатые валы) и кривошипы
28.22.15.120 Погрузчики прочие
28.29.23.110 Прокладки из листового металла
28.30.2 Тракторы для сельского хозяйства прочие
29.1 Средства автотранспортные
28.92.25 Погрузчики фронтальные одноковшовые самоходные
29.32.30.390 Части и принадлежности для автотранспортных средств прочие, не включенные в другие группировки ****</t>
  </si>
  <si>
    <t>ЗА 3 ГОДА ПО 223 ФЗ заключено 2 шт. с объемом НМЦ 47 085 293,58 ?</t>
  </si>
  <si>
    <t>"223 за 3 года", "кл фт прямые бг 04.22", "свод фт", ".", "все клиенты с выручкой от 1,8 млрд до бесконечности", "портфель", "ФК клиенты с выручкой от 230 до бесконечности", "клиенты от 100 млн", "ФТ клиенты с продуктами по сотрудникам", "рейтинг по нмц маркер", "на фт заводил Скрипников", "поставщики маркер", "44 за 3 года"</t>
  </si>
  <si>
    <t>Кредитный портфель_01.2620</t>
  </si>
  <si>
    <t>45.11.12 Услуги по оптовой торговле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29.10.2 Автомобили легковые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29.10.24.000 Средства автотранспортные для перевозки людей прочие
45.20.11.111 Услуги по регламентным работам (по видам технического обслуживания)
29.10.22.000 Средства транспортные с двигателем с искровым зажиганием, с рабочим объемом цилиндров более 1500 см3, новые</t>
  </si>
  <si>
    <t>За весь период компания заключила  5 контрактов на сумму  319 901 623,00 ? За весь период заходили в конкурсы  10 раз на общую сумму обеспеченных контрактов с НМЦ 746 699 767,20 ? с БГУ  7 319 247,63 ? с БГИ 40 723 186,61 ? За 3 ГОДА по 44ФЗ заключено 42 шт. с объемом НМЦ  538 850 532,84 ? с БГИ 34 079 694,96 ? с БГГО 6 348 736,40 ? с авансированием до 0,00 ? с комиссией банку 556 322,72 ? с кв 4 840,01 ? ЗА 1 ГОД по 44ФЗ заключено 13 шт. c объемом НМЦ 367 702 883,69 ? с БГИ 23 102 105,41 ? с БГГО 3 441 280,00 ? с авансированием до  0,00 ? с комиссией банку  241 692,03 ? с кв 2 102,72 ?</t>
  </si>
  <si>
    <t>17.22.11.130 Салфетки и полотенца гигиенические или косметические из бумажной массы, бумаги, целлюлозной ваты и полотна из целлюлозных волокон
32.50.13.190 Инструменты и приспособления, применяемые в медицинских целях, прочие, не включенные в другие группировки
27.40.32.000 Наборы осветительные для рождественских (новогодних) елок
47.19.1 Услуги по розничной торговле большим товарным ассортиментом с преобладанием непродовольственных товаров в неспециализированных магазинах
23.41.11.110 Посуда столовая и кухонная из фарфора
25.99.12.112 Изделия столовые, кухонные и бытовые и их детали из нержавеющей стали
32.40 Игры и игрушки
22.29.10.120 Перчатки пластмассовые
22.29.23.120 Предметы домашнего обихода пластмассовые прочие
32.99.51.111 Елки искусственные ****</t>
  </si>
  <si>
    <t>4 114</t>
  </si>
  <si>
    <t>23.41.11 Посуда столовая и кухонная, изделия хозяйственные и туалетные прочие из фарфора
21.20.23.199 Средства нелечебные прочие
14.19.42.141 Фуражки и кепи швейные мужские или для мальчиков
20.20.14.000 Средства дезинфекционные
17.22.11.130 Салфетки и полотенца гигиенические или косметические из бумажной массы, бумаги, целлюлозной ваты и полотна из целлюлозных волокон
31.09.1 Мебель прочая
32.50.13.190 Инструменты и приспособления, применяемые в медицинских целях, прочие, не включенные в другие группировки
21.20.24.160 Материалы перевязочные и аналогичные изделия, в том числе пропитанные или покрытые лекарственными средствами
28.29.39.000 Оборудование для взвешивания и дозировки прочее
14.19.32.120 Одежда из нетканых материалов ****</t>
  </si>
  <si>
    <t>1 861</t>
  </si>
  <si>
    <t>2 717</t>
  </si>
  <si>
    <t>"производители", ".", "инн Ленинградка",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</si>
  <si>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21.20.21.133 Вакцины бактериальные профилактические ассоциированные, применяемые в ветеринарии
20.20.14.000 Средства дезинфекционные
22.19.60.119 Перчатки резиновые прочие</t>
  </si>
  <si>
    <t>1 342</t>
  </si>
  <si>
    <t>За весь период компания заключила  1 контрактов на сумму  2 050 166 800,00 ?</t>
  </si>
  <si>
    <t>Сообщения о принятии решения о реорганизации от 08.04.2021</t>
  </si>
  <si>
    <t>"поставщики маркер", ".", "ИНН_договоры_октябрь_", "все клиенты с выручкой от 1,8 млрд до бесконечности", "рейтинг по нмц маркер"</t>
  </si>
  <si>
    <t>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33.13.13.000 Услуги по ремонту и техническому обслуживанию профессиональных оптических приборов и фотооборудования
32.50.13.190 Инструменты и приспособления, применяемые в медицинских целях, прочие, не включенные в другие группировки
26.60.11.110 Аппараты, основанные на использовании рентгеновского излучения, применяемые в медицинских целях, включая хирургию, стоматологию, ветеринарию
26.60.12.119 Аппараты электродиагностические прочие
33.12.12.000 Услуги по ремонту и техническому обслуживанию гидравлического и пневматического силового оборудования, кроме насосов, компрессоров, кранов и клапанов
33.12.29.900 Услуги по ремонту и техническому обслуживанию прочего оборудования специального назначения, не включенные в другие группировки
26.60.11.130 Части и принадлежности аппаратов, основанных на использовании рентгеновского или альфа-, бета- или гамма-излучений, применяемых в медицинских целях, включая хирургию, стоматологию, ветеринарию
26.60.12.132 Аппараты ультразвукового сканирования
26.60.12.140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 ****</t>
  </si>
  <si>
    <t>За весь период заходили в конкурсы  8 раз на общую сумму обеспеченных контрактов с НМЦ 891 004 776,49 ? с БГУ  34 910 149,71 ? с БГИ 324 872 485,26 ? За 3 ГОДА по 44ФЗ заключено 24 шт. с объемом НМЦ  157 675 809,20 ? с БГИ 17 536 139,53 ? с БГГО 4 173 379,64 ? с авансированием до 0,00 ? с комиссией банку 225 589,67 ? с кв 1 962,63 ?</t>
  </si>
  <si>
    <t>42.22.23.900 Работы строительные по строительству электростанций, кроме атомных электростанций</t>
  </si>
  <si>
    <t>За весь период контрактов 23 шт. на общую сумму НМЦ 17 789 831 841,40 ?</t>
  </si>
  <si>
    <t>Юридическое лицо находится в процессе реорганизации в форме выделения от 27.12.2021, Сообщения о принятии решения о реорганизации от 24.12.2021</t>
  </si>
  <si>
    <t>"223 за 3 года", ".", "рейтинг поставщиков в маркере по бг", "беники", "все клиенты с выручкой от 1,8 млрд до бесконечности", "223 фз контракты 20+", "производители", "рейтинг по нмц маркер", "поставщики маркер"</t>
  </si>
  <si>
    <t>20.30.22.170 Герметики
23.51.12.111 Портландцемент без минеральных добавок
23.51.12.112 Портландцемент с минеральными добавками
23.52.20.110 Гипс строительный
20.30.11.120 Краски на основе акриловых или виниловых полимеров в водной среде
25.99.11.129 Умывальники из прочих черных металлов
23.31.10.122 Плитки керамические для полов
22.21.21.123 Трубы канализационные и фасонные части к ним из полиэтилена
22.21.29.110 Трубы прочие пластмассовые
23.51.12.110 Цементы общестроительные ****</t>
  </si>
  <si>
    <t>11.01 Напитки алкогольные дистиллированные и ректификованные
46.34 Услуги по оптовой торговле алкогольными и другими напитками
11.01.10.111 Водка
11.02.1 Вина виноградные, в том числе из свежего винограда; сусло виноградное
11.07.11.110 Воды минеральные природные питьевые
47.99.10.000 Услуги по осуществлению прямых продаж или продаж торговыми агентами с доставкой
47.78.30 Услуги по розничной торговле сувенирами, изделиями народных художественных промыслов
11.01.10.190 Спиртные напитки прочие
11.01.10.120 Водки виноградные
11.02 Вина виноградные ****</t>
  </si>
  <si>
    <t>За весь период компания заключила  1 контрактов на сумму  398 295 000,00 ?                                     ЗА 3 ГОДА ПО 223 ФЗ заключено 8 шт. с объемом НМЦ 308 585 143,00 ?</t>
  </si>
  <si>
    <t>"223 за 3 года", ".", "fk1", "06.2022_ФинХД", "все клиенты с выручкой от 1,8 млрд до бесконечности", "рейтинг по нмц маркер", "это заказчик", "поставщики маркер"</t>
  </si>
  <si>
    <t>22.22.19.000 Изделия упаковочные пластмассовые прочие
27.11.2 Электродвигатели переменного и постоянного тока универсальные мощностью более 37,5 Вт; электродвигатели переменного тока прочие; генераторы (синхронные генераторы) переменного тока
27.11.32.120 Установки генераторные прочие
20.16.51 Полимеры пропилена и прочих олефинов в первичных формах
22.29.23.120 Предметы домашнего обихода пластмассовые прочие
27.11.1 Электродвигатели мощностью не более 37,5 Вт; электродвигатели постоянного тока прочие; генераторы постоянного тока
27.11.31.000 Установки генераторные с двигателями внутреннего сгорания с воспламенением от сжатия
22.29.29.190 Изделия пластмассовые прочие, не включенные в другие группировки
42.22.13.100 Электростанции, кроме атомных электростанций
27.11.10.130 Генераторы постоянного тока ****</t>
  </si>
  <si>
    <t>28.13.14.110 Насосы центробежные подачи жидкостей прочие
23.61.12.142 Плиты перекрытий железобетонные
25.11.23.119 Конструкции и детали конструкций из черных металлов прочие, не включенные в другие группировки
32.30.15.240 Бассейны плавательные и бассейны для гребли
29.32.30.269 Узлы и детали систем вентиляции, отопления и кондиционирования воздуха, не включенные в другие группировки
25.11.22.192 Опоры из черных металлов прочие, не включенные в другие группировки
28.12.13.190 Насосы гидравлические прочие
41.20.40.900 Работы строительные по возведению нежилых зданий и сооружений прочие, не включенные в другие группировки
28.25.12.190 Оборудование для кондиционирования воздуха прочее, не включенное в другие группировки
41.20.20.900 Сооружения спортивно-оздоровительные и сооружения прочие, не включенные в другие группировки ****</t>
  </si>
  <si>
    <t>За весь период компания заключила  16 контрактов на сумму  72 846 616 392,19 ? За весь период заходили в конкурсы  1 раз на общую сумму обеспеченных контрактов с НМЦ 17 421 677 714,92 ? с БГУ  175 976 542,57 ? с БГИ 888 681 540,00 ?</t>
  </si>
  <si>
    <t>Заказчик разыгравший 110 конкурсов на сумму  77 185 859 404,17 ?</t>
  </si>
  <si>
    <t>За весь период компания заключила  2 контрактов на сумму  450 000 000,00 ?</t>
  </si>
  <si>
    <t>59.14.10.000 Услуги по демонстрации кинофильмов
73.1 Услуги рекламные
90.04.10.110 Услуги концертных залов, театров, оперных зданий, мюзик-холлов, включая услуги билетных касс
73.11.19.000 Услуги рекламные прочие
90.02.12.000 Услуги по организации показа спектаклей, концертов и иных зрелищных программ (произведений исполнительского искусства), включая мероприятия по продвижению исполнительских искусств
93.29.29.000 Услуги зрелищно-развлекательные, не включенные в другие группировки</t>
  </si>
  <si>
    <t>19.2 Нефтепродукты
46.71.12.000 Услуги по оптовой торговле моторным топливом, включая авиационный бензин
19.20.21 Топливо моторное, включая автомобильный и авиационный бензин
19.20.21.100 Бензин автомобильный
19.20.21.310 Топливо дизельное летнее
19.20.21.334 Топливо дизельное арктическое экологического класса К4
19.20.42.121 Битумы нефтяные дорожные
19.20.21.335 Топливо дизельное арктическое экологического класса К5
19.20.21.315 Топливо дизельное летнее экологического класса К5
19.20.21.320 Топливо дизельное зимнее ****</t>
  </si>
  <si>
    <t>За весь период компания заключила  20 контрактов на сумму  971 969 651,77 ?                                     ЗА 3 ГОДА ПО 223 ФЗ заключено 7 шт. с объемом НМЦ 226 114 415,00 ?</t>
  </si>
  <si>
    <t>62.02.10 Услуги консультативные по компьютерному оборудованию
85.42.19.900 Услуги по профессиональному обучению прочие
85.42.19.120 Услуги по повышению квалификации (дополнительное профессиональное образование) специалистов в области использования атомной энергии
85.41.93.000 Услуги в области дополнительного образования вспомогательные
79.90.11.000 Услуги по продвижению туризма
82.30.11.000 Услуги по организации конференций
85.31.11.000 Услуги по профессиональному обучению
85.21.12.000 Услуги в области среднего профессионального образования прочие
70.22.11.000 Услуги консультативные по вопросам стратегического управления
85.41.99.000 Услуги в области дополнительного образования прочие, не включенные в другие группировки ****</t>
  </si>
  <si>
    <t>За три года по 44фз заключено 76 контрактов с общей суммой 600 683 547,28 ? с объемом БГИ 96 887 965,73 ? с наличием БГГО 0,00 ? с авансированием до  51 886 339,17 ? с комиссией по БГИ  2 645 896,43 ? и кв 23 016,78 ?</t>
  </si>
  <si>
    <t>"223 за 3 года", ".", "рейтинг поставщиков в маркере по бг", "все клиенты с выручкой от 1,8 млрд до бесконечности", "44 фз с с БГ от 10 млн", "crm управления", "crm Пител", "поставщики маркер", "44 за 3 года"</t>
  </si>
  <si>
    <t>Заказчик разыгравший 18 конкурсов на сумму  2 546 335 701,58 ?</t>
  </si>
  <si>
    <t>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26.20.16.150 Сканеры
26.20.18 Устройства периферийные с двумя или более функциями: печать данных, копирование, сканирование, прием и передача факсимильных сообщений
26.20.4 Блоки, части и принадлежности вычислительных машин
26.20.40.120 Элементы замены типовые устройств ввода и вывода
26.30.2 Оборудование оконечное (пользовательское) телефонной или телеграфной связи, аппаратура видеосвязи
26.40.31 Устройства электропроигрывающие, проигрыватели грампластинок, кассетные проигрыватели и прочая аппаратура для воспроизведения звука
27.90.20.110 Панели индикаторные с устройствами жидкокристаллическими или светодиодами
26.20.1 Компьютеры, их части и принадлежности
26.80.12.000 Носители данных оптические без записи ****</t>
  </si>
  <si>
    <t>За весь период компания заключила  15 контрактов на сумму  2 320 406 493,65 ? За весь период заходили в конкурсы  39 раз на общую сумму обеспеченных контрактов с НМЦ 5 794 901 483,10 ? с БГУ  133 862 092,80 ? с БГИ 895 462 847,72 ? За 3 ГОДА по 44ФЗ заключено 33 шт. с объемом НМЦ  1 716 102 424,02 ? с БГИ 186 948 683,26 ? с БГГО 45 146 809,18 ? с авансированием до 26 051 903,04 ? с комиссией банку 1 893 607,03 ? с кв 16 474,38 ? ЗА 1 ГОД по 44ФЗ заключено 13 шт. c объемом НМЦ 273 363 311,16 ? с БГИ 38 444 695,93 ? с БГГО 3 569 394,77 ? с авансированием до  26 051 903,04 ? с комиссией банку  117 903,19 ? с кв 1 025,76 ? ЗА 3 ГОДА ПО 223 ФЗ заключено 7 шт. с объемом НМЦ 57 509 692,18 ?</t>
  </si>
  <si>
    <t>"223 за 3 года", "кл фт прямые бг 04.22", ".", "рейтинг поставщиков в маркере по бг", "п6",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"ФТ клиенты с продуктами по сотрудникам", "44 фз с с БГ от 10 млн", "производители", "рейтинг по нмц маркер", "поставщики маркер", "44 за 3 года"</t>
  </si>
  <si>
    <t>61.20 Услуги телекоммуникационные беспроводные
61.10.41.000 Услуги магистральные по информационно-коммуникационной сети Интернет
63.99.10.190 Услуги информационные автоматизированные компьютерные прочие, не включенные в другие группировки
58.29 Услуги по изданию прочего программного обеспечения
58.29.4 Обеспечение программное в режиме on-line
62.01.29 Оригиналы программного обеспечения прочие
63.11 Услуги по обработке данных, размещению и взаимосвязанные услуги
63.99.10 Услуги информационные прочие, не включенные в другие группировки
61.10.30.190 Услуги по передаче данных по проводным телекоммуникационным сетям прочие
79.11.1 Услуги туристических агентств по бронированию мест в транспортных средствах ****</t>
  </si>
  <si>
    <t>ЗА 3 ГОДА ПО 223 ФЗ заключено 11 шт. с объемом НМЦ 31 364 388,00 ?</t>
  </si>
  <si>
    <t>За весь период контрактов 1 шт. на общую сумму НМЦ 1 143 697 283,06 ?</t>
  </si>
  <si>
    <t>21.20.23.110 Реагенты диагностические</t>
  </si>
  <si>
    <t>Сообщения о принятии решения о реорганизации от 18.02.2022</t>
  </si>
  <si>
    <t>32.50.13.190 Инструменты и приспособления, применяемые в медицинских целях, прочие, не включенные в другие группировки
32.50.22.190 Протезы органов человека, не включенные в другие группировки
32.50.50.190 Изделия медицинские, в том числе хирургические, прочие, не включенные в другие группировки</t>
  </si>
  <si>
    <t>Юридическое лицо находится в процессе реорганизации в форме присоединения к нему других юридических лиц от 27.12.2022, Сообщения о принятии решения о реорганизации от 26.12.2022</t>
  </si>
  <si>
    <t>"44 за 3 года", ".", "fk1", "ПОС на 01.02.2023", "ПОС на 03.04.2023", "Кредитный портфель_01.11", "06.2022_ФинХД", "клиенты с в от100млн 09.21", "ФК клиенты с выручкой от 230 до бесконечности", "клиенты от 100 млн", "Обороты по клиентам по кварталам (2022г)"</t>
  </si>
  <si>
    <t>"223 за 3 года", ".", "fk1", "06.2022_ФинХД", "все клиенты с выручкой от 1,8 млрд до бесконечности", "ФК клиенты с выручкой от 230 до бесконечности", "рейтинг заказчиков маркер"</t>
  </si>
  <si>
    <t>за 1 ГОД ПО 223ФЗ заключено 1  11 150 393,63 ?</t>
  </si>
  <si>
    <t>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26.20.18.000 Устройства периферийные с двумя или более функциями: печать данных, копирование, сканирование, прием и передача факсимильных сообщений
26.20.40.120 Элементы замены типовые устройств ввода и вывода
58.29.50 Услуги по предоставлению лицензий на право использовать компьютерное программное обеспечение
26.20.1 Компьютеры, их части и принадлежности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58.29.29.000 Обеспечение программное прикладное прочее на электронном носителе
62.01 Продукты программные и услуги по разработке и тестированию программного обеспечения
62.02 Услуги консультативные, связанные с компьютерной техникой ****</t>
  </si>
  <si>
    <t>За весь период контрактов 32 шт. на общую сумму НМЦ 18 222 114 682,27 ?</t>
  </si>
  <si>
    <t>"223 за 3 года", ".", "рейтинг поставщиков в маркере по бг", "п6", "Конкурсы 100+ (Восстановленный)", "Агентские отказ из-за непред-я док-ов", "fk1", "ИНН_договоры_октябрь_", "ПСБ Гарантии ",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"44 фз с с БГ от 10 млн", "рейтинг по нмц маркер", "поставщики маркер", "44 за 3 года"</t>
  </si>
  <si>
    <t>27.40 Оборудование электрическое осветительное
27.90.33.110 Комплектующие (запасные части) прочего электрического оборудования, не имеющие самостоятельных группировок
27.20.22.000 Аккумуляторы свинцовые, кроме используемых для запуска поршневых двигателей
26.20.40 Блоки, части и принадлежности вычислительных машин
26.20.91.000 Услуги по производству компьютеров и периферийного оборудования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33.20 Услуги по монтажу промышленных машин и оборудования
27.90 Оборудование электрическое прочее
27.12.2 Устройства коммутации или защиты электрических цепей на напряжение не более 1 кВ ****</t>
  </si>
  <si>
    <t>За весь период компания заключила  3 контрактов на сумму  875 495 386,23 ?                       ЗА 1 ГОД по 44ФЗ заключено 1 шт. c объемом НМЦ 19 491 919,84 ? с БГИ 5 847 575,95 ? с БГГО 0,00 ? с авансированием до  5 847 575,95 ? с комиссией банку  73 054,65 ? с кв 635,58 ?</t>
  </si>
  <si>
    <t>"223 за 3 года", "свод фт", ".", "fk1", "инн Красносельская", "ПОС на 01.02.2023", "портфель 31.10.2021_10 тыс_проверка", "Евразия_июлль-август 2019", "Кредитный портфель_01.11", "БГ ФБ ЮР лица на 01.07.2021", "ПСБ Гарантии ", "06.2022_ФинХД", "Действующий клиент мсб с выр от 30 млн на 05.21", "все клиенты с выручкой от 1,8 млрд до бесконечности", "ФК клиенты с выручкой от 230 до бесконечности", "Обороты по клиентам по кварталам (2022г)", "Одобренные но не выданные 1 полугодие 2021", "Все БГ Держава ", "производители", "рейтинг по нмц маркер", "на фт заводил Шутов", "на фт заводил Чекин", "поставщики маркер", "44 за 3 года"</t>
  </si>
  <si>
    <t>47.41 Услуги по розничной торговле компьютерами, периферийными устройствами к ним и программным обеспечением в специализированных магазинах</t>
  </si>
  <si>
    <t>"поставщики маркер", ".", "fk1", "портфель 31.10.2021_10 тыс_проверка",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t>
  </si>
  <si>
    <t>"клиенты до 49 млн", ".", "Кредитный портфель_01.11", "просрочка на 01.01.2023 г.", "Запрос в ЮД_просрочка на 01.01.2023", "06.2022_ФинХД", "клиенты до 18млн 22.29.21 ", "ФК клиенты с выручкой до 2,5 млн"</t>
  </si>
  <si>
    <t>95.22.10.243 Услуги по ремонту комнатных кондиционеров воздуха
28.25.12.130 Кондиционеры бытовые</t>
  </si>
  <si>
    <t>43.22.12.120 Работы по установке и техническому обслуживанию систем управления центральным отоплением
43.22.12.160 Работы по установке приборов учета расхода тепловой энергии
35.11.10.110 Электроэнергия, произведенная электростанциями общего назначения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35.13.10.000 Услуги по распределению электроэнергии
35.30 Услуги по снабжению паром и кондиционированию воздуха ****</t>
  </si>
  <si>
    <t>"223 за 3 года", "свод фт", ".", "все клиенты с выручкой от 1,8 млрд до бесконечности", "рейтинг заказчиков маркер", "рейтинг по нмц маркер", "это заказчик", "на фт заводил Пител", "поставщики маркер", "44 за 3 года"</t>
  </si>
  <si>
    <t>27.5 Приборы бытовые
27.51.13.120 Машины сушильные бытовые
26.1 Компоненты электронные и платы
26.20.18.000 Устройства периферийные с двумя или более функциями: печать данных, копирование, сканирование, прием и передача факсимильных сообщений
26.20.40 Блоки, части и принадлежности вычислительных машин
26.20.40.120 Элементы замены типовые устройств ввода и вывода
26.20.91.000 Услуги по производству компьютеров и периферийного оборудования
26.70.13.000 Видеокамеры цифровые
47.42.10.000 Услуги по розничной торговле телекоммуникационным оборудованием, включая розничную торговлю мобильными телефонами, в специализированных магазинах
27.51.12.000 Машины посудомоечные бытовые ****</t>
  </si>
  <si>
    <t>ЗА 3 ГОДА ПО 223 ФЗ заключено 102 шт. с объемом НМЦ 36 061 864,00 ? за 1 ГОД ПО 223ФЗ заключено 36  11 454 828,00 ?</t>
  </si>
  <si>
    <t>"223 за 3 года", ".",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"это заказчик", "44 за 3 года"</t>
  </si>
  <si>
    <t>38.11.19.000 Услуги по сбору прочих неопасных отходов, пригодных для повторного использования
38.21.2 Услуги по удалению неопасных отходов
38.22.29.000 Услуги по утилизации прочих опасных отходов
38.11.31.000 Отходы неопасные бытовые, непригодные для повторного использования
38.11.21.000 Услуги по сбору неопасных отходов городского хозяйства, непригодных для повторного использования
38.2 Услуги по обработке и утилизации отходов
38.21.22 Услуги по прочему захоронению мусора
84.12.13.000 Услуги государственного управления в области жилищного строительства и коммунального хозяйства
81.29.13.000 Услуги санитарно-гигиенические прочие
38.11 Отходы неопасные; услуги по сбору неопасных отходов ****</t>
  </si>
  <si>
    <t>За весь период контрактов 1 шт. на общую сумму НМЦ 1 100 000 000,00 ?</t>
  </si>
  <si>
    <t>Сообщение кредитора о намерении обратиться в суд с заявлением о банкротстве от 12.01.2023</t>
  </si>
  <si>
    <t>"223 за 3 года", ".", "все клиенты с выручкой от 1,8 млрд до бесконечности", "рейтинг заказчиков маркер", "производители", "рейтинг по нмц маркер", "поставщики маркер", "44 за 3 года"</t>
  </si>
  <si>
    <t>Сообщения о принятии решения о реорганизации от 13.05.2020</t>
  </si>
  <si>
    <t>Заказчик разыгравший 9 конкурсов на сумму  472 641 966,00 ?</t>
  </si>
  <si>
    <t>94.1 Услуги коммерческих, предпринимательских и профессиональных организаций</t>
  </si>
  <si>
    <t>26.20.18.000 Устройства периферийные с двумя или более функциями: печать данных, копирование, сканирование, прием и передача факсимильных сообщений
63.11.21.000 Услуги по передаче потокового видео
61.90.10.190 Услуги телекоммуникационные прочие, не включенные в другие группировки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61.10 Услуги телекоммуникационные проводные
26.20 Компьютеры и периферийное оборудование
26.20.17.120 Проекторы, подключаемые к компьютеру
61.90.10.193 Услуги конференц-связи по телефонному каналу ****</t>
  </si>
  <si>
    <t>За весь период компания заключила  49 контрактов на сумму  70 406 482 758,03 ? За весь период заходили в конкурсы  78 раз на общую сумму обеспеченных контрактов с НМЦ 75 384 248 471,73 ? с БГУ  3 265 689 564,87 ? с БГИ 8 998 313 713,14 ? За 3 ГОДА по 44ФЗ заключено 47 шт. с объемом НМЦ  48 943 668 967,13 ? с БГИ 4 147 954 313,68 ? с БГГО 33 099 110,37 ? с авансированием до 0,00 ? с комиссией банку 347 314 381,10 ? с кв 3 021 635,12 ? ЗА 1 ГОД по 44ФЗ заключено 18 шт. c объемом НМЦ 36 141 389 045,19 ? с БГИ 3 199 317 230,29 ? с БГГО 234 648,00 ? с авансированием до  0,00 ? с комиссией банку  300 536 039,32 ? с кв 2 614 663,54 ?</t>
  </si>
  <si>
    <t>Юридическое лицо находится в процессе реорганизации в форме присоединения к нему других юридических лиц от 17.02.2023, Сообщения о принятии решения о реорганизации от 01.02.2023</t>
  </si>
  <si>
    <t>"223 за 3 года", ".", "рейтинг поставщиков в маркере по бг", "Гарантии_КИБ_31.03.22_Гиб._", "портфель 51", "fk1", "Кредитный портфель_01.11", "корп 1", "06.2022_ФинХД", "все клиенты с выручкой от 1,8 млрд до бесконечности", "ФК клиенты с выручкой от 230 до бесконечности", "клиенты от 100 млн", "44 фз с с БГ от 10 млн", "рейтинг заказчиков маркер", "производители", "рейтинг по нмц маркер", "это заказчик",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</si>
  <si>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41.20.40.900 Работы строительные по возведению нежилых зданий и сооружений прочие, не включенные в другие группировки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t>
  </si>
  <si>
    <t>За весь период компания заключила  10 контрактов на сумму  6 562 798 335,99 ? За весь период заходили в конкурсы  64 раз на общую сумму обеспеченных контрактов с НМЦ 17 341 805 948,87 ? с БГУ  761 471 833,65 ? с БГИ 4 526 342 501,78 ? За 3 ГОДА по 44ФЗ заключено 49 шт. с объемом НМЦ  8 225 626 237,75 ? с БГИ 2 651 063 682,00 ? с БГГО 615 145 305,50 ? с авансированием до 2 088 237 067,84 ? с комиссией банку 75 820 178,32 ? с кв 659 635,55 ? ЗА 1 ГОД по 44ФЗ заключено 9 шт. c объемом НМЦ 2 189 717 959,81 ? с БГИ 642 281 850,41 ? с БГГО 171 392 637,00 ? с авансированием до  558 889 059,34 ? с комиссией банку  16 541 781,01 ? с кв 143 913,49 ? ЗА 3 ГОДА ПО 223 ФЗ заключено 1 шт. с объемом НМЦ 49 414 977,31 ?</t>
  </si>
  <si>
    <t>"223 за 3 года", ".", "рейтинг поставщиков в маркере по бг", "ГРАНДИОЗНЫЙ ПРОЕКТ", "Конкурсы 100+ (Восстановленный)", "Агентские отказ из-за непред-я док-ов", "fk1", "Кредитный портфель_01.11", "корп 1", "06.2022_ФинХД", "клиенты с в от100млн 09.21",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 "44 за 3 года"</t>
  </si>
  <si>
    <t>Заказчик разыгравший 73 конкурсов на сумму  339 376 747 240,09 ?</t>
  </si>
  <si>
    <t>43.21.10.220 Работы по монтажу систем освещения и сигнализации автомобильных дорог, аэропортов и портов
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43.21.10.130 Работы по монтажу сетей электроосвещения и электроснабжения и электроарматуры для систем аварийного электроснабжения
35.11.10.110 Электроэнергия, произведенная электростанциями общего назначения
35.12.10.120 Услуги по технологическому присоединению к распределительным электросетям
35.13.10.000 Услуги по распределению электроэнергии
42.22.12.111 Линии электропередачи местные воздушные
35.11.10.119 Электроэнергия, произведенная нетиповыми электростанциями общего назначения
43.21.10.290 Работы электромонтажные прочие, не включенные в другие группировки ****</t>
  </si>
  <si>
    <t>1 478</t>
  </si>
  <si>
    <t>Заказчик разыгравший 26 конкурсов на сумму  1 680 246 852,48 ?</t>
  </si>
  <si>
    <t>"на фт заводил Егоров ", "свод фт", ".", "fk1", "Агентские одобренные но не выданные от 30.08", "клиенты с в от100млн 09.21", "Пункт 3 09.01.23", "все клиенты с выручкой от 1,8 млрд до бесконечности", "ФК клиенты с выручкой от 230 до бесконечности", "Обороты по клиентам по кварталам (2022г)"</t>
  </si>
  <si>
    <t>43.29.11.140 Работы по противопожарной защите
71.11.22.000 Услуги в области архитектуры, связанные с проектами строительства нежилых зданий и сооружений
43.91 Работы кровельные
43.39.11.190 Работы отделочные декоративные прочие, не включенные в другие группировки
43.29.19.190 Работы монтажные прочие, не включенные в другие группировки</t>
  </si>
  <si>
    <t>За весь период заходили в конкурсы  12 раз на общую сумму обеспеченных контрактов с НМЦ 1 178 807 762,26 ? с БГУ  77 566 295,15 ? с БГИ 482 454 241,60 ?</t>
  </si>
  <si>
    <t>"поставщики маркер", ".", "рейтинг поставщиков в маркере по бг", "инн Ленинградка", "fk1", "ПОС на 01.02.2023", "ПОС на 03.04.2023", "Кредитный портфель_01.11", "06.2022_ФинХД",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t>
  </si>
  <si>
    <t>68.10.14.000 Услуги по покупке и продаже нежилых зданий и занимаемых ими земельных участков
68.10.11.000 Услуги по покупке и продаже жилых зданий и занимаемых ими земельных участков</t>
  </si>
  <si>
    <t>За весь период контрактов 33 шт. на общую сумму НМЦ 21 584 354 974,68 ?</t>
  </si>
  <si>
    <t>"поставщики маркер", ".", "рейтинг поставщиков в маркере по бг", "ГРАНДИОЗНЫЙ ПРОЕКТ", "fk1", "все клиенты с выручкой от 1,8 млрд до бесконечности", "ФК клиенты с выручкой от 230 до бесконечности", "БизФин", "рейтинг по нмц маркер"</t>
  </si>
  <si>
    <t>"ФТ клиенты с продуктами по сотрудникам", "кл фт ФК БГ 04.22", ".", "fk1", "портфель 31.10.2021_10 тыс_проверка", "портфель", "клиенты от 100 млн", "действующие б не прям"</t>
  </si>
  <si>
    <t>За весь период компания заключила  3 контрактов на сумму  2 652 516 486,80 ?</t>
  </si>
  <si>
    <t>ЗА 3 ГОДА ПО 223 ФЗ заключено 1 шт. с объемом НМЦ 1 077 076 685,00 ? за 1 ГОД ПО 223ФЗ заключено 3  2 286 384 056,00 ?</t>
  </si>
  <si>
    <t>"223 за 3 года", ".", "Конкурсы 100+ (Восстановленный)", "Агентские отказ из-за непред-я док-ов", "223 фз контракты 20+", "crm управления", "в crm за Чимровым"</t>
  </si>
  <si>
    <t>37.00.11.110 Услуги по водоотведению сточных вод
35.30.11.120 Энергия тепловая, отпущенная котельными
35.30.12.130 Услуги по транспортированию горячей воды
36.00.20.130 Услуги по транспортированию и распределению воды по водопроводам
35.12.10.110 Услуги по передаче электроэнергии</t>
  </si>
  <si>
    <t>1 292</t>
  </si>
  <si>
    <t>Сообщение кредитора о намерении обратиться в суд с заявлением о банкротстве от 24.03.2020</t>
  </si>
  <si>
    <t>1 991</t>
  </si>
  <si>
    <t>За весь период заходили в конкурсы  1 раз на общую сумму обеспеченных контрактов с НМЦ 75 814 440,00 ? с БГУ  379 072,20 ? с БГИ 7 581 444,00 ?</t>
  </si>
  <si>
    <t>Сообщения о принятии решения о реорганизации от 27.05.2022</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</si>
  <si>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42.13.20.200 Работы по сохранению и воссозданию мостов и тоннелей, являющихся объектами культурного наследия
71.20.12.000 Услуги в области испытаний, исследований и анализа физико-механических свойств материалов и веществ
71.20.19.140 Услуги по энергетическому обследованию
43.12.11.120 Работы по подготовке строительного участка для последующих строительных работ, включая буровзрывные работы и работы по удалению скальных пород
42.11.10.159 Дороги подъездные, транспортные и пешеходные путепроводы над и под дорогой, велосипедные дорожки прочие
71.12.19.100 Услуги по инженерно-техническому проектированию прочих объектов, кроме объектов культурного наследия
42.12.10.120 Полотно железнодорожное для уличных трамваев
43.99.90.200 Работы строительные специализированные, не включенные в другие группировки, на объектах культурного наследия ****</t>
  </si>
  <si>
    <t>За весь период компания заключила  86 контрактов на сумму  93 293 130 080,09 ? За весь период заходили в конкурсы  167 раз на общую сумму обеспеченных контрактов с НМЦ 111 747 550 661,14 ? с БГУ  5 141 854 851,31 ? с БГИ 16 647 120 012,04 ? За 3 ГОДА по 44ФЗ заключено 36 шт. с объемом НМЦ  35 483 095 572,31 ? с БГИ 5 884 478 974,96 ? с БГГО 437 338 964,78 ? с авансированием до 15 744 645 638,75 ? с комиссией банку 174 020 576,68 ? с кв 1 513 979,02 ? ЗА 1 ГОД по 44ФЗ заключено 10 шт. c объемом НМЦ 12 921 770 984,85 ? с БГИ 2 273 490 098,59 ? с БГГО 62 407 687,32 ? с авансированием до  6 031 170 138,33 ? с комиссией банку  119 704 356,70 ? с кв 1 041 427,90 ?</t>
  </si>
  <si>
    <t>Сообщение кредитора о намерении обратиться в суд с заявлением о банкротстве от 19.10.2020</t>
  </si>
  <si>
    <t>За весь период контрактов 26 шт. на общую сумму НМЦ 35 467 062 274,84 ?</t>
  </si>
  <si>
    <t>2 594</t>
  </si>
  <si>
    <t>"это заказчик", ".", "fk1", "Обороты по клиентам по кварталам (2022г)", "рейтинг заказчиков маркер"</t>
  </si>
  <si>
    <t>ЗА 3 ГОДА ПО 223 ФЗ заключено 6 шт. с объемом НМЦ 880 523 779,89 ? за 1 ГОД ПО 223ФЗ заключено 1  9 922 473,79 ?</t>
  </si>
  <si>
    <t>28.22 Оборудование подъемно-транспортное
30.11.91 Услуги по переоборудованию и восстановлению судов, плавучих платформ и конструкций
30.11.9 Услуги по переоборудованию, восстановлению и оснащению судов, плавучих платформ и конструкций; операции процесса производства судов и плавучих конструкций отдельные, выполняемые субподрядчиком
33.15.10.000 Услуги по ремонту и техническому обслуживанию судов и лодок</t>
  </si>
  <si>
    <t>За весь период заходили в конкурсы  4 раз на общую сумму обеспеченных контрактов с НМЦ 615 202 481,79 ? с БГУ  11 970 414,85 ? с БГИ 65 704 228,58 ?</t>
  </si>
  <si>
    <t>"все клиенты с выручкой от 1,8 млрд до бесконечности", ".", "рейтинг поставщиков в маркере по бг"</t>
  </si>
  <si>
    <t>Заказчик разыгравший 17 конкурсов на сумму  2 866 115 160,66 ?</t>
  </si>
  <si>
    <t>52.10.19.900 Услуги по складированию и хранению прочие, не включенные в другие группировки
50.40.19.900 Услуги по перевозке внутренним водным транспортом прочих грузов, не включенные в другие группировки
50.40.14.000 Услуги по перевозке контейнерных грузов внутренним водным транспортом с помощью судов-контейнеровозов
52.29.12.000 Услуги по фрахтованию судов прочие
50.40.19 Услуги по перевозке грузов внутренним водным транспортом прочие</t>
  </si>
  <si>
    <t>За весь период компания заключила  14 контрактов на сумму  7 979 853 706,41 ?</t>
  </si>
  <si>
    <t>"223 за 3 года", ".",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заказчиков маркер", "производители", "это заказчик"</t>
  </si>
  <si>
    <t>41.20.10.120 Здания общежитий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42.21.22.120 Работы строительные по прокладке местных трубопроводов горячей воды
43.99.90.190 Работы строительные специализированные прочие, не включенные в другие группировки
41.20.40.200 Работы по сохранению и воссозданию нежилых зданий, являющихся объектами культурного наследия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71.11.22.000 Услуги в области архитектуры, связанные с проектами строительства нежилых зданий и сооружений
71.12.12.130 Услуги, связанные с разработкой инженерно-технической проектной документации по консервации, ремонту, реставрации, приспособлению и воссозданию зданий, являющихся объектами культурного наследия
71.12.19.100 Услуги по инженерно-техническому проектированию прочих объектов, кроме объектов культурного наследия ****</t>
  </si>
  <si>
    <t>За весь период компания заключила  60 контрактов на сумму  59 778 588 121,86 ? За весь период заходили в конкурсы  128 раз на общую сумму обеспеченных контрактов с НМЦ 68 265 581 125,61 ? с БГУ  2 345 399 252,39 ? с БГИ 11 410 357 510,54 ? За 3 ГОДА по 44ФЗ заключено 34 шт. с объемом НМЦ  19 057 717 474,05 ? с БГИ 2 833 981 033,89 ? с БГГО 690 301 455,06 ? с авансированием до 1 803 694 317,80 ? с комиссией банку 62 702 508,28 ? с кв 545 511,82 ? ЗА 1 ГОД по 44ФЗ заключено 3 шт. c объемом НМЦ 185 258 304,55 ? с БГИ 14 952 524,46 ? с БГГО 14 952 524,46 ? с авансированием до  0,00 ? с комиссией банку  522 515,94 ? с кв 4 545,89 ?</t>
  </si>
  <si>
    <t>"44 за 3 года", "свод фт", ".", "рейтинг поставщиков в маркере по бг", "Рассрочка КВ Март 2023", "ГРАНДИОЗНЫЙ ПРОЕКТ", "Агентские отказ из-за непред-я док-ов", "fk1", "Агентские одобренные но не выданные от 30.08", "все клиенты с выручкой от 1,8 млрд до бесконечности", "БизФин", "44 фз с с БГ от 10 млн", "рейтинг по нмц маркер", "на фт заводил Синяев", "на фт заводил Глазков И", "на фт заводил Вохмина", "crm управления", "в crm за Синяевым ",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</si>
  <si>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42.91.20.120 Работы строительные по строительству плотин и дамб, включая ремонт
42.11.10.121 Дорога автомобильная с усовершенствованным капитальным типом дорожного покрытия</t>
  </si>
  <si>
    <t>За весь период компания заключила  57 контрактов на сумму  36 628 124 170,76 ? За весь период заходили в конкурсы  102 раз на общую сумму обеспеченных контрактов с НМЦ 43 078 080 800,10 ? с БГУ  1 618 150 780,38 ? с БГИ 8 391 318 611,06 ? За 3 ГОДА по 44ФЗ заключено 23 шт. с объемом НМЦ  8 550 585 955,80 ? с БГИ 1 350 111 074,19 ? с БГГО 74 870 728,26 ? с авансированием до 17 545 308 278,40 ? с комиссией банку 10 444 279,71 ? с кв 90 865,23 ? ЗА 1 ГОД по 44ФЗ заключено 5 шт. c объемом НМЦ 68 697 941,60 ? с БГИ 6 572 294,16 ? с БГГО 449 799,00 ? с авансированием до  0,00 ? с комиссией банку  125 644,31 ? с кв 1 093,11 ?</t>
  </si>
  <si>
    <t>"223 за 3 года", ".", "рейтинг поставщиков в маркере по бг", "ГРАНДИОЗНЫЙ ПРОЕКТ", "рейтинг заказчиков маркер", "рейтинг по нмц маркер", "это заказчик", "поставщики маркер", "44 за 3 года"</t>
  </si>
  <si>
    <t>Сообщение кредитора о намерении обратиться в суд с заявлением о банкротстве от 19.07.2021</t>
  </si>
  <si>
    <t>"все клиенты с выручкой от 1,8 млрд до бесконечности", ".", "портфель 31.10.2021_10 тыс_проверка"</t>
  </si>
  <si>
    <t>63.91.12.000 Услуги информационных агентств, предоставляемые аудиовизуальным средствам массовой информации
73.11.19.000 Услуги рекламные прочие
73.12.19.000 Услуги по продаже прочего места или времени для рекламы за вознаграждение или на договорной основе
43 Работы строительные специализированные</t>
  </si>
  <si>
    <t>"223 за 3 года", ".", "ПСБ Гарантии ", "все клиенты с выручкой от 1,8 млрд до бесконечности", "рейтинг по нмц маркер", "поставщики маркер", "44 за 3 года"</t>
  </si>
  <si>
    <t>71.12.19 Услуги по инженерно-техническому проектированию прочих объектов
42.22.2 Работы строительные по строительству коммунальных объектов для электроснабжения и телекоммуникаций
41.1 Документация проектная для строительства
71.1 Услуги в области архитектуры, инженерно-технического проектирования и связанные технические консультативные услуги
41.2 Здания и работы по возведению зданий
42.2 Сооружения и строительные работы по строительству инженерных коммуникаций
71.12.19.100 Услуги по инженерно-техническому проектированию прочих объектов, кроме объектов культурного наследия
25.30.13.000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43.22.12.110 Работы по монтажу отопительного оборудования (электрического, газового, нефтяного, неэлектрических солнечных коллекторов)
42.21 Сооружения и строительные работы по строительству инженерных коммуникаций для жидкостей и газов ****</t>
  </si>
  <si>
    <t>За весь период компания заключила  29 контрактов на сумму  17 886 020 328,76 ? За весь период заходили в конкурсы  12 раз на общую сумму обеспеченных контрактов с НМЦ 1 324 720 428,37 ? с БГУ  79 354 815,03 ? с БГИ 400 883 185,46 ?                             ЗА 3 ГОДА ПО 223 ФЗ заключено 6 шт. с объемом НМЦ 1 070 223 189,56 ? за 1 ГОД ПО 223ФЗ заключено 3  970 882 690,00 ?</t>
  </si>
  <si>
    <t>"223 за 3 года", "свод фт", ".", "рейтинг поставщиков в маркере по бг", "ушедшие", "все клиенты с выручкой от 1,8 млрд до бесконечности", "223 фз контракты 20+", "производители", "рейтинг по нмц маркер", "на фт заводил Данченко", "на фт заводил Бесков", "поставщики маркер"</t>
  </si>
  <si>
    <t>13.99.19.121 Прокладки женские гигиенические, салфетки и тампоны из ваты из хлопка</t>
  </si>
  <si>
    <t>"поставщики маркер", ".", "fk1", "ПОС на 01.02.2023",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</si>
  <si>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77.32 Услуги по аренде и лизингу строительных машин и оборудования для гражданского строительства
52.21.29 Услуги, связанные с автомобильным транспортом, прочие
38.11.21.000 Услуги по сбору неопасных отходов городского хозяйства, непригодных для повторного использования
49.31.2 Услуги по регулярным перевозкам пассажиров сухопутным транспортом в городском и пригородном сообщении прочие и в прямом смешанном сообщении
49.41.20 Услуги по аренде грузовых транспортных средств с водителем
45.20.12.000 Услуги по ремонту электрооборудования легковых автомобилей и легких грузовых автотранспортных средств
45.20.11.111 Услуги по регламентным работам (по видам технического обслуживания)
49.41.19.900 Услуги по перевозке грузов автомобильным транспортом прочие, не включенные в другие группировки
45.20.1 Услуги по техническому обслуживанию и ремонту легковых автомобилей и легких грузовых автотранспортных средств ****</t>
  </si>
  <si>
    <t>2 787</t>
  </si>
  <si>
    <t>За весь период компания заключила  9 контрактов на сумму  17 853 211 536,81 ?                                     ЗА 3 ГОДА ПО 223 ФЗ заключено 5 шт. с объемом НМЦ 40 456 642,00 ? за 1 ГОД ПО 223ФЗ заключено 5  40 487 362,00 ?</t>
  </si>
  <si>
    <t>"223 за 3 года", ".", "fk1", "все клиенты с выручкой от 1,8 млрд до бесконечности", "223 фз контракты 20+", "рейтинг по нмц маркер", "это заказчик", "поставщики маркер", "44 за 3 года"</t>
  </si>
  <si>
    <t>19.2 Нефтепродукты
19.20.28.120 Мазут флотский
47.99.30 Услуги по осуществлению прямых продаж топлива с доставкой по адресу клиента
19.20.21.400 Топливо судовое
19.20.27.190 Дистилляты средние, не включенные в другие группировки
19.20.21.120 Бензин автомобильный с октановым числом более 92, но не более 95 по исследовательскому методу
46.71.13.120 Услуги по оптовой торговле мазутом
19.20.21.315 Топливо дизельное летнее экологического класса К5
19.20.27.119 Топливо нефтяное дистиллятное прочее, не включенное в другие группировки
19.20.28.113 Мазут с массовой долей серы не более 3,5 % с температурой вспышки в открытом тигле не ниже 90 °C, с содержанием сероводорода не более 10 ppm ****</t>
  </si>
  <si>
    <t>За весь период компания заключила  7 контрактов на сумму  4 496 909 125,42 ?                                     ЗА 3 ГОДА ПО 223 ФЗ заключено 11 шт. с объемом НМЦ 214 702 378,30 ? за 1 ГОД ПО 223ФЗ заключено 3  15 589 399,90 ?</t>
  </si>
  <si>
    <t>"223 за 3 года", "свод фт", ".", "кредиты фт", "Пункт 3 09.01.23", "лимит сит по кредитам", "Участники клиринга", "производители", "рейтинг по нмц маркер", "на фт заводил Ким", "на фт заводил Еприкян", "crm управления", "в crm за Ким", "в crm за Еприкяном", "поставщики маркер"</t>
  </si>
  <si>
    <t>"в crm за Рябовым", ".", "это заказчик", "crm управления"</t>
  </si>
  <si>
    <t>19.20.28.111 Мазут с массовой долей серы не более 3,5 % с температурой вспышки в открытом тигле не ниже 90 °C, с содержанием сероводорода не более 30 ppm, но более 20 ppm
19.20.21.420 Топливо судовое с массовой долей серы 1,5 - 2 % с температурой вспышки в закрытом тигле не ниже 61 °C</t>
  </si>
  <si>
    <t>За весь период компания заключила  9 контрактов на сумму  5 990 378 691,95 ? За весь период заходили в конкурсы  15 раз на общую сумму обеспеченных контрактов с НМЦ 2 726 378 603,33 ? с БГУ  54 678 081,04 ? с БГИ 1 155 348 620,60 ?                             ЗА 3 ГОДА ПО 223 ФЗ заключено 2 шт. с объемом НМЦ 191 520 000,00 ?</t>
  </si>
  <si>
    <t>"223 за 3 года", ".", "рейтинг поставщиков в маркере по бг", "06.2022_ФинХД", "все клиенты с выручкой от 1,8 млрд до бесконечности", "Участники клиринга", "рейтинг по нмц маркер", "поставщики маркер"</t>
  </si>
  <si>
    <t>77.1 Услуги по аренде и лизингу автотранспортных средств
64.91 Услуги по финансовой аренде (лизингу/сублизингу)
77.12 Услуги по аренде и лизингу грузовых транспортных средств
77.12.11 Услуги по аренде и лизингу грузовых транспортных средств без водителя</t>
  </si>
  <si>
    <t>61.10.3 Услуги по передаче данных по проводным телекоммуникационным сетям
61.10.30.190 Услуги по передаче данных по проводным телекоммуникационным сетям прочие
61.20.20.000 Услуги операторов связи в сфере беспроводных телекоммуникаций
61.10.11 Услуги фиксированной телефонной связи - предоставление доступа и телефонные соединения
61 Услуги телекоммуникационные
61.10.4 Услуги телекоммуникационные проводные в информационно-коммуникационной сети Интернет</t>
  </si>
  <si>
    <t>"поставщики маркер", ".", "Пункт 3.1 09.01.2023", "все клиенты с выручкой от 1,8 млрд до бесконечности", "производители", "рейтинг по нмц маркер", "это заказчик"</t>
  </si>
  <si>
    <t>85.4 Услуги по дополнительному образованию</t>
  </si>
  <si>
    <t>1 066</t>
  </si>
  <si>
    <t>27.32.14.111 Кабели силовые с медной жилой на напряжение более 1 кВ
27.32.13.141 Кабели управления</t>
  </si>
  <si>
    <t>28.14.12.110 Краны, клапаны для раковин, моек, биде, унитазов, ванн и аналогичная арматура
23.42.10.130 Раковины керамические
23.42.10.150 Унитазы керамические
22.23.12.140 Изделия санитарно-технические аналогичные пластмассовые
23.42.10.190 Изделия санитарно-технические прочие из керамики</t>
  </si>
  <si>
    <t>"поставщики маркер", ".",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</si>
  <si>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74.90.13.000 Услуги консультативные в области окружающей среды
85.42.19.900 Услуги по профессиональному обучению прочие
70.22.1 Услуги консультативные по вопросам управления деятельностью предприятия
85.23 Услуги по подготовке кадров высшей квалификации
85.41.93.000 Услуги в области дополнительного образования вспомогательные
85.3 Услуги по профессиональному обучению
85.4 Услуги по дополнительному образованию
85.42.1 Услуги по дополнительному профессиональному образованию
85.41.99 Услуги в области дополнительного образования прочие, не включенные в другие группировки
74 Услуги профессиональные, научные и технические, прочие ****</t>
  </si>
  <si>
    <t>За весь период контрактов 5 шт. на общую сумму НМЦ 835 414 413,98 ?</t>
  </si>
  <si>
    <t>21.20.10.132 Гемостатики
21.20.10.234 Препараты противопаркинсонические
21.20.10.229 Препараты для лечения заболеваний опорно-двигательного аппарата другие
21.20 Препараты лекарственные и материалы, применяемые в медицинских целях
21.20.10.233 Препараты противоэпилептические
21.20.23.192 Продукты терапевтические прочие
21.20.10.211 Препараты противоопухолевые</t>
  </si>
  <si>
    <t>За весь период компания заключила  6 контрактов на сумму  7 203 021 349,52 ? За весь период заходили в конкурсы  14 раз на общую сумму обеспеченных контрактов с НМЦ 9 030 638 088,09 ? с БГУ  87 334 187,27 ? с БГИ 871 216 021,29 ? За 3 ГОДА по 44ФЗ заключено 113 шт. с объемом НМЦ  17 856 780 040,20 ? с БГИ 1 776 844 714,42 ? с БГГО 365 713,94 ? с авансированием до 0,00 ? с комиссией банку 17 445 830,08 ? с кв 151 778,72 ? ЗА 1 ГОД по 44ФЗ заключено 56 шт. c объемом НМЦ 2 156 948 402,69 ? с БГИ 209 101 533,07 ? с БГГО 0,00 ? с авансированием до  0,00 ? с комиссией банку  1 181 238,21 ? с кв 10 276,77 ?</t>
  </si>
  <si>
    <t>36.00.20.110 Услуги по очистке и подготовке воды для водоснабжения
35.30.11.120 Энергия тепловая, отпущенная котельными
35.30.11.111 Энергия тепловая, отпущенная тепловыми электроцентралями (ТЭЦ)
35.30.11.110 Энергия тепловая, отпущенная электростанциями
36.00.20.130 Услуги по транспортированию и распределению воды по водопроводам</t>
  </si>
  <si>
    <t>49.41.11.000 Услуги по перевозке автомобильным транспортом грузов в автофургонах-рефрижераторах
49.20.16.000 Услуги железнодорожного транспорта по перевозке сыпучих бестарных грузов
05.10.10.131 Уголь марки Д - длиннопламенный</t>
  </si>
  <si>
    <t>За весь период компания заключила  1 контрактов на сумму  1 176 000 000,00 ?</t>
  </si>
  <si>
    <t>Заказчик разыгравший 11 конкурсов на сумму  1 802 862 953,97 ?</t>
  </si>
  <si>
    <t>10.61.21.113 Мука пшеничная хлебопекарная высшего сорта
10.61.21.114 Мука пшеничная хлебопекарная первого сорта</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</si>
  <si>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35.11.10.112 Электроэнергия, произведенная теплоэлектроцентралями (ТЭЦ) общего назначения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35.30.11.130 Энергия тепловая, отпущенная электрокотлами
35.30.12.110 Услуги по приготовлению воды на нужды горячего водоснабжения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t>
  </si>
  <si>
    <t>За весь период контрактов 2 шт. на общую сумму НМЦ 519 734 987,87 ?</t>
  </si>
  <si>
    <t>46.18.12 Услуги по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за вознаграждение или на договорной основе
10.82.22.139 Конфеты шоколадные, не включенные в другие группировки, прочие</t>
  </si>
  <si>
    <t>Юридическое лицо находится в процессе реорганизации в форме присоединения к другому юридическому лицу от 06.04.2023, Сообщения о принятии решения о реорганизации от 03.04.2023</t>
  </si>
  <si>
    <t>10.82.23.290 Изделия кондитерские сахаристые прочие, не включенные в другие группировки</t>
  </si>
  <si>
    <t>"поставщики маркер", ".", "все клиенты с выручкой от 1,8 млрд до бесконечности", "Участники клиринга", "производители", "рейтинг по нмц маркер", "это заказчик"</t>
  </si>
  <si>
    <t>10.89.19.290 Продукты пищевые прочие, не включенные в другие группировки
10.20.25.120 Пресервы рыбные
10.73.11.110 Макароны
10.82.2 Шоколад и кондитерские сахаристые изделия
10.83 Чай и кофе обработанные
10.52.10 Мороженое
10.61.32.110 Крупа из зерновых культур, не включенная в другие группировки
10.73 Изделия макаронные, кускус и аналогичные мучные изделия
10.51.40.110 Сыры мягкие
46.38 Услуги по оптовой торговле прочими пищевыми продуктами, включая рыбу, ракообразных и моллюсков ****</t>
  </si>
  <si>
    <t>Сообщения о принятии решения о реорганизации от 06.07.2022</t>
  </si>
  <si>
    <t>За год заключили по 223фз 1 контракта(ов) на сумму  14 325 968,42 ?</t>
  </si>
  <si>
    <t>23.51.12.112 Портландцемент с минеральными добавками
23.51 Цемент
23.51.12.140 Портландцементы тампонажные
23.51.12 Портландцемент, цемент глиноземистый, цемент шлаковый и аналогичные гидравлические цементы</t>
  </si>
  <si>
    <t>За весь период компания заключила  4 контрактов на сумму  1 216 877 227,00 ?                                     ЗА 3 ГОДА ПО 223 ФЗ заключено 11 шт. с объемом НМЦ 84 231 603,61 ? за 1 ГОД ПО 223ФЗ заключено 1  9 840 000,00 ?</t>
  </si>
  <si>
    <t>Сообщения о принятии решения о реорганизации от 14.12.2021</t>
  </si>
  <si>
    <t>Сообщение кредитора о намерении обратиться в суд с заявлением о банкротстве от 16.05.2018</t>
  </si>
  <si>
    <t>"поставщики маркер", ".", "ушедшие", "рейтинг по нмц маркер", "это заказчик"</t>
  </si>
  <si>
    <t>20.59.43.120 Антифризы
20.41.43.130 Средства, кремы, мастики для транспортных средств полирующие
19.20.29.119 Масла моторные прочие, не включенные в другие группировки
19.20.29.140 Масла индустриальные
19.20.29.150 Масла компрессорные
19.20.29.111 Масла универсальные
47.30.2 Услуги по розничной торговле смазочными материалами и охлаждающими жидкостями для автотранспортных средств в специализированных магазинах
20.59.43.130 Антиобледенители
19.20.29.130 Масла гидравлические
20.41.32.112 Средства моющие для автомобилей ****</t>
  </si>
  <si>
    <t>30.20.33.112 Полувагоны
28.21.12.000 Печи и камеры промышленные или лабораторные неэлектрические, включая мусоросжигательные печи, кроме хлебопекарных печей</t>
  </si>
  <si>
    <t>ЗА 3 ГОДА ПО 223 ФЗ заключено 4 шт. с объемом НМЦ 137 478 000,00 ? за 1 ГОД ПО 223ФЗ заключено 1  4 350 000,00 ?</t>
  </si>
  <si>
    <t>"223 за 3 года", ".", "fk1", "ПОС на 01.02.2023", "корп 2", "ПОС на 03.04.2023", "Кредитный портфель_01.11", "06.2022_ФинХД", "ФК клиенты с выручкой от 230 до бесконечности", "клиенты от 100 млн", "рейтинг по нмц маркер", "поставщики маркер"</t>
  </si>
  <si>
    <t>10.71.11.111 Хлеб недлительного хранения из пшеничной муки
10.71.11.112 Хлеб недлительного хранения из ржаной и смеси ржаной и пшеничной муки</t>
  </si>
  <si>
    <t>Заказчик разыгравший 36 конкурсов на сумму  21 871 367 975,28 ?</t>
  </si>
  <si>
    <t>"crm Пител", ".", "crm управления"</t>
  </si>
  <si>
    <t>За весь период компания заключила  5 контрактов на сумму  2 548 384 951,36 ?                                     ЗА 3 ГОДА ПО 223 ФЗ заключено 1 шт. с объемом НМЦ 6 065 273 520,00 ?</t>
  </si>
  <si>
    <t>"223 за 3 года", ".", "рейтинг по нмц маркер", "crm управления", "в crm за Досхоевым", "поставщики маркер"</t>
  </si>
  <si>
    <t>"Участники клиринга",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</si>
  <si>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26.20.18.000 Устройства периферийные с двумя или более функциями: печать данных, копирование, сканирование, прием и передача факсимильных сообщений
62.03 Услуги по управлению компьютерным оборудованием
22.23.11.000 Материалы для покрытий пола, стен или потолка пластмассовые в рулонах или в форме плиток
26.20.1 Компьютеры, их части и принадлежности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62.02.30 Услуги по технической поддержке информационных технологий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26.20.14 Машины вычислительные электронные цифровые, поставляемые в виде систем для автоматической обработки данных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t>
  </si>
  <si>
    <t>За весь период компания заключила  18 контрактов на сумму  12 491 178 316,09 ? За весь период заходили в конкурсы  30 раз на общую сумму обеспеченных контрактов с НМЦ 8 799 878 284,39 ? с БГУ  374 749 941,91 ? с БГИ 2 015 581 056,08 ? За 3 ГОДА по 44ФЗ заключено 29 шт. с объемом НМЦ  3 712 937 514,72 ? с БГИ 738 332 091,69 ? с БГГО 104 600 096,21 ? с авансированием до 278 516 438,28 ? с комиссией банку 10 103 824,10 ? с кв 87 903,27 ? ЗА 1 ГОД по 44ФЗ заключено 12 шт. c объемом НМЦ 997 174 619,71 ? с БГИ 184 478 928,70 ? с БГГО 15 870 934,42 ? с авансированием до  196 280 768,28 ? с комиссией банку  1 774 124,89 ? с кв 15 434,89 ? ЗА 3 ГОДА ПО 223 ФЗ заключено 6 шт. с объемом НМЦ 59 880 873,07 ? за 1 ГОД ПО 223ФЗ заключено 1  13 534 833,60 ?</t>
  </si>
  <si>
    <t>"223 за 3 года", ".", "рейтинг поставщиков в маркере по бг", "Гарантии_КИБ_31.03.22_Гиб._", "фб 22.11", "портфель 51", "Конкурсы 100+ (Восстановленный)", "fk1", "Кредитный портфель_01.11", "корп 1", "06.2022_ФинХД", "все клиенты с выручкой от 1,8 млрд до бесконечности", "ФК клиенты с выручкой от 230 до бесконечности", "клиенты от 100 млн", "44 фз с с БГ от 10 млн", "рейтинг по нмц маркер", "поставщики маркер", "44 за 3 года"</t>
  </si>
  <si>
    <t>За весь период компания заключила  3 контрактов на сумму  1 488 348 301,36 ?</t>
  </si>
  <si>
    <t>За весь период контрактов 1 шт. на общую сумму НМЦ 2 000 000 000,00 ?</t>
  </si>
  <si>
    <t>Сообщения о принятии решения о реорганизации от 22.10.2021</t>
  </si>
  <si>
    <t>"рейтинг по нмц маркер", ".", "223 фз контракты 20+"</t>
  </si>
  <si>
    <t>22.22.19.000 Изделия упаковочные пластмассовые прочие
17.21.13.000 Ящики и коробки из гофрированной бумаги или гофрированного картона
22.22.11.000 Мешки и сумки, включая конические, из полимеров этилена
13.92.21.120 Пакеты для упаковки готовых изделий</t>
  </si>
  <si>
    <t>32.50.50.190 Изделия медицинские, в том числе хирургические, прочие, не включенные в другие группировки</t>
  </si>
  <si>
    <t>26.51.51.110 Термометры
28.25.14.119 Оборудование и установки для фильтрования или очистки воздуха прочие
32.50.50.190 Изделия медицинские, в том числе хирургические, прочие, не включенные в другие группировки</t>
  </si>
  <si>
    <t>"в crm за Еприкяном", ".", "crm управления"</t>
  </si>
  <si>
    <t>52.10 Услуги по складированию и хранению
52.10.13 Услуги по хранению зерна</t>
  </si>
  <si>
    <t>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36.00.30.000 Услуги по торговле водой, поставляемой по трубопроводам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35.11.10.115 Электроэнергия, произведенная атомными электростанциями (АЭС) общего назначения
35.30.12.120 Услуги по приготовлению горячей воды с использованием нецентрализованных систем горячего водоснабжения
35.30.22.000 Услуги по снабжению охлажденным воздухом и охлажденной водой ****</t>
  </si>
  <si>
    <t>Заказчик разыгравший 20 конкурсов на сумму  16 643 222 971,41 ?</t>
  </si>
  <si>
    <t>"223 за 3 года", ".", "рейтинг заказчиков маркер", "это заказчик", "crm управления", "в crm за Курилиным", "поставщики маркер"</t>
  </si>
  <si>
    <t>55.10 Услуги гостиниц и аналогичные услуги по предоставлению временного жилья
55.90.19.000 Услуги по предоставлению временного жилья прочие, не включенные в другие группировки
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36.00.11 Вода питьевая
52.22.19.140 Услуги по снабженческому (шипчандлерскому) обслуживанию судов, включая бункеровку судов топливом, обслуживание судов в период стоянки в портах: агентирование судов, обследовательское (сюрвейерское) обслуживание судов
68.20.12.000 Услуги по сдаче в аренду (внаем) собственных или арендованных нежилых помещений
52.29.12.000 Услуги по фрахтованию судов прочие
36.00.20.150 Услуги по перевозке (доставке) населению питьевой воды</t>
  </si>
  <si>
    <t>За весь период заходили в конкурсы  6 раз на общую сумму обеспеченных контрактов с НМЦ 268 423 011,92 ? с БГУ  18 647 008,18 ? с БГИ 135 423 984,36 ?                             ЗА 3 ГОДА ПО 223 ФЗ заключено 7 шт. с объемом НМЦ 301 917 853,96 ?</t>
  </si>
  <si>
    <t>19.20.42.121 Битумы нефтяные дорожные
19.20.42.122 Битумы нефтяные изоляционные
08.12.12.110 Гранулы каменные, крошка и порошок
52.29.20.000 Услуги транспортные вспомогательные прочие, не включенные в другие группировки
08.11.20.111 Известняк битуминозный
08.12.12.140 Щебень
68.20.12.000 Услуги по сдаче в аренду (внаем) собственных или арендованных нежилых помещений
08.11.20.110 Известняк (кроме камня известнякового для строительства и памятников и заполнителя известнякового)</t>
  </si>
  <si>
    <t>За весь период заходили в конкурсы  2 раз на общую сумму обеспеченных контрактов с НМЦ 78 083 330,00 ? с БГУ  7 808 000,00 ? с БГИ 46 849 998,00 ?</t>
  </si>
  <si>
    <t>"44 за 3 года", ".", "рейтинг поставщиков в маркере по бг", "производители", "это заказчик", "поставщики маркер"</t>
  </si>
  <si>
    <t>61.2 Услуги телекоммуникационные беспроводные
61.20.11.000 Услуги подвижной связи общего пользования - обеспечение доступа и поддержка пользователя
62.09.20.190 Услуги по технической поддержке в области информационных технологий прочие, не включенные в другие группировки
61.10.1 Услуги фиксированной телефонной связи
61.10.30.190 Услуги по передаче данных по проводным телекоммуникационным сетям прочие
61.20.20.000 Услуги операторов связи в сфере беспроводных телекоммуникаций
61.20.30.120 Услуги по передаче данных по беспроводным телекоммуникационным сетям
61.20.4 Услуги телекоммуникационные беспроводные в информационно-коммуникационной сети Интернет
73.11.12 Услуги по прямому маркетингу и прямой почтовой рекламе</t>
  </si>
  <si>
    <t>За весь период компания заключила  7 контрактов на сумму  1 560 399 520,80 ? За весь период заходили в конкурсы  1 раз на общую сумму обеспеченных контрактов с НМЦ 638 991,80 ? с БГУ  2 589 840,00 ? с БГИ 25 898 400,01 ?                                 за 1 ГОД ПО 223ФЗ заключено 1  8 000 000,00 ?</t>
  </si>
  <si>
    <t>61.1 Услуги телекоммуникационные проводные
61.2 Услуги телекоммуникационные беспроводные
61.20.11.000 Услуги подвижной связи общего пользования - обеспечение доступа и поддержка пользователя
61.90.10.190 Услуги телекоммуникационные прочие, не включенные в другие группировки
63.99 Услуги информационные прочие, не включенные в другие группировки
63.99.10.190 Услуги информационные автоматизированные компьютерные прочие, не включенные в другие группировки
61.10.11.190 Услуги фиксированной телефонной связи - предоставление доступа и телефонные соединения, прочие
61.20.12.000 Услуги подвижной связи дополнительные
61.20.49.000 Услуги телекоммуникационные беспроводные прочие в информационно-коммуникационной сети Интернет
61.90.10.150 Услуги телекоммуникационные посредством существующих телекоммуникационных соединений ****</t>
  </si>
  <si>
    <t>"в crm за Самаром", "свод фт", ".", "производители", "на фт заводил Самар", "crm управления"</t>
  </si>
  <si>
    <t>23.63.10.000 Бетон, готовый для заливки (товарный бетон)
35.30.12.130 Услуги по транспортированию горячей воды
68.32.13.120 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
36.00.20.130 Услуги по транспортированию и распределению воды по водопроводам</t>
  </si>
  <si>
    <t>ЗА 3 ГОДА ПО 223 ФЗ заключено 4 шт. с объемом НМЦ 44 767 155,80 ? за 1 ГОД ПО 223ФЗ заключено 1  5 967 673,00 ?</t>
  </si>
  <si>
    <t>Сообщения о принятии решения о реорганизации от 31.01.2020</t>
  </si>
  <si>
    <t>"crm Пител", ".", "беники", "производители", "crm управления"</t>
  </si>
  <si>
    <t>43 Работы строительные специализированные
42 Сооружения и строительные работы в области гражданского строительства</t>
  </si>
  <si>
    <t>За весь период компания заключила  10 контрактов на сумму  5 855 199 536,26 ?</t>
  </si>
  <si>
    <t>71.12.19 Услуги по инженерно-техническому проектированию прочих объектов
42.21.1 Коммуникации инженерные для жидкостей и газов
42.21.22.130 Работы строительные по прокладке местных трубопроводов газа и пара</t>
  </si>
  <si>
    <t>За весь период компания заключила  3 контрактов на сумму  2 382 526 029,27 ?                                     ЗА 3 ГОДА ПО 223 ФЗ заключено 4 шт. с объемом НМЦ 133 637 822,00 ?</t>
  </si>
  <si>
    <t>Сообщение кредитора о намерении обратиться в суд с заявлением о банкротстве от 23.03.2021</t>
  </si>
  <si>
    <t>За весь период контрактов 4 шт. на общую сумму НМЦ 2 619 454 317,80 ?</t>
  </si>
  <si>
    <t>На 23.03.2023 13:37 имеются действующие решения ФНС о приостановлении операций по счетам, Сообщение кредитора о намерении обратиться в суд с заявлением о банкротстве от 21.09.2021</t>
  </si>
  <si>
    <t>"в crm за Кашиным", ".", "рейтинг поставщиков в маркере по бг", "рейтинг по нмц маркер", "crm управления"</t>
  </si>
  <si>
    <t>71.12.16.000 Услуги по инженерно-техническому проектированию производственных процессов и производств</t>
  </si>
  <si>
    <t>На 18.04.2023 14:57 имеются действующие решения ФНС о приостановлении операций по счетам, Сообщение кредитора о намерении обратиться в суд с заявлением о банкротстве от 03.11.2020</t>
  </si>
  <si>
    <t>1 186</t>
  </si>
  <si>
    <t>Заказчик разыгравший 5 конкурсов на сумму  1 432 310 965,97 ?</t>
  </si>
  <si>
    <t>На 20.04.2023 15:15 имеются действующие решения ФНС о приостановлении операций по счетам, Сообщение кредитора о намерении обратиться в суд с заявлением о банкротстве от 06.04.2023</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</si>
  <si>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42.11.10.120 Дороги автомобильные, в том числе улично-дорожная сеть, и прочие автомобильные и пешеходные дороги
42.11.10.121 Дорога автомобильная с усовершенствованным капитальным типом дорожного покрытия
52.21.23.000 Услуги по эксплуатации мостов и тоннелей</t>
  </si>
  <si>
    <t>За весь период контрактов 58 шт. на общую сумму НМЦ 79 511 634 816,36 ?</t>
  </si>
  <si>
    <t>Сообщение кредитора о намерении обратиться в суд с заявлением о банкротстве от 09.12.2022</t>
  </si>
  <si>
    <t>"44 за 3 года", ".", "рейтинг поставщиков в маркере по бг", "ГРАНДИОЗНЫЙ ПРОЕКТ", "fk1", "ПОС на 03.04.2023",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"БизФин", "44 фз с с БГ от 10 млн", "производители", "рейтинг по нмц маркер", "поставщики маркер"</t>
  </si>
  <si>
    <t>20.15.10.130 Аммиак
20.13.43.191 Водородкарбонат натрия (бикарбонат натрия)
20.15.33.000 Нитрат аммония
20.15.10.110 Кислота азотная
20.15.10.112 Кислота азотная неконцентрированная в моногидрате</t>
  </si>
  <si>
    <t>За весь период компания заключила  8 контрактов на сумму  430 982 572,71 ? За весь период заходили в конкурсы  3 раз на общую сумму обеспеченных контрактов с НМЦ 325 758 852,30 ? с БГУ  2 316 203,18 ? с БГИ 46 324 063,50 ?                             ЗА 3 ГОДА ПО 223 ФЗ заключено 1 шт. с объемом НМЦ 81 050 000,00 ?</t>
  </si>
  <si>
    <t>38.11.19.000 Услуги по сбору прочих неопасных отходов, пригодных для повторного использования
38.21.2 Услуги по удалению неопасных отходов
38.22.29.000 Услуги по утилизации прочих опасных отходов
38.11.1 Услуги по сбору неопасных отходов, пригодных для повторного использования
38.11.31.000 Отходы неопасные бытовые, непригодные для повторного использования
38.11.21.000 Услуги по сбору неопасных отходов городского хозяйства, непригодных для повторного использования
38.2 Услуги по обработке и утилизации отходов
38.11 Отходы неопасные; услуги по сбору неопасных отходов
38.11.29 Услуги по сбору прочих неопасных отходов, непригодных для повторного использования
38.11.2 Услуги по сбору неопасных отходов, непригодных для повторного использования ****</t>
  </si>
  <si>
    <t>За 3 года по 223ФЗ заключено  20 шт контрактов на сумму 143 635 917,99 ?</t>
  </si>
  <si>
    <t>28.30.40.000 Косилки для газонов, парков или спортивных площадок</t>
  </si>
  <si>
    <t>Сообщения о принятии решения о реорганизации от 23.07.2021</t>
  </si>
  <si>
    <t>09.10 Услуги по добыче нефти и природного газа
09.10.12.190 Услуги, связанные с добычей нефти, газового конденсата и горючего природного газа, прочие
09.10.11.190 Услуги по бурению, связанные с добычей нефти и горючего природного газа, не включенные в другие группировки</t>
  </si>
  <si>
    <t>За весь период контрактов 76 шт. на общую сумму НМЦ 106 602 796 513,96 ?</t>
  </si>
  <si>
    <t>12.00.11 Сигары, сигары с обрезанными концами (черуты), сигариллы (сигары тонкие), сигареты, папиросы, биди, кретек из табака или заменителей табака</t>
  </si>
  <si>
    <t>ЗА 3 ГОДА ПО 223 ФЗ заключено 6 шт. с объемом НМЦ 35 920 686,60 ?</t>
  </si>
  <si>
    <t>71.12.40.120 Услуги в области метрологии
80.20 Услуги систем обеспечения безопасности
71.12 Услуги в области инженерно-технического проектирования и связанные технические консультативные услуги
41.20.20.310 Сооружения нефтехимических предприятий</t>
  </si>
  <si>
    <t>3 278</t>
  </si>
  <si>
    <t>За весь период компания заключила  11 контрактов на сумму  2 769 936 685,02 ?                                     ЗА 3 ГОДА ПО 223 ФЗ заключено 6 шт. с объемом НМЦ 432 334 797,37 ? за 1 ГОД ПО 223ФЗ заключено 1  134 963 547,37 ?</t>
  </si>
  <si>
    <t>"223 за 3 года", ".", "fk1", "корп 2",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"производители", "рейтинг по нмц маркер", "поставщики маркер"</t>
  </si>
  <si>
    <t>52.10.12.110 Услуги по хранению и складированию нефти и продуктов ее переработки
19.20.21.321 Топливо дизельное зимнее вне классов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19.20.21.120 Бензин автомобильный с октановым числом более 92, но не более 95 по исследовательскому методу
19.20.21.135 Бензин автомобильный с октановым числом более 95, но не более 98 по исследовательскому методу экологического класса К5 ****</t>
  </si>
  <si>
    <t>За весь период компания заключила  8 контрактов на сумму  521 993 860,33 ?         За 3 ГОДА по 44ФЗ заключено 436 шт. с объемом НМЦ  480 740 187,63 ? с БГИ 37 343 086,51 ? с БГГО 341 265,85 ? с авансированием до 45 104 547,35 ? с комиссией банку 241 863,31 ? с кв 2 104,21 ?               ЗА 3 ГОДА ПО 223 ФЗ заключено 50 шт. с объемом НМЦ 348 449 861,19 ? за 1 ГОД ПО 223ФЗ заключено 12  8 194 473,50 ?</t>
  </si>
  <si>
    <t>Сообщение кредитора о намерении обратиться в суд с заявлением о банкротстве от 03.10.2022</t>
  </si>
  <si>
    <t>45.20.21.111 Услуги по регламентным работам (по видам технического обслуживания)
45.1 Услуги по торговле автотранспортными средствами</t>
  </si>
  <si>
    <t>"клиенты от 100 млн", ".", "fk1", "Кредитный портфель_01.11", "корп 1", "06.2022_ФинХД", "клиенты с в от100млн 09.21", "все клиенты с выручкой от 1,8 млрд до бесконечности", "ФК клиенты с выручкой от 230 до бесконечности"</t>
  </si>
  <si>
    <t>77.11.10.000 Услуги по аренде и лизингу легковых автомобилей и легких автотранспортных средств
77.31.10.000 Услуги по аренде и лизингу сельскохозяйственных машин и оборудования</t>
  </si>
  <si>
    <t>ЗА 3 ГОДА ПО 223 ФЗ заключено 2 шт. с объемом НМЦ 43 605 624,48 ?</t>
  </si>
  <si>
    <t>Сообщение кредитора о намерении обратиться в суд с заявлением о банкротстве от 31.10.2022</t>
  </si>
  <si>
    <t>"223 за 3 года", ".", "Гарантии_КИБ_31.03.22_Гиб._", "fk1", "Кредитный портфель_01.11", "корп 1", "06.2022_ФинХД", "все клиенты с выручкой от 1,8 млрд до бесконечности", "ФК клиенты с выручкой от 230 до бесконечности", "клиенты от 100 млн"</t>
  </si>
  <si>
    <t>Сообщение кредитора о намерении обратиться в суд с заявлением о банкротстве от 10.07.2020</t>
  </si>
  <si>
    <t>"поставщики маркер", ".", "fk1", "Кредитный портфель_01.11",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"Участники клиринга", "производители", "это заказчик"</t>
  </si>
  <si>
    <t>81.10.10 Услуги по комплексному обслуживанию помещений
33.1 Услуги по ремонту металлоизделий, машин и оборудования
43.39 Работы завершающие и отделочные в зданиях и сооружениях, прочие
81.2 Услуги по чистке и уборке
41.2 Здания и работы по возведению зданий
43.39.19.190 Работы завершающие и отделочные в зданиях и сооружениях, прочие, не включенные в другие группировки
43.22.12 Работы по монтажу систем отопления, вентиляции и кондиционирования воздуха
43.2 Работы электромонтажные, работы по монтажу водопроводных и канализационных систем и прочие строительно-монтажные работы
33.20.29 Услуги по монтажу прочего оборудования общего назначения, не включенного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t>
  </si>
  <si>
    <t>1 584</t>
  </si>
  <si>
    <t>За весь период компания заключила  43 контрактов на сумму  7 508 501 756,25 ? За весь период заходили в конкурсы  1 раз на общую сумму обеспеченных контрактов с НМЦ 46 400 000,00 ? с БГУ  3 500 000,00 ? с БГИ 7 000 000,00 ?</t>
  </si>
  <si>
    <t>02.20.14.117 Дрова березовые
02.20.14.112 Дрова еловые
02.20.14.113 Дрова из лиственницы
02.20.14.114 Дрова кедровые
02.20.14.118 Дрова осиновые
08.12.12.140 Щебень
02.20.14.111 Дрова сосновые
02.20.14.115 Дрова пихтовые</t>
  </si>
  <si>
    <t>За весь период контрактов 8 шт. с общей суммой НМЦ 937 051 635,00 ? с БГУ 55799187,2 и БГИ 223 701 107,20 ?</t>
  </si>
  <si>
    <t>"223 за 3 года", ".", "рейтинг поставщиков в маркере по бг", "рейтинг заказчиков маркер", "это заказчик", "поставщики маркер"</t>
  </si>
  <si>
    <t>46.12.11.000 Услуги по оптовой торговле твердым, жидким и газообразным топливом и связанными продуктами за вознаграждение или на договорной основе
49.20 Услуги железнодорожного транспорта по перевозке грузов
50.40.22 Услуги по буксировке и маневровые услуги на внутреннем водном транспорте
52.22.19 Услуги, связанные с водным транспортом, прочие
49.20.13.000 Услуги железнодорожного транспорта по перевозке жидких и газообразных грузов в массе (наливом) в вагонах-цистернах
52.21.19.130 Услуги железнодорожных перегрузочных товарных станций
52.29.20.000 Услуги транспортные вспомогательные прочие, не включенные в другие группировки
52.22.19.142 Услуги по снабженческому (шипчандлерскому) обслуживанию судов, включая бункеровку судов топливом, обслуживание судов в период стоянки в портах: агентирование судов, обследовательское (сюрвейерское) обслуживание судов на морском транспорте
50.20.22 Услуги буксировочные и маневровые, оказываемые судами заграничного и каботажного плавания
46.12.12.120 Услуги по оптовой торговле металлами в первичных формах за вознаграждение или на договорной основе ****</t>
  </si>
  <si>
    <t>За весь период контрактов 19 шт. на общую сумму НМЦ 31 270 364 776,82 ?</t>
  </si>
  <si>
    <t>"поставщики маркер", ".", "рейтинг поставщиков в маркере по бг", "Участники клиринга", "рейтинг заказчиков маркер", "рейтинг по нмц маркер", "это заказчик"</t>
  </si>
  <si>
    <t>10.1 Мясо и мясо птицы, прочие продукты убоя. Мясные пищевые продукты, включая продукты из мяса птицы
10.13.14.710 Полуфабрикаты мясные охлажденные, замороженные
10.89.19.290 Продукты пищевые прочие, не включенные в другие группировки
10.11.31.140 Субпродукты пищевые крупного рогатого скота замороженные
10.13.14.612 Продукты из мяса свиные
10.13.14.715 Полуфабрикаты мясные крупнокусковые замороженные
10.13.14.111 Колбасы (колбаски) вареные мясные
10.11.31.110 Говядина замороженная
10.11.32.110 Свинина замороженная
10.13.14.718 Полуфабрикаты мясные в тесте замороженные ****</t>
  </si>
  <si>
    <t>"223 за 3 года", ".", "производители", "это заказчик", "crm управления", "crm Пител"</t>
  </si>
  <si>
    <t>71.12.3 Услуги в области геологических, геофизических и взаимосвязанных изыскательных работ и консультативные услуги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71.12.19.100 Услуги по инженерно-техническому проектированию прочих объектов, кроме объектов культурного наследия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43.12.11.190 Работы земляные прочие, не включенные в другие группировки
71.12.12.190 Услуги по инженерно-техническому проектированию зданий прочие, не включенные в другие группировки
42.21.22.110 Работы строительные по прокладке местных трубопроводов воды или сточных вод ****</t>
  </si>
  <si>
    <t>За весь период компания заключила  8 контрактов на сумму  6 082 443 438,01 ? За весь период заходили в конкурсы  17 раз на общую сумму обеспеченных контрактов с НМЦ 7 578 544 737,01 ? с БГУ  285 079 842,24 ? с БГИ 2 104 723 948,05 ?</t>
  </si>
  <si>
    <t>"44 за 3 года", "кл фт прямые ВКЛ/РКО 04.22", "кл фт прямые бг 04.22", "свод фт", ".", "рейтинг поставщиков в маркере по бг", "Евразия(Заболотний)_n (22)", "fk1", "кредиты фт", "ИНН 3 года - нет КД БГ на 01.10.22", "портфель 31.10.2021_10 тыс_проверка", "Евразия_июлль-август 2019", "Премия 4 кв 22 г.бг", "Банкроты ФБ 28.04.2023", "06.2022_ФинХД", "Ссуды ФБ 29.04.2022 банкр.", "АИЛ портфель", "Пункт 3 09.01.23", "лимит сит по кредитам", "Действующий клиент мсб с выр от 30 млн на 05.21", "все клиенты с выручкой от 1,8 млрд до бесконечности", "филиал бизнес 01.03.22", "филиал бизнес 22.11", "ФК клиенты с выручкой от 230 до бесконечности", "клиенты от 100 млн", "ФТ клиенты с продуктами по сотрудникам", "рейтинг заказчиков маркер", "производители", "рейтинг по нмц маркер", "это заказчик", "на фт заводил Шумлин", "на фт заводил Пейсахова", "на фт заводил Абияев", "поставщики маркер"</t>
  </si>
  <si>
    <t>35.30.11.111 Энергия тепловая, отпущенная тепловыми электроцентралями (ТЭЦ)
17.21.1 Бумага и картон гофрированные и тара бумажная и картонная
35.30.11.110 Энергия тепловая, отпущенная электростанциями
35.30.11.112 Энергия тепловая, отпущенная атомными электростанциями (АЭС)
35.30.11.119 Энергия тепловая, отпущенная прочими электростанциями</t>
  </si>
  <si>
    <t>ЗА 3 ГОДА ПО 223 ФЗ заключено 2 шт. с объемом НМЦ 148 000 000,00 ? за 1 ГОД ПО 223ФЗ заключено 1  40 000 000,00 ?</t>
  </si>
  <si>
    <t>10.41.41.112 Жмых и остатки кормовые твердые прочие, полученные при экстракции соевого масла
10.41.2 Масла растительные и их фракции нерафинированные
10.41.41.110 Жмых и остатки твердые прочие, полученные при экстракции соевого масла
10.91.10.290 Корма для сельскохозяйственных животных прочие
10.41.41.139 Жмых и остатки твердые, полученные при экстракции рапсового масла, прочие
46 Услуги по оптовой торговле, кроме оптовой торговли автотранспортными средствами и мотоциклами
10.41.41.111 Жмых и остатки пищевые твердые прочие, полученные при экстракции соевого масла</t>
  </si>
  <si>
    <t>ЗА 3 ГОДА ПО 223 ФЗ заключено 5 шт. с объемом НМЦ 99 873 363,64 ? за 1 ГОД ПО 223ФЗ заключено 3  98 790 909,09 ?</t>
  </si>
  <si>
    <t>"223 за 3 года", ".", "Конкурсы 100+ (Восстановленный)", "fk1", "все клиенты с выручкой от 1,8 млрд до бесконечности", "223 фз контракты 20+", "рейтинг по нмц маркер", "поставщики маркер"</t>
  </si>
  <si>
    <t>"поставщики маркер", ".", "fk1", "все клиенты с выручкой от 1,8 млрд до бесконечности", "ФК клиенты с выручкой от 230 до бесконечности", "это заказчик"</t>
  </si>
  <si>
    <t>19.20.28.112 Мазут с массовой долей серы не более 3,5 % с температурой вспышки в открытом тигле не ниже 90 °C, с содержанием сероводорода не более 20 ppm, но более 10 ppm
19.20.21.200 Бензин авиационный
19.20.21 Топливо моторное, включая автомобильный и авиационный бензин
19.20.21.100 Бензин автомобильный
19.20.28.111 Мазут с массовой долей серы не более 3,5 % с температурой вспышки в открытом тигле не ниже 90 °C, с содержанием сероводорода не более 30 ppm, но более 20 ppm
19.20.42.121 Битумы нефтяные дорожные
19.20.2 Топливо жидкое и газообразное; масла смазочные
19.20.21.300 Топливо дизельное
19.20.25.113 Топливо для реактивных двигателей летательных аппаратов с дозвуковой скоростью полета марки РТ
19.20.28.113 Мазут с массовой долей серы не более 3,5 % с температурой вспышки в открытом тигле не ниже 90 °C, с содержанием сероводорода не более 10 ppm ****</t>
  </si>
  <si>
    <t>За весь период компания заключила  10 контрактов на сумму  5 687 965 713,53 ? За весь период заходили в конкурсы  12 раз на общую сумму обеспеченных контрактов с НМЦ 5 341 162 399,27 ? с БГУ  21 688 250,63 ? с БГИ 91 460 394,78 ?                             ЗА 3 ГОДА ПО 223 ФЗ заключено 35 шт. с объемом НМЦ 63 573 423 530,15 ? за 1 ГОД ПО 223ФЗ заключено 3  191 719 480,00 ?</t>
  </si>
  <si>
    <t>"223 за 3 года", ".", "рейтинг поставщиков в маркере по бг", "Гарантии_КИБ_31.03.22_Гиб._", "Конкурсы 100+ (Восстановленный)", "fk1", "корп 2", "Кредитный портфель_01.11", "06.2022_ФинХД", "все клиенты с выручкой от 1,8 млрд до бесконечности", "ФК клиенты с выручкой от 230 до бесконечности", "клиенты от 100 млн", "Участники клиринга", "223 фз контракты 20+", "рейтинг по нмц маркер", "поставщики маркер", "44 за 3 года"</t>
  </si>
  <si>
    <t>33.14.19.000 Услуги по ремонту и техническому обслуживанию прочего профессионального электрического оборудования
33.12.19.000 Услуги по ремонту и техническому обслуживанию прочего оборудования общего назначения, не включенного в другие группировки</t>
  </si>
  <si>
    <t>За весь период компания заключила  3 контрактов на сумму  833 922 745,65 ?                                     ЗА 3 ГОДА ПО 223 ФЗ заключено 3 шт. с объемом НМЦ 23 465 001,30 ? за 1 ГОД ПО 223ФЗ заключено 1  5 459 844,20 ?</t>
  </si>
  <si>
    <t>"Обороты по клиентам по кварталам (2022г)", ".", "инн Ленинградка", "fk1", "клиенты с в от100млн 09.21", "все клиенты с выручкой от 1,8 млрд до бесконечности", "ФК клиенты с выручкой от 230 до бесконечности"</t>
  </si>
  <si>
    <t>35.30.11.120 Энергия тепловая, отпущенная котельными
68.10.15.000 Услуги по покупке и продаже пустующей земли, предназначенной для застройки нежилыми зданиями
93.29.29.000 Услуги зрелищно-развлекательные, не включенные в другие группировки</t>
  </si>
  <si>
    <t>1 053</t>
  </si>
  <si>
    <t>20.59.5 Продукты химические прочие
20.12.21.110 Красители органические синтетические и составы на их основе</t>
  </si>
  <si>
    <t>19.2 Нефтепродукты
46.71 Услуги по оптовой торговле твердым, жидким и газообразным топливом и связанными продуктами
46.71.12.000 Услуги по оптовой торговле моторным топливом, включая авиационный бензин
19.20.21 Топливо моторное, включая автомобильный и авиационный бензин
19.20.42.121 Битумы нефтяные дорожные
19.20.21.315 Топливо дизельное летнее экологического класса К5
19.20.21.322 Топливо дизельное зимнее экологического класса К2
19.20.21.345 Топливо дизельное межсезонное экологического класса К5
19.20.24 Керосин
19.20.2 Топливо жидкое и газообразное; масла смазочные ****</t>
  </si>
  <si>
    <t>За весь период компания заключила  29 контрактов на сумму  1 483 733 949,59 ? За весь период заходили в конкурсы  1 раз на общую сумму обеспеченных контрактов с НМЦ 66 047 990,40 ? с БГУ  3 439 999,50 ? с БГИ 6 879 999,00 ?                             ЗА 3 ГОДА ПО 223 ФЗ заключено 4 шт. с объемом НМЦ 500 859 805,51 ?</t>
  </si>
  <si>
    <t>"223 за 3 года", "свод фт", ".", "рейтинг поставщиков в маркере по бг", "ГРАНДИОЗНЫЙ ПРОЕКТ 223",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"Участники клиринга", "рейтинг по нмц маркер", "на фт заводил Алиев", "поставщики маркер", "44 за 3 года"</t>
  </si>
  <si>
    <t>19.20.21.341 Топливо дизельное межсезонное вне классов
19.20.21.321 Топливо дизельное зимнее вне классов
19.20.21.100 Бензин автомобильный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19.20.21.115 Бензин автомобильный с октановым числом не менее 80, но не более 92 по исследовательскому методу экологического класса К5
19.20.21.300 Топливо дизельное
19.20.21.325 Топливо дизельное зимнее экологического класса К5 ****</t>
  </si>
  <si>
    <t>"223 за 3 года", ".",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 "производители", "поставщики маркер", "44 за 3 года"</t>
  </si>
  <si>
    <t>19.20.22 Топливо реактивное бензинового типа
19.2 Нефтепродукты
19.20.21.200 Бензин авиационный
19.20.21 Топливо моторное, включая автомобильный и авиационный бензин
19.20.21.100 Бензин автомобильный
19.20.21.310 Топливо дизельное летнее
19.20.28.111 Мазут с массовой долей серы не более 3,5 % с температурой вспышки в открытом тигле не ниже 90 °C, с содержанием сероводорода не более 30 ppm, но более 20 ppm
19.20.21.125 Бензин автомобильный с октановым числом более 92, но не более 95 по исследовательскому методу экологического класса К5
20.14.12.142 Толуол каменноугольный
19.20.21.135 Бензин автомобильный с октановым числом более 95, но не более 98 по исследовательскому методу экологического класса К5 ****</t>
  </si>
  <si>
    <t>За весь период компания заключила  56 контрактов на сумму  21 389 232 865,56 ? За весь период заходили в конкурсы  33 раз на общую сумму обеспеченных контрактов с НМЦ 3 691 479 690,93 ? с БГУ  124 586 542,36 ? с БГИ 825 779 853,95 ?                             ЗА 3 ГОДА ПО 223 ФЗ заключено 2 шт. с объемом НМЦ 54 337 500,00 ?</t>
  </si>
  <si>
    <t>Сообщение кредитора о намерении обратиться в суд с заявлением о банкротстве от 14.10.2020</t>
  </si>
  <si>
    <t>"223 за 3 года", "свод фт", ".", "рейтинг поставщиков в маркере по бг", "fk1", "Кредитный портфель_01.11", "06.2022_ФинХД", "клиенты с в от100млн 09.21", "лимит сит по кредитам",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 "производители", "рейтинг по нмц маркер", "на фт заводил Шутов", "на фт заводил Морозова", "на фт заводил Алиев",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</si>
  <si>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17.12.11.110 Бумага газетная в рулонах
17.12.11 Бумага газетная в рулонах или листах</t>
  </si>
  <si>
    <t>ЗА 3 ГОДА ПО 223 ФЗ заключено 8 шт. с объемом НМЦ 93 534 400,00 ? за 1 ГОД ПО 223ФЗ заключено 2  8 472 000,00 ?</t>
  </si>
  <si>
    <t>"223 за 3 года", ".", "все клиенты с выручкой от 1,8 млрд до бесконечности", "производители", "рейтинг по нмц маркер", "это заказчик", "44 за 3 года"</t>
  </si>
  <si>
    <t>29.10.59.160 Автомобили скорой медицинской помощи
29.10.30.119 Автобусы, имеющие технически допустимую максимальную массу более 5 т, прочие
29.10.30.111 Автобусы, предназначенные для перевозки стоящих и сидящих пассажиров, имеющие технически допустимую максимальную массу более 5 т</t>
  </si>
  <si>
    <t>За весь период компания заключила  18 контрактов на сумму  1 138 095 000,00 ? За весь период заходили в конкурсы  5 раз на общую сумму обеспеченных контрактов с НМЦ 296 600 000,00 ? с БГУ  0,00 ? с БГИ 29 660 000,00 ?</t>
  </si>
  <si>
    <t>Юридическое лицо находится в процессе реорганизации в форме присоединения к нему других юридических лиц от 22.02.2023, Сообщения о принятии решения о реорганизации от 28.02.2023</t>
  </si>
  <si>
    <t>"рейтинг по нмц маркер", ".", "рейтинг поставщиков в маркере по бг", "производители"</t>
  </si>
  <si>
    <t>1 230</t>
  </si>
  <si>
    <t>3 794</t>
  </si>
  <si>
    <t>"это заказчик", ".",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</si>
  <si>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24.41.10 Серебро необработанное или полуобработанное, или в виде порошка
24.4 Металлы основные драгоценные и цветные прочие; топливо ядерное переработанное
24.41.10.130 Серебро полуобработанное
19.20.2 Топливо жидкое и газообразное; масла смазочные</t>
  </si>
  <si>
    <t>"поставщики маркер", ".", "fk1", "06.2022_ФинХД", "закрыли счет",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</si>
  <si>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22.21.30.130 Полосы (ленты) пластмассовые, неармированные или не комбинированные с другими материалами
14.19.43.150 Уборы головные прочие, кроме головных уборов из резины или пластмасс, защитных головных уборов и головных уборов из асбеста, не включенные в другие группировки
14.14.30.110 Футболки трикотажные или вязаные
32.50.13.190 Инструменты и приспособления, применяемые в медицинских целях, прочие, не включенные в другие группировки
32.99.11.112 Противогазы изолирующие
32.99.11.113 Противогазы шланговые
32.99.11.170 Средства защиты органов слуха
22.19.60.112 Перчатки резиновые технические
22.19.72.000 Покрытия и коврики напольные из вулканизированной резины, кроме пористой
14.12.11.120 Костюмы мужские производственные и профессиональные ****</t>
  </si>
  <si>
    <t>16.10.21.121 Пиломатериалы профилированные из дуба
22.23.11.000 Материалы для покрытий пола, стен или потолка пластмассовые в рулонах или в форме плиток
24.42.22.139 Профили прочие из алюминия или алюминиевых сплавов
13.93.19.120 Покрытия текстильные напольные прочие (включая войлочные)
71.12.20.190 Услуги по руководству строительными проектами прочие
16.23.19.000 Изделия деревянные строительные и столярные, не включенные в другие группировки
43.21.10.130 Работы по монтажу сетей электроосвещения и электроснабжения и электроарматуры для систем аварийного электроснабжения
41.20.40.900 Работы строительные по возведению нежилых зданий и сооружений прочие, не включенные в другие группировки
23.31.10.122 Плитки керамические для полов
22.23.15.000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t>
  </si>
  <si>
    <t>"223 за 3 года", "свод фт", ".", "рейтинг поставщиков в маркере по бг", "все клиенты с выручкой от 1,8 млрд до бесконечности", "рейтинг по нмц маркер", "на фт заводил Еприкян", "поставщики маркер", "44 за 3 года"</t>
  </si>
  <si>
    <t>29.32.30.239 Узлы и детали кабин (кузовов), не включенные в другие группировки
29.10.41.120 Автосамосвалы с дизельным двигателем
28.92.25.000 Погрузчики фронтальные одноковшовые самоходные
29.10.41.123 Автосамосвалы с дизельным двигателем, имеющие технически допустимую максимальную массу свыше 12 т
29.10.51.000 Автокраны</t>
  </si>
  <si>
    <t>"поставщики маркер", ".", "fk1", "Пункт 3 09.01.23", "все клиенты с выручкой от 1,8 млрд до бесконечности", "ФК клиенты с выручкой от 230 до бесконечности", "Обороты по клиентам по кварталам (2022г)"</t>
  </si>
  <si>
    <t>Кредитный портфель_01.2758</t>
  </si>
  <si>
    <t>10.72.12 Печенье и пряники имбирные и аналогичные изделия; печенье сладкое; вафли и вафельные облатки; торты и пирожные длительного хранения
10.82.22.112 Шоколад молочный в упакованном виде
10.82.23.149 Конфеты, глазированные помадой, сахарной и жировой глазурью и неглазированные прочие, не включенные в другие группировки
10.72.12.120 Печенье сладкое
10.82.22.111 Шоколад обыкновенный в упакованном виде
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10.82.23.143 Конфеты неглазированные грильяжные, марципановые, ореховые и на шоколадной основе
10.82.2 Шоколад и кондитерские сахаристые изделия
10.82.22.119 Шоколад в упакованном виде прочий, не включенный в другие группировки ****</t>
  </si>
  <si>
    <t>47.76.20.000 Услуги по розничной торговле домашними животными и кормами для домашних животных в специализированных магазинах
21.20.21.130 Вакцины и анатоксины, применяемые в ветеринарии</t>
  </si>
  <si>
    <t>"223 за 3 года", ".", "портфель 31.10.2021_10 тыс_проверка", "все клиенты с выручкой от 1,8 млрд до бесконечности", "БизФин"</t>
  </si>
  <si>
    <t>За весь период компания заключила  12 контрактов на сумму  7 076 761 726,32 ?</t>
  </si>
  <si>
    <t>41.20.10.120 Здания общежитий
41.20.40.900 Работы строительные по возведению нежилых зданий и сооружений прочие, не включенные в другие группировки
41.10.10.000 Документация проектная для строительства
71.12.20.120 Услуги по авторскому и техническому надзору при проведении работ по сохранению и воссозданию объекта культурного наследия
71.12.12.190 Услуги по инженерно-техническому проектированию зданий прочие, не включенные в другие группировки</t>
  </si>
  <si>
    <t>Сообщение кредитора о намерении обратиться в суд с заявлением о банкротстве от 29.06.2020</t>
  </si>
  <si>
    <t>"44 за 3 года", "свод фт", ".", "рейтинг поставщиков в маркере по бг", "компании Герберта", "ГРАНДИОЗНЫЙ ПРОЕКТ", "все клиенты с выручкой от 1,8 млрд до бесконечности", "44 фз с с БГ от 10 млн", "рейтинг по нмц маркер", "на фт заводил Пител", "поставщики маркер"</t>
  </si>
  <si>
    <t>62.01 Продукты программные и услуги по разработке и тестированию программного обеспечения
58.29 Услуги по изданию прочего программного обеспечения
58.29.12 Обеспечение программное сетевое на электронном носителе
62 Продукты программные и услуги по разработке программного обеспечения; консультационные и аналогичные услуги в области информационных технологий
58.29.2 Обеспечение программное прикладное на электронном носителе
58.29.50.000 Услуги по предоставлению лицензий на право использовать компьютерное программное обеспечение</t>
  </si>
  <si>
    <t>26.40.44.000 Аппаратура приемная для радиотелефонной или радиотелеграфной связи, не включенная в другие группировки
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26.20.16.150 Сканеры
26.51.43.116 Приборы цифровые электроизмерительные комбинированные
26.51.64.190 Приборы для измерения параметров движения и количества прочие
26.80.13.000 Носители данных прочие, включая матрицы и основы для производства дисков
26.20.18.000 Устройства периферийные с двумя или более функциями: печать данных, копирование, сканирование, прием и передача факсимильных сообщений
26.20.4 Блоки, части и принадлежности вычислительных машин
26.20.91.000 Услуги по производству компьютеров и периферийного оборудования
26.40.32.190 Аппаратура для записи звука прочая ****</t>
  </si>
  <si>
    <t>За весь период контрактов 28 шт. на общую сумму НМЦ 4 615 878 345,77 ?</t>
  </si>
  <si>
    <t>"223 за 3 года", ".", "рейтинг поставщиков в маркере по бг", "ГРАНДИОЗНЫЙ ПРОЕКТ", "fk1", "все клиенты с выручкой от 1,8 млрд до бесконечности", "ФК клиенты с выручкой от 230 до бесконечности", "223 фз контракты 20+", "44 фз с с БГ от 10 млн", "производители", "рейтинг по нмц маркер", "это заказчик", "поставщики маркер", "44 за 3 года"</t>
  </si>
  <si>
    <t>26.20.16.150 Сканеры
26.51.43.120 Системы информационные электроизмерительные, комплексы измерительно-вычислительные и установки для измерения электрических и магнитных величин
27.12.10 Устройства для коммутации или защиты электрических цепей на напряжение более 1 кВ
27.3 Кабели и арматура кабельная
26.20.18 Устройства периферийные с двумя или более функциями: печать данных, копирование, сканирование, прием и передача факсимильных сообщений
26.20.91.000 Услуги по производству компьютеров и периферийного оборудования
26.30.11.150 Средства связи радиоэлектронные
26.30.50.120 Приборы и аппаратура для систем автоматического пожаротушения и пожарной сигнализации
46.14.1 Услуги по оптовой торговле машинами, производственным оборудованием, судами и летательными аппаратами за вознаграждение или на договорной основе
46.14.11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 ****</t>
  </si>
  <si>
    <t>За весь период компания заключила  140 контрактов на сумму  25 834 148 273,52 ? За весь период заходили в конкурсы  153 раз на общую сумму обеспеченных контрактов с НМЦ 18 232 549 681,92 ? с БГУ  868 197 820,54 ? с БГИ 4 087 014 262,38 ? За 3 ГОДА по 44ФЗ заключено 387 шт. с объемом НМЦ  2 850 710 313,51 ? с БГИ 383 678 221,98 ? с БГГО 83 009 001,37 ? с авансированием до 125 053 013,15 ? с комиссией банку 2 362 619,62 ? с кв 20 554,79 ? ЗА 1 ГОД по 44ФЗ заключено 69 шт. c объемом НМЦ 574 010 303,32 ? с БГИ 91 353 833,60 ? с БГГО 30 017 240,35 ? с авансированием до  125 053 013,15 ? с комиссией банку  1 154 352,00 ? с кв 10 042,86 ? ЗА 3 ГОДА ПО 223 ФЗ заключено 262 шт. с объемом НМЦ 1 452 209 921,70 ? за 1 ГОД ПО 223ФЗ заключено 42  982 801 973,60 ?</t>
  </si>
  <si>
    <t>"223 за 3 года", ".", "рейтинг поставщиков в маркере по бг", "Конкурсы 100+ (Восстановленный)", "fk1", "все клиенты с выручкой от 1,8 млрд до бесконечности", "ФК клиенты с выручкой от 230 до бесконечности", "223 фз контракты 20+", "44 фз с с БГ от 10 млн", "рейтинг заказчиков маркер", "производители", "рейтинг по нмц маркер", "это заказчик", "поставщики маркер", "44 за 3 года"</t>
  </si>
  <si>
    <t>55.10 Услуги гостиниц и аналогичные услуги по предоставлению временного жилья
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93.21.10.000 Услуги парков культуры и отдыха и тематических парков</t>
  </si>
  <si>
    <t>"поставщики маркер", ".", "Пункт 3.1 09.01.2023", "производители", "рейтинг по нмц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</si>
  <si>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41.20.40.900 Работы строительные по возведению нежилых зданий и сооружений прочие, не включенные в другие группировки
42.11.10.110 Автомагистрали, кроме надземных автодорог (эстакад)
42.11.10.120 Дороги автомобильные, в том числе улично-дорожная сеть, и прочие автомобильные и пешеходные дороги
42.13.20.100 Работы строительные по строительству мостов и тоннелей, кроме работ по сохранению и воссозданию объектов культурного наследия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52.21.23.000 Услуги по эксплуатации мостов и тоннелей</t>
  </si>
  <si>
    <t>1 345</t>
  </si>
  <si>
    <t>За весь период компания заключила  128 контрактов на сумму  103 819 778 335,07 ? За весь период заходили в конкурсы  285 раз на общую сумму обеспеченных контрактов с НМЦ 119 487 387 172,15 ? с БГУ  5 300 480 173,60 ? с БГИ 21 893 450 333,40 ? За 3 ГОДА по 44ФЗ заключено 81 шт. с объемом НМЦ  46 474 017 345,49 ? с БГИ 9 531 275 043,63 ? с БГГО 158 302 688,67 ? с авансированием до 8 347 200 418,82 ? с комиссией банку 193 632 554,02 ? с кв 1 684 603,22 ? ЗА 1 ГОД по 44ФЗ заключено 42 шт. c объемом НМЦ 15 027 334 542,33 ? с БГИ 3 732 146 941,84 ? с БГГО 35 072 685,02 ? с авансированием до  2 056 260 333,13 ? с комиссией банку  114 441 165,76 ? с кв 995 638,14 ?</t>
  </si>
  <si>
    <t>Юридическим лицом принято решение об изменении места нахождения от 25.08.2022</t>
  </si>
  <si>
    <t>"223 за 3 года", "кл фт прямые бг 04.22", "свод фт", ".", "рейтинг поставщиков в маркере по бг", "ГРАНДИОЗНЫЙ ПРОЕКТ", "УПП на 2 номер", "Конкурсы 100+ (Восстановленный)", "fk1", "кредиты фт", "клиенты управления по БГ без открытых счетов", "2. Финтендер 2022 31.03.22 Григорян для СПАРК", "БГ ФБ ЮР лица на 01.07.2021", "Премия 4 кв 22 г.бг", "филиал бизнес 31.01.22 ", "закрыли счет", "клиенты с в от100млн 09.21", "Пункт 3 09.01.23", "лимит сит по кредитам", "все клиенты с выручкой от 1,8 млрд до бесконечности", "ФК клиенты с выручкой от 230 до бесконечности", "клиенты от 100 млн", "Обороты по клиентам по кварталам (2022г)", "Одобренные но не выданные 1 полугодие 2021", "ФТ клиенты с продуктами по сотрудникам", "44 фз с с БГ от 10 млн", "производители", "рейтинг по нмц маркер", "на фт заводил Шутов", "на фт заводил Шевченко", "на фт заводил Синяев", "на фт заводил Морозова", "на фт заводил Мелкумов", "на фт заводил Алиев", "поставщики маркер", "44 за 3 года"</t>
  </si>
  <si>
    <t>ЗА 3 ГОДА ПО 223 ФЗ заключено 14 шт. с объемом НМЦ 103 980 679,82 ? за 1 ГОД ПО 223ФЗ заключено 9  41 026 559,21 ?</t>
  </si>
  <si>
    <t>Юридическое лицо находится в процессе реорганизации в форме присоединения к нему других юридических лиц от 21.12.2022</t>
  </si>
  <si>
    <t>"223 за 3 года", ".", "корп 1", "06.2022_ФинХД", "все клиенты с выручкой от 1,8 млрд до бесконечности", "ФК клиенты с выручкой от 230 до бесконечности", "223 фз контракты 20+", "рейтинг заказчиков маркер", "производители", "это заказчик"</t>
  </si>
  <si>
    <t>За 3 года по 223ФЗ заключено  3 шт контрактов на сумму 87 645 546,00 ?</t>
  </si>
  <si>
    <t>"поставщики маркер", "кл фт мсб ВКЛ/РКО 04.22", ".", "fk1", "компании пайрус", "ОТКАЗ УДП", "06.2022_ФинХД", "Ссуды ФБ 29.04.2022 банкр.", "Пункт 3 09.01.23", "все клиенты с выручкой от 1,8 млрд до бесконечности", "филиал бизнес 01.03.22", "клиенты от 100 млн", "Обороты по клиентам по кварталам (2022г)", "ФТ клиенты с продуктами по сотрудникам"</t>
  </si>
  <si>
    <t>52.21.11.000 Услуги железнодорожные маневровые или буксировочные</t>
  </si>
  <si>
    <t>Сообщение кредитора о намерении обратиться в суд с заявлением о банкротстве от 18.09.2020</t>
  </si>
  <si>
    <t>01.19.3 Семена свеклы, семена кормовых культур; сырье растительное прочее
20.20.15.000 Фунгициды
20.20.13.120 Регуляторы роста растений
20.20 Пестициды и агрохимические продукты прочие
20.20.12.000 Гербициды</t>
  </si>
  <si>
    <t>71.12.16.000 Услуги по инженерно-техническому проектированию производственных процессов и производств
71.12 Услуги в области инженерно-технического проектирования и связанные технические консультативные услуги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42.2 Сооружения и строительные работы по строительству инженерных коммуникаций
71.12.19.100 Услуги по инженерно-техническому проектированию прочих объектов, кроме объектов культурного наследия
42.21 Сооружения и строительные работы по строительству инженерных коммуникаций для жидкостей и газов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41.10.10.000 Документация проектная для строительства
41.20.20.290 Здания нежилые, не включенные в другие группировки ****</t>
  </si>
  <si>
    <t>За весь период компания заключила  18 контрактов на сумму  26 967 847 268,52 ? За весь период заходили в конкурсы  23 раз на общую сумму обеспеченных контрактов с НМЦ 29 187 009 966,53 ? с БГУ  673 767 187,48 ? с БГИ 2 167 276 119,43 ? За 3 ГОДА по 44ФЗ заключено 20 шт. с объемом НМЦ  11 121 937 072,19 ? с БГИ 1 136 533 123,78 ? с БГГО 264 217 532,98 ? с авансированием до 5 897 259 013,96 ? с комиссией банку 58 948 004,20 ? с кв 512 847,64 ? ЗА 1 ГОД по 44ФЗ заключено 8 шт. c объемом НМЦ 2 376 929 304,98 ? с БГИ 262 055 557,38 ? с БГГО 59 337 992,84 ? с авансированием до  183 563 765,00 ? с комиссией банку  7 182 880,79 ? с кв 62 491,06 ? ЗА 3 ГОДА ПО 223 ФЗ заключено 4 шт. с объемом НМЦ 2 463 385 808,15 ?</t>
  </si>
  <si>
    <t>"223 за 3 года", "свод фт", ".", "рейтинг поставщиков в маркере по бг", "ГРАНДИОЗНЫЙ ПРОЕКТ", "беники", "УПП на 2 номер", "Конкурсы 100+ (Восстановленный)", "fk1", "кредиты фт", "клиенты управления по БГ без открытых счетов", "ПОС на 03.04.2023", "ОТКАЗ УДП", "Пункт 3.1 09.01.2023", "корп 1", "Все БГ поиск клиентов Банка и их контакты РЭБ", "лимит сит по кредитам", "все клиенты с выручкой от 1,8 млрд до бесконечности", "ФК клиенты с выручкой от 230 до бесконечности", "Обороты по клиентам по кварталам (2022г)", "Одобренные но не выданные 1 полугодие 2021", "44 фз с с БГ от 10 млн", "рейтинг по нмц маркер", "это заказчик", "на фт заводил Шутов", "на фт заводил Хацкевич", "на фт заводил Дементьев", "на фт заводил Гудкова", "поставщики маркер", "44 за 3 года"</t>
  </si>
  <si>
    <t>"поставщики маркер", ".", "беники", "рейтинг заказчиков маркер", "это заказчик"</t>
  </si>
  <si>
    <t>Юридическим лицом принято решение об изменении места нахождения от 31.01.2023</t>
  </si>
  <si>
    <t>10.89.15.120 Пектины, пектинаты и пектаты
10.85.19.000 Продукты пищевые готовые и блюда прочие (включая замороженную пиццу)
10.39.22.110 Джемы, желе фруктовые и ягодные
10.89.19.150 Добавки пищевые комплексные
10.32.24.120 Вещества натуральные ароматообразующие фруктовые или овощные концентрированные
10.82.21.120 Глазурь шоколадная
84.23.12.000 Услуги, связанные с задержанием или реабилитацией преступников</t>
  </si>
  <si>
    <t>14.12.11.130 Куртки (пиджаки) и блейзеры мужские производственные и профессиональные
14.14.30.110 Футболки трикотажные или вязаные
15.20.32.129 Обувь специальная прочая, не включенная в другие группировки
14.19.31.111 Перчатки, рукавицы, варежки, митенки мужские или для мальчиков из натуральной или композиционной кожи
14.12.11.110 Комплекты мужские производственные и профессиональные
14.12.11.120 Костюмы мужские производственные и профессиональные
14.14.21.000 Рубашки мужские или для мальчиков из текстильных материалов, кроме трикотажных или вязаных
14.13.21.120 Куртки мужские или для мальчиков из текстильных материалов, кроме трикотажных или вязаных
13.92.29.130 Жилеты спасательные
14.19.42.149 Уборы головные швейные прочие мужские или для мальчиков ****</t>
  </si>
  <si>
    <t>ПОС на 03.04.4410</t>
  </si>
  <si>
    <t>"223 за 3 года", ".", "fk1", "ПОС на 01.02.2023", "ПОС на 03.04.2023", "06.2022_ФинХД", "все клиенты с выручкой от 1,8 млрд до бесконечности", "Обороты по клиентам по кварталам (2022г)", "это заказчик"</t>
  </si>
  <si>
    <t>За весь период компания заключила  49 контрактов на сумму  50 652 325 725,07 ? За весь период заходили в конкурсы  139 раз на общую сумму обеспеченных контрактов с НМЦ 63 790 488 433,41 ? с БГУ  3 386 439 534,32 ? с БГИ 17 506 904 056,07 ? За 3 ГОДА по 44ФЗ заключено 18 шт. с объемом НМЦ  11 411 109 316,00 ? с БГИ 2 718 319 745,30 ? с БГГО 72 375 018,72 ? с авансированием до 258 550 800,50 ? с комиссией банку 76 434 812,43 ? с кв 664 982,87 ? ЗА 1 ГОД по 44ФЗ заключено 8 шт. c объемом НМЦ 6 469 459 795,55 ? с БГИ 1 235 824 889,16 ? с БГГО 40 332 328,01 ? с авансированием до  258 550 800,50 ? с комиссией банку  46 232 432,87 ? с кв 402 222,17 ?</t>
  </si>
  <si>
    <t>45.11 Услуги по торговле легковыми автомобилями и грузовыми автомобилями малой грузоподъемности
45.11.21.000 Услуги по розничной торговле новыми пассажирскими автотранспортными средствами в специализированных магазинах
45.11.39.000 Услуги по розничной торговле легковыми автомобилями и грузовыми автомобилями малой грузоподъемности прочие, не включенные в другие группировки
45.20.11.519 Прочие услуги по техническому обслуживанию и ремонту прочих автотранспортных средств, не включенные в другие группировки
77.11.10.000 Услуги по аренде и лизингу легковых автомобилей и легких автотранспортных средств
45.20.2 Услуги по техническому обслуживанию и ремонту прочих автотранспортных средств
29.10 Средства автотранспортные
29.10.2 Автомобили легковые
49.32.12.000 Услуги по аренде легковых автомобилей с водителем
49.39.39.000 Услуги по перевозке пассажиров сухопутным транспортом прочие, не включенные в другие группировки ****</t>
  </si>
  <si>
    <t>За весь период заходили в конкурсы  3 раз на общую сумму обеспеченных контрактов с НМЦ 203 743 283,62 ? с БГУ  6 994 773,36 ? с БГИ 45 954 400,10 ?                             ЗА 3 ГОДА ПО 223 ФЗ заключено 18 шт. с объемом НМЦ 68 409 371,05 ? за 1 ГОД ПО 223ФЗ заключено 6  39 990 822,32 ?</t>
  </si>
  <si>
    <t>71.12.33 Услуги по разведке полезных ископаемых и оценке их месторождений
41.20.40.900 Работы строительные по возведению нежилых зданий и сооружений прочие, не включенные в другие группировки
41.20.20.100 Здания нежилые
42 Сооружения и строительные работы в области гражданского строительства
42.21.22.110 Работы строительные по прокладке местных трубопроводов воды или сточных вод
42.21.21 Работы строительные по прокладке магистральных трубопроводов</t>
  </si>
  <si>
    <t>За весь период компания заключила  14 контрактов на сумму  4 701 923 025,49 ? За весь период заходили в конкурсы  4 раз на общую сумму обеспеченных контрактов с НМЦ 1 014 923 234,20 ? с БГУ  27 254 856,96 ? с БГИ 142 837 791,96 ?</t>
  </si>
  <si>
    <t>Юридическое лицо находится в процессе реорганизации в форме преобразования от 29.12.2022, Сообщения о принятии решения о реорганизации от 24.03.2023</t>
  </si>
  <si>
    <t>За весь период контрактов 40 шт. на общую сумму НМЦ 63 336 210 111,06 ?</t>
  </si>
  <si>
    <t>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33.12.15 Услуги по ремонту и техническому обслуживанию подъемно-транспортного оборудования
33.12.29.900 Услуги по ремонту и техническому обслуживанию прочего оборудования специального назначения, не включенные в другие группировки
41.20.40.900 Работы строительные по возведению нежилых зданий и сооружений прочие, не включенные в другие группировки
33 Услуги по ремонту и монтажу машин и оборудования
33.12.1 Услуги по ремонту и техническому обслуживанию оборудования общего назначения
43.29.19 Работы строительно-монтажные прочие, не включенные в другие группировки
28.22.16.110 Лифты
43.29.19.110 Работы по монтажу лифтов, эскалаторов и движущихся тротуаров, требующие специальной квалификации, включая ремонт и техническое обслуживание
33.14.19.000 Услуги по ремонту и техническому обслуживанию прочего профессионального электрического оборудования ****</t>
  </si>
  <si>
    <t>За весь период компания заключила  46 контрактов на сумму  15 810 679 273,42 ? За весь период заходили в конкурсы  164 раз на общую сумму обеспеченных контрактов с НМЦ 17 758 422 754,40 ? с БГУ  749 249 167,40 ? с БГИ 4 174 204 874,40 ? За 3 ГОДА по 44ФЗ заключено 28 шт. с объемом НМЦ  2 445 916 291,26 ? с БГИ 719 105 445,66 ? с БГГО 1 457 153,00 ? с авансированием до 0,00 ? с комиссией банку 35 528 360,71 ? с кв 309 096,74 ? ЗА 1 ГОД по 44ФЗ заключено 6 шт. c объемом НМЦ 1 734 528 251,30 ? с БГИ 520 012 247,41 ? с БГГО 17 246,00 ? с авансированием до  0,00 ? с комиссией банку  32 873 780,80 ? с кв 286 001,89 ? ЗА 3 ГОДА ПО 223 ФЗ заключено 13 шт. с объемом НМЦ 350 931 709,33 ?</t>
  </si>
  <si>
    <t>"223 за 3 года", ".", "рейтинг поставщиков в маркере по бг", "Конкурсы 100+ (Восстановленный)", "44 фз с с БГ от 10 млн", "производители", "рейтинг по нмц маркер", "поставщики маркер", "44 за 3 года"</t>
  </si>
  <si>
    <t>01.11.31.110 Зерно озимого ячменя</t>
  </si>
  <si>
    <t>28.22.19.190 Комплектующие (запасные части) прочего подъемно-транспортного и погрузочно-разгрузочного оборудования, не имеющие самостоятельных группировок
20.30.22.220 Растворители и разбавители органические сложные; составы готовые для удаления красок и лаков (смывки)
27.90.13.129 Электроды угольные и изделия из графита и других видов углерода электротехнические прочие, не включенные в другие группировки
22.21.29.110 Трубы прочие пластмассовые
25.73.40.119 Сверла прочие, не включенные в другие группировки
32.91.19.190 Щетки прочие, не включенные в другие группировки
23.91.11.140 Круги шлифовальные
25.94.11.110 Болты и винты из черных металлов
23.91.11.150 Круги отрезные
20.30.21.130 Краски, эмали и глазури стекловидные</t>
  </si>
  <si>
    <t>Сообщение кредитора о намерении обратиться в суд с заявлением о банкротстве от 25.07.2019</t>
  </si>
  <si>
    <t>"производители", ".", "выдали", "все клиенты с выручкой от 1,8 млрд до бесконечности"</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</si>
  <si>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23.61.12.143 Плиты дорожные железобетонные</t>
  </si>
  <si>
    <t>ЗА 3 ГОДА ПО 223 ФЗ заключено 7 шт. с объемом НМЦ 235 795 712,00 ?</t>
  </si>
  <si>
    <t>Сообщение кредитора о намерении обратиться в суд с заявлением о банкротстве от 13.11.2019</t>
  </si>
  <si>
    <t>"223 за 3 года", ".", "закрыли счет", "портфель", "ФК клиенты с выручкой от 230 до бесконечности", "клиенты от 100 млн", "Одобренные но не выданные 1 полугодие 2021", "это заказчик", "поставщики маркер", "44 за 3 года"</t>
  </si>
  <si>
    <t>49.41.12.000 Услуги по перевозке автомобильным транспортом нефтепродуктов в автоцистернах или полуприцепах-цистернах
49.41.19.900 Услуги по перевозке грузов автомобильным транспортом прочие, не включенные в другие группировки</t>
  </si>
  <si>
    <t>За весь период контрактов 12 шт. на общую сумму НМЦ 11 059 186 551,98 ?</t>
  </si>
  <si>
    <t>86.21.10.190 Услуги, предоставляемые врачами общей врачебной практики, прочие, не включенные в другие группировки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36.00.11.000 Вода питьевая</t>
  </si>
  <si>
    <t>1 722</t>
  </si>
  <si>
    <t>Сообщения о принятии решения о реорганизации от 11.08.2022</t>
  </si>
  <si>
    <t>"ФК клиенты с выручкой от 230 до бесконечности", ".", "fk1", "корп 1"</t>
  </si>
  <si>
    <t>18.12.19.190 Услуги печатные прочие, не включенные в другие группировки
46.76.11.000 Услуги по оптовой торговле бумагой и картоном
28.99.11.190 Оборудование брошюровочно-переплетное специальное</t>
  </si>
  <si>
    <t>Заказчик разыгравший 89 конкурсов на сумму  35 229 176 558,76 ?</t>
  </si>
  <si>
    <t>Сообщения о принятии решения о реорганизации от 25.07.2022</t>
  </si>
  <si>
    <t>24.20.12.120 Трубы насосно-компрессорные бесшовные стальные
24.20 Трубы, профили пустотелые и их фитинги стальные
28.14.13.130 Краны и затворы дисковые</t>
  </si>
  <si>
    <t>За 3 года по 223ФЗ заключено  5 шт контрактов на сумму 31 070 507,50 ?</t>
  </si>
  <si>
    <t>"223 за 3 года", ".", "п6", "все клиенты с выручкой от 1,8 млрд до бесконечности", "рейтинг заказчиков маркер", "производители", "это заказчик", "поставщики маркер"</t>
  </si>
  <si>
    <t>35.11.10.112 Электроэнергия, произведенная теплоэлектроцентралями (ТЭЦ)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 Электроэнергия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35.11.10.115 Электроэнергия, произведенная атомными электростанциями (АЭС) общего назначения
35.30.11.111 Энергия тепловая, отпущенная тепловыми электроцентралями (ТЭЦ) ****</t>
  </si>
  <si>
    <t>За весь период компания заключила  10 контрактов на сумму  648 167 784,93 ?                                     ЗА 3 ГОДА ПО 223 ФЗ заключено 13 шт. с объемом НМЦ 26 953 746,79 ? за 1 ГОД ПО 223ФЗ заключено 5  20 456 784,00 ?</t>
  </si>
  <si>
    <t>"223 за 3 года", ".", "закрыли счет", "все клиенты с выручкой от 1,8 млрд до бесконечности", "рейтинг заказчиков маркер", "рейтинг по нмц маркер", "это заказчик", "поставщики маркер"</t>
  </si>
  <si>
    <t>16.24.13.110 Ящики деревянные
17.21 Бумага и картон гофрированные и тара бумажная и картонная
28.4 Оборудование металлообрабатывающее и станки
28.41.40.000 Части и принадлежности станков для обработки металлов
22.21 Плиты, листы, трубы и профили пластмассовые
28.9 Оборудование специального назначения прочее
18.12 Услуги печатные прочие
22.21.3 Плиты, листы, пленка и полосы (ленты) полимерные, неармированные или не комбинированные с другими материалами
24.32.20.000 Прокат листовой холоднокатаный стальной, плакированный, с гальваническим или другим покрытием, шириной менее 600 мм</t>
  </si>
  <si>
    <t>ЗА 3 ГОДА ПО 223 ФЗ заключено 8 шт. с объемом НМЦ 64 900 588,80 ? за 1 ГОД ПО 223ФЗ заключено 1  15 528 780,00 ?</t>
  </si>
  <si>
    <t>10.51.22.111 Молоко сухое частично обезжиренное, от более 1,5 % до менее 26,0 % жирности
10.51.54.110 Сахар молочный</t>
  </si>
  <si>
    <t>52.10.12.110 Услуги по хранению и складированию нефти и продуктов ее переработки
45.20.11.113 Услуги смазочно-заправочные</t>
  </si>
  <si>
    <t>"223 за 3 года", ".", "корп 2", "06.2022_ФинХД", "клиенты с в от100млн 09.21", "ФК клиенты с выручкой от 230 до бесконечности", "Обороты по клиентам по кварталам (2022г)", "поставщики маркер", "44 за 3 года"</t>
  </si>
  <si>
    <t>Сообщения о принятии решения о реорганизации от 25.01.2021</t>
  </si>
  <si>
    <t>71.12.40.149 Услуги государственного контроля (надзора) за соблюдением требований технических регламентов прочие, не включенные в другие группировки
71 Услуги в области архитектуры и инженерно-технического проектирования, технических испытаний, исследований и анализа
71.12 Услуги в области инженерно-технического проектирования и связанные технические консультативные услуги
41.1 Документация проектная для строительства
71.12.20.190 Услуги по руководству строительными проектами прочие
71.20.19.111 Услуги по проведению государственной экспертизы проектной документации и результатов инженерных изысканий
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71.12.40.141 Услуги по контролю (надзору) за соблюдением технического регулирования в области использования атомной энергии
71.12.40.140 Услуги государственного контроля (надзора) за соблюдением требований технических регламентов
71.12.12 Услуги по инженерно-техническому проектированию зданий ****</t>
  </si>
  <si>
    <t>За весь период компания заключила  3 контрактов на сумму  1 649 968 304,30 ? За весь период заходили в конкурсы  6 раз на общую сумму обеспеченных контрактов с НМЦ 790 135 788,42 ? с БГУ  21 093 289,55 ? с БГИ 91 930 219,86 ? За 3 ГОДА по 44ФЗ заключено 1 шт. с объемом НМЦ  121 188 755,47 ? с БГИ 12 118 875,55 ? с БГГО 0,00 ? с авансированием до 0,00 ? с комиссией банку 310 774,45 ? с кв 2 703,74 ?               ЗА 3 ГОДА ПО 223 ФЗ заключено 3 шт. с объемом НМЦ 1 837 468 200,00 ?</t>
  </si>
  <si>
    <t>"223 за 3 года", ".", "рейтинг поставщиков в маркере по бг", "06.2022_ФинХД", "все клиенты с выручкой от 1,8 млрд до бесконечности", "рейтинг по нмц маркер", "это заказчик", "поставщики маркер", "44 за 3 года"</t>
  </si>
  <si>
    <t>38.11.19.000 Услуги по сбору прочих неопасных отходов, пригодных для повторного использования
38.22.29.000 Услуги по утилизации прочих опасных отходов
74.90.13.000 Услуги консультативные в области окружающей среды
75.00.19.000 Услуги ветеринарные прочие
38.11.1 Услуги по сбору неопасных отходов, пригодных для повторного использования
38.11.31.000 Отходы неопасные бытовые, непригодные для повторного использования
38.12.1 Услуги по сбору опасных отходов
38.11.21.000 Услуги по сбору неопасных отходов городского хозяйства, непригодных для повторного использования
38.2 Услуги по обработке и утилизации отходов
49.41.14.000 Услуги по перевозке автомобильным транспортом грузов в контейнерах ****</t>
  </si>
  <si>
    <t>За 3 ГОДА по 44ФЗ заключено 11 шт. с объемом НМЦ  81 986 137,70 ? с БГИ 16 205 820,44 ? с БГГО 0,00 ? с авансированием до 0,00 ? с комиссией банку 308 313,55 ? с кв 2 682,33 ?               ЗА 3 ГОДА ПО 223 ФЗ заключено 65 шт. с объемом НМЦ 40 739 384,03 ? за 1 ГОД ПО 223ФЗ заключено 23  7 661 371,25 ?</t>
  </si>
  <si>
    <t>Юридическое лицо находится в процессе реорганизации в форме присоединения к нему других юридических лиц от 12.12.2022, Сообщения о принятии решения о реорганизации от 08.12.2022</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</si>
  <si>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31.09.14.110 Мебель из пластмассовых материалов
71.12.19.100 Услуги по инженерно-техническому проектированию прочих объектов, кроме объектов культурного наследия
43.22.12.110 Работы по монтажу отопительного оборудования (электрического, газового, нефтяного, неэлектрических солнечных коллекторов)
43.12.11.140 Работы по расчистке территории, удалению растительности
31.09.11.190 Мебель металлическая хозяйственно-бытового назначения прочая, не включенная в другие группировки
42.13.20.100 Работы строительные по строительству мостов и тоннелей, кроме работ по сохранению и воссозданию объектов культурного наследия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42.11.10.121 Дорога автомобильная с усовершенствованным капитальным типом дорожного покрытия ****</t>
  </si>
  <si>
    <t>За весь период заходили в конкурсы  5 раз на общую сумму обеспеченных контрактов с НМЦ 774 183 698,04 ? с БГУ  27 657 529,77 ? с БГИ 243 561 222,30 ? За 3 ГОДА по 44ФЗ заключено 6 шт. с объемом НМЦ  553 561 924,86 ? с БГИ 69 824 896,58 ? с БГГО 3 851 393,00 ? с авансированием до 15 684 426,58 ? с комиссией банку 1 568 593,07 ? с кв 13 646,76 ?</t>
  </si>
  <si>
    <t>Юридическим лицом принято решение об изменении места нахождения от 15.04.2022</t>
  </si>
  <si>
    <t>"223 за 3 года", ".", "рейтинг поставщиков в маркере по бг", "ГРАНДИОЗНЫЙ ПРОЕКТ", "рейтинг по нмц маркер", "поставщики маркер", "44 за 3 года"</t>
  </si>
  <si>
    <t>20.13.24 Хлорид водорода; олеум; пентоксид фосфора; кислоты неорганические прочие; диоксид кремния и диоксид серы</t>
  </si>
  <si>
    <t>"поставщики маркер", ".", "fk1", "ПОС на 01.02.2023", "Кредитный портфель_01.11", "06.2022_ФинХД", "клиенты от 100 млн", "Обороты по клиентам по кварталам (2022г)", "Участники клиринга"</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</si>
  <si>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27.90.20.120 Приборы световой и звуковой сигнализации электрические
26.40.51.000 Части и принадлежности звукового и видеооборудования
33.12.29.900 Услуги по ремонту и техническому обслуживанию прочего оборудования специального назначения, не включенные в другие группировки
41.20.40.900 Работы строительные по возведению нежилых зданий и сооружений прочие, не включенные в другие группировки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94.11.10.000 Услуги, предоставляемые коммерческими и предпринимательскими членскими организациями
26.20.14.000 Машины вычислительные электронные цифровые, поставляемые в виде систем для автоматической обработки данных ****</t>
  </si>
  <si>
    <t>За весь период компания заключила  11 контрактов на сумму  14 824 018 235,28 ? За весь период заходили в конкурсы  30 раз на общую сумму обеспеченных контрактов с НМЦ 17 198 291 686,05 ? с БГУ  572 184 701,77 ? с БГИ 3 361 224 868,96 ? За 3 ГОДА по 44ФЗ заключено 29 шт. с объемом НМЦ  7 609 437 114,16 ? с БГИ 716 326 050,15 ? с БГГО 71 376 878,43 ? с авансированием до 0,00 ? с комиссией банку 60 241 641,34 ? с кв 524 102,28 ? ЗА 1 ГОД по 44ФЗ заключено 13 шт. c объемом НМЦ 5 029 864 579,74 ? с БГИ 491 897 807,78 ? с БГГО 8 420 543,08 ? с авансированием до  0,00 ? с комиссией банку  52 356 014,72 ? с кв 455 497,33 ?</t>
  </si>
  <si>
    <t>"44 за 3 года", ".", "рейтинг поставщиков в маркере по бг", "Конкурсы 100+ (Восстановленный)", "Агентские отказ из-за непред-я док-ов", "все клиенты с выручкой от 1,8 млрд до бесконечности", "44 фз с с БГ от 10 млн", "рейтинг по нмц маркер", "поставщики маркер"</t>
  </si>
  <si>
    <t>"поставщики маркер", ".", "клиенты до 18млн 22.29.21 ", "ФК клиенты с выручкой 8-18 млн", "Обороты по клиентам по кварталам (2022г)"</t>
  </si>
  <si>
    <t>68.20.1 Услуги по сдаче в аренду (внаем) собственного или арендованного недвижимого имущества
68.10.11.000 Услуги по покупке и продаже жилых зданий и занимаемых ими земельных участков</t>
  </si>
  <si>
    <t>ЗА 3 ГОДА ПО 223 ФЗ заключено 4 шт. с объемом НМЦ 88 011 873,52 ? за 1 ГОД ПО 223ФЗ заключено 1  13 011 627,84 ?</t>
  </si>
  <si>
    <t>"223 за 3 года", ".", "fk1", "корп 2", "клиенты с в от100млн 09.21", "лимит сит по кредитам", "Пустые_Клиенты", "рейтинг по нмц маркер", "поставщики маркер", "44 за 3 года"</t>
  </si>
  <si>
    <t>За весь период контрактов 6 шт. на общую сумму НМЦ 1 680 443 200,00 ?</t>
  </si>
  <si>
    <t>Сообщение кредитора о намерении обратиться в суд с заявлением о банкротстве от 19.03.2018</t>
  </si>
  <si>
    <t>"поставщики маркер", ".", "рейтинг поставщиков в маркере по бг", "fk1", "все клиенты с выручкой от 1,8 млрд до бесконечности", "ФК клиенты с выручкой от 230 до бесконечности", "рейтинг по нмц маркер"</t>
  </si>
  <si>
    <t>68.10.11.000 Услуги по покупке и продаже жилых зданий и занимаемых ими земельных участков
68.10.12.000 Услуги по покупке и продаже недвижимости, находящейся в собственности на фиксированное время года</t>
  </si>
  <si>
    <t>За 3 ГОДА по 44ФЗ заключено 288 шт. с объемом НМЦ  1 803 062 115,00 ? с БГИ 420 272 425,37 ? с БГГО 17 594 509,02 ? с авансированием до 338 890 713,70 ? с комиссией банку 2 098 156,90 ? с кв 18 253,97 ? ЗА 1 ГОД по 44ФЗ заключено 52 шт. c объемом НМЦ 395 507 910,00 ? с БГИ 40 931 359,10 ? с БГГО 3 859 641,00 ? с авансированием до  24 236 625,00 ? с комиссией банку  580 806,22 ? с кв 5 053,01 ?</t>
  </si>
  <si>
    <t>За весь период компания заключила  1 контрактов на сумму  518 338 103,29 ?</t>
  </si>
  <si>
    <t>68.10.14.000 Услуги по покупке и продаже нежилых зданий и занимаемых ими земельных участков
41.20.20.180 Здания предприятий здравоохранения, науки и научного обслуживания, образования, культуры и искусства</t>
  </si>
  <si>
    <t>За весь период компания заключила  1 контрактов на сумму  690 000 000,00 ?</t>
  </si>
  <si>
    <t>24.10.61.111 Прокат сортовой горячекатаный круглый со свободной намоткой в бухты из нелегированных сталей
24.10.61.113 Прокат сортовой горячекатаный шестигранный со свободной намоткой в бухты из нелегированных сталей
24.10.62.124 Прокат сортовой горячекатаный полосовой прочий, без дополнительной обработки, включая смотанный после прокатки, из нелегированных сталей
22.21.2 Трубы, трубки и шланги и их фитинги пластмассовые
24.10.66.190 Прокат сортовой прочий из прочих легированных сталей, без дополнительной обработки, включая смотанный после прокатки
24.10.80.190 Прокат черных металлов прочий, не включенный в другие группировки
24 Металлы основные
24.20.13.130 Трубы стальные электросварные
24.10.21.149 Полуфабрикаты круглого или многоугольного сечения из нелегированной стали прочие
24.10.22.149 Полуфабрикаты круглого или многоугольного сечения из нержавеющей стали прочие ****</t>
  </si>
  <si>
    <t>За весь период заходили в конкурсы  8 раз на общую сумму обеспеченных контрактов с НМЦ 1 461 983 705,24 ? с БГУ  71 433 236,38 ? с БГИ 146 475 105,23 ? За 3 ГОДА по 44ФЗ заключено 7 шт. с объемом НМЦ  1 394 410 099,34 ? с БГИ 133 250 784,48 ? с БГГО 67 962 185,02 ? с авансированием до 0,00 ? с комиссией банку 1 194 318,21 ? с кв 10 390,57 ? ЗА 1 ГОД по 44ФЗ заключено 2 шт. c объемом НМЦ 263 429 385,94 ? с БГИ 26 226 529,69 ? с БГГО 26 342 938,79 ? с авансированием до  0,00 ? с комиссией банку  288 634,22 ? с кв 2 511,12 ?</t>
  </si>
  <si>
    <t>"223 за 3 года", "кл фт агент бг 04.22", "свод фт", ".", "рейтинг поставщиков в маркере по бг", "fk1", "все клиенты с выручкой от 1,8 млрд до бесконечности", "клиенты от 100 млн", "действующие б не прям", "ФТ клиенты с продуктами по сотрудникам", "44 фз с с БГ от 10 млн", "на фт заводил Шаклейн", "на фт заводил Самар", "crm управления", "в crm за Самаром", "поставщики маркер", "44 за 3 года"</t>
  </si>
  <si>
    <t>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</si>
  <si>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2 контрактов на сумму  2 712 412 851,23 ?</t>
  </si>
  <si>
    <t>30.20.33.118 Вагоны-платформы железнодорожные
30.20.33.115 Вагоны-самосвалы (думпкары)</t>
  </si>
  <si>
    <t>За весь период компания заключила  10 контрактов на сумму  4 640 839 000,00 ?</t>
  </si>
  <si>
    <t>24.10.35 Прокат листовой горячекатаный из прочих легированных сталей, без дополнительной обработки, шириной не менее 600 мм
24.10.42 Прокат листовой холоднокатаный из нержавеющих сталей, без дополнительной обработки, шириной не менее 600 мм
24.10.61.111 Прокат сортовой горячекатаный круглый со свободной намоткой в бухты из нелегированных сталей
24.10.66.190 Прокат сортовой прочий из прочих легированных сталей, без дополнительной обработки, включая смотанный после прокатки
24.10.80.190 Прокат черных металлов прочий, не включенный в другие группировки
24 Металлы основные
24.1 Железо, чугун, сталь и ферросплавы
24.10.62.121 Прокат сортовой горячекатаный круглый прочий, без дополнительной обработки, включая смотанный после прокатки, из нелегированных сталей
24.10.63.111 Прокат сортовой горячекатаный круглый со свободной намоткой в бухты из нержавеющих сталей
24.45.30.390 Металлы цветные прочие, изделия из них, порошки ****</t>
  </si>
  <si>
    <t>ЗА 3 ГОДА ПО 223 ФЗ заключено 18 шт. с объемом НМЦ 251 863 600,00 ? за 1 ГОД ПО 223ФЗ заключено 2  85 212 091,57 ?</t>
  </si>
  <si>
    <t>14.19.31.119 Перчатки защитные, рукавицы, варежки, митенки из натуральной или композиционной кожи, не включенные в другие группировки
14.12.30.132 Юбки, халаты, блузки, фартуки, жилеты, платья и сорочки женские производственные и профессиональные
14.14.30.110 Футболки трикотажные или вязаные
46.42 Услуги по оптовой торговле одеждой и обувью
46.42.11.110 Услуги по оптовой торговле одеждой, включая спортивную, кроме нательного белья
32.99.11.170 Средства защиты органов слуха
15.20.3 Обувь защитная и прочая, не включенная в другие группировки
15.20.32.129 Обувь специальная прочая, не включенная в другие группировки
14.12.11.110 Комплекты мужские производственные и профессиональные
14.12.11.120 Костюмы мужские производственные и профессиональные ****</t>
  </si>
  <si>
    <t>ЗА 3 ГОДА ПО 223 ФЗ заключено 16 шт. с объемом НМЦ 55 809 729,79 ? за 1 ГОД ПО 223ФЗ заключено 3  9 147 652,20 ?</t>
  </si>
  <si>
    <t>"223 за 3 года", ".", "все клиенты с выручкой от 1,8 млрд до бесконечности", "223 фз контракты 20+", "производители", "рейтинг по нмц маркер", "это заказчик", "поставщики маркер"</t>
  </si>
  <si>
    <t>За весь период компания заключила  28 контрактов на сумму  15 061 386 668,67 ?</t>
  </si>
  <si>
    <t>"поставщики маркер", "свод фт", ".", "лимит сит по кредитам", "все клиенты с выручкой от 1,8 млрд до бесконечности", "производители", "рейтинг по нмц маркер", "на фт заводил Чимров", "crm управления", "в crm за Чимровым"</t>
  </si>
  <si>
    <t>84.25.11.120 Услуги по обеспечению пожарной безопасности
43.21 Работы электромонтажные
43.9 Работы строительные специализированные прочие
47 Услуги по розничной торговле, кроме розничной торговли автотранспортными средствами и мотоциклами
43 Работы строительные специализированные
43.99 Работы строительные специализированные, не включенные в другие группировки
47.52 Услуги по розничной торговле скобяными изделиями, лакокрасочными материалами и материалами для остекления в специализированных магазинах
62.01.11.000 Услуги по проектированию и разработке информационных технологий для прикладных задач и тестированию программного обеспечения</t>
  </si>
  <si>
    <t>1 325</t>
  </si>
  <si>
    <t>"поставщики маркер", ".", "закрыли счет", "все клиенты с выручкой от 1,8 млрд до бесконечности", "уш кл3", "производители", "рейтинг по нмц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</si>
  <si>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42.13.20.100 Работы строительные по строительству мостов и тоннелей, кроме работ по сохранению и воссозданию объектов культурного наследия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</si>
  <si>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33 контрактов на сумму  39 238 973 037,77 ? За весь период заходили в конкурсы  30 раз на общую сумму обеспеченных контрактов с НМЦ 36 685 190 762,46 ? с БГУ  1 312 869 918,27 ? с БГИ 3 968 627 966,96 ? За 3 ГОДА по 44ФЗ заключено 11 шт. с объемом НМЦ  15 274 661 689,20 ? с БГИ 1 423 193 750,57 ? с БГГО 263 553 284,66 ? с авансированием до 0,00 ? с комиссией банку 41 555 387,85 ? с кв 361 531,87 ? ЗА 1 ГОД по 44ФЗ заключено 3 шт. c объемом НМЦ 4 161 549 441,40 ? с БГИ 412 479 601,12 ? с БГГО 0,00 ? с авансированием до  0,00 ? с комиссией банку  20 111 265,15 ? с кв 174 968,01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</si>
  <si>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42.13.10.120 Дороги надземные автомобильные (автодорожные эстакады) для движения автотранспортных средств
42.13.10.111 Мост автодорожный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42.11.10.129 Дороги автомобильные, в том числе улично-дорожная сеть, и прочие автомобильные и пешеходные дороги,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
23.99.13.110 Смеси асфальтобетонные дорожные, аэродромные и асфальтобетон горячие</t>
  </si>
  <si>
    <t>За весь период компания заключила  34 контрактов на сумму  14 881 034 979,84 ? За весь период заходили в конкурсы  107 раз на общую сумму обеспеченных контрактов с НМЦ 27 640 318 660,46 ? с БГУ  1 459 252 604,53 ? с БГИ 5 987 915 723,22 ? За 3 ГОДА по 44ФЗ заключено 39 шт. с объемом НМЦ  7 802 882 873,36 ? с БГИ 1 839 751 550,86 ? с БГГО 106 355 192,26 ? с авансированием до 1 629 561 601,71 ? с комиссией банку 49 189 846,78 ? с кв 427 951,67 ? ЗА 1 ГОД по 44ФЗ заключено 17 шт. c объемом НМЦ 3 189 118 256,10 ? с БГИ 924 187 071,92 ? с БГГО 60 156 316,31 ? с авансированием до  668 320 128,05 ? с комиссией банку  18 176 586,48 ? с кв 158 136,30 ? ЗА 3 ГОДА ПО 223 ФЗ заключено 3 шт. с объемом НМЦ 25 228 726,29 ? за 1 ГОД ПО 223ФЗ заключено 1  17 850 475,20 ?</t>
  </si>
  <si>
    <t>"223 за 3 года", "кл фт агент бг 04.22", ".", "рейтинг поставщиков в маркере по бг", "Конкурсы 100+ (Восстановленный)", "fk1", "Гарантии ФБ банкроты", "филиал бизнес 31.01.22 ",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"44 фз с с БГ от 10 млн", "производители", "рейтинг по нмц маркер", "на фт заводил Данченко", "поставщики маркер", "44 за 3 года"</t>
  </si>
  <si>
    <t>За весь период контрактов 4 шт. на общую сумму НМЦ 1 607 294 746,04 ?</t>
  </si>
  <si>
    <t>Сообщения о принятии решения о реорганизации от 19.05.2020</t>
  </si>
  <si>
    <t>За весь период компания заключила  4 контрактов на сумму  1 782 299 532,60 ?</t>
  </si>
  <si>
    <t>28.22 Оборудование подъемно-транспортное
28.22.15 Автопогрузчики с вилочным захватом, прочие погрузчики; тягачи, используемые на платформах железнодорожных станций
28.92.29.000 Автомобили-самосвалы, предназначенные для использования в условиях бездорожья
29.10.4 Средства автотранспортные грузовые
29.10.59.130 Средства транспортные для коммунального хозяйства и содержания дорог
29.10 Средства автотранспортные
28.92.25 Погрузчики фронтальные одноковшовые самоходные
28.92.2 Машины прочие для перемещения, грейдерных работ, планирования, скреперных работ, выемки, трамбовки, уплотнения или добычи, самоходные, для грунта, минералов или руд (включая бульдозеры, одноковшовые экскаваторы и дорожные катки)
28.92.27 Экскаваторы и одноковшовые погрузчики самоходные прочие; прочие самоходные машины для добычи полезных ископаемых
28.92 Оборудование для добычи полезных ископаемых подземным и открытым способами и строительства ****</t>
  </si>
  <si>
    <t>"223 за 3 года", ".", "fk1", "закрыли счет", "все клиенты с выручкой от 1,8 млрд до бесконечности", "ФК клиенты с выручкой от 230 до бесконечности", "поставщики маркер"</t>
  </si>
  <si>
    <t>42.22.2 Работы строительные по строительству коммунальных объектов для электроснабжения и телекоммуникаций
43.21 Работы электромонтажные
43.29.1 Работы строительно-монтажные прочие
42.22 Сооружения и строительные работы по строительству коммунальных объектов для электроснабжения и связи
43.2 Работы электромонтажные, работы по монтажу водопроводных и канализационных систем и прочие строительно-монтажные работы
43.22.11.190 Работы по монтажу водопроводных и канализационных систем прочие, не включенные в другие группировки
42.22.22.140 Работы по ремонту местных линий электропередачи и связи
42.21.21 Работы строительные по прокладке магистральных трубопроводов</t>
  </si>
  <si>
    <t>За весь период компания заключила  6 контрактов на сумму  1 715 677 814,58 ?                                     ЗА 3 ГОДА ПО 223 ФЗ заключено 2 шт. с объемом НМЦ 501 353 000,00 ?</t>
  </si>
  <si>
    <t>"223 за 3 года", ".", "портфель 31.10.2021_10 тыс_проверка", "все клиенты с выручкой от 1,8 млрд до бесконечности", "производители", "рейтинг по нмц маркер", "поставщики маркер"</t>
  </si>
  <si>
    <t>За весь период контрактов 8 шт. на общую сумму НМЦ 7 584 025 094,28 ?</t>
  </si>
  <si>
    <t>Юридическое лицо находится в процессе реорганизации в форме преобразования от 28.09.2022, Сообщения о принятии решения о реорганизации от 26.09.2022</t>
  </si>
  <si>
    <t>41.20.10.120 Здания общежитий
31.01.11.121 Шкафы для одежды металлические
41.20.10.110 Здания жилые общего назначения
31.01.11.190 Мебель офисная металлическая прочая
31.01.12.110 Столы письменные деревянные для офисов, административных помещений
31.01.12.131 Шкафы для одежды деревянные
31.01.12.160 Мебель для сидения, преимущественно с деревянным каркасом
41.20.40.900 Работы строительные по возведению нежилых зданий и сооружений прочие, не включенные в другие группировки
31.01.12.140 Стеллажи офисные деревянные
31.01.12.190 Мебель офисная деревянная прочая ****</t>
  </si>
  <si>
    <t>За весь период компания заключила  9 контрактов на сумму  5 560 763 791,13 ? За весь период заходили в конкурсы  29 раз на общую сумму обеспеченных контрактов с НМЦ 6 685 658 728,61 ? с БГУ  188 463 792,29 ? с БГИ 1 611 655 962,09 ? За 3 ГОДА по 44ФЗ заключено 93 шт. с объемом НМЦ  3 299 674 155,87 ? с БГИ 645 092 017,34 ? с БГГО 146 927 260,90 ? с авансированием до 312 001 259,11 ? с комиссией банку 16 067 904,36 ? с кв 139 790,77 ? ЗА 1 ГОД по 44ФЗ заключено 9 шт. c объемом НМЦ 235 851 330,00 ? с БГИ 31 780 527,90 ? с БГГО 0,00 ? с авансированием до  0,00 ? с комиссией банку  884 283,69 ? с кв 7 693,27 ? ЗА 3 ГОДА ПО 223 ФЗ заключено 2 шт. с объемом НМЦ 106 594 185,60 ? за 1 ГОД ПО 223ФЗ заключено 1  80 233 185,60 ?</t>
  </si>
  <si>
    <t>"223 за 3 года", "свод фт", ".", "рейтинг поставщиков в маркере по бг", "Конкурсы 100+ (Восстановленный)", "кредиты фт", "Пункт 3.1 09.01.2023", "223 фз контракты 20+", "44 фз с с БГ от 10 млн", "рейтинг по нмц маркер", "на фт заводил Бесков", "поставщики маркер", "44 за 3 года"</t>
  </si>
  <si>
    <t>10.12.10.110 Мясо кур, в том числе цыплят (включая цыплят-бройлеров) охлажденное</t>
  </si>
  <si>
    <t>"поставщики маркер", ".", "06.2022_ФинХД", "производители", "это заказчик"</t>
  </si>
  <si>
    <t>41.20.40.900 Работы строительные по возведению нежилых зданий и сооружений прочие, не включенные в другие группировки
35.30.12.140 Услуги по подключению (технологическому присоединению) к централизованной системе горячего водоснабжения
68.10.11.000 Услуги по покупке и продаже жилых зданий и занимаемых ими земельных участков
35.12.10.110 Услуги по передаче электроэнергии</t>
  </si>
  <si>
    <t>За весь период контрактов 2 шт. на общую сумму НМЦ 2 047 802 900,00 ?</t>
  </si>
  <si>
    <t>Сообщение кредитора о намерении обратиться в суд с заявлением о банкротстве от 15.06.2018</t>
  </si>
  <si>
    <t>"поставщики маркер", ".", "рейтинг поставщиков в маркере по бг", "клиент металлинвеста", "ушедшие", "все клиенты с выручкой от 1,8 млрд до бесконечности", "производители", "рейтинг по нмц маркер"</t>
  </si>
  <si>
    <t>49.10.19.111 Услуги по перевозке пассажиров железнодорожным транспортом в междугородном сообщении в регулируемом секторе
77.39.11.000 Услуги по аренде и лизингу железнодорожных транспортных средств
49.1 Услуги железнодорожного транспорта по перевозке пассажиров в междугородном и международном сообщении
49.31.10.110 Услуги по перевозке пассажиров железнодорожным транспортом во внутригородском и пригородном сообщении в регулируемом секторе
62.02 Услуги консультативные, связанные с компьютерной техникой
62.02.3 Услуги по технической поддержке информационных технологий
62.09.20.120 Услуги по установке программного обеспечения
62.0 Продукты программные и услуги по разработке программного обеспечения; консультационные и аналогичные услуги в области информационных технологий
62.01.11.000 Услуги по проектированию и разработке информационных технологий для прикладных задач и тестированию программного обеспечения
62.09 Услуги в области информационных технологий прочие и компьютерные услуги</t>
  </si>
  <si>
    <t>1 395</t>
  </si>
  <si>
    <t>Заказчик разыгравший 36 конкурсов на сумму  13 620 171 419,48 ?</t>
  </si>
  <si>
    <t>24.10.61.111 Прокат сортовой горячекатаный круглый со свободной намоткой в бухты из нелегированных сталей
24.10.62.124 Прокат сортовой горячекатаный полосовой прочий, без дополнительной обработки, включая смотанный после прокатки, из нелегированных сталей
24.10.71.120 Двутавры стальные горячекатаные из нелегированных сталей
24.10.80.190 Прокат черных металлов прочий, не включенный в другие группировки
24 Металлы основные
24.1 Железо, чугун, сталь и ферросплавы
24.20.13.130 Трубы стальные электросварные
25.11.23.119 Конструкции и детали конструкций из черных металлов прочие, не включенные в другие группировки
25.73.30.180 Инструмент вспомогательный для крепления режущего инструмента
25.93.15.120 Электроды с покрытием ****</t>
  </si>
  <si>
    <t>ЗА 3 ГОДА ПО 223 ФЗ заключено 45 шт. с объемом НМЦ 108 327 735,97 ? за 1 ГОД ПО 223ФЗ заключено 8  9 899 199,30 ?</t>
  </si>
  <si>
    <t>10.11.20.110 Субпродукты пищевые крупного рогатого скота парные, остывшие или охлажденные
46.32 Услуги по оптовой торговле мясом и мясными продуктами
10.13.14.111 Колбасы (колбаски) вареные мясные
10.11.11 Мясо крупного рогатого скота (говядина и телятина) парное, остывшее или охлажденное, в том числе для детского питания</t>
  </si>
  <si>
    <t>2 149</t>
  </si>
  <si>
    <t>"поставщики маркер", ".", "ушедший портфель", "fk1", "ИНН 3 года - нет КД БГ на 01.10.22", "Список ушедший ", "06.2022_ФинХД", "клиенты с в от100млн 09.21", "ФК клиенты с выручкой от 230 до бесконечности", "рейтинг по нмц маркер", "это заказчик"</t>
  </si>
  <si>
    <t>"производители", ".", "клиенты с в от100млн 09.21", "все клиенты с выручкой от 1,8 млрд до бесконечности"</t>
  </si>
  <si>
    <t>29.10.41.113 Автомобили грузовые с дизельным двигателем, имеющие технически допустимую максимальную массу свыше 12 т
45.11.39.000 Услуги по розничной торговле легковыми автомобилями и грузовыми автомобилями малой грузоподъемности прочие, не включенные в другие группировки
29.10.4 Средства автотранспортные грузовые
29.10.41.110 Автомобили грузовые с дизельным двигателем
29.10.41.112 Автомобили грузовые с дизельным двигателем, имеющие технически допустимую максимальную массу свыше 3,5 т, но не более 12 т
29.10 Средства автотранспортные
28.22.14.129 Краны грузоподъемные прочие
28.22.18.314 Манипуляторы погрузочные и разгрузочные
29.10.59.390 Средства автотранспортные специального назначения прочие, не включенные в другие группировки
45.19.11.000 Услуги по оптовой торговле грузовыми автомобилями, седельными тягачами, прицепами, полуприцепами и автобусами ****</t>
  </si>
  <si>
    <t>За весь период контрактов 4 шт. с общей суммой НМЦ 352 798 807,70 ? с БГУ 35575154,3 и БГИ 213 450 925,80 ?</t>
  </si>
  <si>
    <t>Сообщение кредитора о намерении обратиться в суд с заявлением о банкротстве от 21.12.2020</t>
  </si>
  <si>
    <t>42.21 Сооружения и строительные работы по строительству инженерных коммуникаций для жидкостей и газов
42.21.1 Коммуникации инженерные для жидкостей и газов</t>
  </si>
  <si>
    <t>"клиенты от 100 млн", ".", "портфель 31.10.2021_10 тыс_проверка", "Кредитный портфель_01.11", "06.2022_ФинХД", "клиенты с в от100млн 09.21", "все клиенты с выручкой от 1,8 млрд до бесконечности", "ФК клиенты с выручкой от 230 до бесконечности"</t>
  </si>
  <si>
    <t>85.3 Услуги по профессиональному обучению
93.13.10.000 Услуги фитнес-центров
93.11.10.000 Услуги спортивных объектов</t>
  </si>
  <si>
    <t>1 767</t>
  </si>
  <si>
    <t>"44 за 3 года", ".", "ушедшие", "все клиенты с выручкой от 1,8 млрд до бесконечности"</t>
  </si>
  <si>
    <t>ЗА 3 ГОДА ПО 223 ФЗ заключено 33 шт. с объемом НМЦ 63 017 315,96 ? за 1 ГОД ПО 223ФЗ заключено 16  33 264 900,80 ?</t>
  </si>
  <si>
    <t>42.11 Дороги автомобильные и автомагистрали; строительные работы по строительству автомобильных дорог и автомагистралей
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43.11.10.000 Работы по сносу зданий и сооружений
43.21.10 Работы электромонтажные
49.41.19.900 Услуги по перевозке грузов автомобильным транспортом прочие, не включенные в другие группировки
43.3 Работы завершающие и отделочные в зданиях и сооружениях
25.11.23.120 Конструкции и детали конструкций из алюминия прочие</t>
  </si>
  <si>
    <t>За весь период компания заключила  19 контрактов на сумму  4 053 127 090,62 ? За весь период заходили в конкурсы  5 раз на общую сумму обеспеченных контрактов с НМЦ 3 120 110 040,50 ? с БГУ  31 901 785,20 ? с БГИ 185 728 455,00 ? За 3 ГОДА по 44ФЗ заключено 8 шт. с объемом НМЦ  2 775 234 051,65 ? с БГИ 290 956 716,99 ? с БГГО 0,00 ? с авансированием до 199 755 956,40 ? с комиссией банку 9 778 464,92 ? с кв 85 072,64 ? ЗА 1 ГОД по 44ФЗ заключено 3 шт. c объемом НМЦ 993 831 757,95 ? с БГИ 201 886 602,30 ? с БГГО 0,00 ? с авансированием до  199 755 956,40 ? с комиссией банку  7 676 625,64 ? с кв 66 786,64 ?</t>
  </si>
  <si>
    <t>"44 за 3 года", "свод фт", ".", "рейтинг поставщиков в маркере по бг", "Конкурсы 100+ (Восстановленный)", "fk1", "44 фз с с БГ от 10 млн", "рейтинг по нмц маркер", "это заказчик", "на фт заводил Кашин", "поставщики маркер"</t>
  </si>
  <si>
    <t>14.14.30.110 Футболки трикотажные или вязаные
14.31.10.111 Носки мужские из хлопчатобумажной и смешанной пряжи
17.22.11.130 Салфетки и полотенца гигиенические или косметические из бумажной массы, бумаги, целлюлозной ваты и полотна из целлюлозных волокон
15.20.21.140 Кроссовки и аналогичные изделия
14.39.10.110 Джемперы трикотажные или вязаные
14.13.12.140 Брюки мужские или для мальчиков трикотажные или вязаные
15.12.12.192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t>
  </si>
  <si>
    <t>42.21.21 Работы строительные по прокладке магистральных трубопроводов</t>
  </si>
  <si>
    <t>1 154</t>
  </si>
  <si>
    <t>46.69 Услуги по оптовой торговле прочими машинами и оборудованием</t>
  </si>
  <si>
    <t>"поставщики маркер", ".", "ушедший портфель", "fk1", "ИНН 3 года - нет КД БГ на 01.10.22", "Список ушедший ",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t>
  </si>
  <si>
    <t>27.40.15.150 Лампы светодиодные</t>
  </si>
  <si>
    <t>1 359</t>
  </si>
  <si>
    <t>Кредитный портфель_01.2815</t>
  </si>
  <si>
    <t>24 Металлы основные
24.20.13.130 Трубы стальные электросварные
24.20.12.120 Трубы насосно-компрессорные бесшовные стальные
24.20.13.190 Трубы круглого сечения прочие стальные
24.20.21.000 Трубы для нефте- и газопроводов сварные, наружным диаметром более 406,4 мм, стальные
24.20.31 Трубы сварные для нефте- и газопроводов, наружным диаметром не более 406,4 мм, стальные
24.2 Трубы, профили пустотелые и их фитинги стальные
24.20.1 Трубы, профили пустотелые бесшовные и их фитинги стальные
24.20.23.000 Трубы круглого сечения сварные прочие, наружным диаметром более 406,4 мм, стальные
24.20.13.110 Трубы стальные бесшовные горячедеформированные</t>
  </si>
  <si>
    <t>За весь период контрактов 27 шт. на общую сумму НМЦ 13 473 253 271,76 ?</t>
  </si>
  <si>
    <t>"223 за 3 года", ".", "рейтинг по нмц маркер", "это заказчик", "crm управления", "в crm за Синяевым ", "поставщики маркер"</t>
  </si>
  <si>
    <t>73.11.11.000 Набор рекламных услуг полный</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</si>
  <si>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42.11.10.121 Дорога автомобильная с усовершенствованным капитальным типом дорожного покрытия
42.11.10.122 Дорога автомобильная с усовершенствованным облегченным или переходным типом дорожного покрытия
42.1 Дороги автомобильные и железные; строительные работы по строительству автомобильных дорог и железных дорог</t>
  </si>
  <si>
    <t>За весь период компания заключила  52 контрактов на сумму  85 790 367 077,81 ? За весь период заходили в конкурсы  88 раз на общую сумму обеспеченных контрактов с НМЦ 88 618 610 274,54 ? с БГУ  4 590 273 672,51 ? с БГИ 17 929 417 301,70 ? За 3 ГОДА по 44ФЗ заключено 19 шт. с объемом НМЦ  7 758 750 200,00 ? с БГИ 898 904 530,74 ? с БГГО 54 550 090,97 ? с авансированием до 1 747 479 521,40 ? с комиссией банку 19 014 896,82 ? с кв 165 429,60 ? ЗА 1 ГОД по 44ФЗ заключено 11 шт. c объемом НМЦ 5 198 970 094,00 ? с БГИ 521 628 950,40 ? с БГГО 25 949 928,02 ? с авансированием до  1 525 717 998,70 ? с комиссией банку  22 761 625,71 ? с кв 198 026,14 ?</t>
  </si>
  <si>
    <t>28.14.12.110 Краны, клапаны для раковин, моек, биде, унитазов, ванн и аналогичная арматура
27.32.13.130 Провода и шнуры силовые
27.33.1 Изделия электроустановочные
27.3 Кабели и арматура кабельная
27.32.13.151 Кабели дальней связи
23.61 Изделия из бетона, используемые в строительстве
27.90 Оборудование электрическое прочее
27.90.12.120 Арматура изолирующая для электрических машин и оборудования
26.51.85.120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26.30.11.190 Аппаратура коммуникационная передающая с приемными устройствами прочая, не включенная в другие группировки ****</t>
  </si>
  <si>
    <t>За весь период компания заключила  8 контрактов на сумму  633 094 394,88 ?</t>
  </si>
  <si>
    <t>За весь период контрактов 3 шт. на общую сумму НМЦ 999 582 001,82 ?</t>
  </si>
  <si>
    <t>Сообщение кредитора о намерении обратиться в суд с заявлением о банкротстве от 13.12.2021</t>
  </si>
  <si>
    <t>69.1 Услуги юридические
69.20.1 Услуги по проведению финансового аудита
70.22.1 Услуги консультативные по вопросам управления деятельностью предприятия
69.20.29.000 Услуги в области бухгалтерского учета прочие
69.20.23.000 Услуги по принятию, своду и консолидации бухгалтерской (финансовой) отчетности
69.2 Услуги в области бухгалтерского учета; по проведению финансового аудита; по налоговому консультированию
70.22.12 Услуги консультативные по вопросам финансового управления (кроме вопросов корпоративного налогообложения)
70.22.17.000 Услуги по управлению бизнес-процессами
74.90.20 Услуги профессиональные, технические и коммерческие, прочие, не включенные в другие группировки</t>
  </si>
  <si>
    <t>За весь период контрактов 11 шт. на общую сумму НМЦ 3 061 413 989,00 ?</t>
  </si>
  <si>
    <t>"223 за 3 года", ".", "рейтинг поставщиков в маркере по бг", "Конкурсы 100+ (Восстановленный)", "все клиенты с выручкой от 1,8 млрд до бесконечности", "223 фз контракты 20+", "44 фз с с БГ от 10 млн", "рейтинг по нмц маркер", "это заказчик", "crm управления", "crm Пител", "поставщики маркер", "44 за 3 года"</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</si>
  <si>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43.13.10 Работы буровые и разведочные буровые
09.10 Услуги по добыче нефти и природного газа
09.10.11.140 Услуги геолого-разведочные, связанные с добычей нефти и газа
09.10.11.190 Услуги по бурению, связанные с добычей нефти и горючего природного газа, не включенные в другие группировки</t>
  </si>
  <si>
    <t>За весь период компания заключила  54 контрактов на сумму  39 007 912 259,67 ? За весь период заходили в конкурсы  8 раз на общую сумму обеспеченных контрактов с НМЦ 7 681 079 716,60 ? с БГУ  122 407 538,90 ? с БГИ 2 055 452 334,00 ?</t>
  </si>
  <si>
    <t>Сообщение кредитора о намерении обратиться в суд с заявлением о банкротстве от 16.03.2021</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</si>
  <si>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 Работы строительные по строительству коммунальных объектов для электроснабжения и телекоммуникаций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43.99.90.190 Работы строительные специализированные прочие, не включенные в другие группировки
68.20 Услуги по сдаче в аренду (внаем) собственного или арендованного недвижимого имущества
35.12.10.120 Услуги по технологическому присоединению к распределительным электросетям
35.13.10 Услуги по распределению электроэнергии
42.22.12.110 Линии электропередачи местные
43.12.11.140 Работы по расчистке территории, удалению растительности
43.21.10.120 Работы электромонтажные, связанные с установкой приборов ****</t>
  </si>
  <si>
    <t>За весь период компания заключила  10 контрактов на сумму  654 844 000,69 ?</t>
  </si>
  <si>
    <t>17.29.11.110 Ярлыки и этикетки из бумаги</t>
  </si>
  <si>
    <t>71.12.16.000 Услуги по инженерно-техническому проектированию производственных процессов и производств
42.21.22.120 Работы строительные по прокладке местных трубопроводов горячей воды
71 Услуги в области архитектуры и инженерно-технического проектирования, технических испытаний, исследований и анализа
71.12.20.190 Услуги по руководству строительными проектами прочие
42.21.24.120 Работы по монтажу водозаборных насосов и систем водозаборных трубопроводов
71.12.1 Услуги инженерно-технического характера
42.2 Сооружения и строительные работы по строительству инженерных коммуникаций
42.21.22.190 Работы строительные по прокладке местных трубопроводов прочих жидкостей и газов
43.2 Работы электромонтажные, работы по монтажу водопроводных и канализационных систем и прочие строительно-монтажные работы
42.21.13.121 Система бессточного водоснабжения ****</t>
  </si>
  <si>
    <t>За весь период компания заключила  29 контрактов на сумму  39 499 156 286,65 ? За весь период заходили в конкурсы  47 раз на общую сумму обеспеченных контрактов с НМЦ 34 577 698 170,20 ? с БГУ  278 603 313,18 ? с БГИ 4 100 807 540,74 ? За 3 ГОДА по 44ФЗ заключено 11 шт. с объемом НМЦ  2 409 464 723,79 ? с БГИ 681 274 005,98 ? с БГГО 32 708 649,13 ? с авансированием до 453 007 251,08 ? с комиссией банку 14 566 818,45 ? с кв 126 731,32 ? ЗА 1 ГОД по 44ФЗ заключено 1 шт. c объемом НМЦ 27 423 066,50 ? с БГИ 8 226 919,95 ? с БГГО 822 692,00 ? с авансированием до  0,00 ? с комиссией банку  93 313,56 ? с кв 811,83 ? ЗА 3 ГОДА ПО 223 ФЗ заключено 37 шт. с объемом НМЦ 2 273 292 364,79 ? за 1 ГОД ПО 223ФЗ заключено 17  847 252 062,47 ?</t>
  </si>
  <si>
    <t>Сообщения о принятии решения о реорганизации от 30.11.2021</t>
  </si>
  <si>
    <t>"223 за 3 года", ".", "рейтинг поставщиков в маркере по бг", "клиент металлинвеста", "Конкурсы 100+ (Восстановленный)", "fk1",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"223 фз контракты 20+", "44 фз с с БГ от 10 млн", "производители", "рейтинг по нмц маркер", "crm управления", "в crm за Синяевым ", "поставщики маркер", "44 за 3 года"</t>
  </si>
  <si>
    <t>За весь период контрактов 12 шт. на общую сумму НМЦ 9 646 451 370,48 ?</t>
  </si>
  <si>
    <t>42.12.20.190 Работы строительные по строительству наземных и подземных железных дорог прочие, не включенные в другие группировки
43.12.12 Работы по отрывке и перемещению грунта
43.11 Работы по сносу зданий и сооружений</t>
  </si>
  <si>
    <t>За весь период компания заключила  2 контрактов на сумму  2 119 805 645,20 ?                                     ЗА 3 ГОДА ПО 223 ФЗ заключено 11 шт. с объемом НМЦ 4 950 919 313,03 ? за 1 ГОД ПО 223ФЗ заключено 1  1 065 412 966,38 ?</t>
  </si>
  <si>
    <t>"223 за 3 года", ".", "ГРАНДИОЗНЫЙ ПРОЕКТ 223", "fk1", "ПОС на 01.02.2023", "ПОС на 03.04.2023", "Кредитный портфель_01.11", "06.2022_ФинХД", "все клиенты с выручкой от 1,8 млрд до бесконечности", "клиенты от 100 млн", "Обороты по клиентам по кварталам (2022г)", "223 фз контракты 20+", "рейтинг по нмц маркер", "поставщики маркер"</t>
  </si>
  <si>
    <t>За весь период компания заключила  1 контрактов на сумму  408 524 362,87 ?</t>
  </si>
  <si>
    <t>Сообщения о принятии решения о реорганизации от 29.11.2022</t>
  </si>
  <si>
    <t>51.21.14.000 Услуги по перевозке прочих грузов воздушным транспортом на нерегулярной основе
52.29 Услуги транспортные вспомогательные прочие</t>
  </si>
  <si>
    <t>28.13.14.110 Насосы центробежные подачи жидкостей прочие
22.11.11.000 Шины и покрышки пневматические для легковых автомобилей новые
28.30.53.000 Прессы для соломы или сена, включая пресс-подборщики
28.30.93.000 Части прочих машин и оборудования для сельского хозяйства
28.22.18.246 Погрузчики универсальные сельскохозяйственного назначения
28.30.59.111 Комбайны зерноуборочные
28.92.40.129 Дробилки прочие, не включенные в другие группировки
29.10.59.130 Средства транспортные для коммунального хозяйства и содержания дорог
29.32.30.220 Колеса, ступицы и их детали
28.30.23.110 Тракторы сельскохозяйственные колесные с мощностью двигателя более 59 кВт ****</t>
  </si>
  <si>
    <t>на фт заводил Зуйкова.xlsx</t>
  </si>
  <si>
    <t>"223 за 3 года", "свод фт", ".", "ушедшие", "все клиенты с выручкой от 1,8 млрд до бесконечности", "это заказчик", "на фт заводил Зуйкова", "44 за 3 года"</t>
  </si>
  <si>
    <t>За весь период компания заключила  1 контрактов на сумму  1 251 994 170,00 ?</t>
  </si>
  <si>
    <t>"223 за 3 года", ".", "беники", "все клиенты с выручкой от 1,8 млрд до бесконечности", "Участники клиринга", "рейтинг по нмц маркер", "поставщики маркер"</t>
  </si>
  <si>
    <t>За весь период компания заключила  1 контрактов на сумму  398 168 795,00 ?                                     ЗА 3 ГОДА ПО 223 ФЗ заключено 13 шт. с объемом НМЦ 528 774 917,18 ?</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</si>
  <si>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35.11.10.117 Электроэнергия, произведенная гидроаккумулирующими электростанциями (ГАЭС) общего назначения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35.13.10.000 Услуги по распределению электроэнергии
35.30.11.120 Энергия тепловая, отпущенная котельными
35.30.12.130 Услуги по транспортированию горячей воды ****</t>
  </si>
  <si>
    <t>За весь период компания заключила  5 контрактов на сумму  9 695 537 415,38 ? За весь период заходили в конкурсы  3 раз на общую сумму обеспеченных контрактов с НМЦ 284 282 045,71 ? с БГУ  24 079 817,30 ? с БГИ 144 478 903,80 ?                             ЗА 3 ГОДА ПО 223 ФЗ заключено 8 шт. с объемом НМЦ 26 792 217,80 ? за 1 ГОД ПО 223ФЗ заключено 1  17 261 992,36 ?</t>
  </si>
  <si>
    <t>Сообщения о принятии решения о реорганизации от 29.01.2021</t>
  </si>
  <si>
    <t>68.20.1 Услуги по сдаче в аренду (внаем) собственного или арендованного недвижимого имущества
35.11.10.111 Электроэнергия, произведенная конденсационными электростанциями (КЭС) общего назначения
35.12.10.110 Услуги по передаче электроэнергии</t>
  </si>
  <si>
    <t>За весь период контрактов 4 шт. на общую сумму НМЦ 34 031 237 859,12 ?</t>
  </si>
  <si>
    <t>Сообщение кредитора о намерении обратиться в суд с заявлением о банкротстве от 19.01.2023</t>
  </si>
  <si>
    <t>35.30.11.120 Энергия тепловая, отпущенная котельными
35.30.12.130 Услуги по транспортированию горячей воды</t>
  </si>
  <si>
    <t>9 386</t>
  </si>
  <si>
    <t>Сообщения о принятии решения о реорганизации от 23.03.2020</t>
  </si>
  <si>
    <t>28.14.12.110 Краны, клапаны для раковин, моек, биде, унитазов, ванн и аналогичная арматура
28.15.26.140 Муфты гидродинамические
27.32.13.130 Провода и шнуры силовые
27.40 Оборудование электрическое осветительное
23.52.10.110 Известь негашеная
22.11.11.000 Шины и покрышки пневматические для легковых автомобилей новые
16.21.12.111 Фанера общего назначения
20.59.43.120 Антифризы
22.11.14 Шины и покрышки пневматические для сельскохозяйственных машин; шины и покрышки пневматические прочие новые
22.11.14.199 Шины пневматические прочие, не включенные в другие группировки ****</t>
  </si>
  <si>
    <t>ЗА 1 ГОД по 44ФЗ заключено 11 шт. c объемом НМЦ 40 175 523,57 ? с БГИ 10 683 731,82 ? с БГГО 0,00 ? с авансированием до  10 066 343,20 ? с комиссией банку  79 641,08 ? с кв 692,88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</si>
  <si>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35.11.10 Электроэнергия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 Услуги по распределению электроэнергии ****</t>
  </si>
  <si>
    <t>ЗА 3 ГОДА ПО 223 ФЗ заключено 10 шт. с объемом НМЦ 533 521 824,33 ? за 1 ГОД ПО 223ФЗ заключено 2  7 000 000,00 ?</t>
  </si>
  <si>
    <t>"223 за 3 года", ".", "выдали", "fk1", "ПОС на 01.02.2023", "корп 2", "ПОС на 03.04.2023", "Кредитный портфель_01.11", "06.2022_ФинХД", "все клиенты с выручкой от 1,8 млрд до бесконечности", "клиенты от 100 млн", "Обороты по клиентам по кварталам (2022г)", "поставщики маркер"</t>
  </si>
  <si>
    <t>24.20.14 Трубы некруглого сечения и профили пустотелые, стальные
24.10.62 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
24.10.71.110 Уголки стальные горячекатаные из нелегированных сталей
24.10.23.190 Полуфабрикаты прочие из прочих легированных сталей
24.10.35.000 Прокат листовой горячекатаный из прочих легированных сталей, без дополнительной обработки, шириной не менее 600 мм
24.10.62.211 Сталь арматурная горячекатаная для железобетонных конструкций</t>
  </si>
  <si>
    <t>"Обороты по клиентам по кварталам (2022г)", ".", "ушедший портфель", "инн Ленинградка", "fk1", "ИНН 3 года - нет КД БГ на 01.10.22", "Список ушедший ", "корп 1", "06.2022_ФинХД", "клиенты с в от100млн 09.21", "все клиенты с выручкой от 1,8 млрд до бесконечности", "ФК клиенты с выручкой от 230 до бесконечности"</t>
  </si>
  <si>
    <t>24.10.35 Прокат листовой горячекатаный из прочих легированных сталей, без дополнительной обработки, шириной не менее 600 мм
20.30.22.220 Растворители и разбавители органические сложные; составы готовые для удаления красок и лаков (смывки)
24 Металлы основные
24.20.13.130 Трубы стальные электросварные
25.11.23.119 Конструкции и детали конструкций из черных металлов прочие, не включенные в другие группировки
25.93.15.120 Электроды с покрытием
25.94.11.120 Шурупы из черных металлов
46.73.1 Услуги по оптовой торговле лесоматериалами, строительными материалами и санитарно-техническим оборудованием
24.10.62.121 Прокат сортовой горячекатаный круглый прочий, без дополнительной обработки, включая смотанный после прокатки, из нелегированных сталей
24.10.73.111 Уголки стальные горячекатаные равнополочные из прочих легированных сталей ****</t>
  </si>
  <si>
    <t>ЗА 3 ГОДА ПО 223 ФЗ заключено 14 шт. с объемом НМЦ 41 749 430,93 ? за 1 ГОД ПО 223ФЗ заключено 1  6 268 673,42 ?</t>
  </si>
  <si>
    <t>25.11.21.120 Секции мостов из черных металлов
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</si>
  <si>
    <t>За 3 года по 223ФЗ заключено  3 шт контрактов на сумму 114 758 700,00 ?</t>
  </si>
  <si>
    <t>25.94.11.110 Болты и винты из черных металлов</t>
  </si>
  <si>
    <t>28.22.19 Части грузоподъемного и погрузочно-разгрузочного оборудования
28.22.19.190 Комплектующие (запасные части) прочего подъемно-транспортного и погрузочно-разгрузочного оборудования, не имеющие самостоятельных группировок
13.9 Изделия текстильные прочие
25.11.23.119 Конструкции и детали конструкций из черных металлов прочие, не включенные в другие группировки
25.93.11.140 Стропы и аналогичные изделия из черных металлов без электрической изоляции
25.93.14.119 Гвозди прочие
25.93.15.120 Электроды с покрытием
25.93.12.130 Канаты из меди или алюминия без электрической изоляции
24.10.62.123 Прокат сортовой горячекатаный шестигранный прочий, без дополнительной обработки, включая смотанный после прокатки, из нелегированных сталей
24.10.73.111 Уголки стальные горячекатаные равнополочные из прочих легированных сталей ****</t>
  </si>
  <si>
    <t>24.10 Железо, чугун, сталь и ферросплавы</t>
  </si>
  <si>
    <t>"поставщики маркер", ".", "fk1", "Кредитный портфель_01.11", "корп 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</si>
  <si>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11.0 Напитки
23.13 Стекло полое
11.02 Вина виноградные
11.01.1 Напитки алкогольные дистиллированные и ректификованные</t>
  </si>
  <si>
    <t>Сообщение кредитора о намерении обратиться в суд с заявлением о банкротстве от 24.08.2018</t>
  </si>
  <si>
    <t>10.13 Продукция мясная пищевая, в том числе из мяса птицы
35.11.10.112 Электроэнергия, произведенная теплоэлектроцентралями (ТЭЦ) общего назначения
46.32 Услуги по оптовой торговле мясом и мясными продуктами
10.13.14.110 Изделия колбасные вареные, в том числе фаршированные мясные
10.13.15.140 Консервы мясорастительные с использованием мяса и субпродуктов птицы
10.13.15.111 Консервы кусковые мясные
10.13.1 Продукты консервированные и готовые из мяса, субпродуктов и крови животных, из мяса и субпродуктов птицы
10.13.15.199 Продукция мясная пищевая, в том числе из мяса птицы прочая, не включенная в другие группировки
10.13.14.111 Колбасы (колбаски) вареные мясные
10.13.15.113 Консервы фаршевые мясные ****</t>
  </si>
  <si>
    <t>28.41.22.130 Станки фрезерные металлорежущие
28.49.12.110 Станки деревообрабатывающие
28.49.12.119 Станки деревообрабатывающие прочие
28.41.23.130 Станки шлифовальные металлообрабатывающие
02.1 Продукция лесоводства, услуги лесопитомников
28.49.12.111 Станки деревообрабатывающие круглопильные, ленточнопильные и лобзиковые</t>
  </si>
  <si>
    <t>"на фт заводил Хацкевич", "свод фт", ".", "fk1", "Действующий клиент мсб с выр от 30 млн на 05.21", "все клиенты с выручкой от 1,8 млрд до бесконечности", "ФК клиенты с выручкой от 230 до бесконечности", "производители"</t>
  </si>
  <si>
    <t>61.90 Услуги телекоммуникационные прочие</t>
  </si>
  <si>
    <t>55.10 Услуги гостиниц и аналогичные услуги по предоставлению временного жилья
55.10.10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41.20.40.900 Работы строительные по возведению нежилых зданий и сооружений прочие, не включенные в другие группировки
71.11.22.000 Услуги в области архитектуры, связанные с проектами строительства нежилых зданий и сооружений
43.39.19.190 Работы завершающие и отделочные в зданиях и сооружениях, прочие, не включенные в другие группировки
43.29.19.110 Работы по монтажу лифтов, эскалаторов и движущихся тротуаров, требующие специальной квалификации, включая ремонт и техническое обслуживание
71.12.19.100 Услуги по инженерно-техническому проектированию прочих объектов, кроме объектов культурного наследия
71.12.18.000 Услуги по инженерно-техническому проектированию объектов связи, телевидения и радиовещания</t>
  </si>
  <si>
    <t>За весь период компания заключила  43 контрактов на сумму  29 760 245 144,89 ? За весь период заходили в конкурсы  118 раз на общую сумму обеспеченных контрактов с НМЦ 34 717 386 772,72 ? с БГУ  1 546 215 923,38 ? с БГИ 4 149 520 862,74 ?</t>
  </si>
  <si>
    <t>"поставщики маркер", "свод фт", ".", "рейтинг поставщиков в маркере по бг", "кредиты фт", "лимит сит по кредитам", "все клиенты с выручкой от 1,8 млрд до бесконечности", "Одобренные но не выданные 1 полугодие 2021", "производители", "рейтинг по нмц маркер", "на фт заводил Микульшин"</t>
  </si>
  <si>
    <t>49.39.31.000 Услуги арендованных автобусов с водителем
49.31.21.110 Услуги (работы) по регулярным перевозкам пассажиров автобусами в городском и пригородном сообщении
49.41.20.000 Услуги по аренде грузовых транспортных средств с водителем</t>
  </si>
  <si>
    <t>За весь период контрактов 32 шт. на общую сумму НМЦ 69 592 323 918,91 ?</t>
  </si>
  <si>
    <t>"44 за 3 года", ".", "рейтинг поставщиков в маркере по бг", "fk1", "инн Красносельская", "портфель 31.10.2021_10 тыс_проверка", "корп 2",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t>
  </si>
  <si>
    <t>ЗА 3 ГОДА ПО 223 ФЗ заключено 4 шт. с объемом НМЦ 56 557 044,58 ? за 1 ГОД ПО 223ФЗ заключено 1  126 395 177,78 ?</t>
  </si>
  <si>
    <t>26.20.40.190 Комплектующие и запасные части для вычислительных машин прочие, не включенные в другие группировки</t>
  </si>
  <si>
    <t>"поставщики маркер", ".", "fk1", "ПОС на 03.04.2023", "Кредитный портфель_01.11", "ФК клиенты с выручкой от 230 до бесконечности", "Обороты по клиентам по кварталам (2022г)"</t>
  </si>
  <si>
    <t>1 063</t>
  </si>
  <si>
    <t>Заказчик разыгравший 3 конкурсов на сумму  739 050 741,10 ?</t>
  </si>
  <si>
    <t>25.30.11.110 Котлы паровые
33.20 Услуги по монтажу промышленных машин и оборудования
33.12 Услуги по ремонту оборудования
28.11.23 Турбины газовые, кроме турбореактивных и турбовинтовых</t>
  </si>
  <si>
    <t>За весь период компания заключила  16 контрактов на сумму  11 306 777 876,09 ?                                     ЗА 3 ГОДА ПО 223 ФЗ заключено 1 шт. с объемом НМЦ 3 186 200 000,00 ?</t>
  </si>
  <si>
    <t>22.21.42.130 Полосы (ленты) прочие пластмассовые непористые
46.73.1 Услуги по оптовой торговле лесоматериалами, строительными материалами и санитарно-техническим оборудованием
47.52.79.000 Услуги по розничной торговле прочими строительными материалами, не включенными в другие группировки, в специализированных магазинах
22.21.29.110 Трубы прочие пластмассовые
25.73.3 Инструмент ручной прочий
47.19.20 Услуги по розничной торговле большим товарным ассортиментом непродовольственной продукции в неспециализированных магазинах
27.90.40.190 Оборудование электрическое прочее, не включенное в другие группировки
22.21.21.129 Трубы полимерные жесткие прочие
22.21 Плиты, листы, трубы и профили пластмассовые
25.7 Изделия ножевые, инструмент и универсальные скобяные изделия ****</t>
  </si>
  <si>
    <t>за 1 ГОД ПО 223ФЗ заключено 2  10 499 000,00 ?</t>
  </si>
  <si>
    <t>"223 за 3 года", ".", "fk1", "все клиенты с выручкой от 1,8 млрд до бесконечности", "рейтинг заказчиков маркер", "это заказчик", "поставщики маркер"</t>
  </si>
  <si>
    <t>16.23.20.160 Помещения деревянные контейнерного типа</t>
  </si>
  <si>
    <t>1 692</t>
  </si>
  <si>
    <t>"производители", ".", "fk1", "корп 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</si>
  <si>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35.30.12.110 Услуги по приготовлению воды на нужды горячего водоснабжения</t>
  </si>
  <si>
    <t>Заказчик разыгравший 87 конкурсов на сумму  21 489 271 972,87 ?</t>
  </si>
  <si>
    <t>За весь период компания заключила  1 контрактов на сумму  3 800 144 309,61 ? За весь период заходили в конкурсы  1 раз на общую сумму обеспеченных контрактов с НМЦ 3 800 144 309,61 ? с БГУ  190 007 215,48 ? с БГИ 912 034 634,31 ?</t>
  </si>
  <si>
    <t>"223 за 3 года", ".", "рейтинг поставщиков в маркере по бг", "корп 1", "06.2022_ФинХД", "клиенты с в от100млн 09.21", "ФК клиенты с выручкой от 230 до бесконечности", "Обороты по клиентам по кварталам (2022г)", "рейтинг по нмц маркер", "поставщики маркер"</t>
  </si>
  <si>
    <t>1 404</t>
  </si>
  <si>
    <t>На 21.03.2023 12:51 имеются действующие решения ФНС о приостановлении операций по счетам, Сообщение кредитора о намерении обратиться в суд с заявлением о банкротстве от 29.03.2023</t>
  </si>
  <si>
    <t>41.20.20.100 Здания нежилые</t>
  </si>
  <si>
    <t>20.30.22.220 Растворители и разбавители органические сложные; составы готовые для удаления красок и лаков (смывки)
46.73.14 Услуги по оптовой торговле лакокрасочными материалами
30.99.10.190 Средства транспортные и оборудование прочие, не включенные в другие группировки
45.20.11.519 Прочие услуги по техническому обслуживанию и ремонту прочих автотранспортных средств, не включенные в другие группировки
28.96.10.120 Оборудование для производства продукции из резины и пластмасс, не включенное в другие группировки
20.30.11.120 Краски на основе акриловых или виниловых полимеров в водной среде
29.10.59.130 Средства транспортные для коммунального хозяйства и содержания дорог
28.99.39.190 Оборудование специального назначения прочее, не включенное в другие группировки
28.2 Машины и оборудование общего назначения прочие
20.16.30 Полимеры винилхлорида или прочих галогенированных олефинов в первичных формах ****</t>
  </si>
  <si>
    <t>За весь период заходили в конкурсы  1 раз на общую сумму обеспеченных контрактов с НМЦ 504 856,43 ? с БГУ  686 695,86 ? с БГИ 6 866 958,60 ? За 3 ГОДА по 44ФЗ заключено 6 шт. с объемом НМЦ  86 411 447,12 ? с БГИ 3 905 975,53 ? с БГГО 301 448,13 ? с авансированием до 0,00 ? с комиссией банку 283 632,37 ? с кв 2 467,60 ?               ЗА 3 ГОДА ПО 223 ФЗ заключено 28 шт. с объемом НМЦ 30 410 326,28 ?</t>
  </si>
  <si>
    <t>"223 за 3 года", ".", "рейтинг поставщиков в маркере по бг", "все клиенты с выручкой от 1,8 млрд до бесконечности", "рейтинг по нмц маркер", "crm управления", "в crm за Муслимом", "поставщики маркер", "44 за 3 года"</t>
  </si>
  <si>
    <t>16.23.11.130 Двери, их коробки и пороги деревянные
28.24.11.000 Инструменты ручные электрические
21.20.10.158 Антисептики и дезинфицирующие препараты</t>
  </si>
  <si>
    <t>"поставщики маркер", ".", "закрыли счет", "все клиенты с выручкой от 1,8 млрд до бесконечности", "производители"</t>
  </si>
  <si>
    <t>63.11.11.000 Услуги по обработке данных</t>
  </si>
  <si>
    <t>За весь период компания заключила  1 контрактов на сумму  2 098 495 657,00 ?</t>
  </si>
  <si>
    <t>"поставщики маркер", ".", "fk1", "корп 1", "все клиенты с выручкой от 1,8 млрд до бесконечности", "Обороты по клиентам по кварталам (2022г)"</t>
  </si>
  <si>
    <t>28.30.93.000 Части прочих машин и оборудования для сельского хозяйства
28.29 Машины и оборудование общего назначения прочие, не включенные в другие группировки
28.30.2 Тракторы для сельского хозяйства прочие
28.92.61.130 Комплектующие (запасные части) кранового оборудования, не имеющие самостоятельных группировок
45.32 Услуги по розничной торговле автомобильными деталями, узлами и принадлежностями
29.32.30.220 Колеса, ступицы и их детали
28.92.6 Части оборудования для добычи полезных ископаемых подземным и открытым способами и строительства
28.92.61.110 Комплектующие (запасные части) бурильных и проходческих машин, не имеющие самостоятельных группировок
29.32.30.390 Части и принадлежности для автотранспортных средств прочие, не включенные в другие группировки
28.29.23.120 Уплотнения механические ****</t>
  </si>
  <si>
    <t>"поставщики маркер", ".", "223 фз контракты 20+", "рейтинг по нмц маркер", "это заказчик"</t>
  </si>
  <si>
    <t>22.11.11.000 Шины и покрышки пневматические для легковых автомобилей новые
20.59.41 Материалы смазочные
20.59.43.120 Антифризы
20.30.22.170 Герметики
20.30.22.220 Растворители и разбавители органические сложные; составы готовые для удаления красок и лаков (смывки)
20.41.43.130 Средства, кремы, мастики для транспортных средств полирующие
19.20.23.190 Дистилляты легкие, не включенные в другие группировки
19.20.29.119 Масла моторные прочие, не включенные в другие группировки
19.20.29.140 Масла индустриальные
19.20.29.150 Масла компрессорные ****</t>
  </si>
  <si>
    <t>"223 за 3 года", ".", "ушедшие", "поставщики маркер", "44 за 3 года"</t>
  </si>
  <si>
    <t>"Обороты по клиентам по кварталам (2022г)", ".", "инн Ленинградка",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t>
  </si>
  <si>
    <t>ЗА 3 ГОДА ПО 223 ФЗ заключено 2 шт. с объемом НМЦ 31 222 370,00 ?</t>
  </si>
  <si>
    <t>42.22 Сооружения и строительные работы по строительству коммунальных объектов для электроснабжения и связи
42.21.22.130 Работы строительные по прокладке местных трубопроводов газа и пара</t>
  </si>
  <si>
    <t>За весь период компания заключила  152 контрактов на сумму  336 275 465 268,93 ?</t>
  </si>
  <si>
    <t>Юридическое лицо находится в процессе реорганизации в форме присоединения к нему других юридических лиц от 14.03.2023</t>
  </si>
  <si>
    <t>45.31 Услуги по оптовой торговле автомобильными деталями, узлами и принадлежностями
45.3 Услуги по торговле автомобильными деталями, узлами и принадлежностями
65.12.29 Услуги по страхованию автотранспортных средств прочие</t>
  </si>
  <si>
    <t>"поставщики маркер", ".", "ушедший портфель", "ИНН 3 года - нет КД БГ на 01.10.22", "Список ушедший ", "ушедшие", "06.2022_ФинХД", "клиенты с в от100млн 09.21", "все клиенты с выручкой от 1,8 млрд до бесконечности", "ФК клиенты с выручкой от 230 до бесконечности", "crm управления", "в crm за Чимровым"</t>
  </si>
  <si>
    <t>Заказчик разыгравший 8 конкурсов на сумму  4 087 659 803,39 ?</t>
  </si>
  <si>
    <t>10.72.12.120 Печенье сладкое
10.82 Какао, шоколад и изделия кондитерские сахаристые
10.82.2 Шоколад и кондитерские сахаристые изделия
10.8 Продукты пищевые прочие</t>
  </si>
  <si>
    <t>2 400</t>
  </si>
  <si>
    <t>20.42.18.112 Порошки зубные
20.59 Продукты химические прочие, не включенные в другие группировки
21.20.23.199 Средства нелечебные прочие
20.59.52.199 Реагенты сложные диагностические или лабораторные прочие, не включенные в другие группировки
20.20.14.000 Средства дезинфекционные
21.20.2 Препараты лекарственные прочие и материалы, применяемые в медицинских целях
26.60.11.121 Аппаратура стерилизационная, основанная на использовании альфа-, бета- или гамма-излучений, применяемая в медицинских целях
32.50.1 Инструменты и приспособления хирургические и стоматологические
32.50.13.190 Инструменты и приспособления, применяемые в медицинских целях, прочие, не включенные в другие группировки
32.50.21.112 Оборудование терапевтические ****</t>
  </si>
  <si>
    <t>За весь период заходили в конкурсы  3 раз на общую сумму обеспеченных контрактов с НМЦ 505 097 131,70 ? с БГУ  33 864 228,00 ? с БГИ 270 246 456,00 ? За 3 ГОДА по 44ФЗ заключено 287 шт. с объемом НМЦ  198 874 911,02 ? с БГИ 17 813 844,50 ? с БГГО 1 661 148,37 ? с авансированием до 51 120,00 ? с комиссией банку 211 894,20 ? с кв 1 843,48 ? ЗА 1 ГОД по 44ФЗ заключено 88 шт. c объемом НМЦ 71 225 944,67 ? с БГИ 7 737 353,67 ? с БГГО 1 140 740,09 ? с авансированием до  51 120,00 ? с комиссией банку  78 850,14 ? с кв 686,00 ? ЗА 3 ГОДА ПО 223 ФЗ заключено 70 шт. с объемом НМЦ 63 164 475,05 ? за 1 ГОД ПО 223ФЗ заключено 15  16 645 064,83 ?</t>
  </si>
  <si>
    <t>"223 за 3 года", ".", "рейтинг поставщиков в маркере по бг",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 "44 за 3 года"</t>
  </si>
  <si>
    <t>1 039</t>
  </si>
  <si>
    <t>77.39.19.113 Услуги по аренде и лизингу подъемно-транспортного оборудования
77.39.19.119 Услуги по аренде и лизингу прочих машин и оборудования научного и промышленного назначения
29.1 Средства автотранспортные
77.1 Услуги по аренде и лизингу автотранспортных средств
77.11.10.000 Услуги по аренде и лизингу легковых автомобилей и легких автотранспортных средств
29.10.59.130 Средства транспортные для коммунального хозяйства и содержания дорог
64.91 Услуги по финансовой аренде (лизингу/сублизингу)
77.32 Услуги по аренде и лизингу строительных машин и оборудования для гражданского строительства
77 Услуги по аренде и лизингу
77.12 Услуги по аренде и лизингу грузовых транспортных средств ****</t>
  </si>
  <si>
    <t>За весь период компания заключила  13 контрактов на сумму  740 651 966,65 ? За весь период заходили в конкурсы  26 раз на общую сумму обеспеченных контрактов с НМЦ 1 813 277 091,39 ? с БГУ  58 325 289,87 ? с БГИ 392 708 205,73 ? За 3 ГОДА по 44ФЗ заключено 54 шт. с объемом НМЦ  726 877 906,42 ? с БГИ 151 115 074,65 ? с БГГО 6 660 199,50 ? с авансированием до 91 727 570,56 ? с комиссией банку 3 746 696,98 ? с кв 32 596,26 ? ЗА 1 ГОД по 44ФЗ заключено 18 шт. c объемом НМЦ 254 889 009,33 ? с БГИ 41 700 723,23 ? с БГГО 329 313,60 ? с авансированием до  12 368 223,22 ? с комиссией банку  2 115 491,39 ? с кв 18 404,78 ? ЗА 3 ГОДА ПО 223 ФЗ заключено 48 шт. с объемом НМЦ 997 961 002,17 ? за 1 ГОД ПО 223ФЗ заключено 8  147 727 138,71 ?</t>
  </si>
  <si>
    <t>"223 за 3 года", "кл фт агент бг 04.22", ".", "рейтинг поставщиков в маркере по бг", "ГРАНДИОЗНЫЙ ПРОЕКТ", "fk1", "Кредитный портфель_01.11", "Гарантии ФБ банкроты", "филиал бизнес 31.01.22 ",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"223 фз контракты 20+", "44 фз с с БГ от 10 млн", "рейтинг по нмц маркер", "поставщики маркер", "44 за 3 года"</t>
  </si>
  <si>
    <t>ЗА 3 ГОДА ПО 223 ФЗ заключено 1 шт. с объемом НМЦ 5 231 762 922,00 ? за 1 ГОД ПО 223ФЗ заключено 1  5 231 762 922,00 ?</t>
  </si>
  <si>
    <t>"223 за 3 года", "свод фт", ".", "все клиенты с выручкой от 1,8 млрд до бесконечности", "на фт заводил Алиев", "поставщики маркер", "44 за 3 года"</t>
  </si>
  <si>
    <t>Юридическое лицо находится в процессе реорганизации в форме выделения от 02.11.2022, Сообщения о принятии решения о реорганизации от 02.11.2022</t>
  </si>
  <si>
    <t>Сообщения о принятии решения о реорганизации от 06.05.2021</t>
  </si>
  <si>
    <t>"в crm за Досхоевым", ".", "все клиенты с выручкой от 1,8 млрд до бесконечности", "crm управления"</t>
  </si>
  <si>
    <t>71.12.20.190 Услуги по руководству строительными проектами прочие
71.12.19.100 Услуги по инженерно-техническому проектированию прочих объектов, кроме объектов культурного наследия</t>
  </si>
  <si>
    <t>За весь период компания заключила  2 контрактов на сумму  1 323 571 890,15 ? За весь период заходили в конкурсы  1 раз на общую сумму обеспеченных контрактов с НМЦ 619 754 952,00 ? с БГУ  38 734 684,50 ? с БГИ 232 408 107,00 ?</t>
  </si>
  <si>
    <t>42.12.20 Работы строительные по строительству наземных и подземных железных дорог
43.29 Работы строительно-монтажные прочие
42.12 Дороги железные наземные и подземные; строительные работы по строительству наземных и подземных железных дорог
43.99 Работы строительные специализированные, не включенные в другие группировки</t>
  </si>
  <si>
    <t>За весь период компания заключила  8 контрактов на сумму  5 124 234 408,80 ?                                         за 1 ГОД ПО 223ФЗ заключено 1  1 393 658 835,80 ?</t>
  </si>
  <si>
    <t>"поставщики маркер", ".", "Конкурсы 100+ (Восстановленный)", "223 фз контракты 20+", "рейтинг по нмц маркер"</t>
  </si>
  <si>
    <t>28.14.12.110 Краны, клапаны для раковин, моек, биде, унитазов, ванн и аналогичная арматура
27.52.14.000 Водонагреватели, проточные или аккумулирующего типа, неэлектрические
23.69.19.000 Изделия из цемента, бетона или искусственного камня, не включенные в другие группировки
28.24.12.120 Инструменты ручные гидравлические
20.30.22.170 Герметики
20.30.22.220 Растворители и разбавители органические сложные; составы готовые для удаления красок и лаков (смывки)
23.99.12.110 Материалы рулонные кровельные и гидроизоляционные
23.99.14.130 Продукты на основе графита или прочих форм углерода в виде полуфабрикатов
24 Металлы основные
25.11.23.119 Конструкции и детали конструкций из черных металлов прочие, не включенные в другие группировки ****</t>
  </si>
  <si>
    <t>22.29 Изделия пластмассовые прочие
23.52.10.110 Известь негашеная
23.31.10.110 Плиты керамические
23.31.10.120 Плитки керамические
22.21.42.143 Покрытия полимерные защитные пылеподавляющие
23.91.12.120 Шкурка шлифовальная на бумажной или картонной основе
24.10.80.190 Прокат черных металлов прочий, не включенный в другие группировки
20.30.11.110 Лаки на основе акриловых или виниловых полимеров в водной среде
20.30.22.170 Герметики
20.30.22.220 Растворители и разбавители органические сложные; составы готовые для удаления красок и лаков (смывки) ****</t>
  </si>
  <si>
    <t>За весь период заходили в конкурсы  12 раз на общую сумму обеспеченных контрактов с НМЦ 0,00 ? с БГУ  67 961 361,46 ? с БГИ 365 237 624,79 ?</t>
  </si>
  <si>
    <t>26.51.64.190 Приборы для измерения параметров движения и количества прочие
72.19.50.000 Работы оригинальные научных исследований и экспериментальных разработок в области естественных и технических наук, кроме биотехнологии
71.12 Услуги в области инженерно-технического проектирования и связанные технические консультативные услуги
72.20.11.000 Услуги, связанные с научными исследованиями и экспериментальными разработками в области экономики и предпринимательства
33.12.29.900 Услуги по ремонту и техническому обслуживанию прочего оборудования специального назначения, не включенные в другие группировки
71.1 Услуги в области архитектуры, инженерно-технического проектирования и связанные технические консультативные услуги
26.20.30.000 Устройства автоматической обработки данных прочие
77.39.19.115 Услуги по аренде и лизингу контрольно-измерительной аппаратуры
26.51.66.190 Инструменты, приборы и машины для измерения или контроля прочие, не включенные в другие группировки
71.12.19.100 Услуги по инженерно-техническому проектированию прочих объектов, кроме объектов культурного наследия ****</t>
  </si>
  <si>
    <t>За весь период компания заключила  40 контрактов на сумму  28 035 231 960,74 ? За весь период заходили в конкурсы  87 раз на общую сумму обеспеченных контрактов с НМЦ 33 197 589 202,71 ? с БГУ  1 025 311 527,16 ? с БГИ 5 034 480 569,92 ? За 3 ГОДА по 44ФЗ заключено 62 шт. с объемом НМЦ  13 247 597 986,43 ? с БГИ 1 878 267 017,40 ? с БГГО 50 889 330,74 ? с авансированием до 7 274 333,33 ? с комиссией банку 73 069 085,97 ? с кв 635 701,05 ? ЗА 1 ГОД по 44ФЗ заключено 22 шт. c объемом НМЦ 1 334 880 691,63 ? с БГИ 274 586 496,33 ? с БГГО 21 866 160,00 ? с авансированием до  7 274 333,33 ? с комиссией банку  11 359 671,03 ? с кв 98 829,14 ? ЗА 3 ГОДА ПО 223 ФЗ заключено 5 шт. с объемом НМЦ 56 270 128,99 ?</t>
  </si>
  <si>
    <t>"223 за 3 года", ".", "рейтинг поставщиков в маркере по бг", "Конкурсы 100+ (Восстановленный)", "fk1",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"44 фз с с БГ от 10 млн", "рейтинг по нмц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</si>
  <si>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41.20.40.900 Работы строительные по возведению нежилых зданий и сооружений прочие, не включенные в другие группировки
41.20.20.100 Здания нежилые</t>
  </si>
  <si>
    <t>1 105</t>
  </si>
  <si>
    <t>За весь период компания заключила  2 контрактов на сумму  1 855 833 519,32 ? За весь период заходили в конкурсы  4 раз на общую сумму обеспеченных контрактов с НМЦ 2 316 967 715,18 ? с БГУ  92 608 675,73 ? с БГИ 621 290 825,52 ?</t>
  </si>
  <si>
    <t>"рейтинг по нмц маркер", "кл фт ФК БГ 04.22", ".", "рейтинг поставщиков в маркере по бг", "fk1", "корп 2", "клиенты с в от100млн 09.21", "Пункт 3 09.01.23", "все клиенты с выручкой от 1,8 млрд до бесконечности", "портфель", "клиенты от 100 млн", "действующие б не прям", "Обороты по клиентам по кварталам (2022г)", "ФТ клиенты с продуктами по сотрудникам", "производители"</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</si>
  <si>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t>
  </si>
  <si>
    <t>За весь период компания заключила  22 контрактов на сумму  49 769 371 346,88 ? За весь период заходили в конкурсы  66 раз на общую сумму обеспеченных контрактов с НМЦ 57 133 442 749,54 ? с БГУ  1 608 364 998,49 ? с БГИ 7 751 558 110,80 ? За 3 ГОДА по 44ФЗ заключено 24 шт. с объемом НМЦ  7 922 152 011,00 ? с БГИ 1 449 568 185,17 ? с БГГО 529 349 180,62 ? с авансированием до 1 461 275 770,45 ? с комиссией банку 39 302 461,54 ? с кв 341 931,42 ? ЗА 1 ГОД по 44ФЗ заключено 10 шт. c объемом НМЦ 1 624 073 636,00 ? с БГИ 473 461 321,60 ? с БГГО 0,00 ? с авансированием до  317 559 369,35 ? с комиссией банку  7 213 066,60 ? с кв 62 753,68 ?</t>
  </si>
  <si>
    <t>"223 за 3 года", "кл фт агент бг 04.22", ".", "рейтинг поставщиков в маркере по бг", "ГРАНДИОЗНЫЙ ПРОЕКТ", "Конкурсы 100+ (Восстановленный)", "Агентские отказ из-за непред-я док-ов", "ушедшие", "все клиенты с выручкой от 1,8 млрд до бесконечности", "клиенты от 100 млн", "действующие б не прям", "Одобренные но не выданные 1 полугодие 2021", "ФТ клиенты с продуктами по сотрудникам", "44 фз с с БГ от 10 млн", "производители", "рейтинг по нмц маркер", "crm управления", "в crm за Муслимом", "поставщики маркер", "44 за 3 года"</t>
  </si>
  <si>
    <t>42.21.13.124 Сооружение головное-водозаборное
26.3 Оборудование коммуникационное
42.12 Дороги железные наземные и подземные; строительные работы по строительству наземных и подземных железных дорог
42.13 Мосты и тоннели; строительные работы по строительству мостов и тоннелей
42.9 Сооружения и строительные работы по строительству прочих гражданских сооружений
42.1 Дороги автомобильные и железные; строительные работы по строительству автомобильных дорог и железных дорог</t>
  </si>
  <si>
    <t>За весь период компания заключила  32 контрактов на сумму  170 333 141 753,66 ? За весь период заходили в конкурсы  10 раз на общую сумму обеспеченных контрактов с НМЦ 68 248 552 499,92 ? с БГУ  3 466 886 469,15 ? с БГИ 12 102 979 009,50 ?</t>
  </si>
  <si>
    <t>Сообщение кредитора о намерении обратиться в суд с заявлением о банкротстве от 05.02.2020</t>
  </si>
  <si>
    <t>47.52.79.000 Услуги по розничной торговле прочими строительными материалами, не включенными в другие группировки, в специализированных магазинах</t>
  </si>
  <si>
    <t>28.22.18.150 Дороги канатные пассажирские и грузовые
71.12.19 Услуги по инженерно-техническому проектированию прочих объектов
43.99.90.190 Работы строительные специализированные прочие, не включенные в другие группировки
71.12 Услуги в области инженерно-технического проектирования и связанные технические консультативные услуги
71.20.19.111 Услуги по проведению государственной экспертизы проектной документации и результатов инженерных изысканий
41.20.40.900 Работы строительные по возведению нежилых зданий и сооружений прочие, не включенные в другие группировки
42.2 Сооружения и строительные работы по строительству инженерных коммуникаций
71.12.19.100 Услуги по инженерно-техническому проектированию прочих объектов, кроме объектов культурного наследия
42.21 Сооружения и строительные работы по строительству инженерных коммуникаций для жидкостей и газов
42.21.12.120 Трубопровод местный для газа (газопровод) ****</t>
  </si>
  <si>
    <t>За весь период компания заключила  16 контрактов на сумму  9 243 732 135,14 ? За весь период заходили в конкурсы  14 раз на общую сумму обеспеченных контрактов с НМЦ 7 041 928 080,84 ? с БГУ  280 739 303,37 ? с БГИ 1 019 234 358,23 ? За 3 ГОДА по 44ФЗ заключено 3 шт. с объемом НМЦ  2 280 133 064,06 ? с БГИ 443 886 804,33 ? с БГГО 228 013 307,00 ? с авансированием до 605 991 817,57 ? с комиссией банку 2 840 489,59 ? с кв 24 712,26 ?               ЗА 3 ГОДА ПО 223 ФЗ заключено 4 шт. с объемом НМЦ 196 226 743,00 ?</t>
  </si>
  <si>
    <t>"223 за 3 года", "кл фт прямые бг 04.22", "свод фт", ".", "рейтинг поставщиков в маркере по бг", "УПП на 2 номер", "fk1", "клиенты управления по БГ без открытых счетов", "2. Финтендер 2022 31.03.22 Григорян для СПАРК", "корп 1", "все клиенты с выручкой от 1,8 млрд до бесконечности", "портфель", "ФК клиенты с выручкой от 230 до бесконечности", "клиенты от 100 млн", "Обороты по клиентам по кварталам (2022г)", "Одобренные но не выданные 1 полугодие 2021", "ФТ клиенты с продуктами по сотрудникам", "производители", "рейтинг по нмц маркер", "на фт заводил Кашин", "поставщики маркер", "44 за 3 года"</t>
  </si>
  <si>
    <t>81.30.10.000 Услуги по планировке ландшафта
33.14.19.000 Услуги по ремонту и техническому обслуживанию прочего профессионального электрического оборудования
43.29.19.140 Работы по монтажу знаков (светящихся или нет)
43.32.10.190 Работы столярные и плотничные прочие, не включенные в другие группировки</t>
  </si>
  <si>
    <t>"поставщики маркер", ".", "факторинг", "fk1"</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</si>
  <si>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42.91.20.120 Работы строительные по строительству плотин и дамб, включая ремонт
42.11.10.120 Дороги автомобильные, в том числе улично-дорожная сеть, и прочие автомобильные и пешеходные дороги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</si>
  <si>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87 контрактов на сумму  75 962 766 257,88 ? За весь период заходили в конкурсы  208 раз на общую сумму обеспеченных контрактов с НМЦ 92 382 418 307,22 ? с БГУ  4 921 721 460,53 ? с БГИ 23 059 929 612,04 ? За 3 ГОДА по 44ФЗ заключено 52 шт. с объемом НМЦ  32 168 087 046,62 ? с БГИ 7 085 737 314,58 ? с БГГО 629 269 522,30 ? с авансированием до 29 008 067 053,72 ? с комиссией банку 183 393 457,26 ? с кв 1 595 523,08 ? ЗА 1 ГОД по 44ФЗ заключено 15 шт. c объемом НМЦ 14 561 774 202,00 ? с БГИ 3 960 233 222,40 ? с БГГО 146 917 614,26 ? с авансированием до  5 883 491 741,00 ? с комиссией банку  142 547 437,59 ? с кв 1 240 162,71 ?     за 1 ГОД ПО 223ФЗ заключено 1  4 992 000,00 ?</t>
  </si>
  <si>
    <t>Сообщение кредитора о намерении обратиться в суд с заявлением о банкротстве от 30.09.2020</t>
  </si>
  <si>
    <t>"223 за 3 года", "кл фт агент бг 04.22", "свод фт", ".", "рейтинг поставщиков в маркере по бг", "УПП на 2 номер", "Конкурсы 100+ (Восстановленный)", "fk1", "кредиты фт", "клиенты управления по БГ без открытых счетов", "ПСБ Гарантии ", "Гарантии ФБ банкроты", "лимит сит по кредитам", "все клиенты с выручкой от 1,8 млрд до бесконечности",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"Участники клиринга", "44 фз с с БГ от 10 млн", "производители", "рейтинг по нмц маркер", "на фт заводил Самар", "crm управления", "в crm за Самаром", "поставщики маркер", "44 за 3 года"</t>
  </si>
  <si>
    <t>За 3 года по 223ФЗ заключено  1 шт контрактов на сумму 21 508 464,61 ?</t>
  </si>
  <si>
    <t>27.12.40.000 Части электрической распределительной или регулирующей аппаратуры
27.33.13.190 Устройства коммутационные и/или предохранительные для электрических цепей прочие, не включенные в другие группировки
27.90.70.000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
62.01.29.000 Оригиналы программного обеспечения прочие
27.11.42.000 Трансформаторы прочие мощностью не более 16 кВА</t>
  </si>
  <si>
    <t>За весь период компания заключила  8 контрактов на сумму  1 570 729 451,95 ?                                     ЗА 3 ГОДА ПО 223 ФЗ заключено 23 шт. с объемом НМЦ 2 588 247 412,19 ? за 1 ГОД ПО 223ФЗ заключено 5  1 752 301 291,75 ?</t>
  </si>
  <si>
    <t>"223 за 3 года", "кл фт агент бг 04.22", "свод фт", ".", "Конкурсы 100+ (Восстановленный)", "все клиенты с выручкой от 1,8 млрд до бесконечности", "портфель", "ФК клиенты с выручкой от 230 до бесконечности", "клиенты от 100 млн", "действующие б не прям", "ФТ клиенты с продуктами по сотрудникам", "223 фз контракты 20+", "рейтинг по нмц маркер", "на фт заводил Кашин", "crm управления", "в crm за Кашиным", "поставщики маркер"</t>
  </si>
  <si>
    <t>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43.99.90.190 Работы строительные специализированные прочие, не включенные в другие группировки
71.12.20.190 Услуги по руководству строительными проектами прочие
43.33.29.110 Работы по укладке ковровых покрытий, линолеума и прочих гибких материалов для покрытия полов
41.20.40.900 Работы строительные по возведению нежилых зданий и сооружений прочие, не включенные в другие группировки
71.11.22.000 Услуги в области архитектуры, связанные с проектами строительства нежилых зданий и сооружений
43.21.10.140 Работы по монтажу систем пожарной сигнализации и охранной сигнализации
43.39.19.190 Работы завершающие и отделочные в зданиях и сооружениях, прочие, не включенные в другие группировки
43.91.19.190 Работы кровельные прочие, не включенные в другие группировки
71.12.19.100 Услуги по инженерно-техническому проектированию прочих объектов, кроме объектов культурного наследия ****</t>
  </si>
  <si>
    <t>За весь период компания заключила  5 контрактов на сумму  1 129 607 798,61 ? За весь период заходили в конкурсы  16 раз на общую сумму обеспеченных контрактов с НМЦ 2 361 414 728,93 ? с БГУ  110 369 739,29 ? с БГИ 436 749 910,49 ?</t>
  </si>
  <si>
    <t>"223 за 3 года", ".", "рейтинг поставщиков в маркере по бг", "портфель 31.10.2021_10 тыс_проверка", "корп 1", "клиенты с в от100млн 09.21", "все клиенты с выручкой от 1,8 млрд до бесконечности", "ФК клиенты с выручкой от 230 до бесконечности", "рейтинг по нмц маркер", "поставщики маркер", "44 за 3 года"</t>
  </si>
  <si>
    <t>28.92.1 Оборудование для добычи полезных ископаемых подземным способом
28.92.21 Бульдозеры и бульдозеры с поворотным отвалом
28.92.24 Машины трамбовочные и дорожные катки самоходные
45.11 Услуги по торговле легковыми автомобилями и грузовыми автомобилями малой грузоподъемности
30.99.1 Средства транспортные и оборудование прочие, не включенные в другие группировки
28.22.15.120 Погрузчики прочие
28.30.2 Тракторы для сельского хозяйства прочие
29.10.4 Средства автотранспортные грузовые
28.92.30 Машины для выемки грунта и строительства прочие
29.10.59.130 Средства транспортные для коммунального хозяйства и содержания дорог ****</t>
  </si>
  <si>
    <t>За весь период компания заключила  10 контрактов на сумму  433 805 918,60 ?                                     ЗА 3 ГОДА ПО 223 ФЗ заключено 6 шт. с объемом НМЦ 55 244 590,83 ? за 1 ГОД ПО 223ФЗ заключено 4  48 317 666,66 ?</t>
  </si>
  <si>
    <t>42.21.22.120 Работы строительные по прокладке местных трубопроводов горячей воды
32.30.15.240 Бассейны плавательные и бассейны для гребли
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42.91.20.130 Работы строительные и ремонтные, связанные со шлюзами, шлюзовыми затворами, затворами, судоподъемниками, сухими доками, слипами, водоподъемными плотинами и прочими гидромеханическими сооружениями
33.19.10.000 Услуги по ремонту прочего оборудования
43.29.19 Работы строительно-монтажные прочие, не включенные в другие группировки
43.2 Работы электромонтажные, работы по монтажу водопроводных и канализационных систем и прочие строительно-монтажные работы
33.12 Услуги по ремонту оборудования
43.29.11.120 Работы по теплоизоляции трубопроводов для подачи горячей или охлажденной воды, котлов и трубных разводок ****</t>
  </si>
  <si>
    <t>За весь период заходили в конкурсы  1 раз на общую сумму обеспеченных контрактов с НМЦ 150 604 559,86 ? с БГУ  8 097 019,35 ? с БГИ 16 194 038,70 ?                             ЗА 3 ГОДА ПО 223 ФЗ заключено 8 шт. с объемом НМЦ 194 446 945,45 ? за 1 ГОД ПО 223ФЗ заключено 2  43 185 886,80 ?</t>
  </si>
  <si>
    <t>"223 за 3 года", "кл фт прямые ВКЛ/РКО 04.22", "кл фт прямые бг 04.22", "кл фт агент ВКЛ/РКО 04.22", "кл фт агент бг 04.22", "свод фт", ".", "рейтинг поставщиков в маркере по бг", "fk1", "кредиты фт", "Пункт 3.1 09.01.2023", "БГ ФБ ЮР лица на 01.07.2021", "корп 1", "Гарантии ФБ банкроты", "Банкроты ФБ 28.04.2023", "Ссуды ФБ 29.04.2022 банкр.", "лимит сит по кредитам", "все клиенты с выручкой от 1,8 млрд до бесконечности", "филиал бизнес 01.03.22",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"производители", "на фт заводил Шевченко", "на фт заводил Егоров ", "поставщики маркер", "44 за 3 года"</t>
  </si>
  <si>
    <t>38.22.29.000 Услуги по утилизации прочих опасных отходов
71.12.20.190 Услуги по руководству строительными проектами прочие
71.12.19.100 Услуги по инженерно-техническому проектированию прочих объектов, кроме объектов культурного наследия
71.11.41.100 Услуги в области ландшафтной архитектуры, кроме услуг, связанных с сохранением и воссозданием объектов культурного наследия
71.12.12.190 Услуги по инженерно-техническому проектированию зданий прочие, не включенные в другие группировки
39.00.22.000 Услуги по рекультивации прочие</t>
  </si>
  <si>
    <t>За весь период заходили в конкурсы  5 раз на общую сумму обеспеченных контрактов с НМЦ 508 300 530,00 ? с БГУ  9 933 360,00 ? с БГИ 108 457 207,70 ? За 3 ГОДА по 44ФЗ заключено 15 шт. с объемом НМЦ  458 528 556,64 ? с БГИ 86 305 631,61 ? с БГГО 23 815 685,39 ? с авансированием до 0,00 ? с комиссией банку 533 067,82 ? с кв 4 637,69 ?</t>
  </si>
  <si>
    <t>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
41.20.30.100 Работы по возведению жилых зданий, кроме работ по сохранению и воссозданию объектов культурного наследия</t>
  </si>
  <si>
    <t>За весь период компания заключила  13 контрактов на сумму  12 798 184 853,05 ? За весь период заходили в конкурсы  15 раз на общую сумму обеспеченных контрактов с НМЦ 13 304 898 028,65 ? с БГУ  567 003 715,49 ? с БГИ 2 345 154 832,40 ? За 3 ГОДА по 44ФЗ заключено 19 шт. с объемом НМЦ  14 822 556 824,20 ? с БГИ 2 952 550 036,04 ? с БГГО 205 730 279,17 ? с авансированием до 3 326 578 103,29 ? с комиссией банку 90 136 449,62 ? с кв 784 187,11 ? ЗА 1 ГОД по 44ФЗ заключено 10 шт. c объемом НМЦ 11 319 279 067,17 ? с БГИ 1 653 652 645,25 ? с БГГО 157 824 618,74 ? с авансированием до  1 936 770 947,38 ? с комиссией банку  67 585 234,12 ? с кв 587 991,54 ? ЗА 3 ГОДА ПО 223 ФЗ заключено 29 шт. с объемом НМЦ 9 404 880 166,30 ? за 1 ГОД ПО 223ФЗ заключено 39  4 463 415 913,20 ?</t>
  </si>
  <si>
    <t>"223 за 3 года", ".", "рейтинг поставщиков в маркере по бг", "инн Ленинградка", "Конкурсы 100+ (Восстановленный)", "fk1", "все клиенты с выручкой от 1,8 млрд до бесконечности", "клиенты от 100 млн", "223 фз контракты 20+", "44 фз с с БГ от 10 млн", "рейтинг по нмц маркер", "это заказчик", "поставщики маркер", "44 за 3 года"</t>
  </si>
  <si>
    <t>28.92.12.130 Машины бурильные
28.92.6 Части оборудования для добычи полезных ископаемых подземным и открытым способами и строительства
25.73.60.120 Инструменты для бурения скальных пород или грунтов
28.22.15.110 Автопогрузчики с вилочным захватом
28.92 Оборудование для добычи полезных ископаемых подземным и открытым способами и строительства</t>
  </si>
  <si>
    <t>За весь период заходили в конкурсы  1 раз на общую сумму обеспеченных контрактов с НМЦ 91 801 120,00 ? с БГУ  918 011,20 ? с БГИ 9 180 112,00 ?</t>
  </si>
  <si>
    <t>"на фт заводил Пител", "свод фт", ".", "рейтинг поставщиков в маркере по бг", "беники", "УПП на 2 номер", "fk1", "кредиты фт", "клиенты управления по БГ без открытых счетов", "Премия 4 кв 22 г.бг", "лимит сит по кредитам", "на фт заводил Скрипников"</t>
  </si>
  <si>
    <t>"223 за 3 года", ".", "crm управления", "crm Пител"</t>
  </si>
  <si>
    <t>26.70.14.190 Фотокамеры прочие
46.1 Услуги по оптовой торговле за вознаграждение или на договорной основе
33.1 Услуги по ремонту металлоизделий, машин и оборудования
41.20.40.900 Работы строительные по возведению нежилых зданий и сооружений прочие, не включенные в другие группировки
27.12.31.000 Панели и прочие комплекты электрической аппаратуры коммутации или защиты на напряжение не более 1 кВ
43.39.19.190 Работы завершающие и отделочные в зданиях и сооружениях, прочие, не включенные в другие группировки
43.29 Работы строительно-монтажные прочие
26 Оборудование компьютерное, электронное и оптическое
27.12.40.000 Части электрической распределительной или регулирующей аппаратуры
42.22 Сооружения и строительные работы по строительству коммунальных объектов для электроснабжения и связи ****</t>
  </si>
  <si>
    <t>За весь период компания заключила  20 контрактов на сумму  1 886 257 162,62 ? За весь период заходили в конкурсы  10 раз на общую сумму обеспеченных контрактов с НМЦ 1 536 982 382,20 ? с БГУ  80 360 872,94 ? с БГИ 425 576 323,02 ?</t>
  </si>
  <si>
    <t>"44 за 3 года", "свод фт", ".", "рейтинг поставщиков в маркере по бг", "ГРАНДИОЗНЫЙ ПРОЕКТ", "fk1", "клиенты с в от100млн 09.21", "Действующий клиент мсб с выр от 30 млн на 05.21", "ФК клиенты с выручкой от 230 до бесконечности", "рейтинг по нмц маркер", "на фт заводил Пейсахова", "поставщики маркер"</t>
  </si>
  <si>
    <t>За весь период компания заключила  43 контрактов на сумму  39 461 181 628,40 ? За весь период заходили в конкурсы  127 раз на общую сумму обеспеченных контрактов с НМЦ 47 481 830 552,80 ? с БГУ  3 520 870 585,04 ? с БГИ 7 822 734 666,43 ? За 3 ГОДА по 44ФЗ заключено 32 шт. с объемом НМЦ  10 029 947 169,60 ? с БГИ 1 002 994 716,96 ? с БГГО 163 400 356,21 ? с авансированием до 1 596 473 253,00 ? с комиссией банку 24 097 127,98 ? с кв 209 645,01 ? ЗА 1 ГОД по 44ФЗ заключено 23 шт. c объемом НМЦ 5 934 798 321,60 ? с БГИ 593 479 832,16 ? с БГГО 0,00 ? с авансированием до  1 596 473 253,00 ? с комиссией банку  15 746 920,60 ? с кв 136 998,21 ?</t>
  </si>
  <si>
    <t>"44 за 3 года", "свод фт", ".", "рейтинг поставщиков в маркере по бг", "ГРАНДИОЗНЫЙ ПРОЕКТ", "Конкурсы 100+ (Восстановленный)", "райф", "все клиенты с выручкой от 1,8 млрд до бесконечности", "44 фз с с БГ от 10 млн", "производители", "рейтинг по нмц маркер", "на фт заводил Пител", "на фт заводил Кашин", "crm управления", "в crm за Кашиным", "поставщики маркер"</t>
  </si>
  <si>
    <t>20.30.22.220 Растворители и разбавители органические сложные; составы готовые для удаления красок и лаков (смывки)
25.73.30.290 Инструмент ручной прочий, не включенный в другие группировки
23.52.20.110 Гипс строительный
20.30.11.120 Краски на основе акриловых или виниловых полимеров в водной среде
23.91.11.190 Изделия абразивные прочие, не включенные в другие группировки
22.29.21.000 Плиты, листы, пленка, лента и прочие плоские полимерные самоклеящиеся формы, в рулонах шириной не более 20 см
20.30.21.130 Краски, эмали и глазури стекловидные
20.30.22.120 Шпатлевки</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</si>
  <si>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42.99.22.100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кроме работ по сохранению и воссозданию объектов культурного наследия
43.21.10.290 Работы электромонтажные прочие, не включенные в другие группировки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</si>
  <si>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"44 за 3 года", ".", "уш кл 1", "лимит сит по кредитам",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</si>
  <si>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
71.12.19.100 Услуги по инженерно-техническому проектированию прочих объектов, кроме объектов культурного наследия
41.10.10.000 Документация проектная для строительства
42.21.21.000 Работы строительные по прокладке магистральных трубопроводов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
42.11.10.129 Дороги автомобильные, в том числе улично-дорожная сеть, и прочие автомобильные и пешеходные дороги, не включенные в другие группировки
71.12.12.190 Услуги по инженерно-техническому проектированию зданий прочие, не включенные в другие группировки
42.21.22.110 Работы строительные по прокладке местных трубопроводов воды или сточных вод</t>
  </si>
  <si>
    <t>За весь период компания заключила  28 контрактов на сумму  9 663 502 822,45 ? За весь период заходили в конкурсы  74 раз на общую сумму обеспеченных контрактов с НМЦ 14 165 457 237,14 ? с БГУ  417 907 790,50 ? с БГИ 3 000 405 318,07 ? За 3 ГОДА по 44ФЗ заключено 13 шт. с объемом НМЦ  3 142 106 103,11 ? с БГИ 657 527 022,32 ? с БГГО 25 139 169,44 ? с авансированием до 339 418 678,25 ? с комиссией банку 17 972 387,13 ? с кв 156 359,77 ? ЗА 1 ГОД по 44ФЗ заключено 2 шт. c объемом НМЦ 915 374 751,83 ? с БГИ 122 810 624,54 ? с БГГО 3 127 315,00 ? с авансированием до  46 909 724,04 ? с комиссией банку  6 075 992,61 ? с кв 52 861,14 ?</t>
  </si>
  <si>
    <t>"44 за 3 года", "кл фт агент бг 04.22", ".", "рейтинг поставщиков в маркере по бг", "Конкурсы 100+ (Восстановленный)", "Агентские отказ из-за непред-я док-ов", "fk1", "Пункт 3.1 09.01.2023", "БГ ФБ ЮР лица на 01.07.2021", "Гарантии ФБ банкроты", "филиал бизнес 31.01.22 ",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"44 фз с с БГ от 10 млн", "рейтинг по нмц маркер", "это заказчик", "поставщики маркер"</t>
  </si>
  <si>
    <t>19.20.21.320 Топливо дизельное зимнее</t>
  </si>
  <si>
    <t>1 044</t>
  </si>
  <si>
    <t>"в crm за Шевченко ОРК 5", ".", "crm управления"</t>
  </si>
  <si>
    <t>42.22.22.110 Работы строительные по прокладке местных линий электропередачи и связи над землей или под землей
71 Услуги в области архитектуры и инженерно-технического проектирования, технических испытаний, исследований и анализа
42.99.12.124 Территории парковые и парки для отдыха
81.30.10.000 Услуги по планировке ландшафта
41.20.40.900 Работы строительные по возведению нежилых зданий и сооружений прочие, не включенные в другие группировки
42.22 Сооружения и строительные работы по строительству коммунальных объектов для электроснабжения и связи
71.12.19.100 Услуги по инженерно-техническому проектированию прочих объектов, кроме объектов культурного наследия
42.12.20.190 Работы строительные по строительству наземных и подземных железных дорог прочие, не включенные в другие группировки
37.00.11.130 Услуги по подключению (технологическому присоединению) к централизованной системе водоотведения
41.20.20.290 Здания нежилые, не включенные в другие группировки ****</t>
  </si>
  <si>
    <t>За весь период компания заключила  29 контрактов на сумму  34 257 804 142,32 ? За весь период заходили в конкурсы  27 раз на общую сумму обеспеченных контрактов с НМЦ 17 888 467 421,97 ? с БГУ  734 469 554,52 ? с БГИ 3 171 271 138,96 ? За 3 ГОДА по 44ФЗ заключено 32 шт. с объемом НМЦ  7 638 863 393,50 ? с БГИ 1 778 673 269,69 ? с БГГО 367 309 629,72 ? с авансированием до 1 390 553 533,55 ? с комиссией банку 11 689 438,96 ? с кв 101 698,12 ? ЗА 1 ГОД по 44ФЗ заключено 12 шт. c объемом НМЦ 2 322 431 843,37 ? с БГИ 258 863 716,81 ? с БГГО 88 081 806,00 ? с авансированием до  305 673 975,50 ? с комиссией банку  8 013 013,19 ? с кв 69 713,21 ? ЗА 3 ГОДА ПО 223 ФЗ заключено 86 шт. с объемом НМЦ 13 005 382 080,26 ? за 1 ГОД ПО 223ФЗ заключено 39  7 701 868 095,42 ?</t>
  </si>
  <si>
    <t>"223 за 3 года", "кл фт ФК БГ 04.22", ".", "рейтинг поставщиков в маркере по бг", "Рассрочка КВ Март 2023", "Конкурсы 100+ (Восстановленный)", "fk1", "Агентские одобренные но не выданные от 30.08", "все клиенты с выручкой от 1,8 млрд до бесконечности", "клиенты от 100 млн", "действующие б не прям", "Обороты по клиентам по кварталам (2022г)", "ФТ клиенты с продуктами по сотрудникам", "223 фз контракты 20+", "44 фз с с БГ от 10 млн", "рейтинг по нмц маркер",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</si>
  <si>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81.30.10.000 Услуги по планировке ландшафта
41.20.40.900 Работы строительные по возведению нежилых зданий и сооружений прочие, не включенные в другие группировки
42.12.20.190 Работы строительные по строительству наземных и подземных железных дорог прочие, не включенные в другие группировки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</si>
  <si>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8 контрактов на сумму  7 120 325 434,47 ? За весь период заходили в конкурсы  14 раз на общую сумму обеспеченных контрактов с НМЦ 6 234 212 372,13 ? с БГУ  248 012 411,95 ? с БГИ 2 056 905 728,06 ? За 3 ГОДА по 44ФЗ заключено 1 шт. с объемом НМЦ  49 821 660,00 ? с БГИ 14 946 498,00 ? с БГГО 4 982 166,00 ? с авансированием до 0,00 ? с комиссией банку 219 488,30 ? с кв 1 909,55 ? ЗА 1 ГОД по 44ФЗ заключено 1 шт. c объемом НМЦ 49 821 660,00 ? с БГИ 14 946 498,00 ? с БГГО 4 982 166,00 ? с авансированием до  0,00 ? с комиссией банку  219 488,30 ? с кв 1 909,55 ? ЗА 3 ГОДА ПО 223 ФЗ заключено 4 шт. с объемом НМЦ 6 558 191 208,28 ?</t>
  </si>
  <si>
    <t>"223 за 3 года", "кл фт прямые бг 04.22", "свод фт", ".", "рейтинг поставщиков в маркере по бг", "ГРАНДИОЗНЫЙ ПРОЕКТ", "УПП на 2 номер", "fk1", "кредиты фт", "клиенты управления по БГ без открытых счетов", "2. Финтендер 2022 31.03.22 Григорян для СПАРК", "Премия 4 кв 22 г.бг", "Гарантии ФБ банкроты", "лимит сит по кредитам", "все клиенты с выручкой от 1,8 млрд до бесконечности", "портфель", "ФК клиенты с выручкой от 230 до бесконечности", "клиенты от 100 млн", "ФТ клиенты с продуктами по сотрудникам", "44 фз с с БГ от 10 млн", "рейтинг по нмц маркер", "на фт заводил Шутов", "на фт заводил Хацкевич", "на фт заводил Бесков", "поставщики маркер", "44 за 3 года"</t>
  </si>
  <si>
    <t>За весь период контрактов 3 шт. на общую сумму НМЦ 2 857 757 894,00 ?</t>
  </si>
  <si>
    <t>Сообщение кредитора о намерении обратиться в суд с заявлением о банкротстве от 19.10.2022</t>
  </si>
  <si>
    <t>"223 за 3 года", ".", "рейтинг поставщиков в маркере по бг", "Конкурсы 100+ (Восстановленный)", "Агентские отказ из-за непред-я док-ов", "223 фз контракты 20+", "44 фз с с БГ от 10 млн", "рейтинг по нмц маркер", "поставщики маркер", "44 за 3 года"</t>
  </si>
  <si>
    <t>28.14.12.110 Краны, клапаны для раковин, моек, биде, унитазов, ванн и аналогичная арматура
24.10.62.124 Прокат сортовой горячекатаный полосовой прочий, без дополнительной обработки, включая смотанный после прокатки, из нелегированных сталей
24.10.71.120 Двутавры стальные горячекатаные из нелегированных сталей
24.10.73.120 Двутавры стальные горячекатаные из прочих легированных сталей
24.10.80.190 Прокат черных металлов прочий, не включенный в другие группировки
25.72 Замки и петли
20.30.11.110 Лаки на основе акриловых или виниловых полимеров в водной среде
20.30.22.170 Герметики
20.30.22.220 Растворители и разбавители органические сложные; составы готовые для удаления красок и лаков (смывки)
23.99.12.110 Материалы рулонные кровельные и гидроизоляционные ****</t>
  </si>
  <si>
    <t>ЗА 3 ГОДА ПО 223 ФЗ заключено 26 шт. с объемом НМЦ 302 519 140,33 ? за 1 ГОД ПО 223ФЗ заключено 31  404 750 036,87 ?</t>
  </si>
  <si>
    <t>"223 за 3 года", ".", "Конкурсы 100+ (Восстановленный)", "fk1", "223 фз контракты 20+", "рейтинг по нмц маркер", "поставщики маркер", "44 за 3 года"</t>
  </si>
  <si>
    <t>22.29 Изделия пластмассовые прочие
23.61.11.130 Кирпич строительный (включая камни) из цемента, бетона или искусственного камня
23.31.10.120 Плитки керамические
16.21.12.111 Фанера общего назначения
24.43.23.140 Плиты и листы цинковые
20.30.22.140 Пасты суховальцованные
20.30.22.170 Герметики
20.30.22.220 Растворители и разбавители органические сложные; составы готовые для удаления красок и лаков (смывки)
23.99.12.110 Материалы рулонные кровельные и гидроизоляционные
24 Металлы основные ****</t>
  </si>
  <si>
    <t>За весь период заходили в конкурсы  2 раз на общую сумму обеспеченных контрактов с НМЦ 150 999 996,00 ? с БГУ  1 609 592,58 ? с БГИ 32 191 851,60 ? За 3 ГОДА по 44ФЗ заключено 2 шт. с объемом НМЦ  27 846 569,45 ? с БГИ 8 246 411,81 ? с БГГО 274 163,00 ? с авансированием до 802 750 239,90 ? с комиссией банку 262 859,28 ? с кв 2 286,88 ?</t>
  </si>
  <si>
    <t>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43.39.19.190 Работы завершающие и отделочные в зданиях и сооружениях, прочие, не включенные в другие группировки
43.91.1 Работы кровельные
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42.21.12.140 Трубопровод технологический
28.29.60.000 Установки для обработки материалов с использованием процессов, включающих изменение температуры, не включенные в другие группировки
43.21.10.290 Работы электромонтажные прочие, не включенные в другие группировки
43.22.11.140 Работы по монтажу систем напорных водопроводов для пожаротушения (включая пожарные гидранты с пожарными рукавами и выходными патрубками)
43.22.11.190 Работы по монтажу водопроводных и канализационных систем прочие, не включенные в другие группировки
42.22.22.140 Работы по ремонту местных линий электропередачи и связи</t>
  </si>
  <si>
    <t>За 3 года по 223ФЗ заключено  12 шт контрактов на сумму 60 009 214,73 ?</t>
  </si>
  <si>
    <t>"223 за 3 года", ".", "fk1", "Обороты по клиентам по кварталам (2022г)", "поставщики маркер"</t>
  </si>
  <si>
    <t>На 11.02.2022 22:12 имеются действующие решения ФНС о приостановлении операций по счетам</t>
  </si>
  <si>
    <t>46.15.11.000 Услуги по оптовой торговле мебелью за вознаграждение или на договорной основе
52.24.12.120 Услуги грузовых контейнерных терминалов (не расположенных в портах) для всех видов транспорта, включая работы по погрузке и разгрузке грузовых вагонов
49.41.19.900 Услуги по перевозке грузов автомобильным транспортом прочие, не включенные в другие группировки</t>
  </si>
  <si>
    <t>1 602</t>
  </si>
  <si>
    <t>За весь период компания заключила  7 контрактов на сумму  28 505 749 799,74 ?</t>
  </si>
  <si>
    <t>42.11 Дороги автомобильные и автомагистрали; строительные работы по строительству автомобильных дорог и автомагистралей
41.20 Здания и работы по возведению зданий
41.20.20.100 Здания нежилые
43 Работы строительные специализированные
43.99 Работы строительные специализированные, не включенные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 Сооружения и строительные работы в области гражданского строительства
42.21.11.110 Трубопроводы магистральные наземные и подводные для перекачки нефтепродуктов и газа
42.21.22.130 Работы строительные по прокладке местных трубопроводов газа и пара</t>
  </si>
  <si>
    <t>2 601</t>
  </si>
  <si>
    <t>За весь период компания заключила  44 контрактов на сумму  26 839 917 977,28 ? За весь период заходили в конкурсы  30 раз на общую сумму обеспеченных контрактов с НМЦ 11 739 437 761,21 ? с БГУ  498 291 502,38 ? с БГИ 3 141 645 506,97 ? За 3 ГОДА по 44ФЗ заключено 1 шт. с объемом НМЦ  114 511 003,91 ? с БГИ 11 451 100,39 ? с БГГО 5 725 550,00 ? с авансированием до 0,00 ? с комиссией банку 484 397,23 ? с кв 4 214,26 ?</t>
  </si>
  <si>
    <t>Сообщение кредитора о намерении обратиться в суд с заявлением о банкротстве от 20.10.2022</t>
  </si>
  <si>
    <t>"44 за 3 года", "свод фт", ".", "рейтинг поставщиков в маркере по бг", "fk1", "корп 2",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"на фт заводил Алиев", "поставщики маркер"</t>
  </si>
  <si>
    <t>14.12.11.130 Куртки (пиджаки) и блейзеры мужские производственные и профессиональные
23.61 Изделия из бетона, используемые в строительстве
23.63.10.000 Бетон, готовый для заливки (товарный бетон)
14.12.11.120 Костюмы мужские производственные и профессиональные
14.12.12.110 Брюки мужские производственные и профессиональные
08.12.12.140 Щебень
15.20.32.120 Обувь различная специальная
32.99.11.190 Уборы головные защитные и средства защиты прочие, не включенные в другие группировки
08.12.11.130 Пески строительные</t>
  </si>
  <si>
    <t>ЗА 3 ГОДА ПО 223 ФЗ заключено 6 шт. с объемом НМЦ 26 293 478,08 ?</t>
  </si>
  <si>
    <t>"223 за 3 года", ".", "клиент металлинвеста", "ушедшие", "все клиенты с выручкой от 1,8 млрд до бесконечности", "поставщики маркер"</t>
  </si>
  <si>
    <t>28.13.14.110 Насосы центробежные подачи жидкостей прочие
22.11.14 Шины и покрышки пневматические для сельскохозяйственных машин; шины и покрышки пневматические прочие новые
22.11.14.199 Шины пневматические прочие, не включенные в другие группировки
28.92.1 Оборудование для добычи полезных ископаемых подземным способом
28.92.21 Бульдозеры и бульдозеры с поворотным отвалом
19.20.29.119 Масла моторные прочие, не включенные в другие группировки
45.31.1 Услуги по оптовой торговле автомобильными деталями, узлами и принадлежностями
45.31.12.000 Услуги по оптовой торговле прочими автомобильными деталями, узлами и принадлежностями
45.20.11.519 Прочие услуги по техническому обслуживанию и ремонту прочих автотранспортных средств, не включенные в другие группировки
28.12 Оборудование гидравлическое и пневматическое силовое ****</t>
  </si>
  <si>
    <t>За 3 ГОДА по 44ФЗ заключено 91 шт. с объемом НМЦ  651 390 999,23 ? с БГИ 50 377 270,30 ? с БГГО 5 263 901,03 ? с авансированием до 0,00 ? с комиссией банку 169 822,17 ? с кв 1 477,45 ? ЗА 1 ГОД по 44ФЗ заключено 26 шт. c объемом НМЦ 219 593 283,33 ? с БГИ 13 285 984,16 ? с БГГО 1 510 863,00 ? с авансированием до  0,00 ? с комиссией банку  72 567,26 ? с кв 631,34 ? ЗА 3 ГОДА ПО 223 ФЗ заключено 15 шт. с объемом НМЦ 41 819 809,34 ? за 1 ГОД ПО 223ФЗ заключено 2  8 983 629,97 ?</t>
  </si>
  <si>
    <t>"223 за 3 года", ".", "все клиенты с выручкой от 1,8 млрд до бесконечности", "44 фз с с БГ от 10 млн", "рейтинг по нмц маркер", "это заказчик", "crm управления", "в crm за Курилиным", "44 за 3 года"</t>
  </si>
  <si>
    <t>24.10.71.120 Двутавры стальные горячекатаные из нелегированных сталей
24.10.80.190 Прокат черных металлов прочий, не включенный в другие группировки
24 Металлы основные
24.1 Железо, чугун, сталь и ферросплавы
24.20.13.130 Трубы стальные электросварные
24.10.22.119 Формы первичные из нержавеющей стали прочие
84.11.11.111 Услуги федеральных органов государственной власти, кроме полномочных представителей Президента Российской Федерации и территориальных органов федеральных органов исполнительной власти
46.72.13 Услуги по оптовой торговле черными металлами в первичных формах
24.10.23.141 Полуфабрикаты, полученные непрерывным литьем круглого или многоугольного сечения из прочих легированных сталей
24.10.62.121 Прокат сортовой горячекатаный круглый прочий, без дополнительной обработки, включая смотанный после прокатки, из нелегированных сталей ****</t>
  </si>
  <si>
    <t>За весь период компания заключила  14 контрактов на сумму  7 828 252 724,94 ? За весь период заходили в конкурсы  11 раз на общую сумму обеспеченных контрактов с НМЦ 1 161 565 672,57 ? с БГУ  20 043 329,20 ? с БГИ 292 109 702,93 ? За 3 ГОДА по 44ФЗ заключено 3 шт. с объемом НМЦ  264 480 699,80 ? с БГИ 79 344 209,94 ? с БГГО 0,00 ? с авансированием до 0,00 ? с комиссией банку 1 449 860,65 ? с кв 12 613,79 ? ЗА 1 ГОД по 44ФЗ заключено 1 шт. c объемом НМЦ 157 392 508,00 ? с БГИ 47 217 752,40 ? с БГГО 0,00 ? с авансированием до  0,00 ? с комиссией банку  856 387,73 ? с кв 7 450,57 ? ЗА 3 ГОДА ПО 223 ФЗ заключено 20 шт. с объемом НМЦ 864 591 647,33 ? за 1 ГОД ПО 223ФЗ заключено 9  4 672 497,10 ?</t>
  </si>
  <si>
    <t>"223 за 3 года", ".", "рейтинг поставщиков в маркере по бг", "Конкурсы 100+ (Восстановленный)", "все клиенты с выручкой от 1,8 млрд до бесконечности", "Участники клиринга", "44 фз с с БГ от 10 млн", "рейтинг по нмц маркер",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</si>
  <si>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42.12.20.190 Работы строительные по строительству наземных и подземных железных дорог прочие, не включенные в другие группировки
42.21 Сооружения и строительные работы по строительству инженерных коммуникаций для жидкостей и газов
42.12.20.150 Услуги по реконструкции или ремонту железнодорожных путей
33.20.39.900 Услуги по монтажу прочего оборудования специального назначения, не включенные в другие группировки</t>
  </si>
  <si>
    <t>За весь период контрактов 18 шт. на общую сумму НМЦ 8 665 048 820,04 ?</t>
  </si>
  <si>
    <t>"223 за 3 года", ".", "рейтинг поставщиков в маркере по бг", "ГРАНДИОЗНЫЙ ПРОЕКТ", "fk1", "корп 1", "06.2022_ФинХД", "клиенты с в от100млн 09.21", "ФК клиенты с выручкой от 230 до бесконечности", "клиенты от 100 млн", "Обороты по клиентам по кварталам (2022г)", "рейтинг по нмц маркер",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</si>
  <si>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42.11.10.110 Автомагистрали, кроме надземных автодорог (эстакад)
42.11.10.120 Дороги автомобильные, в том числе улично-дорожная сеть, и прочие автомобильные и пешеходные дороги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42.13.10.119 Мосты и путепроводы из любых материалов для всех типов сухопутного транспорта и для пешеходов прочие</t>
  </si>
  <si>
    <t>За весь период компания заключила  96 контрактов на сумму  48 967 314 726,42 ? За весь период заходили в конкурсы  322 раз на общую сумму обеспеченных контрактов с НМЦ 78 135 339 769,73 ? с БГУ  3 594 258 881,29 ? с БГИ 17 465 972 674,18 ? За 3 ГОДА по 44ФЗ заключено 82 шт. с объемом НМЦ  22 744 642 200,75 ? с БГИ 3 348 101 496,13 ? с БГГО 109 920 950,15 ? с авансированием до 23 019 005 434,02 ? с комиссией банку 53 649 400,06 ? с кв 466 749,78 ? ЗА 1 ГОД по 44ФЗ заключено 24 шт. c объемом НМЦ 8 053 440 427,70 ? с БГИ 1 204 399 407,02 ? с БГГО 0,00 ? с авансированием до  1 743 353 455,34 ? с комиссией банку  26 320 224,87 ? с кв 228 985,96 ? ЗА 3 ГОДА ПО 223 ФЗ заключено 4 шт. с объемом НМЦ 88 780 790,33 ?</t>
  </si>
  <si>
    <t>"223 за 3 года", ".", "рейтинг поставщиков в маркере по бг", "ГРАНДИОЗНЫЙ ПРОЕКТ", "Конкурсы 100+ (Восстановленный)", "44 фз с с БГ от 10 млн", "производители", "рейтинг по нмц маркер", "crm управления", "crm Пител", "поставщики маркер", "44 за 3 года"</t>
  </si>
  <si>
    <t>22.19.60.119 Перчатки резиновые прочие</t>
  </si>
  <si>
    <t>"в crm за Шевченко ОРК  4", ".", "все клиенты с выручкой от 1,8 млрд до бесконечности", "crm управления"</t>
  </si>
  <si>
    <t>41.2 Здания и работы по возведению зданий
42.99 Сооружения и строительные работы по строительству прочих гражданских сооружений, не включенных в другие группировки
28.22.14.120 Краны грузоподъемные
43 Работы строительные специализированные
43.1 Работы по сносу зданий и сооружений и по подготовке строительного участка
42 Сооружения и строительные работы в области гражданского строительства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</si>
  <si>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41.20.40.200 Работы по сохранению и воссозданию нежилых зданий, являющихся объектами культурного наследия
42.99.12.124 Территории парковые и парки для отдыха
81.29.12.000 Услуги по подметанию и уборке снега
81.30.10.000 Услуги по планировке ландшафта
43.12.11.190 Работы земляные прочие, не включенные в другие группировки
33.20.29.000 Услуги по монтажу прочего оборудования общего назначения, не включенного в другие группировки
42.11.10.129 Дороги автомобильные, в том числе улично-дорожная сеть, и прочие автомобильные и пешеходные дороги, не включенные в другие группировки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</si>
  <si>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52 контрактов на сумму  40 787 737 396,59 ? За весь период заходили в конкурсы  102 раз на общую сумму обеспеченных контрактов с НМЦ 51 062 471 462,11 ? с БГУ  2 435 563 681,98 ? с БГИ 11 652 641 696,02 ? За 3 ГОДА по 44ФЗ заключено 10 шт. с объемом НМЦ  5 557 029 578,86 ? с БГИ 1 429 456 305,90 ? с БГГО 97 538 079,30 ? с авансированием до 78 608 088,00 ? с комиссией банку 17 123 987,55 ? с кв 148 978,69 ? ЗА 1 ГОД по 44ФЗ заключено 4 шт. c объемом НМЦ 554 340 303,52 ? с БГИ 165 465 811,23 ? с БГГО 20 141 902,00 ? с авансированием до  0,00 ? с комиссией банку  2 313 295,96 ? с кв 20 125,67 ?</t>
  </si>
  <si>
    <t>"44 за 3 года", ".", "рейтинг поставщиков в маркере по бг", "компании Герберта", "ГРАНДИОЗНЫЙ ПРОЕКТ", "Конкурсы 100+ (Восстановленный)", "ПСБ Гарантии ", "Агентские одобренные но не выданные от 30.08", "все клиенты с выручкой от 1,8 млрд до бесконечности", "44 фз с с БГ от 10 млн", "рейтинг по нмц маркер", "поставщики маркер"</t>
  </si>
  <si>
    <t>22.22.19.000 Изделия упаковочные пластмассовые прочие
23.52.10.110 Известь негашеная
16.21.12.110 Фанера
16.21.12.111 Фанера общего назначения
20.30.22.170 Герметики
20.30.22.220 Растворители и разбавители органические сложные; составы готовые для удаления красок и лаков (смывки)
23.99.12.110 Материалы рулонные кровельные и гидроизоляционные
25.11.23.119 Конструкции и детали конструкций из черных металлов прочие, не включенные в другие группировки
28.30.93.000 Части прочих машин и оборудования для сельского хозяйства
25.93.14.110 Гвозди ****</t>
  </si>
  <si>
    <t>За весь период компания заключила  2 контрактов на сумму  2 606 849 516,25 ? За весь период заходили в конкурсы  2 раз на общую сумму обеспеченных контрактов с НМЦ 2 290 462 876,25 ? с БГУ  107 050 985,06 ? с БГИ 687 138 862,88 ? За 3 ГОДА по 44ФЗ заключено 1 шт. с объемом НМЦ  1 070 509 850,57 ? с БГИ 321 152 955,17 ? с БГГО 32 115 296,00 ? с авансированием до 60 912 010,50 ? с комиссией банку 11 543 908,96 ? с кв 100 432,01 ?</t>
  </si>
  <si>
    <t>"44 за 3 года", ".", "рейтинг поставщиков в маркере по бг", "ГРАНДИОЗНЫЙ ПРОЕКТ", "все клиенты с выручкой от 1,8 млрд до бесконечности", "рейтинг по нмц маркер", "crm управления", "crm Пител", "поставщики маркер"</t>
  </si>
  <si>
    <t>20.60.12.110 Нити полиамидные высокопрочные
20.30.22.170 Герметики
20.30.22.220 Растворители и разбавители органические сложные; составы готовые для удаления красок и лаков (смывки)
25.93.14.111 Гвозди строительные
25.94.11.120 Шурупы из черных металлов
32.91.19.120 Кисти технические
20.30.11.120 Краски на основе акриловых или виниловых полимеров в водной среде
32.91.11.000 Метлы и щетки для домашней уборки
32.99.11.120 Респираторы
22.23.15.000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t>
  </si>
  <si>
    <t>2 075</t>
  </si>
  <si>
    <t>Юридическое лицо находится в процессе реорганизации в форме присоединения к другому юридическому лицу от 14.03.2023, Сообщение кредитора о намерении обратиться в суд с заявлением о банкротстве от 07.10.2022</t>
  </si>
  <si>
    <t>71.12.40.149 Услуги государственного контроля (надзора) за соблюдением требований технических регламентов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71.1 Услуги в области архитектуры, инженерно-технического проектирования и связанные технические консультативные услуги
42.21.21.000 Работы строительные по прокладке магистральных трубопроводов
71.12.12.190 Услуги по инженерно-техническому проектированию зданий прочие, не включенные в другие группировки</t>
  </si>
  <si>
    <t>За весь период компания заключила  34 контрактов на сумму  33 838 956 742,26 ? За весь период заходили в конкурсы  50 раз на общую сумму обеспеченных контрактов с НМЦ 30 599 171 281,98 ? с БГУ  1 539 863 516,17 ? с БГИ 7 764 205 039,50 ? За 3 ГОДА по 44ФЗ заключено 4 шт. с объемом НМЦ  4 006 955 540,71 ? с БГИ 497 786 545,40 ? с БГГО 24 771 884,93 ? с авансированием до 830 780 315,11 ? с комиссией банку 14 168 995,00 ? с кв 123 270,26 ? ЗА 1 ГОД по 44ФЗ заключено 3 шт. c объемом НМЦ 3 768 447 801,90 ? с БГИ 436 709 483,64 ? с БГГО 23 340 838,93 ? с авансированием до  795 862 782,15 ? с комиссией банку  14 168 995,00 ? с кв 123 270,26 ?</t>
  </si>
  <si>
    <t>"44 за 3 года", ".", "рейтинг поставщиков в маркере по бг", "компании Герберта", "ГРАНДИОЗНЫЙ ПРОЕКТ", "Конкурсы 100+ (Восстановленный)", "ушедшие", "закрыли счет", "все клиенты с выручкой от 1,8 млрд до бесконечности", "44 фз с с БГ от 10 млн", "рейтинг по нмц маркер", "поставщики маркер"</t>
  </si>
  <si>
    <t>За весь период заходили в конкурсы  1 раз на общую сумму обеспеченных контрактов с НМЦ 96 000 000,00 ? с БГУ  603 597,13 ? с БГИ 36 215 827,72 ?</t>
  </si>
  <si>
    <t>"поставщики маркер", ".", "рейтинг поставщиков в маркере по бг", "fk1", "просрочка на 01.01.2023 г.", "Запрос в ЮД_просрочка на 01.01.2023"</t>
  </si>
  <si>
    <t>"поставщики маркер",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</si>
  <si>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26.51.63.130 Счетчики производства или потребления электроэнергии
42.22.22.120 Работы строительные по строительству трансформаторных станций и подстанций для распределения электричества в пределах какого-либо района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71 Услуги в области архитектуры и инженерно-технического проектирования, технических испытаний, исследований и анализа
33.20.50.000 Услуги по монтажу электрического оборудования
42.22.21 Работы строительные по прокладке магистральных линий электропередачи и связи
63.11.19 Услуги прочие по размещению и предоставлению инфраструктуры информационных технологий
42.22.13.900 Установки тяжелые электроэнергетические и оборудование прочие, не включенные в другие группировки
71.1 Услуги в области архитектуры, инженерно-технического проектирования и связанные технические консультативные услуги
27.12.31.000 Панели и прочие комплекты электрической аппаратуры коммутации или защиты на напряжение не более 1 кВ ****</t>
  </si>
  <si>
    <t>За весь период компания заключила  57 контрактов на сумму  17 324 756 209,77 ?                                     ЗА 3 ГОДА ПО 223 ФЗ заключено 25 шт. с объемом НМЦ 1 269 758 907,83 ? за 1 ГОД ПО 223ФЗ заключено 11  220 335 640,29 ?</t>
  </si>
  <si>
    <t>"223 за 3 года", ".", "223 фз контракты 20+", "производители", "рейтинг по нмц маркер", "crm управления", "crm Пител", "поставщики маркер"</t>
  </si>
  <si>
    <t>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43.99.30.100 Работы свайные; работы по строительству фундаментов, кроме работ на объектах культурного наследия
43.11.10.000 Работы по сносу зданий и сооружений
42.13.20.100 Работы строительные по строительству мостов и тоннелей, кроме работ по сохранению и воссозданию объектов культурного наследия
43.99.40 Работы бетонные и железобетонные
42.11.10.129 Дороги автомобильные, в том числе улично-дорожная сеть, и прочие автомобильные и пешеходные дороги, не включенные в другие группировки
43.99.90 Работы строительные специализированные, не включенные в другие группировки</t>
  </si>
  <si>
    <t>За весь период компания заключила  60 контрактов на сумму  52 839 298 977,43 ? За весь период заходили в конкурсы  165 раз на общую сумму обеспеченных контрактов с НМЦ 64 779 501 920,70 ? с БГУ  3 326 421 857,47 ? с БГИ 13 235 415 127,63 ? За 3 ГОДА по 44ФЗ заключено 88 шт. с объемом НМЦ  41 010 016 395,70 ? с БГИ 9 641 422 394,45 ? с БГГО 86 733 395,32 ? с авансированием до 7 345 572 567,63 ? с комиссией банку 72 136 334,37 ? с кв 627 586,11 ? ЗА 1 ГОД по 44ФЗ заключено 54 шт. c объемом НМЦ 19 480 541 559,94 ? с БГИ 3 814 193 726,99 ? с БГГО 11 421 193,49 ? с авансированием до  2 905 566 042,06 ? с комиссией банку  84 769 944,57 ? с кв 737 498,52 ? ЗА 3 ГОДА ПО 223 ФЗ заключено 5 шт. с объемом НМЦ 6 091 771 292,40 ?</t>
  </si>
  <si>
    <t>"223 за 3 года", "кл фт прямые бг 04.22", "свод фт", ".", "рейтинг поставщиков в маркере по бг", "Рассрочка КВ Март 2023", "фб 22.11", "ГРАНДИОЗНЫЙ ПРОЕКТ", "беники", "УПП на 2 номер", "Конкурсы 100+ (Восстановленный)", "fk1", "клиенты управления по БГ без открытых счетов", "2. Финтендер 2022 31.03.22 Григорян для СПАРК", "БГ ФБ ЮР лица на 01.07.2021", "Премия 4 кв 22 г.бг", "Гарантии ФБ банкроты", "филиал бизнес 31.01.22 ", "06.2022_ФинХД",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"ФТ клиенты с продуктами по сотрудникам", "44 фз с с БГ от 10 млн", "рейтинг по нмц маркер", "на фт заводил Шутов", "на фт заводил Данченко", "на фт заводил Бесков", "поставщики маркер", "44 за 3 года"</t>
  </si>
  <si>
    <t>28.30.93.000 Части прочих машин и оборудования для сельского хозяйства</t>
  </si>
  <si>
    <t>"223 за 3 года",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</si>
  <si>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20.60.12.110 Нити полиамидные высокопрочные
13.99.15.110 Тесьма и лента позументные
13.20.12.190 Ткани из шерсти прочие, не включенные в другие группировки
13.10.85.112 Нитки швейные синтетические армированные с полиэфирной оплеткой</t>
  </si>
  <si>
    <t>Сообщения о принятии решения о реорганизации от 30.06.2022</t>
  </si>
  <si>
    <t>Заявка отозвана клиентом;Отклонена банком;Распределена в Банк
Распределена в Банк</t>
  </si>
  <si>
    <t>"поставщики маркер", "свод фт", ".", "все клиенты с выручкой от 1,8 млрд до бесконечности", "производители", "рейтинг по нмц маркер", "на фт заводил Синяев"</t>
  </si>
  <si>
    <t>Сообщение кредитора о намерении обратиться в суд с заявлением о банкротстве от 12.12.2019</t>
  </si>
  <si>
    <t>81.29.12.000 Услуги по подметанию и уборке снега</t>
  </si>
  <si>
    <t>За весь период компания заключила  2 контрактов на сумму  846 543 314,28 ?</t>
  </si>
  <si>
    <t>Сообщение кредитора о намерении обратиться в суд с заявлением о банкротстве от 28.01.2022</t>
  </si>
  <si>
    <t>68.10.14.000 Услуги по покупке и продаже нежилых зданий и занимаемых ими земельных участков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</si>
  <si>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5 контрактов на сумму  3 692 393 375,83 ?</t>
  </si>
  <si>
    <t>"поставщики маркер", "свод фт", ".", "Гарантии_КИБ_31.03.22_Гиб._", "УПП на 2 номер", "fk1", "кредиты фт", "клиенты управления по БГ без открытых счетов", "Банкроты ФБ 28.04.2023", "АИЛ портфель", "лимит сит по кредитам", "филиал бизнес 22.11", "клиенты от 100 млн", "рейтинг по нмц маркер", "на фт заводил Егоров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</si>
  <si>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42.99.29 Работы строительные по строительству гражданских сооружений, не включенные в другие группировки
42.21.22.110 Работы строительные по прокладке местных трубопроводов воды или сточных вод</t>
  </si>
  <si>
    <t>"223 за 3 года", ".", "crm управления", "в crm за Шевченко ОРК 5", "поставщики маркер"</t>
  </si>
  <si>
    <t>41.20.10.110 Здания жилые общего назначения
41.20.40.900 Работы строительные по возведению нежилых зданий и сооружений прочие, не включенные в другие группировки
68.10.11.000 Услуги по покупке и продаже жилых зданий и занимаемых ими земельных участков
68.10.12.000 Услуги по покупке и продаже недвижимости, находящейся в собственности на фиксированное время года
41.20.30.100 Работы по возведению жилых зданий, кроме работ по сохранению и воссозданию объектов культурного наследия
41.20.10.140 Здания домов для престарелых и инвалидов
41.20.20.180 Здания предприятий здравоохранения, науки и научного обслуживания, образования, культуры и искусства
42.11.10.160 Полосы взлетно-посадочные аэродромов, включая рулежные дорожки и аналогичных сооружений аэродромов, кроме зданий</t>
  </si>
  <si>
    <t>За весь период контрактов 19 шт. на общую сумму НМЦ 16 260 272 024,47 ?</t>
  </si>
  <si>
    <t>"44 за 3 года", ".", "рейтинг поставщиков в маркере по бг", "ПСБ Гарантии ", "все клиенты с выручкой от 1,8 млрд до бесконечности", "44 фз с с БГ от 10 млн", "рейтинг по нмц маркер"</t>
  </si>
  <si>
    <t>"поставщики маркер", "свод фт", ".", "лимит сит по кредитам", "все клиенты с выручкой от 1,8 млрд до бесконечности", "на фт заводил Меркулов"</t>
  </si>
  <si>
    <t>Гарантия завершена;Отклонена банком;Претензия по коммерческой банковской гарантии</t>
  </si>
  <si>
    <t>"44 за 3 года", "кл фт прямые бг 04.22", "свод фт", ".", "fk1", "просрочка на 01.01.2023 г.", "Запрос в ЮД_просрочка на 01.01.2023", "Гарантии ФБ банкроты", "филиал бизнес 31.01.22 ",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"ФТ клиенты с продуктами по сотрудникам", "на фт заводил Алиев", "поставщики маркер"</t>
  </si>
  <si>
    <t>Гарантия завершена;Гарантия отправлена;Заявка отозвана клиентом;Отклонена банком;Претензия по коммерческой банковской гарантии;Распределена в Банк</t>
  </si>
  <si>
    <t>"на фт заводил Алиев", "кл фт прямые бг 04.22", "свод фт", ".", "Рассрочка КВ Март 2023", "Евразия(Заболотний)_n (22)", "fk1", "клиенты с в от100млн 09.21", "все клиенты с выручкой от 1,8 млрд до бесконечности", "портфель", "ФК клиенты с выручкой от 230 до бесконечности", "клиенты от 100 млн", "Обороты по клиентам по кварталам (2022г)", "ФТ клиенты с продуктами по сотрудникам"</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</si>
  <si>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43.99.70.000 Работы по сборке и монтажу сборных конструкций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71.20.19.190 Услуги по техническим испытаниям и анализу прочие, не включенные в другие группировки
71.12.19.100 Услуги по инженерно-техническому проектированию прочих объектов, кроме объектов культурного наследия</t>
  </si>
  <si>
    <t>За весь период компания заключила  15 контрактов на сумму  13 948 993 464,74 ? За весь период заходили в конкурсы  20 раз на общую сумму обеспеченных контрактов с НМЦ 14 319 932 427,18 ? с БГУ  568 168 024,79 ? с БГИ 4 351 698 593,48 ? За 3 ГОДА по 44ФЗ заключено 13 шт. с объемом НМЦ  6 859 692 623,75 ? с БГИ 2 325 509 660,90 ? с БГГО 488 968 736,63 ? с авансированием до 68 420 880 871,08 ? с комиссией банку 89 859 518,08 ? с кв 781 777,81 ? ЗА 1 ГОД по 44ФЗ заключено 4 шт. c объемом НМЦ 4 480 740 428,65 ? с БГИ 1 521 275 222,12 ? с БГГО 224 037 021,16 ? с авансированием до  1 520 554 018,66 ? с комиссией банку  39 491 427,78 ? с кв 343 575,42 ? ЗА 3 ГОДА ПО 223 ФЗ заключено 2 шт. с объемом НМЦ 692 450 900,56 ?</t>
  </si>
  <si>
    <t>За весь период компания заключила  41 контрактов на сумму  28 169 050 404,92 ? За весь период заходили в конкурсы  60 раз на общую сумму обеспеченных контрактов с НМЦ 31 688 696 438,35 ? с БГУ  1 273 961 950,74 ? с БГИ 5 398 784 453,92 ? За 3 ГОДА по 44ФЗ заключено 30 шт. с объемом НМЦ  8 105 212 326,30 ? с БГИ 1 986 999 475,22 ? с БГГО 86 759 041,50 ? с авансированием до 1 437 493 510,34 ? с комиссией банку 36 444 890,67 ? с кв 317 070,55 ? ЗА 1 ГОД по 44ФЗ заключено 14 шт. c объемом НМЦ 1 184 539 548,40 ? с БГИ 352 890 078,52 ? с БГГО 11 732 473,35 ? с авансированием до  662 002 942,34 ? с комиссией банку  7 594 561,45 ? с кв 66 072,68 ?</t>
  </si>
  <si>
    <t>"44 за 3 года", ".", "рейтинг поставщиков в маркере по бг", "ГРАНДИОЗНЫЙ ПРОЕКТ", "Конкурсы 100+ (Восстановленный)", "все клиенты с выручкой от 1,8 млрд до бесконечности", "44 фз с с БГ от 10 млн", "производители", "рейтинг по нмц маркер", "crm управления", "в crm за Самаром", "поставщики маркер"</t>
  </si>
  <si>
    <t>За весь период компания заключила  27 контрактов на сумму  30 165 995 207,39 ? За весь период заходили в конкурсы  44 раз на общую сумму обеспеченных контрактов с НМЦ 32 653 165 529,93 ? с БГУ  1 568 830 726,43 ? с БГИ 11 600 769 056,98 ? За 3 ГОДА по 44ФЗ заключено 16 шт. с объемом НМЦ  10 414 593 053,37 ? с БГИ 2 708 843 960,07 ? с БГГО 401 320 799,96 ? с авансированием до 2 060 168 093,51 ? с комиссией банку 98 921 040,02 ? с кв 860 613,05 ? ЗА 1 ГОД по 44ФЗ заключено 7 шт. c объемом НМЦ 5 322 206 414,71 ? с БГИ 1 337 691 740,84 ? с БГГО 171 247 040,96 ? с авансированием до  1 322 222 996,23 ? с комиссией банку  33 176 898,76 ? с кв 288 639,02 ? ЗА 3 ГОДА ПО 223 ФЗ заключено 4 шт. с объемом НМЦ 4 691 587 962,18 ?</t>
  </si>
  <si>
    <t>"223 за 3 года", "свод фт", ".", "рейтинг поставщиков в маркере по бг", "нокс счета", "Конкурсы 100+ (Восстановленный)", "Агентские отказ из-за непред-я док-ов", "fk1", "ушедшие", "Обороты по клиентам по кварталам (2022г)", "Одобренные но не выданные 1 полугодие 2021", "44 фз с с БГ от 10 млн", "рейтинг по нмц маркер", "на фт заводил Пейсахова", "поставщики маркер", "44 за 3 года"</t>
  </si>
  <si>
    <t>43.21.10.220 Работы по монтажу систем освещения и сигнализации автомобильных дорог, аэропортов и портов
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43.99.70.000 Работы по сборке и монтажу сборных конструкций
43.99.90.190 Работы строительные специализированные прочие, не включенные в другие группировки
42.99.12.124 Территории парковые и парки для отдыха
41.20.40.900 Работы строительные по возведению нежилых зданий и сооружений прочие, не включенные в другие группировки
42.11.10.120 Дороги автомобильные, в том числе улично-дорожная сеть, и прочие автомобильные и пешеходные дороги
43.39.19.190 Работы завершающие и отделочные в зданиях и сооружениях, прочие, не включенные в другие группировки ****</t>
  </si>
  <si>
    <t>За весь период компания заключила  27 контрактов на сумму  8 986 680 783,24 ? За весь период заходили в конкурсы  65 раз на общую сумму обеспеченных контрактов с НМЦ 14 484 653 714,87 ? с БГУ  425 206 316,26 ? с БГИ 2 822 539 413,41 ? За 3 ГОДА по 44ФЗ заключено 37 шт. с объемом НМЦ  6 456 609 432,84 ? с БГИ 1 445 558 636,59 ? с БГГО 163 569 359,77 ? с авансированием до 0,00 ? с комиссией банку 26 513 951,74 ? с кв 230 671,38 ? ЗА 1 ГОД по 44ФЗ заключено 11 шт. c объемом НМЦ 3 310 238 130,37 ? с БГИ 967 252 945,04 ? с БГГО 97 552 206,96 ? с авансированием до  0,00 ? с комиссией банку  22 609 116,44 ? с кв 196 699,31 ?</t>
  </si>
  <si>
    <t>"44 за 3 года", "кл фт агент бг 04.22", ".", "рейтинг поставщиков в маркере по бг", "Конкурсы 100+ (Восстановленный)", "Агентские отказ из-за непред-я док-ов", "fk1", "2. Финтендер 2022 31.03.22 Григорян для СПАРК", "Агентские одобренные но не выданные от 30.08", "все клиенты с выручкой от 1,8 млрд до бесконечности",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"44 фз с с БГ от 10 млн", "рейтинг по нмц маркер", "поставщики маркер"</t>
  </si>
  <si>
    <t>Сообщение кредитора о намерении обратиться в суд с заявлением о банкротстве от 01.02.2021</t>
  </si>
  <si>
    <t>За 3 года по 223ФЗ заключено  1 шт контрактов на сумму 41 573 823 380,00 ?</t>
  </si>
  <si>
    <t>Сообщение кредитора о намерении обратиться в суд с заявлением о банкротстве от 15.11.2022</t>
  </si>
  <si>
    <t>"223 за 3 года", ".", "fk1",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t>
  </si>
  <si>
    <t>За весь период контрактов 20 шт. с общей суммой НМЦ 1 405 685 725,68 ? с БГУ 54366314,66 и БГИ 201 839 541,91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</si>
  <si>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43.39.19.190 Работы завершающие и отделочные в зданиях и сооружениях, прочие, не включенные в другие группировки
41.20.30.100 Работы по возведению жилых зданий, кроме работ по сохранению и воссозданию объектов культурного наследия
43.12.11.190 Работы земляные прочие, не включенные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t>
  </si>
  <si>
    <t>"223 за 3 года", ".", "БизФин", "поставщики маркер"</t>
  </si>
  <si>
    <t>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41.20.20.100 Здания нежилые
41.10.10.000 Документация проектная для строительства
71.12.12.190 Услуги по инженерно-техническому проектированию зданий прочие, не включенные в другие группировки</t>
  </si>
  <si>
    <t>За весь период компания заключила  22 контрактов на сумму  25 732 290 462,33 ? За весь период заходили в конкурсы  30 раз на общую сумму обеспеченных контрактов с НМЦ 27 735 270 978,15 ? с БГУ  591 632 293,16 ? с БГИ 2 922 319 028,76 ? За 3 ГОДА по 44ФЗ заключено 29 шт. с объемом НМЦ  22 032 867 607,65 ? с БГИ 2 167 777 834,19 ? с БГГО 128 976 089,01 ? с авансированием до 7 326 642 167,99 ? с комиссией банку 4 881 964,70 ? с кв 42 473,09 ? ЗА 1 ГОД по 44ФЗ заключено 8 шт. c объемом НМЦ 10 544 540 217,11 ? с БГИ 763 350 905,13 ? с БГГО 42 299 029,37 ? с авансированием до  1 305 451 997,21 ? с комиссией банку  34 268 541,97 ? с кв 298 136,32 ?</t>
  </si>
  <si>
    <t>"44 за 3 года", "кл фт агент бг 04.22", ".", "рейтинг поставщиков в маркере по бг", "компании Герберта", "ГРАНДИОЗНЫЙ ПРОЕКТ", "Агентские отказ из-за непред-я док-ов", "fk1", "портфель", "клиенты от 100 млн", "действующие б не прям", "ФТ клиенты с продуктами по сотрудникам", "44 фз с с БГ от 10 млн", "рейтинг по нмц маркер", "crm управления", "в crm за Муслимом", "поставщики маркер"</t>
  </si>
  <si>
    <t>20.13 Вещества химические неорганические основные прочие
20.13.24.120 Олеум, кислота серная
20.13.24.121 Олеум
20.13.24.122 Кислота серная</t>
  </si>
  <si>
    <t>28.22 Оборудование подъемно-транспортное
28.22.19 Части грузоподъемного и погрузочно-разгрузочного оборудования
28.92.1 Оборудование для добычи полезных ископаемых подземным способом
28.92.21 Бульдозеры и бульдозеры с поворотным отвалом
45.20.11.519 Прочие услуги по техническому обслуживанию и ремонту прочих автотранспортных средств, не включенные в другие группировки
28.22.15.120 Погрузчики прочие
28.30.2 Тракторы для сельского хозяйства прочие
29.1 Средства автотранспортные
33.17 Услуги по ремонту и техническому обслуживанию прочих транспортных средств и оборудования
29.10.59.130 Средства транспортные для коммунального хозяйства и содержания дорог ****</t>
  </si>
  <si>
    <t>За весь период компания заключила  14 контрактов на сумму  4 901 656 709,46 ?                                     ЗА 3 ГОДА ПО 223 ФЗ заключено 35 шт. с объемом НМЦ 3 108 718 139,18 ? за 1 ГОД ПО 223ФЗ заключено 21  95 649 353,79 ?</t>
  </si>
  <si>
    <t>28.21.13.121 Оборудование индукционного электронагрева
28.22.14.123 Краны консольные
28.29.84.000 Части оборудования, не имеющие электрических соединений, не включенные в другие группировки
28.41.22.130 Станки фрезерные металлорежущие
26.20.16.150 Сканеры
26.51.66.134 Вибростенды для испытания изделий и тарировки виброизмерительных приборов и аппаратуры
26.20.18.000 Устройства периферийные с двумя или более функциями: печать данных, копирование, сканирование, прием и передача факсимильных сообщений
26.20.40.120 Элементы замены типовые устройств ввода и вывода
26.20.91.000 Услуги по производству компьютеров и периферийного оборудования
26.30.2 Оборудование оконечное (пользовательское) телефонной или телеграфной связи, аппаратура видеосвязи ****</t>
  </si>
  <si>
    <t>За весь период компания заключила  28 контрактов на сумму  10 997 083 844,33 ? За весь период заходили в конкурсы  48 раз на общую сумму обеспеченных контрактов с НМЦ 4 858 979 896,75 ? с БГУ  246 658 221,89 ? с БГИ 1 617 016 050,93 ? За 3 ГОДА по 44ФЗ заключено 43 шт. с объемом НМЦ  1 920 666 694,71 ? с БГИ 479 493 659,35 ? с БГГО 120 190 993,31 ? с авансированием до 0,00 ? с комиссией банку 5 556 786,37 ? с кв 48 344,04 ? ЗА 1 ГОД по 44ФЗ заключено 7 шт. c объемом НМЦ 104 109 800,00 ? с БГИ 28 589 300,50 ? с БГГО 7 914 375,00 ? с авансированием до  0,00 ? с комиссией банку  326 788,22 ? с кв 2 843,06 ? ЗА 3 ГОДА ПО 223 ФЗ заключено 20 шт. с объемом НМЦ 566 726 946,40 ? за 1 ГОД ПО 223ФЗ заключено 2  17 506 050,00 ?</t>
  </si>
  <si>
    <t>"223 за 3 года", "кл фт прямые бг 04.22", "свод фт", ".", "рейтинг поставщиков в маркере по бг", "Одобренные но не выданные 1 полугодие 2021(прямые)", "беники", "УПП на 2 номер", "fk1", "клиенты управления по БГ без открытых счетов", "Евразия_июлль-август 2019", "2. Финтендер 2022 31.03.22 Григорян для СПАРК", "БГ ФБ ЮР лица на 01.07.2021", "Премия 4 кв 22 г.бг", "Гарантии ФБ банкроты", "филиал бизнес 31.01.22 ", "все клиенты с выручкой от 1,8 млрд до бесконечности", "портфель", "ФК клиенты с выручкой от 230 до бесконечности", "клиенты от 100 млн", "Одобренные но не выданные 1 полугодие 2021", "ФТ клиенты с продуктами по сотрудникам", "44 фз с с БГ от 10 млн", "производители", "рейтинг по нмц маркер", "на фт заводил Шутов", "на фт заводил Удод", "на фт заводил Мамонтова", "на фт заводил Алтухова", "поставщики маркер", "44 за 3 года"</t>
  </si>
  <si>
    <t>46.71 Услуги по оптовой торговле твердым, жидким и газообразным топливом и связанными продуктами
46.71.11.000 Услуги по оптовой торговле твердым топливом
05.20.10.110 Уголь бурый рядовой (лигнит)</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</si>
  <si>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 Здания и работы по возведению зданий
33.19.10.000 Услуги по ремонту прочего оборудования
25.29.1 Резервуары, цистерны и аналогичные емкости из металлов прочие
42.99 Сооружения и строительные работы по строительству прочих гражданских сооружений, не включенных в другие группировки
33.11.12.000 Услуги по ремонту и техническому обслуживанию резервуаров, цистерн и емкостей из металла
43 Работы строительные специализированные
43.1 Работы по сносу зданий и сооружений и по подготовке строительного участка
42 Сооружения и строительные работы в области гражданского строительства
42.1 Дороги автомобильные и железные; строительные работы по строительству автомобильных дорог и железных дорог ****</t>
  </si>
  <si>
    <t>1 302</t>
  </si>
  <si>
    <t>За весь период компания заключила  19 контрактов на сумму  6 381 565 294,36 ?</t>
  </si>
  <si>
    <t>"поставщики маркер", "свод фт", ".", "беники", "УПП на 2 номер", "клиенты управления по БГ без открытых счетов", "ПСБ Гарантии ", "все клиенты с выручкой от 1,8 млрд до бесконечности", "рейтинг по нмц маркер", "на фт заводил Микульшин", "на фт заводил Алиев", "crm управления", "в crm за Арифом"</t>
  </si>
  <si>
    <t>68.10.14.000 Услуги по покупке и продаже нежилых зданий и занимаемых ими земельных участков
68.20.12.000 Услуги по сдаче в аренду (внаем) собственных или арендованных нежилых помещений</t>
  </si>
  <si>
    <t>1 238</t>
  </si>
  <si>
    <t>За весь период компания заключила  8 контрактов на сумму  10 707 278 971,26 ? За весь период заходили в конкурсы  3 раз на общую сумму обеспеченных контрактов с НМЦ 147 457 695,00 ? с БГУ  11 941 050,00 ? с БГИ 60 314 100,00 ?</t>
  </si>
  <si>
    <t>Юридическое лицо находится в процессе реорганизации в форме присоединения к нему других юридических лиц от 17.01.2023, Сообщения о принятии решения о реорганизации от 12.01.2023</t>
  </si>
  <si>
    <t>"поставщики маркер", ".", "рейтинг поставщиков в маркере по бг", "fk1", "ушедшие", "06.2022_ФинХД", "все клиенты с выручкой от 1,8 млрд до бесконечности", "Участники клиринга", "производители", "рейтинг по нмц маркер"</t>
  </si>
  <si>
    <t>05.20 Уголь бурый (лигнит)
05 Уголь
05.20.10.120 Уголь бурый обогащенный (лигнит)
98 Продукция и различные услуги частных домашних хозяйств для собственных нужд
98.20 Услуги различные, предоставляемые частными домашними хозяйствами для собственного потребления
05.20.10.110 Уголь бурый рядовой (лигнит)
05.10.10.110 Антрацит
05.10.10.131 Уголь марки Д - длиннопламенный
05.10.10.143 Уголь обогащенный, за исключением антрацита, угля коксующегося и угля бурого (лигнита)</t>
  </si>
  <si>
    <t>За весь период компания заключила  18 контрактов на сумму  99 231 705 942,98 ? За весь период заходили в конкурсы  4 раз на общую сумму обеспеченных контрактов с НМЦ 563 495 299,21 ? с БГУ  11 335 639,90 ? с БГИ 333 181 318,10 ?                             ЗА 3 ГОДА ПО 223 ФЗ заключено 17 шт. с объемом НМЦ 1 507 057 174,40 ? за 1 ГОД ПО 223ФЗ заключено 14  1 765 904 517,92 ?</t>
  </si>
  <si>
    <t>"223 за 3 года", ".", "рейтинг поставщиков в маркере по бг", "ГРАНДИОЗНЫЙ ПРОЕКТ", "Конкурсы 100+ (Восстановленный)", "223 фз контракты 20+", "рейтинг по нмц маркер", "44 за 3 года"</t>
  </si>
  <si>
    <t>05 Уголь
05.10.10.130 Уголь, за исключением антрацита, угля коксующегося и угля бурого
05.10.10.131 Уголь марки Д - длиннопламенный</t>
  </si>
  <si>
    <t>За весь период компания заключила  20 контрактов на сумму  110 957 822 743,12 ?                                     ЗА 3 ГОДА ПО 223 ФЗ заключено 6 шт. с объемом НМЦ 20 200 379,52 ?</t>
  </si>
  <si>
    <t>Сообщения о принятии решения о реорганизации от 15.04.2021</t>
  </si>
  <si>
    <t>84.11.11.111 Услуги федеральных органов государственной власти, кроме полномочных представителей Президента Российской Федерации и территориальных органов федеральных органов исполнительной власти
05 Уголь
19.30.12.110 Уголь бурый (лигнит) агломерированный
05.10.10.131 Уголь марки Д - длиннопламенный</t>
  </si>
  <si>
    <t>За весь период компания заключила  23 контрактов на сумму  4 508 846 050,78 ? За весь период заходили в конкурсы  24 раз на общую сумму обеспеченных контрактов с НМЦ 2 598 567 910,87 ? с БГУ  138 279 690,34 ? с БГИ 690 809 669,07 ?               ЗА 1 ГОД по 44ФЗ заключено 1 шт. c объемом НМЦ 14 325 300,22 ? с БГИ 4 297 590,07 ? с БГГО 0,00 ? с авансированием до  0,00 ? с комиссией банку  78 887,27 ? с кв 686,32 ? ЗА 3 ГОДА ПО 223 ФЗ заключено 8 шт. с объемом НМЦ 201 614 101,94 ?</t>
  </si>
  <si>
    <t>"223 за 3 года", ".", "рейтинг поставщиков в маркере по бг", "все клиенты с выручкой от 1,8 млрд до бесконечности", "Участники клиринга", "производители", "рейтинг по нмц маркер", "44 за 3 года"</t>
  </si>
  <si>
    <t>43.21.10.220 Работы по монтажу систем освещения и сигнализации автомобильных дорог, аэропортов и портов
68 Услуги по операциям с недвижимым имуществом
42.22.22.110 Работы строительные по прокладке местных линий электропередачи и связи над землей или под землей
37.00.11.110 Услуги по водоотведению сточных вод
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35.11.10.112 Электроэнергия, произведенная теплоэлектроцентралями (ТЭЦ) общего назначения
36.00.20.140 Услуги по техническому обслуживанию приборов учета расхода воды
37.0 Услуги по водоотведению; шлам сточных вод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35.11.10.122 Электроэнергия, произведенная блок-станциями теплоэлектроцентралей (ТЭЦ) ****</t>
  </si>
  <si>
    <t>За весь период компания заключила  15 контрактов на сумму  24 026 886 534,60 ?                                     ЗА 3 ГОДА ПО 223 ФЗ заключено 97 шт. с объемом НМЦ 278 028 077,67 ? за 1 ГОД ПО 223ФЗ заключено 42  92 082 494,08 ?</t>
  </si>
  <si>
    <t>Сообщение кредитора о намерении обратиться в суд с заявлением о банкротстве от 12.11.2020</t>
  </si>
  <si>
    <t>43.21.10.220 Работы по монтажу систем освещения и сигнализации автомобильных дорог, аэропортов и портов
42.11 Дороги автомобильные и автомагистрали; строительные работы по строительству автомобильных дорог и автомагистралей
42.22.2 Работы строительные по строительству коммунальных объектов для электроснабжения и телекоммуникаций
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71.2 Услуги в области технических испытаний, исследований, анализа и сертификации
49.32.12.000 Услуги по аренде легковых автомобилей с водителем
43.21.10 Работы электромонтажные
42.99.19.110 Площадки производственные
42.22 Сооружения и строительные работы по строительству коммунальных объектов для электроснабжения и связи ****</t>
  </si>
  <si>
    <t>1 450</t>
  </si>
  <si>
    <t>За весь период компания заключила  12 контрактов на сумму  4 228 741 470,47 ?         За 3 ГОДА по 44ФЗ заключено 6 шт. с объемом НМЦ  85 620 532,53 ? с БГИ 18 632 635,01 ? с БГГО 57 730,00 ? с авансированием до 0,00 ? с комиссией банку 213 718,75 ? с кв 1 859,35 ? ЗА 1 ГОД по 44ФЗ заключено 3 шт. c объемом НМЦ 77 690 285,17 ? с БГИ 13 180 736,62 ? с БГГО 117 677,00 ? с авансированием до  0,00 ? с комиссией банку  231 644,34 ? с кв 2 015,31 ? ЗА 3 ГОДА ПО 223 ФЗ заключено 36 шт. с объемом НМЦ 5 073 768 200,60 ? за 1 ГОД ПО 223ФЗ заключено 5  1 428 857 209,65 ?</t>
  </si>
  <si>
    <t>Юридическое лицо находится в процессе реорганизации в форме присоединения к нему других юридических лиц от 05.05.2023, Сообщения о принятии решения о реорганизации от 10.12.2019</t>
  </si>
  <si>
    <t>"223 за 3 года", ".", "все клиенты с выручкой от 1,8 млрд до бесконечности", "223 фз контракты 20+", "рейтинг заказчиков маркер", "рейтинг по нмц маркер", "это заказчик", "crm управления", "в crm за Микульшиным", "поставщики маркер", "44 за 3 года"</t>
  </si>
  <si>
    <t>За весь период компания заключила  9 контрактов на сумму  30 111 436 164,88 ?</t>
  </si>
  <si>
    <t>Сообщение кредитора о намерении обратиться в суд с заявлением о банкротстве от 31.05.2021</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</si>
  <si>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42.13.20.100 Работы строительные по строительству мостов и тоннелей, кроме работ по сохранению и воссозданию объектов культурного наследия
52.21.23.000 Услуги по эксплуатации мостов и тоннелей</t>
  </si>
  <si>
    <t>За весь период компания заключила  20 контрактов на сумму  16 595 363 895,00 ? За весь период заходили в конкурсы  65 раз на общую сумму обеспеченных контрактов с НМЦ 19 653 523 417,00 ? с БГУ  1 354 333 999,90 ? с БГИ 2 596 067 418,90 ? За 3 ГОДА по 44ФЗ заключено 11 шт. с объемом НМЦ  6 115 629 655,00 ? с БГИ 550 062 191,78 ? с БГГО 238 847 852,90 ? с авансированием до 0,00 ? с комиссией банку 15 869 804,24 ? с кв 138 067,30 ? ЗА 1 ГОД по 44ФЗ заключено 1 шт. c объемом НМЦ 97 615 310,00 ? с БГИ 9 761 531,00 ? с БГГО 0,00 ? с авансированием до  0,00 ? с комиссией банку  312 903,87 ? с кв 2 722,26 ?</t>
  </si>
  <si>
    <t>Заказчик разыгравший 21 конкурсов на сумму  5 608 359 770,95 ?</t>
  </si>
  <si>
    <t>28.22.19.190 Комплектующие (запасные части) прочего подъемно-транспортного и погрузочно-разгрузочного оборудования, не имеющие самостоятельных группировок
28.92.1 Оборудование для добычи полезных ископаемых подземным способом
28.92.21 Бульдозеры и бульдозеры с поворотным отвалом
28.12.13.190 Насосы гидравлические прочие
28.12.13.140 Насосы гидравлические аксиально-поршневые и аксиально-кулачковые
28.22.14.159 Машины самоходные и тележки, оснащенные подъемным краном, прочие, не включенные в другие группировки
28.92.6 Части оборудования для добычи полезных ископаемых подземным и открытым способами и строительства
28.92.61.120 Комплектующие (запасные части) машин для выемки грунта, не имеющие самостоятельных группировок
71.20.12.000 Услуги в области испытаний, исследований и анализа физико-механических свойств материалов и веществ
29.32.30.390 Части и принадлежности для автотранспортных средств прочие, не включенные в другие группировки ****</t>
  </si>
  <si>
    <t>43.99.90.190 Работы строительные специализированные прочие, не включенные в другие группировки
41.2 Здания и работы по возведению зданий
43.21.10 Работы электромонтажные
42.22.1 Сооружения коммунальные для электроснабжения и связи</t>
  </si>
  <si>
    <t>За весь период компания заключила  26 контрактов на сумму  1 682 725 382,82 ?</t>
  </si>
  <si>
    <t>28.30.23.120 Тракторы сельскохозяйственные гусеничные с мощностью двигателя более 59 кВт</t>
  </si>
  <si>
    <t>"производители", ".", "ушедший портфель", "инн Вавилова",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t>
  </si>
  <si>
    <t>За весь период компания заключила  3 контрактов на сумму  602 026 114,85 ? За весь период заходили в конкурсы  1 раз на общую сумму обеспеченных контрактов с НМЦ 63 377 410,40 ? с БГУ  4 921 736,00 ? с БГИ 29 530 416,00 ?                             ЗА 3 ГОДА ПО 223 ФЗ заключено 2 шт. с объемом НМЦ 32 927 216,85 ?</t>
  </si>
  <si>
    <t>24.10.80.190 Прокат черных металлов прочий, не включенный в другие группировки
24.43.23.140 Плиты и листы цинковые
24 Металлы основные
24.1 Железо, чугун, сталь и ферросплавы
24.10.11.133 Чугун валковый
24.20.13.130 Трубы стальные электросварные
24.20.3 Трубы сварные, наружным диаметром не более 406,4 мм, стальные
24.20.99.000 Услуги по производству труб, пустотелых профилей и соответствующих фитингов отдельные, выполняемые субподрядчиком
24.34.12.000 Проволока холоднотянутая из нержавеющей стали
25.11.23.119 Конструкции и детали конструкций из черных металлов прочие, не включенные в другие группировки ****</t>
  </si>
  <si>
    <t>За весь период компания заключила  15 контрактов на сумму  728 685 577,63 ?                                     ЗА 3 ГОДА ПО 223 ФЗ заключено 8 шт. с объемом НМЦ 35 751 093,22 ?</t>
  </si>
  <si>
    <t>"223 за 3 года", ".", "223 фз контракты 20+", "рейтинг по нмц маркер", "crm управления", "в crm за Самаром", "поставщики маркер"</t>
  </si>
  <si>
    <t>10.51.52.140 Кефир
10.51.52.200 Сметана
10.51.11.110 Молоко питьевое пастеризованное
10.51.40.300 Творог
10.51.40.330 Творог зерненый без вкусовых компонентов
10.51.30.111 Масло сладко-сливочное
10.51.40 Сыры; молокосодержащие продукты с заменителем молочного жира, произведенные по технологии сыра; творог
10.51.52.110 Йогурт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t>
  </si>
  <si>
    <t>"44 за 3 года", ".", "все клиенты с выручкой от 1,8 млрд до бесконечности", "это заказчик", "поставщики маркер"</t>
  </si>
  <si>
    <t>Сообщения о принятии решения о реорганизации от 09.06.2016</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</si>
  <si>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71.20.19 Услуги по техническим испытаниям и анализу прочие
27.90 Оборудование электрическое прочее
27.12.2 Устройства коммутации или защиты электрических цепей на напряжение не более 1 кВ
62.01 Продукты программные и услуги по разработке и тестированию программного обеспечения
33.12.1 Услуги по ремонту и техническому обслуживанию оборудования общего назначения
27.12.32.000 Панели и прочие комплекты электрической аппаратуры коммутации или защиты на напряжение более 1 кВ
95.11 Услуги по ремонту компьютеров и периферийного оборудования
33.20.29 Услуги по монтажу прочего оборудования общего назначения, не включенного в другие группировки
27.11.62.120 Комплектующие (запасные части) электрических преобразователей, не имеющие самостоятельных группировок ****</t>
  </si>
  <si>
    <t>За весь период компания заключила  4 контрактов на сумму  422 983 008,40 ?</t>
  </si>
  <si>
    <t>"223 за 3 года", ".", "fk1", "все клиенты с выручкой от 1,8 млрд до бесконечности", "Обороты по клиентам по кварталам (2022г)", "производители", "рейтинг по нмц маркер", "поставщики маркер"</t>
  </si>
  <si>
    <t>25.62.2 Услуги по обработке металлических изделий с использованием прочих основных технологических процессов машиностроения
28.22.15.120 Погрузчики прочие
27.11.10.120 Электродвигатели постоянного тока прочие
26.30.11.190 Аппаратура коммуникационная передающая с приемными устройствами прочая, не включенная в другие группировки
30.30 Аппараты летательные и космические и соответствующее оборудование
28.22.14.150 Машины самоходные и тележки, оснащенные подъемным краном
28.11.1 Двигатели, кроме двигателей авиационных, автомобильных и мотоциклетных
28.12.2 Части гидравлического и пневматического силового оборудования
28.22.14.159 Машины самоходные и тележки, оснащенные подъемным краном, прочие, не включенные в другие группировки
28.41.40 Части и принадлежности станков для обработки металлов ****</t>
  </si>
  <si>
    <t>За весь период компания заключила  4 контрактов на сумму  1 172 763 160,32 ?                                         за 1 ГОД ПО 223ФЗ заключено 1  4 165 698,35 ?</t>
  </si>
  <si>
    <t>"223 за 3 года", ".", "выдали", "ушедший портфель", "fk1", "ИНН 3 года - нет КД БГ на 01.10.22", "ПОС на 01.02.2023", "Список ушедший ", "ПОС на 03.04.2023", "06.2022_ФинХД", "все клиенты с выручкой от 1,8 млрд до бесконечности", "ФК клиенты с выручкой от 230 до бесконечности", "Обороты по клиентам по кварталам (2022г)", "рейтинг заказчиков маркер", "производители", "рейтинг по нмц маркер", "это заказчик",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</si>
  <si>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42.99.12.124 Территории парковые и парки для отдыха
81.30.10.000 Услуги по планировке ландшафта
41.20.40.900 Работы строительные по возведению нежилых зданий и сооружений прочие, не включенные в другие группировки
41.20.20.110 Здания топливно-энергетических, металлургических, химических и нефтехимических предприятий
71.12.13 Услуги по инженерно-техническому проектированию систем энергоснабжения
42.22.23.110 Работы по строительству атомных электростанций
43.29.1 Работы строительно-монтажные прочие
71.20.19.190 Услуги по техническим испытаниям и анализу прочие, не включенные в другие группировки ****</t>
  </si>
  <si>
    <t>За весь период компания заключила  12 контрактов на сумму  8 194 773 155,13 ? За весь период заходили в конкурсы  16 раз на общую сумму обеспеченных контрактов с НМЦ 8 157 739 015,09 ? с БГУ  298 464 190,22 ? с БГИ 1 501 841 974,46 ? За 3 ГОДА по 44ФЗ заключено 3 шт. с объемом НМЦ  4 460 634 935,26 ? с БГИ 452 463 493,53 ? с БГГО 47 486 349,35 ? с авансированием до 2 214 317 467,63 ? с комиссией банку 17 683 660,86 ? с кв 153 847,85 ? ЗА 1 ГОД по 44ФЗ заключено 2 шт. c объемом НМЦ 4 428 634 935,26 ? с БГИ 442 863 493,53 ? с БГГО 44 286 349,35 ? с авансированием до  2 214 317 467,63 ? с комиссией банку  17 608 438,94 ? с кв 153 193,42 ?</t>
  </si>
  <si>
    <t>"44 за 3 года", "кл фт ФК БГ 04.22", "свод фт", ".", "рейтинг поставщиков в маркере по бг", "Рассрочка КВ Март 2023", "fk1", "2. Финтендер 2022 31.03.22 Григорян для СПАРК", "ушедшие", "все клиенты с выручкой от 1,8 млрд до бесконечности", "клиенты от 100 млн", "действующие б не прям", "Обороты по клиентам по кварталам (2022г)", "Одобренные но не выданные 1 полугодие 2021", "ФТ клиенты с продуктами по сотрудникам", "44 фз с с БГ от 10 млн", "производители", "рейтинг по нмц маркер", "это заказчик", "на фт заводил Шутов", "на фт заводил Лазарева", "на фт заводил Вохмина", "поставщики маркер"</t>
  </si>
  <si>
    <t>За весь период компания заключила  7 контрактов на сумму  13 892 347 405,08 ? За весь период заходили в конкурсы  3 раз на общую сумму обеспеченных контрактов с НМЦ 3 653 941 036,09 ? с БГУ  189 587 317,50 ? с БГИ 1 137 523 911,00 ?</t>
  </si>
  <si>
    <t>Заказчик разыгравший 415 конкурсов на сумму  99 485 204 981,96 ?</t>
  </si>
  <si>
    <t>68.10.14.000 Услуги по покупке и продаже нежилых зданий и занимаемых ими земельных участков
68.10.11.000 Услуги по покупке и продаже жилых зданий и занимаемых ими земельных участков
68.10.12.000 Услуги по покупке и продаже недвижимости, находящейся в собственности на фиксированное время года</t>
  </si>
  <si>
    <t>За весь период компания заключила  2 контрактов на сумму  3 251 210 930,00 ?</t>
  </si>
  <si>
    <t>Сообщения о принятии решения о реорганизации от 30.12.2022</t>
  </si>
  <si>
    <t>За весь период компания заключила  1 контрактов на сумму  1 990 450 000,00 ?                                     ЗА 3 ГОДА ПО 223 ФЗ заключено 1 шт. с объемом НМЦ 6 400 013 200,00 ? за 1 ГОД ПО 223ФЗ заключено 1  6 400 013 200,00 ?</t>
  </si>
  <si>
    <t>"223 за 3 года", ".", "все клиенты с выручкой от 1,8 млрд до бесконечности", "Участники клиринга", "223 фз контракты 20+", "рейтинг по нмц маркер",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</si>
  <si>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42.13.20.100 Работы строительные по строительству мостов и тоннелей, кроме работ по сохранению и воссозданию объектов культурного наследия
42.11.10.129 Дороги автомобильные, в том числе улично-дорожная сеть, и прочие автомобильные и пешеходные дороги, не включенные в другие группировки
42.13.10.119 Мосты и путепроводы из любых материалов для всех типов сухопутного транспорта и для пешеходов прочие</t>
  </si>
  <si>
    <t>За весь период компания заключила  45 контрактов на сумму  39 874 261 649,53 ? За весь период заходили в конкурсы  83 раз на общую сумму обеспеченных контрактов с НМЦ 48 814 491 397,88 ? с БГУ  1 753 006 831,54 ? с БГИ 8 605 171 904,00 ? За 3 ГОДА по 44ФЗ заключено 92 шт. с объемом НМЦ  58 474 154 061,03 ? с БГИ 10 277 734 392,32 ? с БГГО 544 646 985,09 ? с авансированием до 25 557 986 494,40 ? с комиссией банку 310 150 755,03 ? с кв 2 698 311,57 ? ЗА 1 ГОД по 44ФЗ заключено 46 шт. c объемом НМЦ 23 597 317 136,66 ? с БГИ 4 749 028 824,40 ? с БГГО 204 570 541,94 ? с авансированием до  11 581 896 044,09 ? с комиссией банку  117 123 253,68 ? с кв 1 018 972,31 ?</t>
  </si>
  <si>
    <t>"44 за 3 года", ".", "рейтинг поставщиков в маркере по бг", "ГРАНДИОЗНЫЙ ПРОЕКТ", "Конкурсы 100+ (Восстановленный)", "fk1", "портфель 31.10.2021_10 тыс_проверка",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t>
  </si>
  <si>
    <t>20.30.22.170 Герметики
25.94.11.120 Шурупы из черных металлов
24.42.22.139 Профили прочие из алюминия или алюминиевых сплавов
25.72.14.120 Петли, арматура крепежная, фурнитура и аналогичные изделия для дверей и окон из недрагоценных металлов
22.23.14 Блоки дверные и оконные, пороги для дверей, ставни, жалюзи и аналогичные изделия и их части пластмассовые
22.23.14.110 Блоки дверные пластмассовые и пороги для них
22.23.19.000 Изделия пластмассовые строительные, не включенные в другие группировки
22.29.26.190 Изделия пластмассовые декоративные прочие
20.30.22.180 Мастики
22.29.29.190 Изделия пластмассовые прочие, не включенные в другие группировки ****</t>
  </si>
  <si>
    <t>1 931</t>
  </si>
  <si>
    <t>"223 за 3 года", ".", "fk1", "ИНН_договоры_октябрь_",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"поставщики маркер", "44 за 3 года"</t>
  </si>
  <si>
    <t>62.01 Продукты программные и услуги по разработке и тестированию программного обеспечения
62 Продукты программные и услуги по разработке программного обеспечения; консультационные и аналогичные услуги в области информационных технологий
62.01.11 Услуги по проектированию, разработке информационных технологий для прикладных задач и тестированию программного обеспечения
62.01.11.000 Услуги по проектированию и разработке информационных технологий для прикладных задач и тестированию программного обеспечения</t>
  </si>
  <si>
    <t>1 870</t>
  </si>
  <si>
    <t>За весь период контрактов 11 шт. на общую сумму НМЦ 1 918 741 653,31 ?</t>
  </si>
  <si>
    <t>61.2 Услуги телекоммуникационные беспроводные
61.20.1 Услуги подвижной связи
61.20.11.000 Услуги подвижной связи общего пользования - обеспечение доступа и поддержка пользователя
61.20.2 Услуги операторов связи в сфере беспроводных телекоммуникаций
61.90.10.190 Услуги телекоммуникационные прочие, не включенные в другие группировки
61.10.43 Услуги по широкополосному доступу к информационно-коммуникационной сети Интернет по проводным сетям
26.30.11.190 Аппаратура коммуникационная передающая с приемными устройствами прочая, не включенная в другие группировки
61.90.10.130 Услуги по предоставлению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 д.
61.10.20 Услуги операторов связи в сфере проводных телекоммуникаций
63.11.19 Услуги прочие по размещению и предоставлению инфраструктуры информационных технологий ****</t>
  </si>
  <si>
    <t>За весь период компания заключила  11 контрактов на сумму  14 461 437 745,42 ? За весь период заходили в конкурсы  1 раз на общую сумму обеспеченных контрактов с НМЦ 67 626 000,00 ? с БГУ  2 080 800,00 ? с БГИ 6 936 000,00 ? За 3 ГОДА по 44ФЗ заключено 306 шт. с объемом НМЦ  215 338 253,89 ? с БГИ 26 803 137,59 ? с БГГО 60 591,21 ? с авансированием до 233 950,00 ? с комиссией банку 427 603,49 ? с кв 3 720,15 ? ЗА 1 ГОД по 44ФЗ заключено 97 шт. c объемом НМЦ 89 215 240,24 ? с БГИ 6 936 983,13 ? с БГГО 29 260,00 ? с авансированием до  61 450,00 ? с комиссией банку  169 089,03 ? с кв 1 471,07 ? ЗА 3 ГОДА ПО 223 ФЗ заключено 76 шт. с объемом НМЦ 301 012 012,92 ? за 1 ГОД ПО 223ФЗ заключено 27  144 083 040,53 ?</t>
  </si>
  <si>
    <t>"223 за 3 года", ".", "рейтинг поставщиков в маркере по бг", "ИНН_договоры_октябрь_",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 "44 за 3 года"</t>
  </si>
  <si>
    <t>19.2 Нефтепродукты
19.20.42.124 Битумы нефтяные строительные
19.20.42.121 Битумы нефтяные дорожные
23.99.12.190 Изделия из асфальта или аналогичных материалов прочие, не включенные в другие группировки</t>
  </si>
  <si>
    <t>За весь период заходили в конкурсы  7 раз на общую сумму обеспеченных контрактов с НМЦ 510 819 365,30 ? с БГУ  18 643 685,72 ? с БГИ 128 927 274,32 ?</t>
  </si>
  <si>
    <t>1 819</t>
  </si>
  <si>
    <t>Заказчик разыгравший 60 конкурсов на сумму  8 605 787 012,15 ?</t>
  </si>
  <si>
    <t>Сообщение кредитора о намерении обратиться в суд с заявлением о банкротстве от 19.04.2018</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</si>
  <si>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28.92.61.110 Комплектующие (запасные части) бурильных и проходческих машин, не имеющие самостоятельных группировок
09.1 Услуги по добыче нефти и природного газа
09.10.11.190 Услуги по бурению, связанные с добычей нефти и горючего природного газа, не включенные в другие группировки</t>
  </si>
  <si>
    <t>За весь период компания заключила  20 контрактов на сумму  13 087 702 923,13 ?                                     ЗА 3 ГОДА ПО 223 ФЗ заключено 1 шт. с объемом НМЦ 52 065 396,47 ?</t>
  </si>
  <si>
    <t>19.20.21.124 Бензин автомобильный с октановым числом более 92, но не более 95 по исследовательскому методу экологического класса К4
19.20.21.321 Топливо дизельное зимнее вне классов
19.20.21.324 Топливо дизельное зимнее экологического класса К4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19.20.21.310 Топливо дизельное летнее
46.71.11.000 Услуги по оптовой торговле твердым топливом
19.20.21.125 Бензин автомобильный с октановым числом более 92, но не более 95 по исследовательскому методу экологического класса К5
19.20.21.134 Бензин автомобильный с октановым числом более 95, но не более 98 по исследовательскому методу экологического класса К4 ****</t>
  </si>
  <si>
    <t>За весь период компания заключила  15 контрактов на сумму  1 833 942 649,40 ? За весь период заходили в конкурсы  35 раз на общую сумму обеспеченных контрактов с НМЦ 4 042 048 444,43 ? с БГУ  6 811 530,21 ? с БГИ 68 115 302,16 ? За 3 ГОДА по 44ФЗ заключено 257 шт. с объемом НМЦ  1 335 018 306,28 ? с БГИ 124 645 893,74 ? с БГГО 355 324,35 ? с авансированием до 263 515,32 ? с комиссией банку 952 917,36 ? с кв 8 290,38 ? ЗА 1 ГОД по 44ФЗ заключено 86 шт. c объемом НМЦ 422 775 326,60 ? с БГИ 39 076 327,28 ? с БГГО 4 249,00 ? с авансированием до  214 801,70 ? с комиссией банку  701 855,27 ? с кв 6 106,14 ? ЗА 3 ГОДА ПО 223 ФЗ заключено 22 шт. с объемом НМЦ 74 160 593,82 ? за 1 ГОД ПО 223ФЗ заключено 9  46 439 492,36 ?</t>
  </si>
  <si>
    <t>"223 за 3 года", ".", "рейтинг поставщиков в маркере по бг", "fk1", "ПОС на 01.02.2023", "ПОС на 03.04.2023", "Кредитный портфель_01.11", "06.2022_ФинХД", "все клиенты с выручкой от 1,8 млрд до бесконечности", "клиенты от 100 млн", "Участники клиринга", "223 фз контракты 20+", "44 фз с с БГ от 10 млн", "рейтинг заказчиков маркер", "рейтинг по нмц маркер", "поставщики маркер", "44 за 3 года"</t>
  </si>
  <si>
    <t>"Обороты по клиентам по кварталам (2022г)", ".", "инн Вавилова", "fk1", "все клиенты с выручкой от 1,8 млрд до бесконечности"</t>
  </si>
  <si>
    <t>За весь период компания заключила  4 контрактов на сумму  3 215 209 766,00 ? За весь период заходили в конкурсы  2 раз на общую сумму обеспеченных контрактов с НМЦ 2 343 300 000,00 ? с БГУ  74 513 320,00 ? с БГИ 235 766 600,00 ?</t>
  </si>
  <si>
    <t>1 563</t>
  </si>
  <si>
    <t>Сообщения о принятии решения о реорганизации от 20.12.2022</t>
  </si>
  <si>
    <t>За весь период контрактов 37 шт. на общую сумму НМЦ 78 174 169 568,19 ?</t>
  </si>
  <si>
    <t>46.73.16.000 Услуги по оптовой торговле прочими строительными материалами и изделиями</t>
  </si>
  <si>
    <t>93.19.19.000 Услуги в области спорта и отдыха прочие
43.34.10.130 Работы по окрашиванию, перил, решеток, дверей и оконных коробок зданий и т. п.
85.14.12.000 Услуги в области общего среднего образования прочие
85.4 Услуги по дополнительному образованию
81.29.13.000 Услуги санитарно-гигиенические прочие
68.20.12.000 Услуги по сдаче в аренду (внаем) собственных или арендованных нежилых помещений
85.13.12.000 Услуги в области основного общего образования прочие
81.29.19.000 Услуги по чистке и уборке прочие, не включенные в другие группировки
68.31.1 Услуги агентств недвижимости, предоставляемые за вознаграждение или на договорной основе</t>
  </si>
  <si>
    <t>21.20.23.199 Средства нелечебные прочие
21.20.10.118 Препараты, способствующие пищеварению, включая ферментные препараты
21.20.10.191 Препараты антибактериальные для системного использования
21.20.10.213 Иммуномодуляторы
21.20.10.262 Препараты для лечения заболеваний уха
21.20.10.251 Препараты назальные
21.20.10 Препараты лекарственные
21.20.10.111 Препараты стоматологические
21.20.10.116 Препараты противодиарейные, кишечные противовоспалительные и противомикробные
21.20.10.132 Гемостатики ****</t>
  </si>
  <si>
    <t>"223 за 3 года", ".", "crm управления", "в crm за Эльшаном", "поставщики маркер"</t>
  </si>
  <si>
    <t>10.51.52.140 Кефир
10.51.11.119 Молоко питьевое пастеризованное прочее
10.51.52.200 Сметана
10.51.11.110 Молоко питьевое пастеризованное
10.51.40.300 Творог
10.51.40.330 Творог зерненый без вкусовых компонентов
10.51.11.150 Молоко питьевое прочее, не включенное в другие группировки
10.51.40.322 Творог, произведенный с использованием ультрафильтрации и сепарирования, без вкусовых компонентов обезжиренный, от 2 % до 25 % жирности
10.51.52.212 Сметана от 18,0 % до 22,0 % жирности
10.51.30.111 Масло сладко-сливочное ****</t>
  </si>
  <si>
    <t>за 1 ГОД ПО 223ФЗ заключено 7  6 926 613,63 ?</t>
  </si>
  <si>
    <t>Сообщения о принятии решения о реорганизации от 16.03.2021</t>
  </si>
  <si>
    <t>"223 за 3 года", ".", "райф", "производители", "поставщики маркер", "44 за 3 года"</t>
  </si>
  <si>
    <t>62.01 Продукты программные и услуги по разработке и тестированию программного обеспечения
42.21.13.120 Системы и сооружения водоснабжения и очистки
26.2 Компьютеры и периферийное оборудование
26.20.14.000 Машины вычислительные электронные цифровые, поставляемые в виде систем для автоматической обработки данных
25.94.11.110 Болты и винты из черных металлов
26.30.11.120 Средства связи, выполняющие функцию цифровых транспортных систем
58.29.50.000 Услуги по предоставлению лицензий на право использовать компьютерное программное обеспечение
62.01.29.000 Оригиналы программного обеспечения прочие
46.52 Услуги по оптовой торговле электронным и телекоммуникационным оборудованием и его частями</t>
  </si>
  <si>
    <t>За весь период заходили в конкурсы  7 раз на общую сумму обеспеченных контрактов с НМЦ 304 404 524,44 ? с БГУ  7 115 329,24 ? с БГИ 52 978 367,74 ?                                 за 1 ГОД ПО 223ФЗ заключено 1  4 340 109,54 ?</t>
  </si>
  <si>
    <t>"223 за 3 года", ".", "рейтинг поставщиков в маркере по бг", "ушедшие", "все клиенты с выручкой от 1,8 млрд до бесконечности", "производители", "рейтинг по нмц маркер", "поставщики маркер", "44 за 3 года"</t>
  </si>
  <si>
    <t>1 919</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</si>
  <si>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t>
  </si>
  <si>
    <t>Заказчик разыгравший 35 конкурсов на сумму  8 410 986 286,47 ?</t>
  </si>
  <si>
    <t>6 421</t>
  </si>
  <si>
    <t>Заказчик разыгравший 6 конкурсов на сумму  1 489 570 000,00 ?</t>
  </si>
  <si>
    <t>За 3 года по 223ФЗ заключено  3 шт контрактов на сумму 39 423 693,60 ?</t>
  </si>
  <si>
    <t>"поставщики маркер", ".", "райф", "все клиенты с выручкой от 1,8 млрд до бесконечности", "производители", "это заказчик"</t>
  </si>
  <si>
    <t>14.19.12.190 Одежда прочая трикотажная или вязаная</t>
  </si>
  <si>
    <t>1 480</t>
  </si>
  <si>
    <t>"223 за 3 года", ".", "fk1", "06.2022_ФинХД", "все клиенты с выручкой от 1,8 млрд до бесконечности", "производители", "поставщики маркер"</t>
  </si>
  <si>
    <t>20.42.16.110 Шампуни
68.10.14.000 Услуги по покупке и продаже нежилых зданий и занимаемых ими земельных участков
20.41.32.121 Порошки стиральные
29.32.30.163 Тахографы
10.61.21.113 Мука пшеничная хлебопекарная высшего сорта
10.72.12.120 Печенье сладкое
10.83.13.120 Чай черный (ферментированный) в упаковках массой не более 3 кг
22.22.11.000 Мешки и сумки, включая конические, из полимеров этилена
10.20.25.113 Консервы рыбные в масле
26.51.12.120 Инструменты и приборы геодезические ****</t>
  </si>
  <si>
    <t>ЗА 3 ГОДА ПО 223 ФЗ заключено 2 шт. с объемом НМЦ 20 200 389,30 ?</t>
  </si>
  <si>
    <t>Сообщение кредитора о намерении обратиться в суд с заявлением о банкротстве от 19.08.2019</t>
  </si>
  <si>
    <t>"223 за 3 года", ".", "fk1", "ИНН_договоры_октябрь_", "Кредитный портфель_01.11", "06.2022_ФинХД", "все клиенты с выручкой от 1,8 млрд до бесконечности", "рейтинг заказчиков маркер", "производители", "рейтинг по нмц маркер", "это заказчик", "поставщики маркер"</t>
  </si>
  <si>
    <t>86.90.19.140 Услуги санаторно-курортных организаций</t>
  </si>
  <si>
    <t>За весь период контрактов 2 шт. на общую сумму НМЦ 638 159 281,12 ?</t>
  </si>
  <si>
    <t>22.22.14.000 Бутыли, бутылки, флаконы и аналогичные изделия из пластмасс
22.22.19.000 Изделия упаковочные пластмассовые прочие
22.23.13.000 Резервуары, цистерны, баки и аналогичные емкости пластмассовые вместимостью свыше 300 л
22.29 Изделия пластмассовые прочие
22.21.42.130 Полосы (ленты) прочие пластмассовые непористые
25.11.23.119 Конструкции и детали конструкций из черных металлов прочие, не включенные в другие группировки
32.50.13.190 Инструменты и приспособления, применяемые в медицинских целях, прочие, не включенные в другие группировки
22.22 Изделия пластмассовые упаковочные
29.20.21.129 Контейнеры специализированные прочие, не включенные в другие группировки
25.29.11.900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прочие ****</t>
  </si>
  <si>
    <t>"223 за 3 года", ".", "ушедшие", "все клиенты с выручкой от 1,8 млрд до бесконечности", "производители", "это заказчик", "поставщики маркер", "44 за 3 года"</t>
  </si>
  <si>
    <t>"Обороты по клиентам по кварталам (2022г)", ".", "fk1", "ПОС на 01.02.2023", "Кредитный портфель_01.11", "корп 1", "06.2022_ФинХД", "клиенты с в от100млн 09.21", "все клиенты с выручкой от 1,8 млрд до бесконечности", "ФК клиенты с выручкой от 230 до бесконечности", "клиенты от 100 млн"</t>
  </si>
  <si>
    <t>"поставщики маркер", ".", "fk1", "Обороты по клиентам по кварталам (2022г)", "это заказчик"</t>
  </si>
  <si>
    <t>21.20.23.199 Средства нелечебные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21.20.10.242 Препараты противогельминтные
21.20.10.262 Препараты для лечения заболеваний уха
21.20.10.251 Препараты назальные
32.50.13.190 Инструменты и приспособления, применяемые в медицинских целях, прочие, не включенные в другие группировки ****</t>
  </si>
  <si>
    <t>За 3 ГОДА по 44ФЗ заключено 471 шт. с объемом НМЦ  1 106 809 532,62 ? с БГИ 97 053 105,75 ? с БГГО 203 577,50 ? с авансированием до 0,00 ? с комиссией банку 1 066 836,44 ? с кв 9 281,48 ? ЗА 1 ГОД по 44ФЗ заключено 166 шт. c объемом НМЦ 345 254 094,22 ? с БГИ 35 284 417,46 ? с БГГО 5 703,96 ? с авансированием до  0,00 ? с комиссией банку  482 845,33 ? с кв 4 200,75 ?</t>
  </si>
  <si>
    <t>"223 за 3 года", "кл фт агент бг 04.22", ".", "Легкий кредит", "фт (2)", "fk1", "Кредитный портфель_01.11", "Пункт 3.1 09.01.2023", "корп 1", "06.2022_ФинХД", "клиенты с в от100млн 09.21", "портфель", "ФК клиенты с выручкой от 230 до бесконечности", "клиенты от 100 млн", "действующие б не прям", "Обороты по клиентам по кварталам (2022г)", "Одобренные но не выданные 1 полугодие 2021", "ФТ клиенты с продуктами по сотрудникам", "рейтинг по нмц маркер",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</si>
  <si>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</si>
  <si>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За весь период компания заключила  127 контрактов на сумму  54 999 334 125,51 ? За весь период заходили в конкурсы  499 раз на общую сумму обеспеченных контрактов с НМЦ 107 157 996 567,47 ? с БГУ  6 220 180 630,62 ? с БГИ 26 569 138 172,72 ? За 3 ГОДА по 44ФЗ заключено 219 шт. с объемом НМЦ  29 548 250 094,00 ? с БГИ 7 055 633 092,30 ? с БГГО 665 155 417,45 ? с авансированием до 13 471 539 474,52 ? с комиссией банку 166 503 633,54 ? с кв 1 448 581,61 ? ЗА 1 ГОД по 44ФЗ заключено 103 шт. c объемом НМЦ 17 002 886 920,00 ? с БГИ 3 384 947 111,00 ? с БГГО 12 139 698,15 ? с авансированием до  3 230 688 990,00 ? с комиссией банку  88 285 218,95 ? с кв 768 081,40 ?</t>
  </si>
  <si>
    <t>"44 за 3 года", ".", "рейтинг поставщиков в маркере по бг", "ГРАНДИОЗНЫЙ ПРОЕКТ", "Конкурсы 100+ (Восстановленный)", "все клиенты с выручкой от 1,8 млрд до бесконечности", "44 фз с с БГ от 10 млн", "рейтинг заказчиков маркер", "производители", "рейтинг по нмц маркер", "это заказчик", "поставщики маркер"</t>
  </si>
  <si>
    <t>19.20.29.119 Масла моторные прочие, не включенные в другие группировки
19.20.21.440 Топливо судовое с массовой долей серы не более 0,5 % с температурой вспышки в закрытом тигле не ниже 61 °C
19.20.21.310 Топливо дизельное летнее
19.20.26 Газойли
19.20.21.315 Топливо дизельное летнее экологического класса К5
19.20.21.300 Топливо дизельное
19.20.29.113 Масла дизельные для авиационных поршневых двигателей
19.20.29.110 Масла моторные (универсальные, карбюраторные, дизельные, для авиационных поршневых двигателей)
19.20.21.311 Топливо дизельное летнее вне классов</t>
  </si>
  <si>
    <t>77.39.19 Услуги по аренде и лизингу прочих машин и оборудования без оператора и материальных средств, не включенных в другие группировки
09.1 Услуги по добыче нефти и природного газа</t>
  </si>
  <si>
    <t>За весь период контрактов 3 шт. на общую сумму НМЦ 2 988 315 745,77 ?</t>
  </si>
  <si>
    <t>Сообщение кредитора о намерении обратиться в суд с заявлением о банкротстве от 16.04.2018</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</si>
  <si>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42.21.22.120 Работы строительные по прокладке местных трубопроводов горячей воды
42.91.20.190 Работы строительные и ремонтные, связанные с прочими водными сооружениями и работы по ремонту всех вышеуказанных сооружений
43.99.90.190 Работы строительные специализированные прочие, не включенные в другие группировки
42.99.19.142 Ограды (заборы) металлические
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
84.12.13.000 Услуги государственного управления в области жилищного строительства и коммунального хозяйства
32.30.15.239 Инвентарь прочий для занятий спортом или для игр на открытом воздухе, не включенный в другие группировки
42.91.10.160 Берегоукрепление ****</t>
  </si>
  <si>
    <t>За весь период компания заключила  110 контрактов на сумму  46 883 941 833,79 ? За весь период заходили в конкурсы  345 раз на общую сумму обеспеченных контрактов с НМЦ 86 457 205 769,29 ? с БГУ  4 207 803 787,14 ? с БГИ 9 650 405 140,28 ? За 3 ГОДА по 44ФЗ заключено 185 шт. с объемом НМЦ  32 298 357 775,71 ? с БГИ 3 934 329 026,28 ? с БГГО 93 701 928,15 ? с авансированием до 35 331 676 617,86 ? с комиссией банку 43 247 832,12 ? с кв 376 256,14 ? ЗА 1 ГОД по 44ФЗ заключено 67 шт. c объемом НМЦ 9 289 181 992,53 ? с БГИ 1 021 376 979,12 ? с БГГО 0,00 ? с авансированием до  1 004 893 872,56 ? с комиссией банку  11 559 666,07 ? с кв 100 569,09 ?</t>
  </si>
  <si>
    <t>"223 за 3 года", "свод фт", ".", "рейтинг поставщиков в маркере по бг", "ГРАНДИОЗНЫЙ ПРОЕКТ", "Конкурсы 100+ (Восстановленный)", "все клиенты с выручкой от 1,8 млрд до бесконечности", "44 фз с с БГ от 10 млн", "рейтинг заказчиков маркер", "рейтинг по нмц маркер", "это заказчик", "на фт заводил Мамонтова", "на фт заводил Левкин",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</si>
  <si>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42.11.10.151 Дорога подъездная
42.11.10.120 Дороги автомобильные, в том числе улично-дорожная сеть, и прочие автомобильные и пешеходные дороги
42.13.10.120 Дороги надземные автомобильные (автодорожные эстакады) для движения автотранспортных средств
42.11.10.121 Дорога автомобильная с усовершенствованным капитальным типом дорожного покрытия
42.11.10.122 Дорога автомобильная с усовершенствованным облегченным или переходным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42.13.10.119 Мосты и путепроводы из любых материалов для всех типов сухопутного транспорта и для пешеходов прочие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</si>
  <si>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За весь период компания заключила  109 контрактов на сумму  34 509 596 682,69 ? За весь период заходили в конкурсы  405 раз на общую сумму обеспеченных контрактов с НМЦ 78 330 489 936,93 ? с БГУ  3 984 525 120,49 ? с БГИ 18 007 305 159,18 ? За 3 ГОДА по 44ФЗ заключено 82 шт. с объемом НМЦ  10 418 667 727,60 ? с БГИ 2 889 055 027,78 ? с БГГО 90 741 743,88 ? с авансированием до 12 840 053 445,73 ? с комиссией банку 35 458 526,08 ? с кв 308 489,18 ? ЗА 1 ГОД по 44ФЗ заключено 33 шт. c объемом НМЦ 5 411 226 290,00 ? с БГИ 1 388 703 609,40 ? с БГГО 4 986 002,21 ? с авансированием до  1 197 590 645,50 ? с комиссией банку  22 692 019,83 ? с кв 197 420,57 ?</t>
  </si>
  <si>
    <t>"44 за 3 года", ".", "рейтинг поставщиков в маркере по бг", "ГРАНДИОЗНЫЙ ПРОЕКТ", "Конкурсы 100+ (Восстановленный)", "fk1", "ПОС на 01.02.2023",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"44 фз с с БГ от 10 млн", "рейтинг заказчиков маркер", "производители", "рейтинг по нмц маркер", "это заказчик", "на фт заводил Бесков", "поставщики маркер"</t>
  </si>
  <si>
    <t>"поставщики маркер", ".", "ушедшие", "производители", "рейтинг по нмц маркер", "это заказчик", "crm управления", "в crm за Чимровым"</t>
  </si>
  <si>
    <t>"Евразия_июлль-август 2019", "."</t>
  </si>
  <si>
    <t>55.90.19.000 Услуги по предоставлению временного жилья прочие, не включенные в другие группировки
86.90.19.140 Услуги санаторно-курортных организаций
55.30.12.000 Услуги стоянок для передвижных дач и жилых автоприцепов
06.10.1 Нефть и нефтепродукты, полученные из битуминозных пород
71.12.33.900 Услуги по разведке прочих полезных ископаемых и оценке их месторождений, не включенные в другие группировки</t>
  </si>
  <si>
    <t>За весь период компания заключила  19 контрактов на сумму  29 362 849 466,77 ? За весь период заходили в конкурсы  5 раз на общую сумму обеспеченных контрактов с НМЦ 310 847 636,40 ? с БГУ  2 798 343,66 ? с БГИ 18 703 024,33 ?                             ЗА 3 ГОДА ПО 223 ФЗ заключено 9 шт. с объемом НМЦ 484 845 598,40 ?</t>
  </si>
  <si>
    <t>"223 за 3 года", ".", "рейтинг поставщиков в маркере по бг", "беники", "fk1", "Кредитный портфель_01.11", "06.2022_ФинХД", "все клиенты с выручкой от 1,8 млрд до бесконечности", "Участники клиринга", "рейтинг заказчиков маркер", "производители", "рейтинг по нмц маркер", "это заказчик", "на фт заводил Самар", "поставщики маркер", "44 за 3 года"</t>
  </si>
  <si>
    <t>46.71.12.000 Услуги по оптовой торговле моторным топливом, включая авиационный бензин
19.20.21 Топливо моторное, включая автомобильный и авиационный бензин
19.20.21.100 Бензин автомобильный
46.71.13 Услуги по оптовой торговле прочим жидким и газообразным топливом и подобными продуктами
19 Кокс и нефтепродукты
19.20.21.125 Бензин автомобильный с октановым числом более 92, но не более 95 по исследовательскому методу экологического класса К5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19.20.21.345 Топливо дизельное межсезонное экологического класса К5
19.20.21.300 Топливо дизельное ****</t>
  </si>
  <si>
    <t>49.41.20.000 Услуги по аренде грузовых транспортных средств с водителем
68.32.11.120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77.12.11.000 Услуги по аренде и лизингу грузовых транспортных средств без водителя</t>
  </si>
  <si>
    <t>Сообщения о принятии решения о реорганизации от 28.12.2022</t>
  </si>
  <si>
    <t>27.90 Оборудование электрическое прочее
27.32 Провода и кабели электронные и электрические прочие
27.32.13.122 Кабели для погружных нефтяных электронасосов</t>
  </si>
  <si>
    <t>Заказчик разыгравший 7 конкурсов на сумму  931 788 044,00 ?</t>
  </si>
  <si>
    <t>24.42.22 Прутки, катанка и профили из алюминия или алюминиевых сплавов
24.45 Металлы цветные прочие
24.42.22.130 Профили из алюминия или алюминиевых сплавов</t>
  </si>
  <si>
    <t>"поставщики маркер", ".", "fk1", "все клиенты с выручкой от 1,8 млрд до бесконечности", "ФК клиенты с выручкой от 230 до бесконечности", "Обороты по клиентам по кварталам (2022г)", "производители"</t>
  </si>
  <si>
    <t>11.01.10.111 Водка</t>
  </si>
  <si>
    <t>За весь период заходили в конкурсы  2 раз на общую сумму обеспеченных контрактов с НМЦ 160 171 145,92 ? с БГУ  8 171 997,24 ? с БГИ 49 031 983,44 ?</t>
  </si>
  <si>
    <t>"поставщики маркер", ".", "рейтинг поставщиков в маркере по бг", "fk1", "ушедшие", "рейтинг заказчиков маркер", "производители", "это заказчик"</t>
  </si>
  <si>
    <t>61.1 Услуги телекоммуникационные проводные
61.10.3 Услуги по передаче данных по проводным телекоммуникационным сетям
61.10.30.120 Услуги документальной электросвязи
61.20.11.000 Услуги подвижной связи общего пользования - обеспечение доступа и поддержка пользователя
61.20.50.120 Услуги связи для цифрового телерадиовещания в области беспроводной связи
61.90.10.190 Услуги телекоммуникационные прочие, не включенные в другие группировки
61.90.10.130 Услуги по предоставлению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 д.
80.20.10.000 Услуги систем обеспечения безопасности
61.10.20 Услуги операторов связи в сфере проводных телекоммуникаций
61.10.41.000 Услуги магистральные по информационно-коммуникационной сети Интернет ****</t>
  </si>
  <si>
    <t>3 944</t>
  </si>
  <si>
    <t>За весь период компания заключила  16 контрактов на сумму  9 361 185 099,36 ? За весь период заходили в конкурсы  47 раз на общую сумму обеспеченных контрактов с НМЦ 10 168 828 581,60 ? с БГУ  266 011 640,54 ? с БГИ 1 262 310 516,49 ? За 3 ГОДА по 44ФЗ заключено 242 шт. с объемом НМЦ  1 584 512 188,93 ? с БГИ 179 464 982,50 ? с БГГО 3 405 889,93 ? с авансированием до 83 914 899,38 ? с комиссией банку 3 454 595,90 ? с кв 30 054,98 ? ЗА 1 ГОД по 44ФЗ заключено 96 шт. c объемом НМЦ 382 150 893,93 ? с БГИ 61 980 639,51 ? с БГГО 0,00 ? с авансированием до  50 845 120,43 ? с комиссией банку  1 102 342,86 ? с кв 9 590,38 ?</t>
  </si>
  <si>
    <t>"223 за 3 года", ".", "рейтинг поставщиков в маркере по бг", "ГРАНДИОЗНЫЙ ПРОЕКТ", "fk1", "все клиенты с выручкой от 1,8 млрд до бесконечности", "44 фз с с БГ от 10 млн", "рейтинг заказчиков маркер", "рейтинг по нмц маркер", "это заказчик", "поставщики маркер", "44 за 3 года"</t>
  </si>
  <si>
    <t>21.20.23.199 Средства нелечебные прочие
20.59.52.199 Реагенты сложные диагностические или лабораторные прочие, не включенные в другие группировки
20.20.14.000 Средства дезинфекционные
21.10.54.190 Антибиотики и их производные прочие
21.20.10.133 Препараты антианемические
21.20.10.191 Препараты антибактериальные для системного использования
21.20.10.213 Иммуномодуляторы
21.20.10.241 Препараты противопротозойные
21.20.10.251 Препараты назальные
86.10.19.000 Услуги больниц прочие ****</t>
  </si>
  <si>
    <t>За весь период компания заключила  127 контрактов на сумму  23 373 240 688,78 ? За весь период заходили в конкурсы  28 раз на общую сумму обеспеченных контрактов с НМЦ 1 831 169 049,00 ? с БГУ  38 872 276,98 ? с БГИ 249 345 174,90 ? За 3 ГОДА по 44ФЗ заключено 42 шт. с объемом НМЦ  564 553 731,05 ? с БГИ 62 065 464,32 ? с БГГО 19 805,64 ? с авансированием до 8 400 000,00 ? с комиссией банку 546 280,55 ? с кв 4 752,64 ? ЗА 1 ГОД по 44ФЗ заключено 1 шт. c объемом НМЦ 84 732 000,00 ? с БГИ 8 473 200,00 ? с БГГО 0,00 ? с авансированием до  0,00 ? с комиссией банку  118 392,66 ? с кв 1 030,02 ?</t>
  </si>
  <si>
    <t>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33.20 Услуги по монтажу промышленных машин и оборудования
43.21 Работы электромонтажные
71.1 Услуги в области архитектуры, инженерно-технического проектирования и связанные технические консультативные услуги
42.22.11.110 Линии (кабели) электропередачи высокого напряжения
71.20.19.190 Услуги по техническим испытаниям и анализу прочие, не включенные в другие группировки
25.99.29.190 Изделия прочие из недрагоценных металлов, не включенные в другие группировки
42.12.20.190 Работы строительные по строительству наземных и подземных железных дорог прочие, не включенные в другие группировки
71.20.13.000 Услуги в области испытаний, исследований и анализа целостных механических и электрических систем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 ****</t>
  </si>
  <si>
    <t>За весь период компания заключила  15 контрактов на сумму  2 599 848 594,16 ? За весь период заходили в конкурсы  61 раз на общую сумму обеспеченных контрактов с НМЦ 7 394 700 056,27 ? с БГУ  343 557 020,34 ? с БГИ 1 694 417 809,42 ?</t>
  </si>
  <si>
    <t>"223 за 3 года", ".", "рейтинг поставщиков в маркере по бг", "fk1", "ПОС на 01.02.2023", "ПОС на 03.04.2023",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 "это заказчик", "поставщики маркер", "44 за 3 года"</t>
  </si>
  <si>
    <t>35.11.10.112 Электроэнергия, произведенная теплоэлектроцентралями (ТЭЦ) общего назначения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35.13.10.000 Услуги по распределению электроэнергии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35.30.22.000 Услуги по снабжению охлажденным воздухом и охлажденной водой ****</t>
  </si>
  <si>
    <t>за 1 ГОД ПО 223ФЗ заключено 2  7 795 674,10 ?</t>
  </si>
  <si>
    <t>Сообщение кредитора о намерении обратиться в суд с заявлением о банкротстве от 16.04.2021</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</si>
  <si>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35.11.10.143 Электроэнергия, произведенная геотермальными электростанциями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35.11.10.142 Электроэнергия, произведенная ветровыми электростанциями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t>
  </si>
  <si>
    <t>За весь период компания заключила  54 контрактов на сумму  12 374 368 127,16 ?</t>
  </si>
  <si>
    <t>05.20.10.110 Уголь бурый рядовой (лигнит)
49.20.19.190 Услуги железнодорожного транспорта по перевозке прочих грузов, не включенные в другие группировки</t>
  </si>
  <si>
    <t>За весь период компания заключила  2 контрактов на сумму  7 832 718 300,00 ?                                     ЗА 3 ГОДА ПО 223 ФЗ заключено 1 шт. с объемом НМЦ 1 330 190 434,78 ? за 1 ГОД ПО 223ФЗ заключено 2  7 064 006 434,78 ?</t>
  </si>
  <si>
    <t>"223 за 3 года", ".", "Конкурсы 100+ (Восстановленный)", "223 фз контракты 20+", "рейтинг по нмц маркер"</t>
  </si>
  <si>
    <t>45.20.11.519 Прочие услуги по техническому обслуживанию и ремонту прочих автотранспортных средств, не включенные в другие группировки
28.30.23 Тракторы с мощностью двигателя более 59 кВт
33.1 Услуги по ремонту металлоизделий, машин и оборудования
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33.12.29.900 Услуги по ремонту и техническому обслуживанию прочего оборудования специального назначения, не включенные в другие группировки
28.30.23.110 Тракторы сельскохозяйственные колесные с мощностью двигателя более 59 кВт
28.30.32.112 Бороны дисковые
28.30.33.111 Сеялки зерновые
33.12 Услуги по ремонту оборудования
28.30.21 Тракторы с мощностью двигателя не более 37 кВт ****</t>
  </si>
  <si>
    <t>за 1 ГОД ПО 223ФЗ заключено 7  8 837 306,69 ?</t>
  </si>
  <si>
    <t>Юридическим лицом принято решение об изменении места нахождения от 18.04.2023, Сообщение кредитора о намерении обратиться в суд с заявлением о банкротстве от 25.09.2020</t>
  </si>
  <si>
    <t>2 223</t>
  </si>
  <si>
    <t>"поставщики маркер", ".", "fk1", "Обороты по клиентам по кварталам (2022г)", "производители", "это заказчик"</t>
  </si>
  <si>
    <t>16.10.32.111 Шпалы деревянные для железных дорог широкой колеи пропитанные</t>
  </si>
  <si>
    <t>Заказчик разыгравший 17 конкурсов на сумму  3 122 410 801,49 ?</t>
  </si>
  <si>
    <t>37.00.11.110 Услуги по водоотведению сточных вод
35.30.12.110 Услуги по приготовлению воды на нужды горячего водоснабжения
36.00.20.110 Услуги по очистке и подготовке воды для водоснабжения
36.00.30.000 Услуги по торговле водой, поставляемой по трубопроводам
35.30 Услуги по снабжению паром и кондиционированию воздуха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36.00 Вода природная; услуги по очистке воды и водоснабжению
37.00.11.130 Услуги по подключению (технологическому присоединению) к централизованной системе водоотведения ****</t>
  </si>
  <si>
    <t>За 3 года по 223ФЗ заключено  14 шт контрактов на сумму 53 770 882,96 ?</t>
  </si>
  <si>
    <t>За весь период контрактов 2 шт. на общую сумму НМЦ 19 688 300 000,00 ?</t>
  </si>
  <si>
    <t>За весь период компания заключила  2 контрактов на сумму  35 269 625 353,72 ?</t>
  </si>
  <si>
    <t>43.99.90.190 Работы строительные специализированные прочие, не включенные в другие группировки
33.12.19.000 Услуги по ремонту и техническому обслуживанию прочего оборудования общего назначения, не включенного в другие группировки</t>
  </si>
  <si>
    <t>За весь период компания заключила  27 контрактов на сумму  5 744 063 192,38 ? За весь период заходили в конкурсы  5 раз на общую сумму обеспеченных контрактов с НМЦ 1 693 840 877,37 ? с БГУ  35 689 204,00 ? с БГИ 276 786 857,00 ?</t>
  </si>
  <si>
    <t>"поставщики маркер", ".", "рейтинг поставщиков в маркере по бг", "беники", "все клиенты с выручкой от 1,8 млрд до бесконечности", "рейтинг заказчиков маркер", "рейтинг по нмц маркер", "это заказчик"</t>
  </si>
  <si>
    <t>За весь период компания заключила  7 контрактов на сумму  446 659 978,34 ?</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</si>
  <si>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35.12.10.120 Услуги по технологическому присоединению к распределительным электросетям
35.13.10.000 Услуги по распределению электроэнергии
35.30 Услуги по снабжению паром и кондиционированию воздуха ****</t>
  </si>
  <si>
    <t>За весь период контрактов 12 шт. на общую сумму НМЦ 692 805 392,35 ?</t>
  </si>
  <si>
    <t>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35.30.11.111 Энергия тепловая, отпущенная тепловыми электроцентралями (ТЭЦ)
35.30.11.119 Энергия тепловая, отпущенная прочими электростанциями</t>
  </si>
  <si>
    <t>Заказчик разыгравший 293 конкурсов на сумму  171 504 065 129,52 ?</t>
  </si>
  <si>
    <t>35.11.10.112 Электроэнергия, произведенная теплоэлектроцентралями (ТЭЦ)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35.11.10.142 Электроэнергия, произведенная ветровыми электростанциями
35.11.10 Электроэнергия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35.13.10.000 Услуги по распределению электроэнергии ****</t>
  </si>
  <si>
    <t>За весь период компания заключила  4 контрактов на сумму  856 429 286,86 ?                                     ЗА 3 ГОДА ПО 223 ФЗ заключено 24 шт. с объемом НМЦ 216 229 218,08 ? за 1 ГОД ПО 223ФЗ заключено 12  189 415 248,95 ?</t>
  </si>
  <si>
    <t>35.11.10.112 Электроэнергия, произведенная теплоэлектроцентралями (ТЭЦ) общего назначения
19.20.21.100 Бензин автомобильный
19.20.21.310 Топливо дизельное летнее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19.20.28.111 Мазут с массовой долей серы не более 3,5 % с температурой вспышки в открытом тигле не ниже 90 °C, с содержанием сероводорода не более 30 ppm, но более 20 ppm
35.12.10.120 Услуги по технологическому присоединению к распределительным электросетям ****</t>
  </si>
  <si>
    <t>За весь период контрактов 15 шт. на общую сумму НМЦ 4 906 637 291,61 ?</t>
  </si>
  <si>
    <t>"223 за 3 года", ".", "рейтинг поставщиков в маркере по бг", "fk1", "06.2022_ФинХД", "все клиенты с выручкой от 1,8 млрд до бесконечности", "клиенты от 100 млн", "Участники клиринга", "рейтинг заказчиков маркер", "рейтинг по нмц маркер", "это заказчик", "поставщики маркер"</t>
  </si>
  <si>
    <t>71.12.16.000 Услуги по инженерно-техническому проектированию производственных процессов и производств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42.2 Сооружения и строительные работы по строительству инженерных коммуникаций
42.21.11.120 Трубопроводы магистральные наземные и подводные для перекачки воды или прочих продуктов
71.12.19.100 Услуги по инженерно-техническому проектированию прочих объектов, кроме объектов культурного наследия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41.10.10.000 Документация проектная для строительства
42.21.21.000 Работы строительные по прокладке магистральных трубопроводов
42.21.22.110 Работы строительные по прокладке местных трубопроводов воды или сточных вод ****</t>
  </si>
  <si>
    <t>За весь период компания заключила  18 контрактов на сумму  62 639 585 315,66 ? За весь период заходили в конкурсы  20 раз на общую сумму обеспеченных контрактов с НМЦ 50 155 569 459,24 ? с БГУ  1 358 322 336,16 ? с БГИ 6 525 174 553,06 ?</t>
  </si>
  <si>
    <t>20.59.43.120 Антифризы
20.30.22.170 Герметики
19.20.29.119 Масла моторные прочие, не включенные в другие группировки
19.20.29.150 Масла компрессорные
29.31.22.190 Оборудование электрическое прочее для транспортных средств, не включенное в другие группировки
29.32.30.182 Муфты выключения сцеплений, подшипники муфт выключения сцеплений
29.32.30.212 Элементы подвески демпфирующие и рулевого привода
29.32.30.214 Шарниры шаровые подвески и их элементы
29.32.30.260 Системы вентиляции, отопления и кондиционирования воздуха, их узлы и детали
29.32.30.269 Узлы и детали систем вентиляции, отопления и кондиционирования воздуха, не включенные в другие группировки ****</t>
  </si>
  <si>
    <t>10.11.32.110 Свинина замороженная
01.24.10.000 Яблоки</t>
  </si>
  <si>
    <t>10.51.40.300 Творог</t>
  </si>
  <si>
    <t>29.10.30.190 Средства автотранспортные пассажирские с числом мест для сидения не менее 10 прочие
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29.10.41.112 Автомобили грузовые с дизельным двигателем, имеющие технически допустимую максимальную массу свыше 3,5 т, но не более 12 т
29.10.24.000 Средства автотранспортные для перевозки людей прочие
29.10.41.123 Автосамосвалы с дизельным двигателем, имеющие технически допустимую максимальную массу свыше 12 т</t>
  </si>
  <si>
    <t>За весь период компания заключила  4 контрактов на сумму  614 666 532,49 ? За весь период заходили в конкурсы  14 раз на общую сумму обеспеченных контрактов с НМЦ 2 000 029 842,51 ? с БГУ  105 964 301,62 ? с БГИ 327 978 849,01 ? За 3 ГОДА по 44ФЗ заключено 15 шт. с объемом НМЦ  1 532 956 131,70 ? с БГИ 153 063 397,95 ? с БГГО 14 283 935,67 ? с авансированием до 51 925 816,70 ? с комиссией банку 680 674,45 ? с кв 5 921,87 ? ЗА 1 ГОД по 44ФЗ заключено 3 шт. c объемом НМЦ 395 501 090,00 ? с БГИ 39 550 109,00 ? с БГГО 3 300 000,00 ? с авансированием до  0,00 ? с комиссией банку  233 585,22 ? с кв 2 032,19 ?</t>
  </si>
  <si>
    <t>"44 за 3 года", ".", "рейтинг поставщиков в маркере по бг", "ушедший портфель", "fk1", "ИНН 3 года - нет КД БГ на 01.10.22", "Список ушедший ", "06.2022_ФинХД", "все клиенты с выручкой от 1,8 млрд до бесконечности", "ФК клиенты с выручкой от 230 до бесконечности", "Обороты по клиентам по кварталам (2022г)", "44 фз с с БГ от 10 млн", "рейтинг по нмц маркер", "поставщики маркер"</t>
  </si>
  <si>
    <t>10.82.22.121 Изделия шоколадные с начинкой
10.72.12.120 Печенье сладкое
10.82.22.120 Изделия шоколадные
10.82.22.143 Конфеты, глазированные шоколадной и шоколадно-молочной глазурью, с кремовыми и сбивными корпусами
10.82.22.139 Конфеты шоколадные, не включенные в другие группировки, прочие
10.72.12.140 Печенье сухое (галеты и крекеры)</t>
  </si>
  <si>
    <t>24.10.80.190 Прокат черных металлов прочий, не включенный в другие группировки
24 Металлы основные
24.20.13.130 Трубы стальные электросварные
24.10.73.111 Уголки стальные горячекатаные равнополочные из прочих легированных сталей
24.20.13 Трубы круглого сечения прочие стальные
24.2 Трубы, профили пустотелые и их фитинги стальные
24.20.11.000 Трубы стальные для нефте- и газопроводов бесшовные
24.20.14.110 Трубы некруглого сечения стальные
24.20.14.120 Профили пустотелые стальные
24.20.1 Трубы, профили пустотелые бесшовные и их фитинги стальные ****</t>
  </si>
  <si>
    <t>За весь период компания заключила  3 контрактов на сумму  654 920 855,56 ?                                     ЗА 3 ГОДА ПО 223 ФЗ заключено 16 шт. с объемом НМЦ 35 462 373,59 ? за 1 ГОД ПО 223ФЗ заключено 3  6 600 720,00 ?</t>
  </si>
  <si>
    <t>"223 за 3 года", ".", "ушедшие", "все клиенты с выручкой от 1,8 млрд до бесконечности", "производители", "рейтинг по нмц маркер", "поставщики маркер", "44 за 3 года"</t>
  </si>
  <si>
    <t>52.10.19.900 Услуги по складированию и хранению прочие, не включенные в другие группировки
24.10.21 Сталь нелегированная в слитках или в прочих первичных формах и полуфабрикаты из нелегированной стали
24.10.31 Прокат листовой горячекатаный из нелегированных сталей, без дополнительной обработки, шириной не менее 600 мм</t>
  </si>
  <si>
    <t>"223 за 3 года",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"поставщики маркер"</t>
  </si>
  <si>
    <t>31.03 Матрасы
31.03.12.110 Матрасы пружинные
13.92.24 Одеяла стеганые, одеяла стеганые пуховые, валики, пуфы, подушки, спальные мешки и аналогичные изделия с пружинами или набитые, или изнутри оснащенные каким-либо материалом, или из пористой резины, или пластмассы</t>
  </si>
  <si>
    <t>"производители", ".", "выдали", "06.2022_ФинХД", "все клиенты с выручкой от 1,8 млрд до бесконечности", "рейтинг заказчиков маркер"</t>
  </si>
  <si>
    <t>19.20.21.310 Топливо дизельное летнее
19.20.21.345 Топливо дизельное межсезонное экологического класса К5
19.20.21.300 Топливо дизельное
19.20.21.325 Топливо дизельное зимнее экологического класса К5
19.20.21.311 Топливо дизельное летнее вне классов</t>
  </si>
  <si>
    <t>За весь период заходили в конкурсы  4 раз на общую сумму обеспеченных контрактов с НМЦ 521 098 660,00 ? с БГУ  36 709 331,60 ? с БГИ 73 418 663,20 ?</t>
  </si>
  <si>
    <t>11.07 Напитки безалкогольные; минеральные воды и прочие питьевые воды в бутылках</t>
  </si>
  <si>
    <t>Кредитный портфель_01.2953</t>
  </si>
  <si>
    <t>"223 за 3 года", ".", "fk1", "Кредитный портфель_01.11", "корп 1", "06.2022_ФинХД", "Обороты по клиентам по кварталам (2022г)", "поставщики маркер"</t>
  </si>
  <si>
    <t>27.40 Оборудование электрическое осветительное
27.40.12.000 Лампы накаливания галогенные с вольфрамовой нитью, кроме ультрафиолетовых или инфракрасных ламп
27.40.15.115 Лампы металлогалогенные
27.90.33.110 Комплектующие (запасные части) прочего электрического оборудования, не имеющие самостоятельных группировок
22.21.30.130 Полосы (ленты) пластмассовые, неармированные или не комбинированные с другими материалами
27.20.22.000 Аккумуляторы свинцовые, кроме используемых для запуска поршневых двигателей
26.30.50.123 Станции пожарной сигнализации, приборы управления и оповещатели пожарные
27.40.25.129 Устройства осветительные электрические подвесные, потолочные, встраиваемые и настенные, предназначенные для использования с лампами прочих типов
27.32.13.131 Провода силовые для электрических установок
27.32.13.157 Шнуры слаботочные ****</t>
  </si>
  <si>
    <t>Гарантия завершена;Заявка отозвана клиентом
Заявка отозвана</t>
  </si>
  <si>
    <t>"223 за 3 года", "кл фт прямые бг 04.22", "свод фт", ".", "УПП на 2 номер", "fk1", "кредиты фт", "клиенты управления по БГ без открытых счетов", "лимит сит по кредитам", "все клиенты с выручкой от 1,8 млрд до бесконечности", "ФК клиенты с выручкой от 230 до бесконечности", "клиенты от 100 млн", "Обороты по клиентам по кварталам (2022г)", "Одобренные но не выданные 1 полугодие 2021", "ФТ клиенты с продуктами по сотрудникам", "рейтинг по нмц маркер", "на фт заводил Шевченко", "на фт заводил Егоров ", "поставщики маркер"</t>
  </si>
  <si>
    <t>10.71.11.190 Изделия хлебобулочные недлительного хранения прочие
10.89.19.290 Продукты пищевые прочие, не включенные в другие группировки
10.11.31.140 Субпродукты пищевые крупного рогатого скота замороженные
10.12.20.110 Мясо кур, в том числе цыплят (включая цыплят-бройлеров) замороженное
10.82.22.122 Изделия шоколадные без начинки
10.12.40 Субпродукты сельскохозяйственной птицы пищевые, в том числе для детского питания
10.12.40.121 Субпродукты кур (включая цыплят и цыплят-бройлеров) пищевые замороженные
10.11.31 Мясо крупного рогатого скота (говядина и телятина) замороженное, в том числе для детского питания
10.12.20 Мясо сельскохозяйственной птицы замороженное, в том числе для детского питания
10.12.20.120 Мясо индеек, в том числе индюшат замороженное ****</t>
  </si>
  <si>
    <t>Кредитный портфель_01.2958</t>
  </si>
  <si>
    <t>"поставщики маркер", ".", "Кредитный портфель_01.11", "06.2022_ФинХД", "клиенты с в от100млн 09.21", "все клиенты с выручкой от 1,8 млрд до бесконечности", "это заказчик"</t>
  </si>
  <si>
    <t>93.29.19.000 Услуги по организации отдыха и развлечений прочие, не включенные в другие группировки
77.21.10 Услуги по прокату оборудования для отдыха, развлечений и занятий спортом
90.04.10.110 Услуги концертных залов, театров, оперных зданий, мюзик-холлов, включая услуги билетных касс
96.09.19.139 Прочие персональные услуги, не включенные в другие группировки
68.20.12.000 Услуги по сдаче в аренду (внаем) собственных или арендованных нежилых помещений</t>
  </si>
  <si>
    <t>10.11.12 Свинина парная, остывшая или охлажденная, в том числе для детского питания
10.51.52.140 Кефир
10.51.11.111 Молоко питьевое коровье пастеризованное
10.11.11 Мясо крупного рогатого скота (говядина и телятина) парное, остывшее или охлажденное, в том числе для детского питания
10.51 Молоко и молочная продукция
10.51.52.112 Йогурт с вкусовыми компонентами
10.51.52.130 Ряженка и варенец</t>
  </si>
  <si>
    <t>20.42.15 Средства для ухода за кожей, макияжа или защитные средства для кожи (включая солнцезащитные и для загара), не включенные в другие группировки
20.59 Продукты химические прочие, не включенные в другие группировки
25.73.6 Инструмент прочий
27.40.2 Светильники и осветительные устройства
29.1 Средства автотранспортные
27.12.22 Выключатели автоматические на напряжение не более 1 кВ
24.20 Трубы, профили пустотелые и их фитинги стальные
28.2 Машины и оборудование общего назначения прочие
24.10.3 Прокат листовой горячекатаный стальной, без дополнительной обработки
46.12 Услуги по оптовой торговле топливом, рудами, металлами и промышленными химическими веществами за вознаграждение или на договорной основе ****</t>
  </si>
  <si>
    <t>За весь период компания заключила  18 контрактов на сумму  31 282 161 542,73 ?                                     ЗА 3 ГОДА ПО 223 ФЗ заключено 39 шт. с объемом НМЦ 979 135 468,70 ? за 1 ГОД ПО 223ФЗ заключено 74  534 817 630,31 ?</t>
  </si>
  <si>
    <t>01.11.12.110 Пшеница озимая мягкая
01.11.1 Пшеница</t>
  </si>
  <si>
    <t>ЗА 3 ГОДА ПО 223 ФЗ заключено 3 шт. с объемом НМЦ 76 591 960,00 ? за 1 ГОД ПО 223ФЗ заключено 2  54 391 960,00 ?</t>
  </si>
  <si>
    <t>24 Металлы основные
24.20.13.130 Трубы стальные электросварные
24.20.12 Трубы обсадные, насосно-компрессорные трубы и бурильные трубы, используемые для бурения нефтяных или газовых скважин, бесшовные стальные
24.20.12.110 Трубы обсадные бесшовные стальные
24.20.12.120 Трубы насосно-компрессорные бесшовные стальные
24.20.13.190 Трубы круглого сечения прочие стальные
24.2 Трубы, профили пустотелые и их фитинги стальные
24.20.12.130 Трубы бурильные для бурения нефтяных и газовых скважин бесшовные стальные
24.20.13.110 Трубы стальные бесшовные горячедеформированные</t>
  </si>
  <si>
    <t>За весь период компания заключила  35 контрактов на сумму  150 451 993 749,14 ?                                     ЗА 3 ГОДА ПО 223 ФЗ заключено 1 шт. с объемом НМЦ 99 117 480,00 ?</t>
  </si>
  <si>
    <t>"223 за 3 года", ".", "fk1", "ПОС на 01.02.2023", "ПОС на 03.04.2023", "Кредитный портфель_01.11", "06.2022_ФинХД", "все клиенты с выручкой от 1,8 млрд до бесконечности", "Обороты по клиентам по кварталам (2022г)", "рейтинг по нмц маркер", "поставщики маркер"</t>
  </si>
  <si>
    <t>ЗА 3 ГОДА ПО 223 ФЗ заключено 4 шт. с объемом НМЦ 28 631 666,67 ? за 1 ГОД ПО 223ФЗ заключено 2  32 450 000,00 ?</t>
  </si>
  <si>
    <t>"223 за 3 года", ".", "Агентские одобренные но не выданные от 30.08", "производители", "поставщики маркер"</t>
  </si>
  <si>
    <t>10.62.13.155 Патока высокоосахаренная</t>
  </si>
  <si>
    <t>"Обороты по клиентам по кварталам (2022г)", ".", "портфель 51", "fk1", "инн Красносельская",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t>
  </si>
  <si>
    <t>28.14.12.110 Краны, клапаны для раковин, моек, биде, унитазов, ванн и аналогичная арматура
24.10.61.113 Прокат сортовой горячекатаный шестигранный со свободной намоткой в бухты из нелегированных сталей
24.10.62.124 Прокат сортовой горячекатаный полосовой прочий, без дополнительной обработки, включая смотанный после прокатки, из нелегированных сталей
24.10.80.190 Прокат черных металлов прочий, не включенный в другие группировки
24.10.21.149 Полуфабрикаты круглого или многоугольного сечения из нелегированной стали прочие
24.10.22.149 Полуфабрикаты круглого или многоугольного сечения из нержавеющей стали прочие
25.93.14.111 Гвозди строительные
25.93.14.119 Гвозди прочие
25.93.15.120 Электроды с покрытием
25.94.11.120 Шурупы из черных металлов ****</t>
  </si>
  <si>
    <t>За весь период заходили в конкурсы  2 раз на общую сумму обеспеченных контрактов с НМЦ 167 994 486,05 ? с БГУ  5 513 858,22 ? с БГИ 18 636 118,39 ?</t>
  </si>
  <si>
    <t>26.30.30.000 Части и комплектующие коммуникационного оборудования</t>
  </si>
  <si>
    <t>ЗА 3 ГОДА ПО 223 ФЗ заключено 9 шт. с объемом НМЦ 1 692 782 895,67 ?</t>
  </si>
  <si>
    <t>"223 за 3 года", "кл фт прямые бг 04.22", "свод фт", ".", "беники", "УПП на 2 номер", "fk1", "клиенты управления по БГ без открытых счетов", "2. Финтендер 2022 31.03.22 Григорян для СПАРК", "Пункт 3.1 09.01.2023", "БГ ФБ ЮР лица на 01.07.2021", "Премия 4 кв 22 г.бг", "Гарантии ФБ банкроты", "филиал бизнес 31.01.22 ", "клиенты с в от100млн 09.21", "лимит сит по кредитам", "ФК клиенты с выручкой от 230 до бесконечности", "клиенты от 100 млн", "Обороты по клиентам по кварталам (2022г)", "Одобренные но не выданные 1 полугодие 2021", "ФТ клиенты с продуктами по сотрудникам", "производители", "на фт заводил Шутов", "на фт заводил Тихонов ", "поставщики маркер", "44 за 3 года"</t>
  </si>
  <si>
    <t>17.12.31.000 Картон тарный (крафт-лайнер) небеленый, немелованный
17.21 Бумага и картон гофрированные и тара бумажная и картонная
17.12.72.120 Картон крепированный, гофрированный, тисненый или перфорированный
17.12.71.000 Бумага и картон многослойные, немелованные или без пропитки</t>
  </si>
  <si>
    <t>3 553</t>
  </si>
  <si>
    <t>Сообщения о принятии решения о реорганизации от 05.10.2022</t>
  </si>
  <si>
    <t>24.42.11 Алюминий необработанный
24.42.11.130 Алюминий вторичный и его сплавы
24.44.13.120 Сплавы медные необработанные
24.42.11.120 Сплавы на основе первичного алюминия</t>
  </si>
  <si>
    <t>46.36.1 Услуги по оптовой торговле сахаром, шоколадом и сахаристыми кондитерскими изделиями
46.36.13 Услуги по оптовой торговле шоколадом и сахаристыми кондитерскими изделиями</t>
  </si>
  <si>
    <t>1 457</t>
  </si>
  <si>
    <t>22.29 Изделия пластмассовые прочие
13.99 Изделия текстильные прочие, не включенные в другие группировки
21 Средства лекарственные и материалы, применяемые в медицинских целях
14.31 Изделия чулочно-носочные трикотажные или вязаные
32.50.42 Очки для коррекции зрения, защитные или прочие очки или аналогичные оптические приборы
13.99.19.111 Вата медицинская гигроскопическая
23.13.11 Бутылки, банки, флаконы и прочая тара из стекла, кроме ампул; пробки, крышки и прочие укупорочные средства из стекла
22.19 Изделия из резины прочие
23.19.23.120 Посуда для гигиенических или фармацевтических целей стеклянная
21.20 Препараты лекарственные и материалы, применяемые в медицинских целях ****</t>
  </si>
  <si>
    <t>27.90.33.110 Комплектующие (запасные части) прочего электрического оборудования, не имеющие самостоятельных группировок
20.59.56.120 Флюсы
28.24.12.120 Инструменты ручные гидравлические
28.29.86.000 Части неэлектрического оборудования и инструментов для пайки мягким и твердым припоем или сварки; машин и аппаратов для газотермического напыления
20.30.22.140 Пасты суховальцованные
25.93.15.110 Проволока, прутки присадочные, стержни, пластины
25.93.15.120 Электроды с покрытием
28.49.23.199 Оснастка специальная технологическая для станков прочая, не включенная в другие группировки
25.94.12.120 Заклепки из черных металлов (кроме трубчатых или раздвоенных заклепок общего назначения)
32.50.13.190 Инструменты и приспособления, применяемые в медицинских целях, прочие, не включенные в другие группировки ****</t>
  </si>
  <si>
    <t>ЗА 3 ГОДА ПО 223 ФЗ заключено 29 шт. с объемом НМЦ 20 912 454,67 ?</t>
  </si>
  <si>
    <t>28.30.93.000 Части прочих машин и оборудования для сельского хозяйства
29.10.59.130 Средства транспортные для коммунального хозяйства и содержания дорог
28.30.23.110 Тракторы сельскохозяйственные колесные с мощностью двигателя более 59 кВт
28.30.21 Тракторы с мощностью двигателя не более 37 кВт
28.30.51.000 Косилки (включая устройства режущие для установки на тракторе), не включенные в другие группировки
28.30.21.110 Тракторы сельскохозяйственные колесные с мощностью двигателя не более 37 кВт
46.61.11.000 Услуги по оптовой торговле сельскохозяйственными и лесохозяйственными машинами, оборудованием и инструментами, включая тракторы</t>
  </si>
  <si>
    <t>За весь период компания заключила  5 контрактов на сумму  335 129 999,92 ? За весь период заходили в конкурсы  8 раз на общую сумму обеспеченных контрактов с НМЦ 567 166 531,01 ? с БГУ  17 746 700,16 ? с БГИ 54 798 788,42 ?</t>
  </si>
  <si>
    <t>"223 за 3 года", ".", "рейтинг поставщиков в маркере по бг", "все клиенты с выручкой от 1,8 млрд до бесконечности", "Одобренные но не выданные 1 полугодие 2021", "44 фз с с БГ от 10 млн", "производители", "рейтинг по нмц маркер", "поставщики маркер", "44 за 3 года"</t>
  </si>
  <si>
    <t>28.30.22.110 Тракторы сельскохозяйственные колесные с мощностью двигателя от 37 кВт до 59 кВт
28.30.53.000 Прессы для соломы или сена, включая пресс-подборщики
28.22.15.120 Погрузчики прочие
28.30.2 Тракторы для сельского хозяйства прочие
29.10.59.130 Средства транспортные для коммунального хозяйства и содержания дорог
28.22.20.000 Ковши, черпаки, грейферы и захваты для подъемных кранов, экскаваторов и аналогичного оборудования
28.30 Машины и оборудование для сельского и лесного хозяйства
28.30.23.110 Тракторы сельскохозяйственные колесные с мощностью двигателя более 59 кВт
28.30.86.110 Оборудование для сельского хозяйства, не включенное в другие группировки
28.30.39.000 Машины сельскохозяйственные для обработки почвы прочие ****</t>
  </si>
  <si>
    <t>За 3 ГОДА по 44ФЗ заключено 79 шт. с объемом НМЦ  830 197 373,54 ? с БГИ 45 386 914,63 ? с БГГО 8 921 778,20 ? с авансированием до 4 339 756,00 ? с комиссией банку 360 230,94 ? с кв 3 134,01 ? ЗА 1 ГОД по 44ФЗ заключено 20 шт. c объемом НМЦ 97 754 833,24 ? с БГИ 12 237 617,49 ? с БГГО 882 457,67 ? с авансированием до  3 421 500,00 ? с комиссией банку  109 782,06 ? с кв 955,10 ?</t>
  </si>
  <si>
    <t>23.99.12.110 Материалы рулонные кровельные и гидроизоляционные
23.99.19.110 Материалы и изделия минеральные тепло- и звукоизоляционные
24.33.2 Профили листовые из нелегированной стали
24.33.3 Панели многослойные из листового стального плакированного проката</t>
  </si>
  <si>
    <t>"поставщики маркер", "свод фт", ".", "ушедшие", "все клиенты с выручкой от 1,8 млрд до бесконечности", "на фт заводил Шевченко"</t>
  </si>
  <si>
    <t>30.20.33.116 Вагоны-хопперы
30.20.33.118 Вагоны-платформы железнодорожные
30.20.33.111 Вагоны грузовые крытые</t>
  </si>
  <si>
    <t>За весь период контрактов 6 шт. на общую сумму НМЦ 20 820 877 115,80 ?</t>
  </si>
  <si>
    <t>23.63.10.000 Бетон, готовый для заливки (товарный бетон)</t>
  </si>
  <si>
    <t>Решение о признании должника банкротом и открытии конкурсного производства от 12.01.2019</t>
  </si>
  <si>
    <t>"поставщики маркер", ".", "Пункт 3.1 09.01.2023", "06.2022_ФинХД", "все клиенты с выручкой от 1,8 млрд до бесконечности"</t>
  </si>
  <si>
    <t>Заказчик разыгравший 18 конкурсов на сумму  3 659 490 073,78 ?</t>
  </si>
  <si>
    <t>Сообщения о принятии решения о реорганизации от 07.02.2022</t>
  </si>
  <si>
    <t>22.21.21.123 Трубы канализационные и фасонные части к ним из полиэтилена
22.21.29.110 Трубы прочие пластмассовые
22.21.21.129 Трубы полимерные жесткие прочие
22.19.73.111 Кольца резиновые уплотнительные
22.21.29.130 Фитинги прочие пластмассовые</t>
  </si>
  <si>
    <t>01.13.42.000 Чеснок
10.31.13.110 Хлопья и гранулы из картофеля, в том числе из сушеного картофеля
19.20.29.180 Масла базовые
10.39.23.000 Орехи, арахис (земляные орехи), обжаренные, соленые или приготовленные другим способом
10.41.24.000 Масло подсолнечное и его фракции нерафинированные
46.17 Услуги по оптовой торговле пищевыми продуктами, напитками и табачными изделиями за вознаграждение или на договорной основе
10.39.17.100 Овощи (кроме картофеля), консервированные без уксуса или уксусной кислоты, прочие (кроме готовых овощных блюд)
10.72.19.129 Изделия хлебобулочные специализированные длительного хранения прочие
10.89.13.130 Порошки пекарные готовые
10.89.19.290 Продукты пищевые прочие, не включенные в другие группировки ****</t>
  </si>
  <si>
    <t>ЗА 3 ГОДА ПО 223 ФЗ заключено 31 шт. с объемом НМЦ 45 313 261,05 ? за 1 ГОД ПО 223ФЗ заключено 12  19 972 170,50 ?</t>
  </si>
  <si>
    <t>"223 за 3 года", ".", "fk1", "производители", "поставщики маркер", "44 за 3 года"</t>
  </si>
  <si>
    <t>22.21.30.130 Полосы (ленты) пластмассовые, неармированные или не комбинированные с другими материалами
25.72.13.120 Детали замков
20.30.22.170 Герметики
25.94.11.120 Шурупы из черных металлов
22.21.10.130 Профили фасонные пластмассовые
24.42.22.139 Профили прочие из алюминия или алюминиевых сплавов
25.72.14.120 Петли, арматура крепежная, фурнитура и аналогичные изделия для дверей и окон из недрагоценных металлов
25.72.12.112 Замки накладные из недрагоценных металлов
20.13.23.119 Металлы щелочные и щелочно-земельные прочие, не включенные в другие группировки
22.29.2 Изделия пластмассовые прочие, не включенные в другие группировки ****</t>
  </si>
  <si>
    <t>16.21.12.111 Фанера общего назначения
24.10.80.190 Прокат черных металлов прочий, не включенный в другие группировки
23.99.12.110 Материалы рулонные кровельные и гидроизоляционные
25.93.15.110 Проволока, прутки присадочные, стержни, пластины
25.93.15.120 Электроды с покрытием
27.90.13.129 Электроды угольные и изделия из графита и других видов углерода электротехнические прочие, не включенные в другие группировки
24.34.11.130 Проволока стальная сварочная из нелегированной стали
25.93 Проволока, цепи и пружины
28.91.11.149 Машины литейные прочие
25.93.15 Проволока, прутки присадочные, стержни, пластины, электроды с покрытием или проволока с флюсовым сердечником ****</t>
  </si>
  <si>
    <t>За весь период заходили в конкурсы  1 раз на общую сумму обеспеченных контрактов с НМЦ 227 052 378,00 ? с БГУ  1 418 900,00 ? с БГИ 85 134 000,00 ?                             ЗА 3 ГОДА ПО 223 ФЗ заключено 17 шт. с объемом НМЦ 178 839 506,08 ? за 1 ГОД ПО 223ФЗ заключено 10  200 017 287,49 ?</t>
  </si>
  <si>
    <t>"223 за 3 года", ".", "рейтинг поставщиков в маркере по бг", "все клиенты с выручкой от 1,8 млрд до бесконечности", "223 фз контракты 20+", "поставщики маркер"</t>
  </si>
  <si>
    <t>01.11.12.110 Пшеница озимая мягкая
68.20.12.000 Услуги по сдаче в аренду (внаем) собственных или арендованных нежилых помещений</t>
  </si>
  <si>
    <t>"223 за 3 года", ".", "06.2022_ФинХД", "все клиенты с выручкой от 1,8 млрд до бесконечности", "производители", "рейтинг по нмц маркер", "поставщики маркер"</t>
  </si>
  <si>
    <t>"06.2022_ФинХД", ".", "fk1"</t>
  </si>
  <si>
    <t>10.85.13.000 Продукты пищевые готовые и блюда на основе овощей
10.52.10.190 Мороженое молокосодержащее
10.89.19.290 Продукты пищевые прочие, не включенные в другие группировки
10.12.20.110 Мясо кур, в том числе цыплят (включая цыплят-бройлеров) замороженное
10.52.10.154 Мороженое пломбир с наполнителями и добавками в глазури
10.39.21.120 Ягоды свежие или предварительно подвергнутые тепловой обработке, замороженные
10.12.40.121 Субпродукты кур (включая цыплят и цыплят-бройлеров) пищевые замороженные
10.52.10.153 Мороженое пломбир без наполнителей и добавок в глазури
10.85.19.000 Продукты пищевые готовые и блюда прочие (включая замороженную пиццу)
10.52.10.150 Мороженое пломбир ****</t>
  </si>
  <si>
    <t>за 1 ГОД ПО 223ФЗ заключено 2  5 200 000,00 ?</t>
  </si>
  <si>
    <t>"223 за 3 года", ".", "райф", "все клиенты с выручкой от 1,8 млрд до бесконечности", "рейтинг по нмц маркер", "поставщики маркер"</t>
  </si>
  <si>
    <t>"клиенты от 100 млн", ".", "Гарантии_КИБ_31.03.22_Гиб._", "fk1", "Кредитный портфель_01.11", "корп 1", "06.2022_ФинХД", "все клиенты с выручкой от 1,8 млрд до бесконечности", "ФК клиенты с выручкой от 230 до бесконечности"</t>
  </si>
  <si>
    <t>"Ком_пайрус"</t>
  </si>
  <si>
    <t>"все клиенты с выручкой от 1,8 млрд до бесконечности", ".", "компании пайрус", "закрыли счет"</t>
  </si>
  <si>
    <t>Юридическое лицо находится в процессе реорганизации в форме присоединения к нему других юридических лиц от 16.11.2022, Сообщения о принятии решения о реорганизации от 24.11.2022</t>
  </si>
  <si>
    <t>21.20.23.110 Реагенты диагностические
21.20.23.199 Средства нелечебные прочие
21.10.20.130 Фосфоаминолипиды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21.20.10.155 Препараты для лечения псориаза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t>
  </si>
  <si>
    <t>За весь период компания заключила  7 контрактов на сумму  312 165 097,67 ? За весь период заходили в конкурсы  20 раз на общую сумму обеспеченных контрактов с НМЦ 987 784 842,39 ? с БГУ  34 873 319,33 ? с БГИ 211 041 529,13 ? За 3 ГОДА по 44ФЗ заключено 275 шт. с объемом НМЦ  2 043 801 315,19 ? с БГИ 188 461 933,04 ? с БГГО 4 069 022,60 ? с авансированием до 0,00 ? с комиссией банку 2 058 611,47 ? с кв 17 909,92 ? ЗА 1 ГОД по 44ФЗ заключено 88 шт. c объемом НМЦ 409 567 788,80 ? с БГИ 39 409 027,23 ? с БГГО 0,00 ? с авансированием до  0,00 ? с комиссией банку  301 239,49 ? с кв 2 620,78 ?     за 1 ГОД ПО 223ФЗ заключено 7  4 097 160,29 ?</t>
  </si>
  <si>
    <t>27.32.13.140 Кабели управления, контроля, сигнализации; кабели и провода термоэлектродные
27.90.33.110 Комплектующие (запасные части) прочего электрического оборудования, не имеющие самостоятельных группировок
25.94.11.120 Шурупы из черных металлов
27.20.22.000 Аккумуляторы свинцовые, кроме используемых для запуска поршневых двигателей
26.30.50.112 Устройства приемно-контрольные охранные и охранно-пожарные
26.30.50.120 Приборы и аппаратура для систем автоматического пожаротушения и пожарной сигнализации
26.30.50.123 Станции пожарной сигнализации, приборы управления и оповещатели пожарные
26.30.50.151 Средства управления запирающие специальные с дистанционным контролем и дистанционным управлением
26.30.30.000 Части и комплектующие коммуникационного оборудования
26.30.50.110 Приборы и аппаратура для систем охранной сигнализации ****</t>
  </si>
  <si>
    <t>"44 за 3 года", ".",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t>
  </si>
  <si>
    <t>27.40.12.000 Лампы накаливания галогенные с вольфрамовой нитью, кроме ультрафиолетовых или инфракрасных ламп
24 Металлы основные
26.51.63.130 Счетчики производства или потребления электроэнергии
27.20.22.000 Аккумуляторы свинцовые, кроме используемых для запуска поршневых двигателей
10.39.17.100 Овощи (кроме картофеля), консервированные без уксуса или уксусной кислоты, прочие (кроме готовых овощных блюд)
10.72.12.120 Печенье сладкое
10.83.13.120 Чай черный (ферментированный) в упаковках массой не более 3 кг
10.72.12.112 Пряники
27.40.25.123 Устройства осветительные электрические подвесные, потолочные, встраиваемые и настенные, предназначенные для использования со светодиодными лампами и прочими светодиодными источниками света
27.40.39.119 Светильники и устройства осветительные прочие, не включенные в другие группировки, предназначенные для использования с лампами прочих типов ****</t>
  </si>
  <si>
    <t>27.40.21 Светильники и фонари электрические переносные, работающие от встроенных батарей сухих элементов, аккумуляторов, магнето
22.29 Изделия пластмассовые прочие
15.20.12.129 Обувь женская и для девочек на подошве и с верхом из резины или пластмассы кроме обуви водонепроницаемой или спортивной, прочая, не включенная в другие группировки
20.42.15 Средства для ухода за кожей, макияжа или защитные средства для кожи (включая солнцезащитные и для загара), не включенные в другие группировки
20.42.15.140 Средства для ухода за кожей тела: лосьоны, кремы (в том числе детские)
28.22.19.190 Комплектующие (запасные части) прочего подъемно-транспортного и погрузочно-разгрузочного оборудования, не имеющие самостоятельных группировок
14.19.31.119 Перчатки защитные, рукавицы, варежки, митенки из натуральной или композиционной кожи, не включенные в другие группировки
14.12.11.130 Куртки (пиджаки) и блейзеры мужские производственные и профессиональные
14.12.21 Комплекты и костюмы, куртки (жакеты) и блейзеры женские производственные и профессиональные
14.12.3 Спецодежда прочая ****</t>
  </si>
  <si>
    <t>За весь период компания заключила  6 контрактов на сумму  4 295 245 946,00 ? За весь период заходили в конкурсы  2 раз на общую сумму обеспеченных контрактов с НМЦ 503 235 630,00 ? с БГУ  26 253 900,00 ? с БГИ 157 523 400,00 ?                             ЗА 3 ГОДА ПО 223 ФЗ заключено 63 шт. с объемом НМЦ 86 457 813,56 ? за 1 ГОД ПО 223ФЗ заключено 10  8 434 923,14 ?</t>
  </si>
  <si>
    <t>19.20.21.100 Бензин автомобильный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19.20.21.345 Топливо дизельное межсезонное экологического класса К5
19.20.21.115 Бензин автомобильный с октановым числом не менее 80, но не более 92 по исследовательскому методу экологического класса К5
19.20.21.300 Топливо дизельное
19.20.21.325 Топливо дизельное зимнее экологического класса К5
05.10.1 Уголь ****</t>
  </si>
  <si>
    <t>ЗА 3 ГОДА ПО 223 ФЗ заключено 6 шт. с объемом НМЦ 593 280 883,16 ? за 1 ГОД ПО 223ФЗ заключено 3  577 078 516,49 ?</t>
  </si>
  <si>
    <t>"223 за 3 года", ".", "ГРАНДИОЗНЫЙ ПРОЕКТ 223", "все клиенты с выручкой от 1,8 млрд до бесконечности", "Участники клиринга", "223 фз контракты 20+", "производители", "поставщики маркер", "44 за 3 года"</t>
  </si>
  <si>
    <t>42.11 Дороги автомобильные и автомагистрали; строительные работы по строительству автомобильных дорог и автомагистралей
19.20.42.121 Битумы нефтяные дорожные
19.20 Нефтепродукты</t>
  </si>
  <si>
    <t>За весь период контрактов 1 шт. на общую сумму НМЦ 500 000 000,00 ?</t>
  </si>
  <si>
    <t>На 16.05.2023 10:12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30.03.2023, Сообщение кредитора о намерении обратиться в суд с заявлением о банкротстве от 26.04.2023</t>
  </si>
  <si>
    <t>"рейтинг по нмц маркер", ".", "все клиенты с выручкой от 1,8 млрд до бесконечности", "Участники клиринга"</t>
  </si>
  <si>
    <t>28.29.83.140 Разновесы для весов всех типов
24.10.62.210 Сталь арматурная
25.93.13.112 Решетки, сетки и ограждения из проволоки из черных металлов</t>
  </si>
  <si>
    <t>За 3 года по 223ФЗ заключено  2 шт контрактов на сумму 678 402 966,66 ?</t>
  </si>
  <si>
    <t>"поставщики маркер", ".", "crm управления", "в crm за Эльшаном"</t>
  </si>
  <si>
    <t>27.32.13.130 Провода и шнуры силовые
27.32.13.143 Кабели контрольные
27.32.13.148 Кабели с минеральной изоляцией нагревостойкие
27.32.13.191 Кабели монтажные
27.3 Кабели и арматура кабельная
27.32.13.131 Провода силовые для электрических установок
27.32.13.147 Кабели и провода термоэлектродные
27.32.14.110 Кабели силовые для стационарной прокладки на напряжение более 1 кВ
27.32.14.111 Кабели силовые с медной жилой на напряжение более 1 кВ
27.32.14.112 Кабели силовые с алюминиевой жилой на напряжение более 1 кВ ****</t>
  </si>
  <si>
    <t>За весь период компания заключила  73 контрактов на сумму  13 294 645 482,58 ? За весь период заходили в конкурсы  1 раз на общую сумму обеспеченных контрактов с НМЦ 97 600 545,00 ? с БГУ  4 904 550,00 ? с БГИ 49 045 500,00 ?                             ЗА 3 ГОДА ПО 223 ФЗ заключено 66 шт. с объемом НМЦ 360 517 570,57 ? за 1 ГОД ПО 223ФЗ заключено 12  96 020 701,81 ?</t>
  </si>
  <si>
    <t>"223 за 3 года", ".", "рейтинг поставщиков в маркере по бг", "fk1", "Кредитный портфель_01.11", "06.2022_ФинХД", "все клиенты с выручкой от 1,8 млрд до бесконечности", "223 фз контракты 20+", "производители", "рейтинг по нмц маркер", "это заказчик", "поставщики маркер"</t>
  </si>
  <si>
    <t>08.12.12 Гранулы, крошка и порошок; галька, гравий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08.12.12.140 Щебень
08.12.12.160 Смеси песчано-гравийные
08.12.12.150 Камень природный дробленый
23.99.19.190 Продукция минеральная неметаллическая прочая, не включенная в другие группировки
42.11.10.129 Дороги автомобильные, в том числе улично-дорожная сеть, и прочие автомобильные и пешеходные дороги, не включенные в другие группировки
08.12.13.000 Смеси шлака и аналогичных промышленных отходов без добавления или с добавлением гальки, гравия, щебня и кремневой гальки для строительных целей</t>
  </si>
  <si>
    <t>За весь период заходили в конкурсы  2 раз на общую сумму обеспеченных контрактов с НМЦ 0,00 ? с БГУ  26 749 761,93 ? с БГИ 81 207 396,90 ?                             ЗА 3 ГОДА ПО 223 ФЗ заключено 3 шт. с объемом НМЦ 53 047 588,27 ?</t>
  </si>
  <si>
    <t>"223 за 3 года", ".", "рейтинг поставщиков в маркере по бг", "Агентские отказ из-за непред-я док-ов", "fk1", "корп 1", "06.2022_ФинХД",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 "44 за 3 года"</t>
  </si>
  <si>
    <t>27.32.13.143 Кабели контрольные
27.40 Оборудование электрическое осветительное
27.40.12.000 Лампы накаливания галогенные с вольфрамовой нитью, кроме ультрафиолетовых или инфракрасных ламп
27.40.15.115 Лампы металлогалогенные
27.3 Кабели и арматура кабельная
27.40.25.129 Устройства осветительные электрические подвесные, потолочные, встраиваемые и настенные, предназначенные для использования с лампами прочих типов
27.32.13.131 Провода силовые для электрических установок
27.33.11.140 Выключатели и переключатели неавтоматические
27.33.13.140 Контакторы электромагнитные
27.40.2 Светильники и осветительные устройства ****</t>
  </si>
  <si>
    <t>ЗА 3 ГОДА ПО 223 ФЗ заключено 56 шт. с объемом НМЦ 104 431 432,93 ? за 1 ГОД ПО 223ФЗ заключено 9  19 338 142,82 ?</t>
  </si>
  <si>
    <t>24.20 Трубы, профили пустотелые и их фитинги стальные
24.20.12.130 Трубы бурильные для бурения нефтяных и газовых скважин бесшовные стальные</t>
  </si>
  <si>
    <t>За весь период компания заключила  4 контрактов на сумму  207 119 567 336,57 ?</t>
  </si>
  <si>
    <t>20.13.25.110 Оксиды, гидроксиды и пероксиды
20.13.41.110 Сульфиды
20.13.25 Оксиды, гидроксиды и пероксиды; гидразин и гидроксиламин и их неорганические соли</t>
  </si>
  <si>
    <t>Кредитный портфель_01.2984</t>
  </si>
  <si>
    <t>"223 за 3 года", ".", "fk1", "Кредитный портфель_01.11", "06.2022_ФинХД", "все клиенты с выручкой от 1,8 млрд до бесконечности", "Обороты по клиентам по кварталам (2022г)", "поставщики маркер"</t>
  </si>
  <si>
    <t>14.13.22.110 Костюмы мужские или для мальчиков из текстильных материалов, кроме трикотажных или вязаных
15.20.13.190 Обувь прочая с верхом из кожи, кроме обуви спортивной, обуви с защитным металлическим подноском и различной специальной обуви</t>
  </si>
  <si>
    <t>10.51.52.140 Кефир
10.51.11.141 Молоко питьевое коровье стерилизованное
10.51.56.321 Творожные и сметанные продукты, желе, соусы, кремы, пудинги, муссы, пасты, суфле молокосодержащие
10.51.1 Молоко и сливки, кроме сырых
10.51.21.110 Молоко сухое не более 1,5 % жирности
10.51.11.119 Молоко питьевое пастеризованное прочее
10.51.52.200 Сметана
10.51.56.337 Консервы сухие молокосодержащие с заменителем молочного жира
10.51.40.300 Творог
10.51.52.212 Сметана от 18,0 % до 22,0 % жирности ****</t>
  </si>
  <si>
    <t>За весь период заходили в конкурсы  7 раз на общую сумму обеспеченных контрактов с НМЦ 540 944 760,00 ? с БГУ  8 695 226,00 ? с БГИ 69 189 420,00 ? За 3 ГОДА по 44ФЗ заключено 36 шт. с объемом НМЦ  333 181 466,39 ? с БГИ 30 814 060,49 ? с БГГО 0,00 ? с авансированием до 0,00 ? с комиссией банку 383 196,16 ? с кв 3 333,81 ? ЗА 1 ГОД по 44ФЗ заключено 16 шт. c объемом НМЦ 201 349 224,49 ? с БГИ 18 639 766,45 ? с БГГО 0,00 ? с авансированием до  0,00 ? с комиссией банку  346 804,61 ? с кв 3 017,20 ?</t>
  </si>
  <si>
    <t>"223 за 3 года", ".", "рейтинг поставщиков в маркере по бг", "фб 22.11", "44 фз с с БГ от 10 млн", "производители", "рейтинг по нмц маркер", "это заказчик", "поставщики маркер", "44 за 3 года"</t>
  </si>
  <si>
    <t>10.61.21.113 Мука пшеничная хлебопекарная высшего сорта
10.72.12.150 Изделия мучные кондитерские длительного хранения прочие
10.72.12.120 Печенье сладкое
10.83.13.120 Чай черный (ферментированный) в упаковках массой не более 3 кг
10.61.31.111 Крупа манная
10.73.11.110 Макароны
10.61.32.134 Гранулы из риса
10.42.10.110 Маргарин
10.51.30.111 Масло сладко-сливочное
10.51.11.129 Молоко питьевое ультрапастеризованное (ультравысокотемпературно-обработанное) прочее ****</t>
  </si>
  <si>
    <t>1 629</t>
  </si>
  <si>
    <t>10.39.17.200 Грибы, консервированные без уксуса или уксусной кислоты, прочие
10.11.31.110 Говядина замороженная</t>
  </si>
  <si>
    <t>28.13.12.000 Насосы возвратно-поступательные объемного действия прочие для перекачки жидкостей
27.32.13.130 Провода и шнуры силовые
27.32.13.143 Кабели контрольные
27.32.13.191 Кабели монтажные
27.33.1 Изделия электроустановочные
27.33.11.190 Устройства коммутационные на напряжение не более 1 кВ прочие, не включенные в другие группировки
27.33.13.165 Элементы логические магнитные, полупроводниковые
27.4 Оборудование электрическое осветительное
27.40.11.000 Лампы герметичные узконаправленного света
27.40.12.000 Лампы накаливания галогенные с вольфрамовой нитью, кроме ультрафиолетовых или инфракрасных ламп ****</t>
  </si>
  <si>
    <t>За весь период заходили в конкурсы  2 раз на общую сумму обеспеченных контрактов с НМЦ 150 498 911,56 ? с БГУ  8 139 969,45 ? с БГИ 48 839 816,65 ? За 3 ГОДА по 44ФЗ заключено 33 шт. с объемом НМЦ  512 224 715,04 ? с БГИ 141 537 504,67 ? с БГГО 5 402 295,62 ? с авансированием до 457 168,52 ? с комиссией банку 1 201 564,46 ? с кв 10 453,61 ? ЗА 1 ГОД по 44ФЗ заключено 12 шт. c объемом НМЦ 402 227 814,20 ? с БГИ 119 383 982,85 ? с БГГО 4 249 523,96 ? с авансированием до  228 584,26 ? с комиссией банку  1 074 561,06 ? с кв 9 348,68 ? ЗА 3 ГОДА ПО 223 ФЗ заключено 204 шт. с объемом НМЦ 464 807 562,04 ? за 1 ГОД ПО 223ФЗ заключено 58  168 197 787,53 ?</t>
  </si>
  <si>
    <t>"223 за 3 года", "свод фт", ".", "рейтинг поставщиков в маркере по бг", "Конкурсы 100+ (Восстановленный)", "fk1", "все клиенты с выручкой от 1,8 млрд до бесконечности", "ФК клиенты с выручкой от 230 до бесконечности", "Обороты по клиентам по кварталам (2022г)", "223 фз контракты 20+", "44 фз с с БГ от 10 млн", "рейтинг по нмц маркер", "на фт заводил Еприкян", "поставщики маркер", "44 за 3 года"</t>
  </si>
  <si>
    <t>22.29 Изделия пластмассовые прочие
20.59.52.199 Реагенты сложные диагностические или лабораторные прочие, не включенные в другие группировки
20.20.14.000 Средства дезинфекционные
20.20.19.000 Пестициды прочие и агрохимические продукты прочие
21 Средства лекарственные и материалы, применяемые в медицинских целях
21.20.2 Препараты лекарственные прочие и материалы, применяемые в медицинских целях
32.50.13.190 Инструменты и приспособления, применяемые в медицинских целях, прочие, не включенные в другие группировки
47.73.10.000 Услуги по розничной торговле лекарственными средствами в специализированных магазинах
21.20.21.139 Вакцины прочие, применяемые в ветеринарии
22.19 Изделия из резины прочие ****</t>
  </si>
  <si>
    <t>ЗА 3 ГОДА ПО 223 ФЗ заключено 58 шт. с объемом НМЦ 62 471 344,44 ? за 1 ГОД ПО 223ФЗ заключено 11  14 189 984,14 ?</t>
  </si>
  <si>
    <t>"223 за 3 года", ".", "fk1", "ПОС на 01.02.2023", "ПОС на 03.04.2023", "Кредитный портфель_01.11", "06.2022_ФинХД", "все клиенты с выручкой от 1,8 млрд до бесконечности", "клиенты от 100 млн", "Обороты по клиентам по кварталам (2022г)", "это заказчик", "поставщики маркер", "44 за 3 года"</t>
  </si>
  <si>
    <t>На 25.04.2023 08:48 имеются действующие решения ФНС о приостановлении операций по счетам</t>
  </si>
  <si>
    <t>"Обороты по клиентам по кварталам (2022г)", ".", "ушедший портфель", "п6", "fk1", "ИНН 3 года - нет КД БГ на 01.10.22", "Список ушедший ", "клиенты с в от100млн 09.21", "все клиенты с выручкой от 1,8 млрд до бесконечности", "ФК клиенты с выручкой от 230 до бесконечности"</t>
  </si>
  <si>
    <t>28.9 Оборудование специального назначения прочее</t>
  </si>
  <si>
    <t>49.41.12.000 Услуги по перевозке автомобильным транспортом нефтепродуктов в автоцистернах или полуприцепах-цистернах
49.41.19.900 Услуги по перевозке грузов автомобильным транспортом прочие, не включенные в другие группировки
19.20.21.300 Топливо дизельное
49.41.1 Услуги по грузовым перевозкам автомобильным транспортом
49.41.13.000 Услуги по перевозке автомобильным транспортом прочих жидкостей или газов в автоцистернах или полуприцепах-цистернах</t>
  </si>
  <si>
    <t>За весь период компания заключила  3 контрактов на сумму  612 821 912,40 ?</t>
  </si>
  <si>
    <t>ЗА 3 ГОДА ПО 223 ФЗ заключено 1 шт. с объемом НМЦ 38 242 468,00 ?</t>
  </si>
  <si>
    <t>"производители", ".", "п6", "ушедшие", "все клиенты с выручкой от 1,8 млрд до бесконечности"</t>
  </si>
  <si>
    <t>10.84.30.140 Соль пищевая молотая
10.61.32.111 Крупа овсяная
10.61.32.113 Крупа гречневая
10.41.54 Масло подсолнечное и его фракции рафинированные, но не подвергнутые химической модификации
10.84.12.180 Хрен готовый
10.84.22.110 Перец черный дробленый или молотый
10.61.21.113 Мука пшеничная хлебопекарная высшего сорта
10.84.12.130 Майонезы
10.39.15.000 Фасоль, консервированная без уксуса или уксусной кислоты (кроме готовых блюд из овощей)
10.39.17.190 Овощи (кроме картофеля), консервированные без уксуса или уксусной кислоты, прочие (кроме готовых овощных блюд), не включенные в другие группировки ****</t>
  </si>
  <si>
    <t>22.23.13.000 Резервуары, цистерны, баки и аналогичные емкости пластмассовые вместимостью свыше 300 л
29.10.41.113 Автомобили грузовые с дизельным двигателем, имеющие технически допустимую максимальную массу свыше 12 т
28.30.93.000 Части прочих машин и оборудования для сельского хозяйства
45.11 Услуги по торговле легковыми автомобилями и грузовыми автомобилями малой грузоподъемности
29.10.59.119 Средства автотранспортные для транспортирования строительных материалов прочие
45.11.39.000 Услуги по розничной торговле легковыми автомобилями и грузовыми автомобилями малой грузоподъемности прочие, не включенные в другие группировки
29.1 Средства автотранспортные
29.10.11.000 Двигатели внутреннего сгорания поршневые с искровым зажиганием, с рабочим объемом цилиндров не более 1000 см3 для автотранспортных средств
29.10.4 Средства автотранспортные грузовые
29.10.41.110 Автомобили грузовые с дизельным двигателем ****</t>
  </si>
  <si>
    <t>За весь период заходили в конкурсы  7 раз на общую сумму обеспеченных контрактов с НМЦ 607 396 808,38 ? с БГУ  5 271 193,33 ? с БГИ 40 473 633,33 ? За 3 ГОДА по 44ФЗ заключено 14 шт. с объемом НМЦ  740 850 203,89 ? с БГИ 51 740 979,11 ? с БГГО 11 458 001,33 ? с авансированием до 23 495 280,00 ? с комиссией банку 192 825,39 ? с кв 1 677,58 ? ЗА 1 ГОД по 44ФЗ заключено 1 шт. c объемом НМЦ 245 966 276,65 ? с БГИ 1 229 831,38 ? с БГГО 0,00 ? с авансированием до  0,00 ? с комиссией банку  82 146,00 ? с кв 714,67 ? ЗА 3 ГОДА ПО 223 ФЗ заключено 17 шт. с объемом НМЦ 261 561 663,97 ? за 1 ГОД ПО 223ФЗ заключено 3  108 280 000,00 ?</t>
  </si>
  <si>
    <t>68.10.11.000 Услуги по покупке и продаже жилых зданий и занимаемых ими земельных участков
68.10.15.000 Услуги по покупке и продаже пустующей земли, предназначенной для застройки нежилыми зданиями
68.20.12.000 Услуги по сдаче в аренду (внаем) собственных или арендованных нежилых помещений
41.20.20.180 Здания предприятий здравоохранения, науки и научного обслуживания, образования, культуры и искусства</t>
  </si>
  <si>
    <t>За весь период компания заключила  7 контрактов на сумму  2 669 918 218,57 ? За весь период заходили в конкурсы  23 раз на общую сумму обеспеченных контрактов с НМЦ 2 534 703 622,09 ? с БГУ  139 948 228,36 ? с БГИ 1 565 875 351,34 ?</t>
  </si>
  <si>
    <t>"44 за 3 года", ".", "рейтинг поставщиков в маркере по бг", "все клиенты с выручкой от 1,8 млрд до бесконечности", "рейтинг по нмц маркер", "crm управления", "в crm за Синяевым "</t>
  </si>
  <si>
    <t>68.10.14.000 Услуги по покупке и продаже нежилых зданий и занимаемых ими земельных участков
68.2 Услуги по сдаче в аренду (внаем) собственного или арендованного недвижимого имущества
68.10.11.000 Услуги по покупке и продаже жилых зданий и занимаемых ими земельных участков
41.20.10.190 Здания жилые прочие, не включенные в другие группировки</t>
  </si>
  <si>
    <t>2 260</t>
  </si>
  <si>
    <t>За весь период компания заключила  10 контрактов на сумму  4 522 157 581,51 ? За весь период заходили в конкурсы  14 раз на общую сумму обеспеченных контрактов с НМЦ 3 951 742 555,51 ? с БГУ  88 499 358,72 ? с БГИ 623 983 625,97 ? За 3 ГОДА по 44ФЗ заключено 359 шт. с объемом НМЦ  4 271 958 745,79 ? с БГИ 237 258 828,67 ? с БГГО 104 507 039,37 ? с авансированием до 0,00 ? с комиссией банку 5 496 376,55 ? с кв 47 818,48 ? ЗА 1 ГОД по 44ФЗ заключено 85 шт. c объемом НМЦ 1 708 327 813,90 ? с БГИ 60 365 125,30 ? с БГГО 0,00 ? с авансированием до  0,00 ? с комиссией банку  749 788,47 ? с кв 6 523,16 ?</t>
  </si>
  <si>
    <t>21.20.10.213 Иммуномодуляторы
21.20.10.234 Препараты противопаркинсонические
21.20.10.233 Препараты противоэпилептические
21.20.10.254 Препараты для лечения обструктивных заболеваний дыхательных путей
21.20.10.212 Препараты противоопухолевые гормональные
21.20.10.214 Иммунодепрессанты
21.20.10.173 Гормоны половые</t>
  </si>
  <si>
    <t>За весь период компания заключила  9 контрактов на сумму  15 813 146 511,10 ? За весь период заходили в конкурсы  13 раз на общую сумму обеспеченных контрактов с НМЦ 9 654 044 881,42 ? с БГУ  1 022 469 327,10 ? с БГИ 2 051 863 048,22 ?</t>
  </si>
  <si>
    <t>28.29.23.120 Уплотнения механические
28.15.10.126 Подшипники качения роликовые для букс железнодорожного подвижного состава</t>
  </si>
  <si>
    <t>За весь период компания заключила  9 контрактов на сумму  1 108 994 945,92 ?</t>
  </si>
  <si>
    <t>25.30.12.113 Оборудование котельное
43.22 Работы по монтажу систем водопровода, канализации, отопления и кондиционирования воздуха
26.20.4 Блоки, части и принадлежности вычислительных машин
33.19 Услуги по ремонту прочего оборудования
43.99.90.190 Работы строительные специализированные прочие, не включенные в другие группировки
33.20 Услуги по монтажу промышленных машин и оборудования
33.20.39 Услуги по монтажу прочего оборудования специального назначения
35.11.10.112 Электроэнергия, произведенная теплоэлектроцентралями (ТЭЦ) общего назначения
71.20.19 Услуги по техническим испытаниям и анализу прочие
28.29 Машины и оборудование общего назначения прочие, не включенные в другие группировки ****</t>
  </si>
  <si>
    <t>За весь период компания заключила  7 контрактов на сумму  1 145 265 651,94 ?                                     ЗА 3 ГОДА ПО 223 ФЗ заключено 48 шт. с объемом НМЦ 1 402 246 483,55 ? за 1 ГОД ПО 223ФЗ заключено 16  474 683 386,41 ?</t>
  </si>
  <si>
    <t>26.80.13.000 Носители данных прочие, включая матрицы и основы для производства дисков
46.14.11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
74.90.15 Услуги консультативные по вопросам обеспечения безопасности
62.03 Услуги по управлению компьютерным оборудованием
26.20.30.000 Устройства автоматической обработки данных прочие
26.40.33.190 Аппаратура записи и воспроизведения изображения прочая
58.29.12.000 Обеспечение программное сетевое на электронном носителе
62.09.20.120 Услуги по установке программного обеспечения
43.29 Работы строительно-монтажные прочие
26.20 Компьютеры и периферийное оборудование ****</t>
  </si>
  <si>
    <t>За весь период компания заключила  2 контрактов на сумму  1 314 654 534,32 ? За весь период заходили в конкурсы  6 раз на общую сумму обеспеченных контрактов с НМЦ 817 536 615,52 ? с БГУ  30 658 030,84 ? с БГИ 213 309 675,20 ? За 3 ГОДА по 44ФЗ заключено 19 шт. с объемом НМЦ  548 767 722,82 ? с БГИ 129 694 570,00 ? с БГГО 5 278 699,89 ? с авансированием до 12 292 591,28 ? с комиссией банку 1 189 972,71 ? с кв 10 352,76 ? ЗА 1 ГОД по 44ФЗ заключено 10 шт. c объемом НМЦ 322 613 046,83 ? с БГИ 72 585 017,30 ? с БГГО 3 077 039,00 ? с авансированием до  11 267 591,28 ? с комиссией банку  1 147 188,82 ? с кв 9 980,54 ? ЗА 3 ГОДА ПО 223 ФЗ заключено 37 шт. с объемом НМЦ 762 067 449,42 ? за 1 ГОД ПО 223ФЗ заключено 9  464 644 778,28 ?</t>
  </si>
  <si>
    <t>"223 за 3 года", ".", "рейтинг поставщиков в маркере по бг", "Конкурсы 100+ (Восстановленный)", "fk1", "223 фз контракты 20+", "44 фз с с БГ от 10 млн", "рейтинг по нмц маркер", "поставщики маркер", "44 за 3 года"</t>
  </si>
  <si>
    <t>46.52.11.000 Услуги по оптовой торговле телекоммуникационным оборудованием и его частями
96.09.19 Услуги разнообразные прочие, не включенные в другие группировки
26.51.44.000 Приборы и аппаратура для телекоммуникаций</t>
  </si>
  <si>
    <t>ЗА 3 ГОДА ПО 223 ФЗ заключено 2 шт. с объемом НМЦ 43 124 732,06 ?</t>
  </si>
  <si>
    <t>"223 за 3 года", ".", "п6", "все клиенты с выручкой от 1,8 млрд до бесконечности", "производители", "рейтинг по нмц маркер", "поставщики маркер"</t>
  </si>
  <si>
    <t>Сообщения о принятии решения о реорганизации от 25.11.2022</t>
  </si>
  <si>
    <t>24.10.62.124 Прокат сортовой горячекатаный полосовой прочий, без дополнительной обработки, включая смотанный после прокатки, из нелегированных сталей
24.10.80.190 Прокат черных металлов прочий, не включенный в другие группировки
24.43.23.120 Профили цинковые
24 Металлы основные
24.1 Железо, чугун, сталь и ферросплавы
24.20.13.130 Трубы стальные электросварные
24.34.12.000 Проволока холоднотянутая из нержавеющей стали
24.10.43.000 Прокат листовой холоднокатаный из прочих легированных сталей, без дополнительной обработки, шириной не менее 600 мм
24.10.62.121 Прокат сортовой горячекатаный круглый прочий, без дополнительной обработки, включая смотанный после прокатки, из нелегированных сталей
24.10.73.111 Уголки стальные горячекатаные равнополочные из прочих легированных сталей ****</t>
  </si>
  <si>
    <t>ЗА 3 ГОДА ПО 223 ФЗ заключено 16 шт. с объемом НМЦ 107 598 832,77 ? за 1 ГОД ПО 223ФЗ заключено 4  12 173 985,00 ?</t>
  </si>
  <si>
    <t>"223 за 3 года", ".", "все клиенты с выручкой от 1,8 млрд до бесконечности", "crm управления", "в crm за Синяевым ", "поставщики маркер", "44 за 3 года"</t>
  </si>
  <si>
    <t>29.10.30.190 Средства автотранспортные пассажирские с числом мест для сидения не менее 10 прочие
29.10.2 Автомобили легковые
29.10.24.000 Средства автотранспортные для перевозки людей прочие
29.10.30.112 Автобусы, предназначенные для перевозки только сидящих пассажиров, имеющие технически допустимую максимальную массу более 5 т
45.1 Услуги по торговле автотранспортными средствами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29.10.30.130 Автобусы, имеющие технически допустимую максимальную массу не более 5 т
29.10.30.110 Автобусы, имеющие технически допустимую максимальную массу более 5 т
29.10.30.111 Автобусы, предназначенные для перевозки стоящих и сидящих пассажиров, имеющие технически допустимую максимальную массу более 5 т</t>
  </si>
  <si>
    <t>За весь период заходили в конкурсы  1 раз на общую сумму обеспеченных контрактов с НМЦ 52 815 000,00 ? с БГУ  528 150,00 ? с БГИ 15 316 350,00 ?</t>
  </si>
  <si>
    <t>"44 за 3 года", "свод фт", ".", "рейтинг поставщиков в маркере по бг", "fk1", "кредиты фт", "ПОС на 01.02.2023", "ПОС на 03.04.2023", "Кредитный портфель_01.11", "06.2022_ФинХД", "лимит сит по кредитам", "все клиенты с выручкой от 1,8 млрд до бесконечности", "на фт заводил Федоров", "поставщики маркер"</t>
  </si>
  <si>
    <t>22.11.11.000 Шины и покрышки пневматические для легковых автомобилей новые
22.11.14.199 Шины пневматические прочие, не включенные в другие группировки
29.32.30.220 Колеса, ступицы и их детали
22.11.12.110 Шины пневматические для мотоциклов, мотоколясок, мотороллеров, мопедов и квадрициклов
29.32.30.390 Части и принадлежности для автотранспортных средств прочие, не включенные в другие группировки
22.11.14.110 Шины и покрышки пневматические для сельскохозяйственных машин
22.11.14.190 Шины и покрышки пневматические прочие новые
22.11.15.120 Шины резиновые сплошные или полупневматические
22.11.15.110 Камеры резиновые
22.11.14.191 Шины пневматические для строительных, дорожных, подъемно-транспортных и рудничных машин ****</t>
  </si>
  <si>
    <t>за 1 ГОД ПО 223ФЗ заключено 6  6 098 180,67 ?</t>
  </si>
  <si>
    <t>"223 за 3 года", "кл фт агент бг 04.22", ".", "ПОС на 01.02.2023", "ПОС на 03.04.2023", "Кредитный портфель_01.11", "2. Финтендер 2022 31.03.22 Григорян для СПАРК", "БГ ФБ ЮР лица на 01.07.2021", "Агентские одобренные но не выданные от 30.08", "филиал бизнес 31.01.22 ", "06.2022_ФинХД", "клиенты от 100 млн", "ФК клиенты с выручкой 80-230 млн ", "действующие б не прям", "Обороты по клиентам по кварталам (2022г)", "ФТ клиенты с продуктами по сотрудникам", "поставщики маркер", "44 за 3 года"</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</si>
  <si>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36.00.1 Вода природная
37.0 Услуги по водоотведению; шлам сточных вод
35.3 Услуги по снабжению паром и кондиционированию воздуха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35.30.11 Пар и горячая вода ****</t>
  </si>
  <si>
    <t>Заказчик разыгравший 44 конкурсов на сумму  25 835 456 287,85 ?</t>
  </si>
  <si>
    <t>Сообщения о принятии решения о реорганизации от 01.06.2021</t>
  </si>
  <si>
    <t>35.11.10.112 Электроэнергия, произведенная теплоэлектроцентралями (ТЭЦ) общего назначения
35.11.10.122 Электроэнергия, произведенная блок-станциями теплоэлектроцентралей (ТЭЦ)
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35.30.11.111 Энергия тепловая, отпущенная тепловыми электроцентралями (ТЭЦ)
35.30.11.110 Энергия тепловая, отпущенная электростанциями
35.30.11.112 Энергия тепловая, отпущенная атомными электростанциями (АЭС)
35.30.11.119 Энергия тепловая, отпущенная прочими электростанциями</t>
  </si>
  <si>
    <t>Заказчик разыгравший 49 конкурсов на сумму  14 592 076 096,71 ?</t>
  </si>
  <si>
    <t>26.51.63.130 Счетчики производства или потребления электроэнергии
26.30.11.150 Средства связи радиоэлектронные
26.51.64.120 Счетчики количества продукции
26.51.63 Счетчики потребления или производства газа, жидкости или электроэнергии
26.51.63.120 Счетчики производства или потребления жидкости
26.30.40.110 Антенны и отражатели антенные всех видов и их части
27.90.40.190 Оборудование электрическое прочее, не включенное в другие группировки
26.51 Оборудование для измерения, испытаний и навигации
26.20 Компьютеры и периферийное оборудование
26.51.52.110 Приборы для измерения или контроля расхода жидкостей и газов ****</t>
  </si>
  <si>
    <t>43.22.12.120 Работы по установке и техническому обслуживанию систем управления центральным отоплением
35.12.10.120 Услуги по технологическому присоединению к распределительным электросетям
35.30 Услуги по снабжению паром и кондиционированию воздуха
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
43.22.12.190 Работы по монтажу систем отопления, вентиляции и кондиционирования воздуха прочие, не включенные в другие группировки
35.30.11.111 Энергия тепловая, отпущенная тепловыми электроцентралями (ТЭЦ)
43.22.12.130 Работы по подключению к районным системам отопления
35.30.12 Услуги по снабжению паром и горячей водой по трубопроводам</t>
  </si>
  <si>
    <t>1 609</t>
  </si>
  <si>
    <t>За год заключили по 223фз 5 контракта(ов) на сумму  65 326 133,06 ?</t>
  </si>
  <si>
    <t>43.22.12.120 Работы по установке и техническому обслуживанию систем управления центральным отоплением
42.21.12.110 Трубопровод местный для воды (водопровод)
35.30.11.130 Энергия тепловая, отпущенная электрокотлами
35.30.12.110 Услуги по приготовлению воды на нужды горячего водоснабжения
41.20.40.900 Работы строительные по возведению нежилых зданий и сооружений прочие, не включенные в другие группировки
43.22.12.140 Работы по ремонту и техническому обслуживанию бытовых отопительных котлов и бойлеров
36.00.20.110 Услуги по очистке и подготовке воды для водоснабжения
36.00.30.000 Услуги по торговле водой, поставляемой по трубопроводам
35.30 Услуги по снабжению паром и кондиционированию воздуха
35.30.11 Пар и горячая вода ****</t>
  </si>
  <si>
    <t>ЗА 3 ГОДА ПО 223 ФЗ заключено 8 шт. с объемом НМЦ 132 905 077,39 ?</t>
  </si>
  <si>
    <t>41.20.10.120 Здания общежитий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43.99.70.000 Работы по сборке и монтажу сборных конструкций
43.99.90.190 Работы строительные специализированные прочие, не включенные в другие группировки
26.70.17.140 Негатоскопы
26.60.12.119 Аппараты электродиагностические прочие
26.60.12.122 Средства измерений массы, силы, энергии, линейных и угловых величин, температуры
26.60.13.110 Ингаляторы
33.20.50.000 Услуги по монтажу электрического оборудования ****</t>
  </si>
  <si>
    <t>За весь период компания заключила  11 контрактов на сумму  25 100 883 480,30 ? За весь период заходили в конкурсы  24 раз на общую сумму обеспеченных контрактов с НМЦ 26 806 092 727,20 ? с БГУ  1 094 448 832,39 ? с БГИ 5 517 332 336,87 ? За 3 ГОДА по 44ФЗ заключено 1 шт. с объемом НМЦ  157 995 752,62 ? с БГИ 47 398 725,79 ? с БГГО 4 739 873,00 ? с авансированием до 47 398 725,79 ? с комиссией банку 763 573,99 ? с кв 6 643,09 ?</t>
  </si>
  <si>
    <t>Сообщение кредитора о намерении обратиться в суд с заявлением о банкротстве от 25.10.2022</t>
  </si>
  <si>
    <t>"223 за 3 года", "свод фт", ".", "рейтинг поставщиков в маркере по бг", "ГРАНДИОЗНЫЙ ПРОЕКТ", "одобренные", "fk1", "кредиты фт", "лимит сит по кредитам", "все клиенты с выручкой от 1,8 млрд до бесконечности", "рейтинг заказчиков маркер", "производители", "рейтинг по нмц маркер", "это заказчик", "на фт заводил Шутов", "на фт заводил Ким", "на фт заводил Егоров ", "на фт заводил Данченко", "поставщики маркер", "44 за 3 года"</t>
  </si>
  <si>
    <t>43.22.12.120 Работы по установке и техническому обслуживанию систем управления центральным отоплением
35.11.10.112 Электроэнергия, произведенная теплоэлектроцентралями (ТЭЦ) общего назначения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43.22.12.140 Работы по ремонту и техническому обслуживанию бытовых отопительных котлов и бойлеров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t>
  </si>
  <si>
    <t>За весь период компания заключила  3 контрактов на сумму  655 909 194,04 ?                                     ЗА 3 ГОДА ПО 223 ФЗ заключено 9 шт. с объемом НМЦ 51 131 610,52 ? за 1 ГОД ПО 223ФЗ заключено 3  12 992 052,00 ?</t>
  </si>
  <si>
    <t>"223 за 3 года", ".", "ПОС на 01.02.2023",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"рейтинг заказчиков маркер", "рейтинг по нмц маркер", "это заказчик", "поставщики маркер", "44 за 3 года"</t>
  </si>
  <si>
    <t>35.11.10.112 Электроэнергия, произведенная теплоэлектроцентралями (ТЭЦ) общего назначения
36.00.20.140 Услуги по техническому обслуживанию приборов учета расхода воды
35.11.10.110 Электроэнергия, произведенная электростанциями общего назначения
35.11.10.122 Электроэнергия, произведенная блок-станциями теплоэлектроцентралей (ТЭЦ)
35.22.10.110 Услуги по распределению и снабжению газовым топливом всех видов по системам распределительных трубопроводов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t>
  </si>
  <si>
    <t>За весь период компания заключила  10 контрактов на сумму  551 533 093,49 ?                                     ЗА 3 ГОДА ПО 223 ФЗ заключено 18 шт. с объемом НМЦ 92 830 994,61 ?</t>
  </si>
  <si>
    <t>43.22.12.160 Работы по установке приборов учета расхода тепловой энергии
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35.30.11.111 Энергия тепловая, отпущенная тепловыми электроцентралями (ТЭЦ)
35.30.11.112 Энергия тепловая, отпущенная атомными электростанциями (АЭС)
43.22.12.130 Работы по подключению к районным системам отопления
35.30.12 Услуги по снабжению паром и горячей водой по трубопроводам
35.30.11.119 Энергия тепловая, отпущенная прочими электростанциями</t>
  </si>
  <si>
    <t>ЗА 3 ГОДА ПО 223 ФЗ заключено 2 шт. с объемом НМЦ 44 100 257,11 ?</t>
  </si>
  <si>
    <t>37.00.11.110 Услуги по водоотведению сточных вод
35.11.10.112 Электроэнергия, произведенная теплоэлектроцентралями (ТЭЦ) общего назначения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35.30.11 Пар и горячая вода
35.30.11.120 Энергия тепловая, отпущенная котельными ****</t>
  </si>
  <si>
    <t>За весь период контрактов 8 шт. на общую сумму НМЦ 508 080 409,04 ?</t>
  </si>
  <si>
    <t>28.13.12.000 Насосы возвратно-поступательные объемного действия прочие для перекачки жидкостей
28.13.14.110 Насосы центробежные подачи жидкостей прочие
25.21.12.000 Котлы водогрейные центрального отопления для производства горячей воды или пара низкого давления
46.74.12 Услуги по оптовой торговле водопроводным и отопительным оборудованием и санитарно-технической арматурой
28.14.13 Арматура запорная для управления процессом (задвижки, краны, клапаны запорные, затворы дисковые и другая арматура)
25.21 Радиаторы и водогрейные котлы центрального отопления
28.14 Арматура трубопроводная (арматура) (краны, клапаны и прочие)
25.21.11.130 Радиаторы центрального отопления и их секции из прочих металлов
26.51 Оборудование для измерения, испытаний и навигации
28.13.14.192 Насосы для радиохимического производства ****</t>
  </si>
  <si>
    <t>1 860</t>
  </si>
  <si>
    <t>"ФК клиенты с выручкой от 230 до бесконечности", ".", "корп 1", "06.2022_ФинХД", "клиенты с в от100млн 09.21", "все клиенты с выручкой от 1,8 млрд до бесконечности"</t>
  </si>
  <si>
    <t>1 276</t>
  </si>
  <si>
    <t>За весь период контрактов 2 шт. на общую сумму НМЦ 835 393 211,17 ?</t>
  </si>
  <si>
    <t>19.20.21 Топливо моторное, включая автомобильный и авиационный бензин
19.20.21.125 Бензин автомобильный с октановым числом более 92, но не более 95 по исследовательскому методу экологического класса К5
19.20.21.135 Бензин автомобильный с октановым числом более 95, но не более 98 по исследовательскому методу экологического класса К5
19.20.21.300 Топливо дизельное
19.20.29.190 Масла нефтяные смазочные прочие, не включенные в другие группировки</t>
  </si>
  <si>
    <t>За весь период компания заключила  8 контрактов на сумму  3 261 380 660,64 ?</t>
  </si>
  <si>
    <t>Сообщения о принятии решения о реорганизации от 15.02.2023</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</si>
  <si>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36.00.30.000 Услуги по торговле водой, поставляемой по трубопроводам ****</t>
  </si>
  <si>
    <t>За весь период компания заключила  28 контрактов на сумму  1 813 560 688,87 ?                                     ЗА 3 ГОДА ПО 223 ФЗ заключено 31 шт. с объемом НМЦ 1 002 265 209,24 ? за 1 ГОД ПО 223ФЗ заключено 11  946 364 096,29 ?</t>
  </si>
  <si>
    <t>"поставщики маркер", ".", "все клиенты с выручкой от 1,8 млрд до бесконечности", "crm управления", "в crm за Самаром"</t>
  </si>
  <si>
    <t>"производители", ".", "закрыли счет"</t>
  </si>
  <si>
    <t>20.16.10.110 Полиэтилен
20.16.10.111 Полиэтилен высокого давления
22.21.30.120 Пленки пластмассовые, неармированные или не комбинированные с другими материалами
20.16.5 Пластмассы в первичных формах прочие; ионообменные смолы
20 Вещества химические и продукты химические</t>
  </si>
  <si>
    <t>68.10.14.000 Услуги по покупке и продаже нежилых зданий и занимаемых ими земельных участков
02.20.14.129 Дрова из прочих пород и смесей пород деревьев
19.20.21.324 Топливо дизельное зимнее экологического класса К4
02.20.14.110 Дрова
35.11.10 Электроэнергия
35.30.11.120 Энергия тепловая, отпущенная котельными
19.20.21.400 Топливо судовое
16.10.21.110 Пиломатериалы хвойные профилированные</t>
  </si>
  <si>
    <t>2 145</t>
  </si>
  <si>
    <t>"223 за 3 года", ".", "все клиенты с выручкой от 1,8 млрд до бесконечности", "Участники клиринга", "это заказчик", "поставщики маркер"</t>
  </si>
  <si>
    <t>Сообщения о принятии решения о реорганизации от 01.12.2020</t>
  </si>
  <si>
    <t>28.30.23.110 Тракторы сельскохозяйственные колесные с мощностью двигателя более 59 кВт</t>
  </si>
  <si>
    <t>ЗА 3 ГОДА ПО 223 ФЗ заключено 1 шт. с объемом НМЦ 86 649 000,00 ? за 1 ГОД ПО 223ФЗ заключено 2  173 298 000,00 ?</t>
  </si>
  <si>
    <t>73.20 Услуги по исследованию конъюнктуры рынка и общественного мнения
58.29.5 Услуги по предоставлению лицензий на право использовать компьютерное программное обеспечение
62.01 Продукты программные и услуги по разработке и тестированию программного обеспечения
62.02 Услуги консультативные, связанные с компьютерной техникой
62.02.30 Услуги по технической поддержке информационных технологий
62.01.11.000 Услуги по проектированию и разработке информационных технологий для прикладных задач и тестированию программного обеспечения
62.03.12.130 Услуги по сопровождению компьютерных систем</t>
  </si>
  <si>
    <t>За весь период заходили в конкурсы  5 раз на общую сумму обеспеченных контрактов с НМЦ 514 293 266,09 ? с БГУ  29 126 332,14 ? с БГИ 150 757 992,85 ?</t>
  </si>
  <si>
    <t>"44 за 3 года", ".", "рейтинг поставщиков в маркере по бг", "ушедший портфель", "клиент металлинвеста", "fk1", "инн Красносельская",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t>
  </si>
  <si>
    <t>29.31.22.190 Оборудование электрическое прочее для транспортных средств, не включенное в другие группировки
45.31.12.000 Услуги по оптовой торговле прочими автомобильными деталями, узлами и принадлежностями
29.32.30.182 Муфты выключения сцеплений, подшипники муфт выключения сцеплений
45.32 Услуги по розничной торговле автомобильными деталями, узлами и принадлежностями
29.32.30.171 Теплообменники и термостаты
29.32.30.172 Насосы жидкостных систем охлаждения
28.29.13.110 Фильтры очистки масла для двигателей внутреннего сгорания
28.92.61.120 Комплектующие (запасные части) машин для выемки грунта, не имеющие самостоятельных группировок
29.31.22.120 Генераторы для транспортных средств прочие
29.32.30.130 Тормоза, их узлы и детали ****</t>
  </si>
  <si>
    <t>29.10.41.113 Автомобили грузовые с дизельным двигателем, имеющие технически допустимую максимальную массу свыше 12 т
28.3 Машины и оборудование для сельского и лесного хозяйства
29.10.41.110 Автомобили грузовые с дизельным двигателем
29.10.41.112 Автомобили грузовые с дизельным двигателем, имеющие технически допустимую максимальную массу свыше 3,5 т, но не более 12 т
29.10.59.130 Средства транспортные для коммунального хозяйства и содержания дорог
29.20.23.110 Прицепы (полуприцепы) к легковым и грузовым автомобилям, мотоциклам, мотороллерам и квадрициклам
28.30.23.110 Тракторы сельскохозяйственные колесные с мощностью двигателя более 59 кВт
29.10 Средства автотранспортные
29.20.23 Прицепы и полуприцепы прочие
29.20.23.120 Прицепы-цистерны и полуприцепы-цистерны для перевозки нефтепродуктов, воды и прочих жидкостей ****</t>
  </si>
  <si>
    <t>ЗА 3 ГОДА ПО 223 ФЗ заключено 10 шт. с объемом НМЦ 85 058 920,00 ? за 1 ГОД ПО 223ФЗ заключено 2  21 193 000,00 ?</t>
  </si>
  <si>
    <t>"223 за 3 года", ".", "fk1", "поставщики маркер", "44 за 3 года"</t>
  </si>
  <si>
    <t>45.11 Услуги по торговле легковыми автомобилями и грузовыми автомобилями малой грузоподъемности
45.11.39.000 Услуги по розничной торговле легковыми автомобилями и грузовыми автомобилями малой грузоподъемности прочие, не включенные в другие группировки
29.10 Средства автотранспортные
29.10.2 Автомобили легковые
29.10.24.000 Средства автотранспортные для перевозки людей прочие
29.10.42.111 Автомобили грузовые с бензиновым двигателем, имеющие технически допустимую максимальную массу не более 3,5 т
29.10.59.390 Средства автотранспортные специального назначения прочие, не включенные в другие группировки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29.10.22.000 Средства транспортные с двигателем с искровым зажиганием, с рабочим объемом цилиндров более 1500 см3, новые</t>
  </si>
  <si>
    <t>За весь период компания заключила  1 контрактов на сумму  607 299 999,99 ? За весь период заходили в конкурсы  9 раз на общую сумму обеспеченных контрактов с НМЦ 1 298 361 773,73 ? с БГУ  50 950 848,03 ? с БГИ 256 984 325,88 ?                             ЗА 3 ГОДА ПО 223 ФЗ заключено 4 шт. с объемом НМЦ 94 341 266,67 ? за 1 ГОД ПО 223ФЗ заключено 3  16 443 221,67 ?</t>
  </si>
  <si>
    <t>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29.10.30 Средства автотранспортные для перевозки 10 или более человек
29.10.4 Средства автотранспортные грузовые
29.10.41.110 Автомобили грузовые с дизельным двигателем
29.10.41.112 Автомобили грузовые с дизельным двигателем, имеющие технически допустимую максимальную массу свыше 3,5 т, но не более 12 т
29.10.59 Средства автотранспортные специального назначения, не включенные в другие группировки
29.10.59.130 Средства транспортные для коммунального хозяйства и содержания дорог
28.22.20.000 Ковши, черпаки, грейферы и захваты для подъемных кранов, экскаваторов и аналогичного оборудования
29.10.59.143 Автомобили пожарные комбинированного тушения крупных пожаров ****</t>
  </si>
  <si>
    <t>За весь период заходили в конкурсы  1 раз на общую сумму обеспеченных контрактов с НМЦ 147 895 466,77 ? с БГУ  1 478 954,67 ? с БГИ 14 789 546,68 ?</t>
  </si>
  <si>
    <t>29.10.41.111 Автомобили грузовые с дизельным двигателем, имеющие технически допустимую максимальную массу не более 3,5 т
29.10.41.113 Автомобили грузовые с дизельным двигателем, имеющие технически допустимую максимальную массу свыше 12 т
28.92.21 Бульдозеры и бульдозеры с поворотным отвалом
29.10.59.141 Автомобили пожарные для тушения пожаров водой
45.11.12 Услуги по оптовой торговле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29.1 Средства автотранспортные
29.10.41.110 Автомобили грузовые с дизельным двигателем
29.10.41.112 Автомобили грузовые с дизельным двигателем, имеющие технически допустимую максимальную массу свыше 3,5 т, но не более 12 т
29.10.59 Средства автотранспортные специального назначения, не включенные в другие группировки
29.10.59.114 Автогудронаторы ****</t>
  </si>
  <si>
    <t>За весь период компания заключила  4 контрактов на сумму  3 279 864 105,12 ? За весь период заходили в конкурсы  15 раз на общую сумму обеспеченных контрактов с НМЦ 4 711 734 783,93 ? с БГУ  139 986 026,04 ? с БГИ 919 591 098,12 ? За 3 ГОДА по 44ФЗ заключено 56 шт. с объемом НМЦ  3 861 870 263,98 ? с БГИ 390 591 230,24 ? с БГГО 49 161 454,70 ? с авансированием до 814 748 447,13 ? с комиссией банку 14 768 306,80 ? с кв 128 484,27 ? ЗА 1 ГОД по 44ФЗ заключено 8 шт. c объемом НМЦ 154 664 533,34 ? с БГИ 14 514 556,66 ? с БГГО 1 269 885,34 ? с авансированием до  0,00 ? с комиссией банку  168 593,90 ? с кв 1 466,77 ? ЗА 3 ГОДА ПО 223 ФЗ заключено 29 шт. с объемом НМЦ 363 016 952,69 ? за 1 ГОД ПО 223ФЗ заключено 8  164 992 122,50 ?</t>
  </si>
  <si>
    <t>"223 за 3 года", "кл фт агент бг 04.22", ".", "рейтинг поставщиков в маркере по бг", "ГРАНДИОЗНЫЙ ПРОЕКТ", "Агентские отказ из-за непред-я док-ов", "fk1", "Гарантии ФБ банкроты", "филиал бизнес 31.01.22 ",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"223 фз контракты 20+", "рейтинг по нмц маркер", "поставщики маркер", "44 за 3 года"</t>
  </si>
  <si>
    <t>08.93 Соль и хлорид натрия чистый, вода морская
10.84.3 Соль пищевая
10.84.30.130 Соль пищевая поваренная йодированная</t>
  </si>
  <si>
    <t>"поставщики маркер", ".", "fk1", "ИНН 3 года - нет КД БГ на 01.10.22",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 "производители"</t>
  </si>
  <si>
    <t>26.40.44.000 Аппаратура приемная для радиотелефонной или радиотелеграфной связи, не включенная в другие группировки
26.30.11.150 Средства связи радиоэлектронные
62.03 Услуги по управлению компьютерным оборудованием
58.29.5 Услуги по предоставлению лицензий на право использовать компьютерное программное обеспечение
46.5 Услуги по оптовой торговле информационным и коммуникационным оборудованием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 Оборудование компьютерное, электронное и оптическое
26.3 Оборудование коммуникационное
46.52.11.000 Услуги по оптовой торговле телекоммуникационным оборудованием и его частями ****</t>
  </si>
  <si>
    <t>За весь период компания заключила  83 контрактов на сумму  85 406 953 789,00 ?                                     ЗА 3 ГОДА ПО 223 ФЗ заключено 15 шт. с объемом НМЦ 189 807 326,14 ?</t>
  </si>
  <si>
    <t>"223 за 3 года", ".", "fk1", "лимит сит по кредитам", "Пустые_Клиенты", "все клиенты с выручкой от 1,8 млрд до бесконечности", "производители", "рейтинг по нмц маркер", "поставщики маркер"</t>
  </si>
  <si>
    <t>26.40.51.000 Части и принадлежности звукового и видеооборудования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58.29.5 Услуги по предоставлению лицензий на право использовать компьютерное программное обеспечение
46.51.10.110 Услуги по оптовой торговле компьютерами, компьютерными периферийными устройствами
62.01 Продукты программные и услуги по разработке и тестированию программного обеспечения
62.02.2 Услуги консультативные по вопросам систем и программному обеспечению
62.02.30 Услуги по технической поддержке информационных технологий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t>
  </si>
  <si>
    <t>За весь период компания заключила  17 контрактов на сумму  6 807 388 911,67 ? За весь период заходили в конкурсы  23 раз на общую сумму обеспеченных контрактов с НМЦ 4 216 792 547,33 ? с БГУ  204 821 501,33 ? с БГИ 1 183 142 354,32 ? За 3 ГОДА по 44ФЗ заключено 56 шт. с объемом НМЦ  5 419 801 299,56 ? с БГИ 1 055 146 962,34 ? с БГГО 316 475 759,00 ? с авансированием до 1 739 442 008,60 ? с комиссией банку 22 877 178,30 ? с кв 199 031,45 ? ЗА 1 ГОД по 44ФЗ заключено 35 шт. c объемом НМЦ 3 974 860 496,82 ? с БГИ 761 109 489,68 ? с БГГО 279 912 650,64 ? с авансированием до  1 616 080 361,98 ? с комиссией банку  21 766 253,65 ? с кв 189 366,41 ? ЗА 3 ГОДА ПО 223 ФЗ заключено 5 шт. с объемом НМЦ 77 726 113,69 ? за 1 ГОД ПО 223ФЗ заключено 1  51 564 000,13 ?</t>
  </si>
  <si>
    <t>"223 за 3 года", ".", "рейтинг поставщиков в маркере по бг", "Рассрочка КВ Март 2023", "ГРАНДИОЗНЫЙ ПРОЕКТ", "fk1", "ПОС на 01.02.2023", "корп 2", "ПОС на 03.04.2023", "Кредитный портфель_01.11", "06.2022_ФинХД", "клиенты от 100 млн", "Обороты по клиентам по кварталам (2022г)", "223 фз контракты 20+", "44 фз с с БГ от 10 млн", "рейтинг по нмц маркер", "поставщики маркер", "44 за 3 года"</t>
  </si>
  <si>
    <t>28.92.21 Бульдозеры и бульдозеры с поворотным отвалом
45.11 Услуги по торговле легковыми автомобилями и грузовыми автомобилями малой грузоподъемности
46.6 Услуги по оптовой торговле прочими машинами, оборудованием и инструментами
28.22.15.120 Погрузчики прочие
29.1 Средства автотранспортные
29.10.4 Средства автотранспортные грузовые
28.92.99.000 Услуги по производству машин для добычи полезных ископаемых подземным и открытым способами и строительства отдельные, выполняемые субподрядчиком
29.10.59 Средства автотранспортные специального назначения, не включенные в другие группировки
28.22.18.310 Машины погрузочные и разгрузочные
28.30.23.110 Тракторы сельскохозяйственные колесные с мощностью двигателя более 59 кВт ****</t>
  </si>
  <si>
    <t>За весь период компания заключила  7 контрактов на сумму  358 337 766,85 ? За весь период заходили в конкурсы  5 раз на общую сумму обеспеченных контрактов с НМЦ 563 676 620,00 ? с БГУ  22 249 100,00 ? с БГИ 53 218 200,00 ?               ЗА 1 ГОД по 44ФЗ заключено 5 шт. c объемом НМЦ 300 988 333,33 ? с БГИ 28 747 916,67 ? с БГГО 2 903 883,00 ? с авансированием до  0,00 ? с комиссией банку  72 165,83 ? с кв 627,84 ? ЗА 3 ГОДА ПО 223 ФЗ заключено 17 шт. с объемом НМЦ 577 373 988,99 ? за 1 ГОД ПО 223ФЗ заключено 1  12 872 367,67 ?</t>
  </si>
  <si>
    <t>24.20.12.110 Трубы обсадные бесшовные стальные
24.20.23.000 Трубы круглого сечения сварные прочие, наружным диаметром более 406,4 мм, стальные
24.20.13.160 Трубы стальные водогазопроводные
24.20.13.140 Трубы стальные бесшовные холоднодеформированные общего назначения</t>
  </si>
  <si>
    <t>За весь период компания заключила  26 контрактов на сумму  57 008 077 661,71 ?</t>
  </si>
  <si>
    <t>Сообщения о принятии решения о реорганизации от 28.04.2022</t>
  </si>
  <si>
    <t>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45.20.11.519 Прочие услуги по техническому обслуживанию и ремонту прочих автотранспортных средств, не включенные в другие группировки
29.10.4 Средства автотранспортные грузовые
29.10.41.110 Автомобили грузовые с дизельным двигателем
29.10.41.112 Автомобили грузовые с дизельным двигателем, имеющие технически допустимую максимальную массу свыше 3,5 т, но не более 12 т
29.10.42 Средства автотранспортные грузовые с поршневым двигателем внутреннего сгорания с искровым зажиганием; прочие грузовые транспортные средства, новые
29.10.42.122 Автосамосвалы с бензиновым двигателем, имеющие технически допустимую максимальную массу свыше 3,5 т, но не более 12 т
29.10.59.130 Средства транспортные для коммунального хозяйства и содержания дорог
29.10 Средства автотранспортные ****</t>
  </si>
  <si>
    <t>За весь период компания заключила  3 контрактов на сумму  862 252 888,99 ? За весь период заходили в конкурсы  2 раз на общую сумму обеспеченных контрактов с НМЦ 58 326 909,00 ? с БГУ  4 411 877,15 ? с БГИ 30 145 398,92 ?                                 за 1 ГОД ПО 223ФЗ заключено 2  6 494 000,00 ?</t>
  </si>
  <si>
    <t>"223 за 3 года", "кл фт прямые бг 04.22", "свод фт", ".", "рейтинг поставщиков в маркере по бг", "Компании Груева", "УПП на 2 номер", "fk1", "клиенты управления по БГ без открытых счетов", "2. Финтендер 2022 31.03.22 Григорян для СПАРК", "все клиенты с выручкой от 1,8 млрд до бесконечности", "ФК клиенты с выручкой от 230 до бесконечности", "клиенты от 100 млн", "ФТ клиенты с продуктами по сотрудникам", "рейтинг по нмц маркер", "на фт заводил Удод", "поставщики маркер", "44 за 3 года"</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</si>
  <si>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45.11 Услуги по торговле легковыми автомобилями и грузовыми автомобилями малой грузоподъемности
45.11.21.000 Услуги по розничной торговле новыми пассажирскими автотранспортными средствами в специализированных магазинах
45.11.39.000 Услуги по розничной торговле легковыми автомобилями и грузовыми автомобилями малой грузоподъемности прочие, не включенные в другие группировки
29.1 Средства автотранспортные
29.10.4 Средства автотранспортные грузовые
29.10.41.110 Автомобили грузовые с дизельным двигателем
26.30.50.110 Приборы и аппаратура для систем охранной сигнализации
29.10.59.130 Средства транспортные для коммунального хозяйства и содержания дорог ****</t>
  </si>
  <si>
    <t>За весь период компания заключила  31 контрактов на сумму  11 738 115 705,23 ? За весь период заходили в конкурсы  118 раз на общую сумму обеспеченных контрактов с НМЦ 18 086 045 111,00 ? с БГУ  577 061 769,43 ? с БГИ 2 842 541 990,53 ? За 3 ГОДА по 44ФЗ заключено 158 шт. с объемом НМЦ  7 361 815 863,70 ? с БГИ 730 893 311,44 ? с БГГО 64 813 530,60 ? с авансированием до 275 200,00 ? с комиссией банку 1 078 453,18 ? с кв 9 382,54 ? ЗА 1 ГОД по 44ФЗ заключено 45 шт. c объемом НМЦ 329 266 779,64 ? с БГИ 39 025 880,49 ? с БГГО 2 673 996,67 ? с авансированием до  120 000,00 ? с комиссией банку  265 390,57 ? с кв 2 308,90 ? ЗА 3 ГОДА ПО 223 ФЗ заключено 7 шт. с объемом НМЦ 181 227 900,00 ? за 1 ГОД ПО 223ФЗ заключено 3  4 275 766,67 ?</t>
  </si>
  <si>
    <t>"223 за 3 года", "кл фт агент бг 04.22", ".", "рейтинг поставщиков в маркере по бг", "fk1", "ИНН 3 года - нет КД БГ на 01.10.22", "БГ ФБ ЮР лица на 01.07.2021", "Гарантии ФБ банкроты", "филиал бизнес 31.01.22 ", "06.2022_ФинХД",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"Одобренные но не выданные 1 полугодие 2021", "ФТ клиенты с продуктами по сотрудникам", "рейтинг по нмц маркер", "поставщики маркер", "44 за 3 года"</t>
  </si>
  <si>
    <t>15.20.12.122 Сапожки, полусапожки, ботинки, полуботинки, туфли женские и для девочек на подошве из резины или пластмассы
20.42.1 Средства парфюмерные и косметические
20.42.15 Средства для ухода за кожей, макияжа или защитные средства для кожи (включая солнцезащитные и для загара), не включенные в другие группировки
20.42.15.140 Средства для ухода за кожей тела: лосьоны, кремы (в том числе детские)
14.19.31.119 Перчатки защитные, рукавицы, варежки, митенки из натуральной или композиционной кожи, не включенные в другие группировки
13.92 Изделия текстильные готовые (кроме одежды)
14.12.11.130 Куртки (пиджаки) и блейзеры мужские производственные и профессиональные
14.12.3 Спецодежда прочая
14.12.30.132 Юбки, халаты, блузки, фартуки, жилеты, платья и сорочки женские производственные и профессиональные
14.13 Одежда верхняя прочая ****</t>
  </si>
  <si>
    <t>За весь период компания заключила  9 контрактов на сумму  422 317 430,54 ?                                     ЗА 3 ГОДА ПО 223 ФЗ заключено 44 шт. с объемом НМЦ 215 031 385,53 ? за 1 ГОД ПО 223ФЗ заключено 11  63 878 004,57 ?</t>
  </si>
  <si>
    <t>Сообщения о принятии решения о реорганизации от 09.07.2021</t>
  </si>
  <si>
    <t>"223 за 3 года", ".", "выдали", "ПОС на 03.04.2023", "Кредитный портфель_01.11", "БГ ФБ ЮР лица на 01.07.2021", "все клиенты с выручкой от 1,8 млрд до бесконечности", "ФК клиенты с выручкой от 230 до бесконечности", "клиенты от 100 млн", "Обороты по клиентам по кварталам (2022г)", "Одобренные но не выданные 1 полугодие 2021", "223 фз контракты 20+", "рейтинг по нмц маркер", "поставщики маркер", "44 за 3 года"</t>
  </si>
  <si>
    <t>29.10.5 Средства автотранспортные специального назначения</t>
  </si>
  <si>
    <t>Сообщения о принятии решения о реорганизации от 18.03.2021</t>
  </si>
  <si>
    <t>22.11.14 Шины и покрышки пневматические для сельскохозяйственных машин; шины и покрышки пневматические прочие новые
28.30.93.000 Части прочих машин и оборудования для сельского хозяйства
28.92.12.130 Машины бурильные
45.32.12.000 Услуги по розничной торговле прочими автомобильными деталями, узлами и принадлежностями в специализированных магазинах
22.11.1 Шины, покрышки и камеры резиновые новые
29.10 Средства автотранспортные
33.12 Услуги по ремонту оборудования
29.32.30 Комплектующие и принадлежности для автотранспортных средств, не включенные в другие группировки
28.92.2 Машины прочие для перемещения, грейдерных работ, планирования, скреперных работ, выемки, трамбовки, уплотнения или добычи, самоходные, для грунта, минералов или руд (включая бульдозеры, одноковшовые экскаваторы и дорожные катки)
29.3 Части и принадлежности для автотранспортных средств ****</t>
  </si>
  <si>
    <t>ЗА 3 ГОДА ПО 223 ФЗ заключено 6 шт. с объемом НМЦ 98 169 276,00 ? за 1 ГОД ПО 223ФЗ заключено 3  20 491 907,42 ?</t>
  </si>
  <si>
    <t>"223 за 3 года", ".", "fk1", "Обороты по клиентам по кварталам (2022г)", "223 фз контракты 20+", "это заказчик",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</si>
  <si>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42.91.20.140 Работы дноуглубительные, работы по удалению скальных пород и илистых отложений и прочие строительные гидротехнические работы
42.91.20.190 Работы строительные и ремонтные, связанные с прочими водными сооружениями и работы по ремонту всех вышеуказанных сооружений
71.12.20.190 Услуги по руководству строительными проектами прочие
42.99.12.124 Территории парковые и парки для отдыха
81.30.10.000 Услуги по планировке ландшафта
41.20.40.900 Работы строительные по возведению нежилых зданий и сооружений прочие, не включенные в другие группировки
71.12.19.100 Услуги по инженерно-техническому проектированию прочих объектов, кроме объектов культурного наследия
42.12.20.190 Работы строительные по строительству наземных и подземных железных дорог прочие, не включенные в другие группировки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t>
  </si>
  <si>
    <t>За весь период компания заключила  68 контрактов на сумму  70 545 892 043,43 ? За весь период заходили в конкурсы  92 раз на общую сумму обеспеченных контрактов с НМЦ 74 190 650 161,74 ? с БГУ  2 503 090 624,48 ? с БГИ 16 302 777 208,04 ? За 3 ГОДА по 44ФЗ заключено 35 шт. с объемом НМЦ  35 477 839 662,10 ? с БГИ 7 712 608 254,60 ? с БГГО 510 938 612,34 ? с авансированием до 9 661 223 687,83 ? с комиссией банку 202 875 617,72 ? с кв 1 765 017,87 ? ЗА 1 ГОД по 44ФЗ заключено 15 шт. c объемом НМЦ 18 267 126 557,89 ? с БГИ 4 402 839 410,41 ? с БГГО 237 085 056,22 ? с авансированием до  5 890 621 678,93 ? с комиссией банку  150 075 621,02 ? с кв 1 305 657,90 ? ЗА 3 ГОДА ПО 223 ФЗ заключено 11 шт. с объемом НМЦ 9 466 055 153,76 ? за 1 ГОД ПО 223ФЗ заключено 5  7 331 471 482,70 ?</t>
  </si>
  <si>
    <t>"223 за 3 года", "кл фт ФК ВКЛ/РКО 04.22", "кл фт ФК БГ 04.22", "кл фт агент ВКЛ/РКО 04.22", "кл фт агент бг 04.22", ".", "рейтинг поставщиков в маркере по бг", "Рассрочка КВ Март 2023", "гарантии, остаток на внебалансе равен нулю", "ГРАНДИОЗНЫЙ ПРОЕКТ", "Конкурсы 100+ (Восстановленный)", "fk1", "2. Финтендер 2022 31.03.22 Григорян для СПАРК", "Гарантии ФБ банкроты", "Банкроты ФБ 28.04.2023", "Ссуды ФБ 29.04.2022 банкр.", "клиенты с в от100млн 09.21", "все клиенты с выручкой от 1,8 млрд до бесконечности", "филиал бизнес 01.03.22",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"223 фз контракты 20+", "44 фз с с БГ от 10 млн", "производители", "рейтинг по нмц маркер", "поставщики маркер", "44 за 3 года"</t>
  </si>
  <si>
    <t>26.30.50.120 Приборы и аппаратура для систем автоматического пожаротушения и пожарной сигнализации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26.40.33 Видеокамеры для записи и прочая аппаратура для записи или воспроизведения изображения
26.30.60.190 Части устройств охранной или пожарной сигнализации и аналогичной аппаратуры прочие, не включенные в другие группировки
58.19.19.190 Продукция издательская печатная прочая, не включенная в другие группировки</t>
  </si>
  <si>
    <t>"223 за 3 года", ".", "fk1", "все клиенты с выручкой от 1,8 млрд до бесконечности", "ФК клиенты с выручкой от 230 до бесконечности", "Обороты по клиентам по кварталам (2022г)", "производители", "поставщики маркер"</t>
  </si>
  <si>
    <t>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26.20.18.000 Устройства периферийные с двумя или более функциями: печать данных, копирование, сканирование, прием и передача факсимильных сообщений
26.20.40 Блоки, части и принадлежности вычислительных машин
26.20.1 Компьютеры, их части и принадлежности
26.30.30.000 Части и комплектующие коммуникационного оборудования
27.51.11.110 Холодильники бытовые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26.2 Компьютеры и периферийное оборудование ****</t>
  </si>
  <si>
    <t>За весь период компания заключила  8 контрактов на сумму  2 244 145 241,73 ? За весь период заходили в конкурсы  15 раз на общую сумму обеспеченных контрактов с НМЦ 1 984 167 926,29 ? с БГУ  81 364 796,03 ? с БГИ 466 578 700,57 ?                             ЗА 3 ГОДА ПО 223 ФЗ заключено 3 шт. с объемом НМЦ 26 186 400,73 ?</t>
  </si>
  <si>
    <t>"223 за 3 года", ".", "рейтинг поставщиков в маркере по бг", "fk1",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"производители", "рейтинг по нмц маркер", "поставщики маркер", "44 за 3 года"</t>
  </si>
  <si>
    <t>28.13.14.110 Насосы центробежные подачи жидкостей прочие
20.13.24.149 Кислоты неорганические прочие, не включенные в другие группировки
20.20.14.000 Средства дезинфекционные
20.30.22.220 Растворители и разбавители органические сложные; составы готовые для удаления красок и лаков (смывки)
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20.14.12.220 Углеводороды ароматические с двумя или более сконденсированными бензольными кольцами
28.12 Оборудование гидравлическое и пневматическое силовое
28.29.12.190 Оборудование и установки для фильтрования или очистки жидкостей прочие, не включенные в другие группировки
20.59.42.140 Продукты аналогичные присадкам к топливу и смазочным материалам
28.99.39.190 Оборудование специального назначения прочее, не включенное в другие группировки ****</t>
  </si>
  <si>
    <t>За весь период контрактов 44 шт. на общую сумму НМЦ 57 084 303 610,48 ?</t>
  </si>
  <si>
    <t>Кредитный портфель_01.3042</t>
  </si>
  <si>
    <t>28.13.14.110 Насосы центробежные подачи жидкостей прочие
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
28.29.12.190 Оборудование и установки для фильтрования или очистки жидкостей прочие, не включенные в другие группировки
43.13.10 Работы буровые и разведочные буровые
09.10 Услуги по добыче нефти и природного газа
28.13.14 Насосы центробежные подачи жидкостей прочие; насосы прочие
27.11.25.000 Электродвигатели переменного тока, многофазные, выходной мощностью более 75 кВт
28.13.1 Насосы для перекачки жидкостей; подъемники жидкостей
28.13.13.000 Насосы роторные объемные прочие для перекачки жидкостей
09.10.11.190 Услуги по бурению, связанные с добычей нефти и горючего природного газа, не включенные в другие группировки</t>
  </si>
  <si>
    <t>За весь период компания заключила  50 контрактов на сумму  42 674 835 054,71 ? За весь период заходили в конкурсы  1 раз на общую сумму обеспеченных контрактов с НМЦ 74 324 284,71 ? с БГУ  743 242,85 ? с БГИ 3 716 214,24 ?</t>
  </si>
  <si>
    <t>За весь период заходили в конкурсы  3 раз на общую сумму обеспеченных контрактов с НМЦ 466 700 000,00 ? с БГУ  0,00 ? с БГИ 142 410 000,00 ?                             ЗА 3 ГОДА ПО 223 ФЗ заключено 6 шт. с объемом НМЦ 45 008 553,80 ?</t>
  </si>
  <si>
    <t>"223 за 3 года", ".", "рейтинг поставщиков в маркере по бг", "fk1", "клиенты с в от100млн 09.21", "все клиенты с выручкой от 1,8 млрд до бесконечности", "Обороты по клиентам по кварталам (2022г)", "производители", "рейтинг по нмц маркер"</t>
  </si>
  <si>
    <t>3 213</t>
  </si>
  <si>
    <t>24.20.12.130 Трубы бурильные для бурения нефтяных и газовых скважин бесшовные стальные</t>
  </si>
  <si>
    <t>За весь период компания заключила  2 контрактов на сумму  12 851 507 153,84 ?</t>
  </si>
  <si>
    <t>20.13.23.113 Калий
20.13.24.149 Кислоты неорганические прочие, не включенные в другие группировки
20.13 Вещества химические неорганические основные прочие
24.41.10 Серебро необработанное или полуобработанное, или в виде порошка
24.4 Металлы основные драгоценные и цветные прочие; топливо ядерное переработанное
24.41.10.130 Серебро полуобработанное</t>
  </si>
  <si>
    <t>За весь период компания заключила  3 контрактов на сумму  949 452 027,00 ?</t>
  </si>
  <si>
    <t>"поставщики маркер",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t>
  </si>
  <si>
    <t>20.30.22.170 Герметики
23.99.12.110 Материалы рулонные кровельные и гидроизоляционные
47.52.7 Услуги по розничной торговле строительными материалами, не включенными в другие группировки, в специализированных магазинах
23.99.12 Изделия из асфальта или аналогичных материалов
46.73.16 Услуги по оптовой торговле прочими строительными материалами и изделиями
23.99 Продукция минеральная неметаллическая прочая, не включенная в другие группировки
23.99.11.110 Волокна хризотиловые
46.73 Услуги по оптовой торговле лесоматериалами, строительными материалами и санитарно-техническим оборудованием
46.13.12 Услуги по оптовой торговле строительными материалами за вознаграждение или на договорной основе
46.7 Услуги по специализированной оптовой торговле прочие ****</t>
  </si>
  <si>
    <t>23.99.12.110 Материалы рулонные кровельные и гидроизоляционные
23.99.19.110 Материалы и изделия минеральные тепло- и звукоизоляционные
46.7 Услуги по специализированной оптовой торговле прочие
58.11.12.000 Книги печатные профессиональные, технические и научные
46.76 Услуги по оптовой торговле прочими промежуточными продуктами</t>
  </si>
  <si>
    <t>"поставщики маркер", ".", "все клиенты с выручкой от 1,8 млрд до бесконечности", "Обороты по клиентам по кварталам (2022г)", "производители", "рейтинг по нмц маркер", "это заказчик"</t>
  </si>
  <si>
    <t>33.17.11 Услуги по ремонту и техническому обслуживанию железнодорожных локомотивов и подвижного состава
49.20.16.000 Услуги железнодорожного транспорта по перевозке сыпучих бестарных грузов
24.20.40.000 Фитинги для труб стальные, кроме литых</t>
  </si>
  <si>
    <t>За весь период контрактов 50 шт. на общую сумму НМЦ 85 556 945 883,98 ?</t>
  </si>
  <si>
    <t>26.20.40.120 Элементы замены типовые устройств ввода и вывода
26.40.51.000 Части и принадлежности звукового и видеооборудования
26.40.20.122 Приемники телевизионные (телевизоры) цветного изображения с жидкокристаллическим экраном, плазменной панелью
26.40.20.110 Приемники телевизионные (телевизоры) цветного изображения с устройствами записи и воспроизведения звука и изображения</t>
  </si>
  <si>
    <t>32.50.13.190 Инструменты и приспособления, применяемые в медицинских целях, прочие, не включенные в другие группировки
32.50.13.110 Шприцы, иглы, катетеры, канюли и аналогичные инструменты
32.50.50.190 Изделия медицинские, в том числе хирургические, прочие, не включенные в другие группировки</t>
  </si>
  <si>
    <t>За весь период заходили в конкурсы  2 раз на общую сумму обеспеченных контрактов с НМЦ 0,00 ? с БГУ  6 000 000,00 ? с БГИ 24 000 000,00 ?</t>
  </si>
  <si>
    <t>33.20.42.000 Услуги по монтажу профессионального электронного оборудования
62.01 Продукты программные и услуги по разработке и тестированию программного обеспечения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62.09.20.190 Услуги по технической поддержке в области информационных технологий прочие, не включенные в другие группировки
26.20.14.000 Машины вычислительные электронные цифровые, поставляемые в виде систем для автоматической обработки данных
26.20.40.130 Инструменты и принадлежности для вычислительных машин
26.20.17.110 Мониторы, подключаемые к компьютеру
26.20.40.190 Комплектующие и запасные части для вычислительных машин прочие, не включенные в другие группировки ****</t>
  </si>
  <si>
    <t>За весь период компания заключила  12 контрактов на сумму  3 270 330 033,00 ? За весь период заходили в конкурсы  44 раз на общую сумму обеспеченных контрактов с НМЦ 5 282 813 262,67 ? с БГУ  248 892 311,65 ? с БГИ 1 304 503 916,61 ? За 3 ГОДА по 44ФЗ заключено 17 шт. с объемом НМЦ  1 254 829 433,83 ? с БГИ 320 781 269,87 ? с БГГО 44 416 894,65 ? с авансированием до 16 527,84 ? с комиссией банку 6 185 961,54 ? с кв 53 817,87 ? ЗА 1 ГОД по 44ФЗ заключено 8 шт. c объемом НМЦ 516 915 113,38 ? с БГИ 118 133 627,58 ? с БГГО 4 336 467,00 ? с авансированием до  0,00 ? с комиссией банку  1 951 013,40 ? с кв 16 973,82 ? ЗА 3 ГОДА ПО 223 ФЗ заключено 4 шт. с объемом НМЦ 2 617 869 128,88 ?</t>
  </si>
  <si>
    <t>"223 за 3 года", ".", "рейтинг поставщиков в маркере по бг", "п6", "Конкурсы 100+ (Восстановленный)", "fk1", "ПОС на 01.02.2023", "ПОС на 03.04.2023", "Кредитный портфель_01.11", "06.2022_ФинХД",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"Обороты по клиентам по кварталам (2022г)", "44 фз с с БГ от 10 млн", "Все БГ Держава ", "производители", "рейтинг по нмц маркер", "поставщики маркер", "44 за 3 года"</t>
  </si>
  <si>
    <t>28.30.22.110 Тракторы сельскохозяйственные колесные с мощностью двигателя от 37 кВт до 59 кВт
28.30.53.000 Прессы для соломы или сена, включая пресс-подборщики
29.10.30.190 Средства автотранспортные пассажирские с числом мест для сидения не менее 10 прочие
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28.30.86.130 Оборудование для лесного хозяйства, не включенное в другие группировки
28.30.93.000 Части прочих машин и оборудования для сельского хозяйства
28.22.15.120 Погрузчики прочие
28.22.18.246 Погрузчики универсальные сельскохозяйственного назначения
28.22.18.313 Машины для погрузки затаренных грузов ****</t>
  </si>
  <si>
    <t>За весь период заходили в конкурсы  17 раз на общую сумму обеспеченных контрактов с НМЦ 1 594 823 778,02 ? с БГУ  42 277 940,01 ? с БГИ 148 792 358,66 ? За 3 ГОДА по 44ФЗ заключено 356 шт. с объемом НМЦ  4 906 517 828,29 ? с БГИ 423 632 689,13 ? с БГГО 99 808 049,39 ? с авансированием до 554 031 186,00 ? с комиссией банку 2 473 211,67 ? с кв 21 516,94 ? ЗА 1 ГОД по 44ФЗ заключено 134 шт. c объемом НМЦ 2 007 291 537,10 ? с БГИ 212 167 322,29 ? с БГГО 42 141 835,51 ? с авансированием до  300 283 233,33 ? с комиссией банку  1 553 879,08 ? с кв 13 518,75 ? ЗА 3 ГОДА ПО 223 ФЗ заключено 42 шт. с объемом НМЦ 261 480 450,93 ? за 1 ГОД ПО 223ФЗ заключено 6  96 393 952,67 ?</t>
  </si>
  <si>
    <t>"223 за 3 года", ".", "рейтинг поставщиков в маркере по бг", "Конкурсы 100+ (Восстановленный)", "ПОС на 01.02.2023", "ПОС на 03.04.2023", "Кредитный портфель_01.11", "06.2022_ФинХД", "клиенты с в от100млн 09.21", "ФК клиенты с выручкой от 230 до бесконечности", "клиенты от 100 млн", "44 фз с с БГ от 10 млн", "рейтинг по нмц маркер", "поставщики маркер", "44 за 3 года"</t>
  </si>
  <si>
    <t>26.20.16 Устройства ввода или вывода, содержащие или не содержащие в одном корпусе запоминающие устройства
46.14.11.000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t>
  </si>
  <si>
    <t>ЗА 3 ГОДА ПО 223 ФЗ заключено 1 шт. с объемом НМЦ 447 199 999,97 ? за 1 ГОД ПО 223ФЗ заключено 1  447 199 999,97 ?</t>
  </si>
  <si>
    <t>27.40.32.000 Наборы осветительные для рождественских (новогодних) елок
47.52.79.000 Услуги по розничной торговле прочими строительными материалами, не включенными в другие группировки, в специализированных магазинах
32.99.51.112 Игрушки и украшения елочные
32.99.51.111 Елки искусственные
46.49 Услуги по оптовой торговле прочими бытовыми товарами
25 Изделия металлические готовые, кроме машин и оборудования</t>
  </si>
  <si>
    <t>ЗА 3 ГОДА ПО 223 ФЗ заключено 6 шт. с объемом НМЦ 214 469 199,00 ? за 1 ГОД ПО 223ФЗ заключено 2  213 752 790,00 ?</t>
  </si>
  <si>
    <t>За весь период контрактов 2 шт. на общую сумму НМЦ 1 295 580 448,23 ?</t>
  </si>
  <si>
    <t>Сообщение кредитора о намерении обратиться в суд с заявлением о банкротстве от 22.03.2021</t>
  </si>
  <si>
    <t>47.52.7 Услуги по розничной торговле строительными материалами, не включенными в другие группировки, в специализированных магазинах</t>
  </si>
  <si>
    <t>"ФТ клиенты с продуктами по сотрудникам", "кл фт ФК БГ 04.22", ".", "fk1", "Кредитный портфель_01.11", "корп 1",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t>
  </si>
  <si>
    <t>"223 за 3 года", ".", "fk1", "закрыли счет", "Действующий клиент мсб с выр от 30 млн на 05.21", "все клиенты с выручкой от 1,8 млрд до бесконечности", "ФК клиенты с выручкой от 230 до бесконечности",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</si>
  <si>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43.12.11.120 Работы по подготовке строительного участка для последующих строительных работ, включая буровзрывные работы и работы по удалению скальных пород
42.13.20.100 Работы строительные по строительству мостов и тоннелей, кроме работ по сохранению и воссозданию объектов культурного наследия
42.11.10.129 Дороги автомобильные, в том числе улично-дорожная сеть, и прочие автомобильные и пешеходные дороги,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</si>
  <si>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За весь период компания заключила  75 контрактов на сумму  161 396 818 525,08 ? За весь период заходили в конкурсы  135 раз на общую сумму обеспеченных контрактов с НМЦ 170 190 290 418,03 ? с БГУ  7 396 301 524,64 ? с БГИ 26 071 939 492,87 ? За 3 ГОДА по 44ФЗ заключено 57 шт. с объемом НМЦ  70 449 094 791,31 ? с БГИ 7 611 929 227,34 ? с БГГО 339 664 550,76 ? с авансированием до 8 996 276 407,52 ? с комиссией банку 81 519 057,80 ? с кв 709 215,80 ? ЗА 1 ГОД по 44ФЗ заключено 15 шт. c объемом НМЦ 7 141 196 050,35 ? с БГИ 714 119 605,05 ? с БГГО 22 952 383,47 ? с авансированием до  1 541 859 706,84 ? с комиссией банку  21 814 496,27 ? с кв 189 786,12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</si>
  <si>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42.13.10.110 Мосты и путепроводы из любых материалов для всех типов сухопутного транспорта и для пешеходов
42.11.10.129 Дороги автомобильные, в том числе улично-дорожная сеть, и прочие автомобильные и пешеходные дороги, не включенные в другие группировки
42.13.10.119 Мосты и путепроводы из любых материалов для всех типов сухопутного транспорта и для пешеходов прочие</t>
  </si>
  <si>
    <t>За весь период компания заключила  3 контрактов на сумму  2 012 117 163,00 ? За весь период заходили в конкурсы  7 раз на общую сумму обеспеченных контрактов с НМЦ 2 802 858 345,77 ? с БГУ  112 377 709,90 ? с БГИ 248 733 398,50 ? За 3 ГОДА по 44ФЗ заключено 4 шт. с объемом НМЦ  1 351 061 835,80 ? с БГИ 105 326 962,48 ? с БГГО 446 731,06 ? с авансированием до 0,00 ? с комиссией банку 697 646,69 ? с кв 6 069,53 ?</t>
  </si>
  <si>
    <t>"44 за 3 года", "кл фт агент бг 04.22", ".", "рейтинг поставщиков в маркере по бг", "fk1",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"рейтинг по нмц маркер", "crm управления", "в crm за Муслимом",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</si>
  <si>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42.13.20.100 Работы строительные по строительству мостов и тоннелей, кроме работ по сохранению и воссозданию объектов культурного наследия
42.11.10.129 Дороги автомобильные, в том числе улично-дорожная сеть, и прочие автомобильные и пешеходные дороги, не включенные в другие группировки
42.21.22.110 Работы строительные по прокладке местных трубопроводов воды или сточных вод
42.21.22.130 Работы строительные по прокладке местных трубопроводов газа и пара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</si>
  <si>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41 контрактов на сумму  65 252 216 293,90 ? За весь период заходили в конкурсы  74 раз на общую сумму обеспеченных контрактов с НМЦ 62 146 746 740,32 ? с БГУ  1 612 389 414,87 ? с БГИ 7 360 547 971,18 ? За 3 ГОДА по 44ФЗ заключено 12 шт. с объемом НМЦ  15 451 108 141,10 ? с БГИ 1 554 743 923,81 ? с БГГО 102 550 452,19 ? с авансированием до 1 246 770 018,29 ? с комиссией банку 15 056 050,71 ? с кв 130 987,64 ?</t>
  </si>
  <si>
    <t>"44 за 3 года", "кл фт агент ВКЛ/РКО 04.22", "кл фт агент бг 04.22", ".", "рейтинг поставщиков в маркере по бг", "Агентские отказ из-за непред-я док-ов", "fk1", "Гарантии ФБ банкроты", "филиал бизнес 31.01.22 ", "Банкроты ФБ 28.04.2023", "Ссуды ФБ 29.04.2022 банкр.", "АИЛ портфель", "все клиенты с выручкой от 1,8 млрд до бесконечности", "филиал бизнес 01.03.22", "филиал бизнес 22.11",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"рейтинг по нмц маркер", "поставщики маркер"</t>
  </si>
  <si>
    <t>22.11.11.000 Шины и покрышки пневматические для легковых автомобилей новые
20.12.11.110 Оксиды цинка
27.20.21.000 Аккумуляторы свинцовые для запуска поршневых двигателей
29.10.59 Средства автотранспортные специального назначения, не включенные в другие группировки
22.11.1 Шины, покрышки и камеры резиновые новые
28.29.13.110 Фильтры очистки масла для двигателей внутреннего сгорания
28.92.61.120 Комплектующие (запасные части) машин для выемки грунта, не имеющие самостоятельных группировок
29.32.30.390 Части и принадлежности для автотранспортных средств прочие, не включенные в другие группировки
22 Изделия резиновые и пластмассовые
22.11.14.110 Шины и покрышки пневматические для сельскохозяйственных машин ****</t>
  </si>
  <si>
    <t>за 1 ГОД ПО 223ФЗ заключено 1  7 470 717,60 ?</t>
  </si>
  <si>
    <t>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19.20.21.115 Бензин автомобильный с октановым числом не менее 80, но не более 92 по исследовательскому методу экологического класса К5
19.20.21.325 Топливо дизельное зимнее экологического класса К5</t>
  </si>
  <si>
    <t>"все клиенты с выручкой от 1,8 млрд до бесконечности", ".", "Агентские одобренные но не выданные от 30.08"</t>
  </si>
  <si>
    <t>20.20.15.000 Фунгициды
20.20.11.000 Инсектициды</t>
  </si>
  <si>
    <t>"Обороты по клиентам по кварталам (2022г)", ".", "fk1", "корп 1"</t>
  </si>
  <si>
    <t>24.33.1 Профили незамкнутые холодной штамповки или гибки
22.21.21.120 Трубы полимерные жесткие
29.20.21.129 Контейнеры специализированные прочие, не включенные в другие группировки
22.23.19.000 Изделия пластмассовые строительные, не включенные в другие группировки
22.23.99.000 Услуги по производству полимерных строительных изделий отдельные, выполняемые субподрядчиком
22.21.30.110 Плиты, листы пластмассовые, неармированные или не комбинированные с другими материалами</t>
  </si>
  <si>
    <t>За весь период заходили в конкурсы  4 раз на общую сумму обеспеченных контрактов с НМЦ 284 776 684,46 ? с БГУ  13 195 160,48 ? с БГИ 30 951 280,87 ?</t>
  </si>
  <si>
    <t>"44 за 3 года", ".", "рейтинг поставщиков в маркере по бг", "все клиенты с выручкой от 1,8 млрд до бесконечности", "44 фз с с БГ от 10 млн", "производители", "рейтинг по нмц маркер", "поставщики маркер"</t>
  </si>
  <si>
    <t>20.16.10.190 Полимеры этилена в первичных формах прочие
13.99.9 Услуги по производству прочих текстильных изделий, не включенных в другие группировки
13.95.10.111 Материалы нетканые из текстильных волокон
29.20.21.129 Контейнеры специализированные прочие, не включенные в другие группировки
13.92.29.190 Изделия текстильные готовые прочие, не включенные в другие группировки
20.16.10.111 Полиэтилен высокого давления
22.21 Плиты, листы, трубы и профили пластмассовые
13.95.10.112 Материалы нетканые из химических нитей
22.21.3 Плиты, листы, пленка и полосы (ленты) полимерные, неармированные или не комбинированные с другими материалами</t>
  </si>
  <si>
    <t>За весь период компания заключила  7 контрактов на сумму  1 188 392 926,92 ? За весь период заходили в конкурсы  1 раз на общую сумму обеспеченных контрактов с НМЦ 490 895 455,05 ? с БГУ  13 388 057,87 ? с БГИ 44 626 859,55 ? За 3 ГОДА по 44ФЗ заключено 4 шт. с объемом НМЦ  447 321 698,52 ? с БГИ 44 679 514,70 ? с БГГО 2 335 806,64 ? с авансированием до 0,00 ? с комиссией банку 535 866,69 ? с кв 4 662,04 ?                   за 1 ГОД ПО 223ФЗ заключено 1  18 000 000,00 ?</t>
  </si>
  <si>
    <t>28.22.15.120 Погрузчики прочие
29.10.59.130 Средства транспортные для коммунального хозяйства и содержания дорог
28.30.23.110 Тракторы сельскохозяйственные колесные с мощностью двигателя более 59 кВт
28.99.52.000 Части прочего оборудования специального назначения
29.10.41.123 Автосамосвалы с дизельным двигателем, имеющие технически допустимую максимальную массу свыше 12 т</t>
  </si>
  <si>
    <t>За весь период заходили в конкурсы  7 раз на общую сумму обеспеченных контрактов с НМЦ 1 534 724 794,96 ? с БГУ  78 677 824,32 ? с БГИ 157 355 648,71 ?               ЗА 1 ГОД по 44ФЗ заключено 1 шт. c объемом НМЦ 261 698 333,25 ? с БГИ 26 169 833,32 ? с БГГО 2 616 983,00 ? с авансированием до  0,00 ? с комиссией банку  143 396,35 ? с кв 1 247,55 ?</t>
  </si>
  <si>
    <t>"44 за 3 года", ".", "рейтинг поставщиков в маркере по бг", "Конкурсы 100+ (Восстановленный)", "fk1", "ПОС на 01.02.2023", "ПОС на 03.04.2023", "Кредитный портфель_01.11", "06.2022_ФинХД", "ФК клиенты с выручкой от 230 до бесконечности", "клиенты от 100 млн", "Обороты по клиентам по кварталам (2022г)", "44 фз с с БГ от 10 млн", "поставщики маркер"</t>
  </si>
  <si>
    <t>24.10.42 Прокат листовой холоднокатаный из нержавеющих сталей, без дополнительной обработки, шириной не менее 600 мм
24.10.80.190 Прокат черных металлов прочий, не включенный в другие группировки
32.40.39.193 Игрушки спортивные пластмассовые без механизмов
24.10.62.190 Прокат сортовой прочий, без дополнительной обработки, включая смотанный после прокатки, из нелегированных сталей
24.42.22 Прутки, катанка и профили из алюминия или алюминиевых сплавов
14.19.32.120 Одежда из нетканых материалов
31.01.12.131 Шкафы для одежды деревянные
32.40.39.290 Игрушки прочие, не включенные в другие группировки
24.10.22.111 Слитки из нержавеющей стали
24.10.23.140 Полуфабрикаты круглого или многоугольного поперечного сечения из прочих легированных сталей ****</t>
  </si>
  <si>
    <t>ЗА 3 ГОДА ПО 223 ФЗ заключено 3 шт. с объемом НМЦ 73 000 000,00 ?</t>
  </si>
  <si>
    <t>"223 за 3 года", "свод фт", ".", "fk1", "ПОС на 01.02.2023", "ПОС на 03.04.2023", "Кредитный портфель_01.11", "06.2022_ФинХД", "клиенты от 100 млн", "Обороты по клиентам по кварталам (2022г)", "Одобренные но не выданные 1 полугодие 2021", "производители", "на фт заводил Реук", "поставщики маркер"</t>
  </si>
  <si>
    <t>19.20.29.119 Масла моторные прочие, не включенные в другие группировки
46.71 Услуги по оптовой торговле твердым, жидким и газообразным топливом и связанными продуктами
46.71.12.000 Услуги по оптовой торговле моторным топливом, включая авиационный бензин
28.22.2 Ковши, черпаки, грейферы и захваты для подъемных кранов, экскаваторов и аналогичного оборудования
45.20.21.111 Услуги по регламентным работам (по видам технического обслуживания)
28.99.39.190 Оборудование специального назначения прочее, не включенное в другие группировки
28.92.61.120 Комплектующие (запасные части) машин для выемки грунта, не имеющие самостоятельных группировок
19 Кокс и нефтепродукты
45.32.1 Услуги по розничной торговле автомобильными деталями, узлами и принадлежностями в специализированных магазинах
33.17.19.000 Услуги по ремонту и техническому обслуживанию прочих транспортных средств и оборудования, не включенных в другие группировки ****</t>
  </si>
  <si>
    <t>ЗА 3 ГОДА ПО 223 ФЗ заключено 18 шт. с объемом НМЦ 22 337 822,62 ? за 1 ГОД ПО 223ФЗ заключено 8  9 126 117,28 ?</t>
  </si>
  <si>
    <t>28.13.14.110 Насосы центробежные подачи жидкостей прочие
28.22.15 Автопогрузчики с вилочным захватом, прочие погрузчики; тягачи, используемые на платформах железнодорожных станций
29.10.30.190 Средства автотранспортные пассажирские с числом мест для сидения не менее 10 прочие
29.10.41.113 Автомобили грузовые с дизельным двигателем, имеющие технически допустимую максимальную массу свыше 12 т
25.93.15.120 Электроды с покрытием
28.92.1 Оборудование для добычи полезных ископаемых подземным способом
28.92.21 Бульдозеры и бульдозеры с поворотным отвалом
19.20.29.119 Масла моторные прочие, не включенные в другие группировки
28.13.28.000 Компрессоры прочие
28.22.15.120 Погрузчики прочие ****</t>
  </si>
  <si>
    <t>20.59.43.120 Антифризы
29.10.30.190 Средства автотранспортные пассажирские с числом мест для сидения не менее 10 прочие
25.93.14.111 Гвозди строительные
25.93.15.120 Электроды с покрытием
28.92.21 Бульдозеры и бульдозеры с поворотным отвалом
19.20.29.119 Масла моторные прочие, не включенные в другие группировки
45.11 Услуги по торговле легковыми автомобилями и грузовыми автомобилями малой грузоподъемности
29.20.21.122 Контейнеры-цистерны
45.11.39.000 Услуги по розничной торговле легковыми автомобилями и грузовыми автомобилями малой грузоподъемности прочие, не включенные в другие группировки
28.29.13.130 Фильтры очистки воздуха всасывающие для двигателей внутреннего сгорания ****</t>
  </si>
  <si>
    <t>За весь период компания заключила  5 контрактов на сумму  264 572 255,58 ? За весь период заходили в конкурсы  3 раз на общую сумму обеспеченных контрактов с НМЦ 138 654 255,58 ? с БГУ  7 362 169,83 ? с БГИ 45 651 031,67 ?                             ЗА 3 ГОДА ПО 223 ФЗ заключено 7 шт. с объемом НМЦ 70 317 602,00 ?</t>
  </si>
  <si>
    <t>"223 за 3 года", ".", "рейтинг поставщиков в маркере по бг", "fk1", "ушедшие", "все клиенты с выручкой от 1,8 млрд до бесконечности", "производители", "рейтинг по нмц маркер", "поставщики маркер", "44 за 3 года"</t>
  </si>
  <si>
    <t>28.22.15.110 Автопогрузчики с вилочным захватом
45.20.1 Услуги по техническому обслуживанию и ремонту легковых автомобилей и легких грузовых автотранспортных средств
29.10.41.122 Автосамосвалы с дизельным двигателем, имеющие технически допустимую максимальную массу свыше 3,5 т, но не более 12 т</t>
  </si>
  <si>
    <t>ЗА 3 ГОДА ПО 223 ФЗ заключено 9 шт. с объемом НМЦ 103 719 433,88 ? за 1 ГОД ПО 223ФЗ заключено 2  45 000 000,00 ?</t>
  </si>
  <si>
    <t>19.20.21.200 Бензин авиационный
19.20.25.110 Топливо для реактивных двигателей летательных аппаратов с дозвуковой скоростью полета
19.20.27.190 Дистилляты средние, не включенные в другие группировки
19.20.25.113 Топливо для реактивных двигателей летательных аппаратов с дозвуковой скоростью полета марки РТ
19.20.28.190 Топливо жидкое прочее, не включенное в другие группировки
52.23.19.190 Услуги вспомогательные прочие, связанные с воздушным транспортом, не включенные в другие группировки
19.20.25 Топливо реактивное керосинового типа
19.20.25.112 Топливо для реактивных двигателей летательных аппаратов с дозвуковой скоростью полета марки ТС-1
19.20.25.120 Топливо для реактивных двигателей летательных аппаратов со сверхзвуковой скоростью полета
52.23.11.000 Услуги аэропортов, кроме обработки грузов ****</t>
  </si>
  <si>
    <t>За весь период компания заключила  15 контрактов на сумму  4 103 480 269,44 ? За весь период заходили в конкурсы  11 раз на общую сумму обеспеченных контрактов с НМЦ 603 041 550,13 ? с БГУ  36 777 612,61 ? с БГИ 246 289 964,00 ?                             ЗА 3 ГОДА ПО 223 ФЗ заключено 18 шт. с объемом НМЦ 3 367 154 274,58 ? за 1 ГОД ПО 223ФЗ заключено 42  4 415 394 316,89 ?</t>
  </si>
  <si>
    <t>"223 за 3 года", ".", "рейтинг поставщиков в маркере по бг", "Конкурсы 100+ (Восстановленный)", "все клиенты с выручкой от 1,8 млрд до бесконечности", "Участники клиринга", "223 фз контракты 20+", "рейтинг по нмц маркер", "поставщики маркер", "44 за 3 года"</t>
  </si>
  <si>
    <t>19.20.21.200 Бензин авиационный
19.20.21.100 Бензин автомобильный
19.20.25 Топливо реактивное керосинового типа
19.20.25.112 Топливо для реактивных двигателей летательных аппаратов с дозвуковой скоростью полета марки ТС-1</t>
  </si>
  <si>
    <t>За весь период компания заключила  1 контрактов на сумму  400 831 200,00 ?                                     ЗА 3 ГОДА ПО 223 ФЗ заключено 6 шт. с объемом НМЦ 1 037 503 168,25 ?</t>
  </si>
  <si>
    <t>19.2 Нефтепродукты
19.20.27 Топливо нефтяное дистиллятное прочее, дистилляты средние, не включенные в другие группировки
19.20.21 Топливо моторное, включая автомобильный и авиационный бензин
19.20.42.121 Битумы нефтяные дорожные
19.20.21.335 Топливо дизельное арктическое экологического класса К5
19.20.27.190 Дистилляты средние, не включенные в другие группировки
19.20.21.114 Бензин автомобильный с октановым числом не менее 80, но не более 92 по исследовательскому методу экологического класса К4
19.20.21.315 Топливо дизельное летнее экологического класса К5
19.20.21.345 Топливо дизельное межсезонное экологического класса К5
19.20.21.325 Топливо дизельное зимнее экологического класса К5 ****</t>
  </si>
  <si>
    <t>За весь период компания заключила  4 контрактов на сумму  2 856 538 432,00 ? За весь период заходили в конкурсы  2 раз на общую сумму обеспеченных контрактов с НМЦ 1 180 934 000,00 ? с БГУ  6 266 000,00 ? с БГИ 48 532 000,00 ? За 3 ГОДА по 44ФЗ заключено 4 шт. с объемом НМЦ  1 708 400 332,09 ? с БГИ 17 164 016,60 ? с БГГО 0,00 ? с авансированием до 0,00 ? с комиссией банку 254 621,32 ? с кв 2 215,21 ? ЗА 1 ГОД по 44ФЗ заключено 2 шт. c объемом НМЦ 854 300 000,00 ? с БГИ 8 587 000,00 ? с БГГО 0,00 ? с авансированием до  0,00 ? с комиссией банку  127 363,01 ? с кв 1 108,06 ? ЗА 3 ГОДА ПО 223 ФЗ заключено 6 шт. с объемом НМЦ 1 712 444 777,00 ? за 1 ГОД ПО 223ФЗ заключено 1  857 989 393,00 ?</t>
  </si>
  <si>
    <t>19.20.25.113 Топливо для реактивных двигателей летательных аппаратов с дозвуковой скоростью полета марки РТ
52.23.19.190 Услуги вспомогательные прочие, связанные с воздушным транспортом, не включенные в другие группировки
19.20.25.112 Топливо для реактивных двигателей летательных аппаратов с дозвуковой скоростью полета марки ТС-1
19.20.25.120 Топливо для реактивных двигателей летательных аппаратов со сверхзвуковой скоростью полета
52.23.11.000 Услуги аэропортов, кроме обработки грузов</t>
  </si>
  <si>
    <t>Заказчик разыгравший 1 конкурсов на сумму  12 000 000 000,00 ?</t>
  </si>
  <si>
    <t>27.32.13.122 Кабели для погружных нефтяных электронасосов</t>
  </si>
  <si>
    <t>За весь период компания заключила  5 контрактов на сумму  2 944 986 718,56 ?</t>
  </si>
  <si>
    <t>Сообщение кредитора о намерении обратиться в суд с заявлением о банкротстве от 23.09.2020</t>
  </si>
  <si>
    <t>23.14.12.120 Холсты из стекловолокна
23.99 Продукция минеральная неметаллическая прочая, не включенная в другие группировки
23.99.19.110 Материалы и изделия минеральные тепло- и звукоизоляционные
23.99.19.111 Материалы и изделия минеральные теплоизоляционные</t>
  </si>
  <si>
    <t>35.11.10.112 Электроэнергия, произведенная теплоэлектроцентралями (ТЭЦ) общего назначения</t>
  </si>
  <si>
    <t>10.61.32.111 Крупа овсяная
10.61.32.113 Крупа гречневая
10.83.13.120 Чай черный (ферментированный) в упаковках массой не более 3 кг
20.13.43.119 Сода кальцинированная прочая
01.11.62.000 Горох овощной
10.61.12.000 Рис полуобрушенный или полностью обрушенный, или дробленый
10.73.11.110 Макароны
10.61.31.110 Крупа из пшеницы
10.61.32.110 Крупа из зерновых культур, не включенная в другие группировки
10.81.19.120 Сахар свекловичный или тростниковый коричневый ****</t>
  </si>
  <si>
    <t>28.92.21 Бульдозеры и бульдозеры с поворотным отвалом
45.32.12.000 Услуги по розничной торговле прочими автомобильными деталями, узлами и принадлежностями в специализированных магазинах
28.22.15.120 Погрузчики прочие
28.30.2 Тракторы для сельского хозяйства прочие
45.32 Услуги по розничной торговле автомобильными деталями, узлами и принадлежностями
28.30.23.110 Тракторы сельскохозяйственные колесные с мощностью двигателя более 59 кВт
28.30.34.000 Разбрасыватели органических и минеральных удобрений
28.92.25 Погрузчики фронтальные одноковшовые самоходные
28.92.2 Машины прочие для перемещения, грейдерных работ, планирования, скреперных работ, выемки, трамбовки, уплотнения или добычи, самоходные, для грунта, минералов или руд (включая бульдозеры, одноковшовые экскаваторы и дорожные катки)
29.3 Части и принадлежности для автотранспортных средств ****</t>
  </si>
  <si>
    <t>за 1 ГОД ПО 223ФЗ заключено 4  12 018 342,66 ?</t>
  </si>
  <si>
    <t>"223 за 3 года", ".", "выдали", "все клиенты с выручкой от 1,8 млрд до бесконечности", "рейтинг по нмц маркер", "поставщики маркер", "44 за 3 года"</t>
  </si>
  <si>
    <t>1 313</t>
  </si>
  <si>
    <t>Юридическое лицо находится в процессе реорганизации в форме присоединения к другому юридическому лицу от 28.03.2023</t>
  </si>
  <si>
    <t>10.86.10.195 Продукция детского питания безлактозная
10.86.10.243 Соки фруктовые и фруктово-овощные для детского питания
10.86.10.139 Смеси молочные сухие прочие для детей раннего возраста
46.38.21.000 Услуги по оптовой торговле гомогенизированными пищевыми продуктами и диетическим питанием
11.07.1 Воды минеральные и безалкогольные напитки
10.86.10.126 Творог и творожные продукты для детей раннего возраста
10.86.10.130 Молоко сухое и смеси сухие молочные для детей раннего возраста
10.86.10.125 Продукты кисломолочные для детей раннего возраста
10.86.10.133 Смеси молочные адаптированные (заменители женского молока), в том числе начальные, сухие для детей раннего возраста
10.86.10 Продукция детского питания и диетическая ****</t>
  </si>
  <si>
    <t>"44 за 3 года", ".", "портфель 31.10.2021_10 тыс_проверка", "06.2022_ФинХД", "поставщики маркер"</t>
  </si>
  <si>
    <t>61.20.30.110 Услуги подвижной связи для целей передачи голоса</t>
  </si>
  <si>
    <t>2 493</t>
  </si>
  <si>
    <t>17.29.19.140 Упаковка печатная из бумаги и картона</t>
  </si>
  <si>
    <t>Сообщение кредитора о намерении обратиться в суд с заявлением о банкротстве от 06.11.2019</t>
  </si>
  <si>
    <t>"223 за 3 года", ".", "это заказчик", "crm управления", "crm Пител"</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</si>
  <si>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55.10 Услуги гостиниц и аналогичные услуги по предоставлению временного жилья
02.20.12 Лесоматериалы лиственных пород, за исключением тропических пород
02.20.14.129 Дрова из прочих пород и смесей пород деревьев
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35.30.11.120 Энергия тепловая, отпущенная котельными
49.20.19.190 Услуги железнодорожного транспорта по перевозке прочих грузов, не включенные в другие группировки
02.20.11.112 Бревна еловые для распиловки и строгания
02.20.11.139 Балансы прочих хвойных пород и смеси хвойных пород
42.11.10.129 Дороги автомобильные, в том числе улично-дорожная сеть, и прочие автомобильные и пешеходные дороги, не включенные в другие группировки ****</t>
  </si>
  <si>
    <t>За весь период заходили в конкурсы  4 раз на общую сумму обеспеченных контрактов с НМЦ 222 630 825,00 ? с БГУ  2 208 098,25 ? с БГИ 22 080 982,50 ?               ЗА 1 ГОД по 44ФЗ заключено 7 шт. c объемом НМЦ 106 120 242,37 ? с БГИ 10 381 319,20 ? с БГГО 0,00 ? с авансированием до  0,00 ? с комиссией банку  85 340,36 ? с кв 742,46 ?</t>
  </si>
  <si>
    <t>Сообщения о принятии решения о реорганизации от 04.10.2021</t>
  </si>
  <si>
    <t>"223 за 3 года", ".", "рейтинг поставщиков в маркере по бг", "рейтинг по нмц маркер", "это заказчик", "поставщики маркер", "44 за 3 года"</t>
  </si>
  <si>
    <t>"поставщики маркер", ".", "Компании Груева"</t>
  </si>
  <si>
    <t>10.91.10.210 Концентраты белково-витаминно-минеральные
46.11.1 Услуги по оптовой торговле сельскохозяйственным сырьем, живыми животными, текстильным сырьем и полуфабрикатами за вознаграждение или на договорной основе
46.21.14.000 Услуги по оптовой торговле кормами для животных</t>
  </si>
  <si>
    <t>за 1 ГОД ПО 223ФЗ заключено 1  8 321 500,00 ?</t>
  </si>
  <si>
    <t>"44 за 3 года", "свод фт", ".", "fk1", "кредиты фт", "Пункт 3.1 09.01.2023", "Банкроты ФБ 28.04.2023", "АИЛ портфель", "лимит сит по кредитам", "все клиенты с выручкой от 1,8 млрд до бесконечности", "филиал бизнес 22.11", "Участники клиринга", "на фт заводил Алиев", "поставщики маркер"</t>
  </si>
  <si>
    <t>24.20.13.130 Трубы стальные электросварные
24.20.12.110 Трубы обсадные бесшовные стальные
24.20.13 Трубы круглого сечения прочие стальные
24.20 Трубы, профили пустотелые и их фитинги стальные
24.20.1 Трубы, профили пустотелые бесшовные и их фитинги стальные
24.20.40.000 Фитинги для труб стальные, кроме литых
24.20.13.120 Трубы стальные бесшовные высокого давления
24.20.13.110 Трубы стальные бесшовные горячедеформированные
24.20.13.140 Трубы стальные бесшовные холоднодеформированные общего назначения</t>
  </si>
  <si>
    <t>ЗА 3 ГОДА ПО 223 ФЗ заключено 7 шт. с объемом НМЦ 212 866 007,13 ? за 1 ГОД ПО 223ФЗ заключено 1  98 880 000,00 ?</t>
  </si>
  <si>
    <t>"Участники клиринга", ".", "выдали", "fk1", "ПОС на 01.02.2023", "ПОС на 03.04.2023", "06.2022_ФинХД", "Обороты по клиентам по кварталам (2022г)"</t>
  </si>
  <si>
    <t>46.73.16.000 Услуги по оптовой торговле прочими строительными материалами и изделиями
22.23.15.000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20.30 Материалы лакокрасочные и аналогичные для нанесения покрытий, полиграфические краски и мастики
25.72.12.110 Замки для дверей из недрагоценных металлов
22.29.29.190 Изделия пластмассовые прочие, не включенные в другие группировки
46 Услуги по оптовой торговле, кроме оптовой торговли автотранспортными средствами и мотоциклами</t>
  </si>
  <si>
    <t>46.69.19.110 Услуги по оптовой торговле энергетическим оборудованием
26.51 Оборудование для измерения, испытаний и навигации
26.20 Компьютеры и периферийное оборудование
26.51.52.110 Приборы для измерения или контроля расхода жидкостей и газов</t>
  </si>
  <si>
    <t>За весь период заходили в конкурсы  1 раз на общую сумму обеспеченных контрактов с НМЦ 0,00 ? с БГУ  642 952,05 ? с БГИ 19 288 561,55 ?</t>
  </si>
  <si>
    <t>19.2 Нефтепродукты
46.71 Услуги по оптовой торговле твердым, жидким и газообразным топливом и связанными продуктами
19.20.21.440 Топливо судовое с массовой долей серы не более 0,5 % с температурой вспышки в закрытом тигле не ниже 61 °C
19.20.21.400 Топливо судовое
46.71.13.120 Услуги по оптовой торговле мазутом
19.20.2 Топливо жидкое и газообразное; масла смазочные
19.20.21.325 Топливо дизельное зимнее экологического класса К5</t>
  </si>
  <si>
    <t>За весь период заходили в конкурсы  1 раз на общую сумму обеспеченных контрактов с НМЦ 80 745 000,00 ? с БГУ  1 673 466,76 ? с БГИ 8 367 333,80 ?                             ЗА 3 ГОДА ПО 223 ФЗ заключено 11 шт. с объемом НМЦ 164 969 889,00 ? за 1 ГОД ПО 223ФЗ заключено 2  15 044 000,00 ?</t>
  </si>
  <si>
    <t>2 177</t>
  </si>
  <si>
    <t>10.51.51 Молоко и сливки, сгущенные или с добавками сахара или других подслащивающих веществ, не сухие</t>
  </si>
  <si>
    <t>46.71 Услуги по оптовой торговле твердым, жидким и газообразным топливом и связанными продуктами
19.20.21.321 Топливо дизельное зимнее вне классов
19.20.21.324 Топливо дизельное зимнее экологического класса К4
19.20.21.100 Бензин автомобильный
19.20.21.310 Топливо дизельное летнее
46.71.11.000 Услуги по оптовой торговле твердым топливом
19.20.21.125 Бензин автомобильный с октановым числом более 92, но не более 95 по исследовательскому методу экологического класса К5
19.20.31.110 Пропан сжиженный
19.20.21.120 Бензин автомобильный с октановым числом более 92, но не более 95 по исследовательскому методу
19.20.21.135 Бензин автомобильный с октановым числом более 95, но не более 98 по исследовательскому методу экологического класса К5 ****</t>
  </si>
  <si>
    <t>ЗА 3 ГОДА ПО 223 ФЗ заключено 6 шт. с объемом НМЦ 52 296 750,00 ?</t>
  </si>
  <si>
    <t>"223 за 3 года", ".", "fk1", "ПОС на 01.02.2023", "корп 2",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"поставщики маркер", "44 за 3 года"</t>
  </si>
  <si>
    <t>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29.10.4 Средства автотранспортные грузовые
29.10.41.112 Автомобили грузовые с дизельным двигателем, имеющие технически допустимую максимальную массу свыше 3,5 т, но не более 12 т
29.10.59 Средства автотранспортные специального назначения, не включенные в другие группировки
29.10.59.130 Средства транспортные для коммунального хозяйства и содержания дорог
29.10 Средства автотранспортные
29.20.23.120 Прицепы-цистерны и полуприцепы-цистерны для перевозки нефтепродуктов, воды и прочих жидкостей
45.19.21.000 Услуги по розничной торговле грузовыми автомобилями, седельными тягачами, прицепами, полуприцепами и автобусами в специализированных магазинах
29.32.30.390 Части и принадлежности для автотранспортных средств прочие, не включенные в другие группировки ****</t>
  </si>
  <si>
    <t>За весь период компания заключила  8 контрактов на сумму  844 419 456,13 ? За весь период заходили в конкурсы  10 раз на общую сумму обеспеченных контрактов с НМЦ 1 254 932 057,95 ? с БГУ  61 382 714,53 ? с БГИ 389 492 332,14 ? За 3 ГОДА по 44ФЗ заключено 45 шт. с объемом НМЦ  474 037 530,06 ? с БГИ 43 857 988,86 ? с БГГО 12 618 461,63 ? с авансированием до 6 984 441,60 ? с комиссией банку 208 383,48 ? с кв 1 812,94 ?               ЗА 3 ГОДА ПО 223 ФЗ заключено 14 шт. с объемом НМЦ 105 321 499,99 ? за 1 ГОД ПО 223ФЗ заключено 1  20 044 166,68 ?</t>
  </si>
  <si>
    <t>10.61.4 Отруби, высевки и прочие отходы от обработки зерновых культур
10.61.21.113 Мука пшеничная хлебопекарная высшего сорта
10.61 Продукция мукомольно-крупяного производства
10.61.22.112 Мука ржаная обдирная
10.61.3 Крупа, мука грубого помола, гранулы и прочие продукты из зерновых культур
10.61.21.114 Мука пшеничная хлебопекарная первого сорта
10.61.21.115 Мука пшеничная хлебопекарная второго сорта</t>
  </si>
  <si>
    <t>ЗА 1 ГОД по 44ФЗ заключено 4 шт. c объемом НМЦ 36 821 800,00 ? с БГИ 4 160 420,00 ? с БГГО 0,00 ? с авансированием до  0,00 ? с комиссией банку  62 157,01 ? с кв 540,77 ?</t>
  </si>
  <si>
    <t>Заказчик разыгравший 4 конкурсов на сумму  607 519 073,08 ?</t>
  </si>
  <si>
    <t>За 3 года по 223ФЗ заключено  8 шт контрактов на сумму 43 331 497,48 ?</t>
  </si>
  <si>
    <t>19.20.21.341 Топливо дизельное межсезонное вне классов
19.20.21.100 Бензин автомобильный
19.20.21.125 Бензин автомобильный с октановым числом более 92, но не более 95 по исследовательскому методу экологического класса К5
19.20.21.315 Топливо дизельное летнее экологического класса К5
19.20.21.300 Топливо дизельное
19.20.21.311 Топливо дизельное летнее вне классов</t>
  </si>
  <si>
    <t>"223 за 3 года",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"Участники клиринга", "поставщики маркер", "44 за 3 года"</t>
  </si>
  <si>
    <t>46.35.1 Услуги по оптовой торговле табачными изделиями
12 Изделия табачные
45 Услуги по оптовой и розничной торговле и услуги по ремонту автотранспортных средств и мотоциклов
12.00.11.130 Сигареты</t>
  </si>
  <si>
    <t>За весь период компания заключила  3 контрактов на сумму  1 747 710 949,00 ?</t>
  </si>
  <si>
    <t>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10.11.20.110 Субпродукты пищевые крупного рогатого скота парные, остывшие или охлажденные
10.11.3 Мясо и пищевые субпродукты замороженные, в том числе для детского питания
10.11.31.140 Субпродукты пищевые крупного рогатого скота замороженные
10.12.20.110 Мясо кур, в том числе цыплят (включая цыплят-бройлеров) замороженное
10.12.20.120 Мясо индеек, в том числе индюшат замороженное
10.11.11.110 Говядина парная, остывшая или охлажденная
10.11.11.120 Телятина парная, остывшая или охлажденная ****</t>
  </si>
  <si>
    <t>за 1 ГОД ПО 223ФЗ заключено 2  4 786 284,50 ?</t>
  </si>
  <si>
    <t>"223 за 3 года", ".", "fk1", "Кредитный портфель_01.11", "06.2022_ФинХД", "все клиенты с выручкой от 1,8 млрд до бесконечности", "рейтинг заказчиков маркер", "производители", "это заказчик", "поставщики маркер", "44 за 3 года"</t>
  </si>
  <si>
    <t>43.22.12.120 Работы по установке и техническому обслуживанию систем управления центральным отоплением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35.12.10.120 Услуги по технологическому присоединению к распределительным электросетям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43.99.90.110 Работы строительные по строительству промышленных дымовых труб ****</t>
  </si>
  <si>
    <t>2 966</t>
  </si>
  <si>
    <t>За весь период контрактов 6 шт. на общую сумму НМЦ 374 161 825,44 ?</t>
  </si>
  <si>
    <t>28.92.61.110 Комплектующие (запасные части) бурильных и проходческих машин, не имеющие самостоятельных группировок</t>
  </si>
  <si>
    <t>За 3 года по 223ФЗ заключено  1 шт контрактов на сумму 19 498 547,49 ?</t>
  </si>
  <si>
    <t>"223 за 3 года", ".", "fk1", "ПОС на 01.02.2023", "ПОС на 03.04.2023", "Пункт 3.1 09.01.2023", "Обороты по клиентам по кварталам (2022г)", "это заказчик", "поставщики маркер"</t>
  </si>
  <si>
    <t>21.20.23.110 Реагенты диагностические
21.20.10.118 Препараты, способствующие пищеварению, включая ферментные препараты
21.20.10.133 Препараты антианемические
21.20.10.191 Препараты антибактериальные для системного использования
21.20.10.213 Иммуномодуляторы
32.50.13.190 Инструменты и приспособления, применяемые в медицинских целях, прочие, не включенные в другие группировки
32.50.22.190 Протезы органов человека, не включенные в другие группировки
21.20.23.190 Препараты фармацевтические прочие
21.10.51.123 Витамины A и D и их комбинация
21.20.10 Препараты лекарственные ****</t>
  </si>
  <si>
    <t>За весь период заходили в конкурсы  1 раз на общую сумму обеспеченных контрактов с НМЦ 66 261 555,36 ? с БГУ  665 945,28 ? с БГИ 3 329 726,40 ? За 3 ГОДА по 44ФЗ заключено 124 шт. с объемом НМЦ  563 671 210,55 ? с БГИ 45 154 382,12 ? с БГГО 3 582 816,77 ? с авансированием до 0,00 ? с комиссией банку 344 902,33 ? с кв 3 000,65 ? ЗА 1 ГОД по 44ФЗ заключено 32 шт. c объемом НМЦ 59 942 719,00 ? с БГИ 6 728 639,55 ? с БГГО 0,00 ? с авансированием до  0,00 ? с комиссией банку  124 749,89 ? с кв 1 085,32 ?</t>
  </si>
  <si>
    <t>"223 за 3 года", ".", "рейтинг поставщиков в маркере по бг", "Пункт 3.1 09.01.2023", "все клиенты с выручкой от 1,8 млрд до бесконечности", "рейтинг по нмц маркер", "поставщики маркер", "44 за 3 года"</t>
  </si>
  <si>
    <t>"223 за 3 года", ".", "ушедший портфель", "инн Ленинградка",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"Участники клиринга",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</si>
  <si>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77.39.19.119 Услуги по аренде и лизингу прочих машин и оборудования научного и промышленного назначения
19.20.21.100 Бензин автомобильный
77.1 Услуги по аренде и лизингу автотранспортных средств
49.39.13 Услуги по специальным перевозкам (для собственных нужд) пассажиров автобусами прочие
49.41.2 Услуги по аренде грузовых транспортных средств с водителем
49.42 Услуги по переезду
42.91.20.150 Работы подводные (проводимые водолазами, аквалангистами или с использованием прочих технологий) и различные гидротехнические работы
74.9 Услуги профессиональные, научные и технические, прочие, не включенные в другие группировки
49.32.12.000 Услуги по аренде легковых автомобилей с водителем ****</t>
  </si>
  <si>
    <t>2 141</t>
  </si>
  <si>
    <t>За весь период контрактов 17 шт. на общую сумму НМЦ 5 667 277 142,83 ?</t>
  </si>
  <si>
    <t>50.40.1 Услуги по перевозке грузов внутренним водным транспортом</t>
  </si>
  <si>
    <t>За весь период заходили в конкурсы  3 раз на общую сумму обеспеченных контрактов с НМЦ 97 348 242,76 ? с БГУ  7 371 443,80 ? с БГИ 26 641 799,58 ?</t>
  </si>
  <si>
    <t>Сообщение кредитора о намерении обратиться в суд с заявлением о банкротстве от 10.02.2020</t>
  </si>
  <si>
    <t>"поставщики маркер", ".", "рейтинг поставщиков в маркере по бг", "рейтинг по нмц маркер", "crm управления", "в crm за Микульшиным", "в crm за Адеевым"</t>
  </si>
  <si>
    <t>24.10.52.000 Прокат листовой из прочих легированных сталей, шириной не менее 600 мм, плакированный, с гальваническим или иным покрытием
46.47.11.000 Услуги по оптовой торговле бытовой мебелью</t>
  </si>
  <si>
    <t>ЗА 3 ГОДА ПО 223 ФЗ заключено 2 шт. с объемом НМЦ 35 799 400,00 ? за 1 ГОД ПО 223ФЗ заключено 1  33 824 000,00 ?</t>
  </si>
  <si>
    <t>За весь период контрактов 1 шт. на общую сумму НМЦ 1 000 000 000,00 ?</t>
  </si>
  <si>
    <t>19.2 Нефтепродукты
19.20.21.124 Бензин автомобильный с октановым числом более 92, но не более 95 по исследовательскому методу экологического класса К4
46.71 Услуги по оптовой торговле твердым, жидким и газообразным топливом и связанными продуктами
19.20.21 Топливо моторное, включая автомобильный и авиационный бензин
19.20.21.100 Бензин автомобильный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19.20.31.110 Пропан сжиженный
19.20.21.120 Бензин автомобильный с октановым числом более 92, но не более 95 по исследовательскому методу
19.20.21.135 Бензин автомобильный с октановым числом более 95, но не более 98 по исследовательскому методу экологического класса К5 ****</t>
  </si>
  <si>
    <t>За весь период заходили в конкурсы  6 раз на общую сумму обеспеченных контрактов с НМЦ 681 911 249,87 ? с БГУ  32 895 818,02 ? с БГИ 71 929 636,76 ?</t>
  </si>
  <si>
    <t>"223 за 3 года", ".", "рейтинг поставщиков в маркере по бг", "fk1", "ПОС на 01.02.2023",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 "рейтинг заказчиков маркер", "рейтинг по нмц маркер", "поставщики маркер"</t>
  </si>
  <si>
    <t>27.32.13.130 Провода и шнуры силовые
27.32.13.111 Кабели силовые с медной жилой на напряжение до 1 кВ</t>
  </si>
  <si>
    <t>клиенты до 18 млн 21г</t>
  </si>
  <si>
    <t>"223 за 3 года", ".", "клиенты до 18млн 22.29.21 ", "Обороты по клиентам по кварталам (2022г)", "поставщики маркер"</t>
  </si>
  <si>
    <t>33.12.15 Услуги по ремонту и техническому обслуживанию подъемно-транспортного оборудования
28.22.16 Лифты, скиповые подъемники, эскалаторы и движущиеся пешеходные дорожки
28.22.19.165 Ограничители скорости лифтов
28.99.39.190 Оборудование специального назначения прочее, не включенное в другие группировки
28.99.52.000 Части прочего оборудования специального назначения
43.29.19.110 Работы по монтажу лифтов, эскалаторов и движущихся тротуаров, требующие специальной квалификации, включая ремонт и техническое обслуживание
33.14.1 Услуги по ремонту и техническому обслуживанию электрического оборудования
46.69.1 Услуги по оптовой торговле прочими машинами и оборудованием
52.23.11.000 Услуги аэропортов, кроме обработки грузов</t>
  </si>
  <si>
    <t>За весь период компания заключила  4 контрактов на сумму  912 530 000,00 ?                                     ЗА 3 ГОДА ПО 223 ФЗ заключено 3 шт. с объемом НМЦ 33 469 599,88 ?</t>
  </si>
  <si>
    <t>За 3 ГОДА по 44ФЗ заключено 4 шт. с объемом НМЦ  123 471 595,16 ? с БГИ 37 041 478,54 ? с БГГО 0,00 ? с авансированием до 0,00 ? с комиссией банку 835 712,77 ? с кв 7 270,70 ? ЗА 1 ГОД по 44ФЗ заключено 3 шт. c объемом НМЦ 85 717 995,16 ? с БГИ 25 715 398,54 ? с БГГО 0,00 ? с авансированием до  0,00 ? с комиссией банку  580 643,25 ? с кв 5 051,60 ?</t>
  </si>
  <si>
    <t>"44 за 3 года", ".", "fk1", "корп 1", "06.2022_ФинХД", "Ссуды ФБ 29.04.2022 банкр.", "АИЛ портфель", "все клиенты с выручкой от 1,8 млрд до бесконечности", "филиал бизнес 22.11", "клиенты от 100 млн", "Обороты по клиентам по кварталам (2022г)", "Участники клиринга", "44 фз с с БГ от 10 млн"</t>
  </si>
  <si>
    <t>20.42.16.110 Шампуни
21.20.21.132 Вакцины бактериальные инактивированные профилактические, применяемые в ветеринарии
21.20.21.133 Вакцины бактериальные профилактические ассоциированные, применяемые в ветеринарии
21.20.23.199 Средства нелечебные прочие
13.99 Изделия текстильные прочие, не включенные в другие группировки
20.20.14.000 Средства дезинфекционные
20.41.31.210 Вещества органические поверхностно-активные и средства, используемые в качестве мыла
21.10.54.190 Антибиотики и их производные прочие
21.20.10.118 Препараты, способствующие пищеварению, включая ферментные препараты
21.20.10.133 Препараты антианемические ****</t>
  </si>
  <si>
    <t>ЗА 3 ГОДА ПО 223 ФЗ заключено 43 шт. с объемом НМЦ 24 522 601,20 ?</t>
  </si>
  <si>
    <t>19.20.27.111 Топливо печное бытовое
19.20.42 Кокс нефтяной, битум нефтяной и прочие остатки нефтепереработки
46.1 Услуги по оптовой торговле за вознаграждение или на договорной основе
19.20.42.121 Битумы нефтяные дорожные
19.20.42.129 Битумы нефтяные прочие
19.20.21.315 Топливо дизельное летнее экологического класса К5
19.20.21.300 Топливо дизельное
23.99.12.190 Изделия из асфальта или аналогичных материалов прочие, не включенные в другие группировки
19.20.21.325 Топливо дизельное зимнее экологического класса К5
19.20.28.100 Мазут ****</t>
  </si>
  <si>
    <t>За весь период компания заключила  18 контрактов на сумму  972 670 232,78 ? За весь период заходили в конкурсы  31 раз на общую сумму обеспеченных контрактов с НМЦ 3 089 548 513,60 ? с БГУ  164 532 192,00 ? с БГИ 941 860 502,00 ? За 3 ГОДА по 44ФЗ заключено 6 шт. с объемом НМЦ  810 880 500,00 ? с БГИ 223 868 575,00 ? с БГГО 113 259 000,00 ? с авансированием до 0,00 ? с комиссией банку 2 689 184,29 ? с кв 23 395,90 ?               ЗА 3 ГОДА ПО 223 ФЗ заключено 5 шт. с объемом НМЦ 57 291 495,00 ? за 1 ГОД ПО 223ФЗ заключено 4  61 622 330,00 ?</t>
  </si>
  <si>
    <t>"223 за 3 года", ".", "рейтинг поставщиков в маркере по бг",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"223 фз контракты 20+", "производители", "рейтинг по нмц маркер", "44 за 3 года"</t>
  </si>
  <si>
    <t>01.19.31.190 Семена прочих кормовых культур
01.11.2 Кукуруза
10.62.11.162 Глютен кукурузный
46.21.19 Услуги по оптовой торговле прочим сельскохозяйственным сырьем, не включенным в другие группировки
46.21 Услуги по оптовой торговле зерном, необработанным табаком, семенами и кормами для животных
10.91.10.290 Корма для сельскохозяйственных животных прочие
01.11.20.131 Зерно зубовидной кукурузы и кукурузы прочих сортов
10.62.13.155 Патока высокоосахаренная
10.41.41.123 Шрот подсолнечный тостированный, полученный при экстракции подсолнечного масла
10.20.22.120 Мука рыбная тонкого и грубого помола и гранулы, пригодные для употребления в пищу</t>
  </si>
  <si>
    <t>за 1 ГОД ПО 223ФЗ заключено 1  6 020 045,00 ?</t>
  </si>
  <si>
    <t>63.99 Услуги информационные прочие, не включенные в другие группировки
63.99.10.190 Услуги информационные автоматизированные компьютерные прочие, не включенные в другие группировки
62.09.20.190 Услуги по технической поддержке в области информационных технологий прочие, не включенные в другие группировки
46.18.1 Услуги по оптовой торговле прочими отдельными товарами за вознаграждение или на договорной основе
52.21.19 Услуги, связанные с железнодорожным транспортом, прочие
62.09.20 Услуги в области информационных технологий и компьютерные услуги прочие, не включенные в другие группировки
52.23.11.000 Услуги аэропортов, кроме обработки грузов
63.11.1 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
63.11.11.000 Услуги по обработке данных</t>
  </si>
  <si>
    <t>"223 за 3 года", ".", "fk1",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"поставщики маркер"</t>
  </si>
  <si>
    <t>21.20.21.132 Вакцины бактериальные инактивированные профилактические, применяемые в ветеринарии
21 Средства лекарственные и материалы, применяемые в медицинских целях
21.20.2 Препараты лекарственные прочие и материалы, применяемые в медицинских целях
21.20.10 Препараты лекарственные
21.20.21.139 Вакцины прочие, применяемые в ветеринарии
21.10 Субстанции фармацевтические
21.20 Препараты лекарственные и материалы, применяемые в медицинских целях
21.20.21.131 Вакцины бактериальные живые профилактические, применяемые в ветеринарии
75.00 Услуги ветеринарные
75.00.12 Услуги ветеринарные для сельскохозяйственных животных ****</t>
  </si>
  <si>
    <t>ЗА 3 ГОДА ПО 223 ФЗ заключено 26 шт. с объемом НМЦ 66 716 712,61 ?</t>
  </si>
  <si>
    <t>За весь период компания заключила  1 контрактов на сумму  7 920 000 000,00 ?                                     ЗА 3 ГОДА ПО 223 ФЗ заключено 1 шт. с объемом НМЦ 6 748 800 000,00 ? за 1 ГОД ПО 223ФЗ заключено 2  13 497 600 000,00 ?</t>
  </si>
  <si>
    <t>"223 за 3 года", ".", "Конкурсы 100+ (Восстановленный)", "223 фз контракты 20+", "рейтинг по нмц маркер", "поставщики маркер"</t>
  </si>
  <si>
    <t>49.20 Услуги железнодорожного транспорта по перевозке грузов
49.41.11.000 Услуги по перевозке автомобильным транспортом грузов в автофургонах-рефрижераторах
49.41.14.000 Услуги по перевозке автомобильным транспортом грузов в контейнерах
66.19.32.000 Услуги по хранению</t>
  </si>
  <si>
    <t>24.10.12.310 Ферросиликомарганец
24.10.12 Ферросплавы</t>
  </si>
  <si>
    <t>За весь период компания заключила  9 контрактов на сумму  584 228 572,73 ?</t>
  </si>
  <si>
    <t>"44 за 3 года", ".", "fk1", "клиенты с в от100млн 09.21", "все клиенты с выручкой от 1,8 млрд до бесконечности", "рейтинг по нмц маркер", "это заказчик", "поставщики маркер"</t>
  </si>
  <si>
    <t>25.29.11.900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прочие
28.99.39.190 Оборудование специального назначения прочее, не включенное в другие группировки
24.20.1 Трубы, профили пустотелые бесшовные и их фитинги стальные
25.11.22.190 Опоры и мачты решетчатые из черных металлов прочие, не включенные в другие группировки
25.29.11.910 Резервуары, цистерны, баки и аналогичные емкости (кроме емкостей для сжатых или сжиженных газов) из черных металлов и алюминия, вместимостью более 300 л, без механического или теплотехнического оборудования прочие
25.29.11.100 Резервуары и газгольдеры
28.13.3 Части насосов и компрессоров</t>
  </si>
  <si>
    <t>Заказчик разыгравший 24 конкурсов на сумму  4 298 455 882,14 ?</t>
  </si>
  <si>
    <t>Заказчик разыгравший 9 конкурсов на сумму  1 512 278 720,00 ?</t>
  </si>
  <si>
    <t>Сообщения о принятии решения о реорганизации от 07.04.2022</t>
  </si>
  <si>
    <t>35.30.11.111 Энергия тепловая, отпущенная тепловыми электроцентралями (ТЭЦ)</t>
  </si>
  <si>
    <t>1 077</t>
  </si>
  <si>
    <t>Заказчик разыгравший 32 конкурсов на сумму  3 847 894 092,40 ?</t>
  </si>
  <si>
    <t>28.99.39.190 Оборудование специального назначения прочее, не включенное в другие группировки
28.13.31.110 Комплектующие (запасные части) насосов, не имеющие самостоятельных группировок</t>
  </si>
  <si>
    <t>За весь период компания заключила  11 контрактов на сумму  47 686 455 167,80 ?</t>
  </si>
  <si>
    <t>Сообщения о принятии решения о реорганизации от 20.02.2023</t>
  </si>
  <si>
    <t>52.24.19 Услуги по обработке грузов прочие
77.3 Услуги по аренде и лизингу прочих машин, оборудования и материальных средств</t>
  </si>
  <si>
    <t>За весь период компания заключила  3 контрактов на сумму  5 536 949 040,00 ?</t>
  </si>
  <si>
    <t>Сообщение кредитора о намерении обратиться в суд с заявлением о банкротстве от 29.12.2022</t>
  </si>
  <si>
    <t>"44 за 3 года", ".", "райф", "ушедшие", "все клиенты с выручкой от 1,8 млрд до бесконечности", "рейтинг заказчиков маркер", "рейтинг по нмц маркер", "это заказчик", "поставщики маркер"</t>
  </si>
  <si>
    <t>19.20.25 Топливо реактивное керосинового типа
19.20.25.112 Топливо для реактивных двигателей летательных аппаратов с дозвуковой скоростью полета марки ТС-1</t>
  </si>
  <si>
    <t>За весь период компания заключила  2 контрактов на сумму  1 500 063 163,28 ?</t>
  </si>
  <si>
    <t>19.20.21.341 Топливо дизельное межсезонное вне классов
19.20.21.124 Бензин автомобильный с октановым числом более 92, но не более 95 по исследовательскому методу экологического класса К4
19.20.21.321 Топливо дизельное зимнее вне классов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19.20.21.134 Бензин автомобильный с октановым числом более 95, но не более 98 по исследовательскому методу экологического класса К4 ****</t>
  </si>
  <si>
    <t>За весь период компания заключила  44 контрактов на сумму  48 088 339 247,05 ? За весь период заходили в конкурсы  34 раз на общую сумму обеспеченных контрактов с НМЦ 24 690 693 581,04 ? с БГУ  925 073 884,86 ? с БГИ 2 218 534 151,79 ? За 3 ГОДА по 44ФЗ заключено 421 шт. с объемом НМЦ  13 370 474 693,37 ? с БГИ 1 324 870 686,47 ? с БГГО 783 572,60 ? с авансированием до 294 450,22 ? с комиссией банку 50 372 646,75 ? с кв 438 242,03 ? ЗА 1 ГОД по 44ФЗ заключено 151 шт. c объемом НМЦ 11 091 542 205,03 ? с БГИ 1 101 582 107,11 ? с БГГО 26 230,00 ? с авансированием до  89 993,58 ? с комиссией банку  47 015 948,81 ? с кв 409 038,75 ? ЗА 3 ГОДА ПО 223 ФЗ заключено 75 шт. с объемом НМЦ 20 399 657 554,40 ? за 1 ГОД ПО 223ФЗ заключено 30  20 234 856 067,77 ?</t>
  </si>
  <si>
    <t>"223 за 3 года", ".", "рейтинг поставщиков в маркере по бг", "Конкурсы 100+ (Восстановленный)", "все клиенты с выручкой от 1,8 млрд до бесконечности", "Участники клиринга", "223 фз контракты 20+", "44 фз с с БГ от 10 млн", "производители", "рейтинг по нмц маркер", "поставщики маркер", "44 за 3 года"</t>
  </si>
  <si>
    <t>За весь период компания заключила  2 контрактов на сумму  25 246 844 910,68 ?</t>
  </si>
  <si>
    <t>1 227</t>
  </si>
  <si>
    <t>71.12.3 Услуги в области геологических, геофизических и взаимосвязанных изыскательных работ и консультативные услуги
43.99.90.190 Работы строительные специализированные прочие, не включенные в другие группировки
71.12.32.000 Услуги геофизические
09.10.12.190 Услуги, связанные с добычей нефти, газового конденсата и горючего природного газа, прочие
82.99.19.000 Услуги вспомогательные, связанные с предпринимательской деятельностью, прочие, не включенные в другие группировки
77.39.19.129 Услуги по аренде и лизингу прочих материальных средств, не включенных в другие группировки
43.13.10.120 Работы по бурению разведочных скважин на нефть и газ
09.10.11.190 Услуги по бурению, связанные с добычей нефти и горючего природного газа, не включенные в другие группировки</t>
  </si>
  <si>
    <t>За весь период компания заключила  60 контрактов на сумму  73 336 674 667,78 ? За весь период заходили в конкурсы  9 раз на общую сумму обеспеченных контрактов с НМЦ 5 552 496 717,26 ? с БГУ  133 500 168,83 ? с БГИ 2 075 255 064,90 ? За 3 ГОДА по 44ФЗ заключено 6 шт. с объемом НМЦ  3 848 749 410,20 ? с БГИ 1 152 957 146,41 ? с БГГО 28 265,71 ? с авансированием до 1 152 928 880,70 ? с комиссией банку 27 957 239,13 ? с кв 243 227,98 ? ЗА 1 ГОД по 44ФЗ заключено 2 шт. c объемом НМЦ 2 440 000 000,00 ? с БГИ 732 000 000,00 ? с БГГО 0,00 ? с авансированием до  732 000 000,00 ? с комиссией банку  27 956 876,71 ? с кв 243 224,83 ?</t>
  </si>
  <si>
    <t>46.71.12 Услуги по оптовой торговле моторным топливом, включая авиационный бензин</t>
  </si>
  <si>
    <t>27.11.25.000 Электродвигатели переменного тока, многофазные, выходной мощностью более 75 кВт</t>
  </si>
  <si>
    <t>Заказчик разыгравший 178 конкурсов на сумму  63 820 489 343,51 ?</t>
  </si>
  <si>
    <t>"поставщики маркер", ".", "беники", "все клиенты с выручкой от 1,8 млрд до бесконечности", "рейтинг заказчиков маркер", "производители", "рейтинг по нмц маркер"</t>
  </si>
  <si>
    <t>19.20.28.100 Мазут</t>
  </si>
  <si>
    <t>За весь период контрактов 9 шт. на общую сумму НМЦ 3 755 585 650,24 ?</t>
  </si>
  <si>
    <t>"223 за 3 года", ".", "fk1", "223 фз контракты 20+", "рейтинг заказчиков маркер", "рейтинг по нмц маркер", "это заказчик", "поставщики маркер"</t>
  </si>
  <si>
    <t>За весь период компания заключила  25 контрактов на сумму  2 771 953 845,27 ? За весь период заходили в конкурсы  1 раз на общую сумму обеспеченных контрактов с НМЦ 487 879 078,35 ? с БГУ  0,00 ? с БГИ 146 363 723,51 ?                                 за 1 ГОД ПО 223ФЗ заключено 4  12 296 867,84 ?</t>
  </si>
  <si>
    <t>За весь период компания заключила  6 контрактов на сумму  1 991 124 405,13 ?                                     ЗА 3 ГОДА ПО 223 ФЗ заключено 11 шт. с объемом НМЦ 50 617 958,47 ? за 1 ГОД ПО 223ФЗ заключено 3  12 803 600,00 ?</t>
  </si>
  <si>
    <t>"223 за 3 года", ".", "fk1", "все клиенты с выручкой от 1,8 млрд до бесконечности", "рейтинг заказчиков маркер", "рейтинг по нмц маркер", "это заказчик", "поставщики маркер", "44 за 3 года"</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</si>
  <si>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35.22.10.110 Услуги по распределению и снабжению газовым топливом всех видов по системам распределительных трубопроводов
35.11.10 Электроэнергия
35.11.10.121 Электроэнергия, произведенная блок-станциями конденсационных электростанций (КЭС)
35.11.10.140 Электроэнергия от возобновляемых источников энергии ****</t>
  </si>
  <si>
    <t>За весь период компания заключила  61 контрактов на сумму  4 258 115 853,99 ?                                     ЗА 3 ГОДА ПО 223 ФЗ заключено 39 шт. с объемом НМЦ 225 742 080,78 ? за 1 ГОД ПО 223ФЗ заключено 12  115 142 315,56 ?</t>
  </si>
  <si>
    <t>"223 за 3 года", ".", "fk1",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t>
  </si>
  <si>
    <t>35.11.10.112 Электроэнергия, произведенная теплоэлектроцентралями (ТЭЦ)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35.11.10.114 Электроэнергия, произведенная дизельными электростанциями (ДЭС) общего назначения
35.11.10.115 Электроэнергия, произведенная атомными электростанциями (АЭС) общего назначения ****</t>
  </si>
  <si>
    <t>ЗА 3 ГОДА ПО 223 ФЗ заключено 17 шт. с объемом НМЦ 145 548 860,00 ? за 1 ГОД ПО 223ФЗ заключено 8  114 016 420,00 ?</t>
  </si>
  <si>
    <t>За весь период контрактов 19 шт. на общую сумму НМЦ 4 402 763 127,06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</si>
  <si>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 Электроэнергия
35.11.10.140 Электроэнергия от возобновляемых источников энергии
35.12.10.120 Услуги по технологическому присоединению к распределительным электросетям
35.13.10.000 Услуги по распределению электроэнергии ****</t>
  </si>
  <si>
    <t>За весь период компания заключила  6 контрактов на сумму  368 116 648,00 ?                                     ЗА 3 ГОДА ПО 223 ФЗ заключено 35 шт. с объемом НМЦ 96 227 069,64 ? за 1 ГОД ПО 223ФЗ заключено 12  52 982 471,21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</si>
  <si>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35.11.10 Электроэнергия
35.11.10.121 Электроэнергия, произведенная блок-станциями конденсационных электростанций (КЭС)
35.11.10.140 Электроэнергия от возобновляемых источников энергии ****</t>
  </si>
  <si>
    <t>За весь период компания заключила  31 контрактов на сумму  1 948 842 655,83 ?                                     ЗА 3 ГОДА ПО 223 ФЗ заключено 51 шт. с объемом НМЦ 180 181 803,10 ? за 1 ГОД ПО 223ФЗ заключено 11  52 664 842,00 ?</t>
  </si>
  <si>
    <t>Сообщения о принятии решения о реорганизации от 27.02.2013</t>
  </si>
  <si>
    <t>"223 за 3 года", ".", "fk1", "ИНН_договоры_октябрь_", "все клиенты с выручкой от 1,8 млрд до бесконечности", "223 фз контракты 20+", "рейтинг заказчиков маркер", "рейтинг по нмц маркер", "это заказчик", "поставщики маркер"</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</si>
  <si>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35.30.12.110 Услуги по приготовлению воды на нужды горячего водоснабжения
35.11.10 Электроэнергия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35.11.10.114 Электроэнергия, произведенная дизельными электростанциями (ДЭС) общего назначения ****</t>
  </si>
  <si>
    <t>За весь период контрактов 14 шт. на общую сумму НМЦ 888 248 456,56 ?</t>
  </si>
  <si>
    <t>"223 за 3 года", ".", "Конкурсы 100+ (Восстановленный)", "fk1",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</si>
  <si>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35.11.10.143 Электроэнергия, произведенная геотермальными электростанциями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35.11.10 Электроэнергия ****</t>
  </si>
  <si>
    <t>За весь период контрактов 2 шт. на общую сумму НМЦ 400 400 000,00 ?</t>
  </si>
  <si>
    <t>35.11.10.112 Электроэнергия, произведенная теплоэлектроцентралями (ТЭЦ) общего назначения
35.13.10.000 Услуги по распределению электроэнергии
35.14.10.000 Услуги по торговле электроэнергией
35.12.10.110 Услуги по передаче электроэнергии</t>
  </si>
  <si>
    <t>За весь период компания заключила  1 контрактов на сумму  578 200 000,00 ?</t>
  </si>
  <si>
    <t>"поставщики маркер", ".", "fk1", "Кредитный портфель_01.11", "06.2022_ФинХД", "все клиенты с выручкой от 1,8 млрд до бесконечности", "рейтинг по нмц маркер", "это заказчик"</t>
  </si>
  <si>
    <t>За весь период компания заключила  7 контрактов на сумму  9 837 281 439,67 ?</t>
  </si>
  <si>
    <t>"рейтинг по нмц маркер", ".", "беники", "рейтинг заказчиков маркер"</t>
  </si>
  <si>
    <t>1 476</t>
  </si>
  <si>
    <t>За весь период контрактов 1 шт. на общую сумму НМЦ 1 779 866 000,00 ?</t>
  </si>
  <si>
    <t>На 07.04.2023 11:23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13.01.2023, Сообщение кредитора о намерении обратиться в суд с заявлением о банкротстве от 07.04.2023</t>
  </si>
  <si>
    <t>"это заказчик", ".", "рейтинг поставщиков в маркере по бг", "все клиенты с выручкой от 1,8 млрд до бесконечности", "рейтинг заказчиков маркер", "рейтинг по нмц маркер"</t>
  </si>
  <si>
    <t>10.41.54.000 Масло подсолнечное и его фракции рафинированные, но не подвергнутые химической модификации</t>
  </si>
  <si>
    <t>1 974</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</si>
  <si>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37.00.11.150 Услуги по техническому обслуживанию и очистке систем водоотведения и дренажных труб, включая арматуру систем водоотведения
42.91.20.120 Работы строительные по строительству плотин и дамб, включая ремонт
43.99.70.000 Работы по сборке и монтажу сборных конструкций
43.99.90.190 Работы строительные специализированные прочие, не включенные в другие группировки
43.29.11.140 Работы по противопожарной защите
52.21.22.000 Услуги по эксплуатации автомагистралей
42.13.10.110 Мосты и путепроводы из любых материалов для всех типов сухопутного транспорта и для пешеходов
42.99.12.124 Территории парковые и парки для отдыха ****</t>
  </si>
  <si>
    <t>За весь период контрактов 248 шт. на общую сумму НМЦ 138 439 194 672,25 ?</t>
  </si>
  <si>
    <t>"223 за 3 года", ".", "рейтинг поставщиков в маркере по бг", "ГРАНДИОЗНЫЙ ПРОЕКТ", "Конкурсы 100+ (Восстановленный)", "все клиенты с выручкой от 1,8 млрд до бесконечности", "44 фз с с БГ от 10 млн", "рейтинг заказчиков маркер", "производители", "рейтинг по нмц маркер", "это заказчик", "поставщики маркер", "44 за 3 года"</t>
  </si>
  <si>
    <t>5 910</t>
  </si>
  <si>
    <t>Заказчик разыгравший 6 конкурсов на сумму  2 682 700 000,00 ?</t>
  </si>
  <si>
    <t>Сообщения о принятии решения о реорганизации от 19.07.2021</t>
  </si>
  <si>
    <t>1 041</t>
  </si>
  <si>
    <t>10.51.52.140 Кефир
10.51.11.141 Молоко питьевое коровье стерилизованное
10.51.40.131 Сыры твердые без вкусовых наполнителей
10.51.52.200 Сметана
10.51.11.110 Молоко питьевое пастеризованное
10.51.40.300 Творог
10.51.40.330 Творог зерненый без вкусовых компонентов
10.51.52.212 Сметана от 18,0 % до 22,0 % жирности
10.89.99.000 Услуги по производству прочих пищевых продуктов, не включенных в другие группировки, отдельные, выполняемые субподрядчиком
10.51.30.111 Масло сладко-сливочное ****</t>
  </si>
  <si>
    <t>За 3 ГОДА по 44ФЗ заключено 63 шт. с объемом НМЦ  453 342 998,57 ? с БГИ 21 824 112,82 ? с БГГО 568 539,00 ? с авансированием до 0,00 ? с комиссией банку 318 151,84 ? с кв 2 767,92 ? ЗА 1 ГОД по 44ФЗ заключено 25 шт. c объемом НМЦ 184 351 146,08 ? с БГИ 9 217 557,50 ? с БГГО 15 879,00 ? с авансированием до  0,00 ? с комиссией банку  174 647,80 ? с кв 1 519,44 ?</t>
  </si>
  <si>
    <t>Заказчик разыгравший 149 конкурсов на сумму  50 594 485 731,29 ?</t>
  </si>
  <si>
    <t>27.32.14.111 Кабели силовые с медной жилой на напряжение более 1 кВ
27.32.1 Провода и кабели электронные и электрические прочие</t>
  </si>
  <si>
    <t>Сообщения о принятии решения о реорганизации от 03.10.2022</t>
  </si>
  <si>
    <t>51.10.20.000 Услуги по аренде пассажирских воздушных судов с экипажем</t>
  </si>
  <si>
    <t>За весь период контрактов 22 шт. на общую сумму НМЦ 420 210 030 463,39 ?</t>
  </si>
  <si>
    <t>"это заказчик", ".", "беники", "все клиенты с выручкой от 1,8 млрд до бесконечности", "Участники клиринга", "рейтинг заказчиков маркер", "рейтинг по нмц маркер"</t>
  </si>
  <si>
    <t>43.22.12.120 Работы по установке и техническому обслуживанию систем управления центральным отоплением
42.21.22.120 Работы строительные по прокладке местных трубопроводов горячей воды
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35.30.11.130 Энергия тепловая, отпущенная электрокотлами
35.30.12.110 Услуги по приготовлению воды на нужды горячего водоснабжения
36.00.20.120 Услуги по обработке воды для промышленных и прочих нужд
35.12.10.120 Услуги по технологическому присоединению к распределительным электросетям
35.30 Услуги по снабжению паром и кондиционированию воздуха
35.30.11 Пар и горячая вода ****</t>
  </si>
  <si>
    <t>За весь период контрактов 6 шт. на общую сумму НМЦ 397 337 722,20 ?</t>
  </si>
  <si>
    <t>43.21.10.220 Работы по монтажу систем освещения и сигнализации автомобильных дорог, аэропортов и портов
43.22.12.120 Работы по установке и техническому обслуживанию систем управления центральным отоплением
43.22.12.160 Работы по установке приборов учета расхода тепловой энергии
42.21.22.120 Работы строительные по прокладке местных трубопроводов горячей воды
42.22.22.110 Работы строительные по прокладке местных линий электропередачи и связи над землей или под землей
43.99.90.190 Работы строительные специализированные прочие, не включенные в другие группировки
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42.99.12.124 Территории парковые и парки для отдыха ****</t>
  </si>
  <si>
    <t>За весь период компания заключила  15 контрактов на сумму  1 883 147 067,51 ? За весь период заходили в конкурсы  24 раз на общую сумму обеспеченных контрактов с НМЦ 1 457 288 414,07 ? с БГУ  87 353 332,42 ? с БГИ 113 158 276,81 ? За 3 ГОДА по 44ФЗ заключено 10 шт. с объемом НМЦ  753 870 275,07 ? с БГИ 17 698 980,79 ? с БГГО 292 373,54 ? с авансированием до 0,00 ? с комиссией банку 966 387,63 ? с кв 8 407,57 ? ЗА 1 ГОД по 44ФЗ заключено 3 шт. c объемом НМЦ 232 205 580,78 ? с БГИ 5 797 588,12 ? с БГГО 0,00 ? с авансированием до  0,00 ? с комиссией банку  958 052,14 ? с кв 8 335,05 ? ЗА 3 ГОДА ПО 223 ФЗ заключено 11 шт. с объемом НМЦ 45 148 231,60 ?</t>
  </si>
  <si>
    <t>"223 за 3 года", ".", "рейтинг поставщиков в маркере по бг", "ГРАНДИОЗНЫЙ ПРОЕКТ", "рейтинг заказчиков маркер", "рейтинг по нмц маркер", "это заказчик", "44 за 3 года"</t>
  </si>
  <si>
    <t>45.11 Услуги по торговле легковыми автомобилями и грузовыми автомобилями малой грузоподъемности
45.20.11.519 Прочие услуги по техническому обслуживанию и ремонту прочих автотранспортных средств, не включенные в другие группировки
29.10 Средства автотранспортные
29.10.2 Автомобили легковые
29.10.21.000 Средства транспортные с двигателем с искровым зажиганием, с рабочим объемом цилиндров не более 1500 см3, новые
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
29.10.22.000 Средства транспортные с двигателем с искровым зажиганием, с рабочим объемом цилиндров более 1500 см3, новые</t>
  </si>
  <si>
    <t>29.20.21.190 Контейнеры прочие, не включенные в другие в группировки
29.20.23 Прицепы и полуприцепы прочие
35.30.11.120 Энергия тепловая, отпущенная котельными
29.32.30.390 Части и принадлежности для автотранспортных средств прочие, не включенные в другие группировки
08.92.10.119 Торф неагломерированный прочий
29.32.30 Комплектующие и принадлежности для автотранспортных средств, не включенные в другие группировки
08.12.12.140 Щебень
08.12.11.130 Пески строительные
49.41.1 Услуги по грузовым перевозкам автомобильным транспортом
29.20.23.190 Прицепы и полуприцепы прочие, не включенные в другие группировки</t>
  </si>
  <si>
    <t>1 300</t>
  </si>
  <si>
    <t>На 25.04.2023 14:51 имеются действующие решения ФНС о приостановлении операций по счетам, Сообщение кредитора о намерении обратиться в суд с заявлением о банкротстве от 19.01.2023</t>
  </si>
  <si>
    <t>За весь период компания заключила  4 контрактов на сумму  2 377 758 984,67 ?</t>
  </si>
  <si>
    <t>25.11.23.119 Конструкции и детали конструкций из черных металлов прочие, не включенные в другие группировки
24.10.41.000 Прокат листовой холоднокатаный из прочих нелегированных сталей, без дополнительной обработки, шириной не менее 600 мм</t>
  </si>
  <si>
    <t>ПОС на 03.04.4685</t>
  </si>
  <si>
    <t>19.20.21.335 Топливо дизельное арктическое экологического класса К5
19.20.2 Топливо жидкое и газообразное; масла смазочные
19.20.21.300 Топливо дизельное
19.20.25.112 Топливо для реактивных двигателей летательных аппаратов с дозвуковой скоростью полета марки ТС-1
19.20 Нефтепродукты</t>
  </si>
  <si>
    <t>"44 за 3 года",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 "рейтинг по нмц маркер", "поставщики маркер"</t>
  </si>
  <si>
    <t>1 111</t>
  </si>
  <si>
    <t>43.99.90.160 Аренда кранов и прочего строительного оборудования, которое не предназначено для одной конкретной строительной услуги, с оператором
49.41.20 Услуги по аренде грузовых транспортных средств с водителем
28.22.1 Оборудование подъемно-транспортное и его части</t>
  </si>
  <si>
    <t>За 3 года по 223ФЗ заключено  3 шт контрактов на сумму 43 745 000,92 ?</t>
  </si>
  <si>
    <t>49.41.12.000 Услуги по перевозке автомобильным транспортом нефтепродуктов в автоцистернах или полуприцепах-цистернах
19.20.21.115 Бензин автомобильный с октановым числом не менее 80, но не более 92 по исследовательскому методу экологического класса К5
49.41.1 Услуги по грузовым перевозкам автомобильным транспортом
19.20.21.110 Бензин автомобильный с октановым числом не менее 80, но не более 92 по исследовательскому методу
49.41.13.000 Услуги по перевозке автомобильным транспортом прочих жидкостей или газов в автоцистернах или полуприцепах-цистернах</t>
  </si>
  <si>
    <t>За весь период компания заключила  1 контрактов на сумму  519 687 640,65 ?</t>
  </si>
  <si>
    <t>"223 за 3 года", ".", "Участники клиринга", "рейтинг по нмц маркер", "поставщики маркер", "44 за 3 года"</t>
  </si>
  <si>
    <t>28.22.11.119 Тали прочие, не включенные в другие группировки
25.72.14.190 Детали крепежные и установочные и аналогичные изделия из недрагоценных металлов
28 Машины и оборудование, не включенные в другие группировки
28.22.11.112 Тали электрические канатные</t>
  </si>
  <si>
    <t>21.20.24.150 Изделия медицинские ватно-марлевые
32.50.50.190 Изделия медицинские, в том числе хирургические, прочие, не включенные в другие группировки</t>
  </si>
  <si>
    <t>21.20.21.132 Вакцины бактериальные инактивированные профилактические, применяемые в ветеринарии
21.20.23.199 Средства нелечебные прочие
21.10.60.194 Культуры микроорганизмов (кроме дрожжей)
21.20.10.118 Препараты, способствующие пищеварению, включая ферментные препараты
21.20.10.191 Препараты антибактериальные для системного использования
21.20.10.213 Иммуномодуляторы
21.20.10.241 Препараты противопротозойные
21.20.10.242 Препараты противогельминтные
21.20.10.262 Препараты для лечения заболеваний уха
32.50.13.190 Инструменты и приспособления, применяемые в медицинских целях, прочие, не включенные в другие группировки ****</t>
  </si>
  <si>
    <t>ЗА 3 ГОДА ПО 223 ФЗ заключено 87 шт. с объемом НМЦ 49 779 980,11 ? за 1 ГОД ПО 223ФЗ заключено 9  10 273 144,97 ?</t>
  </si>
  <si>
    <t>"223 за 3 года", ".", "клиент металлинвеста", "все клиенты с выручкой от 1,8 млрд до бесконечности", "поставщики маркер", "44 за 3 года"</t>
  </si>
  <si>
    <t>"все клиенты с выручкой от 1,8 млрд до бесконечности", ".", "06.2022_ФинХД", "клиенты с в от100млн 09.21"</t>
  </si>
  <si>
    <t>10.20.13.120 Рыба морская мороженая
10.20.13.121 Сельдь мороженая
10.20.13.122 Рыба морская мороженая (кроме сельди)
10.20.32.110 Моллюски мороженые</t>
  </si>
  <si>
    <t>За 3 ГОДА по 44ФЗ заключено 37 шт. с объемом НМЦ  184 429 408,74 ? с БГИ 35 592 866,70 ? с БГГО 0,00 ? с авансированием до 0,00 ? с комиссией банку 227 748,75 ? с кв 1 981,41 ?</t>
  </si>
  <si>
    <t>20.13.24.140 Кислоты неорганические прочие
20.13.24.149 Кислоты неорганические прочие, не включенные в другие группировки
20.20.14.000 Средства дезинфекционные
20.1 Вещества химические основные, удобрения химические и азотные, пластмассы и синтетический каучук в первичных формах
20.13 Вещества химические неорганические основные прочие
20.15.10.130 Аммиак
20.59.52.194 Реактивы химические общелабораторного назначения
20.13.24 Хлорид водорода; олеум; пентоксид фосфора; кислоты неорганические прочие; диоксид кремния и диоксид серы
20.13.32.110 Гипохлориты
08.93.10.115 Соль денатурированная, соль для промышленных целей ****</t>
  </si>
  <si>
    <t>ЗА 3 ГОДА ПО 223 ФЗ заключено 2 шт. с объемом НМЦ 34 780 000,00 ?</t>
  </si>
  <si>
    <t>21.20.10.191 Препараты антибактериальные для системного использования
21.20.10.213 Иммуномодуляторы
21.20.10.194 Препараты противовирусные для системного применения
21.20.10.232 Анальгетики
21.20.10.131 Антикоагулянты</t>
  </si>
  <si>
    <t>Сообщение кредитора о намерении обратиться в суд с заявлением о банкротстве от 19.08.2020</t>
  </si>
  <si>
    <t>За весь период компания заключила  5 контрактов на сумму  847 785 066,31 ?</t>
  </si>
  <si>
    <t>Сообщение кредитора о намерении обратиться в суд с заявлением о банкротстве от 30.11.2020</t>
  </si>
  <si>
    <t>"поставщики маркер", ".", "ушедший портфель", "fk1", "ИНН 3 года - нет КД БГ на 01.10.22", "Список ушедший ", "ПОС на 03.04.2023",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t>
  </si>
  <si>
    <t>21.20.23.110 Реагенты диагностические
21.20.23.199 Средства нелечебные прочие
20.59.52.199 Реагенты сложные диагностические или лабораторные прочие, не включенные в другие группировки
20.20.14.000 Средства дезинфекционные
21 Средства лекарственные и материалы, применяемые в медицинских целях
21.10.20.130 Фосфоаминолипиды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21.20.10.118 Препараты, способствующие пищеварению, включая ферментные препараты
21.20.10.133 Препараты антианемические ****</t>
  </si>
  <si>
    <t>За весь период компания заключила  10 контрактов на сумму  2 879 868 435,88 ? За весь период заходили в конкурсы  17 раз на общую сумму обеспеченных контрактов с НМЦ 921 555 342,83 ? с БГУ  21 311 651,30 ? с БГИ 160 105 014,58 ? За 3 ГОДА по 44ФЗ заключено 3609 шт. с объемом НМЦ  4 007 008 887,45 ? с БГИ 342 617 223,76 ? с БГГО 7 012 603,24 ? с авансированием до 174 270,20 ? с комиссией банку 4 547 157,95 ? с кв 39 560,27 ? ЗА 1 ГОД по 44ФЗ заключено 969 шт. c объемом НМЦ 1 415 463 135,93 ? с БГИ 123 670 213,86 ? с БГГО 0,00 ? с авансированием до  156 372,10 ? с комиссией банку  2 272 120,53 ? с кв 19 767,45 ? ЗА 3 ГОДА ПО 223 ФЗ заключено 183 шт. с объемом НМЦ 519 219 381,14 ? за 1 ГОД ПО 223ФЗ заключено 14  78 973 563,95 ?</t>
  </si>
  <si>
    <t>"223 за 3 года", ".", "рейтинг поставщиков в маркере по бг", "ушедший портфель", "инн Вавилова",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"рейтинг по нмц маркер", "поставщики маркер", "44 за 3 года"</t>
  </si>
  <si>
    <t>10.61.21.113 Мука пшеничная хлебопекарная высшего сорта
10.81.11.110 Сахар-сырец свекловичный в твердом состоянии
10.89.13.112 Дрожжи хлебопекарные сушеные
10.82 Какао, шоколад и изделия кондитерские сахаристые
47.24 Услуги по розничной торговле хлебом и хлебобулочными изделиями и кондитерскими изделиями в специализированных магазинах
10.39 Фрукты, овощи и грибы переработанные и консервированные, не включенные в другие группировки
25.99 Металлоизделия готовые прочие, не включенные в другие группировки
10.51.30.111 Масло сладко-сливочное
10.61.3 Крупа, мука грубого помола, гранулы и прочие продукты из зерновых культур
10.81.12.110 Сахар белый свекловичный в твердом состоянии без вкусоароматических или красящих добавок ****</t>
  </si>
  <si>
    <t>"на фт заводил Глазков И", "свод фт", ".", "кредиты фт", "лимит сит по кредитам"</t>
  </si>
  <si>
    <t>19.20.42 Кокс нефтяной, битум нефтяной и прочие остатки нефтепереработки
19.20.42.121 Битумы нефтяные дорожные
19.20 Нефтепродукты</t>
  </si>
  <si>
    <t>28.22.19.190 Комплектующие (запасные части) прочего подъемно-транспортного и погрузочно-разгрузочного оборудования, не имеющие самостоятельных группировок
28.30.22.110 Тракторы сельскохозяйственные колесные с мощностью двигателя от 37 кВт до 59 кВт
28.30.31.129 Плуги прочие, не включенные в другие группировки
28.30.86.130 Оборудование для лесного хозяйства, не включенное в другие группировки
28.30.93.000 Части прочих машин и оборудования для сельского хозяйства
29.32.30.270 Устройства сцепные (тягово-сцепные, седельно-сцепные и буксирные)
28.3 Машины и оборудование для сельского и лесного хозяйства
28.30.2 Тракторы для сельского хозяйства прочие
28.30.23 Тракторы с мощностью двигателя более 59 кВт
29.10.59.130 Средства транспортные для коммунального хозяйства и содержания дорог ****</t>
  </si>
  <si>
    <t>ЗА 3 ГОДА ПО 223 ФЗ заключено 16 шт. с объемом НМЦ 54 181 562,99 ? за 1 ГОД ПО 223ФЗ заключено 4  13 541 961,46 ?</t>
  </si>
  <si>
    <t>28.30.22.110 Тракторы сельскохозяйственные колесные с мощностью двигателя от 37 кВт до 59 кВт
28.30.86.130 Оборудование для лесного хозяйства, не включенное в другие группировки
28.30.93.000 Части прочих машин и оборудования для сельского хозяйства
30.99.10.190 Средства транспортные и оборудование прочие, не включенные в другие группировки
29.10.59.130 Средства транспортные для коммунального хозяйства и содержания дорог
28.30 Машины и оборудование для сельского и лесного хозяйства
28.30.23.110 Тракторы сельскохозяйственные колесные с мощностью двигателя более 59 кВт
28.99.39.190 Оборудование специального назначения прочее, не включенное в другие группировки
28.30.86.110 Оборудование для сельского хозяйства, не включенное в другие группировки
28.30.33.111 Сеялки зерновые ****</t>
  </si>
  <si>
    <t>За 3 ГОДА по 44ФЗ заключено 36 шт. с объемом НМЦ  173 096 850,39 ? с БГИ 31 197 614,17 ? с БГГО 1 073 581,74 ? с авансированием до 31 584 237,64 ? с комиссией банку 228 056,86 ? с кв 1 984,09 ? ЗА 1 ГОД по 44ФЗ заключено 14 шт. c объемом НМЦ 98 701 740,65 ? с БГИ 20 855 657,63 ? с БГГО 211 370,33 ? с авансированием до  18 150 000,30 ? с комиссией банку  154 953,17 ? с кв 1 348,09 ?</t>
  </si>
  <si>
    <t>"Участники клиринга", ".", "fk1", "все клиенты с выручкой от 1,8 млрд до бесконечности"</t>
  </si>
  <si>
    <t>Заказчик разыгравший 43 конкурсов на сумму  8 041 949 159,12 ?</t>
  </si>
  <si>
    <t>Сообщения о принятии решения о реорганизации от 23.09.2021</t>
  </si>
  <si>
    <t>"поставщики маркер", ".", "fk1", "все клиенты с выручкой от 1,8 млрд до бесконечности", "рейтинг заказчиков маркер", "производители", "это заказчик"</t>
  </si>
  <si>
    <t>23.69.19.000 Изделия из цемента, бетона или искусственного камня, не включенные в другие группировки
23.31.10.122 Плитки керамические для полов
23.61.11.120 Плиты из цемента, бетона или искусственного камня
23.70.12.110 Камень декоративный и строительный обработанный прочий и изделия из него
23.61.11.190 Изделия аналогичные из цемента, бетона или искусственного камня</t>
  </si>
  <si>
    <t>За весь период компания заключила  19 контрактов на сумму  858 469 055,23 ? За весь период заходили в конкурсы  109 раз на общую сумму обеспеченных контрактов с НМЦ 921 861 410,63 ? с БГУ  114 157 031,50 ? с БГИ 1 570 895 930,18 ?</t>
  </si>
  <si>
    <t>27.90.33.110 Комплектующие (запасные части) прочего электрического оборудования, не имеющие самостоятельных группировок
28.25.13.115 Оборудование для охлаждения и заморозки жидкостей
26.20.16.150 Сканеры
26.20.18.000 Устройства периферийные с двумя или более функциями: печать данных, копирование, сканирование, прием и передача факсимильных сообщений
26.60.11.121 Аппаратура стерилизационная, основанная на использовании альфа-, бета- или гамма-излучений, применяемая в медицинских целях
26.70.13.000 Видеокамеры цифровые
32.30.14.112 Инвентарь и оборудование для спортивной и художественной гимнастики
32.30.14.120 Оборудование для занятий физкультурой, гимнастикой и атлетикой, занятий в спортзалах, фитнес-центрах
32.30.15.114 Инвентарь для тенниса и бадминтона
32.30.15.292 Инвентарь, включая тренировочный, для зимних видов спорта прочий ****</t>
  </si>
  <si>
    <t>За весь период компания заключила  37 контрактов на сумму  6 333 781 085,19 ? За весь период заходили в конкурсы  133 раз на общую сумму обеспеченных контрактов с НМЦ 15 192 853 236,97 ? с БГУ  427 806 254,09 ? с БГИ 2 745 927 504,03 ? За 3 ГОДА по 44ФЗ заключено 242 шт. с объемом НМЦ  10 564 291 511,25 ? с БГИ 1 565 727 013,31 ? с БГГО 282 753 108,53 ? с авансированием до 1 506 328,50 ? с комиссией банку 12 178 932,83 ? с кв 105 956,72 ? ЗА 1 ГОД по 44ФЗ заключено 61 шт. c объемом НМЦ 2 030 749 019,68 ? с БГИ 172 069 159,89 ? с БГГО 26 951 007,92 ? с авансированием до  1 414 328,50 ? с комиссией банку  1 872 599,48 ? с кв 16 291,62 ? ЗА 3 ГОДА ПО 223 ФЗ заключено 5 шт. с объемом НМЦ 217 098 869,47 ?</t>
  </si>
  <si>
    <t>10.13.14.612 Продукты из мяса свиные
10.13.14.413 Колбасы (колбаски) сырокопченые мясные
10.13.14.111 Колбасы (колбаски) вареные мясные</t>
  </si>
  <si>
    <t>27.32.13.143 Кабели контрольные
27.32.13.131 Провода силовые для электрических установок
27.32.14.111 Кабели силовые с медной жилой на напряжение более 1 кВ
27.32.14.112 Кабели силовые с алюминиевой жилой на напряжение более 1 кВ
27.31 Кабели волоконно-оптические
27.32.11 Провода обмоточные изолированные
27.32.13.133 Провода и шнуры осветительные
27.32.13.152 Кабели связи телефонные
27.32 Провода и кабели электронные и электрические прочие
27.32.13.124 Кабели силовые гибкие общего назначения ****</t>
  </si>
  <si>
    <t>За весь период компания заключила  48 контрактов на сумму  14 857 273 487,93 ?                                     ЗА 3 ГОДА ПО 223 ФЗ заключено 6 шт. с объемом НМЦ 224 178 503,22 ? за 1 ГОД ПО 223ФЗ заключено 1  92 285 527,00 ?</t>
  </si>
  <si>
    <t>"223 за 3 года", "свод фт", ".", "все клиенты с выручкой от 1,8 млрд до бесконечности", "223 фз контракты 20+", "рейтинг по нмц маркер", "на фт заводил Адеев", "crm управления", "в crm за Эльшаном", "поставщики маркер"</t>
  </si>
  <si>
    <t>Сообщение кредитора о намерении обратиться в суд с заявлением о банкротстве от 20.10.2021</t>
  </si>
  <si>
    <t>27.90.40.190 Оборудование электрическое прочее, не включенное в другие группировки
27.51.25.110 Водонагреватели проточные и накопительные электрические
27.51.30.000 Части бытовых электрических приборов
27.51.24.190 Приборы электронагревательные бытовые прочие, не включенные в другие группировки</t>
  </si>
  <si>
    <t>29.10.30.120 Троллейбусы</t>
  </si>
  <si>
    <t>За весь период компания заключила  14 контрактов на сумму  18 079 948 692,95 ? За весь период заходили в конкурсы  25 раз на общую сумму обеспеченных контрактов с НМЦ 20 364 470 944,80 ? с БГУ  761 108 481,16 ? с БГИ 2 146 721 126,81 ? За 3 ГОДА по 44ФЗ заключено 39 шт. с объемом НМЦ  10 261 831 030,90 ? с БГИ 1 348 388 721,93 ? с БГГО 152 520 476,82 ? с авансированием до 550 193 163,59 ? с комиссией банку 22 376 192,34 ? с кв 194 672,87 ? ЗА 1 ГОД по 44ФЗ заключено 17 шт. c объемом НМЦ 2 225 832 317,24 ? с БГИ 457 747 419,60 ? с БГГО 31 483 134,48 ? с авансированием до  392 031 483,60 ? с комиссией банку  3 081 620,86 ? с кв 26 810,10 ? ЗА 3 ГОДА ПО 223 ФЗ заключено 2 шт. с объемом НМЦ 1 156 560 000,00 ?</t>
  </si>
  <si>
    <t>"223 за 3 года", "свод фт", ".", "рейтинг поставщиков в маркере по бг", "Конкурсы 100+ (Восстановленный)", "Агентские отказ из-за непред-я док-ов", "корп 2", "Пункт 3 09.01.23", "44 фз с с БГ от 10 млн", "рейтинг по нмц маркер", "на фт заводил Удод", "на фт заводил Самар", "на фт заводил Ким", "поставщики маркер", "44 за 3 года"</t>
  </si>
  <si>
    <t>10.83.13.110 Чай зеленый (неферментированный) в упаковках массой не более 3 кг
10.83.13.120 Чай черный (ферментированный) в упаковках массой не более 3 кг
10.84.12.130 Майонезы
10.7 Изделия хлебобулочные и мучные кондитерские
10.82.23 Изделия кондитерские сахаристые (включая белый шоколад), не содержащие какао
10.83 Чай и кофе обработанные
10.81 Сахар
10.83.11.110 Кофе без кофеина
10.72.19.111 Хлеб и булочные изделия длительного хранения из пшеничной муки
10.84.12.120 Кетчуп и соусы томатные прочие ****</t>
  </si>
  <si>
    <t>10.51.11.190 Молоко прочее, не включенное в другие группировки
10.51.52.140 Кефир
10.51.52.200 Сметана
10.51.40.300 Творог
10.51.52.110 Йогурт
10.51.11.111 Молоко питьевое коровье пастеризованное
10.51.52.112 Йогурт с вкусовыми компонентами
10.51.52.130 Ряженка и варенец
10.51.52.900 Продукты кисломолочные прочие, не включенные в другие группировки
10.51.40.100 Сыры ****</t>
  </si>
  <si>
    <t>58.11.12.000 Книги печатные профессиональные, технические и научные
58.11.19.000 Книги, брошюры, листовки печатные прочие и подобные печатные материалы
58.19 Услуги в области издательской деятельности прочие
58.19.19.190 Продукция издательская печатная прочая, не включенная в другие группировки
58.11.11.000 Учебники печатные общеобразовательного назначения</t>
  </si>
  <si>
    <t>21.20.21.139 Вакцины прочие, применяемые в ветеринарии
10.9 Корма готовые для животных</t>
  </si>
  <si>
    <t>За весь период контрактов 12 шт. на общую сумму НМЦ 12 963 107 823,27 ?</t>
  </si>
  <si>
    <t>28.22.20 Ковши, черпаки, грейферы и захваты для подъемных кранов, экскаваторов и аналогичного оборудования
68.20 Услуги по сдаче в аренду (внаем) собственного или арендованного недвижимого имущества
35.30.11.120 Энергия тепловая, отпущенная котельными
28.99.39.120 Устройства тормозные палубные или аналогичные
27.11 Электродвигатели, генераторы и трансформаторы</t>
  </si>
  <si>
    <t>Заказчик разыгравший 26 конкурсов на сумму  2 345 791 238,14 ?</t>
  </si>
  <si>
    <t>Сообщение кредитора о намерении обратиться в суд с заявлением о банкротстве от 18.11.2019</t>
  </si>
  <si>
    <t>28.14.12.110 Краны, клапаны для раковин, моек, биде, унитазов, ванн и аналогичная арматура
23.31.1 Плиты и плитки керамические
22.23.12.130 Унитазы, сиденья и крышки для них, смывные бачки пластмассовые
23.31.10.129 Плитки керамические прочие
23.42.10.130 Раковины керамические
46.4 Услуги по оптовой торговле непродовольственными потребительскими товарами
23.31.10.121 Плитки керамические глазурованные для внутренней облицовки стен
25.72.14.190 Детали крепежные и установочные и аналогичные изделия из недрагоценных металлов
23.42.10.150 Унитазы керамические
23.64.10.110 Смеси строительные ****</t>
  </si>
  <si>
    <t>за 1 ГОД ПО 223ФЗ заключено 1  43 327 552,52 ?</t>
  </si>
  <si>
    <t>"223 фз контракты 20+",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</si>
  <si>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35.11.10 Электроэнергия
35.11.10.121 Электроэнергия, произведенная блок-станциями конденсационных электростанций (КЭС)
35.11.10.140 Электроэнергия от возобновляемых источников энергии
35.12.10.120 Услуги по технологическому присоединению к распределительным электросетям ****</t>
  </si>
  <si>
    <t>ЗА 3 ГОДА ПО 223 ФЗ заключено 13 шт. с объемом НМЦ 175 047 404,97 ?</t>
  </si>
  <si>
    <t>20.14.23.112 Пропиленгликоль (пропан-1,2-диол)
20.59 Продукты химические прочие, не включенные в другие группировки
20.59.43.120 Антифризы
20.59.42.140 Продукты аналогичные присадкам к топливу и смазочным материалам
19.20.2 Топливо жидкое и газообразное; масла смазочные
20.59.43.110 Жидкости тормозные для гидравлических передач
20.59.4 Материалы смазочные; присадки; антифризы
20.59.59.900 Продукты разные химические прочие, не включенные в другие группировки</t>
  </si>
  <si>
    <t>За весь период заходили в конкурсы  5 раз на общую сумму обеспеченных контрактов с НМЦ 223 935 461,85 ? с БГУ  12 483 192,42 ? с БГИ 34 241 991,48 ?</t>
  </si>
  <si>
    <t>24.10.80.190 Прокат черных металлов прочий, не включенный в другие группировки
24 Металлы основные
24.10.22.119 Формы первичные из нержавеющей стали прочие
25.11.23.119 Конструкции и детали конструкций из черных металлов прочие, не включенные в другие группировки
25.11.22.192 Опоры из черных металлов прочие, не включенные в другие группировки
24.20.13.190 Трубы круглого сечения прочие стальные
25.11 Металлоконструкции строительные и их части
29.32.30.240 Передачи карданные, валы приводные, шарниры неравных и равных угловых скоростей
25.94.12.110 Шайбы из черных металлов
29.32.30.390 Части и принадлежности для автотранспортных средств прочие, не включенные в другие группировки ****</t>
  </si>
  <si>
    <t>За весь период заходили в конкурсы  2 раз на общую сумму обеспеченных контрактов с НМЦ 198 107 957,47 ? с БГУ  11 098 814,21 ? с БГИ 37 731 267,41 ?</t>
  </si>
  <si>
    <t>26.51.43.116 Приборы цифровые электроизмерительные комбинированные
27.11.42 Трансформаторы прочие мощностью не более 16 кВА
27.20.23 Батареи аккумуляторные никель-кадмиевые, никель-металл-гидридные, литий-ионные, литий-полимерные, никель-железные и прочие
27.90.40.190 Оборудование электрическое прочее, не включенное в другие группировки
27.90.40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26.51.66 Инструменты, приборы и машины для измерения или контроля, не включенные в другие группировки
27.11.41 Трансформаторы с жидким диэлектриком
27.11.43.000 Трансформаторы прочие мощностью более 16 кВА</t>
  </si>
  <si>
    <t>ЗА 3 ГОДА ПО 223 ФЗ заключено 6 шт. с объемом НМЦ 936 384 818,37 ? за 1 ГОД ПО 223ФЗ заключено 10  887 280 782,05 ?</t>
  </si>
  <si>
    <t>28.22.15 Автопогрузчики с вилочным захватом, прочие погрузчики; тягачи, используемые на платформах железнодорожных станций
28.22.15.120 Погрузчики прочие
28.22.18.220 Погрузчики сельскохозяйственные прочие, кроме универсальных и навесных
28.92.30 Машины для выемки грунта и строительства прочие
45.20.21.112 Услуги контрольно-диагностические
28.22.18.310 Машины погрузочные и разгрузочные
28.22.20.000 Ковши, черпаки, грейферы и захваты для подъемных кранов, экскаваторов и аналогичного оборудования
28.92.25 Погрузчики фронтальные одноковшовые самоходные
29.32.30.132 Колодки с накладками в сборе для дисковых и барабанных тормозов, фрикционные накладки для барабанных и дисковых тормозов
45.32.29.000 Услуги по розничной торговле деталями, узлами и принадлежностями автотранспортных средств прочие, не включенные в другие группировки ****</t>
  </si>
  <si>
    <t>ЗА 3 ГОДА ПО 223 ФЗ заключено 8 шт. с объемом НМЦ 23 907 426,67 ?</t>
  </si>
  <si>
    <t>27.90.12.110 Изоляторы электрические
27.11.42 Трансформаторы прочие мощностью не более 16 кВА
27.20.23 Батареи аккумуляторные никель-кадмиевые, никель-металл-гидридные, литий-ионные, литий-полимерные, никель-железные и прочие
27.90.40.190 Оборудование электрическое прочее, не включенное в другие группировки
27.12.32.000 Панели и прочие комплекты электрической аппаратуры коммутации или защиты на напряжение более 1 кВ
27.12.40.000 Части электрической распределительной или регулирующей аппаратуры
27.90.40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27.11.4 Трансформаторы электрические
27 Оборудование электрическое
27.11.41 Трансформаторы с жидким диэлектриком ****</t>
  </si>
  <si>
    <t>За весь период компания заключила  9 контрактов на сумму  4 450 207 031,92 ?                                     ЗА 3 ГОДА ПО 223 ФЗ заключено 4 шт. с объемом НМЦ 585 174 524,75 ?</t>
  </si>
  <si>
    <t>10.12.1 Мясо птицы охлажденное, в том числе для детского питания
10.12.10.110 Мясо кур, в том числе цыплят (включая цыплят-бройлеров) охлажденное</t>
  </si>
  <si>
    <t>27.32.13.130 Провода и шнуры силовые
27.32.13.143 Кабели контрольные
27.3 Кабели и арматура кабельная
27.32.13.131 Провода силовые для электрических установок
27.32.14.110 Кабели силовые для стационарной прокладки на напряжение более 1 кВ
27.32.14.112 Кабели силовые с алюминиевой жилой на напряжение более 1 кВ
27.32.11 Провода обмоточные изолированные
27.32.13.133 Провода и шнуры осветительные
27.32.13.199 Кабели, провода и другие проводники прочие на напряжение до 1 кВ, не включенные в другие группировки
27.33.13.130 Арматура кабельная ****</t>
  </si>
  <si>
    <t>За весь период компания заключила  19 контрактов на сумму  2 426 311 577,90 ?                                     ЗА 3 ГОДА ПО 223 ФЗ заключено 14 шт. с объемом НМЦ 47 542 731,71 ? за 1 ГОД ПО 223ФЗ заключено 7  24 470 789,50 ?</t>
  </si>
  <si>
    <t>24.20 Трубы, профили пустотелые и их фитинги стальные
24.20.40.000 Фитинги для труб стальные, кроме литых
32.99 Изделия готовые прочие, не включенные в другие группировки</t>
  </si>
  <si>
    <t>28.30.22.110 Тракторы сельскохозяйственные колесные с мощностью двигателя от 37 кВт до 59 кВт
28.30.93.000 Части прочих машин и оборудования для сельского хозяйства
28.30.2 Тракторы для сельского хозяйства прочие
28.30.23 Тракторы с мощностью двигателя более 59 кВт
28.30.4 Косилки для газонов, парков или спортивных площадок
29.10.59.130 Средства транспортные для коммунального хозяйства и содержания дорог
28.22.20.000 Ковши, черпаки, грейферы и захваты для подъемных кранов, экскаваторов и аналогичного оборудования
28.30 Машины и оборудование для сельского и лесного хозяйства
28.30.23.110 Тракторы сельскохозяйственные колесные с мощностью двигателя более 59 кВт
28.99.39.190 Оборудование специального назначения прочее, не включенное в другие группировки ****</t>
  </si>
  <si>
    <t>За весь период заходили в конкурсы  16 раз на общую сумму обеспеченных контрактов с НМЦ 403 242 701,22 ? с БГУ  14 290 876,04 ? с БГИ 74 766 520,80 ? За 3 ГОДА по 44ФЗ заключено 54 шт. с объемом НМЦ  747 907 471,23 ? с БГИ 157 224 095,08 ? с БГГО 48 314 553,76 ? с авансированием до 2 425 421,67 ? с комиссией банку 343 874,21 ? с кв 2 991,71 ? ЗА 1 ГОД по 44ФЗ заключено 16 шт. c объемом НМЦ 494 801 052,00 ? с БГИ 141 487 017,60 ? с БГГО 46 490 666,00 ? с авансированием до  0,00 ? с комиссией банку  741 166,85 ? с кв 6 448,15 ? ЗА 3 ГОДА ПО 223 ФЗ заключено 19 шт. с объемом НМЦ 147 252 156,00 ?</t>
  </si>
  <si>
    <t>"223 за 3 года", ".", "рейтинг поставщиков в маркере по бг", "Конкурсы 100+ (Восстановленный)", "все клиенты с выручкой от 1,8 млрд до бесконечности", "44 фз с с БГ от 10 млн", "производители", "рейтинг по нмц маркер", "это заказчик", "поставщики маркер", "44 за 3 года"</t>
  </si>
  <si>
    <t>Сообщения о принятии решения о реорганизации от 17.06.2022</t>
  </si>
  <si>
    <t>33.15 Услуги по ремонту и техническому обслуживанию судов и лодок</t>
  </si>
  <si>
    <t>10.39.18.110 Овощи (кроме картофеля), приготовленные или консервированные с уксусом или уксусной кислотой</t>
  </si>
  <si>
    <t>ЗА 3 ГОДА ПО 223 ФЗ заключено 6 шт. с объемом НМЦ 181 745 100,69 ?</t>
  </si>
  <si>
    <t>20.14.24.112 Фенол синтетический технический
20.14.62.000 Соединения с кетоновой функциональной группой и хиноновой функциональной группой
20.16.1 Полимеры этилена в первичных формах
19.20.29.110 Масла моторные (универсальные, карбюраторные, дизельные, для авиационных поршневых двигателей)</t>
  </si>
  <si>
    <t>ЗА 3 ГОДА ПО 223 ФЗ заключено 6 шт. с объемом НМЦ 24 698 489,42 ?</t>
  </si>
  <si>
    <t>"223 за 3 года", ".", "fk1", "корп 1", "06.2022_ФинХД", "Обороты по клиентам по кварталам (2022г)", "Участники клиринга", "поставщики маркер"</t>
  </si>
  <si>
    <t>"в crm за Муслимом", ".", "ушедшие", "все клиенты с выручкой от 1,8 млрд до бесконечности", "это заказчик", "crm управления"</t>
  </si>
  <si>
    <t>За весь период компания заключила  5 контрактов на сумму  9 803 641 193,38 ?</t>
  </si>
  <si>
    <t>09.10.12.190 Услуги, связанные с добычей нефти, газового конденсата и горючего природного газа, прочие
09.1 Услуги по добыче нефти и природного газа
09.10.11.190 Услуги по бурению, связанные с добычей нефти и горючего природного газа, не включенные в другие группировки</t>
  </si>
  <si>
    <t>За весь период компания заключила  13 контрактов на сумму  7 695 813 135,67 ?</t>
  </si>
  <si>
    <t>Юридическое лицо находится в процессе реорганизации в форме присоединения к нему других юридических лиц от 13.04.2023, Сообщения о принятии решения о реорганизации от 12.04.2023</t>
  </si>
  <si>
    <t>28.22 Оборудование подъемно-транспортное
22.11.11.000 Шины и покрышки пневматические для легковых автомобилей новые
22.11.14 Шины и покрышки пневматические для сельскохозяйственных машин; шины и покрышки пневматические прочие новые
22.11.14.199 Шины пневматические прочие, не включенные в другие группировки
22.11.15 Камеры и шины резиновые сплошные или полупневматические, протекторы взаимозаменяемые и ленты ободные из резины
28.22.14.162 Краны-штабелеры электрические стеллажные
28.22.15 Автопогрузчики с вилочным захватом, прочие погрузчики; тягачи, используемые на платформах железнодорожных станций
28.22.19 Части грузоподъемного и погрузочно-разгрузочного оборудования
28.22.19.190 Комплектующие (запасные части) прочего подъемно-транспортного и погрузочно-разгрузочного оборудования, не имеющие самостоятельных группировок
28.92.21 Бульдозеры и бульдозеры с поворотным отвалом ****</t>
  </si>
  <si>
    <t>За весь период компания заключила  8 контрактов на сумму  454 011 177,52 ?                                     ЗА 3 ГОДА ПО 223 ФЗ заключено 30 шт. с объемом НМЦ 102 807 222,84 ? за 1 ГОД ПО 223ФЗ заключено 4  39 488 532,39 ?</t>
  </si>
  <si>
    <t>"223 за 3 года", ".", "все клиенты с выручкой от 1,8 млрд до бесконечности", "223 фз контракты 20+", "производители", "рейтинг по нмц маркер", "crm управления", "в crm за Арифом", "поставщики маркер", "44 за 3 года"</t>
  </si>
  <si>
    <t>За весь период компания заключила  2 контрактов на сумму  857 641 666,05 ?                                     ЗА 3 ГОДА ПО 223 ФЗ заключено 1 шт. с объемом НМЦ 34 323 367,45 ? за 1 ГОД ПО 223ФЗ заключено 1  34 323 367,45 ?</t>
  </si>
  <si>
    <t>28.92.40.120 Машины для дробления грунта, камня, руды и прочих минеральных веществ
25.2 Резервуары, цистерны и аналогичные емкости из металлов
28.30.86.130 Оборудование для лесного хозяйства, не включенное в другие группировки
28.30.93.000 Части прочих машин и оборудования для сельского хозяйства
25.93.15.120 Электроды с покрытием
19.20.29.119 Масла моторные прочие, не включенные в другие группировки
19.20.29.140 Масла индустриальные
45.32.12.000 Услуги по розничной торговле прочими автомобильными деталями, узлами и принадлежностями в специализированных магазинах
27.90 Оборудование электрическое прочее
28.29.13.130 Фильтры очистки воздуха всасывающие для двигателей внутреннего сгорания ****</t>
  </si>
  <si>
    <t>ЗА 3 ГОДА ПО 223 ФЗ заключено 26 шт. с объемом НМЦ 179 271 182,70 ? за 1 ГОД ПО 223ФЗ заключено 3  59 819 702,00 ?</t>
  </si>
  <si>
    <t>"223 за 3 года", ".", "fk1", "ПОС на 03.04.2023", "223 фз контракты 20+", "рейтинг по нмц маркер", "поставщики маркер", "44 за 3 года"</t>
  </si>
  <si>
    <t>29.10.41.113 Автомобили грузовые с дизельным двигателем, имеющие технически допустимую максимальную массу свыше 12 т
28.92.29.000 Автомобили-самосвалы, предназначенные для использования в условиях бездорожья
45.11 Услуги по торговле легковыми автомобилями и грузовыми автомобилями малой грузоподъемности
45.20.11.519 Прочие услуги по техническому обслуживанию и ремонту прочих автотранспортных средств, не включенные в другие группировки
29.10.4 Средства автотранспортные грузовые
29.10.41.110 Автомобили грузовые с дизельным двигателем
29.10.41.112 Автомобили грузовые с дизельным двигателем, имеющие технически допустимую максимальную массу свыше 3,5 т, но не более 12 т
29.10.59.130 Средства транспортные для коммунального хозяйства и содержания дорог
29.20.23.110 Прицепы (полуприцепы) к легковым и грузовым автомобилям, мотоциклам, мотороллерам и квадрициклам
29.10 Средства автотранспортные ****</t>
  </si>
  <si>
    <t>За весь период заходили в конкурсы  14 раз на общую сумму обеспеченных контрактов с НМЦ 1 228 901 126,00 ? с БГУ  41 809 271,62 ? с БГИ 350 463 638,56 ?                                 за 1 ГОД ПО 223ФЗ заключено 4  6 995 497,00 ?</t>
  </si>
  <si>
    <t>"223 за 3 года", ".", "рейтинг поставщиков в маркере по бг", "fk1", "06.2022_ФинХД", "все клиенты с выручкой от 1,8 млрд до бесконечности", "Обороты по клиентам по кварталам (2022г)", "рейтинг по нмц маркер", "поставщики маркер"</t>
  </si>
  <si>
    <t>За весь период компания заключила  2 контрактов на сумму  1 000 000 000,00 ?</t>
  </si>
  <si>
    <t>"поставщики маркер", "кл фт прямые ВКЛ/РКО 04.22", "свод фт", ".", "Премия 4 кв 22 г.2кредит", "УПП на 2 номер", "fk1", "кредиты фт", "клиенты управления по БГ без открытых счетов", "Пункт 3.1 09.01.2023", "корп 1", "Банкроты ФБ 28.04.2023", "Ссуды ФБ 29.04.2022 банкр.", "АИЛ портфель", "клиенты с в от100млн 09.21", "лимит сит по кредитам", "все клиенты с выручкой от 1,8 млрд до бесконечности", "филиал бизнес 01.03.22", "портфель", "филиал бизнес 22.11", "ФК клиенты с выручкой от 230 до бесконечности", "клиенты от 100 млн", "Обороты по клиентам по кварталам (2022г)", "ФТ клиенты с продуктами по сотрудникам", "рейтинг по нмц маркер", "на фт заводил Мелкумов", "на фт заводил Бесков"</t>
  </si>
  <si>
    <t>Юридическое лицо находится в процессе реорганизации в форме присоединения к нему других юридических лиц от 14.10.2022</t>
  </si>
  <si>
    <t>За весь период заходили в конкурсы  1 раз на общую сумму обеспеченных контрактов с НМЦ 63 668 430,00 ? с БГУ  0,00 ? с БГИ 63 668 430,00 ?</t>
  </si>
  <si>
    <t>43.99.90.190 Работы строительные специализированные прочие, не включенные в другие группировки
43.31.10.110 Работы штукатурные внешние и внутренние с применением штукатурных сеток и дранок
41.20.40.900 Работы строительные по возведению нежилых зданий и сооружений прочие, не включенные в другие группировки
43.91.19.190 Работы кровельные прочие, не включенные в другие группировки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41.20.20.900 Сооружения спортивно-оздоровительные и сооружения прочие, не включенные в другие группировки
41.20.30.100 Работы по возведению жилых зданий, кроме работ по сохранению и воссозданию объектов культурного наследия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
43.91.19.110 Работы строительные по устройству любых видов кровельных покрытий зданий и сооружений
71.12.12.190 Услуги по инженерно-техническому проектированию зданий прочие, не включенные в другие группировки ****</t>
  </si>
  <si>
    <t>За весь период заходили в конкурсы  4 раз на общую сумму обеспеченных контрактов с НМЦ 628 177 362,69 ? с БГУ  5 963 066,60 ? с БГИ 45 164 548,49 ? За 3 ГОДА по 44ФЗ заключено 17 шт. с объемом НМЦ  2 231 853 696,25 ? с БГИ 257 179 213,94 ? с БГГО 63 126 461,40 ? с авансированием до 977 575 208,44 ? с комиссией банку 311 270,84 ? с кв 2 708,06 ? ЗА 1 ГОД по 44ФЗ заключено 8 шт. c объемом НМЦ 1 729 035 836,13 ? с БГИ 214 835 873,85 ? с БГГО 42 771 875,94 ? с авансированием до  837 954 458,75 ? с комиссией банку  1 790 217,51 ? с кв 15 574,89 ?</t>
  </si>
  <si>
    <t>За весь период контрактов 7 шт. на общую сумму НМЦ 26 526 006 991,50 ?</t>
  </si>
  <si>
    <t>За весь период заходили в конкурсы  1 раз на общую сумму обеспеченных контрактов с НМЦ 55 459 800,00 ? с БГУ  2 801 000,00 ? с БГИ 5 602 000,00 ?</t>
  </si>
  <si>
    <t>"223 за 3 года", "свод фт", ".", "рейтинг поставщиков в маркере по бг", "ушедший портфель", "fk1", "ИНН 3 года - нет КД БГ на 01.10.22", "Список ушедший ", "корп 2", "06.2022_ФинХД", "Обороты по клиентам по кварталам (2022г)", "производители", "рейтинг по нмц маркер", "на фт заводил Ким", "поставщики маркер"</t>
  </si>
  <si>
    <t>"44 за 3 года", ".", "рейтинг поставщиков в маркере по бг", "поставщики маркер"</t>
  </si>
  <si>
    <t>19.20.21.310 Топливо дизельное летнее</t>
  </si>
  <si>
    <t>19.20.21.125 Бензин автомобильный с октановым числом более 92, но не более 95 по исследовательскому методу экологического класса К5
19.20.21.345 Топливо дизельное межсезонное экологического класса К5
19.20.2 Топливо жидкое и газообразное; масла смазочные
19.20.21.115 Бензин автомобильный с октановым числом не менее 80, но не более 92 по исследовательскому методу экологического класса К5
19.20 Нефтепродукты</t>
  </si>
  <si>
    <t>1 529</t>
  </si>
  <si>
    <t>За весь период контрактов 60 шт. на общую сумму НМЦ 102 680 853 613,86 ?</t>
  </si>
  <si>
    <t>"44 за 3 года", ".", "рейтинг поставщиков в маркере по бг", "Агентские отказ из-за непред-я док-ов", "fk1", "Кредитный портфель_01.11", "корп 1", "06.2022_ФинХД", "все клиенты с выручкой от 1,8 млрд до бесконечности", "ФК клиенты с выручкой от 230 до бесконечности", "клиенты от 100 млн", "рейтинг по нмц маркер", "поставщики маркер"</t>
  </si>
  <si>
    <t>"производители", ".", "выдали", "fk1", "ПОС на 01.02.2023", "ПОС на 03.04.2023", "райф", "Кредитный портфель_01.11", "06.2022_ФинХД", "Обороты по клиентам по кварталам (2022г)", "Участники клиринга"</t>
  </si>
  <si>
    <t>25.11.23.119 Конструкции и детали конструкций из черных металлов прочие, не включенные в другие группировки
52.29.19.110 Услуги по экспедированию грузов
49.20 Услуги железнодорожного транспорта по перевозке грузов
52.29.19 Услуги грузовых транспортно-экспедиционных агентств прочие
49.20.14.000 Услуги железнодорожного транспорта по перевозке контейнеров для смешанной перевозки
25.99.29.190 Изделия прочие из недрагоценных металлов, не включенные в другие группировки
49.20.19.190 Услуги железнодорожного транспорта по перевозке прочих грузов, не включенные в другие группировки
52.29.1 Услуги грузовых транспортно-экспедиционных агентств</t>
  </si>
  <si>
    <t>За весь период компания заключила  3 контрактов на сумму  3 280 000 000,00 ?</t>
  </si>
  <si>
    <t>"223 за 3 года", ".", "fk1", "корп 1", "все клиенты с выручкой от 1,8 млрд до бесконечности", "ФК клиенты с выручкой от 230 до бесконечности", "рейтинг заказчиков маркер", "рейтинг по нмц маркер", "это заказчик", "поставщики маркер"</t>
  </si>
  <si>
    <t>Сообщения о принятии решения о реорганизации от 21.09.2022</t>
  </si>
  <si>
    <t>29.10 Средства автотранспортные
28.92.2 Машины прочие для перемещения, грейдерных работ, планирования, скреперных работ, выемки, трамбовки, уплотнения или добычи, самоходные, для грунта, минералов или руд (включая бульдозеры, одноковшовые экскаваторы и дорожные катки)
28.92 Оборудование для добычи полезных ископаемых подземным и открытым способами и строительства</t>
  </si>
  <si>
    <t>19.20.21.321 Топливо дизельное зимнее вне классов
19.20.21 Топливо моторное, включая автомобильный и авиационный бензин
19.20.21.100 Бензин автомобильный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19.20.21.323 Топливо дизельное зимнее экологического класса К3
19.20.31.110 Пропан сжиженный
19.20.21.315 Топливо дизельное летнее экологического класса К5
19.20.21.320 Топливо дизельное зимнее
19.20.21.345 Топливо дизельное межсезонное экологического класса К5 ****</t>
  </si>
  <si>
    <t>74.90 Услуги профессиональные, научные и технические, прочие, не включенные в другие группировки
52.29.1 Услуги грузовых транспортно-экспедиционных агентств
35.12 Услуги по передаче электроэнергии и технологическому присоединению к распределительным электросетям</t>
  </si>
  <si>
    <t>За весь период компания заключила  21 контрактов на сумму  25 517 178 363,31 ?</t>
  </si>
  <si>
    <t>"поставщики маркер", ".", "Участники клиринга", "рейтинг заказчиков маркер", "рейтинг по нмц маркер", "это заказчик"</t>
  </si>
  <si>
    <t>71.12.20.190 Услуги по руководству строительными проектами прочие
71.1 Услуги в области архитектуры, инженерно-технического проектирования и связанные технические консультативные услуги
71.12.1 Услуги инженерно-технического характера</t>
  </si>
  <si>
    <t>1 366</t>
  </si>
  <si>
    <t>За весь период компания заключила  25 контрактов на сумму  5 481 815 772,05 ?                                     ЗА 3 ГОДА ПО 223 ФЗ заключено 42 шт. с объемом НМЦ 209 741 927,22 ?</t>
  </si>
  <si>
    <t>69.20.21.000 Услуги по ведению (восстановлению) бухгалтерского учета
26.30.11.110 Средства связи, выполняющие функцию систем коммутации</t>
  </si>
  <si>
    <t>За весь период компания заключила  11 контрактов на сумму  5 962 042 829,90 ?                                     ЗА 3 ГОДА ПО 223 ФЗ заключено 26 шт. с объемом НМЦ 150 073 293,59 ?</t>
  </si>
  <si>
    <t>68 Услуги по операциям с недвижимым имуществом
35.30.11.120 Энергия тепловая, отпущенная котельными</t>
  </si>
  <si>
    <t>За весь период компания заключила  5 контрактов на сумму  3 635 217 861,86 ?                                     ЗА 3 ГОДА ПО 223 ФЗ заключено 52 шт. с объемом НМЦ 2 233 238 234,14 ? за 1 ГОД ПО 223ФЗ заключено 12  350 439 644,71 ?</t>
  </si>
  <si>
    <t>"223 за 3 года", ".", "беники", "Конкурсы 100+ (Восстановленный)", "все клиенты с выручкой от 1,8 млрд до бесконечности", "223 фз контракты 20+", "рейтинг заказчиков маркер", "производители", "рейтинг по нмц маркер"</t>
  </si>
  <si>
    <t>71.12.40.120 Услуги в области метрологии
33.20 Услуги по монтажу промышленных машин и оборудования
49.50.11 Услуги по транспортировке по трубопроводам нефти и нефтепродуктов
28.99.39.190 Оборудование специального назначения прочее, не включенное в другие группировки
24.20 Трубы, профили пустотелые и их фитинги стальные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47.99.90 Услуги по прочей розничной торговле вне магазинов, нестационарных торговых объектов, рынков, не включенной в другие группировки
28.9 Оборудование специального назначения прочее
33.11.12.000 Услуги по ремонту и техническому обслуживанию резервуаров, цистерн и емкостей из металла
28.14.13.120 Задвижки ****</t>
  </si>
  <si>
    <t>За весь период контрактов 20 шт. на общую сумму НМЦ 15 611 896 098,27 ?</t>
  </si>
  <si>
    <t>19.20.21.100 Бензин автомобильный
71.20.19.112 Услуги по проведению негосударственной экспертизы проектной документации и результатов инженерных изысканий
19.20.21.300 Топливо дизельное
33.11.12.000 Услуги по ремонту и техническому обслуживанию резервуаров, цистерн и емкостей из металла
49.41.20.000 Услуги по аренде грузовых транспортных средств с водителем
52.21.29.000 Услуги, связанные с автомобильным транспортом, прочие
49.3 Услуги сухопутного пассажирского транспорта прочие
81.29.19.000 Услуги по чистке и уборке прочие, не включенные в другие группировки
28 Машины и оборудование, не включенные в другие группировки
71.12.13.000 Услуги по инженерно-техническому проектированию систем энергоснабжения ****</t>
  </si>
  <si>
    <t>За весь период компания заключила  6 контрактов на сумму  1 705 346 143,93 ? За весь период заходили в конкурсы  5 раз на общую сумму обеспеченных контрактов с НМЦ 1 282 660 562,20 ? с БГУ  0,00 ? с БГИ 139 747 156,00 ?                             ЗА 3 ГОДА ПО 223 ФЗ заключено 76 шт. с объемом НМЦ 2 412 221 454,59 ? за 1 ГОД ПО 223ФЗ заключено 20  794 053 310,26 ?</t>
  </si>
  <si>
    <t>"223 за 3 года", ".", "рейтинг поставщиков в маркере по бг", "беники", "Конкурсы 100+ (Восстановленный)", "223 фз контракты 20+", "рейтинг заказчиков маркер", "рейтинг по нмц маркер"</t>
  </si>
  <si>
    <t>32.99.11.170 Средства защиты органов слуха
32.99.11.120 Респираторы
20.42.15.150 Средства защитные для кожи (включая солнцезащитные и для загара), не включенные в другие группировки
27.32.13 Проводники электрические прочие на напряжение не более 1 кВ
27.40.1 Лампы накаливания или газоразрядные лампы; дуговые лампы; светодиодные лампы
19.20.2 Топливо жидкое и газообразное; масла смазочные
15.20.32.120 Обувь различная специальная
25.73 Инструмент
20.41.31.140 Мыло хозяйственное жидкое
32.50.42.120 Очки защитные ****</t>
  </si>
  <si>
    <t>За весь период компания заключила  3 контрактов на сумму  1 047 992 501,83 ?                                     ЗА 3 ГОДА ПО 223 ФЗ заключено 27 шт. с объемом НМЦ 827 163 282,37 ? за 1 ГОД ПО 223ФЗ заключено 2  13 750 272,12 ?</t>
  </si>
  <si>
    <t>"223 за 3 года", ".", "беники", "все клиенты с выручкой от 1,8 млрд до бесконечности", "рейтинг заказчиков маркер", "рейтинг по нмц маркер", "поставщики маркер"</t>
  </si>
  <si>
    <t>71.12.40.120 Услуги в области метрологии
71.20.1 Услуги в области технических испытаний, исследований и анализа
72.19.50.000 Работы оригинальные научных исследований и экспериментальных разработок в области естественных и технических наук, кроме биотехнологии
71.20.19 Услуги по техническим испытаниям и анализу прочие
71.12 Услуги в области инженерно-технического проектирования и связанные технические консультативные услуги
71.12.11 Услуги в виде научно-технических консультаций
33.12.22.000 Услуги по ремонту и техническому обслуживанию металлообрабатывающего оборудования и станков
33.12.29.900 Услуги по ремонту и техническому обслуживанию прочего оборудования специального назначения, не включенные в другие группировки
71.12.39 Услуги в области геологических, геофизических и взаимосвязанных изыскательных работ прочие, не включенные в другие группировки
71.20.12.000 Услуги в области испытаний, исследований и анализа физико-механических свойств материалов и веществ ****</t>
  </si>
  <si>
    <t>1 833</t>
  </si>
  <si>
    <t>За весь период контрактов 33 шт. на общую сумму НМЦ 16 549 294 137,26 ?</t>
  </si>
  <si>
    <t>"223 за 3 года", ".", "беники", "все клиенты с выручкой от 1,8 млрд до бесконечности", "рейтинг заказчиков маркер", "производители", "рейтинг по нмц маркер", "это заказчик"</t>
  </si>
  <si>
    <t>37.00.11.110 Услуги по водоотведению сточных вод
24.20.13 Трубы круглого сечения прочие стальные
35.30.11.120 Энергия тепловая, отпущенная котельными
68.20.1 Услуги по сдаче в аренду (внаем) собственного или арендованного недвижимого имущества
52.21.29.000 Услуги, связанные с автомобильным транспортом, прочие
35.30.11.110 Энергия тепловая, отпущенная электростанциями
35.30.1 Пар и горячая вода; услуги по снабжению паром и горячей водой
35.30.11.119 Энергия тепловая, отпущенная прочими электростанциями
36.00.11.000 Вода питьевая</t>
  </si>
  <si>
    <t>За весь период компания заключила  3 контрактов на сумму  2 579 023 073,80 ?</t>
  </si>
  <si>
    <t>71.12.40.120 Услуги в области метрологии
35.30.11.120 Энергия тепловая, отпущенная котельными
33.12 Услуги по ремонту оборудования
35.30.11.111 Энергия тепловая, отпущенная тепловыми электроцентралями (ТЭЦ)
96.09.19.139 Прочие персональные услуги, не включенные в другие группировки
68.20.12.000 Услуги по сдаче в аренду (внаем) собственных или арендованных нежилых помещений
71.20 Услуги в области технических испытаний, исследований, анализа и сертификации
36.00.20.130 Услуги по транспортированию и распределению воды по водопроводам</t>
  </si>
  <si>
    <t>Заказчик разыгравший 2299 конкурсов на сумму  317 926 880 959,15 ?</t>
  </si>
  <si>
    <t>Сообщения о принятии решения о реорганизации от 20.03.2020</t>
  </si>
  <si>
    <t>71.12.40.120 Услуги в области метрологии
71.20.19.111 Услуги по проведению государственной экспертизы проектной документации и результатов инженерных изысканий
72.19.50 Работы оригинальные научных исследований и экспериментальных разработок в области естественных и технических наук, кроме биотехнологии
71.20 Услуги в области технических испытаний, исследований, анализа и сертификации
71.12.40.129 Услуги в области метрологии прочие, не включенные в другие группировки</t>
  </si>
  <si>
    <t>За весь период компания заключила  21 контрактов на сумму  1 347 065 004,29 ?</t>
  </si>
  <si>
    <t>77.32.10.000 Услуги по аренде и лизингу строительных машин и оборудования для гражданского строительства</t>
  </si>
  <si>
    <t>За весь период компания заключила  3 контрактов на сумму  622 039 815,60 ?                                     ЗА 3 ГОДА ПО 223 ФЗ заключено 16 шт. с объемом НМЦ 220 474 138,00 ? за 1 ГОД ПО 223ФЗ заключено 4  364 806 114,60 ?</t>
  </si>
  <si>
    <t>"223 за 3 года", ".", "Конкурсы 100+ (Восстановленный)", "все клиенты с выручкой от 1,8 млрд до бесконечности", "223 фз контракты 20+", "рейтинг заказчиков маркер", "производители", "рейтинг по нмц маркер"</t>
  </si>
  <si>
    <t>86.21.10.190 Услуги, предоставляемые врачами общей врачебной практики, прочие, не включенные в другие группировки
52.2 Услуги транспортные вспомогательные
77.39.1 Услуги по аренде и лизингу прочих машин, оборудования и материальных средств, не включенных в другие группировки
86.21 Услуги в области общей врачебной практики
33.12.1 Услуги по ремонту и техническому обслуживанию оборудования общего назначения
33.12 Услуги по ремонту оборудования
68.20.11.000 Услуги по сдаче в аренду (внаем) собственных или арендованных жилых помещений</t>
  </si>
  <si>
    <t>За весь период компания заключила  4 контрактов на сумму  3 076 237 525,38 ?                                     ЗА 3 ГОДА ПО 223 ФЗ заключено 16 шт. с объемом НМЦ 481 511 715,18 ? за 1 ГОД ПО 223ФЗ заключено 3  335 782 428,00 ?</t>
  </si>
  <si>
    <t>64.99.19.160 Услуги по финансовой взаимопомощи
28.14 Арматура трубопроводная (арматура) (краны, клапаны и прочие)
24.2 Трубы, профили пустотелые и их фитинги стальные
71.12.1 Услуги инженерно-технического характера
33.19.10.000 Услуги по ремонту прочего оборудования
27.32 Провода и кабели электронные и электрические прочие
27.90.11 Машины электрические и аппаратура специализированные
24.20.4 Фитинги для труб стальные, кроме литых
35.30.1 Пар и горячая вода; услуги по снабжению паром и горячей водой
42.21.11.110 Трубопроводы магистральные наземные и подводные для перекачки нефтепродуктов и газа ****</t>
  </si>
  <si>
    <t>За весь период компания заключила  9 контрактов на сумму  19 367 390 160,85 ?</t>
  </si>
  <si>
    <t>"поставщики маркер", ".", "беники", "рейтинг заказчиков маркер", "производители", "рейтинг по нмц маркер"</t>
  </si>
  <si>
    <t>20.3 Материалы лакокрасочные и аналогичные для нанесения покрытий, полиграфические краски и мастики
24.20.13 Трубы круглого сечения прочие стальные
24.20.21.000 Трубы для нефте- и газопроводов сварные, наружным диаметром более 406,4 мм, стальные
71.12.1 Услуги инженерно-технического характера
27.90.11 Машины электрические и аппаратура специализированные</t>
  </si>
  <si>
    <t>За весь период контрактов 8 шт. на общую сумму НМЦ 4 194 912 299,18 ?</t>
  </si>
  <si>
    <t>"рейтинг по нмц маркер", ".", "беники", "все клиенты с выручкой от 1,8 млрд до бесконечности", "рейтинг заказчиков маркер"</t>
  </si>
  <si>
    <t>71.12.1 Услуги инженерно-технического характера
33.13.11.000 Услуги по ремонту и техническому обслуживанию инструментов и приборов для измерения, испытаний и навигации</t>
  </si>
  <si>
    <t>Заказчик разыгравший 1891 конкурсов на сумму  183 653 058 868,32 ?</t>
  </si>
  <si>
    <t>84.25 Услуги по обеспечению безопасности в чрезвычайных ситуациях; услуги по обеспечению безопасности в области использования атомной энергии
52.22.13 Услуги лоцманские и услуги по постановке судов к причалу в морских и прибрежных водах
84.25.19 Услуги по обеспечению безопасности в чрезвычайных ситуациях прочие</t>
  </si>
  <si>
    <t>за 1 ГОД ПО 223ФЗ заключено 1  83 233 126,44 ?</t>
  </si>
  <si>
    <t>"223 за 3 года", ".", "223 фз контракты 20+", "рейтинг заказчиков маркер", "рейтинг по нмц маркер"</t>
  </si>
  <si>
    <t>37.00.11.110 Услуги по водоотведению сточных вод
49.50.11.120 Услуги по транспортировке по трубопроводам нефтепродуктов
71.12.1 Услуги инженерно-технического характера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74.90 Услуги профессиональные, научные и технические, прочие, не включенные в другие группировки
35.30.11.120 Энергия тепловая, отпущенная котельными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37.00 Услуги по водоотведению; шлам сточных вод
28.15 Подшипники, зубчатые колеса, зубчатые передачи и элементы приводов
36.00.20.130 Услуги по транспортированию и распределению воды по водопроводам ****</t>
  </si>
  <si>
    <t>За весь период компания заключила  9 контрактов на сумму  11 347 079 842,93 ?</t>
  </si>
  <si>
    <t>"поставщики маркер", ".", "беники", "все клиенты с выручкой от 1,8 млрд до бесконечности", "рейтинг заказчиков маркер", "производители", "рейтинг по нмц маркер", "это заказчик", "crm управления", "crm Пител"</t>
  </si>
  <si>
    <t>62 Продукты программные и услуги по разработке программного обеспечения; консультационные и аналогичные услуги в области информационных технологий
69.10.19 Услуги юридические прочие
62.09 Услуги в области информационных технологий прочие и компьютерные услуги
62.02.30.000 Услуги по технической поддержке информационных технологий</t>
  </si>
  <si>
    <t>За весь период компания заключила  3 контрактов на сумму  1 010 782 747,31 ?                                     ЗА 3 ГОДА ПО 223 ФЗ заключено 4 шт. с объемом НМЦ 2 719 792 640,87 ? за 1 ГОД ПО 223ФЗ заключено 4  1 372 762 846,70 ?</t>
  </si>
  <si>
    <t>36.00.20.110 Услуги по очистке и подготовке воды для водоснабжения
35.30.11 Пар и горячая вода
35.30.11.120 Энергия тепловая, отпущенная котельными
26.20 Компьютеры и периферийное оборудование
68.20.12.000 Услуги по сдаче в аренду (внаем) собственных или арендованных нежилых помещений
31.09.11 Мебель металлическая, не включенная в другие группировки
14.12 Спецодежда
26.51.43.110 Приборы цифровые электроизмерительные
27.11.10.130 Генераторы постоянного тока</t>
  </si>
  <si>
    <t>За весь период компания заключила  5 контрактов на сумму  2 619 641 429,49 ?</t>
  </si>
  <si>
    <t>71.12.1 Услуги инженерно-технического характера</t>
  </si>
  <si>
    <t>За весь период компания заключила  6 контрактов на сумму  1 296 020 846,84 ?</t>
  </si>
  <si>
    <t>71.20.19 Услуги по техническим испытаниям и анализу прочие
35.30.11.120 Энергия тепловая, отпущенная котельными
30.20.40.150 Оборудование тормозное подвижного состава железных дорог
35.30.11.111 Энергия тепловая, отпущенная тепловыми электроцентралями (ТЭЦ)
28.13.24 Компрессоры воздушные передвижные на колесных шасси</t>
  </si>
  <si>
    <t>За весь период компания заключила  6 контрактов на сумму  4 902 985 822,10 ?</t>
  </si>
  <si>
    <t>46.6 Услуги по оптовой торговле прочими машинами, оборудованием и инструментами
27.90.60.000 Резисторы, кроме нагревательных резисторов
28.99.39.190 Оборудование специального назначения прочее, не включенное в другие группировки
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
27.33.13.190 Устройства коммутационные и/или предохранительные для электрических цепей прочие, не включенные в другие группировки
62.01.29.000 Оригиналы программного обеспечения прочие
27.90.70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</si>
  <si>
    <t>За весь период компания заключила  26 контрактов на сумму  9 125 614 361,42 ?                                     ЗА 3 ГОДА ПО 223 ФЗ заключено 26 шт. с объемом НМЦ 2 124 361 625,60 ? за 1 ГОД ПО 223ФЗ заключено 11  1 308 490 499,35 ?</t>
  </si>
  <si>
    <t>"223 за 3 года", ".", "Конкурсы 100+ (Восстановленный)", "все клиенты с выручкой от 1,8 млрд до бесконечности", "223 фз контракты 20+", "рейтинг по нмц маркер", "поставщики маркер"</t>
  </si>
  <si>
    <t>52.29.19 Услуги грузовых транспортно-экспедиционных агентств прочие
52.29.2 Услуги транспортные вспомогательные прочие, не включенные в другие группировки
49.20.14.000 Услуги железнодорожного транспорта по перевозке контейнеров для смешанной перевозки
49.20.19.190 Услуги железнодорожного транспорта по перевозке прочих грузов, не включенные в другие группировки
49.41.20.000 Услуги по аренде грузовых транспортных средств с водителем
52.24 Услуги по обработке грузов</t>
  </si>
  <si>
    <t>За весь период компания заключила  6 контрактов на сумму  736 450 000,00 ?                                         за 1 ГОД ПО 223ФЗ заключено 1  17 805 300,00 ?</t>
  </si>
  <si>
    <t>49.41.2 Услуги по аренде грузовых транспортных средств с водителем
49.39.39.000 Услуги по перевозке пассажиров сухопутным транспортом прочие, не включенные в другие группировки
49.41.19.900 Услуги по перевозке грузов автомобильным транспортом прочие, не включенные в другие группировки</t>
  </si>
  <si>
    <t>1 155</t>
  </si>
  <si>
    <t>За весь период компания заключила  3 контрактов на сумму  305 307 406,20 ?</t>
  </si>
  <si>
    <t>38.11.19.000 Услуги по сбору прочих неопасных отходов, пригодных для повторного использования
38.11.31.000 Отходы неопасные бытовые, непригодные для повторного использования
38.11 Отходы неопасные; услуги по сбору неопасных отходов
38.12.11.000 Услуги по сбору опасных медицинских и прочих биологически опасных отходов
38.21.29.000 Услуги по утилизации неопасных отходов прочие
38 Услуги по сбору, обработке и удалению отходов; услуги по утилизации отходов
38.11.29.000 Услуги по сбору прочих неопасных отходов, непригодных для повторного использования
38.21.10.000 Услуги по переработке отходов неопасных для окончательной утилизации
38.1 Отходы; услуги по сбору отходов
38.21.22.000 Услуги по прочему захоронению мусора ****</t>
  </si>
  <si>
    <t>За весь период компания заключила  14 контрактов на сумму  9 185 672 385,32 ? За весь период заходили в конкурсы  23 раз на общую сумму обеспеченных контрактов с НМЦ 7 900 719 874,93 ? с БГУ  298 657 421,17 ? с БГИ 1 470 886 553,16 ? За 3 ГОДА по 44ФЗ заключено 46 шт. с объемом НМЦ  6 160 840 232,50 ? с БГИ 445 967 934,76 ? с БГГО 0,00 ? с авансированием до 0,00 ? с комиссией банку 10 286 521,66 ? с кв 89 492,74 ? ЗА 1 ГОД по 44ФЗ заключено 15 шт. c объемом НМЦ 2 057 509 270,01 ? с БГИ 111 342 254,20 ? с БГГО 0,00 ? с авансированием до  0,00 ? с комиссией банку  3 423 982,68 ? с кв 29 788,65 ?</t>
  </si>
  <si>
    <t>"223 за 3 года", "кл фт агент бг 04.22", ".", "рейтинг поставщиков в маркере по бг", "фб 22.11", "все клиенты с выручкой от 1,8 млрд до бесконечности", "действующие б не прям", "ФТ клиенты с продуктами по сотрудникам", "44 фз с с БГ от 10 млн", "рейтинг по нмц маркер", "crm управления", "в crm за Эльшаном", "поставщики маркер", "44 за 3 года"</t>
  </si>
  <si>
    <t>29.20.23.120 Прицепы-цистерны и полуприцепы-цистерны для перевозки нефтепродуктов, воды и прочих жидкостей
52.21.19.130 Услуги железнодорожных перегрузочных товарных станций
52.29.1 Услуги грузовых транспортно-экспедиционных агентств</t>
  </si>
  <si>
    <t>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41.20.40.900 Работы строительные по возведению нежилых зданий и сооружений прочие, не включенные в другие группировки
30.20.40.140 Комплектующие (запасные части) прочего подвижного состава, не имеющие самостоятельных группировок
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
26.30.12.000 Аппаратура коммуникационная передающая без приемных устройств
26.30.11 Аппаратура коммуникационная передающая с приемными устройствами
26.30.11.110 Средства связи, выполняющие функцию систем коммутации</t>
  </si>
  <si>
    <t>За весь период компания заключила  7 контрактов на сумму  1 104 026 119,26 ? За весь период заходили в конкурсы  2 раз на общую сумму обеспеченных контрактов с НМЦ 117 244 034,00 ? с БГУ  2 356 664,00 ? с БГИ 11 783 320,00 ?                             ЗА 3 ГОДА ПО 223 ФЗ заключено 15 шт. с объемом НМЦ 2 587 457 809,67 ?</t>
  </si>
  <si>
    <t>"223 за 3 года", ".", "рейтинг поставщиков в маркере по бг", "fk1", "инн Красносельская",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"рейтинг по нмц маркер", "поставщики маркер"</t>
  </si>
  <si>
    <t>45.11 Услуги по торговле легковыми автомобилями и грузовыми автомобилями малой грузоподъемности
29.10.30.112 Автобусы, предназначенные для перевозки только сидящих пассажиров, имеющие технически допустимую максимальную массу более 5 т
29.10.30.119 Автобусы, имеющие технически допустимую максимальную массу более 5 т, прочие
29.10.59.390 Средства автотранспортные специального назначения прочие, не включенные в другие группировки
29.10.30.110 Автобусы, имеющие технически допустимую максимальную массу более 5 т
29.10.30.111 Автобусы, предназначенные для перевозки стоящих и сидящих пассажиров, имеющие технически допустимую максимальную массу более 5 т</t>
  </si>
  <si>
    <t>За весь период заходили в конкурсы  2 раз на общую сумму обеспеченных контрактов с НМЦ 327 377 129,37 ? с БГУ  3 468 250,05 ? с БГИ 107 422 861,44 ?</t>
  </si>
  <si>
    <t>"44 за 3 года", ".", "рейтинг поставщиков в маркере по бг", "ГРАНДИОЗНЫЙ ПРОЕКТ", "Агентские отказ из-за непред-я док-ов", "fk1", "ПОС на 01.02.2023", "ПОС на 03.04.2023", "Кредитный портфель_01.11", "06.2022_ФинХД", "Обороты по клиентам по кварталам (2022г)", "Одобренные но не выданные 1 полугодие 2021", "рейтинг по нмц маркер", "поставщики маркер"</t>
  </si>
  <si>
    <t>За весь период компания заключила  35 контрактов на сумму  44 195 525 040,29 ?</t>
  </si>
  <si>
    <t>30.20.91 Услуги по восстановлению и оснащению (завершению) железнодорожных локомотивов, трамвайных моторных вагонов и прочего подвижного состава
33.14 Услуги по ремонту электрического оборудования</t>
  </si>
  <si>
    <t>2 692</t>
  </si>
  <si>
    <t>За весь период компания заключила  2 контрактов на сумму  570 589 241,90 ?</t>
  </si>
  <si>
    <t>"223 за 3 года", ".", "fk1", "ПОС на 01.02.2023", "ПОС на 03.04.2023",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t>
  </si>
  <si>
    <t>За весь период контрактов 4 шт. на общую сумму НМЦ 26 263 167 723,01 ?</t>
  </si>
  <si>
    <t>28.14.12.110 Краны, клапаны для раковин, моек, биде, унитазов, ванн и аналогичная арматура
24.10.33 Прокат листовой горячекатаный из нержавеющих сталей, без дополнительной обработки, шириной не менее 600 мм
24.10.42 Прокат листовой холоднокатаный из нержавеющих сталей, без дополнительной обработки, шириной не менее 600 мм
24.10.61.111 Прокат сортовой горячекатаный круглый со свободной намоткой в бухты из нелегированных сталей
24.10.61.113 Прокат сортовой горячекатаный шестигранный со свободной намоткой в бухты из нелегированных сталей
24.10.62.124 Прокат сортовой горячекатаный полосовой прочий, без дополнительной обработки, включая смотанный после прокатки, из нелегированных сталей
24.20.13.130 Трубы стальные электросварные
24.10.22.119 Формы первичные из нержавеющей стали прочие
24.10.22.149 Полуфабрикаты круглого или многоугольного сечения из нержавеющей стали прочие
25.11.23.119 Конструкции и детали конструкций из черных металлов прочие, не включенные в другие группировки ****</t>
  </si>
  <si>
    <t>За весь период заходили в конкурсы  3 раз на общую сумму обеспеченных контрактов с НМЦ 248 740 293,42 ? с БГУ  14 058 662,73 ? с БГИ 28 117 325,43 ?                             ЗА 3 ГОДА ПО 223 ФЗ заключено 12 шт. с объемом НМЦ 96 975 727,47 ?</t>
  </si>
  <si>
    <t>За весь период контрактов 6 шт. на общую сумму НМЦ 2 904 658 235,01 ?</t>
  </si>
  <si>
    <t>"поставщики маркер", ".", "рейтинг поставщиков в маркере по бг", "fk1", "корп 1", "ПСБ Гарантии ", "ушедшие", "все клиенты с выручкой от 1,8 млрд до бесконечности", "ФК клиенты с выручкой от 230 до бесконечности", "рейтинг по нмц маркер"</t>
  </si>
  <si>
    <t>За весь период контрактов 3 шт. на общую сумму НМЦ 506 597 809 449,18 ?</t>
  </si>
  <si>
    <t>42.22.22.110 Работы строительные по прокладке местных линий электропередачи и связи над землей или под землей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43.99.90.190 Работы строительные специализированные прочие, не включенные в другие группировки
33.20.50.000 Услуги по монтажу электрического оборудования
35.12.10.120 Услуги по технологическому присоединению к распределительным электросетям
27.90.40.190 Оборудование электрическое прочее, не включенное в другие группировки
42.12 Дороги железные наземные и подземные; строительные работы по строительству наземных и подземных железных дорог
42.12.20.190 Работы строительные по строительству наземных и подземных железных дорог прочие, не включенные в другие группировки
43.29.19.190 Работы монтажные прочие, не включенные в другие группировки
43 Работы строительные специализированные ****</t>
  </si>
  <si>
    <t>За весь период компания заключила  9 контрактов на сумму  3 426 094 260,92 ? За весь период заходили в конкурсы  1 раз на общую сумму обеспеченных контрактов с НМЦ 498 499 242,38 ? с БГУ  16 511 153,49 ? с БГИ 27 518 589,15 ?                             ЗА 3 ГОДА ПО 223 ФЗ заключено 25 шт. с объемом НМЦ 11 405 921 652,18 ? за 1 ГОД ПО 223ФЗ заключено 3  2 232 716 997,12 ?</t>
  </si>
  <si>
    <t>"223 за 3 года", ".", "рейтинг поставщиков в маркере по бг", "Конкурсы 100+ (Восстановленный)", "все клиенты с выручкой от 1,8 млрд до бесконечности", "223 фз контракты 20+", "рейтинг по нмц маркер", "crm управления", "в crm за Чимровым", "поставщики маркер"</t>
  </si>
  <si>
    <t>43.99.90.190 Работы строительные специализированные прочие, не включенные в другие группировки
43.39.19.190 Работы завершающие и отделочные в зданиях и сооружениях, прочие, не включенные в другие группировки
43.29.19 Работы строительно-монтажные прочие, не включенные в другие группировки
28.22.16.110 Лифты
43.29.19.110 Работы по монтажу лифтов, эскалаторов и движущихся тротуаров, требующие специальной квалификации, включая ремонт и техническое обслуживание
33.12.15.000 Услуги по ремонту и техническому обслуживанию подъемно-транспортного оборудования
28.22.16.111 Лифты пассажирские
43.29.19.190 Работы монтажные прочие, не включенные в другие группировки
28.22.1 Оборудование подъемно-транспортное и его части</t>
  </si>
  <si>
    <t>За весь период компания заключила  98 контрактов на сумму  29 947 086 304,57 ? За весь период заходили в конкурсы  328 раз на общую сумму обеспеченных контрактов с НМЦ 42 696 455 956,41 ? с БГУ  2 481 318 453,44 ? с БГИ 10 761 261 446,31 ?</t>
  </si>
  <si>
    <t>"223 за 3 года", ".", "рейтинг поставщиков в маркере по бг", "fk1", "ПСБ Гарантии ", "все клиенты с выручкой от 1,8 млрд до бесконечности", "производители", "рейтинг по нмц маркер", "поставщики маркер", "44 за 3 года"</t>
  </si>
  <si>
    <t>28.25.13.112 Камеры холодильные сборные
01.11.20.111 Зерно лопающейся (рисовой) кукурузы
28.93.15.124 Сковороды опрокидывающиеся, жаровни и фритюрницы
28.21.13.110 Печи и камеры промышленные или лабораторные электрические
27.51.21 Приборы бытовые электромеханические со встроенным электродвигателем
27.51.21.129 Машины и приборы для механизации кухонных работ прочие, не включенные в другие группировки
28.93.17.113 Машины месильно-перемешивающие
10.41.58.000 Масло кокосовое и его фракции рафинированные, но не подвергнутые химической модификации
17.29.99.000 Услуги по производству прочих изделий из бумаги и картона отдельные, выполняемые субподрядчиком
31 Мебель ****</t>
  </si>
  <si>
    <t>"223 за 3 года", ".", "fk1", "корп 2",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"поставщики маркер"</t>
  </si>
  <si>
    <t>52.29.19.110 Услуги по экспедированию грузов
51.21.1 Услуги по перевозке грузов воздушным транспортом
52.2 Услуги транспортные вспомогательные
49.41.11.000 Услуги по перевозке автомобильным транспортом грузов в автофургонах-рефрижераторах
49.42 Услуги по переезду
51.21.14 Услуги по перевозке прочих грузов воздушным транспортом на нерегулярной основе
52.21.29.000 Услуги, связанные с автомобильным транспортом, прочие
50.40.19 Услуги по перевозке грузов внутренним водным транспортом прочие
52.1 Услуги по складированию и хранению
50.20.19 Услуги по заграничным и каботажным перевозкам морскими судами прочих грузов ****</t>
  </si>
  <si>
    <t>1 281</t>
  </si>
  <si>
    <t>52.10.12.110 Услуги по хранению и складированию нефти и продуктов ее переработки
45.20.21.515 Топливозаправочные работы (бензин, дизельное топливо, газ)</t>
  </si>
  <si>
    <t>За весь период компания заключила  8 контрактов на сумму  472 263 943,63 ? За весь период заходили в конкурсы  25 раз на общую сумму обеспеченных контрактов с НМЦ 1 298 882 078,58 ? с БГУ  58 866 395,66 ? с БГИ 342 968 896,00 ? За 3 ГОДА по 44ФЗ заключено 8 шт. с объемом НМЦ  522 000 000,00 ? с БГИ 52 200 000,00 ? с БГГО 0,00 ? с авансированием до 8 000 000,00 ? с комиссией банку 553 643,84 ? с кв 4 816,70 ?</t>
  </si>
  <si>
    <t>Сообщение кредитора о намерении обратиться в суд с заявлением о банкротстве от 22.06.2020</t>
  </si>
  <si>
    <t>"44 за 3 года", ".", "рейтинг поставщиков в маркере по бг", "Участники клиринга", "производители", "рейтинг по нмц маркер", "поставщики маркер"</t>
  </si>
  <si>
    <t>На 27.10.2022 11:30 имеются действующие решения ФНС о приостановлении операций по счетам, Сообщение кредитора о намерении обратиться в суд с заявлением о банкротстве от 17.09.2018</t>
  </si>
  <si>
    <t>27.20.22.000 Аккумуляторы свинцовые, кроме используемых для запуска поршневых двигателей
26.20.18.000 Устройства периферийные с двумя или более функциями: печать данных, копирование, сканирование, прием и передача факсимильных сообщений
26.20.1 Компьютеры, их части и принадлежности
26.30.30.000 Части и комплектующие коммуникационного оборудования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26.20.17.120 Проекторы, подключаемые к компьютеру
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26.20.14.000 Машины вычислительные электронные цифровые, поставляемые в виде систем для автоматической обработки данных ****</t>
  </si>
  <si>
    <t>46.33.11 Услуги по оптовой торговле молочными продуктами
46.33.1 Услуги по оптовой торговле молочными продуктами, яйцами, пищевыми маслами и жирами</t>
  </si>
  <si>
    <t>2 557</t>
  </si>
  <si>
    <t>28.25.12.130 Кондиционеры бытовые
28.25 Оборудование промышленное холодильное и вентиляционное
28.25.12 Оборудование для кондиционирования воздуха
28.25.12.190 Оборудование для кондиционирования воздуха прочее, не включенное в другие группировки</t>
  </si>
  <si>
    <t>"поставщики маркер", ".", "fk1", "корп 2",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</si>
  <si>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19.20.21.100 Бензин автомобильный
19.20.21.300 Топливо дизельное</t>
  </si>
  <si>
    <t>42.22.22.110 Работы строительные по прокладке местных линий электропередачи и связи над землей или под землей
43.12.11.130 Работы по подготовке участка для горных работ: работы по удалению вскрыши и прочие работы по разработке и подготовке месторождений полезных ископаемых и участков, включая прокладку тоннелей, кроме услуг, связанных с добычей нефти и газа
68.20.12.000 Услуги по сдаче в аренду (внаем) собственных или арендованных нежилых помещений</t>
  </si>
  <si>
    <t>1 250</t>
  </si>
  <si>
    <t>За три года по 44фз заключено 10 контрактов с общей суммой 189 611 433,57 ? с объемом БГИ 38 116 546,01 ? с наличием БГГО 1 848 881,81 ? с авансированием до  36 861 837,57 ? с комиссией по БГИ  806 969,14 ? и кв 7 020,55 ?</t>
  </si>
  <si>
    <t>41.20.10.120 Здания общежитий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43.11.10.000 Работы по сносу зданий и сооружений
43.22.12.190 Работы по монтажу систем отопления, вентиляции и кондиционирования воздуха прочие, не включенные в другие группировки
41.20.20.100 Здания нежилые
68.10.11.000 Услуги по покупке и продаже жилых зданий и занимаемых ими земельных участков
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t>
  </si>
  <si>
    <t>За весь период компания заключила  14 контрактов на сумму  6 602 941 555,54 ? За весь период заходили в конкурсы  36 раз на общую сумму обеспеченных контрактов с НМЦ 10 485 486 035,32 ? с БГУ  554 875 540,99 ? с БГИ 2 532 287 438,37 ? За 3 ГОДА по 44ФЗ заключено 28 шт. с объемом НМЦ  1 864 532 514,38 ? с БГИ 257 976 488,14 ? с БГГО 57 551 186,02 ? с авансированием до 39 197 750,09 ? с комиссией банку 1 106 724,53 ? с кв 9 628,50 ? ЗА 1 ГОД по 44ФЗ заключено 2 шт. c объемом НМЦ 397 286 053,76 ? с БГИ 100 098 134,69 ? с БГГО 5 881 628,00 ? с авансированием до  38 175 362,88 ? с комиссией банку  2 867 544,41 ? с кв 24 947,64 ? ЗА 3 ГОДА ПО 223 ФЗ заключено 1 шт. с объемом НМЦ 1 264 253 570,00 ?</t>
  </si>
  <si>
    <t>"223 за 3 года", "свод фт", ".", "рейтинг поставщиков в маркере по бг", "ГРАНДИОЗНЫЙ ПРОЕКТ", "Конкурсы 100+ (Восстановленный)", "Агентские отказ из-за непред-я док-ов", "fk1", "кредиты фт", "лимит сит по кредитам", "все клиенты с выручкой от 1,8 млрд до бесконечности", "ФК клиенты с выручкой от 230 до бесконечности", "44 фз с с БГ от 10 млн", "производители", "рейтинг по нмц маркер", "это заказчик", "на фт заводил Шевченко", "на фт заводил Сайпудинов М", "на фт заводил Морозова", "на фт заводил Кашин", "crm управления", "в crm за Самаром", "поставщики маркер", "44 за 3 года"</t>
  </si>
  <si>
    <t>42.22.23.110 Работы по строительству атомных электростанций
42.22.23 Работы строительные по строительству электростанций</t>
  </si>
  <si>
    <t>За весь период контрактов 12 шт. на общую сумму НМЦ 32 347 585 333,74 ?</t>
  </si>
  <si>
    <t>"223 за 3 года", ".", "все клиенты с выручкой от 1,8 млрд до бесконечности", "рейтинг заказчиков маркер", "рейтинг по нмц маркер", "это заказчик", "crm управления", "в crm за Самаром", "поставщики маркер"</t>
  </si>
  <si>
    <t>68.10.14.000 Услуги по покупке и продаже нежилых зданий и занимаемых ими земельных участков
33.1 Услуги по ремонту металлоизделий, машин и оборудования
71.12.1 Услуги инженерно-технического характера
41.10.10.000 Документация проектная для строительства
71.12.17 Услуги по инженерно-техническому проектированию производственных процессов и производств</t>
  </si>
  <si>
    <t>За весь период компания заключила  12 контрактов на сумму  17 986 291 936,49 ? За весь период заходили в конкурсы  1 раз на общую сумму обеспеченных контрактов с НМЦ 336 347 000,00 ? с БГУ  16 967 350,00 ? с БГИ 101 804 100,00 ?</t>
  </si>
  <si>
    <t>"поставщики маркер", "свод фт", ".", "рейтинг поставщиков в маркере по бг", "беники", "все клиенты с выручкой от 1,8 млрд до бесконечности", "производители", "рейтинг по нмц маркер", "это заказчик", "на фт заводил Еприкян", "на фт заводил Бесков"</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</si>
  <si>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42.11.10.120 Дороги автомобильные, в том числе улично-дорожная сеть, и прочие автомобильные и пешеходные дороги
42.21 Сооружения и строительные работы по строительству инженерных коммуникаций для жидкостей и газов
42.21.13 Системы оросительные (каналы); водоводы и водопроводные конструкции; водоочистные станции, станции очистки сточных вод и насосные станции
42.22.12.112 Линии электропередачи местные кабельные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</si>
  <si>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За весь период компания заключила  70 контрактов на сумму  98 622 709 839,61 ? За весь период заходили в конкурсы  146 раз на общую сумму обеспеченных контрактов с НМЦ 96 449 577 543,69 ? с БГУ  4 844 634 278,91 ? с БГИ 15 412 077 665,71 ? За 3 ГОДА по 44ФЗ заключено 15 шт. с объемом НМЦ  10 739 905 475,81 ? с БГИ 1 455 294 316,22 ? с БГГО 653 967 367,30 ? с авансированием до 1 057 690 963,42 ? с комиссией банку 65 315 150,03 ? с кв 568 241,81 ? ЗА 1 ГОД по 44ФЗ заключено 5 шт. c объемом НМЦ 2 763 431 503,41 ? с БГИ 138 171 575,15 ? с БГГО 1 381 715,73 ? с авансированием до  0,00 ? с комиссией банку  8 818 433,86 ? с кв 76 720,37 ?</t>
  </si>
  <si>
    <t>"223 за 3 года", ".", "рейтинг поставщиков в маркере по бг", "ГРАНДИОЗНЫЙ ПРОЕКТ", "Конкурсы 100+ (Восстановленный)", "производители", "рейтинг по нмц маркер",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</si>
  <si>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41.20.40.900 Работы строительные по возведению нежилых зданий и сооружений прочие, не включенные в другие группировки
42.11.10.159 Дороги подъездные, транспортные и пешеходные путепроводы над и под дорогой, велосипедные дорожки прочие
42.12.10.120 Полотно железнодорожное для уличных трамваев
42.13.10.130 Тоннели</t>
  </si>
  <si>
    <t>За весь период компания заключила  17 контрактов на сумму  11 160 172 205,15 ? За весь период заходили в конкурсы  87 раз на общую сумму обеспеченных контрактов с НМЦ 21 875 559 831,04 ? с БГУ  1 033 119 317,31 ? с БГИ 3 059 029 139,89 ? За 3 ГОДА по 44ФЗ заключено 32 шт. с объемом НМЦ  13 407 492 124,85 ? с БГИ 2 027 272 980,95 ? с БГГО 101 003 613,77 ? с авансированием до 5 696 992 880,50 ? с комиссией банку 63 654 134,66 ? с кв 553 790,97 ? ЗА 1 ГОД по 44ФЗ заключено 16 шт. c объемом НМЦ 6 914 423 375,26 ? с БГИ 1 348 475 669,72 ? с БГГО 3 010 362,31 ? с авансированием до  1 357 684 912,64 ? с комиссией банку  52 179 742,36 ? с кв 453 963,76 ?</t>
  </si>
  <si>
    <t>"223 за 3 года", ".", "рейтинг поставщиков в маркере по бг", "ГРАНДИОЗНЫЙ ПРОЕКТ", "Конкурсы 100+ (Восстановленный)", "филиал бизнес 31.01.22 ", "все клиенты с выручкой от 1,8 млрд до бесконечности", "ФК клиенты с выручкой от 230 до бесконечности", "Одобренные но не выданные 1 полугодие 2021", "44 фз с с БГ от 10 млн", "рейтинг по нмц маркер", "crm управления", "в crm за Синяевым ", "поставщики маркер", "44 за 3 года"</t>
  </si>
  <si>
    <t>2 753</t>
  </si>
  <si>
    <t>За весь период компания заключила  11 контрактов на сумму  182 460 732 986,68 ? За весь период заходили в конкурсы  12 раз на общую сумму обеспеченных контрактов с НМЦ 182 558 459 585,89 ? с БГУ  9 188 297 220,80 ? с БГИ 18 376 594 441,59 ? За 3 ГОДА по 44ФЗ заключено 9 шт. с объемом НМЦ  64 267 985 179,51 ? с БГИ 6 426 798 517,96 ? с БГГО 0,00 ? с авансированием до 401 477 247,26 ? с комиссией банку 891 666 354,80 ? с кв 7 757 497,29 ?</t>
  </si>
  <si>
    <t>"44 за 3 года", ".", "рейтинг поставщиков в маркере по бг", "райф", "рейтинг по нмц маркер", "поставщики маркер"</t>
  </si>
  <si>
    <t>10.84.30 Соль пищевая
10.84.12 Соусы; приправы и пряности смешанные; мука и порошок горчичные; горчица готовая
10.81.12 Сахар белый свекловичный или тростниковый и химически чистая сахароза в твердом состоянии без вкусоароматических или красящих добавок
10.61.32 Крупа, мука грубого помола и гранулы из зерновых культур, не включенные в другие группировки
10 Продукты пищевые
10.41.24 Масло подсолнечное и его фракции нерафинированные</t>
  </si>
  <si>
    <t>22.22.19.000 Изделия упаковочные пластмассовые прочие
20.20.14.000 Средства дезинфекционные
17.22.11.130 Салфетки и полотенца гигиенические или косметические из бумажной массы, бумаги, целлюлозной ваты и полотна из целлюлозных волокон
20.41.32.121 Порошки стиральные
13.92.29.110 Тряпки для мытья полов, посуды, удаления пыли
13.92.29.120 Салфетки текстильные для удаления пыли
20.41.41.000 Средства для дезодорирования и ароматизации воздуха в помещениях
20.13.43.119 Сода кальцинированная прочая
22.22.11.000 Мешки и сумки, включая конические, из полимеров этилена
17.22.11.140 Скатерти и салфетки для стола из бумажной массы, бумаги, целлюлозной ваты и полотна из целлюлозных волокон ****</t>
  </si>
  <si>
    <t>24.10.62.124 Прокат сортовой горячекатаный полосовой прочий, без дополнительной обработки, включая смотанный после прокатки, из нелегированных сталей
24.10.80.190 Прокат черных металлов прочий, не включенный в другие группировки
23.99.12.110 Материалы рулонные кровельные и гидроизоляционные
24 Металлы основные
24.1 Железо, чугун, сталь и ферросплавы
25.11.23.119 Конструкции и детали конструкций из черных металлов прочие, не включенные в другие группировки
25.94.11.120 Шурупы из черных металлов
27.3 Кабели и арматура кабельная
17.29.1 Изделия из бумаги и картона прочие
24.10.73.111 Уголки стальные горячекатаные равнополочные из прочих легированных сталей ****</t>
  </si>
  <si>
    <t>ЗА 3 ГОДА ПО 223 ФЗ заключено 10 шт. с объемом НМЦ 21 834 126,65 ? за 1 ГОД ПО 223ФЗ заключено 2  12 724 842,47 ?</t>
  </si>
  <si>
    <t>Сообщения о принятии решения о реорганизации от 02.08.2021</t>
  </si>
  <si>
    <t>"223 за 3 года", "кл фт ФК ВКЛ/РКО 04.22", ".", "выдали", "fk1", "корп 2", "Кредитный портфель_01.11", "06.2022_ФинХД", "Ссуды ФБ 29.04.2022 банкр.", "все клиенты с выручкой от 1,8 млрд до бесконечности", "филиал бизнес 01.03.22", "портфель", "клиенты от 100 млн", "Обороты по клиентам по кварталам (2022г)", "ФТ клиенты с продуктами по сотрудникам", "Участники клиринга",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</si>
  <si>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81.30.10.000 Услуги по планировке ландшафта
43.12.11.190 Работы земляные прочие, не включенные в другие группировки
42.11.10.129 Дороги автомобильные, в том числе улично-дорожная сеть, и прочие автомобильные и пешеходные дороги, не включенные в другие группировки
42.21.22.110 Работы строительные по прокладке местных трубопроводов воды или сточных вод
42.21.21 Работы строительные по прокладке магистральных трубопроводов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</si>
  <si>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20 контрактов на сумму  14 238 119 211,06 ? За весь период заходили в конкурсы  30 раз на общую сумму обеспеченных контрактов с НМЦ 16 706 904 969,92 ? с БГУ  773 060 898,48 ? с БГИ 4 117 536 329,25 ? За 3 ГОДА по 44ФЗ заключено 15 шт. с объемом НМЦ  8 886 075 868,65 ? с БГИ 1 918 662 399,63 ? с БГГО 210 821 804,31 ? с авансированием до 39 309 611 180,34 ? с комиссией банку 32 831 157,61 ? с кв 285 631,07 ? ЗА 1 ГОД по 44ФЗ заключено 6 шт. c объемом НМЦ 4 337 135 796,68 ? с БГИ 867 427 159,34 ? с БГГО 35 144 589,13 ? с авансированием до  867 427 159,34 ? с комиссией банку  19 961 811,55 ? с кв 173 667,76 ? ЗА 3 ГОДА ПО 223 ФЗ заключено 10 шт. с объемом НМЦ 405 179 662,39 ? за 1 ГОД ПО 223ФЗ заключено 5  312 842 597,57 ?</t>
  </si>
  <si>
    <t>"223 за 3 года", ".", "рейтинг поставщиков в маркере по бг", "ГРАНДИОЗНЫЙ ПРОЕКТ", "Конкурсы 100+ (Восстановленный)", "клиенты с в от100млн 09.21", "все клиенты с выручкой от 1,8 млрд до бесконечности", "ФК клиенты с выручкой от 230 до бесконечности", "223 фз контракты 20+", "44 фз с с БГ от 10 млн", "рейтинг по нмц маркер", "44 за 3 года"</t>
  </si>
  <si>
    <t>41.20.10.120 Здания общежитий
41.20.40.900 Работы строительные по возведению нежилых зданий и сооружений прочие, не включенные в другие группировки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t>
  </si>
  <si>
    <t>За весь период компания заключила  3 контрактов на сумму  2 753 389 687,14 ? За весь период заходили в конкурсы  6 раз на общую сумму обеспеченных контрактов с НМЦ 3 436 465 610,69 ? с БГУ  100 455 300,80 ? с БГИ 523 665 375,67 ? За 3 ГОДА по 44ФЗ заключено 10 шт. с объемом НМЦ  5 226 886 780,13 ? с БГИ 1 134 234 456,67 ? с БГГО 105 982 747,99 ? с авансированием до 942 525 027,96 ? с комиссией банку 18 506 457,02 ? с кв 161 006,18 ?</t>
  </si>
  <si>
    <t>"44 за 3 года", ".", "рейтинг поставщиков в маркере по бг", "компании Герберта", "ГРАНДИОЗНЫЙ ПРОЕКТ", "Пустые_Ушедшие_Клиенты", "клиенты с в от100млн 09.21", "лимит сит по кредитам", "ФК клиенты с выручкой 80-230 млн ", "44 фз с с БГ от 10 млн", "рейтинг по нмц маркер",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</si>
  <si>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42.22.22.120 Работы строительные по строительству трансформаторных станций и подстанций для распределения электричества в пределах какого-либо района
43.21 Работы электромонтажные
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t>
  </si>
  <si>
    <t>За весь период компания заключила  43 контрактов на сумму  45 598 990 272,76 ? За весь период заходили в конкурсы  68 раз на общую сумму обеспеченных контрактов с НМЦ 45 284 138 726,26 ? с БГУ  2 101 379 631,89 ? с БГИ 8 804 456 111,04 ? За 3 ГОДА по 44ФЗ заключено 20 шт. с объемом НМЦ  14 985 722 465,36 ? с БГИ 2 529 566 112,08 ? с БГГО 306 920 021,10 ? с авансированием до 2 148 837 286,27 ? с комиссией банку 58 129 686,73 ? с кв 505 728,27 ? ЗА 1 ГОД по 44ФЗ заключено 4 шт. c объемом НМЦ 4 513 446 805,85 ? с БГИ 397 065 876,94 ? с БГГО 78 467 142,38 ? с авансированием до  750 673 113,46 ? с комиссией банку  18 954 495,01 ? с кв 164 904,11 ?</t>
  </si>
  <si>
    <t>"44 за 3 года", "свод фт", ".", "рейтинг поставщиков в маркере по бг", "База Восточный (Мелкумов)", "ГРАНДИОЗНЫЙ ПРОЕКТ", "клиент металлинвеста", "УПП на 2 номер", "Конкурсы 100+ (Восстановленный)", "Агентские отказ из-за непред-я док-ов", "fk1", "клиенты управления по БГ без открытых счетов", "Премия 4 кв 22 г.бг", "все клиенты с выручкой от 1,8 млрд до бесконечности", "44 фз с с БГ от 10 млн", "рейтинг по нмц маркер", "на фт заводил Черненький ", "на фт заводил Микульшин", "crm управления", "в crm за Черненьким", "поставщики маркер"</t>
  </si>
  <si>
    <t>28.13.12.000 Насосы возвратно-поступательные объемного действия прочие для перекачки жидкостей
28.14.12.120 Клапаны для радиаторов центрального отопления
27.33.1 Изделия электроустановочные
23.61.12.127 Перемычки железобетонные
23.20.11 Кирпичи, блоки, плитки и прочие керамические изделия из кремнеземистой каменной муки или диатомитовых земель
23.31.10.120 Плитки керамические
20.59 Продукты химические прочие, не включенные в другие группировки
16.21.12.110 Фанера
16.21.12.111 Фанера общего назначения
22.19.50.000 Материалы прорезиненные текстильные, кроме кордных тканей ****</t>
  </si>
  <si>
    <t>ЗА 3 ГОДА ПО 223 ФЗ заключено 8 шт. с объемом НМЦ 45 699 667,83 ?</t>
  </si>
  <si>
    <t>35.12.10.120 Услуги по технологическому присоединению к распределительным электросетям
27 Оборудование электрическое
35.12.10.110 Услуги по передаче электроэнергии</t>
  </si>
  <si>
    <t>1 467</t>
  </si>
  <si>
    <t>Заказчик разыгравший 127 конкурсов на сумму  11 683 134 185,06 ?</t>
  </si>
  <si>
    <t>Сообщение кредитора о намерении обратиться в суд с заявлением о банкротстве от 23.01.2023</t>
  </si>
  <si>
    <t>1 324</t>
  </si>
  <si>
    <t>23.99.11.130 Изделия из смесей на основе хризотила
24.20.13 Трубы круглого сечения прочие стальные
24.2 Трубы, профили пустотелые и их фитинги стальные
24.20.14.120 Профили пустотелые стальные
24.20.1 Трубы, профили пустотелые бесшовные и их фитинги стальные
24.20.40.000 Фитинги для труб стальные, кроме литых
25.99.29.190 Изделия прочие из недрагоценных металлов, не включенные в другие группировки</t>
  </si>
  <si>
    <t>1 451</t>
  </si>
  <si>
    <t>За весь период компания заключила  52 контрактов на сумму  14 734 677 650,90 ?</t>
  </si>
  <si>
    <t>41.2 Здания и работы по возведению зданий
41.20.20.632 Сооружения магистрального трубопроводного транспорта прочие
43 Работы строительные специализированные
41.20.20.631 Парк из металлических вертикальных цилиндрических резервуаров
42 Сооружения и строительные работы в области гражданского строительства
42.1 Дороги автомобильные и железные; строительные работы по строительству автомобильных дорог и железных дорог
41.20.20.630 Сооружения магистрального трубопроводного транспорта</t>
  </si>
  <si>
    <t>За весь период компания заключила  14 контрактов на сумму  2 963 403 305,46 ?</t>
  </si>
  <si>
    <t>"поставщики маркер", "свод фт", ".", "Евразия(Заболотний)_n (22)", "ушедшие", "все клиенты с выручкой от 1,8 млрд до бесконечности", "ФК клиенты с выручкой от 230 до бесконечности", "рейтинг по нмц маркер", "на фт заводил Штайнберг", "на фт заводил Алиев", "crm управления", "в crm за Муслимом"</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</si>
  <si>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42.11.10.120 Дороги автомобильные, в том числе улично-дорожная сеть, и прочие автомобильные и пешеходные дороги
42.13.20.100 Работы строительные по строительству мостов и тоннелей, кроме работ по сохранению и воссозданию объектов культурного наследия
42.11.10.160 Полосы взлетно-посадочные аэродромов, включая рулежные дорожки и аналогичных сооружений аэродромов, кроме зданий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42.11.10.121 Дорога автомобильная с усовершенствованным капитальным типом дорожного покрытия
52.21.23.000 Услуги по эксплуатации мостов и тоннелей</t>
  </si>
  <si>
    <t>За весь период компания заключила  134 контрактов на сумму  191 242 915 791,94 ? За весь период заходили в конкурсы  260 раз на общую сумму обеспеченных контрактов с НМЦ 202 296 303 110,89 ? с БГУ  10 928 889 018,77 ? с БГИ 45 166 963 273,90 ? За 3 ГОДА по 44ФЗ заключено 41 шт. с объемом НМЦ  21 791 675 891,05 ? с БГИ 4 179 024 675,81 ? с БГГО 76 317 868,65 ? с авансированием до 13 241 262 929,19 ? с комиссией банку 83 236 491,79 ? с кв 724 157,48 ? ЗА 1 ГОД по 44ФЗ заключено 13 шт. c объемом НМЦ 4 118 159 996,80 ? с БГИ 545 166 930,25 ? с БГГО 11 418 647,00 ? с авансированием до  1 303 746 845,60 ? с комиссией банку  13 653 126,47 ? с кв 118 782,20 ?</t>
  </si>
  <si>
    <t>"44 за 3 года", ".", "рейтинг поставщиков в маркере по бг", "ГРАНДИОЗНЫЙ ПРОЕКТ", "Конкурсы 100+ (Восстановленный)", "fk1",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"БизФин", "44 фз с с БГ от 10 млн", "производители", "рейтинг по нмц маркер", "это заказчик", "поставщики маркер"</t>
  </si>
  <si>
    <t>26.80.13.000 Носители данных прочие, включая матрицы и основы для производства дисков
26.20.18.000 Устройства периферийные с двумя или более функциями: печать данных, копирование, сканирование, прием и передача факсимильных сообщений
28.29 Машины и оборудование общего назначения прочие, не включенные в другие группировки
26.30.11.190 Аппаратура коммуникационная передающая с приемными устройствами прочая, не включенная в другие группировки
62.01 Продукты программные и услуги по разработке и тестированию программного обеспечения
41.20 Здания и работы по возведению зданий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26.20.14 Машины вычислительные электронные цифровые, поставляемые в виде систем для автоматической обработки данных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t>
  </si>
  <si>
    <t>За весь период компания заключила  30 контрактов на сумму  38 879 684 153,07 ? За весь период заходили в конкурсы  10 раз на общую сумму обеспеченных контрактов с НМЦ 9 442 627 088,79 ? с БГУ  498 500 528,00 ? с БГИ 1 010 672 705,96 ? За 3 ГОДА по 44ФЗ заключено 9 шт. с объемом НМЦ  7 278 153 909,69 ? с БГИ 808 961 380,93 ? с БГГО 81 684 021,22 ? с авансированием до 324 142 004,94 ? с комиссией банку 2 461 935,01 ? с кв 21 418,83 ? ЗА 1 ГОД по 44ФЗ заключено 5 шт. c объемом НМЦ 6 099 529 466,09 ? с БГИ 609 952 946,61 ? с БГГО 6 096 951,84 ? с авансированием до  0,00 ? с комиссией банку  2 210 994,69 ? с кв 19 235,65 ? ЗА 3 ГОДА ПО 223 ФЗ заключено 12 шт. с объемом НМЦ 7 039 722 808,06 ? за 1 ГОД ПО 223ФЗ заключено 4  3 021 904 583,07 ?</t>
  </si>
  <si>
    <t>10 Продукты пищевые
46 Услуги по оптовой торговле, кроме оптовой торговли автотранспортными средствами и мотоциклами
36.00.11.000 Вода питьевая</t>
  </si>
  <si>
    <t>43.99.90.190 Работы строительные специализированные прочие, не включенные в другие группировки
77.39.11.000 Услуги по аренде и лизингу железнодорожных транспортных средств
42.12 Дороги железные наземные и подземные; строительные работы по строительству наземных и подземных железных дорог
42.13.20 Работы строительные по строительству мостов и тоннелей
43.99 Работы строительные специализированные, не включенные в другие группировки</t>
  </si>
  <si>
    <t>За весь период компания заключила  3 контрактов на сумму  3 591 181 168,00 ?                                     ЗА 3 ГОДА ПО 223 ФЗ заключено 1 шт. с объемом НМЦ 1 768 604 815,20 ?</t>
  </si>
  <si>
    <t>45.20.11.519 Прочие услуги по техническому обслуживанию и ремонту прочих автотранспортных средств, не включенные в другие группировки
45.20.21.111 Услуги по регламентным работам (по видам технического обслуживания)
29.10.2 Автомобили легковые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45.20.21.212 Услуги по ремонту двигателей
45.20.11.214 Услуги по ремонту рулевого управления и подвески
45.20.21.100 Услуги по обычному (текущему) техническому обслуживанию прочих автотранспортных средств, кроме услуг по ремонту электрооборудования и кузовов
45.20.11.500 Прочие услуги по техническому обслуживанию и ремонту легковых автомобилей и легких грузовых автотранспортных средств
29.10.22.000 Средства транспортные с двигателем с искровым зажиганием, с рабочим объемом цилиндров более 1500 см3, новые
45.20.11.200 Услуги по ремонту легковых автомобилей и легких грузовых автотранспортных средств, кроме услуг по ремонту электрооборудования, шин и кузовов</t>
  </si>
  <si>
    <t>"это заказчик", ".", "fk1", "рейтинг заказчиков маркер"</t>
  </si>
  <si>
    <t>43.99.90.190 Работы строительные специализированные прочие, не включенные в другие группировки
35.11.10.112 Электроэнергия, произведенная теплоэлектроцентралями (ТЭЦ) общего назначения
36.00.1 Вода природная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77.39.1 Услуги по аренде и лизингу прочих машин, оборудования и материальных средств, не включенных в другие группировки
36.00.20.110 Услуги по очистке и подготовке воды для водоснабжения
36.00.30.000 Услуги по торговле водой, поставляемой по трубопроводам
35.12.10.120 Услуги по технологическому присоединению к распределительным электросетям ****</t>
  </si>
  <si>
    <t>За весь период контрактов 13 шт. на общую сумму НМЦ 7 580 094 687,49 ?</t>
  </si>
  <si>
    <t>45.31.12.000 Услуги по оптовой торговле прочими автомобильными деталями, узлами и принадлежностями
29.32.30.390 Части и принадлежности для автотранспортных средств прочие, не включенные в другие группировки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33.17.19.000 Услуги по ремонту и техническому обслуживанию прочих транспортных средств и оборудования, не включенных в другие группировки
47.52.30.000 Услуги по розничной торговле стеклом в специализированных магазинах
29.32.30.230 Кузова (кабины), их узлы и детали
29.10.12.000 Двигатели внутреннего сгорания поршневые с искровым зажиганием, с рабочим объемом цилиндров более 1000 см3 для автотранспортных средств
29.32.30.233 Ручки, дверные петли, наружные кнопки открывания дверей и багажников
22.11.13.110 Шины и покрышки пневматические для автобусов, троллейбусов и грузовых автомобилей новые</t>
  </si>
  <si>
    <t>ЗА 3 ГОДА ПО 223 ФЗ заключено 2 шт. с объемом НМЦ 197 353 812,62 ?</t>
  </si>
  <si>
    <t>"223 за 3 года", "кл фт прямые ВКЛ/РКО 04.22", "кл фт прямые бг 04.22", "свод фт", ".", "УПП на 2 номер", "БГИ", "fk1", "кредиты фт", "клиенты управления по БГ без открытых счетов", "2. Финтендер 2022 31.03.22 Григорян для СПАРК", "Пункт 3.1 09.01.2023", "Гарантии ФБ банкроты", "филиал бизнес 31.01.22 ", "Ссуды ФБ 29.04.2022 банкр.", "АИЛ портфель", "лимит сит по кредитам", "филиал бизнес 01.03.22", "портфель", "филиал бизнес 22.11", "клиенты от 100 млн", "ФТ клиенты с продуктами по сотрудникам", "на фт заводил Самар", "поставщики маркер"</t>
  </si>
  <si>
    <t>46.1 Услуги по оптовой торговле за вознаграждение или на договорной основе
58.29.5 Услуги по предоставлению лицензий на право использовать компьютерное программное обеспечение
62 Продукты программные и услуги по разработке программного обеспечения; консультационные и аналогичные услуги в области информационных технологий
58.2 Услуги по изданию программного обеспечения
62.01.11 Услуги по проектированию, разработке информационных технологий для прикладных задач и тестированию программного обеспечения</t>
  </si>
  <si>
    <t>За 3 года по 223ФЗ заключено  1 шт контрактов на сумму 25 253 298,00 ?</t>
  </si>
  <si>
    <t>43.22.12.160 Работы по установке приборов учета расхода тепловой энергии
42.22.22.110 Работы строительные по прокладке местных линий электропередачи и связи над землей или под землей
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38.11.19.000 Услуги по сбору прочих неопасных отходов, пригодных для повторного использования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43.99.90.190 Работы строительные специализированные прочие, не включенные в другие группировки
35.11.10.112 Электроэнергия, произведенная теплоэлектроцентралями (ТЭЦ) общего назначения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38.11.31.000 Отходы неопасные бытовые, непригодные для повторного использования ****</t>
  </si>
  <si>
    <t>2 109</t>
  </si>
  <si>
    <t>Гарантия отправлена
Отклонена банком
Отклонена банком;Рассматривается банком</t>
  </si>
  <si>
    <t>Сообщение кредитора о намерении обратиться в суд с заявлением о банкротстве от 30.10.2019</t>
  </si>
  <si>
    <t>"223 за 3 года", "кл фт прямые бг 04.22", "свод фт", ".", "рейтинг поставщиков в маркере по бг", "УПП на 2 номер", "Конкурсы 100+ (Восстановленный)", "fk1", "кредиты фт", "клиенты управления по БГ без открытых счетов", "Евразия_июлль-август 2019", "2. Финтендер 2022 31.03.22 Григорян для СПАРК", "Пункт 3.1 09.01.2023", "БГ ФБ ЮР лица на 01.07.2021", "Премия 4 кв 22 г.бг", "Гарантии ФБ банкроты", "филиал бизнес 31.01.22 ", "лимит сит по кредитам", "все клиенты с выручкой от 1,8 млрд до бесконечности", "ФК клиенты с выручкой от 230 до бесконечности", "клиенты от 100 млн", "ФТ клиенты с продуктами по сотрудникам", "44 фз с с БГ от 10 млн", "рейтинг заказчиков маркер", "производители", "рейтинг по нмц маркер", "это заказчик", "на фт заводил Морозова", "на фт заводил Кашин", "на фт заводил Багаев", "crm управления", "в crm за Кашиным", "поставщики маркер", "44 за 3 года"</t>
  </si>
  <si>
    <t>Заказчик разыгравший 218 конкурсов на сумму  31 454 861 208,66 ?</t>
  </si>
  <si>
    <t>Сообщение кредитора о намерении обратиться в суд с заявлением о банкротстве от 28.03.2019</t>
  </si>
  <si>
    <t>43.11.10.000 Работы по сносу зданий и сооружений
43.39.19.190 Работы завершающие и отделочные в зданиях и сооружениях, прочие, не включенные в другие группировки</t>
  </si>
  <si>
    <t>"поставщики маркер", ".", "закрыли счет"</t>
  </si>
  <si>
    <t>17.12.14.119 Бумага для печати прочая
43.29.19.190 Работы монтажные прочие, не включенные в другие группировки</t>
  </si>
  <si>
    <t>79.90.11.000 Услуги по продвижению туризма
82.30.11.000 Услуги по организации конференций
82.99.19.000 Услуги вспомогательные, связанные с предпринимательской деятельностью, прочие, не включенные в другие группировки</t>
  </si>
  <si>
    <t>"223 за 3 года", ".", "fk1", "ИНН_договоры_октябрь_", "ушедшие", "все клиенты с выручкой от 1,8 млрд до бесконечности", "поставщики маркер"</t>
  </si>
  <si>
    <t>19.20.21.332 Топливо дизельное арктическое экологического класса К2
52.10.12.110 Услуги по хранению и складированию нефти и продуктов ее переработки
46.12.11.000 Услуги по оптовой торговле твердым, жидким и газообразным топливом и связанными продуктами за вознаграждение или на договорной основе
19.20.21 Топливо моторное, включая автомобильный и авиационный бензин
19.20.21.334 Топливо дизельное арктическое экологического класса К4
19.20.21.300 Топливо дизельное
19.20.21.330 Топливо дизельное арктическое
19.20 Нефтепродукты</t>
  </si>
  <si>
    <t>За весь период контрактов 6 шт. на общую сумму НМЦ 1 104 026 169,14 ?</t>
  </si>
  <si>
    <t>"223 за 3 года", ".", "Участники клиринга", "производители", "рейтинг по нмц маркер", "это заказчик", "поставщики маркер"</t>
  </si>
  <si>
    <t>ЗА 3 ГОДА ПО 223 ФЗ заключено 1 шт. с объемом НМЦ 315 880 000,00 ?</t>
  </si>
  <si>
    <t>Сообщение кредитора о намерении обратиться в суд с заявлением о банкротстве от 21.12.2022</t>
  </si>
  <si>
    <t>"223 за 3 года", ".", "fk1", "все клиенты с выручкой от 1,8 млрд до бесконечности", "Участники клиринга"</t>
  </si>
  <si>
    <t>24 Металлы основные
24.20.13.130 Трубы стальные электросварные
24.20.13 Трубы круглого сечения прочие стальные
24.20 Трубы, профили пустотелые и их фитинги стальные
24.20.33 Трубы круглого сечения сварные прочие, наружным диаметром не более 406,4 мм, стальные
24.10.23.190 Полуфабрикаты прочие из прочих легированных сталей
24.45 Металлы цветные прочие
24.20.40.000 Фитинги для труб стальные, кроме литых
24.20.13.110 Трубы стальные бесшовные горячедеформированные
24.20.13.140 Трубы стальные бесшовные холоднодеформированные общего назначения</t>
  </si>
  <si>
    <t>"поставщики маркер", ".", "crm управления", "в crm за Синяевым "</t>
  </si>
  <si>
    <t>61.10.49 Услуги телекоммуникационные проводные в информационно-коммуникационной сети Интернет прочие
61.90.10 Услуги телекоммуникационные прочие
61.10.11.110 Услуги по предоставлению внутризоновых, междугородных и международных телефонных соединений
61.20.49.000 Услуги телекоммуникационные беспроводные прочие в информационно-коммуникационной сети Интернет
53.20.19.110 Услуги почтовой связи прочие, не включенные в другие группировки
61.10.43.000 Услуги по широкополосному доступу к информационно-коммуникационной сети Интернет по проводным сетям
61.20.20.000 Услуги операторов связи в сфере беспроводных телекоммуникаций
61.10.20.110 Услуги операторов связи по присоединению и пропуску трафика, за исключением международного трафика
61.90.10.140 Услуги по предоставлению телефонной связи и доступа к информационно-коммуникационной сети Интернет в общественных зданиях
61.90.10.160 Услуги связи по предоставлению каналов связи</t>
  </si>
  <si>
    <t>ЗА 3 ГОДА ПО 223 ФЗ заключено 10 шт. с объемом НМЦ 32 992 702,98 ? за 1 ГОД ПО 223ФЗ заключено 4  23 973 427,30 ?</t>
  </si>
  <si>
    <t>Юридическое лицо находится в процессе реорганизации в форме присоединения к нему других юридических лиц от 12.05.2023</t>
  </si>
  <si>
    <t>"223 за 3 года", ".", "223 фз контракты 20+", "рейтинг заказчиков маркер", "рейтинг по нмц маркер", "это заказчик", "поставщики маркер", "44 за 3 года"</t>
  </si>
  <si>
    <t>42.13.10.110 Мосты и путепроводы из любых материалов для всех типов сухопутного транспорта и для пешеходов
68.10.11.000 Услуги по покупке и продаже жилых зданий и занимаемых ими земельных участков
42.91.10.150 Плотины и аналогичные водоудерживающие сооружения и насыпи для береговых и прочих прибрежных участков</t>
  </si>
  <si>
    <t>За весь период компания заключила  3 контрактов на сумму  4 968 235 739,89 ?         За 3 ГОДА по 44ФЗ заключено 153 шт. с объемом НМЦ  460 064 155,00 ? с БГИ 408 745 753,50 ? с БГГО 123 939 771,95 ? с авансированием до 408 496 295,00 ? с комиссией банку 6 427 216,93 ? с кв 55 916,79 ? ЗА 1 ГОД по 44ФЗ заключено 68 шт. c объемом НМЦ 195 760 909,00 ? с БГИ 191 021 197,50 ? с БГГО 1 003 750,75 ? с авансированием до  190 771 739,00 ? с комиссией банку  3 251 369,31 ? с кв 28 286,91 ?</t>
  </si>
  <si>
    <t>"44 за 3 года", "кл фт агент бг 04.22", "свод фт", ".", "fk1", "кредиты фт", "Пункт 3.1 09.01.2023", "лимит сит по кредитам", "портфель", "клиенты от 100 млн", "действующие б не прям", "ФТ клиенты с продуктами по сотрудникам", "рейтинг по нмц маркер", "на фт заводил Синяев", "crm управления", "в crm за Синяевым ", "поставщики маркер"</t>
  </si>
  <si>
    <t>77.39.19.119 Услуги по аренде и лизингу прочих машин и оборудования научного и промышленного назначения
77.11.10.000 Услуги по аренде и лизингу легковых автомобилей и легких автотранспортных средств
77.39 Услуги по аренде и лизингу прочих машин, оборудования и материальных средств, не включенных в другие группировки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77.12.19.000 Услуги по аренде и лизингу прочих сухопутных транспортных средств и оборудования без водителя
64.91.10.190 Услуги по финансовой аренде (лизингу/сублизингу) в прочих областях, кроме племенных животных
77.39.19.115 Услуги по аренде и лизингу контрольно-измерительной аппаратуры
64.91.10.110 Услуги по финансовой аренде (лизингу/сублизингу) племенных животных
77.33.12.000 Услуги по аренде и лизингу вычислительной техники
29.10.59.150 Средства транспортные для аварийно-спасательных служб и полиции ****</t>
  </si>
  <si>
    <t>За весь период компания заключила  29 контрактов на сумму  14 521 744 261,51 ? За весь период заходили в конкурсы  39 раз на общую сумму обеспеченных контрактов с НМЦ 11 805 072 210,36 ? с БГУ  526 758 756,73 ? с БГИ 2 252 941 674,91 ? За 3 ГОДА по 44ФЗ заключено 13 шт. с объемом НМЦ  802 105 158,12 ? с БГИ 88 808 431,13 ? с БГГО 446 785,03 ? с авансированием до 0,00 ? с комиссией банку 4 856 812,82 ? с кв 42 254,27 ?               ЗА 3 ГОДА ПО 223 ФЗ заключено 1 шт. с объемом НМЦ 77 835 833,47 ?</t>
  </si>
  <si>
    <t>28.13.11.110 Насосы топливные
29.10.41.110 Автомобили грузовые с дизельным двигателем
29.10.41.112 Автомобили грузовые с дизельным двигателем, имеющие технически допустимую максимальную массу свыше 3,5 т, но не более 12 т
29.32.30.171 Теплообменники и термостаты
29.32.30.220 Колеса, ступицы и их детали
29.32.30.240 Передачи карданные, валы приводные, шарниры неравных и равных угловых скоростей
29.10 Средства автотранспортные
29.10.2 Автомобили легковые
29.10.59.280 Средства транспортные - фургоны для перевозки пищевых продуктов
29.31.22.120 Генераторы для транспортных средств прочие ****</t>
  </si>
  <si>
    <t>"223 за 3 года", ".", "АНАЛИЗ Все установленные лимиты на 01.12.2021 ОКВЭД Прочие Услуги", "все клиенты с выручкой от 1,8 млрд до бесконечности", "поставщики маркер", "44 за 3 года"</t>
  </si>
  <si>
    <t>30.99.10.190 Средства транспортные и оборудование прочие, не включенные в другие группировки
29.10 Средства автотранспортные</t>
  </si>
  <si>
    <t>ПОС на 03.04.4755</t>
  </si>
  <si>
    <t>"223 за 3 года", ".", "fk1", "ПОС на 01.02.2023", "портфель 31.10.2021_10 тыс_проверка", "ПОС на 03.04.2023", "все клиенты с выручкой от 1,8 млрд до бесконечности", "Обороты по клиентам по кварталам (2022г)", "поставщики маркер", "44 за 3 года"</t>
  </si>
  <si>
    <t>Сообщения о принятии решения о реорганизации от 23.04.2021</t>
  </si>
  <si>
    <t>Сообщение кредитора о намерении обратиться в суд с заявлением о банкротстве от 05.07.2021</t>
  </si>
  <si>
    <t>52.10.19.900 Услуги по складированию и хранению прочие, не включенные в другие группировки
93.19.19.000 Услуги в области спорта и отдыха прочие
77.39 Услуги по аренде и лизингу прочих машин, оборудования и материальных средств, не включенных в другие группировки
94.99.19.150 Услуги объединений, создаваемых с целью проведения культурных и развлекательных мероприятий и организации досуга, кроме спорта или игр
35.30.11.120 Энергия тепловая, отпущенная котельными
33.12.19.000 Услуги по ремонту и техническому обслуживанию прочего оборудования общего назначения, не включенного в другие группировки
59.11.13.000 Услуги по производству прочих телевизионных программ</t>
  </si>
  <si>
    <t>Заказчик разыгравший 129 конкурсов на сумму  24 028 538 481,63 ?</t>
  </si>
  <si>
    <t>"поставщики маркер", ".",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заказчиков маркер", "рейтинг по нмц маркер", "это заказчик"</t>
  </si>
  <si>
    <t>19.20.21.332 Топливо дизельное арктическое экологического класса К2
19.20.21.341 Топливо дизельное межсезонное вне классов
52.29.19.110 Услуги по экспедированию грузов
19.2 Нефтепродукты
19.20.21.124 Бензин автомобильный с октановым числом более 92, но не более 95 по исследовательскому методу экологического класса К4
52.10.12.110 Услуги по хранению и складированию нефти и продуктов ее переработки
46.71.12.000 Услуги по оптовой торговле моторным топливом, включая авиационный бензин
52.10.19.900 Услуги по складированию и хранению прочие, не включенные в другие группировки
19.20.21.321 Топливо дизельное зимнее вне классов
19.20.21 Топливо моторное, включая автомобильный и авиационный бензин ****</t>
  </si>
  <si>
    <t>За весь период компания заключила  37 контрактов на сумму  31 718 586 633,72 ? За весь период заходили в конкурсы  1 раз на общую сумму обеспеченных контрактов с НМЦ 48 000 000,00 ? с БГУ  500 000,00 ? с БГИ 2 500 000,00 ? За 3 ГОДА по 44ФЗ заключено 376 шт. с объемом НМЦ  565 050 087,36 ? с БГИ 28 711 984,18 ? с БГГО 812 708,20 ? с авансированием до 100 894,22 ? с комиссией банку 306 933,24 ? с кв 2 670,32 ? ЗА 1 ГОД по 44ФЗ заключено 117 шт. c объемом НМЦ 121 130 708,01 ? с БГИ 6 279 588,03 ? с БГГО 95 980,48 ? с авансированием до  100 894,22 ? с комиссией банку  76 074,27 ? с кв 661,85 ? ЗА 3 ГОДА ПО 223 ФЗ заключено 40 шт. с объемом НМЦ 429 892 352,43 ? за 1 ГОД ПО 223ФЗ заключено 7  29 780 667,14 ?</t>
  </si>
  <si>
    <t>"223 за 3 года", ".", "рейтинг поставщиков в маркере по бг", "все клиенты с выручкой от 1,8 млрд до бесконечности", "Участники клиринга", "производители", "рейтинг по нмц маркер", "это заказчик", "поставщики маркер", "44 за 3 года"</t>
  </si>
  <si>
    <t>29.10.24.000 Средства автотранспортные для перевозки людей прочие
45.20.21.519 Прочие услуги по техническому обслуживанию и ремонту прочих автотранспортных средств, не включенные в другие группировки
29.10.59.390 Средства автотранспортные специального назначения прочие, не включенные в другие группировки
29.10.22.000 Средства транспортные с двигателем с искровым зажиганием, с рабочим объемом цилиндров более 1500 см3, новые
45.11.2 Услуги по розничной торговле легковыми автомобилями и грузовыми автомобилями малой грузоподъемности в специализированных магазинах</t>
  </si>
  <si>
    <t>"44 за 3 года", ".", "06.2022_ФинХД", "все клиенты с выручкой от 1,8 млрд до бесконечности", "поставщики маркер"</t>
  </si>
  <si>
    <t>25.9 Изделия металлические готовые прочие</t>
  </si>
  <si>
    <t>Отказ из-за непредставления документов
Отклонена банком</t>
  </si>
  <si>
    <t>"поставщики маркер", "кл фт агент бг 04.22", "свод фт", ".", "кредиты фт", "2. Финтендер 2022 31.03.22 Григорян для СПАРК", "клиенты с в от100млн 09.21", "лимит сит по кредитам", "все клиенты с выручкой от 1,8 млрд до бесконечности",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"производители", "это заказчик", "на фт заводил Шаклейн", "crm управления", "в crm за Шаклейном "</t>
  </si>
  <si>
    <t>35.11.10.112 Электроэнергия, произведенная теплоэлектроцентралями (ТЭЦ) общего назначения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36.00.30.000 Услуги по торговле водой, поставляемой по трубопроводам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t>
  </si>
  <si>
    <t>2 409</t>
  </si>
  <si>
    <t>За 3 года по 223ФЗ заключено  5 шт контрактов на сумму 27 722 007,97 ?</t>
  </si>
  <si>
    <t>25.40.14.110 Детали боевого оружия
25.40.13.110 Бомбы, ракеты и аналогичные боеприпасы для ведения боевых действий и их детали
25.40.11.000 Оружие боевое, кроме револьверов, пистолетов и аналогичного оружия
25.93 Проволока, цепи и пружины
30.40.10 Танки и прочие боевые самоходные бронированные машины, и их части
25.40.1 Оружие и боеприпасы и их части
32.99.53.120 Тренажеры для профессионального обучения</t>
  </si>
  <si>
    <t>За весь период компания заключила  6 контрактов на сумму  1 574 058 721,46 ? За весь период заходили в конкурсы  6 раз на общую сумму обеспеченных контрактов с НМЦ 276 015 074,80 ? с БГУ  20 786 962,15 ? с БГИ 254 138 164,29 ?</t>
  </si>
  <si>
    <t>"223 за 3 года", ".", "рейтинг поставщиков в маркере по бг", "ГРАНДИОЗНЫЙ ПРОЕКТ", "беники", "все клиенты с выручкой от 1,8 млрд до бесконечности", "производители", "рейтинг по нмц маркер", "поставщики маркер", "44 за 3 года"</t>
  </si>
  <si>
    <t>77.11.10.000 Услуги по аренде и лизингу легковых автомобилей и легких автотранспортных средств
24.10.3 Прокат листовой горячекатаный стальной, без дополнительной обработки
08.12.12.140 Щебень
24.10.1 Продукты из железа и стали основные
08.12.13.000 Смеси шлака и аналогичных промышленных отходов без добавления или с добавлением гальки, гравия, щебня и кремневой гальки для строительных целей</t>
  </si>
  <si>
    <t>Сообщение кредитора о намерении обратиться в суд с заявлением о банкротстве от 18.04.2019</t>
  </si>
  <si>
    <t>32.99.59.000 Изделия различные прочие, не включенные в другие группировки</t>
  </si>
  <si>
    <t>Заказчик разыгравший 73 конкурсов на сумму  38 327 314 852,24 ?</t>
  </si>
  <si>
    <t>"поставщики маркер", ".", "корп 1", "06.2022_ФинХД", "все клиенты с выручкой от 1,8 млрд до бесконечности", "ФК клиенты с выручкой от 230 до бесконечности", "рейтинг заказчиков маркер", "это заказчик"</t>
  </si>
  <si>
    <t>1 748</t>
  </si>
  <si>
    <t>35.13.10.000 Услуги по распределению электроэнергии
68.20.12.000 Услуги по сдаче в аренду (внаем) собственных или арендованных нежилых помещений</t>
  </si>
  <si>
    <t>Сообщения о принятии решения о реорганизации от 08.05.2020</t>
  </si>
  <si>
    <t>1 114</t>
  </si>
  <si>
    <t>Заказчик разыгравший 5 конкурсов на сумму  1 896 714 210,95 ?</t>
  </si>
  <si>
    <t>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32.50.4 Очки, линзы и их части
32.50.43.000 Оправы и арматура для очков, защитных очков и аналогичных оптических приборов
81.10.10.000 Услуги по обслуживанию помещений комплексные</t>
  </si>
  <si>
    <t>28.21.13.110 Печи и камеры промышленные или лабораторные электрические
43.22.12.140 Работы по ремонту и техническому обслуживанию бытовых отопительных котлов и бойлеров
43.2 Работы электромонтажные, работы по монтажу водопроводных и канализационных систем и прочие строительно-монтажные работы
42.91.20 Работы строительные по строительству береговых и портовых сооружений, плотин, шлюзов и связанных гидромеханических сооружений</t>
  </si>
  <si>
    <t>За весь период компания заключила  4 контрактов на сумму  1 914 802 081,26 ? За весь период заходили в конкурсы  1 раз на общую сумму обеспеченных контрактов с НМЦ 142 870 500,00 ? с БГУ  881 916,67 ? с БГИ 88 191 666,67 ?</t>
  </si>
  <si>
    <t>"поставщики маркер", ".", "рейтинг поставщиков в маркере по бг", "ГРАНДИОЗНЫЙ ПРОЕКТ", "все клиенты с выручкой от 1,8 млрд до бесконечности", "производители", "рейтинг по нмц маркер", "это заказчик"</t>
  </si>
  <si>
    <t>45.11 Услуги по торговле легковыми автомобилями и грузовыми автомобилями малой грузоподъемности
45.20.11.111 Услуги по регламентным работам (по видам технического обслуживания)</t>
  </si>
  <si>
    <t>ЗА 3 ГОДА ПО 223 ФЗ заключено 1 шт. с объемом НМЦ 21 600 000,00 ?</t>
  </si>
  <si>
    <t>"223 за 3 года", ".", "crm управления", "в crm за Муслимом", "поставщики маркер"</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</si>
  <si>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45.11 Услуги по торговле легковыми автомобилями и грузовыми автомобилями малой грузоподъемности
45.11.21.000 Услуги по розничной торговле новыми пассажирскими автотранспортными средствами в специализированных магазинах
45.11.39.000 Услуги по розничной торговле легковыми автомобилями и грузовыми автомобилями малой грузоподъемности прочие, не включенные в другие группировки
30.99.10.190 Средства транспортные и оборудование прочие, не включенные в другие группировки
29.10 Средства автотранспортные
29.10.2 Автомобили легковые
29.10.21 Средства транспортные с двигателем с искровым зажиганием, с рабочим объемом цилиндров не более 1500 см3, новые
29.10.23 Средства транспортные с поршневым двигателем внутреннего сгорания с воспламенением от сжатия (дизелем или полудизелем), новые ****</t>
  </si>
  <si>
    <t>За весь период компания заключила  11 контрактов на сумму  2 103 733 967,84 ? За весь период заходили в конкурсы  28 раз на общую сумму обеспеченных контрактов с НМЦ 4 389 821 676,27 ? с БГУ  143 310 165,50 ? с БГИ 505 143 380,03 ? За 3 ГОДА по 44ФЗ заключено 41 шт. с объемом НМЦ  1 929 931 982,43 ? с БГИ 209 321 777,63 ? с БГГО 10 028 392,07 ? с авансированием до 0,00 ? с комиссией банку 429 685,88 ? с кв 3 738,27 ? ЗА 1 ГОД по 44ФЗ заключено 8 шт. c объемом НМЦ 650 090 274,96 ? с БГИ 47 189 139,66 ? с БГГО 2 542 763,00 ? с авансированием до  0,00 ? с комиссией банку  314 426,28 ? с кв 2 735,51 ? ЗА 3 ГОДА ПО 223 ФЗ заключено 34 шт. с объемом НМЦ 119 288 100,43 ? за 1 ГОД ПО 223ФЗ заключено 4  13 442 033,00 ?</t>
  </si>
  <si>
    <t>45.11 Услуги по торговле легковыми автомобилями и грузовыми автомобилями малой грузоподъемности
45.11.21.000 Услуги по розничной торговле новыми пассажирскими автотранспортными средствами в специализированных магазинах
45.20.2 Услуги по техническому обслуживанию и ремонту прочих автотранспортных средств
29.10.2 Автомобили легковые
45.11.12.000 Услуги по оптовой торговле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29.10.22 Средства транспортные с двигателем с искровым зажиганием, с рабочим объемом цилиндров более 1500 см3, новые
29.10.12.000 Двигатели внутреннего сгорания поршневые с искровым зажиганием, с рабочим объемом цилиндров более 1000 см3 для автотранспортных средств
29.10.23.000 Средства транспортные с поршневым двигателем внутреннего сгорания с воспламенением от сжатия (дизелем или полудизелем), новые
45.1 Услуги по торговле автотранспортными средствами</t>
  </si>
  <si>
    <t>За 3 года по 223ФЗ заключено  5 шт контрактов на сумму 23 279 700,33 ?</t>
  </si>
  <si>
    <t>19.20.21.341 Топливо дизельное межсезонное вне классов
19.20.28.112 Мазут с массовой долей серы не более 3,5 % с температурой вспышки в открытом тигле не ниже 90 °C, с содержанием сероводорода не более 20 ppm, но более 10 ppm
19.2 Нефтепродукты
19.20.21 Топливо моторное, включая автомобильный и авиационный бензин
19.20.21.100 Бензин автомобильный
19.20.21.310 Топливо дизельное летнее
19.20.21.120 Бензин автомобильный с октановым числом более 92, но не более 95 по исследовательскому методу
19.20.21.315 Топливо дизельное летнее экологического класса К5
19.20.2 Топливо жидкое и газообразное; масла смазочные
19.20.21.300 Топливо дизельное ****</t>
  </si>
  <si>
    <t>За весь период компания заключила  14 контрактов на сумму  750 304 630,00 ?                                     ЗА 3 ГОДА ПО 223 ФЗ заключено 2 шт. с объемом НМЦ 188 384 535,81 ?</t>
  </si>
  <si>
    <t>"223 за 3 года", ".", "ПОС на 03.04.2023", "Участники клиринга", "рейтинг по нмц маркер", "поставщики маркер", "44 за 3 года"</t>
  </si>
  <si>
    <t>43.22 Работы по монтажу систем водопровода, канализации, отопления и кондиционирования воздуха
43.21 Работы электромонтажные
80.20.10.000 Услуги систем обеспечения безопасности
62.01 Продукты программные и услуги по разработке и тестированию программного обеспечения
62.02.30 Услуги по технической поддержке информационных технологий
43.21.10.140 Работы по монтажу систем пожарной сигнализации и охранной сигнализации
62.01.12 Услуги по проектированию и разработке информационных технологий для сетей и систем
43.29.19 Работы строительно-монтажные прочие, не включенные в другие группировки
63.9 Услуги информационные прочие
62.01.11 Услуги по проектированию, разработке информационных технологий для прикладных задач и тестированию программного обеспечения ****</t>
  </si>
  <si>
    <t>За весь период компания заключила  19 контрактов на сумму  3 003 511 831,96 ?                                     ЗА 3 ГОДА ПО 223 ФЗ заключено 52 шт. с объемом НМЦ 2 183 336 514,86 ? за 1 ГОД ПО 223ФЗ заключено 33  903 035 487,88 ?</t>
  </si>
  <si>
    <t>За весь период компания заключила  5 контрактов на сумму  686 944 592,96 ?                                         за 1 ГОД ПО 223ФЗ заключено 1  30 000 000,00 ?</t>
  </si>
  <si>
    <t>"поставщики маркер", ".",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"рейтинг по нмц маркер"</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</si>
  <si>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35.22.10.110 Услуги по распределению и снабжению газовым топливом всех видов по системам распределительных трубопроводов
35.30.11.130 Энергия тепловая, отпущенная электрокотлами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35.13.10.000 Услуги по распределению электроэнергии ****</t>
  </si>
  <si>
    <t>За весь период компания заключила  41 контрактов на сумму  3 086 517 092,11 ?                                     ЗА 3 ГОДА ПО 223 ФЗ заключено 54 шт. с объемом НМЦ 364 654 072,72 ? за 1 ГОД ПО 223ФЗ заключено 20  320 219 254,80 ?</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</si>
  <si>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35.12.10.120 Услуги по технологическому присоединению к распределительным электросетям
35.13.10.000 Услуги по распределению электроэнергии
35.14.10.000 Услуги по торговле электроэнергией
35.30.11.111 Энергия тепловая, отпущенная тепловыми электроцентралями (ТЭЦ)
35.11.10.116 Электроэнергия, произведенная гидроэлектростанциями (ГЭС) общего назначения
35.11.10.119 Электроэнергия, произведенная нетиповыми электростанциями общего назначения ****</t>
  </si>
  <si>
    <t>За весь период компания заключила  7 контрактов на сумму  6 964 368 695,01 ?</t>
  </si>
  <si>
    <t>"ИНН_договоры_октябрь_", "."</t>
  </si>
  <si>
    <t>Гарантия завершена;Заявка отозвана клиентом;Распределена в Банк</t>
  </si>
  <si>
    <t>"поставщики маркер", "свод фт", ".", "Евразия(Заболотний)_n (22)", "fk1", "Действующий клиент мсб с выр от 30 млн на 05.21", "все клиенты с выручкой от 1,8 млрд до бесконечности", "ФК клиенты с выручкой от 230 до бесконечности", "Одобренные но не выданные 1 полугодие 2021", "рейтинг по нмц маркер", "на фт заводил Алиев"</t>
  </si>
  <si>
    <t>38.11.19.000 Услуги по сбору прочих неопасных отходов, пригодных для повторного использования
38.22.29.000 Услуги по утилизации прочих опасных отходов
38.11.31.000 Отходы неопасные бытовые, непригодные для повторного использования
38.11.21.000 Услуги по сбору неопасных отходов городского хозяйства, непригодных для повторного использования
38.2 Услуги по обработке и утилизации отходов
38.11 Отходы неопасные; услуги по сбору неопасных отходов
38.11.29 Услуги по сбору прочих неопасных отходов, непригодных для повторного использования
38.11.2 Услуги по сбору неопасных отходов, непригодных для повторного использования
38.11.5 Отходы неопасные прочие, пригодные для повторного использования, собранные
38.21.29.000 Услуги по утилизации неопасных отходов прочие ****</t>
  </si>
  <si>
    <t>ЗА 3 ГОДА ПО 223 ФЗ заключено 87 шт. с объемом НМЦ 30 991 481,39 ? за 1 ГОД ПО 223ФЗ заключено 42  14 527 026,59 ?</t>
  </si>
  <si>
    <t>35.12.10 Услуги по передаче электроэнергии и технологическому присоединению к распределительным электросетям</t>
  </si>
  <si>
    <t>За весь период компания заключила  13 контрактов на сумму  16 091 549 820,42 ?                                     ЗА 3 ГОДА ПО 223 ФЗ заключено 4 шт. с объемом НМЦ 192 408 884,60 ?</t>
  </si>
  <si>
    <t>68 Услуги по операциям с недвижимым имуществом
68.2 Услуги по сдаче в аренду (внаем) собственного или арендованного недвижимого имущества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</si>
  <si>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36.00.11 Вода питьевая
33.12.29.900 Услуги по ремонту и техническому обслуживанию прочего оборудования специального назначения, не включенные в другие группировки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36.00.20 Услуги по очистке вод и распределению воды по водопроводам ****</t>
  </si>
  <si>
    <t>1 178</t>
  </si>
  <si>
    <t>За весь период компания заключила  4 контрактов на сумму  898 368 269,28 ? За весь период заходили в конкурсы  1 раз на общую сумму обеспеченных контрактов с НМЦ 387 417 903,00 ? с БГУ  19 370 895,15 ? с БГИ 77 483 580,60 ? За 3 ГОДА по 44ФЗ заключено 9 шт. с объемом НМЦ  470 288 484,93 ? с БГИ 100 201 115,37 ? с БГГО 7 581 635,06 ? с авансированием до 22 225 933,80 ? с комиссией банку 293 028,19 ? с кв 2 549,35 ?               ЗА 3 ГОДА ПО 223 ФЗ заключено 76 шт. с объемом НМЦ 146 121 671,39 ? за 1 ГОД ПО 223ФЗ заключено 35  52 627 962,36 ?</t>
  </si>
  <si>
    <t>Сообщение кредитора о намерении обратиться в суд с заявлением о банкротстве от 03.09.2021</t>
  </si>
  <si>
    <t>"223 за 3 года", ".", "рейтинг поставщиков в маркере по бг", "ГРАНДИОЗНЫЙ ПРОЕКТ", "все клиенты с выручкой от 1,8 млрд до бесконечности", "рейтинг заказчиков маркер", "рейтинг по нмц маркер", "поставщики маркер", "44 за 3 года"</t>
  </si>
  <si>
    <t>22.11.14 Шины и покрышки пневматические для сельскохозяйственных машин; шины и покрышки пневматические прочие новые
22.19.30 Трубы, трубки, шланги и рукава из вулканизированной резины, кроме твердой резины (эбонита)
28.30.53.000 Прессы для соломы или сена, включая пресс-подборщики
28.30.3 Машины и оборудование сельскохозяйственные для обработки почвы
28.30.5 Машины для уборки урожая
28.30.59.111 Комбайны зерноуборочные
33.1 Услуги по ремонту металлоизделий, машин и оборудования
33.17 Услуги по ремонту и техническому обслуживанию прочих транспортных средств и оборудования
28.30 Машины и оборудование для сельского и лесного хозяйства
28.30.23.110 Тракторы сельскохозяйственные колесные с мощностью двигателя более 59 кВт ****</t>
  </si>
  <si>
    <t>10.51.52.140 Кефир
10.86.10.144 Творог и продукты на его основе, в том числе с фруктовыми и плодовоовощными компонентами, для детей дошкольного возраста и детей школьного возраста
10.51.40.131 Сыры твердые без вкусовых наполнителей
10.51.52.200 Сметана
10.51.11.110 Молоко питьевое пастеризованное
10.51.40.300 Творог
10.51.56 Продукция молочная, не включенная в другие группировки
46.33 Услуги по оптовой торговле молочными продуктами, яйцами, пищевыми маслами и жирами
46.33.11.000 Услуги по оптовой торговле молочными продуктами
10.51.52.212 Сметана от 18,0 % до 22,0 % жирности ****</t>
  </si>
  <si>
    <t>За 3 года по 223ФЗ заключено  31 шт контрактов на сумму 32 344 572,67 ?</t>
  </si>
  <si>
    <t>42.11 Дороги автомобильные и автомагистрали; строительные работы по строительству автомобильных дорог и автомагистралей
41.20.40.900 Работы строительные по возведению нежилых зданий и сооружений прочие, не включенные в другие группировки
41.20 Здания и работы по возведению зданий
41.20.20.210 Здания для органов государственного управления, обороны, государственной безопасности, финансов и иностранных представительств
41.20.10.130 Здания спальных корпусов школ-итернатов, детских домов
41.20.30.100 Работы по возведению жилых зданий, кроме работ по сохранению и воссозданию объектов культурного наследия
41.20.20.290 Здания нежилые, не включенные в другие группировки
41.20.20.180 Здания предприятий здравоохранения, науки и научного обслуживания, образования, культуры и искусства
42.11.10.160 Полосы взлетно-посадочные аэродромов, включая рулежные дорожки и аналогичных сооружений аэродромов, кроме зданий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 ****</t>
  </si>
  <si>
    <t>За весь период компания заключила  41 контрактов на сумму  37 959 451 802,60 ? За весь период заходили в конкурсы  76 раз на общую сумму обеспеченных контрактов с НМЦ 40 335 074 325,49 ? с БГУ  2 239 111 346,53 ? с БГИ 6 621 369 701,06 ? За 3 ГОДА по 44ФЗ заключено 17 шт. с объемом НМЦ  15 826 798 884,61 ? с БГИ 1 201 627 461,20 ? с БГГО 80 141 559,56 ? с авансированием до 19 417 538 675,45 ? с комиссией банку 58 894 863,57 ? с кв 512 385,31 ? ЗА 1 ГОД по 44ФЗ заключено 4 шт. c объемом НМЦ 2 449 048 846,18 ? с БГИ 197 021 301,86 ? с БГГО 11 796 874,00 ? с авансированием до  155 421 117,41 ? с комиссией банку  6 995 110,64 ? с кв 60 857,46 ?</t>
  </si>
  <si>
    <t>"44 за 3 года", "свод фт", ".", "рейтинг поставщиков в маркере по бг", "Рассрочка КВ Март 2023", "ГРАНДИОЗНЫЙ ПРОЕКТ", "УПП на 2 номер", "Конкурсы 100+ (Восстановленный)", "fk1", "клиенты управления по БГ без открытых счетов", "Премия 4 кв 22 г.бг", "06.2022_ФинХД", "все клиенты с выручкой от 1,8 млрд до бесконечности", "44 фз с с БГ от 10 млн", "рейтинг по нмц маркер", "на фт заводил Еприкян", "на фт заводил Егоров ", "crm управления", "в crm за Егоровым ", "поставщики маркер"</t>
  </si>
  <si>
    <t>35.11.10.112 Электроэнергия, произведенная теплоэлектроцентралями (ТЭЦ) общего назначения
24.10.62.110 Сталь кованая из нелегированных сталей, без дополнительной обработки
28.92.61.110 Комплектующие (запасные части) бурильных и проходческих машин, не имеющие самостоятельных группировок
35.30.11.120 Энергия тепловая, отпущенная котельными
68.10.12.000 Услуги по покупке и продаже недвижимости, находящейся в собственности на фиксированное время года
35.30.11.111 Энергия тепловая, отпущенная тепловыми электроцентралями (ТЭЦ)
35.30.11.110 Энергия тепловая, отпущенная электростанциями
09.10.11.190 Услуги по бурению, связанные с добычей нефти и горючего природного газа, не включенные в другие группировки
37.00.11 Услуги по удалению и очистке сточных отходов</t>
  </si>
  <si>
    <t>За весь период контрактов 8 шт. на общую сумму НМЦ 481 290 482,56 ?</t>
  </si>
  <si>
    <t>"поставщики маркер", ".", "fk1", "ПОС на 03.04.2023", "все клиенты с выручкой от 1,8 млрд до бесконечности", "производители", "рейтинг по нмц маркер"</t>
  </si>
  <si>
    <t>29.10 Средства автотранспортные
29.10.22 Средства транспортные с двигателем с искровым зажиганием, с рабочим объемом цилиндров более 1500 см3, новые
45.20.11.111 Услуги по регламентным работам (по видам технического обслуживания)
45.20.1 Услуги по техническому обслуживанию и ремонту легковых автомобилей и легких грузовых автотранспортных средств</t>
  </si>
  <si>
    <t>Сообщения о принятии решения о реорганизации от 06.04.2021</t>
  </si>
  <si>
    <t>Сообщения о принятии решения о реорганизации от 07.04.2021</t>
  </si>
  <si>
    <t>30.20.40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47.78.90.000 Услуги по розничной торговле непродовольственными товарами, не включенными в другие группировки, в специализированных магазинах
46 Услуги по оптовой торговле, кроме оптовой торговли автотранспортными средствами и мотоциклами</t>
  </si>
  <si>
    <t>ЗА 3 ГОДА ПО 223 ФЗ заключено 1 шт. с объемом НМЦ 78 188 400,00 ?</t>
  </si>
  <si>
    <t>Сообщения о принятии решения о реорганизации от 14.04.2021</t>
  </si>
  <si>
    <t>32.20.13.161 Трубы
23.14.12.130 Маты из стекловолокна
23.64.10.110 Смеси строительные
24.10.51.000 Прокат листовой из нелегированных сталей, шириной не менее 600 мм, плакированный, с гальваническим или иным покрытием
24.10.31.000 Прокат листовой горячекатаный из нелегированных сталей, без дополнительной обработки, шириной не менее 600 мм
20.30.12.130 Эмали на основе сложных полиэфиров, акриловых или виниловых полимеров в неводной среде
24.10 Железо, чугун, сталь и ферросплавы
24.10.41.000 Прокат листовой холоднокатаный из прочих нелегированных сталей, без дополнительной обработки, шириной не менее 600 мм
24.10.62.213 Прокат арматурный свариваемый периодического профиля
24.10.71.111 Уголки стальные горячекатаные равнополочные из нелегированных сталей</t>
  </si>
  <si>
    <t>"223 за 3 года", "свод фт", ".", "кредиты фт", "лимит сит по кредитам", "все клиенты с выручкой от 1,8 млрд до бесконечности", "на фт заводил Бесков", "поставщики маркер"</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</si>
  <si>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84.25.11.120 Услуги по обеспечению пожарной безопасности
84.11.11 Услуги органов законодательной и исполнительной государственной власти
43.99.90.190 Работы строительные специализированные прочие, не включенные в другие группировки
74.90.15 Услуги консультативные по вопросам обеспечения безопасности
80.10.19.000 Услуги в области обеспечения безопасности прочие
80.20 Услуги систем обеспечения безопасности
71.11.24.000 Услуги консультативные в области архитектуры
52.22.19.191 Услуги, связанные с морским транспортом, прочие ****</t>
  </si>
  <si>
    <t>За весь период компания заключила  107 контрактов на сумму  10 836 070 582,09 ? За весь период заходили в конкурсы  160 раз на общую сумму обеспеченных контрактов с НМЦ 17 982 485 271,65 ? с БГУ  728 932 665,89 ? с БГИ 3 882 561 594,72 ? За 3 ГОДА по 44ФЗ заключено 235 шт. с объемом НМЦ  6 203 357 536,41 ? с БГИ 1 153 170 529,22 ? с БГГО 4 840 921,30 ? с авансированием до 378 976 282,65 ? с комиссией банку 39 550 077,47 ? с кв 344 085,67 ? ЗА 1 ГОД по 44ФЗ заключено 85 шт. c объемом НМЦ 2 932 274 083,57 ? с БГИ 638 171 575,09 ? с БГГО 316 070,00 ? с авансированием до  370 731 876,00 ? с комиссией банку  25 051 622,66 ? с кв 217 949,12 ? ЗА 3 ГОДА ПО 223 ФЗ заключено 70 шт. с объемом НМЦ 630 970 355,57 ? за 1 ГОД ПО 223ФЗ заключено 14  40 727 361,12 ?</t>
  </si>
  <si>
    <t>"223 за 3 года", "свод фт", ".", "рейтинг поставщиков в маркере по бг", "беники", "Конкурсы 100+ (Восстановленный)", "ПСБ Гарантии ", "все клиенты с выручкой от 1,8 млрд до бесконечности", "44 фз с с БГ от 10 млн", "рейтинг заказчиков маркер", "рейтинг по нмц маркер", "это заказчик", "на фт заводил Адыгезалов", "поставщики маркер", "44 за 3 года"</t>
  </si>
  <si>
    <t>05.1 Уголь</t>
  </si>
  <si>
    <t>За весь период компания заключила  3 контрактов на сумму  1 393 768 264,41 ?</t>
  </si>
  <si>
    <t>"это заказчик", ".", "fk1", "Кредитный портфель_01.11", "06.2022_ФинХД", "клиенты от 100 млн", "Обороты по клиентам по кварталам (2022г)", "рейтинг по нмц маркер"</t>
  </si>
  <si>
    <t>10.51.11.190 Молоко прочее, не включенное в другие группировки
10.51.52.140 Кефир
10.51.11.141 Молоко питьевое коровье стерилизованное
10.51.52.213 Сметана от 23,0 % до 28,0 % жирности
10.51.1 Молоко и сливки, кроме сырых
10.51.30.113 Масло сливочное подсырное
10.51.11.119 Молоко питьевое пастеризованное прочее
10.51.40.314 Творог (кроме зерненого и произведенного с использованием ультрафильтрации и сепарирования) без вкусовых компонентов от 12 % до 18 % жирности
10.51.52.200 Сметана
10.86.10.100 Продукция молочная для детского питания ****</t>
  </si>
  <si>
    <t>за 1 ГОД ПО 223ФЗ заключено 1  10 297 600,00 ?</t>
  </si>
  <si>
    <t>"223 за 3 года", ".", "fk1", "производители", "это заказчик", "поставщики маркер", "44 за 3 года"</t>
  </si>
  <si>
    <t>86.21.10.190 Услуги, предоставляемые врачами общей врачебной практики, прочие, не включенные в другие группировки
86.90.15.000 Услуги медицинских лабораторий
86.22.11.000 Услуги по проведению и расшифровке медицинских исследований</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</si>
  <si>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26.30.30.000 Части и комплектующие коммуникационного оборудования
33.20.42.000 Услуги по монтажу профессионального электронного оборудования
61.90.10.130 Услуги по предоставлению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 д.
33.12.29.900 Услуги по ремонту и техническому обслуживанию прочего оборудования специального назначения, не включенные в другие группировки
26.20.30.000 Устройства автоматической обработки данных прочие
43.21.10.140 Работы по монтажу систем пожарной сигнализации и охранной сигнализации
43.21.10.180 Работы электромонтажные по монтажу прочего электрического оборудования, включая электрические солнечные коллекторы и плинтусные обогреватели, в зданиях и сооружениях
61.10.20.120 Услуги операторов связи по присоединению и пропуску международного трафика
61.10.11.190 Услуги фиксированной телефонной связи - предоставление доступа и телефонные соединения, прочие ****</t>
  </si>
  <si>
    <t>За весь период компания заключила  10 контрактов на сумму  3 428 632 004,30 ? За весь период заходили в конкурсы  25 раз на общую сумму обеспеченных контрактов с НМЦ 4 854 489 761,33 ? с БГУ  291 201 140,00 ? с БГИ 1 803 081 949,40 ? За 3 ГОДА по 44ФЗ заключено 28 шт. с объемом НМЦ  2 913 332 137,65 ? с БГИ 667 550 947,93 ? с БГГО 8 587 405,40 ? с авансированием до 0,00 ? с комиссией банку 6 847 706,70 ? с кв 59 575,05 ? ЗА 1 ГОД по 44ФЗ заключено 9 шт. c объемом НМЦ 1 105 850 517,87 ? с БГИ 220 124 110,45 ? с БГГО 6 837 493,40 ? с авансированием до  0,00 ? с комиссией банку  3 842 073,45 ? с кв 33 426,04 ?     за 1 ГОД ПО 223ФЗ заключено 3  7 273 345,00 ?</t>
  </si>
  <si>
    <t>"223 за 3 года", ".", "рейтинг поставщиков в маркере по бг", "fk1", "корп 1", "Обороты по клиентам по кварталам (2022г)", "44 фз с с БГ от 10 млн", "производители", "рейтинг по нмц маркер", "поставщики маркер", "44 за 3 года"</t>
  </si>
  <si>
    <t>42.91.20.190 Работы строительные и ремонтные, связанные с прочими водными сооружениями и работы по ремонту всех вышеуказанных сооружений
05.20.10.120 Уголь бурый обогащенный (лигнит)
05.2 Уголь бурый (лигнит)
05.20.10.110 Уголь бурый рядовой (лигнит)
52.23.19.114 Работы строительно-монтажные и погрузочно-разгрузочные</t>
  </si>
  <si>
    <t>За весь период компания заключила  1 контрактов на сумму  1 313 405 760,00 ?                                     ЗА 3 ГОДА ПО 223 ФЗ заключено 4 шт. с объемом НМЦ 1 456 172 185,93 ? за 1 ГОД ПО 223ФЗ заключено 1  7 650 000,00 ?</t>
  </si>
  <si>
    <t>35.30.11.110 Энергия тепловая, отпущенная электростанциями</t>
  </si>
  <si>
    <t>За весь период контрактов 9 шт. на общую сумму НМЦ 13 579 846 000,00 ?</t>
  </si>
  <si>
    <t>За весь период компания заключила  7 контрактов на сумму  1 975 716 490,80 ? За весь период заходили в конкурсы  54 раз на общую сумму обеспеченных контрактов с НМЦ 4 477 997 609,45 ? с БГУ  137 177 440,44 ? с БГИ 1 293 092 205,61 ? За 3 ГОДА по 44ФЗ заключено 19 шт. с объемом НМЦ  1 631 147 735,07 ? с БГИ 356 996 347,24 ? с БГГО 0,00 ? с авансированием до 0,00 ? с комиссией банку 732 525,32 ? с кв 6 372,97 ? ЗА 1 ГОД по 44ФЗ заключено 7 шт. c объемом НМЦ 576 239 870,00 ? с БГИ 158 479 062,00 ? с БГГО 0,00 ? с авансированием до  0,00 ? с комиссией банку  445 463,03 ? с кв 3 875,53 ?</t>
  </si>
  <si>
    <t>"44 за 3 года", ".", "рейтинг поставщиков в маркере по бг", "ГРАНДИОЗНЫЙ ПЛАН заказчики", "все клиенты с выручкой от 1,8 млрд до бесконечности", "44 фз с с БГ от 10 млн", "рейтинг заказчиков маркер", "рейтинг по нмц маркер", "это заказчик", "поставщики маркер"</t>
  </si>
  <si>
    <t>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42.11.10.120 Дороги автомобильные, в том числе улично-дорожная сеть, и прочие автомобильные и пешеходные дороги
42.13.20.100 Работы строительные по строительству мостов и тоннелей, кроме работ по сохранению и воссозданию объектов культурного наследия
42.11.10.121 Дорога автомобильная с усовершенствованным капитальным типом дорожного покрытия
42.11.10.122 Дорога автомобильная с усовершенствованным облегченным или переходным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t>
  </si>
  <si>
    <t>1 964</t>
  </si>
  <si>
    <t>В архиве
Гарантия завершена;Заявка отозвана клиентом;Отказ из-за непредставления документов;Отклонена банком;Отправлена клиенту
Есть финальное предложение;Отклонена банком
Мой черновик
Отклонена ФО</t>
  </si>
  <si>
    <t>На 14.04.2023 17:16 имеются действующие решения ФНС о приостановлении операций по счетам, Сообщение кредитора о намерении обратиться в суд с заявлением о банкротстве от 27.04.2023</t>
  </si>
  <si>
    <t>"44 за 3 года", "кл фт прямые бг 04.22", "свод фт", ".", "рейтинг поставщиков в маркере по бг", "Одобренные но не выданные 1 полугодие 2021(прямые)", "ГРАНДИОЗНЫЙ ПРОЕКТ", "УПП на 2 номер", "БГИ", "Конкурсы 100+ (Восстановленный)", "fk1", "кредиты фт", "клиенты управления по БГ без открытых счетов", "2. Финтендер 2022 31.03.22 Григорян для СПАРК", "корп 1", "Премия 4 кв 22 г.бг", "Гарантии ФБ банкроты", "лимит сит по кредитам", "все клиенты с выручкой от 1,8 млрд до бесконечности", "ФК клиенты с выручкой от 230 до бесконечности", "клиенты от 100 млн", "Одобренные но не выданные 1 полугодие 2021", "ФТ клиенты с продуктами по сотрудникам", "44 фз с с БГ от 10 млн", "рейтинг заказчиков маркер", "производители", "рейтинг по нмц маркер", "это заказчик", "на фт заводил Шутов", "на фт заводил Чугунова", "на фт заводил Самар", "поставщики маркер"</t>
  </si>
  <si>
    <t>ЗА 3 ГОДА ПО 223 ФЗ заключено 1 шт. с объемом НМЦ 523 352 160,00 ?</t>
  </si>
  <si>
    <t>Сообщения о принятии решения о реорганизации от 27.04.2022</t>
  </si>
  <si>
    <t>1 084</t>
  </si>
  <si>
    <t>10.41.41.110 Жмых и остатки твердые прочие, полученные при экстракции соевого масла
10.41.41.139 Жмых и остатки твердые, полученные при экстракции рапсового масла, прочие
10.41.41.123 Шрот подсолнечный тостированный, полученный при экстракции подсолнечного масла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</si>
  <si>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
42.12 Дороги железные наземные и подземные; строительные работы по строительству наземных и подземных железных дорог
42.12.20.190 Работы строительные по строительству наземных и подземных железных дорог прочие, не включенные в другие группировки</t>
  </si>
  <si>
    <t>За весь период компания заключила  21 контрактов на сумму  241 717 195 642,65 ? За весь период заходили в конкурсы  2 раз на общую сумму обеспеченных контрактов с НМЦ 5 421 092 985,79 ? с БГУ  279 078 360,91 ? с БГИ 558 156 721,81 ?                             ЗА 3 ГОДА ПО 223 ФЗ заключено 3 шт. с объемом НМЦ 13 851 212 868,00 ? за 1 ГОД ПО 223ФЗ заключено 1  1 318 316 556,00 ?</t>
  </si>
  <si>
    <t>"223 за 3 года", ".", "рейтинг поставщиков в маркере по бг", "ГРАНДИОЗНЫЙ ПРОЕКТ", "Конкурсы 100+ (Восстановленный)", "06.2022_ФинХД", "223 фз контракты 20+", "рейтинг по нмц маркер", "44 за 3 года"</t>
  </si>
  <si>
    <t>38.22.29.000 Услуги по утилизации прочих опасных отходов
38.22.19.000 Услуги по переработке прочих опасных отходов
38.21.10.000 Услуги по переработке отходов неопасных для окончательной утилизации</t>
  </si>
  <si>
    <t>На 13.04.2023 16:06 имеются действующие решения ФНС о приостановлении операций по счетам</t>
  </si>
  <si>
    <t>68.32.11.120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t>
  </si>
  <si>
    <t>05 Уголь
05.10.10.130 Уголь, за исключением антрацита, угля коксующегося и угля бурого
05.10.10.132 Уголь марки ДГ - длиннопламенный газовый
05.10.10.136 Уголь марки СС - слабоспекающийся
05.10.10.137 Уголь марки Т - тощий
05.10.10.131 Уголь марки Д - длиннопламенный</t>
  </si>
  <si>
    <t>За весь период компания заключила  63 контрактов на сумму  159 433 340 920,58 ? За весь период заходили в конкурсы  98 раз на общую сумму обеспеченных контрактов с НМЦ 2 639 511 517,56 ? с БГУ  136 221 532,23 ? с БГИ 1 025 363 716,63 ?                             ЗА 3 ГОДА ПО 223 ФЗ заключено 8 шт. с объемом НМЦ 1 149 313 604,00 ? за 1 ГОД ПО 223ФЗ заключено 2  144 885 960,00 ?</t>
  </si>
  <si>
    <t>28.14.13.110 Клапаны запорные
71.12 Услуги в области инженерно-технического проектирования и связанные технические консультативные услуги
27.90.52.000 Конденсаторы постоянной емкости прочие
71.1 Услуги в области архитектуры, инженерно-технического проектирования и связанные технические консультативные услуги
71.12.14 Услуги по инженерно-техническому проектированию тоннелей, автомагистралей, улиц, транспортных развязок и подобных объектов
27.11.4 Трансформаторы электрические</t>
  </si>
  <si>
    <t>"223 за 3 года", "кл фт самоход бг 04.22", "свод фт", ".", "рейтинг поставщиков в маркере по бг", "06.2022_ФинХД", "все клиенты с выручкой от 1,8 млрд до бесконечности", "портфель", "клиенты от 100 млн", "действующие б не прям", "ФТ клиенты с продуктами по сотрудникам", "рейтинг заказчиков маркер", "производители", "рейтинг по нмц маркер", "на фт заводил Шаклейн", "crm управления", "в crm за Шаклейном ", "поставщики маркер"</t>
  </si>
  <si>
    <t>38.11.19.000 Услуги по сбору прочих неопасных отходов, пригодных для повторного использования
38.22.29.000 Услуги по утилизации прочих опасных отходов
38.11.31.000 Отходы неопасные бытовые, непригодные для повторного использования
38.11.21.000 Услуги по сбору неопасных отходов городского хозяйства, непригодных для повторного использования
38.12.11.000 Услуги по сбору опасных медицинских и прочих биологически опасных отходов
38.21.29.000 Услуги по утилизации неопасных отходов прочие
38.11.59.000 Отходы неопасные прочие, пригодные для повторного использования, не включенные в другие группировки
81.29.11.000 Услуги по дезинфекции, дезинсекции и дератизации
38.11.29.000 Услуги по сбору прочих неопасных отходов, непригодных для повторного использования
38.12.13.000 Услуги по сбору опасных отходов городского хозяйства ****</t>
  </si>
  <si>
    <t>Заказчик разыгравший 62 конкурсов на сумму  94 458 741 656,47 ?</t>
  </si>
  <si>
    <t>38.11.19.000 Услуги по сбору прочих неопасных отходов, пригодных для повторного использования
38.22.29.000 Услуги по утилизации прочих опасных отходов
39.00.23.900 Услуги специализированные прочие по контролю над загрязнением окружающей среды, не включенные в другие группировки
38.11.31.000 Отходы неопасные бытовые, непригодные для повторного использования
38.32.12.000 Услуги по сортировке неметаллических материалов для восстановления
38.32.39.000 Сырье вторичное неметаллическое прочее
39.00.11.111 Услуги по специальной обработке загрязненной почвы с использованием механических методов очистки
36.00.30.000 Услуги по торговле водой, поставляемой по трубопроводам
38.11.21.000 Услуги по сбору неопасных отходов городского хозяйства, непригодных для повторного использования
38.2 Услуги по обработке и утилизации отходов ****</t>
  </si>
  <si>
    <t>За весь период заходили в конкурсы  2 раз на общую сумму обеспеченных контрактов с НМЦ 472 970 431,04 ? с БГУ  24 368 619,12 ? с БГИ 48 737 238,26 ?</t>
  </si>
  <si>
    <t>за 1 ГОД ПО 223ФЗ заключено 1  11 492 620,80 ?</t>
  </si>
  <si>
    <t>2 105</t>
  </si>
  <si>
    <t>28.13.1 Насосы для перекачки жидкостей; подъемники жидкостей
09.10.11.190 Услуги по бурению, связанные с добычей нефти и горючего природного газа, не включенные в другие группировки</t>
  </si>
  <si>
    <t>За весь период компания заключила  2 контрактов на сумму  9 409 067 499,65 ?</t>
  </si>
  <si>
    <t>49.41.12.000 Услуги по перевозке автомобильным транспортом нефтепродуктов в автоцистернах или полуприцепах-цистернах
49.41.16.000 Услуги по перевозке автомобильным транспортом живых животных
49.41.20.000 Услуги по аренде грузовых транспортных средств с водителем</t>
  </si>
  <si>
    <t>3 127</t>
  </si>
  <si>
    <t>Заказчик разыгравший 33 конкурсов на сумму  2 764 404 148,13 ?</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</si>
  <si>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45.11 Услуги по торговле легковыми автомобилями и грузовыми автомобилями малой грузоподъемности
45.20.11.519 Прочие услуги по техническому обслуживанию и ремонту прочих автотранспортных средств, не включенные в другие группировки
29.10.2 Автомобили легковые
29.32.30.390 Части и принадлежности для автотранспортных средств прочие, не включенные в другие группировки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29.10.24.000 Средства автотранспортные для перевозки людей прочие
45.20.11.111 Услуги по регламентным работам (по видам технического обслуживания)
45.20.11.214 Услуги по ремонту рулевого управления и подвески ****</t>
  </si>
  <si>
    <t>1 455</t>
  </si>
  <si>
    <t>За весь период заходили в конкурсы  2 раз на общую сумму обеспеченных контрактов с НМЦ 149 583 705,80 ? с БГУ  1 529 613,19 ? с БГИ 10 288 065,95 ? За 3 ГОДА по 44ФЗ заключено 82 шт. с объемом НМЦ  464 890 956,40 ? с БГИ 39 055 869,38 ? с БГГО 5 918 210,12 ? с авансированием до 84 230 550,00 ? с комиссией банку 544 217,85 ? с кв 4 734,70 ? ЗА 1 ГОД по 44ФЗ заключено 34 шт. c объемом НМЦ 259 895 118,74 ? с БГИ 24 298 839,79 ? с БГГО 4 413 949,88 ? с авансированием до  84 230 550,00 ? с комиссией банку  456 166,73 ? с кв 3 968,65 ? ЗА 3 ГОДА ПО 223 ФЗ заключено 15 шт. с объемом НМЦ 43 031 412,00 ? за 1 ГОД ПО 223ФЗ заключено 5  5 475 532,66 ?</t>
  </si>
  <si>
    <t>"223 за 3 года", ".", "рейтинг поставщиков в маркере по бг", "fk1", "ИНН_договоры_октябрь_", "все клиенты с выручкой от 1,8 млрд до бесконечности", "Обороты по клиентам по кварталам (2022г)", "44 фз с с БГ от 10 млн", "рейтинг заказчиков маркер", "это заказчик", "поставщики маркер", "44 за 3 года"</t>
  </si>
  <si>
    <t>Юридическим лицом принято решение об изменении места нахождения от 13.08.2020</t>
  </si>
  <si>
    <t>26.51.52.130 Приборы для измерения или контроля давления жидкостей и газов
30.30.50 Части летательных и космических аппаратов прочие
26.51.45 Приборы и аппаратура для измерения или контроля электрических величин, не включенные в другие группировки
26.30.30.000 Части и комплектующие коммуникационного оборудования
30.30 Аппараты летательные и космические и соответствующее оборудование
26.51 Оборудование для измерения, испытаний и навигации
26.20 Компьютеры и периферийное оборудование
26.51.70.190 Приборы автоматические регулирующие и контрольно-измерительные прочие
30.30.16.000 Части турбореактивных или турбовинтовых двигателей
30.30.60 Услуги по капитальному ремонту и модернизации (переоборудованию) летательных аппаратов и двигателей летательных аппаратов ****</t>
  </si>
  <si>
    <t>За весь период компания заключила  11 контрактов на сумму  4 946 937 074,70 ? За весь период заходили в конкурсы  2 раз на общую сумму обеспеченных контрактов с НМЦ 122 226 621,60 ? с БГУ  1 222 266,22 ? с БГИ 6 111 331,08 ?</t>
  </si>
  <si>
    <t>Сообщение кредитора о намерении обратиться в суд с заявлением о банкротстве от 13.06.2019</t>
  </si>
  <si>
    <t>"223 за 3 года", ".", "рейтинг поставщиков в маркере по бг", "рейтинг заказчиков маркер", "производители", "рейтинг по нмц маркер", "это заказчик",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</si>
  <si>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41.20.40.200 Работы по сохранению и воссозданию нежилых зданий, являющихся объектами культурного наследия
71.12.20.190 Услуги по руководству строительными проектами прочие
42.21.12 Трубопроводы местные для жидкостей и газа
41.20.40.900 Работы строительные по возведению нежилых зданий и сооружений прочие, не включенные в другие группировки
71.11.22.000 Услуги в области архитектуры, связанные с проектами строительства нежилых зданий и сооружений
71.12.19.100 Услуги по инженерно-техническому проектированию прочих объектов, кроме объектов культурного наследия
42.21 Сооружения и строительные работы по строительству инженерных коммуникаций для жидкостей и газов
71.12.12.190 Услуги по инженерно-техническому проектированию зданий прочие,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 ****</t>
  </si>
  <si>
    <t>За весь период компания заключила  28 контрактов на сумму  6 749 264 782,63 ? За весь период заходили в конкурсы  72 раз на общую сумму обеспеченных контрактов с НМЦ 11 440 173 854,15 ? с БГУ  539 346 825,87 ? с БГИ 1 972 047 170,36 ? За 3 ГОДА по 44ФЗ заключено 48 шт. с объемом НМЦ  3 629 742 550,01 ? с БГИ 519 913 729,19 ? с БГГО 165 509 927,94 ? с авансированием до 307 844 266,71 ? с комиссией банку 3 822 797,88 ? с кв 33 258,34 ? ЗА 1 ГОД по 44ФЗ заключено 7 шт. c объемом НМЦ 450 539 856,96 ? с БГИ 120 487 964,89 ? с БГГО 22 527 655,95 ? с авансированием до  117 553 166,43 ? с комиссией банку  2 375 718,98 ? с кв 20 668,76 ? ЗА 3 ГОДА ПО 223 ФЗ заключено 2 шт. с объемом НМЦ 97 000 000,00 ? за 1 ГОД ПО 223ФЗ заключено 2  97 000 000,00 ?</t>
  </si>
  <si>
    <t>"223 за 3 года", ".", "рейтинг поставщиков в маркере по бг", "ГРАНДИОЗНЫЙ ПРОЕКТ", "Конкурсы 100+ (Восстановленный)", "fk1", "223 фз контракты 20+", "44 фз с с БГ от 10 млн", "рейтинг по нмц маркер", "поставщики маркер", "44 за 3 года"</t>
  </si>
  <si>
    <t>"поставщики маркер", ".", "рейтинг поставщиков в маркере по бг", "fk1", "корп 1", "клиенты с в от100млн 09.21", "ФК клиенты с выручкой от 230 до бесконечности", "Обороты по клиентам по кварталам (2022г)", "рейтинг по нмц маркер"</t>
  </si>
  <si>
    <t>"в crm за Акимкиным", ".", "все клиенты с выручкой от 1,8 млрд до бесконечности", "crm управления"</t>
  </si>
  <si>
    <t>37.00.11.110 Услуги по водоотведению сточных вод
35.30.11.120 Энергия тепловая, отпущенная котельными
35.30.12.130 Услуги по транспортированию горячей воды
36.00.20.130 Услуги по транспортированию и распределению воды по водопроводам
35.30.11.119 Энергия тепловая, отпущенная прочими электростанциями
36.00.11.000 Вода питьевая</t>
  </si>
  <si>
    <t>Сообщение кредитора о намерении обратиться в суд с заявлением о банкротстве от 08.10.2020</t>
  </si>
  <si>
    <t>27.32 Провода и кабели электронные и электрические прочие</t>
  </si>
  <si>
    <t>ЗА 3 ГОДА ПО 223 ФЗ заключено 2 шт. с объемом НМЦ 65 495 800,00 ?</t>
  </si>
  <si>
    <t>"Обороты по клиентам по кварталам (2022г)", ".",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t>
  </si>
  <si>
    <t>37.00.11.110 Услуги по водоотведению сточных вод
35.30.11.120 Энергия тепловая, отпущенная котельными
35.30.12.130 Услуги по транспортированию горячей воды
37.00.11.120 Услуги по транспортированию сточных вод</t>
  </si>
  <si>
    <t>За весь период компания заключила  12 контрактов на сумму  1 452 724 077,05 ? За весь период заходили в конкурсы  1 раз на общую сумму обеспеченных контрактов с НМЦ 233 026 788,68 ? с БГУ  15 828 473,62 ? с БГИ 94 970 841,74 ?                             ЗА 3 ГОДА ПО 223 ФЗ заключено 33 шт. с объемом НМЦ 1 092 744 107,44 ? за 1 ГОД ПО 223ФЗ заключено 14  122 133 765,89 ?</t>
  </si>
  <si>
    <t>43.99.90 Работы строительные специализированные, не включенные в другие группировки</t>
  </si>
  <si>
    <t>Сообщение кредитора о намерении обратиться в суд с заявлением о банкротстве от 14.03.2019</t>
  </si>
  <si>
    <t>"223 за 3 года", "кл фт прямые бг 04.22", "свод фт", ".", "Одобренные но не выданные 1 полугодие 2021(прямые)", "беники", "УПП на 2 номер", "fk1", "клиенты управления по БГ без открытых счетов", "2. Финтендер 2022 31.03.22 Григорян для СПАРК", "Премия 4 кв 22 г.бг", "все клиенты с выручкой от 1,8 млрд до бесконечности", "портфель", "ФК клиенты с выручкой от 230 до бесконечности", "клиенты от 100 млн", "Одобренные но не выданные 1 полугодие 2021", "ФТ клиенты с продуктами по сотрудникам", "производители", "на фт заводил Алиев",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</si>
  <si>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38.11.19.000 Услуги по сбору прочих неопасных отходов, пригодных для повторного использования
37.00.12.110 Услуги по опорожнению и чистке выгребных ям, сточных колодцев и септиков
42.11.10.129 Дороги автомобильные, в том числе улично-дорожная сеть, и прочие автомобильные и пешеходные дороги, не включенные в другие группировки</t>
  </si>
  <si>
    <t>За весь период компания заключила  36 контрактов на сумму  68 597 426 531,04 ? За весь период заходили в конкурсы  42 раз на общую сумму обеспеченных контрактов с НМЦ 18 696 638 126,54 ? с БГУ  849 073 021,91 ? с БГИ 5 248 547 283,04 ?</t>
  </si>
  <si>
    <t>Сообщение кредитора о намерении обратиться в суд с заявлением о банкротстве от 29.03.2022</t>
  </si>
  <si>
    <t>25.11.23.119 Конструкции и детали конструкций из черных металлов прочие, не включенные в другие группировки
25.1 Металлоконструкции строительные
35.30.11.130 Энергия тепловая, отпущенная электрокотлами
35.30.11.120 Энергия тепловая, отпущенная котельными
25.11.22.190 Опоры и мачты решетчатые из черных металлов прочие, не включенные в другие группировки
25.11.23.115 Конструкции и детали линий электропередач и открытых подстанций из черных металлов
35.30.11.111 Энергия тепловая, отпущенная тепловыми электроцентралями (ТЭЦ)
25.11.22.110 Опоры линий электропередачи (ЛЭП) из черных металлов</t>
  </si>
  <si>
    <t>За весь период компания заключила  3 контрактов на сумму  2 759 106 049,88 ?</t>
  </si>
  <si>
    <t>Сообщения о принятии решения о реорганизации от 18.11.2020</t>
  </si>
  <si>
    <t>Сообщения о принятии решения о реорганизации от 28.09.2022</t>
  </si>
  <si>
    <t>24.20.13.130 Трубы стальные электросварные</t>
  </si>
  <si>
    <t>За год заключили по 223фз 1 контракта(ов) на сумму  18 663 480,00 ?</t>
  </si>
  <si>
    <t>71.20.19.190 Услуги по техническим испытаниям и анализу прочие, не включенные в другие группировки</t>
  </si>
  <si>
    <t>За весь период компания заключила  1 контрактов на сумму  975 000 000,00 ? За весь период заходили в конкурсы  1 раз на общую сумму обеспеченных контрактов с НМЦ 975 000 000,00 ? с БГУ  78 059 951,50 ? с БГИ 312 239 806,00 ?</t>
  </si>
  <si>
    <t>"223 за 3 года", ".", "рейтинг поставщиков в маркере по бг", "производители", "рейтинг по нмц маркер", "44 за 3 года"</t>
  </si>
  <si>
    <t>За весь период компания заключила  1 контрактов на сумму  400 204 363,00 ?</t>
  </si>
  <si>
    <t>"поставщики маркер", ".", "fk1", "портфель 31.10.2021_10 тыс_проверка", "корп 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t>
  </si>
  <si>
    <t>33.12.15.000 Услуги по ремонту и техническому обслуживанию подъемно-транспортного оборудования</t>
  </si>
  <si>
    <t>"производители", ".", "fk1", "ушедшие", "лимит сит по кредитам", "Пустые_Клиенты", "все клиенты с выручкой от 1,8 млрд до бесконечности"</t>
  </si>
  <si>
    <t>Юридическое лицо находится в процессе реорганизации в форме присоединения к нему других юридических лиц от 09.11.2022</t>
  </si>
  <si>
    <t>21.20.10.118 Препараты, способствующие пищеварению, включая ферментные препараты
21.20.10.133 Препараты антианемические
21.20.10.191 Препараты антибактериальные для системного использования
21.20.10.213 Иммуномодуляторы
21.20.23.190 Препараты фармацевтические прочие
21.20.10.111 Препараты стоматологические
21.20.10.116 Препараты противодиарейные, кишечные противовоспалительные и противомикробные
21.20.10.194 Препараты противовирусные для системного применения
21.20.10.234 Препараты противопаркинсонические
21.20.10.239 Препараты для лечения заболеваний нервной системы прочие ****</t>
  </si>
  <si>
    <t>За весь период компания заключила  27 контрактов на сумму  1 761 533 943,17 ? За весь период заходили в конкурсы  66 раз на общую сумму обеспеченных контрактов с НМЦ 5 069 612 730,59 ? с БГУ  88 943 331,70 ? с БГИ 541 315 220,91 ? За 3 ГОДА по 44ФЗ заключено 2212 шт. с объемом НМЦ  10 804 755 340,40 ? с БГИ 955 715 353,88 ? с БГГО 9 774 328,80 ? с авансированием до 1 327 495,32 ? с комиссией банку 11 648 739,74 ? с кв 101 344,04 ? ЗА 1 ГОД по 44ФЗ заключено 905 шт. c объемом НМЦ 4 601 599 196,58 ? с БГИ 436 746 295,70 ? с БГГО 12 044,00 ? с авансированием до  950 115,30 ? с комиссией банку  5 435 528,83 ? с кв 47 289,10 ? ЗА 3 ГОДА ПО 223 ФЗ заключено 40 шт. с объемом НМЦ 174 481 261,40 ? за 1 ГОД ПО 223ФЗ заключено 18  59 682 455,12 ?</t>
  </si>
  <si>
    <t>"223 за 3 года", "кл фт прямые бг 04.22", "свод фт", ".", "рейтинг поставщиков в маркере по бг", "База Восточный (Мелкумов)", "беники", "одобренные", "УПП на 2 номер", "fk1", "клиенты управления по БГ без открытых счетов", "ИНН 3 года - нет КД БГ на 01.10.22", "Евразия_июлль-август 2019", "2. Финтендер 2022 31.03.22 Григорян для СПАРК",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"ФТ клиенты с продуктами по сотрудникам", "44 фз с с БГ от 10 млн", "рейтинг по нмц маркер", "на фт заводил Шутов", "на фт заводил Мамонтова", "на фт заводил Левкин", "поставщики маркер", "44 за 3 года"</t>
  </si>
  <si>
    <t>клиент ФК 2,5-8576</t>
  </si>
  <si>
    <t>"44 за 3 года", ".", "Действующий клиент мсб с выр до 6 млн на 05.21", "ФК клиенты с выручкой 2,5-8 млн"</t>
  </si>
  <si>
    <t>71.12.11 Услуги в виде научно-технических консультаций
43.11.10.000 Работы по сносу зданий и сооружений
41.20.20.120 Здания машиностроительных предприятий
71.20.19.190 Услуги по техническим испытаниям и анализу прочие, не включенные в другие группировки
43.2 Работы электромонтажные, работы по монтажу водопроводных и канализационных систем и прочие строительно-монтажные работы
33.14.19.000 Услуги по ремонту и техническому обслуживанию прочего профессионального электрического оборудования
71.12.17.000 Услуги по инженерно-техническому проектированию производственных процессов и производств
26.51.53.120 Анализаторы жидкостей</t>
  </si>
  <si>
    <t>За весь период компания заключила  11 контрактов на сумму  3 592 386 046,30 ? За весь период заходили в конкурсы  7 раз на общую сумму обеспеченных контрактов с НМЦ 1 298 584 526,70 ? с БГУ  122 072 004,10 ? с БГИ 1 662 224 843,60 ?                             ЗА 3 ГОДА ПО 223 ФЗ заключено 5 шт. с объемом НМЦ 81 702 973,05 ?</t>
  </si>
  <si>
    <t>Сообщение кредитора о намерении обратиться в суд с заявлением о банкротстве от 13.03.2020</t>
  </si>
  <si>
    <t>05 Уголь
05.10.10.130 Уголь, за исключением антрацита, угля коксующегося и угля бурого
86.90.19.140 Услуги санаторно-курортных организаций
05.10.10.131 Уголь марки Д - длиннопламенный</t>
  </si>
  <si>
    <t>За весь период компания заключила  49  58 696 840 735,97 ? За весь период заходили в конкурсы  8 раз на общую сумму обеспеченных контрактов с НМЦ 2 200 349 574,35 ? с БГУ  15 054 449,37 ? с БГИ 301 088 987,16 ?                             ЗА 3 ГОДА ПО 223 ФЗ заключено 1 шт. с объемом НМЦ 3 031 339 395,00 ? за 1 ГОД ПО 223ФЗ заключено 1  3 031 339 395,00 ?</t>
  </si>
  <si>
    <t>"223 за 3 года", ".", "рейтинг поставщиков в маркере по бг", "райф", "ушедшие", "все клиенты с выручкой от 1,8 млрд до бесконечности", "223 фз контракты 20+", "рейтинг заказчиков маркер", "рейтинг по нмц маркер", "44 за 3 года"</t>
  </si>
  <si>
    <t>64.9 Услуги финансовые прочие, кроме услуг по страхованию и пенсионному обеспечению</t>
  </si>
  <si>
    <t>01.27.12.130 Лист черного чая сортовой
01.13.12.120 Капуста белокочанная
10.32.19.111 Соки из фруктов прямого отжима прочие
10.84.30.140 Соль пищевая молотая
10.61.32.111 Крупа овсяная
10.61.32.113 Крупа гречневая
01.13.51.110 Картофель столовый ранний
10.89.13.110 Дрожжи (активные и неактивные)
10.20.25.113 Консервы рыбные в масле
01.13.51.120 Картофель столовый поздний ****</t>
  </si>
  <si>
    <t>45.19.49.000 Услуги по оптовой торговле прочими автотранспортными средствами за вознаграждение или на договорной основе прочие</t>
  </si>
  <si>
    <t>За 3 года по 223ФЗ заключено  22 шт контрактов на сумму 277 076 849,99 ?</t>
  </si>
  <si>
    <t>28.30.93.000 Части прочих машин и оборудования для сельского хозяйства
45.20.11.519 Прочие услуги по техническому обслуживанию и ремонту прочих автотранспортных средств, не включенные в другие группировки
28.30.59.111 Комбайны зерноуборочные
29.10.11.000 Двигатели внутреннего сгорания поршневые с искровым зажиганием, с рабочим объемом цилиндров не более 1000 см3 для автотранспортных средств
28.15.24.131 Коробки передач
28.30.23.110 Тракторы сельскохозяйственные колесные с мощностью двигателя более 59 кВт
29.32.30.390 Части и принадлежности для автотранспортных средств прочие, не включенные в другие группировки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28.15.24.130 Коробки передач и прочие переключатели скоростей
29.10.13.000 Двигатели внутреннего сгорания поршневые с воспламенением от сжатия для транспортных средств ****</t>
  </si>
  <si>
    <t>26.20.18.000 Устройства периферийные с двумя или более функциями: печать данных, копирование, сканирование, прием и передача факсимильных сообщений
26.20.40 Блоки, части и принадлежности вычислительных машин
26.20.91.000 Услуги по производству компьютеров и периферийного оборудования
26.30.11.140 Оборудование, используемое для учета объема оказанных услуг связи
46.14.11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
27.90 Оборудование электрическое прочее
26.20.1 Компьютеры, их части и принадлежности
26.30.11.190 Аппаратура коммуникационная передающая с приемными устройствами прочая, не включенная в другие группировки
58.29.5 Услуги по предоставлению лицензий на право использовать компьютерное программное обеспечение
46.51.10.110 Услуги по оптовой торговле компьютерами, компьютерными периферийными устройствами ****</t>
  </si>
  <si>
    <t>За весь период компания заключила  19 контрактов на сумму  4 270 404 751,71 ? За весь период заходили в конкурсы  21 раз на общую сумму обеспеченных контрактов с НМЦ 3 835 967 451,13 ? с БГУ  180 818 793,67 ? с БГИ 825 177 685,25 ? За 3 ГОДА по 44ФЗ заключено 17 шт. с объемом НМЦ  1 574 395 057,70 ? с БГИ 283 120 034,07 ? с БГГО 8 097 556,54 ? с авансированием до 44 392 551,15 ? с комиссией банку 3 707 506,83 ? с кв 32 255,31 ? ЗА 1 ГОД по 44ФЗ заключено 6 шт. c объемом НМЦ 512 956 560,44 ? с БГИ 93 582 527,99 ? с БГГО 2 327 584,72 ? с авансированием до  38 234 746,51 ? с комиссией банку  675 247,28 ? с кв 5 874,65 ? ЗА 3 ГОДА ПО 223 ФЗ заключено 2 шт. с объемом НМЦ 24 075 457,46 ?</t>
  </si>
  <si>
    <t>"223 за 3 года", "свод фт", ".", "рейтинг поставщиков в маркере по бг", "Конкурсы 100+ (Восстановленный)", "Агентские отказ из-за непред-я док-ов", "все клиенты с выручкой от 1,8 млрд до бесконечности", "44 фз с с БГ от 10 млн", "рейтинг по нмц маркер", "на фт заводил Морозова", "на фт заводил Бесков", "поставщики маркер", "44 за 3 года"</t>
  </si>
  <si>
    <t>ЗА 3 ГОДА ПО 223 ФЗ заключено 15 шт. с объемом НМЦ 7 497 840 985,67 ? за 1 ГОД ПО 223ФЗ заключено 10  7 032 425 308,24 ?</t>
  </si>
  <si>
    <t>"223 за 3 года", ".", "Агентские одобренные но не выданные от 30.08", "223 фз контракты 20+", "поставщики маркер"</t>
  </si>
  <si>
    <t>28.92.12.130 Машины бурильные
28.92.61.110 Комплектующие (запасные части) бурильных и проходческих машин, не имеющие самостоятельных группировок
24.20.12.130 Трубы бурильные для бурения нефтяных и газовых скважин бесшовные стальные</t>
  </si>
  <si>
    <t>22.29.21 Плиты, листы, пленка, лента и прочие плоские полимерные самоклеящиеся формы, в рулонах шириной не более 20 см</t>
  </si>
  <si>
    <t>Сообщения о принятии решения о реорганизации от 24.05.2022</t>
  </si>
  <si>
    <t>"223 за 3 года", ".", "fk1", "клиенты с в от100млн 09.21", "все клиенты с выручкой от 1,8 млрд до бесконечности", "это заказчик", "поставщики маркер"</t>
  </si>
  <si>
    <t>17.2 Изделия из бумаги и картона
17.12 Бумага и картон
33.12 Услуги по ремонту оборудования
28 Машины и оборудование, не включенные в другие группировки</t>
  </si>
  <si>
    <t>19.20.21.321 Топливо дизельное зимнее вне классов
19.20.21 Топливо моторное, включая автомобильный и авиационный бензин
19.20.21.100 Бензин автомобильный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19.20.31.110 Пропан сжиженный
19.20.21.120 Бензин автомобильный с октановым числом более 92, но не более 95 по исследовательскому методу
19.20.21.135 Бензин автомобильный с октановым числом более 95, но не более 98 по исследовательскому методу экологического класса К5
19.20.21.315 Топливо дизельное летнее экологического класса К5
19.20.21.320 Топливо дизельное зимнее ****</t>
  </si>
  <si>
    <t>За весь период компания заключила  7 контрактов на сумму  1 143 976 221,13 ? За весь период заходили в конкурсы  6 раз на общую сумму обеспеченных контрактов с НМЦ 382 392 427,05 ? с БГУ  4 006 427,89 ? с БГИ 54 713 278,88 ?                             ЗА 3 ГОДА ПО 223 ФЗ заключено 33 шт. с объемом НМЦ 118 171 064,70 ? за 1 ГОД ПО 223ФЗ заключено 19  9 227 524,00 ?</t>
  </si>
  <si>
    <t>56.29.20.120 Услуги школьных столовых и кухонь
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43.39.19.190 Работы завершающие и отделочные в зданиях и сооружениях, прочие, не включенные в другие группировки
43.29.19 Работы строительно-монтажные прочие, не включенные в другие группировки
37 Услуги по водоотведению; шлам сточных вод
55.90 Услуги по предоставлению временного жилья прочие
81.10.10.000 Услуги по обслуживанию помещений комплексные
96.01.19.125 Услуги по стирке белья с различными пятнами, требующая особого режима обслуживания
56.29.19.000 Услуги по обеспечению питанием, осуществляемые по договору, прочие
43.33.29 Работы по устройству покрытий полов и стен, включая работы обойные, прочие, не включенные в другие группировки ****</t>
  </si>
  <si>
    <t>За весь период заходили в конкурсы  1 раз на общую сумму обеспеченных контрактов с НМЦ 50 058 561,08 ? с БГУ  3 114 389,24 ? с БГИ 18 686 335,49 ?                             ЗА 3 ГОДА ПО 223 ФЗ заключено 5 шт. с объемом НМЦ 104 251 248,10 ?</t>
  </si>
  <si>
    <t>93.19.19.000 Услуги в области спорта и отдыха прочие</t>
  </si>
  <si>
    <t>"Обороты по клиентам по кварталам (2022г)", ".", "ушедший портфель", "fk1", "ИНН 3 года - нет КД БГ на 01.10.22", "Список ушедший ", "клиенты с в от100млн 09.21", "все клиенты с выручкой от 1,8 млрд до бесконечности", "ФК клиенты с выручкой от 230 до бесконечности"</t>
  </si>
  <si>
    <t>24.10.5 Прокат листовой стальной, плакированный, с гальваническим или иным покрытием, и прокат листовой из быстрорежущей и электротехнической стали</t>
  </si>
  <si>
    <t>"223 за 3 года", "свод фт", ".", "на фт заводил Кашин", "поставщики маркер"</t>
  </si>
  <si>
    <t>37.00.1 Услуги по удалению сточных отходов</t>
  </si>
  <si>
    <t>Сообщение кредитора о намерении обратиться в суд с заявлением о банкротстве от 27.10.2022</t>
  </si>
  <si>
    <t>29.10.41.113 Автомобили грузовые с дизельным двигателем, имеющие технически допустимую максимальную массу свыше 12 т
29.10.59.119 Средства автотранспортные для транспортирования строительных материалов прочие
28.99.39.190 Оборудование специального назначения прочее, не включенное в другие группировки
29.10 Средства автотранспортные
29.20.23 Прицепы и полуприцепы прочие
29.20.23.120 Прицепы-цистерны и полуприцепы-цистерны для перевозки нефтепродуктов, воды и прочих жидкостей
45.19 Услуги по торговле прочими автотранспортными средствами
29.10.5 Средства автотранспортные специального назначения
30.99.10 Средства транспортные и оборудование прочие, не включенные в другие группировки
45.1 Услуги по торговле автотранспортными средствами ****</t>
  </si>
  <si>
    <t>за 1 ГОД ПО 223ФЗ заключено 2  27 003 400,00 ?</t>
  </si>
  <si>
    <t>24 Металлы основные
24.10.2 Сталь
24.10.33.000 Прокат листовой горячекатаный из нержавеющих сталей, без дополнительной обработки, шириной не менее 600 мм
24.10.64 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
24.10.63 Прокат сортовой и катанка горячекатаные со свободной намоткой в бухты из нержавеющих сталей
24.10.66 Прокат сортовой и катанка из прочих легированных сталей прочие, кованые, горячекатаные, горячетянутые или экструдированные, без дополнительной обработки, включая смотанные после прокатки
24.10.21.140 Полуфабрикаты круглого или многоугольного сечения из нелегированной стали
24.10.23 Сталь легированная прочая в слитках или в прочих первичных формах и полуфабрикаты из прочей легированной стали
24.10.23.190 Полуфабрикаты прочие из прочих легированных сталей
24.10.3 Прокат листовой горячекатаный стальной, без дополнительной обработки ****</t>
  </si>
  <si>
    <t>24 Металлы основные
24.10.62.121 Прокат сортовой горячекатаный круглый прочий, без дополнительной обработки, включая смотанный после прокатки, из нелегированных сталей
24.10.23.110 Сталь легированная прочая в слитках или в прочих первичных формах
25.93 Проволока, цепи и пружины
24.10.64 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
24.10.21.140 Полуфабрикаты круглого или многоугольного сечения из нелегированной стали
24.10.6 Прокат сортовой и катанка горячекатаные стальные
25.99.21.190 Изделия металлические для хранения ценностей и документов прочие, не включенные в другие группировки
24.10.1 Продукты из железа и стали основные
24.10.31.000 Прокат листовой горячекатаный из нелегированных сталей, без дополнительной обработки, шириной не менее 600 мм ****</t>
  </si>
  <si>
    <t>ЗА 3 ГОДА ПО 223 ФЗ заключено 9 шт. с объемом НМЦ 123 902 472,60 ? за 1 ГОД ПО 223ФЗ заключено 1  49 168 852,14 ?</t>
  </si>
  <si>
    <t>"223 за 3 года", ".", "клиенты с в от100млн 09.21", "все клиенты с выручкой от 1,8 млрд до бесконечности", "портфель", "ФК клиенты с выручкой от 230 до бесконечности", "223 фз контракты 20+", "поставщики маркер"</t>
  </si>
  <si>
    <t>08.12.12.140 Щебень
08.12 Гравий, песок, глины и каолин
08.99.29.151 Асбест хризотиловый</t>
  </si>
  <si>
    <t>"223 за 3 года", ".", "все клиенты с выручкой от 1,8 млрд до бесконечности", "рейтинг по нмц маркер", "44 за 3 года"</t>
  </si>
  <si>
    <t>21.20.21.132 Вакцины бактериальные инактивированные профилактические, применяемые в ветеринарии
21 Средства лекарственные и материалы, применяемые в медицинских целях
21.10.54.190 Антибиотики и их производные прочие
21.20.2 Препараты лекарственные прочие и материалы, применяемые в медицинских целях
10.91.10.170 Премиксы
21.20.10 Препараты лекарственные
46.1 Услуги по оптовой торговле за вознаграждение или на договорной основе
21.20.21.139 Вакцины прочие, применяемые в ветеринарии
21.20.10.240 Препараты противопаразитарные, инсектициды и репелленты
21.20.21 Сыворотки и вакцины ****</t>
  </si>
  <si>
    <t>ЗА 3 ГОДА ПО 223 ФЗ заключено 21 шт. с объемом НМЦ 53 852 632,59 ? за 1 ГОД ПО 223ФЗ заключено 6  17 984 096,59 ?</t>
  </si>
  <si>
    <t>1 254</t>
  </si>
  <si>
    <t>за 1 ГОД ПО 223ФЗ заключено 1  11 250 000,00 ?</t>
  </si>
  <si>
    <t>Юридическое лицо находится в процессе реорганизации в форме присоединения к нему других юридических лиц от 28.02.2023, Сообщения о принятии решения о реорганизации от 28.02.2023</t>
  </si>
  <si>
    <t>"это заказчик", ".", "Участники клиринга"</t>
  </si>
  <si>
    <t>На 05.05.2023 11:34 имеются действующие решения ФНС о приостановлении операций по счетам</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</si>
  <si>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71.12.20.190 Услуги по руководству строительными проектами прочие
42.99.12.120 Объекты и сооружения для отдыха
42.99.12.124 Территории парковые и парки для отдыха
42.11.10.120 Дороги автомобильные, в том числе улично-дорожная сеть, и прочие автомобильные и пешеходные дороги
71.12.19.100 Услуги по инженерно-техническому проектированию прочих объектов, кроме объектов культурного наследия
42.13.20.100 Работы строительные по строительству мостов и тоннелей, кроме работ по сохранению и воссозданию объектов культурного наследия
42.11.10.129 Дороги автомобильные, в том числе улично-дорожная сеть, и прочие автомобильные и пешеходные дороги,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</si>
  <si>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За весь период компания заключила  39 контрактов на сумму  11 856 398 822,49 ? За весь период заходили в конкурсы  146 раз на общую сумму обеспеченных контрактов с НМЦ 28 050 681 766,14 ? с БГУ  678 491 766,78 ? с БГИ 4 664 798 937,36 ? За 3 ГОДА по 44ФЗ заключено 21 шт. с объемом НМЦ  5 873 719 789,70 ? с БГИ 766 519 135,22 ? с БГГО 39 391 740,59 ? с авансированием до 44 375 596,46 ? с комиссией банку 9 479 771,25 ? с кв 82 474,01 ?</t>
  </si>
  <si>
    <t>"44 за 3 года", ".", "рейтинг поставщиков в маркере по бг", "выдали", "ГРАНДИОЗНЫЙ ПРОЕКТ", "Конкурсы 100+ (Восстановленный)",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 "поставщики маркер"</t>
  </si>
  <si>
    <t>20.30.22.170 Герметики
20.30.22.220 Растворители и разбавители органические сложные; составы готовые для удаления красок и лаков (смывки)
23.99.12.110 Материалы рулонные кровельные и гидроизоляционные
25.11.23.119 Конструкции и детали конструкций из черных металлов прочие, не включенные в другие группировки
25.73.60.190 Инструмент прочий, не включенный в другие группировки
22.23.11.000 Материалы для покрытий пола, стен или потолка пластмассовые в рулонах или в форме плиток
23.31.10.122 Плитки керамические для полов
16.21 Листы для облицовки и плиты многослойные
23.99.19.112 Материалы и изделия минеральные звукоизоляционные
19.20.42.123 Битумы нефтяные кровельные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</si>
  <si>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42.91.20.120 Работы строительные по строительству плотин и дамб, включая ремонт
42.13.10.110 Мосты и путепроводы из любых материалов для всех типов сухопутного транспорта и для пешеходов
42.91.20.110 Работы строительные по строительству портовых и речных сооружений, пристаней для яхт, набережных, пирсов, молов, доков и аналогичных портовых сооружений, включая ремонт
42.13.10.111 Мост автодорожный
42.13.20.100 Работы строительные по строительству мостов и тоннелей, кроме работ по сохранению и воссозданию объектов культурного наследия
42.13.10.119 Мосты и путепроводы из любых материалов для всех типов сухопутного транспорта и для пешеходов прочие</t>
  </si>
  <si>
    <t>За весь период компания заключила  96 контрактов на сумму  110 509 413 657,36 ? За весь период заходили в конкурсы  188 раз на общую сумму обеспеченных контрактов с НМЦ 117 999 459 417,67 ? с БГУ  5 697 858 209,58 ? с БГИ 19 582 703 414,14 ? За 3 ГОДА по 44ФЗ заключено 29 шт. с объемом НМЦ  28 265 245 969,37 ? с БГИ 5 057 380 900,46 ? с БГГО 280 140 073,75 ? с авансированием до 40 180 883 385,12 ? с комиссией банку 166 277 688,08 ? с кв 1 446 615,89 ? ЗА 1 ГОД по 44ФЗ заключено 12 шт. c объемом НМЦ 17 947 403 251,49 ? с БГИ 2 988 478 553,47 ? с БГГО 141 900 410,08 ? с авансированием до  3 818 353 976,11 ? с комиссией банку  117 346 932,41 ? с кв 1 020 918,31 ?</t>
  </si>
  <si>
    <t>"44 за 3 года", ".", "рейтинг поставщиков в маркере по бг", "ГРАНДИОЗНЫЙ ПРОЕКТ", "Конкурсы 100+ (Восстановленный)", "Агентские отказ из-за непред-я док-ов",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"производители", "рейтинг по нмц маркер", "поставщики маркер"</t>
  </si>
  <si>
    <t>28.14.1 Арматура (краны, клапаны и другая аналогичная арматура) для трубопроводов, сосудов, котлов, цистерн, баков и аналогичных емкостей
28.99.39.190 Оборудование специального назначения прочее, не включенное в другие группировки
28.14.13.120 Задвижки
28.14.13.142 Арматура запорная</t>
  </si>
  <si>
    <t>За весь период контрактов 8 шт. на общую сумму НМЦ 11 388 092 539,15 ?</t>
  </si>
  <si>
    <t>19.20.29.119 Масла моторные прочие, не включенные в другие группировки
19.20.21.124 Бензин автомобильный с октановым числом более 92, но не более 95 по исследовательскому методу экологического класса К4
19.20.21.200 Бензин авиационный
46.71 Услуги по оптовой торговле твердым, жидким и газообразным топливом и связанными продуктами
46.71.12.000 Услуги по оптовой торговле моторным топливом, включая авиационный бензин
19.20.21.321 Топливо дизельное зимнее вне классов
19.20.21.440 Топливо судовое с массовой долей серы не более 0,5 % с температурой вспышки в закрытом тигле не ниже 61 °C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t>
  </si>
  <si>
    <t>За весь период заходили в конкурсы  1 раз на общую сумму обеспеченных контрактов с НМЦ 63 074 967,50 ? с БГУ  640 355,00 ? с БГИ 6 403 550,00 ?               ЗА 1 ГОД по 44ФЗ заключено 61 шт. c объемом НМЦ 57 503 684,03 ? с БГИ 4 061 020,30 ? с БГГО 0,00 ? с авансированием до  0,00 ? с комиссией банку  59 940,55 ? с кв 521,48 ? ЗА 3 ГОДА ПО 223 ФЗ заключено 7 шт. с объемом НМЦ 120 252 661,95 ?</t>
  </si>
  <si>
    <t>"223 за 3 года", ".", "рейтинг поставщиков в маркере по бг", "Участники клиринга", "рейтинг по нмц маркер", "поставщики маркер", "44 за 3 года"</t>
  </si>
  <si>
    <t>22.29.26.111 Фурнитура для мебели пластмассовая
16.21.12.110 Фанера
16.21.12.111 Фанера общего назначения
22.21.30.130 Полосы (ленты) пластмассовые, неармированные или не комбинированные с другими материалами
22.21.42.130 Полосы (ленты) прочие пластмассовые непористые
24.20.13.130 Трубы стальные электросварные
25.73.40.290 Инструменты рабочие сменные для станков или для ручного инструмента прочие, не включенные в другие группировки
25.73.60.190 Инструмент прочий, не включенный в другие группировки
25.94.11.120 Шурупы из черных металлов
20.13 Вещества химические неорганические основные прочие ****</t>
  </si>
  <si>
    <t>24.10.80.190 Прокат черных металлов прочий, не включенный в другие группировки
24 Металлы основные
24.10.12.110 Ферросилиций
24.20.13.130 Трубы стальные электросварные
24.20.99.000 Услуги по производству труб, пустотелых профилей и соответствующих фитингов отдельные, выполняемые субподрядчиком
24.45.30.390 Металлы цветные прочие, изделия из них, порошки
24.20.12.110 Трубы обсадные бесшовные стальные
24.20.13 Трубы круглого сечения прочие стальные
24.20.21.000 Трубы для нефте- и газопроводов сварные, наружным диаметром более 406,4 мм, стальные
24.44.24.110 Плиты и листы медные ****</t>
  </si>
  <si>
    <t>За весь период компания заключила  14 контрактов на сумму  2 512 825 549,58 ?                                     ЗА 3 ГОДА ПО 223 ФЗ заключено 21 шт. с объемом НМЦ 105 265 208,99 ? за 1 ГОД ПО 223ФЗ заключено 15  147 472 164,66 ?</t>
  </si>
  <si>
    <t>"223 за 3 года", ".", "все клиенты с выручкой от 1,8 млрд до бесконечности", "223 фз контракты 20+", "рейтинг по нмц маркер", "crm управления", "в crm за Синяевым ", "поставщики маркер"</t>
  </si>
  <si>
    <t>24.20.13.130 Трубы стальные электросварные
24.20.99.000 Услуги по производству труб, пустотелых профилей и соответствующих фитингов отдельные, выполняемые субподрядчиком
43.91.19.120 Работы строительные по монтажу водосточных желобов, труб, кровельных сливов, а также по устройству плиточных и металлических сливов
24.20.12.110 Трубы обсадные бесшовные стальные
24.20.13.190 Трубы круглого сечения прочие стальные
24.2 Трубы, профили пустотелые и их фитинги стальные
24.20.11.000 Трубы стальные для нефте- и газопроводов бесшовные
24.20.31.000 Трубы сварные для нефте- и газопроводов, наружным диаметром не более 406,4 мм, стальные
24.10.71.110 Уголки стальные горячекатаные из нелегированных сталей
24.20.1 Трубы, профили пустотелые бесшовные и их фитинги стальные ****</t>
  </si>
  <si>
    <t>42.11 Дороги автомобильные и автомагистрали; строительные работы по строительству автомобильных дорог и автомагистралей
43.99.90.190 Работы строительные специализированные прочие, не включенные в другие группировки
42.13.10.110 Мосты и путепроводы из любых материалов для всех типов сухопутного транспорта и для пешеходов
08.12 Гравий, песок, глины и каолин
41.20.20.310 Сооружения нефтехимических предприятий</t>
  </si>
  <si>
    <t>За весь период компания заключила  21 контрактов на сумму  36 627 442 497,09 ? За весь период заходили в конкурсы  4 раз на общую сумму обеспеченных контрактов с НМЦ 4 024 446 313,38 ? с БГУ  224 007 897,40 ? с БГИ 1 342 817 870,00 ?</t>
  </si>
  <si>
    <t>"поставщики маркер", ".", "рейтинг поставщиков в маркере по бг", "производители", "рейтинг по нмц маркер", "crm управления", "в crm за Арифом"</t>
  </si>
  <si>
    <t>24.10.61.111 Прокат сортовой горячекатаный круглый со свободной намоткой в бухты из нелегированных сталей
24.1 Железо, чугун, сталь и ферросплавы
24.20.13.130 Трубы стальные электросварные
25.93.14.111 Гвозди строительные
24.10.62.123 Прокат сортовой горячекатаный шестигранный прочий, без дополнительной обработки, включая смотанный после прокатки, из нелегированных сталей
24.20.12.110 Трубы обсадные бесшовные стальные
25.93.11.120 Канаты из черных металлов без электрической изоляции
24.20.34.000 Трубы некруглого сечения сварные, наружным диаметром не более 406,4 мм, стальные
24.10.3 Прокат листовой горячекатаный стальной, без дополнительной обработки
24.10.73.112 Уголки стальные горячекатаные неравнополочные из прочих легированных сталей ****</t>
  </si>
  <si>
    <t>ЗА 3 ГОДА ПО 223 ФЗ заключено 7 шт. с объемом НМЦ 23 511 003,65 ?</t>
  </si>
  <si>
    <t>24.10.42 Прокат листовой холоднокатаный из нержавеющих сталей, без дополнительной обработки, шириной не менее 600 мм
24.10.61.111 Прокат сортовой горячекатаный круглый со свободной намоткой в бухты из нелегированных сталей
24.10.80.190 Прокат черных металлов прочий, не включенный в другие группировки
24.10.36 Прокат листовой горячекатаный из прочих легированных сталей, без дополнительной обработки, шириной менее 600
24.10.62.121 Прокат сортовой горячекатаный круглый прочий, без дополнительной обработки, включая смотанный после прокатки, из нелегированных сталей
24.10.63.111 Прокат сортовой горячекатаный круглый со свободной намоткой в бухты из нержавеющих сталей
24.10.11.129 Чугун передельный прочий
24.10.2 Сталь
24.31.30.110 Прутки холоднотянутые из нержавеющих сталей
24.10.62.120 Прокат сортовой горячекатаный прочий, без дополнительной обработки, включая смотанный после прокатки, из нелегированных сталей ****</t>
  </si>
  <si>
    <t>10.91.10.183 Комбикорма для свиней
10.91.10.181 Комбикорма для крупного рогатого скота
10.91.10.186 Комбикорма для сельскохозяйственной птицы</t>
  </si>
  <si>
    <t>24 Металлы основные
24.20.13.130 Трубы стальные электросварные
24.20.12.110 Трубы обсадные бесшовные стальные
24.20.12.120 Трубы насосно-компрессорные бесшовные стальные
24.20.13.190 Трубы круглого сечения прочие стальные
24.20.31 Трубы сварные для нефте- и газопроводов, наружным диаметром не более 406,4 мм, стальные
24.2 Трубы, профили пустотелые и их фитинги стальные
24.20.1 Трубы, профили пустотелые бесшовные и их фитинги стальные
24.20.2 Трубы сварные круглого сечения, наружным диаметром более 406,4 мм, стальные
24.20.33.000 Трубы круглого сечения сварные прочие, наружным диаметром не более 406,4 мм, стальные ****</t>
  </si>
  <si>
    <t>За весь период компания заключила  26 контрактов на сумму  70 492 131 847,47 ?</t>
  </si>
  <si>
    <t>За 3 года по 223ФЗ заключено  11 шт контрактов на сумму 137 494 903,44 ?</t>
  </si>
  <si>
    <t>"223 за 3 года", ".", "fk1", "06.2022_ФинХД", "это заказчик", "поставщики маркер"</t>
  </si>
  <si>
    <t>24.20.13.130 Трубы стальные электросварные
43.29.11.190 Работы изоляционные прочие
43.99.90.190 Работы строительные специализированные прочие, не включенные в другие группировки
24.20.12.110 Трубы обсадные бесшовные стальные
24.20.13.190 Трубы круглого сечения прочие стальные
24.20.21.000 Трубы для нефте- и газопроводов сварные, наружным диаметром более 406,4 мм, стальные
24.20.31 Трубы сварные для нефте- и газопроводов, наружным диаметром не более 406,4 мм, стальные
43.99.50.130 Работы по монтажу навесных стеновых панелей
24.2 Трубы, профили пустотелые и их фитинги стальные
24.20.11.000 Трубы стальные для нефте- и газопроводов бесшовные ****</t>
  </si>
  <si>
    <t>За весь период компания заключила  20 контрактов на сумму  12 163 880 306,90 ?                                     ЗА 3 ГОДА ПО 223 ФЗ заключено 2 шт. с объемом НМЦ 27 561 139,20 ?</t>
  </si>
  <si>
    <t>Юридическое лицо находится в процессе реорганизации в форме присоединения к другому юридическому лицу от 13.04.2023, Сообщения о принятии решения о реорганизации от 05.04.2023</t>
  </si>
  <si>
    <t>ПОС на 03.04.4802</t>
  </si>
  <si>
    <t>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24.45 Металлы цветные прочие
81.10.10.000 Услуги по обслуживанию помещений комплексные
68.32.13.120 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t>
  </si>
  <si>
    <t>Заказчик разыгравший 12 конкурсов на сумму  1 207 144 040,11 ?</t>
  </si>
  <si>
    <t>Сообщения о принятии решения о реорганизации от 29.03.2019</t>
  </si>
  <si>
    <t>"223 за 3 года", ".", "06.2022_ФинХД", "Участники клиринга", "рейтинг заказчиков маркер"</t>
  </si>
  <si>
    <t>24 Металлы основные
24.20.13.130 Трубы стальные электросварные
24.20.13 Трубы круглого сечения прочие стальные
24.20.40.000 Фитинги для труб стальные, кроме литых
24.20.13.160 Трубы стальные водогазопроводные</t>
  </si>
  <si>
    <t>35.30.11.130 Энергия тепловая, отпущенная электрокотлами
35.30.12.110 Услуги по приготовлению воды на нужды горячего водоснабжения
36.00.30.000 Услуги по торговле водой, поставляемой по трубопроводам
35.30.11.120 Энергия тепловая, отпущенная котельными
35.30.12.130 Услуги по транспортированию горячей воды
35.30.11.111 Энергия тепловая, отпущенная тепловыми электроцентралями (ТЭЦ)
36.00.12.000 Вода непитьевая
36.00.20.130 Услуги по транспортированию и распределению воды по водопроводам
35.30.11.119 Энергия тепловая, отпущенная прочими электростанциями
36.00.11.000 Вода питьевая</t>
  </si>
  <si>
    <t>"рейтинг заказчиков маркер", ".", "беники", "fk1"</t>
  </si>
  <si>
    <t>За весь период контрактов 3 шт. на общую сумму НМЦ 3 014 917 500,00 ?</t>
  </si>
  <si>
    <t>33.16.10.000 Услуги по ремонту и техническому обслуживанию летательных и космических аппаратов
52.23.19 Услуги вспомогательные прочие, связанные с воздушным транспортом
51.1 Услуги по пассажирским перевозкам воздушным транспортом
51.10.14.000 Услуги по нерегулярным пассажирским перевозкам воздушным транспортом на международных линиях
79.11.11.000 Услуги по бронированию авиабилетов
56.10.11.129 Услуги прочих предприятий питания с полным обслуживанием без сопровождения развлекательных программ
51.10.11.000 Услуги по регулярным пассажирским перевозкам воздушным транспортом на местных линиях
51.10.20.000 Услуги по аренде пассажирских воздушных судов с экипажем
56.29.19.000 Услуги по обеспечению питанием, осуществляемые по договору, прочие
51.10.13.000 Услуги по регулярным пассажирским перевозкам воздушным транспортом на международных линиях ****</t>
  </si>
  <si>
    <t>За весь период компания заключила  6 контрактов на сумму  7 474 806 876,84 ?                                     ЗА 3 ГОДА ПО 223 ФЗ заключено 5 шт. с объемом НМЦ 264 550 000,00 ? за 1 ГОД ПО 223ФЗ заключено 1  37 500 000,00 ?</t>
  </si>
  <si>
    <t>1 341</t>
  </si>
  <si>
    <t>"производители", ".", "выдали", "fk1", "все клиенты с выручкой от 1,8 млрд до бесконечности"</t>
  </si>
  <si>
    <t>20.13.41.130 Сульфаты
93.19.19.000 Услуги в области спорта и отдыха прочие
77.11.10.000 Услуги по аренде и лизингу легковых автомобилей и легких автотранспортных средств
81.30.10.000 Услуги по планировке ландшафта
42.11.10.120 Дороги автомобильные, в том числе улично-дорожная сеть, и прочие автомобильные и пешеходные дороги
35.12.10.120 Услуги по технологическому присоединению к распределительным электросетям
35.30.12.140 Услуги по подключению (технологическому присоединению) к централизованной системе горячего водоснабжения
24.45 Металлы цветные прочие
81.29.19.000 Услуги по чистке и уборке прочие, не включенные в другие группировки
43.21.10.290 Работы электромонтажные прочие, не включенные в другие группировки ****</t>
  </si>
  <si>
    <t>"44 за 3 года", ".", "fk1", "все клиенты с выручкой от 1,8 млрд до бесконечности", "рейтинг заказчиков маркер", "производители", "рейтинг по нмц маркер"</t>
  </si>
  <si>
    <t>43.99.90.190 Работы строительные специализированные прочие, не включенные в другие группировки
42.21.13.126 Сооружение очистное канализации
43.29 Работы строительно-монтажные прочие
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
43.99 Работы строительные специализированные, не включенные в другие группировки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</si>
  <si>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12 контрактов на сумму  15 764 668 951,92 ? За весь период заходили в конкурсы  7 раз на общую сумму обеспеченных контрактов с НМЦ 6 718 471 269,10 ? с БГУ  323 505 969,98 ? с БГИ 1 094 830 182,02 ? За 3 ГОДА по 44ФЗ заключено 2 шт. с объемом НМЦ  1 365 378 409,66 ? с БГИ 136 537 840,97 ? с БГГО 6 826 892,00 ? с авансированием до 409 613 522,90 ? с комиссией банку 5 222 104,82 ? с кв 45 432,31 ?               ЗА 3 ГОДА ПО 223 ФЗ заключено 3 шт. с объемом НМЦ 762 430 652,55 ? за 1 ГОД ПО 223ФЗ заключено 1  14 310 486,00 ?</t>
  </si>
  <si>
    <t>Сообщение кредитора о намерении обратиться в суд с заявлением о банкротстве от 28.01.2021</t>
  </si>
  <si>
    <t>"223 за 3 года", "свод фт", ".", "рейтинг поставщиков в маркере по бг", "ГРАНДИОЗНЫЙ ПРОЕКТ", "Агентские отказ из-за непред-я док-ов", "все клиенты с выручкой от 1,8 млрд до бесконечности", "Одобренные но не выданные 1 полугодие 2021", "производители", "рейтинг по нмц маркер", "это заказчик", "на фт заводил Бесков", "на фт заводил Алиев", "crm управления", "в crm за Арифом", "поставщики маркер", "44 за 3 года"</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</si>
  <si>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35.11.10.143 Электроэнергия, произведенная геотермальными электростанциями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 Электроэнергия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t>
  </si>
  <si>
    <t>1 258</t>
  </si>
  <si>
    <t>За весь период компания заключила  8 контрактов на сумму  1 448 299 973,28 ?                                     ЗА 3 ГОДА ПО 223 ФЗ заключено 61 шт. с объемом НМЦ 1 455 617 546,75 ? за 1 ГОД ПО 223ФЗ заключено 31  593 491 605,44 ?</t>
  </si>
  <si>
    <t>26.20.18.000 Устройства периферийные с двумя или более функциями: печать данных, копирование, сканирование, прием и передача факсимильных сообщений
69.10.19 Услуги юридические прочие</t>
  </si>
  <si>
    <t>Заказчик разыгравший 48 конкурсов на сумму  28 517 631 871,82 ?</t>
  </si>
  <si>
    <t>05.10.10.130 Уголь, за исключением антрацита, угля коксующегося и угля бурого
05.10 Уголь
05.20.10.110 Уголь бурый рядовой (лигнит)
05.10.10.133 Уголь марки Г - газовый
05.20.10 Уголь бурый (лигнит)
46.71.11 Услуги по оптовой торговле твердым топливом
05.10.10.127 Уголь коксующийся марки КС - коксовый слабоспекающийся
05.10.10.131 Уголь марки Д - длиннопламенный</t>
  </si>
  <si>
    <t>За весь период компания заключила  60 контрактов на сумму  52 582 224 543,47 ?                                     ЗА 3 ГОДА ПО 223 ФЗ заключено 22 шт. с объемом НМЦ 4 049 912 202,32 ? за 1 ГОД ПО 223ФЗ заключено 5  3 828 954 478,44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</si>
  <si>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42.11.10.152 Дорога внутрихозяйственная
42.99.19.141 Ограды (заборы) и ограждения железобетонные
25.11.10.000 Здания сборные из металла
42.11.10.150 Дороги подъездные, транспортные и пешеходные путепроводы над и под дорогой, велосипедные дорожки
42.99.12.110 Площадки спортивные для спортивных игр на открытом воздухе
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
42.11.10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
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
42.11.10.129 Дороги автомобильные, в том числе улично-дорожная сеть, и прочие автомобильные и пешеходные дороги, не включенные в другие группировки ****</t>
  </si>
  <si>
    <t>За весь период компания заключила  36 контрактов на сумму  39 984 592 835,21 ? За весь период заходили в конкурсы  99 раз на общую сумму обеспеченных контрактов с НМЦ 40 109 579 418,54 ? с БГУ  1 498 330 523,28 ? с БГИ 11 152 963 588,08 ? За 3 ГОДА по 44ФЗ заключено 81 шт. с объемом НМЦ  9 286 255 364,17 ? с БГИ 3 493 955 586,91 ? с БГГО 34 885 087,89 ? с авансированием до 6 866 110 091,52 ? с комиссией банку 61 268 695,59 ? с кв 533 037,65 ? ЗА 1 ГОД по 44ФЗ заключено 23 шт. c объемом НМЦ 2 906 804 465,03 ? с БГИ 1 111 844 114,80 ? с БГГО 2 745 563,38 ? с авансированием до  1 105 522 917,83 ? с комиссией банку  31 888 516,50 ? с кв 277 430,09 ?</t>
  </si>
  <si>
    <t>"223 за 3 года", "свод фт", ".", "рейтинг поставщиков в маркере по бг", "База Восточный (Мелкумов)", "ГРАНДИОЗНЫЙ ПРОЕКТ", "Конкурсы 100+ (Восстановленный)", "закрыли счет", "Пункт 3 09.01.23", "все клиенты с выручкой от 1,8 млрд до бесконечности", "44 фз с с БГ от 10 млн", "рейтинг по нмц маркер", "на фт заводил Морозова", "на фт заводил Бесков", "на фт заводил Адеев", "поставщики маркер", "44 за 3 года"</t>
  </si>
  <si>
    <t>49.39.13.000 Услуги по специальным перевозкам (для собственных нужд) пассажиров автобусами прочие
71.12.19.100 Услуги по инженерно-техническому проектированию прочих объектов, кроме объектов культурного наследия
42.12.20.190 Работы строительные по строительству наземных и подземных железных дорог прочие, не включенные в другие группировки
71.12.12.190 Услуги по инженерно-техническому проектированию зданий прочие, не включенные в другие группировки</t>
  </si>
  <si>
    <t>2 297</t>
  </si>
  <si>
    <t>За весь период компания заключила  7 контрактов на сумму  86 357 806 920,18 ? За весь период заходили в конкурсы  12 раз на общую сумму обеспеченных контрактов с НМЦ 1 868 560 914,31 ? с БГУ  110 331 598,60 ? с БГИ 604 473 143,20 ?                             ЗА 3 ГОДА ПО 223 ФЗ заключено 5 шт. с объемом НМЦ 1 464 877 566,78 ? за 1 ГОД ПО 223ФЗ заключено 1  1 451 981 314,48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</si>
  <si>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42.11.10.110 Автомагистрали, кроме надземных автодорог (эстакад)
26.51.66.190 Инструменты, приборы и машины для измерения или контроля прочие, не включенные в другие группировки
42.12.10.120 Полотно железнодорожное для уличных трамваев
42.13.20.100 Работы строительные по строительству мостов и тоннелей, кроме работ по сохранению и воссозданию объектов культурного наследия
26.30.11.130 Средства связи, выполняющие функцию систем управления и мониторинга
42.11.10.129 Дороги автомобильные, в том числе улично-дорожная сеть, и прочие автомобильные и пешеходные дороги, не включенные в другие группировки
42.13.10.119 Мосты и путепроводы из любых материалов для всех типов сухопутного транспорта и для пешеходов прочие</t>
  </si>
  <si>
    <t>За весь период компания заключила  43 контрактов на сумму  25 082 170 841,43 ? За весь период заходили в конкурсы  81 раз на общую сумму обеспеченных контрактов с НМЦ 32 211 985 161,26 ? с БГУ  1 077 637 601,75 ? с БГИ 6 967 419 418,38 ? За 3 ГОДА по 44ФЗ заключено 60 шт. с объемом НМЦ  18 719 759 991,76 ? с БГИ 3 708 814 892,53 ? с БГГО 116 710 470,98 ? с авансированием до 4 490 719 541,46 ? с комиссией банку 163 459 697,21 ? с кв 1 422 099,37 ? ЗА 1 ГОД по 44ФЗ заключено 28 шт. c объемом НМЦ 3 045 673 202,65 ? с БГИ 783 062 445,60 ? с БГГО 65 719 700,58 ? с авансированием до  293 850 510,19 ? с комиссией банку  21 161 084,34 ? с кв 184 101,43 ?</t>
  </si>
  <si>
    <t>"44 за 3 года", ".", "рейтинг поставщиков в маркере по бг", "ГРАНДИОЗНЫЙ ПРОЕКТ", "ушедший портфель", "Конкурсы 100+ (Восстановленный)", "fk1", "ИНН 3 года - нет КД БГ на 01.10.22", "Список ушедший ", "просрочка на 01.01.2023 г.", "Запрос в ЮД_просрочка на 01.01.2023", "06.2022_ФинХД", "все клиенты с выручкой от 1,8 млрд до бесконечности", "ФК клиенты с выручкой от 230 до бесконечности", "Обороты по клиентам по кварталам (2022г)", "44 фз с с БГ от 10 млн", "рейтинг по нмц маркер", "поставщики маркер"</t>
  </si>
  <si>
    <t>За весь период контрактов 1 шт. на общую сумму НМЦ 1 600 000 000,00 ?</t>
  </si>
  <si>
    <t>35.30.11.111 Энергия тепловая, отпущенная тепловыми электроцентралями (ТЭЦ)
01.13.72.120 Семена сахарной свеклы дражированные
35.30.11.110 Энергия тепловая, отпущенная электростанциями</t>
  </si>
  <si>
    <t>За весь период заходили в конкурсы  4 раз на общую сумму обеспеченных контрактов с НМЦ 229 339 504,03 ? с БГУ  4 163 815,26 ? с БГИ 41 638 152,63 ?</t>
  </si>
  <si>
    <t>28.92.12.130 Машины бурильные
28.12.1 Оборудование гидравлическое и пневматическое силовое</t>
  </si>
  <si>
    <t>За весь период компания заключила  2 контрактов на сумму  751 825 200,00 ?</t>
  </si>
  <si>
    <t>"поставщики маркер", ".", "беники", "райф", "производители", "рейтинг по нмц маркер", "это заказчик"</t>
  </si>
  <si>
    <t>24.10.8 Прокат черных металлов прочий, не включенный в другие группировки</t>
  </si>
  <si>
    <t>За весь период компания заключила  2 контрактов на сумму  531 276 844,61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</si>
  <si>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33.20 Услуги по монтажу промышленных машин и оборудования
42.99.12.124 Территории парковые и парки для отдыха
71.12.20.110 Услуги заказчика-застройщика, генерального подрядчика
42.91.2 Работы строительные по строительству береговых и портовых сооружений, плотин, шлюзов и связанных гидромеханических сооружений</t>
  </si>
  <si>
    <t>За весь период контрактов 11 шт. на общую сумму НМЦ 49 734 704 748,19 ?</t>
  </si>
  <si>
    <t>"223 за 3 года", ".", "рейтинг поставщиков в маркере по бг", "все клиенты с выручкой от 1,8 млрд до бесконечности", "рейтинг заказчиков маркер", "производители", "рейтинг по нмц маркер", "это заказчик", "crm управления", "в crm за Арифом", "поставщики маркер", "44 за 3 года"</t>
  </si>
  <si>
    <t>35.11.10.112 Электроэнергия, произведенная теплоэлектроцентралями (ТЭЦ) общего назначения
35.11.10.122 Электроэнергия, произведенная блок-станциями теплоэлектроцентралей (ТЭЦ)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t>
  </si>
  <si>
    <t>ЗА 3 ГОДА ПО 223 ФЗ заключено 80 шт. с объемом НМЦ 197 081 779,40 ? за 1 ГОД ПО 223ФЗ заключено 34  99 725 343,16 ?</t>
  </si>
  <si>
    <t>35.11.10.112 Электроэнергия, произведенная теплоэлектроцентралями (ТЭЦ) общего назначения
35.11.10.122 Электроэнергия, произведенная блок-станциями теплоэлектроцентралей (ТЭЦ)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35.12.10.120 Услуги по технологическому присоединению к распределительным электросетям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t>
  </si>
  <si>
    <t>За весь период контрактов 2 шт. на общую сумму НМЦ 1 223 199 824,49 ?</t>
  </si>
  <si>
    <t>23.99.12.110 Материалы рулонные кровельные и гидроизоляционные
46.13.12.000 Услуги по оптовой торговле строительными материалами за вознаграждение или на договорной основе
23.99 Продукция минеральная неметаллическая прочая, не включенная в другие группировки
20.16.10.119 Полиэтилен прочий
23.99.19 Продукция минеральная неметаллическая, не включенная в другие группировки</t>
  </si>
  <si>
    <t>49.39.39.000 Услуги по перевозке пассажиров сухопутным транспортом прочие, не включенные в другие группировки
49.39 Услуги сухопутного пассажирского транспорта прочие, не включенные в другие группировки
49.41.19.900 Услуги по перевозке грузов автомобильным транспортом прочие, не включенные в другие группировки
49.41.20.000 Услуги по аренде грузовых транспортных средств с водителем
49.41.1 Услуги по грузовым перевозкам автомобильным транспортом</t>
  </si>
  <si>
    <t>За весь период компания заключила  3 контрактов на сумму  367 980 518,27 ?</t>
  </si>
  <si>
    <t>Заказчик разыгравший 4 конкурсов на сумму  3 151 852 660,28 ?</t>
  </si>
  <si>
    <t>Сообщение кредитора о намерении обратиться в суд с заявлением о банкротстве от 31.01.2018</t>
  </si>
  <si>
    <t>49.39.13.000 Услуги по специальным перевозкам (для собственных нужд) пассажиров автобусами прочие
49.31.21 Услуги по регулярным перевозкам пассажиров сухопутным транспортом прочие</t>
  </si>
  <si>
    <t>За 3 года по 223ФЗ заключено  1 шт контрактов на сумму 36 834 645,00 ?</t>
  </si>
  <si>
    <t>33.20 Услуги по монтажу промышленных машин и оборудования
33.12.29.900 Услуги по ремонту и техническому обслуживанию прочего оборудования специального назначения, не включенные в другие группировки
42.21.11.111 Трубопровод магистральный наземный и подводный для перекачки газа (газопровод магистральный)
42.99 Сооружения и строительные работы по строительству прочих гражданских сооружений, не включенных в другие группировки
33.12 Услуги по ремонту оборудования
33.12.11.000 Услуги по ремонту и техническому обслуживанию двигателей и турбин, кроме авиационных, автомобильных и мотоциклетных двигателей
33.12.19.000 Услуги по ремонту и техническому обслуживанию прочего оборудования общего назначения, не включенного в другие группировки
33.11 Услуги по ремонту металлоизделий</t>
  </si>
  <si>
    <t>За весь период компания заключила  4 контрактов на сумму  576 393 971,84 ? За весь период заходили в конкурсы  1 раз на общую сумму обеспеченных контрактов с НМЦ 62 006 531,61 ? с БГУ  3 278 364,57 ? с БГИ 6 556 729,14 ?</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</si>
  <si>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36.00.1 Вода природная
71.12.20.190 Услуги по руководству строительными проектами прочие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36.00.20 Услуги по очистке вод и распределению воды по водопроводам ****</t>
  </si>
  <si>
    <t>За весь период компания заключила  2 контрактов на сумму  909 766 941,34 ? За весь период заходили в конкурсы  1 раз на общую сумму обеспеченных контрактов с НМЦ 837 753 868,00 ? с БГУ  8 377 538,68 ? с БГИ 226 193 544,36 ?                                 за 1 ГОД ПО 223ФЗ заключено 1  4 500 000,00 ?</t>
  </si>
  <si>
    <t>26.20.16.150 Сканеры
26.30.13.000 Камеры телевизионные
61.1 Услуги телекоммуникационные проводные
63.11.21.000 Услуги по передаче потокового видео
61.20.11.000 Услуги подвижной связи общего пользования - обеспечение доступа и поддержка пользователя
61.90.10.190 Услуги телекоммуникационные прочие, не включенные в другие группировки
61.10.43 Услуги по широкополосному доступу к информационно-коммуникационной сети Интернет по проводным сетям
26.30.50.151 Средства управления запирающие специальные с дистанционным контролем и дистанционным управлением
27.90 Оборудование электрическое прочее
26.30.30.000 Части и комплектующие коммуникационного оборудования ****</t>
  </si>
  <si>
    <t>2 771</t>
  </si>
  <si>
    <t>За весь период компания заключила  7 контрактов на сумму  320 588 616,13 ?         За 3 ГОДА по 44ФЗ заключено 352 шт. с объемом НМЦ  166 823 377,66 ? с БГИ 20 029 564,51 ? с БГГО 834 035,20 ? с авансированием до 21 254,25 ? с комиссией банку 260 576,11 ? с кв 2 267,01 ? ЗА 1 ГОД по 44ФЗ заключено 135 шт. c объемом НМЦ 70 535 625,19 ? с БГИ 6 292 196,48 ? с БГГО 101 837,00 ? с авансированием до  0,00 ? с комиссией банку  115 111,08 ? с кв 1 001,47 ?</t>
  </si>
  <si>
    <t>"223 за 3 года", ".", "ИНН_договоры_октябрь_", "все клиенты с выручкой от 1,8 млрд до бесконечности", "производители", "рейтинг по нмц маркер", "это заказчик", "поставщики маркер", "44 за 3 года"</t>
  </si>
  <si>
    <t>20.16.59.320 Смолы ионообменные на основе синтетических или природных полимеров в первичных формах
20.1 Вещества химические основные, удобрения химические и азотные, пластмассы и синтетический каучук в первичных формах
37.00.11.110 Услуги по водоотведению сточных вод
20.16 Пластмассы в первичных формах
23.14.11.130 Стекловолокно рубленое
20.16.59.210 Массы пластические, смолы синтетические микробиологического синтеза в первичных формах
20.16.59.310 Полимеры природные и полимеры модифицированные природные в первичных формах, не включенные в другие группировки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22.21.30 Плиты, листы, пленка и полосы (ленты) полимерные, неармированные или не комбинированные с другими материалами
20.13.32.110 Гипохлориты ****</t>
  </si>
  <si>
    <t>за 1 ГОД ПО 223ФЗ заключено 2  20 775 480,00 ?</t>
  </si>
  <si>
    <t>62.03 Услуги по управлению компьютерным оборудованием
58.29.50 Услуги по предоставлению лицензий на право использовать компьютерное программное обеспечение
62.02.10 Услуги консультативные по компьютерному оборудованию
58.29.29.000 Обеспечение программное прикладное прочее на электронном носителе
62.01 Продукты программные и услуги по разработке и тестированию программного обеспечения
58.29.21 Приложения общие для повышения эффективности бизнеса и приложения для домашнего пользования, отдельно реализуемые
62.02 Услуги консультативные, связанные с компьютерной техникой
62.02.30 Услуги по технической поддержке информационных технологий
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43.21.10.140 Работы по монтажу систем пожарной сигнализации и охранной сигнализации ****</t>
  </si>
  <si>
    <t>За весь период компания заключила  6 контрактов на сумму  319 841 213,26 ? За весь период заходили в конкурсы  10 раз на общую сумму обеспеченных контрактов с НМЦ 1 144 768 584,50 ? с БГУ  39 789 444,63 ? с БГИ 254 669 877,36 ? За 3 ГОДА по 44ФЗ заключено 26 шт. с объемом НМЦ  704 183 791,73 ? с БГИ 140 460 053,08 ? с БГГО 43 047 205,20 ? с авансированием до 15 000 000,00 ? с комиссией банку 2 770 614,11 ? с кв 24 104,34 ? ЗА 1 ГОД по 44ФЗ заключено 11 шт. c объемом НМЦ 300 890 359,80 ? с БГИ 73 604 680,46 ? с БГГО 21 695 065,60 ? с авансированием до  15 000 000,00 ? с комиссией банку  1 614 968,08 ? с кв 14 050,22 ? ЗА 3 ГОДА ПО 223 ФЗ заключено 19 шт. с объемом НМЦ 177 115 838,04 ? за 1 ГОД ПО 223ФЗ заключено 8  72 876 499,08 ?</t>
  </si>
  <si>
    <t>"223 за 3 года", ".", "рейтинг поставщиков в маркере по бг", "все клиенты с выручкой от 1,8 млрд до бесконечности", "223 фз контракты 20+", "44 фз с с БГ от 10 млн", "рейтинг по нмц маркер", "поставщики маркер", "44 за 3 года"</t>
  </si>
  <si>
    <t>28.13.12.000 Насосы возвратно-поступательные объемного действия прочие для перекачки жидкостей
28.13.14.110 Насосы центробежные подачи жидкостей прочие
28.14.12.110 Краны, клапаны для раковин, моек, биде, унитазов, ванн и аналогичная арматура
22.19.30.132 Рукава резиновые напорные с текстильным каркасом
22.19.30.135 Рукава резиновые напорно-всасывающие с текстильным каркасом неармированные
22.21.30.130 Полосы (ленты) пластмассовые, неармированные или не комбинированные с другими материалами
20.30.22.170 Герметики
23.99.12.110 Материалы рулонные кровельные и гидроизоляционные
24.20.13.130 Трубы стальные электросварные
25.73.60.190 Инструмент прочий, не включенный в другие группировки ****</t>
  </si>
  <si>
    <t>ЗА 3 ГОДА ПО 223 ФЗ заключено 18 шт. с объемом НМЦ 21 963 234,63 ? за 1 ГОД ПО 223ФЗ заключено 7  5 366 690,68 ?</t>
  </si>
  <si>
    <t>"223 за 3 года", ".", "ушедшие", "все клиенты с выручкой от 1,8 млрд до бесконечности", "производители", "crm управления", "в crm за Курилиным", "поставщики маркер", "44 за 3 года"</t>
  </si>
  <si>
    <t>08 Продукция горнодобывающих производств прочая
37.00.11.110 Услуги по водоотведению сточных вод
56.10.19.110 Услуги по обеспечению питанием без предоставления мест для сидения
56.10.19.119 Услуги прочих предприятий быстрого питания без предоставления мест для сидения
35.30.12.110 Услуги по приготовлению воды на нужды горячего водоснабжения
36.00.30.000 Услуги по торговле водой, поставляемой по трубопроводам
35.30.11.120 Энергия тепловая, отпущенная котельными
37.00.11.130 Услуги по подключению (технологическому присоединению) к централизованной системе водоотведения
56.10.19.140 Услуги по обеспечению питанием с использованием средств передвижения, приготовление и подача блюд и напитков для потребления на месте с машин или тележек
35.30.11.111 Энергия тепловая, отпущенная тепловыми электроцентралями (ТЭЦ) ****</t>
  </si>
  <si>
    <t>Заказчик разыгравший 8 конкурсов на сумму  2 624 065 791,91 ?</t>
  </si>
  <si>
    <t>За весь период заходили в конкурсы  29 раз на общую сумму обеспеченных контрактов с НМЦ 0,00 ? с БГУ  4 588 662,00 ? с БГИ 15 295 540,00 ?</t>
  </si>
  <si>
    <t>"поставщики маркер", ".", "рейтинг поставщиков в маркере по бг", "рейтинг заказчиков маркер", "производители", "рейтинг по нмц маркер", "это заказчик"</t>
  </si>
  <si>
    <t>63.11 Услуги по обработке данных, размещению и взаимосвязанные услуги
58.29.50.000 Услуги по предоставлению лицензий на право использовать компьютерное программное обеспечение</t>
  </si>
  <si>
    <t>"223 за 3 года", ".",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"поставщики маркер"</t>
  </si>
  <si>
    <t>"223 за 3 года", "свод фт", ".", "все клиенты с выручкой от 1,8 млрд до бесконечности", "223 фз контракты 20+", "рейтинг заказчиков маркер", "рейтинг по нмц маркер", "это заказчик", "на фт заводил Морозова", "поставщики маркер"</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</si>
  <si>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42.91.20.120 Работы строительные по строительству плотин и дамб, включая ремонт
42.91.20.190 Работы строительные и ремонтные, связанные с прочими водными сооружениями и работы по ремонту всех вышеуказанных сооружений
42.22.21 Работы строительные по прокладке магистральных линий электропередачи и связи
42.22 Сооружения и строительные работы по строительству коммунальных объектов для электроснабжения и связи
42.91.10.150 Плотины и аналогичные водоудерживающие сооружения и насыпи для береговых и прочих прибрежных участков
43.22.1 Работы по монтажу систем водопровода, канализации, отопления, вентиляции и кондиционирования воздуха
42.22.22 Работы строительные по прокладке местных линий электропередачи и связи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</si>
  <si>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23 контрактов на сумму  59 626 490 612,35 ? За весь период заходили в конкурсы  4 раз на общую сумму обеспеченных контрактов с НМЦ 23 559 549 482,15 ? с БГУ  1 212 765 525,66 ? с БГИ 6 765 822 689,86 ?</t>
  </si>
  <si>
    <t>"44 за 3 года", "кл фт прямые бг 04.22", "кл фт агент бг 04.22", "свод фт", ".", "рейтинг поставщиков в маркере по бг", "Рассрочка КВ Март 2023", "ГРАНДИОЗНЫЙ ПРОЕКТ", "УПП на 2 номер", "fk1", "кредиты фт", "клиенты управления по БГ без открытых счетов", "Пункт 3.1 09.01.2023", "корп 1", "Премия 4 кв 22 г.бг", "лимит сит по кредитам",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"44 фз с с БГ от 10 млн", "рейтинг по нмц маркер", "на фт заводил Шутов", "на фт заводил Морозова", "на фт заводил Мелкумов", "на фт заводил Алиев", "поставщики маркер"</t>
  </si>
  <si>
    <t>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
36.00.1 Вода природная
77.39.11.000 Услуги по аренде и лизингу железнодорожных транспортных средств
80.20.10.000 Услуги систем обеспечения безопасности
77.39.1 Услуги по аренде и лизингу прочих машин, оборудования и материальных средств, не включенных в другие группировки
35.30.11.120 Энергия тепловая, отпущенная котельными
80.10.12 Услуги охраны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36.00.12 Вода непитьевая ****</t>
  </si>
  <si>
    <t>За весь период компания заключила  4 контрактов на сумму  3 692 058 990,98 ? За весь период заходили в конкурсы  2 раз на общую сумму обеспеченных контрактов с НМЦ 113 000 000,00 ? с БГУ  315 000,00 ? с БГИ 18 900 000,00 ?</t>
  </si>
  <si>
    <t>25.11.23.119 Конструкции и детали конструкций из черных металлов прочие, не включенные в другие группировки
28.22.15.120 Погрузчики прочие
28.22.18.262 Перегрузчики для обслуживания стеллажных автоматических кранов-штабелеров
31.09.11 Мебель металлическая, не включенная в другие группировки
31.09.11.120 Стеллажи, стойки, вешалки металлические</t>
  </si>
  <si>
    <t>За весь период компания заключила  1 контрактов на сумму  583 921 484,18 ?                                         за 1 ГОД ПО 223ФЗ заключено 2  9 037 761,89 ?</t>
  </si>
  <si>
    <t>"223 за 3 года", ".", "fk1", "корп 1", "клиенты с в от100млн 09.21", "портфель", "Обороты по клиентам по кварталам (2022г)", "производители", "рейтинг по нмц маркер", "поставщики маркер", "44 за 3 года"</t>
  </si>
  <si>
    <t>Кредитный портфель_01.3256</t>
  </si>
  <si>
    <t>"поставщики маркер", ".", "fk1", "инн Красносельская", "Кредитный портфель_01.11", "06.2022_ФинХД", "все клиенты с выручкой от 1,8 млрд до бесконечности", "клиенты от 100 млн", "Обороты по клиентам по кварталам (2022г)", "производители", "это заказчик"</t>
  </si>
  <si>
    <t>26.51.41.110 Приборы, установки, системы дозиметрические
27.90.11.112 Ускорители электронов (позитронов) линейные высокочастотные резонаторные
26.60.11.130 Части и принадлежности аппаратов, основанных на использовании рентгеновского или альфа-, бета- или гамма-излучений, применяемых в медицинских целях, включая хирургию, стоматологию, ветеринарию
26.60.11.120 Аппараты, основанные на использовании альфа-, бета- или гамма-излучений, применяемые в медицинских целях, включая хирургию, стоматологию, ветеринарию
27.90.11.130 Ускорители заряженных частиц с использованием коллективных методов и ускорители плазменные
26.60.11.129 Аппараты, основанные на использовании альфа-, бета- или гамма-излучений, применяемые в медицинских целях, включая хирургию, стоматологию, ветеринарию, прочие
27.90.11.131 Ускорители заряженных частиц с использованием коллективных методов
32.50.50.190 Изделия медицинские, в том числе хирургические, прочие, не включенные в другие группировки</t>
  </si>
  <si>
    <t>За весь период компания заключила  8 контрактов на сумму  2 786 222 874,09 ? За весь период заходили в конкурсы  70 раз на общую сумму обеспеченных контрактов с НМЦ 12 645 694 675,38 ? с БГУ  184 748 453,47 ? с БГИ 2 087 905 613,79 ? За 3 ГОДА по 44ФЗ заключено 61 шт. с объемом НМЦ  8 961 458 595,91 ? с БГИ 1 031 404 201,08 ? с БГГО 216 739 100,42 ? с авансированием до 239 078 029,99 ? с комиссией банку 7 413 977,96 ? с кв 64 501,61 ? ЗА 1 ГОД по 44ФЗ заключено 18 шт. c объемом НМЦ 2 163 617 592,95 ? с БГИ 210 942 354,95 ? с БГГО 36 079 198,00 ? с авансированием до  43 770 000,00 ? с комиссией банку  2 097 199,34 ? с кв 18 245,63 ?</t>
  </si>
  <si>
    <t>"44 за 3 года", ".", "рейтинг поставщиков в маркере по бг", "ГРАНДИОЗНЫЙ ПРОЕКТ", "Конкурсы 100+ (Восстановленный)", "fk1", "Кредитный портфель_01.11", "корп 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"рейтинг по нмц маркер", "поставщики маркер"</t>
  </si>
  <si>
    <t>37.00.11.110 Услуги по водоотведению сточных вод
35.11.10.112 Электроэнергия, произведенная теплоэлектроцентралями (ТЭЦ) общего назначения
35.30.12.110 Услуги по приготовлению воды на нужды горячего водоснабжения
36.00.20.110 Услуги по очистке и подготовке воды для водоснабжения
35.30.11.120 Энергия тепловая, отпущенная котельными
35.30.11.111 Энергия тепловая, отпущенная тепловыми электроцентралями (ТЭЦ)
36.00.12.000 Вода непитьевая
35.11.10.111 Электроэнергия, произведенная конденсационными электростанциями (КЭС) общего назначения
36.00.20.130 Услуги по транспортированию и распределению воды по водопроводам
35.12 Услуги по передаче электроэнергии и технологическому присоединению к распределительным электросетям ****</t>
  </si>
  <si>
    <t>1 495</t>
  </si>
  <si>
    <t>17.21.13.000 Ящики и коробки из гофрированной бумаги или гофрированного картона
35.30.11.120 Энергия тепловая, отпущенная котельными
35.30.11.111 Энергия тепловая, отпущенная тепловыми электроцентралями (ТЭЦ)</t>
  </si>
  <si>
    <t>За весь период компания заключила  1 контрактов на сумму  382 442 235,30 ?</t>
  </si>
  <si>
    <t>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26.20.21.120 Устройства запоминающие внешние
74 Услуги профессиональные, научные и технические, прочие</t>
  </si>
  <si>
    <t>"поставщики маркер", ".", "ушедший портфель", "инн Ленинградка",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t>
  </si>
  <si>
    <t>29.10.2 Автомобили легковые
45.1 Услуги по торговле автотранспортными средствами
29.10.22.000 Средства транспортные с двигателем с искровым зажиганием, с рабочим объемом цилиндров более 1500 см3, новые</t>
  </si>
  <si>
    <t>"поставщики маркер", ".", "ушедший портфель", "инн Ленинградка",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t>
  </si>
  <si>
    <t>20.59.43.120 Антифризы
28.25.14.111 Фильтры для очистки воздуха
45.11 Услуги по торговле легковыми автомобилями и грузовыми автомобилями малой грузоподъемности
45.11.21.000 Услуги по розничной торговле новыми пассажирскими автотранспортными средствами в специализированных магазинах
45.20.11.215 Услуги по ремонту тормозной системы
28.29.23.110 Прокладки из листового металла
28.29.13.110 Фильтры очистки масла для двигателей внутреннего сгорания
29.10.2 Автомобили легковые
20.41.32.112 Средства моющие для автомобилей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t>
  </si>
  <si>
    <t>за 1 ГОД ПО 223ФЗ заключено 6  9 241 268,69 ?</t>
  </si>
  <si>
    <t>21.20.10.231 Анестетики
21.20.10.131 Антикоагулянты
21.20.23.112 Вещества контрастные
21.10.51.124 Витамин B1 и его комбинация с витаминами B6 и B12</t>
  </si>
  <si>
    <t>15.20.12.122 Сапожки, полусапожки, ботинки, полуботинки, туфли женские и для девочек на подошве из резины или пластмассы
22.19.71.190 Изделия из резины, кроме твердой резины (эбонита), гигиенические или фармацевтические прочие
13.20.20.119 Ткани хлопчатобумажные бытовые прочие
14.19.31.119 Перчатки защитные, рукавицы, варежки, митенки из натуральной или композиционной кожи, не включенные в другие группировки
13.91.19.110 Полотна трикотажные или вязаные прочие
13.92 Изделия текстильные готовые (кроме одежды)
13.92.12.113 Наволочки из хлопчатобумажных тканей
14.12.11.130 Куртки (пиджаки) и блейзеры мужские производственные и профессиональные
14.12.21 Комплекты и костюмы, куртки (жакеты) и блейзеры женские производственные и профессиональные
14.12.3 Спецодежда прочая ****</t>
  </si>
  <si>
    <t>ЗА 1 ГОД по 44ФЗ заключено 3 шт. c объемом НМЦ 4 302 288,10 ? с БГИ 2 788 391,60 ? с БГГО 0,00 ? с авансированием до  0,00 ? с комиссией банку  62 901,93 ? с кв 547,25 ?</t>
  </si>
  <si>
    <t>"223 за 3 года", ".", "fk1", "клиенты с в от100млн 09.21", "все клиенты с выручкой от 1,8 млрд до бесконечности", "ФК клиенты с выручкой от 230 до бесконечности", "производители", "поставщики маркер", "44 за 3 года"</t>
  </si>
  <si>
    <t>"223 за 3 года", ".", "Пункт 3.1 09.01.2023", "все клиенты с выручкой от 1,8 млрд до бесконечности", "производители", "это заказчик"</t>
  </si>
  <si>
    <t>ЗА 3 ГОДА ПО 223 ФЗ заключено 1 шт. с объемом НМЦ 58 635 330,50 ?</t>
  </si>
  <si>
    <t>20.13.43.112 Сода кальцинированная техническая из нефелинового сырья
22.22.19.000 Изделия упаковочные пластмассовые прочие
22.29 Изделия пластмассовые прочие
20.42.16.110 Шампуни
20.59.59 Продукты разные химические, не включенные в другие группировки
22.19.50.000 Материалы прорезиненные текстильные, кроме кордных тканей
22.21.30.130 Полосы (ленты) пластмассовые, неармированные или не комбинированные с другими материалами
22.21.42.130 Полосы (ленты) прочие пластмассовые непористые
28.29.12.112 Фильтры очистки воды бытовые
25.71.12.120 Лезвия для бритв ****</t>
  </si>
  <si>
    <t>За весь период заходили в конкурсы  4 раз на общую сумму обеспеченных контрактов с НМЦ 311 005 848,23 ? с БГУ  16 141 246,46 ? с БГИ 76 755 397,10 ? За 3 ГОДА по 44ФЗ заключено 474 шт. с объемом НМЦ  222 270 920,50 ? с БГИ 29 516 447,54 ? с БГГО 2 593 308,61 ? с авансированием до 911 287,34 ? с комиссией банку 340 650,11 ? с кв 2 963,66 ? ЗА 1 ГОД по 44ФЗ заключено 84 шт. c объемом НМЦ 33 732 865,03 ? с БГИ 10 321 074,65 ? с БГГО 51 288,00 ? с авансированием до  172 326,14 ? с комиссией банку  183 950,06 ? с кв 1 600,37 ? ЗА 3 ГОДА ПО 223 ФЗ заключено 125 шт. с объемом НМЦ 57 072 283,39 ? за 1 ГОД ПО 223ФЗ заключено 18  13 610 311,35 ?</t>
  </si>
  <si>
    <t>"223 за 3 года", ".", "рейтинг поставщиков в маркере по бг", "Пересечения действующих клиентов 28 фев 19", "fk1", "ПОС на 01.02.2023", "ПОС на 03.04.2023",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"производители", "рейтинг по нмц маркер", "поставщики маркер", "44 за 3 года"</t>
  </si>
  <si>
    <t>21.20.10 Препараты лекарственные
21.20.10.116 Препараты противодиарейные, кишечные противовоспалительные и противомикробные
21.20.10.143 Диуретики
21.20.10.194 Препараты противовирусные для системного применения
21.20.10.221 Препараты противовоспалительные и противоревматические
21.10 Субстанции фармацевтические
21.10.31.120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21.20.10.131 Антикоагулянты
21.20.10.255 Препараты, применяемые при кашле и простудных заболеваниях
21.20.10.134 Растворы плазмозамещающие и перфузионные ****</t>
  </si>
  <si>
    <t>"44 за 3 года", ".",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t>
  </si>
  <si>
    <t>21.20.23.113 Средства радиофармацевтические диагностические
21.20.23.199 Средства нелечебные прочие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21.20.10.242 Препараты противогельминтные ****</t>
  </si>
  <si>
    <t>За весь период заходили в конкурсы  8 раз на общую сумму обеспеченных контрактов с НМЦ 511 432 466,37 ? с БГУ  35 061 893,60 ? с БГИ 151 114 439,63 ? За 3 ГОДА по 44ФЗ заключено 950 шт. с объемом НМЦ  1 207 681 664,50 ? с БГИ 98 994 119,13 ? с БГГО 1 951 869,32 ? с авансированием до 98 445,75 ? с комиссией банку 1 184 186,64 ? с кв 10 302,42 ? ЗА 1 ГОД по 44ФЗ заключено 375 шт. c объемом НМЦ 558 983 704,11 ? с БГИ 48 516 655,06 ? с БГГО 4 760,00 ? с авансированием до  92 995,75 ? с комиссией банку  577 062,68 ? с кв 5 020,45 ? ЗА 3 ГОДА ПО 223 ФЗ заключено 40 шт. с объемом НМЦ 77 504 646,85 ? за 1 ГОД ПО 223ФЗ заключено 12  6 921 010,86 ?</t>
  </si>
  <si>
    <t>"223 за 3 года", ".", "рейтинг поставщиков в маркере по бг", "ушедшие", "все клиенты с выручкой от 1,8 млрд до бесконечности", "рейтинг по нмц маркер", "это заказчик", "поставщики маркер", "44 за 3 года"</t>
  </si>
  <si>
    <t>21.20.10.191 Препараты антибактериальные для системного использования
21.20.10.241 Препараты противопротозойные
21.20.10.116 Препараты противодиарейные, кишечные противовоспалительные и противомикробные
17.22.12.130 Изделия санитарно-гигиенического назначения прочие из бумажной массы, бумаги, целлюлозной ваты и полотна из целлюлозных волокон
21.20.10.131 Антикоагулянты
21.20.10.112 Препараты для лечения заболеваний, связанных с нарушением кислотности</t>
  </si>
  <si>
    <t>27.90.33.110 Комплектующие (запасные части) прочего электрического оборудования, не имеющие самостоятельных группировок
21.20.23.199 Средства нелечебные прочие
28.29.84.000 Части оборудования, не имеющие электрических соединений, не включенные в другие группировки
21.20.10.133 Препараты антианемические
21.20.10.191 Препараты антибактериальные для системного использования
21.20.10 Препараты лекарственные
21.20.10.111 Препараты стоматологические
21.20.10.132 Гемостатики
21.20.10.143 Диуретики
21.20.10.194 Препараты противовирусные для системного применения ****</t>
  </si>
  <si>
    <t>За весь период заходили в конкурсы  10 раз на общую сумму обеспеченных контрактов с НМЦ 1 222 708 187,11 ? с БГУ  25 123 930,55 ? с БГИ 136 832 095,24 ?</t>
  </si>
  <si>
    <t>"223 за 3 года", ".", "рейтинг поставщиков в маркере по бг",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 "44 за 3 года"</t>
  </si>
  <si>
    <t>32.50 Инструменты и оборудование медицинские
32.50.13.110 Шприцы, иглы, катетеры, канюли и аналогичные инструменты</t>
  </si>
  <si>
    <t>21.20.10.118 Препараты, способствующие пищеварению, включая ферментные препараты
21.20.10.213 Иммуномодуляторы
21.10.10.130 Эфиры сложные салициловой и О-ацетилсалициловой кислот
21.20.10.147 Блокаторы кальциевых каналов
21.20.10.221 Препараты противовоспалительные и противоревматические
21.20.10.229 Препараты для лечения заболеваний опорно-двигательного аппарата другие
21.20.21.110 Сыворотки иммунные
21.20 Препараты лекарственные и материалы, применяемые в медицинских целях
21.20.10.233 Препараты противоэпилептические
21.20.10.261 Препараты для лечения заболеваний глаз ****</t>
  </si>
  <si>
    <t>За весь период компания заключила  9 контрактов на сумму  585 233 394,53 ? За весь период заходили в конкурсы  13 раз на общую сумму обеспеченных контрактов с НМЦ 910 648 536,53 ? с БГУ  16 613 995,40 ? с БГИ 85 677 651,68 ? За 3 ГОДА по 44ФЗ заключено 119 шт. с объемом НМЦ  1 945 976 105,53 ? с БГИ 165 254 311,97 ? с БГГО 10 281 554,10 ? с авансированием до 0,00 ? с комиссией банку 1 208 377,71 ? с кв 10 512,89 ? ЗА 1 ГОД по 44ФЗ заключено 47 шт. c объемом НМЦ 1 084 807 952,56 ? с БГИ 88 174 314,14 ? с БГГО 0,00 ? с авансированием до  0,00 ? с комиссией банку  501 238,21 ? с кв 4 360,77 ?</t>
  </si>
  <si>
    <t>"44 за 3 года", ".", "рейтинг поставщиков в маркере по бг", "рейтинг по нмц маркер", "crm управления", "в crm за Досхоевым", "поставщики маркер"</t>
  </si>
  <si>
    <t>21.20.23.110 Реагенты диагностические
21.20.23.199 Средства нелечебные прочие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21.20.10.155 Препараты для лечения псориаза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t>
  </si>
  <si>
    <t>За весь период компания заключила  9 контрактов на сумму  586 869 183,96 ? За весь период заходили в конкурсы  17 раз на общую сумму обеспеченных контрактов с НМЦ 1 658 719 066,86 ? с БГУ  15 280 626,04 ? с БГИ 160 443 050,26 ? За 3 ГОДА по 44ФЗ заключено 3933 шт. с объемом НМЦ  7 663 268 976,82 ? с БГИ 624 486 681,64 ? с БГГО 15 490 461,17 ? с авансированием до 298 413,59 ? с комиссией банку 9 654 265,38 ? с кв 83 992,11 ? ЗА 1 ГОД по 44ФЗ заключено 1730 шт. c объемом НМЦ 3 449 404 318,12 ? с БГИ 300 719 249,35 ? с БГГО 4 563,85 ? с авансированием до  292 900,80 ? с комиссией банку  3 483 011,82 ? с кв 30 302,20 ? ЗА 3 ГОДА ПО 223 ФЗ заключено 34 шт. с объемом НМЦ 161 082 142,26 ? за 1 ГОД ПО 223ФЗ заключено 16  67 557 187,10 ?</t>
  </si>
  <si>
    <t>"223 за 3 года", ".", "рейтинг поставщиков в маркере по бг", "портфель 51", "fk1",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"44 фз с с БГ от 10 млн", "рейтинг по нмц маркер", "поставщики маркер", "44 за 3 года"</t>
  </si>
  <si>
    <t>22.22.14.000 Бутыли, бутылки, флаконы и аналогичные изделия из пластмасс
22.22.19.000 Изделия упаковочные пластмассовые прочие
20.42.1 Средства парфюмерные и косметические
21.20.23.110 Реагенты диагностические
21.20.23.199 Средства нелечебные прочие
20.59.52.199 Реагенты сложные диагностические или лабораторные прочие, не включенные в другие группировки
20.59.60.111 Желатины пищевые
22.19.50.000 Материалы прорезиненные текстильные, кроме кордных тканей
22.19.71.120 Соски различных типов (в том числе для бутылочек) и аналогичные изделия для детей
22.19.71.190 Изделия из резины, кроме твердой резины (эбонита), гигиенические или фармацевтические прочие ****</t>
  </si>
  <si>
    <t>За весь период компания заключила  27 контрактов на сумму  2 024 105 997,45 ? За весь период заходили в конкурсы  69 раз на общую сумму обеспеченных контрактов с НМЦ 5 353 626 596,22 ? с БГУ  247 771 417,64 ? с БГИ 943 129 237,94 ?                             ЗА 3 ГОДА ПО 223 ФЗ заключено 47 шт. с объемом НМЦ 297 302 265,17 ?</t>
  </si>
  <si>
    <t>"223 за 3 года", ".", "рейтинг поставщиков в маркере по бг", "ГРАНДИОЗНЫЙ ПРОЕКТ 223", "выдали", "fk1",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 "44 за 3 года"</t>
  </si>
  <si>
    <t>46.38.21.000 Услуги по оптовой торговле гомогенизированными пищевыми продуктами и диетическим питанием
86.90.11.000 Услуги, связанные с беременностью
47.73.10.000 Услуги по розничной торговле лекарственными средствами в специализированных магазинах
47.74.10.000 Услуги по розничной торговле изделиями, применяемыми в медицинских целях, в специализированных магазинах
86.90.12.000 Услуги по медицинскому уходу
86.90.15.000 Услуги медицинских лабораторий
46.18.11.110 Услуги по оптовой торговле фармацевтической продукцией за вознаграждение или на договорной основе
47.19.20.000 Услуги по розничной торговле большим товарным ассортиментом непродовольственной продукции в неспециализированных магазинах
47.29.36.000 Услуги по розничной торговле гомогенизированными пищевыми продуктами, детским и диетическим питанием в специализированных магазинах
47.74.20.000 Услуги по розничной торговле ортопедическими изделиями в специализированных магазинах ****</t>
  </si>
  <si>
    <t>За весь период компания заключила  33 контрактов на сумму  10 036 461 992,68 ? За весь период заходили в конкурсы  341 раз на общую сумму обеспеченных контрактов с НМЦ 6 277 247 351,60 ? с БГУ  155 970 726,11 ? с БГИ 1 554 651 189,27 ?</t>
  </si>
  <si>
    <t>1 745</t>
  </si>
  <si>
    <t>21.20.23.199 Средства нелечебные прочие
21 Средства лекарственные и материалы, применяемые в медицинских целях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21.20.10.155 Препараты для лечения псориаза
21.20.10.191 Препараты антибактериальные для системного использования
21.20.10.213 Иммуномодуляторы
21.20.10.241 Препараты противопротозойные
21.20.10.242 Препараты противогельминтные ****</t>
  </si>
  <si>
    <t>За весь период компания заключила  309 контрактов на сумму  148 501 637 392,19 ? За весь период заходили в конкурсы  964 раз на общую сумму обеспеченных контрактов с НМЦ 190 080 840 614,33 ? с БГУ  6 239 242 571,67 ? с БГИ 30 438 325 702,79 ? За 3 ГОДА по 44ФЗ заключено 2878 шт. с объемом НМЦ  80 328 391 011,38 ? с БГИ 7 766 319 957,63 ? с БГГО 70 608 401,71 ? с авансированием до 955 307,18 ? с комиссией банку 183 851 321,60 ? с кв 1 599 506,50 ? ЗА 1 ГОД по 44ФЗ заключено 897 шт. c объемом НМЦ 35 258 353 555,96 ? с БГИ 3 482 979 390,52 ? с БГГО 0,00 ? с авансированием до  48 042,11 ? с комиссией банку  70 999 440,94 ? с кв 617 695,14 ? ЗА 3 ГОДА ПО 223 ФЗ заключено 72 шт. с объемом НМЦ 333 933 433,42 ? за 1 ГОД ПО 223ФЗ заключено 10  25 306 615,17 ?</t>
  </si>
  <si>
    <t>"223 за 3 года", ".", "рейтинг поставщиков в маркере по бг", "фб 22.11", "Конкурсы 100+ (Восстановленный)", "fk1", "клиенты с в от100млн 09.21", "все клиенты с выручкой от 1,8 млрд до бесконечности", "44 фз с с БГ от 10 млн", "рейтинг по нмц маркер", "поставщики маркер", "44 за 3 года"</t>
  </si>
  <si>
    <t>21.20.23.199 Средства нелечебные прочие
21.10.54.190 Антибиотики и их производные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21.20.10.251 Препараты назальные
21.20.23.190 Препараты фармацевтические прочие
21.10.51.123 Витамины A и D и их комбинация ****</t>
  </si>
  <si>
    <t>За весь период компания заключила  26 контрактов на сумму  2 293 553 495,38 ? За весь период заходили в конкурсы  51 раз на общую сумму обеспеченных контрактов с НМЦ 4 292 738 800,60 ? с БГУ  78 652 596,17 ? с БГИ 513 216 713,86 ? За 3 ГОДА по 44ФЗ заключено 2936 шт. с объемом НМЦ  9 540 049 076,34 ? с БГИ 957 355 291,71 ? с БГГО 5 422 464,70 ? с авансированием до 1 063 097,93 ? с комиссией банку 13 028 135,94 ? с кв 113 344,78 ? ЗА 1 ГОД по 44ФЗ заключено 917 шт. c объемом НМЦ 3 150 976 360,92 ? с БГИ 328 932 923,25 ? с БГГО 127 577,03 ? с авансированием до  45 428,00 ? с комиссией банку  5 247 603,40 ? с кв 45 654,15 ? ЗА 3 ГОДА ПО 223 ФЗ заключено 40 шт. с объемом НМЦ 70 400 554,23 ? за 1 ГОД ПО 223ФЗ заключено 14  36 217 031,53 ?</t>
  </si>
  <si>
    <t>"223 за 3 года", ".", "рейтинг поставщиков в маркере по бг", "fk1", "ПСБ Гарантии ", "клиенты с в от100млн 09.21", "все клиенты с выручкой от 1,8 млрд до бесконечности", "44 фз с с БГ от 10 млн", "рейтинг по нмц маркер", "поставщики маркер", "44 за 3 года"</t>
  </si>
  <si>
    <t>22.29 Изделия пластмассовые прочие
20.42.15.142 Кремы для ног
20.42.16.110 Шампуни
13.99 Изделия текстильные прочие, не включенные в другие группировки
20.20.14.000 Средства дезинфекционные
21 Средства лекарственные и материалы, применяемые в медицинских целях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t>
  </si>
  <si>
    <t>За весь период компания заключила  129 контрактов на сумму  26 793 996 421,57 ?                                     ЗА 3 ГОДА ПО 223 ФЗ заключено 15 шт. с объемом НМЦ 3 245 313 778,45 ? за 1 ГОД ПО 223ФЗ заключено 6  203 000 000,00 ?</t>
  </si>
  <si>
    <t>"223 за 3 года", ".", "ГРАНДИОЗНЫЙ ПРОЕКТ 223", "fk1", "все клиенты с выручкой от 1,8 млрд до бесконечности", "223 фз контракты 20+", "рейтинг по нмц маркер", "это заказчик", "поставщики маркер"</t>
  </si>
  <si>
    <t>21.20.23.110 Реагенты диагностические
21.20.23.113 Средства радиофармацевтические диагностические
21.20.23.199 Средства нелечебные прочие
21 Средства лекарственные и материалы, применяемые в медицинских целях
21.20.10.118 Препараты, способствующие пищеварению, включая ферментные препараты
21.20.10.133 Препараты антианемические
21.20.10.155 Препараты для лечения псориаза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t>
  </si>
  <si>
    <t>Гарантия завершена;Гарантия отправлена;Отклонена банком
Гарантия отправлена;Заявка отозвана клиентом;Черновик
Отклонена банком
Отклонена банком;Распределена в Банк</t>
  </si>
  <si>
    <t>"223 за 3 года", "кл фт прямые бг 04.22", "свод фт", ".", "рейтинг поставщиков в маркере по бг", "беники", "УПП на 2 номер", "Конкурсы 100+ (Восстановленный)", "fk1", "кредиты фт", "клиенты управления по БГ без открытых счетов", "Евразия_июлль-август 2019", "2. Финтендер 2022 31.03.22 Григорян для СПАРК", "Гарантии ФБ банкроты", "лимит сит по кредитам", "ФТ клиенты с продуктами по сотрудникам", "223 фз контракты 20+", "44 фз с с БГ от 10 млн", "рейтинг по нмц маркер", "на фт заводил Пейсахова", "на фт заводил Бесков", "на фт заводил Адеев", "crm управления", "в crm за Адеевым", "поставщики маркер", "44 за 3 года"</t>
  </si>
  <si>
    <t>20.14.71.182 Масла, полученные из древесного дегтя
22.22.14.000 Бутыли, бутылки, флаконы и аналогичные изделия из пластмасс
22.22.19.000 Изделия упаковочные пластмассовые прочие
21.20.21.132 Вакцины бактериальные инактивированные профилактические, применяемые в ветеринарии
21.20.23.110 Реагенты диагностические
21.20.23.113 Средства радиофармацевтические диагностические
21.20.23.199 Средства нелечебные прочие
21.20.24.140 Пакеты перевязочные медицинские
20.59.52.140 Среды готовые питательные для выращивания микроорганизмов
20.59.52.199 Реагенты сложные диагностические или лабораторные прочие, не включенные в другие группировки ****</t>
  </si>
  <si>
    <t>За весь период компания заключила  11 контрактов на сумму  737 527 182,67 ? За весь период заходили в конкурсы  9 раз на общую сумму обеспеченных контрактов с НМЦ 743 048 012,63 ? с БГУ  3 715 240,06 ? с БГИ 12 332 588,53 ? За 3 ГОДА по 44ФЗ заключено 2668 шт. с объемом НМЦ  4 547 911 824,13 ? с БГИ 177 333 254,17 ? с БГГО 15 706 212,28 ? с авансированием до 0,00 ? с комиссией банку 1 566 383,50 ? с кв 13 627,54 ? ЗА 1 ГОД по 44ФЗ заключено 938 шт. c объемом НМЦ 1 548 969 006,84 ? с БГИ 62 850 797,52 ? с БГГО 51 108,00 ? с авансированием до  0,00 ? с комиссией банку  571 846,15 ? с кв 4 975,06 ?</t>
  </si>
  <si>
    <t>"223 за 3 года", "свод фт", ".", "рейтинг поставщиков в маркере по бг", "все клиенты с выручкой от 1,8 млрд до бесконечности", "ФК клиенты с выручкой от 230 до бесконечности", "рейтинг по нмц маркер", "на фт заводил Шаклейн", "crm управления", "в crm за Шаклейном ", "поставщики маркер", "44 за 3 года"</t>
  </si>
  <si>
    <t>10.89.19.140 Концентраты белковые (протеиновые)
10.86.10.139 Смеси молочные сухие прочие для детей раннего возраста
21.20.23.110 Реагенты диагностические
21.20.23.113 Средства радиофармацевтические диагностические
21.20.23.199 Средства нелечебные прочие
21 Средства лекарственные и материалы, применяемые в медицинских целях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21.20.10.118 Препараты, способствующие пищеварению, включая ферментные препараты
21.20.10.133 Препараты антианемические ****</t>
  </si>
  <si>
    <t>За весь период компания заключила  7 контрактов на сумму  269 982 747,41 ? За весь период заходили в конкурсы  10 раз на общую сумму обеспеченных контрактов с НМЦ 679 378 791,55 ? с БГУ  6 330 652,64 ? с БГИ 65 239 756,70 ?</t>
  </si>
  <si>
    <t>"44 за 3 года", "кл фт прямые бг 04.22", "свод фт", ".", "рейтинг поставщиков в маркере по бг", "fk1", "Евразия_июлль-август 2019", "райф", "ФТ клиенты с продуктами по сотрудникам", "рейтинг по нмц маркер", "на фт заводил Тихонов ", "на фт заводил Мелкумов", "на фт заводил Марукевич", "на фт заводил Забалотний", "поставщики маркер"</t>
  </si>
  <si>
    <t>10.86.10.139 Смеси молочные сухие прочие для детей раннего возраста
22.22.14.000 Бутыли, бутылки, флаконы и аналогичные изделия из пластмасс
20.42.1 Средства парфюмерные и косметические
21.20.23.110 Реагенты диагностические
21.20.23.199 Средства нелечебные прочие
20.59.52.140 Среды готовые питательные для выращивания микроорганизмов
20.20.14.000 Средства дезинфекционные
21 Средства лекарственные и материалы, применяемые в медицинских целях
21.10.54.190 Антибиотики и их производные прочие
21.20.10.118 Препараты, способствующие пищеварению, включая ферментные препараты ****</t>
  </si>
  <si>
    <t>За весь период компания заключила  55 контрактов на сумму  6 706 918 619,78 ? За весь период заходили в конкурсы  113 раз на общую сумму обеспеченных контрактов с НМЦ 6 138 867 611,56 ? с БГУ  56 881 086,43 ? с БГИ 584 664 437,94 ? За 3 ГОДА по 44ФЗ заключено 3106 шт. с объемом НМЦ  8 833 244 241,09 ? с БГИ 685 474 753,46 ? с БГГО 19 688 295,07 ? с авансированием до 47 036,96 ? с комиссией банку 9 615 984,70 ? с кв 83 659,07 ? ЗА 1 ГОД по 44ФЗ заключено 946 шт. c объемом НМЦ 3 178 029 216,81 ? с БГИ 250 312 322,08 ? с БГГО 209 898,00 ? с авансированием до  0,00 ? с комиссией банку  3 747 739,74 ? с кв 32 605,34 ? ЗА 3 ГОДА ПО 223 ФЗ заключено 70 шт. с объемом НМЦ 151 810 965,32 ? за 1 ГОД ПО 223ФЗ заключено 6  5 204 839,25 ?</t>
  </si>
  <si>
    <t>"223 за 3 года", ".", "рейтинг поставщиков в маркере по бг", "райф", "44 фз с с БГ от 10 млн", "Все БГ Держава ", "производители", "рейтинг по нмц маркер", "поставщики маркер", "44 за 3 года"</t>
  </si>
  <si>
    <t>21.20.23.110 Реагенты диагностические
21.20.23.199 Средства нелечебные прочие
21.20.10.118 Препараты, способствующие пищеварению, включая ферментные препараты
21.20.10.191 Препараты антибактериальные для системного использования
21.20.10.213 Иммуномодуляторы
21.20.23.190 Препараты фармацевтические прочие
21.20.10.111 Препараты стоматологические
21.20.10.132 Гемостатики
21.20.10.194 Препараты противовирусные для системного применения
21.20.10.239 Препараты для лечения заболеваний нервной системы прочие ****</t>
  </si>
  <si>
    <t>За весь период компания заключила  623 контрактов на сумму  333 971 236 808,54 ? За весь период заходили в конкурсы  2094 раз на общую сумму обеспеченных контрактов с НМЦ 477 611 197 321,84 ? с БГУ  15 293 706 118,85 ? с БГИ 65 823 459 842,22 ? За 3 ГОДА по 44ФЗ заключено 3978 шт. с объемом НМЦ  234 384 463 401,72 ? с БГИ 22 437 023 640,74 ? с БГГО 120 275 319,61 ? с авансированием до 6 703 299,60 ? с комиссией банку 400 948 551,51 ? с кв 3 488 252,40 ? ЗА 1 ГОД по 44ФЗ заключено 1486 шт. c объемом НМЦ 80 025 669 139,22 ? с БГИ 7 760 092 588,47 ? с БГГО 1 631 569,05 ? с авансированием до  5 837 378,24 ? с комиссией банку  93 060 577,91 ? с кв 809 627,03 ? ЗА 3 ГОДА ПО 223 ФЗ заключено 29 шт. с объемом НМЦ 373 769 134,69 ? за 1 ГОД ПО 223ФЗ заключено 10  192 458 537,04 ?</t>
  </si>
  <si>
    <t>"223 за 3 года", ".", "рейтинг поставщиков в маркере по бг", "фб 22.11", "беники", "Конкурсы 100+ (Восстановленный)", "все клиенты с выручкой от 1,8 млрд до бесконечности", "223 фз контракты 20+", "44 фз с с БГ от 10 млн", "производители", "рейтинг по нмц маркер", "это заказчик", "поставщики маркер", "44 за 3 года"</t>
  </si>
  <si>
    <t>21.20.10 Препараты лекарственные
23.19.23 Посуда стеклянная для лабораторных, гигиенических или фармацевтических целей; ампулы из стекла
17.22 Изделия хозяйственные и санитарно-гигиенические и туалетные принадлежности
32.50 Инструменты и оборудование медицинские</t>
  </si>
  <si>
    <t>За весь период компания заключила  9 контрактов на сумму  458 567 163,64 ? За весь период заходили в конкурсы  28 раз на общую сумму обеспеченных контрактов с НМЦ 1 823 897 894,36 ? с БГУ  54 210 644,45 ? с БГИ 356 236 752,44 ? За 3 ГОДА по 44ФЗ заключено 479 шт. с объемом НМЦ  1 317 359 297,00 ? с БГИ 118 056 734,43 ? с БГГО 395 908,54 ? с авансированием до 76 309,89 ? с комиссией банку 1 176 387,48 ? с кв 10 234,57 ? ЗА 1 ГОД по 44ФЗ заключено 61 шт. c объемом НМЦ 560 357 080,48 ? с БГИ 43 570 748,57 ? с БГГО 0,00 ? с авансированием до  24 438,52 ? с комиссией банку  588 649,48 ? с кв 5 121,25 ? ЗА 3 ГОДА ПО 223 ФЗ заключено 20 шт. с объемом НМЦ 50 114 311,72 ?</t>
  </si>
  <si>
    <t>"223 за 3 года", "кл фт агент бг 04.22", "свод фт", ".", "рейтинг поставщиков в маркере по бг", "кредиты фт", "ИНН 3 года - нет КД БГ на 01.10.22", "ушедшие", "06.2022_ФинХД", "лимит сит по кредитам", "все клиенты с выручкой от 1,8 млрд до бесконечности", "действующие б не прям", "ФТ клиенты с продуктами по сотрудникам", "рейтинг по нмц маркер", "на фт заводил Шумлин", "на фт заводил Чекин", "на фт заводил Пейсахова", "на фт заводил Адеев", "поставщики маркер", "44 за 3 года"</t>
  </si>
  <si>
    <t>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42.13.20.100 Работы строительные по строительству мостов и тоннелей, кроме работ по сохранению и воссозданию объектов культурного наследия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</si>
  <si>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4 контрактов на сумму  3 834 754 223,55 ? За весь период заходили в конкурсы  6 раз на общую сумму обеспеченных контрактов с НМЦ 3 559 628 403,55 ? с БГУ  32 903 624,80 ? с БГИ 805 240 306,00 ?</t>
  </si>
  <si>
    <t>"44 за 3 года", ".", "рейтинг поставщиков в маркере по бг", "ГРАНДИОЗНЫЙ ПРОЕКТ", "рейтинг заказчиков маркер", "рейтинг по нмц маркер", "это заказчик", "поставщики маркер"</t>
  </si>
  <si>
    <t>"в crm за Акимкиным", "свод фт", ".", "fk1", "корп 1",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 "на фт заводил Акимкин", "crm управления"</t>
  </si>
  <si>
    <t>43.22.12.150 Работы по монтажу вентиляционного, холодильного оборудования или оборудования для кондиционирования воздуха в жилых зданиях, компьютерных центрах, офисах и магазинах
33.12.18 Услуги по ремонту и техническому обслуживанию небытового холодильного и вентиляционного оборудования</t>
  </si>
  <si>
    <t>"44 за 3 года", ".", "44 фз с с БГ от 10 млн", "это заказчик", "crm управления", "crm Пител", "поставщики маркер"</t>
  </si>
  <si>
    <t>"Обороты по клиентам по кварталам (2022г)", ".", "fk1", "ПОС на 01.02.2023", "ПОС на 03.04.2023", "Кредитный портфель_01.11", "06.2022_ФинХД", "клиенты с в от100млн 09.21", "ФК клиенты с выручкой от 230 до бесконечности", "клиенты от 100 млн"</t>
  </si>
  <si>
    <t>72.19.40.000 Услуги, связанные с научными исследованиями и экспериментальными разработками в области сельскохозяйственных наук</t>
  </si>
  <si>
    <t>Юридическое лицо находится в процессе реорганизации в форме присоединения к другому юридическому лицу от 07.11.2022</t>
  </si>
  <si>
    <t>49.20 Услуги железнодорожного транспорта по перевозке грузов
77.39.11.000 Услуги по аренде и лизингу железнодорожных транспортных средств</t>
  </si>
  <si>
    <t>За весь период компания заключила  19 контрактов на сумму  43 110 716 243,35 ? За весь период заходили в конкурсы  2 раз на общую сумму обеспеченных контрактов с НМЦ 1 848 964 450,41 ? с БГУ  99 484 541,61 ? с БГИ 397 938 165,13 ?</t>
  </si>
  <si>
    <t>"поставщики маркер", ".", "рейтинг поставщиков в маркере по бг", "fk1", "06.2022_ФинХД", "все клиенты с выручкой от 1,8 млрд до бесконечности", "рейтинг заказчиков маркер", "рейтинг по нмц маркер", "это заказчик"</t>
  </si>
  <si>
    <t>84.25.11.120 Услуги по обеспечению пожарной безопасности
80.10.19.000 Услуги в области обеспечения безопасности прочие
80.2 Услуги систем обеспечения безопасности
84.25 Услуги по обеспечению безопасности в чрезвычайных ситуациях; услуги по обеспечению безопасности в области использования атомной энергии
84 Услуги в области государственного управления и обеспечения военной безопасности, услуги в области обязательного социального обеспечения
49.32.12.000 Услуги по аренде легковых автомобилей с водителем
49.39.39.000 Услуги по перевозке пассажиров сухопутным транспортом прочие, не включенные в другие группировки
84.25.19.190 Услуги по обеспечению безопасности в чрезвычайных ситуациях прочие
80 Услуги по обеспечению безопасности и проведению расследований
80.10 Услуги частных охранных служб ****</t>
  </si>
  <si>
    <t>За весь период компания заключила  29 контрактов на сумму  50 929 501 132,82 ? За весь период заходили в конкурсы  3 раз на общую сумму обеспеченных контрактов с НМЦ 802 445 441,97 ? с БГУ  91 787 771,93 ? с БГИ 375 477 719,34 ? За 3 ГОДА по 44ФЗ заключено 174 шт. с объемом НМЦ  462 566 658,75 ? с БГИ 45 354 193,80 ? с БГГО 1 217 028,87 ? с авансированием до 1 782 088,16 ? с комиссией банку 624 424,56 ? с кв 5 432,49 ? ЗА 1 ГОД по 44ФЗ заключено 51 шт. c объемом НМЦ 157 127 780,18 ? с БГИ 16 247 518,39 ? с БГГО 0,00 ? с авансированием до  0,00 ? с комиссией банку  297 225,87 ? с кв 2 585,87 ?     за 1 ГОД ПО 223ФЗ заключено 4  29 820 864,98 ?</t>
  </si>
  <si>
    <t>"223 за 3 года", ".", "рейтинг поставщиков в маркере по бг", "АНАЛИЗ Все установленные лимиты на 01.12.2021 ОКВЭД Прочие Услуги", "все клиенты с выручкой от 1,8 млрд до бесконечности", "223 фз контракты 20+", "рейтинг заказчиков маркер", "рейтинг по нмц маркер", "это заказчик", "поставщики маркер", "44 за 3 года"</t>
  </si>
  <si>
    <t>Сообщения о принятии решения о реорганизации от 18.07.2017</t>
  </si>
  <si>
    <t>29.10.41.113 Автомобили грузовые с дизельным двигателем, имеющие технически допустимую максимальную массу свыше 12 т
29.10.41.110 Автомобили грузовые с дизельным двигателем
29.10.59.130 Средства транспортные для коммунального хозяйства и содержания дорог
28.22.18.390 Оборудование подъемно-транспортное и погрузочно-разгрузочное прочее, не включенное в другие группировки
29.20.23.114 Прицепы и полуприцепы, технически допустимая максимальная масса которых свыше 10 т
29.10.5 Средства автотранспортные специального назначения
45.1 Услуги по торговле автотранспортными средствами
29.10.41.122 Автосамосвалы с дизельным двигателем, имеющие технически допустимую максимальную массу свыше 3,5 т, но не более 12 т
29.10.59.120 Автолесовозы
29.10.59.390 Средства автотранспортные специального назначения прочие, не включенные в другие группировки ****</t>
  </si>
  <si>
    <t>За весь период компания заключила  7 контрактов на сумму  420 766 843,33 ? За весь период заходили в конкурсы  15 раз на общую сумму обеспеченных контрактов с НМЦ 921 213 427,46 ? с БГУ  9 542 010,99 ? с БГИ 91 670 109,90 ?</t>
  </si>
  <si>
    <t>"223 за 3 года", ".", "рейтинг поставщиков в маркере по бг", "выдали", "fk1", "ПОС на 01.02.2023", "ПОС на 03.04.2023", "Кредитный портфель_01.11", "06.2022_ФинХД", "Обороты по клиентам по кварталам (2022г)", "производители", "рейтинг по нмц маркер", "поставщики маркер", "44 за 3 года"</t>
  </si>
  <si>
    <t>1 322</t>
  </si>
  <si>
    <t>Гарантия завершена;Гарантия отправлена;Заявка отозвана клиентом;Отклонена банком;Распределена в Банк
Гарантия завершена;Заявка отозвана клиентом;Отправлена клиенту;Распределена в Банк;Черновик
Гарантия отправлена
Заявка отозвана;Рассматривается банком
Кредитная линия закрыта
Кредитная линия открыта</t>
  </si>
  <si>
    <t>"поставщики маркер", "кл фт прямые ВКЛ/РКО 04.22", "кл фт прямые бг 04.22", "свод фт", ".", "Рассрочка КВ Март 2023", "Премия 4 кв 22 г.2кредит", "беники", "УПП на 2 номер", "fk1", "кредиты фт", "клиенты управления по БГ без открытых счетов", "корп 2", "2. Финтендер 2022 31.03.22 Григорян для СПАРК", "Премия 4 кв 22 г.бг", "Банкроты ФБ 28.04.2023", "Ссуды ФБ 29.04.2022 банкр.", "клиенты с в от100млн 09.21", "Пункт 3 09.01.23", "лимит сит по кредитам", "все клиенты с выручкой от 1,8 млрд до бесконечности", "филиал бизнес 01.03.22", "ФК клиенты с выручкой от 230 до бесконечности", "клиенты от 100 млн", "Обороты по клиентам по кварталам (2022г)", "Одобренные но не выданные 1 полугодие 2021", "ФТ клиенты с продуктами по сотрудникам", "рейтинг по нмц маркер", "на фт заводил Синяев", "на фт заводил Мелкумов", "на фт заводил Кашин", "на фт заводил Бесков"</t>
  </si>
  <si>
    <t>2 162</t>
  </si>
  <si>
    <t>"поставщики маркер", "свод фт", ".", "кредиты фт", "Пункт 3.1 09.01.2023", "лимит сит по кредитам", "все клиенты с выручкой от 1,8 млрд до бесконечности", "рейтинг заказчиков маркер", "производители", "это заказчик", "на фт заводил Синяев"</t>
  </si>
  <si>
    <t>43.32.10.130 Работы по установке противопожарных дверей
25.12.10.000 Двери, окна и их рамы и пороги для дверей из металлов
43.32.10.120 Работы по устройству выходных дверей усиленной конструкции и установке дверей, усиленных металлической обшивкой</t>
  </si>
  <si>
    <t>1 612</t>
  </si>
  <si>
    <t>"44 за 3 года", ".", "производители", "crm управления", "в crm за Синяевым ", "поставщики маркер"</t>
  </si>
  <si>
    <t>43.32.10.110 Работы по установке дверных и оконных блоков и коробок, навеске дверных полотен (кроме дверей автоматического действия и вращающихся дверей), окон, оконных створок, планчатых створок, дверей гаражного типа и т. п. из любых материалов</t>
  </si>
  <si>
    <t>24.10.33 Прокат листовой горячекатаный из нержавеющих сталей, без дополнительной обработки, шириной не менее 600 мм
24.10.35 Прокат листовой горячекатаный из прочих легированных сталей, без дополнительной обработки, шириной не менее 600 мм
24.10.80.190 Прокат черных металлов прочий, не включенный в другие группировки
24 Металлы основные
25.11.23.119 Конструкции и детали конструкций из черных металлов прочие, не включенные в другие группировки
25.93.15.120 Электроды с покрытием
24.10.62.121 Прокат сортовой горячекатаный круглый прочий, без дополнительной обработки, включая смотанный после прокатки, из нелегированных сталей
24.10.62.123 Прокат сортовой горячекатаный шестигранный прочий, без дополнительной обработки, включая смотанный после прокатки, из нелегированных сталей
24.10.2 Сталь
24.10.71.110 Уголки стальные горячекатаные из нелегированных сталей ****</t>
  </si>
  <si>
    <t>За весь период компания заключила  12 контрактов на сумму  733 864 622,37 ?                                     ЗА 3 ГОДА ПО 223 ФЗ заключено 12 шт. с объемом НМЦ 104 074 510,00 ? за 1 ГОД ПО 223ФЗ заключено 8  98 479 060,98 ?</t>
  </si>
  <si>
    <t>"223 за 3 года", ".", "223 фз контракты 20+", "рейтинг по нмц маркер", "это заказчик", "поставщики маркер", "44 за 3 года"</t>
  </si>
  <si>
    <t>24.10.62.124 Прокат сортовой горячекатаный полосовой прочий, без дополнительной обработки, включая смотанный после прокатки, из нелегированных сталей
24.20.13.130 Трубы стальные электросварные
25.93.14.111 Гвозди строительные
24.20.13.190 Трубы круглого сечения прочие стальные
24.20.11.000 Трубы стальные для нефте- и газопроводов бесшовные
24.20.14.110 Трубы некруглого сечения стальные
24.20.14.120 Профили пустотелые стальные
25.93.11.120 Канаты из черных металлов без электрической изоляции
24.20.23.000 Трубы круглого сечения сварные прочие, наружным диаметром более 406,4 мм, стальные
25.99.29.190 Изделия прочие из недрагоценных металлов, не включенные в другие группировки ****</t>
  </si>
  <si>
    <t>Сообщения о принятии решения о реорганизации от 18.06.2020</t>
  </si>
  <si>
    <t>24.20.13 Трубы круглого сечения прочие стальные
25.11.23.115 Конструкции и детали линий электропередач и открытых подстанций из черных металлов</t>
  </si>
  <si>
    <t>71.12.3 Услуги в области геологических, геофизических и взаимосвязанных изыскательных работ и консультативные услуги
42.91.10.130 Причалы, молы, пирсы и аналогичные сооружения
71.20.1 Услуги в области технических испытаний, исследований и анализа
74.90.15 Услуги консультативные по вопросам обеспечения безопасности
28.11.42.000 Части прочих двигателей, не включенных в другие группировки
71 Услуги в области архитектуры и инженерно-технического проектирования, технических испытаний, исследований и анализа
71.12 Услуги в области инженерно-технического проектирования и связанные технические консультативные услуги
71.1 Услуги в области архитектуры, инженерно-технического проектирования и связанные технические консультативные услуги
42.91.20.150 Работы подводные (проводимые водолазами, аквалангистами или с использованием прочих технологий) и различные гидротехнические работы
71.12.18 Услуги по инженерно-техническому проектированию объектов связи, телевидения и радиовещания ****</t>
  </si>
  <si>
    <t>Отклонена банком;Скоринг пройден</t>
  </si>
  <si>
    <t>"223 за 3 года", "свод фт", ".", "райф", "производители", "рейтинг по нмц маркер", "на фт заводил Микульшин", "на фт заводил Алиев", "crm управления", "в crm за Микульшиным", "поставщики маркер"</t>
  </si>
  <si>
    <t>10.83.13.120 Чай черный (ферментированный) в упаковках массой не более 3 кг
10.83 Чай и кофе обработанные</t>
  </si>
  <si>
    <t>ЗА 3 ГОДА ПО 223 ФЗ заключено 2 шт. с объемом НМЦ 47 196 456,00 ?</t>
  </si>
  <si>
    <t>Сообщения о принятии решения о реорганизации от 18.01.2021</t>
  </si>
  <si>
    <t>26.20.16.150 Сканеры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26.20.18.000 Устройства периферийные с двумя или более функциями: печать данных, копирование, сканирование, прием и передача факсимильных сообщений
46.51.1 Услуги по оптовой торговле компьютерами, компьютерными периферийными устройствами и программным обеспечением
28.14.13 Арматура запорная для управления процессом (задвижки, краны, клапаны запорные, затворы дисковые и другая арматура)
27.90 Оборудование электрическое прочее
25.94.12 Изделия крепежные нерезьбовые из черных металлов, не включенные в другие группировки
26.20.1 Компьютеры, их части и принадлежности
26.30.11.190 Аппаратура коммуникационная передающая с приемными устройствами прочая, не включенная в другие группировки
26.30.30.000 Части и комплектующие коммуникационного оборудования ****</t>
  </si>
  <si>
    <t>За весь период заходили в конкурсы  1 раз на общую сумму обеспеченных контрактов с НМЦ 71 043 000,00 ? с БГУ  3 570 000,00 ? с БГИ 7 140 000,00 ?</t>
  </si>
  <si>
    <t>"44 за 3 года", "свод фт", ".", "рейтинг поставщиков в маркере по бг", "fk1", "кредиты фт", "просрочка на 01.01.2023 г.", "Запрос в ЮД_просрочка на 01.01.2023", "лимит сит по кредитам", "производители", "рейтинг по нмц маркер", "на фт заводил Хацкевич", "поставщики маркер"</t>
  </si>
  <si>
    <t>10.51.51.113 Молоко сгущенное (концентрированное) с сахаром
10.51.30.110 Масло сливочное</t>
  </si>
  <si>
    <t>26.60.11.119 Аппараты рентгеновские прочие, используемые для диагностики, применяемые в медицинских целях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33.13.13.000 Услуги по ремонту и техническому обслуживанию профессиональных оптических приборов и фотооборудования
26.60.11.113 Аппараты рентгенографические
26.60.12 Аппараты электродиагностические, применяемые в медицинских целях
26.60.12.119 Аппараты электродиагностические прочие
33.1 Услуги по ремонту металлоизделий, машин и оборудования
58.29.29.000 Обеспечение программное прикладное прочее на электронном носителе
33.12.29.900 Услуги по ремонту и техническому обслуживанию прочего оборудования специального назначения, не включенные в другие группировки
26.51.85.110 Комплектующие (запасные части) приборов и устройств контрольно-измерительные автоматических, гидравлических и пневматических, не имеющие самостоятельных группировок ****</t>
  </si>
  <si>
    <t>За весь период компания заключила  10 контрактов на сумму  1 777 623 343,41 ? За весь период заходили в конкурсы  28 раз на общую сумму обеспеченных контрактов с НМЦ 3 186 761 755,23 ? с БГУ  64 570 832,64 ? с БГИ 778 754 316,43 ?</t>
  </si>
  <si>
    <t>"223 за 3 года", ".", "рейтинг поставщиков в маркере по бг",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 "44 за 3 года"</t>
  </si>
  <si>
    <t>62.01 Продукты программные и услуги по разработке и тестированию программного обеспечения
62.02.2 Услуги консультативные по вопросам систем и программному обеспечению
74.90.20.141 Услуги (работы) по разработке средств защиты информации
62.01.1 Услуги по проектированию, разработке информационных технологий для прикладных задач и тестированию программного обеспечения
62.0 Продукты программные и услуги по разработке программного обеспечения; консультационные и аналогичные услуги в области информационных технологий
62.09.20 Услуги в области информационных технологий и компьютерные услуги прочие, не включенные в другие группировки
74.90.20.140 Услуги (работы) в области защиты информации
62.01.11.000 Услуги по проектированию и разработке информационных технологий для прикладных задач и тестированию программного обеспечения
62.01.29.000 Оригиналы программного обеспечения прочие
62.01.12.000 Услуги по проектированию и разработке информационных технологий для сетей и систем ****</t>
  </si>
  <si>
    <t>2 546</t>
  </si>
  <si>
    <t>За весь период компания заключила  48 контрактов на сумму  28 958 666 798,57 ? За весь период заходили в конкурсы  31 раз на общую сумму обеспеченных контрактов с НМЦ 4 296 112 212,04 ? с БГУ  209 235 702,10 ? с БГИ 834 469 601,95 ? За 3 ГОДА по 44ФЗ заключено 17 шт. с объемом НМЦ  2 275 458 917,04 ? с БГИ 499 033 400,65 ? с БГГО 130 911 678,55 ? с авансированием до 369 073 413,34 ? с комиссией банку 7 823 331,17 ? с кв 68 062,98 ? ЗА 1 ГОД по 44ФЗ заключено 8 шт. c объемом НМЦ 835 755 827,11 ? с БГИ 227 159 937,15 ? с БГГО 47 155 632,55 ? с авансированием до  100 812 033,91 ? с комиссией банку  3 773 718,83 ? с кв 32 831,35 ? ЗА 3 ГОДА ПО 223 ФЗ заключено 10 шт. с объемом НМЦ 2 444 950 687,54 ? за 1 ГОД ПО 223ФЗ заключено 3  400 781 510,40 ?</t>
  </si>
  <si>
    <t>"223 за 3 года", ".", "рейтинг поставщиков в маркере по бг",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"БизФин", "223 фз контракты 20+", "44 фз с с БГ от 10 млн", "рейтинг по нмц маркер", "поставщики маркер", "44 за 3 года"</t>
  </si>
  <si>
    <t>28.22.19.190 Комплектующие (запасные части) прочего подъемно-транспортного и погрузочно-разгрузочного оборудования, не имеющие самостоятельных группировок
28.41 Оборудование металлообрабатывающее
28.41.21.120 Станки токарные металлорежущие с числовым программным управлением
28.49.23.199 Оснастка специальная технологическая для станков прочая, не включенная в другие группировки
28.91.12.110 Комплектующие (запасные части) машин для металлургического производства, не имеющие самостоятельных группировок
26.51.33.199 Инструмент измерительный прочий, не включенный в другие группировки
28.14.13.110 Клапаны запорные
28.21.13.111 Электропечи сопротивления
28.22.19.140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33.13 Услуги по ремонту электронного и оптического оборудования ****</t>
  </si>
  <si>
    <t>За весь период компания заключила  22 контрактов на сумму  7 251 194 789,39 ? За весь период заходили в конкурсы  10 раз на общую сумму обеспеченных контрактов с НМЦ 1 756 935 642,73 ? с БГУ  89 236 717,48 ? с БГИ 628 039 857,82 ? За 3 ГОДА по 44ФЗ заключено 8 шт. с объемом НМЦ  1 155 986 815,97 ? с БГИ 324 382 847,49 ? с БГГО 57 799 340,50 ? с авансированием до 942 992 551,62 ? с комиссией банку 781 636,14 ? с кв 6 800,23 ? ЗА 1 ГОД по 44ФЗ заключено 1 шт. c объемом НМЦ 111 677 743,84 ? с БГИ 55 838 871,92 ? с БГГО 5 583 887,00 ? с авансированием до  55 838 871,92 ? с комиссией банку  676 185,79 ? с кв 5 882,82 ?</t>
  </si>
  <si>
    <t>"223 за 3 года", ".", "рейтинг поставщиков в маркере по бг", "ГРАНДИОЗНЫЙ ПРОЕКТ", "Конкурсы 100+ (Восстановленный)", "fk1",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"это заказчик", "поставщики маркер", "44 за 3 года"</t>
  </si>
  <si>
    <t>01.13.12.120 Капуста белокочанная
10.39.17.100 Овощи (кроме картофеля), консервированные без уксуса или уксусной кислоты, прочие (кроме готовых овощных блюд)
01.13.51.120 Картофель столовый поздний
01.13.41.110 Морковь столовая
01.13.32.000 Огурцы
01.13.49.110 Свекла столовая
01.13.43.110 Лук репчатый
01.24.10.000 Яблоки</t>
  </si>
  <si>
    <t>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18.12.19.190 Услуги печатные прочие, не включенные в другие группировки
74.10.19.000 Услуги по специализированному дизайну прочие</t>
  </si>
  <si>
    <t>Юридическим лицом принято решение об изменении места нахождения от 14.12.2022</t>
  </si>
  <si>
    <t>"223 за 3 года", "кл фт ФК БГ 04.22", ".", "fk1", "ПОС на 01.02.2023", "ПОС на 03.04.2023", "Кредитный портфель_01.11", "2. Финтендер 2022 31.03.22 Григорян для СПАРК", "корп 1", "06.2022_ФинХД", "клиенты с в от100млн 09.21", "все клиенты с выручкой от 1,8 млрд до бесконечности", "ФК клиенты с выручкой от 230 до бесконечности", "действующие б не прям", "Обороты по клиентам по кварталам (2022г)", "ФТ клиенты с продуктами по сотрудникам", "поставщики маркер"</t>
  </si>
  <si>
    <t>17.12.14.129 Бумага печатная прочая
28.29.22.120 Распылители
17.12.14.119 Бумага для печати прочая</t>
  </si>
  <si>
    <t>1 765</t>
  </si>
  <si>
    <t>Сообщения о принятии решения о реорганизации от 10.12.2019</t>
  </si>
  <si>
    <t>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58.29.29.000 Обеспечение программное прикладное прочее на электронном носителе
62.02.30 Услуги по технической поддержке информационных технологий
77.39.19.116 Услуги по аренде и лизингу приборов, аппаратов и прочего оборудования, применяемых в медицинских целях
62.09.20.190 Услуги по технической поддержке в области информационных технологий прочие, не включенные в другие группировки
95.11.10.190 Услуги по ремонту прочего компьютерного и периферийного компьютерного оборудования
62.03.12.190 Услуги по управлению компьютерными системами прочие, не включенные в другие группировки
58.29.50.000 Услуги по предоставлению лицензий на право использовать компьютерное программное обеспечение
62.01.11.000 Услуги по проектированию и разработке информационных технологий для прикладных задач и тестированию программного обеспечения
62.01.29.000 Оригиналы программного обеспечения прочие ****</t>
  </si>
  <si>
    <t>За весь период компания заключила  2 контрактов на сумму  418 114 284,60 ? За весь период заходили в конкурсы  3 раз на общую сумму обеспеченных контрактов с НМЦ 480 733 936,18 ? с БГУ  36 931 612,90 ? с БГИ 73 863 225,80 ?</t>
  </si>
  <si>
    <t>"223 за 3 года", ".", "рейтинг поставщиков в маркере по бг", "ушедший портфель", "fk1", "ИНН 3 года - нет КД БГ на 01.10.22", "Список ушедший ",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"это заказчик", "поставщики маркер", "44 за 3 года"</t>
  </si>
  <si>
    <t>10.89.19.140 Концентраты белковые (протеиновые)
10.86.10.139 Смеси молочные сухие прочие для детей раннего возраста
20.59 Продукты химические прочие, не включенные в другие группировки
21.20.23.110 Реагенты диагностические
21.20.23.199 Средства нелечебные прочие
20.59.52.199 Реагенты сложные диагностические или лабораторные прочие, не включенные в другие группировки
21 Средства лекарственные и материалы, применяемые в медицинских целях
21.10.20.130 Фосфоаминолипиды
21.10.60.191 Продукты человеческого или животного происхождения для терапевтического или профилактического использования прочие
21.20.10.118 Препараты, способствующие пищеварению, включая ферментные препараты ****</t>
  </si>
  <si>
    <t>За весь период компания заключила  52 контрактов на сумму  4 546 663 827,54 ? За весь период заходили в конкурсы  162 раз на общую сумму обеспеченных контрактов с НМЦ 8 314 182 516,22 ? с БГУ  440 453 881,01 ? с БГИ 1 762 703 720,98 ? За 3 ГОДА по 44ФЗ заключено 5416 шт. с объемом НМЦ  9 088 466 722,98 ? с БГИ 758 487 681,01 ? с БГГО 4 688 915,66 ? с авансированием до 11 137 321,29 ? с комиссией банку 11 371 656,41 ? с кв 98 933,41 ? ЗА 1 ГОД по 44ФЗ заключено 3130 шт. c объемом НМЦ 5 493 966 947,55 ? с БГИ 466 601 137,78 ? с БГГО 828 854,67 ? с авансированием до  7 960 072,15 ? с комиссией банку  6 996 992,78 ? с кв 60 873,84 ? ЗА 3 ГОДА ПО 223 ФЗ заключено 149 шт. с объемом НМЦ 1 656 662 289,75 ? за 1 ГОД ПО 223ФЗ заключено 75  291 820 755,69 ?</t>
  </si>
  <si>
    <t>Сообщения о принятии решения о реорганизации от 30.11.2022</t>
  </si>
  <si>
    <t>"223 за 3 года", "кл фт прямые бг 04.22", "свод фт", ".", "рейтинг поставщиков в маркере по бг", "fk1", "ушедшие", "закрыли счет", "клиенты с в от100млн 09.21", "все клиенты с выручкой от 1,8 млрд до бесконечности", "ФК клиенты с выручкой от 230 до бесконечности", "ФТ клиенты с продуктами по сотрудникам", "223 фз контракты 20+", "производители", "рейтинг по нмц маркер", "на фт заводил Тихонов ", "на фт заводил Алиев", "поставщики маркер", "44 за 3 года"</t>
  </si>
  <si>
    <t>41.20.40.900 Работы строительные по возведению нежилых зданий и сооружений прочие, не включенные в другие группировки
41.20.30.100 Работы по возведению жилых зданий, кроме работ по сохранению и воссозданию объектов культурного наследия</t>
  </si>
  <si>
    <t>1 291</t>
  </si>
  <si>
    <t>За весь период компания заключила  24 контрактов на сумму  22 446 201 089,90 ? За весь период заходили в конкурсы  82 раз на общую сумму обеспеченных контрактов с НМЦ 33 115 173 916,65 ? с БГУ  1 563 246 564,63 ? с БГИ 9 110 038 131,92 ? За 3 ГОДА по 44ФЗ заключено 9 шт. с объемом НМЦ  4 835 373 277,37 ? с БГИ 674 859 565,31 ? с БГГО 58 225 404,91 ? с авансированием до 294 646 712,59 ? с комиссией банку 15 106 029,99 ? с кв 131 422,46 ? ЗА 1 ГОД по 44ФЗ заключено 4 шт. c объемом НМЦ 3 484 460 440,39 ? с БГИ 331 072 203,16 ? с БГГО 34 844 604,91 ? с авансированием до  146 504 131,98 ? с комиссией банку  7 364 605,29 ? с кв 64 072,07 ?</t>
  </si>
  <si>
    <t>"44 за 3 года", ".", "рейтинг поставщиков в маркере по бг", "Конкурсы 100+ (Восстановленный)", "44 фз с с БГ от 10 млн", "производители", "рейтинг по нмц маркер", "на фт заводил Завистнов ", "поставщики маркер"</t>
  </si>
  <si>
    <t>19.20.21.100 Бензин автомобильный
19.20.21.111 Бензин автомобильный с октановым числом не менее 80, но не более 92 по исследовательскому методу вне классов
19.20.21.311 Топливо дизельное летнее вне классов</t>
  </si>
  <si>
    <t>"44 за 3 года", ".", "все клиенты с выручкой от 1,8 млрд до бесконечности", "Участники клиринга", "поставщики маркер"</t>
  </si>
  <si>
    <t>28.12 Оборудование гидравлическое и пневматическое силовое
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
33.12.29.900 Услуги по ремонту и техническому обслуживанию прочего оборудования специального назначения, не включенные в другие группировки
28.92.30.190 Машины для выемки грунта и строительства прочие, не включенные в другие группировки
28.9 Оборудование специального назначения прочее
28.99 Оборудование специального назначения прочее, не включенное в другие группировки
25.73 Инструмент
24.10.1 Продукты из железа и стали основные
09.1 Услуги по добыче нефти и природного газа</t>
  </si>
  <si>
    <t>"поставщики маркер", ".", "производители", "рейтинг по нмц маркер", "crm управления", "в crm за Курилиным"</t>
  </si>
  <si>
    <t>11.01.10 Напитки алкогольные дистиллированные и ректификованные
11 Напитки
11.02 Вина виноградные</t>
  </si>
  <si>
    <t>Сообщение кредитора о намерении обратиться в суд с заявлением о банкротстве от 26.10.2020</t>
  </si>
  <si>
    <t>14.39.10.190 Изделия аналогичные трикотажные или вязаные
32.30.15.233 Уборы спортивные головные</t>
  </si>
  <si>
    <t>30.20.91 Услуги по восстановлению и оснащению (завершению) железнодорожных локомотивов, трамвайных моторных вагонов и прочего подвижного состава
30.20.31.121 Дефектоскопы, вагоны дефектоскопные, тележки
30.20.40.144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33.19.10.000 Услуги по ремонту прочего оборудования
33.17.11.000 Услуги по ремонту и техническому обслуживанию железнодорожных локомотивов и подвижного состава
30.20.3 Состав подвижной прочий
30.20.31 Средства транспортные, предназначенные для технического обслуживания или ремонта железнодорожных или трамвайных путей
30.20.31.122 Тележки, вагоны и инструменты путеизмерительные
30.20.32.190 Вагоны специального назначения прочие
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t>
  </si>
  <si>
    <t>За весь период компания заключила  12 контрактов на сумму  2 423 763 811,90 ?                                     ЗА 3 ГОДА ПО 223 ФЗ заключено 9 шт. с объемом НМЦ 692 357 012,53 ?</t>
  </si>
  <si>
    <t>"223 за 3 года", ".", "fk1",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"рейтинг по нмц маркер", "поставщики маркер"</t>
  </si>
  <si>
    <t>49.20 Услуги железнодорожного транспорта по перевозке грузов
52.21.19.190 Услуги вспомогательные для железнодорожного транспорта прочие, не включенные в другие группировки</t>
  </si>
  <si>
    <t>За весь период контрактов 2 шт. на общую сумму НМЦ 2 519 708 697,41 ?</t>
  </si>
  <si>
    <t>"поставщики маркер", ".", "ушедшие", "все клиенты с выручкой от 1,8 млрд до бесконечности", "рейтинг по нмц маркер", "это заказчик"</t>
  </si>
  <si>
    <t>19.20.21.341 Топливо дизельное межсезонное вне классов
19.20.29.119 Масла моторные прочие, не включенные в другие группировки
19.20.21.124 Бензин автомобильный с октановым числом более 92, но не более 95 по исследовательскому методу экологического класса К4
52.10.12.110 Услуги по хранению и складированию нефти и продуктов ее переработки
19.20.21.321 Топливо дизельное зимнее вне классов
19.20.21 Топливо моторное, включая автомобильный и авиационный бензин
19.20.21.100 Бензин автомобильный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19.20.21.134 Бензин автомобильный с октановым числом более 95, но не более 98 по исследовательскому методу экологического класса К4 ****</t>
  </si>
  <si>
    <t>"223 за 3 года", "свод фт", ".", "рейтинг поставщиков в маркере по бг", "fk1", "лимит сит по кредитам", "производители", "рейтинг по нмц маркер", "на фт заводил Шаклейн", "crm управления", "в crm за Шаклейном ", "поставщики маркер", "44 за 3 года"</t>
  </si>
  <si>
    <t>21.20.10.213 Иммуномодуляторы
68.20.12.000 Услуги по сдаче в аренду (внаем) собственных или арендованных нежилых помещений
21.20.1 Препараты лекарственные</t>
  </si>
  <si>
    <t>52.29.19.110 Услуги по экспедированию грузов
50.20.14.120 Услуги по каботажным перевозкам контейнерных грузов судами-контейнеровозами
52.2 Услуги транспортные вспомогательные
52.22.19.191 Услуги, связанные с морским транспортом, прочие
50.20.22.110 Услуги буксировочные, оказываемые судами заграничного и каботажного плавания
50.40.19.900 Услуги по перевозке внутренним водным транспортом прочих грузов, не включенные в другие группировки
50.40.14.000 Услуги по перевозке контейнерных грузов внутренним водным транспортом с помощью судов-контейнеровозов
52.29.20.000 Услуги транспортные вспомогательные прочие, не включенные в другие группировки
50.20.19.120 Услуги по каботажным перевозкам морскими судами прочих грузов
49.41 Услуги по грузовым перевозкам автомобильным транспортом ****</t>
  </si>
  <si>
    <t>За весь период компания заключила  7 контрактов на сумму  2 136 693 329,71 ? За весь период заходили в конкурсы  8 раз на общую сумму обеспеченных контрактов с НМЦ 312 855 143,35 ? с БГУ  84 945 329,85 ? с БГИ 169 890 659,68 ?</t>
  </si>
  <si>
    <t>"223 за 3 года", ".", "рейтинг поставщиков в маркере по бг", "fk1", "корп 2", "06.2022_ФинХД", "все клиенты с выручкой от 1,8 млрд до бесконечности", "ФК клиенты с выручкой от 230 до бесконечности", "рейтинг по нмц маркер", "поставщики маркер", "44 за 3 года"</t>
  </si>
  <si>
    <t>43.99.90.190 Работы строительные специализированные прочие, не включенные в другие группировки
71.11.22 Услуги в области архитектуры, связанные с проектами строительства нежилых зданий и сооружений
71.12.19.100 Услуги по инженерно-техническому проектированию прочих объектов, кроме объектов культурного наследия
71.12.17 Услуги по инженерно-техническому проектированию производственных процессов и производств</t>
  </si>
  <si>
    <t>За весь период заходили в конкурсы  1 раз на общую сумму обеспеченных контрактов с НМЦ 281 620 000,00 ? с БГУ  15 473 596,33 ? с БГИ 61 894 385,33 ?</t>
  </si>
  <si>
    <t>Юридическим лицом принято решение об изменении места нахождения от 12.11.2019</t>
  </si>
  <si>
    <t>21.20.10.191 Препараты антибактериальные для системного использования
21.20.10.132 Гемостатики
21.20.10.194 Препараты противовирусные для системного применения
21.20.10.239 Препараты для лечения заболеваний нервной системы прочие
21.20.10.113 Препараты для лечения функциональных расстройств желудочно-кишечного тракта
21.20.10.121 Добавки минеральные
21.20.10.134 Растворы плазмозамещающие и перфузионные
21.20.10.141 Препараты для лечения заболеваний сердца
21.2 Препараты лекарственные и материалы, применяемые в медицинских целях
21.20.10.115 Препараты слабительные</t>
  </si>
  <si>
    <t>ПОС на 03.04.4863</t>
  </si>
  <si>
    <t>"44 за 3 года", ".", "fk1", "ПОС на 01.02.2023", "ПОС на 03.04.2023", "Кредитный портфель_01.11", "06.2022_ФинХД", "все клиенты с выручкой от 1,8 млрд до бесконечности", "Обороты по клиентам по кварталам (2022г)", "поставщики маркер"</t>
  </si>
  <si>
    <t>20.14.75 Спирт этиловый и прочие денатурированные спирты любой концентрации (крепости)
20.14.74.000 Спирт этиловый неденатурированный с объемной долей спирта не менее 80 %
11.01.10.730 Фармацевтическая субстанция спирта этилового (этанол)</t>
  </si>
  <si>
    <t>"поставщики маркер", ".", "fk1", "инн Красносельская", "клиенты с в от100млн 09.21", "ФК клиенты с выручкой от 230 до бесконечности"</t>
  </si>
  <si>
    <t>21.20.10.133 Препараты антианемические
21.20.10.191 Препараты антибактериальные для системного использования
21.20.10.116 Препараты противодиарейные, кишечные противовоспалительные и противомикробные
21.20.10.132 Гемостатики
21.20.10.143 Диуретики
47.7 Услуги по розничной торговле прочими товарами в специализированных магазинах
21.20.10.119 Препараты для лечения сахарного диабета
21.20 Препараты лекарственные и материалы, применяемые в медицинских целях
21.20.10.131 Антикоагулянты
21.20.10.148 Препараты, влияющие на систему ренин-ангиотензин ****</t>
  </si>
  <si>
    <t>21.20 Препараты лекарственные и материалы, применяемые в медицинских целях</t>
  </si>
  <si>
    <t>За весь период компания заключила  1 контрактов на сумму  1 500 000 000,00 ?                                     ЗА 3 ГОДА ПО 223 ФЗ заключено 2 шт. с объемом НМЦ 3 000 000 000,00 ? за 1 ГОД ПО 223ФЗ заключено 1  1 500 000 000,00 ?</t>
  </si>
  <si>
    <t>22.29 Изделия пластмассовые прочие
13.99 Изделия текстильные прочие, не включенные в другие группировки
21 Средства лекарственные и материалы, применяемые в медицинских целях
21.20.10.133 Препараты антианемические
21.20.10.191 Препараты антибактериальные для системного использования
21.20.10.241 Препараты противопротозойные
14.31 Изделия чулочно-носочные трикотажные или вязаные
21.20.2 Препараты лекарственные прочие и материалы, применяемые в медицинских целях
32.50.42 Очки для коррекции зрения, защитные или прочие очки или аналогичные оптические приборы
13.99.19.111 Вата медицинская гигроскопическая ****</t>
  </si>
  <si>
    <t>За весь период компания заключила  4 контрактов на сумму  4 874 987 972,00 ?</t>
  </si>
  <si>
    <t>"44 за 3 года", ".", "ГРАНДИОЗНЫЙ ПРОЕКТ 223", "рейтинг по нмц маркер", "поставщики маркер"</t>
  </si>
  <si>
    <t>21.20.10.191 Препараты антибактериальные для системного использования
21.20.10.213 Иммуномодуляторы
21.20.10 Препараты лекарственные
21.20.10.234 Препараты противопаркинсонические
21.20.10.131 Антикоагулянты
17.22.12 Полотенца санитарно-гигиенические и тампоны, подгузники и пеленки детские и аналогичные изделия санитарно-гигиенического назначения и предметы и аксессуары одежды из бумажной массы, бумаги, целлюлозной ваты и полотна из целлюлозных волокон
21.20.10.141 Препараты для лечения заболеваний сердца
21.20.10.145 Ангиопротекторы
21.20.10.235 Препараты психотропные</t>
  </si>
  <si>
    <t>За 3 года по 223ФЗ заключено  1 шт контрактов на сумму 72 873 000,00 ?</t>
  </si>
  <si>
    <t>21.20.10 Препараты лекарственные
10.89.19 Продукты пищевые прочие, не включенные в другие группировки
10.89.19.210 Добавки биологически активные к пище
20.42 Средства парфюмерные и косметические
21.20.10.211 Препараты противоопухолевые</t>
  </si>
  <si>
    <t>За весь период компания заключила  8 контрактов на сумму  25 009 025 315,75 ?                                     ЗА 3 ГОДА ПО 223 ФЗ заключено 135 шт. с объемом НМЦ 1 593 524 288,87 ? за 1 ГОД ПО 223ФЗ заключено 14  142 209 477,91 ?</t>
  </si>
  <si>
    <t>20.42.15.142 Кремы для ног
20.42.16.110 Шампуни
20.20.14.000 Средства дезинфекционные
21 Средства лекарственные и материалы, применяемые в медицинских целях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t>
  </si>
  <si>
    <t>За весь период компания заключила  2 контрактов на сумму  1 225 602 775,52 ?</t>
  </si>
  <si>
    <t>21.20.10.133 Препараты антианемические
21.20.10.116 Препараты противодиарейные, кишечные противовоспалительные и противомикробные
21.20.10.143 Диуретики
21.20.10.194 Препараты противовирусные для системного применения
21.20.10.139 Препараты гематологические прочие
21.20.10.221 Препараты противовоспалительные и противоревматические
21.20.10.232 Анальгетики
21.20.10.113 Препараты для лечения функциональных расстройств желудочно-кишечного тракта
21.20.10.156 Препараты антибактериальные и противомикробные для лечения заболеваний кожи
21.10.51.126 Кислота аскорбиновая, включая комбинации с другими препаратами ****</t>
  </si>
  <si>
    <t>21.20.2 Препараты лекарственные прочие и материалы, применяемые в медицинских целях
21.20.10 Препараты лекарственные
10.89.19 Продукты пищевые прочие, не включенные в другие группировки
21.20 Препараты лекарственные и материалы, применяемые в медицинских целях
10.86 Продукция детского питания и диетическая
10.89.19.210 Добавки биологически активные к пище
17.22 Изделия хозяйственные и санитарно-гигиенические и туалетные принадлежности
46.46 Услуги по оптовой торговле фармацевтической продукцией
32.50 Инструменты и оборудование медицинские
20.42 Средства парфюмерные и косметические</t>
  </si>
  <si>
    <t>За весь период компания заключила  4 контрактов на сумму  500 000 000,00 ?                                     ЗА 3 ГОДА ПО 223 ФЗ заключено 1 шт. с объемом НМЦ 1 000 000 000,00 ?</t>
  </si>
  <si>
    <t>21 Средства лекарственные и материалы, применяемые в медицинских целях
21.20.10.133 Препараты антианемические
21.20.10.191 Препараты антибактериальные для системного использования
21.20.10.213 Иммуномодуляторы
21.20.10 Препараты лекарственные
21.20.10.132 Гемостатики
47.73.10.000 Услуги по розничной торговле лекарственными средствами в специализированных магазинах
21.20.10.221 Препараты противовоспалительные и противоревматические
21.20.10.231 Анестетики
21.20.10.232 Анальгетики ****</t>
  </si>
  <si>
    <t>ЗА 3 ГОДА ПО 223 ФЗ заключено 14 шт. с объемом НМЦ 191 440 107,12 ? за 1 ГОД ПО 223ФЗ заключено 5  101 798 335,65 ?</t>
  </si>
  <si>
    <t>21.20.10.191 Препараты антибактериальные для системного использования
21.20.10.116 Препараты противодиарейные, кишечные противовоспалительные и противомикробные
21.20.10.174 Препараты для лечения урологических заболеваний
21.20.10.194 Препараты противовирусные для системного применения
22.19 Изделия из резины прочие
21.20.10.231 Анестетики
32.91 Метлы и щетки
21.10 Субстанции фармацевтические
21.20 Препараты лекарственные и материалы, применяемые в медицинских целях
21.20.10.113 Препараты для лечения функциональных расстройств желудочно-кишечного тракта ****</t>
  </si>
  <si>
    <t>За весь период компания заключила  7 контрактов на сумму  12 250 000 000,01 ?</t>
  </si>
  <si>
    <t>21.20.23.113 Средства радиофармацевтические диагностические
21.20.23.199 Средства нелечебные прочие
20.59.52.199 Реагенты сложные диагностические или лабораторные прочие, не включенные в другие группировки
20.20.14.000 Средства дезинфекционные
21 Средства лекарственные и материалы, применяемые в медицинских целях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t>
  </si>
  <si>
    <t>За весь период компания заключила  13 контрактов на сумму  878 197 343,50 ? За весь период заходили в конкурсы  18 раз на общую сумму обеспеченных контрактов с НМЦ 1 443 962 941,36 ? с БГУ  29 734 261,65 ? с БГИ 181 085 831,51 ? За 3 ГОДА по 44ФЗ заключено 4896 шт. с объемом НМЦ  4 037 805 971,46 ? с БГИ 336 698 257,30 ? с БГГО 3 737 013,57 ? с авансированием до 846 036,06 ? с комиссией банку 3 528 241,59 ? с кв 30 695,70 ? ЗА 1 ГОД по 44ФЗ заключено 1669 шт. c объемом НМЦ 2 072 153 550,19 ? с БГИ 177 903 004,65 ? с БГГО 98 116,67 ? с авансированием до  279 929,22 ? с комиссией банку  1 834 798,70 ? с кв 15 962,75 ? ЗА 3 ГОДА ПО 223 ФЗ заключено 229 шт. с объемом НМЦ 854 575 549,68 ? за 1 ГОД ПО 223ФЗ заключено 66  54 196 426,79 ?</t>
  </si>
  <si>
    <t>"223 за 3 года", ".", "рейтинг поставщиков в маркере по бг", "ПСБ Гарантии ", "ушедшие", "все клиенты с выручкой от 1,8 млрд до бесконечности", "44 фз с с БГ от 10 млн", "рейтинг по нмц маркер", "поставщики маркер", "44 за 3 года"</t>
  </si>
  <si>
    <t>За весь период компания заключила  2 контрактов на сумму  7 500 000 000,00 ?</t>
  </si>
  <si>
    <t>73.12.1 Услуги по продаже места для рекламы за вознаграждение или на договорной основе
93.19.19.000 Услуги в области спорта и отдыха прочие
93.19.1 Услуги в области спорта прочие</t>
  </si>
  <si>
    <t>За весь период контрактов 1 шт. на общую сумму НМЦ 4 205 233 750,00 ?</t>
  </si>
  <si>
    <t>За 3 года по 223ФЗ заключено  1 шт контрактов на сумму 60 800 000,00 ?</t>
  </si>
  <si>
    <t>21.20.22.000 Средства химические контрацептивные на основе гормонов или сперматоцидов
21.20.23.110 Реагенты диагностические
21.20.23.199 Средства нелечебные прочие
20.59.52.199 Реагенты сложные диагностические или лабораторные прочие, не включенные в другие группировки
21 Средства лекарственные и материалы, применяемые в медицинских целях
21.10.54.190 Антибиотики и их производные прочие
21.10.60.194 Культуры микроорганизмов (кроме дрожжей)
21.20.10.118 Препараты, способствующие пищеварению, включая ферментные препараты
21.20.10.133 Препараты антианемические
21.20.10.155 Препараты для лечения псориаза ****</t>
  </si>
  <si>
    <t>За весь период компания заключила  13 контрактов на сумму  3 495 092 252,86 ? За весь период заходили в конкурсы  12 раз на общую сумму обеспеченных контрактов с НМЦ 884 730 329,78 ? с БГУ  9 832 660,49 ? с БГИ 98 326 605,05 ? За 3 ГОДА по 44ФЗ заключено 1990 шт. с объемом НМЦ  2 179 437 891,94 ? с БГИ 176 918 479,89 ? с БГГО 1 005 807,26 ? с авансированием до 2 465 585,39 ? с комиссией банку 1 850 743,87 ? с кв 16 101,47 ? ЗА 1 ГОД по 44ФЗ заключено 1008 шт. c объемом НМЦ 759 782 315,56 ? с БГИ 60 541 141,89 ? с БГГО 239 766,38 ? с авансированием до  2 414 502,67 ? с комиссией банку  846 387,53 ? с кв 7 363,57 ? ЗА 3 ГОДА ПО 223 ФЗ заключено 45 шт. с объемом НМЦ 5 053 540 740,69 ? за 1 ГОД ПО 223ФЗ заключено 16  16 268 756,12 ?</t>
  </si>
  <si>
    <t>"223 за 3 года", ".", "рейтинг поставщиков в маркере по бг", "fk1",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 "поставщики маркер", "44 за 3 года"</t>
  </si>
  <si>
    <t>68.20.12.000 Услуги по сдаче в аренду (внаем) собственных или арендованных нежилых помещений
93.11.10.000 Услуги спортивных объектов</t>
  </si>
  <si>
    <t>"crm Пител", ".", "портфель 31.10.2021_10 тыс_проверка",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"crm управления"</t>
  </si>
  <si>
    <t>33.15 Услуги по ремонту и техническому обслуживанию судов и лодок
46.71 Услуги по оптовой торговле твердым, жидким и газообразным топливом и связанными продуктами
50.2 Услуги по заграничным и каботажным перевозкам грузов морскими судами
19.20.21.400 Топливо судовое
46.12.11 Услуги по оптовой торговле твердым, жидким и газообразным топливом и связанными продуктами за вознаграждение или на договорной основе
38.1 Отходы; услуги по сбору отходов</t>
  </si>
  <si>
    <t>За весь период компания заключила  3 контрактов на сумму  41 131 774 195,67 ?</t>
  </si>
  <si>
    <t>1 233</t>
  </si>
  <si>
    <t>За весь период контрактов 2 шт. на общую сумму НМЦ 740 000 000,00 ?</t>
  </si>
  <si>
    <t>24.20.12 Трубы обсадные, насосно-компрессорные трубы и бурильные трубы, используемые для бурения нефтяных или газовых скважин, бесшовные стальные
24.20.13 Трубы круглого сечения прочие стальные
19.20.21 Топливо моторное, включая автомобильный и авиационный бензин
19.20.21.100 Бензин автомобильный
19.20.21.310 Топливо дизельное летнее
24.2 Трубы, профили пустотелые и их фитинги стальные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19.20.21.340 Топливо дизельное межсезонное
25.99 Металлоизделия готовые прочие, не включенные в другие группировки ****</t>
  </si>
  <si>
    <t>"223 за 3 года", "свод фт", ".", "кредиты фт", "Пункт 3.1 09.01.2023", "лимит сит по кредитам", "все клиенты с выручкой от 1,8 млрд до бесконечности", "Участники клиринга", "производители", "рейтинг по нмц маркер", "на фт заводил Микульшин", "поставщики маркер", "44 за 3 года"</t>
  </si>
  <si>
    <t>3 329</t>
  </si>
  <si>
    <t>20.20.15.000 Фунгициды
20.20.19.000 Пестициды прочие и агрохимические продукты прочие
20.20.11.000 Инсектициды
21.20.10.243 Препараты для уничтожения эктопаразитов (включая чесоточного клеща), инсектициды и репелленты
20.20.12.000 Гербициды
20.20.1 Пестициды и агрохимические продукты прочие
20.41.20.190 Вещества поверхностно-активные прочие</t>
  </si>
  <si>
    <t>"223 за 3 года", ".", "fk1", "ПОС на 01.02.2023", "все клиенты с выручкой от 1,8 млрд до бесконечности", "Обороты по клиентам по кварталам (2022г)", "Участники клиринга", "производители", "рейтинг по нмц маркер"</t>
  </si>
  <si>
    <t>29.1 Средства автотранспортные
29.10.4 Средства автотранспортные грузовые
28.92.12 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
33.17 Услуги по ремонту и техническому обслуживанию прочих транспортных средств и оборудования
45.20.2 Услуги по техническому обслуживанию и ремонту прочих автотранспортных средств
45.20.21.211 Услуги по замене агрегатов
28.22.18.310 Машины погрузочные и разгрузочные
28.92.25 Погрузчики фронтальные одноковшовые самоходные
28.92.26.120 Погрузчики полноповоротные ковшовые, кроме фронтальных одноковшовых погрузчиков
45.20.22.000 Услуги по ремонту электрооборудования прочих автотранспортных средств ****</t>
  </si>
  <si>
    <t>За весь период компания заключила  11 контрактов на сумму  3 049 217 456,98 ?                                     ЗА 3 ГОДА ПО 223 ФЗ заключено 17 шт. с объемом НМЦ 195 193 030,48 ? за 1 ГОД ПО 223ФЗ заключено 8  40 047 381,17 ?</t>
  </si>
  <si>
    <t>"223 за 3 года", ".", "клиенты с в от100млн 09.21", "все клиенты с выручкой от 1,8 млрд до бесконечности", "производители", "рейтинг по нмц маркер", "это заказчик", "поставщики маркер"</t>
  </si>
  <si>
    <t>Отклонена банком
Распределена в Банк</t>
  </si>
  <si>
    <t>"в crm за Егоровым ", "свод фт", ".", "все клиенты с выручкой от 1,8 млрд до бесконечности", "на фт заводил Егоров ", "на фт заводил Бесков", "crm управления"</t>
  </si>
  <si>
    <t>43.1 Работы по сносу зданий и сооружений и по подготовке строительного участка</t>
  </si>
  <si>
    <t>За весь период контрактов 6 шт. на общую сумму НМЦ 13 176 175 994,81 ?</t>
  </si>
  <si>
    <t>За весь период заходили в конкурсы  3 раз на общую сумму обеспеченных контрактов с НМЦ 203 483 353,59 ? с БГУ  10 258 117,52 ? с БГИ 40 000 000,00 ?</t>
  </si>
  <si>
    <t>"поставщики маркер", "свод фт", ".", "рейтинг поставщиков в маркере по бг", "fk1", "просрочка на 01.01.2023 г.", "Запрос в ЮД_просрочка на 01.01.2023",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"на фт заводил Бесков"</t>
  </si>
  <si>
    <t>77.1 Услуги по аренде и лизингу автотранспортных средств
77.11 Услуги по аренде и лизингу легковых автомобилей и легких автотранспортных средств</t>
  </si>
  <si>
    <t>27.32.13 Проводники электрические прочие на напряжение не более 1 кВ
27.32.1 Провода и кабели электронные и электрические прочие
27 Оборудование электрическое</t>
  </si>
  <si>
    <t>ЗА 3 ГОДА ПО 223 ФЗ заключено 1 шт. с объемом НМЦ 54 013 882,80 ?</t>
  </si>
  <si>
    <t>1 090</t>
  </si>
  <si>
    <t>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43.99.90.190 Работы строительные специализированные прочие, не включенные в другие группировки
35.12.10.120 Услуги по технологическому присоединению к распределительным электросетям
27.90.40.190 Оборудование электрическое прочее, не включенное в другие группировки
42.12 Дороги железные наземные и подземные; строительные работы по строительству наземных и подземных железных дорог
42.12.10.110 Полотно железнодорожное для железных дорог
43.21.10.290 Работы электромонтажные прочие, не включенные в другие группировки
43.29.19.190 Работы монтажные прочие, не включенные в другие группировки
42.22.22 Работы строительные по прокладке местных линий электропередачи и связи</t>
  </si>
  <si>
    <t>За весь период компания заключила  23 контрактов на сумму  8 481 274 091,56 ? За весь период заходили в конкурсы  5 раз на общую сумму обеспеченных контрактов с НМЦ 1 088 785 569,82 ? с БГУ  57 978 117,14 ? с БГИ 304 232 951,18 ?                             ЗА 3 ГОДА ПО 223 ФЗ заключено 6 шт. с объемом НМЦ 2 806 333 423,40 ? за 1 ГОД ПО 223ФЗ заключено 1  226 730 420,40 ?</t>
  </si>
  <si>
    <t>"223 за 3 года", ".", "рейтинг поставщиков в маркере по бг", "Конкурсы 100+ (Восстановленный)", "все клиенты с выручкой от 1,8 млрд до бесконечности", "223 фз контракты 20+", "производители", "рейтинг по нмц маркер"</t>
  </si>
  <si>
    <t>За весь период компания заключила  18 контрактов на сумму  48 274 875 732,83 ? За весь период заходили в конкурсы  27 раз на общую сумму обеспеченных контрактов с НМЦ 49 439 037 722,43 ? с БГУ  1 859 165 315,01 ? с БГИ 4 051 560 247,84 ? За 3 ГОДА по 44ФЗ заключено 14 шт. с объемом НМЦ  30 689 488 549,00 ? с БГИ 3 376 182 533,45 ? с БГГО 190 268 356,84 ? с авансированием до 19 950 886 145,50 ? с комиссией банку 105 208 104,87 ? с кв 915 310,51 ? ЗА 1 ГОД по 44ФЗ заключено 9 шт. c объемом НМЦ 26 089 848 521,00 ? с БГИ 2 720 486 749,10 ? с БГГО 184 374 357,84 ? с авансированием до  18 987 912 640,00 ? с комиссией банку  97 641 947,15 ? с кв 849 484,94 ?</t>
  </si>
  <si>
    <t>"44 за 3 года", "кл фт агент ВКЛ/РКО 04.22", "кл фт агент бг 04.22", "свод фт", ".", "рейтинг поставщиков в маркере по бг", "Рассрочка КВ Март 2023", "гарантии, остаток на внебалансе равен нулю", "Конкурсы 100+ (Восстановленный)", "fk1", "Гарантии ФБ банкроты", "Банкроты ФБ 28.04.2023", "Ссуды ФБ 29.04.2022 банкр.", "АИЛ портфель", "Пункт 3 09.01.23", "Действующий клиент мсб с выр от 30 млн на 05.21", "все клиенты с выручкой от 1,8 млрд до бесконечности", "филиал бизнес 01.03.22", "филиал бизнес 22.11", "ФК клиенты с выручкой от 230 до бесконечности", "клиенты от 100 млн", "действующие б не прям", "ФТ клиенты с продуктами по сотрудникам", "БизФин", "44 фз с с БГ от 10 млн", "рейтинг по нмц маркер", "на фт заводил Пейсахова", "поставщики маркер"</t>
  </si>
  <si>
    <t>29.10.59.280 Средства транспортные - фургоны для перевозки пищевых продуктов
29.10.59.390 Средства автотранспортные специального назначения прочие, не включенные в другие группировки
29.10.22.000 Средства транспортные с двигателем с искровым зажиганием, с рабочим объемом цилиндров более 1500 см3, новые</t>
  </si>
  <si>
    <t>За весь период заходили в конкурсы  3 раз на общую сумму обеспеченных контрактов с НМЦ 109 948 845,73 ? с БГУ  23 303 616,64 ? с БГИ 83 144 041,60 ?</t>
  </si>
  <si>
    <t>"поставщики маркер", ".", "рейтинг поставщиков в маркере по бг", "fk1", "ПОС на 01.02.2023", "ПОС на 03.04.2023", "Кредитный портфель_01.11", "корп 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"рейтинг по нмц маркер"</t>
  </si>
  <si>
    <t>29.10.2 Автомобили легковые
29.10.24.000 Средства автотранспортные для перевозки людей прочие
29.10.21.000 Средства транспортные с двигателем с искровым зажиганием, с рабочим объемом цилиндров не более 1500 см3, новые
29.10.22.000 Средства транспортные с двигателем с искровым зажиганием, с рабочим объемом цилиндров более 1500 см3, новые</t>
  </si>
  <si>
    <t>"223 за 3 года", "кл фт прямые бг 04.22", "свод фт", ".", "портфель 51", "fk1", "ПОС на 01.02.2023", "ПОС на 03.04.2023", "Кредитный портфель_01.11", "БГ ФБ ЮР лица на 01.07.2021", "корп 1", "Гарантии ФБ банкроты", "филиал бизнес 31.01.22 ",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"ФТ клиенты с продуктами по сотрудникам", "на фт заводил Уткин", "поставщики маркер", "44 за 3 года"</t>
  </si>
  <si>
    <t>17.22.11.130 Салфетки и полотенца гигиенические или косметические из бумажной массы, бумаги, целлюлозной ваты и полотна из целлюлозных волокон
10.61.32.111 Крупа овсяная
10.73.11.140 Изделия макаронные фигурные
10.84.12.180 Хрен готовый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10.72.12.120 Печенье сладкое
10.83.13.120 Чай черный (ферментированный) в упаковках массой не более 3 кг
10.61.31.111 Крупа манная
10.39.21.120 Ягоды свежие или предварительно подвергнутые тепловой обработке, замороженные ****</t>
  </si>
  <si>
    <t>Юридическое лицо находится в процессе реорганизации в форме присоединения к нему других юридических лиц от 11.10.2022, Сообщения о принятии решения о реорганизации от 28.09.2022</t>
  </si>
  <si>
    <t>1 226</t>
  </si>
  <si>
    <t>22.11.11.000 Шины и покрышки пневматические для легковых автомобилей новые
20.59.43.120 Антифризы
22.11.14.199 Шины пневматические прочие, не включенные в другие группировки
19.20.29.140 Масла индустриальные
45.32.12.000 Услуги по розничной торговле прочими автомобильными деталями, узлами и принадлежностями в специализированных магазинах
19.20.29.111 Масла универсальные
29.32.30.220 Колеса, ступицы и их детали
22.11.1 Шины, покрышки и камеры резиновые новые
22.11.12.110 Шины пневматические для мотоциклов, мотоколясок, мотороллеров, мопедов и квадрициклов
20.59.43.130 Антиобледенители ****</t>
  </si>
  <si>
    <t>81.29.12.000 Услуги по подметанию и уборке снега
81.30.10.000 Услуги по планировке ландшафта
41.20.40.900 Работы строительные по возведению нежилых зданий и сооружений прочие, не включенные в другие группировки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</si>
  <si>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За весь период компания заключила  4 контрактов на сумму  2 549 770 292,07 ? За весь период заходили в конкурсы  6 раз на общую сумму обеспеченных контрактов с НМЦ 2 864 740 152,07 ? с БГУ  144 692 030,88 ? с БГИ 751 426 422,34 ? За 3 ГОДА по 44ФЗ заключено 5 шт. с объемом НМЦ  2 202 541 856,70 ? с БГИ 544 036 794,00 ? с БГГО 30 311 314,10 ? с авансированием до 208 282 470,38 ? с комиссией банку 16 078 772,95 ? с кв 139 885,32 ? ЗА 1 ГОД по 44ФЗ заключено 3 шт. c объемом НМЦ 522 117 250,00 ? с БГИ 125 138 189,00 ? с БГГО 13 507 068,10 ? с авансированием до  37 824 916,38 ? с комиссией банку  3 138 284,43 ? с кв 27 303,07 ? ЗА 3 ГОДА ПО 223 ФЗ заключено 1 шт. с объемом НМЦ 49 983 530,00 ?</t>
  </si>
  <si>
    <t>"223 за 3 года", "свод фт", ".", "рейтинг поставщиков в маркере по бг", "Агентские отказ из-за непред-я док-ов", "все клиенты с выручкой от 1,8 млрд до бесконечности", "44 фз с с БГ от 10 млн", "рейтинг по нмц маркер", "на фт заводил Бесков", "поставщики маркер", "44 за 3 года"</t>
  </si>
  <si>
    <t>62.03 Услуги по управлению компьютерным оборудованием
58.29.50 Услуги по предоставлению лицензий на право использовать компьютерное программное обеспечение
58.29.29.000 Обеспечение программное прикладное прочее на электронном носителе
62.01 Продукты программные и услуги по разработке и тестированию программного обеспечения
62.02.30 Услуги по технической поддержке информационных технологий
26.20.30.000 Устройства автоматической обработки данных прочие
58.29.12.000 Обеспечение программное сетевое на электронном носителе
62.02.20.130 Услуги по обучению пользователей
62.09.20.190 Услуги по технической поддержке в области информационных технологий прочие, не включенные в другие группировки
62.0 Продукты программные и услуги по разработке программного обеспечения; консультационные и аналогичные услуги в области информационных технологий ****</t>
  </si>
  <si>
    <t>За весь период компания заключила  73 контрактов на сумму  23 445 879 762,38 ? За весь период заходили в конкурсы  167 раз на общую сумму обеспеченных контрактов с НМЦ 37 064 439 905,38 ? с БГУ  1 751 794 070,42 ? с БГИ 7 922 953 100,89 ? За 3 ГОДА по 44ФЗ заключено 67 шт. с объемом НМЦ  10 220 027 379,33 ? с БГИ 1 969 219 232,50 ? с БГГО 148 596 072,90 ? с авансированием до 0,00 ? с комиссией банку 40 193 732,82 ? с кв 349 685,48 ? ЗА 1 ГОД по 44ФЗ заключено 19 шт. c объемом НМЦ 4 997 005 018,66 ? с БГИ 907 327 665,09 ? с БГГО 66 587 846,12 ? с авансированием до  0,00 ? с комиссией банку  25 172 938,91 ? с кв 219 004,57 ? ЗА 3 ГОДА ПО 223 ФЗ заключено 11 шт. с объемом НМЦ 67 947 555,86 ? за 1 ГОД ПО 223ФЗ заключено 8  582 691 522,94 ?</t>
  </si>
  <si>
    <t>"223 за 3 года", ".", "рейтинг поставщиков в маркере по бг", "База Восточный (Мелкумов)", "Конкурсы 100+ (Восстановленный)", "fk1", "ПОС на 01.02.2023", "ПОС на 03.04.2023", "ушедшие", "06.2022_ФинХД", "все клиенты с выручкой от 1,8 млрд до бесконечности", "Обороты по клиентам по кварталам (2022г)", "223 фз контракты 20+", "44 фз с с БГ от 10 млн", "рейтинг по нмц маркер", "поставщики маркер", "44 за 3 года"</t>
  </si>
  <si>
    <t>"Обороты по клиентам по кварталам (2022г)", ".", "п6", "fk1", "все клиенты с выручкой от 1,8 млрд до бесконечности"</t>
  </si>
  <si>
    <t>21.20.21.125 Вакцины вирусные инактивированные, применяемые в медицине
21.2 Препараты лекарственные и материалы, применяемые в медицинских целях</t>
  </si>
  <si>
    <t>За весь период компания заключила  3 контрактов на сумму  4 797 832 569,60 ? За весь период заходили в конкурсы  1 раз на общую сумму обеспеченных контрактов с НМЦ 175 000 000,00 ? с БГУ  0,00 ? с БГИ 52 500 000,00 ?</t>
  </si>
  <si>
    <t>"223 за 3 года", ".", "рейтинг поставщиков в маркере по бг", "рейтинг заказчиков маркер", "производители", "рейтинг по нмц маркер", "это заказчик", "поставщики маркер"</t>
  </si>
  <si>
    <t>22.22.14.000 Бутыли, бутылки, флаконы и аналогичные изделия из пластмасс
22.29 Изделия пластмассовые прочие
20.42.1 Средства парфюмерные и косметические
20.42.15.142 Кремы для ног
20.42.16.110 Шампуни
21.20.23.199 Средства нелечебные прочие
20.59.52.199 Реагенты сложные диагностические или лабораторные прочие, не включенные в другие группировки
22.19.71.190 Изделия из резины, кроме твердой резины (эбонита), гигиенические или фармацевтические прочие
25.71.12.120 Лезвия для бритв
13.99 Изделия текстильные прочие, не включенные в другие группировки ****</t>
  </si>
  <si>
    <t>За весь период компания заключила  191 контрактов на сумму  89 947 477 213,26 ? За весь период заходили в конкурсы  34 раз на общую сумму обеспеченных контрактов с НМЦ 15 976 696 943,98 ? с БГУ  1 119 254 735,47 ? с БГИ 3 196 228 216,05 ? За 3 ГОДА по 44ФЗ заключено 15 шт. с объемом НМЦ  1 936 943 582,90 ? с БГИ 193 694 358,30 ? с БГГО 0,00 ? с авансированием до 0,00 ? с комиссией банку 7 820 664,02 ? с кв 68 039,78 ? ЗА 1 ГОД по 44ФЗ заключено 6 шт. c объемом НМЦ 1 010 246 813,75 ? с БГИ 101 024 681,38 ? с БГГО 0,00 ? с авансированием до  0,00 ? с комиссией банку  3 040 968,73 ? с кв 26 456,43 ? ЗА 3 ГОДА ПО 223 ФЗ заключено 675 шт. с объемом НМЦ 13 413 678 864,36 ? за 1 ГОД ПО 223ФЗ заключено 298  6 485 037 828,40 ?</t>
  </si>
  <si>
    <t>"223 за 3 года", ".", "рейтинг поставщиков в маркере по бг", "ГРАНДИОЗНЫЙ ПРОЕКТ 223", "беники", "Конкурсы 100+ (Восстановленный)", "fk1", "все клиенты с выручкой от 1,8 млрд до бесконечности", "223 фз контракты 20+", "44 фз с с БГ от 10 млн", "рейтинг по нмц маркер", "это заказчик", "crm управления", "в crm за Эльшаном", "поставщики маркер", "44 за 3 года"</t>
  </si>
  <si>
    <t>"06.2022_ФинХД", ".", "райф"</t>
  </si>
  <si>
    <t>Сообщения о принятии решения о реорганизации от 28.06.2021</t>
  </si>
  <si>
    <t>"производители", ".", "райф", "06.2022_ФинХД", "все клиенты с выручкой от 1,8 млрд до бесконечности"</t>
  </si>
  <si>
    <t>27.52 Приборы бытовые неэлектрические</t>
  </si>
  <si>
    <t>"поставщики маркер", ".", "райф", "06.2022_ФинХД", "все клиенты с выручкой от 1,8 млрд до бесконечности"</t>
  </si>
  <si>
    <t>За весь период заходили в конкурсы  1 раз на общую сумму обеспеченных контрактов с НМЦ 376 999 920,00 ? с БГУ  19 040 400,00 ? с БГИ 38 080 800,00 ?</t>
  </si>
  <si>
    <t>68.20 Услуги по сдаче в аренду (внаем) собственного или арендованного недвижимого имущества
74.9 Услуги профессиональные, научные и технические, прочие, не включенные в другие группировки
94.1 Услуги коммерческих, предпринимательских и профессиональных организаций
62.0 Продукты программные и услуги по разработке программного обеспечения; консультационные и аналогичные услуги в области информационных технологий
68.1 Услуги по покупке и продаже собственного недвижимого имущества
35.11 Электроэнергия
35.12 Услуги по передаче электроэнергии и технологическому присоединению к распределительным электросетям</t>
  </si>
  <si>
    <t>За весь период контрактов 8 шт. на общую сумму НМЦ 9 960 429 374,22 ?</t>
  </si>
  <si>
    <t>"поставщики маркер", ".", "беники", "все клиенты с выручкой от 1,8 млрд до бесконечности", "Участники клиринга", "рейтинг заказчиков маркер", "производители", "рейтинг по нмц маркер", "это заказчик"</t>
  </si>
  <si>
    <t>ПОС на 03.04.4882</t>
  </si>
  <si>
    <t>"Обороты по клиентам по кварталам (2022г)", ".", "fk1", "корп 2", "ПОС на 03.04.2023", "Кредитный портфель_01.11", "06.2022_ФинХД", "клиенты от 100 млн"</t>
  </si>
  <si>
    <t>27.33.13.130 Арматура кабельная
25.99.2 Изделия металлические прочие
27.33 Изделия электроустановочные
27 Оборудование электрическое</t>
  </si>
  <si>
    <t>43.22.11.130 Работы водопроводные взаимосвязанные</t>
  </si>
  <si>
    <t>20.15.79.000 Удобрения минеральные или химические, содержащие два или три питательных элемента (азот, фосфор и калий), не включенные в другие группировки
20.15.31 Мочевина (карбамид)
20.15.33.000 Нитрат аммония
20.15.71 Удобрения, содержащие три питательных элемента: азот, фосфор и калий
20.15.3 Удобрения азотные минеральные или химические
20.15.51.000 Хлорид калия
20.15.41.000 Суперфосфаты
20.15 Удобрения и соединения азотные</t>
  </si>
  <si>
    <t>За весь период компания заключила  8 контрактов на сумму  8 198 896 929,00 ?                                     ЗА 3 ГОДА ПО 223 ФЗ заключено 28 шт. с объемом НМЦ 86 715 837,50 ?</t>
  </si>
  <si>
    <t>"223 за 3 года", ".", "все клиенты с выручкой от 1,8 млрд до бесконечности", "Участники клиринга", "производители", "рейтинг по нмц маркер", "это заказчик"</t>
  </si>
  <si>
    <t>20.15.39 Удобрения азотные и смеси прочие</t>
  </si>
  <si>
    <t>20.15.39.000 Удобрения азотные и смеси прочие
20.15.59.000 Удобрения калийные прочие
20.15.32.000 Сульфат аммония
20.15.33.000 Нитрат аммония
20.15.71 Удобрения, содержащие три питательных элемента: азот, фосфор и калий
20.15.3 Удобрения азотные минеральные или химические
20.15.20.120 Нитриты
20.15.74.000 Удобрения, содержащие два питательных элемента: азот и фосфор
20.15 Удобрения и соединения азотные</t>
  </si>
  <si>
    <t>Сообщения о принятии решения о реорганизации от 27.02.2014</t>
  </si>
  <si>
    <t>20.15.39.000 Удобрения азотные и смеси прочие
20.15.33.000 Нитрат аммония</t>
  </si>
  <si>
    <t>20.15.59 Удобрения калийные прочие
10.91 Корма готовые для сельскохозяйственных животных
20.15.31.000 Мочевина (карбамид)
46.75.1 Услуги по оптовой торговле химическими продуктами
20.15.39 Удобрения азотные и смеси прочие
20.15.71 Удобрения, содержащие три питательных элемента: азот, фосфор и калий
20.15.74 Удобрения, содержащие два питательных элемента: азот и фосфор
20.13.42.110 Фосфинаты (гипофосфиты)
20.15 Удобрения и соединения азотные
10.91.10.230 Концентраты и смеси кормовые</t>
  </si>
  <si>
    <t>ЗА 3 ГОДА ПО 223 ФЗ заключено 20 шт. с объемом НМЦ 160 002 010,00 ? за 1 ГОД ПО 223ФЗ заключено 3  41 796 000,00 ?</t>
  </si>
  <si>
    <t>46.75.11.000 Услуги по оптовой торговле удобрениями и агрохимикатами
20.15.33.000 Нитрат аммония
20.15.71.000 Удобрения, содержащие три питательных элемента: азот, фосфор и калий
20.15 Удобрения и соединения азотные
20 Вещества химические и продукты химические</t>
  </si>
  <si>
    <t>ЗА 3 ГОДА ПО 223 ФЗ заключено 6 шт. с объемом НМЦ 25 620 093,20 ? за 1 ГОД ПО 223ФЗ заключено 3  12 108 453,00 ?</t>
  </si>
  <si>
    <t>19.20.2 Топливо жидкое и газообразное; масла смазочные
24.42.24.120 Полосы и ленты алюминиевые толщиной более 0,2 мм
19.20.29.190 Масла нефтяные смазочные прочие, не включенные в другие группировки</t>
  </si>
  <si>
    <t>Кредитный портфель_01.3334</t>
  </si>
  <si>
    <t>Сообщения о принятии решения о реорганизации от 09.12.2020</t>
  </si>
  <si>
    <t>"производители", ".", "fk1", "Кредитный портфель_01.11", "06.2022_ФинХД", "Обороты по клиентам по кварталам (2022г)"</t>
  </si>
  <si>
    <t>20.42.1 Средства парфюмерные и косметические
22.21.30.130 Полосы (ленты) пластмассовые, неармированные или не комбинированные с другими материалами
14.12.11.130 Куртки (пиджаки) и блейзеры мужские производственные и профессиональные
14.12.3 Спецодежда прочая
14.19.43.150 Уборы головные прочие, кроме головных уборов из резины или пластмасс, защитных головных уборов и головных уборов из асбеста, не включенные в другие группировки
14.14.30.110 Футболки трикотажные или вязаные
14.14.30.120 Майки и прочие нижние рубашки трикотажные или вязаные
32.99.11.113 Противогазы шланговые
32.99.11.170 Средства защиты органов слуха
15.20.32.129 Обувь специальная прочая, не включенная в другие группировки ****</t>
  </si>
  <si>
    <t>За весь период компания заключила  24 контрактов на сумму  6 897 298 649,35 ?                                     ЗА 3 ГОДА ПО 223 ФЗ заключено 24 шт. с объемом НМЦ 266 024 011,96 ? за 1 ГОД ПО 223ФЗ заключено 7  129 441 493,44 ?</t>
  </si>
  <si>
    <t>"223 за 3 года", ".", "инн Вавилова", "fk1",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"производители", "рейтинг по нмц маркер", "поставщики маркер", "44 за 3 года"</t>
  </si>
  <si>
    <t>52.21.19.111 Услуги по продаже билетов на железнодорожный транспорт
49.10.19.111 Услуги по перевозке пассажиров железнодорожным транспортом в междугородном сообщении в регулируемом секторе
49.1 Услуги железнодорожного транспорта по перевозке пассажиров в междугородном и международном сообщении
49.31.10.110 Услуги по перевозке пассажиров железнодорожным транспортом во внутригородском и пригородном сообщении в регулируемом секторе
49.31.10.120 Услуги по перевозке пассажиров железнодорожным транспортом во внутригородском и пригородном сообщении в нерегулируемом секторе
33.12.29.900 Услуги по ремонту и техническому обслуживанию прочего оборудования специального назначения, не включенные в другие группировки
52.21.19.112 Услуги по предварительному заказу билетов на железнодорожный транспорт
52.21.19.140 Услуги железнодорожной инфраструктуры
49.10.19.110 Услуги по перевозке пассажиров железнодорожным транспортом в междугородном сообщении
49.10.19.120 Услуги по перевозке пассажиров железнодорожным транспортом в международном сообщении ****</t>
  </si>
  <si>
    <t>За весь период компания заключила  62 контрактов на сумму  26 653 348 496,78 ? За весь период заходили в конкурсы  2 раз на общую сумму обеспеченных контрактов с НМЦ 481 837 749,79 ? с БГУ  2 642 068,78 ? с БГИ 409 631 031,66 ?                             ЗА 3 ГОДА ПО 223 ФЗ заключено 40 шт. с объемом НМЦ 160 793 200,99 ? за 1 ГОД ПО 223ФЗ заключено 11  29 272 375,28 ?</t>
  </si>
  <si>
    <t>"223 за 3 года", ".", "рейтинг поставщиков в маркере по бг", "Гарантии_КИБ_31.03.22_Гиб._", "fk1", "06.2022_ФинХД", "все клиенты с выручкой от 1,8 млрд до бесконечности", "ФК клиенты с выручкой от 230 до бесконечности", "клиенты от 100 млн", "223 фз контракты 20+", "рейтинг заказчиков маркер", "производители", "рейтинг по нмц маркер", "это заказчик", "поставщики маркер", "44 за 3 года"</t>
  </si>
  <si>
    <t>09.10.1 Услуги по обеспечению добычи нефти и природного газа
52.21.22.000 Услуги по эксплуатации автомагистралей
72.19.2 Услуги, связанные с научными исследованиями и экспериментальными разработками в области технических наук и в области технологий, кроме биотехнологии
09 Услуги в области добычи полезных ископаемых
09.1 Услуги по добыче нефти и природного газа</t>
  </si>
  <si>
    <t>1 763</t>
  </si>
  <si>
    <t>За весь период компания заключила  17 контрактов на сумму  5 331 014 614,43 ? За весь период заходили в конкурсы  1 раз на общую сумму обеспеченных контрактов с НМЦ 64 263 208,00 ? с БГУ  1 412 378,20 ? с БГИ 21 185 673,00 ?                             ЗА 3 ГОДА ПО 223 ФЗ заключено 1 шт. с объемом НМЦ 49 077 838,59 ?</t>
  </si>
  <si>
    <t>Сообщение кредитора о намерении обратиться в суд с заявлением о банкротстве от 12.09.2019</t>
  </si>
  <si>
    <t>"223 за 3 года", ".", "рейтинг поставщиков в маркере по бг", "все клиенты с выручкой от 1,8 млрд до бесконечности", "производители", "рейтинг по нмц маркер", "это заказчик", "crm управления", "в crm за Чимровым", "поставщики маркер"</t>
  </si>
  <si>
    <t>71.12 Услуги в области инженерно-технического проектирования и связанные технические консультативные услуги
42.21.12 Трубопроводы местные для жидкостей и газа
41.20.40.900 Работы строительные по возведению нежилых зданий и сооружений прочие, не включенные в другие группировки
71.12.20.110 Услуги заказчика-застройщика, генерального подрядчика
71.12.16 Услуги по инженерно-техническому проектированию объектов водоснабжения и канализации
42.21.21 Работы строительные по прокладке магистральных трубопроводов</t>
  </si>
  <si>
    <t>За весь период компания заключила  4 контрактов на сумму  2 039 186 965,00 ? За весь период заходили в конкурсы  8 раз на общую сумму обеспеченных контрактов с НМЦ 3 301 417 045,27 ? с БГУ  151 141 413,20 ? с БГИ 321 783 909,40 ?</t>
  </si>
  <si>
    <t>"поставщики маркер", "свод фт", ".", "рейтинг поставщиков в маркере по бг", "ушедшие", "лимит сит по кредитам", "все клиенты с выручкой от 1,8 млрд до бесконечности", "рейтинг по нмц маркер", "это заказчик", "на фт заводил Чимров", "crm управления", "в crm за Чимровым"</t>
  </si>
  <si>
    <t>86.10.19.000 Услуги больниц прочие
32.50.21.112 Оборудование терапевтические
86.22.19.000 Услуги в области специализированной врачебной практики прочие
32.50.21.129 Оборудование дыхательное прочее, не включенное в другие группировки
86.90.19.190 Услуги в области медицины прочие, не включенные в другие группировки</t>
  </si>
  <si>
    <t>За весь период заходили в конкурсы  6 раз на общую сумму обеспеченных контрактов с НМЦ 217 441 900,00 ? с БГУ  9 316 552,24 ? с БГИ 55 336 145,20 ?</t>
  </si>
  <si>
    <t>21.20.23.110 Реагенты диагностические
21.20.23.199 Средства нелечебные прочие
20.59.52.199 Реагенты сложные диагностические или лабораторные прочие, не включенные в другие группировки
28.29.12.110 Оборудование для фильтрования или очистки воды
20.20.14.000 Средства дезинфекционные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32.50.21.112 Оборудование терапевтические
21.20.23.190 Препараты фармацевтические прочие
20.59.52.194 Реактивы химические общелабораторного назначения ****</t>
  </si>
  <si>
    <t>За весь период заходили в конкурсы  4 раз на общую сумму обеспеченных контрактов с НМЦ 107 525 430,98 ? с БГУ  3 162 970,72 ? с БГИ 20 943 856,58 ? За 3 ГОДА по 44ФЗ заключено 233 шт. с объемом НМЦ  654 225 758,96 ? с БГИ 62 832 851,22 ? с БГГО 2 592 678,45 ? с авансированием до 7 367 174,34 ? с комиссией банку 805 403,50 ? с кв 7 007,01 ? ЗА 1 ГОД по 44ФЗ заключено 93 шт. c объемом НМЦ 271 932 339,77 ? с БГИ 25 090 622,09 ? с БГГО 135 783,48 ? с авансированием до  7 367 174,34 ? с комиссией банку  413 147,10 ? с кв 3 594,38 ? ЗА 3 ГОДА ПО 223 ФЗ заключено 13 шт. с объемом НМЦ 77 158 303,47 ?</t>
  </si>
  <si>
    <t>49.39.1 Услуги по регулярным перевозкам пассажиров сухопутным транспортом в междугородном и международном сообщениях, кроме железнодорожного транспорта, а также специальные перевозки (для собственных нужд)
52.29.19 Услуги грузовых транспортно-экспедиционных агентств прочие
49.41.11.000 Услуги по перевозке автомобильным транспортом грузов в автофургонах-рефрижераторах
49.41.19 Услуги по перевозке грузов автомобильным транспортом прочие
53.20.11.110 Услуги специальной почтовой связи
53.10.12.000 Услуги почтовой связи общего пользования, связанные с письменной корреспонденцией
53.20.19.120 Услуги курьерские прочие, не включенные в другие группировки
49.41.14.000 Услуги по перевозке автомобильным транспортом грузов в контейнерах
53.20.19 Услуги почтовой связи и курьерские прочие, не включенные в другие группировки
53.10.1 Услуги почтовой связи общего пользования ****</t>
  </si>
  <si>
    <t>2 674</t>
  </si>
  <si>
    <t>За год заключили по 223фз 4 контракта(ов) на сумму  9 480 200,99 ?</t>
  </si>
  <si>
    <t>"223 за 3 года", ".", "ушедший портфель",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"рейтинг по нмц маркер", "это заказчик", "поставщики маркер", "44 за 3 года"</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</si>
  <si>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45.11 Услуги по торговле легковыми автомобилями и грузовыми автомобилями малой грузоподъемности
45.20.11.519 Прочие услуги по техническому обслуживанию и ремонту прочих автотранспортных средств, не включенные в другие группировки
29.10.41.112 Автомобили грузовые с дизельным двигателем, имеющие технически допустимую максимальную массу свыше 3,5 т, но не более 12 т
29.10.59.130 Средства транспортные для коммунального хозяйства и содержания дорог
45.20.14.000 Услуги по ремонту кузовов легковых автомобилей и легких грузовых автотранспортных средств и аналогичные услуги (ремонт дверей, замков, окон, перекрашивание, ремонт после повреждений)
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
45.20.12.000 Услуги по ремонту электрооборудования легковых автомобилей и легких грузовых автотранспортных средств
29.10.23.000 Средства транспортные с поршневым двигателем внутреннего сгорания с воспламенением от сжатия (дизелем или полудизелем), новые ****</t>
  </si>
  <si>
    <t>за 1 ГОД ПО 223ФЗ заключено 1  5 066 600,00 ?</t>
  </si>
  <si>
    <t>29.10.30.190 Средства автотранспортные пассажирские с числом мест для сидения не менее 10 прочие
45.11 Услуги по торговле легковыми автомобилями и грузовыми автомобилями малой грузоподъемности
45.20.11.519 Прочие услуги по техническому обслуживанию и ремонту прочих автотранспортных средств, не включенные в другие группировки
29.10.30 Средства автотранспортные для перевозки 10 или более человек
33.12.29.900 Услуги по ремонту и техническому обслуживанию прочего оборудования специального назначения, не включенные в другие группировки
45.20.21.111 Услуги по регламентным работам (по видам технического обслуживания)
29.10 Средства автотранспортные
29.10.2 Автомобили легковые
29.10.59.280 Средства транспортные - фургоны для перевозки пищевых продуктов
29.32.30.390 Части и принадлежности для автотранспортных средств прочие, не включенные в другие группировки ****</t>
  </si>
  <si>
    <t>1 729</t>
  </si>
  <si>
    <t>Сообщения о принятии решения о реорганизации от 11.02.2021</t>
  </si>
  <si>
    <t>29.32.30 Комплектующие и принадлежности для автотранспортных средств, не включенные в другие группировки</t>
  </si>
  <si>
    <t>"поставщики маркер", "кл фт ФК БГ 04.22", ".", "fk1", "портфель 31.10.2021_10 тыс_проверка", "корп 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"это заказчик"</t>
  </si>
  <si>
    <t>10.13.14.119 Изделия колбасные вареные мясные прочие
10.39.22.130 Пюре и пасты фруктовые, ягодные и ореховые
10.41.24.000 Масло подсолнечное и его фракции нерафинированные
10.61.32.113 Крупа гречневая
10.51.40.111 Сыры мягкие без вкусовых наполнителей
10.51.52.140 Кефир
10.61.21.113 Мука пшеничная хлебопекарная высшего сорта
10.89.99 Услуги по производству прочих пищевых продуктов, не включенных в другие группировки, отдельные, выполняемые субподрядчиком
10.11.31.140 Субпродукты пищевые крупного рогатого скота замороженные
10.12.20.110 Мясо кур, в том числе цыплят (включая цыплят-бройлеров) замороженное ****</t>
  </si>
  <si>
    <t>19.20.29 Масла нефтяные смазочные; дистилляты тяжелые, не включенные в другие группировки</t>
  </si>
  <si>
    <t>За весь период компания заключила  10 контрактов на сумму  657 859 316,25 ?                                     ЗА 3 ГОДА ПО 223 ФЗ заключено 4 шт. с объемом НМЦ 1 550 000 000,00 ? за 1 ГОД ПО 223ФЗ заключено 1  450 000 000,00 ?</t>
  </si>
  <si>
    <t>"223 за 3 года", ".", "Конкурсы 100+ (Восстановленный)", "fk1", "223 фз контракты 20+", "рейтинг по нмц маркер", "поставщики маркер"</t>
  </si>
  <si>
    <t>01.11.81.110 Бобы соевые для посева
68.20.12.000 Услуги по сдаче в аренду (внаем) собственных или арендованных нежилых помещений
01.61.10.110 Услуги по подготовке полей</t>
  </si>
  <si>
    <t>79.90.39.110 Услуги по бронированию билетов на культурно-развлекательные мероприятия
85.41.10.000 Услуги по спортивному образованию и образованию в развлекательных целях</t>
  </si>
  <si>
    <t>Сообщения о принятии решения о реорганизации от 12.12.2022</t>
  </si>
  <si>
    <t>"223 за 3 года", ".", "п6", "все клиенты с выручкой от 1,8 млрд до бесконечности", "Участники клиринга", "поставщики маркер"</t>
  </si>
  <si>
    <t>20.20.13.110 Средства против прорастания
20.20.15.000 Фунгициды
20.20.19.000 Пестициды прочие и агрохимические продукты прочие
20.20.11.000 Инсектициды
20.20.13.120 Регуляторы роста растений
20.20.12.000 Гербициды
20.15.71.000 Удобрения, содержащие три питательных элемента: азот, фосфор и калий
01.11.95.110 Семена подсолнечника для посева
20.14.34.100 Кислоты ароматические поликарбоновые, их ангидриды, галогенангидриды, пероксиды, пероксикислоты и их производные</t>
  </si>
  <si>
    <t>19.20.21.430 Топливо судовое с массовой долей серы 0,5 - 1,5 % с температурой вспышки в закрытом тигле не ниже 61 °C
19.20.21.440 Топливо судовое с массовой долей серы не более 0,5 % с температурой вспышки в закрытом тигле не ниже 61 °C
19.20.21.100 Бензин автомобильный
19.20.21.310 Топливо дизельное летнее
19.20.21.400 Топливо судовое
19.20.21.315 Топливо дизельное летнее экологического класса К5
19.20.21.320 Топливо дизельное зимнее
19.20.21.322 Топливо дизельное зимнее экологического класса К2
19.20.21.115 Бензин автомобильный с октановым числом не менее 80, но не более 92 по исследовательскому методу экологического класса К5
19.20.21.300 Топливо дизельное ****</t>
  </si>
  <si>
    <t>За весь период компания заключила  29 контрактов на сумму  5 593 856 606,53 ? За весь период заходили в конкурсы  12 раз на общую сумму обеспеченных контрактов с НМЦ 885 810 970,77 ? с БГУ  6 359 759,00 ? с БГИ 109 348 584,00 ?                             ЗА 3 ГОДА ПО 223 ФЗ заключено 36 шт. с объемом НМЦ 2 043 264 940,82 ? за 1 ГОД ПО 223ФЗ заключено 5  552 224 312,94 ?</t>
  </si>
  <si>
    <t>"223 за 3 года", ".", "рейтинг поставщиков в маркере по бг", "ГРАНДИОЗНЫЙ ПРОЕКТ 223", "Конкурсы 100+ (Восстановленный)", "Участники клиринга", "223 фз контракты 20+", "рейтинг по нмц маркер", "поставщики маркер"</t>
  </si>
  <si>
    <t>86.90.15.000 Услуги медицинских лабораторий
86.90.19.190 Услуги в области медицины прочие, не включенные в другие группировки</t>
  </si>
  <si>
    <t>1 441</t>
  </si>
  <si>
    <t>1 725</t>
  </si>
  <si>
    <t>Сообщения о принятии решения о реорганизации от 15.11.2021</t>
  </si>
  <si>
    <t>23.51.12.110 Цементы общестроительные</t>
  </si>
  <si>
    <t>ЗА 3 ГОДА ПО 223 ФЗ заключено 2 шт. с объемом НМЦ 32 380 000,00 ?</t>
  </si>
  <si>
    <t>17.22.12 Полотенца санитарно-гигиенические и тампоны, подгузники и пеленки детские и аналогичные изделия санитарно-гигиенического назначения и предметы и аксессуары одежды из бумажной массы, бумаги, целлюлозной ваты и полотна из целлюлозных волокон</t>
  </si>
  <si>
    <t>21 Средства лекарственные и материалы, применяемые в медицинских целях
21.20.10.118 Препараты, способствующие пищеварению, включая ферментные препараты
21.20.10.191 Препараты антибактериальные для системного использования
21.20.23.190 Препараты фармацевтические прочие
21.20.10.132 Гемостатики
21.20.10.194 Препараты противовирусные для системного применения
21.20.10.119 Препараты для лечения сахарного диабета
21.20.10.225 Миорелаксанты
21.20.10.113 Препараты для лечения функциональных расстройств желудочно-кишечного тракта
21.20.10.131 Антикоагулянты ****</t>
  </si>
  <si>
    <t>За три года по 44фз заключено 95 контрактов с общей суммой 874 996 167,01 ? с объемом БГИ 80 685 571,21 ? с наличием БГГО 3 555,63 ? с авансированием до  107 557,52 ? с комиссией по БГИ  824 015,96 ? и кв 7 168,24 ?</t>
  </si>
  <si>
    <t>"223 за 3 года", ".", "рейтинг поставщиков в маркере по бг", "fk1", "44 фз с с БГ от 10 млн", "рейтинг по нмц маркер", "поставщики маркер", "44 за 3 года"</t>
  </si>
  <si>
    <t>19.20.21.310 Топливо дизельное летнее
19.20.21.300 Топливо дизельное</t>
  </si>
  <si>
    <t>За 3 года по 223ФЗ заключено  3 шт контрактов на сумму 76 267 600,00 ?</t>
  </si>
  <si>
    <t>"223 за 3 года", "кл фт ФК БГ 04.22", ".", "fk1", "корп 1", "филиал бизнес 31.01.22 ", "клиенты с в от100млн 09.21", "Пункт 3 09.01.23", "все клиенты с выручкой от 1,8 млрд до бесконечности", "портфель",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"Участники клиринга", "поставщики маркер"</t>
  </si>
  <si>
    <t>16.29.14.192 Гранулы топливные (пеллеты) из отходов деревопереработки</t>
  </si>
  <si>
    <t>38.11.19.000 Услуги по сбору прочих неопасных отходов, пригодных для повторного использования
38.22.29.000 Услуги по утилизации прочих опасных отходов
43.99.90.190 Работы строительные специализированные прочие, не включенные в другие группировки
38.11.1 Услуги по сбору неопасных отходов, пригодных для повторного использования
38.11.31.000 Отходы неопасные бытовые, непригодные для повторного использования
81.21.10.000 Услуги по общей уборке зданий
38.11.21.000 Услуги по сбору неопасных отходов городского хозяйства, непригодных для повторного использования
38.2 Услуги по обработке и утилизации отходов
81.29.13.000 Услуги санитарно-гигиенические прочие
38.11 Отходы неопасные; услуги по сбору неопасных отходов ****</t>
  </si>
  <si>
    <t>3 819</t>
  </si>
  <si>
    <t>За весь период компания заключила  8 контрактов на сумму  65 172 121 879,70 ? За весь период заходили в конкурсы  10 раз на общую сумму обеспеченных контрактов с НМЦ 43 780 039 113,45 ? с БГУ  3 094 295 579,27 ? с БГИ 6 469 240 391,26 ? За 3 ГОДА по 44ФЗ заключено 18 шт. с объемом НМЦ  724 136 869,66 ? с БГИ 212 836 205,01 ? с БГГО 70 074,67 ? с авансированием до 0,00 ? с комиссией банку 960 563,71 ? с кв 8 356,90 ?</t>
  </si>
  <si>
    <t>"223 за 3 года", "кл фт прямые бг 04.22", "свод фт", ".", "рейтинг поставщиков в маркере по бг", "кредиты фт", "Пункт 3.1 09.01.2023", "БГ ФБ ЮР лица на 01.07.2021", "лимит сит по кредитам", "все клиенты с выручкой от 1,8 млрд до бесконечности", "ФК клиенты с выручкой от 230 до бесконечности", "клиенты от 100 млн", "Одобренные но не выданные 1 полугодие 2021", "ФТ клиенты с продуктами по сотрудникам", "рейтинг заказчиков маркер", "рейтинг по нмц маркер", "это заказчик", "на фт заводил Середин", "на фт заводил Микульшин", "на фт заводил Данченко", "поставщики маркер", "44 за 3 года"</t>
  </si>
  <si>
    <t>Кредитный портфель_01.3359</t>
  </si>
  <si>
    <t>"производители", ".", "fk1", "Кредитный портфель_01.11", "06.2022_ФинХД", "все клиенты с выручкой от 1,8 млрд до бесконечности", "Обороты по клиентам по кварталам (2022г)"</t>
  </si>
  <si>
    <t>"Пустые_Клиенты", ".", "fk1", "лимит сит по кредитам"</t>
  </si>
  <si>
    <t>"поставщики маркер", ".", "ушедшие"</t>
  </si>
  <si>
    <t>86.90.14.000 Услуги скорой медицинской помощи
52.23.19.110 Работы авиационные
51 Услуги воздушного и космического транспорта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52.23.19.115 Работы с целью оказания медицинской помощи
52.23.19.190 Услуги вспомогательные прочие, связанные с воздушным транспортом, не включенные в другие группировки
51.10.20.000 Услуги по аренде пассажирских воздушных судов с экипажем
52.23.20.190 Услуги, связанные с космическим транспортом, прочие, не включенные в другие группировки</t>
  </si>
  <si>
    <t>За весь период компания заключила  5 контрактов на сумму  1 040 537 155,29 ? За весь период заходили в конкурсы  22 раз на общую сумму обеспеченных контрактов с НМЦ 2 536 828 515,32 ? с БГУ  110 556 874,40 ? с БГИ 290 863 139,92 ? За 3 ГОДА по 44ФЗ заключено 16 шт. с объемом НМЦ  1 356 900 931,12 ? с БГИ 135 090 093,12 ? с БГГО 1 050 000,00 ? с авансированием до 0,00 ? с комиссией банку 1 000 576,94 ? с кв 8 705,02 ? ЗА 1 ГОД по 44ФЗ заключено 3 шт. c объемом НМЦ 258 797 833,55 ? с БГИ 25 879 783,36 ? с БГГО 0,00 ? с авансированием до  0,00 ? с комиссией банку  458 919,15 ? с кв 3 992,60 ?</t>
  </si>
  <si>
    <t>"44 за 3 года", ".", "рейтинг поставщиков в маркере по бг", "ПСБ Гарантии ", "Одобренные но не выданные 1 полугодие 2021", "44 фз с с БГ от 10 млн", "рейтинг по нмц маркер"</t>
  </si>
  <si>
    <t>Юридическим лицом принято решение об изменении места нахождения от 15.06.2021</t>
  </si>
  <si>
    <t>46.6 Услуги по оптовой торговле прочими машинами, оборудованием и инструментами
26.20 Компьютеры и периферийное оборудование
46.69 Услуги по оптовой торговле прочими машинами и оборудованием
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</si>
  <si>
    <t>За весь период компания заключила  2 контрактов на сумму  14 428 079 223,18 ?</t>
  </si>
  <si>
    <t>28.14.12.110 Краны, клапаны для раковин, моек, биде, унитазов, ванн и аналогичная арматура
25.73.30.140 Инструмент, работающий ударом
25.73.40.290 Инструменты рабочие сменные для станков или для ручного инструмента прочие, не включенные в другие группировки
28.92.12.130 Машины бурильные
26.51.33.199 Инструмент измерительный прочий, не включенный в другие группировки
28.14.20.290 Основные узлы, детали арматуры прочие (сальники, седла, золотники, плунжеры, штоки, шпиндели, мембраны и прочие)
25.73.20.120 Части рабочие для пил всех типов
28.24.11 Инструменты ручные электрические
28.24.21.000 Части ручных электрических инструментов
25.73.60.111 Клещи, захваты, воротяжки, патроны, кантователи ****</t>
  </si>
  <si>
    <t>За весь период компания заключила  1 контрактов на сумму  2 732 105 218,00 ?                                     ЗА 3 ГОДА ПО 223 ФЗ заключено 15 шт. с объемом НМЦ 71 376 010,31 ? за 1 ГОД ПО 223ФЗ заключено 1  9 037 742,40 ?</t>
  </si>
  <si>
    <t>В архиве
Гарантия завершена
Гарантия завершена;Отклонена банком;Отправлена клиенту;Распределена в Банк
Гарантия отправлена
Отклонена банком</t>
  </si>
  <si>
    <t>"на фт заводил Бесков", "свод фт", ".", "беники", "УПП на 2 номер", "fk1", "кредиты фт", "клиенты управления по БГ без открытых счетов", "Премия 4 кв 22 г.бг", "лимит сит по кредитам", "все клиенты с выручкой от 1,8 млрд до бесконечности", "Обороты по клиентам по кварталам (2022г)", "на фт заводил Реук", "на фт заводил Куриленко"</t>
  </si>
  <si>
    <t>71.20.12.000 Услуги в области испытаний, исследований и анализа физико-механических свойств материалов и веществ
09.10.11.190 Услуги по бурению, связанные с добычей нефти и горючего природного газа, не включенные в другие группировки</t>
  </si>
  <si>
    <t>20.13.24.149 Кислоты неорганические прочие, не включенные в другие группировки
20.13.25.120 Гидразин и гидроксиламин и их неорганические соли
20.13.3 Галогениды металлов; гипохлориты, хлораты и перхлораты
20.14.51.190 Соединения элементоорганические прочие
23.52.10.110 Известь негашеная
20.59 Продукты химические прочие, не включенные в другие группировки
20.20.14.000 Средства дезинфекционные
20.1 Вещества химические основные, удобрения химические и азотные, пластмассы и синтетический каучук в первичных формах
20.13 Вещества химические неорганические основные прочие
37.00.11.110 Услуги по водоотведению сточных вод ****</t>
  </si>
  <si>
    <t>За весь период компания заключила  18 контрактов на сумму  3 535 645 526,37 ?                                     ЗА 3 ГОДА ПО 223 ФЗ заключено 16 шт. с объемом НМЦ 40 447 093,72 ? за 1 ГОД ПО 223ФЗ заключено 3  38 869 675,32 ?</t>
  </si>
  <si>
    <t>"223 за 3 года", ".", "все клиенты с выручкой от 1,8 млрд до бесконечности", "223 фз контракты 20+", "производители", "рейтинг по нмц маркер", "44 за 3 года"</t>
  </si>
  <si>
    <t>20.13.25.120 Гидразин и гидроксиламин и их неорганические соли
20.13.41.120 Сульфиты
20.14.51.190 Соединения элементоорганические прочие
20.14.2 Спирты, фенолы, фенолоспирты и их галогенированные, сульфированные, нитрованные или нитрозированные производные; спирты жирные промышленные
20.59.52.199 Реагенты сложные диагностические или лабораторные прочие, не включенные в другие группировки
20.59.54.110 Угли активированные из каменноугольного сырья
20.16.59.320 Смолы ионообменные на основе синтетических или природных полимеров в первичных формах
20.20.14.000 Средства дезинфекционные
20.13 Вещества химические неорганические основные прочие
20.13.21.290 Неметаллы, не включенные в другие группировки, прочие ****</t>
  </si>
  <si>
    <t>ЗА 3 ГОДА ПО 223 ФЗ заключено 7 шт. с объемом НМЦ 172 000 271,13 ?</t>
  </si>
  <si>
    <t>13.20.31.123 Ткани готовые с массовой долей полиэтиленовых и полипропиленовых плоских (пленочных) нитей не менее 85 %
13.92.21.110 Мешки для упаковки готовых изделий
29.20.21.123 Контейнеры для сыпучих грузов</t>
  </si>
  <si>
    <t>20.20.15.000 Фунгициды
20.20.19.000 Пестициды прочие и агрохимические продукты прочие
32.50.13.190 Инструменты и приспособления, применяемые в медицинских целях, прочие, не включенные в другие группировки
20.59.52.194 Реактивы химические общелабораторного назначения
20.20.11.000 Инсектициды
21.20.24.150 Изделия медицинские ватно-марлевые
20.20.13.120 Регуляторы роста растений
20.20 Пестициды и агрохимические продукты прочие
20.20.12.000 Гербициды
21.20.23.111 Препараты диагностические ****</t>
  </si>
  <si>
    <t>28.29 Машины и оборудование общего назначения прочие, не включенные в другие группировки
41.10 Документация проектная для строительства
25.29.99 Услуги по производству резервуаров, цистерн и аналогичных емкостей из металлов отдельные, выполняемые субподрядчиком</t>
  </si>
  <si>
    <t>Сообщение кредитора о намерении обратиться в суд с заявлением о банкротстве от 22.04.2019</t>
  </si>
  <si>
    <t>"223 за 3 года", "кл фт агент бг 04.22", "свод фт", ".", "fk1", "2. Финтендер 2022 31.03.22 Григорян для СПАРК", "лимит сит по кредитам", "клиенты от 100 млн", "действующие б не прям", "ФТ клиенты с продуктами по сотрудникам", "производители", "это заказчик", "на фт заводил Шевченко", "crm управления", "в crm за Шевченко ОРК  4", "поставщики маркер"</t>
  </si>
  <si>
    <t>42.21.22.120 Работы строительные по прокладке местных трубопроводов горячей воды
05.10.10.131 Уголь марки Д - длиннопламенный</t>
  </si>
  <si>
    <t>"223 за 3 года", "кл фт мсб ВКЛ/РКО 04.22", ".", "fk1", "АНАЛИЗ Все установленные лимиты на 01.12.2021 ОКВЭД Прочие Услуги", "ИНН по менеджерам", "Портфель ЛП", "Банкроты ФБ 28.04.2023", "Ссуды ФБ 29.04.2022 банкр.", "АИЛ портфель", "Действующий клиент мсб с выр от 30 млн на 05.21", "филиал бизнес 01.03.22", "портфель", "филиал бизнес 22.11", "ФК клиенты с выручкой от 230 до бесконечности", "клиенты от 100 млн", "ФТ клиенты с продуктами по сотрудникам", "Участники клиринга", "поставщики маркер", "44 за 3 года"</t>
  </si>
  <si>
    <t>28.22.19 Части грузоподъемного и погрузочно-разгрузочного оборудования
28.92.21 Бульдозеры и бульдозеры с поворотным отвалом
45.31.1 Услуги по оптовой торговле автомобильными деталями, узлами и принадлежностями
29.1 Средства автотранспортные
33.17 Услуги по ремонту и техническому обслуживанию прочих транспортных средств и оборудования
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
45.32 Услуги по розничной торговле автомобильными деталями, узлами и принадлежностями
28.92.27.112 Экскаваторы-каналокопатели
28.92.6 Части оборудования для добычи полезных ископаемых подземным и открытым способами и строительства
28.92.61.120 Комплектующие (запасные части) машин для выемки грунта, не имеющие самостоятельных группировок ****</t>
  </si>
  <si>
    <t>За весь период компания заключила  12 контрактов на сумму  23 264 624 960,60 ?                                     ЗА 3 ГОДА ПО 223 ФЗ заключено 19 шт. с объемом НМЦ 243 731 724,24 ? за 1 ГОД ПО 223ФЗ заключено 7  68 432 972,05 ?</t>
  </si>
  <si>
    <t>"223 за 3 года", "свод фт", ".", "Евразия(Заболотний)_n (22)", "беники", "УПП на 2 номер", "инн Красносельская", "клиенты управления по БГ без открытых счетов", "Евразия_июлль-август 2019", "Премия 4 кв 22 г.бг", "06.2022_ФинХД", "клиенты с в от100млн 09.21", "все клиенты с выручкой от 1,8 млрд до бесконечности", "ФК клиенты с выручкой от 230 до бесконечности", "223 фз контракты 20+", "производители", "рейтинг по нмц маркер", "это заказчик", "на фт заводил Морозова", "на фт заводил Мелкумов", "на фт заводил Алиев", "44 за 3 года"</t>
  </si>
  <si>
    <t>17.12.14.179 Бумага электроизоляционная прочая
23.14 Стекловолокно
23.99 Продукция минеральная неметаллическая прочая, не включенная в другие группировки
13.20.46 Ткани из стекловолокна (включая узкие ткани)
13.96 Изделия текстильные технического назначения прочие</t>
  </si>
  <si>
    <t>за 1 ГОД ПО 223ФЗ заключено 2  4 838 058,00 ?</t>
  </si>
  <si>
    <t>27.32.13.123 Кабели для светосигнального оборудования аэродромов
27.32.13.143 Кабели контрольные
27.32.13.191 Кабели монтажные
27.3 Кабели и арматура кабельная
27.40.25.129 Устройства осветительные электрические подвесные, потолочные, встраиваемые и настенные, предназначенные для использования с лампами прочих типов
27.32.13.131 Провода силовые для электрических установок
27.32.13.157 Шнуры слаботочные
27.32.14.110 Кабели силовые для стационарной прокладки на напряжение более 1 кВ
27.32.14.111 Кабели силовые с медной жилой на напряжение более 1 кВ
27.32.14.112 Кабели силовые с алюминиевой жилой на напряжение более 1 кВ ****</t>
  </si>
  <si>
    <t>За весь период компания заключила  30 контрактов на сумму  9 481 475 077,04 ? За весь период заходили в конкурсы  1 раз на общую сумму обеспеченных контрактов с НМЦ 173 220 256,93 ? с БГУ  8 797 430,74 ? с БГИ 52 784 584,43 ?                             ЗА 3 ГОДА ПО 223 ФЗ заключено 16 шт. с объемом НМЦ 226 670 556,30 ? за 1 ГОД ПО 223ФЗ заключено 7  94 595 462,59 ?</t>
  </si>
  <si>
    <t>"223 за 3 года", ".", "рейтинг поставщиков в маркере по бг", "223 фз контракты 20+", "производители", "рейтинг по нмц маркер", "поставщики маркер"</t>
  </si>
  <si>
    <t>27.32.13.143 Кабели контрольные
27.32.13.131 Провода силовые для электрических установок
27.32.14.111 Кабели силовые с медной жилой на напряжение более 1 кВ
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27.32.13.199 Кабели, провода и другие проводники прочие на напряжение до 1 кВ, не включенные в другие группировки
27.32 Провода и кабели электронные и электрические прочие
27.32.13 Проводники электрические прочие на напряжение не более 1 кВ
27.32.13.124 Кабели силовые гибкие общего назначения
27.32.14 Проводники электрические прочие на напряжение более 1 кВ
27.32.13.111 Кабели силовые с медной жилой на напряжение до 1 кВ ****</t>
  </si>
  <si>
    <t>ЗА 3 ГОДА ПО 223 ФЗ заключено 12 шт. с объемом НМЦ 28 454 676,77 ?</t>
  </si>
  <si>
    <t>"в crm за Шаклейном ", ".", "производители", "crm управления"</t>
  </si>
  <si>
    <t>10.51.40.300 Творог
10.51.40.322 Творог, произведенный с использованием ультрафильтрации и сепарирования, без вкусовых компонентов обезжиренный, от 2 % до 25 % жирности
10.51.30.111 Масло сладко-сливочное
10.51.11.121 Молоко питьевое коровье ультрапастеризованное (ультравысокотемпературно-обработанное)
10.51.11.111 Молоко питьевое коровье пастеризованное
10.51.40.321 Творог, произведенный с использованием ультрафильтрации и сепарирования, без вкусовых компонентов обезжиренный, не более 1,8 % жирности
10.51.52.211 Сметана от 10,0 % до 17,0 % жирности
10.51.40.320 Творог, произведенный с использованием ультрафильтрации и сепарирования без вкусовых компонентов</t>
  </si>
  <si>
    <t>10.71.11.179 Изделия хлебобулочные специализированные, в том числе диетические, а также обогащенные микронутриентами прочие
10.71.11.110 Хлеб недлительного хранения
10.7 Изделия хлебобулочные и мучные кондитерские
10.71.11.170 Изделия хлебобулочные специализированные, в том числе диетические, а также обогащенные микронутриентами
10.72.19.140 Полуфабрикаты хлебобулочные замороженные
10.72.19.190 Изделия хлебобулочные сухие или хлебобулочные изделия длительного хранения прочие, не включенные в другие группировки
10.71.11.111 Хлеб недлительного хранения из пшеничной муки
10.71.11.119 Хлеб недлительного хранения прочий
10.71.11.112 Хлеб недлительного хранения из ржаной и смеси ржаной и пшеничной муки
10.71.11.140 Изделия хлебобулочные слоеные ****</t>
  </si>
  <si>
    <t>Сообщения о принятии решения о реорганизации от 07.06.2013</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</si>
  <si>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42.13.10.110 Мосты и путепроводы из любых материалов для всех типов сухопутного транспорта и для пешеходов
42.11.10.120 Дороги автомобильные, в том числе улично-дорожная сеть, и прочие автомобильные и пешеходные дороги
42.11.10.140 Стоянки автомобильные с твердым покрытием
42.11.10.121 Дорога автомобильная с усовершенствованным капитальным типом дорожного покрытия
42.11.10.129 Дороги автомобильные, в том числе улично-дорожная сеть, и прочие автомобильные и пешеходные дороги,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</si>
  <si>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За весь период компания заключила  101 контрактов на сумму  183 327 931 695,07 ? За весь период заходили в конкурсы  164 раз на общую сумму обеспеченных контрактов с НМЦ 180 431 582 549,05 ? с БГУ  8 503 671 368,24 ? с БГИ 39 335 734 977,81 ? За 3 ГОДА по 44ФЗ заключено 16 шт. с объемом НМЦ  16 796 977 426,12 ? с БГИ 2 818 535 666,19 ? с БГГО 280 893 104,52 ? с авансированием до 3 977 216 762,85 ? с комиссией банку 27 507 702,49 ? с кв 239 317,01 ? ЗА 1 ГОД по 44ФЗ заключено 1 шт. c объемом НМЦ 82 173 490,00 ? с БГИ 41 086 745,00 ? с БГГО 821 735,00 ? с авансированием до  41 086 745,00 ? с комиссией банку  409 741,79 ? с кв 3 564,75 ? ЗА 3 ГОДА ПО 223 ФЗ заключено 1 шт. с объемом НМЦ 1 765 068 276,00 ?</t>
  </si>
  <si>
    <t>Сообщение кредитора о намерении обратиться в суд с заявлением о банкротстве от 23.11.2020</t>
  </si>
  <si>
    <t>"223 за 3 года", ".", "рейтинг поставщиков в маркере по бг", "ГРАНДИОЗНЫЙ ПРОЕКТ", "fk1", "ПСБ Гарантии ", "Действующий клиент мсб с выр от 30 млн на 05.21", "все клиенты с выручкой от 1,8 млрд до бесконечности", "ФК клиенты с выручкой от 230 до бесконечности", "44 фз с с БГ от 10 млн", "рейтинг по нмц маркер", "поставщики маркер", "44 за 3 года"</t>
  </si>
  <si>
    <t>23.52.10.110 Известь негашеная
20.13.23.115 Цезий
08.11.20.113 Известняк доломитизированный
08.12.12.140 Щебень
20.13.25 Оксиды, гидроксиды и пероксиды; гидразин и гидроксиламин и их неорганические соли</t>
  </si>
  <si>
    <t>Кредитный портфель_01.3370</t>
  </si>
  <si>
    <t>"поставщики маркер", ".", "выдали", "fk1", "Кредитный портфель_01.11", "06.2022_ФинХД", "Обороты по клиентам по кварталам (2022г)", "производители", "рейтинг по нмц маркер"</t>
  </si>
  <si>
    <t>52.22.1 Услуги, связанные с водным транспортом
52.24.1 Услуги по обработке грузов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52.29.19.110 Услуги по экспедированию грузов
19.2 Нефтепродукты
42.91.20.120 Работы строительные по строительству плотин и дамб, включая ремонт
30.11.21.120 Суда речные пассажирские
52.10.19.900 Услуги по складированию и хранению прочие, не включенные в другие группировки
52.21.22.000 Услуги по эксплуатации автомагистралей
19.20.21.334 Топливо дизельное арктическое экологического класса К4 ****</t>
  </si>
  <si>
    <t>За весь период компания заключила  53 контрактов на сумму  30 199 675 487,27 ? За весь период заходили в конкурсы  38 раз на общую сумму обеспеченных контрактов с НМЦ 9 178 545 508,03 ? с БГУ  238 775 497,01 ? с БГИ 1 707 585 809,41 ? За 3 ГОДА по 44ФЗ заключено 32 шт. с объемом НМЦ  3 266 305 892,33 ? с БГИ 268 056 575,00 ? с БГГО 3 721 902,10 ? с авансированием до 21 782 423,10 ? с комиссией банку 3 356 999,42 ? с кв 29 205,89 ? ЗА 1 ГОД по 44ФЗ заключено 10 шт. c объемом НМЦ 1 479 885 746,71 ? с БГИ 146 089 706,94 ? с БГГО 0,00 ? с авансированием до  0,00 ? с комиссией банку  1 547 826,92 ? с кв 13 466,09 ? ЗА 3 ГОДА ПО 223 ФЗ заключено 13 шт. с объемом НМЦ 768 229 426,63 ?</t>
  </si>
  <si>
    <t>"223 за 3 года", ".", "рейтинг поставщиков в маркере по бг", "Конкурсы 100+ (Восстановленный)", "все клиенты с выручкой от 1,8 млрд до бесконечности", "44 фз с с БГ от 10 млн", "производители", "рейтинг по нмц маркер", "crm управления", "в crm за Чимровым", "44 за 3 года"</t>
  </si>
  <si>
    <t>93.19.19.000 Услуги в области спорта и отдыха прочие
73.11.19.000 Услуги рекламные прочие</t>
  </si>
  <si>
    <t>"Обороты по клиентам по кварталам (2022г)", ".", "fk1", "ПОС на 01.02.2023", "корп 2",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t>
  </si>
  <si>
    <t>10.82.22.112 Шоколад молочный в упакованном виде
10.82.22.121 Изделия шоколадные с начинкой
10.82.22.136 Конфеты шоколадные без начинки
32.99.51.119 Изделия для новогодних и рождественских праздников прочие
47.65 Услуги по розничной торговле играми и игрушками в специализированных магазинах
13.92.21.190 Изделия упаковочные прочие из текстильных материалов
93.29.19.000 Услуги по организации отдыха и развлечений прочие, не включенные в другие группировки
10.82.22.134 Конфеты шоколадные с марципановыми, ореховыми и пралиновыми корпусами
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t>
  </si>
  <si>
    <t>за 1 ГОД ПО 223ФЗ заключено 11  7 631 286,48 ?</t>
  </si>
  <si>
    <t>"223 за 3 года", "свод фт", ".", "fk1", "кредиты фт", "Пункт 3.1 09.01.2023", "лимит сит по кредитам", "все клиенты с выручкой от 1,8 млрд до бесконечности", "производители", "на фт заводил Реук", "поставщики маркер", "44 за 3 года"</t>
  </si>
  <si>
    <t>22.29.29.190 Изделия пластмассовые прочие, не включенные в другие группировки</t>
  </si>
  <si>
    <t>27.11.41.000 Трансформаторы с жидким диэлектриком
33.20.39 Услуги по монтажу прочего оборудования специального назначения
27.33.13.140 Контакторы электромагнитные
27.11.42 Трансформаторы прочие мощностью не более 16 кВА
27.90.40.190 Оборудование электрическое прочее, не включенное в другие группировки
27.11.6 Части электродвигателей, генераторов и трансформаторов
27.11.4 Трансформаторы электрические
27 Оборудование электрическое
27.11 Электродвигатели, генераторы и трансформаторы
27.11.43.000 Трансформаторы прочие мощностью более 16 кВА ****</t>
  </si>
  <si>
    <t>За весь период компания заключила  40 контрактов на сумму  16 051 677 773,70 ?                                     ЗА 3 ГОДА ПО 223 ФЗ заключено 8 шт. с объемом НМЦ 794 137 979,80 ? за 1 ГОД ПО 223ФЗ заключено 2  667 920 977,78 ?</t>
  </si>
  <si>
    <t>Сообщение кредитора о намерении обратиться в суд с заявлением о банкротстве от 24.04.2018</t>
  </si>
  <si>
    <t>"223 за 3 года", "свод фт", ".", "ГРАНДИОЗНЫЙ ПРОЕКТ 223", "Гарантии_КИБ_31.03.22_Гиб._", "Субъект в CRM, клиент у нас ФТ", "портфель 51", "fk1", "корп 2", "Кредитный портфель_01.11", "06.2022_ФинХД",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"223 фз контракты 20+", "производители", "рейтинг по нмц маркер", "это заказчик", "на фт заводил Морозова", "на фт заводил Зайцев", "поставщики маркер"</t>
  </si>
  <si>
    <t>68.32.13.120 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t>
  </si>
  <si>
    <t>2 216</t>
  </si>
  <si>
    <t>За весь период компания заключила  2 контрактов на сумму  413 631 187,20 ?</t>
  </si>
  <si>
    <t>10.51.30.111 Масло сладко-сливочное
10.51.11.121 Молоко питьевое коровье ультрапастеризованное (ультравысокотемпературно-обработанное)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
10.51.52.900 Продукты кисломолочные прочие, не включенные в другие группировки</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</si>
  <si>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71.12.20.190 Услуги по руководству строительными проектами прочие
42.13.10.110 Мосты и путепроводы из любых материалов для всех типов сухопутного транспорта и для пешеходов
42.13.10.111 Мост автодорожный
71.12.19.100 Услуги по инженерно-техническому проектированию прочих объектов, кроме объектов культурного наследия
71.11.32.000 Услуги по территориальному планированию и планировке территории
42.13.20.100 Работы строительные по строительству мостов и тоннелей, кроме работ по сохранению и воссозданию объектов культурного наследия
42.11.10.160 Полосы взлетно-посадочные аэродромов, включая рулежные дорожки и аналогичных сооружений аэродромов, кроме зданий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</si>
  <si>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2 268</t>
  </si>
  <si>
    <t>За весь период компания заключила  42 контрактов на сумму  177 477 832 664,49 ? За весь период заходили в конкурсы  64 раз на общую сумму обеспеченных контрактов с НМЦ 187 883 027 876,18 ? с БГУ  3 428 361 083,29 ? с БГИ 20 254 609 704,93 ? За 3 ГОДА по 44ФЗ заключено 42 шт. с объемом НМЦ  76 233 329 610,36 ? с БГИ 6 301 295 472,76 ? с БГГО 139 764 174,17 ? с авансированием до 8 474 207 643,24 ? с комиссией банку 352 728 727,92 ? с кв 3 068 739,93 ? ЗА 1 ГОД по 44ФЗ заключено 23 шт. c объемом НМЦ 55 487 771 117,85 ? с БГИ 4 019 768 282,71 ? с БГГО 84 786 575,17 ? с авансированием до  6 415 196 981,64 ? с комиссией банку  270 588 706,66 ? с кв 2 354 121,75 ?</t>
  </si>
  <si>
    <t>"44 за 3 года", "свод фт", ".", "рейтинг поставщиков в маркере по бг", "ГРАНДИОЗНЫЙ ПРОЕКТ", "Конкурсы 100+ (Восстановленный)", "Агентские отказ из-за непред-я док-ов", "fk1", "корп 2", "Пункт 3.1 09.01.2023", "все клиенты с выручкой от 1,8 млрд до бесконечности", "Обороты по клиентам по кварталам (2022г)", "44 фз с с БГ от 10 млн", "рейтинг заказчиков маркер", "производители", "рейтинг по нмц маркер", "это заказчик", "на фт заводил Пител", "поставщики маркер"</t>
  </si>
  <si>
    <t>за 1 ГОД ПО 223ФЗ заключено 4  87 250 000,00 ?</t>
  </si>
  <si>
    <t>"223 за 3 года", ".", "fk1", "ПОС на 01.02.2023", "ПОС на 03.04.2023", "Кредитный портфель_01.11", "06.2022_ФинХД", "Обороты по клиентам по кварталам (2022г)", "223 фз контракты 20+", "производители", "поставщики маркер"</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</si>
  <si>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33.20 Услуги по монтажу промышленных машин и оборудования
77.11.10.000 Услуги по аренде и лизингу легковых автомобилей и легких автотранспортных средств
74.90 Услуги профессиональные, научные и технические, прочие, не включенные в другие группировки
33.14.19.000 Услуги по ремонту и техническому обслуживанию прочего профессионального электрического оборудования
33.12.14 Услуги по ремонту и техническому обслуживанию камер, печей и печных горелок
33.20.7 Услуги по монтажу прочих изделий, не включенных в другие группировки
43.12 Работы по подготовке строительной площадки
33.11.13.000 Услуги по ремонту и техническому обслуживанию ядерных реакторов и паровых котлов, кроме водяных котлов центрального отопления
43.99 Работы строительные специализированные, не включенные в другие группировки ****</t>
  </si>
  <si>
    <t>1 664</t>
  </si>
  <si>
    <t>За весь период контрактов 34 шт. на общую сумму НМЦ 7 180 493 620,63 ?</t>
  </si>
  <si>
    <t>Сообщения о принятии решения о реорганизации от 05.12.2019</t>
  </si>
  <si>
    <t>"223 за 3 года", ".", "все клиенты с выручкой от 1,8 млрд до бесконечности", "рейтинг заказчиков маркер", "производители", "рейтинг по нмц маркер", "это заказчик", "crm управления", "в crm за Ким", "поставщики маркер"</t>
  </si>
  <si>
    <t>"на фт заводил Пител", "свод фт", ".", "кредиты фт", "лимит сит по кредитам", "Участники клиринга"</t>
  </si>
  <si>
    <t>За весь период контрактов 1 шт. на общую сумму НМЦ 10 958 852 600,10 ?</t>
  </si>
  <si>
    <t>64.91.10.190 Услуги по финансовой аренде (лизингу/сублизингу) в прочих областях, кроме племенных животных
77.33.12.000 Услуги по аренде и лизингу вычислительной техники
62.09 Услуги в области информационных технологий прочие и компьютерные услуги
62.03.12.130 Услуги по сопровождению компьютерных систем</t>
  </si>
  <si>
    <t>За весь период контрактов 8 шт. на общую сумму НМЦ 13 807 378 101,21 ?</t>
  </si>
  <si>
    <t>70.22.14.000 Услуги консультативные по вопросам управления трудовыми ресурсами
73.20 Услуги по исследованию конъюнктуры рынка и общественного мнения
78.10 Услуги, предоставляемые агентствами по трудоустройству
78.10.11.000 Услуги по поиску и трудоустройству руководящих работников
78.30.19 Услуги в области трудовых ресурсов по обеспечению персоналом прочие, не включенные в другие группировки
18.12.12.000 Услуги по печатанию торгово-рекламных каталогов, проспектов, плакатов и прочей печатной рекламной продукции
73.20.14 Услуги по исследованию конъюнктуры рынка, кроме опросов
78 Услуги по трудоустройству и подбору персонала
78.20.19.000 Услуги агентств по временному трудоустройству по обеспечению прочим персоналом
63.91.12.000 Услуги информационных агентств, предоставляемые аудиовизуальным средствам массовой информации ****</t>
  </si>
  <si>
    <t>ЗА 3 ГОДА ПО 223 ФЗ заключено 49 шт. с объемом НМЦ 38 351 697,00 ? за 1 ГОД ПО 223ФЗ заключено 11  11 867 229,55 ?</t>
  </si>
  <si>
    <t>"223 за 3 года", ".", "fk1", "корп 1", "все клиенты с выручкой от 1,8 млрд до бесконечности", "ФК клиенты с выручкой от 230 до бесконечности", "Обороты по клиентам по кварталам (2022г)", "это заказчик", "поставщики маркер", "44 за 3 года"</t>
  </si>
  <si>
    <t>19.20.22 Топливо реактивное бензинового типа
30.30.50.110 Комплектующие (запасные части) летательных аппаратов, не имеющие самостоятельных группировок
19.20.25 Топливо реактивное керосинового типа
19.20.25.120 Топливо для реактивных двигателей летательных аппаратов со сверхзвуковой скоростью полета
19.20.28.110 Мазут топочный
19.20 Нефтепродукты</t>
  </si>
  <si>
    <t>За весь период компания заключила  3 контрактов на сумму  1 370 888 000,00 ? За весь период заходили в конкурсы  9 раз на общую сумму обеспеченных контрактов с НМЦ 1 354 654 999,54 ? с БГУ  81 938 031,10 ? с БГИ 255 315 128,20 ?                             ЗА 3 ГОДА ПО 223 ФЗ заключено 10 шт. с объемом НМЦ 385 424 000,00 ? за 1 ГОД ПО 223ФЗ заключено 3  150 840 000,00 ?</t>
  </si>
  <si>
    <t>"223 за 3 года", ".", "рейтинг поставщиков в маркере по бг", "все клиенты с выручкой от 1,8 млрд до бесконечности", "Участники клиринга", "223 фз контракты 20+", "рейтинг по нмц маркер", "crm управления", "crm Пител", "поставщики маркер"</t>
  </si>
  <si>
    <t>35.13.10.000 Услуги по распределению электроэнергии
35.30.11.120 Энергия тепловая, отпущенная котельными
35.30.12.130 Услуги по транспортированию горячей воды
35.30.11.111 Энергия тепловая, отпущенная тепловыми электроцентралями (ТЭЦ)
35.30.11.110 Энергия тепловая, отпущенная электростанциями
36.00.20.130 Услуги по транспортированию и распределению воды по водопроводам
35.30.11.119 Энергия тепловая, отпущенная прочими электростанциями
63.11.11.000 Услуги по обработке данных</t>
  </si>
  <si>
    <t>ЗА 3 ГОДА ПО 223 ФЗ заключено 2 шт. с объемом НМЦ 372 801 672,12 ? за 1 ГОД ПО 223ФЗ заключено 1  372 145 985,00 ?</t>
  </si>
  <si>
    <t>28.14.13.110 Клапаны запорные
28.14.1 Арматура (краны, клапаны и другая аналогичная арматура) для трубопроводов, сосудов, котлов, цистерн, баков и аналогичных емкостей
28.14.11.120 Арматура регулирующая
24.20 Трубы, профили пустотелые и их фитинги стальные
25.73.30.175 Ключи специальные
25.73.60.120 Инструменты для бурения скальных пород или грунтов
28.14.11.130 Арматура обратная
28.14.13.120 Задвижки</t>
  </si>
  <si>
    <t>"производители", ".", "fk1", "ПОС на 01.02.2023", "портфель 31.10.2021_10 тыс_проверка",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</si>
  <si>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69.20.1 Услуги по проведению финансового аудита
69.20.31.000 Услуги по налоговому консультированию и подготовка налоговой документации для юридических лиц
69.20.23 Услуги по принятию, своду и консолидации бухгалтерской (финансовой) отчетности
69.2 Услуги в области бухгалтерского учета; по проведению финансового аудита; по налоговому консультированию
70.22.12 Услуги консультативные по вопросам финансового управления (кроме вопросов корпоративного налогообложения)
69.20.22.000 Услуги по бухгалтерскому консультированию
70.22 Услуги консультативные в области управления предприятием</t>
  </si>
  <si>
    <t>За весь период компания заключила  17 контрактов на сумму  3 139 281 960,00 ? За весь период заходили в конкурсы  46 раз на общую сумму обеспеченных контрактов с НМЦ 7 735 808 002,90 ? с БГУ  362 203 184,47 ? с БГИ 2 830 181 228,57 ? За 3 ГОДА по 44ФЗ заключено 20 шт. с объемом НМЦ  1 626 402 369,78 ? с БГИ 328 828 795,34 ? с БГГО 105 880 200,00 ? с авансированием до 124 678 610,57 ? с комиссией банку 4 398 491,47 ? с кв 38 266,88 ? ЗА 1 ГОД по 44ФЗ заключено 5 шт. c объемом НМЦ 408 762 900,00 ? с БГИ 113 392 870,00 ? с БГГО 0,00 ? с авансированием до  0,00 ? с комиссией банку  1 462 181,55 ? с кв 12 720,98 ? ЗА 3 ГОДА ПО 223 ФЗ заключено 29 шт. с объемом НМЦ 536 947 206,27 ? за 1 ГОД ПО 223ФЗ заключено 2  10 080 000,00 ?</t>
  </si>
  <si>
    <t>"223 за 3 года", ".", "рейтинг поставщиков в маркере по бг", "ГРАНДИОЗНЫЙ ПРОЕКТ", "Конкурсы 100+ (Восстановленный)", "ПСБ Гарантии ", "все клиенты с выручкой от 1,8 млрд до бесконечности", "44 фз с с БГ от 10 млн", "рейтинг по нмц маркер", "поставщики маркер", "44 за 3 года"</t>
  </si>
  <si>
    <t>52.23.19 Услуги вспомогательные прочие, связанные с воздушным транспортом</t>
  </si>
  <si>
    <t>68.10.14.000 Услуги по покупке и продаже нежилых зданий и занимаемых ими земельных участков
68.20.12.000 Услуги по сдаче в аренду (внаем) собственных или арендованных нежилых помещений
30.11.91.000 Услуги по переоборудованию и восстановлению судов, плавучих платформ и конструкций</t>
  </si>
  <si>
    <t>За весь период компания заключила  1 контрактов на сумму  1 249 182 427,79 ? За весь период заходили в конкурсы  1 раз на общую сумму обеспеченных контрактов с НМЦ 1 249 182 427,79 ? с БГУ  14 672 771,08 ? с БГИ 440 183 132,40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</si>
  <si>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23.99.13.114 Смеси асфальтобетонные дорожные, аэродромные и асфальтобетон горячие щебено-мастичные
71.12.20.190 Услуги по руководству строительными проектами прочие
41.20.40.900 Работы строительные по возведению нежилых зданий и сооружений прочие, не включенные в другие группировки
41.10.10.000 Документация проектная для строительства
42.11.10.160 Полосы взлетно-посадочные аэродромов, включая рулежные дорожки и аналогичных сооружений аэродромов, кроме зданий
62.01.11.000 Услуги по проектированию и разработке информационных технологий для прикладных задач и тестированию программного обеспечения
42.11.10.129 Дороги автомобильные, в том числе улично-дорожная сеть, и прочие автомобильные и пешеходные дороги,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 ****</t>
  </si>
  <si>
    <t>1 713</t>
  </si>
  <si>
    <t>За весь период контрактов 96 шт. на общую сумму НМЦ 166 373 639 820,61 ?</t>
  </si>
  <si>
    <t>Сообщение кредитора о намерении обратиться в суд с заявлением о банкротстве от 03.04.2023</t>
  </si>
  <si>
    <t>"44 за 3 года", ".", "рейтинг поставщиков в маркере по бг", "ГРАНДИОЗНЫЙ ПРОЕКТ", "Конкурсы 100+ (Восстановленный)", "все клиенты с выручкой от 1,8 млрд до бесконечности", "44 фз с с БГ от 10 млн", "рейтинг заказчиков маркер", "рейтинг по нмц маркер", "это заказчик", "поставщики маркер"</t>
  </si>
  <si>
    <t>27.51.11.110 Холодильники бытовые
27 Оборудование электрическое</t>
  </si>
  <si>
    <t>26.30.2 Оборудование оконечное (пользовательское) телефонной или телеграфной связи, аппаратура видеосвязи
26.30.22 Аппараты телефонные для сотовых сетей связи или для прочих беспроводных сетей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52.29.20.000 Услуги транспортные вспомогательные прочие, не включенные в другие группировки</t>
  </si>
  <si>
    <t>55.10 Услуги гостиниц и аналогичные услуги по предоставлению временного жилья
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86.90.19.140 Услуги санаторно-курортных организаций
55 Услуги по предоставлению мест для временного проживания
56.10.11.129 Услуги прочих предприятий питания с полным обслуживанием без сопровождения развлекательных программ
38.11.29.000 Услуги по сбору прочих неопасных отходов, непригодных для повторного использования
55.90.1 Услуги по предоставлению временного жилья прочие
81.29.19.000 Услуги по чистке и уборке прочие, не включенные в другие группировки
96.01.19.125 Услуги по стирке белья с различными пятнами, требующая особого режима обслуживания
55.20.12.000 Услуги по предоставлению временного жилья для посетителей в помещениях, предоставляемых по договорам краткосрочного найма ****</t>
  </si>
  <si>
    <t>За весь период заходили в конкурсы  1 раз на общую сумму обеспеченных контрактов с НМЦ 391 335 004,75 ? с БГУ  0,00 ? с БГИ 122 938 081,37 ?                             ЗА 3 ГОДА ПО 223 ФЗ заключено 2 шт. с объемом НМЦ 85 217 280,00 ?</t>
  </si>
  <si>
    <t>Сообщение кредитора о намерении обратиться в суд с заявлением о банкротстве от 22.08.2018</t>
  </si>
  <si>
    <t>"223 за 3 года", ".", "рейтинг поставщиков в маркере по бг", "fk1", "ПОС на 03.04.2023", "Все БГ поиск клиентов Банка и их контакты РЭБ", "все клиенты с выручкой от 1,8 млрд до бесконечности", "рейтинг заказчиков маркер", "рейтинг по нмц маркер", "это заказчик", "поставщики маркер", "44 за 3 года"</t>
  </si>
  <si>
    <t>22.11.11.000 Шины и покрышки пневматические для легковых автомобилей новые
22.11.13 Шины и покрышки пневматические для автобусов, грузовых автомобилей или для использования в авиации новые
22.11.14 Шины и покрышки пневматические для сельскохозяйственных машин; шины и покрышки пневматические прочие новые
22.11.14.199 Шины пневматические прочие, не включенные в другие группировки
22.11.15 Камеры и шины резиновые сплошные или полупневматические, протекторы взаимозаменяемые и ленты ободные из резины
45.32 Услуги по розничной торговле автомобильными деталями, узлами и принадлежностями
29.32.30.220 Колеса, ступицы и их детали
22.11.1 Шины, покрышки и камеры резиновые новые
22.11.12.110 Шины пневматические для мотоциклов, мотоколясок, мотороллеров, мопедов и квадрициклов
22.19 Изделия из резины прочие ****</t>
  </si>
  <si>
    <t>За 3 ГОДА по 44ФЗ заключено 147 шт. с объемом НМЦ  174 433 887,60 ? с БГИ 13 989 559,24 ? с БГГО 4 418 811,65 ? с авансированием до 1 716 859,61 ? с комиссией банку 186 845,35 ? с кв 1 625,55 ?               ЗА 3 ГОДА ПО 223 ФЗ заключено 30 шт. с объемом НМЦ 20 473 466,94 ?</t>
  </si>
  <si>
    <t>"223 за 3 года", ".", "закрыли счет", "все клиенты с выручкой от 1,8 млрд до бесконечности", "поставщики маркер", "44 за 3 года"</t>
  </si>
  <si>
    <t>28.21.13.119 Электропечи и камеры промышленные или лабораторные прочие, не включенные в другие группировки
27.51.2 Приборы бытовые электрические прочие, не включенные в другие группировки
28.24.12.120 Инструменты ручные гидравлические
28.30.22.110 Тракторы сельскохозяйственные колесные с мощностью двигателя от 37 кВт до 59 кВт
28.30.53.000 Прессы для соломы или сена, включая пресс-подборщики
28.99.3 Оборудование специального назначения, не включенное в другие группировки
25.73.30.176 Головки сменные и принадлежности к ним в наборах и россыпью
25.73.30.210 Рубанки, долота, стамески и аналогичные режущие инструменты для обработки древесины
28.30.86.130 Оборудование для лесного хозяйства, не включенное в другие группировки
25.73.60.190 Инструмент прочий, не включенный в другие группировки ****</t>
  </si>
  <si>
    <t>26.51.43.134 Ваттметры и варметры щитовые аналоговые
26.51.52.130 Приборы для измерения или контроля давления жидкостей и газов
26.51.64.190 Приборы для измерения параметров движения и количества прочие
33.20.39 Услуги по монтажу прочего оборудования специального назначения
26.51.66.129 Приборы неразрушающего контроля прочие
28.14.13 Арматура запорная для управления процессом (задвижки, краны, клапаны запорные, затворы дисковые и другая арматура)
28.29.39.000 Оборудование для взвешивания и дозировки прочее
26.51.43.131 Амперметры щитовые аналоговые
26.51.8 Части и принадлежности оборудования для измерения, испытаний и навигации
26.30.30.000 Части и комплектующие коммуникационного оборудования ****</t>
  </si>
  <si>
    <t>За весь период контрактов 12 шт. на общую сумму НМЦ 6 534 698 142,12 ?</t>
  </si>
  <si>
    <t>Юридическим лицом принято решение об изменении места нахождения от 28.04.2023, Сообщение кредитора о намерении обратиться в суд с заявлением о банкротстве от 02.10.2018</t>
  </si>
  <si>
    <t>26.30.30.000 Части и комплектующие коммуникационного оборудования
61.10 Услуги телекоммуникационные проводные
58.29.12.000 Обеспечение программное сетевое на электронном носителе
63.11.12.000 Услуги по размещению в информационно-коммуникационной сети Интернет
26.20.14.000 Машины вычислительные электронные цифровые, поставляемые в виде систем для автоматической обработки данных
63.11.19.000 Услуги прочие по размещению и предоставлению инфраструктуры информационных технологий
62.03.12.190 Услуги по управлению компьютерными системами прочие, не включенные в другие группировки
26.30.11.120 Средства связи, выполняющие функцию цифровых транспортных систем
58.29.50.000 Услуги по предоставлению лицензий на право использовать компьютерное программное обеспечение
62.01.11.000 Услуги по проектированию и разработке информационных технологий для прикладных задач и тестированию программного обеспечения ****</t>
  </si>
  <si>
    <t>За весь период компания заключила  17 контрактов на сумму  19 017 764 828,33 ? За весь период заходили в конкурсы  17 раз на общую сумму обеспеченных контрактов с НМЦ 17 455 009 096,56 ? с БГУ  827 080 313,27 ? с БГИ 3 296 577 029,93 ? За 3 ГОДА по 44ФЗ заключено 6 шт. с объемом НМЦ  4 978 757 961,93 ? с БГИ 894 922 388,58 ? с БГГО 1 552 500,00 ? с авансированием до 4 192 556,38 ? с комиссией банку 6 924 673,55 ? с кв 60 244,66 ? ЗА 1 ГОД по 44ФЗ заключено 3 шт. c объемом НМЦ 1 937 122 771,78 ? с БГИ 581 136 831,53 ? с БГГО 0,00 ? с авансированием до  4 192 556,38 ? с комиссией банку  6 898 472,46 ? с кв 60 016,71 ?</t>
  </si>
  <si>
    <t>Юридическое лицо находится в процессе реорганизации в форме присоединения к нему других юридических лиц от 06.04.2023, Сообщения о принятии решения о реорганизации от 28.03.2023</t>
  </si>
  <si>
    <t>"223 за 3 года", ".", "рейтинг поставщиков в маркере по бг", "44 фз с с БГ от 10 млн", "рейтинг заказчиков маркер", "рейтинг по нмц маркер", "это заказчик", "поставщики маркер", "44 за 3 года"</t>
  </si>
  <si>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t>
  </si>
  <si>
    <t>Юридическим лицом принято решение об изменении места нахождения от 15.08.2016</t>
  </si>
  <si>
    <t>42.11 Дороги автомобильные и автомагистрали; строительные работы по строительству автомобильных дорог и автомагистралей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38.11.19.000 Услуги по сбору прочих неопасных отходов, пригодных для повторного использования
81.10.10 Услуги по комплексному обслуживанию помещений
77.1 Услуги по аренде и лизингу автотранспортных средств
81.29.12.000 Услуги по подметанию и уборке снега
42.11.10.120 Дороги автомобильные, в том числе улично-дорожная сеть, и прочие автомобильные и пешеходные дороги
38.11.21.000 Услуги по сбору неопасных отходов городского хозяйства, непригодных для повторного использования
81.29.13.000 Услуги санитарно-гигиенические прочие
38.21.29.000 Услуги по утилизации неопасных отходов прочие ****</t>
  </si>
  <si>
    <t>За весь период компания заключила  91 контрактов на сумму  63 472 930 661,04 ? За весь период заходили в конкурсы  116 раз на общую сумму обеспеченных контрактов с НМЦ 70 851 313 128,28 ? с БГУ  817 654 248,13 ? с БГИ 7 473 109 167,24 ? За 3 ГОДА по 44ФЗ заключено 24 шт. с объемом НМЦ  14 115 190 410,17 ? с БГИ 1 215 431 298,00 ? с БГГО 522 197 167,89 ? с авансированием до 835 751 437,52 ? с комиссией банку 27 180 836,90 ? с кв 236 473,28 ? ЗА 1 ГОД по 44ФЗ заключено 7 шт. c объемом НМЦ 7 005 017 177,43 ? с БГИ 541 903 814,43 ? с БГГО 290 903 973,00 ? с авансированием до  470 120 278,14 ? с комиссией банку  16 937 749,98 ? с кв 147 358,42 ? ЗА 3 ГОДА ПО 223 ФЗ заключено 12 шт. с объемом НМЦ 120 638 008,78 ? за 1 ГОД ПО 223ФЗ заключено 4  141 140 154,06 ?</t>
  </si>
  <si>
    <t>"223 за 3 года", ".", "рейтинг поставщиков в маркере по бг", "ГРАНДИОЗНЫЙ ПРОЕКТ", "Конкурсы 100+ (Восстановленный)", "все клиенты с выручкой от 1,8 млрд до бесконечности", "223 фз контракты 20+", "44 фз с с БГ от 10 млн", "рейтинг заказчиков маркер", "рейтинг по нмц маркер", "это заказчик", "поставщики маркер", "44 за 3 года"</t>
  </si>
  <si>
    <t>68.31 Услуги агентств недвижимости, предоставляемые за вознаграждение или на договорной основе</t>
  </si>
  <si>
    <t>За весь период контрактов 2 шт. на общую сумму НМЦ 2 668 787 909,20 ?</t>
  </si>
  <si>
    <t>49.10.19.111 Услуги по перевозке пассажиров железнодорожным транспортом в междугородном сообщении в регулируемом секторе
49.31.10.110 Услуги по перевозке пассажиров железнодорожным транспортом во внутригородском и пригородном сообщении в регулируемом секторе
49.10.11.000 Услуги железнодорожного транспорта по перевозке пассажиров в междугородном и международном сообщении экскурсионные
49.10.19 Услуги железнодорожного транспорта по перевозке пассажиров в междугородном и международном сообщении прочие
49.31.10 Услуги по внутригородским и пригородным железнодорожным перевозкам пассажиров</t>
  </si>
  <si>
    <t>За весь период контрактов 18 шт. на общую сумму НМЦ 67 587 839 003,11 ?</t>
  </si>
  <si>
    <t>Сообщение кредитора о намерении обратиться в суд с заявлением о банкротстве от 24.01.2018</t>
  </si>
  <si>
    <t>"223 за 3 года", ".", "fk1", "Кредитный портфель_01.11", "корп 1", "06.2022_ФинХД", "все клиенты с выручкой от 1,8 млрд до бесконечности", "ФК клиенты с выручкой от 230 до бесконечности", "клиенты от 100 млн", "рейтинг заказчиков маркер", "рейтинг по нмц маркер", "это заказчик", "поставщики маркер", "44 за 3 года"</t>
  </si>
  <si>
    <t>28.13.14.110 Насосы центробежные подачи жидкостей прочие
28.14.12.120 Клапаны для радиаторов центрального отопления
28.14.1 Арматура (краны, клапаны и другая аналогичная арматура) для трубопроводов, сосудов, котлов, цистерн, баков и аналогичных емкостей
27.32.13.199 Кабели, провода и другие проводники прочие на напряжение до 1 кВ, не включенные в другие группировки
28.12.2 Части гидравлического и пневматического силового оборудования
25.3 Котлы паровые, кроме водогрейных котлов центрального отопления
25.30.12.110 Оборудование вспомогательное для использования вместе с паровыми котлами
28.13 Насосы и компрессоры прочие
27.12.31 Панели и прочие комплекты электрической аппаратуры коммутации или защиты на напряжение не более 1 кВ
28.99 Оборудование специального назначения прочее, не включенное в другие группировки ****</t>
  </si>
  <si>
    <t>25.93.12.110 Проволока колючая из черных металлов
25.93.15.120 Электроды с покрытием
25.11 Металлоконструкции строительные и их части
25.93 Проволока, цепи и пружины
24.34.11.120 Проволока стальная канатная из нелегированной стали
25.93.11 Проволока скрученная, канаты, шнуры плетеные, стропы и аналогичные изделия из черных металлов без электрической изоляции
25.93.11.120 Канаты из черных металлов без электрической изоляции
24.10.52.000 Прокат листовой из прочих легированных сталей, шириной не менее 600 мм, плакированный, с гальваническим или иным покрытием
25.9 Изделия металлические готовые прочие
24.10.41.000 Прокат листовой холоднокатаный из прочих нелегированных сталей, без дополнительной обработки, шириной не менее 600 мм ****</t>
  </si>
  <si>
    <t>"Обороты по клиентам по кварталам (2022г)", ".", "ушедший портфель", "инн Ленинградка", "fk1",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"клиенты от 100 млн"</t>
  </si>
  <si>
    <t>27.90.40.190 Оборудование электрическое прочее, не включенное в другие группировки
27.40.39.113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</si>
  <si>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68.10.14.000 Услуги по покупке и продаже нежилых зданий и занимаемых ими земельных участков
33.20.34.000 Услуги по монтажу промышленных машин и оборудования для добычи полезных ископаемых подземным способом
33.12.2 Услуги по ремонту и техническому обслуживанию оборудования специального назначения
33.12.29.900 Услуги по ремонту и техническому обслуживанию прочего оборудования специального назначения, не включенные в другие группировки
28.11.33.000 Части газовых турбин, кроме турбореактивных и турбовинтовых двигателей
33.12 Услуги по ремонту оборудования
33.12.11.000 Услуги по ремонту и техническому обслуживанию двигателей и турбин, кроме авиационных, автомобильных и мотоциклетных двигателей
33.12.15.000 Услуги по ремонту и техническому обслуживанию подъемно-транспортного оборудования
33.12.19.000 Услуги по ремонту и техническому обслуживанию прочего оборудования общего назначения, не включенного в другие группировки</t>
  </si>
  <si>
    <t>За весь период контрактов 80 шт. на общую сумму НМЦ 57 848 284 739,99 ?</t>
  </si>
  <si>
    <t>28.29.84 Части оборудования, не имеющие электрических соединений, не включенные в другие группировки
28.30.93.000 Части прочих машин и оборудования для сельского хозяйства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45.11 Услуги по торговле легковыми автомобилями и грузовыми автомобилями малой грузоподъемности
45.32.12.000 Услуги по розничной торговле прочими автомобильными деталями, узлами и принадлежностями в специализированных магазинах
45.20.11.519 Прочие услуги по техническому обслуживанию и ремонту прочих автотранспортных средств, не включенные в другие группировки
28.22.2 Ковши, черпаки, грейферы и захваты для подъемных кранов, экскаваторов и аналогичного оборудования
28.30.2 Тракторы для сельского хозяйства прочие
33.12.2 Услуги по ремонту и техническому обслуживанию оборудования специального назначения
45.20.2 Услуги по техническому обслуживанию и ремонту прочих автотранспортных средств ****</t>
  </si>
  <si>
    <t>За весь период компания заключила  2 контрактов на сумму  429 929 968,23 ? За весь период заходили в конкурсы  2 раз на общую сумму обеспеченных контрактов с НМЦ 82 500 000,00 ? с БГУ  8 250 000,00 ? с БГИ 132 000 000,00 ?                             ЗА 3 ГОДА ПО 223 ФЗ заключено 21 шт. с объемом НМЦ 126 178 571,50 ? за 1 ГОД ПО 223ФЗ заключено 4  42 269 507,63 ?</t>
  </si>
  <si>
    <t>Юридическое лицо находится в процессе реорганизации в форме преобразования от 29.09.2022, Сообщения о принятии решения о реорганизации от 26.09.2022</t>
  </si>
  <si>
    <t>42.22.22.120 Работы строительные по строительству трансформаторных станций и подстанций для распределения электричества в пределах какого-либо района
42.22.21 Работы строительные по прокладке магистральных линий электропередачи и связи
42.22 Сооружения и строительные работы по строительству коммунальных объектов для электроснабжения и связи
42.22.11.110 Линии (кабели) электропередачи высокого напряжения
42.22.21.120 Работы строительные по прокладке подводных или подземных линий электропередачи значительной протяженности и по их ремонту
46.69 Услуги по оптовой торговле прочими машинами и оборудованием
42.22.22 Работы строительные по прокладке местных линий электропередачи и связи</t>
  </si>
  <si>
    <t>За весь период компания заключила  25 контрактов на сумму  88 302 711 094,60 ? За весь период заходили в конкурсы  8 раз на общую сумму обеспеченных контрактов с НМЦ 56 911 097 701,28 ? с БГУ  375 774 332,05 ? с БГИ 5 610 738 786,01 ? За 3 ГОДА по 44ФЗ заключено 6 шт. с объемом НМЦ  8 756 419 628,85 ? с БГИ 854 086 024,15 ? с БГГО 143 734 779,89 ? с авансированием до 2 866 665 228,66 ? с комиссией банку 14 767 201,33 ? с кв 128 474,65 ?</t>
  </si>
  <si>
    <t>"44 за 3 года", "свод фт", ".", "рейтинг поставщиков в маркере по бг", "ГРАНДИОЗНЫЙ ПРОЕКТ", "беники", "все клиенты с выручкой от 1,8 млрд до бесконечности", "рейтинг заказчиков маркер", "рейтинг по нмц маркер", "это заказчик", "на фт заводил Пител", "на фт заводил Вохмина", "crm управления", "crm Пител", "поставщики маркер"</t>
  </si>
  <si>
    <t>За весь период компания заключила  1 контрактов на сумму  480 000 000,00 ?</t>
  </si>
  <si>
    <t>"это заказчик", ".", "fk1", "06.2022_ФинХД", "все клиенты с выручкой от 1,8 млрд до бесконечности", "Обороты по клиентам по кварталам (2022г)", "рейтинг по нмц маркер"</t>
  </si>
  <si>
    <t>Заказчик разыгравший 11 конкурсов на сумму  716 868 343,82 ?</t>
  </si>
  <si>
    <t>77.39.19.119 Услуги по аренде и лизингу прочих машин и оборудования научного и промышленного назначения
58.29.29.000 Обеспечение программное прикладное прочее на электронном носителе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77.39.19.116 Услуги по аренде и лизингу приборов, аппаратов и прочего оборудования, применяемых в медицинских целях
53.20.11.190 Услуги по курьерской доставке различными видами транспорта прочие
62.03.12.190 Услуги по управлению компьютерными системами прочие, не включенные в другие группировки
74.90.20.149 Услуги (работы) в области защиты информации прочие
62.01.11.000 Услуги по проектированию и разработке информационных технологий для прикладных задач и тестированию программного обеспечения
62.01.29.000 Оригиналы программного обеспечения прочие
26.20.40.140 Средства защиты информации, а также информационные и телекоммуникационные системы, защищенные с использованием средств защиты информации ****</t>
  </si>
  <si>
    <t>За весь период контрактов 10 шт. на общую сумму НМЦ 3 251 464 197,78 ?</t>
  </si>
  <si>
    <t>"44 за 3 года", ".", "рейтинг поставщиков в маркере по бг", "все клиенты с выручкой от 1,8 млрд до бесконечности", "44 фз с с БГ от 10 млн", "рейтинг заказчиков маркер", "рейтинг по нмц маркер", "это заказчик", "crm управления", "crm Пител", "поставщики маркер"</t>
  </si>
  <si>
    <t>71.20.12.000 Услуги в области испытаний, исследований и анализа физико-механических свойств материалов и веществ
72.19.50 Работы оригинальные научных исследований и экспериментальных разработок в области естественных и технических наук, кроме биотехнологии
33.15.10.000 Услуги по ремонту и техническому обслуживанию судов и лодок
68.20.12 Услуги по сдаче в аренду (внаем) собственных или арендованных нежилых помещений</t>
  </si>
  <si>
    <t>За весь период контрактов 9 шт. на общую сумму НМЦ 9 166 914 355,42 ?</t>
  </si>
  <si>
    <t>86.21.10 Услуги в области общей врачебной практики
86.10.13.110 Услуги, оказываемые врачами центров реабилитации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35.30.11.111 Энергия тепловая, отпущенная тепловыми электроцентралями (ТЭЦ)
68.20.12.000 Услуги по сдаче в аренду (внаем) собственных или арендованных нежилых помещений
85.41.99.000 Услуги в области дополнительного образования прочие, не включенные в другие группировки</t>
  </si>
  <si>
    <t>72.19.29.122 Услуги по проведению опытно-конструкторских работ в области использования атомной энергии
25.30.22.142 Машины для перегрузки ядерных реакторов
71.12.11 Услуги в виде научно-технических консультаций
28.99.39.190 Оборудование специального назначения прочее, не включенное в другие группировки
72.19.1 Услуги, связанные с научными исследованиями и экспериментальными разработками в области прочих естественных наук
33.19.10.000 Услуги по ремонту прочего оборудования
33.12.29.100 Услуги по ремонту объектов использования атомной энергии
72.19.2 Услуги, связанные с научными исследованиями и экспериментальными разработками в области технических наук и в области технологий, кроме биотехнологии
77.40.11 Услуги по предоставлению лицензий на право использования продуктов научных исследований и экспериментальных разработок
71.12.12.110 Услуги по проектированию (включая изыскания) объектов использования атомной энергии ****</t>
  </si>
  <si>
    <t>За весь период компания заключила  29 контрактов на сумму  24 052 239 698,61 ? За весь период заходили в конкурсы  9 раз на общую сумму обеспеченных контрактов с НМЦ 9 646 377 678,82 ? с БГУ  476 633 097,60 ? с БГИ 4 184 684 377,28 ?                             ЗА 3 ГОДА ПО 223 ФЗ заключено 12 шт. с объемом НМЦ 1 562 994 515,48 ? за 1 ГОД ПО 223ФЗ заключено 3  27 305 318,86 ?</t>
  </si>
  <si>
    <t>64.20.10.000 Услуги холдинговых компаний</t>
  </si>
  <si>
    <t>1 507</t>
  </si>
  <si>
    <t>38.11.19.000 Услуги по сбору прочих неопасных отходов, пригодных для повторного использования
38.22.29.000 Услуги по утилизации прочих опасных отходов
38.11.1 Услуги по сбору неопасных отходов, пригодных для повторного использования
38.11.31.000 Отходы неопасные бытовые, непригодные для повторного использования
28.99.39.190 Оборудование специального назначения прочее, не включенное в другие группировки
38.11.21.000 Услуги по сбору неопасных отходов городского хозяйства, непригодных для повторного использования
38.12.21.000 Элементы (кассеты) ядерных реакторов отработанные (облученные) тепловыделяющие
38.11 Отходы неопасные; услуги по сбору неопасных отходов
38.11.29 Услуги по сбору прочих неопасных отходов, непригодных для повторного использования
38.22.21.900 Услуги по обращению с удаляемыми радиоактивными отходами прочие, не включенные в другие группировки ****</t>
  </si>
  <si>
    <t>за 1 ГОД ПО 223ФЗ заключено 11  5 965 376,27 ?</t>
  </si>
  <si>
    <t>24.10.80.190 Прокат черных металлов прочий, не включенный в другие группировки
25.93.14.110 Гвозди
25.93.15.110 Проволока, прутки присадочные, стержни, пластины
25.93.15.120 Электроды с покрытием
27.3 Кабели и арматура кабельная
27.90.13.129 Электроды угольные и изделия из графита и других видов углерода электротехнические прочие, не включенные в другие группировки
24.10.2 Сталь
24.32.10 Прокат листовой холоднокатаный стальной, неплакированный, шириной менее 600 мм
24.34.11.130 Проволока стальная сварочная из нелегированной стали
24.34.11.190 Проволока холоднотянутая прочая из нелегированной стали ****</t>
  </si>
  <si>
    <t>за 1 ГОД ПО 223ФЗ заключено 3  32 759 195,87 ?</t>
  </si>
  <si>
    <t>"223 за 3 года", ".", "fk1", "ПОС на 01.02.2023",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"223 фз контракты 20+", "это заказчик", "поставщики маркер", "44 за 3 года"</t>
  </si>
  <si>
    <t>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68.20 Услуги по сдаче в аренду (внаем) собственного или арендованного недвижимого имущества
68.20.11 Услуги по сдаче в аренду (внаем) собственных или арендованных жилых помещений
56.10.11.129 Услуги прочих предприятий питания с полным обслуживанием без сопровождения развлекательных программ
82.30.11.000 Услуги по организации конференций
68.20.12.000 Услуги по сдаче в аренду (внаем) собственных или арендованных нежилых помещений
56.21.19.000 Услуги по поставке продукции общественного питания и обслуживанию торжественных мероприятий прочие
84.21.11.000 Услуги государственного управления, связанные с иностранными делами, дипломатические и консульские услуги за границей</t>
  </si>
  <si>
    <t>За весь период заходили в конкурсы  1 раз на общую сумму обеспеченных контрактов с НМЦ 4 800,00 ? с БГУ  902 261,25 ? с БГИ 18 045 225,00 ?</t>
  </si>
  <si>
    <t>11.02.12.130 Винные напитки
49.41.19.900 Услуги по перевозке грузов автомобильным транспортом прочие, не включенные в другие группировки
11.07.19.130 Напитки безалкогольные с соком, морсовые, на растительном сырье, на ароматизаторах, специального назначения и на минеральной воде
68.20.12.000 Услуги по сдаче в аренду (внаем) собственных или арендованных нежилых помещений
11.02.12.111 Вино столовое</t>
  </si>
  <si>
    <t>Сообщения о принятии решения о реорганизации от 23.01.2018</t>
  </si>
  <si>
    <t>19.20.21.341 Топливо дизельное межсезонное вне классов
19.20.21.124 Бензин автомобильный с октановым числом более 92, но не более 95 по исследовательскому методу экологического класса К4
19.20.21.321 Топливо дизельное зимнее вне классов
19.20.21.324 Топливо дизельное зимнее экологического класса К4
19.20.21 Топливо моторное, включая автомобильный и авиационный бензин
19.20.21.100 Бензин автомобильный
19.20.21.122 Бензин автомобильный с октановым числом более 92, но не более 95 по исследовательскому методу экологического класса К2
19.20.21.310 Топливо дизельное летнее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t>
  </si>
  <si>
    <t>За весь период заходили в конкурсы  13 раз на общую сумму обеспеченных контрактов с НМЦ 833 017 120,25 ? с БГУ  14 600 828,45 ? с БГИ 121 652 272,42 ? За 3 ГОДА по 44ФЗ заключено 724 шт. с объемом НМЦ  2 604 121 802,79 ? с БГИ 324 545 508,45 ? с БГГО 2 228 218,93 ? с авансированием до 32 263 673,93 ? с комиссией банку 3 243 367,81 ? с кв 28 217,30 ? ЗА 1 ГОД по 44ФЗ заключено 108 шт. c объемом НМЦ 416 227 849,40 ? с БГИ 37 433 345,38 ? с БГГО 0,00 ? с авансированием до  761 663,00 ? с комиссией банку  616 059,77 ? с кв 5 359,72 ? ЗА 3 ГОДА ПО 223 ФЗ заключено 40 шт. с объемом НМЦ 175 836 617,00 ? за 1 ГОД ПО 223ФЗ заключено 6  19 790 689,80 ?</t>
  </si>
  <si>
    <t>"223 за 3 года", "кл фт агент бг 04.22", ".", "рейтинг поставщиков в маркере по бг", "БГИ", "fk1", "БГ ФБ ЮР лица на 01.07.2021", "филиал бизнес 31.01.22 ", "клиенты с в от100млн 09.21", "все клиенты с выручкой от 1,8 млрд до бесконечности", "ФК клиенты с выручкой от 230 до бесконечности", "действующие б не прям", "Обороты по клиентам по кварталам (2022г)", "ФТ клиенты с продуктами по сотрудникам", "44 фз с с БГ от 10 млн", "рейтинг по нмц маркер", "поставщики маркер", "44 за 3 года"</t>
  </si>
  <si>
    <t>За весь период компания заключила  5 контрактов на сумму  57 043 634 000,00 ?</t>
  </si>
  <si>
    <t>За весь период компания заключила  24 контрактов на сумму  51 419 217 173,67 ?</t>
  </si>
  <si>
    <t>20.14.71.151 Скипидар живичный
23.31.10.120 Плитки керамические
16.21.12.110 Фанера
16.21.12.111 Фанера общего назначения
24.10.62.124 Прокат сортовой горячекатаный полосовой прочий, без дополнительной обработки, включая смотанный после прокатки, из нелегированных сталей
22.21.21 Оболочки искусственные из отвержденных протеинов или целлюлозных материалов, трубы, трубки, шланги, рукава, жесткие, пластмассовые
22.21.30.130 Полосы (ленты) пластмассовые, неармированные или не комбинированные с другими материалами
24.10.71.120 Двутавры стальные горячекатаные из нелегированных сталей
24.10.80.190 Прокат черных металлов прочий, не включенный в другие группировки
24.43.23.120 Профили цинковые ****</t>
  </si>
  <si>
    <t>За весь период компания заключила  15 контрактов на сумму  8 349 995 099,57 ? За весь период заходили в конкурсы  21 раз на общую сумму обеспеченных контрактов с НМЦ 9 123 655 774,59 ? с БГУ  129 251 914,69 ? с БГИ 1 569 401 485,03 ? За 3 ГОДА по 44ФЗ заключено 16 шт. с объемом НМЦ  2 457 705 534,30 ? с БГИ 225 151 789,17 ? с БГГО 9 206 634,83 ? с авансированием до 415 779 990,44 ? с комиссией банку 11 603 447,51 ? с кв 100 949,99 ? ЗА 1 ГОД по 44ФЗ заключено 3 шт. c объемом НМЦ 892 068 230,07 ? с БГИ 70 566 544,20 ? с БГГО 6 763 692,00 ? с авансированием до  225 428 259,02 ? с комиссией банку  4 654 556,55 ? с кв 40 494,64 ?     за 1 ГОД ПО 223ФЗ заключено 2  7 652 484,70 ?</t>
  </si>
  <si>
    <t>"223 за 3 года", ".", "рейтинг поставщиков в маркере по бг", "компании Герберта", "ГРАНДИОЗНЫЙ ПРОЕКТ", "Конкурсы 100+ (Восстановленный)", "ушедшие", "все клиенты с выручкой от 1,8 млрд до бесконечности", "44 фз с с БГ от 10 млн", "рейтинг по нмц маркер", "поставщики маркер", "44 за 3 года"</t>
  </si>
  <si>
    <t>Заказчик разыгравший 11 конкурсов на сумму  1 494 695 217,00 ?</t>
  </si>
  <si>
    <t>Сообщения о принятии решения о реорганизации от 26.10.2022</t>
  </si>
  <si>
    <t>20.15.32 Сульфат аммония</t>
  </si>
  <si>
    <t>43.99.90.190 Работы строительные специализированные прочие, не включенные в другие группировки
81.10.10.000 Услуги по обслуживанию помещений комплексные</t>
  </si>
  <si>
    <t>За весь период заходили в конкурсы  1 раз на общую сумму обеспеченных контрактов с НМЦ 116 740 656,31 ? с БГУ  7 834 943,38 ? с БГИ 47 009 660,26 ?</t>
  </si>
  <si>
    <t>Сообщение кредитора о намерении обратиться в суд с заявлением о банкротстве от 08.12.2021</t>
  </si>
  <si>
    <t>"поставщики маркер", ".", "рейтинг поставщиков в маркере по бг",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"рейтинг заказчиков маркер", "это заказчик"</t>
  </si>
  <si>
    <t>25.11.23.119 Конструкции и детали конструкций из черных металлов прочие, не включенные в другие группировки
27.12.10 Устройства для коммутации или защиты электрических цепей на напряжение более 1 кВ
16.23.20.160 Помещения деревянные контейнерного типа
27.90 Оборудование электрическое прочее
27.11.10.120 Электродвигатели постоянного тока прочие
27.12.2 Устройства коммутации или защиты электрических цепей на напряжение не более 1 кВ
28.99.39.190 Оборудование специального назначения прочее, не включенное в другие группировки
27.12.31.000 Панели и прочие комплекты электрической аппаратуры коммутации или защиты на напряжение не более 1 кВ
43.21.10 Работы электромонтажные
27.90.40.190 Оборудование электрическое прочее, не включенное в другие группировки ****</t>
  </si>
  <si>
    <t>Возвращена;Гарантия завершена;Гарантия отправлена;Отклонена банком;Распределена в Банк
Гарантия отправлена
Мой черновик</t>
  </si>
  <si>
    <t>"223 за 3 года", "свод фт", ".", "рейтинг поставщиков в маркере по бг", "беники", "УПП на 2 номер", "Конкурсы 100+ (Восстановленный)", "fk1", "клиенты управления по БГ без открытых счетов", "Премия 4 кв 22 г.бг", "ушедшие", "клиенты от 100 млн", "223 фз контракты 20+", "рейтинг по нмц маркер", "на фт заводил Шевченко", "на фт заводил Адеев", "поставщики маркер"</t>
  </si>
  <si>
    <t>62.0 Продукты программные и услуги по разработке программного обеспечения; консультационные и аналогичные услуги в области информационных технологий
77.40.11.000 Услуги по предоставлению лицензий на право использования продуктов научных исследований и экспериментальных разработок
62.01.11 Услуги по проектированию, разработке информационных технологий для прикладных задач и тестированию программного обеспечения
62.01.11.000 Услуги по проектированию и разработке информационных технологий для прикладных задач и тестированию программного обеспечения
62.09 Услуги в области информационных технологий прочие и компьютерные услуги
62.01.12.000 Услуги по проектированию и разработке информационных технологий для сетей и систем
62.02.30.000 Услуги по технической поддержке информационных технологий</t>
  </si>
  <si>
    <t>За весь период компания заключила  6 контрактов на сумму  1 264 832 609,07 ? За весь период заходили в конкурсы  1 раз на общую сумму обеспеченных контрактов с НМЦ 347 001 000,00 ? с БГУ  3 470 014,67 ? с БГИ 34 700 146,67 ?                             ЗА 3 ГОДА ПО 223 ФЗ заключено 3 шт. с объемом НМЦ 229 752 775,62 ?</t>
  </si>
  <si>
    <t>"223 за 3 года", ".", "рейтинг поставщиков в маркере по бг", "fk1", "клиенты с в от100млн 09.21", "Действующий клиент мсб с выр от 30 млн на 05.21", "все клиенты с выручкой от 1,8 млрд до бесконечности", "ФК клиенты с выручкой от 230 до бесконечности", "рейтинг по нмц маркер", "поставщики маркер"</t>
  </si>
  <si>
    <t>01.42.12.112 Телята мясного крупного рогатого скота живые, кроме племенных</t>
  </si>
  <si>
    <t>1 933</t>
  </si>
  <si>
    <t>ЗА 3 ГОДА ПО 223 ФЗ заключено 5 шт. с объемом НМЦ 22 871 797,07 ? за 1 ГОД ПО 223ФЗ заключено 3  21 858 794,43 ?</t>
  </si>
  <si>
    <t>Заказчик разыгравший 3 конкурсов на сумму  1 062 754 590,33 ?</t>
  </si>
  <si>
    <t>"в crm за Рябовым", ".", "рейтинг заказчиков маркер", "это заказчик", "crm управления"</t>
  </si>
  <si>
    <t>28.22.15 Автопогрузчики с вилочным захватом, прочие погрузчики; тягачи, используемые на платформах железнодорожных станций
28.22.15.110 Автопогрузчики с вилочным захватом</t>
  </si>
  <si>
    <t>"поставщики маркер", "свод фт", ".", "fk1",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"на фт заводил Морозова"</t>
  </si>
  <si>
    <t>11.07.11.121 Воды питьевые негазированные, расфасованные в емкости
36.00.11.000 Вода питьевая</t>
  </si>
  <si>
    <t>"это заказчик", ".", "fk1", "06.2022_ФинХД",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"производители"</t>
  </si>
  <si>
    <t>"производители", ".", "fk1", "все клиенты с выручкой от 1,8 млрд до бесконечности", "ФК клиенты с выручкой от 230 до бесконечности"</t>
  </si>
  <si>
    <t>10.12.20.110 Мясо кур, в том числе цыплят (включая цыплят-бройлеров) замороженное
68.20.12.000 Услуги по сдаче в аренду (внаем) собственных или арендованных нежилых помещений
01.47.21.000 Яйца куриные в скорлупе свежие
10.86.10.643 Полуфабрикаты из мяса птицы для детского питания
10.12.10.110 Мясо кур, в том числе цыплят (включая цыплят-бройлеров) охлажденное</t>
  </si>
  <si>
    <t>2 036</t>
  </si>
  <si>
    <t>ЗА 3 ГОДА ПО 223 ФЗ заключено 13 шт. с объемом НМЦ 20 043 453,13 ? за 1 ГОД ПО 223ФЗ заключено 5  5 882 997,30 ?</t>
  </si>
  <si>
    <t>10.51.52.140 Кефир
10.51.56.152 Сырки творожные
10.51.56.310 Напитки, коктейли, кисели молокосодержащие. Напитки, коктейли, кисели молокосодержащие с заменителем молочного жира
10.51.11.119 Молоко питьевое пастеризованное прочее
10.51.40.343 Творог (кроме зерненого и произведенного с использованием ультрафильтрации и сепарирования) с вкусовыми компонентами обезжиренный, от 4 % до 11 % жирности
10.51.52.200 Сметана
10.51.11.110 Молоко питьевое пастеризованное
10.51.40.300 Творог
10.51.40.330 Творог зерненый без вкусовых компонентов
10.51.11.150 Молоко питьевое прочее, не включенное в другие группировки ****</t>
  </si>
  <si>
    <t>За 3 года по 223ФЗ заключено  17 шт контрактов на сумму 19 640 997,65 ?</t>
  </si>
  <si>
    <t>"поставщики маркер", ".", "СRM Шарифуллина", "производители"</t>
  </si>
  <si>
    <t>01.13.12.120 Капуста белокочанная
01.13.42.000 Чеснок
10.32.1 Соки из фруктов и овощей
10.84.30 Соль пищевая
03.11.20.126 Минтай свежий или охлажденный
10.61.32.111 Крупа овсяная
10.61.32.113 Крупа гречневая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01.13.19.000 Овощи листовые или стебельные прочие ****</t>
  </si>
  <si>
    <t>10.52 Мороженое</t>
  </si>
  <si>
    <t>72.11.13.000 Услуги, связанные с научными исследованиями и экспериментальными разработками в области сельскохозяйственной биотехнологии</t>
  </si>
  <si>
    <t>1 701</t>
  </si>
  <si>
    <t>Заказчик разыгравший 29 конкурсов на сумму  14 391 564 475,18 ?</t>
  </si>
  <si>
    <t>28.22 Оборудование подъемно-транспортное
29.10.41.113 Автомобили грузовые с дизельным двигателем, имеющие технически допустимую максимальную массу свыше 12 т
45.11 Услуги по торговле легковыми автомобилями и грузовыми автомобилями малой грузоподъемности
29.1 Средства автотранспортные
28.22.14.159 Машины самоходные и тележки, оснащенные подъемным краном, прочие, не включенные в другие группировки
28.92.30.190 Машины для выемки грунта и строительства прочие, не включенные в другие группировки
28.22.14.129 Краны грузоподъемные прочие
45.19 Услуги по торговле прочими автотранспортными средствами
29 Средства автотранспортные, прицепы и полуприцепы
28.92.27 Экскаваторы и одноковшовые погрузчики самоходные прочие; прочие самоходные машины для добычи полезных ископаемых ****</t>
  </si>
  <si>
    <t>За весь период компания заключила  5 контрактов на сумму  662 053 487,84 ? За весь период заходили в конкурсы  3 раз на общую сумму обеспеченных контрактов с НМЦ 229 216 876,00 ? с БГУ  9 922 640,00 ? с БГИ 68 569 440,00 ?                             ЗА 3 ГОДА ПО 223 ФЗ заключено 10 шт. с объемом НМЦ 101 704 556,00 ? за 1 ГОД ПО 223ФЗ заключено 1  12 000 000,00 ?</t>
  </si>
  <si>
    <t>20.15.39.000 Удобрения азотные и смеси прочие
20.15.79.000 Удобрения минеральные или химические, содержащие два или три питательных элемента (азот, фосфор и калий), не включенные в другие группировки
20.15.31.000 Мочевина (карбамид)
20.15.32.000 Сульфат аммония
20.15.33.000 Нитрат аммония
20.15.71.000 Удобрения, содержащие три питательных элемента: азот, фосфор и калий
20.15.74.000 Удобрения, содержащие два питательных элемента: азот и фосфор
20.15 Удобрения и соединения азотные</t>
  </si>
  <si>
    <t>"223 за 3 года", ".", "все клиенты с выручкой от 1,8 млрд до бесконечности", "Участники клиринга", "поставщики маркер", "44 за 3 года"</t>
  </si>
  <si>
    <t>46.71 Услуги по оптовой торговле твердым, жидким и газообразным топливом и связанными продуктами
46.71.12.000 Услуги по оптовой торговле моторным топливом, включая авиационный бензин
19.20.21.321 Топливо дизельное зимнее вне классов
19.20.21 Топливо моторное, включая автомобильный и авиационный бензин
19.20.21.100 Бензин автомобильный
19.20.21.310 Топливо дизельное летнее
19 Кокс и нефтепродукты
19.20.21.125 Бензин автомобильный с октановым числом более 92, но не более 95 по исследовательскому методу экологического класса К5
19.20.21.132 Бензин автомобильный с октановым числом более 95, но не более 98 по исследовательскому методу экологического класса К2
19.20.21.340 Топливо дизельное межсезонное ****</t>
  </si>
  <si>
    <t>За 3 ГОДА по 44ФЗ заключено 801 шт. с объемом НМЦ  832 376 187,24 ? с БГИ 96 447 894,19 ? с БГГО 80 577 861,92 ? с авансированием до 472 913,00 ? с комиссией банку 452 179,80 ? с кв 3 933,96 ? ЗА 1 ГОД по 44ФЗ заключено 254 шт. c объемом НМЦ 239 058 810,85 ? с БГИ 14 258 348,32 ? с БГГО 0,00 ? с авансированием до  472 913,00 ? с комиссией банку  162 978,35 ? с кв 1 417,91 ? ЗА 3 ГОДА ПО 223 ФЗ заключено 45 шт. с объемом НМЦ 68 702 351,16 ? за 1 ГОД ПО 223ФЗ заключено 23  34 515 248,59 ?</t>
  </si>
  <si>
    <t>"223 за 3 года", "свод фт", ".", "кредиты фт", "лимит сит по кредитам", "Участники клиринга", "223 фз контракты 20+", "производители", "рейтинг по нмц маркер", "на фт заводил Алиев", "44 за 3 года"</t>
  </si>
  <si>
    <t>"производители", ".", "fk1", "клиенты с в от100млн 09.21", "все клиенты с выручкой от 1,8 млрд до бесконечности"</t>
  </si>
  <si>
    <t>Сообщения о принятии решения о реорганизации от 21.06.2016</t>
  </si>
  <si>
    <t>"поставщики маркер", ".", "райф", "все клиенты с выручкой от 1,8 млрд до бесконечности", "рейтинг по нмц маркер"</t>
  </si>
  <si>
    <t>71.20.1 Услуги в области технических испытаний, исследований и анализа
20.3 Материалы лакокрасочные и аналогичные для нанесения покрытий, полиграфические краски и мастики
86.90.19.140 Услуги санаторно-курортных организаций
84.25.11.190 Услуги по тушению и предупреждению пожаров прочие, не включенные в другие группировки</t>
  </si>
  <si>
    <t>За весь период компания заключила  4 контрактов на сумму  3 254 619 302,06 ?</t>
  </si>
  <si>
    <t>"рейтинг по нмц маркер", ".", "беники", "все клиенты с выручкой от 1,8 млрд до бесконечности", "рейтинг заказчиков маркер", "производители"</t>
  </si>
  <si>
    <t>за 1 ГОД ПО 223ФЗ заключено 1  26 555 812,80 ?</t>
  </si>
  <si>
    <t>"это заказчик", ".", "все клиенты с выручкой от 1,8 млрд до бесконечности", "223 фз контракты 20+", "рейтинг заказчиков маркер"</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</si>
  <si>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35.13.10.000 Услуги по распределению электроэнергии
35.30.12.140 Услуги по подключению (технологическому присоединению) к централизованной системе горячего водоснабжения
35.11.10.114 Электроэнергия, произведенная дизельными электростанциями (ДЭС) общего назначения ****</t>
  </si>
  <si>
    <t>2 356</t>
  </si>
  <si>
    <t>За весь период контрактов 7 шт. на общую сумму НМЦ 2 435 907 024,92 ?</t>
  </si>
  <si>
    <t>28.13.14.110 Насосы центробежные подачи жидкостей прочие
25.11.23.119 Конструкции и детали конструкций из черных металлов прочие, не включенные в другие группировки
16.23.20.160 Помещения деревянные контейнерного типа
43.22.20.000 Работы по монтажу газовых систем
28.99.39.190 Оборудование специального назначения прочее, не включенное в другие группировки
28.13.14 Насосы центробежные подачи жидкостей прочие; насосы прочие
28.12.1 Оборудование гидравлическое и пневматическое силовое
28.25 Оборудование промышленное холодильное и вентиляционное
46.69 Услуги по оптовой торговле прочими машинами и оборудованием
28.29.11.110 Генераторы для получения генераторного или водяного газа ****</t>
  </si>
  <si>
    <t>ЗА 3 ГОДА ПО 223 ФЗ заключено 4 шт. с объемом НМЦ 404 609 647,87 ? за 1 ГОД ПО 223ФЗ заключено 3  399 609 647,87 ?</t>
  </si>
  <si>
    <t>"223 за 3 года", ".", "выдали", "все клиенты с выручкой от 1,8 млрд до бесконечности", "223 фз контракты 20+", "производители", "рейтинг по нмц маркер", "поставщики маркер", "44 за 3 года"</t>
  </si>
  <si>
    <t>35.30.12.130 Услуги по транспортированию горячей воды
35.30.11.111 Энергия тепловая, отпущенная тепловыми электроцентралями (ТЭЦ)
24.33.30 Панели многослойные из листового стального плакированного проката
24.10.31.000 Прокат листовой горячекатаный из нелегированных сталей, без дополнительной обработки, шириной не менее 600 мм</t>
  </si>
  <si>
    <t>За весь период компания заключила  1 контрактов на сумму  644 531 472,00 ?</t>
  </si>
  <si>
    <t>20.16.20.122 Сополимеры акрилонитрилбутадиенстирольные (АБС-пластик) в первичных формах
27.90.33.110 Комплектующие (запасные части) прочего электрического оборудования, не имеющие самостоятельных группировок
20.59.56.120 Флюсы
20.30.22.170 Герметики
26.51.12.130 Инструменты и приборы гидрографические
26.51.33.121 Штангенциркули
26.51.33.199 Инструмент измерительный прочий, не включенный в другие группировки
26.11.21.120 Транзисторы
26.51.43.116 Приборы цифровые электроизмерительные комбинированные
26.51.45.190 Приборы и аппаратура для измерения или контроля электрических величин прочие, не включенные в другие группировки ****</t>
  </si>
  <si>
    <t>41.20.20.290 Здания нежилые, не включенные в другие группировки
68.20.12.000 Услуги по сдаче в аренду (внаем) собственных или арендованных нежилых помещений</t>
  </si>
  <si>
    <t>За весь период контрактов 13 шт. на общую сумму НМЦ 29 522 606 114,23 ?</t>
  </si>
  <si>
    <t>"поставщики маркер", ".", "рейтинг поставщиков в маркере по бг", "все клиенты с выручкой от 1,8 млрд до бесконечности", "рейтинг заказчиков маркер", "производители", "рейтинг по нмц маркер", "это заказчик"</t>
  </si>
  <si>
    <t>01.46.10.220 Молодняк свиней основного стада, кроме чистопородных
01.46.10.200 Свиньи основного стада, кроме чистопородных
01.46.10.210 Свиньи взрослые основного стада, кроме чистопородных</t>
  </si>
  <si>
    <t>Юридическое лицо находится в процессе реорганизации в форме присоединения к нему других юридических лиц от 10.05.2023, Сообщения о принятии решения о реорганизации от 21.07.2022</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</si>
  <si>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35.30.12.110 Услуги по приготовлению воды на нужды горячего водоснабжения
35.11.10 Электроэнергия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t>
  </si>
  <si>
    <t>За весь период компания заключила  11 контрактов на сумму  1 629 054 287,60 ?                                     ЗА 3 ГОДА ПО 223 ФЗ заключено 19 шт. с объемом НМЦ 50 636 198,48 ? за 1 ГОД ПО 223ФЗ заключено 6  4 137 205,17 ?</t>
  </si>
  <si>
    <t>"223 за 3 года", "свод фт", ".", "кредиты фт", "лимит сит по кредитам", "все клиенты с выручкой от 1,8 млрд до бесконечности", "рейтинг заказчиков маркер", "рейтинг по нмц маркер", "это заказчик", "на фт заводил Досхоев", "crm управления", "в crm за Досхоевым", "поставщики маркер"</t>
  </si>
  <si>
    <t>24 Металлы основные
28.41 Оборудование металлообрабатывающее
25.50.12.110 Услуги по штамповке изделий из черных металлов
24.10.2 Сталь
24.10.21.110 Сталь нелегированная в слитках или в прочих первичных формах
29.32.30.220 Колеса, ступицы и их детали
33.12.29.900 Услуги по ремонту и техническому обслуживанию прочего оборудования специального назначения, не включенные в другие группировки
28.22.14.150 Машины самоходные и тележки, оснащенные подъемным краном
25.62 Услуги по обработке металлических изделий с использованием основных технологических процессов машиностроения
29.20.23 Прицепы и полуприцепы прочие ****</t>
  </si>
  <si>
    <t>Сообщение кредитора о намерении обратиться в суд с заявлением о банкротстве от 15.08.2018</t>
  </si>
  <si>
    <t>35.11.10.112 Электроэнергия, произведенная теплоэлектроцентралями (ТЭЦ) общего назначения
35.30.11.130 Энергия тепловая, отпущенная электрокотлами
35.30.12.110 Услуги по приготовлению воды на нужды горячего водоснабжения
35.30 Услуги по снабжению паром и кондиционированию воздуха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t>
  </si>
  <si>
    <t>За весь период контрактов 5 шт. на общую сумму НМЦ 1 987 803 690,17 ?</t>
  </si>
  <si>
    <t>28.21.14 Части печных горелок, печей и камер
24.51 Услуги по литью чугуна
24.20.1 Трубы, профили пустотелые бесшовные и их фитинги стальные
28.21.14.130 Части электрических промышленных или лабораторных печей и камер
28 Машины и оборудование, не включенные в другие группировки</t>
  </si>
  <si>
    <t>За год заключили по 223фз 1 контракта(ов) на сумму  4 366 928,00 ?</t>
  </si>
  <si>
    <t>Сообщение кредитора о намерении обратиться в суд с заявлением о банкротстве от 23.07.2020</t>
  </si>
  <si>
    <t>"223 за 3 года", ".", "fk1", "все клиенты с выручкой от 1,8 млрд до бесконечности", "производители", "рейтинг по нмц маркер"</t>
  </si>
  <si>
    <t>88.99.19.000 Услуги социальные без обеспечения проживания прочие, не включенные в другие группировки
55.90.19.000 Услуги по предоставлению временного жилья прочие, не включенные в другие группировки
86.90.19.140 Услуги санаторно-курортных организаций
85.31.11.000 Услуги по профессиональному обучению
87.90.13.000 Услуги социальные с обеспечением проживания для взрослых прочие
68.20.12.000 Услуги по сдаче в аренду (внаем) собственных или арендованных нежилых помещений</t>
  </si>
  <si>
    <t>24 Металлы основные
24.45.30.230 Цирконий и изделия из него, сплавы на основе циркония, порошки
37.00.11.110 Услуги по водоотведению сточных вод
77.39.19.119 Услуги по аренде и лизингу прочих машин и оборудования научного и промышленного назначения
24.45.30.234 Сплавы на основе циркония
24.45.30.390 Металлы цветные прочие, изделия из них, порошки
77.39.14.000 Услуги по аренде и лизингу телекоммуникационного оборудования
24.4 Металлы основные драгоценные и цветные прочие; топливо ядерное переработанное
72.19.2 Услуги, связанные с научными исследованиями и экспериментальными разработками в области технических наук и в области технологий, кроме биотехнологии
24.45 Металлы цветные прочие ****</t>
  </si>
  <si>
    <t>За весь период контрактов 9 шт. на общую сумму НМЦ 5 016 521 188,71 ?</t>
  </si>
  <si>
    <t>"223 за 3 года", ".", "рейтинг поставщиков в маркере по бг", "беники", "все клиенты с выручкой от 1,8 млрд до бесконечности", "рейтинг заказчиков маркер", "рейтинг по нмц маркер"</t>
  </si>
  <si>
    <t>30.99.9 Услуги по производству прочих транспортных средств и оборудования, не включенных в другие группировки, отдельные, выполняемые субподрядчиком</t>
  </si>
  <si>
    <t>71.12.16.000 Услуги по инженерно-техническому проектированию производственных процессов и производств
42.21.12.110 Трубопровод местный для воды (водопровод)
71.12.19.100 Услуги по инженерно-техническому проектированию прочих объектов, кроме объектов культурного наследия
42.21.12.190 Трубопроводы местные прочие
43.22.11.110 Работы по монтажу основных сетей горячего и холодного водоснабжения (т. е. водопроводных), работы по монтажу спринклерных систем
42.11.10.122 Дорога автомобильная с усовершенствованным облегченным или переходным типом дорожного покрытия
43.22.11.190 Работы по монтажу водопроводных и канализационных систем прочие, не включенные в другие группировки
42.21.22.130 Работы строительные по прокладке местных трубопроводов газа и пара</t>
  </si>
  <si>
    <t>За весь период контрактов 8 шт. на общую сумму НМЦ 2 496 755 232,69 ?</t>
  </si>
  <si>
    <t>80.10.19.000 Услуги в области обеспечения безопасности прочие
80.20.10.000 Услуги систем обеспечения безопасности
84.24.19.000 Услуги, связанные с обеспечением общественного порядка и безопасности, прочие
80.10.12.000 Услуги охраны</t>
  </si>
  <si>
    <t>84.24.19.000 Услуги, связанные с обеспечением общественного порядка и безопасности, прочие
43.21.10.120 Работы электромонтажные, связанные с установкой приборов
81.10.10.000 Услуги по обслуживанию помещений комплексные
80.10.12.000 Услуги охраны</t>
  </si>
  <si>
    <t>"44 за 3 года", ".", "одобренные", "Пустые_Ушедшие_Клиенты", "лимит сит по кредитам", "поставщики маркер"</t>
  </si>
  <si>
    <t>43.21.10.220 Работы по монтажу систем освещения и сигнализации автомобильных дорог, аэропортов и портов
19.20.21.332 Топливо дизельное арктическое экологического класса К2
19.20.29.119 Масла моторные прочие, не включенные в другие группировки
19.20.29.150 Масла компрессорные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42.22.22.110 Работы строительные по прокладке местных линий электропередачи и связи над землей или под землей
42.22.22.120 Работы строительные по строительству трансформаторных станций и подстанций для распределения электричества в пределах какого-либо района
68.10.14.000 Услуги по покупке и продаже нежилых зданий и занимаемых ими земельных участков
52.29.19.110 Услуги по экспедированию грузов
52.10.12.110 Услуги по хранению и складированию нефти и продуктов ее переработки ****</t>
  </si>
  <si>
    <t>За весь период контрактов 36 шт. на общую сумму НМЦ 31 038 039 997,28 ?</t>
  </si>
  <si>
    <t>"223 за 3 года", "кл фт агент бг 04.22", ".", "рейтинг поставщиков в маркере по бг", "ГРАНДИОЗНЫЙ ПРОЕКТ", "Конкурсы 100+ (Восстановленный)", "Гарантии ФБ банкроты", "филиал бизнес 31.01.22 ",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"рейтинг по нмц маркер", "crm управления", "в crm за Егоровым ", "поставщики маркер", "44 за 3 года"</t>
  </si>
  <si>
    <t>52.10.13.000 Услуги по хранению зерна
10.61.21.115 Мука пшеничная хлебопекарная второго сорта
10.91.10.290 Корма для сельскохозяйственных животных прочие</t>
  </si>
  <si>
    <t>Заказчик разыгравший 21 конкурсов на сумму  3 614 938 054,65 ?</t>
  </si>
  <si>
    <t>"223 за 3 года", ".", "рейтинг заказчиков маркер", "производители", "это заказчик", "поставщики маркер", "44 за 3 года"</t>
  </si>
  <si>
    <t>19.20.21.341 Топливо дизельное межсезонное вне классов
19.20.23.190 Дистилляты легкие, не включенные в другие группировки
19.20.29.119 Масла моторные прочие, не включенные в другие группировки
19.20.29.150 Масла компрессорные
19.2 Нефтепродукты
52.10.12.110 Услуги по хранению и складированию нефти и продуктов ее переработки
19.20.21.200 Бензин авиационный
46.71 Услуги по оптовой торговле твердым, жидким и газообразным топливом и связанными продуктами
46.71.12.000 Услуги по оптовой торговле моторным топливом, включая авиационный бензин
19.20.21.321 Топливо дизельное зимнее вне классов ****</t>
  </si>
  <si>
    <t>За весь период компания заключила  5 контрактов на сумму  1 663 729 193,18 ? За весь период заходили в конкурсы  8 раз на общую сумму обеспеченных контрактов с НМЦ 971 059 539,29 ? с БГУ  17 916 820,10 ? с БГИ 194 117 385,06 ? За 3 ГОДА по 44ФЗ заключено 154 шт. с объемом НМЦ  282 650 039,79 ? с БГИ 25 225 437,24 ? с БГГО 2 706 478,42 ? с авансированием до 21 286 459,08 ? с комиссией банку 265 538,66 ? с кв 2 310,19 ?               ЗА 3 ГОДА ПО 223 ФЗ заключено 48 шт. с объемом НМЦ 1 321 811 954,70 ? за 1 ГОД ПО 223ФЗ заключено 14  219 172 771,20 ?</t>
  </si>
  <si>
    <t>"223 за 3 года", ".", "рейтинг поставщиков в маркере по бг", "все клиенты с выручкой от 1,8 млрд до бесконечности", "223 фз контракты 20+", "рейтинг заказчиков маркер", "рейтинг по нмц маркер", "crm управления", "crm Пител", "44 за 3 года"</t>
  </si>
  <si>
    <t>35.11.10.112 Электроэнергия, произведенная теплоэлектроцентралями (ТЭЦ) общего назначения
52.21.22.000 Услуги по эксплуатации автомагистралей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35.11.10 Электроэнергия
35.12.10.120 Услуги по технологическому присоединению к распределительным электросетям
35.13.10.000 Услуги по распределению электроэнергии
35.11.10.114 Электроэнергия, произведенная дизельными электростанциями (ДЭС) общего назначения ****</t>
  </si>
  <si>
    <t>За весь период контрактов 11 шт. на общую сумму НМЦ 8 614 701 996,77 ?</t>
  </si>
  <si>
    <t>"223 за 3 года", ".", "все клиенты с выручкой от 1,8 млрд до бесконечности", "223 фз контракты 20+", "рейтинг заказчиков маркер", "производители", "рейтинг по нмц маркер", "поставщики маркер"</t>
  </si>
  <si>
    <t>68.10.14.000 Услуги по покупке и продаже нежилых зданий и занимаемых ими земельных участков
35.30.11.120 Энергия тепловая, отпущенная котельными
35.30.11.111 Энергия тепловая, отпущенная тепловыми электроцентралями (ТЭЦ)</t>
  </si>
  <si>
    <t>55.90.19.000 Услуги по предоставлению временного жилья прочие, не включенные в другие группировки
93.29.19.000 Услуги по организации отдыха и развлечений прочие, не включенные в другие группировки
20.13.24.122 Кислота серная</t>
  </si>
  <si>
    <t>25.30.11.110 Котлы паровые
93.29.19.000 Услуги по организации отдыха и развлечений прочие, не включенные в другие группировки
68.20.12.000 Услуги по сдаче в аренду (внаем) собственных или арендованных нежилых помещений
28.92.62.000 Части машин для сортировки, дробления или прочих способов обработки грунта, камня и аналогичных материалов</t>
  </si>
  <si>
    <t>Сообщения о принятии решения о реорганизации от 10.02.2020</t>
  </si>
  <si>
    <t>27.11.10.120 Электродвигатели постоянного тока прочие
27.12.31.000 Панели и прочие комплекты электрической аппаратуры коммутации или защиты на напряжение не более 1 кВ
27.12.32.000 Панели и прочие комплекты электрической аппаратуры коммутации или защиты на напряжение более 1 кВ
28.92 Оборудование для добычи полезных ископаемых подземным и открытым способами и строительства
27.11.4 Трансформаторы электрические
27.11.43.000 Трансформаторы прочие мощностью более 16 кВА
27.11.50.120 Преобразователи электрические статические
27.12.10.190 Устройства для коммутации или защиты электрических цепей на напряжение более 1 кВ прочие, не включенные в другие группировки
27.33.13.169 Аппараты электрические для управления электротехническими установками прочие, не включенные в другие группировки</t>
  </si>
  <si>
    <t>За весь период компания заключила  14 контрактов на сумму  1 729 716 832,44 ? За весь период заходили в конкурсы  1 раз на общую сумму обеспеченных контрактов с НМЦ 52 133 493,25 ? с БГУ  3 731 013,50 ? с БГИ 22 386 080,00 ?                             ЗА 3 ГОДА ПО 223 ФЗ заключено 3 шт. с объемом НМЦ 148 279 000,00 ? за 1 ГОД ПО 223ФЗ заключено 1  121 159 000,00 ?</t>
  </si>
  <si>
    <t>28.29 Машины и оборудование общего назначения прочие, не включенные в другие группировки
86.90.19.140 Услуги санаторно-курортных организаций
30.40.10.190 Комплектующие (запасные части) танков и прочих боевых самоходных бронированных машин, не имеющие самостоятельных группировок
93.29 Услуги в области развлечений и отдыха прочие
29.32.30.390 Части и принадлежности для автотранспортных средств прочие, не включенные в другие группировки
29.32.30 Комплектующие и принадлежности для автотранспортных средств, не включенные в другие группировки
29.3 Части и принадлежности для автотранспортных средств
28 Машины и оборудование, не включенные в другие группировки
45.3 Услуги по торговле автомобильными деталями, узлами и принадлежностями
29.32.30.170 Системы охлаждения, их узлы и детали</t>
  </si>
  <si>
    <t>13.95.10.190 Изделия из нетканых материалов прочие, кроме одежды
21.20.10.158 Антисептики и дезинфицирующие препараты</t>
  </si>
  <si>
    <t>20.15.39.000 Удобрения азотные и смеси прочие
20.15.79.000 Удобрения минеральные или химические, содержащие два или три питательных элемента (азот, фосфор и калий), не включенные в другие группировки
20.20.12 Гербициды
20.20.13.110 Средства против прорастания
20.20.15.000 Фунгициды
20.20.19.000 Пестициды прочие и агрохимические продукты прочие
21.20.10.241 Препараты противопротозойные
20.20.11.000 Инсектициды
21.20.10.243 Препараты для уничтожения эктопаразитов (включая чесоточного клеща), инсектициды и репелленты</t>
  </si>
  <si>
    <t>за 1 ГОД ПО 223ФЗ заключено 1  3 890 830,00 ?</t>
  </si>
  <si>
    <t>"223 за 3 года", ".", "06.2022_ФинХД", "поставщики маркер", "44 за 3 года"</t>
  </si>
  <si>
    <t>45.31.1 Услуги по оптовой торговле автомобильными деталями, узлами и принадлежностями
74 Услуги профессиональные, научные и технические, прочие</t>
  </si>
  <si>
    <t>ЗА 3 ГОДА ПО 223 ФЗ заключено 1 шт. с объемом НМЦ 600 000 000,00 ?</t>
  </si>
  <si>
    <t>35.30.11.120 Энергия тепловая, отпущенная котельными
84.12.13.000 Услуги государственного управления в области жилищного строительства и коммунального хозяйства
36.00.12.000 Вода непитьевая
35.12.10.110 Услуги по передаче электроэнергии
35.30.11.119 Энергия тепловая, отпущенная прочими электростанциями
46.65.10.000 Услуги по оптовой торговле офисной мебелью</t>
  </si>
  <si>
    <t>33.14.19.000 Услуги по ремонту и техническому обслуживанию прочего профессионального электрического оборудования</t>
  </si>
  <si>
    <t>46.71.12.000 Услуги по оптовой торговле моторным топливом, включая авиационный бензин
38.21.29.000 Услуги по утилизации неопасных отходов прочие
49.31.21 Услуги по регулярным перевозкам пассажиров сухопутным транспортом прочие
68.20.12.000 Услуги по сдаче в аренду (внаем) собственных или арендованных нежилых помещений
68.10 Услуги по покупке и продаже собственного недвижимого имущества
05.10.10.131 Уголь марки Д - длиннопламенный</t>
  </si>
  <si>
    <t>"рейтинг по нмц маркер", ".", "райф", "все клиенты с выручкой от 1,8 млрд до бесконечности"</t>
  </si>
  <si>
    <t>1 518</t>
  </si>
  <si>
    <t>За весь период контрактов 1 шт. на общую сумму НМЦ 1 333 069 530,00 ?</t>
  </si>
  <si>
    <t>1 323</t>
  </si>
  <si>
    <t>"Обороты по клиентам по кварталам (2022г)", ".", "fk1", "Кредитный портфель_01.11", "06.2022_ФинХД", "все клиенты с выручкой от 1,8 млрд до бесконечности", "ФК клиенты с выручкой от 230 до бесконечности", "клиенты от 100 млн"</t>
  </si>
  <si>
    <t>За весь период компания заключила  13 контрактов на сумму  1 215 450 256,03 ?</t>
  </si>
  <si>
    <t>"поставщики маркер", ".", "п6", "все клиенты с выручкой от 1,8 млрд до бесконечности", "Участники клиринга", "рейтинг по нмц маркер"</t>
  </si>
  <si>
    <t>53.20.11.190 Услуги по курьерской доставке различными видами транспорта прочие
49.41 Услуги по грузовым перевозкам автомобильным транспортом</t>
  </si>
  <si>
    <t>85.42.19.900 Услуги по профессиональному обучению прочие
85.4 Услуги по дополнительному образованию
85.42.1 Услуги по дополнительному профессиональному образованию
85.31.11.000 Услуги по профессиональному обучению
85 Услуги в области образования
85.42.19 Услуги по дополнительному профессиональному образованию прочие</t>
  </si>
  <si>
    <t>2 276</t>
  </si>
  <si>
    <t>Заказчик разыгравший 33 конкурсов на сумму  2 581 250 642,46 ?</t>
  </si>
  <si>
    <t>52.2 Услуги транспортные вспомогательные
51.10.12 Услуги по нерегулярным пассажирским перевозкам воздушным транспортом на местных линиях, кроме услуг по осмотру достопримечательностей с воздуха
56.10.11.121 Услуги ресторанов без сопровождения развлекательных программ
94.11.10.000 Услуги, предоставляемые коммерческими и предпринимательскими членскими организациями
56.10.11.129 Услуги прочих предприятий питания с полным обслуживанием без сопровождения развлекательных программ
51.10.11.000 Услуги по регулярным пассажирским перевозкам воздушным транспортом на местных линиях
52.23.19.190 Услуги вспомогательные прочие, связанные с воздушным транспортом, не включенные в другие группировки
52.23.11.000 Услуги аэропортов, кроме обработки грузов
99.00.10.000 Услуги, предоставляемые экстерриториальными организациями и органами
51.10.13.000 Услуги по регулярным пассажирским перевозкам воздушным транспортом на международных линиях</t>
  </si>
  <si>
    <t>За весь период компания заключила  1 контрактов на сумму  661 200 000,00 ? За весь период заходили в конкурсы  2 раз на общую сумму обеспеченных контрактов с НМЦ 924 810 000,00 ? с БГУ  53 150 000,00 ? с БГИ 126 000 000,00 ?</t>
  </si>
  <si>
    <t>3 953</t>
  </si>
  <si>
    <t>ЗА 3 ГОДА ПО 223 ФЗ заключено 11 шт. с объемом НМЦ 373 995 303,33 ?</t>
  </si>
  <si>
    <t>22.11.11.000 Шины и покрышки пневматические для легковых автомобилей новые
22.11.1 Шины, покрышки и камеры резиновые новые
22.11.14.110 Шины и покрышки пневматические для сельскохозяйственных машин
22.11.15.110 Камеры резиновые
22.11.14.191 Шины пневматические для строительных, дорожных, подъемно-транспортных и рудничных машин
22.11.13.110 Шины и покрышки пневматические для автобусов, троллейбусов и грузовых автомобилей новые</t>
  </si>
  <si>
    <t>Сообщения о принятии решения о реорганизации от 31.08.2022</t>
  </si>
  <si>
    <t>Кредитный портфель_01.3439</t>
  </si>
  <si>
    <t>"223 за 3 года", ".", "fk1", "Кредитный портфель_01.11", "06.2022_ФинХД", "все клиенты с выручкой от 1,8 млрд до бесконечности", "Обороты по клиентам по кварталам (2022г)"</t>
  </si>
  <si>
    <t>56.29.20.120 Услуги школьных столовых и кухонь
56.29.20.190 Услуги прочих столовых
56.29.1 Услуги по обеспечению питанием, осуществляемые по договору
56.29.19.000 Услуги по обеспечению питанием, осуществляемые по договору, прочие
56.29.11.000 Услуги по обеспечению питанием, осуществляемые по договору и предоставляемые транспортным предприятиям
56.29.20 Услуги столовых</t>
  </si>
  <si>
    <t>1 875</t>
  </si>
  <si>
    <t>За весь период компания заключила  207 контрактов на сумму  26 608 033 015,96 ? За весь период заходили в конкурсы  448 раз на общую сумму обеспеченных контрактов с НМЦ 53 741 094 056,54 ? с БГУ  2 261 148 118,35 ? с БГИ 5 455 124 064,42 ? За 3 ГОДА по 44ФЗ заключено 28 шт. с объемом НМЦ  31 999 106 325,66 ? с БГИ 3 411 100 879,32 ? с БГГО 0,00 ? с авансированием до 0,00 ? с комиссией банку 109 132 375,30 ? с кв 949 451,67 ? ЗА 1 ГОД по 44ФЗ заключено 11 шт. c объемом НМЦ 18 678 820 861,22 ? с БГИ 1 867 210 979,75 ? с БГГО 0,00 ? с авансированием до  0,00 ? с комиссией банку  77 831 541,24 ? с кв 677 134,41 ?</t>
  </si>
  <si>
    <t>"223 за 3 года", ".", "рейтинг поставщиков в маркере по бг", "Конкурсы 100+ (Восстановленный)", "все клиенты с выручкой от 1,8 млрд до бесконечности", "44 фз с с БГ от 10 млн", "производители", "рейтинг по нмц маркер", "44 за 3 года"</t>
  </si>
  <si>
    <t>За весь период контрактов 6 шт. на общую сумму НМЦ 2 247 686 209,76 ?</t>
  </si>
  <si>
    <t>Юридическим лицом принято решение об изменении места нахождения от 20.04.2023</t>
  </si>
  <si>
    <t>Сообщения о принятии решения о реорганизации от 30.08.2022</t>
  </si>
  <si>
    <t>1 363</t>
  </si>
  <si>
    <t>Сообщение кредитора о намерении обратиться в суд с заявлением о банкротстве от 29.04.2019</t>
  </si>
  <si>
    <t>05.10.10.133 Уголь марки Г - газовый</t>
  </si>
  <si>
    <t>За весь период контрактов 10 шт. на общую сумму НМЦ 1 137 520 559,03 ?</t>
  </si>
  <si>
    <t>32.50.22.190 Протезы органов человека, не включенные в другие группировки
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t>
  </si>
  <si>
    <t>35.30.12.110 Услуги по приготовлению воды на нужды горячего водоснабжения
43.39.19.190 Работы завершающие и отделочные в зданиях и сооружениях, прочие, не включенные в другие группировки
35.30.11.120 Энергия тепловая, отпущенная котельными
35.30.12.120 Услуги по приготовлению горячей воды с использованием нецентрализованных систем горячего водоснабжения
93.11.10.000 Услуги спортивных объектов
36.00.20.130 Услуги по транспортированию и распределению воды по водопроводам</t>
  </si>
  <si>
    <t>ЗА 3 ГОДА ПО 223 ФЗ заключено 2 шт. с объемом НМЦ 619 492 090,58 ? за 1 ГОД ПО 223ФЗ заключено 1  309 746 045,29 ?</t>
  </si>
  <si>
    <t>"223 за 3 года", ".", "Конкурсы 100+ (Восстановленный)", "223 фз контракты 20+", "производители", "рейтинг по нмц маркер", "44 за 3 года"</t>
  </si>
  <si>
    <t>20.15.10.130 Аммиак
21.10.20.120 Соли четвертичные и гидроксиды аммония
20.14.22.111 Спирт метиловый (метанол)</t>
  </si>
  <si>
    <t>За весь период компания заключила  2 контрактов на сумму  454 300 000,00 ?</t>
  </si>
  <si>
    <t>20.15.39.000 Удобрения азотные и смеси прочие
20.15.79.000 Удобрения минеральные или химические, содержащие два или три питательных элемента (азот, фосфор и калий), не включенные в другие группировки
20.20.12 Гербициды
20.20.13.110 Средства против прорастания
20.20.15 Фунгициды
20.20.19.000 Пестициды прочие и агрохимические продукты прочие
46.12.13.110 Услуги по оптовой торговле промышленными и техническими химическими веществами за вознаграждение или на договорной основе
20.20.11.000 Инсектициды
46.75.11.000 Услуги по оптовой торговле удобрениями и агрохимикатами
20.20.13.120 Регуляторы роста растений ****</t>
  </si>
  <si>
    <t>За весь период заходили в конкурсы  4 раз на общую сумму обеспеченных контрактов с НМЦ 192 845 199,30 ? с БГУ  3 856 903,98 ? с БГИ 38 569 039,86 ?                             ЗА 3 ГОДА ПО 223 ФЗ заключено 30 шт. с объемом НМЦ 335 365 293,00 ? за 1 ГОД ПО 223ФЗ заключено 7  229 944 077,40 ?</t>
  </si>
  <si>
    <t>"223 за 3 года", ".", "рейтинг поставщиков в маркере по бг", "Конкурсы 100+ (Восстановленный)", "все клиенты с выручкой от 1,8 млрд до бесконечности", "223 фз контракты 20+", "производители", "рейтинг по нмц маркер", "44 за 3 года"</t>
  </si>
  <si>
    <t>10.91.10.186 Комбикорма для сельскохозяйственной птицы</t>
  </si>
  <si>
    <t>28.22.16.110 Лифты
28.22.16.111 Лифты пассажирские</t>
  </si>
  <si>
    <t>За весь период компания заключила  180 контрактов на сумму  49 128 516 792,65 ? За весь период заходили в конкурсы  656 раз на общую сумму обеспеченных контрактов с НМЦ 83 222 197 898,59 ? с БГУ  4 675 929 110,63 ? с БГИ 21 602 701 515,92 ?                                 за 1 ГОД ПО 223ФЗ заключено 2  5 104 938,00 ?</t>
  </si>
  <si>
    <t>"223 за 3 года", ".", "рейтинг поставщиков в маркере по бг", "fk1", "ушедшие", "06.2022_ФинХД", "Обороты по клиентам по кварталам (2022г)", "производители", "рейтинг по нмц маркер", "поставщики маркер"</t>
  </si>
  <si>
    <t>28.30.22.110 Тракторы сельскохозяйственные колесные с мощностью двигателя от 37 кВт до 59 кВт
28.30.23.110 Тракторы сельскохозяйственные колесные с мощностью двигателя более 59 кВт
28.30.32.112 Бороны дисковые
28.30.39.000 Машины сельскохозяйственные для обработки почвы прочие
20.20.12.000 Гербициды
28.30.33.112 Сеялки зернотуковые
29.32 Комплектующие и принадлежности для автотранспортных средств прочие
28.30.31.110 Плуги общего назначения
28.30.32.130 Культиваторы</t>
  </si>
  <si>
    <t>за 1 ГОД ПО 223ФЗ заключено 2  9 712 000,00 ?</t>
  </si>
  <si>
    <t>"223 за 3 года", ".", "Участники клиринга", "поставщики маркер", "44 за 3 года"</t>
  </si>
  <si>
    <t>21.20.23.110 Реагенты диагностические
21.20.23.199 Средства нелечебные прочие
20.59.52.140 Среды готовые питательные для выращивания микроорганизмов
20.59.52.199 Реагенты сложные диагностические или лабораторные прочие, не включенные в другие группировки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32.50.13.190 Инструменты и приспособления, применяемые в медицинских целях, прочие, не включенные в другие группировки
33.12.29.900 Услуги по ремонту и техническому обслуживанию прочего оборудования специального назначения, не включенные в другие группировки
33.19.10.000 Услуги по ремонту прочего оборудования
77.39.19.116 Услуги по аренде и лизингу приборов, аппаратов и прочего оборудования, применяемых в медицинских целях
33.12.11.000 Услуги по ремонту и техническому обслуживанию двигателей и турбин, кроме авиационных, автомобильных и мотоциклетных двигателей ****</t>
  </si>
  <si>
    <t>За весь период заходили в конкурсы  2 раз на общую сумму обеспеченных контрактов с НМЦ 297 244 458,54 ? с БГУ  3 010 163,39 ? с БГИ 30 101 633,89 ?               ЗА 1 ГОД по 44ФЗ заключено 17 шт. c объемом НМЦ 64 669 765,08 ? с БГИ 4 481 181,70 ? с БГГО 371 073,00 ? с авансированием до  0,00 ? с комиссией банку  67 934,16 ? с кв 591,03 ? ЗА 3 ГОДА ПО 223 ФЗ заключено 5 шт. с объемом НМЦ 35 860 593,84 ? за 1 ГОД ПО 223ФЗ заключено 3  26 815 192,80 ?</t>
  </si>
  <si>
    <t>1 438</t>
  </si>
  <si>
    <t>28.13.12.000 Насосы возвратно-поступательные объемного действия прочие для перекачки жидкостей
28.13.14.110 Насосы центробежные подачи жидкостей прочие
28.13.32.110 Комплектующие (запасные части) воздушных или вакуумных насосов, не имеющие самостоятельных группировок
28.14.12.110 Краны, клапаны для раковин, моек, биде, унитазов, ванн и аналогичная арматура
28.22.19.190 Комплектующие (запасные части) прочего подъемно-транспортного и погрузочно-разгрузочного оборудования, не имеющие самостоятельных группировок
71.12.16.000 Услуги по инженерно-техническому проектированию производственных процессов и производств
71.12.19 Услуги по инженерно-техническому проектированию прочих объектов
26.51.43.116 Приборы цифровые электроизмерительные комбинированные
26.51.52.130 Приборы для измерения или контроля давления жидкостей и газов
26.51.64.190 Приборы для измерения параметров движения и количества прочие ****</t>
  </si>
  <si>
    <t>За весь период контрактов 14 шт. на общую сумму НМЦ 5 538 119 682,22 ?</t>
  </si>
  <si>
    <t>"223 за 3 года", ".", "рейтинг поставщиков в маркере по бг", "fk1", "корп 1", "клиенты с в от100млн 09.21", "все клиенты с выручкой от 1,8 млрд до бесконечности", "ФК клиенты с выручкой от 230 до бесконечности", "223 фз контракты 20+", "рейтинг по нмц маркер", "поставщики маркер", "44 за 3 года"</t>
  </si>
  <si>
    <t>23.52.10.110 Известь негашеная
20.59 Продукты химические прочие, не включенные в другие группировки
20.30.22.170 Герметики
20.30.22.220 Растворители и разбавители органические сложные; составы готовые для удаления красок и лаков (смывки)
23.51.12.111 Портландцемент без минеральных добавок
20.30.11.120 Краски на основе акриловых или виниловых полимеров в водной среде
47.52.79.000 Услуги по розничной торговле прочими строительными материалами, не включенными в другие группировки, в специализированных магазинах
23.31.10.122 Плитки керамические для полов
22.23.15.000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20.30.11.130 Грунтовки на основе акриловых или виниловых полимеров в водной среде ****</t>
  </si>
  <si>
    <t>Сообщения о принятии решения о реорганизации от 28.11.2022</t>
  </si>
  <si>
    <t>20.16.20.116 Полистирол вспенивающийся</t>
  </si>
  <si>
    <t>26.20.16.140 Терминалы ввода/вывода данных</t>
  </si>
  <si>
    <t>За весь период компания заключила  1 контрактов на сумму  579 098 600,00 ?</t>
  </si>
  <si>
    <t>"223 за 3 года", ".", "клиенты с в от100млн 09.21", "все клиенты с выручкой от 1,8 млрд до бесконечности", "ФК клиенты с выручкой от 230 до бесконечности", "производители", "рейтинг по нмц маркер"</t>
  </si>
  <si>
    <t>10.72.12.120 Печенье сладкое
10.82.23 Изделия кондитерские сахаристые (включая белый шоколад), не содержащие какао
10.82.23.121 Карамель леденцовая
10.82.23.170 Мармелад
10.82.24 Фрукты, орехи, кожура фруктов и прочие части растений засахаренные
10.89.19.210 Добавки биологически активные к пище
10.82.22 Шоколад и пищевые продукты, содержащие какао (кроме подслащенного какао-порошка), в упакованном виде
10.82.23.210 Зефир</t>
  </si>
  <si>
    <t>13.95.10.119 Материалы нетканые из прочих нитей</t>
  </si>
  <si>
    <t>На 04.04.2023 18:02 имеются действующие решения ФНС о приостановлении операций по счетам</t>
  </si>
  <si>
    <t>20.59 Продукты химические прочие, не включенные в другие группировки
20.20.14.000 Средства дезинфекционные
20.13 Вещества химические неорганические основные прочие
46.69.19 Услуги по оптовой торговле прочими машинами, приборами, аппаратурой и оборудованием общепромышленного и специального назначения
20.13.42 Фосфинаты (гипофосфиты), фосфонаты (фосфиты), фосфаты, полифосфаты и нитраты (кроме калия)
20.13.42.130 Фосфаты
13.96 Изделия текстильные технического назначения прочие
46.75.12.000 Услуги по оптовой торговле промышленными химическими веществами
20.13.14.120 Карбиды, оксиды, хлориды, нитриды, фториды, их сплавы и смеси, содержащие ядерные материалы; топливные элементы и сборки, содержащие топливо из этих соединений</t>
  </si>
  <si>
    <t>27.51.11.110 Холодильники бытовые
28.94.22.110 Машины стиральные для прачечных
28.25.13.110 Оборудование холодильное и морозильное, кроме бытового оборудования
27.51.1 Холодильники и морозильники; стиральные машины; электрические одеяла; вентиляторы</t>
  </si>
  <si>
    <t>"223 за 3 года", ".", "fk1", "корп 2", "клиенты с в от100млн 09.21", "все клиенты с выручкой от 1,8 млрд до бесконечности", "ФК клиенты с выручкой от 230 до бесконечности", "Обороты по клиентам по кварталам (2022г)", "поставщики маркер", "44 за 3 года"</t>
  </si>
  <si>
    <t>23.11 Стекло листовое</t>
  </si>
  <si>
    <t>32.50.21.112 Оборудование терапевтические
26.60.13.110 Ингаляторы
28.29.32.000 Устройства взвешивающие и весы для взвешивания людей и бытовые
21.20 Препараты лекарственные и материалы, применяемые в медицинских целях
26.60.12.129 Приборы и аппараты для функциональной диагностики прочие, применяемые в медицинских целях, не включенные в другие группировки
26.51.82.190 Комплектующие (запасные части), не включенные в другие группировки, не имеющие самостоятельных группировок</t>
  </si>
  <si>
    <t>ЗА 3 ГОДА ПО 223 ФЗ заключено 2 шт. с объемом НМЦ 60 000 000,00 ?</t>
  </si>
  <si>
    <t>20.42.16.110 Шампуни
13.99.19.141 Прокладки женские гигиенические, салфетки и тампоны из ваты из прочих текстильных нитей
10.86.10.133 Смеси молочные адаптированные (заменители женского молока), в том числе начальные, сухие для детей раннего возраста
17.22.12.120 Подгузники и пеленки детские из бумажной массы, бумаги, целлюлозной ваты и полотна из целлюлозных волокон
20.41.44.190 Средства чистящие прочие
20.41.31.113 Мыло туалетное марки "Детское"
20.41.32.119 Средства моющие прочие
20.41.32.120 Средства стиральные
10.92.10.191 Сухой корм прочий для собак
20.41.31.140 Мыло хозяйственное жидкое ****</t>
  </si>
  <si>
    <t>"поставщики маркер", ".", "fk1", "просрочка на 01.01.2023 г.", "Запрос в ЮД_просрочка на 01.01.2023", "Обороты по клиентам по кварталам (2022г)"</t>
  </si>
  <si>
    <t>08.12.11.120 Пески кварцевые</t>
  </si>
  <si>
    <t>51.21.1 Услуги по перевозке грузов воздушным транспортом
52.2 Услуги транспортные вспомогательные
50.40.19 Услуги по перевозке грузов внутренним водным транспортом прочие
52.1 Услуги по складированию и хранению
50.20.19 Услуги по заграничным и каботажным перевозкам морскими судами прочих грузов
49.41.1 Услуги по грузовым перевозкам автомобильным транспортом</t>
  </si>
  <si>
    <t>27.12.10.110 Выключатели, контакторы и реверсоры переменного тока высокого напряжения (выключатели силовые высоковольтные)
33.14 Услуги по ремонту электрического оборудования
33.20.5 Услуги по монтажу электрического оборудования</t>
  </si>
  <si>
    <t>Сообщение кредитора о намерении обратиться в суд с заявлением о банкротстве от 03.08.2020</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</si>
  <si>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 Услуги по снабжению паром и кондиционированию воздуха
35.30.11.130 Энергия тепловая, отпущенная электрокотлами
35.30.12.110 Услуги по приготовлению воды на нужды горячего водоснабжения
35.11.10 Электроэнергия ****</t>
  </si>
  <si>
    <t>За весь период компания заключила  19 контрактов на сумму  2 008 524 351,18 ?                                     ЗА 3 ГОДА ПО 223 ФЗ заключено 99 шт. с объемом НМЦ 1 398 957 226,28 ? за 1 ГОД ПО 223ФЗ заключено 49  160 129 908,33 ?</t>
  </si>
  <si>
    <t>"223 за 3 года", ".", "ИНН_договоры_октябрь_", "все клиенты с выручкой от 1,8 млрд до бесконечности", "223 фз контракты 20+", "рейтинг заказчиков маркер", "рейтинг по нмц маркер", "это заказчик", "поставщики маркер"</t>
  </si>
  <si>
    <t>35.11.10.112 Электроэнергия, произведенная теплоэлектроцентралями (ТЭЦ) общего назначения
35.11.10.130 Электроэнергия, произведенная локальными электростанциями (не работающими в энергосистеме)
35.12.10.120 Услуги по технологическому присоединению к распределительным электросетям
35.13.10.000 Услуги по распределению электроэнергии
35.14.10.000 Услуги по торговле электроэнергией
35.12.10.110 Услуги по передаче электроэнергии</t>
  </si>
  <si>
    <t>24.34.12.000 Проволока холоднотянутая из нержавеющей стали
27.3 Кабели и арматура кабельная
24.45.30.390 Металлы цветные прочие, изделия из них, порошки
25.93.13.122 Решетки, сетки и ограждения из проволоки из меди
35.30.12.130 Услуги по транспортированию горячей воды
25.93.13.120 Ткани металлические, решетки, сетки и ограждения из проволоки из меди
27.32.13.196 Кабели судовые и морские грузонесущие
25.99.29.190 Изделия прочие из недрагоценных металлов, не включенные в другие группировки
35.30.11.111 Энергия тепловая, отпущенная тепловыми электроцентралями (ТЭЦ)
47.78.3 Услуги по розничной торговле сувенирами, изделиями народных художественных промыслов ****</t>
  </si>
  <si>
    <t>За весь период компания заключила  2 контрактов на сумму  638 353 184,44 ?</t>
  </si>
  <si>
    <t>27.32.13.143 Кабели контрольные
27.32.13.191 Кабели монтажные
27.32.14.110 Кабели силовые для стационарной прокладки на напряжение более 1 кВ
27.32.11.000 Провода обмоточные изолированные
27.32.12.000 Кабели коаксиальные и прочие коаксиальные проводники электрического тока
27.32.13.141 Кабели управления
27.32.13.152 Кабели связи телефонные
27.32 Провода и кабели электронные и электрические прочие
27.32.13 Проводники электрические прочие на напряжение не более 1 кВ
27.32.13.124 Кабели силовые гибкие общего назначения ****</t>
  </si>
  <si>
    <t>ЗА 3 ГОДА ПО 223 ФЗ заключено 2 шт. с объемом НМЦ 66 036 371,71 ?</t>
  </si>
  <si>
    <t>38.11.19.000 Услуги по сбору прочих неопасных отходов, пригодных для повторного использования
38.11.31.000 Отходы неопасные бытовые, непригодные для повторного использования
38.11.21.000 Услуги по сбору неопасных отходов городского хозяйства, непригодных для повторного использования
38.21.29.000 Услуги по утилизации неопасных отходов прочие
38.11.29.000 Услуги по сбору прочих неопасных отходов, непригодных для повторного использования
38.12.13.000 Услуги по сбору опасных отходов городского хозяйства
38.21.22.000 Услуги по прочему захоронению мусора
38.11.11.000 Услуги по сбору неопасных отходов городского хозяйства, пригодных для повторного использования</t>
  </si>
  <si>
    <t>За весь период компания заключила  1 контрактов на сумму  3 537 187 395,69 ? За весь период заходили в конкурсы  1 раз на общую сумму обеспеченных контрактов с НМЦ 3 537 187 395,69 ? с БГУ  100 000 000,00 ? с БГИ 179 552 659,68 ? За 3 ГОДА по 44ФЗ заключено 6 шт. с объемом НМЦ  3 603 105 132,31 ? с БГИ 181 737 895,96 ? с БГГО 0,00 ? с авансированием до 0,00 ? с комиссией банку 3 982 533,85 ? с кв 34 648,04 ? ЗА 1 ГОД по 44ФЗ заключено 2 шт. c объемом НМЦ 3 594 333 193,60 ? с БГИ 179 880 659,68 ? с БГГО 0,00 ? с авансированием до  0,00 ? с комиссией банку  3 973 183,66 ? с кв 34 566,70 ? ЗА 3 ГОДА ПО 223 ФЗ заключено 2 шт. с объемом НМЦ 3 429 404 133,69 ?</t>
  </si>
  <si>
    <t>"223 за 3 года", "кл фт агент бг 04.22", ".", "рейтинг поставщиков в маркере по бг", "ЛП СПБ", "Конкурсы 100+ (Восстановленный)", "Агентские отказ из-за непред-я док-ов", "портфель 31.10.2021_10 тыс_проверка", "портфель", "клиенты от 100 млн", "действующие б не прям", "ФТ клиенты с продуктами по сотрудникам", "рейтинг по нмц маркер", "поставщики маркер", "44 за 3 года"</t>
  </si>
  <si>
    <t>50.4 Услуги по перевозке грузов внутренним водным транспортом</t>
  </si>
  <si>
    <t>Гарантия отправлена
Формируется предложение</t>
  </si>
  <si>
    <t>"на фт заводил Микульшин", "свод фт", ".", "fk1", "кредиты фт", "Пункт 3.1 09.01.2023", "клиенты с в от100млн 09.21", "лимит сит по кредитам", "все клиенты с выручкой от 1,8 млрд до бесконечности", "ФК клиенты с выручкой от 230 до бесконечности", "Обороты по клиентам по кварталам (2022г)"</t>
  </si>
  <si>
    <t>20.13.23.113 Калий
22.22.14.000 Бутыли, бутылки, флаконы и аналогичные изделия из пластмасс
20.59 Продукты химические прочие, не включенные в другие группировки
21.20.23.110 Реагенты диагностические
21.20.23.113 Средства радиофармацевтические диагностические
21.20.23.199 Средства нелечебные прочие
20.59.52.140 Среды готовые питательные для выращивания микроорганизмов
20.59.52.193 Комплексоны и комплексонаты, соединения комплексные
20.59.52.199 Реагенты сложные диагностические или лабораторные прочие, не включенные в другие группировки
20.59.59 Продукты разные химические, не включенные в другие группировки ****</t>
  </si>
  <si>
    <t>За весь период заходили в конкурсы  2 раз на общую сумму обеспеченных контрактов с НМЦ 39 262 274,56 ? с БГУ  690 681,87 ? с БГИ 6 906 818,67 ? За 3 ГОДА по 44ФЗ заключено 522 шт. с объемом НМЦ  976 005 934,49 ? с БГИ 115 648 901,52 ? с БГГО 10 363 115,68 ? с авансированием до 26 415 428,66 ? с комиссией банку 1 190 474,36 ? с кв 10 357,13 ? ЗА 1 ГОД по 44ФЗ заключено 195 шт. c объемом НМЦ 408 407 545,34 ? с БГИ 52 442 811,40 ? с БГГО 4 066 299,89 ? с авансированием до  27 783 183,66 ? с комиссией банку  633 433,68 ? с кв 5 510,87 ? ЗА 3 ГОДА ПО 223 ФЗ заключено 42 шт. с объемом НМЦ 33 049 310,38 ? за 1 ГОД ПО 223ФЗ заключено 7  7 592 152,91 ?</t>
  </si>
  <si>
    <t>"223 за 3 года", "кл фт прямые бг 04.22", "свод фт", ".", "рейтинг поставщиков в маркере по бг", "Пересечения действующих клиентов 28 фев 19", "Одобренные но не выданные 1 полугодие 2021(прямые)", "УПП на 2 номер", "БГИ", "fk1", "клиенты управления по БГ без открытых счетов", "Евразия_июлль-август 2019", "2. Финтендер 2022 31.03.22 Григорян для СПАРК", "БГ ФБ ЮР лица на 01.07.2021", "Премия 4 кв 22 г.бг", "Гарантии ФБ банкроты", "филиал бизнес 31.01.22 ", "клиенты с в от100млн 09.21", "все клиенты с выручкой от 1,8 млрд до бесконечности", "ФК клиенты с выручкой от 230 до бесконечности", "клиенты от 100 млн", "ФТ клиенты с продуктами по сотрудникам", "44 фз с с БГ от 10 млн", "рейтинг по нмц маркер", "на фт заводил Самар", "на фт заводил Середин", "на фт заводил Дворецкий", "на фт заводил Вохмина", "поставщики маркер", "44 за 3 года"</t>
  </si>
  <si>
    <t>52.2 Услуги транспортные вспомогательные
46.71.13.142 Услуги по оптовой торговле сжиженными углеводородными газами по нерегулируемым государством ценам (тарифам)</t>
  </si>
  <si>
    <t>42.21.21.000 Работы строительные по прокладке магистральных трубопроводов</t>
  </si>
  <si>
    <t>"поставщики маркер", "свод фт", ".", "все клиенты с выручкой от 1,8 млрд до бесконечности", "на фт заводил Майоров Н"</t>
  </si>
  <si>
    <t>20.13 Вещества химические неорганические основные прочие</t>
  </si>
  <si>
    <t>Сообщение кредитора о намерении обратиться в суд с заявлением о банкротстве от 06.11.2020</t>
  </si>
  <si>
    <t>38.11.19.000 Услуги по сбору прочих неопасных отходов, пригодных для повторного использования
38.21.2 Услуги по удалению неопасных отходов
38.22.29.000 Услуги по утилизации прочих опасных отходов
38.11.31.000 Отходы неопасные бытовые, непригодные для повторного использования
81.21.10.000 Услуги по общей уборке зданий
38.11.21.000 Услуги по сбору неопасных отходов городского хозяйства, непригодных для повторного использования
38.21.29.000 Услуги по утилизации неопасных отходов прочие
49.41.19.900 Услуги по перевозке грузов автомобильным транспортом прочие, не включенные в другие группировки
38 Услуги по сбору, обработке и удалению отходов; услуги по утилизации отходов
38.11.29.000 Услуги по сбору прочих неопасных отходов, непригодных для повторного использования ****</t>
  </si>
  <si>
    <t>За весь период компания заключила  4 контрактов на сумму  42 968 736 640,52 ? За весь период заходили в конкурсы  26 раз на общую сумму обеспеченных контрактов с НМЦ 26 643 285 710,35 ? с БГУ  1 665 974 699,66 ? с БГИ 3 511 565 971,29 ? За 3 ГОДА по 44ФЗ заключено 19 шт. с объемом НМЦ  539 724 633,80 ? с БГИ 144 999 014,68 ? с БГГО 347 394,74 ? с авансированием до 0,00 ? с комиссией банку 863 287,53 ? с кв 7 510,60 ?</t>
  </si>
  <si>
    <t>"223 за 3 года", "свод фт", ".", "рейтинг поставщиков в маркере по бг", "п6", "fk1", "все клиенты с выручкой от 1,8 млрд до бесконечности", "рейтинг по нмц маркер", "это заказчик", "на фт заводил Шутов", "поставщики маркер", "44 за 3 года"</t>
  </si>
  <si>
    <t>38.11.19.000 Услуги по сбору прочих неопасных отходов, пригодных для повторного использования
38.22.29.000 Услуги по утилизации прочих опасных отходов
38.11.31.000 Отходы неопасные бытовые, непригодные для повторного использования
38.11.21.000 Услуги по сбору неопасных отходов городского хозяйства, непригодных для повторного использования
38.2 Услуги по обработке и утилизации отходов
38.21.22 Услуги по прочему захоронению мусора
38.11 Отходы неопасные; услуги по сбору неопасных отходов
38.21.29.000 Услуги по утилизации неопасных отходов прочие
38.12.13 Услуги по сбору опасных отходов городского хозяйства
38 Услуги по сбору, обработке и удалению отходов; услуги по утилизации отходов ****</t>
  </si>
  <si>
    <t>38.11.11.000 Услуги по сбору неопасных отходов городского хозяйства, пригодных для повторного использования</t>
  </si>
  <si>
    <t>ЗА 3 ГОДА ПО 223 ФЗ заключено 4 шт. с объемом НМЦ 19 759 023 908,89 ? за 1 ГОД ПО 223ФЗ заключено 6  39 498 890 927,20 ?</t>
  </si>
  <si>
    <t>Сообщение кредитора о намерении обратиться в суд с заявлением о банкротстве от 04.06.2021</t>
  </si>
  <si>
    <t>"223 за 3 года", ".", "fk1", "корп 1", "06.2022_ФинХД", "все клиенты с выручкой от 1,8 млрд до бесконечности", "223 фз контракты 20+", "рейтинг заказчиков маркер"</t>
  </si>
  <si>
    <t>20.59.59 Продукты разные химические, не включенные в другие группировки
16.10 Лесоматериалы, распиленные и строганые</t>
  </si>
  <si>
    <t>За весь период компания заключила  20 контрактов на сумму  5 429 730 208,79 ?</t>
  </si>
  <si>
    <t>"223 за 3 года", ".", "Пункт 3.1 09.01.2023", "производители", "рейтинг по нмц маркер", "поставщики маркер"</t>
  </si>
  <si>
    <t>"все клиенты с выручкой от 1,8 млрд до бесконечности", ".", "п6", "клиент металлинвеста", "ушедшие"</t>
  </si>
  <si>
    <t>"поставщики маркер", ".", "производители", "это заказчик", "crm управления", "crm Пител"</t>
  </si>
  <si>
    <t>Кредитный портфель_01.3474</t>
  </si>
  <si>
    <t>01.19.31.162 Семена люцерны
01.11.12.112 Семена озимой мягкой пшеницы
01.11 Культуры зерновые (кроме риса), зернобобовые, семена масличных культур
01.11.12.122 Семена яровой мягкой пшеницы</t>
  </si>
  <si>
    <t>Сообщение кредитора о намерении обратиться в суд с заявлением о банкротстве от 16.10.2019</t>
  </si>
  <si>
    <t>28.22.17.121 Элеваторы ковшовые
28.30.31.129 Плуги прочие, не включенные в другие группировки
28.30.93.000 Части прочих машин и оборудования для сельского хозяйства
28.22.18.246 Погрузчики универсальные сельскохозяйственного назначения
28.30.54.120 Машины для уборки и первичной обработки свеклы и других корнеплодов
28.30.23.110 Тракторы сельскохозяйственные колесные с мощностью двигателя более 59 кВт
28.93.16.000 Сушилки для сельскохозяйственных продуктов
28.30.86.110 Оборудование для сельского хозяйства, не включенное в другие группировки
28.22.17.112 Конвейеры скребковые
28.30.33.111 Сеялки зерновые ****</t>
  </si>
  <si>
    <t>Кредитный портфель_01.3475</t>
  </si>
  <si>
    <t>"223 за 3 года", ".", "Кредитный портфель_01.11", "06.2022_ФинХД", "поставщики маркер"</t>
  </si>
  <si>
    <t>Кредитный портфель_01.3476</t>
  </si>
  <si>
    <t>"поставщики маркер", ".", "fk1", "Кредитный портфель_01.11", "06.2022_ФинХД", "это заказчик"</t>
  </si>
  <si>
    <t>01.41.10.122 Быки-производители молочного стада племенные</t>
  </si>
  <si>
    <t>3 712</t>
  </si>
  <si>
    <t>28.30.23.110 Тракторы сельскохозяйственные колесные с мощностью двигателя более 59 кВт
52.10 Услуги по складированию и хранению</t>
  </si>
  <si>
    <t>Кредитный портфель_01.3477</t>
  </si>
  <si>
    <t>"223 за 3 года", ".", "fk1", "Кредитный портфель_01.11", "06.2022_ФинХД", "поставщики маркер"</t>
  </si>
  <si>
    <t>10.13.14.119 Изделия колбасные вареные мясные прочие
10.13.14.111 Колбасы (колбаски) вареные мясные
10.13.14.121 Колбасы (колбаски) вареные мясосодержащие
10.13.14.112 Сосиски мясные
10.13.14.411 Колбасы (колбаски) полукопченые мясные</t>
  </si>
  <si>
    <t>ПОС на 03.04.4994</t>
  </si>
  <si>
    <t>"поставщики маркер", ".", "fk1", "инн Красносельская", "ПОС на 01.02.2023", "ПОС на 03.04.2023", "Кредитный портфель_01.11", "06.2022_ФинХД", "Обороты по клиентам по кварталам (2022г)"</t>
  </si>
  <si>
    <t>01.61.10.120 Услуги по проведению сева и посадке, возделыванию и выращиванию сельскохозяйственных культур, внесению удобрений
01 Продукция и услуги сельского хозяйства и охоты
01.47.11.600 Бройлеры
01.47.21.000 Яйца куриные в скорлупе свежие
10.12.10.110 Мясо кур, в том числе цыплят (включая цыплят-бройлеров) охлажденное</t>
  </si>
  <si>
    <t>38.22.29.000 Услуги по утилизации прочих опасных отходов
09.10 Услуги по добыче нефти и природного газа
38.11.21.000 Услуги по сбору неопасных отходов городского хозяйства, непригодных для повторного использования
52.29.20.000 Услуги транспортные вспомогательные прочие, не включенные в другие группировки
38.21.29.000 Услуги по утилизации неопасных отходов прочие
49.41.19.900 Услуги по перевозке грузов автомобильным транспортом прочие, не включенные в другие группировки
09.10.12.190 Услуги, связанные с добычей нефти, газового конденсата и горючего природного газа, прочие
38.11.29.000 Услуги по сбору прочих неопасных отходов, непригодных для повторного использования
38.21.23.000 Услуги по сжиганию неопасных отходов
09.10.11.190 Услуги по бурению, связанные с добычей нефти и горючего природного газа, не включенные в другие группировки ****</t>
  </si>
  <si>
    <t>За весь период компания заключила  54 контрактов на сумму  33 689 927 924,80 ? За весь период заходили в конкурсы  27 раз на общую сумму обеспеченных контрактов с НМЦ 27 019 177 921,74 ? с БГУ  504 421 656,47 ? с БГИ 3 365 474 986,68 ? За 3 ГОДА по 44ФЗ заключено 7 шт. с объемом НМЦ  4 382 264 357,32 ? с БГИ 105 211 451,41 ? с БГГО 0,00 ? с авансированием до 0,00 ? с комиссией банку 5 164 013,18 ? с кв 44 926,91 ?</t>
  </si>
  <si>
    <t>38.21.29.000 Услуги по утилизации неопасных отходов прочие
38.11.29.000 Услуги по сбору прочих неопасных отходов, непригодных для повторного использования
38.11.11.000 Услуги по сбору неопасных отходов городского хозяйства, пригодных для повторного использования</t>
  </si>
  <si>
    <t>1 246</t>
  </si>
  <si>
    <t>"44 за 3 года", "кл фт прямые бг 04.22", "свод фт", ".", "УПП на 2 номер", "клиенты управления по БГ без открытых счетов", "2. Финтендер 2022 31.03.22 Григорян для СПАРК", "Премия 4 кв 22 г.бг", "клиенты до 49 млн", "ФТ клиенты с продуктами по сотрудникам", "на фт заводил Удод"</t>
  </si>
  <si>
    <t>38.11.19.000 Услуги по сбору прочих неопасных отходов, пригодных для повторного использования
38.22.29.000 Услуги по утилизации прочих опасных отходов
38.11.31.000 Отходы неопасные бытовые, непригодные для повторного использования
81.21.10.000 Услуги по общей уборке зданий
38.11.21.000 Услуги по сбору неопасных отходов городского хозяйства, непригодных для повторного использования
38.2 Услуги по обработке и утилизации отходов
81.29.13.000 Услуги санитарно-гигиенические прочие
38.11 Отходы неопасные; услуги по сбору неопасных отходов
38.11.29 Услуги по сбору прочих неопасных отходов, непригодных для повторного использования
38.11.2 Услуги по сбору неопасных отходов, непригодных для повторного использования ****</t>
  </si>
  <si>
    <t>За год заключили по 223фз 6 контракта(ов) на сумму  6 680 432,96 ?</t>
  </si>
  <si>
    <t>38.11.19.000 Услуги по сбору прочих неопасных отходов, пригодных для повторного использования
38.22.29.000 Услуги по утилизации прочих опасных отходов
38.11.31.000 Отходы неопасные бытовые, непригодные для повторного использования
81.21.10.000 Услуги по общей уборке зданий
81.29.12.000 Услуги по подметанию и уборке снега
38.11.21.000 Услуги по сбору неопасных отходов городского хозяйства, непригодных для повторного использования
38.21.22 Услуги по прочему захоронению мусора
38.11 Отходы неопасные; услуги по сбору неопасных отходов
38.11.29 Услуги по сбору прочих неопасных отходов, непригодных для повторного использования
38.11.2 Услуги по сбору неопасных отходов, непригодных для повторного использования ****</t>
  </si>
  <si>
    <t>За весь период компания заключила  5 контрактов на сумму  1 189 287 546,88 ? За весь период заходили в конкурсы  6 раз на общую сумму обеспеченных контрактов с НМЦ 1 440 053 488,83 ? с БГУ  70 105 039,29 ? с БГИ 187 764 772,60 ?                             ЗА 3 ГОДА ПО 223 ФЗ заключено 42 шт. с объемом НМЦ 25 051 818,37 ? за 1 ГОД ПО 223ФЗ заключено 38  20 194 044,71 ?</t>
  </si>
  <si>
    <t>Юридическое лицо находится в процессе реорганизации в форме преобразования от 09.03.2023, Сообщения о принятии решения о реорганизации от 06.03.2023</t>
  </si>
  <si>
    <t>"223 за 3 года", ".", "рейтинг поставщиков в маркере по бг", "п6", "рейтинг заказчиков маркер", "рейтинг по нмц маркер", "это заказчик", "поставщики маркер", "44 за 3 года"</t>
  </si>
  <si>
    <t>38.11.19.000 Услуги по сбору прочих неопасных отходов, пригодных для повторного использования
38.11.31.000 Отходы неопасные бытовые, непригодные для повторного использования
38.11.21.000 Услуги по сбору неопасных отходов городского хозяйства, непригодных для повторного использования
43.11.10.000 Работы по сносу зданий и сооружений
38.21.29.000 Услуги по утилизации неопасных отходов прочие
38.11.59.000 Отходы неопасные прочие, пригодные для повторного использования, не включенные в другие группировки
38.12.12.000 Услуги по сбору прочих опасных промышленных отходов
38.11.29.000 Услуги по сбору прочих неопасных отходов, непригодных для повторного использования
38.21.10.000 Услуги по переработке отходов неопасных для окончательной утилизации
43.99.90.130 Работы строительные по строительству открытых плавательных бассейнов ****</t>
  </si>
  <si>
    <t>За весь период компания заключила  7 контрактов на сумму  16 109 271 863,79 ? За весь период заходили в конкурсы  2 раз на общую сумму обеспеченных контрактов с НМЦ 820 056 808,39 ? с БГУ  54 725 209,81 ? с БГИ 319 578 175,68 ?</t>
  </si>
  <si>
    <t>"223 за 3 года", ".", "рейтинг поставщиков в маркере по бг", "п6", "fk1", "06.2022_ФинХД", "Действующий клиент мсб с выр от 30 млн на 05.21", "ФК клиенты с выручкой от 230 до бесконечности", "Обороты по клиентам по кварталам (2022г)", "рейтинг заказчиков маркер", "рейтинг по нмц маркер", "это заказчик", "поставщики маркер"</t>
  </si>
  <si>
    <t>52.21.19.190 Услуги вспомогательные для железнодорожного транспорта прочие, не включенные в другие группировки</t>
  </si>
  <si>
    <t>ЗА 3 ГОДА ПО 223 ФЗ заключено 2 шт. с объемом НМЦ 922 003 495,26 ?</t>
  </si>
  <si>
    <t>4 147</t>
  </si>
  <si>
    <t>За весь период компания заключила  5 контрактов на сумму  3 895 932 372,73 ?</t>
  </si>
  <si>
    <t>"на фт заводил Пейсахова", "свод фт", ".", "все клиенты с выручкой от 1,8 млрд до бесконечности"</t>
  </si>
  <si>
    <t>21.20.23.110 Реагенты диагностические
21.20.23.199 Средства нелечебные прочие
21.10.54.190 Антибиотики и их производные прочие
21.10.60.191 Продукты человеческого или животного происхождения для терапевтического или профилактического использования прочие
21.20.10.118 Препараты, способствующие пищеварению, включая ферментные препараты
21.20.10.133 Препараты антианемические
21.20.10.172 Препараты для лечения гинекологических заболеваний прочие
21.20.10.191 Препараты антибактериальные для системного использования
21.20.10.213 Иммуномодуляторы
21.20.10.241 Препараты противопротозойные ****</t>
  </si>
  <si>
    <t>За весь период компания заключила  15 контрактов на сумму  874 087 950,39 ? За весь период заходили в конкурсы  21 раз на общую сумму обеспеченных контрактов с НМЦ 1 539 573 077,52 ? с БГУ  19 058 268,65 ? с БГИ 190 582 686,50 ? За 3 ГОДА по 44ФЗ заключено 247 шт. с объемом НМЦ  967 727 253,39 ? с БГИ 74 624 003,15 ? с БГГО 0,00 ? с авансированием до 0,00 ? с комиссией банку 804 461,46 ? с кв 6 998,81 ?               ЗА 3 ГОДА ПО 223 ФЗ заключено 57 шт. с объемом НМЦ 789 915 124,22 ?</t>
  </si>
  <si>
    <t>"223 за 3 года", "свод фт", ".", "рейтинг поставщиков в маркере по бг", "БГ ФБ ЮР лица на 01.07.2021", "филиал бизнес 31.01.22 ", "все клиенты с выручкой от 1,8 млрд до бесконечности", "ФК клиенты с выручкой от 230 до бесконечности", "рейтинг по нмц маркер", "на фт заводил Пейсахова", "на фт заводил Еприкян", "на фт заводил Абияев", "поставщики маркер", "44 за 3 года"</t>
  </si>
  <si>
    <t>38.11.19.000 Услуги по сбору прочих неопасных отходов, пригодных для повторного использования
68.32.13 Услуги по управлению объектами нежилого фонда, предоставляемые за вознаграждение или на договорной основе
38.22.29.000 Услуги по утилизации прочих опасных отходов
38.11.31.000 Отходы неопасные бытовые, непригодные для повторного использования
77.39 Услуги по аренде и лизингу прочих машин, оборудования и материальных средств, не включенных в другие группировки
81.29.12.000 Услуги по подметанию и уборке снега
38.22.11.200 Услуги по обращению с особыми радиоактивными отходами
38.11.21.000 Услуги по сбору неопасных отходов городского хозяйства, непригодных для повторного использования
77.12 Услуги по аренде и лизингу грузовых транспортных средств
81.29.13.000 Услуги санитарно-гигиенические прочие ****</t>
  </si>
  <si>
    <t>"223 за 3 года", "кл фт агент бг 04.22", ".", "Действующий клиент мсб с выр от 30 млн на 05.21", "все клиенты с выручкой от 1,8 млрд до бесконечности", "ФК клиенты с выручкой от 230 до бесконечности", "действующие б не прям", "ФТ клиенты с продуктами по сотрудникам", "рейтинг заказчиков маркер", "рейтинг по нмц маркер", "это заказчик", "crm управления", "crm Пител", "поставщики маркер"</t>
  </si>
  <si>
    <t>65.1 Услуги по страхованию</t>
  </si>
  <si>
    <t>Заказчик разыгравший 32 конкурсов на сумму  2 221 168 538,35 ?</t>
  </si>
  <si>
    <t>22.11.15 Камеры и шины резиновые сплошные или полупневматические, протекторы взаимозаменяемые и ленты ободные из резины
22.11.1 Шины, покрышки и камеры резиновые новые
22.11.12.110 Шины пневматические для мотоциклов, мотоколясок, мотороллеров, мопедов и квадрициклов
22 Изделия резиновые и пластмассовые
22.11 Шины, покрышки и камеры резиновые; восстановление протекторов и резиновых шин
22.11.14.191 Шины пневматические для строительных, дорожных, подъемно-транспортных и рудничных машин
22.11.13.110 Шины и покрышки пневматические для автобусов, троллейбусов и грузовых автомобилей новые</t>
  </si>
  <si>
    <t>23.69.19.000 Изделия из цемента, бетона или искусственного камня, не включенные в другие группировки
25.11.23.119 Конструкции и детали конструкций из черных металлов прочие, не включенные в другие группировки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52.21.22.000 Услуги по эксплуатации автомагистралей
42.99.12.124 Территории парковые и парки для отдыха
81.29.12.000 Услуги по подметанию и уборке снега
81.30.10.000 Услуги по планировке ландшафта
41.20.40.900 Работы строительные по возведению нежилых зданий и сооружений прочие, не включенные в другие группировки
43.11.10.000 Работы по сносу зданий и сооружений
71.12.19.100 Услуги по инженерно-техническому проектированию прочих объектов, кроме объектов культурного наследия ****</t>
  </si>
  <si>
    <t>За весь период компания заключила  33 контрактов на сумму  40 702 935 670,74 ? За весь период заходили в конкурсы  50 раз на общую сумму обеспеченных контрактов с НМЦ 39 971 875 834,22 ? с БГУ  1 676 028 252,97 ? с БГИ 9 325 430 532,89 ? За 3 ГОДА по 44ФЗ заключено 28 шт. с объемом НМЦ  14 441 331 627,43 ? с БГИ 2 841 049 846,52 ? с БГГО 171 012 766,82 ? с авансированием до 909 443 688,81 ? с комиссией банку 53 048 171,71 ? с кв 461 519,09 ? ЗА 1 ГОД по 44ФЗ заключено 17 шт. c объемом НМЦ 5 900 295 315,35 ? с БГИ 1 402 019 784,03 ? с БГГО 101 070 157,35 ? с авансированием до  734 850 621,16 ? с комиссией банку  32 487 280,03 ? с кв 282 639,34 ?</t>
  </si>
  <si>
    <t>"44 за 3 года", "свод фт", ".", "рейтинг поставщиков в маркере по бг", "портфель 51", "Конкурсы 100+ (Восстановленный)", "fk1", "Действующий клиент мсб с выр от 30 млн на 05.21", "все клиенты с выручкой от 1,8 млрд до бесконечности", "ФК клиенты с выручкой от 230 до бесконечности", "44 фз с с БГ от 10 млн", "рейтинг по нмц маркер", "на фт заводил Шутов", "на фт заводил Сехин", "на фт заводил Данченко", "поставщики маркер"</t>
  </si>
  <si>
    <t>За весь период заходили в конкурсы  4 раз на общую сумму обеспеченных контрактов с НМЦ 874 561 210,00 ? с БГУ  14 530 633,43 ? с БГИ 87 456 126,30 ? За 3 ГОДА по 44ФЗ заключено 2 шт. с объемом НМЦ  360 386 110,00 ? с БГИ 79 190 729,00 ? с БГГО 25 250 581,50 ? с авансированием до 64 728 177,00 ? с комиссией банку 191 777,40 ? с кв 1 668,46 ? ЗА 1 ГОД по 44ФЗ заключено 1 шт. c объемом НМЦ 215 760 590,00 ? с БГИ 64 728 177,00 ? с БГГО 10 788 029,50 ? с авансированием до  64 728 177,00 ? с комиссией банку  347 581,44 ? с кв 3 023,96 ?</t>
  </si>
  <si>
    <t>"44 за 3 года", ".", "рейтинг поставщиков в маркере по бг", "fk1", "44 фз с с БГ от 10 млн", "поставщики маркер"</t>
  </si>
  <si>
    <t>77.1 Услуги по аренде и лизингу автотранспортных средств
77.11.10.000 Услуги по аренде и лизингу легковых автомобилей и легких автотранспортных средств
64.91 Услуги по финансовой аренде (лизингу/сублизингу)
77.39.1 Услуги по аренде и лизингу прочих машин, оборудования и материальных средств, не включенных в другие группировки
77 Услуги по аренде и лизингу
77.12.19.000 Услуги по аренде и лизингу прочих сухопутных транспортных средств и оборудования без водителя
64.91.10.190 Услуги по финансовой аренде (лизингу/сублизингу) в прочих областях, кроме племенных животных</t>
  </si>
  <si>
    <t>71.12.20.190 Услуги по руководству строительными проектами прочие
71.12.19.100 Услуги по инженерно-техническому проектированию прочих объектов, кроме объектов культурного наследия
27.90.7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
62.03.12.190 Услуги по управлению компьютерными системами прочие, не включенные в другие группировки
71.12.13.000 Услуги по инженерно-техническому проектированию систем энергоснабжения
62.01.29.000 Оригиналы программного обеспечения прочие
71.12.12.190 Услуги по инженерно-техническому проектированию зданий прочие, не включенные в другие группировки
62.02.30.000 Услуги по технической поддержке информационных технологий</t>
  </si>
  <si>
    <t>За весь период компания заключила  5 контрактов на сумму  665 103 225,68 ? За весь период заходили в конкурсы  3 раз на общую сумму обеспеченных контрактов с НМЦ 1 201 725 987,75 ? с БГУ  60 388 240,59 ? с БГИ 120 776 481,18 ?                             ЗА 3 ГОДА ПО 223 ФЗ заключено 18 шт. с объемом НМЦ 3 699 616 129,29 ? за 1 ГОД ПО 223ФЗ заключено 14  3 391 066 525,20 ?</t>
  </si>
  <si>
    <t>"223 за 3 года", ".", "рейтинг поставщиков в маркере по бг", "Агентские одобренные но не выданные от 30.08", "все клиенты с выручкой от 1,8 млрд до бесконечности", "223 фз контракты 20+", "производители", "рейтинг по нмц маркер", "поставщики маркер", "44 за 3 года"</t>
  </si>
  <si>
    <t>35.30.11.120 Энергия тепловая, отпущенная котельными
23.13.11.110 Бутылки стеклянные
23.13.11.111 Бутылки стеклянные для алкогольной и безалкогольной пищевой продукции</t>
  </si>
  <si>
    <t>Сообщение кредитора о намерении обратиться в суд с заявлением о банкротстве от 10.04.2023</t>
  </si>
  <si>
    <t>"223 за 3 года", ".", "ИНН_договоры_октябрь_", "все клиенты с выручкой от 1,8 млрд до бесконечности", "поставщики маркер"</t>
  </si>
  <si>
    <t>82.30.1 Услуги по организации конференций и торговых выставок
74.90 Услуги профессиональные, научные и технические, прочие, не включенные в другие группировки
79.90.11.000 Услуги по продвижению туризма
82.30.11.000 Услуги по организации конференций
68.20.11.000 Услуги по сдаче в аренду (внаем) собственных или арендованных жилых помещений
68.20.12.000 Услуги по сдаче в аренду (внаем) собственных или арендованных нежилых помещений
82.30.12.000 Услуги по организации торговых выставок</t>
  </si>
  <si>
    <t>За весь период компания заключила  7 контрактов на сумму  363 732 791,18 ? За весь период заходили в конкурсы  5 раз на общую сумму обеспеченных контрактов с НМЦ 379 750 000,00 ? с БГУ  23 125 000,00 ? с БГИ 120 250 000,00 ? За 3 ГОДА по 44ФЗ заключено 12 шт. с объемом НМЦ  191 800 000,00 ? с БГИ 36 940 000,00 ? с БГГО 0,00 ? с авансированием до 0,00 ? с комиссией банку 297 103,56 ? с кв 2 584,80 ? ЗА 1 ГОД по 44ФЗ заключено 6 шт. c объемом НМЦ 132 800 000,00 ? с БГИ 23 240 000,00 ? с БГГО 0,00 ? с авансированием до  0,00 ? с комиссией банку  176 659,73 ? с кв 1 536,94 ? ЗА 3 ГОДА ПО 223 ФЗ заключено 7 шт. с объемом НМЦ 239 864 654,17 ?</t>
  </si>
  <si>
    <t>"223 за 3 года", ".", "рейтинг поставщиков в маркере по бг", "Гарантии_КИБ_31.03.22_Гиб._", "портфель 51", "fk1", "ПОС на 01.02.2023", "Кредитный портфель_01.11", "корп 1", "06.2022_ФинХД", "все клиенты с выручкой от 1,8 млрд до бесконечности", "ФК клиенты с выручкой от 230 до бесконечности", "клиенты от 100 млн", "рейтинг по нмц маркер", "поставщики маркер", "44 за 3 года"</t>
  </si>
  <si>
    <t>10.32 Продукция соковая из фруктов и овощей
68.20.12.000 Услуги по сдаче в аренду (внаем) собственных или арендованных нежилых помещений</t>
  </si>
  <si>
    <t>Заявка отозвана клиентом;Отклонена банком
Заявка отозвана клиентом;Отправлена клиенту
Кредитная линия закрыта
Кредитная линия закрыта;Кредитная линия открыта;Отклонена банком
Отклонена банком</t>
  </si>
  <si>
    <t>"поставщики маркер", "кл фт прямые ВКЛ/РКО 04.22", "свод фт", ".", "Премия 4 кв 22 г.2кредит", "УПП на 2 номер", "fk1", "кредиты фт", "клиенты управления по БГ без открытых счетов", "корп 2", "Пункт 3.1 09.01.2023", "Банкроты ФБ 28.04.2023", "Ссуды ФБ 29.04.2022 банкр.", "АИЛ портфель", "лимит сит по кредитам", "все клиенты с выручкой от 1,8 млрд до бесконечности", "филиал бизнес 01.03.22", "филиал бизнес 22.11", "ФК клиенты с выручкой от 230 до бесконечности", "клиенты от 100 млн", "ФТ клиенты с продуктами по сотрудникам", "Участники клиринга", "на фт заводил Юмагужин", "на фт заводил Федоров", "на фт заводил Скрипников", "на фт заводил Алиев"</t>
  </si>
  <si>
    <t>35.30.11 Пар и горячая вода
35.30.11.120 Энергия тепловая, отпущенная котельными</t>
  </si>
  <si>
    <t>За весь период компания заключила  6 контрактов на сумму  14 321 507 421,17 ?                                     ЗА 3 ГОДА ПО 223 ФЗ заключено 1 шт. с объемом НМЦ 366 546 918,00 ?</t>
  </si>
  <si>
    <t>"223 за 3 года", ".", "беники", "все клиенты с выручкой от 1,8 млрд до бесконечности", "Участники клиринга", "рейтинг заказчиков маркер", "производители", "рейтинг по нмц маркер", "это заказчик", "поставщики маркер", "44 за 3 года"</t>
  </si>
  <si>
    <t>20.16.40.190 Полиэфиры прочие в первичных формах</t>
  </si>
  <si>
    <t>27.33.11.190 Устройства коммутационные на напряжение не более 1 кВ прочие, не включенные в другие группировки
27.12.10 Устройства для коммутации или защиты электрических цепей на напряжение более 1 кВ
27.32.99.000 Услуги по производству прочих электронных и электрических проводов и кабелей отдельные, выполняемые субподрядчиком
27.11.10.120 Электродвигатели постоянного тока прочие
27.12.23.000 Устройства защиты электрических цепей на напряжение не более 1 кВ, не включенные в другие группировки
27.32.11.000 Провода обмоточные изолированные
27.33.11.160 Выключатели и переключатели путевые, блоки путевых выключателей, микровыключатели (микропереключатели)
27.33.13.120 Соединители электрические, зажимы контактные, наборы зажимов
27.33.13.130 Арматура кабельная
27.12.10.140 Предохранители высоковольтные ****</t>
  </si>
  <si>
    <t>за 1 ГОД ПО 223ФЗ заключено 1  13 323 083,00 ?</t>
  </si>
  <si>
    <t>26.40.52.000 Части радиоприемной и радиопередающей аппаратуры
26.1 Компоненты электронные и платы
26.11.22.130 Диоды лазерные (полупроводниковые лазеры)
27.90 Оборудование электрическое прочее
27.33.13.130 Арматура кабельная
27.90.52.000 Конденсаторы постоянной емкости прочие
27.90.53.000 Конденсаторы переменной или регулируемой емкости (предварительно настраиваемые)
27.90.5 Конденсаторы электрические
26.11 Компоненты электронные
26.11.4 Части электронных ламп и трубок, и прочих электронных компонентов, не включенные в другие группировки ****</t>
  </si>
  <si>
    <t>За весь период заходили в конкурсы  6 раз на общую сумму обеспеченных контрактов с НМЦ 806 600 000,00 ? с БГУ  3 683 000,00 ? с БГИ 645 280 000,00 ?</t>
  </si>
  <si>
    <t>27.33.1 Изделия электроустановочные
26.51.63.130 Счетчики производства или потребления электроэнергии
47.54.10.000 Услуги по розничной торговле бытовыми электротоварами в специализированных магазинах
27.32.13.199 Кабели, провода и другие проводники прочие на напряжение до 1 кВ, не включенные в другие группировки
27.33.13.120 Соединители электрические, зажимы контактные, наборы зажимов
27.33.13.130 Арматура кабельная
26.51.63.120 Счетчики производства или потребления жидкости
46.13.12.000 Услуги по оптовой торговле строительными материалами за вознаграждение или на договорной основе
27.40.15.150 Лампы светодиодные
27.12.40.000 Части электрической распределительной или регулирующей аппаратуры ****</t>
  </si>
  <si>
    <t>27.32.13.143 Кабели контрольные
27.32.13.194 Провода ленточные
27.33.1 Изделия электроустановочные
27.33.11.190 Устройства коммутационные на напряжение не более 1 кВ прочие, не включенные в другие группировки
27.4 Оборудование электрическое осветительное
27.40.12.000 Лампы накаливания галогенные с вольфрамовой нитью, кроме ультрафиолетовых или инфракрасных ламп
27.40.15.115 Лампы металлогалогенные
27.90.33.110 Комплектующие (запасные части) прочего электрического оборудования, не имеющие самостоятельных группировок
22.19.30 Трубы, трубки, шланги и рукава из вулканизированной резины, кроме твердой резины (эбонита)
22.19.50.000 Материалы прорезиненные текстильные, кроме кордных тканей ****</t>
  </si>
  <si>
    <t>ЗА 3 ГОДА ПО 223 ФЗ заключено 37 шт. с объемом НМЦ 60 498 490,84 ? за 1 ГОД ПО 223ФЗ заключено 9  5 790 847,52 ?</t>
  </si>
  <si>
    <t>"223 за 3 года", ".", "все клиенты с выручкой от 1,8 млрд до бесконечности", "223 фз контракты 20+", "поставщики маркер", "44 за 3 года"</t>
  </si>
  <si>
    <t>27.33.13.110 Разъемы и розетки штепсельные
27.12.22.000 Выключатели автоматические на напряжение не более 1 кВ</t>
  </si>
  <si>
    <t>"поставщики маркер", ".", "fk1", "06.2022_ФинХД", "все клиенты с выручкой от 1,8 млрд до бесконечности", "производители", "это заказчик"</t>
  </si>
  <si>
    <t>27.3 Кабели и арматура кабельная
71.12.13 Услуги по инженерно-техническому проектированию систем энергоснабжения
42.22 Сооружения и строительные работы по строительству коммунальных объектов для электроснабжения и связи
71.12.19.100 Услуги по инженерно-техническому проектированию прочих объектов, кроме объектов культурного наследия
27.33 Изделия электроустановочные
42.22.22 Работы строительные по прокладке местных линий электропередачи и связи</t>
  </si>
  <si>
    <t>За весь период компания заключила  5 контрактов на сумму  1 529 516 761,00 ? За весь период заходили в конкурсы  1 раз на общую сумму обеспеченных контрактов с НМЦ 0,00 ? с БГУ  54 646 302,73 ? с БГИ 109 292 605,46 ? За 3 ГОДА по 44ФЗ заключено 1 шт. с объемом НМЦ  1 092 926 054,56 ? с БГИ 109 292 605,46 ? с БГГО 5 464 630,00 ? с авансированием до 0,00 ? с комиссией банку 2 658 954,35 ? с кв 23 132,90 ?               ЗА 3 ГОДА ПО 223 ФЗ заключено 4 шт. с объемом НМЦ 9 091 629 180,00 ?</t>
  </si>
  <si>
    <t>"223 за 3 года", "свод фт", ".", "рейтинг поставщиков в маркере по бг", "Агентские отказ из-за непред-я док-ов", "ушедшие", "Одобренные но не выданные 1 полугодие 2021", "рейтинг по нмц маркер", "на фт заводил Набиева", "на фт заводил Кашин", "crm управления", "в crm за Кашиным", "поставщики маркер", "44 за 3 года"</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</si>
  <si>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 Электроэнергия
35.12.10.120 Услуги по технологическому присоединению к распределительным электросетям
35.13.10.000 Услуги по распределению электроэнергии
35.11.10.115 Электроэнергия, произведенная атомными электростанциями (АЭС) общего назначения
82.99.19.000 Услуги вспомогательные, связанные с предпринимательской деятельностью, прочие, не включенные в другие группировки ****</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</si>
  <si>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27.11.2 Электродвигатели переменного и постоянного тока универсальные мощностью более 37,5 Вт; электродвигатели переменного тока прочие; генераторы (синхронные генераторы) переменного тока
27.90.13.121 Щетки для электрических машин и оборудования из графита и других видов углерода
27.11.25 Электродвигатели переменного тока, многофазные, выходной мощностью более 75 кВт
27.12.40.000 Части электрической распределительной или регулирующей аппаратуры
33.12 Услуги по ремонту оборудования
27.90.33 Части прочего электрического оборудования; электрические части машин или аппаратов, не включенные в другие группировки
27.11.31.000 Установки генераторные с двигателями внутреннего сгорания с воспламенением от сжатия
27.11.61.110 Комплектующие (запасные части) электродвигателей, не имеющие самостоятельных группировок
72.19 Услуги, связанные с научными исследованиями и экспериментальными разработками в области естественных и технических наук, прочие ****</t>
  </si>
  <si>
    <t>1 199</t>
  </si>
  <si>
    <t>За весь период контрактов 11 шт. на общую сумму НМЦ 3 744 973 393,38 ?</t>
  </si>
  <si>
    <t>Сообщение кредитора о намерении обратиться в суд с заявлением о банкротстве от 10.08.2021</t>
  </si>
  <si>
    <t>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33.20 Услуги по монтажу промышленных машин и оборудования
43.21 Работы электромонтажные
43.29 Работы строительно-монтажные прочие
42.22 Сооружения и строительные работы по строительству коммунальных объектов для электроснабжения и связи
43 Работы строительные специализированные
33.20.60.000 Услуги по монтажу оборудования для управления производственным процессом
33.20.5 Услуги по монтажу электрического оборудования</t>
  </si>
  <si>
    <t>За весь период компания заключила  24 контрактов на сумму  19 857 085 292,16 ? За весь период заходили в конкурсы  4 раз на общую сумму обеспеченных контрактов с НМЦ 2 163 088 280,66 ? с БГУ  167 612 278,32 ? с БГИ 647 464 362,66 ?                             ЗА 3 ГОДА ПО 223 ФЗ заключено 1 шт. с объемом НМЦ 488 038 680,00 ? за 1 ГОД ПО 223ФЗ заключено 1  488 038 680,00 ?</t>
  </si>
  <si>
    <t>"223 за 3 года", "кл фт прямые бг 04.22", "свод фт", ".", "рейтинг поставщиков в маркере по бг", "Рассрочка КВ Март 2023", "УПП на 2 номер", "fk3", "кредиты фт", "клиенты управления по БГ без открытых счетов", "Евразия_июлль-август 2019", "БГ ФБ ЮР лица на 01.07.2021", "Премия 4 кв 22 г.бг", "Гарантии ФБ банкроты", "филиал бизнес 31.01.22 ", "Банкроты ФБ 28.04.2023", "лимит сит по кредитам",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"ФТ клиенты с продуктами по сотрудникам", "223 фз контракты 20+", "рейтинг по нмц маркер", "на фт заводил Середин", "на фт заводил Морозова", "на фт заводил Алиев", "на фт заводил Адеев", "поставщики маркер"</t>
  </si>
  <si>
    <t>43.21.10.220 Работы по монтажу систем освещения и сигнализации автомобильных дорог, аэропортов и портов
71.12.16.000 Услуги по инженерно-техническому проектированию производственных процессов и производств
71.12.19 Услуги по инженерно-техническому проектированию прочих объектов
42.22.2 Работы строительные по строительству коммунальных объектов для электроснабжения и телекоммуникаций
42.22.22.120 Работы строительные по строительству трансформаторных станций и подстанций для распределения электричества в пределах какого-либо района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43.99.70.000 Работы по сборке и монтажу сборных конструкций
43.99.90.190 Работы строительные специализированные прочие, не включенные в другие группировки
33.20 Услуги по монтажу промышленных машин и оборудования ****</t>
  </si>
  <si>
    <t>За весь период компания заключила  100 контрактов на сумму  50 593 775 565,98 ? За весь период заходили в конкурсы  13 раз на общую сумму обеспеченных контрактов с НМЦ 6 899 470 471,32 ? с БГУ  397 234 890,31 ? с БГИ 1 340 303 248,69 ?                             ЗА 3 ГОДА ПО 223 ФЗ заключено 42 шт. с объемом НМЦ 2 292 619 461,23 ? за 1 ГОД ПО 223ФЗ заключено 14  182 812 543,36 ?</t>
  </si>
  <si>
    <t>Сообщение кредитора о намерении обратиться в суд с заявлением о банкротстве от 03.08.2015</t>
  </si>
  <si>
    <t>"223 за 3 года", ".", "рейтинг поставщиков в маркере по бг", "ушедшие",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 "44 за 3 года"</t>
  </si>
  <si>
    <t>77.11.10.000 Услуги по аренде и лизингу легковых автомобилей и легких автотранспортных средств
64.91 Услуги по финансовой аренде (лизингу/сублизингу)
64.91.10.190 Услуги по финансовой аренде (лизингу/сублизингу) в прочих областях, кроме племенных животных</t>
  </si>
  <si>
    <t>За 3 года по 223ФЗ заключено  10 шт контрактов на сумму 53 229 502,02 ?</t>
  </si>
  <si>
    <t>"223 за 3 года", ".", "fk3", "Кредитный портфель_01.11", "корп 1", "06.2022_ФинХД", "все клиенты с выручкой от 1,8 млрд до бесконечности", "ФК клиенты с выручкой от 230 до бесконечности", "223 фз контракты 20+", "поставщики маркер"</t>
  </si>
  <si>
    <t>11.07.11.121 Воды питьевые негазированные, расфасованные в емкости</t>
  </si>
  <si>
    <t>1 948</t>
  </si>
  <si>
    <t>"поставщики маркер", ".", "fk3",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t>
  </si>
  <si>
    <t>10.1 Мясо и мясо птицы, прочие продукты убоя. Мясные пищевые продукты, включая продукты из мяса птицы
10.89.19.290 Продукты пищевые прочие, не включенные в другие группировки
10.12.20.110 Мясо кур, в том числе цыплят (включая цыплят-бройлеров) замороженное
10.84.12.130 Майонезы
10.20.13.121 Сельдь мороженая
10.20.13.122 Рыба морская мороженая (кроме сельди)
01.30.10.139 Культуры плодовые и ягодные прочие
10.82.2 Шоколад и кондитерские сахаристые изделия
01.47 Птица сельскохозяйственная живая и яйца
10.39.11.000 Овощи (кроме картофеля) и грибы замороженные ****</t>
  </si>
  <si>
    <t>28.12.13.190 Насосы гидравлические прочие
33.12 Услуги по ремонту оборудования
42.21.13.190 Системы оросительные (каналы); водоводы и водопроводные конструкции; водоочистные станции, станции очистки сточных вод и насосные станции прочие
28.13 Насосы и компрессоры прочие
42.21.13 Системы оросительные (каналы); водоводы и водопроводные конструкции; водоочистные станции, станции очистки сточных вод и насосные станции
28.25.11 Теплообменники и машины для сжижения воздуха или прочих газов
28.25.11.110 Теплообменники
27.11.50.120 Преобразователи электрические статические
42 Сооружения и строительные работы в области гражданского строительства</t>
  </si>
  <si>
    <t>"223 за 3 года", "кл фт агент бг 04.22", ".", "инн Красносельская", "fk3", "2. Финтендер 2022 31.03.22 Григорян для СПАРК", "корп 1", "Агентские одобренные но не выданные от 30.08", "клиенты с в от100млн 09.21", "портфель", "ФК клиенты с выручкой от 230 до бесконечности", "клиенты от 100 млн", "действующие б не прям", "Обороты по клиентам по кварталам (2022г)", "Одобренные но не выданные 1 полугодие 2021", "ФТ клиенты с продуктами по сотрудникам", "производители", "поставщики маркер", "44 за 3 года"</t>
  </si>
  <si>
    <t>43.22.12.120 Работы по установке и техническому обслуживанию систем управления центральным отоплением
43.99.90.190 Работы строительные специализированные прочие, не включенные в другие группировки
42.99.12.124 Территории парковые и парки для отдыха
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
43.29.12.110 Работы по установке оград, заборов, защитных перильных и аналогичных ограждений
42.99.29.200 Работы по сохранению и воссозданию гражданских сооружений, являющихся объектами культурного наследия, не включенные в другие группировки
43.22.12.190 Работы по монтажу систем отопления, вентиляции и кондиционирования воздуха прочие, не включенные в другие группировки
42.99.22.100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кроме работ по сохранению и воссозданию объектов культурного наследия
43.12.11.190 Работы земляные прочие, не включенные в другие группировки ****</t>
  </si>
  <si>
    <t>За весь период заходили в конкурсы  2 раз на общую сумму обеспеченных контрактов с НМЦ 94 156 997,70 ? с БГУ  1 199 452,20 ? с БГИ 5 997 261,00 ?</t>
  </si>
  <si>
    <t>"44 за 3 года", ".", "рейтинг поставщиков в маркере по бг", "лимит сит по кредитам", "уш кл3", "рейтинг по нмц маркер", "поставщики маркер"</t>
  </si>
  <si>
    <t>28.13.12.000 Насосы возвратно-поступательные объемного действия прочие для перекачки жидкостей
28.99.39.190 Оборудование специального назначения прочее, не включенное в другие группировки
28.13.31 Части насосов; части подъемников жидкостей</t>
  </si>
  <si>
    <t>За весь период компания заключила  6 контрактов на сумму  4 170 680 352,06 ?</t>
  </si>
  <si>
    <t>"поставщики маркер", ".", "производители", "рейтинг по нмц маркер", "crm управления", "в crm за Эльшаном"</t>
  </si>
  <si>
    <t>46.5 Услуги по оптовой торговле информационным и коммуникационным оборудованием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26.20.30.000 Устройства автоматической обработки данных прочие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26.30 Оборудование коммуникационное
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26.20.14.000 Машины вычислительные электронные цифровые, поставляемые в виде систем для автоматической обработки данных
26.40.20.122 Приемники телевизионные (телевизоры) цветного изображения с жидкокристаллическим экраном, плазменной панелью
26.20.21.110 Устройства запоминающие внутренние ****</t>
  </si>
  <si>
    <t>За весь период компания заключила  7 контрактов на сумму  5 849 363 913,68 ? За весь период заходили в конкурсы  9 раз на общую сумму обеспеченных контрактов с НМЦ 5 904 018 431,40 ? с БГУ  289 564 169,92 ? с БГИ 1 027 962 403,30 ?</t>
  </si>
  <si>
    <t>"223 за 3 года", ".", "рейтинг поставщиков в маркере по бг", "fk3", "Кредитный портфель_01.11", "корп 1", "06.2022_ФинХД", "Действующий клиент мсб с выр от 30 млн на 05.21", "все клиенты с выручкой от 1,8 млрд до бесконечности", "ФК клиенты с выручкой от 230 до бесконечности", "рейтинг по нмц маркер", "поставщики маркер", "44 за 3 года"</t>
  </si>
  <si>
    <t>28.13.12.000 Насосы возвратно-поступательные объемного действия прочие для перекачки жидкостей
28.13.14.110 Насосы центробежные подачи жидкостей прочие
27.33.11.190 Устройства коммутационные на напряжение не более 1 кВ прочие, не включенные в другие группировки
46.6 Услуги по оптовой торговле прочими машинами, оборудованием и инструментами
28.12 Оборудование гидравлическое и пневматическое силовое
28.12.13.190 Насосы гидравлические прочие
28.29 Машины и оборудование общего назначения прочие, не включенные в другие группировки
27.11.10.120 Электродвигатели постоянного тока прочие
27.11.2 Электродвигатели переменного и постоянного тока универсальные мощностью более 37,5 Вт; электродвигатели переменного тока прочие; генераторы (синхронные генераторы) переменного тока
27.12.22 Выключатели автоматические на напряжение не более 1 кВ ****</t>
  </si>
  <si>
    <t>71.1 Услуги в области архитектуры, инженерно-технического проектирования и связанные технические консультативные услуги
71.12.13 Услуги по инженерно-техническому проектированию систем энергоснабжения
43.21.10 Работы электромонтажные</t>
  </si>
  <si>
    <t>За весь период компания заключила  4 контрактов на сумму  1 489 788 083,31 ?</t>
  </si>
  <si>
    <t>"поставщики маркер", "свод фт", ".", "fk3", "корп 1", "ФК клиенты с выручкой от 230 до бесконечности", "производители", "рейтинг по нмц маркер", "на фт заводил Морозова", "на фт заводил Зайцев", "на фт заводил Алиев"</t>
  </si>
  <si>
    <t>ПОС на 03.04.5025</t>
  </si>
  <si>
    <t>"все клиенты с выручкой от 1,8 млрд до бесконечности", ".", "fk3", "ПОС на 03.04.2023"</t>
  </si>
  <si>
    <t>"в crm за Рябовым", ".", "crm управления"</t>
  </si>
  <si>
    <t>25.61.22.190 Услуги по прочим методам обработки поверхностей металлов, не включенные в другие группировки
28.11.2 Турбины
27.11.10.120 Электродвигатели постоянного тока прочие
27.11.2 Электродвигатели переменного и постоянного тока универсальные мощностью более 37,5 Вт; электродвигатели переменного тока прочие; генераторы (синхронные генераторы) переменного тока
33.12.29.900 Услуги по ремонту и техническому обслуживанию прочего оборудования специального назначения, не включенные в другие группировки
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43.29 Работы строительно-монтажные прочие
25.99 Металлоизделия готовые прочие, не включенные в другие группировки
27.1 Электродвигатели, генераторы, трансформаторы и электрическая распределительная и контрольно-измерительная аппаратура
33.12.11.000 Услуги по ремонту и техническому обслуживанию двигателей и турбин, кроме авиационных, автомобильных и мотоциклетных двигателей ****</t>
  </si>
  <si>
    <t>1 576</t>
  </si>
  <si>
    <t>За весь период контрактов 10 шт. на общую сумму НМЦ 5 034 669 597,46 ?</t>
  </si>
  <si>
    <t>43.99.90.190 Работы строительные специализированные прочие, не включенные в другие группировки
28.99.39.190 Оборудование специального назначения прочее, не включенное в другие группировки
33.19.10.000 Услуги по ремонту прочего оборудования
41.20.20.100 Здания нежилые
42.12.20.150 Услуги по реконструкции или ремонту железнодорожных путей
27.90.70.000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
43.21.10.290 Работы электромонтажные прочие, не включенные в другие группировки
27 Оборудование электрическое
62.01.29.000 Оригиналы программного обеспечения прочие</t>
  </si>
  <si>
    <t>За весь период компания заключила  57 контрактов на сумму  28 163 032 660,40 ?                                     ЗА 3 ГОДА ПО 223 ФЗ заключено 125 шт. с объемом НМЦ 27 721 298 541,11 ? за 1 ГОД ПО 223ФЗ заключено 48  21 120 366 947,58 ?</t>
  </si>
  <si>
    <t>"223 за 3 года", ".", "Конкурсы 100+ (Восстановленный)", "fk3", "все клиенты с выручкой от 1,8 млрд до бесконечности", "223 фз контракты 20+", "рейтинг заказчиков маркер", "производители", "рейтинг по нмц маркер", "это заказчик", "поставщики маркер"</t>
  </si>
  <si>
    <t>26 Оборудование компьютерное, электронное и оптическое
26.11 Компоненты электронные
26.20.40.110 Устройства и блоки питания вычислительных машин
27.11.50.120 Преобразователи электрические статические
26.11.30.000 Схемы интегральные электронные
27.40.39.113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</si>
  <si>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1 776</t>
  </si>
  <si>
    <t>ПОС на 03.04.5029</t>
  </si>
  <si>
    <t>"223 за 3 года", ".", "fk3", "ПОС на 01.02.2023", "ПОС на 03.04.2023", "Кредитный портфель_01.11", "06.2022_ФинХД", "все клиенты с выручкой от 1,8 млрд до бесконечности", "Обороты по клиентам по кварталам (2022г)", "производители"</t>
  </si>
  <si>
    <t>42.12.20.150 Услуги по реконструкции или ремонту железнодорожных путей
24.10.75.116 Подкладки раздельного скрепления железнодорожного пути</t>
  </si>
  <si>
    <t>Сообщение кредитора о намерении обратиться в суд с заявлением о банкротстве от 01.09.2020</t>
  </si>
  <si>
    <t>05.10 Уголь
05.10.10.131 Уголь марки Д - длиннопламенный</t>
  </si>
  <si>
    <t>За весь период компания заключила  7 контрактов на сумму  13 602 740 438,17 ?</t>
  </si>
  <si>
    <t>Сообщение кредитора о намерении обратиться в суд с заявлением о банкротстве от 13.07.2020</t>
  </si>
  <si>
    <t>"производители", ".", "инн Красносельская", "ПОС на 01.02.2023", "портфель 31.10.2021_10 тыс_проверка",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t>
  </si>
  <si>
    <t>23.64 Смеси и растворы строительные
20.16.56.190 Смолы полиуретановые прочие в первичных формах</t>
  </si>
  <si>
    <t>За весь период заходили в конкурсы  1 раз на общую сумму обеспеченных контрактов с НМЦ 17 253 927,76 ? с БГУ  271 593,43 ? с БГИ 5 431 868,54 ?                             ЗА 3 ГОДА ПО 223 ФЗ заключено 4 шт. с объемом НМЦ 23 498 175,72 ?</t>
  </si>
  <si>
    <t>"223 за 3 года", ".", "рейтинг поставщиков в маркере по бг", "все клиенты с выручкой от 1,8 млрд до бесконечности", "производители"</t>
  </si>
  <si>
    <t>73.1 Услуги рекламные
64.99.19 Услуги финансовые, кроме услуг по страхованию и пенсионному обеспечению, не включенные в другие группировки
73.11.11.000 Набор рекламных услуг полный
73.12.13 Услуги по продаже места или времени для рекламы в информационно-коммуникационной сети Интернет за вознаграждение или на договорной основе
73.11.19 Услуги рекламные прочие</t>
  </si>
  <si>
    <t>За весь период контрактов 2 шт. на общую сумму НМЦ 2 850 000 000,00 ?</t>
  </si>
  <si>
    <t>"223 за 3 года", ".", "fk3", "все клиенты с выручкой от 1,8 млрд до бесконечности", "Обороты по клиентам по кварталам (2022г)", "рейтинг по нмц маркер"</t>
  </si>
  <si>
    <t>28.13.32.110 Комплектующие (запасные части) воздушных или вакуумных насосов, не имеющие самостоятельных группировок
26.51.63.130 Счетчики производства или потребления электроэнергии
26.30.50.112 Устройства приемно-контрольные охранные и охранно-пожарные
26.30.50.123 Станции пожарной сигнализации, приборы управления и оповещатели пожарные
33.20.39 Услуги по монтажу прочего оборудования специального назначения
26.51.85.120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26.30.30.000 Части и комплектующие коммуникационного оборудования
33.13.1 Услуги по ремонту и техническому обслуживанию электронного и оптического оборудования
28.14 Арматура трубопроводная (арматура) (краны, клапаны и прочие)
28.14.1 Арматура (краны, клапаны и другая аналогичная арматура) для трубопроводов, сосудов, котлов, цистерн, баков и аналогичных емкостей ****</t>
  </si>
  <si>
    <t>За весь период компания заключила  12 контрактов на сумму  6 982 188 483,62 ?                                     ЗА 3 ГОДА ПО 223 ФЗ заключено 2 шт. с объемом НМЦ 38 708 720,00 ?</t>
  </si>
  <si>
    <t>20.30.21.130 Краски, эмали и глазури стекловидные</t>
  </si>
  <si>
    <t>"223 за 3 года", ".", "fk3", "ПОС на 03.04.2023", "Кредитный портфель_01.11",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"Участники клиринга", "производители", "поставщики маркер"</t>
  </si>
  <si>
    <t>81.22.12.000 Услуги по чистке и уборке специализированные</t>
  </si>
  <si>
    <t>Юридическим лицом принято решение об изменении места нахождения от 07.07.2022</t>
  </si>
  <si>
    <t>26.1 Компоненты электронные и платы
46.51.1 Услуги по оптовой торговле компьютерами, компьютерными периферийными устройствами и программным обеспечением
58.29.50 Услуги по предоставлению лицензий на право использовать компьютерное программное обеспечение
26.60.12.122 Средства измерений массы, силы, энергии, линейных и угловых величин, температуры
61.90.10.130 Услуги по предоставлению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 д.
62.01 Продукты программные и услуги по разработке и тестированию программного обеспечения
61.10.20 Услуги операторов связи в сфере проводных телекоммуникаций
62.02.30 Услуги по технической поддержке информационных технологий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 ****</t>
  </si>
  <si>
    <t>За весь период компания заключила  104 контрактов на сумму  45 451 250 018,68 ? За весь период заходили в конкурсы  55 раз на общую сумму обеспеченных контрактов с НМЦ 11 760 823 616,59 ? с БГУ  583 395 915,98 ? с БГИ 3 014 683 895,50 ? За 3 ГОДА по 44ФЗ заключено 16 шт. с объемом НМЦ  405 304 066,33 ? с БГИ 59 144 106,69 ? с БГГО 8 431 638,00 ? с авансированием до 0,00 ? с комиссией банку 866 201,85 ? с кв 7 535,96 ? ЗА 1 ГОД по 44ФЗ заключено 5 шт. c объемом НМЦ 31 354 207,72 ? с БГИ 3 642 710,39 ? с БГГО 0,00 ? с авансированием до  0,00 ? с комиссией банку  59 105,84 ? с кв 514,22 ? ЗА 3 ГОДА ПО 223 ФЗ заключено 3 шт. с объемом НМЦ 261 428 034,00 ?</t>
  </si>
  <si>
    <t>Юридическое лицо находится в процессе реорганизации в форме присоединения к другому юридическому лицу от 17.02.2023, Сообщения о принятии решения о реорганизации от 01.02.2023</t>
  </si>
  <si>
    <t>"223 за 3 года", ".", "рейтинг поставщиков в маркере по бг", "fk3", "Кредитный портфель_01.11", "корп 1", "06.2022_ФинХД", "все клиенты с выручкой от 1,8 млрд до бесконечности", "ФК клиенты с выручкой от 230 до бесконечности", "клиенты от 100 млн", "рейтинг по нмц маркер", "поставщики маркер", "44 за 3 года"</t>
  </si>
  <si>
    <t>За весь период контрактов 39 шт. на общую сумму НМЦ 49 502 735 363,03 ?</t>
  </si>
  <si>
    <t>42.21.22.120 Работы строительные по прокладке местных трубопроводов горячей воды
71 Услуги в области архитектуры и инженерно-технического проектирования, технических испытаний, исследований и анализа
41.20.20.110 Здания топливно-энергетических, металлургических, химических и нефтехимических предприятий
42.22 Сооружения и строительные работы по строительству коммунальных объектов для электроснабжения и связи
41.20.20.390 Сооружения топливо-энергетических предприятий прочие, не включенные в другие группировки
42.21.21.000 Работы строительные по прокладке магистральных трубопроводов
71.12.11.900 Услуги в виде инженерно-технических консультаций прочие
42.21.22.110 Работы строительные по прокладке местных трубопроводов воды или сточных вод</t>
  </si>
  <si>
    <t>За весь период компания заключила  57 контрактов на сумму  47 059 205 924,27 ? За весь период заходили в конкурсы  23 раз на общую сумму обеспеченных контрактов с НМЦ 11 995 727 999,61 ? с БГУ  555 757 459,52 ? с БГИ 2 581 789 650,21 ? За 3 ГОДА по 44ФЗ заключено 13 шт. с объемом НМЦ  5 415 130 754,31 ? с БГИ 1 437 518 685,23 ? с БГГО 53 233 878,45 ? с авансированием до 855 752 376,91 ? с комиссией банку 18 387 536,11 ? с кв 159 971,56 ? ЗА 1 ГОД по 44ФЗ заключено 7 шт. c объемом НМЦ 3 848 445 638,98 ? с БГИ 1 013 527 368,38 ? с БГГО 19 017 966,98 ? с авансированием до  855 752 376,91 ? с комиссией банку  20 197 498,69 ? с кв 175 718,24 ? ЗА 3 ГОДА ПО 223 ФЗ заключено 57 шт. с объемом НМЦ 10 316 238 648,37 ? за 1 ГОД ПО 223ФЗ заключено 37  8 121 514 420,20 ?</t>
  </si>
  <si>
    <t>"223 за 3 года", ".", "рейтинг поставщиков в маркере по бг", "ГРАНДИОЗНЫЙ ПРОЕКТ 223", "компании Герберта", "ГРАНДИОЗНЫЙ ПРОЕКТ", "Конкурсы 100+ (Восстановленный)", "223 фз контракты 20+", "44 фз с с БГ от 10 млн", "рейтинг по нмц маркер",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</si>
  <si>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71.12.20.190 Услуги по руководству строительными проектами прочие
42.21.2 Работы строительные по строительству коммунальных объектов для жидкостей
41.20.40.900 Работы строительные по возведению нежилых зданий и сооружений прочие, не включенные в другие группировки
71.11.22.000 Услуги в области архитектуры, связанные с проектами строительства нежилых зданий и сооружений
71.12.16 Услуги по инженерно-техническому проектированию объектов водоснабжения и канализации
71.12.19.100 Услуги по инженерно-техническому проектированию прочих объектов, кроме объектов культурного наследия
42.21.22 Работы строительные по прокладке местных трубопроводов
41.20.20.900 Сооружения спортивно-оздоровительные и сооружения прочие, не включенные в другие группировки ****</t>
  </si>
  <si>
    <t>За весь период компания заключила  29 контрактов на сумму  19 067 331 848,97 ? За весь период заходили в конкурсы  16 раз на общую сумму обеспеченных контрактов с НМЦ 5 316 654 628,72 ? с БГУ  166 606 542,35 ? с БГИ 1 305 420 152,57 ? За 3 ГОДА по 44ФЗ заключено 10 шт. с объемом НМЦ  1 120 884 691,26 ? с БГИ 317 135 616,99 ? с БГГО 70 761 362,00 ? с авансированием до 132 337 583,88 ? с комиссией банку 9 590 179,45 ? с кв 83 434,56 ? ЗА 1 ГОД по 44ФЗ заключено 4 шт. c объемом НМЦ 149 227 138,38 ? с БГИ 37 334 832,88 ? с БГГО 4 829 864,00 ? с авансированием до  11 187 771,60 ? с комиссией банку  638 825,16 ? с кв 5 557,78 ? ЗА 3 ГОДА ПО 223 ФЗ заключено 14 шт. с объемом НМЦ 1 498 743 704,75 ? за 1 ГОД ПО 223ФЗ заключено 2  11 253 001,95 ?</t>
  </si>
  <si>
    <t>"223 за 3 года", "кл фт агент бг 04.22", "свод фт", ".", "рейтинг поставщиков в маркере по бг", "fk3", "ПОС на 01.02.2023",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"действующие б не прям", "Обороты по клиентам по кварталам (2022г)", "ФТ клиенты с продуктами по сотрудникам", "44 фз с с БГ от 10 млн", "производители", "рейтинг по нмц маркер", "на фт заводил Егоров ", "поставщики маркер", "44 за 3 года"</t>
  </si>
  <si>
    <t>28.13.14.110 Насосы центробежные подачи жидкостей прочие
43.29.11.190 Работы изоляционные прочие
27.12.10 Устройства для коммутации или защиты электрических цепей на напряжение более 1 кВ
42.22.22.110 Работы строительные по прокладке местных линий электропередачи и связи над землей или под землей
42.22.22.120 Работы строительные по строительству трансформаторных станций и подстанций для распределения электричества в пределах какого-либо района
71.20.1 Услуги в области технических испытаний, исследований и анализа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43.99.90.190 Работы строительные специализированные прочие, не включенные в другие группировки
43.31.10.110 Работы штукатурные внешние и внутренние с применением штукатурных сеток и дранок ****</t>
  </si>
  <si>
    <t>За весь период компания заключила  42 контрактов на сумму  6 196 089 712,44 ? За весь период заходили в конкурсы  3 раз на общую сумму обеспеченных контрактов с НМЦ 853 892 929,56 ? с БГУ  90 203 352,13 ? с БГИ 199 476 006,38 ?                             ЗА 3 ГОДА ПО 223 ФЗ заключено 46 шт. с объемом НМЦ 597 988 435,50 ? за 1 ГОД ПО 223ФЗ заключено 2  8 424 556,23 ?</t>
  </si>
  <si>
    <t>"223 за 3 года", "свод фт", ".", "рейтинг поставщиков в маркере по бг", "06.2022_ФинХД", "все клиенты с выручкой от 1,8 млрд до бесконечности", "рейтинг по нмц маркер", "на фт заводил Алиев", "поставщики маркер"</t>
  </si>
  <si>
    <t>На 29.09.2022 22:04 имеются действующие решения ФНС о приостановлении операций по счетам</t>
  </si>
  <si>
    <t>Сообщения о принятии решения о реорганизации от 14.10.2021</t>
  </si>
  <si>
    <t>"Обороты по клиентам по кварталам (2022г)", ".", "fk3", "корп 1", "клиенты с в от100млн 09.21", "все клиенты с выручкой от 1,8 млрд до бесконечности", "ФК клиенты с выручкой от 230 до бесконечности"</t>
  </si>
  <si>
    <t>37.00.11.110 Услуги по водоотведению сточных вод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35.30.12.110 Услуги по приготовлению воды на нужды горячего водоснабжения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35.12.10.120 Услуги по технологическому присоединению к распределительным электросетям
35.30 Услуги по снабжению паром и кондиционированию воздуха
35.30.11.120 Энергия тепловая, отпущенная котельными
35.30.12.130 Услуги по транспортированию горячей воды ****</t>
  </si>
  <si>
    <t>Заказчик разыгравший 54 конкурсов на сумму  10 144 164 550,87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</si>
  <si>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19.20.42.121 Битумы нефтяные дорожные</t>
  </si>
  <si>
    <t>"223 за 3 года", ".", "fk3", "все клиенты с выручкой от 1,8 млрд до бесконечности", "ФК клиенты с выручкой от 230 до бесконечности", "Обороты по клиентам по кварталам (2022г)", "рейтинг по нмц маркер", "поставщики маркер"</t>
  </si>
  <si>
    <t>Гарантия завершена;Отклонена банком;Распределена в Банк</t>
  </si>
  <si>
    <t>"поставщики маркер", "кл фт прямые бг 04.22", "свод фт", ".", "беники", "УПП на 2 номер", "fk3", "клиенты управления по БГ без открытых счетов", "2. Финтендер 2022 31.03.22 Григорян для СПАРК", "корп 1", "все клиенты с выручкой от 1,8 млрд до бесконечности", "ФК клиенты с выручкой от 230 до бесконечности", "клиенты от 100 млн", "ФТ клиенты с продуктами по сотрудникам", "на фт заводил Алиев"</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</si>
  <si>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 Электроэнергия
35.11.10.121 Электроэнергия, произведенная блок-станциями конденсационных электростанций (КЭС)
35.12.10.120 Услуги по технологическому присоединению к распределительным электросетям
35.13.10.000 Услуги по распределению электроэнергии
35.11.10.114 Электроэнергия, произведенная дизельными электростанциями (ДЭС) общего назначения
35.11.10.115 Электроэнергия, произведенная атомными электростанциями (АЭС) общего назначения
35.14.10.000 Услуги по торговле электроэнергией ****</t>
  </si>
  <si>
    <t>За весь период компания заключила  7 контрактов на сумму  466 101 221,55 ?</t>
  </si>
  <si>
    <t>26.51.43.116 Приборы цифровые электроизмерительные комбинированные
26.51.43.120 Системы информационные электроизмерительные, комплексы измерительно-вычислительные и установки для измерения электрических и магнитных величин
26.51.45.190 Приборы и аппаратура для измерения или контроля электрических величин прочие, не включенные в другие группировки
26.51.63.130 Счетчики производства или потребления электроэнергии
62.09.20.110 Услуги по восстановлению данных и поддержке повседневных компьютеризованных работ в случае чрезвычайного происшествия, такого как пожар или наводнение
27.90 Оборудование электрическое прочее
26.51.64.120 Счетчики количества продукции
27.11.42 Трансформаторы прочие мощностью не более 16 кВА
26.30.30.000 Части и комплектующие коммуникационного оборудования
46.69.19.110 Услуги по оптовой торговле энергетическим оборудованием ****</t>
  </si>
  <si>
    <t>За весь период контрактов 80 шт. на общую сумму НМЦ 34 451 259 166,09 ?</t>
  </si>
  <si>
    <t>"223 за 3 года", ".", "06.2022_ФинХД", "все клиенты с выручкой от 1,8 млрд до бесконечности", "223 фз контракты 20+", "производители", "рейтинг по нмц маркер", "это заказчик", "поставщики маркер"</t>
  </si>
  <si>
    <t>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43.99.90.190 Работы строительные специализированные прочие, не включенные в другие группировки
42.22.21 Работы строительные по прокладке магистральных линий электропередачи и связи
35.12.10.120 Услуги по технологическому присоединению к распределительным электросетям
43.29 Работы строительно-монтажные прочие
42.22.11.110 Линии (кабели) электропередачи высокого напряжения
42.12 Дороги железные наземные и подземные; строительные работы по строительству наземных и подземных железных дорог
42.12.20.190 Работы строительные по строительству наземных и подземных железных дорог прочие, не включенные в другие группировки
43.29.19.190 Работы монтажные прочие, не включенные в другие группировки
43 Работы строительные специализированные ****</t>
  </si>
  <si>
    <t>За весь период компания заключила  39 контрактов на сумму  30 176 055 015,98 ?                                     ЗА 3 ГОДА ПО 223 ФЗ заключено 3 шт. с объемом НМЦ 1 097 583 195,00 ?</t>
  </si>
  <si>
    <t>Сообщение кредитора о намерении обратиться в суд с заявлением о банкротстве от 11.09.2018</t>
  </si>
  <si>
    <t>71.20.1 Услуги в области технических испытаний, исследований и анализа
35.12.10.120 Услуги по технологическому присоединению к распределительным электросетям</t>
  </si>
  <si>
    <t>Заказчик разыгравший 40 конкурсов на сумму  4 561 072 031,28 ?</t>
  </si>
  <si>
    <t>"в crm за Шевченко ОРК 5", ".", "все клиенты с выручкой от 1,8 млрд до бесконечности", "рейтинг заказчиков маркер", "это заказчик", "crm управления"</t>
  </si>
  <si>
    <t>35.12.10.120 Услуги по технологическому присоединению к распределительным электросетям
35.13.10.000 Услуги по распределению электроэнергии</t>
  </si>
  <si>
    <t>За весь период контрактов 8 шт. на общую сумму НМЦ 4 592 870 914,02 ?</t>
  </si>
  <si>
    <t>"223 за 3 года", ".", "ушедшие", "все клиенты с выручкой от 1,8 млрд до бесконечности", "223 фз контракты 20+", "рейтинг заказчиков маркер", "рейтинг по нмц маркер", "это заказчик", "поставщики маркер"</t>
  </si>
  <si>
    <t>25.30.11.110 Котлы паровые
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43.99.70.000 Работы по сборке и монтажу сборных конструкций
43.99.90.190 Работы строительные специализированные прочие, не включенные в другие группировки
33.1 Услуги по ремонту металлоизделий, машин и оборудования
33.12.12.000 Услуги по ремонту и техническому обслуживанию гидравлического и пневматического силового оборудования, кроме насосов, компрессоров, кранов и клапанов
33.12.29.900 Услуги по ремонту и техническому обслуживанию прочего оборудования специального назначения, не включенные в другие группировки
33.12.1 Услуги по ремонту и техническому обслуживанию оборудования общего назначения
35.12.10.120 Услуги по технологическому присоединению к распределительным электросетям
35.13.10.000 Услуги по распределению электроэнергии ****</t>
  </si>
  <si>
    <t>1 879</t>
  </si>
  <si>
    <t>За весь период контрактов 31 шт. на общую сумму НМЦ 3 215 246 249,36 ?</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</si>
  <si>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35.11.10.143 Электроэнергия, произведенная геотермальными электростанциями
35.14 Услуги по торговле электроэнергией
35.2 Газы горючие искусственные; услуги по распределению газообразного топлива по трубопроводам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35.11.10.142 Электроэнергия, произведенная ветровыми электростанциями
35.22.10.110 Услуги по распределению и снабжению газовым топливом всех видов по системам распределительных трубопроводов ****</t>
  </si>
  <si>
    <t>За весь период компания заключила  65 контрактов на сумму  8 699 688 839,72 ? За весь период заходили в конкурсы  7 раз на общую сумму обеспеченных контрактов с НМЦ 220 477 374,97 ? с БГУ  7 612 591,20 ? с БГИ 88 755 913,48 ?                             ЗА 3 ГОДА ПО 223 ФЗ заключено 205 шт. с объемом НМЦ 1 289 100 951,20 ? за 1 ГОД ПО 223ФЗ заключено 72  403 212 763,95 ?</t>
  </si>
  <si>
    <t>Сообщения о принятии решения о реорганизации от 02.12.2022</t>
  </si>
  <si>
    <t>"223 за 3 года", ".", "рейтинг поставщиков в маркере по бг", "ИНН_договоры_октябрь_", "все клиенты с выручкой от 1,8 млрд до бесконечности", "223 фз контракты 20+", "рейтинг заказчиков маркер", "рейтинг по нмц маркер", "это заказчик", "поставщики маркер", "44 за 3 года"</t>
  </si>
  <si>
    <t>"поставщики маркер", ".", "fk3", "все клиенты с выручкой от 1,8 млрд до бесконечности", "ФК клиенты с выручкой от 230 до бесконечности", "Обороты по клиентам по кварталам (2022г)", "производители"</t>
  </si>
  <si>
    <t>35.11.10.112 Электроэнергия, произведенная теплоэлектроцентралями (ТЭЦ) общего назначения
35.13.10.000 Услуги по распределению электроэнергии
35.14.10.000 Услуги по торговле электроэнергией
35.12.10 Услуги по передаче электроэнергии и технологическому присоединению к распределительным электросетям
35.12.10.110 Услуги по передаче электроэнергии</t>
  </si>
  <si>
    <t>Заказчик разыгравший 13 конкурсов на сумму  1 179 693 770,16 ?</t>
  </si>
  <si>
    <t>"поставщики маркер", ".", "все клиенты с выручкой от 1,8 млрд до бесконечности", "рейтинг заказчиков маркер", "рейтинг по нмц маркер", "это заказчик", "crm управления", "в crm за Досхоевым"</t>
  </si>
  <si>
    <t>71.11.22.000 Услуги в области архитектуры, связанные с проектами строительства нежилых зданий и сооружений
43.21.10.120 Работы электромонтажные, связанные с установкой приборов</t>
  </si>
  <si>
    <t>Заказчик разыгравший 78 конкурсов на сумму  30 699 258 685,79 ?</t>
  </si>
  <si>
    <t>"44 за 3 года", ".", "рейтинг заказчиков маркер", "производители", "это заказчик", "поставщики маркер"</t>
  </si>
  <si>
    <t>35.30.11.120 Энергия тепловая, отпущенная котельными
35.30.12.140 Услуги по подключению (технологическому присоединению) к централизованной системе горячего водоснабжения</t>
  </si>
  <si>
    <t>42.21.22.120 Работы строительные по прокладке местных трубопроводов горячей воды
42.22.2 Работы строительные по строительству коммунальных объектов для электроснабжения и телекоммуникаций
42.22.22.120 Работы строительные по строительству трансформаторных станций и подстанций для распределения электричества в пределах какого-либо района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42.21.13.129 Сооружения водоснабжения и очистки прочие
71 Услуги в области архитектуры и инженерно-технического проектирования, технических испытаний, исследований и анализа
63.11.19 Услуги прочие по размещению и предоставлению инфраструктуры информационных технологий
33.12.29.900 Услуги по ремонту и техническому обслуживанию прочего оборудования специального назначения, не включенные в другие группировки
41.20.40.900 Работы строительные по возведению нежилых зданий и сооружений прочие, не включенные в другие группировки
71.1 Услуги в области архитектуры, инженерно-технического проектирования и связанные технические консультативные услуги ****</t>
  </si>
  <si>
    <t>За весь период компания заключила  143 контрактов на сумму  62 462 611 856,37 ? За весь период заходили в конкурсы  22 раз на общую сумму обеспеченных контрактов с НМЦ 3 349 990 771,74 ? с БГУ  155 002 646,21 ? с БГИ 930 015 877,26 ? За 3 ГОДА по 44ФЗ заключено 21 шт. с объемом НМЦ  2 136 591 859,03 ? с БГИ 641 393 016,30 ? с БГГО 37 187 254,32 ? с авансированием до 0,00 ? с комиссией банку 9 641 939,86 ? с кв 83 884,88 ? ЗА 1 ГОД по 44ФЗ заключено 3 шт. c объемом НМЦ 174 241 977,60 ? с БГИ 52 272 593,28 ? с БГГО 5 227 259,00 ? с авансированием до  0,00 ? с комиссией банку  2 182 559,79 ? с кв 18 988,27 ? ЗА 3 ГОДА ПО 223 ФЗ заключено 214 шт. с объемом НМЦ 13 229 283 795,65 ? за 1 ГОД ПО 223ФЗ заключено 56  6 915 389 847,19 ?</t>
  </si>
  <si>
    <t>"223 за 3 года", ".", "рейтинг поставщиков в маркере по бг", "ГРАНДИОЗНЫЙ ПРОЕКТ 223", "Конкурсы 100+ (Восстановленный)", "223 фз контракты 20+", "44 фз с с БГ от 10 млн", "производители", "рейтинг по нмц маркер", "поставщики маркер", "44 за 3 года"</t>
  </si>
  <si>
    <t>35.12 Услуги по передаче электроэнергии и технологическому присоединению к распределительным электросетям</t>
  </si>
  <si>
    <t>43.99.90.190 Работы строительные специализированные прочие, не включенные в другие группировки
71.20.19 Услуги по техническим испытаниям и анализу прочие
43.99.90.160 Аренда кранов и прочего строительного оборудования, которое не предназначено для одной конкретной строительной услуги, с оператором
33.20.39.100 Услуги по монтажу оборудования для объектов использования атомной энергии
43.29.19.190 Работы монтажные прочие, не включенные в другие группировки
42.22.23 Работы строительные по строительству электростанций</t>
  </si>
  <si>
    <t>За весь период контрактов 21 шт. на общую сумму НМЦ 16 035 980 512,53 ?</t>
  </si>
  <si>
    <t>Сообщения о принятии решения о реорганизации от 31.01.2022</t>
  </si>
  <si>
    <t>"223 за 3 года", ".", "рейтинг поставщиков в маркере по бг", "ушедшие", "все клиенты с выручкой от 1,8 млрд до бесконечности", "рейтинг заказчиков маркер", "производители", "рейтинг по нмц маркер", "это заказчик", "поставщики маркер"</t>
  </si>
  <si>
    <t>42.22.21 Работы строительные по прокладке магистральных линий электропередачи и связи
71.12.13.000 Услуги по инженерно-техническому проектированию систем энергоснабжения
42.22.22 Работы строительные по прокладке местных линий электропередачи и связи</t>
  </si>
  <si>
    <t>2 437</t>
  </si>
  <si>
    <t>"поставщики маркер", ".", "выдали", "ушедший портфель", "fk3", "ИНН 3 года - нет КД БГ на 01.10.22", "Список ушедший ", "06.2022_ФинХД", "все клиенты с выручкой от 1,8 млрд до бесконечности", "ФК клиенты с выручкой от 230 до бесконечности", "Обороты по клиентам по кварталам (2022г)", "производители", "рейтинг по нмц маркер"</t>
  </si>
  <si>
    <t>28.13.14.110 Насосы центробежные подачи жидкостей прочие
28.22.14.123 Краны консольные
28.29.12.110 Оборудование для фильтрования или очистки воды
71.12.16.000 Услуги по инженерно-техническому проектированию производственных процессов и производств
42.91.20.190 Работы строительные и ремонтные, связанные с прочими водными сооружениями и работы по ремонту всех вышеуказанных сооружений
43.99.90.190 Работы строительные специализированные прочие, не включенные в другие группировки
42.21.13.129 Сооружения водоснабжения и очистки прочие
28.12.13.190 Насосы гидравлические прочие
22.21.10.130 Профили фасонные пластмассовые
71.12 Услуги в области инженерно-технического проектирования и связанные технические консультативные услуги ****</t>
  </si>
  <si>
    <t>За весь период компания заключила  25 контрактов на сумму  39 554 823 738,92 ? За весь период заходили в конкурсы  49 раз на общую сумму обеспеченных контрактов с НМЦ 42 198 268 985,67 ? с БГУ  1 692 722 036,33 ? с БГИ 6 020 550 835,13 ? За 3 ГОДА по 44ФЗ заключено 24 шт. с объемом НМЦ  15 863 518 369,65 ? с БГИ 2 103 423 261,09 ? с БГГО 64 143 293,09 ? с авансированием до 26 444 068 091,86 ? с комиссией банку 81 415 792,13 ? с кв 708 317,39 ? ЗА 1 ГОД по 44ФЗ заключено 12 шт. c объемом НМЦ 5 623 226 572,25 ? с БГИ 804 001 354,33 ? с БГГО 47 554 760,32 ? с авансированием до  900 703 331,86 ? с комиссией банку  31 440 061,98 ? с кв 273 528,54 ? ЗА 3 ГОДА ПО 223 ФЗ заключено 11 шт. с объемом НМЦ 42 569 301,79 ? за 1 ГОД ПО 223ФЗ заключено 5  9 282 860,73 ?</t>
  </si>
  <si>
    <t>"223 за 3 года", "кл фт прямые бг 04.22", "свод фт", ".", "рейтинг поставщиков в маркере по бг", "Рассрочка КВ Март 2023", "Одобренные но не выданные 1 полугодие 2021(прямые)", "ГРАНДИОЗНЫЙ ПРОЕКТ", "УПП на 2 номер", "Конкурсы 100+ (Восстановленный)", "fk3", "клиенты управления по БГ без открытых счетов", "Премия 4 кв 22 г.бг", "клиенты с в от100млн 09.21", "все клиенты с выручкой от 1,8 млрд до бесконечности", "портфель", "ФК клиенты с выручкой от 230 до бесконечности", "клиенты от 100 млн", "Одобренные но не выданные 1 полугодие 2021", "ФТ клиенты с продуктами по сотрудникам", "44 фз с с БГ от 10 млн", "рейтинг по нмц маркер", "это заказчик", "на фт заводил Морозова", "на фт заводил Егоров ",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</si>
  <si>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42.22.22.120 Работы строительные по строительству трансформаторных станций и подстанций для распределения электричества в пределах какого-либо района
71.12 Услуги в области инженерно-технического проектирования и связанные технические консультативные услуги
71.12.13 Услуги по инженерно-техническому проектированию систем энергоснабжения
43.2 Работы электромонтажные, работы по монтажу водопроводных и канализационных систем и прочие строительно-монтажные работы
71.12.19.100 Услуги по инженерно-техническому проектированию прочих объектов, кроме объектов культурного наследия
42.21.21 Работы строительные по прокладке магистральных трубопроводов
42.22.22 Работы строительные по прокладке местных линий электропередачи и связи</t>
  </si>
  <si>
    <t>За весь период компания заключила  3 контрактов на сумму  2 420 112 118,11 ? За весь период заходили в конкурсы  3 раз на общую сумму обеспеченных контрактов с НМЦ 2 420 112 118,11 ? с БГУ  47 157 041,18 ? с БГИ 122 007 294,13 ?                                 за 1 ГОД ПО 223ФЗ заключено 1  123 730 436,53 ?</t>
  </si>
  <si>
    <t>"223 за 3 года", "кл фт агент ВКЛ/РКО 04.22", "кл фт агент бг 04.22", ".", "рейтинг поставщиков в маркере по бг", "клиент металлинвеста", "Конкурсы 100+ (Восстановленный)", "Агентские отказ из-за непред-я док-ов", "fk3", "филиал бизнес 31.01.22 ", "Банкроты ФБ 28.04.2023", "06.2022_ФинХД", "Ссуды ФБ 29.04.2022 банкр.", "АИЛ портфель", "клиенты с в от100млн 09.21", "Действующий клиент мсб с выр от 30 млн на 05.21", "все клиенты с выручкой от 1,8 млрд до бесконечности", "филиал бизнес 01.03.22", "филиал бизнес 22.11", "ФК клиенты с выручкой от 230 до бесконечности", "клиенты от 100 млн", "действующие б не прям", "ФТ клиенты с продуктами по сотрудникам", "223 фз контракты 20+", "производители", "рейтинг по нмц маркер", "поставщики маркер"</t>
  </si>
  <si>
    <t>27.32.13.130 Провода и шнуры силовые
27.32.13.140 Кабели управления, контроля, сигнализации; кабели и провода термоэлектродные
27.32.13.158 Кабели подводные
27.32.13.191 Кабели монтажные
27.32.13.194 Провода ленточные
27.33.1 Изделия электроустановочные
27.33.11.190 Устройства коммутационные на напряжение не более 1 кВ прочие, не включенные в другие группировки
27.40 Оборудование электрическое осветительное
27.40.11.000 Лампы герметичные узконаправленного света
27.40.12.000 Лампы накаливания галогенные с вольфрамовой нитью, кроме ультрафиолетовых или инфракрасных ламп ****</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</si>
  <si>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77.39.19 Услуги по аренде и лизингу прочих машин и оборудования без оператора и материальных средств, не включенных в другие группировки
35.13.10.000 Услуги по распределению электроэнергии
35.11.10.114 Электроэнергия, произведенная дизельными электростанциями (ДЭС) общего назначения
33.14.1 Услуги по ремонту и техническому обслуживанию электрического оборудования</t>
  </si>
  <si>
    <t>За весь период контрактов 13 шт. на общую сумму НМЦ 8 413 518 215,54 ?</t>
  </si>
  <si>
    <t>"223 за 3 года", ".", "п6", "fk3", "06.2022_ФинХД", "все клиенты с выручкой от 1,8 млрд до бесконечности", "ФК клиенты с выручкой от 230 до бесконечности", "производители", "рейтинг по нмц маркер", "это заказчик", "поставщики маркер"</t>
  </si>
  <si>
    <t>35.11.10.112 Электроэнергия, произведенная теплоэлектроцентралями (ТЭЦ) общего назначения
35.30.11.130 Энергия тепловая, отпущенная электрокотлами
35.30.12.110 Услуги по приготовлению воды на нужды горячего водоснабжения
35.30.11 Пар и горячая вода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35.30.11.111 Энергия тепловая, отпущенная тепловыми электроцентралями (ТЭЦ)
35.30.11.110 Энергия тепловая, отпущенная электростанциями ****</t>
  </si>
  <si>
    <t>За 3 года по 223ФЗ заключено  25 шт контрактов на сумму 166 497 670,85 ?</t>
  </si>
  <si>
    <t>"223 за 3 года", ".", "fk3", "Обороты по клиентам по кварталам (2022г)", "рейтинг заказчиков маркер", "это заказчик", "поставщики маркер", "44 за 3 года"</t>
  </si>
  <si>
    <t>23.70.12.120 Гранулы и порошок из природного камня, искусственно окрашенные прочие</t>
  </si>
  <si>
    <t>"поставщики маркер", ".", "Пункт 3.1 09.01.2023", "Участники клиринга", "рейтинг по нмц маркер"</t>
  </si>
  <si>
    <t>"223 за 3 года", ".", "fk3", "все клиенты с выручкой от 1,8 млрд до бесконечности", "ФК клиенты с выручкой от 230 до бесконечности", "Участники клиринга", "поставщики маркер", "44 за 3 года"</t>
  </si>
  <si>
    <t>35.11.10.116 Электроэнергия, произведенная гидроэлектростанциями (ГЭС) общего назначения
35.11.1 Электроэнергия
35.1 Услуги по производству, передаче и распределению электроэнергии</t>
  </si>
  <si>
    <t>1 222</t>
  </si>
  <si>
    <t>За весь период компания заключила  1 контрактов на сумму  1 272 791 701,46 ?</t>
  </si>
  <si>
    <t>"ФТ клиенты с продуктами по сотрудникам", "кл фт ФК ВКЛ/РКО 04.22", ".", "fk3", "06.2022_ФинХД", "Ссуды ФБ 29.04.2022 банкр.", "АИЛ портфель", "закрыли счет", "клиенты с в от100млн 09.21", "все клиенты с выручкой от 1,8 млрд до бесконечности", "филиал бизнес 01.03.22", "филиал бизнес 22.11", "ФК клиенты с выручкой от 230 до бесконечности", "клиенты от 100 млн", "Обороты по клиентам по кварталам (2022г)"</t>
  </si>
  <si>
    <t>28.13.12.000 Насосы возвратно-поступательные объемного действия прочие для перекачки жидкостей
27.51.2 Приборы бытовые электрические прочие, не включенные в другие группировки
22.22.19.000 Изделия упаковочные пластмассовые прочие
28.24.12.120 Инструменты ручные гидравлические
28.25.13.111 Шкафы холодильные
28.25.13.112 Камеры холодильные сборные
25.11.23.119 Конструкции и детали конструкций из черных металлов прочие, не включенные в другие группировки
25.73.30.174 Ключи торцовые
25.73.30.176 Головки сменные и принадлежности к ним в наборах и россыпью
25.73.30.224 Съемники ****</t>
  </si>
  <si>
    <t>62.09.20.190 Услуги по технической поддержке в области информационных технологий прочие, не включенные в другие группировки</t>
  </si>
  <si>
    <t>За весь период компания заключила  3 контрактов на сумму  510 000 000,00 ?</t>
  </si>
  <si>
    <t>62.01 Продукты программные и услуги по разработке и тестированию программного обеспечения
62.02.30 Услуги по технической поддержке информационных технологий
62 Продукты программные и услуги по разработке программного обеспечения; консультационные и аналогичные услуги в области информационных технологий
62.01.11.000 Услуги по проектированию и разработке информационных технологий для прикладных задач и тестированию программного обеспечения
62.01.29.000 Оригиналы программного обеспечения прочие
62.09 Услуги в области информационных технологий прочие и компьютерные услуги
62.03.12.130 Услуги по сопровождению компьютерных систем</t>
  </si>
  <si>
    <t>За весь период компания заключила  24 контрактов на сумму  34 205 999 586,89 ?                                     ЗА 3 ГОДА ПО 223 ФЗ заключено 4 шт. с объемом НМЦ 169 593 568,00 ? за 1 ГОД ПО 223ФЗ заключено 1  69 248 000,00 ?</t>
  </si>
  <si>
    <t>"223 за 3 года", "кл фт самоход бг 04.22", ".", "портфель", "клиенты от 100 млн", "действующие б не прям", "ФТ клиенты с продуктами по сотрудникам", "223 фз контракты 20+", "рейтинг по нмц маркер", "поставщики маркер", "44 за 3 года"</t>
  </si>
  <si>
    <t>20.42.16.110 Шампуни
21.20.23.110 Реагенты диагностические
21.20.23.199 Средства нелечебные прочие
20.20.14.000 Средства дезинфекционные
21 Средства лекарственные и материалы, применяемые в медицинских целях
21.10.54.190 Антибиотики и их производные прочие
21.20.10.191 Препараты антибактериальные для системного использования
21.20.10.213 Иммуномодуляторы
21.20.10.241 Препараты противопротозойные
21.20.23.190 Препараты фармацевтические прочие ****</t>
  </si>
  <si>
    <t>За весь период компания заключила  25 контрактов на сумму  2 204 042 126,78 ? За весь период заходили в конкурсы  66 раз на общую сумму обеспеченных контрактов с НМЦ 8 908 519 814,03 ? с БГУ  135 155 761,02 ? с БГИ 949 180 859,62 ? За 3 ГОДА по 44ФЗ заключено 822 шт. с объемом НМЦ  9 084 638 460,93 ? с БГИ 867 666 254,14 ? с БГГО 39 464 564,23 ? с авансированием до 181 992,00 ? с комиссией банку 11 196 114,69 ? с кв 97 406,20 ? ЗА 1 ГОД по 44ФЗ заключено 282 шт. c объемом НМЦ 2 867 308 093,74 ? с БГИ 271 550 581,98 ? с БГГО 0,00 ? с авансированием до  181 992,00 ? с комиссией банку  3 704 976,45 ? с кв 32 233,30 ? ЗА 3 ГОДА ПО 223 ФЗ заключено 61 шт. с объемом НМЦ 669 007 079,40 ? за 1 ГОД ПО 223ФЗ заключено 9  22 427 137,36 ?</t>
  </si>
  <si>
    <t>"223 за 3 года", ".", "рейтинг поставщиков в маркере по бг", "Конкурсы 100+ (Восстановленный)", "fk3",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"44 фз с с БГ от 10 млн", "производители", "рейтинг по нмц маркер", "поставщики маркер", "44 за 3 года"</t>
  </si>
  <si>
    <t>25.73.6 Инструмент прочий
28.91.12.110 Комплектующие (запасные части) машин для металлургического производства, не имеющие самостоятельных группировок
28.92.1 Оборудование для добычи полезных ископаемых подземным способом
29.10.23 Средства транспортные с поршневым двигателем внутреннего сгорания с воспламенением от сжатия (дизелем или полудизелем), новые
28.92.61 Части бурильных или проходческих машин или машин для выемки грунта; части кранов
26.51.12.120 Инструменты и приборы геодезические
26.51 Оборудование для измерения, испытаний и навигации
28.92.12.190 Машины проходческие прочие
25.73 Инструмент
25.9 Изделия металлические готовые прочие ****</t>
  </si>
  <si>
    <t>За весь период компания заключила  2 контрактов на сумму  575 000 000,00 ?                                     ЗА 3 ГОДА ПО 223 ФЗ заключено 2 шт. с объемом НМЦ 39 389 090,61 ?</t>
  </si>
  <si>
    <t>26.70.13.000 Видеокамеры цифровые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28.23.23.000 Машины офисные прочие
26.20.40.110 Устройства и блоки питания вычислительных машин
26.20.21.110 Устройства запоминающие внутренние
62.01.29.000 Оригиналы программного обеспечения прочие
27.51.24.120 Электрокофеварки
26.20.22.000 Устройства запоминающие полупроводниковые, сохраняющие информацию при выключении питания
46.51.10 Услуги по оптовой торговле компьютерами, компьютерными периферийными устройствами и программным обеспечением</t>
  </si>
  <si>
    <t>За весь период заходили в конкурсы  6 раз на общую сумму обеспеченных контрактов с НМЦ 867 160 452,29 ? с БГУ  28 342 828,70 ? с БГИ 274 307 979,18 ? За 3 ГОДА по 44ФЗ заключено 4 шт. с объемом НМЦ  409 166 961,12 ? с БГИ 81 331 195,11 ? с БГГО 3 252 239,81 ? с авансированием до 68 218 753,01 ? с комиссией банку 1 652 037,13 ? с кв 14 372,72 ?</t>
  </si>
  <si>
    <t>"44 за 3 года", ".", "рейтинг поставщиков в маркере по бг", "Гарантии_КИБ_31.03.22_Гиб._", "ГРАНДИОЗНЫЙ ПРОЕКТ", "fk3", "Кредитный портфель_01.11", "06.2022_ФинХД", "клиенты от 100 млн", "рейтинг по нмц маркер", "поставщики маркер"</t>
  </si>
  <si>
    <t>35.11.10.112 Электроэнергия, произведенная теплоэлектроцентралями (ТЭЦ) общего назначения
35.30.12.110 Услуги по приготовлению воды на нужды горячего водоснабжения
35.30.11.120 Энергия тепловая, отпущенная котельными
35.30.11.111 Энергия тепловая, отпущенная тепловыми электроцентралями (ТЭЦ)
35.11.10.111 Электроэнергия, произведенная конденсационными электростанциями (КЭС) общего назначения
35.11 Электроэнергия
35.12 Услуги по передаче электроэнергии и технологическому присоединению к распределительным электросетям
35.12.10.110 Услуги по передаче электроэнергии</t>
  </si>
  <si>
    <t>За весь период компания заключила  2 контрактов на сумму  991 189 461,36 ?</t>
  </si>
  <si>
    <t>43.29 Работы строительно-монтажные прочие
71.11.23.000 Услуги в области архитектуры, связанные с реставрацией исторических зданий</t>
  </si>
  <si>
    <t>За весь период компания заключила  42 контрактов на сумму  36 151 736 434,04 ? За весь период заходили в конкурсы  5 раз на общую сумму обеспеченных контрактов с НМЦ 870 325 032,82 ? с БГУ  41 499 626,55 ? с БГИ 184 641 952,86 ?</t>
  </si>
  <si>
    <t>За 3 года по 223ФЗ заключено  45 шт контрактов на сумму 38 502 650,76 ?</t>
  </si>
  <si>
    <t>2 962</t>
  </si>
  <si>
    <t>27.32.13.140 Кабели управления, контроля, сигнализации; кабели и провода термоэлектродные
27.33.11.190 Устройства коммутационные на напряжение не более 1 кВ прочие, не включенные в другие группировки
27.33.13.165 Элементы логические магнитные, полупроводниковые
27.90.33.110 Комплектующие (запасные части) прочего электрического оборудования, не имеющие самостоятельных группировок
43.22.12.160 Работы по установке приборов учета расхода тепловой энергии
26.1 Компоненты электронные и платы
26.20.16.150 Сканеры
26.51.63.130 Счетчики производства или потребления электроэнергии
26.51.64.190 Приборы для измерения параметров движения и количества прочие
26.20.18.000 Устройства периферийные с двумя или более функциями: печать данных, копирование, сканирование, прием и передача факсимильных сообщений ****</t>
  </si>
  <si>
    <t>12 869</t>
  </si>
  <si>
    <t>За весь период контрактов 153 шт. на общую сумму НМЦ 54 732 264 592,43 ?</t>
  </si>
  <si>
    <t>"поставщики маркер", ".", "fk3", "все клиенты с выручкой от 1,8 млрд до бесконечности", "это заказчик"</t>
  </si>
  <si>
    <t>27.90 Оборудование электрическое прочее
43.21 Работы электромонтажные
30.11.9 Услуги по переоборудованию, восстановлению и оснащению судов, плавучих платформ и конструкций; операции процесса производства судов и плавучих конструкций отдельные, выполняемые субподрядчиком
30.11.1 Корабли военные
27.33.13 Разъемы, розетки и прочая аппаратура коммутации или защиты электрических цепей, не включенная в другие группировки
27.32.1 Провода и кабели электронные и электрические прочие
33.20.7 Услуги по монтажу прочих изделий, не включенных в другие группировки
30.11.92 Услуги по оснащению судов, плавучих платформ и конструкций
43.21.10.290 Работы электромонтажные прочие, не включенные в другие группировки
25 Изделия металлические готовые, кроме машин и оборудования</t>
  </si>
  <si>
    <t>За весь период компания заключила  11 контрактов на сумму  12 598 399 539,50 ?                                     ЗА 3 ГОДА ПО 223 ФЗ заключено 2 шт. с объемом НМЦ 38 800 000,00 ?</t>
  </si>
  <si>
    <t>"223 за 3 года", ".", "ушедшие", "уш кл 1", "лимит сит по кредитам", "все клиенты с выручкой от 1,8 млрд до бесконечности", "производители", "рейтинг по нмц маркер", "поставщики маркер"</t>
  </si>
  <si>
    <t>Сообщения о принятии решения о реорганизации от 23.07.2020</t>
  </si>
  <si>
    <t>"Обороты по клиентам по кварталам (2022г)", ".", "fk3", "все клиенты с выручкой от 1,8 млрд до бесконечности"</t>
  </si>
  <si>
    <t>Кредитный портфель_01.3571</t>
  </si>
  <si>
    <t>Сообщение кредитора о намерении обратиться в суд с заявлением о банкротстве от 28.10.2021</t>
  </si>
  <si>
    <t>"Обороты по клиентам по кварталам (2022г)", ".", "fk3", "Кредитный портфель_01.11", "06.2022_ФинХД", "все клиенты с выручкой от 1,8 млрд до бесконечности"</t>
  </si>
  <si>
    <t>За весь период контрактов 28 шт. с общей суммой НМЦ 1 664 286 402,32 ? с БГУ 123885287 и БГИ 572 094 777,60 ?</t>
  </si>
  <si>
    <t>Сообщение кредитора о намерении обратиться в суд с заявлением о банкротстве от 24.11.2021</t>
  </si>
  <si>
    <t>"44 за 3 года", ".", "рейтинг поставщиков в маркере по бг", "fk3", "Кредитный портфель_01.11", "06.2022_ФинХД", "все клиенты с выручкой от 1,8 млрд до бесконечности", "44 фз с с БГ от 10 млн", "рейтинг по нмц маркер", "это заказчик", "поставщики маркер"</t>
  </si>
  <si>
    <t>Заявка отозвана клиентом;Отправлена клиенту;Распределена в Банк</t>
  </si>
  <si>
    <t>"на фт заводил Кашин", "свод фт", ".", "все клиенты с выручкой от 1,8 млрд до бесконечности", "Одобренные но не выданные 1 полугодие 2021", "производители"</t>
  </si>
  <si>
    <t>За весь период компания заключила  7 контрактов на сумму  30 165 435 723,00 ?</t>
  </si>
  <si>
    <t>35.11.10.112 Электроэнергия, произведенная теплоэлектроцентралями (ТЭЦ)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35.30.12.110 Услуги по приготовлению воды на нужды горячего водоснабжения
35.11.10 Электроэнергия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t>
  </si>
  <si>
    <t>За весь период компания заключила  9 контрактов на сумму  574 198 768,37 ? За весь период заходили в конкурсы  1 раз на общую сумму обеспеченных контрактов с НМЦ 178 378 856,23 ? с БГУ  1 852 324,57 ? с БГИ 2 750 701,98 ? За 3 ГОДА по 44ФЗ заключено 12 шт. с объемом НМЦ  356 095 566,54 ? с БГИ 7 453 940,00 ? с БГГО 1 156 528,81 ? с авансированием до 0,00 ? с комиссией банку 445 415,30 ? с кв 3 875,11 ? ЗА 1 ГОД по 44ФЗ заключено 1 шт. c объемом НМЦ 185 232 457,14 ? с БГИ 2 750 701,98 ? с БГГО 185 232,00 ? с авансированием до  0,00 ? с комиссией банку  442 674,61 ? с кв 3 851,27 ? ЗА 3 ГОДА ПО 223 ФЗ заключено 16 шт. с объемом НМЦ 77 842 193,00 ? за 1 ГОД ПО 223ФЗ заключено 4  58 296 942,00 ?</t>
  </si>
  <si>
    <t>35.11.10.112 Электроэнергия, произведенная теплоэлектроцентралями (ТЭЦ) общего назначения
35.11.10.122 Электроэнергия, произведенная блок-станциями теплоэлектроцентралей (ТЭЦ)
35.11.10.111 Электроэнергия, произведенная конденсационными электростанциями (КЭС) общего назначения</t>
  </si>
  <si>
    <t>Юридическим лицом принято решение об изменении места нахождения от 10.08.2022</t>
  </si>
  <si>
    <t>35.11.10 Электроэнергия
70.10.10.120 Услуги по управлению холдинг-компаниями</t>
  </si>
  <si>
    <t>Заказчик разыгравший 23 конкурсов на сумму  2 878 228 972,48 ?</t>
  </si>
  <si>
    <t>08 Продукция горнодобывающих производств прочая
71.12 Услуги в области инженерно-технического проектирования и связанные технические консультативные услуги
42.22.21 Работы строительные по прокладке магистральных линий электропередачи и связи
43.2 Работы электромонтажные, работы по монтажу водопроводных и канализационных систем и прочие строительно-монтажные работы
43.12.12 Работы по отрывке и перемещению грунта
08.11.1 Камень для памятников или строительства
42.11.10.160 Полосы взлетно-посадочные аэродромов, включая рулежные дорожки и аналогичных сооружений аэродромов, кроме зданий
42 Сооружения и строительные работы в области гражданского строительства
42.1 Дороги автомобильные и железные; строительные работы по строительству автомобильных дорог и железных дорог
42.22.22 Работы строительные по прокладке местных линий электропередачи и связи</t>
  </si>
  <si>
    <t>2 634</t>
  </si>
  <si>
    <t>Гарантия завершена;Гарантия отправлена;Заявка взята на рассмотрение;Заявка отозвана клиентом;Отклонена банком;Отправлена клиенту;Претензия по банковской гарантии
Гарантия завершена;Гарантия отправлена;Заявка отозвана клиентом;Отклонена банком;Отправлена клиенту;Претензия по коммерческой банковской гарантии
Кредитная линия закрыта;Кредитная линия открыта
Кредитная линия открыта</t>
  </si>
  <si>
    <t>"223 за 3 года", "кл фт прямые ВКЛ/РКО 04.22", "кл фт прямые бг 04.22", "свод фт", ".", "Рассрочка КВ Март 2023", "УПП на 2 номер", "fk3", "кредиты фт", "клиенты управления по БГ без открытых счетов", "Евразия_июлль-август 2019", "БГ ФБ ЮР лица на 01.07.2021", "корп 1", "Премия 4 кв 22 г.бг", "Гарантии ФБ банкроты", "филиал бизнес 31.01.22 ", "Банкроты ФБ 28.04.2023", "06.2022_ФинХД", "Ссуды ФБ 29.04.2022 банкр.", "АИЛ портфель", "лимит сит по кредитам", "Действующий клиент мсб с выр от 30 млн на 05.21", "все клиенты с выручкой от 1,8 млрд до бесконечности", "филиал бизнес 01.03.22", "филиал бизнес 22.11", "ФК клиенты с выручкой от 230 до бесконечности", "клиенты от 100 млн", "ФТ клиенты с продуктами по сотрудникам", "223 фз контракты 20+", "рейтинг заказчиков маркер", "рейтинг по нмц маркер", "это заказчик", "на фт заводил Шутов", "на фт заводил Еприкян", "поставщики маркер"</t>
  </si>
  <si>
    <t>35.11.10.112 Электроэнергия, произведенная теплоэлектроцентралями (ТЭЦ) общего назначения
35.11.10 Электроэнергия
35.13.10 Услуги по распределению электроэнергии
35.14.10.000 Услуги по торговле электроэнергией</t>
  </si>
  <si>
    <t>За весь период компания заключила  18 контрактов на сумму  6 243 743 294,54 ? За весь период заходили в конкурсы  4 раз на общую сумму обеспеченных контрактов с НМЦ 327 737 256,80 ? с БГУ  42 654 713,92 ? с БГИ 23 225 491,74 ? За 3 ГОДА по 44ФЗ заключено 8 шт. с объемом НМЦ  370 989 001,57 ? с БГИ 8 878 702,01 ? с БГГО 938 532,38 ? с авансированием до 0,00 ? с комиссией банку 772 618,64 ? с кв 6 721,78 ? ЗА 1 ГОД по 44ФЗ заключено 3 шт. c объемом НМЦ 131 040 818,33 ? с БГИ 3 243 260,26 ? с БГГО 0,00 ? с авансированием до  0,00 ? с комиссией банку  277 062,94 ? с кв 2 410,45 ? ЗА 3 ГОДА ПО 223 ФЗ заключено 72 шт. с объемом НМЦ 443 615 425,74 ? за 1 ГОД ПО 223ФЗ заключено 33  326 867 708,74 ?</t>
  </si>
  <si>
    <t>35.11.10.112 Электроэнергия, произведенная теплоэлектроцентралями (ТЭЦ)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35.14.10 Услуги по торговле электроэнергией
35.30.11.130 Энергия тепловая, отпущенная электрокотлами
35.12.10.120 Услуги по технологическому присоединению к распределительным электросетям
35.13.10.000 Услуги по распределению электроэнергии
35.30.11.120 Энергия тепловая, отпущенная котельными
35.30.12.130 Услуги по транспортированию горячей воды ****</t>
  </si>
  <si>
    <t>За весь период компания заключила  5 контрактов на сумму  339 519 863,18 ?</t>
  </si>
  <si>
    <t>10.82.14.000 Порошок какао с добавками сахара или других подслащивающих веществ
10.83.1 Чай и кофе обработанные
10.51.21.120 Молоко сублимированное не более 1,5 % жирности
10.83.11.120 Кофе жареный
10.92.10.111 Сухой корм животного происхождения для собак</t>
  </si>
  <si>
    <t>17.22.12.130 Изделия санитарно-гигиенического назначения прочие из бумажной массы, бумаги, целлюлозной ваты и полотна из целлюлозных волокон</t>
  </si>
  <si>
    <t>Гарантия отправлена;Заявка отозвана клиентом;Отклонена банком;Отправлена клиенту;Распределена в Банк
Отклонена банком
Отклонена банком;Отправлена клиенту</t>
  </si>
  <si>
    <t>"поставщики маркер", "кл фт прямые бг 04.22", "свод фт", ".", "рейтинг поставщиков в маркере по бг", "Рассрочка КВ Март 2023", "fk3", "кредиты фт", "корп 1", "Премия 4 кв 22 г.бг", "клиенты с в от100млн 09.21", "Пункт 3 09.01.23", "лимит сит по кредитам", "все клиенты с выручкой от 1,8 млрд до бесконечности", "ФК клиенты с выручкой от 230 до бесконечности", "клиенты от 100 млн", "Обороты по клиентам по кварталам (2022г)", "Одобренные но не выданные 1 полугодие 2021", "ФТ клиенты с продуктами по сотрудникам", "производители", "рейтинг по нмц маркер", "на фт заводил Мелкумов", "на фт заводил Бесков"</t>
  </si>
  <si>
    <t>27.3 Кабели и арматура кабельная
27.32.14.110 Кабели силовые для стационарной прокладки на напряжение более 1 кВ
27.32.14.111 Кабели силовые с медной жилой на напряжение более 1 кВ
27.33.13.130 Арматура кабельная
27.32 Провода и кабели электронные и электрические прочие
27.32.13.190 Кабели, провода и другие проводники прочие на напряжение до 1 кВ
27.12.3 Комплекты электрической аппаратуры коммутации или защиты
27.90.40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
35.11.10.116 Электроэнергия, произведенная гидроэлектростанциями (ГЭС) общего назначения
27 Оборудование электрическое ****</t>
  </si>
  <si>
    <t>За весь период компания заключила  20 контрактов на сумму  10 399 549 881,88 ?                                     ЗА 3 ГОДА ПО 223 ФЗ заключено 6 шт. с объемом НМЦ 217 350 424,54 ? за 1 ГОД ПО 223ФЗ заключено 4  175 022 858,40 ?</t>
  </si>
  <si>
    <t>Кредитный портфель_01.3582</t>
  </si>
  <si>
    <t>Сообщения о принятии решения о реорганизации от 27.02.2017</t>
  </si>
  <si>
    <t>"рейтинг по нмц маркер", ".", "fk3", "корп 2", "Кредитный портфель_01.11", "06.2022_ФинХД", "все клиенты с выручкой от 1,8 млрд до бесконечности", "клиенты от 100 млн"</t>
  </si>
  <si>
    <t>68.10.14.000 Услуги по покупке и продаже нежилых зданий и занимаемых ими земельных участков
41.20.20.210 Здания для органов государственного управления, обороны, государственной безопасности, финансов и иностранных представительств</t>
  </si>
  <si>
    <t>За весь период компания заключила  8 контрактов на сумму  13 606 977 548,70 ? За весь период заходили в конкурсы  6 раз на общую сумму обеспеченных контрактов с НМЦ 13 488 477 148,70 ? с БГУ  135 333 024,69 ? с БГИ 2 082 195 477,04 ?</t>
  </si>
  <si>
    <t>"223 за 3 года", ".", "рейтинг поставщиков в маркере по бг", "fk3", "закрыли счет", "все клиенты с выручкой от 1,8 млрд до бесконечности", "производители", "рейтинг по нмц маркер", "поставщики маркер"</t>
  </si>
  <si>
    <t>Сообщение кредитора о намерении обратиться в суд с заявлением о банкротстве от 19.06.2020</t>
  </si>
  <si>
    <t>43.99.70.000 Работы по сборке и монтажу сборных конструкций
43.33.29.110 Работы по укладке ковровых покрытий, линолеума и прочих гибких материалов для покрытия полов
41.20.40.900 Работы строительные по возведению нежилых зданий и сооружений прочие, не включенные в другие группировки
71.20.12.000 Услуги в области испытаний, исследований и анализа физико-механических свойств материалов и веществ
43.39.19.190 Работы завершающие и отделочные в зданиях и сооружениях, прочие, не включенные в другие группировки
13.92.22.110 Брезенты
43.39.11.190 Работы отделочные декоративные прочие, не включенные в другие группировки
25.11.10.000 Здания сборные из металла
25.12.10.000 Двери, окна и их рамы и пороги для дверей из металлов
71.20.13.000 Услуги в области испытаний, исследований и анализа целостных механических и электрических систем</t>
  </si>
  <si>
    <t>20.30.22.170 Герметики
20.30.22.220 Растворители и разбавители органические сложные; составы готовые для удаления красок и лаков (смывки)
25.93.13.110 Ткани металлические, решетки, сетки и ограждения из проволоки из черных металлов
32.91.19.120 Кисти технические
46.74.12 Услуги по оптовой торговле водопроводным и отопительным оборудованием и санитарно-технической арматурой
23.51.12.112 Портландцемент с минеральными добавками
28.14.13 Арматура запорная для управления процессом (задвижки, краны, клапаны запорные, затворы дисковые и другая арматура)
23.61.12.143 Плиты дорожные железобетонные
22.21.41.110 Плиты, листы прочие пластмассовые пористые
20.30.11.120 Краски на основе акриловых или виниловых полимеров в водной среде ****</t>
  </si>
  <si>
    <t>26.20.16.150 Сканеры
26.20.18 Устройства периферийные с двумя или более функциями: печать данных, копирование, сканирование, прием и передача факсимильных сообщений
26.20.40.120 Элементы замены типовые устройств ввода и вывода
26.40.51.000 Части и принадлежности звукового и видеооборудования
26.20.16 Устройства ввода или вывода, содержащие или не содержащие в одном корпусе запоминающие устройства
26.30.30.000 Части и комплектующие коммуникационного оборудования
58.29.29.000 Обеспечение программное прикладное прочее на электронном носителе
46.51.10.110 Услуги по оптовой торговле компьютерами, компьютерными периферийными устройствами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26.20.14 Машины вычислительные электронные цифровые, поставляемые в виде систем для автоматической обработки данных ****</t>
  </si>
  <si>
    <t>на фт заводил Каныгин.xlsx</t>
  </si>
  <si>
    <t>"223 за 3 года", "кл фт ФК БГ 04.22", "свод фт", ".", "ГРАНДИОЗНЫЙ ПРОЕКТ 223", "ИНН_договоры_октябрь_", "БГ ФБ ЮР лица на 01.07.2021", "Гарантии ФБ банкроты", "филиал бизнес 31.01.22 ", "все клиенты с выручкой от 1,8 млрд до бесконечности", "ФК клиенты с выручкой от 230 до бесконечности", "клиенты от 100 млн", "действующие б не прям", "ФТ клиенты с продуктами по сотрудникам", "производители", "на фт заводил Каныгин", "поставщики маркер", "44 за 3 года"</t>
  </si>
  <si>
    <t>2 740</t>
  </si>
  <si>
    <t>"это заказчик", ".", "п6", "06.2022_ФинХД", "все клиенты с выручкой от 1,8 млрд до бесконечности", "производители"</t>
  </si>
  <si>
    <t>52.24.19.110 Услуги по обработке грузов вне контейнеров или обработке багажа пассажиров
33.16.10 Услуги по ремонту и техническому обслуживанию летательных и космических аппаратов
52.23.19.190 Услуги вспомогательные прочие, связанные с воздушным транспортом, не включенные в другие группировки</t>
  </si>
  <si>
    <t>За весь период компания заключила  7 контрактов на сумму  11 709 789 166,76 ?                                     ЗА 3 ГОДА ПО 223 ФЗ заключено 1 шт. с объемом НМЦ 980 000 000,00 ?</t>
  </si>
  <si>
    <t>"223 за 3 года", ".", "fk3", "клиенты с в от100млн 09.21", "все клиенты с выручкой от 1,8 млрд до бесконечности", "ФК клиенты с выручкой от 230 до бесконечности", "рейтинг по нмц маркер", "это заказчик", "поставщики маркер"</t>
  </si>
  <si>
    <t>27.33.1 Изделия электроустановочные
23.43.10 Изоляторы электрические из керамики; арматура изолирующая для электроаппаратуры и приборов из керамики
27.33.13.140 Контакторы электромагнитные
23.61 Изделия из бетона, используемые в строительстве
27.90 Оборудование электрическое прочее
27.90.12.110 Изоляторы электрические
27.90.12.120 Арматура изолирующая для электрических машин и оборудования
27.12.2 Устройства коммутации или защиты электрических цепей на напряжение не более 1 кВ
27.12.24.110 Реле управления промежуточные
27.12.24.140 Реле электротепловые токовые ****</t>
  </si>
  <si>
    <t>За весь период компания заключила  5 контрактов на сумму  270 251 873,62 ?                                     ЗА 3 ГОДА ПО 223 ФЗ заключено 8 шт. с объемом НМЦ 100 569 422,38 ? за 1 ГОД ПО 223ФЗ заключено 3  132 510 349,21 ?</t>
  </si>
  <si>
    <t>Сообщения о принятии решения о реорганизации от 14.12.2022</t>
  </si>
  <si>
    <t>"223 за 3 года", ".", "fk3", "просрочка на 01.01.2023 г.", "Запрос в ЮД_просрочка на 01.01.2023", "06.2022_ФинХД", "все клиенты с выручкой от 1,8 млрд до бесконечности", "223 фз контракты 20+", "рейтинг по нмц маркер", "это заказчик"</t>
  </si>
  <si>
    <t>29.10.1 Двигатели внутреннего сгорания для автотранспортных средств
28.15.24.131 Коробки передач</t>
  </si>
  <si>
    <t>Юридическим лицом принято решение об изменении места нахождения от 28.04.2023</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</si>
  <si>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42.11.10.151 Дорога подъездная
42.13.10.110 Мосты и путепроводы из любых материалов для всех типов сухопутного транспорта и для пешеходов
41.20.40.900 Работы строительные по возведению нежилых зданий и сооружений прочие, не включенные в другие группировки
42.11.10.120 Дороги автомобильные, в том числе улично-дорожная сеть, и прочие автомобильные и пешеходные дороги
42.11.10.159 Дороги подъездные, транспортные и пешеходные путепроводы над и под дорогой, велосипедные дорожки прочие
42.13.10.111 Мост автодорожный
42.99.19.190 Сооружения гражданские прочие, не включенные в другие группировки
43.12.11.190 Работы земляные прочие, не включенные в другие группировки ****</t>
  </si>
  <si>
    <t>За весь период компания заключила  55 контрактов на сумму  32 804 908 077,09 ? За весь период заходили в конкурсы  136 раз на общую сумму обеспеченных контрактов с НМЦ 39 889 535 344,05 ? с БГУ  1 373 069 550,48 ? с БГИ 6 464 168 079,06 ? За 3 ГОДА по 44ФЗ заключено 68 шт. с объемом НМЦ  22 075 844 402,98 ? с БГИ 1 582 698 721,20 ? с БГГО 236 978 003,48 ? с авансированием до 7 010 964 042,98 ? с комиссией банку 31 447 807,20 ? с кв 273 595,92 ? ЗА 1 ГОД по 44ФЗ заключено 21 шт. c объемом НМЦ 8 558 366 705,77 ? с БГИ 524 082 597,17 ? с БГГО 59 918 948,27 ? с авансированием до  2 481 835 706,63 ? с комиссией банку  13 917 519,57 ? с кв 121 082,42 ? ЗА 3 ГОДА ПО 223 ФЗ заключено 17 шт. с объемом НМЦ 353 721 521,28 ? за 1 ГОД ПО 223ФЗ заключено 8  46 338 824,00 ?</t>
  </si>
  <si>
    <t>"223 за 3 года", "кл фт агент бг 04.22", "свод фт", ".", "рейтинг поставщиков в маркере по бг", "ГРАНДИОЗНЫЙ ПРОЕКТ", "Конкурсы 100+ (Восстановленный)", "fk3", "кредиты фт", "2. Финтендер 2022 31.03.22 Григорян для СПАРК", "БГ ФБ ЮР лица на 01.07.2021", "Агентские одобренные но не выданные от 30.08", "Гарантии ФБ банкроты", "лимит сит по кредитам", "Действующий клиент мсб с выр от 30 млн на 05.21", "все клиенты с выручкой от 1,8 млрд до бесконечности", "ФК клиенты с выручкой от 230 до бесконечности", "клиенты от 100 млн", "действующие б не прям", "Одобренные но не выданные 1 полугодие 2021", "ФТ клиенты с продуктами по сотрудникам", "Участники клиринга", "44 фз с с БГ от 10 млн", "производители", "рейтинг по нмц маркер", "на фт заводил Шаклейн", "на фт заводил Удод", "на фт заводил Данченко", "crm управления", "в crm за Шаклейном ", "поставщики маркер", "44 за 3 года"</t>
  </si>
  <si>
    <t>1 788</t>
  </si>
  <si>
    <t>Сообщения о принятии решения о реорганизации от 06.07.2021</t>
  </si>
  <si>
    <t>"производители", ".", "fk3", "ИНН 3 года - нет КД БГ на 01.10.22",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t>
  </si>
  <si>
    <t>"клиенты от 100 млн", ".", "fk3", "ПОС на 01.02.2023", "ПОС на 03.04.2023", "Кредитный портфель_01.11", "06.2022_ФинХД", "все клиенты с выручкой от 1,8 млрд до бесконечности", "ФК клиенты с выручкой от 230 до бесконечности"</t>
  </si>
  <si>
    <t>Юридическим лицом принято решение об изменении места нахождения от 26.04.2023</t>
  </si>
  <si>
    <t>ПОС на 03.04.5097</t>
  </si>
  <si>
    <t>"Обороты по клиентам по кварталам (2022г)", ".", "выдали", "fk3", "ПОС на 03.04.2023", "Кредитный портфель_01.11", "06.2022_ФинХД", "все клиенты с выручкой от 1,8 млрд до бесконечности"</t>
  </si>
  <si>
    <t>Сообщения о принятии решения о реорганизации от 15.09.2020</t>
  </si>
  <si>
    <t>"223 за 3 года", ".", "fk3", "все клиенты с выручкой от 1,8 млрд до бесконечности", "Обороты по клиентам по кварталам (2022г)", "поставщики маркер"</t>
  </si>
  <si>
    <t>19.20.29.119 Масла моторные прочие, не включенные в другие группировки
19.20.21.440 Топливо судовое с массовой долей серы не более 0,5 % с температурой вспышки в закрытом тигле не ниже 61 °C
19.20.21.315 Топливо дизельное летнее экологического класса К5
19.20.2 Топливо жидкое и газообразное; масла смазочные
19.20.21.300 Топливо дизельное</t>
  </si>
  <si>
    <t>ЗА 3 ГОДА ПО 223 ФЗ заключено 5 шт. с объемом НМЦ 30 001 500,00 ?</t>
  </si>
  <si>
    <t>"223 за 3 года", ".", "fk3", "06.2022_ФинХД", "все клиенты с выручкой от 1,8 млрд до бесконечности", "ФК клиенты с выручкой от 230 до бесконечности", "клиенты от 100 млн", "Обороты по клиентам по кварталам (2022г)", "производители", "поставщики маркер", "44 за 3 года"</t>
  </si>
  <si>
    <t>35.30.11.120 Энергия тепловая, отпущенная котельными
68.10.11.000 Услуги по покупке и продаже жилых зданий и занимаемых ими земельных участков
35.30.11.111 Энергия тепловая, отпущенная тепловыми электроцентралями (ТЭЦ)</t>
  </si>
  <si>
    <t>Заказчик разыгравший 10 конкурсов на сумму  2 849 858 626,60 ?</t>
  </si>
  <si>
    <t>Сообщение кредитора о намерении обратиться в суд с заявлением о банкротстве от 10.01.2022</t>
  </si>
  <si>
    <t>"44 за 3 года", ".", "fk3", "все клиенты с выручкой от 1,8 млрд до бесконечности", "Участники клиринга", "рейтинг заказчиков маркер", "производители", "это заказчик", "поставщики маркер"</t>
  </si>
  <si>
    <t>19.20.21.100 Бензин автомобильный
19.20.21.310 Топливо дизельное летнее
19.20.42.121 Битумы нефтяные дорожные
19.20.21.120 Бензин автомобильный с октановым числом более 92, но не более 95 по исследовательскому методу
19.20.21.315 Топливо дизельное летнее экологического класса К5
19.20.21.345 Топливо дизельное межсезонное экологического класса К5
19.20.21.300 Топливо дизельное
19.20.21.314 Топливо дизельное летнее экологического класса К4</t>
  </si>
  <si>
    <t>За весь период заходили в конкурсы  1 раз на общую сумму обеспеченных контрактов с НМЦ 109 024 169,30 ? с БГУ  6 451 134,28 ? с БГИ 12 902 268,56 ?</t>
  </si>
  <si>
    <t>"44 за 3 года", ".", "рейтинг поставщиков в маркере по бг", "все клиенты с выручкой от 1,8 млрд до бесконечности", "crm управления", "в crm за Микульшиным", "поставщики маркер"</t>
  </si>
  <si>
    <t>20.15.39.000 Удобрения азотные и смеси прочие
20.15.31.000 Мочевина (карбамид)
20.15.32.000 Сульфат аммония
20.15.33.000 Нитрат аммония
20.15.49.000 Удобрения фосфатные прочие
20.15.51.000 Хлорид калия
20.15.71.000 Удобрения, содержащие три питательных элемента: азот, фосфор и калий
20.15.41.000 Суперфосфаты
20.15.74.000 Удобрения, содержащие два питательных элемента: азот и фосфор
20.15 Удобрения и соединения азотные</t>
  </si>
  <si>
    <t>ЗА 3 ГОДА ПО 223 ФЗ заключено 9 шт. с объемом НМЦ 131 070 285,43 ? за 1 ГОД ПО 223ФЗ заключено 6  104 588 506,40 ?</t>
  </si>
  <si>
    <t>"223 за 3 года", ".", "Участники клиринга", "223 фз контракты 20+", "производители", "поставщики маркер"</t>
  </si>
  <si>
    <t>1 699</t>
  </si>
  <si>
    <t>Юридическим лицом принято решение об изменении места нахождения от 24.04.2023, Сообщения о принятии решения о реорганизации от 17.07.2020</t>
  </si>
  <si>
    <t>35.30.12.140 Услуги по подключению (технологическому присоединению) к централизованной системе горячего водоснабжения</t>
  </si>
  <si>
    <t>Заказчик разыгравший 120 конкурсов на сумму  23 658 315 668,44 ?</t>
  </si>
  <si>
    <t>Заказчик разыгравший 291 конкурсов на сумму  49 209 967 397,11 ?</t>
  </si>
  <si>
    <t>"223 за 3 года", ".", "fk3", "все клиенты с выручкой от 1,8 млрд до бесконечности", "Обороты по клиентам по кварталам (2022г)", "рейтинг заказчиков маркер", "производители", "это заказчик", "поставщики маркер"</t>
  </si>
  <si>
    <t>28.30.53.000 Прессы для соломы или сена, включая пресс-подборщики
28.30.59.112 Жатки рядковые
28.30.93.000 Части прочих машин и оборудования для сельского хозяйства
28.30.59.111 Комбайны зерноуборочные
28.30.59.120 Машины для уборки и первичной обработки кукурузы
52.29.19 Услуги грузовых транспортно-экспедиционных агентств прочие
28.30 Машины и оборудование для сельского и лесного хозяйства
28.30.23.110 Тракторы сельскохозяйственные колесные с мощностью двигателя более 59 кВт
28.30.92.000 Части оборудования для обработки и возделывания почвы
33.17.19.000 Услуги по ремонту и техническому обслуживанию прочих транспортных средств и оборудования, не включенных в другие группировки ****</t>
  </si>
  <si>
    <t>ЗА 3 ГОДА ПО 223 ФЗ заключено 14 шт. с объемом НМЦ 69 124 180,07 ? за 1 ГОД ПО 223ФЗ заключено 7  53 919 756,62 ?</t>
  </si>
  <si>
    <t>42.22.1 Сооружения коммунальные для электроснабжения и связи</t>
  </si>
  <si>
    <t>За весь период контрактов 9 шт. на общую сумму НМЦ 602 754 440,59 ?</t>
  </si>
  <si>
    <t>08.12 Гравий, песок, глины и каолин
08.12.11.130 Пески строительные</t>
  </si>
  <si>
    <t>За весь период компания заключила  11 контрактов на сумму  5 921 184 320,21 ?</t>
  </si>
  <si>
    <t>"223 за 3 года", "свод фт", ".", "06.2022_ФинХД", "лимит сит по кредитам", "производители", "рейтинг по нмц маркер", "на фт заводил Черненький ", "crm управления", "в crm за Черненьким", "поставщики маркер"</t>
  </si>
  <si>
    <t>За весь период заходили в конкурсы  7 раз на общую сумму обеспеченных контрактов с НМЦ 936 565 656,80 ? с БГУ  49 462 594,00 ? с БГИ 98 925 188,00 ? За 3 ГОДА по 44ФЗ заключено 3 шт. с объемом НМЦ  468 969 640,00 ? с БГИ 46 896 964,00 ? с БГГО 0,00 ? с авансированием до 0,00 ? с комиссией банку 303 224,21 ? с кв 2 638,05 ?</t>
  </si>
  <si>
    <t>"223 за 3 года", ".", "рейтинг поставщиков в маркере по бг", "все клиенты с выручкой от 1,8 млрд до бесконечности", "производители", "рейтинг по нмц маркер", "это заказчик", "44 за 3 года"</t>
  </si>
  <si>
    <t>68.20.12.000 Услуги по сдаче в аренду (внаем) собственных или арендованных нежилых помещений
10.91.10.186 Комбикорма для сельскохозяйственной птицы
36.00.20.130 Услуги по транспортированию и распределению воды по водопроводам</t>
  </si>
  <si>
    <t>1 572</t>
  </si>
  <si>
    <t>Сообщения о принятии решения о реорганизации от 03.09.2021</t>
  </si>
  <si>
    <t>"производители", ".", "райф", "рейтинг заказчиков маркер"</t>
  </si>
  <si>
    <t>"поставщики маркер", ".", "fk3", "06.2022_ФинХД", "ФК клиенты с выручкой от 230 до бесконечности", "Обороты по клиентам по кварталам (2022г)", "это заказчик"</t>
  </si>
  <si>
    <t>03.22.90.120 Услуги по искусственному воспроизводству пресноводных биоресурсов
10.20.13.122 Рыба морская мороженая (кроме сельди)
56.29.19.000 Услуги по обеспечению питанием, осуществляемые по договору, прочие</t>
  </si>
  <si>
    <t>Юридическое лицо находится в процессе реорганизации в форме присоединения к нему других юридических лиц от 16.05.2023</t>
  </si>
  <si>
    <t>27.11.41.000 Трансформаторы с жидким диэлектриком
27.12.10 Устройства для коммутации или защиты электрических цепей на напряжение более 1 кВ
19.20.21.315 Топливо дизельное летнее экологического класса К5
19.20.21.322 Топливо дизельное зимнее экологического класса К2
19.20.21.300 Топливо дизельное
19.20.21.325 Топливо дизельное зимнее экологического класса К5
19.20.28.100 Мазут
27.12.10.110 Выключатели, контакторы и реверсоры переменного тока высокого напряжения (выключатели силовые высоковольтные)
27.12 Аппаратура распределительная и регулирующая электрическая</t>
  </si>
  <si>
    <t>За весь период компания заключила  2 контрактов на сумму  3 516 930 433,60 ?</t>
  </si>
  <si>
    <t>Сообщение кредитора о намерении обратиться в суд с заявлением о банкротстве от 25.01.2023</t>
  </si>
  <si>
    <t>10.41.41.123 Шрот подсолнечный тостированный, полученный при экстракции подсолнечного масла
10.41.54.000 Масло подсолнечное и его фракции рафинированные, но не подвергнутые химической модификации
10.41.41.120 Жмых и остатки твердые прочие, полученные при экстракции подсолнечного масла</t>
  </si>
  <si>
    <t>1 829</t>
  </si>
  <si>
    <t>Заказчик разыгравший 8 конкурсов на сумму  553 547 423,63 ?</t>
  </si>
  <si>
    <t>37.00.11.110 Услуги по водоотведению сточных вод
35.30.12.110 Услуги по приготовлению воды на нужды горячего водоснабжения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25.30.12.115 Оборудование теплообменное
35.30.12.120 Услуги по приготовлению горячей воды с использованием нецентрализованных систем горячего водоснабжения
68.10.11.000 Услуги по покупке и продаже жилых зданий и занимаемых ими земельных участков
35.30.11.111 Энергия тепловая, отпущенная тепловыми электроцентралями (ТЭЦ)
35.30.11.110 Энергия тепловая, отпущенная электростанциями ****</t>
  </si>
  <si>
    <t>Заказчик разыгравший 164 конкурсов на сумму  26 299 814 638,26 ?</t>
  </si>
  <si>
    <t>Сообщение кредитора о намерении обратиться в суд с заявлением о банкротстве от 16.07.2021</t>
  </si>
  <si>
    <t>1 577</t>
  </si>
  <si>
    <t>На 25.04.2023 14:17 имеются действующие решения ФНС о приостановлении операций по счетам, Юридическим лицом принято решение об изменении места нахождения от 03.10.2022, Сообщение кредитора о намерении обратиться в суд с заявлением о банкротстве от 08.12.2022</t>
  </si>
  <si>
    <t>68.20 Услуги по сдаче в аренду (внаем) собственного или арендованного недвижимого имущества
28 Машины и оборудование, не включенные в другие группировки</t>
  </si>
  <si>
    <t>75.00.19.000 Услуги ветеринарные прочие
96.09.11.000 Услуги по уходу за домашними животными</t>
  </si>
  <si>
    <t>10.83.13.110 Чай зеленый (неферментированный) в упаковках массой не более 3 кг
10.83.15.000 Настои из трав
10.83.12.110 Заменители кофе
10.83.13.120 Чай черный (ферментированный) в упаковках массой не более 3 кг
47.19.1 Услуги по розничной торговле большим товарным ассортиментом с преобладанием непродовольственных товаров в неспециализированных магазинах
10.83 Чай и кофе обработанные
10.83.14.140 Продукты готовые на основе чая или мате
46.37 Услуги по оптовой торговле кофе, чаем, какао и пряностями
10.82.11.000 Какао-паста обезжиренная или необезжиренная
10.51.56.331 Продукты сухие молокосодержащие ****</t>
  </si>
  <si>
    <t>Сообщения о принятии решения о реорганизации от 26.01.2023</t>
  </si>
  <si>
    <t>1 561</t>
  </si>
  <si>
    <t>28.22.15 Автопогрузчики с вилочным захватом, прочие погрузчики; тягачи, используемые на платформах железнодорожных станций
77.39.19.113 Услуги по аренде и лизингу подъемно-транспортного оборудования
28.22.14.160 Краны-штабелеры
28.22.15.120 Погрузчики прочие
33.17 Услуги по ремонту и техническому обслуживанию прочих транспортных средств и оборудования
28.92.25 Погрузчики фронтальные одноковшовые самоходные
28.22.18.260 Машины подъемные для механизации складов, не включенные в другие группировки
28.22.18.390 Оборудование подъемно-транспортное и погрузочно-разгрузочное прочее, не включенное в другие группировки
28.22.15.110 Автопогрузчики с вилочным захватом
28.22.18.269 Машины подъемные для механизации складов прочие, не включенные в другие группировки ****</t>
  </si>
  <si>
    <t>19.20.21.124 Бензин автомобильный с октановым числом более 92, но не более 95 по исследовательскому методу экологического класса К4
19.20.21.321 Топливо дизельное зимнее вне классов
19.20.21.324 Топливо дизельное зимнее экологического класса К4
19.20.22.000 Топливо реактивное бензинового типа
19.20.21 Топливо моторное, включая автомобильный и авиационный бензин
19.20.21.100 Бензин автомобильный
19.20.21.310 Топливо дизельное летнее
19 Кокс и нефтепродукты
19.20.21.125 Бензин автомобильный с октановым числом более 92, но не более 95 по исследовательскому методу экологического класса К5
19.20.21.134 Бензин автомобильный с октановым числом более 95, но не более 98 по исследовательскому методу экологического класса К4 ****</t>
  </si>
  <si>
    <t>За весь период контрактов 4 шт. на общую сумму НМЦ 594 540 078,48 ?</t>
  </si>
  <si>
    <t>"223 за 3 года", ".", "рейтинг поставщиков в маркере по бг", "06.2022_ФинХД", "все клиенты с выручкой от 1,8 млрд до бесконечности", "Участники клиринга", "производители", "рейтинг по нмц маркер", "поставщики маркер", "44 за 3 года"</t>
  </si>
  <si>
    <t>20.59 Продукты химические прочие, не включенные в другие группировки
21.20.23.110 Реагенты диагностические
21.20.23.199 Средства нелечебные прочие
20.59.52.199 Реагенты сложные диагностические или лабораторные прочие, не включенные в другие группировки
22.19.71.190 Изделия из резины, кроме твердой резины (эбонита), гигиенические или фармацевтические прочие
20.20.14.000 Средства дезинфекционные
21.20.10.191 Препараты антибактериальные для системного использования
20.12.24.120 Вещества неорганические, применяемые в качестве люминофоров
21.20.2 Препараты лекарственные прочие и материалы, применяемые в медицинских целях
32.50.1 Инструменты и приспособления хирургические и стоматологические ****</t>
  </si>
  <si>
    <t>За весь период компания заключила  5 контрактов на сумму  918 427 916,77 ? За весь период заходили в конкурсы  17 раз на общую сумму обеспеченных контрактов с НМЦ 3 112 545 614,27 ? с БГУ  222 009 870,77 ? с БГИ 3 125 147 277,07 ?</t>
  </si>
  <si>
    <t>14.39.10.130 Кардиганы трикотажные или вязаные</t>
  </si>
  <si>
    <t>10.51.22.112 Молоко сухое цельное, от 26,0 % до 41,9 % жирности
10.51.2 Молоко и сливки сухие, сублимированные
10.51.22.111 Молоко сухое частично обезжиренное, от более 1,5 % до менее 26,0 % жирности
10.51.40.121 Сыры полутвердые без вкусовых наполнителей
10.11.31.110 Говядина замороженная
10.51.30.100 Масло сливочное
10.51.40.120 Сыры полутвердые</t>
  </si>
  <si>
    <t>"223 за 3 года", ".", "ПОС на 01.02.2023", "ПОС на 03.04.2023", "Кредитный портфель_01.11", "06.2022_ФинХД", "клиенты с в от100млн 09.21", "все клиенты с выручкой от 1,8 млрд до бесконечности", "ФК клиенты с выручкой от 230 до бесконечности", "клиенты от 100 млн", "Обороты по клиентам по кварталам (2022г)", "Одобренные но не выданные 1 полугодие 2021", "производители", "это заказчик", "поставщики маркер"</t>
  </si>
  <si>
    <t>"ФК клиенты с выручкой от 230 до бесконечности", ".", "fk3", "Пункт 3.1 09.01.2023", "клиенты с в от100млн 09.21"</t>
  </si>
  <si>
    <t>64.91 Услуги по финансовой аренде (лизингу/сублизингу)
64.91.10.190 Услуги по финансовой аренде (лизингу/сублизингу) в прочих областях, кроме племенных животных</t>
  </si>
  <si>
    <t>За весь период компания заключила  5 контрактов на сумму  4 335 378 560,95 ?                                     ЗА 3 ГОДА ПО 223 ФЗ заключено 1 шт. с объемом НМЦ 500 000 000,00 ?</t>
  </si>
  <si>
    <t>Сообщение кредитора о намерении обратиться в суд с заявлением о банкротстве от 01.07.2019</t>
  </si>
  <si>
    <t>"все клиенты с выручкой от 1,8 млрд до бесконечности", ".", "райф", "ушедшие"</t>
  </si>
  <si>
    <t>"лимит сит по кредитам", ".", "Пустые_Ушедшие_Клиенты"</t>
  </si>
  <si>
    <t>"223 за 3 года", ".", "fk3", "все клиенты с выручкой от 1,8 млрд до бесконечности", "производители"</t>
  </si>
  <si>
    <t>37.00.11.110 Услуги по водоотведению сточных вод
35.14 Услуги по торговле электроэнергией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35.30.12.110 Услуги по приготовлению воды на нужды горячего водоснабжения
36.00.30.000 Услуги по торговле водой, поставляемой по трубопроводам
35.30.11.120 Энергия тепловая, отпущенная котельными
35.30.12.130 Услуги по транспортированию горячей воды
35.30.12.140 Услуги по подключению (технологическому присоединению) к централизованной системе горячего водоснабжения
35.30.12.120 Услуги по приготовлению горячей воды с использованием нецентрализованных систем горячего водоснабжения
37.00.11.130 Услуги по подключению (технологическому присоединению) к централизованной системе водоотведения ****</t>
  </si>
  <si>
    <t>За весь период компания заключила  1 контрактов на сумму  574 160 293,00 ?</t>
  </si>
  <si>
    <t>77.1 Услуги по аренде и лизингу автотранспортных средств
49.41 Услуги по грузовым перевозкам автомобильным транспортом</t>
  </si>
  <si>
    <t>3 023</t>
  </si>
  <si>
    <t>За весь период компания заключила  20 контрактов на сумму  1 303 102 621,66 ?</t>
  </si>
  <si>
    <t>19.20.21.124 Бензин автомобильный с октановым числом более 92, но не более 95 по исследовательскому методу экологического класса К4
19.20.2 Топливо жидкое и газообразное; масла смазочные
19.20.21.300 Топливо дизельное
19.20.21.314 Топливо дизельное летнее экологического класса К4</t>
  </si>
  <si>
    <t>Кредитный портфель_01.3624</t>
  </si>
  <si>
    <t>10.73.1 Изделия макаронные, кускус и аналогичные мучные изделия
10.73.11 Изделия макаронные и аналогичные мучные изделия</t>
  </si>
  <si>
    <t>45.31.1 Услуги по оптовой торговле автомобильными деталями, узлами и принадлежностями
28.22.15.120 Погрузчики прочие
28.30.23 Тракторы с мощностью двигателя более 59 кВт
77.1 Услуги по аренде и лизингу автотранспортных средств
28.30.23.110 Тракторы сельскохозяйственные колесные с мощностью двигателя более 59 кВт
45.20 Услуги по техническому обслуживанию и ремонту автотранспортных средств
28.92.25.000 Погрузчики фронтальные одноковшовые самоходные</t>
  </si>
  <si>
    <t>10.82.22.121 Изделия шоколадные с начинкой
10.82.23.149 Конфеты, глазированные помадой, сахарной и жировой глазурью и неглазированные прочие, не включенные в другие группировки
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10.82.23.171 Мармелад фруктово-ягодный
46.36.1 Услуги по оптовой торговле сахаром, шоколадом и сахаристыми кондитерскими изделиями
46.36.13.000 Услуги по оптовой торговле шоколадом и сахаристыми кондитерскими изделиями
10.72.12.112 Пряники
10.82 Какао, шоколад и изделия кондитерские сахаристые
10.82.2 Шоколад и кондитерские сахаристые изделия ****</t>
  </si>
  <si>
    <t>Сообщения о принятии решения о реорганизации от 27.09.2021</t>
  </si>
  <si>
    <t>20.16.10.190 Полимеры этилена в первичных формах прочие
17.29 Изделия из бумаги и картона прочие
17.12 Бумага и картон
20.16.51 Полимеры пропилена и прочих олефинов в первичных формах
20.16.10.119 Полиэтилен прочий</t>
  </si>
  <si>
    <t>Сообщения о принятии решения о реорганизации от 24.08.2021</t>
  </si>
  <si>
    <t>20.41.32.121 Порошки стиральные
20.41.44.190 Средства чистящие прочие
20.41.31.113 Мыло туалетное марки "Детское"
20.41.32.119 Средства моющие прочие
20.41.32.125 Средства отбеливающие для стирки
20.41.31.121 Мыло хозяйственное I группы
20.41.44.120 Порошки чистящие
20.41.31.119 Мыло туалетное твердое прочее
20.41.32.111 Средства для мытья посуды
20 Вещества химические и продукты химические</t>
  </si>
  <si>
    <t>69.1 Услуги юридические
70.22.40.000 Знаки товарные и франшизы
69.10.15.000 Услуги юридические, касающиеся патентов, авторских прав и прочих прав интеллектуальной собственности
69.10.19.000 Услуги юридические прочие</t>
  </si>
  <si>
    <t>"223 за 3 года", ".", "fk3", "все клиенты с выручкой от 1,8 млрд до бесконечности", "поставщики маркер"</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</si>
  <si>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35.12.10.120 Услуги по технологическому присоединению к распределительным электросетям
49.41.20.000 Услуги по аренде грузовых транспортных средств с водителем
35.12.10 Услуги по передаче электроэнергии и технологическому присоединению к распределительным электросетям
43.21.10.290 Работы электромонтажные прочие, не включенные в другие группировки
42.22.22 Работы строительные по прокладке местных линий электропередачи и связи</t>
  </si>
  <si>
    <t>За весь период компания заключила  5 контрактов на сумму  11 862 339 753,23 ?</t>
  </si>
  <si>
    <t>52.29.19.110 Услуги по экспедированию грузов
51.21.1 Услуги по перевозке грузов воздушным транспортом
49.41.11.000 Услуги по перевозке автомобильным транспортом грузов в автофургонах-рефрижераторах
51.21.13.000 Услуги по перевозке прочих грузов воздушным транспортом на регулярной основе
49.20.14 Услуги железнодорожного транспорта по перевозке контейнеров для смешанной перевозки
49.41.1 Услуги по грузовым перевозкам автомобильным транспортом</t>
  </si>
  <si>
    <t>20.16 Пластмассы в первичных формах
20.16.20.129 Сополимеры стирола в первичных формах прочие
20.17.10.190 Каучуки синтетические прочие
17.11.11.000 Целлюлоза древесная, растворимые сорта
20.16.10.120 Сополимеры этилена с винилацетатом в первичных формах
20.16.51.110 Полимеры пропилена в первичных формах
20.17.10 Каучуки синтетические в первичных формах</t>
  </si>
  <si>
    <t>ПОС на 03.04.5121</t>
  </si>
  <si>
    <t>"223 за 3 года", ".", "fk3", "ПОС на 03.04.2023", "06.2022_ФинХД", "все клиенты с выручкой от 1,8 млрд до бесконечности", "рейтинг по нмц маркер", "поставщики маркер"</t>
  </si>
  <si>
    <t>10.12.20.110 Мясо кур, в том числе цыплят (включая цыплят-бройлеров) замороженное
10.20.13.122 Рыба морская мороженая (кроме сельди)
10.51.11.120 Молоко питьевое ультрапастеризованное (ультравысокотемпературно-обработанное)</t>
  </si>
  <si>
    <t>За весь период заходили в конкурсы  1 раз на общую сумму обеспеченных контрактов с НМЦ 48 004 059,00 ? с БГУ  2 565 630,00 ? с БГИ 5 131 260,00 ?</t>
  </si>
  <si>
    <t>28.21.11.111 Горелки газовые</t>
  </si>
  <si>
    <t>клиент ФК</t>
  </si>
  <si>
    <t>"поставщики маркер", ".", "рейтинг поставщиков в маркере по бг", "Агентские одобренные но не выданные от 30.08", "Действующий клиент мсб с выр от 30 млн на 05.21", "ФК клиенты с выручкой 80-230 млн ", "рейтинг по нмц маркер"</t>
  </si>
  <si>
    <t>"Обороты по клиентам по кварталам (2022г)", ".", "fk3", "ПОС на 01.02.2023", "ПОС на 03.04.2023", "все клиенты с выручкой от 1,8 млрд до бесконечности", "ФК клиенты с выручкой от 230 до бесконечности"</t>
  </si>
  <si>
    <t>51.10.12 Услуги по нерегулярным пассажирским перевозкам воздушным транспортом на местных линиях, кроме услуг по осмотру достопримечательностей с воздуха
51 Услуги воздушного и космического транспорта
51.21.14.000 Услуги по перевозке прочих грузов воздушным транспортом на нерегулярной основе
51.10.11.000 Услуги по регулярным пассажирским перевозкам воздушным транспортом на местных линиях
51.10.20.000 Услуги по аренде пассажирских воздушных судов с экипажем</t>
  </si>
  <si>
    <t>За 3 года по 223ФЗ заключено  1 шт контрактов на сумму 282 421 191,60 ?</t>
  </si>
  <si>
    <t>"223 за 3 года", ".", "рейтинг по нмц маркер", "crm управления", "в crm за Шаклейном ", "поставщики маркер", "44 за 3 года"</t>
  </si>
  <si>
    <t>52.23.19.113 Работы лесоавиационные
52.23.19.119 Работы авиационные прочие
51.10.2 Услуги по аренде пассажирских воздушных судов с экипажем
51.21 Услуги по перевозке грузов воздушным транспортом
51.21.20.110 Услуги по аренде грузовых самолетов с экипажем
51 Услуги воздушного и космического транспорта
51.1 Услуги по пассажирским перевозкам воздушным транспортом
51.10.12.000 Услуги по нерегулярным пассажирским перевозкам воздушным транспортом на местных линиях, кроме услуг по осмотру достопримечательностей с воздуха
51.21.14.000 Услуги по перевозке прочих грузов воздушным транспортом на нерегулярной основе
52.23.19.115 Работы с целью оказания медицинской помощи ****</t>
  </si>
  <si>
    <t>За весь период компания заключила  66 контрактов на сумму  54 915 243 187,71 ? За весь период заходили в конкурсы  112 раз на общую сумму обеспеченных контрактов с НМЦ 11 991 190 148,72 ? с БГУ  453 803 249,99 ? с БГИ 2 280 700 554,07 ? За 3 ГОДА по 44ФЗ заключено 139 шт. с объемом НМЦ  5 376 269 165,60 ? с БГИ 775 072 155,78 ? с БГГО 32 462 758,67 ? с авансированием до 5 574 019,77 ? с комиссией банку 27 642 535,89 ? с кв 240 490,06 ? ЗА 1 ГОД по 44ФЗ заключено 46 шт. c объемом НМЦ 1 524 806 689,57 ? с БГИ 135 945 526,51 ? с БГГО 0,00 ? с авансированием до  0,00 ? с комиссией банку  2 734 443,19 ? с кв 23 789,66 ? ЗА 3 ГОДА ПО 223 ФЗ заключено 23 шт. с объемом НМЦ 843 404 026,39 ? за 1 ГОД ПО 223ФЗ заключено 4  27 255 302,40 ?</t>
  </si>
  <si>
    <t>Сообщение кредитора о намерении обратиться в суд с заявлением о банкротстве от 04.12.2019</t>
  </si>
  <si>
    <t>"223 за 3 года", ".", "рейтинг поставщиков в маркере по бг", "Участники клиринга", "44 фз с с БГ от 10 млн", "рейтинг по нмц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</si>
  <si>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71.12.40.120 Услуги в области метрологии
71.20.1 Услуги в области технических испытаний, исследований и анализа
33.16.10.000 Услуги по ремонту и техническому обслуживанию летательных и космических аппаратов
35.30.11.120 Энергия тепловая, отпущенная котельными
30.30.60 Услуги по капитальному ремонту и модернизации (переоборудованию) летательных аппаратов и двигателей летательных аппаратов
30.30.50.110 Комплектующие (запасные части) летательных аппаратов, не имеющие самостоятельных группировок
30.30.60.130 Услуги по восстановлению вертолетов
30.30.60.190 Услуги по капитальному ремонту и модернизации (переоборудованию) летательных аппаратов и двигателей летательных аппаратов прочие, не включенные в другие группировки
68.20.12.000 Услуги по сдаче в аренду (внаем) собственных или арендованных нежилых помещений ****</t>
  </si>
  <si>
    <t>ЗА 3 ГОДА ПО 223 ФЗ заключено 8 шт. с объемом НМЦ 31 144 796,23 ?</t>
  </si>
  <si>
    <t>25.30.12.113 Оборудование котельное
68.10.14.000 Услуги по покупке и продаже нежилых зданий и занимаемых ими земельных участков
77.39.19.119 Услуги по аренде и лизингу прочих машин и оборудования научного и промышленного назначения
77.39.19.117 Услуги по аренде и лизингу торгового оборудования
77.39.11 Услуги по аренде и лизингу железнодорожных транспортных средств
35.12.10.120 Услуги по технологическому присоединению к распределительным электросетям
35.30.11.120 Энергия тепловая, отпущенная котельными
77.39.19.115 Услуги по аренде и лизингу контрольно-измерительной аппаратуры
68.10.11.000 Услуги по покупке и продаже жилых зданий и занимаемых ими земельных участков
77.39.19.110 Услуги по аренде и лизингу прочих машин и оборудования без оператора, не включенных в другие группировки ****</t>
  </si>
  <si>
    <t>За весь период компания заключила  7 контрактов на сумму  14 545 287 619,98 ?         За 3 ГОДА по 44ФЗ заключено 6 шт. с объемом НМЦ  60 054 013,14 ? с БГИ 3 002 700,66 ? с БГГО 95 529,47 ? с авансированием до 0,00 ? с комиссией банку 251 817,27 ? с кв 2 190,81 ?</t>
  </si>
  <si>
    <t>Сообщения о принятии решения о реорганизации от 05.07.2022</t>
  </si>
  <si>
    <t>"223 за 3 года", ".", "все клиенты с выручкой от 1,8 млрд до бесконечности", "рейтинг заказчиков маркер", "производители", "рейтинг по нмц маркер", "44 за 3 года"</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</si>
  <si>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35.30.11.130 Энергия тепловая, отпущенная электрокотлами
35.30.12.110 Услуги по приготовлению воды на нужды горячего водоснабжения
35.11.10 Электроэнергия
35.12.10.120 Услуги по технологическому присоединению к распределительным электросетям
35.13.10.000 Услуги по распределению электроэнергии ****</t>
  </si>
  <si>
    <t>ЗА 3 ГОДА ПО 223 ФЗ заключено 8 шт. с объемом НМЦ 31 607 200,00 ? за 1 ГОД ПО 223ФЗ заключено 8  23 968 170,00 ?</t>
  </si>
  <si>
    <t>Сообщения о принятии решения о реорганизации от 05.06.2015</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</si>
  <si>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42.21.12 Трубопроводы местные для жидкостей и газа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35.30.12.110 Услуги по приготовлению воды на нужды горячего водоснабжения
36.00.11 Вода питьевая
36.00.20.110 Услуги по очистке и подготовке воды для водоснабжения
36.00.20.120 Услуги по обработке воды для промышленных и прочих нужд
36.00.30.000 Услуги по торговле водой, поставляемой по трубопроводам
35.30.11.120 Энергия тепловая, отпущенная котельными ****</t>
  </si>
  <si>
    <t>1 670</t>
  </si>
  <si>
    <t>Заказчик разыгравший 68 конкурсов на сумму  12 141 118 489,44 ?</t>
  </si>
  <si>
    <t>За весь период компания заключила  1 контрактов на сумму  2 452 870 545,36 ?</t>
  </si>
  <si>
    <t>"поставщики маркер", ".", "беники", "рейтинг заказчиков маркер", "рейтинг по нмц маркер", "это заказчик"</t>
  </si>
  <si>
    <t>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43.11.10.000 Работы по сносу зданий и сооружений
39.00.22.000 Услуги по рекультивации прочие</t>
  </si>
  <si>
    <t>За весь период компания заключила  9 контрактов на сумму  9 766 898 226,43 ? За весь период заходили в конкурсы  13 раз на общую сумму обеспеченных контрактов с НМЦ 10 134 382 080,33 ? с БГУ  218 250 192,22 ? с БГИ 3 091 239 477,54 ? За 3 ГОДА по 44ФЗ заключено 8 шт. с объемом НМЦ  4 896 386 054,62 ? с БГИ 489 638 605,47 ? с БГГО 592 794,54 ? с авансированием до 489 638 605,46 ? с комиссией банку 17 926 402,45 ? с кв 155 959,70 ? ЗА 1 ГОД по 44ФЗ заключено 3 шт. c объемом НМЦ 2 114 375 442,80 ? с БГИ 211 437 544,29 ? с БГГО 0,00 ? с авансированием до  211 437 544,28 ? с комиссией банку  5 823 051,63 ? с кв 50 660,55 ?</t>
  </si>
  <si>
    <t>Сообщение кредитора о намерении обратиться в суд с заявлением о банкротстве от 07.12.2021</t>
  </si>
  <si>
    <t>"44 за 3 года", ".", "рейтинг поставщиков в маркере по бг", "ГРАНДИОЗНЫЙ ПРОЕКТ", "Конкурсы 100+ (Восстановленный)", "Пункт 3 09.01.23", "44 фз с с БГ от 10 млн", "рейтинг по нмц маркер", "поставщики маркер"</t>
  </si>
  <si>
    <t>10.51.11.110 Молоко питьевое пастеризованное
10.51.11.111 Молоко питьевое коровье пастеризованное</t>
  </si>
  <si>
    <t>49.20 Услуги железнодорожного транспорта по перевозке грузов
52.21.1 Услуги, связанные с железнодорожным транспортом
42.12.20.150 Услуги по реконструкции или ремонту железнодорожных путей
68.20.12.000 Услуги по сдаче в аренду (внаем) собственных или арендованных нежилых помещений
30.20.32 Вагоны железнодорожные или трамвайные пассажирские немоторные; вагоны багажные и прочие вагоны специального назначения
33.12.29 Услуги по ремонту и техническому обслуживанию прочего оборудования специального назначения</t>
  </si>
  <si>
    <t>За весь период компания заключила  4 контрактов на сумму  3 632 077 084,09 ?</t>
  </si>
  <si>
    <t>1 380</t>
  </si>
  <si>
    <t>"поставщики маркер", ".", "беники", "производители"</t>
  </si>
  <si>
    <t>"производители", ".", "fk3", "все клиенты с выручкой от 1,8 млрд до бесконечности"</t>
  </si>
  <si>
    <t>69.20.10.000 Услуги по проведению финансового аудита
72.19.50.000 Работы оригинальные научных исследований и экспериментальных разработок в области естественных и технических наук, кроме биотехнологии
73.20.19.000 Услуги по исследованию конъюнктуры рынка прочие
70.22.11 Услуги консультативные по вопросам стратегического управления
73.20.14 Услуги по исследованию конъюнктуры рынка, кроме опросов
73.20.1 Услуги по исследованию конъюнктуры рынка и аналогичные услуги
70.2 Услуги консультативные по вопросам управления
70.22.13 Услуги консультативные по вопросам управления маркетингом
74 Услуги профессиональные, научные и технические, прочие
70.10.10.190 Услуги по управлению прочими подразделениями ****</t>
  </si>
  <si>
    <t>За весь период контрактов 24 шт. на общую сумму НМЦ 3 085 973 878,65 ?</t>
  </si>
  <si>
    <t>"поставщики маркер", ".", "ушедший портфель", "ИНН 3 года - нет КД БГ на 01.10.22", "Список ушедший ", "06.2022_ФинХД", "клиенты с в от100млн 09.21", "все клиенты с выручкой от 1,8 млрд до бесконечности", "ФК клиенты с выручкой от 230 до бесконечности", "клиенты от 100 млн", "производители"</t>
  </si>
  <si>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
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35.11.10.143 Электроэнергия, произведенная геотермальными электростанциями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35.30.12.110 Услуги по приготовлению воды на нужды горячего водоснабжения ****</t>
  </si>
  <si>
    <t>За весь период контрактов 34 шт. на общую сумму НМЦ 16 613 367 957,23 ?</t>
  </si>
  <si>
    <t>42.11.10.120 Дороги автомобильные, в том числе улично-дорожная сеть, и прочие автомобильные и пешеходные дороги
42.11.10.122 Дорога автомобильная с усовершенствованным облегченным или переходным типом дорожного покрытия</t>
  </si>
  <si>
    <t>1 037</t>
  </si>
  <si>
    <t>За весь период контрактов 2 шт. на общую сумму НМЦ 1 635 966 030,73 ?</t>
  </si>
  <si>
    <t>"44 за 3 года", ".", "рейтинг поставщиков в маркере по бг", "ГРАНДИОЗНЫЙ ПРОЕКТ", "Конкурсы 100+ (Восстановленный)", "fk3", "Действующий клиент мсб с выр от 30 млн на 05.21", "все клиенты с выручкой от 1,8 млрд до бесконечности", "ФК клиенты с выручкой от 230 до бесконечности", "44 фз с с БГ от 10 млн", "производители", "рейтинг по нмц маркер", "поставщики маркер"</t>
  </si>
  <si>
    <t>37.00.11.110 Услуги по водоотведению сточных вод
30.11.21.120 Суда речные пассажирские
23.51.12.111 Портландцемент без минеральных добавок
41.20.10.110 Здания жилые общего назначения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35.30.11.130 Энергия тепловая, отпущенная электрокотлами
35.30.12.110 Услуги по приготовлению воды на нужды горячего водоснабжения
08.12.22.119 Глины прочие, не включенные в другие группировки
36.00.20.110 Услуги по очистке и подготовке воды для водоснабжения
36.00.20.120 Услуги по обработке воды для промышленных и прочих нужд ****</t>
  </si>
  <si>
    <t>За весь период контрактов 3 шт. на общую сумму НМЦ 2 565 143 139,46 ?</t>
  </si>
  <si>
    <t>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55.90.12.000 Услуги по предоставлению временного жилья для рабочих в рабочих общежитиях или лагерях</t>
  </si>
  <si>
    <t>Заказчик разыгравший 27 конкурсов на сумму  5 439 448 151,47 ?</t>
  </si>
  <si>
    <t>46.71 Услуги по оптовой торговле твердым, жидким и газообразным топливом и связанными продуктами
19.20.21.100 Бензин автомобильный
46.71.13 Услуги по оптовой торговле прочим жидким и газообразным топливом и подобными продуктами
05.10 Уголь
19.20.21.125 Бензин автомобильный с октановым числом более 92, но не более 95 по исследовательскому методу экологического класса К5
19.20.21.135 Бензин автомобильный с октановым числом более 95, но не более 98 по исследовательскому методу экологического класса К5
19.20.21.320 Топливо дизельное зимнее
19.20.2 Топливо жидкое и газообразное; масла смазочные
19.20.21.115 Бензин автомобильный с октановым числом не менее 80, но не более 92 по исследовательскому методу экологического класса К5
19.20.21.300 Топливо дизельное ****</t>
  </si>
  <si>
    <t>За весь период контрактов 11 шт. на общую сумму НМЦ 23 386 128 140,55 ?
За весь период контрактов 1 шт. на общую сумму НМЦ 1 446 503 373,70 ?</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</si>
  <si>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43.12.11.120 Работы по подготовке строительного участка для последующих строительных работ, включая буровзрывные работы и работы по удалению скальных пород
46.19.10.000 Услуги по оптовой торговле универсальным ассортиментом товаров за вознаграждение или на договорной основе
08.12.11.130 Пески строительные
43.29.19.190 Работы монтажные прочие, не включенные в другие группировки
42.11.10.150 Дороги подъездные, транспортные и пешеходные путепроводы над и под дорогой, велосипедные дорожки
43.12.12.000 Работы по отрывке и перемещению грунта
42.11.10.129 Дороги автомобильные, в том числе улично-дорожная сеть, и прочие автомобильные и пешеходные дороги, не включенные в другие группировки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</si>
  <si>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1 708</t>
  </si>
  <si>
    <t>Заявка отозвана клиентом;Отклонена банком
Отклонена ФО
Отклонена банком</t>
  </si>
  <si>
    <t>"223 за 3 года", "свод фт", ".", "рейтинг поставщиков в маркере по бг", "fk3", "кредиты фт", "просрочка на 01.01.2023 г.", "Запрос в ЮД_просрочка на 01.01.2023", "клиенты с в от100млн 09.21", "лимит сит по кредитам", "Действующий клиент мсб с выр от 30 млн на 05.21", "все клиенты с выручкой от 1,8 млрд до бесконечности", "ФК клиенты с выручкой от 230 до бесконечности", "Обороты по клиентам по кварталам (2022г)", "рейтинг заказчиков маркер", "рейтинг по нмц маркер", "это заказчик", "на фт заводил Шутов", "на фт заводил Бесков", "поставщики маркер"</t>
  </si>
  <si>
    <t>37.00.11.110 Услуги по водоотведению сточных вод
37.00.11.150 Услуги по техническому обслуживанию и очистке систем водоотведения и дренажных труб, включая арматуру систем водоотведения
35.11.10.112 Электроэнергия, произведенная теплоэлектроцентралями (ТЭЦ) общего назначения
36.00.20.140 Услуги по техническому обслуживанию приборов учета расхода воды
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35.22.10.110 Услуги по распределению и снабжению газовым топливом всех видов по системам распределительных трубопроводов
35.3 Услуги по снабжению паром и кондиционированию воздуха ****</t>
  </si>
  <si>
    <t>За весь период контрактов 7 шт. на общую сумму НМЦ 392 938 470,64 ?</t>
  </si>
  <si>
    <t>Юридическое лицо находится в процессе реорганизации в форме выделения от 23.04.2021, Сообщение кредитора о намерении обратиться в суд с заявлением о банкротстве от 10.02.2023</t>
  </si>
  <si>
    <t>"223 за 3 года", ".", "рейтинг поставщиков в маркере по бг", "все клиенты с выручкой от 1,8 млрд до бесконечности", "Участники клиринга", "рейтинг заказчиков маркер", "рейтинг по нмц маркер", "это заказчик", "поставщики маркер", "44 за 3 года"</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</si>
  <si>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42.91.20.120 Работы строительные по строительству плотин и дамб, включая ремонт
42.91.20 Работы строительные по строительству береговых и портовых сооружений, плотин, шлюзов и связанных гидромеханических сооружений
42.11.10.129 Дороги автомобильные, в том числе улично-дорожная сеть, и прочие автомобильные и пешеходные дороги, не включенные в другие группировки
71.12.12.190 Услуги по инженерно-техническому проектированию зданий прочие, не включенные в другие группировки
71.12.14.100 Услуги по инженерно-техническому проектированию тоннелей, автомагистралей, улиц, транспортных развязок и подобных объектов, кроме объектов культурного наследия</t>
  </si>
  <si>
    <t>4 746</t>
  </si>
  <si>
    <t>За весь период контрактов 12 шт. на общую сумму НМЦ 15 966 133 023,01 ?</t>
  </si>
  <si>
    <t>"поставщики маркер", ".", "рейтинг поставщиков в маркере по бг", "все клиенты с выручкой от 1,8 млрд до бесконечности", "рейтинг по нмц маркер", "это заказчик", "на фт заводил Завистнов "</t>
  </si>
  <si>
    <t>2 025</t>
  </si>
  <si>
    <t>Сообщения о принятии решения о реорганизации от 15.06.2020</t>
  </si>
  <si>
    <t>79.90.39.110 Услуги по бронированию билетов на культурно-развлекательные мероприятия
64.19.30.000 Услуги по посредничеству в денежно-кредитной сфере прочие, не включенные в другие группировки
90.04.10.110 Услуги концертных залов, театров, оперных зданий, мюзик-холлов, включая услуги билетных касс
73.11.12.000 Услуги по прямому маркетингу и прямой почтовой рекламе
63.11.13.000 Услуги по предоставлению программного обеспечения без его размещения на компьютерном оборудовании пользователя</t>
  </si>
  <si>
    <t>За 3 года по 223ФЗ заключено  1 шт контрактов на сумму 30 000 000,00 ?</t>
  </si>
  <si>
    <t>73.12.1 Услуги по продаже места для рекламы за вознаграждение или на договорной основе
73.1 Услуги рекламные
63.91.12.000 Услуги информационных агентств, предоставляемые аудиовизуальным средствам массовой информации
62.01 Продукты программные и услуги по разработке и тестированию программного обеспечения
73.11.1 Услуги, предоставляемые рекламными агентствами
73.11.11.000 Набор рекламных услуг полный
63.11.12.000 Услуги по размещению в информационно-коммуникационной сети Интернет
73.11.19.000 Услуги рекламные прочие
58.29.14.000 Средства разработки инструментальные и программное обеспечение языков программирования на электронном носителе
62.0 Продукты программные и услуги по разработке программного обеспечения; консультационные и аналогичные услуги в области информационных технологий ****</t>
  </si>
  <si>
    <t>За 3 года по 223ФЗ заключено  15 шт контрактов на сумму 49 866 805,00 ?</t>
  </si>
  <si>
    <t>"223 за 3 года", ".", "беники", "fk3", "все клиенты с выручкой от 1,8 млрд до бесконечности", "223 фз контракты 20+", "производители", "рейтинг по нмц маркер", "это заказчик", "поставщики маркер"</t>
  </si>
  <si>
    <t>2 191</t>
  </si>
  <si>
    <t>63.11.1 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t>
  </si>
  <si>
    <t>49.32.1 Услуги легкового такси
49.39.1 Услуги по регулярным перевозкам пассажиров сухопутным транспортом в междугородном и международном сообщениях, кроме железнодорожного транспорта, а также специальные перевозки (для собственных нужд)
49.32.12.000 Услуги по аренде легковых автомобилей с водителем
49.39.39.000 Услуги по перевозке пассажиров сухопутным транспортом прочие, не включенные в другие группировки
49.39.3 Услуги по перевозке пассажиров сухопутным транспортом по заказам
49.32 Услуги легкового такси и арендованных легковых автомобилей с водителем
49.3 Услуги сухопутного пассажирского транспорта прочие
49.32.12 Услуги арендованных легковых автомобилей с водителем</t>
  </si>
  <si>
    <t>За весь период контрактов 2 шт. на общую сумму НМЦ 1 648 727 022,00 ?</t>
  </si>
  <si>
    <t>Сообщения о принятии решения о реорганизации от 17.12.2021</t>
  </si>
  <si>
    <t>10.51.11.190 Молоко прочее, не включенное в другие группировки
10.51.52.140 Кефир
10.41.41.112 Жмых и остатки кормовые твердые прочие, полученные при экстракции соевого масла
10.51.11.141 Молоко питьевое коровье стерилизованное
10.51.52.213 Сметана от 23,0 % до 28,0 % жирности
10.51.56.321 Творожные и сметанные продукты, желе, соусы, кремы, пудинги, муссы, пасты, суфле молокосодержащие
10.12.20.110 Мясо кур, в том числе цыплят (включая цыплят-бройлеров) замороженное
10.51.30.113 Масло сливочное подсырное
10.51.40.131 Сыры твердые без вкусовых наполнителей
10.51.56.152 Сырки творожные ****</t>
  </si>
  <si>
    <t>За 3 года по 223ФЗ заключено  20 шт контрактов на сумму 177 097 890,82 ?</t>
  </si>
  <si>
    <t>"223 за 3 года", ".", "223 фз контракты 20+", "производители", "crm управления", "в crm за Чимровым", "поставщики маркер", "44 за 3 года"</t>
  </si>
  <si>
    <t>35.11.10.112 Электроэнергия, произведенная теплоэлектроцентралями (ТЭЦ) общего назначения
35.11.10.117 Электроэнергия, произведенная гидроаккумулирующими электростанциями (ГАЭС) общего назначения
35.14 Услуги по торговле электроэнергией
35.11.10.110 Электроэнергия, произведенная электростанциями общего назначения
35.11.10.122 Электроэнергия, произведенная блок-станциями теплоэлектроцентралей (ТЭЦ)
35.11.10.130 Электроэнергия, произведенная локальными электростанциями (не работающими в энергосистеме)
35.30.12.110 Услуги по приготовлению воды на нужды горячего водоснабжения
35.11.10 Электроэнергия
35.11.10.121 Электроэнергия, произведенная блок-станциями конденсационных электростанций (КЭС)
35.11.10.140 Электроэнергия от возобновляемых источников энергии ****</t>
  </si>
  <si>
    <t>Отклонена банком
Отправлена клиенту</t>
  </si>
  <si>
    <t>Сообщение должника о намерении обратиться в суд с заявлением о банкротстве от 28.12.2018</t>
  </si>
  <si>
    <t>"223 за 3 года", "свод фт", ".", "кредиты фт", "лимит сит по кредитам", "все клиенты с выручкой от 1,8 млрд до бесконечности", "рейтинг заказчиков маркер", "рейтинг по нмц маркер", "это заказчик", "на фт заводил Середин", "поставщики маркер"</t>
  </si>
  <si>
    <t>Заказчик разыгравший 26 конкурсов на сумму  7 222 061 404,89 ?</t>
  </si>
  <si>
    <t>43.21.10.220 Работы по монтажу систем освещения и сигнализации автомобильных дорог, аэропортов и портов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42.11.10.151 Дорога подъездная
42.99.12.124 Территории парковые и парки для отдыха
42.11.10.110 Автомагистрали, кроме надземных автодорог (эстакад)
42.11.10.120 Дороги автомобильные, в том числе улично-дорожная сеть, и прочие автомобильные и пешеходные дороги
42.99.22.210 Работы по сохранению и воссозданию плоскостных сооружений стадионов, площадок для спортивных игр на открытом воздухе, являющихся объектами культурного наследия
43.29.12.110 Работы по установке оград, заборов, защитных перильных и аналогичных ограждений
42.11.10.159 Дороги подъездные, транспортные и пешеходные путепроводы над и под дорогой, велосипедные дорожки прочие ****</t>
  </si>
  <si>
    <t>Гарантия отправлена;Заявка взята на рассмотрение;Заявка отозвана клиентом
Заявка отозвана
Рассматривается банком</t>
  </si>
  <si>
    <t>Сообщения о принятии решения о ликвидации от 07.12.2020</t>
  </si>
  <si>
    <t>"44 за 3 года", "кл фт агент бг 04.22", "свод фт", ".", "рейтинг поставщиков в маркере по бг", "Рассрочка КВ Март 2023", "УПП на 2 номер", "fk3", "клиенты управления по БГ без открытых счетов", "Премия 4 кв 22 г.бг", "ПСБ Гарантии ", "ушедшие", "Пустые_Ушедшие_Клиенты", "лимит сит по кредитам", "все клиенты с выручкой от 1,8 млрд до бесконечности", "действующие б не прям", "Одобренные но не выданные 1 полугодие 2021", "ФТ клиенты с продуктами по сотрудникам", "БизФин", "44 фз с с БГ от 10 млн", "рейтинг заказчиков маркер", "производители", "рейтинг по нмц маркер", "это заказчик", "на фт заводил Шаклейн", "на фт заводил Середин", "поставщики маркер"</t>
  </si>
  <si>
    <t>29.10.30.190 Средства автотранспортные пассажирские с числом мест для сидения не менее 10 прочие
29.10.41.111 Автомобили грузовые с дизельным двигателем, имеющие технически допустимую максимальную массу не более 3,5 т
28.92.29.000 Автомобили-самосвалы, предназначенные для использования в условиях бездорожья
29.10.59.141 Автомобили пожарные для тушения пожаров водой
29.10.4 Средства автотранспортные грузовые
29.10.59.130 Средства транспортные для коммунального хозяйства и содержания дорог
29.10 Средства автотранспортные
29.10.2 Автомобили легковые
29.10.59.280 Средства транспортные - фургоны для перевозки пищевых продуктов
29.32.30.390 Части и принадлежности для автотранспортных средств прочие, не включенные в другие группировки ****</t>
  </si>
  <si>
    <t>За весь период контрактов 9 шт. на общую сумму НМЦ 5 097 406 055,68 ?</t>
  </si>
  <si>
    <t>"223 за 3 года", "свод фт", ".", "рейтинг поставщиков в маркере по бг", "ГРАНДИОЗНЫЙ ПРОЕКТ", "закрыли счет", "все клиенты с выручкой от 1,8 млрд до бесконечности", "44 фз с с БГ от 10 млн", "рейтинг по нмц маркер", "на фт заводил Дорош Д", "поставщики маркер", "44 за 3 года"</t>
  </si>
  <si>
    <t>2 029</t>
  </si>
  <si>
    <t>Сообщения о принятии решения о реорганизации от 18.04.2022</t>
  </si>
  <si>
    <t>30.20.40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
30.20.40.144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65.1 Услуги по страхованию
33.20.3 Услуги по монтажу оборудования специального назначения
30.2 Локомотивы железнодорожные и подвижной состав</t>
  </si>
  <si>
    <t>За весь период контрактов 7 шт. на общую сумму НМЦ 9 646 124 798,63 ?</t>
  </si>
  <si>
    <t>Сообщение кредитора о намерении обратиться в суд с заявлением о банкротстве от 18.05.2021</t>
  </si>
  <si>
    <t>"поставщики маркер", ".", "все клиенты с выручкой от 1,8 млрд до бесконечности", "рейтинг заказчиков маркер", "производители", "рейтинг по нмц маркер", "это заказчик", "crm управления", "в crm за Шевченко ОРК  4"</t>
  </si>
  <si>
    <t>10.13.14.123 Сардельки мясосодержащие
10.13.14.122 Сосиски мясосодержащие
10.13.14.121 Колбасы (колбаски) вареные мясосодержащие
10.13.14.411 Колбасы (колбаски) полукопченые мясные</t>
  </si>
  <si>
    <t>fk(2)</t>
  </si>
  <si>
    <t>"поставщики маркер", ".", "fk3", "производители"</t>
  </si>
  <si>
    <t>На 16.03.2022 16:04 имеются действующие решения ФНС о приостановлении операций по счетам, Определение о введении наблюдения от 27.11.2008, В отношении юридического лица возбуждено производство по делу о несостоятельности (банкротстве) от 29.12.2021, Сообщение кредитора о намерении обратиться в суд с заявлением о банкротстве от 28.09.2021</t>
  </si>
  <si>
    <t>Сообщение кредитора о намерении обратиться в суд с заявлением о банкротстве от 15.01.2020</t>
  </si>
  <si>
    <t>"поставщики маркер", ".", "fk3", "06.2022_ФинХД", "производители"</t>
  </si>
  <si>
    <t>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
35.30.11 Пар и горячая вода</t>
  </si>
  <si>
    <t>35.11.10.112 Электроэнергия, произведенная теплоэлектроцентралями (ТЭЦ) общего назначения
35.13.10.000 Услуги по распределению электроэнергии
35.30.11.120 Энергия тепловая, отпущенная котельными
35.11.10.114 Электроэнергия, произведенная дизельными электростанциями (ДЭС) общего назначения
20.14.22.111 Спирт метиловый (метанол)
35.30.11.111 Энергия тепловая, отпущенная тепловыми электроцентралями (ТЭЦ)
68.20.12.000 Услуги по сдаче в аренду (внаем) собственных или арендованных нежилых помещений
35.11.10.116 Электроэнергия, произведенная гидроэлектростанциями (ГЭС) общего назначения
35.11.10.119 Электроэнергия, произведенная нетиповыми электростанциями общего назначения
35.12.10 Услуги по передаче электроэнергии и технологическому присоединению к распределительным электросетям ****</t>
  </si>
  <si>
    <t>За весь период контрактов 4 шт. на общую сумму НМЦ 349 160 000,00 ?</t>
  </si>
  <si>
    <t>Сообщение кредитора о намерении обратиться в суд с заявлением о банкротстве от 16.10.2018</t>
  </si>
  <si>
    <t>"223 за 3 года", ".", "беники", "fk3", "корп 2", "Кредитный портфель_01.11", "06.2022_ФинХД", "все клиенты с выручкой от 1,8 млрд до бесконечности", "ФК клиенты с выручкой от 230 до бесконечности", "Участники клиринга", "рейтинг заказчиков маркер", "рейтинг по нмц маркер", "поставщики маркер"</t>
  </si>
  <si>
    <t>19.20.21.100 Бензин автомобильный
19.20.21.125 Бензин автомобильный с октановым числом более 92, но не более 95 по исследовательскому методу экологического класса К5
19.20.21.120 Бензин автомобильный с октановым числом более 92, но не более 95 по исследовательскому методу
19.20.21.315 Топливо дизельное летнее экологического класса К5
19.20.21.300 Топливо дизельное
19.20.21.325 Топливо дизельное зимнее экологического класса К5
19.20.28.190 Топливо жидкое прочее, не включенное в другие группировки</t>
  </si>
  <si>
    <t>Среднесписочная численность</t>
  </si>
  <si>
    <t>Содный индикаторк</t>
  </si>
  <si>
    <t>7 (800) 4441494</t>
  </si>
  <si>
    <t>Сайт</t>
  </si>
  <si>
    <t xml:space="preserve">Возраст </t>
  </si>
  <si>
    <t>Учредители</t>
  </si>
  <si>
    <t>Кредитный лимит</t>
  </si>
  <si>
    <t xml:space="preserve">Рассматривается судебные дела на сумму </t>
  </si>
  <si>
    <t>Теги</t>
  </si>
  <si>
    <t>Важная информация</t>
  </si>
  <si>
    <t>Коментарий</t>
  </si>
  <si>
    <t>Основные средства</t>
  </si>
  <si>
    <t>Долгосрочные фин. вложения</t>
  </si>
  <si>
    <t>Дебиторка</t>
  </si>
  <si>
    <t>Краткосрочные фин вложения</t>
  </si>
  <si>
    <t xml:space="preserve">Денежные средства </t>
  </si>
  <si>
    <t>Активы всего</t>
  </si>
  <si>
    <t>Нераспределенка</t>
  </si>
  <si>
    <t>Заемные средства долгосрочные</t>
  </si>
  <si>
    <t>Заемные средства краткосрочные</t>
  </si>
  <si>
    <t>Краткосрочные обязательства</t>
  </si>
  <si>
    <t>Собственный капитал</t>
  </si>
  <si>
    <t>Выручка за 22 г.</t>
  </si>
  <si>
    <t>Чистая прибыль</t>
  </si>
</sst>
</file>

<file path=xl/styles.xml><?xml version="1.0" encoding="utf-8"?>
<styleSheet xmlns="http://schemas.openxmlformats.org/spreadsheetml/2006/main">
  <numFmts count="2">
    <numFmt numFmtId="164" formatCode="dd.MM.yyyy HH:mm"/>
    <numFmt numFmtId="165" formatCode="#,##0.0"/>
  </numFmts>
  <fonts count="14">
    <font>
      <sz val="11"/>
      <name val="Calibri"/>
    </font>
    <font>
      <b/>
      <sz val="11"/>
      <name val="Calibri"/>
    </font>
    <font>
      <b/>
      <sz val="10"/>
      <name val="Calibri"/>
    </font>
    <font>
      <u/>
      <sz val="11"/>
      <color rgb="FF0000FF" tint="0"/>
      <name val="Calibri"/>
    </font>
    <font>
      <sz val="10"/>
      <name val="Calibri"/>
    </font>
    <font>
      <sz val="10"/>
      <name val="Arial"/>
      <color rgb="FF000000"/>
    </font>
    <font>
      <sz val="11"/>
      <name val="Calibri"/>
      <color rgb="FF000000"/>
    </font>
    <font>
      <b/>
      <sz val="10"/>
      <name val="Calibri"/>
      <color rgb="FF000000"/>
    </font>
    <font>
      <sz val="10"/>
      <name val="Arial"/>
      <color rgb="FF0000FF"/>
    </font>
    <font>
      <sz val="11"/>
      <name val="Calibri"/>
      <color rgb="FF000000"/>
    </font>
    <font>
      <sz val="11"/>
      <name val="Calibri"/>
    </font>
    <font>
      <sz val="10"/>
      <name val="Arial"/>
      <color rgb="FF000000"/>
    </font>
    <font>
      <sz val="11"/>
      <name val="Segoe UI"/>
      <color rgb="FF000000"/>
    </font>
    <font>
      <sz val="11"/>
      <name val="Calibri"/>
      <color rgb="FF000000"/>
    </font>
  </fonts>
  <fills count="4">
    <fill>
      <patternFill patternType="none"/>
    </fill>
    <fill>
      <patternFill patternType="gray125"/>
    </fill>
    <fill>
      <patternFill patternType="solid">
        <fgColor rgb="FFFFFF00"/>
      </patternFill>
    </fill>
    <fill>
      <patternFill patternType="solid">
        <fgColor rgb="FFE9E9E9"/>
      </patternFill>
    </fill>
  </fills>
  <borders count="6">
    <border>
      <left/>
      <right/>
      <top/>
      <bottom/>
      <diagonal/>
    </border>
    <border>
      <left style="thin"/>
      <right style="thin"/>
      <top style="thin"/>
      <bottom style="thin"/>
      <diagonal/>
    </border>
    <border diagonalDown="false" diagonalUp="false">
      <left style="none">
        <color rgb="FF000000"/>
      </left>
      <right style="none">
        <color rgb="FF000000"/>
      </right>
      <top style="none">
        <color rgb="FF000000"/>
      </top>
      <bottom style="none">
        <color rgb="FF000000"/>
      </bottom>
      <diagonal style="none">
        <color rgb="FF000000"/>
      </diagonal>
    </border>
    <border diagonalDown="false" diagonalUp="false">
      <left style="none">
        <color rgb="FF000000"/>
      </left>
      <right style="none">
        <color rgb="FF000000"/>
      </right>
      <top style="none">
        <color rgb="FF000000"/>
      </top>
      <bottom style="none">
        <color rgb="FF000000"/>
      </bottom>
      <diagonal style="none">
        <color rgb="FF000000"/>
      </diagonal>
    </border>
    <border>
      <left style="thin">
        <color rgb="FFA0A0A0"/>
      </left>
      <right style="thin">
        <color rgb="FFA0A0A0"/>
      </right>
      <top style="thin">
        <color rgb="FFA0A0A0"/>
      </top>
      <bottom style="thin">
        <color rgb="FFA0A0A0"/>
      </bottom>
    </border>
    <border diagonalDown="false" diagonalUp="false">
      <left style="none">
        <color rgb="FF000000"/>
      </left>
      <right style="none">
        <color rgb="FF000000"/>
      </right>
      <top style="none">
        <color rgb="FF000000"/>
      </top>
      <bottom style="none">
        <color rgb="FF000000"/>
      </bottom>
      <diagonal style="none">
        <color rgb="FF000000"/>
      </diagonal>
    </border>
  </borders>
  <cellStyleXfs count="1">
    <xf numFmtId="0" fontId="0"/>
  </cellStyleXfs>
  <cellXfs count="43">
    <xf numFmtId="0" applyNumberFormat="1" fontId="0" applyFont="1" xfId="0" applyProtection="1"/>
    <xf numFmtId="49" applyNumberFormat="1" fontId="1" applyFont="1" xfId="0" applyProtection="1" applyAlignment="1">
      <alignment horizontal="left"/>
    </xf>
    <xf numFmtId="49" applyNumberFormat="1" fontId="2" applyFont="1" borderId="1" applyBorder="1" xfId="0" applyProtection="1" applyAlignment="1">
      <alignment horizontal="center" vertical="center"/>
    </xf>
    <xf numFmtId="3" applyNumberFormat="1" fontId="0" applyFont="1" xfId="0" applyProtection="1" applyAlignment="1">
      <alignment horizontal="right"/>
    </xf>
    <xf numFmtId="0" applyNumberFormat="1" fontId="3" applyFont="1" xfId="0" applyProtection="1"/>
    <xf numFmtId="0" applyNumberFormat="1" fontId="0" applyFont="1" xfId="0" applyProtection="1">
      <alignment wrapText="1"/>
    </xf>
    <xf numFmtId="49" applyNumberFormat="1" fontId="2" applyFont="1" borderId="1" applyBorder="1" xfId="0" applyProtection="1" applyAlignment="1">
      <alignment horizontal="center" vertical="center" wrapText="1"/>
    </xf>
    <xf numFmtId="49" applyNumberFormat="1" fontId="0" applyFont="1" xfId="0" applyProtection="1">
      <alignment wrapText="1"/>
    </xf>
    <xf numFmtId="49" applyNumberFormat="1" fontId="1" applyFont="1" xfId="0" applyProtection="1" applyAlignment="1">
      <alignment horizontal="left" wrapText="1"/>
    </xf>
    <xf numFmtId="0" applyNumberFormat="1" fontId="4" applyFont="1" xfId="0" applyProtection="1">
      <alignment wrapText="1"/>
    </xf>
    <xf numFmtId="164" applyNumberFormat="1" fontId="4" applyFont="1" xfId="0" applyProtection="1">
      <alignment wrapText="1"/>
    </xf>
    <xf numFmtId="0" applyNumberFormat="1" fontId="5" applyFont="1" fillId="0" applyFill="1" borderId="2" applyBorder="1" applyAlignment="1" applyProtection="1" xfId="0">
      <alignment vertical="bottom"/>
      <protection locked="0"/>
    </xf>
    <xf numFmtId="49" applyNumberFormat="1" fontId="6" applyFont="1" fillId="0" applyFill="1" borderId="3" applyBorder="1" applyAlignment="1" applyProtection="1" xfId="0">
      <alignment wrapText="1"/>
      <protection/>
    </xf>
    <xf numFmtId="49" applyNumberFormat="1" fontId="7" applyFont="1" fillId="0" applyFill="1" borderId="1" applyBorder="1" applyAlignment="1" applyProtection="1" xfId="0">
      <alignment wrapText="1" vertical="center" horizontal="center"/>
      <protection locked="0"/>
    </xf>
    <xf numFmtId="49" applyNumberFormat="1" fontId="7" applyFont="1" fillId="0" applyFill="1" borderId="1" applyBorder="1" applyAlignment="1" applyProtection="1" xfId="0">
      <alignment wrapText="1" vertical="center" horizontal="center"/>
      <protection/>
    </xf>
    <xf numFmtId="0" applyNumberFormat="1" fontId="8" applyFont="1" fillId="2" applyFill="1" applyAlignment="1" applyProtection="1" xfId="0">
      <alignment wrapText="1" vertical="center" horizontal="left"/>
      <protection locked="0"/>
    </xf>
    <xf numFmtId="49" applyNumberFormat="1" fontId="6" applyFont="1" fillId="0" applyFill="1" applyAlignment="1" applyProtection="1" xfId="0">
      <alignment wrapText="1"/>
      <protection locked="0"/>
    </xf>
    <xf numFmtId="0" applyNumberFormat="1" fontId="6" applyFont="1" fillId="0" applyFill="1" applyAlignment="1" applyProtection="1" xfId="0">
      <alignment wrapText="1"/>
      <protection locked="0"/>
    </xf>
    <xf numFmtId="49" applyNumberFormat="1" fontId="6" applyFont="1" fillId="0" applyFill="1" applyAlignment="1" applyProtection="1" xfId="0">
      <alignment wrapText="1"/>
      <protection/>
    </xf>
    <xf numFmtId="3" applyNumberFormat="1" fontId="6" applyFont="1" fillId="0" applyFill="1" applyAlignment="1" applyProtection="1" xfId="0">
      <alignment wrapText="1" horizontal="right"/>
      <protection locked="0"/>
    </xf>
    <xf numFmtId="0" applyNumberFormat="1" fontId="5" applyFont="1" fillId="0" applyFill="1" borderId="4" applyBorder="1" applyProtection="1" xfId="0">
      <protection locked="0"/>
    </xf>
    <xf numFmtId="0" applyNumberFormat="1" fontId="5" applyFont="1" fillId="3" applyFill="1" borderId="4" applyBorder="1" applyProtection="1" xfId="0">
      <protection locked="0"/>
    </xf>
    <xf numFmtId="0" applyNumberFormat="1" fontId="5" applyFont="1" fillId="0" applyFill="1" applyProtection="1" xfId="0">
      <protection locked="0"/>
    </xf>
    <xf numFmtId="49" applyNumberFormat="1" fontId="6" applyFont="1" fillId="0" applyFill="1" borderId="3" applyBorder="1" applyAlignment="1" applyProtection="1" xfId="0">
      <alignment wrapText="1"/>
      <protection/>
    </xf>
    <xf numFmtId="0" applyNumberFormat="1" fontId="9" applyFont="1" fillId="0" applyFill="1" applyAlignment="1" applyProtection="1" xfId="0">
      <alignment wrapText="1"/>
      <protection locked="0"/>
    </xf>
    <xf numFmtId="49" applyNumberFormat="1" fontId="9" applyFont="1" fillId="0" applyFill="1" applyAlignment="1" applyProtection="1" xfId="0">
      <alignment wrapText="1"/>
      <protection locked="0"/>
    </xf>
    <xf numFmtId="165" applyNumberFormat="1" fontId="0" applyFont="1" applyAlignment="1" xfId="0">
      <alignment wrapText="1" horizontal="right"/>
    </xf>
    <xf numFmtId="4" applyNumberFormat="1" fontId="0" applyFont="1" applyAlignment="1" xfId="0">
      <alignment wrapText="1" horizontal="right"/>
    </xf>
    <xf numFmtId="3" applyNumberFormat="1" fontId="0" applyFont="1" applyAlignment="1" xfId="0">
      <alignment wrapText="1" horizontal="right"/>
    </xf>
    <xf numFmtId="0" applyNumberFormat="1" fontId="6" applyFont="1" fillId="0" applyFill="1" borderId="2" applyBorder="1" applyAlignment="1" applyProtection="1" xfId="0">
      <alignment wrapText="1"/>
      <protection/>
    </xf>
    <xf numFmtId="0" applyNumberFormat="1" fontId="7" applyFont="1" fillId="0" applyFill="1" borderId="1" applyBorder="1" applyAlignment="1" applyProtection="1" xfId="0">
      <alignment wrapText="1" vertical="center" horizontal="center"/>
      <protection/>
    </xf>
    <xf numFmtId="0" applyNumberFormat="1" fontId="0" applyFont="1" applyAlignment="1" applyProtection="1" xfId="0">
      <alignment wrapText="1"/>
      <protection/>
    </xf>
    <xf numFmtId="2" applyNumberFormat="1" fontId="6" applyFont="1" fillId="0" applyFill="1" borderId="2" applyBorder="1" applyAlignment="1" applyProtection="1" xfId="0">
      <alignment wrapText="1"/>
      <protection/>
    </xf>
    <xf numFmtId="2" applyNumberFormat="1" fontId="7" applyFont="1" fillId="0" applyFill="1" borderId="1" applyBorder="1" applyAlignment="1" applyProtection="1" xfId="0">
      <alignment wrapText="1" vertical="center" horizontal="center"/>
      <protection/>
    </xf>
    <xf numFmtId="2" applyNumberFormat="1" fontId="0" applyFont="1" applyAlignment="1" applyProtection="1" xfId="0">
      <alignment wrapText="1"/>
      <protection/>
    </xf>
    <xf numFmtId="2" applyNumberFormat="1" fontId="6" applyFont="1" fillId="0" applyFill="1" borderId="2" applyBorder="1" applyAlignment="1" applyProtection="1" xfId="0">
      <alignment wrapText="1"/>
      <protection locked="0"/>
    </xf>
    <xf numFmtId="2" applyNumberFormat="1" fontId="7" applyFont="1" fillId="0" applyFill="1" borderId="1" applyBorder="1" applyAlignment="1" applyProtection="1" xfId="0">
      <alignment wrapText="1" vertical="center" horizontal="center"/>
      <protection locked="0"/>
    </xf>
    <xf numFmtId="2" applyNumberFormat="1" fontId="0" applyFont="1" applyAlignment="1" applyProtection="1" xfId="0">
      <alignment wrapText="1"/>
      <protection locked="0"/>
    </xf>
    <xf numFmtId="0" applyNumberFormat="1" fontId="10" applyFont="1" fillId="0" applyFill="1" borderId="5" applyBorder="1" applyAlignment="1" xfId="0">
      <alignment vertical="bottom"/>
    </xf>
    <xf numFmtId="0" applyNumberFormat="1" fontId="11" applyFont="1" fillId="0" applyFill="1" borderId="2" applyBorder="1" applyAlignment="1" applyProtection="1" xfId="0">
      <alignment/>
      <protection locked="0"/>
    </xf>
    <xf numFmtId="0" applyNumberFormat="1" fontId="12" applyFont="1" fillId="0" applyFill="1" borderId="2" applyBorder="1" applyAlignment="1" applyProtection="1" xfId="0">
      <alignment/>
      <protection locked="0"/>
    </xf>
    <xf numFmtId="0" applyNumberFormat="1" fontId="13" applyFont="1" xfId="0"/>
    <xf numFmtId="0" applyNumberFormat="1" fontId="6" applyFont="1" xfId="0"/>
  </cellXfs>
  <cellStyles count="1">
    <cellStyle name="Normal" xfId="0" builtinId="0"/>
  </cellStyles>
  <dxfs count="1">
    <dxf>
      <fill>
        <patternFill>
          <bgColor rgb="FFFFFFFF"/>
        </patternFill>
      </fill>
    </dxf>
  </dxfs>
</styleSheet>
</file>

<file path=xl/_rels/workbook.xml.rel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sharedStrings" Target="sharedStrings.xml"/></Relationships>
</file>

<file path=xl/drawings/_rels/vmlDrawing1.vml.rels><Relationships xmlns="http://schemas.openxmlformats.org/package/2006/relationships"><Relationship Id="rId1" Type="http://schemas.openxmlformats.org/officeDocument/2006/relationships/image" Target="../media/image7897.jpg"/></Relationships>
</file>

<file path=xl/worksheets/_rels/sheet1.xml.rels><Relationships xmlns="http://schemas.openxmlformats.org/package/2006/relationships"><Relationship Id="rId1" Type="http://schemas.openxmlformats.org/officeDocument/2006/relationships/vmlDrawing" Target="../drawings/vmlDrawing1.vml"/><Relationship Id="rId2" Type="http://schemas.openxmlformats.org/officeDocument/2006/relationships/hyperlink" TargetMode="External" Target="https://spark-interfax.ru/system/home/card#/company/251A81BD3AE74B8280A4696514471653/101"/><Relationship Id="rId3" Type="http://schemas.openxmlformats.org/officeDocument/2006/relationships/hyperlink" TargetMode="External" Target="https://spark-interfax.ru/system/home/card#/company/C8EE7B27C7DD4225B1A893A09D5DEBB2/101"/><Relationship Id="rId4" Type="http://schemas.openxmlformats.org/officeDocument/2006/relationships/hyperlink" TargetMode="External" Target="https://spark-interfax.ru/system/home/card#/company/792640C9C1A5A127E0531F9AA8C03110/101"/><Relationship Id="rId5" Type="http://schemas.openxmlformats.org/officeDocument/2006/relationships/hyperlink" TargetMode="External" Target="https://spark-interfax.ru/system/home/card#/company/53CA55ED47BA4CB6A9A9563DA25D3AF1/101"/><Relationship Id="rId6" Type="http://schemas.openxmlformats.org/officeDocument/2006/relationships/hyperlink" TargetMode="External" Target="https://spark-interfax.ru/system/home/card#/company/807AB65D90BC4E0B87650F69FE86A149/101"/><Relationship Id="rId7" Type="http://schemas.openxmlformats.org/officeDocument/2006/relationships/hyperlink" TargetMode="External" Target="https://spark-interfax.ru/system/home/card#/company/BC6350B2D9F946D19398B1B4429F2979/101"/><Relationship Id="rId8" Type="http://schemas.openxmlformats.org/officeDocument/2006/relationships/hyperlink" TargetMode="External" Target="https://spark-interfax.ru/system/home/card#/company/5A1581ED115F4860BEF6CF31F69C3EAE/101"/><Relationship Id="rId9" Type="http://schemas.openxmlformats.org/officeDocument/2006/relationships/hyperlink" TargetMode="External" Target="https://spark-interfax.ru/system/home/card#/company/84C894A9DF397463E0531B9AA8C02FF2/101"/><Relationship Id="rId10" Type="http://schemas.openxmlformats.org/officeDocument/2006/relationships/hyperlink" TargetMode="External" Target="https://spark-interfax.ru/system/home/card#/company/E14E10A1099C413BBB81B4705C77440E/101"/><Relationship Id="rId11" Type="http://schemas.openxmlformats.org/officeDocument/2006/relationships/hyperlink" TargetMode="External" Target="https://spark-interfax.ru/system/home/card#/company/FD20957BAD634EAE864171A6425C3618/101"/><Relationship Id="rId12" Type="http://schemas.openxmlformats.org/officeDocument/2006/relationships/hyperlink" TargetMode="External" Target="https://spark-interfax.ru/system/home/card#/company/C88B0CA98C7F45EA8404E8D8D8640CD8/101"/><Relationship Id="rId13" Type="http://schemas.openxmlformats.org/officeDocument/2006/relationships/hyperlink" TargetMode="External" Target="https://spark-interfax.ru/system/home/card#/company/E1F511B649B947299BD9AE7CE2F52DBF/101"/><Relationship Id="rId14" Type="http://schemas.openxmlformats.org/officeDocument/2006/relationships/hyperlink" TargetMode="External" Target="https://spark-interfax.ru/system/home/card#/company/E6E1883BA0884F5BBBFA3E084826D78D/101"/><Relationship Id="rId15" Type="http://schemas.openxmlformats.org/officeDocument/2006/relationships/hyperlink" TargetMode="External" Target="https://spark-interfax.ru/system/home/card#/company/5B41E97BB441407E923F18888B8E377E/101"/><Relationship Id="rId16" Type="http://schemas.openxmlformats.org/officeDocument/2006/relationships/hyperlink" TargetMode="External" Target="https://spark-interfax.ru/system/home/card#/company/22E3CDBE9F924E55AD6C14BB2BA44DF7/101"/><Relationship Id="rId17" Type="http://schemas.openxmlformats.org/officeDocument/2006/relationships/hyperlink" TargetMode="External" Target="https://spark-interfax.ru/system/home/card#/company/7B2BE8843DA6487C9A61C6C35B01A7F4/101"/><Relationship Id="rId18" Type="http://schemas.openxmlformats.org/officeDocument/2006/relationships/hyperlink" TargetMode="External" Target="https://spark-interfax.ru/system/home/card#/company/5044A4BFE2054AE0A355683525BBB403/101"/><Relationship Id="rId19" Type="http://schemas.openxmlformats.org/officeDocument/2006/relationships/hyperlink" TargetMode="External" Target="https://spark-interfax.ru/system/home/card#/company/70130AC2505941E89F08D50AB90669EC/101"/><Relationship Id="rId20" Type="http://schemas.openxmlformats.org/officeDocument/2006/relationships/hyperlink" TargetMode="External" Target="https://spark-interfax.ru/system/home/card#/company/49623B3C129845EC9861117645A449C7/101"/><Relationship Id="rId21" Type="http://schemas.openxmlformats.org/officeDocument/2006/relationships/hyperlink" TargetMode="External" Target="https://spark-interfax.ru/system/home/card#/company/9DCEFC0C1B6D4C1EAF625E0BB6B2B9D1/101"/><Relationship Id="rId22" Type="http://schemas.openxmlformats.org/officeDocument/2006/relationships/hyperlink" TargetMode="External" Target="https://spark-interfax.ru/system/home/card#/company/85F75ED1F85C3679E0531B9AA8C0FDD7/101"/><Relationship Id="rId23" Type="http://schemas.openxmlformats.org/officeDocument/2006/relationships/hyperlink" TargetMode="External" Target="https://spark-interfax.ru/system/home/card#/company/994C788751DE46B8B26C18DF58D53480/101"/><Relationship Id="rId24" Type="http://schemas.openxmlformats.org/officeDocument/2006/relationships/hyperlink" TargetMode="External" Target="https://spark-interfax.ru/system/home/card#/company/D09C2C5BD49048A396BBA5203915A0EC/101"/><Relationship Id="rId25" Type="http://schemas.openxmlformats.org/officeDocument/2006/relationships/hyperlink" TargetMode="External" Target="https://spark-interfax.ru/system/home/card#/company/782C2140734E47F69CEE71071BB76231/101"/><Relationship Id="rId26" Type="http://schemas.openxmlformats.org/officeDocument/2006/relationships/hyperlink" TargetMode="External" Target="https://spark-interfax.ru/system/home/card#/company/2C111F16400B4EA2A265A09E696E4A63/101"/><Relationship Id="rId27" Type="http://schemas.openxmlformats.org/officeDocument/2006/relationships/hyperlink" TargetMode="External" Target="https://spark-interfax.ru/system/home/card#/company/B661D57227EF488DA6E582F62C219FC9/101"/><Relationship Id="rId28" Type="http://schemas.openxmlformats.org/officeDocument/2006/relationships/hyperlink" TargetMode="External" Target="https://spark-interfax.ru/system/home/card#/company/C5429565FC064AC282E4AB812C20D867/101"/><Relationship Id="rId29" Type="http://schemas.openxmlformats.org/officeDocument/2006/relationships/hyperlink" TargetMode="External" Target="https://spark-interfax.ru/system/home/card#/company/E86A0C02E8364C10A56109F6D55C9C40/101"/><Relationship Id="rId30" Type="http://schemas.openxmlformats.org/officeDocument/2006/relationships/hyperlink" TargetMode="External" Target="https://spark-interfax.ru/system/home/card#/company/C7DB536AB35040C795939993400FF375/101"/><Relationship Id="rId31" Type="http://schemas.openxmlformats.org/officeDocument/2006/relationships/hyperlink" TargetMode="External" Target="https://spark-interfax.ru/system/home/card#/company/A30C063C1E6149E28228120D5464D51C/101"/><Relationship Id="rId32" Type="http://schemas.openxmlformats.org/officeDocument/2006/relationships/hyperlink" TargetMode="External" Target="https://spark-interfax.ru/system/home/card#/company/3E78CBC82F634082839913FB465C77A7/101"/><Relationship Id="rId33" Type="http://schemas.openxmlformats.org/officeDocument/2006/relationships/hyperlink" TargetMode="External" Target="https://spark-interfax.ru/system/home/card#/company/296D30FEA5FD4EC4B7B4C95D99720B67/101"/><Relationship Id="rId34" Type="http://schemas.openxmlformats.org/officeDocument/2006/relationships/hyperlink" TargetMode="External" Target="https://spark-interfax.ru/system/home/card#/company/09C4C0C1FE694DA2B7F900906909255C/101"/><Relationship Id="rId35" Type="http://schemas.openxmlformats.org/officeDocument/2006/relationships/hyperlink" TargetMode="External" Target="https://spark-interfax.ru/system/home/card#/company/651FAF1B8BBC472D9EFDF932F21F5DE6/101"/><Relationship Id="rId36" Type="http://schemas.openxmlformats.org/officeDocument/2006/relationships/hyperlink" TargetMode="External" Target="https://spark-interfax.ru/system/home/card#/company/5D4F21FAF79B4B5EA0D07216919690B1/101"/><Relationship Id="rId37" Type="http://schemas.openxmlformats.org/officeDocument/2006/relationships/hyperlink" TargetMode="External" Target="https://spark-interfax.ru/system/home/card#/company/04F519DDBB674C8B8C122D3B3B8AD359/101"/><Relationship Id="rId38" Type="http://schemas.openxmlformats.org/officeDocument/2006/relationships/hyperlink" TargetMode="External" Target="https://spark-interfax.ru/system/home/card#/company/21E574E9CB28487C838472EBF7707C35/101"/><Relationship Id="rId39" Type="http://schemas.openxmlformats.org/officeDocument/2006/relationships/hyperlink" TargetMode="External" Target="https://spark-interfax.ru/system/home/card#/company/F9E6C4428FE244D9B2D378677B7EF4A0/101"/><Relationship Id="rId40" Type="http://schemas.openxmlformats.org/officeDocument/2006/relationships/hyperlink" TargetMode="External" Target="https://spark-interfax.ru/system/home/card#/company/F83E9F5E895A4BBB81FEEB8363C54838/101"/><Relationship Id="rId41" Type="http://schemas.openxmlformats.org/officeDocument/2006/relationships/hyperlink" TargetMode="External" Target="https://spark-interfax.ru/system/home/card#/company/FB4116D5C5B74E57BD3E70D1A9AE205D/101"/><Relationship Id="rId42" Type="http://schemas.openxmlformats.org/officeDocument/2006/relationships/hyperlink" TargetMode="External" Target="https://spark-interfax.ru/system/home/card#/company/96CBEB69D2914BBDA3C465872318BA23/101"/><Relationship Id="rId43" Type="http://schemas.openxmlformats.org/officeDocument/2006/relationships/hyperlink" TargetMode="External" Target="https://spark-interfax.ru/system/home/card#/company/35B31A2F0D664ADDBF84266A724B5DFC/101"/><Relationship Id="rId44" Type="http://schemas.openxmlformats.org/officeDocument/2006/relationships/hyperlink" TargetMode="External" Target="https://spark-interfax.ru/system/home/card#/company/FF11BFF3311F4024AC1C9D7CC45E6172/101"/><Relationship Id="rId45" Type="http://schemas.openxmlformats.org/officeDocument/2006/relationships/hyperlink" TargetMode="External" Target="https://spark-interfax.ru/system/home/card#/company/C46D6837E30B4F87ABCE408262147FCD/101"/><Relationship Id="rId46" Type="http://schemas.openxmlformats.org/officeDocument/2006/relationships/hyperlink" TargetMode="External" Target="https://spark-interfax.ru/system/home/card#/company/864670F3942142E5A646B5DE61B66C07/101"/><Relationship Id="rId47" Type="http://schemas.openxmlformats.org/officeDocument/2006/relationships/hyperlink" TargetMode="External" Target="https://spark-interfax.ru/system/home/card#/company/59EEC4B587554E44844F01E453B75CB0/101"/><Relationship Id="rId48" Type="http://schemas.openxmlformats.org/officeDocument/2006/relationships/hyperlink" TargetMode="External" Target="https://spark-interfax.ru/system/home/card#/company/AB30114CEBB5441C885FAECF5F1D8109/101"/><Relationship Id="rId49" Type="http://schemas.openxmlformats.org/officeDocument/2006/relationships/hyperlink" TargetMode="External" Target="https://spark-interfax.ru/system/home/card#/company/FF4EFDB3D2FE4A72A85FF33B4AFD0C77/101"/><Relationship Id="rId50" Type="http://schemas.openxmlformats.org/officeDocument/2006/relationships/hyperlink" TargetMode="External" Target="https://spark-interfax.ru/system/home/card#/company/2FC9367754644970988E1462838FC266/101"/><Relationship Id="rId51" Type="http://schemas.openxmlformats.org/officeDocument/2006/relationships/hyperlink" TargetMode="External" Target="https://spark-interfax.ru/system/home/card#/company/7D73DA2D71D82E82E0531B9AA8C00CF4/101"/><Relationship Id="rId52" Type="http://schemas.openxmlformats.org/officeDocument/2006/relationships/hyperlink" TargetMode="External" Target="https://spark-interfax.ru/system/home/card#/company/37FD9C80073D4168983957232434B6B0/101"/><Relationship Id="rId53" Type="http://schemas.openxmlformats.org/officeDocument/2006/relationships/hyperlink" TargetMode="External" Target="https://spark-interfax.ru/system/home/card#/company/3280E450D3F24F4FA4125AB011F7582C/101"/><Relationship Id="rId54" Type="http://schemas.openxmlformats.org/officeDocument/2006/relationships/hyperlink" TargetMode="External" Target="https://spark-interfax.ru/system/home/card#/company/38E6B3D5995748F2A5DB2334032025AC/101"/><Relationship Id="rId55" Type="http://schemas.openxmlformats.org/officeDocument/2006/relationships/hyperlink" TargetMode="External" Target="https://spark-interfax.ru/system/home/card#/company/BB490B2749774423A5BAB9EBC99BE509/101"/><Relationship Id="rId56" Type="http://schemas.openxmlformats.org/officeDocument/2006/relationships/hyperlink" TargetMode="External" Target="https://spark-interfax.ru/system/home/card#/company/0C32DF87A0FF4604A6C5F64AEB2593DE/101"/><Relationship Id="rId57" Type="http://schemas.openxmlformats.org/officeDocument/2006/relationships/hyperlink" TargetMode="External" Target="https://spark-interfax.ru/system/home/card#/company/67C8E657AA930C93E0531B9AA8C021E0/101"/><Relationship Id="rId58" Type="http://schemas.openxmlformats.org/officeDocument/2006/relationships/hyperlink" TargetMode="External" Target="https://spark-interfax.ru/system/home/card#/company/B077674DCAEE4CDD8D842678FAD4AF4B/101"/><Relationship Id="rId59" Type="http://schemas.openxmlformats.org/officeDocument/2006/relationships/hyperlink" TargetMode="External" Target="https://spark-interfax.ru/system/home/card#/company/701AC4BF995C41C6B3FEC38160CBB088/101"/><Relationship Id="rId60" Type="http://schemas.openxmlformats.org/officeDocument/2006/relationships/hyperlink" TargetMode="External" Target="https://spark-interfax.ru/system/home/card#/company/F9011A029BB74617AA37912ABE6DECEB/101"/><Relationship Id="rId61" Type="http://schemas.openxmlformats.org/officeDocument/2006/relationships/hyperlink" TargetMode="External" Target="https://spark-interfax.ru/system/home/card#/company/8EEF8C18C36246BF9BB4AEDC6DAE5609/101"/><Relationship Id="rId62" Type="http://schemas.openxmlformats.org/officeDocument/2006/relationships/hyperlink" TargetMode="External" Target="https://spark-interfax.ru/system/home/card#/company/7236A5BD57124F4FADB5612137022DB6/101"/><Relationship Id="rId63" Type="http://schemas.openxmlformats.org/officeDocument/2006/relationships/hyperlink" TargetMode="External" Target="https://spark-interfax.ru/system/home/card#/company/BA7188205591457E80D176BE9B735E78/101"/><Relationship Id="rId64" Type="http://schemas.openxmlformats.org/officeDocument/2006/relationships/hyperlink" TargetMode="External" Target="https://spark-interfax.ru/system/home/card#/company/3EC346BFAA32475C8CA71E33DDAED3D3/101"/><Relationship Id="rId65" Type="http://schemas.openxmlformats.org/officeDocument/2006/relationships/hyperlink" TargetMode="External" Target="https://spark-interfax.ru/system/home/card#/company/EEDC0B830D1A46299B20BBCD54D63511/101"/><Relationship Id="rId66" Type="http://schemas.openxmlformats.org/officeDocument/2006/relationships/hyperlink" TargetMode="External" Target="https://spark-interfax.ru/system/home/card#/company/0C76008E154E4FA4B91F5111DF841115/101"/><Relationship Id="rId67" Type="http://schemas.openxmlformats.org/officeDocument/2006/relationships/hyperlink" TargetMode="External" Target="https://spark-interfax.ru/system/home/card#/company/7EE2EFF7777F41C784BCB9A674BF69DE/101"/><Relationship Id="rId68" Type="http://schemas.openxmlformats.org/officeDocument/2006/relationships/hyperlink" TargetMode="External" Target="https://spark-interfax.ru/system/home/card#/company/5B03ED85241040C98DADC9C2FDC682F6/101"/><Relationship Id="rId69" Type="http://schemas.openxmlformats.org/officeDocument/2006/relationships/hyperlink" TargetMode="External" Target="https://spark-interfax.ru/system/home/card#/company/AED046EAA92D4C71ADA3F52CF69A16DF/101"/><Relationship Id="rId70" Type="http://schemas.openxmlformats.org/officeDocument/2006/relationships/hyperlink" TargetMode="External" Target="https://spark-interfax.ru/system/home/card#/company/330C4EC5127945398753DEFE57E2C680/101"/><Relationship Id="rId71" Type="http://schemas.openxmlformats.org/officeDocument/2006/relationships/hyperlink" TargetMode="External" Target="https://spark-interfax.ru/system/home/card#/company/7653F1F1E0837C3AE0531B9AA8C0C285/101"/><Relationship Id="rId72" Type="http://schemas.openxmlformats.org/officeDocument/2006/relationships/hyperlink" TargetMode="External" Target="https://spark-interfax.ru/system/home/card#/company/9494A56AD0B1628DE0531B9AA8C06912/101"/><Relationship Id="rId73" Type="http://schemas.openxmlformats.org/officeDocument/2006/relationships/hyperlink" TargetMode="External" Target="https://spark-interfax.ru/system/home/card#/company/BD50EEBF667D49B8A0665A4F891197E7/101"/><Relationship Id="rId74" Type="http://schemas.openxmlformats.org/officeDocument/2006/relationships/hyperlink" TargetMode="External" Target="https://spark-interfax.ru/system/home/card#/company/4F9C7FD34FA64D12BAF2748F1274B3EA/101"/><Relationship Id="rId75" Type="http://schemas.openxmlformats.org/officeDocument/2006/relationships/hyperlink" TargetMode="External" Target="https://spark-interfax.ru/system/home/card#/company/FDDDCCAF4C1F40718BDA39BCA5F94777/101"/><Relationship Id="rId76" Type="http://schemas.openxmlformats.org/officeDocument/2006/relationships/hyperlink" TargetMode="External" Target="https://spark-interfax.ru/system/home/card#/company/E6F79670861C4E8190A05F3F4733BC60/101"/><Relationship Id="rId77" Type="http://schemas.openxmlformats.org/officeDocument/2006/relationships/hyperlink" TargetMode="External" Target="https://spark-interfax.ru/system/home/card#/company/A46CD8ADDFED46C69D4C3396BCA8C165/101"/><Relationship Id="rId78" Type="http://schemas.openxmlformats.org/officeDocument/2006/relationships/hyperlink" TargetMode="External" Target="https://spark-interfax.ru/system/home/card#/company/6F919922AB1708F0E0531B9AA8C097F4/101"/><Relationship Id="rId79" Type="http://schemas.openxmlformats.org/officeDocument/2006/relationships/hyperlink" TargetMode="External" Target="https://spark-interfax.ru/system/home/card#/company/DEF850927A184040AE75553BE08C4E15/101"/><Relationship Id="rId80" Type="http://schemas.openxmlformats.org/officeDocument/2006/relationships/hyperlink" TargetMode="External" Target="https://spark-interfax.ru/system/home/card#/company/BC73F734F449444B93A16011FD7715BE/101"/><Relationship Id="rId81" Type="http://schemas.openxmlformats.org/officeDocument/2006/relationships/hyperlink" TargetMode="External" Target="https://spark-interfax.ru/system/home/card#/company/DCD612E30D7247D686EB1FB9632DB99D/101"/><Relationship Id="rId82" Type="http://schemas.openxmlformats.org/officeDocument/2006/relationships/hyperlink" TargetMode="External" Target="https://spark-interfax.ru/system/home/card#/company/DD876333FF52473CB05A924B62DB4B27/101"/><Relationship Id="rId83" Type="http://schemas.openxmlformats.org/officeDocument/2006/relationships/hyperlink" TargetMode="External" Target="https://spark-interfax.ru/system/home/card#/company/37CB2FA97275416FA163F754B7E4C611/101"/><Relationship Id="rId84" Type="http://schemas.openxmlformats.org/officeDocument/2006/relationships/hyperlink" TargetMode="External" Target="https://spark-interfax.ru/system/home/card#/company/FD68CC78BBBC47898FD794B8B4432166/101"/><Relationship Id="rId85" Type="http://schemas.openxmlformats.org/officeDocument/2006/relationships/hyperlink" TargetMode="External" Target="https://spark-interfax.ru/system/home/card#/company/9414EC9DE7DE6DFFE0531B9AA8C05F37/101"/><Relationship Id="rId86" Type="http://schemas.openxmlformats.org/officeDocument/2006/relationships/hyperlink" TargetMode="External" Target="https://spark-interfax.ru/system/home/card#/company/EE6EF9097FE94604970B056D8E5B752C/101"/><Relationship Id="rId87" Type="http://schemas.openxmlformats.org/officeDocument/2006/relationships/hyperlink" TargetMode="External" Target="https://spark-interfax.ru/system/home/card#/company/248AE353543F4E04B73A2CF66FB6E3C5/101"/><Relationship Id="rId88" Type="http://schemas.openxmlformats.org/officeDocument/2006/relationships/hyperlink" TargetMode="External" Target="https://spark-interfax.ru/system/home/card#/company/6374B7A163EA4FD58BF558188BB3ED7F/101"/><Relationship Id="rId89" Type="http://schemas.openxmlformats.org/officeDocument/2006/relationships/hyperlink" TargetMode="External" Target="http://spark-interfax.ru/"/><Relationship Id="rId90" Type="http://schemas.openxmlformats.org/officeDocument/2006/relationships/hyperlink" TargetMode="External" Target="https://spark-interfax.ru/system/home/card#/company/A28776452BC3405AA11A44589A885B08/101"/><Relationship Id="rId91" Type="http://schemas.openxmlformats.org/officeDocument/2006/relationships/hyperlink" TargetMode="External" Target="https://zakupki.gov.ru/epz/order/notice/ea44/view/common-info.html?regNumber=0373100005220000003"/><Relationship Id="rId92" Type="http://schemas.openxmlformats.org/officeDocument/2006/relationships/hyperlink" TargetMode="External" Target="https://spark-interfax.ru/system/home/card#/company/D1E30CF77AF44439AF1D8798A85BD7E1/101"/><Relationship Id="rId93" Type="http://schemas.openxmlformats.org/officeDocument/2006/relationships/hyperlink" TargetMode="External" Target="https://zakupki.gov.ru/epz/order/notice/ea44/view/common-info.html?regNumber=0145200000420000465"/><Relationship Id="rId94" Type="http://schemas.openxmlformats.org/officeDocument/2006/relationships/hyperlink" TargetMode="External" Target="https://spark-interfax.ru/system/home/card#/company/67E723CE6CB54BC492CDED90B0AFF3E6/101"/><Relationship Id="rId95" Type="http://schemas.openxmlformats.org/officeDocument/2006/relationships/hyperlink" TargetMode="External" Target="https://zakupki.gov.ru/epz/order/notice/ea44/view/common-info.html?regNumber=0103100016520000010"/><Relationship Id="rId96" Type="http://schemas.openxmlformats.org/officeDocument/2006/relationships/hyperlink" TargetMode="External" Target="https://spark-interfax.ru/system/home/card#/company/6A106FB8D787485380AC7B4F71C8C0CB/101"/><Relationship Id="rId97" Type="http://schemas.openxmlformats.org/officeDocument/2006/relationships/hyperlink" TargetMode="External" Target="https://zakupki.gov.ru/epz/order/notice/ea44/view/common-info.html?regNumber=0120200004720000101"/><Relationship Id="rId98" Type="http://schemas.openxmlformats.org/officeDocument/2006/relationships/hyperlink" TargetMode="External" Target="https://spark-interfax.ru/system/home/card#/company/A07E7083647B44D8B79829215DE9A1F2/101"/><Relationship Id="rId99" Type="http://schemas.openxmlformats.org/officeDocument/2006/relationships/hyperlink" TargetMode="External" Target="https://zakupki.gov.ru/epz/order/notice/ea44/view/common-info.html?regNumber=0337100016520000005"/><Relationship Id="rId100" Type="http://schemas.openxmlformats.org/officeDocument/2006/relationships/hyperlink" TargetMode="External" Target="https://spark-interfax.ru/system/home/card#/company/9B9AD7F7DCA14C2CB72EAE46B01A5285/101"/><Relationship Id="rId101" Type="http://schemas.openxmlformats.org/officeDocument/2006/relationships/hyperlink" TargetMode="External" Target="https://zakupki.gov.ru/epz/order/notice/ea44/view/common-info.html?regNumber=0148300014520000013"/><Relationship Id="rId102" Type="http://schemas.openxmlformats.org/officeDocument/2006/relationships/hyperlink" TargetMode="External" Target="https://spark-interfax.ru/system/home/card#/company/856314D4228F40CCBCEC682E57F3FFDD/101"/><Relationship Id="rId103" Type="http://schemas.openxmlformats.org/officeDocument/2006/relationships/hyperlink" TargetMode="External" Target="https://zakupki.gov.ru/epz/order/notice/ea44/view/common-info.html?regNumber=0169300000120000454"/><Relationship Id="rId104" Type="http://schemas.openxmlformats.org/officeDocument/2006/relationships/hyperlink" TargetMode="External" Target="https://spark-interfax.ru/system/home/card#/company/2F8261A6FFF442F2ABA96E29ED4253FD/101"/><Relationship Id="rId105" Type="http://schemas.openxmlformats.org/officeDocument/2006/relationships/hyperlink" TargetMode="External" Target="https://zakupki.gov.ru/epz/order/notice/ea44/view/common-info.html?regNumber=0303300011720000003"/><Relationship Id="rId106" Type="http://schemas.openxmlformats.org/officeDocument/2006/relationships/hyperlink" TargetMode="External" Target="https://spark-interfax.ru/system/home/card#/company/5D14A0E451FC430099B05C6F718D138C/101"/><Relationship Id="rId107" Type="http://schemas.openxmlformats.org/officeDocument/2006/relationships/hyperlink" TargetMode="External" Target="https://zakupki.gov.ru/epz/order/notice/ea44/view/common-info.html?regNumber=0366200035620000984"/><Relationship Id="rId108" Type="http://schemas.openxmlformats.org/officeDocument/2006/relationships/hyperlink" TargetMode="External" Target="https://spark-interfax.ru/system/home/card#/company/85A6C9A538694641BD5FAF2AED9E6CCF/101"/><Relationship Id="rId109" Type="http://schemas.openxmlformats.org/officeDocument/2006/relationships/hyperlink" TargetMode="External" Target="https://zakupki.gov.ru/epz/order/notice/ea44/view/common-info.html?regNumber=0148300014520000014"/><Relationship Id="rId110" Type="http://schemas.openxmlformats.org/officeDocument/2006/relationships/hyperlink" TargetMode="External" Target="https://spark-interfax.ru/system/home/card#/company/8A24051F22A34E6594378B9919FC5F8C/101"/><Relationship Id="rId111" Type="http://schemas.openxmlformats.org/officeDocument/2006/relationships/hyperlink" TargetMode="External" Target="https://zakupki.gov.ru/epz/order/notice/ea44/view/common-info.html?regNumber=0129200005320001043"/><Relationship Id="rId112" Type="http://schemas.openxmlformats.org/officeDocument/2006/relationships/hyperlink" TargetMode="External" Target="https://spark-interfax.ru/system/home/card#/company/10FAC5A9097B4A6C8E6B1DECC1F94C12/101"/><Relationship Id="rId113" Type="http://schemas.openxmlformats.org/officeDocument/2006/relationships/hyperlink" TargetMode="External" Target="https://zakupki.gov.ru/epz/order/notice/ea44/view/common-info.html?regNumber=0160300034220000016"/><Relationship Id="rId114" Type="http://schemas.openxmlformats.org/officeDocument/2006/relationships/hyperlink" TargetMode="External" Target="https://spark-interfax.ru/system/home/card#/company/A8532524252E439E80E6DDF6017EA874/101"/><Relationship Id="rId115" Type="http://schemas.openxmlformats.org/officeDocument/2006/relationships/hyperlink" TargetMode="External" Target="https://zakupki.gov.ru/epz/order/notice/ea44/view/common-info.html?regNumber=0194200000520001955"/><Relationship Id="rId116" Type="http://schemas.openxmlformats.org/officeDocument/2006/relationships/hyperlink" TargetMode="External" Target="https://spark-interfax.ru/system/home/card#/company/7DC9407335B17CA6E0531B9AA8C0E014/101"/><Relationship Id="rId117" Type="http://schemas.openxmlformats.org/officeDocument/2006/relationships/hyperlink" TargetMode="External" Target="https://zakupki.gov.ru/epz/order/notice/ea44/view/common-info.html?regNumber=0339300034220000041"/><Relationship Id="rId118" Type="http://schemas.openxmlformats.org/officeDocument/2006/relationships/hyperlink" TargetMode="External" Target="https://spark-interfax.ru/system/home/card#/company/9521F35F7405480A84EAE491BA751301/101"/><Relationship Id="rId119" Type="http://schemas.openxmlformats.org/officeDocument/2006/relationships/hyperlink" TargetMode="External" Target="https://zakupki.gov.ru/epz/order/notice/ea44/view/common-info.html?regNumber=0339300181020000001"/><Relationship Id="rId120" Type="http://schemas.openxmlformats.org/officeDocument/2006/relationships/hyperlink" TargetMode="External" Target="https://spark-interfax.ru/system/home/card#/company/AACC2A3CED05464BA246FC21683DC684/101"/><Relationship Id="rId121" Type="http://schemas.openxmlformats.org/officeDocument/2006/relationships/hyperlink" TargetMode="External" Target="https://zakupki.gov.ru/epz/order/notice/ea44/view/common-info.html?regNumber=0826300021020000099"/><Relationship Id="rId122" Type="http://schemas.openxmlformats.org/officeDocument/2006/relationships/hyperlink" TargetMode="External" Target="https://spark-interfax.ru/system/home/card#/company/5684048C426B484A895D87FFDC704D04/101"/><Relationship Id="rId123" Type="http://schemas.openxmlformats.org/officeDocument/2006/relationships/hyperlink" TargetMode="External" Target="https://zakupki.gov.ru/epz/order/notice/ea44/view/common-info.html?regNumber=0161300000820000012"/><Relationship Id="rId124" Type="http://schemas.openxmlformats.org/officeDocument/2006/relationships/hyperlink" TargetMode="External" Target="https://spark-interfax.ru/system/home/card#/company/88D9F9FEF12447A6A8EF90CFB252488D/101"/><Relationship Id="rId125" Type="http://schemas.openxmlformats.org/officeDocument/2006/relationships/hyperlink" TargetMode="External" Target="https://zakupki.gov.ru/epz/order/notice/ea44/view/common-info.html?regNumber=0373100056620000208"/><Relationship Id="rId126" Type="http://schemas.openxmlformats.org/officeDocument/2006/relationships/hyperlink" TargetMode="External" Target="https://spark-interfax.ru/system/home/card#/company/557A15ECEC1540E9A82DEAC67413687F/101"/><Relationship Id="rId127" Type="http://schemas.openxmlformats.org/officeDocument/2006/relationships/hyperlink" TargetMode="External" Target="https://zakupki.gov.ru/epz/order/notice/ea44/view/common-info.html?regNumber=0360200054020000042"/><Relationship Id="rId128" Type="http://schemas.openxmlformats.org/officeDocument/2006/relationships/hyperlink" TargetMode="External" Target="https://spark-interfax.ru/system/home/card#/company/AA49A8D4A4744D19A7BF880C44106E6A/101"/><Relationship Id="rId129" Type="http://schemas.openxmlformats.org/officeDocument/2006/relationships/hyperlink" TargetMode="External" Target="https://zakupki.gov.ru/epz/order/notice/ea44/view/common-info.html?regNumber=0129200005320001046"/><Relationship Id="rId130" Type="http://schemas.openxmlformats.org/officeDocument/2006/relationships/hyperlink" TargetMode="External" Target="https://spark-interfax.ru/system/home/card#/company/8B7DCAC62484469CA33AF7D60A1AC31D/101"/><Relationship Id="rId131" Type="http://schemas.openxmlformats.org/officeDocument/2006/relationships/hyperlink" TargetMode="External" Target="https://zakupki.gov.ru/epz/order/notice/ea44/view/common-info.html?regNumber=0342100003120000199"/><Relationship Id="rId132" Type="http://schemas.openxmlformats.org/officeDocument/2006/relationships/hyperlink" TargetMode="External" Target="https://spark-interfax.ru/system/home/card#/company/7E8DFA8B8DAD4EC88466EDB5A77F6E4A/101"/><Relationship Id="rId133" Type="http://schemas.openxmlformats.org/officeDocument/2006/relationships/hyperlink" TargetMode="External" Target="https://zakupki.gov.ru/epz/order/notice/ea44/view/common-info.html?regNumber=0171200001920000249"/><Relationship Id="rId134" Type="http://schemas.openxmlformats.org/officeDocument/2006/relationships/hyperlink" TargetMode="External" Target="https://spark-interfax.ru/system/home/card#/company/7E1A5B6F3BD226D4E0531B9AA8C0EC80/101"/><Relationship Id="rId135" Type="http://schemas.openxmlformats.org/officeDocument/2006/relationships/hyperlink" TargetMode="External" Target="https://zakupki.gov.ru/epz/order/notice/ea44/view/common-info.html?regNumber=0158300051820000015"/><Relationship Id="rId136" Type="http://schemas.openxmlformats.org/officeDocument/2006/relationships/hyperlink" TargetMode="External" Target="https://spark-interfax.ru/system/home/card#/company/397BE30A3EE7496BAC0058CC343AC33A/101"/><Relationship Id="rId137" Type="http://schemas.openxmlformats.org/officeDocument/2006/relationships/hyperlink" TargetMode="External" Target="https://zakupki.gov.ru/epz/order/notice/ea44/view/common-info.html?regNumber=0115300025820000027"/><Relationship Id="rId138" Type="http://schemas.openxmlformats.org/officeDocument/2006/relationships/hyperlink" TargetMode="External" Target="https://spark-interfax.ru/system/home/card#/company/71739F1A4BF38456E0531B9AA8C0BCAA/101"/><Relationship Id="rId139" Type="http://schemas.openxmlformats.org/officeDocument/2006/relationships/hyperlink" TargetMode="External" Target="https://zakupki.gov.ru/epz/order/notice/ea44/view/common-info.html?regNumber=0115200001120000569"/><Relationship Id="rId140" Type="http://schemas.openxmlformats.org/officeDocument/2006/relationships/hyperlink" TargetMode="External" Target="https://spark-interfax.ru/system/home/card#/company/7AB5C219F2FD432A89A48B7419B8EAAF/101"/><Relationship Id="rId141" Type="http://schemas.openxmlformats.org/officeDocument/2006/relationships/hyperlink" TargetMode="External" Target="https://zakupki.gov.ru/epz/order/notice/ea44/view/common-info.html?regNumber=0194400000720000008"/><Relationship Id="rId142" Type="http://schemas.openxmlformats.org/officeDocument/2006/relationships/hyperlink" TargetMode="External" Target="https://spark-interfax.ru/system/home/card#/company/656DEB8F6C9D356FE0531B9AA8C0966F/101"/><Relationship Id="rId143" Type="http://schemas.openxmlformats.org/officeDocument/2006/relationships/hyperlink" TargetMode="External" Target="https://zakupki.gov.ru/epz/order/notice/ea44/view/common-info.html?regNumber=0358300097320000001"/><Relationship Id="rId144" Type="http://schemas.openxmlformats.org/officeDocument/2006/relationships/hyperlink" TargetMode="External" Target="https://spark-interfax.ru/system/home/card#/company/7CC3C6AF880A5743E0531B9AA8C08A3B/101"/><Relationship Id="rId145" Type="http://schemas.openxmlformats.org/officeDocument/2006/relationships/hyperlink" TargetMode="External" Target="https://zakupki.gov.ru/epz/order/notice/ea44/view/common-info.html?regNumber=0856300009320000045"/><Relationship Id="rId146" Type="http://schemas.openxmlformats.org/officeDocument/2006/relationships/hyperlink" TargetMode="External" Target="https://spark-interfax.ru/system/home/card#/company/35E09430EE7544739FF168B9B77BDF61/101"/><Relationship Id="rId147" Type="http://schemas.openxmlformats.org/officeDocument/2006/relationships/hyperlink" TargetMode="External" Target="https://zakupki.gov.ru/epz/order/notice/ea44/view/common-info.html?regNumber=0358300213120000007"/><Relationship Id="rId148" Type="http://schemas.openxmlformats.org/officeDocument/2006/relationships/hyperlink" TargetMode="External" Target="https://spark-interfax.ru/system/home/card#/company/18EC34706A0548D6966738342D4F5FD9/101"/><Relationship Id="rId149" Type="http://schemas.openxmlformats.org/officeDocument/2006/relationships/hyperlink" TargetMode="External" Target="https://zakupki.gov.ru/epz/order/notice/ea44/view/common-info.html?regNumber=0858100004320000009"/><Relationship Id="rId150" Type="http://schemas.openxmlformats.org/officeDocument/2006/relationships/hyperlink" TargetMode="External" Target="https://spark-interfax.ru/system/home/card#/company/028F1014B08549AD9C8E7CE56C09530F/101"/><Relationship Id="rId151" Type="http://schemas.openxmlformats.org/officeDocument/2006/relationships/hyperlink" TargetMode="External" Target="https://zakupki.gov.ru/epz/order/notice/ea44/view/common-info.html?regNumber=0340200003320003090"/><Relationship Id="rId152" Type="http://schemas.openxmlformats.org/officeDocument/2006/relationships/hyperlink" TargetMode="External" Target="https://spark-interfax.ru/system/home/card#/company/351C146CE5A641BBA709C9781B417C41/101"/><Relationship Id="rId153" Type="http://schemas.openxmlformats.org/officeDocument/2006/relationships/hyperlink" TargetMode="External" Target="https://zakupki.gov.ru/epz/order/notice/ea44/view/common-info.html?regNumber=0167300007820000027"/><Relationship Id="rId154" Type="http://schemas.openxmlformats.org/officeDocument/2006/relationships/hyperlink" TargetMode="External" Target="https://spark-interfax.ru/system/home/card#/company/45A8860CCBC04A9287757D5F5EC5B6F0/101"/><Relationship Id="rId155" Type="http://schemas.openxmlformats.org/officeDocument/2006/relationships/hyperlink" TargetMode="External" Target="https://zakupki.gov.ru/epz/order/notice/ea44/view/common-info.html?regNumber=0848300057720000023"/><Relationship Id="rId156" Type="http://schemas.openxmlformats.org/officeDocument/2006/relationships/hyperlink" TargetMode="External" Target="https://spark-interfax.ru/system/home/card#/company/A0C16801386041BAE053189AA8C065D8/101"/><Relationship Id="rId157" Type="http://schemas.openxmlformats.org/officeDocument/2006/relationships/hyperlink" TargetMode="External" Target="https://zakupki.gov.ru/epz/order/notice/ea44/view/common-info.html?regNumber=0819300038020000039"/><Relationship Id="rId158" Type="http://schemas.openxmlformats.org/officeDocument/2006/relationships/hyperlink" TargetMode="External" Target="https://spark-interfax.ru/system/home/card#/company/4863808EBC774ADC8A8EE151D3FB1E32/101"/><Relationship Id="rId159" Type="http://schemas.openxmlformats.org/officeDocument/2006/relationships/hyperlink" TargetMode="External" Target="https://zakupki.gov.ru/epz/order/notice/ea44/view/common-info.html?regNumber=0340200003320003038"/><Relationship Id="rId160" Type="http://schemas.openxmlformats.org/officeDocument/2006/relationships/hyperlink" TargetMode="External" Target="https://spark-interfax.ru/system/home/card#/company/A711B3E133874E30BC56BF00BA889F05/101"/><Relationship Id="rId161" Type="http://schemas.openxmlformats.org/officeDocument/2006/relationships/hyperlink" TargetMode="External" Target="https://zakupki.gov.ru/epz/order/notice/ea44/view/common-info.html?regNumber=0860200000820001473"/><Relationship Id="rId162" Type="http://schemas.openxmlformats.org/officeDocument/2006/relationships/hyperlink" TargetMode="External" Target="https://spark-interfax.ru/system/home/card#/company/A6847C6F075B4EDCBDC8130B3991F1DF/101"/><Relationship Id="rId163" Type="http://schemas.openxmlformats.org/officeDocument/2006/relationships/hyperlink" TargetMode="External" Target="https://zakupki.gov.ru/epz/order/notice/ea44/view/common-info.html?regNumber=0129200005320001044"/><Relationship Id="rId164" Type="http://schemas.openxmlformats.org/officeDocument/2006/relationships/hyperlink" TargetMode="External" Target="https://spark-interfax.ru/system/home/card#/company/1DD6CA37F6B641A9A702B85F25D5DF1E/101"/><Relationship Id="rId165" Type="http://schemas.openxmlformats.org/officeDocument/2006/relationships/hyperlink" TargetMode="External" Target="https://zakupki.gov.ru/epz/order/notice/ea44/view/common-info.html?regNumber=0154200000720000269"/><Relationship Id="rId166" Type="http://schemas.openxmlformats.org/officeDocument/2006/relationships/hyperlink" TargetMode="External" Target="https://spark-interfax.ru/system/home/card#/company/3FE40DCB087F4BA3A0601C27A4DF78EB/101"/><Relationship Id="rId167" Type="http://schemas.openxmlformats.org/officeDocument/2006/relationships/hyperlink" TargetMode="External" Target="https://zakupki.gov.ru/epz/order/notice/ea44/view/common-info.html?regNumber=0377300030320000001"/><Relationship Id="rId168" Type="http://schemas.openxmlformats.org/officeDocument/2006/relationships/hyperlink" TargetMode="External" Target="https://spark-interfax.ru/system/home/card#/company/3A689A73B30C46D39A9486693F382FAE/101"/><Relationship Id="rId169" Type="http://schemas.openxmlformats.org/officeDocument/2006/relationships/hyperlink" TargetMode="External" Target="https://zakupki.gov.ru/epz/order/notice/ea44/view/common-info.html?regNumber=0171200001920000290"/><Relationship Id="rId170" Type="http://schemas.openxmlformats.org/officeDocument/2006/relationships/hyperlink" TargetMode="External" Target="https://spark-interfax.ru/system/home/card#/company/5A30E6298BDE71CAE0531C9AA8C04C26/101"/><Relationship Id="rId171" Type="http://schemas.openxmlformats.org/officeDocument/2006/relationships/hyperlink" TargetMode="External" Target="https://zakupki.gov.ru/epz/order/notice/ea44/view/common-info.html?regNumber=0372100010620000167"/><Relationship Id="rId172" Type="http://schemas.openxmlformats.org/officeDocument/2006/relationships/hyperlink" TargetMode="External" Target="https://spark-interfax.ru/system/home/card#/company/2D6F56DA27ED4651A77C01B96005DD70/101"/><Relationship Id="rId173" Type="http://schemas.openxmlformats.org/officeDocument/2006/relationships/hyperlink" TargetMode="External" Target="https://zakupki.gov.ru/epz/order/notice/ea44/view/common-info.html?regNumber=0366200035620001034"/><Relationship Id="rId174" Type="http://schemas.openxmlformats.org/officeDocument/2006/relationships/hyperlink" TargetMode="External" Target="https://spark-interfax.ru/system/home/card#/company/902D3EE99BE946F4ABFF3D379E2DBF78/101"/><Relationship Id="rId175" Type="http://schemas.openxmlformats.org/officeDocument/2006/relationships/hyperlink" TargetMode="External" Target="https://zakupki.gov.ru/epz/order/notice/ea44/view/common-info.html?regNumber=0387200009120000633"/><Relationship Id="rId176" Type="http://schemas.openxmlformats.org/officeDocument/2006/relationships/hyperlink" TargetMode="External" Target="https://spark-interfax.ru/system/home/card#/company/0493D41E93824086893171809F210C58/101"/><Relationship Id="rId177" Type="http://schemas.openxmlformats.org/officeDocument/2006/relationships/hyperlink" TargetMode="External" Target="https://zakupki.gov.ru/epz/order/notice/ea44/view/common-info.html?regNumber=0194200000520001924"/><Relationship Id="rId178" Type="http://schemas.openxmlformats.org/officeDocument/2006/relationships/hyperlink" TargetMode="External" Target="https://spark-interfax.ru/system/home/card#/company/7E05ADD2E8EC6A33E0531B9AA8C07C2F/101"/><Relationship Id="rId179" Type="http://schemas.openxmlformats.org/officeDocument/2006/relationships/hyperlink" TargetMode="External" Target="https://zakupki.gov.ru/epz/order/notice/ea44/view/common-info.html?regNumber=0144200002420000343"/><Relationship Id="rId180" Type="http://schemas.openxmlformats.org/officeDocument/2006/relationships/hyperlink" TargetMode="External" Target="https://spark-interfax.ru/system/home/card#/company/79782766544952C6E0531F9AA8C02AE5/101"/><Relationship Id="rId181" Type="http://schemas.openxmlformats.org/officeDocument/2006/relationships/hyperlink" TargetMode="External" Target="https://zakupki.gov.ru/epz/order/notice/ea44/view/common-info.html?regNumber=0373100094320000206"/><Relationship Id="rId182" Type="http://schemas.openxmlformats.org/officeDocument/2006/relationships/hyperlink" TargetMode="External" Target="https://spark-interfax.ru/system/home/card#/company/F2A958A767DB45469E1EBBA5850A488D/101"/><Relationship Id="rId183" Type="http://schemas.openxmlformats.org/officeDocument/2006/relationships/hyperlink" TargetMode="External" Target="https://zakupki.gov.ru/epz/order/notice/ea44/view/common-info.html?regNumber=0372200255920000035"/><Relationship Id="rId184" Type="http://schemas.openxmlformats.org/officeDocument/2006/relationships/hyperlink" TargetMode="External" Target="https://spark-interfax.ru/system/home/card#/company/B93F040ED3E04FE78252081CC19B1ACA/101"/><Relationship Id="rId185" Type="http://schemas.openxmlformats.org/officeDocument/2006/relationships/hyperlink" TargetMode="External" Target="https://zakupki.gov.ru/epz/order/notice/ea44/view/common-info.html?regNumber=0818500000820001545"/><Relationship Id="rId186" Type="http://schemas.openxmlformats.org/officeDocument/2006/relationships/hyperlink" TargetMode="External" Target="https://spark-interfax.ru/system/home/card#/company/6407DCBC10354877BE897A4A18BD588C/101"/><Relationship Id="rId187" Type="http://schemas.openxmlformats.org/officeDocument/2006/relationships/hyperlink" TargetMode="External" Target="https://zakupki.gov.ru/epz/order/notice/ea44/view/common-info.html?regNumber=0105300000720000039"/><Relationship Id="rId188" Type="http://schemas.openxmlformats.org/officeDocument/2006/relationships/hyperlink" TargetMode="External" Target="https://spark-interfax.ru/system/home/card#/company/435FBF4617C94C1186413B998B445B87/101"/><Relationship Id="rId189" Type="http://schemas.openxmlformats.org/officeDocument/2006/relationships/hyperlink" TargetMode="External" Target="https://zakupki.gov.ru/epz/order/notice/ea44/view/common-info.html?regNumber=0387200009120000563"/><Relationship Id="rId190" Type="http://schemas.openxmlformats.org/officeDocument/2006/relationships/hyperlink" TargetMode="External" Target="https://spark-interfax.ru/system/home/card#/company/8F27CB52FBB3698AE0531B9AA8C09E8E/101"/><Relationship Id="rId191" Type="http://schemas.openxmlformats.org/officeDocument/2006/relationships/hyperlink" TargetMode="External" Target="https://zakupki.gov.ru/epz/order/notice/ea44/view/common-info.html?regNumber=0122100008620000025"/><Relationship Id="rId192" Type="http://schemas.openxmlformats.org/officeDocument/2006/relationships/hyperlink" TargetMode="External" Target="https://spark-interfax.ru/system/home/card#/company/576EB4CA0B0F4904A11719E9DC68C172/101"/><Relationship Id="rId193" Type="http://schemas.openxmlformats.org/officeDocument/2006/relationships/hyperlink" TargetMode="External" Target="https://zakupki.gov.ru/epz/order/notice/ea44/view/common-info.html?regNumber=0126300029120000147"/><Relationship Id="rId194" Type="http://schemas.openxmlformats.org/officeDocument/2006/relationships/hyperlink" TargetMode="External" Target="https://spark-interfax.ru/system/home/card#/company/38B2F4FB94E444FA94AC3F09C224F290/101"/><Relationship Id="rId195" Type="http://schemas.openxmlformats.org/officeDocument/2006/relationships/hyperlink" TargetMode="External" Target="https://zakupki.gov.ru/epz/order/notice/ea44/view/common-info.html?regNumber=0171200001920000279"/><Relationship Id="rId196" Type="http://schemas.openxmlformats.org/officeDocument/2006/relationships/hyperlink" TargetMode="External" Target="https://spark-interfax.ru/system/home/card#/company/04AE9366C8454D77A089E0E253C6D968/101"/><Relationship Id="rId197" Type="http://schemas.openxmlformats.org/officeDocument/2006/relationships/hyperlink" TargetMode="External" Target="https://zakupki.gov.ru/epz/order/notice/ea44/view/common-info.html?regNumber=0194200000520001927"/><Relationship Id="rId198" Type="http://schemas.openxmlformats.org/officeDocument/2006/relationships/hyperlink" TargetMode="External" Target="https://spark-interfax.ru/system/home/card#/company/43AFB30A712746C6BE8C1173224C4EBD/101"/><Relationship Id="rId199" Type="http://schemas.openxmlformats.org/officeDocument/2006/relationships/hyperlink" TargetMode="External" Target="https://zakupki.gov.ru/epz/order/notice/ea44/view/common-info.html?regNumber=0139200000120001735"/><Relationship Id="rId200" Type="http://schemas.openxmlformats.org/officeDocument/2006/relationships/hyperlink" TargetMode="External" Target="https://spark-interfax.ru/system/home/card#/company/982AF0FBE47844E8B8056A978FAF248C/101"/><Relationship Id="rId201" Type="http://schemas.openxmlformats.org/officeDocument/2006/relationships/hyperlink" TargetMode="External" Target="https://zakupki.gov.ru/epz/order/notice/ea44/view/common-info.html?regNumber=0301300051920000001"/><Relationship Id="rId202" Type="http://schemas.openxmlformats.org/officeDocument/2006/relationships/hyperlink" TargetMode="External" Target="https://spark-interfax.ru/system/home/card#/company/A0BA8ED5040D4DECB2F9973C5B447408/101"/><Relationship Id="rId203" Type="http://schemas.openxmlformats.org/officeDocument/2006/relationships/hyperlink" TargetMode="External" Target="https://zakupki.gov.ru/epz/order/notice/ea44/view/common-info.html?regNumber=0860500000220000016"/><Relationship Id="rId204" Type="http://schemas.openxmlformats.org/officeDocument/2006/relationships/hyperlink" TargetMode="External" Target="https://spark-interfax.ru/system/home/card#/company/6C884199DB7C483D9D0CE97FB313F9E5/101"/><Relationship Id="rId205" Type="http://schemas.openxmlformats.org/officeDocument/2006/relationships/hyperlink" TargetMode="External" Target="https://zakupki.gov.ru/epz/order/notice/ea44/view/common-info.html?regNumber=0826300021520000035"/><Relationship Id="rId206" Type="http://schemas.openxmlformats.org/officeDocument/2006/relationships/hyperlink" TargetMode="External" Target="https://spark-interfax.ru/system/home/card#/company/C1FAAFB490364969A732EB702E2AC56B/101"/><Relationship Id="rId207" Type="http://schemas.openxmlformats.org/officeDocument/2006/relationships/hyperlink" TargetMode="External" Target="https://zakupki.gov.ru/epz/order/notice/ea44/view/common-info.html?regNumber=0172200005420000042"/><Relationship Id="rId208" Type="http://schemas.openxmlformats.org/officeDocument/2006/relationships/hyperlink" TargetMode="External" Target="https://spark-interfax.ru/system/home/card#/company/C61299588BC54DC2B4ECF86C8A310FB3/101"/><Relationship Id="rId209" Type="http://schemas.openxmlformats.org/officeDocument/2006/relationships/hyperlink" TargetMode="External" Target="https://zakupki.gov.ru/epz/order/notice/ea44/view/common-info.html?regNumber=0818500000820001533"/><Relationship Id="rId210" Type="http://schemas.openxmlformats.org/officeDocument/2006/relationships/hyperlink" TargetMode="External" Target="https://spark-interfax.ru/system/home/card#/company/F305D27ADB8D4A22B413310B9589304D/101"/><Relationship Id="rId211" Type="http://schemas.openxmlformats.org/officeDocument/2006/relationships/hyperlink" TargetMode="External" Target="https://zakupki.gov.ru/epz/order/notice/ea44/view/common-info.html?regNumber=0342100011820000054"/><Relationship Id="rId212" Type="http://schemas.openxmlformats.org/officeDocument/2006/relationships/hyperlink" TargetMode="External" Target="https://spark-interfax.ru/system/home/card#/company/BFFF9EC8C49041529288BFCF31DA6786/101"/><Relationship Id="rId213" Type="http://schemas.openxmlformats.org/officeDocument/2006/relationships/hyperlink" TargetMode="External" Target="https://zakupki.gov.ru/epz/order/notice/ea44/view/common-info.html?regNumber=0373100056620000211"/><Relationship Id="rId214" Type="http://schemas.openxmlformats.org/officeDocument/2006/relationships/hyperlink" TargetMode="External" Target="https://spark-interfax.ru/system/home/card#/company/EAF9E1C36882434EBE4316F3EC4D5EE8/101"/><Relationship Id="rId215" Type="http://schemas.openxmlformats.org/officeDocument/2006/relationships/hyperlink" TargetMode="External" Target="https://zakupki.gov.ru/epz/order/notice/ea44/view/common-info.html?regNumber=0201100003820000052"/><Relationship Id="rId216" Type="http://schemas.openxmlformats.org/officeDocument/2006/relationships/hyperlink" TargetMode="External" Target="https://spark-interfax.ru/system/home/card#/company/F742A6BE15864AEFB940B954D3E4F7B3/101"/><Relationship Id="rId217" Type="http://schemas.openxmlformats.org/officeDocument/2006/relationships/hyperlink" TargetMode="External" Target="https://zakupki.gov.ru/epz/order/notice/ea44/view/common-info.html?regNumber=0387200009120000634"/><Relationship Id="rId218" Type="http://schemas.openxmlformats.org/officeDocument/2006/relationships/hyperlink" TargetMode="External" Target="https://spark-interfax.ru/system/home/card#/company/1E0830D0191F4F938633567291B45537/101"/><Relationship Id="rId219" Type="http://schemas.openxmlformats.org/officeDocument/2006/relationships/hyperlink" TargetMode="External" Target="https://zakupki.gov.ru/epz/order/notice/ea44/view/common-info.html?regNumber=0126300029120000166"/><Relationship Id="rId220" Type="http://schemas.openxmlformats.org/officeDocument/2006/relationships/hyperlink" TargetMode="External" Target="https://spark-interfax.ru/system/home/card#/company/AF22FE66724C444EA0641F52A5BDEAF7/101"/><Relationship Id="rId221" Type="http://schemas.openxmlformats.org/officeDocument/2006/relationships/hyperlink" TargetMode="External" Target="https://zakupki.gov.ru/epz/order/notice/ea44/view/common-info.html?regNumber=0126300029120000165"/><Relationship Id="rId222" Type="http://schemas.openxmlformats.org/officeDocument/2006/relationships/hyperlink" TargetMode="External" Target="https://spark-interfax.ru/system/home/card#/company/4371237899C64AB8A6FBC262CD7877F2/101"/><Relationship Id="rId223" Type="http://schemas.openxmlformats.org/officeDocument/2006/relationships/hyperlink" TargetMode="External" Target="https://zakupki.gov.ru/epz/order/notice/ea44/view/common-info.html?regNumber=0126300029120000158"/><Relationship Id="rId224" Type="http://schemas.openxmlformats.org/officeDocument/2006/relationships/hyperlink" TargetMode="External" Target="https://spark-interfax.ru/system/home/card#/company/B4D18F9FD17049A294F24045AAD5B00C/101"/><Relationship Id="rId225" Type="http://schemas.openxmlformats.org/officeDocument/2006/relationships/hyperlink" TargetMode="External" Target="https://zakupki.gov.ru/epz/order/notice/ea44/view/common-info.html?regNumber=0826300023720000023"/><Relationship Id="rId226" Type="http://schemas.openxmlformats.org/officeDocument/2006/relationships/hyperlink" TargetMode="External" Target="https://spark-interfax.ru/system/home/card#/company/3A317D6CA2EF480AA7BD7A79E1B7063E/101"/><Relationship Id="rId227" Type="http://schemas.openxmlformats.org/officeDocument/2006/relationships/hyperlink" TargetMode="External" Target="https://zakupki.gov.ru/epz/order/notice/ea44/view/common-info.html?regNumber=0366200035620000978"/><Relationship Id="rId228" Type="http://schemas.openxmlformats.org/officeDocument/2006/relationships/hyperlink" TargetMode="External" Target="https://spark-interfax.ru/system/home/card#/company/848FB93CBAF644798DDB9B4397156AF6/101"/><Relationship Id="rId229" Type="http://schemas.openxmlformats.org/officeDocument/2006/relationships/hyperlink" TargetMode="External" Target="https://zakupki.gov.ru/epz/order/notice/ea44/view/common-info.html?regNumber=0105300000720000037"/><Relationship Id="rId230" Type="http://schemas.openxmlformats.org/officeDocument/2006/relationships/hyperlink" TargetMode="External" Target="https://spark-interfax.ru/system/home/card#/company/AEBE51D87A310E74E053189AA8C0EBD7/101"/><Relationship Id="rId231" Type="http://schemas.openxmlformats.org/officeDocument/2006/relationships/hyperlink" TargetMode="External" Target="https://zakupki.gov.ru/epz/order/notice/ea44/view/common-info.html?regNumber=0373100032020000016"/><Relationship Id="rId232" Type="http://schemas.openxmlformats.org/officeDocument/2006/relationships/hyperlink" TargetMode="External" Target="https://spark-interfax.ru/system/home/card#/company/8A34C2D6E2F3498288856E85C8A8C0B0/101"/><Relationship Id="rId233" Type="http://schemas.openxmlformats.org/officeDocument/2006/relationships/hyperlink" TargetMode="External" Target="https://zakupki.gov.ru/epz/order/notice/ea44/view/common-info.html?regNumber=0372100032620000027"/><Relationship Id="rId234" Type="http://schemas.openxmlformats.org/officeDocument/2006/relationships/hyperlink" TargetMode="External" Target="https://spark-interfax.ru/system/home/card#/company/5DB87DB33436417682D206434C8C8FB4/101"/><Relationship Id="rId235" Type="http://schemas.openxmlformats.org/officeDocument/2006/relationships/hyperlink" TargetMode="External" Target="https://zakupki.gov.ru/epz/order/notice/ea44/view/common-info.html?regNumber=0158200001320000369"/><Relationship Id="rId236" Type="http://schemas.openxmlformats.org/officeDocument/2006/relationships/hyperlink" TargetMode="External" Target="https://spark-interfax.ru/system/home/card#/company/9658F7A9CC5040C4BFD7DA2C46BD67E5/101"/><Relationship Id="rId237" Type="http://schemas.openxmlformats.org/officeDocument/2006/relationships/hyperlink" TargetMode="External" Target="https://zakupki.gov.ru/epz/order/notice/ea44/view/common-info.html?regNumber=0126300029120000154"/><Relationship Id="rId238" Type="http://schemas.openxmlformats.org/officeDocument/2006/relationships/hyperlink" TargetMode="External" Target="https://spark-interfax.ru/system/home/card#/company/CC481E906ED54FF8831698A0A428E59F/101"/><Relationship Id="rId239" Type="http://schemas.openxmlformats.org/officeDocument/2006/relationships/hyperlink" TargetMode="External" Target="https://zakupki.gov.ru/epz/order/notice/ea44/view/common-info.html?regNumber=0129200005320001041"/><Relationship Id="rId240" Type="http://schemas.openxmlformats.org/officeDocument/2006/relationships/hyperlink" TargetMode="External" Target="https://spark-interfax.ru/system/home/card#/company/996078A94ED7462A8E10556C8EA3A275/101"/><Relationship Id="rId241" Type="http://schemas.openxmlformats.org/officeDocument/2006/relationships/hyperlink" TargetMode="External" Target="https://zakupki.gov.ru/epz/order/notice/ea44/view/common-info.html?regNumber=0124300012720000051"/><Relationship Id="rId242" Type="http://schemas.openxmlformats.org/officeDocument/2006/relationships/hyperlink" TargetMode="External" Target="https://spark-interfax.ru/system/home/card#/company/46551100484946F88F5A84E22F7663D9/101"/><Relationship Id="rId243" Type="http://schemas.openxmlformats.org/officeDocument/2006/relationships/hyperlink" TargetMode="External" Target="https://zakupki.gov.ru/epz/order/notice/ea44/view/common-info.html?regNumber=0853500000320001706"/><Relationship Id="rId244" Type="http://schemas.openxmlformats.org/officeDocument/2006/relationships/hyperlink" TargetMode="External" Target="https://spark-interfax.ru/system/home/card#/company/8505D0183BB60A19E0531B9AA8C0E834/101"/><Relationship Id="rId245" Type="http://schemas.openxmlformats.org/officeDocument/2006/relationships/hyperlink" TargetMode="External" Target="https://zakupki.gov.ru/epz/order/notice/ea44/view/common-info.html?regNumber=0105300000720000036"/><Relationship Id="rId246" Type="http://schemas.openxmlformats.org/officeDocument/2006/relationships/hyperlink" TargetMode="External" Target="https://spark-interfax.ru/system/home/card#/company/BD05F839A69E48E69EDEC85271653ED7/101"/><Relationship Id="rId247" Type="http://schemas.openxmlformats.org/officeDocument/2006/relationships/hyperlink" TargetMode="External" Target="https://zakupki.gov.ru/epz/order/notice/ea44/view/common-info.html?regNumber=0129200005320001045"/><Relationship Id="rId248" Type="http://schemas.openxmlformats.org/officeDocument/2006/relationships/hyperlink" TargetMode="External" Target="https://spark-interfax.ru/system/home/card#/company/54D7029DE1074836A3EEBBE8AC5B6DA4/101"/><Relationship Id="rId249" Type="http://schemas.openxmlformats.org/officeDocument/2006/relationships/hyperlink" TargetMode="External" Target="https://zakupki.gov.ru/epz/order/notice/ea44/view/common-info.html?regNumber=0818500000820001535"/><Relationship Id="rId250" Type="http://schemas.openxmlformats.org/officeDocument/2006/relationships/hyperlink" TargetMode="External" Target="https://spark-interfax.ru/system/home/card#/company/7E74FCE8C3CF4E339D4FB8E46ABA657F/101"/><Relationship Id="rId251" Type="http://schemas.openxmlformats.org/officeDocument/2006/relationships/hyperlink" TargetMode="External" Target="https://zakupki.gov.ru/epz/order/notice/ea44/view/common-info.html?regNumber=0373100094320000205"/><Relationship Id="rId252" Type="http://schemas.openxmlformats.org/officeDocument/2006/relationships/hyperlink" TargetMode="External" Target="https://spark-interfax.ru/system/home/card#/company/843B3823DAB745DBE0531B9AA8C00836/101"/><Relationship Id="rId253" Type="http://schemas.openxmlformats.org/officeDocument/2006/relationships/hyperlink" TargetMode="External" Target="https://zakupki.gov.ru/epz/order/notice/ea44/view/common-info.html?regNumber=0372100032620000025"/><Relationship Id="rId254" Type="http://schemas.openxmlformats.org/officeDocument/2006/relationships/hyperlink" TargetMode="External" Target="https://spark-interfax.ru/system/home/card#/company/07A34BD369EE4B42B80A0C2F0E499131/101"/><Relationship Id="rId255" Type="http://schemas.openxmlformats.org/officeDocument/2006/relationships/hyperlink" TargetMode="External" Target="https://zakupki.gov.ru/epz/order/notice/ea44/view/common-info.html?regNumber=0158200001320000363"/><Relationship Id="rId256" Type="http://schemas.openxmlformats.org/officeDocument/2006/relationships/hyperlink" TargetMode="External" Target="https://spark-interfax.ru/system/home/card#/company/CC0FEC07BC6142D280701600CEAD7C57/101"/><Relationship Id="rId257" Type="http://schemas.openxmlformats.org/officeDocument/2006/relationships/hyperlink" TargetMode="External" Target="https://zakupki.gov.ru/epz/order/notice/ea44/view/common-info.html?regNumber=0373100013120000201"/><Relationship Id="rId258" Type="http://schemas.openxmlformats.org/officeDocument/2006/relationships/hyperlink" TargetMode="External" Target="https://spark-interfax.ru/system/home/card#/company/EF59723771CC4827A098FE72BE4C6FD6/101"/><Relationship Id="rId259" Type="http://schemas.openxmlformats.org/officeDocument/2006/relationships/hyperlink" TargetMode="External" Target="https://zakupki.gov.ru/epz/order/notice/ea44/view/common-info.html?regNumber=0848600002720000269"/><Relationship Id="rId260" Type="http://schemas.openxmlformats.org/officeDocument/2006/relationships/hyperlink" TargetMode="External" Target="https://spark-interfax.ru/system/home/card#/company/E1958A82331643B38E8FB1E6E0D29BD0/101"/><Relationship Id="rId261" Type="http://schemas.openxmlformats.org/officeDocument/2006/relationships/hyperlink" TargetMode="External" Target="https://zakupki.gov.ru/epz/order/notice/ea44/view/common-info.html?regNumber=0818500000820001524"/><Relationship Id="rId262" Type="http://schemas.openxmlformats.org/officeDocument/2006/relationships/hyperlink" TargetMode="External" Target="https://spark-interfax.ru/system/home/card#/company/835BB6FC273E4B05A4187A6C5815BEF8/101"/><Relationship Id="rId263" Type="http://schemas.openxmlformats.org/officeDocument/2006/relationships/hyperlink" TargetMode="External" Target="https://zakupki.gov.ru/epz/order/notice/ea44/view/common-info.html?regNumber=0156200009920000173"/><Relationship Id="rId264" Type="http://schemas.openxmlformats.org/officeDocument/2006/relationships/hyperlink" TargetMode="External" Target="https://spark-interfax.ru/system/home/card#/company/154048F502BC4BEC9E51FCC457BDBAFB/101"/><Relationship Id="rId265" Type="http://schemas.openxmlformats.org/officeDocument/2006/relationships/hyperlink" TargetMode="External" Target="https://zakupki.gov.ru/epz/order/notice/ea44/view/common-info.html?regNumber=0351100033220000115"/><Relationship Id="rId266" Type="http://schemas.openxmlformats.org/officeDocument/2006/relationships/hyperlink" TargetMode="External" Target="https://spark-interfax.ru/system/home/card#/company/10313740EB884A12A4C6683FF5765B3E/101"/><Relationship Id="rId267" Type="http://schemas.openxmlformats.org/officeDocument/2006/relationships/hyperlink" TargetMode="External" Target="https://zakupki.gov.ru/epz/order/notice/ea44/view/common-info.html?regNumber=0303300097120000006"/><Relationship Id="rId268" Type="http://schemas.openxmlformats.org/officeDocument/2006/relationships/hyperlink" TargetMode="External" Target="https://spark-interfax.ru/system/home/card#/company/ADCF006441D84597B881A34F2CEA8DEA/101"/><Relationship Id="rId269" Type="http://schemas.openxmlformats.org/officeDocument/2006/relationships/hyperlink" TargetMode="External" Target="https://zakupki.gov.ru/epz/order/notice/ea44/view/common-info.html?regNumber=0320300093720000043"/><Relationship Id="rId270" Type="http://schemas.openxmlformats.org/officeDocument/2006/relationships/hyperlink" TargetMode="External" Target="https://spark-interfax.ru/system/home/card#/company/F12FBCFF8B2346F0BE3B504D0A05455D/101"/><Relationship Id="rId271" Type="http://schemas.openxmlformats.org/officeDocument/2006/relationships/hyperlink" TargetMode="External" Target="https://zakupki.gov.ru/epz/order/notice/ea44/view/common-info.html?regNumber=0373200006520000125"/><Relationship Id="rId272" Type="http://schemas.openxmlformats.org/officeDocument/2006/relationships/hyperlink" TargetMode="External" Target="https://spark-interfax.ru/system/home/card#/company/5C2C4D10390542488A26F89240EE5666/101"/><Relationship Id="rId273" Type="http://schemas.openxmlformats.org/officeDocument/2006/relationships/hyperlink" TargetMode="External" Target="https://zakupki.gov.ru/epz/order/notice/ea44/view/common-info.html?regNumber=0373100091420000194"/><Relationship Id="rId274" Type="http://schemas.openxmlformats.org/officeDocument/2006/relationships/hyperlink" TargetMode="External" Target="https://spark-interfax.ru/system/home/card#/company/7F254A819425835DE0531B9AA8C0F9CC/101"/><Relationship Id="rId275" Type="http://schemas.openxmlformats.org/officeDocument/2006/relationships/hyperlink" TargetMode="External" Target="https://zakupki.gov.ru/epz/order/notice/ea44/view/common-info.html?regNumber=0372100041320000096"/><Relationship Id="rId276" Type="http://schemas.openxmlformats.org/officeDocument/2006/relationships/hyperlink" TargetMode="External" Target="https://spark-interfax.ru/system/home/card#/company/6D141FE255644EAC8111C76B51A51046/101"/><Relationship Id="rId277" Type="http://schemas.openxmlformats.org/officeDocument/2006/relationships/hyperlink" TargetMode="External" Target="https://zakupki.gov.ru/epz/order/notice/ea44/view/common-info.html?regNumber=0158200001320000403"/><Relationship Id="rId278" Type="http://schemas.openxmlformats.org/officeDocument/2006/relationships/hyperlink" TargetMode="External" Target="https://spark-interfax.ru/system/home/card#/company/325E4C674DA9433D8290874CD488DF9E/101"/><Relationship Id="rId279" Type="http://schemas.openxmlformats.org/officeDocument/2006/relationships/hyperlink" TargetMode="External" Target="https://zakupki.gov.ru/epz/order/notice/ea44/view/common-info.html?regNumber=0145200000420000448"/><Relationship Id="rId280" Type="http://schemas.openxmlformats.org/officeDocument/2006/relationships/hyperlink" TargetMode="External" Target="https://spark-interfax.ru/system/home/card#/company/D4C7DFF365C241F9BD9958D5BD10E4B7/101"/><Relationship Id="rId281" Type="http://schemas.openxmlformats.org/officeDocument/2006/relationships/hyperlink" TargetMode="External" Target="https://zakupki.gov.ru/epz/order/notice/ea44/view/common-info.html?regNumber=0133200001720000650"/><Relationship Id="rId282" Type="http://schemas.openxmlformats.org/officeDocument/2006/relationships/hyperlink" TargetMode="External" Target="https://spark-interfax.ru/system/home/card#/company/9DB1CA4A725D460D9F192146CB4610A9/101"/><Relationship Id="rId283" Type="http://schemas.openxmlformats.org/officeDocument/2006/relationships/hyperlink" TargetMode="External" Target="https://zakupki.gov.ru/epz/order/notice/ea44/view/common-info.html?regNumber=0155300002320000017"/><Relationship Id="rId284" Type="http://schemas.openxmlformats.org/officeDocument/2006/relationships/hyperlink" TargetMode="External" Target="https://spark-interfax.ru/system/home/card#/company/0318239C4E2A4E61B07FDCCE045663E7/101"/><Relationship Id="rId285" Type="http://schemas.openxmlformats.org/officeDocument/2006/relationships/hyperlink" TargetMode="External" Target="https://zakupki.gov.ru/epz/order/notice/ea44/view/common-info.html?regNumber=0320200004220000074"/><Relationship Id="rId286" Type="http://schemas.openxmlformats.org/officeDocument/2006/relationships/hyperlink" TargetMode="External" Target="https://spark-interfax.ru/system/home/card#/company/134EC7568E6C43C480361E62212E7052/101"/><Relationship Id="rId287" Type="http://schemas.openxmlformats.org/officeDocument/2006/relationships/hyperlink" TargetMode="External" Target="https://zakupki.gov.ru/epz/order/notice/ea44/view/common-info.html?regNumber=0373200045220000340"/><Relationship Id="rId288" Type="http://schemas.openxmlformats.org/officeDocument/2006/relationships/hyperlink" TargetMode="External" Target="https://spark-interfax.ru/system/home/card#/company/AA9B8D757C784B9F8FEF8ACD37E2C369/101"/><Relationship Id="rId289" Type="http://schemas.openxmlformats.org/officeDocument/2006/relationships/hyperlink" TargetMode="External" Target="https://spark-interfax.ru/system/home/card#/company/C83EDF3BC1874E64BACC5118CFAF5EE2/101"/><Relationship Id="rId290" Type="http://schemas.openxmlformats.org/officeDocument/2006/relationships/hyperlink" TargetMode="External" Target="https://spark-interfax.ru/system/home/card#/company/9F6AB7C6783E4DA6E053179AA8C02F31/101"/><Relationship Id="rId291" Type="http://schemas.openxmlformats.org/officeDocument/2006/relationships/hyperlink" TargetMode="External" Target="https://spark-interfax.ru/system/home/card#/company/E7247C73249D4622AC6CDF4C3B21268B/101"/><Relationship Id="rId292" Type="http://schemas.openxmlformats.org/officeDocument/2006/relationships/hyperlink" TargetMode="External" Target="https://spark-interfax.ru/system/home/card#/company/E45AFF5211B3431181F92C5344AB2DE7/101"/><Relationship Id="rId293" Type="http://schemas.openxmlformats.org/officeDocument/2006/relationships/hyperlink" TargetMode="External" Target="https://spark-interfax.ru/system/home/card#/company/B27BEDBC9BF8458D841C01BDB595A13B/101"/><Relationship Id="rId294" Type="http://schemas.openxmlformats.org/officeDocument/2006/relationships/hyperlink" TargetMode="External" Target="https://spark-interfax.ru/system/home/card#/company/5C0F56E6EF50449BA78B365D094B8D42/101"/><Relationship Id="rId295" Type="http://schemas.openxmlformats.org/officeDocument/2006/relationships/hyperlink" TargetMode="External" Target="https://spark-interfax.ru/system/home/card#/company/C3B5216487E74C628EFE40EC123680D6/101"/><Relationship Id="rId296" Type="http://schemas.openxmlformats.org/officeDocument/2006/relationships/hyperlink" TargetMode="External" Target="https://spark-interfax.ru/system/home/card#/company/1790198C36834E8D80FD58429C311454/101"/><Relationship Id="rId297" Type="http://schemas.openxmlformats.org/officeDocument/2006/relationships/hyperlink" TargetMode="External" Target="https://spark-interfax.ru/system/home/card#/company/0A90540746AB42BEBD7BB563DF90BAC7/101"/><Relationship Id="rId298" Type="http://schemas.openxmlformats.org/officeDocument/2006/relationships/hyperlink" TargetMode="External" Target="https://spark-interfax.ru/system/home/card#/company/9A03399BC71145E8B638C0085EDA0E4A/101"/><Relationship Id="rId299" Type="http://schemas.openxmlformats.org/officeDocument/2006/relationships/hyperlink" TargetMode="External" Target="https://spark-interfax.ru/system/home/card#/company/975995B61DD546C6A2BA3B4B498FD428/101"/><Relationship Id="rId300" Type="http://schemas.openxmlformats.org/officeDocument/2006/relationships/hyperlink" TargetMode="External" Target="https://spark-interfax.ru/system/home/card#/company/F4F4B37057414DAEA9810ECCE9681711/101"/><Relationship Id="rId301" Type="http://schemas.openxmlformats.org/officeDocument/2006/relationships/hyperlink" TargetMode="External" Target="https://zakupki.gov.ru/epz/order/notice/ea44/view/common-info.html?regNumber=0162300033220000036"/><Relationship Id="rId302" Type="http://schemas.openxmlformats.org/officeDocument/2006/relationships/hyperlink" TargetMode="External" Target="https://spark-interfax.ru/system/home/card#/company/AC7328BF7048429DA549994413FF6DE9/101"/><Relationship Id="rId303" Type="http://schemas.openxmlformats.org/officeDocument/2006/relationships/hyperlink" TargetMode="External" Target="https://zakupki.gov.ru/epz/order/notice/ea44/view/common-info.html?regNumber=0318100045220000022"/><Relationship Id="rId304" Type="http://schemas.openxmlformats.org/officeDocument/2006/relationships/hyperlink" TargetMode="External" Target="https://spark-interfax.ru/system/home/card#/company/9BC1A951134E4003A920E54B5D7EAADD/101"/><Relationship Id="rId305" Type="http://schemas.openxmlformats.org/officeDocument/2006/relationships/hyperlink" TargetMode="External" Target="https://zakupki.gov.ru/epz/order/notice/ea44/view/common-info.html?regNumber=0373100056620000217"/><Relationship Id="rId306" Type="http://schemas.openxmlformats.org/officeDocument/2006/relationships/hyperlink" TargetMode="External" Target="https://spark-interfax.ru/system/home/card#/company/38FFDC438B664CACAE6338F57EA19EB4/101"/><Relationship Id="rId307" Type="http://schemas.openxmlformats.org/officeDocument/2006/relationships/hyperlink" TargetMode="External" Target="https://zakupki.gov.ru/epz/order/notice/ea44/view/common-info.html?regNumber=0131200001020002034"/><Relationship Id="rId308" Type="http://schemas.openxmlformats.org/officeDocument/2006/relationships/hyperlink" TargetMode="External" Target="https://spark-interfax.ru/system/home/card#/company/6131229838F53908E0531B9AA8C0F374/101"/><Relationship Id="rId309" Type="http://schemas.openxmlformats.org/officeDocument/2006/relationships/hyperlink" TargetMode="External" Target="https://zakupki.gov.ru/epz/order/notice/ea44/view/common-info.html?regNumber=0555600000220000001"/><Relationship Id="rId310" Type="http://schemas.openxmlformats.org/officeDocument/2006/relationships/hyperlink" TargetMode="External" Target="https://spark-interfax.ru/system/home/card#/company/6AC61EE373164BDFE0531B9AA8C0E5A4/101"/><Relationship Id="rId311" Type="http://schemas.openxmlformats.org/officeDocument/2006/relationships/hyperlink" TargetMode="External" Target="https://zakupki.gov.ru/epz/order/notice/ea44/view/common-info.html?regNumber=0373200025620000130"/><Relationship Id="rId312" Type="http://schemas.openxmlformats.org/officeDocument/2006/relationships/hyperlink" TargetMode="External" Target="https://spark-interfax.ru/system/home/card#/company/8DDF713D98A34A69A47D3607B682EF1B/101"/><Relationship Id="rId313" Type="http://schemas.openxmlformats.org/officeDocument/2006/relationships/hyperlink" TargetMode="External" Target="https://spark-interfax.ru/system/home/card#/company/7E78F588D9EF4A77AFF028AF9B0C563F/101"/><Relationship Id="rId314" Type="http://schemas.openxmlformats.org/officeDocument/2006/relationships/hyperlink" TargetMode="External" Target="https://spark-interfax.ru/system/home/card#/company/8CF50A9CE9EA44D2B9E7A1E81B73834B/101"/><Relationship Id="rId315" Type="http://schemas.openxmlformats.org/officeDocument/2006/relationships/hyperlink" TargetMode="External" Target="https://spark-interfax.ru/system/home/card#/company/BF529A0880F06652E053219AA8C0E3B5/101"/><Relationship Id="rId316" Type="http://schemas.openxmlformats.org/officeDocument/2006/relationships/hyperlink" TargetMode="External" Target="https://spark-interfax.ru/system/home/card#/company/8BCC67D387042FCBE0531C9AA8C0E99A/101"/><Relationship Id="rId317" Type="http://schemas.openxmlformats.org/officeDocument/2006/relationships/hyperlink" TargetMode="External" Target="https://spark-interfax.ru/system/home/card#/company/E97C05F6C3B943358E9C3EB00E4E9AA0/101"/><Relationship Id="rId318" Type="http://schemas.openxmlformats.org/officeDocument/2006/relationships/hyperlink" TargetMode="External" Target="https://spark-interfax.ru/system/home/card#/company/8A0FA463B90247D4B51854EF4D394439/101"/><Relationship Id="rId319" Type="http://schemas.openxmlformats.org/officeDocument/2006/relationships/hyperlink" TargetMode="External" Target="https://spark-interfax.ru/system/home/card#/company/99939C6B49BD47DD8F4B8B0AE2084D1A/101"/><Relationship Id="rId320" Type="http://schemas.openxmlformats.org/officeDocument/2006/relationships/hyperlink" TargetMode="External" Target="https://spark-interfax.ru/system/home/card#/company/22FAE0E7B19848DCADFAA83A0EBC6575/101"/><Relationship Id="rId321" Type="http://schemas.openxmlformats.org/officeDocument/2006/relationships/hyperlink" TargetMode="External" Target="https://spark-interfax.ru/system/home/card#/company/DAC8CBCA50204780A35D82A9F23BC880/101"/><Relationship Id="rId322" Type="http://schemas.openxmlformats.org/officeDocument/2006/relationships/hyperlink" TargetMode="External" Target="https://spark-interfax.ru/system/home/card#/company/7420E7B5512C877DE0531B9AA8C09101/101"/><Relationship Id="rId323" Type="http://schemas.openxmlformats.org/officeDocument/2006/relationships/hyperlink" TargetMode="External" Target="https://spark-interfax.ru/system/home/card#/company/8F3966CD88E342D9AD206437B997CDF7/101"/><Relationship Id="rId324" Type="http://schemas.openxmlformats.org/officeDocument/2006/relationships/hyperlink" TargetMode="External" Target="https://spark-interfax.ru/system/home/card#/company/4C572FCE39114711BE961D1618A8DAA0/101"/><Relationship Id="rId325" Type="http://schemas.openxmlformats.org/officeDocument/2006/relationships/hyperlink" TargetMode="External" Target="https://zakupki.gov.ru/epz/order/notice/ea44/view/common-info.html?regNumber=0373100059320000071"/><Relationship Id="rId326" Type="http://schemas.openxmlformats.org/officeDocument/2006/relationships/hyperlink" TargetMode="External" Target="https://spark-interfax.ru/system/home/card#/company/5D93C31506013650E0531B9AA8C01AA7/101"/><Relationship Id="rId327" Type="http://schemas.openxmlformats.org/officeDocument/2006/relationships/hyperlink" TargetMode="External" Target="https://zakupki.gov.ru/epz/order/notice/ea44/view/common-info.html?regNumber=0303300064720000037"/><Relationship Id="rId328" Type="http://schemas.openxmlformats.org/officeDocument/2006/relationships/hyperlink" TargetMode="External" Target="https://spark-interfax.ru/system/home/card#/company/24B301F1373D454D8E406B77CE718A42/101"/><Relationship Id="rId329" Type="http://schemas.openxmlformats.org/officeDocument/2006/relationships/hyperlink" TargetMode="External" Target="https://zakupki.gov.ru/epz/order/notice/ea44/view/common-info.html?regNumber=0105300000720000038"/><Relationship Id="rId330" Type="http://schemas.openxmlformats.org/officeDocument/2006/relationships/hyperlink" TargetMode="External" Target="https://spark-interfax.ru/system/home/card#/company/749D296B631E4375AEBAAFD8F050B1A2/101"/><Relationship Id="rId331" Type="http://schemas.openxmlformats.org/officeDocument/2006/relationships/hyperlink" TargetMode="External" Target="https://zakupki.gov.ru/epz/order/notice/ea44/view/common-info.html?regNumber=0304200005620000056"/><Relationship Id="rId332" Type="http://schemas.openxmlformats.org/officeDocument/2006/relationships/hyperlink" TargetMode="External" Target="https://spark-interfax.ru/system/home/card#/company/36A5EB10B37A4B5BBEEA4BF6B80C0ED6/101"/><Relationship Id="rId333" Type="http://schemas.openxmlformats.org/officeDocument/2006/relationships/hyperlink" TargetMode="External" Target="https://zakupki.gov.ru/epz/order/notice/ea44/view/common-info.html?regNumber=0373100013120000197"/><Relationship Id="rId334" Type="http://schemas.openxmlformats.org/officeDocument/2006/relationships/hyperlink" TargetMode="External" Target="https://spark-interfax.ru/system/home/card#/company/0ACB3C8BE84641F589278C6375772BB2/101"/><Relationship Id="rId335" Type="http://schemas.openxmlformats.org/officeDocument/2006/relationships/hyperlink" TargetMode="External" Target="https://zakupki.gov.ru/epz/order/notice/ea44/view/common-info.html?regNumber=0813500000120003511"/><Relationship Id="rId336" Type="http://schemas.openxmlformats.org/officeDocument/2006/relationships/hyperlink" TargetMode="External" Target="https://spark-interfax.ru/system/home/card#/company/C2C72B9557EC4063A6D734ED318FB393/101"/><Relationship Id="rId337" Type="http://schemas.openxmlformats.org/officeDocument/2006/relationships/hyperlink" TargetMode="External" Target="https://zakupki.gov.ru/epz/order/notice/ea44/view/common-info.html?regNumber=0134300090020000086"/><Relationship Id="rId338" Type="http://schemas.openxmlformats.org/officeDocument/2006/relationships/hyperlink" TargetMode="External" Target="https://spark-interfax.ru/system/home/card#/company/B458B1CFB603401C80E3F2146D9347EB/101"/><Relationship Id="rId339" Type="http://schemas.openxmlformats.org/officeDocument/2006/relationships/hyperlink" TargetMode="External" Target="https://zakupki.gov.ru/epz/order/notice/ea44/view/common-info.html?regNumber=0156200009920000179"/><Relationship Id="rId340" Type="http://schemas.openxmlformats.org/officeDocument/2006/relationships/hyperlink" TargetMode="External" Target="https://spark-interfax.ru/system/home/card#/company/7B4B894AFD147AD1E0531B9AA8C097BE/101"/><Relationship Id="rId341" Type="http://schemas.openxmlformats.org/officeDocument/2006/relationships/hyperlink" TargetMode="External" Target="https://zakupki.gov.ru/epz/order/notice/ea44/view/common-info.html?regNumber=0373200006520000124"/><Relationship Id="rId342" Type="http://schemas.openxmlformats.org/officeDocument/2006/relationships/hyperlink" TargetMode="External" Target="https://spark-interfax.ru/system/home/card#/company/368C49F5CF8442578342B47D8FE9E874/101"/><Relationship Id="rId343" Type="http://schemas.openxmlformats.org/officeDocument/2006/relationships/hyperlink" TargetMode="External" Target="https://zakupki.gov.ru/epz/order/notice/ea44/view/common-info.html?regNumber=0860200000820001508"/><Relationship Id="rId344" Type="http://schemas.openxmlformats.org/officeDocument/2006/relationships/hyperlink" TargetMode="External" Target="https://spark-interfax.ru/system/home/card#/company/5532F8FA0725483B99560417ACACF01D/101"/><Relationship Id="rId345" Type="http://schemas.openxmlformats.org/officeDocument/2006/relationships/hyperlink" TargetMode="External" Target="https://zakupki.gov.ru/epz/order/notice/ea44/view/common-info.html?regNumber=0373100068220000313"/><Relationship Id="rId346" Type="http://schemas.openxmlformats.org/officeDocument/2006/relationships/hyperlink" TargetMode="External" Target="https://spark-interfax.ru/system/home/card#/company/2BAA543EC8264EE6B484D51A38220BE4/101"/><Relationship Id="rId347" Type="http://schemas.openxmlformats.org/officeDocument/2006/relationships/hyperlink" TargetMode="External" Target="https://zakupki.gov.ru/epz/order/notice/ea44/view/common-info.html?regNumber=0711200015920000043"/><Relationship Id="rId348" Type="http://schemas.openxmlformats.org/officeDocument/2006/relationships/hyperlink" TargetMode="External" Target="https://spark-interfax.ru/system/home/card#/company/4A07BD7FA2044ACD887697BA4B84439B/101"/><Relationship Id="rId349" Type="http://schemas.openxmlformats.org/officeDocument/2006/relationships/hyperlink" TargetMode="External" Target="https://spark-interfax.ru/system/home/card#/company/5232688A815447E987B8718620CF76B8/101"/><Relationship Id="rId350" Type="http://schemas.openxmlformats.org/officeDocument/2006/relationships/hyperlink" TargetMode="External" Target="https://spark-interfax.ru/system/home/card#/company/D4EF53D96C764A648E0221D691F63B60/101"/><Relationship Id="rId351" Type="http://schemas.openxmlformats.org/officeDocument/2006/relationships/hyperlink" TargetMode="External" Target="https://spark-interfax.ru/system/home/card#/company/9A86FBF266AE46CE81682A3759189DC6/101"/><Relationship Id="rId352" Type="http://schemas.openxmlformats.org/officeDocument/2006/relationships/hyperlink" TargetMode="External" Target="https://spark-interfax.ru/system/home/card#/company/9C48032B51DD25A2E053179AA8C0EE7D/101"/><Relationship Id="rId353" Type="http://schemas.openxmlformats.org/officeDocument/2006/relationships/hyperlink" TargetMode="External" Target="https://spark-interfax.ru/system/home/card#/company/244BF48C9F604008A4D51428BE9BE42B/101"/><Relationship Id="rId354" Type="http://schemas.openxmlformats.org/officeDocument/2006/relationships/hyperlink" TargetMode="External" Target="https://spark-interfax.ru/system/home/card#/company/DC3C50A461194C46BB287AA5DE8FEFAD/101"/><Relationship Id="rId355" Type="http://schemas.openxmlformats.org/officeDocument/2006/relationships/hyperlink" TargetMode="External" Target="https://spark-interfax.ru/system/home/card#/company/7A42E4F5268045ECB1477CC6C29DE4EF/101"/><Relationship Id="rId356" Type="http://schemas.openxmlformats.org/officeDocument/2006/relationships/hyperlink" TargetMode="External" Target="https://spark-interfax.ru/system/home/card#/company/AF6B4FD8E991418597FA8A486A80A0B4/101"/><Relationship Id="rId357" Type="http://schemas.openxmlformats.org/officeDocument/2006/relationships/hyperlink" TargetMode="External" Target="https://spark-interfax.ru/system/home/card#/company/B0FFB17DD53A42A2BA3F09C6B9F6965A/101"/><Relationship Id="rId358" Type="http://schemas.openxmlformats.org/officeDocument/2006/relationships/hyperlink" TargetMode="External" Target="https://spark-interfax.ru/system/home/card#/company/D46513E662934E78A5484843946F3A59/101"/><Relationship Id="rId359" Type="http://schemas.openxmlformats.org/officeDocument/2006/relationships/hyperlink" TargetMode="External" Target="https://spark-interfax.ru/system/home/card#/company/D81551C60F174A4D9E8ED020C15C4D84/101"/><Relationship Id="rId360" Type="http://schemas.openxmlformats.org/officeDocument/2006/relationships/hyperlink" TargetMode="External" Target="https://spark-interfax.ru/system/home/card#/company/D628ECBB07B0432ABBD65B803F724C4D/101"/><Relationship Id="rId361" Type="http://schemas.openxmlformats.org/officeDocument/2006/relationships/hyperlink" TargetMode="External" Target="https://zakupki.gov.ru/epz/order/notice/ea44/view/common-info.html?regNumber=0180100003820000008"/><Relationship Id="rId362" Type="http://schemas.openxmlformats.org/officeDocument/2006/relationships/hyperlink" TargetMode="External" Target="https://spark-interfax.ru/system/home/card#/company/B5BB35ADAE964622BDB5BDFC65FC9E13/101"/><Relationship Id="rId363" Type="http://schemas.openxmlformats.org/officeDocument/2006/relationships/hyperlink" TargetMode="External" Target="https://zakupki.gov.ru/epz/order/notice/ea44/view/common-info.html?regNumber=0373200152820000082"/><Relationship Id="rId364" Type="http://schemas.openxmlformats.org/officeDocument/2006/relationships/hyperlink" TargetMode="External" Target="https://spark-interfax.ru/system/home/card#/company/EF3F01FFCDE144E3A58AAD9E4DAE6366/101"/><Relationship Id="rId365" Type="http://schemas.openxmlformats.org/officeDocument/2006/relationships/hyperlink" TargetMode="External" Target="https://zakupki.gov.ru/epz/order/notice/ea44/view/common-info.html?regNumber=0194200000520001836"/><Relationship Id="rId366" Type="http://schemas.openxmlformats.org/officeDocument/2006/relationships/hyperlink" TargetMode="External" Target="https://spark-interfax.ru/system/home/card#/company/F5A4070A057B4BAD9B21654E656BFE8F/101"/><Relationship Id="rId367" Type="http://schemas.openxmlformats.org/officeDocument/2006/relationships/hyperlink" TargetMode="External" Target="https://zakupki.gov.ru/epz/order/notice/ea44/view/common-info.html?regNumber=0834300018020000001"/><Relationship Id="rId368" Type="http://schemas.openxmlformats.org/officeDocument/2006/relationships/hyperlink" TargetMode="External" Target="https://spark-interfax.ru/system/home/card#/company/AF015018E7FA40B693BB71C0D19201DA/101"/><Relationship Id="rId369" Type="http://schemas.openxmlformats.org/officeDocument/2006/relationships/hyperlink" TargetMode="External" Target="https://zakupki.gov.ru/epz/order/notice/ea44/view/common-info.html?regNumber=0194200000520001961"/><Relationship Id="rId370" Type="http://schemas.openxmlformats.org/officeDocument/2006/relationships/hyperlink" TargetMode="External" Target="https://spark-interfax.ru/system/home/card#/company/7D8A3BA14777496DA6ED92B2955C0D1C/101"/><Relationship Id="rId371" Type="http://schemas.openxmlformats.org/officeDocument/2006/relationships/hyperlink" TargetMode="External" Target="https://zakupki.gov.ru/epz/order/notice/ea44/view/common-info.html?regNumber=0372100048820000129"/><Relationship Id="rId372" Type="http://schemas.openxmlformats.org/officeDocument/2006/relationships/hyperlink" TargetMode="External" Target="https://spark-interfax.ru/system/home/card#/company/85DC71955479414D878DEAE33A6D0179/101"/><Relationship Id="rId373" Type="http://schemas.openxmlformats.org/officeDocument/2006/relationships/hyperlink" TargetMode="External" Target="https://zakupki.gov.ru/epz/order/notice/ea44/view/common-info.html?regNumber=0348500001820000038"/><Relationship Id="rId374" Type="http://schemas.openxmlformats.org/officeDocument/2006/relationships/hyperlink" TargetMode="External" Target="https://spark-interfax.ru/system/home/card#/company/75C60D8616DD1E29E0531B9AA8C0BCED/101"/><Relationship Id="rId375" Type="http://schemas.openxmlformats.org/officeDocument/2006/relationships/hyperlink" TargetMode="External" Target="https://zakupki.gov.ru/epz/order/notice/ea44/view/common-info.html?regNumber=0156200009920000165"/><Relationship Id="rId376" Type="http://schemas.openxmlformats.org/officeDocument/2006/relationships/hyperlink" TargetMode="External" Target="https://spark-interfax.ru/system/home/card#/company/309D7930EF434B6DA98DD69E99DFF221/101"/><Relationship Id="rId377" Type="http://schemas.openxmlformats.org/officeDocument/2006/relationships/hyperlink" TargetMode="External" Target="https://zakupki.gov.ru/epz/order/notice/ea44/view/common-info.html?regNumber=0358100011620000077"/><Relationship Id="rId378" Type="http://schemas.openxmlformats.org/officeDocument/2006/relationships/hyperlink" TargetMode="External" Target="https://spark-interfax.ru/system/home/card#/company/5D3D3A44582A46B18E46C0367BEED85C/101"/><Relationship Id="rId379" Type="http://schemas.openxmlformats.org/officeDocument/2006/relationships/hyperlink" TargetMode="External" Target="https://zakupki.gov.ru/epz/order/notice/ea44/view/common-info.html?regNumber=0134300054020000039"/><Relationship Id="rId380" Type="http://schemas.openxmlformats.org/officeDocument/2006/relationships/hyperlink" TargetMode="External" Target="https://spark-interfax.ru/system/home/card#/company/7AA5879E8A43DD8EE0531F9AA8C042B8/101"/><Relationship Id="rId381" Type="http://schemas.openxmlformats.org/officeDocument/2006/relationships/hyperlink" TargetMode="External" Target="https://zakupki.gov.ru/epz/order/notice/ea44/view/common-info.html?regNumber=0373200045220000349"/><Relationship Id="rId382" Type="http://schemas.openxmlformats.org/officeDocument/2006/relationships/hyperlink" TargetMode="External" Target="https://spark-interfax.ru/system/home/card#/company/6066CA86D99F8C08E0531B9AA8C02553/101"/><Relationship Id="rId383" Type="http://schemas.openxmlformats.org/officeDocument/2006/relationships/hyperlink" TargetMode="External" Target="https://zakupki.gov.ru/epz/order/notice/ea44/view/common-info.html?regNumber=0131200001020001681"/><Relationship Id="rId384" Type="http://schemas.openxmlformats.org/officeDocument/2006/relationships/hyperlink" TargetMode="External" Target="https://spark-interfax.ru/system/home/card#/company/25ABC0BC94B547599459D10DF75768FD/101"/><Relationship Id="rId385" Type="http://schemas.openxmlformats.org/officeDocument/2006/relationships/hyperlink" TargetMode="External" Target="https://spark-interfax.ru/system/home/card#/company/DE9554E05D5647EF96D71C533A225F47/101"/><Relationship Id="rId386" Type="http://schemas.openxmlformats.org/officeDocument/2006/relationships/hyperlink" TargetMode="External" Target="https://spark-interfax.ru/system/home/card#/company/2AB923EB624B40D5A601F038BD476A4B/101"/><Relationship Id="rId387" Type="http://schemas.openxmlformats.org/officeDocument/2006/relationships/hyperlink" TargetMode="External" Target="https://spark-interfax.ru/system/home/card#/company/0AACA0F66B064B10859C69713BE53770/101"/><Relationship Id="rId388" Type="http://schemas.openxmlformats.org/officeDocument/2006/relationships/hyperlink" TargetMode="External" Target="https://spark-interfax.ru/system/home/card#/company/63F05C4F27AF1FDEE0531B9AA8C05384/101"/><Relationship Id="rId389" Type="http://schemas.openxmlformats.org/officeDocument/2006/relationships/hyperlink" TargetMode="External" Target="https://spark-interfax.ru/system/home/card#/company/8349F43AD59A032DE0531B9AA8C0D3CD/101"/><Relationship Id="rId390" Type="http://schemas.openxmlformats.org/officeDocument/2006/relationships/hyperlink" TargetMode="External" Target="https://spark-interfax.ru/system/home/card#/company/2E5C44AFA5B540289BE5B192E6D7D4B3/101"/><Relationship Id="rId391" Type="http://schemas.openxmlformats.org/officeDocument/2006/relationships/hyperlink" TargetMode="External" Target="https://spark-interfax.ru/system/home/card#/company/8C3C69E16E2746A78BBF6F1D78725FE9/101"/><Relationship Id="rId392" Type="http://schemas.openxmlformats.org/officeDocument/2006/relationships/hyperlink" TargetMode="External" Target="https://spark-interfax.ru/system/home/card#/company/5BF08173A77D23B1E0531C9AA8C04CD4/101"/><Relationship Id="rId393" Type="http://schemas.openxmlformats.org/officeDocument/2006/relationships/hyperlink" TargetMode="External" Target="https://spark-interfax.ru/system/home/card#/company/ABCD0685DDB44884B14E6954B688505E/101"/><Relationship Id="rId394" Type="http://schemas.openxmlformats.org/officeDocument/2006/relationships/hyperlink" TargetMode="External" Target="https://spark-interfax.ru/system/home/card#/company/F2F1856EE7AD445092BA0AAF378A1F86/101"/><Relationship Id="rId395" Type="http://schemas.openxmlformats.org/officeDocument/2006/relationships/hyperlink" TargetMode="External" Target="https://spark-interfax.ru/system/home/card#/company/EE2E48F3ABD44110BCF7B2FE58872DB6/101"/><Relationship Id="rId396" Type="http://schemas.openxmlformats.org/officeDocument/2006/relationships/hyperlink" TargetMode="External" Target="https://spark-interfax.ru/system/home/card#/company/F9560B609A7B454DA8780B96FACFF018/101"/><Relationship Id="rId397" Type="http://schemas.openxmlformats.org/officeDocument/2006/relationships/hyperlink" TargetMode="External" Target="https://zakupki.gov.ru/epz/order/notice/ea44/view/common-info.html?regNumber=0373200045220000350"/><Relationship Id="rId398" Type="http://schemas.openxmlformats.org/officeDocument/2006/relationships/hyperlink" TargetMode="External" Target="https://spark-interfax.ru/system/home/card#/company/38582533F3CC46B5B0433B65BB19A34A/101"/><Relationship Id="rId399" Type="http://schemas.openxmlformats.org/officeDocument/2006/relationships/hyperlink" TargetMode="External" Target="https://zakupki.gov.ru/epz/order/notice/ea44/view/common-info.html?regNumber=0372200168120000095"/><Relationship Id="rId400" Type="http://schemas.openxmlformats.org/officeDocument/2006/relationships/hyperlink" TargetMode="External" Target="https://spark-interfax.ru/system/home/card#/company/506768C9BBC44B52BD743738A566425B/101"/><Relationship Id="rId401" Type="http://schemas.openxmlformats.org/officeDocument/2006/relationships/hyperlink" TargetMode="External" Target="https://zakupki.gov.ru/epz/order/notice/ea44/view/common-info.html?regNumber=0356200024020000011"/><Relationship Id="rId402" Type="http://schemas.openxmlformats.org/officeDocument/2006/relationships/hyperlink" TargetMode="External" Target="https://spark-interfax.ru/system/home/card#/company/CA646D45CDC145DAB7247A338F154F42/101"/><Relationship Id="rId403" Type="http://schemas.openxmlformats.org/officeDocument/2006/relationships/hyperlink" TargetMode="External" Target="https://zakupki.gov.ru/epz/order/notice/ea44/view/common-info.html?regNumber=0120200004720000113"/><Relationship Id="rId404" Type="http://schemas.openxmlformats.org/officeDocument/2006/relationships/hyperlink" TargetMode="External" Target="https://spark-interfax.ru/system/home/card#/company/579045404865415F8413728B816D3F1E/101"/><Relationship Id="rId405" Type="http://schemas.openxmlformats.org/officeDocument/2006/relationships/hyperlink" TargetMode="External" Target="https://zakupki.gov.ru/epz/order/notice/ea44/view/common-info.html?regNumber=0169300038720000140"/><Relationship Id="rId406" Type="http://schemas.openxmlformats.org/officeDocument/2006/relationships/hyperlink" TargetMode="External" Target="https://spark-interfax.ru/system/home/card#/company/3C3DC0DED9A94D2B9B7040623F5C974C/101"/><Relationship Id="rId407" Type="http://schemas.openxmlformats.org/officeDocument/2006/relationships/hyperlink" TargetMode="External" Target="https://zakupki.gov.ru/epz/order/notice/ea44/view/common-info.html?regNumber=0373200307320000119"/><Relationship Id="rId408" Type="http://schemas.openxmlformats.org/officeDocument/2006/relationships/hyperlink" TargetMode="External" Target="https://spark-interfax.ru/system/home/card#/company/EE1DD211F2A148709EE695A142D3CC30/101"/><Relationship Id="rId409" Type="http://schemas.openxmlformats.org/officeDocument/2006/relationships/hyperlink" TargetMode="External" Target="https://zakupki.gov.ru/epz/order/notice/ea44/view/common-info.html?regNumber=0126300029120000172"/><Relationship Id="rId410" Type="http://schemas.openxmlformats.org/officeDocument/2006/relationships/hyperlink" TargetMode="External" Target="https://spark-interfax.ru/system/home/card#/company/C59531552AC841C792764DD5DF0ADAD9/101"/><Relationship Id="rId411" Type="http://schemas.openxmlformats.org/officeDocument/2006/relationships/hyperlink" TargetMode="External" Target="https://zakupki.gov.ru/epz/order/notice/ea44/view/common-info.html?regNumber=0373400007720000059"/><Relationship Id="rId412" Type="http://schemas.openxmlformats.org/officeDocument/2006/relationships/hyperlink" TargetMode="External" Target="https://spark-interfax.ru/system/home/card#/company/B78CBC27435B4DCF8D34F1A35495C77A/101"/><Relationship Id="rId413" Type="http://schemas.openxmlformats.org/officeDocument/2006/relationships/hyperlink" TargetMode="External" Target="https://zakupki.gov.ru/epz/order/notice/ea44/view/common-info.html?regNumber=0358100017620000051"/><Relationship Id="rId414" Type="http://schemas.openxmlformats.org/officeDocument/2006/relationships/hyperlink" TargetMode="External" Target="https://spark-interfax.ru/system/home/card#/company/3E4339E0B7234F3D950A02C922278774/101"/><Relationship Id="rId415" Type="http://schemas.openxmlformats.org/officeDocument/2006/relationships/hyperlink" TargetMode="External" Target="https://zakupki.gov.ru/epz/order/notice/ea44/view/common-info.html?regNumber=0340200003320003365"/><Relationship Id="rId416" Type="http://schemas.openxmlformats.org/officeDocument/2006/relationships/hyperlink" TargetMode="External" Target="https://spark-interfax.ru/system/home/card#/company/7E2E27D371273F85E0531B9AA8C018FE/101"/><Relationship Id="rId417" Type="http://schemas.openxmlformats.org/officeDocument/2006/relationships/hyperlink" TargetMode="External" Target="https://zakupki.gov.ru/epz/order/notice/ea44/view/common-info.html?regNumber=0103200008420000698"/><Relationship Id="rId418" Type="http://schemas.openxmlformats.org/officeDocument/2006/relationships/hyperlink" TargetMode="External" Target="https://spark-interfax.ru/system/home/card#/company/B4AB123FC88D47D79E8A4C9975FDB6C9/101"/><Relationship Id="rId419" Type="http://schemas.openxmlformats.org/officeDocument/2006/relationships/hyperlink" TargetMode="External" Target="https://zakupki.gov.ru/epz/order/notice/ea44/view/common-info.html?regNumber=0853500000320001673"/><Relationship Id="rId420" Type="http://schemas.openxmlformats.org/officeDocument/2006/relationships/hyperlink" TargetMode="External" Target="https://spark-interfax.ru/system/home/card#/company/814B6064A2A54AECA5461ABBE981C5B9/101"/><Relationship Id="rId421" Type="http://schemas.openxmlformats.org/officeDocument/2006/relationships/hyperlink" TargetMode="External" Target="https://spark-interfax.ru/system/home/card#/company/E267464AAA0B43B1A941950EF3449A1C/101"/><Relationship Id="rId422" Type="http://schemas.openxmlformats.org/officeDocument/2006/relationships/hyperlink" TargetMode="External" Target="https://spark-interfax.ru/system/home/card#/company/C63D7011293D4A38BDD2D3940D7CBFA9/101"/><Relationship Id="rId423" Type="http://schemas.openxmlformats.org/officeDocument/2006/relationships/hyperlink" TargetMode="External" Target="https://spark-interfax.ru/system/home/card#/company/4A4C7AAAD3284CFCBDE75396E2375297/101"/><Relationship Id="rId424" Type="http://schemas.openxmlformats.org/officeDocument/2006/relationships/hyperlink" TargetMode="External" Target="https://spark-interfax.ru/system/home/card#/company/EA2351F19485426E9F26C69814B580B4/101"/><Relationship Id="rId425" Type="http://schemas.openxmlformats.org/officeDocument/2006/relationships/hyperlink" TargetMode="External" Target="https://spark-interfax.ru/system/home/card#/company/16A6C19CA23D450A83E289DEA0354172/101"/><Relationship Id="rId426" Type="http://schemas.openxmlformats.org/officeDocument/2006/relationships/hyperlink" TargetMode="External" Target="https://spark-interfax.ru/system/home/card#/company/CD13C6BA0CC74CF4854EB8166AA12326/101"/><Relationship Id="rId427" Type="http://schemas.openxmlformats.org/officeDocument/2006/relationships/hyperlink" TargetMode="External" Target="https://spark-interfax.ru/system/home/card#/company/6E8DCFF7B2F045A9A4F3F97E2CEAAEAD/101"/><Relationship Id="rId428" Type="http://schemas.openxmlformats.org/officeDocument/2006/relationships/hyperlink" TargetMode="External" Target="https://spark-interfax.ru/system/home/card#/company/3D38451971994BBDA1028A257AEFC908/101"/><Relationship Id="rId429" Type="http://schemas.openxmlformats.org/officeDocument/2006/relationships/hyperlink" TargetMode="External" Target="https://spark-interfax.ru/system/home/card#/company/2D7A60AE43154BB7A84073B5D79F164F/101"/><Relationship Id="rId430" Type="http://schemas.openxmlformats.org/officeDocument/2006/relationships/hyperlink" TargetMode="External" Target="https://spark-interfax.ru/system/home/card#/company/A2A2D53B2BD84A308D13CA3347B806C6/101"/><Relationship Id="rId431" Type="http://schemas.openxmlformats.org/officeDocument/2006/relationships/hyperlink" TargetMode="External" Target="https://spark-interfax.ru/system/home/card#/company/A33CFDD8B535426D979F22D45498BAB1/101"/><Relationship Id="rId432" Type="http://schemas.openxmlformats.org/officeDocument/2006/relationships/hyperlink" TargetMode="External" Target="https://spark-interfax.ru/system/home/card#/company/A90AC0E91FB54110ABBBD0A4A631C08F/101"/><Relationship Id="rId433" Type="http://schemas.openxmlformats.org/officeDocument/2006/relationships/hyperlink" TargetMode="External" Target="https://zakupki.gov.ru/epz/order/notice/ea44/view/common-info.html?regNumber=0360100008620000004"/><Relationship Id="rId434" Type="http://schemas.openxmlformats.org/officeDocument/2006/relationships/hyperlink" TargetMode="External" Target="https://spark-interfax.ru/system/home/card#/company/CB7C68BF85CF4D58A8583BC0CB70416B/101"/><Relationship Id="rId435" Type="http://schemas.openxmlformats.org/officeDocument/2006/relationships/hyperlink" TargetMode="External" Target="https://zakupki.gov.ru/epz/order/notice/ea44/view/common-info.html?regNumber=0373200052720000135"/><Relationship Id="rId436" Type="http://schemas.openxmlformats.org/officeDocument/2006/relationships/hyperlink" TargetMode="External" Target="https://spark-interfax.ru/system/home/card#/company/616CC682B5F4454F9E184D9DBD7A3ADB/101"/><Relationship Id="rId437" Type="http://schemas.openxmlformats.org/officeDocument/2006/relationships/hyperlink" TargetMode="External" Target="https://zakupki.gov.ru/epz/order/notice/ea44/view/common-info.html?regNumber=0151300044920000007"/><Relationship Id="rId438" Type="http://schemas.openxmlformats.org/officeDocument/2006/relationships/hyperlink" TargetMode="External" Target="https://zakupki.gov.ru/epz/order/notice/ea44/view/common-info.html?regNumber=0184200000620000132"/><Relationship Id="rId439" Type="http://schemas.openxmlformats.org/officeDocument/2006/relationships/hyperlink" TargetMode="External" Target="https://zakupki.gov.ru/epz/order/notice/ea44/view/common-info.html?regNumber=0120300006720000046"/><Relationship Id="rId440" Type="http://schemas.openxmlformats.org/officeDocument/2006/relationships/hyperlink" TargetMode="External" Target="https://zakupki.gov.ru/epz/order/notice/ea44/view/common-info.html?regNumber=0105300000720000025"/><Relationship Id="rId441" Type="http://schemas.openxmlformats.org/officeDocument/2006/relationships/hyperlink" TargetMode="External" Target="https://zakupki.gov.ru/epz/order/notice/ea44/view/common-info.html?regNumber=0167200003420001675"/><Relationship Id="rId442" Type="http://schemas.openxmlformats.org/officeDocument/2006/relationships/hyperlink" TargetMode="External" Target="https://zakupki.gov.ru/epz/order/notice/ea44/view/common-info.html?regNumber=0151300033720000017"/><Relationship Id="rId443" Type="http://schemas.openxmlformats.org/officeDocument/2006/relationships/hyperlink" TargetMode="External" Target="https://zakupki.gov.ru/epz/order/notice/ea44/view/common-info.html?regNumber=0148300035120000007"/><Relationship Id="rId444" Type="http://schemas.openxmlformats.org/officeDocument/2006/relationships/hyperlink" TargetMode="External" Target="https://zakupki.gov.ru/epz/order/notice/ea44/view/common-info.html?regNumber=0319300003420000139"/><Relationship Id="rId445" Type="http://schemas.openxmlformats.org/officeDocument/2006/relationships/hyperlink" TargetMode="External" Target="https://zakupki.gov.ru/epz/order/notice/ea44/view/common-info.html?regNumber=0357200021420000078"/><Relationship Id="rId446" Type="http://schemas.openxmlformats.org/officeDocument/2006/relationships/hyperlink" TargetMode="External" Target="https://zakupki.gov.ru/epz/order/notice/ea44/view/common-info.html?regNumber=0103300018420000005"/><Relationship Id="rId447" Type="http://schemas.openxmlformats.org/officeDocument/2006/relationships/hyperlink" TargetMode="External" Target="https://zakupki.gov.ru/epz/order/notice/ea44/view/common-info.html?regNumber=0373100034920000007"/><Relationship Id="rId448" Type="http://schemas.openxmlformats.org/officeDocument/2006/relationships/hyperlink" TargetMode="External" Target="https://zakupki.gov.ru/epz/order/notice/ea44/view/common-info.html?regNumber=0124300028920000039"/><Relationship Id="rId449" Type="http://schemas.openxmlformats.org/officeDocument/2006/relationships/hyperlink" TargetMode="External" Target="https://zakupki.gov.ru/epz/order/notice/ea44/view/common-info.html?regNumber=0105300000720000035"/><Relationship Id="rId450" Type="http://schemas.openxmlformats.org/officeDocument/2006/relationships/hyperlink" TargetMode="External" Target="https://zakupki.gov.ru/epz/order/notice/ea44/view/common-info.html?regNumber=0126300029120000155"/><Relationship Id="rId451" Type="http://schemas.openxmlformats.org/officeDocument/2006/relationships/hyperlink" TargetMode="External" Target="https://zakupki.gov.ru/epz/order/notice/ea44/view/common-info.html?regNumber=0373100084420000079"/><Relationship Id="rId452" Type="http://schemas.openxmlformats.org/officeDocument/2006/relationships/hyperlink" TargetMode="External" Target="https://zakupki.gov.ru/epz/order/notice/ea44/view/common-info.html?regNumber=0171300002320000005"/><Relationship Id="rId453" Type="http://schemas.openxmlformats.org/officeDocument/2006/relationships/hyperlink" TargetMode="External" Target="https://zakupki.gov.ru/epz/order/notice/ea44/view/common-info.html?regNumber=0194200000520001974"/><Relationship Id="rId454" Type="http://schemas.openxmlformats.org/officeDocument/2006/relationships/hyperlink" TargetMode="External" Target="https://zakupki.gov.ru/epz/order/notice/ea44/view/common-info.html?regNumber=0387200009120000621"/><Relationship Id="rId455" Type="http://schemas.openxmlformats.org/officeDocument/2006/relationships/hyperlink" TargetMode="External" Target="https://zakupki.gov.ru/epz/order/notice/ea44/view/common-info.html?regNumber=0253100000120000093"/><Relationship Id="rId456" Type="http://schemas.openxmlformats.org/officeDocument/2006/relationships/hyperlink" TargetMode="External" Target="https://zakupki.gov.ru/epz/order/notice/ea44/view/common-info.html?regNumber=0152200004720000250"/><Relationship Id="rId457" Type="http://schemas.openxmlformats.org/officeDocument/2006/relationships/hyperlink" TargetMode="External" Target="https://zakupki.gov.ru/epz/order/notice/ea44/view/common-info.html?regNumber=0125200000720000060"/><Relationship Id="rId458" Type="http://schemas.openxmlformats.org/officeDocument/2006/relationships/hyperlink" TargetMode="External" Target="https://zakupki.gov.ru/epz/order/notice/ea44/view/common-info.html?regNumber=0355300030920000019"/><Relationship Id="rId459" Type="http://schemas.openxmlformats.org/officeDocument/2006/relationships/hyperlink" TargetMode="External" Target="https://zakupki.gov.ru/epz/order/notice/ea44/view/common-info.html?regNumber=0129200005320001040"/><Relationship Id="rId460" Type="http://schemas.openxmlformats.org/officeDocument/2006/relationships/hyperlink" TargetMode="External" Target="https://zakupki.gov.ru/epz/order/notice/ea44/view/common-info.html?regNumber=0151300033720000018"/><Relationship Id="rId461" Type="http://schemas.openxmlformats.org/officeDocument/2006/relationships/hyperlink" TargetMode="External" Target="https://zakupki.gov.ru/epz/order/notice/ea44/view/common-info.html?regNumber=0144200002420000294"/><Relationship Id="rId462" Type="http://schemas.openxmlformats.org/officeDocument/2006/relationships/hyperlink" TargetMode="External" Target="https://zakupki.gov.ru/epz/order/notice/ea44/view/common-info.html?regNumber=0372200030120000031"/><Relationship Id="rId463" Type="http://schemas.openxmlformats.org/officeDocument/2006/relationships/hyperlink" TargetMode="External" Target="https://zakupki.gov.ru/epz/order/notice/ea44/view/common-info.html?regNumber=0166300033620000026"/><Relationship Id="rId464" Type="http://schemas.openxmlformats.org/officeDocument/2006/relationships/hyperlink" TargetMode="External" Target="https://zakupki.gov.ru/epz/order/notice/ea44/view/common-info.html?regNumber=0372100003420000023"/><Relationship Id="rId465" Type="http://schemas.openxmlformats.org/officeDocument/2006/relationships/hyperlink" TargetMode="External" Target="https://zakupki.gov.ru/epz/order/notice/ea44/view/common-info.html?regNumber=0372200004320000039"/><Relationship Id="rId466" Type="http://schemas.openxmlformats.org/officeDocument/2006/relationships/hyperlink" TargetMode="External" Target="https://zakupki.gov.ru/epz/order/notice/ea44/view/common-info.html?regNumber=0372200026220000103"/><Relationship Id="rId467" Type="http://schemas.openxmlformats.org/officeDocument/2006/relationships/hyperlink" TargetMode="External" Target="https://zakupki.gov.ru/epz/order/notice/ea44/view/common-info.html?regNumber=0372200046320000034"/><Relationship Id="rId468" Type="http://schemas.openxmlformats.org/officeDocument/2006/relationships/hyperlink" TargetMode="External" Target="https://zakupki.gov.ru/epz/order/notice/ea44/view/common-info.html?regNumber=0310200000320000492"/><Relationship Id="rId469" Type="http://schemas.openxmlformats.org/officeDocument/2006/relationships/hyperlink" TargetMode="External" Target="https://zakupki.gov.ru/epz/order/notice/ea44/view/common-info.html?regNumber=0373400007720000069"/><Relationship Id="rId470" Type="http://schemas.openxmlformats.org/officeDocument/2006/relationships/hyperlink" TargetMode="External" Target="https://zakupki.gov.ru/epz/order/notice/ea44/view/common-info.html?regNumber=0373400007720000071"/><Relationship Id="rId471" Type="http://schemas.openxmlformats.org/officeDocument/2006/relationships/hyperlink" TargetMode="External" Target="https://zakupki.gov.ru/epz/order/notice/ea44/view/common-info.html?regNumber=0818500000820001541"/><Relationship Id="rId472" Type="http://schemas.openxmlformats.org/officeDocument/2006/relationships/hyperlink" TargetMode="External" Target="https://zakupki.gov.ru/epz/order/notice/ea44/view/common-info.html?regNumber=0855200000520000473"/><Relationship Id="rId473" Type="http://schemas.openxmlformats.org/officeDocument/2006/relationships/hyperlink" TargetMode="External" Target="https://zakupki.gov.ru/epz/order/notice/ea44/view/common-info.html?regNumber=0356500005620000160"/><Relationship Id="rId474" Type="http://schemas.openxmlformats.org/officeDocument/2006/relationships/hyperlink" TargetMode="External" Target="https://zakupki.gov.ru/epz/order/notice/ea44/view/common-info.html?regNumber=0339300016120000046"/><Relationship Id="rId475" Type="http://schemas.openxmlformats.org/officeDocument/2006/relationships/hyperlink" TargetMode="External" Target="https://zakupki.gov.ru/epz/order/notice/ea44/view/common-info.html?regNumber=0356500005620000158"/><Relationship Id="rId476" Type="http://schemas.openxmlformats.org/officeDocument/2006/relationships/hyperlink" TargetMode="External" Target="https://zakupki.gov.ru/epz/order/notice/ea44/view/common-info.html?regNumber=0332300365520000009"/><Relationship Id="rId477" Type="http://schemas.openxmlformats.org/officeDocument/2006/relationships/hyperlink" TargetMode="External" Target="https://zakupki.gov.ru/epz/order/notice/ea44/view/common-info.html?regNumber=0169300038720000139"/><Relationship Id="rId478" Type="http://schemas.openxmlformats.org/officeDocument/2006/relationships/hyperlink" TargetMode="External" Target="https://zakupki.gov.ru/epz/order/notice/ea44/view/common-info.html?regNumber=0373200099720000269"/><Relationship Id="rId479" Type="http://schemas.openxmlformats.org/officeDocument/2006/relationships/hyperlink" TargetMode="External" Target="https://zakupki.gov.ru/epz/order/notice/ea44/view/common-info.html?regNumber=0136500001120000932"/><Relationship Id="rId480" Type="http://schemas.openxmlformats.org/officeDocument/2006/relationships/hyperlink" TargetMode="External" Target="https://zakupki.gov.ru/epz/order/notice/ea44/view/common-info.html?regNumber=0860200000820001476"/><Relationship Id="rId481" Type="http://schemas.openxmlformats.org/officeDocument/2006/relationships/hyperlink" TargetMode="External" Target="https://zakupki.gov.ru/epz/order/notice/ea44/view/common-info.html?regNumber=0141300009220000013"/><Relationship Id="rId482" Type="http://schemas.openxmlformats.org/officeDocument/2006/relationships/hyperlink" TargetMode="External" Target="https://zakupki.gov.ru/epz/order/notice/ea44/view/common-info.html?regNumber=0130200002420000634"/><Relationship Id="rId483" Type="http://schemas.openxmlformats.org/officeDocument/2006/relationships/hyperlink" TargetMode="External" Target="https://zakupki.gov.ru/epz/order/notice/ea44/view/common-info.html?regNumber=0373100013120000193"/><Relationship Id="rId484" Type="http://schemas.openxmlformats.org/officeDocument/2006/relationships/hyperlink" TargetMode="External" Target="https://zakupki.gov.ru/epz/order/notice/ea44/view/common-info.html?regNumber=0348500002620000031"/><Relationship Id="rId485" Type="http://schemas.openxmlformats.org/officeDocument/2006/relationships/hyperlink" TargetMode="External" Target="https://zakupki.gov.ru/epz/order/notice/ea44/view/common-info.html?regNumber=0144200002420000312"/><Relationship Id="rId486" Type="http://schemas.openxmlformats.org/officeDocument/2006/relationships/hyperlink" TargetMode="External" Target="https://zakupki.gov.ru/epz/order/notice/ea44/view/common-info.html?regNumber=0372200185120000004"/><Relationship Id="rId487" Type="http://schemas.openxmlformats.org/officeDocument/2006/relationships/hyperlink" TargetMode="External" Target="https://zakupki.gov.ru/epz/order/notice/ea44/view/common-info.html?regNumber=0325200001620000066"/><Relationship Id="rId488" Type="http://schemas.openxmlformats.org/officeDocument/2006/relationships/hyperlink" TargetMode="External" Target="https://zakupki.gov.ru/epz/order/notice/ea44/view/common-info.html?regNumber=0818500000820001540"/><Relationship Id="rId489" Type="http://schemas.openxmlformats.org/officeDocument/2006/relationships/hyperlink" TargetMode="External" Target="https://zakupki.gov.ru/epz/order/notice/ea44/view/common-info.html?regNumber=0152200004720000260"/><Relationship Id="rId490" Type="http://schemas.openxmlformats.org/officeDocument/2006/relationships/hyperlink" TargetMode="External" Target="https://zakupki.gov.ru/epz/order/notice/ea44/view/common-info.html?regNumber=0358200000220000076"/><Relationship Id="rId491" Type="http://schemas.openxmlformats.org/officeDocument/2006/relationships/hyperlink" TargetMode="External" Target="https://zakupki.gov.ru/epz/order/notice/ea44/view/common-info.html?regNumber=0342100003120000198"/><Relationship Id="rId492" Type="http://schemas.openxmlformats.org/officeDocument/2006/relationships/hyperlink" TargetMode="External" Target="https://zakupki.gov.ru/epz/order/notice/ea44/view/common-info.html?regNumber=0318300165720000153"/><Relationship Id="rId493" Type="http://schemas.openxmlformats.org/officeDocument/2006/relationships/hyperlink" TargetMode="External" Target="https://zakupki.gov.ru/epz/order/notice/ea44/view/common-info.html?regNumber=0372200087420000001"/><Relationship Id="rId494" Type="http://schemas.openxmlformats.org/officeDocument/2006/relationships/hyperlink" TargetMode="External" Target="https://zakupki.gov.ru/epz/order/notice/ea44/view/common-info.html?regNumber=0366200035620001068"/><Relationship Id="rId495" Type="http://schemas.openxmlformats.org/officeDocument/2006/relationships/hyperlink" TargetMode="External" Target="https://zakupki.gov.ru/epz/order/notice/ea44/view/common-info.html?regNumber=0375200030420000054"/><Relationship Id="rId496" Type="http://schemas.openxmlformats.org/officeDocument/2006/relationships/hyperlink" TargetMode="External" Target="https://zakupki.gov.ru/epz/order/notice/ea44/view/common-info.html?regNumber=0132300002520000021"/><Relationship Id="rId497" Type="http://schemas.openxmlformats.org/officeDocument/2006/relationships/hyperlink" TargetMode="External" Target="https://zakupki.gov.ru/epz/order/notice/ea44/view/common-info.html?regNumber=0375200049020000060"/><Relationship Id="rId498" Type="http://schemas.openxmlformats.org/officeDocument/2006/relationships/hyperlink" TargetMode="External" Target="https://zakupki.gov.ru/epz/order/notice/ea44/view/common-info.html?regNumber=0372200048020000062"/><Relationship Id="rId499" Type="http://schemas.openxmlformats.org/officeDocument/2006/relationships/hyperlink" TargetMode="External" Target="https://zakupki.gov.ru/epz/order/notice/ea44/view/common-info.html?regNumber=0375200049020000064"/><Relationship Id="rId500" Type="http://schemas.openxmlformats.org/officeDocument/2006/relationships/hyperlink" TargetMode="External" Target="https://zakupki.gov.ru/epz/order/notice/ea44/view/common-info.html?regNumber=0375200049020000061"/><Relationship Id="rId501" Type="http://schemas.openxmlformats.org/officeDocument/2006/relationships/hyperlink" TargetMode="External" Target="https://zakupki.gov.ru/epz/order/notice/ea44/view/common-info.html?regNumber=0372200127620000015"/><Relationship Id="rId502" Type="http://schemas.openxmlformats.org/officeDocument/2006/relationships/hyperlink" TargetMode="External" Target="https://zakupki.gov.ru/epz/order/notice/ea44/view/common-info.html?regNumber=0103300018420000004"/><Relationship Id="rId503" Type="http://schemas.openxmlformats.org/officeDocument/2006/relationships/hyperlink" TargetMode="External" Target="https://zakupki.gov.ru/epz/order/notice/ea44/view/common-info.html?regNumber=0360300308420000035"/><Relationship Id="rId504" Type="http://schemas.openxmlformats.org/officeDocument/2006/relationships/hyperlink" TargetMode="External" Target="https://zakupki.gov.ru/epz/order/notice/ea44/view/common-info.html?regNumber=0375200049020000067"/><Relationship Id="rId505" Type="http://schemas.openxmlformats.org/officeDocument/2006/relationships/hyperlink" TargetMode="External" Target="https://zakupki.gov.ru/epz/order/notice/ea44/view/common-info.html?regNumber=0372200042920000024"/><Relationship Id="rId506" Type="http://schemas.openxmlformats.org/officeDocument/2006/relationships/hyperlink" TargetMode="External" Target="https://zakupki.gov.ru/epz/order/notice/ea44/view/common-info.html?regNumber=0373100084420000101"/><Relationship Id="rId507" Type="http://schemas.openxmlformats.org/officeDocument/2006/relationships/hyperlink" TargetMode="External" Target="https://zakupki.gov.ru/epz/order/notice/ea44/view/common-info.html?regNumber=0372200006320000028"/><Relationship Id="rId508" Type="http://schemas.openxmlformats.org/officeDocument/2006/relationships/hyperlink" TargetMode="External" Target="https://zakupki.gov.ru/epz/order/notice/ea44/view/common-info.html?regNumber=0144200002420000285"/><Relationship Id="rId509" Type="http://schemas.openxmlformats.org/officeDocument/2006/relationships/hyperlink" TargetMode="External" Target="https://zakupki.gov.ru/epz/order/notice/ea44/view/common-info.html?regNumber=0142200001320004991"/><Relationship Id="rId510" Type="http://schemas.openxmlformats.org/officeDocument/2006/relationships/hyperlink" TargetMode="External" Target="https://zakupki.gov.ru/epz/order/notice/ea44/view/common-info.html?regNumber=0169300007520000050"/><Relationship Id="rId511" Type="http://schemas.openxmlformats.org/officeDocument/2006/relationships/hyperlink" TargetMode="External" Target="https://zakupki.gov.ru/epz/order/notice/ea44/view/common-info.html?regNumber=0801200000220000494"/><Relationship Id="rId512" Type="http://schemas.openxmlformats.org/officeDocument/2006/relationships/hyperlink" TargetMode="External" Target="https://zakupki.gov.ru/epz/order/notice/ea44/view/common-info.html?regNumber=0373200036120000050"/><Relationship Id="rId513" Type="http://schemas.openxmlformats.org/officeDocument/2006/relationships/hyperlink" TargetMode="External" Target="https://zakupki.gov.ru/epz/order/notice/ea44/view/common-info.html?regNumber=0103200008420000781"/><Relationship Id="rId514" Type="http://schemas.openxmlformats.org/officeDocument/2006/relationships/hyperlink" TargetMode="External" Target="https://zakupki.gov.ru/epz/order/notice/ea44/view/common-info.html?regNumber=0372200068420000032"/><Relationship Id="rId515" Type="http://schemas.openxmlformats.org/officeDocument/2006/relationships/hyperlink" TargetMode="External" Target="https://zakupki.gov.ru/epz/order/notice/ea44/view/common-info.html?regNumber=0131200001020002050"/><Relationship Id="rId516" Type="http://schemas.openxmlformats.org/officeDocument/2006/relationships/hyperlink" TargetMode="External" Target="https://zakupki.gov.ru/epz/order/notice/ea44/view/common-info.html?regNumber=0801200000220000478"/><Relationship Id="rId517" Type="http://schemas.openxmlformats.org/officeDocument/2006/relationships/hyperlink" TargetMode="External" Target="https://zakupki.gov.ru/epz/order/notice/ea44/view/common-info.html?regNumber=0318300006220000021"/><Relationship Id="rId518" Type="http://schemas.openxmlformats.org/officeDocument/2006/relationships/hyperlink" TargetMode="External" Target="https://zakupki.gov.ru/epz/order/notice/ea44/view/common-info.html?regNumber=0366200035620001046"/><Relationship Id="rId519" Type="http://schemas.openxmlformats.org/officeDocument/2006/relationships/hyperlink" TargetMode="External" Target="https://zakupki.gov.ru/epz/order/notice/ea44/view/common-info.html?regNumber=0357200021420000076"/><Relationship Id="rId520" Type="http://schemas.openxmlformats.org/officeDocument/2006/relationships/hyperlink" TargetMode="External" Target="https://zakupki.gov.ru/epz/order/notice/ea44/view/common-info.html?regNumber=0130200002420000635"/><Relationship Id="rId521" Type="http://schemas.openxmlformats.org/officeDocument/2006/relationships/hyperlink" TargetMode="External" Target="https://zakupki.gov.ru/epz/order/notice/ea44/view/common-info.html?regNumber=0338200009420000014"/><Relationship Id="rId522" Type="http://schemas.openxmlformats.org/officeDocument/2006/relationships/hyperlink" TargetMode="External" Target="https://zakupki.gov.ru/epz/order/notice/ea44/view/common-info.html?regNumber=0351100033220000102"/><Relationship Id="rId523" Type="http://schemas.openxmlformats.org/officeDocument/2006/relationships/hyperlink" TargetMode="External" Target="https://zakupki.gov.ru/epz/order/notice/ea44/view/common-info.html?regNumber=0860200000820001475"/><Relationship Id="rId524" Type="http://schemas.openxmlformats.org/officeDocument/2006/relationships/hyperlink" TargetMode="External" Target="https://zakupki.gov.ru/epz/order/notice/ea44/view/common-info.html?regNumber=0387200009120000628"/><Relationship Id="rId525" Type="http://schemas.openxmlformats.org/officeDocument/2006/relationships/hyperlink" TargetMode="External" Target="https://zakupki.gov.ru/epz/order/notice/ea44/view/common-info.html?regNumber=0156200009920000178"/><Relationship Id="rId526" Type="http://schemas.openxmlformats.org/officeDocument/2006/relationships/hyperlink" TargetMode="External" Target="https://zakupki.gov.ru/epz/order/notice/ea44/view/common-info.html?regNumber=0158200001320000386"/><Relationship Id="rId527" Type="http://schemas.openxmlformats.org/officeDocument/2006/relationships/hyperlink" TargetMode="External" Target="https://zakupki.gov.ru/epz/order/notice/ea44/view/common-info.html?regNumber=0378100002720000010"/><Relationship Id="rId528" Type="http://schemas.openxmlformats.org/officeDocument/2006/relationships/hyperlink" TargetMode="External" Target="https://zakupki.gov.ru/epz/order/notice/ea44/view/common-info.html?regNumber=0145200000420000476"/><Relationship Id="rId529" Type="http://schemas.openxmlformats.org/officeDocument/2006/relationships/hyperlink" TargetMode="External" Target="https://zakupki.gov.ru/epz/order/notice/ea44/view/common-info.html?regNumber=0373100091420000199"/><Relationship Id="rId530" Type="http://schemas.openxmlformats.org/officeDocument/2006/relationships/hyperlink" TargetMode="External" Target="https://zakupki.gov.ru/epz/order/notice/ea44/view/common-info.html?regNumber=0169300038720000138"/><Relationship Id="rId531" Type="http://schemas.openxmlformats.org/officeDocument/2006/relationships/hyperlink" TargetMode="External" Target="https://zakupki.gov.ru/epz/order/notice/ea44/view/common-info.html?regNumber=0332100022720000163"/><Relationship Id="rId532" Type="http://schemas.openxmlformats.org/officeDocument/2006/relationships/hyperlink" TargetMode="External" Target="https://zakupki.gov.ru/epz/order/notice/ea44/view/common-info.html?regNumber=0372200035220000036"/><Relationship Id="rId533" Type="http://schemas.openxmlformats.org/officeDocument/2006/relationships/hyperlink" TargetMode="External" Target="https://zakupki.gov.ru/epz/order/notice/ea44/view/common-info.html?regNumber=0137200001220001260"/><Relationship Id="rId534" Type="http://schemas.openxmlformats.org/officeDocument/2006/relationships/hyperlink" TargetMode="External" Target="https://zakupki.gov.ru/epz/order/notice/ea44/view/common-info.html?regNumber=0311100001020000010"/><Relationship Id="rId535" Type="http://schemas.openxmlformats.org/officeDocument/2006/relationships/hyperlink" TargetMode="External" Target="https://zakupki.gov.ru/epz/order/notice/ea44/view/common-info.html?regNumber=0176200005520000371"/><Relationship Id="rId536" Type="http://schemas.openxmlformats.org/officeDocument/2006/relationships/hyperlink" TargetMode="External" Target="https://zakupki.gov.ru/epz/order/notice/ea44/view/common-info.html?regNumber=0348300219220000082"/><Relationship Id="rId537" Type="http://schemas.openxmlformats.org/officeDocument/2006/relationships/hyperlink" TargetMode="External" Target="https://zakupki.gov.ru/epz/order/notice/ea44/view/common-info.html?regNumber=0378300017120000004"/><Relationship Id="rId538" Type="http://schemas.openxmlformats.org/officeDocument/2006/relationships/hyperlink" TargetMode="External" Target="https://zakupki.gov.ru/epz/order/notice/ea44/view/common-info.html?regNumber=0103200008420001060"/><Relationship Id="rId539" Type="http://schemas.openxmlformats.org/officeDocument/2006/relationships/hyperlink" TargetMode="External" Target="https://zakupki.gov.ru/epz/order/notice/ea44/view/common-info.html?regNumber=0318300165720000148"/><Relationship Id="rId540" Type="http://schemas.openxmlformats.org/officeDocument/2006/relationships/hyperlink" TargetMode="External" Target="https://zakupki.gov.ru/epz/order/notice/ea44/view/common-info.html?regNumber=0358100011620000089"/><Relationship Id="rId541" Type="http://schemas.openxmlformats.org/officeDocument/2006/relationships/hyperlink" TargetMode="External" Target="https://zakupki.gov.ru/epz/order/notice/ea44/view/common-info.html?regNumber=0166300033420000044"/><Relationship Id="rId542" Type="http://schemas.openxmlformats.org/officeDocument/2006/relationships/hyperlink" TargetMode="External" Target="https://zakupki.gov.ru/epz/order/notice/ea44/view/common-info.html?regNumber=0372200048020000049"/><Relationship Id="rId543" Type="http://schemas.openxmlformats.org/officeDocument/2006/relationships/hyperlink" TargetMode="External" Target="https://zakupki.gov.ru/epz/order/notice/ea44/view/common-info.html?regNumber=0372200048020000058"/><Relationship Id="rId544" Type="http://schemas.openxmlformats.org/officeDocument/2006/relationships/hyperlink" TargetMode="External" Target="https://zakupki.gov.ru/epz/order/notice/ea44/view/common-info.html?regNumber=0135200000520000729"/><Relationship Id="rId545" Type="http://schemas.openxmlformats.org/officeDocument/2006/relationships/hyperlink" TargetMode="External" Target="https://zakupki.gov.ru/epz/order/notice/ea44/view/common-info.html?regNumber=0372200048020000056"/><Relationship Id="rId546" Type="http://schemas.openxmlformats.org/officeDocument/2006/relationships/hyperlink" TargetMode="External" Target="https://zakupki.gov.ru/epz/order/notice/ea44/view/common-info.html?regNumber=0372200048020000063"/><Relationship Id="rId547" Type="http://schemas.openxmlformats.org/officeDocument/2006/relationships/hyperlink" TargetMode="External" Target="https://zakupki.gov.ru/epz/order/notice/ea44/view/common-info.html?regNumber=0372200048020000060"/><Relationship Id="rId548" Type="http://schemas.openxmlformats.org/officeDocument/2006/relationships/hyperlink" TargetMode="External" Target="https://zakupki.gov.ru/epz/order/notice/ea44/view/common-info.html?regNumber=0372200048020000055"/><Relationship Id="rId549" Type="http://schemas.openxmlformats.org/officeDocument/2006/relationships/hyperlink" TargetMode="External" Target="https://zakupki.gov.ru/epz/order/notice/ea44/view/common-info.html?regNumber=0372200048020000054"/><Relationship Id="rId550" Type="http://schemas.openxmlformats.org/officeDocument/2006/relationships/hyperlink" TargetMode="External" Target="https://zakupki.gov.ru/epz/order/notice/ea44/view/common-info.html?regNumber=0372200048020000053"/><Relationship Id="rId551" Type="http://schemas.openxmlformats.org/officeDocument/2006/relationships/hyperlink" TargetMode="External" Target="https://zakupki.gov.ru/epz/order/notice/ea44/view/common-info.html?regNumber=0366200035620001045"/><Relationship Id="rId552" Type="http://schemas.openxmlformats.org/officeDocument/2006/relationships/hyperlink" TargetMode="External" Target="https://zakupki.gov.ru/epz/order/notice/ea44/view/common-info.html?regNumber=0240100000220000058"/><Relationship Id="rId553" Type="http://schemas.openxmlformats.org/officeDocument/2006/relationships/hyperlink" TargetMode="External" Target="https://zakupki.gov.ru/epz/order/notice/ea44/view/common-info.html?regNumber=0803300188020000003"/><Relationship Id="rId554" Type="http://schemas.openxmlformats.org/officeDocument/2006/relationships/hyperlink" TargetMode="External" Target="https://zakupki.gov.ru/epz/order/notice/ea44/view/common-info.html?regNumber=0122200002520001756"/><Relationship Id="rId555" Type="http://schemas.openxmlformats.org/officeDocument/2006/relationships/hyperlink" TargetMode="External" Target="https://zakupki.gov.ru/epz/order/notice/ea44/view/common-info.html?regNumber=0136500001120000880"/><Relationship Id="rId556" Type="http://schemas.openxmlformats.org/officeDocument/2006/relationships/hyperlink" TargetMode="External" Target="https://zakupki.gov.ru/epz/order/notice/ea44/view/common-info.html?regNumber=0358100011620000088"/><Relationship Id="rId557" Type="http://schemas.openxmlformats.org/officeDocument/2006/relationships/hyperlink" TargetMode="External" Target="https://zakupki.gov.ru/epz/order/notice/ea44/view/common-info.html?regNumber=0853500000320001523"/><Relationship Id="rId558" Type="http://schemas.openxmlformats.org/officeDocument/2006/relationships/hyperlink" TargetMode="External" Target="https://zakupki.gov.ru/epz/order/notice/ea44/view/common-info.html?regNumber=0117300095520000001"/><Relationship Id="rId559" Type="http://schemas.openxmlformats.org/officeDocument/2006/relationships/hyperlink" TargetMode="External" Target="https://zakupki.gov.ru/epz/order/notice/ea44/view/common-info.html?regNumber=0367100000820000096"/><Relationship Id="rId560" Type="http://schemas.openxmlformats.org/officeDocument/2006/relationships/hyperlink" TargetMode="External" Target="https://zakupki.gov.ru/epz/order/notice/ea44/view/common-info.html?regNumber=0365100000920000201"/><Relationship Id="rId561" Type="http://schemas.openxmlformats.org/officeDocument/2006/relationships/hyperlink" TargetMode="External" Target="https://zakupki.gov.ru/epz/order/notice/ea44/view/common-info.html?regNumber=0372200048020000052"/><Relationship Id="rId562" Type="http://schemas.openxmlformats.org/officeDocument/2006/relationships/hyperlink" TargetMode="External" Target="https://zakupki.gov.ru/epz/order/notice/ea44/view/common-info.html?regNumber=0332300201420000002"/><Relationship Id="rId563" Type="http://schemas.openxmlformats.org/officeDocument/2006/relationships/hyperlink" TargetMode="External" Target="https://zakupki.gov.ru/epz/order/notice/ea44/view/common-info.html?regNumber=0312100004420000001"/><Relationship Id="rId564" Type="http://schemas.openxmlformats.org/officeDocument/2006/relationships/hyperlink" TargetMode="External" Target="https://zakupki.gov.ru/epz/order/notice/ea44/view/common-info.html?regNumber=0156600020220000011"/><Relationship Id="rId565" Type="http://schemas.openxmlformats.org/officeDocument/2006/relationships/hyperlink" TargetMode="External" Target="https://zakupki.gov.ru/epz/order/notice/ea44/view/common-info.html?regNumber=0112200000820001151"/><Relationship Id="rId566" Type="http://schemas.openxmlformats.org/officeDocument/2006/relationships/hyperlink" TargetMode="External" Target="https://zakupki.gov.ru/epz/order/notice/ea44/view/common-info.html?regNumber=0345200005320000079"/><Relationship Id="rId567" Type="http://schemas.openxmlformats.org/officeDocument/2006/relationships/hyperlink" TargetMode="External" Target="https://zakupki.gov.ru/epz/order/notice/ea44/view/common-info.html?regNumber=0320300125520000009"/><Relationship Id="rId568" Type="http://schemas.openxmlformats.org/officeDocument/2006/relationships/hyperlink" TargetMode="External" Target="https://zakupki.gov.ru/epz/order/notice/ea44/view/common-info.html?regNumber=0342100003120000185"/><Relationship Id="rId569" Type="http://schemas.openxmlformats.org/officeDocument/2006/relationships/hyperlink" TargetMode="External" Target="https://zakupki.gov.ru/epz/order/notice/ea44/view/common-info.html?regNumber=0348300038620000030"/><Relationship Id="rId570" Type="http://schemas.openxmlformats.org/officeDocument/2006/relationships/hyperlink" TargetMode="External" Target="https://zakupki.gov.ru/epz/order/notice/ea44/view/common-info.html?regNumber=0135200000520000709"/><Relationship Id="rId571" Type="http://schemas.openxmlformats.org/officeDocument/2006/relationships/hyperlink" TargetMode="External" Target="https://zakupki.gov.ru/epz/order/notice/ea44/view/common-info.html?regNumber=0135200000520000665"/><Relationship Id="rId572" Type="http://schemas.openxmlformats.org/officeDocument/2006/relationships/hyperlink" TargetMode="External" Target="https://zakupki.gov.ru/epz/order/notice/ea44/view/common-info.html?regNumber=0342100003120000190"/><Relationship Id="rId573" Type="http://schemas.openxmlformats.org/officeDocument/2006/relationships/hyperlink" TargetMode="External" Target="https://zakupki.gov.ru/epz/order/notice/ea44/view/common-info.html?regNumber=0555600000220000004"/><Relationship Id="rId574" Type="http://schemas.openxmlformats.org/officeDocument/2006/relationships/hyperlink" TargetMode="External" Target="https://zakupki.gov.ru/epz/order/notice/ea44/view/common-info.html?regNumber=0320300032220000009"/><Relationship Id="rId575" Type="http://schemas.openxmlformats.org/officeDocument/2006/relationships/hyperlink" TargetMode="External" Target="https://zakupki.gov.ru/epz/order/notice/ea44/view/common-info.html?regNumber=0133200001720000672"/><Relationship Id="rId576" Type="http://schemas.openxmlformats.org/officeDocument/2006/relationships/hyperlink" TargetMode="External" Target="https://zakupki.gov.ru/epz/order/notice/ea44/view/common-info.html?regNumber=0161300002720000035"/><Relationship Id="rId577" Type="http://schemas.openxmlformats.org/officeDocument/2006/relationships/hyperlink" TargetMode="External" Target="https://zakupki.gov.ru/epz/order/notice/ea44/view/common-info.html?regNumber=0141300009220000012"/><Relationship Id="rId578" Type="http://schemas.openxmlformats.org/officeDocument/2006/relationships/hyperlink" TargetMode="External" Target="https://zakupki.gov.ru/epz/order/notice/ea44/view/common-info.html?regNumber=0348500002620000035"/><Relationship Id="rId579" Type="http://schemas.openxmlformats.org/officeDocument/2006/relationships/hyperlink" TargetMode="External" Target="https://zakupki.gov.ru/epz/order/notice/ea44/view/common-info.html?regNumber=0144200002420000346"/><Relationship Id="rId580" Type="http://schemas.openxmlformats.org/officeDocument/2006/relationships/hyperlink" TargetMode="External" Target="https://zakupki.gov.ru/epz/order/notice/ea44/view/common-info.html?regNumber=0850200000420000322"/><Relationship Id="rId581" Type="http://schemas.openxmlformats.org/officeDocument/2006/relationships/hyperlink" TargetMode="External" Target="https://zakupki.gov.ru/epz/order/notice/ea44/view/common-info.html?regNumber=0378200001820000006"/><Relationship Id="rId582" Type="http://schemas.openxmlformats.org/officeDocument/2006/relationships/hyperlink" TargetMode="External" Target="https://zakupki.gov.ru/epz/order/notice/ea44/view/common-info.html?regNumber=0387200009120000625"/><Relationship Id="rId583" Type="http://schemas.openxmlformats.org/officeDocument/2006/relationships/hyperlink" TargetMode="External" Target="https://zakupki.gov.ru/epz/order/notice/ea44/view/common-info.html?regNumber=0169300027120000078"/><Relationship Id="rId584" Type="http://schemas.openxmlformats.org/officeDocument/2006/relationships/hyperlink" TargetMode="External" Target="https://zakupki.gov.ru/epz/order/notice/ea44/view/common-info.html?regNumber=0344100005520000015"/><Relationship Id="rId585" Type="http://schemas.openxmlformats.org/officeDocument/2006/relationships/hyperlink" TargetMode="External" Target="https://zakupki.gov.ru/epz/order/notice/ea44/view/common-info.html?regNumber=0126300004320000049"/><Relationship Id="rId586" Type="http://schemas.openxmlformats.org/officeDocument/2006/relationships/hyperlink" TargetMode="External" Target="https://zakupki.gov.ru/epz/order/notice/ea44/view/common-info.html?regNumber=0320200004220000079"/><Relationship Id="rId587" Type="http://schemas.openxmlformats.org/officeDocument/2006/relationships/hyperlink" TargetMode="External" Target="https://zakupki.gov.ru/epz/order/notice/ea44/view/common-info.html?regNumber=0318300165720000150"/><Relationship Id="rId588" Type="http://schemas.openxmlformats.org/officeDocument/2006/relationships/hyperlink" TargetMode="External" Target="https://zakupki.gov.ru/epz/order/notice/ea44/view/common-info.html?regNumber=0248100000320000026"/><Relationship Id="rId589" Type="http://schemas.openxmlformats.org/officeDocument/2006/relationships/hyperlink" TargetMode="External" Target="https://zakupki.gov.ru/epz/order/notice/ea44/view/common-info.html?regNumber=0857200000220000068"/><Relationship Id="rId590" Type="http://schemas.openxmlformats.org/officeDocument/2006/relationships/hyperlink" TargetMode="External" Target="https://zakupki.gov.ru/epz/order/notice/ea44/view/common-info.html?regNumber=0869200000220000767"/><Relationship Id="rId591" Type="http://schemas.openxmlformats.org/officeDocument/2006/relationships/hyperlink" TargetMode="External" Target="https://zakupki.gov.ru/epz/order/notice/ea44/view/common-info.html?regNumber=0347200008920000004"/><Relationship Id="rId592" Type="http://schemas.openxmlformats.org/officeDocument/2006/relationships/hyperlink" TargetMode="External" Target="https://zakupki.gov.ru/epz/order/notice/ea44/view/common-info.html?regNumber=0373200026120000128"/><Relationship Id="rId593" Type="http://schemas.openxmlformats.org/officeDocument/2006/relationships/hyperlink" TargetMode="External" Target="https://zakupki.gov.ru/epz/order/notice/ea44/view/common-info.html?regNumber=0816500000620002697"/><Relationship Id="rId594" Type="http://schemas.openxmlformats.org/officeDocument/2006/relationships/hyperlink" TargetMode="External" Target="https://zakupki.gov.ru/epz/order/notice/ea44/view/common-info.html?regNumber=0339300016120000045"/><Relationship Id="rId595" Type="http://schemas.openxmlformats.org/officeDocument/2006/relationships/hyperlink" TargetMode="External" Target="https://zakupki.gov.ru/epz/order/notice/ea44/view/common-info.html?regNumber=0358200040320000013"/><Relationship Id="rId596" Type="http://schemas.openxmlformats.org/officeDocument/2006/relationships/hyperlink" TargetMode="External" Target="https://zakupki.gov.ru/epz/order/notice/ea44/view/common-info.html?regNumber=0156300001420000004"/><Relationship Id="rId597" Type="http://schemas.openxmlformats.org/officeDocument/2006/relationships/hyperlink" TargetMode="External" Target="https://zakupki.gov.ru/epz/order/notice/ea44/view/common-info.html?regNumber=0169300007520000059"/><Relationship Id="rId598" Type="http://schemas.openxmlformats.org/officeDocument/2006/relationships/hyperlink" TargetMode="External" Target="https://zakupki.gov.ru/epz/order/notice/ea44/view/common-info.html?regNumber=0375200043120000093"/><Relationship Id="rId599" Type="http://schemas.openxmlformats.org/officeDocument/2006/relationships/hyperlink" TargetMode="External" Target="https://zakupki.gov.ru/epz/order/notice/ea44/view/common-info.html?regNumber=0373200178120000116"/><Relationship Id="rId600" Type="http://schemas.openxmlformats.org/officeDocument/2006/relationships/hyperlink" TargetMode="External" Target="https://zakupki.gov.ru/epz/order/notice/ea44/view/common-info.html?regNumber=0373200575320000019"/><Relationship Id="rId601" Type="http://schemas.openxmlformats.org/officeDocument/2006/relationships/hyperlink" TargetMode="External" Target="https://zakupki.gov.ru/epz/order/notice/ea44/view/common-info.html?regNumber=0373200068620000047"/><Relationship Id="rId602" Type="http://schemas.openxmlformats.org/officeDocument/2006/relationships/hyperlink" TargetMode="External" Target="https://zakupki.gov.ru/epz/order/notice/ea44/view/common-info.html?regNumber=0325200001620000068"/><Relationship Id="rId603" Type="http://schemas.openxmlformats.org/officeDocument/2006/relationships/hyperlink" TargetMode="External" Target="https://zakupki.gov.ru/epz/order/notice/ea44/view/common-info.html?regNumber=0373200307320000126"/><Relationship Id="rId604" Type="http://schemas.openxmlformats.org/officeDocument/2006/relationships/hyperlink" TargetMode="External" Target="https://zakupki.gov.ru/epz/order/notice/ea44/view/common-info.html?regNumber=0131200001020001611"/><Relationship Id="rId605" Type="http://schemas.openxmlformats.org/officeDocument/2006/relationships/hyperlink" TargetMode="External" Target="https://zakupki.gov.ru/epz/order/notice/ea44/view/common-info.html?regNumber=0324100016920000001"/><Relationship Id="rId606" Type="http://schemas.openxmlformats.org/officeDocument/2006/relationships/hyperlink" TargetMode="External" Target="https://zakupki.gov.ru/epz/order/notice/ea44/view/common-info.html?regNumber=0373200052720000130"/><Relationship Id="rId607" Type="http://schemas.openxmlformats.org/officeDocument/2006/relationships/hyperlink" TargetMode="External" Target="https://zakupki.gov.ru/epz/order/notice/ea44/view/common-info.html?regNumber=0801200000220000463"/><Relationship Id="rId608" Type="http://schemas.openxmlformats.org/officeDocument/2006/relationships/hyperlink" TargetMode="External" Target="https://zakupki.gov.ru/epz/order/notice/ea44/view/common-info.html?regNumber=0373200052720000118"/><Relationship Id="rId609" Type="http://schemas.openxmlformats.org/officeDocument/2006/relationships/hyperlink" TargetMode="External" Target="https://zakupki.gov.ru/epz/order/notice/ea44/view/common-info.html?regNumber=0373200054520000001"/><Relationship Id="rId610" Type="http://schemas.openxmlformats.org/officeDocument/2006/relationships/hyperlink" TargetMode="External" Target="https://zakupki.gov.ru/epz/order/notice/ea44/view/common-info.html?regNumber=0373200045220000345"/><Relationship Id="rId611" Type="http://schemas.openxmlformats.org/officeDocument/2006/relationships/hyperlink" TargetMode="External" Target="https://zakupki.gov.ru/epz/order/notice/ea44/view/common-info.html?regNumber=0373200000620000087"/><Relationship Id="rId612" Type="http://schemas.openxmlformats.org/officeDocument/2006/relationships/hyperlink" TargetMode="External" Target="https://zakupki.gov.ru/epz/order/notice/ea44/view/common-info.html?regNumber=0120200004720000114"/><Relationship Id="rId613" Type="http://schemas.openxmlformats.org/officeDocument/2006/relationships/hyperlink" TargetMode="External" Target="https://zakupki.gov.ru/epz/order/notice/ea44/view/common-info.html?regNumber=0194200000520001930"/><Relationship Id="rId614" Type="http://schemas.openxmlformats.org/officeDocument/2006/relationships/hyperlink" TargetMode="External" Target="https://zakupki.gov.ru/epz/order/notice/ea44/view/common-info.html?regNumber=0387200017820000005"/><Relationship Id="rId615" Type="http://schemas.openxmlformats.org/officeDocument/2006/relationships/hyperlink" TargetMode="External" Target="https://zakupki.gov.ru/epz/order/notice/ea44/view/common-info.html?regNumber=0361200015020001330"/><Relationship Id="rId616" Type="http://schemas.openxmlformats.org/officeDocument/2006/relationships/hyperlink" TargetMode="External" Target="https://zakupki.gov.ru/epz/order/notice/ea44/view/common-info.html?regNumber=0841200000720000443"/><Relationship Id="rId617" Type="http://schemas.openxmlformats.org/officeDocument/2006/relationships/hyperlink" TargetMode="External" Target="https://zakupki.gov.ru/epz/order/notice/ea44/view/common-info.html?regNumber=0818500000820001532"/><Relationship Id="rId618" Type="http://schemas.openxmlformats.org/officeDocument/2006/relationships/hyperlink" TargetMode="External" Target="https://zakupki.gov.ru/epz/order/notice/ea44/view/common-info.html?regNumber=0372200011720000010"/><Relationship Id="rId619" Type="http://schemas.openxmlformats.org/officeDocument/2006/relationships/hyperlink" TargetMode="External" Target="https://zakupki.gov.ru/epz/order/notice/ea44/view/common-info.html?regNumber=0321200022020000123"/><Relationship Id="rId620" Type="http://schemas.openxmlformats.org/officeDocument/2006/relationships/hyperlink" TargetMode="External" Target="https://zakupki.gov.ru/epz/order/notice/ea44/view/common-info.html?regNumber=0156600015520000036"/><Relationship Id="rId621" Type="http://schemas.openxmlformats.org/officeDocument/2006/relationships/hyperlink" TargetMode="External" Target="https://zakupki.gov.ru/epz/order/notice/ea44/view/common-info.html?regNumber=0194200000520001917"/><Relationship Id="rId622" Type="http://schemas.openxmlformats.org/officeDocument/2006/relationships/hyperlink" TargetMode="External" Target="https://zakupki.gov.ru/epz/order/notice/ea44/view/common-info.html?regNumber=0301100008520000019"/><Relationship Id="rId623" Type="http://schemas.openxmlformats.org/officeDocument/2006/relationships/hyperlink" TargetMode="External" Target="https://zakupki.gov.ru/epz/order/notice/ea44/view/common-info.html?regNumber=0145200000420000457"/><Relationship Id="rId624" Type="http://schemas.openxmlformats.org/officeDocument/2006/relationships/hyperlink" TargetMode="External" Target="https://zakupki.gov.ru/epz/order/notice/ea44/view/common-info.html?regNumber=0308200003120000062"/><Relationship Id="rId625" Type="http://schemas.openxmlformats.org/officeDocument/2006/relationships/hyperlink" TargetMode="External" Target="https://zakupki.gov.ru/epz/order/notice/ea44/view/common-info.html?regNumber=0373100068220000300"/><Relationship Id="rId626" Type="http://schemas.openxmlformats.org/officeDocument/2006/relationships/hyperlink" TargetMode="External" Target="https://zakupki.gov.ru/epz/order/notice/ea44/view/common-info.html?regNumber=0813500000120003497"/><Relationship Id="rId627" Type="http://schemas.openxmlformats.org/officeDocument/2006/relationships/hyperlink" TargetMode="External" Target="https://zakupki.gov.ru/epz/order/notice/ea44/view/common-info.html?regNumber=0372200255920000032"/><Relationship Id="rId628" Type="http://schemas.openxmlformats.org/officeDocument/2006/relationships/hyperlink" TargetMode="External" Target="https://zakupki.gov.ru/epz/order/notice/ea44/view/common-info.html?regNumber=0142200001320005023"/><Relationship Id="rId629" Type="http://schemas.openxmlformats.org/officeDocument/2006/relationships/hyperlink" TargetMode="External" Target="https://zakupki.gov.ru/epz/order/notice/ea44/view/common-info.html?regNumber=0169300000320000419"/><Relationship Id="rId630" Type="http://schemas.openxmlformats.org/officeDocument/2006/relationships/hyperlink" TargetMode="External" Target="https://zakupki.gov.ru/epz/order/notice/ea44/view/common-info.html?regNumber=0387200017820000008"/><Relationship Id="rId631" Type="http://schemas.openxmlformats.org/officeDocument/2006/relationships/hyperlink" TargetMode="External" Target="https://zakupki.gov.ru/epz/order/notice/ea44/view/common-info.html?regNumber=0373100013420000174"/><Relationship Id="rId632" Type="http://schemas.openxmlformats.org/officeDocument/2006/relationships/hyperlink" TargetMode="External" Target="https://zakupki.gov.ru/epz/order/notice/ea44/view/common-info.html?regNumber=0340200003320003040"/><Relationship Id="rId633" Type="http://schemas.openxmlformats.org/officeDocument/2006/relationships/hyperlink" TargetMode="External" Target="https://zakupki.gov.ru/epz/order/notice/ea44/view/common-info.html?regNumber=0356500005920000026"/><Relationship Id="rId634" Type="http://schemas.openxmlformats.org/officeDocument/2006/relationships/hyperlink" TargetMode="External" Target="https://zakupki.gov.ru/epz/order/notice/ea44/view/common-info.html?regNumber=0332100022720000162"/><Relationship Id="rId635" Type="http://schemas.openxmlformats.org/officeDocument/2006/relationships/hyperlink" TargetMode="External" Target="https://zakupki.gov.ru/epz/order/notice/ea44/view/common-info.html?regNumber=0106300001820000001"/><Relationship Id="rId636" Type="http://schemas.openxmlformats.org/officeDocument/2006/relationships/hyperlink" TargetMode="External" Target="https://zakupki.gov.ru/epz/order/notice/ea44/view/common-info.html?regNumber=0369100026420000002"/><Relationship Id="rId637" Type="http://schemas.openxmlformats.org/officeDocument/2006/relationships/hyperlink" TargetMode="External" Target="https://zakupki.gov.ru/epz/order/notice/ea44/view/common-info.html?regNumber=0356500005620000159"/><Relationship Id="rId638" Type="http://schemas.openxmlformats.org/officeDocument/2006/relationships/hyperlink" TargetMode="External" Target="https://zakupki.gov.ru/epz/order/notice/ea44/view/common-info.html?regNumber=0373200307320000114"/><Relationship Id="rId639" Type="http://schemas.openxmlformats.org/officeDocument/2006/relationships/hyperlink" TargetMode="External" Target="https://zakupki.gov.ru/epz/order/notice/ea44/view/common-info.html?regNumber=0372100001020000038"/><Relationship Id="rId640" Type="http://schemas.openxmlformats.org/officeDocument/2006/relationships/hyperlink" TargetMode="External" Target="https://zakupki.gov.ru/epz/order/notice/ea44/view/common-info.html?regNumber=0373200052320000193"/><Relationship Id="rId641" Type="http://schemas.openxmlformats.org/officeDocument/2006/relationships/hyperlink" TargetMode="External" Target="https://zakupki.gov.ru/epz/order/notice/ea44/view/common-info.html?regNumber=0319100037920000002"/><Relationship Id="rId642" Type="http://schemas.openxmlformats.org/officeDocument/2006/relationships/hyperlink" TargetMode="External" Target="https://zakupki.gov.ru/epz/order/notice/ea44/view/common-info.html?regNumber=0373200099720000324"/><Relationship Id="rId643" Type="http://schemas.openxmlformats.org/officeDocument/2006/relationships/hyperlink" TargetMode="External" Target="https://zakupki.gov.ru/epz/order/notice/ea44/view/common-info.html?regNumber=0372200035220000035"/><Relationship Id="rId644" Type="http://schemas.openxmlformats.org/officeDocument/2006/relationships/hyperlink" TargetMode="External" Target="https://zakupki.gov.ru/epz/order/notice/ea44/view/common-info.html?regNumber=0343200010720000090"/><Relationship Id="rId645" Type="http://schemas.openxmlformats.org/officeDocument/2006/relationships/hyperlink" TargetMode="External" Target="https://zakupki.gov.ru/epz/order/notice/ea44/view/common-info.html?regNumber=0573200003820000011"/><Relationship Id="rId646" Type="http://schemas.openxmlformats.org/officeDocument/2006/relationships/hyperlink" TargetMode="External" Target="https://zakupki.gov.ru/epz/order/notice/ea44/view/common-info.html?regNumber=0573200003820000010"/><Relationship Id="rId647" Type="http://schemas.openxmlformats.org/officeDocument/2006/relationships/hyperlink" TargetMode="External" Target="https://zakupki.gov.ru/epz/order/notice/ea44/view/common-info.html?regNumber=0387200002820000152"/><Relationship Id="rId648" Type="http://schemas.openxmlformats.org/officeDocument/2006/relationships/hyperlink" TargetMode="External" Target="https://zakupki.gov.ru/epz/order/notice/ea44/view/common-info.html?regNumber=0320200004220000076"/><Relationship Id="rId649" Type="http://schemas.openxmlformats.org/officeDocument/2006/relationships/hyperlink" TargetMode="External" Target="https://zakupki.gov.ru/epz/order/notice/ea44/view/common-info.html?regNumber=0332100022720000154"/><Relationship Id="rId650" Type="http://schemas.openxmlformats.org/officeDocument/2006/relationships/hyperlink" TargetMode="External" Target="https://zakupki.gov.ru/epz/order/notice/ea44/view/common-info.html?regNumber=0146300004220000088"/><Relationship Id="rId651" Type="http://schemas.openxmlformats.org/officeDocument/2006/relationships/hyperlink" TargetMode="External" Target="https://zakupki.gov.ru/epz/order/notice/ea44/view/common-info.html?regNumber=0342100015220000018"/><Relationship Id="rId652" Type="http://schemas.openxmlformats.org/officeDocument/2006/relationships/hyperlink" TargetMode="External" Target="https://zakupki.gov.ru/epz/order/notice/ea44/view/common-info.html?regNumber=0358100011620000087"/><Relationship Id="rId653" Type="http://schemas.openxmlformats.org/officeDocument/2006/relationships/hyperlink" TargetMode="External" Target="https://zakupki.gov.ru/epz/order/notice/ea44/view/common-info.html?regNumber=0164200003020000665"/><Relationship Id="rId654" Type="http://schemas.openxmlformats.org/officeDocument/2006/relationships/hyperlink" TargetMode="External" Target="https://zakupki.gov.ru/epz/order/notice/ea44/view/common-info.html?regNumber=0321200022020000129"/><Relationship Id="rId655" Type="http://schemas.openxmlformats.org/officeDocument/2006/relationships/hyperlink" TargetMode="External" Target="https://zakupki.gov.ru/epz/order/notice/ea44/view/common-info.html?regNumber=0372200030620000067"/><Relationship Id="rId656" Type="http://schemas.openxmlformats.org/officeDocument/2006/relationships/hyperlink" TargetMode="External" Target="https://zakupki.gov.ru/epz/order/notice/ea44/view/common-info.html?regNumber=0306500000320000157"/><Relationship Id="rId657" Type="http://schemas.openxmlformats.org/officeDocument/2006/relationships/hyperlink" TargetMode="External" Target="https://zakupki.gov.ru/epz/order/notice/ea44/view/common-info.html?regNumber=0372200127620000014"/><Relationship Id="rId658" Type="http://schemas.openxmlformats.org/officeDocument/2006/relationships/hyperlink" TargetMode="External" Target="https://zakupki.gov.ru/epz/order/notice/ea44/view/common-info.html?regNumber=0126300004320000047"/><Relationship Id="rId659" Type="http://schemas.openxmlformats.org/officeDocument/2006/relationships/hyperlink" TargetMode="External" Target="https://zakupki.gov.ru/epz/order/notice/ea44/view/common-info.html?regNumber=0169300007520000055"/><Relationship Id="rId660" Type="http://schemas.openxmlformats.org/officeDocument/2006/relationships/hyperlink" TargetMode="External" Target="https://zakupki.gov.ru/epz/order/notice/ea44/view/common-info.html?regNumber=0374200001020000001"/><Relationship Id="rId661" Type="http://schemas.openxmlformats.org/officeDocument/2006/relationships/hyperlink" TargetMode="External" Target="https://zakupki.gov.ru/epz/order/notice/ea44/view/common-info.html?regNumber=0131200001020001483"/><Relationship Id="rId662" Type="http://schemas.openxmlformats.org/officeDocument/2006/relationships/hyperlink" TargetMode="External" Target="https://zakupki.gov.ru/epz/order/notice/ea44/view/common-info.html?regNumber=0301300016020000220"/><Relationship Id="rId663" Type="http://schemas.openxmlformats.org/officeDocument/2006/relationships/hyperlink" TargetMode="External" Target="https://zakupki.gov.ru/epz/order/notice/ea44/view/common-info.html?regNumber=0372200068420000031"/><Relationship Id="rId664" Type="http://schemas.openxmlformats.org/officeDocument/2006/relationships/hyperlink" TargetMode="External" Target="https://zakupki.gov.ru/epz/order/notice/ea44/view/common-info.html?regNumber=0142200001320005015"/><Relationship Id="rId665" Type="http://schemas.openxmlformats.org/officeDocument/2006/relationships/hyperlink" TargetMode="External" Target="https://zakupki.gov.ru/epz/order/notice/ea44/view/common-info.html?regNumber=0342100011820000042"/><Relationship Id="rId666" Type="http://schemas.openxmlformats.org/officeDocument/2006/relationships/hyperlink" TargetMode="External" Target="https://zakupki.gov.ru/epz/order/notice/ea44/view/common-info.html?regNumber=0332100022720000164"/><Relationship Id="rId667" Type="http://schemas.openxmlformats.org/officeDocument/2006/relationships/hyperlink" TargetMode="External" Target="https://zakupki.gov.ru/epz/order/notice/ea44/view/common-info.html?regNumber=0342100003120000162"/><Relationship Id="rId668" Type="http://schemas.openxmlformats.org/officeDocument/2006/relationships/hyperlink" TargetMode="External" Target="https://zakupki.gov.ru/epz/order/notice/ea44/view/common-info.html?regNumber=0137200001220001241"/><Relationship Id="rId669" Type="http://schemas.openxmlformats.org/officeDocument/2006/relationships/hyperlink" TargetMode="External" Target="https://zakupki.gov.ru/epz/order/notice/ea44/view/common-info.html?regNumber=0134300004520000089"/><Relationship Id="rId670" Type="http://schemas.openxmlformats.org/officeDocument/2006/relationships/hyperlink" TargetMode="External" Target="https://zakupki.gov.ru/epz/order/notice/ea44/view/common-info.html?regNumber=0818500000820001378"/><Relationship Id="rId671" Type="http://schemas.openxmlformats.org/officeDocument/2006/relationships/hyperlink" TargetMode="External" Target="https://zakupki.gov.ru/epz/order/notice/ea44/view/common-info.html?regNumber=0818500000820001472"/><Relationship Id="rId672" Type="http://schemas.openxmlformats.org/officeDocument/2006/relationships/hyperlink" TargetMode="External" Target="https://zakupki.gov.ru/epz/order/notice/ea44/view/common-info.html?regNumber=0260100000620000086"/><Relationship Id="rId673" Type="http://schemas.openxmlformats.org/officeDocument/2006/relationships/hyperlink" TargetMode="External" Target="https://zakupki.gov.ru/epz/order/notice/ea44/view/common-info.html?regNumber=0131200001020001024"/><Relationship Id="rId674" Type="http://schemas.openxmlformats.org/officeDocument/2006/relationships/hyperlink" TargetMode="External" Target="https://zakupki.gov.ru/epz/order/notice/ea44/view/common-info.html?regNumber=0573200003820000009"/><Relationship Id="rId675" Type="http://schemas.openxmlformats.org/officeDocument/2006/relationships/hyperlink" TargetMode="External" Target="https://zakupki.gov.ru/epz/order/notice/ea44/view/common-info.html?regNumber=0841200000720000419"/><Relationship Id="rId676" Type="http://schemas.openxmlformats.org/officeDocument/2006/relationships/hyperlink" TargetMode="External" Target="https://zakupki.gov.ru/epz/order/notice/ea44/view/common-info.html?regNumber=0136300004320000024"/><Relationship Id="rId677" Type="http://schemas.openxmlformats.org/officeDocument/2006/relationships/hyperlink" TargetMode="External" Target="https://zakupki.gov.ru/epz/order/notice/ea44/view/common-info.html?regNumber=0169300038720000132"/><Relationship Id="rId678" Type="http://schemas.openxmlformats.org/officeDocument/2006/relationships/hyperlink" TargetMode="External" Target="https://zakupki.gov.ru/epz/order/notice/ea44/view/common-info.html?regNumber=0169300038720000133"/><Relationship Id="rId679" Type="http://schemas.openxmlformats.org/officeDocument/2006/relationships/hyperlink" TargetMode="External" Target="https://zakupki.gov.ru/epz/order/notice/ea44/view/common-info.html?regNumber=0853500000320001509"/><Relationship Id="rId680" Type="http://schemas.openxmlformats.org/officeDocument/2006/relationships/hyperlink" TargetMode="External" Target="https://zakupki.gov.ru/epz/order/notice/ea44/view/common-info.html?regNumber=0375200012820000030"/><Relationship Id="rId681" Type="http://schemas.openxmlformats.org/officeDocument/2006/relationships/hyperlink" TargetMode="External" Target="https://zakupki.gov.ru/epz/order/notice/ea44/view/common-info.html?regNumber=0120200004720000119"/><Relationship Id="rId682" Type="http://schemas.openxmlformats.org/officeDocument/2006/relationships/hyperlink" TargetMode="External" Target="https://zakupki.gov.ru/epz/order/notice/ea44/view/common-info.html?regNumber=0373200009820000225"/><Relationship Id="rId683" Type="http://schemas.openxmlformats.org/officeDocument/2006/relationships/hyperlink" TargetMode="External" Target="https://zakupki.gov.ru/epz/order/notice/ea44/view/common-info.html?regNumber=0862300020420000012"/><Relationship Id="rId684" Type="http://schemas.openxmlformats.org/officeDocument/2006/relationships/hyperlink" TargetMode="External" Target="https://zakupki.gov.ru/epz/order/notice/ea44/view/common-info.html?regNumber=0321200022020000130"/><Relationship Id="rId685" Type="http://schemas.openxmlformats.org/officeDocument/2006/relationships/hyperlink" TargetMode="External" Target="https://zakupki.gov.ru/epz/order/notice/ea44/view/common-info.html?regNumber=0387200009120000614"/><Relationship Id="rId686" Type="http://schemas.openxmlformats.org/officeDocument/2006/relationships/hyperlink" TargetMode="External" Target="https://zakupki.gov.ru/epz/order/notice/ea44/view/common-info.html?regNumber=0348500002620000034"/><Relationship Id="rId687" Type="http://schemas.openxmlformats.org/officeDocument/2006/relationships/hyperlink" TargetMode="External" Target="https://zakupki.gov.ru/epz/order/notice/ea44/view/common-info.html?regNumber=0373100013420000177"/><Relationship Id="rId688" Type="http://schemas.openxmlformats.org/officeDocument/2006/relationships/hyperlink" TargetMode="External" Target="https://zakupki.gov.ru/epz/order/notice/ea44/view/common-info.html?regNumber=0131300022120000014"/><Relationship Id="rId689" Type="http://schemas.openxmlformats.org/officeDocument/2006/relationships/hyperlink" TargetMode="External" Target="https://zakupki.gov.ru/epz/order/notice/ea44/view/common-info.html?regNumber=0853500000320001749"/><Relationship Id="rId690" Type="http://schemas.openxmlformats.org/officeDocument/2006/relationships/hyperlink" TargetMode="External" Target="https://zakupki.gov.ru/epz/order/notice/ea44/view/common-info.html?regNumber=0373200099720000272"/><Relationship Id="rId691" Type="http://schemas.openxmlformats.org/officeDocument/2006/relationships/hyperlink" TargetMode="External" Target="https://zakupki.gov.ru/epz/order/notice/ea44/view/common-info.html?regNumber=0107300022120000026"/><Relationship Id="rId692" Type="http://schemas.openxmlformats.org/officeDocument/2006/relationships/hyperlink" TargetMode="External" Target="https://zakupki.gov.ru/epz/order/notice/ea44/view/common-info.html?regNumber=0350100007320000013"/><Relationship Id="rId693" Type="http://schemas.openxmlformats.org/officeDocument/2006/relationships/hyperlink" TargetMode="External" Target="https://zakupki.gov.ru/epz/order/notice/ea44/view/common-info.html?regNumber=0369100026420000008"/><Relationship Id="rId694" Type="http://schemas.openxmlformats.org/officeDocument/2006/relationships/hyperlink" TargetMode="External" Target="https://zakupki.gov.ru/epz/order/notice/ea44/view/common-info.html?regNumber=0853500000320001511"/><Relationship Id="rId695" Type="http://schemas.openxmlformats.org/officeDocument/2006/relationships/hyperlink" TargetMode="External" Target="https://zakupki.gov.ru/epz/order/notice/ea44/view/common-info.html?regNumber=0372200004320000038"/><Relationship Id="rId696" Type="http://schemas.openxmlformats.org/officeDocument/2006/relationships/hyperlink" TargetMode="External" Target="https://zakupki.gov.ru/epz/order/notice/ea44/view/common-info.html?regNumber=0302300047920000012"/><Relationship Id="rId697" Type="http://schemas.openxmlformats.org/officeDocument/2006/relationships/hyperlink" TargetMode="External" Target="https://zakupki.gov.ru/epz/order/notice/ea44/view/common-info.html?regNumber=0342100003120000188"/><Relationship Id="rId698" Type="http://schemas.openxmlformats.org/officeDocument/2006/relationships/hyperlink" TargetMode="External" Target="https://zakupki.gov.ru/epz/order/notice/ea44/view/common-info.html?regNumber=0375200049020000068"/><Relationship Id="rId699" Type="http://schemas.openxmlformats.org/officeDocument/2006/relationships/hyperlink" TargetMode="External" Target="https://zakupki.gov.ru/epz/order/notice/ea44/view/common-info.html?regNumber=0373100056620000209"/><Relationship Id="rId700" Type="http://schemas.openxmlformats.org/officeDocument/2006/relationships/hyperlink" TargetMode="External" Target="https://zakupki.gov.ru/epz/order/notice/ea44/view/common-info.html?regNumber=0345300000520000046"/><Relationship Id="rId701" Type="http://schemas.openxmlformats.org/officeDocument/2006/relationships/hyperlink" TargetMode="External" Target="https://zakupki.gov.ru/epz/order/notice/ea44/view/common-info.html?regNumber=0321300096820000043"/><Relationship Id="rId702" Type="http://schemas.openxmlformats.org/officeDocument/2006/relationships/hyperlink" TargetMode="External" Target="https://zakupki.gov.ru/epz/order/notice/ea44/view/common-info.html?regNumber=0387200002820000154"/><Relationship Id="rId703" Type="http://schemas.openxmlformats.org/officeDocument/2006/relationships/hyperlink" TargetMode="External" Target="https://zakupki.gov.ru/epz/order/notice/ea44/view/common-info.html?regNumber=0304200002920000120"/><Relationship Id="rId704" Type="http://schemas.openxmlformats.org/officeDocument/2006/relationships/hyperlink" TargetMode="External" Target="https://zakupki.gov.ru/epz/order/notice/ea44/view/common-info.html?regNumber=0116300000120000206"/><Relationship Id="rId705" Type="http://schemas.openxmlformats.org/officeDocument/2006/relationships/hyperlink" TargetMode="External" Target="https://zakupki.gov.ru/epz/order/notice/ea44/view/common-info.html?regNumber=0372200105020000067"/><Relationship Id="rId706" Type="http://schemas.openxmlformats.org/officeDocument/2006/relationships/hyperlink" TargetMode="External" Target="https://zakupki.gov.ru/epz/order/notice/ea44/view/common-info.html?regNumber=0862300027020000035"/><Relationship Id="rId707" Type="http://schemas.openxmlformats.org/officeDocument/2006/relationships/hyperlink" TargetMode="External" Target="https://zakupki.gov.ru/epz/order/notice/ea44/view/common-info.html?regNumber=0348500002620000033"/><Relationship Id="rId708" Type="http://schemas.openxmlformats.org/officeDocument/2006/relationships/hyperlink" TargetMode="External" Target="https://zakupki.gov.ru/epz/order/notice/ea44/view/common-info.html?regNumber=0351300298620000002"/><Relationship Id="rId709" Type="http://schemas.openxmlformats.org/officeDocument/2006/relationships/hyperlink" TargetMode="External" Target="https://zakupki.gov.ru/epz/order/notice/ea44/view/common-info.html?regNumber=0375200049820000013"/><Relationship Id="rId710" Type="http://schemas.openxmlformats.org/officeDocument/2006/relationships/hyperlink" TargetMode="External" Target="https://zakupki.gov.ru/epz/order/notice/ea44/view/common-info.html?regNumber=0372200038320000054"/><Relationship Id="rId711" Type="http://schemas.openxmlformats.org/officeDocument/2006/relationships/hyperlink" TargetMode="External" Target="https://zakupki.gov.ru/epz/order/notice/ea44/view/common-info.html?regNumber=0362200023920000017"/><Relationship Id="rId712" Type="http://schemas.openxmlformats.org/officeDocument/2006/relationships/hyperlink" TargetMode="External" Target="https://zakupki.gov.ru/epz/order/notice/ea44/view/common-info.html?regNumber=0373200032220000352"/><Relationship Id="rId713" Type="http://schemas.openxmlformats.org/officeDocument/2006/relationships/hyperlink" TargetMode="External" Target="https://zakupki.gov.ru/epz/order/notice/ea44/view/common-info.html?regNumber=0356500005220000066"/><Relationship Id="rId714" Type="http://schemas.openxmlformats.org/officeDocument/2006/relationships/hyperlink" TargetMode="External" Target="https://zakupki.gov.ru/epz/order/notice/ea44/view/common-info.html?regNumber=0348300219220000083"/><Relationship Id="rId715" Type="http://schemas.openxmlformats.org/officeDocument/2006/relationships/hyperlink" TargetMode="External" Target="https://zakupki.gov.ru/epz/order/notice/ea44/view/common-info.html?regNumber=0139300027720000065"/><Relationship Id="rId716" Type="http://schemas.openxmlformats.org/officeDocument/2006/relationships/hyperlink" TargetMode="External" Target="https://zakupki.gov.ru/epz/order/notice/ea44/view/common-info.html?regNumber=0384300004220000039"/><Relationship Id="rId717" Type="http://schemas.openxmlformats.org/officeDocument/2006/relationships/hyperlink" TargetMode="External" Target="https://zakupki.gov.ru/epz/order/notice/ea44/view/common-info.html?regNumber=0301300239120000019"/><Relationship Id="rId718" Type="http://schemas.openxmlformats.org/officeDocument/2006/relationships/hyperlink" TargetMode="External" Target="https://zakupki.gov.ru/epz/order/notice/ea44/view/common-info.html?regNumber=0373200045220000351"/><Relationship Id="rId719" Type="http://schemas.openxmlformats.org/officeDocument/2006/relationships/hyperlink" TargetMode="External" Target="https://zakupki.gov.ru/epz/order/notice/ea44/view/common-info.html?regNumber=0320300150020000071"/><Relationship Id="rId720" Type="http://schemas.openxmlformats.org/officeDocument/2006/relationships/hyperlink" TargetMode="External" Target="https://zakupki.gov.ru/epz/order/notice/ea44/view/common-info.html?regNumber=0340200003320003015"/><Relationship Id="rId721" Type="http://schemas.openxmlformats.org/officeDocument/2006/relationships/hyperlink" TargetMode="External" Target="https://zakupki.gov.ru/epz/order/notice/ea44/view/common-info.html?regNumber=0348300219220000092"/><Relationship Id="rId722" Type="http://schemas.openxmlformats.org/officeDocument/2006/relationships/hyperlink" TargetMode="External" Target="https://zakupki.gov.ru/epz/order/notice/ea44/view/common-info.html?regNumber=0873500000820001329"/><Relationship Id="rId723" Type="http://schemas.openxmlformats.org/officeDocument/2006/relationships/hyperlink" TargetMode="External" Target="https://zakupki.gov.ru/epz/order/notice/ea44/view/common-info.html?regNumber=0343200010720000088"/><Relationship Id="rId724" Type="http://schemas.openxmlformats.org/officeDocument/2006/relationships/hyperlink" TargetMode="External" Target="https://zakupki.gov.ru/epz/order/notice/ea44/view/common-info.html?regNumber=0124300016420000048"/><Relationship Id="rId725" Type="http://schemas.openxmlformats.org/officeDocument/2006/relationships/hyperlink" TargetMode="External" Target="https://zakupki.gov.ru/epz/order/notice/ea44/view/common-info.html?regNumber=0222100000420000023"/><Relationship Id="rId726" Type="http://schemas.openxmlformats.org/officeDocument/2006/relationships/hyperlink" TargetMode="External" Target="https://zakupki.gov.ru/epz/order/notice/ea44/view/common-info.html?regNumber=0345300130720000043"/><Relationship Id="rId727" Type="http://schemas.openxmlformats.org/officeDocument/2006/relationships/hyperlink" TargetMode="External" Target="https://zakupki.gov.ru/epz/order/notice/ea44/view/common-info.html?regNumber=0387200002820000155"/><Relationship Id="rId728" Type="http://schemas.openxmlformats.org/officeDocument/2006/relationships/hyperlink" TargetMode="External" Target="https://zakupki.gov.ru/epz/order/notice/ea44/view/common-info.html?regNumber=0307200030620000491"/><Relationship Id="rId729" Type="http://schemas.openxmlformats.org/officeDocument/2006/relationships/hyperlink" TargetMode="External" Target="https://zakupki.gov.ru/epz/order/notice/ea44/view/common-info.html?regNumber=0310100004820000050"/><Relationship Id="rId730" Type="http://schemas.openxmlformats.org/officeDocument/2006/relationships/hyperlink" TargetMode="External" Target="https://zakupki.gov.ru/epz/order/notice/ea44/view/common-info.html?regNumber=0122200002520001781"/><Relationship Id="rId731" Type="http://schemas.openxmlformats.org/officeDocument/2006/relationships/hyperlink" TargetMode="External" Target="https://zakupki.gov.ru/epz/order/notice/ea44/view/common-info.html?regNumber=0321100029620000021"/><Relationship Id="rId732" Type="http://schemas.openxmlformats.org/officeDocument/2006/relationships/hyperlink" TargetMode="External" Target="https://zakupki.gov.ru/epz/order/notice/ea44/view/common-info.html?regNumber=0850200000420000319"/><Relationship Id="rId733" Type="http://schemas.openxmlformats.org/officeDocument/2006/relationships/hyperlink" TargetMode="External" Target="https://zakupki.gov.ru/epz/order/notice/ea44/view/common-info.html?regNumber=0154200000720000253"/><Relationship Id="rId734" Type="http://schemas.openxmlformats.org/officeDocument/2006/relationships/hyperlink" TargetMode="External" Target="https://zakupki.gov.ru/epz/order/notice/ea44/view/common-info.html?regNumber=0144200002420000311"/><Relationship Id="rId735" Type="http://schemas.openxmlformats.org/officeDocument/2006/relationships/hyperlink" TargetMode="External" Target="https://zakupki.gov.ru/epz/order/notice/ea44/view/common-info.html?regNumber=0145300017720000001"/><Relationship Id="rId736" Type="http://schemas.openxmlformats.org/officeDocument/2006/relationships/hyperlink" TargetMode="External" Target="https://zakupki.gov.ru/epz/order/notice/ea44/view/common-info.html?regNumber=0358200000220000079"/><Relationship Id="rId737" Type="http://schemas.openxmlformats.org/officeDocument/2006/relationships/hyperlink" TargetMode="External" Target="https://zakupki.gov.ru/epz/order/notice/ea44/view/common-info.html?regNumber=0169300040520000003"/><Relationship Id="rId738" Type="http://schemas.openxmlformats.org/officeDocument/2006/relationships/hyperlink" TargetMode="External" Target="https://zakupki.gov.ru/epz/order/notice/ea44/view/common-info.html?regNumber=0351100033220000109"/><Relationship Id="rId739" Type="http://schemas.openxmlformats.org/officeDocument/2006/relationships/hyperlink" TargetMode="External" Target="https://zakupki.gov.ru/epz/order/notice/ea44/view/common-info.html?regNumber=0169300010320000082"/><Relationship Id="rId740" Type="http://schemas.openxmlformats.org/officeDocument/2006/relationships/hyperlink" TargetMode="External" Target="https://zakupki.gov.ru/epz/order/notice/ea44/view/common-info.html?regNumber=0122300012620000020"/><Relationship Id="rId741" Type="http://schemas.openxmlformats.org/officeDocument/2006/relationships/hyperlink" TargetMode="External" Target="https://zakupki.gov.ru/epz/order/notice/ea44/view/common-info.html?regNumber=0820300018120000031"/><Relationship Id="rId742" Type="http://schemas.openxmlformats.org/officeDocument/2006/relationships/hyperlink" TargetMode="External" Target="https://zakupki.gov.ru/epz/order/notice/ea44/view/common-info.html?regNumber=0820300018120000032"/><Relationship Id="rId743" Type="http://schemas.openxmlformats.org/officeDocument/2006/relationships/hyperlink" TargetMode="External" Target="https://zakupki.gov.ru/epz/order/notice/ea44/view/common-info.html?regNumber=0841200000720000450"/><Relationship Id="rId744" Type="http://schemas.openxmlformats.org/officeDocument/2006/relationships/hyperlink" TargetMode="External" Target="https://zakupki.gov.ru/epz/order/notice/ea44/view/common-info.html?regNumber=0314100004420000003"/><Relationship Id="rId745" Type="http://schemas.openxmlformats.org/officeDocument/2006/relationships/hyperlink" TargetMode="External" Target="https://zakupki.gov.ru/epz/order/notice/ea44/view/common-info.html?regNumber=0173100002320000004"/><Relationship Id="rId746" Type="http://schemas.openxmlformats.org/officeDocument/2006/relationships/hyperlink" TargetMode="External" Target="https://zakupki.gov.ru/epz/order/notice/ea44/view/common-info.html?regNumber=0318300165720000156"/><Relationship Id="rId747" Type="http://schemas.openxmlformats.org/officeDocument/2006/relationships/hyperlink" TargetMode="External" Target="https://zakupki.gov.ru/epz/order/notice/ea44/view/common-info.html?regNumber=0332100022720000175"/><Relationship Id="rId748" Type="http://schemas.openxmlformats.org/officeDocument/2006/relationships/hyperlink" TargetMode="External" Target="https://zakupki.gov.ru/epz/order/notice/ea44/view/common-info.html?regNumber=0115200001120000548"/><Relationship Id="rId749" Type="http://schemas.openxmlformats.org/officeDocument/2006/relationships/hyperlink" TargetMode="External" Target="https://zakupki.gov.ru/epz/order/notice/ea44/view/common-info.html?regNumber=0321300003920000021"/><Relationship Id="rId750" Type="http://schemas.openxmlformats.org/officeDocument/2006/relationships/hyperlink" TargetMode="External" Target="https://zakupki.gov.ru/epz/order/notice/ea44/view/common-info.html?regNumber=0169300000320000430"/><Relationship Id="rId751" Type="http://schemas.openxmlformats.org/officeDocument/2006/relationships/hyperlink" TargetMode="External" Target="https://zakupki.gov.ru/epz/order/notice/ea44/view/common-info.html?regNumber=0362200071520000090"/><Relationship Id="rId752" Type="http://schemas.openxmlformats.org/officeDocument/2006/relationships/hyperlink" TargetMode="External" Target="https://zakupki.gov.ru/epz/order/notice/ea44/view/common-info.html?regNumber=0135200000520000693"/><Relationship Id="rId753" Type="http://schemas.openxmlformats.org/officeDocument/2006/relationships/hyperlink" TargetMode="External" Target="https://zakupki.gov.ru/epz/order/notice/ea44/view/common-info.html?regNumber=0384200001820000119"/><Relationship Id="rId754" Type="http://schemas.openxmlformats.org/officeDocument/2006/relationships/hyperlink" TargetMode="External" Target="https://zakupki.gov.ru/epz/order/notice/ea44/view/common-info.html?regNumber=0242100002820000018"/><Relationship Id="rId755" Type="http://schemas.openxmlformats.org/officeDocument/2006/relationships/hyperlink" TargetMode="External" Target="https://zakupki.gov.ru/epz/order/notice/ea44/view/common-info.html?regNumber=0310100005920000071"/><Relationship Id="rId756" Type="http://schemas.openxmlformats.org/officeDocument/2006/relationships/hyperlink" TargetMode="External" Target="https://zakupki.gov.ru/epz/order/notice/ea44/view/common-info.html?regNumber=0818500000820001534"/><Relationship Id="rId757" Type="http://schemas.openxmlformats.org/officeDocument/2006/relationships/hyperlink" TargetMode="External" Target="https://zakupki.gov.ru/epz/order/notice/ea44/view/common-info.html?regNumber=0343200029520000030"/><Relationship Id="rId758" Type="http://schemas.openxmlformats.org/officeDocument/2006/relationships/hyperlink" TargetMode="External" Target="https://zakupki.gov.ru/epz/order/notice/ea44/view/common-info.html?regNumber=0263100000220000042"/><Relationship Id="rId759" Type="http://schemas.openxmlformats.org/officeDocument/2006/relationships/hyperlink" TargetMode="External" Target="https://zakupki.gov.ru/epz/order/notice/ea44/view/common-info.html?regNumber=0194200000520001817"/><Relationship Id="rId760" Type="http://schemas.openxmlformats.org/officeDocument/2006/relationships/hyperlink" TargetMode="External" Target="https://zakupki.gov.ru/epz/order/notice/ea44/view/common-info.html?regNumber=0310100004820000052"/><Relationship Id="rId761" Type="http://schemas.openxmlformats.org/officeDocument/2006/relationships/hyperlink" TargetMode="External" Target="https://zakupki.gov.ru/epz/order/notice/ea44/view/common-info.html?regNumber=0358300260820000026"/><Relationship Id="rId762" Type="http://schemas.openxmlformats.org/officeDocument/2006/relationships/hyperlink" TargetMode="External" Target="https://zakupki.gov.ru/epz/order/notice/ea44/view/common-info.html?regNumber=0356500005220000070"/><Relationship Id="rId763" Type="http://schemas.openxmlformats.org/officeDocument/2006/relationships/hyperlink" TargetMode="External" Target="https://zakupki.gov.ru/epz/order/notice/ea44/view/common-info.html?regNumber=0818500000820001526"/><Relationship Id="rId764" Type="http://schemas.openxmlformats.org/officeDocument/2006/relationships/hyperlink" TargetMode="External" Target="https://zakupki.gov.ru/epz/order/notice/ea44/view/common-info.html?regNumber=0168200002420001797"/><Relationship Id="rId765" Type="http://schemas.openxmlformats.org/officeDocument/2006/relationships/hyperlink" TargetMode="External" Target="https://zakupki.gov.ru/epz/order/notice/ea44/view/common-info.html?regNumber=0818500000820001546"/><Relationship Id="rId766" Type="http://schemas.openxmlformats.org/officeDocument/2006/relationships/hyperlink" TargetMode="External" Target="https://zakupki.gov.ru/epz/order/notice/ea44/view/common-info.html?regNumber=0146300030220000194"/><Relationship Id="rId767" Type="http://schemas.openxmlformats.org/officeDocument/2006/relationships/hyperlink" TargetMode="External" Target="https://zakupki.gov.ru/epz/order/notice/ea44/view/common-info.html?regNumber=0320300034220000039"/><Relationship Id="rId768" Type="http://schemas.openxmlformats.org/officeDocument/2006/relationships/hyperlink" TargetMode="External" Target="https://zakupki.gov.ru/epz/order/notice/ea44/view/common-info.html?regNumber=0373200041520000264"/><Relationship Id="rId769" Type="http://schemas.openxmlformats.org/officeDocument/2006/relationships/hyperlink" TargetMode="External" Target="https://zakupki.gov.ru/epz/order/notice/ea44/view/common-info.html?regNumber=0891100002920000031"/><Relationship Id="rId770" Type="http://schemas.openxmlformats.org/officeDocument/2006/relationships/hyperlink" TargetMode="External" Target="https://zakupki.gov.ru/epz/order/notice/ea44/view/common-info.html?regNumber=0306200018820000092"/><Relationship Id="rId771" Type="http://schemas.openxmlformats.org/officeDocument/2006/relationships/hyperlink" TargetMode="External" Target="https://zakupki.gov.ru/epz/order/notice/ea44/view/common-info.html?regNumber=0130200002420000505"/><Relationship Id="rId772" Type="http://schemas.openxmlformats.org/officeDocument/2006/relationships/hyperlink" TargetMode="External" Target="https://zakupki.gov.ru/epz/order/notice/ea44/view/common-info.html?regNumber=0375200041020000017"/><Relationship Id="rId773" Type="http://schemas.openxmlformats.org/officeDocument/2006/relationships/hyperlink" TargetMode="External" Target="https://zakupki.gov.ru/epz/order/notice/ea44/view/common-info.html?regNumber=0853500000320001443"/><Relationship Id="rId774" Type="http://schemas.openxmlformats.org/officeDocument/2006/relationships/hyperlink" TargetMode="External" Target="https://zakupki.gov.ru/epz/order/notice/ea44/view/common-info.html?regNumber=0372200001720000025"/><Relationship Id="rId775" Type="http://schemas.openxmlformats.org/officeDocument/2006/relationships/hyperlink" TargetMode="External" Target="https://zakupki.gov.ru/epz/order/notice/ea44/view/common-info.html?regNumber=0308200003120000059"/><Relationship Id="rId776" Type="http://schemas.openxmlformats.org/officeDocument/2006/relationships/hyperlink" TargetMode="External" Target="https://zakupki.gov.ru/epz/order/notice/ea44/view/common-info.html?regNumber=0134300090020000107"/><Relationship Id="rId777" Type="http://schemas.openxmlformats.org/officeDocument/2006/relationships/hyperlink" TargetMode="External" Target="https://zakupki.gov.ru/epz/order/notice/ea44/view/common-info.html?regNumber=0167200003420001635"/><Relationship Id="rId778" Type="http://schemas.openxmlformats.org/officeDocument/2006/relationships/hyperlink" TargetMode="External" Target="https://zakupki.gov.ru/epz/order/notice/ea44/view/common-info.html?regNumber=0351100021920000159"/><Relationship Id="rId779" Type="http://schemas.openxmlformats.org/officeDocument/2006/relationships/hyperlink" TargetMode="External" Target="https://zakupki.gov.ru/epz/order/notice/ea44/view/common-info.html?regNumber=0334100019620000005"/><Relationship Id="rId780" Type="http://schemas.openxmlformats.org/officeDocument/2006/relationships/hyperlink" TargetMode="External" Target="https://zakupki.gov.ru/epz/order/notice/ea44/view/common-info.html?regNumber=0373200067020000153"/><Relationship Id="rId781" Type="http://schemas.openxmlformats.org/officeDocument/2006/relationships/hyperlink" TargetMode="External" Target="https://zakupki.gov.ru/epz/order/notice/ea44/view/common-info.html?regNumber=0151300026320000007"/><Relationship Id="rId782" Type="http://schemas.openxmlformats.org/officeDocument/2006/relationships/hyperlink" TargetMode="External" Target="https://zakupki.gov.ru/epz/order/notice/ea44/view/common-info.html?regNumber=0816500000620003412"/><Relationship Id="rId783" Type="http://schemas.openxmlformats.org/officeDocument/2006/relationships/hyperlink" TargetMode="External" Target="https://zakupki.gov.ru/epz/order/notice/ea44/view/common-info.html?regNumber=0362100023220000036"/><Relationship Id="rId784" Type="http://schemas.openxmlformats.org/officeDocument/2006/relationships/hyperlink" TargetMode="External" Target="https://zakupki.gov.ru/epz/order/notice/ea44/view/common-info.html?regNumber=0373200017520000277"/><Relationship Id="rId785" Type="http://schemas.openxmlformats.org/officeDocument/2006/relationships/hyperlink" TargetMode="External" Target="https://zakupki.gov.ru/epz/order/notice/ea44/view/common-info.html?regNumber=0373100014420000057"/><Relationship Id="rId786" Type="http://schemas.openxmlformats.org/officeDocument/2006/relationships/hyperlink" TargetMode="External" Target="https://zakupki.gov.ru/epz/order/notice/ea44/view/common-info.html?regNumber=0158200001320000414"/><Relationship Id="rId787" Type="http://schemas.openxmlformats.org/officeDocument/2006/relationships/hyperlink" TargetMode="External" Target="https://zakupki.gov.ru/epz/order/notice/ea44/view/common-info.html?regNumber=0145200000420000487"/><Relationship Id="rId788" Type="http://schemas.openxmlformats.org/officeDocument/2006/relationships/hyperlink" TargetMode="External" Target="https://zakupki.gov.ru/epz/order/notice/ea44/view/common-info.html?regNumber=0307200030620000521"/><Relationship Id="rId789" Type="http://schemas.openxmlformats.org/officeDocument/2006/relationships/hyperlink" TargetMode="External" Target="https://zakupki.gov.ru/epz/order/notice/ea44/view/common-info.html?regNumber=0103200008420000775"/><Relationship Id="rId790" Type="http://schemas.openxmlformats.org/officeDocument/2006/relationships/hyperlink" TargetMode="External" Target="https://zakupki.gov.ru/epz/order/notice/ea44/view/common-info.html?regNumber=0145200000420000489"/><Relationship Id="rId791" Type="http://schemas.openxmlformats.org/officeDocument/2006/relationships/hyperlink" TargetMode="External" Target="https://zakupki.gov.ru/epz/order/notice/ea44/view/common-info.html?regNumber=0374200006020000059"/><Relationship Id="rId792" Type="http://schemas.openxmlformats.org/officeDocument/2006/relationships/hyperlink" TargetMode="External" Target="https://zakupki.gov.ru/epz/order/notice/ea44/view/common-info.html?regNumber=0154200000720000266"/><Relationship Id="rId793" Type="http://schemas.openxmlformats.org/officeDocument/2006/relationships/hyperlink" TargetMode="External" Target="https://zakupki.gov.ru/epz/order/notice/ea44/view/common-info.html?regNumber=0117300085520000054"/><Relationship Id="rId794" Type="http://schemas.openxmlformats.org/officeDocument/2006/relationships/hyperlink" TargetMode="External" Target="https://zakupki.gov.ru/epz/order/notice/ea44/view/common-info.html?regNumber=0184100000220000006"/><Relationship Id="rId795" Type="http://schemas.openxmlformats.org/officeDocument/2006/relationships/hyperlink" TargetMode="External" Target="https://zakupki.gov.ru/epz/order/notice/ea44/view/common-info.html?regNumber=0146300007020000004"/><Relationship Id="rId796" Type="http://schemas.openxmlformats.org/officeDocument/2006/relationships/hyperlink" TargetMode="External" Target="https://zakupki.gov.ru/epz/order/notice/ea44/view/common-info.html?regNumber=0194200000520001941"/><Relationship Id="rId797" Type="http://schemas.openxmlformats.org/officeDocument/2006/relationships/hyperlink" TargetMode="External" Target="https://zakupki.gov.ru/epz/order/notice/ea44/view/common-info.html?regNumber=0320300032220000012"/><Relationship Id="rId798" Type="http://schemas.openxmlformats.org/officeDocument/2006/relationships/hyperlink" TargetMode="External" Target="https://zakupki.gov.ru/epz/order/notice/ea44/view/common-info.html?regNumber=0313100007420000024"/><Relationship Id="rId799" Type="http://schemas.openxmlformats.org/officeDocument/2006/relationships/hyperlink" TargetMode="External" Target="https://zakupki.gov.ru/epz/order/notice/ea44/view/common-info.html?regNumber=0373200099720000291"/><Relationship Id="rId800" Type="http://schemas.openxmlformats.org/officeDocument/2006/relationships/hyperlink" TargetMode="External" Target="https://zakupki.gov.ru/epz/order/notice/ea44/view/common-info.html?regNumber=0373100013420000170"/><Relationship Id="rId801" Type="http://schemas.openxmlformats.org/officeDocument/2006/relationships/hyperlink" TargetMode="External" Target="https://zakupki.gov.ru/epz/order/notice/ea44/view/common-info.html?regNumber=0142200001320004772"/><Relationship Id="rId802" Type="http://schemas.openxmlformats.org/officeDocument/2006/relationships/hyperlink" TargetMode="External" Target="https://zakupki.gov.ru/epz/order/notice/ea44/view/common-info.html?regNumber=0373100084420000100"/><Relationship Id="rId803" Type="http://schemas.openxmlformats.org/officeDocument/2006/relationships/hyperlink" TargetMode="External" Target="https://zakupki.gov.ru/epz/order/notice/ea44/view/common-info.html?regNumber=0387200002820000153"/><Relationship Id="rId804" Type="http://schemas.openxmlformats.org/officeDocument/2006/relationships/hyperlink" TargetMode="External" Target="https://zakupki.gov.ru/epz/order/notice/ea44/view/common-info.html?regNumber=0131200001020001621"/><Relationship Id="rId805" Type="http://schemas.openxmlformats.org/officeDocument/2006/relationships/hyperlink" TargetMode="External" Target="https://zakupki.gov.ru/epz/order/notice/ea44/view/common-info.html?regNumber=0194200000520001934"/><Relationship Id="rId806" Type="http://schemas.openxmlformats.org/officeDocument/2006/relationships/hyperlink" TargetMode="External" Target="https://zakupki.gov.ru/epz/order/notice/ea44/view/common-info.html?regNumber=0316300056720000001"/><Relationship Id="rId807" Type="http://schemas.openxmlformats.org/officeDocument/2006/relationships/hyperlink" TargetMode="External" Target="https://zakupki.gov.ru/epz/order/notice/ea44/view/common-info.html?regNumber=0850200000420000328"/><Relationship Id="rId808" Type="http://schemas.openxmlformats.org/officeDocument/2006/relationships/hyperlink" TargetMode="External" Target="https://zakupki.gov.ru/epz/order/notice/ea44/view/common-info.html?regNumber=0351100008620000007"/><Relationship Id="rId809" Type="http://schemas.openxmlformats.org/officeDocument/2006/relationships/hyperlink" TargetMode="External" Target="https://zakupki.gov.ru/epz/order/notice/ea44/view/common-info.html?regNumber=0853500000320001188"/><Relationship Id="rId810" Type="http://schemas.openxmlformats.org/officeDocument/2006/relationships/hyperlink" TargetMode="External" Target="https://zakupki.gov.ru/epz/order/notice/ea44/view/common-info.html?regNumber=0124300022120000053"/><Relationship Id="rId811" Type="http://schemas.openxmlformats.org/officeDocument/2006/relationships/hyperlink" TargetMode="External" Target="https://zakupki.gov.ru/epz/order/notice/ea44/view/common-info.html?regNumber=0373100013420000165"/><Relationship Id="rId812" Type="http://schemas.openxmlformats.org/officeDocument/2006/relationships/hyperlink" TargetMode="External" Target="https://zakupki.gov.ru/epz/order/notice/ea44/view/common-info.html?regNumber=0145300016320000023"/><Relationship Id="rId813" Type="http://schemas.openxmlformats.org/officeDocument/2006/relationships/hyperlink" TargetMode="External" Target="https://zakupki.gov.ru/epz/order/notice/ea44/view/common-info.html?regNumber=0373200067020000143"/><Relationship Id="rId814" Type="http://schemas.openxmlformats.org/officeDocument/2006/relationships/hyperlink" TargetMode="External" Target="https://zakupki.gov.ru/epz/order/notice/ea44/view/common-info.html?regNumber=0194200000520001945"/><Relationship Id="rId815" Type="http://schemas.openxmlformats.org/officeDocument/2006/relationships/hyperlink" TargetMode="External" Target="https://zakupki.gov.ru/epz/order/notice/ea44/view/common-info.html?regNumber=0155300011220000010"/><Relationship Id="rId816" Type="http://schemas.openxmlformats.org/officeDocument/2006/relationships/hyperlink" TargetMode="External" Target="https://zakupki.gov.ru/epz/order/notice/ea44/view/common-info.html?regNumber=0816500000620003158"/><Relationship Id="rId817" Type="http://schemas.openxmlformats.org/officeDocument/2006/relationships/hyperlink" TargetMode="External" Target="https://zakupki.gov.ru/epz/order/notice/ea44/view/common-info.html?regNumber=0345200004020000112"/><Relationship Id="rId818" Type="http://schemas.openxmlformats.org/officeDocument/2006/relationships/hyperlink" TargetMode="External" Target="https://zakupki.gov.ru/epz/order/notice/ea44/view/common-info.html?regNumber=0321200022020000122"/><Relationship Id="rId819" Type="http://schemas.openxmlformats.org/officeDocument/2006/relationships/hyperlink" TargetMode="External" Target="https://zakupki.gov.ru/epz/order/notice/ea44/view/common-info.html?regNumber=0373200307320000118"/><Relationship Id="rId820" Type="http://schemas.openxmlformats.org/officeDocument/2006/relationships/hyperlink" TargetMode="External" Target="https://zakupki.gov.ru/epz/order/notice/ea44/view/common-info.html?regNumber=0374200000420000104"/><Relationship Id="rId821" Type="http://schemas.openxmlformats.org/officeDocument/2006/relationships/hyperlink" TargetMode="External" Target="https://zakupki.gov.ru/epz/order/notice/ea44/view/common-info.html?regNumber=0307200030620000516"/><Relationship Id="rId822" Type="http://schemas.openxmlformats.org/officeDocument/2006/relationships/hyperlink" TargetMode="External" Target="https://zakupki.gov.ru/epz/order/notice/ea44/view/common-info.html?regNumber=0194200000520001824"/><Relationship Id="rId823" Type="http://schemas.openxmlformats.org/officeDocument/2006/relationships/hyperlink" TargetMode="External" Target="https://zakupki.gov.ru/epz/order/notice/ea44/view/common-info.html?regNumber=0167200003420001677"/><Relationship Id="rId824" Type="http://schemas.openxmlformats.org/officeDocument/2006/relationships/hyperlink" TargetMode="External" Target="https://zakupki.gov.ru/epz/order/notice/ea44/view/common-info.html?regNumber=0318200065620000158"/><Relationship Id="rId825" Type="http://schemas.openxmlformats.org/officeDocument/2006/relationships/hyperlink" TargetMode="External" Target="https://zakupki.gov.ru/epz/order/notice/ea44/view/common-info.html?regNumber=0801200000220000488"/><Relationship Id="rId826" Type="http://schemas.openxmlformats.org/officeDocument/2006/relationships/hyperlink" TargetMode="External" Target="https://zakupki.gov.ru/epz/order/notice/ea44/view/common-info.html?regNumber=0373200307320000124"/><Relationship Id="rId827" Type="http://schemas.openxmlformats.org/officeDocument/2006/relationships/hyperlink" TargetMode="External" Target="https://zakupki.gov.ru/epz/order/notice/ea44/view/common-info.html?regNumber=0324300061820000021"/><Relationship Id="rId828" Type="http://schemas.openxmlformats.org/officeDocument/2006/relationships/hyperlink" TargetMode="External" Target="https://zakupki.gov.ru/epz/order/notice/ea44/view/common-info.html?regNumber=0324300061820000022"/><Relationship Id="rId829" Type="http://schemas.openxmlformats.org/officeDocument/2006/relationships/hyperlink" TargetMode="External" Target="https://zakupki.gov.ru/epz/order/notice/ea44/view/common-info.html?regNumber=0356100002720000093"/><Relationship Id="rId830" Type="http://schemas.openxmlformats.org/officeDocument/2006/relationships/hyperlink" TargetMode="External" Target="https://zakupki.gov.ru/epz/order/notice/ea44/view/common-info.html?regNumber=0306500000320000156"/><Relationship Id="rId831" Type="http://schemas.openxmlformats.org/officeDocument/2006/relationships/hyperlink" TargetMode="External" Target="https://zakupki.gov.ru/epz/order/notice/ea44/view/common-info.html?regNumber=0218100003220000028"/><Relationship Id="rId832" Type="http://schemas.openxmlformats.org/officeDocument/2006/relationships/hyperlink" TargetMode="External" Target="https://zakupki.gov.ru/epz/order/notice/ea44/view/common-info.html?regNumber=0103300018420000006"/><Relationship Id="rId833" Type="http://schemas.openxmlformats.org/officeDocument/2006/relationships/hyperlink" TargetMode="External" Target="https://zakupki.gov.ru/epz/order/notice/ea44/view/common-info.html?regNumber=0816500000620003151"/><Relationship Id="rId834" Type="http://schemas.openxmlformats.org/officeDocument/2006/relationships/hyperlink" TargetMode="External" Target="https://zakupki.gov.ru/epz/order/notice/ea44/view/common-info.html?regNumber=0820300018120000028"/><Relationship Id="rId835" Type="http://schemas.openxmlformats.org/officeDocument/2006/relationships/hyperlink" TargetMode="External" Target="https://zakupki.gov.ru/epz/order/notice/ea44/view/common-info.html?regNumber=0820300018120000030"/><Relationship Id="rId836" Type="http://schemas.openxmlformats.org/officeDocument/2006/relationships/hyperlink" TargetMode="External" Target="https://zakupki.gov.ru/epz/order/notice/ea44/view/common-info.html?regNumber=0366200035620001043"/><Relationship Id="rId837" Type="http://schemas.openxmlformats.org/officeDocument/2006/relationships/hyperlink" TargetMode="External" Target="https://zakupki.gov.ru/epz/order/notice/ea44/view/common-info.html?regNumber=0141300023520000018"/><Relationship Id="rId838" Type="http://schemas.openxmlformats.org/officeDocument/2006/relationships/hyperlink" TargetMode="External" Target="https://zakupki.gov.ru/epz/order/notice/ea44/view/common-info.html?regNumber=0358200000220000080"/><Relationship Id="rId839" Type="http://schemas.openxmlformats.org/officeDocument/2006/relationships/hyperlink" TargetMode="External" Target="https://zakupki.gov.ru/epz/order/notice/ea44/view/common-info.html?regNumber=0387200009120000646"/><Relationship Id="rId840" Type="http://schemas.openxmlformats.org/officeDocument/2006/relationships/hyperlink" TargetMode="External" Target="https://zakupki.gov.ru/epz/order/notice/ea44/view/common-info.html?regNumber=0127200000220001161"/><Relationship Id="rId841" Type="http://schemas.openxmlformats.org/officeDocument/2006/relationships/hyperlink" TargetMode="External" Target="https://zakupki.gov.ru/epz/order/notice/ea44/view/common-info.html?regNumber=0104200002220000001"/><Relationship Id="rId842" Type="http://schemas.openxmlformats.org/officeDocument/2006/relationships/hyperlink" TargetMode="External" Target="https://zakupki.gov.ru/epz/order/notice/ea44/view/common-info.html?regNumber=0372200021820000025"/><Relationship Id="rId843" Type="http://schemas.openxmlformats.org/officeDocument/2006/relationships/hyperlink" TargetMode="External" Target="https://zakupki.gov.ru/epz/order/notice/ea44/view/common-info.html?regNumber=0167200003420001676"/><Relationship Id="rId844" Type="http://schemas.openxmlformats.org/officeDocument/2006/relationships/hyperlink" TargetMode="External" Target="https://zakupki.gov.ru/epz/order/notice/ea44/view/common-info.html?regNumber=0127200000220001474"/><Relationship Id="rId845" Type="http://schemas.openxmlformats.org/officeDocument/2006/relationships/hyperlink" TargetMode="External" Target="https://zakupki.gov.ru/epz/order/notice/ea44/view/common-info.html?regNumber=0862600012620000026"/><Relationship Id="rId846" Type="http://schemas.openxmlformats.org/officeDocument/2006/relationships/hyperlink" TargetMode="External" Target="https://zakupki.gov.ru/epz/order/notice/ea44/view/common-info.html?regNumber=0145300016320000024"/><Relationship Id="rId847" Type="http://schemas.openxmlformats.org/officeDocument/2006/relationships/hyperlink" TargetMode="External" Target="https://zakupki.gov.ru/epz/order/notice/ea44/view/common-info.html?regNumber=0145300016320000025"/><Relationship Id="rId848" Type="http://schemas.openxmlformats.org/officeDocument/2006/relationships/hyperlink" TargetMode="External" Target="https://zakupki.gov.ru/epz/order/notice/ea44/view/common-info.html?regNumber=0145300016320000026"/><Relationship Id="rId849" Type="http://schemas.openxmlformats.org/officeDocument/2006/relationships/hyperlink" TargetMode="External" Target="https://zakupki.gov.ru/epz/order/notice/ea44/view/common-info.html?regNumber=0127200000220001339"/><Relationship Id="rId850" Type="http://schemas.openxmlformats.org/officeDocument/2006/relationships/hyperlink" TargetMode="External" Target="https://zakupki.gov.ru/epz/order/notice/ea44/view/common-info.html?regNumber=0856100000220000018"/><Relationship Id="rId851" Type="http://schemas.openxmlformats.org/officeDocument/2006/relationships/hyperlink" TargetMode="External" Target="https://zakupki.gov.ru/epz/order/notice/ea44/view/common-info.html?regNumber=0856300009320000051"/><Relationship Id="rId852" Type="http://schemas.openxmlformats.org/officeDocument/2006/relationships/hyperlink" TargetMode="External" Target="https://zakupki.gov.ru/epz/order/notice/ea44/view/common-info.html?regNumber=0301300024820000020"/><Relationship Id="rId853" Type="http://schemas.openxmlformats.org/officeDocument/2006/relationships/hyperlink" TargetMode="External" Target="https://zakupki.gov.ru/epz/order/notice/ea44/view/common-info.html?regNumber=0345300079520000034"/><Relationship Id="rId854" Type="http://schemas.openxmlformats.org/officeDocument/2006/relationships/hyperlink" TargetMode="External" Target="https://zakupki.gov.ru/epz/order/notice/ea44/view/common-info.html?regNumber=0324100003920000016"/><Relationship Id="rId855" Type="http://schemas.openxmlformats.org/officeDocument/2006/relationships/hyperlink" TargetMode="External" Target="https://zakupki.gov.ru/epz/order/notice/ea44/view/common-info.html?regNumber=0387200009120000725"/><Relationship Id="rId856" Type="http://schemas.openxmlformats.org/officeDocument/2006/relationships/hyperlink" TargetMode="External" Target="https://zakupki.gov.ru/epz/order/notice/ea44/view/common-info.html?regNumber=0834300036620000024"/><Relationship Id="rId857" Type="http://schemas.openxmlformats.org/officeDocument/2006/relationships/hyperlink" TargetMode="External" Target="https://zakupki.gov.ru/epz/order/notice/ea44/view/common-info.html?regNumber=0348300007320000067"/><Relationship Id="rId858" Type="http://schemas.openxmlformats.org/officeDocument/2006/relationships/hyperlink" TargetMode="External" Target="https://zakupki.gov.ru/epz/order/notice/ea44/view/common-info.html?regNumber=0375200043120000088"/><Relationship Id="rId859" Type="http://schemas.openxmlformats.org/officeDocument/2006/relationships/hyperlink" TargetMode="External" Target="https://zakupki.gov.ru/epz/order/notice/ea44/view/common-info.html?regNumber=0321300018320000094"/><Relationship Id="rId860" Type="http://schemas.openxmlformats.org/officeDocument/2006/relationships/hyperlink" TargetMode="External" Target="https://zakupki.gov.ru/epz/order/notice/ea44/view/common-info.html?regNumber=0813500000120003183"/><Relationship Id="rId861" Type="http://schemas.openxmlformats.org/officeDocument/2006/relationships/hyperlink" TargetMode="External" Target="https://zakupki.gov.ru/epz/order/notice/ea44/view/common-info.html?regNumber=0345200005320000081"/><Relationship Id="rId862" Type="http://schemas.openxmlformats.org/officeDocument/2006/relationships/hyperlink" TargetMode="External" Target="https://zakupki.gov.ru/epz/order/notice/ea44/view/common-info.html?regNumber=0122200002520001685"/><Relationship Id="rId863" Type="http://schemas.openxmlformats.org/officeDocument/2006/relationships/hyperlink" TargetMode="External" Target="https://zakupki.gov.ru/epz/order/notice/ea44/view/common-info.html?regNumber=0310100004820000051"/><Relationship Id="rId864" Type="http://schemas.openxmlformats.org/officeDocument/2006/relationships/hyperlink" TargetMode="External" Target="https://zakupki.gov.ru/epz/order/notice/ea44/view/common-info.html?regNumber=0325100006320000010"/><Relationship Id="rId865" Type="http://schemas.openxmlformats.org/officeDocument/2006/relationships/hyperlink" TargetMode="External" Target="https://zakupki.gov.ru/epz/order/notice/ea44/view/common-info.html?regNumber=0339300073920000023"/><Relationship Id="rId866" Type="http://schemas.openxmlformats.org/officeDocument/2006/relationships/hyperlink" TargetMode="External" Target="https://zakupki.gov.ru/epz/order/notice/ea44/view/common-info.html?regNumber=0339300073920000024"/><Relationship Id="rId867" Type="http://schemas.openxmlformats.org/officeDocument/2006/relationships/hyperlink" TargetMode="External" Target="https://zakupki.gov.ru/epz/order/notice/ea44/view/common-info.html?regNumber=0169300044220000101"/><Relationship Id="rId868" Type="http://schemas.openxmlformats.org/officeDocument/2006/relationships/hyperlink" TargetMode="External" Target="https://zakupki.gov.ru/epz/order/notice/ea44/view/common-info.html?regNumber=0321200022020000124"/><Relationship Id="rId869" Type="http://schemas.openxmlformats.org/officeDocument/2006/relationships/hyperlink" TargetMode="External" Target="https://zakupki.gov.ru/epz/order/notice/ea44/view/common-info.html?regNumber=0373200054520000002"/><Relationship Id="rId870" Type="http://schemas.openxmlformats.org/officeDocument/2006/relationships/hyperlink" TargetMode="External" Target="https://zakupki.gov.ru/epz/order/notice/ea44/view/common-info.html?regNumber=0103200008420000992"/><Relationship Id="rId871" Type="http://schemas.openxmlformats.org/officeDocument/2006/relationships/hyperlink" TargetMode="External" Target="https://zakupki.gov.ru/epz/order/notice/ea44/view/common-info.html?regNumber=0375200043120000090"/><Relationship Id="rId872" Type="http://schemas.openxmlformats.org/officeDocument/2006/relationships/hyperlink" TargetMode="External" Target="https://zakupki.gov.ru/epz/order/notice/ea44/view/common-info.html?regNumber=0373100013420000168"/><Relationship Id="rId873" Type="http://schemas.openxmlformats.org/officeDocument/2006/relationships/hyperlink" TargetMode="External" Target="https://zakupki.gov.ru/epz/order/notice/ea44/view/common-info.html?regNumber=0152300015620000017"/><Relationship Id="rId874" Type="http://schemas.openxmlformats.org/officeDocument/2006/relationships/hyperlink" TargetMode="External" Target="https://zakupki.gov.ru/epz/order/notice/ea44/view/common-info.html?regNumber=0818500000820001555"/><Relationship Id="rId875" Type="http://schemas.openxmlformats.org/officeDocument/2006/relationships/hyperlink" TargetMode="External" Target="https://zakupki.gov.ru/epz/order/notice/ea44/view/common-info.html?regNumber=0372200004320000042"/><Relationship Id="rId876" Type="http://schemas.openxmlformats.org/officeDocument/2006/relationships/hyperlink" TargetMode="External" Target="https://zakupki.gov.ru/epz/order/notice/ea44/view/common-info.html?regNumber=0120200004720000116"/><Relationship Id="rId877" Type="http://schemas.openxmlformats.org/officeDocument/2006/relationships/hyperlink" TargetMode="External" Target="https://zakupki.gov.ru/epz/order/notice/ea44/view/common-info.html?regNumber=0372200030120000028"/><Relationship Id="rId878" Type="http://schemas.openxmlformats.org/officeDocument/2006/relationships/hyperlink" TargetMode="External" Target="https://zakupki.gov.ru/epz/order/notice/ea44/view/common-info.html?regNumber=0373100091420000203"/><Relationship Id="rId879" Type="http://schemas.openxmlformats.org/officeDocument/2006/relationships/hyperlink" TargetMode="External" Target="https://zakupki.gov.ru/epz/order/notice/ea44/view/common-info.html?regNumber=0320300125520000008"/><Relationship Id="rId880" Type="http://schemas.openxmlformats.org/officeDocument/2006/relationships/hyperlink" TargetMode="External" Target="https://zakupki.gov.ru/epz/order/notice/ea44/view/common-info.html?regNumber=0313100007420000026"/><Relationship Id="rId881" Type="http://schemas.openxmlformats.org/officeDocument/2006/relationships/hyperlink" TargetMode="External" Target="https://zakupki.gov.ru/epz/order/notice/ea44/view/common-info.html?regNumber=0142200001320005029"/><Relationship Id="rId882" Type="http://schemas.openxmlformats.org/officeDocument/2006/relationships/hyperlink" TargetMode="External" Target="https://zakupki.gov.ru/epz/order/notice/ea44/view/common-info.html?regNumber=0320300111120000009"/><Relationship Id="rId883" Type="http://schemas.openxmlformats.org/officeDocument/2006/relationships/hyperlink" TargetMode="External" Target="https://zakupki.gov.ru/epz/order/notice/ea44/view/common-info.html?regNumber=0340200003320003131"/><Relationship Id="rId884" Type="http://schemas.openxmlformats.org/officeDocument/2006/relationships/hyperlink" TargetMode="External" Target="https://zakupki.gov.ru/epz/order/notice/ea44/view/common-info.html?regNumber=0194200000520001997"/><Relationship Id="rId885" Type="http://schemas.openxmlformats.org/officeDocument/2006/relationships/hyperlink" TargetMode="External" Target="https://zakupki.gov.ru/epz/order/notice/ea44/view/common-info.html?regNumber=0142200001320004981"/><Relationship Id="rId886" Type="http://schemas.openxmlformats.org/officeDocument/2006/relationships/hyperlink" TargetMode="External" Target="https://zakupki.gov.ru/epz/order/notice/ea44/view/common-info.html?regNumber=0372200205020000030"/><Relationship Id="rId887" Type="http://schemas.openxmlformats.org/officeDocument/2006/relationships/hyperlink" TargetMode="External" Target="https://zakupki.gov.ru/epz/order/notice/ea44/view/common-info.html?regNumber=0348500002720000001"/><Relationship Id="rId888" Type="http://schemas.openxmlformats.org/officeDocument/2006/relationships/hyperlink" TargetMode="External" Target="https://zakupki.gov.ru/epz/order/notice/ea44/view/common-info.html?regNumber=0853500000320001718"/><Relationship Id="rId889" Type="http://schemas.openxmlformats.org/officeDocument/2006/relationships/hyperlink" TargetMode="External" Target="https://zakupki.gov.ru/epz/order/notice/ea44/view/common-info.html?regNumber=0387200002820000145"/><Relationship Id="rId890" Type="http://schemas.openxmlformats.org/officeDocument/2006/relationships/hyperlink" TargetMode="External" Target="https://zakupki.gov.ru/epz/order/notice/ea44/view/common-info.html?regNumber=0194200000520001873"/><Relationship Id="rId891" Type="http://schemas.openxmlformats.org/officeDocument/2006/relationships/hyperlink" TargetMode="External" Target="https://zakupki.gov.ru/epz/order/notice/ea44/view/common-info.html?regNumber=0356200000520000030"/><Relationship Id="rId892" Type="http://schemas.openxmlformats.org/officeDocument/2006/relationships/hyperlink" TargetMode="External" Target="https://zakupki.gov.ru/epz/order/notice/ea44/view/common-info.html?regNumber=0310100004820000054"/><Relationship Id="rId893" Type="http://schemas.openxmlformats.org/officeDocument/2006/relationships/hyperlink" TargetMode="External" Target="https://zakupki.gov.ru/epz/order/notice/ea44/view/common-info.html?regNumber=0358100000620000023"/><Relationship Id="rId894" Type="http://schemas.openxmlformats.org/officeDocument/2006/relationships/hyperlink" TargetMode="External" Target="https://zakupki.gov.ru/epz/order/notice/ea44/view/common-info.html?regNumber=0327300001420000001"/><Relationship Id="rId895" Type="http://schemas.openxmlformats.org/officeDocument/2006/relationships/hyperlink" TargetMode="External" Target="https://zakupki.gov.ru/epz/order/notice/ea44/view/common-info.html?regNumber=0103300018420000003"/><Relationship Id="rId896" Type="http://schemas.openxmlformats.org/officeDocument/2006/relationships/hyperlink" TargetMode="External" Target="https://zakupki.gov.ru/epz/order/notice/ea44/view/common-info.html?regNumber=0138600001320000011"/><Relationship Id="rId897" Type="http://schemas.openxmlformats.org/officeDocument/2006/relationships/hyperlink" TargetMode="External" Target="https://zakupki.gov.ru/epz/order/notice/ea44/view/common-info.html?regNumber=0179200001920000180"/><Relationship Id="rId898" Type="http://schemas.openxmlformats.org/officeDocument/2006/relationships/hyperlink" TargetMode="External" Target="https://zakupki.gov.ru/epz/order/notice/ea44/view/common-info.html?regNumber=0142200001320004992"/><Relationship Id="rId899" Type="http://schemas.openxmlformats.org/officeDocument/2006/relationships/hyperlink" TargetMode="External" Target="https://zakupki.gov.ru/epz/order/notice/ea44/view/common-info.html?regNumber=0841200000720000380"/><Relationship Id="rId900" Type="http://schemas.openxmlformats.org/officeDocument/2006/relationships/hyperlink" TargetMode="External" Target="https://zakupki.gov.ru/epz/order/notice/ea44/view/common-info.html?regNumber=0152200004720000261"/><Relationship Id="rId901" Type="http://schemas.openxmlformats.org/officeDocument/2006/relationships/hyperlink" TargetMode="External" Target="https://zakupki.gov.ru/epz/order/notice/ea44/view/common-info.html?regNumber=0132100000220000012"/><Relationship Id="rId902" Type="http://schemas.openxmlformats.org/officeDocument/2006/relationships/hyperlink" TargetMode="External" Target="https://zakupki.gov.ru/epz/order/notice/ea44/view/common-info.html?regNumber=0850200000420000325"/><Relationship Id="rId903" Type="http://schemas.openxmlformats.org/officeDocument/2006/relationships/hyperlink" TargetMode="External" Target="https://zakupki.gov.ru/epz/order/notice/ea44/view/common-info.html?regNumber=0169300000320000429"/><Relationship Id="rId904" Type="http://schemas.openxmlformats.org/officeDocument/2006/relationships/hyperlink" TargetMode="External" Target="https://zakupki.gov.ru/epz/order/notice/ea44/view/common-info.html?regNumber=0103200008420000789"/><Relationship Id="rId905" Type="http://schemas.openxmlformats.org/officeDocument/2006/relationships/hyperlink" TargetMode="External" Target="https://zakupki.gov.ru/epz/order/notice/ea44/view/common-info.html?regNumber=0171300004520000004"/><Relationship Id="rId906" Type="http://schemas.openxmlformats.org/officeDocument/2006/relationships/hyperlink" TargetMode="External" Target="https://zakupki.gov.ru/epz/order/notice/ea44/view/common-info.html?regNumber=0366200035620001065"/><Relationship Id="rId907" Type="http://schemas.openxmlformats.org/officeDocument/2006/relationships/hyperlink" TargetMode="External" Target="https://zakupki.gov.ru/epz/order/notice/ea44/view/common-info.html?regNumber=0373100031920000070"/><Relationship Id="rId908" Type="http://schemas.openxmlformats.org/officeDocument/2006/relationships/hyperlink" TargetMode="External" Target="https://zakupki.gov.ru/epz/order/notice/ea44/view/common-info.html?regNumber=0873500000820001356"/><Relationship Id="rId909" Type="http://schemas.openxmlformats.org/officeDocument/2006/relationships/hyperlink" TargetMode="External" Target="https://zakupki.gov.ru/epz/order/notice/ea44/view/common-info.html?regNumber=0357200021420000077"/><Relationship Id="rId910" Type="http://schemas.openxmlformats.org/officeDocument/2006/relationships/hyperlink" TargetMode="External" Target="https://zakupki.gov.ru/epz/order/notice/ea44/view/common-info.html?regNumber=0841200000720000460"/><Relationship Id="rId911" Type="http://schemas.openxmlformats.org/officeDocument/2006/relationships/hyperlink" TargetMode="External" Target="https://zakupki.gov.ru/epz/order/notice/ea44/view/common-info.html?regNumber=0348500001120000096"/><Relationship Id="rId912" Type="http://schemas.openxmlformats.org/officeDocument/2006/relationships/hyperlink" TargetMode="External" Target="https://zakupki.gov.ru/epz/order/notice/ea44/view/common-info.html?regNumber=0869500000920000020"/><Relationship Id="rId913" Type="http://schemas.openxmlformats.org/officeDocument/2006/relationships/hyperlink" TargetMode="External" Target="https://zakupki.gov.ru/epz/order/notice/ea44/view/common-info.html?regNumber=0351300233620000020"/><Relationship Id="rId914" Type="http://schemas.openxmlformats.org/officeDocument/2006/relationships/hyperlink" TargetMode="External" Target="https://zakupki.gov.ru/epz/order/notice/ea44/view/common-info.html?regNumber=0142200001320005031"/><Relationship Id="rId915" Type="http://schemas.openxmlformats.org/officeDocument/2006/relationships/hyperlink" TargetMode="External" Target="https://zakupki.gov.ru/epz/order/notice/ea44/view/common-info.html?regNumber=0116100001820000013"/><Relationship Id="rId916" Type="http://schemas.openxmlformats.org/officeDocument/2006/relationships/hyperlink" TargetMode="External" Target="https://zakupki.gov.ru/epz/order/notice/ea44/view/common-info.html?regNumber=0137200001220001207"/><Relationship Id="rId917" Type="http://schemas.openxmlformats.org/officeDocument/2006/relationships/hyperlink" TargetMode="External" Target="https://zakupki.gov.ru/epz/order/notice/ea44/view/common-info.html?regNumber=0348300075520000085"/><Relationship Id="rId918" Type="http://schemas.openxmlformats.org/officeDocument/2006/relationships/hyperlink" TargetMode="External" Target="https://zakupki.gov.ru/epz/order/notice/ea44/view/common-info.html?regNumber=0218100003220000024"/><Relationship Id="rId919" Type="http://schemas.openxmlformats.org/officeDocument/2006/relationships/hyperlink" TargetMode="External" Target="https://zakupki.gov.ru/epz/order/notice/ea44/view/common-info.html?regNumber=0136500001120000727"/><Relationship Id="rId920" Type="http://schemas.openxmlformats.org/officeDocument/2006/relationships/hyperlink" TargetMode="External" Target="https://zakupki.gov.ru/epz/order/notice/ea44/view/common-info.html?regNumber=0372200168120000096"/><Relationship Id="rId921" Type="http://schemas.openxmlformats.org/officeDocument/2006/relationships/hyperlink" TargetMode="External" Target="https://zakupki.gov.ru/epz/order/notice/ea44/view/common-info.html?regNumber=0853500000320001507"/><Relationship Id="rId922" Type="http://schemas.openxmlformats.org/officeDocument/2006/relationships/hyperlink" TargetMode="External" Target="https://zakupki.gov.ru/epz/order/notice/ea44/view/common-info.html?regNumber=0348200000520000041"/><Relationship Id="rId923" Type="http://schemas.openxmlformats.org/officeDocument/2006/relationships/hyperlink" TargetMode="External" Target="https://zakupki.gov.ru/epz/order/notice/ea44/view/common-info.html?regNumber=0145300010020000033"/><Relationship Id="rId924" Type="http://schemas.openxmlformats.org/officeDocument/2006/relationships/hyperlink" TargetMode="External" Target="https://zakupki.gov.ru/epz/order/notice/ea44/view/common-info.html?regNumber=0348300007320000063"/><Relationship Id="rId925" Type="http://schemas.openxmlformats.org/officeDocument/2006/relationships/hyperlink" TargetMode="External" Target="https://zakupki.gov.ru/epz/order/notice/ea44/view/common-info.html?regNumber=0862300006520000002"/><Relationship Id="rId926" Type="http://schemas.openxmlformats.org/officeDocument/2006/relationships/hyperlink" TargetMode="External" Target="https://zakupki.gov.ru/epz/order/notice/ea44/view/common-info.html?regNumber=0131200001020002014"/><Relationship Id="rId927" Type="http://schemas.openxmlformats.org/officeDocument/2006/relationships/hyperlink" TargetMode="External" Target="https://zakupki.gov.ru/epz/order/notice/ea44/view/common-info.html?regNumber=0319300222520000023"/><Relationship Id="rId928" Type="http://schemas.openxmlformats.org/officeDocument/2006/relationships/hyperlink" TargetMode="External" Target="https://zakupki.gov.ru/epz/order/notice/ea44/view/common-info.html?regNumber=0369300015520000093"/><Relationship Id="rId929" Type="http://schemas.openxmlformats.org/officeDocument/2006/relationships/hyperlink" TargetMode="External" Target="https://zakupki.gov.ru/epz/order/notice/ea44/view/common-info.html?regNumber=0194200000520001830"/><Relationship Id="rId930" Type="http://schemas.openxmlformats.org/officeDocument/2006/relationships/hyperlink" TargetMode="External" Target="https://zakupki.gov.ru/epz/order/notice/ea44/view/common-info.html?regNumber=0318200028420000110"/><Relationship Id="rId931" Type="http://schemas.openxmlformats.org/officeDocument/2006/relationships/hyperlink" TargetMode="External" Target="https://zakupki.gov.ru/epz/order/notice/ea44/view/common-info.html?regNumber=0194200000520001826"/><Relationship Id="rId932" Type="http://schemas.openxmlformats.org/officeDocument/2006/relationships/hyperlink" TargetMode="External" Target="https://zakupki.gov.ru/epz/order/notice/ea44/view/common-info.html?regNumber=0194200000520001821"/><Relationship Id="rId933" Type="http://schemas.openxmlformats.org/officeDocument/2006/relationships/hyperlink" TargetMode="External" Target="https://zakupki.gov.ru/epz/order/notice/ea44/view/common-info.html?regNumber=0127200000220001442"/><Relationship Id="rId934" Type="http://schemas.openxmlformats.org/officeDocument/2006/relationships/hyperlink" TargetMode="External" Target="https://zakupki.gov.ru/epz/order/notice/ea44/view/common-info.html?regNumber=0194200000520001829"/><Relationship Id="rId935" Type="http://schemas.openxmlformats.org/officeDocument/2006/relationships/hyperlink" TargetMode="External" Target="https://zakupki.gov.ru/epz/order/notice/ea44/view/common-info.html?regNumber=0320300043120000018"/><Relationship Id="rId936" Type="http://schemas.openxmlformats.org/officeDocument/2006/relationships/hyperlink" TargetMode="External" Target="https://zakupki.gov.ru/epz/order/notice/ea44/view/common-info.html?regNumber=0136500001120000980"/><Relationship Id="rId937" Type="http://schemas.openxmlformats.org/officeDocument/2006/relationships/hyperlink" TargetMode="External" Target="https://zakupki.gov.ru/epz/order/notice/ea44/view/common-info.html?regNumber=0318300036020000021"/><Relationship Id="rId938" Type="http://schemas.openxmlformats.org/officeDocument/2006/relationships/hyperlink" TargetMode="External" Target="https://zakupki.gov.ru/epz/order/notice/ea44/view/common-info.html?regNumber=0332100022720000172"/><Relationship Id="rId939" Type="http://schemas.openxmlformats.org/officeDocument/2006/relationships/hyperlink" TargetMode="External" Target="https://zakupki.gov.ru/epz/order/notice/ea44/view/common-info.html?regNumber=0368400000220000052"/><Relationship Id="rId940" Type="http://schemas.openxmlformats.org/officeDocument/2006/relationships/hyperlink" TargetMode="External" Target="https://zakupki.gov.ru/epz/order/notice/ea44/view/common-info.html?regNumber=0194200000520001839"/><Relationship Id="rId941" Type="http://schemas.openxmlformats.org/officeDocument/2006/relationships/hyperlink" TargetMode="External" Target="https://zakupki.gov.ru/epz/order/notice/ea44/view/common-info.html?regNumber=0319200069520000033"/><Relationship Id="rId942" Type="http://schemas.openxmlformats.org/officeDocument/2006/relationships/hyperlink" TargetMode="External" Target="https://zakupki.gov.ru/epz/order/notice/ea44/view/common-info.html?regNumber=0194200000520001842"/><Relationship Id="rId943" Type="http://schemas.openxmlformats.org/officeDocument/2006/relationships/hyperlink" TargetMode="External" Target="https://zakupki.gov.ru/epz/order/notice/ea44/view/common-info.html?regNumber=0194200000520001834"/><Relationship Id="rId944" Type="http://schemas.openxmlformats.org/officeDocument/2006/relationships/hyperlink" TargetMode="External" Target="https://zakupki.gov.ru/epz/order/notice/ea44/view/common-info.html?regNumber=0194200000520001881"/><Relationship Id="rId945" Type="http://schemas.openxmlformats.org/officeDocument/2006/relationships/hyperlink" TargetMode="External" Target="https://zakupki.gov.ru/epz/order/notice/ea44/view/common-info.html?regNumber=0194200000520001879"/><Relationship Id="rId946" Type="http://schemas.openxmlformats.org/officeDocument/2006/relationships/hyperlink" TargetMode="External" Target="https://zakupki.gov.ru/epz/order/notice/ea44/view/common-info.html?regNumber=0194200000520001876"/><Relationship Id="rId947" Type="http://schemas.openxmlformats.org/officeDocument/2006/relationships/hyperlink" TargetMode="External" Target="https://zakupki.gov.ru/epz/order/notice/ea44/view/common-info.html?regNumber=0194200000520001853"/><Relationship Id="rId948" Type="http://schemas.openxmlformats.org/officeDocument/2006/relationships/hyperlink" TargetMode="External" Target="https://zakupki.gov.ru/epz/order/notice/ea44/view/common-info.html?regNumber=0194200000520001851"/><Relationship Id="rId949" Type="http://schemas.openxmlformats.org/officeDocument/2006/relationships/hyperlink" TargetMode="External" Target="https://zakupki.gov.ru/epz/order/notice/ea44/view/common-info.html?regNumber=0318200028420000112"/><Relationship Id="rId950" Type="http://schemas.openxmlformats.org/officeDocument/2006/relationships/hyperlink" TargetMode="External" Target="https://zakupki.gov.ru/epz/order/notice/ea44/view/common-info.html?regNumber=0194200000520001838"/><Relationship Id="rId951" Type="http://schemas.openxmlformats.org/officeDocument/2006/relationships/hyperlink" TargetMode="External" Target="https://zakupki.gov.ru/epz/order/notice/ea44/view/common-info.html?regNumber=0194200000520001832"/><Relationship Id="rId952" Type="http://schemas.openxmlformats.org/officeDocument/2006/relationships/hyperlink" TargetMode="External" Target="https://zakupki.gov.ru/epz/order/notice/ea44/view/common-info.html?regNumber=0194200000520001827"/><Relationship Id="rId953" Type="http://schemas.openxmlformats.org/officeDocument/2006/relationships/hyperlink" TargetMode="External" Target="https://zakupki.gov.ru/epz/order/notice/ea44/view/common-info.html?regNumber=0194200000520001840"/><Relationship Id="rId954" Type="http://schemas.openxmlformats.org/officeDocument/2006/relationships/hyperlink" TargetMode="External" Target="https://zakupki.gov.ru/epz/order/notice/ea44/view/common-info.html?regNumber=0194200000520001891"/><Relationship Id="rId955" Type="http://schemas.openxmlformats.org/officeDocument/2006/relationships/hyperlink" TargetMode="External" Target="https://zakupki.gov.ru/epz/order/notice/ea44/view/common-info.html?regNumber=0348300007320000059"/><Relationship Id="rId956" Type="http://schemas.openxmlformats.org/officeDocument/2006/relationships/hyperlink" TargetMode="External" Target="https://zakupki.gov.ru/epz/order/notice/ea44/view/common-info.html?regNumber=0368100009420000002"/><Relationship Id="rId957" Type="http://schemas.openxmlformats.org/officeDocument/2006/relationships/hyperlink" TargetMode="External" Target="https://zakupki.gov.ru/epz/order/notice/ea44/view/common-info.html?regNumber=0194200000520001896"/><Relationship Id="rId958" Type="http://schemas.openxmlformats.org/officeDocument/2006/relationships/hyperlink" TargetMode="External" Target="https://zakupki.gov.ru/epz/order/notice/ea44/view/common-info.html?regNumber=0194200000520001889"/><Relationship Id="rId959" Type="http://schemas.openxmlformats.org/officeDocument/2006/relationships/hyperlink" TargetMode="External" Target="https://zakupki.gov.ru/epz/order/notice/ea44/view/common-info.html?regNumber=0194200000520001888"/><Relationship Id="rId960" Type="http://schemas.openxmlformats.org/officeDocument/2006/relationships/hyperlink" TargetMode="External" Target="https://zakupki.gov.ru/epz/order/notice/ea44/view/common-info.html?regNumber=0194200000520001884"/><Relationship Id="rId961" Type="http://schemas.openxmlformats.org/officeDocument/2006/relationships/hyperlink" TargetMode="External" Target="https://zakupki.gov.ru/epz/order/notice/ea44/view/common-info.html?regNumber=0194200000520001880"/><Relationship Id="rId962" Type="http://schemas.openxmlformats.org/officeDocument/2006/relationships/hyperlink" TargetMode="External" Target="https://zakupki.gov.ru/epz/order/notice/ea44/view/common-info.html?regNumber=0194200000520001877"/><Relationship Id="rId963" Type="http://schemas.openxmlformats.org/officeDocument/2006/relationships/hyperlink" TargetMode="External" Target="https://zakupki.gov.ru/epz/order/notice/ea44/view/common-info.html?regNumber=0194200000520001895"/><Relationship Id="rId964" Type="http://schemas.openxmlformats.org/officeDocument/2006/relationships/hyperlink" TargetMode="External" Target="https://zakupki.gov.ru/epz/order/notice/ea44/view/common-info.html?regNumber=0194200000520001885"/><Relationship Id="rId965" Type="http://schemas.openxmlformats.org/officeDocument/2006/relationships/hyperlink" TargetMode="External" Target="https://zakupki.gov.ru/epz/order/notice/ea44/view/common-info.html?regNumber=0194200000520001875"/><Relationship Id="rId966" Type="http://schemas.openxmlformats.org/officeDocument/2006/relationships/hyperlink" TargetMode="External" Target="https://zakupki.gov.ru/epz/order/notice/ea44/view/common-info.html?regNumber=0194200000520001864"/><Relationship Id="rId967" Type="http://schemas.openxmlformats.org/officeDocument/2006/relationships/hyperlink" TargetMode="External" Target="https://zakupki.gov.ru/epz/order/notice/ea44/view/common-info.html?regNumber=0373200063120000175"/><Relationship Id="rId968" Type="http://schemas.openxmlformats.org/officeDocument/2006/relationships/hyperlink" TargetMode="External" Target="https://zakupki.gov.ru/epz/order/notice/ea44/view/common-info.html?regNumber=0194200000520001865"/><Relationship Id="rId969" Type="http://schemas.openxmlformats.org/officeDocument/2006/relationships/hyperlink" TargetMode="External" Target="https://zakupki.gov.ru/epz/order/notice/ea44/view/common-info.html?regNumber=0194200000520001857"/><Relationship Id="rId970" Type="http://schemas.openxmlformats.org/officeDocument/2006/relationships/hyperlink" TargetMode="External" Target="https://zakupki.gov.ru/epz/order/notice/ea44/view/common-info.html?regNumber=0356500005520000020"/><Relationship Id="rId971" Type="http://schemas.openxmlformats.org/officeDocument/2006/relationships/hyperlink" TargetMode="External" Target="https://zakupki.gov.ru/epz/order/notice/ea44/view/common-info.html?regNumber=0358100011620000086"/><Relationship Id="rId972" Type="http://schemas.openxmlformats.org/officeDocument/2006/relationships/hyperlink" TargetMode="External" Target="https://zakupki.gov.ru/epz/order/notice/ea44/view/common-info.html?regNumber=0194200000520001892"/><Relationship Id="rId973" Type="http://schemas.openxmlformats.org/officeDocument/2006/relationships/hyperlink" TargetMode="External" Target="https://zakupki.gov.ru/epz/order/notice/ea44/view/common-info.html?regNumber=0194200000520001858"/><Relationship Id="rId974" Type="http://schemas.openxmlformats.org/officeDocument/2006/relationships/hyperlink" TargetMode="External" Target="https://zakupki.gov.ru/epz/order/notice/ea44/view/common-info.html?regNumber=0379300021420000012"/><Relationship Id="rId975" Type="http://schemas.openxmlformats.org/officeDocument/2006/relationships/hyperlink" TargetMode="External" Target="https://zakupki.gov.ru/epz/order/notice/ea44/view/common-info.html?regNumber=0194200000520001808"/><Relationship Id="rId976" Type="http://schemas.openxmlformats.org/officeDocument/2006/relationships/hyperlink" TargetMode="External" Target="https://zakupki.gov.ru/epz/order/notice/ea44/view/common-info.html?regNumber=0152200004720000238"/><Relationship Id="rId977" Type="http://schemas.openxmlformats.org/officeDocument/2006/relationships/hyperlink" TargetMode="External" Target="https://zakupki.gov.ru/epz/order/notice/ea44/view/common-info.html?regNumber=0176200005520000391"/><Relationship Id="rId978" Type="http://schemas.openxmlformats.org/officeDocument/2006/relationships/hyperlink" TargetMode="External" Target="https://zakupki.gov.ru/epz/order/notice/ea44/view/common-info.html?regNumber=0194200000520001848"/><Relationship Id="rId979" Type="http://schemas.openxmlformats.org/officeDocument/2006/relationships/hyperlink" TargetMode="External" Target="https://zakupki.gov.ru/epz/order/notice/ea44/view/common-info.html?regNumber=0194200000520001845"/><Relationship Id="rId980" Type="http://schemas.openxmlformats.org/officeDocument/2006/relationships/hyperlink" TargetMode="External" Target="https://zakupki.gov.ru/epz/order/notice/ea44/view/common-info.html?regNumber=0194200000520001894"/><Relationship Id="rId981" Type="http://schemas.openxmlformats.org/officeDocument/2006/relationships/hyperlink" TargetMode="External" Target="https://zakupki.gov.ru/epz/order/notice/ea44/view/common-info.html?regNumber=0194200000520001843"/><Relationship Id="rId982" Type="http://schemas.openxmlformats.org/officeDocument/2006/relationships/hyperlink" TargetMode="External" Target="https://zakupki.gov.ru/epz/order/notice/ea44/view/common-info.html?regNumber=0372200127620000017"/><Relationship Id="rId983" Type="http://schemas.openxmlformats.org/officeDocument/2006/relationships/hyperlink" TargetMode="External" Target="https://zakupki.gov.ru/epz/order/notice/ea44/view/common-info.html?regNumber=0387200009120000724"/><Relationship Id="rId984" Type="http://schemas.openxmlformats.org/officeDocument/2006/relationships/hyperlink" TargetMode="External" Target="https://zakupki.gov.ru/epz/order/notice/ea44/view/common-info.html?regNumber=0339300073920000022"/><Relationship Id="rId985" Type="http://schemas.openxmlformats.org/officeDocument/2006/relationships/hyperlink" TargetMode="External" Target="https://zakupki.gov.ru/epz/order/notice/ea44/view/common-info.html?regNumber=0853500000320001556"/><Relationship Id="rId986" Type="http://schemas.openxmlformats.org/officeDocument/2006/relationships/hyperlink" TargetMode="External" Target="https://zakupki.gov.ru/epz/order/notice/ea44/view/common-info.html?regNumber=0348300062120000096"/><Relationship Id="rId987" Type="http://schemas.openxmlformats.org/officeDocument/2006/relationships/hyperlink" TargetMode="External" Target="https://zakupki.gov.ru/epz/order/notice/ea44/view/common-info.html?regNumber=0373200067020000150"/><Relationship Id="rId988" Type="http://schemas.openxmlformats.org/officeDocument/2006/relationships/hyperlink" TargetMode="External" Target="https://zakupki.gov.ru/epz/order/notice/ea44/view/common-info.html?regNumber=0373100013420000160"/><Relationship Id="rId989" Type="http://schemas.openxmlformats.org/officeDocument/2006/relationships/hyperlink" TargetMode="External" Target="https://zakupki.gov.ru/epz/order/notice/ea44/view/common-info.html?regNumber=0367100003920000018"/><Relationship Id="rId990" Type="http://schemas.openxmlformats.org/officeDocument/2006/relationships/hyperlink" TargetMode="External" Target="https://zakupki.gov.ru/epz/order/notice/ea44/view/common-info.html?regNumber=0318200028420000109"/><Relationship Id="rId991" Type="http://schemas.openxmlformats.org/officeDocument/2006/relationships/hyperlink" TargetMode="External" Target="https://zakupki.gov.ru/epz/order/notice/ea44/view/common-info.html?regNumber=0134300027520000005"/><Relationship Id="rId992" Type="http://schemas.openxmlformats.org/officeDocument/2006/relationships/hyperlink" TargetMode="External" Target="https://zakupki.gov.ru/epz/order/notice/ea44/view/common-info.html?regNumber=0323100005120000004"/><Relationship Id="rId993" Type="http://schemas.openxmlformats.org/officeDocument/2006/relationships/hyperlink" TargetMode="External" Target="https://zakupki.gov.ru/epz/order/notice/ea44/view/common-info.html?regNumber=0348200074620000005"/><Relationship Id="rId994" Type="http://schemas.openxmlformats.org/officeDocument/2006/relationships/hyperlink" TargetMode="External" Target="https://zakupki.gov.ru/epz/order/notice/ea44/view/common-info.html?regNumber=0319200069520000037"/><Relationship Id="rId995" Type="http://schemas.openxmlformats.org/officeDocument/2006/relationships/hyperlink" TargetMode="External" Target="https://zakupki.gov.ru/epz/order/notice/ea44/view/common-info.html?regNumber=0351200012220000037"/><Relationship Id="rId996" Type="http://schemas.openxmlformats.org/officeDocument/2006/relationships/hyperlink" TargetMode="External" Target="https://zakupki.gov.ru/epz/order/notice/ea44/view/common-info.html?regNumber=0354200022620000019"/><Relationship Id="rId997" Type="http://schemas.openxmlformats.org/officeDocument/2006/relationships/hyperlink" TargetMode="External" Target="https://zakupki.gov.ru/epz/order/notice/ea44/view/common-info.html?regNumber=0194200000520001899"/><Relationship Id="rId998" Type="http://schemas.openxmlformats.org/officeDocument/2006/relationships/hyperlink" TargetMode="External" Target="https://zakupki.gov.ru/epz/order/notice/ea44/view/common-info.html?regNumber=0187300014720000173"/><Relationship Id="rId999" Type="http://schemas.openxmlformats.org/officeDocument/2006/relationships/hyperlink" TargetMode="External" Target="https://zakupki.gov.ru/epz/order/notice/ea44/view/common-info.html?regNumber=0248100000320000027"/><Relationship Id="rId1000" Type="http://schemas.openxmlformats.org/officeDocument/2006/relationships/hyperlink" TargetMode="External" Target="https://zakupki.gov.ru/epz/order/notice/ea44/view/common-info.html?regNumber=0356500002120000082"/><Relationship Id="rId1001" Type="http://schemas.openxmlformats.org/officeDocument/2006/relationships/hyperlink" TargetMode="External" Target="https://zakupki.gov.ru/epz/order/notice/ea44/view/common-info.html?regNumber=0194200000520001890"/><Relationship Id="rId1002" Type="http://schemas.openxmlformats.org/officeDocument/2006/relationships/hyperlink" TargetMode="External" Target="https://zakupki.gov.ru/epz/order/notice/ea44/view/common-info.html?regNumber=0816500000620003260"/><Relationship Id="rId1003" Type="http://schemas.openxmlformats.org/officeDocument/2006/relationships/hyperlink" TargetMode="External" Target="https://zakupki.gov.ru/epz/order/notice/ea44/view/common-info.html?regNumber=0139300027720000068"/><Relationship Id="rId1004" Type="http://schemas.openxmlformats.org/officeDocument/2006/relationships/hyperlink" TargetMode="External" Target="https://zakupki.gov.ru/epz/order/notice/ea44/view/common-info.html?regNumber=0167200003420001648"/><Relationship Id="rId1005" Type="http://schemas.openxmlformats.org/officeDocument/2006/relationships/hyperlink" TargetMode="External" Target="https://zakupki.gov.ru/epz/order/notice/ea44/view/common-info.html?regNumber=0162300078620000021"/><Relationship Id="rId1006" Type="http://schemas.openxmlformats.org/officeDocument/2006/relationships/hyperlink" TargetMode="External" Target="https://zakupki.gov.ru/epz/order/notice/ea44/view/common-info.html?regNumber=0373200052720000134"/><Relationship Id="rId1007" Type="http://schemas.openxmlformats.org/officeDocument/2006/relationships/hyperlink" TargetMode="External" Target="https://zakupki.gov.ru/epz/order/notice/ea44/view/common-info.html?regNumber=0226100000520000003"/><Relationship Id="rId1008" Type="http://schemas.openxmlformats.org/officeDocument/2006/relationships/hyperlink" TargetMode="External" Target="https://zakupki.gov.ru/epz/order/notice/ea44/view/common-info.html?regNumber=0332300214720000023"/><Relationship Id="rId1009" Type="http://schemas.openxmlformats.org/officeDocument/2006/relationships/hyperlink" TargetMode="External" Target="https://zakupki.gov.ru/epz/order/notice/ea44/view/common-info.html?regNumber=0318200065620000155"/><Relationship Id="rId1010" Type="http://schemas.openxmlformats.org/officeDocument/2006/relationships/hyperlink" TargetMode="External" Target="https://zakupki.gov.ru/epz/order/notice/ea44/view/common-info.html?regNumber=0813500000120003485"/><Relationship Id="rId1011" Type="http://schemas.openxmlformats.org/officeDocument/2006/relationships/hyperlink" TargetMode="External" Target="https://zakupki.gov.ru/epz/order/notice/ea44/view/common-info.html?regNumber=0318200028120000352"/><Relationship Id="rId1012" Type="http://schemas.openxmlformats.org/officeDocument/2006/relationships/hyperlink" TargetMode="External" Target="https://zakupki.gov.ru/epz/order/notice/ea44/view/common-info.html?regNumber=0318200028120000353"/><Relationship Id="rId1013" Type="http://schemas.openxmlformats.org/officeDocument/2006/relationships/hyperlink" TargetMode="External" Target="https://zakupki.gov.ru/epz/order/notice/ea44/view/common-info.html?regNumber=0340100021420000009"/><Relationship Id="rId1014" Type="http://schemas.openxmlformats.org/officeDocument/2006/relationships/hyperlink" TargetMode="External" Target="https://zakupki.gov.ru/epz/order/notice/ea44/view/common-info.html?regNumber=0813500000120003613"/><Relationship Id="rId1015" Type="http://schemas.openxmlformats.org/officeDocument/2006/relationships/hyperlink" TargetMode="External" Target="https://zakupki.gov.ru/epz/order/notice/ea44/view/common-info.html?regNumber=0144200002420000300"/><Relationship Id="rId1016" Type="http://schemas.openxmlformats.org/officeDocument/2006/relationships/hyperlink" TargetMode="External" Target="https://zakupki.gov.ru/epz/order/notice/ea44/view/common-info.html?regNumber=0340200003320003234"/><Relationship Id="rId1017" Type="http://schemas.openxmlformats.org/officeDocument/2006/relationships/hyperlink" TargetMode="External" Target="https://zakupki.gov.ru/epz/order/notice/ea44/view/common-info.html?regNumber=0848300062720000125"/><Relationship Id="rId1018" Type="http://schemas.openxmlformats.org/officeDocument/2006/relationships/hyperlink" TargetMode="External" Target="https://zakupki.gov.ru/epz/order/notice/ea44/view/common-info.html?regNumber=0131200001020002177"/><Relationship Id="rId1019" Type="http://schemas.openxmlformats.org/officeDocument/2006/relationships/hyperlink" TargetMode="External" Target="https://zakupki.gov.ru/epz/order/notice/ea44/view/common-info.html?regNumber=0362200026920000008"/><Relationship Id="rId1020" Type="http://schemas.openxmlformats.org/officeDocument/2006/relationships/hyperlink" TargetMode="External" Target="https://zakupki.gov.ru/epz/order/notice/ea44/view/common-info.html?regNumber=0339500000720000059"/><Relationship Id="rId1021" Type="http://schemas.openxmlformats.org/officeDocument/2006/relationships/hyperlink" TargetMode="External" Target="https://zakupki.gov.ru/epz/order/notice/ea44/view/common-info.html?regNumber=0375200049020000070"/><Relationship Id="rId1022" Type="http://schemas.openxmlformats.org/officeDocument/2006/relationships/hyperlink" TargetMode="External" Target="https://zakupki.gov.ru/epz/order/notice/ea44/view/common-info.html?regNumber=0373200052820000047"/><Relationship Id="rId1023" Type="http://schemas.openxmlformats.org/officeDocument/2006/relationships/hyperlink" TargetMode="External" Target="https://zakupki.gov.ru/epz/order/notice/ea44/view/common-info.html?regNumber=0301300280720000203"/><Relationship Id="rId1024" Type="http://schemas.openxmlformats.org/officeDocument/2006/relationships/hyperlink" TargetMode="External" Target="https://zakupki.gov.ru/epz/order/notice/ea44/view/common-info.html?regNumber=0377300021720000018"/><Relationship Id="rId1025" Type="http://schemas.openxmlformats.org/officeDocument/2006/relationships/hyperlink" TargetMode="External" Target="https://zakupki.gov.ru/epz/order/notice/ea44/view/common-info.html?regNumber=0136500001120000579"/><Relationship Id="rId1026" Type="http://schemas.openxmlformats.org/officeDocument/2006/relationships/hyperlink" TargetMode="External" Target="https://zakupki.gov.ru/epz/order/notice/ea44/view/common-info.html?regNumber=0366200035620001028"/><Relationship Id="rId1027" Type="http://schemas.openxmlformats.org/officeDocument/2006/relationships/hyperlink" TargetMode="External" Target="https://zakupki.gov.ru/epz/order/notice/ea44/view/common-info.html?regNumber=0345300000520000042"/><Relationship Id="rId1028" Type="http://schemas.openxmlformats.org/officeDocument/2006/relationships/hyperlink" TargetMode="External" Target="https://zakupki.gov.ru/epz/order/notice/ea44/view/common-info.html?regNumber=0194200000520001811"/><Relationship Id="rId1029" Type="http://schemas.openxmlformats.org/officeDocument/2006/relationships/hyperlink" TargetMode="External" Target="https://zakupki.gov.ru/epz/order/notice/ea44/view/common-info.html?regNumber=0375200036220000047"/><Relationship Id="rId1030" Type="http://schemas.openxmlformats.org/officeDocument/2006/relationships/hyperlink" TargetMode="External" Target="https://zakupki.gov.ru/epz/order/notice/ea44/view/common-info.html?regNumber=0801200000220000477"/><Relationship Id="rId1031" Type="http://schemas.openxmlformats.org/officeDocument/2006/relationships/hyperlink" TargetMode="External" Target="https://zakupki.gov.ru/epz/order/notice/ea44/view/common-info.html?regNumber=0372200140020000023"/><Relationship Id="rId1032" Type="http://schemas.openxmlformats.org/officeDocument/2006/relationships/hyperlink" TargetMode="External" Target="https://zakupki.gov.ru/epz/order/notice/ea44/view/common-info.html?regNumber=0343200010720000087"/><Relationship Id="rId1033" Type="http://schemas.openxmlformats.org/officeDocument/2006/relationships/hyperlink" TargetMode="External" Target="https://zakupki.gov.ru/epz/order/notice/ea44/view/common-info.html?regNumber=0348300111520000002"/><Relationship Id="rId1034" Type="http://schemas.openxmlformats.org/officeDocument/2006/relationships/hyperlink" TargetMode="External" Target="https://zakupki.gov.ru/epz/order/notice/ea44/view/common-info.html?regNumber=0369300285120000065"/><Relationship Id="rId1035" Type="http://schemas.openxmlformats.org/officeDocument/2006/relationships/hyperlink" TargetMode="External" Target="https://zakupki.gov.ru/epz/order/notice/ea44/view/common-info.html?regNumber=0130300006920000036"/><Relationship Id="rId1036" Type="http://schemas.openxmlformats.org/officeDocument/2006/relationships/hyperlink" TargetMode="External" Target="https://zakupki.gov.ru/epz/order/notice/ea44/view/common-info.html?regNumber=0142200001320005009"/><Relationship Id="rId1037" Type="http://schemas.openxmlformats.org/officeDocument/2006/relationships/hyperlink" TargetMode="External" Target="https://zakupki.gov.ru/epz/order/notice/ea44/view/common-info.html?regNumber=0307200022420000200"/><Relationship Id="rId1038" Type="http://schemas.openxmlformats.org/officeDocument/2006/relationships/hyperlink" TargetMode="External" Target="https://zakupki.gov.ru/epz/order/notice/ea44/view/common-info.html?regNumber=0136300004320000021"/><Relationship Id="rId1039" Type="http://schemas.openxmlformats.org/officeDocument/2006/relationships/hyperlink" TargetMode="External" Target="https://zakupki.gov.ru/epz/order/notice/ea44/view/common-info.html?regNumber=0345200017720000043"/><Relationship Id="rId1040" Type="http://schemas.openxmlformats.org/officeDocument/2006/relationships/hyperlink" TargetMode="External" Target="https://zakupki.gov.ru/epz/order/notice/ea44/view/common-info.html?regNumber=0144300006120000001"/><Relationship Id="rId1041" Type="http://schemas.openxmlformats.org/officeDocument/2006/relationships/hyperlink" TargetMode="External" Target="https://zakupki.gov.ru/epz/order/notice/ea44/view/common-info.html?regNumber=0816500000620003137"/><Relationship Id="rId1042" Type="http://schemas.openxmlformats.org/officeDocument/2006/relationships/hyperlink" TargetMode="External" Target="https://zakupki.gov.ru/epz/order/notice/ea44/view/common-info.html?regNumber=0129300051520000004"/><Relationship Id="rId1043" Type="http://schemas.openxmlformats.org/officeDocument/2006/relationships/hyperlink" TargetMode="External" Target="https://zakupki.gov.ru/epz/order/notice/ea44/view/common-info.html?regNumber=0129300051520000005"/><Relationship Id="rId1044" Type="http://schemas.openxmlformats.org/officeDocument/2006/relationships/hyperlink" TargetMode="External" Target="https://zakupki.gov.ru/epz/order/notice/ea44/view/common-info.html?regNumber=0374200000420000127"/><Relationship Id="rId1045" Type="http://schemas.openxmlformats.org/officeDocument/2006/relationships/hyperlink" TargetMode="External" Target="https://zakupki.gov.ru/epz/order/notice/ea44/view/common-info.html?regNumber=0373100013120000196"/><Relationship Id="rId1046" Type="http://schemas.openxmlformats.org/officeDocument/2006/relationships/hyperlink" TargetMode="External" Target="https://zakupki.gov.ru/epz/order/notice/ea44/view/common-info.html?regNumber=0373100062620000012"/><Relationship Id="rId1047" Type="http://schemas.openxmlformats.org/officeDocument/2006/relationships/hyperlink" TargetMode="External" Target="https://zakupki.gov.ru/epz/order/notice/ea44/view/common-info.html?regNumber=0321300014420000038"/><Relationship Id="rId1048" Type="http://schemas.openxmlformats.org/officeDocument/2006/relationships/hyperlink" TargetMode="External" Target="https://zakupki.gov.ru/epz/order/notice/ea44/view/common-info.html?regNumber=0101200002320000046"/><Relationship Id="rId1049" Type="http://schemas.openxmlformats.org/officeDocument/2006/relationships/hyperlink" TargetMode="External" Target="https://zakupki.gov.ru/epz/order/notice/ea44/view/common-info.html?regNumber=0169300038720000131"/><Relationship Id="rId1050" Type="http://schemas.openxmlformats.org/officeDocument/2006/relationships/hyperlink" TargetMode="External" Target="https://zakupki.gov.ru/epz/order/notice/ea44/view/common-info.html?regNumber=0128300013020000037"/><Relationship Id="rId1051" Type="http://schemas.openxmlformats.org/officeDocument/2006/relationships/hyperlink" TargetMode="External" Target="https://zakupki.gov.ru/epz/order/notice/ea44/view/common-info.html?regNumber=0194200000520001929"/><Relationship Id="rId1052" Type="http://schemas.openxmlformats.org/officeDocument/2006/relationships/hyperlink" TargetMode="External" Target="https://zakupki.gov.ru/epz/order/notice/ea44/view/common-info.html?regNumber=0168200002420001301"/><Relationship Id="rId1053" Type="http://schemas.openxmlformats.org/officeDocument/2006/relationships/hyperlink" TargetMode="External" Target="https://zakupki.gov.ru/epz/order/notice/ea44/view/common-info.html?regNumber=0139200000120001737"/><Relationship Id="rId1054" Type="http://schemas.openxmlformats.org/officeDocument/2006/relationships/hyperlink" TargetMode="External" Target="https://zakupki.gov.ru/epz/order/notice/ea44/view/common-info.html?regNumber=0372200082120000005"/><Relationship Id="rId1055" Type="http://schemas.openxmlformats.org/officeDocument/2006/relationships/hyperlink" TargetMode="External" Target="https://zakupki.gov.ru/epz/order/notice/ea44/view/common-info.html?regNumber=0133200001720000604"/><Relationship Id="rId1056" Type="http://schemas.openxmlformats.org/officeDocument/2006/relationships/hyperlink" TargetMode="External" Target="https://zakupki.gov.ru/epz/order/notice/ea44/view/common-info.html?regNumber=0348300172320000021"/><Relationship Id="rId1057" Type="http://schemas.openxmlformats.org/officeDocument/2006/relationships/hyperlink" TargetMode="External" Target="https://zakupki.gov.ru/epz/order/notice/ea44/view/common-info.html?regNumber=0320300026120000047"/><Relationship Id="rId1058" Type="http://schemas.openxmlformats.org/officeDocument/2006/relationships/hyperlink" TargetMode="External" Target="https://zakupki.gov.ru/epz/order/notice/ea44/view/common-info.html?regNumber=0848300053520000029"/><Relationship Id="rId1059" Type="http://schemas.openxmlformats.org/officeDocument/2006/relationships/hyperlink" TargetMode="External" Target="https://zakupki.gov.ru/epz/order/notice/ea44/view/common-info.html?regNumber=0320300064520000001"/><Relationship Id="rId1060" Type="http://schemas.openxmlformats.org/officeDocument/2006/relationships/hyperlink" TargetMode="External" Target="https://zakupki.gov.ru/epz/order/notice/ea44/view/common-info.html?regNumber=0147200000620000012"/><Relationship Id="rId1061" Type="http://schemas.openxmlformats.org/officeDocument/2006/relationships/hyperlink" TargetMode="External" Target="https://zakupki.gov.ru/epz/order/notice/ea44/view/common-info.html?regNumber=0813500000120003297"/><Relationship Id="rId1062" Type="http://schemas.openxmlformats.org/officeDocument/2006/relationships/hyperlink" TargetMode="External" Target="https://zakupki.gov.ru/epz/order/notice/ea44/view/common-info.html?regNumber=0320100019020000023"/><Relationship Id="rId1063" Type="http://schemas.openxmlformats.org/officeDocument/2006/relationships/hyperlink" TargetMode="External" Target="https://zakupki.gov.ru/epz/order/notice/ea44/view/common-info.html?regNumber=0391100023020000004"/><Relationship Id="rId1064" Type="http://schemas.openxmlformats.org/officeDocument/2006/relationships/hyperlink" TargetMode="External" Target="https://zakupki.gov.ru/epz/order/notice/ea44/view/common-info.html?regNumber=0306100004120000032"/><Relationship Id="rId1065" Type="http://schemas.openxmlformats.org/officeDocument/2006/relationships/hyperlink" TargetMode="External" Target="https://zakupki.gov.ru/epz/order/notice/ea44/view/common-info.html?regNumber=0320300149720000075"/><Relationship Id="rId1066" Type="http://schemas.openxmlformats.org/officeDocument/2006/relationships/hyperlink" TargetMode="External" Target="https://zakupki.gov.ru/epz/order/notice/ea44/view/common-info.html?regNumber=0112200000820001160"/><Relationship Id="rId1067" Type="http://schemas.openxmlformats.org/officeDocument/2006/relationships/hyperlink" TargetMode="External" Target="https://zakupki.gov.ru/epz/order/notice/ea44/view/common-info.html?regNumber=0850200000420000229"/><Relationship Id="rId1068" Type="http://schemas.openxmlformats.org/officeDocument/2006/relationships/hyperlink" TargetMode="External" Target="https://zakupki.gov.ru/epz/order/notice/ea44/view/common-info.html?regNumber=0154200003420000014"/><Relationship Id="rId1069" Type="http://schemas.openxmlformats.org/officeDocument/2006/relationships/hyperlink" TargetMode="External" Target="https://zakupki.gov.ru/epz/order/notice/ea44/view/common-info.html?regNumber=0158300040520000002"/><Relationship Id="rId1070" Type="http://schemas.openxmlformats.org/officeDocument/2006/relationships/hyperlink" TargetMode="External" Target="https://zakupki.gov.ru/epz/order/notice/ea44/view/common-info.html?regNumber=0332100007820000005"/><Relationship Id="rId1071" Type="http://schemas.openxmlformats.org/officeDocument/2006/relationships/hyperlink" TargetMode="External" Target="https://zakupki.gov.ru/epz/order/notice/ea44/view/common-info.html?regNumber=0816500000620002693"/><Relationship Id="rId1072" Type="http://schemas.openxmlformats.org/officeDocument/2006/relationships/hyperlink" TargetMode="External" Target="https://zakupki.gov.ru/epz/order/notice/ea44/view/common-info.html?regNumber=0366200035620000979"/><Relationship Id="rId1073" Type="http://schemas.openxmlformats.org/officeDocument/2006/relationships/hyperlink" TargetMode="External" Target="https://zakupki.gov.ru/epz/order/notice/ea44/view/common-info.html?regNumber=0135200000520000723"/><Relationship Id="rId1074" Type="http://schemas.openxmlformats.org/officeDocument/2006/relationships/hyperlink" TargetMode="External" Target="https://zakupki.gov.ru/epz/order/notice/ea44/view/common-info.html?regNumber=0853500000320001575"/><Relationship Id="rId1075" Type="http://schemas.openxmlformats.org/officeDocument/2006/relationships/hyperlink" TargetMode="External" Target="https://zakupki.gov.ru/epz/order/notice/ea44/view/common-info.html?regNumber=0194200000520001937"/><Relationship Id="rId1076" Type="http://schemas.openxmlformats.org/officeDocument/2006/relationships/hyperlink" TargetMode="External" Target="https://zakupki.gov.ru/epz/order/notice/ea44/view/common-info.html?regNumber=0339300145820000008"/><Relationship Id="rId1077" Type="http://schemas.openxmlformats.org/officeDocument/2006/relationships/hyperlink" TargetMode="External" Target="https://zakupki.gov.ru/epz/order/notice/ea44/view/common-info.html?regNumber=0168300002520000017"/><Relationship Id="rId1078" Type="http://schemas.openxmlformats.org/officeDocument/2006/relationships/hyperlink" TargetMode="External" Target="https://zakupki.gov.ru/epz/order/notice/ea44/view/common-info.html?regNumber=0339300008420000006"/><Relationship Id="rId1079" Type="http://schemas.openxmlformats.org/officeDocument/2006/relationships/hyperlink" TargetMode="External" Target="https://zakupki.gov.ru/epz/order/notice/ea44/view/common-info.html?regNumber=0325200001620000069"/><Relationship Id="rId1080" Type="http://schemas.openxmlformats.org/officeDocument/2006/relationships/hyperlink" TargetMode="External" Target="https://zakupki.gov.ru/epz/order/notice/ea44/view/common-info.html?regNumber=0301300019920000021"/><Relationship Id="rId1081" Type="http://schemas.openxmlformats.org/officeDocument/2006/relationships/hyperlink" TargetMode="External" Target="https://zakupki.gov.ru/epz/order/notice/ea44/view/common-info.html?regNumber=0141100001020000010"/><Relationship Id="rId1082" Type="http://schemas.openxmlformats.org/officeDocument/2006/relationships/hyperlink" TargetMode="External" Target="https://zakupki.gov.ru/epz/order/notice/ea44/view/common-info.html?regNumber=0307300120820000081"/><Relationship Id="rId1083" Type="http://schemas.openxmlformats.org/officeDocument/2006/relationships/hyperlink" TargetMode="External" Target="https://zakupki.gov.ru/epz/order/notice/ea44/view/common-info.html?regNumber=0153300028920000001"/><Relationship Id="rId1084" Type="http://schemas.openxmlformats.org/officeDocument/2006/relationships/hyperlink" TargetMode="External" Target="https://zakupki.gov.ru/epz/order/notice/ea44/view/common-info.html?regNumber=0321500000620000056"/><Relationship Id="rId1085" Type="http://schemas.openxmlformats.org/officeDocument/2006/relationships/hyperlink" TargetMode="External" Target="https://zakupki.gov.ru/epz/order/notice/ea44/view/common-info.html?regNumber=0348500002220000032"/><Relationship Id="rId1086" Type="http://schemas.openxmlformats.org/officeDocument/2006/relationships/hyperlink" TargetMode="External" Target="https://zakupki.gov.ru/epz/order/notice/ea44/view/common-info.html?regNumber=0253100000120000090"/><Relationship Id="rId1087" Type="http://schemas.openxmlformats.org/officeDocument/2006/relationships/hyperlink" TargetMode="External" Target="https://zakupki.gov.ru/epz/order/notice/ea44/view/common-info.html?regNumber=0366200035620000992"/><Relationship Id="rId1088" Type="http://schemas.openxmlformats.org/officeDocument/2006/relationships/hyperlink" TargetMode="External" Target="https://zakupki.gov.ru/epz/order/notice/ea44/view/common-info.html?regNumber=0169300000120000412"/><Relationship Id="rId1089" Type="http://schemas.openxmlformats.org/officeDocument/2006/relationships/hyperlink" TargetMode="External" Target="https://zakupki.gov.ru/epz/order/notice/ea44/view/common-info.html?regNumber=0301300244720000004"/><Relationship Id="rId1090" Type="http://schemas.openxmlformats.org/officeDocument/2006/relationships/hyperlink" TargetMode="External" Target="https://zakupki.gov.ru/epz/order/notice/ea44/view/common-info.html?regNumber=0324100003920000018"/><Relationship Id="rId1091" Type="http://schemas.openxmlformats.org/officeDocument/2006/relationships/hyperlink" TargetMode="External" Target="https://zakupki.gov.ru/epz/order/notice/ea44/view/common-info.html?regNumber=0145200000420000484"/><Relationship Id="rId1092" Type="http://schemas.openxmlformats.org/officeDocument/2006/relationships/hyperlink" TargetMode="External" Target="https://zakupki.gov.ru/epz/order/notice/ea44/view/common-info.html?regNumber=0542600011620000006"/><Relationship Id="rId1093" Type="http://schemas.openxmlformats.org/officeDocument/2006/relationships/hyperlink" TargetMode="External" Target="https://zakupki.gov.ru/epz/order/notice/ea44/view/common-info.html?regNumber=0144200002420000293"/><Relationship Id="rId1094" Type="http://schemas.openxmlformats.org/officeDocument/2006/relationships/hyperlink" TargetMode="External" Target="https://zakupki.gov.ru/epz/order/notice/ea44/view/common-info.html?regNumber=0352300022820000013"/><Relationship Id="rId1095" Type="http://schemas.openxmlformats.org/officeDocument/2006/relationships/hyperlink" TargetMode="External" Target="https://zakupki.gov.ru/epz/order/notice/ea44/view/common-info.html?regNumber=0168200002420001792"/><Relationship Id="rId1096" Type="http://schemas.openxmlformats.org/officeDocument/2006/relationships/hyperlink" TargetMode="External" Target="https://zakupki.gov.ru/epz/order/notice/ea44/view/common-info.html?regNumber=0137200001220001279"/><Relationship Id="rId1097" Type="http://schemas.openxmlformats.org/officeDocument/2006/relationships/hyperlink" TargetMode="External" Target="https://zakupki.gov.ru/epz/order/notice/ea44/view/common-info.html?regNumber=0350100007320000015"/><Relationship Id="rId1098" Type="http://schemas.openxmlformats.org/officeDocument/2006/relationships/hyperlink" TargetMode="External" Target="https://zakupki.gov.ru/epz/order/notice/ea44/view/common-info.html?regNumber=0387200009120000666"/><Relationship Id="rId1099" Type="http://schemas.openxmlformats.org/officeDocument/2006/relationships/hyperlink" TargetMode="External" Target="https://zakupki.gov.ru/epz/order/notice/ea44/view/common-info.html?regNumber=0166300021120000013"/><Relationship Id="rId1100" Type="http://schemas.openxmlformats.org/officeDocument/2006/relationships/hyperlink" TargetMode="External" Target="https://zakupki.gov.ru/epz/order/notice/ea44/view/common-info.html?regNumber=0344100005520000014"/><Relationship Id="rId1101" Type="http://schemas.openxmlformats.org/officeDocument/2006/relationships/hyperlink" TargetMode="External" Target="https://zakupki.gov.ru/epz/order/notice/ea44/view/common-info.html?regNumber=0180300003820000001"/><Relationship Id="rId1102" Type="http://schemas.openxmlformats.org/officeDocument/2006/relationships/hyperlink" TargetMode="External" Target="https://zakupki.gov.ru/epz/order/notice/ea44/view/common-info.html?regNumber=0372200252820000021"/><Relationship Id="rId1103" Type="http://schemas.openxmlformats.org/officeDocument/2006/relationships/hyperlink" TargetMode="External" Target="https://zakupki.gov.ru/epz/order/notice/ea44/view/common-info.html?regNumber=0373100113620000023"/><Relationship Id="rId1104" Type="http://schemas.openxmlformats.org/officeDocument/2006/relationships/hyperlink" TargetMode="External" Target="https://zakupki.gov.ru/epz/order/notice/ea44/view/common-info.html?regNumber=0369300008420000028"/><Relationship Id="rId1105" Type="http://schemas.openxmlformats.org/officeDocument/2006/relationships/hyperlink" TargetMode="External" Target="https://zakupki.gov.ru/epz/order/notice/ea44/view/common-info.html?regNumber=0144300006120000002"/><Relationship Id="rId1106" Type="http://schemas.openxmlformats.org/officeDocument/2006/relationships/hyperlink" TargetMode="External" Target="https://zakupki.gov.ru/epz/order/notice/ea44/view/common-info.html?regNumber=0119100012520000014"/><Relationship Id="rId1107" Type="http://schemas.openxmlformats.org/officeDocument/2006/relationships/hyperlink" TargetMode="External" Target="https://zakupki.gov.ru/epz/order/notice/ea44/view/common-info.html?regNumber=0346300005720000025"/><Relationship Id="rId1108" Type="http://schemas.openxmlformats.org/officeDocument/2006/relationships/hyperlink" TargetMode="External" Target="https://zakupki.gov.ru/epz/order/notice/ea44/view/common-info.html?regNumber=0848300062720000124"/><Relationship Id="rId1109" Type="http://schemas.openxmlformats.org/officeDocument/2006/relationships/hyperlink" TargetMode="External" Target="https://zakupki.gov.ru/epz/order/notice/ea44/view/common-info.html?regNumber=0346200000720000030"/><Relationship Id="rId1110" Type="http://schemas.openxmlformats.org/officeDocument/2006/relationships/hyperlink" TargetMode="External" Target="https://zakupki.gov.ru/epz/order/notice/ea44/view/common-info.html?regNumber=0306100004120000033"/><Relationship Id="rId1111" Type="http://schemas.openxmlformats.org/officeDocument/2006/relationships/hyperlink" TargetMode="External" Target="https://zakupki.gov.ru/epz/order/notice/ea44/view/common-info.html?regNumber=0372100021520000012"/><Relationship Id="rId1112" Type="http://schemas.openxmlformats.org/officeDocument/2006/relationships/hyperlink" TargetMode="External" Target="https://zakupki.gov.ru/epz/order/notice/ea44/view/common-info.html?regNumber=0320300125520000007"/><Relationship Id="rId1113" Type="http://schemas.openxmlformats.org/officeDocument/2006/relationships/hyperlink" TargetMode="External" Target="https://zakupki.gov.ru/epz/order/notice/ea44/view/common-info.html?regNumber=0169300012320000176"/><Relationship Id="rId1114" Type="http://schemas.openxmlformats.org/officeDocument/2006/relationships/hyperlink" TargetMode="External" Target="https://zakupki.gov.ru/epz/order/notice/ea44/view/common-info.html?regNumber=0318200065620000156"/><Relationship Id="rId1115" Type="http://schemas.openxmlformats.org/officeDocument/2006/relationships/hyperlink" TargetMode="External" Target="https://zakupki.gov.ru/epz/order/notice/ea44/view/common-info.html?regNumber=0165300010520000188"/><Relationship Id="rId1116" Type="http://schemas.openxmlformats.org/officeDocument/2006/relationships/hyperlink" TargetMode="External" Target="https://zakupki.gov.ru/epz/order/notice/ea44/view/common-info.html?regNumber=0356500002420000045"/><Relationship Id="rId1117" Type="http://schemas.openxmlformats.org/officeDocument/2006/relationships/hyperlink" TargetMode="External" Target="https://zakupki.gov.ru/epz/order/notice/ea44/view/common-info.html?regNumber=0171200001520000012"/><Relationship Id="rId1118" Type="http://schemas.openxmlformats.org/officeDocument/2006/relationships/hyperlink" TargetMode="External" Target="https://zakupki.gov.ru/epz/order/notice/ea44/view/common-info.html?regNumber=0366200035620001000"/><Relationship Id="rId1119" Type="http://schemas.openxmlformats.org/officeDocument/2006/relationships/hyperlink" TargetMode="External" Target="https://zakupki.gov.ru/epz/order/notice/ea44/view/common-info.html?regNumber=0130200002420000669"/><Relationship Id="rId1120" Type="http://schemas.openxmlformats.org/officeDocument/2006/relationships/hyperlink" TargetMode="External" Target="https://zakupki.gov.ru/epz/order/notice/ea44/view/common-info.html?regNumber=0348300133720000030"/><Relationship Id="rId1121" Type="http://schemas.openxmlformats.org/officeDocument/2006/relationships/hyperlink" TargetMode="External" Target="https://zakupki.gov.ru/epz/order/notice/ea44/view/common-info.html?regNumber=0862300046520000001"/><Relationship Id="rId1122" Type="http://schemas.openxmlformats.org/officeDocument/2006/relationships/hyperlink" TargetMode="External" Target="https://zakupki.gov.ru/epz/order/notice/ea44/view/common-info.html?regNumber=0318300165720000158"/><Relationship Id="rId1123" Type="http://schemas.openxmlformats.org/officeDocument/2006/relationships/hyperlink" TargetMode="External" Target="https://zakupki.gov.ru/epz/order/notice/ea44/view/common-info.html?regNumber=0313100007420000025"/><Relationship Id="rId1124" Type="http://schemas.openxmlformats.org/officeDocument/2006/relationships/hyperlink" TargetMode="External" Target="https://zakupki.gov.ru/epz/order/notice/ea44/view/common-info.html?regNumber=0157300021020000035"/><Relationship Id="rId1125" Type="http://schemas.openxmlformats.org/officeDocument/2006/relationships/hyperlink" TargetMode="External" Target="https://zakupki.gov.ru/epz/order/notice/ea44/view/common-info.html?regNumber=0148100001320000008"/><Relationship Id="rId1126" Type="http://schemas.openxmlformats.org/officeDocument/2006/relationships/hyperlink" TargetMode="External" Target="https://zakupki.gov.ru/epz/order/notice/ea44/view/common-info.html?regNumber=0167200003420001643"/><Relationship Id="rId1127" Type="http://schemas.openxmlformats.org/officeDocument/2006/relationships/hyperlink" TargetMode="External" Target="https://zakupki.gov.ru/epz/order/notice/ea44/view/common-info.html?regNumber=0359400000620000003"/><Relationship Id="rId1128" Type="http://schemas.openxmlformats.org/officeDocument/2006/relationships/hyperlink" TargetMode="External" Target="https://zakupki.gov.ru/epz/order/notice/ea44/view/common-info.html?regNumber=0309100005120000055"/><Relationship Id="rId1129" Type="http://schemas.openxmlformats.org/officeDocument/2006/relationships/hyperlink" TargetMode="External" Target="https://zakupki.gov.ru/epz/order/notice/ea44/view/common-info.html?regNumber=0352300022820000014"/><Relationship Id="rId1130" Type="http://schemas.openxmlformats.org/officeDocument/2006/relationships/hyperlink" TargetMode="External" Target="https://zakupki.gov.ru/epz/order/notice/ea44/view/common-info.html?regNumber=0166300033420000045"/><Relationship Id="rId1131" Type="http://schemas.openxmlformats.org/officeDocument/2006/relationships/hyperlink" TargetMode="External" Target="https://zakupki.gov.ru/epz/order/notice/ea44/view/common-info.html?regNumber=0362200061420000126"/><Relationship Id="rId1132" Type="http://schemas.openxmlformats.org/officeDocument/2006/relationships/hyperlink" TargetMode="External" Target="https://zakupki.gov.ru/epz/order/notice/ea44/view/common-info.html?regNumber=0334300027520000072"/><Relationship Id="rId1133" Type="http://schemas.openxmlformats.org/officeDocument/2006/relationships/hyperlink" TargetMode="External" Target="https://zakupki.gov.ru/epz/order/notice/ea44/view/common-info.html?regNumber=0342100020520000001"/><Relationship Id="rId1134" Type="http://schemas.openxmlformats.org/officeDocument/2006/relationships/hyperlink" TargetMode="External" Target="https://zakupki.gov.ru/epz/order/notice/ea44/view/common-info.html?regNumber=0152200004720000252"/><Relationship Id="rId1135" Type="http://schemas.openxmlformats.org/officeDocument/2006/relationships/hyperlink" TargetMode="External" Target="https://zakupki.gov.ru/epz/order/notice/ea44/view/common-info.html?regNumber=0347200007820000011"/><Relationship Id="rId1136" Type="http://schemas.openxmlformats.org/officeDocument/2006/relationships/hyperlink" TargetMode="External" Target="https://zakupki.gov.ru/epz/order/notice/ea44/view/common-info.html?regNumber=0135200000520000712"/><Relationship Id="rId1137" Type="http://schemas.openxmlformats.org/officeDocument/2006/relationships/hyperlink" TargetMode="External" Target="https://zakupki.gov.ru/epz/order/notice/ea44/view/common-info.html?regNumber=0356500002120000083"/><Relationship Id="rId1138" Type="http://schemas.openxmlformats.org/officeDocument/2006/relationships/hyperlink" TargetMode="External" Target="https://zakupki.gov.ru/epz/order/notice/ea44/view/common-info.html?regNumber=0816500000620003154"/><Relationship Id="rId1139" Type="http://schemas.openxmlformats.org/officeDocument/2006/relationships/hyperlink" TargetMode="External" Target="https://zakupki.gov.ru/epz/order/notice/ea44/view/common-info.html?regNumber=0332300149320000007"/><Relationship Id="rId1140" Type="http://schemas.openxmlformats.org/officeDocument/2006/relationships/hyperlink" TargetMode="External" Target="https://zakupki.gov.ru/epz/order/notice/ea44/view/common-info.html?regNumber=0320200021820000049"/><Relationship Id="rId1141" Type="http://schemas.openxmlformats.org/officeDocument/2006/relationships/hyperlink" TargetMode="External" Target="https://zakupki.gov.ru/epz/order/notice/ea44/view/common-info.html?regNumber=0356300076320000060"/><Relationship Id="rId1142" Type="http://schemas.openxmlformats.org/officeDocument/2006/relationships/hyperlink" TargetMode="External" Target="https://zakupki.gov.ru/epz/order/notice/ea44/view/common-info.html?regNumber=0816500000620003418"/><Relationship Id="rId1143" Type="http://schemas.openxmlformats.org/officeDocument/2006/relationships/hyperlink" TargetMode="External" Target="https://zakupki.gov.ru/epz/order/notice/ea44/view/common-info.html?regNumber=0320200008820000045"/><Relationship Id="rId1144" Type="http://schemas.openxmlformats.org/officeDocument/2006/relationships/hyperlink" TargetMode="External" Target="https://zakupki.gov.ru/epz/order/notice/ea44/view/common-info.html?regNumber=0103200008420000997"/><Relationship Id="rId1145" Type="http://schemas.openxmlformats.org/officeDocument/2006/relationships/hyperlink" TargetMode="External" Target="https://zakupki.gov.ru/epz/order/notice/ea44/view/common-info.html?regNumber=0103200008420001039"/><Relationship Id="rId1146" Type="http://schemas.openxmlformats.org/officeDocument/2006/relationships/hyperlink" TargetMode="External" Target="https://zakupki.gov.ru/epz/order/notice/ea44/view/common-info.html?regNumber=0352300131120000005"/><Relationship Id="rId1147" Type="http://schemas.openxmlformats.org/officeDocument/2006/relationships/hyperlink" TargetMode="External" Target="https://zakupki.gov.ru/epz/order/notice/ea44/view/common-info.html?regNumber=0144200002420000373"/><Relationship Id="rId1148" Type="http://schemas.openxmlformats.org/officeDocument/2006/relationships/hyperlink" TargetMode="External" Target="https://zakupki.gov.ru/epz/order/notice/ea44/view/common-info.html?regNumber=0163300024720000031"/><Relationship Id="rId1149" Type="http://schemas.openxmlformats.org/officeDocument/2006/relationships/hyperlink" TargetMode="External" Target="https://zakupki.gov.ru/epz/order/notice/ea44/view/common-info.html?regNumber=0339300015520000047"/><Relationship Id="rId1150" Type="http://schemas.openxmlformats.org/officeDocument/2006/relationships/hyperlink" TargetMode="External" Target="https://zakupki.gov.ru/epz/order/notice/ea44/view/common-info.html?regNumber=0265100001820000014"/><Relationship Id="rId1151" Type="http://schemas.openxmlformats.org/officeDocument/2006/relationships/hyperlink" TargetMode="External" Target="https://zakupki.gov.ru/epz/order/notice/ea44/view/common-info.html?regNumber=0374200004020000039"/><Relationship Id="rId1152" Type="http://schemas.openxmlformats.org/officeDocument/2006/relationships/hyperlink" TargetMode="External" Target="https://zakupki.gov.ru/epz/order/notice/ea44/view/common-info.html?regNumber=0119100012520000013"/><Relationship Id="rId1153" Type="http://schemas.openxmlformats.org/officeDocument/2006/relationships/hyperlink" TargetMode="External" Target="https://zakupki.gov.ru/epz/order/notice/ea44/view/common-info.html?regNumber=0834200004320000012"/><Relationship Id="rId1154" Type="http://schemas.openxmlformats.org/officeDocument/2006/relationships/hyperlink" TargetMode="External" Target="https://zakupki.gov.ru/epz/order/notice/ea44/view/common-info.html?regNumber=0121200002120000109"/><Relationship Id="rId1155" Type="http://schemas.openxmlformats.org/officeDocument/2006/relationships/hyperlink" TargetMode="External" Target="https://zakupki.gov.ru/epz/order/notice/ea44/view/common-info.html?regNumber=1056500000220000043"/><Relationship Id="rId1156" Type="http://schemas.openxmlformats.org/officeDocument/2006/relationships/hyperlink" TargetMode="External" Target="https://zakupki.gov.ru/epz/order/notice/ea44/view/common-info.html?regNumber=0151300026320000006"/><Relationship Id="rId1157" Type="http://schemas.openxmlformats.org/officeDocument/2006/relationships/hyperlink" TargetMode="External" Target="https://zakupki.gov.ru/epz/order/notice/ea44/view/common-info.html?regNumber=0162100008720000022"/><Relationship Id="rId1158" Type="http://schemas.openxmlformats.org/officeDocument/2006/relationships/hyperlink" TargetMode="External" Target="https://zakupki.gov.ru/epz/order/notice/ea44/view/common-info.html?regNumber=0344100005520000019"/><Relationship Id="rId1159" Type="http://schemas.openxmlformats.org/officeDocument/2006/relationships/hyperlink" TargetMode="External" Target="https://zakupki.gov.ru/epz/order/notice/ea44/view/common-info.html?regNumber=0542600011620000005"/><Relationship Id="rId1160" Type="http://schemas.openxmlformats.org/officeDocument/2006/relationships/hyperlink" TargetMode="External" Target="https://zakupki.gov.ru/epz/order/notice/ea44/view/common-info.html?regNumber=0362100040520000003"/><Relationship Id="rId1161" Type="http://schemas.openxmlformats.org/officeDocument/2006/relationships/hyperlink" TargetMode="External" Target="https://zakupki.gov.ru/epz/order/notice/ea44/view/common-info.html?regNumber=0372200159720000010"/><Relationship Id="rId1162" Type="http://schemas.openxmlformats.org/officeDocument/2006/relationships/hyperlink" TargetMode="External" Target="https://zakupki.gov.ru/epz/order/notice/ea44/view/common-info.html?regNumber=0319300003420000146"/><Relationship Id="rId1163" Type="http://schemas.openxmlformats.org/officeDocument/2006/relationships/hyperlink" TargetMode="External" Target="https://zakupki.gov.ru/epz/order/notice/ea44/view/common-info.html?regNumber=0378300011720000022"/><Relationship Id="rId1164" Type="http://schemas.openxmlformats.org/officeDocument/2006/relationships/hyperlink" TargetMode="External" Target="https://zakupki.gov.ru/epz/order/notice/ea44/view/common-info.html?regNumber=0373200593420000016"/><Relationship Id="rId1165" Type="http://schemas.openxmlformats.org/officeDocument/2006/relationships/hyperlink" TargetMode="External" Target="https://zakupki.gov.ru/epz/order/notice/ea44/view/common-info.html?regNumber=0348300172320000020"/><Relationship Id="rId1166" Type="http://schemas.openxmlformats.org/officeDocument/2006/relationships/hyperlink" TargetMode="External" Target="https://zakupki.gov.ru/epz/order/notice/ea44/view/common-info.html?regNumber=0136300012420000015"/><Relationship Id="rId1167" Type="http://schemas.openxmlformats.org/officeDocument/2006/relationships/hyperlink" TargetMode="External" Target="https://zakupki.gov.ru/epz/order/notice/ea44/view/common-info.html?regNumber=0813500000120003169"/><Relationship Id="rId1168" Type="http://schemas.openxmlformats.org/officeDocument/2006/relationships/hyperlink" TargetMode="External" Target="https://zakupki.gov.ru/epz/order/notice/ea44/view/common-info.html?regNumber=0356500001220000032"/><Relationship Id="rId1169" Type="http://schemas.openxmlformats.org/officeDocument/2006/relationships/hyperlink" TargetMode="External" Target="https://zakupki.gov.ru/epz/order/notice/ea44/view/common-info.html?regNumber=0325300017320000015"/><Relationship Id="rId1170" Type="http://schemas.openxmlformats.org/officeDocument/2006/relationships/hyperlink" TargetMode="External" Target="https://zakupki.gov.ru/epz/order/notice/ea44/view/common-info.html?regNumber=0236100001620000011"/><Relationship Id="rId1171" Type="http://schemas.openxmlformats.org/officeDocument/2006/relationships/hyperlink" TargetMode="External" Target="https://zakupki.gov.ru/epz/order/notice/ea44/view/common-info.html?regNumber=0144300041320000004"/><Relationship Id="rId1172" Type="http://schemas.openxmlformats.org/officeDocument/2006/relationships/hyperlink" TargetMode="External" Target="https://zakupki.gov.ru/epz/order/notice/ea44/view/common-info.html?regNumber=0103200008420000718"/><Relationship Id="rId1173" Type="http://schemas.openxmlformats.org/officeDocument/2006/relationships/hyperlink" TargetMode="External" Target="https://zakupki.gov.ru/epz/order/notice/ea44/view/common-info.html?regNumber=0311200003720000004"/><Relationship Id="rId1174" Type="http://schemas.openxmlformats.org/officeDocument/2006/relationships/hyperlink" TargetMode="External" Target="https://zakupki.gov.ru/epz/order/notice/ea44/view/common-info.html?regNumber=0375200049020000065"/><Relationship Id="rId1175" Type="http://schemas.openxmlformats.org/officeDocument/2006/relationships/hyperlink" TargetMode="External" Target="https://zakupki.gov.ru/epz/order/notice/ea44/view/common-info.html?regNumber=0169300027120000076"/><Relationship Id="rId1176" Type="http://schemas.openxmlformats.org/officeDocument/2006/relationships/hyperlink" TargetMode="External" Target="https://zakupki.gov.ru/epz/order/notice/ea44/view/common-info.html?regNumber=0136500001120000927"/><Relationship Id="rId1177" Type="http://schemas.openxmlformats.org/officeDocument/2006/relationships/hyperlink" TargetMode="External" Target="https://zakupki.gov.ru/epz/order/notice/ea44/view/common-info.html?regNumber=0342100003120000184"/><Relationship Id="rId1178" Type="http://schemas.openxmlformats.org/officeDocument/2006/relationships/hyperlink" TargetMode="External" Target="https://zakupki.gov.ru/epz/order/notice/ea44/view/common-info.html?regNumber=0387200007020000063"/><Relationship Id="rId1179" Type="http://schemas.openxmlformats.org/officeDocument/2006/relationships/hyperlink" TargetMode="External" Target="https://zakupki.gov.ru/epz/order/notice/ea44/view/common-info.html?regNumber=0320300121420000050"/><Relationship Id="rId1180" Type="http://schemas.openxmlformats.org/officeDocument/2006/relationships/hyperlink" TargetMode="External" Target="https://zakupki.gov.ru/epz/order/notice/ea44/view/common-info.html?regNumber=0122200002520001558"/><Relationship Id="rId1181" Type="http://schemas.openxmlformats.org/officeDocument/2006/relationships/hyperlink" TargetMode="External" Target="https://zakupki.gov.ru/epz/order/notice/ea44/view/common-info.html?regNumber=0136500001120000874"/><Relationship Id="rId1182" Type="http://schemas.openxmlformats.org/officeDocument/2006/relationships/hyperlink" TargetMode="External" Target="https://zakupki.gov.ru/epz/order/notice/ea44/view/common-info.html?regNumber=0366200035620000991"/><Relationship Id="rId1183" Type="http://schemas.openxmlformats.org/officeDocument/2006/relationships/hyperlink" TargetMode="External" Target="https://zakupki.gov.ru/epz/order/notice/ea44/view/common-info.html?regNumber=0342100023620000014"/><Relationship Id="rId1184" Type="http://schemas.openxmlformats.org/officeDocument/2006/relationships/hyperlink" TargetMode="External" Target="https://zakupki.gov.ru/epz/order/notice/ea44/view/common-info.html?regNumber=0324300061820000024"/><Relationship Id="rId1185" Type="http://schemas.openxmlformats.org/officeDocument/2006/relationships/hyperlink" TargetMode="External" Target="https://zakupki.gov.ru/epz/order/notice/ea44/view/common-info.html?regNumber=0156600015520000039"/><Relationship Id="rId1186" Type="http://schemas.openxmlformats.org/officeDocument/2006/relationships/hyperlink" TargetMode="External" Target="https://zakupki.gov.ru/epz/order/notice/ea44/view/common-info.html?regNumber=0323100005120000005"/><Relationship Id="rId1187" Type="http://schemas.openxmlformats.org/officeDocument/2006/relationships/hyperlink" TargetMode="External" Target="https://zakupki.gov.ru/epz/order/notice/ea44/view/common-info.html?regNumber=0162300078620000027"/><Relationship Id="rId1188" Type="http://schemas.openxmlformats.org/officeDocument/2006/relationships/hyperlink" TargetMode="External" Target="https://zakupki.gov.ru/epz/order/notice/ea44/view/common-info.html?regNumber=0318300194220000084"/><Relationship Id="rId1189" Type="http://schemas.openxmlformats.org/officeDocument/2006/relationships/hyperlink" TargetMode="External" Target="https://zakupki.gov.ru/epz/order/notice/ea44/view/common-info.html?regNumber=0184300000420000027"/><Relationship Id="rId1190" Type="http://schemas.openxmlformats.org/officeDocument/2006/relationships/hyperlink" TargetMode="External" Target="https://zakupki.gov.ru/epz/order/notice/ea44/view/common-info.html?regNumber=0332300098620000005"/><Relationship Id="rId1191" Type="http://schemas.openxmlformats.org/officeDocument/2006/relationships/hyperlink" TargetMode="External" Target="https://zakupki.gov.ru/epz/order/notice/ea44/view/common-info.html?regNumber=0191300026820000021"/><Relationship Id="rId1192" Type="http://schemas.openxmlformats.org/officeDocument/2006/relationships/hyperlink" TargetMode="External" Target="https://zakupki.gov.ru/epz/order/notice/ea44/view/common-info.html?regNumber=0318300194220000083"/><Relationship Id="rId1193" Type="http://schemas.openxmlformats.org/officeDocument/2006/relationships/hyperlink" TargetMode="External" Target="https://zakupki.gov.ru/epz/order/notice/ea44/view/common-info.html?regNumber=0103200008420000998"/><Relationship Id="rId1194" Type="http://schemas.openxmlformats.org/officeDocument/2006/relationships/hyperlink" TargetMode="External" Target="https://zakupki.gov.ru/epz/order/notice/ea44/view/common-info.html?regNumber=0356500005220000084"/><Relationship Id="rId1195" Type="http://schemas.openxmlformats.org/officeDocument/2006/relationships/hyperlink" TargetMode="External" Target="https://zakupki.gov.ru/epz/order/notice/ea44/view/common-info.html?regNumber=0318300101820000115"/><Relationship Id="rId1196" Type="http://schemas.openxmlformats.org/officeDocument/2006/relationships/hyperlink" TargetMode="External" Target="https://zakupki.gov.ru/epz/order/notice/ea44/view/common-info.html?regNumber=0318200077020000218"/><Relationship Id="rId1197" Type="http://schemas.openxmlformats.org/officeDocument/2006/relationships/hyperlink" TargetMode="External" Target="https://zakupki.gov.ru/epz/order/notice/ea44/view/common-info.html?regNumber=0891100002920000030"/><Relationship Id="rId1198" Type="http://schemas.openxmlformats.org/officeDocument/2006/relationships/hyperlink" TargetMode="External" Target="https://zakupki.gov.ru/epz/order/notice/ea44/view/common-info.html?regNumber=0352200038520000026"/><Relationship Id="rId1199" Type="http://schemas.openxmlformats.org/officeDocument/2006/relationships/hyperlink" TargetMode="External" Target="https://zakupki.gov.ru/epz/order/notice/ea44/view/common-info.html?regNumber=0318300254320000009"/><Relationship Id="rId1200" Type="http://schemas.openxmlformats.org/officeDocument/2006/relationships/hyperlink" TargetMode="External" Target="https://zakupki.gov.ru/epz/order/notice/ea44/view/common-info.html?regNumber=0318200066320000009"/><Relationship Id="rId1201" Type="http://schemas.openxmlformats.org/officeDocument/2006/relationships/hyperlink" TargetMode="External" Target="https://zakupki.gov.ru/epz/order/notice/ea44/view/common-info.html?regNumber=0318200066320000010"/><Relationship Id="rId1202" Type="http://schemas.openxmlformats.org/officeDocument/2006/relationships/hyperlink" TargetMode="External" Target="https://zakupki.gov.ru/epz/order/notice/ea44/view/common-info.html?regNumber=0318200066320000011"/><Relationship Id="rId1203" Type="http://schemas.openxmlformats.org/officeDocument/2006/relationships/hyperlink" TargetMode="External" Target="https://zakupki.gov.ru/epz/order/notice/ea44/view/common-info.html?regNumber=0318300120820000109"/><Relationship Id="rId1204" Type="http://schemas.openxmlformats.org/officeDocument/2006/relationships/hyperlink" TargetMode="External" Target="https://zakupki.gov.ru/epz/order/notice/ea44/view/common-info.html?regNumber=0318200077020000221"/><Relationship Id="rId1205" Type="http://schemas.openxmlformats.org/officeDocument/2006/relationships/hyperlink" TargetMode="External" Target="https://zakupki.gov.ru/epz/order/notice/ea44/view/common-info.html?regNumber=0334300006720000044"/><Relationship Id="rId1206" Type="http://schemas.openxmlformats.org/officeDocument/2006/relationships/hyperlink" TargetMode="External" Target="https://zakupki.gov.ru/epz/order/notice/ea44/view/common-info.html?regNumber=0162300000820000047"/><Relationship Id="rId1207" Type="http://schemas.openxmlformats.org/officeDocument/2006/relationships/hyperlink" TargetMode="External" Target="https://zakupki.gov.ru/epz/order/notice/ea44/view/common-info.html?regNumber=0318300120820000107"/><Relationship Id="rId1208" Type="http://schemas.openxmlformats.org/officeDocument/2006/relationships/hyperlink" TargetMode="External" Target="https://zakupki.gov.ru/epz/order/notice/ea44/view/common-info.html?regNumber=0318300120820000102"/><Relationship Id="rId1209" Type="http://schemas.openxmlformats.org/officeDocument/2006/relationships/hyperlink" TargetMode="External" Target="https://zakupki.gov.ru/epz/order/notice/ea44/view/common-info.html?regNumber=0318300163420000301"/><Relationship Id="rId1210" Type="http://schemas.openxmlformats.org/officeDocument/2006/relationships/hyperlink" TargetMode="External" Target="https://zakupki.gov.ru/epz/order/notice/ea44/view/common-info.html?regNumber=0318300120820000099"/><Relationship Id="rId1211" Type="http://schemas.openxmlformats.org/officeDocument/2006/relationships/hyperlink" TargetMode="External" Target="https://zakupki.gov.ru/epz/order/notice/ea44/view/common-info.html?regNumber=0356300005520000024"/><Relationship Id="rId1212" Type="http://schemas.openxmlformats.org/officeDocument/2006/relationships/hyperlink" TargetMode="External" Target="https://zakupki.gov.ru/epz/order/notice/ea44/view/common-info.html?regNumber=0318300100520000088"/><Relationship Id="rId1213" Type="http://schemas.openxmlformats.org/officeDocument/2006/relationships/hyperlink" TargetMode="External" Target="https://zakupki.gov.ru/epz/order/notice/ea44/view/common-info.html?regNumber=0318200089020000003"/><Relationship Id="rId1214" Type="http://schemas.openxmlformats.org/officeDocument/2006/relationships/hyperlink" TargetMode="External" Target="https://zakupki.gov.ru/epz/order/notice/ea44/view/common-info.html?regNumber=0131200001020001020"/><Relationship Id="rId1215" Type="http://schemas.openxmlformats.org/officeDocument/2006/relationships/hyperlink" TargetMode="External" Target="https://zakupki.gov.ru/epz/order/notice/ea44/view/common-info.html?regNumber=0373200041520000261"/><Relationship Id="rId1216" Type="http://schemas.openxmlformats.org/officeDocument/2006/relationships/hyperlink" TargetMode="External" Target="https://zakupki.gov.ru/epz/order/notice/ea44/view/common-info.html?regNumber=0347200007820000012"/><Relationship Id="rId1217" Type="http://schemas.openxmlformats.org/officeDocument/2006/relationships/hyperlink" TargetMode="External" Target="https://zakupki.gov.ru/epz/order/notice/ea44/view/common-info.html?regNumber=0813500000120003549"/><Relationship Id="rId1218" Type="http://schemas.openxmlformats.org/officeDocument/2006/relationships/hyperlink" TargetMode="External" Target="https://zakupki.gov.ru/epz/order/notice/ea44/view/common-info.html?regNumber=0372200006320000027"/><Relationship Id="rId1219" Type="http://schemas.openxmlformats.org/officeDocument/2006/relationships/hyperlink" TargetMode="External" Target="https://zakupki.gov.ru/epz/order/notice/ea44/view/common-info.html?regNumber=0318300120820000103"/><Relationship Id="rId1220" Type="http://schemas.openxmlformats.org/officeDocument/2006/relationships/hyperlink" TargetMode="External" Target="https://zakupki.gov.ru/epz/order/notice/ea44/view/common-info.html?regNumber=0318200078420000083"/><Relationship Id="rId1221" Type="http://schemas.openxmlformats.org/officeDocument/2006/relationships/hyperlink" TargetMode="External" Target="https://zakupki.gov.ru/epz/order/notice/ea44/view/common-info.html?regNumber=0137200001220001298"/><Relationship Id="rId1222" Type="http://schemas.openxmlformats.org/officeDocument/2006/relationships/hyperlink" TargetMode="External" Target="https://zakupki.gov.ru/epz/order/notice/ea44/view/common-info.html?regNumber=0306300008720000073"/><Relationship Id="rId1223" Type="http://schemas.openxmlformats.org/officeDocument/2006/relationships/hyperlink" TargetMode="External" Target="https://zakupki.gov.ru/epz/order/notice/ea44/view/common-info.html?regNumber=0318300101820000114"/><Relationship Id="rId1224" Type="http://schemas.openxmlformats.org/officeDocument/2006/relationships/hyperlink" TargetMode="External" Target="https://zakupki.gov.ru/epz/order/notice/ea44/view/common-info.html?regNumber=0373200228920000002"/><Relationship Id="rId1225" Type="http://schemas.openxmlformats.org/officeDocument/2006/relationships/hyperlink" TargetMode="External" Target="https://zakupki.gov.ru/epz/order/notice/ea44/view/common-info.html?regNumber=0322100003620000016"/><Relationship Id="rId1226" Type="http://schemas.openxmlformats.org/officeDocument/2006/relationships/hyperlink" TargetMode="External" Target="https://zakupki.gov.ru/epz/order/notice/ea44/view/common-info.html?regNumber=0371300009420000030"/><Relationship Id="rId1227" Type="http://schemas.openxmlformats.org/officeDocument/2006/relationships/hyperlink" TargetMode="External" Target="https://zakupki.gov.ru/epz/order/notice/ea44/view/common-info.html?regNumber=0309100007520000011"/><Relationship Id="rId1228" Type="http://schemas.openxmlformats.org/officeDocument/2006/relationships/hyperlink" TargetMode="External" Target="https://zakupki.gov.ru/epz/order/notice/ea44/view/common-info.html?regNumber=0194200000520001925"/><Relationship Id="rId1229" Type="http://schemas.openxmlformats.org/officeDocument/2006/relationships/hyperlink" TargetMode="External" Target="https://zakupki.gov.ru/epz/order/notice/ea44/view/common-info.html?regNumber=0334200021120000014"/><Relationship Id="rId1230" Type="http://schemas.openxmlformats.org/officeDocument/2006/relationships/hyperlink" TargetMode="External" Target="https://zakupki.gov.ru/epz/order/notice/ea44/view/common-info.html?regNumber=0813500000120003548"/><Relationship Id="rId1231" Type="http://schemas.openxmlformats.org/officeDocument/2006/relationships/hyperlink" TargetMode="External" Target="https://zakupki.gov.ru/epz/order/notice/ea44/view/common-info.html?regNumber=0318300120820000108"/><Relationship Id="rId1232" Type="http://schemas.openxmlformats.org/officeDocument/2006/relationships/hyperlink" TargetMode="External" Target="https://zakupki.gov.ru/epz/order/notice/ea44/view/common-info.html?regNumber=0318300120820000104"/><Relationship Id="rId1233" Type="http://schemas.openxmlformats.org/officeDocument/2006/relationships/hyperlink" TargetMode="External" Target="https://zakupki.gov.ru/epz/order/notice/ea44/view/common-info.html?regNumber=0354300006820000015"/><Relationship Id="rId1234" Type="http://schemas.openxmlformats.org/officeDocument/2006/relationships/hyperlink" TargetMode="External" Target="https://zakupki.gov.ru/epz/order/notice/ea44/view/common-info.html?regNumber=0103200008420001065"/><Relationship Id="rId1235" Type="http://schemas.openxmlformats.org/officeDocument/2006/relationships/hyperlink" TargetMode="External" Target="https://zakupki.gov.ru/epz/order/notice/ea44/view/common-info.html?regNumber=0320200003920000069"/><Relationship Id="rId1236" Type="http://schemas.openxmlformats.org/officeDocument/2006/relationships/hyperlink" TargetMode="External" Target="https://zakupki.gov.ru/epz/order/notice/ea44/view/common-info.html?regNumber=0862300042620000024"/><Relationship Id="rId1237" Type="http://schemas.openxmlformats.org/officeDocument/2006/relationships/hyperlink" TargetMode="External" Target="https://zakupki.gov.ru/epz/order/notice/ea44/view/common-info.html?regNumber=0358200023120000032"/><Relationship Id="rId1238" Type="http://schemas.openxmlformats.org/officeDocument/2006/relationships/hyperlink" TargetMode="External" Target="https://zakupki.gov.ru/epz/order/notice/ea44/view/common-info.html?regNumber=0384200001820000106"/><Relationship Id="rId1239" Type="http://schemas.openxmlformats.org/officeDocument/2006/relationships/hyperlink" TargetMode="External" Target="https://zakupki.gov.ru/epz/order/notice/ea44/view/common-info.html?regNumber=0334200016420000004"/><Relationship Id="rId1240" Type="http://schemas.openxmlformats.org/officeDocument/2006/relationships/hyperlink" TargetMode="External" Target="https://zakupki.gov.ru/epz/order/notice/ea44/view/common-info.html?regNumber=0348300103620000045"/><Relationship Id="rId1241" Type="http://schemas.openxmlformats.org/officeDocument/2006/relationships/hyperlink" TargetMode="External" Target="https://zakupki.gov.ru/epz/order/notice/ea44/view/common-info.html?regNumber=0373100031920000063"/><Relationship Id="rId1242" Type="http://schemas.openxmlformats.org/officeDocument/2006/relationships/hyperlink" TargetMode="External" Target="https://zakupki.gov.ru/epz/order/notice/ea44/view/common-info.html?regNumber=0372200048020000064"/><Relationship Id="rId1243" Type="http://schemas.openxmlformats.org/officeDocument/2006/relationships/hyperlink" TargetMode="External" Target="https://zakupki.gov.ru/epz/order/notice/ea44/view/common-info.html?regNumber=0134200012220000012"/><Relationship Id="rId1244" Type="http://schemas.openxmlformats.org/officeDocument/2006/relationships/hyperlink" TargetMode="External" Target="https://zakupki.gov.ru/epz/order/notice/ea44/view/common-info.html?regNumber=0318100058620000115"/><Relationship Id="rId1245" Type="http://schemas.openxmlformats.org/officeDocument/2006/relationships/hyperlink" TargetMode="External" Target="https://zakupki.gov.ru/epz/order/notice/ea44/view/common-info.html?regNumber=0135200000520000713"/><Relationship Id="rId1246" Type="http://schemas.openxmlformats.org/officeDocument/2006/relationships/hyperlink" TargetMode="External" Target="https://zakupki.gov.ru/epz/order/notice/ea44/view/common-info.html?regNumber=0131200001020001568"/><Relationship Id="rId1247" Type="http://schemas.openxmlformats.org/officeDocument/2006/relationships/hyperlink" TargetMode="External" Target="https://zakupki.gov.ru/epz/order/notice/ea44/view/common-info.html?regNumber=0318300120820000100"/><Relationship Id="rId1248" Type="http://schemas.openxmlformats.org/officeDocument/2006/relationships/hyperlink" TargetMode="External" Target="https://zakupki.gov.ru/epz/order/notice/ea44/view/common-info.html?regNumber=0362300009220000039"/><Relationship Id="rId1249" Type="http://schemas.openxmlformats.org/officeDocument/2006/relationships/hyperlink" TargetMode="External" Target="https://zakupki.gov.ru/epz/order/notice/ea44/view/common-info.html?regNumber=0103200008420001005"/><Relationship Id="rId1250" Type="http://schemas.openxmlformats.org/officeDocument/2006/relationships/hyperlink" TargetMode="External" Target="https://zakupki.gov.ru/epz/order/notice/ea44/view/common-info.html?regNumber=0372200006320000025"/><Relationship Id="rId1251" Type="http://schemas.openxmlformats.org/officeDocument/2006/relationships/hyperlink" TargetMode="External" Target="https://zakupki.gov.ru/epz/order/notice/ea44/view/common-info.html?regNumber=0373200053620000125"/><Relationship Id="rId1252" Type="http://schemas.openxmlformats.org/officeDocument/2006/relationships/hyperlink" TargetMode="External" Target="https://zakupki.gov.ru/epz/order/notice/ea44/view/common-info.html?regNumber=0347200008420000011"/><Relationship Id="rId1253" Type="http://schemas.openxmlformats.org/officeDocument/2006/relationships/hyperlink" TargetMode="External" Target="https://zakupki.gov.ru/epz/order/notice/ea44/view/common-info.html?regNumber=0136500001120000895"/><Relationship Id="rId1254" Type="http://schemas.openxmlformats.org/officeDocument/2006/relationships/hyperlink" TargetMode="External" Target="https://zakupki.gov.ru/epz/order/notice/ea44/view/common-info.html?regNumber=0367100000820000093"/><Relationship Id="rId1255" Type="http://schemas.openxmlformats.org/officeDocument/2006/relationships/hyperlink" TargetMode="External" Target="https://zakupki.gov.ru/epz/order/notice/ea44/view/common-info.html?regNumber=0356500006020000035"/><Relationship Id="rId1256" Type="http://schemas.openxmlformats.org/officeDocument/2006/relationships/hyperlink" TargetMode="External" Target="https://zakupki.gov.ru/epz/order/notice/ea44/view/common-info.html?regNumber=0351200010920000036"/><Relationship Id="rId1257" Type="http://schemas.openxmlformats.org/officeDocument/2006/relationships/hyperlink" TargetMode="External" Target="https://zakupki.gov.ru/epz/order/notice/ea44/view/common-info.html?regNumber=0318300010720000138"/><Relationship Id="rId1258" Type="http://schemas.openxmlformats.org/officeDocument/2006/relationships/hyperlink" TargetMode="External" Target="https://zakupki.gov.ru/epz/order/notice/ea44/view/common-info.html?regNumber=0154400000220000002"/><Relationship Id="rId1259" Type="http://schemas.openxmlformats.org/officeDocument/2006/relationships/hyperlink" TargetMode="External" Target="https://zakupki.gov.ru/epz/order/notice/ea44/view/common-info.html?regNumber=0194200000520001850"/><Relationship Id="rId1260" Type="http://schemas.openxmlformats.org/officeDocument/2006/relationships/hyperlink" TargetMode="External" Target="https://zakupki.gov.ru/epz/order/notice/ea44/view/common-info.html?regNumber=0373100013120000198"/><Relationship Id="rId1261" Type="http://schemas.openxmlformats.org/officeDocument/2006/relationships/hyperlink" TargetMode="External" Target="https://zakupki.gov.ru/epz/order/notice/ea44/view/common-info.html?regNumber=0190300001920000119"/><Relationship Id="rId1262" Type="http://schemas.openxmlformats.org/officeDocument/2006/relationships/hyperlink" TargetMode="External" Target="https://zakupki.gov.ru/epz/order/notice/ea44/view/common-info.html?regNumber=0122200002520001609"/><Relationship Id="rId1263" Type="http://schemas.openxmlformats.org/officeDocument/2006/relationships/hyperlink" TargetMode="External" Target="https://zakupki.gov.ru/epz/order/notice/ea44/view/common-info.html?regNumber=0340200003320003143"/><Relationship Id="rId1264" Type="http://schemas.openxmlformats.org/officeDocument/2006/relationships/hyperlink" TargetMode="External" Target="https://zakupki.gov.ru/epz/order/notice/ea44/view/common-info.html?regNumber=0321300052720000043"/><Relationship Id="rId1265" Type="http://schemas.openxmlformats.org/officeDocument/2006/relationships/hyperlink" TargetMode="External" Target="https://zakupki.gov.ru/epz/order/notice/ea44/view/common-info.html?regNumber=0372200277320000131"/><Relationship Id="rId1266" Type="http://schemas.openxmlformats.org/officeDocument/2006/relationships/hyperlink" TargetMode="External" Target="https://zakupki.gov.ru/epz/order/notice/ea44/view/common-info.html?regNumber=0125200000720000061"/><Relationship Id="rId1267" Type="http://schemas.openxmlformats.org/officeDocument/2006/relationships/hyperlink" TargetMode="External" Target="https://zakupki.gov.ru/epz/order/notice/ea44/view/common-info.html?regNumber=0372200130820000019"/><Relationship Id="rId1268" Type="http://schemas.openxmlformats.org/officeDocument/2006/relationships/hyperlink" TargetMode="External" Target="https://zakupki.gov.ru/epz/order/notice/ea44/view/common-info.html?regNumber=0332300330420000011"/><Relationship Id="rId1269" Type="http://schemas.openxmlformats.org/officeDocument/2006/relationships/hyperlink" TargetMode="External" Target="https://zakupki.gov.ru/epz/order/notice/ea44/view/common-info.html?regNumber=0351100001820000010"/><Relationship Id="rId1270" Type="http://schemas.openxmlformats.org/officeDocument/2006/relationships/hyperlink" TargetMode="External" Target="https://zakupki.gov.ru/epz/order/notice/ea44/view/common-info.html?regNumber=0332100022720000168"/><Relationship Id="rId1271" Type="http://schemas.openxmlformats.org/officeDocument/2006/relationships/hyperlink" TargetMode="External" Target="https://zakupki.gov.ru/epz/order/notice/ea44/view/common-info.html?regNumber=0366200035620001027"/><Relationship Id="rId1272" Type="http://schemas.openxmlformats.org/officeDocument/2006/relationships/hyperlink" TargetMode="External" Target="https://zakupki.gov.ru/epz/order/notice/ea44/view/common-info.html?regNumber=0125200000720000059"/><Relationship Id="rId1273" Type="http://schemas.openxmlformats.org/officeDocument/2006/relationships/hyperlink" TargetMode="External" Target="https://zakupki.gov.ru/epz/order/notice/ea44/view/common-info.html?regNumber=0169300027120000075"/><Relationship Id="rId1274" Type="http://schemas.openxmlformats.org/officeDocument/2006/relationships/hyperlink" TargetMode="External" Target="https://zakupki.gov.ru/epz/order/notice/ea44/view/common-info.html?regNumber=0856300001120000024"/><Relationship Id="rId1275" Type="http://schemas.openxmlformats.org/officeDocument/2006/relationships/hyperlink" TargetMode="External" Target="https://zakupki.gov.ru/epz/order/notice/ea44/view/common-info.html?regNumber=0350100007320000014"/><Relationship Id="rId1276" Type="http://schemas.openxmlformats.org/officeDocument/2006/relationships/hyperlink" TargetMode="External" Target="https://zakupki.gov.ru/epz/order/notice/ea44/view/common-info.html?regNumber=0103200008420000786"/><Relationship Id="rId1277" Type="http://schemas.openxmlformats.org/officeDocument/2006/relationships/hyperlink" TargetMode="External" Target="https://zakupki.gov.ru/epz/order/notice/ea44/view/common-info.html?regNumber=0319200069520000040"/><Relationship Id="rId1278" Type="http://schemas.openxmlformats.org/officeDocument/2006/relationships/hyperlink" TargetMode="External" Target="https://zakupki.gov.ru/epz/order/notice/ea44/view/common-info.html?regNumber=0334200000220000005"/><Relationship Id="rId1279" Type="http://schemas.openxmlformats.org/officeDocument/2006/relationships/hyperlink" TargetMode="External" Target="https://zakupki.gov.ru/epz/order/notice/ea44/view/common-info.html?regNumber=0378300014120000015"/><Relationship Id="rId1280" Type="http://schemas.openxmlformats.org/officeDocument/2006/relationships/hyperlink" TargetMode="External" Target="https://zakupki.gov.ru/epz/order/notice/ea44/view/common-info.html?regNumber=0147200000620000011"/><Relationship Id="rId1281" Type="http://schemas.openxmlformats.org/officeDocument/2006/relationships/hyperlink" TargetMode="External" Target="https://zakupki.gov.ru/epz/order/notice/ea44/view/common-info.html?regNumber=0142200001320005027"/><Relationship Id="rId1282" Type="http://schemas.openxmlformats.org/officeDocument/2006/relationships/hyperlink" TargetMode="External" Target="https://zakupki.gov.ru/epz/order/notice/ea44/view/common-info.html?regNumber=0372200067420000014"/><Relationship Id="rId1283" Type="http://schemas.openxmlformats.org/officeDocument/2006/relationships/hyperlink" TargetMode="External" Target="https://zakupki.gov.ru/epz/order/notice/ea44/view/common-info.html?regNumber=0134300005220000013"/><Relationship Id="rId1284" Type="http://schemas.openxmlformats.org/officeDocument/2006/relationships/hyperlink" TargetMode="External" Target="https://zakupki.gov.ru/epz/order/notice/ea44/view/common-info.html?regNumber=0319200036120000007"/><Relationship Id="rId1285" Type="http://schemas.openxmlformats.org/officeDocument/2006/relationships/hyperlink" TargetMode="External" Target="https://zakupki.gov.ru/epz/order/notice/ea44/view/common-info.html?regNumber=0318300471820000026"/><Relationship Id="rId1286" Type="http://schemas.openxmlformats.org/officeDocument/2006/relationships/hyperlink" TargetMode="External" Target="https://zakupki.gov.ru/epz/order/notice/ea44/view/common-info.html?regNumber=0369200027320000067"/><Relationship Id="rId1287" Type="http://schemas.openxmlformats.org/officeDocument/2006/relationships/hyperlink" TargetMode="External" Target="https://zakupki.gov.ru/epz/order/notice/ea44/view/common-info.html?regNumber=0373200069120000008"/><Relationship Id="rId1288" Type="http://schemas.openxmlformats.org/officeDocument/2006/relationships/hyperlink" TargetMode="External" Target="https://zakupki.gov.ru/epz/order/notice/ea44/view/common-info.html?regNumber=0305100002620000006"/><Relationship Id="rId1289" Type="http://schemas.openxmlformats.org/officeDocument/2006/relationships/hyperlink" TargetMode="External" Target="https://zakupki.gov.ru/epz/order/notice/ea44/view/common-info.html?regNumber=0135200000520000716"/><Relationship Id="rId1290" Type="http://schemas.openxmlformats.org/officeDocument/2006/relationships/hyperlink" TargetMode="External" Target="https://zakupki.gov.ru/epz/order/notice/ea44/view/common-info.html?regNumber=0801200000220000481"/><Relationship Id="rId1291" Type="http://schemas.openxmlformats.org/officeDocument/2006/relationships/hyperlink" TargetMode="External" Target="https://zakupki.gov.ru/epz/order/notice/ea44/view/common-info.html?regNumber=0131200001020001993"/><Relationship Id="rId1292" Type="http://schemas.openxmlformats.org/officeDocument/2006/relationships/hyperlink" TargetMode="External" Target="https://zakupki.gov.ru/epz/order/notice/ea44/view/common-info.html?regNumber=0324300061820000023"/><Relationship Id="rId1293" Type="http://schemas.openxmlformats.org/officeDocument/2006/relationships/hyperlink" TargetMode="External" Target="https://zakupki.gov.ru/epz/order/notice/ea44/view/common-info.html?regNumber=0131200001020002309"/><Relationship Id="rId1294" Type="http://schemas.openxmlformats.org/officeDocument/2006/relationships/hyperlink" TargetMode="External" Target="https://zakupki.gov.ru/epz/order/notice/ea44/view/common-info.html?regNumber=0356200006720000054"/><Relationship Id="rId1295" Type="http://schemas.openxmlformats.org/officeDocument/2006/relationships/hyperlink" TargetMode="External" Target="https://zakupki.gov.ru/epz/order/notice/ea44/view/common-info.html?regNumber=0116300005220000049"/><Relationship Id="rId1296" Type="http://schemas.openxmlformats.org/officeDocument/2006/relationships/hyperlink" TargetMode="External" Target="https://zakupki.gov.ru/epz/order/notice/ea44/view/common-info.html?regNumber=0173100002320000005"/><Relationship Id="rId1297" Type="http://schemas.openxmlformats.org/officeDocument/2006/relationships/hyperlink" TargetMode="External" Target="https://zakupki.gov.ru/epz/order/notice/ea44/view/common-info.html?regNumber=0348500002720000009"/><Relationship Id="rId1298" Type="http://schemas.openxmlformats.org/officeDocument/2006/relationships/hyperlink" TargetMode="External" Target="https://zakupki.gov.ru/epz/order/notice/ea44/view/common-info.html?regNumber=0112200000820001141"/><Relationship Id="rId1299" Type="http://schemas.openxmlformats.org/officeDocument/2006/relationships/hyperlink" TargetMode="External" Target="https://zakupki.gov.ru/epz/order/notice/ea44/view/common-info.html?regNumber=0373200116220000018"/><Relationship Id="rId1300" Type="http://schemas.openxmlformats.org/officeDocument/2006/relationships/hyperlink" TargetMode="External" Target="https://zakupki.gov.ru/epz/order/notice/ea44/view/common-info.html?regNumber=0362200041820000040"/><Relationship Id="rId1301" Type="http://schemas.openxmlformats.org/officeDocument/2006/relationships/hyperlink" TargetMode="External" Target="https://zakupki.gov.ru/epz/order/notice/ea44/view/common-info.html?regNumber=0373100056620000207"/><Relationship Id="rId1302" Type="http://schemas.openxmlformats.org/officeDocument/2006/relationships/hyperlink" TargetMode="External" Target="https://zakupki.gov.ru/epz/order/notice/ea44/view/common-info.html?regNumber=0334200010320000032"/><Relationship Id="rId1303" Type="http://schemas.openxmlformats.org/officeDocument/2006/relationships/hyperlink" TargetMode="External" Target="https://zakupki.gov.ru/epz/order/notice/ea44/view/common-info.html?regNumber=0372200026120000027"/><Relationship Id="rId1304" Type="http://schemas.openxmlformats.org/officeDocument/2006/relationships/hyperlink" TargetMode="External" Target="https://zakupki.gov.ru/epz/order/notice/ea44/view/common-info.html?regNumber=0318300163420000300"/><Relationship Id="rId1305" Type="http://schemas.openxmlformats.org/officeDocument/2006/relationships/hyperlink" TargetMode="External" Target="https://zakupki.gov.ru/epz/order/notice/ea44/view/common-info.html?regNumber=0371200019220000054"/><Relationship Id="rId1306" Type="http://schemas.openxmlformats.org/officeDocument/2006/relationships/hyperlink" TargetMode="External" Target="https://zakupki.gov.ru/epz/order/notice/ea44/view/common-info.html?regNumber=0813500000120003267"/><Relationship Id="rId1307" Type="http://schemas.openxmlformats.org/officeDocument/2006/relationships/hyperlink" TargetMode="External" Target="https://zakupki.gov.ru/epz/order/notice/ea44/view/common-info.html?regNumber=0813500000120003627"/><Relationship Id="rId1308" Type="http://schemas.openxmlformats.org/officeDocument/2006/relationships/hyperlink" TargetMode="External" Target="https://zakupki.gov.ru/epz/order/notice/ea44/view/common-info.html?regNumber=0155100006120000017"/><Relationship Id="rId1309" Type="http://schemas.openxmlformats.org/officeDocument/2006/relationships/hyperlink" TargetMode="External" Target="https://zakupki.gov.ru/epz/order/notice/ea44/view/common-info.html?regNumber=0332200052220000010"/><Relationship Id="rId1310" Type="http://schemas.openxmlformats.org/officeDocument/2006/relationships/hyperlink" TargetMode="External" Target="https://zakupki.gov.ru/epz/order/notice/ea44/view/common-info.html?regNumber=0816500000620003083"/><Relationship Id="rId1311" Type="http://schemas.openxmlformats.org/officeDocument/2006/relationships/hyperlink" TargetMode="External" Target="https://zakupki.gov.ru/epz/order/notice/ea44/view/common-info.html?regNumber=0352300010520000057"/><Relationship Id="rId1312" Type="http://schemas.openxmlformats.org/officeDocument/2006/relationships/hyperlink" TargetMode="External" Target="https://zakupki.gov.ru/epz/order/notice/ea44/view/common-info.html?regNumber=0130200002420000691"/><Relationship Id="rId1313" Type="http://schemas.openxmlformats.org/officeDocument/2006/relationships/hyperlink" TargetMode="External" Target="https://zakupki.gov.ru/epz/order/notice/ea44/view/common-info.html?regNumber=0318300046720000071"/><Relationship Id="rId1314" Type="http://schemas.openxmlformats.org/officeDocument/2006/relationships/hyperlink" TargetMode="External" Target="https://zakupki.gov.ru/epz/order/notice/ea44/view/common-info.html?regNumber=0813500000120003242"/><Relationship Id="rId1315" Type="http://schemas.openxmlformats.org/officeDocument/2006/relationships/hyperlink" TargetMode="External" Target="https://zakupki.gov.ru/epz/order/notice/ea44/view/common-info.html?regNumber=0318200023420000028"/><Relationship Id="rId1316" Type="http://schemas.openxmlformats.org/officeDocument/2006/relationships/hyperlink" TargetMode="External" Target="https://zakupki.gov.ru/epz/order/notice/ea44/view/common-info.html?regNumber=0371300019520000013"/><Relationship Id="rId1317" Type="http://schemas.openxmlformats.org/officeDocument/2006/relationships/hyperlink" TargetMode="External" Target="https://zakupki.gov.ru/epz/order/notice/ea44/view/common-info.html?regNumber=0301300022620000120"/><Relationship Id="rId1318" Type="http://schemas.openxmlformats.org/officeDocument/2006/relationships/hyperlink" TargetMode="External" Target="https://zakupki.gov.ru/epz/order/notice/ea44/view/common-info.html?regNumber=0142200001320005075"/><Relationship Id="rId1319" Type="http://schemas.openxmlformats.org/officeDocument/2006/relationships/hyperlink" TargetMode="External" Target="https://zakupki.gov.ru/epz/order/notice/ea44/view/common-info.html?regNumber=0862300042620000027"/><Relationship Id="rId1320" Type="http://schemas.openxmlformats.org/officeDocument/2006/relationships/hyperlink" TargetMode="External" Target="https://zakupki.gov.ru/epz/order/notice/ea44/view/common-info.html?regNumber=0321300003920000022"/><Relationship Id="rId1321" Type="http://schemas.openxmlformats.org/officeDocument/2006/relationships/hyperlink" TargetMode="External" Target="https://zakupki.gov.ru/epz/order/notice/ea44/view/common-info.html?regNumber=0318300163420000299"/><Relationship Id="rId1322" Type="http://schemas.openxmlformats.org/officeDocument/2006/relationships/hyperlink" TargetMode="External" Target="https://zakupki.gov.ru/epz/order/notice/ea44/view/common-info.html?regNumber=0369200028020000018"/><Relationship Id="rId1323" Type="http://schemas.openxmlformats.org/officeDocument/2006/relationships/hyperlink" TargetMode="External" Target="https://zakupki.gov.ru/epz/order/notice/ea44/view/common-info.html?regNumber=0168200002420001730"/><Relationship Id="rId1324" Type="http://schemas.openxmlformats.org/officeDocument/2006/relationships/hyperlink" TargetMode="External" Target="https://zakupki.gov.ru/epz/order/notice/ea44/view/common-info.html?regNumber=0168200002420001729"/><Relationship Id="rId1325" Type="http://schemas.openxmlformats.org/officeDocument/2006/relationships/hyperlink" TargetMode="External" Target="https://zakupki.gov.ru/epz/order/notice/ea44/view/common-info.html?regNumber=0302300047920000011"/><Relationship Id="rId1326" Type="http://schemas.openxmlformats.org/officeDocument/2006/relationships/hyperlink" TargetMode="External" Target="https://zakupki.gov.ru/epz/order/notice/ea44/view/common-info.html?regNumber=0356500005220000082"/><Relationship Id="rId1327" Type="http://schemas.openxmlformats.org/officeDocument/2006/relationships/hyperlink" TargetMode="External" Target="https://zakupki.gov.ru/epz/order/notice/ea44/view/common-info.html?regNumber=0167200003420001646"/><Relationship Id="rId1328" Type="http://schemas.openxmlformats.org/officeDocument/2006/relationships/hyperlink" TargetMode="External" Target="https://zakupki.gov.ru/epz/order/notice/ea44/view/common-info.html?regNumber=0364300037820000001"/><Relationship Id="rId1329" Type="http://schemas.openxmlformats.org/officeDocument/2006/relationships/hyperlink" TargetMode="External" Target="https://zakupki.gov.ru/epz/order/notice/ea44/view/common-info.html?regNumber=0134300005220000018"/><Relationship Id="rId1330" Type="http://schemas.openxmlformats.org/officeDocument/2006/relationships/hyperlink" TargetMode="External" Target="https://zakupki.gov.ru/epz/order/notice/ea44/view/common-info.html?regNumber=0168300013020000143"/><Relationship Id="rId1331" Type="http://schemas.openxmlformats.org/officeDocument/2006/relationships/hyperlink" TargetMode="External" Target="https://zakupki.gov.ru/epz/order/notice/ea44/view/common-info.html?regNumber=0116300000120000199"/><Relationship Id="rId1332" Type="http://schemas.openxmlformats.org/officeDocument/2006/relationships/hyperlink" TargetMode="External" Target="https://zakupki.gov.ru/epz/order/notice/ea44/view/common-info.html?regNumber=0171200001520000013"/><Relationship Id="rId1333" Type="http://schemas.openxmlformats.org/officeDocument/2006/relationships/hyperlink" TargetMode="External" Target="https://zakupki.gov.ru/epz/order/notice/ea44/view/common-info.html?regNumber=0334200028520000028"/><Relationship Id="rId1334" Type="http://schemas.openxmlformats.org/officeDocument/2006/relationships/hyperlink" TargetMode="External" Target="https://zakupki.gov.ru/epz/order/notice/ea44/view/common-info.html?regNumber=0346200000720000022"/><Relationship Id="rId1335" Type="http://schemas.openxmlformats.org/officeDocument/2006/relationships/hyperlink" TargetMode="External" Target="https://zakupki.gov.ru/epz/order/notice/ea44/view/common-info.html?regNumber=0318200064720000058"/><Relationship Id="rId1336" Type="http://schemas.openxmlformats.org/officeDocument/2006/relationships/hyperlink" TargetMode="External" Target="https://zakupki.gov.ru/epz/order/notice/ea44/view/common-info.html?regNumber=0351300278320000127"/><Relationship Id="rId1337" Type="http://schemas.openxmlformats.org/officeDocument/2006/relationships/hyperlink" TargetMode="External" Target="https://zakupki.gov.ru/epz/order/notice/ea44/view/common-info.html?regNumber=0127200000220001444"/><Relationship Id="rId1338" Type="http://schemas.openxmlformats.org/officeDocument/2006/relationships/hyperlink" TargetMode="External" Target="https://zakupki.gov.ru/epz/order/notice/ea44/view/common-info.html?regNumber=0384200001820000123"/><Relationship Id="rId1339" Type="http://schemas.openxmlformats.org/officeDocument/2006/relationships/hyperlink" TargetMode="External" Target="https://zakupki.gov.ru/epz/order/notice/ea44/view/common-info.html?regNumber=0848300053520000027"/><Relationship Id="rId1340" Type="http://schemas.openxmlformats.org/officeDocument/2006/relationships/hyperlink" TargetMode="External" Target="https://zakupki.gov.ru/epz/order/notice/ea44/view/common-info.html?regNumber=0301300117120000041"/><Relationship Id="rId1341" Type="http://schemas.openxmlformats.org/officeDocument/2006/relationships/hyperlink" TargetMode="External" Target="https://zakupki.gov.ru/epz/order/notice/ea44/view/common-info.html?regNumber=0163300024720000033"/><Relationship Id="rId1342" Type="http://schemas.openxmlformats.org/officeDocument/2006/relationships/hyperlink" TargetMode="External" Target="https://zakupki.gov.ru/epz/order/notice/ea44/view/common-info.html?regNumber=0352300020720000038"/><Relationship Id="rId1343" Type="http://schemas.openxmlformats.org/officeDocument/2006/relationships/hyperlink" TargetMode="External" Target="https://zakupki.gov.ru/epz/order/notice/ea44/view/common-info.html?regNumber=0884100000120000012"/><Relationship Id="rId1344" Type="http://schemas.openxmlformats.org/officeDocument/2006/relationships/hyperlink" TargetMode="External" Target="https://zakupki.gov.ru/epz/order/notice/ea44/view/common-info.html?regNumber=0816500000620003157"/><Relationship Id="rId1345" Type="http://schemas.openxmlformats.org/officeDocument/2006/relationships/hyperlink" TargetMode="External" Target="https://zakupki.gov.ru/epz/order/notice/ea44/view/common-info.html?regNumber=0320300125520000003"/><Relationship Id="rId1346" Type="http://schemas.openxmlformats.org/officeDocument/2006/relationships/hyperlink" TargetMode="External" Target="https://zakupki.gov.ru/epz/order/notice/ea44/view/common-info.html?regNumber=0319200063820000022"/><Relationship Id="rId1347" Type="http://schemas.openxmlformats.org/officeDocument/2006/relationships/hyperlink" TargetMode="External" Target="https://zakupki.gov.ru/epz/order/notice/ea44/view/common-info.html?regNumber=0168200002420000117"/><Relationship Id="rId1348" Type="http://schemas.openxmlformats.org/officeDocument/2006/relationships/hyperlink" TargetMode="External" Target="https://zakupki.gov.ru/epz/order/notice/ea44/view/common-info.html?regNumber=0157300021020000036"/><Relationship Id="rId1349" Type="http://schemas.openxmlformats.org/officeDocument/2006/relationships/hyperlink" TargetMode="External" Target="https://zakupki.gov.ru/epz/order/notice/ea44/view/common-info.html?regNumber=0344200013020000060"/><Relationship Id="rId1350" Type="http://schemas.openxmlformats.org/officeDocument/2006/relationships/hyperlink" TargetMode="External" Target="https://zakupki.gov.ru/epz/order/notice/ea44/view/common-info.html?regNumber=0126300037920000029"/><Relationship Id="rId1351" Type="http://schemas.openxmlformats.org/officeDocument/2006/relationships/hyperlink" TargetMode="External" Target="https://zakupki.gov.ru/epz/order/notice/ea44/view/common-info.html?regNumber=0103200008420001046"/><Relationship Id="rId1352" Type="http://schemas.openxmlformats.org/officeDocument/2006/relationships/hyperlink" TargetMode="External" Target="https://zakupki.gov.ru/epz/order/notice/ea44/view/common-info.html?regNumber=0179100001920000001"/><Relationship Id="rId1353" Type="http://schemas.openxmlformats.org/officeDocument/2006/relationships/hyperlink" TargetMode="External" Target="https://zakupki.gov.ru/epz/order/notice/ea44/view/common-info.html?regNumber=0134100005320000040"/><Relationship Id="rId1354" Type="http://schemas.openxmlformats.org/officeDocument/2006/relationships/hyperlink" TargetMode="External" Target="https://zakupki.gov.ru/epz/order/notice/ea44/view/common-info.html?regNumber=0358300227120000014"/><Relationship Id="rId1355" Type="http://schemas.openxmlformats.org/officeDocument/2006/relationships/hyperlink" TargetMode="External" Target="https://zakupki.gov.ru/epz/order/notice/ea44/view/common-info.html?regNumber=0137200001220001290"/><Relationship Id="rId1356" Type="http://schemas.openxmlformats.org/officeDocument/2006/relationships/hyperlink" TargetMode="External" Target="https://zakupki.gov.ru/epz/order/notice/ea44/view/common-info.html?regNumber=0862300042620000025"/><Relationship Id="rId1357" Type="http://schemas.openxmlformats.org/officeDocument/2006/relationships/hyperlink" TargetMode="External" Target="https://zakupki.gov.ru/epz/order/notice/ea44/view/common-info.html?regNumber=0136500001120000768"/><Relationship Id="rId1358" Type="http://schemas.openxmlformats.org/officeDocument/2006/relationships/hyperlink" TargetMode="External" Target="https://zakupki.gov.ru/epz/order/notice/ea44/view/common-info.html?regNumber=0101300041820000011"/><Relationship Id="rId1359" Type="http://schemas.openxmlformats.org/officeDocument/2006/relationships/hyperlink" TargetMode="External" Target="https://zakupki.gov.ru/epz/order/notice/ea44/view/common-info.html?regNumber=0319100023020000004"/><Relationship Id="rId1360" Type="http://schemas.openxmlformats.org/officeDocument/2006/relationships/hyperlink" TargetMode="External" Target="https://zakupki.gov.ru/epz/order/notice/ea44/view/common-info.html?regNumber=0106300009520000001"/><Relationship Id="rId1361" Type="http://schemas.openxmlformats.org/officeDocument/2006/relationships/hyperlink" TargetMode="External" Target="https://zakupki.gov.ru/epz/order/notice/ea44/view/common-info.html?regNumber=0345300036120000048"/><Relationship Id="rId1362" Type="http://schemas.openxmlformats.org/officeDocument/2006/relationships/hyperlink" TargetMode="External" Target="https://zakupki.gov.ru/epz/order/notice/ea44/view/common-info.html?regNumber=0373200017520000282"/><Relationship Id="rId1363" Type="http://schemas.openxmlformats.org/officeDocument/2006/relationships/hyperlink" TargetMode="External" Target="https://zakupki.gov.ru/epz/order/notice/ea44/view/common-info.html?regNumber=0348200000520000043"/><Relationship Id="rId1364" Type="http://schemas.openxmlformats.org/officeDocument/2006/relationships/hyperlink" TargetMode="External" Target="https://zakupki.gov.ru/epz/order/notice/ea44/view/common-info.html?regNumber=0387100015120000036"/><Relationship Id="rId1365" Type="http://schemas.openxmlformats.org/officeDocument/2006/relationships/hyperlink" TargetMode="External" Target="https://zakupki.gov.ru/epz/order/notice/ea44/view/common-info.html?regNumber=0318300036020000019"/><Relationship Id="rId1366" Type="http://schemas.openxmlformats.org/officeDocument/2006/relationships/hyperlink" TargetMode="External" Target="https://zakupki.gov.ru/epz/order/notice/ea44/view/common-info.html?regNumber=0853500000320001819"/><Relationship Id="rId1367" Type="http://schemas.openxmlformats.org/officeDocument/2006/relationships/hyperlink" TargetMode="External" Target="https://zakupki.gov.ru/epz/order/notice/ea44/view/common-info.html?regNumber=0320200023520000006"/><Relationship Id="rId1368" Type="http://schemas.openxmlformats.org/officeDocument/2006/relationships/hyperlink" TargetMode="External" Target="https://zakupki.gov.ru/epz/order/notice/ea44/view/common-info.html?regNumber=0372200277120000022"/><Relationship Id="rId1369" Type="http://schemas.openxmlformats.org/officeDocument/2006/relationships/hyperlink" TargetMode="External" Target="https://zakupki.gov.ru/epz/order/notice/ea44/view/common-info.html?regNumber=0855200000520000422"/><Relationship Id="rId1370" Type="http://schemas.openxmlformats.org/officeDocument/2006/relationships/hyperlink" TargetMode="External" Target="https://zakupki.gov.ru/epz/order/notice/ea44/view/common-info.html?regNumber=0862300046520000003"/><Relationship Id="rId1371" Type="http://schemas.openxmlformats.org/officeDocument/2006/relationships/hyperlink" TargetMode="External" Target="https://zakupki.gov.ru/epz/order/notice/ea44/view/common-info.html?regNumber=0862300042620000028"/><Relationship Id="rId1372" Type="http://schemas.openxmlformats.org/officeDocument/2006/relationships/hyperlink" TargetMode="External" Target="https://zakupki.gov.ru/epz/order/notice/ea44/view/common-info.html?regNumber=0344300086720000049"/><Relationship Id="rId1373" Type="http://schemas.openxmlformats.org/officeDocument/2006/relationships/hyperlink" TargetMode="External" Target="https://zakupki.gov.ru/epz/order/notice/ea44/view/common-info.html?regNumber=0344300095420000016"/><Relationship Id="rId1374" Type="http://schemas.openxmlformats.org/officeDocument/2006/relationships/hyperlink" TargetMode="External" Target="https://zakupki.gov.ru/epz/order/notice/ea44/view/common-info.html?regNumber=0344300095420000017"/><Relationship Id="rId1375" Type="http://schemas.openxmlformats.org/officeDocument/2006/relationships/hyperlink" TargetMode="External" Target="https://zakupki.gov.ru/epz/order/notice/ea44/view/common-info.html?regNumber=0351300099120000162"/><Relationship Id="rId1376" Type="http://schemas.openxmlformats.org/officeDocument/2006/relationships/hyperlink" TargetMode="External" Target="https://zakupki.gov.ru/epz/order/notice/ea44/view/common-info.html?regNumber=0171200001520000010"/><Relationship Id="rId1377" Type="http://schemas.openxmlformats.org/officeDocument/2006/relationships/hyperlink" TargetMode="External" Target="https://zakupki.gov.ru/epz/order/notice/ea44/view/common-info.html?regNumber=0306500000320000153"/><Relationship Id="rId1378" Type="http://schemas.openxmlformats.org/officeDocument/2006/relationships/hyperlink" TargetMode="External" Target="https://zakupki.gov.ru/epz/order/notice/ea44/view/common-info.html?regNumber=0159300024320000009"/><Relationship Id="rId1379" Type="http://schemas.openxmlformats.org/officeDocument/2006/relationships/hyperlink" TargetMode="External" Target="https://zakupki.gov.ru/epz/order/notice/ea44/view/common-info.html?regNumber=0332200017120000043"/><Relationship Id="rId1380" Type="http://schemas.openxmlformats.org/officeDocument/2006/relationships/hyperlink" TargetMode="External" Target="https://zakupki.gov.ru/epz/order/notice/ea44/view/common-info.html?regNumber=0301100049620000056"/><Relationship Id="rId1381" Type="http://schemas.openxmlformats.org/officeDocument/2006/relationships/hyperlink" TargetMode="External" Target="https://zakupki.gov.ru/epz/order/notice/ea44/view/common-info.html?regNumber=0348300062120000103"/><Relationship Id="rId1382" Type="http://schemas.openxmlformats.org/officeDocument/2006/relationships/hyperlink" TargetMode="External" Target="https://zakupki.gov.ru/epz/order/notice/ea44/view/common-info.html?regNumber=0119300019820000299"/><Relationship Id="rId1383" Type="http://schemas.openxmlformats.org/officeDocument/2006/relationships/hyperlink" TargetMode="External" Target="https://zakupki.gov.ru/epz/order/notice/ea44/view/common-info.html?regNumber=0352200026320000030"/><Relationship Id="rId1384" Type="http://schemas.openxmlformats.org/officeDocument/2006/relationships/hyperlink" TargetMode="External" Target="https://zakupki.gov.ru/epz/order/notice/ea44/view/common-info.html?regNumber=0320100019020000026"/><Relationship Id="rId1385" Type="http://schemas.openxmlformats.org/officeDocument/2006/relationships/hyperlink" TargetMode="External" Target="https://zakupki.gov.ru/epz/order/notice/ea44/view/common-info.html?regNumber=0318200077020000226"/><Relationship Id="rId1386" Type="http://schemas.openxmlformats.org/officeDocument/2006/relationships/hyperlink" TargetMode="External" Target="https://zakupki.gov.ru/epz/order/notice/ea44/view/common-info.html?regNumber=0318200077020000227"/><Relationship Id="rId1387" Type="http://schemas.openxmlformats.org/officeDocument/2006/relationships/hyperlink" TargetMode="External" Target="https://zakupki.gov.ru/epz/order/notice/ea44/view/common-info.html?regNumber=0318200077020000228"/><Relationship Id="rId1388" Type="http://schemas.openxmlformats.org/officeDocument/2006/relationships/hyperlink" TargetMode="External" Target="https://zakupki.gov.ru/epz/order/notice/ea44/view/common-info.html?regNumber=0318200077020000229"/><Relationship Id="rId1389" Type="http://schemas.openxmlformats.org/officeDocument/2006/relationships/hyperlink" TargetMode="External" Target="https://zakupki.gov.ru/epz/order/notice/ea44/view/common-info.html?regNumber=0318200077020000230"/><Relationship Id="rId1390" Type="http://schemas.openxmlformats.org/officeDocument/2006/relationships/hyperlink" TargetMode="External" Target="https://zakupki.gov.ru/epz/order/notice/ea44/view/common-info.html?regNumber=0318200077020000231"/><Relationship Id="rId1391" Type="http://schemas.openxmlformats.org/officeDocument/2006/relationships/hyperlink" TargetMode="External" Target="https://zakupki.gov.ru/epz/order/notice/ea44/view/common-info.html?regNumber=0318200077020000232"/><Relationship Id="rId1392" Type="http://schemas.openxmlformats.org/officeDocument/2006/relationships/hyperlink" TargetMode="External" Target="https://zakupki.gov.ru/epz/order/notice/ea44/view/common-info.html?regNumber=0318200077020000233"/><Relationship Id="rId1393" Type="http://schemas.openxmlformats.org/officeDocument/2006/relationships/hyperlink" TargetMode="External" Target="https://zakupki.gov.ru/epz/order/notice/ea44/view/common-info.html?regNumber=0353100013920000037"/><Relationship Id="rId1394" Type="http://schemas.openxmlformats.org/officeDocument/2006/relationships/hyperlink" TargetMode="External" Target="https://zakupki.gov.ru/epz/order/notice/ea44/view/common-info.html?regNumber=0301300117120000042"/><Relationship Id="rId1395" Type="http://schemas.openxmlformats.org/officeDocument/2006/relationships/hyperlink" TargetMode="External" Target="https://zakupki.gov.ru/epz/order/notice/ea44/view/common-info.html?regNumber=0315100001120000004"/><Relationship Id="rId1396" Type="http://schemas.openxmlformats.org/officeDocument/2006/relationships/hyperlink" TargetMode="External" Target="https://zakupki.gov.ru/epz/order/notice/ea44/view/common-info.html?regNumber=0318300036020000020"/><Relationship Id="rId1397" Type="http://schemas.openxmlformats.org/officeDocument/2006/relationships/hyperlink" TargetMode="External" Target="https://zakupki.gov.ru/epz/order/notice/ea44/view/common-info.html?regNumber=0848300053520000026"/><Relationship Id="rId1398" Type="http://schemas.openxmlformats.org/officeDocument/2006/relationships/hyperlink" TargetMode="External" Target="https://zakupki.gov.ru/epz/order/notice/ea44/view/common-info.html?regNumber=0352300154620000057"/><Relationship Id="rId1399" Type="http://schemas.openxmlformats.org/officeDocument/2006/relationships/hyperlink" TargetMode="External" Target="https://zakupki.gov.ru/epz/order/notice/ea44/view/common-info.html?regNumber=0850200000420000228"/><Relationship Id="rId1400" Type="http://schemas.openxmlformats.org/officeDocument/2006/relationships/hyperlink" TargetMode="External" Target="https://zakupki.gov.ru/epz/order/notice/ea44/view/common-info.html?regNumber=0340200003320003077"/><Relationship Id="rId1401" Type="http://schemas.openxmlformats.org/officeDocument/2006/relationships/hyperlink" TargetMode="External" Target="https://zakupki.gov.ru/epz/order/notice/ea44/view/common-info.html?regNumber=0334300125520000030"/><Relationship Id="rId1402" Type="http://schemas.openxmlformats.org/officeDocument/2006/relationships/hyperlink" TargetMode="External" Target="https://zakupki.gov.ru/epz/order/notice/ea44/view/common-info.html?regNumber=0145300009620000096"/><Relationship Id="rId1403" Type="http://schemas.openxmlformats.org/officeDocument/2006/relationships/hyperlink" TargetMode="External" Target="https://zakupki.gov.ru/epz/order/notice/ea44/view/common-info.html?regNumber=0356200024220000013"/><Relationship Id="rId1404" Type="http://schemas.openxmlformats.org/officeDocument/2006/relationships/hyperlink" TargetMode="External" Target="https://zakupki.gov.ru/epz/order/notice/ea44/view/common-info.html?regNumber=0320300125520000005"/><Relationship Id="rId1405" Type="http://schemas.openxmlformats.org/officeDocument/2006/relationships/hyperlink" TargetMode="External" Target="https://zakupki.gov.ru/epz/order/notice/ea44/view/common-info.html?regNumber=0318300471820000029"/><Relationship Id="rId1406" Type="http://schemas.openxmlformats.org/officeDocument/2006/relationships/hyperlink" TargetMode="External" Target="https://zakupki.gov.ru/epz/order/notice/ea44/view/common-info.html?regNumber=0194200000520001948"/><Relationship Id="rId1407" Type="http://schemas.openxmlformats.org/officeDocument/2006/relationships/hyperlink" TargetMode="External" Target="https://zakupki.gov.ru/epz/order/notice/ea44/view/common-info.html?regNumber=0123300037020000038"/><Relationship Id="rId1408" Type="http://schemas.openxmlformats.org/officeDocument/2006/relationships/hyperlink" TargetMode="External" Target="https://zakupki.gov.ru/epz/order/notice/ea44/view/common-info.html?regNumber=0103200008420000757"/><Relationship Id="rId1409" Type="http://schemas.openxmlformats.org/officeDocument/2006/relationships/hyperlink" TargetMode="External" Target="https://zakupki.gov.ru/epz/order/notice/ea44/view/common-info.html?regNumber=0319200039720000067"/><Relationship Id="rId1410" Type="http://schemas.openxmlformats.org/officeDocument/2006/relationships/hyperlink" TargetMode="External" Target="https://zakupki.gov.ru/epz/order/notice/ea44/view/common-info.html?regNumber=0139200000120001733"/><Relationship Id="rId1411" Type="http://schemas.openxmlformats.org/officeDocument/2006/relationships/hyperlink" TargetMode="External" Target="https://zakupki.gov.ru/epz/order/notice/ea44/view/common-info.html?regNumber=0168200002420001738"/><Relationship Id="rId1412" Type="http://schemas.openxmlformats.org/officeDocument/2006/relationships/hyperlink" TargetMode="External" Target="https://zakupki.gov.ru/epz/order/notice/ea44/view/common-info.html?regNumber=0306300054020000024"/><Relationship Id="rId1413" Type="http://schemas.openxmlformats.org/officeDocument/2006/relationships/hyperlink" TargetMode="External" Target="https://zakupki.gov.ru/epz/order/notice/ea44/view/common-info.html?regNumber=0351300274120000125"/><Relationship Id="rId1414" Type="http://schemas.openxmlformats.org/officeDocument/2006/relationships/hyperlink" TargetMode="External" Target="https://zakupki.gov.ru/epz/order/notice/ea44/view/common-info.html?regNumber=0122200002520001823"/><Relationship Id="rId1415" Type="http://schemas.openxmlformats.org/officeDocument/2006/relationships/hyperlink" TargetMode="External" Target="https://zakupki.gov.ru/epz/order/notice/ea44/view/common-info.html?regNumber=0358300096020000055"/><Relationship Id="rId1416" Type="http://schemas.openxmlformats.org/officeDocument/2006/relationships/hyperlink" TargetMode="External" Target="https://zakupki.gov.ru/epz/order/notice/ea44/view/common-info.html?regNumber=0139300003220000008"/><Relationship Id="rId1417" Type="http://schemas.openxmlformats.org/officeDocument/2006/relationships/hyperlink" TargetMode="External" Target="https://zakupki.gov.ru/epz/order/notice/ea44/view/common-info.html?regNumber=0371500000620000113"/><Relationship Id="rId1418" Type="http://schemas.openxmlformats.org/officeDocument/2006/relationships/hyperlink" TargetMode="External" Target="https://zakupki.gov.ru/epz/order/notice/ea44/view/common-info.html?regNumber=0318100050620000103"/><Relationship Id="rId1419" Type="http://schemas.openxmlformats.org/officeDocument/2006/relationships/hyperlink" TargetMode="External" Target="https://zakupki.gov.ru/epz/order/notice/ea44/view/common-info.html?regNumber=0318200057320000019"/><Relationship Id="rId1420" Type="http://schemas.openxmlformats.org/officeDocument/2006/relationships/hyperlink" TargetMode="External" Target="https://zakupki.gov.ru/epz/order/notice/ea44/view/common-info.html?regNumber=0136500001120000720"/><Relationship Id="rId1421" Type="http://schemas.openxmlformats.org/officeDocument/2006/relationships/hyperlink" TargetMode="External" Target="https://zakupki.gov.ru/epz/order/notice/ea44/view/common-info.html?regNumber=0105500000220000323"/><Relationship Id="rId1422" Type="http://schemas.openxmlformats.org/officeDocument/2006/relationships/hyperlink" TargetMode="External" Target="https://zakupki.gov.ru/epz/order/notice/ea44/view/common-info.html?regNumber=0142200001320004764"/><Relationship Id="rId1423" Type="http://schemas.openxmlformats.org/officeDocument/2006/relationships/hyperlink" TargetMode="External" Target="https://zakupki.gov.ru/epz/order/notice/ea44/view/common-info.html?regNumber=0318300046720000070"/><Relationship Id="rId1424" Type="http://schemas.openxmlformats.org/officeDocument/2006/relationships/hyperlink" TargetMode="External" Target="https://zakupki.gov.ru/epz/order/notice/ea44/view/common-info.html?regNumber=0319200069520000041"/><Relationship Id="rId1425" Type="http://schemas.openxmlformats.org/officeDocument/2006/relationships/hyperlink" TargetMode="External" Target="https://zakupki.gov.ru/epz/order/notice/ea44/view/common-info.html?regNumber=0816500000620003089"/><Relationship Id="rId1426" Type="http://schemas.openxmlformats.org/officeDocument/2006/relationships/hyperlink" TargetMode="External" Target="https://zakupki.gov.ru/epz/order/notice/ea44/view/common-info.html?regNumber=0373200114420000009"/><Relationship Id="rId1427" Type="http://schemas.openxmlformats.org/officeDocument/2006/relationships/hyperlink" TargetMode="External" Target="https://zakupki.gov.ru/epz/order/notice/ea44/view/common-info.html?regNumber=0869500000920000019"/><Relationship Id="rId1428" Type="http://schemas.openxmlformats.org/officeDocument/2006/relationships/hyperlink" TargetMode="External" Target="https://zakupki.gov.ru/epz/order/notice/ea44/view/common-info.html?regNumber=0320200009220000059"/><Relationship Id="rId1429" Type="http://schemas.openxmlformats.org/officeDocument/2006/relationships/hyperlink" TargetMode="External" Target="https://zakupki.gov.ru/epz/order/notice/ea44/view/common-info.html?regNumber=0816500000620003223"/><Relationship Id="rId1430" Type="http://schemas.openxmlformats.org/officeDocument/2006/relationships/hyperlink" TargetMode="External" Target="https://zakupki.gov.ru/epz/order/notice/ea44/view/common-info.html?regNumber=0356300002720000031"/><Relationship Id="rId1431" Type="http://schemas.openxmlformats.org/officeDocument/2006/relationships/hyperlink" TargetMode="External" Target="https://zakupki.gov.ru/epz/order/notice/ea44/view/common-info.html?regNumber=0321300024120000040"/><Relationship Id="rId1432" Type="http://schemas.openxmlformats.org/officeDocument/2006/relationships/hyperlink" TargetMode="External" Target="https://zakupki.gov.ru/epz/order/notice/ea44/view/common-info.html?regNumber=0366200035620001057"/><Relationship Id="rId1433" Type="http://schemas.openxmlformats.org/officeDocument/2006/relationships/hyperlink" TargetMode="External" Target="https://zakupki.gov.ru/epz/order/notice/ea44/view/common-info.html?regNumber=0321300018320000096"/><Relationship Id="rId1434" Type="http://schemas.openxmlformats.org/officeDocument/2006/relationships/hyperlink" TargetMode="External" Target="https://zakupki.gov.ru/epz/order/notice/ea44/view/common-info.html?regNumber=0372200100920000056"/><Relationship Id="rId1435" Type="http://schemas.openxmlformats.org/officeDocument/2006/relationships/hyperlink" TargetMode="External" Target="https://zakupki.gov.ru/epz/order/notice/ea44/view/common-info.html?regNumber=0131200001020001450"/><Relationship Id="rId1436" Type="http://schemas.openxmlformats.org/officeDocument/2006/relationships/hyperlink" TargetMode="External" Target="https://zakupki.gov.ru/epz/order/notice/ea44/view/common-info.html?regNumber=0372200037620000038"/><Relationship Id="rId1437" Type="http://schemas.openxmlformats.org/officeDocument/2006/relationships/hyperlink" TargetMode="External" Target="https://zakupki.gov.ru/epz/order/notice/ea44/view/common-info.html?regNumber=0126300004320000045"/><Relationship Id="rId1438" Type="http://schemas.openxmlformats.org/officeDocument/2006/relationships/hyperlink" TargetMode="External" Target="https://zakupki.gov.ru/epz/order/notice/ea44/view/common-info.html?regNumber=0372200117020000006"/><Relationship Id="rId1439" Type="http://schemas.openxmlformats.org/officeDocument/2006/relationships/hyperlink" TargetMode="External" Target="https://zakupki.gov.ru/epz/order/notice/ea44/view/common-info.html?regNumber=0167200003420001649"/><Relationship Id="rId1440" Type="http://schemas.openxmlformats.org/officeDocument/2006/relationships/hyperlink" TargetMode="External" Target="https://zakupki.gov.ru/epz/order/notice/ea44/view/common-info.html?regNumber=0131200001020001715"/><Relationship Id="rId1441" Type="http://schemas.openxmlformats.org/officeDocument/2006/relationships/hyperlink" TargetMode="External" Target="https://zakupki.gov.ru/epz/order/notice/ea44/view/common-info.html?regNumber=0115200001120000584"/><Relationship Id="rId1442" Type="http://schemas.openxmlformats.org/officeDocument/2006/relationships/hyperlink" TargetMode="External" Target="https://zakupki.gov.ru/epz/order/notice/ea44/view/common-info.html?regNumber=0853500000320001620"/><Relationship Id="rId1443" Type="http://schemas.openxmlformats.org/officeDocument/2006/relationships/hyperlink" TargetMode="External" Target="https://zakupki.gov.ru/epz/order/notice/ea44/view/common-info.html?regNumber=0260100000620000085"/><Relationship Id="rId1444" Type="http://schemas.openxmlformats.org/officeDocument/2006/relationships/hyperlink" TargetMode="External" Target="https://zakupki.gov.ru/epz/order/notice/ea44/view/common-info.html?regNumber=0372200103320000004"/><Relationship Id="rId1445" Type="http://schemas.openxmlformats.org/officeDocument/2006/relationships/hyperlink" TargetMode="External" Target="https://zakupki.gov.ru/epz/order/notice/ea44/view/common-info.html?regNumber=0134300063020000056"/><Relationship Id="rId1446" Type="http://schemas.openxmlformats.org/officeDocument/2006/relationships/hyperlink" TargetMode="External" Target="https://zakupki.gov.ru/epz/order/notice/ea44/view/common-info.html?regNumber=0252100003520000002"/><Relationship Id="rId1447" Type="http://schemas.openxmlformats.org/officeDocument/2006/relationships/hyperlink" TargetMode="External" Target="https://zakupki.gov.ru/epz/order/notice/ea44/view/common-info.html?regNumber=0111300001220000007"/><Relationship Id="rId1448" Type="http://schemas.openxmlformats.org/officeDocument/2006/relationships/hyperlink" TargetMode="External" Target="https://zakupki.gov.ru/epz/order/notice/ea44/view/common-info.html?regNumber=0816500000620003333"/><Relationship Id="rId1449" Type="http://schemas.openxmlformats.org/officeDocument/2006/relationships/hyperlink" TargetMode="External" Target="https://zakupki.gov.ru/epz/order/notice/ea44/view/common-info.html?regNumber=0375300002620000002"/><Relationship Id="rId1450" Type="http://schemas.openxmlformats.org/officeDocument/2006/relationships/hyperlink" TargetMode="External" Target="https://zakupki.gov.ru/epz/order/notice/ea44/view/common-info.html?regNumber=0122200002520001775"/><Relationship Id="rId1451" Type="http://schemas.openxmlformats.org/officeDocument/2006/relationships/hyperlink" TargetMode="External" Target="https://zakupki.gov.ru/epz/order/notice/ea44/view/common-info.html?regNumber=0334300056420000055"/><Relationship Id="rId1452" Type="http://schemas.openxmlformats.org/officeDocument/2006/relationships/hyperlink" TargetMode="External" Target="https://zakupki.gov.ru/epz/order/notice/ea44/view/common-info.html?regNumber=0301100049620000058"/><Relationship Id="rId1453" Type="http://schemas.openxmlformats.org/officeDocument/2006/relationships/hyperlink" TargetMode="External" Target="https://zakupki.gov.ru/epz/order/notice/ea44/view/common-info.html?regNumber=0372200068420000033"/><Relationship Id="rId1454" Type="http://schemas.openxmlformats.org/officeDocument/2006/relationships/hyperlink" TargetMode="External" Target="https://zakupki.gov.ru/epz/order/notice/ea44/view/common-info.html?regNumber=0318300398820000025"/><Relationship Id="rId1455" Type="http://schemas.openxmlformats.org/officeDocument/2006/relationships/hyperlink" TargetMode="External" Target="https://zakupki.gov.ru/epz/order/notice/ea44/view/common-info.html?regNumber=0387200009120000589"/><Relationship Id="rId1456" Type="http://schemas.openxmlformats.org/officeDocument/2006/relationships/hyperlink" TargetMode="External" Target="https://zakupki.gov.ru/epz/order/notice/ea44/view/common-info.html?regNumber=0140100008120000012"/><Relationship Id="rId1457" Type="http://schemas.openxmlformats.org/officeDocument/2006/relationships/hyperlink" TargetMode="External" Target="https://zakupki.gov.ru/epz/order/notice/ea44/view/common-info.html?regNumber=0320300043120000017"/><Relationship Id="rId1458" Type="http://schemas.openxmlformats.org/officeDocument/2006/relationships/hyperlink" TargetMode="External" Target="https://zakupki.gov.ru/epz/order/notice/ea44/view/common-info.html?regNumber=0356500002120000104"/><Relationship Id="rId1459" Type="http://schemas.openxmlformats.org/officeDocument/2006/relationships/hyperlink" TargetMode="External" Target="https://zakupki.gov.ru/epz/order/notice/ea44/view/common-info.html?regNumber=0369200000120000083"/><Relationship Id="rId1460" Type="http://schemas.openxmlformats.org/officeDocument/2006/relationships/hyperlink" TargetMode="External" Target="https://zakupki.gov.ru/epz/order/notice/ea44/view/common-info.html?regNumber=0126300004320000048"/><Relationship Id="rId1461" Type="http://schemas.openxmlformats.org/officeDocument/2006/relationships/hyperlink" TargetMode="External" Target="https://zakupki.gov.ru/epz/order/notice/ea44/view/common-info.html?regNumber=0365100007620000009"/><Relationship Id="rId1462" Type="http://schemas.openxmlformats.org/officeDocument/2006/relationships/hyperlink" TargetMode="External" Target="https://zakupki.gov.ru/epz/order/notice/ea44/view/common-info.html?regNumber=0348300004920000131"/><Relationship Id="rId1463" Type="http://schemas.openxmlformats.org/officeDocument/2006/relationships/hyperlink" TargetMode="External" Target="https://zakupki.gov.ru/epz/order/notice/ea44/view/common-info.html?regNumber=0314100004520000001"/><Relationship Id="rId1464" Type="http://schemas.openxmlformats.org/officeDocument/2006/relationships/hyperlink" TargetMode="External" Target="https://zakupki.gov.ru/epz/order/notice/ea44/view/common-info.html?regNumber=0372200030620000065"/><Relationship Id="rId1465" Type="http://schemas.openxmlformats.org/officeDocument/2006/relationships/hyperlink" TargetMode="External" Target="https://zakupki.gov.ru/epz/order/notice/ea44/view/common-info.html?regNumber=0853500000320001751"/><Relationship Id="rId1466" Type="http://schemas.openxmlformats.org/officeDocument/2006/relationships/hyperlink" TargetMode="External" Target="https://zakupki.gov.ru/epz/order/notice/ea44/view/common-info.html?regNumber=0122100001120000021"/><Relationship Id="rId1467" Type="http://schemas.openxmlformats.org/officeDocument/2006/relationships/hyperlink" TargetMode="External" Target="https://zakupki.gov.ru/epz/order/notice/ea44/view/common-info.html?regNumber=0373200099720000268"/><Relationship Id="rId1468" Type="http://schemas.openxmlformats.org/officeDocument/2006/relationships/hyperlink" TargetMode="External" Target="https://zakupki.gov.ru/epz/order/notice/ea44/view/common-info.html?regNumber=0340200003320003023"/><Relationship Id="rId1469" Type="http://schemas.openxmlformats.org/officeDocument/2006/relationships/hyperlink" TargetMode="External" Target="https://zakupki.gov.ru/epz/order/notice/ea44/view/common-info.html?regNumber=0320200015820000012"/><Relationship Id="rId1470" Type="http://schemas.openxmlformats.org/officeDocument/2006/relationships/hyperlink" TargetMode="External" Target="https://zakupki.gov.ru/epz/order/notice/ea44/view/common-info.html?regNumber=0137200001220001264"/><Relationship Id="rId1471" Type="http://schemas.openxmlformats.org/officeDocument/2006/relationships/hyperlink" TargetMode="External" Target="https://zakupki.gov.ru/epz/order/notice/ea44/view/common-info.html?regNumber=0103200008420001003"/><Relationship Id="rId1472" Type="http://schemas.openxmlformats.org/officeDocument/2006/relationships/hyperlink" TargetMode="External" Target="https://zakupki.gov.ru/epz/order/notice/ea44/view/common-info.html?regNumber=0107200000120000138"/><Relationship Id="rId1473" Type="http://schemas.openxmlformats.org/officeDocument/2006/relationships/hyperlink" TargetMode="External" Target="https://zakupki.gov.ru/epz/order/notice/ea44/view/common-info.html?regNumber=0816500000620002853"/><Relationship Id="rId1474" Type="http://schemas.openxmlformats.org/officeDocument/2006/relationships/hyperlink" TargetMode="External" Target="https://zakupki.gov.ru/epz/order/notice/ea44/view/common-info.html?regNumber=0107200000120000140"/><Relationship Id="rId1475" Type="http://schemas.openxmlformats.org/officeDocument/2006/relationships/hyperlink" TargetMode="External" Target="https://zakupki.gov.ru/epz/order/notice/ea44/view/common-info.html?regNumber=0334300006720000043"/><Relationship Id="rId1476" Type="http://schemas.openxmlformats.org/officeDocument/2006/relationships/hyperlink" TargetMode="External" Target="https://zakupki.gov.ru/epz/order/notice/ea44/view/common-info.html?regNumber=0319100000220000154"/><Relationship Id="rId1477" Type="http://schemas.openxmlformats.org/officeDocument/2006/relationships/hyperlink" TargetMode="External" Target="https://zakupki.gov.ru/epz/order/notice/ea44/view/common-info.html?regNumber=0307300061820000053"/><Relationship Id="rId1478" Type="http://schemas.openxmlformats.org/officeDocument/2006/relationships/hyperlink" TargetMode="External" Target="https://zakupki.gov.ru/epz/order/notice/ea44/view/common-info.html?regNumber=0347300028820000007"/><Relationship Id="rId1479" Type="http://schemas.openxmlformats.org/officeDocument/2006/relationships/hyperlink" TargetMode="External" Target="https://zakupki.gov.ru/epz/order/notice/ea44/view/common-info.html?regNumber=0801200000220000479"/><Relationship Id="rId1480" Type="http://schemas.openxmlformats.org/officeDocument/2006/relationships/hyperlink" TargetMode="External" Target="https://zakupki.gov.ru/epz/order/notice/ea44/view/common-info.html?regNumber=0372200004320000041"/><Relationship Id="rId1481" Type="http://schemas.openxmlformats.org/officeDocument/2006/relationships/hyperlink" TargetMode="External" Target="https://zakupki.gov.ru/epz/order/notice/ea44/view/common-info.html?regNumber=0137100001220000006"/><Relationship Id="rId1482" Type="http://schemas.openxmlformats.org/officeDocument/2006/relationships/hyperlink" TargetMode="External" Target="https://zakupki.gov.ru/epz/order/notice/ea44/view/common-info.html?regNumber=0319200069520000035"/><Relationship Id="rId1483" Type="http://schemas.openxmlformats.org/officeDocument/2006/relationships/hyperlink" TargetMode="External" Target="https://zakupki.gov.ru/epz/order/notice/ea44/view/common-info.html?regNumber=0873200004020000010"/><Relationship Id="rId1484" Type="http://schemas.openxmlformats.org/officeDocument/2006/relationships/hyperlink" TargetMode="External" Target="https://zakupki.gov.ru/epz/order/notice/ea44/view/common-info.html?regNumber=0351300044320000009"/><Relationship Id="rId1485" Type="http://schemas.openxmlformats.org/officeDocument/2006/relationships/hyperlink" TargetMode="External" Target="https://zakupki.gov.ru/epz/order/notice/ea44/view/common-info.html?regNumber=0103200008420001017"/><Relationship Id="rId1486" Type="http://schemas.openxmlformats.org/officeDocument/2006/relationships/hyperlink" TargetMode="External" Target="https://zakupki.gov.ru/epz/order/notice/ea44/view/common-info.html?regNumber=0345200004020000086"/><Relationship Id="rId1487" Type="http://schemas.openxmlformats.org/officeDocument/2006/relationships/hyperlink" TargetMode="External" Target="https://zakupki.gov.ru/epz/order/notice/ea44/view/common-info.html?regNumber=0104300000820000008"/><Relationship Id="rId1488" Type="http://schemas.openxmlformats.org/officeDocument/2006/relationships/hyperlink" TargetMode="External" Target="https://zakupki.gov.ru/epz/order/notice/ea44/view/common-info.html?regNumber=0307300050220000065"/><Relationship Id="rId1489" Type="http://schemas.openxmlformats.org/officeDocument/2006/relationships/hyperlink" TargetMode="External" Target="https://zakupki.gov.ru/epz/order/notice/ea44/view/common-info.html?regNumber=0373100062620000014"/><Relationship Id="rId1490" Type="http://schemas.openxmlformats.org/officeDocument/2006/relationships/hyperlink" TargetMode="External" Target="https://zakupki.gov.ru/epz/order/notice/ea44/view/common-info.html?regNumber=0167200003420001355"/><Relationship Id="rId1491" Type="http://schemas.openxmlformats.org/officeDocument/2006/relationships/hyperlink" TargetMode="External" Target="https://zakupki.gov.ru/epz/order/notice/ea44/view/common-info.html?regNumber=0348300004920000133"/><Relationship Id="rId1492" Type="http://schemas.openxmlformats.org/officeDocument/2006/relationships/hyperlink" TargetMode="External" Target="https://zakupki.gov.ru/epz/order/notice/ea44/view/common-info.html?regNumber=0321200032620000035"/><Relationship Id="rId1493" Type="http://schemas.openxmlformats.org/officeDocument/2006/relationships/hyperlink" TargetMode="External" Target="https://zakupki.gov.ru/epz/order/notice/ea44/view/common-info.html?regNumber=0341300031520000102"/><Relationship Id="rId1494" Type="http://schemas.openxmlformats.org/officeDocument/2006/relationships/hyperlink" TargetMode="External" Target="https://zakupki.gov.ru/epz/order/notice/ea44/view/common-info.html?regNumber=0142200001320005068"/><Relationship Id="rId1495" Type="http://schemas.openxmlformats.org/officeDocument/2006/relationships/hyperlink" TargetMode="External" Target="https://zakupki.gov.ru/epz/order/notice/ea44/view/common-info.html?regNumber=0131200001020001453"/><Relationship Id="rId1496" Type="http://schemas.openxmlformats.org/officeDocument/2006/relationships/hyperlink" TargetMode="External" Target="https://zakupki.gov.ru/epz/order/notice/ea44/view/common-info.html?regNumber=0351300045520000031"/><Relationship Id="rId1497" Type="http://schemas.openxmlformats.org/officeDocument/2006/relationships/hyperlink" TargetMode="External" Target="https://zakupki.gov.ru/epz/order/notice/ea44/view/common-info.html?regNumber=0308200006720000006"/><Relationship Id="rId1498" Type="http://schemas.openxmlformats.org/officeDocument/2006/relationships/hyperlink" TargetMode="External" Target="https://zakupki.gov.ru/epz/order/notice/ea44/view/common-info.html?regNumber=0163200000320001728"/><Relationship Id="rId1499" Type="http://schemas.openxmlformats.org/officeDocument/2006/relationships/hyperlink" TargetMode="External" Target="https://zakupki.gov.ru/epz/order/notice/ea44/view/common-info.html?regNumber=0168300000520000011"/><Relationship Id="rId1500" Type="http://schemas.openxmlformats.org/officeDocument/2006/relationships/hyperlink" TargetMode="External" Target="https://zakupki.gov.ru/epz/order/notice/ea44/view/common-info.html?regNumber=0318300120820000106"/><Relationship Id="rId1501" Type="http://schemas.openxmlformats.org/officeDocument/2006/relationships/hyperlink" TargetMode="External" Target="https://zakupki.gov.ru/epz/order/notice/ea44/view/common-info.html?regNumber=0103200008420001016"/><Relationship Id="rId1502" Type="http://schemas.openxmlformats.org/officeDocument/2006/relationships/hyperlink" TargetMode="External" Target="https://zakupki.gov.ru/epz/order/notice/ea44/view/common-info.html?regNumber=0162100014220000002"/><Relationship Id="rId1503" Type="http://schemas.openxmlformats.org/officeDocument/2006/relationships/hyperlink" TargetMode="External" Target="https://zakupki.gov.ru/epz/order/notice/ea44/view/common-info.html?regNumber=0888100000120000020"/><Relationship Id="rId1504" Type="http://schemas.openxmlformats.org/officeDocument/2006/relationships/hyperlink" TargetMode="External" Target="https://zakupki.gov.ru/epz/order/notice/ea44/view/common-info.html?regNumber=0232100000420000008"/><Relationship Id="rId1505" Type="http://schemas.openxmlformats.org/officeDocument/2006/relationships/hyperlink" TargetMode="External" Target="https://zakupki.gov.ru/epz/order/notice/ea44/view/common-info.html?regNumber=0315100004820000018"/><Relationship Id="rId1506" Type="http://schemas.openxmlformats.org/officeDocument/2006/relationships/hyperlink" TargetMode="External" Target="https://zakupki.gov.ru/epz/order/notice/ea44/view/common-info.html?regNumber=0124300028920000038"/><Relationship Id="rId1507" Type="http://schemas.openxmlformats.org/officeDocument/2006/relationships/hyperlink" TargetMode="External" Target="https://zakupki.gov.ru/epz/order/notice/ea44/view/common-info.html?regNumber=0340200003320003368"/><Relationship Id="rId1508" Type="http://schemas.openxmlformats.org/officeDocument/2006/relationships/hyperlink" TargetMode="External" Target="https://zakupki.gov.ru/epz/order/notice/ea44/view/common-info.html?regNumber=0343300010820000027"/><Relationship Id="rId1509" Type="http://schemas.openxmlformats.org/officeDocument/2006/relationships/hyperlink" TargetMode="External" Target="https://zakupki.gov.ru/epz/order/notice/ea44/view/common-info.html?regNumber=0227100000820000022"/><Relationship Id="rId1510" Type="http://schemas.openxmlformats.org/officeDocument/2006/relationships/hyperlink" TargetMode="External" Target="https://zakupki.gov.ru/epz/order/notice/ea44/view/common-info.html?regNumber=0352300010420000059"/><Relationship Id="rId1511" Type="http://schemas.openxmlformats.org/officeDocument/2006/relationships/hyperlink" TargetMode="External" Target="https://zakupki.gov.ru/epz/order/notice/ea44/view/common-info.html?regNumber=0356500002120000099"/><Relationship Id="rId1512" Type="http://schemas.openxmlformats.org/officeDocument/2006/relationships/hyperlink" TargetMode="External" Target="https://zakupki.gov.ru/epz/order/notice/ea44/view/common-info.html?regNumber=0338200009420000015"/><Relationship Id="rId1513" Type="http://schemas.openxmlformats.org/officeDocument/2006/relationships/hyperlink" TargetMode="External" Target="https://zakupki.gov.ru/epz/order/notice/ea44/view/common-info.html?regNumber=0326100004220000009"/><Relationship Id="rId1514" Type="http://schemas.openxmlformats.org/officeDocument/2006/relationships/hyperlink" TargetMode="External" Target="https://zakupki.gov.ru/epz/order/notice/ea44/view/common-info.html?regNumber=0334100002920000012"/><Relationship Id="rId1515" Type="http://schemas.openxmlformats.org/officeDocument/2006/relationships/hyperlink" TargetMode="External" Target="https://zakupki.gov.ru/epz/order/notice/ea44/view/common-info.html?regNumber=0344300075020000015"/><Relationship Id="rId1516" Type="http://schemas.openxmlformats.org/officeDocument/2006/relationships/hyperlink" TargetMode="External" Target="https://zakupki.gov.ru/epz/order/notice/ea44/view/common-info.html?regNumber=0134300016020000039"/><Relationship Id="rId1517" Type="http://schemas.openxmlformats.org/officeDocument/2006/relationships/hyperlink" TargetMode="External" Target="https://zakupki.gov.ru/epz/order/notice/ea44/view/common-info.html?regNumber=0853500000320001821"/><Relationship Id="rId1518" Type="http://schemas.openxmlformats.org/officeDocument/2006/relationships/hyperlink" TargetMode="External" Target="https://zakupki.gov.ru/epz/order/notice/ea44/view/common-info.html?regNumber=0351300082320000072"/><Relationship Id="rId1519" Type="http://schemas.openxmlformats.org/officeDocument/2006/relationships/hyperlink" TargetMode="External" Target="https://zakupki.gov.ru/epz/order/notice/ea44/view/common-info.html?regNumber=0318300025520000020"/><Relationship Id="rId1520" Type="http://schemas.openxmlformats.org/officeDocument/2006/relationships/hyperlink" TargetMode="External" Target="https://zakupki.gov.ru/epz/order/notice/ea44/view/common-info.html?regNumber=0116300000120000204"/><Relationship Id="rId1521" Type="http://schemas.openxmlformats.org/officeDocument/2006/relationships/hyperlink" TargetMode="External" Target="https://zakupki.gov.ru/epz/order/notice/ea44/view/common-info.html?regNumber=0311100026220000005"/><Relationship Id="rId1522" Type="http://schemas.openxmlformats.org/officeDocument/2006/relationships/hyperlink" TargetMode="External" Target="https://zakupki.gov.ru/epz/order/notice/ea44/view/common-info.html?regNumber=0332200027320000051"/><Relationship Id="rId1523" Type="http://schemas.openxmlformats.org/officeDocument/2006/relationships/hyperlink" TargetMode="External" Target="https://zakupki.gov.ru/epz/order/notice/ea44/view/common-info.html?regNumber=0348100084420000017"/><Relationship Id="rId1524" Type="http://schemas.openxmlformats.org/officeDocument/2006/relationships/hyperlink" TargetMode="External" Target="https://zakupki.gov.ru/epz/order/notice/ea44/view/common-info.html?regNumber=0348100016920000031"/><Relationship Id="rId1525" Type="http://schemas.openxmlformats.org/officeDocument/2006/relationships/hyperlink" TargetMode="External" Target="https://zakupki.gov.ru/epz/order/notice/ea44/view/common-info.html?regNumber=0318300398820000029"/><Relationship Id="rId1526" Type="http://schemas.openxmlformats.org/officeDocument/2006/relationships/hyperlink" TargetMode="External" Target="https://zakupki.gov.ru/epz/order/notice/ea44/view/common-info.html?regNumber=0356500005220000081"/><Relationship Id="rId1527" Type="http://schemas.openxmlformats.org/officeDocument/2006/relationships/hyperlink" TargetMode="External" Target="https://zakupki.gov.ru/epz/order/notice/ea44/view/common-info.html?regNumber=0306300053620000064"/><Relationship Id="rId1528" Type="http://schemas.openxmlformats.org/officeDocument/2006/relationships/hyperlink" TargetMode="External" Target="https://zakupki.gov.ru/epz/order/notice/ea44/view/common-info.html?regNumber=0103200008420001022"/><Relationship Id="rId1529" Type="http://schemas.openxmlformats.org/officeDocument/2006/relationships/hyperlink" TargetMode="External" Target="https://zakupki.gov.ru/epz/order/notice/ea44/view/common-info.html?regNumber=0344300095420000015"/><Relationship Id="rId1530" Type="http://schemas.openxmlformats.org/officeDocument/2006/relationships/hyperlink" TargetMode="External" Target="https://zakupki.gov.ru/epz/order/notice/ea44/view/common-info.html?regNumber=0301300117120000044"/><Relationship Id="rId1531" Type="http://schemas.openxmlformats.org/officeDocument/2006/relationships/hyperlink" TargetMode="External" Target="https://zakupki.gov.ru/epz/order/notice/ea44/view/common-info.html?regNumber=0320100019020000024"/><Relationship Id="rId1532" Type="http://schemas.openxmlformats.org/officeDocument/2006/relationships/hyperlink" TargetMode="External" Target="https://zakupki.gov.ru/epz/order/notice/ea44/view/common-info.html?regNumber=0131200001020001643"/><Relationship Id="rId1533" Type="http://schemas.openxmlformats.org/officeDocument/2006/relationships/hyperlink" TargetMode="External" Target="https://zakupki.gov.ru/epz/order/notice/ea44/view/common-info.html?regNumber=0169300007520000056"/><Relationship Id="rId1534" Type="http://schemas.openxmlformats.org/officeDocument/2006/relationships/hyperlink" TargetMode="External" Target="https://zakupki.gov.ru/epz/order/notice/ea44/view/common-info.html?regNumber=0131200001020000955"/><Relationship Id="rId1535" Type="http://schemas.openxmlformats.org/officeDocument/2006/relationships/hyperlink" TargetMode="External" Target="https://zakupki.gov.ru/epz/order/notice/ea44/view/common-info.html?regNumber=0194200000520001936"/><Relationship Id="rId1536" Type="http://schemas.openxmlformats.org/officeDocument/2006/relationships/hyperlink" TargetMode="External" Target="https://zakupki.gov.ru/epz/order/notice/ea44/view/common-info.html?regNumber=0126300007820000018"/><Relationship Id="rId1537" Type="http://schemas.openxmlformats.org/officeDocument/2006/relationships/hyperlink" TargetMode="External" Target="https://zakupki.gov.ru/epz/order/notice/ea44/view/common-info.html?regNumber=0190300001920000112"/><Relationship Id="rId1538" Type="http://schemas.openxmlformats.org/officeDocument/2006/relationships/hyperlink" TargetMode="External" Target="https://zakupki.gov.ru/epz/order/notice/ea44/view/common-info.html?regNumber=0169300044220000102"/><Relationship Id="rId1539" Type="http://schemas.openxmlformats.org/officeDocument/2006/relationships/hyperlink" TargetMode="External" Target="https://zakupki.gov.ru/epz/order/notice/ea44/view/common-info.html?regNumber=0190300000220000077"/><Relationship Id="rId1540" Type="http://schemas.openxmlformats.org/officeDocument/2006/relationships/hyperlink" TargetMode="External" Target="https://zakupki.gov.ru/epz/order/notice/ea44/view/common-info.html?regNumber=0168200002420001781"/><Relationship Id="rId1541" Type="http://schemas.openxmlformats.org/officeDocument/2006/relationships/hyperlink" TargetMode="External" Target="https://zakupki.gov.ru/epz/order/notice/ea44/view/common-info.html?regNumber=0168200002420001721"/><Relationship Id="rId1542" Type="http://schemas.openxmlformats.org/officeDocument/2006/relationships/hyperlink" TargetMode="External" Target="https://zakupki.gov.ru/epz/order/notice/ea44/view/common-info.html?regNumber=0113100006320000007"/><Relationship Id="rId1543" Type="http://schemas.openxmlformats.org/officeDocument/2006/relationships/hyperlink" TargetMode="External" Target="https://zakupki.gov.ru/epz/order/notice/ea44/view/common-info.html?regNumber=0168200002420001702"/><Relationship Id="rId1544" Type="http://schemas.openxmlformats.org/officeDocument/2006/relationships/hyperlink" TargetMode="External" Target="https://zakupki.gov.ru/epz/order/notice/ea44/view/common-info.html?regNumber=0821100000320000009"/><Relationship Id="rId1545" Type="http://schemas.openxmlformats.org/officeDocument/2006/relationships/hyperlink" TargetMode="External" Target="https://zakupki.gov.ru/epz/order/notice/ea44/view/common-info.html?regNumber=0160300042620000017"/><Relationship Id="rId1546" Type="http://schemas.openxmlformats.org/officeDocument/2006/relationships/hyperlink" TargetMode="External" Target="https://zakupki.gov.ru/epz/order/notice/ea44/view/common-info.html?regNumber=0321100001420000005"/><Relationship Id="rId1547" Type="http://schemas.openxmlformats.org/officeDocument/2006/relationships/hyperlink" TargetMode="External" Target="https://zakupki.gov.ru/epz/order/notice/ea44/view/common-info.html?regNumber=0122200002520001697"/><Relationship Id="rId1548" Type="http://schemas.openxmlformats.org/officeDocument/2006/relationships/hyperlink" TargetMode="External" Target="https://zakupki.gov.ru/epz/order/notice/ea44/view/common-info.html?regNumber=0325200011620000032"/><Relationship Id="rId1549" Type="http://schemas.openxmlformats.org/officeDocument/2006/relationships/hyperlink" TargetMode="External" Target="https://zakupki.gov.ru/epz/order/notice/ea44/view/common-info.html?regNumber=0345200004020000113"/><Relationship Id="rId1550" Type="http://schemas.openxmlformats.org/officeDocument/2006/relationships/hyperlink" TargetMode="External" Target="https://zakupki.gov.ru/epz/order/notice/ea44/view/common-info.html?regNumber=0352200046320000033"/><Relationship Id="rId1551" Type="http://schemas.openxmlformats.org/officeDocument/2006/relationships/hyperlink" TargetMode="External" Target="https://zakupki.gov.ru/epz/order/notice/ea44/view/common-info.html?regNumber=0348300004920000132"/><Relationship Id="rId1552" Type="http://schemas.openxmlformats.org/officeDocument/2006/relationships/hyperlink" TargetMode="External" Target="https://zakupki.gov.ru/epz/order/notice/ea44/view/common-info.html?regNumber=0348500001120000093"/><Relationship Id="rId1553" Type="http://schemas.openxmlformats.org/officeDocument/2006/relationships/hyperlink" TargetMode="External" Target="https://zakupki.gov.ru/epz/order/notice/ea44/view/common-info.html?regNumber=0134300016020000053"/><Relationship Id="rId1554" Type="http://schemas.openxmlformats.org/officeDocument/2006/relationships/hyperlink" TargetMode="External" Target="https://zakupki.gov.ru/epz/order/notice/ea44/view/common-info.html?regNumber=0816500000620003417"/><Relationship Id="rId1555" Type="http://schemas.openxmlformats.org/officeDocument/2006/relationships/hyperlink" TargetMode="External" Target="https://zakupki.gov.ru/epz/order/notice/ea44/view/common-info.html?regNumber=0131200001020002308"/><Relationship Id="rId1556" Type="http://schemas.openxmlformats.org/officeDocument/2006/relationships/hyperlink" TargetMode="External" Target="https://zakupki.gov.ru/epz/order/notice/ea44/view/common-info.html?regNumber=0340200003320003054"/><Relationship Id="rId1557" Type="http://schemas.openxmlformats.org/officeDocument/2006/relationships/hyperlink" TargetMode="External" Target="https://zakupki.gov.ru/epz/order/notice/ea44/view/common-info.html?regNumber=0103200008420000809"/><Relationship Id="rId1558" Type="http://schemas.openxmlformats.org/officeDocument/2006/relationships/hyperlink" TargetMode="External" Target="https://zakupki.gov.ru/epz/order/notice/ea44/view/common-info.html?regNumber=0373200099720000267"/><Relationship Id="rId1559" Type="http://schemas.openxmlformats.org/officeDocument/2006/relationships/hyperlink" TargetMode="External" Target="https://zakupki.gov.ru/epz/order/notice/ea44/view/common-info.html?regNumber=0373200114420000010"/><Relationship Id="rId1560" Type="http://schemas.openxmlformats.org/officeDocument/2006/relationships/hyperlink" TargetMode="External" Target="https://zakupki.gov.ru/epz/order/notice/ea44/view/common-info.html?regNumber=0341300076420000003"/><Relationship Id="rId1561" Type="http://schemas.openxmlformats.org/officeDocument/2006/relationships/hyperlink" TargetMode="External" Target="https://zakupki.gov.ru/epz/order/notice/ea44/view/common-info.html?regNumber=0339300015520000048"/><Relationship Id="rId1562" Type="http://schemas.openxmlformats.org/officeDocument/2006/relationships/hyperlink" TargetMode="External" Target="https://zakupki.gov.ru/epz/order/notice/ea44/view/common-info.html?regNumber=0375200043120000089"/><Relationship Id="rId1563" Type="http://schemas.openxmlformats.org/officeDocument/2006/relationships/hyperlink" TargetMode="External" Target="https://zakupki.gov.ru/epz/order/notice/ea44/view/common-info.html?regNumber=0319300209620000011"/><Relationship Id="rId1564" Type="http://schemas.openxmlformats.org/officeDocument/2006/relationships/hyperlink" TargetMode="External" Target="https://zakupki.gov.ru/epz/order/notice/ea44/view/common-info.html?regNumber=0328300172320000005"/><Relationship Id="rId1565" Type="http://schemas.openxmlformats.org/officeDocument/2006/relationships/hyperlink" TargetMode="External" Target="https://zakupki.gov.ru/epz/order/notice/ea44/view/common-info.html?regNumber=0134100009620000018"/><Relationship Id="rId1566" Type="http://schemas.openxmlformats.org/officeDocument/2006/relationships/hyperlink" TargetMode="External" Target="https://zakupki.gov.ru/epz/order/notice/ea44/view/common-info.html?regNumber=0372200028820000023"/><Relationship Id="rId1567" Type="http://schemas.openxmlformats.org/officeDocument/2006/relationships/hyperlink" TargetMode="External" Target="https://zakupki.gov.ru/epz/order/notice/ea44/view/common-info.html?regNumber=0318200027520000035"/><Relationship Id="rId1568" Type="http://schemas.openxmlformats.org/officeDocument/2006/relationships/hyperlink" TargetMode="External" Target="https://zakupki.gov.ru/epz/order/notice/ea44/view/common-info.html?regNumber=0346100008020000009"/><Relationship Id="rId1569" Type="http://schemas.openxmlformats.org/officeDocument/2006/relationships/hyperlink" TargetMode="External" Target="https://zakupki.gov.ru/epz/order/notice/ea44/view/common-info.html?regNumber=0869500000920000021"/><Relationship Id="rId1570" Type="http://schemas.openxmlformats.org/officeDocument/2006/relationships/hyperlink" TargetMode="External" Target="https://zakupki.gov.ru/epz/order/notice/ea44/view/common-info.html?regNumber=0372200026120000029"/><Relationship Id="rId1571" Type="http://schemas.openxmlformats.org/officeDocument/2006/relationships/hyperlink" TargetMode="External" Target="https://zakupki.gov.ru/epz/order/notice/ea44/view/common-info.html?regNumber=0155300007420000012"/><Relationship Id="rId1572" Type="http://schemas.openxmlformats.org/officeDocument/2006/relationships/hyperlink" TargetMode="External" Target="https://zakupki.gov.ru/epz/order/notice/ea44/view/common-info.html?regNumber=0348100073720000021"/><Relationship Id="rId1573" Type="http://schemas.openxmlformats.org/officeDocument/2006/relationships/hyperlink" TargetMode="External" Target="https://zakupki.gov.ru/epz/order/notice/ea44/view/common-info.html?regNumber=0131200001020001265"/><Relationship Id="rId1574" Type="http://schemas.openxmlformats.org/officeDocument/2006/relationships/hyperlink" TargetMode="External" Target="https://zakupki.gov.ru/epz/order/notice/ea44/view/common-info.html?regNumber=0372200131320000008"/><Relationship Id="rId1575" Type="http://schemas.openxmlformats.org/officeDocument/2006/relationships/hyperlink" TargetMode="External" Target="https://zakupki.gov.ru/epz/order/notice/ea44/view/common-info.html?regNumber=0358100000620000024"/><Relationship Id="rId1576" Type="http://schemas.openxmlformats.org/officeDocument/2006/relationships/hyperlink" TargetMode="External" Target="https://zakupki.gov.ru/epz/order/notice/ea44/view/common-info.html?regNumber=0131200001020001448"/><Relationship Id="rId1577" Type="http://schemas.openxmlformats.org/officeDocument/2006/relationships/hyperlink" TargetMode="External" Target="https://zakupki.gov.ru/epz/order/notice/ea44/view/common-info.html?regNumber=0334200012520000101"/><Relationship Id="rId1578" Type="http://schemas.openxmlformats.org/officeDocument/2006/relationships/hyperlink" TargetMode="External" Target="https://zakupki.gov.ru/epz/order/notice/ea44/view/common-info.html?regNumber=0321300018320000095"/><Relationship Id="rId1579" Type="http://schemas.openxmlformats.org/officeDocument/2006/relationships/hyperlink" TargetMode="External" Target="https://zakupki.gov.ru/epz/order/notice/ea44/view/common-info.html?regNumber=0332100017220000025"/><Relationship Id="rId1580" Type="http://schemas.openxmlformats.org/officeDocument/2006/relationships/hyperlink" TargetMode="External" Target="https://zakupki.gov.ru/epz/order/notice/ea44/view/common-info.html?regNumber=0171200001520000011"/><Relationship Id="rId1581" Type="http://schemas.openxmlformats.org/officeDocument/2006/relationships/hyperlink" TargetMode="External" Target="https://zakupki.gov.ru/epz/order/notice/ea44/view/common-info.html?regNumber=0169300016820000002"/><Relationship Id="rId1582" Type="http://schemas.openxmlformats.org/officeDocument/2006/relationships/hyperlink" TargetMode="External" Target="https://zakupki.gov.ru/epz/order/notice/ea44/view/common-info.html?regNumber=0339100001820000019"/><Relationship Id="rId1583" Type="http://schemas.openxmlformats.org/officeDocument/2006/relationships/hyperlink" TargetMode="External" Target="https://zakupki.gov.ru/epz/order/notice/ea44/view/common-info.html?regNumber=0356200024220000014"/><Relationship Id="rId1584" Type="http://schemas.openxmlformats.org/officeDocument/2006/relationships/hyperlink" TargetMode="External" Target="https://zakupki.gov.ru/epz/order/notice/ea44/view/common-info.html?regNumber=0862300042620000026"/><Relationship Id="rId1585" Type="http://schemas.openxmlformats.org/officeDocument/2006/relationships/hyperlink" TargetMode="External" Target="https://zakupki.gov.ru/epz/order/notice/ea44/view/common-info.html?regNumber=0353100013920000040"/><Relationship Id="rId1586" Type="http://schemas.openxmlformats.org/officeDocument/2006/relationships/hyperlink" TargetMode="External" Target="https://zakupki.gov.ru/epz/order/notice/ea44/view/common-info.html?regNumber=0307200015720000049"/><Relationship Id="rId1587" Type="http://schemas.openxmlformats.org/officeDocument/2006/relationships/hyperlink" TargetMode="External" Target="https://zakupki.gov.ru/epz/order/notice/ea44/view/common-info.html?regNumber=0375200043120000087"/><Relationship Id="rId1588" Type="http://schemas.openxmlformats.org/officeDocument/2006/relationships/hyperlink" TargetMode="External" Target="https://zakupki.gov.ru/epz/order/notice/ea44/view/common-info.html?regNumber=0341300025520000042"/><Relationship Id="rId1589" Type="http://schemas.openxmlformats.org/officeDocument/2006/relationships/hyperlink" TargetMode="External" Target="https://zakupki.gov.ru/epz/order/notice/ea44/view/common-info.html?regNumber=0128600001720000056"/><Relationship Id="rId1590" Type="http://schemas.openxmlformats.org/officeDocument/2006/relationships/hyperlink" TargetMode="External" Target="https://zakupki.gov.ru/epz/order/notice/ea44/view/common-info.html?regNumber=0307200005220000013"/><Relationship Id="rId1591" Type="http://schemas.openxmlformats.org/officeDocument/2006/relationships/hyperlink" TargetMode="External" Target="https://zakupki.gov.ru/epz/order/notice/ea44/view/common-info.html?regNumber=0348100071520000067"/><Relationship Id="rId1592" Type="http://schemas.openxmlformats.org/officeDocument/2006/relationships/hyperlink" TargetMode="External" Target="https://zakupki.gov.ru/epz/order/notice/ea44/view/common-info.html?regNumber=0351200000220000104"/><Relationship Id="rId1593" Type="http://schemas.openxmlformats.org/officeDocument/2006/relationships/hyperlink" TargetMode="External" Target="https://zakupki.gov.ru/epz/order/notice/ea44/view/common-info.html?regNumber=0140300040820000418"/><Relationship Id="rId1594" Type="http://schemas.openxmlformats.org/officeDocument/2006/relationships/hyperlink" TargetMode="External" Target="https://zakupki.gov.ru/epz/order/notice/ea44/view/common-info.html?regNumber=0320400000420000026"/><Relationship Id="rId1595" Type="http://schemas.openxmlformats.org/officeDocument/2006/relationships/hyperlink" TargetMode="External" Target="https://zakupki.gov.ru/epz/order/notice/ea44/view/common-info.html?regNumber=0316300028420000014"/><Relationship Id="rId1596" Type="http://schemas.openxmlformats.org/officeDocument/2006/relationships/hyperlink" TargetMode="External" Target="https://zakupki.gov.ru/epz/order/notice/ea44/view/common-info.html?regNumber=0194200000520001926"/><Relationship Id="rId1597" Type="http://schemas.openxmlformats.org/officeDocument/2006/relationships/hyperlink" TargetMode="External" Target="https://zakupki.gov.ru/epz/order/notice/ea44/view/common-info.html?regNumber=0344200010620000092"/><Relationship Id="rId1598" Type="http://schemas.openxmlformats.org/officeDocument/2006/relationships/hyperlink" TargetMode="External" Target="https://zakupki.gov.ru/epz/order/notice/ea44/view/common-info.html?regNumber=0356300144820000036"/><Relationship Id="rId1599" Type="http://schemas.openxmlformats.org/officeDocument/2006/relationships/hyperlink" TargetMode="External" Target="https://zakupki.gov.ru/epz/order/notice/ea44/view/common-info.html?regNumber=0134300016020000044"/><Relationship Id="rId1600" Type="http://schemas.openxmlformats.org/officeDocument/2006/relationships/hyperlink" TargetMode="External" Target="https://zakupki.gov.ru/epz/order/notice/ea44/view/common-info.html?regNumber=0304100006920000003"/><Relationship Id="rId1601" Type="http://schemas.openxmlformats.org/officeDocument/2006/relationships/hyperlink" TargetMode="External" Target="https://zakupki.gov.ru/epz/order/notice/ea44/view/common-info.html?regNumber=0142200001320005018"/><Relationship Id="rId1602" Type="http://schemas.openxmlformats.org/officeDocument/2006/relationships/hyperlink" TargetMode="External" Target="https://zakupki.gov.ru/epz/order/notice/ea44/view/common-info.html?regNumber=0340200003320002992"/><Relationship Id="rId1603" Type="http://schemas.openxmlformats.org/officeDocument/2006/relationships/hyperlink" TargetMode="External" Target="https://zakupki.gov.ru/epz/order/notice/ea44/view/common-info.html?regNumber=0169300003920000048"/><Relationship Id="rId1604" Type="http://schemas.openxmlformats.org/officeDocument/2006/relationships/hyperlink" TargetMode="External" Target="https://zakupki.gov.ru/epz/order/notice/ea44/view/common-info.html?regNumber=0142200001320004975"/><Relationship Id="rId1605" Type="http://schemas.openxmlformats.org/officeDocument/2006/relationships/hyperlink" TargetMode="External" Target="https://zakupki.gov.ru/epz/order/notice/ea44/view/common-info.html?regNumber=0354300084920000144"/><Relationship Id="rId1606" Type="http://schemas.openxmlformats.org/officeDocument/2006/relationships/hyperlink" TargetMode="External" Target="https://zakupki.gov.ru/epz/order/notice/ea44/view/common-info.html?regNumber=0372200028820000026"/><Relationship Id="rId1607" Type="http://schemas.openxmlformats.org/officeDocument/2006/relationships/hyperlink" TargetMode="External" Target="https://zakupki.gov.ru/epz/order/notice/ea44/view/common-info.html?regNumber=0123300000220000055"/><Relationship Id="rId1608" Type="http://schemas.openxmlformats.org/officeDocument/2006/relationships/hyperlink" TargetMode="External" Target="https://zakupki.gov.ru/epz/order/notice/ea44/view/common-info.html?regNumber=0134100005320000043"/><Relationship Id="rId1609" Type="http://schemas.openxmlformats.org/officeDocument/2006/relationships/hyperlink" TargetMode="External" Target="https://zakupki.gov.ru/epz/order/notice/ea44/view/common-info.html?regNumber=0125200000720000058"/><Relationship Id="rId1610" Type="http://schemas.openxmlformats.org/officeDocument/2006/relationships/hyperlink" TargetMode="External" Target="https://zakupki.gov.ru/epz/order/notice/ea44/view/common-info.html?regNumber=0143100003820000007"/><Relationship Id="rId1611" Type="http://schemas.openxmlformats.org/officeDocument/2006/relationships/hyperlink" TargetMode="External" Target="https://zakupki.gov.ru/epz/order/notice/ea44/view/common-info.html?regNumber=0322200002120000065"/><Relationship Id="rId1612" Type="http://schemas.openxmlformats.org/officeDocument/2006/relationships/hyperlink" TargetMode="External" Target="https://zakupki.gov.ru/epz/order/notice/ea44/view/common-info.html?regNumber=0318300326920000010"/><Relationship Id="rId1613" Type="http://schemas.openxmlformats.org/officeDocument/2006/relationships/hyperlink" TargetMode="External" Target="https://zakupki.gov.ru/epz/order/notice/ea44/view/common-info.html?regNumber=0351100016720000010"/><Relationship Id="rId1614" Type="http://schemas.openxmlformats.org/officeDocument/2006/relationships/hyperlink" TargetMode="External" Target="https://zakupki.gov.ru/epz/order/notice/ea44/view/common-info.html?regNumber=0352300022820000011"/><Relationship Id="rId1615" Type="http://schemas.openxmlformats.org/officeDocument/2006/relationships/hyperlink" TargetMode="External" Target="https://zakupki.gov.ru/epz/order/notice/ea44/view/common-info.html?regNumber=0853500000320001738"/><Relationship Id="rId1616" Type="http://schemas.openxmlformats.org/officeDocument/2006/relationships/hyperlink" TargetMode="External" Target="https://zakupki.gov.ru/epz/order/notice/ea44/view/common-info.html?regNumber=0320300082620000005"/><Relationship Id="rId1617" Type="http://schemas.openxmlformats.org/officeDocument/2006/relationships/hyperlink" TargetMode="External" Target="https://zakupki.gov.ru/epz/order/notice/ea44/view/common-info.html?regNumber=0348100025820000002"/><Relationship Id="rId1618" Type="http://schemas.openxmlformats.org/officeDocument/2006/relationships/hyperlink" TargetMode="External" Target="https://zakupki.gov.ru/epz/order/notice/ea44/view/common-info.html?regNumber=0340200003320002991"/><Relationship Id="rId1619" Type="http://schemas.openxmlformats.org/officeDocument/2006/relationships/hyperlink" TargetMode="External" Target="https://zakupki.gov.ru/epz/order/notice/ea44/view/common-info.html?regNumber=0112200000820001001"/><Relationship Id="rId1620" Type="http://schemas.openxmlformats.org/officeDocument/2006/relationships/hyperlink" TargetMode="External" Target="https://zakupki.gov.ru/epz/order/notice/ea44/view/common-info.html?regNumber=0241400000120000029"/><Relationship Id="rId1621" Type="http://schemas.openxmlformats.org/officeDocument/2006/relationships/hyperlink" TargetMode="External" Target="https://zakupki.gov.ru/epz/order/notice/ea44/view/common-info.html?regNumber=0348100073720000020"/><Relationship Id="rId1622" Type="http://schemas.openxmlformats.org/officeDocument/2006/relationships/hyperlink" TargetMode="External" Target="https://zakupki.gov.ru/epz/order/notice/ea44/view/common-info.html?regNumber=0136600002620000018"/><Relationship Id="rId1623" Type="http://schemas.openxmlformats.org/officeDocument/2006/relationships/hyperlink" TargetMode="External" Target="https://zakupki.gov.ru/epz/order/notice/ea44/view/common-info.html?regNumber=0134300074320000012"/><Relationship Id="rId1624" Type="http://schemas.openxmlformats.org/officeDocument/2006/relationships/hyperlink" TargetMode="External" Target="https://zakupki.gov.ru/epz/order/notice/ea44/view/common-info.html?regNumber=0194200000520001918"/><Relationship Id="rId1625" Type="http://schemas.openxmlformats.org/officeDocument/2006/relationships/hyperlink" TargetMode="External" Target="https://zakupki.gov.ru/epz/order/notice/ea44/view/common-info.html?regNumber=0372200085520000004"/><Relationship Id="rId1626" Type="http://schemas.openxmlformats.org/officeDocument/2006/relationships/hyperlink" TargetMode="External" Target="https://zakupki.gov.ru/epz/order/notice/ea44/view/common-info.html?regNumber=0337100006720000008"/><Relationship Id="rId1627" Type="http://schemas.openxmlformats.org/officeDocument/2006/relationships/hyperlink" TargetMode="External" Target="https://zakupki.gov.ru/epz/order/notice/ea44/view/common-info.html?regNumber=0373200041520000270"/><Relationship Id="rId1628" Type="http://schemas.openxmlformats.org/officeDocument/2006/relationships/hyperlink" TargetMode="External" Target="https://zakupki.gov.ru/epz/order/notice/ea44/view/common-info.html?regNumber=0358200036220000315"/><Relationship Id="rId1629" Type="http://schemas.openxmlformats.org/officeDocument/2006/relationships/hyperlink" TargetMode="External" Target="https://zakupki.gov.ru/epz/order/notice/ea44/view/common-info.html?regNumber=0372200155420000027"/><Relationship Id="rId1630" Type="http://schemas.openxmlformats.org/officeDocument/2006/relationships/hyperlink" TargetMode="External" Target="https://zakupki.gov.ru/epz/order/notice/ea44/view/common-info.html?regNumber=0872100000120000020"/><Relationship Id="rId1631" Type="http://schemas.openxmlformats.org/officeDocument/2006/relationships/hyperlink" TargetMode="External" Target="https://zakupki.gov.ru/epz/order/notice/ea44/view/common-info.html?regNumber=0348100025820000003"/><Relationship Id="rId1632" Type="http://schemas.openxmlformats.org/officeDocument/2006/relationships/hyperlink" TargetMode="External" Target="https://zakupki.gov.ru/epz/order/notice/ea44/view/common-info.html?regNumber=0356300248720000033"/><Relationship Id="rId1633" Type="http://schemas.openxmlformats.org/officeDocument/2006/relationships/hyperlink" TargetMode="External" Target="https://zakupki.gov.ru/epz/order/notice/ea44/view/common-info.html?regNumber=0163200000320001527"/><Relationship Id="rId1634" Type="http://schemas.openxmlformats.org/officeDocument/2006/relationships/hyperlink" TargetMode="External" Target="https://zakupki.gov.ru/epz/order/notice/ea44/view/common-info.html?regNumber=0356500005620000196"/><Relationship Id="rId1635" Type="http://schemas.openxmlformats.org/officeDocument/2006/relationships/hyperlink" TargetMode="External" Target="https://zakupki.gov.ru/epz/order/notice/ea44/view/common-info.html?regNumber=0131200001020001026"/><Relationship Id="rId1636" Type="http://schemas.openxmlformats.org/officeDocument/2006/relationships/hyperlink" TargetMode="External" Target="https://zakupki.gov.ru/epz/order/notice/ea44/view/common-info.html?regNumber=0813500000120003669"/><Relationship Id="rId1637" Type="http://schemas.openxmlformats.org/officeDocument/2006/relationships/hyperlink" TargetMode="External" Target="https://zakupki.gov.ru/epz/order/notice/ea44/view/common-info.html?regNumber=0191300031220000009"/><Relationship Id="rId1638" Type="http://schemas.openxmlformats.org/officeDocument/2006/relationships/hyperlink" TargetMode="External" Target="https://zakupki.gov.ru/epz/order/notice/ea44/view/common-info.html?regNumber=0137200001220001254"/><Relationship Id="rId1639" Type="http://schemas.openxmlformats.org/officeDocument/2006/relationships/hyperlink" TargetMode="External" Target="https://zakupki.gov.ru/epz/order/notice/ea44/view/common-info.html?regNumber=0142200001320004985"/><Relationship Id="rId1640" Type="http://schemas.openxmlformats.org/officeDocument/2006/relationships/hyperlink" TargetMode="External" Target="https://zakupki.gov.ru/epz/order/notice/ea44/view/common-info.html?regNumber=0813500000120003215"/><Relationship Id="rId1641" Type="http://schemas.openxmlformats.org/officeDocument/2006/relationships/hyperlink" TargetMode="External" Target="https://zakupki.gov.ru/epz/order/notice/ea44/view/common-info.html?regNumber=0319200040920000084"/><Relationship Id="rId1642" Type="http://schemas.openxmlformats.org/officeDocument/2006/relationships/hyperlink" TargetMode="External" Target="https://zakupki.gov.ru/epz/order/notice/ea44/view/common-info.html?regNumber=0340200003320003141"/><Relationship Id="rId1643" Type="http://schemas.openxmlformats.org/officeDocument/2006/relationships/hyperlink" TargetMode="External" Target="https://zakupki.gov.ru/epz/order/notice/ea44/view/common-info.html?regNumber=0373200045220000348"/><Relationship Id="rId1644" Type="http://schemas.openxmlformats.org/officeDocument/2006/relationships/hyperlink" TargetMode="External" Target="https://zakupki.gov.ru/epz/order/notice/ea44/view/common-info.html?regNumber=0321100008720000012"/><Relationship Id="rId1645" Type="http://schemas.openxmlformats.org/officeDocument/2006/relationships/hyperlink" TargetMode="External" Target="https://zakupki.gov.ru/epz/order/notice/ea44/view/common-info.html?regNumber=0711200024320000031"/><Relationship Id="rId1646" Type="http://schemas.openxmlformats.org/officeDocument/2006/relationships/hyperlink" TargetMode="External" Target="https://zakupki.gov.ru/epz/order/notice/ea44/view/common-info.html?regNumber=0291100000520000025"/><Relationship Id="rId1647" Type="http://schemas.openxmlformats.org/officeDocument/2006/relationships/hyperlink" TargetMode="External" Target="https://zakupki.gov.ru/epz/order/notice/ea44/view/common-info.html?regNumber=0104300011120000005"/><Relationship Id="rId1648" Type="http://schemas.openxmlformats.org/officeDocument/2006/relationships/hyperlink" TargetMode="External" Target="https://zakupki.gov.ru/epz/order/notice/ea44/view/common-info.html?regNumber=0860100000520000015"/><Relationship Id="rId1649" Type="http://schemas.openxmlformats.org/officeDocument/2006/relationships/hyperlink" TargetMode="External" Target="https://zakupki.gov.ru/epz/order/notice/ea44/view/common-info.html?regNumber=0184400000120000002"/><Relationship Id="rId1650" Type="http://schemas.openxmlformats.org/officeDocument/2006/relationships/hyperlink" TargetMode="External" Target="https://zakupki.gov.ru/epz/order/notice/ea44/view/common-info.html?regNumber=0306200003220000006"/><Relationship Id="rId1651" Type="http://schemas.openxmlformats.org/officeDocument/2006/relationships/hyperlink" TargetMode="External" Target="https://zakupki.gov.ru/epz/order/notice/ea44/view/common-info.html?regNumber=0111300067820000025"/><Relationship Id="rId1652" Type="http://schemas.openxmlformats.org/officeDocument/2006/relationships/hyperlink" TargetMode="External" Target="https://zakupki.gov.ru/epz/order/notice/ea44/view/common-info.html?regNumber=0390100009420000048"/><Relationship Id="rId1653" Type="http://schemas.openxmlformats.org/officeDocument/2006/relationships/hyperlink" TargetMode="External" Target="https://zakupki.gov.ru/epz/order/notice/ea44/view/common-info.html?regNumber=0307200022420000199"/><Relationship Id="rId1654" Type="http://schemas.openxmlformats.org/officeDocument/2006/relationships/hyperlink" TargetMode="External" Target="https://zakupki.gov.ru/epz/order/notice/ea44/view/common-info.html?regNumber=0318100050620000095"/><Relationship Id="rId1655" Type="http://schemas.openxmlformats.org/officeDocument/2006/relationships/hyperlink" TargetMode="External" Target="https://zakupki.gov.ru/epz/order/notice/ea44/view/common-info.html?regNumber=0360200017920000057"/><Relationship Id="rId1656" Type="http://schemas.openxmlformats.org/officeDocument/2006/relationships/hyperlink" TargetMode="External" Target="https://zakupki.gov.ru/epz/order/notice/ea44/view/common-info.html?regNumber=0139200000120001732"/><Relationship Id="rId1657" Type="http://schemas.openxmlformats.org/officeDocument/2006/relationships/hyperlink" TargetMode="External" Target="https://zakupki.gov.ru/epz/order/notice/ea44/view/common-info.html?regNumber=0320300082620000003"/><Relationship Id="rId1658" Type="http://schemas.openxmlformats.org/officeDocument/2006/relationships/hyperlink" TargetMode="External" Target="https://zakupki.gov.ru/epz/order/notice/ea44/view/common-info.html?regNumber=0318300596220000022"/><Relationship Id="rId1659" Type="http://schemas.openxmlformats.org/officeDocument/2006/relationships/hyperlink" TargetMode="External" Target="https://zakupki.gov.ru/epz/order/notice/ea44/view/common-info.html?regNumber=0813500000120003441"/><Relationship Id="rId1660" Type="http://schemas.openxmlformats.org/officeDocument/2006/relationships/hyperlink" TargetMode="External" Target="https://zakupki.gov.ru/epz/order/notice/ea44/view/common-info.html?regNumber=0318200078420000091"/><Relationship Id="rId1661" Type="http://schemas.openxmlformats.org/officeDocument/2006/relationships/hyperlink" TargetMode="External" Target="https://zakupki.gov.ru/epz/order/notice/ea44/view/common-info.html?regNumber=0358200005120000020"/><Relationship Id="rId1662" Type="http://schemas.openxmlformats.org/officeDocument/2006/relationships/hyperlink" TargetMode="External" Target="https://zakupki.gov.ru/epz/order/notice/ea44/view/common-info.html?regNumber=0134300016020000046"/><Relationship Id="rId1663" Type="http://schemas.openxmlformats.org/officeDocument/2006/relationships/hyperlink" TargetMode="External" Target="https://zakupki.gov.ru/epz/order/notice/ea44/view/common-info.html?regNumber=0119300019820000302"/><Relationship Id="rId1664" Type="http://schemas.openxmlformats.org/officeDocument/2006/relationships/hyperlink" TargetMode="External" Target="https://zakupki.gov.ru/epz/order/notice/ea44/view/common-info.html?regNumber=0134300016020000049"/><Relationship Id="rId1665" Type="http://schemas.openxmlformats.org/officeDocument/2006/relationships/hyperlink" TargetMode="External" Target="https://zakupki.gov.ru/epz/order/notice/ea44/view/common-info.html?regNumber=0813500000120003630"/><Relationship Id="rId1666" Type="http://schemas.openxmlformats.org/officeDocument/2006/relationships/hyperlink" TargetMode="External" Target="https://zakupki.gov.ru/epz/order/notice/ea44/view/common-info.html?regNumber=0351100003720000074"/><Relationship Id="rId1667" Type="http://schemas.openxmlformats.org/officeDocument/2006/relationships/hyperlink" TargetMode="External" Target="https://zakupki.gov.ru/epz/order/notice/ea44/view/common-info.html?regNumber=0306200011520000082"/><Relationship Id="rId1668" Type="http://schemas.openxmlformats.org/officeDocument/2006/relationships/hyperlink" TargetMode="External" Target="https://zakupki.gov.ru/epz/order/notice/ea44/view/common-info.html?regNumber=0855200000520000444"/><Relationship Id="rId1669" Type="http://schemas.openxmlformats.org/officeDocument/2006/relationships/hyperlink" TargetMode="External" Target="https://zakupki.gov.ru/epz/order/notice/ea44/view/common-info.html?regNumber=0127200000220001453"/><Relationship Id="rId1670" Type="http://schemas.openxmlformats.org/officeDocument/2006/relationships/hyperlink" TargetMode="External" Target="https://zakupki.gov.ru/epz/order/notice/ea44/view/common-info.html?regNumber=0369200000120000084"/><Relationship Id="rId1671" Type="http://schemas.openxmlformats.org/officeDocument/2006/relationships/hyperlink" TargetMode="External" Target="https://zakupki.gov.ru/epz/order/notice/ea44/view/common-info.html?regNumber=0134300016020000040"/><Relationship Id="rId1672" Type="http://schemas.openxmlformats.org/officeDocument/2006/relationships/hyperlink" TargetMode="External" Target="https://zakupki.gov.ru/epz/order/notice/ea44/view/common-info.html?regNumber=0134100009620000020"/><Relationship Id="rId1673" Type="http://schemas.openxmlformats.org/officeDocument/2006/relationships/hyperlink" TargetMode="External" Target="https://zakupki.gov.ru/epz/order/notice/ea44/view/common-info.html?regNumber=0307200015720000045"/><Relationship Id="rId1674" Type="http://schemas.openxmlformats.org/officeDocument/2006/relationships/hyperlink" TargetMode="External" Target="https://zakupki.gov.ru/epz/order/notice/ea44/view/common-info.html?regNumber=0156100011820000017"/><Relationship Id="rId1675" Type="http://schemas.openxmlformats.org/officeDocument/2006/relationships/hyperlink" TargetMode="External" Target="https://zakupki.gov.ru/epz/order/notice/ea44/view/common-info.html?regNumber=0816500000620003183"/><Relationship Id="rId1676" Type="http://schemas.openxmlformats.org/officeDocument/2006/relationships/hyperlink" TargetMode="External" Target="https://zakupki.gov.ru/epz/order/notice/ea44/view/common-info.html?regNumber=0168200002420001700"/><Relationship Id="rId1677" Type="http://schemas.openxmlformats.org/officeDocument/2006/relationships/hyperlink" TargetMode="External" Target="https://zakupki.gov.ru/epz/order/notice/ea44/view/common-info.html?regNumber=0358300276620000028"/><Relationship Id="rId1678" Type="http://schemas.openxmlformats.org/officeDocument/2006/relationships/hyperlink" TargetMode="External" Target="https://zakupki.gov.ru/epz/order/notice/ea44/view/common-info.html?regNumber=0103200008420000798"/><Relationship Id="rId1679" Type="http://schemas.openxmlformats.org/officeDocument/2006/relationships/hyperlink" TargetMode="External" Target="https://zakupki.gov.ru/epz/order/notice/ea44/view/common-info.html?regNumber=0341300031520000100"/><Relationship Id="rId1680" Type="http://schemas.openxmlformats.org/officeDocument/2006/relationships/hyperlink" TargetMode="External" Target="https://zakupki.gov.ru/epz/order/notice/ea44/view/common-info.html?regNumber=0136500001120000904"/><Relationship Id="rId1681" Type="http://schemas.openxmlformats.org/officeDocument/2006/relationships/hyperlink" TargetMode="External" Target="https://zakupki.gov.ru/epz/order/notice/ea44/view/common-info.html?regNumber=0116300000120000203"/><Relationship Id="rId1682" Type="http://schemas.openxmlformats.org/officeDocument/2006/relationships/hyperlink" TargetMode="External" Target="https://zakupki.gov.ru/epz/order/notice/ea44/view/common-info.html?regNumber=0194200000520001916"/><Relationship Id="rId1683" Type="http://schemas.openxmlformats.org/officeDocument/2006/relationships/hyperlink" TargetMode="External" Target="https://zakupki.gov.ru/epz/order/notice/ea44/view/common-info.html?regNumber=0320100003720000028"/><Relationship Id="rId1684" Type="http://schemas.openxmlformats.org/officeDocument/2006/relationships/hyperlink" TargetMode="External" Target="https://zakupki.gov.ru/epz/order/notice/ea44/view/common-info.html?regNumber=0134100009620000017"/><Relationship Id="rId1685" Type="http://schemas.openxmlformats.org/officeDocument/2006/relationships/hyperlink" TargetMode="External" Target="https://zakupki.gov.ru/epz/order/notice/ea44/view/common-info.html?regNumber=0357200021020000026"/><Relationship Id="rId1686" Type="http://schemas.openxmlformats.org/officeDocument/2006/relationships/hyperlink" TargetMode="External" Target="https://zakupki.gov.ru/epz/order/notice/ea44/view/common-info.html?regNumber=0373100013420000173"/><Relationship Id="rId1687" Type="http://schemas.openxmlformats.org/officeDocument/2006/relationships/hyperlink" TargetMode="External" Target="https://zakupki.gov.ru/epz/order/notice/ea44/view/common-info.html?regNumber=0351300026020000068"/><Relationship Id="rId1688" Type="http://schemas.openxmlformats.org/officeDocument/2006/relationships/hyperlink" TargetMode="External" Target="https://zakupki.gov.ru/epz/order/notice/ea44/view/common-info.html?regNumber=0131200001020001847"/><Relationship Id="rId1689" Type="http://schemas.openxmlformats.org/officeDocument/2006/relationships/hyperlink" TargetMode="External" Target="https://zakupki.gov.ru/epz/order/notice/ea44/view/common-info.html?regNumber=0127100001620000034"/><Relationship Id="rId1690" Type="http://schemas.openxmlformats.org/officeDocument/2006/relationships/hyperlink" TargetMode="External" Target="https://zakupki.gov.ru/epz/order/notice/ea44/view/common-info.html?regNumber=0320100023220000001"/><Relationship Id="rId1691" Type="http://schemas.openxmlformats.org/officeDocument/2006/relationships/hyperlink" TargetMode="External" Target="https://zakupki.gov.ru/epz/order/notice/ea44/view/common-info.html?regNumber=0372200035220000032"/><Relationship Id="rId1692" Type="http://schemas.openxmlformats.org/officeDocument/2006/relationships/hyperlink" TargetMode="External" Target="https://zakupki.gov.ru/epz/order/notice/ea44/view/common-info.html?regNumber=0373100048720000018"/><Relationship Id="rId1693" Type="http://schemas.openxmlformats.org/officeDocument/2006/relationships/hyperlink" TargetMode="External" Target="https://zakupki.gov.ru/epz/order/notice/ea44/view/common-info.html?regNumber=0351100004420000011"/><Relationship Id="rId1694" Type="http://schemas.openxmlformats.org/officeDocument/2006/relationships/hyperlink" TargetMode="External" Target="https://zakupki.gov.ru/epz/order/notice/ea44/view/common-info.html?regNumber=0348300018720000050"/><Relationship Id="rId1695" Type="http://schemas.openxmlformats.org/officeDocument/2006/relationships/hyperlink" TargetMode="External" Target="https://zakupki.gov.ru/epz/order/notice/ea44/view/common-info.html?regNumber=0307200001720000012"/><Relationship Id="rId1696" Type="http://schemas.openxmlformats.org/officeDocument/2006/relationships/hyperlink" TargetMode="External" Target="https://zakupki.gov.ru/epz/order/notice/ea44/view/common-info.html?regNumber=0339300117920000001"/><Relationship Id="rId1697" Type="http://schemas.openxmlformats.org/officeDocument/2006/relationships/hyperlink" TargetMode="External" Target="https://zakupki.gov.ru/epz/order/notice/ea44/view/common-info.html?regNumber=0372200101620000011"/><Relationship Id="rId1698" Type="http://schemas.openxmlformats.org/officeDocument/2006/relationships/hyperlink" TargetMode="External" Target="https://zakupki.gov.ru/epz/order/notice/ea44/view/common-info.html?regNumber=0352300022320000083"/><Relationship Id="rId1699" Type="http://schemas.openxmlformats.org/officeDocument/2006/relationships/hyperlink" TargetMode="External" Target="https://zakupki.gov.ru/epz/order/notice/ea44/view/common-info.html?regNumber=0341200019020000021"/><Relationship Id="rId1700" Type="http://schemas.openxmlformats.org/officeDocument/2006/relationships/hyperlink" TargetMode="External" Target="https://zakupki.gov.ru/epz/order/notice/ea44/view/common-info.html?regNumber=0368100006720000005"/><Relationship Id="rId1701" Type="http://schemas.openxmlformats.org/officeDocument/2006/relationships/hyperlink" TargetMode="External" Target="https://zakupki.gov.ru/epz/order/notice/ea44/view/common-info.html?regNumber=0334300056420000058"/><Relationship Id="rId1702" Type="http://schemas.openxmlformats.org/officeDocument/2006/relationships/hyperlink" TargetMode="External" Target="https://zakupki.gov.ru/epz/order/notice/ea44/view/common-info.html?regNumber=0853300000520000022"/><Relationship Id="rId1703" Type="http://schemas.openxmlformats.org/officeDocument/2006/relationships/hyperlink" TargetMode="External" Target="https://zakupki.gov.ru/epz/order/notice/ea44/view/common-info.html?regNumber=0108100000720000001"/><Relationship Id="rId1704" Type="http://schemas.openxmlformats.org/officeDocument/2006/relationships/hyperlink" TargetMode="External" Target="https://zakupki.gov.ru/epz/order/notice/ea44/view/common-info.html?regNumber=0318200033920000039"/><Relationship Id="rId1705" Type="http://schemas.openxmlformats.org/officeDocument/2006/relationships/hyperlink" TargetMode="External" Target="https://zakupki.gov.ru/epz/order/notice/ea44/view/common-info.html?regNumber=0129100005020000030"/><Relationship Id="rId1706" Type="http://schemas.openxmlformats.org/officeDocument/2006/relationships/hyperlink" TargetMode="External" Target="https://zakupki.gov.ru/epz/order/notice/ea44/view/common-info.html?regNumber=0387200009120000656"/><Relationship Id="rId1707" Type="http://schemas.openxmlformats.org/officeDocument/2006/relationships/hyperlink" TargetMode="External" Target="https://zakupki.gov.ru/epz/order/notice/ea44/view/common-info.html?regNumber=0340200003320003080"/><Relationship Id="rId1708" Type="http://schemas.openxmlformats.org/officeDocument/2006/relationships/hyperlink" TargetMode="External" Target="https://zakupki.gov.ru/epz/order/notice/ea44/view/common-info.html?regNumber=0334200002420000011"/><Relationship Id="rId1709" Type="http://schemas.openxmlformats.org/officeDocument/2006/relationships/hyperlink" TargetMode="External" Target="https://zakupki.gov.ru/epz/order/notice/ea44/view/common-info.html?regNumber=0373200008320000006"/><Relationship Id="rId1710" Type="http://schemas.openxmlformats.org/officeDocument/2006/relationships/hyperlink" TargetMode="External" Target="https://zakupki.gov.ru/epz/order/notice/ea44/view/common-info.html?regNumber=0354300017720000121"/><Relationship Id="rId1711" Type="http://schemas.openxmlformats.org/officeDocument/2006/relationships/hyperlink" TargetMode="External" Target="https://zakupki.gov.ru/epz/order/notice/ea44/view/common-info.html?regNumber=0351300113620000094"/><Relationship Id="rId1712" Type="http://schemas.openxmlformats.org/officeDocument/2006/relationships/hyperlink" TargetMode="External" Target="https://zakupki.gov.ru/epz/order/notice/ea44/view/common-info.html?regNumber=0169300000120000394"/><Relationship Id="rId1713" Type="http://schemas.openxmlformats.org/officeDocument/2006/relationships/hyperlink" TargetMode="External" Target="https://zakupki.gov.ru/epz/order/notice/ea44/view/common-info.html?regNumber=0321300014420000043"/><Relationship Id="rId1714" Type="http://schemas.openxmlformats.org/officeDocument/2006/relationships/hyperlink" TargetMode="External" Target="https://zakupki.gov.ru/epz/order/notice/ea44/view/common-info.html?regNumber=0136500001120000935"/><Relationship Id="rId1715" Type="http://schemas.openxmlformats.org/officeDocument/2006/relationships/hyperlink" TargetMode="External" Target="https://zakupki.gov.ru/epz/order/notice/ea44/view/common-info.html?regNumber=0348300018720000017"/><Relationship Id="rId1716" Type="http://schemas.openxmlformats.org/officeDocument/2006/relationships/hyperlink" TargetMode="External" Target="https://zakupki.gov.ru/epz/order/notice/ea44/view/common-info.html?regNumber=0833100000420000023"/><Relationship Id="rId1717" Type="http://schemas.openxmlformats.org/officeDocument/2006/relationships/hyperlink" TargetMode="External" Target="https://zakupki.gov.ru/epz/order/notice/ea44/view/common-info.html?regNumber=0853500000320001743"/><Relationship Id="rId1718" Type="http://schemas.openxmlformats.org/officeDocument/2006/relationships/hyperlink" TargetMode="External" Target="https://zakupki.gov.ru/epz/order/notice/ea44/view/common-info.html?regNumber=0372200241720000004"/><Relationship Id="rId1719" Type="http://schemas.openxmlformats.org/officeDocument/2006/relationships/hyperlink" TargetMode="External" Target="https://zakupki.gov.ru/epz/order/notice/ea44/view/common-info.html?regNumber=0160200002220000004"/><Relationship Id="rId1720" Type="http://schemas.openxmlformats.org/officeDocument/2006/relationships/hyperlink" TargetMode="External" Target="https://zakupki.gov.ru/epz/order/notice/ea44/view/common-info.html?regNumber=0834200000720000008"/><Relationship Id="rId1721" Type="http://schemas.openxmlformats.org/officeDocument/2006/relationships/hyperlink" TargetMode="External" Target="https://zakupki.gov.ru/epz/order/notice/ea44/view/common-info.html?regNumber=0301300117120000039"/><Relationship Id="rId1722" Type="http://schemas.openxmlformats.org/officeDocument/2006/relationships/hyperlink" TargetMode="External" Target="https://zakupki.gov.ru/epz/order/notice/ea44/view/common-info.html?regNumber=0856500000320000010"/><Relationship Id="rId1723" Type="http://schemas.openxmlformats.org/officeDocument/2006/relationships/hyperlink" TargetMode="External" Target="https://zakupki.gov.ru/epz/order/notice/ea44/view/common-info.html?regNumber=0318300165720000166"/><Relationship Id="rId1724" Type="http://schemas.openxmlformats.org/officeDocument/2006/relationships/hyperlink" TargetMode="External" Target="https://zakupki.gov.ru/epz/order/notice/ea44/view/common-info.html?regNumber=0322100003620000013"/><Relationship Id="rId1725" Type="http://schemas.openxmlformats.org/officeDocument/2006/relationships/hyperlink" TargetMode="External" Target="https://zakupki.gov.ru/epz/order/notice/ea44/view/common-info.html?regNumber=0888100000120000017"/><Relationship Id="rId1726" Type="http://schemas.openxmlformats.org/officeDocument/2006/relationships/hyperlink" TargetMode="External" Target="https://zakupki.gov.ru/epz/order/notice/ea44/view/common-info.html?regNumber=0291100000520000026"/><Relationship Id="rId1727" Type="http://schemas.openxmlformats.org/officeDocument/2006/relationships/hyperlink" TargetMode="External" Target="https://zakupki.gov.ru/epz/order/notice/ea44/view/common-info.html?regNumber=0132100003820000023"/><Relationship Id="rId1728" Type="http://schemas.openxmlformats.org/officeDocument/2006/relationships/hyperlink" TargetMode="External" Target="https://zakupki.gov.ru/epz/order/notice/ea44/view/common-info.html?regNumber=0311200028520000014"/><Relationship Id="rId1729" Type="http://schemas.openxmlformats.org/officeDocument/2006/relationships/hyperlink" TargetMode="External" Target="https://zakupki.gov.ru/epz/order/notice/ea44/view/common-info.html?regNumber=0369200027320000068"/><Relationship Id="rId1730" Type="http://schemas.openxmlformats.org/officeDocument/2006/relationships/hyperlink" TargetMode="External" Target="https://zakupki.gov.ru/epz/order/notice/ea44/view/common-info.html?regNumber=0162300000420000016"/><Relationship Id="rId1731" Type="http://schemas.openxmlformats.org/officeDocument/2006/relationships/hyperlink" TargetMode="External" Target="https://zakupki.gov.ru/epz/order/notice/ea44/view/common-info.html?regNumber=0264400000720000001"/><Relationship Id="rId1732" Type="http://schemas.openxmlformats.org/officeDocument/2006/relationships/hyperlink" TargetMode="External" Target="https://zakupki.gov.ru/epz/order/notice/ea44/view/common-info.html?regNumber=0136500001120000767"/><Relationship Id="rId1733" Type="http://schemas.openxmlformats.org/officeDocument/2006/relationships/hyperlink" TargetMode="External" Target="https://zakupki.gov.ru/epz/order/notice/ea44/view/common-info.html?regNumber=0351300044320000010"/><Relationship Id="rId1734" Type="http://schemas.openxmlformats.org/officeDocument/2006/relationships/hyperlink" TargetMode="External" Target="https://zakupki.gov.ru/epz/order/notice/ea44/view/common-info.html?regNumber=0194200000520001913"/><Relationship Id="rId1735" Type="http://schemas.openxmlformats.org/officeDocument/2006/relationships/hyperlink" TargetMode="External" Target="https://zakupki.gov.ru/epz/order/notice/ea44/view/common-info.html?regNumber=0339300018720000016"/><Relationship Id="rId1736" Type="http://schemas.openxmlformats.org/officeDocument/2006/relationships/hyperlink" TargetMode="External" Target="https://zakupki.gov.ru/epz/order/notice/ea44/view/common-info.html?regNumber=0340200003320002990"/><Relationship Id="rId1737" Type="http://schemas.openxmlformats.org/officeDocument/2006/relationships/hyperlink" TargetMode="External" Target="https://zakupki.gov.ru/epz/order/notice/ea44/view/common-info.html?regNumber=0334200017720000003"/><Relationship Id="rId1738" Type="http://schemas.openxmlformats.org/officeDocument/2006/relationships/hyperlink" TargetMode="External" Target="https://zakupki.gov.ru/epz/order/notice/ea44/view/common-info.html?regNumber=0168200002420001775"/><Relationship Id="rId1739" Type="http://schemas.openxmlformats.org/officeDocument/2006/relationships/hyperlink" TargetMode="External" Target="https://zakupki.gov.ru/epz/order/notice/ea44/view/common-info.html?regNumber=0265100000420000100"/><Relationship Id="rId1740" Type="http://schemas.openxmlformats.org/officeDocument/2006/relationships/hyperlink" TargetMode="External" Target="https://zakupki.gov.ru/epz/order/notice/ea44/view/common-info.html?regNumber=0131200001020002165"/><Relationship Id="rId1741" Type="http://schemas.openxmlformats.org/officeDocument/2006/relationships/hyperlink" TargetMode="External" Target="https://zakupki.gov.ru/epz/order/notice/ea44/view/common-info.html?regNumber=0351200001920000031"/><Relationship Id="rId1742" Type="http://schemas.openxmlformats.org/officeDocument/2006/relationships/hyperlink" TargetMode="External" Target="https://zakupki.gov.ru/epz/order/notice/ea44/view/common-info.html?regNumber=0334100012020000037"/><Relationship Id="rId1743" Type="http://schemas.openxmlformats.org/officeDocument/2006/relationships/hyperlink" TargetMode="External" Target="https://zakupki.gov.ru/epz/order/notice/ea44/view/common-info.html?regNumber=0366200035620001056"/><Relationship Id="rId1744" Type="http://schemas.openxmlformats.org/officeDocument/2006/relationships/hyperlink" TargetMode="External" Target="https://zakupki.gov.ru/epz/order/notice/ea44/view/common-info.html?regNumber=0134300016020000041"/><Relationship Id="rId1745" Type="http://schemas.openxmlformats.org/officeDocument/2006/relationships/hyperlink" TargetMode="External" Target="https://zakupki.gov.ru/epz/order/notice/ea44/view/common-info.html?regNumber=0365100014820000254"/><Relationship Id="rId1746" Type="http://schemas.openxmlformats.org/officeDocument/2006/relationships/hyperlink" TargetMode="External" Target="https://zakupki.gov.ru/epz/order/notice/ea44/view/common-info.html?regNumber=0145300005420000041"/><Relationship Id="rId1747" Type="http://schemas.openxmlformats.org/officeDocument/2006/relationships/hyperlink" TargetMode="External" Target="https://zakupki.gov.ru/epz/order/notice/ea44/view/common-info.html?regNumber=0351300138320000009"/><Relationship Id="rId1748" Type="http://schemas.openxmlformats.org/officeDocument/2006/relationships/hyperlink" TargetMode="External" Target="https://zakupki.gov.ru/epz/order/notice/ea44/view/common-info.html?regNumber=0340200003320003118"/><Relationship Id="rId1749" Type="http://schemas.openxmlformats.org/officeDocument/2006/relationships/hyperlink" TargetMode="External" Target="https://zakupki.gov.ru/epz/order/notice/ea44/view/common-info.html?regNumber=0318200076020000026"/><Relationship Id="rId1750" Type="http://schemas.openxmlformats.org/officeDocument/2006/relationships/hyperlink" TargetMode="External" Target="https://zakupki.gov.ru/epz/order/notice/ea44/view/common-info.html?regNumber=0360200017920000054"/><Relationship Id="rId1751" Type="http://schemas.openxmlformats.org/officeDocument/2006/relationships/hyperlink" TargetMode="External" Target="https://zakupki.gov.ru/epz/order/notice/ea44/view/common-info.html?regNumber=0887200000320000048"/><Relationship Id="rId1752" Type="http://schemas.openxmlformats.org/officeDocument/2006/relationships/hyperlink" TargetMode="External" Target="https://zakupki.gov.ru/epz/order/notice/ea44/view/common-info.html?regNumber=0360300040420000019"/><Relationship Id="rId1753" Type="http://schemas.openxmlformats.org/officeDocument/2006/relationships/hyperlink" TargetMode="External" Target="https://zakupki.gov.ru/epz/order/notice/ea44/view/common-info.html?regNumber=0358300218720000046"/><Relationship Id="rId1754" Type="http://schemas.openxmlformats.org/officeDocument/2006/relationships/hyperlink" TargetMode="External" Target="https://zakupki.gov.ru/epz/order/notice/ea44/view/common-info.html?regNumber=0373200005820000155"/><Relationship Id="rId1755" Type="http://schemas.openxmlformats.org/officeDocument/2006/relationships/hyperlink" TargetMode="External" Target="https://zakupki.gov.ru/epz/order/notice/ea44/view/common-info.html?regNumber=0280100001220000068"/><Relationship Id="rId1756" Type="http://schemas.openxmlformats.org/officeDocument/2006/relationships/hyperlink" TargetMode="External" Target="https://zakupki.gov.ru/epz/order/notice/ea44/view/common-info.html?regNumber=0131200001020002164"/><Relationship Id="rId1757" Type="http://schemas.openxmlformats.org/officeDocument/2006/relationships/hyperlink" TargetMode="External" Target="https://zakupki.gov.ru/epz/order/notice/ea44/view/common-info.html?regNumber=0372200028820000025"/><Relationship Id="rId1758" Type="http://schemas.openxmlformats.org/officeDocument/2006/relationships/hyperlink" TargetMode="External" Target="https://zakupki.gov.ru/epz/order/notice/ea44/view/common-info.html?regNumber=0853500000320001629"/><Relationship Id="rId1759" Type="http://schemas.openxmlformats.org/officeDocument/2006/relationships/hyperlink" TargetMode="External" Target="https://zakupki.gov.ru/epz/order/notice/ea44/view/common-info.html?regNumber=0307300051120000036"/><Relationship Id="rId1760" Type="http://schemas.openxmlformats.org/officeDocument/2006/relationships/hyperlink" TargetMode="External" Target="https://zakupki.gov.ru/epz/order/notice/ea44/view/common-info.html?regNumber=0146300004220000082"/><Relationship Id="rId1761" Type="http://schemas.openxmlformats.org/officeDocument/2006/relationships/hyperlink" TargetMode="External" Target="https://zakupki.gov.ru/epz/order/notice/ea44/view/common-info.html?regNumber=0813500000120003282"/><Relationship Id="rId1762" Type="http://schemas.openxmlformats.org/officeDocument/2006/relationships/hyperlink" TargetMode="External" Target="https://zakupki.gov.ru/epz/order/notice/ea44/view/common-info.html?regNumber=0358100014720000014"/><Relationship Id="rId1763" Type="http://schemas.openxmlformats.org/officeDocument/2006/relationships/hyperlink" TargetMode="External" Target="https://zakupki.gov.ru/epz/order/notice/ea44/view/common-info.html?regNumber=0816500000620002698"/><Relationship Id="rId1764" Type="http://schemas.openxmlformats.org/officeDocument/2006/relationships/hyperlink" TargetMode="External" Target="https://zakupki.gov.ru/epz/order/notice/ea44/view/common-info.html?regNumber=0136500001120000933"/><Relationship Id="rId1765" Type="http://schemas.openxmlformats.org/officeDocument/2006/relationships/hyperlink" TargetMode="External" Target="https://zakupki.gov.ru/epz/order/notice/ea44/view/common-info.html?regNumber=0340200003320002932"/><Relationship Id="rId1766" Type="http://schemas.openxmlformats.org/officeDocument/2006/relationships/hyperlink" TargetMode="External" Target="https://zakupki.gov.ru/epz/order/notice/ea44/view/common-info.html?regNumber=0352100011520000028"/><Relationship Id="rId1767" Type="http://schemas.openxmlformats.org/officeDocument/2006/relationships/hyperlink" TargetMode="External" Target="https://zakupki.gov.ru/epz/order/notice/ea44/view/common-info.html?regNumber=0194200000520001949"/><Relationship Id="rId1768" Type="http://schemas.openxmlformats.org/officeDocument/2006/relationships/hyperlink" TargetMode="External" Target="https://zakupki.gov.ru/epz/order/notice/ea44/view/common-info.html?regNumber=0348100073720000017"/><Relationship Id="rId1769" Type="http://schemas.openxmlformats.org/officeDocument/2006/relationships/hyperlink" TargetMode="External" Target="https://zakupki.gov.ru/epz/order/notice/ea44/view/common-info.html?regNumber=0372200026820000009"/><Relationship Id="rId1770" Type="http://schemas.openxmlformats.org/officeDocument/2006/relationships/hyperlink" TargetMode="External" Target="https://zakupki.gov.ru/epz/order/notice/ea44/view/common-info.html?regNumber=0126100002320000010"/><Relationship Id="rId1771" Type="http://schemas.openxmlformats.org/officeDocument/2006/relationships/hyperlink" TargetMode="External" Target="https://zakupki.gov.ru/epz/order/notice/ea44/view/common-info.html?regNumber=0351200001920000030"/><Relationship Id="rId1772" Type="http://schemas.openxmlformats.org/officeDocument/2006/relationships/hyperlink" TargetMode="External" Target="https://zakupki.gov.ru/epz/order/notice/ea44/view/common-info.html?regNumber=0350300036920000042"/><Relationship Id="rId1773" Type="http://schemas.openxmlformats.org/officeDocument/2006/relationships/hyperlink" TargetMode="External" Target="https://zakupki.gov.ru/epz/order/notice/ea44/view/common-info.html?regNumber=0307200002320000019"/><Relationship Id="rId1774" Type="http://schemas.openxmlformats.org/officeDocument/2006/relationships/hyperlink" TargetMode="External" Target="https://zakupki.gov.ru/epz/order/notice/ea44/view/common-info.html?regNumber=0127200000220001471"/><Relationship Id="rId1775" Type="http://schemas.openxmlformats.org/officeDocument/2006/relationships/hyperlink" TargetMode="External" Target="https://zakupki.gov.ru/epz/order/notice/ea44/view/common-info.html?regNumber=0301100010420000001"/><Relationship Id="rId1776" Type="http://schemas.openxmlformats.org/officeDocument/2006/relationships/hyperlink" TargetMode="External" Target="https://zakupki.gov.ru/epz/order/notice/ea44/view/common-info.html?regNumber=0340100021220000003"/><Relationship Id="rId1777" Type="http://schemas.openxmlformats.org/officeDocument/2006/relationships/hyperlink" TargetMode="External" Target="https://zakupki.gov.ru/epz/order/notice/ea44/view/common-info.html?regNumber=0301100010120000001"/><Relationship Id="rId1778" Type="http://schemas.openxmlformats.org/officeDocument/2006/relationships/hyperlink" TargetMode="External" Target="https://zakupki.gov.ru/epz/order/notice/ea44/view/common-info.html?regNumber=0321300096820000045"/><Relationship Id="rId1779" Type="http://schemas.openxmlformats.org/officeDocument/2006/relationships/hyperlink" TargetMode="External" Target="https://zakupki.gov.ru/epz/order/notice/ea44/view/common-info.html?regNumber=0322200031520000068"/><Relationship Id="rId1780" Type="http://schemas.openxmlformats.org/officeDocument/2006/relationships/hyperlink" TargetMode="External" Target="https://zakupki.gov.ru/epz/order/notice/ea44/view/common-info.html?regNumber=0322200031520000072"/><Relationship Id="rId1781" Type="http://schemas.openxmlformats.org/officeDocument/2006/relationships/hyperlink" TargetMode="External" Target="https://zakupki.gov.ru/epz/order/notice/ea44/view/common-info.html?regNumber=0322200031520000070"/><Relationship Id="rId1782" Type="http://schemas.openxmlformats.org/officeDocument/2006/relationships/hyperlink" TargetMode="External" Target="https://zakupki.gov.ru/epz/order/notice/ea44/view/common-info.html?regNumber=0322200031520000074"/><Relationship Id="rId1783" Type="http://schemas.openxmlformats.org/officeDocument/2006/relationships/hyperlink" TargetMode="External" Target="https://zakupki.gov.ru/epz/order/notice/ea44/view/common-info.html?regNumber=0813500000120003201"/><Relationship Id="rId1784" Type="http://schemas.openxmlformats.org/officeDocument/2006/relationships/hyperlink" TargetMode="External" Target="https://zakupki.gov.ru/epz/order/notice/ea44/view/common-info.html?regNumber=0168200002420001701"/><Relationship Id="rId1785" Type="http://schemas.openxmlformats.org/officeDocument/2006/relationships/hyperlink" TargetMode="External" Target="https://zakupki.gov.ru/epz/order/notice/ea44/view/common-info.html?regNumber=0131200001020001714"/><Relationship Id="rId1786" Type="http://schemas.openxmlformats.org/officeDocument/2006/relationships/hyperlink" TargetMode="External" Target="https://zakupki.gov.ru/epz/order/notice/ea44/view/common-info.html?regNumber=0340200003320003012"/><Relationship Id="rId1787" Type="http://schemas.openxmlformats.org/officeDocument/2006/relationships/hyperlink" TargetMode="External" Target="https://zakupki.gov.ru/epz/order/notice/ea44/view/common-info.html?regNumber=0348300062120000113"/><Relationship Id="rId1788" Type="http://schemas.openxmlformats.org/officeDocument/2006/relationships/hyperlink" TargetMode="External" Target="https://zakupki.gov.ru/epz/order/notice/ea44/view/common-info.html?regNumber=0332300220720000044"/><Relationship Id="rId1789" Type="http://schemas.openxmlformats.org/officeDocument/2006/relationships/hyperlink" TargetMode="External" Target="https://zakupki.gov.ru/epz/order/notice/ea44/view/common-info.html?regNumber=0366300113320000040"/><Relationship Id="rId1790" Type="http://schemas.openxmlformats.org/officeDocument/2006/relationships/hyperlink" TargetMode="External" Target="https://zakupki.gov.ru/epz/order/notice/ea44/view/common-info.html?regNumber=0372200103020000070"/><Relationship Id="rId1791" Type="http://schemas.openxmlformats.org/officeDocument/2006/relationships/hyperlink" TargetMode="External" Target="https://zakupki.gov.ru/epz/order/notice/ea44/view/common-info.html?regNumber=0373200045220000347"/><Relationship Id="rId1792" Type="http://schemas.openxmlformats.org/officeDocument/2006/relationships/hyperlink" TargetMode="External" Target="https://zakupki.gov.ru/epz/order/notice/ea44/view/common-info.html?regNumber=0335300017720000009"/><Relationship Id="rId1793" Type="http://schemas.openxmlformats.org/officeDocument/2006/relationships/hyperlink" TargetMode="External" Target="https://zakupki.gov.ru/epz/order/notice/ea44/view/common-info.html?regNumber=0318200020020000001"/><Relationship Id="rId1794" Type="http://schemas.openxmlformats.org/officeDocument/2006/relationships/hyperlink" TargetMode="External" Target="https://zakupki.gov.ru/epz/order/notice/ea44/view/common-info.html?regNumber=0351200001920000033"/><Relationship Id="rId1795" Type="http://schemas.openxmlformats.org/officeDocument/2006/relationships/hyperlink" TargetMode="External" Target="https://zakupki.gov.ru/epz/order/notice/ea44/view/common-info.html?regNumber=0105500000220000319"/><Relationship Id="rId1796" Type="http://schemas.openxmlformats.org/officeDocument/2006/relationships/hyperlink" TargetMode="External" Target="https://zakupki.gov.ru/epz/order/notice/ea44/view/common-info.html?regNumber=0141100000420000013"/><Relationship Id="rId1797" Type="http://schemas.openxmlformats.org/officeDocument/2006/relationships/hyperlink" TargetMode="External" Target="https://zakupki.gov.ru/epz/order/notice/ea44/view/common-info.html?regNumber=0122100003820000006"/><Relationship Id="rId1798" Type="http://schemas.openxmlformats.org/officeDocument/2006/relationships/hyperlink" TargetMode="External" Target="https://zakupki.gov.ru/epz/order/notice/ea44/view/common-info.html?regNumber=0353100013920000039"/><Relationship Id="rId1799" Type="http://schemas.openxmlformats.org/officeDocument/2006/relationships/hyperlink" TargetMode="External" Target="https://zakupki.gov.ru/epz/order/notice/ea44/view/common-info.html?regNumber=0351100003720000077"/><Relationship Id="rId1800" Type="http://schemas.openxmlformats.org/officeDocument/2006/relationships/hyperlink" TargetMode="External" Target="https://zakupki.gov.ru/epz/order/notice/ea44/view/common-info.html?regNumber=0816500000620003271"/><Relationship Id="rId1801" Type="http://schemas.openxmlformats.org/officeDocument/2006/relationships/hyperlink" TargetMode="External" Target="https://zakupki.gov.ru/epz/order/notice/ea44/view/common-info.html?regNumber=0352300020720000034"/><Relationship Id="rId1802" Type="http://schemas.openxmlformats.org/officeDocument/2006/relationships/hyperlink" TargetMode="External" Target="https://zakupki.gov.ru/epz/order/notice/ea44/view/common-info.html?regNumber=0357200021020000025"/><Relationship Id="rId1803" Type="http://schemas.openxmlformats.org/officeDocument/2006/relationships/hyperlink" TargetMode="External" Target="https://zakupki.gov.ru/epz/order/notice/ea44/view/common-info.html?regNumber=0325200001620000067"/><Relationship Id="rId1804" Type="http://schemas.openxmlformats.org/officeDocument/2006/relationships/hyperlink" TargetMode="External" Target="https://zakupki.gov.ru/epz/order/notice/ea44/view/common-info.html?regNumber=0346300003620000018"/><Relationship Id="rId1805" Type="http://schemas.openxmlformats.org/officeDocument/2006/relationships/hyperlink" TargetMode="External" Target="https://zakupki.gov.ru/epz/order/notice/ea44/view/common-info.html?regNumber=0307300051120000033"/><Relationship Id="rId1806" Type="http://schemas.openxmlformats.org/officeDocument/2006/relationships/hyperlink" TargetMode="External" Target="https://zakupki.gov.ru/epz/order/notice/ea44/view/common-info.html?regNumber=0813500000120003488"/><Relationship Id="rId1807" Type="http://schemas.openxmlformats.org/officeDocument/2006/relationships/hyperlink" TargetMode="External" Target="https://zakupki.gov.ru/epz/order/notice/ea44/view/common-info.html?regNumber=0309100007920000006"/><Relationship Id="rId1808" Type="http://schemas.openxmlformats.org/officeDocument/2006/relationships/hyperlink" TargetMode="External" Target="https://zakupki.gov.ru/epz/order/notice/ea44/view/common-info.html?regNumber=0142200001320004997"/><Relationship Id="rId1809" Type="http://schemas.openxmlformats.org/officeDocument/2006/relationships/hyperlink" TargetMode="External" Target="https://zakupki.gov.ru/epz/order/notice/ea44/view/common-info.html?regNumber=0318200076320000008"/><Relationship Id="rId1810" Type="http://schemas.openxmlformats.org/officeDocument/2006/relationships/hyperlink" TargetMode="External" Target="https://zakupki.gov.ru/epz/order/notice/ea44/view/common-info.html?regNumber=0344200022320000116"/><Relationship Id="rId1811" Type="http://schemas.openxmlformats.org/officeDocument/2006/relationships/hyperlink" TargetMode="External" Target="https://zakupki.gov.ru/epz/order/notice/ea44/view/common-info.html?regNumber=0112200000820001166"/><Relationship Id="rId1812" Type="http://schemas.openxmlformats.org/officeDocument/2006/relationships/hyperlink" TargetMode="External" Target="https://zakupki.gov.ru/epz/order/notice/ea44/view/common-info.html?regNumber=0360300022020000005"/><Relationship Id="rId1813" Type="http://schemas.openxmlformats.org/officeDocument/2006/relationships/hyperlink" TargetMode="External" Target="https://zakupki.gov.ru/epz/order/notice/ea44/view/common-info.html?regNumber=0369200018320000093"/><Relationship Id="rId1814" Type="http://schemas.openxmlformats.org/officeDocument/2006/relationships/hyperlink" TargetMode="External" Target="https://zakupki.gov.ru/epz/order/notice/ea44/view/common-info.html?regNumber=0340200003320003082"/><Relationship Id="rId1815" Type="http://schemas.openxmlformats.org/officeDocument/2006/relationships/hyperlink" TargetMode="External" Target="https://zakupki.gov.ru/epz/order/notice/ea44/view/common-info.html?regNumber=0135200000520000732"/><Relationship Id="rId1816" Type="http://schemas.openxmlformats.org/officeDocument/2006/relationships/hyperlink" TargetMode="External" Target="https://zakupki.gov.ru/epz/order/notice/ea44/view/common-info.html?regNumber=0320100032320000002"/><Relationship Id="rId1817" Type="http://schemas.openxmlformats.org/officeDocument/2006/relationships/hyperlink" TargetMode="External" Target="https://zakupki.gov.ru/epz/order/notice/ea44/view/common-info.html?regNumber=0306200011520000081"/><Relationship Id="rId1818" Type="http://schemas.openxmlformats.org/officeDocument/2006/relationships/hyperlink" TargetMode="External" Target="https://zakupki.gov.ru/epz/order/notice/ea44/view/common-info.html?regNumber=0309300054920000001"/><Relationship Id="rId1819" Type="http://schemas.openxmlformats.org/officeDocument/2006/relationships/hyperlink" TargetMode="External" Target="https://zakupki.gov.ru/epz/order/notice/ea44/view/common-info.html?regNumber=0373100013420000172"/><Relationship Id="rId1820" Type="http://schemas.openxmlformats.org/officeDocument/2006/relationships/hyperlink" TargetMode="External" Target="https://zakupki.gov.ru/epz/order/notice/ea44/view/common-info.html?regNumber=0160300003620000090"/><Relationship Id="rId1821" Type="http://schemas.openxmlformats.org/officeDocument/2006/relationships/hyperlink" TargetMode="External" Target="https://zakupki.gov.ru/epz/order/notice/ea44/view/common-info.html?regNumber=0372200227620000006"/><Relationship Id="rId1822" Type="http://schemas.openxmlformats.org/officeDocument/2006/relationships/hyperlink" TargetMode="External" Target="https://zakupki.gov.ru/epz/order/notice/ea44/view/common-info.html?regNumber=0856400000220000002"/><Relationship Id="rId1823" Type="http://schemas.openxmlformats.org/officeDocument/2006/relationships/hyperlink" TargetMode="External" Target="https://zakupki.gov.ru/epz/order/notice/ea44/view/common-info.html?regNumber=0321300024120000042"/><Relationship Id="rId1824" Type="http://schemas.openxmlformats.org/officeDocument/2006/relationships/hyperlink" TargetMode="External" Target="https://zakupki.gov.ru/epz/order/notice/ea44/view/common-info.html?regNumber=0322200008020000010"/><Relationship Id="rId1825" Type="http://schemas.openxmlformats.org/officeDocument/2006/relationships/hyperlink" TargetMode="External" Target="https://zakupki.gov.ru/epz/order/notice/ea44/view/common-info.html?regNumber=0340200003320003110"/><Relationship Id="rId1826" Type="http://schemas.openxmlformats.org/officeDocument/2006/relationships/hyperlink" TargetMode="External" Target="https://zakupki.gov.ru/epz/order/notice/ea44/view/common-info.html?regNumber=0366200019120000027"/><Relationship Id="rId1827" Type="http://schemas.openxmlformats.org/officeDocument/2006/relationships/hyperlink" TargetMode="External" Target="https://zakupki.gov.ru/epz/order/notice/ea44/view/common-info.html?regNumber=0340200003320003109"/><Relationship Id="rId1828" Type="http://schemas.openxmlformats.org/officeDocument/2006/relationships/hyperlink" TargetMode="External" Target="https://zakupki.gov.ru/epz/order/notice/ea44/view/common-info.html?regNumber=0312100005420000009"/><Relationship Id="rId1829" Type="http://schemas.openxmlformats.org/officeDocument/2006/relationships/hyperlink" TargetMode="External" Target="https://zakupki.gov.ru/epz/order/notice/ea44/view/common-info.html?regNumber=0375200055120000035"/><Relationship Id="rId1830" Type="http://schemas.openxmlformats.org/officeDocument/2006/relationships/hyperlink" TargetMode="External" Target="https://zakupki.gov.ru/epz/order/notice/ea44/view/common-info.html?regNumber=0309100007520000009"/><Relationship Id="rId1831" Type="http://schemas.openxmlformats.org/officeDocument/2006/relationships/hyperlink" TargetMode="External" Target="https://zakupki.gov.ru/epz/order/notice/ea44/view/common-info.html?regNumber=0142200001320004978"/><Relationship Id="rId1832" Type="http://schemas.openxmlformats.org/officeDocument/2006/relationships/hyperlink" TargetMode="External" Target="https://zakupki.gov.ru/epz/order/notice/ea44/view/common-info.html?regNumber=0352200033420000114"/><Relationship Id="rId1833" Type="http://schemas.openxmlformats.org/officeDocument/2006/relationships/hyperlink" TargetMode="External" Target="https://zakupki.gov.ru/epz/order/notice/ea44/view/common-info.html?regNumber=0356500002120000106"/><Relationship Id="rId1834" Type="http://schemas.openxmlformats.org/officeDocument/2006/relationships/hyperlink" TargetMode="External" Target="https://zakupki.gov.ru/epz/order/notice/ea44/view/common-info.html?regNumber=0884100000120000015"/><Relationship Id="rId1835" Type="http://schemas.openxmlformats.org/officeDocument/2006/relationships/hyperlink" TargetMode="External" Target="https://zakupki.gov.ru/epz/order/notice/ea44/view/common-info.html?regNumber=0366300113320000036"/><Relationship Id="rId1836" Type="http://schemas.openxmlformats.org/officeDocument/2006/relationships/hyperlink" TargetMode="External" Target="https://zakupki.gov.ru/epz/order/notice/ea44/view/common-info.html?regNumber=0357200018520000001"/><Relationship Id="rId1837" Type="http://schemas.openxmlformats.org/officeDocument/2006/relationships/hyperlink" TargetMode="External" Target="https://zakupki.gov.ru/epz/order/notice/ea44/view/common-info.html?regNumber=0344200013020000063"/><Relationship Id="rId1838" Type="http://schemas.openxmlformats.org/officeDocument/2006/relationships/hyperlink" TargetMode="External" Target="https://zakupki.gov.ru/epz/order/notice/ea44/view/common-info.html?regNumber=0319200056820000077"/><Relationship Id="rId1839" Type="http://schemas.openxmlformats.org/officeDocument/2006/relationships/hyperlink" TargetMode="External" Target="https://zakupki.gov.ru/epz/order/notice/ea44/view/common-info.html?regNumber=0351300281520000020"/><Relationship Id="rId1840" Type="http://schemas.openxmlformats.org/officeDocument/2006/relationships/hyperlink" TargetMode="External" Target="https://zakupki.gov.ru/epz/order/notice/ea44/view/common-info.html?regNumber=0352300022320000082"/><Relationship Id="rId1841" Type="http://schemas.openxmlformats.org/officeDocument/2006/relationships/hyperlink" TargetMode="External" Target="https://zakupki.gov.ru/epz/order/notice/ea44/view/common-info.html?regNumber=0303200044320000002"/><Relationship Id="rId1842" Type="http://schemas.openxmlformats.org/officeDocument/2006/relationships/hyperlink" TargetMode="External" Target="https://zakupki.gov.ru/epz/order/notice/ea44/view/common-info.html?regNumber=0869500000920000018"/><Relationship Id="rId1843" Type="http://schemas.openxmlformats.org/officeDocument/2006/relationships/hyperlink" TargetMode="External" Target="https://zakupki.gov.ru/epz/order/notice/ea44/view/common-info.html?regNumber=0303200044320000003"/><Relationship Id="rId1844" Type="http://schemas.openxmlformats.org/officeDocument/2006/relationships/hyperlink" TargetMode="External" Target="https://zakupki.gov.ru/epz/order/notice/ea44/view/common-info.html?regNumber=0318300398820000024"/><Relationship Id="rId1845" Type="http://schemas.openxmlformats.org/officeDocument/2006/relationships/hyperlink" TargetMode="External" Target="https://zakupki.gov.ru/epz/order/notice/ea44/view/common-info.html?regNumber=0322200030220000047"/><Relationship Id="rId1846" Type="http://schemas.openxmlformats.org/officeDocument/2006/relationships/hyperlink" TargetMode="External" Target="https://zakupki.gov.ru/epz/order/notice/ea44/view/common-info.html?regNumber=0372200265620000002"/><Relationship Id="rId1847" Type="http://schemas.openxmlformats.org/officeDocument/2006/relationships/hyperlink" TargetMode="External" Target="https://zakupki.gov.ru/epz/order/notice/ea44/view/common-info.html?regNumber=0340200003320003057"/><Relationship Id="rId1848" Type="http://schemas.openxmlformats.org/officeDocument/2006/relationships/hyperlink" TargetMode="External" Target="https://zakupki.gov.ru/epz/order/notice/ea44/view/common-info.html?regNumber=0369300010720000051"/><Relationship Id="rId1849" Type="http://schemas.openxmlformats.org/officeDocument/2006/relationships/hyperlink" TargetMode="External" Target="https://zakupki.gov.ru/epz/order/notice/ea44/view/common-info.html?regNumber=0230100002720000009"/><Relationship Id="rId1850" Type="http://schemas.openxmlformats.org/officeDocument/2006/relationships/hyperlink" TargetMode="External" Target="https://zakupki.gov.ru/epz/order/notice/ea44/view/common-info.html?regNumber=0223100000120000018"/><Relationship Id="rId1851" Type="http://schemas.openxmlformats.org/officeDocument/2006/relationships/hyperlink" TargetMode="External" Target="https://zakupki.gov.ru/epz/order/notice/ea44/view/common-info.html?regNumber=0369200018320000102"/><Relationship Id="rId1852" Type="http://schemas.openxmlformats.org/officeDocument/2006/relationships/hyperlink" TargetMode="External" Target="https://zakupki.gov.ru/epz/order/notice/ea44/view/common-info.html?regNumber=0307200015720000047"/><Relationship Id="rId1853" Type="http://schemas.openxmlformats.org/officeDocument/2006/relationships/hyperlink" TargetMode="External" Target="https://zakupki.gov.ru/epz/order/notice/ea44/view/common-info.html?regNumber=0134300016020000052"/><Relationship Id="rId1854" Type="http://schemas.openxmlformats.org/officeDocument/2006/relationships/hyperlink" TargetMode="External" Target="https://zakupki.gov.ru/epz/order/notice/ea44/view/common-info.html?regNumber=0131200001020001268"/><Relationship Id="rId1855" Type="http://schemas.openxmlformats.org/officeDocument/2006/relationships/hyperlink" TargetMode="External" Target="https://zakupki.gov.ru/epz/order/notice/ea44/view/common-info.html?regNumber=0318200078420000082"/><Relationship Id="rId1856" Type="http://schemas.openxmlformats.org/officeDocument/2006/relationships/hyperlink" TargetMode="External" Target="https://zakupki.gov.ru/epz/order/notice/ea44/view/common-info.html?regNumber=0369300124620000024"/><Relationship Id="rId1857" Type="http://schemas.openxmlformats.org/officeDocument/2006/relationships/hyperlink" TargetMode="External" Target="https://zakupki.gov.ru/epz/order/notice/ea44/view/common-info.html?regNumber=0134300016020000043"/><Relationship Id="rId1858" Type="http://schemas.openxmlformats.org/officeDocument/2006/relationships/hyperlink" TargetMode="External" Target="https://zakupki.gov.ru/epz/order/notice/ea44/view/common-info.html?regNumber=0351200001920000024"/><Relationship Id="rId1859" Type="http://schemas.openxmlformats.org/officeDocument/2006/relationships/hyperlink" TargetMode="External" Target="https://zakupki.gov.ru/epz/order/notice/ea44/view/common-info.html?regNumber=0352300074820000031"/><Relationship Id="rId1860" Type="http://schemas.openxmlformats.org/officeDocument/2006/relationships/hyperlink" TargetMode="External" Target="https://zakupki.gov.ru/epz/order/notice/ea44/view/common-info.html?regNumber=0318300596220000020"/><Relationship Id="rId1861" Type="http://schemas.openxmlformats.org/officeDocument/2006/relationships/hyperlink" TargetMode="External" Target="https://zakupki.gov.ru/epz/order/notice/ea44/view/common-info.html?regNumber=0366300103120000069"/><Relationship Id="rId1862" Type="http://schemas.openxmlformats.org/officeDocument/2006/relationships/hyperlink" TargetMode="External" Target="https://zakupki.gov.ru/epz/order/notice/ea44/view/common-info.html?regNumber=0236100001220000006"/><Relationship Id="rId1863" Type="http://schemas.openxmlformats.org/officeDocument/2006/relationships/hyperlink" TargetMode="External" Target="https://zakupki.gov.ru/epz/order/notice/ea44/view/common-info.html?regNumber=0131200001020000954"/><Relationship Id="rId1864" Type="http://schemas.openxmlformats.org/officeDocument/2006/relationships/hyperlink" TargetMode="External" Target="https://zakupki.gov.ru/epz/order/notice/ea44/view/common-info.html?regNumber=0360100027320000004"/><Relationship Id="rId1865" Type="http://schemas.openxmlformats.org/officeDocument/2006/relationships/hyperlink" TargetMode="External" Target="https://zakupki.gov.ru/epz/order/notice/ea44/view/common-info.html?regNumber=0134300016020000047"/><Relationship Id="rId1866" Type="http://schemas.openxmlformats.org/officeDocument/2006/relationships/hyperlink" TargetMode="External" Target="https://zakupki.gov.ru/epz/order/notice/ea44/view/common-info.html?regNumber=0346200018220000023"/><Relationship Id="rId1867" Type="http://schemas.openxmlformats.org/officeDocument/2006/relationships/hyperlink" TargetMode="External" Target="https://zakupki.gov.ru/epz/order/notice/ea44/view/common-info.html?regNumber=0344200008820000077"/><Relationship Id="rId1868" Type="http://schemas.openxmlformats.org/officeDocument/2006/relationships/hyperlink" TargetMode="External" Target="https://zakupki.gov.ru/epz/order/notice/ea44/view/common-info.html?regNumber=0332100002420000008"/><Relationship Id="rId1869" Type="http://schemas.openxmlformats.org/officeDocument/2006/relationships/hyperlink" TargetMode="External" Target="https://zakupki.gov.ru/epz/order/notice/ea44/view/common-info.html?regNumber=0307200017520000070"/><Relationship Id="rId1870" Type="http://schemas.openxmlformats.org/officeDocument/2006/relationships/hyperlink" TargetMode="External" Target="https://zakupki.gov.ru/epz/order/notice/ea44/view/common-info.html?regNumber=0134300016020000055"/><Relationship Id="rId1871" Type="http://schemas.openxmlformats.org/officeDocument/2006/relationships/hyperlink" TargetMode="External" Target="https://zakupki.gov.ru/epz/order/notice/ea44/view/common-info.html?regNumber=0306200011520000083"/><Relationship Id="rId1872" Type="http://schemas.openxmlformats.org/officeDocument/2006/relationships/hyperlink" TargetMode="External" Target="https://zakupki.gov.ru/epz/order/notice/ea44/view/common-info.html?regNumber=0328200002820000044"/><Relationship Id="rId1873" Type="http://schemas.openxmlformats.org/officeDocument/2006/relationships/hyperlink" TargetMode="External" Target="https://zakupki.gov.ru/epz/order/notice/ea44/view/common-info.html?regNumber=0142200001320005043"/><Relationship Id="rId1874" Type="http://schemas.openxmlformats.org/officeDocument/2006/relationships/hyperlink" TargetMode="External" Target="https://zakupki.gov.ru/epz/order/notice/ea44/view/common-info.html?regNumber=0319300209620000008"/><Relationship Id="rId1875" Type="http://schemas.openxmlformats.org/officeDocument/2006/relationships/hyperlink" TargetMode="External" Target="https://zakupki.gov.ru/epz/order/notice/ea44/view/common-info.html?regNumber=0369200018320000095"/><Relationship Id="rId1876" Type="http://schemas.openxmlformats.org/officeDocument/2006/relationships/hyperlink" TargetMode="External" Target="https://zakupki.gov.ru/epz/order/notice/ea44/view/common-info.html?regNumber=0134300090020000110"/><Relationship Id="rId1877" Type="http://schemas.openxmlformats.org/officeDocument/2006/relationships/hyperlink" TargetMode="External" Target="https://zakupki.gov.ru/epz/order/notice/ea44/view/common-info.html?regNumber=0112200000820001209"/><Relationship Id="rId1878" Type="http://schemas.openxmlformats.org/officeDocument/2006/relationships/hyperlink" TargetMode="External" Target="https://zakupki.gov.ru/epz/order/notice/ea44/view/common-info.html?regNumber=0816500000620003084"/><Relationship Id="rId1879" Type="http://schemas.openxmlformats.org/officeDocument/2006/relationships/hyperlink" TargetMode="External" Target="https://zakupki.gov.ru/epz/order/notice/ea44/view/common-info.html?regNumber=0372200030620000066"/><Relationship Id="rId1880" Type="http://schemas.openxmlformats.org/officeDocument/2006/relationships/hyperlink" TargetMode="External" Target="https://zakupki.gov.ru/epz/order/notice/ea44/view/common-info.html?regNumber=0331100001020000029"/><Relationship Id="rId1881" Type="http://schemas.openxmlformats.org/officeDocument/2006/relationships/hyperlink" TargetMode="External" Target="https://zakupki.gov.ru/epz/order/notice/ea44/view/common-info.html?regNumber=0134300016020000048"/><Relationship Id="rId1882" Type="http://schemas.openxmlformats.org/officeDocument/2006/relationships/hyperlink" TargetMode="External" Target="https://zakupki.gov.ru/epz/order/notice/ea44/view/common-info.html?regNumber=0356300013920000030"/><Relationship Id="rId1883" Type="http://schemas.openxmlformats.org/officeDocument/2006/relationships/hyperlink" TargetMode="External" Target="https://zakupki.gov.ru/epz/order/notice/ea44/view/common-info.html?regNumber=0169300000120000401"/><Relationship Id="rId1884" Type="http://schemas.openxmlformats.org/officeDocument/2006/relationships/hyperlink" TargetMode="External" Target="https://zakupki.gov.ru/epz/order/notice/ea44/view/common-info.html?regNumber=0334100012820000015"/><Relationship Id="rId1885" Type="http://schemas.openxmlformats.org/officeDocument/2006/relationships/hyperlink" TargetMode="External" Target="https://zakupki.gov.ru/epz/order/notice/ea44/view/common-info.html?regNumber=0816500000620002829"/><Relationship Id="rId1886" Type="http://schemas.openxmlformats.org/officeDocument/2006/relationships/hyperlink" TargetMode="External" Target="https://zakupki.gov.ru/epz/order/notice/ea44/view/common-info.html?regNumber=0362600016820000001"/><Relationship Id="rId1887" Type="http://schemas.openxmlformats.org/officeDocument/2006/relationships/hyperlink" TargetMode="External" Target="https://zakupki.gov.ru/epz/order/notice/ea44/view/common-info.html?regNumber=0136500001120000577"/><Relationship Id="rId1888" Type="http://schemas.openxmlformats.org/officeDocument/2006/relationships/hyperlink" TargetMode="External" Target="https://zakupki.gov.ru/epz/order/notice/ea44/view/common-info.html?regNumber=0168200002420001786"/><Relationship Id="rId1889" Type="http://schemas.openxmlformats.org/officeDocument/2006/relationships/hyperlink" TargetMode="External" Target="https://zakupki.gov.ru/epz/order/notice/ea44/view/common-info.html?regNumber=0158100025220000004"/><Relationship Id="rId1890" Type="http://schemas.openxmlformats.org/officeDocument/2006/relationships/hyperlink" TargetMode="External" Target="https://zakupki.gov.ru/epz/order/notice/ea44/view/common-info.html?regNumber=0134300016020000045"/><Relationship Id="rId1891" Type="http://schemas.openxmlformats.org/officeDocument/2006/relationships/hyperlink" TargetMode="External" Target="https://zakupki.gov.ru/epz/order/notice/ea44/view/common-info.html?regNumber=0134300016020000050"/><Relationship Id="rId1892" Type="http://schemas.openxmlformats.org/officeDocument/2006/relationships/hyperlink" TargetMode="External" Target="https://zakupki.gov.ru/epz/order/notice/ea44/view/common-info.html?regNumber=0318200028120000355"/><Relationship Id="rId1893" Type="http://schemas.openxmlformats.org/officeDocument/2006/relationships/hyperlink" TargetMode="External" Target="https://zakupki.gov.ru/epz/order/notice/ea44/view/common-info.html?regNumber=0851600000120000005"/><Relationship Id="rId1894" Type="http://schemas.openxmlformats.org/officeDocument/2006/relationships/hyperlink" TargetMode="External" Target="https://zakupki.gov.ru/epz/order/notice/ea44/view/common-info.html?regNumber=0160300020720000019"/><Relationship Id="rId1895" Type="http://schemas.openxmlformats.org/officeDocument/2006/relationships/hyperlink" TargetMode="External" Target="https://zakupki.gov.ru/epz/order/notice/ea44/view/common-info.html?regNumber=0318100050620000096"/><Relationship Id="rId1896" Type="http://schemas.openxmlformats.org/officeDocument/2006/relationships/hyperlink" TargetMode="External" Target="https://zakupki.gov.ru/epz/order/notice/ea44/view/common-info.html?regNumber=0356500002120000103"/><Relationship Id="rId1897" Type="http://schemas.openxmlformats.org/officeDocument/2006/relationships/hyperlink" TargetMode="External" Target="https://zakupki.gov.ru/epz/order/notice/ea44/view/common-info.html?regNumber=0372200033820000004"/><Relationship Id="rId1898" Type="http://schemas.openxmlformats.org/officeDocument/2006/relationships/hyperlink" TargetMode="External" Target="https://zakupki.gov.ru/epz/order/notice/ea44/view/common-info.html?regNumber=0134200003920000007"/><Relationship Id="rId1899" Type="http://schemas.openxmlformats.org/officeDocument/2006/relationships/hyperlink" TargetMode="External" Target="https://zakupki.gov.ru/epz/order/notice/ea44/view/common-info.html?regNumber=0344300043620000056"/><Relationship Id="rId1900" Type="http://schemas.openxmlformats.org/officeDocument/2006/relationships/hyperlink" TargetMode="External" Target="https://zakupki.gov.ru/epz/order/notice/ea44/view/common-info.html?regNumber=0372200081720000021"/><Relationship Id="rId1901" Type="http://schemas.openxmlformats.org/officeDocument/2006/relationships/hyperlink" TargetMode="External" Target="https://zakupki.gov.ru/epz/order/notice/ea44/view/common-info.html?regNumber=0137200001220001297"/><Relationship Id="rId1902" Type="http://schemas.openxmlformats.org/officeDocument/2006/relationships/hyperlink" TargetMode="External" Target="https://zakupki.gov.ru/epz/order/notice/ea44/view/common-info.html?regNumber=0318200028120000354"/><Relationship Id="rId1903" Type="http://schemas.openxmlformats.org/officeDocument/2006/relationships/hyperlink" TargetMode="External" Target="https://zakupki.gov.ru/epz/order/notice/ea44/view/common-info.html?regNumber=0372200205020000031"/><Relationship Id="rId1904" Type="http://schemas.openxmlformats.org/officeDocument/2006/relationships/hyperlink" TargetMode="External" Target="https://zakupki.gov.ru/epz/order/notice/ea44/view/common-info.html?regNumber=0372200243120000008"/><Relationship Id="rId1905" Type="http://schemas.openxmlformats.org/officeDocument/2006/relationships/hyperlink" TargetMode="External" Target="https://zakupki.gov.ru/epz/order/notice/ea44/view/common-info.html?regNumber=0360200011020000005"/><Relationship Id="rId1906" Type="http://schemas.openxmlformats.org/officeDocument/2006/relationships/hyperlink" TargetMode="External" Target="https://zakupki.gov.ru/epz/order/notice/ea44/view/common-info.html?regNumber=0301100049620000059"/><Relationship Id="rId1907" Type="http://schemas.openxmlformats.org/officeDocument/2006/relationships/hyperlink" TargetMode="External" Target="https://zakupki.gov.ru/epz/order/notice/ea44/view/common-info.html?regNumber=0134300016020000042"/><Relationship Id="rId1908" Type="http://schemas.openxmlformats.org/officeDocument/2006/relationships/hyperlink" TargetMode="External" Target="https://zakupki.gov.ru/epz/order/notice/ea44/view/common-info.html?regNumber=0307200002320000018"/><Relationship Id="rId1909" Type="http://schemas.openxmlformats.org/officeDocument/2006/relationships/hyperlink" TargetMode="External" Target="https://zakupki.gov.ru/epz/order/notice/ea44/view/common-info.html?regNumber=0372200040220000009"/><Relationship Id="rId1910" Type="http://schemas.openxmlformats.org/officeDocument/2006/relationships/hyperlink" TargetMode="External" Target="https://zakupki.gov.ru/epz/order/notice/ea44/view/common-info.html?regNumber=0332300214720000025"/><Relationship Id="rId1911" Type="http://schemas.openxmlformats.org/officeDocument/2006/relationships/hyperlink" TargetMode="External" Target="https://zakupki.gov.ru/epz/order/notice/ea44/view/common-info.html?regNumber=0136300012520000031"/><Relationship Id="rId1912" Type="http://schemas.openxmlformats.org/officeDocument/2006/relationships/hyperlink" TargetMode="External" Target="https://zakupki.gov.ru/epz/order/notice/ea44/view/common-info.html?regNumber=0366200019120000028"/><Relationship Id="rId1913" Type="http://schemas.openxmlformats.org/officeDocument/2006/relationships/hyperlink" TargetMode="External" Target="https://zakupki.gov.ru/epz/order/notice/ea44/view/common-info.html?regNumber=0134300016020000054"/><Relationship Id="rId1914" Type="http://schemas.openxmlformats.org/officeDocument/2006/relationships/hyperlink" TargetMode="External" Target="https://zakupki.gov.ru/epz/order/notice/ea44/view/common-info.html?regNumber=0334200002420000012"/><Relationship Id="rId1915" Type="http://schemas.openxmlformats.org/officeDocument/2006/relationships/hyperlink" TargetMode="External" Target="https://zakupki.gov.ru/epz/order/notice/ea44/view/common-info.html?regNumber=0352300020720000037"/><Relationship Id="rId1916" Type="http://schemas.openxmlformats.org/officeDocument/2006/relationships/hyperlink" TargetMode="External" Target="https://zakupki.gov.ru/epz/order/notice/ea44/view/common-info.html?regNumber=0112200000820001188"/><Relationship Id="rId1917" Type="http://schemas.openxmlformats.org/officeDocument/2006/relationships/hyperlink" TargetMode="External" Target="https://zakupki.gov.ru/epz/order/notice/ea44/view/common-info.html?regNumber=0813500000120003265"/><Relationship Id="rId1918" Type="http://schemas.openxmlformats.org/officeDocument/2006/relationships/hyperlink" TargetMode="External" Target="https://zakupki.gov.ru/epz/order/notice/ea44/view/common-info.html?regNumber=0187100000820000011"/><Relationship Id="rId1919" Type="http://schemas.openxmlformats.org/officeDocument/2006/relationships/hyperlink" TargetMode="External" Target="https://zakupki.gov.ru/epz/order/notice/ea44/view/common-info.html?regNumber=0340200003320002999"/><Relationship Id="rId1920" Type="http://schemas.openxmlformats.org/officeDocument/2006/relationships/hyperlink" TargetMode="External" Target="https://zakupki.gov.ru/epz/order/notice/ea44/view/common-info.html?regNumber=0387200009120000555"/><Relationship Id="rId1921" Type="http://schemas.openxmlformats.org/officeDocument/2006/relationships/hyperlink" TargetMode="External" Target="https://zakupki.gov.ru/epz/order/notice/ea44/view/common-info.html?regNumber=0318200071320000123"/><Relationship Id="rId1922" Type="http://schemas.openxmlformats.org/officeDocument/2006/relationships/hyperlink" TargetMode="External" Target="https://zakupki.gov.ru/epz/order/notice/ea44/view/common-info.html?regNumber=0168200002420001785"/><Relationship Id="rId1923" Type="http://schemas.openxmlformats.org/officeDocument/2006/relationships/hyperlink" TargetMode="External" Target="https://zakupki.gov.ru/epz/order/notice/ea44/view/common-info.html?regNumber=0340200003320003099"/><Relationship Id="rId1924" Type="http://schemas.openxmlformats.org/officeDocument/2006/relationships/hyperlink" TargetMode="External" Target="https://zakupki.gov.ru/epz/order/notice/ea44/view/common-info.html?regNumber=0344200012920000095"/><Relationship Id="rId1925" Type="http://schemas.openxmlformats.org/officeDocument/2006/relationships/hyperlink" TargetMode="External" Target="https://zakupki.gov.ru/epz/order/notice/ea44/view/common-info.html?regNumber=0351300276120000057"/><Relationship Id="rId1926" Type="http://schemas.openxmlformats.org/officeDocument/2006/relationships/hyperlink" TargetMode="External" Target="https://zakupki.gov.ru/epz/order/notice/ea44/view/common-info.html?regNumber=0853500000320001726"/><Relationship Id="rId1927" Type="http://schemas.openxmlformats.org/officeDocument/2006/relationships/hyperlink" TargetMode="External" Target="https://zakupki.gov.ru/epz/order/notice/ea44/view/common-info.html?regNumber=0187100000820000009"/><Relationship Id="rId1928" Type="http://schemas.openxmlformats.org/officeDocument/2006/relationships/hyperlink" TargetMode="External" Target="https://zakupki.gov.ru/epz/order/notice/ea44/view/common-info.html?regNumber=0112200000820001148"/><Relationship Id="rId1929" Type="http://schemas.openxmlformats.org/officeDocument/2006/relationships/hyperlink" TargetMode="External" Target="https://zakupki.gov.ru/epz/order/notice/ea44/view/common-info.html?regNumber=0340200003320003130"/><Relationship Id="rId1930" Type="http://schemas.openxmlformats.org/officeDocument/2006/relationships/hyperlink" TargetMode="External" Target="https://zakupki.gov.ru/epz/order/notice/ea44/view/common-info.html?regNumber=0813500000120003266"/><Relationship Id="rId1931" Type="http://schemas.openxmlformats.org/officeDocument/2006/relationships/hyperlink" TargetMode="External" Target="https://zakupki.gov.ru/epz/order/notice/ea44/view/common-info.html?regNumber=0816300022920000008"/><Relationship Id="rId1932" Type="http://schemas.openxmlformats.org/officeDocument/2006/relationships/hyperlink" TargetMode="External" Target="https://zakupki.gov.ru/epz/order/notice/ea44/view/common-info.html?regNumber=0373200178120000118"/><Relationship Id="rId1933" Type="http://schemas.openxmlformats.org/officeDocument/2006/relationships/hyperlink" TargetMode="External" Target="https://zakupki.gov.ru/epz/order/notice/ea44/view/common-info.html?regNumber=0319100030120000004"/><Relationship Id="rId1934" Type="http://schemas.openxmlformats.org/officeDocument/2006/relationships/hyperlink" TargetMode="External" Target="https://zakupki.gov.ru/epz/order/notice/ea44/view/common-info.html?regNumber=0187100000820000013"/><Relationship Id="rId1935" Type="http://schemas.openxmlformats.org/officeDocument/2006/relationships/hyperlink" TargetMode="External" Target="https://zakupki.gov.ru/epz/order/notice/ea44/view/common-info.html?regNumber=0187100000820000008"/><Relationship Id="rId1936" Type="http://schemas.openxmlformats.org/officeDocument/2006/relationships/hyperlink" TargetMode="External" Target="https://zakupki.gov.ru/epz/order/notice/ea44/view/common-info.html?regNumber=0187100000820000012"/><Relationship Id="rId1937" Type="http://schemas.openxmlformats.org/officeDocument/2006/relationships/hyperlink" TargetMode="External" Target="https://zakupki.gov.ru/epz/order/notice/ea44/view/common-info.html?regNumber=0319100012920000033"/><Relationship Id="rId1938" Type="http://schemas.openxmlformats.org/officeDocument/2006/relationships/hyperlink" TargetMode="External" Target="https://zakupki.gov.ru/epz/order/notice/ea44/view/common-info.html?regNumber=0372200130820000015"/><Relationship Id="rId1939" Type="http://schemas.openxmlformats.org/officeDocument/2006/relationships/hyperlink" TargetMode="External" Target="https://zakupki.gov.ru/epz/order/notice/ea44/view/common-info.html?regNumber=0369300010720000057"/><Relationship Id="rId1940" Type="http://schemas.openxmlformats.org/officeDocument/2006/relationships/hyperlink" TargetMode="External" Target="https://zakupki.gov.ru/epz/order/notice/ea44/view/common-info.html?regNumber=0248100001820000015"/><Relationship Id="rId1941" Type="http://schemas.openxmlformats.org/officeDocument/2006/relationships/hyperlink" TargetMode="External" Target="https://zakupki.gov.ru/epz/order/notice/ea44/view/common-info.html?regNumber=0348200020720000005"/><Relationship Id="rId1942" Type="http://schemas.openxmlformats.org/officeDocument/2006/relationships/hyperlink" TargetMode="External" Target="https://zakupki.gov.ru/epz/order/notice/ea44/view/common-info.html?regNumber=0307200015720000048"/><Relationship Id="rId1943" Type="http://schemas.openxmlformats.org/officeDocument/2006/relationships/hyperlink" TargetMode="External" Target="https://zakupki.gov.ru/epz/order/notice/ea44/view/common-info.html?regNumber=0307200004220000025"/><Relationship Id="rId1944" Type="http://schemas.openxmlformats.org/officeDocument/2006/relationships/hyperlink" TargetMode="External" Target="https://zakupki.gov.ru/epz/order/notice/ea44/view/common-info.html?regNumber=0873200004020000009"/><Relationship Id="rId1945" Type="http://schemas.openxmlformats.org/officeDocument/2006/relationships/hyperlink" TargetMode="External" Target="https://zakupki.gov.ru/epz/order/notice/ea44/view/common-info.html?regNumber=0387200009120000735"/><Relationship Id="rId1946" Type="http://schemas.openxmlformats.org/officeDocument/2006/relationships/hyperlink" TargetMode="External" Target="https://zakupki.gov.ru/epz/order/notice/ea44/view/common-info.html?regNumber=0168200002420001743"/><Relationship Id="rId1947" Type="http://schemas.openxmlformats.org/officeDocument/2006/relationships/hyperlink" TargetMode="External" Target="https://zakupki.gov.ru/epz/order/notice/ea44/view/common-info.html?regNumber=0134100005320000041"/><Relationship Id="rId1948" Type="http://schemas.openxmlformats.org/officeDocument/2006/relationships/hyperlink" TargetMode="External" Target="https://zakupki.gov.ru/epz/order/notice/ea44/view/common-info.html?regNumber=0142200001320004863"/><Relationship Id="rId1949" Type="http://schemas.openxmlformats.org/officeDocument/2006/relationships/hyperlink" TargetMode="External" Target="https://zakupki.gov.ru/epz/order/notice/ea44/view/common-info.html?regNumber=0168200002420001795"/><Relationship Id="rId1950" Type="http://schemas.openxmlformats.org/officeDocument/2006/relationships/hyperlink" TargetMode="External" Target="https://zakupki.gov.ru/epz/order/notice/ea44/view/common-info.html?regNumber=0340200003320003025"/><Relationship Id="rId1951" Type="http://schemas.openxmlformats.org/officeDocument/2006/relationships/hyperlink" TargetMode="External" Target="https://zakupki.gov.ru/epz/order/notice/ea44/view/common-info.html?regNumber=0320100003720000027"/><Relationship Id="rId1952" Type="http://schemas.openxmlformats.org/officeDocument/2006/relationships/hyperlink" TargetMode="External" Target="https://zakupki.gov.ru/epz/order/notice/ea44/view/common-info.html?regNumber=0194200000520001960"/><Relationship Id="rId1953" Type="http://schemas.openxmlformats.org/officeDocument/2006/relationships/hyperlink" TargetMode="External" Target="https://zakupki.gov.ru/epz/order/notice/ea44/view/common-info.html?regNumber=0366100001520000004"/><Relationship Id="rId1954" Type="http://schemas.openxmlformats.org/officeDocument/2006/relationships/hyperlink" TargetMode="External" Target="https://zakupki.gov.ru/epz/order/notice/ea44/view/common-info.html?regNumber=0168300000220000171"/><Relationship Id="rId1955" Type="http://schemas.openxmlformats.org/officeDocument/2006/relationships/hyperlink" TargetMode="External" Target="https://zakupki.gov.ru/epz/order/notice/ea44/view/common-info.html?regNumber=0340200003320003121"/><Relationship Id="rId1956" Type="http://schemas.openxmlformats.org/officeDocument/2006/relationships/hyperlink" TargetMode="External" Target="https://zakupki.gov.ru/epz/order/notice/ea44/view/common-info.html?regNumber=0219400000520000006"/><Relationship Id="rId1957" Type="http://schemas.openxmlformats.org/officeDocument/2006/relationships/hyperlink" TargetMode="External" Target="https://zakupki.gov.ru/epz/order/notice/ea44/view/common-info.html?regNumber=0318300194220000082"/><Relationship Id="rId1958" Type="http://schemas.openxmlformats.org/officeDocument/2006/relationships/hyperlink" TargetMode="External" Target="https://zakupki.gov.ru/epz/order/notice/ea44/view/common-info.html?regNumber=0142200001320005074"/><Relationship Id="rId1959" Type="http://schemas.openxmlformats.org/officeDocument/2006/relationships/hyperlink" TargetMode="External" Target="https://zakupki.gov.ru/epz/order/notice/ea44/view/common-info.html?regNumber=0345100015120000019"/><Relationship Id="rId1960" Type="http://schemas.openxmlformats.org/officeDocument/2006/relationships/hyperlink" TargetMode="External" Target="https://zakupki.gov.ru/epz/order/notice/ea44/view/common-info.html?regNumber=0838500000320000009"/><Relationship Id="rId1961" Type="http://schemas.openxmlformats.org/officeDocument/2006/relationships/hyperlink" TargetMode="External" Target="https://zakupki.gov.ru/epz/order/notice/ea44/view/common-info.html?regNumber=0369300128320000083"/><Relationship Id="rId1962" Type="http://schemas.openxmlformats.org/officeDocument/2006/relationships/hyperlink" TargetMode="External" Target="https://zakupki.gov.ru/epz/order/notice/ea44/view/common-info.html?regNumber=0184200000520000017"/><Relationship Id="rId1963" Type="http://schemas.openxmlformats.org/officeDocument/2006/relationships/hyperlink" TargetMode="External" Target="https://zakupki.gov.ru/epz/order/notice/ea44/view/common-info.html?regNumber=0306300053620000065"/><Relationship Id="rId1964" Type="http://schemas.openxmlformats.org/officeDocument/2006/relationships/hyperlink" TargetMode="External" Target="https://zakupki.gov.ru/epz/order/notice/ea44/view/common-info.html?regNumber=0306100004220000018"/><Relationship Id="rId1965" Type="http://schemas.openxmlformats.org/officeDocument/2006/relationships/hyperlink" TargetMode="External" Target="https://zakupki.gov.ru/epz/order/notice/ea44/view/common-info.html?regNumber=0830100001720000012"/><Relationship Id="rId1966" Type="http://schemas.openxmlformats.org/officeDocument/2006/relationships/hyperlink" TargetMode="External" Target="https://zakupki.gov.ru/epz/order/notice/ea44/view/common-info.html?regNumber=0332100038820000004"/><Relationship Id="rId1967" Type="http://schemas.openxmlformats.org/officeDocument/2006/relationships/hyperlink" TargetMode="External" Target="https://zakupki.gov.ru/epz/order/notice/ea44/view/common-info.html?regNumber=0344300055520000033"/><Relationship Id="rId1968" Type="http://schemas.openxmlformats.org/officeDocument/2006/relationships/hyperlink" TargetMode="External" Target="https://zakupki.gov.ru/epz/order/notice/ea44/view/common-info.html?regNumber=0545600001320000002"/><Relationship Id="rId1969" Type="http://schemas.openxmlformats.org/officeDocument/2006/relationships/hyperlink" TargetMode="External" Target="https://zakupki.gov.ru/epz/order/notice/ea44/view/common-info.html?regNumber=0321100000120000016"/><Relationship Id="rId1970" Type="http://schemas.openxmlformats.org/officeDocument/2006/relationships/hyperlink" TargetMode="External" Target="https://zakupki.gov.ru/epz/order/notice/ea44/view/common-info.html?regNumber=0134300016020000051"/><Relationship Id="rId1971" Type="http://schemas.openxmlformats.org/officeDocument/2006/relationships/hyperlink" TargetMode="External" Target="https://zakupki.gov.ru/epz/order/notice/ea44/view/common-info.html?regNumber=0318200027520000036"/><Relationship Id="rId1972" Type="http://schemas.openxmlformats.org/officeDocument/2006/relationships/hyperlink" TargetMode="External" Target="https://zakupki.gov.ru/epz/order/notice/ea44/view/common-info.html?regNumber=0356500006020000034"/><Relationship Id="rId1973" Type="http://schemas.openxmlformats.org/officeDocument/2006/relationships/hyperlink" TargetMode="External" Target="https://zakupki.gov.ru/epz/order/notice/ea44/view/common-info.html?regNumber=0351100004420000002"/><Relationship Id="rId1974" Type="http://schemas.openxmlformats.org/officeDocument/2006/relationships/hyperlink" TargetMode="External" Target="https://zakupki.gov.ru/epz/order/notice/ea44/view/common-info.html?regNumber=0351100021920000158"/><Relationship Id="rId1975" Type="http://schemas.openxmlformats.org/officeDocument/2006/relationships/hyperlink" TargetMode="External" Target="https://zakupki.gov.ru/epz/order/notice/ea44/view/common-info.html?regNumber=0144200002520000028"/><Relationship Id="rId1976" Type="http://schemas.openxmlformats.org/officeDocument/2006/relationships/hyperlink" TargetMode="External" Target="https://zakupki.gov.ru/epz/order/notice/ea44/view/common-info.html?regNumber=0131200001020001724"/><Relationship Id="rId1977" Type="http://schemas.openxmlformats.org/officeDocument/2006/relationships/hyperlink" TargetMode="External" Target="https://zakupki.gov.ru/epz/order/notice/ea44/view/common-info.html?regNumber=0341200019020000022"/><Relationship Id="rId1978" Type="http://schemas.openxmlformats.org/officeDocument/2006/relationships/hyperlink" TargetMode="External" Target="https://zakupki.gov.ru/epz/order/notice/ea44/view/common-info.html?regNumber=0830300000420000022"/><Relationship Id="rId1979" Type="http://schemas.openxmlformats.org/officeDocument/2006/relationships/hyperlink" TargetMode="External" Target="https://zakupki.gov.ru/epz/order/notice/ea44/view/common-info.html?regNumber=0340200003320003018"/><Relationship Id="rId1980" Type="http://schemas.openxmlformats.org/officeDocument/2006/relationships/hyperlink" TargetMode="External" Target="https://zakupki.gov.ru/epz/order/notice/ea44/view/common-info.html?regNumber=0369200007220000005"/><Relationship Id="rId1981" Type="http://schemas.openxmlformats.org/officeDocument/2006/relationships/hyperlink" TargetMode="External" Target="https://zakupki.gov.ru/epz/order/notice/ea44/view/common-info.html?regNumber=0357200018720000012"/><Relationship Id="rId1982" Type="http://schemas.openxmlformats.org/officeDocument/2006/relationships/hyperlink" TargetMode="External" Target="https://zakupki.gov.ru/epz/order/notice/ea44/view/common-info.html?regNumber=0307200001720000011"/><Relationship Id="rId1983" Type="http://schemas.openxmlformats.org/officeDocument/2006/relationships/hyperlink" TargetMode="External" Target="https://zakupki.gov.ru/epz/order/notice/ea44/view/common-info.html?regNumber=0115200001120000547"/><Relationship Id="rId1984" Type="http://schemas.openxmlformats.org/officeDocument/2006/relationships/hyperlink" TargetMode="External" Target="https://zakupki.gov.ru/epz/order/notice/ea44/view/common-info.html?regNumber=0318200028120000358"/><Relationship Id="rId1985" Type="http://schemas.openxmlformats.org/officeDocument/2006/relationships/hyperlink" TargetMode="External" Target="https://zakupki.gov.ru/epz/order/notice/ea44/view/common-info.html?regNumber=0348100093020000001"/><Relationship Id="rId1986" Type="http://schemas.openxmlformats.org/officeDocument/2006/relationships/hyperlink" TargetMode="External" Target="https://zakupki.gov.ru/epz/order/notice/ea44/view/common-info.html?regNumber=0303300009920000003"/><Relationship Id="rId1987" Type="http://schemas.openxmlformats.org/officeDocument/2006/relationships/hyperlink" TargetMode="External" Target="https://zakupki.gov.ru/epz/order/notice/ea44/view/common-info.html?regNumber=0318300398820000026"/><Relationship Id="rId1988" Type="http://schemas.openxmlformats.org/officeDocument/2006/relationships/hyperlink" TargetMode="External" Target="https://zakupki.gov.ru/epz/order/notice/ea44/view/common-info.html?regNumber=0387300123620000005"/><Relationship Id="rId1989" Type="http://schemas.openxmlformats.org/officeDocument/2006/relationships/hyperlink" TargetMode="External" Target="https://zakupki.gov.ru/epz/order/notice/ea44/view/common-info.html?regNumber=0347200007620000059"/><Relationship Id="rId1990" Type="http://schemas.openxmlformats.org/officeDocument/2006/relationships/hyperlink" TargetMode="External" Target="https://zakupki.gov.ru/epz/order/notice/ea44/view/common-info.html?regNumber=0142200001320004856"/><Relationship Id="rId1991" Type="http://schemas.openxmlformats.org/officeDocument/2006/relationships/hyperlink" TargetMode="External" Target="https://zakupki.gov.ru/epz/order/notice/ea44/view/common-info.html?regNumber=0320200023520000005"/><Relationship Id="rId1992" Type="http://schemas.openxmlformats.org/officeDocument/2006/relationships/hyperlink" TargetMode="External" Target="https://zakupki.gov.ru/epz/order/notice/ea44/view/common-info.html?regNumber=0355100009820000015"/><Relationship Id="rId1993" Type="http://schemas.openxmlformats.org/officeDocument/2006/relationships/hyperlink" TargetMode="External" Target="https://zakupki.gov.ru/epz/order/notice/ea44/view/common-info.html?regNumber=0340200003320003119"/><Relationship Id="rId1994" Type="http://schemas.openxmlformats.org/officeDocument/2006/relationships/hyperlink" TargetMode="External" Target="https://zakupki.gov.ru/epz/order/notice/ea44/view/common-info.html?regNumber=0340200003320003087"/><Relationship Id="rId1995" Type="http://schemas.openxmlformats.org/officeDocument/2006/relationships/hyperlink" TargetMode="External" Target="https://zakupki.gov.ru/epz/order/notice/ea44/view/common-info.html?regNumber=0320300043120000019"/><Relationship Id="rId1996" Type="http://schemas.openxmlformats.org/officeDocument/2006/relationships/hyperlink" TargetMode="External" Target="https://zakupki.gov.ru/epz/order/notice/ea44/view/common-info.html?regNumber=0853500000320001561"/><Relationship Id="rId1997" Type="http://schemas.openxmlformats.org/officeDocument/2006/relationships/hyperlink" TargetMode="External" Target="https://zakupki.gov.ru/epz/order/notice/ea44/view/common-info.html?regNumber=0312100004720000021"/><Relationship Id="rId1998" Type="http://schemas.openxmlformats.org/officeDocument/2006/relationships/hyperlink" TargetMode="External" Target="https://zakupki.gov.ru/epz/order/notice/ea44/view/common-info.html?regNumber=0134300073820000020"/><Relationship Id="rId1999" Type="http://schemas.openxmlformats.org/officeDocument/2006/relationships/hyperlink" TargetMode="External" Target="https://zakupki.gov.ru/epz/order/notice/ea44/view/common-info.html?regNumber=0545600001320000003"/><Relationship Id="rId2000" Type="http://schemas.openxmlformats.org/officeDocument/2006/relationships/hyperlink" TargetMode="External" Target="https://zakupki.gov.ru/epz/order/notice/ea44/view/common-info.html?regNumber=0318300058520000060"/><Relationship Id="rId2001" Type="http://schemas.openxmlformats.org/officeDocument/2006/relationships/hyperlink" TargetMode="External" Target="https://zakupki.gov.ru/epz/order/notice/ea44/view/common-info.html?regNumber=0301300117120000043"/><Relationship Id="rId2002" Type="http://schemas.openxmlformats.org/officeDocument/2006/relationships/hyperlink" TargetMode="External" Target="https://zakupki.gov.ru/epz/order/notice/ea44/view/common-info.html?regNumber=0345100002220000018"/><Relationship Id="rId2003" Type="http://schemas.openxmlformats.org/officeDocument/2006/relationships/hyperlink" TargetMode="External" Target="https://zakupki.gov.ru/epz/order/notice/ea44/view/common-info.html?regNumber=0168300000220000159"/><Relationship Id="rId2004" Type="http://schemas.openxmlformats.org/officeDocument/2006/relationships/hyperlink" TargetMode="External" Target="https://zakupki.gov.ru/epz/order/notice/ea44/view/common-info.html?regNumber=0134300045920000023"/><Relationship Id="rId2005" Type="http://schemas.openxmlformats.org/officeDocument/2006/relationships/hyperlink" TargetMode="External" Target="https://zakupki.gov.ru/epz/order/notice/ea44/view/common-info.html?regNumber=0387200029520000043"/><Relationship Id="rId2006" Type="http://schemas.openxmlformats.org/officeDocument/2006/relationships/hyperlink" TargetMode="External" Target="https://zakupki.gov.ru/epz/order/notice/ea44/view/common-info.html?regNumber=0131200001020002040"/><Relationship Id="rId2007" Type="http://schemas.openxmlformats.org/officeDocument/2006/relationships/hyperlink" TargetMode="External" Target="https://zakupki.gov.ru/epz/order/notice/ea44/view/common-info.html?regNumber=0344300043620000053"/><Relationship Id="rId2008" Type="http://schemas.openxmlformats.org/officeDocument/2006/relationships/hyperlink" TargetMode="External" Target="https://zakupki.gov.ru/epz/order/notice/ea44/view/common-info.html?regNumber=0306200006820000039"/><Relationship Id="rId2009" Type="http://schemas.openxmlformats.org/officeDocument/2006/relationships/hyperlink" TargetMode="External" Target="https://zakupki.gov.ru/epz/order/notice/ea44/view/common-info.html?regNumber=0112100001020000013"/><Relationship Id="rId2010" Type="http://schemas.openxmlformats.org/officeDocument/2006/relationships/hyperlink" TargetMode="External" Target="https://zakupki.gov.ru/epz/order/notice/ea44/view/common-info.html?regNumber=0164100003520000018"/><Relationship Id="rId2011" Type="http://schemas.openxmlformats.org/officeDocument/2006/relationships/hyperlink" TargetMode="External" Target="https://zakupki.gov.ru/epz/order/notice/ea44/view/common-info.html?regNumber=0134300016020000056"/><Relationship Id="rId2012" Type="http://schemas.openxmlformats.org/officeDocument/2006/relationships/hyperlink" TargetMode="External" Target="https://zakupki.gov.ru/epz/order/notice/ea44/view/common-info.html?regNumber=0303200036420000042"/><Relationship Id="rId2013" Type="http://schemas.openxmlformats.org/officeDocument/2006/relationships/hyperlink" TargetMode="External" Target="https://zakupki.gov.ru/epz/order/notice/ea44/view/common-info.html?regNumber=0373200006220000513"/><Relationship Id="rId2014" Type="http://schemas.openxmlformats.org/officeDocument/2006/relationships/hyperlink" TargetMode="External" Target="https://zakupki.gov.ru/epz/order/notice/ea44/view/common-info.html?regNumber=0136100006920000023"/><Relationship Id="rId2015" Type="http://schemas.openxmlformats.org/officeDocument/2006/relationships/hyperlink" TargetMode="External" Target="https://zakupki.gov.ru/epz/order/notice/ea44/view/common-info.html?regNumber=0236100001220000005"/><Relationship Id="rId2016" Type="http://schemas.openxmlformats.org/officeDocument/2006/relationships/hyperlink" TargetMode="External" Target="https://zakupki.gov.ru/epz/order/notice/ea44/view/common-info.html?regNumber=0218100003220000026"/><Relationship Id="rId2017" Type="http://schemas.openxmlformats.org/officeDocument/2006/relationships/hyperlink" TargetMode="External" Target="https://zakupki.gov.ru/epz/order/notice/ea44/view/common-info.html?regNumber=0340200003320002988"/><Relationship Id="rId2018" Type="http://schemas.openxmlformats.org/officeDocument/2006/relationships/hyperlink" TargetMode="External" Target="https://zakupki.gov.ru/epz/order/notice/ea44/view/common-info.html?regNumber=0360300217020000076"/><Relationship Id="rId2019" Type="http://schemas.openxmlformats.org/officeDocument/2006/relationships/hyperlink" TargetMode="External" Target="https://zakupki.gov.ru/epz/order/notice/ea44/view/common-info.html?regNumber=0371300009420000026"/><Relationship Id="rId2020" Type="http://schemas.openxmlformats.org/officeDocument/2006/relationships/hyperlink" TargetMode="External" Target="https://zakupki.gov.ru/epz/order/notice/ea44/view/common-info.html?regNumber=0242400000420000007"/><Relationship Id="rId2021" Type="http://schemas.openxmlformats.org/officeDocument/2006/relationships/hyperlink" TargetMode="External" Target="https://zakupki.gov.ru/epz/order/notice/ea44/view/common-info.html?regNumber=0252400000120000007"/><Relationship Id="rId2022" Type="http://schemas.openxmlformats.org/officeDocument/2006/relationships/hyperlink" TargetMode="External" Target="https://zakupki.gov.ru/epz/order/notice/ea44/view/common-info.html?regNumber=0322100008520000011"/><Relationship Id="rId2023" Type="http://schemas.openxmlformats.org/officeDocument/2006/relationships/hyperlink" TargetMode="External" Target="https://zakupki.gov.ru/epz/order/notice/ea44/view/common-info.html?regNumber=0334300133020000027"/><Relationship Id="rId2024" Type="http://schemas.openxmlformats.org/officeDocument/2006/relationships/hyperlink" TargetMode="External" Target="https://zakupki.gov.ru/epz/order/notice/ea44/view/common-info.html?regNumber=0231100000320000017"/><Relationship Id="rId2025" Type="http://schemas.openxmlformats.org/officeDocument/2006/relationships/hyperlink" TargetMode="External" Target="https://zakupki.gov.ru/epz/order/notice/ea44/view/common-info.html?regNumber=0340200003320002563"/><Relationship Id="rId2026" Type="http://schemas.openxmlformats.org/officeDocument/2006/relationships/hyperlink" TargetMode="External" Target="https://zakupki.gov.ru/epz/order/notice/ea44/view/common-info.html?regNumber=0306300034420000032"/><Relationship Id="rId2027" Type="http://schemas.openxmlformats.org/officeDocument/2006/relationships/hyperlink" TargetMode="External" Target="https://zakupki.gov.ru/epz/order/notice/ea44/view/common-info.html?regNumber=0360300129920000040"/><Relationship Id="rId2028" Type="http://schemas.openxmlformats.org/officeDocument/2006/relationships/hyperlink" TargetMode="External" Target="https://zakupki.gov.ru/epz/order/notice/ea44/view/common-info.html?regNumber=0131200001020002170"/><Relationship Id="rId2029" Type="http://schemas.openxmlformats.org/officeDocument/2006/relationships/hyperlink" TargetMode="External" Target="https://zakupki.gov.ru/epz/order/notice/ea44/view/common-info.html?regNumber=0171200001520000009"/><Relationship Id="rId2030" Type="http://schemas.openxmlformats.org/officeDocument/2006/relationships/hyperlink" TargetMode="External" Target="https://zakupki.gov.ru/epz/order/notice/ea44/view/common-info.html?regNumber=0194200000520001967"/><Relationship Id="rId2031" Type="http://schemas.openxmlformats.org/officeDocument/2006/relationships/hyperlink" TargetMode="External" Target="https://zakupki.gov.ru/epz/order/notice/ea44/view/common-info.html?regNumber=0307200015720000046"/><Relationship Id="rId2032" Type="http://schemas.openxmlformats.org/officeDocument/2006/relationships/hyperlink" TargetMode="External" Target="https://zakupki.gov.ru/epz/order/notice/ea44/view/common-info.html?regNumber=0816500000620003261"/><Relationship Id="rId2033" Type="http://schemas.openxmlformats.org/officeDocument/2006/relationships/hyperlink" TargetMode="External" Target="https://zakupki.gov.ru/epz/order/notice/ea44/view/common-info.html?regNumber=0231100000520000007"/><Relationship Id="rId2034" Type="http://schemas.openxmlformats.org/officeDocument/2006/relationships/hyperlink" TargetMode="External" Target="https://zakupki.gov.ru/epz/order/notice/ea44/view/common-info.html?regNumber=0341200019020000020"/><Relationship Id="rId2035" Type="http://schemas.openxmlformats.org/officeDocument/2006/relationships/hyperlink" TargetMode="External" Target="https://zakupki.gov.ru/epz/order/notice/ea44/view/common-info.html?regNumber=0131200001020001391"/><Relationship Id="rId2036" Type="http://schemas.openxmlformats.org/officeDocument/2006/relationships/hyperlink" TargetMode="External" Target="https://zakupki.gov.ru/epz/order/notice/ea44/view/common-info.html?regNumber=0123100008020000005"/><Relationship Id="rId2037" Type="http://schemas.openxmlformats.org/officeDocument/2006/relationships/hyperlink" TargetMode="External" Target="https://zakupki.gov.ru/epz/order/notice/ea44/view/common-info.html?regNumber=0351300026520000038"/><Relationship Id="rId2038" Type="http://schemas.openxmlformats.org/officeDocument/2006/relationships/hyperlink" TargetMode="External" Target="https://zakupki.gov.ru/epz/order/notice/ea44/view/common-info.html?regNumber=0352200038520000025"/><Relationship Id="rId2039" Type="http://schemas.openxmlformats.org/officeDocument/2006/relationships/hyperlink" TargetMode="External" Target="https://zakupki.gov.ru/epz/order/notice/ea44/view/common-info.html?regNumber=0307200028620000017"/><Relationship Id="rId2040" Type="http://schemas.openxmlformats.org/officeDocument/2006/relationships/hyperlink" TargetMode="External" Target="https://zakupki.gov.ru/epz/order/notice/ea44/view/common-info.html?regNumber=0111300001220000014"/><Relationship Id="rId2041" Type="http://schemas.openxmlformats.org/officeDocument/2006/relationships/hyperlink" TargetMode="External" Target="https://zakupki.gov.ru/epz/order/notice/ea44/view/common-info.html?regNumber=0348500002720000007"/><Relationship Id="rId2042" Type="http://schemas.openxmlformats.org/officeDocument/2006/relationships/hyperlink" TargetMode="External" Target="https://zakupki.gov.ru/epz/order/notice/ea44/view/common-info.html?regNumber=0362100013420000038"/><Relationship Id="rId2043" Type="http://schemas.openxmlformats.org/officeDocument/2006/relationships/hyperlink" TargetMode="External" Target="https://zakupki.gov.ru/epz/order/notice/ea44/view/common-info.html?regNumber=0375200002020000115"/><Relationship Id="rId2044" Type="http://schemas.openxmlformats.org/officeDocument/2006/relationships/hyperlink" TargetMode="External" Target="https://zakupki.gov.ru/epz/order/notice/ea44/view/common-info.html?regNumber=0156200001520000013"/><Relationship Id="rId2045" Type="http://schemas.openxmlformats.org/officeDocument/2006/relationships/hyperlink" TargetMode="External" Target="https://zakupki.gov.ru/epz/order/notice/ea44/view/common-info.html?regNumber=0853500000320001515"/><Relationship Id="rId2046" Type="http://schemas.openxmlformats.org/officeDocument/2006/relationships/hyperlink" TargetMode="External" Target="https://zakupki.gov.ru/epz/order/notice/ea44/view/common-info.html?regNumber=0155300036920000023"/><Relationship Id="rId2047" Type="http://schemas.openxmlformats.org/officeDocument/2006/relationships/hyperlink" TargetMode="External" Target="https://zakupki.gov.ru/epz/order/notice/ea44/view/common-info.html?regNumber=0303300009920000017"/><Relationship Id="rId2048" Type="http://schemas.openxmlformats.org/officeDocument/2006/relationships/hyperlink" TargetMode="External" Target="https://zakupki.gov.ru/epz/order/notice/ea44/view/common-info.html?regNumber=0319100020120000038"/><Relationship Id="rId2049" Type="http://schemas.openxmlformats.org/officeDocument/2006/relationships/hyperlink" TargetMode="External" Target="https://zakupki.gov.ru/epz/order/notice/ea44/view/common-info.html?regNumber=0853500000320001777"/><Relationship Id="rId2050" Type="http://schemas.openxmlformats.org/officeDocument/2006/relationships/hyperlink" TargetMode="External" Target="https://zakupki.gov.ru/epz/order/notice/ea44/view/common-info.html?regNumber=0169300012220000015"/><Relationship Id="rId2051" Type="http://schemas.openxmlformats.org/officeDocument/2006/relationships/hyperlink" TargetMode="External" Target="https://zakupki.gov.ru/epz/order/notice/ea44/view/common-info.html?regNumber=0348300014720000020"/><Relationship Id="rId2052" Type="http://schemas.openxmlformats.org/officeDocument/2006/relationships/hyperlink" TargetMode="External" Target="https://zakupki.gov.ru/epz/order/notice/ea44/view/common-info.html?regNumber=0352300183620000032"/><Relationship Id="rId2053" Type="http://schemas.openxmlformats.org/officeDocument/2006/relationships/hyperlink" TargetMode="External" Target="https://zakupki.gov.ru/epz/order/notice/ea44/view/common-info.html?regNumber=0834200000720000010"/><Relationship Id="rId2054" Type="http://schemas.openxmlformats.org/officeDocument/2006/relationships/hyperlink" TargetMode="External" Target="https://zakupki.gov.ru/epz/order/notice/ea44/view/common-info.html?regNumber=0320100003720000026"/><Relationship Id="rId2055" Type="http://schemas.openxmlformats.org/officeDocument/2006/relationships/hyperlink" TargetMode="External" Target="https://zakupki.gov.ru/epz/order/notice/ea44/view/common-info.html?regNumber=0239400000220000047"/><Relationship Id="rId2056" Type="http://schemas.openxmlformats.org/officeDocument/2006/relationships/hyperlink" TargetMode="External" Target="https://zakupki.gov.ru/epz/order/notice/ea44/view/common-info.html?regNumber=0366100001520000003"/><Relationship Id="rId2057" Type="http://schemas.openxmlformats.org/officeDocument/2006/relationships/hyperlink" TargetMode="External" Target="https://zakupki.gov.ru/epz/order/notice/ea44/view/common-info.html?regNumber=0371300009420000023"/><Relationship Id="rId2058" Type="http://schemas.openxmlformats.org/officeDocument/2006/relationships/hyperlink" TargetMode="External" Target="https://zakupki.gov.ru/epz/order/notice/ea44/view/common-info.html?regNumber=0169300000120000409"/><Relationship Id="rId2059" Type="http://schemas.openxmlformats.org/officeDocument/2006/relationships/hyperlink" TargetMode="External" Target="https://zakupki.gov.ru/epz/order/notice/ea44/view/common-info.html?regNumber=0112200000820001139"/><Relationship Id="rId2060" Type="http://schemas.openxmlformats.org/officeDocument/2006/relationships/hyperlink" TargetMode="External" Target="https://zakupki.gov.ru/epz/order/notice/ea44/view/common-info.html?regNumber=0116300000120000205"/><Relationship Id="rId2061" Type="http://schemas.openxmlformats.org/officeDocument/2006/relationships/hyperlink" TargetMode="External" Target="https://zakupki.gov.ru/epz/order/notice/ea44/view/common-info.html?regNumber=0334200004320000022"/><Relationship Id="rId2062" Type="http://schemas.openxmlformats.org/officeDocument/2006/relationships/hyperlink" TargetMode="External" Target="https://zakupki.gov.ru/epz/order/notice/ea44/view/common-info.html?regNumber=0334200002120000052"/><Relationship Id="rId2063" Type="http://schemas.openxmlformats.org/officeDocument/2006/relationships/hyperlink" TargetMode="External" Target="https://zakupki.gov.ru/epz/order/notice/ea44/view/common-info.html?regNumber=0194200000520001946"/><Relationship Id="rId2064" Type="http://schemas.openxmlformats.org/officeDocument/2006/relationships/hyperlink" TargetMode="External" Target="https://zakupki.gov.ru/epz/order/notice/ea44/view/common-info.html?regNumber=0168300000220000157"/><Relationship Id="rId2065" Type="http://schemas.openxmlformats.org/officeDocument/2006/relationships/hyperlink" TargetMode="External" Target="https://zakupki.gov.ru/epz/order/notice/ea44/view/common-info.html?regNumber=0307300051120000032"/><Relationship Id="rId2066" Type="http://schemas.openxmlformats.org/officeDocument/2006/relationships/hyperlink" TargetMode="External" Target="https://zakupki.gov.ru/epz/order/notice/ea44/view/common-info.html?regNumber=0351300113620000096"/><Relationship Id="rId2067" Type="http://schemas.openxmlformats.org/officeDocument/2006/relationships/hyperlink" TargetMode="External" Target="https://zakupki.gov.ru/epz/order/notice/ea44/view/common-info.html?regNumber=0346200001020000076"/><Relationship Id="rId2068" Type="http://schemas.openxmlformats.org/officeDocument/2006/relationships/hyperlink" TargetMode="External" Target="https://zakupki.gov.ru/epz/order/notice/ea44/view/common-info.html?regNumber=0168300000220000152"/><Relationship Id="rId2069" Type="http://schemas.openxmlformats.org/officeDocument/2006/relationships/hyperlink" TargetMode="External" Target="https://zakupki.gov.ru/epz/order/notice/ea44/view/common-info.html?regNumber=0387200009120000565"/><Relationship Id="rId2070" Type="http://schemas.openxmlformats.org/officeDocument/2006/relationships/hyperlink" TargetMode="External" Target="https://zakupki.gov.ru/epz/order/notice/ea44/view/common-info.html?regNumber=0320100016220000038"/><Relationship Id="rId2071" Type="http://schemas.openxmlformats.org/officeDocument/2006/relationships/hyperlink" TargetMode="External" Target="https://zakupki.gov.ru/epz/order/notice/ea44/view/common-info.html?regNumber=0833100000420000021"/><Relationship Id="rId2072" Type="http://schemas.openxmlformats.org/officeDocument/2006/relationships/hyperlink" TargetMode="External" Target="https://zakupki.gov.ru/epz/order/notice/ea44/view/common-info.html?regNumber=0348200070620000008"/><Relationship Id="rId2073" Type="http://schemas.openxmlformats.org/officeDocument/2006/relationships/hyperlink" TargetMode="External" Target="https://zakupki.gov.ru/epz/order/notice/ea44/view/common-info.html?regNumber=0822200000220000077"/><Relationship Id="rId2074" Type="http://schemas.openxmlformats.org/officeDocument/2006/relationships/hyperlink" TargetMode="External" Target="https://zakupki.gov.ru/epz/order/notice/ea44/view/common-info.html?regNumber=0369300010720000056"/><Relationship Id="rId2075" Type="http://schemas.openxmlformats.org/officeDocument/2006/relationships/hyperlink" TargetMode="External" Target="https://zakupki.gov.ru/epz/order/notice/ea44/view/common-info.html?regNumber=0190300000220000071"/><Relationship Id="rId2076" Type="http://schemas.openxmlformats.org/officeDocument/2006/relationships/hyperlink" TargetMode="External" Target="https://zakupki.gov.ru/epz/order/notice/ea44/view/common-info.html?regNumber=0348300062120000111"/><Relationship Id="rId2077" Type="http://schemas.openxmlformats.org/officeDocument/2006/relationships/hyperlink" TargetMode="External" Target="https://zakupki.gov.ru/epz/order/notice/ea44/view/common-info.html?regNumber=0373200009520000056"/><Relationship Id="rId2078" Type="http://schemas.openxmlformats.org/officeDocument/2006/relationships/hyperlink" TargetMode="External" Target="https://zakupki.gov.ru/epz/order/notice/ea44/view/common-info.html?regNumber=0352300013420000025"/><Relationship Id="rId2079" Type="http://schemas.openxmlformats.org/officeDocument/2006/relationships/hyperlink" TargetMode="External" Target="https://zakupki.gov.ru/epz/order/notice/ea44/view/common-info.html?regNumber=0340200003320003129"/><Relationship Id="rId2080" Type="http://schemas.openxmlformats.org/officeDocument/2006/relationships/hyperlink" TargetMode="External" Target="https://zakupki.gov.ru/epz/order/notice/ea44/view/common-info.html?regNumber=0373200053620000124"/><Relationship Id="rId2081" Type="http://schemas.openxmlformats.org/officeDocument/2006/relationships/hyperlink" TargetMode="External" Target="https://zakupki.gov.ru/epz/order/notice/ea44/view/common-info.html?regNumber=0307300051120000031"/><Relationship Id="rId2082" Type="http://schemas.openxmlformats.org/officeDocument/2006/relationships/hyperlink" TargetMode="External" Target="https://zakupki.gov.ru/epz/order/notice/ea44/view/common-info.html?regNumber=0362300009220000040"/><Relationship Id="rId2083" Type="http://schemas.openxmlformats.org/officeDocument/2006/relationships/hyperlink" TargetMode="External" Target="https://zakupki.gov.ru/epz/order/notice/ea44/view/common-info.html?regNumber=0373100068220000305"/><Relationship Id="rId2084" Type="http://schemas.openxmlformats.org/officeDocument/2006/relationships/hyperlink" TargetMode="External" Target="https://zakupki.gov.ru/epz/order/notice/ea44/view/common-info.html?regNumber=0373200594320000034"/><Relationship Id="rId2085" Type="http://schemas.openxmlformats.org/officeDocument/2006/relationships/hyperlink" TargetMode="External" Target="https://zakupki.gov.ru/epz/order/notice/ea44/view/common-info.html?regNumber=0358300236120000034"/><Relationship Id="rId2086" Type="http://schemas.openxmlformats.org/officeDocument/2006/relationships/hyperlink" TargetMode="External" Target="https://zakupki.gov.ru/epz/order/notice/ea44/view/common-info.html?regNumber=0137200001220001238"/><Relationship Id="rId2087" Type="http://schemas.openxmlformats.org/officeDocument/2006/relationships/hyperlink" TargetMode="External" Target="https://zakupki.gov.ru/epz/order/notice/ea44/view/common-info.html?regNumber=0372200101620000018"/><Relationship Id="rId2088" Type="http://schemas.openxmlformats.org/officeDocument/2006/relationships/hyperlink" TargetMode="External" Target="https://zakupki.gov.ru/epz/order/notice/ea44/view/common-info.html?regNumber=0816500000620002828"/><Relationship Id="rId2089" Type="http://schemas.openxmlformats.org/officeDocument/2006/relationships/hyperlink" TargetMode="External" Target="https://zakupki.gov.ru/epz/order/notice/ea44/view/common-info.html?regNumber=0346200001020000078"/><Relationship Id="rId2090" Type="http://schemas.openxmlformats.org/officeDocument/2006/relationships/hyperlink" TargetMode="External" Target="https://zakupki.gov.ru/epz/order/notice/ea44/view/common-info.html?regNumber=0318300058520000058"/><Relationship Id="rId2091" Type="http://schemas.openxmlformats.org/officeDocument/2006/relationships/hyperlink" TargetMode="External" Target="https://zakupki.gov.ru/epz/order/notice/ea44/view/common-info.html?regNumber=0318200019520000023"/><Relationship Id="rId2092" Type="http://schemas.openxmlformats.org/officeDocument/2006/relationships/hyperlink" TargetMode="External" Target="https://zakupki.gov.ru/epz/order/notice/ea44/view/common-info.html?regNumber=0340200003320003286"/><Relationship Id="rId2093" Type="http://schemas.openxmlformats.org/officeDocument/2006/relationships/hyperlink" TargetMode="External" Target="https://zakupki.gov.ru/epz/order/notice/ea44/view/common-info.html?regNumber=0813500000120003422"/><Relationship Id="rId2094" Type="http://schemas.openxmlformats.org/officeDocument/2006/relationships/hyperlink" TargetMode="External" Target="https://zakupki.gov.ru/epz/order/notice/ea44/view/common-info.html?regNumber=0853500000320001645"/><Relationship Id="rId2095" Type="http://schemas.openxmlformats.org/officeDocument/2006/relationships/hyperlink" TargetMode="External" Target="https://zakupki.gov.ru/epz/order/notice/ea44/view/common-info.html?regNumber=0321100000120000015"/><Relationship Id="rId2096" Type="http://schemas.openxmlformats.org/officeDocument/2006/relationships/hyperlink" TargetMode="External" Target="https://zakupki.gov.ru/epz/order/notice/ea44/view/common-info.html?regNumber=0369300285120000068"/><Relationship Id="rId2097" Type="http://schemas.openxmlformats.org/officeDocument/2006/relationships/hyperlink" TargetMode="External" Target="https://zakupki.gov.ru/epz/order/notice/ea44/view/common-info.html?regNumber=0150100005920000006"/><Relationship Id="rId2098" Type="http://schemas.openxmlformats.org/officeDocument/2006/relationships/hyperlink" TargetMode="External" Target="https://zakupki.gov.ru/epz/order/notice/ea44/view/common-info.html?regNumber=0231100000320000021"/><Relationship Id="rId2099" Type="http://schemas.openxmlformats.org/officeDocument/2006/relationships/hyperlink" TargetMode="External" Target="https://zakupki.gov.ru/epz/order/notice/ea44/view/common-info.html?regNumber=0340200003320003084"/><Relationship Id="rId2100" Type="http://schemas.openxmlformats.org/officeDocument/2006/relationships/hyperlink" TargetMode="External" Target="https://zakupki.gov.ru/epz/order/notice/ea44/view/common-info.html?regNumber=0318300058520000059"/><Relationship Id="rId2101" Type="http://schemas.openxmlformats.org/officeDocument/2006/relationships/hyperlink" TargetMode="External" Target="https://zakupki.gov.ru/epz/order/notice/ea44/view/common-info.html?regNumber=0319300209620000012"/><Relationship Id="rId2102" Type="http://schemas.openxmlformats.org/officeDocument/2006/relationships/hyperlink" TargetMode="External" Target="https://zakupki.gov.ru/epz/order/notice/ea44/view/common-info.html?regNumber=0348300014720000022"/><Relationship Id="rId2103" Type="http://schemas.openxmlformats.org/officeDocument/2006/relationships/hyperlink" TargetMode="External" Target="https://zakupki.gov.ru/epz/order/notice/ea44/view/common-info.html?regNumber=0334300006720000046"/><Relationship Id="rId2104" Type="http://schemas.openxmlformats.org/officeDocument/2006/relationships/hyperlink" TargetMode="External" Target="https://zakupki.gov.ru/epz/order/notice/ea44/view/common-info.html?regNumber=0545600001320000004"/><Relationship Id="rId2105" Type="http://schemas.openxmlformats.org/officeDocument/2006/relationships/hyperlink" TargetMode="External" Target="https://zakupki.gov.ru/epz/order/notice/ea44/view/common-info.html?regNumber=0131200001020000945"/><Relationship Id="rId2106" Type="http://schemas.openxmlformats.org/officeDocument/2006/relationships/hyperlink" TargetMode="External" Target="https://zakupki.gov.ru/epz/order/notice/ea44/view/common-info.html?regNumber=0352300013420000024"/><Relationship Id="rId2107" Type="http://schemas.openxmlformats.org/officeDocument/2006/relationships/hyperlink" TargetMode="External" Target="https://zakupki.gov.ru/epz/order/notice/ea44/view/common-info.html?regNumber=0472200000220000003"/><Relationship Id="rId2108" Type="http://schemas.openxmlformats.org/officeDocument/2006/relationships/hyperlink" TargetMode="External" Target="https://zakupki.gov.ru/epz/order/notice/ea44/view/common-info.html?regNumber=0334200010320000035"/><Relationship Id="rId2109" Type="http://schemas.openxmlformats.org/officeDocument/2006/relationships/hyperlink" TargetMode="External" Target="https://zakupki.gov.ru/epz/order/notice/ea44/view/common-info.html?regNumber=0318300596220000021"/><Relationship Id="rId2110" Type="http://schemas.openxmlformats.org/officeDocument/2006/relationships/hyperlink" TargetMode="External" Target="https://zakupki.gov.ru/epz/order/notice/ea44/view/common-info.html?regNumber=0855200000520000462"/><Relationship Id="rId2111" Type="http://schemas.openxmlformats.org/officeDocument/2006/relationships/hyperlink" TargetMode="External" Target="https://zakupki.gov.ru/epz/order/notice/ea44/view/common-info.html?regNumber=0307200005220000016"/><Relationship Id="rId2112" Type="http://schemas.openxmlformats.org/officeDocument/2006/relationships/hyperlink" TargetMode="External" Target="https://zakupki.gov.ru/epz/order/notice/ea44/view/common-info.html?regNumber=0813500000120003593"/><Relationship Id="rId2113" Type="http://schemas.openxmlformats.org/officeDocument/2006/relationships/hyperlink" TargetMode="External" Target="https://zakupki.gov.ru/epz/order/notice/ea44/view/common-info.html?regNumber=0306200006820000040"/><Relationship Id="rId2114" Type="http://schemas.openxmlformats.org/officeDocument/2006/relationships/hyperlink" TargetMode="External" Target="https://zakupki.gov.ru/epz/order/notice/ea44/view/common-info.html?regNumber=0256100001320000007"/><Relationship Id="rId2115" Type="http://schemas.openxmlformats.org/officeDocument/2006/relationships/hyperlink" TargetMode="External" Target="https://zakupki.gov.ru/epz/order/notice/ea44/view/common-info.html?regNumber=0340200003320003128"/><Relationship Id="rId2116" Type="http://schemas.openxmlformats.org/officeDocument/2006/relationships/hyperlink" TargetMode="External" Target="https://zakupki.gov.ru/epz/order/notice/ea44/view/common-info.html?regNumber=0358100041220000005"/><Relationship Id="rId2117" Type="http://schemas.openxmlformats.org/officeDocument/2006/relationships/hyperlink" TargetMode="External" Target="https://zakupki.gov.ru/epz/order/notice/ea44/view/common-info.html?regNumber=0356500002120000101"/><Relationship Id="rId2118" Type="http://schemas.openxmlformats.org/officeDocument/2006/relationships/hyperlink" TargetMode="External" Target="https://zakupki.gov.ru/epz/order/notice/ea44/view/common-info.html?regNumber=0319200067020000021"/><Relationship Id="rId2119" Type="http://schemas.openxmlformats.org/officeDocument/2006/relationships/hyperlink" TargetMode="External" Target="https://zakupki.gov.ru/epz/order/notice/ea44/view/common-info.html?regNumber=0354300062420000049"/><Relationship Id="rId2120" Type="http://schemas.openxmlformats.org/officeDocument/2006/relationships/hyperlink" TargetMode="External" Target="https://zakupki.gov.ru/epz/order/notice/ea44/view/common-info.html?regNumber=0319300209620000004"/><Relationship Id="rId2121" Type="http://schemas.openxmlformats.org/officeDocument/2006/relationships/hyperlink" TargetMode="External" Target="https://zakupki.gov.ru/epz/order/notice/ea44/view/common-info.html?regNumber=0347200007620000057"/><Relationship Id="rId2122" Type="http://schemas.openxmlformats.org/officeDocument/2006/relationships/hyperlink" TargetMode="External" Target="https://zakupki.gov.ru/epz/order/notice/ea44/view/common-info.html?regNumber=0127100000720000077"/><Relationship Id="rId2123" Type="http://schemas.openxmlformats.org/officeDocument/2006/relationships/hyperlink" TargetMode="External" Target="https://zakupki.gov.ru/epz/order/notice/ea44/view/common-info.html?regNumber=0341300031520000097"/><Relationship Id="rId2124" Type="http://schemas.openxmlformats.org/officeDocument/2006/relationships/hyperlink" TargetMode="External" Target="https://zakupki.gov.ru/epz/order/notice/ea44/view/common-info.html?regNumber=0309100007520000013"/><Relationship Id="rId2125" Type="http://schemas.openxmlformats.org/officeDocument/2006/relationships/hyperlink" TargetMode="External" Target="https://zakupki.gov.ru/epz/order/notice/ea44/view/common-info.html?regNumber=0307300051120000037"/><Relationship Id="rId2126" Type="http://schemas.openxmlformats.org/officeDocument/2006/relationships/hyperlink" TargetMode="External" Target="https://zakupki.gov.ru/epz/order/notice/ea44/view/common-info.html?regNumber=0349300001720000065"/><Relationship Id="rId2127" Type="http://schemas.openxmlformats.org/officeDocument/2006/relationships/hyperlink" TargetMode="External" Target="https://zakupki.gov.ru/epz/order/notice/ea44/view/common-info.html?regNumber=0853500000320001765"/><Relationship Id="rId2128" Type="http://schemas.openxmlformats.org/officeDocument/2006/relationships/hyperlink" TargetMode="External" Target="https://zakupki.gov.ru/epz/order/notice/ea44/view/common-info.html?regNumber=0366300027320000045"/><Relationship Id="rId2129" Type="http://schemas.openxmlformats.org/officeDocument/2006/relationships/hyperlink" TargetMode="External" Target="https://zakupki.gov.ru/epz/order/notice/ea44/view/common-info.html?regNumber=0853500000320001744"/><Relationship Id="rId2130" Type="http://schemas.openxmlformats.org/officeDocument/2006/relationships/hyperlink" TargetMode="External" Target="https://zakupki.gov.ru/epz/order/notice/ea44/view/common-info.html?regNumber=0303300009920000004"/><Relationship Id="rId2131" Type="http://schemas.openxmlformats.org/officeDocument/2006/relationships/hyperlink" TargetMode="External" Target="https://zakupki.gov.ru/epz/order/notice/ea44/view/common-info.html?regNumber=0168300000220000153"/><Relationship Id="rId2132" Type="http://schemas.openxmlformats.org/officeDocument/2006/relationships/hyperlink" TargetMode="External" Target="https://zakupki.gov.ru/epz/order/notice/ea44/view/common-info.html?regNumber=0319300209620000009"/><Relationship Id="rId2133" Type="http://schemas.openxmlformats.org/officeDocument/2006/relationships/hyperlink" TargetMode="External" Target="https://zakupki.gov.ru/epz/order/notice/ea44/view/common-info.html?regNumber=0190300000220000074"/><Relationship Id="rId2134" Type="http://schemas.openxmlformats.org/officeDocument/2006/relationships/hyperlink" TargetMode="External" Target="https://zakupki.gov.ru/epz/order/notice/ea44/view/common-info.html?regNumber=0345100015120000020"/><Relationship Id="rId2135" Type="http://schemas.openxmlformats.org/officeDocument/2006/relationships/hyperlink" TargetMode="External" Target="https://zakupki.gov.ru/epz/order/notice/ea44/view/common-info.html?regNumber=0164100003520000017"/><Relationship Id="rId2136" Type="http://schemas.openxmlformats.org/officeDocument/2006/relationships/hyperlink" TargetMode="External" Target="https://zakupki.gov.ru/epz/order/notice/ea44/view/common-info.html?regNumber=0306200006820000037"/><Relationship Id="rId2137" Type="http://schemas.openxmlformats.org/officeDocument/2006/relationships/hyperlink" TargetMode="External" Target="https://zakupki.gov.ru/epz/order/notice/ea44/view/common-info.html?regNumber=0162300033220000037"/><Relationship Id="rId2138" Type="http://schemas.openxmlformats.org/officeDocument/2006/relationships/hyperlink" TargetMode="External" Target="https://zakupki.gov.ru/epz/order/notice/ea44/view/common-info.html?regNumber=0360300024520000015"/><Relationship Id="rId2139" Type="http://schemas.openxmlformats.org/officeDocument/2006/relationships/hyperlink" TargetMode="External" Target="https://zakupki.gov.ru/epz/order/notice/ea44/view/common-info.html?regNumber=0369200013120000004"/><Relationship Id="rId2140" Type="http://schemas.openxmlformats.org/officeDocument/2006/relationships/hyperlink" TargetMode="External" Target="https://zakupki.gov.ru/epz/order/notice/ea44/view/common-info.html?regNumber=0340200003320003122"/><Relationship Id="rId2141" Type="http://schemas.openxmlformats.org/officeDocument/2006/relationships/hyperlink" TargetMode="External" Target="https://zakupki.gov.ru/epz/order/notice/ea44/view/common-info.html?regNumber=0126100002320000011"/><Relationship Id="rId2142" Type="http://schemas.openxmlformats.org/officeDocument/2006/relationships/hyperlink" TargetMode="External" Target="https://zakupki.gov.ru/epz/order/notice/ea44/view/common-info.html?regNumber=0372200046420000040"/><Relationship Id="rId2143" Type="http://schemas.openxmlformats.org/officeDocument/2006/relationships/hyperlink" TargetMode="External" Target="https://zakupki.gov.ru/epz/order/notice/ea44/view/common-info.html?regNumber=0356500002120000102"/><Relationship Id="rId2144" Type="http://schemas.openxmlformats.org/officeDocument/2006/relationships/hyperlink" TargetMode="External" Target="https://zakupki.gov.ru/epz/order/notice/ea44/view/common-info.html?regNumber=0340200003320003127"/><Relationship Id="rId2145" Type="http://schemas.openxmlformats.org/officeDocument/2006/relationships/hyperlink" TargetMode="External" Target="https://zakupki.gov.ru/epz/order/notice/ea44/view/common-info.html?regNumber=0813500000120003498"/><Relationship Id="rId2146" Type="http://schemas.openxmlformats.org/officeDocument/2006/relationships/hyperlink" TargetMode="External" Target="https://zakupki.gov.ru/epz/order/notice/ea44/view/common-info.html?regNumber=0348100071520000069"/><Relationship Id="rId2147" Type="http://schemas.openxmlformats.org/officeDocument/2006/relationships/hyperlink" TargetMode="External" Target="https://zakupki.gov.ru/epz/order/notice/ea44/view/common-info.html?regNumber=0168300000220000161"/><Relationship Id="rId2148" Type="http://schemas.openxmlformats.org/officeDocument/2006/relationships/hyperlink" TargetMode="External" Target="https://zakupki.gov.ru/epz/order/notice/ea44/view/common-info.html?regNumber=0187300010320000210"/><Relationship Id="rId2149" Type="http://schemas.openxmlformats.org/officeDocument/2006/relationships/hyperlink" TargetMode="External" Target="https://zakupki.gov.ru/epz/order/notice/ea44/view/common-info.html?regNumber=0352300022320000081"/><Relationship Id="rId2150" Type="http://schemas.openxmlformats.org/officeDocument/2006/relationships/hyperlink" TargetMode="External" Target="https://zakupki.gov.ru/epz/order/notice/ea44/view/common-info.html?regNumber=0340200003320003126"/><Relationship Id="rId2151" Type="http://schemas.openxmlformats.org/officeDocument/2006/relationships/hyperlink" TargetMode="External" Target="https://zakupki.gov.ru/epz/order/notice/ea44/view/common-info.html?regNumber=0360300065620000059"/><Relationship Id="rId2152" Type="http://schemas.openxmlformats.org/officeDocument/2006/relationships/hyperlink" TargetMode="External" Target="https://zakupki.gov.ru/epz/order/notice/ea44/view/common-info.html?regNumber=0168300000220000165"/><Relationship Id="rId2153" Type="http://schemas.openxmlformats.org/officeDocument/2006/relationships/hyperlink" TargetMode="External" Target="https://zakupki.gov.ru/epz/order/notice/ea44/view/common-info.html?regNumber=0131200001020001409"/><Relationship Id="rId2154" Type="http://schemas.openxmlformats.org/officeDocument/2006/relationships/hyperlink" TargetMode="External" Target="https://zakupki.gov.ru/epz/order/notice/ea44/view/common-info.html?regNumber=0320100019020000027"/><Relationship Id="rId2155" Type="http://schemas.openxmlformats.org/officeDocument/2006/relationships/hyperlink" TargetMode="External" Target="https://zakupki.gov.ru/epz/order/notice/ea44/view/common-info.html?regNumber=0371500000620000116"/><Relationship Id="rId2156" Type="http://schemas.openxmlformats.org/officeDocument/2006/relationships/hyperlink" TargetMode="External" Target="https://zakupki.gov.ru/epz/order/notice/ea44/view/common-info.html?regNumber=0190300000220000079"/><Relationship Id="rId2157" Type="http://schemas.openxmlformats.org/officeDocument/2006/relationships/hyperlink" TargetMode="External" Target="https://zakupki.gov.ru/epz/order/notice/ea44/view/common-info.html?regNumber=0344300043620000055"/><Relationship Id="rId2158" Type="http://schemas.openxmlformats.org/officeDocument/2006/relationships/hyperlink" TargetMode="External" Target="https://zakupki.gov.ru/epz/order/notice/ea44/view/common-info.html?regNumber=0813500000120003243"/><Relationship Id="rId2159" Type="http://schemas.openxmlformats.org/officeDocument/2006/relationships/hyperlink" TargetMode="External" Target="https://zakupki.gov.ru/epz/order/notice/ea44/view/common-info.html?regNumber=0822200000220000076"/><Relationship Id="rId2160" Type="http://schemas.openxmlformats.org/officeDocument/2006/relationships/hyperlink" TargetMode="External" Target="https://zakupki.gov.ru/epz/order/notice/ea44/view/common-info.html?regNumber=0372200281620000030"/><Relationship Id="rId2161" Type="http://schemas.openxmlformats.org/officeDocument/2006/relationships/hyperlink" TargetMode="External" Target="https://zakupki.gov.ru/epz/order/notice/ea44/view/common-info.html?regNumber=0132100003820000025"/><Relationship Id="rId2162" Type="http://schemas.openxmlformats.org/officeDocument/2006/relationships/hyperlink" TargetMode="External" Target="https://zakupki.gov.ru/epz/order/notice/ea44/view/common-info.html?regNumber=0168300000220000148"/><Relationship Id="rId2163" Type="http://schemas.openxmlformats.org/officeDocument/2006/relationships/hyperlink" TargetMode="External" Target="https://zakupki.gov.ru/epz/order/notice/ea44/view/common-info.html?regNumber=0133300014120000047"/><Relationship Id="rId2164" Type="http://schemas.openxmlformats.org/officeDocument/2006/relationships/hyperlink" TargetMode="External" Target="https://zakupki.gov.ru/epz/order/notice/ea44/view/common-info.html?regNumber=0368300009620000016"/><Relationship Id="rId2165" Type="http://schemas.openxmlformats.org/officeDocument/2006/relationships/hyperlink" TargetMode="External" Target="https://zakupki.gov.ru/epz/order/notice/ea44/view/common-info.html?regNumber=0142200001320004784"/><Relationship Id="rId2166" Type="http://schemas.openxmlformats.org/officeDocument/2006/relationships/hyperlink" TargetMode="External" Target="https://zakupki.gov.ru/epz/order/notice/ea44/view/common-info.html?regNumber=0344200011320000020"/><Relationship Id="rId2167" Type="http://schemas.openxmlformats.org/officeDocument/2006/relationships/hyperlink" TargetMode="External" Target="https://zakupki.gov.ru/epz/order/notice/ea44/view/common-info.html?regNumber=0134300004520000097"/><Relationship Id="rId2168" Type="http://schemas.openxmlformats.org/officeDocument/2006/relationships/hyperlink" TargetMode="External" Target="https://zakupki.gov.ru/epz/order/notice/ea44/view/common-info.html?regNumber=0373200577520000013"/><Relationship Id="rId2169" Type="http://schemas.openxmlformats.org/officeDocument/2006/relationships/hyperlink" TargetMode="External" Target="https://zakupki.gov.ru/epz/order/notice/ea44/view/common-info.html?regNumber=0357200018720000013"/><Relationship Id="rId2170" Type="http://schemas.openxmlformats.org/officeDocument/2006/relationships/hyperlink" TargetMode="External" Target="https://zakupki.gov.ru/epz/order/notice/ea44/view/common-info.html?regNumber=0813500000120003400"/><Relationship Id="rId2171" Type="http://schemas.openxmlformats.org/officeDocument/2006/relationships/hyperlink" TargetMode="External" Target="https://zakupki.gov.ru/epz/order/notice/ea44/view/common-info.html?regNumber=0374200004220000053"/><Relationship Id="rId2172" Type="http://schemas.openxmlformats.org/officeDocument/2006/relationships/hyperlink" TargetMode="External" Target="https://zakupki.gov.ru/epz/order/notice/ea44/view/common-info.html?regNumber=0822200000220000075"/><Relationship Id="rId2173" Type="http://schemas.openxmlformats.org/officeDocument/2006/relationships/hyperlink" TargetMode="External" Target="https://zakupki.gov.ru/epz/order/notice/ea44/view/common-info.html?regNumber=0340200003320003053"/><Relationship Id="rId2174" Type="http://schemas.openxmlformats.org/officeDocument/2006/relationships/hyperlink" TargetMode="External" Target="https://zakupki.gov.ru/epz/order/notice/ea44/view/common-info.html?regNumber=0387200029520000042"/><Relationship Id="rId2175" Type="http://schemas.openxmlformats.org/officeDocument/2006/relationships/hyperlink" TargetMode="External" Target="https://zakupki.gov.ru/epz/order/notice/ea44/view/common-info.html?regNumber=0834200000720000011"/><Relationship Id="rId2176" Type="http://schemas.openxmlformats.org/officeDocument/2006/relationships/hyperlink" TargetMode="External" Target="https://zakupki.gov.ru/epz/order/notice/ea44/view/common-info.html?regNumber=0340200003320003085"/><Relationship Id="rId2177" Type="http://schemas.openxmlformats.org/officeDocument/2006/relationships/hyperlink" TargetMode="External" Target="https://zakupki.gov.ru/epz/order/notice/ea44/view/common-info.html?regNumber=0120300008620000026"/><Relationship Id="rId2178" Type="http://schemas.openxmlformats.org/officeDocument/2006/relationships/hyperlink" TargetMode="External" Target="https://zakupki.gov.ru/epz/order/notice/ea44/view/common-info.html?regNumber=0369200018320000101"/><Relationship Id="rId2179" Type="http://schemas.openxmlformats.org/officeDocument/2006/relationships/hyperlink" TargetMode="External" Target="https://zakupki.gov.ru/epz/order/notice/ea44/view/common-info.html?regNumber=0860100000720000004"/><Relationship Id="rId2180" Type="http://schemas.openxmlformats.org/officeDocument/2006/relationships/hyperlink" TargetMode="External" Target="https://zakupki.gov.ru/epz/order/notice/ea44/view/common-info.html?regNumber=0187300010320000221"/><Relationship Id="rId2181" Type="http://schemas.openxmlformats.org/officeDocument/2006/relationships/hyperlink" TargetMode="External" Target="https://zakupki.gov.ru/epz/order/notice/ea44/view/common-info.html?regNumber=0360300065620000040"/><Relationship Id="rId2182" Type="http://schemas.openxmlformats.org/officeDocument/2006/relationships/hyperlink" TargetMode="External" Target="https://zakupki.gov.ru/epz/order/notice/ea44/view/common-info.html?regNumber=0107300022120000027"/><Relationship Id="rId2183" Type="http://schemas.openxmlformats.org/officeDocument/2006/relationships/hyperlink" TargetMode="External" Target="https://zakupki.gov.ru/epz/order/notice/ea44/view/common-info.html?regNumber=0191600001020000008"/><Relationship Id="rId2184" Type="http://schemas.openxmlformats.org/officeDocument/2006/relationships/hyperlink" TargetMode="External" Target="https://zakupki.gov.ru/epz/order/notice/ea44/view/common-info.html?regNumber=0369200010920000019"/><Relationship Id="rId2185" Type="http://schemas.openxmlformats.org/officeDocument/2006/relationships/hyperlink" TargetMode="External" Target="https://zakupki.gov.ru/epz/order/notice/ea44/view/common-info.html?regNumber=0369600036020000035"/><Relationship Id="rId2186" Type="http://schemas.openxmlformats.org/officeDocument/2006/relationships/hyperlink" TargetMode="External" Target="https://zakupki.gov.ru/epz/order/notice/ea44/view/common-info.html?regNumber=0187300010320000195"/><Relationship Id="rId2187" Type="http://schemas.openxmlformats.org/officeDocument/2006/relationships/hyperlink" TargetMode="External" Target="https://zakupki.gov.ru/epz/order/notice/ea44/view/common-info.html?regNumber=0320300082620000004"/><Relationship Id="rId2188" Type="http://schemas.openxmlformats.org/officeDocument/2006/relationships/hyperlink" TargetMode="External" Target="https://zakupki.gov.ru/epz/order/notice/ea44/view/common-info.html?regNumber=0168300000220000173"/><Relationship Id="rId2189" Type="http://schemas.openxmlformats.org/officeDocument/2006/relationships/hyperlink" TargetMode="External" Target="https://zakupki.gov.ru/epz/order/notice/ea44/view/common-info.html?regNumber=0187300010320000193"/><Relationship Id="rId2190" Type="http://schemas.openxmlformats.org/officeDocument/2006/relationships/hyperlink" TargetMode="External" Target="https://zakupki.gov.ru/epz/order/notice/ea44/view/common-info.html?regNumber=0328200022120000006"/><Relationship Id="rId2191" Type="http://schemas.openxmlformats.org/officeDocument/2006/relationships/hyperlink" TargetMode="External" Target="https://zakupki.gov.ru/epz/order/notice/ea44/view/common-info.html?regNumber=0319300209620000010"/><Relationship Id="rId2192" Type="http://schemas.openxmlformats.org/officeDocument/2006/relationships/hyperlink" TargetMode="External" Target="https://zakupki.gov.ru/epz/order/notice/ea44/view/common-info.html?regNumber=0813500000120003626"/><Relationship Id="rId2193" Type="http://schemas.openxmlformats.org/officeDocument/2006/relationships/hyperlink" TargetMode="External" Target="https://zakupki.gov.ru/epz/order/notice/ea44/view/common-info.html?regNumber=0322200008020000009"/><Relationship Id="rId2194" Type="http://schemas.openxmlformats.org/officeDocument/2006/relationships/hyperlink" TargetMode="External" Target="https://zakupki.gov.ru/epz/order/notice/ea44/view/common-info.html?regNumber=0163300015820000017"/><Relationship Id="rId2195" Type="http://schemas.openxmlformats.org/officeDocument/2006/relationships/hyperlink" TargetMode="External" Target="https://zakupki.gov.ru/epz/order/notice/ea44/view/common-info.html?regNumber=0307300039320000071"/><Relationship Id="rId2196" Type="http://schemas.openxmlformats.org/officeDocument/2006/relationships/hyperlink" TargetMode="External" Target="https://zakupki.gov.ru/epz/order/notice/ea44/view/common-info.html?regNumber=0325300032420000040"/><Relationship Id="rId2197" Type="http://schemas.openxmlformats.org/officeDocument/2006/relationships/hyperlink" TargetMode="External" Target="https://zakupki.gov.ru/epz/order/notice/ea44/view/common-info.html?regNumber=0168300000220000163"/><Relationship Id="rId2198" Type="http://schemas.openxmlformats.org/officeDocument/2006/relationships/hyperlink" TargetMode="External" Target="https://zakupki.gov.ru/epz/order/notice/ea44/view/common-info.html?regNumber=0319300209620000006"/><Relationship Id="rId2199" Type="http://schemas.openxmlformats.org/officeDocument/2006/relationships/hyperlink" TargetMode="External" Target="https://zakupki.gov.ru/epz/order/notice/ea44/view/common-info.html?regNumber=0301300117120000040"/><Relationship Id="rId2200" Type="http://schemas.openxmlformats.org/officeDocument/2006/relationships/hyperlink" TargetMode="External" Target="https://zakupki.gov.ru/epz/order/notice/ea44/view/common-info.html?regNumber=0131200001020000947"/><Relationship Id="rId2201" Type="http://schemas.openxmlformats.org/officeDocument/2006/relationships/hyperlink" TargetMode="External" Target="https://zakupki.gov.ru/epz/order/notice/ea44/view/common-info.html?regNumber=0368300009620000017"/><Relationship Id="rId2202" Type="http://schemas.openxmlformats.org/officeDocument/2006/relationships/hyperlink" TargetMode="External" Target="https://zakupki.gov.ru/epz/order/notice/ea44/view/common-info.html?regNumber=0319300209620000007"/><Relationship Id="rId2203" Type="http://schemas.openxmlformats.org/officeDocument/2006/relationships/hyperlink" TargetMode="External" Target="https://zakupki.gov.ru/epz/order/notice/ea44/view/common-info.html?regNumber=0354300062420000046"/><Relationship Id="rId2204" Type="http://schemas.openxmlformats.org/officeDocument/2006/relationships/hyperlink" TargetMode="External" Target="https://zakupki.gov.ru/epz/order/notice/ea44/view/common-info.html?regNumber=0231100000320000014"/><Relationship Id="rId2205" Type="http://schemas.openxmlformats.org/officeDocument/2006/relationships/hyperlink" TargetMode="External" Target="https://zakupki.gov.ru/epz/order/notice/ea44/view/common-info.html?regNumber=0340200003320003106"/><Relationship Id="rId2206" Type="http://schemas.openxmlformats.org/officeDocument/2006/relationships/hyperlink" TargetMode="External" Target="https://zakupki.gov.ru/epz/order/notice/ea44/view/common-info.html?regNumber=0136100006920000024"/><Relationship Id="rId2207" Type="http://schemas.openxmlformats.org/officeDocument/2006/relationships/hyperlink" TargetMode="External" Target="https://zakupki.gov.ru/epz/order/notice/ea44/view/common-info.html?regNumber=0853500000320001676"/><Relationship Id="rId2208" Type="http://schemas.openxmlformats.org/officeDocument/2006/relationships/hyperlink" TargetMode="External" Target="https://zakupki.gov.ru/epz/order/notice/ea44/view/common-info.html?regNumber=0369200018320000097"/><Relationship Id="rId2209" Type="http://schemas.openxmlformats.org/officeDocument/2006/relationships/hyperlink" TargetMode="External" Target="https://zakupki.gov.ru/epz/order/notice/ea44/view/common-info.html?regNumber=0358300071120000069"/><Relationship Id="rId2210" Type="http://schemas.openxmlformats.org/officeDocument/2006/relationships/hyperlink" TargetMode="External" Target="https://zakupki.gov.ru/epz/order/notice/ea44/view/common-info.html?regNumber=0187300010320000191"/><Relationship Id="rId2211" Type="http://schemas.openxmlformats.org/officeDocument/2006/relationships/hyperlink" TargetMode="External" Target="https://zakupki.gov.ru/epz/order/notice/ea44/view/common-info.html?regNumber=0358300071120000072"/><Relationship Id="rId2212" Type="http://schemas.openxmlformats.org/officeDocument/2006/relationships/hyperlink" TargetMode="External" Target="https://zakupki.gov.ru/epz/order/notice/ea44/view/common-info.html?regNumber=0319300209620000003"/><Relationship Id="rId2213" Type="http://schemas.openxmlformats.org/officeDocument/2006/relationships/hyperlink" TargetMode="External" Target="https://zakupki.gov.ru/epz/order/notice/ea44/view/common-info.html?regNumber=0358300071120000073"/><Relationship Id="rId2214" Type="http://schemas.openxmlformats.org/officeDocument/2006/relationships/hyperlink" TargetMode="External" Target="https://zakupki.gov.ru/epz/order/notice/ea44/view/common-info.html?regNumber=0356500002120000100"/><Relationship Id="rId2215" Type="http://schemas.openxmlformats.org/officeDocument/2006/relationships/hyperlink" TargetMode="External" Target="https://zakupki.gov.ru/epz/order/notice/ea44/view/common-info.html?regNumber=0167200003420001632"/><Relationship Id="rId2216" Type="http://schemas.openxmlformats.org/officeDocument/2006/relationships/hyperlink" TargetMode="External" Target="https://zakupki.gov.ru/epz/order/notice/ea44/view/common-info.html?regNumber=0187300010320000187"/><Relationship Id="rId2217" Type="http://schemas.openxmlformats.org/officeDocument/2006/relationships/hyperlink" TargetMode="External" Target="https://zakupki.gov.ru/epz/order/notice/ea44/view/common-info.html?regNumber=0853500000320001516"/><Relationship Id="rId2218" Type="http://schemas.openxmlformats.org/officeDocument/2006/relationships/hyperlink" TargetMode="External" Target="https://zakupki.gov.ru/epz/order/notice/ea44/view/common-info.html?regNumber=0711200011820000005"/><Relationship Id="rId2219" Type="http://schemas.openxmlformats.org/officeDocument/2006/relationships/hyperlink" TargetMode="External" Target="https://zakupki.gov.ru/epz/order/notice/ea44/view/common-info.html?regNumber=0711200011820000006"/><Relationship Id="rId2220" Type="http://schemas.openxmlformats.org/officeDocument/2006/relationships/hyperlink" TargetMode="External" Target="https://spark-interfax.ru/system/home/card#/company/DF9A92F2A0A3422F8C0535F37B34896D/101"/><Relationship Id="rId2221" Type="http://schemas.openxmlformats.org/officeDocument/2006/relationships/hyperlink" TargetMode="External" Target="https://spark-interfax.ru/system/home/card#/company/B5E0A878E83B44A09D7EB44BE7B9C391/101"/><Relationship Id="rId2222" Type="http://schemas.openxmlformats.org/officeDocument/2006/relationships/hyperlink" TargetMode="External" Target="https://spark-interfax.ru/system/home/card#/company/7D73C7CD40EF1382E0531B9AA8C09B4C/101"/><Relationship Id="rId2223" Type="http://schemas.openxmlformats.org/officeDocument/2006/relationships/hyperlink" TargetMode="External" Target="https://spark-interfax.ru/system/home/card#/company/419A929FC9E148E884785606BA89D8C4/101"/><Relationship Id="rId2224" Type="http://schemas.openxmlformats.org/officeDocument/2006/relationships/hyperlink" TargetMode="External" Target="https://spark-interfax.ru/system/home/card#/company/0D7D0AC0EDF14AABA4232CAC2E981860/101"/><Relationship Id="rId2225" Type="http://schemas.openxmlformats.org/officeDocument/2006/relationships/hyperlink" TargetMode="External" Target="https://spark-interfax.ru/system/home/card#/company/69A431D6CD4942389A265D11E63494A9/101"/><Relationship Id="rId2226" Type="http://schemas.openxmlformats.org/officeDocument/2006/relationships/hyperlink" TargetMode="External" Target="https://spark-interfax.ru/system/home/card#/company/7DECD12799D44339BBCACBD0CA9A17FB/101"/><Relationship Id="rId2227" Type="http://schemas.openxmlformats.org/officeDocument/2006/relationships/hyperlink" TargetMode="External" Target="https://spark-interfax.ru/system/home/card#/company/B017CF83C5C64D50847B5A3A69C1A860/101"/><Relationship Id="rId2228" Type="http://schemas.openxmlformats.org/officeDocument/2006/relationships/hyperlink" TargetMode="External" Target="https://spark-interfax.ru/system/home/card#/company/30AF0173A3B148A68052E069F0C15A9E/101"/><Relationship Id="rId2229" Type="http://schemas.openxmlformats.org/officeDocument/2006/relationships/hyperlink" TargetMode="External" Target="https://spark-interfax.ru/system/home/card#/company/EC3EB759B9D84C01A9BB7FF5BB5DA651/101"/><Relationship Id="rId2230" Type="http://schemas.openxmlformats.org/officeDocument/2006/relationships/hyperlink" TargetMode="External" Target="https://spark-interfax.ru/system/home/card#/company/907D85F30E7427F2E0531B9AA8C024CF/101"/><Relationship Id="rId2231" Type="http://schemas.openxmlformats.org/officeDocument/2006/relationships/hyperlink" TargetMode="External" Target="https://spark-interfax.ru/system/home/card#/company/7A5440C064F23A50E0531F9AA8C0C839/101"/><Relationship Id="rId2232" Type="http://schemas.openxmlformats.org/officeDocument/2006/relationships/hyperlink" TargetMode="External" Target="https://spark-interfax.ru/system/home/card#/company/686A9F8E60A13F1FE0531B9AA8C093D3/101"/><Relationship Id="rId2233" Type="http://schemas.openxmlformats.org/officeDocument/2006/relationships/hyperlink" TargetMode="External" Target="https://spark-interfax.ru/system/home/card#/company/3AE619C6E4A64530AE6FF6873D65C84A/101"/><Relationship Id="rId2234" Type="http://schemas.openxmlformats.org/officeDocument/2006/relationships/hyperlink" TargetMode="External" Target="https://spark-interfax.ru/system/home/card#/company/EFBD94D883ED4836B2ABBB4FC7B3A399/101"/><Relationship Id="rId2235" Type="http://schemas.openxmlformats.org/officeDocument/2006/relationships/hyperlink" TargetMode="External" Target="https://spark-interfax.ru/system/home/card#/company/492FD3B7EA20498C9F85B534C9A3B082/101"/><Relationship Id="rId2236" Type="http://schemas.openxmlformats.org/officeDocument/2006/relationships/hyperlink" TargetMode="External" Target="https://spark-interfax.ru/system/home/card#/company/1BE6FF0D4FE7442993AE19C413C5EED2/101"/><Relationship Id="rId2237" Type="http://schemas.openxmlformats.org/officeDocument/2006/relationships/hyperlink" TargetMode="External" Target="https://spark-interfax.ru/system/home/card#/company/CEA36EDE365A4BC88C269CED4109CCC0/101"/><Relationship Id="rId2238" Type="http://schemas.openxmlformats.org/officeDocument/2006/relationships/hyperlink" TargetMode="External" Target="https://spark-interfax.ru/system/home/card#/company/6A9B60D1C9B54F9DBE2764532EA6EB06/101"/><Relationship Id="rId2239" Type="http://schemas.openxmlformats.org/officeDocument/2006/relationships/hyperlink" TargetMode="External" Target="https://spark-interfax.ru/system/home/card#/company/447B247C08D543F485B673AB85B73AC2/101"/><Relationship Id="rId2240" Type="http://schemas.openxmlformats.org/officeDocument/2006/relationships/hyperlink" TargetMode="External" Target="https://spark-interfax.ru/system/home/card#/company/0679124A65884586BABFB943D872CE3F/101"/><Relationship Id="rId2241" Type="http://schemas.openxmlformats.org/officeDocument/2006/relationships/hyperlink" TargetMode="External" Target="https://spark-interfax.ru/system/home/card#/company/D34A3906A0221510E053219AA8C042D4/101"/><Relationship Id="rId2242" Type="http://schemas.openxmlformats.org/officeDocument/2006/relationships/hyperlink" TargetMode="External" Target="https://spark-interfax.ru/system/home/card#/company/3C6C2E05E5604D64BCB63559576FB539/101"/><Relationship Id="rId2243" Type="http://schemas.openxmlformats.org/officeDocument/2006/relationships/hyperlink" TargetMode="External" Target="https://spark-interfax.ru/system/home/card#/company/8CCDE1E082752958E0531C9AA8C0A67F/101"/><Relationship Id="rId2244" Type="http://schemas.openxmlformats.org/officeDocument/2006/relationships/hyperlink" TargetMode="External" Target="https://spark-interfax.ru/system/home/card#/company/68E4C114C4694B2BAD351CEC3BA8719C/101"/><Relationship Id="rId2245" Type="http://schemas.openxmlformats.org/officeDocument/2006/relationships/hyperlink" TargetMode="External" Target="https://spark-interfax.ru/system/home/card#/company/11E5976682E14D62AED68C8956F7BAA7/101"/><Relationship Id="rId2246" Type="http://schemas.openxmlformats.org/officeDocument/2006/relationships/hyperlink" TargetMode="External" Target="https://spark-interfax.ru/system/home/card#/company/CD2FE99718E24164AB35DD39590C2D38/101"/><Relationship Id="rId2247" Type="http://schemas.openxmlformats.org/officeDocument/2006/relationships/hyperlink" TargetMode="External" Target="https://spark-interfax.ru/system/home/card#/company/F6FE674E7FAA4FE28AF61A5B8A9C94D2/101"/><Relationship Id="rId2248" Type="http://schemas.openxmlformats.org/officeDocument/2006/relationships/hyperlink" TargetMode="External" Target="https://spark-interfax.ru/system/home/card#/company/EA9C8532CCBB4330B9570378D756B5EB/101"/><Relationship Id="rId2249" Type="http://schemas.openxmlformats.org/officeDocument/2006/relationships/hyperlink" TargetMode="External" Target="https://spark-interfax.ru/system/home/card#/company/11C29238999E4E5187497B2D0C1BDD9C/101"/><Relationship Id="rId2250" Type="http://schemas.openxmlformats.org/officeDocument/2006/relationships/hyperlink" TargetMode="External" Target="https://spark-interfax.ru/system/home/card#/company/6D88AFC2932E45458D78F111760CF096/101"/><Relationship Id="rId2251" Type="http://schemas.openxmlformats.org/officeDocument/2006/relationships/hyperlink" TargetMode="External" Target="https://spark-interfax.ru/system/home/card#/company/02CD28F3F57F4EA680485652AA7D544E/101"/><Relationship Id="rId2252" Type="http://schemas.openxmlformats.org/officeDocument/2006/relationships/hyperlink" TargetMode="External" Target="https://spark-interfax.ru/system/home/card#/company/B5A869196A7B147EE053219AA8C05716/101"/><Relationship Id="rId2253" Type="http://schemas.openxmlformats.org/officeDocument/2006/relationships/hyperlink" TargetMode="External" Target="https://spark-interfax.ru/system/home/card#/company/D7DF3325FE5849B58E4AB20AA801CACE/101"/><Relationship Id="rId2254" Type="http://schemas.openxmlformats.org/officeDocument/2006/relationships/hyperlink" TargetMode="External" Target="https://spark-interfax.ru/system/home/card#/company/00858477EF284A84A4A404DA5801DCD1/101"/><Relationship Id="rId2255" Type="http://schemas.openxmlformats.org/officeDocument/2006/relationships/hyperlink" TargetMode="External" Target="https://spark-interfax.ru/system/home/card#/company/9B6B8570320344249736D6C58C2B700E/101"/><Relationship Id="rId2256" Type="http://schemas.openxmlformats.org/officeDocument/2006/relationships/hyperlink" TargetMode="External" Target="https://spark-interfax.ru/system/home/card#/company/6520F015DD9844928D1276B409F0F633/101"/><Relationship Id="rId2257" Type="http://schemas.openxmlformats.org/officeDocument/2006/relationships/hyperlink" TargetMode="External" Target="https://spark-interfax.ru/system/home/card#/company/B4BE36C1F7064559987EAD6C525B3408/101"/><Relationship Id="rId2258" Type="http://schemas.openxmlformats.org/officeDocument/2006/relationships/hyperlink" TargetMode="External" Target="https://spark-interfax.ru/system/home/card#/company/27863F21411740C0BF235AD7620FF9E4/101"/><Relationship Id="rId2259" Type="http://schemas.openxmlformats.org/officeDocument/2006/relationships/hyperlink" TargetMode="External" Target="https://spark-interfax.ru/system/home/card#/company/3307366576184B8990532BD6B204BA1C/101"/><Relationship Id="rId2260" Type="http://schemas.openxmlformats.org/officeDocument/2006/relationships/hyperlink" TargetMode="External" Target="https://spark-interfax.ru/system/home/card#/company/4E95C100A32E4BB4A4C92F58F15EFCA6/101"/><Relationship Id="rId2261" Type="http://schemas.openxmlformats.org/officeDocument/2006/relationships/hyperlink" TargetMode="External" Target="https://spark-interfax.ru/system/home/card#/company/154C2B53E2F24FB1A048E5595CE0B8CC/101"/><Relationship Id="rId2262" Type="http://schemas.openxmlformats.org/officeDocument/2006/relationships/hyperlink" TargetMode="External" Target="https://spark-interfax.ru/system/home/card#/company/3DD127408D57415D8E2750E09C6CA30E/101"/><Relationship Id="rId2263" Type="http://schemas.openxmlformats.org/officeDocument/2006/relationships/hyperlink" TargetMode="External" Target="https://spark-interfax.ru/system/home/card#/company/49DE862E87A84F1A8C9F6B935B4185E7/101"/><Relationship Id="rId2264" Type="http://schemas.openxmlformats.org/officeDocument/2006/relationships/hyperlink" TargetMode="External" Target="https://spark-interfax.ru/system/home/card#/company/678B3A93A6744214B79F067385D793A1/101"/><Relationship Id="rId2265" Type="http://schemas.openxmlformats.org/officeDocument/2006/relationships/hyperlink" TargetMode="External" Target="https://spark-interfax.ru/system/home/card#/company/DCC5733FA7194ADC8EA5A554A6AF276A/101"/><Relationship Id="rId2266" Type="http://schemas.openxmlformats.org/officeDocument/2006/relationships/hyperlink" TargetMode="External" Target="https://spark-interfax.ru/system/home/card#/company/6D0AD395D4334976A1108E4F72B569D1/101"/><Relationship Id="rId2267" Type="http://schemas.openxmlformats.org/officeDocument/2006/relationships/hyperlink" TargetMode="External" Target="https://spark-interfax.ru/system/home/card#/company/D93ACC940E5749709F388BC077F4FC6C/101"/><Relationship Id="rId2268" Type="http://schemas.openxmlformats.org/officeDocument/2006/relationships/hyperlink" TargetMode="External" Target="https://spark-interfax.ru/system/home/card#/company/3CEA996BA2EC43FCAC93A574B4E80C9F/101"/><Relationship Id="rId2269" Type="http://schemas.openxmlformats.org/officeDocument/2006/relationships/hyperlink" TargetMode="External" Target="https://spark-interfax.ru/system/home/card#/company/F2875FD0D8E94E3F92B58E12AEB894F8/101"/><Relationship Id="rId2270" Type="http://schemas.openxmlformats.org/officeDocument/2006/relationships/hyperlink" TargetMode="External" Target="https://spark-interfax.ru/system/home/card#/company/5F5A12400333465E96756B3020EC3F4A/101"/><Relationship Id="rId2271" Type="http://schemas.openxmlformats.org/officeDocument/2006/relationships/hyperlink" TargetMode="External" Target="https://spark-interfax.ru/system/home/card#/company/D4C218B92A244EE4BB2697EA44CDF764/101"/><Relationship Id="rId2272" Type="http://schemas.openxmlformats.org/officeDocument/2006/relationships/hyperlink" TargetMode="External" Target="https://spark-interfax.ru/system/home/card#/company/D910B0C04C4B4D9F9BB57F295272B31C/101"/><Relationship Id="rId2273" Type="http://schemas.openxmlformats.org/officeDocument/2006/relationships/hyperlink" TargetMode="External" Target="https://spark-interfax.ru/system/home/card#/company/3558674A8DFE4DDFB951E02055C34A81/101"/><Relationship Id="rId2274" Type="http://schemas.openxmlformats.org/officeDocument/2006/relationships/hyperlink" TargetMode="External" Target="https://spark-interfax.ru/system/home/card#/company/00EEC215AE4B4F17BBA2B6A0942FDCBB/101"/><Relationship Id="rId2275" Type="http://schemas.openxmlformats.org/officeDocument/2006/relationships/hyperlink" TargetMode="External" Target="https://spark-interfax.ru/system/home/card#/company/5BC45A33BA6F4CD5BF0FF1BE0A9BB111/101"/><Relationship Id="rId2276" Type="http://schemas.openxmlformats.org/officeDocument/2006/relationships/hyperlink" TargetMode="External" Target="https://spark-interfax.ru/system/home/card#/company/2E3C5845E548472AA2367F27A0257CE5/101"/><Relationship Id="rId2277" Type="http://schemas.openxmlformats.org/officeDocument/2006/relationships/hyperlink" TargetMode="External" Target="https://spark-interfax.ru/system/home/card#/company/9C481180EB292E3AE053179AA8C0ADC7/101"/><Relationship Id="rId2278" Type="http://schemas.openxmlformats.org/officeDocument/2006/relationships/hyperlink" TargetMode="External" Target="https://spark-interfax.ru/system/home/card#/company/BF416F6D1F464521B5098C01CA261296/101"/><Relationship Id="rId2279" Type="http://schemas.openxmlformats.org/officeDocument/2006/relationships/hyperlink" TargetMode="External" Target="https://spark-interfax.ru/system/home/card#/company/A374B721A07B4D659A7A1EAC05548580/101"/><Relationship Id="rId2280" Type="http://schemas.openxmlformats.org/officeDocument/2006/relationships/hyperlink" TargetMode="External" Target="https://spark-interfax.ru/system/home/card#/company/B85269EFE9F04369993327C1A441E490/101"/><Relationship Id="rId2281" Type="http://schemas.openxmlformats.org/officeDocument/2006/relationships/hyperlink" TargetMode="External" Target="https://spark-interfax.ru/system/home/card#/company/74F0A29821064D259993A863BD5721F6/101"/><Relationship Id="rId2282" Type="http://schemas.openxmlformats.org/officeDocument/2006/relationships/hyperlink" TargetMode="External" Target="https://spark-interfax.ru/system/home/card#/company/63C29DFDC27F4989BA2C61C4AE98C4F7/101"/><Relationship Id="rId2283" Type="http://schemas.openxmlformats.org/officeDocument/2006/relationships/hyperlink" TargetMode="External" Target="https://spark-interfax.ru/system/home/card#/company/4D5963936EE344809A47A9FE115DBD72/101"/><Relationship Id="rId2284" Type="http://schemas.openxmlformats.org/officeDocument/2006/relationships/hyperlink" TargetMode="External" Target="https://spark-interfax.ru/system/home/card#/company/EDAEA399DFA8415CAE7FE94706B440B9/101"/><Relationship Id="rId2285" Type="http://schemas.openxmlformats.org/officeDocument/2006/relationships/hyperlink" TargetMode="External" Target="https://spark-interfax.ru/system/home/card#/company/A64AB3E0C9E643B79C12F777EA57F823/101"/><Relationship Id="rId2286" Type="http://schemas.openxmlformats.org/officeDocument/2006/relationships/hyperlink" TargetMode="External" Target="https://spark-interfax.ru/system/home/card#/company/AA928F824E334338B52553B89AC1B71B/101"/><Relationship Id="rId2287" Type="http://schemas.openxmlformats.org/officeDocument/2006/relationships/hyperlink" TargetMode="External" Target="https://spark-interfax.ru/system/home/card#/company/4BCF1ECCC02045338D499440B5A1A70E/101"/><Relationship Id="rId2288" Type="http://schemas.openxmlformats.org/officeDocument/2006/relationships/hyperlink" TargetMode="External" Target="https://spark-interfax.ru/system/home/card#/company/B15BC5A80C9B47F2AB41B4D38CF95338/101"/><Relationship Id="rId2289" Type="http://schemas.openxmlformats.org/officeDocument/2006/relationships/hyperlink" TargetMode="External" Target="https://spark-interfax.ru/system/home/card#/company/5C045F94DCA94CB98E1A53FEF3E0EB81/101"/><Relationship Id="rId2290" Type="http://schemas.openxmlformats.org/officeDocument/2006/relationships/hyperlink" TargetMode="External" Target="https://spark-interfax.ru/system/home/card#/company/7655069A6DC944EE82DDF6563963304A/101"/><Relationship Id="rId2291" Type="http://schemas.openxmlformats.org/officeDocument/2006/relationships/hyperlink" TargetMode="External" Target="https://spark-interfax.ru/system/home/card#/company/71AE828158834DA681CB3BCED6F6C2F1/101"/><Relationship Id="rId2292" Type="http://schemas.openxmlformats.org/officeDocument/2006/relationships/hyperlink" TargetMode="External" Target="https://spark-interfax.ru/system/home/card#/company/B622F28175ED4830AB071BB0A5C2B0C6/101"/><Relationship Id="rId2293" Type="http://schemas.openxmlformats.org/officeDocument/2006/relationships/hyperlink" TargetMode="External" Target="https://spark-interfax.ru/system/home/card#/company/AA027243F6194F73A1C575AEE6A2C559/101"/><Relationship Id="rId2294" Type="http://schemas.openxmlformats.org/officeDocument/2006/relationships/hyperlink" TargetMode="External" Target="https://spark-interfax.ru/system/home/card#/company/2F920028E6B740B9AB4A0A365BC51F37/101"/><Relationship Id="rId2295" Type="http://schemas.openxmlformats.org/officeDocument/2006/relationships/hyperlink" TargetMode="External" Target="https://spark-interfax.ru/system/home/card#/company/DB9469A77BA1420DB26D5F92B59B0BC3/101"/><Relationship Id="rId2296" Type="http://schemas.openxmlformats.org/officeDocument/2006/relationships/hyperlink" TargetMode="External" Target="https://spark-interfax.ru/system/home/card#/company/F3218F3F47C84713979037CFB69E710B/101"/><Relationship Id="rId2297" Type="http://schemas.openxmlformats.org/officeDocument/2006/relationships/hyperlink" TargetMode="External" Target="https://spark-interfax.ru/system/home/card#/company/EE26AC94D9D04EA689819E3DF8A10372/101"/><Relationship Id="rId2298" Type="http://schemas.openxmlformats.org/officeDocument/2006/relationships/hyperlink" TargetMode="External" Target="https://spark-interfax.ru/system/home/card#/company/395322C0B4C64CC189AF56C5AB28F4B4/101"/><Relationship Id="rId2299" Type="http://schemas.openxmlformats.org/officeDocument/2006/relationships/hyperlink" TargetMode="External" Target="https://spark-interfax.ru/system/home/card#/company/9FBAEA5147F24D649145587CE0A38860/101"/><Relationship Id="rId2300" Type="http://schemas.openxmlformats.org/officeDocument/2006/relationships/hyperlink" TargetMode="External" Target="https://spark-interfax.ru/system/home/card#/company/C2D1EB8FF9284AD58558005A7B9D6E36/101"/><Relationship Id="rId2301" Type="http://schemas.openxmlformats.org/officeDocument/2006/relationships/hyperlink" TargetMode="External" Target="https://spark-interfax.ru/system/home/card#/company/021B5D2310D84DB2A07C5BA40626E288/101"/><Relationship Id="rId2302" Type="http://schemas.openxmlformats.org/officeDocument/2006/relationships/hyperlink" TargetMode="External" Target="https://spark-interfax.ru/system/home/card#/company/61CE5722375141CC887BC332D2E45980/101"/><Relationship Id="rId2303" Type="http://schemas.openxmlformats.org/officeDocument/2006/relationships/hyperlink" TargetMode="External" Target="https://spark-interfax.ru/system/home/card#/company/F7D496F0BBAE4F4F82410372395B2ABA/101"/><Relationship Id="rId2304" Type="http://schemas.openxmlformats.org/officeDocument/2006/relationships/hyperlink" TargetMode="External" Target="https://spark-interfax.ru/system/home/card#/company/358AA69691644B0C925B85DCAC852FD7/101"/><Relationship Id="rId2305" Type="http://schemas.openxmlformats.org/officeDocument/2006/relationships/hyperlink" TargetMode="External" Target="https://spark-interfax.ru/system/home/card#/company/87B1D01691D14F208CD77A01E7A991FA/101"/><Relationship Id="rId2306" Type="http://schemas.openxmlformats.org/officeDocument/2006/relationships/hyperlink" TargetMode="External" Target="https://spark-interfax.ru/system/home/card#/company/6FEAF7E139AF45C29680586F1CBE8F8B/101"/><Relationship Id="rId2307" Type="http://schemas.openxmlformats.org/officeDocument/2006/relationships/hyperlink" TargetMode="External" Target="https://spark-interfax.ru/system/home/card#/company/BFAD644D693742829D1C94F9FDAD3C21/101"/><Relationship Id="rId2308" Type="http://schemas.openxmlformats.org/officeDocument/2006/relationships/hyperlink" TargetMode="External" Target="https://spark-interfax.ru/system/home/card#/company/D8AEAFBC63A8490A91B57C83134EEC74/101"/><Relationship Id="rId2309" Type="http://schemas.openxmlformats.org/officeDocument/2006/relationships/hyperlink" TargetMode="External" Target="https://spark-interfax.ru/system/home/card#/company/F8A44D8BBE0A48E690330FD07DEBED58/101"/><Relationship Id="rId2310" Type="http://schemas.openxmlformats.org/officeDocument/2006/relationships/hyperlink" TargetMode="External" Target="https://spark-interfax.ru/system/home/card#/company/90A721FFA09641AEA2040CE405B2191B/101"/><Relationship Id="rId2311" Type="http://schemas.openxmlformats.org/officeDocument/2006/relationships/hyperlink" TargetMode="External" Target="https://spark-interfax.ru/system/home/card#/company/16FF6389AEFD410496C2F6C9D9E45B58/101"/><Relationship Id="rId2312" Type="http://schemas.openxmlformats.org/officeDocument/2006/relationships/hyperlink" TargetMode="External" Target="https://spark-interfax.ru/system/home/card#/company/BB348720051741FA973249AF694BB854/101"/><Relationship Id="rId2313" Type="http://schemas.openxmlformats.org/officeDocument/2006/relationships/hyperlink" TargetMode="External" Target="https://spark-interfax.ru/system/home/card#/company/52A44EA7D5DC4B169B14A43D02173DCA/101"/><Relationship Id="rId2314" Type="http://schemas.openxmlformats.org/officeDocument/2006/relationships/hyperlink" TargetMode="External" Target="https://spark-interfax.ru/system/home/card#/company/A8838BB9F1EA479DB0629EE97F6FEF53/101"/><Relationship Id="rId2315" Type="http://schemas.openxmlformats.org/officeDocument/2006/relationships/hyperlink" TargetMode="External" Target="https://spark-interfax.ru/system/home/card#/company/9AF30BEC91C046FB9126C3699F8CEC67/101"/><Relationship Id="rId2316" Type="http://schemas.openxmlformats.org/officeDocument/2006/relationships/hyperlink" TargetMode="External" Target="https://spark-interfax.ru/system/home/card#/company/B07A6DA18AC54D2BA9877D2E82D3F5E4/101"/><Relationship Id="rId2317" Type="http://schemas.openxmlformats.org/officeDocument/2006/relationships/hyperlink" TargetMode="External" Target="https://spark-interfax.ru/system/home/card#/company/47A7DD0B02A14E25A60F504F933FB83C/101"/><Relationship Id="rId2318" Type="http://schemas.openxmlformats.org/officeDocument/2006/relationships/hyperlink" TargetMode="External" Target="https://spark-interfax.ru/system/home/card#/company/55375CE8132E43BD90617F86AF23E31A/101"/><Relationship Id="rId2319" Type="http://schemas.openxmlformats.org/officeDocument/2006/relationships/hyperlink" TargetMode="External" Target="https://spark-interfax.ru/system/home/card#/company/9E099D2B0A4E43E59B0B4D5C7180A758/101"/><Relationship Id="rId2320" Type="http://schemas.openxmlformats.org/officeDocument/2006/relationships/hyperlink" TargetMode="External" Target="https://spark-interfax.ru/system/home/card#/company/9A64B7D95540420DA899AEABB666A130/101"/><Relationship Id="rId2321" Type="http://schemas.openxmlformats.org/officeDocument/2006/relationships/hyperlink" TargetMode="External" Target="https://spark-interfax.ru/system/home/card#/company/BDAB2E44454D4301818723A7BA019145/101"/><Relationship Id="rId2322" Type="http://schemas.openxmlformats.org/officeDocument/2006/relationships/hyperlink" TargetMode="External" Target="https://spark-interfax.ru/system/home/card#/company/F9CC97F8D5D949DDA6FE9129A2CAED76/101"/><Relationship Id="rId2323" Type="http://schemas.openxmlformats.org/officeDocument/2006/relationships/hyperlink" TargetMode="External" Target="https://spark-interfax.ru/system/home/card#/company/CD45C74B538349C8BFEA8EEA9FE7FC71/101"/><Relationship Id="rId2324" Type="http://schemas.openxmlformats.org/officeDocument/2006/relationships/hyperlink" TargetMode="External" Target="https://spark-interfax.ru/system/home/card#/company/2196695FAADF46FF9BD0FE70F0A69DAE/101"/><Relationship Id="rId2325" Type="http://schemas.openxmlformats.org/officeDocument/2006/relationships/hyperlink" TargetMode="External" Target="https://spark-interfax.ru/system/home/card#/company/9A1559CECDC746D696EBA01B48402FD0/101"/><Relationship Id="rId2326" Type="http://schemas.openxmlformats.org/officeDocument/2006/relationships/hyperlink" TargetMode="External" Target="https://spark-interfax.ru/system/home/card#/company/F11173A8147346139850B568324D6AB5/101"/><Relationship Id="rId2327" Type="http://schemas.openxmlformats.org/officeDocument/2006/relationships/hyperlink" TargetMode="External" Target="https://spark-interfax.ru/system/home/card#/company/2CEF9079F90544A0BF362D017CFFCD3B/101"/><Relationship Id="rId2328" Type="http://schemas.openxmlformats.org/officeDocument/2006/relationships/hyperlink" TargetMode="External" Target="https://spark-interfax.ru/system/home/card#/company/6AC69E60369A459FA999FD9264690A5D/101"/><Relationship Id="rId2329" Type="http://schemas.openxmlformats.org/officeDocument/2006/relationships/hyperlink" TargetMode="External" Target="https://spark-interfax.ru/system/home/card#/company/0A90676FAD7746BC9258E60866FE3C1A/101"/><Relationship Id="rId2330" Type="http://schemas.openxmlformats.org/officeDocument/2006/relationships/hyperlink" TargetMode="External" Target="https://spark-interfax.ru/system/home/card#/company/5EC0C8EF967C0F28E0531B9AA8C09FF8/101"/><Relationship Id="rId2331" Type="http://schemas.openxmlformats.org/officeDocument/2006/relationships/hyperlink" TargetMode="External" Target="https://spark-interfax.ru/system/home/card#/company/3B87460488D74384B26ECFA13565913B/101"/><Relationship Id="rId2332" Type="http://schemas.openxmlformats.org/officeDocument/2006/relationships/hyperlink" TargetMode="External" Target="https://spark-interfax.ru/system/home/card#/company/72178779FFA24313AB60455F424B277C/101"/><Relationship Id="rId2333" Type="http://schemas.openxmlformats.org/officeDocument/2006/relationships/hyperlink" TargetMode="External" Target="https://spark-interfax.ru/system/home/card#/company/0FD66B421C054BF38A7432EFB5641E9E/101"/><Relationship Id="rId2334" Type="http://schemas.openxmlformats.org/officeDocument/2006/relationships/hyperlink" TargetMode="External" Target="https://spark-interfax.ru/system/home/card#/company/81DCD46D1D4140C4B70AB50CA481B229/101"/><Relationship Id="rId2335" Type="http://schemas.openxmlformats.org/officeDocument/2006/relationships/hyperlink" TargetMode="External" Target="https://spark-interfax.ru/system/home/card#/company/809464EDF8A746388D651005015A0EA5/101"/><Relationship Id="rId2336" Type="http://schemas.openxmlformats.org/officeDocument/2006/relationships/hyperlink" TargetMode="External" Target="https://spark-interfax.ru/system/home/card#/company/937B0AE9CFD03052E0531B9AA8C05A1B/101"/><Relationship Id="rId2337" Type="http://schemas.openxmlformats.org/officeDocument/2006/relationships/hyperlink" TargetMode="External" Target="https://spark-interfax.ru/system/home/card#/company/942DD175CAEE4D5E96CBF61711B83224/101"/><Relationship Id="rId2338" Type="http://schemas.openxmlformats.org/officeDocument/2006/relationships/hyperlink" TargetMode="External" Target="https://spark-interfax.ru/system/home/card#/company/4F518E1E3E5A4E5D884E6CF871B3A257/101"/><Relationship Id="rId2339" Type="http://schemas.openxmlformats.org/officeDocument/2006/relationships/hyperlink" TargetMode="External" Target="https://spark-interfax.ru/system/home/card#/company/B3215AB0DEE44666B2ECB94678E73BE8/101"/><Relationship Id="rId2340" Type="http://schemas.openxmlformats.org/officeDocument/2006/relationships/hyperlink" TargetMode="External" Target="https://spark-interfax.ru/system/home/card#/company/B1955428330B4FA9BC576988B0FE3D10/101"/><Relationship Id="rId2341" Type="http://schemas.openxmlformats.org/officeDocument/2006/relationships/hyperlink" TargetMode="External" Target="https://spark-interfax.ru/system/home/card#/company/B990B27EC3B04919943CBADE4ACD27C2/101"/><Relationship Id="rId2342" Type="http://schemas.openxmlformats.org/officeDocument/2006/relationships/hyperlink" TargetMode="External" Target="https://spark-interfax.ru/system/home/card#/company/1C9E7B6FB4E849FC9D454A01FB4BB0E4/101"/><Relationship Id="rId2343" Type="http://schemas.openxmlformats.org/officeDocument/2006/relationships/hyperlink" TargetMode="External" Target="https://spark-interfax.ru/system/home/card#/company/678E63C53E1B4B24AF1BE2A44FAE2D36/101"/><Relationship Id="rId2344" Type="http://schemas.openxmlformats.org/officeDocument/2006/relationships/hyperlink" TargetMode="External" Target="https://spark-interfax.ru/system/home/card#/company/9F76BC5079194B6DB70C01687599AA7C/101"/><Relationship Id="rId2345" Type="http://schemas.openxmlformats.org/officeDocument/2006/relationships/hyperlink" TargetMode="External" Target="https://spark-interfax.ru/system/home/card#/company/D33E902C41F040F283DF2D9392CA64CE/101"/><Relationship Id="rId2346" Type="http://schemas.openxmlformats.org/officeDocument/2006/relationships/hyperlink" TargetMode="External" Target="https://spark-interfax.ru/system/home/card#/company/F17365E436DD4AC3931BCEFE7D8A7C8F/101"/><Relationship Id="rId2347" Type="http://schemas.openxmlformats.org/officeDocument/2006/relationships/hyperlink" TargetMode="External" Target="https://spark-interfax.ru/system/home/card#/company/8C6F64641D404F36994EDE14A850CC41/101"/><Relationship Id="rId2348" Type="http://schemas.openxmlformats.org/officeDocument/2006/relationships/hyperlink" TargetMode="External" Target="https://spark-interfax.ru/system/home/card#/company/21C5E00E63C14E159D374366CC026EE8/101"/><Relationship Id="rId2349" Type="http://schemas.openxmlformats.org/officeDocument/2006/relationships/hyperlink" TargetMode="External" Target="https://spark-interfax.ru/system/home/card#/company/0833CC2EEE2848C180A4E0A5F82AA700/101"/><Relationship Id="rId2350" Type="http://schemas.openxmlformats.org/officeDocument/2006/relationships/hyperlink" TargetMode="External" Target="https://spark-interfax.ru/system/home/card#/company/1C05C429D7484B939117B58B364CB9B2/101"/><Relationship Id="rId2351" Type="http://schemas.openxmlformats.org/officeDocument/2006/relationships/hyperlink" TargetMode="External" Target="https://spark-interfax.ru/system/home/card#/company/6C1768CFABD44026AC53C60BB0F07A0F/101"/><Relationship Id="rId2352" Type="http://schemas.openxmlformats.org/officeDocument/2006/relationships/hyperlink" TargetMode="External" Target="https://spark-interfax.ru/system/home/card#/company/5082A377B59B4C9C8EC3A991E95A84D6/101"/><Relationship Id="rId2353" Type="http://schemas.openxmlformats.org/officeDocument/2006/relationships/hyperlink" TargetMode="External" Target="https://spark-interfax.ru/system/home/card#/company/1172EB63D87542BB94D7C32A3B1EF8A0/101"/><Relationship Id="rId2354" Type="http://schemas.openxmlformats.org/officeDocument/2006/relationships/hyperlink" TargetMode="External" Target="https://spark-interfax.ru/system/home/card#/company/F43CE5EB4C954A96BDDD0023C750DE60/101"/><Relationship Id="rId2355" Type="http://schemas.openxmlformats.org/officeDocument/2006/relationships/hyperlink" TargetMode="External" Target="https://spark-interfax.ru/system/home/card#/company/E06F0B4495574E809AC05184E5EE6DC4/101"/><Relationship Id="rId2356" Type="http://schemas.openxmlformats.org/officeDocument/2006/relationships/hyperlink" TargetMode="External" Target="https://spark-interfax.ru/system/home/card#/company/810CC359A3A247018114EEF7388C60B4/101"/><Relationship Id="rId2357" Type="http://schemas.openxmlformats.org/officeDocument/2006/relationships/hyperlink" TargetMode="External" Target="https://spark-interfax.ru/system/home/card#/company/E165E16E3D5047BEB8FC82FD7781DD92/101"/><Relationship Id="rId2358" Type="http://schemas.openxmlformats.org/officeDocument/2006/relationships/hyperlink" TargetMode="External" Target="https://spark-interfax.ru/system/home/card#/company/706B6F489FB74330AEDAB5093F084CA3/101"/><Relationship Id="rId2359" Type="http://schemas.openxmlformats.org/officeDocument/2006/relationships/hyperlink" TargetMode="External" Target="https://spark-interfax.ru/system/home/card#/company/E707ADA0B0614DFBB436680871A65DF0/101"/><Relationship Id="rId2360" Type="http://schemas.openxmlformats.org/officeDocument/2006/relationships/hyperlink" TargetMode="External" Target="https://spark-interfax.ru/system/home/card#/company/8A4B88C86F2E411B85B63F695DC38355/101"/><Relationship Id="rId2361" Type="http://schemas.openxmlformats.org/officeDocument/2006/relationships/hyperlink" TargetMode="External" Target="https://spark-interfax.ru/system/home/card#/company/06ABD53CDF0146C0A3C93859E2DE0CED/101"/><Relationship Id="rId2362" Type="http://schemas.openxmlformats.org/officeDocument/2006/relationships/hyperlink" TargetMode="External" Target="https://spark-interfax.ru/system/home/card#/company/41F667B1511B4B95A750668753B9E152/101"/><Relationship Id="rId2363" Type="http://schemas.openxmlformats.org/officeDocument/2006/relationships/hyperlink" TargetMode="External" Target="https://spark-interfax.ru/system/home/card#/company/996071BA286C4877B017E1A6467C1910/101"/><Relationship Id="rId2364" Type="http://schemas.openxmlformats.org/officeDocument/2006/relationships/hyperlink" TargetMode="External" Target="https://spark-interfax.ru/system/home/card#/company/5F2545E6D37D4807E0531B9AA8C06DF5/101"/><Relationship Id="rId2365" Type="http://schemas.openxmlformats.org/officeDocument/2006/relationships/hyperlink" TargetMode="External" Target="https://spark-interfax.ru/system/home/card#/company/AA6D603A9AC03AA9E053189AA8C03E75/101"/><Relationship Id="rId2366" Type="http://schemas.openxmlformats.org/officeDocument/2006/relationships/hyperlink" TargetMode="External" Target="https://spark-interfax.ru/system/home/card#/company/AF0E0835F08515CEE053189AA8C018CA/101"/><Relationship Id="rId2367" Type="http://schemas.openxmlformats.org/officeDocument/2006/relationships/hyperlink" TargetMode="External" Target="https://spark-interfax.ru/system/home/card#/company/2AD0C5A0DBFD430296C2D3A9AC141B1D/101"/><Relationship Id="rId2368" Type="http://schemas.openxmlformats.org/officeDocument/2006/relationships/hyperlink" TargetMode="External" Target="https://spark-interfax.ru/system/home/card#/company/3F1415CFCEC64FF0A233724A8EED3135/101"/><Relationship Id="rId2369" Type="http://schemas.openxmlformats.org/officeDocument/2006/relationships/hyperlink" TargetMode="External" Target="https://spark-interfax.ru/system/home/card#/company/BAD6027A9F154C0B90DA315BC249EB85/101"/><Relationship Id="rId2370" Type="http://schemas.openxmlformats.org/officeDocument/2006/relationships/hyperlink" TargetMode="External" Target="https://spark-interfax.ru/system/home/card#/company/0ACCA22659E94DA888E1AA9F7999999F/101"/><Relationship Id="rId2371" Type="http://schemas.openxmlformats.org/officeDocument/2006/relationships/hyperlink" TargetMode="External" Target="https://spark-interfax.ru/system/home/card#/company/8A99462E32BB31B9E0531C9AA8C03F30/101"/><Relationship Id="rId2372" Type="http://schemas.openxmlformats.org/officeDocument/2006/relationships/hyperlink" TargetMode="External" Target="https://spark-interfax.ru/system/home/card#/company/86FD1D57D4284B2C974EE75CDAE29667/101"/><Relationship Id="rId2373" Type="http://schemas.openxmlformats.org/officeDocument/2006/relationships/hyperlink" TargetMode="External" Target="https://spark-interfax.ru/system/home/card#/company/539E3A64B3D247A1A98D1ACDAFA2A8C6/101"/><Relationship Id="rId2374" Type="http://schemas.openxmlformats.org/officeDocument/2006/relationships/hyperlink" TargetMode="External" Target="https://spark-interfax.ru/system/home/card#/company/E7A157B504F1464095FDDF494E45B4AE/101"/><Relationship Id="rId2375" Type="http://schemas.openxmlformats.org/officeDocument/2006/relationships/hyperlink" TargetMode="External" Target="https://spark-interfax.ru/system/home/card#/company/7B3117E84F0946BAB8876074620096B6/101"/><Relationship Id="rId2376" Type="http://schemas.openxmlformats.org/officeDocument/2006/relationships/hyperlink" TargetMode="External" Target="https://spark-interfax.ru/system/home/card#/company/987FB8C859B744CD94352F5205B41821/101"/><Relationship Id="rId2377" Type="http://schemas.openxmlformats.org/officeDocument/2006/relationships/hyperlink" TargetMode="External" Target="https://spark-interfax.ru/system/home/card#/company/7D98F90596644CE9BEB00BB552D0D902/101"/><Relationship Id="rId2378" Type="http://schemas.openxmlformats.org/officeDocument/2006/relationships/hyperlink" TargetMode="External" Target="https://spark-interfax.ru/system/home/card#/company/367B2034EBF844E787482DBDB521A747/101"/><Relationship Id="rId2379" Type="http://schemas.openxmlformats.org/officeDocument/2006/relationships/hyperlink" TargetMode="External" Target="https://spark-interfax.ru/system/home/card#/company/9106B182C5AE4A1BB9B4C7452D5BA731/101"/><Relationship Id="rId2380" Type="http://schemas.openxmlformats.org/officeDocument/2006/relationships/hyperlink" TargetMode="External" Target="https://spark-interfax.ru/system/home/card#/company/94A939235BB757DFE0531B9AA8C076AA/101"/><Relationship Id="rId2381" Type="http://schemas.openxmlformats.org/officeDocument/2006/relationships/hyperlink" TargetMode="External" Target="https://spark-interfax.ru/system/home/card#/company/1D3ADD27F7DF493B929F07B526E5E6D0/101"/><Relationship Id="rId2382" Type="http://schemas.openxmlformats.org/officeDocument/2006/relationships/hyperlink" TargetMode="External" Target="https://spark-interfax.ru/system/home/card#/company/EC40731DF9574DCBB83FBB82BCAB6106/101"/><Relationship Id="rId2383" Type="http://schemas.openxmlformats.org/officeDocument/2006/relationships/hyperlink" TargetMode="External" Target="https://spark-interfax.ru/system/home/card#/company/1B2B47F2555A4A05A6AD149196075F21/101"/><Relationship Id="rId2384" Type="http://schemas.openxmlformats.org/officeDocument/2006/relationships/hyperlink" TargetMode="External" Target="https://spark-interfax.ru/system/home/card#/company/74BF8A72BBFD3C23E0531B9AA8C0E4F5/101"/><Relationship Id="rId2385" Type="http://schemas.openxmlformats.org/officeDocument/2006/relationships/hyperlink" TargetMode="External" Target="https://spark-interfax.ru/system/home/card#/company/F77E9D6D5B52418E8A405E37FBCC344E/101"/><Relationship Id="rId2386" Type="http://schemas.openxmlformats.org/officeDocument/2006/relationships/hyperlink" TargetMode="External" Target="https://spark-interfax.ru/system/home/card#/company/FFDAFF5C59EE4B25AF1E4B80D411D84C/101"/><Relationship Id="rId2387" Type="http://schemas.openxmlformats.org/officeDocument/2006/relationships/hyperlink" TargetMode="External" Target="https://spark-interfax.ru/system/home/card#/company/51BF4A2654FF4482AC07ABC2AC0BFBA7/101"/><Relationship Id="rId2388" Type="http://schemas.openxmlformats.org/officeDocument/2006/relationships/hyperlink" TargetMode="External" Target="https://spark-interfax.ru/system/home/card#/company/F8FC839E967E4CB285E6BAF7C774D70D/101"/><Relationship Id="rId2389" Type="http://schemas.openxmlformats.org/officeDocument/2006/relationships/hyperlink" TargetMode="External" Target="https://spark-interfax.ru/system/home/card#/company/8D251F8B3AD4436691E073D1D061F650/101"/><Relationship Id="rId2390" Type="http://schemas.openxmlformats.org/officeDocument/2006/relationships/hyperlink" TargetMode="External" Target="https://spark-interfax.ru/system/home/card#/company/DB4AA0728A67462B97751F79DCFF4C56/101"/><Relationship Id="rId2391" Type="http://schemas.openxmlformats.org/officeDocument/2006/relationships/hyperlink" TargetMode="External" Target="https://spark-interfax.ru/system/home/card#/company/C7F2D6E5DE98426C850FD14B2BEC891B/101"/><Relationship Id="rId2392" Type="http://schemas.openxmlformats.org/officeDocument/2006/relationships/hyperlink" TargetMode="External" Target="https://spark-interfax.ru/system/home/card#/company/FBA94F2E84F44B2D923D42FEDAF581EF/101"/><Relationship Id="rId2393" Type="http://schemas.openxmlformats.org/officeDocument/2006/relationships/hyperlink" TargetMode="External" Target="https://spark-interfax.ru/system/home/card#/company/13E6F3A7714F4D82AA87070E6487E011/101"/><Relationship Id="rId2394" Type="http://schemas.openxmlformats.org/officeDocument/2006/relationships/hyperlink" TargetMode="External" Target="https://spark-interfax.ru/system/home/card#/company/94814494A3C9439FAF14B6BB9498C205/101"/><Relationship Id="rId2395" Type="http://schemas.openxmlformats.org/officeDocument/2006/relationships/hyperlink" TargetMode="External" Target="https://spark-interfax.ru/system/home/card#/company/A7DC0AEEB18A45E695607940DDC5CD84/101"/><Relationship Id="rId2396" Type="http://schemas.openxmlformats.org/officeDocument/2006/relationships/hyperlink" TargetMode="External" Target="https://spark-interfax.ru/system/home/card#/company/0606DCB23CF4445A8CD285DF5030F7C4/101"/><Relationship Id="rId2397" Type="http://schemas.openxmlformats.org/officeDocument/2006/relationships/hyperlink" TargetMode="External" Target="https://spark-interfax.ru/system/home/card#/company/014B0C5DB30C400BB45ADBD91D121144/101"/><Relationship Id="rId2398" Type="http://schemas.openxmlformats.org/officeDocument/2006/relationships/hyperlink" TargetMode="External" Target="https://spark-interfax.ru/system/home/card#/company/4B563531373F45DFA70A1C19EE20F2B9/101"/><Relationship Id="rId2399" Type="http://schemas.openxmlformats.org/officeDocument/2006/relationships/hyperlink" TargetMode="External" Target="https://spark-interfax.ru/system/home/card#/company/72987AD2CF89467AA5081D3308E4E36B/101"/><Relationship Id="rId2400" Type="http://schemas.openxmlformats.org/officeDocument/2006/relationships/hyperlink" TargetMode="External" Target="https://spark-interfax.ru/system/home/card#/company/A00C75E30A795EC8E053189AA8C0AC00/101"/><Relationship Id="rId2401" Type="http://schemas.openxmlformats.org/officeDocument/2006/relationships/hyperlink" TargetMode="External" Target="https://spark-interfax.ru/system/home/card#/company/565FA8154F4A46068F5D51D21DEE0C43/101"/><Relationship Id="rId2402" Type="http://schemas.openxmlformats.org/officeDocument/2006/relationships/hyperlink" TargetMode="External" Target="https://spark-interfax.ru/system/home/card#/company/E2D831D9FE5C4337A3F78952F67E7A97/101"/><Relationship Id="rId2403" Type="http://schemas.openxmlformats.org/officeDocument/2006/relationships/hyperlink" TargetMode="External" Target="https://spark-interfax.ru/system/home/card#/company/0D4EAF50BD07468C963BD0CED66A218D/101"/><Relationship Id="rId2404" Type="http://schemas.openxmlformats.org/officeDocument/2006/relationships/hyperlink" TargetMode="External" Target="https://spark-interfax.ru/system/home/card#/company/9E82C93337AE4C41AA53D5AE04E86737/101"/><Relationship Id="rId2405" Type="http://schemas.openxmlformats.org/officeDocument/2006/relationships/hyperlink" TargetMode="External" Target="https://spark-interfax.ru/system/home/card#/company/2BAE292210B846FFA678F79D5C699513/101"/><Relationship Id="rId2406" Type="http://schemas.openxmlformats.org/officeDocument/2006/relationships/hyperlink" TargetMode="External" Target="https://spark-interfax.ru/system/home/card#/company/DC0111FB12A844AE99428328E2F9504E/101"/><Relationship Id="rId2407" Type="http://schemas.openxmlformats.org/officeDocument/2006/relationships/hyperlink" TargetMode="External" Target="https://spark-interfax.ru/system/home/card#/company/33DE3CA0C7EB456B91EAD1F3AFCCC81C/101"/><Relationship Id="rId2408" Type="http://schemas.openxmlformats.org/officeDocument/2006/relationships/hyperlink" TargetMode="External" Target="https://spark-interfax.ru/system/home/card#/company/262026421AA04152B37194C70FD5609D/101"/><Relationship Id="rId2409" Type="http://schemas.openxmlformats.org/officeDocument/2006/relationships/hyperlink" TargetMode="External" Target="https://spark-interfax.ru/system/home/card#/company/B6BD8C59222D408FAA834FFF4F460146/101"/><Relationship Id="rId2410" Type="http://schemas.openxmlformats.org/officeDocument/2006/relationships/hyperlink" TargetMode="External" Target="https://spark-interfax.ru/system/home/card#/company/F03313F42CEF40C4B580D63AAD783271/101"/><Relationship Id="rId2411" Type="http://schemas.openxmlformats.org/officeDocument/2006/relationships/hyperlink" TargetMode="External" Target="https://spark-interfax.ru/system/home/card#/company/84C4EA43D3EB4ED1A4393FCB37679A8D/101"/><Relationship Id="rId2412" Type="http://schemas.openxmlformats.org/officeDocument/2006/relationships/hyperlink" TargetMode="External" Target="https://spark-interfax.ru/system/home/card#/company/D1B2C552E5564C6B990FC0C90457487A/101"/><Relationship Id="rId2413" Type="http://schemas.openxmlformats.org/officeDocument/2006/relationships/hyperlink" TargetMode="External" Target="https://spark-interfax.ru/system/home/card#/company/4AF0A0CF17F64BE3A830D0A55F1BD278/101"/><Relationship Id="rId2414" Type="http://schemas.openxmlformats.org/officeDocument/2006/relationships/hyperlink" TargetMode="External" Target="https://spark-interfax.ru/system/home/card#/company/DF9C1472703B46D2B11D006DBC89A497/101"/><Relationship Id="rId2415" Type="http://schemas.openxmlformats.org/officeDocument/2006/relationships/hyperlink" TargetMode="External" Target="https://spark-interfax.ru/system/home/card#/company/4E3E69993FBE42DD9480363073493F39/101"/><Relationship Id="rId2416" Type="http://schemas.openxmlformats.org/officeDocument/2006/relationships/hyperlink" TargetMode="External" Target="https://spark-interfax.ru/system/home/card#/company/86AA224C5B71462F87DBC1AACCF3E884/101"/><Relationship Id="rId2417" Type="http://schemas.openxmlformats.org/officeDocument/2006/relationships/hyperlink" TargetMode="External" Target="https://spark-interfax.ru/system/home/card#/company/D7F76EAB9A0D4288A310DF81E42B597A/101"/><Relationship Id="rId2418" Type="http://schemas.openxmlformats.org/officeDocument/2006/relationships/hyperlink" TargetMode="External" Target="https://spark-interfax.ru/system/home/card#/company/CA55E0AD70DF492E9D18FC9D4C8F0A2E/101"/><Relationship Id="rId2419" Type="http://schemas.openxmlformats.org/officeDocument/2006/relationships/hyperlink" TargetMode="External" Target="https://spark-interfax.ru/system/home/card#/company/AD5722B5D49B4827BB072DA4CC260DE9/101"/><Relationship Id="rId2420" Type="http://schemas.openxmlformats.org/officeDocument/2006/relationships/hyperlink" TargetMode="External" Target="https://spark-interfax.ru/system/home/card#/company/64BC892EF2E84A6D9957F929511D1421/101"/><Relationship Id="rId2421" Type="http://schemas.openxmlformats.org/officeDocument/2006/relationships/hyperlink" TargetMode="External" Target="https://spark-interfax.ru/system/home/card#/company/4E6996C06E4D45038FCB987CF4C87C16/101"/><Relationship Id="rId2422" Type="http://schemas.openxmlformats.org/officeDocument/2006/relationships/hyperlink" TargetMode="External" Target="https://spark-interfax.ru/system/home/card#/company/527F4BECCB0946EFA4F2330A20312955/101"/><Relationship Id="rId2423" Type="http://schemas.openxmlformats.org/officeDocument/2006/relationships/hyperlink" TargetMode="External" Target="https://spark-interfax.ru/system/home/card#/company/6E27890A8F445DEEE0531B9AA8C05EE6/101"/><Relationship Id="rId2424" Type="http://schemas.openxmlformats.org/officeDocument/2006/relationships/hyperlink" TargetMode="External" Target="https://spark-interfax.ru/system/home/card#/company/369CD24399FE4D61BC4C2E5036014048/101"/><Relationship Id="rId2425" Type="http://schemas.openxmlformats.org/officeDocument/2006/relationships/hyperlink" TargetMode="External" Target="https://spark-interfax.ru/system/home/card#/company/81C10DE7326841318B2A88CBD4628FD6/101"/><Relationship Id="rId2426" Type="http://schemas.openxmlformats.org/officeDocument/2006/relationships/hyperlink" TargetMode="External" Target="https://spark-interfax.ru/system/home/card#/company/31F6C2BAA7B248249139F4575A8142DE/101"/><Relationship Id="rId2427" Type="http://schemas.openxmlformats.org/officeDocument/2006/relationships/hyperlink" TargetMode="External" Target="https://spark-interfax.ru/system/home/card#/company/C05BE28639AF47B2A16C3EE1FE98B1F0/101"/><Relationship Id="rId2428" Type="http://schemas.openxmlformats.org/officeDocument/2006/relationships/hyperlink" TargetMode="External" Target="https://spark-interfax.ru/system/home/card#/company/FC0B40E6F3D840F98D27479D9C60A132/101"/><Relationship Id="rId2429" Type="http://schemas.openxmlformats.org/officeDocument/2006/relationships/hyperlink" TargetMode="External" Target="https://spark-interfax.ru/system/home/card#/company/F279932B688D4A7CBC87430101DB839D/101"/><Relationship Id="rId2430" Type="http://schemas.openxmlformats.org/officeDocument/2006/relationships/hyperlink" TargetMode="External" Target="https://spark-interfax.ru/system/home/card#/company/53037CA4157543269EC1FFD3E56BF877/101"/><Relationship Id="rId2431" Type="http://schemas.openxmlformats.org/officeDocument/2006/relationships/hyperlink" TargetMode="External" Target="https://spark-interfax.ru/system/home/card#/company/90CF3A8F0CB662E0E0531B9AA8C0BEF8/101"/><Relationship Id="rId2432" Type="http://schemas.openxmlformats.org/officeDocument/2006/relationships/hyperlink" TargetMode="External" Target="https://spark-interfax.ru/system/home/card#/company/63DED95FD54547EAB292B5B636A27E7A/101"/><Relationship Id="rId2433" Type="http://schemas.openxmlformats.org/officeDocument/2006/relationships/hyperlink" TargetMode="External" Target="https://spark-interfax.ru/system/home/card#/company/A27B51211A274F2FA558920242DCE4ED/101"/><Relationship Id="rId2434" Type="http://schemas.openxmlformats.org/officeDocument/2006/relationships/hyperlink" TargetMode="External" Target="https://spark-interfax.ru/system/home/card#/company/16C1AAFF511946AF91785AD5F6E97B9A/101"/><Relationship Id="rId2435" Type="http://schemas.openxmlformats.org/officeDocument/2006/relationships/hyperlink" TargetMode="External" Target="https://spark-interfax.ru/system/home/card#/company/FDB5F7FB3B0A41A4BEEC47C821C2CD2E/101"/><Relationship Id="rId2436" Type="http://schemas.openxmlformats.org/officeDocument/2006/relationships/hyperlink" TargetMode="External" Target="https://spark-interfax.ru/system/home/card#/company/B7E12EA0F82F4BD39EBF64623E520821/101"/><Relationship Id="rId2437" Type="http://schemas.openxmlformats.org/officeDocument/2006/relationships/hyperlink" TargetMode="External" Target="https://spark-interfax.ru/system/home/card#/company/F22799EFDFA444D9A5BB61FF34AB6D92/101"/><Relationship Id="rId2438" Type="http://schemas.openxmlformats.org/officeDocument/2006/relationships/hyperlink" TargetMode="External" Target="https://spark-interfax.ru/system/home/card#/company/78781FFE7DD246DD8EA979D7CD716856/101"/><Relationship Id="rId2439" Type="http://schemas.openxmlformats.org/officeDocument/2006/relationships/hyperlink" TargetMode="External" Target="https://spark-interfax.ru/system/home/card#/company/DCD15E22AEF344C19B334DF8B12F0578/101"/><Relationship Id="rId2440" Type="http://schemas.openxmlformats.org/officeDocument/2006/relationships/hyperlink" TargetMode="External" Target="https://spark-interfax.ru/system/home/card#/company/7E1A71835C7C59A0E0531B9AA8C0E320/101"/><Relationship Id="rId2441" Type="http://schemas.openxmlformats.org/officeDocument/2006/relationships/hyperlink" TargetMode="External" Target="https://spark-interfax.ru/system/home/card#/company/A21DF3E8B4274D1AABB27A0ED888FA10/101"/><Relationship Id="rId2442" Type="http://schemas.openxmlformats.org/officeDocument/2006/relationships/hyperlink" TargetMode="External" Target="https://spark-interfax.ru/system/home/card#/company/DF986080683F4140B640B70D998A9327/101"/><Relationship Id="rId2443" Type="http://schemas.openxmlformats.org/officeDocument/2006/relationships/hyperlink" TargetMode="External" Target="https://spark-interfax.ru/system/home/card#/company/46D63AAE7E9440DC9DAA5A3AEF845F90/101"/><Relationship Id="rId2444" Type="http://schemas.openxmlformats.org/officeDocument/2006/relationships/hyperlink" TargetMode="External" Target="https://spark-interfax.ru/system/home/card#/company/E8BE9DC9CF604154990774886452259F/101"/><Relationship Id="rId2445" Type="http://schemas.openxmlformats.org/officeDocument/2006/relationships/hyperlink" TargetMode="External" Target="https://spark-interfax.ru/system/home/card#/company/0C2DEA69713A4255BB539A86DDB0C1FD/101"/><Relationship Id="rId2446" Type="http://schemas.openxmlformats.org/officeDocument/2006/relationships/hyperlink" TargetMode="External" Target="https://spark-interfax.ru/system/home/card#/company/A61426BF7E0E4A3C8D786E2615D8C165/101"/><Relationship Id="rId2447" Type="http://schemas.openxmlformats.org/officeDocument/2006/relationships/hyperlink" TargetMode="External" Target="https://spark-interfax.ru/system/home/card#/company/DFD9166F638B42AB936A88D75C6F8EEF/101"/><Relationship Id="rId2448" Type="http://schemas.openxmlformats.org/officeDocument/2006/relationships/hyperlink" TargetMode="External" Target="https://spark-interfax.ru/system/home/card#/company/4ECA8D8B94DC4DC5B7ED5F23CA1B91AF/101"/><Relationship Id="rId2449" Type="http://schemas.openxmlformats.org/officeDocument/2006/relationships/hyperlink" TargetMode="External" Target="https://spark-interfax.ru/system/home/card#/company/B6139EAB090641D3881BC220D0B3C83B/101"/><Relationship Id="rId2450" Type="http://schemas.openxmlformats.org/officeDocument/2006/relationships/hyperlink" TargetMode="External" Target="https://spark-interfax.ru/system/home/card#/company/E37A62C31E12405FA56203CF84AEF5FC/101"/><Relationship Id="rId2451" Type="http://schemas.openxmlformats.org/officeDocument/2006/relationships/hyperlink" TargetMode="External" Target="https://spark-interfax.ru/system/home/card#/company/69D7342A78A946D99A2F90292F432560/101"/><Relationship Id="rId2452" Type="http://schemas.openxmlformats.org/officeDocument/2006/relationships/hyperlink" TargetMode="External" Target="https://spark-interfax.ru/system/home/card#/company/9FA0EEA7711D4C3688E31F77D8863481/101"/><Relationship Id="rId2453" Type="http://schemas.openxmlformats.org/officeDocument/2006/relationships/hyperlink" TargetMode="External" Target="https://spark-interfax.ru/system/home/card#/company/A5292942B7064D63B314672F1C5D3313/101"/><Relationship Id="rId2454" Type="http://schemas.openxmlformats.org/officeDocument/2006/relationships/hyperlink" TargetMode="External" Target="https://spark-interfax.ru/system/home/card#/company/B4AE380D6DE4481D80BC475977D29CB0/101"/><Relationship Id="rId2455" Type="http://schemas.openxmlformats.org/officeDocument/2006/relationships/hyperlink" TargetMode="External" Target="https://spark-interfax.ru/system/home/card#/company/4EA8A95D18FF4EF1BEFCE685624614A6/101"/><Relationship Id="rId2456" Type="http://schemas.openxmlformats.org/officeDocument/2006/relationships/hyperlink" TargetMode="External" Target="https://spark-interfax.ru/system/home/card#/company/37D23338E65840049829A3A5E46C9D8D/101"/><Relationship Id="rId2457" Type="http://schemas.openxmlformats.org/officeDocument/2006/relationships/hyperlink" TargetMode="External" Target="https://spark-interfax.ru/system/home/card#/company/5C7C73562911467D814A011E89BC438C/101"/><Relationship Id="rId2458" Type="http://schemas.openxmlformats.org/officeDocument/2006/relationships/hyperlink" TargetMode="External" Target="https://spark-interfax.ru/system/home/card#/company/814601AA0353405CA132BE55C9488B0F/101"/><Relationship Id="rId2459" Type="http://schemas.openxmlformats.org/officeDocument/2006/relationships/hyperlink" TargetMode="External" Target="https://spark-interfax.ru/system/home/card#/company/6FDC6C543C174678B7439C597B9AF3AA/101"/><Relationship Id="rId2460" Type="http://schemas.openxmlformats.org/officeDocument/2006/relationships/hyperlink" TargetMode="External" Target="https://spark-interfax.ru/system/home/card#/company/E22237F39F6E4FDD9B465058D60F8F58/101"/><Relationship Id="rId2461" Type="http://schemas.openxmlformats.org/officeDocument/2006/relationships/hyperlink" TargetMode="External" Target="https://spark-interfax.ru/system/home/card#/company/BB1D517EBCFC4D1581EFC83B15E2FA40/101"/><Relationship Id="rId2462" Type="http://schemas.openxmlformats.org/officeDocument/2006/relationships/hyperlink" TargetMode="External" Target="https://spark-interfax.ru/system/home/card#/company/ABBE7590DCFD47489AE0202DE4697F2C/101"/><Relationship Id="rId2463" Type="http://schemas.openxmlformats.org/officeDocument/2006/relationships/hyperlink" TargetMode="External" Target="https://spark-interfax.ru/system/home/card#/company/4BB995CF9F5D4EC8ABAAE4AB1E7589B6/101"/><Relationship Id="rId2464" Type="http://schemas.openxmlformats.org/officeDocument/2006/relationships/hyperlink" TargetMode="External" Target="https://spark-interfax.ru/system/home/card#/company/2F310A1C500A4605994C9F7D5C396991/101"/><Relationship Id="rId2465" Type="http://schemas.openxmlformats.org/officeDocument/2006/relationships/hyperlink" TargetMode="External" Target="https://spark-interfax.ru/system/home/card#/company/68E4C391A3AB4BACB9C90AF990AC451D/101"/><Relationship Id="rId2466" Type="http://schemas.openxmlformats.org/officeDocument/2006/relationships/hyperlink" TargetMode="External" Target="https://spark-interfax.ru/system/home/card#/company/5908EC568FEE43B1B4F34F6926236D7F/101"/><Relationship Id="rId2467" Type="http://schemas.openxmlformats.org/officeDocument/2006/relationships/hyperlink" TargetMode="External" Target="https://spark-interfax.ru/system/home/card#/company/3F43826AFF15414795186EB783D5652F/101"/><Relationship Id="rId2468" Type="http://schemas.openxmlformats.org/officeDocument/2006/relationships/hyperlink" TargetMode="External" Target="https://spark-interfax.ru/system/home/card#/company/8E76AE318A4242158C52DC3BFB8896B7/101"/><Relationship Id="rId2469" Type="http://schemas.openxmlformats.org/officeDocument/2006/relationships/hyperlink" TargetMode="External" Target="https://spark-interfax.ru/system/home/card#/company/A647F54C83B9483DBEBD1D67E8AB5A76/101"/><Relationship Id="rId2470" Type="http://schemas.openxmlformats.org/officeDocument/2006/relationships/hyperlink" TargetMode="External" Target="https://spark-interfax.ru/system/home/card#/company/1E6E34FA128443989DE5D20C320DD8E2/101"/><Relationship Id="rId2471" Type="http://schemas.openxmlformats.org/officeDocument/2006/relationships/hyperlink" TargetMode="External" Target="https://spark-interfax.ru/system/home/card#/company/2CCA5C29DB684E0EBA0D57BC8D5EFC06/101"/><Relationship Id="rId2472" Type="http://schemas.openxmlformats.org/officeDocument/2006/relationships/hyperlink" TargetMode="External" Target="https://spark-interfax.ru/system/home/card#/company/E36DD9385A674B58B567477791EE88E6/101"/><Relationship Id="rId2473" Type="http://schemas.openxmlformats.org/officeDocument/2006/relationships/hyperlink" TargetMode="External" Target="https://spark-interfax.ru/system/home/card#/company/FD7D7FDDDD42420198FB4480FB99DAA3/101"/><Relationship Id="rId2474" Type="http://schemas.openxmlformats.org/officeDocument/2006/relationships/hyperlink" TargetMode="External" Target="https://spark-interfax.ru/system/home/card#/company/7AFC3846EA924030986C3BB3EBC3AA72/101"/><Relationship Id="rId2475" Type="http://schemas.openxmlformats.org/officeDocument/2006/relationships/hyperlink" TargetMode="External" Target="https://spark-interfax.ru/system/home/card#/company/3A3CB1CA8CDF49888DE77A029DF1398B/101"/><Relationship Id="rId2476" Type="http://schemas.openxmlformats.org/officeDocument/2006/relationships/hyperlink" TargetMode="External" Target="https://spark-interfax.ru/system/home/card#/company/4A8AF8C4B5E8486EA38E07CF23E48DBA/101"/><Relationship Id="rId2477" Type="http://schemas.openxmlformats.org/officeDocument/2006/relationships/hyperlink" TargetMode="External" Target="https://spark-interfax.ru/system/home/card#/company/A93D078D728849138E10B34AFF7B0F31/101"/><Relationship Id="rId2478" Type="http://schemas.openxmlformats.org/officeDocument/2006/relationships/hyperlink" TargetMode="External" Target="https://spark-interfax.ru/system/home/card#/company/140E8C9355824BE190418D14A3E608EF/101"/><Relationship Id="rId2479" Type="http://schemas.openxmlformats.org/officeDocument/2006/relationships/hyperlink" TargetMode="External" Target="https://spark-interfax.ru/system/home/card#/company/4B778196985346959985F98BAA5D35E9/101"/><Relationship Id="rId2480" Type="http://schemas.openxmlformats.org/officeDocument/2006/relationships/hyperlink" TargetMode="External" Target="https://spark-interfax.ru/system/home/card#/company/F0EB44E33F524981B80AA3A38CB54BC6/101"/><Relationship Id="rId2481" Type="http://schemas.openxmlformats.org/officeDocument/2006/relationships/hyperlink" TargetMode="External" Target="https://spark-interfax.ru/system/home/card#/company/40792E6D4DAD423D908DAAAE2E4114EA/101"/><Relationship Id="rId2482" Type="http://schemas.openxmlformats.org/officeDocument/2006/relationships/hyperlink" TargetMode="External" Target="https://spark-interfax.ru/system/home/card#/company/9C406824532C4AAB804BDD8AF3A8CA72/101"/><Relationship Id="rId2483" Type="http://schemas.openxmlformats.org/officeDocument/2006/relationships/hyperlink" TargetMode="External" Target="https://spark-interfax.ru/system/home/card#/company/73E287B10BEC47EF87810BED2CF16C49/101"/><Relationship Id="rId2484" Type="http://schemas.openxmlformats.org/officeDocument/2006/relationships/hyperlink" TargetMode="External" Target="https://spark-interfax.ru/system/home/card#/company/B20F76DB81584A4ABB6FC70824FD0A64/101"/><Relationship Id="rId2485" Type="http://schemas.openxmlformats.org/officeDocument/2006/relationships/hyperlink" TargetMode="External" Target="https://spark-interfax.ru/system/home/card#/company/8E5CCA02E0CC4D7C87899C2224B87B3F/101"/><Relationship Id="rId2486" Type="http://schemas.openxmlformats.org/officeDocument/2006/relationships/hyperlink" TargetMode="External" Target="https://spark-interfax.ru/system/home/card#/company/76C7A49DB45B49EFB89857E3C51F3EE7/101"/><Relationship Id="rId2487" Type="http://schemas.openxmlformats.org/officeDocument/2006/relationships/hyperlink" TargetMode="External" Target="https://spark-interfax.ru/system/home/card#/company/F0D3C767F53D4FA0A3F9DA3B806EB500/101"/><Relationship Id="rId2488" Type="http://schemas.openxmlformats.org/officeDocument/2006/relationships/hyperlink" TargetMode="External" Target="https://spark-interfax.ru/system/home/card#/company/173FA435EBE94288B2DA83A44CB88DA8/101"/><Relationship Id="rId2489" Type="http://schemas.openxmlformats.org/officeDocument/2006/relationships/hyperlink" TargetMode="External" Target="https://spark-interfax.ru/system/home/card#/company/043AC70318844474BE5667E4099BA094/101"/><Relationship Id="rId2490" Type="http://schemas.openxmlformats.org/officeDocument/2006/relationships/hyperlink" TargetMode="External" Target="https://spark-interfax.ru/system/home/card#/company/43EC28F891864A098082359D14F57890/101"/><Relationship Id="rId2491" Type="http://schemas.openxmlformats.org/officeDocument/2006/relationships/hyperlink" TargetMode="External" Target="https://spark-interfax.ru/system/home/card#/company/DDD98F9C7D92493983B0B8BE5D8D83D2/101"/><Relationship Id="rId2492" Type="http://schemas.openxmlformats.org/officeDocument/2006/relationships/hyperlink" TargetMode="External" Target="https://spark-interfax.ru/system/home/card#/company/F93B6538270045B78AF2DCF6D6396810/101"/><Relationship Id="rId2493" Type="http://schemas.openxmlformats.org/officeDocument/2006/relationships/hyperlink" TargetMode="External" Target="https://spark-interfax.ru/system/home/card#/company/4386AB8255E4439B9FEF1983CE5C1EDA/101"/><Relationship Id="rId2494" Type="http://schemas.openxmlformats.org/officeDocument/2006/relationships/hyperlink" TargetMode="External" Target="https://spark-interfax.ru/system/home/card#/company/A17F0560D5B3494FAADBFFF4830CBAF7/101"/><Relationship Id="rId2495" Type="http://schemas.openxmlformats.org/officeDocument/2006/relationships/hyperlink" TargetMode="External" Target="https://spark-interfax.ru/system/home/card#/company/566A0564381C411B93C78A05D4E502DB/101"/><Relationship Id="rId2496" Type="http://schemas.openxmlformats.org/officeDocument/2006/relationships/hyperlink" TargetMode="External" Target="https://spark-interfax.ru/system/home/card#/company/2825FEBC064B4673BC19DE5B91421C5D/101"/><Relationship Id="rId2497" Type="http://schemas.openxmlformats.org/officeDocument/2006/relationships/hyperlink" TargetMode="External" Target="https://spark-interfax.ru/system/home/card#/company/3303383E921D44749CF797A24DF99FAF/101"/><Relationship Id="rId2498" Type="http://schemas.openxmlformats.org/officeDocument/2006/relationships/hyperlink" TargetMode="External" Target="https://spark-interfax.ru/system/home/card#/company/B9310EB6C81B4A328542FC8FCD2624D4/101"/><Relationship Id="rId2499" Type="http://schemas.openxmlformats.org/officeDocument/2006/relationships/hyperlink" TargetMode="External" Target="https://spark-interfax.ru/system/home/card#/company/F7CE790F848044C1A50E0179E0FE740F/101"/><Relationship Id="rId2500" Type="http://schemas.openxmlformats.org/officeDocument/2006/relationships/hyperlink" TargetMode="External" Target="https://spark-interfax.ru/system/home/card#/company/462237AB8AE3492BB995E0C8A0EEF978/101"/><Relationship Id="rId2501" Type="http://schemas.openxmlformats.org/officeDocument/2006/relationships/hyperlink" TargetMode="External" Target="https://spark-interfax.ru/system/home/card#/company/F78F644BF09047D9AAEBC1ED624974D7/101"/><Relationship Id="rId2502" Type="http://schemas.openxmlformats.org/officeDocument/2006/relationships/hyperlink" TargetMode="External" Target="https://spark-interfax.ru/system/home/card#/company/804713B49A7841B99DFA603EB74DDECB/101"/><Relationship Id="rId2503" Type="http://schemas.openxmlformats.org/officeDocument/2006/relationships/hyperlink" TargetMode="External" Target="https://spark-interfax.ru/system/home/card#/company/9CE1942F62D740558782A65DA6C80EF4/101"/><Relationship Id="rId2504" Type="http://schemas.openxmlformats.org/officeDocument/2006/relationships/hyperlink" TargetMode="External" Target="https://spark-interfax.ru/system/home/card#/company/1D38B102D08141DC9E307560B81D10D3/101"/><Relationship Id="rId2505" Type="http://schemas.openxmlformats.org/officeDocument/2006/relationships/hyperlink" TargetMode="External" Target="https://spark-interfax.ru/system/home/card#/company/904D86DBFC784901A2CED5BFA380719E/101"/><Relationship Id="rId2506" Type="http://schemas.openxmlformats.org/officeDocument/2006/relationships/hyperlink" TargetMode="External" Target="https://spark-interfax.ru/system/home/card#/company/FC675EB35FC448339F12D52875918845/101"/><Relationship Id="rId2507" Type="http://schemas.openxmlformats.org/officeDocument/2006/relationships/hyperlink" TargetMode="External" Target="https://spark-interfax.ru/system/home/card#/company/1A68E88DC91B48A2B43B70D36FB852CE/101"/><Relationship Id="rId2508" Type="http://schemas.openxmlformats.org/officeDocument/2006/relationships/hyperlink" TargetMode="External" Target="https://spark-interfax.ru/system/home/card#/company/5D52D2DFD6214DF6A2F0339C7A99BAC8/101"/><Relationship Id="rId2509" Type="http://schemas.openxmlformats.org/officeDocument/2006/relationships/hyperlink" TargetMode="External" Target="https://spark-interfax.ru/system/home/card#/company/1EE8C4789D3F4F7B829A4EC81AD4A69E/101"/><Relationship Id="rId2510" Type="http://schemas.openxmlformats.org/officeDocument/2006/relationships/hyperlink" TargetMode="External" Target="https://spark-interfax.ru/system/home/card#/company/54045E4B1A494FA19CD64EAE443516BE/101"/><Relationship Id="rId2511" Type="http://schemas.openxmlformats.org/officeDocument/2006/relationships/hyperlink" TargetMode="External" Target="https://spark-interfax.ru/system/home/card#/company/52AF84245A554F42B44B26507C88C5BE/101"/><Relationship Id="rId2512" Type="http://schemas.openxmlformats.org/officeDocument/2006/relationships/hyperlink" TargetMode="External" Target="https://spark-interfax.ru/system/home/card#/company/518657A334904963B549CC6EF974CA93/101"/><Relationship Id="rId2513" Type="http://schemas.openxmlformats.org/officeDocument/2006/relationships/hyperlink" TargetMode="External" Target="https://spark-interfax.ru/system/home/card#/company/3C1B1C60DAE74C768911E14ECBAB26BA/101"/><Relationship Id="rId2514" Type="http://schemas.openxmlformats.org/officeDocument/2006/relationships/hyperlink" TargetMode="External" Target="https://spark-interfax.ru/system/home/card#/company/C9B1958868A26E12E053219AA8C0F58A/101"/><Relationship Id="rId2515" Type="http://schemas.openxmlformats.org/officeDocument/2006/relationships/hyperlink" TargetMode="External" Target="https://spark-interfax.ru/system/home/card#/company/048FA1191E7345EAAE4EF8A52E3487F6/101"/><Relationship Id="rId2516" Type="http://schemas.openxmlformats.org/officeDocument/2006/relationships/hyperlink" TargetMode="External" Target="https://spark-interfax.ru/system/home/card#/company/E1EA29585ED44DA197C1B6D7CF1D1749/101"/><Relationship Id="rId2517" Type="http://schemas.openxmlformats.org/officeDocument/2006/relationships/hyperlink" TargetMode="External" Target="https://spark-interfax.ru/system/home/card#/company/5CA2807A9733465A856E52A60DBD9A9B/101"/><Relationship Id="rId2518" Type="http://schemas.openxmlformats.org/officeDocument/2006/relationships/hyperlink" TargetMode="External" Target="https://spark-interfax.ru/system/home/card#/company/1A17E592D00343B8A0ED5DF600B453BA/101"/><Relationship Id="rId2519" Type="http://schemas.openxmlformats.org/officeDocument/2006/relationships/hyperlink" TargetMode="External" Target="https://spark-interfax.ru/system/home/card#/company/7C354C1A1FB246C9810CD475A0849BC9/101"/><Relationship Id="rId2520" Type="http://schemas.openxmlformats.org/officeDocument/2006/relationships/hyperlink" TargetMode="External" Target="https://spark-interfax.ru/system/home/card#/company/89E3B6B0AF2B4E19E0531B9AA8C0DD54/101"/><Relationship Id="rId2521" Type="http://schemas.openxmlformats.org/officeDocument/2006/relationships/hyperlink" TargetMode="External" Target="https://spark-interfax.ru/system/home/card#/company/A46C58ACF4384CF7B1E7B2EB88EED305/101"/><Relationship Id="rId2522" Type="http://schemas.openxmlformats.org/officeDocument/2006/relationships/hyperlink" TargetMode="External" Target="https://spark-interfax.ru/system/home/card#/company/6F1FA590BB07433CAA49F8F580AE095F/101"/><Relationship Id="rId2523" Type="http://schemas.openxmlformats.org/officeDocument/2006/relationships/hyperlink" TargetMode="External" Target="https://spark-interfax.ru/system/home/card#/company/2F71A07FEAC9409A92B66F49233CC29C/101"/><Relationship Id="rId2524" Type="http://schemas.openxmlformats.org/officeDocument/2006/relationships/hyperlink" TargetMode="External" Target="https://spark-interfax.ru/system/home/card#/company/95BCFDEFBCC842918834D06DB99E475C/101"/><Relationship Id="rId2525" Type="http://schemas.openxmlformats.org/officeDocument/2006/relationships/hyperlink" TargetMode="External" Target="https://spark-interfax.ru/system/home/card#/company/27F6C92B9B1049869E8AFD8B6A29B45C/101"/><Relationship Id="rId2526" Type="http://schemas.openxmlformats.org/officeDocument/2006/relationships/hyperlink" TargetMode="External" Target="https://spark-interfax.ru/system/home/card#/company/653CFFFB018F4A719E6D9E6906650695/101"/><Relationship Id="rId2527" Type="http://schemas.openxmlformats.org/officeDocument/2006/relationships/hyperlink" TargetMode="External" Target="https://spark-interfax.ru/system/home/card#/company/90186EFC56C45BCCE0531B9AA8C06DBD/101"/><Relationship Id="rId2528" Type="http://schemas.openxmlformats.org/officeDocument/2006/relationships/hyperlink" TargetMode="External" Target="https://spark-interfax.ru/system/home/card#/company/62DBD6C67E88448A88CE5741A3A7F672/101"/><Relationship Id="rId2529" Type="http://schemas.openxmlformats.org/officeDocument/2006/relationships/hyperlink" TargetMode="External" Target="https://spark-interfax.ru/system/home/card#/company/596D983096434B609E335E498EE26293/101"/><Relationship Id="rId2530" Type="http://schemas.openxmlformats.org/officeDocument/2006/relationships/hyperlink" TargetMode="External" Target="https://spark-interfax.ru/system/home/card#/company/5FCFDFCFAFA34A7F8DF067797691C5ED/101"/><Relationship Id="rId2531" Type="http://schemas.openxmlformats.org/officeDocument/2006/relationships/hyperlink" TargetMode="External" Target="https://spark-interfax.ru/system/home/card#/company/2EBAB3CD252C4A9798D79E38787D154D/101"/><Relationship Id="rId2532" Type="http://schemas.openxmlformats.org/officeDocument/2006/relationships/hyperlink" TargetMode="External" Target="https://spark-interfax.ru/system/home/card#/company/D9538C2929284ADB9A7D6F310BAC189A/101"/><Relationship Id="rId2533" Type="http://schemas.openxmlformats.org/officeDocument/2006/relationships/hyperlink" TargetMode="External" Target="https://spark-interfax.ru/system/home/card#/company/368AEC3BC97B4F2DAF83FFF4AE337F8E/101"/><Relationship Id="rId2534" Type="http://schemas.openxmlformats.org/officeDocument/2006/relationships/hyperlink" TargetMode="External" Target="https://spark-interfax.ru/system/home/card#/company/E2808C4A47FA48048B264686A7CFF6B2/101"/><Relationship Id="rId2535" Type="http://schemas.openxmlformats.org/officeDocument/2006/relationships/hyperlink" TargetMode="External" Target="https://spark-interfax.ru/system/home/card#/company/AF3B9BE38A4043488080B3E42A829CA2/101"/><Relationship Id="rId2536" Type="http://schemas.openxmlformats.org/officeDocument/2006/relationships/hyperlink" TargetMode="External" Target="https://spark-interfax.ru/system/home/card#/company/7EB5A5BD01C64928BF9A1E20FFABA2C5/101"/><Relationship Id="rId2537" Type="http://schemas.openxmlformats.org/officeDocument/2006/relationships/hyperlink" TargetMode="External" Target="https://spark-interfax.ru/system/home/card#/company/7F5CA5EB4AF047CD8F1B3C3B971DD553/101"/><Relationship Id="rId2538" Type="http://schemas.openxmlformats.org/officeDocument/2006/relationships/hyperlink" TargetMode="External" Target="https://spark-interfax.ru/system/home/card#/company/764E2AE116764A55A12B48B89C9F39A4/101"/><Relationship Id="rId2539" Type="http://schemas.openxmlformats.org/officeDocument/2006/relationships/hyperlink" TargetMode="External" Target="https://spark-interfax.ru/system/home/card#/company/EE41519C5B70471CA6796AA0657C0B06/101"/><Relationship Id="rId2540" Type="http://schemas.openxmlformats.org/officeDocument/2006/relationships/hyperlink" TargetMode="External" Target="https://spark-interfax.ru/system/home/card#/company/EAEC141165FA43A88BD4A9285C390499/101"/><Relationship Id="rId2541" Type="http://schemas.openxmlformats.org/officeDocument/2006/relationships/hyperlink" TargetMode="External" Target="https://spark-interfax.ru/system/home/card#/company/2C86575D4FFA4FBBA723AAB8BA159F2F/101"/><Relationship Id="rId2542" Type="http://schemas.openxmlformats.org/officeDocument/2006/relationships/hyperlink" TargetMode="External" Target="https://spark-interfax.ru/system/home/card#/company/2540F928CD76482C816CEFFF08C82F8F/101"/><Relationship Id="rId2543" Type="http://schemas.openxmlformats.org/officeDocument/2006/relationships/hyperlink" TargetMode="External" Target="https://spark-interfax.ru/system/home/card#/company/B99D17C4F923489BBFB405698D9C929F/101"/><Relationship Id="rId2544" Type="http://schemas.openxmlformats.org/officeDocument/2006/relationships/hyperlink" TargetMode="External" Target="https://spark-interfax.ru/system/home/card#/company/9F07EE5E55104342A458315CF4099E66/101"/><Relationship Id="rId2545" Type="http://schemas.openxmlformats.org/officeDocument/2006/relationships/hyperlink" TargetMode="External" Target="https://spark-interfax.ru/system/home/card#/company/1CF65CEF7F934733AEF3D7109FC2A08B/101"/><Relationship Id="rId2546" Type="http://schemas.openxmlformats.org/officeDocument/2006/relationships/hyperlink" TargetMode="External" Target="https://spark-interfax.ru/system/home/card#/company/6E04C848F0474141A27526500FEA8028/101"/><Relationship Id="rId2547" Type="http://schemas.openxmlformats.org/officeDocument/2006/relationships/hyperlink" TargetMode="External" Target="https://spark-interfax.ru/system/home/card#/company/2E0AABC0C3AC447D92583084DC7BEBF2/101"/><Relationship Id="rId2548" Type="http://schemas.openxmlformats.org/officeDocument/2006/relationships/hyperlink" TargetMode="External" Target="https://spark-interfax.ru/system/home/card#/company/8B64BE559CDC4B82A57C889903E349A0/101"/><Relationship Id="rId2549" Type="http://schemas.openxmlformats.org/officeDocument/2006/relationships/hyperlink" TargetMode="External" Target="https://spark-interfax.ru/system/home/card#/company/9DBF030ADA6C418F8EFCC797FBCF0950/101"/><Relationship Id="rId2550" Type="http://schemas.openxmlformats.org/officeDocument/2006/relationships/hyperlink" TargetMode="External" Target="https://spark-interfax.ru/system/home/card#/company/909E6B0E23DF4A10A87C851DC4DA08EE/101"/><Relationship Id="rId2551" Type="http://schemas.openxmlformats.org/officeDocument/2006/relationships/hyperlink" TargetMode="External" Target="https://spark-interfax.ru/system/home/card#/company/736B6D031BA70438E0531B9AA8C0CEFD/101"/><Relationship Id="rId2552" Type="http://schemas.openxmlformats.org/officeDocument/2006/relationships/hyperlink" TargetMode="External" Target="https://spark-interfax.ru/system/home/card#/company/B76A710F47E74A19B068A3A9522E45B0/101"/><Relationship Id="rId2553" Type="http://schemas.openxmlformats.org/officeDocument/2006/relationships/hyperlink" TargetMode="External" Target="https://spark-interfax.ru/system/home/card#/company/5834A16DAAA01C14E0531C9AA8C0B4C7/101"/><Relationship Id="rId2554" Type="http://schemas.openxmlformats.org/officeDocument/2006/relationships/hyperlink" TargetMode="External" Target="https://spark-interfax.ru/system/home/card#/company/EEB9FE0905F94CD7B99972901A3974FF/101"/><Relationship Id="rId2555" Type="http://schemas.openxmlformats.org/officeDocument/2006/relationships/hyperlink" TargetMode="External" Target="https://spark-interfax.ru/system/home/card#/company/BB4D75F47692492AA93F22790F62DAF4/101"/><Relationship Id="rId2556" Type="http://schemas.openxmlformats.org/officeDocument/2006/relationships/hyperlink" TargetMode="External" Target="https://spark-interfax.ru/system/home/card#/company/E281644D18E94A7EB36817360EDBF363/101"/><Relationship Id="rId2557" Type="http://schemas.openxmlformats.org/officeDocument/2006/relationships/hyperlink" TargetMode="External" Target="https://spark-interfax.ru/system/home/card#/company/0E3630AE7F694B2A872E8854C70D4CD7/101"/><Relationship Id="rId2558" Type="http://schemas.openxmlformats.org/officeDocument/2006/relationships/hyperlink" TargetMode="External" Target="https://spark-interfax.ru/system/home/card#/company/57BCE6D9BE1C4A348471BADF3CF1D243/101"/><Relationship Id="rId2559" Type="http://schemas.openxmlformats.org/officeDocument/2006/relationships/hyperlink" TargetMode="External" Target="https://spark-interfax.ru/system/home/card#/company/57BFFDD743964AC29122CA8BD6A6F326/101"/><Relationship Id="rId2560" Type="http://schemas.openxmlformats.org/officeDocument/2006/relationships/hyperlink" TargetMode="External" Target="https://spark-interfax.ru/system/home/card#/company/52350F4E85554D41AD04F65B086534C6/101"/><Relationship Id="rId2561" Type="http://schemas.openxmlformats.org/officeDocument/2006/relationships/hyperlink" TargetMode="External" Target="https://spark-interfax.ru/system/home/card#/company/30E905C1081A486FAE63C091265C0125/101"/><Relationship Id="rId2562" Type="http://schemas.openxmlformats.org/officeDocument/2006/relationships/hyperlink" TargetMode="External" Target="https://spark-interfax.ru/system/home/card#/company/669BD6635F4547B4B53874B4E8D4F4BA/101"/><Relationship Id="rId2563" Type="http://schemas.openxmlformats.org/officeDocument/2006/relationships/hyperlink" TargetMode="External" Target="https://spark-interfax.ru/system/home/card#/company/4D9D88C70A94445A8E5A57EF767ABACE/101"/><Relationship Id="rId2564" Type="http://schemas.openxmlformats.org/officeDocument/2006/relationships/hyperlink" TargetMode="External" Target="https://spark-interfax.ru/system/home/card#/company/D9E0BDC139F24E38B6E9A5CD2AE07D53/101"/><Relationship Id="rId2565" Type="http://schemas.openxmlformats.org/officeDocument/2006/relationships/hyperlink" TargetMode="External" Target="https://spark-interfax.ru/system/home/card#/company/41B19C47AF5A4E8BA860594EA89B57AC/101"/><Relationship Id="rId2566" Type="http://schemas.openxmlformats.org/officeDocument/2006/relationships/hyperlink" TargetMode="External" Target="https://spark-interfax.ru/system/home/card#/company/17BE7C7921AC43CEABA5D744216E9D54/101"/><Relationship Id="rId2567" Type="http://schemas.openxmlformats.org/officeDocument/2006/relationships/hyperlink" TargetMode="External" Target="https://spark-interfax.ru/system/home/card#/company/E12CE9FB6DC64716855C0EAC9233B754/101"/><Relationship Id="rId2568" Type="http://schemas.openxmlformats.org/officeDocument/2006/relationships/hyperlink" TargetMode="External" Target="https://spark-interfax.ru/system/home/card#/company/6F5D30C0CF184CF58391D2048288D998/101"/><Relationship Id="rId2569" Type="http://schemas.openxmlformats.org/officeDocument/2006/relationships/hyperlink" TargetMode="External" Target="https://spark-interfax.ru/system/home/card#/company/F71B174ACB3B42F1834BDA839E20C4F8/101"/><Relationship Id="rId2570" Type="http://schemas.openxmlformats.org/officeDocument/2006/relationships/hyperlink" TargetMode="External" Target="https://spark-interfax.ru/system/home/card#/company/2CB8B808618448B6B6E5A31C07219274/101"/><Relationship Id="rId2571" Type="http://schemas.openxmlformats.org/officeDocument/2006/relationships/hyperlink" TargetMode="External" Target="https://spark-interfax.ru/system/home/card#/company/5CFD0BB9BF5445F7BE6C30E486CA1280/101"/><Relationship Id="rId2572" Type="http://schemas.openxmlformats.org/officeDocument/2006/relationships/hyperlink" TargetMode="External" Target="https://spark-interfax.ru/system/home/card#/company/8F04C2A80117486AA5FA580CAE208E9F/101"/><Relationship Id="rId2573" Type="http://schemas.openxmlformats.org/officeDocument/2006/relationships/hyperlink" TargetMode="External" Target="https://spark-interfax.ru/system/home/card#/company/853F34AA41BE409BAD295B7C593F8A47/101"/><Relationship Id="rId2574" Type="http://schemas.openxmlformats.org/officeDocument/2006/relationships/hyperlink" TargetMode="External" Target="https://spark-interfax.ru/system/home/card#/company/830E136AAE227F06E0531B9AA8C01157/101"/><Relationship Id="rId2575" Type="http://schemas.openxmlformats.org/officeDocument/2006/relationships/hyperlink" TargetMode="External" Target="https://spark-interfax.ru/system/home/card#/company/17D440B3DA124477912E1AE071949DB7/101"/><Relationship Id="rId2576" Type="http://schemas.openxmlformats.org/officeDocument/2006/relationships/hyperlink" TargetMode="External" Target="https://spark-interfax.ru/system/home/card#/company/47F4C87BC9E345C3B024F3157079C482/101"/><Relationship Id="rId2577" Type="http://schemas.openxmlformats.org/officeDocument/2006/relationships/hyperlink" TargetMode="External" Target="https://spark-interfax.ru/system/home/card#/company/26E943244D384CA8A79565633939BEA4/101"/><Relationship Id="rId2578" Type="http://schemas.openxmlformats.org/officeDocument/2006/relationships/hyperlink" TargetMode="External" Target="https://spark-interfax.ru/system/home/card#/company/A9FCDC5C66634253B39E1DD9FE9E71B7/101"/><Relationship Id="rId2579" Type="http://schemas.openxmlformats.org/officeDocument/2006/relationships/hyperlink" TargetMode="External" Target="https://spark-interfax.ru/system/home/card#/company/93B1F2FEF5B74C299FD9B10301DAF154/101"/><Relationship Id="rId2580" Type="http://schemas.openxmlformats.org/officeDocument/2006/relationships/hyperlink" TargetMode="External" Target="https://spark-interfax.ru/system/home/card#/company/16B7501E88054CA1B9466444592644BE/101"/><Relationship Id="rId2581" Type="http://schemas.openxmlformats.org/officeDocument/2006/relationships/hyperlink" TargetMode="External" Target="https://spark-interfax.ru/system/home/card#/company/57E7F448C251496FA6FC5F76241C7B31/101"/><Relationship Id="rId2582" Type="http://schemas.openxmlformats.org/officeDocument/2006/relationships/hyperlink" TargetMode="External" Target="https://spark-interfax.ru/system/home/card#/company/62796BC6D6714809A26B72F75EC71122/101"/><Relationship Id="rId2583" Type="http://schemas.openxmlformats.org/officeDocument/2006/relationships/hyperlink" TargetMode="External" Target="https://spark-interfax.ru/system/home/card#/company/4BB0A8A1FC324E1DBE337B455C756AE4/101"/><Relationship Id="rId2584" Type="http://schemas.openxmlformats.org/officeDocument/2006/relationships/hyperlink" TargetMode="External" Target="https://spark-interfax.ru/system/home/card#/company/E8CC7C45AEF7432FAE477718F49E6B22/101"/><Relationship Id="rId2585" Type="http://schemas.openxmlformats.org/officeDocument/2006/relationships/hyperlink" TargetMode="External" Target="https://spark-interfax.ru/system/home/card#/company/E2EE6D8E37BD4C44AD1B26CBF449272F/101"/><Relationship Id="rId2586" Type="http://schemas.openxmlformats.org/officeDocument/2006/relationships/hyperlink" TargetMode="External" Target="https://spark-interfax.ru/system/home/card#/company/F6C0D305C22C4625ADA8E5CBA77FA073/101"/><Relationship Id="rId2587" Type="http://schemas.openxmlformats.org/officeDocument/2006/relationships/hyperlink" TargetMode="External" Target="https://spark-interfax.ru/system/home/card#/company/C29948877F7B4F7494C2B9614411FEB9/101"/><Relationship Id="rId2588" Type="http://schemas.openxmlformats.org/officeDocument/2006/relationships/hyperlink" TargetMode="External" Target="https://spark-interfax.ru/system/home/card#/company/31637F61A1524D5A9DA8559FD1588A91/101"/><Relationship Id="rId2589" Type="http://schemas.openxmlformats.org/officeDocument/2006/relationships/hyperlink" TargetMode="External" Target="https://spark-interfax.ru/system/home/card#/company/EDE8F26F7C1140D2990EAA4C19A5991E/101"/><Relationship Id="rId2590" Type="http://schemas.openxmlformats.org/officeDocument/2006/relationships/hyperlink" TargetMode="External" Target="https://spark-interfax.ru/system/home/card#/company/AB1C2311E77C47ECA006B4A6C8F375F2/101"/><Relationship Id="rId2591" Type="http://schemas.openxmlformats.org/officeDocument/2006/relationships/hyperlink" TargetMode="External" Target="https://spark-interfax.ru/system/home/card#/company/A19730A595CF44F487603878E8BC68A5/101"/><Relationship Id="rId2592" Type="http://schemas.openxmlformats.org/officeDocument/2006/relationships/hyperlink" TargetMode="External" Target="https://spark-interfax.ru/system/home/card#/company/711C599F32A14693AB0F346DCC8ADAC5/101"/><Relationship Id="rId2593" Type="http://schemas.openxmlformats.org/officeDocument/2006/relationships/hyperlink" TargetMode="External" Target="https://spark-interfax.ru/system/home/card#/company/33C2E5CE44144777BF1B925D75723C49/101"/><Relationship Id="rId2594" Type="http://schemas.openxmlformats.org/officeDocument/2006/relationships/hyperlink" TargetMode="External" Target="https://spark-interfax.ru/system/home/card#/company/2A408BC6F212431BBA48CF65CDF6FB49/101"/><Relationship Id="rId2595" Type="http://schemas.openxmlformats.org/officeDocument/2006/relationships/hyperlink" TargetMode="External" Target="https://spark-interfax.ru/system/home/card#/company/15F6C69CC5664CD1BB44AAD253B8C5DC/101"/><Relationship Id="rId2596" Type="http://schemas.openxmlformats.org/officeDocument/2006/relationships/hyperlink" TargetMode="External" Target="https://spark-interfax.ru/system/home/card#/company/0E0BA096335D43389A9F59AE9CD6F235/101"/><Relationship Id="rId2597" Type="http://schemas.openxmlformats.org/officeDocument/2006/relationships/hyperlink" TargetMode="External" Target="https://spark-interfax.ru/system/home/card#/company/8C7CDD6B1B15239CE0531C9AA8C0AF5D/101"/><Relationship Id="rId2598" Type="http://schemas.openxmlformats.org/officeDocument/2006/relationships/hyperlink" TargetMode="External" Target="https://spark-interfax.ru/system/home/card#/company/F448BBD7D58D42E69FEC04015E966FCD/101"/><Relationship Id="rId2599" Type="http://schemas.openxmlformats.org/officeDocument/2006/relationships/hyperlink" TargetMode="External" Target="https://spark-interfax.ru/system/home/card#/company/E053AAE8BBF749A3BC4D38C6046DA79E/101"/><Relationship Id="rId2600" Type="http://schemas.openxmlformats.org/officeDocument/2006/relationships/hyperlink" TargetMode="External" Target="https://spark-interfax.ru/system/home/card#/company/2354D937E21442CF841AC729C9E2559B/101"/><Relationship Id="rId2601" Type="http://schemas.openxmlformats.org/officeDocument/2006/relationships/hyperlink" TargetMode="External" Target="https://spark-interfax.ru/system/home/card#/company/45C17677545A42DA84DB4C9D80F03F34/101"/><Relationship Id="rId2602" Type="http://schemas.openxmlformats.org/officeDocument/2006/relationships/hyperlink" TargetMode="External" Target="https://spark-interfax.ru/system/home/card#/company/47B2C38C71A148CBAAAEC5FA057608EB/101"/><Relationship Id="rId2603" Type="http://schemas.openxmlformats.org/officeDocument/2006/relationships/hyperlink" TargetMode="External" Target="https://spark-interfax.ru/system/home/card#/company/FD1A36024CDD4D0AAB81032F4EB0D4F8/101"/><Relationship Id="rId2604" Type="http://schemas.openxmlformats.org/officeDocument/2006/relationships/hyperlink" TargetMode="External" Target="https://spark-interfax.ru/system/home/card#/company/C4AB33F8CA1A427ABC8442DF2641666B/101"/><Relationship Id="rId2605" Type="http://schemas.openxmlformats.org/officeDocument/2006/relationships/hyperlink" TargetMode="External" Target="https://spark-interfax.ru/system/home/card#/company/3A3D3EDCA7154F23B8B894360C304741/101"/><Relationship Id="rId2606" Type="http://schemas.openxmlformats.org/officeDocument/2006/relationships/hyperlink" TargetMode="External" Target="https://spark-interfax.ru/system/home/card#/company/7DFBD6886E504A35B8AEBF78EC19DD8E/101"/><Relationship Id="rId2607" Type="http://schemas.openxmlformats.org/officeDocument/2006/relationships/hyperlink" TargetMode="External" Target="https://spark-interfax.ru/system/home/card#/company/6C43572E527C7508E0531B9AA8C072AA/101"/><Relationship Id="rId2608" Type="http://schemas.openxmlformats.org/officeDocument/2006/relationships/hyperlink" TargetMode="External" Target="https://spark-interfax.ru/system/home/card#/company/2688DC19540F4C9887586AAFECF4884D/101"/><Relationship Id="rId2609" Type="http://schemas.openxmlformats.org/officeDocument/2006/relationships/hyperlink" TargetMode="External" Target="https://spark-interfax.ru/system/home/card#/company/6019D3795CAE475682543A7212C96694/101"/><Relationship Id="rId2610" Type="http://schemas.openxmlformats.org/officeDocument/2006/relationships/hyperlink" TargetMode="External" Target="https://spark-interfax.ru/system/home/card#/company/33F01FCB467E465990258B348F4CE2D1/101"/><Relationship Id="rId2611" Type="http://schemas.openxmlformats.org/officeDocument/2006/relationships/hyperlink" TargetMode="External" Target="https://spark-interfax.ru/system/home/card#/company/CC0EBB160F3F49B39B8A0D03C4DB2406/101"/><Relationship Id="rId2612" Type="http://schemas.openxmlformats.org/officeDocument/2006/relationships/hyperlink" TargetMode="External" Target="https://spark-interfax.ru/system/home/card#/company/D4DF49DD6D2744A5B2EA50A19ADF6DE8/101"/><Relationship Id="rId2613" Type="http://schemas.openxmlformats.org/officeDocument/2006/relationships/hyperlink" TargetMode="External" Target="https://spark-interfax.ru/system/home/card#/company/D6150BF7FE7049288DD49D13376539F2/101"/><Relationship Id="rId2614" Type="http://schemas.openxmlformats.org/officeDocument/2006/relationships/hyperlink" TargetMode="External" Target="https://spark-interfax.ru/system/home/card#/company/B3D06FDF3B9F4E2FA7EAF76A909B46AE/101"/><Relationship Id="rId2615" Type="http://schemas.openxmlformats.org/officeDocument/2006/relationships/hyperlink" TargetMode="External" Target="https://spark-interfax.ru/system/home/card#/company/F66D6D6A275E428D82ACA3C9EC3FBD2A/101"/><Relationship Id="rId2616" Type="http://schemas.openxmlformats.org/officeDocument/2006/relationships/hyperlink" TargetMode="External" Target="https://spark-interfax.ru/system/home/card#/company/3EC9777CD3C545B0855E57C1F07CC7AB/101"/><Relationship Id="rId2617" Type="http://schemas.openxmlformats.org/officeDocument/2006/relationships/hyperlink" TargetMode="External" Target="https://spark-interfax.ru/system/home/card#/company/F4ACE86A73344D079E577DD6F87C8C7E/101"/><Relationship Id="rId2618" Type="http://schemas.openxmlformats.org/officeDocument/2006/relationships/hyperlink" TargetMode="External" Target="https://spark-interfax.ru/system/home/card#/company/47B6D7231DDB4535B5C44CDD56586667/101"/><Relationship Id="rId2619" Type="http://schemas.openxmlformats.org/officeDocument/2006/relationships/hyperlink" TargetMode="External" Target="https://spark-interfax.ru/system/home/card#/company/CB4EE1728C7446DBB61B1432E2D24D11/101"/><Relationship Id="rId2620" Type="http://schemas.openxmlformats.org/officeDocument/2006/relationships/hyperlink" TargetMode="External" Target="https://spark-interfax.ru/system/home/card#/company/AE1A59FE8B2D43C1A11918A65B35FB02/101"/><Relationship Id="rId2621" Type="http://schemas.openxmlformats.org/officeDocument/2006/relationships/hyperlink" TargetMode="External" Target="https://spark-interfax.ru/system/home/card#/company/A6F8A06B5B654DCB9557FF12DA55374E/101"/><Relationship Id="rId2622" Type="http://schemas.openxmlformats.org/officeDocument/2006/relationships/hyperlink" TargetMode="External" Target="https://spark-interfax.ru/system/home/card#/company/9B77DDDA954D4A7A93D0964E56D55F7B/101"/><Relationship Id="rId2623" Type="http://schemas.openxmlformats.org/officeDocument/2006/relationships/hyperlink" TargetMode="External" Target="https://spark-interfax.ru/system/home/card#/company/097A09F8853F46D088093D27DF539A3E/101"/><Relationship Id="rId2624" Type="http://schemas.openxmlformats.org/officeDocument/2006/relationships/hyperlink" TargetMode="External" Target="https://spark-interfax.ru/system/home/card#/company/400ACB8E47CB4DD4BFB55DBA04BEA389/101"/><Relationship Id="rId2625" Type="http://schemas.openxmlformats.org/officeDocument/2006/relationships/hyperlink" TargetMode="External" Target="https://spark-interfax.ru/system/home/card#/company/A81162CC00D74F549C54B561D7C682FF/101"/><Relationship Id="rId2626" Type="http://schemas.openxmlformats.org/officeDocument/2006/relationships/hyperlink" TargetMode="External" Target="https://spark-interfax.ru/system/home/card#/company/B2CE0027122F4611BD68D3B33127F455/101"/><Relationship Id="rId2627" Type="http://schemas.openxmlformats.org/officeDocument/2006/relationships/hyperlink" TargetMode="External" Target="https://spark-interfax.ru/system/home/card#/company/3B6141CA356F434DB1DEEA208191A743/101"/><Relationship Id="rId2628" Type="http://schemas.openxmlformats.org/officeDocument/2006/relationships/hyperlink" TargetMode="External" Target="https://spark-interfax.ru/system/home/card#/company/3C1377C55DBD4AC9B843A5B34F1A3C0D/101"/><Relationship Id="rId2629" Type="http://schemas.openxmlformats.org/officeDocument/2006/relationships/hyperlink" TargetMode="External" Target="https://spark-interfax.ru/system/home/card#/company/40759133277D4D22AB4A86C38B2D7EB6/101"/><Relationship Id="rId2630" Type="http://schemas.openxmlformats.org/officeDocument/2006/relationships/hyperlink" TargetMode="External" Target="https://spark-interfax.ru/system/home/card#/company/32AB4F5B21A1437BAE509478CEFF3DF4/101"/><Relationship Id="rId2631" Type="http://schemas.openxmlformats.org/officeDocument/2006/relationships/hyperlink" TargetMode="External" Target="https://spark-interfax.ru/system/home/card#/company/A08D323E65834DFF8A5E867B22309C39/101"/><Relationship Id="rId2632" Type="http://schemas.openxmlformats.org/officeDocument/2006/relationships/hyperlink" TargetMode="External" Target="https://spark-interfax.ru/system/home/card#/company/F36C1DF1E5A649919AC452F5450222AD/101"/><Relationship Id="rId2633" Type="http://schemas.openxmlformats.org/officeDocument/2006/relationships/hyperlink" TargetMode="External" Target="https://spark-interfax.ru/system/home/card#/company/64A5A2D4235387F4E0531B9AA8C0D46F/101"/><Relationship Id="rId2634" Type="http://schemas.openxmlformats.org/officeDocument/2006/relationships/hyperlink" TargetMode="External" Target="https://spark-interfax.ru/system/home/card#/company/5BB0F860202C46DDA1E07AFE2FCC6E20/101"/><Relationship Id="rId2635" Type="http://schemas.openxmlformats.org/officeDocument/2006/relationships/hyperlink" TargetMode="External" Target="https://spark-interfax.ru/system/home/card#/company/FF5E69B1E5C5456180AE5C04DAE06903/101"/><Relationship Id="rId2636" Type="http://schemas.openxmlformats.org/officeDocument/2006/relationships/hyperlink" TargetMode="External" Target="https://spark-interfax.ru/system/home/card#/company/8CF1F41884E34259A1E1F9B9133649D2/101"/><Relationship Id="rId2637" Type="http://schemas.openxmlformats.org/officeDocument/2006/relationships/hyperlink" TargetMode="External" Target="https://spark-interfax.ru/system/home/card#/company/14A278D97D09460EA34B5136777A3090/101"/><Relationship Id="rId2638" Type="http://schemas.openxmlformats.org/officeDocument/2006/relationships/hyperlink" TargetMode="External" Target="https://spark-interfax.ru/system/home/card#/company/8258421ED8BF03C4E0531B9AA8C01EE4/101"/><Relationship Id="rId2639" Type="http://schemas.openxmlformats.org/officeDocument/2006/relationships/hyperlink" TargetMode="External" Target="https://spark-interfax.ru/system/home/card#/company/F6120483044240158403446825A2964A/101"/><Relationship Id="rId2640" Type="http://schemas.openxmlformats.org/officeDocument/2006/relationships/hyperlink" TargetMode="External" Target="https://spark-interfax.ru/system/home/card#/company/723BE245C2B64F64E0531B9AA8C02670/101"/><Relationship Id="rId2641" Type="http://schemas.openxmlformats.org/officeDocument/2006/relationships/hyperlink" TargetMode="External" Target="https://spark-interfax.ru/system/home/card#/company/8504771BCA7C49B58D8CE5A0BB5EFCC4/101"/><Relationship Id="rId2642" Type="http://schemas.openxmlformats.org/officeDocument/2006/relationships/hyperlink" TargetMode="External" Target="https://spark-interfax.ru/system/home/card#/company/9C35500233C94F9EB926EC74D9B1AC2E/101"/><Relationship Id="rId2643" Type="http://schemas.openxmlformats.org/officeDocument/2006/relationships/hyperlink" TargetMode="External" Target="https://spark-interfax.ru/system/home/card#/company/4B340430614A4AE7A32BB7407C220D1B/101"/><Relationship Id="rId2644" Type="http://schemas.openxmlformats.org/officeDocument/2006/relationships/hyperlink" TargetMode="External" Target="https://spark-interfax.ru/system/home/card#/company/F2133908FB1B4B82AE5B3E1A19E0B260/101"/><Relationship Id="rId2645" Type="http://schemas.openxmlformats.org/officeDocument/2006/relationships/hyperlink" TargetMode="External" Target="https://spark-interfax.ru/system/home/card#/company/ABDBBC76933D4621850CA4EEB18F6EF9/101"/><Relationship Id="rId2646" Type="http://schemas.openxmlformats.org/officeDocument/2006/relationships/hyperlink" TargetMode="External" Target="https://spark-interfax.ru/system/home/card#/company/4334D1E5267745FAA7B3FE0921D89120/101"/><Relationship Id="rId2647" Type="http://schemas.openxmlformats.org/officeDocument/2006/relationships/hyperlink" TargetMode="External" Target="https://spark-interfax.ru/system/home/card#/company/C8FACC7A495948679D19306E73390F05/101"/><Relationship Id="rId2648" Type="http://schemas.openxmlformats.org/officeDocument/2006/relationships/hyperlink" TargetMode="External" Target="https://spark-interfax.ru/system/home/card#/company/3D3326B9EA5843F1B504DE282D4DEC0F/101"/><Relationship Id="rId2649" Type="http://schemas.openxmlformats.org/officeDocument/2006/relationships/hyperlink" TargetMode="External" Target="https://spark-interfax.ru/system/home/card#/company/3378079A67644DC399061689B3BB4712/101"/><Relationship Id="rId2650" Type="http://schemas.openxmlformats.org/officeDocument/2006/relationships/hyperlink" TargetMode="External" Target="https://spark-interfax.ru/system/home/card#/company/3D8E813784EF4763B5627F21B7D8D5D0/101"/><Relationship Id="rId2651" Type="http://schemas.openxmlformats.org/officeDocument/2006/relationships/hyperlink" TargetMode="External" Target="https://spark-interfax.ru/system/home/card#/company/99DF343FD7714BD6B389201F29589E8F/101"/><Relationship Id="rId2652" Type="http://schemas.openxmlformats.org/officeDocument/2006/relationships/hyperlink" TargetMode="External" Target="https://spark-interfax.ru/system/home/card#/company/7745604D918C7BB8E0531B9AA8C0753F/101"/><Relationship Id="rId2653" Type="http://schemas.openxmlformats.org/officeDocument/2006/relationships/hyperlink" TargetMode="External" Target="https://spark-interfax.ru/system/home/card#/company/4E5F10E12FC646798CAF3F9FC3BF62A2/101"/><Relationship Id="rId2654" Type="http://schemas.openxmlformats.org/officeDocument/2006/relationships/hyperlink" TargetMode="External" Target="https://spark-interfax.ru/system/home/card#/company/C8EE7B27C7DD4225B1A893A09D5DEBB2/101"/><Relationship Id="rId2655" Type="http://schemas.openxmlformats.org/officeDocument/2006/relationships/hyperlink" TargetMode="External" Target="https://spark-interfax.ru/system/home/card#/company/92EE189BDAC750D5E0531B9AA8C0EA8F/101"/><Relationship Id="rId2656" Type="http://schemas.openxmlformats.org/officeDocument/2006/relationships/hyperlink" TargetMode="External" Target="https://spark-interfax.ru/system/home/card#/company/E9ACA800D1214E7B9B1B5A330B4E0442/101"/><Relationship Id="rId2657" Type="http://schemas.openxmlformats.org/officeDocument/2006/relationships/hyperlink" TargetMode="External" Target="https://spark-interfax.ru/system/home/card#/company/2AB8A17CCCE14B6FAE8104F1E0284745/101"/><Relationship Id="rId2658" Type="http://schemas.openxmlformats.org/officeDocument/2006/relationships/hyperlink" TargetMode="External" Target="https://spark-interfax.ru/system/home/card#/company/DF3AB0AB7CF14F9684CEF0183D855721/101"/><Relationship Id="rId2659" Type="http://schemas.openxmlformats.org/officeDocument/2006/relationships/hyperlink" TargetMode="External" Target="https://spark-interfax.ru/system/home/card#/company/75C6187EA5322DB8E0531B9AA8C0A0F7/101"/><Relationship Id="rId2660" Type="http://schemas.openxmlformats.org/officeDocument/2006/relationships/hyperlink" TargetMode="External" Target="https://spark-interfax.ru/system/home/card#/company/251E4991D6104FCF9F7A4CA750A5DE07/101"/><Relationship Id="rId2661" Type="http://schemas.openxmlformats.org/officeDocument/2006/relationships/hyperlink" TargetMode="External" Target="https://spark-interfax.ru/system/home/card#/company/734718F12FF54EF7B66838D78A0263DE/101"/><Relationship Id="rId2662" Type="http://schemas.openxmlformats.org/officeDocument/2006/relationships/hyperlink" TargetMode="External" Target="https://spark-interfax.ru/system/home/card#/company/9FE414E342113FE6E053189AA8C00E4E/101"/><Relationship Id="rId2663" Type="http://schemas.openxmlformats.org/officeDocument/2006/relationships/hyperlink" TargetMode="External" Target="https://spark-interfax.ru/system/home/card#/company/44B444674CF245A190D3958131E3DC1E/101"/><Relationship Id="rId2664" Type="http://schemas.openxmlformats.org/officeDocument/2006/relationships/hyperlink" TargetMode="External" Target="https://spark-interfax.ru/system/home/card#/company/892ECDC7D7734032E0531B9AA8C02AE6/101"/><Relationship Id="rId2665" Type="http://schemas.openxmlformats.org/officeDocument/2006/relationships/hyperlink" TargetMode="External" Target="https://spark-interfax.ru/system/home/card#/company/76C70B915B4C4BF2963AA48C516205DA/101"/><Relationship Id="rId2666" Type="http://schemas.openxmlformats.org/officeDocument/2006/relationships/hyperlink" TargetMode="External" Target="https://spark-interfax.ru/system/home/card#/company/24CBCD1DEB284514A1FB5A252FAF8D78/101"/><Relationship Id="rId2667" Type="http://schemas.openxmlformats.org/officeDocument/2006/relationships/hyperlink" TargetMode="External" Target="https://spark-interfax.ru/system/home/card#/company/773BE5459F87402B88CFBB397F245F7F/101"/><Relationship Id="rId2668" Type="http://schemas.openxmlformats.org/officeDocument/2006/relationships/hyperlink" TargetMode="External" Target="https://spark-interfax.ru/system/home/card#/company/8D5F630B8C6F42DD8E4D0082C8C080B9/101"/><Relationship Id="rId2669" Type="http://schemas.openxmlformats.org/officeDocument/2006/relationships/hyperlink" TargetMode="External" Target="https://spark-interfax.ru/system/home/card#/company/B2854180CD2A4D55A2A52FE5F0858E54/101"/><Relationship Id="rId2670" Type="http://schemas.openxmlformats.org/officeDocument/2006/relationships/hyperlink" TargetMode="External" Target="https://spark-interfax.ru/system/home/card#/company/3D92F177AFA2497AB9ADA9CB919DE7DB/101"/><Relationship Id="rId2671" Type="http://schemas.openxmlformats.org/officeDocument/2006/relationships/hyperlink" TargetMode="External" Target="https://spark-interfax.ru/system/home/card#/company/71911813FD40454189570E8E62BC640A/101"/><Relationship Id="rId2672" Type="http://schemas.openxmlformats.org/officeDocument/2006/relationships/hyperlink" TargetMode="External" Target="https://spark-interfax.ru/system/home/card#/company/3CF04920C1AB4A6E9AD77584DD06E24A/101"/><Relationship Id="rId2673" Type="http://schemas.openxmlformats.org/officeDocument/2006/relationships/hyperlink" TargetMode="External" Target="https://spark-interfax.ru/system/home/card#/company/BD5BF5A043EA5BA9E053219AA8C0CF06/101"/><Relationship Id="rId2674" Type="http://schemas.openxmlformats.org/officeDocument/2006/relationships/hyperlink" TargetMode="External" Target="https://spark-interfax.ru/system/home/card#/company/6E4E26A4F6BF8D62E0531B9AA8C0A140/101"/><Relationship Id="rId2675" Type="http://schemas.openxmlformats.org/officeDocument/2006/relationships/hyperlink" TargetMode="External" Target="https://spark-interfax.ru/system/home/card#/company/3831F172B22D4B45A96364AB19C3C369/101"/><Relationship Id="rId2676" Type="http://schemas.openxmlformats.org/officeDocument/2006/relationships/hyperlink" TargetMode="External" Target="https://spark-interfax.ru/system/home/card#/company/E200B44ED16F4F678B4A933F3F8A2531/101"/><Relationship Id="rId2677" Type="http://schemas.openxmlformats.org/officeDocument/2006/relationships/hyperlink" TargetMode="External" Target="https://spark-interfax.ru/system/home/card#/company/00FEC5780F494246B8A19D87B0F6135A/101"/><Relationship Id="rId2678" Type="http://schemas.openxmlformats.org/officeDocument/2006/relationships/hyperlink" TargetMode="External" Target="https://spark-interfax.ru/system/home/card#/company/1B86221B0862459A823C4DAF367EEF6B/101"/><Relationship Id="rId2679" Type="http://schemas.openxmlformats.org/officeDocument/2006/relationships/hyperlink" TargetMode="External" Target="https://spark-interfax.ru/system/home/card#/company/64315E4C36FE28D8E0531B9AA8C0F193/101"/><Relationship Id="rId2680" Type="http://schemas.openxmlformats.org/officeDocument/2006/relationships/hyperlink" TargetMode="External" Target="https://spark-interfax.ru/system/home/card#/company/CE6FCC85BB914744BD428EA42D6697DC/101"/><Relationship Id="rId2681" Type="http://schemas.openxmlformats.org/officeDocument/2006/relationships/hyperlink" TargetMode="External" Target="https://spark-interfax.ru/system/home/card#/company/73B4607B0D774249A47139066020E27F/101"/><Relationship Id="rId2682" Type="http://schemas.openxmlformats.org/officeDocument/2006/relationships/hyperlink" TargetMode="External" Target="https://spark-interfax.ru/system/home/card#/company/A64316AE1CC749F799A141D2D1B7FE69/101"/><Relationship Id="rId2683" Type="http://schemas.openxmlformats.org/officeDocument/2006/relationships/hyperlink" TargetMode="External" Target="https://spark-interfax.ru/system/home/card#/company/C761DAD4EB7E446AB6C6F796498FDE02/101"/><Relationship Id="rId2684" Type="http://schemas.openxmlformats.org/officeDocument/2006/relationships/hyperlink" TargetMode="External" Target="https://spark-interfax.ru/system/home/card#/company/20F0631D805E46148E7DA38A16BBF8E3/101"/><Relationship Id="rId2685" Type="http://schemas.openxmlformats.org/officeDocument/2006/relationships/hyperlink" TargetMode="External" Target="https://spark-interfax.ru/system/home/card#/company/BFDF502EEED546B9A3FA7D71BFF75B0A/101"/><Relationship Id="rId2686" Type="http://schemas.openxmlformats.org/officeDocument/2006/relationships/hyperlink" TargetMode="External" Target="https://spark-interfax.ru/system/home/card#/company/373D83D4901F4A21937237CB3774B424/101"/><Relationship Id="rId2687" Type="http://schemas.openxmlformats.org/officeDocument/2006/relationships/hyperlink" TargetMode="External" Target="https://spark-interfax.ru/system/home/card#/company/09DA1A87BAD14E59A12528BC0265D556/101"/><Relationship Id="rId2688" Type="http://schemas.openxmlformats.org/officeDocument/2006/relationships/hyperlink" TargetMode="External" Target="https://spark-interfax.ru/system/home/card#/company/088DC453E26F4AB683EAA824C5A6F72F/101"/><Relationship Id="rId2689" Type="http://schemas.openxmlformats.org/officeDocument/2006/relationships/hyperlink" TargetMode="External" Target="https://spark-interfax.ru/system/home/card#/company/2031FC7917314054B66F14F163421EC6/101"/><Relationship Id="rId2690" Type="http://schemas.openxmlformats.org/officeDocument/2006/relationships/hyperlink" TargetMode="External" Target="https://spark-interfax.ru/system/home/card#/company/BC427EB368E142B3E053219AA8C0CB1B/101"/><Relationship Id="rId2691" Type="http://schemas.openxmlformats.org/officeDocument/2006/relationships/hyperlink" TargetMode="External" Target="https://spark-interfax.ru/system/home/card#/company/E44A481DD5024CDAB17613A520F74F86/101"/><Relationship Id="rId2692" Type="http://schemas.openxmlformats.org/officeDocument/2006/relationships/hyperlink" TargetMode="External" Target="https://spark-interfax.ru/system/home/card#/company/B5072FF7AF5C47BCE053219AA8C0A762/101"/><Relationship Id="rId2693" Type="http://schemas.openxmlformats.org/officeDocument/2006/relationships/hyperlink" TargetMode="External" Target="https://spark-interfax.ru/system/home/card#/company/A88280515C704F2BB02680DC25284040/101"/><Relationship Id="rId2694" Type="http://schemas.openxmlformats.org/officeDocument/2006/relationships/hyperlink" TargetMode="External" Target="https://spark-interfax.ru/system/home/card#/company/3A3B1E217C2A406A9637375D9D284FD0/101"/><Relationship Id="rId2695" Type="http://schemas.openxmlformats.org/officeDocument/2006/relationships/hyperlink" TargetMode="External" Target="https://spark-interfax.ru/system/home/card#/company/EE1F17B99A7B4CB7A7156F9FD26342B5/101"/><Relationship Id="rId2696" Type="http://schemas.openxmlformats.org/officeDocument/2006/relationships/hyperlink" TargetMode="External" Target="https://spark-interfax.ru/system/home/card#/company/0FB73C5F2DF64F09BBF1AEEF8421D2B3/101"/><Relationship Id="rId2697" Type="http://schemas.openxmlformats.org/officeDocument/2006/relationships/hyperlink" TargetMode="External" Target="https://spark-interfax.ru/system/home/card#/company/8F768D87FCB44A0E91714195390F1A73/101"/><Relationship Id="rId2698" Type="http://schemas.openxmlformats.org/officeDocument/2006/relationships/hyperlink" TargetMode="External" Target="https://spark-interfax.ru/system/home/card#/company/B9D05B04C905409BB9CAC9B06EF113E3/101"/><Relationship Id="rId2699" Type="http://schemas.openxmlformats.org/officeDocument/2006/relationships/hyperlink" TargetMode="External" Target="https://spark-interfax.ru/system/home/card#/company/37BBA5896E54461F8FF41D6B859C9BFD/101"/><Relationship Id="rId2700" Type="http://schemas.openxmlformats.org/officeDocument/2006/relationships/hyperlink" TargetMode="External" Target="https://spark-interfax.ru/system/home/card#/company/65ECF8E6F60844DAAF6B1303443348CC/101"/><Relationship Id="rId2701" Type="http://schemas.openxmlformats.org/officeDocument/2006/relationships/hyperlink" TargetMode="External" Target="https://spark-interfax.ru/system/home/card#/company/2E5CB3C7E17D4AE997A89D4DB0BCF786/101"/><Relationship Id="rId2702" Type="http://schemas.openxmlformats.org/officeDocument/2006/relationships/hyperlink" TargetMode="External" Target="https://spark-interfax.ru/system/home/card#/company/B710859A483E4DA4B2BAAF272843F5FD/101"/><Relationship Id="rId2703" Type="http://schemas.openxmlformats.org/officeDocument/2006/relationships/hyperlink" TargetMode="External" Target="https://spark-interfax.ru/system/home/card#/company/77D0544C680B4E179D5A67952936B0D2/101"/><Relationship Id="rId2704" Type="http://schemas.openxmlformats.org/officeDocument/2006/relationships/hyperlink" TargetMode="External" Target="https://spark-interfax.ru/system/home/card#/company/0AC188DF489B48BBAA974B0A54919B04/101"/><Relationship Id="rId2705" Type="http://schemas.openxmlformats.org/officeDocument/2006/relationships/hyperlink" TargetMode="External" Target="https://spark-interfax.ru/system/home/card#/company/78FFC5D4827573F6E0531F9AA8C0928A/101"/><Relationship Id="rId2706" Type="http://schemas.openxmlformats.org/officeDocument/2006/relationships/hyperlink" TargetMode="External" Target="https://spark-interfax.ru/system/home/card#/company/B7D43350ED684216AF13B8297E6CC749/101"/><Relationship Id="rId2707" Type="http://schemas.openxmlformats.org/officeDocument/2006/relationships/hyperlink" TargetMode="External" Target="https://spark-interfax.ru/system/home/card#/company/1EEA69D5A95E49FABE0CCFF4D79C0280/101"/><Relationship Id="rId2708" Type="http://schemas.openxmlformats.org/officeDocument/2006/relationships/hyperlink" TargetMode="External" Target="https://spark-interfax.ru/system/home/card#/company/1E433D27325840EC8FCEB5ECE011057D/101"/><Relationship Id="rId2709" Type="http://schemas.openxmlformats.org/officeDocument/2006/relationships/hyperlink" TargetMode="External" Target="https://spark-interfax.ru/system/home/card#/company/85DD2AB59FE544B6825667E3C462FBC4/101"/><Relationship Id="rId2710" Type="http://schemas.openxmlformats.org/officeDocument/2006/relationships/hyperlink" TargetMode="External" Target="https://spark-interfax.ru/system/home/card#/company/C89834B90CA94164981F3734B2E8BF42/101"/><Relationship Id="rId2711" Type="http://schemas.openxmlformats.org/officeDocument/2006/relationships/hyperlink" TargetMode="External" Target="https://spark-interfax.ru/system/home/card#/company/DEDE88BA9C6D411F8436E370BF5C2AB6/101"/><Relationship Id="rId2712" Type="http://schemas.openxmlformats.org/officeDocument/2006/relationships/hyperlink" TargetMode="External" Target="https://spark-interfax.ru/system/home/card#/company/2053309A286B45A3B7C0FC6C6CBF2F16/101"/><Relationship Id="rId2713" Type="http://schemas.openxmlformats.org/officeDocument/2006/relationships/hyperlink" TargetMode="External" Target="https://spark-interfax.ru/system/home/card#/company/5A6B7B160649489FA708777F66C72C12/101"/><Relationship Id="rId2714" Type="http://schemas.openxmlformats.org/officeDocument/2006/relationships/hyperlink" TargetMode="External" Target="https://spark-interfax.ru/system/home/card#/company/67934CC1B42C4034AB16ACAEE805F8F0/101"/><Relationship Id="rId2715" Type="http://schemas.openxmlformats.org/officeDocument/2006/relationships/hyperlink" TargetMode="External" Target="https://spark-interfax.ru/system/home/card#/company/B7FD458FD08D4847BDC0AE6298D79750/101"/><Relationship Id="rId2716" Type="http://schemas.openxmlformats.org/officeDocument/2006/relationships/hyperlink" TargetMode="External" Target="https://spark-interfax.ru/system/home/card#/company/B418F3ACEECA463FAE00A1D1F78C448E/101"/><Relationship Id="rId2717" Type="http://schemas.openxmlformats.org/officeDocument/2006/relationships/hyperlink" TargetMode="External" Target="https://spark-interfax.ru/system/home/card#/company/F2150544D5324F0EA7E9B96CE907587F/101"/><Relationship Id="rId2718" Type="http://schemas.openxmlformats.org/officeDocument/2006/relationships/hyperlink" TargetMode="External" Target="https://spark-interfax.ru/system/home/card#/company/F2E83920063D4919AC175FE6F88F3956/101"/><Relationship Id="rId2719" Type="http://schemas.openxmlformats.org/officeDocument/2006/relationships/hyperlink" TargetMode="External" Target="https://spark-interfax.ru/system/home/card#/company/A26AFE1A0DB64D2E8A22D4712941651E/101"/><Relationship Id="rId2720" Type="http://schemas.openxmlformats.org/officeDocument/2006/relationships/hyperlink" TargetMode="External" Target="https://spark-interfax.ru/system/home/card#/company/9428AB796E964D1D8FEC97320910C03E/101"/><Relationship Id="rId2721" Type="http://schemas.openxmlformats.org/officeDocument/2006/relationships/hyperlink" TargetMode="External" Target="https://spark-interfax.ru/system/home/card#/company/A981879B015A493DB7A1BD8F91FFE24E/101"/><Relationship Id="rId2722" Type="http://schemas.openxmlformats.org/officeDocument/2006/relationships/hyperlink" TargetMode="External" Target="https://spark-interfax.ru/system/home/card#/company/7CF27566C0C44188844952EEA3FCBA91/101"/><Relationship Id="rId2723" Type="http://schemas.openxmlformats.org/officeDocument/2006/relationships/hyperlink" TargetMode="External" Target="https://spark-interfax.ru/system/home/card#/company/B834BC8B423D45ED99A0E815659E9543/101"/><Relationship Id="rId2724" Type="http://schemas.openxmlformats.org/officeDocument/2006/relationships/hyperlink" TargetMode="External" Target="https://spark-interfax.ru/system/home/card#/company/718452E70937422AA217EDED4FE9410F/101"/><Relationship Id="rId2725" Type="http://schemas.openxmlformats.org/officeDocument/2006/relationships/hyperlink" TargetMode="External" Target="https://spark-interfax.ru/system/home/card#/company/5B36ED1F87C5420B8C0829395FD8F0EE/101"/><Relationship Id="rId2726" Type="http://schemas.openxmlformats.org/officeDocument/2006/relationships/hyperlink" TargetMode="External" Target="https://spark-interfax.ru/system/home/card#/company/01EBCEA0EDA94312BF8E5964DFDFF537/101"/><Relationship Id="rId2727" Type="http://schemas.openxmlformats.org/officeDocument/2006/relationships/hyperlink" TargetMode="External" Target="https://spark-interfax.ru/system/home/card#/company/9CE502415A034E658B12E5CB03ED857E/101"/><Relationship Id="rId2728" Type="http://schemas.openxmlformats.org/officeDocument/2006/relationships/hyperlink" TargetMode="External" Target="https://spark-interfax.ru/system/home/card#/company/C727A3223B4A4F1688C96A8B91349FF7/101"/><Relationship Id="rId2729" Type="http://schemas.openxmlformats.org/officeDocument/2006/relationships/hyperlink" TargetMode="External" Target="https://spark-interfax.ru/system/home/card#/company/C5CB4BE0526D4A7087A61B094598314A/101"/><Relationship Id="rId2730" Type="http://schemas.openxmlformats.org/officeDocument/2006/relationships/hyperlink" TargetMode="External" Target="https://spark-interfax.ru/system/home/card#/company/AAD9684FEC9B487FBA1316C347AB65E7/101"/><Relationship Id="rId2731" Type="http://schemas.openxmlformats.org/officeDocument/2006/relationships/hyperlink" TargetMode="External" Target="https://spark-interfax.ru/system/home/card#/company/FB48374669264EF583799616640A3196/101"/><Relationship Id="rId2732" Type="http://schemas.openxmlformats.org/officeDocument/2006/relationships/hyperlink" TargetMode="External" Target="https://spark-interfax.ru/system/home/card#/company/6A57B62889B44A969EE4FAAE118B2476/101"/><Relationship Id="rId2733" Type="http://schemas.openxmlformats.org/officeDocument/2006/relationships/hyperlink" TargetMode="External" Target="https://spark-interfax.ru/system/home/card#/company/822DA0CC50494307858703D5E735AE39/101"/><Relationship Id="rId2734" Type="http://schemas.openxmlformats.org/officeDocument/2006/relationships/hyperlink" TargetMode="External" Target="https://spark-interfax.ru/system/home/card#/company/B45C7BE45C4E4AB5B08366F96A2B9C11/101"/><Relationship Id="rId2735" Type="http://schemas.openxmlformats.org/officeDocument/2006/relationships/hyperlink" TargetMode="External" Target="https://spark-interfax.ru/system/home/card#/company/B7BB5C78E31043F5A1739D2B36B03ED1/101"/><Relationship Id="rId2736" Type="http://schemas.openxmlformats.org/officeDocument/2006/relationships/hyperlink" TargetMode="External" Target="https://spark-interfax.ru/system/home/card#/company/CBD6858D731149D5819711EF86ECA852/101"/><Relationship Id="rId2737" Type="http://schemas.openxmlformats.org/officeDocument/2006/relationships/hyperlink" TargetMode="External" Target="https://spark-interfax.ru/system/home/card#/company/BE863EC8511649A190C18C3D1BF48EAF/101"/><Relationship Id="rId2738" Type="http://schemas.openxmlformats.org/officeDocument/2006/relationships/hyperlink" TargetMode="External" Target="https://spark-interfax.ru/system/home/card#/company/3AA7F180197D4E748B3330DDB1E85321/101"/><Relationship Id="rId2739" Type="http://schemas.openxmlformats.org/officeDocument/2006/relationships/hyperlink" TargetMode="External" Target="https://spark-interfax.ru/system/home/card#/company/ADE9C048C3EE45C1ABBC873F5239CB33/101"/><Relationship Id="rId2740" Type="http://schemas.openxmlformats.org/officeDocument/2006/relationships/hyperlink" TargetMode="External" Target="https://spark-interfax.ru/system/home/card#/company/2DABF19630394F8AA0F81C2E93E9DFA1/101"/><Relationship Id="rId2741" Type="http://schemas.openxmlformats.org/officeDocument/2006/relationships/hyperlink" TargetMode="External" Target="https://spark-interfax.ru/system/home/card#/company/4FC9D84E23644D148C12C430B324A6EA/101"/><Relationship Id="rId2742" Type="http://schemas.openxmlformats.org/officeDocument/2006/relationships/hyperlink" TargetMode="External" Target="https://spark-interfax.ru/system/home/card#/company/E116126A21FA49DD8B868D271C500FF1/101"/><Relationship Id="rId2743" Type="http://schemas.openxmlformats.org/officeDocument/2006/relationships/hyperlink" TargetMode="External" Target="https://spark-interfax.ru/system/home/card#/company/0EDABDDBFAD24FEAB63732E3C701338D/101"/><Relationship Id="rId2744" Type="http://schemas.openxmlformats.org/officeDocument/2006/relationships/hyperlink" TargetMode="External" Target="https://spark-interfax.ru/system/home/card#/company/0DEE34D923F14763B04737B97486ABFE/101"/><Relationship Id="rId2745" Type="http://schemas.openxmlformats.org/officeDocument/2006/relationships/hyperlink" TargetMode="External" Target="https://spark-interfax.ru/system/home/card#/company/13BD1249F0074A4AB05B4D795BF8F9B4/101"/><Relationship Id="rId2746" Type="http://schemas.openxmlformats.org/officeDocument/2006/relationships/hyperlink" TargetMode="External" Target="https://spark-interfax.ru/system/home/card#/company/8C9EF99010A94AEF8B143F8372D0CAD1/101"/><Relationship Id="rId2747" Type="http://schemas.openxmlformats.org/officeDocument/2006/relationships/hyperlink" TargetMode="External" Target="https://spark-interfax.ru/system/home/card#/company/5DA595BCC8D9406CAFA381F748EC5AFE/101"/><Relationship Id="rId2748" Type="http://schemas.openxmlformats.org/officeDocument/2006/relationships/hyperlink" TargetMode="External" Target="https://spark-interfax.ru/system/home/card#/company/C256C3BF15AD4E0BB578A26AE5673721/101"/><Relationship Id="rId2749" Type="http://schemas.openxmlformats.org/officeDocument/2006/relationships/hyperlink" TargetMode="External" Target="https://spark-interfax.ru/system/home/card#/company/4ADC063096854E1E87BF8E8D1D97FCE1/101"/><Relationship Id="rId2750" Type="http://schemas.openxmlformats.org/officeDocument/2006/relationships/hyperlink" TargetMode="External" Target="https://spark-interfax.ru/system/home/card#/company/5DCF6AC6CCE942C1BF65E2F599AE6349/101"/><Relationship Id="rId2751" Type="http://schemas.openxmlformats.org/officeDocument/2006/relationships/hyperlink" TargetMode="External" Target="https://spark-interfax.ru/system/home/card#/company/56FE8CD83ECD4406AA64EE3204332847/101"/><Relationship Id="rId2752" Type="http://schemas.openxmlformats.org/officeDocument/2006/relationships/hyperlink" TargetMode="External" Target="https://spark-interfax.ru/system/home/card#/company/AE04CB99E64B44AF86331EA39AE4334F/101"/><Relationship Id="rId2753" Type="http://schemas.openxmlformats.org/officeDocument/2006/relationships/hyperlink" TargetMode="External" Target="https://spark-interfax.ru/system/home/card#/company/C1B2EF9565DA495E99ED92724A3EA754/101"/><Relationship Id="rId2754" Type="http://schemas.openxmlformats.org/officeDocument/2006/relationships/hyperlink" TargetMode="External" Target="https://spark-interfax.ru/system/home/card#/company/9E68650A7A354A0A8587636BE1669AE6/101"/><Relationship Id="rId2755" Type="http://schemas.openxmlformats.org/officeDocument/2006/relationships/hyperlink" TargetMode="External" Target="https://spark-interfax.ru/system/home/card#/company/394BCD904C73451EB78FBBE203E67ED3/101"/><Relationship Id="rId2756" Type="http://schemas.openxmlformats.org/officeDocument/2006/relationships/hyperlink" TargetMode="External" Target="https://spark-interfax.ru/system/home/card#/company/468BE3094C07452F9D3E6C36A811E8B0/101"/><Relationship Id="rId2757" Type="http://schemas.openxmlformats.org/officeDocument/2006/relationships/hyperlink" TargetMode="External" Target="https://spark-interfax.ru/system/home/card#/company/91ABE9E3E85F544BE0531B9AA8C028DC/101"/><Relationship Id="rId2758" Type="http://schemas.openxmlformats.org/officeDocument/2006/relationships/hyperlink" TargetMode="External" Target="https://spark-interfax.ru/system/home/card#/company/40E6D2C3E5814157AEA941195B262ADA/101"/><Relationship Id="rId2759" Type="http://schemas.openxmlformats.org/officeDocument/2006/relationships/hyperlink" TargetMode="External" Target="https://spark-interfax.ru/system/home/card#/company/CAAD490B0250489CB4D131806AAE71F7/101"/><Relationship Id="rId2760" Type="http://schemas.openxmlformats.org/officeDocument/2006/relationships/hyperlink" TargetMode="External" Target="https://spark-interfax.ru/system/home/card#/company/19B385181E004A9FA09830B158124BCF/101"/><Relationship Id="rId2761" Type="http://schemas.openxmlformats.org/officeDocument/2006/relationships/hyperlink" TargetMode="External" Target="https://spark-interfax.ru/system/home/card#/company/B14467E29D12477E8494F6D94C1DF909/101"/><Relationship Id="rId2762" Type="http://schemas.openxmlformats.org/officeDocument/2006/relationships/hyperlink" TargetMode="External" Target="https://spark-interfax.ru/system/home/card#/company/A02744C8B8F3417497E5430C943E1B7B/101"/><Relationship Id="rId2763" Type="http://schemas.openxmlformats.org/officeDocument/2006/relationships/hyperlink" TargetMode="External" Target="https://spark-interfax.ru/system/home/card#/company/3E2C01FC94D34796B4B1CD20A16CCC44/101"/><Relationship Id="rId2764" Type="http://schemas.openxmlformats.org/officeDocument/2006/relationships/hyperlink" TargetMode="External" Target="https://spark-interfax.ru/system/home/card#/company/77FE1CCC2DD35CBAE0531B9AA8C05767/101"/><Relationship Id="rId2765" Type="http://schemas.openxmlformats.org/officeDocument/2006/relationships/hyperlink" TargetMode="External" Target="https://spark-interfax.ru/system/home/card#/company/43ECCFB75749432D9DB69E400C603E7F/101"/><Relationship Id="rId2766" Type="http://schemas.openxmlformats.org/officeDocument/2006/relationships/hyperlink" TargetMode="External" Target="https://spark-interfax.ru/system/home/card#/company/8E3CA48CB9DA4DC39C20ACDECE6D17E8/101"/><Relationship Id="rId2767" Type="http://schemas.openxmlformats.org/officeDocument/2006/relationships/hyperlink" TargetMode="External" Target="https://spark-interfax.ru/system/home/card#/company/DD7B49101826437CAAFC0C1F27D97275/101"/><Relationship Id="rId2768" Type="http://schemas.openxmlformats.org/officeDocument/2006/relationships/hyperlink" TargetMode="External" Target="https://spark-interfax.ru/system/home/card#/company/A7492D23F7C240D1AECAB0B0DF63CBAD/101"/><Relationship Id="rId2769" Type="http://schemas.openxmlformats.org/officeDocument/2006/relationships/hyperlink" TargetMode="External" Target="https://spark-interfax.ru/system/home/card#/company/4B438D56750645059B67662619D2563D/101"/><Relationship Id="rId2770" Type="http://schemas.openxmlformats.org/officeDocument/2006/relationships/hyperlink" TargetMode="External" Target="https://spark-interfax.ru/system/home/card#/company/FF34704B22EE40ACB796E36C54EA8D4E/101"/><Relationship Id="rId2771" Type="http://schemas.openxmlformats.org/officeDocument/2006/relationships/hyperlink" TargetMode="External" Target="https://spark-interfax.ru/system/home/card#/company/7897B73CCE5F401AB92A598DA8618DA4/101"/><Relationship Id="rId2772" Type="http://schemas.openxmlformats.org/officeDocument/2006/relationships/hyperlink" TargetMode="External" Target="https://spark-interfax.ru/system/home/card#/company/CE7D2508AF5240D0B0C0FFDD25F01A4A/101"/><Relationship Id="rId2773" Type="http://schemas.openxmlformats.org/officeDocument/2006/relationships/hyperlink" TargetMode="External" Target="https://spark-interfax.ru/system/home/card#/company/BD1506587FB742338D89B1A0DF693B48/101"/><Relationship Id="rId2774" Type="http://schemas.openxmlformats.org/officeDocument/2006/relationships/hyperlink" TargetMode="External" Target="https://spark-interfax.ru/system/home/card#/company/BFA4ABF37021439F8CF7BD87E7474545/101"/><Relationship Id="rId2775" Type="http://schemas.openxmlformats.org/officeDocument/2006/relationships/hyperlink" TargetMode="External" Target="https://spark-interfax.ru/system/home/card#/company/E934188DB92A41D68FF9154AAE5535BE/101"/><Relationship Id="rId2776" Type="http://schemas.openxmlformats.org/officeDocument/2006/relationships/hyperlink" TargetMode="External" Target="https://spark-interfax.ru/system/home/card#/company/5F22733FEFE949959ACEECF489158C34/101"/><Relationship Id="rId2777" Type="http://schemas.openxmlformats.org/officeDocument/2006/relationships/hyperlink" TargetMode="External" Target="https://spark-interfax.ru/system/home/card#/company/33882D1E35A24174AED8891B0AE16A56/101"/><Relationship Id="rId2778" Type="http://schemas.openxmlformats.org/officeDocument/2006/relationships/hyperlink" TargetMode="External" Target="https://spark-interfax.ru/system/home/card#/company/430CB60841E54A2F8C490F225484322D/101"/><Relationship Id="rId2779" Type="http://schemas.openxmlformats.org/officeDocument/2006/relationships/hyperlink" TargetMode="External" Target="https://spark-interfax.ru/system/home/card#/company/762FA22AE8874ED0995C81662C7AACA5/101"/><Relationship Id="rId2780" Type="http://schemas.openxmlformats.org/officeDocument/2006/relationships/hyperlink" TargetMode="External" Target="https://spark-interfax.ru/system/home/card#/company/852457F3F484422C9B7B19C7E3020B35/101"/><Relationship Id="rId2781" Type="http://schemas.openxmlformats.org/officeDocument/2006/relationships/hyperlink" TargetMode="External" Target="https://spark-interfax.ru/system/home/card#/company/399D55EDC34140EAB60F5F182D68D501/101"/><Relationship Id="rId2782" Type="http://schemas.openxmlformats.org/officeDocument/2006/relationships/hyperlink" TargetMode="External" Target="https://spark-interfax.ru/system/home/card#/company/D0BC10F539FD4D4E9AD1CB396FB26D66/101"/><Relationship Id="rId2783" Type="http://schemas.openxmlformats.org/officeDocument/2006/relationships/hyperlink" TargetMode="External" Target="https://spark-interfax.ru/system/home/card#/company/A93FC15762B64557BC33CB82BB7D20AE/101"/><Relationship Id="rId2784" Type="http://schemas.openxmlformats.org/officeDocument/2006/relationships/hyperlink" TargetMode="External" Target="https://spark-interfax.ru/system/home/card#/company/35B013E497044EF69FD9E8F1F3D765BB/101"/><Relationship Id="rId2785" Type="http://schemas.openxmlformats.org/officeDocument/2006/relationships/hyperlink" TargetMode="External" Target="https://spark-interfax.ru/system/home/card#/company/647E35C07FB94FABAB2449686E47BE33/101"/><Relationship Id="rId2786" Type="http://schemas.openxmlformats.org/officeDocument/2006/relationships/hyperlink" TargetMode="External" Target="https://spark-interfax.ru/system/home/card#/company/8FCF7CA3C1D84362B22921825E472878/101"/><Relationship Id="rId2787" Type="http://schemas.openxmlformats.org/officeDocument/2006/relationships/hyperlink" TargetMode="External" Target="https://spark-interfax.ru/system/home/card#/company/F098FA2EB759411B923B775EBFAA0D7F/101"/><Relationship Id="rId2788" Type="http://schemas.openxmlformats.org/officeDocument/2006/relationships/hyperlink" TargetMode="External" Target="https://spark-interfax.ru/system/home/card#/company/3D29EB2AB9B7481491C002A3B9987261/101"/><Relationship Id="rId2789" Type="http://schemas.openxmlformats.org/officeDocument/2006/relationships/hyperlink" TargetMode="External" Target="https://spark-interfax.ru/system/home/card#/company/9A8C1B9391F66653E053179AA8C06384/101"/><Relationship Id="rId2790" Type="http://schemas.openxmlformats.org/officeDocument/2006/relationships/hyperlink" TargetMode="External" Target="https://spark-interfax.ru/system/home/card#/company/FDA454BA032249188A91E5A6ED6B9DCC/101"/><Relationship Id="rId2791" Type="http://schemas.openxmlformats.org/officeDocument/2006/relationships/hyperlink" TargetMode="External" Target="https://spark-interfax.ru/system/home/card#/company/F800B20E3D114F91907B962F814F6B93/101"/><Relationship Id="rId2792" Type="http://schemas.openxmlformats.org/officeDocument/2006/relationships/hyperlink" TargetMode="External" Target="https://spark-interfax.ru/system/home/card#/company/606BD86D3DF44A868B02EF0501CFF98B/101"/><Relationship Id="rId2793" Type="http://schemas.openxmlformats.org/officeDocument/2006/relationships/hyperlink" TargetMode="External" Target="https://spark-interfax.ru/system/home/card#/company/5ABB1B9FDE7F435EB2ED2BDF0E39EE72/101"/><Relationship Id="rId2794" Type="http://schemas.openxmlformats.org/officeDocument/2006/relationships/hyperlink" TargetMode="External" Target="https://spark-interfax.ru/system/home/card#/company/8D39C0CCB8FF4A67AA9A14A75B66B383/101"/><Relationship Id="rId2795" Type="http://schemas.openxmlformats.org/officeDocument/2006/relationships/hyperlink" TargetMode="External" Target="https://spark-interfax.ru/system/home/card#/company/123C9D8E30944CBD9504135C8B729BB5/101"/><Relationship Id="rId2796" Type="http://schemas.openxmlformats.org/officeDocument/2006/relationships/hyperlink" TargetMode="External" Target="https://spark-interfax.ru/system/home/card#/company/934C33E2F7D64748BE9A3A796B681CB1/101"/><Relationship Id="rId2797" Type="http://schemas.openxmlformats.org/officeDocument/2006/relationships/hyperlink" TargetMode="External" Target="https://spark-interfax.ru/system/home/card#/company/2C8FD933C0B2426686D1AC325460C05C/101"/><Relationship Id="rId2798" Type="http://schemas.openxmlformats.org/officeDocument/2006/relationships/hyperlink" TargetMode="External" Target="https://spark-interfax.ru/system/home/card#/company/E465303616C94354B607AF7C2AB869CF/101"/><Relationship Id="rId2799" Type="http://schemas.openxmlformats.org/officeDocument/2006/relationships/hyperlink" TargetMode="External" Target="https://spark-interfax.ru/system/home/card#/company/5188C9C0444B48E4B7CE37B4B50DEAED/101"/><Relationship Id="rId2800" Type="http://schemas.openxmlformats.org/officeDocument/2006/relationships/hyperlink" TargetMode="External" Target="https://spark-interfax.ru/system/home/card#/company/E5E9C6567F5647FAA9184D9BF23BBBE3/101"/><Relationship Id="rId2801" Type="http://schemas.openxmlformats.org/officeDocument/2006/relationships/hyperlink" TargetMode="External" Target="https://spark-interfax.ru/system/home/card#/company/22C03545627B4D2EBAAEED2BF55A51EB/101"/><Relationship Id="rId2802" Type="http://schemas.openxmlformats.org/officeDocument/2006/relationships/hyperlink" TargetMode="External" Target="https://spark-interfax.ru/system/home/card#/company/1E28A2D4539F4A8BBB9C785BD469FC58/101"/><Relationship Id="rId2803" Type="http://schemas.openxmlformats.org/officeDocument/2006/relationships/hyperlink" TargetMode="External" Target="https://spark-interfax.ru/system/home/card#/company/D03168480B07468C8FA5FBCDD25402BA/101"/><Relationship Id="rId2804" Type="http://schemas.openxmlformats.org/officeDocument/2006/relationships/hyperlink" TargetMode="External" Target="https://spark-interfax.ru/system/home/card#/company/ACC7044335AC2073E053189AA8C07B79/101"/><Relationship Id="rId2805" Type="http://schemas.openxmlformats.org/officeDocument/2006/relationships/hyperlink" TargetMode="External" Target="https://spark-interfax.ru/system/home/card#/company/60D66DF4F1884254A4843B60C5269EF8/101"/><Relationship Id="rId2806" Type="http://schemas.openxmlformats.org/officeDocument/2006/relationships/hyperlink" TargetMode="External" Target="https://spark-interfax.ru/system/home/card#/company/875C1FB2991B4586A9747469E452380C/101"/><Relationship Id="rId2807" Type="http://schemas.openxmlformats.org/officeDocument/2006/relationships/hyperlink" TargetMode="External" Target="https://spark-interfax.ru/system/home/card#/company/97AC4BC69B70448CA00EA92FAF5D5E5B/101"/><Relationship Id="rId2808" Type="http://schemas.openxmlformats.org/officeDocument/2006/relationships/hyperlink" TargetMode="External" Target="https://spark-interfax.ru/system/home/card#/company/8F8095CB065640F98FF18DB90712DE5D/101"/><Relationship Id="rId2809" Type="http://schemas.openxmlformats.org/officeDocument/2006/relationships/hyperlink" TargetMode="External" Target="https://spark-interfax.ru/system/home/card#/company/3306800070734D1A93E17C3DDCBB99D9/101"/><Relationship Id="rId2810" Type="http://schemas.openxmlformats.org/officeDocument/2006/relationships/hyperlink" TargetMode="External" Target="https://spark-interfax.ru/system/home/card#/company/B2171303D7B64728947636AE1F088B1B/101"/><Relationship Id="rId2811" Type="http://schemas.openxmlformats.org/officeDocument/2006/relationships/hyperlink" TargetMode="External" Target="https://spark-interfax.ru/system/home/card#/company/8F516841AD1947ABBDF5A5745C6F1308/101"/><Relationship Id="rId2812" Type="http://schemas.openxmlformats.org/officeDocument/2006/relationships/hyperlink" TargetMode="External" Target="https://spark-interfax.ru/system/home/card#/company/D6FAD78462BB48A484CAE0466CE4ED12/101"/><Relationship Id="rId2813" Type="http://schemas.openxmlformats.org/officeDocument/2006/relationships/hyperlink" TargetMode="External" Target="https://spark-interfax.ru/system/home/card#/company/3CA189861BF24AF8B33CC901139C7938/101"/><Relationship Id="rId2814" Type="http://schemas.openxmlformats.org/officeDocument/2006/relationships/hyperlink" TargetMode="External" Target="https://spark-interfax.ru/system/home/card#/company/B82B1D812B2F4030ADD189B6C7AF080B/101"/><Relationship Id="rId2815" Type="http://schemas.openxmlformats.org/officeDocument/2006/relationships/hyperlink" TargetMode="External" Target="https://spark-interfax.ru/system/home/card#/company/4C577E30B76C48EC980C826E0F41FD96/101"/><Relationship Id="rId2816" Type="http://schemas.openxmlformats.org/officeDocument/2006/relationships/hyperlink" TargetMode="External" Target="https://spark-interfax.ru/system/home/card#/company/FECD9947475E422C91D93B76C518972C/101"/><Relationship Id="rId2817" Type="http://schemas.openxmlformats.org/officeDocument/2006/relationships/hyperlink" TargetMode="External" Target="https://spark-interfax.ru/system/home/card#/company/E56B183AADA944D38822A92523492C2E/101"/><Relationship Id="rId2818" Type="http://schemas.openxmlformats.org/officeDocument/2006/relationships/hyperlink" TargetMode="External" Target="https://spark-interfax.ru/system/home/card#/company/A520FE1D10EE4047AC197B4ABF743E82/101"/><Relationship Id="rId2819" Type="http://schemas.openxmlformats.org/officeDocument/2006/relationships/hyperlink" TargetMode="External" Target="https://spark-interfax.ru/system/home/card#/company/E00D45FD1C244AEF96270AD38FE6B1CB/101"/><Relationship Id="rId2820" Type="http://schemas.openxmlformats.org/officeDocument/2006/relationships/hyperlink" TargetMode="External" Target="https://spark-interfax.ru/system/home/card#/company/5F449004BD3A47BC9F22D4505430FBE3/101"/><Relationship Id="rId2821" Type="http://schemas.openxmlformats.org/officeDocument/2006/relationships/hyperlink" TargetMode="External" Target="https://spark-interfax.ru/system/home/card#/company/9BE88B578CB644C3A33E22D327FF4B2C/101"/><Relationship Id="rId2822" Type="http://schemas.openxmlformats.org/officeDocument/2006/relationships/hyperlink" TargetMode="External" Target="https://spark-interfax.ru/system/home/card#/company/328102A1E2134809A2450F9C93494FAC/101"/><Relationship Id="rId2823" Type="http://schemas.openxmlformats.org/officeDocument/2006/relationships/hyperlink" TargetMode="External" Target="https://spark-interfax.ru/system/home/card#/company/AB218D1F01E7476D89EEF8D23FA1FAEA/101"/><Relationship Id="rId2824" Type="http://schemas.openxmlformats.org/officeDocument/2006/relationships/hyperlink" TargetMode="External" Target="https://spark-interfax.ru/system/home/card#/company/28A0C19F61914506ABAE8DC310AAAD64/101"/><Relationship Id="rId2825" Type="http://schemas.openxmlformats.org/officeDocument/2006/relationships/hyperlink" TargetMode="External" Target="https://spark-interfax.ru/system/home/card#/company/91E8661123443C47E0531B9AA8C0E500/101"/><Relationship Id="rId2826" Type="http://schemas.openxmlformats.org/officeDocument/2006/relationships/hyperlink" TargetMode="External" Target="https://spark-interfax.ru/system/home/card#/company/BB916AB9D2874844B6879BC24CE14399/101"/><Relationship Id="rId2827" Type="http://schemas.openxmlformats.org/officeDocument/2006/relationships/hyperlink" TargetMode="External" Target="https://spark-interfax.ru/system/home/card#/company/EE477F5B4B614C01A631601ED74863C8/101"/><Relationship Id="rId2828" Type="http://schemas.openxmlformats.org/officeDocument/2006/relationships/hyperlink" TargetMode="External" Target="https://spark-interfax.ru/system/home/card#/company/8C15E11E022141FEA79AC110500A722C/101"/><Relationship Id="rId2829" Type="http://schemas.openxmlformats.org/officeDocument/2006/relationships/hyperlink" TargetMode="External" Target="https://spark-interfax.ru/system/home/card#/company/3CE2A9740FC0439E9D5898238D10A6FB/101"/><Relationship Id="rId2830" Type="http://schemas.openxmlformats.org/officeDocument/2006/relationships/hyperlink" TargetMode="External" Target="https://spark-interfax.ru/system/home/card#/company/20C93E5851EB410F801C288686DE9A9A/101"/><Relationship Id="rId2831" Type="http://schemas.openxmlformats.org/officeDocument/2006/relationships/hyperlink" TargetMode="External" Target="https://spark-interfax.ru/system/home/card#/company/1505811589C34858809D9668590BB5CC/101"/><Relationship Id="rId2832" Type="http://schemas.openxmlformats.org/officeDocument/2006/relationships/hyperlink" TargetMode="External" Target="https://spark-interfax.ru/system/home/card#/company/00EC362F348D44118FF7EFD3430E3B12/101"/><Relationship Id="rId2833" Type="http://schemas.openxmlformats.org/officeDocument/2006/relationships/hyperlink" TargetMode="External" Target="https://spark-interfax.ru/system/home/card#/company/1F9DA4B7C92D40589E7201DC70277009/101"/><Relationship Id="rId2834" Type="http://schemas.openxmlformats.org/officeDocument/2006/relationships/hyperlink" TargetMode="External" Target="https://spark-interfax.ru/system/home/card#/company/E3BA9FC1DB8B4AC6BFE3974ED9EB9B7C/101"/><Relationship Id="rId2835" Type="http://schemas.openxmlformats.org/officeDocument/2006/relationships/hyperlink" TargetMode="External" Target="https://spark-interfax.ru/system/home/card#/company/4C72362B237F4331932125CB449E0F7C/101"/><Relationship Id="rId2836" Type="http://schemas.openxmlformats.org/officeDocument/2006/relationships/hyperlink" TargetMode="External" Target="https://spark-interfax.ru/system/home/card#/company/D4A09157D8F243E381A7D2CC9EE27D2E/101"/><Relationship Id="rId2837" Type="http://schemas.openxmlformats.org/officeDocument/2006/relationships/hyperlink" TargetMode="External" Target="https://spark-interfax.ru/system/home/card#/company/552B05B8BAAB4BF58448B420C32C1BA8/101"/><Relationship Id="rId2838" Type="http://schemas.openxmlformats.org/officeDocument/2006/relationships/hyperlink" TargetMode="External" Target="https://spark-interfax.ru/system/home/card#/company/A3A1EE6EA3A8429499C768C6DD9F3BC2/101"/><Relationship Id="rId2839" Type="http://schemas.openxmlformats.org/officeDocument/2006/relationships/hyperlink" TargetMode="External" Target="https://spark-interfax.ru/system/home/card#/company/991CACD25569476592B5661A78CD8C59/101"/><Relationship Id="rId2840" Type="http://schemas.openxmlformats.org/officeDocument/2006/relationships/hyperlink" TargetMode="External" Target="https://spark-interfax.ru/system/home/card#/company/8051842300E045868761140360354C1A/101"/><Relationship Id="rId2841" Type="http://schemas.openxmlformats.org/officeDocument/2006/relationships/hyperlink" TargetMode="External" Target="https://spark-interfax.ru/system/home/card#/company/F6039A3829A54731BEF144CA0E2AEEF3/101"/><Relationship Id="rId2842" Type="http://schemas.openxmlformats.org/officeDocument/2006/relationships/hyperlink" TargetMode="External" Target="https://spark-interfax.ru/system/home/card#/company/DA74446F807441039E1BB86EA4A08738/101"/><Relationship Id="rId2843" Type="http://schemas.openxmlformats.org/officeDocument/2006/relationships/hyperlink" TargetMode="External" Target="https://spark-interfax.ru/system/home/card#/company/E4C50945489F481F8E69C778F2C8033B/101"/><Relationship Id="rId2844" Type="http://schemas.openxmlformats.org/officeDocument/2006/relationships/hyperlink" TargetMode="External" Target="https://spark-interfax.ru/system/home/card#/company/2A5A4A4120B14FE9B79F1ADF305DEE1C/101"/><Relationship Id="rId2845" Type="http://schemas.openxmlformats.org/officeDocument/2006/relationships/hyperlink" TargetMode="External" Target="https://spark-interfax.ru/system/home/card#/company/C7B92968922F483EBEA46F3453B74674/101"/><Relationship Id="rId2846" Type="http://schemas.openxmlformats.org/officeDocument/2006/relationships/hyperlink" TargetMode="External" Target="https://spark-interfax.ru/system/home/card#/company/5F5708EBE1A7491B82AB4BF8A1622A38/101"/><Relationship Id="rId2847" Type="http://schemas.openxmlformats.org/officeDocument/2006/relationships/hyperlink" TargetMode="External" Target="https://spark-interfax.ru/system/home/card#/company/06CDD460BAF340449FF53771B2148743/101"/><Relationship Id="rId2848" Type="http://schemas.openxmlformats.org/officeDocument/2006/relationships/hyperlink" TargetMode="External" Target="https://spark-interfax.ru/system/home/card#/company/7DC643847B714FA793C1B50AD8CAB583/101"/><Relationship Id="rId2849" Type="http://schemas.openxmlformats.org/officeDocument/2006/relationships/hyperlink" TargetMode="External" Target="https://spark-interfax.ru/system/home/card#/company/FAE7391476C44D6FB945F55C4D5D066C/101"/><Relationship Id="rId2850" Type="http://schemas.openxmlformats.org/officeDocument/2006/relationships/hyperlink" TargetMode="External" Target="https://spark-interfax.ru/system/home/card#/company/F4200A3191384829BC362B39F28BA817/101"/><Relationship Id="rId2851" Type="http://schemas.openxmlformats.org/officeDocument/2006/relationships/hyperlink" TargetMode="External" Target="https://spark-interfax.ru/system/home/card#/company/816DFCFF51774D3A9B45D305D4FE85C7/101"/><Relationship Id="rId2852" Type="http://schemas.openxmlformats.org/officeDocument/2006/relationships/hyperlink" TargetMode="External" Target="https://spark-interfax.ru/system/home/card#/company/AFA3847E57CC4892B53389A8C1C52B97/101"/><Relationship Id="rId2853" Type="http://schemas.openxmlformats.org/officeDocument/2006/relationships/hyperlink" TargetMode="External" Target="https://spark-interfax.ru/system/home/card#/company/AD8BCBCE095D4B248A3222A65F344E97/101"/><Relationship Id="rId2854" Type="http://schemas.openxmlformats.org/officeDocument/2006/relationships/hyperlink" TargetMode="External" Target="https://spark-interfax.ru/system/home/card#/company/35C3FFC4691E409A8084EE746E8F8BE1/101"/><Relationship Id="rId2855" Type="http://schemas.openxmlformats.org/officeDocument/2006/relationships/hyperlink" TargetMode="External" Target="https://spark-interfax.ru/system/home/card#/company/E0FB0F0BC55A49E29598611B5B966048/101"/><Relationship Id="rId2856" Type="http://schemas.openxmlformats.org/officeDocument/2006/relationships/hyperlink" TargetMode="External" Target="https://spark-interfax.ru/system/home/card#/company/D1B393509F4648248BB4E8A63E8B6852/101"/><Relationship Id="rId2857" Type="http://schemas.openxmlformats.org/officeDocument/2006/relationships/hyperlink" TargetMode="External" Target="https://spark-interfax.ru/system/home/card#/company/3499FE7D11994953A0FF40C87E2DDA66/101"/><Relationship Id="rId2858" Type="http://schemas.openxmlformats.org/officeDocument/2006/relationships/hyperlink" TargetMode="External" Target="https://spark-interfax.ru/system/home/card#/company/464DB73C8EBE45B5BA0B4155BA8F0DB3/101"/><Relationship Id="rId2859" Type="http://schemas.openxmlformats.org/officeDocument/2006/relationships/hyperlink" TargetMode="External" Target="https://spark-interfax.ru/system/home/card#/company/3D295C4ED486495583101EB625F0976F/101"/><Relationship Id="rId2860" Type="http://schemas.openxmlformats.org/officeDocument/2006/relationships/hyperlink" TargetMode="External" Target="https://spark-interfax.ru/system/home/card#/company/E33B793438011165E053259AA8C0F335/101"/><Relationship Id="rId2861" Type="http://schemas.openxmlformats.org/officeDocument/2006/relationships/hyperlink" TargetMode="External" Target="https://spark-interfax.ru/system/home/card#/company/0D8CB5DBF9BE47C3B87B4EFC617240AB/101"/><Relationship Id="rId2862" Type="http://schemas.openxmlformats.org/officeDocument/2006/relationships/hyperlink" TargetMode="External" Target="https://spark-interfax.ru/system/home/card#/company/AA92E120A2614B5D826747684FC31C2E/101"/><Relationship Id="rId2863" Type="http://schemas.openxmlformats.org/officeDocument/2006/relationships/hyperlink" TargetMode="External" Target="https://spark-interfax.ru/system/home/card#/company/4501D3DEDED5416D9A44FFF4B82FD1CD/101"/><Relationship Id="rId2864" Type="http://schemas.openxmlformats.org/officeDocument/2006/relationships/hyperlink" TargetMode="External" Target="https://spark-interfax.ru/system/home/card#/company/46FCC037DC7D47AB9E8CC13E27B5EA7D/101"/><Relationship Id="rId2865" Type="http://schemas.openxmlformats.org/officeDocument/2006/relationships/hyperlink" TargetMode="External" Target="https://spark-interfax.ru/system/home/card#/company/BE0055EF5C3C48208826EE25917D7676/101"/><Relationship Id="rId2866" Type="http://schemas.openxmlformats.org/officeDocument/2006/relationships/hyperlink" TargetMode="External" Target="https://spark-interfax.ru/system/home/card#/company/07D9F66563CA432A95205169122E1034/101"/><Relationship Id="rId2867" Type="http://schemas.openxmlformats.org/officeDocument/2006/relationships/hyperlink" TargetMode="External" Target="https://spark-interfax.ru/system/home/card#/company/83F9FADB0EC2497882D71E8F50E22DB2/101"/><Relationship Id="rId2868" Type="http://schemas.openxmlformats.org/officeDocument/2006/relationships/hyperlink" TargetMode="External" Target="https://spark-interfax.ru/system/home/card#/company/A8108F0D149645CBAC15D1A71DF8C7C2/101"/><Relationship Id="rId2869" Type="http://schemas.openxmlformats.org/officeDocument/2006/relationships/hyperlink" TargetMode="External" Target="https://spark-interfax.ru/system/home/card#/company/D3540D59D3F74EC6B6C9B873CE2A1C18/101"/><Relationship Id="rId2870" Type="http://schemas.openxmlformats.org/officeDocument/2006/relationships/hyperlink" TargetMode="External" Target="https://spark-interfax.ru/system/home/card#/company/86D666D2B24E49BEBEE34E9DF9484D7E/101"/><Relationship Id="rId2871" Type="http://schemas.openxmlformats.org/officeDocument/2006/relationships/hyperlink" TargetMode="External" Target="https://spark-interfax.ru/system/home/card#/company/DD02F07158554201B4198A14461E4189/101"/><Relationship Id="rId2872" Type="http://schemas.openxmlformats.org/officeDocument/2006/relationships/hyperlink" TargetMode="External" Target="https://spark-interfax.ru/system/home/card#/company/0EB115C76FD04F62B27D5EA59544DAF2/101"/><Relationship Id="rId2873" Type="http://schemas.openxmlformats.org/officeDocument/2006/relationships/hyperlink" TargetMode="External" Target="https://spark-interfax.ru/system/home/card#/company/C87AD1D6ED174647962243C3788365C8/101"/><Relationship Id="rId2874" Type="http://schemas.openxmlformats.org/officeDocument/2006/relationships/hyperlink" TargetMode="External" Target="https://spark-interfax.ru/system/home/card#/company/5CC212080FE64CF39F645096B964C9B4/101"/><Relationship Id="rId2875" Type="http://schemas.openxmlformats.org/officeDocument/2006/relationships/hyperlink" TargetMode="External" Target="https://spark-interfax.ru/system/home/card#/company/B35E0CD2250B45C8BDFCC0AE53A5F930/101"/><Relationship Id="rId2876" Type="http://schemas.openxmlformats.org/officeDocument/2006/relationships/hyperlink" TargetMode="External" Target="https://spark-interfax.ru/system/home/card#/company/7C020DE7FDED4C94AF31B549854CC1B1/101"/><Relationship Id="rId2877" Type="http://schemas.openxmlformats.org/officeDocument/2006/relationships/hyperlink" TargetMode="External" Target="https://spark-interfax.ru/system/home/card#/company/17942C40BF5247B6A4C07DEB091E68C4/101"/><Relationship Id="rId2878" Type="http://schemas.openxmlformats.org/officeDocument/2006/relationships/hyperlink" TargetMode="External" Target="https://spark-interfax.ru/system/home/card#/company/9D6CD629EA55426C984023669E2B31D8/101"/><Relationship Id="rId2879" Type="http://schemas.openxmlformats.org/officeDocument/2006/relationships/hyperlink" TargetMode="External" Target="https://spark-interfax.ru/system/home/card#/company/60A351A1EFA63876E0531B9AA8C09CD8/101"/><Relationship Id="rId2880" Type="http://schemas.openxmlformats.org/officeDocument/2006/relationships/hyperlink" TargetMode="External" Target="https://spark-interfax.ru/system/home/card#/company/E155207944B94393B201030CB80E77B0/101"/><Relationship Id="rId2881" Type="http://schemas.openxmlformats.org/officeDocument/2006/relationships/hyperlink" TargetMode="External" Target="https://spark-interfax.ru/system/home/card#/company/F06B4AA518E2459FAD53B78C1463B8E9/101"/><Relationship Id="rId2882" Type="http://schemas.openxmlformats.org/officeDocument/2006/relationships/hyperlink" TargetMode="External" Target="https://spark-interfax.ru/system/home/card#/company/CD834B0EB53D4723ADFEC1DD6B4E49F4/101"/><Relationship Id="rId2883" Type="http://schemas.openxmlformats.org/officeDocument/2006/relationships/hyperlink" TargetMode="External" Target="https://spark-interfax.ru/system/home/card#/company/9C47EA6A9B0645E2B9CF2CFEDE2759C5/101"/><Relationship Id="rId2884" Type="http://schemas.openxmlformats.org/officeDocument/2006/relationships/hyperlink" TargetMode="External" Target="https://spark-interfax.ru/system/home/card#/company/4FD6CF6FCD1D47BF845CB99EF960A7F0/101"/><Relationship Id="rId2885" Type="http://schemas.openxmlformats.org/officeDocument/2006/relationships/hyperlink" TargetMode="External" Target="https://spark-interfax.ru/system/home/card#/company/D5EC22B3450C4141BD1BEAAF3608A53B/101"/><Relationship Id="rId2886" Type="http://schemas.openxmlformats.org/officeDocument/2006/relationships/hyperlink" TargetMode="External" Target="https://spark-interfax.ru/system/home/card#/company/ADDAD40BA9BC446CA1A8C62F78CBD62A/101"/><Relationship Id="rId2887" Type="http://schemas.openxmlformats.org/officeDocument/2006/relationships/hyperlink" TargetMode="External" Target="https://spark-interfax.ru/system/home/card#/company/2E7D040057644A40A1AB1009F89A6123/101"/><Relationship Id="rId2888" Type="http://schemas.openxmlformats.org/officeDocument/2006/relationships/hyperlink" TargetMode="External" Target="https://spark-interfax.ru/system/home/card#/company/4B519B48B55B47CCBEE53A2CF7FE007B/101"/><Relationship Id="rId2889" Type="http://schemas.openxmlformats.org/officeDocument/2006/relationships/hyperlink" TargetMode="External" Target="https://spark-interfax.ru/system/home/card#/company/23626543CF5E4E369616C78667F3AAF7/101"/><Relationship Id="rId2890" Type="http://schemas.openxmlformats.org/officeDocument/2006/relationships/hyperlink" TargetMode="External" Target="https://spark-interfax.ru/system/home/card#/company/D0A57CC001B146738E4EDD59CEB19AE9/101"/><Relationship Id="rId2891" Type="http://schemas.openxmlformats.org/officeDocument/2006/relationships/hyperlink" TargetMode="External" Target="https://spark-interfax.ru/system/home/card#/company/D5412482AD84493C92C52152285D5188/101"/><Relationship Id="rId2892" Type="http://schemas.openxmlformats.org/officeDocument/2006/relationships/hyperlink" TargetMode="External" Target="https://spark-interfax.ru/system/home/card#/company/83C30047D9334A3AAC63E5D837FCBBC7/101"/><Relationship Id="rId2893" Type="http://schemas.openxmlformats.org/officeDocument/2006/relationships/hyperlink" TargetMode="External" Target="https://spark-interfax.ru/system/home/card#/company/13E5DD7A06B747FF82AF42EFB0819EFE/101"/><Relationship Id="rId2894" Type="http://schemas.openxmlformats.org/officeDocument/2006/relationships/hyperlink" TargetMode="External" Target="https://spark-interfax.ru/system/home/card#/company/29FC964EA52E49B69A5E46DEB114A841/101"/><Relationship Id="rId2895" Type="http://schemas.openxmlformats.org/officeDocument/2006/relationships/hyperlink" TargetMode="External" Target="https://spark-interfax.ru/system/home/card#/company/742106C210C81D40E0531B9AA8C0359F/101"/><Relationship Id="rId2896" Type="http://schemas.openxmlformats.org/officeDocument/2006/relationships/hyperlink" TargetMode="External" Target="https://spark-interfax.ru/system/home/card#/company/DF8764AA59A6427FA46472D263F4FE95/101"/><Relationship Id="rId2897" Type="http://schemas.openxmlformats.org/officeDocument/2006/relationships/hyperlink" TargetMode="External" Target="https://spark-interfax.ru/system/home/card#/company/50CE8B981F7240368CD75474A52D31DB/101"/><Relationship Id="rId2898" Type="http://schemas.openxmlformats.org/officeDocument/2006/relationships/hyperlink" TargetMode="External" Target="https://spark-interfax.ru/system/home/card#/company/98305FB003A044628CC76E07EBE2042B/101"/><Relationship Id="rId2899" Type="http://schemas.openxmlformats.org/officeDocument/2006/relationships/hyperlink" TargetMode="External" Target="https://spark-interfax.ru/system/home/card#/company/439F295D1AA9481FB8827C641CEF7D44/101"/><Relationship Id="rId2900" Type="http://schemas.openxmlformats.org/officeDocument/2006/relationships/hyperlink" TargetMode="External" Target="https://spark-interfax.ru/system/home/card#/company/8B00AF3062BC496F8DCB4D0068FFAEAE/101"/><Relationship Id="rId2901" Type="http://schemas.openxmlformats.org/officeDocument/2006/relationships/hyperlink" TargetMode="External" Target="https://spark-interfax.ru/system/home/card#/company/052D889761374542967EA73C882F7A01/101"/><Relationship Id="rId2902" Type="http://schemas.openxmlformats.org/officeDocument/2006/relationships/hyperlink" TargetMode="External" Target="https://spark-interfax.ru/system/home/card#/company/93756589D318426E95AEBDB852E714E9/101"/><Relationship Id="rId2903" Type="http://schemas.openxmlformats.org/officeDocument/2006/relationships/hyperlink" TargetMode="External" Target="https://spark-interfax.ru/system/home/card#/company/13FCD0DA2B934BDCA2AE2C74163F1B46/101"/><Relationship Id="rId2904" Type="http://schemas.openxmlformats.org/officeDocument/2006/relationships/hyperlink" TargetMode="External" Target="https://spark-interfax.ru/system/home/card#/company/C544167C95B04EBEA953D8C685647016/101"/><Relationship Id="rId2905" Type="http://schemas.openxmlformats.org/officeDocument/2006/relationships/hyperlink" TargetMode="External" Target="https://spark-interfax.ru/system/home/card#/company/68105C79C4AB4C568C77F761BED96C5D/101"/><Relationship Id="rId2906" Type="http://schemas.openxmlformats.org/officeDocument/2006/relationships/hyperlink" TargetMode="External" Target="https://spark-interfax.ru/system/home/card#/company/7967084EEB874E6391FF08EE3DA42878/101"/><Relationship Id="rId2907" Type="http://schemas.openxmlformats.org/officeDocument/2006/relationships/hyperlink" TargetMode="External" Target="https://spark-interfax.ru/system/home/card#/company/C6985BE1CD6744A8B3B2A1FFD8E5246C/101"/><Relationship Id="rId2908" Type="http://schemas.openxmlformats.org/officeDocument/2006/relationships/hyperlink" TargetMode="External" Target="https://spark-interfax.ru/system/home/card#/company/265A99D9A7FF4331B9A3A0C8E0D71342/101"/><Relationship Id="rId2909" Type="http://schemas.openxmlformats.org/officeDocument/2006/relationships/hyperlink" TargetMode="External" Target="https://spark-interfax.ru/system/home/card#/company/420DFC95F8E049E3924DFFB9A2BF0E40/101"/><Relationship Id="rId2910" Type="http://schemas.openxmlformats.org/officeDocument/2006/relationships/hyperlink" TargetMode="External" Target="https://spark-interfax.ru/system/home/card#/company/CB40EE9CED3149B0AFEF8F74F92CDF08/101"/><Relationship Id="rId2911" Type="http://schemas.openxmlformats.org/officeDocument/2006/relationships/hyperlink" TargetMode="External" Target="https://spark-interfax.ru/system/home/card#/company/7180ABEA18B449F58634FE7F73F9FAD1/101"/><Relationship Id="rId2912" Type="http://schemas.openxmlformats.org/officeDocument/2006/relationships/hyperlink" TargetMode="External" Target="https://spark-interfax.ru/system/home/card#/company/392CD807D3C74889BF23D31D006F9EC5/101"/><Relationship Id="rId2913" Type="http://schemas.openxmlformats.org/officeDocument/2006/relationships/hyperlink" TargetMode="External" Target="https://spark-interfax.ru/system/home/card#/company/E13D2A70498C4DEAA5084FA518A9853B/101"/><Relationship Id="rId2914" Type="http://schemas.openxmlformats.org/officeDocument/2006/relationships/hyperlink" TargetMode="External" Target="https://spark-interfax.ru/system/home/card#/company/D7666292D209412DBCAE07ECB6E79899/101"/><Relationship Id="rId2915" Type="http://schemas.openxmlformats.org/officeDocument/2006/relationships/hyperlink" TargetMode="External" Target="https://spark-interfax.ru/system/home/card#/company/FBC3AF1E4800422699802CF710A58D27/101"/><Relationship Id="rId2916" Type="http://schemas.openxmlformats.org/officeDocument/2006/relationships/hyperlink" TargetMode="External" Target="https://spark-interfax.ru/system/home/card#/company/DB153E6906AF40B19BCDEC75C5BBA7F8/101"/><Relationship Id="rId2917" Type="http://schemas.openxmlformats.org/officeDocument/2006/relationships/hyperlink" TargetMode="External" Target="https://spark-interfax.ru/system/home/card#/company/D501EB765D39415EADE7CBE4E55533EF/101"/><Relationship Id="rId2918" Type="http://schemas.openxmlformats.org/officeDocument/2006/relationships/hyperlink" TargetMode="External" Target="https://spark-interfax.ru/system/home/card#/company/7C38E514D97E4543B8039E67BEAA1FD1/101"/><Relationship Id="rId2919" Type="http://schemas.openxmlformats.org/officeDocument/2006/relationships/hyperlink" TargetMode="External" Target="https://spark-interfax.ru/system/home/card#/company/BC733897BF5C43C3BC4227F4482DDAC3/101"/><Relationship Id="rId2920" Type="http://schemas.openxmlformats.org/officeDocument/2006/relationships/hyperlink" TargetMode="External" Target="https://spark-interfax.ru/system/home/card#/company/77A32EBEF4EB4CA985BC45A44305F4BF/101"/><Relationship Id="rId2921" Type="http://schemas.openxmlformats.org/officeDocument/2006/relationships/hyperlink" TargetMode="External" Target="https://spark-interfax.ru/system/home/card#/company/ABCB88518B02440CAD67DD89E3F6CEBB/101"/><Relationship Id="rId2922" Type="http://schemas.openxmlformats.org/officeDocument/2006/relationships/hyperlink" TargetMode="External" Target="https://spark-interfax.ru/system/home/card#/company/9F3A4A80B19F4D0E9076E9BBCD9AEA0E/101"/><Relationship Id="rId2923" Type="http://schemas.openxmlformats.org/officeDocument/2006/relationships/hyperlink" TargetMode="External" Target="https://spark-interfax.ru/system/home/card#/company/1B43EE878C4248E0B2B967C085A5D570/101"/><Relationship Id="rId2924" Type="http://schemas.openxmlformats.org/officeDocument/2006/relationships/hyperlink" TargetMode="External" Target="https://spark-interfax.ru/system/home/card#/company/ED452B34EFD94F56903D11AF2CC3D5C3/101"/><Relationship Id="rId2925" Type="http://schemas.openxmlformats.org/officeDocument/2006/relationships/hyperlink" TargetMode="External" Target="https://spark-interfax.ru/system/home/card#/company/90647E17CFDE46CC83EA70BDBBB51CF6/101"/><Relationship Id="rId2926" Type="http://schemas.openxmlformats.org/officeDocument/2006/relationships/hyperlink" TargetMode="External" Target="https://spark-interfax.ru/system/home/card#/company/C486ECEA68B045188ECB887FA38E3E1D/101"/><Relationship Id="rId2927" Type="http://schemas.openxmlformats.org/officeDocument/2006/relationships/hyperlink" TargetMode="External" Target="https://spark-interfax.ru/system/home/card#/company/29A098DA8E4C499F828AAB11A63A4C1D/101"/><Relationship Id="rId2928" Type="http://schemas.openxmlformats.org/officeDocument/2006/relationships/hyperlink" TargetMode="External" Target="https://spark-interfax.ru/system/home/card#/company/712C6D96F42F4CCC937CD3ED592902E8/101"/><Relationship Id="rId2929" Type="http://schemas.openxmlformats.org/officeDocument/2006/relationships/hyperlink" TargetMode="External" Target="https://spark-interfax.ru/system/home/card#/company/116AACC1CC8944668E3FEABB16845EE8/101"/><Relationship Id="rId2930" Type="http://schemas.openxmlformats.org/officeDocument/2006/relationships/hyperlink" TargetMode="External" Target="https://spark-interfax.ru/system/home/card#/company/3A59D673CEBC4E30BE6585E87F456943/101"/><Relationship Id="rId2931" Type="http://schemas.openxmlformats.org/officeDocument/2006/relationships/hyperlink" TargetMode="External" Target="https://spark-interfax.ru/system/home/card#/company/FB2F4BD79A874E01B46E425C8FB35755/101"/><Relationship Id="rId2932" Type="http://schemas.openxmlformats.org/officeDocument/2006/relationships/hyperlink" TargetMode="External" Target="https://spark-interfax.ru/system/home/card#/company/7EEFC1831C934776BC750A9CFC68BCC7/101"/><Relationship Id="rId2933" Type="http://schemas.openxmlformats.org/officeDocument/2006/relationships/hyperlink" TargetMode="External" Target="https://spark-interfax.ru/system/home/card#/company/C6A94E06D76B4A519ED2C80D4A6D9B40/101"/><Relationship Id="rId2934" Type="http://schemas.openxmlformats.org/officeDocument/2006/relationships/hyperlink" TargetMode="External" Target="https://spark-interfax.ru/system/home/card#/company/126A0A709F474EDE9B1B88BB13CDECFF/101"/><Relationship Id="rId2935" Type="http://schemas.openxmlformats.org/officeDocument/2006/relationships/hyperlink" TargetMode="External" Target="https://spark-interfax.ru/system/home/card#/company/0C062FF010CD4BB4B82C9F13209B7F78/101"/><Relationship Id="rId2936" Type="http://schemas.openxmlformats.org/officeDocument/2006/relationships/hyperlink" TargetMode="External" Target="https://spark-interfax.ru/system/home/card#/company/7EE1DAFD3496408FAEA4F8CBE03BB507/101"/><Relationship Id="rId2937" Type="http://schemas.openxmlformats.org/officeDocument/2006/relationships/hyperlink" TargetMode="External" Target="https://spark-interfax.ru/system/home/card#/company/3F06072CA0464D4B8B387DA155C4D1EF/101"/><Relationship Id="rId2938" Type="http://schemas.openxmlformats.org/officeDocument/2006/relationships/hyperlink" TargetMode="External" Target="https://spark-interfax.ru/system/home/card#/company/0F10DB1882E2403C8AC43AEED8049A11/101"/><Relationship Id="rId2939" Type="http://schemas.openxmlformats.org/officeDocument/2006/relationships/hyperlink" TargetMode="External" Target="https://spark-interfax.ru/system/home/card#/company/6D33AAB5EDD44DA3984FB051C564A79C/101"/><Relationship Id="rId2940" Type="http://schemas.openxmlformats.org/officeDocument/2006/relationships/hyperlink" TargetMode="External" Target="https://spark-interfax.ru/system/home/card#/company/5AFA8B3430BA45C694BE214CD0D84C6B/101"/><Relationship Id="rId2941" Type="http://schemas.openxmlformats.org/officeDocument/2006/relationships/hyperlink" TargetMode="External" Target="https://spark-interfax.ru/system/home/card#/company/FFA38B3710974FCA862A899F7EDE0D00/101"/><Relationship Id="rId2942" Type="http://schemas.openxmlformats.org/officeDocument/2006/relationships/hyperlink" TargetMode="External" Target="https://spark-interfax.ru/system/home/card#/company/89F6EB2765AB4CF09F5DC3BF0AD08365/101"/><Relationship Id="rId2943" Type="http://schemas.openxmlformats.org/officeDocument/2006/relationships/hyperlink" TargetMode="External" Target="https://spark-interfax.ru/system/home/card#/company/51ECDA0332604A01AC4AB361CEFF2345/101"/><Relationship Id="rId2944" Type="http://schemas.openxmlformats.org/officeDocument/2006/relationships/hyperlink" TargetMode="External" Target="https://spark-interfax.ru/system/home/card#/company/1A5E8474C6F14269A74DAB2FBCDAF354/101"/><Relationship Id="rId2945" Type="http://schemas.openxmlformats.org/officeDocument/2006/relationships/hyperlink" TargetMode="External" Target="https://spark-interfax.ru/system/home/card#/company/D2627D0A67344568B8259B0D81B7627A/101"/><Relationship Id="rId2946" Type="http://schemas.openxmlformats.org/officeDocument/2006/relationships/hyperlink" TargetMode="External" Target="https://spark-interfax.ru/system/home/card#/company/D11217B15E1B4E9E95A9FF09512ECCA4/101"/><Relationship Id="rId2947" Type="http://schemas.openxmlformats.org/officeDocument/2006/relationships/hyperlink" TargetMode="External" Target="https://spark-interfax.ru/system/home/card#/company/C4E2FB2687664BEAB78B11673268EAEF/101"/><Relationship Id="rId2948" Type="http://schemas.openxmlformats.org/officeDocument/2006/relationships/hyperlink" TargetMode="External" Target="https://spark-interfax.ru/system/home/card#/company/4E0672B8DCFD412B8415BD6880BB388B/101"/><Relationship Id="rId2949" Type="http://schemas.openxmlformats.org/officeDocument/2006/relationships/hyperlink" TargetMode="External" Target="https://spark-interfax.ru/system/home/card#/company/D92542A06E164FE9A3435D795420435E/101"/><Relationship Id="rId2950" Type="http://schemas.openxmlformats.org/officeDocument/2006/relationships/hyperlink" TargetMode="External" Target="https://spark-interfax.ru/system/home/card#/company/5FC65B4824EC2F7AE0531B9AA8C040B9/101"/><Relationship Id="rId2951" Type="http://schemas.openxmlformats.org/officeDocument/2006/relationships/hyperlink" TargetMode="External" Target="https://spark-interfax.ru/system/home/card#/company/22542EE9C6574A07B9465FAE74D23376/101"/><Relationship Id="rId2952" Type="http://schemas.openxmlformats.org/officeDocument/2006/relationships/hyperlink" TargetMode="External" Target="https://spark-interfax.ru/system/home/card#/company/9BA500B91CA94AD7BE311693053CE776/101"/><Relationship Id="rId2953" Type="http://schemas.openxmlformats.org/officeDocument/2006/relationships/hyperlink" TargetMode="External" Target="https://spark-interfax.ru/system/home/card#/company/E2A79C101558401ABBE42D5AD0712C4F/101"/><Relationship Id="rId2954" Type="http://schemas.openxmlformats.org/officeDocument/2006/relationships/hyperlink" TargetMode="External" Target="https://spark-interfax.ru/system/home/card#/company/C4FE7AC4C097475CA5DAD96E31D8072A/101"/><Relationship Id="rId2955" Type="http://schemas.openxmlformats.org/officeDocument/2006/relationships/hyperlink" TargetMode="External" Target="https://spark-interfax.ru/system/home/card#/company/E8082561B03B4ED89D0F65F3FFEE3CC8/101"/><Relationship Id="rId2956" Type="http://schemas.openxmlformats.org/officeDocument/2006/relationships/hyperlink" TargetMode="External" Target="https://spark-interfax.ru/system/home/card#/company/68C73F3D92B04F088726D5E2C3BA3A86/101"/><Relationship Id="rId2957" Type="http://schemas.openxmlformats.org/officeDocument/2006/relationships/hyperlink" TargetMode="External" Target="https://spark-interfax.ru/system/home/card#/company/688A6DDA32C64631A04F74BA9DB0DB8C/101"/><Relationship Id="rId2958" Type="http://schemas.openxmlformats.org/officeDocument/2006/relationships/hyperlink" TargetMode="External" Target="https://spark-interfax.ru/system/home/card#/company/8230D12312FE4B7189B5758F80FD024E/101"/><Relationship Id="rId2959" Type="http://schemas.openxmlformats.org/officeDocument/2006/relationships/hyperlink" TargetMode="External" Target="https://spark-interfax.ru/system/home/card#/company/C0643485C16F43B29BE668CD27076BD7/101"/><Relationship Id="rId2960" Type="http://schemas.openxmlformats.org/officeDocument/2006/relationships/hyperlink" TargetMode="External" Target="https://spark-interfax.ru/system/home/card#/company/B3B0D44B667C452B836A453ECA1BD9D0/101"/><Relationship Id="rId2961" Type="http://schemas.openxmlformats.org/officeDocument/2006/relationships/hyperlink" TargetMode="External" Target="https://spark-interfax.ru/system/home/card#/company/1EFF5608602C4601BB4CC987D837083C/101"/><Relationship Id="rId2962" Type="http://schemas.openxmlformats.org/officeDocument/2006/relationships/hyperlink" TargetMode="External" Target="https://spark-interfax.ru/system/home/card#/company/7F87CAB4EEC66C41E0531B9AA8C06853/101"/><Relationship Id="rId2963" Type="http://schemas.openxmlformats.org/officeDocument/2006/relationships/hyperlink" TargetMode="External" Target="https://spark-interfax.ru/system/home/card#/company/9F46E1C84714475E857105A03CADE3E7/101"/><Relationship Id="rId2964" Type="http://schemas.openxmlformats.org/officeDocument/2006/relationships/hyperlink" TargetMode="External" Target="https://spark-interfax.ru/system/home/card#/company/EE81EFDB8719435FA576716E3B8D3CBB/101"/><Relationship Id="rId2965" Type="http://schemas.openxmlformats.org/officeDocument/2006/relationships/hyperlink" TargetMode="External" Target="https://spark-interfax.ru/system/home/card#/company/8E8ED1F93F1643C1977971BBEF9CF65F/101"/><Relationship Id="rId2966" Type="http://schemas.openxmlformats.org/officeDocument/2006/relationships/hyperlink" TargetMode="External" Target="https://spark-interfax.ru/system/home/card#/company/EB82249067E348C1AD5E21030793E616/101"/><Relationship Id="rId2967" Type="http://schemas.openxmlformats.org/officeDocument/2006/relationships/hyperlink" TargetMode="External" Target="https://spark-interfax.ru/system/home/card#/company/BDE0BDDF857C479B811D0CD9AE708027/101"/><Relationship Id="rId2968" Type="http://schemas.openxmlformats.org/officeDocument/2006/relationships/hyperlink" TargetMode="External" Target="https://spark-interfax.ru/system/home/card#/company/DE29CE63AAD742D08E12A4C783404EE3/101"/><Relationship Id="rId2969" Type="http://schemas.openxmlformats.org/officeDocument/2006/relationships/hyperlink" TargetMode="External" Target="https://spark-interfax.ru/system/home/card#/company/B0BB55E274F1463892A491B45BE9A3CC/101"/><Relationship Id="rId2970" Type="http://schemas.openxmlformats.org/officeDocument/2006/relationships/hyperlink" TargetMode="External" Target="https://spark-interfax.ru/system/home/card#/company/6A9ACEB4228A4A5EA86637D53FD1A568/101"/><Relationship Id="rId2971" Type="http://schemas.openxmlformats.org/officeDocument/2006/relationships/hyperlink" TargetMode="External" Target="https://spark-interfax.ru/system/home/card#/company/41DC665FAEF74D2CA5961B4BC857BF32/101"/><Relationship Id="rId2972" Type="http://schemas.openxmlformats.org/officeDocument/2006/relationships/hyperlink" TargetMode="External" Target="https://spark-interfax.ru/system/home/card#/company/775F521DCD5942D58DCE88190A3EA588/101"/><Relationship Id="rId2973" Type="http://schemas.openxmlformats.org/officeDocument/2006/relationships/hyperlink" TargetMode="External" Target="https://spark-interfax.ru/system/home/card#/company/60F4F2F98B717845E0531B9AA8C0392E/101"/><Relationship Id="rId2974" Type="http://schemas.openxmlformats.org/officeDocument/2006/relationships/hyperlink" TargetMode="External" Target="https://spark-interfax.ru/system/home/card#/company/7FB7FB8B08F94482891ED40B5A45EC0E/101"/><Relationship Id="rId2975" Type="http://schemas.openxmlformats.org/officeDocument/2006/relationships/hyperlink" TargetMode="External" Target="https://spark-interfax.ru/system/home/card#/company/1A14ECE3B37A4B09BFEAC39FE5D35DD5/101"/><Relationship Id="rId2976" Type="http://schemas.openxmlformats.org/officeDocument/2006/relationships/hyperlink" TargetMode="External" Target="https://spark-interfax.ru/system/home/card#/company/455EF4AD932947CEA10F1D2DBBDD05F7/101"/><Relationship Id="rId2977" Type="http://schemas.openxmlformats.org/officeDocument/2006/relationships/hyperlink" TargetMode="External" Target="https://spark-interfax.ru/system/home/card#/company/EFF0A286AAA44288BCEFE62723C55268/101"/><Relationship Id="rId2978" Type="http://schemas.openxmlformats.org/officeDocument/2006/relationships/hyperlink" TargetMode="External" Target="https://spark-interfax.ru/system/home/card#/company/02A18866812747F9B6D1D9C93D315E4C/101"/><Relationship Id="rId2979" Type="http://schemas.openxmlformats.org/officeDocument/2006/relationships/hyperlink" TargetMode="External" Target="https://spark-interfax.ru/system/home/card#/company/358AC29D148F44BCA01D6B7160895FED/101"/><Relationship Id="rId2980" Type="http://schemas.openxmlformats.org/officeDocument/2006/relationships/hyperlink" TargetMode="External" Target="https://spark-interfax.ru/system/home/card#/company/BE3621049EFD4CCF8EFDA3C14C037C7F/101"/><Relationship Id="rId2981" Type="http://schemas.openxmlformats.org/officeDocument/2006/relationships/hyperlink" TargetMode="External" Target="https://spark-interfax.ru/system/home/card#/company/8000644AD41041788D19AC680B6F0EFA/101"/><Relationship Id="rId2982" Type="http://schemas.openxmlformats.org/officeDocument/2006/relationships/hyperlink" TargetMode="External" Target="https://spark-interfax.ru/system/home/card#/company/4E5096FCFCE34EA0BC7626548F55DD98/101"/><Relationship Id="rId2983" Type="http://schemas.openxmlformats.org/officeDocument/2006/relationships/hyperlink" TargetMode="External" Target="https://spark-interfax.ru/system/home/card#/company/58F65C997881473CB8D033727B4DAACA/101"/><Relationship Id="rId2984" Type="http://schemas.openxmlformats.org/officeDocument/2006/relationships/hyperlink" TargetMode="External" Target="https://spark-interfax.ru/system/home/card#/company/0D59BFCDCD0E455E9C56000D1954442B/101"/><Relationship Id="rId2985" Type="http://schemas.openxmlformats.org/officeDocument/2006/relationships/hyperlink" TargetMode="External" Target="https://spark-interfax.ru/system/home/card#/company/5D4625D1D2C940E684C4F5909CBE6CF8/101"/><Relationship Id="rId2986" Type="http://schemas.openxmlformats.org/officeDocument/2006/relationships/hyperlink" TargetMode="External" Target="https://spark-interfax.ru/system/home/card#/company/4D0FE70E683E470E9F3D7C97F638BD40/101"/><Relationship Id="rId2987" Type="http://schemas.openxmlformats.org/officeDocument/2006/relationships/hyperlink" TargetMode="External" Target="https://spark-interfax.ru/system/home/card#/company/F5E813DEA9614994BA3B3539FB373F71/101"/><Relationship Id="rId2988" Type="http://schemas.openxmlformats.org/officeDocument/2006/relationships/hyperlink" TargetMode="External" Target="https://spark-interfax.ru/system/home/card#/company/07982DCAD92D4712BC8110D70C4F4004/101"/><Relationship Id="rId2989" Type="http://schemas.openxmlformats.org/officeDocument/2006/relationships/hyperlink" TargetMode="External" Target="https://spark-interfax.ru/system/home/card#/company/A5880BDE1E314B7D8F32476D6918A7BB/101"/><Relationship Id="rId2990" Type="http://schemas.openxmlformats.org/officeDocument/2006/relationships/hyperlink" TargetMode="External" Target="https://spark-interfax.ru/system/home/card#/company/BE5E26862CED454C8023C6C709F6AD73/101"/><Relationship Id="rId2991" Type="http://schemas.openxmlformats.org/officeDocument/2006/relationships/hyperlink" TargetMode="External" Target="https://spark-interfax.ru/system/home/card#/company/EE3CD09FD72E4D5F9D30086C1BF1F774/101"/><Relationship Id="rId2992" Type="http://schemas.openxmlformats.org/officeDocument/2006/relationships/hyperlink" TargetMode="External" Target="https://spark-interfax.ru/system/home/card#/company/B523F3CF52BE4581B5E0F6FB230CEF7F/101"/><Relationship Id="rId2993" Type="http://schemas.openxmlformats.org/officeDocument/2006/relationships/hyperlink" TargetMode="External" Target="https://spark-interfax.ru/system/home/card#/company/F5253649870A450BACE1C323818C0A96/101"/><Relationship Id="rId2994" Type="http://schemas.openxmlformats.org/officeDocument/2006/relationships/hyperlink" TargetMode="External" Target="https://spark-interfax.ru/system/home/card#/company/A183CA66074C496F9264B02E645CECD7/101"/><Relationship Id="rId2995" Type="http://schemas.openxmlformats.org/officeDocument/2006/relationships/hyperlink" TargetMode="External" Target="https://spark-interfax.ru/system/home/card#/company/E6A3AF8B05654C67B6E92335FB5BC6E1/101"/><Relationship Id="rId2996" Type="http://schemas.openxmlformats.org/officeDocument/2006/relationships/hyperlink" TargetMode="External" Target="https://spark-interfax.ru/system/home/card#/company/75DA3F9B604B42EDE0531B9AA8C07A0F/101"/><Relationship Id="rId2997" Type="http://schemas.openxmlformats.org/officeDocument/2006/relationships/hyperlink" TargetMode="External" Target="https://spark-interfax.ru/system/home/card#/company/9E2A0B74E32442A8ADC0927947B822F7/101"/><Relationship Id="rId2998" Type="http://schemas.openxmlformats.org/officeDocument/2006/relationships/hyperlink" TargetMode="External" Target="https://spark-interfax.ru/system/home/card#/company/7152565930D74F1ABCD4A599934610FA/101"/><Relationship Id="rId2999" Type="http://schemas.openxmlformats.org/officeDocument/2006/relationships/hyperlink" TargetMode="External" Target="https://spark-interfax.ru/system/home/card#/company/D06718343BA14BE885ABA44606FA54C3/101"/><Relationship Id="rId3000" Type="http://schemas.openxmlformats.org/officeDocument/2006/relationships/hyperlink" TargetMode="External" Target="https://spark-interfax.ru/system/home/card#/company/2674FE130C4C4FCA8FA3B9B000798035/101"/><Relationship Id="rId3001" Type="http://schemas.openxmlformats.org/officeDocument/2006/relationships/hyperlink" TargetMode="External" Target="https://spark-interfax.ru/system/home/card#/company/613C1262AC5D457EAD18A7038AA274CB/101"/><Relationship Id="rId3002" Type="http://schemas.openxmlformats.org/officeDocument/2006/relationships/hyperlink" TargetMode="External" Target="https://spark-interfax.ru/system/home/card#/company/B8C104D90E98442F9AC7A15F7B538C62/101"/><Relationship Id="rId3003" Type="http://schemas.openxmlformats.org/officeDocument/2006/relationships/hyperlink" TargetMode="External" Target="https://spark-interfax.ru/system/home/card#/company/F20B369C18AC4FEAA265283C6181DD3A/101"/><Relationship Id="rId3004" Type="http://schemas.openxmlformats.org/officeDocument/2006/relationships/hyperlink" TargetMode="External" Target="https://spark-interfax.ru/system/home/card#/company/8EFD3DE30B014BAC81F2ECD51E1C43DC/101"/><Relationship Id="rId3005" Type="http://schemas.openxmlformats.org/officeDocument/2006/relationships/hyperlink" TargetMode="External" Target="https://spark-interfax.ru/system/home/card#/company/96269F13D5047680E0531B9AA8C054FE/101"/><Relationship Id="rId3006" Type="http://schemas.openxmlformats.org/officeDocument/2006/relationships/hyperlink" TargetMode="External" Target="https://spark-interfax.ru/system/home/card#/company/3573B166133A42B3863608581793C622/101"/><Relationship Id="rId3007" Type="http://schemas.openxmlformats.org/officeDocument/2006/relationships/hyperlink" TargetMode="External" Target="https://spark-interfax.ru/system/home/card#/company/F5674874192245208BA747DC1CDC6199/101"/><Relationship Id="rId3008" Type="http://schemas.openxmlformats.org/officeDocument/2006/relationships/hyperlink" TargetMode="External" Target="https://spark-interfax.ru/system/home/card#/company/B77CD6341D25411DA0AB2795601DE974/101"/><Relationship Id="rId3009" Type="http://schemas.openxmlformats.org/officeDocument/2006/relationships/hyperlink" TargetMode="External" Target="https://spark-interfax.ru/system/home/card#/company/4533D14893014110B11C3E44A38DA223/101"/><Relationship Id="rId3010" Type="http://schemas.openxmlformats.org/officeDocument/2006/relationships/hyperlink" TargetMode="External" Target="https://spark-interfax.ru/system/home/card#/company/B4081E6A412B4B40ABAA2FC7AE424670/101"/><Relationship Id="rId3011" Type="http://schemas.openxmlformats.org/officeDocument/2006/relationships/hyperlink" TargetMode="External" Target="https://spark-interfax.ru/system/home/card#/company/DE42E07C88044736A42189CEC6532B1A/101"/><Relationship Id="rId3012" Type="http://schemas.openxmlformats.org/officeDocument/2006/relationships/hyperlink" TargetMode="External" Target="https://spark-interfax.ru/system/home/card#/company/9150CACEFBCB42E7AFD097EB9DB2F1AF/101"/><Relationship Id="rId3013" Type="http://schemas.openxmlformats.org/officeDocument/2006/relationships/hyperlink" TargetMode="External" Target="https://spark-interfax.ru/system/home/card#/company/C6B05343B84D4B479D9389339310C68C/101"/><Relationship Id="rId3014" Type="http://schemas.openxmlformats.org/officeDocument/2006/relationships/hyperlink" TargetMode="External" Target="https://spark-interfax.ru/system/home/card#/company/AD513BC8336540E3B497BBA1141172CE/101"/><Relationship Id="rId3015" Type="http://schemas.openxmlformats.org/officeDocument/2006/relationships/hyperlink" TargetMode="External" Target="https://spark-interfax.ru/system/home/card#/company/49D509D97E70445B98CEEBFD797D410D/101"/><Relationship Id="rId3016" Type="http://schemas.openxmlformats.org/officeDocument/2006/relationships/hyperlink" TargetMode="External" Target="https://spark-interfax.ru/system/home/card#/company/32A7CEBA82F449D093211018AE0CA0E1/101"/><Relationship Id="rId3017" Type="http://schemas.openxmlformats.org/officeDocument/2006/relationships/hyperlink" TargetMode="External" Target="https://spark-interfax.ru/system/home/card#/company/064AEEA5C4BF4027956280F7F94CE123/101"/><Relationship Id="rId3018" Type="http://schemas.openxmlformats.org/officeDocument/2006/relationships/hyperlink" TargetMode="External" Target="https://spark-interfax.ru/system/home/card#/company/8CE1C223BB1E4521B3F6E77A59158F90/101"/><Relationship Id="rId3019" Type="http://schemas.openxmlformats.org/officeDocument/2006/relationships/hyperlink" TargetMode="External" Target="https://spark-interfax.ru/system/home/card#/company/CFB92AFBF79B44D2AC0DF2D8B9FBDCC6/101"/><Relationship Id="rId3020" Type="http://schemas.openxmlformats.org/officeDocument/2006/relationships/hyperlink" TargetMode="External" Target="https://spark-interfax.ru/system/home/card#/company/E85C02604077413DAC9A9C7BBA3B5D4F/101"/><Relationship Id="rId3021" Type="http://schemas.openxmlformats.org/officeDocument/2006/relationships/hyperlink" TargetMode="External" Target="https://spark-interfax.ru/system/home/card#/company/953738C54A764DBB8C66A91BAD5DF02E/101"/><Relationship Id="rId3022" Type="http://schemas.openxmlformats.org/officeDocument/2006/relationships/hyperlink" TargetMode="External" Target="https://spark-interfax.ru/system/home/card#/company/C6E3D50F47894503AE8E5D20645E3CE0/101"/><Relationship Id="rId3023" Type="http://schemas.openxmlformats.org/officeDocument/2006/relationships/hyperlink" TargetMode="External" Target="https://spark-interfax.ru/system/home/card#/company/93AC4F43B0B84DAEA9D26251D1BADB54/101"/><Relationship Id="rId3024" Type="http://schemas.openxmlformats.org/officeDocument/2006/relationships/hyperlink" TargetMode="External" Target="https://spark-interfax.ru/system/home/card#/company/CD5638CD46B84A71B43B6EEF573625B1/101"/><Relationship Id="rId3025" Type="http://schemas.openxmlformats.org/officeDocument/2006/relationships/hyperlink" TargetMode="External" Target="https://spark-interfax.ru/system/home/card#/company/B9124B4CA717418EA761681DA9B1C58B/101"/><Relationship Id="rId3026" Type="http://schemas.openxmlformats.org/officeDocument/2006/relationships/hyperlink" TargetMode="External" Target="https://spark-interfax.ru/system/home/card#/company/B6100EE3C5AB4512BB0A3F1813D21EA2/101"/><Relationship Id="rId3027" Type="http://schemas.openxmlformats.org/officeDocument/2006/relationships/hyperlink" TargetMode="External" Target="https://spark-interfax.ru/system/home/card#/company/7B810D368DD04D32BF541CBF5E0EED39/101"/><Relationship Id="rId3028" Type="http://schemas.openxmlformats.org/officeDocument/2006/relationships/hyperlink" TargetMode="External" Target="https://spark-interfax.ru/system/home/card#/company/023481BDD40D43438CF0FC435F688F29/101"/><Relationship Id="rId3029" Type="http://schemas.openxmlformats.org/officeDocument/2006/relationships/hyperlink" TargetMode="External" Target="https://spark-interfax.ru/system/home/card#/company/4175B36FD3C94EC3B1FEDE6DEFA631C7/101"/><Relationship Id="rId3030" Type="http://schemas.openxmlformats.org/officeDocument/2006/relationships/hyperlink" TargetMode="External" Target="https://spark-interfax.ru/system/home/card#/company/E896BBEB85A8447C96724BEC86A1EA5E/101"/><Relationship Id="rId3031" Type="http://schemas.openxmlformats.org/officeDocument/2006/relationships/hyperlink" TargetMode="External" Target="https://spark-interfax.ru/system/home/card#/company/0AE52E6E3AF842E89490C74A8C890A79/101"/><Relationship Id="rId3032" Type="http://schemas.openxmlformats.org/officeDocument/2006/relationships/hyperlink" TargetMode="External" Target="https://spark-interfax.ru/system/home/card#/company/32B99E88B22E414896A09A501ECF838B/101"/><Relationship Id="rId3033" Type="http://schemas.openxmlformats.org/officeDocument/2006/relationships/hyperlink" TargetMode="External" Target="https://spark-interfax.ru/system/home/card#/company/03DF5A183E6543CA815ADDAB25CEC21D/101"/><Relationship Id="rId3034" Type="http://schemas.openxmlformats.org/officeDocument/2006/relationships/hyperlink" TargetMode="External" Target="https://spark-interfax.ru/system/home/card#/company/BEDA0F84E8474C91B8A55DF7C9AF4B15/101"/><Relationship Id="rId3035" Type="http://schemas.openxmlformats.org/officeDocument/2006/relationships/hyperlink" TargetMode="External" Target="https://spark-interfax.ru/system/home/card#/company/F12B805879984C85834EC5372111A367/101"/><Relationship Id="rId3036" Type="http://schemas.openxmlformats.org/officeDocument/2006/relationships/hyperlink" TargetMode="External" Target="https://spark-interfax.ru/system/home/card#/company/09FAB9C0E8364CA690DEF5FA0BA1D317/101"/><Relationship Id="rId3037" Type="http://schemas.openxmlformats.org/officeDocument/2006/relationships/hyperlink" TargetMode="External" Target="https://spark-interfax.ru/system/home/card#/company/86D1D64832F24345B7A5E692681418D9/101"/><Relationship Id="rId3038" Type="http://schemas.openxmlformats.org/officeDocument/2006/relationships/hyperlink" TargetMode="External" Target="https://spark-interfax.ru/system/home/card#/company/B880C4C01CAF49CDAB96CC9CB78DFD4C/101"/><Relationship Id="rId3039" Type="http://schemas.openxmlformats.org/officeDocument/2006/relationships/hyperlink" TargetMode="External" Target="https://spark-interfax.ru/system/home/card#/company/FF2EC792E66C42EE8E8494B58C1A3F9D/101"/><Relationship Id="rId3040" Type="http://schemas.openxmlformats.org/officeDocument/2006/relationships/hyperlink" TargetMode="External" Target="https://spark-interfax.ru/system/home/card#/company/2B151BAF55B840D7A6B2B868B0FC3AC3/101"/><Relationship Id="rId3041" Type="http://schemas.openxmlformats.org/officeDocument/2006/relationships/hyperlink" TargetMode="External" Target="https://spark-interfax.ru/system/home/card#/company/9D2007C24E1C482D903B5EEEE73437C8/101"/><Relationship Id="rId3042" Type="http://schemas.openxmlformats.org/officeDocument/2006/relationships/hyperlink" TargetMode="External" Target="https://spark-interfax.ru/system/home/card#/company/2D929FE557AE4693A654B990D08B3E0E/101"/><Relationship Id="rId3043" Type="http://schemas.openxmlformats.org/officeDocument/2006/relationships/hyperlink" TargetMode="External" Target="https://spark-interfax.ru/system/home/card#/company/78188B2F8EE74D5CA0DCA35E989D7CA1/101"/><Relationship Id="rId3044" Type="http://schemas.openxmlformats.org/officeDocument/2006/relationships/hyperlink" TargetMode="External" Target="https://spark-interfax.ru/system/home/card#/company/2C4AA4542D7341E6818837581677267C/101"/><Relationship Id="rId3045" Type="http://schemas.openxmlformats.org/officeDocument/2006/relationships/hyperlink" TargetMode="External" Target="https://spark-interfax.ru/system/home/card#/company/9FECECAE6E2E4B518D74D3868F605629/101"/><Relationship Id="rId3046" Type="http://schemas.openxmlformats.org/officeDocument/2006/relationships/hyperlink" TargetMode="External" Target="https://spark-interfax.ru/system/home/card#/company/2177C881E8DE43EFA39A17A063029296/101"/><Relationship Id="rId3047" Type="http://schemas.openxmlformats.org/officeDocument/2006/relationships/hyperlink" TargetMode="External" Target="https://spark-interfax.ru/system/home/card#/company/CF2A430B899D4069AEE680055D1633BC/101"/><Relationship Id="rId3048" Type="http://schemas.openxmlformats.org/officeDocument/2006/relationships/hyperlink" TargetMode="External" Target="https://spark-interfax.ru/system/home/card#/company/316A7340FF2A48CCB9811ADBBD98884C/101"/><Relationship Id="rId3049" Type="http://schemas.openxmlformats.org/officeDocument/2006/relationships/hyperlink" TargetMode="External" Target="https://spark-interfax.ru/system/home/card#/company/C632398323E64B5CB385D6A30F7368F9/101"/><Relationship Id="rId3050" Type="http://schemas.openxmlformats.org/officeDocument/2006/relationships/hyperlink" TargetMode="External" Target="https://spark-interfax.ru/system/home/card#/company/DC29CA2BAF6B45388B4FA8557E6374E0/101"/><Relationship Id="rId3051" Type="http://schemas.openxmlformats.org/officeDocument/2006/relationships/hyperlink" TargetMode="External" Target="https://spark-interfax.ru/system/home/card#/company/17AB158EA5614EAD89CF9EF96C7C5B0A/101"/><Relationship Id="rId3052" Type="http://schemas.openxmlformats.org/officeDocument/2006/relationships/hyperlink" TargetMode="External" Target="https://spark-interfax.ru/system/home/card#/company/29C6CA9CA5EA4C95907470F9BB955EEB/101"/><Relationship Id="rId3053" Type="http://schemas.openxmlformats.org/officeDocument/2006/relationships/hyperlink" TargetMode="External" Target="https://spark-interfax.ru/system/home/card#/company/BDE34F949DF24D6198A6543B1DCE94F7/101"/><Relationship Id="rId3054" Type="http://schemas.openxmlformats.org/officeDocument/2006/relationships/hyperlink" TargetMode="External" Target="https://spark-interfax.ru/system/home/card#/company/81A9691884E44C029E1384253D604BE5/101"/><Relationship Id="rId3055" Type="http://schemas.openxmlformats.org/officeDocument/2006/relationships/hyperlink" TargetMode="External" Target="https://spark-interfax.ru/system/home/card#/company/C833615B5F3D2180E053219AA8C0E142/101"/><Relationship Id="rId3056" Type="http://schemas.openxmlformats.org/officeDocument/2006/relationships/hyperlink" TargetMode="External" Target="https://spark-interfax.ru/system/home/card#/company/7254E25B4F5D47E99A4E00D2009CCEB7/101"/><Relationship Id="rId3057" Type="http://schemas.openxmlformats.org/officeDocument/2006/relationships/hyperlink" TargetMode="External" Target="https://spark-interfax.ru/system/home/card#/company/1C901A050ABA4AE98F9E14598AFC39DB/101"/><Relationship Id="rId3058" Type="http://schemas.openxmlformats.org/officeDocument/2006/relationships/hyperlink" TargetMode="External" Target="https://spark-interfax.ru/system/home/card#/company/408ED9B19F8A42BDBF57C9ED92A14490/101"/><Relationship Id="rId3059" Type="http://schemas.openxmlformats.org/officeDocument/2006/relationships/hyperlink" TargetMode="External" Target="https://spark-interfax.ru/system/home/card#/company/DCE1D68E45614542816F393BEF389D40/101"/><Relationship Id="rId3060" Type="http://schemas.openxmlformats.org/officeDocument/2006/relationships/hyperlink" TargetMode="External" Target="https://spark-interfax.ru/system/home/card#/company/B8E5B9FDFDB840F2AA3CF3550475441C/101"/><Relationship Id="rId3061" Type="http://schemas.openxmlformats.org/officeDocument/2006/relationships/hyperlink" TargetMode="External" Target="https://spark-interfax.ru/system/home/card#/company/A65347FC7FC341DFA398788F5D2F015D/101"/><Relationship Id="rId3062" Type="http://schemas.openxmlformats.org/officeDocument/2006/relationships/hyperlink" TargetMode="External" Target="https://spark-interfax.ru/system/home/card#/company/744DD5C0EB934FEDA7190D503DE0883A/101"/><Relationship Id="rId3063" Type="http://schemas.openxmlformats.org/officeDocument/2006/relationships/hyperlink" TargetMode="External" Target="https://spark-interfax.ru/system/home/card#/company/388DB0B5075F418A81611D203D1A981F/101"/><Relationship Id="rId3064" Type="http://schemas.openxmlformats.org/officeDocument/2006/relationships/hyperlink" TargetMode="External" Target="https://spark-interfax.ru/system/home/card#/company/308964032C004704A2E836B2CC2505DA/101"/><Relationship Id="rId3065" Type="http://schemas.openxmlformats.org/officeDocument/2006/relationships/hyperlink" TargetMode="External" Target="https://spark-interfax.ru/system/home/card#/company/03A8B995D4BE4B12A6FDBC8FE9F40C22/101"/><Relationship Id="rId3066" Type="http://schemas.openxmlformats.org/officeDocument/2006/relationships/hyperlink" TargetMode="External" Target="https://spark-interfax.ru/system/home/card#/company/4A9C824C56614643AD08617ECBE8EA7F/101"/><Relationship Id="rId3067" Type="http://schemas.openxmlformats.org/officeDocument/2006/relationships/hyperlink" TargetMode="External" Target="https://spark-interfax.ru/system/home/card#/company/814081D6286C426096A7A0375D5C8301/101"/><Relationship Id="rId3068" Type="http://schemas.openxmlformats.org/officeDocument/2006/relationships/hyperlink" TargetMode="External" Target="https://spark-interfax.ru/system/home/card#/company/B94F47CAB373499B945A627BFBB6186C/101"/><Relationship Id="rId3069" Type="http://schemas.openxmlformats.org/officeDocument/2006/relationships/hyperlink" TargetMode="External" Target="https://spark-interfax.ru/system/home/card#/company/938F70779DCC44F4E0531B9AA8C023EE/101"/><Relationship Id="rId3070" Type="http://schemas.openxmlformats.org/officeDocument/2006/relationships/hyperlink" TargetMode="External" Target="https://spark-interfax.ru/system/home/card#/company/C8A0E60C2A22421C818DF902726B6A8A/101"/><Relationship Id="rId3071" Type="http://schemas.openxmlformats.org/officeDocument/2006/relationships/hyperlink" TargetMode="External" Target="https://spark-interfax.ru/system/home/card#/company/F9A659718B984483A054E2A2D4F23821/101"/><Relationship Id="rId3072" Type="http://schemas.openxmlformats.org/officeDocument/2006/relationships/hyperlink" TargetMode="External" Target="https://spark-interfax.ru/system/home/card#/company/38890F7DCC5C4A53A6EE7B5D4787B8FA/101"/><Relationship Id="rId3073" Type="http://schemas.openxmlformats.org/officeDocument/2006/relationships/hyperlink" TargetMode="External" Target="https://spark-interfax.ru/system/home/card#/company/E5EFDB7337224E81B2BEB06F22359A24/101"/><Relationship Id="rId3074" Type="http://schemas.openxmlformats.org/officeDocument/2006/relationships/hyperlink" TargetMode="External" Target="https://spark-interfax.ru/system/home/card#/company/B0C4944B26FC4E819DD65EC782F09EDF/101"/><Relationship Id="rId3075" Type="http://schemas.openxmlformats.org/officeDocument/2006/relationships/hyperlink" TargetMode="External" Target="https://spark-interfax.ru/system/home/card#/company/82075237FADF4897BA49346F06A90B1A/101"/><Relationship Id="rId3076" Type="http://schemas.openxmlformats.org/officeDocument/2006/relationships/hyperlink" TargetMode="External" Target="https://spark-interfax.ru/system/home/card#/company/4B50565DC2F54C2B8DC2F62B9D220AF2/101"/><Relationship Id="rId3077" Type="http://schemas.openxmlformats.org/officeDocument/2006/relationships/hyperlink" TargetMode="External" Target="https://spark-interfax.ru/system/home/card#/company/A63A58EB22CE4036BA039753A1007C5F/101"/><Relationship Id="rId3078" Type="http://schemas.openxmlformats.org/officeDocument/2006/relationships/hyperlink" TargetMode="External" Target="https://spark-interfax.ru/system/home/card#/company/97BF047E48454A82A741C065D79BCBA2/101"/><Relationship Id="rId3079" Type="http://schemas.openxmlformats.org/officeDocument/2006/relationships/hyperlink" TargetMode="External" Target="https://spark-interfax.ru/system/home/card#/company/FA58783504A643D1B2BEC7928A3F46FD/101"/><Relationship Id="rId3080" Type="http://schemas.openxmlformats.org/officeDocument/2006/relationships/hyperlink" TargetMode="External" Target="https://spark-interfax.ru/system/home/card#/company/C5A15F8308344B9FAB6BC15ABD9496D4/101"/><Relationship Id="rId3081" Type="http://schemas.openxmlformats.org/officeDocument/2006/relationships/hyperlink" TargetMode="External" Target="https://spark-interfax.ru/system/home/card#/company/758956EC3A0F72C6E0531B9AA8C04DF8/101"/><Relationship Id="rId3082" Type="http://schemas.openxmlformats.org/officeDocument/2006/relationships/hyperlink" TargetMode="External" Target="https://spark-interfax.ru/system/home/card#/company/1BEB95E5D6CB4C23BCA67C9C68714D85/101"/><Relationship Id="rId3083" Type="http://schemas.openxmlformats.org/officeDocument/2006/relationships/hyperlink" TargetMode="External" Target="https://spark-interfax.ru/system/home/card#/company/936007DF5794474E9A9A7595AE044D53/101"/><Relationship Id="rId3084" Type="http://schemas.openxmlformats.org/officeDocument/2006/relationships/hyperlink" TargetMode="External" Target="https://spark-interfax.ru/system/home/card#/company/A381C72488B74884832BB8CC842F31D4/101"/><Relationship Id="rId3085" Type="http://schemas.openxmlformats.org/officeDocument/2006/relationships/hyperlink" TargetMode="External" Target="https://spark-interfax.ru/system/home/card#/company/1E510D42A348401BBD3FB1D17AEFA2DB/101"/><Relationship Id="rId3086" Type="http://schemas.openxmlformats.org/officeDocument/2006/relationships/hyperlink" TargetMode="External" Target="https://spark-interfax.ru/system/home/card#/company/3EC0D51FF8794EF2903EF81FF5C6FC81/101"/><Relationship Id="rId3087" Type="http://schemas.openxmlformats.org/officeDocument/2006/relationships/hyperlink" TargetMode="External" Target="https://spark-interfax.ru/system/home/card#/company/1C72E4755B604155A88F4B82E31BA1F1/101"/><Relationship Id="rId3088" Type="http://schemas.openxmlformats.org/officeDocument/2006/relationships/hyperlink" TargetMode="External" Target="https://spark-interfax.ru/system/home/card#/company/69A07B92FA6D4158B93B24C0F7EB3DF9/101"/><Relationship Id="rId3089" Type="http://schemas.openxmlformats.org/officeDocument/2006/relationships/hyperlink" TargetMode="External" Target="https://spark-interfax.ru/system/home/card#/company/E504744986174C48B562C71D2889B283/101"/><Relationship Id="rId3090" Type="http://schemas.openxmlformats.org/officeDocument/2006/relationships/hyperlink" TargetMode="External" Target="https://spark-interfax.ru/system/home/card#/company/2CD2DB587D5E4D5CAFAE99E7378EF724/101"/><Relationship Id="rId3091" Type="http://schemas.openxmlformats.org/officeDocument/2006/relationships/hyperlink" TargetMode="External" Target="https://spark-interfax.ru/system/home/card#/company/D2919C77C2E24E979718B68A4CBF3B7B/101"/><Relationship Id="rId3092" Type="http://schemas.openxmlformats.org/officeDocument/2006/relationships/hyperlink" TargetMode="External" Target="https://spark-interfax.ru/system/home/card#/company/CDCD3E4D9B0C4BFDACC3C1E69E4731E9/101"/><Relationship Id="rId3093" Type="http://schemas.openxmlformats.org/officeDocument/2006/relationships/hyperlink" TargetMode="External" Target="https://spark-interfax.ru/system/home/card#/company/82117E0BA0774B838FE586545301D573/101"/><Relationship Id="rId3094" Type="http://schemas.openxmlformats.org/officeDocument/2006/relationships/hyperlink" TargetMode="External" Target="https://spark-interfax.ru/system/home/card#/company/90A6B372E3BE4E548FBF3FE6026D33F3/101"/><Relationship Id="rId3095" Type="http://schemas.openxmlformats.org/officeDocument/2006/relationships/hyperlink" TargetMode="External" Target="https://spark-interfax.ru/system/home/card#/company/887F484BFCB44F38ADCA116A9EC8C4A9/101"/><Relationship Id="rId3096" Type="http://schemas.openxmlformats.org/officeDocument/2006/relationships/hyperlink" TargetMode="External" Target="https://spark-interfax.ru/system/home/card#/company/2B670AAE89A84582A630D325417F2C77/101"/><Relationship Id="rId3097" Type="http://schemas.openxmlformats.org/officeDocument/2006/relationships/hyperlink" TargetMode="External" Target="https://spark-interfax.ru/system/home/card#/company/6D0F850B0B2E4AA58E075D115A33D44A/101"/><Relationship Id="rId3098" Type="http://schemas.openxmlformats.org/officeDocument/2006/relationships/hyperlink" TargetMode="External" Target="https://spark-interfax.ru/system/home/card#/company/0B7DDDC9E1F442F69C1F7347C494B7FD/101"/><Relationship Id="rId3099" Type="http://schemas.openxmlformats.org/officeDocument/2006/relationships/hyperlink" TargetMode="External" Target="https://spark-interfax.ru/system/home/card#/company/A86A9D846E3945DF8129EE9C5CFDF9F4/101"/><Relationship Id="rId3100" Type="http://schemas.openxmlformats.org/officeDocument/2006/relationships/hyperlink" TargetMode="External" Target="https://spark-interfax.ru/system/home/card#/company/7E232167404442C7BF9D2DB4B0A81FAA/101"/><Relationship Id="rId3101" Type="http://schemas.openxmlformats.org/officeDocument/2006/relationships/hyperlink" TargetMode="External" Target="https://spark-interfax.ru/system/home/card#/company/5A30B608BA9B3D0FE0531C9AA8C07A42/101"/><Relationship Id="rId3102" Type="http://schemas.openxmlformats.org/officeDocument/2006/relationships/hyperlink" TargetMode="External" Target="https://spark-interfax.ru/system/home/card#/company/AEA6A5A7732B44CFA3AA5412276876C0/101"/><Relationship Id="rId3103" Type="http://schemas.openxmlformats.org/officeDocument/2006/relationships/hyperlink" TargetMode="External" Target="https://spark-interfax.ru/system/home/card#/company/A511D6DC7BDF41E3A1A927E5D0E4EF72/101"/><Relationship Id="rId3104" Type="http://schemas.openxmlformats.org/officeDocument/2006/relationships/hyperlink" TargetMode="External" Target="https://spark-interfax.ru/system/home/card#/company/C45271BA8E34483CBE8834AB37B1C864/101"/><Relationship Id="rId3105" Type="http://schemas.openxmlformats.org/officeDocument/2006/relationships/hyperlink" TargetMode="External" Target="https://spark-interfax.ru/system/home/card#/company/49392C7D62794ACB8D128DE297661645/101"/><Relationship Id="rId3106" Type="http://schemas.openxmlformats.org/officeDocument/2006/relationships/hyperlink" TargetMode="External" Target="https://spark-interfax.ru/system/home/card#/company/9BD6E2FD70A643E0A3FF7791F76AD10B/101"/><Relationship Id="rId3107" Type="http://schemas.openxmlformats.org/officeDocument/2006/relationships/hyperlink" TargetMode="External" Target="https://spark-interfax.ru/system/home/card#/company/DAC15E4629B14E72B862E663B3E50A2B/101"/><Relationship Id="rId3108" Type="http://schemas.openxmlformats.org/officeDocument/2006/relationships/hyperlink" TargetMode="External" Target="https://spark-interfax.ru/system/home/card#/company/CC0D93D830064C318C066470F5B3A328/101"/><Relationship Id="rId3109" Type="http://schemas.openxmlformats.org/officeDocument/2006/relationships/hyperlink" TargetMode="External" Target="https://spark-interfax.ru/system/home/card#/company/904E2514CB20473391CDC81D153799DA/101"/><Relationship Id="rId3110" Type="http://schemas.openxmlformats.org/officeDocument/2006/relationships/hyperlink" TargetMode="External" Target="https://spark-interfax.ru/system/home/card#/company/D3C5808AF93A4A5BB61E5263CF56A1CA/101"/><Relationship Id="rId3111" Type="http://schemas.openxmlformats.org/officeDocument/2006/relationships/hyperlink" TargetMode="External" Target="https://spark-interfax.ru/system/home/card#/company/7FA60B6A40BE4C59BAA26C6A9100AC40/101"/><Relationship Id="rId3112" Type="http://schemas.openxmlformats.org/officeDocument/2006/relationships/hyperlink" TargetMode="External" Target="https://spark-interfax.ru/system/home/card#/company/B76E49B7A64F422EB19291C0370845E5/101"/><Relationship Id="rId3113" Type="http://schemas.openxmlformats.org/officeDocument/2006/relationships/hyperlink" TargetMode="External" Target="https://spark-interfax.ru/system/home/card#/company/2C31401EA79C4BBAA696B64E501098C3/101"/><Relationship Id="rId3114" Type="http://schemas.openxmlformats.org/officeDocument/2006/relationships/hyperlink" TargetMode="External" Target="https://spark-interfax.ru/system/home/card#/company/03A1AF07F6A84C2E866FD959D35CF99E/101"/><Relationship Id="rId3115" Type="http://schemas.openxmlformats.org/officeDocument/2006/relationships/hyperlink" TargetMode="External" Target="https://spark-interfax.ru/system/home/card#/company/47470936003049F9BA8F3B5E6363AB1D/101"/><Relationship Id="rId3116" Type="http://schemas.openxmlformats.org/officeDocument/2006/relationships/hyperlink" TargetMode="External" Target="https://spark-interfax.ru/system/home/card#/company/BEA0987E90C744CCBC52028DCA12D2D9/101"/><Relationship Id="rId3117" Type="http://schemas.openxmlformats.org/officeDocument/2006/relationships/hyperlink" TargetMode="External" Target="https://spark-interfax.ru/system/home/card#/company/6682916F06AC42058743BD84879F5E39/101"/><Relationship Id="rId3118" Type="http://schemas.openxmlformats.org/officeDocument/2006/relationships/hyperlink" TargetMode="External" Target="https://spark-interfax.ru/system/home/card#/company/74F84B609F2143E88FAFE0221FF34574/101"/><Relationship Id="rId3119" Type="http://schemas.openxmlformats.org/officeDocument/2006/relationships/hyperlink" TargetMode="External" Target="https://spark-interfax.ru/system/home/card#/company/221FA86B35014FF9920A2B21A17EB0D0/101"/><Relationship Id="rId3120" Type="http://schemas.openxmlformats.org/officeDocument/2006/relationships/hyperlink" TargetMode="External" Target="https://spark-interfax.ru/system/home/card#/company/1F8212DC140540AA904542E8B8D5FC9B/101"/><Relationship Id="rId3121" Type="http://schemas.openxmlformats.org/officeDocument/2006/relationships/hyperlink" TargetMode="External" Target="https://spark-interfax.ru/system/home/card#/company/ECB1E80883074F7C8E9DFE1A03A395E3/101"/><Relationship Id="rId3122" Type="http://schemas.openxmlformats.org/officeDocument/2006/relationships/hyperlink" TargetMode="External" Target="https://spark-interfax.ru/system/home/card#/company/0FC314FA411F46E9B25BA50063C0A0BF/101"/><Relationship Id="rId3123" Type="http://schemas.openxmlformats.org/officeDocument/2006/relationships/hyperlink" TargetMode="External" Target="https://spark-interfax.ru/system/home/card#/company/3E6591A160A24EE39C72D7E5FB8CBF23/101"/><Relationship Id="rId3124" Type="http://schemas.openxmlformats.org/officeDocument/2006/relationships/hyperlink" TargetMode="External" Target="https://spark-interfax.ru/system/home/card#/company/82F9831579651E83E0531B9AA8C05918/101"/><Relationship Id="rId3125" Type="http://schemas.openxmlformats.org/officeDocument/2006/relationships/hyperlink" TargetMode="External" Target="https://spark-interfax.ru/system/home/card#/company/5CF8CB96729A41DD90A9AAE07B5CF8F0/101"/><Relationship Id="rId3126" Type="http://schemas.openxmlformats.org/officeDocument/2006/relationships/hyperlink" TargetMode="External" Target="https://spark-interfax.ru/system/home/card#/company/63CB18CCF6914298B3A462B893A7D586/101"/><Relationship Id="rId3127" Type="http://schemas.openxmlformats.org/officeDocument/2006/relationships/hyperlink" TargetMode="External" Target="https://spark-interfax.ru/system/home/card#/company/850935227A8646928C51FF99CAA2C3B3/101"/><Relationship Id="rId3128" Type="http://schemas.openxmlformats.org/officeDocument/2006/relationships/hyperlink" TargetMode="External" Target="https://spark-interfax.ru/system/home/card#/company/F6FC0050320A43D49824BD0E122D41E6/101"/><Relationship Id="rId3129" Type="http://schemas.openxmlformats.org/officeDocument/2006/relationships/hyperlink" TargetMode="External" Target="https://spark-interfax.ru/system/home/card#/company/3B44FAF223084F9A8888274AAB3BE719/101"/><Relationship Id="rId3130" Type="http://schemas.openxmlformats.org/officeDocument/2006/relationships/hyperlink" TargetMode="External" Target="https://spark-interfax.ru/system/home/card#/company/41E12AC3B0324D41A0BBD51AF308E0B7/101"/><Relationship Id="rId3131" Type="http://schemas.openxmlformats.org/officeDocument/2006/relationships/hyperlink" TargetMode="External" Target="https://spark-interfax.ru/system/home/card#/company/9C3E9A1EB45F41A5BDDB14443434460C/101"/><Relationship Id="rId3132" Type="http://schemas.openxmlformats.org/officeDocument/2006/relationships/hyperlink" TargetMode="External" Target="https://spark-interfax.ru/system/home/card#/company/728FAA6247604B97B3EF1C7A8C6FAED0/101"/><Relationship Id="rId3133" Type="http://schemas.openxmlformats.org/officeDocument/2006/relationships/hyperlink" TargetMode="External" Target="https://spark-interfax.ru/system/home/card#/company/6E42A07B1F7F4E2886F4FDB50007389D/101"/><Relationship Id="rId3134" Type="http://schemas.openxmlformats.org/officeDocument/2006/relationships/hyperlink" TargetMode="External" Target="https://spark-interfax.ru/system/home/card#/company/975388CD150D7906E0531B9AA8C05679/101"/><Relationship Id="rId3135" Type="http://schemas.openxmlformats.org/officeDocument/2006/relationships/hyperlink" TargetMode="External" Target="https://spark-interfax.ru/system/home/card#/company/829E5202943F491F8946E81A5D757DE1/101"/><Relationship Id="rId3136" Type="http://schemas.openxmlformats.org/officeDocument/2006/relationships/hyperlink" TargetMode="External" Target="https://spark-interfax.ru/system/home/card#/company/1A466DF9E7C74083816C384C55DE58A9/101"/><Relationship Id="rId3137" Type="http://schemas.openxmlformats.org/officeDocument/2006/relationships/hyperlink" TargetMode="External" Target="https://spark-interfax.ru/system/home/card#/company/B1EB8276FC6D489B80CB7955EDA6F029/101"/><Relationship Id="rId3138" Type="http://schemas.openxmlformats.org/officeDocument/2006/relationships/hyperlink" TargetMode="External" Target="https://spark-interfax.ru/system/home/card#/company/61417F23EE9F4EA085E1635F792BF8C6/101"/><Relationship Id="rId3139" Type="http://schemas.openxmlformats.org/officeDocument/2006/relationships/hyperlink" TargetMode="External" Target="https://spark-interfax.ru/system/home/card#/company/186924A539004F08953AB7EA052E366B/101"/><Relationship Id="rId3140" Type="http://schemas.openxmlformats.org/officeDocument/2006/relationships/hyperlink" TargetMode="External" Target="https://spark-interfax.ru/system/home/card#/company/29A91AE9ED5A4AD4A2355B798B780B2F/101"/><Relationship Id="rId3141" Type="http://schemas.openxmlformats.org/officeDocument/2006/relationships/hyperlink" TargetMode="External" Target="https://spark-interfax.ru/system/home/card#/company/4583A0A5446A487EA503040BAF25312A/101"/><Relationship Id="rId3142" Type="http://schemas.openxmlformats.org/officeDocument/2006/relationships/hyperlink" TargetMode="External" Target="https://spark-interfax.ru/system/home/card#/company/30B8E737645844C793F046D82977D792/101"/><Relationship Id="rId3143" Type="http://schemas.openxmlformats.org/officeDocument/2006/relationships/hyperlink" TargetMode="External" Target="https://spark-interfax.ru/system/home/card#/company/5D1B370F273D4778BD1FDB0F6100F217/101"/><Relationship Id="rId3144" Type="http://schemas.openxmlformats.org/officeDocument/2006/relationships/hyperlink" TargetMode="External" Target="https://spark-interfax.ru/system/home/card#/company/88B65202469E4DCF8E778280E2E482B1/101"/><Relationship Id="rId3145" Type="http://schemas.openxmlformats.org/officeDocument/2006/relationships/hyperlink" TargetMode="External" Target="https://spark-interfax.ru/system/home/card#/company/765A435D74BB4D4EACCFC17F154DA6D9/101"/><Relationship Id="rId3146" Type="http://schemas.openxmlformats.org/officeDocument/2006/relationships/hyperlink" TargetMode="External" Target="https://spark-interfax.ru/system/home/card#/company/1BAE9F19468943DBBA29C18BE5AF6E76/101"/><Relationship Id="rId3147" Type="http://schemas.openxmlformats.org/officeDocument/2006/relationships/hyperlink" TargetMode="External" Target="https://spark-interfax.ru/system/home/card#/company/3684E88E55AD4A3AB83398D77FE2573A/101"/><Relationship Id="rId3148" Type="http://schemas.openxmlformats.org/officeDocument/2006/relationships/hyperlink" TargetMode="External" Target="https://spark-interfax.ru/system/home/card#/company/70D3976BE7B0895EE0531B9AA8C04802/101"/><Relationship Id="rId3149" Type="http://schemas.openxmlformats.org/officeDocument/2006/relationships/hyperlink" TargetMode="External" Target="https://spark-interfax.ru/system/home/card#/company/64958A8F64984F13BADACF1FE8970960/101"/><Relationship Id="rId3150" Type="http://schemas.openxmlformats.org/officeDocument/2006/relationships/hyperlink" TargetMode="External" Target="https://spark-interfax.ru/system/home/card#/company/BBC4171B51D34B22B05098F00D8B60B7/101"/><Relationship Id="rId3151" Type="http://schemas.openxmlformats.org/officeDocument/2006/relationships/hyperlink" TargetMode="External" Target="https://spark-interfax.ru/system/home/card#/company/70AF9A248F5146DC9B9B6BC5ABC58E0B/101"/><Relationship Id="rId3152" Type="http://schemas.openxmlformats.org/officeDocument/2006/relationships/hyperlink" TargetMode="External" Target="https://spark-interfax.ru/system/home/card#/company/E807F70B0A1D477185782E6F4F5FEB6D/101"/><Relationship Id="rId3153" Type="http://schemas.openxmlformats.org/officeDocument/2006/relationships/hyperlink" TargetMode="External" Target="https://spark-interfax.ru/system/home/card#/company/EB32192EA96E43EF97DAAE81E0D63F28/101"/><Relationship Id="rId3154" Type="http://schemas.openxmlformats.org/officeDocument/2006/relationships/hyperlink" TargetMode="External" Target="https://spark-interfax.ru/system/home/card#/company/5F0D541AB9944B12A5AAB1C029F1DF25/101"/><Relationship Id="rId3155" Type="http://schemas.openxmlformats.org/officeDocument/2006/relationships/hyperlink" TargetMode="External" Target="https://spark-interfax.ru/system/home/card#/company/D2BCF4028DDF445582DCB22AB9913757/101"/><Relationship Id="rId3156" Type="http://schemas.openxmlformats.org/officeDocument/2006/relationships/hyperlink" TargetMode="External" Target="https://spark-interfax.ru/system/home/card#/company/BB4D30D4BA584CF38C5843C20FC8BD55/101"/><Relationship Id="rId3157" Type="http://schemas.openxmlformats.org/officeDocument/2006/relationships/hyperlink" TargetMode="External" Target="https://spark-interfax.ru/system/home/card#/company/4CC7F92B470E4A80A1DBCC68E49FBE5E/101"/><Relationship Id="rId3158" Type="http://schemas.openxmlformats.org/officeDocument/2006/relationships/hyperlink" TargetMode="External" Target="https://spark-interfax.ru/system/home/card#/company/E68CFF62374340F7B2E6DA1813926AAB/101"/><Relationship Id="rId3159" Type="http://schemas.openxmlformats.org/officeDocument/2006/relationships/hyperlink" TargetMode="External" Target="https://spark-interfax.ru/system/home/card#/company/7556AF4E93D245E1AD829139B4719C9F/101"/><Relationship Id="rId3160" Type="http://schemas.openxmlformats.org/officeDocument/2006/relationships/hyperlink" TargetMode="External" Target="https://spark-interfax.ru/system/home/card#/company/E3B44751EF1A7C7DE053259AA8C0623B/101"/><Relationship Id="rId3161" Type="http://schemas.openxmlformats.org/officeDocument/2006/relationships/hyperlink" TargetMode="External" Target="https://spark-interfax.ru/system/home/card#/company/B295F5C8840F48D79AFDE79253757352/101"/><Relationship Id="rId3162" Type="http://schemas.openxmlformats.org/officeDocument/2006/relationships/hyperlink" TargetMode="External" Target="https://spark-interfax.ru/system/home/card#/company/ABB6215079F0483E93DA10B8DBCFD1F3/101"/><Relationship Id="rId3163" Type="http://schemas.openxmlformats.org/officeDocument/2006/relationships/hyperlink" TargetMode="External" Target="https://spark-interfax.ru/system/home/card#/company/696996F7E089449794CE02FBD11D1022/101"/><Relationship Id="rId3164" Type="http://schemas.openxmlformats.org/officeDocument/2006/relationships/hyperlink" TargetMode="External" Target="https://spark-interfax.ru/system/home/card#/company/D63A8901D9CB4D769361C0775B7539DE/101"/><Relationship Id="rId3165" Type="http://schemas.openxmlformats.org/officeDocument/2006/relationships/hyperlink" TargetMode="External" Target="https://spark-interfax.ru/system/home/card#/company/71C44B63B8D6689EE0531B9AA8C0A87C/101"/><Relationship Id="rId3166" Type="http://schemas.openxmlformats.org/officeDocument/2006/relationships/hyperlink" TargetMode="External" Target="https://spark-interfax.ru/system/home/card#/company/70BEC68D6D133BD1E0531B9AA8C05276/101"/><Relationship Id="rId3167" Type="http://schemas.openxmlformats.org/officeDocument/2006/relationships/hyperlink" TargetMode="External" Target="https://spark-interfax.ru/system/home/card#/company/71F4A7F9BF4D4946B5DD4F2A64173864/101"/><Relationship Id="rId3168" Type="http://schemas.openxmlformats.org/officeDocument/2006/relationships/hyperlink" TargetMode="External" Target="https://spark-interfax.ru/system/home/card#/company/C2AFF01E3B534D8E87B99D7FD7D34A4B/101"/><Relationship Id="rId3169" Type="http://schemas.openxmlformats.org/officeDocument/2006/relationships/hyperlink" TargetMode="External" Target="https://spark-interfax.ru/system/home/card#/company/027499E2B0984E4E962A9EBD9DB19980/101"/><Relationship Id="rId3170" Type="http://schemas.openxmlformats.org/officeDocument/2006/relationships/hyperlink" TargetMode="External" Target="https://spark-interfax.ru/system/home/card#/company/5E443D05ED1A4350B9CC97A6EAE9CE7E/101"/><Relationship Id="rId3171" Type="http://schemas.openxmlformats.org/officeDocument/2006/relationships/hyperlink" TargetMode="External" Target="https://spark-interfax.ru/system/home/card#/company/6A306F59CF944B7FB08A632D00832FDD/101"/><Relationship Id="rId3172" Type="http://schemas.openxmlformats.org/officeDocument/2006/relationships/hyperlink" TargetMode="External" Target="https://spark-interfax.ru/system/home/card#/company/0A8B791C7548469D9DB6AD5A686AB342/101"/><Relationship Id="rId3173" Type="http://schemas.openxmlformats.org/officeDocument/2006/relationships/hyperlink" TargetMode="External" Target="https://spark-interfax.ru/system/home/card#/company/49D159FE52CC4695B2D25D07FF44E03D/101"/><Relationship Id="rId3174" Type="http://schemas.openxmlformats.org/officeDocument/2006/relationships/hyperlink" TargetMode="External" Target="https://spark-interfax.ru/system/home/card#/company/8AE5935946004C83AC781DF52925AA38/101"/><Relationship Id="rId3175" Type="http://schemas.openxmlformats.org/officeDocument/2006/relationships/hyperlink" TargetMode="External" Target="https://spark-interfax.ru/system/home/card#/company/95E495EECD5D4F478356E61E25FE8DEF/101"/><Relationship Id="rId3176" Type="http://schemas.openxmlformats.org/officeDocument/2006/relationships/hyperlink" TargetMode="External" Target="https://spark-interfax.ru/system/home/card#/company/FC57052C077C4D7C9DBEFEA0EA87EA75/101"/><Relationship Id="rId3177" Type="http://schemas.openxmlformats.org/officeDocument/2006/relationships/hyperlink" TargetMode="External" Target="https://spark-interfax.ru/system/home/card#/company/ACEA27C58E2540B292E5FDC3614707E5/101"/><Relationship Id="rId3178" Type="http://schemas.openxmlformats.org/officeDocument/2006/relationships/hyperlink" TargetMode="External" Target="https://spark-interfax.ru/system/home/card#/company/C57319773C1F4D44AE0264DECBCBAEA6/101"/><Relationship Id="rId3179" Type="http://schemas.openxmlformats.org/officeDocument/2006/relationships/hyperlink" TargetMode="External" Target="https://spark-interfax.ru/system/home/card#/company/B5F76A2403874BBF9EBD4DA8064FEB9E/101"/><Relationship Id="rId3180" Type="http://schemas.openxmlformats.org/officeDocument/2006/relationships/hyperlink" TargetMode="External" Target="https://spark-interfax.ru/system/home/card#/company/72F88355B6C24F468DB616F45F1388E5/101"/><Relationship Id="rId3181" Type="http://schemas.openxmlformats.org/officeDocument/2006/relationships/hyperlink" TargetMode="External" Target="https://spark-interfax.ru/system/home/card#/company/5E785021F4F54C5BBD2417B596FFE96D/101"/><Relationship Id="rId3182" Type="http://schemas.openxmlformats.org/officeDocument/2006/relationships/hyperlink" TargetMode="External" Target="https://spark-interfax.ru/system/home/card#/company/5C26A4575DAA418B8C2CF6211AB7389D/101"/><Relationship Id="rId3183" Type="http://schemas.openxmlformats.org/officeDocument/2006/relationships/hyperlink" TargetMode="External" Target="https://spark-interfax.ru/system/home/card#/company/4EB8F249690D4E5FBA1FF98BBA3E3C32/101"/><Relationship Id="rId3184" Type="http://schemas.openxmlformats.org/officeDocument/2006/relationships/hyperlink" TargetMode="External" Target="https://spark-interfax.ru/system/home/card#/company/EA01AE0F628B4B90B20222FC6DAAD4BD/101"/><Relationship Id="rId3185" Type="http://schemas.openxmlformats.org/officeDocument/2006/relationships/hyperlink" TargetMode="External" Target="https://spark-interfax.ru/system/home/card#/company/D7B0B20D44674EF09033964A17138DA6/101"/><Relationship Id="rId3186" Type="http://schemas.openxmlformats.org/officeDocument/2006/relationships/hyperlink" TargetMode="External" Target="https://spark-interfax.ru/system/home/card#/company/86AD919499FC4444816A23998FB8B82E/101"/><Relationship Id="rId3187" Type="http://schemas.openxmlformats.org/officeDocument/2006/relationships/hyperlink" TargetMode="External" Target="https://spark-interfax.ru/system/home/card#/company/2F0D32CF5867413782E6809C10A93481/101"/><Relationship Id="rId3188" Type="http://schemas.openxmlformats.org/officeDocument/2006/relationships/hyperlink" TargetMode="External" Target="https://spark-interfax.ru/system/home/card#/company/97C59B9BB0C448028955572EF26EED6D/101"/><Relationship Id="rId3189" Type="http://schemas.openxmlformats.org/officeDocument/2006/relationships/hyperlink" TargetMode="External" Target="https://spark-interfax.ru/system/home/card#/company/5FA6C2E0A2DD4F6EA0CA8E1CBCEACC51/101"/><Relationship Id="rId3190" Type="http://schemas.openxmlformats.org/officeDocument/2006/relationships/hyperlink" TargetMode="External" Target="https://spark-interfax.ru/system/home/card#/company/F5A2F5E5EC98496B8EA0A70B08F1AA2A/101"/><Relationship Id="rId3191" Type="http://schemas.openxmlformats.org/officeDocument/2006/relationships/hyperlink" TargetMode="External" Target="https://spark-interfax.ru/system/home/card#/company/24DCE8075AE948B2AD5968962C004632/101"/><Relationship Id="rId3192" Type="http://schemas.openxmlformats.org/officeDocument/2006/relationships/hyperlink" TargetMode="External" Target="https://spark-interfax.ru/system/home/card#/company/4389E3DCFA124328837F686207667849/101"/><Relationship Id="rId3193" Type="http://schemas.openxmlformats.org/officeDocument/2006/relationships/hyperlink" TargetMode="External" Target="https://spark-interfax.ru/system/home/card#/company/8494F2D41717493ABA45383C5F5DA424/101"/><Relationship Id="rId3194" Type="http://schemas.openxmlformats.org/officeDocument/2006/relationships/hyperlink" TargetMode="External" Target="https://spark-interfax.ru/system/home/card#/company/00BD9F77F21749F7B86E778270EA342A/101"/><Relationship Id="rId3195" Type="http://schemas.openxmlformats.org/officeDocument/2006/relationships/hyperlink" TargetMode="External" Target="https://spark-interfax.ru/system/home/card#/company/4CDB7242CEC94CE48B904357DDB39248/101"/><Relationship Id="rId3196" Type="http://schemas.openxmlformats.org/officeDocument/2006/relationships/hyperlink" TargetMode="External" Target="https://spark-interfax.ru/system/home/card#/company/59354AC9C53741A9A5393871F28D630D/101"/><Relationship Id="rId3197" Type="http://schemas.openxmlformats.org/officeDocument/2006/relationships/hyperlink" TargetMode="External" Target="https://spark-interfax.ru/system/home/card#/company/F253C6D770B54C048174183757BF1431/101"/><Relationship Id="rId3198" Type="http://schemas.openxmlformats.org/officeDocument/2006/relationships/hyperlink" TargetMode="External" Target="https://spark-interfax.ru/system/home/card#/company/46CD5CF32034493FB6CBC8BB7DE8AC06/101"/><Relationship Id="rId3199" Type="http://schemas.openxmlformats.org/officeDocument/2006/relationships/hyperlink" TargetMode="External" Target="https://spark-interfax.ru/system/home/card#/company/137E6D8C9B1E4B55AB01B53694F20EC3/101"/><Relationship Id="rId3200" Type="http://schemas.openxmlformats.org/officeDocument/2006/relationships/hyperlink" TargetMode="External" Target="https://spark-interfax.ru/system/home/card#/company/02B7188A04D346B6901657848810A71C/101"/><Relationship Id="rId3201" Type="http://schemas.openxmlformats.org/officeDocument/2006/relationships/hyperlink" TargetMode="External" Target="https://spark-interfax.ru/system/home/card#/company/F2A2B1C332A54745973A79AAC8D4BE43/101"/><Relationship Id="rId3202" Type="http://schemas.openxmlformats.org/officeDocument/2006/relationships/hyperlink" TargetMode="External" Target="https://spark-interfax.ru/system/home/card#/company/F67BFDE49F5C4DDCB595C2E5A99ADD99/101"/><Relationship Id="rId3203" Type="http://schemas.openxmlformats.org/officeDocument/2006/relationships/hyperlink" TargetMode="External" Target="https://spark-interfax.ru/system/home/card#/company/D664B9180D884CFC87157346D15462BC/101"/><Relationship Id="rId3204" Type="http://schemas.openxmlformats.org/officeDocument/2006/relationships/hyperlink" TargetMode="External" Target="https://spark-interfax.ru/system/home/card#/company/8085404ED1A54F5980ADE056D62B5932/101"/><Relationship Id="rId3205" Type="http://schemas.openxmlformats.org/officeDocument/2006/relationships/hyperlink" TargetMode="External" Target="https://spark-interfax.ru/system/home/card#/company/2BA072B9E0824DE09AF6F25A2A1D7E54/101"/><Relationship Id="rId3206" Type="http://schemas.openxmlformats.org/officeDocument/2006/relationships/hyperlink" TargetMode="External" Target="https://spark-interfax.ru/system/home/card#/company/0C8B162219E44189A528C4AA0A45B942/101"/><Relationship Id="rId3207" Type="http://schemas.openxmlformats.org/officeDocument/2006/relationships/hyperlink" TargetMode="External" Target="https://spark-interfax.ru/system/home/card#/company/110E5B57A9194544831AD88E257DB785/101"/><Relationship Id="rId3208" Type="http://schemas.openxmlformats.org/officeDocument/2006/relationships/hyperlink" TargetMode="External" Target="https://spark-interfax.ru/system/home/card#/company/2E3166D951FF43F1BBE7C9DE435D541D/101"/><Relationship Id="rId3209" Type="http://schemas.openxmlformats.org/officeDocument/2006/relationships/hyperlink" TargetMode="External" Target="https://spark-interfax.ru/system/home/card#/company/6CD025CFD72B3467E0531B9AA8C02E7C/101"/><Relationship Id="rId3210" Type="http://schemas.openxmlformats.org/officeDocument/2006/relationships/hyperlink" TargetMode="External" Target="https://spark-interfax.ru/system/home/card#/company/257BC7BB48B8404582A331681616D7E1/101"/><Relationship Id="rId3211" Type="http://schemas.openxmlformats.org/officeDocument/2006/relationships/hyperlink" TargetMode="External" Target="https://spark-interfax.ru/system/home/card#/company/51499C86A9FB4B36A0DF2C960433936E/101"/><Relationship Id="rId3212" Type="http://schemas.openxmlformats.org/officeDocument/2006/relationships/hyperlink" TargetMode="External" Target="https://spark-interfax.ru/system/home/card#/company/E1CD26DB938747C5809CE41CFF44E35C/101"/><Relationship Id="rId3213" Type="http://schemas.openxmlformats.org/officeDocument/2006/relationships/hyperlink" TargetMode="External" Target="https://spark-interfax.ru/system/home/card#/company/199E628D028D4E2399D05F7E5831AA99/101"/><Relationship Id="rId3214" Type="http://schemas.openxmlformats.org/officeDocument/2006/relationships/hyperlink" TargetMode="External" Target="https://spark-interfax.ru/system/home/card#/company/43A6565D27064C0892C8D2E1826ADA68/101"/><Relationship Id="rId3215" Type="http://schemas.openxmlformats.org/officeDocument/2006/relationships/hyperlink" TargetMode="External" Target="https://spark-interfax.ru/system/home/card#/company/2722E1239D424F57909D4A552F2DCCCC/101"/><Relationship Id="rId3216" Type="http://schemas.openxmlformats.org/officeDocument/2006/relationships/hyperlink" TargetMode="External" Target="https://spark-interfax.ru/system/home/card#/company/EBB7C65A98A9436391C44223A74FE189/101"/><Relationship Id="rId3217" Type="http://schemas.openxmlformats.org/officeDocument/2006/relationships/hyperlink" TargetMode="External" Target="https://spark-interfax.ru/system/home/card#/company/3BB8BA4F522843EAA245FB901C954D88/101"/><Relationship Id="rId3218" Type="http://schemas.openxmlformats.org/officeDocument/2006/relationships/hyperlink" TargetMode="External" Target="https://spark-interfax.ru/system/home/card#/company/F14075A099B2477282E98ACE2F026FA9/101"/><Relationship Id="rId3219" Type="http://schemas.openxmlformats.org/officeDocument/2006/relationships/hyperlink" TargetMode="External" Target="https://spark-interfax.ru/system/home/card#/company/993D7ED182AD4888811D66B4C91FCD54/101"/><Relationship Id="rId3220" Type="http://schemas.openxmlformats.org/officeDocument/2006/relationships/hyperlink" TargetMode="External" Target="https://spark-interfax.ru/system/home/card#/company/B6E5CA11EB4049F4A8589C2198386E66/101"/><Relationship Id="rId3221" Type="http://schemas.openxmlformats.org/officeDocument/2006/relationships/hyperlink" TargetMode="External" Target="https://spark-interfax.ru/system/home/card#/company/A1B30FC7DB6743FF8B6D9FE11E85DC98/101"/><Relationship Id="rId3222" Type="http://schemas.openxmlformats.org/officeDocument/2006/relationships/hyperlink" TargetMode="External" Target="https://spark-interfax.ru/system/home/card#/company/449DA474BE9441B9B1DD97FE351E42CA/101"/><Relationship Id="rId3223" Type="http://schemas.openxmlformats.org/officeDocument/2006/relationships/hyperlink" TargetMode="External" Target="https://spark-interfax.ru/system/home/card#/company/7ED00C102120431C8CFA846676B011C2/101"/><Relationship Id="rId3224" Type="http://schemas.openxmlformats.org/officeDocument/2006/relationships/hyperlink" TargetMode="External" Target="https://spark-interfax.ru/system/home/card#/company/2A287750ACD1435B9884A9A0E7F1AA4D/101"/><Relationship Id="rId3225" Type="http://schemas.openxmlformats.org/officeDocument/2006/relationships/hyperlink" TargetMode="External" Target="https://spark-interfax.ru/system/home/card#/company/D36DC4909AF049CB916BC3726C11F21C/101"/><Relationship Id="rId3226" Type="http://schemas.openxmlformats.org/officeDocument/2006/relationships/hyperlink" TargetMode="External" Target="https://spark-interfax.ru/system/home/card#/company/F2DC305A58CC4D4DAF81CFC9F064EFC0/101"/><Relationship Id="rId3227" Type="http://schemas.openxmlformats.org/officeDocument/2006/relationships/hyperlink" TargetMode="External" Target="https://spark-interfax.ru/system/home/card#/company/219B8AB122834D40943AA115B3023916/101"/><Relationship Id="rId3228" Type="http://schemas.openxmlformats.org/officeDocument/2006/relationships/hyperlink" TargetMode="External" Target="https://spark-interfax.ru/system/home/card#/company/D9C30DF5ADB4413FA63452755E629E51/101"/><Relationship Id="rId3229" Type="http://schemas.openxmlformats.org/officeDocument/2006/relationships/hyperlink" TargetMode="External" Target="https://spark-interfax.ru/system/home/card#/company/827050FC4CDE4B6F872788EE9A9D2EC1/101"/><Relationship Id="rId3230" Type="http://schemas.openxmlformats.org/officeDocument/2006/relationships/hyperlink" TargetMode="External" Target="https://spark-interfax.ru/system/home/card#/company/14217650D00A4067AA15ADDF81BF5FA1/101"/><Relationship Id="rId3231" Type="http://schemas.openxmlformats.org/officeDocument/2006/relationships/hyperlink" TargetMode="External" Target="https://spark-interfax.ru/system/home/card#/company/ECA6230404F243FE9B624833A3739E7F/101"/><Relationship Id="rId3232" Type="http://schemas.openxmlformats.org/officeDocument/2006/relationships/hyperlink" TargetMode="External" Target="https://spark-interfax.ru/system/home/card#/company/88852DC425A140B5ACD3368D881BB4D9/101"/><Relationship Id="rId3233" Type="http://schemas.openxmlformats.org/officeDocument/2006/relationships/hyperlink" TargetMode="External" Target="https://spark-interfax.ru/system/home/card#/company/7FD869B1F5FF467E922EBD67502CE9C7/101"/><Relationship Id="rId3234" Type="http://schemas.openxmlformats.org/officeDocument/2006/relationships/hyperlink" TargetMode="External" Target="https://spark-interfax.ru/system/home/card#/company/7CBB0CD818EE4141807A73CF967A907B/101"/><Relationship Id="rId3235" Type="http://schemas.openxmlformats.org/officeDocument/2006/relationships/hyperlink" TargetMode="External" Target="https://spark-interfax.ru/system/home/card#/company/4DF656ABD98B494D811012AC64018E62/101"/><Relationship Id="rId3236" Type="http://schemas.openxmlformats.org/officeDocument/2006/relationships/hyperlink" TargetMode="External" Target="https://spark-interfax.ru/system/home/card#/company/8E1DFC3A1A7A48C2B4FB6A5881C6B1C3/101"/><Relationship Id="rId3237" Type="http://schemas.openxmlformats.org/officeDocument/2006/relationships/hyperlink" TargetMode="External" Target="https://spark-interfax.ru/system/home/card#/company/03B5BB9C1A4E485EA1F527AB0E03DE01/101"/><Relationship Id="rId3238" Type="http://schemas.openxmlformats.org/officeDocument/2006/relationships/hyperlink" TargetMode="External" Target="https://spark-interfax.ru/system/home/card#/company/12ACBAB44246483DBEE7B7B64F86B293/101"/><Relationship Id="rId3239" Type="http://schemas.openxmlformats.org/officeDocument/2006/relationships/hyperlink" TargetMode="External" Target="https://spark-interfax.ru/system/home/card#/company/32EF38B16FA943E4BAEF8B2563E31CED/101"/><Relationship Id="rId3240" Type="http://schemas.openxmlformats.org/officeDocument/2006/relationships/hyperlink" TargetMode="External" Target="https://spark-interfax.ru/system/home/card#/company/6E809CD30FEF4C11B4DEEBFD93D639E0/101"/><Relationship Id="rId3241" Type="http://schemas.openxmlformats.org/officeDocument/2006/relationships/hyperlink" TargetMode="External" Target="https://spark-interfax.ru/system/home/card#/company/406B600D77714477956CF39277FF247B/101"/><Relationship Id="rId3242" Type="http://schemas.openxmlformats.org/officeDocument/2006/relationships/hyperlink" TargetMode="External" Target="https://spark-interfax.ru/system/home/card#/company/033E4E72CB224C1F851C8B8849E41094/101"/><Relationship Id="rId3243" Type="http://schemas.openxmlformats.org/officeDocument/2006/relationships/hyperlink" TargetMode="External" Target="https://spark-interfax.ru/system/home/card#/company/E039116EFE214CF18B8090430A6FA21C/101"/><Relationship Id="rId3244" Type="http://schemas.openxmlformats.org/officeDocument/2006/relationships/hyperlink" TargetMode="External" Target="https://spark-interfax.ru/system/home/card#/company/62CD48D4B42F4414BC2F218065B25768/101"/><Relationship Id="rId3245" Type="http://schemas.openxmlformats.org/officeDocument/2006/relationships/hyperlink" TargetMode="External" Target="https://spark-interfax.ru/system/home/card#/company/B7491C11026E406ABE4DDD5861B13C60/101"/><Relationship Id="rId3246" Type="http://schemas.openxmlformats.org/officeDocument/2006/relationships/hyperlink" TargetMode="External" Target="https://spark-interfax.ru/system/home/card#/company/17F3C8035A8B4F5C8C556457BF53873C/101"/><Relationship Id="rId3247" Type="http://schemas.openxmlformats.org/officeDocument/2006/relationships/hyperlink" TargetMode="External" Target="https://spark-interfax.ru/system/home/card#/company/A43E43FFE1B8445788B1C773CAA6058C/101"/><Relationship Id="rId3248" Type="http://schemas.openxmlformats.org/officeDocument/2006/relationships/hyperlink" TargetMode="External" Target="https://spark-interfax.ru/system/home/card#/company/AC205F592C1A4C02BD3629733A29912F/101"/><Relationship Id="rId3249" Type="http://schemas.openxmlformats.org/officeDocument/2006/relationships/hyperlink" TargetMode="External" Target="https://spark-interfax.ru/system/home/card#/company/F601525C83DB48CDB577867EC55123EC/101"/><Relationship Id="rId3250" Type="http://schemas.openxmlformats.org/officeDocument/2006/relationships/hyperlink" TargetMode="External" Target="https://spark-interfax.ru/system/home/card#/company/68F65FF201FF403185B857CEBA22F599/101"/><Relationship Id="rId3251" Type="http://schemas.openxmlformats.org/officeDocument/2006/relationships/hyperlink" TargetMode="External" Target="https://spark-interfax.ru/system/home/card#/company/D2D9DEB0FC09490DAE73FBC1455E3867/101"/><Relationship Id="rId3252" Type="http://schemas.openxmlformats.org/officeDocument/2006/relationships/hyperlink" TargetMode="External" Target="https://spark-interfax.ru/system/home/card#/company/1739706D3F874B7683E428DEF78AB548/101"/><Relationship Id="rId3253" Type="http://schemas.openxmlformats.org/officeDocument/2006/relationships/hyperlink" TargetMode="External" Target="https://spark-interfax.ru/system/home/card#/company/F95EDFA961424F10A743B12D5C5E98E6/101"/><Relationship Id="rId3254" Type="http://schemas.openxmlformats.org/officeDocument/2006/relationships/hyperlink" TargetMode="External" Target="https://spark-interfax.ru/system/home/card#/company/7503BADA811B42B3804BDBBBBB7623CA/101"/><Relationship Id="rId3255" Type="http://schemas.openxmlformats.org/officeDocument/2006/relationships/hyperlink" TargetMode="External" Target="https://spark-interfax.ru/system/home/card#/company/745B82902CAB49E3B308EB39F8EB7E85/101"/><Relationship Id="rId3256" Type="http://schemas.openxmlformats.org/officeDocument/2006/relationships/hyperlink" TargetMode="External" Target="https://spark-interfax.ru/system/home/card#/company/773775BBEEA945638816FDF601934C68/101"/><Relationship Id="rId3257" Type="http://schemas.openxmlformats.org/officeDocument/2006/relationships/hyperlink" TargetMode="External" Target="https://spark-interfax.ru/system/home/card#/company/829677DC36044ED6ACE05BD0AED3FDC6/101"/><Relationship Id="rId3258" Type="http://schemas.openxmlformats.org/officeDocument/2006/relationships/hyperlink" TargetMode="External" Target="https://spark-interfax.ru/system/home/card#/company/4E9984A46C524F9FA567FD10DA832A01/101"/><Relationship Id="rId3259" Type="http://schemas.openxmlformats.org/officeDocument/2006/relationships/hyperlink" TargetMode="External" Target="https://spark-interfax.ru/system/home/card#/company/77DB22E90412473A9607C8D5B0D1700F/101"/><Relationship Id="rId3260" Type="http://schemas.openxmlformats.org/officeDocument/2006/relationships/hyperlink" TargetMode="External" Target="https://spark-interfax.ru/system/home/card#/company/9746B429F2E54417BAEECF3E946F9F87/101"/><Relationship Id="rId3261" Type="http://schemas.openxmlformats.org/officeDocument/2006/relationships/hyperlink" TargetMode="External" Target="https://spark-interfax.ru/system/home/card#/company/A7D53CD4FA9C190EE053189AA8C01E1B/101"/><Relationship Id="rId3262" Type="http://schemas.openxmlformats.org/officeDocument/2006/relationships/hyperlink" TargetMode="External" Target="https://spark-interfax.ru/system/home/card#/company/37F574EC378542FF8F43A2CE6C78CB16/101"/><Relationship Id="rId3263" Type="http://schemas.openxmlformats.org/officeDocument/2006/relationships/hyperlink" TargetMode="External" Target="https://spark-interfax.ru/system/home/card#/company/5BEEAA23BBCE490C95994C8AC1A2172A/101"/><Relationship Id="rId3264" Type="http://schemas.openxmlformats.org/officeDocument/2006/relationships/hyperlink" TargetMode="External" Target="https://spark-interfax.ru/system/home/card#/company/4A04DDE9B3794DFF8CE1BC6377B750F6/101"/><Relationship Id="rId3265" Type="http://schemas.openxmlformats.org/officeDocument/2006/relationships/hyperlink" TargetMode="External" Target="https://spark-interfax.ru/system/home/card#/company/518C62F5E5E2432BABBF3159204123BB/101"/><Relationship Id="rId3266" Type="http://schemas.openxmlformats.org/officeDocument/2006/relationships/hyperlink" TargetMode="External" Target="https://spark-interfax.ru/system/home/card#/company/6A9C884087CC28E4E0531B9AA8C00A93/101"/><Relationship Id="rId3267" Type="http://schemas.openxmlformats.org/officeDocument/2006/relationships/hyperlink" TargetMode="External" Target="https://spark-interfax.ru/system/home/card#/company/91BDEE4476274F2985CE1EEDFAA41EC5/101"/><Relationship Id="rId3268" Type="http://schemas.openxmlformats.org/officeDocument/2006/relationships/hyperlink" TargetMode="External" Target="https://spark-interfax.ru/system/home/card#/company/24EAA17675C44EDA8B8C55575E7590FF/101"/><Relationship Id="rId3269" Type="http://schemas.openxmlformats.org/officeDocument/2006/relationships/hyperlink" TargetMode="External" Target="https://spark-interfax.ru/system/home/card#/company/44F15F8C7830449580B20BFCD69A5F27/101"/><Relationship Id="rId3270" Type="http://schemas.openxmlformats.org/officeDocument/2006/relationships/hyperlink" TargetMode="External" Target="https://spark-interfax.ru/system/home/card#/company/BDAC5127FAD411F4E053219AA8C07A7A/101"/><Relationship Id="rId3271" Type="http://schemas.openxmlformats.org/officeDocument/2006/relationships/hyperlink" TargetMode="External" Target="https://spark-interfax.ru/system/home/card#/company/5423DDD922A849FDAED7BD411ECE6829/101"/><Relationship Id="rId3272" Type="http://schemas.openxmlformats.org/officeDocument/2006/relationships/hyperlink" TargetMode="External" Target="https://spark-interfax.ru/system/home/card#/company/9C4C39D222F4427D9DBDA523D9293C24/101"/><Relationship Id="rId3273" Type="http://schemas.openxmlformats.org/officeDocument/2006/relationships/hyperlink" TargetMode="External" Target="https://spark-interfax.ru/system/home/card#/company/5C9FCD9306AC4A4C9D5A31430CC03D38/101"/><Relationship Id="rId3274" Type="http://schemas.openxmlformats.org/officeDocument/2006/relationships/hyperlink" TargetMode="External" Target="https://spark-interfax.ru/system/home/card#/company/D68CF7D6DB5F421CB1928A0789B6CF28/101"/><Relationship Id="rId3275" Type="http://schemas.openxmlformats.org/officeDocument/2006/relationships/hyperlink" TargetMode="External" Target="https://spark-interfax.ru/system/home/card#/company/F5BB9455A02047E686A543DD19732721/101"/><Relationship Id="rId3276" Type="http://schemas.openxmlformats.org/officeDocument/2006/relationships/hyperlink" TargetMode="External" Target="https://spark-interfax.ru/system/home/card#/company/0806E4063496477B86AE660B78C70C45/101"/><Relationship Id="rId3277" Type="http://schemas.openxmlformats.org/officeDocument/2006/relationships/hyperlink" TargetMode="External" Target="https://spark-interfax.ru/system/home/card#/company/140657CD6732487FB7D4165CEBFA9DFB/101"/><Relationship Id="rId3278" Type="http://schemas.openxmlformats.org/officeDocument/2006/relationships/hyperlink" TargetMode="External" Target="https://spark-interfax.ru/system/home/card#/company/24A35B094CDA4F6F9F2D47891DB8E8FE/101"/><Relationship Id="rId3279" Type="http://schemas.openxmlformats.org/officeDocument/2006/relationships/hyperlink" TargetMode="External" Target="https://spark-interfax.ru/system/home/card#/company/8E02680837CC4374A06EF339231DF795/101"/><Relationship Id="rId3280" Type="http://schemas.openxmlformats.org/officeDocument/2006/relationships/hyperlink" TargetMode="External" Target="https://spark-interfax.ru/system/home/card#/company/6EB7852C8BF04A3A84D6D119DE50C1A8/101"/><Relationship Id="rId3281" Type="http://schemas.openxmlformats.org/officeDocument/2006/relationships/hyperlink" TargetMode="External" Target="https://spark-interfax.ru/system/home/card#/company/A1CDA5CF86C34E55976181FF69DED31E/101"/><Relationship Id="rId3282" Type="http://schemas.openxmlformats.org/officeDocument/2006/relationships/hyperlink" TargetMode="External" Target="https://spark-interfax.ru/system/home/card#/company/ECA48D054EF04BADB76464F0AE0E92DB/101"/><Relationship Id="rId3283" Type="http://schemas.openxmlformats.org/officeDocument/2006/relationships/hyperlink" TargetMode="External" Target="https://spark-interfax.ru/system/home/card#/company/AE4872C294C845FB84C1E4C4D2591B53/101"/><Relationship Id="rId3284" Type="http://schemas.openxmlformats.org/officeDocument/2006/relationships/hyperlink" TargetMode="External" Target="https://spark-interfax.ru/system/home/card#/company/B5AC52E73F2946518F40EFFD85146EC6/101"/><Relationship Id="rId3285" Type="http://schemas.openxmlformats.org/officeDocument/2006/relationships/hyperlink" TargetMode="External" Target="https://spark-interfax.ru/system/home/card#/company/06873914148A495E8A0A36A69458478D/101"/><Relationship Id="rId3286" Type="http://schemas.openxmlformats.org/officeDocument/2006/relationships/hyperlink" TargetMode="External" Target="https://spark-interfax.ru/system/home/card#/company/784D2465C33B433CAA9AD26A5E4536FC/101"/><Relationship Id="rId3287" Type="http://schemas.openxmlformats.org/officeDocument/2006/relationships/hyperlink" TargetMode="External" Target="https://spark-interfax.ru/system/home/card#/company/9BFB83FE19BE495EBE324A2802A91769/101"/><Relationship Id="rId3288" Type="http://schemas.openxmlformats.org/officeDocument/2006/relationships/hyperlink" TargetMode="External" Target="https://spark-interfax.ru/system/home/card#/company/A9039936FCB026F1E053189AA8C07950/101"/><Relationship Id="rId3289" Type="http://schemas.openxmlformats.org/officeDocument/2006/relationships/hyperlink" TargetMode="External" Target="https://spark-interfax.ru/system/home/card#/company/5CFE6F1D50B3492699416B1EFDB44883/101"/><Relationship Id="rId3290" Type="http://schemas.openxmlformats.org/officeDocument/2006/relationships/hyperlink" TargetMode="External" Target="https://spark-interfax.ru/system/home/card#/company/4CF427595D7849F58104D68ACCCA81F4/101"/><Relationship Id="rId3291" Type="http://schemas.openxmlformats.org/officeDocument/2006/relationships/hyperlink" TargetMode="External" Target="https://spark-interfax.ru/system/home/card#/company/9C4D73F150D54E01BE6E9916680F3200/101"/><Relationship Id="rId3292" Type="http://schemas.openxmlformats.org/officeDocument/2006/relationships/hyperlink" TargetMode="External" Target="https://spark-interfax.ru/system/home/card#/company/9D36A121C7DA465A941610B9ABC64E31/101"/><Relationship Id="rId3293" Type="http://schemas.openxmlformats.org/officeDocument/2006/relationships/hyperlink" TargetMode="External" Target="https://spark-interfax.ru/system/home/card#/company/A94C907638464763800AB5C1F46AD029/101"/><Relationship Id="rId3294" Type="http://schemas.openxmlformats.org/officeDocument/2006/relationships/hyperlink" TargetMode="External" Target="https://spark-interfax.ru/system/home/card#/company/0EAA1B1C24CB4500BCEEFC5999299D5C/101"/><Relationship Id="rId3295" Type="http://schemas.openxmlformats.org/officeDocument/2006/relationships/hyperlink" TargetMode="External" Target="https://spark-interfax.ru/system/home/card#/company/2815EA530F4A4A6598918E81A6D1961A/101"/><Relationship Id="rId3296" Type="http://schemas.openxmlformats.org/officeDocument/2006/relationships/hyperlink" TargetMode="External" Target="https://spark-interfax.ru/system/home/card#/company/5FA2348BAC704AFCB6C904BC08973233/101"/><Relationship Id="rId3297" Type="http://schemas.openxmlformats.org/officeDocument/2006/relationships/hyperlink" TargetMode="External" Target="https://spark-interfax.ru/system/home/card#/company/98490AA20D074F0B98B14608A50C9340/101"/><Relationship Id="rId3298" Type="http://schemas.openxmlformats.org/officeDocument/2006/relationships/hyperlink" TargetMode="External" Target="https://spark-interfax.ru/system/home/card#/company/F78AAFB4863C486393875D3651EAC203/101"/><Relationship Id="rId3299" Type="http://schemas.openxmlformats.org/officeDocument/2006/relationships/hyperlink" TargetMode="External" Target="https://spark-interfax.ru/system/home/card#/company/48DCF3BCD61941A8BF035807392BE6C1/101"/><Relationship Id="rId3300" Type="http://schemas.openxmlformats.org/officeDocument/2006/relationships/hyperlink" TargetMode="External" Target="https://spark-interfax.ru/system/home/card#/company/98195993F8684454A6B675C3E25B2DE5/101"/><Relationship Id="rId3301" Type="http://schemas.openxmlformats.org/officeDocument/2006/relationships/hyperlink" TargetMode="External" Target="https://spark-interfax.ru/system/home/card#/company/9D6060C7D8C97EC6E053179AA8C09DC3/101"/><Relationship Id="rId3302" Type="http://schemas.openxmlformats.org/officeDocument/2006/relationships/hyperlink" TargetMode="External" Target="https://spark-interfax.ru/system/home/card#/company/DB4A621089EB45C6B7C75DE38C14FAD1/101"/><Relationship Id="rId3303" Type="http://schemas.openxmlformats.org/officeDocument/2006/relationships/hyperlink" TargetMode="External" Target="https://spark-interfax.ru/system/home/card#/company/4E670E19EF8B4616893F84B8B9CD5A44/101"/><Relationship Id="rId3304" Type="http://schemas.openxmlformats.org/officeDocument/2006/relationships/hyperlink" TargetMode="External" Target="https://spark-interfax.ru/system/home/card#/company/96DF3D6E2461436497FD86A7DA232F66/101"/><Relationship Id="rId3305" Type="http://schemas.openxmlformats.org/officeDocument/2006/relationships/hyperlink" TargetMode="External" Target="https://spark-interfax.ru/system/home/card#/company/45A382FB85614222B984B7ED42C64E96/101"/><Relationship Id="rId3306" Type="http://schemas.openxmlformats.org/officeDocument/2006/relationships/hyperlink" TargetMode="External" Target="https://spark-interfax.ru/system/home/card#/company/74D112DDE0C340C8BC97B96B6CC1B754/101"/><Relationship Id="rId3307" Type="http://schemas.openxmlformats.org/officeDocument/2006/relationships/hyperlink" TargetMode="External" Target="https://spark-interfax.ru/system/home/card#/company/B4EC4EC3C4094904BA3849EA0DF3F3E5/101"/><Relationship Id="rId3308" Type="http://schemas.openxmlformats.org/officeDocument/2006/relationships/hyperlink" TargetMode="External" Target="https://spark-interfax.ru/system/home/card#/company/EE2D4DD84EDA4A1CB5F79790B2B9A4B2/101"/><Relationship Id="rId3309" Type="http://schemas.openxmlformats.org/officeDocument/2006/relationships/hyperlink" TargetMode="External" Target="https://spark-interfax.ru/system/home/card#/company/8F2375BA4510401ABB8EDFA679013486/101"/><Relationship Id="rId3310" Type="http://schemas.openxmlformats.org/officeDocument/2006/relationships/hyperlink" TargetMode="External" Target="https://spark-interfax.ru/system/home/card#/company/ACFDD350771F4F39A241D1792AC9763E/101"/><Relationship Id="rId3311" Type="http://schemas.openxmlformats.org/officeDocument/2006/relationships/hyperlink" TargetMode="External" Target="https://spark-interfax.ru/system/home/card#/company/3BCA7185B5EA4F7EA6CB2DB2D6A31B20/101"/><Relationship Id="rId3312" Type="http://schemas.openxmlformats.org/officeDocument/2006/relationships/hyperlink" TargetMode="External" Target="https://spark-interfax.ru/system/home/card#/company/39A707C2C23548BBA8CDA88A50B98FCB/101"/><Relationship Id="rId3313" Type="http://schemas.openxmlformats.org/officeDocument/2006/relationships/hyperlink" TargetMode="External" Target="https://spark-interfax.ru/system/home/card#/company/EAC716A0F686401D9D26B5FBB8C53F21/101"/><Relationship Id="rId3314" Type="http://schemas.openxmlformats.org/officeDocument/2006/relationships/hyperlink" TargetMode="External" Target="https://spark-interfax.ru/system/home/card#/company/A238130688D0414B926438FA85AA35E7/101"/><Relationship Id="rId3315" Type="http://schemas.openxmlformats.org/officeDocument/2006/relationships/hyperlink" TargetMode="External" Target="https://spark-interfax.ru/system/home/card#/company/67C8D448760A8DF9E0531B9AA8C00861/101"/><Relationship Id="rId3316" Type="http://schemas.openxmlformats.org/officeDocument/2006/relationships/hyperlink" TargetMode="External" Target="https://spark-interfax.ru/system/home/card#/company/F5227E582FEA4DD09556AFA21A6FB365/101"/><Relationship Id="rId3317" Type="http://schemas.openxmlformats.org/officeDocument/2006/relationships/hyperlink" TargetMode="External" Target="https://spark-interfax.ru/system/home/card#/company/330DCEE8261C4B5CBC935E25682BC52A/101"/><Relationship Id="rId3318" Type="http://schemas.openxmlformats.org/officeDocument/2006/relationships/hyperlink" TargetMode="External" Target="https://spark-interfax.ru/system/home/card#/company/89E4EE3976E044908A20D98031051D93/101"/><Relationship Id="rId3319" Type="http://schemas.openxmlformats.org/officeDocument/2006/relationships/hyperlink" TargetMode="External" Target="https://spark-interfax.ru/system/home/card#/company/FA5038BBAECC401F95F364F9EBB49D14/101"/><Relationship Id="rId3320" Type="http://schemas.openxmlformats.org/officeDocument/2006/relationships/hyperlink" TargetMode="External" Target="https://spark-interfax.ru/system/home/card#/company/CE241A1317524BA0B7E7B843CCD119BE/101"/><Relationship Id="rId3321" Type="http://schemas.openxmlformats.org/officeDocument/2006/relationships/hyperlink" TargetMode="External" Target="https://spark-interfax.ru/system/home/card#/company/936F0E2505CF4BE1A19AC43AE133C245/101"/><Relationship Id="rId3322" Type="http://schemas.openxmlformats.org/officeDocument/2006/relationships/hyperlink" TargetMode="External" Target="https://spark-interfax.ru/system/home/card#/company/5A56DFFB11894CB69DA793AF08A01DFC/101"/><Relationship Id="rId3323" Type="http://schemas.openxmlformats.org/officeDocument/2006/relationships/hyperlink" TargetMode="External" Target="https://spark-interfax.ru/system/home/card#/company/DC0649A33B5543EEA558FE96F7877BB1/101"/><Relationship Id="rId3324" Type="http://schemas.openxmlformats.org/officeDocument/2006/relationships/hyperlink" TargetMode="External" Target="https://spark-interfax.ru/system/home/card#/company/F3AEB8DFCECB4C64AD9551CDD5DC07B7/101"/><Relationship Id="rId3325" Type="http://schemas.openxmlformats.org/officeDocument/2006/relationships/hyperlink" TargetMode="External" Target="https://spark-interfax.ru/system/home/card#/company/F1C70A6480484584A792741AD30746C9/101"/><Relationship Id="rId3326" Type="http://schemas.openxmlformats.org/officeDocument/2006/relationships/hyperlink" TargetMode="External" Target="https://spark-interfax.ru/system/home/card#/company/E11D546F892A4E04AB2C5B2C0D9F0941/101"/><Relationship Id="rId3327" Type="http://schemas.openxmlformats.org/officeDocument/2006/relationships/hyperlink" TargetMode="External" Target="https://spark-interfax.ru/system/home/card#/company/A248A806E71B40CFBA659795721A4715/101"/><Relationship Id="rId3328" Type="http://schemas.openxmlformats.org/officeDocument/2006/relationships/hyperlink" TargetMode="External" Target="https://spark-interfax.ru/system/home/card#/company/B0CC6F6E4AED42A8A43E3036EEF72241/101"/><Relationship Id="rId3329" Type="http://schemas.openxmlformats.org/officeDocument/2006/relationships/hyperlink" TargetMode="External" Target="https://spark-interfax.ru/system/home/card#/company/BE44841D3A394DFF96E8B28CE79BC030/101"/><Relationship Id="rId3330" Type="http://schemas.openxmlformats.org/officeDocument/2006/relationships/hyperlink" TargetMode="External" Target="https://spark-interfax.ru/system/home/card#/company/34434B80B4AC472DAE53B6EF06CF046A/101"/><Relationship Id="rId3331" Type="http://schemas.openxmlformats.org/officeDocument/2006/relationships/hyperlink" TargetMode="External" Target="https://spark-interfax.ru/system/home/card#/company/3D465BE3A5BC49C08E4D40D20E54FF76/101"/><Relationship Id="rId3332" Type="http://schemas.openxmlformats.org/officeDocument/2006/relationships/hyperlink" TargetMode="External" Target="https://spark-interfax.ru/system/home/card#/company/A55FC17DD29C4CA0908092737A402113/101"/><Relationship Id="rId3333" Type="http://schemas.openxmlformats.org/officeDocument/2006/relationships/hyperlink" TargetMode="External" Target="https://spark-interfax.ru/system/home/card#/company/368342A52787441485F5965E9C48F609/101"/><Relationship Id="rId3334" Type="http://schemas.openxmlformats.org/officeDocument/2006/relationships/hyperlink" TargetMode="External" Target="https://spark-interfax.ru/system/home/card#/company/CA051E40AD4747CDA0926A4C5DF07AA2/101"/><Relationship Id="rId3335" Type="http://schemas.openxmlformats.org/officeDocument/2006/relationships/hyperlink" TargetMode="External" Target="https://spark-interfax.ru/system/home/card#/company/F8D0A2952D5E4EDDB4506AA4324A1B04/101"/><Relationship Id="rId3336" Type="http://schemas.openxmlformats.org/officeDocument/2006/relationships/hyperlink" TargetMode="External" Target="https://spark-interfax.ru/system/home/card#/company/913E624F5BD468F0E0531B9AA8C003B0/101"/><Relationship Id="rId3337" Type="http://schemas.openxmlformats.org/officeDocument/2006/relationships/hyperlink" TargetMode="External" Target="https://spark-interfax.ru/system/home/card#/company/C167E7E6FE1A4DBF8BA3A228D86EEBBC/101"/><Relationship Id="rId3338" Type="http://schemas.openxmlformats.org/officeDocument/2006/relationships/hyperlink" TargetMode="External" Target="https://spark-interfax.ru/system/home/card#/company/52EE7F62207F4193979062F1299DB124/101"/><Relationship Id="rId3339" Type="http://schemas.openxmlformats.org/officeDocument/2006/relationships/hyperlink" TargetMode="External" Target="https://spark-interfax.ru/system/home/card#/company/E7220795D32D4D9BBC5B9F4BBFCDB34E/101"/><Relationship Id="rId3340" Type="http://schemas.openxmlformats.org/officeDocument/2006/relationships/hyperlink" TargetMode="External" Target="https://spark-interfax.ru/system/home/card#/company/62803BF183B44421A303B45CDCC40242/101"/><Relationship Id="rId3341" Type="http://schemas.openxmlformats.org/officeDocument/2006/relationships/hyperlink" TargetMode="External" Target="https://spark-interfax.ru/system/home/card#/company/B6F5F7C5AD45479C894749E20F3D4A11/101"/><Relationship Id="rId3342" Type="http://schemas.openxmlformats.org/officeDocument/2006/relationships/hyperlink" TargetMode="External" Target="https://spark-interfax.ru/system/home/card#/company/485A4A75F874459091CDF1A348105034/101"/><Relationship Id="rId3343" Type="http://schemas.openxmlformats.org/officeDocument/2006/relationships/hyperlink" TargetMode="External" Target="https://spark-interfax.ru/system/home/card#/company/6AA746A37DC9457DA04CB4DE2805DC3D/101"/><Relationship Id="rId3344" Type="http://schemas.openxmlformats.org/officeDocument/2006/relationships/hyperlink" TargetMode="External" Target="https://spark-interfax.ru/system/home/card#/company/8F05D2AF119B463A879E5075925F4C2B/101"/><Relationship Id="rId3345" Type="http://schemas.openxmlformats.org/officeDocument/2006/relationships/hyperlink" TargetMode="External" Target="https://spark-interfax.ru/system/home/card#/company/9E168A1CAC894A0C910A2D1E3337EB70/101"/><Relationship Id="rId3346" Type="http://schemas.openxmlformats.org/officeDocument/2006/relationships/hyperlink" TargetMode="External" Target="https://spark-interfax.ru/system/home/card#/company/294B84E0891647C197961C8EAF7E9685/101"/><Relationship Id="rId3347" Type="http://schemas.openxmlformats.org/officeDocument/2006/relationships/hyperlink" TargetMode="External" Target="https://spark-interfax.ru/system/home/card#/company/DDF6BCBC9FFE4D408912A4293835FBF7/101"/><Relationship Id="rId3348" Type="http://schemas.openxmlformats.org/officeDocument/2006/relationships/hyperlink" TargetMode="External" Target="https://spark-interfax.ru/system/home/card#/company/ACE3D47A96C54F68A6CA758AA10B1212/101"/><Relationship Id="rId3349" Type="http://schemas.openxmlformats.org/officeDocument/2006/relationships/hyperlink" TargetMode="External" Target="https://spark-interfax.ru/system/home/card#/company/569E9E0C978B4B12B70DCCA363FAEA41/101"/><Relationship Id="rId3350" Type="http://schemas.openxmlformats.org/officeDocument/2006/relationships/hyperlink" TargetMode="External" Target="https://spark-interfax.ru/system/home/card#/company/9F89498F10844390B914F6229F3146F7/101"/><Relationship Id="rId3351" Type="http://schemas.openxmlformats.org/officeDocument/2006/relationships/hyperlink" TargetMode="External" Target="https://spark-interfax.ru/system/home/card#/company/856D95D9F9F74C7AAC4D7626C15AFECC/101"/><Relationship Id="rId3352" Type="http://schemas.openxmlformats.org/officeDocument/2006/relationships/hyperlink" TargetMode="External" Target="https://spark-interfax.ru/system/home/card#/company/D06E38B0D6DD4DBCB74094D1CB2654F5/101"/><Relationship Id="rId3353" Type="http://schemas.openxmlformats.org/officeDocument/2006/relationships/hyperlink" TargetMode="External" Target="https://spark-interfax.ru/system/home/card#/company/775843699B554534862BED227ACECBBB/101"/><Relationship Id="rId3354" Type="http://schemas.openxmlformats.org/officeDocument/2006/relationships/hyperlink" TargetMode="External" Target="https://spark-interfax.ru/system/home/card#/company/35CDBFA744734BCA96A092BCEEAB4EB5/101"/><Relationship Id="rId3355" Type="http://schemas.openxmlformats.org/officeDocument/2006/relationships/hyperlink" TargetMode="External" Target="https://spark-interfax.ru/system/home/card#/company/66548CAE598D475A87CF5575F6A3A89B/101"/><Relationship Id="rId3356" Type="http://schemas.openxmlformats.org/officeDocument/2006/relationships/hyperlink" TargetMode="External" Target="https://spark-interfax.ru/system/home/card#/company/CA617510FD6A40869685728DAAA3EE7F/101"/><Relationship Id="rId3357" Type="http://schemas.openxmlformats.org/officeDocument/2006/relationships/hyperlink" TargetMode="External" Target="https://spark-interfax.ru/system/home/card#/company/A23AB35401874D46B418FF3DEEA55372/101"/><Relationship Id="rId3358" Type="http://schemas.openxmlformats.org/officeDocument/2006/relationships/hyperlink" TargetMode="External" Target="https://spark-interfax.ru/system/home/card#/company/344E66E3E125457A87C812417ECCE753/101"/><Relationship Id="rId3359" Type="http://schemas.openxmlformats.org/officeDocument/2006/relationships/hyperlink" TargetMode="External" Target="https://spark-interfax.ru/system/home/card#/company/7E462860315C4E3683019CD2C4AB997A/101"/><Relationship Id="rId3360" Type="http://schemas.openxmlformats.org/officeDocument/2006/relationships/hyperlink" TargetMode="External" Target="https://spark-interfax.ru/system/home/card#/company/7046FD8BED455CDBE0531B9AA8C08396/101"/><Relationship Id="rId3361" Type="http://schemas.openxmlformats.org/officeDocument/2006/relationships/hyperlink" TargetMode="External" Target="https://spark-interfax.ru/system/home/card#/company/AD2BAC4190E850C4E053189AA8C01C05/101"/><Relationship Id="rId3362" Type="http://schemas.openxmlformats.org/officeDocument/2006/relationships/hyperlink" TargetMode="External" Target="https://spark-interfax.ru/system/home/card#/company/24744E0E1E4E4EF896B6377B7A4D237E/101"/><Relationship Id="rId3363" Type="http://schemas.openxmlformats.org/officeDocument/2006/relationships/hyperlink" TargetMode="External" Target="https://spark-interfax.ru/system/home/card#/company/4D47E313DA2847429757C300147EF08A/101"/><Relationship Id="rId3364" Type="http://schemas.openxmlformats.org/officeDocument/2006/relationships/hyperlink" TargetMode="External" Target="https://spark-interfax.ru/system/home/card#/company/1E66B25754AC45E183DE19D7C93C0D84/101"/><Relationship Id="rId3365" Type="http://schemas.openxmlformats.org/officeDocument/2006/relationships/hyperlink" TargetMode="External" Target="https://spark-interfax.ru/system/home/card#/company/8CA0E8227331443693DF9A654934B7E3/101"/><Relationship Id="rId3366" Type="http://schemas.openxmlformats.org/officeDocument/2006/relationships/hyperlink" TargetMode="External" Target="https://spark-interfax.ru/system/home/card#/company/DF30625689AA4C74B0BCBF6FA013392A/101"/><Relationship Id="rId3367" Type="http://schemas.openxmlformats.org/officeDocument/2006/relationships/hyperlink" TargetMode="External" Target="https://spark-interfax.ru/system/home/card#/company/6FC4D046D06D4A62A4D3C18BDAE4172B/101"/><Relationship Id="rId3368" Type="http://schemas.openxmlformats.org/officeDocument/2006/relationships/hyperlink" TargetMode="External" Target="https://spark-interfax.ru/system/home/card#/company/BB768035B5954F5886444DBE45097865/101"/><Relationship Id="rId3369" Type="http://schemas.openxmlformats.org/officeDocument/2006/relationships/hyperlink" TargetMode="External" Target="https://spark-interfax.ru/system/home/card#/company/EBD393B630624F55A538232ACAFED0B3/101"/><Relationship Id="rId3370" Type="http://schemas.openxmlformats.org/officeDocument/2006/relationships/hyperlink" TargetMode="External" Target="https://spark-interfax.ru/system/home/card#/company/C6E4612C22EE40DD8D44E478112F7EA1/101"/><Relationship Id="rId3371" Type="http://schemas.openxmlformats.org/officeDocument/2006/relationships/hyperlink" TargetMode="External" Target="https://spark-interfax.ru/system/home/card#/company/F77EC8EBD15D4A8BB0E60BD72466243D/101"/><Relationship Id="rId3372" Type="http://schemas.openxmlformats.org/officeDocument/2006/relationships/hyperlink" TargetMode="External" Target="https://spark-interfax.ru/system/home/card#/company/11C9707CBF1248508D3DFE331B796FB2/101"/><Relationship Id="rId3373" Type="http://schemas.openxmlformats.org/officeDocument/2006/relationships/hyperlink" TargetMode="External" Target="https://spark-interfax.ru/system/home/card#/company/5DAB469F8A27451E8D08D2B65DF65562/101"/><Relationship Id="rId3374" Type="http://schemas.openxmlformats.org/officeDocument/2006/relationships/hyperlink" TargetMode="External" Target="https://spark-interfax.ru/system/home/card#/company/29EDB7CE83864A03A692E71E37297CC5/101"/><Relationship Id="rId3375" Type="http://schemas.openxmlformats.org/officeDocument/2006/relationships/hyperlink" TargetMode="External" Target="https://spark-interfax.ru/system/home/card#/company/272C4D52FB284FDB96FC130862AAA405/101"/><Relationship Id="rId3376" Type="http://schemas.openxmlformats.org/officeDocument/2006/relationships/hyperlink" TargetMode="External" Target="https://spark-interfax.ru/system/home/card#/company/8F85A468E65C4392A312938BDF11EC94/101"/><Relationship Id="rId3377" Type="http://schemas.openxmlformats.org/officeDocument/2006/relationships/hyperlink" TargetMode="External" Target="https://spark-interfax.ru/system/home/card#/company/265657E362E54BD6AA1246097CA0E75D/101"/><Relationship Id="rId3378" Type="http://schemas.openxmlformats.org/officeDocument/2006/relationships/hyperlink" TargetMode="External" Target="https://spark-interfax.ru/system/home/card#/company/7524B8D767148A62E0531B9AA8C08172/101"/><Relationship Id="rId3379" Type="http://schemas.openxmlformats.org/officeDocument/2006/relationships/hyperlink" TargetMode="External" Target="https://spark-interfax.ru/system/home/card#/company/C00017A2818341309F04C7CDD6402B6D/101"/><Relationship Id="rId3380" Type="http://schemas.openxmlformats.org/officeDocument/2006/relationships/hyperlink" TargetMode="External" Target="https://spark-interfax.ru/system/home/card#/company/12FA803FEF7B4D7FADFAFAC9DCAF0C9A/101"/><Relationship Id="rId3381" Type="http://schemas.openxmlformats.org/officeDocument/2006/relationships/hyperlink" TargetMode="External" Target="https://spark-interfax.ru/system/home/card#/company/9031A3503BDA460EAD06B8260FFBD77C/101"/><Relationship Id="rId3382" Type="http://schemas.openxmlformats.org/officeDocument/2006/relationships/hyperlink" TargetMode="External" Target="https://spark-interfax.ru/system/home/card#/company/050380EC0586443A8A820DFE99CC28D4/101"/><Relationship Id="rId3383" Type="http://schemas.openxmlformats.org/officeDocument/2006/relationships/hyperlink" TargetMode="External" Target="https://spark-interfax.ru/system/home/card#/company/E548048B6290439CBA7E16A8183DD383/101"/><Relationship Id="rId3384" Type="http://schemas.openxmlformats.org/officeDocument/2006/relationships/hyperlink" TargetMode="External" Target="https://spark-interfax.ru/system/home/card#/company/789FDED351D848E7A9E71F81400E5A9C/101"/><Relationship Id="rId3385" Type="http://schemas.openxmlformats.org/officeDocument/2006/relationships/hyperlink" TargetMode="External" Target="https://spark-interfax.ru/system/home/card#/company/D4D7308051C947D08407E6E564C5D69F/101"/><Relationship Id="rId3386" Type="http://schemas.openxmlformats.org/officeDocument/2006/relationships/hyperlink" TargetMode="External" Target="https://spark-interfax.ru/system/home/card#/company/47968A4118F841FEBB1B80F007444F6E/101"/><Relationship Id="rId3387" Type="http://schemas.openxmlformats.org/officeDocument/2006/relationships/hyperlink" TargetMode="External" Target="https://spark-interfax.ru/system/home/card#/company/821987D4862E42ACA3B9567409A1F47E/101"/><Relationship Id="rId3388" Type="http://schemas.openxmlformats.org/officeDocument/2006/relationships/hyperlink" TargetMode="External" Target="https://spark-interfax.ru/system/home/card#/company/CF2290DEE711481191E8E984E9CD865B/101"/><Relationship Id="rId3389" Type="http://schemas.openxmlformats.org/officeDocument/2006/relationships/hyperlink" TargetMode="External" Target="https://spark-interfax.ru/system/home/card#/company/25980145A8EA4FEBB5E66C3068D01B05/101"/><Relationship Id="rId3390" Type="http://schemas.openxmlformats.org/officeDocument/2006/relationships/hyperlink" TargetMode="External" Target="https://spark-interfax.ru/system/home/card#/company/C90A581ED1F442B080AB29E90F668C43/101"/><Relationship Id="rId3391" Type="http://schemas.openxmlformats.org/officeDocument/2006/relationships/hyperlink" TargetMode="External" Target="https://spark-interfax.ru/system/home/card#/company/59E63A06D91A47809C7917EDB822D3CF/101"/><Relationship Id="rId3392" Type="http://schemas.openxmlformats.org/officeDocument/2006/relationships/hyperlink" TargetMode="External" Target="https://spark-interfax.ru/system/home/card#/company/7E1C13B12D5F44A58A2873FEDC4097C4/101"/><Relationship Id="rId3393" Type="http://schemas.openxmlformats.org/officeDocument/2006/relationships/hyperlink" TargetMode="External" Target="https://spark-interfax.ru/system/home/card#/company/CF025FF22BEE4BA7813D0709B3CAC597/101"/><Relationship Id="rId3394" Type="http://schemas.openxmlformats.org/officeDocument/2006/relationships/hyperlink" TargetMode="External" Target="https://spark-interfax.ru/system/home/card#/company/B49F9BE53555439399FDFAC5E010366B/101"/><Relationship Id="rId3395" Type="http://schemas.openxmlformats.org/officeDocument/2006/relationships/hyperlink" TargetMode="External" Target="https://spark-interfax.ru/system/home/card#/company/17C469F1437A487A986320047287B960/101"/><Relationship Id="rId3396" Type="http://schemas.openxmlformats.org/officeDocument/2006/relationships/hyperlink" TargetMode="External" Target="https://spark-interfax.ru/system/home/card#/company/437F3C0057B84903B8D9E77AAE90A124/101"/><Relationship Id="rId3397" Type="http://schemas.openxmlformats.org/officeDocument/2006/relationships/hyperlink" TargetMode="External" Target="https://spark-interfax.ru/system/home/card#/company/F5E6140DE0DB4B94ACC6389A4B59BD73/101"/><Relationship Id="rId3398" Type="http://schemas.openxmlformats.org/officeDocument/2006/relationships/hyperlink" TargetMode="External" Target="https://spark-interfax.ru/system/home/card#/company/5A6D1942A1378DE2E0531C9AA8C0645D/101"/><Relationship Id="rId3399" Type="http://schemas.openxmlformats.org/officeDocument/2006/relationships/hyperlink" TargetMode="External" Target="https://spark-interfax.ru/system/home/card#/company/94CC6545D2794688A5141FE8BD9FA439/101"/><Relationship Id="rId3400" Type="http://schemas.openxmlformats.org/officeDocument/2006/relationships/hyperlink" TargetMode="External" Target="https://spark-interfax.ru/system/home/card#/company/981BB352A8594AF291E7418E577B690F/101"/><Relationship Id="rId3401" Type="http://schemas.openxmlformats.org/officeDocument/2006/relationships/hyperlink" TargetMode="External" Target="https://spark-interfax.ru/system/home/card#/company/35155DAAF061439A9B76446B9F5C1440/101"/><Relationship Id="rId3402" Type="http://schemas.openxmlformats.org/officeDocument/2006/relationships/hyperlink" TargetMode="External" Target="https://spark-interfax.ru/system/home/card#/company/0B07AC9CDD544554B1B0A9DD359EE3EC/101"/><Relationship Id="rId3403" Type="http://schemas.openxmlformats.org/officeDocument/2006/relationships/hyperlink" TargetMode="External" Target="https://spark-interfax.ru/system/home/card#/company/1ED3A52BDAC244E9A1E6842FC350A168/101"/><Relationship Id="rId3404" Type="http://schemas.openxmlformats.org/officeDocument/2006/relationships/hyperlink" TargetMode="External" Target="https://spark-interfax.ru/system/home/card#/company/A5291347AB23076DE053189AA8C0D7DE/101"/><Relationship Id="rId3405" Type="http://schemas.openxmlformats.org/officeDocument/2006/relationships/hyperlink" TargetMode="External" Target="https://spark-interfax.ru/system/home/card#/company/D825BD4CDDEE4E6BB2A6189B7B2704E4/101"/><Relationship Id="rId3406" Type="http://schemas.openxmlformats.org/officeDocument/2006/relationships/hyperlink" TargetMode="External" Target="https://spark-interfax.ru/system/home/card#/company/EFB5FB4045F744159CC5E53DFE2B5673/101"/><Relationship Id="rId3407" Type="http://schemas.openxmlformats.org/officeDocument/2006/relationships/hyperlink" TargetMode="External" Target="https://spark-interfax.ru/system/home/card#/company/00BDE2CCD2934C7CA75EF07562121ECB/101"/><Relationship Id="rId3408" Type="http://schemas.openxmlformats.org/officeDocument/2006/relationships/hyperlink" TargetMode="External" Target="https://spark-interfax.ru/system/home/card#/company/057BE500836D44C6A43FAC74A53A6888/101"/><Relationship Id="rId3409" Type="http://schemas.openxmlformats.org/officeDocument/2006/relationships/hyperlink" TargetMode="External" Target="https://spark-interfax.ru/system/home/card#/company/D06E1083B4904508B0B4C7A40595E548/101"/><Relationship Id="rId3410" Type="http://schemas.openxmlformats.org/officeDocument/2006/relationships/hyperlink" TargetMode="External" Target="https://spark-interfax.ru/system/home/card#/company/A9CB49A997724FFF9BB801E2674297FF/101"/><Relationship Id="rId3411" Type="http://schemas.openxmlformats.org/officeDocument/2006/relationships/hyperlink" TargetMode="External" Target="https://spark-interfax.ru/system/home/card#/company/D26DBFB7FB704CA4A04D628DCEBA6670/101"/><Relationship Id="rId3412" Type="http://schemas.openxmlformats.org/officeDocument/2006/relationships/hyperlink" TargetMode="External" Target="https://spark-interfax.ru/system/home/card#/company/FF0A12E8F41C4583924495D75C7AF850/101"/><Relationship Id="rId3413" Type="http://schemas.openxmlformats.org/officeDocument/2006/relationships/hyperlink" TargetMode="External" Target="https://spark-interfax.ru/system/home/card#/company/84B219C1ECF0407BB78F95637EF59793/101"/><Relationship Id="rId3414" Type="http://schemas.openxmlformats.org/officeDocument/2006/relationships/hyperlink" TargetMode="External" Target="https://spark-interfax.ru/system/home/card#/company/8B6513EF521246F491AC4E95A62334E4/101"/><Relationship Id="rId3415" Type="http://schemas.openxmlformats.org/officeDocument/2006/relationships/hyperlink" TargetMode="External" Target="https://spark-interfax.ru/system/home/card#/company/13519D78D7F24A308B0B40042F8CD269/101"/><Relationship Id="rId3416" Type="http://schemas.openxmlformats.org/officeDocument/2006/relationships/hyperlink" TargetMode="External" Target="https://spark-interfax.ru/system/home/card#/company/1CA824ACE0F647D3B8998734D75BA4EC/101"/><Relationship Id="rId3417" Type="http://schemas.openxmlformats.org/officeDocument/2006/relationships/hyperlink" TargetMode="External" Target="https://spark-interfax.ru/system/home/card#/company/F32168852A2F498C97B8C8379FEEBA04/101"/><Relationship Id="rId3418" Type="http://schemas.openxmlformats.org/officeDocument/2006/relationships/hyperlink" TargetMode="External" Target="https://spark-interfax.ru/system/home/card#/company/6920DD57C74A60A8E0531B9AA8C0DB03/101"/><Relationship Id="rId3419" Type="http://schemas.openxmlformats.org/officeDocument/2006/relationships/hyperlink" TargetMode="External" Target="https://spark-interfax.ru/system/home/card#/company/E69BBA6160A1427FA03BC81B715D0C85/101"/><Relationship Id="rId3420" Type="http://schemas.openxmlformats.org/officeDocument/2006/relationships/hyperlink" TargetMode="External" Target="https://spark-interfax.ru/system/home/card#/company/A4A6E738E4D44B7B9616C3B4BEBEA2C9/101"/><Relationship Id="rId3421" Type="http://schemas.openxmlformats.org/officeDocument/2006/relationships/hyperlink" TargetMode="External" Target="https://spark-interfax.ru/system/home/card#/company/E830BFECFC8E4C86B61F3A7A8D3EDCCB/101"/><Relationship Id="rId3422" Type="http://schemas.openxmlformats.org/officeDocument/2006/relationships/hyperlink" TargetMode="External" Target="https://spark-interfax.ru/system/home/card#/company/38E58F0E68B04951A51B1EE06725FAA0/101"/><Relationship Id="rId3423" Type="http://schemas.openxmlformats.org/officeDocument/2006/relationships/hyperlink" TargetMode="External" Target="https://spark-interfax.ru/system/home/card#/company/C38254536CC74D3BAEEC0D1CCD058BBE/101"/><Relationship Id="rId3424" Type="http://schemas.openxmlformats.org/officeDocument/2006/relationships/hyperlink" TargetMode="External" Target="https://spark-interfax.ru/system/home/card#/company/2994B89B2A9946C09D98079ACD20DA4D/101"/><Relationship Id="rId3425" Type="http://schemas.openxmlformats.org/officeDocument/2006/relationships/hyperlink" TargetMode="External" Target="https://spark-interfax.ru/system/home/card#/company/0FC69C2C1286405AA7701D2ECE7AA760/101"/><Relationship Id="rId3426" Type="http://schemas.openxmlformats.org/officeDocument/2006/relationships/hyperlink" TargetMode="External" Target="https://spark-interfax.ru/system/home/card#/company/FFBED2BE8FE04CDF984E42BCB3C29B46/101"/><Relationship Id="rId3427" Type="http://schemas.openxmlformats.org/officeDocument/2006/relationships/hyperlink" TargetMode="External" Target="https://spark-interfax.ru/system/home/card#/company/169E6BA7F4FF4722B45F826372AC0185/101"/><Relationship Id="rId3428" Type="http://schemas.openxmlformats.org/officeDocument/2006/relationships/hyperlink" TargetMode="External" Target="https://spark-interfax.ru/system/home/card#/company/2F591C427A7744329C68B9FF853F64B2/101"/><Relationship Id="rId3429" Type="http://schemas.openxmlformats.org/officeDocument/2006/relationships/hyperlink" TargetMode="External" Target="https://spark-interfax.ru/system/home/card#/company/CF954CD8F3F24D229F6033E6F9ACD487/101"/><Relationship Id="rId3430" Type="http://schemas.openxmlformats.org/officeDocument/2006/relationships/hyperlink" TargetMode="External" Target="https://spark-interfax.ru/system/home/card#/company/DDF70DC4F90B49E6A80DBE3B327FD7C5/101"/><Relationship Id="rId3431" Type="http://schemas.openxmlformats.org/officeDocument/2006/relationships/hyperlink" TargetMode="External" Target="https://spark-interfax.ru/system/home/card#/company/FAE9DDE1FE2C4B6FBD5A48FC1D871DAF/101"/><Relationship Id="rId3432" Type="http://schemas.openxmlformats.org/officeDocument/2006/relationships/hyperlink" TargetMode="External" Target="https://spark-interfax.ru/system/home/card#/company/215F4596B1244B21952F93F42DFE3399/101"/><Relationship Id="rId3433" Type="http://schemas.openxmlformats.org/officeDocument/2006/relationships/hyperlink" TargetMode="External" Target="https://spark-interfax.ru/system/home/card#/company/BB5C65FD24DF4F468E53D596F84F9F89/101"/><Relationship Id="rId3434" Type="http://schemas.openxmlformats.org/officeDocument/2006/relationships/hyperlink" TargetMode="External" Target="https://spark-interfax.ru/system/home/card#/company/C10C22E0A6FB4FDAB63C8848582459A1/101"/><Relationship Id="rId3435" Type="http://schemas.openxmlformats.org/officeDocument/2006/relationships/hyperlink" TargetMode="External" Target="https://spark-interfax.ru/system/home/card#/company/A82484C2479F49919AD1872F531E0288/101"/><Relationship Id="rId3436" Type="http://schemas.openxmlformats.org/officeDocument/2006/relationships/hyperlink" TargetMode="External" Target="https://spark-interfax.ru/system/home/card#/company/C39955D69C9B4EE1B7EA9018FCE1440D/101"/><Relationship Id="rId3437" Type="http://schemas.openxmlformats.org/officeDocument/2006/relationships/hyperlink" TargetMode="External" Target="https://spark-interfax.ru/system/home/card#/company/D6AA30364E2F4615A2DA5180890757AF/101"/><Relationship Id="rId3438" Type="http://schemas.openxmlformats.org/officeDocument/2006/relationships/hyperlink" TargetMode="External" Target="https://spark-interfax.ru/system/home/card#/company/595F45DEBFD84177839F46D2DE0787D4/101"/><Relationship Id="rId3439" Type="http://schemas.openxmlformats.org/officeDocument/2006/relationships/hyperlink" TargetMode="External" Target="https://spark-interfax.ru/system/home/card#/company/753CE5A230A14716B802FE17C22118F0/101"/><Relationship Id="rId3440" Type="http://schemas.openxmlformats.org/officeDocument/2006/relationships/hyperlink" TargetMode="External" Target="https://spark-interfax.ru/system/home/card#/company/F57BC5F1DEA246F8815B90B762D8C374/101"/><Relationship Id="rId3441" Type="http://schemas.openxmlformats.org/officeDocument/2006/relationships/hyperlink" TargetMode="External" Target="https://spark-interfax.ru/system/home/card#/company/8BBD4F2612DF4DE1A03570B059587E50/101"/><Relationship Id="rId3442" Type="http://schemas.openxmlformats.org/officeDocument/2006/relationships/hyperlink" TargetMode="External" Target="https://spark-interfax.ru/system/home/card#/company/D65C47CAEBAD407397116E255CD48A38/101"/><Relationship Id="rId3443" Type="http://schemas.openxmlformats.org/officeDocument/2006/relationships/hyperlink" TargetMode="External" Target="https://spark-interfax.ru/system/home/card#/company/A58F4D5E53DC40B3ACD2159F309169D1/101"/><Relationship Id="rId3444" Type="http://schemas.openxmlformats.org/officeDocument/2006/relationships/hyperlink" TargetMode="External" Target="https://spark-interfax.ru/system/home/card#/company/091CD9DA0E1A4A95B93F8EC77BE7A5F3/101"/><Relationship Id="rId3445" Type="http://schemas.openxmlformats.org/officeDocument/2006/relationships/hyperlink" TargetMode="External" Target="https://spark-interfax.ru/system/home/card#/company/9366EE5D79314A488B110659DA3D024F/101"/><Relationship Id="rId3446" Type="http://schemas.openxmlformats.org/officeDocument/2006/relationships/hyperlink" TargetMode="External" Target="https://spark-interfax.ru/system/home/card#/company/447B6E29A29846A1A5A3AEECCE08C2B1/101"/><Relationship Id="rId3447" Type="http://schemas.openxmlformats.org/officeDocument/2006/relationships/hyperlink" TargetMode="External" Target="https://spark-interfax.ru/system/home/card#/company/746171FC31FA4ACFBAD31D80855DA6ED/101"/><Relationship Id="rId3448" Type="http://schemas.openxmlformats.org/officeDocument/2006/relationships/hyperlink" TargetMode="External" Target="https://spark-interfax.ru/system/home/card#/company/4753CD3ECA4E4F2DABA21D70A6562396/101"/><Relationship Id="rId3449" Type="http://schemas.openxmlformats.org/officeDocument/2006/relationships/hyperlink" TargetMode="External" Target="https://spark-interfax.ru/system/home/card#/company/1414C59B799946E3B89C00FAA2DE0CE1/101"/><Relationship Id="rId3450" Type="http://schemas.openxmlformats.org/officeDocument/2006/relationships/hyperlink" TargetMode="External" Target="https://spark-interfax.ru/system/home/card#/company/8D4FD14088454236AAE56BEFC8A69D65/101"/><Relationship Id="rId3451" Type="http://schemas.openxmlformats.org/officeDocument/2006/relationships/hyperlink" TargetMode="External" Target="https://spark-interfax.ru/system/home/card#/company/DEA4189584E8482FA87BB72B0C8AB198/101"/><Relationship Id="rId3452" Type="http://schemas.openxmlformats.org/officeDocument/2006/relationships/hyperlink" TargetMode="External" Target="https://spark-interfax.ru/system/home/card#/company/997CEC44CD1140DEAC460F662EF446BF/101"/><Relationship Id="rId3453" Type="http://schemas.openxmlformats.org/officeDocument/2006/relationships/hyperlink" TargetMode="External" Target="https://spark-interfax.ru/system/home/card#/company/B6668412524C48B4AF6B0D24D813E5B4/101"/><Relationship Id="rId3454" Type="http://schemas.openxmlformats.org/officeDocument/2006/relationships/hyperlink" TargetMode="External" Target="https://spark-interfax.ru/system/home/card#/company/2640E02A97924D93AD3B524F3C61842E/101"/><Relationship Id="rId3455" Type="http://schemas.openxmlformats.org/officeDocument/2006/relationships/hyperlink" TargetMode="External" Target="https://spark-interfax.ru/system/home/card#/company/C8A82E6F21BD4456B8924EBB7C4C5D57/101"/><Relationship Id="rId3456" Type="http://schemas.openxmlformats.org/officeDocument/2006/relationships/hyperlink" TargetMode="External" Target="https://spark-interfax.ru/system/home/card#/company/5B9F96FEC19F4F44A21CB34E3CC41F57/101"/><Relationship Id="rId3457" Type="http://schemas.openxmlformats.org/officeDocument/2006/relationships/hyperlink" TargetMode="External" Target="https://spark-interfax.ru/system/home/card#/company/BFA2DFD293E545CAA2DDEB5AF5AA2E38/101"/><Relationship Id="rId3458" Type="http://schemas.openxmlformats.org/officeDocument/2006/relationships/hyperlink" TargetMode="External" Target="https://spark-interfax.ru/system/home/card#/company/B61E280600A044DA86660D62D3529ADF/101"/><Relationship Id="rId3459" Type="http://schemas.openxmlformats.org/officeDocument/2006/relationships/hyperlink" TargetMode="External" Target="https://spark-interfax.ru/system/home/card#/company/15151EFA37C34D93B46DEAF3CBFF2DC6/101"/><Relationship Id="rId3460" Type="http://schemas.openxmlformats.org/officeDocument/2006/relationships/hyperlink" TargetMode="External" Target="https://spark-interfax.ru/system/home/card#/company/D26658B7744A414BA7E28EAA3BEB9BCE/101"/><Relationship Id="rId3461" Type="http://schemas.openxmlformats.org/officeDocument/2006/relationships/hyperlink" TargetMode="External" Target="https://spark-interfax.ru/system/home/card#/company/7E54742559A04C35B7A8DFC6C905D906/101"/><Relationship Id="rId3462" Type="http://schemas.openxmlformats.org/officeDocument/2006/relationships/hyperlink" TargetMode="External" Target="https://spark-interfax.ru/system/home/card#/company/DA32ED55C4AA4E4689FBE844EE31E824/101"/><Relationship Id="rId3463" Type="http://schemas.openxmlformats.org/officeDocument/2006/relationships/hyperlink" TargetMode="External" Target="https://spark-interfax.ru/system/home/card#/company/1E22125CBC0D4503811594D9C315F0DE/101"/><Relationship Id="rId3464" Type="http://schemas.openxmlformats.org/officeDocument/2006/relationships/hyperlink" TargetMode="External" Target="https://spark-interfax.ru/system/home/card#/company/60CCC0D562D947D3B12590C59CA52DEE/101"/><Relationship Id="rId3465" Type="http://schemas.openxmlformats.org/officeDocument/2006/relationships/hyperlink" TargetMode="External" Target="https://spark-interfax.ru/system/home/card#/company/CE40E76CBBA94CA9ACC73C56CA37DE95/101"/><Relationship Id="rId3466" Type="http://schemas.openxmlformats.org/officeDocument/2006/relationships/hyperlink" TargetMode="External" Target="https://spark-interfax.ru/system/home/card#/company/CDFD86F47B114E94B7837B2621EAC4EB/101"/><Relationship Id="rId3467" Type="http://schemas.openxmlformats.org/officeDocument/2006/relationships/hyperlink" TargetMode="External" Target="https://spark-interfax.ru/system/home/card#/company/70283E89101E43DEAA9152F889AAC733/101"/><Relationship Id="rId3468" Type="http://schemas.openxmlformats.org/officeDocument/2006/relationships/hyperlink" TargetMode="External" Target="https://spark-interfax.ru/system/home/card#/company/CEE64BCC3D554DE1A080047701CBAF36/101"/><Relationship Id="rId3469" Type="http://schemas.openxmlformats.org/officeDocument/2006/relationships/hyperlink" TargetMode="External" Target="https://spark-interfax.ru/system/home/card#/company/9FF5AB16BEF345B98D26538CA1810DAA/101"/><Relationship Id="rId3470" Type="http://schemas.openxmlformats.org/officeDocument/2006/relationships/hyperlink" TargetMode="External" Target="https://spark-interfax.ru/system/home/card#/company/C497C700CF774975883B56AE64BA092F/101"/><Relationship Id="rId3471" Type="http://schemas.openxmlformats.org/officeDocument/2006/relationships/hyperlink" TargetMode="External" Target="https://spark-interfax.ru/system/home/card#/company/94AE17B62F7E4B2BBCB28671ED09D1F3/101"/><Relationship Id="rId3472" Type="http://schemas.openxmlformats.org/officeDocument/2006/relationships/hyperlink" TargetMode="External" Target="https://spark-interfax.ru/system/home/card#/company/2C63916FF55248E4B777475CACDE84A6/101"/><Relationship Id="rId3473" Type="http://schemas.openxmlformats.org/officeDocument/2006/relationships/hyperlink" TargetMode="External" Target="https://spark-interfax.ru/system/home/card#/company/43B9BB14F5AA49E5A8B41D04724604CA/101"/><Relationship Id="rId3474" Type="http://schemas.openxmlformats.org/officeDocument/2006/relationships/hyperlink" TargetMode="External" Target="https://spark-interfax.ru/system/home/card#/company/1B14E0918DC7495AB34858CFF46A95B9/101"/><Relationship Id="rId3475" Type="http://schemas.openxmlformats.org/officeDocument/2006/relationships/hyperlink" TargetMode="External" Target="https://spark-interfax.ru/system/home/card#/company/6EA32893EB894FFC9D5DBE7C37E631DE/101"/><Relationship Id="rId3476" Type="http://schemas.openxmlformats.org/officeDocument/2006/relationships/hyperlink" TargetMode="External" Target="https://spark-interfax.ru/system/home/card#/company/71A6AD263A66437E903E01C8C4EA5FE5/101"/><Relationship Id="rId3477" Type="http://schemas.openxmlformats.org/officeDocument/2006/relationships/hyperlink" TargetMode="External" Target="https://spark-interfax.ru/system/home/card#/company/609C3B3258484CEEA000B4E1AD4F1F8E/101"/><Relationship Id="rId3478" Type="http://schemas.openxmlformats.org/officeDocument/2006/relationships/hyperlink" TargetMode="External" Target="https://spark-interfax.ru/system/home/card#/company/9453853C116348A38AD1FADA10C17C79/101"/><Relationship Id="rId3479" Type="http://schemas.openxmlformats.org/officeDocument/2006/relationships/hyperlink" TargetMode="External" Target="https://spark-interfax.ru/system/home/card#/company/42ECDCF6B64B41C7A8A822F95D94A9C0/101"/><Relationship Id="rId3480" Type="http://schemas.openxmlformats.org/officeDocument/2006/relationships/hyperlink" TargetMode="External" Target="https://spark-interfax.ru/system/home/card#/company/72FDD31C9E56469F86A025578869D7BA/101"/><Relationship Id="rId3481" Type="http://schemas.openxmlformats.org/officeDocument/2006/relationships/hyperlink" TargetMode="External" Target="https://spark-interfax.ru/system/home/card#/company/8821F1BD31CB408892C3EC42C3141FE5/101"/><Relationship Id="rId3482" Type="http://schemas.openxmlformats.org/officeDocument/2006/relationships/hyperlink" TargetMode="External" Target="https://spark-interfax.ru/system/home/card#/company/8DEE52A5C723433189E47704572EF40D/101"/><Relationship Id="rId3483" Type="http://schemas.openxmlformats.org/officeDocument/2006/relationships/hyperlink" TargetMode="External" Target="https://spark-interfax.ru/system/home/card#/company/D7BA3E9CE50E46C482A9DB1037B43D17/101"/><Relationship Id="rId3484" Type="http://schemas.openxmlformats.org/officeDocument/2006/relationships/hyperlink" TargetMode="External" Target="https://spark-interfax.ru/system/home/card#/company/5B4914A6C04A4DA1A99F574CA482B57B/101"/><Relationship Id="rId3485" Type="http://schemas.openxmlformats.org/officeDocument/2006/relationships/hyperlink" TargetMode="External" Target="https://spark-interfax.ru/system/home/card#/company/094D906F40E44DD4B6CD6573B351EE9F/101"/><Relationship Id="rId3486" Type="http://schemas.openxmlformats.org/officeDocument/2006/relationships/hyperlink" TargetMode="External" Target="https://spark-interfax.ru/system/home/card#/company/4CFC27ACA90345948076C28E13AC4773/101"/><Relationship Id="rId3487" Type="http://schemas.openxmlformats.org/officeDocument/2006/relationships/hyperlink" TargetMode="External" Target="https://spark-interfax.ru/system/home/card#/company/A4C88EDF9F6B471A831709353E5F4664/101"/><Relationship Id="rId3488" Type="http://schemas.openxmlformats.org/officeDocument/2006/relationships/hyperlink" TargetMode="External" Target="https://spark-interfax.ru/system/home/card#/company/C522CD46A657404E845474428D61D5D4/101"/><Relationship Id="rId3489" Type="http://schemas.openxmlformats.org/officeDocument/2006/relationships/hyperlink" TargetMode="External" Target="https://spark-interfax.ru/system/home/card#/company/5250654D90AD4510844527BBDBB99073/101"/><Relationship Id="rId3490" Type="http://schemas.openxmlformats.org/officeDocument/2006/relationships/hyperlink" TargetMode="External" Target="https://spark-interfax.ru/system/home/card#/company/E0E4CE78C479491A871C67EEDCF40B8D/101"/><Relationship Id="rId3491" Type="http://schemas.openxmlformats.org/officeDocument/2006/relationships/hyperlink" TargetMode="External" Target="https://spark-interfax.ru/system/home/card#/company/44F14F48ABD6462DAFF581BD796A03BD/101"/><Relationship Id="rId3492" Type="http://schemas.openxmlformats.org/officeDocument/2006/relationships/hyperlink" TargetMode="External" Target="https://spark-interfax.ru/system/home/card#/company/84D2C3BCE2774067ABFBC7A86762FA81/101"/><Relationship Id="rId3493" Type="http://schemas.openxmlformats.org/officeDocument/2006/relationships/hyperlink" TargetMode="External" Target="https://spark-interfax.ru/system/home/card#/company/3B9657F01C904E688B6979687B9D07C2/101"/><Relationship Id="rId3494" Type="http://schemas.openxmlformats.org/officeDocument/2006/relationships/hyperlink" TargetMode="External" Target="https://spark-interfax.ru/system/home/card#/company/C1CCB4E568E743A59A4A62ABDECF685D/101"/><Relationship Id="rId3495" Type="http://schemas.openxmlformats.org/officeDocument/2006/relationships/hyperlink" TargetMode="External" Target="https://spark-interfax.ru/system/home/card#/company/3012012D534E4187B507D3E2F097B236/101"/><Relationship Id="rId3496" Type="http://schemas.openxmlformats.org/officeDocument/2006/relationships/hyperlink" TargetMode="External" Target="https://spark-interfax.ru/system/home/card#/company/4C3A2AD46A1445DE937904BE67E5AED8/101"/><Relationship Id="rId3497" Type="http://schemas.openxmlformats.org/officeDocument/2006/relationships/hyperlink" TargetMode="External" Target="https://spark-interfax.ru/system/home/card#/company/5A59338E65DC5F62E0531C9AA8C01A56/101"/><Relationship Id="rId3498" Type="http://schemas.openxmlformats.org/officeDocument/2006/relationships/hyperlink" TargetMode="External" Target="https://spark-interfax.ru/system/home/card#/company/45F000BD3A0A41B48E0486BB735B3A55/101"/><Relationship Id="rId3499" Type="http://schemas.openxmlformats.org/officeDocument/2006/relationships/hyperlink" TargetMode="External" Target="https://spark-interfax.ru/system/home/card#/company/6108BA86AE380238E0531B9AA8C037E9/101"/><Relationship Id="rId3500" Type="http://schemas.openxmlformats.org/officeDocument/2006/relationships/hyperlink" TargetMode="External" Target="https://spark-interfax.ru/system/home/card#/company/05687DBE3AB84A0BB11AFAB3095F70F6/101"/><Relationship Id="rId3501" Type="http://schemas.openxmlformats.org/officeDocument/2006/relationships/hyperlink" TargetMode="External" Target="https://spark-interfax.ru/system/home/card#/company/2D9FAF9B3CA94157A9B5FB1384291B63/101"/><Relationship Id="rId3502" Type="http://schemas.openxmlformats.org/officeDocument/2006/relationships/hyperlink" TargetMode="External" Target="https://spark-interfax.ru/system/home/card#/company/BFA47564421B4E56ABDDEE6F440862DE/101"/><Relationship Id="rId3503" Type="http://schemas.openxmlformats.org/officeDocument/2006/relationships/hyperlink" TargetMode="External" Target="https://spark-interfax.ru/system/home/card#/company/3F7EEF1817914E5AA74ECB39A53AA297/101"/><Relationship Id="rId3504" Type="http://schemas.openxmlformats.org/officeDocument/2006/relationships/hyperlink" TargetMode="External" Target="https://spark-interfax.ru/system/home/card#/company/2EB20A3AE84D4008B4084B85260BA2EA/101"/><Relationship Id="rId3505" Type="http://schemas.openxmlformats.org/officeDocument/2006/relationships/hyperlink" TargetMode="External" Target="https://spark-interfax.ru/system/home/card#/company/ECB639223F0A483EA79235EF1108B759/101"/><Relationship Id="rId3506" Type="http://schemas.openxmlformats.org/officeDocument/2006/relationships/hyperlink" TargetMode="External" Target="https://spark-interfax.ru/system/home/card#/company/94A82944D67F48448FD038C1A7033B9A/101"/><Relationship Id="rId3507" Type="http://schemas.openxmlformats.org/officeDocument/2006/relationships/hyperlink" TargetMode="External" Target="https://spark-interfax.ru/system/home/card#/company/16835BA54CF24F7AA70A4C5CB3E8863B/101"/><Relationship Id="rId3508" Type="http://schemas.openxmlformats.org/officeDocument/2006/relationships/hyperlink" TargetMode="External" Target="https://spark-interfax.ru/system/home/card#/company/5012CAE73A7649E09705FA3FF9516108/101"/><Relationship Id="rId3509" Type="http://schemas.openxmlformats.org/officeDocument/2006/relationships/hyperlink" TargetMode="External" Target="https://spark-interfax.ru/system/home/card#/company/ADE98D77D918442F92F31A438CC6DEFE/101"/><Relationship Id="rId3510" Type="http://schemas.openxmlformats.org/officeDocument/2006/relationships/hyperlink" TargetMode="External" Target="https://spark-interfax.ru/system/home/card#/company/C5138CFD85CE4BFCAE521767151579DC/101"/><Relationship Id="rId3511" Type="http://schemas.openxmlformats.org/officeDocument/2006/relationships/hyperlink" TargetMode="External" Target="https://spark-interfax.ru/system/home/card#/company/C19B77B86BA347AE91355D1FBB5EA8E9/101"/><Relationship Id="rId3512" Type="http://schemas.openxmlformats.org/officeDocument/2006/relationships/hyperlink" TargetMode="External" Target="https://spark-interfax.ru/system/home/card#/company/3262E4D8DC09471FAEA6139D21C7AEB9/101"/><Relationship Id="rId3513" Type="http://schemas.openxmlformats.org/officeDocument/2006/relationships/hyperlink" TargetMode="External" Target="https://spark-interfax.ru/system/home/card#/company/D3CE316580C2479E91CAEE041F974384/101"/><Relationship Id="rId3514" Type="http://schemas.openxmlformats.org/officeDocument/2006/relationships/hyperlink" TargetMode="External" Target="https://spark-interfax.ru/system/home/card#/company/AE798A8A3B2F4BF0A871B05D18DC28A1/101"/><Relationship Id="rId3515" Type="http://schemas.openxmlformats.org/officeDocument/2006/relationships/hyperlink" TargetMode="External" Target="https://spark-interfax.ru/system/home/card#/company/AE16AB8E2D064702A77FF26D980FF427/101"/><Relationship Id="rId3516" Type="http://schemas.openxmlformats.org/officeDocument/2006/relationships/hyperlink" TargetMode="External" Target="https://spark-interfax.ru/system/home/card#/company/8A836A45B43246B59F7623845E740A2A/101"/><Relationship Id="rId3517" Type="http://schemas.openxmlformats.org/officeDocument/2006/relationships/hyperlink" TargetMode="External" Target="https://spark-interfax.ru/system/home/card#/company/0DDFCAD173BE453F893448918FCD386A/101"/><Relationship Id="rId3518" Type="http://schemas.openxmlformats.org/officeDocument/2006/relationships/hyperlink" TargetMode="External" Target="https://spark-interfax.ru/system/home/card#/company/F4367C4C9CD040D39B55774EE521FCED/101"/><Relationship Id="rId3519" Type="http://schemas.openxmlformats.org/officeDocument/2006/relationships/hyperlink" TargetMode="External" Target="https://spark-interfax.ru/system/home/card#/company/0BD342F62BBD46109EB1F5F43911A0F0/101"/><Relationship Id="rId3520" Type="http://schemas.openxmlformats.org/officeDocument/2006/relationships/hyperlink" TargetMode="External" Target="https://spark-interfax.ru/system/home/card#/company/8502DC75C49A47CCB7F17AC99592D219/101"/><Relationship Id="rId3521" Type="http://schemas.openxmlformats.org/officeDocument/2006/relationships/hyperlink" TargetMode="External" Target="https://spark-interfax.ru/system/home/card#/company/FF1E162EA94A4347B8F41754E04040B8/101"/><Relationship Id="rId3522" Type="http://schemas.openxmlformats.org/officeDocument/2006/relationships/hyperlink" TargetMode="External" Target="https://spark-interfax.ru/system/home/card#/company/ACF65E18B7F344B483BE9B143C4AB0FD/101"/><Relationship Id="rId3523" Type="http://schemas.openxmlformats.org/officeDocument/2006/relationships/hyperlink" TargetMode="External" Target="https://spark-interfax.ru/system/home/card#/company/7264CEF84CA1436F8E8810A3552ADE53/101"/><Relationship Id="rId3524" Type="http://schemas.openxmlformats.org/officeDocument/2006/relationships/hyperlink" TargetMode="External" Target="https://spark-interfax.ru/system/home/card#/company/DEBC7527787946929A0578A245596A5D/101"/><Relationship Id="rId3525" Type="http://schemas.openxmlformats.org/officeDocument/2006/relationships/hyperlink" TargetMode="External" Target="https://spark-interfax.ru/system/home/card#/company/7998286E384F4C3686FFDB2D04395F78/101"/><Relationship Id="rId3526" Type="http://schemas.openxmlformats.org/officeDocument/2006/relationships/hyperlink" TargetMode="External" Target="https://spark-interfax.ru/system/home/card#/company/628AED16270016C4E0531B9AA8C011DD/101"/><Relationship Id="rId3527" Type="http://schemas.openxmlformats.org/officeDocument/2006/relationships/hyperlink" TargetMode="External" Target="https://spark-interfax.ru/system/home/card#/company/53E04831926C47DF92B22738B68B22E3/101"/><Relationship Id="rId3528" Type="http://schemas.openxmlformats.org/officeDocument/2006/relationships/hyperlink" TargetMode="External" Target="https://spark-interfax.ru/system/home/card#/company/A2E1F545C33035FEE053189AA8C0AFF0/101"/><Relationship Id="rId3529" Type="http://schemas.openxmlformats.org/officeDocument/2006/relationships/hyperlink" TargetMode="External" Target="https://spark-interfax.ru/system/home/card#/company/C1B7EF7B11454CE8B0449E0485EBDFE2/101"/><Relationship Id="rId3530" Type="http://schemas.openxmlformats.org/officeDocument/2006/relationships/hyperlink" TargetMode="External" Target="https://spark-interfax.ru/system/home/card#/company/B781D14D5CA943588E5EF0092FE18C8E/101"/><Relationship Id="rId3531" Type="http://schemas.openxmlformats.org/officeDocument/2006/relationships/hyperlink" TargetMode="External" Target="https://spark-interfax.ru/system/home/card#/company/71B107F8F66705A4E0531B9AA8C05BE6/101"/><Relationship Id="rId3532" Type="http://schemas.openxmlformats.org/officeDocument/2006/relationships/hyperlink" TargetMode="External" Target="https://spark-interfax.ru/system/home/card#/company/CDEF7C15CBF548E0AD74B3AA611717DE/101"/><Relationship Id="rId3533" Type="http://schemas.openxmlformats.org/officeDocument/2006/relationships/hyperlink" TargetMode="External" Target="https://spark-interfax.ru/system/home/card#/company/A03B61239F3A44699F6B959C697A4D9E/101"/><Relationship Id="rId3534" Type="http://schemas.openxmlformats.org/officeDocument/2006/relationships/hyperlink" TargetMode="External" Target="https://spark-interfax.ru/system/home/card#/company/753FDD417D5841C6841DFCD3A1328021/101"/><Relationship Id="rId3535" Type="http://schemas.openxmlformats.org/officeDocument/2006/relationships/hyperlink" TargetMode="External" Target="https://spark-interfax.ru/system/home/card#/company/DC549B73C5CE4DDAB7C769602D131984/101"/><Relationship Id="rId3536" Type="http://schemas.openxmlformats.org/officeDocument/2006/relationships/hyperlink" TargetMode="External" Target="https://spark-interfax.ru/system/home/card#/company/D0CDEF11FBF54B8CA0068DEA50A3AC9C/101"/><Relationship Id="rId3537" Type="http://schemas.openxmlformats.org/officeDocument/2006/relationships/hyperlink" TargetMode="External" Target="https://spark-interfax.ru/system/home/card#/company/03F199662F2F40B8ABFCB3CA4D793482/101"/><Relationship Id="rId3538" Type="http://schemas.openxmlformats.org/officeDocument/2006/relationships/hyperlink" TargetMode="External" Target="https://spark-interfax.ru/system/home/card#/company/9109A2FD5F9740ABA94907311316965B/101"/><Relationship Id="rId3539" Type="http://schemas.openxmlformats.org/officeDocument/2006/relationships/hyperlink" TargetMode="External" Target="https://spark-interfax.ru/system/home/card#/company/71FCDBED6A75475D8BF46759481F0015/101"/><Relationship Id="rId3540" Type="http://schemas.openxmlformats.org/officeDocument/2006/relationships/hyperlink" TargetMode="External" Target="https://spark-interfax.ru/system/home/card#/company/16EE38CDB7B9406BA45DDE7236272E0E/101"/><Relationship Id="rId3541" Type="http://schemas.openxmlformats.org/officeDocument/2006/relationships/hyperlink" TargetMode="External" Target="https://spark-interfax.ru/system/home/card#/company/F51012B76FCE453597CD80F253DC55EE/101"/><Relationship Id="rId3542" Type="http://schemas.openxmlformats.org/officeDocument/2006/relationships/hyperlink" TargetMode="External" Target="https://spark-interfax.ru/system/home/card#/company/5E173157C70F4F469EF8224E664C9F0B/101"/><Relationship Id="rId3543" Type="http://schemas.openxmlformats.org/officeDocument/2006/relationships/hyperlink" TargetMode="External" Target="https://spark-interfax.ru/system/home/card#/company/682D92522A48056EE0531B9AA8C086AF/101"/><Relationship Id="rId3544" Type="http://schemas.openxmlformats.org/officeDocument/2006/relationships/hyperlink" TargetMode="External" Target="https://spark-interfax.ru/system/home/card#/company/F10CDF7F1FA447F2BC95282B672E0346/101"/><Relationship Id="rId3545" Type="http://schemas.openxmlformats.org/officeDocument/2006/relationships/hyperlink" TargetMode="External" Target="https://spark-interfax.ru/system/home/card#/company/E406A58DDD934091AE3D9E6ECC70117E/101"/><Relationship Id="rId3546" Type="http://schemas.openxmlformats.org/officeDocument/2006/relationships/hyperlink" TargetMode="External" Target="https://spark-interfax.ru/system/home/card#/company/35FBFCAF67C84987AD3A3F19A12918E2/101"/><Relationship Id="rId3547" Type="http://schemas.openxmlformats.org/officeDocument/2006/relationships/hyperlink" TargetMode="External" Target="https://spark-interfax.ru/system/home/card#/company/42421AD2AD474439A61FA8206361C9DD/101"/><Relationship Id="rId3548" Type="http://schemas.openxmlformats.org/officeDocument/2006/relationships/hyperlink" TargetMode="External" Target="https://spark-interfax.ru/system/home/card#/company/942B82061C374511A0BA438F63EC7E53/101"/><Relationship Id="rId3549" Type="http://schemas.openxmlformats.org/officeDocument/2006/relationships/hyperlink" TargetMode="External" Target="https://spark-interfax.ru/system/home/card#/company/8026875837DD4627980EE0654B1AFB27/101"/><Relationship Id="rId3550" Type="http://schemas.openxmlformats.org/officeDocument/2006/relationships/hyperlink" TargetMode="External" Target="https://spark-interfax.ru/system/home/card#/company/7D22AD83C8EE43C7B06FC005A740D58F/101"/><Relationship Id="rId3551" Type="http://schemas.openxmlformats.org/officeDocument/2006/relationships/hyperlink" TargetMode="External" Target="https://spark-interfax.ru/system/home/card#/company/1193837F03DE46F4A6071C9B03CFE4F3/101"/><Relationship Id="rId3552" Type="http://schemas.openxmlformats.org/officeDocument/2006/relationships/hyperlink" TargetMode="External" Target="https://spark-interfax.ru/system/home/card#/company/573EDED3B76D4141AAAC9BCA97D1ABC0/101"/><Relationship Id="rId3553" Type="http://schemas.openxmlformats.org/officeDocument/2006/relationships/hyperlink" TargetMode="External" Target="https://spark-interfax.ru/system/home/card#/company/F982CA891AF54C7CA1EFD343057F3F02/101"/><Relationship Id="rId3554" Type="http://schemas.openxmlformats.org/officeDocument/2006/relationships/hyperlink" TargetMode="External" Target="https://spark-interfax.ru/system/home/card#/company/B5A87C8B0E671EE2E053219AA8C0B9C3/101"/><Relationship Id="rId3555" Type="http://schemas.openxmlformats.org/officeDocument/2006/relationships/hyperlink" TargetMode="External" Target="https://spark-interfax.ru/system/home/card#/company/DFDE3C007A9C4E6FBD8EB23F9488D25E/101"/><Relationship Id="rId3556" Type="http://schemas.openxmlformats.org/officeDocument/2006/relationships/hyperlink" TargetMode="External" Target="https://spark-interfax.ru/system/home/card#/company/2327E615DE81405CB001BB43C7B94626/101"/><Relationship Id="rId3557" Type="http://schemas.openxmlformats.org/officeDocument/2006/relationships/hyperlink" TargetMode="External" Target="https://spark-interfax.ru/system/home/card#/company/70CE2F51D85B454496B104D641B11EC0/101"/><Relationship Id="rId3558" Type="http://schemas.openxmlformats.org/officeDocument/2006/relationships/hyperlink" TargetMode="External" Target="https://spark-interfax.ru/system/home/card#/company/43F5FA79AA1344629878EC713DD3BD4F/101"/><Relationship Id="rId3559" Type="http://schemas.openxmlformats.org/officeDocument/2006/relationships/hyperlink" TargetMode="External" Target="https://spark-interfax.ru/system/home/card#/company/5CFFD65C87A64810BDF5A222D8C68ACC/101"/><Relationship Id="rId3560" Type="http://schemas.openxmlformats.org/officeDocument/2006/relationships/hyperlink" TargetMode="External" Target="https://spark-interfax.ru/system/home/card#/company/745E3D4856F1476B8246F641B15031BA/101"/><Relationship Id="rId3561" Type="http://schemas.openxmlformats.org/officeDocument/2006/relationships/hyperlink" TargetMode="External" Target="https://spark-interfax.ru/system/home/card#/company/94A92FD0EFFF482FB3E50F409FD0015B/101"/><Relationship Id="rId3562" Type="http://schemas.openxmlformats.org/officeDocument/2006/relationships/hyperlink" TargetMode="External" Target="https://spark-interfax.ru/system/home/card#/company/F839157C989D45A8BC284D769676CA17/101"/><Relationship Id="rId3563" Type="http://schemas.openxmlformats.org/officeDocument/2006/relationships/hyperlink" TargetMode="External" Target="https://spark-interfax.ru/system/home/card#/company/1BB553B2CD764BCBA5292509B933D78C/101"/><Relationship Id="rId3564" Type="http://schemas.openxmlformats.org/officeDocument/2006/relationships/hyperlink" TargetMode="External" Target="https://spark-interfax.ru/system/home/card#/company/AA1A96A4BA2544D88F79FB4487CA4271/101"/><Relationship Id="rId3565" Type="http://schemas.openxmlformats.org/officeDocument/2006/relationships/hyperlink" TargetMode="External" Target="https://spark-interfax.ru/system/home/card#/company/37616632ACB045DCB31EAD7BAFC89B2B/101"/><Relationship Id="rId3566" Type="http://schemas.openxmlformats.org/officeDocument/2006/relationships/hyperlink" TargetMode="External" Target="https://spark-interfax.ru/system/home/card#/company/DA71B28B057F4E1591E14E166738E7F7/101"/><Relationship Id="rId3567" Type="http://schemas.openxmlformats.org/officeDocument/2006/relationships/hyperlink" TargetMode="External" Target="https://spark-interfax.ru/system/home/card#/company/7C2080704F4F4EE3B4F9965BFDDBE442/101"/><Relationship Id="rId3568" Type="http://schemas.openxmlformats.org/officeDocument/2006/relationships/hyperlink" TargetMode="External" Target="https://spark-interfax.ru/system/home/card#/company/156A51345D434A4482D900EE52049C50/101"/><Relationship Id="rId3569" Type="http://schemas.openxmlformats.org/officeDocument/2006/relationships/hyperlink" TargetMode="External" Target="https://spark-interfax.ru/system/home/card#/company/4FF46FC2AAF447A4BFDDAB2AE3561668/101"/><Relationship Id="rId3570" Type="http://schemas.openxmlformats.org/officeDocument/2006/relationships/hyperlink" TargetMode="External" Target="https://spark-interfax.ru/system/home/card#/company/44D2FE362DF746B38DECC7B967B02938/101"/><Relationship Id="rId3571" Type="http://schemas.openxmlformats.org/officeDocument/2006/relationships/hyperlink" TargetMode="External" Target="https://spark-interfax.ru/system/home/card#/company/A0D80EDEBF0C4BE6BDB69730FB561166/101"/><Relationship Id="rId3572" Type="http://schemas.openxmlformats.org/officeDocument/2006/relationships/hyperlink" TargetMode="External" Target="https://spark-interfax.ru/system/home/card#/company/C74CDD18BBA84469A1B7636750307105/101"/><Relationship Id="rId3573" Type="http://schemas.openxmlformats.org/officeDocument/2006/relationships/hyperlink" TargetMode="External" Target="https://spark-interfax.ru/system/home/card#/company/C91385E1B3FE42888DAE13AFD4B4E454/101"/><Relationship Id="rId3574" Type="http://schemas.openxmlformats.org/officeDocument/2006/relationships/hyperlink" TargetMode="External" Target="https://spark-interfax.ru/system/home/card#/company/963E1798E1EC46E5AC7D80C062CA7E23/101"/><Relationship Id="rId3575" Type="http://schemas.openxmlformats.org/officeDocument/2006/relationships/hyperlink" TargetMode="External" Target="https://spark-interfax.ru/system/home/card#/company/6600DD3BD716475982DFDE8AAF17FC4A/101"/><Relationship Id="rId3576" Type="http://schemas.openxmlformats.org/officeDocument/2006/relationships/hyperlink" TargetMode="External" Target="https://spark-interfax.ru/system/home/card#/company/A6590868316849449168FC527027F72E/101"/><Relationship Id="rId3577" Type="http://schemas.openxmlformats.org/officeDocument/2006/relationships/hyperlink" TargetMode="External" Target="https://spark-interfax.ru/system/home/card#/company/9C1C698C5C1645DE86B7C5274B6E4D0C/101"/><Relationship Id="rId3578" Type="http://schemas.openxmlformats.org/officeDocument/2006/relationships/hyperlink" TargetMode="External" Target="https://spark-interfax.ru/system/home/card#/company/46449EC56FBF444C90951D929A0A47BD/101"/><Relationship Id="rId3579" Type="http://schemas.openxmlformats.org/officeDocument/2006/relationships/hyperlink" TargetMode="External" Target="https://spark-interfax.ru/system/home/card#/company/276AF18D70EC45CD80FE9679DBFC1D3C/101"/><Relationship Id="rId3580" Type="http://schemas.openxmlformats.org/officeDocument/2006/relationships/hyperlink" TargetMode="External" Target="https://spark-interfax.ru/system/home/card#/company/EA3C553939FC4344800D89F62FFC5E9B/101"/><Relationship Id="rId3581" Type="http://schemas.openxmlformats.org/officeDocument/2006/relationships/hyperlink" TargetMode="External" Target="https://spark-interfax.ru/system/home/card#/company/5C6D67AE2CA34D4DBF02C35179589E5D/101"/><Relationship Id="rId3582" Type="http://schemas.openxmlformats.org/officeDocument/2006/relationships/hyperlink" TargetMode="External" Target="https://spark-interfax.ru/system/home/card#/company/9E32C371645942F1A40A9FB51BD892CD/101"/><Relationship Id="rId3583" Type="http://schemas.openxmlformats.org/officeDocument/2006/relationships/hyperlink" TargetMode="External" Target="https://spark-interfax.ru/system/home/card#/company/13DEAD2FC10341149A1CB5E4821F8DE6/101"/><Relationship Id="rId3584" Type="http://schemas.openxmlformats.org/officeDocument/2006/relationships/hyperlink" TargetMode="External" Target="https://spark-interfax.ru/system/home/card#/company/EDC0BE73B86B4DC0B35BEFFFB88C05A8/101"/><Relationship Id="rId3585" Type="http://schemas.openxmlformats.org/officeDocument/2006/relationships/hyperlink" TargetMode="External" Target="https://spark-interfax.ru/system/home/card#/company/868EC68570874779A756F14F6DBFAF9C/101"/><Relationship Id="rId3586" Type="http://schemas.openxmlformats.org/officeDocument/2006/relationships/hyperlink" TargetMode="External" Target="https://spark-interfax.ru/system/home/card#/company/48EE415D4A624EFBAFF6B193D8465855/101"/><Relationship Id="rId3587" Type="http://schemas.openxmlformats.org/officeDocument/2006/relationships/hyperlink" TargetMode="External" Target="https://spark-interfax.ru/system/home/card#/company/DA984D9C5D8B4607883973DFFFEA552B/101"/><Relationship Id="rId3588" Type="http://schemas.openxmlformats.org/officeDocument/2006/relationships/hyperlink" TargetMode="External" Target="https://spark-interfax.ru/system/home/card#/company/E4B1EF6130D94B498A98C52C14AEDB9E/101"/><Relationship Id="rId3589" Type="http://schemas.openxmlformats.org/officeDocument/2006/relationships/hyperlink" TargetMode="External" Target="https://spark-interfax.ru/system/home/card#/company/990B5D35ABB14849A38AC4356DBF0261/101"/><Relationship Id="rId3590" Type="http://schemas.openxmlformats.org/officeDocument/2006/relationships/hyperlink" TargetMode="External" Target="https://spark-interfax.ru/system/home/card#/company/13355D87DB2F4EEC8012A97DA159E95B/101"/><Relationship Id="rId3591" Type="http://schemas.openxmlformats.org/officeDocument/2006/relationships/hyperlink" TargetMode="External" Target="https://spark-interfax.ru/system/home/card#/company/4A19CF1CB93E48AB8C0125DAA6FCEAEE/101"/><Relationship Id="rId3592" Type="http://schemas.openxmlformats.org/officeDocument/2006/relationships/hyperlink" TargetMode="External" Target="https://spark-interfax.ru/system/home/card#/company/7F59781E8DC940F9944A8D9885560B22/101"/><Relationship Id="rId3593" Type="http://schemas.openxmlformats.org/officeDocument/2006/relationships/hyperlink" TargetMode="External" Target="https://spark-interfax.ru/system/home/card#/company/DF65D1428DE34DE0A8E1FA58C1194966/101"/><Relationship Id="rId3594" Type="http://schemas.openxmlformats.org/officeDocument/2006/relationships/hyperlink" TargetMode="External" Target="https://spark-interfax.ru/system/home/card#/company/F2BC7B0570CC45BF841208737A48255D/101"/><Relationship Id="rId3595" Type="http://schemas.openxmlformats.org/officeDocument/2006/relationships/hyperlink" TargetMode="External" Target="https://spark-interfax.ru/system/home/card#/company/2F9020971B0147F3A82A737326C0CC33/101"/><Relationship Id="rId3596" Type="http://schemas.openxmlformats.org/officeDocument/2006/relationships/hyperlink" TargetMode="External" Target="https://spark-interfax.ru/system/home/card#/company/E766FDF53FC74E6DB345CA4C2D089924/101"/><Relationship Id="rId3597" Type="http://schemas.openxmlformats.org/officeDocument/2006/relationships/hyperlink" TargetMode="External" Target="https://spark-interfax.ru/system/home/card#/company/B71AE440EE704753AB7FFCE1C7918050/101"/><Relationship Id="rId3598" Type="http://schemas.openxmlformats.org/officeDocument/2006/relationships/hyperlink" TargetMode="External" Target="https://spark-interfax.ru/system/home/card#/company/BF054EFAEBFA4AD0ADA1F0D05B3976A3/101"/><Relationship Id="rId3599" Type="http://schemas.openxmlformats.org/officeDocument/2006/relationships/hyperlink" TargetMode="External" Target="https://spark-interfax.ru/system/home/card#/company/7EA5461FC52D4C4C8864B5E0CF62558F/101"/><Relationship Id="rId3600" Type="http://schemas.openxmlformats.org/officeDocument/2006/relationships/hyperlink" TargetMode="External" Target="https://spark-interfax.ru/system/home/card#/company/C8969583ACC345ABBF0271FFFC427BF3/101"/><Relationship Id="rId3601" Type="http://schemas.openxmlformats.org/officeDocument/2006/relationships/hyperlink" TargetMode="External" Target="https://spark-interfax.ru/system/home/card#/company/050F793C62764732B9CB3D697CFAE3DB/101"/><Relationship Id="rId3602" Type="http://schemas.openxmlformats.org/officeDocument/2006/relationships/hyperlink" TargetMode="External" Target="https://spark-interfax.ru/system/home/card#/company/9263FCCBC8664090A6551C3525CFBF3F/101"/><Relationship Id="rId3603" Type="http://schemas.openxmlformats.org/officeDocument/2006/relationships/hyperlink" TargetMode="External" Target="https://spark-interfax.ru/system/home/card#/company/6405E8C93552482BBA3F0815E2628A36/101"/><Relationship Id="rId3604" Type="http://schemas.openxmlformats.org/officeDocument/2006/relationships/hyperlink" TargetMode="External" Target="https://spark-interfax.ru/system/home/card#/company/5193FAADCA9E41C99486F47A10CC47C5/101"/><Relationship Id="rId3605" Type="http://schemas.openxmlformats.org/officeDocument/2006/relationships/hyperlink" TargetMode="External" Target="https://spark-interfax.ru/system/home/card#/company/4B820055CBA8480C98AEDA8A8E6ADE95/101"/><Relationship Id="rId3606" Type="http://schemas.openxmlformats.org/officeDocument/2006/relationships/hyperlink" TargetMode="External" Target="https://spark-interfax.ru/system/home/card#/company/E39E1CB02C934617882649DB25206F5B/101"/><Relationship Id="rId3607" Type="http://schemas.openxmlformats.org/officeDocument/2006/relationships/hyperlink" TargetMode="External" Target="https://spark-interfax.ru/system/home/card#/company/C96E0AB1E50F4BDFAF9CC64664112951/101"/><Relationship Id="rId3608" Type="http://schemas.openxmlformats.org/officeDocument/2006/relationships/hyperlink" TargetMode="External" Target="https://spark-interfax.ru/system/home/card#/company/91D6820203D64AA389600ACFE410E1BE/101"/><Relationship Id="rId3609" Type="http://schemas.openxmlformats.org/officeDocument/2006/relationships/hyperlink" TargetMode="External" Target="https://spark-interfax.ru/system/home/card#/company/F4B480CA8D834AA4A91C23AA2545EBC8/101"/><Relationship Id="rId3610" Type="http://schemas.openxmlformats.org/officeDocument/2006/relationships/hyperlink" TargetMode="External" Target="https://spark-interfax.ru/system/home/card#/company/612E168AE0B640D1AC4BBABE13C53433/101"/><Relationship Id="rId3611" Type="http://schemas.openxmlformats.org/officeDocument/2006/relationships/hyperlink" TargetMode="External" Target="https://spark-interfax.ru/system/home/card#/company/D861AA4B9DAE4265A3E24AD44ACECB34/101"/><Relationship Id="rId3612" Type="http://schemas.openxmlformats.org/officeDocument/2006/relationships/hyperlink" TargetMode="External" Target="https://spark-interfax.ru/system/home/card#/company/4ECA0616602B4964AE5D4C8FE915BF12/101"/><Relationship Id="rId3613" Type="http://schemas.openxmlformats.org/officeDocument/2006/relationships/hyperlink" TargetMode="External" Target="https://spark-interfax.ru/system/home/card#/company/1173780DEF584DB1941342668BCA66B2/101"/><Relationship Id="rId3614" Type="http://schemas.openxmlformats.org/officeDocument/2006/relationships/hyperlink" TargetMode="External" Target="https://spark-interfax.ru/system/home/card#/company/8ED541755EE445569A1FED938AC7173D/101"/><Relationship Id="rId3615" Type="http://schemas.openxmlformats.org/officeDocument/2006/relationships/hyperlink" TargetMode="External" Target="https://spark-interfax.ru/system/home/card#/company/AC2707989A224F8E8DFD296A1FAEBC4F/101"/><Relationship Id="rId3616" Type="http://schemas.openxmlformats.org/officeDocument/2006/relationships/hyperlink" TargetMode="External" Target="https://spark-interfax.ru/system/home/card#/company/740729BBE27E4C4F88FA8450654ADD80/101"/><Relationship Id="rId3617" Type="http://schemas.openxmlformats.org/officeDocument/2006/relationships/hyperlink" TargetMode="External" Target="https://spark-interfax.ru/system/home/card#/company/84A07CA90867499DB2A98048E5FDA353/101"/><Relationship Id="rId3618" Type="http://schemas.openxmlformats.org/officeDocument/2006/relationships/hyperlink" TargetMode="External" Target="https://spark-interfax.ru/system/home/card#/company/C2BA65F3E48243ABA88A32DF4A1F7E86/101"/><Relationship Id="rId3619" Type="http://schemas.openxmlformats.org/officeDocument/2006/relationships/hyperlink" TargetMode="External" Target="https://spark-interfax.ru/system/home/card#/company/BE9E33EA208C403C92556466C2C6ADA9/101"/><Relationship Id="rId3620" Type="http://schemas.openxmlformats.org/officeDocument/2006/relationships/hyperlink" TargetMode="External" Target="https://spark-interfax.ru/system/home/card#/company/604FD24088F5469BBD9FDF66A0BD6AD9/101"/><Relationship Id="rId3621" Type="http://schemas.openxmlformats.org/officeDocument/2006/relationships/hyperlink" TargetMode="External" Target="https://spark-interfax.ru/system/home/card#/company/B78C5288DE9747A693827CDB3AFD0275/101"/><Relationship Id="rId3622" Type="http://schemas.openxmlformats.org/officeDocument/2006/relationships/hyperlink" TargetMode="External" Target="https://spark-interfax.ru/system/home/card#/company/5AA3B382D92F41AAA5288D4F12036E0D/101"/><Relationship Id="rId3623" Type="http://schemas.openxmlformats.org/officeDocument/2006/relationships/hyperlink" TargetMode="External" Target="https://spark-interfax.ru/system/home/card#/company/D8AFF3671D3248CD83A0FF38FE991397/101"/><Relationship Id="rId3624" Type="http://schemas.openxmlformats.org/officeDocument/2006/relationships/hyperlink" TargetMode="External" Target="https://spark-interfax.ru/system/home/card#/company/CB64B82DF72749E782808BF1AA574813/101"/><Relationship Id="rId3625" Type="http://schemas.openxmlformats.org/officeDocument/2006/relationships/hyperlink" TargetMode="External" Target="https://spark-interfax.ru/system/home/card#/company/276780FC84474466AD78112C425D3067/101"/><Relationship Id="rId3626" Type="http://schemas.openxmlformats.org/officeDocument/2006/relationships/hyperlink" TargetMode="External" Target="https://spark-interfax.ru/system/home/card#/company/A96A7650D89540DE879EA24A5C3FB578/101"/><Relationship Id="rId3627" Type="http://schemas.openxmlformats.org/officeDocument/2006/relationships/hyperlink" TargetMode="External" Target="https://spark-interfax.ru/system/home/card#/company/943C60FCE0D542AEA07B8BF2D74F8AFE/101"/><Relationship Id="rId3628" Type="http://schemas.openxmlformats.org/officeDocument/2006/relationships/hyperlink" TargetMode="External" Target="https://spark-interfax.ru/system/home/card#/company/F589897432D14D77BE6F9414AC8D4CAA/101"/><Relationship Id="rId3629" Type="http://schemas.openxmlformats.org/officeDocument/2006/relationships/hyperlink" TargetMode="External" Target="https://spark-interfax.ru/system/home/card#/company/72F8857411D64BA489D344CB25A459A1/101"/><Relationship Id="rId3630" Type="http://schemas.openxmlformats.org/officeDocument/2006/relationships/hyperlink" TargetMode="External" Target="https://spark-interfax.ru/system/home/card#/company/8CD010F948A148A2A401B78882C6980C/101"/><Relationship Id="rId3631" Type="http://schemas.openxmlformats.org/officeDocument/2006/relationships/hyperlink" TargetMode="External" Target="https://spark-interfax.ru/system/home/card#/company/733E055C0C83454AB658C4CB8509D8FB/101"/><Relationship Id="rId3632" Type="http://schemas.openxmlformats.org/officeDocument/2006/relationships/hyperlink" TargetMode="External" Target="https://spark-interfax.ru/system/home/card#/company/194DADC5ADCB4EEC81CEF76D89A9CFFC/101"/><Relationship Id="rId3633" Type="http://schemas.openxmlformats.org/officeDocument/2006/relationships/hyperlink" TargetMode="External" Target="https://spark-interfax.ru/system/home/card#/company/655FFF053C764A64AE4440E2988C45A9/101"/><Relationship Id="rId3634" Type="http://schemas.openxmlformats.org/officeDocument/2006/relationships/hyperlink" TargetMode="External" Target="https://spark-interfax.ru/system/home/card#/company/EFDE068853A24C45A41EB51CA0F77C8B/101"/><Relationship Id="rId3635" Type="http://schemas.openxmlformats.org/officeDocument/2006/relationships/hyperlink" TargetMode="External" Target="https://spark-interfax.ru/system/home/card#/company/938EBAD9F5904EDAA0A727D4E37FCC13/101"/><Relationship Id="rId3636" Type="http://schemas.openxmlformats.org/officeDocument/2006/relationships/hyperlink" TargetMode="External" Target="https://spark-interfax.ru/system/home/card#/company/BFE1826079CB4A2E9CB7CAAAC999E82B/101"/><Relationship Id="rId3637" Type="http://schemas.openxmlformats.org/officeDocument/2006/relationships/hyperlink" TargetMode="External" Target="https://spark-interfax.ru/system/home/card#/company/8A580F79F8184FDB9EFAE4389D7E43B4/101"/><Relationship Id="rId3638" Type="http://schemas.openxmlformats.org/officeDocument/2006/relationships/hyperlink" TargetMode="External" Target="https://spark-interfax.ru/system/home/card#/company/6C7F881BFDD747BAAB8280A6B2A0EC4A/101"/><Relationship Id="rId3639" Type="http://schemas.openxmlformats.org/officeDocument/2006/relationships/hyperlink" TargetMode="External" Target="https://spark-interfax.ru/system/home/card#/company/4B47AFE7FE7642AFAE81FAA16C44CA4C/101"/><Relationship Id="rId3640" Type="http://schemas.openxmlformats.org/officeDocument/2006/relationships/hyperlink" TargetMode="External" Target="https://spark-interfax.ru/system/home/card#/company/0166D982200248C4AD93E7155AC9CCA8/101"/><Relationship Id="rId3641" Type="http://schemas.openxmlformats.org/officeDocument/2006/relationships/hyperlink" TargetMode="External" Target="https://spark-interfax.ru/system/home/card#/company/6F7D8C73DF5D4189881743AF456B7687/101"/><Relationship Id="rId3642" Type="http://schemas.openxmlformats.org/officeDocument/2006/relationships/hyperlink" TargetMode="External" Target="https://spark-interfax.ru/system/home/card#/company/FB55FFAAA5A246AC92DE61BBDBED634A/101"/><Relationship Id="rId3643" Type="http://schemas.openxmlformats.org/officeDocument/2006/relationships/hyperlink" TargetMode="External" Target="https://spark-interfax.ru/system/home/card#/company/5CAF998458D4499DA01BCA74DD2D7271/101"/><Relationship Id="rId3644" Type="http://schemas.openxmlformats.org/officeDocument/2006/relationships/hyperlink" TargetMode="External" Target="https://spark-interfax.ru/system/home/card#/company/5EC1527E37AE4649AB6170AE3E686046/101"/><Relationship Id="rId3645" Type="http://schemas.openxmlformats.org/officeDocument/2006/relationships/hyperlink" TargetMode="External" Target="https://spark-interfax.ru/system/home/card#/company/1F245D80C8B54E5F82DD1FDFCE58173C/101"/><Relationship Id="rId3646" Type="http://schemas.openxmlformats.org/officeDocument/2006/relationships/hyperlink" TargetMode="External" Target="https://spark-interfax.ru/system/home/card#/company/ECE9B2B38C5C40E3A121CA2BD78DF4EF/101"/><Relationship Id="rId3647" Type="http://schemas.openxmlformats.org/officeDocument/2006/relationships/hyperlink" TargetMode="External" Target="https://spark-interfax.ru/system/home/card#/company/96D5966E5E1D4B02821A5B6D98D62984/101"/><Relationship Id="rId3648" Type="http://schemas.openxmlformats.org/officeDocument/2006/relationships/hyperlink" TargetMode="External" Target="https://spark-interfax.ru/system/home/card#/company/29F40779BDFF4CBF98BF1D579A355BD9/101"/><Relationship Id="rId3649" Type="http://schemas.openxmlformats.org/officeDocument/2006/relationships/hyperlink" TargetMode="External" Target="https://spark-interfax.ru/system/home/card#/company/D5791CDC97134A288E32B888D286CFDB/101"/><Relationship Id="rId3650" Type="http://schemas.openxmlformats.org/officeDocument/2006/relationships/hyperlink" TargetMode="External" Target="https://spark-interfax.ru/system/home/card#/company/173043CC837745948E3BD31D89DEE061/101"/><Relationship Id="rId3651" Type="http://schemas.openxmlformats.org/officeDocument/2006/relationships/hyperlink" TargetMode="External" Target="https://spark-interfax.ru/system/home/card#/company/327A700AFA7D43A8A8AFCB74D446DA21/101"/><Relationship Id="rId3652" Type="http://schemas.openxmlformats.org/officeDocument/2006/relationships/hyperlink" TargetMode="External" Target="https://spark-interfax.ru/system/home/card#/company/82BF64C5AAF74AF7A8843B817E089EF9/101"/><Relationship Id="rId3653" Type="http://schemas.openxmlformats.org/officeDocument/2006/relationships/hyperlink" TargetMode="External" Target="https://spark-interfax.ru/system/home/card#/company/AB5565092FF741ABA209DB5AA46250DC/101"/><Relationship Id="rId3654" Type="http://schemas.openxmlformats.org/officeDocument/2006/relationships/hyperlink" TargetMode="External" Target="https://spark-interfax.ru/system/home/card#/company/7923543FD3E540BC9696A6934E953E2F/101"/><Relationship Id="rId3655" Type="http://schemas.openxmlformats.org/officeDocument/2006/relationships/hyperlink" TargetMode="External" Target="https://spark-interfax.ru/system/home/card#/company/196D4799049B4DD8AB04F314F68C7CFB/101"/><Relationship Id="rId3656" Type="http://schemas.openxmlformats.org/officeDocument/2006/relationships/hyperlink" TargetMode="External" Target="https://spark-interfax.ru/system/home/card#/company/88DDE4CBEDEC4F38B044A1C893292C08/101"/><Relationship Id="rId3657" Type="http://schemas.openxmlformats.org/officeDocument/2006/relationships/hyperlink" TargetMode="External" Target="https://spark-interfax.ru/system/home/card#/company/455D7C64065B43B59D25FFBD6F3823D9/101"/><Relationship Id="rId3658" Type="http://schemas.openxmlformats.org/officeDocument/2006/relationships/hyperlink" TargetMode="External" Target="https://spark-interfax.ru/system/home/card#/company/4988465C682A44EC939CEB09A3767B5B/101"/><Relationship Id="rId3659" Type="http://schemas.openxmlformats.org/officeDocument/2006/relationships/hyperlink" TargetMode="External" Target="https://spark-interfax.ru/system/home/card#/company/690E1542866E4B948FBAB88874FAB00F/101"/><Relationship Id="rId3660" Type="http://schemas.openxmlformats.org/officeDocument/2006/relationships/hyperlink" TargetMode="External" Target="https://spark-interfax.ru/system/home/card#/company/B25B2276004346E6B19284B72BF7F2CF/101"/><Relationship Id="rId3661" Type="http://schemas.openxmlformats.org/officeDocument/2006/relationships/hyperlink" TargetMode="External" Target="https://spark-interfax.ru/system/home/card#/company/04B0D7DD53754D7988F6B8B39207C150/101"/><Relationship Id="rId3662" Type="http://schemas.openxmlformats.org/officeDocument/2006/relationships/hyperlink" TargetMode="External" Target="https://spark-interfax.ru/system/home/card#/company/A0925E9E8FB541A0AD13B6897BB425E3/101"/><Relationship Id="rId3663" Type="http://schemas.openxmlformats.org/officeDocument/2006/relationships/hyperlink" TargetMode="External" Target="https://spark-interfax.ru/system/home/card#/company/2F854F94BD4042C99301D6B5E132E491/101"/><Relationship Id="rId3664" Type="http://schemas.openxmlformats.org/officeDocument/2006/relationships/hyperlink" TargetMode="External" Target="https://spark-interfax.ru/system/home/card#/company/391546CA883A476E822FD9BDD8A561C3/101"/><Relationship Id="rId3665" Type="http://schemas.openxmlformats.org/officeDocument/2006/relationships/hyperlink" TargetMode="External" Target="https://spark-interfax.ru/system/home/card#/company/166D70F0336447B6960EBF5B0E6AE544/101"/><Relationship Id="rId3666" Type="http://schemas.openxmlformats.org/officeDocument/2006/relationships/hyperlink" TargetMode="External" Target="https://spark-interfax.ru/system/home/card#/company/79385E0B87C8498985A704534624D298/101"/><Relationship Id="rId3667" Type="http://schemas.openxmlformats.org/officeDocument/2006/relationships/hyperlink" TargetMode="External" Target="https://spark-interfax.ru/system/home/card#/company/72387B4D6DC845349FB4E88C9EC11697/101"/><Relationship Id="rId3668" Type="http://schemas.openxmlformats.org/officeDocument/2006/relationships/hyperlink" TargetMode="External" Target="https://spark-interfax.ru/system/home/card#/company/67575185983C4E048C1F7AB0271048F8/101"/><Relationship Id="rId3669" Type="http://schemas.openxmlformats.org/officeDocument/2006/relationships/hyperlink" TargetMode="External" Target="https://spark-interfax.ru/system/home/card#/company/5B92672CAB0A4D808AF883AA6B72E691/101"/><Relationship Id="rId3670" Type="http://schemas.openxmlformats.org/officeDocument/2006/relationships/hyperlink" TargetMode="External" Target="https://spark-interfax.ru/system/home/card#/company/594B334922474E6A86F2E19FF19925DE/101"/><Relationship Id="rId3671" Type="http://schemas.openxmlformats.org/officeDocument/2006/relationships/hyperlink" TargetMode="External" Target="https://spark-interfax.ru/system/home/card#/company/9DF8631585804A2E88A79F95C2DE32A7/101"/><Relationship Id="rId3672" Type="http://schemas.openxmlformats.org/officeDocument/2006/relationships/hyperlink" TargetMode="External" Target="https://spark-interfax.ru/system/home/card#/company/78AFCBAC41574C8B832BE597130DA6A8/101"/><Relationship Id="rId3673" Type="http://schemas.openxmlformats.org/officeDocument/2006/relationships/hyperlink" TargetMode="External" Target="https://spark-interfax.ru/system/home/card#/company/44E20781D61147B29F75CE882FE6C4FC/101"/><Relationship Id="rId3674" Type="http://schemas.openxmlformats.org/officeDocument/2006/relationships/hyperlink" TargetMode="External" Target="https://spark-interfax.ru/system/home/card#/company/2898B7979C0543A89ECB54C255E795A0/101"/><Relationship Id="rId3675" Type="http://schemas.openxmlformats.org/officeDocument/2006/relationships/hyperlink" TargetMode="External" Target="https://spark-interfax.ru/system/home/card#/company/F9F703DD465B482E82BE4AE1859C3CC7/101"/><Relationship Id="rId3676" Type="http://schemas.openxmlformats.org/officeDocument/2006/relationships/hyperlink" TargetMode="External" Target="https://spark-interfax.ru/system/home/card#/company/75850AC55C124FD1A54567BB55A397A0/101"/><Relationship Id="rId3677" Type="http://schemas.openxmlformats.org/officeDocument/2006/relationships/hyperlink" TargetMode="External" Target="https://spark-interfax.ru/system/home/card#/company/E08321F6EF024A839E40E19B1AE1C386/101"/><Relationship Id="rId3678" Type="http://schemas.openxmlformats.org/officeDocument/2006/relationships/hyperlink" TargetMode="External" Target="https://spark-interfax.ru/system/home/card#/company/FFD8AC602F4C4511BBB631FA9FADDA4E/101"/><Relationship Id="rId3679" Type="http://schemas.openxmlformats.org/officeDocument/2006/relationships/hyperlink" TargetMode="External" Target="https://spark-interfax.ru/system/home/card#/company/F105DA62573D439884A22CB2B9FB8BF5/101"/><Relationship Id="rId3680" Type="http://schemas.openxmlformats.org/officeDocument/2006/relationships/hyperlink" TargetMode="External" Target="https://spark-interfax.ru/system/home/card#/company/91F240798E1C4F8C90B780C62CC3F5CB/101"/><Relationship Id="rId3681" Type="http://schemas.openxmlformats.org/officeDocument/2006/relationships/hyperlink" TargetMode="External" Target="https://spark-interfax.ru/system/home/card#/company/B7CA51E9D56141F1A0ED68397FAAE0BA/101"/><Relationship Id="rId3682" Type="http://schemas.openxmlformats.org/officeDocument/2006/relationships/hyperlink" TargetMode="External" Target="https://spark-interfax.ru/system/home/card#/company/C570B6EBB9454751A53684B848936EB6/101"/><Relationship Id="rId3683" Type="http://schemas.openxmlformats.org/officeDocument/2006/relationships/hyperlink" TargetMode="External" Target="https://spark-interfax.ru/system/home/card#/company/DEE9A2DD010E27C6E053259AA8C03953/101"/><Relationship Id="rId3684" Type="http://schemas.openxmlformats.org/officeDocument/2006/relationships/hyperlink" TargetMode="External" Target="https://spark-interfax.ru/system/home/card#/company/A81387ABCF6A4783A4E14BA10363AB78/101"/><Relationship Id="rId3685" Type="http://schemas.openxmlformats.org/officeDocument/2006/relationships/hyperlink" TargetMode="External" Target="https://spark-interfax.ru/system/home/card#/company/5F545B1874764B9098901B1EB42336B7/101"/><Relationship Id="rId3686" Type="http://schemas.openxmlformats.org/officeDocument/2006/relationships/hyperlink" TargetMode="External" Target="https://spark-interfax.ru/system/home/card#/company/9FDD330BB70343AD8650C1CC42438506/101"/><Relationship Id="rId3687" Type="http://schemas.openxmlformats.org/officeDocument/2006/relationships/hyperlink" TargetMode="External" Target="https://spark-interfax.ru/system/home/card#/company/AA7D3353555247CDB4118174F205F1C0/101"/><Relationship Id="rId3688" Type="http://schemas.openxmlformats.org/officeDocument/2006/relationships/hyperlink" TargetMode="External" Target="https://spark-interfax.ru/system/home/card#/company/A0BDFDA4728C4BC29C3B43348A9D3D0E/101"/><Relationship Id="rId3689" Type="http://schemas.openxmlformats.org/officeDocument/2006/relationships/hyperlink" TargetMode="External" Target="https://spark-interfax.ru/system/home/card#/company/A9206524851B4095B03069CD87CF1D01/101"/><Relationship Id="rId3690" Type="http://schemas.openxmlformats.org/officeDocument/2006/relationships/hyperlink" TargetMode="External" Target="https://spark-interfax.ru/system/home/card#/company/C4B7856816664B65B31D0FE44AF296DF/101"/><Relationship Id="rId3691" Type="http://schemas.openxmlformats.org/officeDocument/2006/relationships/hyperlink" TargetMode="External" Target="https://spark-interfax.ru/system/home/card#/company/7057CA0D29A94B839D1B546DA5F02AD1/101"/><Relationship Id="rId3692" Type="http://schemas.openxmlformats.org/officeDocument/2006/relationships/hyperlink" TargetMode="External" Target="https://spark-interfax.ru/system/home/card#/company/B1300291787548E69E9B7E6B8508A466/101"/><Relationship Id="rId3693" Type="http://schemas.openxmlformats.org/officeDocument/2006/relationships/hyperlink" TargetMode="External" Target="https://spark-interfax.ru/system/home/card#/company/2570A17CC08649F1AAA185A554931965/101"/><Relationship Id="rId3694" Type="http://schemas.openxmlformats.org/officeDocument/2006/relationships/hyperlink" TargetMode="External" Target="https://spark-interfax.ru/system/home/card#/company/EFBBF56830C1432A99E133E0C04A40DC/101"/><Relationship Id="rId3695" Type="http://schemas.openxmlformats.org/officeDocument/2006/relationships/hyperlink" TargetMode="External" Target="https://spark-interfax.ru/system/home/card#/company/3FC94C26241642819CA8D833F8735F61/101"/><Relationship Id="rId3696" Type="http://schemas.openxmlformats.org/officeDocument/2006/relationships/hyperlink" TargetMode="External" Target="https://spark-interfax.ru/system/home/card#/company/CA179EA4A0C64E9A990D74FED79AF413/101"/><Relationship Id="rId3697" Type="http://schemas.openxmlformats.org/officeDocument/2006/relationships/hyperlink" TargetMode="External" Target="https://spark-interfax.ru/system/home/card#/company/6937A8AABB4F4A18AFEA0164AF623FC8/101"/><Relationship Id="rId3698" Type="http://schemas.openxmlformats.org/officeDocument/2006/relationships/hyperlink" TargetMode="External" Target="https://spark-interfax.ru/system/home/card#/company/D8C933C961B04029A461C41064F9EA5E/101"/><Relationship Id="rId3699" Type="http://schemas.openxmlformats.org/officeDocument/2006/relationships/hyperlink" TargetMode="External" Target="https://spark-interfax.ru/system/home/card#/company/A728F1B2190C4CA88D94CF9311EE7C85/101"/><Relationship Id="rId3700" Type="http://schemas.openxmlformats.org/officeDocument/2006/relationships/hyperlink" TargetMode="External" Target="https://spark-interfax.ru/system/home/card#/company/F2ED28267A8B4A70B44481BC4D7D16FB/101"/><Relationship Id="rId3701" Type="http://schemas.openxmlformats.org/officeDocument/2006/relationships/hyperlink" TargetMode="External" Target="https://spark-interfax.ru/system/home/card#/company/7B8611D3BF7C4B31B2A55B0C401BF64F/101"/><Relationship Id="rId3702" Type="http://schemas.openxmlformats.org/officeDocument/2006/relationships/hyperlink" TargetMode="External" Target="https://spark-interfax.ru/system/home/card#/company/5D9A218E56F0453D8B7F9700EA5EE07B/101"/><Relationship Id="rId3703" Type="http://schemas.openxmlformats.org/officeDocument/2006/relationships/hyperlink" TargetMode="External" Target="https://spark-interfax.ru/system/home/card#/company/AB4374F3832141CC9F25ADC31845A55C/101"/><Relationship Id="rId3704" Type="http://schemas.openxmlformats.org/officeDocument/2006/relationships/hyperlink" TargetMode="External" Target="https://spark-interfax.ru/system/home/card#/company/8413845E70927AEFE0531B9AA8C038BC/101"/><Relationship Id="rId3705" Type="http://schemas.openxmlformats.org/officeDocument/2006/relationships/hyperlink" TargetMode="External" Target="https://spark-interfax.ru/system/home/card#/company/CB13DEEC26E14A928E39241C51F93407/101"/><Relationship Id="rId3706" Type="http://schemas.openxmlformats.org/officeDocument/2006/relationships/hyperlink" TargetMode="External" Target="https://spark-interfax.ru/system/home/card#/company/FBADFAB783EC4E0A821FFF0ECA98F4EC/101"/><Relationship Id="rId3707" Type="http://schemas.openxmlformats.org/officeDocument/2006/relationships/hyperlink" TargetMode="External" Target="https://spark-interfax.ru/system/home/card#/company/B0A799BCC66740039654993B63253D37/101"/><Relationship Id="rId3708" Type="http://schemas.openxmlformats.org/officeDocument/2006/relationships/hyperlink" TargetMode="External" Target="https://spark-interfax.ru/system/home/card#/company/DC5218CDABCE44CC86F7DA75AFA4E576/101"/><Relationship Id="rId3709" Type="http://schemas.openxmlformats.org/officeDocument/2006/relationships/hyperlink" TargetMode="External" Target="https://spark-interfax.ru/system/home/card#/company/9D0219A5B5AF461A862FDC4343A0CF2F/101"/><Relationship Id="rId3710" Type="http://schemas.openxmlformats.org/officeDocument/2006/relationships/hyperlink" TargetMode="External" Target="https://spark-interfax.ru/system/home/card#/company/E65929A05EED44048CAF62B445DAE065/101"/><Relationship Id="rId3711" Type="http://schemas.openxmlformats.org/officeDocument/2006/relationships/hyperlink" TargetMode="External" Target="https://spark-interfax.ru/system/home/card#/company/F40E2DD3FDB14F89B330CE7B1BADB6B6/101"/><Relationship Id="rId3712" Type="http://schemas.openxmlformats.org/officeDocument/2006/relationships/hyperlink" TargetMode="External" Target="https://spark-interfax.ru/system/home/card#/company/804651A3120549BCA411E23499C0838F/101"/><Relationship Id="rId3713" Type="http://schemas.openxmlformats.org/officeDocument/2006/relationships/hyperlink" TargetMode="External" Target="https://spark-interfax.ru/system/home/card#/company/7106AF29AAAA4E1E9C74E7A9E0CA7747/101"/><Relationship Id="rId3714" Type="http://schemas.openxmlformats.org/officeDocument/2006/relationships/hyperlink" TargetMode="External" Target="https://spark-interfax.ru/system/home/card#/company/60DDD344B1C44DE7AF7874BC9120D73F/101"/><Relationship Id="rId3715" Type="http://schemas.openxmlformats.org/officeDocument/2006/relationships/hyperlink" TargetMode="External" Target="https://spark-interfax.ru/system/home/card#/company/07A4537BF6CC481699D9928366D2D6AB/101"/><Relationship Id="rId3716" Type="http://schemas.openxmlformats.org/officeDocument/2006/relationships/hyperlink" TargetMode="External" Target="https://spark-interfax.ru/system/home/card#/company/2CE0605D6D71438294B3DB982D456050/101"/><Relationship Id="rId3717" Type="http://schemas.openxmlformats.org/officeDocument/2006/relationships/hyperlink" TargetMode="External" Target="https://spark-interfax.ru/system/home/card#/company/3F0A86EF73864CEF9E065FA249DB6585/101"/><Relationship Id="rId3718" Type="http://schemas.openxmlformats.org/officeDocument/2006/relationships/hyperlink" TargetMode="External" Target="https://spark-interfax.ru/system/home/card#/company/DDBE0CDDF7854384A61E313C37E39E93/101"/><Relationship Id="rId3719" Type="http://schemas.openxmlformats.org/officeDocument/2006/relationships/hyperlink" TargetMode="External" Target="https://spark-interfax.ru/system/home/card#/company/DBCECF490E354A1C8D86EE838EDFEDAB/101"/><Relationship Id="rId3720" Type="http://schemas.openxmlformats.org/officeDocument/2006/relationships/hyperlink" TargetMode="External" Target="https://spark-interfax.ru/system/home/card#/company/182A8B1C593148AC9898A744FBD59668/101"/><Relationship Id="rId3721" Type="http://schemas.openxmlformats.org/officeDocument/2006/relationships/hyperlink" TargetMode="External" Target="https://spark-interfax.ru/system/home/card#/company/ECA2188044314117BE533C0A88E7F9CC/101"/><Relationship Id="rId3722" Type="http://schemas.openxmlformats.org/officeDocument/2006/relationships/hyperlink" TargetMode="External" Target="https://spark-interfax.ru/system/home/card#/company/AAA3DDDB292E4664B80C640F3F4AF228/101"/><Relationship Id="rId3723" Type="http://schemas.openxmlformats.org/officeDocument/2006/relationships/hyperlink" TargetMode="External" Target="https://spark-interfax.ru/system/home/card#/company/1AC2D05E3C0040BA8C915A185E6BEB78/101"/><Relationship Id="rId3724" Type="http://schemas.openxmlformats.org/officeDocument/2006/relationships/hyperlink" TargetMode="External" Target="https://spark-interfax.ru/system/home/card#/company/C00A4A14ADA34C31A1406A4BB4623E71/101"/><Relationship Id="rId3725" Type="http://schemas.openxmlformats.org/officeDocument/2006/relationships/hyperlink" TargetMode="External" Target="https://spark-interfax.ru/system/home/card#/company/8A0B0E2ABDD542DBB98AF40ED663EB5B/101"/><Relationship Id="rId3726" Type="http://schemas.openxmlformats.org/officeDocument/2006/relationships/hyperlink" TargetMode="External" Target="https://spark-interfax.ru/system/home/card#/company/7258DC9ADE6E4D04AC237C40E2F12E01/101"/><Relationship Id="rId3727" Type="http://schemas.openxmlformats.org/officeDocument/2006/relationships/hyperlink" TargetMode="External" Target="https://spark-interfax.ru/system/home/card#/company/8F74F1F471044FF5AE62F12EFBE4FE7C/101"/><Relationship Id="rId3728" Type="http://schemas.openxmlformats.org/officeDocument/2006/relationships/hyperlink" TargetMode="External" Target="https://spark-interfax.ru/system/home/card#/company/7EB1ACCDE0BB4F53ACAD69B8B714DB31/101"/><Relationship Id="rId3729" Type="http://schemas.openxmlformats.org/officeDocument/2006/relationships/hyperlink" TargetMode="External" Target="https://spark-interfax.ru/system/home/card#/company/F79E31A7D47648E2BCBBDE42B988FFBE/101"/><Relationship Id="rId3730" Type="http://schemas.openxmlformats.org/officeDocument/2006/relationships/hyperlink" TargetMode="External" Target="https://spark-interfax.ru/system/home/card#/company/CDF645D056104C69B8EECA1F7F125FC4/101"/><Relationship Id="rId3731" Type="http://schemas.openxmlformats.org/officeDocument/2006/relationships/hyperlink" TargetMode="External" Target="https://spark-interfax.ru/system/home/card#/company/4D317A80E6A04992958C46ECBF63F3DE/101"/><Relationship Id="rId3732" Type="http://schemas.openxmlformats.org/officeDocument/2006/relationships/hyperlink" TargetMode="External" Target="https://spark-interfax.ru/system/home/card#/company/6F2C0FB8B5638311E0531B9AA8C088F3/101"/><Relationship Id="rId3733" Type="http://schemas.openxmlformats.org/officeDocument/2006/relationships/hyperlink" TargetMode="External" Target="https://spark-interfax.ru/system/home/card#/company/8AEFB4BEA9DA45B0A947BAACF9C0E767/101"/><Relationship Id="rId3734" Type="http://schemas.openxmlformats.org/officeDocument/2006/relationships/hyperlink" TargetMode="External" Target="https://spark-interfax.ru/system/home/card#/company/9E83DB3839314CCA98E9B15E7CC5EFE0/101"/><Relationship Id="rId3735" Type="http://schemas.openxmlformats.org/officeDocument/2006/relationships/hyperlink" TargetMode="External" Target="https://spark-interfax.ru/system/home/card#/company/001912C3E8014E84B91A35F3DD4F2AB1/101"/><Relationship Id="rId3736" Type="http://schemas.openxmlformats.org/officeDocument/2006/relationships/hyperlink" TargetMode="External" Target="https://spark-interfax.ru/system/home/card#/company/B7B5587D76EF41A09CA04886EC79EB90/101"/><Relationship Id="rId3737" Type="http://schemas.openxmlformats.org/officeDocument/2006/relationships/hyperlink" TargetMode="External" Target="https://spark-interfax.ru/system/home/card#/company/F1A92B91F84C4071BF69695415F11741/101"/><Relationship Id="rId3738" Type="http://schemas.openxmlformats.org/officeDocument/2006/relationships/hyperlink" TargetMode="External" Target="https://spark-interfax.ru/system/home/card#/company/0A708A8759B74C24A27EACC26036E176/101"/><Relationship Id="rId3739" Type="http://schemas.openxmlformats.org/officeDocument/2006/relationships/hyperlink" TargetMode="External" Target="https://spark-interfax.ru/system/home/card#/company/1B7FC5BF2DE4423383AD67AA077DE39A/101"/><Relationship Id="rId3740" Type="http://schemas.openxmlformats.org/officeDocument/2006/relationships/hyperlink" TargetMode="External" Target="https://spark-interfax.ru/system/home/card#/company/03F7AC1FCAFD41FA8BA02CD9473769C8/101"/><Relationship Id="rId3741" Type="http://schemas.openxmlformats.org/officeDocument/2006/relationships/hyperlink" TargetMode="External" Target="https://spark-interfax.ru/system/home/card#/company/D2551DC98D694935813EA9BDB3B79997/101"/><Relationship Id="rId3742" Type="http://schemas.openxmlformats.org/officeDocument/2006/relationships/hyperlink" TargetMode="External" Target="https://spark-interfax.ru/system/home/card#/company/D2F05FA2E7C1438A879B6ECADEA520BB/101"/><Relationship Id="rId3743" Type="http://schemas.openxmlformats.org/officeDocument/2006/relationships/hyperlink" TargetMode="External" Target="https://spark-interfax.ru/system/home/card#/company/B0A9BB75E06E4DF78D13C92941D0F0A8/101"/><Relationship Id="rId3744" Type="http://schemas.openxmlformats.org/officeDocument/2006/relationships/hyperlink" TargetMode="External" Target="https://spark-interfax.ru/system/home/card#/company/CFE1C91B0B5E456CA78E3C9080F6B24C/101"/><Relationship Id="rId3745" Type="http://schemas.openxmlformats.org/officeDocument/2006/relationships/hyperlink" TargetMode="External" Target="https://spark-interfax.ru/system/home/card#/company/B68678BEB156719DE053219AA8C0896F/101"/><Relationship Id="rId3746" Type="http://schemas.openxmlformats.org/officeDocument/2006/relationships/hyperlink" TargetMode="External" Target="https://spark-interfax.ru/system/home/card#/company/B372EA12458C4DC1A6C84BCB1663CCC6/101"/><Relationship Id="rId3747" Type="http://schemas.openxmlformats.org/officeDocument/2006/relationships/hyperlink" TargetMode="External" Target="https://spark-interfax.ru/system/home/card#/company/0BFBF9FC1B6F4B859E1690A68A77A082/101"/><Relationship Id="rId3748" Type="http://schemas.openxmlformats.org/officeDocument/2006/relationships/hyperlink" TargetMode="External" Target="https://spark-interfax.ru/system/home/card#/company/BB481DE097D14EF89A66D575E187D4FE/101"/><Relationship Id="rId3749" Type="http://schemas.openxmlformats.org/officeDocument/2006/relationships/hyperlink" TargetMode="External" Target="https://spark-interfax.ru/system/home/card#/company/C718D7387FF94E33A8A5717EF92BE3FD/101"/><Relationship Id="rId3750" Type="http://schemas.openxmlformats.org/officeDocument/2006/relationships/hyperlink" TargetMode="External" Target="https://spark-interfax.ru/system/home/card#/company/4A62700B19A3417EAC7F88BD747B20D0/101"/><Relationship Id="rId3751" Type="http://schemas.openxmlformats.org/officeDocument/2006/relationships/hyperlink" TargetMode="External" Target="https://spark-interfax.ru/system/home/card#/company/B0006520CB4345D6947C7023ED317740/101"/><Relationship Id="rId3752" Type="http://schemas.openxmlformats.org/officeDocument/2006/relationships/hyperlink" TargetMode="External" Target="https://spark-interfax.ru/system/home/card#/company/9DD939C5B6FD6C16E053179AA8C0C319/101"/><Relationship Id="rId3753" Type="http://schemas.openxmlformats.org/officeDocument/2006/relationships/hyperlink" TargetMode="External" Target="https://spark-interfax.ru/system/home/card#/company/EC91E8EB8C25425EBF28975D699210E0/101"/><Relationship Id="rId3754" Type="http://schemas.openxmlformats.org/officeDocument/2006/relationships/hyperlink" TargetMode="External" Target="https://spark-interfax.ru/system/home/card#/company/0929275A25F043DFB3B82A6A2CB28A4D/101"/><Relationship Id="rId3755" Type="http://schemas.openxmlformats.org/officeDocument/2006/relationships/hyperlink" TargetMode="External" Target="https://spark-interfax.ru/system/home/card#/company/560AAA3C9FF547F7858523B272F96D7D/101"/><Relationship Id="rId3756" Type="http://schemas.openxmlformats.org/officeDocument/2006/relationships/hyperlink" TargetMode="External" Target="https://spark-interfax.ru/system/home/card#/company/71FD4AF1ABAF45A5BC8A80267BA12B22/101"/><Relationship Id="rId3757" Type="http://schemas.openxmlformats.org/officeDocument/2006/relationships/hyperlink" TargetMode="External" Target="https://spark-interfax.ru/system/home/card#/company/7C9249EC66344B199365DC7491B33305/101"/><Relationship Id="rId3758" Type="http://schemas.openxmlformats.org/officeDocument/2006/relationships/hyperlink" TargetMode="External" Target="https://spark-interfax.ru/system/home/card#/company/F74CD8D54B06415AA5A6F5A2A5268ECD/101"/><Relationship Id="rId3759" Type="http://schemas.openxmlformats.org/officeDocument/2006/relationships/hyperlink" TargetMode="External" Target="https://spark-interfax.ru/system/home/card#/company/B7346FBA65E344938F839AF815177D47/101"/><Relationship Id="rId3760" Type="http://schemas.openxmlformats.org/officeDocument/2006/relationships/hyperlink" TargetMode="External" Target="https://spark-interfax.ru/system/home/card#/company/59CC526D4E8722CBE0531C9AA8C0FD79/101"/><Relationship Id="rId3761" Type="http://schemas.openxmlformats.org/officeDocument/2006/relationships/hyperlink" TargetMode="External" Target="https://spark-interfax.ru/system/home/card#/company/A035836B1FFB4229912E5A21C1B63B6C/101"/><Relationship Id="rId3762" Type="http://schemas.openxmlformats.org/officeDocument/2006/relationships/hyperlink" TargetMode="External" Target="https://spark-interfax.ru/system/home/card#/company/6E8DC7E4C3A842C29B9D7AD6337E940E/101"/><Relationship Id="rId3763" Type="http://schemas.openxmlformats.org/officeDocument/2006/relationships/hyperlink" TargetMode="External" Target="https://spark-interfax.ru/system/home/card#/company/53334B2013A24A3B93F3DDB824910CC8/101"/><Relationship Id="rId3764" Type="http://schemas.openxmlformats.org/officeDocument/2006/relationships/hyperlink" TargetMode="External" Target="https://spark-interfax.ru/system/home/card#/company/4FE1B6E1C5B04B2B81945335A52DC6D5/101"/><Relationship Id="rId3765" Type="http://schemas.openxmlformats.org/officeDocument/2006/relationships/hyperlink" TargetMode="External" Target="https://spark-interfax.ru/system/home/card#/company/42DCD50E73B64C6AB3C0634305908615/101"/><Relationship Id="rId3766" Type="http://schemas.openxmlformats.org/officeDocument/2006/relationships/hyperlink" TargetMode="External" Target="https://spark-interfax.ru/system/home/card#/company/FDC4A0A613B447A186159C89D72E6FEF/101"/><Relationship Id="rId3767" Type="http://schemas.openxmlformats.org/officeDocument/2006/relationships/hyperlink" TargetMode="External" Target="https://spark-interfax.ru/system/home/card#/company/79A051C9136767BAE0531F9AA8C0D1DE/101"/><Relationship Id="rId3768" Type="http://schemas.openxmlformats.org/officeDocument/2006/relationships/hyperlink" TargetMode="External" Target="https://spark-interfax.ru/system/home/card#/company/157BB1743201456391A5D5ADE18B6B38/101"/><Relationship Id="rId3769" Type="http://schemas.openxmlformats.org/officeDocument/2006/relationships/hyperlink" TargetMode="External" Target="https://spark-interfax.ru/system/home/card#/company/7053E181D09E41C89B85729A3599D920/101"/><Relationship Id="rId3770" Type="http://schemas.openxmlformats.org/officeDocument/2006/relationships/hyperlink" TargetMode="External" Target="https://spark-interfax.ru/system/home/card#/company/6761C3B48D3B49199C27050E906CA7D5/101"/><Relationship Id="rId3771" Type="http://schemas.openxmlformats.org/officeDocument/2006/relationships/hyperlink" TargetMode="External" Target="https://spark-interfax.ru/system/home/card#/company/ED2D4FA154944F9D959F36EBF5790262/101"/><Relationship Id="rId3772" Type="http://schemas.openxmlformats.org/officeDocument/2006/relationships/hyperlink" TargetMode="External" Target="https://spark-interfax.ru/system/home/card#/company/D95B8B0E07664DB98CC2A1144A5AD722/101"/><Relationship Id="rId3773" Type="http://schemas.openxmlformats.org/officeDocument/2006/relationships/hyperlink" TargetMode="External" Target="https://spark-interfax.ru/system/home/card#/company/8B4B6EA162DF4BC3BC785DFB97B70013/101"/><Relationship Id="rId3774" Type="http://schemas.openxmlformats.org/officeDocument/2006/relationships/hyperlink" TargetMode="External" Target="https://spark-interfax.ru/system/home/card#/company/9623896E871846EBAA13415386A7692E/101"/><Relationship Id="rId3775" Type="http://schemas.openxmlformats.org/officeDocument/2006/relationships/hyperlink" TargetMode="External" Target="https://spark-interfax.ru/system/home/card#/company/FE58ACF98ADB483C9701BFCE2B1CF7D6/101"/><Relationship Id="rId3776" Type="http://schemas.openxmlformats.org/officeDocument/2006/relationships/hyperlink" TargetMode="External" Target="https://spark-interfax.ru/system/home/card#/company/A01A7A6BE48245E3AD5D55AF7AB4C590/101"/><Relationship Id="rId3777" Type="http://schemas.openxmlformats.org/officeDocument/2006/relationships/hyperlink" TargetMode="External" Target="https://spark-interfax.ru/system/home/card#/company/AB667870BB6D4D90A55A93B8FF1AA6F6/101"/><Relationship Id="rId3778" Type="http://schemas.openxmlformats.org/officeDocument/2006/relationships/hyperlink" TargetMode="External" Target="https://spark-interfax.ru/system/home/card#/company/34B75C6D22C243AD9D4326307075082D/101"/><Relationship Id="rId3779" Type="http://schemas.openxmlformats.org/officeDocument/2006/relationships/hyperlink" TargetMode="External" Target="https://spark-interfax.ru/system/home/card#/company/0BA24EA95CD242E4A4E273C695662974/101"/><Relationship Id="rId3780" Type="http://schemas.openxmlformats.org/officeDocument/2006/relationships/hyperlink" TargetMode="External" Target="https://spark-interfax.ru/system/home/card#/company/5C52C276DB60493F86EDD9E5334DAE7C/101"/><Relationship Id="rId3781" Type="http://schemas.openxmlformats.org/officeDocument/2006/relationships/hyperlink" TargetMode="External" Target="https://spark-interfax.ru/system/home/card#/company/AE32DA6E5D404B55A9DA96D8547FB482/101"/><Relationship Id="rId3782" Type="http://schemas.openxmlformats.org/officeDocument/2006/relationships/hyperlink" TargetMode="External" Target="https://spark-interfax.ru/system/home/card#/company/C0BAB96CE1BB4D409BB627253F42E002/101"/><Relationship Id="rId3783" Type="http://schemas.openxmlformats.org/officeDocument/2006/relationships/hyperlink" TargetMode="External" Target="https://spark-interfax.ru/system/home/card#/company/CD1CC308AB844D1892A3AB39536F5029/101"/><Relationship Id="rId3784" Type="http://schemas.openxmlformats.org/officeDocument/2006/relationships/hyperlink" TargetMode="External" Target="https://spark-interfax.ru/system/home/card#/company/DAA545975F424FE4A8FA094AF1E1689F/101"/><Relationship Id="rId3785" Type="http://schemas.openxmlformats.org/officeDocument/2006/relationships/hyperlink" TargetMode="External" Target="https://spark-interfax.ru/system/home/card#/company/D3C0E590BF3F09C0E053259AA8C041D7/101"/><Relationship Id="rId3786" Type="http://schemas.openxmlformats.org/officeDocument/2006/relationships/hyperlink" TargetMode="External" Target="https://spark-interfax.ru/system/home/card#/company/5522B0901DF947B2BA9DA8019FC5BF7C/101"/><Relationship Id="rId3787" Type="http://schemas.openxmlformats.org/officeDocument/2006/relationships/hyperlink" TargetMode="External" Target="https://spark-interfax.ru/system/home/card#/company/E2F24E555F96438582B25BD0048B81A1/101"/><Relationship Id="rId3788" Type="http://schemas.openxmlformats.org/officeDocument/2006/relationships/hyperlink" TargetMode="External" Target="https://spark-interfax.ru/system/home/card#/company/3836B88EB38542129C80CE5329EA87D5/101"/><Relationship Id="rId3789" Type="http://schemas.openxmlformats.org/officeDocument/2006/relationships/hyperlink" TargetMode="External" Target="https://spark-interfax.ru/system/home/card#/company/7C367C37500848B58BC771371B0DA3C5/101"/><Relationship Id="rId3790" Type="http://schemas.openxmlformats.org/officeDocument/2006/relationships/hyperlink" TargetMode="External" Target="https://spark-interfax.ru/system/home/card#/company/F14ADCC5E6AA4D18B161F1EDC85F9F27/101"/><Relationship Id="rId3791" Type="http://schemas.openxmlformats.org/officeDocument/2006/relationships/hyperlink" TargetMode="External" Target="https://spark-interfax.ru/system/home/card#/company/CCE61A3944804EAC850F4D1D120DCDBB/101"/><Relationship Id="rId3792" Type="http://schemas.openxmlformats.org/officeDocument/2006/relationships/hyperlink" TargetMode="External" Target="https://spark-interfax.ru/system/home/card#/company/7B82BA2D3F7F4911AD3DE6675D897CEF/101"/><Relationship Id="rId3793" Type="http://schemas.openxmlformats.org/officeDocument/2006/relationships/hyperlink" TargetMode="External" Target="https://spark-interfax.ru/system/home/card#/company/FB8A7BEA12EF499287752992F56B1EA1/101"/><Relationship Id="rId3794" Type="http://schemas.openxmlformats.org/officeDocument/2006/relationships/hyperlink" TargetMode="External" Target="https://spark-interfax.ru/system/home/card#/company/B195924B7015464899ED8F68C52E77E9/101"/><Relationship Id="rId3795" Type="http://schemas.openxmlformats.org/officeDocument/2006/relationships/hyperlink" TargetMode="External" Target="https://spark-interfax.ru/system/home/card#/company/6B9F251EDDDE4C37AD42FB754A94BD2E/101"/><Relationship Id="rId3796" Type="http://schemas.openxmlformats.org/officeDocument/2006/relationships/hyperlink" TargetMode="External" Target="https://spark-interfax.ru/system/home/card#/company/8190F7D849C54E158DC608E10DB532CE/101"/><Relationship Id="rId3797" Type="http://schemas.openxmlformats.org/officeDocument/2006/relationships/hyperlink" TargetMode="External" Target="https://spark-interfax.ru/system/home/card#/company/5BB6D2ABE6864D78A934CAA347771AB9/101"/><Relationship Id="rId3798" Type="http://schemas.openxmlformats.org/officeDocument/2006/relationships/hyperlink" TargetMode="External" Target="https://spark-interfax.ru/system/home/card#/company/47D2D2BD1BFC4230B0F5F0E5726AD58E/101"/><Relationship Id="rId3799" Type="http://schemas.openxmlformats.org/officeDocument/2006/relationships/hyperlink" TargetMode="External" Target="https://spark-interfax.ru/system/home/card#/company/735D59B4C23546868FBBE44725831FCD/101"/><Relationship Id="rId3800" Type="http://schemas.openxmlformats.org/officeDocument/2006/relationships/hyperlink" TargetMode="External" Target="https://spark-interfax.ru/system/home/card#/company/911B4926E4D14A91809C9C71C2F1F54D/101"/><Relationship Id="rId3801" Type="http://schemas.openxmlformats.org/officeDocument/2006/relationships/hyperlink" TargetMode="External" Target="https://spark-interfax.ru/system/home/card#/company/220637E72A41466D9BBAA15F5D92EEFA/101"/><Relationship Id="rId3802" Type="http://schemas.openxmlformats.org/officeDocument/2006/relationships/hyperlink" TargetMode="External" Target="https://spark-interfax.ru/system/home/card#/company/91F6892C3BA34C7F97F4718D61E315CE/101"/><Relationship Id="rId3803" Type="http://schemas.openxmlformats.org/officeDocument/2006/relationships/hyperlink" TargetMode="External" Target="https://spark-interfax.ru/system/home/card#/company/58BEDF05A9594DEA8A1EDD8657E74EB9/101"/><Relationship Id="rId3804" Type="http://schemas.openxmlformats.org/officeDocument/2006/relationships/hyperlink" TargetMode="External" Target="https://spark-interfax.ru/system/home/card#/company/39AD015CEDAA47458106291D9637942D/101"/><Relationship Id="rId3805" Type="http://schemas.openxmlformats.org/officeDocument/2006/relationships/hyperlink" TargetMode="External" Target="https://spark-interfax.ru/system/home/card#/company/D850200838D31A44E053259AA8C023E0/101"/><Relationship Id="rId3806" Type="http://schemas.openxmlformats.org/officeDocument/2006/relationships/hyperlink" TargetMode="External" Target="https://spark-interfax.ru/system/home/card#/company/A6D6B5DBF73849989BFD7F4ED0435B4E/101"/><Relationship Id="rId3807" Type="http://schemas.openxmlformats.org/officeDocument/2006/relationships/hyperlink" TargetMode="External" Target="https://spark-interfax.ru/system/home/card#/company/93DFB8CC57C7376FE0531B9AA8C0521B/101"/><Relationship Id="rId3808" Type="http://schemas.openxmlformats.org/officeDocument/2006/relationships/hyperlink" TargetMode="External" Target="https://spark-interfax.ru/system/home/card#/company/4B48239DC8484795A23B32D65674726A/101"/><Relationship Id="rId3809" Type="http://schemas.openxmlformats.org/officeDocument/2006/relationships/hyperlink" TargetMode="External" Target="https://spark-interfax.ru/system/home/card#/company/00BACEAD6B32420291579205D93C40D4/101"/><Relationship Id="rId3810" Type="http://schemas.openxmlformats.org/officeDocument/2006/relationships/hyperlink" TargetMode="External" Target="https://spark-interfax.ru/system/home/card#/company/FCCD3583D1D94D1896AB9D24CDE7C6DC/101"/><Relationship Id="rId3811" Type="http://schemas.openxmlformats.org/officeDocument/2006/relationships/hyperlink" TargetMode="External" Target="https://spark-interfax.ru/system/home/card#/company/51D52F78C1CC45D8AB1A97833CCA357B/101"/><Relationship Id="rId3812" Type="http://schemas.openxmlformats.org/officeDocument/2006/relationships/hyperlink" TargetMode="External" Target="https://spark-interfax.ru/system/home/card#/company/BB582D4449794B509D693A6F25B2F503/101"/><Relationship Id="rId3813" Type="http://schemas.openxmlformats.org/officeDocument/2006/relationships/hyperlink" TargetMode="External" Target="https://spark-interfax.ru/system/home/card#/company/0BBB47FE2E0D44228E06EA7664F485A6/101"/><Relationship Id="rId3814" Type="http://schemas.openxmlformats.org/officeDocument/2006/relationships/hyperlink" TargetMode="External" Target="https://spark-interfax.ru/system/home/card#/company/49BD59A2DEBD487A99B4C1AB6C11C129/101"/><Relationship Id="rId3815" Type="http://schemas.openxmlformats.org/officeDocument/2006/relationships/hyperlink" TargetMode="External" Target="https://spark-interfax.ru/system/home/card#/company/237422A491C04664B82BDA44C1A7ECF8/101"/><Relationship Id="rId3816" Type="http://schemas.openxmlformats.org/officeDocument/2006/relationships/hyperlink" TargetMode="External" Target="https://spark-interfax.ru/system/home/card#/company/6B135C471FDD43D7BD088CD0EFFFCAB2/101"/><Relationship Id="rId3817" Type="http://schemas.openxmlformats.org/officeDocument/2006/relationships/hyperlink" TargetMode="External" Target="https://spark-interfax.ru/system/home/card#/company/9E8E5ACE1AEB4834E053179AA8C0D939/101"/><Relationship Id="rId3818" Type="http://schemas.openxmlformats.org/officeDocument/2006/relationships/hyperlink" TargetMode="External" Target="https://spark-interfax.ru/system/home/card#/company/1CFD12FDC7154E4E8BC853D23B9AA4FB/101"/><Relationship Id="rId3819" Type="http://schemas.openxmlformats.org/officeDocument/2006/relationships/hyperlink" TargetMode="External" Target="https://spark-interfax.ru/system/home/card#/company/24D87ECCBCB74C099A930F4B488AE5D8/101"/><Relationship Id="rId3820" Type="http://schemas.openxmlformats.org/officeDocument/2006/relationships/hyperlink" TargetMode="External" Target="https://spark-interfax.ru/system/home/card#/company/460C267FEF9247ED8BBCBC32BB1DA6AD/101"/><Relationship Id="rId3821" Type="http://schemas.openxmlformats.org/officeDocument/2006/relationships/hyperlink" TargetMode="External" Target="https://spark-interfax.ru/system/home/card#/company/5FD88888A8B34C159E2C58476EE48EC6/101"/><Relationship Id="rId3822" Type="http://schemas.openxmlformats.org/officeDocument/2006/relationships/hyperlink" TargetMode="External" Target="https://spark-interfax.ru/system/home/card#/company/A6EA72B1A7BB4FADAF9235EDC941DFA7/101"/><Relationship Id="rId3823" Type="http://schemas.openxmlformats.org/officeDocument/2006/relationships/hyperlink" TargetMode="External" Target="https://spark-interfax.ru/system/home/card#/company/344368107C794094A87E82EE10776829/101"/><Relationship Id="rId3824" Type="http://schemas.openxmlformats.org/officeDocument/2006/relationships/hyperlink" TargetMode="External" Target="https://spark-interfax.ru/system/home/card#/company/72B4D97E5C704915B00D0FA4C36B6711/101"/><Relationship Id="rId3825" Type="http://schemas.openxmlformats.org/officeDocument/2006/relationships/hyperlink" TargetMode="External" Target="https://spark-interfax.ru/system/home/card#/company/82D55B746D914F98A8666C60DB7140FB/101"/><Relationship Id="rId3826" Type="http://schemas.openxmlformats.org/officeDocument/2006/relationships/hyperlink" TargetMode="External" Target="https://spark-interfax.ru/system/home/card#/company/5972993BF6914BEE91B6A23D624AA762/101"/><Relationship Id="rId3827" Type="http://schemas.openxmlformats.org/officeDocument/2006/relationships/hyperlink" TargetMode="External" Target="https://spark-interfax.ru/system/home/card#/company/E4806199B2C448368F8AA7C6E5561728/101"/><Relationship Id="rId3828" Type="http://schemas.openxmlformats.org/officeDocument/2006/relationships/hyperlink" TargetMode="External" Target="https://spark-interfax.ru/system/home/card#/company/04499037F2CB47CCA631D46976F17BA5/101"/><Relationship Id="rId3829" Type="http://schemas.openxmlformats.org/officeDocument/2006/relationships/hyperlink" TargetMode="External" Target="https://spark-interfax.ru/system/home/card#/company/49FA49B7F6FB45C1A51BE0AA8B1A223D/101"/><Relationship Id="rId3830" Type="http://schemas.openxmlformats.org/officeDocument/2006/relationships/hyperlink" TargetMode="External" Target="https://spark-interfax.ru/system/home/card#/company/28E8A364A3CE4FDE913C20C15CC6E19D/101"/><Relationship Id="rId3831" Type="http://schemas.openxmlformats.org/officeDocument/2006/relationships/hyperlink" TargetMode="External" Target="https://spark-interfax.ru/system/home/card#/company/34289DECA30F43EFB228B661FF1846F1/101"/><Relationship Id="rId3832" Type="http://schemas.openxmlformats.org/officeDocument/2006/relationships/hyperlink" TargetMode="External" Target="https://spark-interfax.ru/system/home/card#/company/1B5EEC846C414C33AF9C7F1A43BCCA1D/101"/><Relationship Id="rId3833" Type="http://schemas.openxmlformats.org/officeDocument/2006/relationships/hyperlink" TargetMode="External" Target="https://spark-interfax.ru/system/home/card#/company/E8CA3B83FDD9407BB9ABB6EB2B87FAA3/101"/><Relationship Id="rId3834" Type="http://schemas.openxmlformats.org/officeDocument/2006/relationships/hyperlink" TargetMode="External" Target="https://spark-interfax.ru/system/home/card#/company/08517C93FAB54C62A12824DC099ED2BE/101"/><Relationship Id="rId3835" Type="http://schemas.openxmlformats.org/officeDocument/2006/relationships/hyperlink" TargetMode="External" Target="https://spark-interfax.ru/system/home/card#/company/7212DBFBB4504CB4876CF13E191A377D/101"/><Relationship Id="rId3836" Type="http://schemas.openxmlformats.org/officeDocument/2006/relationships/hyperlink" TargetMode="External" Target="https://spark-interfax.ru/system/home/card#/company/3F91FDED230F44E7817278485707EEA2/101"/><Relationship Id="rId3837" Type="http://schemas.openxmlformats.org/officeDocument/2006/relationships/hyperlink" TargetMode="External" Target="https://spark-interfax.ru/system/home/card#/company/44DC3C4C5FE4499CBDAA9F5496EFAC4C/101"/><Relationship Id="rId3838" Type="http://schemas.openxmlformats.org/officeDocument/2006/relationships/hyperlink" TargetMode="External" Target="https://spark-interfax.ru/system/home/card#/company/0A0A05ADD811462F902A3D57A9D5AB46/101"/><Relationship Id="rId3839" Type="http://schemas.openxmlformats.org/officeDocument/2006/relationships/hyperlink" TargetMode="External" Target="https://spark-interfax.ru/system/home/card#/company/5B4C4B9260F667EDE0531C9AA8C0428C/101"/><Relationship Id="rId3840" Type="http://schemas.openxmlformats.org/officeDocument/2006/relationships/hyperlink" TargetMode="External" Target="https://spark-interfax.ru/system/home/card#/company/691F44F2F2124F6883F009A43744E486/101"/><Relationship Id="rId3841" Type="http://schemas.openxmlformats.org/officeDocument/2006/relationships/hyperlink" TargetMode="External" Target="https://spark-interfax.ru/system/home/card#/company/AB9930A306414AB1AFEE7EEF833B535A/101"/><Relationship Id="rId3842" Type="http://schemas.openxmlformats.org/officeDocument/2006/relationships/hyperlink" TargetMode="External" Target="https://spark-interfax.ru/system/home/card#/company/FA0A9DCEF7BF4AA18F118D41B32984E0/101"/><Relationship Id="rId3843" Type="http://schemas.openxmlformats.org/officeDocument/2006/relationships/hyperlink" TargetMode="External" Target="https://spark-interfax.ru/system/home/card#/company/1975F5549F3A4C4C938CF279401C6A0C/101"/><Relationship Id="rId3844" Type="http://schemas.openxmlformats.org/officeDocument/2006/relationships/hyperlink" TargetMode="External" Target="https://spark-interfax.ru/system/home/card#/company/682F1988A22547268753D823EFFFEDB0/101"/><Relationship Id="rId3845" Type="http://schemas.openxmlformats.org/officeDocument/2006/relationships/hyperlink" TargetMode="External" Target="https://spark-interfax.ru/system/home/card#/company/1A0F18AC802C42B7A3D92FD67CC91104/101"/><Relationship Id="rId3846" Type="http://schemas.openxmlformats.org/officeDocument/2006/relationships/hyperlink" TargetMode="External" Target="https://spark-interfax.ru/system/home/card#/company/0E6D521E14B84331B113B7387B07EF02/101"/><Relationship Id="rId3847" Type="http://schemas.openxmlformats.org/officeDocument/2006/relationships/hyperlink" TargetMode="External" Target="https://spark-interfax.ru/system/home/card#/company/E3B81662D69345B7B16E43538FD04682/101"/><Relationship Id="rId3848" Type="http://schemas.openxmlformats.org/officeDocument/2006/relationships/hyperlink" TargetMode="External" Target="https://spark-interfax.ru/system/home/card#/company/7D246EC5320643B498737F861EB3040A/101"/><Relationship Id="rId3849" Type="http://schemas.openxmlformats.org/officeDocument/2006/relationships/hyperlink" TargetMode="External" Target="https://spark-interfax.ru/system/home/card#/company/FAD380DE3C034E418DE353237D4482F8/101"/><Relationship Id="rId3850" Type="http://schemas.openxmlformats.org/officeDocument/2006/relationships/hyperlink" TargetMode="External" Target="https://spark-interfax.ru/system/home/card#/company/6B5C15202C104BF19839BB9D00390560/101"/><Relationship Id="rId3851" Type="http://schemas.openxmlformats.org/officeDocument/2006/relationships/hyperlink" TargetMode="External" Target="https://spark-interfax.ru/system/home/card#/company/962666BCA21C478DE0531B9AA8C0399A/101"/><Relationship Id="rId3852" Type="http://schemas.openxmlformats.org/officeDocument/2006/relationships/hyperlink" TargetMode="External" Target="https://spark-interfax.ru/system/home/card#/company/C81AA53928C2440EBB4B49975D18D9AB/101"/><Relationship Id="rId3853" Type="http://schemas.openxmlformats.org/officeDocument/2006/relationships/hyperlink" TargetMode="External" Target="https://spark-interfax.ru/system/home/card#/company/FA377CBDEF7D4238B682BD54AAA5AACF/101"/><Relationship Id="rId3854" Type="http://schemas.openxmlformats.org/officeDocument/2006/relationships/hyperlink" TargetMode="External" Target="https://spark-interfax.ru/system/home/card#/company/A58BEDC893F44E2FB67E62F171A0FA8C/101"/><Relationship Id="rId3855" Type="http://schemas.openxmlformats.org/officeDocument/2006/relationships/hyperlink" TargetMode="External" Target="https://spark-interfax.ru/system/home/card#/company/3E3998AED1F14AB581C11B0A56AD032E/101"/><Relationship Id="rId3856" Type="http://schemas.openxmlformats.org/officeDocument/2006/relationships/hyperlink" TargetMode="External" Target="https://spark-interfax.ru/system/home/card#/company/7AEC2047710746CBBCD020CA4CC9581B/101"/><Relationship Id="rId3857" Type="http://schemas.openxmlformats.org/officeDocument/2006/relationships/hyperlink" TargetMode="External" Target="https://spark-interfax.ru/system/home/card#/company/759DBB1ED2206D5AE0531B9AA8C0755B/101"/><Relationship Id="rId3858" Type="http://schemas.openxmlformats.org/officeDocument/2006/relationships/hyperlink" TargetMode="External" Target="https://spark-interfax.ru/system/home/card#/company/CB11F1DFB8624ABAB0F6834AC4EB51F8/101"/><Relationship Id="rId3859" Type="http://schemas.openxmlformats.org/officeDocument/2006/relationships/hyperlink" TargetMode="External" Target="https://spark-interfax.ru/system/home/card#/company/D0E08D43157549FDB476257149B67809/101"/><Relationship Id="rId3860" Type="http://schemas.openxmlformats.org/officeDocument/2006/relationships/hyperlink" TargetMode="External" Target="https://spark-interfax.ru/system/home/card#/company/F57C22E297934D7CBC48E370B40A082B/101"/><Relationship Id="rId3861" Type="http://schemas.openxmlformats.org/officeDocument/2006/relationships/hyperlink" TargetMode="External" Target="https://spark-interfax.ru/system/home/card#/company/99E11F35CB564A178D854329C3DA9E4D/101"/><Relationship Id="rId3862" Type="http://schemas.openxmlformats.org/officeDocument/2006/relationships/hyperlink" TargetMode="External" Target="https://spark-interfax.ru/system/home/card#/company/7C874CB7B65D488FBBF4264D3A938CF1/101"/><Relationship Id="rId3863" Type="http://schemas.openxmlformats.org/officeDocument/2006/relationships/hyperlink" TargetMode="External" Target="https://spark-interfax.ru/system/home/card#/company/D68A3BDEEB884B7B9564F0A29711874C/101"/><Relationship Id="rId3864" Type="http://schemas.openxmlformats.org/officeDocument/2006/relationships/hyperlink" TargetMode="External" Target="https://spark-interfax.ru/system/home/card#/company/23FF32F744674021A5A40D22E94EEAC1/101"/><Relationship Id="rId3865" Type="http://schemas.openxmlformats.org/officeDocument/2006/relationships/hyperlink" TargetMode="External" Target="https://spark-interfax.ru/system/home/card#/company/9C2BBB9FD8AD48809B68010D4FA037DB/101"/><Relationship Id="rId3866" Type="http://schemas.openxmlformats.org/officeDocument/2006/relationships/hyperlink" TargetMode="External" Target="https://spark-interfax.ru/system/home/card#/company/26B8A84110D7487E95D04A18C7C31FBC/101"/><Relationship Id="rId3867" Type="http://schemas.openxmlformats.org/officeDocument/2006/relationships/hyperlink" TargetMode="External" Target="https://spark-interfax.ru/system/home/card#/company/F6C076F995B142C6B68F501DC85B4A09/101"/><Relationship Id="rId3868" Type="http://schemas.openxmlformats.org/officeDocument/2006/relationships/hyperlink" TargetMode="External" Target="https://spark-interfax.ru/system/home/card#/company/FC1E3C2ADD35498A8F5A1301D29C9C87/101"/><Relationship Id="rId3869" Type="http://schemas.openxmlformats.org/officeDocument/2006/relationships/hyperlink" TargetMode="External" Target="https://spark-interfax.ru/system/home/card#/company/0218B8001F3D44A98E7AF5612CEBDB80/101"/><Relationship Id="rId3870" Type="http://schemas.openxmlformats.org/officeDocument/2006/relationships/hyperlink" TargetMode="External" Target="https://spark-interfax.ru/system/home/card#/company/67783870547C4AF587076329131A8A84/101"/><Relationship Id="rId3871" Type="http://schemas.openxmlformats.org/officeDocument/2006/relationships/hyperlink" TargetMode="External" Target="https://spark-interfax.ru/system/home/card#/company/C5994C6AC5124BC488E168BDA1F11448/101"/><Relationship Id="rId3872" Type="http://schemas.openxmlformats.org/officeDocument/2006/relationships/hyperlink" TargetMode="External" Target="https://spark-interfax.ru/system/home/card#/company/73573DBCCFD18136E0531B9AA8C04EFF/101"/><Relationship Id="rId3873" Type="http://schemas.openxmlformats.org/officeDocument/2006/relationships/hyperlink" TargetMode="External" Target="https://spark-interfax.ru/system/home/card#/company/FF83E18B4FBE47238CD0390C3E048FF8/101"/><Relationship Id="rId3874" Type="http://schemas.openxmlformats.org/officeDocument/2006/relationships/hyperlink" TargetMode="External" Target="https://spark-interfax.ru/system/home/card#/company/724C548EAA834CEB9EB29C8099F91E43/101"/><Relationship Id="rId3875" Type="http://schemas.openxmlformats.org/officeDocument/2006/relationships/hyperlink" TargetMode="External" Target="https://spark-interfax.ru/system/home/card#/company/7420D743E23A6D21E0531B9AA8C07841/101"/><Relationship Id="rId3876" Type="http://schemas.openxmlformats.org/officeDocument/2006/relationships/hyperlink" TargetMode="External" Target="https://spark-interfax.ru/system/home/card#/company/2AE9FD5AD345409393539DA792BBB066/101"/><Relationship Id="rId3877" Type="http://schemas.openxmlformats.org/officeDocument/2006/relationships/hyperlink" TargetMode="External" Target="https://spark-interfax.ru/system/home/card#/company/A5C3E421154841FF97C6A775F0354BC5/101"/><Relationship Id="rId3878" Type="http://schemas.openxmlformats.org/officeDocument/2006/relationships/hyperlink" TargetMode="External" Target="https://spark-interfax.ru/system/home/card#/company/F6024D261C414C12AB86851A208949B4/101"/><Relationship Id="rId3879" Type="http://schemas.openxmlformats.org/officeDocument/2006/relationships/hyperlink" TargetMode="External" Target="https://spark-interfax.ru/system/home/card#/company/D7A70B46B9DE4EE1A049DD37AD9BE232/101"/><Relationship Id="rId3880" Type="http://schemas.openxmlformats.org/officeDocument/2006/relationships/hyperlink" TargetMode="External" Target="https://spark-interfax.ru/system/home/card#/company/612AB858EC1D4F4D8B1A2B10DDD6EE2D/101"/><Relationship Id="rId3881" Type="http://schemas.openxmlformats.org/officeDocument/2006/relationships/hyperlink" TargetMode="External" Target="https://spark-interfax.ru/system/home/card#/company/81080D900DF446AD84B9A2B082BE7DBF/101"/><Relationship Id="rId3882" Type="http://schemas.openxmlformats.org/officeDocument/2006/relationships/hyperlink" TargetMode="External" Target="https://spark-interfax.ru/system/home/card#/company/70B1A170AD8D431CBE7A9B82B3B26B6A/101"/><Relationship Id="rId3883" Type="http://schemas.openxmlformats.org/officeDocument/2006/relationships/hyperlink" TargetMode="External" Target="https://spark-interfax.ru/system/home/card#/company/CA04FBE9768B4367A6811CEF15BF15CC/101"/><Relationship Id="rId3884" Type="http://schemas.openxmlformats.org/officeDocument/2006/relationships/hyperlink" TargetMode="External" Target="https://spark-interfax.ru/system/home/card#/company/F13E4201249F48AAB0163C01B825FAA8/101"/><Relationship Id="rId3885" Type="http://schemas.openxmlformats.org/officeDocument/2006/relationships/hyperlink" TargetMode="External" Target="https://spark-interfax.ru/system/home/card#/company/5155E500D5314C88BE7FD969E9EAC559/101"/><Relationship Id="rId3886" Type="http://schemas.openxmlformats.org/officeDocument/2006/relationships/hyperlink" TargetMode="External" Target="https://spark-interfax.ru/system/home/card#/company/306D14233BC94CB5A3164005E2F68E1C/101"/><Relationship Id="rId3887" Type="http://schemas.openxmlformats.org/officeDocument/2006/relationships/hyperlink" TargetMode="External" Target="https://spark-interfax.ru/system/home/card#/company/7A02F4219EB94C5AB423449165EFB730/101"/><Relationship Id="rId3888" Type="http://schemas.openxmlformats.org/officeDocument/2006/relationships/hyperlink" TargetMode="External" Target="https://spark-interfax.ru/system/home/card#/company/351C146CE5A641BBA709C9781B417C41/101"/><Relationship Id="rId3889" Type="http://schemas.openxmlformats.org/officeDocument/2006/relationships/hyperlink" TargetMode="External" Target="https://spark-interfax.ru/system/home/card#/company/8D049E63E848463CAB2015788B52F392/101"/><Relationship Id="rId3890" Type="http://schemas.openxmlformats.org/officeDocument/2006/relationships/hyperlink" TargetMode="External" Target="https://spark-interfax.ru/system/home/card#/company/F573F395E4C04898A55BBFC60028A4F3/101"/><Relationship Id="rId3891" Type="http://schemas.openxmlformats.org/officeDocument/2006/relationships/hyperlink" TargetMode="External" Target="https://spark-interfax.ru/system/home/card#/company/EFB14703D4A94F03924570B5CD86A279/101"/><Relationship Id="rId3892" Type="http://schemas.openxmlformats.org/officeDocument/2006/relationships/hyperlink" TargetMode="External" Target="https://spark-interfax.ru/system/home/card#/company/36FE5B8468964B3FA204EE270BB4F604/101"/><Relationship Id="rId3893" Type="http://schemas.openxmlformats.org/officeDocument/2006/relationships/hyperlink" TargetMode="External" Target="https://spark-interfax.ru/system/home/card#/company/7460740B0A6F4507BF1B1B8D5C991317/101"/><Relationship Id="rId3894" Type="http://schemas.openxmlformats.org/officeDocument/2006/relationships/hyperlink" TargetMode="External" Target="https://spark-interfax.ru/system/home/card#/company/7B9928E22B9D4FCFAE2CEBDA09FC6F05/101"/><Relationship Id="rId3895" Type="http://schemas.openxmlformats.org/officeDocument/2006/relationships/hyperlink" TargetMode="External" Target="https://spark-interfax.ru/system/home/card#/company/0BA96B9D5742403785A0CCC7BBBF1608/101"/><Relationship Id="rId3896" Type="http://schemas.openxmlformats.org/officeDocument/2006/relationships/hyperlink" TargetMode="External" Target="https://spark-interfax.ru/system/home/card#/company/47B702EE3DCA4B36A1D6DD510D6C014D/101"/><Relationship Id="rId3897" Type="http://schemas.openxmlformats.org/officeDocument/2006/relationships/hyperlink" TargetMode="External" Target="https://spark-interfax.ru/system/home/card#/company/908BCD0CDD1A47B3925F25927A27EC7A/101"/><Relationship Id="rId3898" Type="http://schemas.openxmlformats.org/officeDocument/2006/relationships/hyperlink" TargetMode="External" Target="https://spark-interfax.ru/system/home/card#/company/3A521B5C86004738A5240061F4798786/101"/><Relationship Id="rId3899" Type="http://schemas.openxmlformats.org/officeDocument/2006/relationships/hyperlink" TargetMode="External" Target="https://spark-interfax.ru/system/home/card#/company/726679996C784853A126CDBCAF534389/101"/><Relationship Id="rId3900" Type="http://schemas.openxmlformats.org/officeDocument/2006/relationships/hyperlink" TargetMode="External" Target="https://spark-interfax.ru/system/home/card#/company/F832879194A744EEA23492D684803015/101"/><Relationship Id="rId3901" Type="http://schemas.openxmlformats.org/officeDocument/2006/relationships/hyperlink" TargetMode="External" Target="https://spark-interfax.ru/system/home/card#/company/6776CA75E0FB45C3A6E8D13BA649C1F1/101"/><Relationship Id="rId3902" Type="http://schemas.openxmlformats.org/officeDocument/2006/relationships/hyperlink" TargetMode="External" Target="https://spark-interfax.ru/system/home/card#/company/289BC21DB4B349B69889C803BDDC44A6/101"/><Relationship Id="rId3903" Type="http://schemas.openxmlformats.org/officeDocument/2006/relationships/hyperlink" TargetMode="External" Target="https://spark-interfax.ru/system/home/card#/company/7EC33CB700794490AB6473813F5D5913/101"/><Relationship Id="rId3904" Type="http://schemas.openxmlformats.org/officeDocument/2006/relationships/hyperlink" TargetMode="External" Target="https://spark-interfax.ru/system/home/card#/company/B03B2FDB371F46EF89A155E03ED389F9/101"/><Relationship Id="rId3905" Type="http://schemas.openxmlformats.org/officeDocument/2006/relationships/hyperlink" TargetMode="External" Target="https://spark-interfax.ru/system/home/card#/company/2C13A6BC9A1F4BBF96E29E0083E38039/101"/><Relationship Id="rId3906" Type="http://schemas.openxmlformats.org/officeDocument/2006/relationships/hyperlink" TargetMode="External" Target="https://spark-interfax.ru/system/home/card#/company/F5C75E0425274ECDBF30E9042BB48D38/101"/><Relationship Id="rId3907" Type="http://schemas.openxmlformats.org/officeDocument/2006/relationships/hyperlink" TargetMode="External" Target="https://spark-interfax.ru/system/home/card#/company/A400CB25E94645AEA58652E33C3E266D/101"/><Relationship Id="rId3908" Type="http://schemas.openxmlformats.org/officeDocument/2006/relationships/hyperlink" TargetMode="External" Target="https://spark-interfax.ru/system/home/card#/company/7055D2321B814C52A970BA9061870E41/101"/><Relationship Id="rId3909" Type="http://schemas.openxmlformats.org/officeDocument/2006/relationships/hyperlink" TargetMode="External" Target="https://spark-interfax.ru/system/home/card#/company/7A213FB6DF00491AB9DFE41594BEDCAF/101"/><Relationship Id="rId3910" Type="http://schemas.openxmlformats.org/officeDocument/2006/relationships/hyperlink" TargetMode="External" Target="https://spark-interfax.ru/system/home/card#/company/38880653BE38404E926D26DC1DB4387E/101"/><Relationship Id="rId3911" Type="http://schemas.openxmlformats.org/officeDocument/2006/relationships/hyperlink" TargetMode="External" Target="https://spark-interfax.ru/system/home/card#/company/CCE3C6ABE60546B99F02F52A80549767/101"/><Relationship Id="rId3912" Type="http://schemas.openxmlformats.org/officeDocument/2006/relationships/hyperlink" TargetMode="External" Target="https://spark-interfax.ru/system/home/card#/company/5DC90EB4FB4E44E590CCB853DB23FCF1/101"/><Relationship Id="rId3913" Type="http://schemas.openxmlformats.org/officeDocument/2006/relationships/hyperlink" TargetMode="External" Target="https://spark-interfax.ru/system/home/card#/company/E062E4288DB243CE8813720849139DF9/101"/><Relationship Id="rId3914" Type="http://schemas.openxmlformats.org/officeDocument/2006/relationships/hyperlink" TargetMode="External" Target="https://spark-interfax.ru/system/home/card#/company/46F573434C684D31AD02DD35E3EF3228/101"/><Relationship Id="rId3915" Type="http://schemas.openxmlformats.org/officeDocument/2006/relationships/hyperlink" TargetMode="External" Target="https://spark-interfax.ru/system/home/card#/company/055CCE5E4C1D494BB5AC748626A69DB9/101"/><Relationship Id="rId3916" Type="http://schemas.openxmlformats.org/officeDocument/2006/relationships/hyperlink" TargetMode="External" Target="https://spark-interfax.ru/system/home/card#/company/52AAE9332D5C49579BB66BE30C447C4B/101"/><Relationship Id="rId3917" Type="http://schemas.openxmlformats.org/officeDocument/2006/relationships/hyperlink" TargetMode="External" Target="https://spark-interfax.ru/system/home/card#/company/DD68313F4B8F416DA2CF9F4962322E5F/101"/><Relationship Id="rId3918" Type="http://schemas.openxmlformats.org/officeDocument/2006/relationships/hyperlink" TargetMode="External" Target="https://spark-interfax.ru/system/home/card#/company/07A7603474FF49B087CC47124E891DC7/101"/><Relationship Id="rId3919" Type="http://schemas.openxmlformats.org/officeDocument/2006/relationships/hyperlink" TargetMode="External" Target="https://spark-interfax.ru/system/home/card#/company/32628210ECF24B57BCCAEE141F97F31B/101"/><Relationship Id="rId3920" Type="http://schemas.openxmlformats.org/officeDocument/2006/relationships/hyperlink" TargetMode="External" Target="https://spark-interfax.ru/system/home/card#/company/FB5EAB1BF1644A2E8F2571A393BE766D/101"/><Relationship Id="rId3921" Type="http://schemas.openxmlformats.org/officeDocument/2006/relationships/hyperlink" TargetMode="External" Target="https://spark-interfax.ru/system/home/card#/company/6BF32F33F48D4C25B91E8C2B26D105FF/101"/><Relationship Id="rId3922" Type="http://schemas.openxmlformats.org/officeDocument/2006/relationships/hyperlink" TargetMode="External" Target="https://spark-interfax.ru/system/home/card#/company/384CCF3855264EA3AAD4A3327A2E6D80/101"/><Relationship Id="rId3923" Type="http://schemas.openxmlformats.org/officeDocument/2006/relationships/hyperlink" TargetMode="External" Target="https://spark-interfax.ru/system/home/card#/company/DCB267B441F9471ABF7B255A4D1E9BBE/101"/><Relationship Id="rId3924" Type="http://schemas.openxmlformats.org/officeDocument/2006/relationships/hyperlink" TargetMode="External" Target="https://spark-interfax.ru/system/home/card#/company/78FFC66A50317263E0531F9AA8C0D545/101"/><Relationship Id="rId3925" Type="http://schemas.openxmlformats.org/officeDocument/2006/relationships/hyperlink" TargetMode="External" Target="https://spark-interfax.ru/system/home/card#/company/E2EC2F373C9B4E1E83074C47CFE86E81/101"/><Relationship Id="rId3926" Type="http://schemas.openxmlformats.org/officeDocument/2006/relationships/hyperlink" TargetMode="External" Target="https://spark-interfax.ru/system/home/card#/company/A3B3203220C2429089AC9843E181C100/101"/><Relationship Id="rId3927" Type="http://schemas.openxmlformats.org/officeDocument/2006/relationships/hyperlink" TargetMode="External" Target="https://spark-interfax.ru/system/home/card#/company/3C6D7328A15A413EA56BF2A3ABB3425E/101"/><Relationship Id="rId3928" Type="http://schemas.openxmlformats.org/officeDocument/2006/relationships/hyperlink" TargetMode="External" Target="https://spark-interfax.ru/system/home/card#/company/C228E01AAEAC4559863560C6824F5DAE/101"/><Relationship Id="rId3929" Type="http://schemas.openxmlformats.org/officeDocument/2006/relationships/hyperlink" TargetMode="External" Target="https://spark-interfax.ru/system/home/card#/company/4611C8BB65A644D8B11D8B53033388D8/101"/><Relationship Id="rId3930" Type="http://schemas.openxmlformats.org/officeDocument/2006/relationships/hyperlink" TargetMode="External" Target="https://spark-interfax.ru/system/home/card#/company/E2AE9B45DFA02198E053259AA8C0C5B5/101"/><Relationship Id="rId3931" Type="http://schemas.openxmlformats.org/officeDocument/2006/relationships/hyperlink" TargetMode="External" Target="https://spark-interfax.ru/system/home/card#/company/57CC5E3301CE4088996AC9DF9FCA73A7/101"/><Relationship Id="rId3932" Type="http://schemas.openxmlformats.org/officeDocument/2006/relationships/hyperlink" TargetMode="External" Target="https://spark-interfax.ru/system/home/card#/company/8D10D70E4CD74216B168F9689CD41A7E/101"/><Relationship Id="rId3933" Type="http://schemas.openxmlformats.org/officeDocument/2006/relationships/hyperlink" TargetMode="External" Target="https://spark-interfax.ru/system/home/card#/company/2BC3C595B0064975ABDDE89B2A661277/101"/><Relationship Id="rId3934" Type="http://schemas.openxmlformats.org/officeDocument/2006/relationships/hyperlink" TargetMode="External" Target="https://spark-interfax.ru/system/home/card#/company/79C2E77394E841C5B728046D6E9D3CCC/101"/><Relationship Id="rId3935" Type="http://schemas.openxmlformats.org/officeDocument/2006/relationships/hyperlink" TargetMode="External" Target="https://spark-interfax.ru/system/home/card#/company/EBA8F3F42A234CF58F8126B9709D7928/101"/><Relationship Id="rId3936" Type="http://schemas.openxmlformats.org/officeDocument/2006/relationships/hyperlink" TargetMode="External" Target="https://spark-interfax.ru/system/home/card#/company/50731EEC6ABB4E65BCD42BDECAAA4D46/101"/><Relationship Id="rId3937" Type="http://schemas.openxmlformats.org/officeDocument/2006/relationships/hyperlink" TargetMode="External" Target="https://spark-interfax.ru/system/home/card#/company/5F148727ECF74D0E94950BEFDA5F7D6B/101"/><Relationship Id="rId3938" Type="http://schemas.openxmlformats.org/officeDocument/2006/relationships/hyperlink" TargetMode="External" Target="https://spark-interfax.ru/system/home/card#/company/9EC7BCF8BBFB492B8B83B341DB60AAAF/101"/><Relationship Id="rId3939" Type="http://schemas.openxmlformats.org/officeDocument/2006/relationships/hyperlink" TargetMode="External" Target="https://spark-interfax.ru/system/home/card#/company/1A1DFD0CB07B4A9D8842E687A200735E/101"/><Relationship Id="rId3940" Type="http://schemas.openxmlformats.org/officeDocument/2006/relationships/hyperlink" TargetMode="External" Target="https://spark-interfax.ru/system/home/card#/company/0951F79EB83A41C8AB7A01C0F2C137ED/101"/><Relationship Id="rId3941" Type="http://schemas.openxmlformats.org/officeDocument/2006/relationships/hyperlink" TargetMode="External" Target="https://spark-interfax.ru/system/home/card#/company/ABD94763E09543E68176BDC4017352C0/101"/><Relationship Id="rId3942" Type="http://schemas.openxmlformats.org/officeDocument/2006/relationships/hyperlink" TargetMode="External" Target="https://spark-interfax.ru/system/home/card#/company/5CCD5D66C1D949C9A6AC5B728630CA3E/101"/><Relationship Id="rId3943" Type="http://schemas.openxmlformats.org/officeDocument/2006/relationships/hyperlink" TargetMode="External" Target="https://spark-interfax.ru/system/home/card#/company/173937ED81A148778FA0DAE62C767C30/101"/><Relationship Id="rId3944" Type="http://schemas.openxmlformats.org/officeDocument/2006/relationships/hyperlink" TargetMode="External" Target="https://spark-interfax.ru/system/home/card#/company/17A76C037DB44DCFA84941C087C72F69/101"/><Relationship Id="rId3945" Type="http://schemas.openxmlformats.org/officeDocument/2006/relationships/hyperlink" TargetMode="External" Target="https://spark-interfax.ru/system/home/card#/company/9CFF6FCFB8BC4AE5ADF00858FBF8F8C8/101"/><Relationship Id="rId3946" Type="http://schemas.openxmlformats.org/officeDocument/2006/relationships/hyperlink" TargetMode="External" Target="https://spark-interfax.ru/system/home/card#/company/C0454FB94A5D474B8F79FC1A162BD1A5/101"/><Relationship Id="rId3947" Type="http://schemas.openxmlformats.org/officeDocument/2006/relationships/hyperlink" TargetMode="External" Target="https://spark-interfax.ru/system/home/card#/company/9557F0E4EB584EE49A2A4B19F9B631FC/101"/><Relationship Id="rId3948" Type="http://schemas.openxmlformats.org/officeDocument/2006/relationships/hyperlink" TargetMode="External" Target="https://spark-interfax.ru/system/home/card#/company/15D974E91AB642858C9CAE753FC69FFF/101"/><Relationship Id="rId3949" Type="http://schemas.openxmlformats.org/officeDocument/2006/relationships/hyperlink" TargetMode="External" Target="https://spark-interfax.ru/system/home/card#/company/6E4EA6F477EA48428ED8B38F91762120/101"/><Relationship Id="rId3950" Type="http://schemas.openxmlformats.org/officeDocument/2006/relationships/hyperlink" TargetMode="External" Target="https://spark-interfax.ru/system/home/card#/company/3C094CFA11E74356B787503472F12757/101"/><Relationship Id="rId3951" Type="http://schemas.openxmlformats.org/officeDocument/2006/relationships/hyperlink" TargetMode="External" Target="https://spark-interfax.ru/system/home/card#/company/55D43F3454F7435EA4C04B10CC57E004/101"/><Relationship Id="rId3952" Type="http://schemas.openxmlformats.org/officeDocument/2006/relationships/hyperlink" TargetMode="External" Target="https://spark-interfax.ru/system/home/card#/company/77F45F59ADAB4D71A089A4E5765A7DCC/101"/><Relationship Id="rId3953" Type="http://schemas.openxmlformats.org/officeDocument/2006/relationships/hyperlink" TargetMode="External" Target="https://spark-interfax.ru/system/home/card#/company/B1FAA3A68B8C41D095F11589E43419EF/101"/><Relationship Id="rId3954" Type="http://schemas.openxmlformats.org/officeDocument/2006/relationships/hyperlink" TargetMode="External" Target="https://spark-interfax.ru/system/home/card#/company/04943AF50F1A471EB1CD7A7BC378A827/101"/><Relationship Id="rId3955" Type="http://schemas.openxmlformats.org/officeDocument/2006/relationships/hyperlink" TargetMode="External" Target="https://spark-interfax.ru/system/home/card#/company/3539DA40A1A442828823B67D264D3A1B/101"/><Relationship Id="rId3956" Type="http://schemas.openxmlformats.org/officeDocument/2006/relationships/hyperlink" TargetMode="External" Target="https://spark-interfax.ru/system/home/card#/company/079B3F72CC5343F2A88C1921DCB94E5A/101"/><Relationship Id="rId3957" Type="http://schemas.openxmlformats.org/officeDocument/2006/relationships/hyperlink" TargetMode="External" Target="https://spark-interfax.ru/system/home/card#/company/A55FA38CE5764A22A79ABD62B3855C77/101"/><Relationship Id="rId3958" Type="http://schemas.openxmlformats.org/officeDocument/2006/relationships/hyperlink" TargetMode="External" Target="https://spark-interfax.ru/system/home/card#/company/003D781CDFE84643A0658D8FEB2DF7EA/101"/><Relationship Id="rId3959" Type="http://schemas.openxmlformats.org/officeDocument/2006/relationships/hyperlink" TargetMode="External" Target="https://spark-interfax.ru/system/home/card#/company/29098CDB8F5541AE92AF074767E31C11/101"/><Relationship Id="rId3960" Type="http://schemas.openxmlformats.org/officeDocument/2006/relationships/hyperlink" TargetMode="External" Target="https://spark-interfax.ru/system/home/card#/company/F2E5AFC54709472E85E121E6F3E85D53/101"/><Relationship Id="rId3961" Type="http://schemas.openxmlformats.org/officeDocument/2006/relationships/hyperlink" TargetMode="External" Target="https://spark-interfax.ru/system/home/card#/company/161A28DBE789439A8387F7A01BE1B87A/101"/><Relationship Id="rId3962" Type="http://schemas.openxmlformats.org/officeDocument/2006/relationships/hyperlink" TargetMode="External" Target="https://spark-interfax.ru/system/home/card#/company/848F4661D32C49A68DF30C69411EAACE/101"/><Relationship Id="rId3963" Type="http://schemas.openxmlformats.org/officeDocument/2006/relationships/hyperlink" TargetMode="External" Target="https://spark-interfax.ru/system/home/card#/company/2DFE2C5A84534A329595FE58047BDF85/101"/><Relationship Id="rId3964" Type="http://schemas.openxmlformats.org/officeDocument/2006/relationships/hyperlink" TargetMode="External" Target="https://spark-interfax.ru/system/home/card#/company/2221F4E0BAAA4376934844AF51CA68A3/101"/><Relationship Id="rId3965" Type="http://schemas.openxmlformats.org/officeDocument/2006/relationships/hyperlink" TargetMode="External" Target="https://spark-interfax.ru/system/home/card#/company/849E01C9035E4C6DB08AB5061E1A4E56/101"/><Relationship Id="rId3966" Type="http://schemas.openxmlformats.org/officeDocument/2006/relationships/hyperlink" TargetMode="External" Target="https://spark-interfax.ru/system/home/card#/company/1CDAAA26A48043E09E0780C952153CD3/101"/><Relationship Id="rId3967" Type="http://schemas.openxmlformats.org/officeDocument/2006/relationships/hyperlink" TargetMode="External" Target="https://spark-interfax.ru/system/home/card#/company/CB2F9DEE9AAA419399D8A2C8BD4A2DC6/101"/><Relationship Id="rId3968" Type="http://schemas.openxmlformats.org/officeDocument/2006/relationships/hyperlink" TargetMode="External" Target="https://spark-interfax.ru/system/home/card#/company/51FF85C5E63E4DFDB7BC7DB67F610E0D/101"/><Relationship Id="rId3969" Type="http://schemas.openxmlformats.org/officeDocument/2006/relationships/hyperlink" TargetMode="External" Target="https://spark-interfax.ru/system/home/card#/company/B36273745ECF40DF8A8E2E21BA02126E/101"/><Relationship Id="rId3970" Type="http://schemas.openxmlformats.org/officeDocument/2006/relationships/hyperlink" TargetMode="External" Target="https://spark-interfax.ru/system/home/card#/company/F115A0B9E40547D79CE2D9B762891AEB/101"/><Relationship Id="rId3971" Type="http://schemas.openxmlformats.org/officeDocument/2006/relationships/hyperlink" TargetMode="External" Target="https://spark-interfax.ru/system/home/card#/company/123B98E40E2147BBAD3C9724CFD18552/101"/><Relationship Id="rId3972" Type="http://schemas.openxmlformats.org/officeDocument/2006/relationships/hyperlink" TargetMode="External" Target="https://spark-interfax.ru/system/home/card#/company/3E29D45DF3EC4AE6BF5210EB4ABA87FC/101"/><Relationship Id="rId3973" Type="http://schemas.openxmlformats.org/officeDocument/2006/relationships/hyperlink" TargetMode="External" Target="https://spark-interfax.ru/system/home/card#/company/27ADD979CE4E4AD895218CCE32CC067F/101"/><Relationship Id="rId3974" Type="http://schemas.openxmlformats.org/officeDocument/2006/relationships/hyperlink" TargetMode="External" Target="https://spark-interfax.ru/system/home/card#/company/B2B2534B92E348C4A8057BA41CE237EE/101"/><Relationship Id="rId3975" Type="http://schemas.openxmlformats.org/officeDocument/2006/relationships/hyperlink" TargetMode="External" Target="https://spark-interfax.ru/system/home/card#/company/7EA7E11BFF5E45A895F40017E40BFBD1/101"/><Relationship Id="rId3976" Type="http://schemas.openxmlformats.org/officeDocument/2006/relationships/hyperlink" TargetMode="External" Target="https://spark-interfax.ru/system/home/card#/company/C960C1FA1E4E4CF88F3D58DD70CD59C0/101"/><Relationship Id="rId3977" Type="http://schemas.openxmlformats.org/officeDocument/2006/relationships/hyperlink" TargetMode="External" Target="https://spark-interfax.ru/system/home/card#/company/6DEEBCE6526D45E1BF49670C8A1DC40C/101"/><Relationship Id="rId3978" Type="http://schemas.openxmlformats.org/officeDocument/2006/relationships/hyperlink" TargetMode="External" Target="https://spark-interfax.ru/system/home/card#/company/162556F1560445B685B31A8B503BA292/101"/><Relationship Id="rId3979" Type="http://schemas.openxmlformats.org/officeDocument/2006/relationships/hyperlink" TargetMode="External" Target="https://spark-interfax.ru/system/home/card#/company/B1D72B3825C547F18F0683E1412857A0/101"/><Relationship Id="rId3980" Type="http://schemas.openxmlformats.org/officeDocument/2006/relationships/hyperlink" TargetMode="External" Target="https://spark-interfax.ru/system/home/card#/company/CF5750C8B99A43DDB717074DD2A2204B/101"/><Relationship Id="rId3981" Type="http://schemas.openxmlformats.org/officeDocument/2006/relationships/hyperlink" TargetMode="External" Target="https://spark-interfax.ru/system/home/card#/company/116A3C643F0A45228B273DB9CD94C872/101"/><Relationship Id="rId3982" Type="http://schemas.openxmlformats.org/officeDocument/2006/relationships/hyperlink" TargetMode="External" Target="https://spark-interfax.ru/system/home/card#/company/1411B9C7663F4D03812017376F5F8EF3/101"/><Relationship Id="rId3983" Type="http://schemas.openxmlformats.org/officeDocument/2006/relationships/hyperlink" TargetMode="External" Target="https://spark-interfax.ru/system/home/card#/company/33A40A4E657A481CB78F3678DB49F72D/101"/><Relationship Id="rId3984" Type="http://schemas.openxmlformats.org/officeDocument/2006/relationships/hyperlink" TargetMode="External" Target="https://spark-interfax.ru/system/home/card#/company/CA8425CCDC0C4015A887D84FB5B23FAA/101"/><Relationship Id="rId3985" Type="http://schemas.openxmlformats.org/officeDocument/2006/relationships/hyperlink" TargetMode="External" Target="https://spark-interfax.ru/system/home/card#/company/9F6AB7D3FC804DD2E053179AA8C066E0/101"/><Relationship Id="rId3986" Type="http://schemas.openxmlformats.org/officeDocument/2006/relationships/hyperlink" TargetMode="External" Target="https://spark-interfax.ru/system/home/card#/company/9CB5D00D60B14439AB1E321883CCD4D1/101"/><Relationship Id="rId3987" Type="http://schemas.openxmlformats.org/officeDocument/2006/relationships/hyperlink" TargetMode="External" Target="https://spark-interfax.ru/system/home/card#/company/A904CD10CE7D467BB3D17BED3A7C3E77/101"/><Relationship Id="rId3988" Type="http://schemas.openxmlformats.org/officeDocument/2006/relationships/hyperlink" TargetMode="External" Target="https://spark-interfax.ru/system/home/card#/company/2EDED9B747214B1D8CCB3EFCAB1F69C0/101"/><Relationship Id="rId3989" Type="http://schemas.openxmlformats.org/officeDocument/2006/relationships/hyperlink" TargetMode="External" Target="https://spark-interfax.ru/system/home/card#/company/61A15E8403194ED6B4C7F64877F46297/101"/><Relationship Id="rId3990" Type="http://schemas.openxmlformats.org/officeDocument/2006/relationships/hyperlink" TargetMode="External" Target="https://spark-interfax.ru/system/home/card#/company/DD076AF6453B43419D9D35A89E6D93FE/101"/><Relationship Id="rId3991" Type="http://schemas.openxmlformats.org/officeDocument/2006/relationships/hyperlink" TargetMode="External" Target="https://spark-interfax.ru/system/home/card#/company/D33A2FAB87F44F13BA207818E6644A32/101"/><Relationship Id="rId3992" Type="http://schemas.openxmlformats.org/officeDocument/2006/relationships/hyperlink" TargetMode="External" Target="https://spark-interfax.ru/system/home/card#/company/0500061D4F394F219E2FDF482942BCDD/101"/><Relationship Id="rId3993" Type="http://schemas.openxmlformats.org/officeDocument/2006/relationships/hyperlink" TargetMode="External" Target="https://spark-interfax.ru/system/home/card#/company/F47D804EC15A4C6A8447EB74821FD05C/101"/><Relationship Id="rId3994" Type="http://schemas.openxmlformats.org/officeDocument/2006/relationships/hyperlink" TargetMode="External" Target="https://spark-interfax.ru/system/home/card#/company/6CC68062A5864D33B81CBC27DD56EB76/101"/><Relationship Id="rId3995" Type="http://schemas.openxmlformats.org/officeDocument/2006/relationships/hyperlink" TargetMode="External" Target="https://spark-interfax.ru/system/home/card#/company/6203680F16DD451CA7788F31EB88AFDF/101"/><Relationship Id="rId3996" Type="http://schemas.openxmlformats.org/officeDocument/2006/relationships/hyperlink" TargetMode="External" Target="https://spark-interfax.ru/system/home/card#/company/87696D02A6D8400A89FE7504A9163AF7/101"/><Relationship Id="rId3997" Type="http://schemas.openxmlformats.org/officeDocument/2006/relationships/hyperlink" TargetMode="External" Target="https://spark-interfax.ru/system/home/card#/company/71CEC2496B3A4396A25C5BF5729BFA92/101"/><Relationship Id="rId3998" Type="http://schemas.openxmlformats.org/officeDocument/2006/relationships/hyperlink" TargetMode="External" Target="https://spark-interfax.ru/system/home/card#/company/57972738751F462EB3CB25AD95CCDC9C/101"/><Relationship Id="rId3999" Type="http://schemas.openxmlformats.org/officeDocument/2006/relationships/hyperlink" TargetMode="External" Target="https://spark-interfax.ru/system/home/card#/company/5C02BAA3022043A19735FD8D4EFF2320/101"/><Relationship Id="rId4000" Type="http://schemas.openxmlformats.org/officeDocument/2006/relationships/hyperlink" TargetMode="External" Target="https://spark-interfax.ru/system/home/card#/company/49F3E14FE677439A96F9C0A08A92A56F/101"/><Relationship Id="rId4001" Type="http://schemas.openxmlformats.org/officeDocument/2006/relationships/hyperlink" TargetMode="External" Target="https://spark-interfax.ru/system/home/card#/company/E5B5E94483F04D6CB0FE49C33D52F9A0/101"/><Relationship Id="rId4002" Type="http://schemas.openxmlformats.org/officeDocument/2006/relationships/hyperlink" TargetMode="External" Target="https://spark-interfax.ru/system/home/card#/company/64A5178867C747128132C722D08119E0/101"/><Relationship Id="rId4003" Type="http://schemas.openxmlformats.org/officeDocument/2006/relationships/hyperlink" TargetMode="External" Target="https://spark-interfax.ru/system/home/card#/company/5212A0F6DEBB418DB51CABDF2FBEBECB/101"/><Relationship Id="rId4004" Type="http://schemas.openxmlformats.org/officeDocument/2006/relationships/hyperlink" TargetMode="External" Target="https://spark-interfax.ru/system/home/card#/company/699BDE7F01BB4413BB7F71DC8E0EF3D6/101"/><Relationship Id="rId4005" Type="http://schemas.openxmlformats.org/officeDocument/2006/relationships/hyperlink" TargetMode="External" Target="https://spark-interfax.ru/system/home/card#/company/054D7B89530B4A37ACA5CE215CC01ECB/101"/><Relationship Id="rId4006" Type="http://schemas.openxmlformats.org/officeDocument/2006/relationships/hyperlink" TargetMode="External" Target="https://spark-interfax.ru/system/home/card#/company/E8DB5289B754446BB9E2C8263E0E2CD3/101"/><Relationship Id="rId4007" Type="http://schemas.openxmlformats.org/officeDocument/2006/relationships/hyperlink" TargetMode="External" Target="https://spark-interfax.ru/system/home/card#/company/B57A46BBA5814C39B11E4CB12293B11D/101"/><Relationship Id="rId4008" Type="http://schemas.openxmlformats.org/officeDocument/2006/relationships/hyperlink" TargetMode="External" Target="https://spark-interfax.ru/system/home/card#/company/A3907CCDA54C43DA858E024579903441/101"/><Relationship Id="rId4009" Type="http://schemas.openxmlformats.org/officeDocument/2006/relationships/hyperlink" TargetMode="External" Target="https://spark-interfax.ru/system/home/card#/company/497DA2F9BAAC4DDAACEAB747FA781EFB/101"/><Relationship Id="rId4010" Type="http://schemas.openxmlformats.org/officeDocument/2006/relationships/hyperlink" TargetMode="External" Target="https://spark-interfax.ru/system/home/card#/company/20BF938100F44EE28241B8B2E63A80A6/101"/><Relationship Id="rId4011" Type="http://schemas.openxmlformats.org/officeDocument/2006/relationships/hyperlink" TargetMode="External" Target="https://spark-interfax.ru/system/home/card#/company/7EB08B58991C4C148F31ACD3AA6C3881/101"/><Relationship Id="rId4012" Type="http://schemas.openxmlformats.org/officeDocument/2006/relationships/hyperlink" TargetMode="External" Target="https://spark-interfax.ru/system/home/card#/company/32ACD908ECF14982A01EE34C0573C79E/101"/><Relationship Id="rId4013" Type="http://schemas.openxmlformats.org/officeDocument/2006/relationships/hyperlink" TargetMode="External" Target="https://spark-interfax.ru/system/home/card#/company/A31D5516499A4463ACB0B419E4AEAB93/101"/><Relationship Id="rId4014" Type="http://schemas.openxmlformats.org/officeDocument/2006/relationships/hyperlink" TargetMode="External" Target="https://spark-interfax.ru/system/home/card#/company/3573D10AF28C4037B99B162A8859B775/101"/><Relationship Id="rId4015" Type="http://schemas.openxmlformats.org/officeDocument/2006/relationships/hyperlink" TargetMode="External" Target="https://spark-interfax.ru/system/home/card#/company/FC470C7F1E234C099A7BBC3CD4FA6EE4/101"/><Relationship Id="rId4016" Type="http://schemas.openxmlformats.org/officeDocument/2006/relationships/hyperlink" TargetMode="External" Target="https://spark-interfax.ru/system/home/card#/company/7212877056C54FEBBF98BC69B1689310/101"/><Relationship Id="rId4017" Type="http://schemas.openxmlformats.org/officeDocument/2006/relationships/hyperlink" TargetMode="External" Target="https://spark-interfax.ru/system/home/card#/company/5DC9A90A128144AC9F2B2E0E5B7B5534/101"/><Relationship Id="rId4018" Type="http://schemas.openxmlformats.org/officeDocument/2006/relationships/hyperlink" TargetMode="External" Target="https://spark-interfax.ru/system/home/card#/company/0D328E3B16BD4CFD951D8F9DC367BD94/101"/><Relationship Id="rId4019" Type="http://schemas.openxmlformats.org/officeDocument/2006/relationships/hyperlink" TargetMode="External" Target="https://spark-interfax.ru/system/home/card#/company/4AF35EB18883426983395493B2EC2B15/101"/><Relationship Id="rId4020" Type="http://schemas.openxmlformats.org/officeDocument/2006/relationships/hyperlink" TargetMode="External" Target="https://spark-interfax.ru/system/home/card#/company/695680C8DCF64B418FBD38B68B4614CE/101"/><Relationship Id="rId4021" Type="http://schemas.openxmlformats.org/officeDocument/2006/relationships/hyperlink" TargetMode="External" Target="https://spark-interfax.ru/system/home/card#/company/D4ACBA981A33448FA24606A2EAE57FDE/101"/><Relationship Id="rId4022" Type="http://schemas.openxmlformats.org/officeDocument/2006/relationships/hyperlink" TargetMode="External" Target="https://spark-interfax.ru/system/home/card#/company/AD2BAC41919C5432E053189AA8C0A206/101"/><Relationship Id="rId4023" Type="http://schemas.openxmlformats.org/officeDocument/2006/relationships/hyperlink" TargetMode="External" Target="https://spark-interfax.ru/system/home/card#/company/5E0AA3AE7E134695B3C6AF5CE852410F/101"/><Relationship Id="rId4024" Type="http://schemas.openxmlformats.org/officeDocument/2006/relationships/hyperlink" TargetMode="External" Target="https://spark-interfax.ru/system/home/card#/company/E5396043913F4101995AD7DB641FD4A7/101"/><Relationship Id="rId4025" Type="http://schemas.openxmlformats.org/officeDocument/2006/relationships/hyperlink" TargetMode="External" Target="https://spark-interfax.ru/system/home/card#/company/5303C9B3BFA9445EA263D7097671A8DF/101"/><Relationship Id="rId4026" Type="http://schemas.openxmlformats.org/officeDocument/2006/relationships/hyperlink" TargetMode="External" Target="https://spark-interfax.ru/system/home/card#/company/517EF6138626464FB723AB9140130ED0/101"/><Relationship Id="rId4027" Type="http://schemas.openxmlformats.org/officeDocument/2006/relationships/hyperlink" TargetMode="External" Target="https://spark-interfax.ru/system/home/card#/company/AC56A7874F904DADA39F9D0D981BA272/101"/><Relationship Id="rId4028" Type="http://schemas.openxmlformats.org/officeDocument/2006/relationships/hyperlink" TargetMode="External" Target="https://spark-interfax.ru/system/home/card#/company/EA5A3081785547C999EBB6100F35F1F9/101"/><Relationship Id="rId4029" Type="http://schemas.openxmlformats.org/officeDocument/2006/relationships/hyperlink" TargetMode="External" Target="https://spark-interfax.ru/system/home/card#/company/D2839254C031425CA4AE109A22899392/101"/><Relationship Id="rId4030" Type="http://schemas.openxmlformats.org/officeDocument/2006/relationships/hyperlink" TargetMode="External" Target="https://spark-interfax.ru/system/home/card#/company/DE4FF0D762A440D1BEF668BC44DA00F9/101"/><Relationship Id="rId4031" Type="http://schemas.openxmlformats.org/officeDocument/2006/relationships/hyperlink" TargetMode="External" Target="https://spark-interfax.ru/system/home/card#/company/368453684F91435F820D7627B5B760AF/101"/><Relationship Id="rId4032" Type="http://schemas.openxmlformats.org/officeDocument/2006/relationships/hyperlink" TargetMode="External" Target="https://spark-interfax.ru/system/home/card#/company/7CC3F10B5CDA8179E0531B9AA8C09AF1/101"/><Relationship Id="rId4033" Type="http://schemas.openxmlformats.org/officeDocument/2006/relationships/hyperlink" TargetMode="External" Target="https://spark-interfax.ru/system/home/card#/company/C25393196A5E4911BB3D44E90C3453FF/101"/><Relationship Id="rId4034" Type="http://schemas.openxmlformats.org/officeDocument/2006/relationships/hyperlink" TargetMode="External" Target="https://spark-interfax.ru/system/home/card#/company/4939241BC77C43FD8E2C2E1AC019CAF0/101"/><Relationship Id="rId4035" Type="http://schemas.openxmlformats.org/officeDocument/2006/relationships/hyperlink" TargetMode="External" Target="https://spark-interfax.ru/system/home/card#/company/D5059AA8A4C74142982A93731C26DF39/101"/><Relationship Id="rId4036" Type="http://schemas.openxmlformats.org/officeDocument/2006/relationships/hyperlink" TargetMode="External" Target="https://spark-interfax.ru/system/home/card#/company/7B163D131B854CC6BC46D165CD93810F/101"/><Relationship Id="rId4037" Type="http://schemas.openxmlformats.org/officeDocument/2006/relationships/hyperlink" TargetMode="External" Target="https://spark-interfax.ru/system/home/card#/company/D07DE99717D04B8482D09963DEF7559B/101"/><Relationship Id="rId4038" Type="http://schemas.openxmlformats.org/officeDocument/2006/relationships/hyperlink" TargetMode="External" Target="https://spark-interfax.ru/system/home/card#/company/AFBEF5D30E7F4DC0936CA5979F014665/101"/><Relationship Id="rId4039" Type="http://schemas.openxmlformats.org/officeDocument/2006/relationships/hyperlink" TargetMode="External" Target="https://spark-interfax.ru/system/home/card#/company/D7DC7873FE904D97B9D8EE79F270F1A1/101"/><Relationship Id="rId4040" Type="http://schemas.openxmlformats.org/officeDocument/2006/relationships/hyperlink" TargetMode="External" Target="https://spark-interfax.ru/system/home/card#/company/8A8519DCEB9C4696E0531C9AA8C049DB/101"/><Relationship Id="rId4041" Type="http://schemas.openxmlformats.org/officeDocument/2006/relationships/hyperlink" TargetMode="External" Target="https://spark-interfax.ru/system/home/card#/company/70827651374F4C72A7F0A5B6222951D2/101"/><Relationship Id="rId4042" Type="http://schemas.openxmlformats.org/officeDocument/2006/relationships/hyperlink" TargetMode="External" Target="https://spark-interfax.ru/system/home/card#/company/C0CC56D67D8B4686AEB32A0483E868AB/101"/><Relationship Id="rId4043" Type="http://schemas.openxmlformats.org/officeDocument/2006/relationships/hyperlink" TargetMode="External" Target="https://spark-interfax.ru/system/home/card#/company/76D22232681144E2BCCE1FD145A21ED8/101"/><Relationship Id="rId4044" Type="http://schemas.openxmlformats.org/officeDocument/2006/relationships/hyperlink" TargetMode="External" Target="https://spark-interfax.ru/system/home/card#/company/B88223586BCC46BE8BF5A55EAACA3F6F/101"/><Relationship Id="rId4045" Type="http://schemas.openxmlformats.org/officeDocument/2006/relationships/hyperlink" TargetMode="External" Target="https://spark-interfax.ru/system/home/card#/company/A94439DD4F3640DCAA0C2E42CD301811/101"/><Relationship Id="rId4046" Type="http://schemas.openxmlformats.org/officeDocument/2006/relationships/hyperlink" TargetMode="External" Target="https://spark-interfax.ru/system/home/card#/company/83A965D5412249638D496466D7276356/101"/><Relationship Id="rId4047" Type="http://schemas.openxmlformats.org/officeDocument/2006/relationships/hyperlink" TargetMode="External" Target="https://spark-interfax.ru/system/home/card#/company/87FDEC6B5F66421F8C58F13FE4FF5EA4/101"/><Relationship Id="rId4048" Type="http://schemas.openxmlformats.org/officeDocument/2006/relationships/hyperlink" TargetMode="External" Target="https://spark-interfax.ru/system/home/card#/company/97D0C3657D134A27B32F6B059B56360B/101"/><Relationship Id="rId4049" Type="http://schemas.openxmlformats.org/officeDocument/2006/relationships/hyperlink" TargetMode="External" Target="https://spark-interfax.ru/system/home/card#/company/8857FB9600734CC39B7C2A5A735ED45A/101"/><Relationship Id="rId4050" Type="http://schemas.openxmlformats.org/officeDocument/2006/relationships/hyperlink" TargetMode="External" Target="https://spark-interfax.ru/system/home/card#/company/12088FF840144CF1BC80E2B38C84E98B/101"/><Relationship Id="rId4051" Type="http://schemas.openxmlformats.org/officeDocument/2006/relationships/hyperlink" TargetMode="External" Target="https://spark-interfax.ru/system/home/card#/company/354E9C5CCC274753AE47A3A516FB956C/101"/><Relationship Id="rId4052" Type="http://schemas.openxmlformats.org/officeDocument/2006/relationships/hyperlink" TargetMode="External" Target="https://spark-interfax.ru/system/home/card#/company/EE8F2005F2C84EE9B4C032C41CDA5DD5/101"/><Relationship Id="rId4053" Type="http://schemas.openxmlformats.org/officeDocument/2006/relationships/hyperlink" TargetMode="External" Target="https://spark-interfax.ru/system/home/card#/company/B73C47408CBB51F8E053219AA8C0EE7B/101"/><Relationship Id="rId4054" Type="http://schemas.openxmlformats.org/officeDocument/2006/relationships/hyperlink" TargetMode="External" Target="https://spark-interfax.ru/system/home/card#/company/B89CEDDC02114B6B9ADC2A8441685C5B/101"/><Relationship Id="rId4055" Type="http://schemas.openxmlformats.org/officeDocument/2006/relationships/hyperlink" TargetMode="External" Target="https://spark-interfax.ru/system/home/card#/company/BB21C0EF4FCB41CC806F4227312931B4/101"/><Relationship Id="rId4056" Type="http://schemas.openxmlformats.org/officeDocument/2006/relationships/hyperlink" TargetMode="External" Target="https://spark-interfax.ru/system/home/card#/company/465BF1CD89FC49A69BCB42F98D522692/101"/><Relationship Id="rId4057" Type="http://schemas.openxmlformats.org/officeDocument/2006/relationships/hyperlink" TargetMode="External" Target="https://spark-interfax.ru/system/home/card#/company/53DDB4AAA2114D3197D2FC5A13819627/101"/><Relationship Id="rId4058" Type="http://schemas.openxmlformats.org/officeDocument/2006/relationships/hyperlink" TargetMode="External" Target="https://spark-interfax.ru/system/home/card#/company/C911D53E5A8E4B1B95325406441C7DFA/101"/><Relationship Id="rId4059" Type="http://schemas.openxmlformats.org/officeDocument/2006/relationships/hyperlink" TargetMode="External" Target="https://spark-interfax.ru/system/home/card#/company/45E0A8E8A218452AB435B7D92003B4B7/101"/><Relationship Id="rId4060" Type="http://schemas.openxmlformats.org/officeDocument/2006/relationships/hyperlink" TargetMode="External" Target="https://spark-interfax.ru/system/home/card#/company/1C13B578F5B34C8F86F0AE79765E569D/101"/><Relationship Id="rId4061" Type="http://schemas.openxmlformats.org/officeDocument/2006/relationships/hyperlink" TargetMode="External" Target="https://spark-interfax.ru/system/home/card#/company/6D9E889C55FC40CF942CBE3F7CCAA59A/101"/><Relationship Id="rId4062" Type="http://schemas.openxmlformats.org/officeDocument/2006/relationships/hyperlink" TargetMode="External" Target="https://spark-interfax.ru/system/home/card#/company/C75E5990E6CB4F0182A513717F7BD110/101"/><Relationship Id="rId4063" Type="http://schemas.openxmlformats.org/officeDocument/2006/relationships/hyperlink" TargetMode="External" Target="https://spark-interfax.ru/system/home/card#/company/586072DEF6B940BE80B009AF288464F2/101"/><Relationship Id="rId4064" Type="http://schemas.openxmlformats.org/officeDocument/2006/relationships/hyperlink" TargetMode="External" Target="https://spark-interfax.ru/system/home/card#/company/ED0BB2FF60744D3F978CB661F0C1853B/101"/><Relationship Id="rId4065" Type="http://schemas.openxmlformats.org/officeDocument/2006/relationships/hyperlink" TargetMode="External" Target="https://spark-interfax.ru/system/home/card#/company/809DF82D15E84009B0BD2A314F725326/101"/><Relationship Id="rId4066" Type="http://schemas.openxmlformats.org/officeDocument/2006/relationships/hyperlink" TargetMode="External" Target="https://spark-interfax.ru/system/home/card#/company/F16D581F8F6C4ADEB018FBA31ED25AF1/101"/><Relationship Id="rId4067" Type="http://schemas.openxmlformats.org/officeDocument/2006/relationships/hyperlink" TargetMode="External" Target="https://spark-interfax.ru/system/home/card#/company/CF0E35655C3F444AB74CE0C0561E2A44/101"/><Relationship Id="rId4068" Type="http://schemas.openxmlformats.org/officeDocument/2006/relationships/hyperlink" TargetMode="External" Target="https://spark-interfax.ru/system/home/card#/company/6B994F85FE404004B151CFE630BC468D/101"/><Relationship Id="rId4069" Type="http://schemas.openxmlformats.org/officeDocument/2006/relationships/hyperlink" TargetMode="External" Target="https://spark-interfax.ru/system/home/card#/company/8835836A4FCC4C3B993B8CC77F0409DC/101"/><Relationship Id="rId4070" Type="http://schemas.openxmlformats.org/officeDocument/2006/relationships/hyperlink" TargetMode="External" Target="https://spark-interfax.ru/system/home/card#/company/D0972B528BC04B6E9716C8337348B04D/101"/><Relationship Id="rId4071" Type="http://schemas.openxmlformats.org/officeDocument/2006/relationships/hyperlink" TargetMode="External" Target="https://spark-interfax.ru/system/home/card#/company/C5695B7D81E04A31AE06CDEFBE9E5E7E/101"/><Relationship Id="rId4072" Type="http://schemas.openxmlformats.org/officeDocument/2006/relationships/hyperlink" TargetMode="External" Target="https://spark-interfax.ru/system/home/card#/company/C2D61B5257514E48B887B769193A99BE/101"/><Relationship Id="rId4073" Type="http://schemas.openxmlformats.org/officeDocument/2006/relationships/hyperlink" TargetMode="External" Target="https://spark-interfax.ru/system/home/card#/company/6843E06350AE49D8AC5372C56502840A/101"/><Relationship Id="rId4074" Type="http://schemas.openxmlformats.org/officeDocument/2006/relationships/hyperlink" TargetMode="External" Target="https://spark-interfax.ru/system/home/card#/company/29486DBD64A842A199257F341A30D3A1/101"/><Relationship Id="rId4075" Type="http://schemas.openxmlformats.org/officeDocument/2006/relationships/hyperlink" TargetMode="External" Target="https://spark-interfax.ru/system/home/card#/company/79413A8EAF45412984CBE1706F2463C6/101"/><Relationship Id="rId4076" Type="http://schemas.openxmlformats.org/officeDocument/2006/relationships/hyperlink" TargetMode="External" Target="https://spark-interfax.ru/system/home/card#/company/7D86A50EEFC44E658038799A99F859A0/101"/><Relationship Id="rId4077" Type="http://schemas.openxmlformats.org/officeDocument/2006/relationships/hyperlink" TargetMode="External" Target="https://spark-interfax.ru/system/home/card#/company/62BBD75398404352BA04DAD8BC5F6249/101"/><Relationship Id="rId4078" Type="http://schemas.openxmlformats.org/officeDocument/2006/relationships/hyperlink" TargetMode="External" Target="https://spark-interfax.ru/system/home/card#/company/8A59AEFABA024008968301DB559A355D/101"/><Relationship Id="rId4079" Type="http://schemas.openxmlformats.org/officeDocument/2006/relationships/hyperlink" TargetMode="External" Target="https://spark-interfax.ru/system/home/card#/company/37F1F153421C40609653E35DB61D23E2/101"/><Relationship Id="rId4080" Type="http://schemas.openxmlformats.org/officeDocument/2006/relationships/hyperlink" TargetMode="External" Target="https://spark-interfax.ru/system/home/card#/company/776629499F1F4BE7844ACD6EFB0A6D10/101"/><Relationship Id="rId4081" Type="http://schemas.openxmlformats.org/officeDocument/2006/relationships/hyperlink" TargetMode="External" Target="https://spark-interfax.ru/system/home/card#/company/1DEFC42D53AF4E5AA23CE81E8C13E2BF/101"/><Relationship Id="rId4082" Type="http://schemas.openxmlformats.org/officeDocument/2006/relationships/hyperlink" TargetMode="External" Target="https://spark-interfax.ru/system/home/card#/company/0ADCAD1CD004473C93576B58555B9DE2/101"/><Relationship Id="rId4083" Type="http://schemas.openxmlformats.org/officeDocument/2006/relationships/hyperlink" TargetMode="External" Target="https://spark-interfax.ru/system/home/card#/company/A6CAB38F4F2249C4A8E8C3EE465ED5BE/101"/><Relationship Id="rId4084" Type="http://schemas.openxmlformats.org/officeDocument/2006/relationships/hyperlink" TargetMode="External" Target="https://spark-interfax.ru/system/home/card#/company/12BAC6EDE2424BD8ABDAF0207FAE883B/101"/><Relationship Id="rId4085" Type="http://schemas.openxmlformats.org/officeDocument/2006/relationships/hyperlink" TargetMode="External" Target="https://spark-interfax.ru/system/home/card#/company/AB20DE8C25204B3BBDFD9625008CE757/101"/><Relationship Id="rId4086" Type="http://schemas.openxmlformats.org/officeDocument/2006/relationships/hyperlink" TargetMode="External" Target="https://spark-interfax.ru/system/home/card#/company/F5C46DE8B1064037B611AA9B8B88736F/101"/><Relationship Id="rId4087" Type="http://schemas.openxmlformats.org/officeDocument/2006/relationships/hyperlink" TargetMode="External" Target="https://spark-interfax.ru/system/home/card#/company/2D79EE78BDBD4EEC9EF6388166D80416/101"/><Relationship Id="rId4088" Type="http://schemas.openxmlformats.org/officeDocument/2006/relationships/hyperlink" TargetMode="External" Target="https://spark-interfax.ru/system/home/card#/company/F3A39998D0F34DE9855F57603C38DB8A/101"/><Relationship Id="rId4089" Type="http://schemas.openxmlformats.org/officeDocument/2006/relationships/hyperlink" TargetMode="External" Target="https://spark-interfax.ru/system/home/card#/company/518F357B271546F2B644549555B8FABC/101"/><Relationship Id="rId4090" Type="http://schemas.openxmlformats.org/officeDocument/2006/relationships/hyperlink" TargetMode="External" Target="https://spark-interfax.ru/system/home/card#/company/1ABE4646E04442C1BDAD4D6DE0C1D33B/101"/><Relationship Id="rId4091" Type="http://schemas.openxmlformats.org/officeDocument/2006/relationships/hyperlink" TargetMode="External" Target="https://spark-interfax.ru/system/home/card#/company/1FFB90521FA04D968B40E3C7B4BDC20C/101"/><Relationship Id="rId4092" Type="http://schemas.openxmlformats.org/officeDocument/2006/relationships/hyperlink" TargetMode="External" Target="https://spark-interfax.ru/system/home/card#/company/C0913C478C5D4B7291EE3443A5BDF459/101"/><Relationship Id="rId4093" Type="http://schemas.openxmlformats.org/officeDocument/2006/relationships/hyperlink" TargetMode="External" Target="https://spark-interfax.ru/system/home/card#/company/81F3A13354098F74E0531B9AA8C09CF3/101"/><Relationship Id="rId4094" Type="http://schemas.openxmlformats.org/officeDocument/2006/relationships/hyperlink" TargetMode="External" Target="https://spark-interfax.ru/system/home/card#/company/BAA7E3078E7947B7815C9493175CC1B9/101"/><Relationship Id="rId4095" Type="http://schemas.openxmlformats.org/officeDocument/2006/relationships/hyperlink" TargetMode="External" Target="https://spark-interfax.ru/system/home/card#/company/603E9668EEC55D1CE0531B9AA8C09E71/101"/><Relationship Id="rId4096" Type="http://schemas.openxmlformats.org/officeDocument/2006/relationships/hyperlink" TargetMode="External" Target="https://spark-interfax.ru/system/home/card#/company/70130AC2505941E89F08D50AB90669EC/101"/><Relationship Id="rId4097" Type="http://schemas.openxmlformats.org/officeDocument/2006/relationships/hyperlink" TargetMode="External" Target="https://spark-interfax.ru/system/home/card#/company/BF8392E025B54E89A9C54349EF68EC83/101"/><Relationship Id="rId4098" Type="http://schemas.openxmlformats.org/officeDocument/2006/relationships/hyperlink" TargetMode="External" Target="https://spark-interfax.ru/system/home/card#/company/E2BD0B0BD61C4206B598F2C2A451DB16/101"/><Relationship Id="rId4099" Type="http://schemas.openxmlformats.org/officeDocument/2006/relationships/hyperlink" TargetMode="External" Target="https://spark-interfax.ru/system/home/card#/company/2C4DCB3F5B674CA19550972EFC3E01A9/101"/><Relationship Id="rId4100" Type="http://schemas.openxmlformats.org/officeDocument/2006/relationships/hyperlink" TargetMode="External" Target="https://spark-interfax.ru/system/home/card#/company/5817269D237E4D1DBF4BC090E2F3ACBA/101"/><Relationship Id="rId4101" Type="http://schemas.openxmlformats.org/officeDocument/2006/relationships/hyperlink" TargetMode="External" Target="https://spark-interfax.ru/system/home/card#/company/47D55742EF094E82976CE84826107EE6/101"/><Relationship Id="rId4102" Type="http://schemas.openxmlformats.org/officeDocument/2006/relationships/hyperlink" TargetMode="External" Target="https://spark-interfax.ru/system/home/card#/company/B3CA0E8BEBEF4992AE153FCC0ACA25EF/101"/><Relationship Id="rId4103" Type="http://schemas.openxmlformats.org/officeDocument/2006/relationships/hyperlink" TargetMode="External" Target="https://spark-interfax.ru/system/home/card#/company/54B74451D2824FEE9A7575488E2ED015/101"/><Relationship Id="rId4104" Type="http://schemas.openxmlformats.org/officeDocument/2006/relationships/hyperlink" TargetMode="External" Target="https://spark-interfax.ru/system/home/card#/company/50B69A89E03744128839C488AD1AAACF/101"/><Relationship Id="rId4105" Type="http://schemas.openxmlformats.org/officeDocument/2006/relationships/hyperlink" TargetMode="External" Target="https://spark-interfax.ru/system/home/card#/company/07298C74C18F41B080A1040A69B40C12/101"/><Relationship Id="rId4106" Type="http://schemas.openxmlformats.org/officeDocument/2006/relationships/hyperlink" TargetMode="External" Target="https://spark-interfax.ru/system/home/card#/company/D8A937148F3B4D5399850B497C285CF5/101"/><Relationship Id="rId4107" Type="http://schemas.openxmlformats.org/officeDocument/2006/relationships/hyperlink" TargetMode="External" Target="https://spark-interfax.ru/system/home/card#/company/C0D06BC4085F4ABEA2D4D5E0AD5181CD/101"/><Relationship Id="rId4108" Type="http://schemas.openxmlformats.org/officeDocument/2006/relationships/hyperlink" TargetMode="External" Target="https://spark-interfax.ru/system/home/card#/company/6CB5A25DD8A64D7998671440D4D2C7D9/101"/><Relationship Id="rId4109" Type="http://schemas.openxmlformats.org/officeDocument/2006/relationships/hyperlink" TargetMode="External" Target="https://spark-interfax.ru/system/home/card#/company/89D5B7C7EB4E40A6B17D03B6A1A1951C/101"/><Relationship Id="rId4110" Type="http://schemas.openxmlformats.org/officeDocument/2006/relationships/hyperlink" TargetMode="External" Target="https://spark-interfax.ru/system/home/card#/company/4841EC97BF2F4198BFED73F0D143D978/101"/><Relationship Id="rId4111" Type="http://schemas.openxmlformats.org/officeDocument/2006/relationships/hyperlink" TargetMode="External" Target="https://spark-interfax.ru/system/home/card#/company/774194D761074AD9B637E7E26971C0E7/101"/><Relationship Id="rId4112" Type="http://schemas.openxmlformats.org/officeDocument/2006/relationships/hyperlink" TargetMode="External" Target="https://spark-interfax.ru/system/home/card#/company/629C6CF0D0CC5427E0531B9AA8C0977A/101"/><Relationship Id="rId4113" Type="http://schemas.openxmlformats.org/officeDocument/2006/relationships/hyperlink" TargetMode="External" Target="https://spark-interfax.ru/system/home/card#/company/0A13E181C4044277BE02C0D48C290C4B/101"/><Relationship Id="rId4114" Type="http://schemas.openxmlformats.org/officeDocument/2006/relationships/hyperlink" TargetMode="External" Target="https://spark-interfax.ru/system/home/card#/company/BDA310C14DD546579608001593E078DB/101"/><Relationship Id="rId4115" Type="http://schemas.openxmlformats.org/officeDocument/2006/relationships/hyperlink" TargetMode="External" Target="https://spark-interfax.ru/system/home/card#/company/2608BC197B104D50A5E496BF7A9F2D59/101"/><Relationship Id="rId4116" Type="http://schemas.openxmlformats.org/officeDocument/2006/relationships/hyperlink" TargetMode="External" Target="https://spark-interfax.ru/system/home/card#/company/8EC4945119BA43BE9F85464110D4C247/101"/><Relationship Id="rId4117" Type="http://schemas.openxmlformats.org/officeDocument/2006/relationships/hyperlink" TargetMode="External" Target="https://spark-interfax.ru/system/home/card#/company/2FEC765361AC4FD3BFD92CE26F88C94B/101"/><Relationship Id="rId4118" Type="http://schemas.openxmlformats.org/officeDocument/2006/relationships/hyperlink" TargetMode="External" Target="https://spark-interfax.ru/system/home/card#/company/AC8C445E1D874946B3693EA9506A6820/101"/><Relationship Id="rId4119" Type="http://schemas.openxmlformats.org/officeDocument/2006/relationships/hyperlink" TargetMode="External" Target="https://spark-interfax.ru/system/home/card#/company/F2E198F24EE240189F0A4D3D6318401A/101"/><Relationship Id="rId4120" Type="http://schemas.openxmlformats.org/officeDocument/2006/relationships/hyperlink" TargetMode="External" Target="https://spark-interfax.ru/system/home/card#/company/75D27F18236B4CEE9FBF15CCB6B4A548/101"/><Relationship Id="rId4121" Type="http://schemas.openxmlformats.org/officeDocument/2006/relationships/hyperlink" TargetMode="External" Target="https://spark-interfax.ru/system/home/card#/company/80DE7D74230942CFB018EEA41EC6E52C/101"/><Relationship Id="rId4122" Type="http://schemas.openxmlformats.org/officeDocument/2006/relationships/hyperlink" TargetMode="External" Target="https://spark-interfax.ru/system/home/card#/company/17A74ACABEBC43F988DD1CF8CBA8AB6D/101"/><Relationship Id="rId4123" Type="http://schemas.openxmlformats.org/officeDocument/2006/relationships/hyperlink" TargetMode="External" Target="https://spark-interfax.ru/system/home/card#/company/915B5609902C50A7E0531B9AA8C08EC6/101"/><Relationship Id="rId4124" Type="http://schemas.openxmlformats.org/officeDocument/2006/relationships/hyperlink" TargetMode="External" Target="https://spark-interfax.ru/system/home/card#/company/E7B9D1B3CFB146F1A706FA49A26E956C/101"/><Relationship Id="rId4125" Type="http://schemas.openxmlformats.org/officeDocument/2006/relationships/hyperlink" TargetMode="External" Target="https://spark-interfax.ru/system/home/card#/company/6BD3F2E250D14D9786C6C752A8EA53C7/101"/><Relationship Id="rId4126" Type="http://schemas.openxmlformats.org/officeDocument/2006/relationships/hyperlink" TargetMode="External" Target="https://spark-interfax.ru/system/home/card#/company/7FA6283896C24C998AED8629F064829A/101"/><Relationship Id="rId4127" Type="http://schemas.openxmlformats.org/officeDocument/2006/relationships/hyperlink" TargetMode="External" Target="https://spark-interfax.ru/system/home/card#/company/234F1E869406433BB6C037EB94EBE1B9/101"/><Relationship Id="rId4128" Type="http://schemas.openxmlformats.org/officeDocument/2006/relationships/hyperlink" TargetMode="External" Target="https://spark-interfax.ru/system/home/card#/company/FB44EDA5EC5B4F6A804E098115F21D6A/101"/><Relationship Id="rId4129" Type="http://schemas.openxmlformats.org/officeDocument/2006/relationships/hyperlink" TargetMode="External" Target="https://spark-interfax.ru/system/home/card#/company/1D6B66298BA64E87A444600F274F1427/101"/><Relationship Id="rId4130" Type="http://schemas.openxmlformats.org/officeDocument/2006/relationships/hyperlink" TargetMode="External" Target="https://spark-interfax.ru/system/home/card#/company/6A48F0B596CE495FB7B964EE158A5D5B/101"/><Relationship Id="rId4131" Type="http://schemas.openxmlformats.org/officeDocument/2006/relationships/hyperlink" TargetMode="External" Target="https://spark-interfax.ru/system/home/card#/company/D40F4AB8C5404FD782AD17E2AD12A6AE/101"/><Relationship Id="rId4132" Type="http://schemas.openxmlformats.org/officeDocument/2006/relationships/hyperlink" TargetMode="External" Target="https://spark-interfax.ru/system/home/card#/company/D8AF9A62F4BC491C83AA8375A441EC7D/101"/><Relationship Id="rId4133" Type="http://schemas.openxmlformats.org/officeDocument/2006/relationships/hyperlink" TargetMode="External" Target="https://spark-interfax.ru/system/home/card#/company/37BAE4CF888F428D8CEF6CD3E97C49A9/101"/><Relationship Id="rId4134" Type="http://schemas.openxmlformats.org/officeDocument/2006/relationships/hyperlink" TargetMode="External" Target="https://spark-interfax.ru/system/home/card#/company/AC64693260D14877BA34C0564BBEF4B4/101"/><Relationship Id="rId4135" Type="http://schemas.openxmlformats.org/officeDocument/2006/relationships/hyperlink" TargetMode="External" Target="https://spark-interfax.ru/system/home/card#/company/65BF693211884565B1E8B1FEBF068284/101"/><Relationship Id="rId4136" Type="http://schemas.openxmlformats.org/officeDocument/2006/relationships/hyperlink" TargetMode="External" Target="https://spark-interfax.ru/system/home/card#/company/828472E28FC74032958AE37002CFDB33/101"/><Relationship Id="rId4137" Type="http://schemas.openxmlformats.org/officeDocument/2006/relationships/hyperlink" TargetMode="External" Target="https://spark-interfax.ru/system/home/card#/company/AF72D55EADF544A5E053189AA8C05BD4/101"/><Relationship Id="rId4138" Type="http://schemas.openxmlformats.org/officeDocument/2006/relationships/hyperlink" TargetMode="External" Target="https://spark-interfax.ru/system/home/card#/company/9FA1A5DC8EDA41BC91DA4D2A36D0D720/101"/><Relationship Id="rId4139" Type="http://schemas.openxmlformats.org/officeDocument/2006/relationships/hyperlink" TargetMode="External" Target="https://spark-interfax.ru/system/home/card#/company/AEB7C270EB044D399223C66F8296FE29/101"/><Relationship Id="rId4140" Type="http://schemas.openxmlformats.org/officeDocument/2006/relationships/hyperlink" TargetMode="External" Target="https://spark-interfax.ru/system/home/card#/company/10D8F91D011349B0ABD96C1CA3882C1E/101"/><Relationship Id="rId4141" Type="http://schemas.openxmlformats.org/officeDocument/2006/relationships/hyperlink" TargetMode="External" Target="https://spark-interfax.ru/system/home/card#/company/E3542E1EFFEC44C189A7B9D003A7E733/101"/><Relationship Id="rId4142" Type="http://schemas.openxmlformats.org/officeDocument/2006/relationships/hyperlink" TargetMode="External" Target="https://spark-interfax.ru/system/home/card#/company/AE81EBA444673E55E053189AA8C0633E/101"/><Relationship Id="rId4143" Type="http://schemas.openxmlformats.org/officeDocument/2006/relationships/hyperlink" TargetMode="External" Target="https://spark-interfax.ru/system/home/card#/company/B49BA372801D46618FE6DD933F49CCED/101"/><Relationship Id="rId4144" Type="http://schemas.openxmlformats.org/officeDocument/2006/relationships/hyperlink" TargetMode="External" Target="https://spark-interfax.ru/system/home/card#/company/293D0E4B3A2947B3AB1B79A3D8D7B922/101"/><Relationship Id="rId4145" Type="http://schemas.openxmlformats.org/officeDocument/2006/relationships/hyperlink" TargetMode="External" Target="https://spark-interfax.ru/system/home/card#/company/73BC85A074804F13B66DE8F4887E6C13/101"/><Relationship Id="rId4146" Type="http://schemas.openxmlformats.org/officeDocument/2006/relationships/hyperlink" TargetMode="External" Target="https://spark-interfax.ru/system/home/card#/company/66D281BAE69D49C68D3FA231B6CE442E/101"/><Relationship Id="rId4147" Type="http://schemas.openxmlformats.org/officeDocument/2006/relationships/hyperlink" TargetMode="External" Target="https://spark-interfax.ru/system/home/card#/company/0546201338C24B0DB36458920B67CB7B/101"/><Relationship Id="rId4148" Type="http://schemas.openxmlformats.org/officeDocument/2006/relationships/hyperlink" TargetMode="External" Target="https://spark-interfax.ru/system/home/card#/company/97BE8AA591C644828B47730454FC8177/101"/><Relationship Id="rId4149" Type="http://schemas.openxmlformats.org/officeDocument/2006/relationships/hyperlink" TargetMode="External" Target="https://spark-interfax.ru/system/home/card#/company/421C701BF5ED4FF89B9F9F4338FFDC4B/101"/><Relationship Id="rId4150" Type="http://schemas.openxmlformats.org/officeDocument/2006/relationships/hyperlink" TargetMode="External" Target="https://spark-interfax.ru/system/home/card#/company/BFE2882826B74A6A8C460EC807CC3825/101"/><Relationship Id="rId4151" Type="http://schemas.openxmlformats.org/officeDocument/2006/relationships/hyperlink" TargetMode="External" Target="https://spark-interfax.ru/system/home/card#/company/7C5A6770FFD64C50884C89AE94C80FC3/101"/><Relationship Id="rId4152" Type="http://schemas.openxmlformats.org/officeDocument/2006/relationships/hyperlink" TargetMode="External" Target="https://spark-interfax.ru/system/home/card#/company/C16A4E6214A04CA480B37781C919C9E0/101"/><Relationship Id="rId4153" Type="http://schemas.openxmlformats.org/officeDocument/2006/relationships/hyperlink" TargetMode="External" Target="https://spark-interfax.ru/system/home/card#/company/3C4994902EEE4BFAACE3A5CFECE0F26F/101"/><Relationship Id="rId4154" Type="http://schemas.openxmlformats.org/officeDocument/2006/relationships/hyperlink" TargetMode="External" Target="https://spark-interfax.ru/system/home/card#/company/9A332008FDF6483098309981344B31B2/101"/><Relationship Id="rId4155" Type="http://schemas.openxmlformats.org/officeDocument/2006/relationships/hyperlink" TargetMode="External" Target="https://spark-interfax.ru/system/home/card#/company/9C0F2BCD997444F5AA4784B4D70E57F5/101"/><Relationship Id="rId4156" Type="http://schemas.openxmlformats.org/officeDocument/2006/relationships/hyperlink" TargetMode="External" Target="https://spark-interfax.ru/system/home/card#/company/815362013F068A76E0531B9AA8C0C65B/101"/><Relationship Id="rId4157" Type="http://schemas.openxmlformats.org/officeDocument/2006/relationships/hyperlink" TargetMode="External" Target="https://spark-interfax.ru/system/home/card#/company/59DD8B975BFD4E48A7D201D00CA18B6A/101"/><Relationship Id="rId4158" Type="http://schemas.openxmlformats.org/officeDocument/2006/relationships/hyperlink" TargetMode="External" Target="https://spark-interfax.ru/system/home/card#/company/7E0A62E870EA4271A5E2C00F1811E5D7/101"/><Relationship Id="rId4159" Type="http://schemas.openxmlformats.org/officeDocument/2006/relationships/hyperlink" TargetMode="External" Target="https://spark-interfax.ru/system/home/card#/company/18731FA020154F9B9B0E85315743E35A/101"/><Relationship Id="rId4160" Type="http://schemas.openxmlformats.org/officeDocument/2006/relationships/hyperlink" TargetMode="External" Target="https://spark-interfax.ru/system/home/card#/company/E1A2A0366D8B4E6CB35AEE509E86A58B/101"/><Relationship Id="rId4161" Type="http://schemas.openxmlformats.org/officeDocument/2006/relationships/hyperlink" TargetMode="External" Target="https://spark-interfax.ru/system/home/card#/company/6056BB89524242E99B469AAA5EB85842/101"/><Relationship Id="rId4162" Type="http://schemas.openxmlformats.org/officeDocument/2006/relationships/hyperlink" TargetMode="External" Target="https://spark-interfax.ru/system/home/card#/company/FEF2C669AD3D4124A3E190E00C6E8865/101"/><Relationship Id="rId4163" Type="http://schemas.openxmlformats.org/officeDocument/2006/relationships/hyperlink" TargetMode="External" Target="https://spark-interfax.ru/system/home/card#/company/7091FDF2C2E64C5488527F0914D71028/101"/><Relationship Id="rId4164" Type="http://schemas.openxmlformats.org/officeDocument/2006/relationships/hyperlink" TargetMode="External" Target="https://spark-interfax.ru/system/home/card#/company/518C2A5720B94FA4A8EC9823B654750B/101"/><Relationship Id="rId4165" Type="http://schemas.openxmlformats.org/officeDocument/2006/relationships/hyperlink" TargetMode="External" Target="https://spark-interfax.ru/system/home/card#/company/82716A2094C84D7D8886EA9EF8A70765/101"/><Relationship Id="rId4166" Type="http://schemas.openxmlformats.org/officeDocument/2006/relationships/hyperlink" TargetMode="External" Target="https://spark-interfax.ru/system/home/card#/company/50356D30D5E548D3A264C67D9D8FFCCA/101"/><Relationship Id="rId4167" Type="http://schemas.openxmlformats.org/officeDocument/2006/relationships/hyperlink" TargetMode="External" Target="https://spark-interfax.ru/system/home/card#/company/A5AC285CAC0847599AFEBE44F7ECB55E/101"/><Relationship Id="rId4168" Type="http://schemas.openxmlformats.org/officeDocument/2006/relationships/hyperlink" TargetMode="External" Target="https://spark-interfax.ru/system/home/card#/company/99F441FD34D9422F863BBDFC4F5619C8/101"/><Relationship Id="rId4169" Type="http://schemas.openxmlformats.org/officeDocument/2006/relationships/hyperlink" TargetMode="External" Target="https://spark-interfax.ru/system/home/card#/company/9A2549ACA76048058B576BB5E1C67B78/101"/><Relationship Id="rId4170" Type="http://schemas.openxmlformats.org/officeDocument/2006/relationships/hyperlink" TargetMode="External" Target="https://spark-interfax.ru/system/home/card#/company/DC41861906694954A15358F6F8782090/101"/><Relationship Id="rId4171" Type="http://schemas.openxmlformats.org/officeDocument/2006/relationships/hyperlink" TargetMode="External" Target="https://spark-interfax.ru/system/home/card#/company/1F312F763956416992F9FA921C214F77/101"/><Relationship Id="rId4172" Type="http://schemas.openxmlformats.org/officeDocument/2006/relationships/hyperlink" TargetMode="External" Target="https://spark-interfax.ru/system/home/card#/company/84690DBA58FA4D55B8EB360B02A051C3/101"/><Relationship Id="rId4173" Type="http://schemas.openxmlformats.org/officeDocument/2006/relationships/hyperlink" TargetMode="External" Target="https://spark-interfax.ru/system/home/card#/company/DD5A148B50484ABC8614F4FEB14D6412/101"/><Relationship Id="rId4174" Type="http://schemas.openxmlformats.org/officeDocument/2006/relationships/hyperlink" TargetMode="External" Target="https://spark-interfax.ru/system/home/card#/company/AF5F5D9B95894D89B50BB04711BBC18C/101"/><Relationship Id="rId4175" Type="http://schemas.openxmlformats.org/officeDocument/2006/relationships/hyperlink" TargetMode="External" Target="https://spark-interfax.ru/system/home/card#/company/2DBD9AC1C3C5410CB8A0889B6259B237/101"/><Relationship Id="rId4176" Type="http://schemas.openxmlformats.org/officeDocument/2006/relationships/hyperlink" TargetMode="External" Target="https://spark-interfax.ru/system/home/card#/company/63D460E457B0404CAD6EED5772E5FAAA/101"/><Relationship Id="rId4177" Type="http://schemas.openxmlformats.org/officeDocument/2006/relationships/hyperlink" TargetMode="External" Target="https://spark-interfax.ru/system/home/card#/company/3C8A80A910A5408C90C76E6049C738AE/101"/><Relationship Id="rId4178" Type="http://schemas.openxmlformats.org/officeDocument/2006/relationships/hyperlink" TargetMode="External" Target="https://spark-interfax.ru/system/home/card#/company/1E706339E2534D819B70B3B83B244C83/101"/><Relationship Id="rId4179" Type="http://schemas.openxmlformats.org/officeDocument/2006/relationships/hyperlink" TargetMode="External" Target="https://spark-interfax.ru/system/home/card#/company/2B6940BA6CF94AE1A640D31F796743B5/101"/><Relationship Id="rId4180" Type="http://schemas.openxmlformats.org/officeDocument/2006/relationships/hyperlink" TargetMode="External" Target="https://spark-interfax.ru/system/home/card#/company/E5ECF151924D4D8494878FA5729AFF21/101"/><Relationship Id="rId4181" Type="http://schemas.openxmlformats.org/officeDocument/2006/relationships/hyperlink" TargetMode="External" Target="https://spark-interfax.ru/system/home/card#/company/08826441B1FD4FA09912A047F4B0DD04/101"/><Relationship Id="rId4182" Type="http://schemas.openxmlformats.org/officeDocument/2006/relationships/hyperlink" TargetMode="External" Target="https://spark-interfax.ru/system/home/card#/company/7D3E4A2118D559D6E0531B9AA8C0549F/101"/><Relationship Id="rId4183" Type="http://schemas.openxmlformats.org/officeDocument/2006/relationships/hyperlink" TargetMode="External" Target="https://spark-interfax.ru/system/home/card#/company/9399FD277EF64C0994DEB3271D193270/101"/><Relationship Id="rId4184" Type="http://schemas.openxmlformats.org/officeDocument/2006/relationships/hyperlink" TargetMode="External" Target="https://spark-interfax.ru/system/home/card#/company/1D0EDDF7569F4D5084DED6DA2AFC2D25/101"/><Relationship Id="rId4185" Type="http://schemas.openxmlformats.org/officeDocument/2006/relationships/hyperlink" TargetMode="External" Target="https://spark-interfax.ru/system/home/card#/company/CA24D73D153241168403297500D9B876/101"/><Relationship Id="rId4186" Type="http://schemas.openxmlformats.org/officeDocument/2006/relationships/hyperlink" TargetMode="External" Target="https://spark-interfax.ru/system/home/card#/company/D9D5F9F7F1124151B7406441FAF51288/101"/><Relationship Id="rId4187" Type="http://schemas.openxmlformats.org/officeDocument/2006/relationships/hyperlink" TargetMode="External" Target="https://spark-interfax.ru/system/home/card#/company/ABEFF2979053486AB42481E2F4ABF286/101"/><Relationship Id="rId4188" Type="http://schemas.openxmlformats.org/officeDocument/2006/relationships/hyperlink" TargetMode="External" Target="https://spark-interfax.ru/system/home/card#/company/FF55B86200FF41C189CE7535FAF63281/101"/><Relationship Id="rId4189" Type="http://schemas.openxmlformats.org/officeDocument/2006/relationships/hyperlink" TargetMode="External" Target="https://spark-interfax.ru/system/home/card#/company/0FEA4E1515D446C1AD6DD0B28F4F6A31/101"/><Relationship Id="rId4190" Type="http://schemas.openxmlformats.org/officeDocument/2006/relationships/hyperlink" TargetMode="External" Target="https://spark-interfax.ru/system/home/card#/company/9BF17AEDAB4748E98A823C12FC963F88/101"/><Relationship Id="rId4191" Type="http://schemas.openxmlformats.org/officeDocument/2006/relationships/hyperlink" TargetMode="External" Target="https://spark-interfax.ru/system/home/card#/company/02B4A18F7ABC47C093FF84995A612075/101"/><Relationship Id="rId4192" Type="http://schemas.openxmlformats.org/officeDocument/2006/relationships/hyperlink" TargetMode="External" Target="https://spark-interfax.ru/system/home/card#/company/009A944A9E6F49A1824C97416CF40C32/101"/><Relationship Id="rId4193" Type="http://schemas.openxmlformats.org/officeDocument/2006/relationships/hyperlink" TargetMode="External" Target="https://spark-interfax.ru/system/home/card#/company/078F3229D4924A07978D317458C3EBB6/101"/><Relationship Id="rId4194" Type="http://schemas.openxmlformats.org/officeDocument/2006/relationships/hyperlink" TargetMode="External" Target="https://spark-interfax.ru/system/home/card#/company/0CAC28070C244982911FFF823C87E35F/101"/><Relationship Id="rId4195" Type="http://schemas.openxmlformats.org/officeDocument/2006/relationships/hyperlink" TargetMode="External" Target="https://spark-interfax.ru/system/home/card#/company/C7C9BDE6F97E4C3CA5732D93B6AFCBC5/101"/><Relationship Id="rId4196" Type="http://schemas.openxmlformats.org/officeDocument/2006/relationships/hyperlink" TargetMode="External" Target="https://spark-interfax.ru/system/home/card#/company/93AF00F18E3542BDB2D1A07318D240F7/101"/><Relationship Id="rId4197" Type="http://schemas.openxmlformats.org/officeDocument/2006/relationships/hyperlink" TargetMode="External" Target="https://spark-interfax.ru/system/home/card#/company/F39016B4660F432A90FCB2D6E496207E/101"/><Relationship Id="rId4198" Type="http://schemas.openxmlformats.org/officeDocument/2006/relationships/hyperlink" TargetMode="External" Target="https://spark-interfax.ru/system/home/card#/company/B6AF1971840F4A15858058EF931C21B0/101"/><Relationship Id="rId4199" Type="http://schemas.openxmlformats.org/officeDocument/2006/relationships/hyperlink" TargetMode="External" Target="https://spark-interfax.ru/system/home/card#/company/919D90A0D47F4D5FA1DD6DF8CED38FDF/101"/><Relationship Id="rId4200" Type="http://schemas.openxmlformats.org/officeDocument/2006/relationships/hyperlink" TargetMode="External" Target="https://spark-interfax.ru/system/home/card#/company/2BCE9EE5286C4B7DB53D21FB3DAF309F/101"/><Relationship Id="rId4201" Type="http://schemas.openxmlformats.org/officeDocument/2006/relationships/hyperlink" TargetMode="External" Target="https://spark-interfax.ru/system/home/card#/company/0C4FBA77F2F14FC392DD1B7E33884BF7/101"/><Relationship Id="rId4202" Type="http://schemas.openxmlformats.org/officeDocument/2006/relationships/hyperlink" TargetMode="External" Target="https://spark-interfax.ru/system/home/card#/company/8C2DB987273E442D9B0F2E59B13B4EEB/101"/><Relationship Id="rId4203" Type="http://schemas.openxmlformats.org/officeDocument/2006/relationships/hyperlink" TargetMode="External" Target="https://spark-interfax.ru/system/home/card#/company/968EAF16A412493CB14E9A941C6BC4E5/101"/><Relationship Id="rId4204" Type="http://schemas.openxmlformats.org/officeDocument/2006/relationships/hyperlink" TargetMode="External" Target="https://spark-interfax.ru/system/home/card#/company/A28F6DE1C80B4192AF98BBD64B478B03/101"/><Relationship Id="rId4205" Type="http://schemas.openxmlformats.org/officeDocument/2006/relationships/hyperlink" TargetMode="External" Target="https://spark-interfax.ru/system/home/card#/company/699181F30B0042CDB8B37AE75CCC0A57/101"/><Relationship Id="rId4206" Type="http://schemas.openxmlformats.org/officeDocument/2006/relationships/hyperlink" TargetMode="External" Target="https://spark-interfax.ru/system/home/card#/company/582E300F68274DA6B96523F33A766AEB/101"/><Relationship Id="rId4207" Type="http://schemas.openxmlformats.org/officeDocument/2006/relationships/hyperlink" TargetMode="External" Target="https://spark-interfax.ru/system/home/card#/company/262A8CEA8A3A42148B07C72D1D9CFD8C/101"/><Relationship Id="rId4208" Type="http://schemas.openxmlformats.org/officeDocument/2006/relationships/hyperlink" TargetMode="External" Target="https://spark-interfax.ru/system/home/card#/company/88F4DE7146654A2D8D5221CD094FC55A/101"/><Relationship Id="rId4209" Type="http://schemas.openxmlformats.org/officeDocument/2006/relationships/hyperlink" TargetMode="External" Target="https://spark-interfax.ru/system/home/card#/company/05E1F6AC306E466AB6CE360EF7D32A01/101"/><Relationship Id="rId4210" Type="http://schemas.openxmlformats.org/officeDocument/2006/relationships/hyperlink" TargetMode="External" Target="https://spark-interfax.ru/system/home/card#/company/86394D992715436DB4E6BE6DD3D5811B/101"/><Relationship Id="rId4211" Type="http://schemas.openxmlformats.org/officeDocument/2006/relationships/hyperlink" TargetMode="External" Target="https://spark-interfax.ru/system/home/card#/company/637D80F5C2CA485FA9A6B0ED7B4B6CF3/101"/><Relationship Id="rId4212" Type="http://schemas.openxmlformats.org/officeDocument/2006/relationships/hyperlink" TargetMode="External" Target="https://spark-interfax.ru/system/home/card#/company/BBCFFF13BBEF497B989289CF9A91F13E/101"/><Relationship Id="rId4213" Type="http://schemas.openxmlformats.org/officeDocument/2006/relationships/hyperlink" TargetMode="External" Target="https://spark-interfax.ru/system/home/card#/company/E05D5D90C040467DB12216597DCEBFFB/101"/><Relationship Id="rId4214" Type="http://schemas.openxmlformats.org/officeDocument/2006/relationships/hyperlink" TargetMode="External" Target="https://spark-interfax.ru/system/home/card#/company/A1FE76C6A1D341EB9201039F83244568/101"/><Relationship Id="rId4215" Type="http://schemas.openxmlformats.org/officeDocument/2006/relationships/hyperlink" TargetMode="External" Target="https://spark-interfax.ru/system/home/card#/company/156DD0B97065470B9B29EC7F4CE668D0/101"/><Relationship Id="rId4216" Type="http://schemas.openxmlformats.org/officeDocument/2006/relationships/hyperlink" TargetMode="External" Target="https://spark-interfax.ru/system/home/card#/company/9E007427AF174AD9A5701C7E8BA611EA/101"/><Relationship Id="rId4217" Type="http://schemas.openxmlformats.org/officeDocument/2006/relationships/hyperlink" TargetMode="External" Target="https://spark-interfax.ru/system/home/card#/company/C094ACA3C49A492D871E1756E184B9D7/101"/><Relationship Id="rId4218" Type="http://schemas.openxmlformats.org/officeDocument/2006/relationships/hyperlink" TargetMode="External" Target="https://spark-interfax.ru/system/home/card#/company/F8595B9FE95F40BCAA373FF5B320917B/101"/><Relationship Id="rId4219" Type="http://schemas.openxmlformats.org/officeDocument/2006/relationships/hyperlink" TargetMode="External" Target="https://spark-interfax.ru/system/home/card#/company/2FA168E62CF94C3D9ABAEA27C130A1C5/101"/><Relationship Id="rId4220" Type="http://schemas.openxmlformats.org/officeDocument/2006/relationships/hyperlink" TargetMode="External" Target="https://spark-interfax.ru/system/home/card#/company/D681FDF6482B4D3CB1FFCC417CF38A0A/101"/><Relationship Id="rId4221" Type="http://schemas.openxmlformats.org/officeDocument/2006/relationships/hyperlink" TargetMode="External" Target="https://spark-interfax.ru/system/home/card#/company/E8561E13A3DC40D38492D4817BBA8FAB/101"/><Relationship Id="rId4222" Type="http://schemas.openxmlformats.org/officeDocument/2006/relationships/hyperlink" TargetMode="External" Target="https://spark-interfax.ru/system/home/card#/company/086C54F78F5B48E5835551BDED3E5B43/101"/><Relationship Id="rId4223" Type="http://schemas.openxmlformats.org/officeDocument/2006/relationships/hyperlink" TargetMode="External" Target="https://spark-interfax.ru/system/home/card#/company/79FE0347647B45919C5C5EF75E91F880/101"/><Relationship Id="rId4224" Type="http://schemas.openxmlformats.org/officeDocument/2006/relationships/hyperlink" TargetMode="External" Target="https://spark-interfax.ru/system/home/card#/company/A5605E89D60C46FFABC389F5188DAB31/101"/><Relationship Id="rId4225" Type="http://schemas.openxmlformats.org/officeDocument/2006/relationships/hyperlink" TargetMode="External" Target="https://spark-interfax.ru/system/home/card#/company/008C927F24704E5F980002592713880F/101"/><Relationship Id="rId4226" Type="http://schemas.openxmlformats.org/officeDocument/2006/relationships/hyperlink" TargetMode="External" Target="https://spark-interfax.ru/system/home/card#/company/D047D0026FCB465E92F65827B91D440F/101"/><Relationship Id="rId4227" Type="http://schemas.openxmlformats.org/officeDocument/2006/relationships/hyperlink" TargetMode="External" Target="https://spark-interfax.ru/system/home/card#/company/7C4B8116AEE1336CE0531B9AA8C0FB67/101"/><Relationship Id="rId4228" Type="http://schemas.openxmlformats.org/officeDocument/2006/relationships/hyperlink" TargetMode="External" Target="https://spark-interfax.ru/system/home/card#/company/71367078D6963449E0531B9AA8C0E2C5/101"/><Relationship Id="rId4229" Type="http://schemas.openxmlformats.org/officeDocument/2006/relationships/hyperlink" TargetMode="External" Target="https://spark-interfax.ru/system/home/card#/company/20DC0F3EDB9E43BD93A70A481102FBC0/101"/><Relationship Id="rId4230" Type="http://schemas.openxmlformats.org/officeDocument/2006/relationships/hyperlink" TargetMode="External" Target="https://spark-interfax.ru/system/home/card#/company/9AC4204CEFB2496DA7DFD8B9A27C92C3/101"/><Relationship Id="rId4231" Type="http://schemas.openxmlformats.org/officeDocument/2006/relationships/hyperlink" TargetMode="External" Target="https://spark-interfax.ru/system/home/card#/company/4540B4FAF90B4A8298F2F0ABBF339C0B/101"/><Relationship Id="rId4232" Type="http://schemas.openxmlformats.org/officeDocument/2006/relationships/hyperlink" TargetMode="External" Target="https://spark-interfax.ru/system/home/card#/company/FD6CDA83821041C480D54983F757070B/101"/><Relationship Id="rId4233" Type="http://schemas.openxmlformats.org/officeDocument/2006/relationships/hyperlink" TargetMode="External" Target="https://spark-interfax.ru/system/home/card#/company/2B781BF01AF74EAF999BB0AFB7249284/101"/><Relationship Id="rId4234" Type="http://schemas.openxmlformats.org/officeDocument/2006/relationships/hyperlink" TargetMode="External" Target="https://spark-interfax.ru/system/home/card#/company/8B65B7CB18AD48D0990C88B84DA9E107/101"/><Relationship Id="rId4235" Type="http://schemas.openxmlformats.org/officeDocument/2006/relationships/hyperlink" TargetMode="External" Target="https://spark-interfax.ru/system/home/card#/company/0CEB2584D9DA45109339F4CD11795D03/101"/><Relationship Id="rId4236" Type="http://schemas.openxmlformats.org/officeDocument/2006/relationships/hyperlink" TargetMode="External" Target="https://spark-interfax.ru/system/home/card#/company/4F4680B48FC44913A88D7FBBA27E0CF6/101"/><Relationship Id="rId4237" Type="http://schemas.openxmlformats.org/officeDocument/2006/relationships/hyperlink" TargetMode="External" Target="https://spark-interfax.ru/system/home/card#/company/3ABFD798AEAA4EC09699102A2F895273/101"/><Relationship Id="rId4238" Type="http://schemas.openxmlformats.org/officeDocument/2006/relationships/hyperlink" TargetMode="External" Target="https://spark-interfax.ru/system/home/card#/company/437A60BBEB124538936281ED4FECCB0E/101"/><Relationship Id="rId4239" Type="http://schemas.openxmlformats.org/officeDocument/2006/relationships/hyperlink" TargetMode="External" Target="https://spark-interfax.ru/system/home/card#/company/DD8E02C46C304CA6B4E74B7E60961DE1/101"/><Relationship Id="rId4240" Type="http://schemas.openxmlformats.org/officeDocument/2006/relationships/hyperlink" TargetMode="External" Target="https://spark-interfax.ru/system/home/card#/company/6BED0030B527493DB66122385BD9261A/101"/><Relationship Id="rId4241" Type="http://schemas.openxmlformats.org/officeDocument/2006/relationships/hyperlink" TargetMode="External" Target="https://spark-interfax.ru/system/home/card#/company/0790097BE34742BCAE1507FF7355FA1B/101"/><Relationship Id="rId4242" Type="http://schemas.openxmlformats.org/officeDocument/2006/relationships/hyperlink" TargetMode="External" Target="https://spark-interfax.ru/system/home/card#/company/BC7991B99EF047929F21B20D23961F9A/101"/><Relationship Id="rId4243" Type="http://schemas.openxmlformats.org/officeDocument/2006/relationships/hyperlink" TargetMode="External" Target="https://spark-interfax.ru/system/home/card#/company/1C2E85549BCA4EE0991BF57D42077E2F/101"/><Relationship Id="rId4244" Type="http://schemas.openxmlformats.org/officeDocument/2006/relationships/hyperlink" TargetMode="External" Target="https://spark-interfax.ru/system/home/card#/company/C99FDF3665724248AF0AC50EAF6E5DCC/101"/><Relationship Id="rId4245" Type="http://schemas.openxmlformats.org/officeDocument/2006/relationships/hyperlink" TargetMode="External" Target="https://spark-interfax.ru/system/home/card#/company/B18D204A18734E409718DDD049AD532F/101"/><Relationship Id="rId4246" Type="http://schemas.openxmlformats.org/officeDocument/2006/relationships/hyperlink" TargetMode="External" Target="https://spark-interfax.ru/system/home/card#/company/975B5E08EC284AA48A49275E29415321/101"/><Relationship Id="rId4247" Type="http://schemas.openxmlformats.org/officeDocument/2006/relationships/hyperlink" TargetMode="External" Target="https://spark-interfax.ru/system/home/card#/company/1832ABFF96124AAFB94BA95F30760D4B/101"/><Relationship Id="rId4248" Type="http://schemas.openxmlformats.org/officeDocument/2006/relationships/hyperlink" TargetMode="External" Target="https://spark-interfax.ru/system/home/card#/company/E7F4A94555284DA48D4EC537CB9D365C/101"/><Relationship Id="rId4249" Type="http://schemas.openxmlformats.org/officeDocument/2006/relationships/hyperlink" TargetMode="External" Target="https://spark-interfax.ru/system/home/card#/company/7AE19D4E978F73ECE0531F9AA8C0DB9D/101"/><Relationship Id="rId4250" Type="http://schemas.openxmlformats.org/officeDocument/2006/relationships/hyperlink" TargetMode="External" Target="https://spark-interfax.ru/system/home/card#/company/AF08EE8352154E00A63AF565BE5F33F5/101"/><Relationship Id="rId4251" Type="http://schemas.openxmlformats.org/officeDocument/2006/relationships/hyperlink" TargetMode="External" Target="https://spark-interfax.ru/system/home/card#/company/7DBA1C352FF14F839BDE25D2A44CA7F9/101"/><Relationship Id="rId4252" Type="http://schemas.openxmlformats.org/officeDocument/2006/relationships/hyperlink" TargetMode="External" Target="https://spark-interfax.ru/system/home/card#/company/7F98E962FEC446EEAA9F34310881B7A0/101"/><Relationship Id="rId4253" Type="http://schemas.openxmlformats.org/officeDocument/2006/relationships/hyperlink" TargetMode="External" Target="https://spark-interfax.ru/system/home/card#/company/72F146C18B6B77B4E0531B9AA8C0CEF2/101"/><Relationship Id="rId4254" Type="http://schemas.openxmlformats.org/officeDocument/2006/relationships/hyperlink" TargetMode="External" Target="https://spark-interfax.ru/system/home/card#/company/83C7360FB0754B538B4F2967390D5E7A/101"/><Relationship Id="rId4255" Type="http://schemas.openxmlformats.org/officeDocument/2006/relationships/hyperlink" TargetMode="External" Target="https://spark-interfax.ru/system/home/card#/company/305F5722947445A3B82D4EC1D46E62AD/101"/><Relationship Id="rId4256" Type="http://schemas.openxmlformats.org/officeDocument/2006/relationships/hyperlink" TargetMode="External" Target="https://spark-interfax.ru/system/home/card#/company/8B57B460BE2341609D6356DF6095A485/101"/><Relationship Id="rId4257" Type="http://schemas.openxmlformats.org/officeDocument/2006/relationships/hyperlink" TargetMode="External" Target="https://spark-interfax.ru/system/home/card#/company/21B3B41AE7E94711AEFD9ADC78413937/101"/><Relationship Id="rId4258" Type="http://schemas.openxmlformats.org/officeDocument/2006/relationships/hyperlink" TargetMode="External" Target="https://spark-interfax.ru/system/home/card#/company/9F57B49CACE14F49A8A7B787E5B73818/101"/><Relationship Id="rId4259" Type="http://schemas.openxmlformats.org/officeDocument/2006/relationships/hyperlink" TargetMode="External" Target="https://spark-interfax.ru/system/home/card#/company/BFF49C0DA32F419C9F84F42ACF0142EE/101"/><Relationship Id="rId4260" Type="http://schemas.openxmlformats.org/officeDocument/2006/relationships/hyperlink" TargetMode="External" Target="https://spark-interfax.ru/system/home/card#/company/69305E817DD84F5696D4AB0D9FA01FB2/101"/><Relationship Id="rId4261" Type="http://schemas.openxmlformats.org/officeDocument/2006/relationships/hyperlink" TargetMode="External" Target="https://spark-interfax.ru/system/home/card#/company/5A5906CF4DCF3393E0531C9AA8C02A80/101"/><Relationship Id="rId4262" Type="http://schemas.openxmlformats.org/officeDocument/2006/relationships/hyperlink" TargetMode="External" Target="https://spark-interfax.ru/system/home/card#/company/DB71B19CAD6E4AC8A88864363E5C50A1/101"/><Relationship Id="rId4263" Type="http://schemas.openxmlformats.org/officeDocument/2006/relationships/hyperlink" TargetMode="External" Target="https://spark-interfax.ru/system/home/card#/company/B7BC3351516143039C1064CB64B383B6/101"/><Relationship Id="rId4264" Type="http://schemas.openxmlformats.org/officeDocument/2006/relationships/hyperlink" TargetMode="External" Target="https://spark-interfax.ru/system/home/card#/company/71C6FB16CF8842F0B9C0884C3ABB0128/101"/><Relationship Id="rId4265" Type="http://schemas.openxmlformats.org/officeDocument/2006/relationships/hyperlink" TargetMode="External" Target="https://spark-interfax.ru/system/home/card#/company/2AD0A4B90E504E94A419AC880559AF0A/101"/><Relationship Id="rId4266" Type="http://schemas.openxmlformats.org/officeDocument/2006/relationships/hyperlink" TargetMode="External" Target="https://spark-interfax.ru/system/home/card#/company/07E1D730F6DE4415A633C1BBA3D94773/101"/><Relationship Id="rId4267" Type="http://schemas.openxmlformats.org/officeDocument/2006/relationships/hyperlink" TargetMode="External" Target="https://spark-interfax.ru/system/home/card#/company/EA270EAFCFD143B5940800942CA0E412/101"/><Relationship Id="rId4268" Type="http://schemas.openxmlformats.org/officeDocument/2006/relationships/hyperlink" TargetMode="External" Target="https://spark-interfax.ru/system/home/card#/company/A0C16801384D41BAE053189AA8C065D8/101"/><Relationship Id="rId4269" Type="http://schemas.openxmlformats.org/officeDocument/2006/relationships/hyperlink" TargetMode="External" Target="https://spark-interfax.ru/system/home/card#/company/FF225BAAB74B422B8BF4A4F57A3BB387/101"/><Relationship Id="rId4270" Type="http://schemas.openxmlformats.org/officeDocument/2006/relationships/hyperlink" TargetMode="External" Target="https://spark-interfax.ru/system/home/card#/company/190A0D3A32FB4164951B3DB86D7AA942/101"/><Relationship Id="rId4271" Type="http://schemas.openxmlformats.org/officeDocument/2006/relationships/hyperlink" TargetMode="External" Target="https://spark-interfax.ru/system/home/card#/company/11EA610335D44DE8B7163546EDB96F14/101"/><Relationship Id="rId4272" Type="http://schemas.openxmlformats.org/officeDocument/2006/relationships/hyperlink" TargetMode="External" Target="https://spark-interfax.ru/system/home/card#/company/F0B2E92DFEDF4CD6B4BAEBA209C8F0AC/101"/><Relationship Id="rId4273" Type="http://schemas.openxmlformats.org/officeDocument/2006/relationships/hyperlink" TargetMode="External" Target="https://spark-interfax.ru/system/home/card#/company/522A5F63F6B74E68AF99C69F09313055/101"/><Relationship Id="rId4274" Type="http://schemas.openxmlformats.org/officeDocument/2006/relationships/hyperlink" TargetMode="External" Target="https://spark-interfax.ru/system/home/card#/company/D58B29F8AAFE4422AAB2A367D8BC4DE1/101"/><Relationship Id="rId4275" Type="http://schemas.openxmlformats.org/officeDocument/2006/relationships/hyperlink" TargetMode="External" Target="https://spark-interfax.ru/system/home/card#/company/6B26BFEB30CC41F0954D0D9FEFFE885A/101"/><Relationship Id="rId4276" Type="http://schemas.openxmlformats.org/officeDocument/2006/relationships/hyperlink" TargetMode="External" Target="https://spark-interfax.ru/system/home/card#/company/235D9F35CA7649C5B666199F0E0E0926/101"/><Relationship Id="rId4277" Type="http://schemas.openxmlformats.org/officeDocument/2006/relationships/hyperlink" TargetMode="External" Target="https://spark-interfax.ru/system/home/card#/company/8D89116AB4AE4D9E84DF905D23F5E7D0/101"/><Relationship Id="rId4278" Type="http://schemas.openxmlformats.org/officeDocument/2006/relationships/hyperlink" TargetMode="External" Target="https://spark-interfax.ru/system/home/card#/company/58859865888D478D8D0D6E2A84EAAF9F/101"/><Relationship Id="rId4279" Type="http://schemas.openxmlformats.org/officeDocument/2006/relationships/hyperlink" TargetMode="External" Target="https://spark-interfax.ru/system/home/card#/company/C407D5F6D9A641E3887F64BA7636C20E/101"/><Relationship Id="rId4280" Type="http://schemas.openxmlformats.org/officeDocument/2006/relationships/hyperlink" TargetMode="External" Target="https://spark-interfax.ru/system/home/card#/company/BC143DE6B1F245AAB4C3CE0E2F9473A1/101"/><Relationship Id="rId4281" Type="http://schemas.openxmlformats.org/officeDocument/2006/relationships/hyperlink" TargetMode="External" Target="https://spark-interfax.ru/system/home/card#/company/901F02844D4648C7A6527C564A5D18FC/101"/><Relationship Id="rId4282" Type="http://schemas.openxmlformats.org/officeDocument/2006/relationships/hyperlink" TargetMode="External" Target="https://spark-interfax.ru/system/home/card#/company/DD0F4984C38A4A60B26FC8CC3672BFD8/101"/><Relationship Id="rId4283" Type="http://schemas.openxmlformats.org/officeDocument/2006/relationships/hyperlink" TargetMode="External" Target="https://spark-interfax.ru/system/home/card#/company/F515FE08903F43889AA15B24F2DD1E18/101"/><Relationship Id="rId4284" Type="http://schemas.openxmlformats.org/officeDocument/2006/relationships/hyperlink" TargetMode="External" Target="https://spark-interfax.ru/system/home/card#/company/67BC0AC5A73A45DBB38289979A342319/101"/><Relationship Id="rId4285" Type="http://schemas.openxmlformats.org/officeDocument/2006/relationships/hyperlink" TargetMode="External" Target="https://spark-interfax.ru/system/home/card#/company/046F587CF3174B699FED75EA04139620/101"/><Relationship Id="rId4286" Type="http://schemas.openxmlformats.org/officeDocument/2006/relationships/hyperlink" TargetMode="External" Target="https://spark-interfax.ru/system/home/card#/company/B026D7DAA9104F22AEF59AC3C10E0508/101"/><Relationship Id="rId4287" Type="http://schemas.openxmlformats.org/officeDocument/2006/relationships/hyperlink" TargetMode="External" Target="https://spark-interfax.ru/system/home/card#/company/FF22BF770F1E4008A7C84C87A1A25945/101"/><Relationship Id="rId4288" Type="http://schemas.openxmlformats.org/officeDocument/2006/relationships/hyperlink" TargetMode="External" Target="https://spark-interfax.ru/system/home/card#/company/FAE8F41795284BCF9858D20B9FE76C5D/101"/><Relationship Id="rId4289" Type="http://schemas.openxmlformats.org/officeDocument/2006/relationships/hyperlink" TargetMode="External" Target="https://spark-interfax.ru/system/home/card#/company/657EA4AA16584A6487D03DBA20BF88F6/101"/><Relationship Id="rId4290" Type="http://schemas.openxmlformats.org/officeDocument/2006/relationships/hyperlink" TargetMode="External" Target="https://spark-interfax.ru/system/home/card#/company/7728AEB4D3BF4D09B964EBFC642BA1EE/101"/><Relationship Id="rId4291" Type="http://schemas.openxmlformats.org/officeDocument/2006/relationships/hyperlink" TargetMode="External" Target="https://spark-interfax.ru/system/home/card#/company/D483A99802CB45AC8E21ED8629569688/101"/><Relationship Id="rId4292" Type="http://schemas.openxmlformats.org/officeDocument/2006/relationships/hyperlink" TargetMode="External" Target="https://spark-interfax.ru/system/home/card#/company/FB70F321ACF945F28927F214D6F4E638/101"/><Relationship Id="rId4293" Type="http://schemas.openxmlformats.org/officeDocument/2006/relationships/hyperlink" TargetMode="External" Target="https://spark-interfax.ru/system/home/card#/company/FC697132574441339ED7E2B9E144698A/101"/><Relationship Id="rId4294" Type="http://schemas.openxmlformats.org/officeDocument/2006/relationships/hyperlink" TargetMode="External" Target="https://spark-interfax.ru/system/home/card#/company/A11081F3B1624EA9B9EBCD9723A6F481/101"/><Relationship Id="rId4295" Type="http://schemas.openxmlformats.org/officeDocument/2006/relationships/hyperlink" TargetMode="External" Target="https://spark-interfax.ru/system/home/card#/company/3E1804EB11974245A9BE02A77B226F22/101"/><Relationship Id="rId4296" Type="http://schemas.openxmlformats.org/officeDocument/2006/relationships/hyperlink" TargetMode="External" Target="https://spark-interfax.ru/system/home/card#/company/15621916DEF043E9B5C9CF2905C1045E/101"/><Relationship Id="rId4297" Type="http://schemas.openxmlformats.org/officeDocument/2006/relationships/hyperlink" TargetMode="External" Target="https://spark-interfax.ru/system/home/card#/company/C8D962D8FC9043CBB6B1C1025EDB3F09/101"/><Relationship Id="rId4298" Type="http://schemas.openxmlformats.org/officeDocument/2006/relationships/hyperlink" TargetMode="External" Target="https://spark-interfax.ru/system/home/card#/company/FD5FC6506E414D418E75E732CE306E96/101"/><Relationship Id="rId4299" Type="http://schemas.openxmlformats.org/officeDocument/2006/relationships/hyperlink" TargetMode="External" Target="https://spark-interfax.ru/system/home/card#/company/5504B0EE1E424E7F979CCDAECC301A0B/101"/><Relationship Id="rId4300" Type="http://schemas.openxmlformats.org/officeDocument/2006/relationships/hyperlink" TargetMode="External" Target="https://spark-interfax.ru/system/home/card#/company/FD9B350E11F642CBB8176394AECF5F3F/101"/><Relationship Id="rId4301" Type="http://schemas.openxmlformats.org/officeDocument/2006/relationships/hyperlink" TargetMode="External" Target="https://spark-interfax.ru/system/home/card#/company/232A11F845194DEF86B708884EB0794C/101"/><Relationship Id="rId4302" Type="http://schemas.openxmlformats.org/officeDocument/2006/relationships/hyperlink" TargetMode="External" Target="https://spark-interfax.ru/system/home/card#/company/3B73F5A54E464379A7508F74F33E730E/101"/><Relationship Id="rId4303" Type="http://schemas.openxmlformats.org/officeDocument/2006/relationships/hyperlink" TargetMode="External" Target="https://spark-interfax.ru/system/home/card#/company/909A4A33FF0E46B88ABF6981958DD701/101"/><Relationship Id="rId4304" Type="http://schemas.openxmlformats.org/officeDocument/2006/relationships/hyperlink" TargetMode="External" Target="https://spark-interfax.ru/system/home/card#/company/8AF57BA8B19B4B09A9753A32AA52F7B8/101"/><Relationship Id="rId4305" Type="http://schemas.openxmlformats.org/officeDocument/2006/relationships/hyperlink" TargetMode="External" Target="https://spark-interfax.ru/system/home/card#/company/6CFAE40C073E4DA3947A68AAA8CA6779/101"/><Relationship Id="rId4306" Type="http://schemas.openxmlformats.org/officeDocument/2006/relationships/hyperlink" TargetMode="External" Target="https://spark-interfax.ru/system/home/card#/company/6DE009DF857241F5AB946332185D98C0/101"/><Relationship Id="rId4307" Type="http://schemas.openxmlformats.org/officeDocument/2006/relationships/hyperlink" TargetMode="External" Target="https://spark-interfax.ru/system/home/card#/company/9F702BD177F4441D9357EE6022217A83/101"/><Relationship Id="rId4308" Type="http://schemas.openxmlformats.org/officeDocument/2006/relationships/hyperlink" TargetMode="External" Target="https://spark-interfax.ru/system/home/card#/company/83F28397DC8247B8BCCD3CC5478596F9/101"/><Relationship Id="rId4309" Type="http://schemas.openxmlformats.org/officeDocument/2006/relationships/hyperlink" TargetMode="External" Target="https://spark-interfax.ru/system/home/card#/company/439456841B2B498AB8245BFEB5EC7A48/101"/><Relationship Id="rId4310" Type="http://schemas.openxmlformats.org/officeDocument/2006/relationships/hyperlink" TargetMode="External" Target="https://spark-interfax.ru/system/home/card#/company/A361FBDBFB60429BA418994F2062FB8B/101"/><Relationship Id="rId4311" Type="http://schemas.openxmlformats.org/officeDocument/2006/relationships/hyperlink" TargetMode="External" Target="https://spark-interfax.ru/system/home/card#/company/5C591DBBF1A645D68074F531F8494E50/101"/><Relationship Id="rId4312" Type="http://schemas.openxmlformats.org/officeDocument/2006/relationships/hyperlink" TargetMode="External" Target="https://spark-interfax.ru/system/home/card#/company/83A25415533D4CA6A5B1184D21F5ECC0/101"/><Relationship Id="rId4313" Type="http://schemas.openxmlformats.org/officeDocument/2006/relationships/hyperlink" TargetMode="External" Target="https://spark-interfax.ru/system/home/card#/company/06AD5FB314CC4DC99FD5A7D860F947F5/101"/><Relationship Id="rId4314" Type="http://schemas.openxmlformats.org/officeDocument/2006/relationships/hyperlink" TargetMode="External" Target="https://spark-interfax.ru/system/home/card#/company/7F5459B49FDD8B8BE0531B9AA8C0246F/101"/><Relationship Id="rId4315" Type="http://schemas.openxmlformats.org/officeDocument/2006/relationships/hyperlink" TargetMode="External" Target="https://spark-interfax.ru/system/home/card#/company/451241DC42A142A89343AD1EED908634/101"/><Relationship Id="rId4316" Type="http://schemas.openxmlformats.org/officeDocument/2006/relationships/hyperlink" TargetMode="External" Target="https://spark-interfax.ru/system/home/card#/company/DB7ED1D6F68C4CEB9585DFD6CA9EF5BC/101"/><Relationship Id="rId4317" Type="http://schemas.openxmlformats.org/officeDocument/2006/relationships/hyperlink" TargetMode="External" Target="https://spark-interfax.ru/system/home/card#/company/1827F43C24764A059301497B01B55D7E/101"/><Relationship Id="rId4318" Type="http://schemas.openxmlformats.org/officeDocument/2006/relationships/hyperlink" TargetMode="External" Target="https://spark-interfax.ru/system/home/card#/company/B730E06D105B48DC8DF8E8094296E55E/101"/><Relationship Id="rId4319" Type="http://schemas.openxmlformats.org/officeDocument/2006/relationships/hyperlink" TargetMode="External" Target="https://spark-interfax.ru/system/home/card#/company/678BC4514D32434EADE70BAEA6B45ED9/101"/><Relationship Id="rId4320" Type="http://schemas.openxmlformats.org/officeDocument/2006/relationships/hyperlink" TargetMode="External" Target="https://spark-interfax.ru/system/home/card#/company/7B32AA84B1533790E0531B9AA8C0A22E/101"/><Relationship Id="rId4321" Type="http://schemas.openxmlformats.org/officeDocument/2006/relationships/hyperlink" TargetMode="External" Target="https://spark-interfax.ru/system/home/card#/company/E411284C553D4AF694E0AF4C7640ED5F/101"/><Relationship Id="rId4322" Type="http://schemas.openxmlformats.org/officeDocument/2006/relationships/hyperlink" TargetMode="External" Target="https://spark-interfax.ru/system/home/card#/company/B0E6F6ED6889431691BEBC6FE5AE12F4/101"/><Relationship Id="rId4323" Type="http://schemas.openxmlformats.org/officeDocument/2006/relationships/hyperlink" TargetMode="External" Target="https://spark-interfax.ru/system/home/card#/company/8B9F6CA66D5076EBE0531C9AA8C06759/101"/><Relationship Id="rId4324" Type="http://schemas.openxmlformats.org/officeDocument/2006/relationships/hyperlink" TargetMode="External" Target="https://spark-interfax.ru/system/home/card#/company/BC933D045C844AC884B3F79430C5A312/101"/><Relationship Id="rId4325" Type="http://schemas.openxmlformats.org/officeDocument/2006/relationships/hyperlink" TargetMode="External" Target="https://spark-interfax.ru/system/home/card#/company/D016C9E94448461AB79A9A4BD4ABF45E/101"/><Relationship Id="rId4326" Type="http://schemas.openxmlformats.org/officeDocument/2006/relationships/hyperlink" TargetMode="External" Target="https://spark-interfax.ru/system/home/card#/company/B28A34CCD1D741568EC15D02263CDDE2/101"/><Relationship Id="rId4327" Type="http://schemas.openxmlformats.org/officeDocument/2006/relationships/hyperlink" TargetMode="External" Target="https://spark-interfax.ru/system/home/card#/company/691A7E4036C14979B250CA9A2460733F/101"/><Relationship Id="rId4328" Type="http://schemas.openxmlformats.org/officeDocument/2006/relationships/hyperlink" TargetMode="External" Target="https://spark-interfax.ru/system/home/card#/company/90EDB94DEC484EB6A3EBFCA015B32BE0/101"/><Relationship Id="rId4329" Type="http://schemas.openxmlformats.org/officeDocument/2006/relationships/hyperlink" TargetMode="External" Target="https://spark-interfax.ru/system/home/card#/company/B503A2DB3A1A4F33BC57D883BC56D2A2/101"/><Relationship Id="rId4330" Type="http://schemas.openxmlformats.org/officeDocument/2006/relationships/hyperlink" TargetMode="External" Target="https://spark-interfax.ru/system/home/card#/company/7CE5CC04C90D455ABB1C3AE82B9DE689/101"/><Relationship Id="rId4331" Type="http://schemas.openxmlformats.org/officeDocument/2006/relationships/hyperlink" TargetMode="External" Target="https://spark-interfax.ru/system/home/card#/company/DAAA1387D20D41DB835EBF522921697E/101"/><Relationship Id="rId4332" Type="http://schemas.openxmlformats.org/officeDocument/2006/relationships/hyperlink" TargetMode="External" Target="https://spark-interfax.ru/system/home/card#/company/841388FD817B84FDE0531B9AA8C0F4DD/101"/><Relationship Id="rId4333" Type="http://schemas.openxmlformats.org/officeDocument/2006/relationships/hyperlink" TargetMode="External" Target="https://spark-interfax.ru/system/home/card#/company/EFDE04B10B89436897B6ED6B1C6B0905/101"/><Relationship Id="rId4334" Type="http://schemas.openxmlformats.org/officeDocument/2006/relationships/hyperlink" TargetMode="External" Target="https://spark-interfax.ru/system/home/card#/company/8CF5CEEC603659F9E0531C9AA8C084F9/101"/><Relationship Id="rId4335" Type="http://schemas.openxmlformats.org/officeDocument/2006/relationships/hyperlink" TargetMode="External" Target="https://spark-interfax.ru/system/home/card#/company/0D684414F2494CEDAB0269A37B4CED41/101"/><Relationship Id="rId4336" Type="http://schemas.openxmlformats.org/officeDocument/2006/relationships/hyperlink" TargetMode="External" Target="https://spark-interfax.ru/system/home/card#/company/2C7027BF26FE4F78A089D42B3C079511/101"/><Relationship Id="rId4337" Type="http://schemas.openxmlformats.org/officeDocument/2006/relationships/hyperlink" TargetMode="External" Target="https://spark-interfax.ru/system/home/card#/company/12FE42DBE82D477995AE1AF4032D8058/101"/><Relationship Id="rId4338" Type="http://schemas.openxmlformats.org/officeDocument/2006/relationships/hyperlink" TargetMode="External" Target="https://spark-interfax.ru/system/home/card#/company/C919C527E1334087942B0C0A8DDEDDC3/101"/><Relationship Id="rId4339" Type="http://schemas.openxmlformats.org/officeDocument/2006/relationships/hyperlink" TargetMode="External" Target="https://spark-interfax.ru/system/home/card#/company/ACE95B783DA34788AB257BD2931A7891/101"/><Relationship Id="rId4340" Type="http://schemas.openxmlformats.org/officeDocument/2006/relationships/hyperlink" TargetMode="External" Target="https://spark-interfax.ru/system/home/card#/company/E0C3336D3F0B4735A1B769A42B86414E/101"/><Relationship Id="rId4341" Type="http://schemas.openxmlformats.org/officeDocument/2006/relationships/hyperlink" TargetMode="External" Target="https://spark-interfax.ru/system/home/card#/company/3B596F19D82B4373BB683C607D8140F6/101"/><Relationship Id="rId4342" Type="http://schemas.openxmlformats.org/officeDocument/2006/relationships/hyperlink" TargetMode="External" Target="https://spark-interfax.ru/system/home/card#/company/2E00D993276540D6B2D75E70D31D1CBE/101"/><Relationship Id="rId4343" Type="http://schemas.openxmlformats.org/officeDocument/2006/relationships/hyperlink" TargetMode="External" Target="https://spark-interfax.ru/system/home/card#/company/86ED0AD7E7DA4A7E8DF6A9C0DA1A25AB/101"/><Relationship Id="rId4344" Type="http://schemas.openxmlformats.org/officeDocument/2006/relationships/hyperlink" TargetMode="External" Target="https://spark-interfax.ru/system/home/card#/company/6FB2517C00054CA4BB4C545F6948FF3A/101"/><Relationship Id="rId4345" Type="http://schemas.openxmlformats.org/officeDocument/2006/relationships/hyperlink" TargetMode="External" Target="https://spark-interfax.ru/system/home/card#/company/5366B406F6CF411595F54C27A14894CD/101"/><Relationship Id="rId4346" Type="http://schemas.openxmlformats.org/officeDocument/2006/relationships/hyperlink" TargetMode="External" Target="https://spark-interfax.ru/system/home/card#/company/9572E960CC374F3B85AFF1C68D3D8621/101"/><Relationship Id="rId4347" Type="http://schemas.openxmlformats.org/officeDocument/2006/relationships/hyperlink" TargetMode="External" Target="https://spark-interfax.ru/system/home/card#/company/41731DC6F2854E56B14F6BD3861DE6D1/101"/><Relationship Id="rId4348" Type="http://schemas.openxmlformats.org/officeDocument/2006/relationships/hyperlink" TargetMode="External" Target="https://spark-interfax.ru/system/home/card#/company/954844EF24C04CFE88428BE525C848B1/101"/><Relationship Id="rId4349" Type="http://schemas.openxmlformats.org/officeDocument/2006/relationships/hyperlink" TargetMode="External" Target="https://spark-interfax.ru/system/home/card#/company/312EA24E54C74234A95E3F23E4097821/101"/><Relationship Id="rId4350" Type="http://schemas.openxmlformats.org/officeDocument/2006/relationships/hyperlink" TargetMode="External" Target="https://spark-interfax.ru/system/home/card#/company/81BA5FD35CEA4E8280FC8B5A0C276BB8/101"/><Relationship Id="rId4351" Type="http://schemas.openxmlformats.org/officeDocument/2006/relationships/hyperlink" TargetMode="External" Target="https://spark-interfax.ru/system/home/card#/company/5CBFF76CFEFD4609B5094EF4E46B7E29/101"/><Relationship Id="rId4352" Type="http://schemas.openxmlformats.org/officeDocument/2006/relationships/hyperlink" TargetMode="External" Target="https://spark-interfax.ru/system/home/card#/company/57300A4A8AC9431584665C22D7ECEF8E/101"/><Relationship Id="rId4353" Type="http://schemas.openxmlformats.org/officeDocument/2006/relationships/hyperlink" TargetMode="External" Target="https://spark-interfax.ru/system/home/card#/company/0B4C1D59031249B5A5BDB03A7B2F6878/101"/><Relationship Id="rId4354" Type="http://schemas.openxmlformats.org/officeDocument/2006/relationships/hyperlink" TargetMode="External" Target="https://spark-interfax.ru/system/home/card#/company/009BDFB1C6A1468DBA87E72B9DCEFC08/101"/><Relationship Id="rId4355" Type="http://schemas.openxmlformats.org/officeDocument/2006/relationships/hyperlink" TargetMode="External" Target="https://spark-interfax.ru/system/home/card#/company/6BF353C670AE56C9E0531B9AA8C04873/101"/><Relationship Id="rId4356" Type="http://schemas.openxmlformats.org/officeDocument/2006/relationships/hyperlink" TargetMode="External" Target="https://spark-interfax.ru/system/home/card#/company/5295287EC8674BF2801ED2F2E0BF28F8/101"/><Relationship Id="rId4357" Type="http://schemas.openxmlformats.org/officeDocument/2006/relationships/hyperlink" TargetMode="External" Target="https://spark-interfax.ru/system/home/card#/company/4F15CECE8BCB49558884D4581CBB3E2A/101"/><Relationship Id="rId4358" Type="http://schemas.openxmlformats.org/officeDocument/2006/relationships/hyperlink" TargetMode="External" Target="https://spark-interfax.ru/system/home/card#/company/AA75F4C6C0314F72B86EE9EF5E9018C0/101"/><Relationship Id="rId4359" Type="http://schemas.openxmlformats.org/officeDocument/2006/relationships/hyperlink" TargetMode="External" Target="https://spark-interfax.ru/system/home/card#/company/98256ECBAE604FEA9912D47D1891D6AE/101"/><Relationship Id="rId4360" Type="http://schemas.openxmlformats.org/officeDocument/2006/relationships/hyperlink" TargetMode="External" Target="https://spark-interfax.ru/system/home/card#/company/B782CCFE3CC3475EAF90A6751692F53A/101"/><Relationship Id="rId4361" Type="http://schemas.openxmlformats.org/officeDocument/2006/relationships/hyperlink" TargetMode="External" Target="https://spark-interfax.ru/system/home/card#/company/145C7CF7DD6549CF917EC37512128EE5/101"/><Relationship Id="rId4362" Type="http://schemas.openxmlformats.org/officeDocument/2006/relationships/hyperlink" TargetMode="External" Target="https://spark-interfax.ru/system/home/card#/company/F310D3CAD61D40F2A7DF589E921B8EA4/101"/><Relationship Id="rId4363" Type="http://schemas.openxmlformats.org/officeDocument/2006/relationships/hyperlink" TargetMode="External" Target="https://spark-interfax.ru/system/home/card#/company/C517778E5BEB49AC84EC59A93FBC4EE2/101"/><Relationship Id="rId4364" Type="http://schemas.openxmlformats.org/officeDocument/2006/relationships/hyperlink" TargetMode="External" Target="https://spark-interfax.ru/system/home/card#/company/C965DA3E63BA429EA390E1E31AD30E9F/101"/><Relationship Id="rId4365" Type="http://schemas.openxmlformats.org/officeDocument/2006/relationships/hyperlink" TargetMode="External" Target="https://spark-interfax.ru/system/home/card#/company/F332F5085D274D31BDB149A0F982E028/101"/><Relationship Id="rId4366" Type="http://schemas.openxmlformats.org/officeDocument/2006/relationships/hyperlink" TargetMode="External" Target="https://spark-interfax.ru/system/home/card#/company/3756FD7D419C4E2E9C86BC7C66B78691/101"/><Relationship Id="rId4367" Type="http://schemas.openxmlformats.org/officeDocument/2006/relationships/hyperlink" TargetMode="External" Target="https://spark-interfax.ru/system/home/card#/company/7D913FDF146F4A67B8F32E241FD7768C/101"/><Relationship Id="rId4368" Type="http://schemas.openxmlformats.org/officeDocument/2006/relationships/hyperlink" TargetMode="External" Target="https://spark-interfax.ru/system/home/card#/company/4259095AA7364CA585AF9F070D9FAEE0/101"/><Relationship Id="rId4369" Type="http://schemas.openxmlformats.org/officeDocument/2006/relationships/hyperlink" TargetMode="External" Target="https://spark-interfax.ru/system/home/card#/company/847051F0A8FE44DDB5890AE1372EDFAD/101"/><Relationship Id="rId4370" Type="http://schemas.openxmlformats.org/officeDocument/2006/relationships/hyperlink" TargetMode="External" Target="https://spark-interfax.ru/system/home/card#/company/7420DC46DC62721BE0531B9AA8C0A9F2/101"/><Relationship Id="rId4371" Type="http://schemas.openxmlformats.org/officeDocument/2006/relationships/hyperlink" TargetMode="External" Target="https://spark-interfax.ru/system/home/card#/company/83478921E1FB47B9BA04413522A6E4D5/101"/><Relationship Id="rId4372" Type="http://schemas.openxmlformats.org/officeDocument/2006/relationships/hyperlink" TargetMode="External" Target="https://spark-interfax.ru/system/home/card#/company/35B9D88E6E4D4A3EB9D56970C26C37C1/101"/><Relationship Id="rId4373" Type="http://schemas.openxmlformats.org/officeDocument/2006/relationships/hyperlink" TargetMode="External" Target="https://spark-interfax.ru/system/home/card#/company/27FD7B20EE0B4D359E38843F01CC110F/101"/><Relationship Id="rId4374" Type="http://schemas.openxmlformats.org/officeDocument/2006/relationships/hyperlink" TargetMode="External" Target="https://spark-interfax.ru/system/home/card#/company/458DBE9FAE974D49BCE58FE81D9ABE1D/101"/><Relationship Id="rId4375" Type="http://schemas.openxmlformats.org/officeDocument/2006/relationships/hyperlink" TargetMode="External" Target="https://spark-interfax.ru/system/home/card#/company/D5FD51EB3E474E499294DB507E2E1E99/101"/><Relationship Id="rId4376" Type="http://schemas.openxmlformats.org/officeDocument/2006/relationships/hyperlink" TargetMode="External" Target="https://spark-interfax.ru/system/home/card#/company/EBAB8788078A4B609F1128886A6DE771/101"/><Relationship Id="rId4377" Type="http://schemas.openxmlformats.org/officeDocument/2006/relationships/hyperlink" TargetMode="External" Target="https://spark-interfax.ru/system/home/card#/company/42BE80273DB54CAB90851D802A6A60AE/101"/><Relationship Id="rId4378" Type="http://schemas.openxmlformats.org/officeDocument/2006/relationships/hyperlink" TargetMode="External" Target="https://spark-interfax.ru/system/home/card#/company/296A20F079B24F4BAA395BA2E4B39EAF/101"/><Relationship Id="rId4379" Type="http://schemas.openxmlformats.org/officeDocument/2006/relationships/hyperlink" TargetMode="External" Target="https://spark-interfax.ru/system/home/card#/company/C350ECDA5FA1488C895AC7D17D9DC45E/101"/><Relationship Id="rId4380" Type="http://schemas.openxmlformats.org/officeDocument/2006/relationships/hyperlink" TargetMode="External" Target="https://spark-interfax.ru/system/home/card#/company/32C69919779F435FBCDA39C71CB74E76/101"/><Relationship Id="rId4381" Type="http://schemas.openxmlformats.org/officeDocument/2006/relationships/hyperlink" TargetMode="External" Target="https://spark-interfax.ru/system/home/card#/company/0AAAA91B1BAF4149B985E93CAB544688/101"/><Relationship Id="rId4382" Type="http://schemas.openxmlformats.org/officeDocument/2006/relationships/hyperlink" TargetMode="External" Target="https://spark-interfax.ru/system/home/card#/company/912079BC53B74F53A1A709CD47B8B8EE/101"/><Relationship Id="rId4383" Type="http://schemas.openxmlformats.org/officeDocument/2006/relationships/hyperlink" TargetMode="External" Target="https://spark-interfax.ru/system/home/card#/company/6A9D00561B944ED59A11819816D79796/101"/><Relationship Id="rId4384" Type="http://schemas.openxmlformats.org/officeDocument/2006/relationships/hyperlink" TargetMode="External" Target="https://spark-interfax.ru/system/home/card#/company/345EDFB11D334B478D4F14D6D98A716F/101"/><Relationship Id="rId4385" Type="http://schemas.openxmlformats.org/officeDocument/2006/relationships/hyperlink" TargetMode="External" Target="https://spark-interfax.ru/system/home/card#/company/97B1F4128D6C486FBD417329B1F080DE/101"/><Relationship Id="rId4386" Type="http://schemas.openxmlformats.org/officeDocument/2006/relationships/hyperlink" TargetMode="External" Target="https://spark-interfax.ru/system/home/card#/company/3961D581043A4FDDABAA1587702CF252/101"/><Relationship Id="rId4387" Type="http://schemas.openxmlformats.org/officeDocument/2006/relationships/hyperlink" TargetMode="External" Target="https://spark-interfax.ru/system/home/card#/company/1F15362C82DC4AA2A2223CFB365FFDD0/101"/><Relationship Id="rId4388" Type="http://schemas.openxmlformats.org/officeDocument/2006/relationships/hyperlink" TargetMode="External" Target="https://spark-interfax.ru/system/home/card#/company/D786D133B8524819BAC474A412F65702/101"/><Relationship Id="rId4389" Type="http://schemas.openxmlformats.org/officeDocument/2006/relationships/hyperlink" TargetMode="External" Target="https://spark-interfax.ru/system/home/card#/company/71B1076003AC8EABE0531B9AA8C07C2E/101"/><Relationship Id="rId4390" Type="http://schemas.openxmlformats.org/officeDocument/2006/relationships/hyperlink" TargetMode="External" Target="https://spark-interfax.ru/system/home/card#/company/3158294FBBF0477EB132362ED6A488AB/101"/><Relationship Id="rId4391" Type="http://schemas.openxmlformats.org/officeDocument/2006/relationships/hyperlink" TargetMode="External" Target="https://spark-interfax.ru/system/home/card#/company/62C175DEB0804E3889893363B1C7FA3C/101"/><Relationship Id="rId4392" Type="http://schemas.openxmlformats.org/officeDocument/2006/relationships/hyperlink" TargetMode="External" Target="https://spark-interfax.ru/system/home/card#/company/D927FA2696D14F7583AC01F9ED2F1A98/101"/><Relationship Id="rId4393" Type="http://schemas.openxmlformats.org/officeDocument/2006/relationships/hyperlink" TargetMode="External" Target="https://spark-interfax.ru/system/home/card#/company/F23DD216D01E432BBE22EE9188F21BF7/101"/><Relationship Id="rId4394" Type="http://schemas.openxmlformats.org/officeDocument/2006/relationships/hyperlink" TargetMode="External" Target="https://spark-interfax.ru/system/home/card#/company/15EE933661DD4E06B74E26DD5747AF8A/101"/><Relationship Id="rId4395" Type="http://schemas.openxmlformats.org/officeDocument/2006/relationships/hyperlink" TargetMode="External" Target="https://spark-interfax.ru/system/home/card#/company/14DFFBFE9F594678A72E9465DF2A566A/101"/><Relationship Id="rId4396" Type="http://schemas.openxmlformats.org/officeDocument/2006/relationships/hyperlink" TargetMode="External" Target="https://spark-interfax.ru/system/home/card#/company/25B15E8222E0498D8136F0B6351D9457/101"/><Relationship Id="rId4397" Type="http://schemas.openxmlformats.org/officeDocument/2006/relationships/hyperlink" TargetMode="External" Target="https://spark-interfax.ru/system/home/card#/company/228756ADCD72460CA1870DA69E3C1B3C/101"/><Relationship Id="rId4398" Type="http://schemas.openxmlformats.org/officeDocument/2006/relationships/hyperlink" TargetMode="External" Target="https://spark-interfax.ru/system/home/card#/company/B6DD3178B2264BA49C5E23D1367016BD/101"/><Relationship Id="rId4399" Type="http://schemas.openxmlformats.org/officeDocument/2006/relationships/hyperlink" TargetMode="External" Target="https://spark-interfax.ru/system/home/card#/company/A538424B5AF34C41B8BBD0CBF76EBBDE/101"/><Relationship Id="rId4400" Type="http://schemas.openxmlformats.org/officeDocument/2006/relationships/hyperlink" TargetMode="External" Target="https://spark-interfax.ru/system/home/card#/company/323D42D95A25410C86B21FC38F3DF87D/101"/><Relationship Id="rId4401" Type="http://schemas.openxmlformats.org/officeDocument/2006/relationships/hyperlink" TargetMode="External" Target="https://spark-interfax.ru/system/home/card#/company/569B8F14C47E4F4DAAE6130AF54A86D8/101"/><Relationship Id="rId4402" Type="http://schemas.openxmlformats.org/officeDocument/2006/relationships/hyperlink" TargetMode="External" Target="https://spark-interfax.ru/system/home/card#/company/498A1B8A41D84A78B331DFF1B9E00BA8/101"/><Relationship Id="rId4403" Type="http://schemas.openxmlformats.org/officeDocument/2006/relationships/hyperlink" TargetMode="External" Target="https://spark-interfax.ru/system/home/card#/company/CB228810F31147018EAB07AA6A91216E/101"/><Relationship Id="rId4404" Type="http://schemas.openxmlformats.org/officeDocument/2006/relationships/hyperlink" TargetMode="External" Target="https://spark-interfax.ru/system/home/card#/company/07A8E80AACAF4F48A2FE532022A8D096/101"/><Relationship Id="rId4405" Type="http://schemas.openxmlformats.org/officeDocument/2006/relationships/hyperlink" TargetMode="External" Target="https://spark-interfax.ru/system/home/card#/company/4DD793BBD2F44A4BA58AAD71B6B9C2F1/101"/><Relationship Id="rId4406" Type="http://schemas.openxmlformats.org/officeDocument/2006/relationships/hyperlink" TargetMode="External" Target="https://spark-interfax.ru/system/home/card#/company/EBD6CC3598604089B3DF6DE2CCE3D2BF/101"/><Relationship Id="rId4407" Type="http://schemas.openxmlformats.org/officeDocument/2006/relationships/hyperlink" TargetMode="External" Target="https://spark-interfax.ru/system/home/card#/company/AB1417869E434DB9A7658AAEA0615547/101"/><Relationship Id="rId4408" Type="http://schemas.openxmlformats.org/officeDocument/2006/relationships/hyperlink" TargetMode="External" Target="https://spark-interfax.ru/system/home/card#/company/23FC064FAEAC4229A2ADF675C89D5A88/101"/><Relationship Id="rId4409" Type="http://schemas.openxmlformats.org/officeDocument/2006/relationships/hyperlink" TargetMode="External" Target="https://spark-interfax.ru/system/home/card#/company/151E5819F8744536A42B33B2116FE627/101"/><Relationship Id="rId4410" Type="http://schemas.openxmlformats.org/officeDocument/2006/relationships/hyperlink" TargetMode="External" Target="https://spark-interfax.ru/system/home/card#/company/614354E68F0869A9E0531B9AA8C0668B/101"/><Relationship Id="rId4411" Type="http://schemas.openxmlformats.org/officeDocument/2006/relationships/hyperlink" TargetMode="External" Target="https://spark-interfax.ru/system/home/card#/company/B97B2064E4034DCD9EC567DD4094DFA8/101"/><Relationship Id="rId4412" Type="http://schemas.openxmlformats.org/officeDocument/2006/relationships/hyperlink" TargetMode="External" Target="https://spark-interfax.ru/system/home/card#/company/74800EE77BA444399BBAF660A80DC4B1/101"/><Relationship Id="rId4413" Type="http://schemas.openxmlformats.org/officeDocument/2006/relationships/hyperlink" TargetMode="External" Target="https://spark-interfax.ru/system/home/card#/company/F26A527ED0904D628B1C494A73F8B689/101"/><Relationship Id="rId4414" Type="http://schemas.openxmlformats.org/officeDocument/2006/relationships/hyperlink" TargetMode="External" Target="https://spark-interfax.ru/system/home/card#/company/4D8220460ACE4BCEB2E48AF59FEF73FE/101"/><Relationship Id="rId4415" Type="http://schemas.openxmlformats.org/officeDocument/2006/relationships/hyperlink" TargetMode="External" Target="https://spark-interfax.ru/system/home/card#/company/1B0AF6D4D354402D86CFD2C6272F90A5/101"/><Relationship Id="rId4416" Type="http://schemas.openxmlformats.org/officeDocument/2006/relationships/hyperlink" TargetMode="External" Target="https://spark-interfax.ru/system/home/card#/company/417C223277C44B189B573349C66E18FE/101"/><Relationship Id="rId4417" Type="http://schemas.openxmlformats.org/officeDocument/2006/relationships/hyperlink" TargetMode="External" Target="https://spark-interfax.ru/system/home/card#/company/F2CF2AD246794E1D941FA71586EB4CEC/101"/><Relationship Id="rId4418" Type="http://schemas.openxmlformats.org/officeDocument/2006/relationships/hyperlink" TargetMode="External" Target="https://spark-interfax.ru/system/home/card#/company/8354AA62E4314DEBA8AF48EFAFC0642B/101"/><Relationship Id="rId4419" Type="http://schemas.openxmlformats.org/officeDocument/2006/relationships/hyperlink" TargetMode="External" Target="https://spark-interfax.ru/system/home/card#/company/555998F516D046A390A89E43E07625B3/101"/><Relationship Id="rId4420" Type="http://schemas.openxmlformats.org/officeDocument/2006/relationships/hyperlink" TargetMode="External" Target="https://spark-interfax.ru/system/home/card#/company/C569F8F897A24E3AB87F5DC03775D460/101"/><Relationship Id="rId4421" Type="http://schemas.openxmlformats.org/officeDocument/2006/relationships/hyperlink" TargetMode="External" Target="https://spark-interfax.ru/system/home/card#/company/DD0639A181DD4574BB97643C300F19CC/101"/><Relationship Id="rId4422" Type="http://schemas.openxmlformats.org/officeDocument/2006/relationships/hyperlink" TargetMode="External" Target="https://spark-interfax.ru/system/home/card#/company/49D8D86F0A7F4BCBA9BA40F37791C4F0/101"/><Relationship Id="rId4423" Type="http://schemas.openxmlformats.org/officeDocument/2006/relationships/hyperlink" TargetMode="External" Target="https://spark-interfax.ru/system/home/card#/company/7DAA8FA4CA084139800D380D5A5E5407/101"/><Relationship Id="rId4424" Type="http://schemas.openxmlformats.org/officeDocument/2006/relationships/hyperlink" TargetMode="External" Target="https://spark-interfax.ru/system/home/card#/company/EBA4A1B9791F455B8C2733C6BF469EDE/101"/><Relationship Id="rId4425" Type="http://schemas.openxmlformats.org/officeDocument/2006/relationships/hyperlink" TargetMode="External" Target="https://spark-interfax.ru/system/home/card#/company/E8D50977DAA34CE6B2AAD0B0AD1E8796/101"/><Relationship Id="rId4426" Type="http://schemas.openxmlformats.org/officeDocument/2006/relationships/hyperlink" TargetMode="External" Target="https://spark-interfax.ru/system/home/card#/company/12496465932444FD8918ECA165C95E46/101"/><Relationship Id="rId4427" Type="http://schemas.openxmlformats.org/officeDocument/2006/relationships/hyperlink" TargetMode="External" Target="https://spark-interfax.ru/system/home/card#/company/01E44702AF4148AC9A1868FEB30D02E3/101"/><Relationship Id="rId4428" Type="http://schemas.openxmlformats.org/officeDocument/2006/relationships/hyperlink" TargetMode="External" Target="https://spark-interfax.ru/system/home/card#/company/B772EB86A16C4466BCD1C376FC849606/101"/><Relationship Id="rId4429" Type="http://schemas.openxmlformats.org/officeDocument/2006/relationships/hyperlink" TargetMode="External" Target="https://spark-interfax.ru/system/home/card#/company/CBF8392CF71D40C8AADAA5E0FBC82430/101"/><Relationship Id="rId4430" Type="http://schemas.openxmlformats.org/officeDocument/2006/relationships/hyperlink" TargetMode="External" Target="https://spark-interfax.ru/system/home/card#/company/B8C2A0F18FB34EFEA4CF06A1089A83CF/101"/><Relationship Id="rId4431" Type="http://schemas.openxmlformats.org/officeDocument/2006/relationships/hyperlink" TargetMode="External" Target="https://spark-interfax.ru/system/home/card#/company/40A62699FFE749F4BE444BD3FBEFDB2F/101"/><Relationship Id="rId4432" Type="http://schemas.openxmlformats.org/officeDocument/2006/relationships/hyperlink" TargetMode="External" Target="https://spark-interfax.ru/system/home/card#/company/AAAE567A0F4644838C09CC41BA93924D/101"/><Relationship Id="rId4433" Type="http://schemas.openxmlformats.org/officeDocument/2006/relationships/hyperlink" TargetMode="External" Target="https://spark-interfax.ru/system/home/card#/company/9481C1C0C0824F85B58827F91C3D4A1C/101"/><Relationship Id="rId4434" Type="http://schemas.openxmlformats.org/officeDocument/2006/relationships/hyperlink" TargetMode="External" Target="https://spark-interfax.ru/system/home/card#/company/43F50DE84F514A0FA746E44AB283040A/101"/><Relationship Id="rId4435" Type="http://schemas.openxmlformats.org/officeDocument/2006/relationships/hyperlink" TargetMode="External" Target="https://spark-interfax.ru/system/home/card#/company/AEA812AB7C7A479CB0591E4C9D67AB69/101"/><Relationship Id="rId4436" Type="http://schemas.openxmlformats.org/officeDocument/2006/relationships/hyperlink" TargetMode="External" Target="https://spark-interfax.ru/system/home/card#/company/3BEEC95FEB884A889FE80E7948523C78/101"/><Relationship Id="rId4437" Type="http://schemas.openxmlformats.org/officeDocument/2006/relationships/hyperlink" TargetMode="External" Target="https://spark-interfax.ru/system/home/card#/company/1C7A93060FEC4D109A5F2FCC8BFDC7BE/101"/><Relationship Id="rId4438" Type="http://schemas.openxmlformats.org/officeDocument/2006/relationships/hyperlink" TargetMode="External" Target="https://spark-interfax.ru/system/home/card#/company/271D7605DC2042B8B975F2DBD4F594E8/101"/><Relationship Id="rId4439" Type="http://schemas.openxmlformats.org/officeDocument/2006/relationships/hyperlink" TargetMode="External" Target="https://spark-interfax.ru/system/home/card#/company/EABC15AB825E4265985E4406E502B0F9/101"/><Relationship Id="rId4440" Type="http://schemas.openxmlformats.org/officeDocument/2006/relationships/hyperlink" TargetMode="External" Target="https://spark-interfax.ru/system/home/card#/company/66AC81E3A7ED4BC2A2B49FFD30226488/101"/><Relationship Id="rId4441" Type="http://schemas.openxmlformats.org/officeDocument/2006/relationships/hyperlink" TargetMode="External" Target="https://spark-interfax.ru/system/home/card#/company/9420C6C348867FFEE0531B9AA8C0DEDB/101"/><Relationship Id="rId4442" Type="http://schemas.openxmlformats.org/officeDocument/2006/relationships/hyperlink" TargetMode="External" Target="https://spark-interfax.ru/system/home/card#/company/58EEB980399861EAE0531C9AA8C0D563/101"/><Relationship Id="rId4443" Type="http://schemas.openxmlformats.org/officeDocument/2006/relationships/hyperlink" TargetMode="External" Target="https://spark-interfax.ru/system/home/card#/company/08AD7E780FEB46EA8E3C3CB8591D67F4/101"/><Relationship Id="rId4444" Type="http://schemas.openxmlformats.org/officeDocument/2006/relationships/hyperlink" TargetMode="External" Target="https://spark-interfax.ru/system/home/card#/company/37446FE1A882454F8EF6A4CE5186D0C1/101"/><Relationship Id="rId4445" Type="http://schemas.openxmlformats.org/officeDocument/2006/relationships/hyperlink" TargetMode="External" Target="https://spark-interfax.ru/system/home/card#/company/268A436ABAFB449DB2B7C4E62B136328/101"/><Relationship Id="rId4446" Type="http://schemas.openxmlformats.org/officeDocument/2006/relationships/hyperlink" TargetMode="External" Target="https://spark-interfax.ru/system/home/card#/company/F2A958A767DB45469E1EBBA5850A488D/101"/><Relationship Id="rId4447" Type="http://schemas.openxmlformats.org/officeDocument/2006/relationships/hyperlink" TargetMode="External" Target="https://spark-interfax.ru/system/home/card#/company/C2A4F97CE8644C09B64C807BD09CAF09/101"/><Relationship Id="rId4448" Type="http://schemas.openxmlformats.org/officeDocument/2006/relationships/hyperlink" TargetMode="External" Target="https://spark-interfax.ru/system/home/card#/company/778114A2E1A34D898CD60404F9C2F50C/101"/><Relationship Id="rId4449" Type="http://schemas.openxmlformats.org/officeDocument/2006/relationships/hyperlink" TargetMode="External" Target="https://spark-interfax.ru/system/home/card#/company/7A18512DBC975269E0531F9AA8C0AD3A/101"/><Relationship Id="rId4450" Type="http://schemas.openxmlformats.org/officeDocument/2006/relationships/hyperlink" TargetMode="External" Target="https://spark-interfax.ru/system/home/card#/company/F690455CDCE44DA0B2E111813876BDB4/101"/><Relationship Id="rId4451" Type="http://schemas.openxmlformats.org/officeDocument/2006/relationships/hyperlink" TargetMode="External" Target="https://spark-interfax.ru/system/home/card#/company/58553EEED4E747FC9D94DE746FE0960C/101"/><Relationship Id="rId4452" Type="http://schemas.openxmlformats.org/officeDocument/2006/relationships/hyperlink" TargetMode="External" Target="https://spark-interfax.ru/system/home/card#/company/734816D74CB74D31A2E28FB2F9899E63/101"/><Relationship Id="rId4453" Type="http://schemas.openxmlformats.org/officeDocument/2006/relationships/hyperlink" TargetMode="External" Target="https://spark-interfax.ru/system/home/card#/company/621A592B2C114366973AAEAD9D6B4882/101"/><Relationship Id="rId4454" Type="http://schemas.openxmlformats.org/officeDocument/2006/relationships/hyperlink" TargetMode="External" Target="https://spark-interfax.ru/system/home/card#/company/D3D4F5F160D15C55E053259AA8C0B7F0/101"/><Relationship Id="rId4455" Type="http://schemas.openxmlformats.org/officeDocument/2006/relationships/hyperlink" TargetMode="External" Target="https://spark-interfax.ru/system/home/card#/company/4DBA8C3A37104EAC8DA4EC589416B4A3/101"/><Relationship Id="rId4456" Type="http://schemas.openxmlformats.org/officeDocument/2006/relationships/hyperlink" TargetMode="External" Target="https://spark-interfax.ru/system/home/card#/company/3C5298F24AD849C69683BBEF68D5386D/101"/><Relationship Id="rId4457" Type="http://schemas.openxmlformats.org/officeDocument/2006/relationships/hyperlink" TargetMode="External" Target="https://spark-interfax.ru/system/home/card#/company/56BFAEC6ECA54B1DA663E7B5E7DFA4B4/101"/><Relationship Id="rId4458" Type="http://schemas.openxmlformats.org/officeDocument/2006/relationships/hyperlink" TargetMode="External" Target="https://spark-interfax.ru/system/home/card#/company/3EC19FC33187470EAE07FD0A7D4DF0FD/101"/><Relationship Id="rId4459" Type="http://schemas.openxmlformats.org/officeDocument/2006/relationships/hyperlink" TargetMode="External" Target="https://spark-interfax.ru/system/home/card#/company/79F742A6F0024917B71F0D64B022021A/101"/><Relationship Id="rId4460" Type="http://schemas.openxmlformats.org/officeDocument/2006/relationships/hyperlink" TargetMode="External" Target="https://spark-interfax.ru/system/home/card#/company/123056D13BC5403B8BB5204C11C434FF/101"/><Relationship Id="rId4461" Type="http://schemas.openxmlformats.org/officeDocument/2006/relationships/hyperlink" TargetMode="External" Target="https://spark-interfax.ru/system/home/card#/company/4FA206B537C74B83B920846E2D5A46FE/101"/><Relationship Id="rId4462" Type="http://schemas.openxmlformats.org/officeDocument/2006/relationships/hyperlink" TargetMode="External" Target="https://spark-interfax.ru/system/home/card#/company/4824F850DE5C4BACB49DB889C3CAE28A/101"/><Relationship Id="rId4463" Type="http://schemas.openxmlformats.org/officeDocument/2006/relationships/hyperlink" TargetMode="External" Target="https://spark-interfax.ru/system/home/card#/company/76CBCEBBEB5F1504E0531B9AA8C0FBFE/101"/><Relationship Id="rId4464" Type="http://schemas.openxmlformats.org/officeDocument/2006/relationships/hyperlink" TargetMode="External" Target="https://spark-interfax.ru/system/home/card#/company/9EAB4592E332468DBE419EC4DEE19C46/101"/><Relationship Id="rId4465" Type="http://schemas.openxmlformats.org/officeDocument/2006/relationships/hyperlink" TargetMode="External" Target="https://spark-interfax.ru/system/home/card#/company/792EC8F8D97D4304A9981909F7D3A677/101"/><Relationship Id="rId4466" Type="http://schemas.openxmlformats.org/officeDocument/2006/relationships/hyperlink" TargetMode="External" Target="https://spark-interfax.ru/system/home/card#/company/C68CD419C9AA4B58AAE20B244EE75E57/101"/><Relationship Id="rId4467" Type="http://schemas.openxmlformats.org/officeDocument/2006/relationships/hyperlink" TargetMode="External" Target="https://spark-interfax.ru/system/home/card#/company/0E16B1CF39C347998375B8527B512270/101"/><Relationship Id="rId4468" Type="http://schemas.openxmlformats.org/officeDocument/2006/relationships/hyperlink" TargetMode="External" Target="https://spark-interfax.ru/system/home/card#/company/BC067DC4A7F546C881B5A1F6346EC793/101"/><Relationship Id="rId4469" Type="http://schemas.openxmlformats.org/officeDocument/2006/relationships/hyperlink" TargetMode="External" Target="https://spark-interfax.ru/system/home/card#/company/50F497D478C54D43ADFC061DCDE74EDF/101"/><Relationship Id="rId4470" Type="http://schemas.openxmlformats.org/officeDocument/2006/relationships/hyperlink" TargetMode="External" Target="https://spark-interfax.ru/system/home/card#/company/1D2D84D19E58440B97DD1881AFBC0EF6/101"/><Relationship Id="rId4471" Type="http://schemas.openxmlformats.org/officeDocument/2006/relationships/hyperlink" TargetMode="External" Target="https://spark-interfax.ru/system/home/card#/company/D601052DFCFD48A48140513D22AE0285/101"/><Relationship Id="rId4472" Type="http://schemas.openxmlformats.org/officeDocument/2006/relationships/hyperlink" TargetMode="External" Target="https://spark-interfax.ru/system/home/card#/company/5C0D7FB2023B426F8FE9982906168B53/101"/><Relationship Id="rId4473" Type="http://schemas.openxmlformats.org/officeDocument/2006/relationships/hyperlink" TargetMode="External" Target="https://spark-interfax.ru/system/home/card#/company/7E7FC6446CDC4CBCBEEDD47FF079DDB4/101"/><Relationship Id="rId4474" Type="http://schemas.openxmlformats.org/officeDocument/2006/relationships/hyperlink" TargetMode="External" Target="https://spark-interfax.ru/system/home/card#/company/8FF6C9B3134443C6A1772DCFFF7CE8D4/101"/><Relationship Id="rId4475" Type="http://schemas.openxmlformats.org/officeDocument/2006/relationships/hyperlink" TargetMode="External" Target="https://spark-interfax.ru/system/home/card#/company/4C33E7F0E290434680CB27AF9259A3B4/101"/><Relationship Id="rId4476" Type="http://schemas.openxmlformats.org/officeDocument/2006/relationships/hyperlink" TargetMode="External" Target="https://spark-interfax.ru/system/home/card#/company/EA52E37CF6F94C778C929851C90CC754/101"/><Relationship Id="rId4477" Type="http://schemas.openxmlformats.org/officeDocument/2006/relationships/hyperlink" TargetMode="External" Target="https://spark-interfax.ru/system/home/card#/company/6654EE1422A24A40BEAE70DCD6B37BF8/101"/><Relationship Id="rId4478" Type="http://schemas.openxmlformats.org/officeDocument/2006/relationships/hyperlink" TargetMode="External" Target="https://spark-interfax.ru/system/home/card#/company/8BA40519D46949059ADBE07305870951/101"/><Relationship Id="rId4479" Type="http://schemas.openxmlformats.org/officeDocument/2006/relationships/hyperlink" TargetMode="External" Target="https://spark-interfax.ru/system/home/card#/company/F8A29566220E4BCFB3A8D06D59659FFC/101"/><Relationship Id="rId4480" Type="http://schemas.openxmlformats.org/officeDocument/2006/relationships/hyperlink" TargetMode="External" Target="https://spark-interfax.ru/system/home/card#/company/FA04AFF0534E4E13949B4BB830B29C43/101"/><Relationship Id="rId4481" Type="http://schemas.openxmlformats.org/officeDocument/2006/relationships/hyperlink" TargetMode="External" Target="https://spark-interfax.ru/system/home/card#/company/7B32C2078C8B59F3E0531B9AA8C04D9E/101"/><Relationship Id="rId4482" Type="http://schemas.openxmlformats.org/officeDocument/2006/relationships/hyperlink" TargetMode="External" Target="https://spark-interfax.ru/system/home/card#/company/C551581BB97B3A7BE053219AA8C07416/101"/><Relationship Id="rId4483" Type="http://schemas.openxmlformats.org/officeDocument/2006/relationships/hyperlink" TargetMode="External" Target="https://spark-interfax.ru/system/home/card#/company/DBE38657D5AD4867A20EDA46ED870C04/101"/><Relationship Id="rId4484" Type="http://schemas.openxmlformats.org/officeDocument/2006/relationships/hyperlink" TargetMode="External" Target="https://spark-interfax.ru/system/home/card#/company/05B94281AE8F44E7A43C753B25F5BB1D/101"/><Relationship Id="rId4485" Type="http://schemas.openxmlformats.org/officeDocument/2006/relationships/hyperlink" TargetMode="External" Target="https://spark-interfax.ru/system/home/card#/company/72C966B9B64942028D552ED82047A1D6/101"/><Relationship Id="rId4486" Type="http://schemas.openxmlformats.org/officeDocument/2006/relationships/hyperlink" TargetMode="External" Target="https://spark-interfax.ru/system/home/card#/company/F521951B151E45C2A21FE087858E4A2A/101"/><Relationship Id="rId4487" Type="http://schemas.openxmlformats.org/officeDocument/2006/relationships/hyperlink" TargetMode="External" Target="https://spark-interfax.ru/system/home/card#/company/6E1091BFAB404854AE5E853C2B90E92E/101"/><Relationship Id="rId4488" Type="http://schemas.openxmlformats.org/officeDocument/2006/relationships/hyperlink" TargetMode="External" Target="https://spark-interfax.ru/system/home/card#/company/D782D92CF047444EAC84AC0453801B47/101"/><Relationship Id="rId4489" Type="http://schemas.openxmlformats.org/officeDocument/2006/relationships/hyperlink" TargetMode="External" Target="https://spark-interfax.ru/system/home/card#/company/9E65361F173741179B822853EB2434E8/101"/><Relationship Id="rId4490" Type="http://schemas.openxmlformats.org/officeDocument/2006/relationships/hyperlink" TargetMode="External" Target="https://spark-interfax.ru/system/home/card#/company/61A09C98724C4D9F865434456107C8AF/101"/><Relationship Id="rId4491" Type="http://schemas.openxmlformats.org/officeDocument/2006/relationships/hyperlink" TargetMode="External" Target="https://spark-interfax.ru/system/home/card#/company/73A3DE440E6341B484DD690A1A2018CE/101"/><Relationship Id="rId4492" Type="http://schemas.openxmlformats.org/officeDocument/2006/relationships/hyperlink" TargetMode="External" Target="https://spark-interfax.ru/system/home/card#/company/3C47DCEFEEE54D57854448983191006D/101"/><Relationship Id="rId4493" Type="http://schemas.openxmlformats.org/officeDocument/2006/relationships/hyperlink" TargetMode="External" Target="https://spark-interfax.ru/system/home/card#/company/9A1585ABBE344E6BAE7D182A592D41F6/101"/><Relationship Id="rId4494" Type="http://schemas.openxmlformats.org/officeDocument/2006/relationships/hyperlink" TargetMode="External" Target="https://spark-interfax.ru/system/home/card#/company/5116603AF9BE4463A1EFE6C15D5561D7/101"/><Relationship Id="rId4495" Type="http://schemas.openxmlformats.org/officeDocument/2006/relationships/hyperlink" TargetMode="External" Target="https://spark-interfax.ru/system/home/card#/company/6D52770F86CA4F1D934C239313BE1DAC/101"/><Relationship Id="rId4496" Type="http://schemas.openxmlformats.org/officeDocument/2006/relationships/hyperlink" TargetMode="External" Target="https://spark-interfax.ru/system/home/card#/company/E8C0851C8018428FB81E403C2C47E131/101"/><Relationship Id="rId4497" Type="http://schemas.openxmlformats.org/officeDocument/2006/relationships/hyperlink" TargetMode="External" Target="https://spark-interfax.ru/system/home/card#/company/DF55B15B743341E2AFF8F3574D53AB34/101"/><Relationship Id="rId4498" Type="http://schemas.openxmlformats.org/officeDocument/2006/relationships/hyperlink" TargetMode="External" Target="https://spark-interfax.ru/system/home/card#/company/CEB8C1B7E3F645D9A201AABE3254E654/101"/><Relationship Id="rId4499" Type="http://schemas.openxmlformats.org/officeDocument/2006/relationships/hyperlink" TargetMode="External" Target="https://spark-interfax.ru/system/home/card#/company/E35E9A51FC2F439490C307DF43D5F0F6/101"/><Relationship Id="rId4500" Type="http://schemas.openxmlformats.org/officeDocument/2006/relationships/hyperlink" TargetMode="External" Target="https://spark-interfax.ru/system/home/card#/company/6B018CC508F24754E0531B9AA8C07E78/101"/><Relationship Id="rId4501" Type="http://schemas.openxmlformats.org/officeDocument/2006/relationships/hyperlink" TargetMode="External" Target="https://spark-interfax.ru/system/home/card#/company/418055FE0C3A4E6E9D190F0E0D94C2D0/101"/><Relationship Id="rId4502" Type="http://schemas.openxmlformats.org/officeDocument/2006/relationships/hyperlink" TargetMode="External" Target="https://spark-interfax.ru/system/home/card#/company/3DE99D24C74543419E425F3D2110B7FC/101"/><Relationship Id="rId4503" Type="http://schemas.openxmlformats.org/officeDocument/2006/relationships/hyperlink" TargetMode="External" Target="https://spark-interfax.ru/system/home/card#/company/7CA501C6052E4D03A775F653C66A83C6/101"/><Relationship Id="rId4504" Type="http://schemas.openxmlformats.org/officeDocument/2006/relationships/hyperlink" TargetMode="External" Target="https://spark-interfax.ru/system/home/card#/company/8B91DF2551074412AB218A4FD75B22A0/101"/><Relationship Id="rId4505" Type="http://schemas.openxmlformats.org/officeDocument/2006/relationships/hyperlink" TargetMode="External" Target="https://spark-interfax.ru/system/home/card#/company/8A2589DCF2D61F63E0531B9AA8C0374E/101"/><Relationship Id="rId4506" Type="http://schemas.openxmlformats.org/officeDocument/2006/relationships/hyperlink" TargetMode="External" Target="https://spark-interfax.ru/system/home/card#/company/AB0DBBF562AE554EE053189AA8C0B115/101"/><Relationship Id="rId4507" Type="http://schemas.openxmlformats.org/officeDocument/2006/relationships/hyperlink" TargetMode="External" Target="https://spark-interfax.ru/system/home/card#/company/AC4D3EBD19FC40DC82938DBCBFA7DC89/101"/><Relationship Id="rId4508" Type="http://schemas.openxmlformats.org/officeDocument/2006/relationships/hyperlink" TargetMode="External" Target="https://spark-interfax.ru/system/home/card#/company/A3C028E976FC447DB4DA00A5678337D8/101"/><Relationship Id="rId4509" Type="http://schemas.openxmlformats.org/officeDocument/2006/relationships/hyperlink" TargetMode="External" Target="https://spark-interfax.ru/system/home/card#/company/43B2D6D86E874F9BA4B4EE80AB710236/101"/><Relationship Id="rId4510" Type="http://schemas.openxmlformats.org/officeDocument/2006/relationships/hyperlink" TargetMode="External" Target="https://spark-interfax.ru/system/home/card#/company/F87469B1D798447C87329142695B4DB8/101"/><Relationship Id="rId4511" Type="http://schemas.openxmlformats.org/officeDocument/2006/relationships/hyperlink" TargetMode="External" Target="https://spark-interfax.ru/system/home/card#/company/354BECBE310542189272D39607FBC629/101"/><Relationship Id="rId4512" Type="http://schemas.openxmlformats.org/officeDocument/2006/relationships/hyperlink" TargetMode="External" Target="https://spark-interfax.ru/system/home/card#/company/230F85207369408D9C5CAC9EB7266B54/101"/><Relationship Id="rId4513" Type="http://schemas.openxmlformats.org/officeDocument/2006/relationships/hyperlink" TargetMode="External" Target="https://spark-interfax.ru/system/home/card#/company/2B14174FAD864C8BBB762726DF8A7F7C/101"/><Relationship Id="rId4514" Type="http://schemas.openxmlformats.org/officeDocument/2006/relationships/hyperlink" TargetMode="External" Target="https://spark-interfax.ru/system/home/card#/company/B7FE99B11D544112B0ED5D4A6BB119A8/101"/><Relationship Id="rId4515" Type="http://schemas.openxmlformats.org/officeDocument/2006/relationships/hyperlink" TargetMode="External" Target="https://spark-interfax.ru/system/home/card#/company/A19230612B2841BEB8BEA566B624444B/101"/><Relationship Id="rId4516" Type="http://schemas.openxmlformats.org/officeDocument/2006/relationships/hyperlink" TargetMode="External" Target="https://spark-interfax.ru/system/home/card#/company/EA33B1C1B1B24B4AA2677F2E61438836/101"/><Relationship Id="rId4517" Type="http://schemas.openxmlformats.org/officeDocument/2006/relationships/hyperlink" TargetMode="External" Target="https://spark-interfax.ru/system/home/card#/company/AFD348728D7D4060A3B0638421C7BEB7/101"/><Relationship Id="rId4518" Type="http://schemas.openxmlformats.org/officeDocument/2006/relationships/hyperlink" TargetMode="External" Target="https://spark-interfax.ru/system/home/card#/company/4328E49516C645A4A298A03F9856C0F9/101"/><Relationship Id="rId4519" Type="http://schemas.openxmlformats.org/officeDocument/2006/relationships/hyperlink" TargetMode="External" Target="https://spark-interfax.ru/system/home/card#/company/91ABDD9904234BCBE0531B9AA8C0D8DB/101"/><Relationship Id="rId4520" Type="http://schemas.openxmlformats.org/officeDocument/2006/relationships/hyperlink" TargetMode="External" Target="https://spark-interfax.ru/system/home/card#/company/A90115345E524548ADFFA56DB821FD4C/101"/><Relationship Id="rId4521" Type="http://schemas.openxmlformats.org/officeDocument/2006/relationships/hyperlink" TargetMode="External" Target="https://spark-interfax.ru/system/home/card#/company/BF52AAB9A81D716FE053219AA8C0F76E/101"/><Relationship Id="rId4522" Type="http://schemas.openxmlformats.org/officeDocument/2006/relationships/hyperlink" TargetMode="External" Target="https://spark-interfax.ru/system/home/card#/company/64DE241FB9F04B19A3B409CD2E659728/101"/><Relationship Id="rId4523" Type="http://schemas.openxmlformats.org/officeDocument/2006/relationships/hyperlink" TargetMode="External" Target="https://spark-interfax.ru/system/home/card#/company/FCA51B8AB1A34FD0B632200FBF5804E7/101"/><Relationship Id="rId4524" Type="http://schemas.openxmlformats.org/officeDocument/2006/relationships/hyperlink" TargetMode="External" Target="https://spark-interfax.ru/system/home/card#/company/5834A88DDE831D37E0531C9AA8C02D6D/101"/><Relationship Id="rId4525" Type="http://schemas.openxmlformats.org/officeDocument/2006/relationships/hyperlink" TargetMode="External" Target="https://spark-interfax.ru/system/home/card#/company/C135CE97DB90054AE053219AA8C0B4DF/101"/><Relationship Id="rId4526" Type="http://schemas.openxmlformats.org/officeDocument/2006/relationships/hyperlink" TargetMode="External" Target="https://spark-interfax.ru/system/home/card#/company/8B1AA5AA105141E8B4113517E14B0679/101"/><Relationship Id="rId4527" Type="http://schemas.openxmlformats.org/officeDocument/2006/relationships/hyperlink" TargetMode="External" Target="https://spark-interfax.ru/system/home/card#/company/36D4ABD2208544FDB4BC070D0FBAA053/101"/><Relationship Id="rId4528" Type="http://schemas.openxmlformats.org/officeDocument/2006/relationships/hyperlink" TargetMode="External" Target="https://spark-interfax.ru/system/home/card#/company/0DDC6AF53AB940B6A067F83D38A11844/101"/><Relationship Id="rId4529" Type="http://schemas.openxmlformats.org/officeDocument/2006/relationships/hyperlink" TargetMode="External" Target="https://spark-interfax.ru/system/home/card#/company/14EA2FC2553746D9A8EED8DDD6AF38D7/101"/><Relationship Id="rId4530" Type="http://schemas.openxmlformats.org/officeDocument/2006/relationships/hyperlink" TargetMode="External" Target="https://spark-interfax.ru/system/home/card#/company/5834AA742E611D91E0531C9AA8C026A2/101"/><Relationship Id="rId4531" Type="http://schemas.openxmlformats.org/officeDocument/2006/relationships/hyperlink" TargetMode="External" Target="https://spark-interfax.ru/system/home/card#/company/47991AED83594BA1A961A593F99E0EA9/101"/><Relationship Id="rId4532" Type="http://schemas.openxmlformats.org/officeDocument/2006/relationships/hyperlink" TargetMode="External" Target="https://spark-interfax.ru/system/home/card#/company/1B5870E8B7FA43EC905F566246C82C4C/101"/><Relationship Id="rId4533" Type="http://schemas.openxmlformats.org/officeDocument/2006/relationships/hyperlink" TargetMode="External" Target="https://spark-interfax.ru/system/home/card#/company/8A7307C150644EE1B36AE0428E845D5B/101"/><Relationship Id="rId4534" Type="http://schemas.openxmlformats.org/officeDocument/2006/relationships/hyperlink" TargetMode="External" Target="https://spark-interfax.ru/system/home/card#/company/30621F8DA658481BB2ED052F57F30DFD/101"/><Relationship Id="rId4535" Type="http://schemas.openxmlformats.org/officeDocument/2006/relationships/hyperlink" TargetMode="External" Target="https://spark-interfax.ru/system/home/card#/company/5D3E2E844893457B9A57A6581F22AC3A/101"/><Relationship Id="rId4536" Type="http://schemas.openxmlformats.org/officeDocument/2006/relationships/hyperlink" TargetMode="External" Target="https://spark-interfax.ru/system/home/card#/company/5C9184D2E34B4675AAFCD10C4BE785B1/101"/><Relationship Id="rId4537" Type="http://schemas.openxmlformats.org/officeDocument/2006/relationships/hyperlink" TargetMode="External" Target="https://spark-interfax.ru/system/home/card#/company/385D5FD1BA574206B83E93F68F69C43F/101"/><Relationship Id="rId4538" Type="http://schemas.openxmlformats.org/officeDocument/2006/relationships/hyperlink" TargetMode="External" Target="https://spark-interfax.ru/system/home/card#/company/6C36677D351940138201D92BE17C83CA/101"/><Relationship Id="rId4539" Type="http://schemas.openxmlformats.org/officeDocument/2006/relationships/hyperlink" TargetMode="External" Target="https://spark-interfax.ru/system/home/card#/company/7AC6369C2F1D44F0BA638F767BBC0D8F/101"/><Relationship Id="rId4540" Type="http://schemas.openxmlformats.org/officeDocument/2006/relationships/hyperlink" TargetMode="External" Target="https://spark-interfax.ru/system/home/card#/company/25D30EA9DC9C49A59301CF24C998EF35/101"/><Relationship Id="rId4541" Type="http://schemas.openxmlformats.org/officeDocument/2006/relationships/hyperlink" TargetMode="External" Target="https://spark-interfax.ru/system/home/card#/company/EDCD185EEFDA4C6C8574D012E6A76075/101"/><Relationship Id="rId4542" Type="http://schemas.openxmlformats.org/officeDocument/2006/relationships/hyperlink" TargetMode="External" Target="https://spark-interfax.ru/system/home/card#/company/609A6B249CC345489A3C2F151D6C4790/101"/><Relationship Id="rId4543" Type="http://schemas.openxmlformats.org/officeDocument/2006/relationships/hyperlink" TargetMode="External" Target="https://spark-interfax.ru/system/home/card#/company/B8CCF474E76A459892C02CEFF36AFB2E/101"/><Relationship Id="rId4544" Type="http://schemas.openxmlformats.org/officeDocument/2006/relationships/hyperlink" TargetMode="External" Target="https://spark-interfax.ru/system/home/card#/company/A8B08CB696774B3AB71CB09622C92204/101"/><Relationship Id="rId4545" Type="http://schemas.openxmlformats.org/officeDocument/2006/relationships/hyperlink" TargetMode="External" Target="https://spark-interfax.ru/system/home/card#/company/EC8F6D5DE2ED4273978784CAF8C2B533/101"/><Relationship Id="rId4546" Type="http://schemas.openxmlformats.org/officeDocument/2006/relationships/hyperlink" TargetMode="External" Target="https://spark-interfax.ru/system/home/card#/company/12B8D9AC6D884FE6BF610C32C17203E8/101"/><Relationship Id="rId4547" Type="http://schemas.openxmlformats.org/officeDocument/2006/relationships/hyperlink" TargetMode="External" Target="https://spark-interfax.ru/system/home/card#/company/399BE6DAE55F47C08501F1F712DE2B95/101"/><Relationship Id="rId4548" Type="http://schemas.openxmlformats.org/officeDocument/2006/relationships/hyperlink" TargetMode="External" Target="https://spark-interfax.ru/system/home/card#/company/46AAD31570C649F4B8FAF75131FD757F/101"/><Relationship Id="rId4549" Type="http://schemas.openxmlformats.org/officeDocument/2006/relationships/hyperlink" TargetMode="External" Target="https://spark-interfax.ru/system/home/card#/company/5E5CA67054A848EB91E300082D5EAE14/101"/><Relationship Id="rId4550" Type="http://schemas.openxmlformats.org/officeDocument/2006/relationships/hyperlink" TargetMode="External" Target="https://spark-interfax.ru/system/home/card#/company/84274D84F5094F1F8A559A76BFAEBC09/101"/><Relationship Id="rId4551" Type="http://schemas.openxmlformats.org/officeDocument/2006/relationships/hyperlink" TargetMode="External" Target="https://spark-interfax.ru/system/home/card#/company/8B1C2E5C63C046AFA30C060E3EAC9719/101"/><Relationship Id="rId4552" Type="http://schemas.openxmlformats.org/officeDocument/2006/relationships/hyperlink" TargetMode="External" Target="https://spark-interfax.ru/system/home/card#/company/10E0E4B32B6946C79D0DA8C1F936B175/101"/><Relationship Id="rId4553" Type="http://schemas.openxmlformats.org/officeDocument/2006/relationships/hyperlink" TargetMode="External" Target="https://spark-interfax.ru/system/home/card#/company/CF8B7E0CD0064C24AE3B95B3A0A068CA/101"/><Relationship Id="rId4554" Type="http://schemas.openxmlformats.org/officeDocument/2006/relationships/hyperlink" TargetMode="External" Target="https://spark-interfax.ru/system/home/card#/company/49CC305678624D1D8D1B49FC3A3286D6/101"/><Relationship Id="rId4555" Type="http://schemas.openxmlformats.org/officeDocument/2006/relationships/hyperlink" TargetMode="External" Target="https://spark-interfax.ru/system/home/card#/company/698272040128490EAF8707CFDFDBE485/101"/><Relationship Id="rId4556" Type="http://schemas.openxmlformats.org/officeDocument/2006/relationships/hyperlink" TargetMode="External" Target="https://spark-interfax.ru/system/home/card#/company/48C09E4DA07A497382D3FCF22394F68D/101"/><Relationship Id="rId4557" Type="http://schemas.openxmlformats.org/officeDocument/2006/relationships/hyperlink" TargetMode="External" Target="https://spark-interfax.ru/system/home/card#/company/30C37443642649C9A5E8658A66229E5E/101"/><Relationship Id="rId4558" Type="http://schemas.openxmlformats.org/officeDocument/2006/relationships/hyperlink" TargetMode="External" Target="https://spark-interfax.ru/system/home/card#/company/5D459B41072B4268822EC806E0EF447B/101"/><Relationship Id="rId4559" Type="http://schemas.openxmlformats.org/officeDocument/2006/relationships/hyperlink" TargetMode="External" Target="https://spark-interfax.ru/system/home/card#/company/C3DDB18F976C4FDC95D6ECF4FDF5E1EA/101"/><Relationship Id="rId4560" Type="http://schemas.openxmlformats.org/officeDocument/2006/relationships/hyperlink" TargetMode="External" Target="https://spark-interfax.ru/system/home/card#/company/2DB5F5FA371C4E2690C38AD3091C48F7/101"/><Relationship Id="rId4561" Type="http://schemas.openxmlformats.org/officeDocument/2006/relationships/hyperlink" TargetMode="External" Target="https://spark-interfax.ru/system/home/card#/company/489C3C8313414D6186461B4F1BE0367A/101"/><Relationship Id="rId4562" Type="http://schemas.openxmlformats.org/officeDocument/2006/relationships/hyperlink" TargetMode="External" Target="https://spark-interfax.ru/system/home/card#/company/362BC64B4F254AB1923C3BF193AABA55/101"/><Relationship Id="rId4563" Type="http://schemas.openxmlformats.org/officeDocument/2006/relationships/hyperlink" TargetMode="External" Target="https://spark-interfax.ru/system/home/card#/company/3C9BF8329E16414884DC7FDEF6741730/101"/><Relationship Id="rId4564" Type="http://schemas.openxmlformats.org/officeDocument/2006/relationships/hyperlink" TargetMode="External" Target="https://spark-interfax.ru/system/home/card#/company/95E58508147445F095129AD5095FF922/101"/><Relationship Id="rId4565" Type="http://schemas.openxmlformats.org/officeDocument/2006/relationships/hyperlink" TargetMode="External" Target="https://spark-interfax.ru/system/home/card#/company/EFDFAE855B3444EB9EADD0415787F210/101"/><Relationship Id="rId4566" Type="http://schemas.openxmlformats.org/officeDocument/2006/relationships/hyperlink" TargetMode="External" Target="https://spark-interfax.ru/system/home/card#/company/936B05AC3A674ED288B4038007936794/101"/><Relationship Id="rId4567" Type="http://schemas.openxmlformats.org/officeDocument/2006/relationships/hyperlink" TargetMode="External" Target="https://spark-interfax.ru/system/home/card#/company/24575515ED654EEE9EBFD99D8513AE14/101"/><Relationship Id="rId4568" Type="http://schemas.openxmlformats.org/officeDocument/2006/relationships/hyperlink" TargetMode="External" Target="https://spark-interfax.ru/system/home/card#/company/DE5F836802AF4D0887FED8F8221768E4/101"/><Relationship Id="rId4569" Type="http://schemas.openxmlformats.org/officeDocument/2006/relationships/hyperlink" TargetMode="External" Target="https://spark-interfax.ru/system/home/card#/company/799C794F87AD4B9A91C4D4B0FB25DA6C/101"/><Relationship Id="rId4570" Type="http://schemas.openxmlformats.org/officeDocument/2006/relationships/hyperlink" TargetMode="External" Target="https://spark-interfax.ru/system/home/card#/company/3371C6A4CEFD444AA525A0672CBD2651/101"/><Relationship Id="rId4571" Type="http://schemas.openxmlformats.org/officeDocument/2006/relationships/hyperlink" TargetMode="External" Target="https://spark-interfax.ru/system/home/card#/company/A604CC5355807CC4E053189AA8C0E0DA/101"/><Relationship Id="rId4572" Type="http://schemas.openxmlformats.org/officeDocument/2006/relationships/hyperlink" TargetMode="External" Target="https://spark-interfax.ru/system/home/card#/company/70974394DC744526954D3F3F6A7B7436/101"/><Relationship Id="rId4573" Type="http://schemas.openxmlformats.org/officeDocument/2006/relationships/hyperlink" TargetMode="External" Target="https://spark-interfax.ru/system/home/card#/company/1FFEC7C984964AACA6CB0B940EE30B8E/101"/><Relationship Id="rId4574" Type="http://schemas.openxmlformats.org/officeDocument/2006/relationships/hyperlink" TargetMode="External" Target="https://spark-interfax.ru/system/home/card#/company/8E7328751BEC0A14E0531C9AA8C034CE/101"/><Relationship Id="rId4575" Type="http://schemas.openxmlformats.org/officeDocument/2006/relationships/hyperlink" TargetMode="External" Target="https://spark-interfax.ru/system/home/card#/company/BA373A2FCA5E7A9EE053219AA8C00A10/101"/><Relationship Id="rId4576" Type="http://schemas.openxmlformats.org/officeDocument/2006/relationships/hyperlink" TargetMode="External" Target="https://spark-interfax.ru/system/home/card#/company/0F0B7159A2A64F06B518416571CF0C8C/101"/><Relationship Id="rId4577" Type="http://schemas.openxmlformats.org/officeDocument/2006/relationships/hyperlink" TargetMode="External" Target="https://spark-interfax.ru/system/home/card#/company/7FE8D53161B144EA8FF0BE389C1CB3B3/101"/><Relationship Id="rId4578" Type="http://schemas.openxmlformats.org/officeDocument/2006/relationships/hyperlink" TargetMode="External" Target="https://spark-interfax.ru/system/home/card#/company/A5E29549E86E44FEA67A794EDF2D851D/101"/><Relationship Id="rId4579" Type="http://schemas.openxmlformats.org/officeDocument/2006/relationships/hyperlink" TargetMode="External" Target="https://spark-interfax.ru/system/home/card#/company/3F3B7B9D177346C38C5FE21166533D75/101"/><Relationship Id="rId4580" Type="http://schemas.openxmlformats.org/officeDocument/2006/relationships/hyperlink" TargetMode="External" Target="https://spark-interfax.ru/system/home/card#/company/65D3915C146552E3E0531B9AA8C0332D/101"/><Relationship Id="rId4581" Type="http://schemas.openxmlformats.org/officeDocument/2006/relationships/hyperlink" TargetMode="External" Target="https://spark-interfax.ru/system/home/card#/company/2BF7284CB1C04FE3AC9D37A9AE301D1B/101"/><Relationship Id="rId4582" Type="http://schemas.openxmlformats.org/officeDocument/2006/relationships/hyperlink" TargetMode="External" Target="https://spark-interfax.ru/system/home/card#/company/B2E7F3820B254735E053219AA8C081A6/101"/><Relationship Id="rId4583" Type="http://schemas.openxmlformats.org/officeDocument/2006/relationships/hyperlink" TargetMode="External" Target="https://spark-interfax.ru/system/home/card#/company/D838CD58F50B405E8B9D2FC507AA6C56/101"/><Relationship Id="rId4584" Type="http://schemas.openxmlformats.org/officeDocument/2006/relationships/hyperlink" TargetMode="External" Target="https://spark-interfax.ru/system/home/card#/company/9D95637C95C54C50BEE08B74AF5DAF39/101"/><Relationship Id="rId4585" Type="http://schemas.openxmlformats.org/officeDocument/2006/relationships/hyperlink" TargetMode="External" Target="https://spark-interfax.ru/system/home/card#/company/04B39FAC0EBD40A69A69D41A814471A5/101"/><Relationship Id="rId4586" Type="http://schemas.openxmlformats.org/officeDocument/2006/relationships/hyperlink" TargetMode="External" Target="https://spark-interfax.ru/system/home/card#/company/ADEE58B106EB424ABEA227FB0B80F04F/101"/><Relationship Id="rId4587" Type="http://schemas.openxmlformats.org/officeDocument/2006/relationships/hyperlink" TargetMode="External" Target="https://spark-interfax.ru/system/home/card#/company/8354E8C1FFCC4F85993E0D16E6387782/101"/><Relationship Id="rId4588" Type="http://schemas.openxmlformats.org/officeDocument/2006/relationships/hyperlink" TargetMode="External" Target="https://spark-interfax.ru/system/home/card#/company/1CDD3FB67F9A426E8718355AF9B7F9E8/101"/><Relationship Id="rId4589" Type="http://schemas.openxmlformats.org/officeDocument/2006/relationships/hyperlink" TargetMode="External" Target="https://spark-interfax.ru/system/home/card#/company/2205A90D47534141B50E1F2B47745FE7/101"/><Relationship Id="rId4590" Type="http://schemas.openxmlformats.org/officeDocument/2006/relationships/hyperlink" TargetMode="External" Target="https://spark-interfax.ru/system/home/card#/company/1D8220312014412E8AE1E6EDDED8641F/101"/><Relationship Id="rId4591" Type="http://schemas.openxmlformats.org/officeDocument/2006/relationships/hyperlink" TargetMode="External" Target="https://spark-interfax.ru/system/home/card#/company/88670897AA7B1B67E0531B9AA8C0AC49/101"/><Relationship Id="rId4592" Type="http://schemas.openxmlformats.org/officeDocument/2006/relationships/hyperlink" TargetMode="External" Target="https://spark-interfax.ru/system/home/card#/company/A2FAFB964D0941758145955E89CD5EAC/101"/><Relationship Id="rId4593" Type="http://schemas.openxmlformats.org/officeDocument/2006/relationships/hyperlink" TargetMode="External" Target="https://spark-interfax.ru/system/home/card#/company/BAFA99D7825141FD955969D1DF489562/101"/><Relationship Id="rId4594" Type="http://schemas.openxmlformats.org/officeDocument/2006/relationships/hyperlink" TargetMode="External" Target="https://spark-interfax.ru/system/home/card#/company/47D4E28094CE4DC19BCD6C9A7CEAEC0F/101"/><Relationship Id="rId4595" Type="http://schemas.openxmlformats.org/officeDocument/2006/relationships/hyperlink" TargetMode="External" Target="https://spark-interfax.ru/system/home/card#/company/1C58C98821AE4FE5BA88572A42211498/101"/><Relationship Id="rId4596" Type="http://schemas.openxmlformats.org/officeDocument/2006/relationships/hyperlink" TargetMode="External" Target="https://spark-interfax.ru/system/home/card#/company/0DBE118285CE46129FCED104B310B98D/101"/><Relationship Id="rId4597" Type="http://schemas.openxmlformats.org/officeDocument/2006/relationships/hyperlink" TargetMode="External" Target="https://spark-interfax.ru/system/home/card#/company/BCD10DF9043240268078B956E9BC4B88/101"/><Relationship Id="rId4598" Type="http://schemas.openxmlformats.org/officeDocument/2006/relationships/hyperlink" TargetMode="External" Target="https://spark-interfax.ru/system/home/card#/company/A532AA1FFC8E4BBB86070A3DD8E619DF/101"/><Relationship Id="rId4599" Type="http://schemas.openxmlformats.org/officeDocument/2006/relationships/hyperlink" TargetMode="External" Target="https://spark-interfax.ru/system/home/card#/company/185A2B5E45E14C31A5C7B4134AFE7329/101"/><Relationship Id="rId4600" Type="http://schemas.openxmlformats.org/officeDocument/2006/relationships/hyperlink" TargetMode="External" Target="https://spark-interfax.ru/system/home/card#/company/799AAC9C1F7448B0BE837CB1AE525C15/101"/><Relationship Id="rId4601" Type="http://schemas.openxmlformats.org/officeDocument/2006/relationships/hyperlink" TargetMode="External" Target="https://spark-interfax.ru/system/home/card#/company/592B07AA4F634FE18958F52EE86E62DF/101"/><Relationship Id="rId4602" Type="http://schemas.openxmlformats.org/officeDocument/2006/relationships/hyperlink" TargetMode="External" Target="https://spark-interfax.ru/system/home/card#/company/F661D806503547869923C36B164D4678/101"/><Relationship Id="rId4603" Type="http://schemas.openxmlformats.org/officeDocument/2006/relationships/hyperlink" TargetMode="External" Target="https://spark-interfax.ru/system/home/card#/company/6CD06D56089C0C8BE0531B9AA8C0EB3B/101"/><Relationship Id="rId4604" Type="http://schemas.openxmlformats.org/officeDocument/2006/relationships/hyperlink" TargetMode="External" Target="https://spark-interfax.ru/system/home/card#/company/59BA1B64BDE540ED967A711F22328D4F/101"/><Relationship Id="rId4605" Type="http://schemas.openxmlformats.org/officeDocument/2006/relationships/hyperlink" TargetMode="External" Target="https://spark-interfax.ru/system/home/card#/company/83F0726ABE1D431BA28A31D1092C2D6C/101"/><Relationship Id="rId4606" Type="http://schemas.openxmlformats.org/officeDocument/2006/relationships/hyperlink" TargetMode="External" Target="https://spark-interfax.ru/system/home/card#/company/26D08CB87F9A4E1DA2187F992D8597E6/101"/><Relationship Id="rId4607" Type="http://schemas.openxmlformats.org/officeDocument/2006/relationships/hyperlink" TargetMode="External" Target="https://spark-interfax.ru/system/home/card#/company/A9A5423FCA854DF89259A9188B3FD912/101"/><Relationship Id="rId4608" Type="http://schemas.openxmlformats.org/officeDocument/2006/relationships/hyperlink" TargetMode="External" Target="https://spark-interfax.ru/system/home/card#/company/9F71F25388A54DC788E51BD06202309F/101"/><Relationship Id="rId4609" Type="http://schemas.openxmlformats.org/officeDocument/2006/relationships/hyperlink" TargetMode="External" Target="https://spark-interfax.ru/system/home/card#/company/CD3B3CB26989190DE053219AA8C0CCDF/101"/><Relationship Id="rId4610" Type="http://schemas.openxmlformats.org/officeDocument/2006/relationships/hyperlink" TargetMode="External" Target="https://spark-interfax.ru/system/home/card#/company/940C700E23FC7020E0531B9AA8C0360B/101"/><Relationship Id="rId4611" Type="http://schemas.openxmlformats.org/officeDocument/2006/relationships/hyperlink" TargetMode="External" Target="https://spark-interfax.ru/system/home/card#/company/B4EB26C9CF054C33A8BA5A1F3E07C64D/101"/><Relationship Id="rId4612" Type="http://schemas.openxmlformats.org/officeDocument/2006/relationships/hyperlink" TargetMode="External" Target="https://spark-interfax.ru/system/home/card#/company/79BE69C480BA4879BD650E0B48AF7776/101"/><Relationship Id="rId4613" Type="http://schemas.openxmlformats.org/officeDocument/2006/relationships/hyperlink" TargetMode="External" Target="https://spark-interfax.ru/system/home/card#/company/59CC391DD7AA0A2BE0531C9AA8C01E48/101"/><Relationship Id="rId4614" Type="http://schemas.openxmlformats.org/officeDocument/2006/relationships/hyperlink" TargetMode="External" Target="https://spark-interfax.ru/system/home/card#/company/66BE2F1F9B6A40E18A782763281D6296/101"/><Relationship Id="rId4615" Type="http://schemas.openxmlformats.org/officeDocument/2006/relationships/hyperlink" TargetMode="External" Target="https://spark-interfax.ru/system/home/card#/company/49ECEA385657421BA0C4257DEEA8AEC0/101"/><Relationship Id="rId4616" Type="http://schemas.openxmlformats.org/officeDocument/2006/relationships/hyperlink" TargetMode="External" Target="https://spark-interfax.ru/system/home/card#/company/C8DD4196973147B390C277E03D7E658A/101"/><Relationship Id="rId4617" Type="http://schemas.openxmlformats.org/officeDocument/2006/relationships/hyperlink" TargetMode="External" Target="https://spark-interfax.ru/system/home/card#/company/8E3E14EE748F491A82F8D3A34C61F0F8/101"/><Relationship Id="rId4618" Type="http://schemas.openxmlformats.org/officeDocument/2006/relationships/hyperlink" TargetMode="External" Target="https://spark-interfax.ru/system/home/card#/company/47F3A68695144878B049D404DA5C3906/101"/><Relationship Id="rId4619" Type="http://schemas.openxmlformats.org/officeDocument/2006/relationships/hyperlink" TargetMode="External" Target="https://spark-interfax.ru/system/home/card#/company/E702636892BD42B8976FBCBD0CAFF393/101"/><Relationship Id="rId4620" Type="http://schemas.openxmlformats.org/officeDocument/2006/relationships/hyperlink" TargetMode="External" Target="https://spark-interfax.ru/system/home/card#/company/61575F5EF16711DFE0531B9AA8C08965/101"/><Relationship Id="rId4621" Type="http://schemas.openxmlformats.org/officeDocument/2006/relationships/hyperlink" TargetMode="External" Target="https://spark-interfax.ru/system/home/card#/company/322AFF8125B7460DB91A34393ABAA85F/101"/><Relationship Id="rId4622" Type="http://schemas.openxmlformats.org/officeDocument/2006/relationships/hyperlink" TargetMode="External" Target="https://spark-interfax.ru/system/home/card#/company/FDDD9E2915AB4B78A1633968E982622C/101"/><Relationship Id="rId4623" Type="http://schemas.openxmlformats.org/officeDocument/2006/relationships/hyperlink" TargetMode="External" Target="https://spark-interfax.ru/system/home/card#/company/3208B0357C3C4466BD9816378B4F80D2/101"/><Relationship Id="rId4624" Type="http://schemas.openxmlformats.org/officeDocument/2006/relationships/hyperlink" TargetMode="External" Target="https://spark-interfax.ru/system/home/card#/company/1019944B9BAA4508837E998EEDCDA862/101"/><Relationship Id="rId4625" Type="http://schemas.openxmlformats.org/officeDocument/2006/relationships/hyperlink" TargetMode="External" Target="https://spark-interfax.ru/system/home/card#/company/3A5125516D784514A8D86B33BF2853A3/101"/><Relationship Id="rId4626" Type="http://schemas.openxmlformats.org/officeDocument/2006/relationships/hyperlink" TargetMode="External" Target="https://spark-interfax.ru/system/home/card#/company/5D047E9FA9C83005E0531C9AA8C00288/101"/><Relationship Id="rId4627" Type="http://schemas.openxmlformats.org/officeDocument/2006/relationships/hyperlink" TargetMode="External" Target="https://spark-interfax.ru/system/home/card#/company/1BBA87BA2E6F4E4484D370668DBB4B91/101"/><Relationship Id="rId4628" Type="http://schemas.openxmlformats.org/officeDocument/2006/relationships/hyperlink" TargetMode="External" Target="https://spark-interfax.ru/system/home/card#/company/C1CE6123BEDF438D93F332390894BFC3/101"/><Relationship Id="rId4629" Type="http://schemas.openxmlformats.org/officeDocument/2006/relationships/hyperlink" TargetMode="External" Target="https://spark-interfax.ru/system/home/card#/company/36A089C09FAB4B27A4C5F0105696BC46/101"/><Relationship Id="rId4630" Type="http://schemas.openxmlformats.org/officeDocument/2006/relationships/hyperlink" TargetMode="External" Target="https://spark-interfax.ru/system/home/card#/company/412B3C2E8451452FBB6CA9B66D49E273/101"/><Relationship Id="rId4631" Type="http://schemas.openxmlformats.org/officeDocument/2006/relationships/hyperlink" TargetMode="External" Target="https://spark-interfax.ru/system/home/card#/company/7AE32BFFF8D3488A94E429D3738035BB/101"/><Relationship Id="rId4632" Type="http://schemas.openxmlformats.org/officeDocument/2006/relationships/hyperlink" TargetMode="External" Target="https://spark-interfax.ru/system/home/card#/company/CFB35365EC99440B99459708E107F0F2/101"/><Relationship Id="rId4633" Type="http://schemas.openxmlformats.org/officeDocument/2006/relationships/hyperlink" TargetMode="External" Target="https://spark-interfax.ru/system/home/card#/company/B9D217E2D8E25F71E053219AA8C08E45/101"/><Relationship Id="rId4634" Type="http://schemas.openxmlformats.org/officeDocument/2006/relationships/hyperlink" TargetMode="External" Target="https://spark-interfax.ru/system/home/card#/company/5A98E083AE37436A8E189676B7747549/101"/><Relationship Id="rId4635" Type="http://schemas.openxmlformats.org/officeDocument/2006/relationships/hyperlink" TargetMode="External" Target="https://spark-interfax.ru/system/home/card#/company/2324088F15854C0B8F5E86B1BD5C76B1/101"/><Relationship Id="rId4636" Type="http://schemas.openxmlformats.org/officeDocument/2006/relationships/hyperlink" TargetMode="External" Target="https://spark-interfax.ru/system/home/card#/company/984B6EBCD5814F159196E13FF8E26ACD/101"/><Relationship Id="rId4637" Type="http://schemas.openxmlformats.org/officeDocument/2006/relationships/hyperlink" TargetMode="External" Target="https://spark-interfax.ru/system/home/card#/company/40B8725F16C547DAA5B774A26A15F4F6/101"/><Relationship Id="rId4638" Type="http://schemas.openxmlformats.org/officeDocument/2006/relationships/hyperlink" TargetMode="External" Target="https://spark-interfax.ru/system/home/card#/company/A91C67FE5C6E40CAADECA6518E2B4D77/101"/><Relationship Id="rId4639" Type="http://schemas.openxmlformats.org/officeDocument/2006/relationships/hyperlink" TargetMode="External" Target="https://spark-interfax.ru/system/home/card#/company/647D322022204F6AE0531B9AA8C0A66C/101"/><Relationship Id="rId4640" Type="http://schemas.openxmlformats.org/officeDocument/2006/relationships/hyperlink" TargetMode="External" Target="https://spark-interfax.ru/system/home/card#/company/368B372F306D4718B781021B02B6E52B/101"/><Relationship Id="rId4641" Type="http://schemas.openxmlformats.org/officeDocument/2006/relationships/hyperlink" TargetMode="External" Target="https://spark-interfax.ru/system/home/card#/company/53FDD9295CDE4B7488F4FB6CB97642C5/101"/><Relationship Id="rId4642" Type="http://schemas.openxmlformats.org/officeDocument/2006/relationships/hyperlink" TargetMode="External" Target="https://spark-interfax.ru/system/home/card#/company/47364219158B44C79EB5DB66F89FC66B/101"/><Relationship Id="rId4643" Type="http://schemas.openxmlformats.org/officeDocument/2006/relationships/hyperlink" TargetMode="External" Target="https://spark-interfax.ru/system/home/card#/company/8122BC8444B44CC2A9C9CDDECEB90613/101"/><Relationship Id="rId4644" Type="http://schemas.openxmlformats.org/officeDocument/2006/relationships/hyperlink" TargetMode="External" Target="https://spark-interfax.ru/system/home/card#/company/18D9ED7BE67042F695005929CC9EBBB5/101"/><Relationship Id="rId4645" Type="http://schemas.openxmlformats.org/officeDocument/2006/relationships/hyperlink" TargetMode="External" Target="https://spark-interfax.ru/system/home/card#/company/292F633C2AB949AE94EC146FE56FD824/101"/><Relationship Id="rId4646" Type="http://schemas.openxmlformats.org/officeDocument/2006/relationships/hyperlink" TargetMode="External" Target="https://spark-interfax.ru/system/home/card#/company/5EBAF299B81949CF8350CEC869083965/101"/><Relationship Id="rId4647" Type="http://schemas.openxmlformats.org/officeDocument/2006/relationships/hyperlink" TargetMode="External" Target="https://spark-interfax.ru/system/home/card#/company/0D03386EFEAA490DA91CF821A6A10BE0/101"/><Relationship Id="rId4648" Type="http://schemas.openxmlformats.org/officeDocument/2006/relationships/hyperlink" TargetMode="External" Target="https://spark-interfax.ru/system/home/card#/company/9AE5BD8AF0BD4EADA656869927663B41/101"/><Relationship Id="rId4649" Type="http://schemas.openxmlformats.org/officeDocument/2006/relationships/hyperlink" TargetMode="External" Target="https://spark-interfax.ru/system/home/card#/company/A804D83E627F48C1AA0755D5AC4648DE/101"/><Relationship Id="rId4650" Type="http://schemas.openxmlformats.org/officeDocument/2006/relationships/hyperlink" TargetMode="External" Target="https://spark-interfax.ru/system/home/card#/company/A0FDC9564E8A26D8E053189AA8C0B8E5/101"/><Relationship Id="rId4651" Type="http://schemas.openxmlformats.org/officeDocument/2006/relationships/hyperlink" TargetMode="External" Target="https://spark-interfax.ru/system/home/card#/company/10D7A173B49D4E6DAB5B0E963A84BC46/101"/><Relationship Id="rId4652" Type="http://schemas.openxmlformats.org/officeDocument/2006/relationships/hyperlink" TargetMode="External" Target="https://spark-interfax.ru/system/home/card#/company/D93E447E1DC748959B954096188A97F7/101"/><Relationship Id="rId4653" Type="http://schemas.openxmlformats.org/officeDocument/2006/relationships/hyperlink" TargetMode="External" Target="https://spark-interfax.ru/system/home/card#/company/0C900D0D71FC48B2B58C4A6AAB87AC52/101"/><Relationship Id="rId4654" Type="http://schemas.openxmlformats.org/officeDocument/2006/relationships/hyperlink" TargetMode="External" Target="https://spark-interfax.ru/system/home/card#/company/4E13EA650F994891A06F20E600AA3037/101"/><Relationship Id="rId4655" Type="http://schemas.openxmlformats.org/officeDocument/2006/relationships/hyperlink" TargetMode="External" Target="https://spark-interfax.ru/system/home/card#/company/D460548386C44B068A7C31D50A3CABD0/101"/><Relationship Id="rId4656" Type="http://schemas.openxmlformats.org/officeDocument/2006/relationships/hyperlink" TargetMode="External" Target="https://spark-interfax.ru/system/home/card#/company/43AD22324B444BD38192B296DC0E622A/101"/><Relationship Id="rId4657" Type="http://schemas.openxmlformats.org/officeDocument/2006/relationships/hyperlink" TargetMode="External" Target="https://spark-interfax.ru/system/home/card#/company/87222EEC3DCF448F81CB61EC3A96119D/101"/><Relationship Id="rId4658" Type="http://schemas.openxmlformats.org/officeDocument/2006/relationships/hyperlink" TargetMode="External" Target="https://spark-interfax.ru/system/home/card#/company/5CF706F3E1764830BE6ECB992CF27D11/101"/><Relationship Id="rId4659" Type="http://schemas.openxmlformats.org/officeDocument/2006/relationships/hyperlink" TargetMode="External" Target="https://spark-interfax.ru/system/home/card#/company/AF81FCB53A1D48258ACA8D4373FC17B1/101"/><Relationship Id="rId4660" Type="http://schemas.openxmlformats.org/officeDocument/2006/relationships/hyperlink" TargetMode="External" Target="https://spark-interfax.ru/system/home/card#/company/0BAFD99797F54393A20278FB1A71B1F2/101"/><Relationship Id="rId4661" Type="http://schemas.openxmlformats.org/officeDocument/2006/relationships/hyperlink" TargetMode="External" Target="https://spark-interfax.ru/system/home/card#/company/999894D207A04E31BE6267A350915394/101"/><Relationship Id="rId4662" Type="http://schemas.openxmlformats.org/officeDocument/2006/relationships/hyperlink" TargetMode="External" Target="https://spark-interfax.ru/system/home/card#/company/FCD242C6E58846EEA6FD82633F680FD3/101"/><Relationship Id="rId4663" Type="http://schemas.openxmlformats.org/officeDocument/2006/relationships/hyperlink" TargetMode="External" Target="https://spark-interfax.ru/system/home/card#/company/2B08AB676ECD456D83A41ADD5B127A8E/101"/><Relationship Id="rId4664" Type="http://schemas.openxmlformats.org/officeDocument/2006/relationships/hyperlink" TargetMode="External" Target="https://spark-interfax.ru/system/home/card#/company/E0136CFADF504048B1302F9193B4FBF5/101"/><Relationship Id="rId4665" Type="http://schemas.openxmlformats.org/officeDocument/2006/relationships/hyperlink" TargetMode="External" Target="https://spark-interfax.ru/system/home/card#/company/3334346648DF49A8BFB3F60A22D2F712/101"/><Relationship Id="rId4666" Type="http://schemas.openxmlformats.org/officeDocument/2006/relationships/hyperlink" TargetMode="External" Target="https://spark-interfax.ru/system/home/card#/company/CF2BDA42DE9F409D8926E06A74AF0E9F/101"/><Relationship Id="rId4667" Type="http://schemas.openxmlformats.org/officeDocument/2006/relationships/hyperlink" TargetMode="External" Target="https://spark-interfax.ru/system/home/card#/company/5D9B134D9FAE46918A86EB8A3E7B8B01/101"/><Relationship Id="rId4668" Type="http://schemas.openxmlformats.org/officeDocument/2006/relationships/hyperlink" TargetMode="External" Target="https://spark-interfax.ru/system/home/card#/company/865B4608FD7B6CE8E0531B9AA8C0142F/101"/><Relationship Id="rId4669" Type="http://schemas.openxmlformats.org/officeDocument/2006/relationships/hyperlink" TargetMode="External" Target="https://spark-interfax.ru/system/home/card#/company/4B802849A58E493399A1FF129DF8802E/101"/><Relationship Id="rId4670" Type="http://schemas.openxmlformats.org/officeDocument/2006/relationships/hyperlink" TargetMode="External" Target="https://spark-interfax.ru/system/home/card#/company/A5B888422B834D99B79F040CA8E3FCBA/101"/><Relationship Id="rId4671" Type="http://schemas.openxmlformats.org/officeDocument/2006/relationships/hyperlink" TargetMode="External" Target="https://spark-interfax.ru/system/home/card#/company/FB994DB73A364DE8B138D6B7FBB9C295/101"/><Relationship Id="rId4672" Type="http://schemas.openxmlformats.org/officeDocument/2006/relationships/hyperlink" TargetMode="External" Target="https://spark-interfax.ru/system/home/card#/company/1B3068F0C48C4BB6AC5F789411861E4B/101"/><Relationship Id="rId4673" Type="http://schemas.openxmlformats.org/officeDocument/2006/relationships/hyperlink" TargetMode="External" Target="https://spark-interfax.ru/system/home/card#/company/98A39DFDC41645E69FA38D272390489E/101"/><Relationship Id="rId4674" Type="http://schemas.openxmlformats.org/officeDocument/2006/relationships/hyperlink" TargetMode="External" Target="https://spark-interfax.ru/system/home/card#/company/3EE63CC1BD184A0D8ECB75E98F73D8E1/101"/><Relationship Id="rId4675" Type="http://schemas.openxmlformats.org/officeDocument/2006/relationships/hyperlink" TargetMode="External" Target="https://spark-interfax.ru/system/home/card#/company/4A64AEEA714B4A1A9292697127D94E34/101"/><Relationship Id="rId4676" Type="http://schemas.openxmlformats.org/officeDocument/2006/relationships/hyperlink" TargetMode="External" Target="https://spark-interfax.ru/system/home/card#/company/CBD590540DF9402491DCAEE70FF30A62/101"/><Relationship Id="rId4677" Type="http://schemas.openxmlformats.org/officeDocument/2006/relationships/hyperlink" TargetMode="External" Target="https://spark-interfax.ru/system/home/card#/company/FCAE5B1851A1475C8B1582B03FB04264/101"/><Relationship Id="rId4678" Type="http://schemas.openxmlformats.org/officeDocument/2006/relationships/hyperlink" TargetMode="External" Target="https://spark-interfax.ru/system/home/card#/company/1086C6F5E08240CBB2E1448A8F7991C8/101"/><Relationship Id="rId4679" Type="http://schemas.openxmlformats.org/officeDocument/2006/relationships/hyperlink" TargetMode="External" Target="https://spark-interfax.ru/system/home/card#/company/C48807BF70F24AD2812177445F9B0D60/101"/><Relationship Id="rId4680" Type="http://schemas.openxmlformats.org/officeDocument/2006/relationships/hyperlink" TargetMode="External" Target="https://spark-interfax.ru/system/home/card#/company/EA1F2129686147CA93EC9B50D0E47942/101"/><Relationship Id="rId4681" Type="http://schemas.openxmlformats.org/officeDocument/2006/relationships/hyperlink" TargetMode="External" Target="https://spark-interfax.ru/system/home/card#/company/E8BD5D50759D4AB29C6D96A7CAB8EBDE/101"/><Relationship Id="rId4682" Type="http://schemas.openxmlformats.org/officeDocument/2006/relationships/hyperlink" TargetMode="External" Target="https://spark-interfax.ru/system/home/card#/company/EA068A332E564724B3F46BC691D2F93E/101"/><Relationship Id="rId4683" Type="http://schemas.openxmlformats.org/officeDocument/2006/relationships/hyperlink" TargetMode="External" Target="https://spark-interfax.ru/system/home/card#/company/80C6D64257074E04873F079CAC2D1482/101"/><Relationship Id="rId4684" Type="http://schemas.openxmlformats.org/officeDocument/2006/relationships/hyperlink" TargetMode="External" Target="https://spark-interfax.ru/system/home/card#/company/381C9F9D4D234B78935ED892A9EA9A6F/101"/><Relationship Id="rId4685" Type="http://schemas.openxmlformats.org/officeDocument/2006/relationships/hyperlink" TargetMode="External" Target="https://spark-interfax.ru/system/home/card#/company/A40DCF30308A443DACB97A60625AC21D/101"/><Relationship Id="rId4686" Type="http://schemas.openxmlformats.org/officeDocument/2006/relationships/hyperlink" TargetMode="External" Target="https://spark-interfax.ru/system/home/card#/company/20FA1529D0D7471C9C0A40168396B141/101"/><Relationship Id="rId4687" Type="http://schemas.openxmlformats.org/officeDocument/2006/relationships/hyperlink" TargetMode="External" Target="https://spark-interfax.ru/system/home/card#/company/41569E06DB4E41A386437658C2E58A59/101"/><Relationship Id="rId4688" Type="http://schemas.openxmlformats.org/officeDocument/2006/relationships/hyperlink" TargetMode="External" Target="https://spark-interfax.ru/system/home/card#/company/6765284A93306FBFE0531B9AA8C0FB5B/101"/><Relationship Id="rId4689" Type="http://schemas.openxmlformats.org/officeDocument/2006/relationships/hyperlink" TargetMode="External" Target="https://spark-interfax.ru/system/home/card#/company/3C18E5DF1DC14C4986C63B4744B0CD38/101"/><Relationship Id="rId4690" Type="http://schemas.openxmlformats.org/officeDocument/2006/relationships/hyperlink" TargetMode="External" Target="https://spark-interfax.ru/system/home/card#/company/B1DD11A8F9BD462BABA0F4B548F31BD2/101"/><Relationship Id="rId4691" Type="http://schemas.openxmlformats.org/officeDocument/2006/relationships/hyperlink" TargetMode="External" Target="https://spark-interfax.ru/system/home/card#/company/9FACAE005BAB46B5B949BFAFAB108726/101"/><Relationship Id="rId4692" Type="http://schemas.openxmlformats.org/officeDocument/2006/relationships/hyperlink" TargetMode="External" Target="https://spark-interfax.ru/system/home/card#/company/B05C4914347A42B0A517F3295B455D40/101"/><Relationship Id="rId4693" Type="http://schemas.openxmlformats.org/officeDocument/2006/relationships/hyperlink" TargetMode="External" Target="https://spark-interfax.ru/system/home/card#/company/7CED9B65F21B4326934E834FB16AEE21/101"/><Relationship Id="rId4694" Type="http://schemas.openxmlformats.org/officeDocument/2006/relationships/hyperlink" TargetMode="External" Target="https://spark-interfax.ru/system/home/card#/company/BE075E692CAE4C3D9BE839BA2F1799AA/101"/><Relationship Id="rId4695" Type="http://schemas.openxmlformats.org/officeDocument/2006/relationships/hyperlink" TargetMode="External" Target="https://spark-interfax.ru/system/home/card#/company/634DB854273548BFBE4527D96634DBE7/101"/><Relationship Id="rId4696" Type="http://schemas.openxmlformats.org/officeDocument/2006/relationships/hyperlink" TargetMode="External" Target="https://spark-interfax.ru/system/home/card#/company/DA39DA6166A84C579C32B05654828F6E/101"/><Relationship Id="rId4697" Type="http://schemas.openxmlformats.org/officeDocument/2006/relationships/hyperlink" TargetMode="External" Target="https://spark-interfax.ru/system/home/card#/company/4FB7789ADEAA4E2E8548C32B76D39B53/101"/><Relationship Id="rId4698" Type="http://schemas.openxmlformats.org/officeDocument/2006/relationships/hyperlink" TargetMode="External" Target="https://spark-interfax.ru/system/home/card#/company/BF5D76EB11604E3FBDE81AAE6455208D/101"/><Relationship Id="rId4699" Type="http://schemas.openxmlformats.org/officeDocument/2006/relationships/hyperlink" TargetMode="External" Target="https://spark-interfax.ru/system/home/card#/company/85BF6CA25B797D5AE0531B9AA8C0CC9D/101"/><Relationship Id="rId4700" Type="http://schemas.openxmlformats.org/officeDocument/2006/relationships/hyperlink" TargetMode="External" Target="https://spark-interfax.ru/system/home/card#/company/64DEBE8E1A124D9BBCE66F8A5613E8BF/101"/><Relationship Id="rId4701" Type="http://schemas.openxmlformats.org/officeDocument/2006/relationships/hyperlink" TargetMode="External" Target="https://spark-interfax.ru/system/home/card#/company/81DED6DEB0C4441DA0D964873B3686F3/101"/><Relationship Id="rId4702" Type="http://schemas.openxmlformats.org/officeDocument/2006/relationships/hyperlink" TargetMode="External" Target="https://spark-interfax.ru/system/home/card#/company/8F122C7C77BF4F479F392784DDB77ED4/101"/><Relationship Id="rId4703" Type="http://schemas.openxmlformats.org/officeDocument/2006/relationships/hyperlink" TargetMode="External" Target="https://spark-interfax.ru/system/home/card#/company/C3FDBD1CA1D545A7B6BEDB2956979A39/101"/><Relationship Id="rId4704" Type="http://schemas.openxmlformats.org/officeDocument/2006/relationships/hyperlink" TargetMode="External" Target="https://spark-interfax.ru/system/home/card#/company/5C674DF198014F928A4C5F8866A57925/101"/><Relationship Id="rId4705" Type="http://schemas.openxmlformats.org/officeDocument/2006/relationships/hyperlink" TargetMode="External" Target="https://spark-interfax.ru/system/home/card#/company/7B821E45E3914F5F98815A383192147B/101"/><Relationship Id="rId4706" Type="http://schemas.openxmlformats.org/officeDocument/2006/relationships/hyperlink" TargetMode="External" Target="https://spark-interfax.ru/system/home/card#/company/08CFD23C99F8435AA764FD8B9B77AB37/101"/><Relationship Id="rId4707" Type="http://schemas.openxmlformats.org/officeDocument/2006/relationships/hyperlink" TargetMode="External" Target="https://spark-interfax.ru/system/home/card#/company/73A84C35FFF34819972C2145922B0D82/101"/><Relationship Id="rId4708" Type="http://schemas.openxmlformats.org/officeDocument/2006/relationships/hyperlink" TargetMode="External" Target="https://spark-interfax.ru/system/home/card#/company/0CB464E7E1A640FE93B19272D3DDEEC1/101"/><Relationship Id="rId4709" Type="http://schemas.openxmlformats.org/officeDocument/2006/relationships/hyperlink" TargetMode="External" Target="https://spark-interfax.ru/system/home/card#/company/B10508483D2957E3E053219AA8C0B50F/101"/><Relationship Id="rId4710" Type="http://schemas.openxmlformats.org/officeDocument/2006/relationships/hyperlink" TargetMode="External" Target="https://spark-interfax.ru/system/home/card#/company/5EAC840BF16F18A6E0531B9AA8C09F63/101"/><Relationship Id="rId4711" Type="http://schemas.openxmlformats.org/officeDocument/2006/relationships/hyperlink" TargetMode="External" Target="https://spark-interfax.ru/system/home/card#/company/1984526FBE634CCB915F8F4EFA6ECBD1/101"/><Relationship Id="rId4712" Type="http://schemas.openxmlformats.org/officeDocument/2006/relationships/hyperlink" TargetMode="External" Target="https://spark-interfax.ru/system/home/card#/company/8BB6DC83B4624D02B64FF3158F70D1A4/101"/><Relationship Id="rId4713" Type="http://schemas.openxmlformats.org/officeDocument/2006/relationships/hyperlink" TargetMode="External" Target="https://spark-interfax.ru/system/home/card#/company/80F7F524DDE04A4EB4B9F519C6B652BA/101"/><Relationship Id="rId4714" Type="http://schemas.openxmlformats.org/officeDocument/2006/relationships/hyperlink" TargetMode="External" Target="https://spark-interfax.ru/system/home/card#/company/9708F647CAFD4580B480C083E3041DED/101"/><Relationship Id="rId4715" Type="http://schemas.openxmlformats.org/officeDocument/2006/relationships/hyperlink" TargetMode="External" Target="https://spark-interfax.ru/system/home/card#/company/BBAE4CE2E4D44F64875F8B186585340F/101"/><Relationship Id="rId4716" Type="http://schemas.openxmlformats.org/officeDocument/2006/relationships/hyperlink" TargetMode="External" Target="https://spark-interfax.ru/system/home/card#/company/71B90B3D95864C7294ECC840D0DEC254/101"/><Relationship Id="rId4717" Type="http://schemas.openxmlformats.org/officeDocument/2006/relationships/hyperlink" TargetMode="External" Target="https://spark-interfax.ru/system/home/card#/company/16405F77D48F4A20A303C6059104E748/101"/><Relationship Id="rId4718" Type="http://schemas.openxmlformats.org/officeDocument/2006/relationships/hyperlink" TargetMode="External" Target="https://spark-interfax.ru/system/home/card#/company/766E098A31B7447FA17EDF5E0884E661/101"/><Relationship Id="rId4719" Type="http://schemas.openxmlformats.org/officeDocument/2006/relationships/hyperlink" TargetMode="External" Target="https://spark-interfax.ru/system/home/card#/company/256FC33604FD4A6798300CD8D772B641/101"/><Relationship Id="rId4720" Type="http://schemas.openxmlformats.org/officeDocument/2006/relationships/hyperlink" TargetMode="External" Target="https://spark-interfax.ru/system/home/card#/company/36758A40C82B4B77A2C9344BD078DA89/101"/><Relationship Id="rId4721" Type="http://schemas.openxmlformats.org/officeDocument/2006/relationships/hyperlink" TargetMode="External" Target="https://spark-interfax.ru/system/home/card#/company/F865981ABE70479AAB9FBE7E1FF7937E/101"/><Relationship Id="rId4722" Type="http://schemas.openxmlformats.org/officeDocument/2006/relationships/hyperlink" TargetMode="External" Target="https://spark-interfax.ru/system/home/card#/company/BF7F5607BC164311BD94ED37B98A4817/101"/><Relationship Id="rId4723" Type="http://schemas.openxmlformats.org/officeDocument/2006/relationships/hyperlink" TargetMode="External" Target="https://spark-interfax.ru/system/home/card#/company/000F729F58AF4B99AD1CF305BBDE7AD9/101"/><Relationship Id="rId4724" Type="http://schemas.openxmlformats.org/officeDocument/2006/relationships/hyperlink" TargetMode="External" Target="https://spark-interfax.ru/system/home/card#/company/13859ED39C0D48C1B12542B0EFE25C1B/101"/><Relationship Id="rId4725" Type="http://schemas.openxmlformats.org/officeDocument/2006/relationships/hyperlink" TargetMode="External" Target="https://spark-interfax.ru/system/home/card#/company/5B223B23A88147109285C49B9BA33CE1/101"/><Relationship Id="rId4726" Type="http://schemas.openxmlformats.org/officeDocument/2006/relationships/hyperlink" TargetMode="External" Target="https://spark-interfax.ru/system/home/card#/company/C9B4D98D4795415581BAC87330AA7618/101"/><Relationship Id="rId4727" Type="http://schemas.openxmlformats.org/officeDocument/2006/relationships/hyperlink" TargetMode="External" Target="https://spark-interfax.ru/system/home/card#/company/E20B35EB6691467E89BDCBB6B51B30AC/101"/><Relationship Id="rId4728" Type="http://schemas.openxmlformats.org/officeDocument/2006/relationships/hyperlink" TargetMode="External" Target="https://spark-interfax.ru/system/home/card#/company/20A7A60C479B4BCF9E63E3281F65CA59/101"/><Relationship Id="rId4729" Type="http://schemas.openxmlformats.org/officeDocument/2006/relationships/hyperlink" TargetMode="External" Target="https://spark-interfax.ru/system/home/card#/company/ADD3BF83AB4141E29AAC671AEF41B07C/101"/><Relationship Id="rId4730" Type="http://schemas.openxmlformats.org/officeDocument/2006/relationships/hyperlink" TargetMode="External" Target="https://spark-interfax.ru/system/home/card#/company/E6D0C86EE559458D98B6A063C9CDA29A/101"/><Relationship Id="rId4731" Type="http://schemas.openxmlformats.org/officeDocument/2006/relationships/hyperlink" TargetMode="External" Target="https://spark-interfax.ru/system/home/card#/company/1FE26DFD0B294A079B230E70C547DCA5/101"/><Relationship Id="rId4732" Type="http://schemas.openxmlformats.org/officeDocument/2006/relationships/hyperlink" TargetMode="External" Target="https://spark-interfax.ru/system/home/card#/company/867C14A6476E460E8A11F9F02B2A8AA9/101"/><Relationship Id="rId4733" Type="http://schemas.openxmlformats.org/officeDocument/2006/relationships/hyperlink" TargetMode="External" Target="https://spark-interfax.ru/system/home/card#/company/4B0AD3C01E05482EAA42637B677B91CA/101"/><Relationship Id="rId4734" Type="http://schemas.openxmlformats.org/officeDocument/2006/relationships/hyperlink" TargetMode="External" Target="https://spark-interfax.ru/system/home/card#/company/F3D85847BE66427EAC8AAFD2FFED3B58/101"/><Relationship Id="rId4735" Type="http://schemas.openxmlformats.org/officeDocument/2006/relationships/hyperlink" TargetMode="External" Target="https://spark-interfax.ru/system/home/card#/company/33287F0D58E04D7B93EAEB36E9CD1AAA/101"/><Relationship Id="rId4736" Type="http://schemas.openxmlformats.org/officeDocument/2006/relationships/hyperlink" TargetMode="External" Target="https://spark-interfax.ru/system/home/card#/company/C436710DBA104C58AD94FEFE2A6BB025/101"/><Relationship Id="rId4737" Type="http://schemas.openxmlformats.org/officeDocument/2006/relationships/hyperlink" TargetMode="External" Target="https://spark-interfax.ru/system/home/card#/company/52F4EADF1F134BE4AEF74D0FFCADAFB2/101"/><Relationship Id="rId4738" Type="http://schemas.openxmlformats.org/officeDocument/2006/relationships/hyperlink" TargetMode="External" Target="https://spark-interfax.ru/system/home/card#/company/346433449865459A9F6DC122A1483A29/101"/><Relationship Id="rId4739" Type="http://schemas.openxmlformats.org/officeDocument/2006/relationships/hyperlink" TargetMode="External" Target="https://spark-interfax.ru/system/home/card#/company/0ED44D10D2794B5EA631739899E78C03/101"/><Relationship Id="rId4740" Type="http://schemas.openxmlformats.org/officeDocument/2006/relationships/hyperlink" TargetMode="External" Target="https://spark-interfax.ru/system/home/card#/company/003EDA86439D439D9A3F0A6C3CEC9A89/101"/><Relationship Id="rId4741" Type="http://schemas.openxmlformats.org/officeDocument/2006/relationships/hyperlink" TargetMode="External" Target="https://spark-interfax.ru/system/home/card#/company/5F4BBDC816E249949AA7485D94AAA48F/101"/><Relationship Id="rId4742" Type="http://schemas.openxmlformats.org/officeDocument/2006/relationships/hyperlink" TargetMode="External" Target="https://spark-interfax.ru/system/home/card#/company/9067C8EEF5BB43E8ACAC5C8F35056981/101"/><Relationship Id="rId4743" Type="http://schemas.openxmlformats.org/officeDocument/2006/relationships/hyperlink" TargetMode="External" Target="https://spark-interfax.ru/system/home/card#/company/6688E4DCE22C44A783F1B2C6FAD30939/101"/><Relationship Id="rId4744" Type="http://schemas.openxmlformats.org/officeDocument/2006/relationships/hyperlink" TargetMode="External" Target="https://spark-interfax.ru/system/home/card#/company/567180BB3A7842FD9E728F834F3725E0/101"/><Relationship Id="rId4745" Type="http://schemas.openxmlformats.org/officeDocument/2006/relationships/hyperlink" TargetMode="External" Target="https://spark-interfax.ru/system/home/card#/company/84372E38F5F04DBD8D9FD74D6A6F1CA3/101"/><Relationship Id="rId4746" Type="http://schemas.openxmlformats.org/officeDocument/2006/relationships/hyperlink" TargetMode="External" Target="https://spark-interfax.ru/system/home/card#/company/60E0BFA67BF54F60E0531B9AA8C03E9B/101"/><Relationship Id="rId4747" Type="http://schemas.openxmlformats.org/officeDocument/2006/relationships/hyperlink" TargetMode="External" Target="https://spark-interfax.ru/system/home/card#/company/DA7F20EA74EE4C6A9810735CCEB7C8B5/101"/><Relationship Id="rId4748" Type="http://schemas.openxmlformats.org/officeDocument/2006/relationships/hyperlink" TargetMode="External" Target="https://spark-interfax.ru/system/home/card#/company/004D055179BE42FC9D5C4E6C54644238/101"/><Relationship Id="rId4749" Type="http://schemas.openxmlformats.org/officeDocument/2006/relationships/hyperlink" TargetMode="External" Target="https://spark-interfax.ru/system/home/card#/company/5F5EA9C76DCB4D218EEE213AC977F7F4/101"/><Relationship Id="rId4750" Type="http://schemas.openxmlformats.org/officeDocument/2006/relationships/hyperlink" TargetMode="External" Target="https://spark-interfax.ru/system/home/card#/company/B1AC22C2AA6B4B2F86C0DB43721CB266/101"/><Relationship Id="rId4751" Type="http://schemas.openxmlformats.org/officeDocument/2006/relationships/hyperlink" TargetMode="External" Target="https://spark-interfax.ru/system/home/card#/company/9A2BC7FCC5F444799AA202A679F64C2A/101"/><Relationship Id="rId4752" Type="http://schemas.openxmlformats.org/officeDocument/2006/relationships/hyperlink" TargetMode="External" Target="https://spark-interfax.ru/system/home/card#/company/4C26DDC0F514456884F701BED77E2513/101"/><Relationship Id="rId4753" Type="http://schemas.openxmlformats.org/officeDocument/2006/relationships/hyperlink" TargetMode="External" Target="https://spark-interfax.ru/system/home/card#/company/B75C1C36B819440B825C082AE5BED816/101"/><Relationship Id="rId4754" Type="http://schemas.openxmlformats.org/officeDocument/2006/relationships/hyperlink" TargetMode="External" Target="https://spark-interfax.ru/system/home/card#/company/FCF8860F3E8343B695026C815B8BBA39/101"/><Relationship Id="rId4755" Type="http://schemas.openxmlformats.org/officeDocument/2006/relationships/hyperlink" TargetMode="External" Target="https://spark-interfax.ru/system/home/card#/company/4667D04A8611462BAB8AB8F4C109AE94/101"/><Relationship Id="rId4756" Type="http://schemas.openxmlformats.org/officeDocument/2006/relationships/hyperlink" TargetMode="External" Target="https://spark-interfax.ru/system/home/card#/company/549D4549D2934F3D94A176001B929C10/101"/><Relationship Id="rId4757" Type="http://schemas.openxmlformats.org/officeDocument/2006/relationships/hyperlink" TargetMode="External" Target="https://spark-interfax.ru/system/home/card#/company/152C426A53BD4EEEA183904B45C4AF9F/101"/><Relationship Id="rId4758" Type="http://schemas.openxmlformats.org/officeDocument/2006/relationships/hyperlink" TargetMode="External" Target="https://spark-interfax.ru/system/home/card#/company/8633A60C4091492595486C412F7E4711/101"/><Relationship Id="rId4759" Type="http://schemas.openxmlformats.org/officeDocument/2006/relationships/hyperlink" TargetMode="External" Target="https://spark-interfax.ru/system/home/card#/company/24589AD502F247578F9AD426E509092A/101"/><Relationship Id="rId4760" Type="http://schemas.openxmlformats.org/officeDocument/2006/relationships/hyperlink" TargetMode="External" Target="https://spark-interfax.ru/system/home/card#/company/15642A8DF81A48DEBF495D4256AFA35F/101"/><Relationship Id="rId4761" Type="http://schemas.openxmlformats.org/officeDocument/2006/relationships/hyperlink" TargetMode="External" Target="https://spark-interfax.ru/system/home/card#/company/2F44E74094064AAD8619B1BF735E2292/101"/><Relationship Id="rId4762" Type="http://schemas.openxmlformats.org/officeDocument/2006/relationships/hyperlink" TargetMode="External" Target="https://spark-interfax.ru/system/home/card#/company/14295EF21D734853971466B350B3B742/101"/><Relationship Id="rId4763" Type="http://schemas.openxmlformats.org/officeDocument/2006/relationships/hyperlink" TargetMode="External" Target="https://spark-interfax.ru/system/home/card#/company/B208850BA4FF4BE4BCB49384A2D5E6B1/101"/><Relationship Id="rId4764" Type="http://schemas.openxmlformats.org/officeDocument/2006/relationships/hyperlink" TargetMode="External" Target="https://spark-interfax.ru/system/home/card#/company/2E6B7770951F4C46AE65AE36C79A41D4/101"/><Relationship Id="rId4765" Type="http://schemas.openxmlformats.org/officeDocument/2006/relationships/hyperlink" TargetMode="External" Target="https://spark-interfax.ru/system/home/card#/company/CF9E49FDB2DA43A7A469B222CBBD196E/101"/><Relationship Id="rId4766" Type="http://schemas.openxmlformats.org/officeDocument/2006/relationships/hyperlink" TargetMode="External" Target="https://spark-interfax.ru/system/home/card#/company/9232BD1280BE487CBA686474008077D6/101"/><Relationship Id="rId4767" Type="http://schemas.openxmlformats.org/officeDocument/2006/relationships/hyperlink" TargetMode="External" Target="https://spark-interfax.ru/system/home/card#/company/B2AE75B793C343EABCD544F3744E647F/101"/><Relationship Id="rId4768" Type="http://schemas.openxmlformats.org/officeDocument/2006/relationships/hyperlink" TargetMode="External" Target="https://spark-interfax.ru/system/home/card#/company/0FF057AD487144A69BFC73D2669BF47C/101"/><Relationship Id="rId4769" Type="http://schemas.openxmlformats.org/officeDocument/2006/relationships/hyperlink" TargetMode="External" Target="https://spark-interfax.ru/system/home/card#/company/168FF353998943D29EC5033E972021F0/101"/><Relationship Id="rId4770" Type="http://schemas.openxmlformats.org/officeDocument/2006/relationships/hyperlink" TargetMode="External" Target="https://spark-interfax.ru/system/home/card#/company/6821CBDF040E4B90A09553C4997DC738/101"/><Relationship Id="rId4771" Type="http://schemas.openxmlformats.org/officeDocument/2006/relationships/hyperlink" TargetMode="External" Target="https://spark-interfax.ru/system/home/card#/company/934A734E12F047668FEB6B9C9979FF35/101"/><Relationship Id="rId4772" Type="http://schemas.openxmlformats.org/officeDocument/2006/relationships/hyperlink" TargetMode="External" Target="https://spark-interfax.ru/system/home/card#/company/62FE9C734AA54D0DE0531B9AA8C00967/101"/><Relationship Id="rId4773" Type="http://schemas.openxmlformats.org/officeDocument/2006/relationships/hyperlink" TargetMode="External" Target="https://spark-interfax.ru/system/home/card#/company/3DA07408E22347EA95DB09C10B7E7E64/101"/><Relationship Id="rId4774" Type="http://schemas.openxmlformats.org/officeDocument/2006/relationships/hyperlink" TargetMode="External" Target="https://spark-interfax.ru/system/home/card#/company/EA9A4F01F4664F108314AAEC97FFD630/101"/><Relationship Id="rId4775" Type="http://schemas.openxmlformats.org/officeDocument/2006/relationships/hyperlink" TargetMode="External" Target="https://spark-interfax.ru/system/home/card#/company/237A5751D0E7487EB1750756C86F26B6/101"/><Relationship Id="rId4776" Type="http://schemas.openxmlformats.org/officeDocument/2006/relationships/hyperlink" TargetMode="External" Target="https://spark-interfax.ru/system/home/card#/company/AD59740FA6394CBF9C85F40C514BA945/101"/><Relationship Id="rId4777" Type="http://schemas.openxmlformats.org/officeDocument/2006/relationships/hyperlink" TargetMode="External" Target="https://spark-interfax.ru/system/home/card#/company/BF2EB150716A4A85863AF0EC2E06CEDA/101"/><Relationship Id="rId4778" Type="http://schemas.openxmlformats.org/officeDocument/2006/relationships/hyperlink" TargetMode="External" Target="https://spark-interfax.ru/system/home/card#/company/8B5887A61DDA4EA78C8CE24FC93C2C9B/101"/><Relationship Id="rId4779" Type="http://schemas.openxmlformats.org/officeDocument/2006/relationships/hyperlink" TargetMode="External" Target="https://spark-interfax.ru/system/home/card#/company/8D11E168327F414C86F219870523F390/101"/><Relationship Id="rId4780" Type="http://schemas.openxmlformats.org/officeDocument/2006/relationships/hyperlink" TargetMode="External" Target="https://spark-interfax.ru/system/home/card#/company/75770776D1A14962AC3B726E293498E1/101"/><Relationship Id="rId4781" Type="http://schemas.openxmlformats.org/officeDocument/2006/relationships/hyperlink" TargetMode="External" Target="https://spark-interfax.ru/system/home/card#/company/3A7B7377AADA4FB287088E9A70793D6A/101"/><Relationship Id="rId4782" Type="http://schemas.openxmlformats.org/officeDocument/2006/relationships/hyperlink" TargetMode="External" Target="https://spark-interfax.ru/system/home/card#/company/25A21F5D5F154D37BDDF9CBFC8B3A1EE/101"/><Relationship Id="rId4783" Type="http://schemas.openxmlformats.org/officeDocument/2006/relationships/hyperlink" TargetMode="External" Target="https://spark-interfax.ru/system/home/card#/company/2B8D108E9696490B91BB865D078EB23E/101"/><Relationship Id="rId4784" Type="http://schemas.openxmlformats.org/officeDocument/2006/relationships/hyperlink" TargetMode="External" Target="https://spark-interfax.ru/system/home/card#/company/0BC7F1E48F844F0D82B7C78CB9C4F601/101"/><Relationship Id="rId4785" Type="http://schemas.openxmlformats.org/officeDocument/2006/relationships/hyperlink" TargetMode="External" Target="https://spark-interfax.ru/system/home/card#/company/DEB9917960354334A18C9A402565F5E4/101"/><Relationship Id="rId4786" Type="http://schemas.openxmlformats.org/officeDocument/2006/relationships/hyperlink" TargetMode="External" Target="https://spark-interfax.ru/system/home/card#/company/4E62A8F9B559436FA146B0E93DB05F22/101"/><Relationship Id="rId4787" Type="http://schemas.openxmlformats.org/officeDocument/2006/relationships/hyperlink" TargetMode="External" Target="https://spark-interfax.ru/system/home/card#/company/736B6CAEB7DE8CABE0531B9AA8C06FBA/101"/><Relationship Id="rId4788" Type="http://schemas.openxmlformats.org/officeDocument/2006/relationships/hyperlink" TargetMode="External" Target="https://spark-interfax.ru/system/home/card#/company/983AEAEFE7D54CFDB4CDC33F7BD6FBBC/101"/><Relationship Id="rId4789" Type="http://schemas.openxmlformats.org/officeDocument/2006/relationships/hyperlink" TargetMode="External" Target="https://spark-interfax.ru/system/home/card#/company/D27763A5150244B287A5DCB54DF4713C/101"/><Relationship Id="rId4790" Type="http://schemas.openxmlformats.org/officeDocument/2006/relationships/hyperlink" TargetMode="External" Target="https://spark-interfax.ru/system/home/card#/company/BB790BACFF514278E053219AA8C04670/101"/><Relationship Id="rId4791" Type="http://schemas.openxmlformats.org/officeDocument/2006/relationships/hyperlink" TargetMode="External" Target="https://spark-interfax.ru/system/home/card#/company/0EC92693E6F840FF828224CA55E69692/101"/><Relationship Id="rId4792" Type="http://schemas.openxmlformats.org/officeDocument/2006/relationships/hyperlink" TargetMode="External" Target="https://spark-interfax.ru/system/home/card#/company/D8DC47B8773F403BA58DAD3C3432CB1F/101"/><Relationship Id="rId4793" Type="http://schemas.openxmlformats.org/officeDocument/2006/relationships/hyperlink" TargetMode="External" Target="https://spark-interfax.ru/system/home/card#/company/1C399358189F4116AC0BC0818BB328CE/101"/><Relationship Id="rId4794" Type="http://schemas.openxmlformats.org/officeDocument/2006/relationships/hyperlink" TargetMode="External" Target="https://spark-interfax.ru/system/home/card#/company/CD9D2AC7A1404FD3AEB1EEFE9F06BBB8/101"/><Relationship Id="rId4795" Type="http://schemas.openxmlformats.org/officeDocument/2006/relationships/hyperlink" TargetMode="External" Target="https://spark-interfax.ru/system/home/card#/company/ADE40F9E8F0A4C8B9F05CD61594D0874/101"/><Relationship Id="rId4796" Type="http://schemas.openxmlformats.org/officeDocument/2006/relationships/hyperlink" TargetMode="External" Target="https://spark-interfax.ru/system/home/card#/company/B526280CBA914C56AB8F12A194783B9E/101"/><Relationship Id="rId4797" Type="http://schemas.openxmlformats.org/officeDocument/2006/relationships/hyperlink" TargetMode="External" Target="https://spark-interfax.ru/system/home/card#/company/741E87CB45254441AE40925E9126268D/101"/><Relationship Id="rId4798" Type="http://schemas.openxmlformats.org/officeDocument/2006/relationships/hyperlink" TargetMode="External" Target="https://spark-interfax.ru/system/home/card#/company/BF60CCD761574BEFBD50C072AC11CB4A/101"/><Relationship Id="rId4799" Type="http://schemas.openxmlformats.org/officeDocument/2006/relationships/hyperlink" TargetMode="External" Target="https://spark-interfax.ru/system/home/card#/company/9BBA4819191A44F0E053179AA8C0E766/101"/><Relationship Id="rId4800" Type="http://schemas.openxmlformats.org/officeDocument/2006/relationships/hyperlink" TargetMode="External" Target="https://spark-interfax.ru/system/home/card#/company/686A976517A84622871174948CBDBC0E/101"/><Relationship Id="rId4801" Type="http://schemas.openxmlformats.org/officeDocument/2006/relationships/hyperlink" TargetMode="External" Target="https://spark-interfax.ru/system/home/card#/company/F8EB39B8C48948CD862FFC8DD9C28DB2/101"/><Relationship Id="rId4802" Type="http://schemas.openxmlformats.org/officeDocument/2006/relationships/hyperlink" TargetMode="External" Target="https://spark-interfax.ru/system/home/card#/company/B1A63049B55F61EAE053219AA8C0F8A4/101"/><Relationship Id="rId4803" Type="http://schemas.openxmlformats.org/officeDocument/2006/relationships/hyperlink" TargetMode="External" Target="https://spark-interfax.ru/system/home/card#/company/B4638280A8A04122B69221F543E22040/101"/><Relationship Id="rId4804" Type="http://schemas.openxmlformats.org/officeDocument/2006/relationships/hyperlink" TargetMode="External" Target="https://spark-interfax.ru/system/home/card#/company/417C43565B9E41EB9CA5B73DBD897761/101"/><Relationship Id="rId4805" Type="http://schemas.openxmlformats.org/officeDocument/2006/relationships/hyperlink" TargetMode="External" Target="https://spark-interfax.ru/system/home/card#/company/D1EC067B07CD4C9C9FC89F8F7C54249C/101"/><Relationship Id="rId4806" Type="http://schemas.openxmlformats.org/officeDocument/2006/relationships/hyperlink" TargetMode="External" Target="https://spark-interfax.ru/system/home/card#/company/63582CBA4AB64AAEACAECA52F7BC602C/101"/><Relationship Id="rId4807" Type="http://schemas.openxmlformats.org/officeDocument/2006/relationships/hyperlink" TargetMode="External" Target="https://spark-interfax.ru/system/home/card#/company/4D4AAA60BBA34A8A8C01A953789E73F0/101"/><Relationship Id="rId4808" Type="http://schemas.openxmlformats.org/officeDocument/2006/relationships/hyperlink" TargetMode="External" Target="https://spark-interfax.ru/system/home/card#/company/3614E047259D49DE81422BEEF6F847CF/101"/><Relationship Id="rId4809" Type="http://schemas.openxmlformats.org/officeDocument/2006/relationships/hyperlink" TargetMode="External" Target="https://spark-interfax.ru/system/home/card#/company/2B9F97C0F3094B14926ED155BBB7729C/101"/><Relationship Id="rId4810" Type="http://schemas.openxmlformats.org/officeDocument/2006/relationships/hyperlink" TargetMode="External" Target="https://spark-interfax.ru/system/home/card#/company/297A73A758094ADC80657F4E7371C69F/101"/><Relationship Id="rId4811" Type="http://schemas.openxmlformats.org/officeDocument/2006/relationships/hyperlink" TargetMode="External" Target="https://spark-interfax.ru/system/home/card#/company/BB5888DB832F4E308FC53759F9FA890F/101"/><Relationship Id="rId4812" Type="http://schemas.openxmlformats.org/officeDocument/2006/relationships/hyperlink" TargetMode="External" Target="https://spark-interfax.ru/system/home/card#/company/62EF1935718349C7A723725DCD9AC2F9/101"/><Relationship Id="rId4813" Type="http://schemas.openxmlformats.org/officeDocument/2006/relationships/hyperlink" TargetMode="External" Target="https://spark-interfax.ru/system/home/card#/company/A2B194038E82437EAD1CFD6196722D03/101"/><Relationship Id="rId4814" Type="http://schemas.openxmlformats.org/officeDocument/2006/relationships/hyperlink" TargetMode="External" Target="https://spark-interfax.ru/system/home/card#/company/B1A6303F024861E8E053219AA8C07976/101"/><Relationship Id="rId4815" Type="http://schemas.openxmlformats.org/officeDocument/2006/relationships/hyperlink" TargetMode="External" Target="https://spark-interfax.ru/system/home/card#/company/934DF2D2923940168C84740C5EE3DC89/101"/><Relationship Id="rId4816" Type="http://schemas.openxmlformats.org/officeDocument/2006/relationships/hyperlink" TargetMode="External" Target="https://spark-interfax.ru/system/home/card#/company/D47BA5988D3745968B25E0412567DBA1/101"/><Relationship Id="rId4817" Type="http://schemas.openxmlformats.org/officeDocument/2006/relationships/hyperlink" TargetMode="External" Target="https://spark-interfax.ru/system/home/card#/company/FF2B867D77184F19ACC4686958054BF3/101"/><Relationship Id="rId4818" Type="http://schemas.openxmlformats.org/officeDocument/2006/relationships/hyperlink" TargetMode="External" Target="https://spark-interfax.ru/system/home/card#/company/7EDAF553C35844498D5CA8724ACD23EF/101"/><Relationship Id="rId4819" Type="http://schemas.openxmlformats.org/officeDocument/2006/relationships/hyperlink" TargetMode="External" Target="https://spark-interfax.ru/system/home/card#/company/A1A352E957474DF0BCBC8B29ED86EE57/101"/><Relationship Id="rId4820" Type="http://schemas.openxmlformats.org/officeDocument/2006/relationships/hyperlink" TargetMode="External" Target="https://spark-interfax.ru/system/home/card#/company/F7E62A0C173345E48B77DBD0A5844A94/101"/><Relationship Id="rId4821" Type="http://schemas.openxmlformats.org/officeDocument/2006/relationships/hyperlink" TargetMode="External" Target="https://spark-interfax.ru/system/home/card#/company/F4195D0FDE03496F8E0A3E71624C5852/101"/><Relationship Id="rId4822" Type="http://schemas.openxmlformats.org/officeDocument/2006/relationships/hyperlink" TargetMode="External" Target="https://spark-interfax.ru/system/home/card#/company/04F7017E0BCB44C88575EBE3AE4272B9/101"/><Relationship Id="rId4823" Type="http://schemas.openxmlformats.org/officeDocument/2006/relationships/hyperlink" TargetMode="External" Target="https://spark-interfax.ru/system/home/card#/company/518B456EEF6C47A19E09D239AABC1A2D/101"/><Relationship Id="rId4824" Type="http://schemas.openxmlformats.org/officeDocument/2006/relationships/hyperlink" TargetMode="External" Target="https://spark-interfax.ru/system/home/card#/company/6A318C3BF4144BCA9DC193144074FA18/101"/><Relationship Id="rId4825" Type="http://schemas.openxmlformats.org/officeDocument/2006/relationships/hyperlink" TargetMode="External" Target="https://spark-interfax.ru/system/home/card#/company/1885E34E27EF459F9161E829DE6D34CC/101"/><Relationship Id="rId4826" Type="http://schemas.openxmlformats.org/officeDocument/2006/relationships/hyperlink" TargetMode="External" Target="https://spark-interfax.ru/system/home/card#/company/7CD3807C45B14F26A5BFCFD03BF53C68/101"/><Relationship Id="rId4827" Type="http://schemas.openxmlformats.org/officeDocument/2006/relationships/hyperlink" TargetMode="External" Target="https://spark-interfax.ru/system/home/card#/company/BA5C38B2461049E887963B7098C2C811/101"/><Relationship Id="rId4828" Type="http://schemas.openxmlformats.org/officeDocument/2006/relationships/hyperlink" TargetMode="External" Target="https://spark-interfax.ru/system/home/card#/company/428A3B59EC5641C5AB15D34F7135A309/101"/><Relationship Id="rId4829" Type="http://schemas.openxmlformats.org/officeDocument/2006/relationships/hyperlink" TargetMode="External" Target="https://spark-interfax.ru/system/home/card#/company/A42FFCC092D54C4C9C548516A660DCB1/101"/><Relationship Id="rId4830" Type="http://schemas.openxmlformats.org/officeDocument/2006/relationships/hyperlink" TargetMode="External" Target="https://spark-interfax.ru/system/home/card#/company/721268C180984284B816A2BA27DABB5D/101"/><Relationship Id="rId4831" Type="http://schemas.openxmlformats.org/officeDocument/2006/relationships/hyperlink" TargetMode="External" Target="https://spark-interfax.ru/system/home/card#/company/74A0E6E15B3B4D0DBCA19837C77123A2/101"/><Relationship Id="rId4832" Type="http://schemas.openxmlformats.org/officeDocument/2006/relationships/hyperlink" TargetMode="External" Target="https://spark-interfax.ru/system/home/card#/company/D608628686D84688B50646E1BB4796AA/101"/><Relationship Id="rId4833" Type="http://schemas.openxmlformats.org/officeDocument/2006/relationships/hyperlink" TargetMode="External" Target="https://spark-interfax.ru/system/home/card#/company/5A1C91842DE0318CE0531C9AA8C0592C/101"/><Relationship Id="rId4834" Type="http://schemas.openxmlformats.org/officeDocument/2006/relationships/hyperlink" TargetMode="External" Target="https://spark-interfax.ru/system/home/card#/company/8931F53599DE42EB826FF81C72070197/101"/><Relationship Id="rId4835" Type="http://schemas.openxmlformats.org/officeDocument/2006/relationships/hyperlink" TargetMode="External" Target="https://spark-interfax.ru/system/home/card#/company/653C09BA92414AD9E0531B9AA8C0421B/101"/><Relationship Id="rId4836" Type="http://schemas.openxmlformats.org/officeDocument/2006/relationships/hyperlink" TargetMode="External" Target="https://spark-interfax.ru/system/home/card#/company/39027ED1C75541DC9ACFA9E93E06A69C/101"/><Relationship Id="rId4837" Type="http://schemas.openxmlformats.org/officeDocument/2006/relationships/hyperlink" TargetMode="External" Target="https://spark-interfax.ru/system/home/card#/company/ACD40FD89B0E471FA4200B133D072E8C/101"/><Relationship Id="rId4838" Type="http://schemas.openxmlformats.org/officeDocument/2006/relationships/hyperlink" TargetMode="External" Target="https://spark-interfax.ru/system/home/card#/company/3EFD84CFE82249CF967E0B85AE8AADC5/101"/><Relationship Id="rId4839" Type="http://schemas.openxmlformats.org/officeDocument/2006/relationships/hyperlink" TargetMode="External" Target="https://spark-interfax.ru/system/home/card#/company/86192C142DEA449F86B363F766F15B76/101"/><Relationship Id="rId4840" Type="http://schemas.openxmlformats.org/officeDocument/2006/relationships/hyperlink" TargetMode="External" Target="https://spark-interfax.ru/system/home/card#/company/847655318FC544C3A6DB24DCBEE3275D/101"/><Relationship Id="rId4841" Type="http://schemas.openxmlformats.org/officeDocument/2006/relationships/hyperlink" TargetMode="External" Target="https://spark-interfax.ru/system/home/card#/company/B9C97D4309E34E189056BB24CBBCB957/101"/><Relationship Id="rId4842" Type="http://schemas.openxmlformats.org/officeDocument/2006/relationships/hyperlink" TargetMode="External" Target="https://spark-interfax.ru/system/home/card#/company/D69A665010AD4D38B3C30FC1E5209223/101"/><Relationship Id="rId4843" Type="http://schemas.openxmlformats.org/officeDocument/2006/relationships/hyperlink" TargetMode="External" Target="https://spark-interfax.ru/system/home/card#/company/D7EDE0CE3DA548258904439F2B82BF1E/101"/><Relationship Id="rId4844" Type="http://schemas.openxmlformats.org/officeDocument/2006/relationships/hyperlink" TargetMode="External" Target="https://spark-interfax.ru/system/home/card#/company/BC09DCB0CCA1445F8E3FB7E87959D21B/101"/><Relationship Id="rId4845" Type="http://schemas.openxmlformats.org/officeDocument/2006/relationships/hyperlink" TargetMode="External" Target="https://spark-interfax.ru/system/home/card#/company/6CCA7814C13642D68C604CFD692BE479/101"/><Relationship Id="rId4846" Type="http://schemas.openxmlformats.org/officeDocument/2006/relationships/hyperlink" TargetMode="External" Target="https://spark-interfax.ru/system/home/card#/company/985155147DFF44F4AC525C3AC3467103/101"/><Relationship Id="rId4847" Type="http://schemas.openxmlformats.org/officeDocument/2006/relationships/hyperlink" TargetMode="External" Target="https://spark-interfax.ru/system/home/card#/company/D3BDDFE4DA204D598A7538DE3BA8336D/101"/><Relationship Id="rId4848" Type="http://schemas.openxmlformats.org/officeDocument/2006/relationships/hyperlink" TargetMode="External" Target="https://spark-interfax.ru/system/home/card#/company/43AE1799025A48A2885631EA028287D7/101"/><Relationship Id="rId4849" Type="http://schemas.openxmlformats.org/officeDocument/2006/relationships/hyperlink" TargetMode="External" Target="https://spark-interfax.ru/system/home/card#/company/D579794F658D423C92D498FE824D2FA2/101"/><Relationship Id="rId4850" Type="http://schemas.openxmlformats.org/officeDocument/2006/relationships/hyperlink" TargetMode="External" Target="https://spark-interfax.ru/system/home/card#/company/8975A9F2BF9746709344B49EAB3650D1/101"/><Relationship Id="rId4851" Type="http://schemas.openxmlformats.org/officeDocument/2006/relationships/hyperlink" TargetMode="External" Target="https://spark-interfax.ru/system/home/card#/company/5EC0C8FBDA440E31E0531B9AA8C08173/101"/><Relationship Id="rId4852" Type="http://schemas.openxmlformats.org/officeDocument/2006/relationships/hyperlink" TargetMode="External" Target="https://spark-interfax.ru/system/home/card#/company/30F9977440DE44398371833A3058401D/101"/><Relationship Id="rId4853" Type="http://schemas.openxmlformats.org/officeDocument/2006/relationships/hyperlink" TargetMode="External" Target="https://spark-interfax.ru/system/home/card#/company/3B3EA11833184E7F901E3F81750A5298/101"/><Relationship Id="rId4854" Type="http://schemas.openxmlformats.org/officeDocument/2006/relationships/hyperlink" TargetMode="External" Target="https://spark-interfax.ru/system/home/card#/company/B6B75C5F39544F38A77E49DF13ACAB5F/101"/><Relationship Id="rId4855" Type="http://schemas.openxmlformats.org/officeDocument/2006/relationships/hyperlink" TargetMode="External" Target="https://spark-interfax.ru/system/home/card#/company/10CDBFF2083D4CC89C63C29C5F93EABB/101"/><Relationship Id="rId4856" Type="http://schemas.openxmlformats.org/officeDocument/2006/relationships/hyperlink" TargetMode="External" Target="https://spark-interfax.ru/system/home/card#/company/4EBE5E9090CD4187993BF19D43BB726E/101"/><Relationship Id="rId4857" Type="http://schemas.openxmlformats.org/officeDocument/2006/relationships/hyperlink" TargetMode="External" Target="https://spark-interfax.ru/system/home/card#/company/E723B074E0C84DE891D84680322C0134/101"/><Relationship Id="rId4858" Type="http://schemas.openxmlformats.org/officeDocument/2006/relationships/hyperlink" TargetMode="External" Target="https://spark-interfax.ru/system/home/card#/company/E0197FD9EE4A4831B5317D162CD48EED/101"/><Relationship Id="rId4859" Type="http://schemas.openxmlformats.org/officeDocument/2006/relationships/hyperlink" TargetMode="External" Target="https://spark-interfax.ru/system/home/card#/company/24E601EADAEC4C96A09BE21D503A3EB9/101"/><Relationship Id="rId4860" Type="http://schemas.openxmlformats.org/officeDocument/2006/relationships/hyperlink" TargetMode="External" Target="https://spark-interfax.ru/system/home/card#/company/874EA465ADDE47B6AD9C19242741FD0D/101"/><Relationship Id="rId4861" Type="http://schemas.openxmlformats.org/officeDocument/2006/relationships/hyperlink" TargetMode="External" Target="https://spark-interfax.ru/system/home/card#/company/D56518C3FED24CABA8192C9B5A28A3B9/101"/><Relationship Id="rId4862" Type="http://schemas.openxmlformats.org/officeDocument/2006/relationships/hyperlink" TargetMode="External" Target="https://spark-interfax.ru/system/home/card#/company/8380E6ADC7374CA2A39B5E33983E32D5/101"/><Relationship Id="rId4863" Type="http://schemas.openxmlformats.org/officeDocument/2006/relationships/hyperlink" TargetMode="External" Target="https://spark-interfax.ru/system/home/card#/company/CD9F334C3A996BC9E053219AA8C0028A/101"/><Relationship Id="rId4864" Type="http://schemas.openxmlformats.org/officeDocument/2006/relationships/hyperlink" TargetMode="External" Target="https://spark-interfax.ru/system/home/card#/company/7B040D900F2542A787E41F771660ED26/101"/><Relationship Id="rId4865" Type="http://schemas.openxmlformats.org/officeDocument/2006/relationships/hyperlink" TargetMode="External" Target="https://spark-interfax.ru/system/home/card#/company/76763FE8D9C54C81A513336C182BB071/101"/><Relationship Id="rId4866" Type="http://schemas.openxmlformats.org/officeDocument/2006/relationships/hyperlink" TargetMode="External" Target="https://spark-interfax.ru/system/home/card#/company/E375E290CE504CA290ABDD3ACBD3435B/101"/><Relationship Id="rId4867" Type="http://schemas.openxmlformats.org/officeDocument/2006/relationships/hyperlink" TargetMode="External" Target="https://spark-interfax.ru/system/home/card#/company/C83A9AD34D2944AEAD4E11058E965588/101"/><Relationship Id="rId4868" Type="http://schemas.openxmlformats.org/officeDocument/2006/relationships/hyperlink" TargetMode="External" Target="https://spark-interfax.ru/system/home/card#/company/BE79FBF560AD4502AF9F8092FF683444/101"/><Relationship Id="rId4869" Type="http://schemas.openxmlformats.org/officeDocument/2006/relationships/hyperlink" TargetMode="External" Target="https://spark-interfax.ru/system/home/card#/company/96BCB964499144FF88E146C15F300B54/101"/><Relationship Id="rId4870" Type="http://schemas.openxmlformats.org/officeDocument/2006/relationships/hyperlink" TargetMode="External" Target="https://spark-interfax.ru/system/home/card#/company/7D45E765EC714D9A8CAE8D6635CA4813/101"/><Relationship Id="rId4871" Type="http://schemas.openxmlformats.org/officeDocument/2006/relationships/hyperlink" TargetMode="External" Target="https://spark-interfax.ru/system/home/card#/company/5E3C858E39BE4746A1E5EE866C6BF3EE/101"/><Relationship Id="rId4872" Type="http://schemas.openxmlformats.org/officeDocument/2006/relationships/hyperlink" TargetMode="External" Target="https://spark-interfax.ru/system/home/card#/company/F82D339BD87D4BFE81BF39F8A12394AB/101"/><Relationship Id="rId4873" Type="http://schemas.openxmlformats.org/officeDocument/2006/relationships/hyperlink" TargetMode="External" Target="https://spark-interfax.ru/system/home/card#/company/F24ED8C714DD476C93B55D78D2270F2C/101"/><Relationship Id="rId4874" Type="http://schemas.openxmlformats.org/officeDocument/2006/relationships/hyperlink" TargetMode="External" Target="https://spark-interfax.ru/system/home/card#/company/A737333E3504420391500E4D135479AD/101"/><Relationship Id="rId4875" Type="http://schemas.openxmlformats.org/officeDocument/2006/relationships/hyperlink" TargetMode="External" Target="https://spark-interfax.ru/system/home/card#/company/7E1D302B192843D6A3881D2E7A5C5341/101"/><Relationship Id="rId4876" Type="http://schemas.openxmlformats.org/officeDocument/2006/relationships/hyperlink" TargetMode="External" Target="https://spark-interfax.ru/system/home/card#/company/7BD9BA4EAA854755A1031A63818A0C81/101"/><Relationship Id="rId4877" Type="http://schemas.openxmlformats.org/officeDocument/2006/relationships/hyperlink" TargetMode="External" Target="https://spark-interfax.ru/system/home/card#/company/7978277EB3D055E7E0531F9AA8C0B8C9/101"/><Relationship Id="rId4878" Type="http://schemas.openxmlformats.org/officeDocument/2006/relationships/hyperlink" TargetMode="External" Target="https://spark-interfax.ru/system/home/card#/company/A1A6F8EFE5A142DC887E0082E5EE3130/101"/><Relationship Id="rId4879" Type="http://schemas.openxmlformats.org/officeDocument/2006/relationships/hyperlink" TargetMode="External" Target="https://spark-interfax.ru/system/home/card#/company/6DA49BB26B3A47C3AB35894D27050775/101"/><Relationship Id="rId4880" Type="http://schemas.openxmlformats.org/officeDocument/2006/relationships/hyperlink" TargetMode="External" Target="https://spark-interfax.ru/system/home/card#/company/7504234D71ED4D2DA91EFB2B405AB464/101"/><Relationship Id="rId4881" Type="http://schemas.openxmlformats.org/officeDocument/2006/relationships/hyperlink" TargetMode="External" Target="https://spark-interfax.ru/system/home/card#/company/DAB2DA38AB96490C9B82F94DADC25F15/101"/><Relationship Id="rId4882" Type="http://schemas.openxmlformats.org/officeDocument/2006/relationships/hyperlink" TargetMode="External" Target="https://spark-interfax.ru/system/home/card#/company/D02836D56457453CAA6A134185AAAFD7/101"/><Relationship Id="rId4883" Type="http://schemas.openxmlformats.org/officeDocument/2006/relationships/hyperlink" TargetMode="External" Target="https://spark-interfax.ru/system/home/card#/company/9BD209D2305549AF922E4BAABFF5FFB1/101"/><Relationship Id="rId4884" Type="http://schemas.openxmlformats.org/officeDocument/2006/relationships/hyperlink" TargetMode="External" Target="https://spark-interfax.ru/system/home/card#/company/CBE9A12C4DCE45BF884298DA4D37A477/101"/><Relationship Id="rId4885" Type="http://schemas.openxmlformats.org/officeDocument/2006/relationships/hyperlink" TargetMode="External" Target="https://spark-interfax.ru/system/home/card#/company/8FFA10E27B084F23BD43426BCE99156A/101"/><Relationship Id="rId4886" Type="http://schemas.openxmlformats.org/officeDocument/2006/relationships/hyperlink" TargetMode="External" Target="https://spark-interfax.ru/system/home/card#/company/18F88778B25D4037A0D93AD4C2298B99/101"/><Relationship Id="rId4887" Type="http://schemas.openxmlformats.org/officeDocument/2006/relationships/hyperlink" TargetMode="External" Target="https://spark-interfax.ru/system/home/card#/company/0E28BF072993423A82601902EFEAE6EC/101"/><Relationship Id="rId4888" Type="http://schemas.openxmlformats.org/officeDocument/2006/relationships/hyperlink" TargetMode="External" Target="https://spark-interfax.ru/system/home/card#/company/84CA2653FC924D8F9555D525949B33D6/101"/><Relationship Id="rId4889" Type="http://schemas.openxmlformats.org/officeDocument/2006/relationships/hyperlink" TargetMode="External" Target="https://spark-interfax.ru/system/home/card#/company/CE6714CAD9F348B4AC2D10AF57127A51/101"/><Relationship Id="rId4890" Type="http://schemas.openxmlformats.org/officeDocument/2006/relationships/hyperlink" TargetMode="External" Target="https://spark-interfax.ru/system/home/card#/company/2748280C841D4D79B7FDD611E641643C/101"/><Relationship Id="rId4891" Type="http://schemas.openxmlformats.org/officeDocument/2006/relationships/hyperlink" TargetMode="External" Target="https://spark-interfax.ru/system/home/card#/company/85329DD629065F03E0531B9AA8C0BC5F/101"/><Relationship Id="rId4892" Type="http://schemas.openxmlformats.org/officeDocument/2006/relationships/hyperlink" TargetMode="External" Target="https://spark-interfax.ru/system/home/card#/company/6FF4BD18E59442B1AC00E2145A5FA93B/101"/><Relationship Id="rId4893" Type="http://schemas.openxmlformats.org/officeDocument/2006/relationships/hyperlink" TargetMode="External" Target="https://spark-interfax.ru/system/home/card#/company/8167B02274496921E0531B9AA8C06840/101"/><Relationship Id="rId4894" Type="http://schemas.openxmlformats.org/officeDocument/2006/relationships/hyperlink" TargetMode="External" Target="https://spark-interfax.ru/system/home/card#/company/B441192EF2CD4C6BB007F84165C4D59D/101"/><Relationship Id="rId4895" Type="http://schemas.openxmlformats.org/officeDocument/2006/relationships/hyperlink" TargetMode="External" Target="https://spark-interfax.ru/system/home/card#/company/5241347B4FB04C6D898899D1998D3F9F/101"/><Relationship Id="rId4896" Type="http://schemas.openxmlformats.org/officeDocument/2006/relationships/hyperlink" TargetMode="External" Target="https://spark-interfax.ru/system/home/card#/company/20C5EB29D5694A13AA6D70DABAC882A6/101"/><Relationship Id="rId4897" Type="http://schemas.openxmlformats.org/officeDocument/2006/relationships/hyperlink" TargetMode="External" Target="https://spark-interfax.ru/system/home/card#/company/05D18304AB6C4B42AB5BED4F7AC999FF/101"/><Relationship Id="rId4898" Type="http://schemas.openxmlformats.org/officeDocument/2006/relationships/hyperlink" TargetMode="External" Target="https://spark-interfax.ru/system/home/card#/company/77CF48062CDB4AC0924A4C0E50F46D15/101"/><Relationship Id="rId4899" Type="http://schemas.openxmlformats.org/officeDocument/2006/relationships/hyperlink" TargetMode="External" Target="https://spark-interfax.ru/system/home/card#/company/0402D99EBFAE4966BD4DEB5454C3450E/101"/><Relationship Id="rId4900" Type="http://schemas.openxmlformats.org/officeDocument/2006/relationships/hyperlink" TargetMode="External" Target="https://spark-interfax.ru/system/home/card#/company/0EA6317F58D14AD8879668E7A3866BF7/101"/><Relationship Id="rId4901" Type="http://schemas.openxmlformats.org/officeDocument/2006/relationships/hyperlink" TargetMode="External" Target="https://spark-interfax.ru/system/home/card#/company/A7048AD6FE344061A483B376AA8FD977/101"/><Relationship Id="rId4902" Type="http://schemas.openxmlformats.org/officeDocument/2006/relationships/hyperlink" TargetMode="External" Target="https://spark-interfax.ru/system/home/card#/company/91A23D1251D14E8AB2FBE560521A073F/101"/><Relationship Id="rId4903" Type="http://schemas.openxmlformats.org/officeDocument/2006/relationships/hyperlink" TargetMode="External" Target="https://spark-interfax.ru/system/home/card#/company/5A263F5987CA435D89E41CCDFC8C3D29/101"/><Relationship Id="rId4904" Type="http://schemas.openxmlformats.org/officeDocument/2006/relationships/hyperlink" TargetMode="External" Target="https://spark-interfax.ru/system/home/card#/company/FF846D85E77040899C713AE277BEDF1B/101"/><Relationship Id="rId4905" Type="http://schemas.openxmlformats.org/officeDocument/2006/relationships/hyperlink" TargetMode="External" Target="https://spark-interfax.ru/system/home/card#/company/94E59163EE5343209EBFC90DF222CA73/101"/><Relationship Id="rId4906" Type="http://schemas.openxmlformats.org/officeDocument/2006/relationships/hyperlink" TargetMode="External" Target="https://spark-interfax.ru/system/home/card#/company/F5F151ADFF814E98977BB22E621A738E/101"/><Relationship Id="rId4907" Type="http://schemas.openxmlformats.org/officeDocument/2006/relationships/hyperlink" TargetMode="External" Target="https://spark-interfax.ru/system/home/card#/company/2B46F4025BFC4E4C9BDFA99F62A2F30A/101"/><Relationship Id="rId4908" Type="http://schemas.openxmlformats.org/officeDocument/2006/relationships/hyperlink" TargetMode="External" Target="https://spark-interfax.ru/system/home/card#/company/230C31BC3E894D9C875A98C7FAAE4AC6/101"/><Relationship Id="rId4909" Type="http://schemas.openxmlformats.org/officeDocument/2006/relationships/hyperlink" TargetMode="External" Target="https://spark-interfax.ru/system/home/card#/company/FA14ADCBC8F347AAA14CBE48CEFB3163/101"/><Relationship Id="rId4910" Type="http://schemas.openxmlformats.org/officeDocument/2006/relationships/hyperlink" TargetMode="External" Target="https://spark-interfax.ru/system/home/card#/company/97687D2C95C64F76936F862AEFC19A50/101"/><Relationship Id="rId4911" Type="http://schemas.openxmlformats.org/officeDocument/2006/relationships/hyperlink" TargetMode="External" Target="https://spark-interfax.ru/system/home/card#/company/A21476AB4C564144A83B30036DBF7DC8/101"/><Relationship Id="rId4912" Type="http://schemas.openxmlformats.org/officeDocument/2006/relationships/hyperlink" TargetMode="External" Target="https://spark-interfax.ru/system/home/card#/company/2C5649D6C8294BD792E36347AC58DEA2/101"/><Relationship Id="rId4913" Type="http://schemas.openxmlformats.org/officeDocument/2006/relationships/hyperlink" TargetMode="External" Target="https://spark-interfax.ru/system/home/card#/company/86B28A328B0A4BF5B4B0CF2886808531/101"/><Relationship Id="rId4914" Type="http://schemas.openxmlformats.org/officeDocument/2006/relationships/hyperlink" TargetMode="External" Target="https://spark-interfax.ru/system/home/card#/company/BB108AB09863472EA23D47AB49534058/101"/><Relationship Id="rId4915" Type="http://schemas.openxmlformats.org/officeDocument/2006/relationships/hyperlink" TargetMode="External" Target="https://spark-interfax.ru/system/home/card#/company/628AED16277C16C4E0531B9AA8C011DD/101"/><Relationship Id="rId4916" Type="http://schemas.openxmlformats.org/officeDocument/2006/relationships/hyperlink" TargetMode="External" Target="https://spark-interfax.ru/system/home/card#/company/D4F43A14A8D84D4C86A27C12442A6B61/101"/><Relationship Id="rId4917" Type="http://schemas.openxmlformats.org/officeDocument/2006/relationships/hyperlink" TargetMode="External" Target="https://spark-interfax.ru/system/home/card#/company/DE757AF6AE8B470181621AD215FF8607/101"/><Relationship Id="rId4918" Type="http://schemas.openxmlformats.org/officeDocument/2006/relationships/hyperlink" TargetMode="External" Target="https://spark-interfax.ru/system/home/card#/company/8B5C8F095CBF465AAB5B22C8BB4D2F58/101"/><Relationship Id="rId4919" Type="http://schemas.openxmlformats.org/officeDocument/2006/relationships/hyperlink" TargetMode="External" Target="https://spark-interfax.ru/system/home/card#/company/D8173800B7574EE89EA9A1932E4EAB28/101"/><Relationship Id="rId4920" Type="http://schemas.openxmlformats.org/officeDocument/2006/relationships/hyperlink" TargetMode="External" Target="https://spark-interfax.ru/system/home/card#/company/B6EEDCD2E6744C77A4AA20FAFB364883/101"/><Relationship Id="rId4921" Type="http://schemas.openxmlformats.org/officeDocument/2006/relationships/hyperlink" TargetMode="External" Target="https://spark-interfax.ru/system/home/card#/company/73ECEE5DCDDF4196853F2C680A5FDA61/101"/><Relationship Id="rId4922" Type="http://schemas.openxmlformats.org/officeDocument/2006/relationships/hyperlink" TargetMode="External" Target="https://spark-interfax.ru/system/home/card#/company/255F3CA110FC4FDCB8E54F8CEF222534/101"/><Relationship Id="rId4923" Type="http://schemas.openxmlformats.org/officeDocument/2006/relationships/hyperlink" TargetMode="External" Target="https://spark-interfax.ru/system/home/card#/company/63E596B398D048ADA326F1ECCF702A4C/101"/><Relationship Id="rId4924" Type="http://schemas.openxmlformats.org/officeDocument/2006/relationships/hyperlink" TargetMode="External" Target="https://spark-interfax.ru/system/home/card#/company/D1BE1BEC1AAB49C4B75AD4C9E8E0C682/101"/><Relationship Id="rId4925" Type="http://schemas.openxmlformats.org/officeDocument/2006/relationships/hyperlink" TargetMode="External" Target="https://spark-interfax.ru/system/home/card#/company/66269016D21D421B85766123873B05A6/101"/><Relationship Id="rId4926" Type="http://schemas.openxmlformats.org/officeDocument/2006/relationships/hyperlink" TargetMode="External" Target="https://spark-interfax.ru/system/home/card#/company/6E2626B4257042189526CADF09FBF993/101"/><Relationship Id="rId4927" Type="http://schemas.openxmlformats.org/officeDocument/2006/relationships/hyperlink" TargetMode="External" Target="https://spark-interfax.ru/system/home/card#/company/CD95A03B3D604F35BD68498F0C7E720D/101"/><Relationship Id="rId4928" Type="http://schemas.openxmlformats.org/officeDocument/2006/relationships/hyperlink" TargetMode="External" Target="https://spark-interfax.ru/system/home/card#/company/467E95D4352B4618A2F13229F5E91646/101"/><Relationship Id="rId4929" Type="http://schemas.openxmlformats.org/officeDocument/2006/relationships/hyperlink" TargetMode="External" Target="https://spark-interfax.ru/system/home/card#/company/8344F713C7CF4CCAAB6C0B02A5356B17/101"/><Relationship Id="rId4930" Type="http://schemas.openxmlformats.org/officeDocument/2006/relationships/hyperlink" TargetMode="External" Target="https://spark-interfax.ru/system/home/card#/company/1544112EC9214761AF5BF83DC11D58FE/101"/><Relationship Id="rId4931" Type="http://schemas.openxmlformats.org/officeDocument/2006/relationships/hyperlink" TargetMode="External" Target="https://spark-interfax.ru/system/home/card#/company/E9BC068F3B7949E7A2BC58ACC575F786/101"/><Relationship Id="rId4932" Type="http://schemas.openxmlformats.org/officeDocument/2006/relationships/hyperlink" TargetMode="External" Target="https://spark-interfax.ru/system/home/card#/company/67A6F5BAF57C407382E41A81C95B5498/101"/><Relationship Id="rId4933" Type="http://schemas.openxmlformats.org/officeDocument/2006/relationships/hyperlink" TargetMode="External" Target="https://spark-interfax.ru/system/home/card#/company/51FCAED9798440DDA2C133F449BAD1F0/101"/><Relationship Id="rId4934" Type="http://schemas.openxmlformats.org/officeDocument/2006/relationships/hyperlink" TargetMode="External" Target="https://spark-interfax.ru/system/home/card#/company/ACB2F55099791740E053189AA8C01F58/101"/><Relationship Id="rId4935" Type="http://schemas.openxmlformats.org/officeDocument/2006/relationships/hyperlink" TargetMode="External" Target="https://spark-interfax.ru/system/home/card#/company/22F9BE12034A4C508EC8E007F1EF0469/101"/><Relationship Id="rId4936" Type="http://schemas.openxmlformats.org/officeDocument/2006/relationships/hyperlink" TargetMode="External" Target="https://spark-interfax.ru/system/home/card#/company/B9B043E178CC43A183147BC2D3FFC348/101"/><Relationship Id="rId4937" Type="http://schemas.openxmlformats.org/officeDocument/2006/relationships/hyperlink" TargetMode="External" Target="https://spark-interfax.ru/system/home/card#/company/1BFEC679AA8548E39867E7FFBCC9A612/101"/><Relationship Id="rId4938" Type="http://schemas.openxmlformats.org/officeDocument/2006/relationships/hyperlink" TargetMode="External" Target="https://spark-interfax.ru/system/home/card#/company/519A7E75D44D47B5A41F334C939BA471/101"/><Relationship Id="rId4939" Type="http://schemas.openxmlformats.org/officeDocument/2006/relationships/hyperlink" TargetMode="External" Target="https://spark-interfax.ru/system/home/card#/company/C8D93DC474C940BD88BF21B7E0C2B273/101"/><Relationship Id="rId4940" Type="http://schemas.openxmlformats.org/officeDocument/2006/relationships/hyperlink" TargetMode="External" Target="https://spark-interfax.ru/system/home/card#/company/2AA7773BBB9341078293D91A477337E7/101"/><Relationship Id="rId4941" Type="http://schemas.openxmlformats.org/officeDocument/2006/relationships/hyperlink" TargetMode="External" Target="https://spark-interfax.ru/system/home/card#/company/C002B37400664E0CA7371B82A4704072/101"/><Relationship Id="rId4942" Type="http://schemas.openxmlformats.org/officeDocument/2006/relationships/hyperlink" TargetMode="External" Target="https://spark-interfax.ru/system/home/card#/company/9732A75E36284192B6FE8BE3F3762242/101"/><Relationship Id="rId4943" Type="http://schemas.openxmlformats.org/officeDocument/2006/relationships/hyperlink" TargetMode="External" Target="https://spark-interfax.ru/system/home/card#/company/110840A9A113425B823D4F02C54C35CF/101"/><Relationship Id="rId4944" Type="http://schemas.openxmlformats.org/officeDocument/2006/relationships/hyperlink" TargetMode="External" Target="https://spark-interfax.ru/system/home/card#/company/A034AE16E4BF50B2E053189AA8C034B4/101"/><Relationship Id="rId4945" Type="http://schemas.openxmlformats.org/officeDocument/2006/relationships/hyperlink" TargetMode="External" Target="https://spark-interfax.ru/system/home/card#/company/B7C72FEA90BB5E36E053219AA8C0B2DB/101"/><Relationship Id="rId4946" Type="http://schemas.openxmlformats.org/officeDocument/2006/relationships/hyperlink" TargetMode="External" Target="https://spark-interfax.ru/system/home/card#/company/A034B1984A6651F9E053189AA8C045EF/101"/><Relationship Id="rId4947" Type="http://schemas.openxmlformats.org/officeDocument/2006/relationships/hyperlink" TargetMode="External" Target="https://spark-interfax.ru/system/home/card#/company/2A07E835BD7B4BF99226016A7EE21621/101"/><Relationship Id="rId4948" Type="http://schemas.openxmlformats.org/officeDocument/2006/relationships/hyperlink" TargetMode="External" Target="https://spark-interfax.ru/system/home/card#/company/19C29B558C554839A9EF84F06DDDBA9B/101"/><Relationship Id="rId4949" Type="http://schemas.openxmlformats.org/officeDocument/2006/relationships/hyperlink" TargetMode="External" Target="https://spark-interfax.ru/system/home/card#/company/DB9CB1C790B04FB2BC0705DF8A94F333/101"/><Relationship Id="rId4950" Type="http://schemas.openxmlformats.org/officeDocument/2006/relationships/hyperlink" TargetMode="External" Target="https://spark-interfax.ru/system/home/card#/company/7870697CA69247E1AD22856BFC7B4BF5/101"/><Relationship Id="rId4951" Type="http://schemas.openxmlformats.org/officeDocument/2006/relationships/hyperlink" TargetMode="External" Target="https://spark-interfax.ru/system/home/card#/company/2AFC7F334E8F4144A6684CAD74CAA6E9/101"/><Relationship Id="rId4952" Type="http://schemas.openxmlformats.org/officeDocument/2006/relationships/hyperlink" TargetMode="External" Target="https://spark-interfax.ru/system/home/card#/company/C1BC9AFCF38245B68BCC78B41151E562/101"/><Relationship Id="rId4953" Type="http://schemas.openxmlformats.org/officeDocument/2006/relationships/hyperlink" TargetMode="External" Target="https://spark-interfax.ru/system/home/card#/company/62D9D5B9926B41A485EA26FDAC6B6FE1/101"/><Relationship Id="rId4954" Type="http://schemas.openxmlformats.org/officeDocument/2006/relationships/hyperlink" TargetMode="External" Target="https://spark-interfax.ru/system/home/card#/company/055BF9039FD24AE5ABD29F27A47D88D3/101"/><Relationship Id="rId4955" Type="http://schemas.openxmlformats.org/officeDocument/2006/relationships/hyperlink" TargetMode="External" Target="https://spark-interfax.ru/system/home/card#/company/D00C5EBA16644ADFA9C45111E44E7C76/101"/><Relationship Id="rId4956" Type="http://schemas.openxmlformats.org/officeDocument/2006/relationships/hyperlink" TargetMode="External" Target="https://spark-interfax.ru/system/home/card#/company/7A302F410BFA4AD18F3D05DBE7CF1172/101"/><Relationship Id="rId4957" Type="http://schemas.openxmlformats.org/officeDocument/2006/relationships/hyperlink" TargetMode="External" Target="https://spark-interfax.ru/system/home/card#/company/B241973E0FB74DD0A7ECD043326BE522/101"/><Relationship Id="rId4958" Type="http://schemas.openxmlformats.org/officeDocument/2006/relationships/hyperlink" TargetMode="External" Target="https://spark-interfax.ru/system/home/card#/company/593846D7067947C2B9F63F423189677E/101"/><Relationship Id="rId4959" Type="http://schemas.openxmlformats.org/officeDocument/2006/relationships/hyperlink" TargetMode="External" Target="https://spark-interfax.ru/system/home/card#/company/66549133BD014D3893C70898267CCAFD/101"/><Relationship Id="rId4960" Type="http://schemas.openxmlformats.org/officeDocument/2006/relationships/hyperlink" TargetMode="External" Target="https://spark-interfax.ru/system/home/card#/company/16E5BD1F6F384DA796B41C924483E4B5/101"/><Relationship Id="rId4961" Type="http://schemas.openxmlformats.org/officeDocument/2006/relationships/hyperlink" TargetMode="External" Target="https://spark-interfax.ru/system/home/card#/company/D645ECC851A540E799EC2B00E027D9E7/101"/><Relationship Id="rId4962" Type="http://schemas.openxmlformats.org/officeDocument/2006/relationships/hyperlink" TargetMode="External" Target="https://spark-interfax.ru/system/home/card#/company/7863091AA3744A4287AC9237A98D969F/101"/><Relationship Id="rId4963" Type="http://schemas.openxmlformats.org/officeDocument/2006/relationships/hyperlink" TargetMode="External" Target="https://spark-interfax.ru/system/home/card#/company/193435E6828845A5A6DC8E519B931F25/101"/><Relationship Id="rId4964" Type="http://schemas.openxmlformats.org/officeDocument/2006/relationships/hyperlink" TargetMode="External" Target="https://spark-interfax.ru/system/home/card#/company/EF994F71A2CC4273A9C1F1FD940B3561/101"/><Relationship Id="rId4965" Type="http://schemas.openxmlformats.org/officeDocument/2006/relationships/hyperlink" TargetMode="External" Target="https://spark-interfax.ru/system/home/card#/company/84139B0FCB391362E0531B9AA8C09384/101"/><Relationship Id="rId4966" Type="http://schemas.openxmlformats.org/officeDocument/2006/relationships/hyperlink" TargetMode="External" Target="https://spark-interfax.ru/system/home/card#/company/A034935115064329E053189AA8C017D7/101"/><Relationship Id="rId4967" Type="http://schemas.openxmlformats.org/officeDocument/2006/relationships/hyperlink" TargetMode="External" Target="https://spark-interfax.ru/system/home/card#/company/070335A47F684071BD13BD91FFAE941B/101"/><Relationship Id="rId4968" Type="http://schemas.openxmlformats.org/officeDocument/2006/relationships/hyperlink" TargetMode="External" Target="https://spark-interfax.ru/system/home/card#/company/B59E02F6EC704B09BE9E5A9CD5A47B0D/101"/><Relationship Id="rId4969" Type="http://schemas.openxmlformats.org/officeDocument/2006/relationships/hyperlink" TargetMode="External" Target="https://spark-interfax.ru/system/home/card#/company/14A84E04391C4C0B96689BD460ED4472/101"/><Relationship Id="rId4970" Type="http://schemas.openxmlformats.org/officeDocument/2006/relationships/hyperlink" TargetMode="External" Target="https://spark-interfax.ru/system/home/card#/company/17EF0DEE61E24376BCD095021DC9DF55/101"/><Relationship Id="rId4971" Type="http://schemas.openxmlformats.org/officeDocument/2006/relationships/hyperlink" TargetMode="External" Target="https://spark-interfax.ru/system/home/card#/company/1261ABD7A59F413B824B301A1AC69B11/101"/><Relationship Id="rId4972" Type="http://schemas.openxmlformats.org/officeDocument/2006/relationships/hyperlink" TargetMode="External" Target="https://spark-interfax.ru/system/home/card#/company/822E55C6B14046E3AFF95A4533794EF8/101"/><Relationship Id="rId4973" Type="http://schemas.openxmlformats.org/officeDocument/2006/relationships/hyperlink" TargetMode="External" Target="https://spark-interfax.ru/system/home/card#/company/5C6BD243A8EE4E079D96D5034F62C62F/101"/><Relationship Id="rId4974" Type="http://schemas.openxmlformats.org/officeDocument/2006/relationships/hyperlink" TargetMode="External" Target="https://spark-interfax.ru/system/home/card#/company/AB29BC898A664182826C19B3C7CA3A2D/101"/><Relationship Id="rId4975" Type="http://schemas.openxmlformats.org/officeDocument/2006/relationships/hyperlink" TargetMode="External" Target="https://spark-interfax.ru/system/home/card#/company/0BF3A18F06C6431D8F12C1BD14760C17/101"/><Relationship Id="rId4976" Type="http://schemas.openxmlformats.org/officeDocument/2006/relationships/hyperlink" TargetMode="External" Target="https://spark-interfax.ru/system/home/card#/company/7D0F89D1B3C64A23BAD17DEAB23A1C3C/101"/><Relationship Id="rId4977" Type="http://schemas.openxmlformats.org/officeDocument/2006/relationships/hyperlink" TargetMode="External" Target="https://spark-interfax.ru/system/home/card#/company/7B4B894AFCD37AD1E0531B9AA8C097BE/101"/><Relationship Id="rId4978" Type="http://schemas.openxmlformats.org/officeDocument/2006/relationships/hyperlink" TargetMode="External" Target="https://spark-interfax.ru/system/home/card#/company/D38598725C5E4CBB9A3CE2C18AC92114/101"/><Relationship Id="rId4979" Type="http://schemas.openxmlformats.org/officeDocument/2006/relationships/hyperlink" TargetMode="External" Target="https://spark-interfax.ru/system/home/card#/company/B9E5989A94A14B9096B09EB9338BA2BE/101"/><Relationship Id="rId4980" Type="http://schemas.openxmlformats.org/officeDocument/2006/relationships/hyperlink" TargetMode="External" Target="https://spark-interfax.ru/system/home/card#/company/FEA3977B904E454C8C552517449EF2AF/101"/><Relationship Id="rId4981" Type="http://schemas.openxmlformats.org/officeDocument/2006/relationships/hyperlink" TargetMode="External" Target="https://spark-interfax.ru/system/home/card#/company/ED92D06AD9E24048932C44B4565B7DE5/101"/><Relationship Id="rId4982" Type="http://schemas.openxmlformats.org/officeDocument/2006/relationships/hyperlink" TargetMode="External" Target="https://spark-interfax.ru/system/home/card#/company/B494C4A892B448DE9B24477C920F663F/101"/><Relationship Id="rId4983" Type="http://schemas.openxmlformats.org/officeDocument/2006/relationships/hyperlink" TargetMode="External" Target="https://spark-interfax.ru/system/home/card#/company/D98B3C8D4653460C97ED874046A31140/101"/><Relationship Id="rId4984" Type="http://schemas.openxmlformats.org/officeDocument/2006/relationships/hyperlink" TargetMode="External" Target="https://spark-interfax.ru/system/home/card#/company/35389B2C50564282B57208687C5006EC/101"/><Relationship Id="rId4985" Type="http://schemas.openxmlformats.org/officeDocument/2006/relationships/hyperlink" TargetMode="External" Target="https://spark-interfax.ru/system/home/card#/company/7F340D2A68184614805B7A8A9DED82BE/101"/><Relationship Id="rId4986" Type="http://schemas.openxmlformats.org/officeDocument/2006/relationships/hyperlink" TargetMode="External" Target="https://spark-interfax.ru/system/home/card#/company/54C7CE078ED7458C8A8F65ED426DDA8B/101"/><Relationship Id="rId4987" Type="http://schemas.openxmlformats.org/officeDocument/2006/relationships/hyperlink" TargetMode="External" Target="https://spark-interfax.ru/system/home/card#/company/680714808E7B06C4E0531B9AA8C09C00/101"/><Relationship Id="rId4988" Type="http://schemas.openxmlformats.org/officeDocument/2006/relationships/hyperlink" TargetMode="External" Target="https://spark-interfax.ru/system/home/card#/company/F302321840ED484080CD5D672C30A59F/101"/><Relationship Id="rId4989" Type="http://schemas.openxmlformats.org/officeDocument/2006/relationships/hyperlink" TargetMode="External" Target="https://spark-interfax.ru/system/home/card#/company/A49F832D9E5C416B84769249888015BD/101"/><Relationship Id="rId4990" Type="http://schemas.openxmlformats.org/officeDocument/2006/relationships/hyperlink" TargetMode="External" Target="https://spark-interfax.ru/system/home/card#/company/2CD9E80131874FD8823E9C706C46C709/101"/><Relationship Id="rId4991" Type="http://schemas.openxmlformats.org/officeDocument/2006/relationships/hyperlink" TargetMode="External" Target="https://spark-interfax.ru/system/home/card#/company/D8A4F47F863F4222A0750989B9AAE37C/101"/><Relationship Id="rId4992" Type="http://schemas.openxmlformats.org/officeDocument/2006/relationships/hyperlink" TargetMode="External" Target="https://spark-interfax.ru/system/home/card#/company/DCBC7972175A4F63BF7BE693B9BFD2C2/101"/><Relationship Id="rId4993" Type="http://schemas.openxmlformats.org/officeDocument/2006/relationships/hyperlink" TargetMode="External" Target="https://spark-interfax.ru/system/home/card#/company/5C1077217915400596B95C612F0342CB/101"/><Relationship Id="rId4994" Type="http://schemas.openxmlformats.org/officeDocument/2006/relationships/hyperlink" TargetMode="External" Target="https://spark-interfax.ru/system/home/card#/company/BB7ED807C983496F8A822D732D1BDF8A/101"/><Relationship Id="rId4995" Type="http://schemas.openxmlformats.org/officeDocument/2006/relationships/hyperlink" TargetMode="External" Target="https://spark-interfax.ru/system/home/card#/company/821F78C227D344E58B08D0EB28874589/101"/><Relationship Id="rId4996" Type="http://schemas.openxmlformats.org/officeDocument/2006/relationships/hyperlink" TargetMode="External" Target="https://spark-interfax.ru/system/home/card#/company/7C0EC79EF630473B9DCEDBAAD7303EA7/101"/><Relationship Id="rId4997" Type="http://schemas.openxmlformats.org/officeDocument/2006/relationships/hyperlink" TargetMode="External" Target="https://spark-interfax.ru/system/home/card#/company/846562C092B24F9C9B98C3B294C233C2/101"/><Relationship Id="rId4998" Type="http://schemas.openxmlformats.org/officeDocument/2006/relationships/hyperlink" TargetMode="External" Target="https://spark-interfax.ru/system/home/card#/company/9FED0056434C43BC95232B4BF5D0A7E1/101"/><Relationship Id="rId4999" Type="http://schemas.openxmlformats.org/officeDocument/2006/relationships/hyperlink" TargetMode="External" Target="https://spark-interfax.ru/system/home/card#/company/7393D789CB9D484FA835FB5EE12A86A9/101"/><Relationship Id="rId5000" Type="http://schemas.openxmlformats.org/officeDocument/2006/relationships/hyperlink" TargetMode="External" Target="https://spark-interfax.ru/system/home/card#/company/842A7061705145E0843762C7529C7D58/101"/><Relationship Id="rId5001" Type="http://schemas.openxmlformats.org/officeDocument/2006/relationships/hyperlink" TargetMode="External" Target="https://spark-interfax.ru/system/home/card#/company/54C1CCFF127247F29C38F95E615839A2/101"/><Relationship Id="rId5002" Type="http://schemas.openxmlformats.org/officeDocument/2006/relationships/hyperlink" TargetMode="External" Target="https://spark-interfax.ru/system/home/card#/company/92773A735940476CAF3621B4DA443208/101"/><Relationship Id="rId5003" Type="http://schemas.openxmlformats.org/officeDocument/2006/relationships/hyperlink" TargetMode="External" Target="https://spark-interfax.ru/system/home/card#/company/226AF1B4B3144D51A54E099B17F64307/101"/><Relationship Id="rId5004" Type="http://schemas.openxmlformats.org/officeDocument/2006/relationships/hyperlink" TargetMode="External" Target="https://spark-interfax.ru/system/home/card#/company/F82973F06F10483CA9388802AFA77225/101"/><Relationship Id="rId5005" Type="http://schemas.openxmlformats.org/officeDocument/2006/relationships/hyperlink" TargetMode="External" Target="https://spark-interfax.ru/system/home/card#/company/BF78FC6AE36F4161B15F2F62F6E5DC8F/101"/><Relationship Id="rId5006" Type="http://schemas.openxmlformats.org/officeDocument/2006/relationships/hyperlink" TargetMode="External" Target="https://spark-interfax.ru/system/home/card#/company/829A65EE86BA4362AD781F0E43520984/101"/><Relationship Id="rId5007" Type="http://schemas.openxmlformats.org/officeDocument/2006/relationships/hyperlink" TargetMode="External" Target="https://spark-interfax.ru/system/home/card#/company/F3536F8DFAE2476F86E094A870D9D7CC/101"/><Relationship Id="rId5008" Type="http://schemas.openxmlformats.org/officeDocument/2006/relationships/hyperlink" TargetMode="External" Target="https://spark-interfax.ru/system/home/card#/company/BB0C044D38C248D4A8D82F56FD57D691/101"/><Relationship Id="rId5009" Type="http://schemas.openxmlformats.org/officeDocument/2006/relationships/hyperlink" TargetMode="External" Target="https://spark-interfax.ru/system/home/card#/company/B81B4F8E2C01421DB5A9E8CCAB8A814D/101"/><Relationship Id="rId5010" Type="http://schemas.openxmlformats.org/officeDocument/2006/relationships/hyperlink" TargetMode="External" Target="https://spark-interfax.ru/system/home/card#/company/30235DFCA49B4A29B49FA17867FAEC59/101"/><Relationship Id="rId5011" Type="http://schemas.openxmlformats.org/officeDocument/2006/relationships/hyperlink" TargetMode="External" Target="https://spark-interfax.ru/system/home/card#/company/AB837F5D96B347509C52F1F0126B0808/101"/><Relationship Id="rId5012" Type="http://schemas.openxmlformats.org/officeDocument/2006/relationships/hyperlink" TargetMode="External" Target="https://spark-interfax.ru/system/home/card#/company/FF4C478EF8184C148B683230D7EA39AA/101"/><Relationship Id="rId5013" Type="http://schemas.openxmlformats.org/officeDocument/2006/relationships/hyperlink" TargetMode="External" Target="https://spark-interfax.ru/system/home/card#/company/C182FD253632490596FBB07834D23D34/101"/><Relationship Id="rId5014" Type="http://schemas.openxmlformats.org/officeDocument/2006/relationships/hyperlink" TargetMode="External" Target="https://spark-interfax.ru/system/home/card#/company/5C5EA6BE77907BEAE0531C9AA8C05A83/101"/><Relationship Id="rId5015" Type="http://schemas.openxmlformats.org/officeDocument/2006/relationships/hyperlink" TargetMode="External" Target="https://spark-interfax.ru/system/home/card#/company/81177F59D0024B51A8B942EFA3EC69A7/101"/><Relationship Id="rId5016" Type="http://schemas.openxmlformats.org/officeDocument/2006/relationships/hyperlink" TargetMode="External" Target="https://spark-interfax.ru/system/home/card#/company/CF4CD08614AE4775AE2EF7CCAF5CBF25/101"/><Relationship Id="rId5017" Type="http://schemas.openxmlformats.org/officeDocument/2006/relationships/hyperlink" TargetMode="External" Target="https://spark-interfax.ru/system/home/card#/company/3D5876F4358E47EBBF057E7BE8E876DE/101"/><Relationship Id="rId5018" Type="http://schemas.openxmlformats.org/officeDocument/2006/relationships/hyperlink" TargetMode="External" Target="https://spark-interfax.ru/system/home/card#/company/04DBCEB161D64FECA03D6EBA2969CA92/101"/><Relationship Id="rId5019" Type="http://schemas.openxmlformats.org/officeDocument/2006/relationships/hyperlink" TargetMode="External" Target="https://spark-interfax.ru/system/home/card#/company/1CF3B2D93ED746818872CC2571E2437C/101"/><Relationship Id="rId5020" Type="http://schemas.openxmlformats.org/officeDocument/2006/relationships/hyperlink" TargetMode="External" Target="https://spark-interfax.ru/system/home/card#/company/A44365427C554E6E8F4AE6172F0E1379/101"/><Relationship Id="rId5021" Type="http://schemas.openxmlformats.org/officeDocument/2006/relationships/hyperlink" TargetMode="External" Target="https://spark-interfax.ru/system/home/card#/company/08627D97CD23415D88251D96111D2875/101"/><Relationship Id="rId5022" Type="http://schemas.openxmlformats.org/officeDocument/2006/relationships/hyperlink" TargetMode="External" Target="https://spark-interfax.ru/system/home/card#/company/FA1E8A10FC344AA29C49516E69D8F601/101"/><Relationship Id="rId5023" Type="http://schemas.openxmlformats.org/officeDocument/2006/relationships/hyperlink" TargetMode="External" Target="https://spark-interfax.ru/system/home/card#/company/558781D9C8B44CBCBF1A32347BD9CA97/101"/><Relationship Id="rId5024" Type="http://schemas.openxmlformats.org/officeDocument/2006/relationships/hyperlink" TargetMode="External" Target="https://spark-interfax.ru/system/home/card#/company/FFC45CB0DF9B45B09351A625285E9413/101"/><Relationship Id="rId5025" Type="http://schemas.openxmlformats.org/officeDocument/2006/relationships/hyperlink" TargetMode="External" Target="https://spark-interfax.ru/system/home/card#/company/77CC29C3A84B470383CEF23831AFD9CB/101"/><Relationship Id="rId5026" Type="http://schemas.openxmlformats.org/officeDocument/2006/relationships/hyperlink" TargetMode="External" Target="https://spark-interfax.ru/system/home/card#/company/37C2B3370F6F4FEA81804A3B6FC4994B/101"/><Relationship Id="rId5027" Type="http://schemas.openxmlformats.org/officeDocument/2006/relationships/hyperlink" TargetMode="External" Target="https://spark-interfax.ru/system/home/card#/company/018C588E3DB54C3DBAAB89EE9D4270B1/101"/><Relationship Id="rId5028" Type="http://schemas.openxmlformats.org/officeDocument/2006/relationships/hyperlink" TargetMode="External" Target="https://spark-interfax.ru/system/home/card#/company/5CA034496EBA41E69713A5A58C73C770/101"/><Relationship Id="rId5029" Type="http://schemas.openxmlformats.org/officeDocument/2006/relationships/hyperlink" TargetMode="External" Target="https://spark-interfax.ru/system/home/card#/company/176378E1EC22419FA948E13276F9C02A/101"/><Relationship Id="rId5030" Type="http://schemas.openxmlformats.org/officeDocument/2006/relationships/hyperlink" TargetMode="External" Target="https://spark-interfax.ru/system/home/card#/company/99B41B1D6A0F44C8B5A4DEC600C9334B/101"/><Relationship Id="rId5031" Type="http://schemas.openxmlformats.org/officeDocument/2006/relationships/hyperlink" TargetMode="External" Target="https://spark-interfax.ru/system/home/card#/company/84C4B6AC425944DAB8EB6A2FF75EA001/101"/><Relationship Id="rId5032" Type="http://schemas.openxmlformats.org/officeDocument/2006/relationships/hyperlink" TargetMode="External" Target="https://spark-interfax.ru/system/home/card#/company/C3A76BB3F6524D4CA5BEC504758089C4/101"/><Relationship Id="rId5033" Type="http://schemas.openxmlformats.org/officeDocument/2006/relationships/hyperlink" TargetMode="External" Target="https://spark-interfax.ru/system/home/card#/company/B47EAF1606604150B76AC054C22919A7/101"/><Relationship Id="rId5034" Type="http://schemas.openxmlformats.org/officeDocument/2006/relationships/hyperlink" TargetMode="External" Target="https://spark-interfax.ru/system/home/card#/company/1F81EC532F2F49E082501F28972D07B5/101"/><Relationship Id="rId5035" Type="http://schemas.openxmlformats.org/officeDocument/2006/relationships/hyperlink" TargetMode="External" Target="https://spark-interfax.ru/system/home/card#/company/599E79813EF94EE6BF7F93B4D756F07D/101"/><Relationship Id="rId5036" Type="http://schemas.openxmlformats.org/officeDocument/2006/relationships/hyperlink" TargetMode="External" Target="https://spark-interfax.ru/system/home/card#/company/1ADAF13142CA4AAD9F2B3E690956B795/101"/><Relationship Id="rId5037" Type="http://schemas.openxmlformats.org/officeDocument/2006/relationships/hyperlink" TargetMode="External" Target="https://spark-interfax.ru/system/home/card#/company/3B78DC1978DE41C38E5080388847597F/101"/><Relationship Id="rId5038" Type="http://schemas.openxmlformats.org/officeDocument/2006/relationships/hyperlink" TargetMode="External" Target="https://spark-interfax.ru/system/home/card#/company/DDD1116A0DE54B20B785AF8BBBE0B51E/101"/><Relationship Id="rId5039" Type="http://schemas.openxmlformats.org/officeDocument/2006/relationships/hyperlink" TargetMode="External" Target="https://spark-interfax.ru/system/home/card#/company/D04FAB331B704849BB17FBD331F4D1DF/101"/><Relationship Id="rId5040" Type="http://schemas.openxmlformats.org/officeDocument/2006/relationships/hyperlink" TargetMode="External" Target="https://spark-interfax.ru/system/home/card#/company/DF368E7D6ED94E2E92D00777889E6821/101"/><Relationship Id="rId5041" Type="http://schemas.openxmlformats.org/officeDocument/2006/relationships/hyperlink" TargetMode="External" Target="https://spark-interfax.ru/system/home/card#/company/95775229ECFA4C2A87530F60304C3F3E/101"/><Relationship Id="rId5042" Type="http://schemas.openxmlformats.org/officeDocument/2006/relationships/hyperlink" TargetMode="External" Target="https://spark-interfax.ru/system/home/card#/company/6080D4DA43464337A0B81902ED51221A/101"/><Relationship Id="rId5043" Type="http://schemas.openxmlformats.org/officeDocument/2006/relationships/hyperlink" TargetMode="External" Target="https://spark-interfax.ru/system/home/card#/company/215234BB7EFA43018F7F628CD2ED2D53/101"/><Relationship Id="rId5044" Type="http://schemas.openxmlformats.org/officeDocument/2006/relationships/hyperlink" TargetMode="External" Target="https://spark-interfax.ru/system/home/card#/company/AAA4C105234D475E82CE4D72167D8991/101"/><Relationship Id="rId5045" Type="http://schemas.openxmlformats.org/officeDocument/2006/relationships/hyperlink" TargetMode="External" Target="https://spark-interfax.ru/system/home/card#/company/202A3CB353B14A4AA2E517116C1B14AB/101"/><Relationship Id="rId5046" Type="http://schemas.openxmlformats.org/officeDocument/2006/relationships/hyperlink" TargetMode="External" Target="https://spark-interfax.ru/system/home/card#/company/643797789F244295B955B745DB1D18AF/101"/><Relationship Id="rId5047" Type="http://schemas.openxmlformats.org/officeDocument/2006/relationships/hyperlink" TargetMode="External" Target="https://spark-interfax.ru/system/home/card#/company/D69050BE11E74D0B8C28CC237711B91A/101"/><Relationship Id="rId5048" Type="http://schemas.openxmlformats.org/officeDocument/2006/relationships/hyperlink" TargetMode="External" Target="https://spark-interfax.ru/system/home/card#/company/1562184D70744B87AEC7D1766D127F04/101"/><Relationship Id="rId5049" Type="http://schemas.openxmlformats.org/officeDocument/2006/relationships/hyperlink" TargetMode="External" Target="https://spark-interfax.ru/system/home/card#/company/01008F915DB644F5AD2DACC14F6C1C53/101"/><Relationship Id="rId5050" Type="http://schemas.openxmlformats.org/officeDocument/2006/relationships/hyperlink" TargetMode="External" Target="https://spark-interfax.ru/system/home/card#/company/DECDC66E25A843D8B8039B86A860B53A/101"/><Relationship Id="rId5051" Type="http://schemas.openxmlformats.org/officeDocument/2006/relationships/hyperlink" TargetMode="External" Target="https://spark-interfax.ru/system/home/card#/company/C6C654FBD83F4045898006070D08AEA4/101"/><Relationship Id="rId5052" Type="http://schemas.openxmlformats.org/officeDocument/2006/relationships/hyperlink" TargetMode="External" Target="https://spark-interfax.ru/system/home/card#/company/D2A4F7A2B4CD4C77988F2D48123906C6/101"/><Relationship Id="rId5053" Type="http://schemas.openxmlformats.org/officeDocument/2006/relationships/hyperlink" TargetMode="External" Target="https://spark-interfax.ru/system/home/card#/company/8CB99597BDA047CEE0531C9AA8C0B802/101"/><Relationship Id="rId5054" Type="http://schemas.openxmlformats.org/officeDocument/2006/relationships/hyperlink" TargetMode="External" Target="https://spark-interfax.ru/system/home/card#/company/7483E308C5AA4197B6147EC41EA224D2/101"/><Relationship Id="rId5055" Type="http://schemas.openxmlformats.org/officeDocument/2006/relationships/hyperlink" TargetMode="External" Target="https://spark-interfax.ru/system/home/card#/company/A429F8ACE2EE43E090F2A5CA2639C34C/101"/><Relationship Id="rId5056" Type="http://schemas.openxmlformats.org/officeDocument/2006/relationships/hyperlink" TargetMode="External" Target="https://spark-interfax.ru/system/home/card#/company/AE315BECB9DB2774E053189AA8C0E78D/101"/><Relationship Id="rId5057" Type="http://schemas.openxmlformats.org/officeDocument/2006/relationships/hyperlink" TargetMode="External" Target="https://spark-interfax.ru/system/home/card#/company/95C26EEFEEFB8993E0531B9AA8C0C0E8/101"/><Relationship Id="rId5058" Type="http://schemas.openxmlformats.org/officeDocument/2006/relationships/hyperlink" TargetMode="External" Target="https://spark-interfax.ru/system/home/card#/company/F0113E4914D24E83ACC94297CD0FDD09/101"/><Relationship Id="rId5059" Type="http://schemas.openxmlformats.org/officeDocument/2006/relationships/hyperlink" TargetMode="External" Target="https://spark-interfax.ru/system/home/card#/company/0A2536AEFC9049239B49CB384A0B4369/101"/><Relationship Id="rId5060" Type="http://schemas.openxmlformats.org/officeDocument/2006/relationships/hyperlink" TargetMode="External" Target="https://spark-interfax.ru/system/home/card#/company/AEB7CB1B02A244EA9E808755ABC3D468/101"/><Relationship Id="rId5061" Type="http://schemas.openxmlformats.org/officeDocument/2006/relationships/hyperlink" TargetMode="External" Target="https://spark-interfax.ru/system/home/card#/company/63B65C7A27E15EB6E0531B9AA8C06497/101"/><Relationship Id="rId5062" Type="http://schemas.openxmlformats.org/officeDocument/2006/relationships/hyperlink" TargetMode="External" Target="https://spark-interfax.ru/system/home/card#/company/35A1DD8FA46947B2A27936A3B40EF16B/101"/><Relationship Id="rId5063" Type="http://schemas.openxmlformats.org/officeDocument/2006/relationships/hyperlink" TargetMode="External" Target="https://spark-interfax.ru/system/home/card#/company/A25C12E4CF2B495CA79D4FABF6AE274B/101"/><Relationship Id="rId5064" Type="http://schemas.openxmlformats.org/officeDocument/2006/relationships/hyperlink" TargetMode="External" Target="https://spark-interfax.ru/system/home/card#/company/A932BE2899A54D088C515F1EFB34F68F/101"/><Relationship Id="rId5065" Type="http://schemas.openxmlformats.org/officeDocument/2006/relationships/hyperlink" TargetMode="External" Target="https://spark-interfax.ru/system/home/card#/company/4D66D3D202364010A5B65ABC635D062E/101"/><Relationship Id="rId5066" Type="http://schemas.openxmlformats.org/officeDocument/2006/relationships/hyperlink" TargetMode="External" Target="https://spark-interfax.ru/system/home/card#/company/898082E0B455495891C3E363C8147F87/101"/><Relationship Id="rId5067" Type="http://schemas.openxmlformats.org/officeDocument/2006/relationships/hyperlink" TargetMode="External" Target="https://spark-interfax.ru/system/home/card#/company/4A481A95FC674CE5A59B2AA511D88339/101"/><Relationship Id="rId5068" Type="http://schemas.openxmlformats.org/officeDocument/2006/relationships/hyperlink" TargetMode="External" Target="https://spark-interfax.ru/system/home/card#/company/67E846BC954D46C49A425DCA22890B98/101"/><Relationship Id="rId5069" Type="http://schemas.openxmlformats.org/officeDocument/2006/relationships/hyperlink" TargetMode="External" Target="https://spark-interfax.ru/system/home/card#/company/9420A5508C184E059625FB5AEA84774F/101"/><Relationship Id="rId5070" Type="http://schemas.openxmlformats.org/officeDocument/2006/relationships/hyperlink" TargetMode="External" Target="https://spark-interfax.ru/system/home/card#/company/A0C79A2738D74B84AABF5C1830575C9D/101"/><Relationship Id="rId5071" Type="http://schemas.openxmlformats.org/officeDocument/2006/relationships/hyperlink" TargetMode="External" Target="https://spark-interfax.ru/system/home/card#/company/55C711C757504030ADDA8CF00BE2C8D7/101"/><Relationship Id="rId5072" Type="http://schemas.openxmlformats.org/officeDocument/2006/relationships/hyperlink" TargetMode="External" Target="https://spark-interfax.ru/system/home/card#/company/ED386633F6B148909FA9C1E1BFC3F461/101"/><Relationship Id="rId5073" Type="http://schemas.openxmlformats.org/officeDocument/2006/relationships/hyperlink" TargetMode="External" Target="https://spark-interfax.ru/system/home/card#/company/476AC1ABCC1243A2BBC4E413B67674FD/101"/><Relationship Id="rId5074" Type="http://schemas.openxmlformats.org/officeDocument/2006/relationships/hyperlink" TargetMode="External" Target="https://spark-interfax.ru/system/home/card#/company/763DEDF41B9F6F5BE0531B9AA8C0373B/101"/><Relationship Id="rId5075" Type="http://schemas.openxmlformats.org/officeDocument/2006/relationships/hyperlink" TargetMode="External" Target="https://spark-interfax.ru/system/home/card#/company/C9B624B2B0684FFBA2F47DBC72D4DD5A/101"/><Relationship Id="rId5076" Type="http://schemas.openxmlformats.org/officeDocument/2006/relationships/hyperlink" TargetMode="External" Target="https://spark-interfax.ru/system/home/card#/company/0D927302AB5741F09565B594749CD1D1/101"/><Relationship Id="rId5077" Type="http://schemas.openxmlformats.org/officeDocument/2006/relationships/hyperlink" TargetMode="External" Target="https://spark-interfax.ru/system/home/card#/company/F02C83EC2346455DA02689F861FBBFB3/101"/><Relationship Id="rId5078" Type="http://schemas.openxmlformats.org/officeDocument/2006/relationships/hyperlink" TargetMode="External" Target="https://spark-interfax.ru/system/home/card#/company/C282642B0177452192152001E28B5136/101"/><Relationship Id="rId5079" Type="http://schemas.openxmlformats.org/officeDocument/2006/relationships/hyperlink" TargetMode="External" Target="https://spark-interfax.ru/system/home/card#/company/5C17B37E18B6429A8C25E87242211621/101"/><Relationship Id="rId5080" Type="http://schemas.openxmlformats.org/officeDocument/2006/relationships/hyperlink" TargetMode="External" Target="https://spark-interfax.ru/system/home/card#/company/86304E51CD8249E293079D6A52D6843C/101"/><Relationship Id="rId5081" Type="http://schemas.openxmlformats.org/officeDocument/2006/relationships/hyperlink" TargetMode="External" Target="https://spark-interfax.ru/system/home/card#/company/C15838F04C9F47BB8ACC8F38087179AA/101"/><Relationship Id="rId5082" Type="http://schemas.openxmlformats.org/officeDocument/2006/relationships/hyperlink" TargetMode="External" Target="https://spark-interfax.ru/system/home/card#/company/60C9CA1433054220ABA18E6B2BCB9676/101"/><Relationship Id="rId5083" Type="http://schemas.openxmlformats.org/officeDocument/2006/relationships/hyperlink" TargetMode="External" Target="https://spark-interfax.ru/system/home/card#/company/B5529EB019954D4382C397EE4971C6C8/101"/><Relationship Id="rId5084" Type="http://schemas.openxmlformats.org/officeDocument/2006/relationships/hyperlink" TargetMode="External" Target="https://spark-interfax.ru/system/home/card#/company/CEF05C876BDC41CD84AAE7C94DD4BF94/101"/><Relationship Id="rId5085" Type="http://schemas.openxmlformats.org/officeDocument/2006/relationships/hyperlink" TargetMode="External" Target="https://spark-interfax.ru/system/home/card#/company/E788904ED0184807A84EAECCCAC7383E/101"/><Relationship Id="rId5086" Type="http://schemas.openxmlformats.org/officeDocument/2006/relationships/hyperlink" TargetMode="External" Target="https://spark-interfax.ru/system/home/card#/company/43DD7A8842B04A938191FE11AC896FFE/101"/><Relationship Id="rId5087" Type="http://schemas.openxmlformats.org/officeDocument/2006/relationships/hyperlink" TargetMode="External" Target="https://spark-interfax.ru/system/home/card#/company/2B830E419DFD4B72A2BCC6A691692F88/101"/><Relationship Id="rId5088" Type="http://schemas.openxmlformats.org/officeDocument/2006/relationships/hyperlink" TargetMode="External" Target="https://spark-interfax.ru/system/home/card#/company/F88635EEAD0C41388F244BAFB1CB6CB9/101"/><Relationship Id="rId5089" Type="http://schemas.openxmlformats.org/officeDocument/2006/relationships/hyperlink" TargetMode="External" Target="https://spark-interfax.ru/system/home/card#/company/7495CC256DD84C5DA8D60122017FA801/101"/><Relationship Id="rId5090" Type="http://schemas.openxmlformats.org/officeDocument/2006/relationships/hyperlink" TargetMode="External" Target="https://spark-interfax.ru/system/home/card#/company/9FBDD9C711964C99B6699762372276D9/101"/><Relationship Id="rId5091" Type="http://schemas.openxmlformats.org/officeDocument/2006/relationships/hyperlink" TargetMode="External" Target="https://spark-interfax.ru/system/home/card#/company/4880E70372F24DD7B6B14215BB0FDD26/101"/><Relationship Id="rId5092" Type="http://schemas.openxmlformats.org/officeDocument/2006/relationships/hyperlink" TargetMode="External" Target="https://spark-interfax.ru/system/home/card#/company/285E9F227CE84ECDB5CFC93A5FFDFEAC/101"/><Relationship Id="rId5093" Type="http://schemas.openxmlformats.org/officeDocument/2006/relationships/hyperlink" TargetMode="External" Target="https://spark-interfax.ru/system/home/card#/company/6FC8D78232C94A3B870A654964F809C8/101"/><Relationship Id="rId5094" Type="http://schemas.openxmlformats.org/officeDocument/2006/relationships/hyperlink" TargetMode="External" Target="https://spark-interfax.ru/system/home/card#/company/28CACF29833349AB852783F23E63B34F/101"/><Relationship Id="rId5095" Type="http://schemas.openxmlformats.org/officeDocument/2006/relationships/hyperlink" TargetMode="External" Target="https://spark-interfax.ru/system/home/card#/company/F65D51792E4D454FA935E466EAD40E3D/101"/><Relationship Id="rId5096" Type="http://schemas.openxmlformats.org/officeDocument/2006/relationships/hyperlink" TargetMode="External" Target="https://spark-interfax.ru/system/home/card#/company/DA86ECB1AA1046BCBBD2A21281BB0CCB/101"/><Relationship Id="rId5097" Type="http://schemas.openxmlformats.org/officeDocument/2006/relationships/hyperlink" TargetMode="External" Target="https://spark-interfax.ru/system/home/card#/company/D714DFA724A14479B342EE821FE51259/101"/><Relationship Id="rId5098" Type="http://schemas.openxmlformats.org/officeDocument/2006/relationships/hyperlink" TargetMode="External" Target="https://spark-interfax.ru/system/home/card#/company/7B2DE1C63912490195FF5D8F0CCFDE3B/101"/><Relationship Id="rId5099" Type="http://schemas.openxmlformats.org/officeDocument/2006/relationships/hyperlink" TargetMode="External" Target="https://spark-interfax.ru/system/home/card#/company/8DE4157C69E04936BD66F1BDCDC15212/101"/><Relationship Id="rId5100" Type="http://schemas.openxmlformats.org/officeDocument/2006/relationships/hyperlink" TargetMode="External" Target="https://spark-interfax.ru/system/home/card#/company/E29AAC06586F1777E053259AA8C03247/101"/><Relationship Id="rId5101" Type="http://schemas.openxmlformats.org/officeDocument/2006/relationships/hyperlink" TargetMode="External" Target="https://spark-interfax.ru/system/home/card#/company/CFB852D66611486B89C317B23C7E32D0/101"/><Relationship Id="rId5102" Type="http://schemas.openxmlformats.org/officeDocument/2006/relationships/hyperlink" TargetMode="External" Target="https://spark-interfax.ru/system/home/card#/company/E19A6ED33C23433DA89B3ACF15A1D7D2/101"/><Relationship Id="rId5103" Type="http://schemas.openxmlformats.org/officeDocument/2006/relationships/hyperlink" TargetMode="External" Target="https://spark-interfax.ru/system/home/card#/company/7F344BD5C1D04D68A7E2CA67B2225A90/101"/><Relationship Id="rId5104" Type="http://schemas.openxmlformats.org/officeDocument/2006/relationships/hyperlink" TargetMode="External" Target="https://spark-interfax.ru/system/home/card#/company/52F83748DAA340C081FAFA74A1F9DABF/101"/><Relationship Id="rId5105" Type="http://schemas.openxmlformats.org/officeDocument/2006/relationships/hyperlink" TargetMode="External" Target="https://spark-interfax.ru/system/home/card#/company/27E80062A62C4F4BA4BCD68FC8EAC3D4/101"/><Relationship Id="rId5106" Type="http://schemas.openxmlformats.org/officeDocument/2006/relationships/hyperlink" TargetMode="External" Target="https://spark-interfax.ru/system/home/card#/company/9C751EA5FC904E419DEB44CAA5B48CC5/101"/><Relationship Id="rId5107" Type="http://schemas.openxmlformats.org/officeDocument/2006/relationships/hyperlink" TargetMode="External" Target="https://spark-interfax.ru/system/home/card#/company/7C762AAB0F3F407491F050B224930129/101"/><Relationship Id="rId5108" Type="http://schemas.openxmlformats.org/officeDocument/2006/relationships/hyperlink" TargetMode="External" Target="https://spark-interfax.ru/system/home/card#/company/6787DDCDFE184994A0BB9655A66D13AA/101"/><Relationship Id="rId5109" Type="http://schemas.openxmlformats.org/officeDocument/2006/relationships/hyperlink" TargetMode="External" Target="https://spark-interfax.ru/system/home/card#/company/9211AAD51F084BA78D7C887F13BBA3FF/101"/><Relationship Id="rId5110" Type="http://schemas.openxmlformats.org/officeDocument/2006/relationships/hyperlink" TargetMode="External" Target="https://spark-interfax.ru/system/home/card#/company/4FF30FDBBB45446FA06C2320A70CE000/101"/><Relationship Id="rId5111" Type="http://schemas.openxmlformats.org/officeDocument/2006/relationships/hyperlink" TargetMode="External" Target="https://spark-interfax.ru/system/home/card#/company/878AF00A6F744711AA758EADD0DDAC98/101"/><Relationship Id="rId5112" Type="http://schemas.openxmlformats.org/officeDocument/2006/relationships/hyperlink" TargetMode="External" Target="https://spark-interfax.ru/system/home/card#/company/FAE2809DDDFE44549C56036686DACFA8/101"/><Relationship Id="rId5113" Type="http://schemas.openxmlformats.org/officeDocument/2006/relationships/hyperlink" TargetMode="External" Target="https://spark-interfax.ru/system/home/card#/company/6A3F07C803F94177AC3F3B9C83099E44/101"/><Relationship Id="rId5114" Type="http://schemas.openxmlformats.org/officeDocument/2006/relationships/hyperlink" TargetMode="External" Target="https://spark-interfax.ru/system/home/card#/company/11105B7D5405477C852234EF3A9BB9FF/101"/><Relationship Id="rId5115" Type="http://schemas.openxmlformats.org/officeDocument/2006/relationships/hyperlink" TargetMode="External" Target="https://spark-interfax.ru/system/home/card#/company/BC2CAD3EFF8B4DEF9243508506C69159/101"/><Relationship Id="rId5116" Type="http://schemas.openxmlformats.org/officeDocument/2006/relationships/hyperlink" TargetMode="External" Target="https://spark-interfax.ru/system/home/card#/company/E1DEDA9224784B458D9CCD5D1D8C95EF/101"/><Relationship Id="rId5117" Type="http://schemas.openxmlformats.org/officeDocument/2006/relationships/hyperlink" TargetMode="External" Target="https://spark-interfax.ru/system/home/card#/company/828D6ED891834F7D8F39F86875197D15/101"/><Relationship Id="rId5118" Type="http://schemas.openxmlformats.org/officeDocument/2006/relationships/hyperlink" TargetMode="External" Target="https://spark-interfax.ru/system/home/card#/company/13AAD96689D245378C8DEBB13494125C/101"/><Relationship Id="rId5119" Type="http://schemas.openxmlformats.org/officeDocument/2006/relationships/hyperlink" TargetMode="External" Target="https://spark-interfax.ru/system/home/card#/company/93775A9911534A60A5CA496EDBE23A53/101"/><Relationship Id="rId5120" Type="http://schemas.openxmlformats.org/officeDocument/2006/relationships/hyperlink" TargetMode="External" Target="https://spark-interfax.ru/system/home/card#/company/5938280DC1B54458A4EEE1E26D685D45/101"/><Relationship Id="rId5121" Type="http://schemas.openxmlformats.org/officeDocument/2006/relationships/hyperlink" TargetMode="External" Target="https://spark-interfax.ru/system/home/card#/company/5FB354DAAD9E4E9B9F75AB0A3CCD9FF2/101"/><Relationship Id="rId5122" Type="http://schemas.openxmlformats.org/officeDocument/2006/relationships/hyperlink" TargetMode="External" Target="https://spark-interfax.ru/system/home/card#/company/4B274FA08F704F839D417D56CE718CDC/101"/><Relationship Id="rId5123" Type="http://schemas.openxmlformats.org/officeDocument/2006/relationships/hyperlink" TargetMode="External" Target="https://spark-interfax.ru/system/home/card#/company/AA1D5CA4BC2D4C378CDFF3906A3C7F7E/101"/><Relationship Id="rId5124" Type="http://schemas.openxmlformats.org/officeDocument/2006/relationships/hyperlink" TargetMode="External" Target="https://spark-interfax.ru/system/home/card#/company/93C025ABA09F4AA087198C0AA9296F09/101"/><Relationship Id="rId5125" Type="http://schemas.openxmlformats.org/officeDocument/2006/relationships/hyperlink" TargetMode="External" Target="https://spark-interfax.ru/system/home/card#/company/69B9D20B62EC405881F13D46BCE6AAAD/101"/><Relationship Id="rId5126" Type="http://schemas.openxmlformats.org/officeDocument/2006/relationships/hyperlink" TargetMode="External" Target="https://spark-interfax.ru/system/home/card#/company/3C01B5EC15B346148086473F7211FE4A/101"/><Relationship Id="rId5127" Type="http://schemas.openxmlformats.org/officeDocument/2006/relationships/hyperlink" TargetMode="External" Target="https://spark-interfax.ru/system/home/card#/company/33A2AC621138403C84743F01544A9108/101"/><Relationship Id="rId5128" Type="http://schemas.openxmlformats.org/officeDocument/2006/relationships/hyperlink" TargetMode="External" Target="https://spark-interfax.ru/system/home/card#/company/25FD834CA82A4E08A40AB41E67558635/101"/><Relationship Id="rId5129" Type="http://schemas.openxmlformats.org/officeDocument/2006/relationships/hyperlink" TargetMode="External" Target="https://spark-interfax.ru/system/home/card#/company/226B5472D4AD4C07BA6D633C3AA405C9/101"/><Relationship Id="rId5130" Type="http://schemas.openxmlformats.org/officeDocument/2006/relationships/hyperlink" TargetMode="External" Target="https://spark-interfax.ru/system/home/card#/company/8512D1272B4B4FCA951B21EF9E679F61/101"/><Relationship Id="rId5131" Type="http://schemas.openxmlformats.org/officeDocument/2006/relationships/hyperlink" TargetMode="External" Target="https://spark-interfax.ru/system/home/card#/company/1F7535CC6AF74A17B5D0CF03C3F3230F/101"/><Relationship Id="rId5132" Type="http://schemas.openxmlformats.org/officeDocument/2006/relationships/hyperlink" TargetMode="External" Target="https://spark-interfax.ru/system/home/card#/company/36F30120434043468C0AA893F93D1C22/101"/><Relationship Id="rId5133" Type="http://schemas.openxmlformats.org/officeDocument/2006/relationships/hyperlink" TargetMode="External" Target="https://spark-interfax.ru/system/home/card#/company/69FE43AE922A44AFA894C59924FD3808/101"/><Relationship Id="rId5134" Type="http://schemas.openxmlformats.org/officeDocument/2006/relationships/hyperlink" TargetMode="External" Target="https://spark-interfax.ru/system/home/card#/company/9A2909F5AC9447CC90E7076D03DA5783/101"/><Relationship Id="rId5135" Type="http://schemas.openxmlformats.org/officeDocument/2006/relationships/hyperlink" TargetMode="External" Target="https://spark-interfax.ru/system/home/card#/company/D446FAE24B434A60AAEC3267D8F9BEF9/101"/><Relationship Id="rId5136" Type="http://schemas.openxmlformats.org/officeDocument/2006/relationships/hyperlink" TargetMode="External" Target="https://spark-interfax.ru/system/home/card#/company/73FC9B38CC5D4529B33D96187943C0B3/101"/><Relationship Id="rId5137" Type="http://schemas.openxmlformats.org/officeDocument/2006/relationships/hyperlink" TargetMode="External" Target="https://spark-interfax.ru/system/home/card#/company/7510A3BB5D8A0789E0531B9AA8C06FCD/101"/><Relationship Id="rId5138" Type="http://schemas.openxmlformats.org/officeDocument/2006/relationships/hyperlink" TargetMode="External" Target="https://spark-interfax.ru/system/home/card#/company/C218A4887332451F9EECA3A5B763759D/101"/><Relationship Id="rId5139" Type="http://schemas.openxmlformats.org/officeDocument/2006/relationships/hyperlink" TargetMode="External" Target="https://spark-interfax.ru/system/home/card#/company/4629FB03BBF64C488BA44BA438CDBBA9/101"/><Relationship Id="rId5140" Type="http://schemas.openxmlformats.org/officeDocument/2006/relationships/hyperlink" TargetMode="External" Target="https://spark-interfax.ru/system/home/card#/company/56800D1A62DE42CF8243E32FA5D93B90/101"/><Relationship Id="rId5141" Type="http://schemas.openxmlformats.org/officeDocument/2006/relationships/hyperlink" TargetMode="External" Target="https://spark-interfax.ru/system/home/card#/company/F9FA5DB0EC3240EC93D133CCD71352F6/101"/><Relationship Id="rId5142" Type="http://schemas.openxmlformats.org/officeDocument/2006/relationships/hyperlink" TargetMode="External" Target="https://spark-interfax.ru/system/home/card#/company/85D2B05C3CF24C749EE710F37655919C/101"/><Relationship Id="rId5143" Type="http://schemas.openxmlformats.org/officeDocument/2006/relationships/hyperlink" TargetMode="External" Target="https://spark-interfax.ru/system/home/card#/company/B87B561F64A640DABB8821AA7A7D76BE/101"/><Relationship Id="rId5144" Type="http://schemas.openxmlformats.org/officeDocument/2006/relationships/hyperlink" TargetMode="External" Target="https://spark-interfax.ru/system/home/card#/company/DF0231432D664864BD2A2C36F9C7C7F8/101"/><Relationship Id="rId5145" Type="http://schemas.openxmlformats.org/officeDocument/2006/relationships/hyperlink" TargetMode="External" Target="https://spark-interfax.ru/system/home/card#/company/3784912A41274D8081364F021CBF4A2F/101"/><Relationship Id="rId5146" Type="http://schemas.openxmlformats.org/officeDocument/2006/relationships/hyperlink" TargetMode="External" Target="https://spark-interfax.ru/system/home/card#/company/547B4E0F30484144950587924CA1B415/101"/><Relationship Id="rId5147" Type="http://schemas.openxmlformats.org/officeDocument/2006/relationships/hyperlink" TargetMode="External" Target="https://spark-interfax.ru/system/home/card#/company/E284D74FC7D740B79C7AD68A0E8D1C45/101"/><Relationship Id="rId5148" Type="http://schemas.openxmlformats.org/officeDocument/2006/relationships/hyperlink" TargetMode="External" Target="https://spark-interfax.ru/system/home/card#/company/FC63F7A726784E369316C86ECECA05E7/101"/><Relationship Id="rId5149" Type="http://schemas.openxmlformats.org/officeDocument/2006/relationships/hyperlink" TargetMode="External" Target="https://spark-interfax.ru/system/home/card#/company/7A99D38ED00046008AE580FD664313CC/101"/><Relationship Id="rId5150" Type="http://schemas.openxmlformats.org/officeDocument/2006/relationships/hyperlink" TargetMode="External" Target="https://spark-interfax.ru/system/home/card#/company/4047BB22A133415A8186DC6091779FDA/101"/><Relationship Id="rId5151" Type="http://schemas.openxmlformats.org/officeDocument/2006/relationships/hyperlink" TargetMode="External" Target="https://spark-interfax.ru/system/home/card#/company/678DC433E16E86D8E0531B9AA8C0B484/101"/><Relationship Id="rId5152" Type="http://schemas.openxmlformats.org/officeDocument/2006/relationships/hyperlink" TargetMode="External" Target="https://spark-interfax.ru/system/home/card#/company/C9601A86446743DE8A54122E10264C46/101"/><Relationship Id="rId5153" Type="http://schemas.openxmlformats.org/officeDocument/2006/relationships/hyperlink" TargetMode="External" Target="https://spark-interfax.ru/system/home/card#/company/A2E1B5472A4D4282AECCE797F5ED68DB/101"/><Relationship Id="rId5154" Type="http://schemas.openxmlformats.org/officeDocument/2006/relationships/hyperlink" TargetMode="External" Target="https://spark-interfax.ru/system/home/card#/company/2CCC20CA0CBA4B379A70234DE0AF8FB7/101"/><Relationship Id="rId5155" Type="http://schemas.openxmlformats.org/officeDocument/2006/relationships/hyperlink" TargetMode="External" Target="https://spark-interfax.ru/system/home/card#/company/22D366EAD5AF4AD2A243BAEE9CA7418A/101"/><Relationship Id="rId5156" Type="http://schemas.openxmlformats.org/officeDocument/2006/relationships/hyperlink" TargetMode="External" Target="https://spark-interfax.ru/system/home/card#/company/77E56547697447B0AD17727365D97764/101"/><Relationship Id="rId5157" Type="http://schemas.openxmlformats.org/officeDocument/2006/relationships/hyperlink" TargetMode="External" Target="https://spark-interfax.ru/system/home/card#/company/60A351AAD0484179E0531B9AA8C08241/101"/><Relationship Id="rId5158" Type="http://schemas.openxmlformats.org/officeDocument/2006/relationships/hyperlink" TargetMode="External" Target="https://spark-interfax.ru/system/home/card#/company/7250406FE69735B0E0531B9AA8C02AE0/101"/><Relationship Id="rId5159" Type="http://schemas.openxmlformats.org/officeDocument/2006/relationships/hyperlink" TargetMode="External" Target="https://spark-interfax.ru/system/home/card#/company/13454CA112BC4FDBBE1D51C1BADDF17C/101"/><Relationship Id="rId5160" Type="http://schemas.openxmlformats.org/officeDocument/2006/relationships/hyperlink" TargetMode="External" Target="https://spark-interfax.ru/system/home/card#/company/D38BC51F3C4B4C999BA6C8EEBCABE198/101"/><Relationship Id="rId5161" Type="http://schemas.openxmlformats.org/officeDocument/2006/relationships/hyperlink" TargetMode="External" Target="https://spark-interfax.ru/system/home/card#/company/3830F562A00445059FF87578F433B47F/101"/><Relationship Id="rId5162" Type="http://schemas.openxmlformats.org/officeDocument/2006/relationships/hyperlink" TargetMode="External" Target="https://spark-interfax.ru/system/home/card#/company/CF3E5E9F8B254F4BB7EB0831478D8D74/101"/><Relationship Id="rId5163" Type="http://schemas.openxmlformats.org/officeDocument/2006/relationships/hyperlink" TargetMode="External" Target="https://spark-interfax.ru/system/home/card#/company/A9C17E8E94634C3B93C30E62F79F5806/101"/><Relationship Id="rId5164" Type="http://schemas.openxmlformats.org/officeDocument/2006/relationships/hyperlink" TargetMode="External" Target="https://spark-interfax.ru/system/home/card#/company/81991CD95D7B4632B9D61FAAE99F1979/101"/><Relationship Id="rId5165" Type="http://schemas.openxmlformats.org/officeDocument/2006/relationships/hyperlink" TargetMode="External" Target="https://spark-interfax.ru/system/home/card#/company/2E6A19555C3F4F43AF4213C9271640BB/101"/><Relationship Id="rId5166" Type="http://schemas.openxmlformats.org/officeDocument/2006/relationships/hyperlink" TargetMode="External" Target="https://spark-interfax.ru/system/home/card#/company/35A19E96A0AF4FC6B842E66BCFA5F694/101"/><Relationship Id="rId5167" Type="http://schemas.openxmlformats.org/officeDocument/2006/relationships/hyperlink" TargetMode="External" Target="https://spark-interfax.ru/system/home/card#/company/4A349353C62C42B6B0FE33C041B259CB/101"/><Relationship Id="rId5168" Type="http://schemas.openxmlformats.org/officeDocument/2006/relationships/hyperlink" TargetMode="External" Target="https://spark-interfax.ru/system/home/card#/company/3566B079655E47AFA009251CF891DC23/101"/><Relationship Id="rId5169" Type="http://schemas.openxmlformats.org/officeDocument/2006/relationships/hyperlink" TargetMode="External" Target="https://spark-interfax.ru/system/home/card#/company/D460BCA1592845ECACE910F14BAF6947/101"/><Relationship Id="rId5170" Type="http://schemas.openxmlformats.org/officeDocument/2006/relationships/hyperlink" TargetMode="External" Target="https://spark-interfax.ru/system/home/card#/company/B56662CC162944BAB9C31D2354EBE5DB/101"/><Relationship Id="rId5171" Type="http://schemas.openxmlformats.org/officeDocument/2006/relationships/hyperlink" TargetMode="External" Target="https://spark-interfax.ru/system/home/card#/company/B168C24D27884504B904147A7417108B/101"/><Relationship Id="rId5172" Type="http://schemas.openxmlformats.org/officeDocument/2006/relationships/hyperlink" TargetMode="External" Target="https://spark-interfax.ru/system/home/card#/company/2F2317C505094006A26F2037F4D4365A/101"/><Relationship Id="rId5173" Type="http://schemas.openxmlformats.org/officeDocument/2006/relationships/hyperlink" TargetMode="External" Target="https://spark-interfax.ru/system/home/card#/company/5712E86FA203476292C3C4E82148260C/101"/><Relationship Id="rId5174" Type="http://schemas.openxmlformats.org/officeDocument/2006/relationships/hyperlink" TargetMode="External" Target="https://spark-interfax.ru/system/home/card#/company/222400F15487409D979CC3A88173CF48/101"/><Relationship Id="rId5175" Type="http://schemas.openxmlformats.org/officeDocument/2006/relationships/hyperlink" TargetMode="External" Target="https://spark-interfax.ru/system/home/card#/company/3D8674A8BBC2453394A6201EBF89855E/101"/><Relationship Id="rId5176" Type="http://schemas.openxmlformats.org/officeDocument/2006/relationships/hyperlink" TargetMode="External" Target="https://spark-interfax.ru/system/home/card#/company/CE26DF697C3E4DC18A52E3E0B0C96518/101"/><Relationship Id="rId5177" Type="http://schemas.openxmlformats.org/officeDocument/2006/relationships/hyperlink" TargetMode="External" Target="https://spark-interfax.ru/system/home/card#/company/055A2543CBE04F26A342E0F55C2B35AF/101"/><Relationship Id="rId5178" Type="http://schemas.openxmlformats.org/officeDocument/2006/relationships/hyperlink" TargetMode="External" Target="https://spark-interfax.ru/system/home/card#/company/E129CFCEB435460BB30B45951430B441/101"/><Relationship Id="rId5179" Type="http://schemas.openxmlformats.org/officeDocument/2006/relationships/hyperlink" TargetMode="External" Target="https://spark-interfax.ru/system/home/card#/company/B38EC964D6B74645AF3D035F8CC95EE6/101"/><Relationship Id="rId5180" Type="http://schemas.openxmlformats.org/officeDocument/2006/relationships/hyperlink" TargetMode="External" Target="https://spark-interfax.ru/system/home/card#/company/F20C21DA1EA54175BB3B7CF5EC752204/101"/><Relationship Id="rId5181" Type="http://schemas.openxmlformats.org/officeDocument/2006/relationships/hyperlink" TargetMode="External" Target="https://spark-interfax.ru/system/home/card#/company/CA37E63BDDEC4EB48A8447DEBE394B91/101"/><Relationship Id="rId5182" Type="http://schemas.openxmlformats.org/officeDocument/2006/relationships/hyperlink" TargetMode="External" Target="https://spark-interfax.ru/system/home/card#/company/779A79A92D3C457FAC65C5F2B6295FCC/101"/><Relationship Id="rId5183" Type="http://schemas.openxmlformats.org/officeDocument/2006/relationships/hyperlink" TargetMode="External" Target="https://spark-interfax.ru/system/home/card#/company/9BB4B4C70B494FBE9CD5BEEB43202098/101"/><Relationship Id="rId5184" Type="http://schemas.openxmlformats.org/officeDocument/2006/relationships/hyperlink" TargetMode="External" Target="https://spark-interfax.ru/system/home/card#/company/FAD98FB7C7B1475797D59CA72AC01E83/101"/><Relationship Id="rId5185" Type="http://schemas.openxmlformats.org/officeDocument/2006/relationships/hyperlink" TargetMode="External" Target="https://spark-interfax.ru/system/home/card#/company/899191081FC24B48BBA919A5C14807BB/101"/><Relationship Id="rId5186" Type="http://schemas.openxmlformats.org/officeDocument/2006/relationships/hyperlink" TargetMode="External" Target="https://spark-interfax.ru/system/home/card#/company/4D38E0865FD1481B8E288D56F8DACE11/101"/><Relationship Id="rId5187" Type="http://schemas.openxmlformats.org/officeDocument/2006/relationships/hyperlink" TargetMode="External" Target="https://spark-interfax.ru/system/home/card#/company/F05305992E704DDF9E18E9CB11AFE9E2/101"/><Relationship Id="rId5188" Type="http://schemas.openxmlformats.org/officeDocument/2006/relationships/hyperlink" TargetMode="External" Target="https://spark-interfax.ru/system/home/card#/company/8EF8FF00AB504D57A535D853DA89AECB/101"/><Relationship Id="rId5189" Type="http://schemas.openxmlformats.org/officeDocument/2006/relationships/hyperlink" TargetMode="External" Target="https://spark-interfax.ru/system/home/card#/company/7E699CFEE6164725A0351E7FE8C82161/101"/><Relationship Id="rId5190" Type="http://schemas.openxmlformats.org/officeDocument/2006/relationships/hyperlink" TargetMode="External" Target="https://spark-interfax.ru/system/home/card#/company/2EA4C4AE7F5A49FF842827E3505E6669/101"/><Relationship Id="rId5191" Type="http://schemas.openxmlformats.org/officeDocument/2006/relationships/hyperlink" TargetMode="External" Target="https://spark-interfax.ru/system/home/card#/company/E2E2EA91F5EF479292F960A6B1E04394/101"/><Relationship Id="rId5192" Type="http://schemas.openxmlformats.org/officeDocument/2006/relationships/hyperlink" TargetMode="External" Target="https://spark-interfax.ru/system/home/card#/company/7D54236002E14075A228CC69BFC848DC/101"/><Relationship Id="rId5193" Type="http://schemas.openxmlformats.org/officeDocument/2006/relationships/hyperlink" TargetMode="External" Target="https://spark-interfax.ru/system/home/card#/company/E16A0C0519F44CA2878E83756558F52C/101"/><Relationship Id="rId5194" Type="http://schemas.openxmlformats.org/officeDocument/2006/relationships/hyperlink" TargetMode="External" Target="https://spark-interfax.ru/system/home/card#/company/A9FF262BCA3646FC915165896B0BC8B5/101"/><Relationship Id="rId5195" Type="http://schemas.openxmlformats.org/officeDocument/2006/relationships/hyperlink" TargetMode="External" Target="https://spark-interfax.ru/system/home/card#/company/F73B38E1A57F4FA2BEDEE1DF1388C093/101"/><Relationship Id="rId5196" Type="http://schemas.openxmlformats.org/officeDocument/2006/relationships/hyperlink" TargetMode="External" Target="https://spark-interfax.ru/system/home/card#/company/E0DB59A578A740D984FAB8B1212914B3/101"/><Relationship Id="rId5197" Type="http://schemas.openxmlformats.org/officeDocument/2006/relationships/hyperlink" TargetMode="External" Target="https://spark-interfax.ru/system/home/card#/company/72F5A7F903D04E3A8DEBEE19FB2524BD/101"/><Relationship Id="rId5198" Type="http://schemas.openxmlformats.org/officeDocument/2006/relationships/hyperlink" TargetMode="External" Target="https://spark-interfax.ru/system/home/card#/company/B47FF2B28A9542C781D172D769B7AF67/101"/><Relationship Id="rId5199" Type="http://schemas.openxmlformats.org/officeDocument/2006/relationships/hyperlink" TargetMode="External" Target="https://spark-interfax.ru/system/home/card#/company/58AD47EAF0CB4755896C523D96AD1F62/101"/><Relationship Id="rId5200" Type="http://schemas.openxmlformats.org/officeDocument/2006/relationships/hyperlink" TargetMode="External" Target="https://spark-interfax.ru/system/home/card#/company/19D54E4DDABD4E918F65BF985F264F3D/101"/><Relationship Id="rId5201" Type="http://schemas.openxmlformats.org/officeDocument/2006/relationships/hyperlink" TargetMode="External" Target="https://spark-interfax.ru/system/home/card#/company/CA0EFBC4C7924141BA2089C8BDC83EBA/101"/><Relationship Id="rId5202" Type="http://schemas.openxmlformats.org/officeDocument/2006/relationships/hyperlink" TargetMode="External" Target="https://spark-interfax.ru/system/home/card#/company/7DC56C12B6C24B9A8EB883D29FE2B62C/101"/><Relationship Id="rId5203" Type="http://schemas.openxmlformats.org/officeDocument/2006/relationships/hyperlink" TargetMode="External" Target="https://spark-interfax.ru/system/home/card#/company/EF24FC9EF97A4273B63DB6CE24CD5F07/101"/><Relationship Id="rId5204" Type="http://schemas.openxmlformats.org/officeDocument/2006/relationships/hyperlink" TargetMode="External" Target="https://spark-interfax.ru/system/home/card#/company/0430DA9B37284E038ADBAB2955FD605C/101"/><Relationship Id="rId5205" Type="http://schemas.openxmlformats.org/officeDocument/2006/relationships/hyperlink" TargetMode="External" Target="https://spark-interfax.ru/system/home/card#/company/41E6B986BB9E4DA2984EEA9F96F0D21C/101"/><Relationship Id="rId5206" Type="http://schemas.openxmlformats.org/officeDocument/2006/relationships/hyperlink" TargetMode="External" Target="https://spark-interfax.ru/system/home/card#/company/013821E7E1B9435690DBDF8C4569325E/101"/><Relationship Id="rId5207" Type="http://schemas.openxmlformats.org/officeDocument/2006/relationships/hyperlink" TargetMode="External" Target="https://spark-interfax.ru/system/home/card#/company/EE17DFA681D6494C9F63ECA7E0AA72D5/101"/><Relationship Id="rId5208" Type="http://schemas.openxmlformats.org/officeDocument/2006/relationships/hyperlink" TargetMode="External" Target="https://spark-interfax.ru/system/home/card#/company/9837CE85B78E489CA50AC8DFB5936B1B/101"/><Relationship Id="rId5209" Type="http://schemas.openxmlformats.org/officeDocument/2006/relationships/hyperlink" TargetMode="External" Target="https://spark-interfax.ru/system/home/card#/company/3E4269F3EF384245A8EB65FD093A9D5B/101"/><Relationship Id="rId5210" Type="http://schemas.openxmlformats.org/officeDocument/2006/relationships/hyperlink" TargetMode="External" Target="https://spark-interfax.ru/system/home/card#/company/7D653294FD27463ABEB1A69A71954F1F/101"/><Relationship Id="rId5211" Type="http://schemas.openxmlformats.org/officeDocument/2006/relationships/hyperlink" TargetMode="External" Target="https://spark-interfax.ru/system/home/card#/company/4C9AC4359D714495B4CAC0F56589E88F/101"/><Relationship Id="rId5212" Type="http://schemas.openxmlformats.org/officeDocument/2006/relationships/hyperlink" TargetMode="External" Target="https://spark-interfax.ru/system/home/card#/company/E9F564101A24442CA14F3506AD88B183/101"/><Relationship Id="rId5213" Type="http://schemas.openxmlformats.org/officeDocument/2006/relationships/hyperlink" TargetMode="External" Target="https://spark-interfax.ru/system/home/card#/company/490DD1D928DE49C18E8027B52BEF1C62/101"/><Relationship Id="rId5214" Type="http://schemas.openxmlformats.org/officeDocument/2006/relationships/hyperlink" TargetMode="External" Target="https://spark-interfax.ru/system/home/card#/company/A51EB62887484DDEB45AE37F4DD50ED3/101"/><Relationship Id="rId5215" Type="http://schemas.openxmlformats.org/officeDocument/2006/relationships/hyperlink" TargetMode="External" Target="https://spark-interfax.ru/system/home/card#/company/D50E1D5C5A7E402E92C6BD37CAF1BCB5/101"/><Relationship Id="rId5216" Type="http://schemas.openxmlformats.org/officeDocument/2006/relationships/hyperlink" TargetMode="External" Target="https://spark-interfax.ru/system/home/card#/company/86F5946AF08C4670970C5ABEFC748ED2/101"/><Relationship Id="rId5217" Type="http://schemas.openxmlformats.org/officeDocument/2006/relationships/hyperlink" TargetMode="External" Target="https://spark-interfax.ru/system/home/card#/company/2C8E7A50530D4497AF4AA0B48D0B0C20/101"/><Relationship Id="rId5218" Type="http://schemas.openxmlformats.org/officeDocument/2006/relationships/hyperlink" TargetMode="External" Target="https://spark-interfax.ru/system/home/card#/company/27DB673DC9D3441FB310A9EE0F57B88C/101"/><Relationship Id="rId5219" Type="http://schemas.openxmlformats.org/officeDocument/2006/relationships/hyperlink" TargetMode="External" Target="https://spark-interfax.ru/system/home/card#/company/6312DBAFC56D897CE0531B9AA8C01242/101"/><Relationship Id="rId5220" Type="http://schemas.openxmlformats.org/officeDocument/2006/relationships/hyperlink" TargetMode="External" Target="https://spark-interfax.ru/system/home/card#/company/9F2A52F34121413EACF26A7FEA3B1072/101"/><Relationship Id="rId5221" Type="http://schemas.openxmlformats.org/officeDocument/2006/relationships/hyperlink" TargetMode="External" Target="https://spark-interfax.ru/system/home/card#/company/B5073B5CBB364221A1068A71F0A2EF8F/101"/><Relationship Id="rId5222" Type="http://schemas.openxmlformats.org/officeDocument/2006/relationships/hyperlink" TargetMode="External" Target="https://spark-interfax.ru/system/home/card#/company/43F18E4802EA481B9CCCDACC5B824E48/101"/><Relationship Id="rId5223" Type="http://schemas.openxmlformats.org/officeDocument/2006/relationships/hyperlink" TargetMode="External" Target="https://spark-interfax.ru/system/home/card#/company/D42C1BF73C0D4398B9F038992C8D9185/101"/><Relationship Id="rId5224" Type="http://schemas.openxmlformats.org/officeDocument/2006/relationships/hyperlink" TargetMode="External" Target="https://spark-interfax.ru/system/home/card#/company/4CF66EB659B6465F86CAC0F18B9A96D4/101"/><Relationship Id="rId5225" Type="http://schemas.openxmlformats.org/officeDocument/2006/relationships/hyperlink" TargetMode="External" Target="https://spark-interfax.ru/system/home/card#/company/7C0C9B45BF744ACC94992BA0ED91C4DB/101"/><Relationship Id="rId5226" Type="http://schemas.openxmlformats.org/officeDocument/2006/relationships/hyperlink" TargetMode="External" Target="https://spark-interfax.ru/system/home/card#/company/380BB89422354CF2BADE241697487ABE/101"/><Relationship Id="rId5227" Type="http://schemas.openxmlformats.org/officeDocument/2006/relationships/hyperlink" TargetMode="External" Target="https://spark-interfax.ru/system/home/card#/company/A7ACDDB41DBD42E5AAAAC3CD351D84FF/101"/><Relationship Id="rId5228" Type="http://schemas.openxmlformats.org/officeDocument/2006/relationships/hyperlink" TargetMode="External" Target="https://spark-interfax.ru/system/home/card#/company/AFD0A96A429C4D5DB042CB9E31476EF2/101"/><Relationship Id="rId5229" Type="http://schemas.openxmlformats.org/officeDocument/2006/relationships/hyperlink" TargetMode="External" Target="https://spark-interfax.ru/system/home/card#/company/0ED90ADE33604F2EAEA7F9AE6E9A7D17/101"/><Relationship Id="rId5230" Type="http://schemas.openxmlformats.org/officeDocument/2006/relationships/hyperlink" TargetMode="External" Target="https://spark-interfax.ru/system/home/card#/company/851DDE4E4BEF4C5AAFCCAE79C677D91C/101"/><Relationship Id="rId5231" Type="http://schemas.openxmlformats.org/officeDocument/2006/relationships/hyperlink" TargetMode="External" Target="https://spark-interfax.ru/system/home/card#/company/54CA443B66E742C084AC3705707F4439/101"/><Relationship Id="rId5232" Type="http://schemas.openxmlformats.org/officeDocument/2006/relationships/hyperlink" TargetMode="External" Target="https://spark-interfax.ru/system/home/card#/company/99851C3F3F52454D8E49C9ECC91039CF/101"/><Relationship Id="rId5233" Type="http://schemas.openxmlformats.org/officeDocument/2006/relationships/hyperlink" TargetMode="External" Target="https://spark-interfax.ru/system/home/card#/company/E0888679D6A249DF93CEF835FFFB9492/101"/><Relationship Id="rId5234" Type="http://schemas.openxmlformats.org/officeDocument/2006/relationships/hyperlink" TargetMode="External" Target="https://spark-interfax.ru/system/home/card#/company/937AE846FFE41D16E0531B9AA8C09ABF/101"/><Relationship Id="rId5235" Type="http://schemas.openxmlformats.org/officeDocument/2006/relationships/hyperlink" TargetMode="External" Target="https://spark-interfax.ru/system/home/card#/company/848FB93CBAF644798DDB9B4397156AF6/101"/><Relationship Id="rId5236" Type="http://schemas.openxmlformats.org/officeDocument/2006/relationships/hyperlink" TargetMode="External" Target="https://spark-interfax.ru/system/home/card#/company/6EF410EB78C54F8695C53F2A73EA6270/101"/><Relationship Id="rId5237" Type="http://schemas.openxmlformats.org/officeDocument/2006/relationships/hyperlink" TargetMode="External" Target="https://spark-interfax.ru/system/home/card#/company/A7D543C05DE91BABE053189AA8C05710/101"/><Relationship Id="rId5238" Type="http://schemas.openxmlformats.org/officeDocument/2006/relationships/hyperlink" TargetMode="External" Target="https://spark-interfax.ru/system/home/card#/company/45CF8829E0714C3FA76B73FCE85F1F5D/101"/><Relationship Id="rId5239" Type="http://schemas.openxmlformats.org/officeDocument/2006/relationships/hyperlink" TargetMode="External" Target="https://spark-interfax.ru/system/home/card#/company/536F88CF6C4C4A819789422F3C65705C/101"/><Relationship Id="rId5240" Type="http://schemas.openxmlformats.org/officeDocument/2006/relationships/hyperlink" TargetMode="External" Target="https://spark-interfax.ru/system/home/card#/company/8249AF4D360644449B211147A8DB6411/101"/><Relationship Id="rId5241" Type="http://schemas.openxmlformats.org/officeDocument/2006/relationships/hyperlink" TargetMode="External" Target="https://spark-interfax.ru/system/home/card#/company/832AF02487374ECD8963C318B74F1755/101"/><Relationship Id="rId5242" Type="http://schemas.openxmlformats.org/officeDocument/2006/relationships/hyperlink" TargetMode="External" Target="https://spark-interfax.ru/system/home/card#/company/C7B11C1C83CA4C93BEBDC87B940B68EC/101"/><Relationship Id="rId5243" Type="http://schemas.openxmlformats.org/officeDocument/2006/relationships/hyperlink" TargetMode="External" Target="https://spark-interfax.ru/system/home/card#/company/8C84E8C71C224112A122D02FCEF841F5/101"/><Relationship Id="rId5244" Type="http://schemas.openxmlformats.org/officeDocument/2006/relationships/hyperlink" TargetMode="External" Target="https://spark-interfax.ru/system/home/card#/company/05ACA33C7CE64D1D8C771C1457EDE6BF/101"/><Relationship Id="rId5245" Type="http://schemas.openxmlformats.org/officeDocument/2006/relationships/hyperlink" TargetMode="External" Target="https://spark-interfax.ru/system/home/card#/company/9C3315F0872946189B06CE841F981D55/101"/><Relationship Id="rId5246" Type="http://schemas.openxmlformats.org/officeDocument/2006/relationships/hyperlink" TargetMode="External" Target="https://spark-interfax.ru/system/home/card#/company/433B30D995CD44A78AEF8E0FA41F2F00/101"/><Relationship Id="rId5247" Type="http://schemas.openxmlformats.org/officeDocument/2006/relationships/hyperlink" TargetMode="External" Target="https://spark-interfax.ru/system/home/card#/company/013C02007D3E461DB3B6F5EC2C7C3630/101"/><Relationship Id="rId5248" Type="http://schemas.openxmlformats.org/officeDocument/2006/relationships/hyperlink" TargetMode="External" Target="https://spark-interfax.ru/system/home/card#/company/39241C684EAF4E419BE7CB0F7DFB49AD/101"/><Relationship Id="rId5249" Type="http://schemas.openxmlformats.org/officeDocument/2006/relationships/hyperlink" TargetMode="External" Target="https://spark-interfax.ru/system/home/card#/company/1C41C7188B864151B237A79F97BEFAF3/101"/><Relationship Id="rId5250" Type="http://schemas.openxmlformats.org/officeDocument/2006/relationships/hyperlink" TargetMode="External" Target="https://spark-interfax.ru/system/home/card#/company/3D8D518E96C64C8CB0FB3D758B7AACC1/101"/><Relationship Id="rId5251" Type="http://schemas.openxmlformats.org/officeDocument/2006/relationships/hyperlink" TargetMode="External" Target="https://spark-interfax.ru/system/home/card#/company/91EDF231FA3640D2B4EA02A55A426FB5/101"/><Relationship Id="rId5252" Type="http://schemas.openxmlformats.org/officeDocument/2006/relationships/hyperlink" TargetMode="External" Target="https://spark-interfax.ru/system/home/card#/company/BF2912F51607410EA4793922A9D786B2/101"/><Relationship Id="rId5253" Type="http://schemas.openxmlformats.org/officeDocument/2006/relationships/hyperlink" TargetMode="External" Target="https://spark-interfax.ru/system/home/card#/company/64F6615FEB414A69BED7E18A37573774/101"/><Relationship Id="rId5254" Type="http://schemas.openxmlformats.org/officeDocument/2006/relationships/hyperlink" TargetMode="External" Target="https://spark-interfax.ru/system/home/card#/company/E2DB84CD89B046C7BE066CBCF48CDA11/101"/><Relationship Id="rId5255" Type="http://schemas.openxmlformats.org/officeDocument/2006/relationships/hyperlink" TargetMode="External" Target="https://spark-interfax.ru/system/home/card#/company/AB719E8B5B545BE9E053189AA8C074EA/101"/><Relationship Id="rId5256" Type="http://schemas.openxmlformats.org/officeDocument/2006/relationships/hyperlink" TargetMode="External" Target="https://spark-interfax.ru/system/home/card#/company/69216EF6F9450F6FE0531B9AA8C0E65C/101"/><Relationship Id="rId5257" Type="http://schemas.openxmlformats.org/officeDocument/2006/relationships/hyperlink" TargetMode="External" Target="https://spark-interfax.ru/system/home/card#/company/205A6C646F604067A4315E518E0CA563/101"/><Relationship Id="rId5258" Type="http://schemas.openxmlformats.org/officeDocument/2006/relationships/hyperlink" TargetMode="External" Target="https://spark-interfax.ru/system/home/card#/company/30B4488EE1E44A74953A3B995AB44282/101"/><Relationship Id="rId5259" Type="http://schemas.openxmlformats.org/officeDocument/2006/relationships/hyperlink" TargetMode="External" Target="https://spark-interfax.ru/system/home/card#/company/8544BD10021C47CC9FEFB695B1BB3E26/101"/><Relationship Id="rId5260" Type="http://schemas.openxmlformats.org/officeDocument/2006/relationships/hyperlink" TargetMode="External" Target="https://spark-interfax.ru/system/home/card#/company/99B71409C2B049AAAF63CF0B62FB0E27/101"/><Relationship Id="rId5261" Type="http://schemas.openxmlformats.org/officeDocument/2006/relationships/hyperlink" TargetMode="External" Target="https://spark-interfax.ru/system/home/card#/company/AEE6ABF2161E281AE053189AA8C0D7FF/101"/><Relationship Id="rId5262" Type="http://schemas.openxmlformats.org/officeDocument/2006/relationships/hyperlink" TargetMode="External" Target="https://spark-interfax.ru/system/home/card#/company/EC0B0AB717724BC98D6B7263695E1AD0/101"/><Relationship Id="rId5263" Type="http://schemas.openxmlformats.org/officeDocument/2006/relationships/hyperlink" TargetMode="External" Target="https://spark-interfax.ru/system/home/card#/company/2525CC5552434989B4EB31C9DC2BB1A4/101"/><Relationship Id="rId5264" Type="http://schemas.openxmlformats.org/officeDocument/2006/relationships/hyperlink" TargetMode="External" Target="https://spark-interfax.ru/system/home/card#/company/7D8CE314989816AFE0531B9AA8C0338E/101"/><Relationship Id="rId5265" Type="http://schemas.openxmlformats.org/officeDocument/2006/relationships/hyperlink" TargetMode="External" Target="https://spark-interfax.ru/system/home/card#/company/4A0F63D0D3DC4DF28B4E6D6E307BC9AE/101"/><Relationship Id="rId5266" Type="http://schemas.openxmlformats.org/officeDocument/2006/relationships/hyperlink" TargetMode="External" Target="https://spark-interfax.ru/system/home/card#/company/E86DC55BBD424E21B3D14CF7D8CA149F/101"/><Relationship Id="rId5267" Type="http://schemas.openxmlformats.org/officeDocument/2006/relationships/hyperlink" TargetMode="External" Target="https://spark-interfax.ru/system/home/card#/company/649B765D00DE4613A0FE598BE74A4938/101"/><Relationship Id="rId5268" Type="http://schemas.openxmlformats.org/officeDocument/2006/relationships/hyperlink" TargetMode="External" Target="https://spark-interfax.ru/system/home/card#/company/63CC43A711814462B30236E5F83DE3DE/101"/><Relationship Id="rId5269" Type="http://schemas.openxmlformats.org/officeDocument/2006/relationships/hyperlink" TargetMode="External" Target="https://spark-interfax.ru/system/home/card#/company/1CD657B8A1D44E858F9691758FBD96BA/101"/><Relationship Id="rId5270" Type="http://schemas.openxmlformats.org/officeDocument/2006/relationships/hyperlink" TargetMode="External" Target="https://spark-interfax.ru/system/home/card#/company/CA88D2D065234FA1A4ECFA164BBEE757/101"/><Relationship Id="rId5271" Type="http://schemas.openxmlformats.org/officeDocument/2006/relationships/hyperlink" TargetMode="External" Target="https://spark-interfax.ru/system/home/card#/company/064175D0E7924A458C45AC5C3BFC5195/101"/><Relationship Id="rId5272" Type="http://schemas.openxmlformats.org/officeDocument/2006/relationships/hyperlink" TargetMode="External" Target="https://spark-interfax.ru/system/home/card#/company/29AE49F8B08D4CB2B0C0F2F4624EBA09/101"/><Relationship Id="rId5273" Type="http://schemas.openxmlformats.org/officeDocument/2006/relationships/hyperlink" TargetMode="External" Target="https://spark-interfax.ru/system/home/card#/company/AFEAD45E52BF443C8CA2CCA6EE791481/101"/><Relationship Id="rId5274" Type="http://schemas.openxmlformats.org/officeDocument/2006/relationships/hyperlink" TargetMode="External" Target="https://spark-interfax.ru/system/home/card#/company/4459C50235B442F2BBD042A74DCC4A4B/101"/><Relationship Id="rId5275" Type="http://schemas.openxmlformats.org/officeDocument/2006/relationships/hyperlink" TargetMode="External" Target="https://spark-interfax.ru/system/home/card#/company/0F559FE7320F4C77855ADE78BC8373C3/101"/><Relationship Id="rId5276" Type="http://schemas.openxmlformats.org/officeDocument/2006/relationships/hyperlink" TargetMode="External" Target="https://spark-interfax.ru/system/home/card#/company/C9C5B1E2D5B77506E053219AA8C05AD1/101"/><Relationship Id="rId5277" Type="http://schemas.openxmlformats.org/officeDocument/2006/relationships/hyperlink" TargetMode="External" Target="https://spark-interfax.ru/system/home/card#/company/976318D72C514D7FBEDC2E32D7135876/101"/><Relationship Id="rId5278" Type="http://schemas.openxmlformats.org/officeDocument/2006/relationships/hyperlink" TargetMode="External" Target="https://spark-interfax.ru/system/home/card#/company/685D8D2DA273475AB7B18925504E4E32/101"/><Relationship Id="rId5279" Type="http://schemas.openxmlformats.org/officeDocument/2006/relationships/hyperlink" TargetMode="External" Target="https://spark-interfax.ru/system/home/card#/company/265C3794291C487EB388F9D61E3A9E68/101"/><Relationship Id="rId5280" Type="http://schemas.openxmlformats.org/officeDocument/2006/relationships/hyperlink" TargetMode="External" Target="https://spark-interfax.ru/system/home/card#/company/37BEE42648064C6D8B3AFB4B12290108/101"/><Relationship Id="rId5281" Type="http://schemas.openxmlformats.org/officeDocument/2006/relationships/hyperlink" TargetMode="External" Target="https://spark-interfax.ru/system/home/card#/company/F55CEA1681214DAC8D295EAB63826E8B/101"/><Relationship Id="rId5282" Type="http://schemas.openxmlformats.org/officeDocument/2006/relationships/hyperlink" TargetMode="External" Target="https://spark-interfax.ru/system/home/card#/company/FD26433C9669417889D489B77481DE2D/101"/><Relationship Id="rId5283" Type="http://schemas.openxmlformats.org/officeDocument/2006/relationships/hyperlink" TargetMode="External" Target="https://spark-interfax.ru/system/home/card#/company/C857C0B9CDB34C4E9028DCD500B0CA69/101"/><Relationship Id="rId5284" Type="http://schemas.openxmlformats.org/officeDocument/2006/relationships/hyperlink" TargetMode="External" Target="https://spark-interfax.ru/system/home/card#/company/977BB25708294FEC8FA5F1484CDB5948/101"/><Relationship Id="rId5285" Type="http://schemas.openxmlformats.org/officeDocument/2006/relationships/hyperlink" TargetMode="External" Target="https://spark-interfax.ru/system/home/card#/company/447307D600384BB6903ABA920B628130/101"/><Relationship Id="rId5286" Type="http://schemas.openxmlformats.org/officeDocument/2006/relationships/hyperlink" TargetMode="External" Target="https://spark-interfax.ru/system/home/card#/company/B99E7AF143F84326B2EE80A2EA447578/101"/><Relationship Id="rId5287" Type="http://schemas.openxmlformats.org/officeDocument/2006/relationships/hyperlink" TargetMode="External" Target="https://spark-interfax.ru/system/home/card#/company/828201EAA0274835B9DC4979D8A4796C/101"/><Relationship Id="rId5288" Type="http://schemas.openxmlformats.org/officeDocument/2006/relationships/hyperlink" TargetMode="External" Target="https://spark-interfax.ru/system/home/card#/company/B3C09516A8714D07BCDD228669C407CF/101"/><Relationship Id="rId5289" Type="http://schemas.openxmlformats.org/officeDocument/2006/relationships/hyperlink" TargetMode="External" Target="https://spark-interfax.ru/system/home/card#/company/374AD1E145104062AA6B1A4C1FF55E5C/101"/><Relationship Id="rId5290" Type="http://schemas.openxmlformats.org/officeDocument/2006/relationships/hyperlink" TargetMode="External" Target="https://spark-interfax.ru/system/home/card#/company/E0186CF5F9DF4B16BE5F9E884F6A1ABF/101"/><Relationship Id="rId5291" Type="http://schemas.openxmlformats.org/officeDocument/2006/relationships/hyperlink" TargetMode="External" Target="https://spark-interfax.ru/system/home/card#/company/AC3431EE2D1A49DE8E87D835B2A59949/101"/><Relationship Id="rId5292" Type="http://schemas.openxmlformats.org/officeDocument/2006/relationships/hyperlink" TargetMode="External" Target="https://spark-interfax.ru/system/home/card#/company/F5B540C42E1148FC9AB4EAFE88B74D12/101"/><Relationship Id="rId5293" Type="http://schemas.openxmlformats.org/officeDocument/2006/relationships/hyperlink" TargetMode="External" Target="https://spark-interfax.ru/system/home/card#/company/B840CB6777AC4ADCAE6727BF9408DCB4/101"/><Relationship Id="rId5294" Type="http://schemas.openxmlformats.org/officeDocument/2006/relationships/hyperlink" TargetMode="External" Target="https://spark-interfax.ru/system/home/card#/company/5168B60C82B7463CB99CA85A3D4B39CF/101"/><Relationship Id="rId5295" Type="http://schemas.openxmlformats.org/officeDocument/2006/relationships/hyperlink" TargetMode="External" Target="https://spark-interfax.ru/system/home/card#/company/4FDCF5C9E0C542DCAC7CB142B40F01F1/101"/><Relationship Id="rId5296" Type="http://schemas.openxmlformats.org/officeDocument/2006/relationships/hyperlink" TargetMode="External" Target="https://spark-interfax.ru/system/home/card#/company/0AC1DA0404B747A89C48E169B180C545/101"/><Relationship Id="rId5297" Type="http://schemas.openxmlformats.org/officeDocument/2006/relationships/hyperlink" TargetMode="External" Target="https://spark-interfax.ru/system/home/card#/company/802E4F0BDE3740E1B1DE1D58748C89F0/101"/><Relationship Id="rId5298" Type="http://schemas.openxmlformats.org/officeDocument/2006/relationships/hyperlink" TargetMode="External" Target="https://spark-interfax.ru/system/home/card#/company/244AF0959C7441FCB4BDB8FA5C65E8C6/101"/><Relationship Id="rId5299" Type="http://schemas.openxmlformats.org/officeDocument/2006/relationships/hyperlink" TargetMode="External" Target="https://spark-interfax.ru/system/home/card#/company/D588D5E6C5B849499F8518513E170487/101"/><Relationship Id="rId5300" Type="http://schemas.openxmlformats.org/officeDocument/2006/relationships/hyperlink" TargetMode="External" Target="https://spark-interfax.ru/system/home/card#/company/999238989697401FB639CFD28572053D/101"/><Relationship Id="rId5301" Type="http://schemas.openxmlformats.org/officeDocument/2006/relationships/hyperlink" TargetMode="External" Target="https://spark-interfax.ru/system/home/card#/company/37B8512826AA4ADCBAFA236363B66311/101"/><Relationship Id="rId5302" Type="http://schemas.openxmlformats.org/officeDocument/2006/relationships/hyperlink" TargetMode="External" Target="https://spark-interfax.ru/system/home/card#/company/6B84E6F9BB5C4531912F09E93A3519D9/101"/><Relationship Id="rId5303" Type="http://schemas.openxmlformats.org/officeDocument/2006/relationships/hyperlink" TargetMode="External" Target="https://spark-interfax.ru/system/home/card#/company/543F37F8094F42EEB71F53238C99632B/101"/><Relationship Id="rId5304" Type="http://schemas.openxmlformats.org/officeDocument/2006/relationships/hyperlink" TargetMode="External" Target="https://spark-interfax.ru/system/home/card#/company/AF5CA0766ADE46FBB48B82D87E767170/101"/><Relationship Id="rId5305" Type="http://schemas.openxmlformats.org/officeDocument/2006/relationships/hyperlink" TargetMode="External" Target="https://spark-interfax.ru/system/home/card#/company/C5F900A1DDF34A718E83AB96A5D0BF11/101"/><Relationship Id="rId5306" Type="http://schemas.openxmlformats.org/officeDocument/2006/relationships/hyperlink" TargetMode="External" Target="https://spark-interfax.ru/system/home/card#/company/61434FF3AFD550E5E0531B9AA8C03B25/101"/><Relationship Id="rId5307" Type="http://schemas.openxmlformats.org/officeDocument/2006/relationships/hyperlink" TargetMode="External" Target="https://spark-interfax.ru/system/home/card#/company/B0E8A7E845D74DCE84A3107011DA2629/101"/><Relationship Id="rId5308" Type="http://schemas.openxmlformats.org/officeDocument/2006/relationships/hyperlink" TargetMode="External" Target="https://spark-interfax.ru/system/home/card#/company/850B72F0BA4A4435B5110C1351A2159F/101"/><Relationship Id="rId5309" Type="http://schemas.openxmlformats.org/officeDocument/2006/relationships/hyperlink" TargetMode="External" Target="https://spark-interfax.ru/system/home/card#/company/F015B2D714FE4156AE3748949545D9CF/101"/><Relationship Id="rId5310" Type="http://schemas.openxmlformats.org/officeDocument/2006/relationships/hyperlink" TargetMode="External" Target="https://spark-interfax.ru/system/home/card#/company/43C9D2708FFB403686A79E4E3B96099B/101"/><Relationship Id="rId5311" Type="http://schemas.openxmlformats.org/officeDocument/2006/relationships/hyperlink" TargetMode="External" Target="https://spark-interfax.ru/system/home/card#/company/DBC29B47DFDD451A9574A963ABFB9633/101"/><Relationship Id="rId5312" Type="http://schemas.openxmlformats.org/officeDocument/2006/relationships/hyperlink" TargetMode="External" Target="https://spark-interfax.ru/system/home/card#/company/F83172E50AA94FCBA27AD5FC8393376B/101"/><Relationship Id="rId5313" Type="http://schemas.openxmlformats.org/officeDocument/2006/relationships/hyperlink" TargetMode="External" Target="https://spark-interfax.ru/system/home/card#/company/B327C67B456F498DBD3B142B7EA36D36/101"/><Relationship Id="rId5314" Type="http://schemas.openxmlformats.org/officeDocument/2006/relationships/hyperlink" TargetMode="External" Target="https://spark-interfax.ru/system/home/card#/company/82FB4CE826144FA0925407B7F72187F3/101"/><Relationship Id="rId5315" Type="http://schemas.openxmlformats.org/officeDocument/2006/relationships/hyperlink" TargetMode="External" Target="https://spark-interfax.ru/system/home/card#/company/A65038C4FB094FD3A9963B1C7F221FF8/101"/><Relationship Id="rId5316" Type="http://schemas.openxmlformats.org/officeDocument/2006/relationships/hyperlink" TargetMode="External" Target="https://spark-interfax.ru/system/home/card#/company/8574C3F5CA7743D2AA1B73E46A31C424/101"/><Relationship Id="rId5317" Type="http://schemas.openxmlformats.org/officeDocument/2006/relationships/hyperlink" TargetMode="External" Target="https://spark-interfax.ru/system/home/card#/company/12EED7228C5A41648E82A43E688802E8/101"/><Relationship Id="rId5318" Type="http://schemas.openxmlformats.org/officeDocument/2006/relationships/hyperlink" TargetMode="External" Target="https://spark-interfax.ru/system/home/card#/company/0BF42C29798D48D983875B085FB88D96/101"/><Relationship Id="rId5319" Type="http://schemas.openxmlformats.org/officeDocument/2006/relationships/hyperlink" TargetMode="External" Target="https://spark-interfax.ru/system/home/card#/company/34D9EED1AD90478186B9B07ED66A596C/101"/><Relationship Id="rId5320" Type="http://schemas.openxmlformats.org/officeDocument/2006/relationships/hyperlink" TargetMode="External" Target="https://spark-interfax.ru/system/home/card#/company/03EDC61AE81F4F5CA12C89572ADD7A55/101"/><Relationship Id="rId5321" Type="http://schemas.openxmlformats.org/officeDocument/2006/relationships/hyperlink" TargetMode="External" Target="https://spark-interfax.ru/system/home/card#/company/2DF9D6B7088E439BA7BEC15094B1A267/101"/><Relationship Id="rId5322" Type="http://schemas.openxmlformats.org/officeDocument/2006/relationships/hyperlink" TargetMode="External" Target="https://spark-interfax.ru/system/home/card#/company/69B08B35C49A4B2B983C57BAB09CE38B/101"/><Relationship Id="rId5323" Type="http://schemas.openxmlformats.org/officeDocument/2006/relationships/hyperlink" TargetMode="External" Target="https://spark-interfax.ru/system/home/card#/company/80B1EC41C7178125E0531B9AA8C07B6A/101"/><Relationship Id="rId5324" Type="http://schemas.openxmlformats.org/officeDocument/2006/relationships/hyperlink" TargetMode="External" Target="https://spark-interfax.ru/system/home/card#/company/517503ABD27E4BFCAD64230675B5803E/101"/><Relationship Id="rId5325" Type="http://schemas.openxmlformats.org/officeDocument/2006/relationships/hyperlink" TargetMode="External" Target="https://spark-interfax.ru/system/home/card#/company/59C0863BD7FB491681374F00C9CE01FA/101"/><Relationship Id="rId5326" Type="http://schemas.openxmlformats.org/officeDocument/2006/relationships/hyperlink" TargetMode="External" Target="https://spark-interfax.ru/system/home/card#/company/C240E60293784CE8BE2AD0EF8D7256C3/101"/><Relationship Id="rId5327" Type="http://schemas.openxmlformats.org/officeDocument/2006/relationships/hyperlink" TargetMode="External" Target="https://spark-interfax.ru/system/home/card#/company/51535670763748F3A58225162CCECB8E/101"/><Relationship Id="rId5328" Type="http://schemas.openxmlformats.org/officeDocument/2006/relationships/hyperlink" TargetMode="External" Target="https://spark-interfax.ru/system/home/card#/company/5FB0795E4F36423EA5A1E237FDDC476C/101"/><Relationship Id="rId5329" Type="http://schemas.openxmlformats.org/officeDocument/2006/relationships/hyperlink" TargetMode="External" Target="https://spark-interfax.ru/system/home/card#/company/18592D552BE342088F60E3F931A150B1/101"/><Relationship Id="rId5330" Type="http://schemas.openxmlformats.org/officeDocument/2006/relationships/hyperlink" TargetMode="External" Target="https://spark-interfax.ru/system/home/card#/company/DD51671146D44F4D8550CF4BD78A9682/101"/><Relationship Id="rId5331" Type="http://schemas.openxmlformats.org/officeDocument/2006/relationships/hyperlink" TargetMode="External" Target="https://spark-interfax.ru/system/home/card#/company/29E5E75D2626448287599450F54631CD/101"/><Relationship Id="rId5332" Type="http://schemas.openxmlformats.org/officeDocument/2006/relationships/hyperlink" TargetMode="External" Target="https://spark-interfax.ru/system/home/card#/company/6B65EBB5C4E6613DE0531B9AA8C027CE/101"/><Relationship Id="rId5333" Type="http://schemas.openxmlformats.org/officeDocument/2006/relationships/hyperlink" TargetMode="External" Target="https://spark-interfax.ru/system/home/card#/company/AA0E33605E894DC089E8FC53CB3BA2A7/101"/><Relationship Id="rId5334" Type="http://schemas.openxmlformats.org/officeDocument/2006/relationships/hyperlink" TargetMode="External" Target="https://spark-interfax.ru/system/home/card#/company/C9C833875999494089778AD49B1687A3/101"/><Relationship Id="rId5335" Type="http://schemas.openxmlformats.org/officeDocument/2006/relationships/hyperlink" TargetMode="External" Target="https://spark-interfax.ru/system/home/card#/company/9D2FD4735BDA41DB9EDF6A914D11EFB7/101"/><Relationship Id="rId5336" Type="http://schemas.openxmlformats.org/officeDocument/2006/relationships/hyperlink" TargetMode="External" Target="https://spark-interfax.ru/system/home/card#/company/819ABC66E8364AD19FF130969DFFFF1D/101"/><Relationship Id="rId5337" Type="http://schemas.openxmlformats.org/officeDocument/2006/relationships/hyperlink" TargetMode="External" Target="https://spark-interfax.ru/system/home/card#/company/40A4F9009C654703BCECB0C34D63CDEC/101"/><Relationship Id="rId5338" Type="http://schemas.openxmlformats.org/officeDocument/2006/relationships/hyperlink" TargetMode="External" Target="https://spark-interfax.ru/system/home/card#/company/42517FE357F141098C8E040A4585E0E5/101"/><Relationship Id="rId5339" Type="http://schemas.openxmlformats.org/officeDocument/2006/relationships/hyperlink" TargetMode="External" Target="https://spark-interfax.ru/system/home/card#/company/23158FA4579A48538DCB44A4D30E99AD/101"/><Relationship Id="rId5340" Type="http://schemas.openxmlformats.org/officeDocument/2006/relationships/hyperlink" TargetMode="External" Target="https://spark-interfax.ru/system/home/card#/company/BA0BDA89689D4AC3BCAD46EFD991D824/101"/><Relationship Id="rId5341" Type="http://schemas.openxmlformats.org/officeDocument/2006/relationships/hyperlink" TargetMode="External" Target="https://spark-interfax.ru/system/home/card#/company/61C9FBF173DD4112AF9B0B420A583595/101"/><Relationship Id="rId5342" Type="http://schemas.openxmlformats.org/officeDocument/2006/relationships/hyperlink" TargetMode="External" Target="https://spark-interfax.ru/system/home/card#/company/4CCE5B93867F434DB21D8BE4140948A3/101"/><Relationship Id="rId5343" Type="http://schemas.openxmlformats.org/officeDocument/2006/relationships/hyperlink" TargetMode="External" Target="https://spark-interfax.ru/system/home/card#/company/63FC1315A66540948A8DF2ACFD6611BD/101"/><Relationship Id="rId5344" Type="http://schemas.openxmlformats.org/officeDocument/2006/relationships/hyperlink" TargetMode="External" Target="https://spark-interfax.ru/system/home/card#/company/9AE2F1E69FBE4DBF97E029E77E1A2CCA/101"/><Relationship Id="rId5345" Type="http://schemas.openxmlformats.org/officeDocument/2006/relationships/hyperlink" TargetMode="External" Target="https://spark-interfax.ru/system/home/card#/company/BA8295746E4945EAB0D4EF452B3665C0/101"/><Relationship Id="rId5346" Type="http://schemas.openxmlformats.org/officeDocument/2006/relationships/hyperlink" TargetMode="External" Target="https://spark-interfax.ru/system/home/card#/company/97179BE40B234B4791DAB0FCFE388FD6/101"/><Relationship Id="rId5347" Type="http://schemas.openxmlformats.org/officeDocument/2006/relationships/hyperlink" TargetMode="External" Target="https://spark-interfax.ru/system/home/card#/company/7171B11F2FFA4B22BA51FCF329D56881/101"/><Relationship Id="rId5348" Type="http://schemas.openxmlformats.org/officeDocument/2006/relationships/hyperlink" TargetMode="External" Target="https://spark-interfax.ru/system/home/card#/company/BFE152A35EF945BEA299E71192AA62D7/101"/><Relationship Id="rId5349" Type="http://schemas.openxmlformats.org/officeDocument/2006/relationships/hyperlink" TargetMode="External" Target="https://spark-interfax.ru/system/home/card#/company/74F80DE574E4488F8D06982A51C5CB87/101"/><Relationship Id="rId5350" Type="http://schemas.openxmlformats.org/officeDocument/2006/relationships/hyperlink" TargetMode="External" Target="https://spark-interfax.ru/system/home/card#/company/C5BFA7D05CCF4D8BA2832EE2F247CB89/101"/><Relationship Id="rId5351" Type="http://schemas.openxmlformats.org/officeDocument/2006/relationships/hyperlink" TargetMode="External" Target="https://spark-interfax.ru/system/home/card#/company/00DC2240F95F498F89C8F2F10E7D7549/101"/><Relationship Id="rId5352" Type="http://schemas.openxmlformats.org/officeDocument/2006/relationships/hyperlink" TargetMode="External" Target="https://spark-interfax.ru/system/home/card#/company/2B0D6493B4B445208CE04C5D8194A3A3/101"/><Relationship Id="rId5353" Type="http://schemas.openxmlformats.org/officeDocument/2006/relationships/hyperlink" TargetMode="External" Target="https://spark-interfax.ru/system/home/card#/company/7BF75BDF1777438EA3DAFC108AEBF5A1/101"/><Relationship Id="rId5354" Type="http://schemas.openxmlformats.org/officeDocument/2006/relationships/hyperlink" TargetMode="External" Target="https://spark-interfax.ru/system/home/card#/company/FCB8E289D70B4598ACDDF25F2AE42B2B/101"/><Relationship Id="rId5355" Type="http://schemas.openxmlformats.org/officeDocument/2006/relationships/hyperlink" TargetMode="External" Target="https://spark-interfax.ru/system/home/card#/company/E80A6EEC3091432189592CB2A402A036/101"/><Relationship Id="rId5356" Type="http://schemas.openxmlformats.org/officeDocument/2006/relationships/hyperlink" TargetMode="External" Target="https://spark-interfax.ru/system/home/card#/company/E2C2B25D0C0B405AE053259AA8C01AD1/101"/><Relationship Id="rId5357" Type="http://schemas.openxmlformats.org/officeDocument/2006/relationships/hyperlink" TargetMode="External" Target="https://spark-interfax.ru/system/home/card#/company/4D512466443D42409D5571302C7BCF94/101"/><Relationship Id="rId5358" Type="http://schemas.openxmlformats.org/officeDocument/2006/relationships/hyperlink" TargetMode="External" Target="https://spark-interfax.ru/system/home/card#/company/2393CF9880C34C00BD32255785F366B8/101"/><Relationship Id="rId5359" Type="http://schemas.openxmlformats.org/officeDocument/2006/relationships/hyperlink" TargetMode="External" Target="https://spark-interfax.ru/system/home/card#/company/26295B9369F14C31BD9C1E50FDE3BFB5/101"/><Relationship Id="rId5360" Type="http://schemas.openxmlformats.org/officeDocument/2006/relationships/hyperlink" TargetMode="External" Target="https://spark-interfax.ru/system/home/card#/company/C0815638FA564A20B08B4ADBF199D5A1/101"/><Relationship Id="rId5361" Type="http://schemas.openxmlformats.org/officeDocument/2006/relationships/hyperlink" TargetMode="External" Target="https://spark-interfax.ru/system/home/card#/company/27D55E78F16749AC99C350C375C5D551/101"/><Relationship Id="rId5362" Type="http://schemas.openxmlformats.org/officeDocument/2006/relationships/hyperlink" TargetMode="External" Target="https://spark-interfax.ru/system/home/card#/company/DF812F98BF8B45A28605668AE56FFA4A/101"/><Relationship Id="rId5363" Type="http://schemas.openxmlformats.org/officeDocument/2006/relationships/hyperlink" TargetMode="External" Target="https://spark-interfax.ru/system/home/card#/company/0322C2C89EE645B5835C4E536E6F3674/101"/><Relationship Id="rId5364" Type="http://schemas.openxmlformats.org/officeDocument/2006/relationships/hyperlink" TargetMode="External" Target="https://spark-interfax.ru/system/home/card#/company/35533BEAE31E42C289953190F8A79CAA/101"/><Relationship Id="rId5365" Type="http://schemas.openxmlformats.org/officeDocument/2006/relationships/hyperlink" TargetMode="External" Target="https://spark-interfax.ru/system/home/card#/company/00DB5E5C14D84C7BA50124F6D110E993/101"/><Relationship Id="rId5366" Type="http://schemas.openxmlformats.org/officeDocument/2006/relationships/hyperlink" TargetMode="External" Target="https://spark-interfax.ru/system/home/card#/company/23CDFAF466674910A7180ECF1FEDAAA3/101"/><Relationship Id="rId5367" Type="http://schemas.openxmlformats.org/officeDocument/2006/relationships/hyperlink" TargetMode="External" Target="https://spark-interfax.ru/system/home/card#/company/4380AFDE2BFE46D2B00C51998AD81C4B/101"/><Relationship Id="rId5368" Type="http://schemas.openxmlformats.org/officeDocument/2006/relationships/hyperlink" TargetMode="External" Target="https://spark-interfax.ru/system/home/card#/company/2B3F7648E9B04645AE457EAA627AB9EA/101"/><Relationship Id="rId5369" Type="http://schemas.openxmlformats.org/officeDocument/2006/relationships/hyperlink" TargetMode="External" Target="https://spark-interfax.ru/system/home/card#/company/B99B4EA29C6E4C77ABFA12D6D06FE1F4/101"/><Relationship Id="rId5370" Type="http://schemas.openxmlformats.org/officeDocument/2006/relationships/hyperlink" TargetMode="External" Target="https://spark-interfax.ru/system/home/card#/company/B686647FE5F06D2AE053219AA8C0D693/101"/><Relationship Id="rId5371" Type="http://schemas.openxmlformats.org/officeDocument/2006/relationships/hyperlink" TargetMode="External" Target="https://spark-interfax.ru/system/home/card#/company/C8F89BD0C2424E9DABA6587C20778BF6/101"/><Relationship Id="rId5372" Type="http://schemas.openxmlformats.org/officeDocument/2006/relationships/hyperlink" TargetMode="External" Target="https://spark-interfax.ru/system/home/card#/company/8FF69F3A472449589AC2B5CF64574B72/101"/><Relationship Id="rId5373" Type="http://schemas.openxmlformats.org/officeDocument/2006/relationships/hyperlink" TargetMode="External" Target="https://spark-interfax.ru/system/home/card#/company/126A607141BE4B1BABE7E2A914120A48/101"/><Relationship Id="rId5374" Type="http://schemas.openxmlformats.org/officeDocument/2006/relationships/hyperlink" TargetMode="External" Target="https://spark-interfax.ru/system/home/card#/company/9BF7DB2CE10147DE9AA6C711E2EFCC48/101"/><Relationship Id="rId5375" Type="http://schemas.openxmlformats.org/officeDocument/2006/relationships/hyperlink" TargetMode="External" Target="https://spark-interfax.ru/system/home/card#/company/7AB9A194CA7E6235E0531F9AA8C0DC00/101"/><Relationship Id="rId5376" Type="http://schemas.openxmlformats.org/officeDocument/2006/relationships/hyperlink" TargetMode="External" Target="https://spark-interfax.ru/system/home/card#/company/82B30B34EB398454E0531B9AA8C0ACBB/101"/><Relationship Id="rId5377" Type="http://schemas.openxmlformats.org/officeDocument/2006/relationships/hyperlink" TargetMode="External" Target="https://spark-interfax.ru/system/home/card#/company/729FF2D396494EC1AFF0DCD814DF8B9E/101"/><Relationship Id="rId5378" Type="http://schemas.openxmlformats.org/officeDocument/2006/relationships/hyperlink" TargetMode="External" Target="https://spark-interfax.ru/system/home/card#/company/A0953128F8A54EB19940AEA0B9ADBF2B/101"/><Relationship Id="rId5379" Type="http://schemas.openxmlformats.org/officeDocument/2006/relationships/hyperlink" TargetMode="External" Target="https://spark-interfax.ru/system/home/card#/company/1E332362CE76430CA99B66A2C8C7F9B7/101"/><Relationship Id="rId5380" Type="http://schemas.openxmlformats.org/officeDocument/2006/relationships/hyperlink" TargetMode="External" Target="https://spark-interfax.ru/system/home/card#/company/289FBDEC873344E88055E8ABB3FBAA07/101"/><Relationship Id="rId5381" Type="http://schemas.openxmlformats.org/officeDocument/2006/relationships/hyperlink" TargetMode="External" Target="https://spark-interfax.ru/system/home/card#/company/2E2763B22BE94DC591F1ADB4E5737212/101"/><Relationship Id="rId5382" Type="http://schemas.openxmlformats.org/officeDocument/2006/relationships/hyperlink" TargetMode="External" Target="https://spark-interfax.ru/system/home/card#/company/63F359444E15412F95171F8247FF7E04/101"/><Relationship Id="rId5383" Type="http://schemas.openxmlformats.org/officeDocument/2006/relationships/hyperlink" TargetMode="External" Target="https://spark-interfax.ru/system/home/card#/company/294DB7AB31174827BC6FFE7E604CCBD3/101"/><Relationship Id="rId5384" Type="http://schemas.openxmlformats.org/officeDocument/2006/relationships/hyperlink" TargetMode="External" Target="https://spark-interfax.ru/system/home/card#/company/8447822B22C94907AFB51072AB694C3A/101"/><Relationship Id="rId5385" Type="http://schemas.openxmlformats.org/officeDocument/2006/relationships/hyperlink" TargetMode="External" Target="https://spark-interfax.ru/system/home/card#/company/FF0C61BE156D4DFE8CA87C454BE99159/101"/><Relationship Id="rId5386" Type="http://schemas.openxmlformats.org/officeDocument/2006/relationships/hyperlink" TargetMode="External" Target="https://spark-interfax.ru/system/home/card#/company/361A36B0463540079A211405418D33FF/101"/><Relationship Id="rId5387" Type="http://schemas.openxmlformats.org/officeDocument/2006/relationships/hyperlink" TargetMode="External" Target="https://spark-interfax.ru/system/home/card#/company/8F7ADD8D63CF4B299BBFF1D6BE992D15/101"/><Relationship Id="rId5388" Type="http://schemas.openxmlformats.org/officeDocument/2006/relationships/hyperlink" TargetMode="External" Target="https://spark-interfax.ru/system/home/card#/company/DDEE1F0C3AE54F599CDE351C15FE2F6A/101"/><Relationship Id="rId5389" Type="http://schemas.openxmlformats.org/officeDocument/2006/relationships/hyperlink" TargetMode="External" Target="https://spark-interfax.ru/system/home/card#/company/481CC4CC10F747EA81429A4E4F66ABBE/101"/><Relationship Id="rId5390" Type="http://schemas.openxmlformats.org/officeDocument/2006/relationships/hyperlink" TargetMode="External" Target="https://spark-interfax.ru/system/home/card#/company/988B2C3BEA504F53BB9AE2A77C363F43/101"/><Relationship Id="rId5391" Type="http://schemas.openxmlformats.org/officeDocument/2006/relationships/hyperlink" TargetMode="External" Target="https://spark-interfax.ru/system/home/card#/company/CDE789FFE2364A49BE67CC21ED0ADA30/101"/><Relationship Id="rId5392" Type="http://schemas.openxmlformats.org/officeDocument/2006/relationships/hyperlink" TargetMode="External" Target="https://spark-interfax.ru/system/home/card#/company/75D40898B6734A65AC84E5E389171F87/101"/><Relationship Id="rId5393" Type="http://schemas.openxmlformats.org/officeDocument/2006/relationships/hyperlink" TargetMode="External" Target="https://spark-interfax.ru/system/home/card#/company/CCBE1EFF068049D8B2985A8BF98B6786/101"/><Relationship Id="rId5394" Type="http://schemas.openxmlformats.org/officeDocument/2006/relationships/hyperlink" TargetMode="External" Target="https://spark-interfax.ru/system/home/card#/company/7F87CA6A898E76B9E0531B9AA8C0C9C4/101"/><Relationship Id="rId5395" Type="http://schemas.openxmlformats.org/officeDocument/2006/relationships/hyperlink" TargetMode="External" Target="https://spark-interfax.ru/system/home/card#/company/40B0EFB524FC471FAC029E016ACA06B4/101"/><Relationship Id="rId5396" Type="http://schemas.openxmlformats.org/officeDocument/2006/relationships/hyperlink" TargetMode="External" Target="https://spark-interfax.ru/system/home/card#/company/4FCB47E3FCC74A419AEAB6B8D35B2F66/101"/><Relationship Id="rId5397" Type="http://schemas.openxmlformats.org/officeDocument/2006/relationships/hyperlink" TargetMode="External" Target="https://spark-interfax.ru/system/home/card#/company/74254B291146454EA1422E20AD1E5A3B/101"/><Relationship Id="rId5398" Type="http://schemas.openxmlformats.org/officeDocument/2006/relationships/hyperlink" TargetMode="External" Target="https://spark-interfax.ru/system/home/card#/company/7160BA657DD24A4FAF5BF37AF6B6B72B/101"/><Relationship Id="rId5399" Type="http://schemas.openxmlformats.org/officeDocument/2006/relationships/hyperlink" TargetMode="External" Target="https://spark-interfax.ru/system/home/card#/company/AC037429BD584B2CBBD3F427D3497EC0/101"/><Relationship Id="rId5400" Type="http://schemas.openxmlformats.org/officeDocument/2006/relationships/hyperlink" TargetMode="External" Target="https://spark-interfax.ru/system/home/card#/company/A1D6BA0940114E0DB978D3FF2AA64328/101"/><Relationship Id="rId5401" Type="http://schemas.openxmlformats.org/officeDocument/2006/relationships/hyperlink" TargetMode="External" Target="https://spark-interfax.ru/system/home/card#/company/F79A2EC1EEC84F9CB3E369CC1BAD8D84/101"/><Relationship Id="rId5402" Type="http://schemas.openxmlformats.org/officeDocument/2006/relationships/hyperlink" TargetMode="External" Target="https://spark-interfax.ru/system/home/card#/company/A2BF692211594B7FAA13A7AC4934E645/101"/><Relationship Id="rId5403" Type="http://schemas.openxmlformats.org/officeDocument/2006/relationships/hyperlink" TargetMode="External" Target="https://spark-interfax.ru/system/home/card#/company/C49ED165873C4FF4B171DEB11F9612A0/101"/><Relationship Id="rId5404" Type="http://schemas.openxmlformats.org/officeDocument/2006/relationships/hyperlink" TargetMode="External" Target="https://spark-interfax.ru/system/home/card#/company/BF937EF202814822BE7A3C77D7F2F9EB/101"/><Relationship Id="rId5405" Type="http://schemas.openxmlformats.org/officeDocument/2006/relationships/hyperlink" TargetMode="External" Target="https://spark-interfax.ru/system/home/card#/company/EB7800B0D79C4789B44FB7CEEB2B65F8/101"/><Relationship Id="rId5406" Type="http://schemas.openxmlformats.org/officeDocument/2006/relationships/hyperlink" TargetMode="External" Target="https://spark-interfax.ru/system/home/card#/company/4AF5C1CA3DDD4D53A9783A850FE33F47/101"/><Relationship Id="rId5407" Type="http://schemas.openxmlformats.org/officeDocument/2006/relationships/hyperlink" TargetMode="External" Target="https://spark-interfax.ru/system/home/card#/company/FCA6A5FD0F13440693A8F26ADE7E3FDC/101"/><Relationship Id="rId5408" Type="http://schemas.openxmlformats.org/officeDocument/2006/relationships/hyperlink" TargetMode="External" Target="https://spark-interfax.ru/system/home/card#/company/A184D572A62E46DAA9E3AFDF8C3EE856/101"/><Relationship Id="rId5409" Type="http://schemas.openxmlformats.org/officeDocument/2006/relationships/hyperlink" TargetMode="External" Target="https://spark-interfax.ru/system/home/card#/company/732EA7E40A963F96E0531B9AA8C0DCB0/101"/><Relationship Id="rId5410" Type="http://schemas.openxmlformats.org/officeDocument/2006/relationships/hyperlink" TargetMode="External" Target="https://spark-interfax.ru/system/home/card#/company/3979DE971ADC44A0913F7F2FC75F1613/101"/><Relationship Id="rId5411" Type="http://schemas.openxmlformats.org/officeDocument/2006/relationships/hyperlink" TargetMode="External" Target="https://spark-interfax.ru/system/home/card#/company/8D81F6589DAB8326E0531C9AA8C029F7/101"/><Relationship Id="rId5412" Type="http://schemas.openxmlformats.org/officeDocument/2006/relationships/hyperlink" TargetMode="External" Target="https://spark-interfax.ru/system/home/card#/company/EC50509A7C85434FAF0C8689D853C6DD/101"/><Relationship Id="rId5413" Type="http://schemas.openxmlformats.org/officeDocument/2006/relationships/hyperlink" TargetMode="External" Target="https://spark-interfax.ru/system/home/card#/company/2C958D99166C4D1CA8D4E3C0EEFB7BA7/101"/><Relationship Id="rId5414" Type="http://schemas.openxmlformats.org/officeDocument/2006/relationships/hyperlink" TargetMode="External" Target="https://spark-interfax.ru/system/home/card#/company/4A10D1E4C4A24FD293EE18FAA3C30834/101"/><Relationship Id="rId5415" Type="http://schemas.openxmlformats.org/officeDocument/2006/relationships/hyperlink" TargetMode="External" Target="https://spark-interfax.ru/system/home/card#/company/442146B82535430CBF09BB1342A1FF73/101"/><Relationship Id="rId5416" Type="http://schemas.openxmlformats.org/officeDocument/2006/relationships/hyperlink" TargetMode="External" Target="https://spark-interfax.ru/system/home/card#/company/B755A0CCB88842C0B856CFEB4386DD84/101"/><Relationship Id="rId5417" Type="http://schemas.openxmlformats.org/officeDocument/2006/relationships/hyperlink" TargetMode="External" Target="https://spark-interfax.ru/system/home/card#/company/B6309C810946451395E71B36A24772F1/101"/><Relationship Id="rId5418" Type="http://schemas.openxmlformats.org/officeDocument/2006/relationships/hyperlink" TargetMode="External" Target="https://spark-interfax.ru/system/home/card#/company/DF4E45785A2038E2E053259AA8C05C1C/101"/><Relationship Id="rId5419" Type="http://schemas.openxmlformats.org/officeDocument/2006/relationships/hyperlink" TargetMode="External" Target="https://spark-interfax.ru/system/home/card#/company/D69425B2278247CB975D74CA6AB6C1F5/101"/><Relationship Id="rId5420" Type="http://schemas.openxmlformats.org/officeDocument/2006/relationships/hyperlink" TargetMode="External" Target="https://spark-interfax.ru/system/home/card#/company/A7AE4974922B43B1B5B743D001F78E1D/101"/><Relationship Id="rId5421" Type="http://schemas.openxmlformats.org/officeDocument/2006/relationships/hyperlink" TargetMode="External" Target="https://spark-interfax.ru/system/home/card#/company/5B0CC08769EA41718193048108AE8710/101"/><Relationship Id="rId5422" Type="http://schemas.openxmlformats.org/officeDocument/2006/relationships/hyperlink" TargetMode="External" Target="https://spark-interfax.ru/system/home/card#/company/AED90BD049484A42A161554F1C9C9B94/101"/><Relationship Id="rId5423" Type="http://schemas.openxmlformats.org/officeDocument/2006/relationships/hyperlink" TargetMode="External" Target="https://spark-interfax.ru/system/home/card#/company/C49843DF80904F71B53CC1F78D65507C/101"/><Relationship Id="rId5424" Type="http://schemas.openxmlformats.org/officeDocument/2006/relationships/hyperlink" TargetMode="External" Target="https://spark-interfax.ru/system/home/card#/company/83F80AE9B03E4828972B43D97258DA20/101"/><Relationship Id="rId5425" Type="http://schemas.openxmlformats.org/officeDocument/2006/relationships/hyperlink" TargetMode="External" Target="https://spark-interfax.ru/system/home/card#/company/D73BA4E481C34DAEAB3C75AD71D27BDA/101"/><Relationship Id="rId5426" Type="http://schemas.openxmlformats.org/officeDocument/2006/relationships/hyperlink" TargetMode="External" Target="https://spark-interfax.ru/system/home/card#/company/A019706A56A944079C81C239B2762F6A/101"/><Relationship Id="rId5427" Type="http://schemas.openxmlformats.org/officeDocument/2006/relationships/hyperlink" TargetMode="External" Target="https://spark-interfax.ru/system/home/card#/company/81E75A5BA45F4E928B7C5309C70FE992/101"/><Relationship Id="rId5428" Type="http://schemas.openxmlformats.org/officeDocument/2006/relationships/hyperlink" TargetMode="External" Target="https://spark-interfax.ru/system/home/card#/company/1532A94528EE462C8E344D1C514E965F/101"/><Relationship Id="rId5429" Type="http://schemas.openxmlformats.org/officeDocument/2006/relationships/hyperlink" TargetMode="External" Target="https://spark-interfax.ru/system/home/card#/company/46667BE1ACFC412A86BFB08E0AF584FA/101"/><Relationship Id="rId5430" Type="http://schemas.openxmlformats.org/officeDocument/2006/relationships/hyperlink" TargetMode="External" Target="https://spark-interfax.ru/system/home/card#/company/8A04D0C1B369420789B2C1F0794E308F/101"/><Relationship Id="rId5431" Type="http://schemas.openxmlformats.org/officeDocument/2006/relationships/hyperlink" TargetMode="External" Target="https://spark-interfax.ru/system/home/card#/company/1CC2AA98F57948C1AC7E36FE1CA6C69B/101"/><Relationship Id="rId5432" Type="http://schemas.openxmlformats.org/officeDocument/2006/relationships/hyperlink" TargetMode="External" Target="https://spark-interfax.ru/system/home/card#/company/9F7E40364DB045BDA14AB45AFE186083/101"/><Relationship Id="rId5433" Type="http://schemas.openxmlformats.org/officeDocument/2006/relationships/hyperlink" TargetMode="External" Target="https://spark-interfax.ru/system/home/card#/company/382000052306422E9CC6B61B407139AC/101"/><Relationship Id="rId5434" Type="http://schemas.openxmlformats.org/officeDocument/2006/relationships/hyperlink" TargetMode="External" Target="https://spark-interfax.ru/system/home/card#/company/E0AFDED6DF96495DAB9573086FB2333F/101"/><Relationship Id="rId5435" Type="http://schemas.openxmlformats.org/officeDocument/2006/relationships/hyperlink" TargetMode="External" Target="https://spark-interfax.ru/system/home/card#/company/5A9DEF210C15428C9ADEAD024B99B87D/101"/><Relationship Id="rId5436" Type="http://schemas.openxmlformats.org/officeDocument/2006/relationships/hyperlink" TargetMode="External" Target="https://spark-interfax.ru/system/home/card#/company/D7A4345D3B79446DAC003E08299CF1CD/101"/><Relationship Id="rId5437" Type="http://schemas.openxmlformats.org/officeDocument/2006/relationships/hyperlink" TargetMode="External" Target="https://spark-interfax.ru/system/home/card#/company/F5E10B6F7D7C42F1A5335EA94F28CC15/101"/><Relationship Id="rId5438" Type="http://schemas.openxmlformats.org/officeDocument/2006/relationships/hyperlink" TargetMode="External" Target="https://spark-interfax.ru/system/home/card#/company/88192AA2F73547B2A335842132EADD2C/101"/><Relationship Id="rId5439" Type="http://schemas.openxmlformats.org/officeDocument/2006/relationships/hyperlink" TargetMode="External" Target="https://spark-interfax.ru/system/home/card#/company/65B174624B3B4ABFAF787B4FD37C2B4A/101"/><Relationship Id="rId5440" Type="http://schemas.openxmlformats.org/officeDocument/2006/relationships/hyperlink" TargetMode="External" Target="https://spark-interfax.ru/system/home/card#/company/B03B0BB3909140AAB6FF9799811493F1/101"/><Relationship Id="rId5441" Type="http://schemas.openxmlformats.org/officeDocument/2006/relationships/hyperlink" TargetMode="External" Target="https://spark-interfax.ru/system/home/card#/company/B09634CE1FCF40A0A08A4E47051E0CB0/101"/><Relationship Id="rId5442" Type="http://schemas.openxmlformats.org/officeDocument/2006/relationships/hyperlink" TargetMode="External" Target="https://spark-interfax.ru/system/home/card#/company/BC747E0E1DCF4D58A408DCF6F37B1070/101"/><Relationship Id="rId5443" Type="http://schemas.openxmlformats.org/officeDocument/2006/relationships/hyperlink" TargetMode="External" Target="https://spark-interfax.ru/system/home/card#/company/E4F9E7B7A5B448FDAE631AD41005A9D7/101"/><Relationship Id="rId5444" Type="http://schemas.openxmlformats.org/officeDocument/2006/relationships/hyperlink" TargetMode="External" Target="https://spark-interfax.ru/system/home/card#/company/9488F387AAA84A66B3964A0155CDB2A2/101"/><Relationship Id="rId5445" Type="http://schemas.openxmlformats.org/officeDocument/2006/relationships/hyperlink" TargetMode="External" Target="https://spark-interfax.ru/system/home/card#/company/A8991800DD84421BA479904F305D34E6/101"/><Relationship Id="rId5446" Type="http://schemas.openxmlformats.org/officeDocument/2006/relationships/hyperlink" TargetMode="External" Target="https://spark-interfax.ru/system/home/card#/company/7BFCD1BF61614C4E9EE5E53EF2B6BD67/101"/><Relationship Id="rId5447" Type="http://schemas.openxmlformats.org/officeDocument/2006/relationships/hyperlink" TargetMode="External" Target="https://spark-interfax.ru/system/home/card#/company/62F6C16EDF364D918937C4A11D94E0F2/101"/><Relationship Id="rId5448" Type="http://schemas.openxmlformats.org/officeDocument/2006/relationships/hyperlink" TargetMode="External" Target="https://spark-interfax.ru/system/home/card#/company/54E4A20116154C6092D38B0F1FACB84D/101"/><Relationship Id="rId5449" Type="http://schemas.openxmlformats.org/officeDocument/2006/relationships/hyperlink" TargetMode="External" Target="https://spark-interfax.ru/system/home/card#/company/D93DD5B927784FE39989CF0D28D0E481/101"/><Relationship Id="rId5450" Type="http://schemas.openxmlformats.org/officeDocument/2006/relationships/hyperlink" TargetMode="External" Target="https://spark-interfax.ru/system/home/card#/company/977E0E019BC7433381A239E06E254AA7/101"/><Relationship Id="rId5451" Type="http://schemas.openxmlformats.org/officeDocument/2006/relationships/hyperlink" TargetMode="External" Target="https://spark-interfax.ru/system/home/card#/company/00A40538E27A4487A5BDC068F61FE9BA/101"/><Relationship Id="rId5452" Type="http://schemas.openxmlformats.org/officeDocument/2006/relationships/hyperlink" TargetMode="External" Target="https://spark-interfax.ru/system/home/card#/company/88D351A330E4408ABA371529E7EAEDCD/101"/><Relationship Id="rId5453" Type="http://schemas.openxmlformats.org/officeDocument/2006/relationships/hyperlink" TargetMode="External" Target="https://spark-interfax.ru/system/home/card#/company/B2C6E2ACBE7C4FD8A6AC488470DEE2CE/101"/><Relationship Id="rId5454" Type="http://schemas.openxmlformats.org/officeDocument/2006/relationships/hyperlink" TargetMode="External" Target="https://spark-interfax.ru/system/home/card#/company/5603E675EA9E47E99A86DAC01857A807/101"/><Relationship Id="rId5455" Type="http://schemas.openxmlformats.org/officeDocument/2006/relationships/hyperlink" TargetMode="External" Target="https://spark-interfax.ru/system/home/card#/company/B56AEB426AAC43C182B7B9943A9FFCBA/101"/><Relationship Id="rId5456" Type="http://schemas.openxmlformats.org/officeDocument/2006/relationships/hyperlink" TargetMode="External" Target="https://spark-interfax.ru/system/home/card#/company/88671EACFB163C4AE0531B9AA8C0207D/101"/><Relationship Id="rId5457" Type="http://schemas.openxmlformats.org/officeDocument/2006/relationships/hyperlink" TargetMode="External" Target="https://spark-interfax.ru/system/home/card#/company/28C91203AB854C689DBBA02F6B0C738D/101"/><Relationship Id="rId5458" Type="http://schemas.openxmlformats.org/officeDocument/2006/relationships/hyperlink" TargetMode="External" Target="https://spark-interfax.ru/system/home/card#/company/711F8D613A9A40039A5299BF79AD7FB4/101"/><Relationship Id="rId5459" Type="http://schemas.openxmlformats.org/officeDocument/2006/relationships/hyperlink" TargetMode="External" Target="https://spark-interfax.ru/system/home/card#/company/63AC5A1ADDDF455A84E0434BB0DC12E9/101"/><Relationship Id="rId5460" Type="http://schemas.openxmlformats.org/officeDocument/2006/relationships/hyperlink" TargetMode="External" Target="https://spark-interfax.ru/system/home/card#/company/4A1EBE5BD80342198EF955FE11F2D47E/101"/><Relationship Id="rId5461" Type="http://schemas.openxmlformats.org/officeDocument/2006/relationships/hyperlink" TargetMode="External" Target="https://spark-interfax.ru/system/home/card#/company/35D9C2BB2269445B80D02806AFBD0E16/101"/><Relationship Id="rId5462" Type="http://schemas.openxmlformats.org/officeDocument/2006/relationships/hyperlink" TargetMode="External" Target="https://spark-interfax.ru/system/home/card#/company/665AB2454CC948C795B0C8ADE3011644/101"/><Relationship Id="rId5463" Type="http://schemas.openxmlformats.org/officeDocument/2006/relationships/hyperlink" TargetMode="External" Target="https://spark-interfax.ru/system/home/card#/company/79A051E2617C6842E0531F9AA8C076B1/101"/><Relationship Id="rId5464" Type="http://schemas.openxmlformats.org/officeDocument/2006/relationships/hyperlink" TargetMode="External" Target="https://spark-interfax.ru/system/home/card#/company/5A3DA2317FB742C6AB034A16DDEFA75A/101"/><Relationship Id="rId5465" Type="http://schemas.openxmlformats.org/officeDocument/2006/relationships/hyperlink" TargetMode="External" Target="https://spark-interfax.ru/system/home/card#/company/E9B79CAE21604E589F55182C7CEB8CC1/101"/><Relationship Id="rId5466" Type="http://schemas.openxmlformats.org/officeDocument/2006/relationships/hyperlink" TargetMode="External" Target="https://spark-interfax.ru/system/home/card#/company/7F4B3211AF6B4E02B3E7235B1B6B2E6B/101"/><Relationship Id="rId5467" Type="http://schemas.openxmlformats.org/officeDocument/2006/relationships/hyperlink" TargetMode="External" Target="https://spark-interfax.ru/system/home/card#/company/6FFAE93701584A5285F71C301FB81D4E/101"/><Relationship Id="rId5468" Type="http://schemas.openxmlformats.org/officeDocument/2006/relationships/hyperlink" TargetMode="External" Target="https://spark-interfax.ru/system/home/card#/company/05D726938FD648169438C23F845EA5EF/101"/><Relationship Id="rId5469" Type="http://schemas.openxmlformats.org/officeDocument/2006/relationships/hyperlink" TargetMode="External" Target="https://spark-interfax.ru/system/home/card#/company/DEBFEA2DCCAD46289E5B33CA07855623/101"/><Relationship Id="rId5470" Type="http://schemas.openxmlformats.org/officeDocument/2006/relationships/hyperlink" TargetMode="External" Target="https://spark-interfax.ru/system/home/card#/company/3C895D46EAA6408F84E694B23AD083FA/101"/><Relationship Id="rId5471" Type="http://schemas.openxmlformats.org/officeDocument/2006/relationships/hyperlink" TargetMode="External" Target="https://spark-interfax.ru/system/home/card#/company/E67C8690C01E40A5802A7AF51030173A/101"/><Relationship Id="rId5472" Type="http://schemas.openxmlformats.org/officeDocument/2006/relationships/hyperlink" TargetMode="External" Target="https://spark-interfax.ru/system/home/card#/company/BCBB66D50F754620B156F48768C71048/101"/><Relationship Id="rId5473" Type="http://schemas.openxmlformats.org/officeDocument/2006/relationships/hyperlink" TargetMode="External" Target="https://spark-interfax.ru/system/home/card#/company/4EAF97289A064E829DA3DF9D2612D037/101"/><Relationship Id="rId5474" Type="http://schemas.openxmlformats.org/officeDocument/2006/relationships/hyperlink" TargetMode="External" Target="https://spark-interfax.ru/system/home/card#/company/95D0AC0962354659AF0BAFD3D6713E02/101"/><Relationship Id="rId5475" Type="http://schemas.openxmlformats.org/officeDocument/2006/relationships/hyperlink" TargetMode="External" Target="https://spark-interfax.ru/system/home/card#/company/3BB376B797C64B87A7B59FF37FCC4C36/101"/><Relationship Id="rId5476" Type="http://schemas.openxmlformats.org/officeDocument/2006/relationships/hyperlink" TargetMode="External" Target="https://spark-interfax.ru/system/home/card#/company/5EF93ADF54984A39B70D0DE278C7AF59/101"/><Relationship Id="rId5477" Type="http://schemas.openxmlformats.org/officeDocument/2006/relationships/hyperlink" TargetMode="External" Target="https://spark-interfax.ru/system/home/card#/company/AAE61B5660E84D40E053189AA8C096C2/101"/><Relationship Id="rId5478" Type="http://schemas.openxmlformats.org/officeDocument/2006/relationships/hyperlink" TargetMode="External" Target="https://spark-interfax.ru/system/home/card#/company/4BD31C447F7947798E8E7404AA88ABEE/101"/><Relationship Id="rId5479" Type="http://schemas.openxmlformats.org/officeDocument/2006/relationships/hyperlink" TargetMode="External" Target="https://spark-interfax.ru/system/home/card#/company/0179BA3F783B42F9B4992C3586EE2135/101"/><Relationship Id="rId5480" Type="http://schemas.openxmlformats.org/officeDocument/2006/relationships/hyperlink" TargetMode="External" Target="https://spark-interfax.ru/system/home/card#/company/F41205EC06B9407CB3F5BAB02C8977BE/101"/><Relationship Id="rId5481" Type="http://schemas.openxmlformats.org/officeDocument/2006/relationships/hyperlink" TargetMode="External" Target="https://spark-interfax.ru/system/home/card#/company/82B3AA30329F78ADE0531B9AA8C091A4/101"/><Relationship Id="rId5482" Type="http://schemas.openxmlformats.org/officeDocument/2006/relationships/hyperlink" TargetMode="External" Target="https://spark-interfax.ru/system/home/card#/company/7913173AAC564B73B493890A12C40563/101"/><Relationship Id="rId5483" Type="http://schemas.openxmlformats.org/officeDocument/2006/relationships/hyperlink" TargetMode="External" Target="https://spark-interfax.ru/system/home/card#/company/F417F628F285470BA66D6636663D4EF5/101"/><Relationship Id="rId5484" Type="http://schemas.openxmlformats.org/officeDocument/2006/relationships/hyperlink" TargetMode="External" Target="https://spark-interfax.ru/system/home/card#/company/542626758CD24E20B452FD25F6DD4676/101"/><Relationship Id="rId5485" Type="http://schemas.openxmlformats.org/officeDocument/2006/relationships/hyperlink" TargetMode="External" Target="https://spark-interfax.ru/system/home/card#/company/A2C6837812C1419380F451559A278F90/101"/><Relationship Id="rId5486" Type="http://schemas.openxmlformats.org/officeDocument/2006/relationships/hyperlink" TargetMode="External" Target="https://spark-interfax.ru/system/home/card#/company/2B4100CA6D994943BAB512FC2D7FEFE8/101"/><Relationship Id="rId5487" Type="http://schemas.openxmlformats.org/officeDocument/2006/relationships/hyperlink" TargetMode="External" Target="https://spark-interfax.ru/system/home/card#/company/112DD0D11D1D479B9C457C6F7321D6CE/101"/><Relationship Id="rId5488" Type="http://schemas.openxmlformats.org/officeDocument/2006/relationships/hyperlink" TargetMode="External" Target="https://spark-interfax.ru/system/home/card#/company/F9CDB0A2DF93478A9B1D23CAACEA8D60/101"/><Relationship Id="rId5489" Type="http://schemas.openxmlformats.org/officeDocument/2006/relationships/hyperlink" TargetMode="External" Target="https://spark-interfax.ru/system/home/card#/company/B6ADD5F54B6F7E1BE053219AA8C062A7/101"/><Relationship Id="rId5490" Type="http://schemas.openxmlformats.org/officeDocument/2006/relationships/hyperlink" TargetMode="External" Target="https://spark-interfax.ru/system/home/card#/company/F3DF47C8BCBD45D19D2A9C42A42D1654/101"/><Relationship Id="rId5491" Type="http://schemas.openxmlformats.org/officeDocument/2006/relationships/hyperlink" TargetMode="External" Target="https://spark-interfax.ru/system/home/card#/company/4F1BA4C084764A21BA371D5524E2AB49/101"/><Relationship Id="rId5492" Type="http://schemas.openxmlformats.org/officeDocument/2006/relationships/hyperlink" TargetMode="External" Target="https://spark-interfax.ru/system/home/card#/company/5E8440270FEB7D27E0531B9AA8C00BAE/101"/><Relationship Id="rId5493" Type="http://schemas.openxmlformats.org/officeDocument/2006/relationships/hyperlink" TargetMode="External" Target="https://spark-interfax.ru/system/home/card#/company/8F2364C084FA4FCC89A8AAC8D5E7C7B5/101"/><Relationship Id="rId5494" Type="http://schemas.openxmlformats.org/officeDocument/2006/relationships/hyperlink" TargetMode="External" Target="https://spark-interfax.ru/system/home/card#/company/62896B31090F4243822DBA360D07F432/101"/><Relationship Id="rId5495" Type="http://schemas.openxmlformats.org/officeDocument/2006/relationships/hyperlink" TargetMode="External" Target="https://spark-interfax.ru/system/home/card#/company/55725110534B4428AEEA99612E46DE91/101"/><Relationship Id="rId5496" Type="http://schemas.openxmlformats.org/officeDocument/2006/relationships/hyperlink" TargetMode="External" Target="https://spark-interfax.ru/system/home/card#/company/B007CACCDDEA4968AB8519BE38496910/101"/><Relationship Id="rId5497" Type="http://schemas.openxmlformats.org/officeDocument/2006/relationships/hyperlink" TargetMode="External" Target="https://spark-interfax.ru/system/home/card#/company/B9269B2C97734B8CA255F038DB0C870A/101"/><Relationship Id="rId5498" Type="http://schemas.openxmlformats.org/officeDocument/2006/relationships/hyperlink" TargetMode="External" Target="https://spark-interfax.ru/system/home/card#/company/54767F931F5F46688DC9D14BCA821B4B/101"/><Relationship Id="rId5499" Type="http://schemas.openxmlformats.org/officeDocument/2006/relationships/hyperlink" TargetMode="External" Target="https://spark-interfax.ru/system/home/card#/company/DF73304B824D40D98F40C08353BDA891/101"/><Relationship Id="rId5500" Type="http://schemas.openxmlformats.org/officeDocument/2006/relationships/hyperlink" TargetMode="External" Target="https://spark-interfax.ru/system/home/card#/company/7133B2BEAA594251972DF2D6947484BE/101"/><Relationship Id="rId5501" Type="http://schemas.openxmlformats.org/officeDocument/2006/relationships/hyperlink" TargetMode="External" Target="https://spark-interfax.ru/system/home/card#/company/26477EEC0CCF43178CC3F8AF6D901183/101"/><Relationship Id="rId5502" Type="http://schemas.openxmlformats.org/officeDocument/2006/relationships/hyperlink" TargetMode="External" Target="https://spark-interfax.ru/system/home/card#/company/E7E694A005DB4804A8C04C77608F4CD4/101"/><Relationship Id="rId5503" Type="http://schemas.openxmlformats.org/officeDocument/2006/relationships/hyperlink" TargetMode="External" Target="https://spark-interfax.ru/system/home/card#/company/1C8AB20C3F5E45948E117E365E7A23A7/101"/><Relationship Id="rId5504" Type="http://schemas.openxmlformats.org/officeDocument/2006/relationships/hyperlink" TargetMode="External" Target="https://spark-interfax.ru/system/home/card#/company/FC0097906D7347108DC43395611EAA82/101"/><Relationship Id="rId5505" Type="http://schemas.openxmlformats.org/officeDocument/2006/relationships/hyperlink" TargetMode="External" Target="https://spark-interfax.ru/system/home/card#/company/FF16B9D3816744DD9FF4B94506B94FD5/101"/><Relationship Id="rId5506" Type="http://schemas.openxmlformats.org/officeDocument/2006/relationships/hyperlink" TargetMode="External" Target="https://spark-interfax.ru/system/home/card#/company/0C3C43CAA8CD40EAB415C20B4B6DCE72/101"/><Relationship Id="rId5507" Type="http://schemas.openxmlformats.org/officeDocument/2006/relationships/hyperlink" TargetMode="External" Target="https://spark-interfax.ru/system/home/card#/company/EA66B9099A6E45E2A76A866E8A32E09B/101"/><Relationship Id="rId5508" Type="http://schemas.openxmlformats.org/officeDocument/2006/relationships/hyperlink" TargetMode="External" Target="https://spark-interfax.ru/system/home/card#/company/75C5142369404C90AAEB2CA82CCADC45/101"/><Relationship Id="rId5509" Type="http://schemas.openxmlformats.org/officeDocument/2006/relationships/hyperlink" TargetMode="External" Target="https://spark-interfax.ru/system/home/card#/company/10BAFA928E924105B2F4EB4D259703EB/101"/><Relationship Id="rId5510" Type="http://schemas.openxmlformats.org/officeDocument/2006/relationships/hyperlink" TargetMode="External" Target="https://spark-interfax.ru/system/home/card#/company/5173122214DF439093946A60E2A9AEBC/101"/><Relationship Id="rId5511" Type="http://schemas.openxmlformats.org/officeDocument/2006/relationships/hyperlink" TargetMode="External" Target="https://spark-interfax.ru/system/home/card#/company/9469E66CFB3D4BC19EAAE6015948092F/101"/><Relationship Id="rId5512" Type="http://schemas.openxmlformats.org/officeDocument/2006/relationships/hyperlink" TargetMode="External" Target="https://spark-interfax.ru/system/home/card#/company/68886510A379487C9ABAB416970E5715/101"/><Relationship Id="rId5513" Type="http://schemas.openxmlformats.org/officeDocument/2006/relationships/hyperlink" TargetMode="External" Target="https://spark-interfax.ru/system/home/card#/company/5B26B5B8F78342AB912AE5A8D3BDADC4/101"/><Relationship Id="rId5514" Type="http://schemas.openxmlformats.org/officeDocument/2006/relationships/hyperlink" TargetMode="External" Target="https://spark-interfax.ru/system/home/card#/company/6905BF967AF0447C90C7D6828EC6C1D6/101"/><Relationship Id="rId5515" Type="http://schemas.openxmlformats.org/officeDocument/2006/relationships/hyperlink" TargetMode="External" Target="https://spark-interfax.ru/system/home/card#/company/748F4E12EA5548D58D2A9696B64AE0B2/101"/><Relationship Id="rId5516" Type="http://schemas.openxmlformats.org/officeDocument/2006/relationships/hyperlink" TargetMode="External" Target="https://spark-interfax.ru/system/home/card#/company/E5679CF5920742198921EB8FD3530A6A/101"/><Relationship Id="rId5517" Type="http://schemas.openxmlformats.org/officeDocument/2006/relationships/hyperlink" TargetMode="External" Target="https://spark-interfax.ru/system/home/card#/company/36EC24577A2045FAA4B8C5F80B81C544/101"/><Relationship Id="rId5518" Type="http://schemas.openxmlformats.org/officeDocument/2006/relationships/hyperlink" TargetMode="External" Target="https://spark-interfax.ru/system/home/card#/company/EE9CED7EE3FD42BEB2AFFC894FC021D7/101"/><Relationship Id="rId5519" Type="http://schemas.openxmlformats.org/officeDocument/2006/relationships/hyperlink" TargetMode="External" Target="https://spark-interfax.ru/system/home/card#/company/C54DA39C7FF44BB3B3D9A645E5D830DD/101"/><Relationship Id="rId5520" Type="http://schemas.openxmlformats.org/officeDocument/2006/relationships/hyperlink" TargetMode="External" Target="https://spark-interfax.ru/system/home/card#/company/0F6D3A79B28D4C6FB2645EFEFF1B04BC/101"/><Relationship Id="rId5521" Type="http://schemas.openxmlformats.org/officeDocument/2006/relationships/hyperlink" TargetMode="External" Target="https://spark-interfax.ru/system/home/card#/company/81CD5AC2FD394F71A2A9B8647A28BC57/101"/><Relationship Id="rId5522" Type="http://schemas.openxmlformats.org/officeDocument/2006/relationships/hyperlink" TargetMode="External" Target="https://spark-interfax.ru/system/home/card#/company/3F7A0B5B19CB4F1D9D2BF683454C3CC7/101"/><Relationship Id="rId5523" Type="http://schemas.openxmlformats.org/officeDocument/2006/relationships/hyperlink" TargetMode="External" Target="https://spark-interfax.ru/system/home/card#/company/B51BAE7940674F1380879B58B3E3E993/101"/><Relationship Id="rId5524" Type="http://schemas.openxmlformats.org/officeDocument/2006/relationships/hyperlink" TargetMode="External" Target="https://spark-interfax.ru/system/home/card#/company/397139C84821421280091AC6C3683A2A/101"/><Relationship Id="rId5525" Type="http://schemas.openxmlformats.org/officeDocument/2006/relationships/hyperlink" TargetMode="External" Target="https://spark-interfax.ru/system/home/card#/company/3BFE49CF3CCC404885D4BD00EE5EAE28/101"/><Relationship Id="rId5526" Type="http://schemas.openxmlformats.org/officeDocument/2006/relationships/hyperlink" TargetMode="External" Target="https://spark-interfax.ru/system/home/card#/company/2B5AEF8CD2234C8F82C3A6F460D4D386/101"/><Relationship Id="rId5527" Type="http://schemas.openxmlformats.org/officeDocument/2006/relationships/hyperlink" TargetMode="External" Target="https://spark-interfax.ru/system/home/card#/company/3591E692977442628370CC1BE5228BE4/101"/><Relationship Id="rId5528" Type="http://schemas.openxmlformats.org/officeDocument/2006/relationships/hyperlink" TargetMode="External" Target="https://spark-interfax.ru/system/home/card#/company/3927F75574B4418D90EDF62340462A74/101"/><Relationship Id="rId5529" Type="http://schemas.openxmlformats.org/officeDocument/2006/relationships/hyperlink" TargetMode="External" Target="https://spark-interfax.ru/system/home/card#/company/D5A9722A14BE42F3ABC110900BD40F19/101"/><Relationship Id="rId5530" Type="http://schemas.openxmlformats.org/officeDocument/2006/relationships/hyperlink" TargetMode="External" Target="https://spark-interfax.ru/system/home/card#/company/B614A6CB6A8C4AA6A540EFC32C23DD11/101"/><Relationship Id="rId5531" Type="http://schemas.openxmlformats.org/officeDocument/2006/relationships/hyperlink" TargetMode="External" Target="https://spark-interfax.ru/system/home/card#/company/92631ADFDF8944BD88C25451F2EA744B/101"/><Relationship Id="rId5532" Type="http://schemas.openxmlformats.org/officeDocument/2006/relationships/hyperlink" TargetMode="External" Target="https://spark-interfax.ru/system/home/card#/company/B1A6E793CBB14650849550C480E14929/101"/><Relationship Id="rId5533" Type="http://schemas.openxmlformats.org/officeDocument/2006/relationships/hyperlink" TargetMode="External" Target="https://spark-interfax.ru/system/home/card#/company/49BF888D6E0A48DE81E2274D56475881/101"/><Relationship Id="rId5534" Type="http://schemas.openxmlformats.org/officeDocument/2006/relationships/hyperlink" TargetMode="External" Target="https://spark-interfax.ru/system/home/card#/company/4D652A2143844BBB8366450FF7A1D837/101"/><Relationship Id="rId5535" Type="http://schemas.openxmlformats.org/officeDocument/2006/relationships/hyperlink" TargetMode="External" Target="https://spark-interfax.ru/system/home/card#/company/10CA159C36024AB39AA5BA67DB705B12/101"/><Relationship Id="rId5536" Type="http://schemas.openxmlformats.org/officeDocument/2006/relationships/hyperlink" TargetMode="External" Target="https://spark-interfax.ru/system/home/card#/company/96105240B11C4426BEE74006264E7E9A/101"/><Relationship Id="rId5537" Type="http://schemas.openxmlformats.org/officeDocument/2006/relationships/hyperlink" TargetMode="External" Target="https://spark-interfax.ru/system/home/card#/company/FAFB33C3E34E46B8ACB9F4FAA70E0731/101"/><Relationship Id="rId5538" Type="http://schemas.openxmlformats.org/officeDocument/2006/relationships/hyperlink" TargetMode="External" Target="https://spark-interfax.ru/system/home/card#/company/BFB0897D606E43F7875D7D00A711CEE5/101"/><Relationship Id="rId5539" Type="http://schemas.openxmlformats.org/officeDocument/2006/relationships/hyperlink" TargetMode="External" Target="https://spark-interfax.ru/system/home/card#/company/C6212F056640459E82DCDFCC5712F9F7/101"/><Relationship Id="rId5540" Type="http://schemas.openxmlformats.org/officeDocument/2006/relationships/hyperlink" TargetMode="External" Target="https://spark-interfax.ru/system/home/card#/company/409AEC98A5D041F3A196E02880DE9623/101"/><Relationship Id="rId5541" Type="http://schemas.openxmlformats.org/officeDocument/2006/relationships/hyperlink" TargetMode="External" Target="https://spark-interfax.ru/system/home/card#/company/9321E832A04D4DBCA0884B75F7FB705E/101"/><Relationship Id="rId5542" Type="http://schemas.openxmlformats.org/officeDocument/2006/relationships/hyperlink" TargetMode="External" Target="https://spark-interfax.ru/system/home/card#/company/7A93122174A8488389FD9FD00D8DDFD7/101"/><Relationship Id="rId5543" Type="http://schemas.openxmlformats.org/officeDocument/2006/relationships/hyperlink" TargetMode="External" Target="https://spark-interfax.ru/system/home/card#/company/48928397493F473DAFB3846D5BD5958C/101"/><Relationship Id="rId5544" Type="http://schemas.openxmlformats.org/officeDocument/2006/relationships/hyperlink" TargetMode="External" Target="https://spark-interfax.ru/system/home/card#/company/8655E6E06F88405D80B70182C7593E19/101"/><Relationship Id="rId5545" Type="http://schemas.openxmlformats.org/officeDocument/2006/relationships/hyperlink" TargetMode="External" Target="https://spark-interfax.ru/system/home/card#/company/7EC560AC1A9C4E87A3D89CD787519037/101"/><Relationship Id="rId5546" Type="http://schemas.openxmlformats.org/officeDocument/2006/relationships/hyperlink" TargetMode="External" Target="https://spark-interfax.ru/system/home/card#/company/FC81F65D722544998645C28EE6486188/101"/><Relationship Id="rId5547" Type="http://schemas.openxmlformats.org/officeDocument/2006/relationships/hyperlink" TargetMode="External" Target="https://spark-interfax.ru/system/home/card#/company/29A1C16C94754EA783E10810609D581A/101"/><Relationship Id="rId5548" Type="http://schemas.openxmlformats.org/officeDocument/2006/relationships/hyperlink" TargetMode="External" Target="https://spark-interfax.ru/system/home/card#/company/4D03174AACB64B228CC3B50A112F5435/101"/><Relationship Id="rId5549" Type="http://schemas.openxmlformats.org/officeDocument/2006/relationships/hyperlink" TargetMode="External" Target="https://spark-interfax.ru/system/home/card#/company/400F1EEA6ED540FA91DA2AB22A461795/101"/><Relationship Id="rId5550" Type="http://schemas.openxmlformats.org/officeDocument/2006/relationships/hyperlink" TargetMode="External" Target="https://spark-interfax.ru/system/home/card#/company/6E44AA719D8840E4846458BB1713D852/101"/><Relationship Id="rId5551" Type="http://schemas.openxmlformats.org/officeDocument/2006/relationships/hyperlink" TargetMode="External" Target="https://spark-interfax.ru/system/home/card#/company/1035C9C50A494894A39285B28487B9DB/101"/><Relationship Id="rId5552" Type="http://schemas.openxmlformats.org/officeDocument/2006/relationships/hyperlink" TargetMode="External" Target="https://spark-interfax.ru/system/home/card#/company/7EFA546ABA36431589E16AE98F8AAD34/101"/><Relationship Id="rId5553" Type="http://schemas.openxmlformats.org/officeDocument/2006/relationships/hyperlink" TargetMode="External" Target="https://spark-interfax.ru/system/home/card#/company/45E756DF9F714B2DBE1E26FE39C6C91F/101"/><Relationship Id="rId5554" Type="http://schemas.openxmlformats.org/officeDocument/2006/relationships/hyperlink" TargetMode="External" Target="https://spark-interfax.ru/system/home/card#/company/2A6AB983F38643A2BFDA0A6B6B27DF40/101"/><Relationship Id="rId5555" Type="http://schemas.openxmlformats.org/officeDocument/2006/relationships/hyperlink" TargetMode="External" Target="https://spark-interfax.ru/system/home/card#/company/79B488EB7CB5CC77E0531F9AA8C01041/101"/><Relationship Id="rId5556" Type="http://schemas.openxmlformats.org/officeDocument/2006/relationships/hyperlink" TargetMode="External" Target="https://spark-interfax.ru/system/home/card#/company/C3672266A9EF46FC802A62EA8019409A/101"/><Relationship Id="rId5557" Type="http://schemas.openxmlformats.org/officeDocument/2006/relationships/hyperlink" TargetMode="External" Target="https://spark-interfax.ru/system/home/card#/company/9B3A52044DDB45009C72331E8A197351/101"/><Relationship Id="rId5558" Type="http://schemas.openxmlformats.org/officeDocument/2006/relationships/hyperlink" TargetMode="External" Target="https://spark-interfax.ru/system/home/card#/company/C3189FA6D89F4467A3AF1EE142AFE28A/101"/><Relationship Id="rId5559" Type="http://schemas.openxmlformats.org/officeDocument/2006/relationships/hyperlink" TargetMode="External" Target="https://spark-interfax.ru/system/home/card#/company/B05D9A5681644456A0DB91AA0F699CE5/101"/><Relationship Id="rId5560" Type="http://schemas.openxmlformats.org/officeDocument/2006/relationships/hyperlink" TargetMode="External" Target="https://spark-interfax.ru/system/home/card#/company/86AAF881425A45CCAE3EBE4007561000/101"/><Relationship Id="rId5561" Type="http://schemas.openxmlformats.org/officeDocument/2006/relationships/hyperlink" TargetMode="External" Target="https://spark-interfax.ru/system/home/card#/company/C0C0D50E1C844FC2B9875B460A873F4C/101"/><Relationship Id="rId5562" Type="http://schemas.openxmlformats.org/officeDocument/2006/relationships/hyperlink" TargetMode="External" Target="https://spark-interfax.ru/system/home/card#/company/A59419AE604743D3A192DD73C35B9A83/101"/><Relationship Id="rId5563" Type="http://schemas.openxmlformats.org/officeDocument/2006/relationships/hyperlink" TargetMode="External" Target="https://spark-interfax.ru/system/home/card#/company/B2533C449FD541D6958D4B714F8AF965/101"/><Relationship Id="rId5564" Type="http://schemas.openxmlformats.org/officeDocument/2006/relationships/hyperlink" TargetMode="External" Target="https://spark-interfax.ru/system/home/card#/company/CA5964C6CD284F30917EEBE7DB089A31/101"/><Relationship Id="rId5565" Type="http://schemas.openxmlformats.org/officeDocument/2006/relationships/hyperlink" TargetMode="External" Target="https://spark-interfax.ru/system/home/card#/company/94ED79393FF040BCA549275DABC18590/101"/><Relationship Id="rId5566" Type="http://schemas.openxmlformats.org/officeDocument/2006/relationships/hyperlink" TargetMode="External" Target="https://spark-interfax.ru/system/home/card#/company/1C2470E99790458BA4E3F831E68F2B6A/101"/><Relationship Id="rId5567" Type="http://schemas.openxmlformats.org/officeDocument/2006/relationships/hyperlink" TargetMode="External" Target="https://spark-interfax.ru/system/home/card#/company/3031AFA473B044769E95B95C39B87D1C/101"/><Relationship Id="rId5568" Type="http://schemas.openxmlformats.org/officeDocument/2006/relationships/hyperlink" TargetMode="External" Target="https://spark-interfax.ru/system/home/card#/company/66EFE300A0DD441D9C2E5C8566B1E00E/101"/><Relationship Id="rId5569" Type="http://schemas.openxmlformats.org/officeDocument/2006/relationships/hyperlink" TargetMode="External" Target="https://spark-interfax.ru/system/home/card#/company/435F267049F54E948B4CAFCFACFBC9EA/101"/><Relationship Id="rId5570" Type="http://schemas.openxmlformats.org/officeDocument/2006/relationships/hyperlink" TargetMode="External" Target="https://spark-interfax.ru/system/home/card#/company/78722603532E44D38D95273A6D5A98C1/101"/><Relationship Id="rId5571" Type="http://schemas.openxmlformats.org/officeDocument/2006/relationships/hyperlink" TargetMode="External" Target="https://spark-interfax.ru/system/home/card#/company/6EF1740250C24EABA7151A14FA775F7D/101"/><Relationship Id="rId5572" Type="http://schemas.openxmlformats.org/officeDocument/2006/relationships/hyperlink" TargetMode="External" Target="https://spark-interfax.ru/system/home/card#/company/C68D7ACDD24F4D8DB840575811A54166/101"/><Relationship Id="rId5573" Type="http://schemas.openxmlformats.org/officeDocument/2006/relationships/hyperlink" TargetMode="External" Target="https://spark-interfax.ru/system/home/card#/company/6A0E42D8B5524EB8A38EE1DDE4702F1C/101"/><Relationship Id="rId5574" Type="http://schemas.openxmlformats.org/officeDocument/2006/relationships/hyperlink" TargetMode="External" Target="https://spark-interfax.ru/system/home/card#/company/B461B2FB46134C9E999F230BED39E4B7/101"/><Relationship Id="rId5575" Type="http://schemas.openxmlformats.org/officeDocument/2006/relationships/hyperlink" TargetMode="External" Target="https://spark-interfax.ru/system/home/card#/company/6BDB411169A1446CB7F45DD06A858889/101"/><Relationship Id="rId5576" Type="http://schemas.openxmlformats.org/officeDocument/2006/relationships/hyperlink" TargetMode="External" Target="https://spark-interfax.ru/system/home/card#/company/74F52E06A0FB4C269CBA780F917FE8DB/101"/><Relationship Id="rId5577" Type="http://schemas.openxmlformats.org/officeDocument/2006/relationships/hyperlink" TargetMode="External" Target="https://spark-interfax.ru/system/home/card#/company/815350CDCCCC753FE0531B9AA8C00D65/101"/><Relationship Id="rId5578" Type="http://schemas.openxmlformats.org/officeDocument/2006/relationships/hyperlink" TargetMode="External" Target="https://spark-interfax.ru/system/home/card#/company/CA5922BCAB484B76B2C1718F8345579B/101"/><Relationship Id="rId5579" Type="http://schemas.openxmlformats.org/officeDocument/2006/relationships/hyperlink" TargetMode="External" Target="https://spark-interfax.ru/system/home/card#/company/C0301D04AE23483E96884D0653230A2E/101"/><Relationship Id="rId5580" Type="http://schemas.openxmlformats.org/officeDocument/2006/relationships/hyperlink" TargetMode="External" Target="https://spark-interfax.ru/system/home/card#/company/630B6543274F42DA8BF8C31C2642F5EF/101"/><Relationship Id="rId5581" Type="http://schemas.openxmlformats.org/officeDocument/2006/relationships/hyperlink" TargetMode="External" Target="https://spark-interfax.ru/system/home/card#/company/73347CA5ECBF457E9E65FCD8F1669C62/101"/><Relationship Id="rId5582" Type="http://schemas.openxmlformats.org/officeDocument/2006/relationships/hyperlink" TargetMode="External" Target="https://spark-interfax.ru/system/home/card#/company/8CC2F75BFE1348C39FCB78332483915D/101"/><Relationship Id="rId5583" Type="http://schemas.openxmlformats.org/officeDocument/2006/relationships/hyperlink" TargetMode="External" Target="https://spark-interfax.ru/system/home/card#/company/567CF0F34AE34B2BA3CB768EB01A4164/101"/><Relationship Id="rId5584" Type="http://schemas.openxmlformats.org/officeDocument/2006/relationships/hyperlink" TargetMode="External" Target="https://spark-interfax.ru/system/home/card#/company/51346EFB849E475584AD6D78B520F35B/101"/><Relationship Id="rId5585" Type="http://schemas.openxmlformats.org/officeDocument/2006/relationships/hyperlink" TargetMode="External" Target="https://spark-interfax.ru/system/home/card#/company/CDBC8083517949449A8736E6DE237018/101"/><Relationship Id="rId5586" Type="http://schemas.openxmlformats.org/officeDocument/2006/relationships/hyperlink" TargetMode="External" Target="https://spark-interfax.ru/system/home/card#/company/D88F4826B76B4DA4AD41F31363846867/101"/><Relationship Id="rId5587" Type="http://schemas.openxmlformats.org/officeDocument/2006/relationships/hyperlink" TargetMode="External" Target="https://spark-interfax.ru/system/home/card#/company/18CA039F1A2B4484AFDA660D703164E9/101"/><Relationship Id="rId5588" Type="http://schemas.openxmlformats.org/officeDocument/2006/relationships/hyperlink" TargetMode="External" Target="https://spark-interfax.ru/system/home/card#/company/291BC9362095444EA5EF53CFBB51266F/101"/><Relationship Id="rId5589" Type="http://schemas.openxmlformats.org/officeDocument/2006/relationships/hyperlink" TargetMode="External" Target="https://spark-interfax.ru/system/home/card#/company/81AC3134299C429883ED3CC1BFED156F/101"/><Relationship Id="rId5590" Type="http://schemas.openxmlformats.org/officeDocument/2006/relationships/hyperlink" TargetMode="External" Target="https://spark-interfax.ru/system/home/card#/company/779658F67BFD23B1E0531B9AA8C0958F/101"/><Relationship Id="rId5591" Type="http://schemas.openxmlformats.org/officeDocument/2006/relationships/hyperlink" TargetMode="External" Target="https://spark-interfax.ru/system/home/card#/company/BF3406E952164DCF911E8A3FAE559533/101"/><Relationship Id="rId5592" Type="http://schemas.openxmlformats.org/officeDocument/2006/relationships/hyperlink" TargetMode="External" Target="https://spark-interfax.ru/system/home/card#/company/0329EC0B27B04DA987B02FA6C87F4BE3/101"/><Relationship Id="rId5593" Type="http://schemas.openxmlformats.org/officeDocument/2006/relationships/hyperlink" TargetMode="External" Target="https://spark-interfax.ru/system/home/card#/company/566468B803264EB9AF882656497D8473/101"/><Relationship Id="rId5594" Type="http://schemas.openxmlformats.org/officeDocument/2006/relationships/hyperlink" TargetMode="External" Target="https://spark-interfax.ru/system/home/card#/company/6261834442F04981974C47F536BD731D/101"/><Relationship Id="rId5595" Type="http://schemas.openxmlformats.org/officeDocument/2006/relationships/hyperlink" TargetMode="External" Target="https://spark-interfax.ru/system/home/card#/company/659FA5E5B8134FA8A0627704FB4CCDC6/101"/><Relationship Id="rId5596" Type="http://schemas.openxmlformats.org/officeDocument/2006/relationships/hyperlink" TargetMode="External" Target="https://spark-interfax.ru/system/home/card#/company/6BC33A08BDBD4CE18EA140D4C3A98DD9/101"/><Relationship Id="rId5597" Type="http://schemas.openxmlformats.org/officeDocument/2006/relationships/hyperlink" TargetMode="External" Target="https://spark-interfax.ru/system/home/card#/company/BB055148EFDF4307A8745CE0CD5F78E3/101"/><Relationship Id="rId5598" Type="http://schemas.openxmlformats.org/officeDocument/2006/relationships/hyperlink" TargetMode="External" Target="https://spark-interfax.ru/system/home/card#/company/E930FE82BBF34B9AB4D9D8DBFDE495E9/101"/><Relationship Id="rId5599" Type="http://schemas.openxmlformats.org/officeDocument/2006/relationships/hyperlink" TargetMode="External" Target="https://spark-interfax.ru/system/home/card#/company/2D54A47462AB44CBB68C258D711C232C/101"/><Relationship Id="rId5600" Type="http://schemas.openxmlformats.org/officeDocument/2006/relationships/hyperlink" TargetMode="External" Target="https://spark-interfax.ru/system/home/card#/company/59DBE2D107774A65A2A0EB508071691D/101"/><Relationship Id="rId5601" Type="http://schemas.openxmlformats.org/officeDocument/2006/relationships/hyperlink" TargetMode="External" Target="https://spark-interfax.ru/system/home/card#/company/EC050257BE324F1EA17921B2EA835063/101"/><Relationship Id="rId5602" Type="http://schemas.openxmlformats.org/officeDocument/2006/relationships/hyperlink" TargetMode="External" Target="https://spark-interfax.ru/system/home/card#/company/CD71C493845740889917A585A99799ED/101"/><Relationship Id="rId5603" Type="http://schemas.openxmlformats.org/officeDocument/2006/relationships/hyperlink" TargetMode="External" Target="https://spark-interfax.ru/system/home/card#/company/25612195AF4A43DE98CCB0CB547D3F1B/101"/><Relationship Id="rId5604" Type="http://schemas.openxmlformats.org/officeDocument/2006/relationships/hyperlink" TargetMode="External" Target="https://spark-interfax.ru/system/home/card#/company/7986CE9569314FBAB8C75D32CC1FC0A6/101"/><Relationship Id="rId5605" Type="http://schemas.openxmlformats.org/officeDocument/2006/relationships/hyperlink" TargetMode="External" Target="https://spark-interfax.ru/system/home/card#/company/F22140A3855548D38C27CCB158EE152C/101"/><Relationship Id="rId5606" Type="http://schemas.openxmlformats.org/officeDocument/2006/relationships/hyperlink" TargetMode="External" Target="https://spark-interfax.ru/system/home/card#/company/AAC25C4CA62146F182032A6ACA94565E/101"/><Relationship Id="rId5607" Type="http://schemas.openxmlformats.org/officeDocument/2006/relationships/hyperlink" TargetMode="External" Target="https://spark-interfax.ru/system/home/card#/company/2FDB2A46E1B8465E95285C4AB6BF9BC5/101"/><Relationship Id="rId5608" Type="http://schemas.openxmlformats.org/officeDocument/2006/relationships/hyperlink" TargetMode="External" Target="https://spark-interfax.ru/system/home/card#/company/DD92CB2871C74E95936DD8BA45C3C1EB/101"/><Relationship Id="rId5609" Type="http://schemas.openxmlformats.org/officeDocument/2006/relationships/hyperlink" TargetMode="External" Target="https://spark-interfax.ru/system/home/card#/company/B2E7E13FD8DD3F61E053219AA8C066C4/101"/><Relationship Id="rId5610" Type="http://schemas.openxmlformats.org/officeDocument/2006/relationships/hyperlink" TargetMode="External" Target="https://spark-interfax.ru/system/home/card#/company/9D3787CFFAC14BC199FADB6401030C41/101"/><Relationship Id="rId5611" Type="http://schemas.openxmlformats.org/officeDocument/2006/relationships/hyperlink" TargetMode="External" Target="https://spark-interfax.ru/system/home/card#/company/BCAF7BA03CD74797B186601CE1D4CC6D/101"/><Relationship Id="rId5612" Type="http://schemas.openxmlformats.org/officeDocument/2006/relationships/hyperlink" TargetMode="External" Target="https://spark-interfax.ru/system/home/card#/company/00487D6992C244C0BCB32AC0DE1EB95C/101"/><Relationship Id="rId5613" Type="http://schemas.openxmlformats.org/officeDocument/2006/relationships/hyperlink" TargetMode="External" Target="https://spark-interfax.ru/system/home/card#/company/D02ADD564C004824BFCCF8B34A5E6ECC/101"/><Relationship Id="rId5614" Type="http://schemas.openxmlformats.org/officeDocument/2006/relationships/hyperlink" TargetMode="External" Target="https://spark-interfax.ru/system/home/card#/company/C6603D164B0346F59450861A435CB83E/101"/><Relationship Id="rId5615" Type="http://schemas.openxmlformats.org/officeDocument/2006/relationships/hyperlink" TargetMode="External" Target="https://spark-interfax.ru/system/home/card#/company/A9D46A2814A845EB9622A4422EB19F10/101"/><Relationship Id="rId5616" Type="http://schemas.openxmlformats.org/officeDocument/2006/relationships/hyperlink" TargetMode="External" Target="https://spark-interfax.ru/system/home/card#/company/9BA085F53B8C457D8CF9C5C02512C42D/101"/><Relationship Id="rId5617" Type="http://schemas.openxmlformats.org/officeDocument/2006/relationships/hyperlink" TargetMode="External" Target="https://spark-interfax.ru/system/home/card#/company/0C3AC3686B0A4ACC978955554838C065/101"/><Relationship Id="rId5618" Type="http://schemas.openxmlformats.org/officeDocument/2006/relationships/hyperlink" TargetMode="External" Target="https://spark-interfax.ru/system/home/card#/company/EC6997AB61C54E11ADD0FCDE04B66E17/101"/><Relationship Id="rId5619" Type="http://schemas.openxmlformats.org/officeDocument/2006/relationships/hyperlink" TargetMode="External" Target="https://spark-interfax.ru/system/home/card#/company/72FF1663CAB945D381DFA60A2664EE46/101"/><Relationship Id="rId5620" Type="http://schemas.openxmlformats.org/officeDocument/2006/relationships/hyperlink" TargetMode="External" Target="https://spark-interfax.ru/system/home/card#/company/687D7BA3D4ED4FC3B0A107A67088F717/101"/><Relationship Id="rId5621" Type="http://schemas.openxmlformats.org/officeDocument/2006/relationships/hyperlink" TargetMode="External" Target="https://spark-interfax.ru/system/home/card#/company/A1D05C413D0E4C42BD11883F670D6BF1/101"/><Relationship Id="rId5622" Type="http://schemas.openxmlformats.org/officeDocument/2006/relationships/hyperlink" TargetMode="External" Target="https://spark-interfax.ru/system/home/card#/company/3C7B356A50B544FB95DD8E6AEA055E06/101"/><Relationship Id="rId5623" Type="http://schemas.openxmlformats.org/officeDocument/2006/relationships/hyperlink" TargetMode="External" Target="https://spark-interfax.ru/system/home/card#/company/D45F9FE7406B4631A570835FF589FEFD/101"/><Relationship Id="rId5624" Type="http://schemas.openxmlformats.org/officeDocument/2006/relationships/hyperlink" TargetMode="External" Target="https://spark-interfax.ru/system/home/card#/company/5AC640CCD55B438994E4CB435CE3FDB4/101"/><Relationship Id="rId5625" Type="http://schemas.openxmlformats.org/officeDocument/2006/relationships/hyperlink" TargetMode="External" Target="https://spark-interfax.ru/system/home/card#/company/37B18E6D164749B38DFDC367F9A3BE29/101"/><Relationship Id="rId5626" Type="http://schemas.openxmlformats.org/officeDocument/2006/relationships/hyperlink" TargetMode="External" Target="https://spark-interfax.ru/system/home/card#/company/67106F2D03FE41D9B46CF15635B03C84/101"/><Relationship Id="rId5627" Type="http://schemas.openxmlformats.org/officeDocument/2006/relationships/hyperlink" TargetMode="External" Target="https://spark-interfax.ru/system/home/card#/company/9D421536E13847208DAE1F57E8839198/101"/><Relationship Id="rId5628" Type="http://schemas.openxmlformats.org/officeDocument/2006/relationships/hyperlink" TargetMode="External" Target="https://spark-interfax.ru/system/home/card#/company/A1E40ECAF2AF4E3189D75C840A1AD8E3/101"/><Relationship Id="rId5629" Type="http://schemas.openxmlformats.org/officeDocument/2006/relationships/hyperlink" TargetMode="External" Target="https://spark-interfax.ru/system/home/card#/company/3D6DD161AC8F43CC8928A3A85F890F6C/101"/><Relationship Id="rId5630" Type="http://schemas.openxmlformats.org/officeDocument/2006/relationships/hyperlink" TargetMode="External" Target="https://spark-interfax.ru/system/home/card#/company/43A05B2B39DB40E2B2DED7F570866951/101"/><Relationship Id="rId5631" Type="http://schemas.openxmlformats.org/officeDocument/2006/relationships/hyperlink" TargetMode="External" Target="https://spark-interfax.ru/system/home/card#/company/53ACCC5CDA264C2DA4FEF63E98387C00/101"/><Relationship Id="rId5632" Type="http://schemas.openxmlformats.org/officeDocument/2006/relationships/hyperlink" TargetMode="External" Target="https://spark-interfax.ru/system/home/card#/company/1DAA220A41A14CD1B800EC19BA99D3DB/101"/><Relationship Id="rId5633" Type="http://schemas.openxmlformats.org/officeDocument/2006/relationships/hyperlink" TargetMode="External" Target="https://spark-interfax.ru/system/home/card#/company/3FDA095ED40E43ECA1CCF1AD3B461B7A/101"/><Relationship Id="rId5634" Type="http://schemas.openxmlformats.org/officeDocument/2006/relationships/hyperlink" TargetMode="External" Target="https://spark-interfax.ru/system/home/card#/company/DB05F18195A04661B7086937321EE908/101"/><Relationship Id="rId5635" Type="http://schemas.openxmlformats.org/officeDocument/2006/relationships/hyperlink" TargetMode="External" Target="https://spark-interfax.ru/system/home/card#/company/8D49417B50E84EAD804639301F6D4895/101"/><Relationship Id="rId5636" Type="http://schemas.openxmlformats.org/officeDocument/2006/relationships/hyperlink" TargetMode="External" Target="https://spark-interfax.ru/system/home/card#/company/4A89080D8E454E98975314617B78EB1D/101"/><Relationship Id="rId5637" Type="http://schemas.openxmlformats.org/officeDocument/2006/relationships/hyperlink" TargetMode="External" Target="https://spark-interfax.ru/system/home/card#/company/4ABD739255304DBFAFBECB5546AE9BFA/101"/><Relationship Id="rId5638" Type="http://schemas.openxmlformats.org/officeDocument/2006/relationships/hyperlink" TargetMode="External" Target="https://spark-interfax.ru/system/home/card#/company/A4F0D32B69EC462094A6D9D0278D819A/101"/><Relationship Id="rId5639" Type="http://schemas.openxmlformats.org/officeDocument/2006/relationships/hyperlink" TargetMode="External" Target="https://spark-interfax.ru/system/home/card#/company/A8C7345ABDA549CBE053189AA8C01AF1/101"/><Relationship Id="rId5640" Type="http://schemas.openxmlformats.org/officeDocument/2006/relationships/hyperlink" TargetMode="External" Target="https://spark-interfax.ru/system/home/card#/company/D8C4914A6523441396FB7B1993CE0888/101"/><Relationship Id="rId5641" Type="http://schemas.openxmlformats.org/officeDocument/2006/relationships/hyperlink" TargetMode="External" Target="https://spark-interfax.ru/system/home/card#/company/7EF55047A20E401DBDC1C3BFD60CF386/101"/><Relationship Id="rId5642" Type="http://schemas.openxmlformats.org/officeDocument/2006/relationships/hyperlink" TargetMode="External" Target="https://spark-interfax.ru/system/home/card#/company/E0E420E67AEA4D8CB0496387DCF6AD62/101"/><Relationship Id="rId5643" Type="http://schemas.openxmlformats.org/officeDocument/2006/relationships/hyperlink" TargetMode="External" Target="https://spark-interfax.ru/system/home/card#/company/8CB8886FD689487F88583DEA77CD011F/101"/><Relationship Id="rId5644" Type="http://schemas.openxmlformats.org/officeDocument/2006/relationships/hyperlink" TargetMode="External" Target="https://spark-interfax.ru/system/home/card#/company/D26404E73F6A415FBA2A68E466E7AEFC/101"/><Relationship Id="rId5645" Type="http://schemas.openxmlformats.org/officeDocument/2006/relationships/hyperlink" TargetMode="External" Target="https://spark-interfax.ru/system/home/card#/company/5CDE9272531D4D33E0531C9AA8C0C4F5/101"/><Relationship Id="rId5646" Type="http://schemas.openxmlformats.org/officeDocument/2006/relationships/hyperlink" TargetMode="External" Target="https://spark-interfax.ru/system/home/card#/company/E11C5E8880FE5DAFE053259AA8C00D1E/101"/><Relationship Id="rId5647" Type="http://schemas.openxmlformats.org/officeDocument/2006/relationships/hyperlink" TargetMode="External" Target="https://spark-interfax.ru/system/home/card#/company/40314D80BD2648FAB2F4D62D2D198270/101"/><Relationship Id="rId5648" Type="http://schemas.openxmlformats.org/officeDocument/2006/relationships/hyperlink" TargetMode="External" Target="https://spark-interfax.ru/system/home/card#/company/C859EB27D33547138E6E54D23A02D626/101"/><Relationship Id="rId5649" Type="http://schemas.openxmlformats.org/officeDocument/2006/relationships/hyperlink" TargetMode="External" Target="https://spark-interfax.ru/system/home/card#/company/EE032B7D21E9494B82EDB6419AAFF37F/101"/><Relationship Id="rId5650" Type="http://schemas.openxmlformats.org/officeDocument/2006/relationships/hyperlink" TargetMode="External" Target="https://spark-interfax.ru/system/home/card#/company/07E0B52579A6495DA16DC8CE91B487F0/101"/><Relationship Id="rId5651" Type="http://schemas.openxmlformats.org/officeDocument/2006/relationships/hyperlink" TargetMode="External" Target="https://spark-interfax.ru/system/home/card#/company/73B9FD6AA956457588D0031ECAF1DAEF/101"/><Relationship Id="rId5652" Type="http://schemas.openxmlformats.org/officeDocument/2006/relationships/hyperlink" TargetMode="External" Target="https://spark-interfax.ru/system/home/card#/company/A045713DC84F4DCD81E3E6150598855B/101"/><Relationship Id="rId5653" Type="http://schemas.openxmlformats.org/officeDocument/2006/relationships/hyperlink" TargetMode="External" Target="https://spark-interfax.ru/system/home/card#/company/7A8E31936BD14970AAF104ADA1F41C66/101"/><Relationship Id="rId5654" Type="http://schemas.openxmlformats.org/officeDocument/2006/relationships/hyperlink" TargetMode="External" Target="https://spark-interfax.ru/system/home/card#/company/AEFC9F648F1D4ADB84FEA7829A0DCAC3/101"/><Relationship Id="rId5655" Type="http://schemas.openxmlformats.org/officeDocument/2006/relationships/hyperlink" TargetMode="External" Target="https://spark-interfax.ru/system/home/card#/company/615ED57DBEFD43C2A93F4200569A08B5/101"/><Relationship Id="rId5656" Type="http://schemas.openxmlformats.org/officeDocument/2006/relationships/hyperlink" TargetMode="External" Target="https://spark-interfax.ru/system/home/card#/company/F824BC2C54FE47DB951375D849959CA2/101"/><Relationship Id="rId5657" Type="http://schemas.openxmlformats.org/officeDocument/2006/relationships/hyperlink" TargetMode="External" Target="https://spark-interfax.ru/system/home/card#/company/70987B0915C74938A74D07EC625A31BF/101"/><Relationship Id="rId5658" Type="http://schemas.openxmlformats.org/officeDocument/2006/relationships/hyperlink" TargetMode="External" Target="https://spark-interfax.ru/system/home/card#/company/9BBE3CD43C8B445B9A1CE78B130679AE/101"/><Relationship Id="rId5659" Type="http://schemas.openxmlformats.org/officeDocument/2006/relationships/hyperlink" TargetMode="External" Target="https://spark-interfax.ru/system/home/card#/company/53DD201FC8694CE99F4189C458AE254B/101"/><Relationship Id="rId5660" Type="http://schemas.openxmlformats.org/officeDocument/2006/relationships/hyperlink" TargetMode="External" Target="https://spark-interfax.ru/system/home/card#/company/0319DE6AB55F4C73977FC53FC134E53E/101"/><Relationship Id="rId5661" Type="http://schemas.openxmlformats.org/officeDocument/2006/relationships/hyperlink" TargetMode="External" Target="https://spark-interfax.ru/system/home/card#/company/BB5CE69B421F4F20826FE833E8F39DD5/101"/><Relationship Id="rId5662" Type="http://schemas.openxmlformats.org/officeDocument/2006/relationships/hyperlink" TargetMode="External" Target="https://spark-interfax.ru/system/home/card#/company/30AE2AE3DCA9467A9E538920E5070EE8/101"/><Relationship Id="rId5663" Type="http://schemas.openxmlformats.org/officeDocument/2006/relationships/hyperlink" TargetMode="External" Target="https://spark-interfax.ru/system/home/card#/company/D8785B9882A445EFB3BBF9E84F32D359/101"/><Relationship Id="rId5664" Type="http://schemas.openxmlformats.org/officeDocument/2006/relationships/hyperlink" TargetMode="External" Target="https://spark-interfax.ru/system/home/card#/company/FDF503D08B7848C1825CFDA7E568608D/101"/><Relationship Id="rId5665" Type="http://schemas.openxmlformats.org/officeDocument/2006/relationships/hyperlink" TargetMode="External" Target="https://spark-interfax.ru/system/home/card#/company/CD905DC34E704A92983121429299D853/101"/><Relationship Id="rId5666" Type="http://schemas.openxmlformats.org/officeDocument/2006/relationships/hyperlink" TargetMode="External" Target="https://spark-interfax.ru/system/home/card#/company/7FF38FC034704AB9B81521236B38867C/101"/><Relationship Id="rId5667" Type="http://schemas.openxmlformats.org/officeDocument/2006/relationships/hyperlink" TargetMode="External" Target="https://spark-interfax.ru/system/home/card#/company/5AB1695D451F4731833F95F09E9EDFBE/101"/><Relationship Id="rId5668" Type="http://schemas.openxmlformats.org/officeDocument/2006/relationships/hyperlink" TargetMode="External" Target="https://spark-interfax.ru/system/home/card#/company/50B61B0AC61A4E75BCBFBDE5A9FCD576/101"/><Relationship Id="rId5669" Type="http://schemas.openxmlformats.org/officeDocument/2006/relationships/hyperlink" TargetMode="External" Target="https://spark-interfax.ru/system/home/card#/company/B8A73B02ABE34147A29FCA5DAA423557/101"/><Relationship Id="rId5670" Type="http://schemas.openxmlformats.org/officeDocument/2006/relationships/hyperlink" TargetMode="External" Target="https://spark-interfax.ru/system/home/card#/company/BE4D4101FBE46154E053219AA8C0891D/101"/><Relationship Id="rId5671" Type="http://schemas.openxmlformats.org/officeDocument/2006/relationships/hyperlink" TargetMode="External" Target="https://spark-interfax.ru/system/home/card#/company/1EA6B50FAE874862B7D2465D3C164AA1/101"/><Relationship Id="rId5672" Type="http://schemas.openxmlformats.org/officeDocument/2006/relationships/hyperlink" TargetMode="External" Target="https://spark-interfax.ru/system/home/card#/company/10322CB2DC3C4ABEB732733A183E6169/101"/><Relationship Id="rId5673" Type="http://schemas.openxmlformats.org/officeDocument/2006/relationships/hyperlink" TargetMode="External" Target="https://spark-interfax.ru/system/home/card#/company/420B908DA7CD428080235E25BB75F278/101"/><Relationship Id="rId5674" Type="http://schemas.openxmlformats.org/officeDocument/2006/relationships/hyperlink" TargetMode="External" Target="https://spark-interfax.ru/system/home/card#/company/0DA128FD1D7845DFA9FC1ADFA5C1ED5A/101"/><Relationship Id="rId5675" Type="http://schemas.openxmlformats.org/officeDocument/2006/relationships/hyperlink" TargetMode="External" Target="https://spark-interfax.ru/system/home/card#/company/F05DD583FE184C8292EE78C99C038FAF/101"/><Relationship Id="rId5676" Type="http://schemas.openxmlformats.org/officeDocument/2006/relationships/hyperlink" TargetMode="External" Target="https://spark-interfax.ru/system/home/card#/company/530F2FAA1AD34607B0219994DAE42907/101"/><Relationship Id="rId5677" Type="http://schemas.openxmlformats.org/officeDocument/2006/relationships/hyperlink" TargetMode="External" Target="https://spark-interfax.ru/system/home/card#/company/67E99BCBCA5248E88A0A52E2AB337BAE/101"/><Relationship Id="rId5678" Type="http://schemas.openxmlformats.org/officeDocument/2006/relationships/hyperlink" TargetMode="External" Target="https://spark-interfax.ru/system/home/card#/company/CBE3959B76024715899F2B253360D6EA/101"/><Relationship Id="rId5679" Type="http://schemas.openxmlformats.org/officeDocument/2006/relationships/hyperlink" TargetMode="External" Target="https://spark-interfax.ru/system/home/card#/company/4F4EF92A67C54AB094EC8F8A0B2EA49F/101"/><Relationship Id="rId5680" Type="http://schemas.openxmlformats.org/officeDocument/2006/relationships/hyperlink" TargetMode="External" Target="https://spark-interfax.ru/system/home/card#/company/C5B7FB0602AF4C7FBCC6AD71AC75A702/101"/><Relationship Id="rId5681" Type="http://schemas.openxmlformats.org/officeDocument/2006/relationships/hyperlink" TargetMode="External" Target="https://spark-interfax.ru/system/home/card#/company/3BAA833484FE4D75AF569AE6F9E24551/101"/><Relationship Id="rId5682" Type="http://schemas.openxmlformats.org/officeDocument/2006/relationships/hyperlink" TargetMode="External" Target="https://spark-interfax.ru/system/home/card#/company/F191112E44694013A029516FEBF3E000/101"/><Relationship Id="rId5683" Type="http://schemas.openxmlformats.org/officeDocument/2006/relationships/hyperlink" TargetMode="External" Target="https://spark-interfax.ru/system/home/card#/company/EA2766DAC08B4FFC84C1C133E2C0EFAF/101"/><Relationship Id="rId5684" Type="http://schemas.openxmlformats.org/officeDocument/2006/relationships/hyperlink" TargetMode="External" Target="https://spark-interfax.ru/system/home/card#/company/628A54C1E7594788A95AC63BEF203AE6/101"/><Relationship Id="rId5685" Type="http://schemas.openxmlformats.org/officeDocument/2006/relationships/hyperlink" TargetMode="External" Target="https://spark-interfax.ru/system/home/card#/company/288FB8B3AFCE46678F3CD1D8B2CB722A/101"/><Relationship Id="rId5686" Type="http://schemas.openxmlformats.org/officeDocument/2006/relationships/hyperlink" TargetMode="External" Target="https://spark-interfax.ru/system/home/card#/company/3A28E4F56F78419CA450FB611C8C20A5/101"/><Relationship Id="rId5687" Type="http://schemas.openxmlformats.org/officeDocument/2006/relationships/hyperlink" TargetMode="External" Target="https://spark-interfax.ru/system/home/card#/company/CB11297DF13B4EB398BC686047542501/101"/><Relationship Id="rId5688" Type="http://schemas.openxmlformats.org/officeDocument/2006/relationships/hyperlink" TargetMode="External" Target="https://spark-interfax.ru/system/home/card#/company/B31BAD42C9BD49ACA44E87F9203FE9C4/101"/><Relationship Id="rId5689" Type="http://schemas.openxmlformats.org/officeDocument/2006/relationships/hyperlink" TargetMode="External" Target="https://spark-interfax.ru/system/home/card#/company/A7CA8BF97B9F4299AAE698B080077C24/101"/><Relationship Id="rId5690" Type="http://schemas.openxmlformats.org/officeDocument/2006/relationships/hyperlink" TargetMode="External" Target="https://spark-interfax.ru/system/home/card#/company/0FA02C998B3A4A25A691C879307B6EB4/101"/><Relationship Id="rId5691" Type="http://schemas.openxmlformats.org/officeDocument/2006/relationships/hyperlink" TargetMode="External" Target="https://spark-interfax.ru/system/home/card#/company/C0C3FF1B926D42B4B14AF94B73760FC7/101"/><Relationship Id="rId5692" Type="http://schemas.openxmlformats.org/officeDocument/2006/relationships/hyperlink" TargetMode="External" Target="https://spark-interfax.ru/system/home/card#/company/27D409688A03414CB659ECD8FF766ACF/101"/><Relationship Id="rId5693" Type="http://schemas.openxmlformats.org/officeDocument/2006/relationships/hyperlink" TargetMode="External" Target="https://spark-interfax.ru/system/home/card#/company/27303A1B59B24BEBA6880606D557E495/101"/><Relationship Id="rId5694" Type="http://schemas.openxmlformats.org/officeDocument/2006/relationships/hyperlink" TargetMode="External" Target="https://spark-interfax.ru/system/home/card#/company/6FB7E51CCF9545BA82D0D1A5B1A80199/101"/><Relationship Id="rId5695" Type="http://schemas.openxmlformats.org/officeDocument/2006/relationships/hyperlink" TargetMode="External" Target="https://spark-interfax.ru/system/home/card#/company/5FE6D107717B42CA8917A3827E0018BF/101"/><Relationship Id="rId5696" Type="http://schemas.openxmlformats.org/officeDocument/2006/relationships/hyperlink" TargetMode="External" Target="https://spark-interfax.ru/system/home/card#/company/9295F30E069F4F84BF594DF449B5B538/101"/><Relationship Id="rId5697" Type="http://schemas.openxmlformats.org/officeDocument/2006/relationships/hyperlink" TargetMode="External" Target="https://spark-interfax.ru/system/home/card#/company/359809A3AC314503AF0F7F421B3D7AD9/101"/><Relationship Id="rId5698" Type="http://schemas.openxmlformats.org/officeDocument/2006/relationships/hyperlink" TargetMode="External" Target="https://spark-interfax.ru/system/home/card#/company/8C0A2934413848E8B32014E505120A26/101"/><Relationship Id="rId5699" Type="http://schemas.openxmlformats.org/officeDocument/2006/relationships/hyperlink" TargetMode="External" Target="https://spark-interfax.ru/system/home/card#/company/8C90933FBEFD89EFE0531C9AA8C00E89/101"/><Relationship Id="rId5700" Type="http://schemas.openxmlformats.org/officeDocument/2006/relationships/hyperlink" TargetMode="External" Target="https://spark-interfax.ru/system/home/card#/company/13C21983594E43128A4CD234873058A6/101"/><Relationship Id="rId5701" Type="http://schemas.openxmlformats.org/officeDocument/2006/relationships/hyperlink" TargetMode="External" Target="https://spark-interfax.ru/system/home/card#/company/2AF91C4316084C23B42381645CF3E7B1/101"/><Relationship Id="rId5702" Type="http://schemas.openxmlformats.org/officeDocument/2006/relationships/hyperlink" TargetMode="External" Target="https://spark-interfax.ru/system/home/card#/company/A60D8F2AE8BC4EE88F77B258DB9FBA17/101"/><Relationship Id="rId5703" Type="http://schemas.openxmlformats.org/officeDocument/2006/relationships/hyperlink" TargetMode="External" Target="https://spark-interfax.ru/system/home/card#/company/96408557B2F346FC9648FEB1CED19399/101"/><Relationship Id="rId5704" Type="http://schemas.openxmlformats.org/officeDocument/2006/relationships/hyperlink" TargetMode="External" Target="https://spark-interfax.ru/system/home/card#/company/D2C1667839B34467B0F0168363350BA2/101"/><Relationship Id="rId5705" Type="http://schemas.openxmlformats.org/officeDocument/2006/relationships/hyperlink" TargetMode="External" Target="https://spark-interfax.ru/system/home/card#/company/B5E46FAF98230C7CE053219AA8C0820D/101"/><Relationship Id="rId5706" Type="http://schemas.openxmlformats.org/officeDocument/2006/relationships/hyperlink" TargetMode="External" Target="https://spark-interfax.ru/system/home/card#/company/18396F1D611242A29730451A5E5C6F8E/101"/><Relationship Id="rId5707" Type="http://schemas.openxmlformats.org/officeDocument/2006/relationships/hyperlink" TargetMode="External" Target="https://spark-interfax.ru/system/home/card#/company/97BA6E16176943C4AFBACF862814D523/101"/><Relationship Id="rId5708" Type="http://schemas.openxmlformats.org/officeDocument/2006/relationships/hyperlink" TargetMode="External" Target="https://spark-interfax.ru/system/home/card#/company/53C16E1764BE4981A063A815782A3872/101"/><Relationship Id="rId5709" Type="http://schemas.openxmlformats.org/officeDocument/2006/relationships/hyperlink" TargetMode="External" Target="https://spark-interfax.ru/system/home/card#/company/C41757D3A66C46D8956F63DE9347C518/101"/><Relationship Id="rId5710" Type="http://schemas.openxmlformats.org/officeDocument/2006/relationships/hyperlink" TargetMode="External" Target="https://spark-interfax.ru/system/home/card#/company/3CB1B7B7A49C4B389D874270CD9918C0/101"/><Relationship Id="rId5711" Type="http://schemas.openxmlformats.org/officeDocument/2006/relationships/hyperlink" TargetMode="External" Target="https://spark-interfax.ru/system/home/card#/company/95FF552B8F714A818EED27349E477632/101"/><Relationship Id="rId5712" Type="http://schemas.openxmlformats.org/officeDocument/2006/relationships/hyperlink" TargetMode="External" Target="https://spark-interfax.ru/system/home/card#/company/8EA2D44992794D6F93327624BB87B17A/101"/><Relationship Id="rId5713" Type="http://schemas.openxmlformats.org/officeDocument/2006/relationships/hyperlink" TargetMode="External" Target="https://spark-interfax.ru/system/home/card#/company/56553166EEF14826AC2C0A0E67EF802A/101"/><Relationship Id="rId5714" Type="http://schemas.openxmlformats.org/officeDocument/2006/relationships/hyperlink" TargetMode="External" Target="https://spark-interfax.ru/system/home/card#/company/25E611B9F9504C6FAA04E7FFE0D21033/101"/><Relationship Id="rId5715" Type="http://schemas.openxmlformats.org/officeDocument/2006/relationships/hyperlink" TargetMode="External" Target="https://spark-interfax.ru/system/home/card#/company/3E78CBC82F634082839913FB465C77A7/101"/><Relationship Id="rId5716" Type="http://schemas.openxmlformats.org/officeDocument/2006/relationships/hyperlink" TargetMode="External" Target="https://spark-interfax.ru/system/home/card#/company/C659E67C4E104666835C57DBAF19EB69/101"/><Relationship Id="rId5717" Type="http://schemas.openxmlformats.org/officeDocument/2006/relationships/hyperlink" TargetMode="External" Target="https://spark-interfax.ru/system/home/card#/company/C1F1FE8FDDE04C5191AF54FA40E00F85/101"/><Relationship Id="rId5718" Type="http://schemas.openxmlformats.org/officeDocument/2006/relationships/hyperlink" TargetMode="External" Target="https://spark-interfax.ru/system/home/card#/company/3C7A45F84C064638AC1927EA1A284F0E/101"/><Relationship Id="rId5719" Type="http://schemas.openxmlformats.org/officeDocument/2006/relationships/hyperlink" TargetMode="External" Target="https://spark-interfax.ru/system/home/card#/company/16283CD552104471993B3E5A66855D5F/101"/><Relationship Id="rId5720" Type="http://schemas.openxmlformats.org/officeDocument/2006/relationships/hyperlink" TargetMode="External" Target="https://spark-interfax.ru/system/home/card#/company/701B4CA851AB4BB68FA4E2DB3BCB877B/101"/><Relationship Id="rId5721" Type="http://schemas.openxmlformats.org/officeDocument/2006/relationships/hyperlink" TargetMode="External" Target="https://spark-interfax.ru/system/home/card#/company/0E9B47393DDF41679FFB9E0764DA8086/101"/><Relationship Id="rId5722" Type="http://schemas.openxmlformats.org/officeDocument/2006/relationships/hyperlink" TargetMode="External" Target="https://spark-interfax.ru/system/home/card#/company/E454DE811D054AC4B806720693315A58/101"/><Relationship Id="rId5723" Type="http://schemas.openxmlformats.org/officeDocument/2006/relationships/hyperlink" TargetMode="External" Target="https://spark-interfax.ru/system/home/card#/company/5338DC1218CC40D5949CE1996C89001E/101"/><Relationship Id="rId5724" Type="http://schemas.openxmlformats.org/officeDocument/2006/relationships/hyperlink" TargetMode="External" Target="https://spark-interfax.ru/system/home/card#/company/81B0160F30484A5DAA89201E7DF63947/101"/><Relationship Id="rId5725" Type="http://schemas.openxmlformats.org/officeDocument/2006/relationships/hyperlink" TargetMode="External" Target="https://spark-interfax.ru/system/home/card#/company/75CF37DBBD634C17A6182AC6350F330B/101"/><Relationship Id="rId5726" Type="http://schemas.openxmlformats.org/officeDocument/2006/relationships/hyperlink" TargetMode="External" Target="https://spark-interfax.ru/system/home/card#/company/D09C5DF4386D6D42E053219AA8C09D0F/101"/><Relationship Id="rId5727" Type="http://schemas.openxmlformats.org/officeDocument/2006/relationships/hyperlink" TargetMode="External" Target="https://spark-interfax.ru/system/home/card#/company/92C5FE20F4230AF2E0531B9AA8C0BF74/101"/><Relationship Id="rId5728" Type="http://schemas.openxmlformats.org/officeDocument/2006/relationships/hyperlink" TargetMode="External" Target="https://spark-interfax.ru/system/home/card#/company/09C4C0C1FE694DA2B7F900906909255C/101"/><Relationship Id="rId5729" Type="http://schemas.openxmlformats.org/officeDocument/2006/relationships/hyperlink" TargetMode="External" Target="https://spark-interfax.ru/system/home/card#/company/4A64F027CFA846FEBAEC4B1F08E654F1/101"/><Relationship Id="rId5730" Type="http://schemas.openxmlformats.org/officeDocument/2006/relationships/hyperlink" TargetMode="External" Target="https://spark-interfax.ru/system/home/card#/company/3C6DE373C48844D082477B420A0BCC3B/101"/><Relationship Id="rId5731" Type="http://schemas.openxmlformats.org/officeDocument/2006/relationships/hyperlink" TargetMode="External" Target="https://spark-interfax.ru/system/home/card#/company/77D1D80651D420CCE0531B9AA8C0A51A/101"/><Relationship Id="rId5732" Type="http://schemas.openxmlformats.org/officeDocument/2006/relationships/hyperlink" TargetMode="External" Target="https://spark-interfax.ru/system/home/card#/company/9A1C98FB40074843B5877BDB78EBB4FA/101"/><Relationship Id="rId5733" Type="http://schemas.openxmlformats.org/officeDocument/2006/relationships/hyperlink" TargetMode="External" Target="https://spark-interfax.ru/system/home/card#/company/A1B0023D407C645EE053189AA8C0C14F/101"/><Relationship Id="rId5734" Type="http://schemas.openxmlformats.org/officeDocument/2006/relationships/hyperlink" TargetMode="External" Target="https://spark-interfax.ru/system/home/card#/company/8C9731A9FD114250B4DC3060BB50C3AF/101"/><Relationship Id="rId5735" Type="http://schemas.openxmlformats.org/officeDocument/2006/relationships/hyperlink" TargetMode="External" Target="https://spark-interfax.ru/system/home/card#/company/CCD917506BC34EF69B0EC418CA3980DB/101"/><Relationship Id="rId5736" Type="http://schemas.openxmlformats.org/officeDocument/2006/relationships/hyperlink" TargetMode="External" Target="https://spark-interfax.ru/system/home/card#/company/5E5AAB72A7E248AFA15FFDC70575A057/101"/><Relationship Id="rId5737" Type="http://schemas.openxmlformats.org/officeDocument/2006/relationships/hyperlink" TargetMode="External" Target="https://spark-interfax.ru/system/home/card#/company/28301118768140B9952CEB89984DF709/101"/><Relationship Id="rId5738" Type="http://schemas.openxmlformats.org/officeDocument/2006/relationships/hyperlink" TargetMode="External" Target="https://spark-interfax.ru/system/home/card#/company/25D7725235C94DBAA4DD0F7B9FD0A272/101"/><Relationship Id="rId5739" Type="http://schemas.openxmlformats.org/officeDocument/2006/relationships/hyperlink" TargetMode="External" Target="https://spark-interfax.ru/system/home/card#/company/330E08619F60443086A6DDCA0CF5E7FA/101"/><Relationship Id="rId5740" Type="http://schemas.openxmlformats.org/officeDocument/2006/relationships/hyperlink" TargetMode="External" Target="https://spark-interfax.ru/system/home/card#/company/4FD5A1B9392A427299766AD197155263/101"/><Relationship Id="rId5741" Type="http://schemas.openxmlformats.org/officeDocument/2006/relationships/hyperlink" TargetMode="External" Target="https://spark-interfax.ru/system/home/card#/company/84994C7AAA1B4D12BCF35DCEE20790E7/101"/><Relationship Id="rId5742" Type="http://schemas.openxmlformats.org/officeDocument/2006/relationships/hyperlink" TargetMode="External" Target="https://spark-interfax.ru/system/home/card#/company/7FF762FA6BB842C7AC663CB436634A54/101"/><Relationship Id="rId5743" Type="http://schemas.openxmlformats.org/officeDocument/2006/relationships/hyperlink" TargetMode="External" Target="https://spark-interfax.ru/system/home/card#/company/9EC12C8944524367B5642FF495F67855/101"/><Relationship Id="rId5744" Type="http://schemas.openxmlformats.org/officeDocument/2006/relationships/hyperlink" TargetMode="External" Target="https://spark-interfax.ru/system/home/card#/company/94994943787740F39F572A768A67A8CC/101"/><Relationship Id="rId5745" Type="http://schemas.openxmlformats.org/officeDocument/2006/relationships/hyperlink" TargetMode="External" Target="https://spark-interfax.ru/system/home/card#/company/A7D1B71F0DEF4177AC0A7BFB168869EF/101"/><Relationship Id="rId5746" Type="http://schemas.openxmlformats.org/officeDocument/2006/relationships/hyperlink" TargetMode="External" Target="https://spark-interfax.ru/system/home/card#/company/B4FA576FE5514B8BB0E16435343C48FB/101"/><Relationship Id="rId5747" Type="http://schemas.openxmlformats.org/officeDocument/2006/relationships/hyperlink" TargetMode="External" Target="https://spark-interfax.ru/system/home/card#/company/9AF029D8CFFC40F59759B3D2F6E29C91/101"/><Relationship Id="rId5748" Type="http://schemas.openxmlformats.org/officeDocument/2006/relationships/hyperlink" TargetMode="External" Target="https://spark-interfax.ru/system/home/card#/company/B2A22259D61D44F9BDB04499E3AB04A4/101"/><Relationship Id="rId5749" Type="http://schemas.openxmlformats.org/officeDocument/2006/relationships/hyperlink" TargetMode="External" Target="https://spark-interfax.ru/system/home/card#/company/33FCE32CE03B4D48B4956AADB5A15E16/101"/><Relationship Id="rId5750" Type="http://schemas.openxmlformats.org/officeDocument/2006/relationships/hyperlink" TargetMode="External" Target="https://spark-interfax.ru/system/home/card#/company/5BF13D5C2F4848978778173A31A601EE/101"/><Relationship Id="rId5751" Type="http://schemas.openxmlformats.org/officeDocument/2006/relationships/hyperlink" TargetMode="External" Target="https://spark-interfax.ru/system/home/card#/company/9CF4641389714C4E9156D18BCB7309A1/101"/><Relationship Id="rId5752" Type="http://schemas.openxmlformats.org/officeDocument/2006/relationships/hyperlink" TargetMode="External" Target="https://spark-interfax.ru/system/home/card#/company/1782F1ED7CC54F53BB5E5BC2C4B514FA/101"/><Relationship Id="rId5753" Type="http://schemas.openxmlformats.org/officeDocument/2006/relationships/hyperlink" TargetMode="External" Target="https://spark-interfax.ru/system/home/card#/company/015356E216364D6BBCD19418800565B5/101"/><Relationship Id="rId5754" Type="http://schemas.openxmlformats.org/officeDocument/2006/relationships/hyperlink" TargetMode="External" Target="https://spark-interfax.ru/system/home/card#/company/AFA1E4730F0A4B83A52DE0A18D850879/101"/><Relationship Id="rId5755" Type="http://schemas.openxmlformats.org/officeDocument/2006/relationships/hyperlink" TargetMode="External" Target="https://spark-interfax.ru/system/home/card#/company/57F95396CC3248AB8164F71C08862ECF/101"/><Relationship Id="rId5756" Type="http://schemas.openxmlformats.org/officeDocument/2006/relationships/hyperlink" TargetMode="External" Target="https://spark-interfax.ru/system/home/card#/company/DC1873646F594377AA62285385BBED37/101"/><Relationship Id="rId5757" Type="http://schemas.openxmlformats.org/officeDocument/2006/relationships/hyperlink" TargetMode="External" Target="https://spark-interfax.ru/system/home/card#/company/6AB0B0E99EB81BBAE0531B9AA8C07125/101"/><Relationship Id="rId5758" Type="http://schemas.openxmlformats.org/officeDocument/2006/relationships/hyperlink" TargetMode="External" Target="https://spark-interfax.ru/system/home/card#/company/BF3FD081A2FE4D1FB2E80062B811E987/101"/><Relationship Id="rId5759" Type="http://schemas.openxmlformats.org/officeDocument/2006/relationships/hyperlink" TargetMode="External" Target="https://spark-interfax.ru/system/home/card#/company/4637016DEDA345C4BC1C9C49308F5C77/101"/><Relationship Id="rId5760" Type="http://schemas.openxmlformats.org/officeDocument/2006/relationships/hyperlink" TargetMode="External" Target="https://spark-interfax.ru/system/home/card#/company/4E32CDC51C7849378B0264B49BA56BF3/101"/><Relationship Id="rId5761" Type="http://schemas.openxmlformats.org/officeDocument/2006/relationships/hyperlink" TargetMode="External" Target="https://spark-interfax.ru/system/home/card#/company/E189CAB120924E7DAE4F5A54DAABAF9A/101"/><Relationship Id="rId5762" Type="http://schemas.openxmlformats.org/officeDocument/2006/relationships/hyperlink" TargetMode="External" Target="https://spark-interfax.ru/system/home/card#/company/83D30B91FE254EDA9909CF9501C5FE22/101"/><Relationship Id="rId5763" Type="http://schemas.openxmlformats.org/officeDocument/2006/relationships/hyperlink" TargetMode="External" Target="https://spark-interfax.ru/system/home/card#/company/9EEE708E91554BECB04CB582DB6E5F34/101"/><Relationship Id="rId5764" Type="http://schemas.openxmlformats.org/officeDocument/2006/relationships/hyperlink" TargetMode="External" Target="https://spark-interfax.ru/system/home/card#/company/8F13E91E5AA581C6E0531B9AA8C07F56/101"/><Relationship Id="rId5765" Type="http://schemas.openxmlformats.org/officeDocument/2006/relationships/hyperlink" TargetMode="External" Target="https://spark-interfax.ru/system/home/card#/company/822FDC9C509D3785E0531B9AA8C0B463/101"/><Relationship Id="rId5766" Type="http://schemas.openxmlformats.org/officeDocument/2006/relationships/hyperlink" TargetMode="External" Target="https://spark-interfax.ru/system/home/card#/company/617F40496FB039B5E0531B9AA8C02387/101"/><Relationship Id="rId5767" Type="http://schemas.openxmlformats.org/officeDocument/2006/relationships/hyperlink" TargetMode="External" Target="https://spark-interfax.ru/system/home/card#/company/E5B8C07B6D1846DA9949787D62A6995E/101"/><Relationship Id="rId5768" Type="http://schemas.openxmlformats.org/officeDocument/2006/relationships/hyperlink" TargetMode="External" Target="https://spark-interfax.ru/system/home/card#/company/DBAF53BE105C4D21A5308AFA999FC4DD/101"/><Relationship Id="rId5769" Type="http://schemas.openxmlformats.org/officeDocument/2006/relationships/hyperlink" TargetMode="External" Target="https://spark-interfax.ru/system/home/card#/company/D8DB94AE245A4F36B78932D6B72FBEB2/101"/><Relationship Id="rId5770" Type="http://schemas.openxmlformats.org/officeDocument/2006/relationships/hyperlink" TargetMode="External" Target="https://spark-interfax.ru/system/home/card#/company/230277E032F14378A4D5E1168FE03196/101"/><Relationship Id="rId5771" Type="http://schemas.openxmlformats.org/officeDocument/2006/relationships/hyperlink" TargetMode="External" Target="https://spark-interfax.ru/system/home/card#/company/EFDAC6E03D53400781FD80916B1FD489/101"/><Relationship Id="rId5772" Type="http://schemas.openxmlformats.org/officeDocument/2006/relationships/hyperlink" TargetMode="External" Target="https://spark-interfax.ru/system/home/card#/company/E6A0C51FE8B242AF806A1AA3EB28AE27/101"/><Relationship Id="rId5773" Type="http://schemas.openxmlformats.org/officeDocument/2006/relationships/hyperlink" TargetMode="External" Target="https://spark-interfax.ru/system/home/card#/company/BD3A66A82D1D4311AAC591C397A702EF/101"/><Relationship Id="rId5774" Type="http://schemas.openxmlformats.org/officeDocument/2006/relationships/hyperlink" TargetMode="External" Target="https://spark-interfax.ru/system/home/card#/company/9480771EB50E31E8E0531B9AA8C08598/101"/><Relationship Id="rId5775" Type="http://schemas.openxmlformats.org/officeDocument/2006/relationships/hyperlink" TargetMode="External" Target="https://spark-interfax.ru/system/home/card#/company/28D04C29B53749E190DC7B36C85951EA/101"/><Relationship Id="rId5776" Type="http://schemas.openxmlformats.org/officeDocument/2006/relationships/hyperlink" TargetMode="External" Target="https://spark-interfax.ru/system/home/card#/company/570FCBA651DA4BA8A04243A426B8619B/101"/><Relationship Id="rId5777" Type="http://schemas.openxmlformats.org/officeDocument/2006/relationships/hyperlink" TargetMode="External" Target="https://spark-interfax.ru/system/home/card#/company/1CD3E53E16454BA7A6104DD064F0F72B/101"/><Relationship Id="rId5778" Type="http://schemas.openxmlformats.org/officeDocument/2006/relationships/hyperlink" TargetMode="External" Target="https://spark-interfax.ru/system/home/card#/company/798BE12706947893E0531F9AA8C0DF35/101"/><Relationship Id="rId5779" Type="http://schemas.openxmlformats.org/officeDocument/2006/relationships/hyperlink" TargetMode="External" Target="https://spark-interfax.ru/system/home/card#/company/76E0C0CEE7504C5E846D87388B926DFA/101"/><Relationship Id="rId5780" Type="http://schemas.openxmlformats.org/officeDocument/2006/relationships/hyperlink" TargetMode="External" Target="https://spark-interfax.ru/system/home/card#/company/86B9440EF6274ACEB2E0F7256E816C25/101"/><Relationship Id="rId5781" Type="http://schemas.openxmlformats.org/officeDocument/2006/relationships/hyperlink" TargetMode="External" Target="https://spark-interfax.ru/system/home/card#/company/CC0FEC07BC6142D280701600CEAD7C57/101"/><Relationship Id="rId5782" Type="http://schemas.openxmlformats.org/officeDocument/2006/relationships/hyperlink" TargetMode="External" Target="https://spark-interfax.ru/system/home/card#/company/8A444C54AF344E24A07D6254A2AC9DB7/101"/><Relationship Id="rId5783" Type="http://schemas.openxmlformats.org/officeDocument/2006/relationships/hyperlink" TargetMode="External" Target="https://spark-interfax.ru/system/home/card#/company/BDBD2877DC574E66A7A42AC8B701881C/101"/><Relationship Id="rId5784" Type="http://schemas.openxmlformats.org/officeDocument/2006/relationships/hyperlink" TargetMode="External" Target="https://spark-interfax.ru/system/home/card#/company/F3DF8392542F4181B145C2DD4D299465/101"/><Relationship Id="rId5785" Type="http://schemas.openxmlformats.org/officeDocument/2006/relationships/hyperlink" TargetMode="External" Target="https://spark-interfax.ru/system/home/card#/company/895DA687ACF34B5DA5C8883FA4B05B37/101"/><Relationship Id="rId5786" Type="http://schemas.openxmlformats.org/officeDocument/2006/relationships/hyperlink" TargetMode="External" Target="https://spark-interfax.ru/system/home/card#/company/BBB67FB44BA0467FA951EB8496D156B4/101"/><Relationship Id="rId5787" Type="http://schemas.openxmlformats.org/officeDocument/2006/relationships/hyperlink" TargetMode="External" Target="https://spark-interfax.ru/system/home/card#/company/655A5BE7CC717085E0531B9AA8C01530/101"/><Relationship Id="rId5788" Type="http://schemas.openxmlformats.org/officeDocument/2006/relationships/hyperlink" TargetMode="External" Target="https://spark-interfax.ru/system/home/card#/company/6F7B95F4FD5E4FA29CFE581FAFCBBEB5/101"/><Relationship Id="rId5789" Type="http://schemas.openxmlformats.org/officeDocument/2006/relationships/hyperlink" TargetMode="External" Target="https://spark-interfax.ru/system/home/card#/company/CE468E2D1A62444A857AD31C8901A673/101"/><Relationship Id="rId5790" Type="http://schemas.openxmlformats.org/officeDocument/2006/relationships/hyperlink" TargetMode="External" Target="https://spark-interfax.ru/system/home/card#/company/C326DF78B7E549D882B90D3D2BB25D0F/101"/><Relationship Id="rId5791" Type="http://schemas.openxmlformats.org/officeDocument/2006/relationships/hyperlink" TargetMode="External" Target="https://spark-interfax.ru/system/home/card#/company/74982ABEC8624F6F978BDF31DCB02A79/101"/><Relationship Id="rId5792" Type="http://schemas.openxmlformats.org/officeDocument/2006/relationships/hyperlink" TargetMode="External" Target="https://spark-interfax.ru/system/home/card#/company/4040B2AA004F410BB6D9988186A3D160/101"/><Relationship Id="rId5793" Type="http://schemas.openxmlformats.org/officeDocument/2006/relationships/hyperlink" TargetMode="External" Target="https://spark-interfax.ru/system/home/card#/company/14A4443190024844A308C9680FE6693D/101"/><Relationship Id="rId5794" Type="http://schemas.openxmlformats.org/officeDocument/2006/relationships/hyperlink" TargetMode="External" Target="https://spark-interfax.ru/system/home/card#/company/A29497844F934243955E78736587B643/101"/><Relationship Id="rId5795" Type="http://schemas.openxmlformats.org/officeDocument/2006/relationships/hyperlink" TargetMode="External" Target="https://spark-interfax.ru/system/home/card#/company/DC60CBD818FB4BBBBABDC910067D9652/101"/><Relationship Id="rId5796" Type="http://schemas.openxmlformats.org/officeDocument/2006/relationships/hyperlink" TargetMode="External" Target="https://spark-interfax.ru/system/home/card#/company/95865EF4BC7F44779E5B8E7F6697482B/101"/><Relationship Id="rId5797" Type="http://schemas.openxmlformats.org/officeDocument/2006/relationships/hyperlink" TargetMode="External" Target="https://spark-interfax.ru/system/home/card#/company/34116565D24E4E2AA36D6458D1C62E0C/101"/><Relationship Id="rId5798" Type="http://schemas.openxmlformats.org/officeDocument/2006/relationships/hyperlink" TargetMode="External" Target="https://spark-interfax.ru/system/home/card#/company/842413270C19400ABF13293AE3C4E35B/101"/><Relationship Id="rId5799" Type="http://schemas.openxmlformats.org/officeDocument/2006/relationships/hyperlink" TargetMode="External" Target="https://spark-interfax.ru/system/home/card#/company/D08BF8F08FFF4E8B85A907963BE3AD14/101"/><Relationship Id="rId5800" Type="http://schemas.openxmlformats.org/officeDocument/2006/relationships/hyperlink" TargetMode="External" Target="https://spark-interfax.ru/system/home/card#/company/70C080EF0B5B4A84B68F7B111C5E98D2/101"/><Relationship Id="rId5801" Type="http://schemas.openxmlformats.org/officeDocument/2006/relationships/hyperlink" TargetMode="External" Target="https://spark-interfax.ru/system/home/card#/company/53143F670A7E432CACC7EE2E6E2A1D1D/101"/><Relationship Id="rId5802" Type="http://schemas.openxmlformats.org/officeDocument/2006/relationships/hyperlink" TargetMode="External" Target="https://spark-interfax.ru/system/home/card#/company/6EC76058B5730C2FE0531B9AA8C03A6B/101"/><Relationship Id="rId5803" Type="http://schemas.openxmlformats.org/officeDocument/2006/relationships/hyperlink" TargetMode="External" Target="https://spark-interfax.ru/system/home/card#/company/8119D47D78324762B2BA87C83A733578/101"/><Relationship Id="rId5804" Type="http://schemas.openxmlformats.org/officeDocument/2006/relationships/hyperlink" TargetMode="External" Target="https://spark-interfax.ru/system/home/card#/company/AB98E65A857D692FE053189AA8C0A911/101"/><Relationship Id="rId5805" Type="http://schemas.openxmlformats.org/officeDocument/2006/relationships/hyperlink" TargetMode="External" Target="https://spark-interfax.ru/system/home/card#/company/5168FF6EC7A6449584C8938A6D7D5C3F/101"/><Relationship Id="rId5806" Type="http://schemas.openxmlformats.org/officeDocument/2006/relationships/hyperlink" TargetMode="External" Target="https://spark-interfax.ru/system/home/card#/company/DAB22629783B4B9C8671BE137137882A/101"/><Relationship Id="rId5807" Type="http://schemas.openxmlformats.org/officeDocument/2006/relationships/hyperlink" TargetMode="External" Target="https://spark-interfax.ru/system/home/card#/company/2FE4293A30F74259B7FEB1294E1B7683/101"/><Relationship Id="rId5808" Type="http://schemas.openxmlformats.org/officeDocument/2006/relationships/hyperlink" TargetMode="External" Target="https://spark-interfax.ru/system/home/card#/company/BEE8413E8332470C8564E0E9CDF71C92/101"/><Relationship Id="rId5809" Type="http://schemas.openxmlformats.org/officeDocument/2006/relationships/hyperlink" TargetMode="External" Target="https://spark-interfax.ru/system/home/card#/company/BAE5EEF003AF4AE7B20CA4FDA7581F2F/101"/><Relationship Id="rId5810" Type="http://schemas.openxmlformats.org/officeDocument/2006/relationships/hyperlink" TargetMode="External" Target="https://spark-interfax.ru/system/home/card#/company/829FCE2DD2484727A448855803259F26/101"/><Relationship Id="rId5811" Type="http://schemas.openxmlformats.org/officeDocument/2006/relationships/hyperlink" TargetMode="External" Target="https://spark-interfax.ru/system/home/card#/company/DC23792D199F49E4B3EF372E2F7114CF/101"/><Relationship Id="rId5812" Type="http://schemas.openxmlformats.org/officeDocument/2006/relationships/hyperlink" TargetMode="External" Target="https://spark-interfax.ru/system/home/card#/company/9D00643EE5EF4350A62538CD16176079/101"/><Relationship Id="rId5813" Type="http://schemas.openxmlformats.org/officeDocument/2006/relationships/hyperlink" TargetMode="External" Target="https://spark-interfax.ru/system/home/card#/company/4E56160C76174516B7C2DEC8C308787A/101"/><Relationship Id="rId5814" Type="http://schemas.openxmlformats.org/officeDocument/2006/relationships/hyperlink" TargetMode="External" Target="https://spark-interfax.ru/system/home/card#/company/B281FA745EBA48A0BEC21CFC86702811/101"/><Relationship Id="rId5815" Type="http://schemas.openxmlformats.org/officeDocument/2006/relationships/hyperlink" TargetMode="External" Target="https://spark-interfax.ru/system/home/card#/company/559019B06C2A4138BFD9CEDA05298907/101"/><Relationship Id="rId5816" Type="http://schemas.openxmlformats.org/officeDocument/2006/relationships/hyperlink" TargetMode="External" Target="https://spark-interfax.ru/system/home/card#/company/A33D14CB18BD49848E522EC932C4D610/101"/><Relationship Id="rId5817" Type="http://schemas.openxmlformats.org/officeDocument/2006/relationships/hyperlink" TargetMode="External" Target="https://spark-interfax.ru/system/home/card#/company/8E32BF29659A4C0CAE806224112E9E3A/101"/><Relationship Id="rId5818" Type="http://schemas.openxmlformats.org/officeDocument/2006/relationships/hyperlink" TargetMode="External" Target="https://spark-interfax.ru/system/home/card#/company/2D191E96E7A44AC18C5ED049E755CB86/101"/><Relationship Id="rId5819" Type="http://schemas.openxmlformats.org/officeDocument/2006/relationships/hyperlink" TargetMode="External" Target="https://spark-interfax.ru/system/home/card#/company/6476D4B265C044E9989A9DAAB3B871BD/101"/><Relationship Id="rId5820" Type="http://schemas.openxmlformats.org/officeDocument/2006/relationships/hyperlink" TargetMode="External" Target="https://spark-interfax.ru/system/home/card#/company/8B214724A7554BE8A2A6F49D6A4ECA24/101"/><Relationship Id="rId5821" Type="http://schemas.openxmlformats.org/officeDocument/2006/relationships/hyperlink" TargetMode="External" Target="https://spark-interfax.ru/system/home/card#/company/C30B4F254DA742BBB0F50E8434CBC074/101"/><Relationship Id="rId5822" Type="http://schemas.openxmlformats.org/officeDocument/2006/relationships/hyperlink" TargetMode="External" Target="https://spark-interfax.ru/system/home/card#/company/5BD1A854BAE04B75965EE4EA7BAF1901/101"/><Relationship Id="rId5823" Type="http://schemas.openxmlformats.org/officeDocument/2006/relationships/hyperlink" TargetMode="External" Target="https://spark-interfax.ru/system/home/card#/company/AF52CC464CE34C15827C658D15C61DE6/101"/><Relationship Id="rId5824" Type="http://schemas.openxmlformats.org/officeDocument/2006/relationships/hyperlink" TargetMode="External" Target="https://spark-interfax.ru/system/home/card#/company/9A28F0BBAA7548CFAC9718A225C6CC71/101"/><Relationship Id="rId5825" Type="http://schemas.openxmlformats.org/officeDocument/2006/relationships/hyperlink" TargetMode="External" Target="https://spark-interfax.ru/system/home/card#/company/5BC2B7BCEB970EE5E0531C9AA8C0578B/101"/><Relationship Id="rId5826" Type="http://schemas.openxmlformats.org/officeDocument/2006/relationships/hyperlink" TargetMode="External" Target="https://spark-interfax.ru/system/home/card#/company/0D5222603CFB4BFDA221A7F9F1A4B38B/101"/><Relationship Id="rId5827" Type="http://schemas.openxmlformats.org/officeDocument/2006/relationships/hyperlink" TargetMode="External" Target="https://spark-interfax.ru/system/home/card#/company/ECC0677E21F84F7E8AB16C87B495C23D/101"/><Relationship Id="rId5828" Type="http://schemas.openxmlformats.org/officeDocument/2006/relationships/hyperlink" TargetMode="External" Target="https://spark-interfax.ru/system/home/card#/company/A459BAAF2ACD4C9FAE87EA8DB00CF489/101"/><Relationship Id="rId5829" Type="http://schemas.openxmlformats.org/officeDocument/2006/relationships/hyperlink" TargetMode="External" Target="https://spark-interfax.ru/system/home/card#/company/159F5ABE066B4FBB98B79F3B55E9BA55/101"/><Relationship Id="rId5830" Type="http://schemas.openxmlformats.org/officeDocument/2006/relationships/hyperlink" TargetMode="External" Target="https://spark-interfax.ru/system/home/card#/company/C9F844653F2541E391D3A58AF4F9B924/101"/><Relationship Id="rId5831" Type="http://schemas.openxmlformats.org/officeDocument/2006/relationships/hyperlink" TargetMode="External" Target="https://spark-interfax.ru/system/home/card#/company/153BF200EFD1454F99BBDF0E1498B544/101"/><Relationship Id="rId5832" Type="http://schemas.openxmlformats.org/officeDocument/2006/relationships/hyperlink" TargetMode="External" Target="https://spark-interfax.ru/system/home/card#/company/95DD1F66025844A2B6323DDFFBF7BEA9/101"/><Relationship Id="rId5833" Type="http://schemas.openxmlformats.org/officeDocument/2006/relationships/hyperlink" TargetMode="External" Target="https://spark-interfax.ru/system/home/card#/company/57954819D90140B2BE9CA60517B3D859/101"/><Relationship Id="rId5834" Type="http://schemas.openxmlformats.org/officeDocument/2006/relationships/hyperlink" TargetMode="External" Target="https://spark-interfax.ru/system/home/card#/company/C9E9D2F4C33C4C529596F6FBACBD385A/101"/><Relationship Id="rId5835" Type="http://schemas.openxmlformats.org/officeDocument/2006/relationships/hyperlink" TargetMode="External" Target="https://spark-interfax.ru/system/home/card#/company/9FA696175B8044789C389D6ABC5F7397/101"/><Relationship Id="rId5836" Type="http://schemas.openxmlformats.org/officeDocument/2006/relationships/hyperlink" TargetMode="External" Target="https://spark-interfax.ru/system/home/card#/company/0CE9A9A22A9246E3BD49E08F8EB928E5/101"/><Relationship Id="rId5837" Type="http://schemas.openxmlformats.org/officeDocument/2006/relationships/hyperlink" TargetMode="External" Target="https://spark-interfax.ru/system/home/card#/company/B5C2F78215F744658FEFE3D44F6F7674/101"/><Relationship Id="rId5838" Type="http://schemas.openxmlformats.org/officeDocument/2006/relationships/hyperlink" TargetMode="External" Target="https://spark-interfax.ru/system/home/card#/company/0B756A9DF6874F5CAAD787E155AD309D/101"/><Relationship Id="rId5839" Type="http://schemas.openxmlformats.org/officeDocument/2006/relationships/hyperlink" TargetMode="External" Target="https://spark-interfax.ru/system/home/card#/company/3365ED40395B4AF7B0F390BD132390BA/101"/><Relationship Id="rId5840" Type="http://schemas.openxmlformats.org/officeDocument/2006/relationships/hyperlink" TargetMode="External" Target="https://spark-interfax.ru/system/home/card#/company/5C05BDA545C24DA7999CAAD6F20AAAD4/101"/><Relationship Id="rId5841" Type="http://schemas.openxmlformats.org/officeDocument/2006/relationships/hyperlink" TargetMode="External" Target="https://spark-interfax.ru/system/home/card#/company/CB1B757BEA884A888D25862849D17901/101"/><Relationship Id="rId5842" Type="http://schemas.openxmlformats.org/officeDocument/2006/relationships/hyperlink" TargetMode="External" Target="https://spark-interfax.ru/system/home/card#/company/632719D80FC83372E0531B9AA8C058D8/101"/><Relationship Id="rId5843" Type="http://schemas.openxmlformats.org/officeDocument/2006/relationships/hyperlink" TargetMode="External" Target="https://spark-interfax.ru/system/home/card#/company/C71686FB2DA34AFF95DB4D0ECC5568CF/101"/><Relationship Id="rId5844" Type="http://schemas.openxmlformats.org/officeDocument/2006/relationships/hyperlink" TargetMode="External" Target="https://spark-interfax.ru/system/home/card#/company/A385679F956F46F9BAB6CEAAE4BE5B65/101"/><Relationship Id="rId5845" Type="http://schemas.openxmlformats.org/officeDocument/2006/relationships/hyperlink" TargetMode="External" Target="https://spark-interfax.ru/system/home/card#/company/001E5883DE284F1691CDAF936C40B07A/101"/><Relationship Id="rId5846" Type="http://schemas.openxmlformats.org/officeDocument/2006/relationships/hyperlink" TargetMode="External" Target="https://spark-interfax.ru/system/home/card#/company/018137213671422998EE5F94EAE92B5B/101"/><Relationship Id="rId5847" Type="http://schemas.openxmlformats.org/officeDocument/2006/relationships/hyperlink" TargetMode="External" Target="https://spark-interfax.ru/system/home/card#/company/1C26C2C3C7E941F592F405A886708A9D/101"/><Relationship Id="rId5848" Type="http://schemas.openxmlformats.org/officeDocument/2006/relationships/hyperlink" TargetMode="External" Target="https://spark-interfax.ru/system/home/card#/company/42D6B8C5665D43F0A4A09ADC45BFB224/101"/><Relationship Id="rId5849" Type="http://schemas.openxmlformats.org/officeDocument/2006/relationships/hyperlink" TargetMode="External" Target="https://spark-interfax.ru/system/home/card#/company/395EEB63A97D44F7B097108C902BCBBE/101"/><Relationship Id="rId5850" Type="http://schemas.openxmlformats.org/officeDocument/2006/relationships/hyperlink" TargetMode="External" Target="https://spark-interfax.ru/system/home/card#/company/5EE32A954020470AA4A6414E89B4DA98/101"/><Relationship Id="rId5851" Type="http://schemas.openxmlformats.org/officeDocument/2006/relationships/hyperlink" TargetMode="External" Target="https://spark-interfax.ru/system/home/card#/company/2B68980A162B419FAF09A3580F1650A7/101"/><Relationship Id="rId5852" Type="http://schemas.openxmlformats.org/officeDocument/2006/relationships/hyperlink" TargetMode="External" Target="https://spark-interfax.ru/system/home/card#/company/321E0B04BDD54E97A6B106A5290723A9/101"/><Relationship Id="rId5853" Type="http://schemas.openxmlformats.org/officeDocument/2006/relationships/hyperlink" TargetMode="External" Target="https://spark-interfax.ru/system/home/card#/company/6AED3B5211460AE4E0531B9AA8C00DA2/101"/><Relationship Id="rId5854" Type="http://schemas.openxmlformats.org/officeDocument/2006/relationships/hyperlink" TargetMode="External" Target="https://spark-interfax.ru/system/home/card#/company/1D68AD1DC033438185D18BEECDF422F5/101"/><Relationship Id="rId5855" Type="http://schemas.openxmlformats.org/officeDocument/2006/relationships/hyperlink" TargetMode="External" Target="https://spark-interfax.ru/system/home/card#/company/B9C729FF65A441129B51A37750BAE31B/101"/><Relationship Id="rId5856" Type="http://schemas.openxmlformats.org/officeDocument/2006/relationships/hyperlink" TargetMode="External" Target="https://spark-interfax.ru/system/home/card#/company/190686AF89824CA69B123C216F6E2665/101"/><Relationship Id="rId5857" Type="http://schemas.openxmlformats.org/officeDocument/2006/relationships/hyperlink" TargetMode="External" Target="https://spark-interfax.ru/system/home/card#/company/C4AC74DF9F464CF280F50935C2DBB688/101"/><Relationship Id="rId5858" Type="http://schemas.openxmlformats.org/officeDocument/2006/relationships/hyperlink" TargetMode="External" Target="https://spark-interfax.ru/system/home/card#/company/B1410AD3898543D3988B6BD15606A3E5/101"/><Relationship Id="rId5859" Type="http://schemas.openxmlformats.org/officeDocument/2006/relationships/hyperlink" TargetMode="External" Target="https://spark-interfax.ru/system/home/card#/company/163A78C0F3244DA4ADE3FB059C2B8D28/101"/><Relationship Id="rId5860" Type="http://schemas.openxmlformats.org/officeDocument/2006/relationships/hyperlink" TargetMode="External" Target="https://spark-interfax.ru/system/home/card#/company/892C832D602A45038E93C0FBF2F67F1D/101"/><Relationship Id="rId5861" Type="http://schemas.openxmlformats.org/officeDocument/2006/relationships/hyperlink" TargetMode="External" Target="https://spark-interfax.ru/system/home/card#/company/59B81FBB68935593E0531C9AA8C0CE3D/101"/><Relationship Id="rId5862" Type="http://schemas.openxmlformats.org/officeDocument/2006/relationships/hyperlink" TargetMode="External" Target="https://spark-interfax.ru/system/home/card#/company/CF851949F029405DA652706793B5749C/101"/><Relationship Id="rId5863" Type="http://schemas.openxmlformats.org/officeDocument/2006/relationships/hyperlink" TargetMode="External" Target="https://spark-interfax.ru/system/home/card#/company/BFE40FC0BD014C0296F40214FEDB9BC1/101"/><Relationship Id="rId5864" Type="http://schemas.openxmlformats.org/officeDocument/2006/relationships/hyperlink" TargetMode="External" Target="https://spark-interfax.ru/system/home/card#/company/F65DBCEABC44485D8A9199DF107ACFD7/101"/><Relationship Id="rId5865" Type="http://schemas.openxmlformats.org/officeDocument/2006/relationships/hyperlink" TargetMode="External" Target="https://spark-interfax.ru/system/home/card#/company/7DC83BD37C7741FBAADBEBB2F8BE28BE/101"/><Relationship Id="rId5866" Type="http://schemas.openxmlformats.org/officeDocument/2006/relationships/hyperlink" TargetMode="External" Target="https://spark-interfax.ru/system/home/card#/company/75EE5E813BA44E48E0531B9AA8C01207/101"/><Relationship Id="rId5867" Type="http://schemas.openxmlformats.org/officeDocument/2006/relationships/hyperlink" TargetMode="External" Target="https://spark-interfax.ru/system/home/card#/company/A35AC1B0F5A44514B32E3C454BBCA1A5/101"/><Relationship Id="rId5868" Type="http://schemas.openxmlformats.org/officeDocument/2006/relationships/hyperlink" TargetMode="External" Target="https://spark-interfax.ru/system/home/card#/company/2CE35FD29C9C494A8B1C49938643FC86/101"/><Relationship Id="rId5869" Type="http://schemas.openxmlformats.org/officeDocument/2006/relationships/hyperlink" TargetMode="External" Target="https://spark-interfax.ru/system/home/card#/company/D7F8259374854E0986C3FBF06C1AD442/101"/><Relationship Id="rId5870" Type="http://schemas.openxmlformats.org/officeDocument/2006/relationships/hyperlink" TargetMode="External" Target="https://spark-interfax.ru/system/home/card#/company/5024A9F5B18C4877BBD7C8EAF25B67B5/101"/><Relationship Id="rId5871" Type="http://schemas.openxmlformats.org/officeDocument/2006/relationships/hyperlink" TargetMode="External" Target="https://spark-interfax.ru/system/home/card#/company/2A47E710C5D34A9EA4C2D9BFD2C53AB7/101"/><Relationship Id="rId5872" Type="http://schemas.openxmlformats.org/officeDocument/2006/relationships/hyperlink" TargetMode="External" Target="https://spark-interfax.ru/system/home/card#/company/5AE774D29E0F420289A1CFC7DB095018/101"/><Relationship Id="rId5873" Type="http://schemas.openxmlformats.org/officeDocument/2006/relationships/hyperlink" TargetMode="External" Target="https://spark-interfax.ru/system/home/card#/company/95F694692142475796E6BB2A7614E76A/101"/><Relationship Id="rId5874" Type="http://schemas.openxmlformats.org/officeDocument/2006/relationships/hyperlink" TargetMode="External" Target="https://spark-interfax.ru/system/home/card#/company/06F42F2D827C4C1F943DD4F356ECA4F3/101"/><Relationship Id="rId5875" Type="http://schemas.openxmlformats.org/officeDocument/2006/relationships/hyperlink" TargetMode="External" Target="https://spark-interfax.ru/system/home/card#/company/26AFBAFFC37A44C081158F4C89C848EC/101"/><Relationship Id="rId5876" Type="http://schemas.openxmlformats.org/officeDocument/2006/relationships/hyperlink" TargetMode="External" Target="https://spark-interfax.ru/system/home/card#/company/5F8AC5ACE05F4A85A5EF198392F9616D/101"/><Relationship Id="rId5877" Type="http://schemas.openxmlformats.org/officeDocument/2006/relationships/hyperlink" TargetMode="External" Target="https://spark-interfax.ru/system/home/card#/company/025EFC67E164407789E99CA02FFBDDBC/101"/><Relationship Id="rId5878" Type="http://schemas.openxmlformats.org/officeDocument/2006/relationships/hyperlink" TargetMode="External" Target="https://spark-interfax.ru/system/home/card#/company/A737C6CA3B2440F492FC175270439A28/101"/><Relationship Id="rId5879" Type="http://schemas.openxmlformats.org/officeDocument/2006/relationships/hyperlink" TargetMode="External" Target="https://spark-interfax.ru/system/home/card#/company/F3F5DAB114304C9C98C2F1641E51B6A7/101"/><Relationship Id="rId5880" Type="http://schemas.openxmlformats.org/officeDocument/2006/relationships/hyperlink" TargetMode="External" Target="https://spark-interfax.ru/system/home/card#/company/443F371735CF42679B9F3DC29D24C3E7/101"/><Relationship Id="rId5881" Type="http://schemas.openxmlformats.org/officeDocument/2006/relationships/hyperlink" TargetMode="External" Target="https://spark-interfax.ru/system/home/card#/company/813F8A9DCD2563E1E0531B9AA8C06B0A/101"/><Relationship Id="rId5882" Type="http://schemas.openxmlformats.org/officeDocument/2006/relationships/hyperlink" TargetMode="External" Target="https://spark-interfax.ru/system/home/card#/company/28E83041E5BB46279C7185073C58EBC1/101"/><Relationship Id="rId5883" Type="http://schemas.openxmlformats.org/officeDocument/2006/relationships/hyperlink" TargetMode="External" Target="https://spark-interfax.ru/system/home/card#/company/29D64CDA5E504A6B85E6DF9CC474BAAF/101"/><Relationship Id="rId5884" Type="http://schemas.openxmlformats.org/officeDocument/2006/relationships/hyperlink" TargetMode="External" Target="https://spark-interfax.ru/system/home/card#/company/35D394A039DA4216BC76F6E5979F4E59/101"/><Relationship Id="rId5885" Type="http://schemas.openxmlformats.org/officeDocument/2006/relationships/hyperlink" TargetMode="External" Target="https://spark-interfax.ru/system/home/card#/company/8EA10EBB7D2D4E428CF64941F9CE6333/101"/><Relationship Id="rId5886" Type="http://schemas.openxmlformats.org/officeDocument/2006/relationships/hyperlink" TargetMode="External" Target="https://spark-interfax.ru/system/home/card#/company/3E87065EC33F475C9030B446C227C29B/101"/><Relationship Id="rId5887" Type="http://schemas.openxmlformats.org/officeDocument/2006/relationships/hyperlink" TargetMode="External" Target="https://spark-interfax.ru/system/home/card#/company/9C001DEFF3B5459AA59238E37F755B71/101"/><Relationship Id="rId5888" Type="http://schemas.openxmlformats.org/officeDocument/2006/relationships/hyperlink" TargetMode="External" Target="https://spark-interfax.ru/system/home/card#/company/4C1A25FCA24C49949EABCF9FCCBE12B4/101"/><Relationship Id="rId5889" Type="http://schemas.openxmlformats.org/officeDocument/2006/relationships/hyperlink" TargetMode="External" Target="https://spark-interfax.ru/system/home/card#/company/245363D014254008B903B76327CF4398/101"/><Relationship Id="rId5890" Type="http://schemas.openxmlformats.org/officeDocument/2006/relationships/hyperlink" TargetMode="External" Target="https://spark-interfax.ru/system/home/card#/company/946C7DB9DFA90B27E0531B9AA8C0982E/101"/><Relationship Id="rId5891" Type="http://schemas.openxmlformats.org/officeDocument/2006/relationships/hyperlink" TargetMode="External" Target="https://spark-interfax.ru/system/home/card#/company/38B21109E752483298E3C383B90DBDA2/101"/><Relationship Id="rId5892" Type="http://schemas.openxmlformats.org/officeDocument/2006/relationships/hyperlink" TargetMode="External" Target="https://spark-interfax.ru/system/home/card#/company/95806016105A4122A001702C3F7DFFB7/101"/><Relationship Id="rId5893" Type="http://schemas.openxmlformats.org/officeDocument/2006/relationships/hyperlink" TargetMode="External" Target="https://spark-interfax.ru/system/home/card#/company/052068B1C21E4FD2844E779898106DA0/101"/><Relationship Id="rId5894" Type="http://schemas.openxmlformats.org/officeDocument/2006/relationships/hyperlink" TargetMode="External" Target="https://spark-interfax.ru/system/home/card#/company/24AD5A24016F42C09BF4CED2FC1998DD/101"/><Relationship Id="rId5895" Type="http://schemas.openxmlformats.org/officeDocument/2006/relationships/hyperlink" TargetMode="External" Target="https://spark-interfax.ru/system/home/card#/company/2B883C3E0F78494F915CD426D68BB6FB/101"/><Relationship Id="rId5896" Type="http://schemas.openxmlformats.org/officeDocument/2006/relationships/hyperlink" TargetMode="External" Target="https://spark-interfax.ru/system/home/card#/company/1A78516F12FE46F3A053984611D724A4/101"/><Relationship Id="rId5897" Type="http://schemas.openxmlformats.org/officeDocument/2006/relationships/hyperlink" TargetMode="External" Target="https://spark-interfax.ru/system/home/card#/company/A11D3CEFED004E0E9131AF73E6A8204A/101"/><Relationship Id="rId5898" Type="http://schemas.openxmlformats.org/officeDocument/2006/relationships/hyperlink" TargetMode="External" Target="https://spark-interfax.ru/system/home/card#/company/440F15B4DCE446359AAFCBA728388476/101"/><Relationship Id="rId5899" Type="http://schemas.openxmlformats.org/officeDocument/2006/relationships/hyperlink" TargetMode="External" Target="https://spark-interfax.ru/system/home/card#/company/A98ED90B08254EC89D4845198BBB0877/101"/><Relationship Id="rId5900" Type="http://schemas.openxmlformats.org/officeDocument/2006/relationships/hyperlink" TargetMode="External" Target="https://spark-interfax.ru/system/home/card#/company/1805B600755540DD988975A276ADE705/101"/><Relationship Id="rId5901" Type="http://schemas.openxmlformats.org/officeDocument/2006/relationships/hyperlink" TargetMode="External" Target="https://spark-interfax.ru/system/home/card#/company/5E1A6C5ECAFB47F384282ACF5ADE86AC/101"/><Relationship Id="rId5902" Type="http://schemas.openxmlformats.org/officeDocument/2006/relationships/hyperlink" TargetMode="External" Target="https://spark-interfax.ru/system/home/card#/company/F10942DE7C834C9289D7C1A9EEF26843/101"/><Relationship Id="rId5903" Type="http://schemas.openxmlformats.org/officeDocument/2006/relationships/hyperlink" TargetMode="External" Target="https://spark-interfax.ru/system/home/card#/company/6C51D1BDEA714745997641E2AD74ABDD/101"/><Relationship Id="rId5904" Type="http://schemas.openxmlformats.org/officeDocument/2006/relationships/hyperlink" TargetMode="External" Target="https://spark-interfax.ru/system/home/card#/company/331B1CCAB8E74ECE84122D71DEDD527D/101"/><Relationship Id="rId5905" Type="http://schemas.openxmlformats.org/officeDocument/2006/relationships/hyperlink" TargetMode="External" Target="https://spark-interfax.ru/system/home/card#/company/C3C5AB322F334CB98723AB5E60F2686D/101"/><Relationship Id="rId5906" Type="http://schemas.openxmlformats.org/officeDocument/2006/relationships/hyperlink" TargetMode="External" Target="https://spark-interfax.ru/system/home/card#/company/ABFD78CFD1B80829E053189AA8C05E81/101"/><Relationship Id="rId5907" Type="http://schemas.openxmlformats.org/officeDocument/2006/relationships/hyperlink" TargetMode="External" Target="https://spark-interfax.ru/system/home/card#/company/68D3899ABAE44AD3AE0DDE662F967D14/101"/><Relationship Id="rId5908" Type="http://schemas.openxmlformats.org/officeDocument/2006/relationships/hyperlink" TargetMode="External" Target="https://spark-interfax.ru/system/home/card#/company/3F5F0ECFA792427EA9B3FED969EB6D00/101"/><Relationship Id="rId5909" Type="http://schemas.openxmlformats.org/officeDocument/2006/relationships/hyperlink" TargetMode="External" Target="https://spark-interfax.ru/system/home/card#/company/98422763EA0D492BBD051AC59A5C7E8B/101"/><Relationship Id="rId5910" Type="http://schemas.openxmlformats.org/officeDocument/2006/relationships/hyperlink" TargetMode="External" Target="https://spark-interfax.ru/system/home/card#/company/67DD003796BA7361E0531B9AA8C0CFE8/101"/><Relationship Id="rId5911" Type="http://schemas.openxmlformats.org/officeDocument/2006/relationships/hyperlink" TargetMode="External" Target="https://spark-interfax.ru/system/home/card#/company/AC23E9DB6DD54B01BE3F458B3A379F4D/101"/><Relationship Id="rId5912" Type="http://schemas.openxmlformats.org/officeDocument/2006/relationships/hyperlink" TargetMode="External" Target="https://spark-interfax.ru/system/home/card#/company/DDF3CDF390FA44B9B81828D993DCCBAC/101"/><Relationship Id="rId5913" Type="http://schemas.openxmlformats.org/officeDocument/2006/relationships/hyperlink" TargetMode="External" Target="https://spark-interfax.ru/system/home/card#/company/8A807EFB64894697946F9DA4D3E1E433/101"/><Relationship Id="rId5914" Type="http://schemas.openxmlformats.org/officeDocument/2006/relationships/hyperlink" TargetMode="External" Target="https://spark-interfax.ru/system/home/card#/company/AD32E2F6DF8F4048A85889331E709EAC/101"/><Relationship Id="rId5915" Type="http://schemas.openxmlformats.org/officeDocument/2006/relationships/hyperlink" TargetMode="External" Target="https://spark-interfax.ru/system/home/card#/company/3CCF10AEEB78499199CABC08FC46F537/101"/><Relationship Id="rId5916" Type="http://schemas.openxmlformats.org/officeDocument/2006/relationships/hyperlink" TargetMode="External" Target="https://spark-interfax.ru/system/home/card#/company/05F053CF980C4C7AB3D801F435AD722C/101"/><Relationship Id="rId5917" Type="http://schemas.openxmlformats.org/officeDocument/2006/relationships/hyperlink" TargetMode="External" Target="https://spark-interfax.ru/system/home/card#/company/3441FFBB8C1F4986B91FCD9723C6329B/101"/><Relationship Id="rId5918" Type="http://schemas.openxmlformats.org/officeDocument/2006/relationships/hyperlink" TargetMode="External" Target="https://spark-interfax.ru/system/home/card#/company/9D5B78EC14E947F7BC0E36E5822EB281/101"/><Relationship Id="rId5919" Type="http://schemas.openxmlformats.org/officeDocument/2006/relationships/hyperlink" TargetMode="External" Target="https://spark-interfax.ru/system/home/card#/company/740C837106BE521EE0531B9AA8C0A7CF/101"/><Relationship Id="rId5920" Type="http://schemas.openxmlformats.org/officeDocument/2006/relationships/hyperlink" TargetMode="External" Target="https://spark-interfax.ru/system/home/card#/company/B1B999D5A3FB4526B8C691F64C320783/101"/><Relationship Id="rId5921" Type="http://schemas.openxmlformats.org/officeDocument/2006/relationships/hyperlink" TargetMode="External" Target="https://spark-interfax.ru/system/home/card#/company/0E9ABBB073AA4ADF8CC451891DEABCF5/101"/><Relationship Id="rId5922" Type="http://schemas.openxmlformats.org/officeDocument/2006/relationships/hyperlink" TargetMode="External" Target="https://spark-interfax.ru/system/home/card#/company/A13DDA42E19D417BA8FECD4A427EC709/101"/><Relationship Id="rId5923" Type="http://schemas.openxmlformats.org/officeDocument/2006/relationships/hyperlink" TargetMode="External" Target="https://spark-interfax.ru/system/home/card#/company/F9748A738595493393FDAC4DD76B4EE1/101"/><Relationship Id="rId5924" Type="http://schemas.openxmlformats.org/officeDocument/2006/relationships/hyperlink" TargetMode="External" Target="https://spark-interfax.ru/system/home/card#/company/659660CAA6907C1BE0531B9AA8C07BC6/101"/><Relationship Id="rId5925" Type="http://schemas.openxmlformats.org/officeDocument/2006/relationships/hyperlink" TargetMode="External" Target="https://spark-interfax.ru/system/home/card#/company/C9F86D50FD9149E9887360A8F3C29FA2/101"/><Relationship Id="rId5926" Type="http://schemas.openxmlformats.org/officeDocument/2006/relationships/hyperlink" TargetMode="External" Target="https://spark-interfax.ru/system/home/card#/company/69369031E07749FF959B36217D9626B1/101"/><Relationship Id="rId5927" Type="http://schemas.openxmlformats.org/officeDocument/2006/relationships/hyperlink" TargetMode="External" Target="https://spark-interfax.ru/system/home/card#/company/8EE8ECB903434932B479A1066B146F3C/101"/><Relationship Id="rId5928" Type="http://schemas.openxmlformats.org/officeDocument/2006/relationships/hyperlink" TargetMode="External" Target="https://spark-interfax.ru/system/home/card#/company/20B459B44569456C911F10A0A12B2765/101"/><Relationship Id="rId5929" Type="http://schemas.openxmlformats.org/officeDocument/2006/relationships/hyperlink" TargetMode="External" Target="https://spark-interfax.ru/system/home/card#/company/A3837993B8E646438A0F016CDB53C177/101"/><Relationship Id="rId5930" Type="http://schemas.openxmlformats.org/officeDocument/2006/relationships/hyperlink" TargetMode="External" Target="https://spark-interfax.ru/system/home/card#/company/38E5A22464954559A74A1F11283EEDA2/101"/><Relationship Id="rId5931" Type="http://schemas.openxmlformats.org/officeDocument/2006/relationships/hyperlink" TargetMode="External" Target="https://spark-interfax.ru/system/home/card#/company/7DF8BB658A6342A78248111CDD9A216B/101"/><Relationship Id="rId5932" Type="http://schemas.openxmlformats.org/officeDocument/2006/relationships/hyperlink" TargetMode="External" Target="https://spark-interfax.ru/system/home/card#/company/96B4E976DA16454B97CBE22755ED4515/101"/><Relationship Id="rId5933" Type="http://schemas.openxmlformats.org/officeDocument/2006/relationships/hyperlink" TargetMode="External" Target="https://spark-interfax.ru/system/home/card#/company/091F819DE83347248DAED854C811EA37/101"/><Relationship Id="rId5934" Type="http://schemas.openxmlformats.org/officeDocument/2006/relationships/hyperlink" TargetMode="External" Target="https://spark-interfax.ru/system/home/card#/company/0BE955FAC2F446BEB1E5595398B8BEBB/101"/><Relationship Id="rId5935" Type="http://schemas.openxmlformats.org/officeDocument/2006/relationships/hyperlink" TargetMode="External" Target="https://spark-interfax.ru/system/home/card#/company/DFEF8C501D974B219BCDEBFD3A4025C6/101"/><Relationship Id="rId5936" Type="http://schemas.openxmlformats.org/officeDocument/2006/relationships/hyperlink" TargetMode="External" Target="https://spark-interfax.ru/system/home/card#/company/90917AAFD6805EEFE0531B9AA8C0A1DC/101"/><Relationship Id="rId5937" Type="http://schemas.openxmlformats.org/officeDocument/2006/relationships/hyperlink" TargetMode="External" Target="https://spark-interfax.ru/system/home/card#/company/863A1091D59642F6B36B6302D5FA08FA/101"/><Relationship Id="rId5938" Type="http://schemas.openxmlformats.org/officeDocument/2006/relationships/hyperlink" TargetMode="External" Target="https://spark-interfax.ru/system/home/card#/company/6D546379F9B64ED6864867D9E882A821/101"/><Relationship Id="rId5939" Type="http://schemas.openxmlformats.org/officeDocument/2006/relationships/hyperlink" TargetMode="External" Target="https://spark-interfax.ru/system/home/card#/company/DD62BAAA656741188C1534A95DF64718/101"/><Relationship Id="rId5940" Type="http://schemas.openxmlformats.org/officeDocument/2006/relationships/hyperlink" TargetMode="External" Target="https://spark-interfax.ru/system/home/card#/company/AC0DE04BBB3A435E818400B2725DB2C8/101"/><Relationship Id="rId5941" Type="http://schemas.openxmlformats.org/officeDocument/2006/relationships/hyperlink" TargetMode="External" Target="https://spark-interfax.ru/system/home/card#/company/62626E84B6837B64E0531B9AA8C09D82/101"/><Relationship Id="rId5942" Type="http://schemas.openxmlformats.org/officeDocument/2006/relationships/hyperlink" TargetMode="External" Target="https://spark-interfax.ru/system/home/card#/company/34061D0E230840A88263F02EDFAEB40F/101"/><Relationship Id="rId5943" Type="http://schemas.openxmlformats.org/officeDocument/2006/relationships/hyperlink" TargetMode="External" Target="https://spark-interfax.ru/system/home/card#/company/21AED6C076CE4D49ACCC3918F53FB227/101"/><Relationship Id="rId5944" Type="http://schemas.openxmlformats.org/officeDocument/2006/relationships/hyperlink" TargetMode="External" Target="https://spark-interfax.ru/system/home/card#/company/BA432EE91EA94730A1DF98157FF4C64A/101"/><Relationship Id="rId5945" Type="http://schemas.openxmlformats.org/officeDocument/2006/relationships/hyperlink" TargetMode="External" Target="https://spark-interfax.ru/system/home/card#/company/A111F50B65DA3324E053189AA8C094B6/101"/><Relationship Id="rId5946" Type="http://schemas.openxmlformats.org/officeDocument/2006/relationships/hyperlink" TargetMode="External" Target="https://spark-interfax.ru/system/home/card#/company/FC07A0AE45A047E5AD98909FDDB5BC08/101"/><Relationship Id="rId5947" Type="http://schemas.openxmlformats.org/officeDocument/2006/relationships/hyperlink" TargetMode="External" Target="https://spark-interfax.ru/system/home/card#/company/CF572F2EC97544489BE76E19F6B8EAC4/101"/><Relationship Id="rId5948" Type="http://schemas.openxmlformats.org/officeDocument/2006/relationships/hyperlink" TargetMode="External" Target="https://spark-interfax.ru/system/home/card#/company/3E2075EB2B5B4C44AC3C9EE9FE95F2B4/101"/><Relationship Id="rId5949" Type="http://schemas.openxmlformats.org/officeDocument/2006/relationships/hyperlink" TargetMode="External" Target="https://spark-interfax.ru/system/home/card#/company/F1CAAD2E53B04F688DCC7E2FE8A088EE/101"/><Relationship Id="rId5950" Type="http://schemas.openxmlformats.org/officeDocument/2006/relationships/hyperlink" TargetMode="External" Target="https://spark-interfax.ru/system/home/card#/company/1316AE7775724E6E8608EFF485D45F6C/101"/><Relationship Id="rId5951" Type="http://schemas.openxmlformats.org/officeDocument/2006/relationships/hyperlink" TargetMode="External" Target="https://spark-interfax.ru/system/home/card#/company/2116DC65AD37478E80C95496040E43E9/101"/><Relationship Id="rId5952" Type="http://schemas.openxmlformats.org/officeDocument/2006/relationships/hyperlink" TargetMode="External" Target="https://spark-interfax.ru/system/home/card#/company/D6308D30642B4C6CAF9F5DC45A4760DF/101"/><Relationship Id="rId5953" Type="http://schemas.openxmlformats.org/officeDocument/2006/relationships/hyperlink" TargetMode="External" Target="https://spark-interfax.ru/system/home/card#/company/23CCB9EAEAD244E3B27119B0F03029C4/101"/><Relationship Id="rId5954" Type="http://schemas.openxmlformats.org/officeDocument/2006/relationships/hyperlink" TargetMode="External" Target="https://spark-interfax.ru/system/home/card#/company/4BFE8549AA584C3B8662E82D138816CD/101"/><Relationship Id="rId5955" Type="http://schemas.openxmlformats.org/officeDocument/2006/relationships/hyperlink" TargetMode="External" Target="https://spark-interfax.ru/system/home/card#/company/1FDF68EF5FC54EE4B2C6CC2E49FC1AC0/101"/><Relationship Id="rId5956" Type="http://schemas.openxmlformats.org/officeDocument/2006/relationships/hyperlink" TargetMode="External" Target="https://spark-interfax.ru/system/home/card#/company/FD85271BEB374DED9029CADE226E949D/101"/><Relationship Id="rId5957" Type="http://schemas.openxmlformats.org/officeDocument/2006/relationships/hyperlink" TargetMode="External" Target="https://spark-interfax.ru/system/home/card#/company/0E8E27840B6A40578EAE6128EF7B6673/101"/><Relationship Id="rId5958" Type="http://schemas.openxmlformats.org/officeDocument/2006/relationships/hyperlink" TargetMode="External" Target="https://spark-interfax.ru/system/home/card#/company/BCAAC16FFB534DD2928841FD1C08D298/101"/><Relationship Id="rId5959" Type="http://schemas.openxmlformats.org/officeDocument/2006/relationships/hyperlink" TargetMode="External" Target="https://spark-interfax.ru/system/home/card#/company/AAF8EA197DDC47AFBF0335479F09003B/101"/><Relationship Id="rId5960" Type="http://schemas.openxmlformats.org/officeDocument/2006/relationships/hyperlink" TargetMode="External" Target="https://spark-interfax.ru/system/home/card#/company/69674CAF3CAA89BAE0531B9AA8C03CF0/101"/><Relationship Id="rId5961" Type="http://schemas.openxmlformats.org/officeDocument/2006/relationships/hyperlink" TargetMode="External" Target="https://spark-interfax.ru/system/home/card#/company/728A5188E7AE46F48CCB5B8B22E9517A/101"/><Relationship Id="rId5962" Type="http://schemas.openxmlformats.org/officeDocument/2006/relationships/hyperlink" TargetMode="External" Target="https://spark-interfax.ru/system/home/card#/company/6EDA52379860434C953683CA6A598C81/101"/><Relationship Id="rId5963" Type="http://schemas.openxmlformats.org/officeDocument/2006/relationships/hyperlink" TargetMode="External" Target="https://spark-interfax.ru/system/home/card#/company/652A1131E6064B3DBED1D736468E14B6/101"/><Relationship Id="rId5964" Type="http://schemas.openxmlformats.org/officeDocument/2006/relationships/hyperlink" TargetMode="External" Target="https://spark-interfax.ru/system/home/card#/company/0EAAA4A5162B4196B585F9281267B915/101"/><Relationship Id="rId5965" Type="http://schemas.openxmlformats.org/officeDocument/2006/relationships/hyperlink" TargetMode="External" Target="https://spark-interfax.ru/system/home/card#/company/F1D71561F7CC4F6BB2CDA76957758FF1/101"/><Relationship Id="rId5966" Type="http://schemas.openxmlformats.org/officeDocument/2006/relationships/hyperlink" TargetMode="External" Target="https://spark-interfax.ru/system/home/card#/company/F053A138CB93486ABDAD1CF920685D25/101"/><Relationship Id="rId5967" Type="http://schemas.openxmlformats.org/officeDocument/2006/relationships/hyperlink" TargetMode="External" Target="https://spark-interfax.ru/system/home/card#/company/B17908FD4CF240A18B5C1AC67559A765/101"/><Relationship Id="rId5968" Type="http://schemas.openxmlformats.org/officeDocument/2006/relationships/hyperlink" TargetMode="External" Target="https://spark-interfax.ru/system/home/card#/company/57E3EABF499A4FA9B713D21CD16205C7/101"/><Relationship Id="rId5969" Type="http://schemas.openxmlformats.org/officeDocument/2006/relationships/hyperlink" TargetMode="External" Target="https://spark-interfax.ru/system/home/card#/company/322B684D29DA433AACF239D05BF5AEDD/101"/><Relationship Id="rId5970" Type="http://schemas.openxmlformats.org/officeDocument/2006/relationships/hyperlink" TargetMode="External" Target="https://spark-interfax.ru/system/home/card#/company/36876C673C6F45088E2127969BCD6A30/101"/><Relationship Id="rId5971" Type="http://schemas.openxmlformats.org/officeDocument/2006/relationships/hyperlink" TargetMode="External" Target="https://spark-interfax.ru/system/home/card#/company/ECBF97BDA11247558D268478C13C76F6/101"/><Relationship Id="rId5972" Type="http://schemas.openxmlformats.org/officeDocument/2006/relationships/hyperlink" TargetMode="External" Target="https://spark-interfax.ru/system/home/card#/company/14DD9CA2B9B94988AA778A9D37FFC3F6/101"/><Relationship Id="rId5973" Type="http://schemas.openxmlformats.org/officeDocument/2006/relationships/hyperlink" TargetMode="External" Target="https://spark-interfax.ru/system/home/card#/company/97032B8239D34766B31095685ADF0D83/101"/><Relationship Id="rId5974" Type="http://schemas.openxmlformats.org/officeDocument/2006/relationships/hyperlink" TargetMode="External" Target="https://spark-interfax.ru/system/home/card#/company/0A353CEEF90048939A242C6B71AE6A61/101"/><Relationship Id="rId5975" Type="http://schemas.openxmlformats.org/officeDocument/2006/relationships/hyperlink" TargetMode="External" Target="https://spark-interfax.ru/system/home/card#/company/6920DD8C5DE8632FE0531B9AA8C06508/101"/><Relationship Id="rId5976" Type="http://schemas.openxmlformats.org/officeDocument/2006/relationships/hyperlink" TargetMode="External" Target="https://spark-interfax.ru/system/home/card#/company/539D1A694C734EDF8CD9F1CC0F3B8142/101"/><Relationship Id="rId5977" Type="http://schemas.openxmlformats.org/officeDocument/2006/relationships/hyperlink" TargetMode="External" Target="https://spark-interfax.ru/system/home/card#/company/C9C5AB4C0A6F6EC9E053219AA8C0FE55/101"/><Relationship Id="rId5978" Type="http://schemas.openxmlformats.org/officeDocument/2006/relationships/hyperlink" TargetMode="External" Target="https://spark-interfax.ru/system/home/card#/company/F3E33F0FC39A49ED8A9FCC9D399C50F6/101"/><Relationship Id="rId5979" Type="http://schemas.openxmlformats.org/officeDocument/2006/relationships/hyperlink" TargetMode="External" Target="https://spark-interfax.ru/system/home/card#/company/741B303770634D5F8E80301E0738D151/101"/><Relationship Id="rId5980" Type="http://schemas.openxmlformats.org/officeDocument/2006/relationships/hyperlink" TargetMode="External" Target="https://spark-interfax.ru/system/home/card#/company/AF353AC386D44A6BAAEA37CE9D2F2721/101"/><Relationship Id="rId5981" Type="http://schemas.openxmlformats.org/officeDocument/2006/relationships/hyperlink" TargetMode="External" Target="https://spark-interfax.ru/system/home/card#/company/4C9D4224F4F54CB0A13DEF348CD4B951/101"/><Relationship Id="rId5982" Type="http://schemas.openxmlformats.org/officeDocument/2006/relationships/hyperlink" TargetMode="External" Target="https://spark-interfax.ru/system/home/card#/company/18F47CAD19D14A2A83C5E1631670B415/101"/><Relationship Id="rId5983" Type="http://schemas.openxmlformats.org/officeDocument/2006/relationships/hyperlink" TargetMode="External" Target="https://spark-interfax.ru/system/home/card#/company/1BC1D084F2F34C90B50B8C28AB0F6A57/101"/><Relationship Id="rId5984" Type="http://schemas.openxmlformats.org/officeDocument/2006/relationships/hyperlink" TargetMode="External" Target="https://spark-interfax.ru/system/home/card#/company/0B925A25316A4FA98D054EE9C346FEC5/101"/><Relationship Id="rId5985" Type="http://schemas.openxmlformats.org/officeDocument/2006/relationships/hyperlink" TargetMode="External" Target="https://spark-interfax.ru/system/home/card#/company/3302A3ECB47D4A10AA955FBF4871E3C1/101"/><Relationship Id="rId5986" Type="http://schemas.openxmlformats.org/officeDocument/2006/relationships/hyperlink" TargetMode="External" Target="https://spark-interfax.ru/system/home/card#/company/D3BEB9D74F1A44718A8B260AFE5A1011/101"/><Relationship Id="rId5987" Type="http://schemas.openxmlformats.org/officeDocument/2006/relationships/hyperlink" TargetMode="External" Target="https://spark-interfax.ru/system/home/card#/company/86DE8059E2DC4A018072F81A2E588864/101"/><Relationship Id="rId5988" Type="http://schemas.openxmlformats.org/officeDocument/2006/relationships/hyperlink" TargetMode="External" Target="https://spark-interfax.ru/system/home/card#/company/7B5E8EA1B07E4A94B009DFC231ED0FA4/101"/><Relationship Id="rId5989" Type="http://schemas.openxmlformats.org/officeDocument/2006/relationships/hyperlink" TargetMode="External" Target="https://spark-interfax.ru/system/home/card#/company/04EC5BE706314836BDB0E7154B46AE36/101"/><Relationship Id="rId5990" Type="http://schemas.openxmlformats.org/officeDocument/2006/relationships/hyperlink" TargetMode="External" Target="https://spark-interfax.ru/system/home/card#/company/91B3642CEBD34DF28C686396D0C4A81A/101"/><Relationship Id="rId5991" Type="http://schemas.openxmlformats.org/officeDocument/2006/relationships/hyperlink" TargetMode="External" Target="https://spark-interfax.ru/system/home/card#/company/CF12A07700294A0DB1C757B37787F87B/101"/><Relationship Id="rId5992" Type="http://schemas.openxmlformats.org/officeDocument/2006/relationships/hyperlink" TargetMode="External" Target="https://spark-interfax.ru/system/home/card#/company/2250BB25F5AF42628FE6A5923F3F63A0/101"/><Relationship Id="rId5993" Type="http://schemas.openxmlformats.org/officeDocument/2006/relationships/hyperlink" TargetMode="External" Target="https://spark-interfax.ru/system/home/card#/company/1F8BD9C0500A49939E8C0D8643BB5810/101"/><Relationship Id="rId5994" Type="http://schemas.openxmlformats.org/officeDocument/2006/relationships/hyperlink" TargetMode="External" Target="https://spark-interfax.ru/system/home/card#/company/E82B540996FB46F5845D1AF883B900C4/101"/><Relationship Id="rId5995" Type="http://schemas.openxmlformats.org/officeDocument/2006/relationships/hyperlink" TargetMode="External" Target="https://spark-interfax.ru/system/home/card#/company/5CFFC4AAAE9D46128528C98495273EB7/101"/><Relationship Id="rId5996" Type="http://schemas.openxmlformats.org/officeDocument/2006/relationships/hyperlink" TargetMode="External" Target="https://spark-interfax.ru/system/home/card#/company/B54481F6CFBE444895EBD9D29BB6512C/101"/><Relationship Id="rId5997" Type="http://schemas.openxmlformats.org/officeDocument/2006/relationships/hyperlink" TargetMode="External" Target="https://spark-interfax.ru/system/home/card#/company/33FC078831DE46D590EE2E3C7E5A3D72/101"/><Relationship Id="rId5998" Type="http://schemas.openxmlformats.org/officeDocument/2006/relationships/hyperlink" TargetMode="External" Target="https://spark-interfax.ru/system/home/card#/company/798E5EC7EB51473C84324C1AE94D1624/101"/><Relationship Id="rId5999" Type="http://schemas.openxmlformats.org/officeDocument/2006/relationships/hyperlink" TargetMode="External" Target="https://spark-interfax.ru/system/home/card#/company/D6A0BF2342EC465DB5DF10B4C4C97ADA/101"/><Relationship Id="rId6000" Type="http://schemas.openxmlformats.org/officeDocument/2006/relationships/hyperlink" TargetMode="External" Target="https://spark-interfax.ru/system/home/card#/company/75AF8072C48F42B8A50845BA8EED49DE/101"/><Relationship Id="rId6001" Type="http://schemas.openxmlformats.org/officeDocument/2006/relationships/hyperlink" TargetMode="External" Target="https://spark-interfax.ru/system/home/card#/company/8B8312A296254409A7CE426840677343/101"/><Relationship Id="rId6002" Type="http://schemas.openxmlformats.org/officeDocument/2006/relationships/hyperlink" TargetMode="External" Target="https://spark-interfax.ru/system/home/card#/company/35B798CBE5A046559A3D8B766842E88F/101"/><Relationship Id="rId6003" Type="http://schemas.openxmlformats.org/officeDocument/2006/relationships/hyperlink" TargetMode="External" Target="https://spark-interfax.ru/system/home/card#/company/B53D73A7D23A4DD881788F3238594E0C/101"/><Relationship Id="rId6004" Type="http://schemas.openxmlformats.org/officeDocument/2006/relationships/hyperlink" TargetMode="External" Target="https://spark-interfax.ru/system/home/card#/company/13DE7203E2D84010B70596D8BD581AC0/101"/><Relationship Id="rId6005" Type="http://schemas.openxmlformats.org/officeDocument/2006/relationships/hyperlink" TargetMode="External" Target="https://spark-interfax.ru/system/home/card#/company/FCA6736C7BCE4EE88265124C8577C299/101"/><Relationship Id="rId6006" Type="http://schemas.openxmlformats.org/officeDocument/2006/relationships/hyperlink" TargetMode="External" Target="https://spark-interfax.ru/system/home/card#/company/3474BEE97DB94F23AB99D010F331D84F/101"/><Relationship Id="rId6007" Type="http://schemas.openxmlformats.org/officeDocument/2006/relationships/hyperlink" TargetMode="External" Target="https://spark-interfax.ru/system/home/card#/company/8E3361D22FEC466CB8484CEAF412B2AA/101"/><Relationship Id="rId6008" Type="http://schemas.openxmlformats.org/officeDocument/2006/relationships/hyperlink" TargetMode="External" Target="https://spark-interfax.ru/system/home/card#/company/7988E51AA22A47A0B7D4FB20793B9A86/101"/><Relationship Id="rId6009" Type="http://schemas.openxmlformats.org/officeDocument/2006/relationships/hyperlink" TargetMode="External" Target="https://spark-interfax.ru/system/home/card#/company/D34940ADC3C64E96B84783CD98360DD1/101"/><Relationship Id="rId6010" Type="http://schemas.openxmlformats.org/officeDocument/2006/relationships/hyperlink" TargetMode="External" Target="https://spark-interfax.ru/system/home/card#/company/26D4A423721D42439472E744EB826D93/101"/><Relationship Id="rId6011" Type="http://schemas.openxmlformats.org/officeDocument/2006/relationships/hyperlink" TargetMode="External" Target="https://spark-interfax.ru/system/home/card#/company/798BE47ECFA0876DE0531F9AA8C07B43/101"/><Relationship Id="rId6012" Type="http://schemas.openxmlformats.org/officeDocument/2006/relationships/hyperlink" TargetMode="External" Target="https://spark-interfax.ru/system/home/card#/company/A23F628033CE4042E053189AA8C0EE75/101"/><Relationship Id="rId6013" Type="http://schemas.openxmlformats.org/officeDocument/2006/relationships/hyperlink" TargetMode="External" Target="https://spark-interfax.ru/system/home/card#/company/F22FC3B1EE7D4B9B99E8856AB895B5F9/101"/><Relationship Id="rId6014" Type="http://schemas.openxmlformats.org/officeDocument/2006/relationships/hyperlink" TargetMode="External" Target="https://spark-interfax.ru/system/home/card#/company/F827352A87524ED69FB71F14A5E5089F/101"/><Relationship Id="rId6015" Type="http://schemas.openxmlformats.org/officeDocument/2006/relationships/hyperlink" TargetMode="External" Target="https://spark-interfax.ru/system/home/card#/company/7350155D7BF54A1E8E947A5AA2E360DB/101"/><Relationship Id="rId6016" Type="http://schemas.openxmlformats.org/officeDocument/2006/relationships/hyperlink" TargetMode="External" Target="https://spark-interfax.ru/system/home/card#/company/B776EE5FC7014718910BFDA10C2112AD/101"/><Relationship Id="rId6017" Type="http://schemas.openxmlformats.org/officeDocument/2006/relationships/hyperlink" TargetMode="External" Target="https://spark-interfax.ru/system/home/card#/company/A951D35BF9C844DF95F9E074228435EB/101"/><Relationship Id="rId6018" Type="http://schemas.openxmlformats.org/officeDocument/2006/relationships/hyperlink" TargetMode="External" Target="https://spark-interfax.ru/system/home/card#/company/B1ADE8D51DFE459CA9D69EC4126FB10B/101"/><Relationship Id="rId6019" Type="http://schemas.openxmlformats.org/officeDocument/2006/relationships/hyperlink" TargetMode="External" Target="https://spark-interfax.ru/system/home/card#/company/F159BB43082E4F24B94511C27A142242/101"/><Relationship Id="rId6020" Type="http://schemas.openxmlformats.org/officeDocument/2006/relationships/hyperlink" TargetMode="External" Target="https://spark-interfax.ru/system/home/card#/company/7262F954C1A94CC3BB9731FF052B3C1E/101"/><Relationship Id="rId6021" Type="http://schemas.openxmlformats.org/officeDocument/2006/relationships/hyperlink" TargetMode="External" Target="https://spark-interfax.ru/system/home/card#/company/14CBB66746B34516BBD06DB8462477A6/101"/><Relationship Id="rId6022" Type="http://schemas.openxmlformats.org/officeDocument/2006/relationships/hyperlink" TargetMode="External" Target="https://spark-interfax.ru/system/home/card#/company/7C3530D41DCD435197CE9519282EDE43/101"/><Relationship Id="rId6023" Type="http://schemas.openxmlformats.org/officeDocument/2006/relationships/hyperlink" TargetMode="External" Target="https://spark-interfax.ru/system/home/card#/company/62CDF86403D84E9DBF6190CC469C7006/101"/><Relationship Id="rId6024" Type="http://schemas.openxmlformats.org/officeDocument/2006/relationships/hyperlink" TargetMode="External" Target="https://spark-interfax.ru/system/home/card#/company/7548BA119A7445048F061A45AD5F81D0/101"/><Relationship Id="rId6025" Type="http://schemas.openxmlformats.org/officeDocument/2006/relationships/hyperlink" TargetMode="External" Target="https://spark-interfax.ru/system/home/card#/company/08C3ECC6560C43C5AB1F9FF6E93A5CE5/101"/><Relationship Id="rId6026" Type="http://schemas.openxmlformats.org/officeDocument/2006/relationships/hyperlink" TargetMode="External" Target="https://spark-interfax.ru/system/home/card#/company/8C27CA4EC07C47B29241294718F2A366/101"/><Relationship Id="rId6027" Type="http://schemas.openxmlformats.org/officeDocument/2006/relationships/hyperlink" TargetMode="External" Target="https://spark-interfax.ru/system/home/card#/company/7476CE657C5341C99E18923ADC78A893/101"/><Relationship Id="rId6028" Type="http://schemas.openxmlformats.org/officeDocument/2006/relationships/hyperlink" TargetMode="External" Target="https://spark-interfax.ru/system/home/card#/company/9E87C6D4AD164CB59064232378E5A493/101"/><Relationship Id="rId6029" Type="http://schemas.openxmlformats.org/officeDocument/2006/relationships/hyperlink" TargetMode="External" Target="https://spark-interfax.ru/system/home/card#/company/60528E12A0A70344E0531B9AA8C0AB12/101"/><Relationship Id="rId6030" Type="http://schemas.openxmlformats.org/officeDocument/2006/relationships/hyperlink" TargetMode="External" Target="https://spark-interfax.ru/system/home/card#/company/95FD01CFBC4F4F23A6C2EE953465F5A2/101"/><Relationship Id="rId6031" Type="http://schemas.openxmlformats.org/officeDocument/2006/relationships/hyperlink" TargetMode="External" Target="https://spark-interfax.ru/system/home/card#/company/CDF4CF6423E64014AA4735F72A296A2B/101"/><Relationship Id="rId6032" Type="http://schemas.openxmlformats.org/officeDocument/2006/relationships/hyperlink" TargetMode="External" Target="https://spark-interfax.ru/system/home/card#/company/717F06B5821349F0A711CDA4EF3BFB0D/101"/><Relationship Id="rId6033" Type="http://schemas.openxmlformats.org/officeDocument/2006/relationships/hyperlink" TargetMode="External" Target="https://spark-interfax.ru/system/home/card#/company/6E079F5979C54D7EAAC560495F02E769/101"/><Relationship Id="rId6034" Type="http://schemas.openxmlformats.org/officeDocument/2006/relationships/hyperlink" TargetMode="External" Target="https://spark-interfax.ru/system/home/card#/company/911D949F54D50955E0531B9AA8C06FA1/101"/><Relationship Id="rId6035" Type="http://schemas.openxmlformats.org/officeDocument/2006/relationships/hyperlink" TargetMode="External" Target="https://spark-interfax.ru/system/home/card#/company/7DB8304DADF84D8FBC5219641BB0ADDF/101"/><Relationship Id="rId6036" Type="http://schemas.openxmlformats.org/officeDocument/2006/relationships/hyperlink" TargetMode="External" Target="https://spark-interfax.ru/system/home/card#/company/3203FA18A9374948AB075C7B9D3561D6/101"/><Relationship Id="rId6037" Type="http://schemas.openxmlformats.org/officeDocument/2006/relationships/hyperlink" TargetMode="External" Target="https://spark-interfax.ru/system/home/card#/company/39BCC2F697BE4D1EB047C3DF68315011/101"/><Relationship Id="rId6038" Type="http://schemas.openxmlformats.org/officeDocument/2006/relationships/hyperlink" TargetMode="External" Target="https://spark-interfax.ru/system/home/card#/company/CB44CCCD9B964E1BAD0AACA0783CB422/101"/><Relationship Id="rId6039" Type="http://schemas.openxmlformats.org/officeDocument/2006/relationships/hyperlink" TargetMode="External" Target="https://spark-interfax.ru/system/home/card#/company/A9146AB87ED4452DBFB79D52F5ABBCC1/101"/><Relationship Id="rId6040" Type="http://schemas.openxmlformats.org/officeDocument/2006/relationships/hyperlink" TargetMode="External" Target="https://spark-interfax.ru/system/home/card#/company/79DED89B1CF74DDC8DEB702EAE224266/101"/><Relationship Id="rId6041" Type="http://schemas.openxmlformats.org/officeDocument/2006/relationships/hyperlink" TargetMode="External" Target="https://spark-interfax.ru/system/home/card#/company/565EB027F7BB44D79CCBDEAF603F7725/101"/><Relationship Id="rId6042" Type="http://schemas.openxmlformats.org/officeDocument/2006/relationships/hyperlink" TargetMode="External" Target="https://spark-interfax.ru/system/home/card#/company/3B59B84C751441288F2004DDC2933BA6/101"/><Relationship Id="rId6043" Type="http://schemas.openxmlformats.org/officeDocument/2006/relationships/hyperlink" TargetMode="External" Target="https://spark-interfax.ru/system/home/card#/company/BDC1074576854D4686A2A240C73A4A74/101"/><Relationship Id="rId6044" Type="http://schemas.openxmlformats.org/officeDocument/2006/relationships/hyperlink" TargetMode="External" Target="https://spark-interfax.ru/system/home/card#/company/8575FD6A9F714110AEADFE75F8A90D24/101"/><Relationship Id="rId6045" Type="http://schemas.openxmlformats.org/officeDocument/2006/relationships/hyperlink" TargetMode="External" Target="https://spark-interfax.ru/system/home/card#/company/7FE6AB78189A4AC38DA40A6B15393135/101"/><Relationship Id="rId6046" Type="http://schemas.openxmlformats.org/officeDocument/2006/relationships/hyperlink" TargetMode="External" Target="https://spark-interfax.ru/system/home/card#/company/EE2176A8D88144ED8D92804A9778A11E/101"/><Relationship Id="rId6047" Type="http://schemas.openxmlformats.org/officeDocument/2006/relationships/hyperlink" TargetMode="External" Target="https://spark-interfax.ru/system/home/card#/company/A541CE2171374EE695A562A624E0D42D/101"/><Relationship Id="rId6048" Type="http://schemas.openxmlformats.org/officeDocument/2006/relationships/hyperlink" TargetMode="External" Target="https://spark-interfax.ru/system/home/card#/company/D317F7DD4DCD498E8F7677982E34D3E7/101"/><Relationship Id="rId6049" Type="http://schemas.openxmlformats.org/officeDocument/2006/relationships/hyperlink" TargetMode="External" Target="https://spark-interfax.ru/system/home/card#/company/8111B22B930542B7B752119CBD121B37/101"/><Relationship Id="rId6050" Type="http://schemas.openxmlformats.org/officeDocument/2006/relationships/hyperlink" TargetMode="External" Target="https://spark-interfax.ru/system/home/card#/company/D43DFB42AA994A9BB13874900BB23EDB/101"/><Relationship Id="rId6051" Type="http://schemas.openxmlformats.org/officeDocument/2006/relationships/hyperlink" TargetMode="External" Target="https://spark-interfax.ru/system/home/card#/company/D3C158145811462BBAC6AFAD2014168C/101"/><Relationship Id="rId6052" Type="http://schemas.openxmlformats.org/officeDocument/2006/relationships/hyperlink" TargetMode="External" Target="https://spark-interfax.ru/system/home/card#/company/8FF7A03B11554C1CB9118D4BF32FD88D/101"/><Relationship Id="rId6053" Type="http://schemas.openxmlformats.org/officeDocument/2006/relationships/hyperlink" TargetMode="External" Target="https://spark-interfax.ru/system/home/card#/company/C37F4EC784F60181E053219AA8C054D2/101"/><Relationship Id="rId6054" Type="http://schemas.openxmlformats.org/officeDocument/2006/relationships/hyperlink" TargetMode="External" Target="https://spark-interfax.ru/system/home/card#/company/4BDC1F485D70406EAD5374B7C28AC8D9/101"/><Relationship Id="rId6055" Type="http://schemas.openxmlformats.org/officeDocument/2006/relationships/hyperlink" TargetMode="External" Target="https://spark-interfax.ru/system/home/card#/company/4C357849902C4E4A8253B3A83EA7D548/101"/><Relationship Id="rId6056" Type="http://schemas.openxmlformats.org/officeDocument/2006/relationships/hyperlink" TargetMode="External" Target="https://spark-interfax.ru/system/home/card#/company/5ECF141F41664A33B6FD24DD9325DDE5/101"/><Relationship Id="rId6057" Type="http://schemas.openxmlformats.org/officeDocument/2006/relationships/hyperlink" TargetMode="External" Target="https://spark-interfax.ru/system/home/card#/company/BFD48AB1E0A347FC9FBD70DFD20243B0/101"/><Relationship Id="rId6058" Type="http://schemas.openxmlformats.org/officeDocument/2006/relationships/hyperlink" TargetMode="External" Target="https://spark-interfax.ru/system/home/card#/company/9AB43B6552F8174DE053179AA8C08D35/101"/><Relationship Id="rId6059" Type="http://schemas.openxmlformats.org/officeDocument/2006/relationships/hyperlink" TargetMode="External" Target="https://spark-interfax.ru/system/home/card#/company/E8BBF7C3D2FD4577BFB99AFA629A7954/101"/><Relationship Id="rId6060" Type="http://schemas.openxmlformats.org/officeDocument/2006/relationships/hyperlink" TargetMode="External" Target="https://spark-interfax.ru/system/home/card#/company/9932BC7B44F9483AA3B20A7E278F062A/101"/><Relationship Id="rId6061" Type="http://schemas.openxmlformats.org/officeDocument/2006/relationships/hyperlink" TargetMode="External" Target="https://spark-interfax.ru/system/home/card#/company/7A1C4450D795438DA784FF48A96FB07C/101"/><Relationship Id="rId6062" Type="http://schemas.openxmlformats.org/officeDocument/2006/relationships/hyperlink" TargetMode="External" Target="https://spark-interfax.ru/system/home/card#/company/4AE4EF5C006C4F87AA4BF7427DC923C4/101"/><Relationship Id="rId6063" Type="http://schemas.openxmlformats.org/officeDocument/2006/relationships/hyperlink" TargetMode="External" Target="https://spark-interfax.ru/system/home/card#/company/9AE029426E7D41F9A15E57B0C3132832/101"/><Relationship Id="rId6064" Type="http://schemas.openxmlformats.org/officeDocument/2006/relationships/hyperlink" TargetMode="External" Target="https://spark-interfax.ru/system/home/card#/company/6AB0FA0C0B5281BCE0531B9AA8C08A2B/101"/><Relationship Id="rId6065" Type="http://schemas.openxmlformats.org/officeDocument/2006/relationships/hyperlink" TargetMode="External" Target="https://spark-interfax.ru/system/home/card#/company/F8BC2A8305DA43E8862F84CE5FF61C8E/101"/><Relationship Id="rId6066" Type="http://schemas.openxmlformats.org/officeDocument/2006/relationships/hyperlink" TargetMode="External" Target="https://spark-interfax.ru/system/home/card#/company/0F6D61A09A904D6A878797C0B2721CC0/101"/><Relationship Id="rId6067" Type="http://schemas.openxmlformats.org/officeDocument/2006/relationships/hyperlink" TargetMode="External" Target="https://spark-interfax.ru/system/home/card#/company/63513C79CCF443AB8D45F7E944D665D3/101"/><Relationship Id="rId6068" Type="http://schemas.openxmlformats.org/officeDocument/2006/relationships/hyperlink" TargetMode="External" Target="https://spark-interfax.ru/system/home/card#/company/7D1A6B8752484018B8CB930D81333786/101"/><Relationship Id="rId6069" Type="http://schemas.openxmlformats.org/officeDocument/2006/relationships/hyperlink" TargetMode="External" Target="https://spark-interfax.ru/system/home/card#/company/714504E37E4B4FE0A8FD4348DCB618B1/101"/><Relationship Id="rId6070" Type="http://schemas.openxmlformats.org/officeDocument/2006/relationships/hyperlink" TargetMode="External" Target="https://spark-interfax.ru/system/home/card#/company/4F6672E0F8734514BC27F878955E5276/101"/><Relationship Id="rId6071" Type="http://schemas.openxmlformats.org/officeDocument/2006/relationships/hyperlink" TargetMode="External" Target="https://spark-interfax.ru/system/home/card#/company/4F89E69907154DC89BE1FDBE53C896C7/101"/><Relationship Id="rId6072" Type="http://schemas.openxmlformats.org/officeDocument/2006/relationships/hyperlink" TargetMode="External" Target="https://spark-interfax.ru/system/home/card#/company/F4BBF948C77941D08B166A1D872FA14D/101"/><Relationship Id="rId6073" Type="http://schemas.openxmlformats.org/officeDocument/2006/relationships/hyperlink" TargetMode="External" Target="https://spark-interfax.ru/system/home/card#/company/5FE0BB2E62084FBE92BCBC2B6641004A/101"/><Relationship Id="rId6074" Type="http://schemas.openxmlformats.org/officeDocument/2006/relationships/hyperlink" TargetMode="External" Target="https://spark-interfax.ru/system/home/card#/company/ECE07A9E0AE84CC5B1A022DC42469600/101"/><Relationship Id="rId6075" Type="http://schemas.openxmlformats.org/officeDocument/2006/relationships/hyperlink" TargetMode="External" Target="https://spark-interfax.ru/system/home/card#/company/7971DEA47B4745809CE8908DF120DEB8/101"/><Relationship Id="rId6076" Type="http://schemas.openxmlformats.org/officeDocument/2006/relationships/hyperlink" TargetMode="External" Target="https://spark-interfax.ru/system/home/card#/company/59C9FD07D1CC463E999C7E29E0A3EFA5/101"/><Relationship Id="rId6077" Type="http://schemas.openxmlformats.org/officeDocument/2006/relationships/hyperlink" TargetMode="External" Target="https://spark-interfax.ru/system/home/card#/company/7886777C90A75491E0531F9AA8C0C76A/101"/><Relationship Id="rId6078" Type="http://schemas.openxmlformats.org/officeDocument/2006/relationships/hyperlink" TargetMode="External" Target="https://spark-interfax.ru/system/home/card#/company/F5D2E8E9A07445B68028D7FCD7A02869/101"/><Relationship Id="rId6079" Type="http://schemas.openxmlformats.org/officeDocument/2006/relationships/hyperlink" TargetMode="External" Target="https://spark-interfax.ru/system/home/card#/company/095354DEC0B54B0E93A29CF1FA77A839/101"/><Relationship Id="rId6080" Type="http://schemas.openxmlformats.org/officeDocument/2006/relationships/hyperlink" TargetMode="External" Target="https://spark-interfax.ru/system/home/card#/company/68A9D0DFA73A408389EF93E6AE3F4BA6/101"/><Relationship Id="rId6081" Type="http://schemas.openxmlformats.org/officeDocument/2006/relationships/hyperlink" TargetMode="External" Target="https://spark-interfax.ru/system/home/card#/company/B297BA6F033F4739BA52DE3F5B043C53/101"/><Relationship Id="rId6082" Type="http://schemas.openxmlformats.org/officeDocument/2006/relationships/hyperlink" TargetMode="External" Target="https://spark-interfax.ru/system/home/card#/company/641DA90694E24B7CA58EE360F504902C/101"/><Relationship Id="rId6083" Type="http://schemas.openxmlformats.org/officeDocument/2006/relationships/hyperlink" TargetMode="External" Target="https://spark-interfax.ru/system/home/card#/company/DF21A965AD514D799D7E74A60B6766DC/101"/><Relationship Id="rId6084" Type="http://schemas.openxmlformats.org/officeDocument/2006/relationships/hyperlink" TargetMode="External" Target="https://spark-interfax.ru/system/home/card#/company/DC47BCC185ED4EE9955BF50CDF578991/101"/><Relationship Id="rId6085" Type="http://schemas.openxmlformats.org/officeDocument/2006/relationships/hyperlink" TargetMode="External" Target="https://spark-interfax.ru/system/home/card#/company/2EA7BD272FA6469780792EFDA44F290E/101"/><Relationship Id="rId6086" Type="http://schemas.openxmlformats.org/officeDocument/2006/relationships/hyperlink" TargetMode="External" Target="https://spark-interfax.ru/system/home/card#/company/A86FACD8B59A4016B32ACD062E7B63E9/101"/><Relationship Id="rId6087" Type="http://schemas.openxmlformats.org/officeDocument/2006/relationships/hyperlink" TargetMode="External" Target="https://spark-interfax.ru/system/home/card#/company/B133E021842A4F008D3813B8BD2AEB61/101"/><Relationship Id="rId6088" Type="http://schemas.openxmlformats.org/officeDocument/2006/relationships/hyperlink" TargetMode="External" Target="https://spark-interfax.ru/system/home/card#/company/330F27EBF80B4B60A4AC563B495E81A6/101"/><Relationship Id="rId6089" Type="http://schemas.openxmlformats.org/officeDocument/2006/relationships/hyperlink" TargetMode="External" Target="https://spark-interfax.ru/system/home/card#/company/91D34747ADC44A53A8B9296A4B3F2035/101"/><Relationship Id="rId6090" Type="http://schemas.openxmlformats.org/officeDocument/2006/relationships/hyperlink" TargetMode="External" Target="https://spark-interfax.ru/system/home/card#/company/83AA97723D0B4E4789FD3AD1DBA9D296/101"/><Relationship Id="rId6091" Type="http://schemas.openxmlformats.org/officeDocument/2006/relationships/hyperlink" TargetMode="External" Target="https://spark-interfax.ru/system/home/card#/company/BBB1C161157740A9A76631321390D195/101"/><Relationship Id="rId6092" Type="http://schemas.openxmlformats.org/officeDocument/2006/relationships/hyperlink" TargetMode="External" Target="https://spark-interfax.ru/system/home/card#/company/353CB364AF254D38A3ED63EC0737A6D2/101"/><Relationship Id="rId6093" Type="http://schemas.openxmlformats.org/officeDocument/2006/relationships/hyperlink" TargetMode="External" Target="https://spark-interfax.ru/system/home/card#/company/DF5EE0426FFC465DAC1093C1B53B1694/101"/><Relationship Id="rId6094" Type="http://schemas.openxmlformats.org/officeDocument/2006/relationships/hyperlink" TargetMode="External" Target="https://spark-interfax.ru/system/home/card#/company/4CE5DA705E704F34B9D7409FF152DDB5/101"/><Relationship Id="rId6095" Type="http://schemas.openxmlformats.org/officeDocument/2006/relationships/hyperlink" TargetMode="External" Target="https://spark-interfax.ru/system/home/card#/company/65654959C3DE4BBA9F6F59741D317914/101"/><Relationship Id="rId6096" Type="http://schemas.openxmlformats.org/officeDocument/2006/relationships/hyperlink" TargetMode="External" Target="https://spark-interfax.ru/system/home/card#/company/C156117F57394CC28F6D8F0CB2BD0F61/101"/><Relationship Id="rId6097" Type="http://schemas.openxmlformats.org/officeDocument/2006/relationships/hyperlink" TargetMode="External" Target="https://spark-interfax.ru/system/home/card#/company/9B87FC1BD56E4FFEB233463F61F9846F/101"/><Relationship Id="rId6098" Type="http://schemas.openxmlformats.org/officeDocument/2006/relationships/hyperlink" TargetMode="External" Target="https://spark-interfax.ru/system/home/card#/company/EA38EFC837334656A96B31503AB163BC/101"/><Relationship Id="rId6099" Type="http://schemas.openxmlformats.org/officeDocument/2006/relationships/hyperlink" TargetMode="External" Target="https://spark-interfax.ru/system/home/card#/company/B5A036C8163A404086759F9F8FEDBAF5/101"/><Relationship Id="rId6100" Type="http://schemas.openxmlformats.org/officeDocument/2006/relationships/hyperlink" TargetMode="External" Target="https://spark-interfax.ru/system/home/card#/company/789C03C42F691240E0531F9AA8C08B6D/101"/><Relationship Id="rId6101" Type="http://schemas.openxmlformats.org/officeDocument/2006/relationships/hyperlink" TargetMode="External" Target="https://spark-interfax.ru/system/home/card#/company/2FCEC6AFE3704AF2997F10E041CEC890/101"/><Relationship Id="rId6102" Type="http://schemas.openxmlformats.org/officeDocument/2006/relationships/hyperlink" TargetMode="External" Target="https://spark-interfax.ru/system/home/card#/company/CF6BC91314BE4A3A9977D8EF2EF79528/101"/><Relationship Id="rId6103" Type="http://schemas.openxmlformats.org/officeDocument/2006/relationships/hyperlink" TargetMode="External" Target="https://spark-interfax.ru/system/home/card#/company/5BC37DDA10DE418BA68B10C54EB2647B/101"/><Relationship Id="rId6104" Type="http://schemas.openxmlformats.org/officeDocument/2006/relationships/hyperlink" TargetMode="External" Target="https://spark-interfax.ru/system/home/card#/company/0BDC0682CE9C4BD2B9473563C905FBA6/101"/><Relationship Id="rId6105" Type="http://schemas.openxmlformats.org/officeDocument/2006/relationships/hyperlink" TargetMode="External" Target="https://spark-interfax.ru/system/home/card#/company/DE9CCAB7EFCE49B39DB0E5FD1B8A64F5/101"/><Relationship Id="rId6106" Type="http://schemas.openxmlformats.org/officeDocument/2006/relationships/hyperlink" TargetMode="External" Target="https://spark-interfax.ru/system/home/card#/company/5ABAAEE6109A4641B4B06062C945D463/101"/><Relationship Id="rId6107" Type="http://schemas.openxmlformats.org/officeDocument/2006/relationships/hyperlink" TargetMode="External" Target="https://spark-interfax.ru/system/home/card#/company/E3131F3273D246A4AAA2DDD0708840F5/101"/><Relationship Id="rId6108" Type="http://schemas.openxmlformats.org/officeDocument/2006/relationships/hyperlink" TargetMode="External" Target="https://spark-interfax.ru/system/home/card#/company/2F2B9BD4BD8C4894BD8DA0947FAC87E6/101"/><Relationship Id="rId6109" Type="http://schemas.openxmlformats.org/officeDocument/2006/relationships/hyperlink" TargetMode="External" Target="https://spark-interfax.ru/system/home/card#/company/CCBE66FFE48845AAAD4A2FE20400EE7C/101"/><Relationship Id="rId6110" Type="http://schemas.openxmlformats.org/officeDocument/2006/relationships/hyperlink" TargetMode="External" Target="https://spark-interfax.ru/system/home/card#/company/8D6B65449EBE431CACBEFDDF0F997617/101"/><Relationship Id="rId6111" Type="http://schemas.openxmlformats.org/officeDocument/2006/relationships/hyperlink" TargetMode="External" Target="https://spark-interfax.ru/system/home/card#/company/D9B9F26E3F9F41839A86FD43F5F75D3B/101"/><Relationship Id="rId6112" Type="http://schemas.openxmlformats.org/officeDocument/2006/relationships/hyperlink" TargetMode="External" Target="https://spark-interfax.ru/system/home/card#/company/68A65C79B4284D7EA4D7A0C034C29FAA/101"/><Relationship Id="rId6113" Type="http://schemas.openxmlformats.org/officeDocument/2006/relationships/hyperlink" TargetMode="External" Target="https://spark-interfax.ru/system/home/card#/company/1AD10995871648FC97F2FC204449F92F/101"/><Relationship Id="rId6114" Type="http://schemas.openxmlformats.org/officeDocument/2006/relationships/hyperlink" TargetMode="External" Target="https://spark-interfax.ru/system/home/card#/company/AFCB8350AE344EE9B6C2B8FDD129F461/101"/><Relationship Id="rId6115" Type="http://schemas.openxmlformats.org/officeDocument/2006/relationships/hyperlink" TargetMode="External" Target="https://spark-interfax.ru/system/home/card#/company/E2040D101DE94A6F888BD3B7BC98CEFF/101"/><Relationship Id="rId6116" Type="http://schemas.openxmlformats.org/officeDocument/2006/relationships/hyperlink" TargetMode="External" Target="https://spark-interfax.ru/system/home/card#/company/95705FDC58347838E0531B9AA8C02C78/101"/><Relationship Id="rId6117" Type="http://schemas.openxmlformats.org/officeDocument/2006/relationships/hyperlink" TargetMode="External" Target="https://spark-interfax.ru/system/home/card#/company/3040EC5469E4427D8D6FEBC2C33A15CF/101"/><Relationship Id="rId6118" Type="http://schemas.openxmlformats.org/officeDocument/2006/relationships/hyperlink" TargetMode="External" Target="https://spark-interfax.ru/system/home/card#/company/A44E1B042CAF4D26A06A30124A98BBEA/101"/><Relationship Id="rId6119" Type="http://schemas.openxmlformats.org/officeDocument/2006/relationships/hyperlink" TargetMode="External" Target="https://spark-interfax.ru/system/home/card#/company/FFB271D2276D4907BD28C739C24ECF3D/101"/><Relationship Id="rId6120" Type="http://schemas.openxmlformats.org/officeDocument/2006/relationships/hyperlink" TargetMode="External" Target="https://spark-interfax.ru/system/home/card#/company/0BE0210861EC430B90AE439FCBA31359/101"/><Relationship Id="rId6121" Type="http://schemas.openxmlformats.org/officeDocument/2006/relationships/hyperlink" TargetMode="External" Target="https://spark-interfax.ru/system/home/card#/company/65A6F38D9EEC44A0ACFE9D6C5E0AD47E/101"/><Relationship Id="rId6122" Type="http://schemas.openxmlformats.org/officeDocument/2006/relationships/hyperlink" TargetMode="External" Target="https://spark-interfax.ru/system/home/card#/company/DDF3E78657C848C5B4A648ADA509D299/101"/><Relationship Id="rId6123" Type="http://schemas.openxmlformats.org/officeDocument/2006/relationships/hyperlink" TargetMode="External" Target="https://spark-interfax.ru/system/home/card#/company/6BEE0FEEF0B34FF393A8977DBB99C84A/101"/><Relationship Id="rId6124" Type="http://schemas.openxmlformats.org/officeDocument/2006/relationships/hyperlink" TargetMode="External" Target="https://spark-interfax.ru/system/home/card#/company/14D911A007D041348E89921397E573FC/101"/><Relationship Id="rId6125" Type="http://schemas.openxmlformats.org/officeDocument/2006/relationships/hyperlink" TargetMode="External" Target="https://spark-interfax.ru/system/home/card#/company/DA899E871C254891BDF95866A0BF422A/101"/><Relationship Id="rId6126" Type="http://schemas.openxmlformats.org/officeDocument/2006/relationships/hyperlink" TargetMode="External" Target="https://spark-interfax.ru/system/home/card#/company/BD7724EC0E5C41449F3B3277B4345626/101"/><Relationship Id="rId6127" Type="http://schemas.openxmlformats.org/officeDocument/2006/relationships/hyperlink" TargetMode="External" Target="https://spark-interfax.ru/system/home/card#/company/FDD503CC741B455BBAF97E52038EDBCB/101"/><Relationship Id="rId6128" Type="http://schemas.openxmlformats.org/officeDocument/2006/relationships/hyperlink" TargetMode="External" Target="https://spark-interfax.ru/system/home/card#/company/6E3079A4D9AA4051BFE96869BD94B755/101"/><Relationship Id="rId6129" Type="http://schemas.openxmlformats.org/officeDocument/2006/relationships/hyperlink" TargetMode="External" Target="https://spark-interfax.ru/system/home/card#/company/738DEFB62281479FA5DC8C1E2A1DB260/101"/><Relationship Id="rId6130" Type="http://schemas.openxmlformats.org/officeDocument/2006/relationships/hyperlink" TargetMode="External" Target="https://spark-interfax.ru/system/home/card#/company/CBB2C52BC7204C1CA208CAD99CC32D0E/101"/><Relationship Id="rId6131" Type="http://schemas.openxmlformats.org/officeDocument/2006/relationships/hyperlink" TargetMode="External" Target="https://spark-interfax.ru/system/home/card#/company/1EBD4F9C3A1C4562B79381CF1638C90F/101"/><Relationship Id="rId6132" Type="http://schemas.openxmlformats.org/officeDocument/2006/relationships/hyperlink" TargetMode="External" Target="https://spark-interfax.ru/system/home/card#/company/A310077D16364BF2B15C3FD370689BD4/101"/><Relationship Id="rId6133" Type="http://schemas.openxmlformats.org/officeDocument/2006/relationships/hyperlink" TargetMode="External" Target="https://spark-interfax.ru/system/home/card#/company/A77042B992E54EC392AB639700B72776/101"/><Relationship Id="rId6134" Type="http://schemas.openxmlformats.org/officeDocument/2006/relationships/hyperlink" TargetMode="External" Target="https://spark-interfax.ru/system/home/card#/company/5BC3BD8D040D40BAB22B5EA95373802C/101"/><Relationship Id="rId6135" Type="http://schemas.openxmlformats.org/officeDocument/2006/relationships/hyperlink" TargetMode="External" Target="https://spark-interfax.ru/system/home/card#/company/FA39062F5D994E16B472E6C42F6A2F31/101"/><Relationship Id="rId6136" Type="http://schemas.openxmlformats.org/officeDocument/2006/relationships/hyperlink" TargetMode="External" Target="https://spark-interfax.ru/system/home/card#/company/1961186D344A4A1CA248594420993124/101"/><Relationship Id="rId6137" Type="http://schemas.openxmlformats.org/officeDocument/2006/relationships/hyperlink" TargetMode="External" Target="https://spark-interfax.ru/system/home/card#/company/3B792FC2CC1D40638D83E9735A35AE55/101"/><Relationship Id="rId6138" Type="http://schemas.openxmlformats.org/officeDocument/2006/relationships/hyperlink" TargetMode="External" Target="https://spark-interfax.ru/system/home/card#/company/5E2A59393E0245C6BE7BEE38664E7DB7/101"/><Relationship Id="rId6139" Type="http://schemas.openxmlformats.org/officeDocument/2006/relationships/hyperlink" TargetMode="External" Target="https://spark-interfax.ru/system/home/card#/company/A51D3BF7378E4C68AC3FC6B79E71865B/101"/><Relationship Id="rId6140" Type="http://schemas.openxmlformats.org/officeDocument/2006/relationships/hyperlink" TargetMode="External" Target="https://spark-interfax.ru/system/home/card#/company/AEF42B74596D4038BB0A5DD48822F859/101"/><Relationship Id="rId6141" Type="http://schemas.openxmlformats.org/officeDocument/2006/relationships/hyperlink" TargetMode="External" Target="https://spark-interfax.ru/system/home/card#/company/A386280D3FC448E9A393DE813259C2B6/101"/><Relationship Id="rId6142" Type="http://schemas.openxmlformats.org/officeDocument/2006/relationships/hyperlink" TargetMode="External" Target="https://spark-interfax.ru/system/home/card#/company/34A6D72E38514703B26928C510537317/101"/><Relationship Id="rId6143" Type="http://schemas.openxmlformats.org/officeDocument/2006/relationships/hyperlink" TargetMode="External" Target="https://spark-interfax.ru/system/home/card#/company/4980B31FF48F4DCBB948A7AF1D5BEB2C/101"/><Relationship Id="rId6144" Type="http://schemas.openxmlformats.org/officeDocument/2006/relationships/hyperlink" TargetMode="External" Target="https://spark-interfax.ru/system/home/card#/company/67806F54A02B4DD48E714211437C1F72/101"/><Relationship Id="rId6145" Type="http://schemas.openxmlformats.org/officeDocument/2006/relationships/hyperlink" TargetMode="External" Target="https://spark-interfax.ru/system/home/card#/company/A9F6AECBDBAA408EACC34C3186CA6232/101"/><Relationship Id="rId6146" Type="http://schemas.openxmlformats.org/officeDocument/2006/relationships/hyperlink" TargetMode="External" Target="https://spark-interfax.ru/system/home/card#/company/D2DB4E3EF6F34795A3E4395B572D8EBA/101"/><Relationship Id="rId6147" Type="http://schemas.openxmlformats.org/officeDocument/2006/relationships/hyperlink" TargetMode="External" Target="https://spark-interfax.ru/system/home/card#/company/6DD1E0E238AB4288B838544430CAC1C1/101"/><Relationship Id="rId6148" Type="http://schemas.openxmlformats.org/officeDocument/2006/relationships/hyperlink" TargetMode="External" Target="https://spark-interfax.ru/system/home/card#/company/58B9D227F635432FA4E9593D775AEAC0/101"/><Relationship Id="rId6149" Type="http://schemas.openxmlformats.org/officeDocument/2006/relationships/hyperlink" TargetMode="External" Target="https://spark-interfax.ru/system/home/card#/company/5C5ECA6945AD1D8EE0531C9AA8C00C32/101"/><Relationship Id="rId6150" Type="http://schemas.openxmlformats.org/officeDocument/2006/relationships/hyperlink" TargetMode="External" Target="https://spark-interfax.ru/system/home/card#/company/6E27892AE5E658EDE0531B9AA8C06936/101"/><Relationship Id="rId6151" Type="http://schemas.openxmlformats.org/officeDocument/2006/relationships/hyperlink" TargetMode="External" Target="https://spark-interfax.ru/system/home/card#/company/099EC8C123AC4714BF25484A3D7EE68C/101"/><Relationship Id="rId6152" Type="http://schemas.openxmlformats.org/officeDocument/2006/relationships/hyperlink" TargetMode="External" Target="https://spark-interfax.ru/system/home/card#/company/2874B7A45B994900A8DAB7103C7BC073/101"/><Relationship Id="rId6153" Type="http://schemas.openxmlformats.org/officeDocument/2006/relationships/hyperlink" TargetMode="External" Target="https://spark-interfax.ru/system/home/card#/company/C6910BF90DA840B293C1AEBE76087038/101"/><Relationship Id="rId6154" Type="http://schemas.openxmlformats.org/officeDocument/2006/relationships/hyperlink" TargetMode="External" Target="https://spark-interfax.ru/system/home/card#/company/057013352C0944BEA2891F938A342B2F/101"/><Relationship Id="rId6155" Type="http://schemas.openxmlformats.org/officeDocument/2006/relationships/hyperlink" TargetMode="External" Target="https://spark-interfax.ru/system/home/card#/company/58A9B96071D34DF19BC61EBF686C7C2A/101"/><Relationship Id="rId6156" Type="http://schemas.openxmlformats.org/officeDocument/2006/relationships/hyperlink" TargetMode="External" Target="https://spark-interfax.ru/system/home/card#/company/97B18AE919A54A93ABC512734B86B092/101"/><Relationship Id="rId6157" Type="http://schemas.openxmlformats.org/officeDocument/2006/relationships/hyperlink" TargetMode="External" Target="https://spark-interfax.ru/system/home/card#/company/381660AE1C4846039E0862877DA353B1/101"/><Relationship Id="rId6158" Type="http://schemas.openxmlformats.org/officeDocument/2006/relationships/hyperlink" TargetMode="External" Target="https://spark-interfax.ru/system/home/card#/company/CAEE30F1A56349B9A91AC606091E44DD/101"/><Relationship Id="rId6159" Type="http://schemas.openxmlformats.org/officeDocument/2006/relationships/hyperlink" TargetMode="External" Target="https://spark-interfax.ru/system/home/card#/company/40438E717C3D437B9E9630D246C93A03/101"/><Relationship Id="rId6160" Type="http://schemas.openxmlformats.org/officeDocument/2006/relationships/hyperlink" TargetMode="External" Target="https://spark-interfax.ru/system/home/card#/company/CE37EE7F71D94E32B13C79B528323050/101"/><Relationship Id="rId6161" Type="http://schemas.openxmlformats.org/officeDocument/2006/relationships/hyperlink" TargetMode="External" Target="https://spark-interfax.ru/system/home/card#/company/CFEEC1DB803F47BB885B80BAC7FC44D3/101"/><Relationship Id="rId6162" Type="http://schemas.openxmlformats.org/officeDocument/2006/relationships/hyperlink" TargetMode="External" Target="https://spark-interfax.ru/system/home/card#/company/769865B3F6824CDEA40811986F3A94E0/101"/><Relationship Id="rId6163" Type="http://schemas.openxmlformats.org/officeDocument/2006/relationships/hyperlink" TargetMode="External" Target="https://spark-interfax.ru/system/home/card#/company/2807ED2549D04EF095063EE1B3770E1F/101"/><Relationship Id="rId6164" Type="http://schemas.openxmlformats.org/officeDocument/2006/relationships/hyperlink" TargetMode="External" Target="https://spark-interfax.ru/system/home/card#/company/B17DDA71C7CC61CCE053219AA8C08869/101"/><Relationship Id="rId6165" Type="http://schemas.openxmlformats.org/officeDocument/2006/relationships/hyperlink" TargetMode="External" Target="https://spark-interfax.ru/system/home/card#/company/61421A754CCA4CD98A1BF660AEE0E0FF/101"/><Relationship Id="rId6166" Type="http://schemas.openxmlformats.org/officeDocument/2006/relationships/hyperlink" TargetMode="External" Target="https://spark-interfax.ru/system/home/card#/company/C54C353075664A13BF736D9A37D6FDC2/101"/><Relationship Id="rId6167" Type="http://schemas.openxmlformats.org/officeDocument/2006/relationships/hyperlink" TargetMode="External" Target="https://spark-interfax.ru/system/home/card#/company/DA9ADC3C6FB44892BAA61F8152F1E847/101"/><Relationship Id="rId6168" Type="http://schemas.openxmlformats.org/officeDocument/2006/relationships/hyperlink" TargetMode="External" Target="https://spark-interfax.ru/system/home/card#/company/2A9E2F5DEB1A4A8492E6BD3D2C467142/101"/><Relationship Id="rId6169" Type="http://schemas.openxmlformats.org/officeDocument/2006/relationships/hyperlink" TargetMode="External" Target="https://spark-interfax.ru/system/home/card#/company/6649CA7544EA4B6B86EFD068670FE9CC/101"/><Relationship Id="rId6170" Type="http://schemas.openxmlformats.org/officeDocument/2006/relationships/hyperlink" TargetMode="External" Target="https://spark-interfax.ru/system/home/card#/company/8A2DBD1F6E224F12AC9B60F61D045586/101"/><Relationship Id="rId6171" Type="http://schemas.openxmlformats.org/officeDocument/2006/relationships/hyperlink" TargetMode="External" Target="https://spark-interfax.ru/system/home/card#/company/D2E97138B54B4BD28BFE6F69E2C4B047/101"/><Relationship Id="rId6172" Type="http://schemas.openxmlformats.org/officeDocument/2006/relationships/hyperlink" TargetMode="External" Target="https://spark-interfax.ru/system/home/card#/company/445DDFE57C1F47EB95FBA991166CCECC/101"/><Relationship Id="rId6173" Type="http://schemas.openxmlformats.org/officeDocument/2006/relationships/hyperlink" TargetMode="External" Target="https://spark-interfax.ru/system/home/card#/company/6A9BA1BD07D5405AB3B13A61AAECA5E2/101"/><Relationship Id="rId6174" Type="http://schemas.openxmlformats.org/officeDocument/2006/relationships/hyperlink" TargetMode="External" Target="https://spark-interfax.ru/system/home/card#/company/4F3C349185CB45CBA8420FE811C6BE5D/101"/><Relationship Id="rId6175" Type="http://schemas.openxmlformats.org/officeDocument/2006/relationships/hyperlink" TargetMode="External" Target="https://spark-interfax.ru/system/home/card#/company/9639D6BA84754E49BD3970CB0CF11239/101"/><Relationship Id="rId6176" Type="http://schemas.openxmlformats.org/officeDocument/2006/relationships/hyperlink" TargetMode="External" Target="https://spark-interfax.ru/system/home/card#/company/883700A3F22E444BBB15CA9ECAF1EAE1/101"/><Relationship Id="rId6177" Type="http://schemas.openxmlformats.org/officeDocument/2006/relationships/hyperlink" TargetMode="External" Target="https://spark-interfax.ru/system/home/card#/company/82033BA0D1C44443BED523610C77200A/101"/><Relationship Id="rId6178" Type="http://schemas.openxmlformats.org/officeDocument/2006/relationships/hyperlink" TargetMode="External" Target="https://spark-interfax.ru/system/home/card#/company/D13AAC1C10DA47019AAE907670F61EC4/101"/><Relationship Id="rId6179" Type="http://schemas.openxmlformats.org/officeDocument/2006/relationships/hyperlink" TargetMode="External" Target="https://spark-interfax.ru/system/home/card#/company/B1DCBD6953F04509B0910E2EF99708D1/101"/><Relationship Id="rId6180" Type="http://schemas.openxmlformats.org/officeDocument/2006/relationships/hyperlink" TargetMode="External" Target="https://spark-interfax.ru/system/home/card#/company/8810029F6FE8466FAC04B645613B6B98/101"/><Relationship Id="rId6181" Type="http://schemas.openxmlformats.org/officeDocument/2006/relationships/hyperlink" TargetMode="External" Target="https://spark-interfax.ru/system/home/card#/company/19097B6DC3BD477A9B3FF9CD67347773/101"/><Relationship Id="rId6182" Type="http://schemas.openxmlformats.org/officeDocument/2006/relationships/hyperlink" TargetMode="External" Target="https://spark-interfax.ru/system/home/card#/company/F7436F88A58043E2B883D401D43FCB56/101"/><Relationship Id="rId6183" Type="http://schemas.openxmlformats.org/officeDocument/2006/relationships/hyperlink" TargetMode="External" Target="https://spark-interfax.ru/system/home/card#/company/4C3C1C959C584ECF8F06C26DC6A058E5/101"/><Relationship Id="rId6184" Type="http://schemas.openxmlformats.org/officeDocument/2006/relationships/hyperlink" TargetMode="External" Target="https://spark-interfax.ru/system/home/card#/company/7FDD1A659DFB4209B090007F5F392366/101"/><Relationship Id="rId6185" Type="http://schemas.openxmlformats.org/officeDocument/2006/relationships/hyperlink" TargetMode="External" Target="https://spark-interfax.ru/system/home/card#/company/7CBCA0BA27D44F2D83396BD95DA8138E/101"/><Relationship Id="rId6186" Type="http://schemas.openxmlformats.org/officeDocument/2006/relationships/hyperlink" TargetMode="External" Target="https://spark-interfax.ru/system/home/card#/company/AB8B9BC20D9549789B1A813821DCF5D8/101"/><Relationship Id="rId6187" Type="http://schemas.openxmlformats.org/officeDocument/2006/relationships/hyperlink" TargetMode="External" Target="https://spark-interfax.ru/system/home/card#/company/6511151FF24749EC99DA49EE6D4BE560/101"/><Relationship Id="rId6188" Type="http://schemas.openxmlformats.org/officeDocument/2006/relationships/hyperlink" TargetMode="External" Target="https://spark-interfax.ru/system/home/card#/company/85E28070919E6359E0531B9AA8C05ADC/101"/><Relationship Id="rId6189" Type="http://schemas.openxmlformats.org/officeDocument/2006/relationships/hyperlink" TargetMode="External" Target="https://spark-interfax.ru/system/home/card#/company/075CB6691E404A3E88B1A4315254C3B7/101"/><Relationship Id="rId6190" Type="http://schemas.openxmlformats.org/officeDocument/2006/relationships/hyperlink" TargetMode="External" Target="https://spark-interfax.ru/system/home/card#/company/5A6D1AAE452B7ECBE0531C9AA8C00497/101"/><Relationship Id="rId6191" Type="http://schemas.openxmlformats.org/officeDocument/2006/relationships/hyperlink" TargetMode="External" Target="https://spark-interfax.ru/system/home/card#/company/16D37F447AEF4FB2BACA4247EA010E23/101"/><Relationship Id="rId6192" Type="http://schemas.openxmlformats.org/officeDocument/2006/relationships/hyperlink" TargetMode="External" Target="https://spark-interfax.ru/system/home/card#/company/6EAE7A03282145328FADC8A1AD0CDA38/101"/><Relationship Id="rId6193" Type="http://schemas.openxmlformats.org/officeDocument/2006/relationships/hyperlink" TargetMode="External" Target="https://spark-interfax.ru/system/home/card#/company/E8CEB62428D34A2E9AB508FE8E9B3750/101"/><Relationship Id="rId6194" Type="http://schemas.openxmlformats.org/officeDocument/2006/relationships/hyperlink" TargetMode="External" Target="https://spark-interfax.ru/system/home/card#/company/4DCA6F12060E4FB0AACC268494206240/101"/><Relationship Id="rId6195" Type="http://schemas.openxmlformats.org/officeDocument/2006/relationships/hyperlink" TargetMode="External" Target="https://spark-interfax.ru/system/home/card#/company/4763675CF0F54D1FB47EAC4754691511/101"/><Relationship Id="rId6196" Type="http://schemas.openxmlformats.org/officeDocument/2006/relationships/hyperlink" TargetMode="External" Target="https://spark-interfax.ru/system/home/card#/company/7DA2568FCFD24C2088752B85543DA074/101"/><Relationship Id="rId6197" Type="http://schemas.openxmlformats.org/officeDocument/2006/relationships/hyperlink" TargetMode="External" Target="https://spark-interfax.ru/system/home/card#/company/98F10622D0464286B4E6E222455DBF5F/101"/><Relationship Id="rId6198" Type="http://schemas.openxmlformats.org/officeDocument/2006/relationships/hyperlink" TargetMode="External" Target="https://spark-interfax.ru/system/home/card#/company/CC257E6517B040DD96E8BF3DF1CDA605/101"/><Relationship Id="rId6199" Type="http://schemas.openxmlformats.org/officeDocument/2006/relationships/hyperlink" TargetMode="External" Target="https://spark-interfax.ru/system/home/card#/company/4C8EC98F6A9642779F9FF44362773337/101"/><Relationship Id="rId6200" Type="http://schemas.openxmlformats.org/officeDocument/2006/relationships/hyperlink" TargetMode="External" Target="https://spark-interfax.ru/system/home/card#/company/F350742A5A3840E5901C30899203DE7F/101"/><Relationship Id="rId6201" Type="http://schemas.openxmlformats.org/officeDocument/2006/relationships/hyperlink" TargetMode="External" Target="https://spark-interfax.ru/system/home/card#/company/54493DCB56EB4D8BADA7E0CAFD654D22/101"/><Relationship Id="rId6202" Type="http://schemas.openxmlformats.org/officeDocument/2006/relationships/hyperlink" TargetMode="External" Target="https://spark-interfax.ru/system/home/card#/company/DBF391F1CE7A4F668BC5F214AD3E1EE0/101"/><Relationship Id="rId6203" Type="http://schemas.openxmlformats.org/officeDocument/2006/relationships/hyperlink" TargetMode="External" Target="https://spark-interfax.ru/system/home/card#/company/AD1AA014505940F383D8C48F7D7E4698/101"/><Relationship Id="rId6204" Type="http://schemas.openxmlformats.org/officeDocument/2006/relationships/hyperlink" TargetMode="External" Target="https://spark-interfax.ru/system/home/card#/company/2675A172E0384945B78543808FE56E10/101"/><Relationship Id="rId6205" Type="http://schemas.openxmlformats.org/officeDocument/2006/relationships/hyperlink" TargetMode="External" Target="https://spark-interfax.ru/system/home/card#/company/4C0B6F5171FB4612B07E170D74D09E8A/101"/><Relationship Id="rId6206" Type="http://schemas.openxmlformats.org/officeDocument/2006/relationships/hyperlink" TargetMode="External" Target="https://spark-interfax.ru/system/home/card#/company/BCE82E23873A4D95ACFE32EF8234EE97/101"/><Relationship Id="rId6207" Type="http://schemas.openxmlformats.org/officeDocument/2006/relationships/hyperlink" TargetMode="External" Target="https://spark-interfax.ru/system/home/card#/company/58CB444AB02A49E39CA5268D0A33AA05/101"/><Relationship Id="rId6208" Type="http://schemas.openxmlformats.org/officeDocument/2006/relationships/hyperlink" TargetMode="External" Target="https://spark-interfax.ru/system/home/card#/company/61C801DEAAFF4C3E92E9DE9FF5FFD2AB/101"/><Relationship Id="rId6209" Type="http://schemas.openxmlformats.org/officeDocument/2006/relationships/hyperlink" TargetMode="External" Target="https://spark-interfax.ru/system/home/card#/company/70352EC373904F948035A7F962725A7E/101"/><Relationship Id="rId6210" Type="http://schemas.openxmlformats.org/officeDocument/2006/relationships/hyperlink" TargetMode="External" Target="https://spark-interfax.ru/system/home/card#/company/B959E46FED6E3FFBE053219AA8C02F68/101"/><Relationship Id="rId6211" Type="http://schemas.openxmlformats.org/officeDocument/2006/relationships/hyperlink" TargetMode="External" Target="https://spark-interfax.ru/system/home/card#/company/8926975BFD224F7C865E79AE6BA30FD4/101"/><Relationship Id="rId6212" Type="http://schemas.openxmlformats.org/officeDocument/2006/relationships/hyperlink" TargetMode="External" Target="https://spark-interfax.ru/system/home/card#/company/9857163854DE4752AF9F84EE92713E9C/101"/><Relationship Id="rId6213" Type="http://schemas.openxmlformats.org/officeDocument/2006/relationships/hyperlink" TargetMode="External" Target="https://spark-interfax.ru/system/home/card#/company/4D82FD9EB53743518A8FE234FAA89D11/101"/><Relationship Id="rId6214" Type="http://schemas.openxmlformats.org/officeDocument/2006/relationships/hyperlink" TargetMode="External" Target="https://spark-interfax.ru/system/home/card#/company/E6795CAAA3C340E1AA83CDAFB9BE9B7F/101"/><Relationship Id="rId6215" Type="http://schemas.openxmlformats.org/officeDocument/2006/relationships/hyperlink" TargetMode="External" Target="https://spark-interfax.ru/system/home/card#/company/1EE0055DA90A419C97409BE4D54F5B3C/101"/><Relationship Id="rId6216" Type="http://schemas.openxmlformats.org/officeDocument/2006/relationships/hyperlink" TargetMode="External" Target="https://spark-interfax.ru/system/home/card#/company/679A4263E85D47E3AFA009AC5353EA2C/101"/><Relationship Id="rId6217" Type="http://schemas.openxmlformats.org/officeDocument/2006/relationships/hyperlink" TargetMode="External" Target="https://spark-interfax.ru/system/home/card#/company/B37DA8F7675C46FF901D080FD99B3C38/101"/><Relationship Id="rId6218" Type="http://schemas.openxmlformats.org/officeDocument/2006/relationships/hyperlink" TargetMode="External" Target="https://spark-interfax.ru/system/home/card#/company/D157309B286E43469CAE0707EF3CB61F/101"/><Relationship Id="rId6219" Type="http://schemas.openxmlformats.org/officeDocument/2006/relationships/hyperlink" TargetMode="External" Target="https://spark-interfax.ru/system/home/card#/company/D348F25089974605A2D84E4288564EA4/101"/><Relationship Id="rId6220" Type="http://schemas.openxmlformats.org/officeDocument/2006/relationships/hyperlink" TargetMode="External" Target="https://spark-interfax.ru/system/home/card#/company/0E90057798EF4A20A93D948C652E56E7/101"/><Relationship Id="rId6221" Type="http://schemas.openxmlformats.org/officeDocument/2006/relationships/hyperlink" TargetMode="External" Target="https://spark-interfax.ru/system/home/card#/company/0B9C4861ACE4469FBF06F317DFE179B8/101"/><Relationship Id="rId6222" Type="http://schemas.openxmlformats.org/officeDocument/2006/relationships/hyperlink" TargetMode="External" Target="https://spark-interfax.ru/system/home/card#/company/912299B985B84EEEAB5294356B82DE6D/101"/><Relationship Id="rId6223" Type="http://schemas.openxmlformats.org/officeDocument/2006/relationships/hyperlink" TargetMode="External" Target="https://spark-interfax.ru/system/home/card#/company/66B26E2C6B13472F99DD78D6DE984B9B/101"/><Relationship Id="rId6224" Type="http://schemas.openxmlformats.org/officeDocument/2006/relationships/hyperlink" TargetMode="External" Target="https://spark-interfax.ru/system/home/card#/company/C1AAA5E7483B47D58E8BB054160CDA50/101"/><Relationship Id="rId6225" Type="http://schemas.openxmlformats.org/officeDocument/2006/relationships/hyperlink" TargetMode="External" Target="https://spark-interfax.ru/system/home/card#/company/59A5FECC8251451A907A42D5ED2AC776/101"/><Relationship Id="rId6226" Type="http://schemas.openxmlformats.org/officeDocument/2006/relationships/hyperlink" TargetMode="External" Target="https://spark-interfax.ru/system/home/card#/company/F594198A76E54FE3B8F9ED8D9DC9E2DC/101"/><Relationship Id="rId6227" Type="http://schemas.openxmlformats.org/officeDocument/2006/relationships/hyperlink" TargetMode="External" Target="https://spark-interfax.ru/system/home/card#/company/9B9D3560B1164469B3BAE5C3B163745B/101"/><Relationship Id="rId6228" Type="http://schemas.openxmlformats.org/officeDocument/2006/relationships/hyperlink" TargetMode="External" Target="https://spark-interfax.ru/system/home/card#/company/93134114F49843FD963AE300A8DD7966/101"/><Relationship Id="rId6229" Type="http://schemas.openxmlformats.org/officeDocument/2006/relationships/hyperlink" TargetMode="External" Target="https://spark-interfax.ru/system/home/card#/company/ABD314563DD548759161D95CF11A2E7B/101"/><Relationship Id="rId6230" Type="http://schemas.openxmlformats.org/officeDocument/2006/relationships/hyperlink" TargetMode="External" Target="https://spark-interfax.ru/system/home/card#/company/7341E174846342C191C16D887FF752D2/101"/><Relationship Id="rId6231" Type="http://schemas.openxmlformats.org/officeDocument/2006/relationships/hyperlink" TargetMode="External" Target="https://spark-interfax.ru/system/home/card#/company/E0E591F674634AA2B89E051478B31436/101"/><Relationship Id="rId6232" Type="http://schemas.openxmlformats.org/officeDocument/2006/relationships/hyperlink" TargetMode="External" Target="https://spark-interfax.ru/system/home/card#/company/6C6BE78FD62A462BE0531B9AA8C09FFC/101"/><Relationship Id="rId6233" Type="http://schemas.openxmlformats.org/officeDocument/2006/relationships/hyperlink" TargetMode="External" Target="https://spark-interfax.ru/system/home/card#/company/FB526B1826D54D4CA671905B0B644567/101"/><Relationship Id="rId6234" Type="http://schemas.openxmlformats.org/officeDocument/2006/relationships/hyperlink" TargetMode="External" Target="https://spark-interfax.ru/system/home/card#/company/6FA89EE644EC4D4098BD60B82B9D4E56/101"/><Relationship Id="rId6235" Type="http://schemas.openxmlformats.org/officeDocument/2006/relationships/hyperlink" TargetMode="External" Target="https://spark-interfax.ru/system/home/card#/company/5E7486F4C217452790F938512B7B0E2A/101"/><Relationship Id="rId6236" Type="http://schemas.openxmlformats.org/officeDocument/2006/relationships/hyperlink" TargetMode="External" Target="https://spark-interfax.ru/system/home/card#/company/FF324A4C72E8478B9A0A98FDDF02AFD3/101"/><Relationship Id="rId6237" Type="http://schemas.openxmlformats.org/officeDocument/2006/relationships/hyperlink" TargetMode="External" Target="https://spark-interfax.ru/system/home/card#/company/371930E65E224E0C86260DB37D3A7D2E/101"/><Relationship Id="rId6238" Type="http://schemas.openxmlformats.org/officeDocument/2006/relationships/hyperlink" TargetMode="External" Target="https://spark-interfax.ru/system/home/card#/company/BBA0F8D9B0C04A189AB72C2F3B4F1B60/101"/><Relationship Id="rId6239" Type="http://schemas.openxmlformats.org/officeDocument/2006/relationships/hyperlink" TargetMode="External" Target="https://spark-interfax.ru/system/home/card#/company/73176B5E0949426B9F5FA7DB3B6C59FF/101"/><Relationship Id="rId6240" Type="http://schemas.openxmlformats.org/officeDocument/2006/relationships/hyperlink" TargetMode="External" Target="https://spark-interfax.ru/system/home/card#/company/6C2825A3CC144CF7A9D4A136699AE057/101"/><Relationship Id="rId6241" Type="http://schemas.openxmlformats.org/officeDocument/2006/relationships/hyperlink" TargetMode="External" Target="https://spark-interfax.ru/system/home/card#/company/089A8A0C468740B096E5C8C94708C079/101"/><Relationship Id="rId6242" Type="http://schemas.openxmlformats.org/officeDocument/2006/relationships/hyperlink" TargetMode="External" Target="https://spark-interfax.ru/system/home/card#/company/3CE971DB1AF14E6B8B05E667F8397167/101"/><Relationship Id="rId6243" Type="http://schemas.openxmlformats.org/officeDocument/2006/relationships/hyperlink" TargetMode="External" Target="https://spark-interfax.ru/system/home/card#/company/53D24C638C4949CFB7DBF515AD11F9F6/101"/><Relationship Id="rId6244" Type="http://schemas.openxmlformats.org/officeDocument/2006/relationships/hyperlink" TargetMode="External" Target="https://spark-interfax.ru/system/home/card#/company/D6212BF3AFD84D1DB7D11F79FC75B32C/101"/><Relationship Id="rId6245" Type="http://schemas.openxmlformats.org/officeDocument/2006/relationships/hyperlink" TargetMode="External" Target="https://spark-interfax.ru/system/home/card#/company/9EF17ED883144C2E92257CF2A72DDA86/101"/><Relationship Id="rId6246" Type="http://schemas.openxmlformats.org/officeDocument/2006/relationships/hyperlink" TargetMode="External" Target="https://spark-interfax.ru/system/home/card#/company/4029A28579CA4E908ED1C8E38C21B3A2/101"/><Relationship Id="rId6247" Type="http://schemas.openxmlformats.org/officeDocument/2006/relationships/hyperlink" TargetMode="External" Target="https://spark-interfax.ru/system/home/card#/company/3B5DDD19DDF54D1DBF214DA60566B89E/101"/><Relationship Id="rId6248" Type="http://schemas.openxmlformats.org/officeDocument/2006/relationships/hyperlink" TargetMode="External" Target="https://spark-interfax.ru/system/home/card#/company/8449C2AEC0424BB3985D73ED95C5E0D5/101"/><Relationship Id="rId6249" Type="http://schemas.openxmlformats.org/officeDocument/2006/relationships/hyperlink" TargetMode="External" Target="https://spark-interfax.ru/system/home/card#/company/A25380931EC54B98E053189AA8C04724/101"/><Relationship Id="rId6250" Type="http://schemas.openxmlformats.org/officeDocument/2006/relationships/hyperlink" TargetMode="External" Target="https://spark-interfax.ru/system/home/card#/company/5B9D763213954C9AB79FAAF1B914A71D/101"/><Relationship Id="rId6251" Type="http://schemas.openxmlformats.org/officeDocument/2006/relationships/hyperlink" TargetMode="External" Target="https://spark-interfax.ru/system/home/card#/company/B26534BE9DFB49328DDECF3B04B3FCC4/101"/><Relationship Id="rId6252" Type="http://schemas.openxmlformats.org/officeDocument/2006/relationships/hyperlink" TargetMode="External" Target="https://spark-interfax.ru/system/home/card#/company/CC4290314EBF40079D8D09CF6B853CAC/101"/><Relationship Id="rId6253" Type="http://schemas.openxmlformats.org/officeDocument/2006/relationships/hyperlink" TargetMode="External" Target="https://spark-interfax.ru/system/home/card#/company/34C9209AB5C04CD3AE5A4A6587B4FF3D/101"/><Relationship Id="rId6254" Type="http://schemas.openxmlformats.org/officeDocument/2006/relationships/hyperlink" TargetMode="External" Target="https://spark-interfax.ru/system/home/card#/company/4B6434F67D714A0894D89CA8F5B6CFE4/101"/><Relationship Id="rId6255" Type="http://schemas.openxmlformats.org/officeDocument/2006/relationships/hyperlink" TargetMode="External" Target="https://spark-interfax.ru/system/home/card#/company/BCCF7AA252694B0695324263915829E9/101"/><Relationship Id="rId6256" Type="http://schemas.openxmlformats.org/officeDocument/2006/relationships/hyperlink" TargetMode="External" Target="https://spark-interfax.ru/system/home/card#/company/9BBCDA14BDCA4F9B9B9C2E5DAE2E8DED/101"/><Relationship Id="rId6257" Type="http://schemas.openxmlformats.org/officeDocument/2006/relationships/hyperlink" TargetMode="External" Target="https://spark-interfax.ru/system/home/card#/company/D5FBA109ED4B45739340EC314060D1CC/101"/><Relationship Id="rId6258" Type="http://schemas.openxmlformats.org/officeDocument/2006/relationships/hyperlink" TargetMode="External" Target="https://spark-interfax.ru/system/home/card#/company/D86FB30A4AC941B8B668CC0F64AA0EED/101"/><Relationship Id="rId6259" Type="http://schemas.openxmlformats.org/officeDocument/2006/relationships/hyperlink" TargetMode="External" Target="https://spark-interfax.ru/system/home/card#/company/EE24F79545DF4075BD9DD2DA2F566DF0/101"/><Relationship Id="rId6260" Type="http://schemas.openxmlformats.org/officeDocument/2006/relationships/hyperlink" TargetMode="External" Target="https://spark-interfax.ru/system/home/card#/company/0B9E6739FB3743848C0B766CA197F8B3/101"/><Relationship Id="rId6261" Type="http://schemas.openxmlformats.org/officeDocument/2006/relationships/hyperlink" TargetMode="External" Target="https://spark-interfax.ru/system/home/card#/company/E48835728D764A40ADAB9C9EADDD2CF2/101"/><Relationship Id="rId6262" Type="http://schemas.openxmlformats.org/officeDocument/2006/relationships/hyperlink" TargetMode="External" Target="https://spark-interfax.ru/system/home/card#/company/1F844478877245379754FF33D782281F/101"/><Relationship Id="rId6263" Type="http://schemas.openxmlformats.org/officeDocument/2006/relationships/hyperlink" TargetMode="External" Target="https://spark-interfax.ru/system/home/card#/company/1CB8FAE3A42240CCB2C24C0F0812CF95/101"/><Relationship Id="rId6264" Type="http://schemas.openxmlformats.org/officeDocument/2006/relationships/hyperlink" TargetMode="External" Target="https://spark-interfax.ru/system/home/card#/company/8EC1B75A40B5422B9695FA7F96A940A4/101"/><Relationship Id="rId6265" Type="http://schemas.openxmlformats.org/officeDocument/2006/relationships/hyperlink" TargetMode="External" Target="https://spark-interfax.ru/system/home/card#/company/A095986E9C334A8E8CFFD12B3C1E4535/101"/><Relationship Id="rId6266" Type="http://schemas.openxmlformats.org/officeDocument/2006/relationships/hyperlink" TargetMode="External" Target="https://spark-interfax.ru/system/home/card#/company/81A79014D6B5491D8A2990BBB190DE1F/101"/><Relationship Id="rId6267" Type="http://schemas.openxmlformats.org/officeDocument/2006/relationships/hyperlink" TargetMode="External" Target="https://spark-interfax.ru/system/home/card#/company/BA9687B314834EA5A16A4642CA947A76/101"/><Relationship Id="rId6268" Type="http://schemas.openxmlformats.org/officeDocument/2006/relationships/hyperlink" TargetMode="External" Target="https://spark-interfax.ru/system/home/card#/company/5FCE019F78F0421BB74D6408A9DAD94C/101"/><Relationship Id="rId6269" Type="http://schemas.openxmlformats.org/officeDocument/2006/relationships/hyperlink" TargetMode="External" Target="https://spark-interfax.ru/system/home/card#/company/90B33BCE91C648308D815FCDE329BE60/101"/><Relationship Id="rId6270" Type="http://schemas.openxmlformats.org/officeDocument/2006/relationships/hyperlink" TargetMode="External" Target="https://spark-interfax.ru/system/home/card#/company/D4CB276A00E84F54884B16F7264DD5CC/101"/><Relationship Id="rId6271" Type="http://schemas.openxmlformats.org/officeDocument/2006/relationships/hyperlink" TargetMode="External" Target="https://spark-interfax.ru/system/home/card#/company/725D11EBFD6948CCA2600814A1EF892B/101"/><Relationship Id="rId6272" Type="http://schemas.openxmlformats.org/officeDocument/2006/relationships/hyperlink" TargetMode="External" Target="https://spark-interfax.ru/system/home/card#/company/3652DB7550FD4BBA8F6AECAF99E1C46D/101"/><Relationship Id="rId6273" Type="http://schemas.openxmlformats.org/officeDocument/2006/relationships/hyperlink" TargetMode="External" Target="https://spark-interfax.ru/system/home/card#/company/B40ECF7D0F624893AF3EFDD2E61CE368/101"/><Relationship Id="rId6274" Type="http://schemas.openxmlformats.org/officeDocument/2006/relationships/hyperlink" TargetMode="External" Target="https://spark-interfax.ru/system/home/card#/company/DDC535BFC5A44C679627376B8F86E66E/101"/><Relationship Id="rId6275" Type="http://schemas.openxmlformats.org/officeDocument/2006/relationships/hyperlink" TargetMode="External" Target="https://spark-interfax.ru/system/home/card#/company/7BBFE23BAB9A6C88E0531B9AA8C0DB62/101"/><Relationship Id="rId6276" Type="http://schemas.openxmlformats.org/officeDocument/2006/relationships/hyperlink" TargetMode="External" Target="https://spark-interfax.ru/system/home/card#/company/9F9C309B67EC4AC787028E9ACDE93C29/101"/><Relationship Id="rId6277" Type="http://schemas.openxmlformats.org/officeDocument/2006/relationships/hyperlink" TargetMode="External" Target="https://spark-interfax.ru/system/home/card#/company/37A7620A55C94AEE92041E4CEA6CF794/101"/><Relationship Id="rId6278" Type="http://schemas.openxmlformats.org/officeDocument/2006/relationships/hyperlink" TargetMode="External" Target="https://spark-interfax.ru/system/home/card#/company/6C76090EE8844587A457CE5A9F9D1DBC/101"/><Relationship Id="rId6279" Type="http://schemas.openxmlformats.org/officeDocument/2006/relationships/hyperlink" TargetMode="External" Target="https://spark-interfax.ru/system/home/card#/company/9C9C6BA0934E4A719B52C5811CC77E50/101"/><Relationship Id="rId6280" Type="http://schemas.openxmlformats.org/officeDocument/2006/relationships/hyperlink" TargetMode="External" Target="https://spark-interfax.ru/system/home/card#/company/F344C702790845C1859257B2FDD4A0AF/101"/><Relationship Id="rId6281" Type="http://schemas.openxmlformats.org/officeDocument/2006/relationships/hyperlink" TargetMode="External" Target="https://spark-interfax.ru/system/home/card#/company/9C0BC6FCAFCD45DA927AE2CEC38BCAAB/101"/><Relationship Id="rId6282" Type="http://schemas.openxmlformats.org/officeDocument/2006/relationships/hyperlink" TargetMode="External" Target="https://spark-interfax.ru/system/home/card#/company/5F4BF64E9837408C9600D4BC8395ECB0/101"/><Relationship Id="rId6283" Type="http://schemas.openxmlformats.org/officeDocument/2006/relationships/hyperlink" TargetMode="External" Target="https://spark-interfax.ru/system/home/card#/company/4AC13B71FDE449169540527BAA69FE13/101"/><Relationship Id="rId6284" Type="http://schemas.openxmlformats.org/officeDocument/2006/relationships/hyperlink" TargetMode="External" Target="https://spark-interfax.ru/system/home/card#/company/41B6567633F04719ADF6C2726E51D7C9/101"/><Relationship Id="rId6285" Type="http://schemas.openxmlformats.org/officeDocument/2006/relationships/hyperlink" TargetMode="External" Target="https://spark-interfax.ru/system/home/card#/company/9A620C78E2594217B4BEDD28CFFB8625/101"/><Relationship Id="rId6286" Type="http://schemas.openxmlformats.org/officeDocument/2006/relationships/hyperlink" TargetMode="External" Target="https://spark-interfax.ru/system/home/card#/company/4C2A75CF5A604F5397BA30263E12CE9B/101"/><Relationship Id="rId6287" Type="http://schemas.openxmlformats.org/officeDocument/2006/relationships/hyperlink" TargetMode="External" Target="https://spark-interfax.ru/system/home/card#/company/3DE4703FCC0F4A70A1C86415A7E7BB32/101"/><Relationship Id="rId6288" Type="http://schemas.openxmlformats.org/officeDocument/2006/relationships/hyperlink" TargetMode="External" Target="https://spark-interfax.ru/system/home/card#/company/BF23CB00C7AD4621BFF354A36856E621/101"/><Relationship Id="rId6289" Type="http://schemas.openxmlformats.org/officeDocument/2006/relationships/hyperlink" TargetMode="External" Target="https://spark-interfax.ru/system/home/card#/company/FB5B2001FBC0417990A0D89E7B40F072/101"/><Relationship Id="rId6290" Type="http://schemas.openxmlformats.org/officeDocument/2006/relationships/hyperlink" TargetMode="External" Target="https://spark-interfax.ru/system/home/card#/company/788CCF1C4D1B4F6D9F3F2D79135F11DD/101"/><Relationship Id="rId6291" Type="http://schemas.openxmlformats.org/officeDocument/2006/relationships/hyperlink" TargetMode="External" Target="https://spark-interfax.ru/system/home/card#/company/968B42D497E4472093DFDB0818900C62/101"/><Relationship Id="rId6292" Type="http://schemas.openxmlformats.org/officeDocument/2006/relationships/hyperlink" TargetMode="External" Target="https://spark-interfax.ru/system/home/card#/company/5A59442C33046DBBE0531C9AA8C00192/101"/><Relationship Id="rId6293" Type="http://schemas.openxmlformats.org/officeDocument/2006/relationships/hyperlink" TargetMode="External" Target="https://spark-interfax.ru/system/home/card#/company/77ADF07FC0684408A2E33803F6E4AD6D/101"/><Relationship Id="rId6294" Type="http://schemas.openxmlformats.org/officeDocument/2006/relationships/hyperlink" TargetMode="External" Target="https://spark-interfax.ru/system/home/card#/company/608332E1D8A047329878C291B42F4B82/101"/><Relationship Id="rId6295" Type="http://schemas.openxmlformats.org/officeDocument/2006/relationships/hyperlink" TargetMode="External" Target="https://spark-interfax.ru/system/home/card#/company/B9E82A73D33A4D30B11D69BE24BE30ED/101"/><Relationship Id="rId6296" Type="http://schemas.openxmlformats.org/officeDocument/2006/relationships/hyperlink" TargetMode="External" Target="https://spark-interfax.ru/system/home/card#/company/FF350F0CFF1545638594F88F7602969E/101"/><Relationship Id="rId6297" Type="http://schemas.openxmlformats.org/officeDocument/2006/relationships/hyperlink" TargetMode="External" Target="https://spark-interfax.ru/system/home/card#/company/0A854F049EED486AA1168D5ACEE8B02F/101"/><Relationship Id="rId6298" Type="http://schemas.openxmlformats.org/officeDocument/2006/relationships/hyperlink" TargetMode="External" Target="https://spark-interfax.ru/system/home/card#/company/7E91F6AFE9EF44EFB7F80C650A943FC6/101"/><Relationship Id="rId6299" Type="http://schemas.openxmlformats.org/officeDocument/2006/relationships/hyperlink" TargetMode="External" Target="https://spark-interfax.ru/system/home/card#/company/39F41F4DE9464876B0D0C338D436CFF4/101"/><Relationship Id="rId6300" Type="http://schemas.openxmlformats.org/officeDocument/2006/relationships/hyperlink" TargetMode="External" Target="https://spark-interfax.ru/system/home/card#/company/C7854257017B41A4AABB221E0CAAEB5E/101"/><Relationship Id="rId6301" Type="http://schemas.openxmlformats.org/officeDocument/2006/relationships/hyperlink" TargetMode="External" Target="https://spark-interfax.ru/system/home/card#/company/3088F62F3C6E43E3ABE8EA848931445E/101"/><Relationship Id="rId6302" Type="http://schemas.openxmlformats.org/officeDocument/2006/relationships/hyperlink" TargetMode="External" Target="https://spark-interfax.ru/system/home/card#/company/836B9AF47FBB4C65A25C1E8DC16B4AEB/101"/><Relationship Id="rId6303" Type="http://schemas.openxmlformats.org/officeDocument/2006/relationships/hyperlink" TargetMode="External" Target="https://spark-interfax.ru/system/home/card#/company/39D89B6BCF0B440DA84CF1168DC7DCD3/101"/><Relationship Id="rId6304" Type="http://schemas.openxmlformats.org/officeDocument/2006/relationships/hyperlink" TargetMode="External" Target="https://spark-interfax.ru/system/home/card#/company/6FE7DD2A6FEB464881B1C4F19AF4B66B/101"/><Relationship Id="rId6305" Type="http://schemas.openxmlformats.org/officeDocument/2006/relationships/hyperlink" TargetMode="External" Target="https://spark-interfax.ru/system/home/card#/company/093BD9BE23AD40148E4A127CB0EC5B84/101"/><Relationship Id="rId6306" Type="http://schemas.openxmlformats.org/officeDocument/2006/relationships/hyperlink" TargetMode="External" Target="https://spark-interfax.ru/system/home/card#/company/AEB1666982BC4773B53F31781A21CB80/101"/><Relationship Id="rId6307" Type="http://schemas.openxmlformats.org/officeDocument/2006/relationships/hyperlink" TargetMode="External" Target="https://spark-interfax.ru/system/home/card#/company/6A0BFA81C5B14082B1A586BEDDFF0553/101"/><Relationship Id="rId6308" Type="http://schemas.openxmlformats.org/officeDocument/2006/relationships/hyperlink" TargetMode="External" Target="https://spark-interfax.ru/system/home/card#/company/FCDEF5BC75CA4E21BE023AB7F1A4443D/101"/><Relationship Id="rId6309" Type="http://schemas.openxmlformats.org/officeDocument/2006/relationships/hyperlink" TargetMode="External" Target="https://spark-interfax.ru/system/home/card#/company/F6955FA13DBC4E9085B78D5320EE53C7/101"/><Relationship Id="rId6310" Type="http://schemas.openxmlformats.org/officeDocument/2006/relationships/hyperlink" TargetMode="External" Target="https://spark-interfax.ru/system/home/card#/company/713694622C8761BDE0531B9AA8C0FBF3/101"/><Relationship Id="rId6311" Type="http://schemas.openxmlformats.org/officeDocument/2006/relationships/hyperlink" TargetMode="External" Target="https://spark-interfax.ru/system/home/card#/company/F49D9DDABE7B4186A48363A3B106A8DB/101"/><Relationship Id="rId6312" Type="http://schemas.openxmlformats.org/officeDocument/2006/relationships/hyperlink" TargetMode="External" Target="https://spark-interfax.ru/system/home/card#/company/A44A8D92B3324314A838A91B75D0860A/101"/><Relationship Id="rId6313" Type="http://schemas.openxmlformats.org/officeDocument/2006/relationships/hyperlink" TargetMode="External" Target="https://spark-interfax.ru/system/home/card#/company/ADC618291BB348F58650419668A4D800/101"/><Relationship Id="rId6314" Type="http://schemas.openxmlformats.org/officeDocument/2006/relationships/hyperlink" TargetMode="External" Target="https://spark-interfax.ru/system/home/card#/company/4C29A658A7B84DCFA3E7DC7A4A573829/101"/><Relationship Id="rId6315" Type="http://schemas.openxmlformats.org/officeDocument/2006/relationships/hyperlink" TargetMode="External" Target="https://spark-interfax.ru/system/home/card#/company/9DE31F20C0134D6599FA2135F08B8507/101"/><Relationship Id="rId6316" Type="http://schemas.openxmlformats.org/officeDocument/2006/relationships/hyperlink" TargetMode="External" Target="https://spark-interfax.ru/system/home/card#/company/C135F2A824321758E053219AA8C0CBD6/101"/><Relationship Id="rId6317" Type="http://schemas.openxmlformats.org/officeDocument/2006/relationships/hyperlink" TargetMode="External" Target="https://spark-interfax.ru/system/home/card#/company/1962E3AC6CB741849DF660B82CA3A627/101"/><Relationship Id="rId6318" Type="http://schemas.openxmlformats.org/officeDocument/2006/relationships/hyperlink" TargetMode="External" Target="https://spark-interfax.ru/system/home/card#/company/E5AB10F266E1440ABF6F556BAA5B11F6/101"/><Relationship Id="rId6319" Type="http://schemas.openxmlformats.org/officeDocument/2006/relationships/hyperlink" TargetMode="External" Target="https://spark-interfax.ru/system/home/card#/company/652B3CA1CC654FE392E36D9729FA95EC/101"/><Relationship Id="rId6320" Type="http://schemas.openxmlformats.org/officeDocument/2006/relationships/hyperlink" TargetMode="External" Target="https://spark-interfax.ru/system/home/card#/company/876F959E374F427BBF003197CDA3BF14/101"/><Relationship Id="rId6321" Type="http://schemas.openxmlformats.org/officeDocument/2006/relationships/hyperlink" TargetMode="External" Target="https://spark-interfax.ru/system/home/card#/company/A824EC24BB7674A7E053189AA8C092A2/101"/><Relationship Id="rId6322" Type="http://schemas.openxmlformats.org/officeDocument/2006/relationships/hyperlink" TargetMode="External" Target="https://spark-interfax.ru/system/home/card#/company/58EEF7A5F32D19B0E0531C9AA8C08042/101"/><Relationship Id="rId6323" Type="http://schemas.openxmlformats.org/officeDocument/2006/relationships/hyperlink" TargetMode="External" Target="https://spark-interfax.ru/system/home/card#/company/131E23C3082D414191E34A3A5A46F76F/101"/><Relationship Id="rId6324" Type="http://schemas.openxmlformats.org/officeDocument/2006/relationships/hyperlink" TargetMode="External" Target="https://spark-interfax.ru/system/home/card#/company/8E93D45CF2934D7EB23C93CF0A1DB2CD/101"/><Relationship Id="rId6325" Type="http://schemas.openxmlformats.org/officeDocument/2006/relationships/hyperlink" TargetMode="External" Target="https://spark-interfax.ru/system/home/card#/company/00DA5BAD0E694777AF887E06CEE83253/101"/><Relationship Id="rId6326" Type="http://schemas.openxmlformats.org/officeDocument/2006/relationships/hyperlink" TargetMode="External" Target="https://spark-interfax.ru/system/home/card#/company/3F8EAD29C3C043AF98212E169B98B1D5/101"/><Relationship Id="rId6327" Type="http://schemas.openxmlformats.org/officeDocument/2006/relationships/hyperlink" TargetMode="External" Target="https://spark-interfax.ru/system/home/card#/company/3659AE846050496EBC7833BE52BA1EA7/101"/><Relationship Id="rId6328" Type="http://schemas.openxmlformats.org/officeDocument/2006/relationships/hyperlink" TargetMode="External" Target="https://spark-interfax.ru/system/home/card#/company/0403BD9FAF804FA1B9EADE3D2754A596/101"/><Relationship Id="rId6329" Type="http://schemas.openxmlformats.org/officeDocument/2006/relationships/hyperlink" TargetMode="External" Target="https://spark-interfax.ru/system/home/card#/company/19CD93C2BEBD4282B8938EFB13B35382/101"/><Relationship Id="rId6330" Type="http://schemas.openxmlformats.org/officeDocument/2006/relationships/hyperlink" TargetMode="External" Target="https://spark-interfax.ru/system/home/card#/company/C73FCA88207B475C8EB2BFA86671D68C/101"/><Relationship Id="rId6331" Type="http://schemas.openxmlformats.org/officeDocument/2006/relationships/hyperlink" TargetMode="External" Target="https://spark-interfax.ru/system/home/card#/company/B83B78AC66924E598E56E276E4FB1E24/101"/><Relationship Id="rId6332" Type="http://schemas.openxmlformats.org/officeDocument/2006/relationships/hyperlink" TargetMode="External" Target="https://spark-interfax.ru/system/home/card#/company/1E8A0B19728A40448BE2DEDEB0B07622/101"/><Relationship Id="rId6333" Type="http://schemas.openxmlformats.org/officeDocument/2006/relationships/hyperlink" TargetMode="External" Target="https://spark-interfax.ru/system/home/card#/company/33010575EB8D4DD4A4D0C1D2409A09B2/101"/><Relationship Id="rId6334" Type="http://schemas.openxmlformats.org/officeDocument/2006/relationships/hyperlink" TargetMode="External" Target="https://spark-interfax.ru/system/home/card#/company/3213285DDCF74A5D9AE900ABE7B7BFAD/101"/><Relationship Id="rId6335" Type="http://schemas.openxmlformats.org/officeDocument/2006/relationships/hyperlink" TargetMode="External" Target="https://spark-interfax.ru/system/home/card#/company/69186B3122CE4F85A19D8355A36E6B65/101"/><Relationship Id="rId6336" Type="http://schemas.openxmlformats.org/officeDocument/2006/relationships/hyperlink" TargetMode="External" Target="https://spark-interfax.ru/system/home/card#/company/C0CF23C4CD50428A90EE3B5B145D37DF/101"/><Relationship Id="rId6337" Type="http://schemas.openxmlformats.org/officeDocument/2006/relationships/hyperlink" TargetMode="External" Target="https://spark-interfax.ru/system/home/card#/company/98E1DBE0D82F4AF1ABBBB6B61D101177/101"/><Relationship Id="rId6338" Type="http://schemas.openxmlformats.org/officeDocument/2006/relationships/hyperlink" TargetMode="External" Target="https://spark-interfax.ru/system/home/card#/company/67F9109E893541CD808764C04350190E/101"/><Relationship Id="rId6339" Type="http://schemas.openxmlformats.org/officeDocument/2006/relationships/hyperlink" TargetMode="External" Target="https://spark-interfax.ru/system/home/card#/company/0CDE50FB8A834C7EBFC4A156C59BF99A/101"/><Relationship Id="rId6340" Type="http://schemas.openxmlformats.org/officeDocument/2006/relationships/hyperlink" TargetMode="External" Target="https://spark-interfax.ru/system/home/card#/company/142C2560D2034785BFE4023BEC728F2C/101"/><Relationship Id="rId6341" Type="http://schemas.openxmlformats.org/officeDocument/2006/relationships/hyperlink" TargetMode="External" Target="https://spark-interfax.ru/system/home/card#/company/AE2AA80C1E2441DEA69840365A58AE8C/101"/><Relationship Id="rId6342" Type="http://schemas.openxmlformats.org/officeDocument/2006/relationships/hyperlink" TargetMode="External" Target="https://spark-interfax.ru/system/home/card#/company/EAFD7FAFAE95419F99E0A2414595D8C2/101"/><Relationship Id="rId6343" Type="http://schemas.openxmlformats.org/officeDocument/2006/relationships/hyperlink" TargetMode="External" Target="https://spark-interfax.ru/system/home/card#/company/74E4D76729864D648A3F78192F6BEC04/101"/><Relationship Id="rId6344" Type="http://schemas.openxmlformats.org/officeDocument/2006/relationships/hyperlink" TargetMode="External" Target="https://spark-interfax.ru/system/home/card#/company/DE80034EB1D54D89BE2B1894228A2478/101"/><Relationship Id="rId6345" Type="http://schemas.openxmlformats.org/officeDocument/2006/relationships/hyperlink" TargetMode="External" Target="https://spark-interfax.ru/system/home/card#/company/06056FEE673344B2BA2E3E5DECD49B2A/101"/><Relationship Id="rId6346" Type="http://schemas.openxmlformats.org/officeDocument/2006/relationships/hyperlink" TargetMode="External" Target="https://spark-interfax.ru/system/home/card#/company/7AA50EC90B3878B0E0531F9AA8C09663/101"/><Relationship Id="rId6347" Type="http://schemas.openxmlformats.org/officeDocument/2006/relationships/hyperlink" TargetMode="External" Target="https://spark-interfax.ru/system/home/card#/company/A36F137C54A34A3495DD92597D84692F/101"/><Relationship Id="rId6348" Type="http://schemas.openxmlformats.org/officeDocument/2006/relationships/hyperlink" TargetMode="External" Target="https://spark-interfax.ru/system/home/card#/company/13EF9639DFFC412B9A3C24B59D668008/101"/><Relationship Id="rId6349" Type="http://schemas.openxmlformats.org/officeDocument/2006/relationships/hyperlink" TargetMode="External" Target="https://spark-interfax.ru/system/home/card#/company/A28308FE484E44EFAD4497C5CBF62D7E/101"/><Relationship Id="rId6350" Type="http://schemas.openxmlformats.org/officeDocument/2006/relationships/hyperlink" TargetMode="External" Target="https://spark-interfax.ru/system/home/card#/company/F962ED5ABC264A538CE77C0724124EAE/101"/><Relationship Id="rId6351" Type="http://schemas.openxmlformats.org/officeDocument/2006/relationships/hyperlink" TargetMode="External" Target="https://spark-interfax.ru/system/home/card#/company/04F519DDBB674C8B8C122D3B3B8AD359/101"/><Relationship Id="rId6352" Type="http://schemas.openxmlformats.org/officeDocument/2006/relationships/hyperlink" TargetMode="External" Target="https://spark-interfax.ru/system/home/card#/company/DE760D76719B42988E1B1971C92E23AE/101"/><Relationship Id="rId6353" Type="http://schemas.openxmlformats.org/officeDocument/2006/relationships/hyperlink" TargetMode="External" Target="https://spark-interfax.ru/system/home/card#/company/B382DE28ED2443D9BC0A1A08EE34E24C/101"/><Relationship Id="rId6354" Type="http://schemas.openxmlformats.org/officeDocument/2006/relationships/hyperlink" TargetMode="External" Target="https://spark-interfax.ru/system/home/card#/company/84CF8831C851445A82DDE54A55119B98/101"/><Relationship Id="rId6355" Type="http://schemas.openxmlformats.org/officeDocument/2006/relationships/hyperlink" TargetMode="External" Target="https://spark-interfax.ru/system/home/card#/company/025EA598922847C597AA68C621513BE6/101"/><Relationship Id="rId6356" Type="http://schemas.openxmlformats.org/officeDocument/2006/relationships/hyperlink" TargetMode="External" Target="https://spark-interfax.ru/system/home/card#/company/F27630B411744CA3B50F2FA7EC55BC32/101"/><Relationship Id="rId6357" Type="http://schemas.openxmlformats.org/officeDocument/2006/relationships/hyperlink" TargetMode="External" Target="https://spark-interfax.ru/system/home/card#/company/9302C3FCB605473FAD2F6A8ACAEBCE8C/101"/><Relationship Id="rId6358" Type="http://schemas.openxmlformats.org/officeDocument/2006/relationships/hyperlink" TargetMode="External" Target="https://spark-interfax.ru/system/home/card#/company/623BF11E535D404E8D09A340C7ED0152/101"/><Relationship Id="rId6359" Type="http://schemas.openxmlformats.org/officeDocument/2006/relationships/hyperlink" TargetMode="External" Target="https://spark-interfax.ru/system/home/card#/company/12BFECC183A648FDAA6AF7A769E78C1E/101"/><Relationship Id="rId6360" Type="http://schemas.openxmlformats.org/officeDocument/2006/relationships/hyperlink" TargetMode="External" Target="https://spark-interfax.ru/system/home/card#/company/59AC67037CF7458BBB5183860941101F/101"/><Relationship Id="rId6361" Type="http://schemas.openxmlformats.org/officeDocument/2006/relationships/hyperlink" TargetMode="External" Target="https://spark-interfax.ru/system/home/card#/company/51BE81A45A09452696A7D47007A361EB/101"/><Relationship Id="rId6362" Type="http://schemas.openxmlformats.org/officeDocument/2006/relationships/hyperlink" TargetMode="External" Target="https://spark-interfax.ru/system/home/card#/company/C09B4D539305450B8ABE98348A3D745A/101"/><Relationship Id="rId6363" Type="http://schemas.openxmlformats.org/officeDocument/2006/relationships/hyperlink" TargetMode="External" Target="https://spark-interfax.ru/system/home/card#/company/506ACFA896E947E6B4A12D768BA871B6/101"/><Relationship Id="rId6364" Type="http://schemas.openxmlformats.org/officeDocument/2006/relationships/hyperlink" TargetMode="External" Target="https://spark-interfax.ru/system/home/card#/company/5E9D0A272FF8436FAAB4744BBC388E64/101"/><Relationship Id="rId6365" Type="http://schemas.openxmlformats.org/officeDocument/2006/relationships/hyperlink" TargetMode="External" Target="https://spark-interfax.ru/system/home/card#/company/D88ACEFF82E34F44A5613F97FB55009F/101"/><Relationship Id="rId6366" Type="http://schemas.openxmlformats.org/officeDocument/2006/relationships/hyperlink" TargetMode="External" Target="https://spark-interfax.ru/system/home/card#/company/559BC66E569C455E8F63A2702CB4F893/101"/><Relationship Id="rId6367" Type="http://schemas.openxmlformats.org/officeDocument/2006/relationships/hyperlink" TargetMode="External" Target="https://spark-interfax.ru/system/home/card#/company/91C446E0ADDC4593823CC02D7C24E9A3/101"/><Relationship Id="rId6368" Type="http://schemas.openxmlformats.org/officeDocument/2006/relationships/hyperlink" TargetMode="External" Target="https://spark-interfax.ru/system/home/card#/company/B91FB238C77D44629991514811F818FE/101"/><Relationship Id="rId6369" Type="http://schemas.openxmlformats.org/officeDocument/2006/relationships/hyperlink" TargetMode="External" Target="https://spark-interfax.ru/system/home/card#/company/C77E46E9932645548145613F42D2E41E/101"/><Relationship Id="rId6370" Type="http://schemas.openxmlformats.org/officeDocument/2006/relationships/hyperlink" TargetMode="External" Target="https://spark-interfax.ru/system/home/card#/company/95745DF7AAC14B468DC8AA57F1994E40/101"/><Relationship Id="rId6371" Type="http://schemas.openxmlformats.org/officeDocument/2006/relationships/hyperlink" TargetMode="External" Target="https://spark-interfax.ru/system/home/card#/company/EB90925684B149D9A0C755AE3B9F9782/101"/><Relationship Id="rId6372" Type="http://schemas.openxmlformats.org/officeDocument/2006/relationships/hyperlink" TargetMode="External" Target="https://spark-interfax.ru/system/home/card#/company/7A4225BA35CB4844A900417E8835C87D/101"/><Relationship Id="rId6373" Type="http://schemas.openxmlformats.org/officeDocument/2006/relationships/hyperlink" TargetMode="External" Target="https://spark-interfax.ru/system/home/card#/company/FFC66624A92A4CF6A4F420C4993DF2D2/101"/><Relationship Id="rId6374" Type="http://schemas.openxmlformats.org/officeDocument/2006/relationships/hyperlink" TargetMode="External" Target="https://spark-interfax.ru/system/home/card#/company/6108B61BDE937703E0531B9AA8C0BE44/101"/><Relationship Id="rId6375" Type="http://schemas.openxmlformats.org/officeDocument/2006/relationships/hyperlink" TargetMode="External" Target="https://spark-interfax.ru/system/home/card#/company/372A7DB6D9AF4B3AABD58BA8E21F19A6/101"/><Relationship Id="rId6376" Type="http://schemas.openxmlformats.org/officeDocument/2006/relationships/hyperlink" TargetMode="External" Target="https://spark-interfax.ru/system/home/card#/company/29CD2D4FF1324C9CBB1FE50CEC7F162E/101"/><Relationship Id="rId6377" Type="http://schemas.openxmlformats.org/officeDocument/2006/relationships/hyperlink" TargetMode="External" Target="https://spark-interfax.ru/system/home/card#/company/8D55C195B5BD4E25AC345EF52C942167/101"/><Relationship Id="rId6378" Type="http://schemas.openxmlformats.org/officeDocument/2006/relationships/hyperlink" TargetMode="External" Target="https://spark-interfax.ru/system/home/card#/company/5D88C90BFAC9471EB83FE3DBE3C07C76/101"/><Relationship Id="rId6379" Type="http://schemas.openxmlformats.org/officeDocument/2006/relationships/hyperlink" TargetMode="External" Target="https://spark-interfax.ru/system/home/card#/company/50CF951106004593ACCD3D90AA93E041/101"/><Relationship Id="rId6380" Type="http://schemas.openxmlformats.org/officeDocument/2006/relationships/hyperlink" TargetMode="External" Target="https://spark-interfax.ru/system/home/card#/company/7F4F3C3B3E874A94A3027DA12BF8EF58/101"/><Relationship Id="rId6381" Type="http://schemas.openxmlformats.org/officeDocument/2006/relationships/hyperlink" TargetMode="External" Target="https://spark-interfax.ru/system/home/card#/company/1C4C3B58EB664D718774A7B2309E2C68/101"/><Relationship Id="rId6382" Type="http://schemas.openxmlformats.org/officeDocument/2006/relationships/hyperlink" TargetMode="External" Target="https://spark-interfax.ru/system/home/card#/company/0D1CC93B74714D57B5F30754DA51AF6B/101"/><Relationship Id="rId6383" Type="http://schemas.openxmlformats.org/officeDocument/2006/relationships/hyperlink" TargetMode="External" Target="https://spark-interfax.ru/system/home/card#/company/BAE73C57178A4DDE94E93B01B12E1F55/101"/><Relationship Id="rId6384" Type="http://schemas.openxmlformats.org/officeDocument/2006/relationships/hyperlink" TargetMode="External" Target="https://spark-interfax.ru/system/home/card#/company/C696A68FF0744C4F9576DC3FB407D7D1/101"/><Relationship Id="rId6385" Type="http://schemas.openxmlformats.org/officeDocument/2006/relationships/hyperlink" TargetMode="External" Target="https://spark-interfax.ru/system/home/card#/company/66B00F8F21165AE4E0531B9AA8C0E4F8/101"/><Relationship Id="rId6386" Type="http://schemas.openxmlformats.org/officeDocument/2006/relationships/hyperlink" TargetMode="External" Target="https://spark-interfax.ru/system/home/card#/company/EF86D2A235784A9ABEB6E58D9DAF303C/101"/><Relationship Id="rId6387" Type="http://schemas.openxmlformats.org/officeDocument/2006/relationships/hyperlink" TargetMode="External" Target="https://spark-interfax.ru/system/home/card#/company/8AE191E4F7ED46DE85E5EF7F1AB698BF/101"/><Relationship Id="rId6388" Type="http://schemas.openxmlformats.org/officeDocument/2006/relationships/hyperlink" TargetMode="External" Target="https://spark-interfax.ru/system/home/card#/company/17F3D7A9121D4D29A9D69E3646E2AC1C/101"/><Relationship Id="rId6389" Type="http://schemas.openxmlformats.org/officeDocument/2006/relationships/hyperlink" TargetMode="External" Target="https://spark-interfax.ru/system/home/card#/company/12B5D43B650141028230529ED2A17710/101"/><Relationship Id="rId6390" Type="http://schemas.openxmlformats.org/officeDocument/2006/relationships/hyperlink" TargetMode="External" Target="https://spark-interfax.ru/system/home/card#/company/502D37B90AF44AD59CCEE31958A08D61/101"/><Relationship Id="rId6391" Type="http://schemas.openxmlformats.org/officeDocument/2006/relationships/hyperlink" TargetMode="External" Target="https://spark-interfax.ru/system/home/card#/company/8DB8F24B614A410E8CF3C3F9905520F1/101"/><Relationship Id="rId6392" Type="http://schemas.openxmlformats.org/officeDocument/2006/relationships/hyperlink" TargetMode="External" Target="https://spark-interfax.ru/system/home/card#/company/9D5460B7397C47F9B44414DD9771498B/101"/><Relationship Id="rId6393" Type="http://schemas.openxmlformats.org/officeDocument/2006/relationships/hyperlink" TargetMode="External" Target="https://spark-interfax.ru/system/home/card#/company/754D5A33DF0777B4E0531B9AA8C061C0/101"/><Relationship Id="rId6394" Type="http://schemas.openxmlformats.org/officeDocument/2006/relationships/hyperlink" TargetMode="External" Target="https://spark-interfax.ru/system/home/card#/company/3914C87B35F941ADB1B2EBC4F6338AA3/101"/><Relationship Id="rId6395" Type="http://schemas.openxmlformats.org/officeDocument/2006/relationships/hyperlink" TargetMode="External" Target="https://spark-interfax.ru/system/home/card#/company/515EC0591C6E4EBB90374DB5FF0BB3AA/101"/><Relationship Id="rId6396" Type="http://schemas.openxmlformats.org/officeDocument/2006/relationships/hyperlink" TargetMode="External" Target="https://spark-interfax.ru/system/home/card#/company/7071D162F3E449B0A4B106C0FA188480/101"/><Relationship Id="rId6397" Type="http://schemas.openxmlformats.org/officeDocument/2006/relationships/hyperlink" TargetMode="External" Target="https://spark-interfax.ru/system/home/card#/company/38311DEEF9C249CA813E96477B6C30A7/101"/><Relationship Id="rId6398" Type="http://schemas.openxmlformats.org/officeDocument/2006/relationships/hyperlink" TargetMode="External" Target="https://spark-interfax.ru/system/home/card#/company/AE4160252A3C45D2A6D80A4B96ACE16B/101"/><Relationship Id="rId6399" Type="http://schemas.openxmlformats.org/officeDocument/2006/relationships/hyperlink" TargetMode="External" Target="https://spark-interfax.ru/system/home/card#/company/48E4F1DB252847F5A3EFA797545A67FF/101"/><Relationship Id="rId6400" Type="http://schemas.openxmlformats.org/officeDocument/2006/relationships/hyperlink" TargetMode="External" Target="https://spark-interfax.ru/system/home/card#/company/5E5474FD2BD9450B9B5C215DFB2D90E7/101"/><Relationship Id="rId6401" Type="http://schemas.openxmlformats.org/officeDocument/2006/relationships/hyperlink" TargetMode="External" Target="https://spark-interfax.ru/system/home/card#/company/5E345D1F3C034B0596719FBEED609467/101"/><Relationship Id="rId6402" Type="http://schemas.openxmlformats.org/officeDocument/2006/relationships/hyperlink" TargetMode="External" Target="https://spark-interfax.ru/system/home/card#/company/D49A24B2FCE84D368517C8A6B1C7FA78/101"/><Relationship Id="rId6403" Type="http://schemas.openxmlformats.org/officeDocument/2006/relationships/hyperlink" TargetMode="External" Target="https://spark-interfax.ru/system/home/card#/company/AD506CA23FB641FEA4E53A02E1003F2C/101"/><Relationship Id="rId6404" Type="http://schemas.openxmlformats.org/officeDocument/2006/relationships/hyperlink" TargetMode="External" Target="https://spark-interfax.ru/system/home/card#/company/D38C48AED94C42D4830F1FBA37D70BDD/101"/><Relationship Id="rId6405" Type="http://schemas.openxmlformats.org/officeDocument/2006/relationships/hyperlink" TargetMode="External" Target="https://spark-interfax.ru/system/home/card#/company/C11778FCE3904FB787613DFBDE586093/101"/><Relationship Id="rId6406" Type="http://schemas.openxmlformats.org/officeDocument/2006/relationships/hyperlink" TargetMode="External" Target="https://spark-interfax.ru/system/home/card#/company/711E631D5EAF424183606BE684E59DA4/101"/><Relationship Id="rId6407" Type="http://schemas.openxmlformats.org/officeDocument/2006/relationships/hyperlink" TargetMode="External" Target="https://spark-interfax.ru/system/home/card#/company/EEED9F4C53834928BCB6F65E7A6C86B4/101"/><Relationship Id="rId6408" Type="http://schemas.openxmlformats.org/officeDocument/2006/relationships/hyperlink" TargetMode="External" Target="https://spark-interfax.ru/system/home/card#/company/037051C6F97B4BE0BBE6519ADC3A7715/101"/><Relationship Id="rId6409" Type="http://schemas.openxmlformats.org/officeDocument/2006/relationships/hyperlink" TargetMode="External" Target="https://spark-interfax.ru/system/home/card#/company/77A9D4D7611944C9A744D0444D1C9D09/101"/><Relationship Id="rId6410" Type="http://schemas.openxmlformats.org/officeDocument/2006/relationships/hyperlink" TargetMode="External" Target="https://spark-interfax.ru/system/home/card#/company/F67B3EA3B5D7463D9F182166CA5B3909/101"/><Relationship Id="rId6411" Type="http://schemas.openxmlformats.org/officeDocument/2006/relationships/hyperlink" TargetMode="External" Target="https://spark-interfax.ru/system/home/card#/company/DBE881AA05F04786AAC040C753F39128/101"/><Relationship Id="rId6412" Type="http://schemas.openxmlformats.org/officeDocument/2006/relationships/hyperlink" TargetMode="External" Target="https://spark-interfax.ru/system/home/card#/company/2882712197F84150A5E61D652B98FF45/101"/><Relationship Id="rId6413" Type="http://schemas.openxmlformats.org/officeDocument/2006/relationships/hyperlink" TargetMode="External" Target="https://spark-interfax.ru/system/home/card#/company/C0D6D2DA48D6437BBC38FB1F12624A7C/101"/><Relationship Id="rId6414" Type="http://schemas.openxmlformats.org/officeDocument/2006/relationships/hyperlink" TargetMode="External" Target="https://spark-interfax.ru/system/home/card#/company/70B4587B85A94B9D91E33D022E370C21/101"/><Relationship Id="rId6415" Type="http://schemas.openxmlformats.org/officeDocument/2006/relationships/hyperlink" TargetMode="External" Target="https://spark-interfax.ru/system/home/card#/company/725AA7EA3CB54E49876517B32B641B47/101"/><Relationship Id="rId6416" Type="http://schemas.openxmlformats.org/officeDocument/2006/relationships/hyperlink" TargetMode="External" Target="https://spark-interfax.ru/system/home/card#/company/D89E6E9C4C73414F8644EE52FFB0727B/101"/><Relationship Id="rId6417" Type="http://schemas.openxmlformats.org/officeDocument/2006/relationships/hyperlink" TargetMode="External" Target="https://spark-interfax.ru/system/home/card#/company/6DE56456F7AE4B8CA1C84481D362C7CA/101"/><Relationship Id="rId6418" Type="http://schemas.openxmlformats.org/officeDocument/2006/relationships/hyperlink" TargetMode="External" Target="https://spark-interfax.ru/system/home/card#/company/A92D84A0428D439A820A17874C40AA0E/101"/><Relationship Id="rId6419" Type="http://schemas.openxmlformats.org/officeDocument/2006/relationships/hyperlink" TargetMode="External" Target="https://spark-interfax.ru/system/home/card#/company/CD042691968244FCA8D0E1A7C5F0BDBF/101"/><Relationship Id="rId6420" Type="http://schemas.openxmlformats.org/officeDocument/2006/relationships/hyperlink" TargetMode="External" Target="https://spark-interfax.ru/system/home/card#/company/639D75C593114D6187D26E0E0A8B0E52/101"/><Relationship Id="rId6421" Type="http://schemas.openxmlformats.org/officeDocument/2006/relationships/hyperlink" TargetMode="External" Target="https://spark-interfax.ru/system/home/card#/company/174F90A4B97F4F1780920C29B0660857/101"/><Relationship Id="rId6422" Type="http://schemas.openxmlformats.org/officeDocument/2006/relationships/hyperlink" TargetMode="External" Target="https://spark-interfax.ru/system/home/card#/company/131CE5E779914C8F81CA36AE0535BA34/101"/><Relationship Id="rId6423" Type="http://schemas.openxmlformats.org/officeDocument/2006/relationships/hyperlink" TargetMode="External" Target="https://spark-interfax.ru/system/home/card#/company/E1DD1B2DBFF5458A97F874AF347A99FB/101"/><Relationship Id="rId6424" Type="http://schemas.openxmlformats.org/officeDocument/2006/relationships/hyperlink" TargetMode="External" Target="https://spark-interfax.ru/system/home/card#/company/E6282C68E9EF4193AE2B6CB06D791D2E/101"/><Relationship Id="rId6425" Type="http://schemas.openxmlformats.org/officeDocument/2006/relationships/hyperlink" TargetMode="External" Target="https://spark-interfax.ru/system/home/card#/company/F9C47E6C0F5F408DB780E729CEE77EEB/101"/><Relationship Id="rId6426" Type="http://schemas.openxmlformats.org/officeDocument/2006/relationships/hyperlink" TargetMode="External" Target="https://spark-interfax.ru/system/home/card#/company/9B0B81DC819A44FC995399290DE305AE/101"/><Relationship Id="rId6427" Type="http://schemas.openxmlformats.org/officeDocument/2006/relationships/hyperlink" TargetMode="External" Target="https://spark-interfax.ru/system/home/card#/company/0C41EF9479BE42829B7EB156AC210F72/101"/><Relationship Id="rId6428" Type="http://schemas.openxmlformats.org/officeDocument/2006/relationships/hyperlink" TargetMode="External" Target="https://spark-interfax.ru/system/home/card#/company/5DE351AB4F7E4C55A32775E3BA791CB2/101"/><Relationship Id="rId6429" Type="http://schemas.openxmlformats.org/officeDocument/2006/relationships/hyperlink" TargetMode="External" Target="https://spark-interfax.ru/system/home/card#/company/62974E65478A4E7AA3B7376F42AA2642/101"/><Relationship Id="rId6430" Type="http://schemas.openxmlformats.org/officeDocument/2006/relationships/hyperlink" TargetMode="External" Target="https://spark-interfax.ru/system/home/card#/company/54711259541646D39870426D8A88F78E/101"/><Relationship Id="rId6431" Type="http://schemas.openxmlformats.org/officeDocument/2006/relationships/hyperlink" TargetMode="External" Target="https://spark-interfax.ru/system/home/card#/company/6979403AF48247D280A46D4D7E1B6D10/101"/><Relationship Id="rId6432" Type="http://schemas.openxmlformats.org/officeDocument/2006/relationships/hyperlink" TargetMode="External" Target="https://spark-interfax.ru/system/home/card#/company/FC90F015B0D841628FA9A4E7EEC8720E/101"/><Relationship Id="rId6433" Type="http://schemas.openxmlformats.org/officeDocument/2006/relationships/hyperlink" TargetMode="External" Target="https://spark-interfax.ru/system/home/card#/company/8D9F3826362E423692E5547583598571/101"/><Relationship Id="rId6434" Type="http://schemas.openxmlformats.org/officeDocument/2006/relationships/hyperlink" TargetMode="External" Target="https://spark-interfax.ru/system/home/card#/company/9AD0853201974B6FA9BFA8E2BEFB98F4/101"/><Relationship Id="rId6435" Type="http://schemas.openxmlformats.org/officeDocument/2006/relationships/hyperlink" TargetMode="External" Target="https://spark-interfax.ru/system/home/card#/company/05F248D8338C4D50AE54C7C1B9D30ACF/101"/><Relationship Id="rId6436" Type="http://schemas.openxmlformats.org/officeDocument/2006/relationships/hyperlink" TargetMode="External" Target="https://spark-interfax.ru/system/home/card#/company/36775100888E45A58C3916908A002B66/101"/><Relationship Id="rId6437" Type="http://schemas.openxmlformats.org/officeDocument/2006/relationships/hyperlink" TargetMode="External" Target="https://spark-interfax.ru/system/home/card#/company/F92D4C90F11B410385FCF5888347428A/101"/><Relationship Id="rId6438" Type="http://schemas.openxmlformats.org/officeDocument/2006/relationships/hyperlink" TargetMode="External" Target="https://spark-interfax.ru/system/home/card#/company/47CEFC13C18641D2AC6BAFC01FDD0317/101"/><Relationship Id="rId6439" Type="http://schemas.openxmlformats.org/officeDocument/2006/relationships/hyperlink" TargetMode="External" Target="https://spark-interfax.ru/system/home/card#/company/5D10F4733DAD4DBE96740D3EBB8B0504/101"/><Relationship Id="rId6440" Type="http://schemas.openxmlformats.org/officeDocument/2006/relationships/hyperlink" TargetMode="External" Target="https://spark-interfax.ru/system/home/card#/company/97935641BAFF4554906740F027C681A9/101"/><Relationship Id="rId6441" Type="http://schemas.openxmlformats.org/officeDocument/2006/relationships/hyperlink" TargetMode="External" Target="https://spark-interfax.ru/system/home/card#/company/FA4F4302FCF949E1B9E7CBDB594E8889/101"/><Relationship Id="rId6442" Type="http://schemas.openxmlformats.org/officeDocument/2006/relationships/hyperlink" TargetMode="External" Target="https://spark-interfax.ru/system/home/card#/company/CE383D6379794DB6AAF8B97FABDEFF52/101"/><Relationship Id="rId6443" Type="http://schemas.openxmlformats.org/officeDocument/2006/relationships/hyperlink" TargetMode="External" Target="https://spark-interfax.ru/system/home/card#/company/EC1B4562A0CB462DA3E266B981180A2B/101"/><Relationship Id="rId6444" Type="http://schemas.openxmlformats.org/officeDocument/2006/relationships/hyperlink" TargetMode="External" Target="https://spark-interfax.ru/system/home/card#/company/607023A97AF447E8AF371BB506AFA9CC/101"/><Relationship Id="rId6445" Type="http://schemas.openxmlformats.org/officeDocument/2006/relationships/hyperlink" TargetMode="External" Target="https://spark-interfax.ru/system/home/card#/company/CAF9B64345C14F509C9555004E48F2E7/101"/><Relationship Id="rId6446" Type="http://schemas.openxmlformats.org/officeDocument/2006/relationships/hyperlink" TargetMode="External" Target="https://spark-interfax.ru/system/home/card#/company/62B31635E8C74D2AAF726E25743C7271/101"/><Relationship Id="rId6447" Type="http://schemas.openxmlformats.org/officeDocument/2006/relationships/hyperlink" TargetMode="External" Target="https://spark-interfax.ru/system/home/card#/company/1DD4F79C9430466FB581C040EF0E78AF/101"/><Relationship Id="rId6448" Type="http://schemas.openxmlformats.org/officeDocument/2006/relationships/hyperlink" TargetMode="External" Target="https://spark-interfax.ru/system/home/card#/company/75E09DCE41CD41F0B3B6BF9DCCCD06B0/101"/><Relationship Id="rId6449" Type="http://schemas.openxmlformats.org/officeDocument/2006/relationships/hyperlink" TargetMode="External" Target="https://spark-interfax.ru/system/home/card#/company/DBE1EDF329DA4F77888A695EDC67AF22/101"/><Relationship Id="rId6450" Type="http://schemas.openxmlformats.org/officeDocument/2006/relationships/hyperlink" TargetMode="External" Target="https://spark-interfax.ru/system/home/card#/company/E3D009B5F9084433B85078AFCBF7AA8B/101"/><Relationship Id="rId6451" Type="http://schemas.openxmlformats.org/officeDocument/2006/relationships/hyperlink" TargetMode="External" Target="https://spark-interfax.ru/system/home/card#/company/F83971E1B31D4282A230DDA4617989E8/101"/><Relationship Id="rId6452" Type="http://schemas.openxmlformats.org/officeDocument/2006/relationships/hyperlink" TargetMode="External" Target="https://spark-interfax.ru/system/home/card#/company/6970D836B8B741EFA0E85CA152EEE316/101"/><Relationship Id="rId6453" Type="http://schemas.openxmlformats.org/officeDocument/2006/relationships/hyperlink" TargetMode="External" Target="https://spark-interfax.ru/system/home/card#/company/76447FEE983D4664B9AB4B5092F08C6C/101"/><Relationship Id="rId6454" Type="http://schemas.openxmlformats.org/officeDocument/2006/relationships/hyperlink" TargetMode="External" Target="https://spark-interfax.ru/system/home/card#/company/73B607C4B17F43EC88A0ED4FF5AF38DD/101"/><Relationship Id="rId6455" Type="http://schemas.openxmlformats.org/officeDocument/2006/relationships/hyperlink" TargetMode="External" Target="https://spark-interfax.ru/system/home/card#/company/D25E2A3D4F8F4C3B985D64B3F3914772/101"/><Relationship Id="rId6456" Type="http://schemas.openxmlformats.org/officeDocument/2006/relationships/hyperlink" TargetMode="External" Target="https://spark-interfax.ru/system/home/card#/company/C15C355CB0F84E5A99B6C2830AE91F4D/101"/><Relationship Id="rId6457" Type="http://schemas.openxmlformats.org/officeDocument/2006/relationships/hyperlink" TargetMode="External" Target="https://spark-interfax.ru/system/home/card#/company/9176B29C3B9446B4A47E7502871B1DEF/101"/><Relationship Id="rId6458" Type="http://schemas.openxmlformats.org/officeDocument/2006/relationships/hyperlink" TargetMode="External" Target="https://spark-interfax.ru/system/home/card#/company/C77D24BD4FA14712B0CFD1F6BA8CC5D7/101"/><Relationship Id="rId6459" Type="http://schemas.openxmlformats.org/officeDocument/2006/relationships/hyperlink" TargetMode="External" Target="https://spark-interfax.ru/system/home/card#/company/62E200EAA4514606AE723E052ACDC4C1/101"/><Relationship Id="rId6460" Type="http://schemas.openxmlformats.org/officeDocument/2006/relationships/hyperlink" TargetMode="External" Target="https://spark-interfax.ru/system/home/card#/company/14AB2856F60E43FC938C32CB8B956090/101"/><Relationship Id="rId6461" Type="http://schemas.openxmlformats.org/officeDocument/2006/relationships/hyperlink" TargetMode="External" Target="https://spark-interfax.ru/system/home/card#/company/652FBEFB155A46E9B383C5245B2BF274/101"/><Relationship Id="rId6462" Type="http://schemas.openxmlformats.org/officeDocument/2006/relationships/hyperlink" TargetMode="External" Target="https://spark-interfax.ru/system/home/card#/company/AA9580E487DB571DE053189AA8C0F98F/101"/><Relationship Id="rId6463" Type="http://schemas.openxmlformats.org/officeDocument/2006/relationships/hyperlink" TargetMode="External" Target="https://spark-interfax.ru/system/home/card#/company/5CDE7A7F91943A75E0531C9AA8C0F221/101"/><Relationship Id="rId6464" Type="http://schemas.openxmlformats.org/officeDocument/2006/relationships/hyperlink" TargetMode="External" Target="https://spark-interfax.ru/system/home/card#/company/DBC3657F7F5541F59C279C41D049EFED/101"/><Relationship Id="rId6465" Type="http://schemas.openxmlformats.org/officeDocument/2006/relationships/hyperlink" TargetMode="External" Target="https://spark-interfax.ru/system/home/card#/company/F88EA4F5F43845C59DE3614086DC17A1/101"/><Relationship Id="rId6466" Type="http://schemas.openxmlformats.org/officeDocument/2006/relationships/hyperlink" TargetMode="External" Target="https://spark-interfax.ru/system/home/card#/company/43AA316921774C9E93EDA99C738A29FB/101"/><Relationship Id="rId6467" Type="http://schemas.openxmlformats.org/officeDocument/2006/relationships/hyperlink" TargetMode="External" Target="https://spark-interfax.ru/system/home/card#/company/B47A5DD430666AA7E053219AA8C003A3/101"/><Relationship Id="rId6468" Type="http://schemas.openxmlformats.org/officeDocument/2006/relationships/hyperlink" TargetMode="External" Target="https://spark-interfax.ru/system/home/card#/company/A604A8A1EA7D6EF1E053189AA8C0889C/101"/><Relationship Id="rId6469" Type="http://schemas.openxmlformats.org/officeDocument/2006/relationships/hyperlink" TargetMode="External" Target="https://spark-interfax.ru/system/home/card#/company/60E4B32F51E653D9E0531B9AA8C08BBB/101"/><Relationship Id="rId6470" Type="http://schemas.openxmlformats.org/officeDocument/2006/relationships/hyperlink" TargetMode="External" Target="https://spark-interfax.ru/system/home/card#/company/63A22BD114B94AD48C0AC413D0CF89CC/101"/><Relationship Id="rId6471" Type="http://schemas.openxmlformats.org/officeDocument/2006/relationships/hyperlink" TargetMode="External" Target="https://spark-interfax.ru/system/home/card#/company/B12964CC19DE41E5A121DBAB5BC69F40/101"/><Relationship Id="rId6472" Type="http://schemas.openxmlformats.org/officeDocument/2006/relationships/hyperlink" TargetMode="External" Target="https://spark-interfax.ru/system/home/card#/company/5F36B980B7034059B86CA494625D8132/101"/><Relationship Id="rId6473" Type="http://schemas.openxmlformats.org/officeDocument/2006/relationships/hyperlink" TargetMode="External" Target="https://spark-interfax.ru/system/home/card#/company/6D4DDFB670F44B998FB74BA0C6850FB5/101"/><Relationship Id="rId6474" Type="http://schemas.openxmlformats.org/officeDocument/2006/relationships/hyperlink" TargetMode="External" Target="https://spark-interfax.ru/system/home/card#/company/CC4192FE3EE64AA88D1EF6DDEA887139/101"/><Relationship Id="rId6475" Type="http://schemas.openxmlformats.org/officeDocument/2006/relationships/hyperlink" TargetMode="External" Target="https://spark-interfax.ru/system/home/card#/company/73574334E39A83FEE0531B9AA8C08B14/101"/><Relationship Id="rId6476" Type="http://schemas.openxmlformats.org/officeDocument/2006/relationships/hyperlink" TargetMode="External" Target="https://spark-interfax.ru/system/home/card#/company/5D2C521E2A9B40F2A9BAD8296DAE4B26/101"/><Relationship Id="rId6477" Type="http://schemas.openxmlformats.org/officeDocument/2006/relationships/hyperlink" TargetMode="External" Target="https://spark-interfax.ru/system/home/card#/company/8C5151A940BF439A85C9738127EFCFC0/101"/><Relationship Id="rId6478" Type="http://schemas.openxmlformats.org/officeDocument/2006/relationships/hyperlink" TargetMode="External" Target="https://spark-interfax.ru/system/home/card#/company/57D7A55FEC244E308E242999E4D67713/101"/><Relationship Id="rId6479" Type="http://schemas.openxmlformats.org/officeDocument/2006/relationships/hyperlink" TargetMode="External" Target="https://spark-interfax.ru/system/home/card#/company/CC73E9931AFE42BF888113FD7C917CC5/101"/><Relationship Id="rId6480" Type="http://schemas.openxmlformats.org/officeDocument/2006/relationships/hyperlink" TargetMode="External" Target="https://spark-interfax.ru/system/home/card#/company/FDC84031941D408B9AC3E5B1E0753D9F/101"/><Relationship Id="rId6481" Type="http://schemas.openxmlformats.org/officeDocument/2006/relationships/hyperlink" TargetMode="External" Target="https://spark-interfax.ru/system/home/card#/company/C83D4F0EE7A44B189B383EDA69053AD2/101"/><Relationship Id="rId6482" Type="http://schemas.openxmlformats.org/officeDocument/2006/relationships/hyperlink" TargetMode="External" Target="https://spark-interfax.ru/system/home/card#/company/F28D483F55334D1B87FBD4BF3D519723/101"/><Relationship Id="rId6483" Type="http://schemas.openxmlformats.org/officeDocument/2006/relationships/hyperlink" TargetMode="External" Target="https://spark-interfax.ru/system/home/card#/company/CF45C70498DE4AEA88E54C2880FA218C/101"/><Relationship Id="rId6484" Type="http://schemas.openxmlformats.org/officeDocument/2006/relationships/hyperlink" TargetMode="External" Target="https://spark-interfax.ru/system/home/card#/company/F0C6C38419E042DEAB3EDEF7EEF5991B/101"/><Relationship Id="rId6485" Type="http://schemas.openxmlformats.org/officeDocument/2006/relationships/hyperlink" TargetMode="External" Target="https://spark-interfax.ru/system/home/card#/company/5C67CCBFDB824F65ADFBB31C02D70E16/101"/><Relationship Id="rId6486" Type="http://schemas.openxmlformats.org/officeDocument/2006/relationships/hyperlink" TargetMode="External" Target="https://spark-interfax.ru/system/home/card#/company/B71F333FE1C54C74AF740FE060AAA24F/101"/><Relationship Id="rId6487" Type="http://schemas.openxmlformats.org/officeDocument/2006/relationships/hyperlink" TargetMode="External" Target="https://spark-interfax.ru/system/home/card#/company/712E241C0F474D1DB3B07436DBC8D5B9/101"/><Relationship Id="rId6488" Type="http://schemas.openxmlformats.org/officeDocument/2006/relationships/hyperlink" TargetMode="External" Target="https://spark-interfax.ru/system/home/card#/company/2BBF02D7CF6F470FA9F96BF8CA9659C1/101"/><Relationship Id="rId6489" Type="http://schemas.openxmlformats.org/officeDocument/2006/relationships/hyperlink" TargetMode="External" Target="https://spark-interfax.ru/system/home/card#/company/A218277CFD2E4A2CE053189AA8C0FEE6/101"/><Relationship Id="rId6490" Type="http://schemas.openxmlformats.org/officeDocument/2006/relationships/hyperlink" TargetMode="External" Target="https://spark-interfax.ru/system/home/card#/company/934F12B609EB4E21B34181DF68D32671/101"/><Relationship Id="rId6491" Type="http://schemas.openxmlformats.org/officeDocument/2006/relationships/hyperlink" TargetMode="External" Target="https://spark-interfax.ru/system/home/card#/company/1C8B9FB7FBA444B58467959B9ACAD512/101"/><Relationship Id="rId6492" Type="http://schemas.openxmlformats.org/officeDocument/2006/relationships/hyperlink" TargetMode="External" Target="https://spark-interfax.ru/system/home/card#/company/D77EB54CE6E448E1B7CE8FFB28D6D2BD/101"/><Relationship Id="rId6493" Type="http://schemas.openxmlformats.org/officeDocument/2006/relationships/hyperlink" TargetMode="External" Target="https://spark-interfax.ru/system/home/card#/company/77AEECF4561B43B7AD015F7E52034A77/101"/><Relationship Id="rId6494" Type="http://schemas.openxmlformats.org/officeDocument/2006/relationships/hyperlink" TargetMode="External" Target="https://spark-interfax.ru/system/home/card#/company/61594D5A19054AC3BBC2AE488B126FA9/101"/><Relationship Id="rId6495" Type="http://schemas.openxmlformats.org/officeDocument/2006/relationships/hyperlink" TargetMode="External" Target="https://spark-interfax.ru/system/home/card#/company/241A8EC2BDB947CB8F3E89911D021FB1/101"/><Relationship Id="rId6496" Type="http://schemas.openxmlformats.org/officeDocument/2006/relationships/hyperlink" TargetMode="External" Target="https://spark-interfax.ru/system/home/card#/company/6A755777934A4355E0531B9AA8C0E00B/101"/><Relationship Id="rId6497" Type="http://schemas.openxmlformats.org/officeDocument/2006/relationships/hyperlink" TargetMode="External" Target="https://spark-interfax.ru/system/home/card#/company/CBBAA87553F94D0384DB84BFB2CE12E7/101"/><Relationship Id="rId6498" Type="http://schemas.openxmlformats.org/officeDocument/2006/relationships/hyperlink" TargetMode="External" Target="https://spark-interfax.ru/system/home/card#/company/1CBCF0CF78F5461CB0BED7A12C767D98/101"/><Relationship Id="rId6499" Type="http://schemas.openxmlformats.org/officeDocument/2006/relationships/hyperlink" TargetMode="External" Target="https://spark-interfax.ru/system/home/card#/company/A995CAFDAC1A446786BEA2D37242B180/101"/><Relationship Id="rId6500" Type="http://schemas.openxmlformats.org/officeDocument/2006/relationships/hyperlink" TargetMode="External" Target="https://spark-interfax.ru/system/home/card#/company/C42C0AE1828A47B995439854C7DE4B38/101"/><Relationship Id="rId6501" Type="http://schemas.openxmlformats.org/officeDocument/2006/relationships/hyperlink" TargetMode="External" Target="https://spark-interfax.ru/system/home/card#/company/FB8066A08592438AAE0328AF9210EA1C/101"/><Relationship Id="rId6502" Type="http://schemas.openxmlformats.org/officeDocument/2006/relationships/hyperlink" TargetMode="External" Target="https://spark-interfax.ru/system/home/card#/company/79EBD0F487E649768DECB750973ECE20/101"/><Relationship Id="rId6503" Type="http://schemas.openxmlformats.org/officeDocument/2006/relationships/hyperlink" TargetMode="External" Target="https://spark-interfax.ru/system/home/card#/company/22216F4726CC4CD0B51BE3BEB587F151/101"/><Relationship Id="rId6504" Type="http://schemas.openxmlformats.org/officeDocument/2006/relationships/hyperlink" TargetMode="External" Target="https://spark-interfax.ru/system/home/card#/company/7DF1FE968D34141FE0531B9AA8C00999/101"/><Relationship Id="rId6505" Type="http://schemas.openxmlformats.org/officeDocument/2006/relationships/hyperlink" TargetMode="External" Target="https://spark-interfax.ru/system/home/card#/company/7E26947FD38644129FA59DFBD493E837/101"/><Relationship Id="rId6506" Type="http://schemas.openxmlformats.org/officeDocument/2006/relationships/hyperlink" TargetMode="External" Target="https://spark-interfax.ru/system/home/card#/company/7306646B968E6C14E0531B9AA8C0651D/101"/><Relationship Id="rId6507" Type="http://schemas.openxmlformats.org/officeDocument/2006/relationships/hyperlink" TargetMode="External" Target="https://spark-interfax.ru/system/home/card#/company/0D1A309BA18F4B558CFE8AC845E70F08/101"/><Relationship Id="rId6508" Type="http://schemas.openxmlformats.org/officeDocument/2006/relationships/hyperlink" TargetMode="External" Target="https://spark-interfax.ru/system/home/card#/company/371059B35CF442448AA2D073DB6A776C/101"/><Relationship Id="rId6509" Type="http://schemas.openxmlformats.org/officeDocument/2006/relationships/hyperlink" TargetMode="External" Target="https://spark-interfax.ru/system/home/card#/company/6BF92951DF98480197B515750DF3C16E/101"/><Relationship Id="rId6510" Type="http://schemas.openxmlformats.org/officeDocument/2006/relationships/hyperlink" TargetMode="External" Target="https://spark-interfax.ru/system/home/card#/company/6EDACD0159CD4C86815C710B2C1DB99C/101"/><Relationship Id="rId6511" Type="http://schemas.openxmlformats.org/officeDocument/2006/relationships/hyperlink" TargetMode="External" Target="https://spark-interfax.ru/system/home/card#/company/763DEDF40029740FE0531B9AA8C008C8/101"/><Relationship Id="rId6512" Type="http://schemas.openxmlformats.org/officeDocument/2006/relationships/hyperlink" TargetMode="External" Target="https://spark-interfax.ru/system/home/card#/company/9D96620763E04C58AE071C98CA065F73/101"/><Relationship Id="rId6513" Type="http://schemas.openxmlformats.org/officeDocument/2006/relationships/hyperlink" TargetMode="External" Target="https://spark-interfax.ru/system/home/card#/company/67575FCD686946B7AFE17E7C9081BD38/101"/><Relationship Id="rId6514" Type="http://schemas.openxmlformats.org/officeDocument/2006/relationships/hyperlink" TargetMode="External" Target="https://spark-interfax.ru/system/home/card#/company/B1D9B0BA781F40E6A75EA1150E210578/101"/><Relationship Id="rId6515" Type="http://schemas.openxmlformats.org/officeDocument/2006/relationships/hyperlink" TargetMode="External" Target="https://spark-interfax.ru/system/home/card#/company/91F76FE989F24E5498E8D833CE045F4C/101"/><Relationship Id="rId6516" Type="http://schemas.openxmlformats.org/officeDocument/2006/relationships/hyperlink" TargetMode="External" Target="https://spark-interfax.ru/system/home/card#/company/F3AFBE21AB3545128D9674D291A46A3E/101"/><Relationship Id="rId6517" Type="http://schemas.openxmlformats.org/officeDocument/2006/relationships/hyperlink" TargetMode="External" Target="https://spark-interfax.ru/system/home/card#/company/B3E253F953F7413CA6C9C824AD5E07CE/101"/><Relationship Id="rId6518" Type="http://schemas.openxmlformats.org/officeDocument/2006/relationships/hyperlink" TargetMode="External" Target="https://spark-interfax.ru/system/home/card#/company/0D115CE135824568A9D9C16C29D3DB23/101"/><Relationship Id="rId6519" Type="http://schemas.openxmlformats.org/officeDocument/2006/relationships/hyperlink" TargetMode="External" Target="https://spark-interfax.ru/system/home/card#/company/F0CD83033F174D709C01831D928D80A6/101"/><Relationship Id="rId6520" Type="http://schemas.openxmlformats.org/officeDocument/2006/relationships/hyperlink" TargetMode="External" Target="https://spark-interfax.ru/system/home/card#/company/EA9D47CEE1034F6FB02A2CC8EFBD9225/101"/><Relationship Id="rId6521" Type="http://schemas.openxmlformats.org/officeDocument/2006/relationships/hyperlink" TargetMode="External" Target="https://spark-interfax.ru/system/home/card#/company/1D2D38A9208E48EFA1A579D5F48524E8/101"/><Relationship Id="rId6522" Type="http://schemas.openxmlformats.org/officeDocument/2006/relationships/hyperlink" TargetMode="External" Target="https://spark-interfax.ru/system/home/card#/company/CD19D92AD6FA495AAEDC8E0481F7ECF0/101"/><Relationship Id="rId6523" Type="http://schemas.openxmlformats.org/officeDocument/2006/relationships/hyperlink" TargetMode="External" Target="https://spark-interfax.ru/system/home/card#/company/09A29569A3354648A8EF5AEE18C99B59/101"/><Relationship Id="rId6524" Type="http://schemas.openxmlformats.org/officeDocument/2006/relationships/hyperlink" TargetMode="External" Target="https://spark-interfax.ru/system/home/card#/company/D18940F4D6C942CE95CE8543F5E6EC9F/101"/><Relationship Id="rId6525" Type="http://schemas.openxmlformats.org/officeDocument/2006/relationships/hyperlink" TargetMode="External" Target="https://spark-interfax.ru/system/home/card#/company/549948EFD6144B808CAE5C1C4C2A7B16/101"/><Relationship Id="rId6526" Type="http://schemas.openxmlformats.org/officeDocument/2006/relationships/hyperlink" TargetMode="External" Target="https://spark-interfax.ru/system/home/card#/company/B65AF6110E7D47E4908967263CC3BCB7/101"/><Relationship Id="rId6527" Type="http://schemas.openxmlformats.org/officeDocument/2006/relationships/hyperlink" TargetMode="External" Target="https://spark-interfax.ru/system/home/card#/company/EEE17B176FD2475282341F9407A7D13F/101"/><Relationship Id="rId6528" Type="http://schemas.openxmlformats.org/officeDocument/2006/relationships/hyperlink" TargetMode="External" Target="https://spark-interfax.ru/system/home/card#/company/B1EBE8474FF84F4187B328E58B81CD7E/101"/><Relationship Id="rId6529" Type="http://schemas.openxmlformats.org/officeDocument/2006/relationships/hyperlink" TargetMode="External" Target="https://spark-interfax.ru/system/home/card#/company/6780C33A1043440DA90051519BB0F95A/101"/><Relationship Id="rId6530" Type="http://schemas.openxmlformats.org/officeDocument/2006/relationships/hyperlink" TargetMode="External" Target="https://spark-interfax.ru/system/home/card#/company/8CED85D8BEC94810A667AD396339371F/101"/><Relationship Id="rId6531" Type="http://schemas.openxmlformats.org/officeDocument/2006/relationships/hyperlink" TargetMode="External" Target="https://spark-interfax.ru/system/home/card#/company/77B050157400430E819A60F13F87D895/101"/><Relationship Id="rId6532" Type="http://schemas.openxmlformats.org/officeDocument/2006/relationships/hyperlink" TargetMode="External" Target="https://spark-interfax.ru/system/home/card#/company/A869EBD4B6A449B380D96559BD30AE63/101"/><Relationship Id="rId6533" Type="http://schemas.openxmlformats.org/officeDocument/2006/relationships/hyperlink" TargetMode="External" Target="https://spark-interfax.ru/system/home/card#/company/7160461A0FB44B45B6A55B9A6B2788C7/101"/><Relationship Id="rId6534" Type="http://schemas.openxmlformats.org/officeDocument/2006/relationships/hyperlink" TargetMode="External" Target="https://spark-interfax.ru/system/home/card#/company/9A81B8C4DB984864BAAF70526BC47EC6/101"/><Relationship Id="rId6535" Type="http://schemas.openxmlformats.org/officeDocument/2006/relationships/hyperlink" TargetMode="External" Target="https://spark-interfax.ru/system/home/card#/company/7315B25E214E47F295AF8D8C17E1DE71/101"/><Relationship Id="rId6536" Type="http://schemas.openxmlformats.org/officeDocument/2006/relationships/hyperlink" TargetMode="External" Target="https://spark-interfax.ru/system/home/card#/company/991CD124A76840BC9A0FFC6B7B5FCD1E/101"/><Relationship Id="rId6537" Type="http://schemas.openxmlformats.org/officeDocument/2006/relationships/hyperlink" TargetMode="External" Target="https://spark-interfax.ru/system/home/card#/company/DCE79BEA06DD46448023770FF915351E/101"/><Relationship Id="rId6538" Type="http://schemas.openxmlformats.org/officeDocument/2006/relationships/hyperlink" TargetMode="External" Target="https://spark-interfax.ru/system/home/card#/company/3BD7177BBF524EE69131469B9C14DBE4/101"/><Relationship Id="rId6539" Type="http://schemas.openxmlformats.org/officeDocument/2006/relationships/hyperlink" TargetMode="External" Target="https://spark-interfax.ru/system/home/card#/company/A346A124C87649D3A5D8BD7F4CC61684/101"/><Relationship Id="rId6540" Type="http://schemas.openxmlformats.org/officeDocument/2006/relationships/hyperlink" TargetMode="External" Target="https://spark-interfax.ru/system/home/card#/company/FBED0F2F097A47B3A7165AF32AFE70F8/101"/><Relationship Id="rId6541" Type="http://schemas.openxmlformats.org/officeDocument/2006/relationships/hyperlink" TargetMode="External" Target="https://spark-interfax.ru/system/home/card#/company/A1EB787071914E5DAB8D6DBF09ABF38C/101"/><Relationship Id="rId6542" Type="http://schemas.openxmlformats.org/officeDocument/2006/relationships/hyperlink" TargetMode="External" Target="https://spark-interfax.ru/system/home/card#/company/8BD56C6073E24D128632A0953CC99CA6/101"/><Relationship Id="rId6543" Type="http://schemas.openxmlformats.org/officeDocument/2006/relationships/hyperlink" TargetMode="External" Target="https://spark-interfax.ru/system/home/card#/company/BEA2865BC4F243009394BA889779B0B8/101"/><Relationship Id="rId6544" Type="http://schemas.openxmlformats.org/officeDocument/2006/relationships/hyperlink" TargetMode="External" Target="https://spark-interfax.ru/system/home/card#/company/0CB1A5064E62417F94C79204CCECB5A6/101"/><Relationship Id="rId6545" Type="http://schemas.openxmlformats.org/officeDocument/2006/relationships/hyperlink" TargetMode="External" Target="https://spark-interfax.ru/system/home/card#/company/399E0E1DA0AE4024AAFE0876C66CE3BA/101"/><Relationship Id="rId6546" Type="http://schemas.openxmlformats.org/officeDocument/2006/relationships/hyperlink" TargetMode="External" Target="https://spark-interfax.ru/system/home/card#/company/03C31B50F47742C9B5E64824744EDD29/101"/><Relationship Id="rId6547" Type="http://schemas.openxmlformats.org/officeDocument/2006/relationships/hyperlink" TargetMode="External" Target="https://spark-interfax.ru/system/home/card#/company/8B124F12518A6A42E0531C9AA8C027AE/101"/><Relationship Id="rId6548" Type="http://schemas.openxmlformats.org/officeDocument/2006/relationships/hyperlink" TargetMode="External" Target="https://spark-interfax.ru/system/home/card#/company/B3177721321F43F7990DE7C6DC807624/101"/><Relationship Id="rId6549" Type="http://schemas.openxmlformats.org/officeDocument/2006/relationships/hyperlink" TargetMode="External" Target="https://spark-interfax.ru/system/home/card#/company/FF9275066132411E92BE5B5DA2D732EF/101"/><Relationship Id="rId6550" Type="http://schemas.openxmlformats.org/officeDocument/2006/relationships/hyperlink" TargetMode="External" Target="https://spark-interfax.ru/system/home/card#/company/D5A965288A424ECFA41AD110E5E144BE/101"/><Relationship Id="rId6551" Type="http://schemas.openxmlformats.org/officeDocument/2006/relationships/hyperlink" TargetMode="External" Target="https://spark-interfax.ru/system/home/card#/company/7193CE0F05B54903AFF4CEB791408F15/101"/><Relationship Id="rId6552" Type="http://schemas.openxmlformats.org/officeDocument/2006/relationships/hyperlink" TargetMode="External" Target="https://spark-interfax.ru/system/home/card#/company/BCF5F9AF44374DB79E38C852E0105A25/101"/><Relationship Id="rId6553" Type="http://schemas.openxmlformats.org/officeDocument/2006/relationships/hyperlink" TargetMode="External" Target="https://spark-interfax.ru/system/home/card#/company/A7C4D1EDFDC24B5AA0B1D17B2338AFF0/101"/><Relationship Id="rId6554" Type="http://schemas.openxmlformats.org/officeDocument/2006/relationships/hyperlink" TargetMode="External" Target="https://spark-interfax.ru/system/home/card#/company/FECBD4343A3A411987FFA2A5A1E80A8E/101"/><Relationship Id="rId6555" Type="http://schemas.openxmlformats.org/officeDocument/2006/relationships/hyperlink" TargetMode="External" Target="https://spark-interfax.ru/system/home/card#/company/63B73884635D4C85A3914F7767338825/101"/><Relationship Id="rId6556" Type="http://schemas.openxmlformats.org/officeDocument/2006/relationships/hyperlink" TargetMode="External" Target="https://spark-interfax.ru/system/home/card#/company/D215856238EB4B7088E01EE741973F18/101"/><Relationship Id="rId6557" Type="http://schemas.openxmlformats.org/officeDocument/2006/relationships/hyperlink" TargetMode="External" Target="https://spark-interfax.ru/system/home/card#/company/423121C5632D4FC0BA7A01DB23BE9831/101"/><Relationship Id="rId6558" Type="http://schemas.openxmlformats.org/officeDocument/2006/relationships/hyperlink" TargetMode="External" Target="https://spark-interfax.ru/system/home/card#/company/00C8C6B09FBE4663A4BB8DB6CB68C17A/101"/><Relationship Id="rId6559" Type="http://schemas.openxmlformats.org/officeDocument/2006/relationships/hyperlink" TargetMode="External" Target="https://spark-interfax.ru/system/home/card#/company/367BDE7220C34582A66358396BA9D17A/101"/><Relationship Id="rId6560" Type="http://schemas.openxmlformats.org/officeDocument/2006/relationships/hyperlink" TargetMode="External" Target="https://spark-interfax.ru/system/home/card#/company/8D0D20505361428A80577934EFE2A010/101"/><Relationship Id="rId6561" Type="http://schemas.openxmlformats.org/officeDocument/2006/relationships/hyperlink" TargetMode="External" Target="https://spark-interfax.ru/system/home/card#/company/30552EA11718494A868355A79DE1F997/101"/><Relationship Id="rId6562" Type="http://schemas.openxmlformats.org/officeDocument/2006/relationships/hyperlink" TargetMode="External" Target="https://spark-interfax.ru/system/home/card#/company/792687FE0A03DCCBE0531F9AA8C0225F/101"/><Relationship Id="rId6563" Type="http://schemas.openxmlformats.org/officeDocument/2006/relationships/hyperlink" TargetMode="External" Target="https://spark-interfax.ru/system/home/card#/company/BFAB39CA5AEE42A98DFF44756F0BA8E8/101"/><Relationship Id="rId6564" Type="http://schemas.openxmlformats.org/officeDocument/2006/relationships/hyperlink" TargetMode="External" Target="https://spark-interfax.ru/system/home/card#/company/793ABF89F5714661ADDE7BA31B78609E/101"/><Relationship Id="rId6565" Type="http://schemas.openxmlformats.org/officeDocument/2006/relationships/hyperlink" TargetMode="External" Target="https://spark-interfax.ru/system/home/card#/company/523AD2EE73A34F62A6D37651D9EBD196/101"/><Relationship Id="rId6566" Type="http://schemas.openxmlformats.org/officeDocument/2006/relationships/hyperlink" TargetMode="External" Target="https://spark-interfax.ru/system/home/card#/company/5D7C66CC2B144580BACD1108058021CC/101"/><Relationship Id="rId6567" Type="http://schemas.openxmlformats.org/officeDocument/2006/relationships/hyperlink" TargetMode="External" Target="https://spark-interfax.ru/system/home/card#/company/2D213F74DD9F49618A5E147BBBEF576D/101"/><Relationship Id="rId6568" Type="http://schemas.openxmlformats.org/officeDocument/2006/relationships/hyperlink" TargetMode="External" Target="https://spark-interfax.ru/system/home/card#/company/CFFEE099840F4570B5AD3EFCECA23EDC/101"/><Relationship Id="rId6569" Type="http://schemas.openxmlformats.org/officeDocument/2006/relationships/hyperlink" TargetMode="External" Target="https://spark-interfax.ru/system/home/card#/company/9B6BD5BB40514BE0963AFB1B61906E56/101"/><Relationship Id="rId6570" Type="http://schemas.openxmlformats.org/officeDocument/2006/relationships/hyperlink" TargetMode="External" Target="https://spark-interfax.ru/system/home/card#/company/FDB1D1D6EF3C41A5954637C7EC2B626C/101"/><Relationship Id="rId6571" Type="http://schemas.openxmlformats.org/officeDocument/2006/relationships/hyperlink" TargetMode="External" Target="https://spark-interfax.ru/system/home/card#/company/F41D559F36BD412CA12EC219D8C1C56A/101"/><Relationship Id="rId6572" Type="http://schemas.openxmlformats.org/officeDocument/2006/relationships/hyperlink" TargetMode="External" Target="https://spark-interfax.ru/system/home/card#/company/7D106E265A1341CF82EF1EDBB3FE7A5C/101"/><Relationship Id="rId6573" Type="http://schemas.openxmlformats.org/officeDocument/2006/relationships/hyperlink" TargetMode="External" Target="https://spark-interfax.ru/system/home/card#/company/9FBF67CB079243E8A1EB10359FA91A72/101"/><Relationship Id="rId6574" Type="http://schemas.openxmlformats.org/officeDocument/2006/relationships/hyperlink" TargetMode="External" Target="https://spark-interfax.ru/system/home/card#/company/40B84F832B12431FB38EA791E8F688EE/101"/><Relationship Id="rId6575" Type="http://schemas.openxmlformats.org/officeDocument/2006/relationships/hyperlink" TargetMode="External" Target="https://spark-interfax.ru/system/home/card#/company/21EB7EC985064A3995E8E9E0E4143DBD/101"/><Relationship Id="rId6576" Type="http://schemas.openxmlformats.org/officeDocument/2006/relationships/hyperlink" TargetMode="External" Target="https://spark-interfax.ru/system/home/card#/company/6C0378FC942C4E97B339BB433BC4C898/101"/><Relationship Id="rId6577" Type="http://schemas.openxmlformats.org/officeDocument/2006/relationships/hyperlink" TargetMode="External" Target="https://spark-interfax.ru/system/home/card#/company/71BFB53965FC4DC091B72BDD027A7C42/101"/><Relationship Id="rId6578" Type="http://schemas.openxmlformats.org/officeDocument/2006/relationships/hyperlink" TargetMode="External" Target="https://spark-interfax.ru/system/home/card#/company/4A2312A4B3CB40309360476EBD54AA22/101"/><Relationship Id="rId6579" Type="http://schemas.openxmlformats.org/officeDocument/2006/relationships/hyperlink" TargetMode="External" Target="https://spark-interfax.ru/system/home/card#/company/FA6221CD4DAA4D7BA093FB55B1C700DB/101"/><Relationship Id="rId6580" Type="http://schemas.openxmlformats.org/officeDocument/2006/relationships/hyperlink" TargetMode="External" Target="https://spark-interfax.ru/system/home/card#/company/910F4031592446EB9E919C0936207AFC/101"/><Relationship Id="rId6581" Type="http://schemas.openxmlformats.org/officeDocument/2006/relationships/hyperlink" TargetMode="External" Target="https://spark-interfax.ru/system/home/card#/company/B38A3E3CEFA74295B44517FEFA206074/101"/><Relationship Id="rId6582" Type="http://schemas.openxmlformats.org/officeDocument/2006/relationships/hyperlink" TargetMode="External" Target="https://spark-interfax.ru/system/home/card#/company/E175166450594C2491D64ED8E15274EB/101"/><Relationship Id="rId6583" Type="http://schemas.openxmlformats.org/officeDocument/2006/relationships/hyperlink" TargetMode="External" Target="https://spark-interfax.ru/system/home/card#/company/A0E64D0DDC124BBAA525D8ECF8592EEF/101"/><Relationship Id="rId6584" Type="http://schemas.openxmlformats.org/officeDocument/2006/relationships/hyperlink" TargetMode="External" Target="https://spark-interfax.ru/system/home/card#/company/3C4F9619D176419E9A9EBDCD1C567CDD/101"/><Relationship Id="rId6585" Type="http://schemas.openxmlformats.org/officeDocument/2006/relationships/hyperlink" TargetMode="External" Target="https://spark-interfax.ru/system/home/card#/company/123C56754CB84DC4A720A446511DF9C1/101"/><Relationship Id="rId6586" Type="http://schemas.openxmlformats.org/officeDocument/2006/relationships/hyperlink" TargetMode="External" Target="https://spark-interfax.ru/system/home/card#/company/B1A53779338C407F84658C9CBF6F5AC4/101"/><Relationship Id="rId6587" Type="http://schemas.openxmlformats.org/officeDocument/2006/relationships/hyperlink" TargetMode="External" Target="https://spark-interfax.ru/system/home/card#/company/8625691309354049BE03E263C074664F/101"/><Relationship Id="rId6588" Type="http://schemas.openxmlformats.org/officeDocument/2006/relationships/hyperlink" TargetMode="External" Target="https://spark-interfax.ru/system/home/card#/company/62E2EC0052E842D7A020ABD09ADC6A4C/101"/><Relationship Id="rId6589" Type="http://schemas.openxmlformats.org/officeDocument/2006/relationships/hyperlink" TargetMode="External" Target="https://spark-interfax.ru/system/home/card#/company/348D91B867754D14939D6F6D9ABDEB61/101"/><Relationship Id="rId6590" Type="http://schemas.openxmlformats.org/officeDocument/2006/relationships/hyperlink" TargetMode="External" Target="https://spark-interfax.ru/system/home/card#/company/C0A3BF95392049B29B0A5FE60808FF17/101"/><Relationship Id="rId6591" Type="http://schemas.openxmlformats.org/officeDocument/2006/relationships/hyperlink" TargetMode="External" Target="https://spark-interfax.ru/system/home/card#/company/AECFD7B1AC024ABB94A2E86C52C1DAF1/101"/><Relationship Id="rId6592" Type="http://schemas.openxmlformats.org/officeDocument/2006/relationships/hyperlink" TargetMode="External" Target="https://spark-interfax.ru/system/home/card#/company/70B5ADE6D72042DCB61A321193693FB6/101"/><Relationship Id="rId6593" Type="http://schemas.openxmlformats.org/officeDocument/2006/relationships/hyperlink" TargetMode="External" Target="https://spark-interfax.ru/system/home/card#/company/4EAFBB9186BD4E6EA11B112B3BA3E4D0/101"/><Relationship Id="rId6594" Type="http://schemas.openxmlformats.org/officeDocument/2006/relationships/hyperlink" TargetMode="External" Target="https://spark-interfax.ru/system/home/card#/company/90A6AE167DB540FDB43A303C70484B86/101"/><Relationship Id="rId6595" Type="http://schemas.openxmlformats.org/officeDocument/2006/relationships/hyperlink" TargetMode="External" Target="https://spark-interfax.ru/system/home/card#/company/18C490FF43DA438FAD2CDBF6F02C45DA/101"/><Relationship Id="rId6596" Type="http://schemas.openxmlformats.org/officeDocument/2006/relationships/hyperlink" TargetMode="External" Target="https://spark-interfax.ru/system/home/card#/company/CECE19EF591151DAE053219AA8C0B38C/101"/><Relationship Id="rId6597" Type="http://schemas.openxmlformats.org/officeDocument/2006/relationships/hyperlink" TargetMode="External" Target="https://spark-interfax.ru/system/home/card#/company/33265698967F48ADBF93B3AB5C65667F/101"/><Relationship Id="rId6598" Type="http://schemas.openxmlformats.org/officeDocument/2006/relationships/hyperlink" TargetMode="External" Target="https://spark-interfax.ru/system/home/card#/company/4C7F7E4D918F47DAA53EA8721D13226C/101"/><Relationship Id="rId6599" Type="http://schemas.openxmlformats.org/officeDocument/2006/relationships/hyperlink" TargetMode="External" Target="https://spark-interfax.ru/system/home/card#/company/C764960512DF4EB6B0AD6F7C11F0AD76/101"/><Relationship Id="rId6600" Type="http://schemas.openxmlformats.org/officeDocument/2006/relationships/hyperlink" TargetMode="External" Target="https://spark-interfax.ru/system/home/card#/company/F8141DD355264116BEB3C0E24CD45C40/101"/><Relationship Id="rId6601" Type="http://schemas.openxmlformats.org/officeDocument/2006/relationships/hyperlink" TargetMode="External" Target="https://spark-interfax.ru/system/home/card#/company/84F966C90EB8414294D709FA2E10D463/101"/><Relationship Id="rId6602" Type="http://schemas.openxmlformats.org/officeDocument/2006/relationships/hyperlink" TargetMode="External" Target="https://spark-interfax.ru/system/home/card#/company/45F166270B5B424BBA47EE2765E2427A/101"/><Relationship Id="rId6603" Type="http://schemas.openxmlformats.org/officeDocument/2006/relationships/hyperlink" TargetMode="External" Target="https://spark-interfax.ru/system/home/card#/company/D6016576833A413AB1EED77E5C415857/101"/><Relationship Id="rId6604" Type="http://schemas.openxmlformats.org/officeDocument/2006/relationships/hyperlink" TargetMode="External" Target="https://spark-interfax.ru/system/home/card#/company/57BCC76487944364B57F3CDB459D6B85/101"/><Relationship Id="rId6605" Type="http://schemas.openxmlformats.org/officeDocument/2006/relationships/hyperlink" TargetMode="External" Target="https://spark-interfax.ru/system/home/card#/company/6B82578E4B8A40E3AF8619317ED9503C/101"/><Relationship Id="rId6606" Type="http://schemas.openxmlformats.org/officeDocument/2006/relationships/hyperlink" TargetMode="External" Target="https://spark-interfax.ru/system/home/card#/company/C2FA3C8ABF464167B03455CB5C142CE1/101"/><Relationship Id="rId6607" Type="http://schemas.openxmlformats.org/officeDocument/2006/relationships/hyperlink" TargetMode="External" Target="https://spark-interfax.ru/system/home/card#/company/21E158241FDA4A1197694612D4BF9DDB/101"/><Relationship Id="rId6608" Type="http://schemas.openxmlformats.org/officeDocument/2006/relationships/hyperlink" TargetMode="External" Target="https://spark-interfax.ru/system/home/card#/company/C5FCE1A8787B4F93BB3667FFAAC63BC0/101"/><Relationship Id="rId6609" Type="http://schemas.openxmlformats.org/officeDocument/2006/relationships/hyperlink" TargetMode="External" Target="https://spark-interfax.ru/system/home/card#/company/E2B7053A004B4D77BD5069259169546F/101"/><Relationship Id="rId6610" Type="http://schemas.openxmlformats.org/officeDocument/2006/relationships/hyperlink" TargetMode="External" Target="https://spark-interfax.ru/system/home/card#/company/E3E03786E4D3460494935150150CE4C5/101"/><Relationship Id="rId6611" Type="http://schemas.openxmlformats.org/officeDocument/2006/relationships/hyperlink" TargetMode="External" Target="https://spark-interfax.ru/system/home/card#/company/7408ECA6B84F43D4AC684F473FF20C43/101"/><Relationship Id="rId6612" Type="http://schemas.openxmlformats.org/officeDocument/2006/relationships/hyperlink" TargetMode="External" Target="https://spark-interfax.ru/system/home/card#/company/5DA5C707BEE640AABA225F735EF69AAA/101"/><Relationship Id="rId6613" Type="http://schemas.openxmlformats.org/officeDocument/2006/relationships/hyperlink" TargetMode="External" Target="https://spark-interfax.ru/system/home/card#/company/F96D71EFC36E48AA84B152F7C14032BE/101"/><Relationship Id="rId6614" Type="http://schemas.openxmlformats.org/officeDocument/2006/relationships/hyperlink" TargetMode="External" Target="https://spark-interfax.ru/system/home/card#/company/06C687053BEF4067AB35A24A3DBDC3F5/101"/><Relationship Id="rId6615" Type="http://schemas.openxmlformats.org/officeDocument/2006/relationships/hyperlink" TargetMode="External" Target="https://spark-interfax.ru/system/home/card#/company/9F4AC5B19F1743908699CDC842C7E0F1/101"/><Relationship Id="rId6616" Type="http://schemas.openxmlformats.org/officeDocument/2006/relationships/hyperlink" TargetMode="External" Target="https://spark-interfax.ru/system/home/card#/company/5084F7791ADA4F09A1C82F9119BD63EC/101"/><Relationship Id="rId6617" Type="http://schemas.openxmlformats.org/officeDocument/2006/relationships/hyperlink" TargetMode="External" Target="https://spark-interfax.ru/system/home/card#/company/048FF6986E35404F846CA5024BD92A88/101"/><Relationship Id="rId6618" Type="http://schemas.openxmlformats.org/officeDocument/2006/relationships/hyperlink" TargetMode="External" Target="https://spark-interfax.ru/system/home/card#/company/2E735EB155A842E6876DCD8805E852A5/101"/><Relationship Id="rId6619" Type="http://schemas.openxmlformats.org/officeDocument/2006/relationships/hyperlink" TargetMode="External" Target="https://spark-interfax.ru/system/home/card#/company/DEA33DD1A767481B9B7F0A848B1183FC/101"/><Relationship Id="rId6620" Type="http://schemas.openxmlformats.org/officeDocument/2006/relationships/hyperlink" TargetMode="External" Target="https://spark-interfax.ru/system/home/card#/company/C7A75E9990117326E053219AA8C0FFC4/101"/><Relationship Id="rId6621" Type="http://schemas.openxmlformats.org/officeDocument/2006/relationships/hyperlink" TargetMode="External" Target="https://spark-interfax.ru/system/home/card#/company/1641FD588C7B4ED88BED8C06C47069B5/101"/><Relationship Id="rId6622" Type="http://schemas.openxmlformats.org/officeDocument/2006/relationships/hyperlink" TargetMode="External" Target="https://spark-interfax.ru/system/home/card#/company/84AD8ACED9D646EFBEC044B0596BD862/101"/><Relationship Id="rId6623" Type="http://schemas.openxmlformats.org/officeDocument/2006/relationships/hyperlink" TargetMode="External" Target="https://spark-interfax.ru/system/home/card#/company/032A4FDC4A3E416CA94260D8332016AF/101"/><Relationship Id="rId6624" Type="http://schemas.openxmlformats.org/officeDocument/2006/relationships/hyperlink" TargetMode="External" Target="https://spark-interfax.ru/system/home/card#/company/423F9C293FD54DD9BAB8CDB006C4F7ED/101"/><Relationship Id="rId6625" Type="http://schemas.openxmlformats.org/officeDocument/2006/relationships/hyperlink" TargetMode="External" Target="https://spark-interfax.ru/system/home/card#/company/03ADD0E87F884041A90C89FA8811D8C0/101"/><Relationship Id="rId6626" Type="http://schemas.openxmlformats.org/officeDocument/2006/relationships/hyperlink" TargetMode="External" Target="https://spark-interfax.ru/system/home/card#/company/42201A58EB53469CB21092CED9CB90DC/101"/><Relationship Id="rId6627" Type="http://schemas.openxmlformats.org/officeDocument/2006/relationships/hyperlink" TargetMode="External" Target="https://spark-interfax.ru/system/home/card#/company/C6EC272C42C547CE839A952ECEAAFE9E/101"/><Relationship Id="rId6628" Type="http://schemas.openxmlformats.org/officeDocument/2006/relationships/hyperlink" TargetMode="External" Target="https://spark-interfax.ru/system/home/card#/company/01E30840652D4681977BA9725B462FA5/101"/><Relationship Id="rId6629" Type="http://schemas.openxmlformats.org/officeDocument/2006/relationships/hyperlink" TargetMode="External" Target="https://spark-interfax.ru/system/home/card#/company/EE2984EEEA7241CF8904936058B31201/101"/><Relationship Id="rId6630" Type="http://schemas.openxmlformats.org/officeDocument/2006/relationships/hyperlink" TargetMode="External" Target="https://spark-interfax.ru/system/home/card#/company/82BA35FE5A1E4C86A6F91C2E2CECFABE/101"/><Relationship Id="rId6631" Type="http://schemas.openxmlformats.org/officeDocument/2006/relationships/hyperlink" TargetMode="External" Target="https://spark-interfax.ru/system/home/card#/company/C9FCB24B06B2474DA7B962A0F2F75218/101"/><Relationship Id="rId6632" Type="http://schemas.openxmlformats.org/officeDocument/2006/relationships/hyperlink" TargetMode="External" Target="https://spark-interfax.ru/system/home/card#/company/3C846C7E105845138A2B51735FEBEE32/101"/><Relationship Id="rId6633" Type="http://schemas.openxmlformats.org/officeDocument/2006/relationships/hyperlink" TargetMode="External" Target="https://spark-interfax.ru/system/home/card#/company/F74BFFFEE97641149CCC996B388E9DA9/101"/><Relationship Id="rId6634" Type="http://schemas.openxmlformats.org/officeDocument/2006/relationships/hyperlink" TargetMode="External" Target="https://spark-interfax.ru/system/home/card#/company/63296C92CCCD415EBB0D738E1BD054EB/101"/><Relationship Id="rId6635" Type="http://schemas.openxmlformats.org/officeDocument/2006/relationships/hyperlink" TargetMode="External" Target="https://spark-interfax.ru/system/home/card#/company/44D19CBD77424B598E6BE1BEE6EE5991/101"/><Relationship Id="rId6636" Type="http://schemas.openxmlformats.org/officeDocument/2006/relationships/hyperlink" TargetMode="External" Target="https://spark-interfax.ru/system/home/card#/company/B91E6A4A76BD42BB85320A0402C76016/101"/><Relationship Id="rId6637" Type="http://schemas.openxmlformats.org/officeDocument/2006/relationships/hyperlink" TargetMode="External" Target="https://spark-interfax.ru/system/home/card#/company/81F3A64013430CBEE0531B9AA8C0EF14/101"/><Relationship Id="rId6638" Type="http://schemas.openxmlformats.org/officeDocument/2006/relationships/hyperlink" TargetMode="External" Target="https://spark-interfax.ru/system/home/card#/company/AAD33B39F8254736B6DBF296F3E7E2EE/101"/><Relationship Id="rId6639" Type="http://schemas.openxmlformats.org/officeDocument/2006/relationships/hyperlink" TargetMode="External" Target="https://spark-interfax.ru/system/home/card#/company/FC02151A37E6463693334B4EAA85CA24/101"/><Relationship Id="rId6640" Type="http://schemas.openxmlformats.org/officeDocument/2006/relationships/hyperlink" TargetMode="External" Target="https://spark-interfax.ru/system/home/card#/company/2CF89521AA5F4E8F8E692CB01CA24EE1/101"/><Relationship Id="rId6641" Type="http://schemas.openxmlformats.org/officeDocument/2006/relationships/hyperlink" TargetMode="External" Target="https://spark-interfax.ru/system/home/card#/company/5EAC840BF15E18A6E0531B9AA8C09F63/101"/><Relationship Id="rId6642" Type="http://schemas.openxmlformats.org/officeDocument/2006/relationships/hyperlink" TargetMode="External" Target="https://spark-interfax.ru/system/home/card#/company/A6A32BBC81B34375861148871205F7CD/101"/><Relationship Id="rId6643" Type="http://schemas.openxmlformats.org/officeDocument/2006/relationships/hyperlink" TargetMode="External" Target="https://spark-interfax.ru/system/home/card#/company/43632357C19F4F1EA2114411A46CE159/101"/><Relationship Id="rId6644" Type="http://schemas.openxmlformats.org/officeDocument/2006/relationships/hyperlink" TargetMode="External" Target="https://spark-interfax.ru/system/home/card#/company/6AC61EE7163A4921E0531B9AA8C04783/101"/><Relationship Id="rId6645" Type="http://schemas.openxmlformats.org/officeDocument/2006/relationships/hyperlink" TargetMode="External" Target="https://spark-interfax.ru/system/home/card#/company/D912CD92A74541E9912790A7925787E6/101"/><Relationship Id="rId6646" Type="http://schemas.openxmlformats.org/officeDocument/2006/relationships/hyperlink" TargetMode="External" Target="https://spark-interfax.ru/system/home/card#/company/D91CB3A152EA4830B178BB69D16BF54F/101"/><Relationship Id="rId6647" Type="http://schemas.openxmlformats.org/officeDocument/2006/relationships/hyperlink" TargetMode="External" Target="https://spark-interfax.ru/system/home/card#/company/2974FC42027241818FDCF760E2FA8F87/101"/><Relationship Id="rId6648" Type="http://schemas.openxmlformats.org/officeDocument/2006/relationships/hyperlink" TargetMode="External" Target="https://spark-interfax.ru/system/home/card#/company/C420317D69CE41EDBD49519FE0FA1F85/101"/><Relationship Id="rId6649" Type="http://schemas.openxmlformats.org/officeDocument/2006/relationships/hyperlink" TargetMode="External" Target="https://spark-interfax.ru/system/home/card#/company/5E1E73E18431442F9E98D4BAF0FC2F64/101"/><Relationship Id="rId6650" Type="http://schemas.openxmlformats.org/officeDocument/2006/relationships/hyperlink" TargetMode="External" Target="https://spark-interfax.ru/system/home/card#/company/94C89F5AD6F94332AC9335AC17CF67D7/101"/><Relationship Id="rId6651" Type="http://schemas.openxmlformats.org/officeDocument/2006/relationships/hyperlink" TargetMode="External" Target="https://spark-interfax.ru/system/home/card#/company/75109AF139E37B8EE0531B9AA8C06AD9/101"/><Relationship Id="rId6652" Type="http://schemas.openxmlformats.org/officeDocument/2006/relationships/hyperlink" TargetMode="External" Target="https://spark-interfax.ru/system/home/card#/company/6C007D4B32AA441AB18152E7F4985018/101"/><Relationship Id="rId6653" Type="http://schemas.openxmlformats.org/officeDocument/2006/relationships/hyperlink" TargetMode="External" Target="https://spark-interfax.ru/system/home/card#/company/A1A4DCFB02A24B478D025721207D232B/101"/><Relationship Id="rId6654" Type="http://schemas.openxmlformats.org/officeDocument/2006/relationships/hyperlink" TargetMode="External" Target="https://spark-interfax.ru/system/home/card#/company/871498C8394247C0831665F3E36A52DB/101"/><Relationship Id="rId6655" Type="http://schemas.openxmlformats.org/officeDocument/2006/relationships/hyperlink" TargetMode="External" Target="https://spark-interfax.ru/system/home/card#/company/9142B817D9154A3C9A9CAB9DCE104D70/101"/><Relationship Id="rId6656" Type="http://schemas.openxmlformats.org/officeDocument/2006/relationships/hyperlink" TargetMode="External" Target="https://spark-interfax.ru/system/home/card#/company/E9751C436C2B45748DCD24C93BFB068E/101"/><Relationship Id="rId6657" Type="http://schemas.openxmlformats.org/officeDocument/2006/relationships/hyperlink" TargetMode="External" Target="https://spark-interfax.ru/system/home/card#/company/58AEDD21EFDB4EB3883262022B577C56/101"/><Relationship Id="rId6658" Type="http://schemas.openxmlformats.org/officeDocument/2006/relationships/hyperlink" TargetMode="External" Target="https://spark-interfax.ru/system/home/card#/company/FB42AF3C44AD43DC969CD4F987287B02/101"/><Relationship Id="rId6659" Type="http://schemas.openxmlformats.org/officeDocument/2006/relationships/hyperlink" TargetMode="External" Target="https://spark-interfax.ru/system/home/card#/company/3B7145CC10E8428D9E61C22EF13C9C30/101"/><Relationship Id="rId6660" Type="http://schemas.openxmlformats.org/officeDocument/2006/relationships/hyperlink" TargetMode="External" Target="https://spark-interfax.ru/system/home/card#/company/4F3979DD23224B2FAEE8E670A3C3C838/101"/><Relationship Id="rId6661" Type="http://schemas.openxmlformats.org/officeDocument/2006/relationships/hyperlink" TargetMode="External" Target="https://spark-interfax.ru/system/home/card#/company/242DC22C18FF4751AEC73BA14A5EE618/101"/><Relationship Id="rId6662" Type="http://schemas.openxmlformats.org/officeDocument/2006/relationships/hyperlink" TargetMode="External" Target="https://spark-interfax.ru/system/home/card#/company/DC7F9E8E23964469A276F66A07BDE4EE/101"/><Relationship Id="rId6663" Type="http://schemas.openxmlformats.org/officeDocument/2006/relationships/hyperlink" TargetMode="External" Target="https://spark-interfax.ru/system/home/card#/company/4CE32C35896746E1BAD4C7216F954AA2/101"/><Relationship Id="rId6664" Type="http://schemas.openxmlformats.org/officeDocument/2006/relationships/hyperlink" TargetMode="External" Target="https://spark-interfax.ru/system/home/card#/company/76F7C97EC81D41778EC2840A9676281D/101"/><Relationship Id="rId6665" Type="http://schemas.openxmlformats.org/officeDocument/2006/relationships/hyperlink" TargetMode="External" Target="https://spark-interfax.ru/system/home/card#/company/F46C6833281F4612BE726113D1F618DF/101"/><Relationship Id="rId6666" Type="http://schemas.openxmlformats.org/officeDocument/2006/relationships/hyperlink" TargetMode="External" Target="https://spark-interfax.ru/system/home/card#/company/B6699D97EEE94FF594BE67F6BAB6A012/101"/><Relationship Id="rId6667" Type="http://schemas.openxmlformats.org/officeDocument/2006/relationships/hyperlink" TargetMode="External" Target="https://spark-interfax.ru/system/home/card#/company/C5F8574C69C047848FD0909A5EEEC0C7/101"/><Relationship Id="rId6668" Type="http://schemas.openxmlformats.org/officeDocument/2006/relationships/hyperlink" TargetMode="External" Target="https://spark-interfax.ru/system/home/card#/company/EDB5818CCF3645A3B372A5148635E078/101"/><Relationship Id="rId6669" Type="http://schemas.openxmlformats.org/officeDocument/2006/relationships/hyperlink" TargetMode="External" Target="https://spark-interfax.ru/system/home/card#/company/A2CDFAF675512445E053189AA8C07A4D/101"/><Relationship Id="rId6670" Type="http://schemas.openxmlformats.org/officeDocument/2006/relationships/hyperlink" TargetMode="External" Target="https://spark-interfax.ru/system/home/card#/company/6827EF7585724E508A9DE88AA87EECD5/101"/><Relationship Id="rId6671" Type="http://schemas.openxmlformats.org/officeDocument/2006/relationships/hyperlink" TargetMode="External" Target="https://spark-interfax.ru/system/home/card#/company/1E78AB9026914369808B0CA06CF1A231/101"/><Relationship Id="rId6672" Type="http://schemas.openxmlformats.org/officeDocument/2006/relationships/hyperlink" TargetMode="External" Target="https://spark-interfax.ru/system/home/card#/company/5F4B1D917EAC47E2A2C846F9C49C1941/101"/><Relationship Id="rId6673" Type="http://schemas.openxmlformats.org/officeDocument/2006/relationships/hyperlink" TargetMode="External" Target="https://spark-interfax.ru/system/home/card#/company/B988D735D910438F8FB8EEF27E1B39D7/101"/><Relationship Id="rId6674" Type="http://schemas.openxmlformats.org/officeDocument/2006/relationships/hyperlink" TargetMode="External" Target="https://spark-interfax.ru/system/home/card#/company/96201D33DA8F4788B2368C9C2A8553B4/101"/><Relationship Id="rId6675" Type="http://schemas.openxmlformats.org/officeDocument/2006/relationships/hyperlink" TargetMode="External" Target="https://spark-interfax.ru/system/home/card#/company/A2C5464A9F844FD682C52399E2564FEE/101"/><Relationship Id="rId6676" Type="http://schemas.openxmlformats.org/officeDocument/2006/relationships/hyperlink" TargetMode="External" Target="https://spark-interfax.ru/system/home/card#/company/5F4991DC36B1455FA57546A2DFF8B783/101"/><Relationship Id="rId6677" Type="http://schemas.openxmlformats.org/officeDocument/2006/relationships/hyperlink" TargetMode="External" Target="https://spark-interfax.ru/system/home/card#/company/7D524EA5D89C4662B086FB55CF113845/101"/><Relationship Id="rId6678" Type="http://schemas.openxmlformats.org/officeDocument/2006/relationships/hyperlink" TargetMode="External" Target="https://spark-interfax.ru/system/home/card#/company/3837E63EBBEE48F49C7687D2D10B5B2B/101"/><Relationship Id="rId6679" Type="http://schemas.openxmlformats.org/officeDocument/2006/relationships/hyperlink" TargetMode="External" Target="https://spark-interfax.ru/system/home/card#/company/5DAAC75F01354AA880D5D446332945C5/101"/><Relationship Id="rId6680" Type="http://schemas.openxmlformats.org/officeDocument/2006/relationships/hyperlink" TargetMode="External" Target="https://spark-interfax.ru/system/home/card#/company/758911F562A84D3CA4B573F543F350C6/101"/><Relationship Id="rId6681" Type="http://schemas.openxmlformats.org/officeDocument/2006/relationships/hyperlink" TargetMode="External" Target="https://spark-interfax.ru/system/home/card#/company/3F636A0AE8A04547A82F1418E0AB0CEE/101"/><Relationship Id="rId6682" Type="http://schemas.openxmlformats.org/officeDocument/2006/relationships/hyperlink" TargetMode="External" Target="https://spark-interfax.ru/system/home/card#/company/626B21DCCD644C9B83B688664333CF09/101"/><Relationship Id="rId6683" Type="http://schemas.openxmlformats.org/officeDocument/2006/relationships/hyperlink" TargetMode="External" Target="https://spark-interfax.ru/system/home/card#/company/790CC4788F8741D6ADB0AB30DFE1FB0A/101"/><Relationship Id="rId6684" Type="http://schemas.openxmlformats.org/officeDocument/2006/relationships/hyperlink" TargetMode="External" Target="https://spark-interfax.ru/system/home/card#/company/7FB91D87DBDE4B7AAA361F2100A53962/101"/><Relationship Id="rId6685" Type="http://schemas.openxmlformats.org/officeDocument/2006/relationships/hyperlink" TargetMode="External" Target="https://spark-interfax.ru/system/home/card#/company/79E8B79B83604638B5289D761A7E481E/101"/><Relationship Id="rId6686" Type="http://schemas.openxmlformats.org/officeDocument/2006/relationships/hyperlink" TargetMode="External" Target="https://spark-interfax.ru/system/home/card#/company/BA01EED9984A468CA92D4DF48F168267/101"/><Relationship Id="rId6687" Type="http://schemas.openxmlformats.org/officeDocument/2006/relationships/hyperlink" TargetMode="External" Target="https://spark-interfax.ru/system/home/card#/company/4CA0FE44B1324DB899B4460A615EBC5C/101"/><Relationship Id="rId6688" Type="http://schemas.openxmlformats.org/officeDocument/2006/relationships/hyperlink" TargetMode="External" Target="https://spark-interfax.ru/system/home/card#/company/A27150B9EFE7491381CF83371B8A941C/101"/><Relationship Id="rId6689" Type="http://schemas.openxmlformats.org/officeDocument/2006/relationships/hyperlink" TargetMode="External" Target="https://spark-interfax.ru/system/home/card#/company/10F14002C7084451BA9905C9A7B00AC6/101"/><Relationship Id="rId6690" Type="http://schemas.openxmlformats.org/officeDocument/2006/relationships/hyperlink" TargetMode="External" Target="https://spark-interfax.ru/system/home/card#/company/1EB4F2612F894AFFA7F2ABF11CBAA5FD/101"/><Relationship Id="rId6691" Type="http://schemas.openxmlformats.org/officeDocument/2006/relationships/hyperlink" TargetMode="External" Target="https://spark-interfax.ru/system/home/card#/company/C9355E80166F406D97C9897719EBC513/101"/><Relationship Id="rId6692" Type="http://schemas.openxmlformats.org/officeDocument/2006/relationships/hyperlink" TargetMode="External" Target="https://spark-interfax.ru/system/home/card#/company/ED4BF7153B47421DAF476CC61499E427/101"/><Relationship Id="rId6693" Type="http://schemas.openxmlformats.org/officeDocument/2006/relationships/hyperlink" TargetMode="External" Target="https://spark-interfax.ru/system/home/card#/company/101475086EF54B42891EDAEB0B92E5EF/101"/><Relationship Id="rId6694" Type="http://schemas.openxmlformats.org/officeDocument/2006/relationships/hyperlink" TargetMode="External" Target="https://spark-interfax.ru/system/home/card#/company/03E6B8E3DF9B4D849A8BE51F3AF3CB03/101"/><Relationship Id="rId6695" Type="http://schemas.openxmlformats.org/officeDocument/2006/relationships/hyperlink" TargetMode="External" Target="https://spark-interfax.ru/system/home/card#/company/6940A9B70759459E960378538F9C627B/101"/><Relationship Id="rId6696" Type="http://schemas.openxmlformats.org/officeDocument/2006/relationships/hyperlink" TargetMode="External" Target="https://spark-interfax.ru/system/home/card#/company/C6EC46078B0D4B69B794641464FEFBE8/101"/><Relationship Id="rId6697" Type="http://schemas.openxmlformats.org/officeDocument/2006/relationships/hyperlink" TargetMode="External" Target="https://spark-interfax.ru/system/home/card#/company/98CD56DD1811416688D7AA1D649A5903/101"/><Relationship Id="rId6698" Type="http://schemas.openxmlformats.org/officeDocument/2006/relationships/hyperlink" TargetMode="External" Target="https://spark-interfax.ru/system/home/card#/company/5BA03D21B3AC4E9996871D4564483F82/101"/><Relationship Id="rId6699" Type="http://schemas.openxmlformats.org/officeDocument/2006/relationships/hyperlink" TargetMode="External" Target="https://spark-interfax.ru/system/home/card#/company/CB23060555D34765A5323AEBB96CAF67/101"/><Relationship Id="rId6700" Type="http://schemas.openxmlformats.org/officeDocument/2006/relationships/hyperlink" TargetMode="External" Target="https://spark-interfax.ru/system/home/card#/company/F2B6A7917F91480EA4D8267D715C54C5/101"/><Relationship Id="rId6701" Type="http://schemas.openxmlformats.org/officeDocument/2006/relationships/hyperlink" TargetMode="External" Target="https://spark-interfax.ru/system/home/card#/company/D6D5C43EB09A482FB5976F36F1D5BBCD/101"/><Relationship Id="rId6702" Type="http://schemas.openxmlformats.org/officeDocument/2006/relationships/hyperlink" TargetMode="External" Target="https://spark-interfax.ru/system/home/card#/company/D9B5C65783C3406F9F0B738BFE74AEF4/101"/><Relationship Id="rId6703" Type="http://schemas.openxmlformats.org/officeDocument/2006/relationships/hyperlink" TargetMode="External" Target="https://spark-interfax.ru/system/home/card#/company/A3F2329E5892429BB5155E511EE32EB5/101"/><Relationship Id="rId6704" Type="http://schemas.openxmlformats.org/officeDocument/2006/relationships/hyperlink" TargetMode="External" Target="https://spark-interfax.ru/system/home/card#/company/726C7AE5015641CFADD65D19012F0AE9/101"/><Relationship Id="rId6705" Type="http://schemas.openxmlformats.org/officeDocument/2006/relationships/hyperlink" TargetMode="External" Target="https://spark-interfax.ru/system/home/card#/company/41678B09A37B4956AA83F82A89EC061E/101"/><Relationship Id="rId6706" Type="http://schemas.openxmlformats.org/officeDocument/2006/relationships/hyperlink" TargetMode="External" Target="https://spark-interfax.ru/system/home/card#/company/3C8048878C244237B724F4B9C4D15D1A/101"/><Relationship Id="rId6707" Type="http://schemas.openxmlformats.org/officeDocument/2006/relationships/hyperlink" TargetMode="External" Target="https://spark-interfax.ru/system/home/card#/company/A9823C633462469DB3EBE18A1D084D73/101"/><Relationship Id="rId6708" Type="http://schemas.openxmlformats.org/officeDocument/2006/relationships/hyperlink" TargetMode="External" Target="https://spark-interfax.ru/system/home/card#/company/8CF0E9F25B3C43DE996702B14A55C1EE/101"/><Relationship Id="rId6709" Type="http://schemas.openxmlformats.org/officeDocument/2006/relationships/hyperlink" TargetMode="External" Target="https://spark-interfax.ru/system/home/card#/company/1EF409E1018D45F498C523D8629730B8/101"/><Relationship Id="rId6710" Type="http://schemas.openxmlformats.org/officeDocument/2006/relationships/hyperlink" TargetMode="External" Target="https://spark-interfax.ru/system/home/card#/company/01C41EF35F674AC5AA194E010589584E/101"/><Relationship Id="rId6711" Type="http://schemas.openxmlformats.org/officeDocument/2006/relationships/hyperlink" TargetMode="External" Target="https://spark-interfax.ru/system/home/card#/company/1602877C11274989B6D54D59A2265414/101"/><Relationship Id="rId6712" Type="http://schemas.openxmlformats.org/officeDocument/2006/relationships/hyperlink" TargetMode="External" Target="https://spark-interfax.ru/system/home/card#/company/68F89D16CC870B2FE0531B9AA8C04D28/101"/><Relationship Id="rId6713" Type="http://schemas.openxmlformats.org/officeDocument/2006/relationships/hyperlink" TargetMode="External" Target="https://spark-interfax.ru/system/home/card#/company/C7DA8983ABBC4640B6A40E28BD956212/101"/><Relationship Id="rId6714" Type="http://schemas.openxmlformats.org/officeDocument/2006/relationships/hyperlink" TargetMode="External" Target="https://spark-interfax.ru/system/home/card#/company/C1143EEDD8A44616A0DF809F0D40B8DF/101"/><Relationship Id="rId6715" Type="http://schemas.openxmlformats.org/officeDocument/2006/relationships/hyperlink" TargetMode="External" Target="https://spark-interfax.ru/system/home/card#/company/2730016411D34D03A8CD3ED1C86FEDF5/101"/><Relationship Id="rId6716" Type="http://schemas.openxmlformats.org/officeDocument/2006/relationships/hyperlink" TargetMode="External" Target="https://spark-interfax.ru/system/home/card#/company/7462102E55EE4AB5B40761271BFC24AC/101"/><Relationship Id="rId6717" Type="http://schemas.openxmlformats.org/officeDocument/2006/relationships/hyperlink" TargetMode="External" Target="https://spark-interfax.ru/system/home/card#/company/2C29754280F64CC0B2E0DFA93C6F5821/101"/><Relationship Id="rId6718" Type="http://schemas.openxmlformats.org/officeDocument/2006/relationships/hyperlink" TargetMode="External" Target="https://spark-interfax.ru/system/home/card#/company/2C46D360E8824023904F5EFA0AEECEC9/101"/><Relationship Id="rId6719" Type="http://schemas.openxmlformats.org/officeDocument/2006/relationships/hyperlink" TargetMode="External" Target="https://spark-interfax.ru/system/home/card#/company/F7069566E6EC4B098DB2AC6C0949C2C7/101"/><Relationship Id="rId6720" Type="http://schemas.openxmlformats.org/officeDocument/2006/relationships/hyperlink" TargetMode="External" Target="https://spark-interfax.ru/system/home/card#/company/12B6BC43B6644B27A8C5ADA875701F0E/101"/><Relationship Id="rId6721" Type="http://schemas.openxmlformats.org/officeDocument/2006/relationships/hyperlink" TargetMode="External" Target="https://spark-interfax.ru/system/home/card#/company/350C8233D45C4B289E81DD54293AE9AC/101"/><Relationship Id="rId6722" Type="http://schemas.openxmlformats.org/officeDocument/2006/relationships/hyperlink" TargetMode="External" Target="https://spark-interfax.ru/system/home/card#/company/EBF8E3E1B5BF479387AF38D0488A3DF4/101"/><Relationship Id="rId6723" Type="http://schemas.openxmlformats.org/officeDocument/2006/relationships/hyperlink" TargetMode="External" Target="https://spark-interfax.ru/system/home/card#/company/16E9EE510BEC43ED93540B1B39B000AF/101"/><Relationship Id="rId6724" Type="http://schemas.openxmlformats.org/officeDocument/2006/relationships/hyperlink" TargetMode="External" Target="https://spark-interfax.ru/system/home/card#/company/094D675749B443699337679E0D2EF08F/101"/><Relationship Id="rId6725" Type="http://schemas.openxmlformats.org/officeDocument/2006/relationships/hyperlink" TargetMode="External" Target="https://spark-interfax.ru/system/home/card#/company/BF85F79BC29C4C5E83C0FEB1F0D639DA/101"/><Relationship Id="rId6726" Type="http://schemas.openxmlformats.org/officeDocument/2006/relationships/hyperlink" TargetMode="External" Target="https://spark-interfax.ru/system/home/card#/company/68DD38C06C8A46C883BF39CB56E37547/101"/><Relationship Id="rId6727" Type="http://schemas.openxmlformats.org/officeDocument/2006/relationships/hyperlink" TargetMode="External" Target="https://spark-interfax.ru/system/home/card#/company/3E869793DB99477BBD8C9A069A6F1A4D/101"/><Relationship Id="rId6728" Type="http://schemas.openxmlformats.org/officeDocument/2006/relationships/hyperlink" TargetMode="External" Target="https://spark-interfax.ru/system/home/card#/company/8783AAFC1D5B4130B9905B3709106B7D/101"/><Relationship Id="rId6729" Type="http://schemas.openxmlformats.org/officeDocument/2006/relationships/hyperlink" TargetMode="External" Target="https://spark-interfax.ru/system/home/card#/company/D9BE3813680F4C4A978C99F5180A1CB9/101"/><Relationship Id="rId6730" Type="http://schemas.openxmlformats.org/officeDocument/2006/relationships/hyperlink" TargetMode="External" Target="https://spark-interfax.ru/system/home/card#/company/E18E6D7491AE47F29BCBB7D47C4D730A/101"/><Relationship Id="rId6731" Type="http://schemas.openxmlformats.org/officeDocument/2006/relationships/hyperlink" TargetMode="External" Target="https://spark-interfax.ru/system/home/card#/company/CE3D55ED244A4C25A0EA45B9D0F33B78/101"/><Relationship Id="rId6732" Type="http://schemas.openxmlformats.org/officeDocument/2006/relationships/hyperlink" TargetMode="External" Target="https://spark-interfax.ru/system/home/card#/company/06029AC5C3294A8DBA6AFBE26403E5DD/101"/><Relationship Id="rId6733" Type="http://schemas.openxmlformats.org/officeDocument/2006/relationships/hyperlink" TargetMode="External" Target="https://spark-interfax.ru/system/home/card#/company/140007F9DF5042F0A9C5C5564BCA10FB/101"/><Relationship Id="rId6734" Type="http://schemas.openxmlformats.org/officeDocument/2006/relationships/hyperlink" TargetMode="External" Target="https://spark-interfax.ru/system/home/card#/company/CA99B659046D48D485F369222C97F62E/101"/><Relationship Id="rId6735" Type="http://schemas.openxmlformats.org/officeDocument/2006/relationships/hyperlink" TargetMode="External" Target="https://spark-interfax.ru/system/home/card#/company/758942B55EEA4732B57BAF5C25B30F27/101"/><Relationship Id="rId6736" Type="http://schemas.openxmlformats.org/officeDocument/2006/relationships/hyperlink" TargetMode="External" Target="https://spark-interfax.ru/system/home/card#/company/509FED6DD4ED40D9A7E97084F1AF25EC/101"/><Relationship Id="rId6737" Type="http://schemas.openxmlformats.org/officeDocument/2006/relationships/hyperlink" TargetMode="External" Target="https://spark-interfax.ru/system/home/card#/company/201ECAD083B145EBA7C4409585FE1459/101"/><Relationship Id="rId6738" Type="http://schemas.openxmlformats.org/officeDocument/2006/relationships/hyperlink" TargetMode="External" Target="https://spark-interfax.ru/system/home/card#/company/F705CF0A81864E878C275248BA55EE14/101"/><Relationship Id="rId6739" Type="http://schemas.openxmlformats.org/officeDocument/2006/relationships/hyperlink" TargetMode="External" Target="https://spark-interfax.ru/system/home/card#/company/7AEF3678A401444A8ED5C74EEDA58321/101"/><Relationship Id="rId6740" Type="http://schemas.openxmlformats.org/officeDocument/2006/relationships/hyperlink" TargetMode="External" Target="https://spark-interfax.ru/system/home/card#/company/27128C47FA224F42A9926A386F919BBB/101"/><Relationship Id="rId6741" Type="http://schemas.openxmlformats.org/officeDocument/2006/relationships/hyperlink" TargetMode="External" Target="https://spark-interfax.ru/system/home/card#/company/815362096B2F8D65E0531B9AA8C0C5EE/101"/><Relationship Id="rId6742" Type="http://schemas.openxmlformats.org/officeDocument/2006/relationships/hyperlink" TargetMode="External" Target="https://spark-interfax.ru/system/home/card#/company/5ED2C1A711AA409CA049F5CAF949E1C1/101"/><Relationship Id="rId6743" Type="http://schemas.openxmlformats.org/officeDocument/2006/relationships/hyperlink" TargetMode="External" Target="https://spark-interfax.ru/system/home/card#/company/DC6DF42A14CB4685A075053E6241176D/101"/><Relationship Id="rId6744" Type="http://schemas.openxmlformats.org/officeDocument/2006/relationships/hyperlink" TargetMode="External" Target="https://spark-interfax.ru/system/home/card#/company/7E62EAB232E84F5B858747C00FC4E680/101"/><Relationship Id="rId6745" Type="http://schemas.openxmlformats.org/officeDocument/2006/relationships/hyperlink" TargetMode="External" Target="https://spark-interfax.ru/system/home/card#/company/C494F0148A5546FFB946D27894C13179/101"/><Relationship Id="rId6746" Type="http://schemas.openxmlformats.org/officeDocument/2006/relationships/hyperlink" TargetMode="External" Target="https://spark-interfax.ru/system/home/card#/company/E68B4A46D8614900B56B670360FACB12/101"/><Relationship Id="rId6747" Type="http://schemas.openxmlformats.org/officeDocument/2006/relationships/hyperlink" TargetMode="External" Target="https://spark-interfax.ru/system/home/card#/company/B903FF37820542B8A8C6C34A8405F0A1/101"/><Relationship Id="rId6748" Type="http://schemas.openxmlformats.org/officeDocument/2006/relationships/hyperlink" TargetMode="External" Target="https://spark-interfax.ru/system/home/card#/company/D84861C3EE21424F871D72DD57C1AA5D/101"/><Relationship Id="rId6749" Type="http://schemas.openxmlformats.org/officeDocument/2006/relationships/hyperlink" TargetMode="External" Target="https://spark-interfax.ru/system/home/card#/company/E205E4BC90F84AF0838730080E2019B2/101"/><Relationship Id="rId6750" Type="http://schemas.openxmlformats.org/officeDocument/2006/relationships/hyperlink" TargetMode="External" Target="https://spark-interfax.ru/system/home/card#/company/B32FE120D48D47FCA6B601DF3EF4827F/101"/><Relationship Id="rId6751" Type="http://schemas.openxmlformats.org/officeDocument/2006/relationships/hyperlink" TargetMode="External" Target="https://spark-interfax.ru/system/home/card#/company/7919C71100AF42BDB244006D6D0FD1E2/101"/><Relationship Id="rId6752" Type="http://schemas.openxmlformats.org/officeDocument/2006/relationships/hyperlink" TargetMode="External" Target="https://spark-interfax.ru/system/home/card#/company/2BA460FCF3EC4CCBA1EC2736F895B8FB/101"/><Relationship Id="rId6753" Type="http://schemas.openxmlformats.org/officeDocument/2006/relationships/hyperlink" TargetMode="External" Target="https://spark-interfax.ru/system/home/card#/company/C7461DF813F74C598931FD9983401A6A/101"/><Relationship Id="rId6754" Type="http://schemas.openxmlformats.org/officeDocument/2006/relationships/hyperlink" TargetMode="External" Target="https://spark-interfax.ru/system/home/card#/company/32E0B8768129432988902597586AF1BB/101"/><Relationship Id="rId6755" Type="http://schemas.openxmlformats.org/officeDocument/2006/relationships/hyperlink" TargetMode="External" Target="https://spark-interfax.ru/system/home/card#/company/C1D86F05687D47C49E775C3FE6E275A4/101"/><Relationship Id="rId6756" Type="http://schemas.openxmlformats.org/officeDocument/2006/relationships/hyperlink" TargetMode="External" Target="https://spark-interfax.ru/system/home/card#/company/D72141FF8A201A0DE053259AA8C0904B/101"/><Relationship Id="rId6757" Type="http://schemas.openxmlformats.org/officeDocument/2006/relationships/hyperlink" TargetMode="External" Target="https://spark-interfax.ru/system/home/card#/company/93025A2C88D45894E0531B9AA8C0D3F8/101"/><Relationship Id="rId6758" Type="http://schemas.openxmlformats.org/officeDocument/2006/relationships/hyperlink" TargetMode="External" Target="https://spark-interfax.ru/system/home/card#/company/4780EAF3797749D08BDB1203F2ABDCDD/101"/><Relationship Id="rId6759" Type="http://schemas.openxmlformats.org/officeDocument/2006/relationships/hyperlink" TargetMode="External" Target="https://spark-interfax.ru/system/home/card#/company/AA494D01B0D44B9F94C77C8F3CA3505C/101"/><Relationship Id="rId6760" Type="http://schemas.openxmlformats.org/officeDocument/2006/relationships/hyperlink" TargetMode="External" Target="https://spark-interfax.ru/system/home/card#/company/A18F845574564662B1E1B9EF5664A37F/101"/><Relationship Id="rId6761" Type="http://schemas.openxmlformats.org/officeDocument/2006/relationships/hyperlink" TargetMode="External" Target="https://spark-interfax.ru/system/home/card#/company/4AD66C3474F746E7AD9BF7B5573BA22A/101"/><Relationship Id="rId6762" Type="http://schemas.openxmlformats.org/officeDocument/2006/relationships/hyperlink" TargetMode="External" Target="https://spark-interfax.ru/system/home/card#/company/F111A1DD8AF1474A9967A606B522F3E3/101"/><Relationship Id="rId6763" Type="http://schemas.openxmlformats.org/officeDocument/2006/relationships/hyperlink" TargetMode="External" Target="https://spark-interfax.ru/system/home/card#/company/5CCEE3FA977A4173B19F0417D5EDF1AB/101"/><Relationship Id="rId6764" Type="http://schemas.openxmlformats.org/officeDocument/2006/relationships/hyperlink" TargetMode="External" Target="https://spark-interfax.ru/system/home/card#/company/80693955C62F45D7A24C61FA9161EFCA/101"/><Relationship Id="rId6765" Type="http://schemas.openxmlformats.org/officeDocument/2006/relationships/hyperlink" TargetMode="External" Target="https://spark-interfax.ru/system/home/card#/company/3CA7B5D3622745FBA5CE07CEAC0B8163/101"/><Relationship Id="rId6766" Type="http://schemas.openxmlformats.org/officeDocument/2006/relationships/hyperlink" TargetMode="External" Target="https://spark-interfax.ru/system/home/card#/company/8F1696C9D2A84AFCAB93D680F81654D8/101"/><Relationship Id="rId6767" Type="http://schemas.openxmlformats.org/officeDocument/2006/relationships/hyperlink" TargetMode="External" Target="https://spark-interfax.ru/system/home/card#/company/4718D96609BB487BAFCB943C3AF816F1/101"/><Relationship Id="rId6768" Type="http://schemas.openxmlformats.org/officeDocument/2006/relationships/hyperlink" TargetMode="External" Target="https://spark-interfax.ru/system/home/card#/company/C99DA856A85C434281B8324DD9F396AB/101"/><Relationship Id="rId6769" Type="http://schemas.openxmlformats.org/officeDocument/2006/relationships/hyperlink" TargetMode="External" Target="https://spark-interfax.ru/system/home/card#/company/84C8A02D45638668E0531B9AA8C0658B/101"/><Relationship Id="rId6770" Type="http://schemas.openxmlformats.org/officeDocument/2006/relationships/hyperlink" TargetMode="External" Target="https://spark-interfax.ru/system/home/card#/company/CFA99BDDA02347AD9C5CDE1DC916C49A/101"/><Relationship Id="rId6771" Type="http://schemas.openxmlformats.org/officeDocument/2006/relationships/hyperlink" TargetMode="External" Target="https://spark-interfax.ru/system/home/card#/company/73CEC148C3F04C44BC10EE9191A82DF6/101"/><Relationship Id="rId6772" Type="http://schemas.openxmlformats.org/officeDocument/2006/relationships/hyperlink" TargetMode="External" Target="https://spark-interfax.ru/system/home/card#/company/7F5C0DE5F6B04566B220003C44F979C7/101"/><Relationship Id="rId6773" Type="http://schemas.openxmlformats.org/officeDocument/2006/relationships/hyperlink" TargetMode="External" Target="https://spark-interfax.ru/system/home/card#/company/CA9B43BCC9FC46B595E6928ABF82D0F6/101"/><Relationship Id="rId6774" Type="http://schemas.openxmlformats.org/officeDocument/2006/relationships/hyperlink" TargetMode="External" Target="https://spark-interfax.ru/system/home/card#/company/67DD003797487361E0531B9AA8C0CFE8/101"/><Relationship Id="rId6775" Type="http://schemas.openxmlformats.org/officeDocument/2006/relationships/hyperlink" TargetMode="External" Target="https://spark-interfax.ru/system/home/card#/company/C89615DE0B254C0A9A554688ED6D08F8/101"/><Relationship Id="rId6776" Type="http://schemas.openxmlformats.org/officeDocument/2006/relationships/hyperlink" TargetMode="External" Target="https://spark-interfax.ru/system/home/card#/company/B959F5706FCB4A76E053219AA8C0E351/101"/><Relationship Id="rId6777" Type="http://schemas.openxmlformats.org/officeDocument/2006/relationships/hyperlink" TargetMode="External" Target="https://spark-interfax.ru/system/home/card#/company/F74F66BF33644E30A0B0ACE80A9C1A5B/101"/><Relationship Id="rId6778" Type="http://schemas.openxmlformats.org/officeDocument/2006/relationships/hyperlink" TargetMode="External" Target="https://spark-interfax.ru/system/home/card#/company/2C4E1FBB65DA4E5E8DEB0C65C0D31210/101"/><Relationship Id="rId6779" Type="http://schemas.openxmlformats.org/officeDocument/2006/relationships/hyperlink" TargetMode="External" Target="https://spark-interfax.ru/system/home/card#/company/C6B5BAA549704FDFB9FB8AC61422E183/101"/><Relationship Id="rId6780" Type="http://schemas.openxmlformats.org/officeDocument/2006/relationships/hyperlink" TargetMode="External" Target="https://spark-interfax.ru/system/home/card#/company/3CAAF7F38EFB4CC78ABDED3B097C98F0/101"/><Relationship Id="rId6781" Type="http://schemas.openxmlformats.org/officeDocument/2006/relationships/hyperlink" TargetMode="External" Target="https://spark-interfax.ru/system/home/card#/company/14428439E7154171838FF72A931287D7/101"/><Relationship Id="rId6782" Type="http://schemas.openxmlformats.org/officeDocument/2006/relationships/hyperlink" TargetMode="External" Target="https://spark-interfax.ru/system/home/card#/company/59B40E9B0B22470AB70AE89B12886202/101"/><Relationship Id="rId6783" Type="http://schemas.openxmlformats.org/officeDocument/2006/relationships/hyperlink" TargetMode="External" Target="https://spark-interfax.ru/system/home/card#/company/E1BB96A3A8D64B71872C0497DB43194C/101"/><Relationship Id="rId6784" Type="http://schemas.openxmlformats.org/officeDocument/2006/relationships/hyperlink" TargetMode="External" Target="https://spark-interfax.ru/system/home/card#/company/D89FE6243EF3485BAFB1E524A58B936C/101"/><Relationship Id="rId6785" Type="http://schemas.openxmlformats.org/officeDocument/2006/relationships/hyperlink" TargetMode="External" Target="https://spark-interfax.ru/system/home/card#/company/4AFBBCC65786467D8910267024AADDAE/101"/><Relationship Id="rId6786" Type="http://schemas.openxmlformats.org/officeDocument/2006/relationships/hyperlink" TargetMode="External" Target="https://spark-interfax.ru/system/home/card#/company/736B6F29BCAA0944E0531B9AA8C0B2F3/101"/><Relationship Id="rId6787" Type="http://schemas.openxmlformats.org/officeDocument/2006/relationships/hyperlink" TargetMode="External" Target="https://spark-interfax.ru/system/home/card#/company/BAC27988C0B84584AD6426949386DC15/101"/><Relationship Id="rId6788" Type="http://schemas.openxmlformats.org/officeDocument/2006/relationships/hyperlink" TargetMode="External" Target="https://spark-interfax.ru/system/home/card#/company/4FAB1ACD69BF42D2AA68960B7AD92B30/101"/><Relationship Id="rId6789" Type="http://schemas.openxmlformats.org/officeDocument/2006/relationships/hyperlink" TargetMode="External" Target="https://spark-interfax.ru/system/home/card#/company/05CA87C1363A446D8A936263EC02CDF1/101"/><Relationship Id="rId6790" Type="http://schemas.openxmlformats.org/officeDocument/2006/relationships/hyperlink" TargetMode="External" Target="https://spark-interfax.ru/system/home/card#/company/2458A04CC37140D1B22C1005A72EA593/101"/><Relationship Id="rId6791" Type="http://schemas.openxmlformats.org/officeDocument/2006/relationships/hyperlink" TargetMode="External" Target="https://spark-interfax.ru/system/home/card#/company/E556149A75044F68AB5F7C0B7681C129/101"/><Relationship Id="rId6792" Type="http://schemas.openxmlformats.org/officeDocument/2006/relationships/hyperlink" TargetMode="External" Target="https://spark-interfax.ru/system/home/card#/company/3AFCC50947EE4A43BA5C05979997DB23/101"/><Relationship Id="rId6793" Type="http://schemas.openxmlformats.org/officeDocument/2006/relationships/hyperlink" TargetMode="External" Target="https://spark-interfax.ru/system/home/card#/company/2E57F415E82548A7B8EFE5C0385C3862/101"/><Relationship Id="rId6794" Type="http://schemas.openxmlformats.org/officeDocument/2006/relationships/hyperlink" TargetMode="External" Target="https://spark-interfax.ru/system/home/card#/company/6237F593BA0D447A84CFBE249B1AC0D1/101"/><Relationship Id="rId6795" Type="http://schemas.openxmlformats.org/officeDocument/2006/relationships/hyperlink" TargetMode="External" Target="https://spark-interfax.ru/system/home/card#/company/AB4245C87C6944D3A2EFBA408C2E124C/101"/><Relationship Id="rId6796" Type="http://schemas.openxmlformats.org/officeDocument/2006/relationships/hyperlink" TargetMode="External" Target="https://spark-interfax.ru/system/home/card#/company/0B63375E76654637BB76F968239731EB/101"/><Relationship Id="rId6797" Type="http://schemas.openxmlformats.org/officeDocument/2006/relationships/hyperlink" TargetMode="External" Target="https://spark-interfax.ru/system/home/card#/company/BF89B683B3DB4AD6B1D6958DE34987C6/101"/><Relationship Id="rId6798" Type="http://schemas.openxmlformats.org/officeDocument/2006/relationships/hyperlink" TargetMode="External" Target="https://spark-interfax.ru/system/home/card#/company/6312CC8C266476A0E0531B9AA8C010A5/101"/><Relationship Id="rId6799" Type="http://schemas.openxmlformats.org/officeDocument/2006/relationships/hyperlink" TargetMode="External" Target="https://spark-interfax.ru/system/home/card#/company/1E83701AE2E0494C8A5FC33B655DF309/101"/><Relationship Id="rId6800" Type="http://schemas.openxmlformats.org/officeDocument/2006/relationships/hyperlink" TargetMode="External" Target="https://spark-interfax.ru/system/home/card#/company/E6DB83A35F424A6FBEC5448D2096DC3C/101"/><Relationship Id="rId6801" Type="http://schemas.openxmlformats.org/officeDocument/2006/relationships/hyperlink" TargetMode="External" Target="https://spark-interfax.ru/system/home/card#/company/20AAAAFD72C3415FA164699B25CE0E34/101"/><Relationship Id="rId6802" Type="http://schemas.openxmlformats.org/officeDocument/2006/relationships/hyperlink" TargetMode="External" Target="https://spark-interfax.ru/system/home/card#/company/8921FE1C7DD64B7E80A315AAA772CA4F/101"/><Relationship Id="rId6803" Type="http://schemas.openxmlformats.org/officeDocument/2006/relationships/hyperlink" TargetMode="External" Target="https://spark-interfax.ru/system/home/card#/company/68B1C3E60D7647CDB13C2DF88CCD8126/101"/><Relationship Id="rId6804" Type="http://schemas.openxmlformats.org/officeDocument/2006/relationships/hyperlink" TargetMode="External" Target="https://spark-interfax.ru/system/home/card#/company/9FA7D3406718597EE053189AA8C01291/101"/><Relationship Id="rId6805" Type="http://schemas.openxmlformats.org/officeDocument/2006/relationships/hyperlink" TargetMode="External" Target="https://spark-interfax.ru/system/home/card#/company/CAD98384385E4675A1C709B4ED321341/101"/><Relationship Id="rId6806" Type="http://schemas.openxmlformats.org/officeDocument/2006/relationships/hyperlink" TargetMode="External" Target="https://spark-interfax.ru/system/home/card#/company/22C25C17F1164661B198E14B68FFCB5F/101"/><Relationship Id="rId6807" Type="http://schemas.openxmlformats.org/officeDocument/2006/relationships/hyperlink" TargetMode="External" Target="https://spark-interfax.ru/system/home/card#/company/0F772C70A35F45AD873B55C491C21BD5/101"/><Relationship Id="rId6808" Type="http://schemas.openxmlformats.org/officeDocument/2006/relationships/hyperlink" TargetMode="External" Target="https://spark-interfax.ru/system/home/card#/company/98CDC075F29E461E960D27B3488EE24B/101"/><Relationship Id="rId6809" Type="http://schemas.openxmlformats.org/officeDocument/2006/relationships/hyperlink" TargetMode="External" Target="https://spark-interfax.ru/system/home/card#/company/9119FF9DBB5442ADAE654E31B9D0CE7E/101"/><Relationship Id="rId6810" Type="http://schemas.openxmlformats.org/officeDocument/2006/relationships/hyperlink" TargetMode="External" Target="https://spark-interfax.ru/system/home/card#/company/43BBB7DD35584D2CBF83AC34106B2511/101"/><Relationship Id="rId6811" Type="http://schemas.openxmlformats.org/officeDocument/2006/relationships/hyperlink" TargetMode="External" Target="https://spark-interfax.ru/system/home/card#/company/B517D007E1A6453D8AAB941CE23369EA/101"/><Relationship Id="rId6812" Type="http://schemas.openxmlformats.org/officeDocument/2006/relationships/hyperlink" TargetMode="External" Target="https://spark-interfax.ru/system/home/card#/company/9DA7DCA48FA043808402618D42FBEB59/101"/><Relationship Id="rId6813" Type="http://schemas.openxmlformats.org/officeDocument/2006/relationships/hyperlink" TargetMode="External" Target="https://spark-interfax.ru/system/home/card#/company/E0D02943608444EB8B34E05935BB7DC4/101"/><Relationship Id="rId6814" Type="http://schemas.openxmlformats.org/officeDocument/2006/relationships/hyperlink" TargetMode="External" Target="https://spark-interfax.ru/system/home/card#/company/78F0F39EDAFB48B79A1A45228E9003F4/101"/><Relationship Id="rId6815" Type="http://schemas.openxmlformats.org/officeDocument/2006/relationships/hyperlink" TargetMode="External" Target="https://spark-interfax.ru/system/home/card#/company/FD44FA87D0AE473D8C54C5709CF875DD/101"/><Relationship Id="rId6816" Type="http://schemas.openxmlformats.org/officeDocument/2006/relationships/hyperlink" TargetMode="External" Target="https://spark-interfax.ru/system/home/card#/company/CD7781C3082A4089902FD511C3146D5D/101"/><Relationship Id="rId6817" Type="http://schemas.openxmlformats.org/officeDocument/2006/relationships/hyperlink" TargetMode="External" Target="https://spark-interfax.ru/system/home/card#/company/AC632D24BBDA4FD28F2E2E86B3A36D5F/101"/><Relationship Id="rId6818" Type="http://schemas.openxmlformats.org/officeDocument/2006/relationships/hyperlink" TargetMode="External" Target="https://spark-interfax.ru/system/home/card#/company/8FAFC83F6C774990BBB46D3A8DB230B4/101"/><Relationship Id="rId6819" Type="http://schemas.openxmlformats.org/officeDocument/2006/relationships/hyperlink" TargetMode="External" Target="https://spark-interfax.ru/system/home/card#/company/128A15C9AC4C46FCA67C0AB232C2A5C1/101"/><Relationship Id="rId6820" Type="http://schemas.openxmlformats.org/officeDocument/2006/relationships/hyperlink" TargetMode="External" Target="https://spark-interfax.ru/system/home/card#/company/C4E8FCC0118D46E884831A8BD94C16AB/101"/><Relationship Id="rId6821" Type="http://schemas.openxmlformats.org/officeDocument/2006/relationships/hyperlink" TargetMode="External" Target="https://spark-interfax.ru/system/home/card#/company/E8742185EBF54D5EB60913C9384EFA8D/101"/><Relationship Id="rId6822" Type="http://schemas.openxmlformats.org/officeDocument/2006/relationships/hyperlink" TargetMode="External" Target="https://spark-interfax.ru/system/home/card#/company/FF8C42D2D34D4144828A1E722D821566/101"/><Relationship Id="rId6823" Type="http://schemas.openxmlformats.org/officeDocument/2006/relationships/hyperlink" TargetMode="External" Target="https://spark-interfax.ru/system/home/card#/company/0DB7510E2DF54C268615A783AA63D1BB/101"/><Relationship Id="rId6824" Type="http://schemas.openxmlformats.org/officeDocument/2006/relationships/hyperlink" TargetMode="External" Target="https://spark-interfax.ru/system/home/card#/company/69F615EFE4784DC890617C1E7542EFFD/101"/><Relationship Id="rId6825" Type="http://schemas.openxmlformats.org/officeDocument/2006/relationships/hyperlink" TargetMode="External" Target="https://spark-interfax.ru/system/home/card#/company/EF26F42228F04BF391322481DF9BB473/101"/><Relationship Id="rId6826" Type="http://schemas.openxmlformats.org/officeDocument/2006/relationships/hyperlink" TargetMode="External" Target="https://spark-interfax.ru/system/home/card#/company/7427FD38EE57420A8F26A1D07EECF638/101"/><Relationship Id="rId6827" Type="http://schemas.openxmlformats.org/officeDocument/2006/relationships/hyperlink" TargetMode="External" Target="https://spark-interfax.ru/system/home/card#/company/CF2AC78949304E34B65D8DF7217F6C12/101"/><Relationship Id="rId6828" Type="http://schemas.openxmlformats.org/officeDocument/2006/relationships/hyperlink" TargetMode="External" Target="https://spark-interfax.ru/system/home/card#/company/17EF31903A3545BCA117418BB90D554B/101"/><Relationship Id="rId6829" Type="http://schemas.openxmlformats.org/officeDocument/2006/relationships/hyperlink" TargetMode="External" Target="https://spark-interfax.ru/system/home/card#/company/870EAA0E70BB43AFAC1C9C49C1B40411/101"/><Relationship Id="rId6830" Type="http://schemas.openxmlformats.org/officeDocument/2006/relationships/hyperlink" TargetMode="External" Target="https://spark-interfax.ru/system/home/card#/company/51B7C9D4298C4175867BC2603100403B/101"/><Relationship Id="rId6831" Type="http://schemas.openxmlformats.org/officeDocument/2006/relationships/hyperlink" TargetMode="External" Target="https://spark-interfax.ru/system/home/card#/company/8F5E7AF7AB574914992EE543AC22D8D6/101"/><Relationship Id="rId6832" Type="http://schemas.openxmlformats.org/officeDocument/2006/relationships/hyperlink" TargetMode="External" Target="https://spark-interfax.ru/system/home/card#/company/09A5E065FEC6437192F2FD85EA8F0B2D/101"/><Relationship Id="rId6833" Type="http://schemas.openxmlformats.org/officeDocument/2006/relationships/hyperlink" TargetMode="External" Target="https://spark-interfax.ru/system/home/card#/company/96C17EC515904AFE8ED70A00CDD4FAE2/101"/><Relationship Id="rId6834" Type="http://schemas.openxmlformats.org/officeDocument/2006/relationships/hyperlink" TargetMode="External" Target="https://spark-interfax.ru/system/home/card#/company/6C6A4F4152894385ABC2B5D088C5D478/101"/><Relationship Id="rId6835" Type="http://schemas.openxmlformats.org/officeDocument/2006/relationships/hyperlink" TargetMode="External" Target="https://spark-interfax.ru/system/home/card#/company/DFF74B43060E460B9AA2C551906CE700/101"/><Relationship Id="rId6836" Type="http://schemas.openxmlformats.org/officeDocument/2006/relationships/hyperlink" TargetMode="External" Target="https://spark-interfax.ru/system/home/card#/company/541A7A066ECA4E71B8EE63AFF07B7375/101"/><Relationship Id="rId6837" Type="http://schemas.openxmlformats.org/officeDocument/2006/relationships/hyperlink" TargetMode="External" Target="https://spark-interfax.ru/system/home/card#/company/7EB5D268069746B1995680181128B8E2/101"/><Relationship Id="rId6838" Type="http://schemas.openxmlformats.org/officeDocument/2006/relationships/hyperlink" TargetMode="External" Target="https://spark-interfax.ru/system/home/card#/company/F2C8EEE934C64E29A136701FBE072BF8/101"/><Relationship Id="rId6839" Type="http://schemas.openxmlformats.org/officeDocument/2006/relationships/hyperlink" TargetMode="External" Target="https://spark-interfax.ru/system/home/card#/company/22EB982F66A84D19A930139CB2FF7484/101"/><Relationship Id="rId6840" Type="http://schemas.openxmlformats.org/officeDocument/2006/relationships/hyperlink" TargetMode="External" Target="https://spark-interfax.ru/system/home/card#/company/1E1912C3B1BF489FBC384A10015DD20D/101"/><Relationship Id="rId6841" Type="http://schemas.openxmlformats.org/officeDocument/2006/relationships/hyperlink" TargetMode="External" Target="https://spark-interfax.ru/system/home/card#/company/BE811AD92F944FBDA596D3FD0E7795ED/101"/><Relationship Id="rId6842" Type="http://schemas.openxmlformats.org/officeDocument/2006/relationships/hyperlink" TargetMode="External" Target="https://spark-interfax.ru/system/home/card#/company/CB4C8457E35044BE91A4BB5ED446D7E1/101"/><Relationship Id="rId6843" Type="http://schemas.openxmlformats.org/officeDocument/2006/relationships/hyperlink" TargetMode="External" Target="https://spark-interfax.ru/system/home/card#/company/44D7E6CD56C54EEB9D18F54FF8A9A9E5/101"/><Relationship Id="rId6844" Type="http://schemas.openxmlformats.org/officeDocument/2006/relationships/hyperlink" TargetMode="External" Target="https://spark-interfax.ru/system/home/card#/company/3C4942351E5F4912814BE745CB8B6C8B/101"/><Relationship Id="rId6845" Type="http://schemas.openxmlformats.org/officeDocument/2006/relationships/hyperlink" TargetMode="External" Target="https://spark-interfax.ru/system/home/card#/company/9299CCEF057E4AF1B9463D277B0558BD/101"/><Relationship Id="rId6846" Type="http://schemas.openxmlformats.org/officeDocument/2006/relationships/hyperlink" TargetMode="External" Target="https://spark-interfax.ru/system/home/card#/company/4731EA3CA89F4EE7925796FBAEE82A69/101"/><Relationship Id="rId6847" Type="http://schemas.openxmlformats.org/officeDocument/2006/relationships/hyperlink" TargetMode="External" Target="https://spark-interfax.ru/system/home/card#/company/3A94F08C643F4D36BD7C1CD1F192B588/101"/><Relationship Id="rId6848" Type="http://schemas.openxmlformats.org/officeDocument/2006/relationships/hyperlink" TargetMode="External" Target="https://spark-interfax.ru/system/home/card#/company/D2A7733C71DF534FE053219AA8C000B4/101"/><Relationship Id="rId6849" Type="http://schemas.openxmlformats.org/officeDocument/2006/relationships/hyperlink" TargetMode="External" Target="https://spark-interfax.ru/system/home/card#/company/DD15D70A5B7F4B3EBECC9AA39F10AFAE/101"/><Relationship Id="rId6850" Type="http://schemas.openxmlformats.org/officeDocument/2006/relationships/hyperlink" TargetMode="External" Target="https://spark-interfax.ru/system/home/card#/company/73AFFC98D11F453C9C9716F8C0EBA82E/101"/><Relationship Id="rId6851" Type="http://schemas.openxmlformats.org/officeDocument/2006/relationships/hyperlink" TargetMode="External" Target="https://spark-interfax.ru/system/home/card#/company/56E5E5B15C11492FA003544D526F6449/101"/><Relationship Id="rId6852" Type="http://schemas.openxmlformats.org/officeDocument/2006/relationships/hyperlink" TargetMode="External" Target="https://spark-interfax.ru/system/home/card#/company/FAA29F1002D64837A6A95C85203FBC7E/101"/><Relationship Id="rId6853" Type="http://schemas.openxmlformats.org/officeDocument/2006/relationships/hyperlink" TargetMode="External" Target="https://spark-interfax.ru/system/home/card#/company/94BDEAE575824B5ABDEF8112FB7B831F/101"/><Relationship Id="rId6854" Type="http://schemas.openxmlformats.org/officeDocument/2006/relationships/hyperlink" TargetMode="External" Target="https://spark-interfax.ru/system/home/card#/company/895CB86C39EB4B2F82C9E0E0CFAA28BE/101"/><Relationship Id="rId6855" Type="http://schemas.openxmlformats.org/officeDocument/2006/relationships/hyperlink" TargetMode="External" Target="https://spark-interfax.ru/system/home/card#/company/9BF7871AA57641518D0F4FB23FF1D533/101"/><Relationship Id="rId6856" Type="http://schemas.openxmlformats.org/officeDocument/2006/relationships/hyperlink" TargetMode="External" Target="https://spark-interfax.ru/system/home/card#/company/508EED9CEB7E4F43A93DC4222B335319/101"/><Relationship Id="rId6857" Type="http://schemas.openxmlformats.org/officeDocument/2006/relationships/hyperlink" TargetMode="External" Target="https://spark-interfax.ru/system/home/card#/company/42AB05E64E184981B13C12EB90CFD810/101"/><Relationship Id="rId6858" Type="http://schemas.openxmlformats.org/officeDocument/2006/relationships/hyperlink" TargetMode="External" Target="https://spark-interfax.ru/system/home/card#/company/BA44406917E548C6B05151BB13A248EF/101"/><Relationship Id="rId6859" Type="http://schemas.openxmlformats.org/officeDocument/2006/relationships/hyperlink" TargetMode="External" Target="https://spark-interfax.ru/system/home/card#/company/43EA44900C5D4C5E83F2F1D2085FA2A9/101"/><Relationship Id="rId6860" Type="http://schemas.openxmlformats.org/officeDocument/2006/relationships/hyperlink" TargetMode="External" Target="https://spark-interfax.ru/system/home/card#/company/C9705E3903A2494490A536C94301D1A4/101"/><Relationship Id="rId6861" Type="http://schemas.openxmlformats.org/officeDocument/2006/relationships/hyperlink" TargetMode="External" Target="https://spark-interfax.ru/system/home/card#/company/C7817E3AA8B34457A30A6E346E7ACF65/101"/><Relationship Id="rId6862" Type="http://schemas.openxmlformats.org/officeDocument/2006/relationships/hyperlink" TargetMode="External" Target="https://spark-interfax.ru/system/home/card#/company/678B62342D0D4F539522166DF8BBEF20/101"/><Relationship Id="rId6863" Type="http://schemas.openxmlformats.org/officeDocument/2006/relationships/hyperlink" TargetMode="External" Target="https://spark-interfax.ru/system/home/card#/company/CA96934D5FAA4222896C1180750822C3/101"/><Relationship Id="rId6864" Type="http://schemas.openxmlformats.org/officeDocument/2006/relationships/hyperlink" TargetMode="External" Target="https://spark-interfax.ru/system/home/card#/company/04FCB5AA411149BAA773C640E60A4332/101"/><Relationship Id="rId6865" Type="http://schemas.openxmlformats.org/officeDocument/2006/relationships/hyperlink" TargetMode="External" Target="https://spark-interfax.ru/system/home/card#/company/FB50D5A5155444EC8F13FEE6B9A42EF3/101"/><Relationship Id="rId6866" Type="http://schemas.openxmlformats.org/officeDocument/2006/relationships/hyperlink" TargetMode="External" Target="https://spark-interfax.ru/system/home/card#/company/0F6A0E2BE80146C6A4BC1DBC9CAA3DC4/101"/><Relationship Id="rId6867" Type="http://schemas.openxmlformats.org/officeDocument/2006/relationships/hyperlink" TargetMode="External" Target="https://spark-interfax.ru/system/home/card#/company/38E5558D02B04AA9A8E991ABFA1FEFED/101"/><Relationship Id="rId6868" Type="http://schemas.openxmlformats.org/officeDocument/2006/relationships/hyperlink" TargetMode="External" Target="https://spark-interfax.ru/system/home/card#/company/54193548863842A38FECCE5834E5BCEA/101"/><Relationship Id="rId6869" Type="http://schemas.openxmlformats.org/officeDocument/2006/relationships/hyperlink" TargetMode="External" Target="https://spark-interfax.ru/system/home/card#/company/279B2AC39DAD4C8F8D579BB7A6523675/101"/><Relationship Id="rId6870" Type="http://schemas.openxmlformats.org/officeDocument/2006/relationships/hyperlink" TargetMode="External" Target="https://spark-interfax.ru/system/home/card#/company/AE57FA1800EF4AB1AF6C4F75A4299BE1/101"/><Relationship Id="rId6871" Type="http://schemas.openxmlformats.org/officeDocument/2006/relationships/hyperlink" TargetMode="External" Target="https://spark-interfax.ru/system/home/card#/company/0F3D857C894747EFA6D122B313C4B696/101"/><Relationship Id="rId6872" Type="http://schemas.openxmlformats.org/officeDocument/2006/relationships/hyperlink" TargetMode="External" Target="https://spark-interfax.ru/system/home/card#/company/DF776D4CCCA3442587070A5E323C878A/101"/><Relationship Id="rId6873" Type="http://schemas.openxmlformats.org/officeDocument/2006/relationships/hyperlink" TargetMode="External" Target="https://spark-interfax.ru/system/home/card#/company/6892FBEC72114A4793E77B7261538BC5/101"/><Relationship Id="rId6874" Type="http://schemas.openxmlformats.org/officeDocument/2006/relationships/hyperlink" TargetMode="External" Target="https://spark-interfax.ru/system/home/card#/company/CE2A982EB27A4BAD8A1062E60A5DE9EE/101"/><Relationship Id="rId6875" Type="http://schemas.openxmlformats.org/officeDocument/2006/relationships/hyperlink" TargetMode="External" Target="https://spark-interfax.ru/system/home/card#/company/D70A4E561B2144CA8DD752843017E369/101"/><Relationship Id="rId6876" Type="http://schemas.openxmlformats.org/officeDocument/2006/relationships/hyperlink" TargetMode="External" Target="https://spark-interfax.ru/system/home/card#/company/2006135BF4934E2994785D7CB64DD64D/101"/><Relationship Id="rId6877" Type="http://schemas.openxmlformats.org/officeDocument/2006/relationships/hyperlink" TargetMode="External" Target="https://spark-interfax.ru/system/home/card#/company/31574E2FCE124495B5F121AA6352D71D/101"/><Relationship Id="rId6878" Type="http://schemas.openxmlformats.org/officeDocument/2006/relationships/hyperlink" TargetMode="External" Target="https://spark-interfax.ru/system/home/card#/company/ED155D622B3C48E3809E7BF8F87A0D21/101"/><Relationship Id="rId6879" Type="http://schemas.openxmlformats.org/officeDocument/2006/relationships/hyperlink" TargetMode="External" Target="https://spark-interfax.ru/system/home/card#/company/5C63C36D86A903B5E0531C9AA8C0F281/101"/><Relationship Id="rId6880" Type="http://schemas.openxmlformats.org/officeDocument/2006/relationships/hyperlink" TargetMode="External" Target="https://spark-interfax.ru/system/home/card#/company/432EAB0FACE743818D8C3F57F0823CC3/101"/><Relationship Id="rId6881" Type="http://schemas.openxmlformats.org/officeDocument/2006/relationships/hyperlink" TargetMode="External" Target="https://spark-interfax.ru/system/home/card#/company/E5D346F2B5884481911F46DF183ECA60/101"/><Relationship Id="rId6882" Type="http://schemas.openxmlformats.org/officeDocument/2006/relationships/hyperlink" TargetMode="External" Target="https://spark-interfax.ru/system/home/card#/company/319592DDB50B476899B6FE7B1296D0BF/101"/><Relationship Id="rId6883" Type="http://schemas.openxmlformats.org/officeDocument/2006/relationships/hyperlink" TargetMode="External" Target="https://spark-interfax.ru/system/home/card#/company/645C72F40CC74978A12A05F4A97A66E7/101"/><Relationship Id="rId6884" Type="http://schemas.openxmlformats.org/officeDocument/2006/relationships/hyperlink" TargetMode="External" Target="https://spark-interfax.ru/system/home/card#/company/3F458C36103B448CA4F6600975162375/101"/><Relationship Id="rId6885" Type="http://schemas.openxmlformats.org/officeDocument/2006/relationships/hyperlink" TargetMode="External" Target="https://spark-interfax.ru/system/home/card#/company/85C154234D40405CA82F0E79E9E20D88/101"/><Relationship Id="rId6886" Type="http://schemas.openxmlformats.org/officeDocument/2006/relationships/hyperlink" TargetMode="External" Target="https://spark-interfax.ru/system/home/card#/company/A60DD83B006A4F4791F97030B580A563/101"/><Relationship Id="rId6887" Type="http://schemas.openxmlformats.org/officeDocument/2006/relationships/hyperlink" TargetMode="External" Target="https://spark-interfax.ru/system/home/card#/company/B464B2EF0A0043E69E9EE74975627E5E/101"/><Relationship Id="rId6888" Type="http://schemas.openxmlformats.org/officeDocument/2006/relationships/hyperlink" TargetMode="External" Target="https://spark-interfax.ru/system/home/card#/company/8FC6175C02174133944E59CEFDB06967/101"/><Relationship Id="rId6889" Type="http://schemas.openxmlformats.org/officeDocument/2006/relationships/hyperlink" TargetMode="External" Target="https://spark-interfax.ru/system/home/card#/company/C10726A19E2D46E99DCBA24EFA704450/101"/><Relationship Id="rId6890" Type="http://schemas.openxmlformats.org/officeDocument/2006/relationships/hyperlink" TargetMode="External" Target="https://spark-interfax.ru/system/home/card#/company/A766471DB69D41719CB0322646C11BB5/101"/><Relationship Id="rId6891" Type="http://schemas.openxmlformats.org/officeDocument/2006/relationships/hyperlink" TargetMode="External" Target="https://spark-interfax.ru/system/home/card#/company/21D8B67FDE3447CB8EAA2B76D60D90EF/101"/><Relationship Id="rId6892" Type="http://schemas.openxmlformats.org/officeDocument/2006/relationships/hyperlink" TargetMode="External" Target="https://spark-interfax.ru/system/home/card#/company/6DA07E1064304999A11A4FEAF9639C0C/101"/><Relationship Id="rId6893" Type="http://schemas.openxmlformats.org/officeDocument/2006/relationships/hyperlink" TargetMode="External" Target="https://spark-interfax.ru/system/home/card#/company/28400FBED23F4BC7A5A6CAF2771A42BD/101"/><Relationship Id="rId6894" Type="http://schemas.openxmlformats.org/officeDocument/2006/relationships/hyperlink" TargetMode="External" Target="https://spark-interfax.ru/system/home/card#/company/4A067938B2E847A4B132AEC5A912B817/101"/><Relationship Id="rId6895" Type="http://schemas.openxmlformats.org/officeDocument/2006/relationships/hyperlink" TargetMode="External" Target="https://spark-interfax.ru/system/home/card#/company/92BC8739C1874CD2AC473CC41A8EA7BA/101"/><Relationship Id="rId6896" Type="http://schemas.openxmlformats.org/officeDocument/2006/relationships/hyperlink" TargetMode="External" Target="https://spark-interfax.ru/system/home/card#/company/CD43F0A753F249F48DE1373370BF94BA/101"/><Relationship Id="rId6897" Type="http://schemas.openxmlformats.org/officeDocument/2006/relationships/hyperlink" TargetMode="External" Target="https://spark-interfax.ru/system/home/card#/company/7EA31030076A49A8A7457F02C6F4C274/101"/><Relationship Id="rId6898" Type="http://schemas.openxmlformats.org/officeDocument/2006/relationships/hyperlink" TargetMode="External" Target="https://spark-interfax.ru/system/home/card#/company/170467C57AA84FE68DB6D65B0D54786A/101"/><Relationship Id="rId6899" Type="http://schemas.openxmlformats.org/officeDocument/2006/relationships/hyperlink" TargetMode="External" Target="https://spark-interfax.ru/system/home/card#/company/DB5A8C9BBC4F45FAA355293926540C4A/101"/><Relationship Id="rId6900" Type="http://schemas.openxmlformats.org/officeDocument/2006/relationships/hyperlink" TargetMode="External" Target="https://spark-interfax.ru/system/home/card#/company/EF2E54C8F970450C93CF81D0EA62C7DC/101"/><Relationship Id="rId6901" Type="http://schemas.openxmlformats.org/officeDocument/2006/relationships/hyperlink" TargetMode="External" Target="https://spark-interfax.ru/system/home/card#/company/A6BCE912CC5444848F413193E5701FEF/101"/><Relationship Id="rId6902" Type="http://schemas.openxmlformats.org/officeDocument/2006/relationships/hyperlink" TargetMode="External" Target="https://spark-interfax.ru/system/home/card#/company/F37B0F0EAFBA4BFEAC424AC8BF891896/101"/><Relationship Id="rId6903" Type="http://schemas.openxmlformats.org/officeDocument/2006/relationships/hyperlink" TargetMode="External" Target="https://spark-interfax.ru/system/home/card#/company/5FEC49E3A259492B858EB98BE85FF070/101"/><Relationship Id="rId6904" Type="http://schemas.openxmlformats.org/officeDocument/2006/relationships/hyperlink" TargetMode="External" Target="https://spark-interfax.ru/system/home/card#/company/0C40AD9953D842C4A7401765D41BAED4/101"/><Relationship Id="rId6905" Type="http://schemas.openxmlformats.org/officeDocument/2006/relationships/hyperlink" TargetMode="External" Target="https://spark-interfax.ru/system/home/card#/company/2D0E844E356B4DA7BAC6D1E289CA0217/101"/><Relationship Id="rId6906" Type="http://schemas.openxmlformats.org/officeDocument/2006/relationships/hyperlink" TargetMode="External" Target="https://spark-interfax.ru/system/home/card#/company/4F4171091B9348D795758CA2A5F421ED/101"/><Relationship Id="rId6907" Type="http://schemas.openxmlformats.org/officeDocument/2006/relationships/hyperlink" TargetMode="External" Target="https://spark-interfax.ru/system/home/card#/company/170AA27E09EA4135B10D840C0B0B1D9C/101"/><Relationship Id="rId6908" Type="http://schemas.openxmlformats.org/officeDocument/2006/relationships/hyperlink" TargetMode="External" Target="https://spark-interfax.ru/system/home/card#/company/A746ED91B9B250B6E053189AA8C08884/101"/><Relationship Id="rId6909" Type="http://schemas.openxmlformats.org/officeDocument/2006/relationships/hyperlink" TargetMode="External" Target="https://spark-interfax.ru/system/home/card#/company/B73E25D9F8C34E7887BD01FA3544B693/101"/><Relationship Id="rId6910" Type="http://schemas.openxmlformats.org/officeDocument/2006/relationships/hyperlink" TargetMode="External" Target="https://spark-interfax.ru/system/home/card#/company/9234B1BC71384574A252F7933174D951/101"/><Relationship Id="rId6911" Type="http://schemas.openxmlformats.org/officeDocument/2006/relationships/hyperlink" TargetMode="External" Target="https://spark-interfax.ru/system/home/card#/company/7830A47CD1514C098E489DC8644F1255/101"/><Relationship Id="rId6912" Type="http://schemas.openxmlformats.org/officeDocument/2006/relationships/hyperlink" TargetMode="External" Target="https://spark-interfax.ru/system/home/card#/company/0E57049E261C48EEA0E947BDBE6A1A2C/101"/><Relationship Id="rId6913" Type="http://schemas.openxmlformats.org/officeDocument/2006/relationships/hyperlink" TargetMode="External" Target="https://spark-interfax.ru/system/home/card#/company/994F6D1DCCD1485B8840B98E6DFB67AD/101"/><Relationship Id="rId6914" Type="http://schemas.openxmlformats.org/officeDocument/2006/relationships/hyperlink" TargetMode="External" Target="https://spark-interfax.ru/system/home/card#/company/9197A61BFC205A01E0531B9AA8C0CFB0/101"/><Relationship Id="rId6915" Type="http://schemas.openxmlformats.org/officeDocument/2006/relationships/hyperlink" TargetMode="External" Target="https://spark-interfax.ru/system/home/card#/company/93AEED30E0C34EB4BD597D0D3D0B9654/101"/><Relationship Id="rId6916" Type="http://schemas.openxmlformats.org/officeDocument/2006/relationships/hyperlink" TargetMode="External" Target="https://spark-interfax.ru/system/home/card#/company/64A63B096F2A42C8B29701B076E8AFD9/101"/><Relationship Id="rId6917" Type="http://schemas.openxmlformats.org/officeDocument/2006/relationships/hyperlink" TargetMode="External" Target="https://spark-interfax.ru/system/home/card#/company/80251905AB7250FAE0531B9AA8C0186A/101"/><Relationship Id="rId6918" Type="http://schemas.openxmlformats.org/officeDocument/2006/relationships/hyperlink" TargetMode="External" Target="https://spark-interfax.ru/system/home/card#/company/2A42FFA013DB414DA014705CE6EB3AAF/101"/><Relationship Id="rId6919" Type="http://schemas.openxmlformats.org/officeDocument/2006/relationships/hyperlink" TargetMode="External" Target="https://spark-interfax.ru/system/home/card#/company/730ACE886EED1A01E0531B9AA8C08C9E/101"/><Relationship Id="rId6920" Type="http://schemas.openxmlformats.org/officeDocument/2006/relationships/hyperlink" TargetMode="External" Target="https://spark-interfax.ru/system/home/card#/company/7451CFC26D6A43E98BC600728EA1C991/101"/><Relationship Id="rId6921" Type="http://schemas.openxmlformats.org/officeDocument/2006/relationships/hyperlink" TargetMode="External" Target="https://spark-interfax.ru/system/home/card#/company/5B2007F0C814454AA457BEE5DA82D938/101"/><Relationship Id="rId6922" Type="http://schemas.openxmlformats.org/officeDocument/2006/relationships/hyperlink" TargetMode="External" Target="https://spark-interfax.ru/system/home/card#/company/A3D2C3D6E86E425E8CC8C3353F5FAB05/101"/><Relationship Id="rId6923" Type="http://schemas.openxmlformats.org/officeDocument/2006/relationships/hyperlink" TargetMode="External" Target="https://spark-interfax.ru/system/home/card#/company/EAA0C004DE0349488BEE4E3BDA96F81A/101"/><Relationship Id="rId6924" Type="http://schemas.openxmlformats.org/officeDocument/2006/relationships/hyperlink" TargetMode="External" Target="https://spark-interfax.ru/system/home/card#/company/C2DF38EC726A4161AD838B35EA9F804F/101"/><Relationship Id="rId6925" Type="http://schemas.openxmlformats.org/officeDocument/2006/relationships/hyperlink" TargetMode="External" Target="https://spark-interfax.ru/system/home/card#/company/AB353AB55F271CB9E053189AA8C0420F/101"/><Relationship Id="rId6926" Type="http://schemas.openxmlformats.org/officeDocument/2006/relationships/hyperlink" TargetMode="External" Target="https://spark-interfax.ru/system/home/card#/company/70832883E0DC481293A25B102FB15FD7/101"/><Relationship Id="rId6927" Type="http://schemas.openxmlformats.org/officeDocument/2006/relationships/hyperlink" TargetMode="External" Target="https://spark-interfax.ru/system/home/card#/company/29FD1CDB992C42AE994C5ACEBFE05B1D/101"/><Relationship Id="rId6928" Type="http://schemas.openxmlformats.org/officeDocument/2006/relationships/hyperlink" TargetMode="External" Target="https://spark-interfax.ru/system/home/card#/company/625085CFEF4D41129DBDF7142E28073B/101"/><Relationship Id="rId6929" Type="http://schemas.openxmlformats.org/officeDocument/2006/relationships/hyperlink" TargetMode="External" Target="https://spark-interfax.ru/system/home/card#/company/D9FBA3FB62F14FC7A0446E6F6477D980/101"/><Relationship Id="rId6930" Type="http://schemas.openxmlformats.org/officeDocument/2006/relationships/hyperlink" TargetMode="External" Target="https://spark-interfax.ru/system/home/card#/company/A2F4B3FB56434DE3AA6A8BD8CA91C2D4/101"/><Relationship Id="rId6931" Type="http://schemas.openxmlformats.org/officeDocument/2006/relationships/hyperlink" TargetMode="External" Target="https://spark-interfax.ru/system/home/card#/company/4D1FB9A4D7C84669B45BA87937A1693F/101"/><Relationship Id="rId6932" Type="http://schemas.openxmlformats.org/officeDocument/2006/relationships/hyperlink" TargetMode="External" Target="https://spark-interfax.ru/system/home/card#/company/E97A785237C547208774F80EE751ADAE/101"/><Relationship Id="rId6933" Type="http://schemas.openxmlformats.org/officeDocument/2006/relationships/hyperlink" TargetMode="External" Target="https://spark-interfax.ru/system/home/card#/company/84C2E49D49644361A2066D427DD7F3A5/101"/><Relationship Id="rId6934" Type="http://schemas.openxmlformats.org/officeDocument/2006/relationships/hyperlink" TargetMode="External" Target="https://spark-interfax.ru/system/home/card#/company/612DEA3816394EA79F3F1ED67E86CA9E/101"/><Relationship Id="rId6935" Type="http://schemas.openxmlformats.org/officeDocument/2006/relationships/hyperlink" TargetMode="External" Target="https://spark-interfax.ru/system/home/card#/company/4A24FDF99D7F413298A02895C9F77CEE/101"/><Relationship Id="rId6936" Type="http://schemas.openxmlformats.org/officeDocument/2006/relationships/hyperlink" TargetMode="External" Target="https://spark-interfax.ru/system/home/card#/company/E96BF8717FCE4EDB9D413F55A3D889C7/101"/><Relationship Id="rId6937" Type="http://schemas.openxmlformats.org/officeDocument/2006/relationships/hyperlink" TargetMode="External" Target="https://spark-interfax.ru/system/home/card#/company/E91797F3194A4CA5A707F74DE35EDD7D/101"/><Relationship Id="rId6938" Type="http://schemas.openxmlformats.org/officeDocument/2006/relationships/hyperlink" TargetMode="External" Target="https://spark-interfax.ru/system/home/card#/company/8C9E4CED3DDF443483979E2B88F5A921/101"/><Relationship Id="rId6939" Type="http://schemas.openxmlformats.org/officeDocument/2006/relationships/hyperlink" TargetMode="External" Target="https://spark-interfax.ru/system/home/card#/company/AD7C1E87A9F54CCA84024A79355413AF/101"/><Relationship Id="rId6940" Type="http://schemas.openxmlformats.org/officeDocument/2006/relationships/hyperlink" TargetMode="External" Target="https://spark-interfax.ru/system/home/card#/company/4C2CDF9161124924B5B7B9E956C85B6A/101"/><Relationship Id="rId6941" Type="http://schemas.openxmlformats.org/officeDocument/2006/relationships/hyperlink" TargetMode="External" Target="https://spark-interfax.ru/system/home/card#/company/793F63DAE0A14C65BA2324437C5FF471/101"/><Relationship Id="rId6942" Type="http://schemas.openxmlformats.org/officeDocument/2006/relationships/hyperlink" TargetMode="External" Target="https://spark-interfax.ru/system/home/card#/company/E3D736C40B774BD3902777B0090250CF/101"/><Relationship Id="rId6943" Type="http://schemas.openxmlformats.org/officeDocument/2006/relationships/hyperlink" TargetMode="External" Target="https://spark-interfax.ru/system/home/card#/company/4352DE73151D4368929974F08ABD459A/101"/><Relationship Id="rId6944" Type="http://schemas.openxmlformats.org/officeDocument/2006/relationships/hyperlink" TargetMode="External" Target="https://spark-interfax.ru/system/home/card#/company/5EBCCE4240B44C8ABD71D34709F28BC0/101"/><Relationship Id="rId6945" Type="http://schemas.openxmlformats.org/officeDocument/2006/relationships/hyperlink" TargetMode="External" Target="https://spark-interfax.ru/system/home/card#/company/58621C0129907EF6E0531C9AA8C01878/101"/><Relationship Id="rId6946" Type="http://schemas.openxmlformats.org/officeDocument/2006/relationships/hyperlink" TargetMode="External" Target="https://spark-interfax.ru/system/home/card#/company/B93E834B98DC47FAA21BCB9D231B3491/101"/><Relationship Id="rId6947" Type="http://schemas.openxmlformats.org/officeDocument/2006/relationships/hyperlink" TargetMode="External" Target="https://spark-interfax.ru/system/home/card#/company/F52F858B1C65483A8B233B43AA51A615/101"/><Relationship Id="rId6948" Type="http://schemas.openxmlformats.org/officeDocument/2006/relationships/hyperlink" TargetMode="External" Target="https://spark-interfax.ru/system/home/card#/company/6242AE87FBDB49CCB750FAE22C66F39C/101"/><Relationship Id="rId6949" Type="http://schemas.openxmlformats.org/officeDocument/2006/relationships/hyperlink" TargetMode="External" Target="https://spark-interfax.ru/system/home/card#/company/D967C337477649439790D2422F587879/101"/><Relationship Id="rId6950" Type="http://schemas.openxmlformats.org/officeDocument/2006/relationships/hyperlink" TargetMode="External" Target="https://spark-interfax.ru/system/home/card#/company/69FDB8A8C8575C07E0531B9AA8C03E79/101"/><Relationship Id="rId6951" Type="http://schemas.openxmlformats.org/officeDocument/2006/relationships/hyperlink" TargetMode="External" Target="https://spark-interfax.ru/system/home/card#/company/B58DA642BC13450680F88B3DC18D9D5E/101"/><Relationship Id="rId6952" Type="http://schemas.openxmlformats.org/officeDocument/2006/relationships/hyperlink" TargetMode="External" Target="https://spark-interfax.ru/system/home/card#/company/3D6F7EBD899C468082824ACFB40E68DA/101"/><Relationship Id="rId6953" Type="http://schemas.openxmlformats.org/officeDocument/2006/relationships/hyperlink" TargetMode="External" Target="https://spark-interfax.ru/system/home/card#/company/62C4177C55A04E7C881BC05569D18F7E/101"/><Relationship Id="rId6954" Type="http://schemas.openxmlformats.org/officeDocument/2006/relationships/hyperlink" TargetMode="External" Target="https://spark-interfax.ru/system/home/card#/company/9721820C4CF340CA8AAAA443A0F9D073/101"/><Relationship Id="rId6955" Type="http://schemas.openxmlformats.org/officeDocument/2006/relationships/hyperlink" TargetMode="External" Target="https://spark-interfax.ru/system/home/card#/company/DFA7B1288DA643A4B6E8C402D5D7D708/101"/><Relationship Id="rId6956" Type="http://schemas.openxmlformats.org/officeDocument/2006/relationships/hyperlink" TargetMode="External" Target="https://spark-interfax.ru/system/home/card#/company/DCA449D1726440AB813F36D4212AED56/101"/><Relationship Id="rId6957" Type="http://schemas.openxmlformats.org/officeDocument/2006/relationships/hyperlink" TargetMode="External" Target="https://spark-interfax.ru/system/home/card#/company/9EBA2F93A0DE404D80662C0DA517BB52/101"/><Relationship Id="rId6958" Type="http://schemas.openxmlformats.org/officeDocument/2006/relationships/hyperlink" TargetMode="External" Target="https://spark-interfax.ru/system/home/card#/company/B4E5F35737E7431295018D114C31904F/101"/><Relationship Id="rId6959" Type="http://schemas.openxmlformats.org/officeDocument/2006/relationships/hyperlink" TargetMode="External" Target="https://spark-interfax.ru/system/home/card#/company/3B01CE5B8C4A4247B869AD27D6266E7D/101"/><Relationship Id="rId6960" Type="http://schemas.openxmlformats.org/officeDocument/2006/relationships/hyperlink" TargetMode="External" Target="https://spark-interfax.ru/system/home/card#/company/CB743451A3254A71B11C7D79628F6A3D/101"/><Relationship Id="rId6961" Type="http://schemas.openxmlformats.org/officeDocument/2006/relationships/hyperlink" TargetMode="External" Target="https://spark-interfax.ru/system/home/card#/company/4781E3CC342949EC8C14F16E4EB4CF86/101"/><Relationship Id="rId6962" Type="http://schemas.openxmlformats.org/officeDocument/2006/relationships/hyperlink" TargetMode="External" Target="https://spark-interfax.ru/system/home/card#/company/79A7886F885B45969B61A40AB0B42FDF/101"/><Relationship Id="rId6963" Type="http://schemas.openxmlformats.org/officeDocument/2006/relationships/hyperlink" TargetMode="External" Target="https://spark-interfax.ru/system/home/card#/company/ACC70A59CC952631E053189AA8C05FE7/101"/><Relationship Id="rId6964" Type="http://schemas.openxmlformats.org/officeDocument/2006/relationships/hyperlink" TargetMode="External" Target="https://spark-interfax.ru/system/home/card#/company/F773D163D1E84581A6432F91BAD6155D/101"/><Relationship Id="rId6965" Type="http://schemas.openxmlformats.org/officeDocument/2006/relationships/hyperlink" TargetMode="External" Target="https://spark-interfax.ru/system/home/card#/company/480EBAA0F8354D1CA4B12B8C812911DE/101"/><Relationship Id="rId6966" Type="http://schemas.openxmlformats.org/officeDocument/2006/relationships/hyperlink" TargetMode="External" Target="https://spark-interfax.ru/system/home/card#/company/B1CE60D3443A71B1E053219AA8C0130E/101"/><Relationship Id="rId6967" Type="http://schemas.openxmlformats.org/officeDocument/2006/relationships/hyperlink" TargetMode="External" Target="https://spark-interfax.ru/system/home/card#/company/08007DA828E04787AC78FB1BD52F1822/101"/><Relationship Id="rId6968" Type="http://schemas.openxmlformats.org/officeDocument/2006/relationships/hyperlink" TargetMode="External" Target="https://spark-interfax.ru/system/home/card#/company/7D5BC8D70B62472CB2688ED2A857167B/101"/><Relationship Id="rId6969" Type="http://schemas.openxmlformats.org/officeDocument/2006/relationships/hyperlink" TargetMode="External" Target="https://spark-interfax.ru/system/home/card#/company/0487232DBB124FC9A09C0CFF25441F09/101"/><Relationship Id="rId6970" Type="http://schemas.openxmlformats.org/officeDocument/2006/relationships/hyperlink" TargetMode="External" Target="https://spark-interfax.ru/system/home/card#/company/DC9166B705944F558E1DBF91D31E9295/101"/><Relationship Id="rId6971" Type="http://schemas.openxmlformats.org/officeDocument/2006/relationships/hyperlink" TargetMode="External" Target="https://spark-interfax.ru/system/home/card#/company/BDAC5127FADE11F4E053219AA8C07A7A/101"/><Relationship Id="rId6972" Type="http://schemas.openxmlformats.org/officeDocument/2006/relationships/hyperlink" TargetMode="External" Target="https://spark-interfax.ru/system/home/card#/company/AAD0E9F456B84FF3A7E0099267DE2676/101"/><Relationship Id="rId6973" Type="http://schemas.openxmlformats.org/officeDocument/2006/relationships/hyperlink" TargetMode="External" Target="https://spark-interfax.ru/system/home/card#/company/2859A7B3F04B450D929BDE5D92555004/101"/><Relationship Id="rId6974" Type="http://schemas.openxmlformats.org/officeDocument/2006/relationships/hyperlink" TargetMode="External" Target="https://spark-interfax.ru/system/home/card#/company/B645A6FEFF89467E968B6AD20D05FA49/101"/><Relationship Id="rId6975" Type="http://schemas.openxmlformats.org/officeDocument/2006/relationships/hyperlink" TargetMode="External" Target="https://spark-interfax.ru/system/home/card#/company/D7FEF9E9259F4353B03526EF19E80513/101"/><Relationship Id="rId6976" Type="http://schemas.openxmlformats.org/officeDocument/2006/relationships/hyperlink" TargetMode="External" Target="https://spark-interfax.ru/system/home/card#/company/C9A732173A1C462D8B2920BB90A4C5D0/101"/><Relationship Id="rId6977" Type="http://schemas.openxmlformats.org/officeDocument/2006/relationships/hyperlink" TargetMode="External" Target="https://spark-interfax.ru/system/home/card#/company/DD4FA759E6C643D883B44F956FF1D9F8/101"/><Relationship Id="rId6978" Type="http://schemas.openxmlformats.org/officeDocument/2006/relationships/hyperlink" TargetMode="External" Target="https://spark-interfax.ru/system/home/card#/company/FE4CB7801B7242FCADF614D031FDFA66/101"/><Relationship Id="rId6979" Type="http://schemas.openxmlformats.org/officeDocument/2006/relationships/hyperlink" TargetMode="External" Target="https://spark-interfax.ru/system/home/card#/company/C8F121F0CF6D4C63B9CF4489DFFECD43/101"/><Relationship Id="rId6980" Type="http://schemas.openxmlformats.org/officeDocument/2006/relationships/hyperlink" TargetMode="External" Target="https://spark-interfax.ru/system/home/card#/company/12C71794983F4C888725D2800C5C6078/101"/><Relationship Id="rId6981" Type="http://schemas.openxmlformats.org/officeDocument/2006/relationships/hyperlink" TargetMode="External" Target="https://spark-interfax.ru/system/home/card#/company/F36FA3950AEE42568A567392A0659C43/101"/><Relationship Id="rId6982" Type="http://schemas.openxmlformats.org/officeDocument/2006/relationships/hyperlink" TargetMode="External" Target="https://spark-interfax.ru/system/home/card#/company/17A294E157424C79A40BC2C56F2152FD/101"/><Relationship Id="rId6983" Type="http://schemas.openxmlformats.org/officeDocument/2006/relationships/hyperlink" TargetMode="External" Target="https://spark-interfax.ru/system/home/card#/company/8B93D402ED8444FBB6365FC7B64E273D/101"/><Relationship Id="rId6984" Type="http://schemas.openxmlformats.org/officeDocument/2006/relationships/hyperlink" TargetMode="External" Target="https://spark-interfax.ru/system/home/card#/company/1ACCDC282E3146649309F96225FAFA3B/101"/><Relationship Id="rId6985" Type="http://schemas.openxmlformats.org/officeDocument/2006/relationships/hyperlink" TargetMode="External" Target="https://spark-interfax.ru/system/home/card#/company/D4C97DEFB85748AB982643769FFDEB71/101"/><Relationship Id="rId6986" Type="http://schemas.openxmlformats.org/officeDocument/2006/relationships/hyperlink" TargetMode="External" Target="https://spark-interfax.ru/system/home/card#/company/BB9134733D1C4D0F99FFDD1331197EC3/101"/><Relationship Id="rId6987" Type="http://schemas.openxmlformats.org/officeDocument/2006/relationships/hyperlink" TargetMode="External" Target="https://spark-interfax.ru/system/home/card#/company/F9FCC1C4E6AE4BB0A75E2AA725E447A1/101"/><Relationship Id="rId6988" Type="http://schemas.openxmlformats.org/officeDocument/2006/relationships/hyperlink" TargetMode="External" Target="https://spark-interfax.ru/system/home/card#/company/90C34BFAF5CF4B1BB838B3D01F215EEA/101"/><Relationship Id="rId6989" Type="http://schemas.openxmlformats.org/officeDocument/2006/relationships/hyperlink" TargetMode="External" Target="https://spark-interfax.ru/system/home/card#/company/EBD814EC2AC948E68CAA310147783AF9/101"/><Relationship Id="rId6990" Type="http://schemas.openxmlformats.org/officeDocument/2006/relationships/hyperlink" TargetMode="External" Target="https://spark-interfax.ru/system/home/card#/company/D4B58DCFCE3E45139D740BAD46BFAE17/101"/><Relationship Id="rId6991" Type="http://schemas.openxmlformats.org/officeDocument/2006/relationships/hyperlink" TargetMode="External" Target="https://spark-interfax.ru/system/home/card#/company/BB4016248CB04AF7A83ADF47D2AC18E4/101"/><Relationship Id="rId6992" Type="http://schemas.openxmlformats.org/officeDocument/2006/relationships/hyperlink" TargetMode="External" Target="https://spark-interfax.ru/system/home/card#/company/59A298E9B92041D4AD31D7A847CC71A0/101"/><Relationship Id="rId6993" Type="http://schemas.openxmlformats.org/officeDocument/2006/relationships/hyperlink" TargetMode="External" Target="https://spark-interfax.ru/system/home/card#/company/F48E6FC603664A909F89FFDEF13D4C7C/101"/><Relationship Id="rId6994" Type="http://schemas.openxmlformats.org/officeDocument/2006/relationships/hyperlink" TargetMode="External" Target="https://spark-interfax.ru/system/home/card#/company/67B38BE0A3A6464B9BDD3A271CEA9E1F/101"/><Relationship Id="rId6995" Type="http://schemas.openxmlformats.org/officeDocument/2006/relationships/hyperlink" TargetMode="External" Target="https://spark-interfax.ru/system/home/card#/company/45298E973465480B9F97F493E4731FA0/101"/><Relationship Id="rId6996" Type="http://schemas.openxmlformats.org/officeDocument/2006/relationships/hyperlink" TargetMode="External" Target="https://spark-interfax.ru/system/home/card#/company/A7A1C595329C4D039B90C46B8781A15F/101"/><Relationship Id="rId6997" Type="http://schemas.openxmlformats.org/officeDocument/2006/relationships/hyperlink" TargetMode="External" Target="https://spark-interfax.ru/system/home/card#/company/B7C16179B69047BDB3F38961753C2D48/101"/><Relationship Id="rId6998" Type="http://schemas.openxmlformats.org/officeDocument/2006/relationships/hyperlink" TargetMode="External" Target="https://spark-interfax.ru/system/home/card#/company/F4B4D3EB1AA84BBD8E05273E5D3DDDA5/101"/><Relationship Id="rId6999" Type="http://schemas.openxmlformats.org/officeDocument/2006/relationships/hyperlink" TargetMode="External" Target="https://spark-interfax.ru/system/home/card#/company/1C5DF22BF3CE48AF9046951DA85CE972/101"/><Relationship Id="rId7000" Type="http://schemas.openxmlformats.org/officeDocument/2006/relationships/hyperlink" TargetMode="External" Target="https://spark-interfax.ru/system/home/card#/company/3252D93B83A3435D982BB6CE5253DFDD/101"/><Relationship Id="rId7001" Type="http://schemas.openxmlformats.org/officeDocument/2006/relationships/hyperlink" TargetMode="External" Target="https://spark-interfax.ru/system/home/card#/company/3656C8C3642D464DBBA9036A99CB528E/101"/><Relationship Id="rId7002" Type="http://schemas.openxmlformats.org/officeDocument/2006/relationships/hyperlink" TargetMode="External" Target="https://spark-interfax.ru/system/home/card#/company/09DBCD42D6294DE1B3335947A77E195E/101"/><Relationship Id="rId7003" Type="http://schemas.openxmlformats.org/officeDocument/2006/relationships/hyperlink" TargetMode="External" Target="https://spark-interfax.ru/system/home/card#/company/E5F45E1B3A2649038D984E3FB52F2D50/101"/><Relationship Id="rId7004" Type="http://schemas.openxmlformats.org/officeDocument/2006/relationships/hyperlink" TargetMode="External" Target="https://spark-interfax.ru/system/home/card#/company/2B2F624AE0DA4E7997531EAFC94EC0DC/101"/><Relationship Id="rId7005" Type="http://schemas.openxmlformats.org/officeDocument/2006/relationships/hyperlink" TargetMode="External" Target="https://spark-interfax.ru/system/home/card#/company/6CEF9F68C5A7412F9C024C79D6F90060/101"/><Relationship Id="rId7006" Type="http://schemas.openxmlformats.org/officeDocument/2006/relationships/hyperlink" TargetMode="External" Target="https://spark-interfax.ru/system/home/card#/company/5C650F1F354A4E1E9633F43F7A65C463/101"/><Relationship Id="rId7007" Type="http://schemas.openxmlformats.org/officeDocument/2006/relationships/hyperlink" TargetMode="External" Target="https://spark-interfax.ru/system/home/card#/company/390CF34EF7B245FA91CE67A75811E61A/101"/><Relationship Id="rId7008" Type="http://schemas.openxmlformats.org/officeDocument/2006/relationships/hyperlink" TargetMode="External" Target="https://spark-interfax.ru/system/home/card#/company/C7C53C7164E44973B64046C3D10B7EE7/101"/><Relationship Id="rId7009" Type="http://schemas.openxmlformats.org/officeDocument/2006/relationships/hyperlink" TargetMode="External" Target="https://spark-interfax.ru/system/home/card#/company/11870C05775A4DD6B8CC696B785880F1/101"/><Relationship Id="rId7010" Type="http://schemas.openxmlformats.org/officeDocument/2006/relationships/hyperlink" TargetMode="External" Target="https://spark-interfax.ru/system/home/card#/company/895594E284B6411C8F722A99F4E969BF/101"/><Relationship Id="rId7011" Type="http://schemas.openxmlformats.org/officeDocument/2006/relationships/hyperlink" TargetMode="External" Target="https://spark-interfax.ru/system/home/card#/company/50AF736B7D9245AABE3012897C988D75/101"/><Relationship Id="rId7012" Type="http://schemas.openxmlformats.org/officeDocument/2006/relationships/hyperlink" TargetMode="External" Target="https://spark-interfax.ru/system/home/card#/company/99AE8808043F495BADBB1AA18CF0FE5C/101"/><Relationship Id="rId7013" Type="http://schemas.openxmlformats.org/officeDocument/2006/relationships/hyperlink" TargetMode="External" Target="https://spark-interfax.ru/system/home/card#/company/DDF5191A33D643FCBEA61A21188C7107/101"/><Relationship Id="rId7014" Type="http://schemas.openxmlformats.org/officeDocument/2006/relationships/hyperlink" TargetMode="External" Target="https://spark-interfax.ru/system/home/card#/company/30187AA142A144C3B7147DCD7EC9E021/101"/><Relationship Id="rId7015" Type="http://schemas.openxmlformats.org/officeDocument/2006/relationships/hyperlink" TargetMode="External" Target="https://spark-interfax.ru/system/home/card#/company/C6A8C15B62FF496681AAB89B6A5294AC/101"/><Relationship Id="rId7016" Type="http://schemas.openxmlformats.org/officeDocument/2006/relationships/hyperlink" TargetMode="External" Target="https://spark-interfax.ru/system/home/card#/company/05C4E01357E7463C9DF44BBD23861FE5/101"/><Relationship Id="rId7017" Type="http://schemas.openxmlformats.org/officeDocument/2006/relationships/hyperlink" TargetMode="External" Target="https://spark-interfax.ru/system/home/card#/company/AC7BDFE0A4A14865AFD9CF7275BC1967/101"/><Relationship Id="rId7018" Type="http://schemas.openxmlformats.org/officeDocument/2006/relationships/hyperlink" TargetMode="External" Target="https://spark-interfax.ru/system/home/card#/company/DA31CA94533077D9E053259AA8C00598/101"/><Relationship Id="rId7019" Type="http://schemas.openxmlformats.org/officeDocument/2006/relationships/hyperlink" TargetMode="External" Target="https://spark-interfax.ru/system/home/card#/company/215F7ACE30A1492BA3944F0FEDAC2CAA/101"/><Relationship Id="rId7020" Type="http://schemas.openxmlformats.org/officeDocument/2006/relationships/hyperlink" TargetMode="External" Target="https://spark-interfax.ru/system/home/card#/company/143D0C3541E84872B5BB84F92090DC00/101"/><Relationship Id="rId7021" Type="http://schemas.openxmlformats.org/officeDocument/2006/relationships/hyperlink" TargetMode="External" Target="https://spark-interfax.ru/system/home/card#/company/9DE782A7AC2C45CDB332DBD5CE1A46AA/101"/><Relationship Id="rId7022" Type="http://schemas.openxmlformats.org/officeDocument/2006/relationships/hyperlink" TargetMode="External" Target="https://spark-interfax.ru/system/home/card#/company/3F7BEA0E554D4D6C970ACA12D3FF4FCA/101"/><Relationship Id="rId7023" Type="http://schemas.openxmlformats.org/officeDocument/2006/relationships/hyperlink" TargetMode="External" Target="https://spark-interfax.ru/system/home/card#/company/9FA130CF38304A46B14BAB97F93A6168/101"/><Relationship Id="rId7024" Type="http://schemas.openxmlformats.org/officeDocument/2006/relationships/hyperlink" TargetMode="External" Target="https://spark-interfax.ru/system/home/card#/company/3B80D692F2D6437C850BC10E66D04083/101"/><Relationship Id="rId7025" Type="http://schemas.openxmlformats.org/officeDocument/2006/relationships/hyperlink" TargetMode="External" Target="https://spark-interfax.ru/system/home/card#/company/BB14EA0934EA49EDE053219AA8C05B60/101"/><Relationship Id="rId7026" Type="http://schemas.openxmlformats.org/officeDocument/2006/relationships/hyperlink" TargetMode="External" Target="https://spark-interfax.ru/system/home/card#/company/981F119F02F14352B6DA01D6087455E4/101"/><Relationship Id="rId7027" Type="http://schemas.openxmlformats.org/officeDocument/2006/relationships/hyperlink" TargetMode="External" Target="https://spark-interfax.ru/system/home/card#/company/E9F3B2EEBC1143EB83FCF52BBCA4BBA7/101"/><Relationship Id="rId7028" Type="http://schemas.openxmlformats.org/officeDocument/2006/relationships/hyperlink" TargetMode="External" Target="https://spark-interfax.ru/system/home/card#/company/4C32B5E47CA649209CEA618F6321A945/101"/><Relationship Id="rId7029" Type="http://schemas.openxmlformats.org/officeDocument/2006/relationships/hyperlink" TargetMode="External" Target="https://spark-interfax.ru/system/home/card#/company/B4AB1697BCBB46E6BA966A8A5EECDB33/101"/><Relationship Id="rId7030" Type="http://schemas.openxmlformats.org/officeDocument/2006/relationships/hyperlink" TargetMode="External" Target="https://spark-interfax.ru/system/home/card#/company/DF112E4FB00D419CA659D48C7FEA5F1C/101"/><Relationship Id="rId7031" Type="http://schemas.openxmlformats.org/officeDocument/2006/relationships/hyperlink" TargetMode="External" Target="https://spark-interfax.ru/system/home/card#/company/E3A8284F85A8473190754445EF4F097D/101"/><Relationship Id="rId7032" Type="http://schemas.openxmlformats.org/officeDocument/2006/relationships/hyperlink" TargetMode="External" Target="https://spark-interfax.ru/system/home/card#/company/99F6B2E6AEF34DAA8D72F42B1A4666DB/101"/><Relationship Id="rId7033" Type="http://schemas.openxmlformats.org/officeDocument/2006/relationships/hyperlink" TargetMode="External" Target="https://spark-interfax.ru/system/home/card#/company/4D476D69C1FE457C9C8D7E5195AB45F0/101"/><Relationship Id="rId7034" Type="http://schemas.openxmlformats.org/officeDocument/2006/relationships/hyperlink" TargetMode="External" Target="https://spark-interfax.ru/system/home/card#/company/788BFE57C97848A8B682DBA7132431E2/101"/><Relationship Id="rId7035" Type="http://schemas.openxmlformats.org/officeDocument/2006/relationships/hyperlink" TargetMode="External" Target="https://spark-interfax.ru/system/home/card#/company/735CEE3B41534533A9A3C54A436BA581/101"/><Relationship Id="rId7036" Type="http://schemas.openxmlformats.org/officeDocument/2006/relationships/hyperlink" TargetMode="External" Target="https://spark-interfax.ru/system/home/card#/company/D39EC851225B47308C2DB86B0EC495E2/101"/><Relationship Id="rId7037" Type="http://schemas.openxmlformats.org/officeDocument/2006/relationships/hyperlink" TargetMode="External" Target="https://spark-interfax.ru/system/home/card#/company/9C274BC12FBE4E27A71FCBFB39259F20/101"/><Relationship Id="rId7038" Type="http://schemas.openxmlformats.org/officeDocument/2006/relationships/hyperlink" TargetMode="External" Target="https://spark-interfax.ru/system/home/card#/company/F953511A241E4317A5472360E1596B12/101"/><Relationship Id="rId7039" Type="http://schemas.openxmlformats.org/officeDocument/2006/relationships/hyperlink" TargetMode="External" Target="https://spark-interfax.ru/system/home/card#/company/7DA2873005C4408E8FE14BBAC63C1536/101"/><Relationship Id="rId7040" Type="http://schemas.openxmlformats.org/officeDocument/2006/relationships/hyperlink" TargetMode="External" Target="https://spark-interfax.ru/system/home/card#/company/26DDB60220C2485B897B5039A4BC171E/101"/><Relationship Id="rId7041" Type="http://schemas.openxmlformats.org/officeDocument/2006/relationships/hyperlink" TargetMode="External" Target="https://spark-interfax.ru/system/home/card#/company/7CEB9F1D92414D9D89515A1DF81150CB/101"/><Relationship Id="rId7042" Type="http://schemas.openxmlformats.org/officeDocument/2006/relationships/hyperlink" TargetMode="External" Target="https://spark-interfax.ru/system/home/card#/company/1BCE0B22871D4AB8801821FF9E3164D3/101"/><Relationship Id="rId7043" Type="http://schemas.openxmlformats.org/officeDocument/2006/relationships/hyperlink" TargetMode="External" Target="https://spark-interfax.ru/system/home/card#/company/769FB2C9A4FE476A93955486C0E3535B/101"/><Relationship Id="rId7044" Type="http://schemas.openxmlformats.org/officeDocument/2006/relationships/hyperlink" TargetMode="External" Target="https://spark-interfax.ru/system/home/card#/company/26BC21EC523243AFAFE9EAF59592DCE3/101"/><Relationship Id="rId7045" Type="http://schemas.openxmlformats.org/officeDocument/2006/relationships/hyperlink" TargetMode="External" Target="https://spark-interfax.ru/system/home/card#/company/43D4EBE1B4294296B03F7AAC43D83414/101"/><Relationship Id="rId7046" Type="http://schemas.openxmlformats.org/officeDocument/2006/relationships/hyperlink" TargetMode="External" Target="https://spark-interfax.ru/system/home/card#/company/A338C7675BB447D6B786CDDFCEDB36AD/101"/><Relationship Id="rId7047" Type="http://schemas.openxmlformats.org/officeDocument/2006/relationships/hyperlink" TargetMode="External" Target="https://spark-interfax.ru/system/home/card#/company/77F9EB0BF0DD4C4EA3B18393047393F4/101"/><Relationship Id="rId7048" Type="http://schemas.openxmlformats.org/officeDocument/2006/relationships/hyperlink" TargetMode="External" Target="https://spark-interfax.ru/system/home/card#/company/0A003D90D81D47149C9954BEF5911D2C/101"/><Relationship Id="rId7049" Type="http://schemas.openxmlformats.org/officeDocument/2006/relationships/hyperlink" TargetMode="External" Target="https://spark-interfax.ru/system/home/card#/company/552E2BF6C1544A4EB13914B0A5FDEB3E/101"/><Relationship Id="rId7050" Type="http://schemas.openxmlformats.org/officeDocument/2006/relationships/hyperlink" TargetMode="External" Target="https://spark-interfax.ru/system/home/card#/company/920C0C4F3E0F417BABFF17EC0052B4B3/101"/><Relationship Id="rId7051" Type="http://schemas.openxmlformats.org/officeDocument/2006/relationships/hyperlink" TargetMode="External" Target="https://spark-interfax.ru/system/home/card#/company/A2289C09D9CE42F787E67AD5A34E70A0/101"/><Relationship Id="rId7052" Type="http://schemas.openxmlformats.org/officeDocument/2006/relationships/hyperlink" TargetMode="External" Target="https://spark-interfax.ru/system/home/card#/company/861FBAF2E7104168E0531B9AA8C0FCDF/101"/><Relationship Id="rId7053" Type="http://schemas.openxmlformats.org/officeDocument/2006/relationships/hyperlink" TargetMode="External" Target="https://spark-interfax.ru/system/home/card#/company/F291727944DF492AB740193824635F5C/101"/><Relationship Id="rId7054" Type="http://schemas.openxmlformats.org/officeDocument/2006/relationships/hyperlink" TargetMode="External" Target="https://spark-interfax.ru/system/home/card#/company/9D96461375324CB5B9A01C446B78F773/101"/><Relationship Id="rId7055" Type="http://schemas.openxmlformats.org/officeDocument/2006/relationships/hyperlink" TargetMode="External" Target="https://spark-interfax.ru/system/home/card#/company/548E4B8A6330405ABDEF0519CB5F8D73/101"/><Relationship Id="rId7056" Type="http://schemas.openxmlformats.org/officeDocument/2006/relationships/hyperlink" TargetMode="External" Target="https://spark-interfax.ru/system/home/card#/company/20A4B22F5D914E64B0076823B4F1AD35/101"/><Relationship Id="rId7057" Type="http://schemas.openxmlformats.org/officeDocument/2006/relationships/hyperlink" TargetMode="External" Target="https://spark-interfax.ru/system/home/card#/company/854E32C9AA29438A86F474ABF8DB4656/101"/><Relationship Id="rId7058" Type="http://schemas.openxmlformats.org/officeDocument/2006/relationships/hyperlink" TargetMode="External" Target="https://spark-interfax.ru/system/home/card#/company/287C1EF6F70841E980F3091D55E5845E/101"/><Relationship Id="rId7059" Type="http://schemas.openxmlformats.org/officeDocument/2006/relationships/hyperlink" TargetMode="External" Target="https://spark-interfax.ru/system/home/card#/company/28F8F71A2E314B6D98B8D4A28DBEEC4A/101"/><Relationship Id="rId7060" Type="http://schemas.openxmlformats.org/officeDocument/2006/relationships/hyperlink" TargetMode="External" Target="https://spark-interfax.ru/system/home/card#/company/C46F4EE4CA0549DBE053219AA8C00621/101"/><Relationship Id="rId7061" Type="http://schemas.openxmlformats.org/officeDocument/2006/relationships/hyperlink" TargetMode="External" Target="https://spark-interfax.ru/system/home/card#/company/35B31A2F0D664ADDBF84266A724B5DFC/101"/><Relationship Id="rId7062" Type="http://schemas.openxmlformats.org/officeDocument/2006/relationships/hyperlink" TargetMode="External" Target="https://spark-interfax.ru/system/home/card#/company/0438D9CB47CF42DA81D146C0759573C8/101"/><Relationship Id="rId7063" Type="http://schemas.openxmlformats.org/officeDocument/2006/relationships/hyperlink" TargetMode="External" Target="https://spark-interfax.ru/system/home/card#/company/8775AF4A8FE07F7DE0531B9AA8C0CEDB/101"/><Relationship Id="rId7064" Type="http://schemas.openxmlformats.org/officeDocument/2006/relationships/hyperlink" TargetMode="External" Target="https://spark-interfax.ru/system/home/card#/company/4C3DCEB0FC7740A19F274D5B56DDD80F/101"/><Relationship Id="rId7065" Type="http://schemas.openxmlformats.org/officeDocument/2006/relationships/hyperlink" TargetMode="External" Target="https://spark-interfax.ru/system/home/card#/company/50DA0EFA72064409A4D50DDF099D7B44/101"/><Relationship Id="rId7066" Type="http://schemas.openxmlformats.org/officeDocument/2006/relationships/hyperlink" TargetMode="External" Target="https://spark-interfax.ru/system/home/card#/company/91387CC938BC412687103BC1F949F0BB/101"/><Relationship Id="rId7067" Type="http://schemas.openxmlformats.org/officeDocument/2006/relationships/hyperlink" TargetMode="External" Target="https://spark-interfax.ru/system/home/card#/company/CBBC31CD8C144137A55BD3F8E1A4611A/101"/><Relationship Id="rId7068" Type="http://schemas.openxmlformats.org/officeDocument/2006/relationships/hyperlink" TargetMode="External" Target="https://spark-interfax.ru/system/home/card#/company/0F0A3BAE41C34D9381DBAB88442695A1/101"/><Relationship Id="rId7069" Type="http://schemas.openxmlformats.org/officeDocument/2006/relationships/hyperlink" TargetMode="External" Target="https://spark-interfax.ru/system/home/card#/company/C7F61BC19952467E8BFFD57E40BBB62F/101"/><Relationship Id="rId7070" Type="http://schemas.openxmlformats.org/officeDocument/2006/relationships/hyperlink" TargetMode="External" Target="https://spark-interfax.ru/system/home/card#/company/ED12B3DDCA144FAEBA63331B03ED1AA8/101"/><Relationship Id="rId7071" Type="http://schemas.openxmlformats.org/officeDocument/2006/relationships/hyperlink" TargetMode="External" Target="https://spark-interfax.ru/system/home/card#/company/C21C552D2FFF4DABB34BE1C02CA21C25/101"/><Relationship Id="rId7072" Type="http://schemas.openxmlformats.org/officeDocument/2006/relationships/hyperlink" TargetMode="External" Target="https://spark-interfax.ru/system/home/card#/company/CB0DB29994EB465B93A944B1FD6BE12A/101"/><Relationship Id="rId7073" Type="http://schemas.openxmlformats.org/officeDocument/2006/relationships/hyperlink" TargetMode="External" Target="https://spark-interfax.ru/system/home/card#/company/2B365E513C2C45E798D322945DEAC34F/101"/><Relationship Id="rId7074" Type="http://schemas.openxmlformats.org/officeDocument/2006/relationships/hyperlink" TargetMode="External" Target="https://spark-interfax.ru/system/home/card#/company/7EEFA168F943479AA6A31583A5F2F6FD/101"/><Relationship Id="rId7075" Type="http://schemas.openxmlformats.org/officeDocument/2006/relationships/hyperlink" TargetMode="External" Target="https://spark-interfax.ru/system/home/card#/company/7524D318810B1923E0531B9AA8C016AA/101"/><Relationship Id="rId7076" Type="http://schemas.openxmlformats.org/officeDocument/2006/relationships/hyperlink" TargetMode="External" Target="https://spark-interfax.ru/system/home/card#/company/D5B5A2D3E27848A4AE51FFAE0997BDE5/101"/><Relationship Id="rId7077" Type="http://schemas.openxmlformats.org/officeDocument/2006/relationships/hyperlink" TargetMode="External" Target="https://spark-interfax.ru/system/home/card#/company/7A185F4D34B15B15E0531F9AA8C08459/101"/><Relationship Id="rId7078" Type="http://schemas.openxmlformats.org/officeDocument/2006/relationships/hyperlink" TargetMode="External" Target="https://spark-interfax.ru/system/home/card#/company/E5DF7B0FF68A4284BB9B55CACC63A240/101"/><Relationship Id="rId7079" Type="http://schemas.openxmlformats.org/officeDocument/2006/relationships/hyperlink" TargetMode="External" Target="https://spark-interfax.ru/system/home/card#/company/FE8C47028AAD4801A79831980A968D86/101"/><Relationship Id="rId7080" Type="http://schemas.openxmlformats.org/officeDocument/2006/relationships/hyperlink" TargetMode="External" Target="https://spark-interfax.ru/system/home/card#/company/47816AA164B44E01BBB6D3608C451EDB/101"/><Relationship Id="rId7081" Type="http://schemas.openxmlformats.org/officeDocument/2006/relationships/hyperlink" TargetMode="External" Target="https://spark-interfax.ru/system/home/card#/company/6FFE3E48B86042459CF159F661667EE4/101"/><Relationship Id="rId7082" Type="http://schemas.openxmlformats.org/officeDocument/2006/relationships/hyperlink" TargetMode="External" Target="https://spark-interfax.ru/system/home/card#/company/A1900FDDA56D482D9C64E3BC1A7792D4/101"/><Relationship Id="rId7083" Type="http://schemas.openxmlformats.org/officeDocument/2006/relationships/hyperlink" TargetMode="External" Target="https://spark-interfax.ru/system/home/card#/company/9694BEC486D24F918A2907F5FD772B55/101"/><Relationship Id="rId7084" Type="http://schemas.openxmlformats.org/officeDocument/2006/relationships/hyperlink" TargetMode="External" Target="https://spark-interfax.ru/system/home/card#/company/F0D1B65780714B47A64C3DFE57C4BB24/101"/><Relationship Id="rId7085" Type="http://schemas.openxmlformats.org/officeDocument/2006/relationships/hyperlink" TargetMode="External" Target="https://spark-interfax.ru/system/home/card#/company/F31A2CCEE4064E66A338DD2A9E50C8FD/101"/><Relationship Id="rId7086" Type="http://schemas.openxmlformats.org/officeDocument/2006/relationships/hyperlink" TargetMode="External" Target="https://spark-interfax.ru/system/home/card#/company/1FAE88E6BE66488A9F8E53F572D7AF30/101"/><Relationship Id="rId7087" Type="http://schemas.openxmlformats.org/officeDocument/2006/relationships/hyperlink" TargetMode="External" Target="https://spark-interfax.ru/system/home/card#/company/2CC6D044521340BC8E8B99D0486D281F/101"/><Relationship Id="rId7088" Type="http://schemas.openxmlformats.org/officeDocument/2006/relationships/hyperlink" TargetMode="External" Target="https://spark-interfax.ru/system/home/card#/company/6D40A79C48C54613819047D9D2A85933/101"/><Relationship Id="rId7089" Type="http://schemas.openxmlformats.org/officeDocument/2006/relationships/hyperlink" TargetMode="External" Target="https://spark-interfax.ru/system/home/card#/company/2DE5D93F71084A6E899CAA4573FA43F0/101"/><Relationship Id="rId7090" Type="http://schemas.openxmlformats.org/officeDocument/2006/relationships/hyperlink" TargetMode="External" Target="https://spark-interfax.ru/system/home/card#/company/3C21E064B06D446A84490C1BDFEA5B9A/101"/><Relationship Id="rId7091" Type="http://schemas.openxmlformats.org/officeDocument/2006/relationships/hyperlink" TargetMode="External" Target="https://spark-interfax.ru/system/home/card#/company/99A565AD1D68435A8AA1D062966C68EA/101"/><Relationship Id="rId7092" Type="http://schemas.openxmlformats.org/officeDocument/2006/relationships/hyperlink" TargetMode="External" Target="https://spark-interfax.ru/system/home/card#/company/37EE4418F88647158AC9610B771C46F4/101"/><Relationship Id="rId7093" Type="http://schemas.openxmlformats.org/officeDocument/2006/relationships/hyperlink" TargetMode="External" Target="https://spark-interfax.ru/system/home/card#/company/C086FFCA6B3C47069D5151B0ED92F8CD/101"/><Relationship Id="rId7094" Type="http://schemas.openxmlformats.org/officeDocument/2006/relationships/hyperlink" TargetMode="External" Target="https://spark-interfax.ru/system/home/card#/company/D073C5AC9C16493FB5449582A556FDC0/101"/><Relationship Id="rId7095" Type="http://schemas.openxmlformats.org/officeDocument/2006/relationships/hyperlink" TargetMode="External" Target="https://spark-interfax.ru/system/home/card#/company/CCD74BED5AD6414AAA0096623DA0C695/101"/><Relationship Id="rId7096" Type="http://schemas.openxmlformats.org/officeDocument/2006/relationships/hyperlink" TargetMode="External" Target="https://spark-interfax.ru/system/home/card#/company/42D309D1672542B9887135EC4D361BD3/101"/><Relationship Id="rId7097" Type="http://schemas.openxmlformats.org/officeDocument/2006/relationships/hyperlink" TargetMode="External" Target="https://spark-interfax.ru/system/home/card#/company/C04C50C428574877AB3D5E99780A4EBE/101"/><Relationship Id="rId7098" Type="http://schemas.openxmlformats.org/officeDocument/2006/relationships/hyperlink" TargetMode="External" Target="https://spark-interfax.ru/system/home/card#/company/84C48948F7404205B3A1F44290007DE8/101"/><Relationship Id="rId7099" Type="http://schemas.openxmlformats.org/officeDocument/2006/relationships/hyperlink" TargetMode="External" Target="https://spark-interfax.ru/system/home/card#/company/C7756E32857F48039C1236661D0D869B/101"/><Relationship Id="rId7100" Type="http://schemas.openxmlformats.org/officeDocument/2006/relationships/hyperlink" TargetMode="External" Target="https://spark-interfax.ru/system/home/card#/company/7F794265E0D2462593A6A1347F22482F/101"/><Relationship Id="rId7101" Type="http://schemas.openxmlformats.org/officeDocument/2006/relationships/hyperlink" TargetMode="External" Target="https://spark-interfax.ru/system/home/card#/company/3159F4817BDD402F8A628C4133232185/101"/><Relationship Id="rId7102" Type="http://schemas.openxmlformats.org/officeDocument/2006/relationships/hyperlink" TargetMode="External" Target="https://spark-interfax.ru/system/home/card#/company/3C3340D2DB4A49D48624EBFF7D6DEDEF/101"/><Relationship Id="rId7103" Type="http://schemas.openxmlformats.org/officeDocument/2006/relationships/hyperlink" TargetMode="External" Target="https://spark-interfax.ru/system/home/card#/company/2ED06A276F81436A86A6CC2E1E11E040/101"/><Relationship Id="rId7104" Type="http://schemas.openxmlformats.org/officeDocument/2006/relationships/hyperlink" TargetMode="External" Target="https://spark-interfax.ru/system/home/card#/company/A5119099203347AEA7F0BB4E9EEDB18A/101"/><Relationship Id="rId7105" Type="http://schemas.openxmlformats.org/officeDocument/2006/relationships/hyperlink" TargetMode="External" Target="https://spark-interfax.ru/system/home/card#/company/2D60BEE3ED354FE7AF50E5A4B58D36B5/101"/><Relationship Id="rId7106" Type="http://schemas.openxmlformats.org/officeDocument/2006/relationships/hyperlink" TargetMode="External" Target="https://spark-interfax.ru/system/home/card#/company/5DA7EA986B32109CE0531B9AA8C06581/101"/><Relationship Id="rId7107" Type="http://schemas.openxmlformats.org/officeDocument/2006/relationships/hyperlink" TargetMode="External" Target="https://spark-interfax.ru/system/home/card#/company/5DDB6203775E42609988CB0A3DCC21F7/101"/><Relationship Id="rId7108" Type="http://schemas.openxmlformats.org/officeDocument/2006/relationships/hyperlink" TargetMode="External" Target="https://spark-interfax.ru/system/home/card#/company/F4A18ACAF524403F940FE67249D2457C/101"/><Relationship Id="rId7109" Type="http://schemas.openxmlformats.org/officeDocument/2006/relationships/hyperlink" TargetMode="External" Target="https://spark-interfax.ru/system/home/card#/company/03B65CC2E97343A6B1CBD955EE5CEF1F/101"/><Relationship Id="rId7110" Type="http://schemas.openxmlformats.org/officeDocument/2006/relationships/hyperlink" TargetMode="External" Target="https://spark-interfax.ru/system/home/card#/company/3763544A9DB2403F811510B8D42C0FB8/101"/><Relationship Id="rId7111" Type="http://schemas.openxmlformats.org/officeDocument/2006/relationships/hyperlink" TargetMode="External" Target="https://spark-interfax.ru/system/home/card#/company/D0D2A4D6F5FA4980AB2436693BE955E2/101"/><Relationship Id="rId7112" Type="http://schemas.openxmlformats.org/officeDocument/2006/relationships/hyperlink" TargetMode="External" Target="https://spark-interfax.ru/system/home/card#/company/08A09126F2034942AE3171D8EF4DDDDC/101"/><Relationship Id="rId7113" Type="http://schemas.openxmlformats.org/officeDocument/2006/relationships/hyperlink" TargetMode="External" Target="https://spark-interfax.ru/system/home/card#/company/9AF41AF7220E40B1A9A5FF75F905C62E/101"/><Relationship Id="rId7114" Type="http://schemas.openxmlformats.org/officeDocument/2006/relationships/hyperlink" TargetMode="External" Target="https://spark-interfax.ru/system/home/card#/company/0D969341E2514687BFB77F37921D3193/101"/><Relationship Id="rId7115" Type="http://schemas.openxmlformats.org/officeDocument/2006/relationships/hyperlink" TargetMode="External" Target="https://spark-interfax.ru/system/home/card#/company/98A39153A7D34A498F9521277447641B/101"/><Relationship Id="rId7116" Type="http://schemas.openxmlformats.org/officeDocument/2006/relationships/hyperlink" TargetMode="External" Target="https://spark-interfax.ru/system/home/card#/company/6A36A962BA7F42FFBBDBACF4FB8CB00C/101"/><Relationship Id="rId7117" Type="http://schemas.openxmlformats.org/officeDocument/2006/relationships/hyperlink" TargetMode="External" Target="https://spark-interfax.ru/system/home/card#/company/50E2B749966F49E28540F0BAAE629089/101"/><Relationship Id="rId7118" Type="http://schemas.openxmlformats.org/officeDocument/2006/relationships/hyperlink" TargetMode="External" Target="https://spark-interfax.ru/system/home/card#/company/50F13D0E2AD94D2B82083B3AD9EDE855/101"/><Relationship Id="rId7119" Type="http://schemas.openxmlformats.org/officeDocument/2006/relationships/hyperlink" TargetMode="External" Target="https://spark-interfax.ru/system/home/card#/company/B364DE2EA921479197872623BD543302/101"/><Relationship Id="rId7120" Type="http://schemas.openxmlformats.org/officeDocument/2006/relationships/hyperlink" TargetMode="External" Target="https://spark-interfax.ru/system/home/card#/company/517FCBFB3B3E45BB8ACDDDB934038747/101"/><Relationship Id="rId7121" Type="http://schemas.openxmlformats.org/officeDocument/2006/relationships/hyperlink" TargetMode="External" Target="https://spark-interfax.ru/system/home/card#/company/C37FB6F8E6784C899C2103CC4EEEA8F9/101"/><Relationship Id="rId7122" Type="http://schemas.openxmlformats.org/officeDocument/2006/relationships/hyperlink" TargetMode="External" Target="https://spark-interfax.ru/system/home/card#/company/CD91D9F318F249D2B256BF840390104C/101"/><Relationship Id="rId7123" Type="http://schemas.openxmlformats.org/officeDocument/2006/relationships/hyperlink" TargetMode="External" Target="https://spark-interfax.ru/system/home/card#/company/B3B0F3EB1DBC44C09447A4A65B195EC1/101"/><Relationship Id="rId7124" Type="http://schemas.openxmlformats.org/officeDocument/2006/relationships/hyperlink" TargetMode="External" Target="https://spark-interfax.ru/system/home/card#/company/36333BD87EC547D3937E30456808A99C/101"/><Relationship Id="rId7125" Type="http://schemas.openxmlformats.org/officeDocument/2006/relationships/hyperlink" TargetMode="External" Target="https://spark-interfax.ru/system/home/card#/company/A373AB8BA98C4F1EA145121263E781DD/101"/><Relationship Id="rId7126" Type="http://schemas.openxmlformats.org/officeDocument/2006/relationships/hyperlink" TargetMode="External" Target="https://spark-interfax.ru/system/home/card#/company/69377854B1E74C3CB0F0F2C5B39DF848/101"/><Relationship Id="rId7127" Type="http://schemas.openxmlformats.org/officeDocument/2006/relationships/hyperlink" TargetMode="External" Target="https://spark-interfax.ru/system/home/card#/company/80989A4CD545485096B11F16CFFD5C30/101"/><Relationship Id="rId7128" Type="http://schemas.openxmlformats.org/officeDocument/2006/relationships/hyperlink" TargetMode="External" Target="https://spark-interfax.ru/system/home/card#/company/91F3049EE5EB47A5905F89BF73400132/101"/><Relationship Id="rId7129" Type="http://schemas.openxmlformats.org/officeDocument/2006/relationships/hyperlink" TargetMode="External" Target="https://spark-interfax.ru/system/home/card#/company/B55314CC05BC4FCC8628EA53F4197662/101"/><Relationship Id="rId7130" Type="http://schemas.openxmlformats.org/officeDocument/2006/relationships/hyperlink" TargetMode="External" Target="https://spark-interfax.ru/system/home/card#/company/AFA3E2341AF54453A765035890312944/101"/><Relationship Id="rId7131" Type="http://schemas.openxmlformats.org/officeDocument/2006/relationships/hyperlink" TargetMode="External" Target="https://spark-interfax.ru/system/home/card#/company/CCD44C100CC741428FC99610DF446C5A/101"/><Relationship Id="rId7132" Type="http://schemas.openxmlformats.org/officeDocument/2006/relationships/hyperlink" TargetMode="External" Target="https://spark-interfax.ru/system/home/card#/company/77A7BBC4E3364BCDBB3DE3E5FFAD6C92/101"/><Relationship Id="rId7133" Type="http://schemas.openxmlformats.org/officeDocument/2006/relationships/hyperlink" TargetMode="External" Target="https://spark-interfax.ru/system/home/card#/company/C1E3156FE8454FA8B3B963F692224688/101"/><Relationship Id="rId7134" Type="http://schemas.openxmlformats.org/officeDocument/2006/relationships/hyperlink" TargetMode="External" Target="https://spark-interfax.ru/system/home/card#/company/CB8893C8B9304A66AAC574EA732D256A/101"/><Relationship Id="rId7135" Type="http://schemas.openxmlformats.org/officeDocument/2006/relationships/hyperlink" TargetMode="External" Target="https://spark-interfax.ru/system/home/card#/company/B4D2669905894A8B92D2CE5A9B850E79/101"/><Relationship Id="rId7136" Type="http://schemas.openxmlformats.org/officeDocument/2006/relationships/hyperlink" TargetMode="External" Target="https://spark-interfax.ru/system/home/card#/company/9260B597EF2A407FBE5E5E71221B58F2/101"/><Relationship Id="rId7137" Type="http://schemas.openxmlformats.org/officeDocument/2006/relationships/hyperlink" TargetMode="External" Target="https://spark-interfax.ru/system/home/card#/company/E24B561A26814AECB0CF74C6357F1017/101"/><Relationship Id="rId7138" Type="http://schemas.openxmlformats.org/officeDocument/2006/relationships/hyperlink" TargetMode="External" Target="https://spark-interfax.ru/system/home/card#/company/6C47C374E1F3463AB05B7A8F324CC2CE/101"/><Relationship Id="rId7139" Type="http://schemas.openxmlformats.org/officeDocument/2006/relationships/hyperlink" TargetMode="External" Target="https://spark-interfax.ru/system/home/card#/company/89BBABFDCFF95D0CE0531B9AA8C0FA93/101"/><Relationship Id="rId7140" Type="http://schemas.openxmlformats.org/officeDocument/2006/relationships/hyperlink" TargetMode="External" Target="https://spark-interfax.ru/system/home/card#/company/EC0C509AD80E4B6AA7A690FD0C6AC36E/101"/><Relationship Id="rId7141" Type="http://schemas.openxmlformats.org/officeDocument/2006/relationships/hyperlink" TargetMode="External" Target="https://spark-interfax.ru/system/home/card#/company/5199A77D8B86460E94F95ED0B6D3E902/101"/><Relationship Id="rId7142" Type="http://schemas.openxmlformats.org/officeDocument/2006/relationships/hyperlink" TargetMode="External" Target="https://spark-interfax.ru/system/home/card#/company/927570EC9E7F49B29BE8BC1093477B1B/101"/><Relationship Id="rId7143" Type="http://schemas.openxmlformats.org/officeDocument/2006/relationships/hyperlink" TargetMode="External" Target="https://spark-interfax.ru/system/home/card#/company/12D6F865B99F4E2397239C8B2F953CDB/101"/><Relationship Id="rId7144" Type="http://schemas.openxmlformats.org/officeDocument/2006/relationships/hyperlink" TargetMode="External" Target="https://spark-interfax.ru/system/home/card#/company/CCDC2F3E394A43A593233DA512A19FAD/101"/><Relationship Id="rId7145" Type="http://schemas.openxmlformats.org/officeDocument/2006/relationships/hyperlink" TargetMode="External" Target="https://spark-interfax.ru/system/home/card#/company/566AC1DA55B246C48A8347879510F05D/101"/><Relationship Id="rId7146" Type="http://schemas.openxmlformats.org/officeDocument/2006/relationships/hyperlink" TargetMode="External" Target="https://spark-interfax.ru/system/home/card#/company/FA6F39D071224402877F11BBD88A66AD/101"/><Relationship Id="rId7147" Type="http://schemas.openxmlformats.org/officeDocument/2006/relationships/hyperlink" TargetMode="External" Target="https://spark-interfax.ru/system/home/card#/company/2F5138D9688E47899B6AF1717FB8C937/101"/><Relationship Id="rId7148" Type="http://schemas.openxmlformats.org/officeDocument/2006/relationships/hyperlink" TargetMode="External" Target="https://spark-interfax.ru/system/home/card#/company/9E51E1217BC37744E053179AA8C0C8AC/101"/><Relationship Id="rId7149" Type="http://schemas.openxmlformats.org/officeDocument/2006/relationships/hyperlink" TargetMode="External" Target="https://spark-interfax.ru/system/home/card#/company/A72B5B32514045CDA1F2BCBEB0E9988C/101"/><Relationship Id="rId7150" Type="http://schemas.openxmlformats.org/officeDocument/2006/relationships/hyperlink" TargetMode="External" Target="https://spark-interfax.ru/system/home/card#/company/695FFFA4C3C643D38DBC86C0AFAC8576/101"/><Relationship Id="rId7151" Type="http://schemas.openxmlformats.org/officeDocument/2006/relationships/hyperlink" TargetMode="External" Target="https://spark-interfax.ru/system/home/card#/company/ADE6E2239DF24C2AAEDD7AC7FB106C3F/101"/><Relationship Id="rId7152" Type="http://schemas.openxmlformats.org/officeDocument/2006/relationships/hyperlink" TargetMode="External" Target="https://spark-interfax.ru/system/home/card#/company/3A3CC5A8132E401288DDACB86B5FD076/101"/><Relationship Id="rId7153" Type="http://schemas.openxmlformats.org/officeDocument/2006/relationships/hyperlink" TargetMode="External" Target="https://spark-interfax.ru/system/home/card#/company/B1F473B4674A42369630B46FA531B9D7/101"/><Relationship Id="rId7154" Type="http://schemas.openxmlformats.org/officeDocument/2006/relationships/hyperlink" TargetMode="External" Target="https://spark-interfax.ru/system/home/card#/company/608661EBFC144206BCCFA591BEA9BC4A/101"/><Relationship Id="rId7155" Type="http://schemas.openxmlformats.org/officeDocument/2006/relationships/hyperlink" TargetMode="External" Target="https://spark-interfax.ru/system/home/card#/company/CFAB3D7C633E456988ECE1FD38231AD4/101"/><Relationship Id="rId7156" Type="http://schemas.openxmlformats.org/officeDocument/2006/relationships/hyperlink" TargetMode="External" Target="https://spark-interfax.ru/system/home/card#/company/689A90AB00E04E18A6BB0133BEE88796/101"/><Relationship Id="rId7157" Type="http://schemas.openxmlformats.org/officeDocument/2006/relationships/hyperlink" TargetMode="External" Target="https://spark-interfax.ru/system/home/card#/company/202E64D41D524744AFDA5DFECA96782D/101"/><Relationship Id="rId7158" Type="http://schemas.openxmlformats.org/officeDocument/2006/relationships/hyperlink" TargetMode="External" Target="https://spark-interfax.ru/system/home/card#/company/749EBFCC3EFE4698B0ABB90993384F87/101"/><Relationship Id="rId7159" Type="http://schemas.openxmlformats.org/officeDocument/2006/relationships/hyperlink" TargetMode="External" Target="https://spark-interfax.ru/system/home/card#/company/97C92C3B4ACC49A2826A0FEC7FE828CE/101"/><Relationship Id="rId7160" Type="http://schemas.openxmlformats.org/officeDocument/2006/relationships/hyperlink" TargetMode="External" Target="https://spark-interfax.ru/system/home/card#/company/8216C05494304720AE48C505BA12E89F/101"/><Relationship Id="rId7161" Type="http://schemas.openxmlformats.org/officeDocument/2006/relationships/hyperlink" TargetMode="External" Target="https://spark-interfax.ru/system/home/card#/company/B9D21826EF595C46E053219AA8C052CA/101"/><Relationship Id="rId7162" Type="http://schemas.openxmlformats.org/officeDocument/2006/relationships/hyperlink" TargetMode="External" Target="https://spark-interfax.ru/system/home/card#/company/5A6D1942A1188DE2E0531C9AA8C0645D/101"/><Relationship Id="rId7163" Type="http://schemas.openxmlformats.org/officeDocument/2006/relationships/hyperlink" TargetMode="External" Target="https://spark-interfax.ru/system/home/card#/company/187C2D1721534D7F912053A3FC8CC851/101"/><Relationship Id="rId7164" Type="http://schemas.openxmlformats.org/officeDocument/2006/relationships/hyperlink" TargetMode="External" Target="https://spark-interfax.ru/system/home/card#/company/9F3E2E594BB34F23AFA8452941275F5E/101"/><Relationship Id="rId7165" Type="http://schemas.openxmlformats.org/officeDocument/2006/relationships/hyperlink" TargetMode="External" Target="https://spark-interfax.ru/system/home/card#/company/970A30261E6F44B8B2EE0C142E6E69D7/101"/><Relationship Id="rId7166" Type="http://schemas.openxmlformats.org/officeDocument/2006/relationships/hyperlink" TargetMode="External" Target="https://spark-interfax.ru/system/home/card#/company/C80200429EAF406FAFCAD8D06A618E5F/101"/><Relationship Id="rId7167" Type="http://schemas.openxmlformats.org/officeDocument/2006/relationships/hyperlink" TargetMode="External" Target="https://spark-interfax.ru/system/home/card#/company/E216EE87573A460A8AAB37E2311668C5/101"/><Relationship Id="rId7168" Type="http://schemas.openxmlformats.org/officeDocument/2006/relationships/hyperlink" TargetMode="External" Target="https://spark-interfax.ru/system/home/card#/company/779658F7A6452487E0531B9AA8C0FAA3/101"/><Relationship Id="rId7169" Type="http://schemas.openxmlformats.org/officeDocument/2006/relationships/hyperlink" TargetMode="External" Target="https://spark-interfax.ru/system/home/card#/company/A8148119749641FDB346322B25345D25/101"/><Relationship Id="rId7170" Type="http://schemas.openxmlformats.org/officeDocument/2006/relationships/hyperlink" TargetMode="External" Target="https://spark-interfax.ru/system/home/card#/company/B7E99F8E2A1645C69C4505C062E6E701/101"/><Relationship Id="rId7171" Type="http://schemas.openxmlformats.org/officeDocument/2006/relationships/hyperlink" TargetMode="External" Target="https://spark-interfax.ru/system/home/card#/company/8413826354A979B1E0531B9AA8C09BAE/101"/><Relationship Id="rId7172" Type="http://schemas.openxmlformats.org/officeDocument/2006/relationships/hyperlink" TargetMode="External" Target="https://spark-interfax.ru/system/home/card#/company/81B7E6FDEB333F7EE0531B9AA8C05EC6/101"/><Relationship Id="rId7173" Type="http://schemas.openxmlformats.org/officeDocument/2006/relationships/hyperlink" TargetMode="External" Target="https://spark-interfax.ru/system/home/card#/company/8AE76540F54A4F9E9119FB4EE625FBA1/101"/><Relationship Id="rId7174" Type="http://schemas.openxmlformats.org/officeDocument/2006/relationships/hyperlink" TargetMode="External" Target="https://spark-interfax.ru/system/home/card#/company/8956C5008F8E0F04E0531B9AA8C0CF69/101"/><Relationship Id="rId7175" Type="http://schemas.openxmlformats.org/officeDocument/2006/relationships/hyperlink" TargetMode="External" Target="https://spark-interfax.ru/system/home/card#/company/313CC4EE950C4E058FD4654DB6F683C3/101"/><Relationship Id="rId7176" Type="http://schemas.openxmlformats.org/officeDocument/2006/relationships/hyperlink" TargetMode="External" Target="https://spark-interfax.ru/system/home/card#/company/EB4BEFED73E24DF49ECBCED5EC3B81E5/101"/><Relationship Id="rId7177" Type="http://schemas.openxmlformats.org/officeDocument/2006/relationships/hyperlink" TargetMode="External" Target="https://spark-interfax.ru/system/home/card#/company/3A57ABD3D4574396B225EF1A376415AD/101"/><Relationship Id="rId7178" Type="http://schemas.openxmlformats.org/officeDocument/2006/relationships/hyperlink" TargetMode="External" Target="https://spark-interfax.ru/system/home/card#/company/9F911A903CB94348AE96B3CC1CE4730D/101"/><Relationship Id="rId7179" Type="http://schemas.openxmlformats.org/officeDocument/2006/relationships/hyperlink" TargetMode="External" Target="https://spark-interfax.ru/system/home/card#/company/6D999199A8B47152E0531B9AA8C0CCE8/101"/><Relationship Id="rId7180" Type="http://schemas.openxmlformats.org/officeDocument/2006/relationships/hyperlink" TargetMode="External" Target="https://spark-interfax.ru/system/home/card#/company/202A993172964A3B984AB7858D89F78F/101"/><Relationship Id="rId7181" Type="http://schemas.openxmlformats.org/officeDocument/2006/relationships/hyperlink" TargetMode="External" Target="https://spark-interfax.ru/system/home/card#/company/B2B521C804244122849F5687655EAEED/101"/><Relationship Id="rId7182" Type="http://schemas.openxmlformats.org/officeDocument/2006/relationships/hyperlink" TargetMode="External" Target="https://spark-interfax.ru/system/home/card#/company/88527D134A594B9FB837CD32C6431E22/101"/><Relationship Id="rId7183" Type="http://schemas.openxmlformats.org/officeDocument/2006/relationships/hyperlink" TargetMode="External" Target="https://spark-interfax.ru/system/home/card#/company/D56A6D1328B7423785555FE9301CB671/101"/><Relationship Id="rId7184" Type="http://schemas.openxmlformats.org/officeDocument/2006/relationships/hyperlink" TargetMode="External" Target="https://spark-interfax.ru/system/home/card#/company/F55E9CF06ABF44CFA8C9B3066C0B083B/101"/><Relationship Id="rId7185" Type="http://schemas.openxmlformats.org/officeDocument/2006/relationships/hyperlink" TargetMode="External" Target="https://spark-interfax.ru/system/home/card#/company/23182A29148E402C83EF86E10FA12661/101"/><Relationship Id="rId7186" Type="http://schemas.openxmlformats.org/officeDocument/2006/relationships/hyperlink" TargetMode="External" Target="https://spark-interfax.ru/system/home/card#/company/77B82F2B99A34EC4AFFBD19F5A2522D7/101"/><Relationship Id="rId7187" Type="http://schemas.openxmlformats.org/officeDocument/2006/relationships/hyperlink" TargetMode="External" Target="https://spark-interfax.ru/system/home/card#/company/911C2B4041414B6886362C948403F554/101"/><Relationship Id="rId7188" Type="http://schemas.openxmlformats.org/officeDocument/2006/relationships/hyperlink" TargetMode="External" Target="https://spark-interfax.ru/system/home/card#/company/115A0D5D00694D71AEC19C52CA3D9CC9/101"/><Relationship Id="rId7189" Type="http://schemas.openxmlformats.org/officeDocument/2006/relationships/hyperlink" TargetMode="External" Target="https://spark-interfax.ru/system/home/card#/company/9FAF2A20DE634F32B167DAD6BB7C9CD6/101"/><Relationship Id="rId7190" Type="http://schemas.openxmlformats.org/officeDocument/2006/relationships/hyperlink" TargetMode="External" Target="https://spark-interfax.ru/system/home/card#/company/E56910E76AD143FAB53FF46615D496F8/101"/><Relationship Id="rId7191" Type="http://schemas.openxmlformats.org/officeDocument/2006/relationships/hyperlink" TargetMode="External" Target="https://spark-interfax.ru/system/home/card#/company/CF1AB5759E154067894AA4B28D00FBE3/101"/><Relationship Id="rId7192" Type="http://schemas.openxmlformats.org/officeDocument/2006/relationships/hyperlink" TargetMode="External" Target="https://spark-interfax.ru/system/home/card#/company/3896FE6A0B0E4DB8BCBA69F1B56396FE/101"/><Relationship Id="rId7193" Type="http://schemas.openxmlformats.org/officeDocument/2006/relationships/hyperlink" TargetMode="External" Target="https://spark-interfax.ru/system/home/card#/company/8F2801E1408A86F0E0531B9AA8C03C58/101"/><Relationship Id="rId7194" Type="http://schemas.openxmlformats.org/officeDocument/2006/relationships/hyperlink" TargetMode="External" Target="https://spark-interfax.ru/system/home/card#/company/C032FF462D7743EB8C18907B8E99FBB8/101"/><Relationship Id="rId7195" Type="http://schemas.openxmlformats.org/officeDocument/2006/relationships/hyperlink" TargetMode="External" Target="https://spark-interfax.ru/system/home/card#/company/242852BF7285448BB3B8E97B1856D01C/101"/><Relationship Id="rId7196" Type="http://schemas.openxmlformats.org/officeDocument/2006/relationships/hyperlink" TargetMode="External" Target="https://spark-interfax.ru/system/home/card#/company/41DB17900E13463EA64A04CDBF78B771/101"/><Relationship Id="rId7197" Type="http://schemas.openxmlformats.org/officeDocument/2006/relationships/hyperlink" TargetMode="External" Target="https://spark-interfax.ru/system/home/card#/company/C81C7565FC21496A9531842CA6988571/101"/><Relationship Id="rId7198" Type="http://schemas.openxmlformats.org/officeDocument/2006/relationships/hyperlink" TargetMode="External" Target="https://spark-interfax.ru/system/home/card#/company/D4D82577C11845FE8CFE0A2540C4D374/101"/><Relationship Id="rId7199" Type="http://schemas.openxmlformats.org/officeDocument/2006/relationships/hyperlink" TargetMode="External" Target="https://spark-interfax.ru/system/home/card#/company/2C16EBB742B449CBAAE0BD37BDAA7A29/101"/><Relationship Id="rId7200" Type="http://schemas.openxmlformats.org/officeDocument/2006/relationships/hyperlink" TargetMode="External" Target="https://spark-interfax.ru/system/home/card#/company/A0D31FC5CB314BCA95FE63B55BAE93CC/101"/><Relationship Id="rId7201" Type="http://schemas.openxmlformats.org/officeDocument/2006/relationships/hyperlink" TargetMode="External" Target="https://spark-interfax.ru/system/home/card#/company/23A5B72F9460470CB3C46060549E8A04/101"/><Relationship Id="rId7202" Type="http://schemas.openxmlformats.org/officeDocument/2006/relationships/hyperlink" TargetMode="External" Target="https://spark-interfax.ru/system/home/card#/company/F013D85062D143DE9398C117127B4BE4/101"/><Relationship Id="rId7203" Type="http://schemas.openxmlformats.org/officeDocument/2006/relationships/hyperlink" TargetMode="External" Target="https://spark-interfax.ru/system/home/card#/company/B35BF97BF4CB4F0E9FCFAA042F132F0F/101"/><Relationship Id="rId7204" Type="http://schemas.openxmlformats.org/officeDocument/2006/relationships/hyperlink" TargetMode="External" Target="https://spark-interfax.ru/system/home/card#/company/62626E84B3027B64E0531B9AA8C09D82/101"/><Relationship Id="rId7205" Type="http://schemas.openxmlformats.org/officeDocument/2006/relationships/hyperlink" TargetMode="External" Target="https://spark-interfax.ru/system/home/card#/company/A902CB13AF2E4725AF15C8BCD349041D/101"/><Relationship Id="rId7206" Type="http://schemas.openxmlformats.org/officeDocument/2006/relationships/hyperlink" TargetMode="External" Target="https://spark-interfax.ru/system/home/card#/company/066AFFCBECE14F3AB46769DFE9A4A6F5/101"/><Relationship Id="rId7207" Type="http://schemas.openxmlformats.org/officeDocument/2006/relationships/hyperlink" TargetMode="External" Target="https://spark-interfax.ru/system/home/card#/company/2D71523172CA451B8B20E0614CE03646/101"/><Relationship Id="rId7208" Type="http://schemas.openxmlformats.org/officeDocument/2006/relationships/hyperlink" TargetMode="External" Target="https://spark-interfax.ru/system/home/card#/company/B0AF21D6A15B42408CC9CA38B8163EE5/101"/><Relationship Id="rId7209" Type="http://schemas.openxmlformats.org/officeDocument/2006/relationships/hyperlink" TargetMode="External" Target="https://spark-interfax.ru/system/home/card#/company/CFB34BFB8270466E8BDD77BD5FBD0106/101"/><Relationship Id="rId7210" Type="http://schemas.openxmlformats.org/officeDocument/2006/relationships/hyperlink" TargetMode="External" Target="https://spark-interfax.ru/system/home/card#/company/4E8E9D457DB84D5C8298185283BEF506/101"/><Relationship Id="rId7211" Type="http://schemas.openxmlformats.org/officeDocument/2006/relationships/hyperlink" TargetMode="External" Target="https://spark-interfax.ru/system/home/card#/company/B34F9F42015B4D649100FB04CB6EEF3D/101"/><Relationship Id="rId7212" Type="http://schemas.openxmlformats.org/officeDocument/2006/relationships/hyperlink" TargetMode="External" Target="https://spark-interfax.ru/system/home/card#/company/9C2EDED2A376455BB9F95318540E0496/101"/><Relationship Id="rId7213" Type="http://schemas.openxmlformats.org/officeDocument/2006/relationships/hyperlink" TargetMode="External" Target="https://spark-interfax.ru/system/home/card#/company/B782CE3BC88944869098B0A0B3954B8D/101"/><Relationship Id="rId7214" Type="http://schemas.openxmlformats.org/officeDocument/2006/relationships/hyperlink" TargetMode="External" Target="https://spark-interfax.ru/system/home/card#/company/8B0CAA2F509E4F97A35A66D553042179/101"/><Relationship Id="rId7215" Type="http://schemas.openxmlformats.org/officeDocument/2006/relationships/hyperlink" TargetMode="External" Target="https://spark-interfax.ru/system/home/card#/company/31DB6DA4D2074492B1266928B5CA9C08/101"/><Relationship Id="rId7216" Type="http://schemas.openxmlformats.org/officeDocument/2006/relationships/hyperlink" TargetMode="External" Target="https://spark-interfax.ru/system/home/card#/company/B0619065B4024C99970405946264267D/101"/><Relationship Id="rId7217" Type="http://schemas.openxmlformats.org/officeDocument/2006/relationships/hyperlink" TargetMode="External" Target="https://spark-interfax.ru/system/home/card#/company/346A68D7E3374DD188A39E968186281C/101"/><Relationship Id="rId7218" Type="http://schemas.openxmlformats.org/officeDocument/2006/relationships/hyperlink" TargetMode="External" Target="https://spark-interfax.ru/system/home/card#/company/69FAB3A25DAD43E38725EF3EE4F36AD0/101"/><Relationship Id="rId7219" Type="http://schemas.openxmlformats.org/officeDocument/2006/relationships/hyperlink" TargetMode="External" Target="https://spark-interfax.ru/system/home/card#/company/EEEC63E8E9E0497DBC24106D2D2684A9/101"/><Relationship Id="rId7220" Type="http://schemas.openxmlformats.org/officeDocument/2006/relationships/hyperlink" TargetMode="External" Target="https://spark-interfax.ru/system/home/card#/company/C596B0D05D604E8EABA4B1B9054D3F9D/101"/><Relationship Id="rId7221" Type="http://schemas.openxmlformats.org/officeDocument/2006/relationships/hyperlink" TargetMode="External" Target="https://spark-interfax.ru/system/home/card#/company/73D44CED998E4EBF8006C991286CF7F9/101"/><Relationship Id="rId7222" Type="http://schemas.openxmlformats.org/officeDocument/2006/relationships/hyperlink" TargetMode="External" Target="https://spark-interfax.ru/system/home/card#/company/E383203EBDB048589F4B905CB6B70ED8/101"/><Relationship Id="rId7223" Type="http://schemas.openxmlformats.org/officeDocument/2006/relationships/hyperlink" TargetMode="External" Target="https://spark-interfax.ru/system/home/card#/company/C63D7DA3FEFA4BE1BD55A056A9F842C2/101"/><Relationship Id="rId7224" Type="http://schemas.openxmlformats.org/officeDocument/2006/relationships/hyperlink" TargetMode="External" Target="https://spark-interfax.ru/system/home/card#/company/0D90079585724E5FBD4E42CFA369A84A/101"/><Relationship Id="rId7225" Type="http://schemas.openxmlformats.org/officeDocument/2006/relationships/hyperlink" TargetMode="External" Target="https://spark-interfax.ru/system/home/card#/company/4E0F996A85534955A4829E07BB4EC9F9/101"/><Relationship Id="rId7226" Type="http://schemas.openxmlformats.org/officeDocument/2006/relationships/hyperlink" TargetMode="External" Target="https://spark-interfax.ru/system/home/card#/company/480EA23F946E4282B99BED66C90C57F9/101"/><Relationship Id="rId7227" Type="http://schemas.openxmlformats.org/officeDocument/2006/relationships/hyperlink" TargetMode="External" Target="https://spark-interfax.ru/system/home/card#/company/7DAFD73E3E4A4559BE48C3EDDD99C715/101"/><Relationship Id="rId7228" Type="http://schemas.openxmlformats.org/officeDocument/2006/relationships/hyperlink" TargetMode="External" Target="https://spark-interfax.ru/system/home/card#/company/95B52B10632042B98D95604AF5CEE640/101"/><Relationship Id="rId7229" Type="http://schemas.openxmlformats.org/officeDocument/2006/relationships/hyperlink" TargetMode="External" Target="https://spark-interfax.ru/system/home/card#/company/FC466BAC4D534802BADE8ACF1B4735D5/101"/><Relationship Id="rId7230" Type="http://schemas.openxmlformats.org/officeDocument/2006/relationships/hyperlink" TargetMode="External" Target="https://spark-interfax.ru/system/home/card#/company/A6265CBF16934FCA9BC9B14832C12513/101"/><Relationship Id="rId7231" Type="http://schemas.openxmlformats.org/officeDocument/2006/relationships/hyperlink" TargetMode="External" Target="https://spark-interfax.ru/system/home/card#/company/F1C82F61FC9E40C1A3531B0C2A1EA581/101"/><Relationship Id="rId7232" Type="http://schemas.openxmlformats.org/officeDocument/2006/relationships/hyperlink" TargetMode="External" Target="https://spark-interfax.ru/system/home/card#/company/990DD93601563F12E053179AA8C05634/101"/><Relationship Id="rId7233" Type="http://schemas.openxmlformats.org/officeDocument/2006/relationships/hyperlink" TargetMode="External" Target="https://spark-interfax.ru/system/home/card#/company/E291D796A3BB4DB592EE66CE173366A9/101"/><Relationship Id="rId7234" Type="http://schemas.openxmlformats.org/officeDocument/2006/relationships/hyperlink" TargetMode="External" Target="https://spark-interfax.ru/system/home/card#/company/CB61963B7EDE448FA5D574990A5D523B/101"/><Relationship Id="rId7235" Type="http://schemas.openxmlformats.org/officeDocument/2006/relationships/hyperlink" TargetMode="External" Target="https://spark-interfax.ru/system/home/card#/company/F8D7A93540CC472A87C718F6608EBC15/101"/><Relationship Id="rId7236" Type="http://schemas.openxmlformats.org/officeDocument/2006/relationships/hyperlink" TargetMode="External" Target="https://spark-interfax.ru/system/home/card#/company/77E72F09AB574A5198A9140AB80CDA4C/101"/><Relationship Id="rId7237" Type="http://schemas.openxmlformats.org/officeDocument/2006/relationships/hyperlink" TargetMode="External" Target="https://spark-interfax.ru/system/home/card#/company/EE4AE12577BA490BBCA3097E2F5E4FF5/101"/><Relationship Id="rId7238" Type="http://schemas.openxmlformats.org/officeDocument/2006/relationships/hyperlink" TargetMode="External" Target="https://spark-interfax.ru/system/home/card#/company/CD37EAB268E6472BA2521A89C55DDB6E/101"/><Relationship Id="rId7239" Type="http://schemas.openxmlformats.org/officeDocument/2006/relationships/hyperlink" TargetMode="External" Target="https://spark-interfax.ru/system/home/card#/company/BC3036E7B676494286BF7A40CE8D3198/101"/><Relationship Id="rId7240" Type="http://schemas.openxmlformats.org/officeDocument/2006/relationships/hyperlink" TargetMode="External" Target="https://spark-interfax.ru/system/home/card#/company/4D12E6A00E5F49058916FCEBEA4A4E1C/101"/><Relationship Id="rId7241" Type="http://schemas.openxmlformats.org/officeDocument/2006/relationships/hyperlink" TargetMode="External" Target="https://spark-interfax.ru/system/home/card#/company/0D6BC9E6D8BC47AC8DA46EDAF989B3F6/101"/><Relationship Id="rId7242" Type="http://schemas.openxmlformats.org/officeDocument/2006/relationships/hyperlink" TargetMode="External" Target="https://spark-interfax.ru/system/home/card#/company/8F0925F33FAA4AF68543E2898911B4A6/101"/><Relationship Id="rId7243" Type="http://schemas.openxmlformats.org/officeDocument/2006/relationships/hyperlink" TargetMode="External" Target="https://spark-interfax.ru/system/home/card#/company/C01C3DF850B34C7E92ACC5676861DCB1/101"/><Relationship Id="rId7244" Type="http://schemas.openxmlformats.org/officeDocument/2006/relationships/hyperlink" TargetMode="External" Target="https://spark-interfax.ru/system/home/card#/company/A21D39853BC74CD6B3D4FC320E34C038/101"/><Relationship Id="rId7245" Type="http://schemas.openxmlformats.org/officeDocument/2006/relationships/hyperlink" TargetMode="External" Target="https://spark-interfax.ru/system/home/card#/company/31CA635BAC5D482B862687B7CF10BBC3/101"/><Relationship Id="rId7246" Type="http://schemas.openxmlformats.org/officeDocument/2006/relationships/hyperlink" TargetMode="External" Target="https://spark-interfax.ru/system/home/card#/company/CAC90AF6F3EC4925B98B5951A116D647/101"/><Relationship Id="rId7247" Type="http://schemas.openxmlformats.org/officeDocument/2006/relationships/hyperlink" TargetMode="External" Target="https://spark-interfax.ru/system/home/card#/company/0D96F3170D424CCF88822112A4DC9528/101"/><Relationship Id="rId7248" Type="http://schemas.openxmlformats.org/officeDocument/2006/relationships/hyperlink" TargetMode="External" Target="https://spark-interfax.ru/system/home/card#/company/6D5BC2B0822C457D935BBB7864B25568/101"/><Relationship Id="rId7249" Type="http://schemas.openxmlformats.org/officeDocument/2006/relationships/hyperlink" TargetMode="External" Target="https://spark-interfax.ru/system/home/card#/company/54AD0C64D6EF4DFA924A7A70D90FC298/101"/><Relationship Id="rId7250" Type="http://schemas.openxmlformats.org/officeDocument/2006/relationships/hyperlink" TargetMode="External" Target="https://spark-interfax.ru/system/home/card#/company/F55D0D6C19624A6C9C463BB89A3FDFD9/101"/><Relationship Id="rId7251" Type="http://schemas.openxmlformats.org/officeDocument/2006/relationships/hyperlink" TargetMode="External" Target="https://spark-interfax.ru/system/home/card#/company/785DA78CA2C540BEAB2E7332CDB694E2/101"/><Relationship Id="rId7252" Type="http://schemas.openxmlformats.org/officeDocument/2006/relationships/hyperlink" TargetMode="External" Target="https://spark-interfax.ru/system/home/card#/company/87B1F1A38B241FE4E0531B9AA8C044A0/101"/><Relationship Id="rId7253" Type="http://schemas.openxmlformats.org/officeDocument/2006/relationships/hyperlink" TargetMode="External" Target="https://spark-interfax.ru/system/home/card#/company/7E9296E6246849BE860EAF0180C1AA2A/101"/><Relationship Id="rId7254" Type="http://schemas.openxmlformats.org/officeDocument/2006/relationships/hyperlink" TargetMode="External" Target="https://spark-interfax.ru/system/home/card#/company/1A261F23377E4E28A59BB05C1982E7EC/101"/><Relationship Id="rId7255" Type="http://schemas.openxmlformats.org/officeDocument/2006/relationships/hyperlink" TargetMode="External" Target="https://spark-interfax.ru/system/home/card#/company/DA9CEA93A95F4E529B4201EBC0FFF0B5/101"/><Relationship Id="rId7256" Type="http://schemas.openxmlformats.org/officeDocument/2006/relationships/hyperlink" TargetMode="External" Target="https://spark-interfax.ru/system/home/card#/company/5D5C1BF6AC794299AD873686CE9616F1/101"/><Relationship Id="rId7257" Type="http://schemas.openxmlformats.org/officeDocument/2006/relationships/hyperlink" TargetMode="External" Target="https://spark-interfax.ru/system/home/card#/company/67CFEF8B6FDA44C8B7C19ED6DAC10AE0/101"/><Relationship Id="rId7258" Type="http://schemas.openxmlformats.org/officeDocument/2006/relationships/hyperlink" TargetMode="External" Target="https://spark-interfax.ru/system/home/card#/company/DF4E4197722234B7E053259AA8C0CBBD/101"/><Relationship Id="rId7259" Type="http://schemas.openxmlformats.org/officeDocument/2006/relationships/hyperlink" TargetMode="External" Target="https://spark-interfax.ru/system/home/card#/company/3411D127F25A45F7ABAB32964A32848D/101"/><Relationship Id="rId7260" Type="http://schemas.openxmlformats.org/officeDocument/2006/relationships/hyperlink" TargetMode="External" Target="https://spark-interfax.ru/system/home/card#/company/51BC2E1DB7094A9F804EA29D6CA92566/101"/><Relationship Id="rId7261" Type="http://schemas.openxmlformats.org/officeDocument/2006/relationships/hyperlink" TargetMode="External" Target="https://spark-interfax.ru/system/home/card#/company/58CE71B9F08F4450A9AA76635C0A1F28/101"/><Relationship Id="rId7262" Type="http://schemas.openxmlformats.org/officeDocument/2006/relationships/hyperlink" TargetMode="External" Target="https://spark-interfax.ru/system/home/card#/company/8AA7A77E6E2B47049842B65FAFE7A9FE/101"/><Relationship Id="rId7263" Type="http://schemas.openxmlformats.org/officeDocument/2006/relationships/hyperlink" TargetMode="External" Target="https://spark-interfax.ru/system/home/card#/company/EA058856C6674E3493037FEB59520CAD/101"/><Relationship Id="rId7264" Type="http://schemas.openxmlformats.org/officeDocument/2006/relationships/hyperlink" TargetMode="External" Target="https://spark-interfax.ru/system/home/card#/company/D18E09D4423C3A07E053219AA8C03619/101"/><Relationship Id="rId7265" Type="http://schemas.openxmlformats.org/officeDocument/2006/relationships/hyperlink" TargetMode="External" Target="https://spark-interfax.ru/system/home/card#/company/8F7E5513AE0946E98AB83C025A567A4D/101"/><Relationship Id="rId7266" Type="http://schemas.openxmlformats.org/officeDocument/2006/relationships/hyperlink" TargetMode="External" Target="https://spark-interfax.ru/system/home/card#/company/D2342D8A9E2046BCA8BBA599701B0BCE/101"/><Relationship Id="rId7267" Type="http://schemas.openxmlformats.org/officeDocument/2006/relationships/hyperlink" TargetMode="External" Target="https://spark-interfax.ru/system/home/card#/company/440ABD48621C455EB4602476BC5197F7/101"/><Relationship Id="rId7268" Type="http://schemas.openxmlformats.org/officeDocument/2006/relationships/hyperlink" TargetMode="External" Target="https://spark-interfax.ru/system/home/card#/company/397A1437EDA7496BB0D953DDB0B15D97/101"/><Relationship Id="rId7269" Type="http://schemas.openxmlformats.org/officeDocument/2006/relationships/hyperlink" TargetMode="External" Target="https://spark-interfax.ru/system/home/card#/company/D6F7BAE88ED94A6FA08AF85FAB52FDAB/101"/><Relationship Id="rId7270" Type="http://schemas.openxmlformats.org/officeDocument/2006/relationships/hyperlink" TargetMode="External" Target="https://spark-interfax.ru/system/home/card#/company/1A2ED95C314A43479351DABD9D1E5C4F/101"/><Relationship Id="rId7271" Type="http://schemas.openxmlformats.org/officeDocument/2006/relationships/hyperlink" TargetMode="External" Target="https://spark-interfax.ru/system/home/card#/company/59B817AB65DF4F61E0531C9AA8C0C102/101"/><Relationship Id="rId7272" Type="http://schemas.openxmlformats.org/officeDocument/2006/relationships/hyperlink" TargetMode="External" Target="https://spark-interfax.ru/system/home/card#/company/219973BD506B493E9AAD4A5FBE30EE50/101"/><Relationship Id="rId7273" Type="http://schemas.openxmlformats.org/officeDocument/2006/relationships/hyperlink" TargetMode="External" Target="https://spark-interfax.ru/system/home/card#/company/3C20EFF6C5B34462A580FCE52FBDEC4F/101"/><Relationship Id="rId7274" Type="http://schemas.openxmlformats.org/officeDocument/2006/relationships/hyperlink" TargetMode="External" Target="https://spark-interfax.ru/system/home/card#/company/4C98D060E7BF47D18F721F067BD0197B/101"/><Relationship Id="rId7275" Type="http://schemas.openxmlformats.org/officeDocument/2006/relationships/hyperlink" TargetMode="External" Target="https://spark-interfax.ru/system/home/card#/company/5F46096061EB4F60BF794A2D7EE04559/101"/><Relationship Id="rId7276" Type="http://schemas.openxmlformats.org/officeDocument/2006/relationships/hyperlink" TargetMode="External" Target="https://spark-interfax.ru/system/home/card#/company/B2D88504B3BC40EAB875985B9CE3510A/101"/><Relationship Id="rId7277" Type="http://schemas.openxmlformats.org/officeDocument/2006/relationships/hyperlink" TargetMode="External" Target="https://spark-interfax.ru/system/home/card#/company/0C0C05ECE6EE4E36A9FE284A26552E9C/101"/><Relationship Id="rId7278" Type="http://schemas.openxmlformats.org/officeDocument/2006/relationships/hyperlink" TargetMode="External" Target="https://spark-interfax.ru/system/home/card#/company/E8F8F0D518274CA584A8B1A77FF9C3F9/101"/><Relationship Id="rId7279" Type="http://schemas.openxmlformats.org/officeDocument/2006/relationships/hyperlink" TargetMode="External" Target="https://spark-interfax.ru/system/home/card#/company/BB3377C65DD742F3BBD1322F88B85320/101"/><Relationship Id="rId7280" Type="http://schemas.openxmlformats.org/officeDocument/2006/relationships/hyperlink" TargetMode="External" Target="https://spark-interfax.ru/system/home/card#/company/D7BAD2C107074AAAAC23BB82259BA40E/101"/><Relationship Id="rId7281" Type="http://schemas.openxmlformats.org/officeDocument/2006/relationships/hyperlink" TargetMode="External" Target="https://spark-interfax.ru/system/home/card#/company/4C7B605E12F343F2937C7C3094CFA0B1/101"/><Relationship Id="rId7282" Type="http://schemas.openxmlformats.org/officeDocument/2006/relationships/hyperlink" TargetMode="External" Target="https://spark-interfax.ru/system/home/card#/company/ABF9C58ED887476588468E11B808E2C5/101"/><Relationship Id="rId7283" Type="http://schemas.openxmlformats.org/officeDocument/2006/relationships/hyperlink" TargetMode="External" Target="https://spark-interfax.ru/system/home/card#/company/D566923A7D8B4DCBA6FE5B3FB8CBEB19/101"/><Relationship Id="rId7284" Type="http://schemas.openxmlformats.org/officeDocument/2006/relationships/hyperlink" TargetMode="External" Target="https://spark-interfax.ru/system/home/card#/company/5D6921D3998A2B06E0531C9AA8C0DEE2/101"/><Relationship Id="rId7285" Type="http://schemas.openxmlformats.org/officeDocument/2006/relationships/hyperlink" TargetMode="External" Target="https://spark-interfax.ru/system/home/card#/company/03384CA466C94A20920670C1961FCD51/101"/><Relationship Id="rId7286" Type="http://schemas.openxmlformats.org/officeDocument/2006/relationships/hyperlink" TargetMode="External" Target="https://spark-interfax.ru/system/home/card#/company/A4FAE87455134B4FB3C8DB64B55EDA99/101"/><Relationship Id="rId7287" Type="http://schemas.openxmlformats.org/officeDocument/2006/relationships/hyperlink" TargetMode="External" Target="https://spark-interfax.ru/system/home/card#/company/90919A23C21B79D3E0531B9AA8C0E410/101"/><Relationship Id="rId7288" Type="http://schemas.openxmlformats.org/officeDocument/2006/relationships/hyperlink" TargetMode="External" Target="https://spark-interfax.ru/system/home/card#/company/CBAE693C7B65433C9CB195877C7435AF/101"/><Relationship Id="rId7289" Type="http://schemas.openxmlformats.org/officeDocument/2006/relationships/hyperlink" TargetMode="External" Target="https://spark-interfax.ru/system/home/card#/company/CD929C4CD2804C658C2FF62631B08668/101"/><Relationship Id="rId7290" Type="http://schemas.openxmlformats.org/officeDocument/2006/relationships/hyperlink" TargetMode="External" Target="https://spark-interfax.ru/system/home/card#/company/D9DC4F3B90F942128C82CCDC4C83D6B6/101"/><Relationship Id="rId7291" Type="http://schemas.openxmlformats.org/officeDocument/2006/relationships/hyperlink" TargetMode="External" Target="https://spark-interfax.ru/system/home/card#/company/E91A49A502F14220A895F5418EEA5285/101"/><Relationship Id="rId7292" Type="http://schemas.openxmlformats.org/officeDocument/2006/relationships/hyperlink" TargetMode="External" Target="https://spark-interfax.ru/system/home/card#/company/BC083141F5464372A4423C639744B11E/101"/><Relationship Id="rId7293" Type="http://schemas.openxmlformats.org/officeDocument/2006/relationships/hyperlink" TargetMode="External" Target="https://spark-interfax.ru/system/home/card#/company/7C2A93B0E8804AA1BEE83422DF860CEB/101"/><Relationship Id="rId7294" Type="http://schemas.openxmlformats.org/officeDocument/2006/relationships/hyperlink" TargetMode="External" Target="https://spark-interfax.ru/system/home/card#/company/E671EC8D53C24FBC8F3BBB049A5519A8/101"/><Relationship Id="rId7295" Type="http://schemas.openxmlformats.org/officeDocument/2006/relationships/hyperlink" TargetMode="External" Target="https://spark-interfax.ru/system/home/card#/company/47A7AE329CA84798A9943E62AF70024C/101"/><Relationship Id="rId7296" Type="http://schemas.openxmlformats.org/officeDocument/2006/relationships/hyperlink" TargetMode="External" Target="https://spark-interfax.ru/system/home/card#/company/022A9BD01F344B7E9EE29A5983A16B3B/101"/><Relationship Id="rId7297" Type="http://schemas.openxmlformats.org/officeDocument/2006/relationships/hyperlink" TargetMode="External" Target="https://spark-interfax.ru/system/home/card#/company/023E9B5A74AF47FB8222DF412B6BC80E/101"/><Relationship Id="rId7298" Type="http://schemas.openxmlformats.org/officeDocument/2006/relationships/hyperlink" TargetMode="External" Target="https://spark-interfax.ru/system/home/card#/company/F44176F6C0F2484C990DFFC5F6A14955/101"/><Relationship Id="rId7299" Type="http://schemas.openxmlformats.org/officeDocument/2006/relationships/hyperlink" TargetMode="External" Target="https://spark-interfax.ru/system/home/card#/company/CD9183367A444F9083C141F8F6218F0B/101"/><Relationship Id="rId7300" Type="http://schemas.openxmlformats.org/officeDocument/2006/relationships/hyperlink" TargetMode="External" Target="https://spark-interfax.ru/system/home/card#/company/774574D7CA9F1335E0531B9AA8C02CC7/101"/><Relationship Id="rId7301" Type="http://schemas.openxmlformats.org/officeDocument/2006/relationships/hyperlink" TargetMode="External" Target="https://spark-interfax.ru/system/home/card#/company/6D552ACCE7DE441A9D9011B3615A42F4/101"/><Relationship Id="rId7302" Type="http://schemas.openxmlformats.org/officeDocument/2006/relationships/hyperlink" TargetMode="External" Target="https://spark-interfax.ru/system/home/card#/company/34D8D01893974C819D3BEDC7FA0C342C/101"/><Relationship Id="rId7303" Type="http://schemas.openxmlformats.org/officeDocument/2006/relationships/hyperlink" TargetMode="External" Target="https://spark-interfax.ru/system/home/card#/company/5726ECD21F3F4BB3B1607010C52D4139/101"/><Relationship Id="rId7304" Type="http://schemas.openxmlformats.org/officeDocument/2006/relationships/hyperlink" TargetMode="External" Target="https://spark-interfax.ru/system/home/card#/company/B49178DE7D034963A59074C9E54D1263/101"/><Relationship Id="rId7305" Type="http://schemas.openxmlformats.org/officeDocument/2006/relationships/hyperlink" TargetMode="External" Target="https://spark-interfax.ru/system/home/card#/company/4021F4A0C7B646719365052A21569C5F/101"/><Relationship Id="rId7306" Type="http://schemas.openxmlformats.org/officeDocument/2006/relationships/hyperlink" TargetMode="External" Target="https://spark-interfax.ru/system/home/card#/company/AB9907D57F6574B9E053189AA8C0BE0F/101"/><Relationship Id="rId7307" Type="http://schemas.openxmlformats.org/officeDocument/2006/relationships/hyperlink" TargetMode="External" Target="https://spark-interfax.ru/system/home/card#/company/B2E483BF1CFE4A89BFB4DE858317DD55/101"/><Relationship Id="rId7308" Type="http://schemas.openxmlformats.org/officeDocument/2006/relationships/hyperlink" TargetMode="External" Target="https://spark-interfax.ru/system/home/card#/company/04612937B4AF41BCB3CAECCE1C584687/101"/><Relationship Id="rId7309" Type="http://schemas.openxmlformats.org/officeDocument/2006/relationships/hyperlink" TargetMode="External" Target="https://spark-interfax.ru/system/home/card#/company/D3D3919AE1094B6296DC314D13849265/101"/><Relationship Id="rId7310" Type="http://schemas.openxmlformats.org/officeDocument/2006/relationships/hyperlink" TargetMode="External" Target="https://spark-interfax.ru/system/home/card#/company/5DCA150EAB8D4C0E8984E33BF711454A/101"/><Relationship Id="rId7311" Type="http://schemas.openxmlformats.org/officeDocument/2006/relationships/hyperlink" TargetMode="External" Target="https://spark-interfax.ru/system/home/card#/company/16671C596728462EAC5520E1055945DF/101"/><Relationship Id="rId7312" Type="http://schemas.openxmlformats.org/officeDocument/2006/relationships/hyperlink" TargetMode="External" Target="https://spark-interfax.ru/system/home/card#/company/1D6E2543C0C3425F865EB14447F22265/101"/><Relationship Id="rId7313" Type="http://schemas.openxmlformats.org/officeDocument/2006/relationships/hyperlink" TargetMode="External" Target="https://spark-interfax.ru/system/home/card#/company/308F2668562148C69F9BAE1645AF9E37/101"/><Relationship Id="rId7314" Type="http://schemas.openxmlformats.org/officeDocument/2006/relationships/hyperlink" TargetMode="External" Target="https://spark-interfax.ru/system/home/card#/company/3C1C252D859C48E78340179A7430F481/101"/><Relationship Id="rId7315" Type="http://schemas.openxmlformats.org/officeDocument/2006/relationships/hyperlink" TargetMode="External" Target="https://spark-interfax.ru/system/home/card#/company/0E4EB52A5330489B927F245A8411C0B0/101"/><Relationship Id="rId7316" Type="http://schemas.openxmlformats.org/officeDocument/2006/relationships/hyperlink" TargetMode="External" Target="https://spark-interfax.ru/system/home/card#/company/4F56F458E76F4AEEB2BF81DC10E797CD/101"/><Relationship Id="rId7317" Type="http://schemas.openxmlformats.org/officeDocument/2006/relationships/hyperlink" TargetMode="External" Target="https://spark-interfax.ru/system/home/card#/company/92520342BBF342E7A2142AF9F74F2AE2/101"/><Relationship Id="rId7318" Type="http://schemas.openxmlformats.org/officeDocument/2006/relationships/hyperlink" TargetMode="External" Target="https://spark-interfax.ru/system/home/card#/company/F3B14647976F48C48B18A2E2956F2D2F/101"/><Relationship Id="rId7319" Type="http://schemas.openxmlformats.org/officeDocument/2006/relationships/hyperlink" TargetMode="External" Target="https://spark-interfax.ru/system/home/card#/company/BC566A2D3B393A37E053219AA8C0351B/101"/><Relationship Id="rId7320" Type="http://schemas.openxmlformats.org/officeDocument/2006/relationships/hyperlink" TargetMode="External" Target="https://spark-interfax.ru/system/home/card#/company/FEF39EDC164548C1ACD3A34A4139031C/101"/><Relationship Id="rId7321" Type="http://schemas.openxmlformats.org/officeDocument/2006/relationships/hyperlink" TargetMode="External" Target="https://spark-interfax.ru/system/home/card#/company/5E7F4354D6924A98B052EE290EA2E37B/101"/><Relationship Id="rId7322" Type="http://schemas.openxmlformats.org/officeDocument/2006/relationships/hyperlink" TargetMode="External" Target="https://spark-interfax.ru/system/home/card#/company/283AC4BBA9B945F781909BFA6E78398B/101"/><Relationship Id="rId7323" Type="http://schemas.openxmlformats.org/officeDocument/2006/relationships/hyperlink" TargetMode="External" Target="https://spark-interfax.ru/system/home/card#/company/23B1F1BD2137422899873C48796A3ED0/101"/><Relationship Id="rId7324" Type="http://schemas.openxmlformats.org/officeDocument/2006/relationships/hyperlink" TargetMode="External" Target="https://spark-interfax.ru/system/home/card#/company/1C5E25EBA5E74D38B904A213958A4EBD/101"/><Relationship Id="rId7325" Type="http://schemas.openxmlformats.org/officeDocument/2006/relationships/hyperlink" TargetMode="External" Target="https://spark-interfax.ru/system/home/card#/company/3E20D707846746588C2D3D8F84DAE113/101"/><Relationship Id="rId7326" Type="http://schemas.openxmlformats.org/officeDocument/2006/relationships/hyperlink" TargetMode="External" Target="https://spark-interfax.ru/system/home/card#/company/17C1A5100FA741CF91A212A0DF5FBABE/101"/><Relationship Id="rId7327" Type="http://schemas.openxmlformats.org/officeDocument/2006/relationships/hyperlink" TargetMode="External" Target="https://spark-interfax.ru/system/home/card#/company/18AB4CC162AE4C62976D739FE5B6CE54/101"/><Relationship Id="rId7328" Type="http://schemas.openxmlformats.org/officeDocument/2006/relationships/hyperlink" TargetMode="External" Target="https://spark-interfax.ru/system/home/card#/company/E7DA4A00429F4662B6445A6A9B0F09F2/101"/><Relationship Id="rId7329" Type="http://schemas.openxmlformats.org/officeDocument/2006/relationships/hyperlink" TargetMode="External" Target="https://spark-interfax.ru/system/home/card#/company/CF530C61D1F84F9CBCF8E61FB0A841AA/101"/><Relationship Id="rId7330" Type="http://schemas.openxmlformats.org/officeDocument/2006/relationships/hyperlink" TargetMode="External" Target="https://spark-interfax.ru/system/home/card#/company/DCF95CFB8F57485A9B4A980D261E8D25/101"/><Relationship Id="rId7331" Type="http://schemas.openxmlformats.org/officeDocument/2006/relationships/hyperlink" TargetMode="External" Target="https://spark-interfax.ru/system/home/card#/company/6673DBE28CEA340BE0531B9AA8C08771/101"/><Relationship Id="rId7332" Type="http://schemas.openxmlformats.org/officeDocument/2006/relationships/hyperlink" TargetMode="External" Target="https://spark-interfax.ru/system/home/card#/company/47780C7C986048668A9B8777517D2013/101"/><Relationship Id="rId7333" Type="http://schemas.openxmlformats.org/officeDocument/2006/relationships/hyperlink" TargetMode="External" Target="https://spark-interfax.ru/system/home/card#/company/E818CA9BFB464D149D081764041FCB02/101"/><Relationship Id="rId7334" Type="http://schemas.openxmlformats.org/officeDocument/2006/relationships/hyperlink" TargetMode="External" Target="https://spark-interfax.ru/system/home/card#/company/C67703631E9C4CC4935F41F2F601C183/101"/><Relationship Id="rId7335" Type="http://schemas.openxmlformats.org/officeDocument/2006/relationships/hyperlink" TargetMode="External" Target="https://spark-interfax.ru/system/home/card#/company/2DE43DD324844E84A8EDF60DBA529A53/101"/><Relationship Id="rId7336" Type="http://schemas.openxmlformats.org/officeDocument/2006/relationships/hyperlink" TargetMode="External" Target="https://spark-interfax.ru/system/home/card#/company/F9E3D5A995C44146B2AFD070DEB8843E/101"/><Relationship Id="rId7337" Type="http://schemas.openxmlformats.org/officeDocument/2006/relationships/hyperlink" TargetMode="External" Target="https://spark-interfax.ru/system/home/card#/company/C2185BFB081C4DB9862506673F1D8DC5/101"/><Relationship Id="rId7338" Type="http://schemas.openxmlformats.org/officeDocument/2006/relationships/hyperlink" TargetMode="External" Target="https://spark-interfax.ru/system/home/card#/company/CD78CAFC868C4D26A716C33BA1DD5193/101"/><Relationship Id="rId7339" Type="http://schemas.openxmlformats.org/officeDocument/2006/relationships/hyperlink" TargetMode="External" Target="https://spark-interfax.ru/system/home/card#/company/E0BB8F6F3A034BBA88A1E46F5ACABA9D/101"/><Relationship Id="rId7340" Type="http://schemas.openxmlformats.org/officeDocument/2006/relationships/hyperlink" TargetMode="External" Target="https://spark-interfax.ru/system/home/card#/company/22F143ACE6804D7CBE6C7C9F1E819068/101"/><Relationship Id="rId7341" Type="http://schemas.openxmlformats.org/officeDocument/2006/relationships/hyperlink" TargetMode="External" Target="https://spark-interfax.ru/system/home/card#/company/45CFFF790C59456582087C56FC0336D8/101"/><Relationship Id="rId7342" Type="http://schemas.openxmlformats.org/officeDocument/2006/relationships/hyperlink" TargetMode="External" Target="https://spark-interfax.ru/system/home/card#/company/7E19D93F8BA44CC4BCEFF36F07DE3F53/101"/><Relationship Id="rId7343" Type="http://schemas.openxmlformats.org/officeDocument/2006/relationships/hyperlink" TargetMode="External" Target="https://spark-interfax.ru/system/home/card#/company/807F560DF31448E39F85B9848F3390CC/101"/><Relationship Id="rId7344" Type="http://schemas.openxmlformats.org/officeDocument/2006/relationships/hyperlink" TargetMode="External" Target="https://spark-interfax.ru/system/home/card#/company/CF3C221234BE46B0A70F0CFF66EF0526/101"/><Relationship Id="rId7345" Type="http://schemas.openxmlformats.org/officeDocument/2006/relationships/hyperlink" TargetMode="External" Target="https://spark-interfax.ru/system/home/card#/company/0D3334B940E945E09E6C39A2E46EB239/101"/><Relationship Id="rId7346" Type="http://schemas.openxmlformats.org/officeDocument/2006/relationships/hyperlink" TargetMode="External" Target="https://spark-interfax.ru/system/home/card#/company/760A98C938DB491285EA9A5CFEAFF096/101"/><Relationship Id="rId7347" Type="http://schemas.openxmlformats.org/officeDocument/2006/relationships/hyperlink" TargetMode="External" Target="https://spark-interfax.ru/system/home/card#/company/7AF6B5B30E084156B9F68BD78029FA2D/101"/><Relationship Id="rId7348" Type="http://schemas.openxmlformats.org/officeDocument/2006/relationships/hyperlink" TargetMode="External" Target="https://spark-interfax.ru/system/home/card#/company/2212C4FD58054EA88D58F636B1270642/101"/><Relationship Id="rId7349" Type="http://schemas.openxmlformats.org/officeDocument/2006/relationships/hyperlink" TargetMode="External" Target="https://spark-interfax.ru/system/home/card#/company/91E6B75ECFD2495EBB1B41438D72B354/101"/><Relationship Id="rId7350" Type="http://schemas.openxmlformats.org/officeDocument/2006/relationships/hyperlink" TargetMode="External" Target="https://spark-interfax.ru/system/home/card#/company/BB8CEE7078694E9CA2C96681502E2531/101"/><Relationship Id="rId7351" Type="http://schemas.openxmlformats.org/officeDocument/2006/relationships/hyperlink" TargetMode="External" Target="https://spark-interfax.ru/system/home/card#/company/76C8F81AA9064189889E23885D712448/101"/><Relationship Id="rId7352" Type="http://schemas.openxmlformats.org/officeDocument/2006/relationships/hyperlink" TargetMode="External" Target="https://spark-interfax.ru/system/home/card#/company/4BAF2A3892BB4F26822CE959660743C1/101"/><Relationship Id="rId7353" Type="http://schemas.openxmlformats.org/officeDocument/2006/relationships/hyperlink" TargetMode="External" Target="https://spark-interfax.ru/system/home/card#/company/91F2198EBAEF4F6CA61BAB6D9D2ABAA0/101"/><Relationship Id="rId7354" Type="http://schemas.openxmlformats.org/officeDocument/2006/relationships/hyperlink" TargetMode="External" Target="https://spark-interfax.ru/system/home/card#/company/F91CED81A1E04025B8D786BE5DA373C7/101"/><Relationship Id="rId7355" Type="http://schemas.openxmlformats.org/officeDocument/2006/relationships/hyperlink" TargetMode="External" Target="https://spark-interfax.ru/system/home/card#/company/ED0D572E0EC64D08A8947929EB2A1964/101"/><Relationship Id="rId7356" Type="http://schemas.openxmlformats.org/officeDocument/2006/relationships/hyperlink" TargetMode="External" Target="https://spark-interfax.ru/system/home/card#/company/0D4E66FC15754BC996A086EF6E29114F/101"/><Relationship Id="rId7357" Type="http://schemas.openxmlformats.org/officeDocument/2006/relationships/hyperlink" TargetMode="External" Target="https://spark-interfax.ru/system/home/card#/company/5A3A521E318E4616B7A398A3B978BAE0/101"/><Relationship Id="rId7358" Type="http://schemas.openxmlformats.org/officeDocument/2006/relationships/hyperlink" TargetMode="External" Target="https://spark-interfax.ru/system/home/card#/company/04F12C25095049958D613BAB7EB86DAF/101"/><Relationship Id="rId7359" Type="http://schemas.openxmlformats.org/officeDocument/2006/relationships/hyperlink" TargetMode="External" Target="https://spark-interfax.ru/system/home/card#/company/1805D611DFFC4926A537884C7274666D/101"/><Relationship Id="rId7360" Type="http://schemas.openxmlformats.org/officeDocument/2006/relationships/hyperlink" TargetMode="External" Target="https://spark-interfax.ru/system/home/card#/company/76A33196BE2144ED963268E843D6ABF6/101"/><Relationship Id="rId7361" Type="http://schemas.openxmlformats.org/officeDocument/2006/relationships/hyperlink" TargetMode="External" Target="https://spark-interfax.ru/system/home/card#/company/7D7AC8369D32489BB0FDA6B118FA597F/101"/><Relationship Id="rId7362" Type="http://schemas.openxmlformats.org/officeDocument/2006/relationships/hyperlink" TargetMode="External" Target="https://spark-interfax.ru/system/home/card#/company/E36C870A72444B9C9BBD47E8482294BE/101"/><Relationship Id="rId7363" Type="http://schemas.openxmlformats.org/officeDocument/2006/relationships/hyperlink" TargetMode="External" Target="https://spark-interfax.ru/system/home/card#/company/CE1EB1B9E7014C6ABEF2312645D5F487/101"/><Relationship Id="rId7364" Type="http://schemas.openxmlformats.org/officeDocument/2006/relationships/hyperlink" TargetMode="External" Target="https://spark-interfax.ru/system/home/card#/company/179A968C816E4F0BA04EEBFCADD7B101/101"/><Relationship Id="rId7365" Type="http://schemas.openxmlformats.org/officeDocument/2006/relationships/hyperlink" TargetMode="External" Target="https://spark-interfax.ru/system/home/card#/company/84A09431A05E25AFE0531B9AA8C06664/101"/><Relationship Id="rId7366" Type="http://schemas.openxmlformats.org/officeDocument/2006/relationships/hyperlink" TargetMode="External" Target="https://spark-interfax.ru/system/home/card#/company/7D68F4FDFFE144578F0690EF4ED5ACFF/101"/><Relationship Id="rId7367" Type="http://schemas.openxmlformats.org/officeDocument/2006/relationships/hyperlink" TargetMode="External" Target="https://spark-interfax.ru/system/home/card#/company/5463C1CE85924CECA6C72116D7EE564B/101"/><Relationship Id="rId7368" Type="http://schemas.openxmlformats.org/officeDocument/2006/relationships/hyperlink" TargetMode="External" Target="https://spark-interfax.ru/system/home/card#/company/E10D8115350049E69FDB8C569F95D24A/101"/><Relationship Id="rId7369" Type="http://schemas.openxmlformats.org/officeDocument/2006/relationships/hyperlink" TargetMode="External" Target="https://spark-interfax.ru/system/home/card#/company/8A3AC91A1E0D4100B2DEBC27A346E0C6/101"/><Relationship Id="rId7370" Type="http://schemas.openxmlformats.org/officeDocument/2006/relationships/hyperlink" TargetMode="External" Target="https://spark-interfax.ru/system/home/card#/company/68F1C4E680A942049C51B24EADA12397/101"/><Relationship Id="rId7371" Type="http://schemas.openxmlformats.org/officeDocument/2006/relationships/hyperlink" TargetMode="External" Target="https://spark-interfax.ru/system/home/card#/company/3C7E1BE7809D4AC4A23C369013FD3616/101"/><Relationship Id="rId7372" Type="http://schemas.openxmlformats.org/officeDocument/2006/relationships/hyperlink" TargetMode="External" Target="https://spark-interfax.ru/system/home/card#/company/E554A13F87A040498692F23668F835A4/101"/><Relationship Id="rId7373" Type="http://schemas.openxmlformats.org/officeDocument/2006/relationships/hyperlink" TargetMode="External" Target="https://spark-interfax.ru/system/home/card#/company/E9588844CD4E4D229F7A71FAF5C235F1/101"/><Relationship Id="rId7374" Type="http://schemas.openxmlformats.org/officeDocument/2006/relationships/hyperlink" TargetMode="External" Target="https://spark-interfax.ru/system/home/card#/company/0B8436664B8041E890819C239F5EF095/101"/><Relationship Id="rId7375" Type="http://schemas.openxmlformats.org/officeDocument/2006/relationships/hyperlink" TargetMode="External" Target="https://spark-interfax.ru/system/home/card#/company/E620FA5EF3D7470BA2568E99CC1E1A0A/101"/><Relationship Id="rId7376" Type="http://schemas.openxmlformats.org/officeDocument/2006/relationships/hyperlink" TargetMode="External" Target="https://spark-interfax.ru/system/home/card#/company/E7861CBB766A4BC2B77A51BC6123A5B2/101"/><Relationship Id="rId7377" Type="http://schemas.openxmlformats.org/officeDocument/2006/relationships/hyperlink" TargetMode="External" Target="https://spark-interfax.ru/system/home/card#/company/D14E405EA2064196A1252053B5F8F82F/101"/><Relationship Id="rId7378" Type="http://schemas.openxmlformats.org/officeDocument/2006/relationships/hyperlink" TargetMode="External" Target="https://spark-interfax.ru/system/home/card#/company/A81CC8488EE5442BB3738A4260E5D7FF/101"/><Relationship Id="rId7379" Type="http://schemas.openxmlformats.org/officeDocument/2006/relationships/hyperlink" TargetMode="External" Target="https://spark-interfax.ru/system/home/card#/company/25A7070976564CD9BC92EE5D46F68460/101"/><Relationship Id="rId7380" Type="http://schemas.openxmlformats.org/officeDocument/2006/relationships/hyperlink" TargetMode="External" Target="https://spark-interfax.ru/system/home/card#/company/5B5DCD77ECDC7659E0531C9AA8C01DE1/101"/><Relationship Id="rId7381" Type="http://schemas.openxmlformats.org/officeDocument/2006/relationships/hyperlink" TargetMode="External" Target="https://spark-interfax.ru/system/home/card#/company/CE74499B371D46F38D85AE23CC179319/101"/><Relationship Id="rId7382" Type="http://schemas.openxmlformats.org/officeDocument/2006/relationships/hyperlink" TargetMode="External" Target="https://spark-interfax.ru/system/home/card#/company/D5AD8A8FCCD24DC9AFC73415D4B24BEA/101"/><Relationship Id="rId7383" Type="http://schemas.openxmlformats.org/officeDocument/2006/relationships/hyperlink" TargetMode="External" Target="https://spark-interfax.ru/system/home/card#/company/4C8AD9E88036485582DBA5C4B076B706/101"/><Relationship Id="rId7384" Type="http://schemas.openxmlformats.org/officeDocument/2006/relationships/hyperlink" TargetMode="External" Target="https://spark-interfax.ru/system/home/card#/company/7CA6BF17206E4164877C8C008EF4974D/101"/><Relationship Id="rId7385" Type="http://schemas.openxmlformats.org/officeDocument/2006/relationships/hyperlink" TargetMode="External" Target="https://spark-interfax.ru/system/home/card#/company/7EF9FA522C8A4273A00FFB3592C28E21/101"/><Relationship Id="rId7386" Type="http://schemas.openxmlformats.org/officeDocument/2006/relationships/hyperlink" TargetMode="External" Target="https://spark-interfax.ru/system/home/card#/company/C2C2AC112DDA4BE19F16F2EFEE5EB05F/101"/><Relationship Id="rId7387" Type="http://schemas.openxmlformats.org/officeDocument/2006/relationships/hyperlink" TargetMode="External" Target="https://spark-interfax.ru/system/home/card#/company/20212B258D504FAC971CAF0C98AA9B9C/101"/><Relationship Id="rId7388" Type="http://schemas.openxmlformats.org/officeDocument/2006/relationships/hyperlink" TargetMode="External" Target="https://spark-interfax.ru/system/home/card#/company/6CFCB469760A4AC69DC049FA746ABB32/101"/><Relationship Id="rId7389" Type="http://schemas.openxmlformats.org/officeDocument/2006/relationships/hyperlink" TargetMode="External" Target="https://spark-interfax.ru/system/home/card#/company/239CCFD66F1543A5A8D662174B35C641/101"/><Relationship Id="rId7390" Type="http://schemas.openxmlformats.org/officeDocument/2006/relationships/hyperlink" TargetMode="External" Target="https://spark-interfax.ru/system/home/card#/company/BC5F1A76C6904701A37F1E63B8A65C93/101"/><Relationship Id="rId7391" Type="http://schemas.openxmlformats.org/officeDocument/2006/relationships/hyperlink" TargetMode="External" Target="https://spark-interfax.ru/system/home/card#/company/CCFC546BB9754C62AC68EE9E0619CE07/101"/><Relationship Id="rId7392" Type="http://schemas.openxmlformats.org/officeDocument/2006/relationships/hyperlink" TargetMode="External" Target="https://spark-interfax.ru/system/home/card#/company/85F4D734271D4D089344CB132471093E/101"/><Relationship Id="rId7393" Type="http://schemas.openxmlformats.org/officeDocument/2006/relationships/hyperlink" TargetMode="External" Target="https://spark-interfax.ru/system/home/card#/company/0B30B58F656E41F88B63F46D02A5E83F/101"/><Relationship Id="rId7394" Type="http://schemas.openxmlformats.org/officeDocument/2006/relationships/hyperlink" TargetMode="External" Target="https://spark-interfax.ru/system/home/card#/company/08567F8CE6934C64B886B197F84BC555/101"/><Relationship Id="rId7395" Type="http://schemas.openxmlformats.org/officeDocument/2006/relationships/hyperlink" TargetMode="External" Target="https://spark-interfax.ru/system/home/card#/company/19D345DC34FB488299421A41550DAE0F/101"/><Relationship Id="rId7396" Type="http://schemas.openxmlformats.org/officeDocument/2006/relationships/hyperlink" TargetMode="External" Target="https://spark-interfax.ru/system/home/card#/company/8043774266754A39B642BFBFFE92258D/101"/><Relationship Id="rId7397" Type="http://schemas.openxmlformats.org/officeDocument/2006/relationships/hyperlink" TargetMode="External" Target="https://spark-interfax.ru/system/home/card#/company/6D1AEF398F6E47A2B0A8F895254496A7/101"/><Relationship Id="rId7398" Type="http://schemas.openxmlformats.org/officeDocument/2006/relationships/hyperlink" TargetMode="External" Target="https://spark-interfax.ru/system/home/card#/company/99ED41352B76497ABDB28ED83DB58701/101"/><Relationship Id="rId7399" Type="http://schemas.openxmlformats.org/officeDocument/2006/relationships/hyperlink" TargetMode="External" Target="https://spark-interfax.ru/system/home/card#/company/1B94C8C7CE324038AA3EFF706DB0E39D/101"/><Relationship Id="rId7400" Type="http://schemas.openxmlformats.org/officeDocument/2006/relationships/hyperlink" TargetMode="External" Target="https://spark-interfax.ru/system/home/card#/company/FA93A8F4B6AF481AA14500C72324DE47/101"/><Relationship Id="rId7401" Type="http://schemas.openxmlformats.org/officeDocument/2006/relationships/hyperlink" TargetMode="External" Target="https://spark-interfax.ru/system/home/card#/company/9A2CA6A347F342CCBCF96EABBD93050F/101"/><Relationship Id="rId7402" Type="http://schemas.openxmlformats.org/officeDocument/2006/relationships/hyperlink" TargetMode="External" Target="https://spark-interfax.ru/system/home/card#/company/B21EF0693F413158E053219AA8C0B644/101"/><Relationship Id="rId7403" Type="http://schemas.openxmlformats.org/officeDocument/2006/relationships/hyperlink" TargetMode="External" Target="https://spark-interfax.ru/system/home/card#/company/FAEC6D146D904AAD89D8000FE3B8CF40/101"/><Relationship Id="rId7404" Type="http://schemas.openxmlformats.org/officeDocument/2006/relationships/hyperlink" TargetMode="External" Target="https://spark-interfax.ru/system/home/card#/company/92153288675949D4BDC415443716A544/101"/><Relationship Id="rId7405" Type="http://schemas.openxmlformats.org/officeDocument/2006/relationships/hyperlink" TargetMode="External" Target="https://spark-interfax.ru/system/home/card#/company/318D4B652F764612A35EC38B8940A17A/101"/><Relationship Id="rId7406" Type="http://schemas.openxmlformats.org/officeDocument/2006/relationships/hyperlink" TargetMode="External" Target="https://spark-interfax.ru/system/home/card#/company/D62A190C414F4933BE8FDD1882A215F6/101"/><Relationship Id="rId7407" Type="http://schemas.openxmlformats.org/officeDocument/2006/relationships/hyperlink" TargetMode="External" Target="https://spark-interfax.ru/system/home/card#/company/F3C3090F4EE646E9A841A7693FF41833/101"/><Relationship Id="rId7408" Type="http://schemas.openxmlformats.org/officeDocument/2006/relationships/hyperlink" TargetMode="External" Target="https://spark-interfax.ru/system/home/card#/company/B338E17BCD1162D9E053219AA8C0EFB7/101"/><Relationship Id="rId7409" Type="http://schemas.openxmlformats.org/officeDocument/2006/relationships/hyperlink" TargetMode="External" Target="https://spark-interfax.ru/system/home/card#/company/5809E4C67A09428B824CBDEAC373E9FF/101"/><Relationship Id="rId7410" Type="http://schemas.openxmlformats.org/officeDocument/2006/relationships/hyperlink" TargetMode="External" Target="https://spark-interfax.ru/system/home/card#/company/50C00E06D43C4F49B855B433777B199B/101"/><Relationship Id="rId7411" Type="http://schemas.openxmlformats.org/officeDocument/2006/relationships/hyperlink" TargetMode="External" Target="https://spark-interfax.ru/system/home/card#/company/AD0C1223096446549C8E004D85E25BA4/101"/><Relationship Id="rId7412" Type="http://schemas.openxmlformats.org/officeDocument/2006/relationships/hyperlink" TargetMode="External" Target="https://spark-interfax.ru/system/home/card#/company/9CD3950A6DE84EF49B4704DF850DC25D/101"/><Relationship Id="rId7413" Type="http://schemas.openxmlformats.org/officeDocument/2006/relationships/hyperlink" TargetMode="External" Target="https://spark-interfax.ru/system/home/card#/company/56C47B418AFA4AF8B3D11EECB5C90A31/101"/><Relationship Id="rId7414" Type="http://schemas.openxmlformats.org/officeDocument/2006/relationships/hyperlink" TargetMode="External" Target="https://spark-interfax.ru/system/home/card#/company/45147CDA8F03415587556500D8BB7B34/101"/><Relationship Id="rId7415" Type="http://schemas.openxmlformats.org/officeDocument/2006/relationships/hyperlink" TargetMode="External" Target="https://spark-interfax.ru/system/home/card#/company/AAD2C407477F45778B257C95B467B1AD/101"/><Relationship Id="rId7416" Type="http://schemas.openxmlformats.org/officeDocument/2006/relationships/hyperlink" TargetMode="External" Target="https://spark-interfax.ru/system/home/card#/company/D8B5ADCC1CEA49C4938E16B22C4F4713/101"/><Relationship Id="rId7417" Type="http://schemas.openxmlformats.org/officeDocument/2006/relationships/hyperlink" TargetMode="External" Target="https://spark-interfax.ru/system/home/card#/company/521AA837DE764290AD4C3D84B327AA92/101"/><Relationship Id="rId7418" Type="http://schemas.openxmlformats.org/officeDocument/2006/relationships/hyperlink" TargetMode="External" Target="https://spark-interfax.ru/system/home/card#/company/0DD3BB3F6ABA4DAC8BA3B0488A8E4A2D/101"/><Relationship Id="rId7419" Type="http://schemas.openxmlformats.org/officeDocument/2006/relationships/hyperlink" TargetMode="External" Target="https://spark-interfax.ru/system/home/card#/company/D3B14D5A62B14AF3B78ED806A2519645/101"/><Relationship Id="rId7420" Type="http://schemas.openxmlformats.org/officeDocument/2006/relationships/hyperlink" TargetMode="External" Target="https://spark-interfax.ru/system/home/card#/company/02D95930C8E4470B89D9CD1D4ED8AB94/101"/><Relationship Id="rId7421" Type="http://schemas.openxmlformats.org/officeDocument/2006/relationships/hyperlink" TargetMode="External" Target="https://spark-interfax.ru/system/home/card#/company/650DF4F604314BDE82329CB931F8E0A3/101"/><Relationship Id="rId7422" Type="http://schemas.openxmlformats.org/officeDocument/2006/relationships/hyperlink" TargetMode="External" Target="https://spark-interfax.ru/system/home/card#/company/FC2AFCA7CF1B40F98C45C9E2BEBBFFBE/101"/><Relationship Id="rId7423" Type="http://schemas.openxmlformats.org/officeDocument/2006/relationships/hyperlink" TargetMode="External" Target="https://spark-interfax.ru/system/home/card#/company/90256A6C219841E1BF5BE2FB43F54AD7/101"/><Relationship Id="rId7424" Type="http://schemas.openxmlformats.org/officeDocument/2006/relationships/hyperlink" TargetMode="External" Target="https://spark-interfax.ru/system/home/card#/company/E05DBB66B91E4233A909DF95A8DDAFD8/101"/><Relationship Id="rId7425" Type="http://schemas.openxmlformats.org/officeDocument/2006/relationships/hyperlink" TargetMode="External" Target="https://spark-interfax.ru/system/home/card#/company/8B6E1F13975F4B9AA1B60222E5AB2DD4/101"/><Relationship Id="rId7426" Type="http://schemas.openxmlformats.org/officeDocument/2006/relationships/hyperlink" TargetMode="External" Target="https://spark-interfax.ru/system/home/card#/company/61846C7031E44E7788D8896360DF15D6/101"/><Relationship Id="rId7427" Type="http://schemas.openxmlformats.org/officeDocument/2006/relationships/hyperlink" TargetMode="External" Target="https://spark-interfax.ru/system/home/card#/company/E4B9D5EE762F416292EDB229AA30EDBA/101"/><Relationship Id="rId7428" Type="http://schemas.openxmlformats.org/officeDocument/2006/relationships/hyperlink" TargetMode="External" Target="https://spark-interfax.ru/system/home/card#/company/E67196F5A1A848E2BFA16EE7D5098412/101"/><Relationship Id="rId7429" Type="http://schemas.openxmlformats.org/officeDocument/2006/relationships/hyperlink" TargetMode="External" Target="https://spark-interfax.ru/system/home/card#/company/0F26E825F3394FF6B2275B2A476E9AE6/101"/><Relationship Id="rId7430" Type="http://schemas.openxmlformats.org/officeDocument/2006/relationships/hyperlink" TargetMode="External" Target="https://spark-interfax.ru/system/home/card#/company/54C5863FD4FA4C4785C830BA940B538A/101"/><Relationship Id="rId7431" Type="http://schemas.openxmlformats.org/officeDocument/2006/relationships/hyperlink" TargetMode="External" Target="https://spark-interfax.ru/system/home/card#/company/21D3BA108E9248BEA1DB68D370E4983C/101"/><Relationship Id="rId7432" Type="http://schemas.openxmlformats.org/officeDocument/2006/relationships/hyperlink" TargetMode="External" Target="https://spark-interfax.ru/system/home/card#/company/32AA4F1EF4A0439BA5B84E2A25B25758/101"/><Relationship Id="rId7433" Type="http://schemas.openxmlformats.org/officeDocument/2006/relationships/hyperlink" TargetMode="External" Target="https://spark-interfax.ru/system/home/card#/company/CD32686A38F0473BA68D92AA6B54FDF1/101"/><Relationship Id="rId7434" Type="http://schemas.openxmlformats.org/officeDocument/2006/relationships/hyperlink" TargetMode="External" Target="https://spark-interfax.ru/system/home/card#/company/BC0A61E1725F4238A71CF7FB8E71F5E4/101"/><Relationship Id="rId7435" Type="http://schemas.openxmlformats.org/officeDocument/2006/relationships/hyperlink" TargetMode="External" Target="https://spark-interfax.ru/system/home/card#/company/74B48DC77AE94149A066CD000723A49A/101"/><Relationship Id="rId7436" Type="http://schemas.openxmlformats.org/officeDocument/2006/relationships/hyperlink" TargetMode="External" Target="https://spark-interfax.ru/system/home/card#/company/1DE70F33D0194699A8438D0FAE9F86EC/101"/><Relationship Id="rId7437" Type="http://schemas.openxmlformats.org/officeDocument/2006/relationships/hyperlink" TargetMode="External" Target="https://spark-interfax.ru/system/home/card#/company/5DF7488E37958A29E0531B9AA8C0E37C/101"/><Relationship Id="rId7438" Type="http://schemas.openxmlformats.org/officeDocument/2006/relationships/hyperlink" TargetMode="External" Target="https://spark-interfax.ru/system/home/card#/company/7EA30BC11CA146919AD81E2E8DFC79D4/101"/><Relationship Id="rId7439" Type="http://schemas.openxmlformats.org/officeDocument/2006/relationships/hyperlink" TargetMode="External" Target="https://spark-interfax.ru/system/home/card#/company/3816EAB4570342E6A5C4BFD60A68BE43/101"/><Relationship Id="rId7440" Type="http://schemas.openxmlformats.org/officeDocument/2006/relationships/hyperlink" TargetMode="External" Target="https://spark-interfax.ru/system/home/card#/company/D255E93D7A6C4246BA0FC210DB91B99A/101"/><Relationship Id="rId7441" Type="http://schemas.openxmlformats.org/officeDocument/2006/relationships/hyperlink" TargetMode="External" Target="https://spark-interfax.ru/system/home/card#/company/7BB5C22E65CF430A9C4826DCA7E292B3/101"/><Relationship Id="rId7442" Type="http://schemas.openxmlformats.org/officeDocument/2006/relationships/hyperlink" TargetMode="External" Target="https://spark-interfax.ru/system/home/card#/company/F339BDF97B534503B98E527C14046412/101"/><Relationship Id="rId7443" Type="http://schemas.openxmlformats.org/officeDocument/2006/relationships/hyperlink" TargetMode="External" Target="https://spark-interfax.ru/system/home/card#/company/93BFA8E8D79443D6ABD6B1F0D36D469B/101"/><Relationship Id="rId7444" Type="http://schemas.openxmlformats.org/officeDocument/2006/relationships/hyperlink" TargetMode="External" Target="https://spark-interfax.ru/system/home/card#/company/006BAEB22FEA4454A98A24B314559D9B/101"/><Relationship Id="rId7445" Type="http://schemas.openxmlformats.org/officeDocument/2006/relationships/hyperlink" TargetMode="External" Target="https://spark-interfax.ru/system/home/card#/company/058A0D3CDAA64CCA9FCAC2ED7A5FCCEB/101"/><Relationship Id="rId7446" Type="http://schemas.openxmlformats.org/officeDocument/2006/relationships/hyperlink" TargetMode="External" Target="https://spark-interfax.ru/system/home/card#/company/D10AD88BAF6F484EB3E44293A2DE16BA/101"/><Relationship Id="rId7447" Type="http://schemas.openxmlformats.org/officeDocument/2006/relationships/hyperlink" TargetMode="External" Target="https://spark-interfax.ru/system/home/card#/company/E50AED1CF773462E81FB2978F867B7F4/101"/><Relationship Id="rId7448" Type="http://schemas.openxmlformats.org/officeDocument/2006/relationships/hyperlink" TargetMode="External" Target="https://spark-interfax.ru/system/home/card#/company/B85F9785D5304230BF72DFC54AA9DFCD/101"/><Relationship Id="rId7449" Type="http://schemas.openxmlformats.org/officeDocument/2006/relationships/hyperlink" TargetMode="External" Target="https://spark-interfax.ru/system/home/card#/company/4A0A8A9E311B49858F3E0AB3F6C96FEB/101"/><Relationship Id="rId7450" Type="http://schemas.openxmlformats.org/officeDocument/2006/relationships/hyperlink" TargetMode="External" Target="https://spark-interfax.ru/system/home/card#/company/C644D85B7E1844928684142C4C3A47D4/101"/><Relationship Id="rId7451" Type="http://schemas.openxmlformats.org/officeDocument/2006/relationships/hyperlink" TargetMode="External" Target="https://spark-interfax.ru/system/home/card#/company/0CF1F152C6664734B65FE0CEDCFAADE0/101"/><Relationship Id="rId7452" Type="http://schemas.openxmlformats.org/officeDocument/2006/relationships/hyperlink" TargetMode="External" Target="https://spark-interfax.ru/system/home/card#/company/F892A40DCDC442E98A552C27265747BB/101"/><Relationship Id="rId7453" Type="http://schemas.openxmlformats.org/officeDocument/2006/relationships/hyperlink" TargetMode="External" Target="https://spark-interfax.ru/system/home/card#/company/09D13304D26F4343B850A01548812C76/101"/><Relationship Id="rId7454" Type="http://schemas.openxmlformats.org/officeDocument/2006/relationships/hyperlink" TargetMode="External" Target="https://spark-interfax.ru/system/home/card#/company/A6994C40DA454B0DB9C1C31403996597/101"/><Relationship Id="rId7455" Type="http://schemas.openxmlformats.org/officeDocument/2006/relationships/hyperlink" TargetMode="External" Target="https://spark-interfax.ru/system/home/card#/company/F4296373984D4BD2BD64D26C079A15D5/101"/><Relationship Id="rId7456" Type="http://schemas.openxmlformats.org/officeDocument/2006/relationships/hyperlink" TargetMode="External" Target="https://spark-interfax.ru/system/home/card#/company/4039ADD6A12C4136954478BF8460936D/101"/><Relationship Id="rId7457" Type="http://schemas.openxmlformats.org/officeDocument/2006/relationships/hyperlink" TargetMode="External" Target="https://spark-interfax.ru/system/home/card#/company/82D5E358A7354E7587F6ED39371819F4/101"/><Relationship Id="rId7458" Type="http://schemas.openxmlformats.org/officeDocument/2006/relationships/hyperlink" TargetMode="External" Target="https://spark-interfax.ru/system/home/card#/company/399DFD851A3B4624A51BE3E9B3E7F56F/101"/><Relationship Id="rId7459" Type="http://schemas.openxmlformats.org/officeDocument/2006/relationships/hyperlink" TargetMode="External" Target="https://spark-interfax.ru/system/home/card#/company/17480926E09046959BA36A214213C81E/101"/><Relationship Id="rId7460" Type="http://schemas.openxmlformats.org/officeDocument/2006/relationships/hyperlink" TargetMode="External" Target="https://spark-interfax.ru/system/home/card#/company/05F82F29021A4747A79BB37D10C8B292/101"/><Relationship Id="rId7461" Type="http://schemas.openxmlformats.org/officeDocument/2006/relationships/hyperlink" TargetMode="External" Target="https://spark-interfax.ru/system/home/card#/company/94B3C909B5694DA78E604FB723179BB5/101"/><Relationship Id="rId7462" Type="http://schemas.openxmlformats.org/officeDocument/2006/relationships/hyperlink" TargetMode="External" Target="https://spark-interfax.ru/system/home/card#/company/55113F533DD444B4BC48B09AA23A9F6A/101"/><Relationship Id="rId7463" Type="http://schemas.openxmlformats.org/officeDocument/2006/relationships/hyperlink" TargetMode="External" Target="https://spark-interfax.ru/system/home/card#/company/A285825DD9D04E029A6A89AA01BE4710/101"/><Relationship Id="rId7464" Type="http://schemas.openxmlformats.org/officeDocument/2006/relationships/hyperlink" TargetMode="External" Target="https://spark-interfax.ru/system/home/card#/company/C446C482B30C417697A71FF50C8CB4DC/101"/><Relationship Id="rId7465" Type="http://schemas.openxmlformats.org/officeDocument/2006/relationships/hyperlink" TargetMode="External" Target="https://spark-interfax.ru/system/home/card#/company/1496B0E0886C4324938E37898DFB310F/101"/><Relationship Id="rId7466" Type="http://schemas.openxmlformats.org/officeDocument/2006/relationships/hyperlink" TargetMode="External" Target="https://spark-interfax.ru/system/home/card#/company/6A1863702CD1418A9ED851FA0AD86E58/101"/><Relationship Id="rId7467" Type="http://schemas.openxmlformats.org/officeDocument/2006/relationships/hyperlink" TargetMode="External" Target="https://spark-interfax.ru/system/home/card#/company/B3704AF611D546679138ABA18227B540/101"/><Relationship Id="rId7468" Type="http://schemas.openxmlformats.org/officeDocument/2006/relationships/hyperlink" TargetMode="External" Target="https://spark-interfax.ru/system/home/card#/company/DD505EB595EC45ABB532E9A172188A48/101"/><Relationship Id="rId7469" Type="http://schemas.openxmlformats.org/officeDocument/2006/relationships/hyperlink" TargetMode="External" Target="https://spark-interfax.ru/system/home/card#/company/FDF58CF2E1F54A78AE565C4871CB09FF/101"/><Relationship Id="rId7470" Type="http://schemas.openxmlformats.org/officeDocument/2006/relationships/hyperlink" TargetMode="External" Target="https://spark-interfax.ru/system/home/card#/company/869474107FF34E83BF90989BE8497CD0/101"/><Relationship Id="rId7471" Type="http://schemas.openxmlformats.org/officeDocument/2006/relationships/hyperlink" TargetMode="External" Target="https://spark-interfax.ru/system/home/card#/company/79CCEAD439864DC5B9B16B6C43347C27/101"/><Relationship Id="rId7472" Type="http://schemas.openxmlformats.org/officeDocument/2006/relationships/hyperlink" TargetMode="External" Target="https://spark-interfax.ru/system/home/card#/company/3C97483F08CB43EEB5117C92C733637B/101"/><Relationship Id="rId7473" Type="http://schemas.openxmlformats.org/officeDocument/2006/relationships/hyperlink" TargetMode="External" Target="https://spark-interfax.ru/system/home/card#/company/BDE65645F29E422CA375D876863503BA/101"/><Relationship Id="rId7474" Type="http://schemas.openxmlformats.org/officeDocument/2006/relationships/hyperlink" TargetMode="External" Target="https://spark-interfax.ru/system/home/card#/company/AE310E4322504736903471EFCD03A259/101"/><Relationship Id="rId7475" Type="http://schemas.openxmlformats.org/officeDocument/2006/relationships/hyperlink" TargetMode="External" Target="https://spark-interfax.ru/system/home/card#/company/0C306763BBCB498F9618044F6655EBD8/101"/><Relationship Id="rId7476" Type="http://schemas.openxmlformats.org/officeDocument/2006/relationships/hyperlink" TargetMode="External" Target="https://spark-interfax.ru/system/home/card#/company/69A49D601FFC45D0B8A5FB19B38A6685/101"/><Relationship Id="rId7477" Type="http://schemas.openxmlformats.org/officeDocument/2006/relationships/hyperlink" TargetMode="External" Target="https://spark-interfax.ru/system/home/card#/company/23677AAD836148AF8A559EE2DDDAF806/101"/><Relationship Id="rId7478" Type="http://schemas.openxmlformats.org/officeDocument/2006/relationships/hyperlink" TargetMode="External" Target="https://spark-interfax.ru/system/home/card#/company/901F6D63EAED45B8A5C2AE4F065E248E/101"/><Relationship Id="rId7479" Type="http://schemas.openxmlformats.org/officeDocument/2006/relationships/hyperlink" TargetMode="External" Target="https://spark-interfax.ru/system/home/card#/company/AD15C244E8074828A79ABCF1D9EE4481/101"/><Relationship Id="rId7480" Type="http://schemas.openxmlformats.org/officeDocument/2006/relationships/hyperlink" TargetMode="External" Target="https://spark-interfax.ru/system/home/card#/company/16C6A968FA7048A4AA642B399359B32D/101"/><Relationship Id="rId7481" Type="http://schemas.openxmlformats.org/officeDocument/2006/relationships/hyperlink" TargetMode="External" Target="https://spark-interfax.ru/system/home/card#/company/1477520B5F044969B1656538629BA411/101"/><Relationship Id="rId7482" Type="http://schemas.openxmlformats.org/officeDocument/2006/relationships/hyperlink" TargetMode="External" Target="https://spark-interfax.ru/system/home/card#/company/D61B46E3A98A4A4A933D04F804DF8A6A/101"/><Relationship Id="rId7483" Type="http://schemas.openxmlformats.org/officeDocument/2006/relationships/hyperlink" TargetMode="External" Target="https://spark-interfax.ru/system/home/card#/company/70A9B91A2D840E64E0531B9AA8C05FC7/101"/><Relationship Id="rId7484" Type="http://schemas.openxmlformats.org/officeDocument/2006/relationships/hyperlink" TargetMode="External" Target="https://spark-interfax.ru/system/home/card#/company/0FB64FB939434E1CABDF6041964BF23F/101"/><Relationship Id="rId7485" Type="http://schemas.openxmlformats.org/officeDocument/2006/relationships/hyperlink" TargetMode="External" Target="https://spark-interfax.ru/system/home/card#/company/8A4DCB4E482C4C5285A0136C4388DB83/101"/><Relationship Id="rId7486" Type="http://schemas.openxmlformats.org/officeDocument/2006/relationships/hyperlink" TargetMode="External" Target="https://spark-interfax.ru/system/home/card#/company/36248BD1E4374984B4F0289FEA6DA714/101"/><Relationship Id="rId7487" Type="http://schemas.openxmlformats.org/officeDocument/2006/relationships/hyperlink" TargetMode="External" Target="https://spark-interfax.ru/system/home/card#/company/9BF23F196CAF4220B6A22099EFAADB23/101"/><Relationship Id="rId7488" Type="http://schemas.openxmlformats.org/officeDocument/2006/relationships/hyperlink" TargetMode="External" Target="https://spark-interfax.ru/system/home/card#/company/AB45BA0FC21F4A65B0A004C534A52006/101"/><Relationship Id="rId7489" Type="http://schemas.openxmlformats.org/officeDocument/2006/relationships/hyperlink" TargetMode="External" Target="https://spark-interfax.ru/system/home/card#/company/573AC17005DD4CBA953C96E8B3978416/101"/><Relationship Id="rId7490" Type="http://schemas.openxmlformats.org/officeDocument/2006/relationships/hyperlink" TargetMode="External" Target="https://spark-interfax.ru/system/home/card#/company/5CFCDA3AC0DF433A9B411F38FDE91686/101"/><Relationship Id="rId7491" Type="http://schemas.openxmlformats.org/officeDocument/2006/relationships/hyperlink" TargetMode="External" Target="https://spark-interfax.ru/system/home/card#/company/5C681D08C3404C649A5CCFC4BCD78F04/101"/><Relationship Id="rId7492" Type="http://schemas.openxmlformats.org/officeDocument/2006/relationships/hyperlink" TargetMode="External" Target="https://spark-interfax.ru/system/home/card#/company/2E34F2769AB74694A007585359CF81BC/101"/><Relationship Id="rId7493" Type="http://schemas.openxmlformats.org/officeDocument/2006/relationships/hyperlink" TargetMode="External" Target="https://spark-interfax.ru/system/home/card#/company/3D8B101981B546008D7F7AF5BDFD52A9/101"/><Relationship Id="rId7494" Type="http://schemas.openxmlformats.org/officeDocument/2006/relationships/hyperlink" TargetMode="External" Target="https://spark-interfax.ru/system/home/card#/company/A4642D3C818A41698062CB0EE9DB687A/101"/><Relationship Id="rId7495" Type="http://schemas.openxmlformats.org/officeDocument/2006/relationships/hyperlink" TargetMode="External" Target="https://spark-interfax.ru/system/home/card#/company/9A507FC5A0B84FB29E39C9163DD05341/101"/><Relationship Id="rId7496" Type="http://schemas.openxmlformats.org/officeDocument/2006/relationships/hyperlink" TargetMode="External" Target="https://spark-interfax.ru/system/home/card#/company/171ACCBFEB324C268EEABD4495AB5C8F/101"/><Relationship Id="rId7497" Type="http://schemas.openxmlformats.org/officeDocument/2006/relationships/hyperlink" TargetMode="External" Target="https://spark-interfax.ru/system/home/card#/company/D52AF4BA9A9C49EF9A56B4F6C1CD16C6/101"/><Relationship Id="rId7498" Type="http://schemas.openxmlformats.org/officeDocument/2006/relationships/hyperlink" TargetMode="External" Target="https://spark-interfax.ru/system/home/card#/company/33B160EB83464056A06CCBB49F5A446A/101"/><Relationship Id="rId7499" Type="http://schemas.openxmlformats.org/officeDocument/2006/relationships/hyperlink" TargetMode="External" Target="https://spark-interfax.ru/system/home/card#/company/C736D0F171894D2DB5F7BCADBBE901E6/101"/><Relationship Id="rId7500" Type="http://schemas.openxmlformats.org/officeDocument/2006/relationships/hyperlink" TargetMode="External" Target="https://spark-interfax.ru/system/home/card#/company/2348218861A6418DBDEC3DA18D166EB3/101"/><Relationship Id="rId7501" Type="http://schemas.openxmlformats.org/officeDocument/2006/relationships/hyperlink" TargetMode="External" Target="https://spark-interfax.ru/system/home/card#/company/3D80A147FC3344F9A5E38B727A92D971/101"/><Relationship Id="rId7502" Type="http://schemas.openxmlformats.org/officeDocument/2006/relationships/hyperlink" TargetMode="External" Target="https://spark-interfax.ru/system/home/card#/company/A469500B7D7B417BAFC8A226DB27FA4A/101"/><Relationship Id="rId7503" Type="http://schemas.openxmlformats.org/officeDocument/2006/relationships/hyperlink" TargetMode="External" Target="https://spark-interfax.ru/system/home/card#/company/C3E2A8693A484F0F95B7132ECD8DAED3/101"/><Relationship Id="rId7504" Type="http://schemas.openxmlformats.org/officeDocument/2006/relationships/hyperlink" TargetMode="External" Target="https://spark-interfax.ru/system/home/card#/company/17C12BAC76DE40B0B5812ECDDE340700/101"/><Relationship Id="rId7505" Type="http://schemas.openxmlformats.org/officeDocument/2006/relationships/hyperlink" TargetMode="External" Target="https://spark-interfax.ru/system/home/card#/company/4C0635BEC6AA42268B1697FF2726D7D9/101"/><Relationship Id="rId7506" Type="http://schemas.openxmlformats.org/officeDocument/2006/relationships/hyperlink" TargetMode="External" Target="https://spark-interfax.ru/system/home/card#/company/4A4C49A18E5E4228ADAA0C35614CE86F/101"/><Relationship Id="rId7507" Type="http://schemas.openxmlformats.org/officeDocument/2006/relationships/hyperlink" TargetMode="External" Target="https://spark-interfax.ru/system/home/card#/company/7ED0151943EF4E37A92B9682E85CFE5B/101"/><Relationship Id="rId7508" Type="http://schemas.openxmlformats.org/officeDocument/2006/relationships/hyperlink" TargetMode="External" Target="https://spark-interfax.ru/system/home/card#/company/C099C76189964D969F6CCA529206A595/101"/><Relationship Id="rId7509" Type="http://schemas.openxmlformats.org/officeDocument/2006/relationships/hyperlink" TargetMode="External" Target="https://spark-interfax.ru/system/home/card#/company/CCDE79A65E7A44B5A1C0DCF361F21BEC/101"/><Relationship Id="rId7510" Type="http://schemas.openxmlformats.org/officeDocument/2006/relationships/hyperlink" TargetMode="External" Target="https://spark-interfax.ru/system/home/card#/company/31D21EDDDFC54540B9E258303161A865/101"/><Relationship Id="rId7511" Type="http://schemas.openxmlformats.org/officeDocument/2006/relationships/hyperlink" TargetMode="External" Target="https://spark-interfax.ru/system/home/card#/company/8BCD3B9332DC414787649FA694FCC83C/101"/><Relationship Id="rId7512" Type="http://schemas.openxmlformats.org/officeDocument/2006/relationships/hyperlink" TargetMode="External" Target="https://spark-interfax.ru/system/home/card#/company/8592677A9AE04C0D93EBCD4A020F9F49/101"/><Relationship Id="rId7513" Type="http://schemas.openxmlformats.org/officeDocument/2006/relationships/hyperlink" TargetMode="External" Target="https://spark-interfax.ru/system/home/card#/company/EA86A84E659A495DAA1D51451E4D0E80/101"/><Relationship Id="rId7514" Type="http://schemas.openxmlformats.org/officeDocument/2006/relationships/hyperlink" TargetMode="External" Target="https://spark-interfax.ru/system/home/card#/company/564D754ADDCF4EF8B86D664A08BB8670/101"/><Relationship Id="rId7515" Type="http://schemas.openxmlformats.org/officeDocument/2006/relationships/hyperlink" TargetMode="External" Target="https://spark-interfax.ru/system/home/card#/company/E8CF4D492E7C414A9408656FD04F382F/101"/><Relationship Id="rId7516" Type="http://schemas.openxmlformats.org/officeDocument/2006/relationships/hyperlink" TargetMode="External" Target="https://spark-interfax.ru/system/home/card#/company/265F0AC6F02F4D90A959ABD6FBDCCEB2/101"/><Relationship Id="rId7517" Type="http://schemas.openxmlformats.org/officeDocument/2006/relationships/hyperlink" TargetMode="External" Target="https://spark-interfax.ru/system/home/card#/company/5DD2876E45B04696B88825F32EAC6F13/101"/><Relationship Id="rId7518" Type="http://schemas.openxmlformats.org/officeDocument/2006/relationships/hyperlink" TargetMode="External" Target="https://spark-interfax.ru/system/home/card#/company/EF92258CBF0C40D9976123D861B259AC/101"/><Relationship Id="rId7519" Type="http://schemas.openxmlformats.org/officeDocument/2006/relationships/hyperlink" TargetMode="External" Target="https://spark-interfax.ru/system/home/card#/company/D122547CDC004170ADB40E1DCC7CA98C/101"/><Relationship Id="rId7520" Type="http://schemas.openxmlformats.org/officeDocument/2006/relationships/hyperlink" TargetMode="External" Target="https://spark-interfax.ru/system/home/card#/company/82A84234D53B47CEAC0C46B00FF45C3D/101"/><Relationship Id="rId7521" Type="http://schemas.openxmlformats.org/officeDocument/2006/relationships/hyperlink" TargetMode="External" Target="https://spark-interfax.ru/system/home/card#/company/B77BE9E7128F4ED29F48A566F9A56702/101"/><Relationship Id="rId7522" Type="http://schemas.openxmlformats.org/officeDocument/2006/relationships/hyperlink" TargetMode="External" Target="https://spark-interfax.ru/system/home/card#/company/6C95C741E3B94657B9E109BC9614EB11/101"/><Relationship Id="rId7523" Type="http://schemas.openxmlformats.org/officeDocument/2006/relationships/hyperlink" TargetMode="External" Target="https://spark-interfax.ru/system/home/card#/company/005512506AB1468382F3C388D0080D32/101"/><Relationship Id="rId7524" Type="http://schemas.openxmlformats.org/officeDocument/2006/relationships/hyperlink" TargetMode="External" Target="https://spark-interfax.ru/system/home/card#/company/914B2C70CBD64A25B196A99389523361/101"/><Relationship Id="rId7525" Type="http://schemas.openxmlformats.org/officeDocument/2006/relationships/hyperlink" TargetMode="External" Target="https://spark-interfax.ru/system/home/card#/company/42CEBB524E294C99BFB4677F1C82CE79/101"/><Relationship Id="rId7526" Type="http://schemas.openxmlformats.org/officeDocument/2006/relationships/hyperlink" TargetMode="External" Target="https://spark-interfax.ru/system/home/card#/company/A6A8322ED9314CB0A10CDB6A23C0B7CA/101"/><Relationship Id="rId7527" Type="http://schemas.openxmlformats.org/officeDocument/2006/relationships/hyperlink" TargetMode="External" Target="https://spark-interfax.ru/system/home/card#/company/94D2A216A49B480B9AC2A6AE4261EDC5/101"/><Relationship Id="rId7528" Type="http://schemas.openxmlformats.org/officeDocument/2006/relationships/hyperlink" TargetMode="External" Target="https://spark-interfax.ru/system/home/card#/company/3817F70CF1DE4B43B12BDBE248ED2D16/101"/><Relationship Id="rId7529" Type="http://schemas.openxmlformats.org/officeDocument/2006/relationships/hyperlink" TargetMode="External" Target="https://spark-interfax.ru/system/home/card#/company/926152CEBCF21995E0531B9AA8C09F97/101"/><Relationship Id="rId7530" Type="http://schemas.openxmlformats.org/officeDocument/2006/relationships/hyperlink" TargetMode="External" Target="https://spark-interfax.ru/system/home/card#/company/13172ADCDCA0448A8ADA46CA47D45B9D/101"/><Relationship Id="rId7531" Type="http://schemas.openxmlformats.org/officeDocument/2006/relationships/hyperlink" TargetMode="External" Target="https://spark-interfax.ru/system/home/card#/company/9A34026607364AC09B16D5A8A81867E7/101"/><Relationship Id="rId7532" Type="http://schemas.openxmlformats.org/officeDocument/2006/relationships/hyperlink" TargetMode="External" Target="https://spark-interfax.ru/system/home/card#/company/1C5C8F9137554649BE270AF93FF168B3/101"/><Relationship Id="rId7533" Type="http://schemas.openxmlformats.org/officeDocument/2006/relationships/hyperlink" TargetMode="External" Target="https://spark-interfax.ru/system/home/card#/company/33075B9FC65C4E16A9C85D2A6A064621/101"/><Relationship Id="rId7534" Type="http://schemas.openxmlformats.org/officeDocument/2006/relationships/hyperlink" TargetMode="External" Target="https://spark-interfax.ru/system/home/card#/company/38E6B3D5995748F2A5DB2334032025AC/101"/><Relationship Id="rId7535" Type="http://schemas.openxmlformats.org/officeDocument/2006/relationships/hyperlink" TargetMode="External" Target="https://spark-interfax.ru/system/home/card#/company/FC1D68BC173F414EA253B5F34D614EB4/101"/><Relationship Id="rId7536" Type="http://schemas.openxmlformats.org/officeDocument/2006/relationships/hyperlink" TargetMode="External" Target="https://spark-interfax.ru/system/home/card#/company/25D02B8FA669410E931548C67C26C533/101"/><Relationship Id="rId7537" Type="http://schemas.openxmlformats.org/officeDocument/2006/relationships/hyperlink" TargetMode="External" Target="https://spark-interfax.ru/system/home/card#/company/AF4B08FD36374A869AD18203291EA0AC/101"/><Relationship Id="rId7538" Type="http://schemas.openxmlformats.org/officeDocument/2006/relationships/hyperlink" TargetMode="External" Target="https://spark-interfax.ru/system/home/card#/company/C7CFD360BE032AFDE053219AA8C01463/101"/><Relationship Id="rId7539" Type="http://schemas.openxmlformats.org/officeDocument/2006/relationships/hyperlink" TargetMode="External" Target="https://spark-interfax.ru/system/home/card#/company/96F925396AD04B49B90BC343B60C14FB/101"/><Relationship Id="rId7540" Type="http://schemas.openxmlformats.org/officeDocument/2006/relationships/hyperlink" TargetMode="External" Target="https://spark-interfax.ru/system/home/card#/company/17776D1C00F4407E915A58D8DD57F69E/101"/><Relationship Id="rId7541" Type="http://schemas.openxmlformats.org/officeDocument/2006/relationships/hyperlink" TargetMode="External" Target="https://spark-interfax.ru/system/home/card#/company/D5D154F27E4B40C586BD49270D7ECF29/101"/><Relationship Id="rId7542" Type="http://schemas.openxmlformats.org/officeDocument/2006/relationships/hyperlink" TargetMode="External" Target="https://spark-interfax.ru/system/home/card#/company/8A7E05E2635A4B32BA1DA74CF062F429/101"/><Relationship Id="rId7543" Type="http://schemas.openxmlformats.org/officeDocument/2006/relationships/hyperlink" TargetMode="External" Target="https://spark-interfax.ru/system/home/card#/company/7F4E9E1DF3CD4E2B92FD6B6C61D401D0/101"/><Relationship Id="rId7544" Type="http://schemas.openxmlformats.org/officeDocument/2006/relationships/hyperlink" TargetMode="External" Target="https://spark-interfax.ru/system/home/card#/company/343FFC0BE340421495B5EA32F5C75F01/101"/><Relationship Id="rId7545" Type="http://schemas.openxmlformats.org/officeDocument/2006/relationships/hyperlink" TargetMode="External" Target="https://spark-interfax.ru/system/home/card#/company/22B3F55BEFBA40B98960ECE8FC4248DB/101"/><Relationship Id="rId7546" Type="http://schemas.openxmlformats.org/officeDocument/2006/relationships/hyperlink" TargetMode="External" Target="https://spark-interfax.ru/system/home/card#/company/B8099B399B4D4C5EA9EBDD46B863521E/101"/><Relationship Id="rId7547" Type="http://schemas.openxmlformats.org/officeDocument/2006/relationships/hyperlink" TargetMode="External" Target="https://spark-interfax.ru/system/home/card#/company/D416F23A133A457292933760664ABFCA/101"/><Relationship Id="rId7548" Type="http://schemas.openxmlformats.org/officeDocument/2006/relationships/hyperlink" TargetMode="External" Target="https://spark-interfax.ru/system/home/card#/company/30C35F18583141B2A04D82F6FFB3774F/101"/><Relationship Id="rId7549" Type="http://schemas.openxmlformats.org/officeDocument/2006/relationships/hyperlink" TargetMode="External" Target="https://spark-interfax.ru/system/home/card#/company/CB3AF2A1151D433BA63C5F495FDB35EE/101"/><Relationship Id="rId7550" Type="http://schemas.openxmlformats.org/officeDocument/2006/relationships/hyperlink" TargetMode="External" Target="https://spark-interfax.ru/system/home/card#/company/50A9E23D9E57464DBF6784BA8143BEBE/101"/><Relationship Id="rId7551" Type="http://schemas.openxmlformats.org/officeDocument/2006/relationships/hyperlink" TargetMode="External" Target="https://spark-interfax.ru/system/home/card#/company/32822153E0474ED59C2AE001B45F5A3F/101"/><Relationship Id="rId7552" Type="http://schemas.openxmlformats.org/officeDocument/2006/relationships/hyperlink" TargetMode="External" Target="https://spark-interfax.ru/system/home/card#/company/ADBBC2CDF75E4748A4C99050A3D7435A/101"/><Relationship Id="rId7553" Type="http://schemas.openxmlformats.org/officeDocument/2006/relationships/hyperlink" TargetMode="External" Target="https://spark-interfax.ru/system/home/card#/company/D47F6C22AC7C480BB67437748473B759/101"/><Relationship Id="rId7554" Type="http://schemas.openxmlformats.org/officeDocument/2006/relationships/hyperlink" TargetMode="External" Target="https://spark-interfax.ru/system/home/card#/company/A5351ECF0C7F496CB31CE8D728C20737/101"/><Relationship Id="rId7555" Type="http://schemas.openxmlformats.org/officeDocument/2006/relationships/hyperlink" TargetMode="External" Target="https://spark-interfax.ru/system/home/card#/company/B96A166C38CE45A38E097579989147CD/101"/><Relationship Id="rId7556" Type="http://schemas.openxmlformats.org/officeDocument/2006/relationships/hyperlink" TargetMode="External" Target="https://spark-interfax.ru/system/home/card#/company/356363764AFB4CE3B599C2DB791CFB2B/101"/><Relationship Id="rId7557" Type="http://schemas.openxmlformats.org/officeDocument/2006/relationships/hyperlink" TargetMode="External" Target="https://spark-interfax.ru/system/home/card#/company/90F32EA889864AA3AB276AC4E48F5C24/101"/><Relationship Id="rId7558" Type="http://schemas.openxmlformats.org/officeDocument/2006/relationships/hyperlink" TargetMode="External" Target="https://spark-interfax.ru/system/home/card#/company/FB4D05B8CDB742CAA8E2BCFFFE4B5B9A/101"/><Relationship Id="rId7559" Type="http://schemas.openxmlformats.org/officeDocument/2006/relationships/hyperlink" TargetMode="External" Target="https://spark-interfax.ru/system/home/card#/company/4FF65EF3A82D413AAF9015DF9A6FB649/101"/><Relationship Id="rId7560" Type="http://schemas.openxmlformats.org/officeDocument/2006/relationships/hyperlink" TargetMode="External" Target="https://spark-interfax.ru/system/home/card#/company/8C8B1FDC63CD46D0B6659A58E8661A02/101"/><Relationship Id="rId7561" Type="http://schemas.openxmlformats.org/officeDocument/2006/relationships/hyperlink" TargetMode="External" Target="https://spark-interfax.ru/system/home/card#/company/09AA1292654547A78960CF93882CF6C5/101"/><Relationship Id="rId7562" Type="http://schemas.openxmlformats.org/officeDocument/2006/relationships/hyperlink" TargetMode="External" Target="https://spark-interfax.ru/system/home/card#/company/5F69490F8E624960AF934EC9EE1722E6/101"/><Relationship Id="rId7563" Type="http://schemas.openxmlformats.org/officeDocument/2006/relationships/hyperlink" TargetMode="External" Target="https://spark-interfax.ru/system/home/card#/company/D6C6A571D88A40AABC46517324D97AAD/101"/><Relationship Id="rId7564" Type="http://schemas.openxmlformats.org/officeDocument/2006/relationships/hyperlink" TargetMode="External" Target="https://spark-interfax.ru/system/home/card#/company/69B38C9F65F64DA79064683A1C8A2DA0/101"/><Relationship Id="rId7565" Type="http://schemas.openxmlformats.org/officeDocument/2006/relationships/hyperlink" TargetMode="External" Target="https://spark-interfax.ru/system/home/card#/company/7BCC585E1DA14465917C044F39762C37/101"/><Relationship Id="rId7566" Type="http://schemas.openxmlformats.org/officeDocument/2006/relationships/hyperlink" TargetMode="External" Target="https://spark-interfax.ru/system/home/card#/company/F3F04AB7DACE4498A720C37391DD5BBB/101"/><Relationship Id="rId7567" Type="http://schemas.openxmlformats.org/officeDocument/2006/relationships/hyperlink" TargetMode="External" Target="https://spark-interfax.ru/system/home/card#/company/8DF244742B1048AEB756E89C3C3608A5/101"/><Relationship Id="rId7568" Type="http://schemas.openxmlformats.org/officeDocument/2006/relationships/hyperlink" TargetMode="External" Target="https://spark-interfax.ru/system/home/card#/company/79B48A002E8DCD42E0531F9AA8C0E06B/101"/><Relationship Id="rId7569" Type="http://schemas.openxmlformats.org/officeDocument/2006/relationships/hyperlink" TargetMode="External" Target="https://spark-interfax.ru/system/home/card#/company/1564875607BD4413AB0B34F406E6D1AE/101"/><Relationship Id="rId7570" Type="http://schemas.openxmlformats.org/officeDocument/2006/relationships/hyperlink" TargetMode="External" Target="https://spark-interfax.ru/system/home/card#/company/9CC0D63596B50970E053179AA8C04D58/101"/><Relationship Id="rId7571" Type="http://schemas.openxmlformats.org/officeDocument/2006/relationships/hyperlink" TargetMode="External" Target="https://spark-interfax.ru/system/home/card#/company/49E5A2D8C8264D5FA7D2325DC7872456/101"/><Relationship Id="rId7572" Type="http://schemas.openxmlformats.org/officeDocument/2006/relationships/hyperlink" TargetMode="External" Target="https://spark-interfax.ru/system/home/card#/company/92B2A812E34B099DE0531B9AA8C09FA4/101"/><Relationship Id="rId7573" Type="http://schemas.openxmlformats.org/officeDocument/2006/relationships/hyperlink" TargetMode="External" Target="https://spark-interfax.ru/system/home/card#/company/301091B066654256A49DE3E30A3C61F8/101"/><Relationship Id="rId7574" Type="http://schemas.openxmlformats.org/officeDocument/2006/relationships/hyperlink" TargetMode="External" Target="https://spark-interfax.ru/system/home/card#/company/10E5747EA0F44F2B81EA05789D19412D/101"/><Relationship Id="rId7575" Type="http://schemas.openxmlformats.org/officeDocument/2006/relationships/hyperlink" TargetMode="External" Target="https://spark-interfax.ru/system/home/card#/company/B9824BD7947B421FE053219AA8C0048E/101"/><Relationship Id="rId7576" Type="http://schemas.openxmlformats.org/officeDocument/2006/relationships/hyperlink" TargetMode="External" Target="https://spark-interfax.ru/system/home/card#/company/00342642D6014B24A8259C7C97A43E63/101"/><Relationship Id="rId7577" Type="http://schemas.openxmlformats.org/officeDocument/2006/relationships/hyperlink" TargetMode="External" Target="https://spark-interfax.ru/system/home/card#/company/0D61E7FFA55542E6AC6785426EB425C8/101"/><Relationship Id="rId7578" Type="http://schemas.openxmlformats.org/officeDocument/2006/relationships/hyperlink" TargetMode="External" Target="https://spark-interfax.ru/system/home/card#/company/A3C9BDDE57D346FEB8DE24A4964B0C35/101"/><Relationship Id="rId7579" Type="http://schemas.openxmlformats.org/officeDocument/2006/relationships/hyperlink" TargetMode="External" Target="https://spark-interfax.ru/system/home/card#/company/D0CB12D6B431425CB782CF5E5C2D8D26/101"/><Relationship Id="rId7580" Type="http://schemas.openxmlformats.org/officeDocument/2006/relationships/hyperlink" TargetMode="External" Target="https://spark-interfax.ru/system/home/card#/company/43F833D674F84E26B063D342E99D6DC0/101"/><Relationship Id="rId7581" Type="http://schemas.openxmlformats.org/officeDocument/2006/relationships/hyperlink" TargetMode="External" Target="https://spark-interfax.ru/system/home/card#/company/67DD096E817F8309E0531B9AA8C0CC5F/101"/><Relationship Id="rId7582" Type="http://schemas.openxmlformats.org/officeDocument/2006/relationships/hyperlink" TargetMode="External" Target="https://spark-interfax.ru/system/home/card#/company/A75AE98FEAA64E098835D1F8E16F3FE4/101"/><Relationship Id="rId7583" Type="http://schemas.openxmlformats.org/officeDocument/2006/relationships/hyperlink" TargetMode="External" Target="https://spark-interfax.ru/system/home/card#/company/6F7A0594F8DB4EC1B21FBE185341BACD/101"/><Relationship Id="rId7584" Type="http://schemas.openxmlformats.org/officeDocument/2006/relationships/hyperlink" TargetMode="External" Target="https://spark-interfax.ru/system/home/card#/company/79B4BF572E2D1E86E0531F9AA8C00446/101"/><Relationship Id="rId7585" Type="http://schemas.openxmlformats.org/officeDocument/2006/relationships/hyperlink" TargetMode="External" Target="https://spark-interfax.ru/system/home/card#/company/6BAD136E5CF548AE9AE427503631B7A5/101"/><Relationship Id="rId7586" Type="http://schemas.openxmlformats.org/officeDocument/2006/relationships/hyperlink" TargetMode="External" Target="https://spark-interfax.ru/system/home/card#/company/CDF59ACBF124456DB15A353947CE91CF/101"/><Relationship Id="rId7587" Type="http://schemas.openxmlformats.org/officeDocument/2006/relationships/hyperlink" TargetMode="External" Target="https://spark-interfax.ru/system/home/card#/company/7751DCF299BC41FBAA4EBEBB6591DFEB/101"/><Relationship Id="rId7588" Type="http://schemas.openxmlformats.org/officeDocument/2006/relationships/hyperlink" TargetMode="External" Target="https://spark-interfax.ru/system/home/card#/company/A5554BFDF66146DF981741216D5A4CA2/101"/><Relationship Id="rId7589" Type="http://schemas.openxmlformats.org/officeDocument/2006/relationships/hyperlink" TargetMode="External" Target="https://spark-interfax.ru/system/home/card#/company/7D48E7C3967649CAA6473A3BB6385BC4/101"/><Relationship Id="rId7590" Type="http://schemas.openxmlformats.org/officeDocument/2006/relationships/hyperlink" TargetMode="External" Target="https://spark-interfax.ru/system/home/card#/company/4B096C86F25E4713A2D6179127AEF60E/101"/><Relationship Id="rId7591" Type="http://schemas.openxmlformats.org/officeDocument/2006/relationships/hyperlink" TargetMode="External" Target="https://spark-interfax.ru/system/home/card#/company/49C86E4FDF044A9A9643D5B481D134D8/101"/><Relationship Id="rId7592" Type="http://schemas.openxmlformats.org/officeDocument/2006/relationships/hyperlink" TargetMode="External" Target="https://spark-interfax.ru/system/home/card#/company/AA9E8C49D8194D71A0980FDFB6164AA7/101"/><Relationship Id="rId7593" Type="http://schemas.openxmlformats.org/officeDocument/2006/relationships/hyperlink" TargetMode="External" Target="https://spark-interfax.ru/system/home/card#/company/818285F970044232AA8514F67778337A/101"/><Relationship Id="rId7594" Type="http://schemas.openxmlformats.org/officeDocument/2006/relationships/hyperlink" TargetMode="External" Target="https://spark-interfax.ru/system/home/card#/company/FB6A18D84FD6434DB7928488110CD07F/101"/><Relationship Id="rId7595" Type="http://schemas.openxmlformats.org/officeDocument/2006/relationships/hyperlink" TargetMode="External" Target="https://spark-interfax.ru/system/home/card#/company/65D3F256B74646518C10490CF376C814/101"/><Relationship Id="rId7596" Type="http://schemas.openxmlformats.org/officeDocument/2006/relationships/hyperlink" TargetMode="External" Target="https://spark-interfax.ru/system/home/card#/company/B86376CE533A443DBC478B82CD2EB3E4/101"/><Relationship Id="rId7597" Type="http://schemas.openxmlformats.org/officeDocument/2006/relationships/hyperlink" TargetMode="External" Target="https://spark-interfax.ru/system/home/card#/company/8D783CA71DA9495592E4E854A8CB0B4E/101"/><Relationship Id="rId7598" Type="http://schemas.openxmlformats.org/officeDocument/2006/relationships/hyperlink" TargetMode="External" Target="https://spark-interfax.ru/system/home/card#/company/51A5857A0DB74F7AB33B605AF41F110D/101"/><Relationship Id="rId7599" Type="http://schemas.openxmlformats.org/officeDocument/2006/relationships/hyperlink" TargetMode="External" Target="https://spark-interfax.ru/system/home/card#/company/541C2EC2A9D24CF0B583C88ADAB5D8E6/101"/><Relationship Id="rId7600" Type="http://schemas.openxmlformats.org/officeDocument/2006/relationships/hyperlink" TargetMode="External" Target="https://spark-interfax.ru/system/home/card#/company/44A894E6DAB94E5399A3E6E233C2AA8C/101"/><Relationship Id="rId7601" Type="http://schemas.openxmlformats.org/officeDocument/2006/relationships/hyperlink" TargetMode="External" Target="https://spark-interfax.ru/system/home/card#/company/6E08C22201A846B4BA13B3F493D731D0/101"/><Relationship Id="rId7602" Type="http://schemas.openxmlformats.org/officeDocument/2006/relationships/hyperlink" TargetMode="External" Target="https://spark-interfax.ru/system/home/card#/company/AA84881B43ED4201817AC76792CD458E/101"/><Relationship Id="rId7603" Type="http://schemas.openxmlformats.org/officeDocument/2006/relationships/hyperlink" TargetMode="External" Target="https://spark-interfax.ru/system/home/card#/company/651F4223B6A83D6CE0531B9AA8C0E5ED/101"/><Relationship Id="rId7604" Type="http://schemas.openxmlformats.org/officeDocument/2006/relationships/hyperlink" TargetMode="External" Target="https://spark-interfax.ru/system/home/card#/company/08E234D5F3C4485F9B1E1DE385819E9F/101"/><Relationship Id="rId7605" Type="http://schemas.openxmlformats.org/officeDocument/2006/relationships/hyperlink" TargetMode="External" Target="https://spark-interfax.ru/system/home/card#/company/276D2AAAF10343FC95F89C93161CB046/101"/><Relationship Id="rId7606" Type="http://schemas.openxmlformats.org/officeDocument/2006/relationships/hyperlink" TargetMode="External" Target="https://spark-interfax.ru/system/home/card#/company/83D801453C734AFA9EC50E4ABC63D36F/101"/><Relationship Id="rId7607" Type="http://schemas.openxmlformats.org/officeDocument/2006/relationships/hyperlink" TargetMode="External" Target="https://spark-interfax.ru/system/home/card#/company/664C336BAD2868FFE0531B9AA8C048DE/101"/><Relationship Id="rId7608" Type="http://schemas.openxmlformats.org/officeDocument/2006/relationships/hyperlink" TargetMode="External" Target="https://spark-interfax.ru/system/home/card#/company/B11CFB8BF15242A284E1213C52A2F9EA/101"/><Relationship Id="rId7609" Type="http://schemas.openxmlformats.org/officeDocument/2006/relationships/hyperlink" TargetMode="External" Target="https://spark-interfax.ru/system/home/card#/company/2456DFC93F89474991D41A24441CECB7/101"/><Relationship Id="rId7610" Type="http://schemas.openxmlformats.org/officeDocument/2006/relationships/hyperlink" TargetMode="External" Target="https://spark-interfax.ru/system/home/card#/company/A93FF2331F286E57E053189AA8C02FFA/101"/><Relationship Id="rId7611" Type="http://schemas.openxmlformats.org/officeDocument/2006/relationships/hyperlink" TargetMode="External" Target="https://spark-interfax.ru/system/home/card#/company/49253738A7404DA3870C03C54C047560/101"/><Relationship Id="rId7612" Type="http://schemas.openxmlformats.org/officeDocument/2006/relationships/hyperlink" TargetMode="External" Target="https://spark-interfax.ru/system/home/card#/company/BD5BF22B1CC259C8E053219AA8C0A830/101"/><Relationship Id="rId7613" Type="http://schemas.openxmlformats.org/officeDocument/2006/relationships/hyperlink" TargetMode="External" Target="https://spark-interfax.ru/system/home/card#/company/D2E9BD554C724A71B097AA6D0D710AFF/101"/><Relationship Id="rId7614" Type="http://schemas.openxmlformats.org/officeDocument/2006/relationships/hyperlink" TargetMode="External" Target="https://spark-interfax.ru/system/home/card#/company/005A1B2A93424DF19194998A2C0213E7/101"/><Relationship Id="rId7615" Type="http://schemas.openxmlformats.org/officeDocument/2006/relationships/hyperlink" TargetMode="External" Target="https://spark-interfax.ru/system/home/card#/company/A93FF17696956DFDE053189AA8C0754A/101"/><Relationship Id="rId7616" Type="http://schemas.openxmlformats.org/officeDocument/2006/relationships/hyperlink" TargetMode="External" Target="https://spark-interfax.ru/system/home/card#/company/E2A56B8CECB04299A73E4E4A3C1C6086/101"/><Relationship Id="rId7617" Type="http://schemas.openxmlformats.org/officeDocument/2006/relationships/hyperlink" TargetMode="External" Target="https://spark-interfax.ru/system/home/card#/company/EB772EFD6551458299CCCF116B53994B/101"/><Relationship Id="rId7618" Type="http://schemas.openxmlformats.org/officeDocument/2006/relationships/hyperlink" TargetMode="External" Target="https://spark-interfax.ru/system/home/card#/company/C1E6889BE9724FAE8BEED1DABCFC715E/101"/><Relationship Id="rId7619" Type="http://schemas.openxmlformats.org/officeDocument/2006/relationships/hyperlink" TargetMode="External" Target="https://spark-interfax.ru/system/home/card#/company/84C8A39A6DA68B7BE0531B9AA8C01099/101"/><Relationship Id="rId7620" Type="http://schemas.openxmlformats.org/officeDocument/2006/relationships/hyperlink" TargetMode="External" Target="https://spark-interfax.ru/system/home/card#/company/7E34F26D6E274AC1BA9FE525FB01766B/101"/><Relationship Id="rId7621" Type="http://schemas.openxmlformats.org/officeDocument/2006/relationships/hyperlink" TargetMode="External" Target="https://spark-interfax.ru/system/home/card#/company/FAB535837A8445F088CE9A364CFC54DA/101"/><Relationship Id="rId7622" Type="http://schemas.openxmlformats.org/officeDocument/2006/relationships/hyperlink" TargetMode="External" Target="https://spark-interfax.ru/system/home/card#/company/31CC8AE56EF647E984D24C2A56A9D24F/101"/><Relationship Id="rId7623" Type="http://schemas.openxmlformats.org/officeDocument/2006/relationships/hyperlink" TargetMode="External" Target="https://spark-interfax.ru/system/home/card#/company/4EBA6827C57A4CE080463ACEC4E2B5C8/101"/><Relationship Id="rId7624" Type="http://schemas.openxmlformats.org/officeDocument/2006/relationships/hyperlink" TargetMode="External" Target="https://spark-interfax.ru/system/home/card#/company/4AF1AA6998C84684BF9050291523A921/101"/><Relationship Id="rId7625" Type="http://schemas.openxmlformats.org/officeDocument/2006/relationships/hyperlink" TargetMode="External" Target="https://spark-interfax.ru/system/home/card#/company/B7AA42FD29414FB499460797D9EB3D68/101"/><Relationship Id="rId7626" Type="http://schemas.openxmlformats.org/officeDocument/2006/relationships/hyperlink" TargetMode="External" Target="https://spark-interfax.ru/system/home/card#/company/596CC4ABAA8E4CE78E5FB9FAB26917E1/101"/><Relationship Id="rId7627" Type="http://schemas.openxmlformats.org/officeDocument/2006/relationships/hyperlink" TargetMode="External" Target="https://spark-interfax.ru/system/home/card#/company/0E2B8DCBAB5C4B549520E178B41D77FF/101"/><Relationship Id="rId7628" Type="http://schemas.openxmlformats.org/officeDocument/2006/relationships/hyperlink" TargetMode="External" Target="https://spark-interfax.ru/system/home/card#/company/72F140FADA0E639CE0531B9AA8C04E69/101"/><Relationship Id="rId7629" Type="http://schemas.openxmlformats.org/officeDocument/2006/relationships/hyperlink" TargetMode="External" Target="https://spark-interfax.ru/system/home/card#/company/58EF09AB7F742D47E0531C9AA8C0DED3/101"/><Relationship Id="rId7630" Type="http://schemas.openxmlformats.org/officeDocument/2006/relationships/hyperlink" TargetMode="External" Target="https://spark-interfax.ru/system/home/card#/company/D3DF883A154F4944A23D24944D0E33B1/101"/><Relationship Id="rId7631" Type="http://schemas.openxmlformats.org/officeDocument/2006/relationships/hyperlink" TargetMode="External" Target="https://spark-interfax.ru/system/home/card#/company/CD9112FBBA44408BB765C9C2164AA151/101"/><Relationship Id="rId7632" Type="http://schemas.openxmlformats.org/officeDocument/2006/relationships/hyperlink" TargetMode="External" Target="https://spark-interfax.ru/system/home/card#/company/78C83818FF6441A69004A19AF400E382/101"/><Relationship Id="rId7633" Type="http://schemas.openxmlformats.org/officeDocument/2006/relationships/hyperlink" TargetMode="External" Target="https://spark-interfax.ru/system/home/card#/company/9F7223407D494E9EB21950D0C399EC60/101"/><Relationship Id="rId7634" Type="http://schemas.openxmlformats.org/officeDocument/2006/relationships/hyperlink" TargetMode="External" Target="https://spark-interfax.ru/system/home/card#/company/0B81A945BBF9409589604EF1BFC99DC5/101"/><Relationship Id="rId7635" Type="http://schemas.openxmlformats.org/officeDocument/2006/relationships/hyperlink" TargetMode="External" Target="https://spark-interfax.ru/system/home/card#/company/280E2229191B4334A4B5082DBB410ED5/101"/><Relationship Id="rId7636" Type="http://schemas.openxmlformats.org/officeDocument/2006/relationships/hyperlink" TargetMode="External" Target="https://spark-interfax.ru/system/home/card#/company/9CF9510D7AAC4A69B6400856A37E1771/101"/><Relationship Id="rId7637" Type="http://schemas.openxmlformats.org/officeDocument/2006/relationships/hyperlink" TargetMode="External" Target="https://spark-interfax.ru/system/home/card#/company/01353B57C2974BB6BE7A35079727A590/101"/><Relationship Id="rId7638" Type="http://schemas.openxmlformats.org/officeDocument/2006/relationships/hyperlink" TargetMode="External" Target="https://spark-interfax.ru/system/home/card#/company/D97A82A2CBF343D78AAC8B376FF27579/101"/><Relationship Id="rId7639" Type="http://schemas.openxmlformats.org/officeDocument/2006/relationships/hyperlink" TargetMode="External" Target="https://spark-interfax.ru/system/home/card#/company/3527D0558826422BA0A84EFE8A03BA6C/101"/><Relationship Id="rId7640" Type="http://schemas.openxmlformats.org/officeDocument/2006/relationships/hyperlink" TargetMode="External" Target="https://spark-interfax.ru/system/home/card#/company/54E55FED5C2A499AB792F2017B07B712/101"/><Relationship Id="rId7641" Type="http://schemas.openxmlformats.org/officeDocument/2006/relationships/hyperlink" TargetMode="External" Target="https://spark-interfax.ru/system/home/card#/company/62DB407EDBE47F6DE0531B9AA8C0E70D/101"/><Relationship Id="rId7642" Type="http://schemas.openxmlformats.org/officeDocument/2006/relationships/hyperlink" TargetMode="External" Target="https://spark-interfax.ru/system/home/card#/company/803BCA0733FB41BB9EAA3D7578F89199/101"/><Relationship Id="rId7643" Type="http://schemas.openxmlformats.org/officeDocument/2006/relationships/hyperlink" TargetMode="External" Target="https://spark-interfax.ru/system/home/card#/company/686AD73ED5C68585E0531B9AA8C06563/101"/><Relationship Id="rId7644" Type="http://schemas.openxmlformats.org/officeDocument/2006/relationships/hyperlink" TargetMode="External" Target="https://spark-interfax.ru/system/home/card#/company/A7E75F7DFA044C9CBA43E4EE4B7B0B9A/101"/><Relationship Id="rId7645" Type="http://schemas.openxmlformats.org/officeDocument/2006/relationships/hyperlink" TargetMode="External" Target="https://spark-interfax.ru/system/home/card#/company/3D995934CBC1475B9D02351B19FC3EE1/101"/><Relationship Id="rId7646" Type="http://schemas.openxmlformats.org/officeDocument/2006/relationships/hyperlink" TargetMode="External" Target="https://spark-interfax.ru/system/home/card#/company/0602DAB536E24C77A445F464290243F6/101"/><Relationship Id="rId7647" Type="http://schemas.openxmlformats.org/officeDocument/2006/relationships/hyperlink" TargetMode="External" Target="https://spark-interfax.ru/system/home/card#/company/6E1933BC41CE4A52950C7562CD4F0A28/101"/><Relationship Id="rId7648" Type="http://schemas.openxmlformats.org/officeDocument/2006/relationships/hyperlink" TargetMode="External" Target="https://spark-interfax.ru/system/home/card#/company/E891F45124E447F9A0EB203D64C810DD/101"/><Relationship Id="rId7649" Type="http://schemas.openxmlformats.org/officeDocument/2006/relationships/hyperlink" TargetMode="External" Target="https://spark-interfax.ru/system/home/card#/company/5584986EB67F4B62BF9960538A7A4EBF/101"/><Relationship Id="rId7650" Type="http://schemas.openxmlformats.org/officeDocument/2006/relationships/hyperlink" TargetMode="External" Target="https://spark-interfax.ru/system/home/card#/company/D02F6C2DE2B84D74B80CF4E99FD7C7B4/101"/><Relationship Id="rId7651" Type="http://schemas.openxmlformats.org/officeDocument/2006/relationships/hyperlink" TargetMode="External" Target="https://spark-interfax.ru/system/home/card#/company/602B1801D2404FAB99DC01FE0C48929B/101"/><Relationship Id="rId7652" Type="http://schemas.openxmlformats.org/officeDocument/2006/relationships/hyperlink" TargetMode="External" Target="https://spark-interfax.ru/system/home/card#/company/1F43D202DBCC420EA862BFB259695C9D/101"/><Relationship Id="rId7653" Type="http://schemas.openxmlformats.org/officeDocument/2006/relationships/hyperlink" TargetMode="External" Target="https://spark-interfax.ru/system/home/card#/company/77AE57E015F94B0FB6D065E9E7AF87AA/101"/><Relationship Id="rId7654" Type="http://schemas.openxmlformats.org/officeDocument/2006/relationships/hyperlink" TargetMode="External" Target="https://spark-interfax.ru/system/home/card#/company/B4E541B9C6844DF3901DDE418711AAE7/101"/><Relationship Id="rId7655" Type="http://schemas.openxmlformats.org/officeDocument/2006/relationships/hyperlink" TargetMode="External" Target="https://spark-interfax.ru/system/home/card#/company/FF7AD7168F664218AB77926ECDD2198F/101"/><Relationship Id="rId7656" Type="http://schemas.openxmlformats.org/officeDocument/2006/relationships/hyperlink" TargetMode="External" Target="https://spark-interfax.ru/system/home/card#/company/0245434A89714239A5FE74A0ABBBD28A/101"/><Relationship Id="rId7657" Type="http://schemas.openxmlformats.org/officeDocument/2006/relationships/hyperlink" TargetMode="External" Target="https://spark-interfax.ru/system/home/card#/company/F9477D9949584986844677885D879BAA/101"/><Relationship Id="rId7658" Type="http://schemas.openxmlformats.org/officeDocument/2006/relationships/hyperlink" TargetMode="External" Target="https://spark-interfax.ru/system/home/card#/company/B50263D29A21428CB29B0488A0601097/101"/><Relationship Id="rId7659" Type="http://schemas.openxmlformats.org/officeDocument/2006/relationships/hyperlink" TargetMode="External" Target="https://spark-interfax.ru/system/home/card#/company/20EA81ABE7124F7CA542234CD4C05FBE/101"/><Relationship Id="rId7660" Type="http://schemas.openxmlformats.org/officeDocument/2006/relationships/hyperlink" TargetMode="External" Target="https://spark-interfax.ru/system/home/card#/company/416C9479A8984FFAA257087D511C5D3A/101"/><Relationship Id="rId7661" Type="http://schemas.openxmlformats.org/officeDocument/2006/relationships/hyperlink" TargetMode="External" Target="https://spark-interfax.ru/system/home/card#/company/70972B47A2213843E0531B9AA8C076C6/101"/><Relationship Id="rId7662" Type="http://schemas.openxmlformats.org/officeDocument/2006/relationships/hyperlink" TargetMode="External" Target="https://spark-interfax.ru/system/home/card#/company/F32FAFF8698341E8A5A8EA641A530DD7/101"/><Relationship Id="rId7663" Type="http://schemas.openxmlformats.org/officeDocument/2006/relationships/hyperlink" TargetMode="External" Target="https://spark-interfax.ru/system/home/card#/company/54260D6531EB4FD488BB4EA8E0288561/101"/><Relationship Id="rId7664" Type="http://schemas.openxmlformats.org/officeDocument/2006/relationships/hyperlink" TargetMode="External" Target="https://spark-interfax.ru/system/home/card#/company/875FAD4B36CB4419B8EAA5C1233C2929/101"/><Relationship Id="rId7665" Type="http://schemas.openxmlformats.org/officeDocument/2006/relationships/hyperlink" TargetMode="External" Target="https://spark-interfax.ru/system/home/card#/company/319D4FC20EAA44A49CE6BBBA41B7DF48/101"/><Relationship Id="rId7666" Type="http://schemas.openxmlformats.org/officeDocument/2006/relationships/hyperlink" TargetMode="External" Target="https://spark-interfax.ru/system/home/card#/company/C1E2DF51232C4A15B54D222040248ABC/101"/><Relationship Id="rId7667" Type="http://schemas.openxmlformats.org/officeDocument/2006/relationships/hyperlink" TargetMode="External" Target="https://spark-interfax.ru/system/home/card#/company/BD412C03096B43CE9C21513E9BE7EFC5/101"/><Relationship Id="rId7668" Type="http://schemas.openxmlformats.org/officeDocument/2006/relationships/hyperlink" TargetMode="External" Target="https://spark-interfax.ru/system/home/card#/company/FD523F05631A4C0EB45BF4D814A8A58D/101"/><Relationship Id="rId7669" Type="http://schemas.openxmlformats.org/officeDocument/2006/relationships/hyperlink" TargetMode="External" Target="https://spark-interfax.ru/system/home/card#/company/33DFBB99DE5A43A1AB75E7164BD75402/101"/><Relationship Id="rId7670" Type="http://schemas.openxmlformats.org/officeDocument/2006/relationships/hyperlink" TargetMode="External" Target="https://spark-interfax.ru/system/home/card#/company/76F77889018B43D6AB8AA65FD2C6718A/101"/><Relationship Id="rId7671" Type="http://schemas.openxmlformats.org/officeDocument/2006/relationships/hyperlink" TargetMode="External" Target="https://spark-interfax.ru/system/home/card#/company/852706319AC648F0A0807A44133F4D4D/101"/><Relationship Id="rId7672" Type="http://schemas.openxmlformats.org/officeDocument/2006/relationships/hyperlink" TargetMode="External" Target="https://spark-interfax.ru/system/home/card#/company/5F8241B5FFFA41E0A163D20704C1589C/101"/><Relationship Id="rId7673" Type="http://schemas.openxmlformats.org/officeDocument/2006/relationships/hyperlink" TargetMode="External" Target="https://spark-interfax.ru/system/home/card#/company/840E4C761D45472F9593E68D4B61D84F/101"/><Relationship Id="rId7674" Type="http://schemas.openxmlformats.org/officeDocument/2006/relationships/hyperlink" TargetMode="External" Target="https://spark-interfax.ru/system/home/card#/company/D82900E269DB4446BE449AD47BAA0AA2/101"/><Relationship Id="rId7675" Type="http://schemas.openxmlformats.org/officeDocument/2006/relationships/hyperlink" TargetMode="External" Target="https://spark-interfax.ru/system/home/card#/company/FB6F0011B48F47539DF3FAAF778948B0/101"/><Relationship Id="rId7676" Type="http://schemas.openxmlformats.org/officeDocument/2006/relationships/hyperlink" TargetMode="External" Target="https://spark-interfax.ru/system/home/card#/company/ED4D86951E0B4D64B461D72DA4B21026/101"/><Relationship Id="rId7677" Type="http://schemas.openxmlformats.org/officeDocument/2006/relationships/hyperlink" TargetMode="External" Target="https://spark-interfax.ru/system/home/card#/company/6042266F246A4F87B70DD6744FDFC725/101"/><Relationship Id="rId7678" Type="http://schemas.openxmlformats.org/officeDocument/2006/relationships/hyperlink" TargetMode="External" Target="https://spark-interfax.ru/system/home/card#/company/F1100002B3F44DB88A9DC749C71B11E0/101"/><Relationship Id="rId7679" Type="http://schemas.openxmlformats.org/officeDocument/2006/relationships/hyperlink" TargetMode="External" Target="https://spark-interfax.ru/system/home/card#/company/8CF50A9CE9EA44D2B9E7A1E81B73834B/101"/><Relationship Id="rId7680" Type="http://schemas.openxmlformats.org/officeDocument/2006/relationships/hyperlink" TargetMode="External" Target="https://spark-interfax.ru/system/home/card#/company/AB60A53AF1E44F4F912B7DDB5ACF6317/101"/><Relationship Id="rId7681" Type="http://schemas.openxmlformats.org/officeDocument/2006/relationships/hyperlink" TargetMode="External" Target="https://spark-interfax.ru/system/home/card#/company/A780D35B87EB43BA8006E8907960F0C8/101"/><Relationship Id="rId7682" Type="http://schemas.openxmlformats.org/officeDocument/2006/relationships/hyperlink" TargetMode="External" Target="https://spark-interfax.ru/system/home/card#/company/0DAAB1C389C749DB865C6D3E1DCF9B5A/101"/><Relationship Id="rId7683" Type="http://schemas.openxmlformats.org/officeDocument/2006/relationships/hyperlink" TargetMode="External" Target="https://spark-interfax.ru/system/home/card#/company/F87551852A8E42A78340116B4B3B81EE/101"/><Relationship Id="rId7684" Type="http://schemas.openxmlformats.org/officeDocument/2006/relationships/hyperlink" TargetMode="External" Target="https://spark-interfax.ru/system/home/card#/company/FB0E22EF1E7640B2BA0D13077EA932F0/101"/><Relationship Id="rId7685" Type="http://schemas.openxmlformats.org/officeDocument/2006/relationships/hyperlink" TargetMode="External" Target="https://spark-interfax.ru/system/home/card#/company/7D6EF5B557134A3FBE7C6E41F6D2CB04/101"/><Relationship Id="rId7686" Type="http://schemas.openxmlformats.org/officeDocument/2006/relationships/hyperlink" TargetMode="External" Target="https://spark-interfax.ru/system/home/card#/company/05806240FE7F410BB22D860FA76D3A48/101"/><Relationship Id="rId7687" Type="http://schemas.openxmlformats.org/officeDocument/2006/relationships/hyperlink" TargetMode="External" Target="https://spark-interfax.ru/system/home/card#/company/BEE4EC6240574DCA87A18309A4BACBBE/101"/><Relationship Id="rId7688" Type="http://schemas.openxmlformats.org/officeDocument/2006/relationships/hyperlink" TargetMode="External" Target="https://spark-interfax.ru/system/home/card#/company/C38A0B9068D0479F9BAC51AB4765961E/101"/><Relationship Id="rId7689" Type="http://schemas.openxmlformats.org/officeDocument/2006/relationships/hyperlink" TargetMode="External" Target="https://spark-interfax.ru/system/home/card#/company/51A75FC88A2643188774216144212BF2/101"/><Relationship Id="rId7690" Type="http://schemas.openxmlformats.org/officeDocument/2006/relationships/hyperlink" TargetMode="External" Target="https://spark-interfax.ru/system/home/card#/company/26F44181F2DA401996EFA3B0C814D2A3/101"/><Relationship Id="rId7691" Type="http://schemas.openxmlformats.org/officeDocument/2006/relationships/hyperlink" TargetMode="External" Target="https://spark-interfax.ru/system/home/card#/company/667ADAA44F154F81B62D23E56ED65084/101"/><Relationship Id="rId7692" Type="http://schemas.openxmlformats.org/officeDocument/2006/relationships/hyperlink" TargetMode="External" Target="https://spark-interfax.ru/system/home/card#/company/AC065E91D2004EC5BED53C5FA0DAC0E1/101"/><Relationship Id="rId7693" Type="http://schemas.openxmlformats.org/officeDocument/2006/relationships/hyperlink" TargetMode="External" Target="https://spark-interfax.ru/system/home/card#/company/902EDA3B2D835718E0531B9AA8C009FB/101"/><Relationship Id="rId7694" Type="http://schemas.openxmlformats.org/officeDocument/2006/relationships/hyperlink" TargetMode="External" Target="https://spark-interfax.ru/system/home/card#/company/A9D604241CFF46DC985F2C61F3ED7512/101"/><Relationship Id="rId7695" Type="http://schemas.openxmlformats.org/officeDocument/2006/relationships/hyperlink" TargetMode="External" Target="https://spark-interfax.ru/system/home/card#/company/18506B99A2024CDA86E7D69431560D4A/101"/><Relationship Id="rId7696" Type="http://schemas.openxmlformats.org/officeDocument/2006/relationships/hyperlink" TargetMode="External" Target="https://spark-interfax.ru/system/home/card#/company/526E5BF2201B4A1D94099CECB86272F8/101"/><Relationship Id="rId7697" Type="http://schemas.openxmlformats.org/officeDocument/2006/relationships/hyperlink" TargetMode="External" Target="https://spark-interfax.ru/system/home/card#/company/34B380D186584C86A1BB43228A0F3B79/101"/><Relationship Id="rId7698" Type="http://schemas.openxmlformats.org/officeDocument/2006/relationships/hyperlink" TargetMode="External" Target="https://spark-interfax.ru/system/home/card#/company/46CBC7AFD391481AA30E8AE7AC2B3F1B/101"/><Relationship Id="rId7699" Type="http://schemas.openxmlformats.org/officeDocument/2006/relationships/hyperlink" TargetMode="External" Target="https://spark-interfax.ru/system/home/card#/company/F176D842131B44FB85B5965A79ECC1D4/101"/><Relationship Id="rId7700" Type="http://schemas.openxmlformats.org/officeDocument/2006/relationships/hyperlink" TargetMode="External" Target="https://spark-interfax.ru/system/home/card#/company/B1DC2687C1864EA38920FB9B5DE35AF8/101"/><Relationship Id="rId7701" Type="http://schemas.openxmlformats.org/officeDocument/2006/relationships/hyperlink" TargetMode="External" Target="https://spark-interfax.ru/system/home/card#/company/AD7B419746B14CF88FFC56D9FC30250C/101"/><Relationship Id="rId7702" Type="http://schemas.openxmlformats.org/officeDocument/2006/relationships/hyperlink" TargetMode="External" Target="https://spark-interfax.ru/system/home/card#/company/BB8BCC6D83504925A3954E234A800E9C/101"/><Relationship Id="rId7703" Type="http://schemas.openxmlformats.org/officeDocument/2006/relationships/hyperlink" TargetMode="External" Target="https://spark-interfax.ru/system/home/card#/company/4DAEDD0A22C942BDA81B8C1F8C7EC944/101"/><Relationship Id="rId7704" Type="http://schemas.openxmlformats.org/officeDocument/2006/relationships/hyperlink" TargetMode="External" Target="https://spark-interfax.ru/system/home/card#/company/E792A9577C3C426B9B1078D9755E9410/101"/><Relationship Id="rId7705" Type="http://schemas.openxmlformats.org/officeDocument/2006/relationships/hyperlink" TargetMode="External" Target="https://spark-interfax.ru/system/home/card#/company/9E664C488E586C5FE053179AA8C02A60/101"/><Relationship Id="rId7706" Type="http://schemas.openxmlformats.org/officeDocument/2006/relationships/hyperlink" TargetMode="External" Target="https://spark-interfax.ru/system/home/card#/company/F4CBF7D4B28242C7A207171D31377C90/101"/><Relationship Id="rId7707" Type="http://schemas.openxmlformats.org/officeDocument/2006/relationships/hyperlink" TargetMode="External" Target="https://spark-interfax.ru/system/home/card#/company/38BD05CAF3244F0B8B4B8B3402AEDB2D/101"/><Relationship Id="rId7708" Type="http://schemas.openxmlformats.org/officeDocument/2006/relationships/hyperlink" TargetMode="External" Target="https://spark-interfax.ru/system/home/card#/company/8E288125DE1E4A38BD2216C17F39475A/101"/><Relationship Id="rId7709" Type="http://schemas.openxmlformats.org/officeDocument/2006/relationships/hyperlink" TargetMode="External" Target="https://spark-interfax.ru/system/home/card#/company/30F1E91A7C1B44C585E1BBA0BCD76455/101"/><Relationship Id="rId7710" Type="http://schemas.openxmlformats.org/officeDocument/2006/relationships/hyperlink" TargetMode="External" Target="https://spark-interfax.ru/system/home/card#/company/220D8671CB104822AC5502EB6F7836FE/101"/><Relationship Id="rId7711" Type="http://schemas.openxmlformats.org/officeDocument/2006/relationships/hyperlink" TargetMode="External" Target="https://spark-interfax.ru/system/home/card#/company/733E8F3259BB4B54ADB6A7D55B76F5A2/101"/><Relationship Id="rId7712" Type="http://schemas.openxmlformats.org/officeDocument/2006/relationships/hyperlink" TargetMode="External" Target="https://spark-interfax.ru/system/home/card#/company/6C7226E953F546FE8A77F191ABE320E4/101"/><Relationship Id="rId7713" Type="http://schemas.openxmlformats.org/officeDocument/2006/relationships/hyperlink" TargetMode="External" Target="https://spark-interfax.ru/system/home/card#/company/B433A984D34E4304970F79251DA47AAF/101"/><Relationship Id="rId7714" Type="http://schemas.openxmlformats.org/officeDocument/2006/relationships/hyperlink" TargetMode="External" Target="https://spark-interfax.ru/system/home/card#/company/9C27112A60564D2D81DCEEDC8DFDAA89/101"/><Relationship Id="rId7715" Type="http://schemas.openxmlformats.org/officeDocument/2006/relationships/hyperlink" TargetMode="External" Target="https://spark-interfax.ru/system/home/card#/company/98A7FB5680BE4EBE9B92F08301CE3E5E/101"/><Relationship Id="rId7716" Type="http://schemas.openxmlformats.org/officeDocument/2006/relationships/hyperlink" TargetMode="External" Target="https://spark-interfax.ru/system/home/card#/company/E0CB83CE68E74DCF9AF185DECEE23D0F/101"/><Relationship Id="rId7717" Type="http://schemas.openxmlformats.org/officeDocument/2006/relationships/hyperlink" TargetMode="External" Target="https://spark-interfax.ru/system/home/card#/company/36468160BD004BCA82092D206EF42977/101"/><Relationship Id="rId7718" Type="http://schemas.openxmlformats.org/officeDocument/2006/relationships/hyperlink" TargetMode="External" Target="https://spark-interfax.ru/system/home/card#/company/E0092A1931A8491BB25052BDDF956EB4/101"/><Relationship Id="rId7719" Type="http://schemas.openxmlformats.org/officeDocument/2006/relationships/hyperlink" TargetMode="External" Target="https://spark-interfax.ru/system/home/card#/company/6C108234A6BD4E959D5DDC68D5B1FDF6/101"/><Relationship Id="rId7720" Type="http://schemas.openxmlformats.org/officeDocument/2006/relationships/hyperlink" TargetMode="External" Target="https://spark-interfax.ru/system/home/card#/company/94ABE71F9D1C4F4DB600910CB913C959/101"/><Relationship Id="rId7721" Type="http://schemas.openxmlformats.org/officeDocument/2006/relationships/hyperlink" TargetMode="External" Target="https://spark-interfax.ru/system/home/card#/company/6F171B86B3B144278E87F3B40E0D9303/101"/><Relationship Id="rId7722" Type="http://schemas.openxmlformats.org/officeDocument/2006/relationships/hyperlink" TargetMode="External" Target="https://spark-interfax.ru/system/home/card#/company/213A0682E02349A78253EF571ADCD446/101"/><Relationship Id="rId7723" Type="http://schemas.openxmlformats.org/officeDocument/2006/relationships/hyperlink" TargetMode="External" Target="https://spark-interfax.ru/system/home/card#/company/3A70FE88F0F247F9A4103942DA2A5BD2/101"/><Relationship Id="rId7724" Type="http://schemas.openxmlformats.org/officeDocument/2006/relationships/hyperlink" TargetMode="External" Target="https://spark-interfax.ru/system/home/card#/company/40E2A3F790D644F48B03E5E76F55D014/101"/><Relationship Id="rId7725" Type="http://schemas.openxmlformats.org/officeDocument/2006/relationships/hyperlink" TargetMode="External" Target="https://spark-interfax.ru/system/home/card#/company/ADACB24F0A004423A72283552BCED4DA/101"/><Relationship Id="rId7726" Type="http://schemas.openxmlformats.org/officeDocument/2006/relationships/hyperlink" TargetMode="External" Target="https://spark-interfax.ru/system/home/card#/company/5745F3931E374C868DFFA32C9EA6BCD5/101"/><Relationship Id="rId7727" Type="http://schemas.openxmlformats.org/officeDocument/2006/relationships/hyperlink" TargetMode="External" Target="https://spark-interfax.ru/system/home/card#/company/BAE2181AB4FF44E48D99B24C5C1CB9CC/101"/><Relationship Id="rId7728" Type="http://schemas.openxmlformats.org/officeDocument/2006/relationships/hyperlink" TargetMode="External" Target="https://spark-interfax.ru/system/home/card#/company/645D34F927F64DF7BFD090265638BA7D/101"/><Relationship Id="rId7729" Type="http://schemas.openxmlformats.org/officeDocument/2006/relationships/hyperlink" TargetMode="External" Target="https://spark-interfax.ru/system/home/card#/company/8E4B08A810216CDBE0531C9AA8C04E7D/101"/><Relationship Id="rId7730" Type="http://schemas.openxmlformats.org/officeDocument/2006/relationships/hyperlink" TargetMode="External" Target="https://spark-interfax.ru/system/home/card#/company/7D2A241C9C736881E0531B9AA8C08637/101"/><Relationship Id="rId7731" Type="http://schemas.openxmlformats.org/officeDocument/2006/relationships/hyperlink" TargetMode="External" Target="https://spark-interfax.ru/system/home/card#/company/21FDF8E5D4F14CEF93D1E62D8CBCEACF/101"/><Relationship Id="rId7732" Type="http://schemas.openxmlformats.org/officeDocument/2006/relationships/hyperlink" TargetMode="External" Target="https://spark-interfax.ru/system/home/card#/company/A87CC52FF58A49E9800501BE2C402641/101"/><Relationship Id="rId7733" Type="http://schemas.openxmlformats.org/officeDocument/2006/relationships/hyperlink" TargetMode="External" Target="https://spark-interfax.ru/system/home/card#/company/651F444C63EE3DE4E0531B9AA8C0398C/101"/><Relationship Id="rId7734" Type="http://schemas.openxmlformats.org/officeDocument/2006/relationships/hyperlink" TargetMode="External" Target="https://spark-interfax.ru/system/home/card#/company/F7ECCB69CA4C4C2698540ECB341A14C6/101"/><Relationship Id="rId7735" Type="http://schemas.openxmlformats.org/officeDocument/2006/relationships/hyperlink" TargetMode="External" Target="https://spark-interfax.ru/system/home/card#/company/2C23EB3B23B94A599ACCD7EAC12ECFAC/101"/><Relationship Id="rId7736" Type="http://schemas.openxmlformats.org/officeDocument/2006/relationships/hyperlink" TargetMode="External" Target="https://spark-interfax.ru/system/home/card#/company/204BF71195FF4A25B16958AE2ACC889C/101"/><Relationship Id="rId7737" Type="http://schemas.openxmlformats.org/officeDocument/2006/relationships/hyperlink" TargetMode="External" Target="https://spark-interfax.ru/system/home/card#/company/B0E62B1009434E73B95DA909DBF75352/101"/><Relationship Id="rId7738" Type="http://schemas.openxmlformats.org/officeDocument/2006/relationships/hyperlink" TargetMode="External" Target="https://spark-interfax.ru/system/home/card#/company/EE70C61A698A4BFC95D0D3D0542D601F/101"/><Relationship Id="rId7739" Type="http://schemas.openxmlformats.org/officeDocument/2006/relationships/hyperlink" TargetMode="External" Target="https://spark-interfax.ru/system/home/card#/company/10CC5768063344AE97150D24E519DC03/101"/><Relationship Id="rId7740" Type="http://schemas.openxmlformats.org/officeDocument/2006/relationships/hyperlink" TargetMode="External" Target="https://spark-interfax.ru/system/home/card#/company/3EA9422D0E9144AF9B78371F6C50E2E9/101"/><Relationship Id="rId7741" Type="http://schemas.openxmlformats.org/officeDocument/2006/relationships/hyperlink" TargetMode="External" Target="https://spark-interfax.ru/system/home/card#/company/B96FF4260E0E4ED5B4EEC4E72004405E/101"/><Relationship Id="rId7742" Type="http://schemas.openxmlformats.org/officeDocument/2006/relationships/hyperlink" TargetMode="External" Target="https://spark-interfax.ru/system/home/card#/company/7F4104CA17E14DE696D006AB0C498D80/101"/><Relationship Id="rId7743" Type="http://schemas.openxmlformats.org/officeDocument/2006/relationships/hyperlink" TargetMode="External" Target="https://spark-interfax.ru/system/home/card#/company/BA9C3C8C34E67FF1E053219AA8C021E1/101"/><Relationship Id="rId7744" Type="http://schemas.openxmlformats.org/officeDocument/2006/relationships/hyperlink" TargetMode="External" Target="https://spark-interfax.ru/system/home/card#/company/BEF19B7AA5DC439B8F3CE9FF431C5B07/101"/><Relationship Id="rId7745" Type="http://schemas.openxmlformats.org/officeDocument/2006/relationships/hyperlink" TargetMode="External" Target="https://spark-interfax.ru/system/home/card#/company/9414DAD9B7075EE0E0531B9AA8C0879E/101"/><Relationship Id="rId7746" Type="http://schemas.openxmlformats.org/officeDocument/2006/relationships/hyperlink" TargetMode="External" Target="https://spark-interfax.ru/system/home/card#/company/D7687475B7DD49A1A7A66B0EECD42802/101"/><Relationship Id="rId7747" Type="http://schemas.openxmlformats.org/officeDocument/2006/relationships/hyperlink" TargetMode="External" Target="https://spark-interfax.ru/system/home/card#/company/FC3F0A68203C4A6282E59A5D18746561/101"/><Relationship Id="rId7748" Type="http://schemas.openxmlformats.org/officeDocument/2006/relationships/hyperlink" TargetMode="External" Target="https://spark-interfax.ru/system/home/card#/company/406F419DF288495182834011FBB0CE95/101"/><Relationship Id="rId7749" Type="http://schemas.openxmlformats.org/officeDocument/2006/relationships/hyperlink" TargetMode="External" Target="https://spark-interfax.ru/system/home/card#/company/AF2CD7503A6844EA9C464ABE11C63283/101"/><Relationship Id="rId7750" Type="http://schemas.openxmlformats.org/officeDocument/2006/relationships/hyperlink" TargetMode="External" Target="https://spark-interfax.ru/system/home/card#/company/A614182F63AE4261946F3835F1AEB7D7/101"/><Relationship Id="rId7751" Type="http://schemas.openxmlformats.org/officeDocument/2006/relationships/hyperlink" TargetMode="External" Target="https://spark-interfax.ru/system/home/card#/company/999C38109EF545C98BC1387F2AB4D525/101"/><Relationship Id="rId7752" Type="http://schemas.openxmlformats.org/officeDocument/2006/relationships/hyperlink" TargetMode="External" Target="https://spark-interfax.ru/system/home/card#/company/66397D5F1AB9449F86E9710FB4601732/101"/><Relationship Id="rId7753" Type="http://schemas.openxmlformats.org/officeDocument/2006/relationships/hyperlink" TargetMode="External" Target="https://spark-interfax.ru/system/home/card#/company/676993CF1D9141E2A61C0B1D78DEA402/101"/><Relationship Id="rId7754" Type="http://schemas.openxmlformats.org/officeDocument/2006/relationships/hyperlink" TargetMode="External" Target="https://spark-interfax.ru/system/home/card#/company/C8C994FB82D6419499786E2CCB16FDA0/101"/><Relationship Id="rId7755" Type="http://schemas.openxmlformats.org/officeDocument/2006/relationships/hyperlink" TargetMode="External" Target="https://spark-interfax.ru/system/home/card#/company/E8574F73C7894309A59A5325E9E01BFD/101"/><Relationship Id="rId7756" Type="http://schemas.openxmlformats.org/officeDocument/2006/relationships/hyperlink" TargetMode="External" Target="https://spark-interfax.ru/system/home/card#/company/82A6DC3FBC6740C0909638BCC4D5C753/101"/><Relationship Id="rId7757" Type="http://schemas.openxmlformats.org/officeDocument/2006/relationships/hyperlink" TargetMode="External" Target="https://spark-interfax.ru/system/home/card#/company/DF1C317E89C74377BFE8F0DC83EB3E37/101"/><Relationship Id="rId7758" Type="http://schemas.openxmlformats.org/officeDocument/2006/relationships/hyperlink" TargetMode="External" Target="https://spark-interfax.ru/system/home/card#/company/67C825B919564EB3A0C2A2B59E142530/101"/><Relationship Id="rId7759" Type="http://schemas.openxmlformats.org/officeDocument/2006/relationships/hyperlink" TargetMode="External" Target="https://spark-interfax.ru/system/home/card#/company/BAE8B46D88EC45D8BC5924BAF98C63DE/101"/><Relationship Id="rId7760" Type="http://schemas.openxmlformats.org/officeDocument/2006/relationships/hyperlink" TargetMode="External" Target="https://spark-interfax.ru/system/home/card#/company/94E8632AB7D34D05B356147C337EB747/101"/><Relationship Id="rId7761" Type="http://schemas.openxmlformats.org/officeDocument/2006/relationships/hyperlink" TargetMode="External" Target="https://spark-interfax.ru/system/home/card#/company/7165E3EF46A7446D909AD4E34BE53458/101"/><Relationship Id="rId7762" Type="http://schemas.openxmlformats.org/officeDocument/2006/relationships/hyperlink" TargetMode="External" Target="https://spark-interfax.ru/system/home/card#/company/F2ED746755BB4D25969DF13848DB4FFC/101"/><Relationship Id="rId7763" Type="http://schemas.openxmlformats.org/officeDocument/2006/relationships/hyperlink" TargetMode="External" Target="https://spark-interfax.ru/system/home/card#/company/904EC1122047455BA2B66939737BA13F/101"/><Relationship Id="rId7764" Type="http://schemas.openxmlformats.org/officeDocument/2006/relationships/hyperlink" TargetMode="External" Target="https://spark-interfax.ru/system/home/card#/company/7C028356FD1C426CAADD4BFBF2D30ACE/101"/><Relationship Id="rId7765" Type="http://schemas.openxmlformats.org/officeDocument/2006/relationships/hyperlink" TargetMode="External" Target="https://spark-interfax.ru/system/home/card#/company/8A7D1E2825834BC8AE5DF8CEB0D0AB96/101"/><Relationship Id="rId7766" Type="http://schemas.openxmlformats.org/officeDocument/2006/relationships/hyperlink" TargetMode="External" Target="https://spark-interfax.ru/system/home/card#/company/9EB6E9B7263E44D08CBE93D7523921B3/101"/><Relationship Id="rId7767" Type="http://schemas.openxmlformats.org/officeDocument/2006/relationships/hyperlink" TargetMode="External" Target="https://spark-interfax.ru/system/home/card#/company/E44A6CCD02814D5D883D3ECC7A25CEBA/101"/><Relationship Id="rId7768" Type="http://schemas.openxmlformats.org/officeDocument/2006/relationships/hyperlink" TargetMode="External" Target="https://spark-interfax.ru/system/home/card#/company/6B9FAD9753D5435BA3872521E76CA23C/101"/><Relationship Id="rId7769" Type="http://schemas.openxmlformats.org/officeDocument/2006/relationships/hyperlink" TargetMode="External" Target="https://spark-interfax.ru/system/home/card#/company/22D718A8AB4E4455862C2B4181E7C30D/101"/><Relationship Id="rId7770" Type="http://schemas.openxmlformats.org/officeDocument/2006/relationships/hyperlink" TargetMode="External" Target="https://spark-interfax.ru/system/home/card#/company/79FE588B7093481E8567A39571BCC5CC/101"/><Relationship Id="rId7771" Type="http://schemas.openxmlformats.org/officeDocument/2006/relationships/hyperlink" TargetMode="External" Target="https://spark-interfax.ru/system/home/card#/company/E14916D4B036424D9A5104DBCFCB997A/101"/><Relationship Id="rId7772" Type="http://schemas.openxmlformats.org/officeDocument/2006/relationships/hyperlink" TargetMode="External" Target="https://spark-interfax.ru/system/home/card#/company/7AB3961B0F244E058721C727A955DEAE/101"/><Relationship Id="rId7773" Type="http://schemas.openxmlformats.org/officeDocument/2006/relationships/hyperlink" TargetMode="External" Target="https://spark-interfax.ru/system/home/card#/company/31963267C2CF448586380EE70E50FB12/101"/><Relationship Id="rId7774" Type="http://schemas.openxmlformats.org/officeDocument/2006/relationships/hyperlink" TargetMode="External" Target="https://spark-interfax.ru/system/home/card#/company/75F8573D9BB94542B5A4AEF00D4105DE/101"/><Relationship Id="rId7775" Type="http://schemas.openxmlformats.org/officeDocument/2006/relationships/hyperlink" TargetMode="External" Target="https://spark-interfax.ru/system/home/card#/company/BE623D3637A16038E053219AA8C0807C/101"/><Relationship Id="rId7776" Type="http://schemas.openxmlformats.org/officeDocument/2006/relationships/hyperlink" TargetMode="External" Target="https://spark-interfax.ru/system/home/card#/company/E30D8BFB39094DACB47C6C8897CAC4B9/101"/><Relationship Id="rId7777" Type="http://schemas.openxmlformats.org/officeDocument/2006/relationships/hyperlink" TargetMode="External" Target="https://spark-interfax.ru/system/home/card#/company/138BEC8E793741F585DC3D7FF8A08E55/101"/><Relationship Id="rId7778" Type="http://schemas.openxmlformats.org/officeDocument/2006/relationships/hyperlink" TargetMode="External" Target="https://spark-interfax.ru/system/home/card#/company/CA165B75A31F4D538A0511C5A2F149EA/101"/><Relationship Id="rId7779" Type="http://schemas.openxmlformats.org/officeDocument/2006/relationships/hyperlink" TargetMode="External" Target="https://spark-interfax.ru/system/home/card#/company/169093AE04924599BAA4F0C5098841BB/101"/><Relationship Id="rId7780" Type="http://schemas.openxmlformats.org/officeDocument/2006/relationships/hyperlink" TargetMode="External" Target="https://spark-interfax.ru/system/home/card#/company/65B27D8B4E454E0C9119BD1DE2DF1741/101"/><Relationship Id="rId7781" Type="http://schemas.openxmlformats.org/officeDocument/2006/relationships/hyperlink" TargetMode="External" Target="https://spark-interfax.ru/system/home/card#/company/D8F749BBC04746889D1EAF9C64667243/101"/><Relationship Id="rId7782" Type="http://schemas.openxmlformats.org/officeDocument/2006/relationships/hyperlink" TargetMode="External" Target="https://spark-interfax.ru/system/home/card#/company/0DB2E21FEF164D23ADCBB711EB1D57DE/101"/><Relationship Id="rId7783" Type="http://schemas.openxmlformats.org/officeDocument/2006/relationships/hyperlink" TargetMode="External" Target="https://spark-interfax.ru/system/home/card#/company/C4F2F2A378EC4F08B1345591209D0BDC/101"/><Relationship Id="rId7784" Type="http://schemas.openxmlformats.org/officeDocument/2006/relationships/hyperlink" TargetMode="External" Target="https://spark-interfax.ru/system/home/card#/company/270AFE0F61974711A626149A16AFEA60/101"/><Relationship Id="rId7785" Type="http://schemas.openxmlformats.org/officeDocument/2006/relationships/hyperlink" TargetMode="External" Target="https://spark-interfax.ru/system/home/card#/company/C151BE792F074A409C4F04C3D76879F3/101"/><Relationship Id="rId7786" Type="http://schemas.openxmlformats.org/officeDocument/2006/relationships/hyperlink" TargetMode="External" Target="https://spark-interfax.ru/system/home/card#/company/66C8B57F1D704AC9B0A8EC7236E2E02D/101"/><Relationship Id="rId7787" Type="http://schemas.openxmlformats.org/officeDocument/2006/relationships/hyperlink" TargetMode="External" Target="https://spark-interfax.ru/system/home/card#/company/594209B658294795B71F0D2DEB9DD5E3/101"/><Relationship Id="rId7788" Type="http://schemas.openxmlformats.org/officeDocument/2006/relationships/hyperlink" TargetMode="External" Target="https://spark-interfax.ru/system/home/card#/company/90EF72654DE94CCE963205BD29E6EA7A/101"/><Relationship Id="rId7789" Type="http://schemas.openxmlformats.org/officeDocument/2006/relationships/hyperlink" TargetMode="External" Target="https://spark-interfax.ru/system/home/card#/company/F7F80A34452A40FE93AD631EA97F3453/101"/><Relationship Id="rId7790" Type="http://schemas.openxmlformats.org/officeDocument/2006/relationships/hyperlink" TargetMode="External" Target="https://spark-interfax.ru/system/home/card#/company/0458740DF393499CA419C456D2B64CCA/101"/><Relationship Id="rId7791" Type="http://schemas.openxmlformats.org/officeDocument/2006/relationships/hyperlink" TargetMode="External" Target="https://spark-interfax.ru/system/home/card#/company/4094133C129E4062ABEA8906BE61D373/101"/><Relationship Id="rId7792" Type="http://schemas.openxmlformats.org/officeDocument/2006/relationships/hyperlink" TargetMode="External" Target="https://spark-interfax.ru/system/home/card#/company/CB7B96D4542443CBAB1E32985B97A6B2/101"/><Relationship Id="rId7793" Type="http://schemas.openxmlformats.org/officeDocument/2006/relationships/hyperlink" TargetMode="External" Target="https://spark-interfax.ru/system/home/card#/company/E823974CDA4D4C6F82280D59AA9ECE8F/101"/><Relationship Id="rId7794" Type="http://schemas.openxmlformats.org/officeDocument/2006/relationships/hyperlink" TargetMode="External" Target="https://spark-interfax.ru/system/home/card#/company/FD14C64413E64373BF470F90F57FCD3A/101"/><Relationship Id="rId7795" Type="http://schemas.openxmlformats.org/officeDocument/2006/relationships/hyperlink" TargetMode="External" Target="https://spark-interfax.ru/system/home/card#/company/8A6140E6E7BE4CFEBAE2567F6AF41D5E/101"/><Relationship Id="rId7796" Type="http://schemas.openxmlformats.org/officeDocument/2006/relationships/hyperlink" TargetMode="External" Target="https://spark-interfax.ru/system/home/card#/company/FDE4BA13B04744C6A42C4DF5851C3DFD/101"/><Relationship Id="rId7797" Type="http://schemas.openxmlformats.org/officeDocument/2006/relationships/hyperlink" TargetMode="External" Target="https://spark-interfax.ru/system/home/card#/company/6D1E9251ED2B4AE6B2AB580B17268CE7/101"/><Relationship Id="rId7798" Type="http://schemas.openxmlformats.org/officeDocument/2006/relationships/hyperlink" TargetMode="External" Target="https://spark-interfax.ru/system/home/card#/company/A6239F271F2E48E48B78B7A693ADA58B/101"/><Relationship Id="rId7799" Type="http://schemas.openxmlformats.org/officeDocument/2006/relationships/hyperlink" TargetMode="External" Target="https://spark-interfax.ru/system/home/card#/company/54C826EDAA5344F89BB63E9B0120F8D5/101"/><Relationship Id="rId7800" Type="http://schemas.openxmlformats.org/officeDocument/2006/relationships/hyperlink" TargetMode="External" Target="https://spark-interfax.ru/system/home/card#/company/09E2E5CEC8EF474E854F6ACBBD13654D/101"/><Relationship Id="rId7801" Type="http://schemas.openxmlformats.org/officeDocument/2006/relationships/hyperlink" TargetMode="External" Target="https://spark-interfax.ru/system/home/card#/company/E9FFC08483FF461695ACCB1891161D95/101"/><Relationship Id="rId7802" Type="http://schemas.openxmlformats.org/officeDocument/2006/relationships/hyperlink" TargetMode="External" Target="https://spark-interfax.ru/system/home/card#/company/EE055C6BFBBA46519CAD8E9FD2AAA5FC/101"/><Relationship Id="rId7803" Type="http://schemas.openxmlformats.org/officeDocument/2006/relationships/hyperlink" TargetMode="External" Target="https://spark-interfax.ru/system/home/card#/company/F39814E309E847E6A56B03B300F6ABB6/101"/><Relationship Id="rId7804" Type="http://schemas.openxmlformats.org/officeDocument/2006/relationships/hyperlink" TargetMode="External" Target="https://spark-interfax.ru/system/home/card#/company/BF2C91F6DD204457830A372149084FF8/101"/><Relationship Id="rId7805" Type="http://schemas.openxmlformats.org/officeDocument/2006/relationships/hyperlink" TargetMode="External" Target="https://spark-interfax.ru/system/home/card#/company/59489EF3208A4FAAB86004AAD5150BAE/101"/><Relationship Id="rId7806" Type="http://schemas.openxmlformats.org/officeDocument/2006/relationships/hyperlink" TargetMode="External" Target="https://spark-interfax.ru/system/home/card#/company/8FB4C55479BB1805E0531B9AA8C08C18/101"/><Relationship Id="rId7807" Type="http://schemas.openxmlformats.org/officeDocument/2006/relationships/hyperlink" TargetMode="External" Target="https://spark-interfax.ru/system/home/card#/company/AD3CF3E1896C45D1A362D19C85637C4C/101"/><Relationship Id="rId7808" Type="http://schemas.openxmlformats.org/officeDocument/2006/relationships/hyperlink" TargetMode="External" Target="https://spark-interfax.ru/system/home/card#/company/65BCF5C370774B03A428EFFF1FC1D620/101"/><Relationship Id="rId7809" Type="http://schemas.openxmlformats.org/officeDocument/2006/relationships/hyperlink" TargetMode="External" Target="https://spark-interfax.ru/system/home/card#/company/8BAAE0AFDC19467B928A84897DCB4A25/101"/><Relationship Id="rId7810" Type="http://schemas.openxmlformats.org/officeDocument/2006/relationships/hyperlink" TargetMode="External" Target="https://spark-interfax.ru/system/home/card#/company/42010B47CBD84462B63FB4B8D0A52F6B/101"/><Relationship Id="rId7811" Type="http://schemas.openxmlformats.org/officeDocument/2006/relationships/hyperlink" TargetMode="External" Target="https://spark-interfax.ru/system/home/card#/company/CD4A096F17954CAE8C7F5F41BC83EAC7/101"/><Relationship Id="rId7812" Type="http://schemas.openxmlformats.org/officeDocument/2006/relationships/hyperlink" TargetMode="External" Target="https://spark-interfax.ru/system/home/card#/company/8A2589DCF4461F63E0531B9AA8C0374E/101"/><Relationship Id="rId7813" Type="http://schemas.openxmlformats.org/officeDocument/2006/relationships/hyperlink" TargetMode="External" Target="https://spark-interfax.ru/system/home/card#/company/45AB6FBE9383474CBB5EAD637EC13F83/101"/><Relationship Id="rId7814" Type="http://schemas.openxmlformats.org/officeDocument/2006/relationships/hyperlink" TargetMode="External" Target="https://spark-interfax.ru/system/home/card#/company/514A1F1F946D4EC0B3F6685FA2BF26E0/101"/><Relationship Id="rId7815" Type="http://schemas.openxmlformats.org/officeDocument/2006/relationships/hyperlink" TargetMode="External" Target="https://spark-interfax.ru/system/home/card#/company/1E2BDDD5203144DE9405F5E601705D4C/101"/><Relationship Id="rId7816" Type="http://schemas.openxmlformats.org/officeDocument/2006/relationships/hyperlink" TargetMode="External" Target="https://spark-interfax.ru/system/home/card#/company/FBDB75DD9D354771B3E8B512F2B6FEAF/101"/><Relationship Id="rId7817" Type="http://schemas.openxmlformats.org/officeDocument/2006/relationships/hyperlink" TargetMode="External" Target="https://spark-interfax.ru/system/home/card#/company/98C8D4B735804DD9BD4800A74D9A9832/101"/><Relationship Id="rId7818" Type="http://schemas.openxmlformats.org/officeDocument/2006/relationships/hyperlink" TargetMode="External" Target="https://spark-interfax.ru/system/home/card#/company/07D150B21BB54A0BB85F5CDE9F0B7AB6/101"/><Relationship Id="rId7819" Type="http://schemas.openxmlformats.org/officeDocument/2006/relationships/hyperlink" TargetMode="External" Target="https://spark-interfax.ru/system/home/card#/company/72018FB7642B31C2E0531B9AA8C0E780/101"/><Relationship Id="rId7820" Type="http://schemas.openxmlformats.org/officeDocument/2006/relationships/hyperlink" TargetMode="External" Target="https://spark-interfax.ru/system/home/card#/company/5762CE0DE9F7440788642E086C48A4E1/101"/><Relationship Id="rId7821" Type="http://schemas.openxmlformats.org/officeDocument/2006/relationships/hyperlink" TargetMode="External" Target="https://spark-interfax.ru/system/home/card#/company/019487117D614206AC93C4D15B2BBFA8/101"/><Relationship Id="rId7822" Type="http://schemas.openxmlformats.org/officeDocument/2006/relationships/hyperlink" TargetMode="External" Target="https://spark-interfax.ru/system/home/card#/company/8EC9D69C54DF415AAF58E683D342A676/101"/><Relationship Id="rId7823" Type="http://schemas.openxmlformats.org/officeDocument/2006/relationships/hyperlink" TargetMode="External" Target="https://spark-interfax.ru/system/home/card#/company/14E77331A5C34975B87E2FCA575802E7/101"/><Relationship Id="rId7824" Type="http://schemas.openxmlformats.org/officeDocument/2006/relationships/hyperlink" TargetMode="External" Target="https://spark-interfax.ru/system/home/card#/company/33196AF8ACFD492AAF257A886F413696/101"/><Relationship Id="rId7825" Type="http://schemas.openxmlformats.org/officeDocument/2006/relationships/hyperlink" TargetMode="External" Target="https://spark-interfax.ru/system/home/card#/company/E497F98D502844769728A83A76337819/101"/><Relationship Id="rId7826" Type="http://schemas.openxmlformats.org/officeDocument/2006/relationships/hyperlink" TargetMode="External" Target="https://spark-interfax.ru/system/home/card#/company/E8690AA5C112494CBC6ABF6D55DC5E2C/101"/><Relationship Id="rId7827" Type="http://schemas.openxmlformats.org/officeDocument/2006/relationships/hyperlink" TargetMode="External" Target="https://spark-interfax.ru/system/home/card#/company/D65CDB479B8F476E8FA1924978040E23/101"/><Relationship Id="rId7828" Type="http://schemas.openxmlformats.org/officeDocument/2006/relationships/hyperlink" TargetMode="External" Target="https://spark-interfax.ru/system/home/card#/company/49CC4B7E439C46B2A40489A8CF6C3E93/101"/><Relationship Id="rId7829" Type="http://schemas.openxmlformats.org/officeDocument/2006/relationships/hyperlink" TargetMode="External" Target="https://spark-interfax.ru/system/home/card#/company/4693C0FCB2184ACCB972069DD983DBCB/101"/><Relationship Id="rId7830" Type="http://schemas.openxmlformats.org/officeDocument/2006/relationships/hyperlink" TargetMode="External" Target="https://spark-interfax.ru/system/home/card#/company/C5A62E1A1ECF42CD9C5EF73D92254AD4/101"/><Relationship Id="rId7831" Type="http://schemas.openxmlformats.org/officeDocument/2006/relationships/hyperlink" TargetMode="External" Target="https://spark-interfax.ru/system/home/card#/company/76C31EDD6B7A4D14A20A4D83C1AB59A5/101"/><Relationship Id="rId7832" Type="http://schemas.openxmlformats.org/officeDocument/2006/relationships/hyperlink" TargetMode="External" Target="https://spark-interfax.ru/system/home/card#/company/1CDFCF2F99214A27B4D6A291809DB158/101"/><Relationship Id="rId7833" Type="http://schemas.openxmlformats.org/officeDocument/2006/relationships/hyperlink" TargetMode="External" Target="https://spark-interfax.ru/system/home/card#/company/E954AB20B39C40AF8453242DBCC33F36/101"/><Relationship Id="rId7834" Type="http://schemas.openxmlformats.org/officeDocument/2006/relationships/hyperlink" TargetMode="External" Target="https://spark-interfax.ru/system/home/card#/company/56A5818DF39A4DB68C68C9F4F977D0AE/101"/><Relationship Id="rId7835" Type="http://schemas.openxmlformats.org/officeDocument/2006/relationships/hyperlink" TargetMode="External" Target="https://spark-interfax.ru/system/home/card#/company/090AE6C9DCD34DDEA4159FD1D5D46111/101"/><Relationship Id="rId7836" Type="http://schemas.openxmlformats.org/officeDocument/2006/relationships/hyperlink" TargetMode="External" Target="https://spark-interfax.ru/system/home/card#/company/6509F6E602A949C0BEF4CF449DD1C2A3/101"/><Relationship Id="rId7837" Type="http://schemas.openxmlformats.org/officeDocument/2006/relationships/hyperlink" TargetMode="External" Target="https://spark-interfax.ru/system/home/card#/company/6986BD8F68F7421C97D0015CF31B7651/101"/><Relationship Id="rId7838" Type="http://schemas.openxmlformats.org/officeDocument/2006/relationships/hyperlink" TargetMode="External" Target="https://spark-interfax.ru/system/home/card#/company/0A1EC61A0D7B460DBD3EBCA79C632BCB/101"/><Relationship Id="rId7839" Type="http://schemas.openxmlformats.org/officeDocument/2006/relationships/hyperlink" TargetMode="External" Target="https://spark-interfax.ru/system/home/card#/company/97F63D57CA084895A8C19FB77C97D463/101"/><Relationship Id="rId7840" Type="http://schemas.openxmlformats.org/officeDocument/2006/relationships/hyperlink" TargetMode="External" Target="https://spark-interfax.ru/system/home/card#/company/22A2FDDB9F22440EA28A7F1666D8DC65/101"/><Relationship Id="rId7841" Type="http://schemas.openxmlformats.org/officeDocument/2006/relationships/hyperlink" TargetMode="External" Target="https://spark-interfax.ru/system/home/card#/company/09F6EFB30D96463DBAFE86A54328CB9E/101"/><Relationship Id="rId7842" Type="http://schemas.openxmlformats.org/officeDocument/2006/relationships/hyperlink" TargetMode="External" Target="https://spark-interfax.ru/system/home/card#/company/81C781B309CD4BF6858DA7CCF833213A/101"/><Relationship Id="rId7843" Type="http://schemas.openxmlformats.org/officeDocument/2006/relationships/hyperlink" TargetMode="External" Target="https://spark-interfax.ru/system/home/card#/company/AE6DC74093607721E053189AA8C00305/101"/><Relationship Id="rId7844" Type="http://schemas.openxmlformats.org/officeDocument/2006/relationships/hyperlink" TargetMode="External" Target="https://spark-interfax.ru/system/home/card#/company/BD478D0B50282711E053219AA8C0F543/101"/><Relationship Id="rId7845" Type="http://schemas.openxmlformats.org/officeDocument/2006/relationships/hyperlink" TargetMode="External" Target="https://spark-interfax.ru/system/home/card#/company/D03FD9DED41540CEBA5D2DDC0DEF2CA2/101"/><Relationship Id="rId7846" Type="http://schemas.openxmlformats.org/officeDocument/2006/relationships/hyperlink" TargetMode="External" Target="https://spark-interfax.ru/system/home/card#/company/40484053862D4C33A1478DD09E1EBFF5/101"/><Relationship Id="rId7847" Type="http://schemas.openxmlformats.org/officeDocument/2006/relationships/hyperlink" TargetMode="External" Target="https://spark-interfax.ru/system/home/card#/company/2B51B437DBCE49FF83647DB12D0D8A66/101"/><Relationship Id="rId7848" Type="http://schemas.openxmlformats.org/officeDocument/2006/relationships/hyperlink" TargetMode="External" Target="https://spark-interfax.ru/system/home/card#/company/ECFDB49393584863A473538D83BCC66B/101"/><Relationship Id="rId7849" Type="http://schemas.openxmlformats.org/officeDocument/2006/relationships/hyperlink" TargetMode="External" Target="https://spark-interfax.ru/system/home/card#/company/4F277681507E4AF7B9D62C817456D7CE/101"/><Relationship Id="rId7850" Type="http://schemas.openxmlformats.org/officeDocument/2006/relationships/hyperlink" TargetMode="External" Target="https://spark-interfax.ru/system/home/card#/company/F36293F1B60D414BBF4EC7BB33D14492/101"/><Relationship Id="rId7851" Type="http://schemas.openxmlformats.org/officeDocument/2006/relationships/hyperlink" TargetMode="External" Target="https://spark-interfax.ru/system/home/card#/company/33C597DE0D1F4562899A4DA4C8CF622E/101"/><Relationship Id="rId7852" Type="http://schemas.openxmlformats.org/officeDocument/2006/relationships/hyperlink" TargetMode="External" Target="https://spark-interfax.ru/system/home/card#/company/59208FBEAA4A43E1883779EB0A4DC0D1/101"/><Relationship Id="rId7853" Type="http://schemas.openxmlformats.org/officeDocument/2006/relationships/hyperlink" TargetMode="External" Target="https://spark-interfax.ru/system/home/card#/company/071EF8B00AC24161A8AF2A598B9C71B6/101"/><Relationship Id="rId7854" Type="http://schemas.openxmlformats.org/officeDocument/2006/relationships/hyperlink" TargetMode="External" Target="https://spark-interfax.ru/system/home/card#/company/8F3966CD88E342D9AD206437B997CDF7/101"/><Relationship Id="rId7855" Type="http://schemas.openxmlformats.org/officeDocument/2006/relationships/hyperlink" TargetMode="External" Target="https://spark-interfax.ru/system/home/card#/company/80302102D43140AD8A76031182E4E72D/101"/><Relationship Id="rId7856" Type="http://schemas.openxmlformats.org/officeDocument/2006/relationships/hyperlink" TargetMode="External" Target="https://spark-interfax.ru/system/home/card#/company/1B2B210250494A2FAC183BDFDF5BEBD2/101"/><Relationship Id="rId7857" Type="http://schemas.openxmlformats.org/officeDocument/2006/relationships/hyperlink" TargetMode="External" Target="https://spark-interfax.ru/system/home/card#/company/39699137AF164D9F8B41C1ED2FC21590/101"/><Relationship Id="rId7858" Type="http://schemas.openxmlformats.org/officeDocument/2006/relationships/hyperlink" TargetMode="External" Target="https://spark-interfax.ru/system/home/card#/company/213E310E418243CD90BF1ADF7E6FE435/101"/><Relationship Id="rId7859" Type="http://schemas.openxmlformats.org/officeDocument/2006/relationships/hyperlink" TargetMode="External" Target="https://spark-interfax.ru/system/home/card#/company/FD0E672309B844408E9A36E083F79DB5/101"/><Relationship Id="rId7860" Type="http://schemas.openxmlformats.org/officeDocument/2006/relationships/hyperlink" TargetMode="External" Target="https://spark-interfax.ru/system/home/card#/company/2E2D2885BF5D4A3AB1F95A732AFA6E1F/101"/><Relationship Id="rId7861" Type="http://schemas.openxmlformats.org/officeDocument/2006/relationships/hyperlink" TargetMode="External" Target="https://spark-interfax.ru/system/home/card#/company/D98E4AC6D25C4B3FA88FE78F849CCAB7/101"/><Relationship Id="rId7862" Type="http://schemas.openxmlformats.org/officeDocument/2006/relationships/hyperlink" TargetMode="External" Target="https://spark-interfax.ru/system/home/card#/company/BEE291F9B25A4171A5B54BD01EDCC759/101"/><Relationship Id="rId7863" Type="http://schemas.openxmlformats.org/officeDocument/2006/relationships/hyperlink" TargetMode="External" Target="https://spark-interfax.ru/system/home/card#/company/EFEA59DDCA914578882BFEDC209014A2/101"/><Relationship Id="rId7864" Type="http://schemas.openxmlformats.org/officeDocument/2006/relationships/hyperlink" TargetMode="External" Target="https://spark-interfax.ru/system/home/card#/company/58DD95BF01864795A5FB81E25302991D/101"/><Relationship Id="rId7865" Type="http://schemas.openxmlformats.org/officeDocument/2006/relationships/hyperlink" TargetMode="External" Target="https://spark-interfax.ru/system/home/card#/company/4DF845D61BC1417A88EFAB0B0CB92C96/101"/><Relationship Id="rId7866" Type="http://schemas.openxmlformats.org/officeDocument/2006/relationships/hyperlink" TargetMode="External" Target="https://spark-interfax.ru/system/home/card#/company/6F91A59F75061930E0531B9AA8C03478/101"/><Relationship Id="rId7867" Type="http://schemas.openxmlformats.org/officeDocument/2006/relationships/hyperlink" TargetMode="External" Target="https://spark-interfax.ru/system/home/card#/company/D078251B4B29498BB4E42E0A4378D1CF/101"/><Relationship Id="rId7868" Type="http://schemas.openxmlformats.org/officeDocument/2006/relationships/hyperlink" TargetMode="External" Target="https://spark-interfax.ru/system/home/card#/company/EF6B43228F8F457DB59F08E514DD961E/101"/><Relationship Id="rId7869" Type="http://schemas.openxmlformats.org/officeDocument/2006/relationships/hyperlink" TargetMode="External" Target="https://spark-interfax.ru/system/home/card#/company/5F96D1F22FC543AB8E7DFA8C3AA603F5/101"/><Relationship Id="rId7870" Type="http://schemas.openxmlformats.org/officeDocument/2006/relationships/hyperlink" TargetMode="External" Target="https://spark-interfax.ru/system/home/card#/company/BCE0A1D1DBBB42E1925681B4CFE7978C/101"/><Relationship Id="rId7871" Type="http://schemas.openxmlformats.org/officeDocument/2006/relationships/hyperlink" TargetMode="External" Target="https://spark-interfax.ru/system/home/card#/company/07DA0C3747B841E4B9E2A285A80C1E8E/101"/><Relationship Id="rId7872" Type="http://schemas.openxmlformats.org/officeDocument/2006/relationships/hyperlink" TargetMode="External" Target="https://spark-interfax.ru/system/home/card#/company/B5AF78CD06044F5EBE7DB1B4385BBD37/101"/><Relationship Id="rId7873" Type="http://schemas.openxmlformats.org/officeDocument/2006/relationships/hyperlink" TargetMode="External" Target="https://spark-interfax.ru/system/home/card#/company/6322580687C14C06A519E23460B2BB03/101"/><Relationship Id="rId7874" Type="http://schemas.openxmlformats.org/officeDocument/2006/relationships/hyperlink" TargetMode="External" Target="https://spark-interfax.ru/system/home/card#/company/B36824F42A4B406B83BEA9D3C3D0E1BA/101"/><Relationship Id="rId7875" Type="http://schemas.openxmlformats.org/officeDocument/2006/relationships/hyperlink" TargetMode="External" Target="https://spark-interfax.ru/system/home/card#/company/72019E4369BB42ABE0531B9AA8C0F788/101"/><Relationship Id="rId7876" Type="http://schemas.openxmlformats.org/officeDocument/2006/relationships/hyperlink" TargetMode="External" Target="https://spark-interfax.ru/system/home/card#/company/20802A4A8DD146AE843019382CB75554/101"/><Relationship Id="rId7877" Type="http://schemas.openxmlformats.org/officeDocument/2006/relationships/hyperlink" TargetMode="External" Target="https://spark-interfax.ru/system/home/card#/company/25999A21501F494695370E2A12E2371A/101"/><Relationship Id="rId7878" Type="http://schemas.openxmlformats.org/officeDocument/2006/relationships/hyperlink" TargetMode="External" Target="https://spark-interfax.ru/system/home/card#/company/7164B5FC3FD5451BB5D584C440DB8A10/101"/><Relationship Id="rId7879" Type="http://schemas.openxmlformats.org/officeDocument/2006/relationships/hyperlink" TargetMode="External" Target="https://spark-interfax.ru/system/home/card#/company/775D978A3F784BD1B99112F2E16E928B/101"/><Relationship Id="rId7880" Type="http://schemas.openxmlformats.org/officeDocument/2006/relationships/hyperlink" TargetMode="External" Target="https://spark-interfax.ru/system/home/card#/company/A6F0FD2966974B1483FE2B5449188154/101"/><Relationship Id="rId7881" Type="http://schemas.openxmlformats.org/officeDocument/2006/relationships/hyperlink" TargetMode="External" Target="https://spark-interfax.ru/system/home/card#/company/B1BA04B0634B4894A7692E7FEEC3CC0B/101"/><Relationship Id="rId7882" Type="http://schemas.openxmlformats.org/officeDocument/2006/relationships/hyperlink" TargetMode="External" Target="https://spark-interfax.ru/system/home/card#/company/56A29E1DE58D4D9FB9D54C226313B8AF/101"/><Relationship Id="rId7883" Type="http://schemas.openxmlformats.org/officeDocument/2006/relationships/hyperlink" TargetMode="External" Target="https://spark-interfax.ru/system/home/card#/company/587BF51F1FBF46EB9C4592F9BE19FCF3/101"/><Relationship Id="rId7884" Type="http://schemas.openxmlformats.org/officeDocument/2006/relationships/hyperlink" TargetMode="External" Target="https://spark-interfax.ru/system/home/card#/company/7DF18EFA31A88816E0531B9AA8C0E873/101"/><Relationship Id="rId7885" Type="http://schemas.openxmlformats.org/officeDocument/2006/relationships/hyperlink" TargetMode="External" Target="https://spark-interfax.ru/system/home/card#/company/CA2E8FAC03234D86B28527BA89F7DD5C/101"/><Relationship Id="rId7886" Type="http://schemas.openxmlformats.org/officeDocument/2006/relationships/hyperlink" TargetMode="External" Target="https://spark-interfax.ru/system/home/card#/company/86D29C5BCFE84465BF63C140A51B9CED/101"/><Relationship Id="rId7887" Type="http://schemas.openxmlformats.org/officeDocument/2006/relationships/hyperlink" TargetMode="External" Target="https://spark-interfax.ru/system/home/card#/company/9A8DED9FEE504E7081EBB2052B4B2B6A/101"/><Relationship Id="rId7888" Type="http://schemas.openxmlformats.org/officeDocument/2006/relationships/hyperlink" TargetMode="External" Target="https://spark-interfax.ru/system/home/card#/company/586849F549FC4967AA3AB10E9D2DD0C0/101"/><Relationship Id="rId7889" Type="http://schemas.openxmlformats.org/officeDocument/2006/relationships/hyperlink" TargetMode="External" Target="https://spark-interfax.ru/system/home/card#/company/5510245881924D92A3F32CF56BB3CFA4/101"/><Relationship Id="rId7890" Type="http://schemas.openxmlformats.org/officeDocument/2006/relationships/hyperlink" TargetMode="External" Target="https://spark-interfax.ru/system/home/card#/company/2C98B399A6354F4B8CA94395F4CF4449/101"/><Relationship Id="rId7891" Type="http://schemas.openxmlformats.org/officeDocument/2006/relationships/hyperlink" TargetMode="External" Target="https://spark-interfax.ru/system/home/card#/company/E2A2D7ED56A4472D9E76A5B2C8C3D7BE/101"/><Relationship Id="rId7892" Type="http://schemas.openxmlformats.org/officeDocument/2006/relationships/hyperlink" TargetMode="External" Target="https://spark-interfax.ru/system/home/card#/company/252E9EA69DA247BBB4ADA98B994E169A/101"/><Relationship Id="rId7893" Type="http://schemas.openxmlformats.org/officeDocument/2006/relationships/hyperlink" TargetMode="External" Target="https://spark-interfax.ru/system/home/card#/company/B7CCCA82704545D6825A20520D9EDDA8/101"/><Relationship Id="rId7894" Type="http://schemas.openxmlformats.org/officeDocument/2006/relationships/hyperlink" TargetMode="External" Target="https://spark-interfax.ru/system/home/card#/company/F974A09A14434DF49C5AD650153142FC/101"/><Relationship Id="rId7895" Type="http://schemas.openxmlformats.org/officeDocument/2006/relationships/hyperlink" TargetMode="External" Target="https://spark-interfax.ru/system/home/card#/company/CF6C0F1CD34A43EC910888A0FD2E2A33/101"/><Relationship Id="rId7896" Type="http://schemas.openxmlformats.org/officeDocument/2006/relationships/hyperlink" TargetMode="External" Target="https://spark-interfax.ru/system/home/card#/company/C3F9582856A04FF9A3F3A17E35340F94/101"/><Relationship Id="rId7897" Type="http://schemas.openxmlformats.org/officeDocument/2006/relationships/hyperlink" TargetMode="External" Target="https://spark-interfax.ru/system/home/card#/company/2DCA2F7408174664A6AAA5EB9D069FB7/101"/><Relationship Id="rId7898" Type="http://schemas.openxmlformats.org/officeDocument/2006/relationships/hyperlink" TargetMode="External" Target="https://spark-interfax.ru/system/home/card#/company/B8287D7B9B6F4C849EB9F2BDCFB4D09C/101"/><Relationship Id="rId7899" Type="http://schemas.openxmlformats.org/officeDocument/2006/relationships/hyperlink" TargetMode="External" Target="https://spark-interfax.ru/system/home/card#/company/F2ABFDE8EC69476DB6E733AF50FD0A98/101"/><Relationship Id="rId7900" Type="http://schemas.openxmlformats.org/officeDocument/2006/relationships/hyperlink" TargetMode="External" Target="https://spark-interfax.ru/system/home/card#/company/19DA9D04B3C64F5F9456CDBC9712DC7F/101"/><Relationship Id="rId7901" Type="http://schemas.openxmlformats.org/officeDocument/2006/relationships/hyperlink" TargetMode="External" Target="https://spark-interfax.ru/system/home/card#/company/51F7EA22DC0441C0B6B3013C5FB94CBF/101"/><Relationship Id="rId7902" Type="http://schemas.openxmlformats.org/officeDocument/2006/relationships/hyperlink" TargetMode="External" Target="https://spark-interfax.ru/system/home/card#/company/66C841032F304CD99E5A5A3EAA6404E3/101"/><Relationship Id="rId7903" Type="http://schemas.openxmlformats.org/officeDocument/2006/relationships/hyperlink" TargetMode="External" Target="https://spark-interfax.ru/system/home/card#/company/7CDAF6AA74484129B78AB100E5974E21/101"/><Relationship Id="rId7904" Type="http://schemas.openxmlformats.org/officeDocument/2006/relationships/hyperlink" TargetMode="External" Target="https://spark-interfax.ru/system/home/card#/company/06A8155F482C4C72BFF256DAA6E5FD36/101"/><Relationship Id="rId7905" Type="http://schemas.openxmlformats.org/officeDocument/2006/relationships/hyperlink" TargetMode="External" Target="https://spark-interfax.ru/system/home/card#/company/74D08EDA1BE54CFF9459410E3EC66860/101"/><Relationship Id="rId7906" Type="http://schemas.openxmlformats.org/officeDocument/2006/relationships/hyperlink" TargetMode="External" Target="https://spark-interfax.ru/system/home/card#/company/252631108B48443AB5B8EB03A523399B/101"/><Relationship Id="rId7907" Type="http://schemas.openxmlformats.org/officeDocument/2006/relationships/hyperlink" TargetMode="External" Target="https://spark-interfax.ru/system/home/card#/company/C3CCA92E3169471BB10D740E6F95112D/101"/><Relationship Id="rId7908" Type="http://schemas.openxmlformats.org/officeDocument/2006/relationships/hyperlink" TargetMode="External" Target="https://spark-interfax.ru/system/home/card#/company/F6A5D83A380F4C0B87FB2547CCA6399F/101"/><Relationship Id="rId7909" Type="http://schemas.openxmlformats.org/officeDocument/2006/relationships/hyperlink" TargetMode="External" Target="https://spark-interfax.ru/system/home/card#/company/3F745ADF85E24DF1B4C03F18EED0BB24/101"/><Relationship Id="rId7910" Type="http://schemas.openxmlformats.org/officeDocument/2006/relationships/hyperlink" TargetMode="External" Target="https://spark-interfax.ru/system/home/card#/company/1870838A82534A3C8CEEE10277D5E191/101"/><Relationship Id="rId7911" Type="http://schemas.openxmlformats.org/officeDocument/2006/relationships/hyperlink" TargetMode="External" Target="https://spark-interfax.ru/system/home/card#/company/953D690EF2CD46D5BEEFDF71C1FD703E/101"/><Relationship Id="rId7912" Type="http://schemas.openxmlformats.org/officeDocument/2006/relationships/hyperlink" TargetMode="External" Target="https://spark-interfax.ru/system/home/card#/company/D7BEB3B1631E4A3F95AAC13F9C55951D/101"/><Relationship Id="rId7913" Type="http://schemas.openxmlformats.org/officeDocument/2006/relationships/hyperlink" TargetMode="External" Target="https://spark-interfax.ru/system/home/card#/company/8D81F6B3C6FD832AE0531C9AA8C0804B/101"/><Relationship Id="rId7914" Type="http://schemas.openxmlformats.org/officeDocument/2006/relationships/hyperlink" TargetMode="External" Target="https://spark-interfax.ru/system/home/card#/company/F5E20E1FE0CD431291673AE3C001D7AA/101"/><Relationship Id="rId7915" Type="http://schemas.openxmlformats.org/officeDocument/2006/relationships/hyperlink" TargetMode="External" Target="https://spark-interfax.ru/system/home/card#/company/FAB521367BEE416DB5ACC009E785DEA2/101"/><Relationship Id="rId7916" Type="http://schemas.openxmlformats.org/officeDocument/2006/relationships/hyperlink" TargetMode="External" Target="https://spark-interfax.ru/system/home/card#/company/71B97C3820FF4A8581B8288EDB51940F/101"/><Relationship Id="rId7917" Type="http://schemas.openxmlformats.org/officeDocument/2006/relationships/hyperlink" TargetMode="External" Target="https://spark-interfax.ru/system/home/card#/company/06531EDBD41B45EB92305029AC774C67/101"/><Relationship Id="rId7918" Type="http://schemas.openxmlformats.org/officeDocument/2006/relationships/hyperlink" TargetMode="External" Target="https://spark-interfax.ru/system/home/card#/company/12C76E180C0D4A1FB283370E16706197/101"/><Relationship Id="rId7919" Type="http://schemas.openxmlformats.org/officeDocument/2006/relationships/hyperlink" TargetMode="External" Target="https://spark-interfax.ru/system/home/card#/company/53EEC845EABF4E05BCF455B41D3FD57E/101"/><Relationship Id="rId7920" Type="http://schemas.openxmlformats.org/officeDocument/2006/relationships/hyperlink" TargetMode="External" Target="https://spark-interfax.ru/system/home/card#/company/6C9716C760F640B29C58D35AA34BD54F/101"/><Relationship Id="rId7921" Type="http://schemas.openxmlformats.org/officeDocument/2006/relationships/hyperlink" TargetMode="External" Target="https://spark-interfax.ru/system/home/card#/company/ADF84D375D614C118D92750B531C5E40/101"/><Relationship Id="rId7922" Type="http://schemas.openxmlformats.org/officeDocument/2006/relationships/hyperlink" TargetMode="External" Target="https://spark-interfax.ru/system/home/card#/company/D53F19316A7F4AF086E70A84657EFF7A/101"/><Relationship Id="rId7923" Type="http://schemas.openxmlformats.org/officeDocument/2006/relationships/hyperlink" TargetMode="External" Target="https://spark-interfax.ru/system/home/card#/company/8F2EE0EA48044B609CEC19346E84EC02/101"/><Relationship Id="rId7924" Type="http://schemas.openxmlformats.org/officeDocument/2006/relationships/hyperlink" TargetMode="External" Target="https://spark-interfax.ru/system/home/card#/company/35A88936A1D34479A015FA07CA191737/101"/><Relationship Id="rId7925" Type="http://schemas.openxmlformats.org/officeDocument/2006/relationships/hyperlink" TargetMode="External" Target="https://spark-interfax.ru/system/home/card#/company/03FB3E86EA214D58931741DA0A5A2FA5/101"/><Relationship Id="rId7926" Type="http://schemas.openxmlformats.org/officeDocument/2006/relationships/hyperlink" TargetMode="External" Target="https://spark-interfax.ru/system/home/card#/company/C205BEEFCA1F4E9EAFE76D79462C1B20/101"/><Relationship Id="rId7927" Type="http://schemas.openxmlformats.org/officeDocument/2006/relationships/hyperlink" TargetMode="External" Target="https://spark-interfax.ru/system/home/card#/company/E81CFA75999D469FA8020B78D258AC63/101"/><Relationship Id="rId7928" Type="http://schemas.openxmlformats.org/officeDocument/2006/relationships/hyperlink" TargetMode="External" Target="https://spark-interfax.ru/system/home/card#/company/10EE97B260124BC9983B72B146004D64/101"/><Relationship Id="rId7929" Type="http://schemas.openxmlformats.org/officeDocument/2006/relationships/hyperlink" TargetMode="External" Target="https://spark-interfax.ru/system/home/card#/company/6A531177EE9B4F27B04C22F074BABF01/101"/><Relationship Id="rId7930" Type="http://schemas.openxmlformats.org/officeDocument/2006/relationships/hyperlink" TargetMode="External" Target="https://spark-interfax.ru/system/home/card#/company/6F9496D33CA44549B924BE4EF0FCDBE1/101"/><Relationship Id="rId7931" Type="http://schemas.openxmlformats.org/officeDocument/2006/relationships/hyperlink" TargetMode="External" Target="https://spark-interfax.ru/system/home/card#/company/4C43DC3DAF5F4FCCA5AC025C8C7062A1/101"/><Relationship Id="rId7932" Type="http://schemas.openxmlformats.org/officeDocument/2006/relationships/hyperlink" TargetMode="External" Target="https://spark-interfax.ru/system/home/card#/company/D0A00CBCB6744AA994B69B293991C54C/101"/><Relationship Id="rId7933" Type="http://schemas.openxmlformats.org/officeDocument/2006/relationships/hyperlink" TargetMode="External" Target="https://spark-interfax.ru/system/home/card#/company/5CAEC5A170234212A31F97D2401BD81A/101"/><Relationship Id="rId7934" Type="http://schemas.openxmlformats.org/officeDocument/2006/relationships/hyperlink" TargetMode="External" Target="https://spark-interfax.ru/system/home/card#/company/070C5E68E96D4B5E81FB23B9892E8DD9/101"/><Relationship Id="rId7935" Type="http://schemas.openxmlformats.org/officeDocument/2006/relationships/hyperlink" TargetMode="External" Target="https://spark-interfax.ru/system/home/card#/company/66D886A92C0B8687E0531B9AA8C05A1A/101"/><Relationship Id="rId7936" Type="http://schemas.openxmlformats.org/officeDocument/2006/relationships/hyperlink" TargetMode="External" Target="https://spark-interfax.ru/system/home/card#/company/C401C996F77443DCB9BBFB709688707B/101"/><Relationship Id="rId7937" Type="http://schemas.openxmlformats.org/officeDocument/2006/relationships/hyperlink" TargetMode="External" Target="https://spark-interfax.ru/system/home/card#/company/B68A4B19067D4CAB9DC877DD6BDF424D/101"/><Relationship Id="rId7938" Type="http://schemas.openxmlformats.org/officeDocument/2006/relationships/hyperlink" TargetMode="External" Target="https://spark-interfax.ru/system/home/card#/company/8A8510B533F53CA9E0531C9AA8C0B32B/101"/><Relationship Id="rId7939" Type="http://schemas.openxmlformats.org/officeDocument/2006/relationships/hyperlink" TargetMode="External" Target="https://spark-interfax.ru/system/home/card#/company/A150F33FAB7D466394BFBE21EE1A4FF1/101"/><Relationship Id="rId7940" Type="http://schemas.openxmlformats.org/officeDocument/2006/relationships/hyperlink" TargetMode="External" Target="https://spark-interfax.ru/system/home/card#/company/88671A81F19036D6E0531B9AA8C0B1D0/101"/><Relationship Id="rId7941" Type="http://schemas.openxmlformats.org/officeDocument/2006/relationships/hyperlink" TargetMode="External" Target="https://spark-interfax.ru/system/home/card#/company/C3B62C15BA9D4ABC88B10D7A6EBB0D6C/101"/><Relationship Id="rId7942" Type="http://schemas.openxmlformats.org/officeDocument/2006/relationships/hyperlink" TargetMode="External" Target="https://spark-interfax.ru/system/home/card#/company/21CC3B7C4F564F75B73D50B4C067E05F/101"/><Relationship Id="rId7943" Type="http://schemas.openxmlformats.org/officeDocument/2006/relationships/hyperlink" TargetMode="External" Target="https://spark-interfax.ru/system/home/card#/company/9ABF417BAECE4F0190C908D33A1DE3FA/101"/><Relationship Id="rId7944" Type="http://schemas.openxmlformats.org/officeDocument/2006/relationships/hyperlink" TargetMode="External" Target="https://spark-interfax.ru/system/home/card#/company/023F46DADCEB49E2808E902B2116A16C/101"/><Relationship Id="rId7945" Type="http://schemas.openxmlformats.org/officeDocument/2006/relationships/hyperlink" TargetMode="External" Target="https://spark-interfax.ru/system/home/card#/company/C41D73AFC1C745B8AF6FF6EFBCFFA4B7/101"/><Relationship Id="rId7946" Type="http://schemas.openxmlformats.org/officeDocument/2006/relationships/hyperlink" TargetMode="External" Target="https://spark-interfax.ru/system/home/card#/company/BBD1C463D9B04CDB8740D99D77BE50D8/101"/><Relationship Id="rId7947" Type="http://schemas.openxmlformats.org/officeDocument/2006/relationships/hyperlink" TargetMode="External" Target="https://spark-interfax.ru/system/home/card#/company/E2E1D5B272D44F7F8EB31EA4ED8AC2A3/101"/><Relationship Id="rId7948" Type="http://schemas.openxmlformats.org/officeDocument/2006/relationships/hyperlink" TargetMode="External" Target="https://spark-interfax.ru/system/home/card#/company/59A70F87A0814057B41BA39E4CDB2896/101"/><Relationship Id="rId7949" Type="http://schemas.openxmlformats.org/officeDocument/2006/relationships/hyperlink" TargetMode="External" Target="https://spark-interfax.ru/system/home/card#/company/F8F2A668842246F6915EA4C44F3CA452/101"/><Relationship Id="rId7950" Type="http://schemas.openxmlformats.org/officeDocument/2006/relationships/hyperlink" TargetMode="External" Target="https://spark-interfax.ru/system/home/card#/company/D3700B8E494C47A6B8EC3E6A649AD467/101"/><Relationship Id="rId7951" Type="http://schemas.openxmlformats.org/officeDocument/2006/relationships/hyperlink" TargetMode="External" Target="https://spark-interfax.ru/system/home/card#/company/E71511B117D2464487B721831C30095D/101"/><Relationship Id="rId7952" Type="http://schemas.openxmlformats.org/officeDocument/2006/relationships/hyperlink" TargetMode="External" Target="https://spark-interfax.ru/system/home/card#/company/2FE0EE41C5BC46E998FD70044652947C/101"/><Relationship Id="rId7953" Type="http://schemas.openxmlformats.org/officeDocument/2006/relationships/hyperlink" TargetMode="External" Target="https://spark-interfax.ru/system/home/card#/company/87999DF26E1C41F79C3E7A7FBAECDEAA/101"/><Relationship Id="rId7954" Type="http://schemas.openxmlformats.org/officeDocument/2006/relationships/hyperlink" TargetMode="External" Target="https://spark-interfax.ru/system/home/card#/company/81425F2F02244DADBA96BB73A2FC25ED/101"/><Relationship Id="rId7955" Type="http://schemas.openxmlformats.org/officeDocument/2006/relationships/hyperlink" TargetMode="External" Target="https://spark-interfax.ru/system/home/card#/company/42CD27CAC5604D9987066F8FC3015AF8/101"/><Relationship Id="rId7956" Type="http://schemas.openxmlformats.org/officeDocument/2006/relationships/hyperlink" TargetMode="External" Target="https://spark-interfax.ru/system/home/card#/company/B51DC21D62AD4E0695F0EE0FC4E1FFE6/101"/><Relationship Id="rId7957" Type="http://schemas.openxmlformats.org/officeDocument/2006/relationships/hyperlink" TargetMode="External" Target="https://spark-interfax.ru/system/home/card#/company/01C81676B13340D1A49E4D86710058F3/101"/><Relationship Id="rId7958" Type="http://schemas.openxmlformats.org/officeDocument/2006/relationships/hyperlink" TargetMode="External" Target="https://spark-interfax.ru/system/home/card#/company/D85032CDA9FC2580E053259AA8C0D81E/101"/><Relationship Id="rId7959" Type="http://schemas.openxmlformats.org/officeDocument/2006/relationships/hyperlink" TargetMode="External" Target="https://spark-interfax.ru/system/home/card#/company/B847A4E70F9B434A91F17A497890A33B/101"/><Relationship Id="rId7960" Type="http://schemas.openxmlformats.org/officeDocument/2006/relationships/hyperlink" TargetMode="External" Target="https://spark-interfax.ru/system/home/card#/company/171B548569ED4D6AB114EA78328ED4E7/101"/><Relationship Id="rId7961" Type="http://schemas.openxmlformats.org/officeDocument/2006/relationships/hyperlink" TargetMode="External" Target="https://spark-interfax.ru/system/home/card#/company/239138FADCD740A185BE227321F298F6/101"/><Relationship Id="rId7962" Type="http://schemas.openxmlformats.org/officeDocument/2006/relationships/hyperlink" TargetMode="External" Target="https://spark-interfax.ru/system/home/card#/company/88A3A376102D42ADB937A18C6523E862/101"/><Relationship Id="rId7963" Type="http://schemas.openxmlformats.org/officeDocument/2006/relationships/hyperlink" TargetMode="External" Target="https://spark-interfax.ru/system/home/card#/company/71DD1801E2B24B9884BB83D6DC0081EE/101"/><Relationship Id="rId7964" Type="http://schemas.openxmlformats.org/officeDocument/2006/relationships/hyperlink" TargetMode="External" Target="https://spark-interfax.ru/system/home/card#/company/8EE58E66B7FD45AF895EFB1B77EF0CF9/101"/><Relationship Id="rId7965" Type="http://schemas.openxmlformats.org/officeDocument/2006/relationships/hyperlink" TargetMode="External" Target="https://spark-interfax.ru/system/home/card#/company/3B26858A8426490FBA9878C2E9DB3C1A/101"/><Relationship Id="rId7966" Type="http://schemas.openxmlformats.org/officeDocument/2006/relationships/hyperlink" TargetMode="External" Target="https://spark-interfax.ru/system/home/card#/company/DA4607345CEA4B30859F8156FCBB2431/101"/><Relationship Id="rId7967" Type="http://schemas.openxmlformats.org/officeDocument/2006/relationships/hyperlink" TargetMode="External" Target="https://spark-interfax.ru/system/home/card#/company/5EFDDAC201B84E1DBFBA4E432E274163/101"/><Relationship Id="rId7968" Type="http://schemas.openxmlformats.org/officeDocument/2006/relationships/hyperlink" TargetMode="External" Target="https://spark-interfax.ru/system/home/card#/company/7F43C08AA35B48AB8BE385ADD49AE289/101"/><Relationship Id="rId7969" Type="http://schemas.openxmlformats.org/officeDocument/2006/relationships/hyperlink" TargetMode="External" Target="https://spark-interfax.ru/system/home/card#/company/B4A63480BB3245A9A1F988CEA86230DB/101"/><Relationship Id="rId7970" Type="http://schemas.openxmlformats.org/officeDocument/2006/relationships/hyperlink" TargetMode="External" Target="https://spark-interfax.ru/system/home/card#/company/052B4E8AC5FF428B8E9CF48870AA1E35/101"/><Relationship Id="rId7971" Type="http://schemas.openxmlformats.org/officeDocument/2006/relationships/hyperlink" TargetMode="External" Target="https://spark-interfax.ru/system/home/card#/company/70A9F907163E7D23E0531B9AA8C0C64A/101"/><Relationship Id="rId7972" Type="http://schemas.openxmlformats.org/officeDocument/2006/relationships/hyperlink" TargetMode="External" Target="https://spark-interfax.ru/system/home/card#/company/2D14FA8B2954449387EC33910E57D3D3/101"/><Relationship Id="rId7973" Type="http://schemas.openxmlformats.org/officeDocument/2006/relationships/hyperlink" TargetMode="External" Target="https://spark-interfax.ru/system/home/card#/company/DB7EDBDA00FA49DDBBFBE240FA2F1628/101"/><Relationship Id="rId7974" Type="http://schemas.openxmlformats.org/officeDocument/2006/relationships/hyperlink" TargetMode="External" Target="https://spark-interfax.ru/system/home/card#/company/063984DC753A4C84BCB510383F8D6FA5/101"/><Relationship Id="rId7975" Type="http://schemas.openxmlformats.org/officeDocument/2006/relationships/hyperlink" TargetMode="External" Target="https://spark-interfax.ru/system/home/card#/company/F3B6B4BF94E347369A8C9524AC3BAADA/101"/><Relationship Id="rId7976" Type="http://schemas.openxmlformats.org/officeDocument/2006/relationships/hyperlink" TargetMode="External" Target="https://spark-interfax.ru/system/home/card#/company/8E17FC60D4FF49DDA5AEFDE34E3F59D2/101"/><Relationship Id="rId7977" Type="http://schemas.openxmlformats.org/officeDocument/2006/relationships/hyperlink" TargetMode="External" Target="https://spark-interfax.ru/system/home/card#/company/897F3D2CFBC36869E0531B9AA8C05022/101"/><Relationship Id="rId7978" Type="http://schemas.openxmlformats.org/officeDocument/2006/relationships/hyperlink" TargetMode="External" Target="https://spark-interfax.ru/system/home/card#/company/5E3628373DDC44C3B33B633487D3255F/101"/><Relationship Id="rId7979" Type="http://schemas.openxmlformats.org/officeDocument/2006/relationships/hyperlink" TargetMode="External" Target="https://spark-interfax.ru/system/home/card#/company/BB790A36AD6B40A7E053219AA8C0DD6D/101"/><Relationship Id="rId7980" Type="http://schemas.openxmlformats.org/officeDocument/2006/relationships/hyperlink" TargetMode="External" Target="https://spark-interfax.ru/system/home/card#/company/FBE4888C34A94A4E9FA35DCF28B29A72/101"/><Relationship Id="rId7981" Type="http://schemas.openxmlformats.org/officeDocument/2006/relationships/hyperlink" TargetMode="External" Target="https://spark-interfax.ru/system/home/card#/company/7892FF588FA649018F7B39B0E0740CE3/101"/><Relationship Id="rId7982" Type="http://schemas.openxmlformats.org/officeDocument/2006/relationships/hyperlink" TargetMode="External" Target="https://spark-interfax.ru/system/home/card#/company/3F4A970C562C4812A0AF8090A578F3EC/101"/><Relationship Id="rId7983" Type="http://schemas.openxmlformats.org/officeDocument/2006/relationships/hyperlink" TargetMode="External" Target="https://spark-interfax.ru/system/home/card#/company/D88686B429484AB696E80FCF0F997DE6/101"/><Relationship Id="rId7984" Type="http://schemas.openxmlformats.org/officeDocument/2006/relationships/hyperlink" TargetMode="External" Target="https://spark-interfax.ru/system/home/card#/company/71EA14DAA2104B3890AF361115B09CF2/101"/><Relationship Id="rId7985" Type="http://schemas.openxmlformats.org/officeDocument/2006/relationships/hyperlink" TargetMode="External" Target="https://spark-interfax.ru/system/home/card#/company/20C1E28F76BD4432B7C80A6AC807CABD/101"/><Relationship Id="rId7986" Type="http://schemas.openxmlformats.org/officeDocument/2006/relationships/hyperlink" TargetMode="External" Target="https://spark-interfax.ru/system/home/card#/company/CCA0F5EDDA684090842AFD9A30ABA5FF/101"/><Relationship Id="rId7987" Type="http://schemas.openxmlformats.org/officeDocument/2006/relationships/hyperlink" TargetMode="External" Target="https://spark-interfax.ru/system/home/card#/company/AAEEC0CCE0A848FE9F1CCBA6AF51A06B/101"/><Relationship Id="rId7988" Type="http://schemas.openxmlformats.org/officeDocument/2006/relationships/hyperlink" TargetMode="External" Target="https://spark-interfax.ru/system/home/card#/company/6BB69BED7B8625F0E0531B9AA8C0E335/101"/><Relationship Id="rId7989" Type="http://schemas.openxmlformats.org/officeDocument/2006/relationships/hyperlink" TargetMode="External" Target="https://spark-interfax.ru/system/home/card#/company/665D0A2C9D6545B285521C414465D682/101"/><Relationship Id="rId7990" Type="http://schemas.openxmlformats.org/officeDocument/2006/relationships/hyperlink" TargetMode="External" Target="https://spark-interfax.ru/system/home/card#/company/738A239A6B5045C78A0DCF84393F203A/101"/><Relationship Id="rId7991" Type="http://schemas.openxmlformats.org/officeDocument/2006/relationships/hyperlink" TargetMode="External" Target="https://spark-interfax.ru/system/home/card#/company/201E387684D5478AA031DF7AA297593C/101"/><Relationship Id="rId7992" Type="http://schemas.openxmlformats.org/officeDocument/2006/relationships/hyperlink" TargetMode="External" Target="https://spark-interfax.ru/system/home/card#/company/8F6E030FFDF342A299D4A35262CE864A/101"/><Relationship Id="rId7993" Type="http://schemas.openxmlformats.org/officeDocument/2006/relationships/hyperlink" TargetMode="External" Target="https://spark-interfax.ru/system/home/card#/company/5791C0B81D4346AC8ABDF457172366B7/101"/><Relationship Id="rId7994" Type="http://schemas.openxmlformats.org/officeDocument/2006/relationships/hyperlink" TargetMode="External" Target="https://spark-interfax.ru/system/home/card#/company/E169BD5F2C8B48D681B3D90265183115/101"/><Relationship Id="rId7995" Type="http://schemas.openxmlformats.org/officeDocument/2006/relationships/hyperlink" TargetMode="External" Target="https://spark-interfax.ru/system/home/card#/company/861F1F70DE7D6D23E0531B9AA8C0A54C/101"/><Relationship Id="rId7996" Type="http://schemas.openxmlformats.org/officeDocument/2006/relationships/hyperlink" TargetMode="External" Target="https://spark-interfax.ru/system/home/card#/company/F056EAAA51CB47EDB48116FFFAF4248C/101"/><Relationship Id="rId7997" Type="http://schemas.openxmlformats.org/officeDocument/2006/relationships/hyperlink" TargetMode="External" Target="https://spark-interfax.ru/system/home/card#/company/7420E350212A811FE0531B9AA8C0DCF9/101"/><Relationship Id="rId7998" Type="http://schemas.openxmlformats.org/officeDocument/2006/relationships/hyperlink" TargetMode="External" Target="https://spark-interfax.ru/system/home/card#/company/093AF88415D2404C853669A9FAA241BD/101"/><Relationship Id="rId7999" Type="http://schemas.openxmlformats.org/officeDocument/2006/relationships/hyperlink" TargetMode="External" Target="https://spark-interfax.ru/system/home/card#/company/434278411DA74F1DBAD36E4CA8EAB703/101"/><Relationship Id="rId8000" Type="http://schemas.openxmlformats.org/officeDocument/2006/relationships/hyperlink" TargetMode="External" Target="https://spark-interfax.ru/system/home/card#/company/80C0BD5DD4EA4658A647911DEFD8B22A/101"/><Relationship Id="rId8001" Type="http://schemas.openxmlformats.org/officeDocument/2006/relationships/hyperlink" TargetMode="External" Target="https://spark-interfax.ru/system/home/card#/company/D897EEE2CBC6490B84FF9AB00FC04EAF/101"/><Relationship Id="rId8002" Type="http://schemas.openxmlformats.org/officeDocument/2006/relationships/hyperlink" TargetMode="External" Target="https://spark-interfax.ru/system/home/card#/company/F3BF5BDF657E47DD94B4818B8D7EAA17/101"/><Relationship Id="rId8003" Type="http://schemas.openxmlformats.org/officeDocument/2006/relationships/hyperlink" TargetMode="External" Target="https://spark-interfax.ru/system/home/card#/company/5CF2C29D429A3630E0531C9AA8C0201C/101"/><Relationship Id="rId8004" Type="http://schemas.openxmlformats.org/officeDocument/2006/relationships/hyperlink" TargetMode="External" Target="https://spark-interfax.ru/system/home/card#/company/F037DECE1F7244C2AF59944A82CBE74D/101"/><Relationship Id="rId8005" Type="http://schemas.openxmlformats.org/officeDocument/2006/relationships/hyperlink" TargetMode="External" Target="https://spark-interfax.ru/system/home/card#/company/C7DAB6D1247341D2BE95D969291B2AAC/101"/><Relationship Id="rId8006" Type="http://schemas.openxmlformats.org/officeDocument/2006/relationships/hyperlink" TargetMode="External" Target="https://spark-interfax.ru/system/home/card#/company/B71BD210BB7B4283B973578E847B0E62/101"/><Relationship Id="rId8007" Type="http://schemas.openxmlformats.org/officeDocument/2006/relationships/hyperlink" TargetMode="External" Target="https://spark-interfax.ru/system/home/card#/company/82AB95CC85294EAA86D25B9F51638F9C/101"/><Relationship Id="rId8008" Type="http://schemas.openxmlformats.org/officeDocument/2006/relationships/hyperlink" TargetMode="External" Target="https://spark-interfax.ru/system/home/card#/company/2F478550F3C24C51B85943ED180CC983/101"/><Relationship Id="rId8009" Type="http://schemas.openxmlformats.org/officeDocument/2006/relationships/hyperlink" TargetMode="External" Target="https://spark-interfax.ru/system/home/card#/company/70E1975998704242A73F6C85EE28A173/101"/><Relationship Id="rId8010" Type="http://schemas.openxmlformats.org/officeDocument/2006/relationships/hyperlink" TargetMode="External" Target="https://spark-interfax.ru/system/home/card#/company/87F9AC1A46D342DE803BDF1575A00562/101"/><Relationship Id="rId8011" Type="http://schemas.openxmlformats.org/officeDocument/2006/relationships/hyperlink" TargetMode="External" Target="https://spark-interfax.ru/system/home/card#/company/CBBBBB7E1B564627BD56746A0E5AB940/101"/><Relationship Id="rId8012" Type="http://schemas.openxmlformats.org/officeDocument/2006/relationships/hyperlink" TargetMode="External" Target="https://spark-interfax.ru/system/home/card#/company/512FD4FD8A8F4340B385FBEBDB642923/101"/><Relationship Id="rId8013" Type="http://schemas.openxmlformats.org/officeDocument/2006/relationships/hyperlink" TargetMode="External" Target="https://spark-interfax.ru/system/home/card#/company/690DF5EC3E324441B792FF12F581FD54/101"/><Relationship Id="rId8014" Type="http://schemas.openxmlformats.org/officeDocument/2006/relationships/hyperlink" TargetMode="External" Target="https://spark-interfax.ru/system/home/card#/company/E6DA23F9439E4F5580D5444C5387D16A/101"/><Relationship Id="rId8015" Type="http://schemas.openxmlformats.org/officeDocument/2006/relationships/hyperlink" TargetMode="External" Target="https://spark-interfax.ru/system/home/card#/company/5015E9B1D45E4C2A847BA02481B1C49B/101"/><Relationship Id="rId8016" Type="http://schemas.openxmlformats.org/officeDocument/2006/relationships/hyperlink" TargetMode="External" Target="https://spark-interfax.ru/system/home/card#/company/4AA5A2D55DA44FE9819AFD9363333448/101"/><Relationship Id="rId8017" Type="http://schemas.openxmlformats.org/officeDocument/2006/relationships/hyperlink" TargetMode="External" Target="https://spark-interfax.ru/system/home/card#/company/2495363B83FD4EB69F8738C3A6B9CEE3/101"/><Relationship Id="rId8018" Type="http://schemas.openxmlformats.org/officeDocument/2006/relationships/hyperlink" TargetMode="External" Target="https://spark-interfax.ru/system/home/card#/company/051546B6CDCA4168B330D3832A1471C6/101"/><Relationship Id="rId8019" Type="http://schemas.openxmlformats.org/officeDocument/2006/relationships/hyperlink" TargetMode="External" Target="https://spark-interfax.ru/system/home/card#/company/92694B2C1A604DEDB0E0C69BB1F0C067/101"/><Relationship Id="rId8020" Type="http://schemas.openxmlformats.org/officeDocument/2006/relationships/hyperlink" TargetMode="External" Target="https://spark-interfax.ru/system/home/card#/company/EA19669B89F74CC78B38B720458C3122/101"/><Relationship Id="rId8021" Type="http://schemas.openxmlformats.org/officeDocument/2006/relationships/hyperlink" TargetMode="External" Target="https://spark-interfax.ru/system/home/card#/company/C6BAB6D22D874F7C9CE9AC9189C4F3C1/101"/><Relationship Id="rId8022" Type="http://schemas.openxmlformats.org/officeDocument/2006/relationships/hyperlink" TargetMode="External" Target="https://spark-interfax.ru/system/home/card#/company/9AF0AEE0006E2BE8E053179AA8C09F65/101"/><Relationship Id="rId8023" Type="http://schemas.openxmlformats.org/officeDocument/2006/relationships/hyperlink" TargetMode="External" Target="https://spark-interfax.ru/system/home/card#/company/C3B4DCC8344C40D6BCB3F0F974124C77/101"/><Relationship Id="rId8024" Type="http://schemas.openxmlformats.org/officeDocument/2006/relationships/hyperlink" TargetMode="External" Target="https://spark-interfax.ru/system/home/card#/company/3369690D9204485FB785B7CD70EFF561/101"/><Relationship Id="rId8025" Type="http://schemas.openxmlformats.org/officeDocument/2006/relationships/hyperlink" TargetMode="External" Target="https://spark-interfax.ru/system/home/card#/company/B367216AAD02475292F5B3BD6389AC2B/101"/><Relationship Id="rId8026" Type="http://schemas.openxmlformats.org/officeDocument/2006/relationships/hyperlink" TargetMode="External" Target="https://spark-interfax.ru/system/home/card#/company/042B7B8C53674E9094A6DB123E1A58EB/101"/><Relationship Id="rId8027" Type="http://schemas.openxmlformats.org/officeDocument/2006/relationships/hyperlink" TargetMode="External" Target="https://spark-interfax.ru/system/home/card#/company/4CA5615C87E940C4A86A2B711200F0DB/101"/><Relationship Id="rId8028" Type="http://schemas.openxmlformats.org/officeDocument/2006/relationships/hyperlink" TargetMode="External" Target="https://spark-interfax.ru/system/home/card#/company/F7E777521D9D4607905D679729B0DADC/101"/><Relationship Id="rId8029" Type="http://schemas.openxmlformats.org/officeDocument/2006/relationships/hyperlink" TargetMode="External" Target="https://spark-interfax.ru/system/home/card#/company/AD9BC1F012E0480F99401176C0BA434F/101"/><Relationship Id="rId8030" Type="http://schemas.openxmlformats.org/officeDocument/2006/relationships/hyperlink" TargetMode="External" Target="https://spark-interfax.ru/system/home/card#/company/17F7FD9C71CD42B3AEE05605A9AE083D/101"/><Relationship Id="rId8031" Type="http://schemas.openxmlformats.org/officeDocument/2006/relationships/hyperlink" TargetMode="External" Target="https://spark-interfax.ru/system/home/card#/company/407774B8B4A74EC7A59056886311C3CD/101"/><Relationship Id="rId8032" Type="http://schemas.openxmlformats.org/officeDocument/2006/relationships/hyperlink" TargetMode="External" Target="https://spark-interfax.ru/system/home/card#/company/732EA7E40A713F96E0531B9AA8C0DCB0/101"/><Relationship Id="rId8033" Type="http://schemas.openxmlformats.org/officeDocument/2006/relationships/hyperlink" TargetMode="External" Target="https://spark-interfax.ru/system/home/card#/company/553435DDB03046AFA47EC7BC823910EC/101"/><Relationship Id="rId8034" Type="http://schemas.openxmlformats.org/officeDocument/2006/relationships/hyperlink" TargetMode="External" Target="https://spark-interfax.ru/system/home/card#/company/08BC7F688F43415D9CA5B3FA9189F03C/101"/><Relationship Id="rId8035" Type="http://schemas.openxmlformats.org/officeDocument/2006/relationships/hyperlink" TargetMode="External" Target="https://spark-interfax.ru/system/home/card#/company/ED214DE3BA13487595DDDD3FEDF7D375/101"/><Relationship Id="rId8036" Type="http://schemas.openxmlformats.org/officeDocument/2006/relationships/hyperlink" TargetMode="External" Target="https://spark-interfax.ru/system/home/card#/company/B01A26EC8D37440C9F0437E533A4D406/101"/><Relationship Id="rId8037" Type="http://schemas.openxmlformats.org/officeDocument/2006/relationships/hyperlink" TargetMode="External" Target="https://spark-interfax.ru/system/home/card#/company/E06B97EAC64E4E079AFB4DCD654EDE4F/101"/><Relationship Id="rId8038" Type="http://schemas.openxmlformats.org/officeDocument/2006/relationships/hyperlink" TargetMode="External" Target="https://spark-interfax.ru/system/home/card#/company/9004E711ADAF45F2A6E7F1A2F5BBB423/101"/><Relationship Id="rId8039" Type="http://schemas.openxmlformats.org/officeDocument/2006/relationships/hyperlink" TargetMode="External" Target="https://spark-interfax.ru/system/home/card#/company/8F6CE070110C4232BDEAACC67D372AD7/101"/><Relationship Id="rId8040" Type="http://schemas.openxmlformats.org/officeDocument/2006/relationships/hyperlink" TargetMode="External" Target="https://spark-interfax.ru/system/home/card#/company/59DE4EEFF380456FB7F2821269EE139F/101"/><Relationship Id="rId8041" Type="http://schemas.openxmlformats.org/officeDocument/2006/relationships/hyperlink" TargetMode="External" Target="https://spark-interfax.ru/system/home/card#/company/BD1F140C550B38ACE053219AA8C021D0/101"/><Relationship Id="rId8042" Type="http://schemas.openxmlformats.org/officeDocument/2006/relationships/hyperlink" TargetMode="External" Target="https://spark-interfax.ru/system/home/card#/company/D4B5ABB374A243FAB0E0FCF834462B1F/101"/><Relationship Id="rId8043" Type="http://schemas.openxmlformats.org/officeDocument/2006/relationships/hyperlink" TargetMode="External" Target="https://spark-interfax.ru/system/home/card#/company/15CEDAE511174375B06476315547945A/101"/><Relationship Id="rId8044" Type="http://schemas.openxmlformats.org/officeDocument/2006/relationships/hyperlink" TargetMode="External" Target="https://spark-interfax.ru/system/home/card#/company/001C8668F8A4424C88800CE54B127712/101"/><Relationship Id="rId8045" Type="http://schemas.openxmlformats.org/officeDocument/2006/relationships/hyperlink" TargetMode="External" Target="https://spark-interfax.ru/system/home/card#/company/F81E91F71CA6426D8CAD131FF7FAC3B1/101"/><Relationship Id="rId8046" Type="http://schemas.openxmlformats.org/officeDocument/2006/relationships/hyperlink" TargetMode="External" Target="https://spark-interfax.ru/system/home/card#/company/546A5442F0CF40CE8AD7B4D690EBC332/101"/><Relationship Id="rId8047" Type="http://schemas.openxmlformats.org/officeDocument/2006/relationships/hyperlink" TargetMode="External" Target="https://spark-interfax.ru/system/home/card#/company/974BB9E4D6D54B9C80357386F8CC4547/101"/><Relationship Id="rId8048" Type="http://schemas.openxmlformats.org/officeDocument/2006/relationships/hyperlink" TargetMode="External" Target="https://spark-interfax.ru/system/home/card#/company/657DC850CE9A419288D045454044F88F/101"/><Relationship Id="rId8049" Type="http://schemas.openxmlformats.org/officeDocument/2006/relationships/hyperlink" TargetMode="External" Target="https://spark-interfax.ru/system/home/card#/company/357EE5F23AD545B9BEE3CB21A0BF31FC/101"/><Relationship Id="rId8050" Type="http://schemas.openxmlformats.org/officeDocument/2006/relationships/hyperlink" TargetMode="External" Target="https://spark-interfax.ru/system/home/card#/company/A89C320762634A179C190EEE86500F7C/101"/><Relationship Id="rId8051" Type="http://schemas.openxmlformats.org/officeDocument/2006/relationships/hyperlink" TargetMode="External" Target="https://spark-interfax.ru/system/home/card#/company/9296E765FF954B6C89E5CD8032C16515/101"/><Relationship Id="rId8052" Type="http://schemas.openxmlformats.org/officeDocument/2006/relationships/hyperlink" TargetMode="External" Target="https://spark-interfax.ru/system/home/card#/company/B6FCE6498F194D2DA6477FEA0CE906A9/101"/><Relationship Id="rId8053" Type="http://schemas.openxmlformats.org/officeDocument/2006/relationships/hyperlink" TargetMode="External" Target="https://spark-interfax.ru/system/home/card#/company/DBE172F874A440EB8DA0BD492EF64E88/101"/><Relationship Id="rId8054" Type="http://schemas.openxmlformats.org/officeDocument/2006/relationships/hyperlink" TargetMode="External" Target="https://spark-interfax.ru/system/home/card#/company/5D048756554838D0E0531C9AA8C0E6A4/101"/><Relationship Id="rId8055" Type="http://schemas.openxmlformats.org/officeDocument/2006/relationships/hyperlink" TargetMode="External" Target="https://spark-interfax.ru/system/home/card#/company/E48331F944E44400A7B063A196A56E05/101"/><Relationship Id="rId8056" Type="http://schemas.openxmlformats.org/officeDocument/2006/relationships/hyperlink" TargetMode="External" Target="https://spark-interfax.ru/system/home/card#/company/979D65C7AE1D4995BD17EC9E34EB5735/101"/><Relationship Id="rId8057" Type="http://schemas.openxmlformats.org/officeDocument/2006/relationships/hyperlink" TargetMode="External" Target="https://spark-interfax.ru/system/home/card#/company/89FBEE1D5A07435ABB93C5E39FD0F363/101"/><Relationship Id="rId8058" Type="http://schemas.openxmlformats.org/officeDocument/2006/relationships/hyperlink" TargetMode="External" Target="https://spark-interfax.ru/system/home/card#/company/D1D297DA50D24A07BE71FC25AEE71B1A/101"/><Relationship Id="rId8059" Type="http://schemas.openxmlformats.org/officeDocument/2006/relationships/hyperlink" TargetMode="External" Target="https://spark-interfax.ru/system/home/card#/company/6D3C749D67334FC1917BD0AAEF4D38BE/101"/><Relationship Id="rId8060" Type="http://schemas.openxmlformats.org/officeDocument/2006/relationships/hyperlink" TargetMode="External" Target="https://spark-interfax.ru/system/home/card#/company/2A1CB5EECF43470FA2CB66F0CB4DBD84/101"/><Relationship Id="rId8061" Type="http://schemas.openxmlformats.org/officeDocument/2006/relationships/hyperlink" TargetMode="External" Target="https://spark-interfax.ru/system/home/card#/company/EF35774391614F22A75F352BBEAE420B/101"/><Relationship Id="rId8062" Type="http://schemas.openxmlformats.org/officeDocument/2006/relationships/hyperlink" TargetMode="External" Target="https://spark-interfax.ru/system/home/card#/company/6ADD7727753B40FF85DCB6B7E849B808/101"/><Relationship Id="rId8063" Type="http://schemas.openxmlformats.org/officeDocument/2006/relationships/hyperlink" TargetMode="External" Target="https://spark-interfax.ru/system/home/card#/company/AEE69E1AC2D94F759F23594A08B40900/101"/><Relationship Id="rId8064" Type="http://schemas.openxmlformats.org/officeDocument/2006/relationships/hyperlink" TargetMode="External" Target="https://spark-interfax.ru/system/home/card#/company/7042B6B7D83341E6822A001F4922152F/101"/><Relationship Id="rId8065" Type="http://schemas.openxmlformats.org/officeDocument/2006/relationships/hyperlink" TargetMode="External" Target="https://spark-interfax.ru/system/home/card#/company/F18E977B91294185BFCA13FE0B66C060/101"/><Relationship Id="rId8066" Type="http://schemas.openxmlformats.org/officeDocument/2006/relationships/hyperlink" TargetMode="External" Target="https://spark-interfax.ru/system/home/card#/company/C44F89E1DE0B4743876AC0BD10430E6B/101"/><Relationship Id="rId8067" Type="http://schemas.openxmlformats.org/officeDocument/2006/relationships/hyperlink" TargetMode="External" Target="https://spark-interfax.ru/system/home/card#/company/5997A1BA19654F628952BA1E3F5FF713/101"/><Relationship Id="rId8068" Type="http://schemas.openxmlformats.org/officeDocument/2006/relationships/hyperlink" TargetMode="External" Target="https://spark-interfax.ru/system/home/card#/company/D2A41F1A7391412895F46C37AD832E4F/101"/><Relationship Id="rId8069" Type="http://schemas.openxmlformats.org/officeDocument/2006/relationships/hyperlink" TargetMode="External" Target="https://spark-interfax.ru/system/home/card#/company/0DC352A599974492B930286912DB70C9/101"/><Relationship Id="rId8070" Type="http://schemas.openxmlformats.org/officeDocument/2006/relationships/hyperlink" TargetMode="External" Target="https://spark-interfax.ru/system/home/card#/company/749D296B631E4375AEBAAFD8F050B1A2/101"/><Relationship Id="rId8071" Type="http://schemas.openxmlformats.org/officeDocument/2006/relationships/hyperlink" TargetMode="External" Target="https://spark-interfax.ru/system/home/card#/company/71E9EA3615904FA5A9077F6A731D4715/101"/><Relationship Id="rId8072" Type="http://schemas.openxmlformats.org/officeDocument/2006/relationships/hyperlink" TargetMode="External" Target="https://spark-interfax.ru/system/home/card#/company/424BCC49ACA940C4BA985079AE061032/101"/><Relationship Id="rId8073" Type="http://schemas.openxmlformats.org/officeDocument/2006/relationships/hyperlink" TargetMode="External" Target="https://spark-interfax.ru/system/home/card#/company/2734723374ED4456A6311BAD011EA66F/101"/><Relationship Id="rId8074" Type="http://schemas.openxmlformats.org/officeDocument/2006/relationships/hyperlink" TargetMode="External" Target="https://spark-interfax.ru/system/home/card#/company/0EB28215922F43C490729CB610BC1390/101"/><Relationship Id="rId8075" Type="http://schemas.openxmlformats.org/officeDocument/2006/relationships/hyperlink" TargetMode="External" Target="https://spark-interfax.ru/system/home/card#/company/18202D04EA3C49E39C2763C197E8E841/101"/><Relationship Id="rId8076" Type="http://schemas.openxmlformats.org/officeDocument/2006/relationships/hyperlink" TargetMode="External" Target="https://spark-interfax.ru/system/home/card#/company/243DB6923F1149E8B9C886F0E892FD18/101"/><Relationship Id="rId8077" Type="http://schemas.openxmlformats.org/officeDocument/2006/relationships/hyperlink" TargetMode="External" Target="https://spark-interfax.ru/system/home/card#/company/5AD1D22D00438544E0531C9AA8C046DB/101"/><Relationship Id="rId8078" Type="http://schemas.openxmlformats.org/officeDocument/2006/relationships/hyperlink" TargetMode="External" Target="https://spark-interfax.ru/system/home/card#/company/D4109B58D5D040FCA3BB2463E5897B24/101"/><Relationship Id="rId8079" Type="http://schemas.openxmlformats.org/officeDocument/2006/relationships/hyperlink" TargetMode="External" Target="https://spark-interfax.ru/system/home/card#/company/BB08531178934BD29C312B673C28E81D/101"/><Relationship Id="rId8080" Type="http://schemas.openxmlformats.org/officeDocument/2006/relationships/hyperlink" TargetMode="External" Target="https://spark-interfax.ru/system/home/card#/company/7435492227CC2F16E0531B9AA8C046B5/101"/><Relationship Id="rId8081" Type="http://schemas.openxmlformats.org/officeDocument/2006/relationships/hyperlink" TargetMode="External" Target="https://spark-interfax.ru/system/home/card#/company/24900A21DF16452E8DC6D8497F7D23B1/101"/><Relationship Id="rId8082" Type="http://schemas.openxmlformats.org/officeDocument/2006/relationships/hyperlink" TargetMode="External" Target="https://spark-interfax.ru/system/home/card#/company/866E865F3087242BE0531B9AA8C09F7B/101"/><Relationship Id="rId8083" Type="http://schemas.openxmlformats.org/officeDocument/2006/relationships/hyperlink" TargetMode="External" Target="https://spark-interfax.ru/system/home/card#/company/CD5D1A7B436F44ED9BF6ECF5080072CE/101"/><Relationship Id="rId8084" Type="http://schemas.openxmlformats.org/officeDocument/2006/relationships/hyperlink" TargetMode="External" Target="https://spark-interfax.ru/system/home/card#/company/4D5FCCB37A354BF28CBBAA2754FA7AF1/101"/><Relationship Id="rId8085" Type="http://schemas.openxmlformats.org/officeDocument/2006/relationships/hyperlink" TargetMode="External" Target="https://spark-interfax.ru/system/home/card#/company/236F35E9082047BEAF5E453CA4668D4B/101"/><Relationship Id="rId8086" Type="http://schemas.openxmlformats.org/officeDocument/2006/relationships/hyperlink" TargetMode="External" Target="https://spark-interfax.ru/system/home/card#/company/C4BA7F2BCFD24F9F8664CC1671E93368/101"/><Relationship Id="rId8087" Type="http://schemas.openxmlformats.org/officeDocument/2006/relationships/hyperlink" TargetMode="External" Target="https://spark-interfax.ru/system/home/card#/company/670737B0627142B8820A594719530E8B/101"/><Relationship Id="rId8088" Type="http://schemas.openxmlformats.org/officeDocument/2006/relationships/hyperlink" TargetMode="External" Target="https://spark-interfax.ru/system/home/card#/company/3A5931AB4809402BB454372E8701FA55/101"/><Relationship Id="rId8089" Type="http://schemas.openxmlformats.org/officeDocument/2006/relationships/hyperlink" TargetMode="External" Target="https://spark-interfax.ru/system/home/card#/company/D40E6CE7AC2B47BEA4E59CFB7E4957D0/101"/><Relationship Id="rId8090" Type="http://schemas.openxmlformats.org/officeDocument/2006/relationships/hyperlink" TargetMode="External" Target="https://spark-interfax.ru/system/home/card#/company/220416F1679D4CCD892CEA03D175A53F/101"/><Relationship Id="rId8091" Type="http://schemas.openxmlformats.org/officeDocument/2006/relationships/hyperlink" TargetMode="External" Target="https://spark-interfax.ru/system/home/card#/company/2AB7FF8D6D4B43198885E3C81B99C215/101"/><Relationship Id="rId8092" Type="http://schemas.openxmlformats.org/officeDocument/2006/relationships/hyperlink" TargetMode="External" Target="https://spark-interfax.ru/system/home/card#/company/62191E63041743218CF210257449AF60/101"/><Relationship Id="rId8093" Type="http://schemas.openxmlformats.org/officeDocument/2006/relationships/hyperlink" TargetMode="External" Target="https://spark-interfax.ru/system/home/card#/company/99EFC9D503AA4B6C99CAD745C8266446/101"/><Relationship Id="rId8094" Type="http://schemas.openxmlformats.org/officeDocument/2006/relationships/hyperlink" TargetMode="External" Target="https://spark-interfax.ru/system/home/card#/company/8775AF3A2BED7F79E0531B9AA8C0C0EF/101"/><Relationship Id="rId8095" Type="http://schemas.openxmlformats.org/officeDocument/2006/relationships/hyperlink" TargetMode="External" Target="https://spark-interfax.ru/system/home/card#/company/AC3A63C6CE0B5D53E053189AA8C06FB3/101"/><Relationship Id="rId8096" Type="http://schemas.openxmlformats.org/officeDocument/2006/relationships/hyperlink" TargetMode="External" Target="https://spark-interfax.ru/system/home/card#/company/0C5FC705D16E4F48ACB90B5CCD7D6F35/101"/><Relationship Id="rId8097" Type="http://schemas.openxmlformats.org/officeDocument/2006/relationships/hyperlink" TargetMode="External" Target="https://spark-interfax.ru/system/home/card#/company/DB4DCB0E3AF04D07AD09FB324C99DAF5/101"/><Relationship Id="rId8098" Type="http://schemas.openxmlformats.org/officeDocument/2006/relationships/hyperlink" TargetMode="External" Target="https://spark-interfax.ru/system/home/card#/company/A7D53A6746FF1866E053189AA8C02A18/101"/><Relationship Id="rId8099" Type="http://schemas.openxmlformats.org/officeDocument/2006/relationships/hyperlink" TargetMode="External" Target="https://spark-interfax.ru/system/home/card#/company/8E0D02E23FD141B7A600A09C1C22535C/101"/><Relationship Id="rId8100" Type="http://schemas.openxmlformats.org/officeDocument/2006/relationships/hyperlink" TargetMode="External" Target="https://spark-interfax.ru/system/home/card#/company/2E62D068C67841CE9586ABBAC8591FB4/101"/><Relationship Id="rId8101" Type="http://schemas.openxmlformats.org/officeDocument/2006/relationships/hyperlink" TargetMode="External" Target="https://spark-interfax.ru/system/home/card#/company/F5CB0447050940D6AEA5D9D74CCC4F6E/101"/><Relationship Id="rId8102" Type="http://schemas.openxmlformats.org/officeDocument/2006/relationships/hyperlink" TargetMode="External" Target="https://spark-interfax.ru/system/home/card#/company/0C48A43D7294447B81F65DFCBCE3B6FA/101"/><Relationship Id="rId8103" Type="http://schemas.openxmlformats.org/officeDocument/2006/relationships/hyperlink" TargetMode="External" Target="https://spark-interfax.ru/system/home/card#/company/E07C959C91E44DE3AD266CA7B675B1F8/101"/><Relationship Id="rId8104" Type="http://schemas.openxmlformats.org/officeDocument/2006/relationships/hyperlink" TargetMode="External" Target="https://spark-interfax.ru/system/home/card#/company/E078E7EE432C43D8B99BF52F8E5EE5B7/101"/><Relationship Id="rId8105" Type="http://schemas.openxmlformats.org/officeDocument/2006/relationships/hyperlink" TargetMode="External" Target="https://spark-interfax.ru/system/home/card#/company/1D9089E0D217437585425D6AB442B261/101"/><Relationship Id="rId8106" Type="http://schemas.openxmlformats.org/officeDocument/2006/relationships/hyperlink" TargetMode="External" Target="https://spark-interfax.ru/system/home/card#/company/A33004382EDE45F987A774E84033BFA1/101"/><Relationship Id="rId8107" Type="http://schemas.openxmlformats.org/officeDocument/2006/relationships/hyperlink" TargetMode="External" Target="https://spark-interfax.ru/system/home/card#/company/6985E4B832B768D1E0531B9AA8C028F0/101"/><Relationship Id="rId8108" Type="http://schemas.openxmlformats.org/officeDocument/2006/relationships/hyperlink" TargetMode="External" Target="https://spark-interfax.ru/system/home/card#/company/306B15D554454B7088680D21950A2DED/101"/><Relationship Id="rId8109" Type="http://schemas.openxmlformats.org/officeDocument/2006/relationships/hyperlink" TargetMode="External" Target="https://spark-interfax.ru/system/home/card#/company/F2B85BE01B1D4429BC0D222FE7A987E3/101"/><Relationship Id="rId8110" Type="http://schemas.openxmlformats.org/officeDocument/2006/relationships/hyperlink" TargetMode="External" Target="https://spark-interfax.ru/system/home/card#/company/02EE03259F26409BAFB97CA483CF1DFA/101"/><Relationship Id="rId8111" Type="http://schemas.openxmlformats.org/officeDocument/2006/relationships/hyperlink" TargetMode="External" Target="https://spark-interfax.ru/system/home/card#/company/F87D7DA7D534441E81F6255532C92552/101"/><Relationship Id="rId8112" Type="http://schemas.openxmlformats.org/officeDocument/2006/relationships/hyperlink" TargetMode="External" Target="https://spark-interfax.ru/system/home/card#/company/B2323DF89AB1431BA6199D3F09F6BE02/101"/><Relationship Id="rId8113" Type="http://schemas.openxmlformats.org/officeDocument/2006/relationships/hyperlink" TargetMode="External" Target="https://spark-interfax.ru/system/home/card#/company/73A1063A42FA4ECBA26D4D4C8908E295/101"/><Relationship Id="rId8114" Type="http://schemas.openxmlformats.org/officeDocument/2006/relationships/hyperlink" TargetMode="External" Target="https://spark-interfax.ru/system/home/card#/company/63F066CD30823262E0531B9AA8C0F31F/101"/><Relationship Id="rId8115" Type="http://schemas.openxmlformats.org/officeDocument/2006/relationships/hyperlink" TargetMode="External" Target="https://spark-interfax.ru/system/home/card#/company/194F82F21C3243E5B08FB008A3F71CD8/101"/><Relationship Id="rId8116" Type="http://schemas.openxmlformats.org/officeDocument/2006/relationships/hyperlink" TargetMode="External" Target="https://spark-interfax.ru/system/home/card#/company/93E4439404334C29BC2C1BB0F49715E4/101"/><Relationship Id="rId8117" Type="http://schemas.openxmlformats.org/officeDocument/2006/relationships/hyperlink" TargetMode="External" Target="https://spark-interfax.ru/system/home/card#/company/B9FAD038C05C6E6BE053219AA8C03805/101"/><Relationship Id="rId8118" Type="http://schemas.openxmlformats.org/officeDocument/2006/relationships/hyperlink" TargetMode="External" Target="https://spark-interfax.ru/system/home/card#/company/3D64098738AE442384814C7F1C130635/101"/><Relationship Id="rId8119" Type="http://schemas.openxmlformats.org/officeDocument/2006/relationships/hyperlink" TargetMode="External" Target="https://spark-interfax.ru/system/home/card#/company/87EE7319152C486CB1E02B7A75593FF0/101"/><Relationship Id="rId8120" Type="http://schemas.openxmlformats.org/officeDocument/2006/relationships/hyperlink" TargetMode="External" Target="https://spark-interfax.ru/system/home/card#/company/D40572DF0EB345B78C688D6072D22659/101"/><Relationship Id="rId8121" Type="http://schemas.openxmlformats.org/officeDocument/2006/relationships/hyperlink" TargetMode="External" Target="https://spark-interfax.ru/system/home/card#/company/AFD8497D1DAC2334E053189AA8C0FDF9/101"/><Relationship Id="rId8122" Type="http://schemas.openxmlformats.org/officeDocument/2006/relationships/hyperlink" TargetMode="External" Target="https://spark-interfax.ru/system/home/card#/company/42E6F212F60143F5AD8DEDBC662AAAB8/101"/><Relationship Id="rId8123" Type="http://schemas.openxmlformats.org/officeDocument/2006/relationships/hyperlink" TargetMode="External" Target="https://spark-interfax.ru/system/home/card#/company/DE47AF096DC2476786866D3EEA4AF760/101"/><Relationship Id="rId8124" Type="http://schemas.openxmlformats.org/officeDocument/2006/relationships/hyperlink" TargetMode="External" Target="https://spark-interfax.ru/system/home/card#/company/5E05BE2AFDFD4E02A7A8E90BC12419D1/101"/><Relationship Id="rId8125" Type="http://schemas.openxmlformats.org/officeDocument/2006/relationships/hyperlink" TargetMode="External" Target="https://spark-interfax.ru/system/home/card#/company/B088416B6DB749238BB4E6EEBCF8D3A3/101"/><Relationship Id="rId8126" Type="http://schemas.openxmlformats.org/officeDocument/2006/relationships/hyperlink" TargetMode="External" Target="https://spark-interfax.ru/system/home/card#/company/00FABA6AF24F49768222AD43FDED1737/101"/><Relationship Id="rId8127" Type="http://schemas.openxmlformats.org/officeDocument/2006/relationships/hyperlink" TargetMode="External" Target="https://spark-interfax.ru/system/home/card#/company/BBDDED566E9E42FCB940CF0C64CEF17F/101"/><Relationship Id="rId8128" Type="http://schemas.openxmlformats.org/officeDocument/2006/relationships/hyperlink" TargetMode="External" Target="https://spark-interfax.ru/system/home/card#/company/EB6DF62D64DE4317B9C6E4333A8742BC/101"/><Relationship Id="rId8129" Type="http://schemas.openxmlformats.org/officeDocument/2006/relationships/hyperlink" TargetMode="External" Target="https://spark-interfax.ru/system/home/card#/company/21BF4A9946884766A8911100C8F20998/101"/><Relationship Id="rId8130" Type="http://schemas.openxmlformats.org/officeDocument/2006/relationships/hyperlink" TargetMode="External" Target="https://spark-interfax.ru/system/home/card#/company/0A0C04A860D7494EBFD248973F1604E0/101"/><Relationship Id="rId8131" Type="http://schemas.openxmlformats.org/officeDocument/2006/relationships/hyperlink" TargetMode="External" Target="https://spark-interfax.ru/system/home/card#/company/A0E2D455368F4ECDAC67727AE664C8F2/101"/><Relationship Id="rId8132" Type="http://schemas.openxmlformats.org/officeDocument/2006/relationships/hyperlink" TargetMode="External" Target="https://spark-interfax.ru/system/home/card#/company/ABFC1F3B761046E8A759DEA75BED05AD/101"/><Relationship Id="rId8133" Type="http://schemas.openxmlformats.org/officeDocument/2006/relationships/hyperlink" TargetMode="External" Target="https://spark-interfax.ru/system/home/card#/company/38D84052EC42406C9D3CD4C4994A633F/101"/><Relationship Id="rId8134" Type="http://schemas.openxmlformats.org/officeDocument/2006/relationships/hyperlink" TargetMode="External" Target="https://spark-interfax.ru/system/home/card#/company/FB9F2D7A54F44386959A40BA46FD18B8/101"/><Relationship Id="rId8135" Type="http://schemas.openxmlformats.org/officeDocument/2006/relationships/hyperlink" TargetMode="External" Target="https://spark-interfax.ru/system/home/card#/company/B2E6974A3FD4476EAFE84E2D295238B4/101"/><Relationship Id="rId8136" Type="http://schemas.openxmlformats.org/officeDocument/2006/relationships/hyperlink" TargetMode="External" Target="https://spark-interfax.ru/system/home/card#/company/4C43B07132EA44018435D61BA5428546/101"/><Relationship Id="rId8137" Type="http://schemas.openxmlformats.org/officeDocument/2006/relationships/hyperlink" TargetMode="External" Target="https://spark-interfax.ru/system/home/card#/company/8877BD8EF897481F93ED2918B0471C8B/101"/><Relationship Id="rId8138" Type="http://schemas.openxmlformats.org/officeDocument/2006/relationships/hyperlink" TargetMode="External" Target="https://spark-interfax.ru/system/home/card#/company/1D29628389024BD39A6A07BA69BB1503/101"/><Relationship Id="rId8139" Type="http://schemas.openxmlformats.org/officeDocument/2006/relationships/hyperlink" TargetMode="External" Target="https://spark-interfax.ru/system/home/card#/company/DE06A90DC88342D682E128218A8FC987/101"/><Relationship Id="rId8140" Type="http://schemas.openxmlformats.org/officeDocument/2006/relationships/hyperlink" TargetMode="External" Target="https://spark-interfax.ru/system/home/card#/company/B08E2D59C681495EB75F1F54EC3842FD/101"/><Relationship Id="rId8141" Type="http://schemas.openxmlformats.org/officeDocument/2006/relationships/hyperlink" TargetMode="External" Target="https://spark-interfax.ru/system/home/card#/company/E5FA86C7ACB94F688F14E3F078CDB5C4/101"/><Relationship Id="rId8142" Type="http://schemas.openxmlformats.org/officeDocument/2006/relationships/hyperlink" TargetMode="External" Target="https://spark-interfax.ru/system/home/card#/company/7A5606ED4A5341E2B518F3A63CC015CC/101"/><Relationship Id="rId8143" Type="http://schemas.openxmlformats.org/officeDocument/2006/relationships/hyperlink" TargetMode="External" Target="https://spark-interfax.ru/system/home/card#/company/647D2CB18DDC43CDA22E1B60AD866264/101"/><Relationship Id="rId8144" Type="http://schemas.openxmlformats.org/officeDocument/2006/relationships/hyperlink" TargetMode="External" Target="https://spark-interfax.ru/system/home/card#/company/4B0C567C69524AAFB2AA5C282B7B0A00/101"/><Relationship Id="rId8145" Type="http://schemas.openxmlformats.org/officeDocument/2006/relationships/hyperlink" TargetMode="External" Target="https://spark-interfax.ru/system/home/card#/company/B2DF8AEDA02C48E6817C4412367C51C6/101"/><Relationship Id="rId8146" Type="http://schemas.openxmlformats.org/officeDocument/2006/relationships/hyperlink" TargetMode="External" Target="https://spark-interfax.ru/system/home/card#/company/1A29A8DC78AC4048BD651FE5E5724059/101"/><Relationship Id="rId8147" Type="http://schemas.openxmlformats.org/officeDocument/2006/relationships/hyperlink" TargetMode="External" Target="https://spark-interfax.ru/system/home/card#/company/21F4FFCB44664462BC0C742AF8ABAB48/101"/><Relationship Id="rId8148" Type="http://schemas.openxmlformats.org/officeDocument/2006/relationships/hyperlink" TargetMode="External" Target="https://spark-interfax.ru/system/home/card#/company/C1D04A5A091E4E34B3B36FA3C23C9452/101"/><Relationship Id="rId8149" Type="http://schemas.openxmlformats.org/officeDocument/2006/relationships/hyperlink" TargetMode="External" Target="https://spark-interfax.ru/system/home/card#/company/C1ADA27B8A074EACAB098B124FDB9262/101"/><Relationship Id="rId8150" Type="http://schemas.openxmlformats.org/officeDocument/2006/relationships/hyperlink" TargetMode="External" Target="https://spark-interfax.ru/system/home/card#/company/9E6412B3464B4A27B0E43B469F32D491/101"/><Relationship Id="rId8151" Type="http://schemas.openxmlformats.org/officeDocument/2006/relationships/hyperlink" TargetMode="External" Target="https://spark-interfax.ru/system/home/card#/company/1D92FDA6ED9447A39DFE11931822A95E/101"/><Relationship Id="rId8152" Type="http://schemas.openxmlformats.org/officeDocument/2006/relationships/hyperlink" TargetMode="External" Target="https://spark-interfax.ru/system/home/card#/company/FD6993655C5F4FB99C4963E296197C94/101"/><Relationship Id="rId8153" Type="http://schemas.openxmlformats.org/officeDocument/2006/relationships/hyperlink" TargetMode="External" Target="https://spark-interfax.ru/system/home/card#/company/C518921EF7BF4541808A7F678F95086C/101"/><Relationship Id="rId8154" Type="http://schemas.openxmlformats.org/officeDocument/2006/relationships/hyperlink" TargetMode="External" Target="https://spark-interfax.ru/system/home/card#/company/49B57C18374449F89D2D19D8CBB0B65C/101"/><Relationship Id="rId8155" Type="http://schemas.openxmlformats.org/officeDocument/2006/relationships/hyperlink" TargetMode="External" Target="https://spark-interfax.ru/system/home/card#/company/FB0E388F374F4876A3AF91B8812D27B7/101"/><Relationship Id="rId8156" Type="http://schemas.openxmlformats.org/officeDocument/2006/relationships/hyperlink" TargetMode="External" Target="https://spark-interfax.ru/system/home/card#/company/00E2CC7B388146A995E9B983861D2E10/101"/><Relationship Id="rId8157" Type="http://schemas.openxmlformats.org/officeDocument/2006/relationships/hyperlink" TargetMode="External" Target="https://spark-interfax.ru/system/home/card#/company/81B7E219C45A3A59E0531B9AA8C0F6FD/101"/><Relationship Id="rId8158" Type="http://schemas.openxmlformats.org/officeDocument/2006/relationships/hyperlink" TargetMode="External" Target="https://spark-interfax.ru/system/home/card#/company/BC58011ED38D4DB2875F1CC5E32663CC/101"/><Relationship Id="rId8159" Type="http://schemas.openxmlformats.org/officeDocument/2006/relationships/hyperlink" TargetMode="External" Target="https://spark-interfax.ru/system/home/card#/company/705A410D66403EE3E0531B9AA8C037FA/101"/><Relationship Id="rId8160" Type="http://schemas.openxmlformats.org/officeDocument/2006/relationships/hyperlink" TargetMode="External" Target="https://spark-interfax.ru/system/home/card#/company/B4622831A6B94DA5A31CB93FB41C2FE4/101"/><Relationship Id="rId8161" Type="http://schemas.openxmlformats.org/officeDocument/2006/relationships/hyperlink" TargetMode="External" Target="https://spark-interfax.ru/system/home/card#/company/3052B3E2CB624C9392D8994884C0487F/101"/><Relationship Id="rId8162" Type="http://schemas.openxmlformats.org/officeDocument/2006/relationships/hyperlink" TargetMode="External" Target="https://spark-interfax.ru/system/home/card#/company/97B81B84835F5957E0531B9AA8C0B251/101"/><Relationship Id="rId8163" Type="http://schemas.openxmlformats.org/officeDocument/2006/relationships/hyperlink" TargetMode="External" Target="https://spark-interfax.ru/system/home/card#/company/05F1443FED714336B744D8584F174793/101"/><Relationship Id="rId8164" Type="http://schemas.openxmlformats.org/officeDocument/2006/relationships/hyperlink" TargetMode="External" Target="https://spark-interfax.ru/system/home/card#/company/5B5C47FE75F942ACA8485C7A16F3148F/101"/><Relationship Id="rId8165" Type="http://schemas.openxmlformats.org/officeDocument/2006/relationships/hyperlink" TargetMode="External" Target="https://spark-interfax.ru/system/home/card#/company/715286563DCE4566B0CF924998448430/101"/><Relationship Id="rId8166" Type="http://schemas.openxmlformats.org/officeDocument/2006/relationships/hyperlink" TargetMode="External" Target="https://spark-interfax.ru/system/home/card#/company/A859978718EB4168ABD8433BB09E4CEA/101"/><Relationship Id="rId8167" Type="http://schemas.openxmlformats.org/officeDocument/2006/relationships/hyperlink" TargetMode="External" Target="https://spark-interfax.ru/system/home/card#/company/5C63BBA0915803D2E0531C9AA8C09C60/101"/><Relationship Id="rId8168" Type="http://schemas.openxmlformats.org/officeDocument/2006/relationships/hyperlink" TargetMode="External" Target="https://spark-interfax.ru/system/home/card#/company/830E4633A6DF3E2EE0531B9AA8C00519/101"/><Relationship Id="rId8169" Type="http://schemas.openxmlformats.org/officeDocument/2006/relationships/hyperlink" TargetMode="External" Target="https://spark-interfax.ru/system/home/card#/company/7E9B9D36D58B417A8BDAE560B267FF59/101"/><Relationship Id="rId8170" Type="http://schemas.openxmlformats.org/officeDocument/2006/relationships/hyperlink" TargetMode="External" Target="https://spark-interfax.ru/system/home/card#/company/1365034F57CB45A18DB94D692AA421D5/101"/><Relationship Id="rId8171" Type="http://schemas.openxmlformats.org/officeDocument/2006/relationships/hyperlink" TargetMode="External" Target="https://spark-interfax.ru/system/home/card#/company/6AFF5DBACE764BB8878D87B36CB0B9D2/101"/><Relationship Id="rId8172" Type="http://schemas.openxmlformats.org/officeDocument/2006/relationships/hyperlink" TargetMode="External" Target="https://spark-interfax.ru/system/home/card#/company/8F27C70D7F3A66E4E0531B9AA8C0706A/101"/><Relationship Id="rId8173" Type="http://schemas.openxmlformats.org/officeDocument/2006/relationships/hyperlink" TargetMode="External" Target="https://spark-interfax.ru/system/home/card#/company/96D95E2854374B8B8945E814E55507C0/101"/><Relationship Id="rId8174" Type="http://schemas.openxmlformats.org/officeDocument/2006/relationships/hyperlink" TargetMode="External" Target="https://spark-interfax.ru/system/home/card#/company/D7E56C286F02425BA78D5ABE90EFCA27/101"/><Relationship Id="rId8175" Type="http://schemas.openxmlformats.org/officeDocument/2006/relationships/hyperlink" TargetMode="External" Target="https://spark-interfax.ru/system/home/card#/company/8267D0316FF143A3B6E428EE656B01F2/101"/><Relationship Id="rId8176" Type="http://schemas.openxmlformats.org/officeDocument/2006/relationships/hyperlink" TargetMode="External" Target="https://spark-interfax.ru/system/home/card#/company/77876412264347F8BF3D21E631FB8540/101"/><Relationship Id="rId8177" Type="http://schemas.openxmlformats.org/officeDocument/2006/relationships/hyperlink" TargetMode="External" Target="https://spark-interfax.ru/system/home/card#/company/374FDB23520447C08366F85A689CB693/101"/><Relationship Id="rId8178" Type="http://schemas.openxmlformats.org/officeDocument/2006/relationships/hyperlink" TargetMode="External" Target="https://spark-interfax.ru/system/home/card#/company/A541D36498544DBD906E70F9E1954B3F/101"/><Relationship Id="rId8179" Type="http://schemas.openxmlformats.org/officeDocument/2006/relationships/hyperlink" TargetMode="External" Target="https://spark-interfax.ru/system/home/card#/company/9E04297E682A42CEA202182826F9B6E2/101"/><Relationship Id="rId8180" Type="http://schemas.openxmlformats.org/officeDocument/2006/relationships/hyperlink" TargetMode="External" Target="https://spark-interfax.ru/system/home/card#/company/43EA378A73BE46DEA5F3558A97D72C7C/101"/><Relationship Id="rId8181" Type="http://schemas.openxmlformats.org/officeDocument/2006/relationships/hyperlink" TargetMode="External" Target="https://spark-interfax.ru/system/home/card#/company/915B457AE26744A0E0531B9AA8C0F09E/101"/><Relationship Id="rId8182" Type="http://schemas.openxmlformats.org/officeDocument/2006/relationships/hyperlink" TargetMode="External" Target="https://spark-interfax.ru/system/home/card#/company/3D993F943BCC42628FE1AB0D5C4ACEAE/101"/><Relationship Id="rId8183" Type="http://schemas.openxmlformats.org/officeDocument/2006/relationships/hyperlink" TargetMode="External" Target="https://spark-interfax.ru/system/home/card#/company/7BF07580C34C45B78B0AD1D6CABB650B/101"/><Relationship Id="rId8184" Type="http://schemas.openxmlformats.org/officeDocument/2006/relationships/hyperlink" TargetMode="External" Target="https://spark-interfax.ru/system/home/card#/company/71524457274D4FBC800BD95DE3D3F2B5/101"/><Relationship Id="rId8185" Type="http://schemas.openxmlformats.org/officeDocument/2006/relationships/hyperlink" TargetMode="External" Target="https://spark-interfax.ru/system/home/card#/company/8483F9AC576744BFA24E3CD2730C6779/101"/><Relationship Id="rId8186" Type="http://schemas.openxmlformats.org/officeDocument/2006/relationships/hyperlink" TargetMode="External" Target="https://spark-interfax.ru/system/home/card#/company/9612D1B17D9A5498E0531B9AA8C00604/101"/><Relationship Id="rId8187" Type="http://schemas.openxmlformats.org/officeDocument/2006/relationships/hyperlink" TargetMode="External" Target="https://spark-interfax.ru/system/home/card#/company/39F43DDF4E674099923096E76355D916/101"/><Relationship Id="rId8188" Type="http://schemas.openxmlformats.org/officeDocument/2006/relationships/hyperlink" TargetMode="External" Target="https://spark-interfax.ru/system/home/card#/company/768D8856CAF34E42BB1C569665CC66F1/101"/><Relationship Id="rId8189" Type="http://schemas.openxmlformats.org/officeDocument/2006/relationships/hyperlink" TargetMode="External" Target="https://spark-interfax.ru/system/home/card#/company/CF192ED4E18E426E9B9416BA53E9555B/101"/><Relationship Id="rId8190" Type="http://schemas.openxmlformats.org/officeDocument/2006/relationships/hyperlink" TargetMode="External" Target="https://spark-interfax.ru/system/home/card#/company/8686D66D76514FF8917D74047DD8B4CD/101"/><Relationship Id="rId8191" Type="http://schemas.openxmlformats.org/officeDocument/2006/relationships/hyperlink" TargetMode="External" Target="https://spark-interfax.ru/system/home/card#/company/4E59DD6D5D4844399043B87BCEB7559A/101"/><Relationship Id="rId8192" Type="http://schemas.openxmlformats.org/officeDocument/2006/relationships/hyperlink" TargetMode="External" Target="https://spark-interfax.ru/system/home/card#/company/5957FB26F42F41F9B0081C3FC35571A2/101"/><Relationship Id="rId8193" Type="http://schemas.openxmlformats.org/officeDocument/2006/relationships/hyperlink" TargetMode="External" Target="https://spark-interfax.ru/system/home/card#/company/921875FA658F430794D901B2957813FD/101"/><Relationship Id="rId8194" Type="http://schemas.openxmlformats.org/officeDocument/2006/relationships/hyperlink" TargetMode="External" Target="https://spark-interfax.ru/system/home/card#/company/3F6A0F7A2D7B48E186A124C5E099F558/101"/><Relationship Id="rId8195" Type="http://schemas.openxmlformats.org/officeDocument/2006/relationships/hyperlink" TargetMode="External" Target="https://spark-interfax.ru/system/home/card#/company/0F6849CC53EF4771BAC3C3AC962048A0/101"/><Relationship Id="rId8196" Type="http://schemas.openxmlformats.org/officeDocument/2006/relationships/hyperlink" TargetMode="External" Target="https://spark-interfax.ru/system/home/card#/company/7481495CAB6A46DDBCC860B17B1E82FF/101"/><Relationship Id="rId8197" Type="http://schemas.openxmlformats.org/officeDocument/2006/relationships/hyperlink" TargetMode="External" Target="https://spark-interfax.ru/system/home/card#/company/ED483A4F38B54B41A3186A64ACF0703B/101"/><Relationship Id="rId8198" Type="http://schemas.openxmlformats.org/officeDocument/2006/relationships/hyperlink" TargetMode="External" Target="https://spark-interfax.ru/system/home/card#/company/38A7F4742F4246D5BBAAD62168CA50DD/101"/><Relationship Id="rId8199" Type="http://schemas.openxmlformats.org/officeDocument/2006/relationships/hyperlink" TargetMode="External" Target="https://spark-interfax.ru/system/home/card#/company/6860E8248B99445389B5BA8350ACE911/101"/><Relationship Id="rId8200" Type="http://schemas.openxmlformats.org/officeDocument/2006/relationships/hyperlink" TargetMode="External" Target="https://spark-interfax.ru/system/home/card#/company/43DB24C8DC644CADAFFCF595C617FFC5/101"/><Relationship Id="rId8201" Type="http://schemas.openxmlformats.org/officeDocument/2006/relationships/hyperlink" TargetMode="External" Target="https://spark-interfax.ru/system/home/card#/company/9DFB5E1297624F0789EB34F0CA815C50/101"/><Relationship Id="rId8202" Type="http://schemas.openxmlformats.org/officeDocument/2006/relationships/hyperlink" TargetMode="External" Target="https://spark-interfax.ru/system/home/card#/company/1CACFC3CBE4044A79E1E360E21052B1D/101"/><Relationship Id="rId8203" Type="http://schemas.openxmlformats.org/officeDocument/2006/relationships/hyperlink" TargetMode="External" Target="https://spark-interfax.ru/system/home/card#/company/E29AD13BBE93405FE053259AA8C0E180/101"/><Relationship Id="rId8204" Type="http://schemas.openxmlformats.org/officeDocument/2006/relationships/hyperlink" TargetMode="External" Target="https://spark-interfax.ru/system/home/card#/company/4859B37F682B4439A3CDFE1D023D2C00/101"/><Relationship Id="rId8205" Type="http://schemas.openxmlformats.org/officeDocument/2006/relationships/hyperlink" TargetMode="External" Target="https://spark-interfax.ru/system/home/card#/company/4D4603118CCC4AE8A191E881753854A6/101"/><Relationship Id="rId8206" Type="http://schemas.openxmlformats.org/officeDocument/2006/relationships/hyperlink" TargetMode="External" Target="https://spark-interfax.ru/system/home/card#/company/14F3CF81FDAB40DFB685E9B0D0307A4F/101"/><Relationship Id="rId8207" Type="http://schemas.openxmlformats.org/officeDocument/2006/relationships/hyperlink" TargetMode="External" Target="https://spark-interfax.ru/system/home/card#/company/8AAD0D1071B44F019754B143A512A8EB/101"/><Relationship Id="rId8208" Type="http://schemas.openxmlformats.org/officeDocument/2006/relationships/hyperlink" TargetMode="External" Target="https://spark-interfax.ru/system/home/card#/company/EE0EEAF669A544838F78C3EEF264D08F/101"/><Relationship Id="rId8209" Type="http://schemas.openxmlformats.org/officeDocument/2006/relationships/hyperlink" TargetMode="External" Target="https://spark-interfax.ru/system/home/card#/company/F58BC3BE9EF9430793808A8EEF7966C1/101"/><Relationship Id="rId8210" Type="http://schemas.openxmlformats.org/officeDocument/2006/relationships/hyperlink" TargetMode="External" Target="https://spark-interfax.ru/system/home/card#/company/CB1BE22275262524E053219AA8C013F0/101"/><Relationship Id="rId8211" Type="http://schemas.openxmlformats.org/officeDocument/2006/relationships/hyperlink" TargetMode="External" Target="https://spark-interfax.ru/system/home/card#/company/43E63457CC154D67B2AC809EEDCF4A82/101"/><Relationship Id="rId8212" Type="http://schemas.openxmlformats.org/officeDocument/2006/relationships/hyperlink" TargetMode="External" Target="https://spark-interfax.ru/system/home/card#/company/EE47D5FBEF7A4603A23D69FD727D4B43/101"/><Relationship Id="rId8213" Type="http://schemas.openxmlformats.org/officeDocument/2006/relationships/hyperlink" TargetMode="External" Target="https://spark-interfax.ru/system/home/card#/company/DCCCA93C55BD435F9DFA671216C2412E/101"/><Relationship Id="rId8214" Type="http://schemas.openxmlformats.org/officeDocument/2006/relationships/hyperlink" TargetMode="External" Target="https://spark-interfax.ru/system/home/card#/company/470A6AB588B34F909FC3217AE434F63C/101"/><Relationship Id="rId8215" Type="http://schemas.openxmlformats.org/officeDocument/2006/relationships/hyperlink" TargetMode="External" Target="https://spark-interfax.ru/system/home/card#/company/C2B8E17352424D1E9C6B57EBE7872B41/101"/><Relationship Id="rId8216" Type="http://schemas.openxmlformats.org/officeDocument/2006/relationships/hyperlink" TargetMode="External" Target="https://spark-interfax.ru/system/home/card#/company/05219F8BAEB5427DA2FA21D9EBB0398B/101"/><Relationship Id="rId8217" Type="http://schemas.openxmlformats.org/officeDocument/2006/relationships/hyperlink" TargetMode="External" Target="https://spark-interfax.ru/system/home/card#/company/E751E8810F444E07A7B95CB0BD64C2E9/101"/><Relationship Id="rId8218" Type="http://schemas.openxmlformats.org/officeDocument/2006/relationships/hyperlink" TargetMode="External" Target="https://spark-interfax.ru/system/home/card#/company/1E64A52C5A06446CBD768C3CEA48C6FD/101"/><Relationship Id="rId8219" Type="http://schemas.openxmlformats.org/officeDocument/2006/relationships/hyperlink" TargetMode="External" Target="https://spark-interfax.ru/system/home/card#/company/2FFCDEA79AD1442CA5C54AEEB7612101/101"/><Relationship Id="rId8220" Type="http://schemas.openxmlformats.org/officeDocument/2006/relationships/hyperlink" TargetMode="External" Target="https://spark-interfax.ru/system/home/card#/company/059CA3A270AE4CF8BB4C072CCFCD09D3/101"/><Relationship Id="rId8221" Type="http://schemas.openxmlformats.org/officeDocument/2006/relationships/hyperlink" TargetMode="External" Target="https://spark-interfax.ru/system/home/card#/company/60E4B32F4F1E53D9E0531B9AA8C08BBB/101"/><Relationship Id="rId8222" Type="http://schemas.openxmlformats.org/officeDocument/2006/relationships/hyperlink" TargetMode="External" Target="https://spark-interfax.ru/system/home/card#/company/9AD54A0D34614ABA8A07C8A4F0C8E4A6/101"/><Relationship Id="rId8223" Type="http://schemas.openxmlformats.org/officeDocument/2006/relationships/hyperlink" TargetMode="External" Target="https://spark-interfax.ru/system/home/card#/company/6985E4B832E368D1E0531B9AA8C028F0/101"/><Relationship Id="rId8224" Type="http://schemas.openxmlformats.org/officeDocument/2006/relationships/hyperlink" TargetMode="External" Target="https://spark-interfax.ru/system/home/card#/company/E8CE9B1FAAFD413DA10083BF07139E53/101"/><Relationship Id="rId8225" Type="http://schemas.openxmlformats.org/officeDocument/2006/relationships/hyperlink" TargetMode="External" Target="https://spark-interfax.ru/system/home/card#/company/C4ED9994AFA2422A9FF5B37F0CEF8C31/101"/><Relationship Id="rId8226" Type="http://schemas.openxmlformats.org/officeDocument/2006/relationships/hyperlink" TargetMode="External" Target="https://spark-interfax.ru/system/home/card#/company/0F39B033299B43CC9C89C9279FF13DB9/101"/><Relationship Id="rId8227" Type="http://schemas.openxmlformats.org/officeDocument/2006/relationships/hyperlink" TargetMode="External" Target="https://spark-interfax.ru/system/home/card#/company/B7CFB88532BB4DDC9B0E159FC2300CDD/101"/><Relationship Id="rId8228" Type="http://schemas.openxmlformats.org/officeDocument/2006/relationships/hyperlink" TargetMode="External" Target="https://spark-interfax.ru/system/home/card#/company/EC4510D79A7B4DECA5EA449358FD0C31/101"/><Relationship Id="rId8229" Type="http://schemas.openxmlformats.org/officeDocument/2006/relationships/hyperlink" TargetMode="External" Target="https://spark-interfax.ru/system/home/card#/company/CCA2870C004A407280C20869D3FA6151/101"/><Relationship Id="rId8230" Type="http://schemas.openxmlformats.org/officeDocument/2006/relationships/hyperlink" TargetMode="External" Target="https://spark-interfax.ru/system/home/card#/company/A9E78C1F045E4CE1B778D87B7087033A/101"/><Relationship Id="rId8231" Type="http://schemas.openxmlformats.org/officeDocument/2006/relationships/hyperlink" TargetMode="External" Target="https://spark-interfax.ru/system/home/card#/company/8C0879DB76E94532893EE69F4C2BE406/101"/><Relationship Id="rId8232" Type="http://schemas.openxmlformats.org/officeDocument/2006/relationships/hyperlink" TargetMode="External" Target="https://spark-interfax.ru/system/home/card#/company/9221D79082EE4A648171634B6FB2B4CB/101"/><Relationship Id="rId8233" Type="http://schemas.openxmlformats.org/officeDocument/2006/relationships/hyperlink" TargetMode="External" Target="https://spark-interfax.ru/system/home/card#/company/935DBC7D64B2491DB39342BB1112D047/101"/><Relationship Id="rId8234" Type="http://schemas.openxmlformats.org/officeDocument/2006/relationships/hyperlink" TargetMode="External" Target="https://spark-interfax.ru/system/home/card#/company/9925199397D34B36961442CF2339BB65/101"/><Relationship Id="rId8235" Type="http://schemas.openxmlformats.org/officeDocument/2006/relationships/hyperlink" TargetMode="External" Target="https://spark-interfax.ru/system/home/card#/company/F7FFCED722E24B7291E18E5CF215E438/101"/><Relationship Id="rId8236" Type="http://schemas.openxmlformats.org/officeDocument/2006/relationships/hyperlink" TargetMode="External" Target="https://spark-interfax.ru/system/home/card#/company/FF7DB862AA5C488CA82F2A2DBB07065A/101"/><Relationship Id="rId8237" Type="http://schemas.openxmlformats.org/officeDocument/2006/relationships/hyperlink" TargetMode="External" Target="https://spark-interfax.ru/system/home/card#/company/E9BD39253B2A4D118BE9CA094E07E49C/101"/><Relationship Id="rId8238" Type="http://schemas.openxmlformats.org/officeDocument/2006/relationships/hyperlink" TargetMode="External" Target="https://spark-interfax.ru/system/home/card#/company/3E7CA47AC89B47FC80B213B457FABCE8/101"/><Relationship Id="rId8239" Type="http://schemas.openxmlformats.org/officeDocument/2006/relationships/hyperlink" TargetMode="External" Target="https://spark-interfax.ru/system/home/card#/company/570F2C5911594684A67FB825C5FC5043/101"/><Relationship Id="rId8240" Type="http://schemas.openxmlformats.org/officeDocument/2006/relationships/hyperlink" TargetMode="External" Target="https://spark-interfax.ru/system/home/card#/company/2274B902384E477F964A201EA8907DA2/101"/><Relationship Id="rId8241" Type="http://schemas.openxmlformats.org/officeDocument/2006/relationships/hyperlink" TargetMode="External" Target="https://spark-interfax.ru/system/home/card#/company/592B2E52AFCA42BEE0531C9AA8C00C94/101"/><Relationship Id="rId8242" Type="http://schemas.openxmlformats.org/officeDocument/2006/relationships/hyperlink" TargetMode="External" Target="https://spark-interfax.ru/system/home/card#/company/1863D95B65094D9594F053C82D0585D1/101"/><Relationship Id="rId8243" Type="http://schemas.openxmlformats.org/officeDocument/2006/relationships/hyperlink" TargetMode="External" Target="https://spark-interfax.ru/system/home/card#/company/215228C6E6D74395AEE4557E0B443195/101"/><Relationship Id="rId8244" Type="http://schemas.openxmlformats.org/officeDocument/2006/relationships/hyperlink" TargetMode="External" Target="https://spark-interfax.ru/system/home/card#/company/62C55767119B4043896A011B07CC1D4D/101"/><Relationship Id="rId8245" Type="http://schemas.openxmlformats.org/officeDocument/2006/relationships/hyperlink" TargetMode="External" Target="https://spark-interfax.ru/system/home/card#/company/9F5237974A564BDC8E5BF7DBF3AF7314/101"/><Relationship Id="rId8246" Type="http://schemas.openxmlformats.org/officeDocument/2006/relationships/hyperlink" TargetMode="External" Target="https://spark-interfax.ru/system/home/card#/company/AAE61AAF75F44BD0E053189AA8C03E8F/101"/><Relationship Id="rId8247" Type="http://schemas.openxmlformats.org/officeDocument/2006/relationships/hyperlink" TargetMode="External" Target="https://spark-interfax.ru/system/home/card#/company/6BE921B936404601877D516034F11981/101"/><Relationship Id="rId8248" Type="http://schemas.openxmlformats.org/officeDocument/2006/relationships/hyperlink" TargetMode="External" Target="https://spark-interfax.ru/system/home/card#/company/79E400EB73104F4BB371E2076E0E095F/101"/><Relationship Id="rId8249" Type="http://schemas.openxmlformats.org/officeDocument/2006/relationships/hyperlink" TargetMode="External" Target="https://spark-interfax.ru/system/home/card#/company/5534F48B615844D28C5D0CBC5F45FA4A/101"/><Relationship Id="rId8250" Type="http://schemas.openxmlformats.org/officeDocument/2006/relationships/hyperlink" TargetMode="External" Target="https://spark-interfax.ru/system/home/card#/company/C0AD80992540419B8860D34165ADA7C5/101"/><Relationship Id="rId8251" Type="http://schemas.openxmlformats.org/officeDocument/2006/relationships/hyperlink" TargetMode="External" Target="https://spark-interfax.ru/system/home/card#/company/5232688A815447E987B8718620CF76B8/101"/><Relationship Id="rId8252" Type="http://schemas.openxmlformats.org/officeDocument/2006/relationships/hyperlink" TargetMode="External" Target="https://spark-interfax.ru/system/home/card#/company/D137397C880C4B4690C9BD50236391B1/101"/><Relationship Id="rId8253" Type="http://schemas.openxmlformats.org/officeDocument/2006/relationships/hyperlink" TargetMode="External" Target="https://spark-interfax.ru/system/home/card#/company/80324BE29D4B4C3DAF2C46B02B730ADF/101"/><Relationship Id="rId8254" Type="http://schemas.openxmlformats.org/officeDocument/2006/relationships/hyperlink" TargetMode="External" Target="https://spark-interfax.ru/system/home/card#/company/64EE4F53C2FE4ACFB6CDB3C26FF9863B/101"/><Relationship Id="rId8255" Type="http://schemas.openxmlformats.org/officeDocument/2006/relationships/hyperlink" TargetMode="External" Target="https://spark-interfax.ru/system/home/card#/company/B9FF4042F2524E5B970DC3334E7AE38A/101"/><Relationship Id="rId8256" Type="http://schemas.openxmlformats.org/officeDocument/2006/relationships/hyperlink" TargetMode="External" Target="https://spark-interfax.ru/system/home/card#/company/AD9261BD5B5C44DE91D5994D1814DE4D/101"/><Relationship Id="rId8257" Type="http://schemas.openxmlformats.org/officeDocument/2006/relationships/hyperlink" TargetMode="External" Target="https://spark-interfax.ru/system/home/card#/company/D174997FC98842BB8F22C459D720ECFB/101"/><Relationship Id="rId8258" Type="http://schemas.openxmlformats.org/officeDocument/2006/relationships/hyperlink" TargetMode="External" Target="https://spark-interfax.ru/system/home/card#/company/714F2525785840288B9C0D6075242082/101"/><Relationship Id="rId8259" Type="http://schemas.openxmlformats.org/officeDocument/2006/relationships/hyperlink" TargetMode="External" Target="https://spark-interfax.ru/system/home/card#/company/F6E9F9004722445F918AE34579D202AE/101"/><Relationship Id="rId8260" Type="http://schemas.openxmlformats.org/officeDocument/2006/relationships/hyperlink" TargetMode="External" Target="https://spark-interfax.ru/system/home/card#/company/CC996EF10A7440F8B90DC9E00B85973D/101"/><Relationship Id="rId8261" Type="http://schemas.openxmlformats.org/officeDocument/2006/relationships/hyperlink" TargetMode="External" Target="https://spark-interfax.ru/system/home/card#/company/CCEE03D91FF94DBF85C2BCB5D9381691/101"/><Relationship Id="rId8262" Type="http://schemas.openxmlformats.org/officeDocument/2006/relationships/hyperlink" TargetMode="External" Target="https://spark-interfax.ru/system/home/card#/company/AC4B649A646B4B3C800191DC3F4798AE/101"/><Relationship Id="rId8263" Type="http://schemas.openxmlformats.org/officeDocument/2006/relationships/hyperlink" TargetMode="External" Target="https://spark-interfax.ru/system/home/card#/company/B46675F4382440B3B916E89EC527AB43/101"/><Relationship Id="rId8264" Type="http://schemas.openxmlformats.org/officeDocument/2006/relationships/hyperlink" TargetMode="External" Target="https://spark-interfax.ru/system/home/card#/company/187C625E37864E50A30F0038CB318EFE/101"/><Relationship Id="rId8265" Type="http://schemas.openxmlformats.org/officeDocument/2006/relationships/hyperlink" TargetMode="External" Target="https://spark-interfax.ru/system/home/card#/company/27C76947DC744810A1FB3A080BAA0B49/101"/><Relationship Id="rId8266" Type="http://schemas.openxmlformats.org/officeDocument/2006/relationships/hyperlink" TargetMode="External" Target="https://spark-interfax.ru/system/home/card#/company/B5DE74FA6B5F43B6AE4E471A16544F7B/101"/><Relationship Id="rId8267" Type="http://schemas.openxmlformats.org/officeDocument/2006/relationships/hyperlink" TargetMode="External" Target="https://spark-interfax.ru/system/home/card#/company/DBB9C025BE164528A4C226B4F282CA5A/101"/><Relationship Id="rId8268" Type="http://schemas.openxmlformats.org/officeDocument/2006/relationships/hyperlink" TargetMode="External" Target="https://spark-interfax.ru/system/home/card#/company/713E4A1620C2486F994C785A5F087E39/101"/><Relationship Id="rId8269" Type="http://schemas.openxmlformats.org/officeDocument/2006/relationships/hyperlink" TargetMode="External" Target="https://spark-interfax.ru/system/home/card#/company/0F9CA38207E74DDEA3C2C7320C94102F/101"/><Relationship Id="rId8270" Type="http://schemas.openxmlformats.org/officeDocument/2006/relationships/hyperlink" TargetMode="External" Target="https://spark-interfax.ru/system/home/card#/company/92721AE7FCAC4807A77C059C84DA666B/101"/><Relationship Id="rId8271" Type="http://schemas.openxmlformats.org/officeDocument/2006/relationships/hyperlink" TargetMode="External" Target="https://spark-interfax.ru/system/home/card#/company/B9E65CF5F4563F4AE053219AA8C081A6/101"/><Relationship Id="rId8272" Type="http://schemas.openxmlformats.org/officeDocument/2006/relationships/hyperlink" TargetMode="External" Target="https://spark-interfax.ru/system/home/card#/company/FA971983EFB14CD993E1EA3AF7A9C2D8/101"/><Relationship Id="rId8273" Type="http://schemas.openxmlformats.org/officeDocument/2006/relationships/hyperlink" TargetMode="External" Target="https://spark-interfax.ru/system/home/card#/company/7AA0E94B0990420FAA2947947289F6BC/101"/><Relationship Id="rId8274" Type="http://schemas.openxmlformats.org/officeDocument/2006/relationships/hyperlink" TargetMode="External" Target="https://spark-interfax.ru/system/home/card#/company/C174D2E5858D42578A7AB0278F78A4EB/101"/><Relationship Id="rId8275" Type="http://schemas.openxmlformats.org/officeDocument/2006/relationships/hyperlink" TargetMode="External" Target="https://spark-interfax.ru/system/home/card#/company/3A101C287FC746AEAD33BEE26DACE154/101"/><Relationship Id="rId8276" Type="http://schemas.openxmlformats.org/officeDocument/2006/relationships/hyperlink" TargetMode="External" Target="https://spark-interfax.ru/system/home/card#/company/6CAC4BF1E53C4BCD83DCA3654E12582F/101"/><Relationship Id="rId8277" Type="http://schemas.openxmlformats.org/officeDocument/2006/relationships/hyperlink" TargetMode="External" Target="https://spark-interfax.ru/system/home/card#/company/2D78B02AD6B84B3CBC08201D386A4808/101"/><Relationship Id="rId8278" Type="http://schemas.openxmlformats.org/officeDocument/2006/relationships/hyperlink" TargetMode="External" Target="https://spark-interfax.ru/system/home/card#/company/A8F711E6479E4CD7B4CB06F88CFBDF6F/101"/><Relationship Id="rId8279" Type="http://schemas.openxmlformats.org/officeDocument/2006/relationships/hyperlink" TargetMode="External" Target="https://spark-interfax.ru/system/home/card#/company/0F90A08272EE45F38C409868BD9BFA88/101"/><Relationship Id="rId8280" Type="http://schemas.openxmlformats.org/officeDocument/2006/relationships/hyperlink" TargetMode="External" Target="https://spark-interfax.ru/system/home/card#/company/545580AAF7F0417E896D00D05985B330/101"/><Relationship Id="rId8281" Type="http://schemas.openxmlformats.org/officeDocument/2006/relationships/hyperlink" TargetMode="External" Target="https://spark-interfax.ru/system/home/card#/company/8BB40DE78C0A439482F0C4F3F58E00E9/101"/><Relationship Id="rId8282" Type="http://schemas.openxmlformats.org/officeDocument/2006/relationships/hyperlink" TargetMode="External" Target="https://spark-interfax.ru/system/home/card#/company/7B8D8DFFDFB546EBBA4E0F2DAC7B5208/101"/><Relationship Id="rId8283" Type="http://schemas.openxmlformats.org/officeDocument/2006/relationships/hyperlink" TargetMode="External" Target="https://spark-interfax.ru/system/home/card#/company/9E7CD2E9FFEE45D985CDB4B4D7557EE7/101"/><Relationship Id="rId8284" Type="http://schemas.openxmlformats.org/officeDocument/2006/relationships/hyperlink" TargetMode="External" Target="https://spark-interfax.ru/system/home/card#/company/7EA2840369F749A98AF4FACEB4D196E2/101"/><Relationship Id="rId8285" Type="http://schemas.openxmlformats.org/officeDocument/2006/relationships/hyperlink" TargetMode="External" Target="https://spark-interfax.ru/system/home/card#/company/B7E2C782616C47B8A880461EE776000E/101"/><Relationship Id="rId8286" Type="http://schemas.openxmlformats.org/officeDocument/2006/relationships/hyperlink" TargetMode="External" Target="https://spark-interfax.ru/system/home/card#/company/26E571D750CE4B68A8EFFD68A6E5C150/101"/><Relationship Id="rId8287" Type="http://schemas.openxmlformats.org/officeDocument/2006/relationships/hyperlink" TargetMode="External" Target="https://spark-interfax.ru/system/home/card#/company/876F0FE662804748B7643768964726BF/101"/><Relationship Id="rId8288" Type="http://schemas.openxmlformats.org/officeDocument/2006/relationships/hyperlink" TargetMode="External" Target="https://spark-interfax.ru/system/home/card#/company/4734E00EF55F4215810BDBCC9B129EB9/101"/><Relationship Id="rId8289" Type="http://schemas.openxmlformats.org/officeDocument/2006/relationships/hyperlink" TargetMode="External" Target="https://spark-interfax.ru/system/home/card#/company/8F79E24A67824411A109094BFD6E6944/101"/><Relationship Id="rId8290" Type="http://schemas.openxmlformats.org/officeDocument/2006/relationships/hyperlink" TargetMode="External" Target="https://spark-interfax.ru/system/home/card#/company/DB282B329F294D0D84E51DD257083162/101"/><Relationship Id="rId8291" Type="http://schemas.openxmlformats.org/officeDocument/2006/relationships/hyperlink" TargetMode="External" Target="https://spark-interfax.ru/system/home/card#/company/B8F1B0449F37486FAD5A728ECE04FD0A/101"/><Relationship Id="rId8292" Type="http://schemas.openxmlformats.org/officeDocument/2006/relationships/hyperlink" TargetMode="External" Target="https://spark-interfax.ru/system/home/card#/company/CE09F5A7570447EA8636F859475F7FDF/101"/><Relationship Id="rId8293" Type="http://schemas.openxmlformats.org/officeDocument/2006/relationships/hyperlink" TargetMode="External" Target="https://spark-interfax.ru/system/home/card#/company/406327EACB6949BD8D1A51A1EB2E2461/101"/><Relationship Id="rId8294" Type="http://schemas.openxmlformats.org/officeDocument/2006/relationships/hyperlink" TargetMode="External" Target="https://spark-interfax.ru/system/home/card#/company/9479832A495D4DD29B4B9A33DE918B1C/101"/><Relationship Id="rId8295" Type="http://schemas.openxmlformats.org/officeDocument/2006/relationships/hyperlink" TargetMode="External" Target="https://spark-interfax.ru/system/home/card#/company/A70736A88BAD49418F0428787F8FF4F0/101"/><Relationship Id="rId8296" Type="http://schemas.openxmlformats.org/officeDocument/2006/relationships/hyperlink" TargetMode="External" Target="https://spark-interfax.ru/system/home/card#/company/0E5F98F2B346400390AE0E07F76F55BC/101"/><Relationship Id="rId8297" Type="http://schemas.openxmlformats.org/officeDocument/2006/relationships/hyperlink" TargetMode="External" Target="https://spark-interfax.ru/system/home/card#/company/7A923F28E3D34177A1350CA62613D62D/101"/><Relationship Id="rId8298" Type="http://schemas.openxmlformats.org/officeDocument/2006/relationships/hyperlink" TargetMode="External" Target="https://spark-interfax.ru/system/home/card#/company/C08D037144294CE0A36DD0FC2AF70B79/101"/><Relationship Id="rId8299" Type="http://schemas.openxmlformats.org/officeDocument/2006/relationships/hyperlink" TargetMode="External" Target="https://spark-interfax.ru/system/home/card#/company/E7A1AFE2901B1A64E053259AA8C0CFC7/101"/><Relationship Id="rId8300" Type="http://schemas.openxmlformats.org/officeDocument/2006/relationships/hyperlink" TargetMode="External" Target="https://spark-interfax.ru/system/home/card#/company/B607B774C5494C7DA7C8B93CE62D3E4C/101"/><Relationship Id="rId8301" Type="http://schemas.openxmlformats.org/officeDocument/2006/relationships/hyperlink" TargetMode="External" Target="https://spark-interfax.ru/system/home/card#/company/732F522F1CF34BB29D4C392647F9BD2D/101"/><Relationship Id="rId8302" Type="http://schemas.openxmlformats.org/officeDocument/2006/relationships/hyperlink" TargetMode="External" Target="https://spark-interfax.ru/system/home/card#/company/DF250397481076C1E053259AA8C06D99/101"/><Relationship Id="rId8303" Type="http://schemas.openxmlformats.org/officeDocument/2006/relationships/hyperlink" TargetMode="External" Target="https://spark-interfax.ru/system/home/card#/company/8EDDBB98676049618941E474D112EC17/101"/><Relationship Id="rId8304" Type="http://schemas.openxmlformats.org/officeDocument/2006/relationships/hyperlink" TargetMode="External" Target="https://spark-interfax.ru/system/home/card#/company/D4D26553C9924D919E7C6E1FBF6D72CF/101"/><Relationship Id="rId8305" Type="http://schemas.openxmlformats.org/officeDocument/2006/relationships/hyperlink" TargetMode="External" Target="https://spark-interfax.ru/system/home/card#/company/93A50D12A82F426DA3284E856FDDE5AA/101"/><Relationship Id="rId8306" Type="http://schemas.openxmlformats.org/officeDocument/2006/relationships/hyperlink" TargetMode="External" Target="https://spark-interfax.ru/system/home/card#/company/FA0D1ADE555E460A8178D147D323BB30/101"/><Relationship Id="rId8307" Type="http://schemas.openxmlformats.org/officeDocument/2006/relationships/hyperlink" TargetMode="External" Target="https://spark-interfax.ru/system/home/card#/company/3EEC0CD6083F4D208BAE7421ABA64FC6/101"/><Relationship Id="rId8308" Type="http://schemas.openxmlformats.org/officeDocument/2006/relationships/hyperlink" TargetMode="External" Target="https://spark-interfax.ru/system/home/card#/company/529430D34FD74B12951863F0F588FFC6/101"/><Relationship Id="rId8309" Type="http://schemas.openxmlformats.org/officeDocument/2006/relationships/hyperlink" TargetMode="External" Target="https://spark-interfax.ru/system/home/card#/company/4EC2C4DFCBD64DDFA0C617B693EEC75C/101"/><Relationship Id="rId8310" Type="http://schemas.openxmlformats.org/officeDocument/2006/relationships/hyperlink" TargetMode="External" Target="https://spark-interfax.ru/system/home/card#/company/C6709CF60D4747E78BD37C70C6EA673F/101"/><Relationship Id="rId8311" Type="http://schemas.openxmlformats.org/officeDocument/2006/relationships/hyperlink" TargetMode="External" Target="https://spark-interfax.ru/system/home/card#/company/403FA5D67BF24B6A9360D58E4C531935/101"/><Relationship Id="rId8312" Type="http://schemas.openxmlformats.org/officeDocument/2006/relationships/hyperlink" TargetMode="External" Target="https://spark-interfax.ru/system/home/card#/company/E14EC8D283DD488DA3E9F1446E8B8E95/101"/><Relationship Id="rId8313" Type="http://schemas.openxmlformats.org/officeDocument/2006/relationships/hyperlink" TargetMode="External" Target="https://spark-interfax.ru/system/home/card#/company/A18FAEDEF3E044DEBD3A3424196ED52B/101"/><Relationship Id="rId8314" Type="http://schemas.openxmlformats.org/officeDocument/2006/relationships/hyperlink" TargetMode="External" Target="https://spark-interfax.ru/system/home/card#/company/299D242FAFC64286AE5D89A3E91E5447/101"/><Relationship Id="rId8315" Type="http://schemas.openxmlformats.org/officeDocument/2006/relationships/hyperlink" TargetMode="External" Target="https://spark-interfax.ru/system/home/card#/company/FD76832EEF954D3288DCEE9E6C758F88/101"/><Relationship Id="rId8316" Type="http://schemas.openxmlformats.org/officeDocument/2006/relationships/hyperlink" TargetMode="External" Target="https://spark-interfax.ru/system/home/card#/company/941522DCAF0C06C2E0531B9AA8C090F5/101"/><Relationship Id="rId8317" Type="http://schemas.openxmlformats.org/officeDocument/2006/relationships/hyperlink" TargetMode="External" Target="https://spark-interfax.ru/system/home/card#/company/875B18A5758C4444B4189C3C63864F17/101"/><Relationship Id="rId8318" Type="http://schemas.openxmlformats.org/officeDocument/2006/relationships/hyperlink" TargetMode="External" Target="https://spark-interfax.ru/system/home/card#/company/AD24819DF4AE48619CEDF9B6BAC08CB2/101"/><Relationship Id="rId8319" Type="http://schemas.openxmlformats.org/officeDocument/2006/relationships/hyperlink" TargetMode="External" Target="https://spark-interfax.ru/system/home/card#/company/E875696C2DD24E1595016998CC9A6BFD/101"/><Relationship Id="rId8320" Type="http://schemas.openxmlformats.org/officeDocument/2006/relationships/hyperlink" TargetMode="External" Target="https://spark-interfax.ru/system/home/card#/company/DCEFF7121D59429B949DAE1A91FD2BC1/101"/><Relationship Id="rId8321" Type="http://schemas.openxmlformats.org/officeDocument/2006/relationships/hyperlink" TargetMode="External" Target="https://spark-interfax.ru/system/home/card#/company/83FD321451ED42C78C0CEE7CAE83C9D4/101"/><Relationship Id="rId8322" Type="http://schemas.openxmlformats.org/officeDocument/2006/relationships/hyperlink" TargetMode="External" Target="https://spark-interfax.ru/system/home/card#/company/E9443E1F4CFC45E5B1FF0441754ADF08/101"/><Relationship Id="rId8323" Type="http://schemas.openxmlformats.org/officeDocument/2006/relationships/hyperlink" TargetMode="External" Target="https://spark-interfax.ru/system/home/card#/company/FAB555AD63F342B8A0E023983280C551/101"/><Relationship Id="rId8324" Type="http://schemas.openxmlformats.org/officeDocument/2006/relationships/hyperlink" TargetMode="External" Target="https://spark-interfax.ru/system/home/card#/company/24E3928D5C964605A78BC977635CCE36/101"/><Relationship Id="rId8325" Type="http://schemas.openxmlformats.org/officeDocument/2006/relationships/hyperlink" TargetMode="External" Target="https://spark-interfax.ru/system/home/card#/company/B7FB6D2668934725A1ED2D313E25E187/101"/><Relationship Id="rId8326" Type="http://schemas.openxmlformats.org/officeDocument/2006/relationships/hyperlink" TargetMode="External" Target="https://spark-interfax.ru/system/home/card#/company/AF5DEF1555804766A9D50FD87FF23542/101"/><Relationship Id="rId8327" Type="http://schemas.openxmlformats.org/officeDocument/2006/relationships/hyperlink" TargetMode="External" Target="https://spark-interfax.ru/system/home/card#/company/546082F46C5C4155B31EF4B0F43094D4/101"/><Relationship Id="rId8328" Type="http://schemas.openxmlformats.org/officeDocument/2006/relationships/hyperlink" TargetMode="External" Target="https://spark-interfax.ru/system/home/card#/company/9C8C7E91E5DC4162AA1807FC78EC72AD/101"/><Relationship Id="rId8329" Type="http://schemas.openxmlformats.org/officeDocument/2006/relationships/hyperlink" TargetMode="External" Target="https://spark-interfax.ru/system/home/card#/company/C461C175D6FB400B828A3EC57D50B27F/101"/><Relationship Id="rId8330" Type="http://schemas.openxmlformats.org/officeDocument/2006/relationships/hyperlink" TargetMode="External" Target="https://spark-interfax.ru/system/home/card#/company/CF48DDD8F7AE4111AFD59D0068DF5B8D/101"/><Relationship Id="rId8331" Type="http://schemas.openxmlformats.org/officeDocument/2006/relationships/hyperlink" TargetMode="External" Target="https://spark-interfax.ru/system/home/card#/company/4D1FB5BE8282432DB2D99845B480D8D0/101"/><Relationship Id="rId8332" Type="http://schemas.openxmlformats.org/officeDocument/2006/relationships/hyperlink" TargetMode="External" Target="https://spark-interfax.ru/system/home/card#/company/C2F43D0734D841DD96BE5E7F756A8B1B/101"/><Relationship Id="rId8333" Type="http://schemas.openxmlformats.org/officeDocument/2006/relationships/hyperlink" TargetMode="External" Target="https://spark-interfax.ru/system/home/card#/company/588572A148D04C02AEB8FF71B6AEA5DB/101"/><Relationship Id="rId8334" Type="http://schemas.openxmlformats.org/officeDocument/2006/relationships/hyperlink" TargetMode="External" Target="https://spark-interfax.ru/system/home/card#/company/948A845CEE3B4E86BB1C51DEEFD78B06/101"/><Relationship Id="rId8335" Type="http://schemas.openxmlformats.org/officeDocument/2006/relationships/hyperlink" TargetMode="External" Target="https://spark-interfax.ru/system/home/card#/company/8F40EDE098684076B00CE7A9DF18E839/101"/><Relationship Id="rId8336" Type="http://schemas.openxmlformats.org/officeDocument/2006/relationships/hyperlink" TargetMode="External" Target="https://spark-interfax.ru/system/home/card#/company/73B1408B4B9E4310802D1C34ED675BB8/101"/><Relationship Id="rId8337" Type="http://schemas.openxmlformats.org/officeDocument/2006/relationships/hyperlink" TargetMode="External" Target="https://spark-interfax.ru/system/home/card#/company/329AF5DD58EE4081B0FC731F18902C60/101"/><Relationship Id="rId8338" Type="http://schemas.openxmlformats.org/officeDocument/2006/relationships/hyperlink" TargetMode="External" Target="https://spark-interfax.ru/system/home/card#/company/5BF0C1847D124590B37B144671A910E1/101"/><Relationship Id="rId8339" Type="http://schemas.openxmlformats.org/officeDocument/2006/relationships/hyperlink" TargetMode="External" Target="https://spark-interfax.ru/system/home/card#/company/7CCBC60CBD2645A5BD2324C3EEB672DB/101"/><Relationship Id="rId8340" Type="http://schemas.openxmlformats.org/officeDocument/2006/relationships/hyperlink" TargetMode="External" Target="https://spark-interfax.ru/system/home/card#/company/85B20A9BA3A040AA9EB1A5096100BD7D/101"/><Relationship Id="rId8341" Type="http://schemas.openxmlformats.org/officeDocument/2006/relationships/hyperlink" TargetMode="External" Target="https://spark-interfax.ru/system/home/card#/company/C5876A0B7D1245CC9AAD21F1A4BBB6DA/101"/><Relationship Id="rId8342" Type="http://schemas.openxmlformats.org/officeDocument/2006/relationships/hyperlink" TargetMode="External" Target="https://spark-interfax.ru/system/home/card#/company/BE9D8A61E15A4FB69D765C037B3CD981/101"/><Relationship Id="rId8343" Type="http://schemas.openxmlformats.org/officeDocument/2006/relationships/hyperlink" TargetMode="External" Target="https://spark-interfax.ru/system/home/card#/company/3D953372FEF743F4A9578F1090C4168C/101"/><Relationship Id="rId8344" Type="http://schemas.openxmlformats.org/officeDocument/2006/relationships/hyperlink" TargetMode="External" Target="https://spark-interfax.ru/system/home/card#/company/91B83169A1DE45718D3BFDF1D66BB159/101"/><Relationship Id="rId8345" Type="http://schemas.openxmlformats.org/officeDocument/2006/relationships/hyperlink" TargetMode="External" Target="https://spark-interfax.ru/system/home/card#/company/F9EC87B19D9D47D588C156940EEED510/101"/><Relationship Id="rId8346" Type="http://schemas.openxmlformats.org/officeDocument/2006/relationships/hyperlink" TargetMode="External" Target="https://spark-interfax.ru/system/home/card#/company/6BDEFE1EE5211DDBE0531B9AA8C03E41/101"/><Relationship Id="rId8347" Type="http://schemas.openxmlformats.org/officeDocument/2006/relationships/hyperlink" TargetMode="External" Target="https://spark-interfax.ru/system/home/card#/company/ED831DA040914EB0B0BF349C65FF99ED/101"/><Relationship Id="rId8348" Type="http://schemas.openxmlformats.org/officeDocument/2006/relationships/hyperlink" TargetMode="External" Target="https://spark-interfax.ru/system/home/card#/company/763CADAD707443D08536F431E2AD1832/101"/><Relationship Id="rId8349" Type="http://schemas.openxmlformats.org/officeDocument/2006/relationships/hyperlink" TargetMode="External" Target="https://spark-interfax.ru/system/home/card#/company/2291BC4330CC47DABE6725D0AE6B2B83/101"/><Relationship Id="rId8350" Type="http://schemas.openxmlformats.org/officeDocument/2006/relationships/hyperlink" TargetMode="External" Target="https://spark-interfax.ru/system/home/card#/company/A51BD4344A98482CBB7E6A3C68F9C52D/101"/><Relationship Id="rId8351" Type="http://schemas.openxmlformats.org/officeDocument/2006/relationships/hyperlink" TargetMode="External" Target="https://spark-interfax.ru/system/home/card#/company/AB575DA0850548DBBCBB6684F143BFB3/101"/><Relationship Id="rId8352" Type="http://schemas.openxmlformats.org/officeDocument/2006/relationships/hyperlink" TargetMode="External" Target="https://spark-interfax.ru/system/home/card#/company/E10D04F08AE54B8E9F91B5C7CBA3E18F/101"/><Relationship Id="rId8353" Type="http://schemas.openxmlformats.org/officeDocument/2006/relationships/hyperlink" TargetMode="External" Target="https://spark-interfax.ru/system/home/card#/company/E86F675140A84C1FBD5D74733A16D179/101"/><Relationship Id="rId8354" Type="http://schemas.openxmlformats.org/officeDocument/2006/relationships/hyperlink" TargetMode="External" Target="https://spark-interfax.ru/system/home/card#/company/D9A9F6DC8DC841FC8D7127C54EF7A4BF/101"/><Relationship Id="rId8355" Type="http://schemas.openxmlformats.org/officeDocument/2006/relationships/hyperlink" TargetMode="External" Target="https://spark-interfax.ru/system/home/card#/company/6E7A5E2A17EB4029BA67F53476FE5F21/101"/><Relationship Id="rId8356" Type="http://schemas.openxmlformats.org/officeDocument/2006/relationships/hyperlink" TargetMode="External" Target="https://spark-interfax.ru/system/home/card#/company/2723423334C34D93A01E6D15F021DCDC/101"/><Relationship Id="rId8357" Type="http://schemas.openxmlformats.org/officeDocument/2006/relationships/hyperlink" TargetMode="External" Target="https://spark-interfax.ru/system/home/card#/company/5D046D24BB371222E0531C9AA8C006B1/101"/><Relationship Id="rId8358" Type="http://schemas.openxmlformats.org/officeDocument/2006/relationships/hyperlink" TargetMode="External" Target="https://spark-interfax.ru/system/home/card#/company/A1A023C5339244CAA0C03F15186A46C6/101"/><Relationship Id="rId8359" Type="http://schemas.openxmlformats.org/officeDocument/2006/relationships/hyperlink" TargetMode="External" Target="https://spark-interfax.ru/system/home/card#/company/E2DDA279B10D434BA14849B384B071B8/101"/><Relationship Id="rId8360" Type="http://schemas.openxmlformats.org/officeDocument/2006/relationships/hyperlink" TargetMode="External" Target="https://spark-interfax.ru/system/home/card#/company/9EAF9C0413D1473EA734D94B170DEA14/101"/><Relationship Id="rId8361" Type="http://schemas.openxmlformats.org/officeDocument/2006/relationships/hyperlink" TargetMode="External" Target="https://spark-interfax.ru/system/home/card#/company/A292131B46B84AD4ACDD7B0168B19BA3/101"/><Relationship Id="rId8362" Type="http://schemas.openxmlformats.org/officeDocument/2006/relationships/hyperlink" TargetMode="External" Target="https://spark-interfax.ru/system/home/card#/company/9519B01D9A504A958D8DCF1E0EFFE0EF/101"/><Relationship Id="rId8363" Type="http://schemas.openxmlformats.org/officeDocument/2006/relationships/hyperlink" TargetMode="External" Target="https://spark-interfax.ru/system/home/card#/company/C13190EC39D9420E8BA0850834B0B760/101"/><Relationship Id="rId8364" Type="http://schemas.openxmlformats.org/officeDocument/2006/relationships/hyperlink" TargetMode="External" Target="https://spark-interfax.ru/system/home/card#/company/31448F06CB5E44EFBB2917A5553B2A48/101"/><Relationship Id="rId8365" Type="http://schemas.openxmlformats.org/officeDocument/2006/relationships/hyperlink" TargetMode="External" Target="https://spark-interfax.ru/system/home/card#/company/0CA748375F644F5EB7F6886F73DFC47D/101"/><Relationship Id="rId8366" Type="http://schemas.openxmlformats.org/officeDocument/2006/relationships/hyperlink" TargetMode="External" Target="https://spark-interfax.ru/system/home/card#/company/7187A4F2189C4BECE0531B9AA8C06CFD/101"/><Relationship Id="rId8367" Type="http://schemas.openxmlformats.org/officeDocument/2006/relationships/hyperlink" TargetMode="External" Target="https://spark-interfax.ru/system/home/card#/company/167F223B40254F35A2ABC11487006B86/101"/><Relationship Id="rId8368" Type="http://schemas.openxmlformats.org/officeDocument/2006/relationships/hyperlink" TargetMode="External" Target="https://spark-interfax.ru/system/home/card#/company/D535E1CAE30B4B5A8B799C589694FDC7/101"/><Relationship Id="rId8369" Type="http://schemas.openxmlformats.org/officeDocument/2006/relationships/hyperlink" TargetMode="External" Target="https://spark-interfax.ru/system/home/card#/company/C830870498FF409BB66C50375154ED78/101"/><Relationship Id="rId8370" Type="http://schemas.openxmlformats.org/officeDocument/2006/relationships/hyperlink" TargetMode="External" Target="https://spark-interfax.ru/system/home/card#/company/7CC979F03D3E48E2A9AFE3B321A36A9B/101"/><Relationship Id="rId8371" Type="http://schemas.openxmlformats.org/officeDocument/2006/relationships/hyperlink" TargetMode="External" Target="https://spark-interfax.ru/system/home/card#/company/FD65CC6BB55B4C6E80273C5C9055C36E/101"/><Relationship Id="rId8372" Type="http://schemas.openxmlformats.org/officeDocument/2006/relationships/hyperlink" TargetMode="External" Target="https://spark-interfax.ru/system/home/card#/company/09A3F4DA313A42DE9A9B16ACD64ADC46/101"/><Relationship Id="rId8373" Type="http://schemas.openxmlformats.org/officeDocument/2006/relationships/hyperlink" TargetMode="External" Target="https://spark-interfax.ru/system/home/card#/company/91AA1436E6AD4F82BC9AB0248F9BFC11/101"/><Relationship Id="rId8374" Type="http://schemas.openxmlformats.org/officeDocument/2006/relationships/hyperlink" TargetMode="External" Target="https://spark-interfax.ru/system/home/card#/company/DE406A79536344CAA27331318B70D880/101"/><Relationship Id="rId8375" Type="http://schemas.openxmlformats.org/officeDocument/2006/relationships/hyperlink" TargetMode="External" Target="https://spark-interfax.ru/system/home/card#/company/B338DDB3FD7060F6E053219AA8C059BD/101"/><Relationship Id="rId8376" Type="http://schemas.openxmlformats.org/officeDocument/2006/relationships/hyperlink" TargetMode="External" Target="https://spark-interfax.ru/system/home/card#/company/F27ED36EC45F406797DC877E686BAE96/101"/><Relationship Id="rId8377" Type="http://schemas.openxmlformats.org/officeDocument/2006/relationships/hyperlink" TargetMode="External" Target="https://spark-interfax.ru/system/home/card#/company/A75B105940454C42E053189AA8C0F91F/101"/><Relationship Id="rId8378" Type="http://schemas.openxmlformats.org/officeDocument/2006/relationships/hyperlink" TargetMode="External" Target="https://spark-interfax.ru/system/home/card#/company/5DA7AB4C61C74602E0531B9AA8C0FB36/101"/><Relationship Id="rId8379" Type="http://schemas.openxmlformats.org/officeDocument/2006/relationships/hyperlink" TargetMode="External" Target="https://spark-interfax.ru/system/home/card#/company/76A8439F76134093BABAAEFDD17D083E/101"/><Relationship Id="rId8380" Type="http://schemas.openxmlformats.org/officeDocument/2006/relationships/hyperlink" TargetMode="External" Target="https://spark-interfax.ru/system/home/card#/company/02E969D6340B438E99732E308C7FF7AE/101"/><Relationship Id="rId8381" Type="http://schemas.openxmlformats.org/officeDocument/2006/relationships/hyperlink" TargetMode="External" Target="https://spark-interfax.ru/system/home/card#/company/12C7987B901E4A93A2C6CD5D3DA9254A/101"/><Relationship Id="rId8382" Type="http://schemas.openxmlformats.org/officeDocument/2006/relationships/hyperlink" TargetMode="External" Target="https://spark-interfax.ru/system/home/card#/company/9B16FB8737244663964BEDF36B2A61EF/101"/><Relationship Id="rId8383" Type="http://schemas.openxmlformats.org/officeDocument/2006/relationships/hyperlink" TargetMode="External" Target="https://spark-interfax.ru/system/home/card#/company/916080967CD54AC9A02D3278B0CEB8D1/101"/><Relationship Id="rId8384" Type="http://schemas.openxmlformats.org/officeDocument/2006/relationships/hyperlink" TargetMode="External" Target="https://spark-interfax.ru/system/home/card#/company/7F57403510AD72DBE0531B9AA8C01D47/101"/><Relationship Id="rId8385" Type="http://schemas.openxmlformats.org/officeDocument/2006/relationships/hyperlink" TargetMode="External" Target="https://spark-interfax.ru/system/home/card#/company/505CA9EAAED6456B90E6AC6E03B289A2/101"/><Relationship Id="rId8386" Type="http://schemas.openxmlformats.org/officeDocument/2006/relationships/hyperlink" TargetMode="External" Target="https://spark-interfax.ru/system/home/card#/company/A1F476ED28CE491CB4FA832CC2F2DA23/101"/><Relationship Id="rId8387" Type="http://schemas.openxmlformats.org/officeDocument/2006/relationships/hyperlink" TargetMode="External" Target="https://spark-interfax.ru/system/home/card#/company/BFDCDA7E2C324B2DA6C2BC5782EC401B/101"/><Relationship Id="rId8388" Type="http://schemas.openxmlformats.org/officeDocument/2006/relationships/hyperlink" TargetMode="External" Target="https://spark-interfax.ru/system/home/card#/company/D0FC2588A499409CB30E59351E543E73/101"/><Relationship Id="rId8389" Type="http://schemas.openxmlformats.org/officeDocument/2006/relationships/hyperlink" TargetMode="External" Target="https://spark-interfax.ru/system/home/card#/company/FE17C51EA8104C2897C652F39266DF6C/101"/><Relationship Id="rId8390" Type="http://schemas.openxmlformats.org/officeDocument/2006/relationships/hyperlink" TargetMode="External" Target="https://spark-interfax.ru/system/home/card#/company/830B12DAC84147F8B01B72F593F6EBDD/101"/><Relationship Id="rId8391" Type="http://schemas.openxmlformats.org/officeDocument/2006/relationships/hyperlink" TargetMode="External" Target="https://spark-interfax.ru/system/home/card#/company/352DE113EFA64E5D98CBE490D26C00C8/101"/><Relationship Id="rId8392" Type="http://schemas.openxmlformats.org/officeDocument/2006/relationships/hyperlink" TargetMode="External" Target="https://spark-interfax.ru/system/home/card#/company/F1470E418EAE423CB6B97D9FABBE3AB8/101"/><Relationship Id="rId8393" Type="http://schemas.openxmlformats.org/officeDocument/2006/relationships/hyperlink" TargetMode="External" Target="https://spark-interfax.ru/system/home/card#/company/0935CDB66678493EA6D0D8969EC716A0/101"/><Relationship Id="rId8394" Type="http://schemas.openxmlformats.org/officeDocument/2006/relationships/hyperlink" TargetMode="External" Target="https://spark-interfax.ru/system/home/card#/company/11A2FBCBC70C42449C9F58DA94AB9D29/101"/><Relationship Id="rId8395" Type="http://schemas.openxmlformats.org/officeDocument/2006/relationships/hyperlink" TargetMode="External" Target="https://spark-interfax.ru/system/home/card#/company/A6F991FA4AB0477FA840859EDCCAE2F2/101"/><Relationship Id="rId8396" Type="http://schemas.openxmlformats.org/officeDocument/2006/relationships/hyperlink" TargetMode="External" Target="https://spark-interfax.ru/system/home/card#/company/57AD0FF4B2914081A9EFC5D045359821/101"/><Relationship Id="rId8397" Type="http://schemas.openxmlformats.org/officeDocument/2006/relationships/hyperlink" TargetMode="External" Target="https://spark-interfax.ru/system/home/card#/company/9C998ACE277A462BB01E73A765767377/101"/><Relationship Id="rId8398" Type="http://schemas.openxmlformats.org/officeDocument/2006/relationships/hyperlink" TargetMode="External" Target="https://spark-interfax.ru/system/home/card#/company/69FB67A3FABD4607BA870BFA49E85ED4/101"/><Relationship Id="rId8399" Type="http://schemas.openxmlformats.org/officeDocument/2006/relationships/hyperlink" TargetMode="External" Target="https://spark-interfax.ru/system/home/card#/company/2E3F2CF87A77459795E27AAB19B716CF/101"/><Relationship Id="rId8400" Type="http://schemas.openxmlformats.org/officeDocument/2006/relationships/hyperlink" TargetMode="External" Target="https://spark-interfax.ru/system/home/card#/company/F369AEA87F9A499BABA5591AC9E80044/101"/><Relationship Id="rId8401" Type="http://schemas.openxmlformats.org/officeDocument/2006/relationships/hyperlink" TargetMode="External" Target="https://spark-interfax.ru/system/home/card#/company/8D55C185D58240208353402AF49879F4/101"/><Relationship Id="rId8402" Type="http://schemas.openxmlformats.org/officeDocument/2006/relationships/hyperlink" TargetMode="External" Target="https://spark-interfax.ru/system/home/card#/company/83C4FA0CF9B4477D92F22BC841B8EDB6/101"/><Relationship Id="rId8403" Type="http://schemas.openxmlformats.org/officeDocument/2006/relationships/hyperlink" TargetMode="External" Target="https://spark-interfax.ru/system/home/card#/company/86D9274698B94B0284EDB0F244167629/101"/><Relationship Id="rId8404" Type="http://schemas.openxmlformats.org/officeDocument/2006/relationships/hyperlink" TargetMode="External" Target="https://spark-interfax.ru/system/home/card#/company/C5EF842DF77B4AFBBB235C7CD5ED3AFD/101"/><Relationship Id="rId8405" Type="http://schemas.openxmlformats.org/officeDocument/2006/relationships/hyperlink" TargetMode="External" Target="https://spark-interfax.ru/system/home/card#/company/C64AB79546474A6AA7A1F8DC9A6CDDE7/101"/><Relationship Id="rId8406" Type="http://schemas.openxmlformats.org/officeDocument/2006/relationships/hyperlink" TargetMode="External" Target="https://spark-interfax.ru/system/home/card#/company/395D7958BA2D403A91FECB124BACE68A/101"/><Relationship Id="rId8407" Type="http://schemas.openxmlformats.org/officeDocument/2006/relationships/hyperlink" TargetMode="External" Target="https://spark-interfax.ru/system/home/card#/company/8BEA53F4CFB34D618110C7F7857EE1BD/101"/><Relationship Id="rId8408" Type="http://schemas.openxmlformats.org/officeDocument/2006/relationships/hyperlink" TargetMode="External" Target="https://spark-interfax.ru/system/home/card#/company/DA4748EF4F9743929C807643D9D93078/101"/><Relationship Id="rId8409" Type="http://schemas.openxmlformats.org/officeDocument/2006/relationships/hyperlink" TargetMode="External" Target="https://spark-interfax.ru/system/home/card#/company/3568E7B4AB3D4B04B9783B5A0A06EBEA/101"/><Relationship Id="rId8410" Type="http://schemas.openxmlformats.org/officeDocument/2006/relationships/hyperlink" TargetMode="External" Target="https://spark-interfax.ru/system/home/card#/company/78FFDF9573B691BFE0531F9AA8C0281F/101"/><Relationship Id="rId8411" Type="http://schemas.openxmlformats.org/officeDocument/2006/relationships/hyperlink" TargetMode="External" Target="https://spark-interfax.ru/system/home/card#/company/28CD0529197840C5825F5D3D59E3AE77/101"/><Relationship Id="rId8412" Type="http://schemas.openxmlformats.org/officeDocument/2006/relationships/hyperlink" TargetMode="External" Target="https://spark-interfax.ru/system/home/card#/company/E631AAC4B1C946F394E4945C7AF601C5/101"/><Relationship Id="rId8413" Type="http://schemas.openxmlformats.org/officeDocument/2006/relationships/hyperlink" TargetMode="External" Target="https://spark-interfax.ru/system/home/card#/company/C13ED19CF077474093694D7A51C4D9A8/101"/><Relationship Id="rId8414" Type="http://schemas.openxmlformats.org/officeDocument/2006/relationships/hyperlink" TargetMode="External" Target="https://spark-interfax.ru/system/home/card#/company/6661930CE9E62DA8E0531B9AA8C0DA59/101"/><Relationship Id="rId8415" Type="http://schemas.openxmlformats.org/officeDocument/2006/relationships/hyperlink" TargetMode="External" Target="https://spark-interfax.ru/system/home/card#/company/19A895CC35E447ABA44F1EF78F01CB89/101"/><Relationship Id="rId8416" Type="http://schemas.openxmlformats.org/officeDocument/2006/relationships/hyperlink" TargetMode="External" Target="https://spark-interfax.ru/system/home/card#/company/C0EDAFCA20FC47D9BB578C27B1CE1656/101"/><Relationship Id="rId8417" Type="http://schemas.openxmlformats.org/officeDocument/2006/relationships/hyperlink" TargetMode="External" Target="https://spark-interfax.ru/system/home/card#/company/1BD7A665CBEE4172924A4A2239C344DD/101"/><Relationship Id="rId8418" Type="http://schemas.openxmlformats.org/officeDocument/2006/relationships/hyperlink" TargetMode="External" Target="https://spark-interfax.ru/system/home/card#/company/11C717B115A24BAB80F38D8B4D77017D/101"/><Relationship Id="rId8419" Type="http://schemas.openxmlformats.org/officeDocument/2006/relationships/hyperlink" TargetMode="External" Target="https://spark-interfax.ru/system/home/card#/company/4B28B78147CD4C1196DAC8B7EB39C7AA/101"/><Relationship Id="rId8420" Type="http://schemas.openxmlformats.org/officeDocument/2006/relationships/hyperlink" TargetMode="External" Target="https://spark-interfax.ru/system/home/card#/company/5B18D96617F743E1BB4577B890BEBBD9/101"/><Relationship Id="rId8421" Type="http://schemas.openxmlformats.org/officeDocument/2006/relationships/hyperlink" TargetMode="External" Target="https://spark-interfax.ru/system/home/card#/company/80490B0E18CD4C008098F4AFDA1A4EE4/101"/><Relationship Id="rId8422" Type="http://schemas.openxmlformats.org/officeDocument/2006/relationships/hyperlink" TargetMode="External" Target="https://spark-interfax.ru/system/home/card#/company/772FD726A00E42FE86BB470EEB4FEBE2/101"/><Relationship Id="rId8423" Type="http://schemas.openxmlformats.org/officeDocument/2006/relationships/hyperlink" TargetMode="External" Target="https://spark-interfax.ru/system/home/card#/company/05CBD42B9040488C88682348472BCDD0/101"/><Relationship Id="rId8424" Type="http://schemas.openxmlformats.org/officeDocument/2006/relationships/hyperlink" TargetMode="External" Target="https://spark-interfax.ru/system/home/card#/company/FA18931AF2384F1B8406885849E7EE4E/101"/><Relationship Id="rId8425" Type="http://schemas.openxmlformats.org/officeDocument/2006/relationships/hyperlink" TargetMode="External" Target="https://spark-interfax.ru/system/home/card#/company/C6348B4A684A4A6C87B82649B653B544/101"/><Relationship Id="rId8426" Type="http://schemas.openxmlformats.org/officeDocument/2006/relationships/hyperlink" TargetMode="External" Target="https://spark-interfax.ru/system/home/card#/company/6211B7994C6A4C3DBCD4A985701E591A/101"/><Relationship Id="rId8427" Type="http://schemas.openxmlformats.org/officeDocument/2006/relationships/hyperlink" TargetMode="External" Target="https://spark-interfax.ru/system/home/card#/company/42DDA75360FD435998E2ABF5AD86A4F1/101"/><Relationship Id="rId8428" Type="http://schemas.openxmlformats.org/officeDocument/2006/relationships/hyperlink" TargetMode="External" Target="https://spark-interfax.ru/system/home/card#/company/24D06CCC06054B898154C5E1ECDE421A/101"/><Relationship Id="rId8429" Type="http://schemas.openxmlformats.org/officeDocument/2006/relationships/hyperlink" TargetMode="External" Target="https://spark-interfax.ru/system/home/card#/company/9BB644559D124FCB84BE37A3CE83C9D2/101"/><Relationship Id="rId8430" Type="http://schemas.openxmlformats.org/officeDocument/2006/relationships/hyperlink" TargetMode="External" Target="https://spark-interfax.ru/system/home/card#/company/2B3026C07E0F497894B7F09DBE0C88DC/101"/><Relationship Id="rId8431" Type="http://schemas.openxmlformats.org/officeDocument/2006/relationships/hyperlink" TargetMode="External" Target="https://spark-interfax.ru/system/home/card#/company/7278F021042740A380994F56BCE92272/101"/><Relationship Id="rId8432" Type="http://schemas.openxmlformats.org/officeDocument/2006/relationships/hyperlink" TargetMode="External" Target="https://spark-interfax.ru/system/home/card#/company/ECCD3A85FE74484897CDAA93C31252E6/101"/><Relationship Id="rId8433" Type="http://schemas.openxmlformats.org/officeDocument/2006/relationships/hyperlink" TargetMode="External" Target="https://spark-interfax.ru/system/home/card#/company/61B0A96C841A4B5286B277BBC07182CB/101"/><Relationship Id="rId8434" Type="http://schemas.openxmlformats.org/officeDocument/2006/relationships/hyperlink" TargetMode="External" Target="https://spark-interfax.ru/system/home/card#/company/B43E8F3B3C28041FE053219AA8C0C454/101"/><Relationship Id="rId8435" Type="http://schemas.openxmlformats.org/officeDocument/2006/relationships/hyperlink" TargetMode="External" Target="https://spark-interfax.ru/system/home/card#/company/0D92EF7AA441421F9B77155437DCB63D/101"/><Relationship Id="rId8436" Type="http://schemas.openxmlformats.org/officeDocument/2006/relationships/hyperlink" TargetMode="External" Target="https://spark-interfax.ru/system/home/card#/company/3BF8FF0970F44D1DA008C341E78FF158/101"/><Relationship Id="rId8437" Type="http://schemas.openxmlformats.org/officeDocument/2006/relationships/hyperlink" TargetMode="External" Target="https://spark-interfax.ru/system/home/card#/company/921F16489D6A40A991BD9EC878060891/101"/><Relationship Id="rId8438" Type="http://schemas.openxmlformats.org/officeDocument/2006/relationships/hyperlink" TargetMode="External" Target="https://spark-interfax.ru/system/home/card#/company/4EFB2A83013D464BAC8D63EC11B26131/101"/><Relationship Id="rId8439" Type="http://schemas.openxmlformats.org/officeDocument/2006/relationships/hyperlink" TargetMode="External" Target="https://spark-interfax.ru/system/home/card#/company/3F10B2170D7549619A0EC36B4AF2611C/101"/><Relationship Id="rId8440" Type="http://schemas.openxmlformats.org/officeDocument/2006/relationships/hyperlink" TargetMode="External" Target="https://spark-interfax.ru/system/home/card#/company/E603249FB8C5434FB6D9B815C15F394D/101"/><Relationship Id="rId8441" Type="http://schemas.openxmlformats.org/officeDocument/2006/relationships/hyperlink" TargetMode="External" Target="https://spark-interfax.ru/system/home/card#/company/6A75684A1C915C51E0531B9AA8C04D1F/101"/><Relationship Id="rId8442" Type="http://schemas.openxmlformats.org/officeDocument/2006/relationships/hyperlink" TargetMode="External" Target="https://spark-interfax.ru/system/home/card#/company/539246750A5F45C9A8CEB5802A320633/101"/><Relationship Id="rId8443" Type="http://schemas.openxmlformats.org/officeDocument/2006/relationships/hyperlink" TargetMode="External" Target="https://spark-interfax.ru/system/home/card#/company/9AA8F22CA7DB46BCAD9D2E9283E5F91A/101"/><Relationship Id="rId8444" Type="http://schemas.openxmlformats.org/officeDocument/2006/relationships/hyperlink" TargetMode="External" Target="https://spark-interfax.ru/system/home/card#/company/0490D1E4E22E465980830B3AAF6AA1FF/101"/><Relationship Id="rId8445" Type="http://schemas.openxmlformats.org/officeDocument/2006/relationships/hyperlink" TargetMode="External" Target="https://spark-interfax.ru/system/home/card#/company/988153C8B6FE4859E0531B9AA8C07B20/101"/><Relationship Id="rId8446" Type="http://schemas.openxmlformats.org/officeDocument/2006/relationships/hyperlink" TargetMode="External" Target="https://spark-interfax.ru/system/home/card#/company/A6BAE81F14E60C72E053189AA8C04031/101"/><Relationship Id="rId8447" Type="http://schemas.openxmlformats.org/officeDocument/2006/relationships/hyperlink" TargetMode="External" Target="https://spark-interfax.ru/system/home/card#/company/813F4687D4170458E0531B9AA8C099EB/101"/><Relationship Id="rId8448" Type="http://schemas.openxmlformats.org/officeDocument/2006/relationships/hyperlink" TargetMode="External" Target="https://spark-interfax.ru/system/home/card#/company/8960175A474B4AC9B46CB08AEA03D2B2/101"/><Relationship Id="rId8449" Type="http://schemas.openxmlformats.org/officeDocument/2006/relationships/hyperlink" TargetMode="External" Target="https://spark-interfax.ru/system/home/card#/company/620AE3DEE7B141F78FE1858FE5F8D57A/101"/><Relationship Id="rId8450" Type="http://schemas.openxmlformats.org/officeDocument/2006/relationships/hyperlink" TargetMode="External" Target="https://spark-interfax.ru/system/home/card#/company/7653E45453D168C8E0531B9AA8C01915/101"/><Relationship Id="rId8451" Type="http://schemas.openxmlformats.org/officeDocument/2006/relationships/hyperlink" TargetMode="External" Target="https://spark-interfax.ru/system/home/card#/company/B20D43BA121D43CFA203104E43F12465/101"/><Relationship Id="rId8452" Type="http://schemas.openxmlformats.org/officeDocument/2006/relationships/hyperlink" TargetMode="External" Target="https://spark-interfax.ru/system/home/card#/company/126EC59ADBB8496684FD90292CE6ABCA/101"/><Relationship Id="rId8453" Type="http://schemas.openxmlformats.org/officeDocument/2006/relationships/hyperlink" TargetMode="External" Target="https://spark-interfax.ru/system/home/card#/company/3E8FA9C516514553A4B2EE2113915CD9/101"/><Relationship Id="rId8454" Type="http://schemas.openxmlformats.org/officeDocument/2006/relationships/hyperlink" TargetMode="External" Target="https://spark-interfax.ru/system/home/card#/company/9DFE7638EFCF4A639003059D33896226/101"/><Relationship Id="rId8455" Type="http://schemas.openxmlformats.org/officeDocument/2006/relationships/hyperlink" TargetMode="External" Target="https://spark-interfax.ru/system/home/card#/company/D2638C318D864A0798EB0CC68BF70214/101"/><Relationship Id="rId8456" Type="http://schemas.openxmlformats.org/officeDocument/2006/relationships/hyperlink" TargetMode="External" Target="https://spark-interfax.ru/system/home/card#/company/7338310C28484247A82B4D12B52B5043/101"/><Relationship Id="rId8457" Type="http://schemas.openxmlformats.org/officeDocument/2006/relationships/hyperlink" TargetMode="External" Target="https://spark-interfax.ru/system/home/card#/company/CACBFB2B05B52B1CE053219AA8C0B4F0/101"/><Relationship Id="rId8458" Type="http://schemas.openxmlformats.org/officeDocument/2006/relationships/hyperlink" TargetMode="External" Target="https://spark-interfax.ru/system/home/card#/company/903F29836F8B49B1AFF7F464BF31AE77/101"/><Relationship Id="rId8459" Type="http://schemas.openxmlformats.org/officeDocument/2006/relationships/hyperlink" TargetMode="External" Target="https://spark-interfax.ru/system/home/card#/company/5EC4FF191E8249F08AD50DD9AF674228/101"/><Relationship Id="rId8460" Type="http://schemas.openxmlformats.org/officeDocument/2006/relationships/hyperlink" TargetMode="External" Target="https://spark-interfax.ru/system/home/card#/company/10B78BF25FD24F04BAFB57A79370299F/101"/><Relationship Id="rId8461" Type="http://schemas.openxmlformats.org/officeDocument/2006/relationships/hyperlink" TargetMode="External" Target="https://spark-interfax.ru/system/home/card#/company/9CDFC67F83414C5FA4C4EBDD44FF91A6/101"/><Relationship Id="rId8462" Type="http://schemas.openxmlformats.org/officeDocument/2006/relationships/hyperlink" TargetMode="External" Target="https://spark-interfax.ru/system/home/card#/company/9EED26E035CC46F2AC86CF0DEC8DBEC3/101"/><Relationship Id="rId8463" Type="http://schemas.openxmlformats.org/officeDocument/2006/relationships/hyperlink" TargetMode="External" Target="https://spark-interfax.ru/system/home/card#/company/4F0EB6D414DB4765B47198853D80E022/101"/><Relationship Id="rId8464" Type="http://schemas.openxmlformats.org/officeDocument/2006/relationships/hyperlink" TargetMode="External" Target="https://spark-interfax.ru/system/home/card#/company/313338481B4244FAB8011191F166AEC8/101"/><Relationship Id="rId8465" Type="http://schemas.openxmlformats.org/officeDocument/2006/relationships/hyperlink" TargetMode="External" Target="https://spark-interfax.ru/system/home/card#/company/34BCEFCB42BE4515B6F647B79650C650/101"/><Relationship Id="rId8466" Type="http://schemas.openxmlformats.org/officeDocument/2006/relationships/hyperlink" TargetMode="External" Target="https://spark-interfax.ru/system/home/card#/company/D2CFB5207E9B4DAB96C517D53D2D0C86/101"/><Relationship Id="rId8467" Type="http://schemas.openxmlformats.org/officeDocument/2006/relationships/hyperlink" TargetMode="External" Target="https://spark-interfax.ru/system/home/card#/company/4284028B926443B1A75EA7FF20E34D1A/101"/><Relationship Id="rId8468" Type="http://schemas.openxmlformats.org/officeDocument/2006/relationships/hyperlink" TargetMode="External" Target="https://spark-interfax.ru/system/home/card#/company/0D766D84A77B449E8D885D2954A11617/101"/><Relationship Id="rId8469" Type="http://schemas.openxmlformats.org/officeDocument/2006/relationships/hyperlink" TargetMode="External" Target="https://spark-interfax.ru/system/home/card#/company/83F5F9D501D7403898FE00D1303B2AEE/101"/><Relationship Id="rId8470" Type="http://schemas.openxmlformats.org/officeDocument/2006/relationships/hyperlink" TargetMode="External" Target="https://spark-interfax.ru/system/home/card#/company/067626E1B34E440BA6E2CC592A964F7A/101"/><Relationship Id="rId8471" Type="http://schemas.openxmlformats.org/officeDocument/2006/relationships/hyperlink" TargetMode="External" Target="https://spark-interfax.ru/system/home/card#/company/B591F9AAF2694391BAFA86A3A15E8C9F/101"/><Relationship Id="rId8472" Type="http://schemas.openxmlformats.org/officeDocument/2006/relationships/hyperlink" TargetMode="External" Target="https://spark-interfax.ru/system/home/card#/company/59341BAF22EC4D19ADB54E9EFD8E7151/101"/><Relationship Id="rId8473" Type="http://schemas.openxmlformats.org/officeDocument/2006/relationships/hyperlink" TargetMode="External" Target="https://spark-interfax.ru/system/home/card#/company/1C6A3F181F2942B3BE71809EBE5C34BA/101"/><Relationship Id="rId8474" Type="http://schemas.openxmlformats.org/officeDocument/2006/relationships/hyperlink" TargetMode="External" Target="https://spark-interfax.ru/system/home/card#/company/77191B67E8604B95A39188C5AC2CE476/101"/><Relationship Id="rId8475" Type="http://schemas.openxmlformats.org/officeDocument/2006/relationships/hyperlink" TargetMode="External" Target="https://spark-interfax.ru/system/home/card#/company/44BFD732E4A54096B4BF4E09D596B545/101"/><Relationship Id="rId8476" Type="http://schemas.openxmlformats.org/officeDocument/2006/relationships/hyperlink" TargetMode="External" Target="https://spark-interfax.ru/system/home/card#/company/1559C74400A64250924EDCB6BDD39389/101"/><Relationship Id="rId8477" Type="http://schemas.openxmlformats.org/officeDocument/2006/relationships/hyperlink" TargetMode="External" Target="https://spark-interfax.ru/system/home/card#/company/D01D28AC30174567A75350E3CD10490F/101"/><Relationship Id="rId8478" Type="http://schemas.openxmlformats.org/officeDocument/2006/relationships/hyperlink" TargetMode="External" Target="https://spark-interfax.ru/system/home/card#/company/C0B4EE77876049E3BAB2EE60FF8EE722/101"/><Relationship Id="rId8479" Type="http://schemas.openxmlformats.org/officeDocument/2006/relationships/hyperlink" TargetMode="External" Target="https://spark-interfax.ru/system/home/card#/company/BF3B86E9002945CA8B3A1244A6F72201/101"/><Relationship Id="rId8480" Type="http://schemas.openxmlformats.org/officeDocument/2006/relationships/hyperlink" TargetMode="External" Target="https://spark-interfax.ru/system/home/card#/company/0B5E01EEE57B4061995D006BAFFC84B5/101"/><Relationship Id="rId8481" Type="http://schemas.openxmlformats.org/officeDocument/2006/relationships/hyperlink" TargetMode="External" Target="https://spark-interfax.ru/system/home/card#/company/9F1CDEC7893B2D4AE053179AA8C05716/101"/><Relationship Id="rId8482" Type="http://schemas.openxmlformats.org/officeDocument/2006/relationships/hyperlink" TargetMode="External" Target="https://spark-interfax.ru/system/home/card#/company/91620FE5AFBB489AB7779F8272ECAEDD/101"/><Relationship Id="rId8483" Type="http://schemas.openxmlformats.org/officeDocument/2006/relationships/hyperlink" TargetMode="External" Target="https://spark-interfax.ru/system/home/card#/company/39EC6D1F73474EF3BF9E21D2C411BA52/101"/><Relationship Id="rId8484" Type="http://schemas.openxmlformats.org/officeDocument/2006/relationships/hyperlink" TargetMode="External" Target="https://spark-interfax.ru/system/home/card#/company/1016AAB92246456194C58CCB1EF0DE5F/101"/><Relationship Id="rId8485" Type="http://schemas.openxmlformats.org/officeDocument/2006/relationships/hyperlink" TargetMode="External" Target="https://spark-interfax.ru/system/home/card#/company/E1FD031B60F448069B187D84D09BFCE5/101"/><Relationship Id="rId8486" Type="http://schemas.openxmlformats.org/officeDocument/2006/relationships/hyperlink" TargetMode="External" Target="https://spark-interfax.ru/system/home/card#/company/1771A2BE386944D1BBA8943FC0470C0A/101"/><Relationship Id="rId8487" Type="http://schemas.openxmlformats.org/officeDocument/2006/relationships/hyperlink" TargetMode="External" Target="https://spark-interfax.ru/system/home/card#/company/9BE79B8E9E2F457F9B1178378D290B1C/101"/><Relationship Id="rId8488" Type="http://schemas.openxmlformats.org/officeDocument/2006/relationships/hyperlink" TargetMode="External" Target="https://spark-interfax.ru/system/home/card#/company/816899B85E154D489F747B9BF5718306/101"/><Relationship Id="rId8489" Type="http://schemas.openxmlformats.org/officeDocument/2006/relationships/hyperlink" TargetMode="External" Target="https://spark-interfax.ru/system/home/card#/company/D08B2BA87D7C4C83A5FDEDA475BFA9B9/101"/><Relationship Id="rId8490" Type="http://schemas.openxmlformats.org/officeDocument/2006/relationships/hyperlink" TargetMode="External" Target="https://spark-interfax.ru/system/home/card#/company/1406D2877962472CAC95CAA22D12D983/101"/><Relationship Id="rId8491" Type="http://schemas.openxmlformats.org/officeDocument/2006/relationships/hyperlink" TargetMode="External" Target="https://spark-interfax.ru/system/home/card#/company/0B741FA7F11140A1AE441D046EE5550C/101"/><Relationship Id="rId8492" Type="http://schemas.openxmlformats.org/officeDocument/2006/relationships/hyperlink" TargetMode="External" Target="https://spark-interfax.ru/system/home/card#/company/B799EA167A364F368D7C6382FDF52BF7/101"/><Relationship Id="rId8493" Type="http://schemas.openxmlformats.org/officeDocument/2006/relationships/hyperlink" TargetMode="External" Target="https://spark-interfax.ru/system/home/card#/company/A43F649ED5B04E019D673290FF914BCB/101"/><Relationship Id="rId8494" Type="http://schemas.openxmlformats.org/officeDocument/2006/relationships/hyperlink" TargetMode="External" Target="https://spark-interfax.ru/system/home/card#/company/45A2DF40B0094D24B17B0CB8610BF70A/101"/><Relationship Id="rId8495" Type="http://schemas.openxmlformats.org/officeDocument/2006/relationships/hyperlink" TargetMode="External" Target="https://spark-interfax.ru/system/home/card#/company/258DCC8F3E894BF0AE872D7190079AD0/101"/><Relationship Id="rId8496" Type="http://schemas.openxmlformats.org/officeDocument/2006/relationships/hyperlink" TargetMode="External" Target="https://spark-interfax.ru/system/home/card#/company/A870730D2DF34C3BA5088F1EC1E192DE/101"/><Relationship Id="rId8497" Type="http://schemas.openxmlformats.org/officeDocument/2006/relationships/hyperlink" TargetMode="External" Target="https://spark-interfax.ru/system/home/card#/company/043289699A3C428FBEF966D0B10C6A47/101"/><Relationship Id="rId8498" Type="http://schemas.openxmlformats.org/officeDocument/2006/relationships/hyperlink" TargetMode="External" Target="https://spark-interfax.ru/system/home/card#/company/C6E2653F86744718889F6F4BA001E870/101"/><Relationship Id="rId8499" Type="http://schemas.openxmlformats.org/officeDocument/2006/relationships/hyperlink" TargetMode="External" Target="https://spark-interfax.ru/system/home/card#/company/7C3F8D14E8FE4759AF1C284D692A03CA/101"/><Relationship Id="rId8500" Type="http://schemas.openxmlformats.org/officeDocument/2006/relationships/hyperlink" TargetMode="External" Target="https://spark-interfax.ru/system/home/card#/company/B13976BDFD5D4D03A0B573B7084E40ED/101"/><Relationship Id="rId8501" Type="http://schemas.openxmlformats.org/officeDocument/2006/relationships/hyperlink" TargetMode="External" Target="https://spark-interfax.ru/system/home/card#/company/F8A20AFF2F5B4E0C97AE133F02BD97D8/101"/><Relationship Id="rId8502" Type="http://schemas.openxmlformats.org/officeDocument/2006/relationships/hyperlink" TargetMode="External" Target="https://spark-interfax.ru/system/home/card#/company/4B4994B83A32475E958D7BAB296FBD83/101"/><Relationship Id="rId8503" Type="http://schemas.openxmlformats.org/officeDocument/2006/relationships/hyperlink" TargetMode="External" Target="https://spark-interfax.ru/system/home/card#/company/D11867E3FC8744468FEDE9D89C1F1C0C/101"/><Relationship Id="rId8504" Type="http://schemas.openxmlformats.org/officeDocument/2006/relationships/hyperlink" TargetMode="External" Target="https://spark-interfax.ru/system/home/card#/company/B5BB35ADAE964622BDB5BDFC65FC9E13/101"/><Relationship Id="rId8505" Type="http://schemas.openxmlformats.org/officeDocument/2006/relationships/hyperlink" TargetMode="External" Target="https://spark-interfax.ru/system/home/card#/company/AC4F51294C577304E053189AA8C0AF7F/101"/><Relationship Id="rId8506" Type="http://schemas.openxmlformats.org/officeDocument/2006/relationships/hyperlink" TargetMode="External" Target="https://spark-interfax.ru/system/home/card#/company/7B50506FF0CD4E3F92B06C2EC799EAB9/101"/><Relationship Id="rId8507" Type="http://schemas.openxmlformats.org/officeDocument/2006/relationships/hyperlink" TargetMode="External" Target="https://spark-interfax.ru/system/home/card#/company/67E177C8B1D145BBB2AD899F19216050/101"/><Relationship Id="rId8508" Type="http://schemas.openxmlformats.org/officeDocument/2006/relationships/hyperlink" TargetMode="External" Target="https://spark-interfax.ru/system/home/card#/company/F5A4070A057B4BAD9B21654E656BFE8F/101"/><Relationship Id="rId8509" Type="http://schemas.openxmlformats.org/officeDocument/2006/relationships/hyperlink" TargetMode="External" Target="https://spark-interfax.ru/system/home/card#/company/8B5AE18B6E0E428B82E47A2355B8948F/101"/><Relationship Id="rId8510" Type="http://schemas.openxmlformats.org/officeDocument/2006/relationships/hyperlink" TargetMode="External" Target="https://spark-interfax.ru/system/home/card#/company/A7C183CA72A5492DE053189AA8C09CEB/101"/><Relationship Id="rId8511" Type="http://schemas.openxmlformats.org/officeDocument/2006/relationships/hyperlink" TargetMode="External" Target="https://spark-interfax.ru/system/home/card#/company/C4F90119646649FDAC9635430E5203DF/101"/><Relationship Id="rId8512" Type="http://schemas.openxmlformats.org/officeDocument/2006/relationships/hyperlink" TargetMode="External" Target="https://spark-interfax.ru/system/home/card#/company/6CD0BA2AE81B49969D6E7AB411F3C739/101"/><Relationship Id="rId8513" Type="http://schemas.openxmlformats.org/officeDocument/2006/relationships/hyperlink" TargetMode="External" Target="https://spark-interfax.ru/system/home/card#/company/23AD0C631DF4446E9ED04F0C0F21B00B/101"/><Relationship Id="rId8514" Type="http://schemas.openxmlformats.org/officeDocument/2006/relationships/hyperlink" TargetMode="External" Target="https://spark-interfax.ru/system/home/card#/company/65ABBBE9A589042FE0531B9AA8C0AD3A/101"/><Relationship Id="rId8515" Type="http://schemas.openxmlformats.org/officeDocument/2006/relationships/hyperlink" TargetMode="External" Target="https://spark-interfax.ru/system/home/card#/company/564A91247E69400CB7FD73FFF4EC890E/101"/><Relationship Id="rId8516" Type="http://schemas.openxmlformats.org/officeDocument/2006/relationships/hyperlink" TargetMode="External" Target="https://spark-interfax.ru/system/home/card#/company/3E0D3B1715DD4DA3BA99496ADF1325EE/101"/><Relationship Id="rId8517" Type="http://schemas.openxmlformats.org/officeDocument/2006/relationships/hyperlink" TargetMode="External" Target="https://spark-interfax.ru/system/home/card#/company/6D8773285CC48B26E0531B9AA8C0BA43/101"/><Relationship Id="rId8518" Type="http://schemas.openxmlformats.org/officeDocument/2006/relationships/hyperlink" TargetMode="External" Target="https://spark-interfax.ru/system/home/card#/company/9F6AADA8279B48E0E053179AA8C0E347/101"/><Relationship Id="rId8519" Type="http://schemas.openxmlformats.org/officeDocument/2006/relationships/hyperlink" TargetMode="External" Target="https://spark-interfax.ru/system/home/card#/company/FA66F481DFB2420C8F50F80E54485255/101"/><Relationship Id="rId8520" Type="http://schemas.openxmlformats.org/officeDocument/2006/relationships/hyperlink" TargetMode="External" Target="https://spark-interfax.ru/system/home/card#/company/4BBD97F453F24B32AF86DCF0F6619F5D/101"/><Relationship Id="rId8521" Type="http://schemas.openxmlformats.org/officeDocument/2006/relationships/hyperlink" TargetMode="External" Target="https://spark-interfax.ru/system/home/card#/company/16C5B50EE6DB4A198CA4A7811B38F288/101"/><Relationship Id="rId8522" Type="http://schemas.openxmlformats.org/officeDocument/2006/relationships/hyperlink" TargetMode="External" Target="https://spark-interfax.ru/system/home/card#/company/24C86F8D035648FC812AFB6729E8D26F/101"/><Relationship Id="rId8523" Type="http://schemas.openxmlformats.org/officeDocument/2006/relationships/hyperlink" TargetMode="External" Target="https://spark-interfax.ru/system/home/card#/company/19E408DDFA1046EE8FB09A6A730837BE/101"/><Relationship Id="rId8524" Type="http://schemas.openxmlformats.org/officeDocument/2006/relationships/hyperlink" TargetMode="External" Target="https://spark-interfax.ru/system/home/card#/company/0E198789813841ADB0D2FB7124A5810B/101"/><Relationship Id="rId8525" Type="http://schemas.openxmlformats.org/officeDocument/2006/relationships/hyperlink" TargetMode="External" Target="https://spark-interfax.ru/system/home/card#/company/E164C11F8ADD449F86D2E91F96769AFB/101"/><Relationship Id="rId8526" Type="http://schemas.openxmlformats.org/officeDocument/2006/relationships/hyperlink" TargetMode="External" Target="https://spark-interfax.ru/system/home/card#/company/01AC3526C9744D288439D392A4897FA6/101"/><Relationship Id="rId8527" Type="http://schemas.openxmlformats.org/officeDocument/2006/relationships/hyperlink" TargetMode="External" Target="https://spark-interfax.ru/system/home/card#/company/25F69D65D864484EBC2C7E2E6E20EF2C/101"/><Relationship Id="rId8528" Type="http://schemas.openxmlformats.org/officeDocument/2006/relationships/hyperlink" TargetMode="External" Target="https://spark-interfax.ru/system/home/card#/company/3D9A5D3A6030446DAE7F489C86A0DA5D/101"/><Relationship Id="rId8529" Type="http://schemas.openxmlformats.org/officeDocument/2006/relationships/hyperlink" TargetMode="External" Target="https://spark-interfax.ru/system/home/card#/company/60DE506822C8458AA2AABFC30436F134/101"/><Relationship Id="rId8530" Type="http://schemas.openxmlformats.org/officeDocument/2006/relationships/hyperlink" TargetMode="External" Target="https://spark-interfax.ru/system/home/card#/company/FBD4810534B14A92AEFD8FDBF3F40FD9/101"/><Relationship Id="rId8531" Type="http://schemas.openxmlformats.org/officeDocument/2006/relationships/hyperlink" TargetMode="External" Target="https://spark-interfax.ru/system/home/card#/company/39041921F59D450BB4BEF9A7E7B29A44/101"/><Relationship Id="rId8532" Type="http://schemas.openxmlformats.org/officeDocument/2006/relationships/hyperlink" TargetMode="External" Target="https://spark-interfax.ru/system/home/card#/company/A5ED39817FFC4354BA49C5E1BADEC038/101"/><Relationship Id="rId8533" Type="http://schemas.openxmlformats.org/officeDocument/2006/relationships/hyperlink" TargetMode="External" Target="https://spark-interfax.ru/system/home/card#/company/149C7EBF2D154A4785533CEEF5215BD9/101"/><Relationship Id="rId8534" Type="http://schemas.openxmlformats.org/officeDocument/2006/relationships/hyperlink" TargetMode="External" Target="https://spark-interfax.ru/system/home/card#/company/B64B638F982040DC96D011FFA060939A/101"/><Relationship Id="rId8535" Type="http://schemas.openxmlformats.org/officeDocument/2006/relationships/hyperlink" TargetMode="External" Target="https://spark-interfax.ru/system/home/card#/company/E72E2FAE6DDC46D7A60F93AB80763228/101"/><Relationship Id="rId8536" Type="http://schemas.openxmlformats.org/officeDocument/2006/relationships/hyperlink" TargetMode="External" Target="https://spark-interfax.ru/system/home/card#/company/60F4AAD06C4D14D4E0531B9AA8C09B35/101"/><Relationship Id="rId8537" Type="http://schemas.openxmlformats.org/officeDocument/2006/relationships/hyperlink" TargetMode="External" Target="https://spark-interfax.ru/system/home/card#/company/57D6E0DDCCA345C5AA5050DF4AADAA51/101"/><Relationship Id="rId8538" Type="http://schemas.openxmlformats.org/officeDocument/2006/relationships/hyperlink" TargetMode="External" Target="https://spark-interfax.ru/system/home/card#/company/7F566DB477F64C52E0531B9AA8C0D3CD/101"/><Relationship Id="rId8539" Type="http://schemas.openxmlformats.org/officeDocument/2006/relationships/hyperlink" TargetMode="External" Target="https://spark-interfax.ru/system/home/card#/company/49F87AD56BB04FF39B94FD4A30498A55/101"/><Relationship Id="rId8540" Type="http://schemas.openxmlformats.org/officeDocument/2006/relationships/hyperlink" TargetMode="External" Target="https://spark-interfax.ru/system/home/card#/company/0B33060D604442308A6767741707E55D/101"/><Relationship Id="rId8541" Type="http://schemas.openxmlformats.org/officeDocument/2006/relationships/hyperlink" TargetMode="External" Target="https://spark-interfax.ru/system/home/card#/company/4E6D3617BDFD4FB7A07B80A0ECFFCDBB/101"/><Relationship Id="rId8542" Type="http://schemas.openxmlformats.org/officeDocument/2006/relationships/hyperlink" TargetMode="External" Target="https://spark-interfax.ru/system/home/card#/company/CDB37D11F9FF778DE053219AA8C03CE0/101"/><Relationship Id="rId8543" Type="http://schemas.openxmlformats.org/officeDocument/2006/relationships/hyperlink" TargetMode="External" Target="https://spark-interfax.ru/system/home/card#/company/AE4CE1E6002B4096A289D7726E074DED/101"/><Relationship Id="rId8544" Type="http://schemas.openxmlformats.org/officeDocument/2006/relationships/hyperlink" TargetMode="External" Target="https://spark-interfax.ru/system/home/card#/company/F38F52A31FA045B79F43FE992F6AC683/101"/><Relationship Id="rId8545" Type="http://schemas.openxmlformats.org/officeDocument/2006/relationships/hyperlink" TargetMode="External" Target="https://spark-interfax.ru/system/home/card#/company/630E04CB1C5E4CAD83B2D05905F9F9E4/101"/><Relationship Id="rId8546" Type="http://schemas.openxmlformats.org/officeDocument/2006/relationships/hyperlink" TargetMode="External" Target="https://spark-interfax.ru/system/home/card#/company/601E3676125C4D1DAC95CE54A9730CE5/101"/><Relationship Id="rId8547" Type="http://schemas.openxmlformats.org/officeDocument/2006/relationships/hyperlink" TargetMode="External" Target="https://spark-interfax.ru/system/home/card#/company/04748293D5C14C17BDBAB1D6B5423D09/101"/><Relationship Id="rId8548" Type="http://schemas.openxmlformats.org/officeDocument/2006/relationships/hyperlink" TargetMode="External" Target="https://spark-interfax.ru/system/home/card#/company/81B7E6F21E373FA0E0531B9AA8C0DE4B/101"/><Relationship Id="rId8549" Type="http://schemas.openxmlformats.org/officeDocument/2006/relationships/hyperlink" TargetMode="External" Target="https://spark-interfax.ru/system/home/card#/company/F8AF359FB38544B0B2AFA410AA4F1C33/101"/><Relationship Id="rId8550" Type="http://schemas.openxmlformats.org/officeDocument/2006/relationships/hyperlink" TargetMode="External" Target="https://spark-interfax.ru/system/home/card#/company/AB02BDC8992A47B6B51D53DE36728408/101"/><Relationship Id="rId8551" Type="http://schemas.openxmlformats.org/officeDocument/2006/relationships/hyperlink" TargetMode="External" Target="https://spark-interfax.ru/system/home/card#/company/F6941D10155443C6AEE33F28511DEEF8/101"/><Relationship Id="rId8552" Type="http://schemas.openxmlformats.org/officeDocument/2006/relationships/hyperlink" TargetMode="External" Target="https://spark-interfax.ru/system/home/card#/company/06B518E6CB69453D9983997D6A66E840/101"/><Relationship Id="rId8553" Type="http://schemas.openxmlformats.org/officeDocument/2006/relationships/hyperlink" TargetMode="External" Target="https://spark-interfax.ru/system/home/card#/company/E2A69AE4D12F4A30A779EB2FFD147E4B/101"/><Relationship Id="rId8554" Type="http://schemas.openxmlformats.org/officeDocument/2006/relationships/hyperlink" TargetMode="External" Target="https://spark-interfax.ru/system/home/card#/company/4D6A025C719841E6BE6C48817371C48E/101"/><Relationship Id="rId8555" Type="http://schemas.openxmlformats.org/officeDocument/2006/relationships/hyperlink" TargetMode="External" Target="https://spark-interfax.ru/system/home/card#/company/8BD5BF59D72C45D39A41CB2A25CB5699/101"/><Relationship Id="rId8556" Type="http://schemas.openxmlformats.org/officeDocument/2006/relationships/hyperlink" TargetMode="External" Target="https://spark-interfax.ru/system/home/card#/company/96B789600C9C43D19D203312319DBBA8/101"/><Relationship Id="rId8557" Type="http://schemas.openxmlformats.org/officeDocument/2006/relationships/hyperlink" TargetMode="External" Target="https://spark-interfax.ru/system/home/card#/company/9461DD9DE7AC4120AE2F5C38F107C30A/101"/><Relationship Id="rId8558" Type="http://schemas.openxmlformats.org/officeDocument/2006/relationships/hyperlink" TargetMode="External" Target="https://spark-interfax.ru/system/home/card#/company/89798330CE114630AA56E04C95B95CCB/101"/><Relationship Id="rId8559" Type="http://schemas.openxmlformats.org/officeDocument/2006/relationships/hyperlink" TargetMode="External" Target="https://spark-interfax.ru/system/home/card#/company/9A63BAF96D8C0939E053179AA8C0997A/101"/><Relationship Id="rId8560" Type="http://schemas.openxmlformats.org/officeDocument/2006/relationships/hyperlink" TargetMode="External" Target="https://spark-interfax.ru/system/home/card#/company/EAA18EA64302470199EAA44D14809FB8/101"/><Relationship Id="rId8561" Type="http://schemas.openxmlformats.org/officeDocument/2006/relationships/hyperlink" TargetMode="External" Target="https://spark-interfax.ru/system/home/card#/company/10F443DB960141BA8EB2D7762305EE61/101"/><Relationship Id="rId8562" Type="http://schemas.openxmlformats.org/officeDocument/2006/relationships/hyperlink" TargetMode="External" Target="https://spark-interfax.ru/system/home/card#/company/61294281BBA6438F86E7B347226B3944/101"/><Relationship Id="rId8563" Type="http://schemas.openxmlformats.org/officeDocument/2006/relationships/hyperlink" TargetMode="External" Target="https://spark-interfax.ru/system/home/card#/company/9750CD8AB6844ADE9509BEC1A24BC92A/101"/><Relationship Id="rId8564" Type="http://schemas.openxmlformats.org/officeDocument/2006/relationships/hyperlink" TargetMode="External" Target="https://spark-interfax.ru/system/home/card#/company/7726C4D2754F415683892389B09667EA/101"/><Relationship Id="rId8565" Type="http://schemas.openxmlformats.org/officeDocument/2006/relationships/hyperlink" TargetMode="External" Target="https://spark-interfax.ru/system/home/card#/company/FE1C0BD5F2944B2F90A0F76A736017CE/101"/><Relationship Id="rId8566" Type="http://schemas.openxmlformats.org/officeDocument/2006/relationships/hyperlink" TargetMode="External" Target="https://spark-interfax.ru/system/home/card#/company/203F885FE76E4D2A9B62592DF1215B91/101"/><Relationship Id="rId8567" Type="http://schemas.openxmlformats.org/officeDocument/2006/relationships/hyperlink" TargetMode="External" Target="https://spark-interfax.ru/system/home/card#/company/8ADC0285953144048D3778F9C29888C5/101"/><Relationship Id="rId8568" Type="http://schemas.openxmlformats.org/officeDocument/2006/relationships/hyperlink" TargetMode="External" Target="https://spark-interfax.ru/system/home/card#/company/1FD7A6041EA04D21AF89A2E266F311CA/101"/><Relationship Id="rId8569" Type="http://schemas.openxmlformats.org/officeDocument/2006/relationships/hyperlink" TargetMode="External" Target="https://spark-interfax.ru/system/home/card#/company/278686596657469AB06E6E0C9FCF2665/101"/><Relationship Id="rId8570" Type="http://schemas.openxmlformats.org/officeDocument/2006/relationships/hyperlink" TargetMode="External" Target="https://spark-interfax.ru/system/home/card#/company/687F26C7B4FC336EE0531B9AA8C0083A/101"/><Relationship Id="rId8571" Type="http://schemas.openxmlformats.org/officeDocument/2006/relationships/hyperlink" TargetMode="External" Target="https://spark-interfax.ru/system/home/card#/company/252C875FFE7944AEAF654E186818E9EF/101"/><Relationship Id="rId8572" Type="http://schemas.openxmlformats.org/officeDocument/2006/relationships/hyperlink" TargetMode="External" Target="https://spark-interfax.ru/system/home/card#/company/A040ACE1834F430DBCCD6F4345C6D847/101"/><Relationship Id="rId8573" Type="http://schemas.openxmlformats.org/officeDocument/2006/relationships/hyperlink" TargetMode="External" Target="https://spark-interfax.ru/system/home/card#/company/D43523E588B94B82B1FD700184B25D20/101"/><Relationship Id="rId8574" Type="http://schemas.openxmlformats.org/officeDocument/2006/relationships/hyperlink" TargetMode="External" Target="https://spark-interfax.ru/system/home/card#/company/B3A3D13E52FE48478392814823A9C22D/101"/><Relationship Id="rId8575" Type="http://schemas.openxmlformats.org/officeDocument/2006/relationships/hyperlink" TargetMode="External" Target="https://spark-interfax.ru/system/home/card#/company/B6A8AB50F9E64E038BEE0B7670A213F7/101"/><Relationship Id="rId8576" Type="http://schemas.openxmlformats.org/officeDocument/2006/relationships/hyperlink" TargetMode="External" Target="https://spark-interfax.ru/system/home/card#/company/36BDD4BE00324706B3940D80D8AA50F5/101"/><Relationship Id="rId8577" Type="http://schemas.openxmlformats.org/officeDocument/2006/relationships/hyperlink" TargetMode="External" Target="https://spark-interfax.ru/system/home/card#/company/0CDD2DB25D304DA6BA3AACB1ACEFB19F/101"/><Relationship Id="rId8578" Type="http://schemas.openxmlformats.org/officeDocument/2006/relationships/hyperlink" TargetMode="External" Target="https://spark-interfax.ru/system/home/card#/company/3748CF431949414392BC675E43E099A0/101"/><Relationship Id="rId8579" Type="http://schemas.openxmlformats.org/officeDocument/2006/relationships/hyperlink" TargetMode="External" Target="https://spark-interfax.ru/system/home/card#/company/DC9FB4F2CC5F43318F0DD61F83CDBB69/101"/><Relationship Id="rId8580" Type="http://schemas.openxmlformats.org/officeDocument/2006/relationships/hyperlink" TargetMode="External" Target="https://spark-interfax.ru/system/home/card#/company/D1489254ED7A4DE39439C379A508E681/101"/><Relationship Id="rId8581" Type="http://schemas.openxmlformats.org/officeDocument/2006/relationships/hyperlink" TargetMode="External" Target="https://spark-interfax.ru/system/home/card#/company/FF5F78AA7CA14FFA8A6BDA5F0EBE56E9/101"/><Relationship Id="rId8582" Type="http://schemas.openxmlformats.org/officeDocument/2006/relationships/hyperlink" TargetMode="External" Target="https://spark-interfax.ru/system/home/card#/company/92CFCE2C20B44B52B519D520960D35E5/101"/><Relationship Id="rId8583" Type="http://schemas.openxmlformats.org/officeDocument/2006/relationships/hyperlink" TargetMode="External" Target="https://spark-interfax.ru/system/home/card#/company/A8316CC4DCE442F595F775957408A83F/101"/><Relationship Id="rId8584" Type="http://schemas.openxmlformats.org/officeDocument/2006/relationships/hyperlink" TargetMode="External" Target="https://spark-interfax.ru/system/home/card#/company/9031EE0D49694532BB94BEFC3D99F773/101"/><Relationship Id="rId8585" Type="http://schemas.openxmlformats.org/officeDocument/2006/relationships/hyperlink" TargetMode="External" Target="https://spark-interfax.ru/system/home/card#/company/1BB0CCC00DB1416FB8A3619A83303D49/101"/><Relationship Id="rId8586" Type="http://schemas.openxmlformats.org/officeDocument/2006/relationships/hyperlink" TargetMode="External" Target="https://spark-interfax.ru/system/home/card#/company/77FC329960F2449585B2B95ECE7BA7A2/101"/><Relationship Id="rId8587" Type="http://schemas.openxmlformats.org/officeDocument/2006/relationships/hyperlink" TargetMode="External" Target="https://spark-interfax.ru/system/home/card#/company/8D2F6F2491A64432929F8489712434B0/101"/><Relationship Id="rId8588" Type="http://schemas.openxmlformats.org/officeDocument/2006/relationships/hyperlink" TargetMode="External" Target="https://spark-interfax.ru/system/home/card#/company/4C6E4925A25742C5847574553C622185/101"/><Relationship Id="rId8589" Type="http://schemas.openxmlformats.org/officeDocument/2006/relationships/hyperlink" TargetMode="External" Target="https://spark-interfax.ru/system/home/card#/company/9B46F82DEB8A44D3AB305F52325E5656/101"/><Relationship Id="rId8590" Type="http://schemas.openxmlformats.org/officeDocument/2006/relationships/hyperlink" TargetMode="External" Target="https://spark-interfax.ru/system/home/card#/company/741195529360406A96E73372E62336BB/101"/><Relationship Id="rId8591" Type="http://schemas.openxmlformats.org/officeDocument/2006/relationships/hyperlink" TargetMode="External" Target="https://spark-interfax.ru/system/home/card#/company/4C27BA72DE8840D69DEFF41C14EF1CA3/101"/><Relationship Id="rId8592" Type="http://schemas.openxmlformats.org/officeDocument/2006/relationships/hyperlink" TargetMode="External" Target="https://spark-interfax.ru/system/home/card#/company/06526FE515624BB19DEA75A0DEC67623/101"/><Relationship Id="rId8593" Type="http://schemas.openxmlformats.org/officeDocument/2006/relationships/hyperlink" TargetMode="External" Target="https://spark-interfax.ru/system/home/card#/company/3B231558FB1B49E883279ADE5D4CAB14/101"/><Relationship Id="rId8594" Type="http://schemas.openxmlformats.org/officeDocument/2006/relationships/hyperlink" TargetMode="External" Target="https://spark-interfax.ru/system/home/card#/company/BF21245B491B4E9FA59A108E122A3FA3/101"/><Relationship Id="rId8595" Type="http://schemas.openxmlformats.org/officeDocument/2006/relationships/hyperlink" TargetMode="External" Target="https://spark-interfax.ru/system/home/card#/company/A84E5DC1BCD46B1FE053189AA8C00E25/101"/><Relationship Id="rId8596" Type="http://schemas.openxmlformats.org/officeDocument/2006/relationships/hyperlink" TargetMode="External" Target="https://spark-interfax.ru/system/home/card#/company/EC0EBE9FDF344C6CB7E728AA3DDC9565/101"/><Relationship Id="rId8597" Type="http://schemas.openxmlformats.org/officeDocument/2006/relationships/hyperlink" TargetMode="External" Target="https://spark-interfax.ru/system/home/card#/company/CBD007A290854004B65F39BEE1684A28/101"/><Relationship Id="rId8598" Type="http://schemas.openxmlformats.org/officeDocument/2006/relationships/hyperlink" TargetMode="External" Target="https://spark-interfax.ru/system/home/card#/company/7760A953A4924C1E9B37FCAC4E1162CA/101"/><Relationship Id="rId8599" Type="http://schemas.openxmlformats.org/officeDocument/2006/relationships/hyperlink" TargetMode="External" Target="https://spark-interfax.ru/system/home/card#/company/C7CFC3E1A4F12273E053219AA8C04C51/101"/><Relationship Id="rId8600" Type="http://schemas.openxmlformats.org/officeDocument/2006/relationships/hyperlink" TargetMode="External" Target="https://spark-interfax.ru/system/home/card#/company/DF4CB22BCB764E779D3E2456697E5BA2/101"/><Relationship Id="rId8601" Type="http://schemas.openxmlformats.org/officeDocument/2006/relationships/hyperlink" TargetMode="External" Target="https://spark-interfax.ru/system/home/card#/company/1B134F48892C49598448172B9BDD04C8/101"/><Relationship Id="rId8602" Type="http://schemas.openxmlformats.org/officeDocument/2006/relationships/hyperlink" TargetMode="External" Target="https://spark-interfax.ru/system/home/card#/company/EFDEE623DB7F48DA952524C914CD2973/101"/><Relationship Id="rId8603" Type="http://schemas.openxmlformats.org/officeDocument/2006/relationships/hyperlink" TargetMode="External" Target="https://spark-interfax.ru/system/home/card#/company/30F08F12976A4E8D9E2392A3E1292B2F/101"/><Relationship Id="rId8604" Type="http://schemas.openxmlformats.org/officeDocument/2006/relationships/hyperlink" TargetMode="External" Target="https://spark-interfax.ru/system/home/card#/company/91C0DF67399140BFA935ED99C61640A0/101"/><Relationship Id="rId8605" Type="http://schemas.openxmlformats.org/officeDocument/2006/relationships/hyperlink" TargetMode="External" Target="https://spark-interfax.ru/system/home/card#/company/2F189D606B384D8BBE0BC44F14675218/101"/><Relationship Id="rId8606" Type="http://schemas.openxmlformats.org/officeDocument/2006/relationships/hyperlink" TargetMode="External" Target="https://spark-interfax.ru/system/home/card#/company/4AFD3660975B4938A743358F11016A16/101"/><Relationship Id="rId8607" Type="http://schemas.openxmlformats.org/officeDocument/2006/relationships/hyperlink" TargetMode="External" Target="https://spark-interfax.ru/system/home/card#/company/54DFD4B683DC4F15A4A2D53B7996E89F/101"/><Relationship Id="rId8608" Type="http://schemas.openxmlformats.org/officeDocument/2006/relationships/hyperlink" TargetMode="External" Target="https://spark-interfax.ru/system/home/card#/company/D3907CE09B4F441EBDB8244612F0B7D3/101"/><Relationship Id="rId8609" Type="http://schemas.openxmlformats.org/officeDocument/2006/relationships/hyperlink" TargetMode="External" Target="https://spark-interfax.ru/system/home/card#/company/4A86A0D858DF422E9912239737C83EF0/101"/><Relationship Id="rId8610" Type="http://schemas.openxmlformats.org/officeDocument/2006/relationships/hyperlink" TargetMode="External" Target="https://spark-interfax.ru/system/home/card#/company/CCC6F50B187D4FEC8276EB94B7A62A58/101"/><Relationship Id="rId8611" Type="http://schemas.openxmlformats.org/officeDocument/2006/relationships/hyperlink" TargetMode="External" Target="https://spark-interfax.ru/system/home/card#/company/EEE7F7DA212F45698B10368E88B67862/101"/><Relationship Id="rId8612" Type="http://schemas.openxmlformats.org/officeDocument/2006/relationships/hyperlink" TargetMode="External" Target="https://spark-interfax.ru/system/home/card#/company/43BB555E0EF04E25A56028FC38B1A5B5/101"/><Relationship Id="rId8613" Type="http://schemas.openxmlformats.org/officeDocument/2006/relationships/hyperlink" TargetMode="External" Target="https://spark-interfax.ru/system/home/card#/company/69BE285014214C2BADEB45121F420986/101"/><Relationship Id="rId8614" Type="http://schemas.openxmlformats.org/officeDocument/2006/relationships/hyperlink" TargetMode="External" Target="https://spark-interfax.ru/system/home/card#/company/8C16877A83824FB19AB59A906416F741/101"/><Relationship Id="rId8615" Type="http://schemas.openxmlformats.org/officeDocument/2006/relationships/hyperlink" TargetMode="External" Target="https://spark-interfax.ru/system/home/card#/company/39D3FC65762E4545A85F4FECC59E4C41/101"/><Relationship Id="rId8616" Type="http://schemas.openxmlformats.org/officeDocument/2006/relationships/hyperlink" TargetMode="External" Target="https://spark-interfax.ru/system/home/card#/company/8D23D9A1B13C47ADB28F616958D95BD0/101"/><Relationship Id="rId8617" Type="http://schemas.openxmlformats.org/officeDocument/2006/relationships/hyperlink" TargetMode="External" Target="https://spark-interfax.ru/system/home/card#/company/425D060B36604ADF8F704AE2E03D00C9/101"/><Relationship Id="rId8618" Type="http://schemas.openxmlformats.org/officeDocument/2006/relationships/hyperlink" TargetMode="External" Target="https://spark-interfax.ru/system/home/card#/company/348196F66C464DF1982C8D6699BAF2EA/101"/><Relationship Id="rId8619" Type="http://schemas.openxmlformats.org/officeDocument/2006/relationships/hyperlink" TargetMode="External" Target="https://spark-interfax.ru/system/home/card#/company/738E2512BAF64E9797BE7E09E91F2BCB/101"/><Relationship Id="rId8620" Type="http://schemas.openxmlformats.org/officeDocument/2006/relationships/hyperlink" TargetMode="External" Target="https://spark-interfax.ru/system/home/card#/company/B74E654B0289016AE053219AA8C0EB5F/101"/><Relationship Id="rId8621" Type="http://schemas.openxmlformats.org/officeDocument/2006/relationships/hyperlink" TargetMode="External" Target="https://spark-interfax.ru/system/home/card#/company/6936F4C1EBF74607BD155D403910FC02/101"/><Relationship Id="rId8622" Type="http://schemas.openxmlformats.org/officeDocument/2006/relationships/hyperlink" TargetMode="External" Target="https://spark-interfax.ru/system/home/card#/company/7136583942E21A37E0531B9AA8C00F41/101"/><Relationship Id="rId8623" Type="http://schemas.openxmlformats.org/officeDocument/2006/relationships/hyperlink" TargetMode="External" Target="https://spark-interfax.ru/system/home/card#/company/950BCDFA49AA22E6E0531B9AA8C037A6/101"/><Relationship Id="rId8624" Type="http://schemas.openxmlformats.org/officeDocument/2006/relationships/hyperlink" TargetMode="External" Target="https://spark-interfax.ru/system/home/card#/company/C19EE774FF024DDC946103A45A676B3C/101"/><Relationship Id="rId8625" Type="http://schemas.openxmlformats.org/officeDocument/2006/relationships/hyperlink" TargetMode="External" Target="https://spark-interfax.ru/system/home/card#/company/290282361D334D378151BC927F07E2D9/101"/><Relationship Id="rId8626" Type="http://schemas.openxmlformats.org/officeDocument/2006/relationships/hyperlink" TargetMode="External" Target="https://spark-interfax.ru/system/home/card#/company/66C1DD0D6A074FACACDD390344524085/101"/><Relationship Id="rId8627" Type="http://schemas.openxmlformats.org/officeDocument/2006/relationships/hyperlink" TargetMode="External" Target="https://spark-interfax.ru/system/home/card#/company/87225C946B4D43AB84C93C93281C1334/101"/><Relationship Id="rId8628" Type="http://schemas.openxmlformats.org/officeDocument/2006/relationships/hyperlink" TargetMode="External" Target="https://spark-interfax.ru/system/home/card#/company/EBDC6C7A9C4643E296C269A5DA4C0795/101"/><Relationship Id="rId8629" Type="http://schemas.openxmlformats.org/officeDocument/2006/relationships/hyperlink" TargetMode="External" Target="https://spark-interfax.ru/system/home/card#/company/19DACDE76BB94FD88F87D7F0115CECF3/101"/><Relationship Id="rId8630" Type="http://schemas.openxmlformats.org/officeDocument/2006/relationships/hyperlink" TargetMode="External" Target="https://spark-interfax.ru/system/home/card#/company/5AD4939D33D044D385E1B5E38267184E/101"/><Relationship Id="rId8631" Type="http://schemas.openxmlformats.org/officeDocument/2006/relationships/hyperlink" TargetMode="External" Target="https://spark-interfax.ru/system/home/card#/company/833D7CB42DF348B2B3AB2C1660494249/101"/><Relationship Id="rId8632" Type="http://schemas.openxmlformats.org/officeDocument/2006/relationships/hyperlink" TargetMode="External" Target="https://spark-interfax.ru/system/home/card#/company/DEE6FF5D89314A22ACD1D996C5409254/101"/><Relationship Id="rId8633" Type="http://schemas.openxmlformats.org/officeDocument/2006/relationships/hyperlink" TargetMode="External" Target="https://spark-interfax.ru/system/home/card#/company/D8FF514494734D309788E6CA898DE825/101"/><Relationship Id="rId8634" Type="http://schemas.openxmlformats.org/officeDocument/2006/relationships/hyperlink" TargetMode="External" Target="https://spark-interfax.ru/system/home/card#/company/8BB2FE244C882268E0531C9AA8C0C8BC/101"/><Relationship Id="rId8635" Type="http://schemas.openxmlformats.org/officeDocument/2006/relationships/hyperlink" TargetMode="External" Target="https://spark-interfax.ru/system/home/card#/company/C14401A56E184834990C379A6A3D350D/101"/><Relationship Id="rId8636" Type="http://schemas.openxmlformats.org/officeDocument/2006/relationships/hyperlink" TargetMode="External" Target="https://spark-interfax.ru/system/home/card#/company/27DE70098C4E4DC19AB1D3F724B2E6B9/101"/><Relationship Id="rId8637" Type="http://schemas.openxmlformats.org/officeDocument/2006/relationships/hyperlink" TargetMode="External" Target="https://spark-interfax.ru/system/home/card#/company/580928B3DC244BC0827D997EFAA10C2C/101"/><Relationship Id="rId8638" Type="http://schemas.openxmlformats.org/officeDocument/2006/relationships/hyperlink" TargetMode="External" Target="https://spark-interfax.ru/system/home/card#/company/C88DC86C35DE4E8B9EE35C04250A007E/101"/><Relationship Id="rId8639" Type="http://schemas.openxmlformats.org/officeDocument/2006/relationships/hyperlink" TargetMode="External" Target="https://spark-interfax.ru/system/home/card#/company/DFED2ACFA5E248D09CEFE8431FE0E0A5/101"/><Relationship Id="rId8640" Type="http://schemas.openxmlformats.org/officeDocument/2006/relationships/hyperlink" TargetMode="External" Target="https://spark-interfax.ru/system/home/card#/company/5D561DF60BC6425CA49D0E7DDAAB04C1/101"/><Relationship Id="rId8641" Type="http://schemas.openxmlformats.org/officeDocument/2006/relationships/hyperlink" TargetMode="External" Target="https://spark-interfax.ru/system/home/card#/company/39E820630F9F4CD39C5734E5CDE18CB8/101"/><Relationship Id="rId8642" Type="http://schemas.openxmlformats.org/officeDocument/2006/relationships/hyperlink" TargetMode="External" Target="https://spark-interfax.ru/system/home/card#/company/692DD0EB1D0F4AE9A97A936D1A5BE4FC/101"/><Relationship Id="rId8643" Type="http://schemas.openxmlformats.org/officeDocument/2006/relationships/hyperlink" TargetMode="External" Target="https://spark-interfax.ru/system/home/card#/company/4F74E49595CF40FABB96FB17A1F9C6AD/101"/><Relationship Id="rId8644" Type="http://schemas.openxmlformats.org/officeDocument/2006/relationships/hyperlink" TargetMode="External" Target="https://spark-interfax.ru/system/home/card#/company/B92D9ED4F39E4EEC912AA63BFFB0261A/101"/><Relationship Id="rId8645" Type="http://schemas.openxmlformats.org/officeDocument/2006/relationships/hyperlink" TargetMode="External" Target="https://spark-interfax.ru/system/home/card#/company/25365DC9C52E471193939CE3F94AE56B/101"/><Relationship Id="rId8646" Type="http://schemas.openxmlformats.org/officeDocument/2006/relationships/hyperlink" TargetMode="External" Target="https://spark-interfax.ru/system/home/card#/company/1CB0A3D62FAE497A89CC44886A9135D6/101"/><Relationship Id="rId8647" Type="http://schemas.openxmlformats.org/officeDocument/2006/relationships/hyperlink" TargetMode="External" Target="https://spark-interfax.ru/system/home/card#/company/9859443255E84C0AE0531B9AA8C03727/101"/><Relationship Id="rId8648" Type="http://schemas.openxmlformats.org/officeDocument/2006/relationships/hyperlink" TargetMode="External" Target="https://spark-interfax.ru/system/home/card#/company/148BF70E864340EE91EB42353DCAD3AC/101"/><Relationship Id="rId8649" Type="http://schemas.openxmlformats.org/officeDocument/2006/relationships/hyperlink" TargetMode="External" Target="https://spark-interfax.ru/system/home/card#/company/9BF644BFD0CA4B4FB34374278F154A14/101"/><Relationship Id="rId8650" Type="http://schemas.openxmlformats.org/officeDocument/2006/relationships/hyperlink" TargetMode="External" Target="https://spark-interfax.ru/system/home/card#/company/DBFF1948275E43C792D60F93383DF3CA/101"/><Relationship Id="rId8651" Type="http://schemas.openxmlformats.org/officeDocument/2006/relationships/hyperlink" TargetMode="External" Target="https://spark-interfax.ru/system/home/card#/company/4002BC753CDD46478EBFE0CC527AA49E/101"/><Relationship Id="rId8652" Type="http://schemas.openxmlformats.org/officeDocument/2006/relationships/hyperlink" TargetMode="External" Target="https://spark-interfax.ru/system/home/card#/company/A5D65846E9CC41F0BB14CDCABBB914E0/101"/><Relationship Id="rId8653" Type="http://schemas.openxmlformats.org/officeDocument/2006/relationships/hyperlink" TargetMode="External" Target="https://spark-interfax.ru/system/home/card#/company/CDED77A5C21D4FFE9D04818D40EDF301/101"/><Relationship Id="rId8654" Type="http://schemas.openxmlformats.org/officeDocument/2006/relationships/hyperlink" TargetMode="External" Target="https://spark-interfax.ru/system/home/card#/company/A91403E81204442892240BCDB54C093A/101"/><Relationship Id="rId8655" Type="http://schemas.openxmlformats.org/officeDocument/2006/relationships/hyperlink" TargetMode="External" Target="https://spark-interfax.ru/system/home/card#/company/FB41F6360DCA4F7E86E48DE42874C0AB/101"/><Relationship Id="rId8656" Type="http://schemas.openxmlformats.org/officeDocument/2006/relationships/hyperlink" TargetMode="External" Target="https://spark-interfax.ru/system/home/card#/company/92EE5277F97B7967E0531B9AA8C08365/101"/><Relationship Id="rId8657" Type="http://schemas.openxmlformats.org/officeDocument/2006/relationships/hyperlink" TargetMode="External" Target="https://spark-interfax.ru/system/home/card#/company/7DBECE70F1E54AD5A90F3FF8060A34D1/101"/><Relationship Id="rId8658" Type="http://schemas.openxmlformats.org/officeDocument/2006/relationships/hyperlink" TargetMode="External" Target="https://spark-interfax.ru/system/home/card#/company/440FC0D1F4C64E55A24F49CA1B177A78/101"/><Relationship Id="rId8659" Type="http://schemas.openxmlformats.org/officeDocument/2006/relationships/hyperlink" TargetMode="External" Target="https://spark-interfax.ru/system/home/card#/company/C7A26D5DD98247DC80A135987EAA61EC/101"/><Relationship Id="rId8660" Type="http://schemas.openxmlformats.org/officeDocument/2006/relationships/hyperlink" TargetMode="External" Target="https://spark-interfax.ru/system/home/card#/company/844D2C8A524B407BA3462F4A4F2EC83E/101"/><Relationship Id="rId8661" Type="http://schemas.openxmlformats.org/officeDocument/2006/relationships/hyperlink" TargetMode="External" Target="https://spark-interfax.ru/system/home/card#/company/933A5A1566AC4D03A084495880C5A791/101"/><Relationship Id="rId8662" Type="http://schemas.openxmlformats.org/officeDocument/2006/relationships/hyperlink" TargetMode="External" Target="https://spark-interfax.ru/system/home/card#/company/A195CFC30CB2495C9B39766CC3B7E0A8/101"/><Relationship Id="rId8663" Type="http://schemas.openxmlformats.org/officeDocument/2006/relationships/hyperlink" TargetMode="External" Target="https://spark-interfax.ru/system/home/card#/company/9F2AE21E01CB4976B31DD5ABCC356F22/101"/><Relationship Id="rId8664" Type="http://schemas.openxmlformats.org/officeDocument/2006/relationships/hyperlink" TargetMode="External" Target="https://spark-interfax.ru/system/home/card#/company/B882AE0C47BD40168D511FFC5BC14C65/101"/><Relationship Id="rId8665" Type="http://schemas.openxmlformats.org/officeDocument/2006/relationships/hyperlink" TargetMode="External" Target="https://spark-interfax.ru/system/home/card#/company/892A9146ECFA4417AB7E2A79086CDD8B/101"/><Relationship Id="rId8666" Type="http://schemas.openxmlformats.org/officeDocument/2006/relationships/hyperlink" TargetMode="External" Target="https://spark-interfax.ru/system/home/card#/company/27262B63242F4592951AD7F92CB2D751/101"/><Relationship Id="rId8667" Type="http://schemas.openxmlformats.org/officeDocument/2006/relationships/hyperlink" TargetMode="External" Target="https://spark-interfax.ru/system/home/card#/company/864EF53BD862427A9BE0EA797380E788/101"/><Relationship Id="rId8668" Type="http://schemas.openxmlformats.org/officeDocument/2006/relationships/hyperlink" TargetMode="External" Target="https://spark-interfax.ru/system/home/card#/company/C8B15D14748C47418D967DA13A01F355/101"/><Relationship Id="rId8669" Type="http://schemas.openxmlformats.org/officeDocument/2006/relationships/hyperlink" TargetMode="External" Target="https://spark-interfax.ru/system/home/card#/company/2875E2D5922441EDBA237FBD76539FB6/101"/><Relationship Id="rId8670" Type="http://schemas.openxmlformats.org/officeDocument/2006/relationships/hyperlink" TargetMode="External" Target="https://spark-interfax.ru/system/home/card#/company/3EA9E620A2444660B25883468814AFB5/101"/><Relationship Id="rId8671" Type="http://schemas.openxmlformats.org/officeDocument/2006/relationships/hyperlink" TargetMode="External" Target="https://spark-interfax.ru/system/home/card#/company/B42E3FB5FCBF4918B887128736ABAF7F/101"/><Relationship Id="rId8672" Type="http://schemas.openxmlformats.org/officeDocument/2006/relationships/hyperlink" TargetMode="External" Target="https://spark-interfax.ru/system/home/card#/company/73FD79DBFC224C5A9B97FD3A5A58C8BF/101"/><Relationship Id="rId8673" Type="http://schemas.openxmlformats.org/officeDocument/2006/relationships/hyperlink" TargetMode="External" Target="https://spark-interfax.ru/system/home/card#/company/111754BDC96D45E7BB9E69D79861CEEB/101"/><Relationship Id="rId8674" Type="http://schemas.openxmlformats.org/officeDocument/2006/relationships/hyperlink" TargetMode="External" Target="https://spark-interfax.ru/system/home/card#/company/4422D8CFA83D473887EB9ED9A05A5EBD/101"/><Relationship Id="rId8675" Type="http://schemas.openxmlformats.org/officeDocument/2006/relationships/hyperlink" TargetMode="External" Target="https://spark-interfax.ru/system/home/card#/company/EDDEDDE3E26A4A688FFF4774E9F59ABA/101"/><Relationship Id="rId8676" Type="http://schemas.openxmlformats.org/officeDocument/2006/relationships/hyperlink" TargetMode="External" Target="https://spark-interfax.ru/system/home/card#/company/87A3104997314A70B09E4DFFFA1C547D/101"/><Relationship Id="rId8677" Type="http://schemas.openxmlformats.org/officeDocument/2006/relationships/hyperlink" TargetMode="External" Target="https://spark-interfax.ru/system/home/card#/company/15B61D277510445D9117F98D8392C8D2/101"/><Relationship Id="rId8678" Type="http://schemas.openxmlformats.org/officeDocument/2006/relationships/hyperlink" TargetMode="External" Target="https://spark-interfax.ru/system/home/card#/company/CE057D8B360E4D6AA6B934298AEE75B0/101"/><Relationship Id="rId8679" Type="http://schemas.openxmlformats.org/officeDocument/2006/relationships/hyperlink" TargetMode="External" Target="https://spark-interfax.ru/system/home/card#/company/08471C36CD9E41419FB396D5CCE23995/101"/><Relationship Id="rId8680" Type="http://schemas.openxmlformats.org/officeDocument/2006/relationships/hyperlink" TargetMode="External" Target="https://spark-interfax.ru/system/home/card#/company/24AA140318114BC99CFAB733A203A2CD/101"/><Relationship Id="rId8681" Type="http://schemas.openxmlformats.org/officeDocument/2006/relationships/hyperlink" TargetMode="External" Target="https://spark-interfax.ru/system/home/card#/company/7217AEFBD056454DA444E26AB847B973/101"/><Relationship Id="rId8682" Type="http://schemas.openxmlformats.org/officeDocument/2006/relationships/hyperlink" TargetMode="External" Target="https://spark-interfax.ru/system/home/card#/company/BF06D18CDA354CCDB794F12F3A06BCA0/101"/><Relationship Id="rId8683" Type="http://schemas.openxmlformats.org/officeDocument/2006/relationships/hyperlink" TargetMode="External" Target="https://spark-interfax.ru/system/home/card#/company/7C38C8B4F4D245769F50507F656A3A02/101"/><Relationship Id="rId8684" Type="http://schemas.openxmlformats.org/officeDocument/2006/relationships/hyperlink" TargetMode="External" Target="https://spark-interfax.ru/system/home/card#/company/765D0A802445447AA6C73DB37A05C757/101"/><Relationship Id="rId8685" Type="http://schemas.openxmlformats.org/officeDocument/2006/relationships/hyperlink" TargetMode="External" Target="https://spark-interfax.ru/system/home/card#/company/D183AC539BC24093BEBFFEEC08C15FE8/101"/><Relationship Id="rId8686" Type="http://schemas.openxmlformats.org/officeDocument/2006/relationships/hyperlink" TargetMode="External" Target="https://spark-interfax.ru/system/home/card#/company/54ACB7DDE39C4413BDBC7B72F7206905/101"/><Relationship Id="rId8687" Type="http://schemas.openxmlformats.org/officeDocument/2006/relationships/hyperlink" TargetMode="External" Target="https://spark-interfax.ru/system/home/card#/company/701F158C40CC367EE0531B9AA8C0097D/101"/><Relationship Id="rId8688" Type="http://schemas.openxmlformats.org/officeDocument/2006/relationships/hyperlink" TargetMode="External" Target="https://spark-interfax.ru/system/home/card#/company/91E85D5ADA0E34DBE0531B9AA8C0DEA8/101"/><Relationship Id="rId8689" Type="http://schemas.openxmlformats.org/officeDocument/2006/relationships/hyperlink" TargetMode="External" Target="https://spark-interfax.ru/system/home/card#/company/5B5C86596287498D94944B8B0D5667F7/101"/><Relationship Id="rId8690" Type="http://schemas.openxmlformats.org/officeDocument/2006/relationships/hyperlink" TargetMode="External" Target="https://spark-interfax.ru/system/home/card#/company/E42D461F96C1466FA201382D11E9FE6F/101"/><Relationship Id="rId8691" Type="http://schemas.openxmlformats.org/officeDocument/2006/relationships/hyperlink" TargetMode="External" Target="https://spark-interfax.ru/system/home/card#/company/076A88D95D6544039B30F5A6F6E7D26E/101"/><Relationship Id="rId8692" Type="http://schemas.openxmlformats.org/officeDocument/2006/relationships/hyperlink" TargetMode="External" Target="https://spark-interfax.ru/system/home/card#/company/94A37BBC698A49EB87549D3FDBE90653/101"/><Relationship Id="rId8693" Type="http://schemas.openxmlformats.org/officeDocument/2006/relationships/hyperlink" TargetMode="External" Target="https://spark-interfax.ru/system/home/card#/company/05A907F1789D468585DE06D4F286329F/101"/><Relationship Id="rId8694" Type="http://schemas.openxmlformats.org/officeDocument/2006/relationships/hyperlink" TargetMode="External" Target="https://spark-interfax.ru/system/home/card#/company/5EE9D70453434E129601C20736375D29/101"/><Relationship Id="rId8695" Type="http://schemas.openxmlformats.org/officeDocument/2006/relationships/hyperlink" TargetMode="External" Target="https://spark-interfax.ru/system/home/card#/company/A33271C8E77A3757E053189AA8C0492A/101"/><Relationship Id="rId8696" Type="http://schemas.openxmlformats.org/officeDocument/2006/relationships/hyperlink" TargetMode="External" Target="https://spark-interfax.ru/system/home/card#/company/BBFDF8452FAF408FAF29A6065E6E3533/101"/><Relationship Id="rId8697" Type="http://schemas.openxmlformats.org/officeDocument/2006/relationships/hyperlink" TargetMode="External" Target="https://spark-interfax.ru/system/home/card#/company/994A1624E47225F0E053179AA8C0A125/101"/><Relationship Id="rId8698" Type="http://schemas.openxmlformats.org/officeDocument/2006/relationships/hyperlink" TargetMode="External" Target="https://spark-interfax.ru/system/home/card#/company/5F9293155689403D9CAE1FAA2824FE02/101"/><Relationship Id="rId8699" Type="http://schemas.openxmlformats.org/officeDocument/2006/relationships/hyperlink" TargetMode="External" Target="https://spark-interfax.ru/system/home/card#/company/3C8AEB589BC04A93B76154CBF7AA3928/101"/><Relationship Id="rId8700" Type="http://schemas.openxmlformats.org/officeDocument/2006/relationships/hyperlink" TargetMode="External" Target="https://spark-interfax.ru/system/home/card#/company/2729912900D0486DAFCCB658FA5B219A/101"/><Relationship Id="rId8701" Type="http://schemas.openxmlformats.org/officeDocument/2006/relationships/hyperlink" TargetMode="External" Target="https://spark-interfax.ru/system/home/card#/company/978D56E9BC854B399A305B89A4430BB7/101"/><Relationship Id="rId8702" Type="http://schemas.openxmlformats.org/officeDocument/2006/relationships/hyperlink" TargetMode="External" Target="https://spark-interfax.ru/system/home/card#/company/EC33308ED1DB44278F83549CC605DA8A/101"/><Relationship Id="rId8703" Type="http://schemas.openxmlformats.org/officeDocument/2006/relationships/hyperlink" TargetMode="External" Target="https://spark-interfax.ru/system/home/card#/company/9F8FEACF7BC8428192623A167764DA2C/101"/><Relationship Id="rId8704" Type="http://schemas.openxmlformats.org/officeDocument/2006/relationships/hyperlink" TargetMode="External" Target="https://spark-interfax.ru/system/home/card#/company/40EB8321043F4A018FB35C37EA590FF7/101"/><Relationship Id="rId8705" Type="http://schemas.openxmlformats.org/officeDocument/2006/relationships/hyperlink" TargetMode="External" Target="https://spark-interfax.ru/system/home/card#/company/0F73EF7F0D814F27A8E6EB16532AF545/101"/><Relationship Id="rId8706" Type="http://schemas.openxmlformats.org/officeDocument/2006/relationships/hyperlink" TargetMode="External" Target="https://spark-interfax.ru/system/home/card#/company/A3014CB5B7FB45C8954878DC27FEA235/101"/><Relationship Id="rId8707" Type="http://schemas.openxmlformats.org/officeDocument/2006/relationships/hyperlink" TargetMode="External" Target="https://spark-interfax.ru/system/home/card#/company/F40AAA11E8D34182BFC3EADCBDF8DBBD/101"/><Relationship Id="rId8708" Type="http://schemas.openxmlformats.org/officeDocument/2006/relationships/hyperlink" TargetMode="External" Target="https://spark-interfax.ru/system/home/card#/company/0A63F3C089CA4502B376793C574C5207/101"/><Relationship Id="rId8709" Type="http://schemas.openxmlformats.org/officeDocument/2006/relationships/hyperlink" TargetMode="External" Target="https://spark-interfax.ru/system/home/card#/company/7775FB35DCCA488196B6973C7B6734EE/101"/><Relationship Id="rId8710" Type="http://schemas.openxmlformats.org/officeDocument/2006/relationships/hyperlink" TargetMode="External" Target="https://spark-interfax.ru/system/home/card#/company/877ECB904825499FB7A3DFFB8FC6CC6A/101"/><Relationship Id="rId8711" Type="http://schemas.openxmlformats.org/officeDocument/2006/relationships/hyperlink" TargetMode="External" Target="https://spark-interfax.ru/system/home/card#/company/0E08383732F94258AD142C24122DBB62/101"/><Relationship Id="rId8712" Type="http://schemas.openxmlformats.org/officeDocument/2006/relationships/hyperlink" TargetMode="External" Target="https://spark-interfax.ru/system/home/card#/company/CAABD013949C4178A75704C237D20BF0/101"/><Relationship Id="rId8713" Type="http://schemas.openxmlformats.org/officeDocument/2006/relationships/hyperlink" TargetMode="External" Target="https://spark-interfax.ru/system/home/card#/company/40D26FD703DD402A9E0C3090D269856F/101"/><Relationship Id="rId8714" Type="http://schemas.openxmlformats.org/officeDocument/2006/relationships/hyperlink" TargetMode="External" Target="https://spark-interfax.ru/system/home/card#/company/941071CCA2354585A0BC73B47B147E74/101"/><Relationship Id="rId8715" Type="http://schemas.openxmlformats.org/officeDocument/2006/relationships/hyperlink" TargetMode="External" Target="https://spark-interfax.ru/system/home/card#/company/C32026AE40BD4CDE82AEB2C35C94F35A/101"/><Relationship Id="rId8716" Type="http://schemas.openxmlformats.org/officeDocument/2006/relationships/hyperlink" TargetMode="External" Target="https://spark-interfax.ru/system/home/card#/company/AE768DE8065C4BBB847758ABA2742A71/101"/><Relationship Id="rId8717" Type="http://schemas.openxmlformats.org/officeDocument/2006/relationships/hyperlink" TargetMode="External" Target="https://spark-interfax.ru/system/home/card#/company/D1B7BE8A9A6C4443A9CE1B5A846EBB7F/101"/><Relationship Id="rId8718" Type="http://schemas.openxmlformats.org/officeDocument/2006/relationships/hyperlink" TargetMode="External" Target="https://spark-interfax.ru/system/home/card#/company/58E2BA1F3FFA43758002BAE8515BE292/101"/><Relationship Id="rId8719" Type="http://schemas.openxmlformats.org/officeDocument/2006/relationships/hyperlink" TargetMode="External" Target="https://spark-interfax.ru/system/home/card#/company/98B09C3A09424B88881EB4E1DC286602/101"/><Relationship Id="rId8720" Type="http://schemas.openxmlformats.org/officeDocument/2006/relationships/hyperlink" TargetMode="External" Target="https://spark-interfax.ru/system/home/card#/company/0A61477522C9476C9B52D7A2A994C633/101"/><Relationship Id="rId8721" Type="http://schemas.openxmlformats.org/officeDocument/2006/relationships/hyperlink" TargetMode="External" Target="https://spark-interfax.ru/system/home/card#/company/CB0D727C575D435793A75BC6CCF5DBF0/101"/><Relationship Id="rId8722" Type="http://schemas.openxmlformats.org/officeDocument/2006/relationships/hyperlink" TargetMode="External" Target="https://spark-interfax.ru/system/home/card#/company/DC384B63577D48CC827F9B39AE169C56/101"/><Relationship Id="rId8723" Type="http://schemas.openxmlformats.org/officeDocument/2006/relationships/hyperlink" TargetMode="External" Target="https://spark-interfax.ru/system/home/card#/company/CD92B11E4A6E4C4F83A3D25842467310/101"/><Relationship Id="rId8724" Type="http://schemas.openxmlformats.org/officeDocument/2006/relationships/hyperlink" TargetMode="External" Target="https://spark-interfax.ru/system/home/card#/company/1F3EB09E97984B4EA3E1928BAF41E327/101"/><Relationship Id="rId8725" Type="http://schemas.openxmlformats.org/officeDocument/2006/relationships/hyperlink" TargetMode="External" Target="https://spark-interfax.ru/system/home/card#/company/33EBDC2D5FD44A37B542BE6D76EE53AF/101"/><Relationship Id="rId8726" Type="http://schemas.openxmlformats.org/officeDocument/2006/relationships/hyperlink" TargetMode="External" Target="https://spark-interfax.ru/system/home/card#/company/C2B28A1743184103A8AACC1F2585BC0D/101"/><Relationship Id="rId8727" Type="http://schemas.openxmlformats.org/officeDocument/2006/relationships/hyperlink" TargetMode="External" Target="https://spark-interfax.ru/system/home/card#/company/0D2FB1DD55A74491A0D94C45BFFE5AED/101"/><Relationship Id="rId8728" Type="http://schemas.openxmlformats.org/officeDocument/2006/relationships/hyperlink" TargetMode="External" Target="https://spark-interfax.ru/system/home/card#/company/962666BCA224478DE0531B9AA8C0399A/101"/><Relationship Id="rId8729" Type="http://schemas.openxmlformats.org/officeDocument/2006/relationships/hyperlink" TargetMode="External" Target="https://spark-interfax.ru/system/home/card#/company/0B4D791BB1034956AA070E541095C58F/101"/><Relationship Id="rId8730" Type="http://schemas.openxmlformats.org/officeDocument/2006/relationships/hyperlink" TargetMode="External" Target="https://spark-interfax.ru/system/home/card#/company/48229C458E83492EBFC074EDD8DFD092/101"/><Relationship Id="rId8731" Type="http://schemas.openxmlformats.org/officeDocument/2006/relationships/hyperlink" TargetMode="External" Target="https://spark-interfax.ru/system/home/card#/company/DB28D609D8634A1D9C85F3C0D27F93A9/101"/><Relationship Id="rId8732" Type="http://schemas.openxmlformats.org/officeDocument/2006/relationships/hyperlink" TargetMode="External" Target="https://spark-interfax.ru/system/home/card#/company/24B4C3DAE1E84EE8B223954638477AAD/101"/><Relationship Id="rId8733" Type="http://schemas.openxmlformats.org/officeDocument/2006/relationships/hyperlink" TargetMode="External" Target="https://spark-interfax.ru/system/home/card#/company/C3CD777AB0F24F319E805A4DE1A3035B/101"/><Relationship Id="rId8734" Type="http://schemas.openxmlformats.org/officeDocument/2006/relationships/hyperlink" TargetMode="External" Target="https://spark-interfax.ru/system/home/card#/company/E310939B3F2C4E2E87878CC710E2EAC5/101"/><Relationship Id="rId8735" Type="http://schemas.openxmlformats.org/officeDocument/2006/relationships/hyperlink" TargetMode="External" Target="https://spark-interfax.ru/system/home/card#/company/A70717D197A14796AE0160991B50B904/101"/><Relationship Id="rId8736" Type="http://schemas.openxmlformats.org/officeDocument/2006/relationships/hyperlink" TargetMode="External" Target="https://spark-interfax.ru/system/home/card#/company/1EE4C28DA03A49148F97C7985F9C86FE/101"/><Relationship Id="rId8737" Type="http://schemas.openxmlformats.org/officeDocument/2006/relationships/hyperlink" TargetMode="External" Target="https://spark-interfax.ru/system/home/card#/company/C070D3CC82484BF880A2F4079E94D0D5/101"/><Relationship Id="rId8738" Type="http://schemas.openxmlformats.org/officeDocument/2006/relationships/hyperlink" TargetMode="External" Target="https://spark-interfax.ru/system/home/card#/company/181A690EB21A472FBD0081F3369C7DF3/101"/><Relationship Id="rId8739" Type="http://schemas.openxmlformats.org/officeDocument/2006/relationships/hyperlink" TargetMode="External" Target="https://spark-interfax.ru/system/home/card#/company/5C26FD332C3E4418AA7FCF977E77A1C4/101"/><Relationship Id="rId8740" Type="http://schemas.openxmlformats.org/officeDocument/2006/relationships/hyperlink" TargetMode="External" Target="https://spark-interfax.ru/system/home/card#/company/FD523F6D3D0E4636B17F51B7EDA2D962/101"/><Relationship Id="rId8741" Type="http://schemas.openxmlformats.org/officeDocument/2006/relationships/hyperlink" TargetMode="External" Target="https://spark-interfax.ru/system/home/card#/company/29FD0450987B4400A68D1AEC14FBF14A/101"/><Relationship Id="rId8742" Type="http://schemas.openxmlformats.org/officeDocument/2006/relationships/hyperlink" TargetMode="External" Target="https://spark-interfax.ru/system/home/card#/company/B1417884112F7D81E053219AA8C0A5CF/101"/><Relationship Id="rId8743" Type="http://schemas.openxmlformats.org/officeDocument/2006/relationships/hyperlink" TargetMode="External" Target="https://spark-interfax.ru/system/home/card#/company/B6159EC4E7B44795950424503EE2D3F3/101"/><Relationship Id="rId8744" Type="http://schemas.openxmlformats.org/officeDocument/2006/relationships/hyperlink" TargetMode="External" Target="https://spark-interfax.ru/system/home/card#/company/6FDAE22BA1D648558014835AAEEE9E0C/101"/><Relationship Id="rId8745" Type="http://schemas.openxmlformats.org/officeDocument/2006/relationships/hyperlink" TargetMode="External" Target="https://spark-interfax.ru/system/home/card#/company/B682E0BD903B448ABDFBD7F349716B22/101"/><Relationship Id="rId8746" Type="http://schemas.openxmlformats.org/officeDocument/2006/relationships/hyperlink" TargetMode="External" Target="https://spark-interfax.ru/system/home/card#/company/A78E1ABBACA644D38A2863337916360C/101"/><Relationship Id="rId8747" Type="http://schemas.openxmlformats.org/officeDocument/2006/relationships/hyperlink" TargetMode="External" Target="https://spark-interfax.ru/system/home/card#/company/7F9F4AB16C904EB6BDA36B42AE875414/101"/><Relationship Id="rId8748" Type="http://schemas.openxmlformats.org/officeDocument/2006/relationships/hyperlink" TargetMode="External" Target="https://spark-interfax.ru/system/home/card#/company/766909490928334FE0531B9AA8C0ADAD/101"/><Relationship Id="rId8749" Type="http://schemas.openxmlformats.org/officeDocument/2006/relationships/hyperlink" TargetMode="External" Target="https://spark-interfax.ru/system/home/card#/company/6168C256EA0F45F3A906A69E950867B9/101"/><Relationship Id="rId8750" Type="http://schemas.openxmlformats.org/officeDocument/2006/relationships/hyperlink" TargetMode="External" Target="https://spark-interfax.ru/system/home/card#/company/BA347BF826E942F1B95E937AB3D41CCD/101"/><Relationship Id="rId8751" Type="http://schemas.openxmlformats.org/officeDocument/2006/relationships/hyperlink" TargetMode="External" Target="https://spark-interfax.ru/system/home/card#/company/89088BF75AC2449D8765ED97F829E817/101"/><Relationship Id="rId8752" Type="http://schemas.openxmlformats.org/officeDocument/2006/relationships/hyperlink" TargetMode="External" Target="https://spark-interfax.ru/system/home/card#/company/A41C5590CFD14D19A1DA5D4EC7411115/101"/><Relationship Id="rId8753" Type="http://schemas.openxmlformats.org/officeDocument/2006/relationships/hyperlink" TargetMode="External" Target="https://spark-interfax.ru/system/home/card#/company/FA51610AB9C140A0B0CBE1206CCBC589/101"/><Relationship Id="rId8754" Type="http://schemas.openxmlformats.org/officeDocument/2006/relationships/hyperlink" TargetMode="External" Target="https://spark-interfax.ru/system/home/card#/company/848FE2D9E71D4B53B161CEC7C1A8486F/101"/><Relationship Id="rId8755" Type="http://schemas.openxmlformats.org/officeDocument/2006/relationships/hyperlink" TargetMode="External" Target="https://spark-interfax.ru/system/home/card#/company/F357A2DEF2AD4E7DAA6C1EA1AFEC929D/101"/><Relationship Id="rId8756" Type="http://schemas.openxmlformats.org/officeDocument/2006/relationships/hyperlink" TargetMode="External" Target="https://spark-interfax.ru/system/home/card#/company/A4B5AA609D164F1D84B6DE309327EC1A/101"/><Relationship Id="rId8757" Type="http://schemas.openxmlformats.org/officeDocument/2006/relationships/hyperlink" TargetMode="External" Target="https://spark-interfax.ru/system/home/card#/company/D380FF69E0CE47728A6DA39E8F21A6B6/101"/><Relationship Id="rId8758" Type="http://schemas.openxmlformats.org/officeDocument/2006/relationships/hyperlink" TargetMode="External" Target="https://spark-interfax.ru/system/home/card#/company/EF204D7A7C45401493A9D24EA0B8B156/101"/><Relationship Id="rId8759" Type="http://schemas.openxmlformats.org/officeDocument/2006/relationships/hyperlink" TargetMode="External" Target="https://spark-interfax.ru/system/home/card#/company/BB92DDB4F248480D862684EE08902955/101"/><Relationship Id="rId8760" Type="http://schemas.openxmlformats.org/officeDocument/2006/relationships/hyperlink" TargetMode="External" Target="https://spark-interfax.ru/system/home/card#/company/BD7B89A4A5EE4F0995631288A47586AC/101"/><Relationship Id="rId8761" Type="http://schemas.openxmlformats.org/officeDocument/2006/relationships/hyperlink" TargetMode="External" Target="https://spark-interfax.ru/system/home/card#/company/1C8DC7229CE143AE8A6B3837BADD20AD/101"/><Relationship Id="rId8762" Type="http://schemas.openxmlformats.org/officeDocument/2006/relationships/hyperlink" TargetMode="External" Target="https://spark-interfax.ru/system/home/card#/company/B3E8CD61C4684B59A1460DB5CB18A1BB/101"/><Relationship Id="rId8763" Type="http://schemas.openxmlformats.org/officeDocument/2006/relationships/hyperlink" TargetMode="External" Target="https://spark-interfax.ru/system/home/card#/company/8E2B669466B44D0AB6C7A3247BAA44BD/101"/><Relationship Id="rId8764" Type="http://schemas.openxmlformats.org/officeDocument/2006/relationships/hyperlink" TargetMode="External" Target="https://spark-interfax.ru/system/home/card#/company/CA260085FFDF4C67B7B70B9D829632AB/101"/><Relationship Id="rId8765" Type="http://schemas.openxmlformats.org/officeDocument/2006/relationships/hyperlink" TargetMode="External" Target="https://spark-interfax.ru/system/home/card#/company/F87B317F35284B1699D72A890277C3E2/101"/><Relationship Id="rId8766" Type="http://schemas.openxmlformats.org/officeDocument/2006/relationships/hyperlink" TargetMode="External" Target="https://spark-interfax.ru/system/home/card#/company/FC0938F22DDE4232AE007C460D4EE8F3/101"/><Relationship Id="rId8767" Type="http://schemas.openxmlformats.org/officeDocument/2006/relationships/hyperlink" TargetMode="External" Target="https://spark-interfax.ru/system/home/card#/company/0881D884C08F4832ABBDC9DE6D9EB6EC/101"/><Relationship Id="rId8768" Type="http://schemas.openxmlformats.org/officeDocument/2006/relationships/hyperlink" TargetMode="External" Target="https://spark-interfax.ru/system/home/card#/company/423E49F8072941969BAA5D3A5F873FC1/101"/><Relationship Id="rId8769" Type="http://schemas.openxmlformats.org/officeDocument/2006/relationships/hyperlink" TargetMode="External" Target="https://spark-interfax.ru/system/home/card#/company/41C72D4944FB45649C60F5583F5391B5/101"/><Relationship Id="rId8770" Type="http://schemas.openxmlformats.org/officeDocument/2006/relationships/hyperlink" TargetMode="External" Target="https://spark-interfax.ru/system/home/card#/company/CBF93DF15F39422CA0BDE8F1422AEA09/101"/><Relationship Id="rId8771" Type="http://schemas.openxmlformats.org/officeDocument/2006/relationships/hyperlink" TargetMode="External" Target="https://spark-interfax.ru/system/home/card#/company/677989D473A07E58E0531B9AA8C0D063/101"/><Relationship Id="rId8772" Type="http://schemas.openxmlformats.org/officeDocument/2006/relationships/hyperlink" TargetMode="External" Target="https://spark-interfax.ru/system/home/card#/company/CB5733EC72FB4912946E408E663E404A/101"/><Relationship Id="rId8773" Type="http://schemas.openxmlformats.org/officeDocument/2006/relationships/hyperlink" TargetMode="External" Target="https://spark-interfax.ru/system/home/card#/company/EC60864D3B394E14BD1BD25A5B723C13/101"/><Relationship Id="rId8774" Type="http://schemas.openxmlformats.org/officeDocument/2006/relationships/hyperlink" TargetMode="External" Target="https://spark-interfax.ru/system/home/card#/company/D0039036B71C402192539C9355C7736B/101"/><Relationship Id="rId8775" Type="http://schemas.openxmlformats.org/officeDocument/2006/relationships/hyperlink" TargetMode="External" Target="https://spark-interfax.ru/system/home/card#/company/7F83B8C054264AB1A9B5F1A986624A8A/101"/><Relationship Id="rId8776" Type="http://schemas.openxmlformats.org/officeDocument/2006/relationships/hyperlink" TargetMode="External" Target="https://spark-interfax.ru/system/home/card#/company/6CDA16F05F6F4ED6BA966B50ADF22CA7/101"/><Relationship Id="rId8777" Type="http://schemas.openxmlformats.org/officeDocument/2006/relationships/hyperlink" TargetMode="External" Target="https://spark-interfax.ru/system/home/card#/company/44059A2BE49E4AF8BF4115F625C2C891/101"/><Relationship Id="rId8778" Type="http://schemas.openxmlformats.org/officeDocument/2006/relationships/hyperlink" TargetMode="External" Target="https://spark-interfax.ru/system/home/card#/company/B165AC1FB3DC41F992E8F58EB14A29CE/101"/><Relationship Id="rId8779" Type="http://schemas.openxmlformats.org/officeDocument/2006/relationships/hyperlink" TargetMode="External" Target="https://spark-interfax.ru/system/home/card#/company/77B7436F7C844A94955FF5BFBE4E025A/101"/><Relationship Id="rId8780" Type="http://schemas.openxmlformats.org/officeDocument/2006/relationships/hyperlink" TargetMode="External" Target="https://spark-interfax.ru/system/home/card#/company/6717B37A02A84A9EA41E3F45C674853E/101"/><Relationship Id="rId8781" Type="http://schemas.openxmlformats.org/officeDocument/2006/relationships/hyperlink" TargetMode="External" Target="https://spark-interfax.ru/system/home/card#/company/CBD8E3B69AE74A5594A33CD1D83492ED/101"/><Relationship Id="rId8782" Type="http://schemas.openxmlformats.org/officeDocument/2006/relationships/hyperlink" TargetMode="External" Target="https://spark-interfax.ru/system/home/card#/company/78F13ABBE50F4AFF9D447C7BF66DC31A/101"/><Relationship Id="rId8783" Type="http://schemas.openxmlformats.org/officeDocument/2006/relationships/hyperlink" TargetMode="External" Target="https://spark-interfax.ru/system/home/card#/company/18A4BE0033E24106B662AACBDBCBCAEF/101"/><Relationship Id="rId8784" Type="http://schemas.openxmlformats.org/officeDocument/2006/relationships/hyperlink" TargetMode="External" Target="https://spark-interfax.ru/system/home/card#/company/CFAD53C1C2AA441093C0BFAF1194F4A2/101"/><Relationship Id="rId8785" Type="http://schemas.openxmlformats.org/officeDocument/2006/relationships/hyperlink" TargetMode="External" Target="https://spark-interfax.ru/system/home/card#/company/F8933344C7D246DFB5E46255490D7F4E/101"/><Relationship Id="rId8786" Type="http://schemas.openxmlformats.org/officeDocument/2006/relationships/hyperlink" TargetMode="External" Target="https://spark-interfax.ru/system/home/card#/company/64EE02DE20C3409D970395BA7A35741F/101"/><Relationship Id="rId8787" Type="http://schemas.openxmlformats.org/officeDocument/2006/relationships/hyperlink" TargetMode="External" Target="https://spark-interfax.ru/system/home/card#/company/748899B892AB4EFA90BF261EA1A5BF6F/101"/><Relationship Id="rId8788" Type="http://schemas.openxmlformats.org/officeDocument/2006/relationships/hyperlink" TargetMode="External" Target="https://spark-interfax.ru/system/home/card#/company/63AAC264F0404A4E88847A505938721F/101"/><Relationship Id="rId8789" Type="http://schemas.openxmlformats.org/officeDocument/2006/relationships/hyperlink" TargetMode="External" Target="https://spark-interfax.ru/system/home/card#/company/A20C573845E845F9B73CA441D3D442F2/101"/><Relationship Id="rId8790" Type="http://schemas.openxmlformats.org/officeDocument/2006/relationships/hyperlink" TargetMode="External" Target="https://spark-interfax.ru/system/home/card#/company/F81032F23F324A8D880424DDD8033F9C/101"/><Relationship Id="rId8791" Type="http://schemas.openxmlformats.org/officeDocument/2006/relationships/hyperlink" TargetMode="External" Target="https://spark-interfax.ru/system/home/card#/company/0B2658A3DE914B11A13B6AD37C3BB5EA/101"/><Relationship Id="rId8792" Type="http://schemas.openxmlformats.org/officeDocument/2006/relationships/hyperlink" TargetMode="External" Target="https://spark-interfax.ru/system/home/card#/company/705A55BB210D5341E0531B9AA8C04EFA/101"/><Relationship Id="rId8793" Type="http://schemas.openxmlformats.org/officeDocument/2006/relationships/hyperlink" TargetMode="External" Target="https://spark-interfax.ru/system/home/card#/company/D87FC6AFA1DA4059B9E2568896B3A993/101"/><Relationship Id="rId8794" Type="http://schemas.openxmlformats.org/officeDocument/2006/relationships/hyperlink" TargetMode="External" Target="https://spark-interfax.ru/system/home/card#/company/D87BAE918CA247D1AF711A2DB4F16B9A/101"/><Relationship Id="rId8795" Type="http://schemas.openxmlformats.org/officeDocument/2006/relationships/hyperlink" TargetMode="External" Target="https://spark-interfax.ru/system/home/card#/company/23FB62A95D17493C81796D418A6D48E7/101"/><Relationship Id="rId8796" Type="http://schemas.openxmlformats.org/officeDocument/2006/relationships/hyperlink" TargetMode="External" Target="https://spark-interfax.ru/system/home/card#/company/124DCC6AD373459D9107FB2D7CBE5DDC/101"/><Relationship Id="rId8797" Type="http://schemas.openxmlformats.org/officeDocument/2006/relationships/hyperlink" TargetMode="External" Target="https://spark-interfax.ru/system/home/card#/company/3F1CA5388A7D47CF965EFD3DB3E92C16/101"/><Relationship Id="rId8798" Type="http://schemas.openxmlformats.org/officeDocument/2006/relationships/hyperlink" TargetMode="External" Target="https://spark-interfax.ru/system/home/card#/company/C570923BA693433A9394612894FB1C84/101"/><Relationship Id="rId8799" Type="http://schemas.openxmlformats.org/officeDocument/2006/relationships/hyperlink" TargetMode="External" Target="https://spark-interfax.ru/system/home/card#/company/763DFDD8D6E388C0E0531B9AA8C037A2/101"/><Relationship Id="rId8800" Type="http://schemas.openxmlformats.org/officeDocument/2006/relationships/hyperlink" TargetMode="External" Target="https://spark-interfax.ru/system/home/card#/company/9842AB0A6FC048DEAF20B49B930525E4/101"/><Relationship Id="rId8801" Type="http://schemas.openxmlformats.org/officeDocument/2006/relationships/hyperlink" TargetMode="External" Target="https://spark-interfax.ru/system/home/card#/company/6560847A572947259E5F63CE3D2ADA66/101"/><Relationship Id="rId8802" Type="http://schemas.openxmlformats.org/officeDocument/2006/relationships/hyperlink" TargetMode="External" Target="https://spark-interfax.ru/system/home/card#/company/2AF74079F9794683985DB055D5FEBDD4/101"/><Relationship Id="rId8803" Type="http://schemas.openxmlformats.org/officeDocument/2006/relationships/hyperlink" TargetMode="External" Target="https://spark-interfax.ru/system/home/card#/company/9235D317F7F945919576B2FFB0F1C51A/101"/><Relationship Id="rId8804" Type="http://schemas.openxmlformats.org/officeDocument/2006/relationships/hyperlink" TargetMode="External" Target="https://spark-interfax.ru/system/home/card#/company/6B314EF2AF8B41BE8185ADDE8DEF73E6/101"/><Relationship Id="rId8805" Type="http://schemas.openxmlformats.org/officeDocument/2006/relationships/hyperlink" TargetMode="External" Target="https://spark-interfax.ru/system/home/card#/company/6972A321C7624EBE8F2925F20783D254/101"/><Relationship Id="rId8806" Type="http://schemas.openxmlformats.org/officeDocument/2006/relationships/hyperlink" TargetMode="External" Target="https://spark-interfax.ru/system/home/card#/company/81B23DA6756A44018924942EFA0C901B/101"/><Relationship Id="rId8807" Type="http://schemas.openxmlformats.org/officeDocument/2006/relationships/hyperlink" TargetMode="External" Target="https://spark-interfax.ru/system/home/card#/company/6FBBE7D0E63C4008B861DC75B6525B55/101"/><Relationship Id="rId8808" Type="http://schemas.openxmlformats.org/officeDocument/2006/relationships/hyperlink" TargetMode="External" Target="https://spark-interfax.ru/system/home/card#/company/A6C9B8D7B599433FAECFBB0921175711/101"/><Relationship Id="rId8809" Type="http://schemas.openxmlformats.org/officeDocument/2006/relationships/hyperlink" TargetMode="External" Target="https://spark-interfax.ru/system/home/card#/company/6B85265773D54EF3AB00F9099DCC2AF7/101"/><Relationship Id="rId8810" Type="http://schemas.openxmlformats.org/officeDocument/2006/relationships/hyperlink" TargetMode="External" Target="https://spark-interfax.ru/system/home/card#/company/901FE759B739439F991E7064497EA2FB/101"/><Relationship Id="rId8811" Type="http://schemas.openxmlformats.org/officeDocument/2006/relationships/hyperlink" TargetMode="External" Target="https://spark-interfax.ru/system/home/card#/company/36FF6BD1377349D69C76D7C6257F7301/101"/><Relationship Id="rId8812" Type="http://schemas.openxmlformats.org/officeDocument/2006/relationships/hyperlink" TargetMode="External" Target="https://spark-interfax.ru/system/home/card#/company/BE1078D1980B42D08C6C8DAA30B419B5/101"/><Relationship Id="rId8813" Type="http://schemas.openxmlformats.org/officeDocument/2006/relationships/hyperlink" TargetMode="External" Target="https://spark-interfax.ru/system/home/card#/company/BE512D6E23C5408CAD6D46ACE9D1EBF8/101"/><Relationship Id="rId8814" Type="http://schemas.openxmlformats.org/officeDocument/2006/relationships/hyperlink" TargetMode="External" Target="https://spark-interfax.ru/system/home/card#/company/08C08B47466747B795285850B60D4836/101"/><Relationship Id="rId8815" Type="http://schemas.openxmlformats.org/officeDocument/2006/relationships/hyperlink" TargetMode="External" Target="https://spark-interfax.ru/system/home/card#/company/8BB0E15B5901448BA49A2CF98D868DD0/101"/><Relationship Id="rId8816" Type="http://schemas.openxmlformats.org/officeDocument/2006/relationships/hyperlink" TargetMode="External" Target="https://spark-interfax.ru/system/home/card#/company/9BA6152FD77A42A89508DB7BB901B0E9/101"/><Relationship Id="rId8817" Type="http://schemas.openxmlformats.org/officeDocument/2006/relationships/hyperlink" TargetMode="External" Target="https://spark-interfax.ru/system/home/card#/company/B1430BF1B76B4068B39BD3CEF59428E6/101"/><Relationship Id="rId8818" Type="http://schemas.openxmlformats.org/officeDocument/2006/relationships/hyperlink" TargetMode="External" Target="https://spark-interfax.ru/system/home/card#/company/097E0983A12B4F859D306BCCE9161A3B/101"/><Relationship Id="rId8819" Type="http://schemas.openxmlformats.org/officeDocument/2006/relationships/hyperlink" TargetMode="External" Target="https://spark-interfax.ru/system/home/card#/company/6C9E419DA1C142D09E3B219892F1B874/101"/><Relationship Id="rId8820" Type="http://schemas.openxmlformats.org/officeDocument/2006/relationships/hyperlink" TargetMode="External" Target="https://spark-interfax.ru/system/home/card#/company/D456D339F08A4616AC1EB0581E98D3B4/101"/><Relationship Id="rId8821" Type="http://schemas.openxmlformats.org/officeDocument/2006/relationships/hyperlink" TargetMode="External" Target="https://spark-interfax.ru/system/home/card#/company/78B590E185384F43A2893489EC68C186/101"/><Relationship Id="rId8822" Type="http://schemas.openxmlformats.org/officeDocument/2006/relationships/hyperlink" TargetMode="External" Target="https://spark-interfax.ru/system/home/card#/company/3EC5504DF1AE4B1996BE77A0C57679BB/101"/><Relationship Id="rId8823" Type="http://schemas.openxmlformats.org/officeDocument/2006/relationships/hyperlink" TargetMode="External" Target="https://spark-interfax.ru/system/home/card#/company/9CA721C326D5423185025E57FDDB2335/101"/><Relationship Id="rId8824" Type="http://schemas.openxmlformats.org/officeDocument/2006/relationships/hyperlink" TargetMode="External" Target="https://spark-interfax.ru/system/home/card#/company/4940C7A439FD4A5EAFA7CDA2566D1F55/101"/><Relationship Id="rId8825" Type="http://schemas.openxmlformats.org/officeDocument/2006/relationships/hyperlink" TargetMode="External" Target="https://spark-interfax.ru/system/home/card#/company/9F7FB1DF281A1B7DE053189AA8C04C3A/101"/><Relationship Id="rId8826" Type="http://schemas.openxmlformats.org/officeDocument/2006/relationships/hyperlink" TargetMode="External" Target="https://spark-interfax.ru/system/home/card#/company/87213088B7024713ABD6B8E586100D2E/101"/><Relationship Id="rId8827" Type="http://schemas.openxmlformats.org/officeDocument/2006/relationships/hyperlink" TargetMode="External" Target="https://spark-interfax.ru/system/home/card#/company/95237894D2954A268A77D58A33EFF3BB/101"/><Relationship Id="rId8828" Type="http://schemas.openxmlformats.org/officeDocument/2006/relationships/hyperlink" TargetMode="External" Target="https://spark-interfax.ru/system/home/card#/company/1BD99DA00B554739BBBE3292BE56C653/101"/><Relationship Id="rId8829" Type="http://schemas.openxmlformats.org/officeDocument/2006/relationships/hyperlink" TargetMode="External" Target="https://spark-interfax.ru/system/home/card#/company/A01DD6177F994CFBAB19CD7696725036/101"/><Relationship Id="rId8830" Type="http://schemas.openxmlformats.org/officeDocument/2006/relationships/hyperlink" TargetMode="External" Target="https://spark-interfax.ru/system/home/card#/company/B8B098F66E1740AC91BD3771360F5053/101"/><Relationship Id="rId8831" Type="http://schemas.openxmlformats.org/officeDocument/2006/relationships/hyperlink" TargetMode="External" Target="https://spark-interfax.ru/system/home/card#/company/EFBE2B823F2F439D88EC403FA6110825/101"/><Relationship Id="rId8832" Type="http://schemas.openxmlformats.org/officeDocument/2006/relationships/hyperlink" TargetMode="External" Target="https://spark-interfax.ru/system/home/card#/company/1C27C977559E4CF1A080BD4CB280EE88/101"/><Relationship Id="rId8833" Type="http://schemas.openxmlformats.org/officeDocument/2006/relationships/hyperlink" TargetMode="External" Target="https://spark-interfax.ru/system/home/card#/company/968A66B38D6B4024A38EAF4BD520CE16/101"/><Relationship Id="rId8834" Type="http://schemas.openxmlformats.org/officeDocument/2006/relationships/hyperlink" TargetMode="External" Target="https://spark-interfax.ru/system/home/card#/company/D09B35BA5911498DA9531CFBED21FF82/101"/><Relationship Id="rId8835" Type="http://schemas.openxmlformats.org/officeDocument/2006/relationships/hyperlink" TargetMode="External" Target="https://spark-interfax.ru/system/home/card#/company/FDFB94BC92A24B83AC886AACF769472A/101"/><Relationship Id="rId8836" Type="http://schemas.openxmlformats.org/officeDocument/2006/relationships/hyperlink" TargetMode="External" Target="https://spark-interfax.ru/system/home/card#/company/5BE79010EA404A92871225856EDF2952/101"/><Relationship Id="rId8837" Type="http://schemas.openxmlformats.org/officeDocument/2006/relationships/hyperlink" TargetMode="External" Target="https://spark-interfax.ru/system/home/card#/company/8A71784F07074C578B9FF5B58F8E2F58/101"/><Relationship Id="rId8838" Type="http://schemas.openxmlformats.org/officeDocument/2006/relationships/hyperlink" TargetMode="External" Target="https://spark-interfax.ru/system/home/card#/company/FC33A51E5B1B46DF860F5FCAB92568A8/101"/><Relationship Id="rId8839" Type="http://schemas.openxmlformats.org/officeDocument/2006/relationships/hyperlink" TargetMode="External" Target="https://spark-interfax.ru/system/home/card#/company/8411A1C92522444F908DCD1C5ABF7E2A/101"/><Relationship Id="rId8840" Type="http://schemas.openxmlformats.org/officeDocument/2006/relationships/hyperlink" TargetMode="External" Target="https://spark-interfax.ru/system/home/card#/company/26D42C81377349499610E0E96B480B29/101"/><Relationship Id="rId8841" Type="http://schemas.openxmlformats.org/officeDocument/2006/relationships/hyperlink" TargetMode="External" Target="https://spark-interfax.ru/system/home/card#/company/1A9D34DB04B349DAA3E46E7027A7AC71/101"/><Relationship Id="rId8842" Type="http://schemas.openxmlformats.org/officeDocument/2006/relationships/hyperlink" TargetMode="External" Target="https://spark-interfax.ru/system/home/card#/company/87296FAF6BBF4A2AB927B65D70D98031/101"/><Relationship Id="rId8843" Type="http://schemas.openxmlformats.org/officeDocument/2006/relationships/hyperlink" TargetMode="External" Target="https://spark-interfax.ru/system/home/card#/company/00411BC07C694208B3ED227AEB4ABC65/101"/><Relationship Id="rId8844" Type="http://schemas.openxmlformats.org/officeDocument/2006/relationships/hyperlink" TargetMode="External" Target="https://spark-interfax.ru/system/home/card#/company/9A926BA6D62B41E5BB80B5CA381D4C82/101"/><Relationship Id="rId8845" Type="http://schemas.openxmlformats.org/officeDocument/2006/relationships/hyperlink" TargetMode="External" Target="https://spark-interfax.ru/system/home/card#/company/81F2D596C29D499D99D5BC5188154F82/101"/><Relationship Id="rId8846" Type="http://schemas.openxmlformats.org/officeDocument/2006/relationships/hyperlink" TargetMode="External" Target="https://spark-interfax.ru/system/home/card#/company/2D6502C7FA884834A4154A2989EDE292/101"/><Relationship Id="rId8847" Type="http://schemas.openxmlformats.org/officeDocument/2006/relationships/hyperlink" TargetMode="External" Target="https://spark-interfax.ru/system/home/card#/company/ACB2EF3EF20F1412E053189AA8C037D1/101"/><Relationship Id="rId8848" Type="http://schemas.openxmlformats.org/officeDocument/2006/relationships/hyperlink" TargetMode="External" Target="https://spark-interfax.ru/system/home/card#/company/C029E2A3D6E848D9A94149ED41C15473/101"/><Relationship Id="rId8849" Type="http://schemas.openxmlformats.org/officeDocument/2006/relationships/hyperlink" TargetMode="External" Target="https://spark-interfax.ru/system/home/card#/company/6F613BCEE6F442C78330D3BEBABB6D6C/101"/><Relationship Id="rId8850" Type="http://schemas.openxmlformats.org/officeDocument/2006/relationships/hyperlink" TargetMode="External" Target="https://spark-interfax.ru/system/home/card#/company/F5387E74B7324A9DA513A3804DB5D5A1/101"/><Relationship Id="rId8851" Type="http://schemas.openxmlformats.org/officeDocument/2006/relationships/hyperlink" TargetMode="External" Target="https://spark-interfax.ru/system/home/card#/company/99FA895C97D445E7A9D1AA930B3591B4/101"/><Relationship Id="rId8852" Type="http://schemas.openxmlformats.org/officeDocument/2006/relationships/hyperlink" TargetMode="External" Target="https://spark-interfax.ru/system/home/card#/company/71A9F30FA5F54CE68EDD04D347A8F1B7/101"/><Relationship Id="rId8853" Type="http://schemas.openxmlformats.org/officeDocument/2006/relationships/hyperlink" TargetMode="External" Target="https://spark-interfax.ru/system/home/card#/company/A1CC34B4B8C041A2A64282D090A2F43E/101"/><Relationship Id="rId8854" Type="http://schemas.openxmlformats.org/officeDocument/2006/relationships/hyperlink" TargetMode="External" Target="https://spark-interfax.ru/system/home/card#/company/CA068A74B0F74555B7A38EBDBF73C39A/101"/><Relationship Id="rId8855" Type="http://schemas.openxmlformats.org/officeDocument/2006/relationships/hyperlink" TargetMode="External" Target="https://spark-interfax.ru/system/home/card#/company/5A39753D2A554DC1AA0FC07C6BBB8655/101"/><Relationship Id="rId8856" Type="http://schemas.openxmlformats.org/officeDocument/2006/relationships/hyperlink" TargetMode="External" Target="https://spark-interfax.ru/system/home/card#/company/998EBE3BB1C44B31BFBEA236343E151D/101"/><Relationship Id="rId8857" Type="http://schemas.openxmlformats.org/officeDocument/2006/relationships/hyperlink" TargetMode="External" Target="https://spark-interfax.ru/system/home/card#/company/3E99224594264451B72A05E88ECAF1DE/101"/><Relationship Id="rId8858" Type="http://schemas.openxmlformats.org/officeDocument/2006/relationships/hyperlink" TargetMode="External" Target="https://spark-interfax.ru/system/home/card#/company/E1E025E69026460D93D3497D109D150B/101"/><Relationship Id="rId8859" Type="http://schemas.openxmlformats.org/officeDocument/2006/relationships/hyperlink" TargetMode="External" Target="https://spark-interfax.ru/system/home/card#/company/80C949325D7849D7B5140C89260EEA98/101"/><Relationship Id="rId8860" Type="http://schemas.openxmlformats.org/officeDocument/2006/relationships/hyperlink" TargetMode="External" Target="https://spark-interfax.ru/system/home/card#/company/B667030188B34175AD4FF2AB041C8894/101"/><Relationship Id="rId8861" Type="http://schemas.openxmlformats.org/officeDocument/2006/relationships/hyperlink" TargetMode="External" Target="https://spark-interfax.ru/system/home/card#/company/405804E7C2B843F584461929445DB498/101"/><Relationship Id="rId8862" Type="http://schemas.openxmlformats.org/officeDocument/2006/relationships/hyperlink" TargetMode="External" Target="https://spark-interfax.ru/system/home/card#/company/FD262D04E12849D3BC3E9F76DE38C9E5/101"/><Relationship Id="rId8863" Type="http://schemas.openxmlformats.org/officeDocument/2006/relationships/hyperlink" TargetMode="External" Target="https://spark-interfax.ru/system/home/card#/company/51ECAC5B5866458F8F72B20DDCDBC11B/101"/><Relationship Id="rId8864" Type="http://schemas.openxmlformats.org/officeDocument/2006/relationships/hyperlink" TargetMode="External" Target="https://spark-interfax.ru/system/home/card#/company/183CD2DCFCFD4B028A3EA59D02809682/101"/><Relationship Id="rId8865" Type="http://schemas.openxmlformats.org/officeDocument/2006/relationships/hyperlink" TargetMode="External" Target="https://spark-interfax.ru/system/home/card#/company/B01B9098B9C04D5DB5B0EC512CDBEE9F/101"/><Relationship Id="rId8866" Type="http://schemas.openxmlformats.org/officeDocument/2006/relationships/hyperlink" TargetMode="External" Target="https://spark-interfax.ru/system/home/card#/company/631638B305134DA8A1449892127CA843/101"/><Relationship Id="rId8867" Type="http://schemas.openxmlformats.org/officeDocument/2006/relationships/hyperlink" TargetMode="External" Target="https://spark-interfax.ru/system/home/card#/company/90DE84505A7247BDB323E2283E520699/101"/><Relationship Id="rId8868" Type="http://schemas.openxmlformats.org/officeDocument/2006/relationships/hyperlink" TargetMode="External" Target="https://spark-interfax.ru/system/home/card#/company/AE7D89F402BF4555886D02A8360C4561/101"/><Relationship Id="rId8869" Type="http://schemas.openxmlformats.org/officeDocument/2006/relationships/hyperlink" TargetMode="External" Target="https://spark-interfax.ru/system/home/card#/company/BB59758107704632AC15917432989007/101"/><Relationship Id="rId8870" Type="http://schemas.openxmlformats.org/officeDocument/2006/relationships/hyperlink" TargetMode="External" Target="https://spark-interfax.ru/system/home/card#/company/153FEDC980644B3F97496696484C1DBC/101"/><Relationship Id="rId8871" Type="http://schemas.openxmlformats.org/officeDocument/2006/relationships/hyperlink" TargetMode="External" Target="https://spark-interfax.ru/system/home/card#/company/D2C4549E5DB943C3AF70AD13A4B1041C/101"/><Relationship Id="rId8872" Type="http://schemas.openxmlformats.org/officeDocument/2006/relationships/hyperlink" TargetMode="External" Target="https://spark-interfax.ru/system/home/card#/company/6CE00DEB409D4B26B29A0D440F462DEF/101"/><Relationship Id="rId8873" Type="http://schemas.openxmlformats.org/officeDocument/2006/relationships/hyperlink" TargetMode="External" Target="https://spark-interfax.ru/system/home/card#/company/8DA4C7164BDB4F8998195080FFEF7378/101"/><Relationship Id="rId8874" Type="http://schemas.openxmlformats.org/officeDocument/2006/relationships/hyperlink" TargetMode="External" Target="https://spark-interfax.ru/system/home/card#/company/AD4E2759F9B94968A5EF1647A0017733/101"/><Relationship Id="rId8875" Type="http://schemas.openxmlformats.org/officeDocument/2006/relationships/hyperlink" TargetMode="External" Target="https://spark-interfax.ru/system/home/card#/company/AF0E19B7FFEE1FBDE053189AA8C0E04E/101"/><Relationship Id="rId8876" Type="http://schemas.openxmlformats.org/officeDocument/2006/relationships/hyperlink" TargetMode="External" Target="https://spark-interfax.ru/system/home/card#/company/77CD5FBD63F24408B07E1396966ABC83/101"/><Relationship Id="rId8877" Type="http://schemas.openxmlformats.org/officeDocument/2006/relationships/hyperlink" TargetMode="External" Target="https://spark-interfax.ru/system/home/card#/company/EF6942B92ED64378A4558A1A720A566F/101"/><Relationship Id="rId8878" Type="http://schemas.openxmlformats.org/officeDocument/2006/relationships/hyperlink" TargetMode="External" Target="https://spark-interfax.ru/system/home/card#/company/64B5492912024CFD87155AFB49398034/101"/><Relationship Id="rId8879" Type="http://schemas.openxmlformats.org/officeDocument/2006/relationships/hyperlink" TargetMode="External" Target="https://spark-interfax.ru/system/home/card#/company/1C0A3730CB654E94818115881D87BC3F/101"/><Relationship Id="rId8880" Type="http://schemas.openxmlformats.org/officeDocument/2006/relationships/hyperlink" TargetMode="External" Target="https://spark-interfax.ru/system/home/card#/company/62FEA5A0EE6159C4E0531B9AA8C0EB24/101"/><Relationship Id="rId8881" Type="http://schemas.openxmlformats.org/officeDocument/2006/relationships/hyperlink" TargetMode="External" Target="https://spark-interfax.ru/system/home/card#/company/27551195241A49F4986061A8C98E9B0C/101"/><Relationship Id="rId8882" Type="http://schemas.openxmlformats.org/officeDocument/2006/relationships/hyperlink" TargetMode="External" Target="https://spark-interfax.ru/system/home/card#/company/74D279AD7ADC4BC08DA4BE6136404E44/101"/><Relationship Id="rId8883" Type="http://schemas.openxmlformats.org/officeDocument/2006/relationships/hyperlink" TargetMode="External" Target="https://spark-interfax.ru/system/home/card#/company/6021716174854C9B90BEDB3ADFA06562/101"/><Relationship Id="rId8884" Type="http://schemas.openxmlformats.org/officeDocument/2006/relationships/hyperlink" TargetMode="External" Target="https://spark-interfax.ru/system/home/card#/company/FD3772F3421C49FAB7717DEF2B1E7AD9/101"/><Relationship Id="rId8885" Type="http://schemas.openxmlformats.org/officeDocument/2006/relationships/hyperlink" TargetMode="External" Target="https://spark-interfax.ru/system/home/card#/company/A84AFF74B200401C9DFC3A6B83F372A7/101"/><Relationship Id="rId8886" Type="http://schemas.openxmlformats.org/officeDocument/2006/relationships/hyperlink" TargetMode="External" Target="https://spark-interfax.ru/system/home/card#/company/96C6CDCFB36A25A4E0531B9AA8C0E40D/101"/><Relationship Id="rId8887" Type="http://schemas.openxmlformats.org/officeDocument/2006/relationships/hyperlink" TargetMode="External" Target="https://spark-interfax.ru/system/home/card#/company/B1C956038EF24511949F76A541C1C22E/101"/><Relationship Id="rId8888" Type="http://schemas.openxmlformats.org/officeDocument/2006/relationships/hyperlink" TargetMode="External" Target="https://spark-interfax.ru/system/home/card#/company/D574A87D866644D5B4CA7F55DFF95809/101"/><Relationship Id="rId8889" Type="http://schemas.openxmlformats.org/officeDocument/2006/relationships/hyperlink" TargetMode="External" Target="https://spark-interfax.ru/system/home/card#/company/AFDC8CB4C3404F77ACDDC1E3EF85D1CB/101"/><Relationship Id="rId8890" Type="http://schemas.openxmlformats.org/officeDocument/2006/relationships/hyperlink" TargetMode="External" Target="https://spark-interfax.ru/system/home/card#/company/7D5FB3A11F814A52BAC22EDC38B7530D/101"/><Relationship Id="rId8891" Type="http://schemas.openxmlformats.org/officeDocument/2006/relationships/hyperlink" TargetMode="External" Target="https://spark-interfax.ru/system/home/card#/company/2AA7367CD31A491D9714B1D2FDFA8AC9/101"/><Relationship Id="rId8892" Type="http://schemas.openxmlformats.org/officeDocument/2006/relationships/hyperlink" TargetMode="External" Target="https://spark-interfax.ru/system/home/card#/company/9A3E193933EE48E3B75D1E23211F7061/101"/><Relationship Id="rId8893" Type="http://schemas.openxmlformats.org/officeDocument/2006/relationships/hyperlink" TargetMode="External" Target="https://spark-interfax.ru/system/home/card#/company/D4F8766413404628B901FD45CADA4396/101"/><Relationship Id="rId8894" Type="http://schemas.openxmlformats.org/officeDocument/2006/relationships/hyperlink" TargetMode="External" Target="https://spark-interfax.ru/system/home/card#/company/ACC704435DC61E98E053189AA8C0E58C/101"/><Relationship Id="rId8895" Type="http://schemas.openxmlformats.org/officeDocument/2006/relationships/hyperlink" TargetMode="External" Target="https://spark-interfax.ru/system/home/card#/company/C279F5845075452CAA74C5812FED6A9A/101"/><Relationship Id="rId8896" Type="http://schemas.openxmlformats.org/officeDocument/2006/relationships/hyperlink" TargetMode="External" Target="https://spark-interfax.ru/system/home/card#/company/D333C1FB170D4909BEF8C381B0BE3E9D/101"/><Relationship Id="rId8897" Type="http://schemas.openxmlformats.org/officeDocument/2006/relationships/hyperlink" TargetMode="External" Target="https://spark-interfax.ru/system/home/card#/company/5AE65589555A863EE0531C9AA8C028A3/101"/><Relationship Id="rId8898" Type="http://schemas.openxmlformats.org/officeDocument/2006/relationships/hyperlink" TargetMode="External" Target="https://spark-interfax.ru/system/home/card#/company/EE88D3C8C5B54D91AA40AD2DB6D2B739/101"/><Relationship Id="rId8899" Type="http://schemas.openxmlformats.org/officeDocument/2006/relationships/hyperlink" TargetMode="External" Target="https://spark-interfax.ru/system/home/card#/company/9034D41698FF47E681A03F35D4961016/101"/><Relationship Id="rId8900" Type="http://schemas.openxmlformats.org/officeDocument/2006/relationships/hyperlink" TargetMode="External" Target="https://spark-interfax.ru/system/home/card#/company/0A83A87C9FC34A49BFE6F24B2FEAB929/101"/><Relationship Id="rId8901" Type="http://schemas.openxmlformats.org/officeDocument/2006/relationships/hyperlink" TargetMode="External" Target="https://spark-interfax.ru/system/home/card#/company/B3932BBFE916492D8AF7CC826134E447/101"/><Relationship Id="rId8902" Type="http://schemas.openxmlformats.org/officeDocument/2006/relationships/hyperlink" TargetMode="External" Target="https://spark-interfax.ru/system/home/card#/company/58F2A24059304DE08A1F85CFA54EA7DF/101"/><Relationship Id="rId8903" Type="http://schemas.openxmlformats.org/officeDocument/2006/relationships/hyperlink" TargetMode="External" Target="https://spark-interfax.ru/system/home/card#/company/F62194B101BF4738A70C79284334B902/101"/><Relationship Id="rId8904" Type="http://schemas.openxmlformats.org/officeDocument/2006/relationships/hyperlink" TargetMode="External" Target="https://spark-interfax.ru/system/home/card#/company/9A276088DAAF5D91E053179AA8C0FB0E/101"/><Relationship Id="rId8905" Type="http://schemas.openxmlformats.org/officeDocument/2006/relationships/hyperlink" TargetMode="External" Target="https://spark-interfax.ru/system/home/card#/company/50786FD4B31E4C6DAB242EBDAA442FB2/101"/><Relationship Id="rId8906" Type="http://schemas.openxmlformats.org/officeDocument/2006/relationships/hyperlink" TargetMode="External" Target="https://spark-interfax.ru/system/home/card#/company/65AB74D906132C4EE0531B9AA8C0A749/101"/><Relationship Id="rId8907" Type="http://schemas.openxmlformats.org/officeDocument/2006/relationships/hyperlink" TargetMode="External" Target="https://spark-interfax.ru/system/home/card#/company/0FCF2289176C4DA69510081C72A2EE2E/101"/><Relationship Id="rId8908" Type="http://schemas.openxmlformats.org/officeDocument/2006/relationships/hyperlink" TargetMode="External" Target="https://spark-interfax.ru/system/home/card#/company/B3365D52182D4667B52325A75ABB07C3/101"/><Relationship Id="rId8909" Type="http://schemas.openxmlformats.org/officeDocument/2006/relationships/hyperlink" TargetMode="External" Target="https://spark-interfax.ru/system/home/card#/company/4EB637BFE5AC4BCFA03516FE01A8B245/101"/><Relationship Id="rId8910" Type="http://schemas.openxmlformats.org/officeDocument/2006/relationships/hyperlink" TargetMode="External" Target="https://spark-interfax.ru/system/home/card#/company/4FCF0F67AE1545E3AC94CDAA1C09F5C5/101"/><Relationship Id="rId8911" Type="http://schemas.openxmlformats.org/officeDocument/2006/relationships/hyperlink" TargetMode="External" Target="https://spark-interfax.ru/system/home/card#/company/2C7CFC49ED2141D1B57F37D6BE5FEF61/101"/><Relationship Id="rId8912" Type="http://schemas.openxmlformats.org/officeDocument/2006/relationships/hyperlink" TargetMode="External" Target="https://spark-interfax.ru/system/home/card#/company/434E9098D803410BB7A02323F08311AB/101"/><Relationship Id="rId8913" Type="http://schemas.openxmlformats.org/officeDocument/2006/relationships/hyperlink" TargetMode="External" Target="https://spark-interfax.ru/system/home/card#/company/A28AB91BAC29464CAA814AAE68B45C76/101"/><Relationship Id="rId8914" Type="http://schemas.openxmlformats.org/officeDocument/2006/relationships/hyperlink" TargetMode="External" Target="https://spark-interfax.ru/system/home/card#/company/8A8C91A4A42A42FB8544845F154C6A99/101"/><Relationship Id="rId8915" Type="http://schemas.openxmlformats.org/officeDocument/2006/relationships/hyperlink" TargetMode="External" Target="https://spark-interfax.ru/system/home/card#/company/B92B0C5D1DFF40A183B1D32FE42817C0/101"/><Relationship Id="rId8916" Type="http://schemas.openxmlformats.org/officeDocument/2006/relationships/hyperlink" TargetMode="External" Target="https://spark-interfax.ru/system/home/card#/company/8262211630B1457EA1A1327626AF090C/101"/><Relationship Id="rId8917" Type="http://schemas.openxmlformats.org/officeDocument/2006/relationships/hyperlink" TargetMode="External" Target="https://spark-interfax.ru/system/home/card#/company/8B6C2FCC0D3F423B9367086E6C3FBA42/101"/><Relationship Id="rId8918" Type="http://schemas.openxmlformats.org/officeDocument/2006/relationships/hyperlink" TargetMode="External" Target="https://spark-interfax.ru/system/home/card#/company/ECF2FA8B7B3C45658F4078C96CC39AB2/101"/><Relationship Id="rId8919" Type="http://schemas.openxmlformats.org/officeDocument/2006/relationships/hyperlink" TargetMode="External" Target="https://spark-interfax.ru/system/home/card#/company/7B279CC6075F40E4A03587A3C7C9EDB6/101"/><Relationship Id="rId8920" Type="http://schemas.openxmlformats.org/officeDocument/2006/relationships/hyperlink" TargetMode="External" Target="https://spark-interfax.ru/system/home/card#/company/9DCCB24A494B4CF5B0A76D1D760B404A/101"/><Relationship Id="rId8921" Type="http://schemas.openxmlformats.org/officeDocument/2006/relationships/hyperlink" TargetMode="External" Target="https://spark-interfax.ru/system/home/card#/company/9E6635518DB16104E053179AA8C0CECE/101"/><Relationship Id="rId8922" Type="http://schemas.openxmlformats.org/officeDocument/2006/relationships/hyperlink" TargetMode="External" Target="https://spark-interfax.ru/system/home/card#/company/82E59E0ABAAA4986884CF1902FEAAB49/101"/><Relationship Id="rId8923" Type="http://schemas.openxmlformats.org/officeDocument/2006/relationships/hyperlink" TargetMode="External" Target="https://spark-interfax.ru/system/home/card#/company/144DE4243EA64A2799F478CBBA151DC2/101"/><Relationship Id="rId8924" Type="http://schemas.openxmlformats.org/officeDocument/2006/relationships/hyperlink" TargetMode="External" Target="https://spark-interfax.ru/system/home/card#/company/3F0ACD38C9A34095AC91F70630199A12/101"/><Relationship Id="rId8925" Type="http://schemas.openxmlformats.org/officeDocument/2006/relationships/hyperlink" TargetMode="External" Target="https://spark-interfax.ru/system/home/card#/company/5D59F3EF06214871B4D324FD0A564823/101"/><Relationship Id="rId8926" Type="http://schemas.openxmlformats.org/officeDocument/2006/relationships/hyperlink" TargetMode="External" Target="https://spark-interfax.ru/system/home/card#/company/8C7A26E9E42448CA8DE5A17FC83E6C40/101"/><Relationship Id="rId8927" Type="http://schemas.openxmlformats.org/officeDocument/2006/relationships/hyperlink" TargetMode="External" Target="https://spark-interfax.ru/system/home/card#/company/8DC9CE986CF745CDB972F364997CF752/101"/><Relationship Id="rId8928" Type="http://schemas.openxmlformats.org/officeDocument/2006/relationships/hyperlink" TargetMode="External" Target="https://spark-interfax.ru/system/home/card#/company/592B38DE0AA14DFDE0531C9AA8C095D5/101"/><Relationship Id="rId8929" Type="http://schemas.openxmlformats.org/officeDocument/2006/relationships/hyperlink" TargetMode="External" Target="https://spark-interfax.ru/system/home/card#/company/1DDF501A1D2443E097B64E7AA859E2B0/101"/><Relationship Id="rId8930" Type="http://schemas.openxmlformats.org/officeDocument/2006/relationships/hyperlink" TargetMode="External" Target="https://spark-interfax.ru/system/home/card#/company/81AE201FCB8D4C57B43FEF3535835D8E/101"/><Relationship Id="rId8931" Type="http://schemas.openxmlformats.org/officeDocument/2006/relationships/hyperlink" TargetMode="External" Target="https://spark-interfax.ru/system/home/card#/company/A6265B7AE0874BD9A336B34690009DEE/101"/><Relationship Id="rId8932" Type="http://schemas.openxmlformats.org/officeDocument/2006/relationships/hyperlink" TargetMode="External" Target="https://spark-interfax.ru/system/home/card#/company/A011ECA79B00441888E9A86D5F177A94/101"/><Relationship Id="rId8933" Type="http://schemas.openxmlformats.org/officeDocument/2006/relationships/hyperlink" TargetMode="External" Target="https://spark-interfax.ru/system/home/card#/company/65A35E44D63744DB80F644E2414D5F1B/101"/><Relationship Id="rId8934" Type="http://schemas.openxmlformats.org/officeDocument/2006/relationships/hyperlink" TargetMode="External" Target="https://spark-interfax.ru/system/home/card#/company/2AFC7EA959114A9F8F382CA7E77F8403/101"/><Relationship Id="rId8935" Type="http://schemas.openxmlformats.org/officeDocument/2006/relationships/hyperlink" TargetMode="External" Target="https://spark-interfax.ru/system/home/card#/company/71D8DF17FB0B5922E0531B9AA8C02312/101"/><Relationship Id="rId8936" Type="http://schemas.openxmlformats.org/officeDocument/2006/relationships/hyperlink" TargetMode="External" Target="https://spark-interfax.ru/system/home/card#/company/65AB74D906052C4EE0531B9AA8C0A749/101"/><Relationship Id="rId8937" Type="http://schemas.openxmlformats.org/officeDocument/2006/relationships/hyperlink" TargetMode="External" Target="https://spark-interfax.ru/system/home/card#/company/C37EA5591B4E4421A559D807638AA709/101"/><Relationship Id="rId8938" Type="http://schemas.openxmlformats.org/officeDocument/2006/relationships/hyperlink" TargetMode="External" Target="https://spark-interfax.ru/system/home/card#/company/4DF03E6099394910917847BE6482B879/101"/><Relationship Id="rId8939" Type="http://schemas.openxmlformats.org/officeDocument/2006/relationships/hyperlink" TargetMode="External" Target="https://spark-interfax.ru/system/home/card#/company/B686375EF0845362E053219AA8C05C98/101"/><Relationship Id="rId8940" Type="http://schemas.openxmlformats.org/officeDocument/2006/relationships/hyperlink" TargetMode="External" Target="https://spark-interfax.ru/system/home/card#/company/5A08B47C853185B5E0531C9AA8C05E68/101"/><Relationship Id="rId8941" Type="http://schemas.openxmlformats.org/officeDocument/2006/relationships/hyperlink" TargetMode="External" Target="https://spark-interfax.ru/system/home/card#/company/C672086BC2044DAFBA74F1E25F53ECC1/101"/><Relationship Id="rId8942" Type="http://schemas.openxmlformats.org/officeDocument/2006/relationships/hyperlink" TargetMode="External" Target="https://spark-interfax.ru/system/home/card#/company/C8E2D5E7C237464D908C612F7FBBCBA9/101"/><Relationship Id="rId8943" Type="http://schemas.openxmlformats.org/officeDocument/2006/relationships/hyperlink" TargetMode="External" Target="https://spark-interfax.ru/system/home/card#/company/38B8432409BB48F98E9991CBE86A6CF8/101"/><Relationship Id="rId8944" Type="http://schemas.openxmlformats.org/officeDocument/2006/relationships/hyperlink" TargetMode="External" Target="https://spark-interfax.ru/system/home/card#/company/3B2B9F499C1E4CF3BBFB50FFB905487F/101"/><Relationship Id="rId8945" Type="http://schemas.openxmlformats.org/officeDocument/2006/relationships/hyperlink" TargetMode="External" Target="https://spark-interfax.ru/system/home/card#/company/025A0C4E79334E089873A22B2A500BE8/101"/><Relationship Id="rId8946" Type="http://schemas.openxmlformats.org/officeDocument/2006/relationships/hyperlink" TargetMode="External" Target="https://spark-interfax.ru/system/home/card#/company/A20F6FC8B93248F2A2CB7649E77B1A21/101"/><Relationship Id="rId8947" Type="http://schemas.openxmlformats.org/officeDocument/2006/relationships/hyperlink" TargetMode="External" Target="https://spark-interfax.ru/system/home/card#/company/EFD4B0F1405843A0940924768F933112/101"/><Relationship Id="rId8948" Type="http://schemas.openxmlformats.org/officeDocument/2006/relationships/hyperlink" TargetMode="External" Target="https://spark-interfax.ru/system/home/card#/company/EEE4EBE5250147748209494DC17A9DC6/101"/><Relationship Id="rId8949" Type="http://schemas.openxmlformats.org/officeDocument/2006/relationships/hyperlink" TargetMode="External" Target="https://spark-interfax.ru/system/home/card#/company/7DED1C7A79ED4358AD7AC10F83C7CF96/101"/><Relationship Id="rId8950" Type="http://schemas.openxmlformats.org/officeDocument/2006/relationships/hyperlink" TargetMode="External" Target="https://spark-interfax.ru/system/home/card#/company/B2AA42DD14894A839101CEE4398CE257/101"/><Relationship Id="rId8951" Type="http://schemas.openxmlformats.org/officeDocument/2006/relationships/hyperlink" TargetMode="External" Target="https://spark-interfax.ru/system/home/card#/company/625672C966A24DEAB414356104D18AC2/101"/><Relationship Id="rId8952" Type="http://schemas.openxmlformats.org/officeDocument/2006/relationships/hyperlink" TargetMode="External" Target="https://spark-interfax.ru/system/home/card#/company/9B08345CA872453880B26B74731C5979/101"/><Relationship Id="rId8953" Type="http://schemas.openxmlformats.org/officeDocument/2006/relationships/hyperlink" TargetMode="External" Target="https://spark-interfax.ru/system/home/card#/company/618A149E8ABE42D1A37926A3E1F1A7B9/101"/><Relationship Id="rId8954" Type="http://schemas.openxmlformats.org/officeDocument/2006/relationships/hyperlink" TargetMode="External" Target="https://spark-interfax.ru/system/home/card#/company/D52E6B566EF944B892369FF0079F6128/101"/><Relationship Id="rId8955" Type="http://schemas.openxmlformats.org/officeDocument/2006/relationships/hyperlink" TargetMode="External" Target="https://spark-interfax.ru/system/home/card#/company/FB45BF5AA11E45D0AA9EEF12B806520E/101"/><Relationship Id="rId8956" Type="http://schemas.openxmlformats.org/officeDocument/2006/relationships/hyperlink" TargetMode="External" Target="https://spark-interfax.ru/system/home/card#/company/0A20A16EAD7549A48D03D15CD0D78764/101"/><Relationship Id="rId8957" Type="http://schemas.openxmlformats.org/officeDocument/2006/relationships/hyperlink" TargetMode="External" Target="https://spark-interfax.ru/system/home/card#/company/CE389B69F5C647FDAE29A45BF5460041/101"/><Relationship Id="rId8958" Type="http://schemas.openxmlformats.org/officeDocument/2006/relationships/hyperlink" TargetMode="External" Target="https://spark-interfax.ru/system/home/card#/company/F216663D504A4739B8D92832D9312B8A/101"/><Relationship Id="rId8959" Type="http://schemas.openxmlformats.org/officeDocument/2006/relationships/hyperlink" TargetMode="External" Target="https://spark-interfax.ru/system/home/card#/company/3E369DBBA8F749539B1C3256A1E40665/101"/><Relationship Id="rId8960" Type="http://schemas.openxmlformats.org/officeDocument/2006/relationships/hyperlink" TargetMode="External" Target="https://spark-interfax.ru/system/home/card#/company/C797247C6D4A4084BA71062862B5E013/101"/><Relationship Id="rId8961" Type="http://schemas.openxmlformats.org/officeDocument/2006/relationships/hyperlink" TargetMode="External" Target="https://spark-interfax.ru/system/home/card#/company/B44296FA68014A03847D661907248D8C/101"/><Relationship Id="rId8962" Type="http://schemas.openxmlformats.org/officeDocument/2006/relationships/hyperlink" TargetMode="External" Target="https://spark-interfax.ru/system/home/card#/company/8775CBF377BC187DE0531B9AA8C0BC4F/101"/><Relationship Id="rId8963" Type="http://schemas.openxmlformats.org/officeDocument/2006/relationships/hyperlink" TargetMode="External" Target="https://spark-interfax.ru/system/home/card#/company/4D726653C2CF46359D486F87FAE9F21C/101"/><Relationship Id="rId8964" Type="http://schemas.openxmlformats.org/officeDocument/2006/relationships/hyperlink" TargetMode="External" Target="https://spark-interfax.ru/system/home/card#/company/5BAAB7890FCC45BB829FFFD46C69AD8D/101"/><Relationship Id="rId8965" Type="http://schemas.openxmlformats.org/officeDocument/2006/relationships/hyperlink" TargetMode="External" Target="https://spark-interfax.ru/system/home/card#/company/81D27F8EFDFD40008F566EBFF313855E/101"/><Relationship Id="rId8966" Type="http://schemas.openxmlformats.org/officeDocument/2006/relationships/hyperlink" TargetMode="External" Target="https://spark-interfax.ru/system/home/card#/company/AB4FEABFACC14E1BA912989507472C3B/101"/><Relationship Id="rId8967" Type="http://schemas.openxmlformats.org/officeDocument/2006/relationships/hyperlink" TargetMode="External" Target="https://spark-interfax.ru/system/home/card#/company/76A8A9CDE2114340B97E2B2AA95AC9C1/101"/><Relationship Id="rId8968" Type="http://schemas.openxmlformats.org/officeDocument/2006/relationships/hyperlink" TargetMode="External" Target="https://spark-interfax.ru/system/home/card#/company/C76771FC120541F3832F4313B5B5D921/101"/><Relationship Id="rId8969" Type="http://schemas.openxmlformats.org/officeDocument/2006/relationships/hyperlink" TargetMode="External" Target="https://spark-interfax.ru/system/home/card#/company/0A93262A6B734172868E9B99C0EF7570/101"/><Relationship Id="rId8970" Type="http://schemas.openxmlformats.org/officeDocument/2006/relationships/hyperlink" TargetMode="External" Target="https://spark-interfax.ru/system/home/card#/company/DC5EED8269C344E499192972452B3ED6/101"/><Relationship Id="rId8971" Type="http://schemas.openxmlformats.org/officeDocument/2006/relationships/hyperlink" TargetMode="External" Target="https://spark-interfax.ru/system/home/card#/company/A8A106A9481748B78E76507E2EC9E753/101"/><Relationship Id="rId8972" Type="http://schemas.openxmlformats.org/officeDocument/2006/relationships/hyperlink" TargetMode="External" Target="https://spark-interfax.ru/system/home/card#/company/24C687D2076A4DA1833741F887DF9462/101"/><Relationship Id="rId8973" Type="http://schemas.openxmlformats.org/officeDocument/2006/relationships/hyperlink" TargetMode="External" Target="https://spark-interfax.ru/system/home/card#/company/5A407FDD3A2F4815B96B492D3536B49B/101"/><Relationship Id="rId8974" Type="http://schemas.openxmlformats.org/officeDocument/2006/relationships/hyperlink" TargetMode="External" Target="https://spark-interfax.ru/system/home/card#/company/A4B6C1FB40694034B2BD9D83C98C6A15/101"/><Relationship Id="rId8975" Type="http://schemas.openxmlformats.org/officeDocument/2006/relationships/hyperlink" TargetMode="External" Target="https://spark-interfax.ru/system/home/card#/company/AD4053326197427B99C2E92A64D38C0A/101"/><Relationship Id="rId8976" Type="http://schemas.openxmlformats.org/officeDocument/2006/relationships/hyperlink" TargetMode="External" Target="https://spark-interfax.ru/system/home/card#/company/EB701824C26243DAA023E3757B5B8193/101"/><Relationship Id="rId8977" Type="http://schemas.openxmlformats.org/officeDocument/2006/relationships/hyperlink" TargetMode="External" Target="https://spark-interfax.ru/system/home/card#/company/1FAF581CAC4D4525855C8A8B1F942F7F/101"/><Relationship Id="rId8978" Type="http://schemas.openxmlformats.org/officeDocument/2006/relationships/hyperlink" TargetMode="External" Target="https://spark-interfax.ru/system/home/card#/company/FC9D12253CE8432A979C0C400A6F618C/101"/><Relationship Id="rId8979" Type="http://schemas.openxmlformats.org/officeDocument/2006/relationships/hyperlink" TargetMode="External" Target="https://spark-interfax.ru/system/home/card#/company/7C4B80C531473366E0531B9AA8C019E2/101"/><Relationship Id="rId8980" Type="http://schemas.openxmlformats.org/officeDocument/2006/relationships/hyperlink" TargetMode="External" Target="https://spark-interfax.ru/system/home/card#/company/111EDE8A0646490AB97B0A481B9181AE/101"/><Relationship Id="rId8981" Type="http://schemas.openxmlformats.org/officeDocument/2006/relationships/hyperlink" TargetMode="External" Target="https://spark-interfax.ru/system/home/card#/company/E6CB0AFC1D8F4D399B83B4140A9D55E7/101"/><Relationship Id="rId8982" Type="http://schemas.openxmlformats.org/officeDocument/2006/relationships/hyperlink" TargetMode="External" Target="https://spark-interfax.ru/system/home/card#/company/C46361742BE24057B6972C6176485BEF/101"/><Relationship Id="rId8983" Type="http://schemas.openxmlformats.org/officeDocument/2006/relationships/hyperlink" TargetMode="External" Target="https://spark-interfax.ru/system/home/card#/company/6F3B1098DA2C4A319C708EF3EC3B8067/101"/><Relationship Id="rId8984" Type="http://schemas.openxmlformats.org/officeDocument/2006/relationships/hyperlink" TargetMode="External" Target="https://spark-interfax.ru/system/home/card#/company/138324AE95CD4513BF935F4C05B81A45/101"/><Relationship Id="rId8985" Type="http://schemas.openxmlformats.org/officeDocument/2006/relationships/hyperlink" TargetMode="External" Target="https://spark-interfax.ru/system/home/card#/company/AFB2ED490C4E4E45B9D19C1C53FB1FEA/101"/><Relationship Id="rId8986" Type="http://schemas.openxmlformats.org/officeDocument/2006/relationships/hyperlink" TargetMode="External" Target="https://spark-interfax.ru/system/home/card#/company/8F27EC5ACA647A18E0531B9AA8C0180D/101"/><Relationship Id="rId8987" Type="http://schemas.openxmlformats.org/officeDocument/2006/relationships/hyperlink" TargetMode="External" Target="https://spark-interfax.ru/system/home/card#/company/5E75F6F86D1D480EB827997D542D4436/101"/><Relationship Id="rId8988" Type="http://schemas.openxmlformats.org/officeDocument/2006/relationships/hyperlink" TargetMode="External" Target="https://spark-interfax.ru/system/home/card#/company/DA390947CF9B442E87DA318335EC48F7/101"/><Relationship Id="rId8989" Type="http://schemas.openxmlformats.org/officeDocument/2006/relationships/hyperlink" TargetMode="External" Target="https://spark-interfax.ru/system/home/card#/company/596592326D7E45849D63D6B8191794A1/101"/><Relationship Id="rId8990" Type="http://schemas.openxmlformats.org/officeDocument/2006/relationships/hyperlink" TargetMode="External" Target="https://spark-interfax.ru/system/home/card#/company/8CB9EB9755CC614EE0531C9AA8C0000C/101"/><Relationship Id="rId8991" Type="http://schemas.openxmlformats.org/officeDocument/2006/relationships/hyperlink" TargetMode="External" Target="https://spark-interfax.ru/system/home/card#/company/4FA665D234914A798C9CB6021173B4EE/101"/><Relationship Id="rId8992" Type="http://schemas.openxmlformats.org/officeDocument/2006/relationships/hyperlink" TargetMode="External" Target="https://spark-interfax.ru/system/home/card#/company/D5AF38F1DB244CAFB61FE54245BD9F3A/101"/><Relationship Id="rId8993" Type="http://schemas.openxmlformats.org/officeDocument/2006/relationships/hyperlink" TargetMode="External" Target="https://spark-interfax.ru/system/home/card#/company/5A8D94970E5D42ECBDF931114D1D1212/101"/><Relationship Id="rId8994" Type="http://schemas.openxmlformats.org/officeDocument/2006/relationships/hyperlink" TargetMode="External" Target="https://spark-interfax.ru/system/home/card#/company/6CE53514E8A14BA6AE2F4F9DDCC56B24/101"/><Relationship Id="rId8995" Type="http://schemas.openxmlformats.org/officeDocument/2006/relationships/hyperlink" TargetMode="External" Target="https://spark-interfax.ru/system/home/card#/company/B1704C6A36F9495EA8354E62D08372EA/101"/><Relationship Id="rId8996" Type="http://schemas.openxmlformats.org/officeDocument/2006/relationships/hyperlink" TargetMode="External" Target="https://spark-interfax.ru/system/home/card#/company/6095C7831C6F42169284A71D4CDC25D5/101"/><Relationship Id="rId8997" Type="http://schemas.openxmlformats.org/officeDocument/2006/relationships/hyperlink" TargetMode="External" Target="https://spark-interfax.ru/system/home/card#/company/D2AB8056A9774F9DAAE874BFED68710B/101"/><Relationship Id="rId8998" Type="http://schemas.openxmlformats.org/officeDocument/2006/relationships/hyperlink" TargetMode="External" Target="https://spark-interfax.ru/system/home/card#/company/2FA3D151F63C4E0DABC1C055B1AD480B/101"/><Relationship Id="rId8999" Type="http://schemas.openxmlformats.org/officeDocument/2006/relationships/hyperlink" TargetMode="External" Target="https://spark-interfax.ru/system/home/card#/company/24D31567A9084C4EBB435058CB8E9D36/101"/><Relationship Id="rId9000" Type="http://schemas.openxmlformats.org/officeDocument/2006/relationships/hyperlink" TargetMode="External" Target="https://spark-interfax.ru/system/home/card#/company/715F17ECE38188D4E0531B9AA8C0C95E/101"/><Relationship Id="rId9001" Type="http://schemas.openxmlformats.org/officeDocument/2006/relationships/hyperlink" TargetMode="External" Target="https://spark-interfax.ru/system/home/card#/company/3D5753A1A6CC4070A28AB7744598CF82/101"/><Relationship Id="rId9002" Type="http://schemas.openxmlformats.org/officeDocument/2006/relationships/hyperlink" TargetMode="External" Target="https://spark-interfax.ru/system/home/card#/company/7F87677EBE784C95A5A56011A4C8B65A/101"/><Relationship Id="rId9003" Type="http://schemas.openxmlformats.org/officeDocument/2006/relationships/hyperlink" TargetMode="External" Target="https://spark-interfax.ru/system/home/card#/company/5A94E442B65D4508BE983A89A3DD18CE/101"/><Relationship Id="rId9004" Type="http://schemas.openxmlformats.org/officeDocument/2006/relationships/hyperlink" TargetMode="External" Target="https://spark-interfax.ru/system/home/card#/company/F06792BB585D45B39ACD9F12735FA049/101"/><Relationship Id="rId9005" Type="http://schemas.openxmlformats.org/officeDocument/2006/relationships/hyperlink" TargetMode="External" Target="https://spark-interfax.ru/system/home/card#/company/D3C27C90D9534220976E26A87E627314/101"/><Relationship Id="rId9006" Type="http://schemas.openxmlformats.org/officeDocument/2006/relationships/hyperlink" TargetMode="External" Target="https://spark-interfax.ru/system/home/card#/company/B2219DCB692046519D98A4A7B9421402/101"/><Relationship Id="rId9007" Type="http://schemas.openxmlformats.org/officeDocument/2006/relationships/hyperlink" TargetMode="External" Target="https://spark-interfax.ru/system/home/card#/company/8038D1ACEA677DA7E0531B9AA8C007F4/101"/><Relationship Id="rId9008" Type="http://schemas.openxmlformats.org/officeDocument/2006/relationships/hyperlink" TargetMode="External" Target="https://spark-interfax.ru/system/home/card#/company/214F52E62D8745AC915563A6D4FAF8AA/101"/><Relationship Id="rId9009" Type="http://schemas.openxmlformats.org/officeDocument/2006/relationships/hyperlink" TargetMode="External" Target="https://spark-interfax.ru/system/home/card#/company/B70818B4881847B0A547C80E7946E4D4/101"/><Relationship Id="rId9010" Type="http://schemas.openxmlformats.org/officeDocument/2006/relationships/hyperlink" TargetMode="External" Target="https://spark-interfax.ru/system/home/card#/company/404C4CCB176E4BA2B4F411778A47294D/101"/><Relationship Id="rId9011" Type="http://schemas.openxmlformats.org/officeDocument/2006/relationships/hyperlink" TargetMode="External" Target="https://spark-interfax.ru/system/home/card#/company/A258D15F3ECD4A9C967FE2D5310B8C5C/101"/><Relationship Id="rId9012" Type="http://schemas.openxmlformats.org/officeDocument/2006/relationships/hyperlink" TargetMode="External" Target="https://spark-interfax.ru/system/home/card#/company/18DEA633EFCC4875BC8D45DE565D8E94/101"/><Relationship Id="rId9013" Type="http://schemas.openxmlformats.org/officeDocument/2006/relationships/hyperlink" TargetMode="External" Target="https://spark-interfax.ru/system/home/card#/company/FF7F3879CEA24B9F8F6DE7F2C77DD299/101"/><Relationship Id="rId9014" Type="http://schemas.openxmlformats.org/officeDocument/2006/relationships/hyperlink" TargetMode="External" Target="https://spark-interfax.ru/system/home/card#/company/01B5E42BF5F6434997065765F704AF88/101"/><Relationship Id="rId9015" Type="http://schemas.openxmlformats.org/officeDocument/2006/relationships/hyperlink" TargetMode="External" Target="https://spark-interfax.ru/system/home/card#/company/375A43AB1B7F4E80A62A9FF36929FA40/101"/><Relationship Id="rId9016" Type="http://schemas.openxmlformats.org/officeDocument/2006/relationships/hyperlink" TargetMode="External" Target="https://spark-interfax.ru/system/home/card#/company/825872623D484059E0531B9AA8C03C11/101"/><Relationship Id="rId9017" Type="http://schemas.openxmlformats.org/officeDocument/2006/relationships/hyperlink" TargetMode="External" Target="https://spark-interfax.ru/system/home/card#/company/4F595D764CA74D9B9503B298ACA8363D/101"/><Relationship Id="rId9018" Type="http://schemas.openxmlformats.org/officeDocument/2006/relationships/hyperlink" TargetMode="External" Target="https://spark-interfax.ru/system/home/card#/company/92AAAB20B9A24D4CA02A2192EAB99B56/101"/><Relationship Id="rId9019" Type="http://schemas.openxmlformats.org/officeDocument/2006/relationships/hyperlink" TargetMode="External" Target="https://spark-interfax.ru/system/home/card#/company/3FFDD2725ECF4E3EA1ABEBF955B3C429/101"/><Relationship Id="rId9020" Type="http://schemas.openxmlformats.org/officeDocument/2006/relationships/hyperlink" TargetMode="External" Target="https://spark-interfax.ru/system/home/card#/company/ADA1D093513C41FA899D02D3042919F9/101"/><Relationship Id="rId9021" Type="http://schemas.openxmlformats.org/officeDocument/2006/relationships/hyperlink" TargetMode="External" Target="https://spark-interfax.ru/system/home/card#/company/8DD276C9B5610438E0531C9AA8C073F7/101"/><Relationship Id="rId9022" Type="http://schemas.openxmlformats.org/officeDocument/2006/relationships/hyperlink" TargetMode="External" Target="https://spark-interfax.ru/system/home/card#/company/7C3D22B8CB8A43D48EB05CA6CCA7995A/101"/><Relationship Id="rId9023" Type="http://schemas.openxmlformats.org/officeDocument/2006/relationships/hyperlink" TargetMode="External" Target="https://spark-interfax.ru/system/home/card#/company/10EB089180BF49E08DD6109B9C679E0A/101"/><Relationship Id="rId9024" Type="http://schemas.openxmlformats.org/officeDocument/2006/relationships/hyperlink" TargetMode="External" Target="https://spark-interfax.ru/system/home/card#/company/A7271500596745D293E99780730751F3/101"/><Relationship Id="rId9025" Type="http://schemas.openxmlformats.org/officeDocument/2006/relationships/hyperlink" TargetMode="External" Target="https://spark-interfax.ru/system/home/card#/company/2437A8581A1342568290B0667D1921F5/101"/><Relationship Id="rId9026" Type="http://schemas.openxmlformats.org/officeDocument/2006/relationships/hyperlink" TargetMode="External" Target="https://spark-interfax.ru/system/home/card#/company/0711BF687F7D4D6391D21550FC301395/101"/><Relationship Id="rId9027" Type="http://schemas.openxmlformats.org/officeDocument/2006/relationships/hyperlink" TargetMode="External" Target="https://spark-interfax.ru/system/home/card#/company/DDEDA5FAE1004CD09A06C4F8DE980C98/101"/><Relationship Id="rId9028" Type="http://schemas.openxmlformats.org/officeDocument/2006/relationships/hyperlink" TargetMode="External" Target="https://spark-interfax.ru/system/home/card#/company/59E3A93F1BCF4392B5900996B6D36084/101"/><Relationship Id="rId9029" Type="http://schemas.openxmlformats.org/officeDocument/2006/relationships/hyperlink" TargetMode="External" Target="https://spark-interfax.ru/system/home/card#/company/215426466D1A4E098C7CAC999DA966B1/101"/><Relationship Id="rId9030" Type="http://schemas.openxmlformats.org/officeDocument/2006/relationships/hyperlink" TargetMode="External" Target="https://spark-interfax.ru/system/home/card#/company/25C7E205513847078A12588ABED7AFA1/101"/><Relationship Id="rId9031" Type="http://schemas.openxmlformats.org/officeDocument/2006/relationships/hyperlink" TargetMode="External" Target="https://spark-interfax.ru/system/home/card#/company/B846BD8620E04FB997F60C76D4A0921B/101"/><Relationship Id="rId9032" Type="http://schemas.openxmlformats.org/officeDocument/2006/relationships/hyperlink" TargetMode="External" Target="https://spark-interfax.ru/system/home/card#/company/94D376DA4A1646469C4C00F124B52763/101"/><Relationship Id="rId9033" Type="http://schemas.openxmlformats.org/officeDocument/2006/relationships/hyperlink" TargetMode="External" Target="https://spark-interfax.ru/system/home/card#/company/9CD1AF923CCF4C8DAB72454C3EC63B48/101"/><Relationship Id="rId9034" Type="http://schemas.openxmlformats.org/officeDocument/2006/relationships/hyperlink" TargetMode="External" Target="https://spark-interfax.ru/system/home/card#/company/775FE1F4706A41EAB1EDD6D8F3363BB2/101"/><Relationship Id="rId9035" Type="http://schemas.openxmlformats.org/officeDocument/2006/relationships/hyperlink" TargetMode="External" Target="https://spark-interfax.ru/system/home/card#/company/EC044604EB7146BFB0FD063A73240AAF/101"/><Relationship Id="rId9036" Type="http://schemas.openxmlformats.org/officeDocument/2006/relationships/hyperlink" TargetMode="External" Target="https://spark-interfax.ru/system/home/card#/company/9DB0E0F8FC535B9BE053179AA8C078D3/101"/><Relationship Id="rId9037" Type="http://schemas.openxmlformats.org/officeDocument/2006/relationships/hyperlink" TargetMode="External" Target="https://spark-interfax.ru/system/home/card#/company/C9550EEC512E448495D78F3546C6A022/101"/><Relationship Id="rId9038" Type="http://schemas.openxmlformats.org/officeDocument/2006/relationships/hyperlink" TargetMode="External" Target="https://spark-interfax.ru/system/home/card#/company/A5AFC8D17A984EE4B9C620C18A879F5C/101"/><Relationship Id="rId9039" Type="http://schemas.openxmlformats.org/officeDocument/2006/relationships/hyperlink" TargetMode="External" Target="https://spark-interfax.ru/system/home/card#/company/19F108391D8A4647954C3CA954EE000B/101"/><Relationship Id="rId9040" Type="http://schemas.openxmlformats.org/officeDocument/2006/relationships/hyperlink" TargetMode="External" Target="https://spark-interfax.ru/system/home/card#/company/F327F05298D64674BAAA61349DFD7D2C/101"/><Relationship Id="rId9041" Type="http://schemas.openxmlformats.org/officeDocument/2006/relationships/hyperlink" TargetMode="External" Target="https://spark-interfax.ru/system/home/card#/company/40B59126937A41F7AF28E7B2C7761AAA/101"/><Relationship Id="rId9042" Type="http://schemas.openxmlformats.org/officeDocument/2006/relationships/hyperlink" TargetMode="External" Target="https://spark-interfax.ru/system/home/card#/company/4E1F0DFC55664AC69018D34CF19A8F08/101"/><Relationship Id="rId9043" Type="http://schemas.openxmlformats.org/officeDocument/2006/relationships/hyperlink" TargetMode="External" Target="https://spark-interfax.ru/system/home/card#/company/241BD683930F4F4C978BF13390B1146E/101"/><Relationship Id="rId9044" Type="http://schemas.openxmlformats.org/officeDocument/2006/relationships/hyperlink" TargetMode="External" Target="https://spark-interfax.ru/system/home/card#/company/EBC8863581DF456BAD73ED64D49CED82/101"/><Relationship Id="rId9045" Type="http://schemas.openxmlformats.org/officeDocument/2006/relationships/hyperlink" TargetMode="External" Target="https://spark-interfax.ru/system/home/card#/company/C6183458B07D72FFE053219AA8C0E075/101"/><Relationship Id="rId9046" Type="http://schemas.openxmlformats.org/officeDocument/2006/relationships/hyperlink" TargetMode="External" Target="https://spark-interfax.ru/system/home/card#/company/6BD3A40CBBA041A9BA457B0D7BC1BA80/101"/><Relationship Id="rId9047" Type="http://schemas.openxmlformats.org/officeDocument/2006/relationships/hyperlink" TargetMode="External" Target="https://spark-interfax.ru/system/home/card#/company/A75E77E38DA24E8FA4D4B7BA916BACF7/101"/><Relationship Id="rId9048" Type="http://schemas.openxmlformats.org/officeDocument/2006/relationships/hyperlink" TargetMode="External" Target="https://spark-interfax.ru/system/home/card#/company/7F3CEE985AD24C1CA5984F6DAFECE67A/101"/><Relationship Id="rId9049" Type="http://schemas.openxmlformats.org/officeDocument/2006/relationships/hyperlink" TargetMode="External" Target="https://spark-interfax.ru/system/home/card#/company/73D66C4E1CDE448E9F510989624D74FC/101"/><Relationship Id="rId9050" Type="http://schemas.openxmlformats.org/officeDocument/2006/relationships/hyperlink" TargetMode="External" Target="https://spark-interfax.ru/system/home/card#/company/C7CFC3DAB06423CDE053219AA8C01E2B/101"/><Relationship Id="rId9051" Type="http://schemas.openxmlformats.org/officeDocument/2006/relationships/hyperlink" TargetMode="External" Target="https://spark-interfax.ru/system/home/card#/company/F6711877DA4F4898BC7F185606A16A0B/101"/><Relationship Id="rId9052" Type="http://schemas.openxmlformats.org/officeDocument/2006/relationships/hyperlink" TargetMode="External" Target="https://spark-interfax.ru/system/home/card#/company/0AD1D31BC87F4BF6A180081B0EAA8171/101"/><Relationship Id="rId9053" Type="http://schemas.openxmlformats.org/officeDocument/2006/relationships/hyperlink" TargetMode="External" Target="https://spark-interfax.ru/system/home/card#/company/5862FD8799B6431F8710242E7684A6F9/101"/><Relationship Id="rId9054" Type="http://schemas.openxmlformats.org/officeDocument/2006/relationships/hyperlink" TargetMode="External" Target="https://spark-interfax.ru/system/home/card#/company/FC1D89709CF94E3FBDDE976FCB854DCC/101"/><Relationship Id="rId9055" Type="http://schemas.openxmlformats.org/officeDocument/2006/relationships/hyperlink" TargetMode="External" Target="https://spark-interfax.ru/system/home/card#/company/D899FCD49E1445279E21F6584153B540/101"/><Relationship Id="rId9056" Type="http://schemas.openxmlformats.org/officeDocument/2006/relationships/hyperlink" TargetMode="External" Target="https://spark-interfax.ru/system/home/card#/company/1C89D63DB7D54ACD9F51427E60F45114/101"/><Relationship Id="rId9057" Type="http://schemas.openxmlformats.org/officeDocument/2006/relationships/hyperlink" TargetMode="External" Target="https://spark-interfax.ru/system/home/card#/company/1B921FDAC02548DFAE6B5815E1D727C6/101"/><Relationship Id="rId9058" Type="http://schemas.openxmlformats.org/officeDocument/2006/relationships/hyperlink" TargetMode="External" Target="https://spark-interfax.ru/system/home/card#/company/4523D89ADCD247B48095C65236E49BD1/101"/><Relationship Id="rId9059" Type="http://schemas.openxmlformats.org/officeDocument/2006/relationships/hyperlink" TargetMode="External" Target="https://spark-interfax.ru/system/home/card#/company/0B087769324C4FCC97FA246C8F3038CD/101"/><Relationship Id="rId9060" Type="http://schemas.openxmlformats.org/officeDocument/2006/relationships/hyperlink" TargetMode="External" Target="https://spark-interfax.ru/system/home/card#/company/DFD95F58A7CD4FE3A6D0FCA17AFFA925/101"/><Relationship Id="rId9061" Type="http://schemas.openxmlformats.org/officeDocument/2006/relationships/hyperlink" TargetMode="External" Target="https://spark-interfax.ru/system/home/card#/company/57B42903EB734B47B1FB3BA6F069688F/101"/><Relationship Id="rId9062" Type="http://schemas.openxmlformats.org/officeDocument/2006/relationships/hyperlink" TargetMode="External" Target="https://spark-interfax.ru/system/home/card#/company/55B77F3C28614A009AFA6C7B8499AE76/101"/><Relationship Id="rId9063" Type="http://schemas.openxmlformats.org/officeDocument/2006/relationships/hyperlink" TargetMode="External" Target="https://spark-interfax.ru/system/home/card#/company/B7755C0762D34F5D935E99575F2D1519/101"/><Relationship Id="rId9064" Type="http://schemas.openxmlformats.org/officeDocument/2006/relationships/hyperlink" TargetMode="External" Target="https://spark-interfax.ru/system/home/card#/company/8DB8049231624081A8B02468D76F2F5C/101"/><Relationship Id="rId9065" Type="http://schemas.openxmlformats.org/officeDocument/2006/relationships/hyperlink" TargetMode="External" Target="https://spark-interfax.ru/system/home/card#/company/755EACFE6D514A99A0FF04004E4B3C39/101"/><Relationship Id="rId9066" Type="http://schemas.openxmlformats.org/officeDocument/2006/relationships/hyperlink" TargetMode="External" Target="https://spark-interfax.ru/system/home/card#/company/E31D66D35831455A9114CD6C93982058/101"/><Relationship Id="rId9067" Type="http://schemas.openxmlformats.org/officeDocument/2006/relationships/hyperlink" TargetMode="External" Target="https://spark-interfax.ru/system/home/card#/company/1090FF2A1A634B2890981042E5804EB6/101"/><Relationship Id="rId9068" Type="http://schemas.openxmlformats.org/officeDocument/2006/relationships/hyperlink" TargetMode="External" Target="https://spark-interfax.ru/system/home/card#/company/64415A7DF0106FDDE0531B9AA8C0F999/101"/><Relationship Id="rId9069" Type="http://schemas.openxmlformats.org/officeDocument/2006/relationships/hyperlink" TargetMode="External" Target="https://spark-interfax.ru/system/home/card#/company/330C4EC5127945398753DEFE57E2C680/101"/><Relationship Id="rId9070" Type="http://schemas.openxmlformats.org/officeDocument/2006/relationships/hyperlink" TargetMode="External" Target="https://spark-interfax.ru/system/home/card#/company/FA4C413C202E4A8BBAD6DB51CF5D90D5/101"/><Relationship Id="rId9071" Type="http://schemas.openxmlformats.org/officeDocument/2006/relationships/hyperlink" TargetMode="External" Target="https://spark-interfax.ru/system/home/card#/company/07A09B830DFC48A78472A6A3EC096404/101"/><Relationship Id="rId9072" Type="http://schemas.openxmlformats.org/officeDocument/2006/relationships/hyperlink" TargetMode="External" Target="https://spark-interfax.ru/system/home/card#/company/7C18FA5F612243A18154F855F181AD4F/101"/><Relationship Id="rId9073" Type="http://schemas.openxmlformats.org/officeDocument/2006/relationships/hyperlink" TargetMode="External" Target="https://spark-interfax.ru/system/home/card#/company/9559F995F0E3457980E96EB435F690F5/101"/><Relationship Id="rId9074" Type="http://schemas.openxmlformats.org/officeDocument/2006/relationships/hyperlink" TargetMode="External" Target="https://spark-interfax.ru/system/home/card#/company/0837B0942F7044BEBABBEB0F71D56448/101"/><Relationship Id="rId9075" Type="http://schemas.openxmlformats.org/officeDocument/2006/relationships/hyperlink" TargetMode="External" Target="https://spark-interfax.ru/system/home/card#/company/74887F01099D475C9B8F7036E6571031/101"/><Relationship Id="rId9076" Type="http://schemas.openxmlformats.org/officeDocument/2006/relationships/hyperlink" TargetMode="External" Target="https://spark-interfax.ru/system/home/card#/company/BF3E2CD64C514FF4BEBC1EFD0A26500D/101"/><Relationship Id="rId9077" Type="http://schemas.openxmlformats.org/officeDocument/2006/relationships/hyperlink" TargetMode="External" Target="https://spark-interfax.ru/system/home/card#/company/C3C95277A8C64298B8469166FD3682B2/101"/><Relationship Id="rId9078" Type="http://schemas.openxmlformats.org/officeDocument/2006/relationships/hyperlink" TargetMode="External" Target="https://spark-interfax.ru/system/home/card#/company/37C1A6CBE3E64868B359A03A0E8DB5B9/101"/><Relationship Id="rId9079" Type="http://schemas.openxmlformats.org/officeDocument/2006/relationships/hyperlink" TargetMode="External" Target="https://spark-interfax.ru/system/home/card#/company/C3271226CCB547E8A1D63B0BA55CADF7/101"/><Relationship Id="rId9080" Type="http://schemas.openxmlformats.org/officeDocument/2006/relationships/hyperlink" TargetMode="External" Target="https://spark-interfax.ru/system/home/card#/company/7010AA332A244C919D3FDC1E0B78D68A/101"/><Relationship Id="rId9081" Type="http://schemas.openxmlformats.org/officeDocument/2006/relationships/hyperlink" TargetMode="External" Target="https://spark-interfax.ru/system/home/card#/company/978CC106E42643C29A132DC14AB9B0DA/101"/><Relationship Id="rId9082" Type="http://schemas.openxmlformats.org/officeDocument/2006/relationships/hyperlink" TargetMode="External" Target="https://spark-interfax.ru/system/home/card#/company/7F12E870DC534783A6E6491EB0C69B00/101"/><Relationship Id="rId9083" Type="http://schemas.openxmlformats.org/officeDocument/2006/relationships/hyperlink" TargetMode="External" Target="https://spark-interfax.ru/system/home/card#/company/E5BA4777A82E44DEB256E2C5EB3D48BC/101"/><Relationship Id="rId9084" Type="http://schemas.openxmlformats.org/officeDocument/2006/relationships/hyperlink" TargetMode="External" Target="https://spark-interfax.ru/system/home/card#/company/E25A7C55E60841F19E5AFA6AD5FA2EA6/101"/><Relationship Id="rId9085" Type="http://schemas.openxmlformats.org/officeDocument/2006/relationships/hyperlink" TargetMode="External" Target="https://spark-interfax.ru/system/home/card#/company/37A1EF6893354F7C84B4A82A16F8B5DE/101"/><Relationship Id="rId9086" Type="http://schemas.openxmlformats.org/officeDocument/2006/relationships/hyperlink" TargetMode="External" Target="https://spark-interfax.ru/system/home/card#/company/E182DD3E8609487EB1A7896059AD5154/101"/><Relationship Id="rId9087" Type="http://schemas.openxmlformats.org/officeDocument/2006/relationships/hyperlink" TargetMode="External" Target="https://spark-interfax.ru/system/home/card#/company/DBE1F0BECE1B4216AF8CE8E178043FE5/101"/><Relationship Id="rId9088" Type="http://schemas.openxmlformats.org/officeDocument/2006/relationships/hyperlink" TargetMode="External" Target="https://spark-interfax.ru/system/home/card#/company/4373FFAB936C43BBB660D4826BBEEE3E/101"/><Relationship Id="rId9089" Type="http://schemas.openxmlformats.org/officeDocument/2006/relationships/hyperlink" TargetMode="External" Target="https://spark-interfax.ru/system/home/card#/company/5F1148F5EDA67D63E0531B9AA8C04964/101"/><Relationship Id="rId9090" Type="http://schemas.openxmlformats.org/officeDocument/2006/relationships/hyperlink" TargetMode="External" Target="https://spark-interfax.ru/system/home/card#/company/527537321C494D43A087B19FEB8BE078/101"/><Relationship Id="rId9091" Type="http://schemas.openxmlformats.org/officeDocument/2006/relationships/hyperlink" TargetMode="External" Target="https://spark-interfax.ru/system/home/card#/company/BA029BE7AD2745A6AF5A8FB9224C133D/101"/><Relationship Id="rId9092" Type="http://schemas.openxmlformats.org/officeDocument/2006/relationships/hyperlink" TargetMode="External" Target="https://spark-interfax.ru/system/home/card#/company/6687BD2DCC66631CE0531B9AA8C0FF33/101"/><Relationship Id="rId9093" Type="http://schemas.openxmlformats.org/officeDocument/2006/relationships/hyperlink" TargetMode="External" Target="https://spark-interfax.ru/system/home/card#/company/ABA257ED88174922B97F04887B6C4A7E/101"/><Relationship Id="rId9094" Type="http://schemas.openxmlformats.org/officeDocument/2006/relationships/hyperlink" TargetMode="External" Target="https://spark-interfax.ru/system/home/card#/company/494A6E31F79F4651BF527DE4965825CF/101"/><Relationship Id="rId9095" Type="http://schemas.openxmlformats.org/officeDocument/2006/relationships/hyperlink" TargetMode="External" Target="https://spark-interfax.ru/system/home/card#/company/FC27A1EC10334E3B96D5E42A05ACA240/101"/><Relationship Id="rId9096" Type="http://schemas.openxmlformats.org/officeDocument/2006/relationships/hyperlink" TargetMode="External" Target="https://spark-interfax.ru/system/home/card#/company/19FD852DF34E40F9A89BD8C052527849/101"/><Relationship Id="rId9097" Type="http://schemas.openxmlformats.org/officeDocument/2006/relationships/hyperlink" TargetMode="External" Target="https://spark-interfax.ru/system/home/card#/company/5D18AAF29F937FA3E0531C9AA8C003C1/101"/><Relationship Id="rId9098" Type="http://schemas.openxmlformats.org/officeDocument/2006/relationships/hyperlink" TargetMode="External" Target="https://spark-interfax.ru/system/home/card#/company/A4EF12FA70BB433AB9DB11A9C9B21947/101"/><Relationship Id="rId9099" Type="http://schemas.openxmlformats.org/officeDocument/2006/relationships/hyperlink" TargetMode="External" Target="https://spark-interfax.ru/system/home/card#/company/779E515F05BF4DF0B92167462AF78EE4/101"/><Relationship Id="rId9100" Type="http://schemas.openxmlformats.org/officeDocument/2006/relationships/hyperlink" TargetMode="External" Target="https://spark-interfax.ru/system/home/card#/company/23AEA856E7C849AD90DE17AA962F8CAE/101"/><Relationship Id="rId9101" Type="http://schemas.openxmlformats.org/officeDocument/2006/relationships/hyperlink" TargetMode="External" Target="https://spark-interfax.ru/system/home/card#/company/9EF37195A4462494E053179AA8C0D6AA/101"/><Relationship Id="rId9102" Type="http://schemas.openxmlformats.org/officeDocument/2006/relationships/hyperlink" TargetMode="External" Target="https://spark-interfax.ru/system/home/card#/company/78EB706297550EFFE0531F9AA8C0C9A5/101"/><Relationship Id="rId9103" Type="http://schemas.openxmlformats.org/officeDocument/2006/relationships/hyperlink" TargetMode="External" Target="https://spark-interfax.ru/system/home/card#/company/FA9AA15A1D784049B1021DFD3C24D0E9/101"/><Relationship Id="rId9104" Type="http://schemas.openxmlformats.org/officeDocument/2006/relationships/hyperlink" TargetMode="External" Target="https://spark-interfax.ru/system/home/card#/company/19DCBDF75FA349BC9B8FFFA30DE3DEFE/101"/><Relationship Id="rId9105" Type="http://schemas.openxmlformats.org/officeDocument/2006/relationships/hyperlink" TargetMode="External" Target="https://spark-interfax.ru/system/home/card#/company/6C4B226609754A659B947A61F76C21BF/101"/><Relationship Id="rId9106" Type="http://schemas.openxmlformats.org/officeDocument/2006/relationships/hyperlink" TargetMode="External" Target="https://spark-interfax.ru/system/home/card#/company/A96ED78694BD485681DDB4361D4B668F/101"/><Relationship Id="rId9107" Type="http://schemas.openxmlformats.org/officeDocument/2006/relationships/hyperlink" TargetMode="External" Target="https://spark-interfax.ru/system/home/card#/company/544E38FF25B64479A1673FF3FADA3B69/101"/><Relationship Id="rId9108" Type="http://schemas.openxmlformats.org/officeDocument/2006/relationships/hyperlink" TargetMode="External" Target="https://spark-interfax.ru/system/home/card#/company/00F31F568D93485BBFF8D892064670DF/101"/><Relationship Id="rId9109" Type="http://schemas.openxmlformats.org/officeDocument/2006/relationships/hyperlink" TargetMode="External" Target="https://spark-interfax.ru/system/home/card#/company/16017DC7D2D1441C8296E99F6B995427/101"/><Relationship Id="rId9110" Type="http://schemas.openxmlformats.org/officeDocument/2006/relationships/hyperlink" TargetMode="External" Target="https://spark-interfax.ru/system/home/card#/company/FD87FC48241B4D2CB5AC40F516EB1F44/101"/><Relationship Id="rId9111" Type="http://schemas.openxmlformats.org/officeDocument/2006/relationships/hyperlink" TargetMode="External" Target="https://spark-interfax.ru/system/home/card#/company/81CDB8D6CD6C48A894DD22D7B357659B/101"/><Relationship Id="rId9112" Type="http://schemas.openxmlformats.org/officeDocument/2006/relationships/hyperlink" TargetMode="External" Target="https://spark-interfax.ru/system/home/card#/company/B1E9AABD85DB446CA6B7FC6AB349B514/101"/><Relationship Id="rId9113" Type="http://schemas.openxmlformats.org/officeDocument/2006/relationships/hyperlink" TargetMode="External" Target="https://spark-interfax.ru/system/home/card#/company/36491470E56E45ED88A8F9D779C22853/101"/><Relationship Id="rId9114" Type="http://schemas.openxmlformats.org/officeDocument/2006/relationships/hyperlink" TargetMode="External" Target="https://spark-interfax.ru/system/home/card#/company/9228AFCE54CF4037856DC1AEC93EB505/101"/><Relationship Id="rId9115" Type="http://schemas.openxmlformats.org/officeDocument/2006/relationships/hyperlink" TargetMode="External" Target="https://spark-interfax.ru/system/home/card#/company/EA2085B15D374325A90F88318A924F1F/101"/><Relationship Id="rId9116" Type="http://schemas.openxmlformats.org/officeDocument/2006/relationships/hyperlink" TargetMode="External" Target="https://spark-interfax.ru/system/home/card#/company/7C3213892CBC430B8C54D12459393DDF/101"/><Relationship Id="rId9117" Type="http://schemas.openxmlformats.org/officeDocument/2006/relationships/hyperlink" TargetMode="External" Target="https://spark-interfax.ru/system/home/card#/company/225E74F53D464A52A89FA34157418901/101"/><Relationship Id="rId9118" Type="http://schemas.openxmlformats.org/officeDocument/2006/relationships/hyperlink" TargetMode="External" Target="https://spark-interfax.ru/system/home/card#/company/FBC79570DBC942CCAC784FB2D4763862/101"/><Relationship Id="rId9119" Type="http://schemas.openxmlformats.org/officeDocument/2006/relationships/hyperlink" TargetMode="External" Target="https://spark-interfax.ru/system/home/card#/company/9882E2E801784AA5923EFC52D325B70D/101"/><Relationship Id="rId9120" Type="http://schemas.openxmlformats.org/officeDocument/2006/relationships/hyperlink" TargetMode="External" Target="https://spark-interfax.ru/system/home/card#/company/ED652F2A562F4C02891C4A7BBF23FB6B/101"/><Relationship Id="rId9121" Type="http://schemas.openxmlformats.org/officeDocument/2006/relationships/hyperlink" TargetMode="External" Target="https://spark-interfax.ru/system/home/card#/company/072A95855F3D43189B5F44AA63117B0E/101"/><Relationship Id="rId9122" Type="http://schemas.openxmlformats.org/officeDocument/2006/relationships/hyperlink" TargetMode="External" Target="https://spark-interfax.ru/system/home/card#/company/53A82E6B941F40C980E6EBDBFF8CF59A/101"/><Relationship Id="rId9123" Type="http://schemas.openxmlformats.org/officeDocument/2006/relationships/hyperlink" TargetMode="External" Target="https://spark-interfax.ru/system/home/card#/company/90C3FB9822D14974AA6F6E3DCE83573D/101"/><Relationship Id="rId9124" Type="http://schemas.openxmlformats.org/officeDocument/2006/relationships/hyperlink" TargetMode="External" Target="https://spark-interfax.ru/system/home/card#/company/673D05647ACD1C89E0531B9AA8C02EB7/101"/><Relationship Id="rId9125" Type="http://schemas.openxmlformats.org/officeDocument/2006/relationships/hyperlink" TargetMode="External" Target="https://spark-interfax.ru/system/home/card#/company/7FFDA09696AE4DB9AC7286A07B73A621/101"/><Relationship Id="rId9126" Type="http://schemas.openxmlformats.org/officeDocument/2006/relationships/hyperlink" TargetMode="External" Target="https://spark-interfax.ru/system/home/card#/company/544F14E19D9E40E6BE10487187501BA3/101"/><Relationship Id="rId9127" Type="http://schemas.openxmlformats.org/officeDocument/2006/relationships/hyperlink" TargetMode="External" Target="https://spark-interfax.ru/system/home/card#/company/6D97D1A1F37C4E3C8DD4DEDFFAF5F47D/101"/><Relationship Id="rId9128" Type="http://schemas.openxmlformats.org/officeDocument/2006/relationships/hyperlink" TargetMode="External" Target="https://spark-interfax.ru/system/home/card#/company/A686C46FFB4B4ED2B8D77EBBCEDE0E81/101"/><Relationship Id="rId9129" Type="http://schemas.openxmlformats.org/officeDocument/2006/relationships/hyperlink" TargetMode="External" Target="https://spark-interfax.ru/system/home/card#/company/DDECE09228D5437EA849356F41764FD3/101"/><Relationship Id="rId9130" Type="http://schemas.openxmlformats.org/officeDocument/2006/relationships/hyperlink" TargetMode="External" Target="https://spark-interfax.ru/system/home/card#/company/60F89797B40E4172A9ABA359B8614F8A/101"/><Relationship Id="rId9131" Type="http://schemas.openxmlformats.org/officeDocument/2006/relationships/hyperlink" TargetMode="External" Target="https://spark-interfax.ru/system/home/card#/company/9E977352F21A49DC837B3D2AE2E1D2EF/101"/><Relationship Id="rId9132" Type="http://schemas.openxmlformats.org/officeDocument/2006/relationships/hyperlink" TargetMode="External" Target="https://spark-interfax.ru/system/home/card#/company/6AAE820A7E00459DB71FEC9DC97F8059/101"/><Relationship Id="rId9133" Type="http://schemas.openxmlformats.org/officeDocument/2006/relationships/hyperlink" TargetMode="External" Target="https://spark-interfax.ru/system/home/card#/company/8BE5A8E74F4B4EB0ADC60B251306102C/101"/><Relationship Id="rId9134" Type="http://schemas.openxmlformats.org/officeDocument/2006/relationships/hyperlink" TargetMode="External" Target="https://spark-interfax.ru/system/home/card#/company/00A16C75ED5A46F2B3CE69E91DDAE812/101"/><Relationship Id="rId9135" Type="http://schemas.openxmlformats.org/officeDocument/2006/relationships/hyperlink" TargetMode="External" Target="https://spark-interfax.ru/system/home/card#/company/E556DBDF60774F03886B8CF497CA3701/101"/><Relationship Id="rId9136" Type="http://schemas.openxmlformats.org/officeDocument/2006/relationships/hyperlink" TargetMode="External" Target="https://spark-interfax.ru/system/home/card#/company/52081C3DA28847B38021AFA72212D5C0/101"/><Relationship Id="rId9137" Type="http://schemas.openxmlformats.org/officeDocument/2006/relationships/hyperlink" TargetMode="External" Target="https://spark-interfax.ru/system/home/card#/company/5DB764E93AA345CC976FA2D2074C1ED6/101"/><Relationship Id="rId9138" Type="http://schemas.openxmlformats.org/officeDocument/2006/relationships/hyperlink" TargetMode="External" Target="https://spark-interfax.ru/system/home/card#/company/840F0D1154114DBD92E366E180D569D6/101"/><Relationship Id="rId9139" Type="http://schemas.openxmlformats.org/officeDocument/2006/relationships/hyperlink" TargetMode="External" Target="https://spark-interfax.ru/system/home/card#/company/A2B9B930D3F80866E053189AA8C05701/101"/><Relationship Id="rId9140" Type="http://schemas.openxmlformats.org/officeDocument/2006/relationships/hyperlink" TargetMode="External" Target="https://spark-interfax.ru/system/home/card#/company/E63FEB60F1944953B332DCDD5F7C5972/101"/><Relationship Id="rId9141" Type="http://schemas.openxmlformats.org/officeDocument/2006/relationships/hyperlink" TargetMode="External" Target="https://spark-interfax.ru/system/home/card#/company/63D3A6150A7242878133FE871BD00213/101"/><Relationship Id="rId9142" Type="http://schemas.openxmlformats.org/officeDocument/2006/relationships/hyperlink" TargetMode="External" Target="https://spark-interfax.ru/system/home/card#/company/A6275EA8DF634F469EFA992F65ACE0F7/101"/><Relationship Id="rId9143" Type="http://schemas.openxmlformats.org/officeDocument/2006/relationships/hyperlink" TargetMode="External" Target="https://spark-interfax.ru/system/home/card#/company/AE17445B773A46439E83F35E5D84465C/101"/><Relationship Id="rId9144" Type="http://schemas.openxmlformats.org/officeDocument/2006/relationships/hyperlink" TargetMode="External" Target="https://spark-interfax.ru/system/home/card#/company/C5BFA1B12A1E4308B6BD2D588F0E6E59/101"/><Relationship Id="rId9145" Type="http://schemas.openxmlformats.org/officeDocument/2006/relationships/hyperlink" TargetMode="External" Target="https://spark-interfax.ru/system/home/card#/company/B58C795B44D145DE93E45C4CD2331633/101"/><Relationship Id="rId9146" Type="http://schemas.openxmlformats.org/officeDocument/2006/relationships/hyperlink" TargetMode="External" Target="https://spark-interfax.ru/system/home/card#/company/5EAF529AB8B040E8B2C3EB609E4D4289/101"/><Relationship Id="rId9147" Type="http://schemas.openxmlformats.org/officeDocument/2006/relationships/hyperlink" TargetMode="External" Target="https://spark-interfax.ru/system/home/card#/company/FCFB1CA8144E49A7848CDCCBA2AB8328/101"/><Relationship Id="rId9148" Type="http://schemas.openxmlformats.org/officeDocument/2006/relationships/hyperlink" TargetMode="External" Target="https://spark-interfax.ru/system/home/card#/company/11DAF5317C1F4E96B752F7EA5C7A77E1/101"/><Relationship Id="rId9149" Type="http://schemas.openxmlformats.org/officeDocument/2006/relationships/hyperlink" TargetMode="External" Target="https://spark-interfax.ru/system/home/card#/company/19509C936F7F480587168B6DEAA8C1A8/101"/><Relationship Id="rId9150" Type="http://schemas.openxmlformats.org/officeDocument/2006/relationships/hyperlink" TargetMode="External" Target="https://spark-interfax.ru/system/home/card#/company/7BB8498FFF3045CE897D13C646CBF7B4/101"/><Relationship Id="rId9151" Type="http://schemas.openxmlformats.org/officeDocument/2006/relationships/hyperlink" TargetMode="External" Target="https://spark-interfax.ru/system/home/card#/company/E691F0C0746649038AD8A8D508E6F064/101"/><Relationship Id="rId9152" Type="http://schemas.openxmlformats.org/officeDocument/2006/relationships/hyperlink" TargetMode="External" Target="https://spark-interfax.ru/system/home/card#/company/5C9252DE6574491CAA30D2D526DF39BA/101"/><Relationship Id="rId9153" Type="http://schemas.openxmlformats.org/officeDocument/2006/relationships/hyperlink" TargetMode="External" Target="https://spark-interfax.ru/system/home/card#/company/9E4B65D4BCE74B968F9C83EE6F455BA2/101"/><Relationship Id="rId9154" Type="http://schemas.openxmlformats.org/officeDocument/2006/relationships/hyperlink" TargetMode="External" Target="https://spark-interfax.ru/system/home/card#/company/D3D4324FC1D24A2E876A57901664C904/101"/><Relationship Id="rId9155" Type="http://schemas.openxmlformats.org/officeDocument/2006/relationships/hyperlink" TargetMode="External" Target="https://spark-interfax.ru/system/home/card#/company/678DC433E68B7C0BE0531B9AA8C04E56/101"/><Relationship Id="rId9156" Type="http://schemas.openxmlformats.org/officeDocument/2006/relationships/hyperlink" TargetMode="External" Target="https://spark-interfax.ru/system/home/card#/company/7DA450591D164D66A4E59CCC6B92366D/101"/><Relationship Id="rId9157" Type="http://schemas.openxmlformats.org/officeDocument/2006/relationships/hyperlink" TargetMode="External" Target="https://spark-interfax.ru/system/home/card#/company/B51A6A04FBF343998891BDF49C9A7AD0/101"/><Relationship Id="rId9158" Type="http://schemas.openxmlformats.org/officeDocument/2006/relationships/hyperlink" TargetMode="External" Target="https://spark-interfax.ru/system/home/card#/company/6BC28BF68F3D46E6B839DAEB41AF639A/101"/><Relationship Id="rId9159" Type="http://schemas.openxmlformats.org/officeDocument/2006/relationships/hyperlink" TargetMode="External" Target="https://spark-interfax.ru/system/home/card#/company/61F318062A154CB48F8CB40956F55C0F/101"/><Relationship Id="rId9160" Type="http://schemas.openxmlformats.org/officeDocument/2006/relationships/hyperlink" TargetMode="External" Target="https://spark-interfax.ru/system/home/card#/company/235B8589D4E444BBACBA617D25BEECFA/101"/><Relationship Id="rId9161" Type="http://schemas.openxmlformats.org/officeDocument/2006/relationships/hyperlink" TargetMode="External" Target="https://spark-interfax.ru/system/home/card#/company/C97897B16CA846629DD950F422AAD320/101"/><Relationship Id="rId9162" Type="http://schemas.openxmlformats.org/officeDocument/2006/relationships/hyperlink" TargetMode="External" Target="https://spark-interfax.ru/system/home/card#/company/73CD9D1259B24945B15DEA5CFEFC3770/101"/><Relationship Id="rId9163" Type="http://schemas.openxmlformats.org/officeDocument/2006/relationships/hyperlink" TargetMode="External" Target="https://spark-interfax.ru/system/home/card#/company/138F7A3B4FDF4918AC8726A51A8FC314/101"/><Relationship Id="rId9164" Type="http://schemas.openxmlformats.org/officeDocument/2006/relationships/hyperlink" TargetMode="External" Target="https://spark-interfax.ru/system/home/card#/company/5FCBF8086E064C49A7CA768305365BF2/101"/><Relationship Id="rId9165" Type="http://schemas.openxmlformats.org/officeDocument/2006/relationships/hyperlink" TargetMode="External" Target="https://spark-interfax.ru/system/home/card#/company/4FCBF7639EE24B2A813E5D7C21267904/101"/><Relationship Id="rId9166" Type="http://schemas.openxmlformats.org/officeDocument/2006/relationships/hyperlink" TargetMode="External" Target="https://spark-interfax.ru/system/home/card#/company/8CFAE778ACF9426BAC87828138CD5452/101"/><Relationship Id="rId9167" Type="http://schemas.openxmlformats.org/officeDocument/2006/relationships/hyperlink" TargetMode="External" Target="https://spark-interfax.ru/system/home/card#/company/73CC0E9879AF442A89C59BD603504DE3/101"/><Relationship Id="rId9168" Type="http://schemas.openxmlformats.org/officeDocument/2006/relationships/hyperlink" TargetMode="External" Target="https://spark-interfax.ru/system/home/card#/company/B73B1DDD2DF83D60E053219AA8C0089E/101"/><Relationship Id="rId9169" Type="http://schemas.openxmlformats.org/officeDocument/2006/relationships/hyperlink" TargetMode="External" Target="https://spark-interfax.ru/system/home/card#/company/82B34C1201CA6D39E0531B9AA8C08B35/101"/><Relationship Id="rId9170" Type="http://schemas.openxmlformats.org/officeDocument/2006/relationships/hyperlink" TargetMode="External" Target="https://spark-interfax.ru/system/home/card#/company/3EF22AB83A5B4F5B86A55DDE661BF95F/101"/><Relationship Id="rId9171" Type="http://schemas.openxmlformats.org/officeDocument/2006/relationships/hyperlink" TargetMode="External" Target="https://spark-interfax.ru/system/home/card#/company/CE773D71C69F4F759F44A76B5C632916/101"/><Relationship Id="rId9172" Type="http://schemas.openxmlformats.org/officeDocument/2006/relationships/hyperlink" TargetMode="External" Target="https://spark-interfax.ru/system/home/card#/company/2C5911784CD44ECBBF11B9D682AA0EC6/101"/><Relationship Id="rId9173" Type="http://schemas.openxmlformats.org/officeDocument/2006/relationships/hyperlink" TargetMode="External" Target="https://spark-interfax.ru/system/home/card#/company/8406DE809D204B0BA08A90D775B796B0/101"/><Relationship Id="rId9174" Type="http://schemas.openxmlformats.org/officeDocument/2006/relationships/hyperlink" TargetMode="External" Target="https://spark-interfax.ru/system/home/card#/company/7031D6B6BCEF799EE0531B9AA8C09728/101"/><Relationship Id="rId9175" Type="http://schemas.openxmlformats.org/officeDocument/2006/relationships/hyperlink" TargetMode="External" Target="https://spark-interfax.ru/system/home/card#/company/84731FFE677C4AAEBFE5C6D84E45C48C/101"/><Relationship Id="rId9176" Type="http://schemas.openxmlformats.org/officeDocument/2006/relationships/hyperlink" TargetMode="External" Target="https://spark-interfax.ru/system/home/card#/company/BB948A90F1FD42A0A0BC8E3A9373348A/101"/><Relationship Id="rId9177" Type="http://schemas.openxmlformats.org/officeDocument/2006/relationships/hyperlink" TargetMode="External" Target="https://spark-interfax.ru/system/home/card#/company/55A8E429E6064E83813B4F7E2CDBA657/101"/><Relationship Id="rId9178" Type="http://schemas.openxmlformats.org/officeDocument/2006/relationships/hyperlink" TargetMode="External" Target="https://spark-interfax.ru/system/home/card#/company/074A1753DE754ED892D32CDF6278BB8E/101"/><Relationship Id="rId9179" Type="http://schemas.openxmlformats.org/officeDocument/2006/relationships/hyperlink" TargetMode="External" Target="https://spark-interfax.ru/system/home/card#/company/8E7F4BF2270D4C36A5A47D08B163598F/101"/><Relationship Id="rId9180" Type="http://schemas.openxmlformats.org/officeDocument/2006/relationships/hyperlink" TargetMode="External" Target="https://spark-interfax.ru/system/home/card#/company/96F398A403B84BD9886354B0D6F2CF47/101"/><Relationship Id="rId9181" Type="http://schemas.openxmlformats.org/officeDocument/2006/relationships/hyperlink" TargetMode="External" Target="https://spark-interfax.ru/system/home/card#/company/690B6F4E3F324B0DB64481CE5C7191A5/101"/><Relationship Id="rId9182" Type="http://schemas.openxmlformats.org/officeDocument/2006/relationships/hyperlink" TargetMode="External" Target="https://spark-interfax.ru/system/home/card#/company/623143B6D0A94607A182D640946AA157/101"/><Relationship Id="rId9183" Type="http://schemas.openxmlformats.org/officeDocument/2006/relationships/hyperlink" TargetMode="External" Target="https://spark-interfax.ru/system/home/card#/company/BE5ED82D441748D1B8F65078C2C24D55/101"/><Relationship Id="rId9184" Type="http://schemas.openxmlformats.org/officeDocument/2006/relationships/hyperlink" TargetMode="External" Target="https://spark-interfax.ru/system/home/card#/company/EE71BF642D884C92A6DA4A73D938C59C/101"/><Relationship Id="rId9185" Type="http://schemas.openxmlformats.org/officeDocument/2006/relationships/hyperlink" TargetMode="External" Target="https://spark-interfax.ru/system/home/card#/company/DFF9E4503168416583D6408A618157AC/101"/><Relationship Id="rId9186" Type="http://schemas.openxmlformats.org/officeDocument/2006/relationships/hyperlink" TargetMode="External" Target="https://spark-interfax.ru/system/home/card#/company/8EC97182548A4C6BAAADD6A021DB6A0B/101"/><Relationship Id="rId9187" Type="http://schemas.openxmlformats.org/officeDocument/2006/relationships/hyperlink" TargetMode="External" Target="https://spark-interfax.ru/system/home/card#/company/29B90B94D1C444B5A3ECD8514351643B/101"/><Relationship Id="rId9188" Type="http://schemas.openxmlformats.org/officeDocument/2006/relationships/hyperlink" TargetMode="External" Target="https://spark-interfax.ru/system/home/card#/company/D64AE8F1F1BD4FCF8279FAEA0AF417E0/101"/><Relationship Id="rId9189" Type="http://schemas.openxmlformats.org/officeDocument/2006/relationships/hyperlink" TargetMode="External" Target="https://spark-interfax.ru/system/home/card#/company/D622A2ECBB40422DAA2EFBC38F0141BF/101"/><Relationship Id="rId9190" Type="http://schemas.openxmlformats.org/officeDocument/2006/relationships/hyperlink" TargetMode="External" Target="https://spark-interfax.ru/system/home/card#/company/58B8E9A6C57C4465BB70D667FE793F2D/101"/><Relationship Id="rId9191" Type="http://schemas.openxmlformats.org/officeDocument/2006/relationships/hyperlink" TargetMode="External" Target="https://spark-interfax.ru/system/home/card#/company/EC6BA05F1AF8473F83D13C7D399948D6/101"/><Relationship Id="rId9192" Type="http://schemas.openxmlformats.org/officeDocument/2006/relationships/hyperlink" TargetMode="External" Target="https://spark-interfax.ru/system/home/card#/company/353574B8C534466B81922DB1D317536E/101"/><Relationship Id="rId9193" Type="http://schemas.openxmlformats.org/officeDocument/2006/relationships/hyperlink" TargetMode="External" Target="https://spark-interfax.ru/system/home/card#/company/F9C614548B504E4F9C035F5890642C88/101"/><Relationship Id="rId9194" Type="http://schemas.openxmlformats.org/officeDocument/2006/relationships/hyperlink" TargetMode="External" Target="https://spark-interfax.ru/system/home/card#/company/85C2B9AE450B4193950FD929936DA401/101"/><Relationship Id="rId9195" Type="http://schemas.openxmlformats.org/officeDocument/2006/relationships/hyperlink" TargetMode="External" Target="https://spark-interfax.ru/system/home/card#/company/ADBE2BF4010E4502A1071AB39641E3F7/101"/><Relationship Id="rId9196" Type="http://schemas.openxmlformats.org/officeDocument/2006/relationships/hyperlink" TargetMode="External" Target="https://spark-interfax.ru/system/home/card#/company/F21FD8D2ECF54990B6B27FE64D93C987/101"/><Relationship Id="rId9197" Type="http://schemas.openxmlformats.org/officeDocument/2006/relationships/hyperlink" TargetMode="External" Target="https://spark-interfax.ru/system/home/card#/company/FF13419858B14329A7C4124AF9CA1DB2/101"/><Relationship Id="rId9198" Type="http://schemas.openxmlformats.org/officeDocument/2006/relationships/hyperlink" TargetMode="External" Target="https://spark-interfax.ru/system/home/card#/company/9D921CBB237D437F9736F228309F50C9/101"/><Relationship Id="rId9199" Type="http://schemas.openxmlformats.org/officeDocument/2006/relationships/hyperlink" TargetMode="External" Target="https://spark-interfax.ru/system/home/card#/company/04E6035FBE1E41AEBFEC8EEC8372C4D3/101"/><Relationship Id="rId9200" Type="http://schemas.openxmlformats.org/officeDocument/2006/relationships/hyperlink" TargetMode="External" Target="https://spark-interfax.ru/system/home/card#/company/0F42B0613C274BEFBE597FAEE6ED9A74/101"/><Relationship Id="rId9201" Type="http://schemas.openxmlformats.org/officeDocument/2006/relationships/hyperlink" TargetMode="External" Target="https://spark-interfax.ru/system/home/card#/company/BCA99AC1303640D08C67708C48BBB3A3/101"/><Relationship Id="rId9202" Type="http://schemas.openxmlformats.org/officeDocument/2006/relationships/hyperlink" TargetMode="External" Target="https://spark-interfax.ru/system/home/card#/company/BF8DE7D7205E405595FE48399654B513/101"/><Relationship Id="rId9203" Type="http://schemas.openxmlformats.org/officeDocument/2006/relationships/hyperlink" TargetMode="External" Target="https://spark-interfax.ru/system/home/card#/company/BE5DD539201A4C34972D46DF511E2DA5/101"/><Relationship Id="rId9204" Type="http://schemas.openxmlformats.org/officeDocument/2006/relationships/hyperlink" TargetMode="External" Target="https://spark-interfax.ru/system/home/card#/company/D517642E84C64301A573EAC4CBCF82DE/101"/><Relationship Id="rId9205" Type="http://schemas.openxmlformats.org/officeDocument/2006/relationships/hyperlink" TargetMode="External" Target="https://spark-interfax.ru/system/home/card#/company/8F9EF4CFC13A48889C547290313C846E/101"/><Relationship Id="rId9206" Type="http://schemas.openxmlformats.org/officeDocument/2006/relationships/hyperlink" TargetMode="External" Target="https://spark-interfax.ru/system/home/card#/company/6404DAFB73544B5FE0531B9AA8C05B16/101"/><Relationship Id="rId9207" Type="http://schemas.openxmlformats.org/officeDocument/2006/relationships/hyperlink" TargetMode="External" Target="https://spark-interfax.ru/system/home/card#/company/438ECB3C8558412EB214DF5937FC7298/101"/><Relationship Id="rId9208" Type="http://schemas.openxmlformats.org/officeDocument/2006/relationships/hyperlink" TargetMode="External" Target="https://spark-interfax.ru/system/home/card#/company/481317B2C30F4C6ABF79F1091BD48257/101"/><Relationship Id="rId9209" Type="http://schemas.openxmlformats.org/officeDocument/2006/relationships/hyperlink" TargetMode="External" Target="https://spark-interfax.ru/system/home/card#/company/A081CCC6554D4B1F8AB1E881C4318578/101"/><Relationship Id="rId9210" Type="http://schemas.openxmlformats.org/officeDocument/2006/relationships/hyperlink" TargetMode="External" Target="https://spark-interfax.ru/system/home/card#/company/968CA9372F644F12A0F7A97A035254DE/101"/><Relationship Id="rId9211" Type="http://schemas.openxmlformats.org/officeDocument/2006/relationships/hyperlink" TargetMode="External" Target="https://spark-interfax.ru/system/home/card#/company/EFF72FC69E0640828582FF19FF4897CC/101"/><Relationship Id="rId9212" Type="http://schemas.openxmlformats.org/officeDocument/2006/relationships/hyperlink" TargetMode="External" Target="https://spark-interfax.ru/system/home/card#/company/D8A87189010541A981ED98CAFB96E196/101"/><Relationship Id="rId9213" Type="http://schemas.openxmlformats.org/officeDocument/2006/relationships/hyperlink" TargetMode="External" Target="https://spark-interfax.ru/system/home/card#/company/6E151B0450FB4CCC9FB7B29C9F8A493C/101"/><Relationship Id="rId9214" Type="http://schemas.openxmlformats.org/officeDocument/2006/relationships/hyperlink" TargetMode="External" Target="https://spark-interfax.ru/system/home/card#/company/ACC9CF48CC114E69B06AB104497B404C/101"/><Relationship Id="rId9215" Type="http://schemas.openxmlformats.org/officeDocument/2006/relationships/hyperlink" TargetMode="External" Target="https://spark-interfax.ru/system/home/card#/company/2A9AF8F75924425EB8A385ED1423FCD5/101"/><Relationship Id="rId9216" Type="http://schemas.openxmlformats.org/officeDocument/2006/relationships/hyperlink" TargetMode="External" Target="https://spark-interfax.ru/system/home/card#/company/A2C8BD099A514DC1825AE98C4BE81BB4/101"/><Relationship Id="rId9217" Type="http://schemas.openxmlformats.org/officeDocument/2006/relationships/hyperlink" TargetMode="External" Target="https://spark-interfax.ru/system/home/card#/company/359EAEB623C1444F87C718A612323BC2/101"/><Relationship Id="rId9218" Type="http://schemas.openxmlformats.org/officeDocument/2006/relationships/hyperlink" TargetMode="External" Target="https://spark-interfax.ru/system/home/card#/company/522B8DEC45FD453FBA4E25CDF48278A0/101"/><Relationship Id="rId9219" Type="http://schemas.openxmlformats.org/officeDocument/2006/relationships/hyperlink" TargetMode="External" Target="https://spark-interfax.ru/system/home/card#/company/2F605B72FA194190A49A4B63E22325F1/101"/><Relationship Id="rId9220" Type="http://schemas.openxmlformats.org/officeDocument/2006/relationships/hyperlink" TargetMode="External" Target="https://spark-interfax.ru/system/home/card#/company/C84A37327074498FB6D92EC8D9137379/101"/><Relationship Id="rId9221" Type="http://schemas.openxmlformats.org/officeDocument/2006/relationships/hyperlink" TargetMode="External" Target="https://spark-interfax.ru/system/home/card#/company/9263D7BD6F134E668585587FE6520CDD/101"/><Relationship Id="rId9222" Type="http://schemas.openxmlformats.org/officeDocument/2006/relationships/hyperlink" TargetMode="External" Target="https://spark-interfax.ru/system/home/card#/company/A7F79A72CF5E4447975BD858E0E32F17/101"/><Relationship Id="rId9223" Type="http://schemas.openxmlformats.org/officeDocument/2006/relationships/hyperlink" TargetMode="External" Target="https://spark-interfax.ru/system/home/card#/company/B17E82FFB54A401EA253FA9943194873/101"/><Relationship Id="rId9224" Type="http://schemas.openxmlformats.org/officeDocument/2006/relationships/hyperlink" TargetMode="External" Target="https://spark-interfax.ru/system/home/card#/company/53FBABB0D3244602A1BDC6DDE8B241D6/101"/><Relationship Id="rId9225" Type="http://schemas.openxmlformats.org/officeDocument/2006/relationships/hyperlink" TargetMode="External" Target="https://spark-interfax.ru/system/home/card#/company/B099002CEAB14E02A9955B2C1D5D9BB7/101"/><Relationship Id="rId9226" Type="http://schemas.openxmlformats.org/officeDocument/2006/relationships/hyperlink" TargetMode="External" Target="https://spark-interfax.ru/system/home/card#/company/933C523E568A4312827E687C66971451/101"/><Relationship Id="rId9227" Type="http://schemas.openxmlformats.org/officeDocument/2006/relationships/hyperlink" TargetMode="External" Target="https://spark-interfax.ru/system/home/card#/company/A1A0857FB0B94FBD874243CF90F09B64/101"/><Relationship Id="rId9228" Type="http://schemas.openxmlformats.org/officeDocument/2006/relationships/hyperlink" TargetMode="External" Target="https://spark-interfax.ru/system/home/card#/company/4B5E6B4161A04F76AB8E63A0E0F12CBC/101"/><Relationship Id="rId9229" Type="http://schemas.openxmlformats.org/officeDocument/2006/relationships/hyperlink" TargetMode="External" Target="https://spark-interfax.ru/system/home/card#/company/D5E359F9D81B456E9BE1EB8A6BA27594/101"/><Relationship Id="rId9230" Type="http://schemas.openxmlformats.org/officeDocument/2006/relationships/hyperlink" TargetMode="External" Target="https://spark-interfax.ru/system/home/card#/company/39A6F030525D4ED78B78122C6BC054C0/101"/><Relationship Id="rId9231" Type="http://schemas.openxmlformats.org/officeDocument/2006/relationships/hyperlink" TargetMode="External" Target="https://spark-interfax.ru/system/home/card#/company/58F297158F8E41D689C61D187DBE0B6D/101"/><Relationship Id="rId9232" Type="http://schemas.openxmlformats.org/officeDocument/2006/relationships/hyperlink" TargetMode="External" Target="https://spark-interfax.ru/system/home/card#/company/F4D6521637154ECBB742785886AC842A/101"/><Relationship Id="rId9233" Type="http://schemas.openxmlformats.org/officeDocument/2006/relationships/hyperlink" TargetMode="External" Target="https://spark-interfax.ru/system/home/card#/company/B82B5699AD504F6B8475C58D2E5D612F/101"/><Relationship Id="rId9234" Type="http://schemas.openxmlformats.org/officeDocument/2006/relationships/hyperlink" TargetMode="External" Target="https://spark-interfax.ru/system/home/card#/company/7ADA3F5B503842FF90FB03420896C68B/101"/><Relationship Id="rId9235" Type="http://schemas.openxmlformats.org/officeDocument/2006/relationships/hyperlink" TargetMode="External" Target="https://spark-interfax.ru/system/home/card#/company/FE22AD7407314EE9B893B3A08B598C90/101"/><Relationship Id="rId9236" Type="http://schemas.openxmlformats.org/officeDocument/2006/relationships/hyperlink" TargetMode="External" Target="https://spark-interfax.ru/system/home/card#/company/87AE265FC33245E1BFAFAECACAC11CB7/101"/><Relationship Id="rId9237" Type="http://schemas.openxmlformats.org/officeDocument/2006/relationships/hyperlink" TargetMode="External" Target="https://spark-interfax.ru/system/home/card#/company/FD2E497449E749ADB862E7F1F26558A0/101"/><Relationship Id="rId9238" Type="http://schemas.openxmlformats.org/officeDocument/2006/relationships/hyperlink" TargetMode="External" Target="https://spark-interfax.ru/system/home/card#/company/8EF949E0E4E54396A14136EC8F15C7E6/101"/><Relationship Id="rId9239" Type="http://schemas.openxmlformats.org/officeDocument/2006/relationships/hyperlink" TargetMode="External" Target="https://spark-interfax.ru/system/home/card#/company/97E6DAF7F48642B4B4F573D728A17CFC/101"/><Relationship Id="rId9240" Type="http://schemas.openxmlformats.org/officeDocument/2006/relationships/hyperlink" TargetMode="External" Target="https://spark-interfax.ru/system/home/card#/company/ADC5077F25B64474A1077490984EB733/101"/><Relationship Id="rId9241" Type="http://schemas.openxmlformats.org/officeDocument/2006/relationships/hyperlink" TargetMode="External" Target="https://spark-interfax.ru/system/home/card#/company/A1DCB9524F3E176BE053189AA8C07F6E/101"/><Relationship Id="rId9242" Type="http://schemas.openxmlformats.org/officeDocument/2006/relationships/hyperlink" TargetMode="External" Target="https://spark-interfax.ru/system/home/card#/company/C4680DFCC5A1401CAAB233AAFB00981B/101"/><Relationship Id="rId9243" Type="http://schemas.openxmlformats.org/officeDocument/2006/relationships/hyperlink" TargetMode="External" Target="https://spark-interfax.ru/system/home/card#/company/C1125F2389364B62B9BE82FF705CAD72/101"/><Relationship Id="rId9244" Type="http://schemas.openxmlformats.org/officeDocument/2006/relationships/hyperlink" TargetMode="External" Target="https://spark-interfax.ru/system/home/card#/company/6BFFAAB56C284DFEA6A0F490BBE254FA/101"/><Relationship Id="rId9245" Type="http://schemas.openxmlformats.org/officeDocument/2006/relationships/hyperlink" TargetMode="External" Target="https://spark-interfax.ru/system/home/card#/company/422B80939BE043AEA84519C5CBA17958/101"/><Relationship Id="rId9246" Type="http://schemas.openxmlformats.org/officeDocument/2006/relationships/hyperlink" TargetMode="External" Target="https://spark-interfax.ru/system/home/card#/company/43AA2F7F97044976AB1DFEF6C70126E3/101"/><Relationship Id="rId9247" Type="http://schemas.openxmlformats.org/officeDocument/2006/relationships/hyperlink" TargetMode="External" Target="https://spark-interfax.ru/system/home/card#/company/9B9A8CD8850840B5B63EC9FA789F7BB5/101"/><Relationship Id="rId9248" Type="http://schemas.openxmlformats.org/officeDocument/2006/relationships/hyperlink" TargetMode="External" Target="https://spark-interfax.ru/system/home/card#/company/CA767BB81F2649D48A9387744FB17696/101"/><Relationship Id="rId9249" Type="http://schemas.openxmlformats.org/officeDocument/2006/relationships/hyperlink" TargetMode="External" Target="https://spark-interfax.ru/system/home/card#/company/08A3844975D74D52B66951DD77AEAF3A/101"/><Relationship Id="rId9250" Type="http://schemas.openxmlformats.org/officeDocument/2006/relationships/hyperlink" TargetMode="External" Target="https://spark-interfax.ru/system/home/card#/company/448AFE01E6874DCE810EA63611B22BC3/101"/><Relationship Id="rId9251" Type="http://schemas.openxmlformats.org/officeDocument/2006/relationships/hyperlink" TargetMode="External" Target="https://spark-interfax.ru/system/home/card#/company/196584F9CA21465DB851E2E20315E7C9/101"/><Relationship Id="rId9252" Type="http://schemas.openxmlformats.org/officeDocument/2006/relationships/hyperlink" TargetMode="External" Target="https://spark-interfax.ru/system/home/card#/company/7136941A40A066BCE0531B9AA8C01FD7/101"/><Relationship Id="rId9253" Type="http://schemas.openxmlformats.org/officeDocument/2006/relationships/hyperlink" TargetMode="External" Target="https://spark-interfax.ru/system/home/card#/company/A02ED0E051434947ADE28FE4FCF646A8/101"/><Relationship Id="rId9254" Type="http://schemas.openxmlformats.org/officeDocument/2006/relationships/hyperlink" TargetMode="External" Target="https://spark-interfax.ru/system/home/card#/company/49D62ACB59594F2B816B7ECA0B10A870/101"/><Relationship Id="rId9255" Type="http://schemas.openxmlformats.org/officeDocument/2006/relationships/hyperlink" TargetMode="External" Target="https://spark-interfax.ru/system/home/card#/company/56337930317248C084D963D88089A4E5/101"/><Relationship Id="rId9256" Type="http://schemas.openxmlformats.org/officeDocument/2006/relationships/hyperlink" TargetMode="External" Target="https://spark-interfax.ru/system/home/card#/company/589F1EB3336643198F222830C4289E18/101"/><Relationship Id="rId9257" Type="http://schemas.openxmlformats.org/officeDocument/2006/relationships/hyperlink" TargetMode="External" Target="https://spark-interfax.ru/system/home/card#/company/824EE40EDB17466EB15A0C7143D8A205/101"/><Relationship Id="rId9258" Type="http://schemas.openxmlformats.org/officeDocument/2006/relationships/hyperlink" TargetMode="External" Target="https://spark-interfax.ru/system/home/card#/company/9575660BCF0049A6A17C6C4F96FD2F89/101"/><Relationship Id="rId9259" Type="http://schemas.openxmlformats.org/officeDocument/2006/relationships/hyperlink" TargetMode="External" Target="https://spark-interfax.ru/system/home/card#/company/E5E4EAD66EA143C481BDF94CD38FF518/101"/><Relationship Id="rId9260" Type="http://schemas.openxmlformats.org/officeDocument/2006/relationships/hyperlink" TargetMode="External" Target="https://spark-interfax.ru/system/home/card#/company/8C47AC7852774F6694DFC7993810CA7A/101"/><Relationship Id="rId9261" Type="http://schemas.openxmlformats.org/officeDocument/2006/relationships/hyperlink" TargetMode="External" Target="https://spark-interfax.ru/system/home/card#/company/4B4BB1EFBC6C45CD9D3F6E6EBA096FC1/101"/><Relationship Id="rId9262" Type="http://schemas.openxmlformats.org/officeDocument/2006/relationships/hyperlink" TargetMode="External" Target="https://spark-interfax.ru/system/home/card#/company/000F1600EE9D40EEAD80F5D7844D0FC1/101"/><Relationship Id="rId9263" Type="http://schemas.openxmlformats.org/officeDocument/2006/relationships/hyperlink" TargetMode="External" Target="https://spark-interfax.ru/system/home/card#/company/8579D8DE568B4FAFB054312FB03740EE/101"/><Relationship Id="rId9264" Type="http://schemas.openxmlformats.org/officeDocument/2006/relationships/hyperlink" TargetMode="External" Target="https://spark-interfax.ru/system/home/card#/company/B5763A522BA144CBA213DF9F30486DDB/101"/><Relationship Id="rId9265" Type="http://schemas.openxmlformats.org/officeDocument/2006/relationships/hyperlink" TargetMode="External" Target="https://spark-interfax.ru/system/home/card#/company/D00828029FD54725B2A8928C737DDBCA/101"/><Relationship Id="rId9266" Type="http://schemas.openxmlformats.org/officeDocument/2006/relationships/hyperlink" TargetMode="External" Target="https://spark-interfax.ru/system/home/card#/company/469B0495D1AE43CEA21186BCFD959B38/101"/><Relationship Id="rId9267" Type="http://schemas.openxmlformats.org/officeDocument/2006/relationships/hyperlink" TargetMode="External" Target="https://spark-interfax.ru/system/home/card#/company/861F8EE991C57847E0531B9AA8C0555B/101"/><Relationship Id="rId9268" Type="http://schemas.openxmlformats.org/officeDocument/2006/relationships/hyperlink" TargetMode="External" Target="https://spark-interfax.ru/system/home/card#/company/ABACFD17D8B44798E053189AA8C037D3/101"/><Relationship Id="rId9269" Type="http://schemas.openxmlformats.org/officeDocument/2006/relationships/hyperlink" TargetMode="External" Target="https://spark-interfax.ru/system/home/card#/company/378BBF1A577948F5A2917390AE01145F/101"/><Relationship Id="rId9270" Type="http://schemas.openxmlformats.org/officeDocument/2006/relationships/hyperlink" TargetMode="External" Target="https://spark-interfax.ru/system/home/card#/company/8FA08BE1938F58AFE0531B9AA8C0BE6F/101"/><Relationship Id="rId9271" Type="http://schemas.openxmlformats.org/officeDocument/2006/relationships/hyperlink" TargetMode="External" Target="https://spark-interfax.ru/system/home/card#/company/7BBFE1F39E696CD6E0531B9AA8C02AB8/101"/><Relationship Id="rId9272" Type="http://schemas.openxmlformats.org/officeDocument/2006/relationships/hyperlink" TargetMode="External" Target="https://spark-interfax.ru/system/home/card#/company/AA78E794A4004965852F67EDA597B5D4/101"/><Relationship Id="rId9273" Type="http://schemas.openxmlformats.org/officeDocument/2006/relationships/hyperlink" TargetMode="External" Target="https://spark-interfax.ru/system/home/card#/company/E039A3D5A67948FF90F511A69EE13502/101"/><Relationship Id="rId9274" Type="http://schemas.openxmlformats.org/officeDocument/2006/relationships/hyperlink" TargetMode="External" Target="https://spark-interfax.ru/system/home/card#/company/D85973407A134454BECBA22D33B95058/101"/><Relationship Id="rId9275" Type="http://schemas.openxmlformats.org/officeDocument/2006/relationships/hyperlink" TargetMode="External" Target="https://spark-interfax.ru/system/home/card#/company/566B38A0576947018F2F3C5D78DAF250/101"/><Relationship Id="rId9276" Type="http://schemas.openxmlformats.org/officeDocument/2006/relationships/hyperlink" TargetMode="External" Target="https://spark-interfax.ru/system/home/card#/company/11D973BA568D4FDF9A78FA0D12F15F7E/101"/><Relationship Id="rId9277" Type="http://schemas.openxmlformats.org/officeDocument/2006/relationships/hyperlink" TargetMode="External" Target="https://spark-interfax.ru/system/home/card#/company/B611163174CA4AFF854DE94F51836EE6/101"/><Relationship Id="rId9278" Type="http://schemas.openxmlformats.org/officeDocument/2006/relationships/hyperlink" TargetMode="External" Target="https://spark-interfax.ru/system/home/card#/company/5EFD0AEF992F83D8E0531B9AA8C029CC/101"/><Relationship Id="rId9279" Type="http://schemas.openxmlformats.org/officeDocument/2006/relationships/hyperlink" TargetMode="External" Target="https://spark-interfax.ru/system/home/card#/company/9996E355A78D4F23930C716751F80052/101"/><Relationship Id="rId9280" Type="http://schemas.openxmlformats.org/officeDocument/2006/relationships/hyperlink" TargetMode="External" Target="https://spark-interfax.ru/system/home/card#/company/DDB049BF1F274A99A4D9D7385B078990/101"/><Relationship Id="rId9281" Type="http://schemas.openxmlformats.org/officeDocument/2006/relationships/hyperlink" TargetMode="External" Target="https://spark-interfax.ru/system/home/card#/company/2FE6E11A90FF48F2912875640AFB9A5A/101"/><Relationship Id="rId9282" Type="http://schemas.openxmlformats.org/officeDocument/2006/relationships/hyperlink" TargetMode="External" Target="https://spark-interfax.ru/system/home/card#/company/1FEBCF90DDE24541A43C26B23DB43AB0/101"/><Relationship Id="rId9283" Type="http://schemas.openxmlformats.org/officeDocument/2006/relationships/hyperlink" TargetMode="External" Target="https://spark-interfax.ru/system/home/card#/company/88BEBC82EDFE46AFBFE7DA0C6C35B0AE/101"/><Relationship Id="rId9284" Type="http://schemas.openxmlformats.org/officeDocument/2006/relationships/hyperlink" TargetMode="External" Target="https://spark-interfax.ru/system/home/card#/company/DC30B7AF10D942D6BC941A0445F90BBD/101"/><Relationship Id="rId9285" Type="http://schemas.openxmlformats.org/officeDocument/2006/relationships/hyperlink" TargetMode="External" Target="https://spark-interfax.ru/system/home/card#/company/627B836B16A748C9A130DE038E5B18FD/101"/><Relationship Id="rId9286" Type="http://schemas.openxmlformats.org/officeDocument/2006/relationships/hyperlink" TargetMode="External" Target="https://spark-interfax.ru/system/home/card#/company/BB00B3CF64A55ABCE053219AA8C02AA5/101"/><Relationship Id="rId9287" Type="http://schemas.openxmlformats.org/officeDocument/2006/relationships/hyperlink" TargetMode="External" Target="https://spark-interfax.ru/system/home/card#/company/8D8CA6B8C36546EBA162CDE06E151F5B/101"/><Relationship Id="rId9288" Type="http://schemas.openxmlformats.org/officeDocument/2006/relationships/hyperlink" TargetMode="External" Target="https://spark-interfax.ru/system/home/card#/company/3E7B88D067434E799CCB4A5CA34A6196/101"/><Relationship Id="rId9289" Type="http://schemas.openxmlformats.org/officeDocument/2006/relationships/hyperlink" TargetMode="External" Target="https://spark-interfax.ru/system/home/card#/company/5EAC95C3C95C31A0E0531B9AA8C0BC97/101"/><Relationship Id="rId9290" Type="http://schemas.openxmlformats.org/officeDocument/2006/relationships/hyperlink" TargetMode="External" Target="https://spark-interfax.ru/system/home/card#/company/B3B5103B117C4C77A0D5A4FE567CDCF9/101"/><Relationship Id="rId9291" Type="http://schemas.openxmlformats.org/officeDocument/2006/relationships/hyperlink" TargetMode="External" Target="https://spark-interfax.ru/system/home/card#/company/76380181365B4AAA95083D9A289D1516/101"/><Relationship Id="rId9292" Type="http://schemas.openxmlformats.org/officeDocument/2006/relationships/hyperlink" TargetMode="External" Target="https://spark-interfax.ru/system/home/card#/company/2F8109E15BE5407899C4FF58D0F8F057/101"/><Relationship Id="rId9293" Type="http://schemas.openxmlformats.org/officeDocument/2006/relationships/hyperlink" TargetMode="External" Target="https://spark-interfax.ru/system/home/card#/company/045939435632479890AC179BCC6CA9A4/101"/><Relationship Id="rId9294" Type="http://schemas.openxmlformats.org/officeDocument/2006/relationships/hyperlink" TargetMode="External" Target="https://spark-interfax.ru/system/home/card#/company/E7CB5E0CD7C14FD4A72F646A6A07BF2F/101"/><Relationship Id="rId9295" Type="http://schemas.openxmlformats.org/officeDocument/2006/relationships/hyperlink" TargetMode="External" Target="https://spark-interfax.ru/system/home/card#/company/5825A55058B74147ACCC1191E4105491/101"/><Relationship Id="rId9296" Type="http://schemas.openxmlformats.org/officeDocument/2006/relationships/hyperlink" TargetMode="External" Target="https://spark-interfax.ru/system/home/card#/company/35221408823A4C2BBC5FCB2EA3454F16/101"/><Relationship Id="rId9297" Type="http://schemas.openxmlformats.org/officeDocument/2006/relationships/hyperlink" TargetMode="External" Target="https://spark-interfax.ru/system/home/card#/company/8A0EE00FE0C64DBF98368DC50ADDF731/101"/><Relationship Id="rId9298" Type="http://schemas.openxmlformats.org/officeDocument/2006/relationships/hyperlink" TargetMode="External" Target="https://spark-interfax.ru/system/home/card#/company/5429226B767D4392BAC8B7D94C744E16/101"/><Relationship Id="rId9299" Type="http://schemas.openxmlformats.org/officeDocument/2006/relationships/hyperlink" TargetMode="External" Target="https://spark-interfax.ru/system/home/card#/company/DE807396C74246F189650E34969B0692/101"/><Relationship Id="rId9300" Type="http://schemas.openxmlformats.org/officeDocument/2006/relationships/hyperlink" TargetMode="External" Target="https://spark-interfax.ru/system/home/card#/company/0EB8063EE36A47DDAAC5703C0BAA613B/101"/><Relationship Id="rId9301" Type="http://schemas.openxmlformats.org/officeDocument/2006/relationships/hyperlink" TargetMode="External" Target="https://spark-interfax.ru/system/home/card#/company/907D824DF33A1EFEE0531B9AA8C055F8/101"/><Relationship Id="rId9302" Type="http://schemas.openxmlformats.org/officeDocument/2006/relationships/hyperlink" TargetMode="External" Target="https://spark-interfax.ru/system/home/card#/company/27AA89A4A90F43C0ABBA18118EC8EC3C/101"/><Relationship Id="rId9303" Type="http://schemas.openxmlformats.org/officeDocument/2006/relationships/hyperlink" TargetMode="External" Target="https://spark-interfax.ru/system/home/card#/company/9B6C92705F624440A4E187936AA066AA/101"/><Relationship Id="rId9304" Type="http://schemas.openxmlformats.org/officeDocument/2006/relationships/hyperlink" TargetMode="External" Target="https://spark-interfax.ru/system/home/card#/company/9AF08879BB341981E053179AA8C0B96F/101"/><Relationship Id="rId9305" Type="http://schemas.openxmlformats.org/officeDocument/2006/relationships/hyperlink" TargetMode="External" Target="https://spark-interfax.ru/system/home/card#/company/70C378CE67D0499986AB2AAEF964D842/101"/><Relationship Id="rId9306" Type="http://schemas.openxmlformats.org/officeDocument/2006/relationships/hyperlink" TargetMode="External" Target="https://spark-interfax.ru/system/home/card#/company/57B603E0DDE44422829B6A904D818560/101"/><Relationship Id="rId9307" Type="http://schemas.openxmlformats.org/officeDocument/2006/relationships/hyperlink" TargetMode="External" Target="https://spark-interfax.ru/system/home/card#/company/C196AED7EC504660B4354D20E029DFA0/101"/><Relationship Id="rId9308" Type="http://schemas.openxmlformats.org/officeDocument/2006/relationships/hyperlink" TargetMode="External" Target="https://spark-interfax.ru/system/home/card#/company/A834CE7C34E84264BC938DEE47341A5B/101"/><Relationship Id="rId9309" Type="http://schemas.openxmlformats.org/officeDocument/2006/relationships/hyperlink" TargetMode="External" Target="https://spark-interfax.ru/system/home/card#/company/A7F0AEA7C6ED442C8D0680F3506F3537/101"/><Relationship Id="rId9310" Type="http://schemas.openxmlformats.org/officeDocument/2006/relationships/hyperlink" TargetMode="External" Target="https://spark-interfax.ru/system/home/card#/company/5116784673334859860550373856BC0C/101"/><Relationship Id="rId9311" Type="http://schemas.openxmlformats.org/officeDocument/2006/relationships/hyperlink" TargetMode="External" Target="https://spark-interfax.ru/system/home/card#/company/5A08A95181E978A2E0531C9AA8C00122/101"/><Relationship Id="rId9312" Type="http://schemas.openxmlformats.org/officeDocument/2006/relationships/hyperlink" TargetMode="External" Target="https://spark-interfax.ru/system/home/card#/company/0FF94C38393E4CA8BA0A7AB5D00BCD9D/101"/><Relationship Id="rId9313" Type="http://schemas.openxmlformats.org/officeDocument/2006/relationships/hyperlink" TargetMode="External" Target="https://spark-interfax.ru/system/home/card#/company/82B323EB338F3006E0531B9AA8C0BF43/101"/><Relationship Id="rId9314" Type="http://schemas.openxmlformats.org/officeDocument/2006/relationships/hyperlink" TargetMode="External" Target="https://spark-interfax.ru/system/home/card#/company/E4F7A31C8C6E451887DD3369D3A7D3AC/101"/><Relationship Id="rId9315" Type="http://schemas.openxmlformats.org/officeDocument/2006/relationships/hyperlink" TargetMode="External" Target="https://spark-interfax.ru/system/home/card#/company/E765C19A74B24E3683A2AF4A869F453B/101"/><Relationship Id="rId9316" Type="http://schemas.openxmlformats.org/officeDocument/2006/relationships/hyperlink" TargetMode="External" Target="https://spark-interfax.ru/system/home/card#/company/752DD2DE332A41AB8E444C6B789171CA/101"/><Relationship Id="rId9317" Type="http://schemas.openxmlformats.org/officeDocument/2006/relationships/hyperlink" TargetMode="External" Target="https://spark-interfax.ru/system/home/card#/company/6E4E27553BDD0339E0531B9AA8C09B3D/101"/><Relationship Id="rId9318" Type="http://schemas.openxmlformats.org/officeDocument/2006/relationships/hyperlink" TargetMode="External" Target="https://spark-interfax.ru/system/home/card#/company/E8C37EA165A64EF5AED975B18C0EE107/101"/><Relationship Id="rId9319" Type="http://schemas.openxmlformats.org/officeDocument/2006/relationships/hyperlink" TargetMode="External" Target="https://spark-interfax.ru/system/home/card#/company/06F89146B22E48DBB6BADBF06ED7CED2/101"/><Relationship Id="rId9320" Type="http://schemas.openxmlformats.org/officeDocument/2006/relationships/hyperlink" TargetMode="External" Target="https://spark-interfax.ru/system/home/card#/company/47D3C9E664424825A74EAE0361CEC47F/101"/><Relationship Id="rId9321" Type="http://schemas.openxmlformats.org/officeDocument/2006/relationships/hyperlink" TargetMode="External" Target="https://spark-interfax.ru/system/home/card#/company/9D198467994B4552B502CAD76E0EA4C6/101"/><Relationship Id="rId9322" Type="http://schemas.openxmlformats.org/officeDocument/2006/relationships/hyperlink" TargetMode="External" Target="https://spark-interfax.ru/system/home/card#/company/E558E4C282924772971CE74D821A8C63/101"/><Relationship Id="rId9323" Type="http://schemas.openxmlformats.org/officeDocument/2006/relationships/hyperlink" TargetMode="External" Target="https://spark-interfax.ru/system/home/card#/company/E974CBF6FBD44A4EA0EB533A8CEA2C42/101"/><Relationship Id="rId9324" Type="http://schemas.openxmlformats.org/officeDocument/2006/relationships/hyperlink" TargetMode="External" Target="https://spark-interfax.ru/system/home/card#/company/2F41A2CC522F4BA9A7BAF01B33F4F5D1/101"/><Relationship Id="rId9325" Type="http://schemas.openxmlformats.org/officeDocument/2006/relationships/hyperlink" TargetMode="External" Target="https://spark-interfax.ru/system/home/card#/company/1002D213A9FA4E5BBB04F706D125A418/101"/><Relationship Id="rId9326" Type="http://schemas.openxmlformats.org/officeDocument/2006/relationships/hyperlink" TargetMode="External" Target="https://spark-interfax.ru/system/home/card#/company/4C4BA2DCEEF8480EA062E6E022622A4C/101"/><Relationship Id="rId9327" Type="http://schemas.openxmlformats.org/officeDocument/2006/relationships/hyperlink" TargetMode="External" Target="https://spark-interfax.ru/system/home/card#/company/CE669395D4BE477B8CC6E6A0E6890C26/101"/><Relationship Id="rId9328" Type="http://schemas.openxmlformats.org/officeDocument/2006/relationships/hyperlink" TargetMode="External" Target="https://spark-interfax.ru/system/home/card#/company/7753BE1ADE234945BD812106C226E16F/101"/><Relationship Id="rId9329" Type="http://schemas.openxmlformats.org/officeDocument/2006/relationships/hyperlink" TargetMode="External" Target="https://spark-interfax.ru/system/home/card#/company/9D38C1C669A64D2383F7D27964FD8B12/101"/><Relationship Id="rId9330" Type="http://schemas.openxmlformats.org/officeDocument/2006/relationships/hyperlink" TargetMode="External" Target="https://spark-interfax.ru/system/home/card#/company/0DE9F23781A8401BA1AF40BEE00F2292/101"/><Relationship Id="rId9331" Type="http://schemas.openxmlformats.org/officeDocument/2006/relationships/hyperlink" TargetMode="External" Target="https://spark-interfax.ru/system/home/card#/company/980BBEAD30C94D4083A36EA1C372F5E1/101"/><Relationship Id="rId9332" Type="http://schemas.openxmlformats.org/officeDocument/2006/relationships/hyperlink" TargetMode="External" Target="https://spark-interfax.ru/system/home/card#/company/2C90B75D89A64CE0A5192783A968A4F5/101"/><Relationship Id="rId9333" Type="http://schemas.openxmlformats.org/officeDocument/2006/relationships/hyperlink" TargetMode="External" Target="https://spark-interfax.ru/system/home/card#/company/D5B2027AF73747AB8EAD9158D1574917/101"/><Relationship Id="rId9334" Type="http://schemas.openxmlformats.org/officeDocument/2006/relationships/hyperlink" TargetMode="External" Target="https://spark-interfax.ru/system/home/card#/company/D4D5095CA591494783B420CDFB7259F1/101"/><Relationship Id="rId9335" Type="http://schemas.openxmlformats.org/officeDocument/2006/relationships/hyperlink" TargetMode="External" Target="https://spark-interfax.ru/system/home/card#/company/1C54B34976F949CF9EB21231572EA639/101"/><Relationship Id="rId9336" Type="http://schemas.openxmlformats.org/officeDocument/2006/relationships/hyperlink" TargetMode="External" Target="https://spark-interfax.ru/system/home/card#/company/1B44FD38DD534CE58D9B508BB509825E/101"/><Relationship Id="rId9337" Type="http://schemas.openxmlformats.org/officeDocument/2006/relationships/hyperlink" TargetMode="External" Target="https://spark-interfax.ru/system/home/card#/company/4FE2556AEA724F118F5DC84026901B8E/101"/><Relationship Id="rId9338" Type="http://schemas.openxmlformats.org/officeDocument/2006/relationships/hyperlink" TargetMode="External" Target="https://spark-interfax.ru/system/home/card#/company/138C4D8D9F734944853C6150705EB0D6/101"/><Relationship Id="rId9339" Type="http://schemas.openxmlformats.org/officeDocument/2006/relationships/hyperlink" TargetMode="External" Target="https://spark-interfax.ru/system/home/card#/company/27049B7B937844B1A7521DB5EED847CF/101"/><Relationship Id="rId9340" Type="http://schemas.openxmlformats.org/officeDocument/2006/relationships/hyperlink" TargetMode="External" Target="https://spark-interfax.ru/system/home/card#/company/5E189515A81C435CAA5B6A46024862EC/101"/><Relationship Id="rId9341" Type="http://schemas.openxmlformats.org/officeDocument/2006/relationships/hyperlink" TargetMode="External" Target="https://spark-interfax.ru/system/home/card#/company/6F34E3760ACA4FA582786606573FD29F/101"/><Relationship Id="rId9342" Type="http://schemas.openxmlformats.org/officeDocument/2006/relationships/hyperlink" TargetMode="External" Target="https://spark-interfax.ru/system/home/card#/company/5877551219F82C0FE0531C9AA8C0E2FF/101"/><Relationship Id="rId9343" Type="http://schemas.openxmlformats.org/officeDocument/2006/relationships/hyperlink" TargetMode="External" Target="https://spark-interfax.ru/system/home/card#/company/96FF0094A88D408D98868B8BCDEFB4A6/101"/><Relationship Id="rId9344" Type="http://schemas.openxmlformats.org/officeDocument/2006/relationships/hyperlink" TargetMode="External" Target="https://spark-interfax.ru/system/home/card#/company/BAB7F919F2334FA19064FFAFCEEE5890/101"/><Relationship Id="rId9345" Type="http://schemas.openxmlformats.org/officeDocument/2006/relationships/hyperlink" TargetMode="External" Target="https://spark-interfax.ru/system/home/card#/company/DA2B901923464805AA3D569DF1A21954/101"/><Relationship Id="rId9346" Type="http://schemas.openxmlformats.org/officeDocument/2006/relationships/hyperlink" TargetMode="External" Target="https://spark-interfax.ru/system/home/card#/company/12E5925E57104B0C92B14B7A06FB2D83/101"/><Relationship Id="rId9347" Type="http://schemas.openxmlformats.org/officeDocument/2006/relationships/hyperlink" TargetMode="External" Target="https://spark-interfax.ru/system/home/card#/company/6CCE4A56F3D84206A84472869FEC9E11/101"/><Relationship Id="rId9348" Type="http://schemas.openxmlformats.org/officeDocument/2006/relationships/hyperlink" TargetMode="External" Target="https://spark-interfax.ru/system/home/card#/company/AEC9F44DF6FE4B81B8F657FBF9B47D3A/101"/><Relationship Id="rId9349" Type="http://schemas.openxmlformats.org/officeDocument/2006/relationships/hyperlink" TargetMode="External" Target="https://spark-interfax.ru/system/home/card#/company/B7243882011A4BC19DE4C4A6DD7966D5/101"/><Relationship Id="rId9350" Type="http://schemas.openxmlformats.org/officeDocument/2006/relationships/hyperlink" TargetMode="External" Target="https://spark-interfax.ru/system/home/card#/company/268725D7F5F94C38A05E396FEA469DEF/101"/><Relationship Id="rId9351" Type="http://schemas.openxmlformats.org/officeDocument/2006/relationships/hyperlink" TargetMode="External" Target="https://spark-interfax.ru/system/home/card#/company/3AA92AE6B27D484F872296BAA582FC1C/101"/><Relationship Id="rId9352" Type="http://schemas.openxmlformats.org/officeDocument/2006/relationships/hyperlink" TargetMode="External" Target="https://spark-interfax.ru/system/home/card#/company/933DABEA75974DC9B255890BC8C4F4EA/101"/><Relationship Id="rId9353" Type="http://schemas.openxmlformats.org/officeDocument/2006/relationships/hyperlink" TargetMode="External" Target="https://spark-interfax.ru/system/home/card#/company/6525260E92CD44EA831B804F51C46E7B/101"/><Relationship Id="rId9354" Type="http://schemas.openxmlformats.org/officeDocument/2006/relationships/hyperlink" TargetMode="External" Target="https://spark-interfax.ru/system/home/card#/company/1A30613DB7C04A2DB1EAF52EC9E3F82A/101"/><Relationship Id="rId9355" Type="http://schemas.openxmlformats.org/officeDocument/2006/relationships/hyperlink" TargetMode="External" Target="https://spark-interfax.ru/system/home/card#/company/5AB1B5EBFAF048479DE4A0FEC618F91A/101"/><Relationship Id="rId9356" Type="http://schemas.openxmlformats.org/officeDocument/2006/relationships/hyperlink" TargetMode="External" Target="https://spark-interfax.ru/system/home/card#/company/EA668AAC9E364B1BB562E20701E921F2/101"/><Relationship Id="rId9357" Type="http://schemas.openxmlformats.org/officeDocument/2006/relationships/hyperlink" TargetMode="External" Target="https://spark-interfax.ru/system/home/card#/company/4E43FC8CD0324020AF4209FF8B3E5151/101"/><Relationship Id="rId9358" Type="http://schemas.openxmlformats.org/officeDocument/2006/relationships/hyperlink" TargetMode="External" Target="https://spark-interfax.ru/system/home/card#/company/A1E93ADD922044C1867026EC3CCEE09B/101"/><Relationship Id="rId9359" Type="http://schemas.openxmlformats.org/officeDocument/2006/relationships/hyperlink" TargetMode="External" Target="https://spark-interfax.ru/system/home/card#/company/0BCBB037B97B48CE89C567BFB8412E74/101"/><Relationship Id="rId9360" Type="http://schemas.openxmlformats.org/officeDocument/2006/relationships/hyperlink" TargetMode="External" Target="https://spark-interfax.ru/system/home/card#/company/6BB7030DA27635ADE0531B9AA8C00D3F/101"/><Relationship Id="rId9361" Type="http://schemas.openxmlformats.org/officeDocument/2006/relationships/hyperlink" TargetMode="External" Target="https://spark-interfax.ru/system/home/card#/company/9F86CFC484224BF5B1003952F983A756/101"/><Relationship Id="rId9362" Type="http://schemas.openxmlformats.org/officeDocument/2006/relationships/hyperlink" TargetMode="External" Target="https://spark-interfax.ru/system/home/card#/company/47781162BA934710BCA76461A36D865F/101"/><Relationship Id="rId9363" Type="http://schemas.openxmlformats.org/officeDocument/2006/relationships/hyperlink" TargetMode="External" Target="https://spark-interfax.ru/system/home/card#/company/2A44DD3EFA4D43479A63AA3150C36AC6/101"/><Relationship Id="rId9364" Type="http://schemas.openxmlformats.org/officeDocument/2006/relationships/hyperlink" TargetMode="External" Target="https://spark-interfax.ru/system/home/card#/company/727F8421589542E0BBA9DC873FF718DD/101"/><Relationship Id="rId9365" Type="http://schemas.openxmlformats.org/officeDocument/2006/relationships/hyperlink" TargetMode="External" Target="https://spark-interfax.ru/system/home/card#/company/ED8A9B008ECB4A03A087949B67D9CF84/101"/><Relationship Id="rId9366" Type="http://schemas.openxmlformats.org/officeDocument/2006/relationships/hyperlink" TargetMode="External" Target="https://spark-interfax.ru/system/home/card#/company/EE036ED640974E049F5136E7AED93F24/101"/><Relationship Id="rId9367" Type="http://schemas.openxmlformats.org/officeDocument/2006/relationships/hyperlink" TargetMode="External" Target="https://spark-interfax.ru/system/home/card#/company/D966850D88524910A97BF9825D5BEDB1/101"/><Relationship Id="rId9368" Type="http://schemas.openxmlformats.org/officeDocument/2006/relationships/hyperlink" TargetMode="External" Target="https://spark-interfax.ru/system/home/card#/company/0C3F389C59B24BD88168B239EBD37C67/101"/><Relationship Id="rId9369" Type="http://schemas.openxmlformats.org/officeDocument/2006/relationships/hyperlink" TargetMode="External" Target="https://spark-interfax.ru/system/home/card#/company/BDFB7C4FF213482E8D7C4FD4B859A4FF/101"/><Relationship Id="rId9370" Type="http://schemas.openxmlformats.org/officeDocument/2006/relationships/hyperlink" TargetMode="External" Target="https://spark-interfax.ru/system/home/card#/company/33A6439BA00A41729BA2DC0E5E2F4A29/101"/><Relationship Id="rId9371" Type="http://schemas.openxmlformats.org/officeDocument/2006/relationships/hyperlink" TargetMode="External" Target="https://spark-interfax.ru/system/home/card#/company/4643404522CB48CA9239740EB815BDE0/101"/><Relationship Id="rId9372" Type="http://schemas.openxmlformats.org/officeDocument/2006/relationships/hyperlink" TargetMode="External" Target="https://spark-interfax.ru/system/home/card#/company/11911FEBE3AA4036A7A18B865BCD09CA/101"/><Relationship Id="rId9373" Type="http://schemas.openxmlformats.org/officeDocument/2006/relationships/hyperlink" TargetMode="External" Target="https://spark-interfax.ru/system/home/card#/company/F49FD771192F4C61AE9819852AA0240C/101"/><Relationship Id="rId9374" Type="http://schemas.openxmlformats.org/officeDocument/2006/relationships/hyperlink" TargetMode="External" Target="https://spark-interfax.ru/system/home/card#/company/E3254DE32AA5453190EF980EC5F196B0/101"/><Relationship Id="rId9375" Type="http://schemas.openxmlformats.org/officeDocument/2006/relationships/hyperlink" TargetMode="External" Target="https://spark-interfax.ru/system/home/card#/company/E823D875E08D4CD38BEA7BC35AC64E03/101"/><Relationship Id="rId9376" Type="http://schemas.openxmlformats.org/officeDocument/2006/relationships/hyperlink" TargetMode="External" Target="https://spark-interfax.ru/system/home/card#/company/211CFBCC66714B3186525F33A0A9F9F6/101"/><Relationship Id="rId9377" Type="http://schemas.openxmlformats.org/officeDocument/2006/relationships/hyperlink" TargetMode="External" Target="https://spark-interfax.ru/system/home/card#/company/D760C8505AB9442A8B6A4D6DF313E72F/101"/><Relationship Id="rId9378" Type="http://schemas.openxmlformats.org/officeDocument/2006/relationships/hyperlink" TargetMode="External" Target="https://spark-interfax.ru/system/home/card#/company/DD0918F782AE4E66A23A8303B7145271/101"/><Relationship Id="rId9379" Type="http://schemas.openxmlformats.org/officeDocument/2006/relationships/hyperlink" TargetMode="External" Target="https://spark-interfax.ru/system/home/card#/company/737F97CE05958EC3E0531B9AA8C0967E/101"/><Relationship Id="rId9380" Type="http://schemas.openxmlformats.org/officeDocument/2006/relationships/hyperlink" TargetMode="External" Target="https://spark-interfax.ru/system/home/card#/company/2662CE25032B49888A12E3CB23791219/101"/><Relationship Id="rId9381" Type="http://schemas.openxmlformats.org/officeDocument/2006/relationships/hyperlink" TargetMode="External" Target="https://spark-interfax.ru/system/home/card#/company/9058A10AA7E64BD6AF05AD555C733BFB/101"/><Relationship Id="rId9382" Type="http://schemas.openxmlformats.org/officeDocument/2006/relationships/hyperlink" TargetMode="External" Target="https://spark-interfax.ru/system/home/card#/company/4CAA0E815B5E4CB8AC6C8336DFA0737B/101"/><Relationship Id="rId9383" Type="http://schemas.openxmlformats.org/officeDocument/2006/relationships/hyperlink" TargetMode="External" Target="https://spark-interfax.ru/system/home/card#/company/7C595B8D1A684830890B67633DAFE985/101"/><Relationship Id="rId9384" Type="http://schemas.openxmlformats.org/officeDocument/2006/relationships/hyperlink" TargetMode="External" Target="https://spark-interfax.ru/system/home/card#/company/6528FFD9A76D4E02B6359120835E4F4A/101"/><Relationship Id="rId9385" Type="http://schemas.openxmlformats.org/officeDocument/2006/relationships/hyperlink" TargetMode="External" Target="https://spark-interfax.ru/system/home/card#/company/BD93D57EDF4A4CC88EE9EE191AC1B6B2/101"/><Relationship Id="rId9386" Type="http://schemas.openxmlformats.org/officeDocument/2006/relationships/hyperlink" TargetMode="External" Target="https://spark-interfax.ru/system/home/card#/company/4E46BB84B200482788C25933CF281B00/101"/><Relationship Id="rId9387" Type="http://schemas.openxmlformats.org/officeDocument/2006/relationships/hyperlink" TargetMode="External" Target="https://spark-interfax.ru/system/home/card#/company/881B5096077D4B4CA8771D8308E03E56/101"/><Relationship Id="rId9388" Type="http://schemas.openxmlformats.org/officeDocument/2006/relationships/hyperlink" TargetMode="External" Target="https://spark-interfax.ru/system/home/card#/company/6180B88157DB45C6A670E88A027BA0FA/101"/><Relationship Id="rId9389" Type="http://schemas.openxmlformats.org/officeDocument/2006/relationships/hyperlink" TargetMode="External" Target="https://spark-interfax.ru/system/home/card#/company/12CB392E600941B8ADF3200158445950/101"/><Relationship Id="rId9390" Type="http://schemas.openxmlformats.org/officeDocument/2006/relationships/hyperlink" TargetMode="External" Target="https://spark-interfax.ru/system/home/card#/company/85D2DEA9A63244EA9D002A4BA0061564/101"/><Relationship Id="rId9391" Type="http://schemas.openxmlformats.org/officeDocument/2006/relationships/hyperlink" TargetMode="External" Target="https://spark-interfax.ru/system/home/card#/company/6E65704D32FE4A97A5C3CD7161B0E155/101"/><Relationship Id="rId9392" Type="http://schemas.openxmlformats.org/officeDocument/2006/relationships/hyperlink" TargetMode="External" Target="https://spark-interfax.ru/system/home/card#/company/7D065DA120BF4FC88B8ACF33400DB40D/101"/><Relationship Id="rId9393" Type="http://schemas.openxmlformats.org/officeDocument/2006/relationships/hyperlink" TargetMode="External" Target="https://spark-interfax.ru/system/home/card#/company/46413FF0C19647A787C2729542D9C2BC/101"/><Relationship Id="rId9394" Type="http://schemas.openxmlformats.org/officeDocument/2006/relationships/hyperlink" TargetMode="External" Target="https://spark-interfax.ru/system/home/card#/company/24F4C9C8D4494BE191B2A2F466D89211/101"/><Relationship Id="rId9395" Type="http://schemas.openxmlformats.org/officeDocument/2006/relationships/hyperlink" TargetMode="External" Target="https://spark-interfax.ru/system/home/card#/company/E1EAE2F0709A4D6C964313C4D96C9512/101"/><Relationship Id="rId9396" Type="http://schemas.openxmlformats.org/officeDocument/2006/relationships/hyperlink" TargetMode="External" Target="https://spark-interfax.ru/system/home/card#/company/80B7B6282C3D4F288C0C7E25C2C805FA/101"/><Relationship Id="rId9397" Type="http://schemas.openxmlformats.org/officeDocument/2006/relationships/hyperlink" TargetMode="External" Target="https://spark-interfax.ru/system/home/card#/company/70BEC3D2D8E43793E0531B9AA8C06981/101"/><Relationship Id="rId9398" Type="http://schemas.openxmlformats.org/officeDocument/2006/relationships/hyperlink" TargetMode="External" Target="https://spark-interfax.ru/system/home/card#/company/7FFC8CD430F34E1980AF07FDCA4E4655/101"/><Relationship Id="rId9399" Type="http://schemas.openxmlformats.org/officeDocument/2006/relationships/hyperlink" TargetMode="External" Target="https://spark-interfax.ru/system/home/card#/company/9E78AA6A6DFF4B348FF3CCDCF4E171C6/101"/><Relationship Id="rId9400" Type="http://schemas.openxmlformats.org/officeDocument/2006/relationships/hyperlink" TargetMode="External" Target="https://spark-interfax.ru/system/home/card#/company/F17FDBBEF8B649149E37FE3C1A724DEA/101"/><Relationship Id="rId9401" Type="http://schemas.openxmlformats.org/officeDocument/2006/relationships/hyperlink" TargetMode="External" Target="https://spark-interfax.ru/system/home/card#/company/1E9099CDA04A4F7A8D378F5281CF4D5F/101"/><Relationship Id="rId9402" Type="http://schemas.openxmlformats.org/officeDocument/2006/relationships/hyperlink" TargetMode="External" Target="https://spark-interfax.ru/system/home/card#/company/99BA1646E24A47A09B34E398F46BD00E/101"/><Relationship Id="rId9403" Type="http://schemas.openxmlformats.org/officeDocument/2006/relationships/hyperlink" TargetMode="External" Target="https://spark-interfax.ru/system/home/card#/company/DD9A9EDC341547058ABFD05E13D2A5BC/101"/><Relationship Id="rId9404" Type="http://schemas.openxmlformats.org/officeDocument/2006/relationships/hyperlink" TargetMode="External" Target="https://spark-interfax.ru/system/home/card#/company/34EE1FE677A14FC2B846049DC44FC5F4/101"/><Relationship Id="rId9405" Type="http://schemas.openxmlformats.org/officeDocument/2006/relationships/hyperlink" TargetMode="External" Target="https://spark-interfax.ru/system/home/card#/company/B853FCDC9EC54CAF93B264FB42DF74EF/101"/><Relationship Id="rId9406" Type="http://schemas.openxmlformats.org/officeDocument/2006/relationships/hyperlink" TargetMode="External" Target="https://spark-interfax.ru/system/home/card#/company/C3C0DB54B97D4D14A952B81B43FCA437/101"/><Relationship Id="rId9407" Type="http://schemas.openxmlformats.org/officeDocument/2006/relationships/hyperlink" TargetMode="External" Target="https://spark-interfax.ru/system/home/card#/company/256CB4871EF048FAA747DDDBC014878C/101"/><Relationship Id="rId9408" Type="http://schemas.openxmlformats.org/officeDocument/2006/relationships/hyperlink" TargetMode="External" Target="https://spark-interfax.ru/system/home/card#/company/B07B5048F0434E9EADB80F17043329BE/101"/><Relationship Id="rId9409" Type="http://schemas.openxmlformats.org/officeDocument/2006/relationships/hyperlink" TargetMode="External" Target="https://spark-interfax.ru/system/home/card#/company/FE656EE8D7A743B8B707D673EF8BF76D/101"/><Relationship Id="rId9410" Type="http://schemas.openxmlformats.org/officeDocument/2006/relationships/hyperlink" TargetMode="External" Target="https://spark-interfax.ru/system/home/card#/company/5296101BF4A3417D853BC60B09DA42C0/101"/><Relationship Id="rId9411" Type="http://schemas.openxmlformats.org/officeDocument/2006/relationships/hyperlink" TargetMode="External" Target="https://spark-interfax.ru/system/home/card#/company/3B7E24A9497E4D0CAB4BD4DDDB448002/101"/><Relationship Id="rId9412" Type="http://schemas.openxmlformats.org/officeDocument/2006/relationships/hyperlink" TargetMode="External" Target="https://spark-interfax.ru/system/home/card#/company/57B48A99C0BB4FEA97BD11DBC94F8767/101"/><Relationship Id="rId9413" Type="http://schemas.openxmlformats.org/officeDocument/2006/relationships/hyperlink" TargetMode="External" Target="https://spark-interfax.ru/system/home/card#/company/9F99967C1E394EA1823D9489B666576E/101"/><Relationship Id="rId9414" Type="http://schemas.openxmlformats.org/officeDocument/2006/relationships/hyperlink" TargetMode="External" Target="https://spark-interfax.ru/system/home/card#/company/DEC65056D7594966B3CBA92423EA32D6/101"/><Relationship Id="rId9415" Type="http://schemas.openxmlformats.org/officeDocument/2006/relationships/hyperlink" TargetMode="External" Target="https://spark-interfax.ru/system/home/card#/company/0708516368DD421F85A869928F305A91/101"/><Relationship Id="rId9416" Type="http://schemas.openxmlformats.org/officeDocument/2006/relationships/hyperlink" TargetMode="External" Target="https://spark-interfax.ru/system/home/card#/company/322197AD82A84E31B39F62E711E1C5C3/101"/><Relationship Id="rId9417" Type="http://schemas.openxmlformats.org/officeDocument/2006/relationships/hyperlink" TargetMode="External" Target="https://spark-interfax.ru/system/home/card#/company/5688AFB068054285B7B0A1848575F549/101"/><Relationship Id="rId9418" Type="http://schemas.openxmlformats.org/officeDocument/2006/relationships/hyperlink" TargetMode="External" Target="https://spark-interfax.ru/system/home/card#/company/9203AA12FFF64CB3977A2ADB539AE887/101"/><Relationship Id="rId9419" Type="http://schemas.openxmlformats.org/officeDocument/2006/relationships/hyperlink" TargetMode="External" Target="https://spark-interfax.ru/system/home/card#/company/2C0D53B0F93C4CA9A9C7690ED9F77952/101"/><Relationship Id="rId9420" Type="http://schemas.openxmlformats.org/officeDocument/2006/relationships/hyperlink" TargetMode="External" Target="https://spark-interfax.ru/system/home/card#/company/EC01AF894DF741B7BBD24D8D81106CD4/101"/><Relationship Id="rId9421" Type="http://schemas.openxmlformats.org/officeDocument/2006/relationships/hyperlink" TargetMode="External" Target="https://spark-interfax.ru/system/home/card#/company/C5F21F3D2EC946CA9A027DBF8C6AB784/101"/><Relationship Id="rId9422" Type="http://schemas.openxmlformats.org/officeDocument/2006/relationships/hyperlink" TargetMode="External" Target="https://spark-interfax.ru/system/home/card#/company/94A9DFBBD1F249E4A0EE20785DDEF81A/101"/><Relationship Id="rId9423" Type="http://schemas.openxmlformats.org/officeDocument/2006/relationships/hyperlink" TargetMode="External" Target="https://spark-interfax.ru/system/home/card#/company/D344B49EA785461E9A50FC701077199B/101"/><Relationship Id="rId9424" Type="http://schemas.openxmlformats.org/officeDocument/2006/relationships/hyperlink" TargetMode="External" Target="https://spark-interfax.ru/system/home/card#/company/07D2D25D404B4CFEBAA9E7FA2CFEEAE1/101"/><Relationship Id="rId9425" Type="http://schemas.openxmlformats.org/officeDocument/2006/relationships/hyperlink" TargetMode="External" Target="https://spark-interfax.ru/system/home/card#/company/C2061437DDAC4154971F1A5892DDFC4A/101"/><Relationship Id="rId9426" Type="http://schemas.openxmlformats.org/officeDocument/2006/relationships/hyperlink" TargetMode="External" Target="https://spark-interfax.ru/system/home/card#/company/CA4F48CDC6124709A0C21BFCCD1411A8/101"/><Relationship Id="rId9427" Type="http://schemas.openxmlformats.org/officeDocument/2006/relationships/hyperlink" TargetMode="External" Target="https://spark-interfax.ru/system/home/card#/company/A03CB5C2DA2A49118F9D2E0653D7A7C3/101"/><Relationship Id="rId9428" Type="http://schemas.openxmlformats.org/officeDocument/2006/relationships/hyperlink" TargetMode="External" Target="https://spark-interfax.ru/system/home/card#/company/BC1415B5B70E4168B3B1714FEB7C5738/101"/><Relationship Id="rId9429" Type="http://schemas.openxmlformats.org/officeDocument/2006/relationships/hyperlink" TargetMode="External" Target="https://spark-interfax.ru/system/home/card#/company/902EFB7168774D1E8EF57E80CCFDCE34/101"/><Relationship Id="rId9430" Type="http://schemas.openxmlformats.org/officeDocument/2006/relationships/hyperlink" TargetMode="External" Target="https://spark-interfax.ru/system/home/card#/company/547D853D9FDF45A8B357EE131B7FCB78/101"/><Relationship Id="rId9431" Type="http://schemas.openxmlformats.org/officeDocument/2006/relationships/hyperlink" TargetMode="External" Target="https://spark-interfax.ru/system/home/card#/company/5D1D55A2F2D24A7BB1C5AC3041F26D96/101"/><Relationship Id="rId9432" Type="http://schemas.openxmlformats.org/officeDocument/2006/relationships/hyperlink" TargetMode="External" Target="https://spark-interfax.ru/system/home/card#/company/75925F39BFDF4F7D9B06B86013544362/101"/><Relationship Id="rId9433" Type="http://schemas.openxmlformats.org/officeDocument/2006/relationships/hyperlink" TargetMode="External" Target="https://spark-interfax.ru/system/home/card#/company/B6662F4A3AB24953810E1295F6ECCBE4/101"/><Relationship Id="rId9434" Type="http://schemas.openxmlformats.org/officeDocument/2006/relationships/hyperlink" TargetMode="External" Target="https://spark-interfax.ru/system/home/card#/company/68595F0107054237B11CACD63425EC5F/101"/><Relationship Id="rId9435" Type="http://schemas.openxmlformats.org/officeDocument/2006/relationships/hyperlink" TargetMode="External" Target="https://spark-interfax.ru/system/home/card#/company/1243FBBF94AF422897339DE57A03637D/101"/><Relationship Id="rId9436" Type="http://schemas.openxmlformats.org/officeDocument/2006/relationships/hyperlink" TargetMode="External" Target="https://spark-interfax.ru/system/home/card#/company/8B4C72A1C33B4B01A0EFD9CC52929464/101"/><Relationship Id="rId9437" Type="http://schemas.openxmlformats.org/officeDocument/2006/relationships/hyperlink" TargetMode="External" Target="https://spark-interfax.ru/system/home/card#/company/999B19F1E1634E0AB1957A8E447AF5E4/101"/><Relationship Id="rId9438" Type="http://schemas.openxmlformats.org/officeDocument/2006/relationships/hyperlink" TargetMode="External" Target="https://spark-interfax.ru/system/home/card#/company/A9EF52A7549E41FA90A007E6A137D13D/101"/><Relationship Id="rId9439" Type="http://schemas.openxmlformats.org/officeDocument/2006/relationships/hyperlink" TargetMode="External" Target="https://spark-interfax.ru/system/home/card#/company/C21F179CF9A14020AB360744A31C0E0F/101"/><Relationship Id="rId9440" Type="http://schemas.openxmlformats.org/officeDocument/2006/relationships/hyperlink" TargetMode="External" Target="https://spark-interfax.ru/system/home/card#/company/6A0B419902864F9EB6CD5726A6316E1A/101"/><Relationship Id="rId9441" Type="http://schemas.openxmlformats.org/officeDocument/2006/relationships/hyperlink" TargetMode="External" Target="https://spark-interfax.ru/system/home/card#/company/99594FC437C941FE92D40B7F3583378A/101"/><Relationship Id="rId9442" Type="http://schemas.openxmlformats.org/officeDocument/2006/relationships/hyperlink" TargetMode="External" Target="https://spark-interfax.ru/system/home/card#/company/58315BF403CA427AADE44391F1B39BAF/101"/><Relationship Id="rId9443" Type="http://schemas.openxmlformats.org/officeDocument/2006/relationships/hyperlink" TargetMode="External" Target="https://spark-interfax.ru/system/home/card#/company/D0148F7A2A4E4C83B58BDF232B468949/101"/><Relationship Id="rId9444" Type="http://schemas.openxmlformats.org/officeDocument/2006/relationships/hyperlink" TargetMode="External" Target="https://spark-interfax.ru/system/home/card#/company/2E665379B12D4426BECBA1D5F7D3F175/101"/><Relationship Id="rId9445" Type="http://schemas.openxmlformats.org/officeDocument/2006/relationships/hyperlink" TargetMode="External" Target="https://spark-interfax.ru/system/home/card#/company/5200C6B1CCA94250AB22FFE4ED3D1CA4/101"/><Relationship Id="rId9446" Type="http://schemas.openxmlformats.org/officeDocument/2006/relationships/hyperlink" TargetMode="External" Target="https://spark-interfax.ru/system/home/card#/company/82100291645B493F96253CDE61367396/101"/><Relationship Id="rId9447" Type="http://schemas.openxmlformats.org/officeDocument/2006/relationships/hyperlink" TargetMode="External" Target="https://spark-interfax.ru/system/home/card#/company/53292CFA396747E2B40D9ABA0E5D9B0C/101"/><Relationship Id="rId9448" Type="http://schemas.openxmlformats.org/officeDocument/2006/relationships/hyperlink" TargetMode="External" Target="https://spark-interfax.ru/system/home/card#/company/5E6D3DF229D3493DBC418F6470A91748/101"/><Relationship Id="rId9449" Type="http://schemas.openxmlformats.org/officeDocument/2006/relationships/hyperlink" TargetMode="External" Target="https://spark-interfax.ru/system/home/card#/company/EF12414E526D4822902AB235774970D7/101"/><Relationship Id="rId9450" Type="http://schemas.openxmlformats.org/officeDocument/2006/relationships/hyperlink" TargetMode="External" Target="https://spark-interfax.ru/system/home/card#/company/57BE3F2EA5434E299A97F4413433F41B/101"/><Relationship Id="rId9451" Type="http://schemas.openxmlformats.org/officeDocument/2006/relationships/hyperlink" TargetMode="External" Target="https://spark-interfax.ru/system/home/card#/company/DE72569D2EFA4CF7ADA7FC35F9C48C98/101"/><Relationship Id="rId9452" Type="http://schemas.openxmlformats.org/officeDocument/2006/relationships/hyperlink" TargetMode="External" Target="https://spark-interfax.ru/system/home/card#/company/D15302CE98CC411CBA381419471A2FD7/101"/><Relationship Id="rId9453" Type="http://schemas.openxmlformats.org/officeDocument/2006/relationships/hyperlink" TargetMode="External" Target="https://spark-interfax.ru/system/home/card#/company/59FD6E540FC44BF48A369EA05BF84A21/101"/><Relationship Id="rId9454" Type="http://schemas.openxmlformats.org/officeDocument/2006/relationships/hyperlink" TargetMode="External" Target="https://spark-interfax.ru/system/home/card#/company/705B3E8A8204457AA076BD1EA0B73609/101"/><Relationship Id="rId9455" Type="http://schemas.openxmlformats.org/officeDocument/2006/relationships/hyperlink" TargetMode="External" Target="https://spark-interfax.ru/system/home/card#/company/C3D34EFC59BD4FFEA16903EA16F3BF67/101"/><Relationship Id="rId9456" Type="http://schemas.openxmlformats.org/officeDocument/2006/relationships/hyperlink" TargetMode="External" Target="https://spark-interfax.ru/system/home/card#/company/9595167D099E424691CD1987B69E62D6/101"/><Relationship Id="rId9457" Type="http://schemas.openxmlformats.org/officeDocument/2006/relationships/hyperlink" TargetMode="External" Target="https://spark-interfax.ru/system/home/card#/company/478210984633498D9A2D382A58047358/101"/><Relationship Id="rId9458" Type="http://schemas.openxmlformats.org/officeDocument/2006/relationships/hyperlink" TargetMode="External" Target="https://spark-interfax.ru/system/home/card#/company/C977E0AB70D94B128518A606A9103B24/101"/><Relationship Id="rId9459" Type="http://schemas.openxmlformats.org/officeDocument/2006/relationships/hyperlink" TargetMode="External" Target="https://spark-interfax.ru/system/home/card#/company/E713FC5E22D648D9A9394BE149D2D616/101"/><Relationship Id="rId9460" Type="http://schemas.openxmlformats.org/officeDocument/2006/relationships/hyperlink" TargetMode="External" Target="https://spark-interfax.ru/system/home/card#/company/D55F4F29375340FB9DA83E0C8B4A8428/101"/><Relationship Id="rId9461" Type="http://schemas.openxmlformats.org/officeDocument/2006/relationships/hyperlink" TargetMode="External" Target="https://spark-interfax.ru/system/home/card#/company/E42B554C3C434D568C5B1188AF1487B5/101"/><Relationship Id="rId9462" Type="http://schemas.openxmlformats.org/officeDocument/2006/relationships/hyperlink" TargetMode="External" Target="https://spark-interfax.ru/system/home/card#/company/DF1BAD8D2A5A4E0DA1C7E487189FE875/101"/><Relationship Id="rId9463" Type="http://schemas.openxmlformats.org/officeDocument/2006/relationships/hyperlink" TargetMode="External" Target="https://spark-interfax.ru/system/home/card#/company/E1B5D60877A745A4948B80659CD1373E/101"/><Relationship Id="rId9464" Type="http://schemas.openxmlformats.org/officeDocument/2006/relationships/hyperlink" TargetMode="External" Target="https://spark-interfax.ru/system/home/card#/company/EE8491D76872471C9481FA31B6FDB521/101"/><Relationship Id="rId9465" Type="http://schemas.openxmlformats.org/officeDocument/2006/relationships/hyperlink" TargetMode="External" Target="https://spark-interfax.ru/system/home/card#/company/FE3672F1BC5D4F5EB5CEE3B0757810EE/101"/><Relationship Id="rId9466" Type="http://schemas.openxmlformats.org/officeDocument/2006/relationships/hyperlink" TargetMode="External" Target="https://spark-interfax.ru/system/home/card#/company/A0FE81FF920E4D5C84FAAF665E379091/101"/><Relationship Id="rId9467" Type="http://schemas.openxmlformats.org/officeDocument/2006/relationships/hyperlink" TargetMode="External" Target="https://spark-interfax.ru/system/home/card#/company/2FC8252386FB418E968B6CB2318E23EA/101"/><Relationship Id="rId9468" Type="http://schemas.openxmlformats.org/officeDocument/2006/relationships/hyperlink" TargetMode="External" Target="https://spark-interfax.ru/system/home/card#/company/2D2D13DBC6D7419AB035F03D664FDE2A/101"/><Relationship Id="rId9469" Type="http://schemas.openxmlformats.org/officeDocument/2006/relationships/hyperlink" TargetMode="External" Target="https://spark-interfax.ru/system/home/card#/company/8D2AAE39A6BE4B11AAA6446B32E6CAE0/101"/><Relationship Id="rId9470" Type="http://schemas.openxmlformats.org/officeDocument/2006/relationships/hyperlink" TargetMode="External" Target="https://spark-interfax.ru/system/home/card#/company/E903D2968462480398F09BDF83078D38/101"/><Relationship Id="rId9471" Type="http://schemas.openxmlformats.org/officeDocument/2006/relationships/hyperlink" TargetMode="External" Target="https://spark-interfax.ru/system/home/card#/company/ED74AC71148D4220820061DE7AA85482/101"/><Relationship Id="rId9472" Type="http://schemas.openxmlformats.org/officeDocument/2006/relationships/hyperlink" TargetMode="External" Target="https://spark-interfax.ru/system/home/card#/company/B2F3F1B8706C46F99AD9D70426610BE2/101"/><Relationship Id="rId9473" Type="http://schemas.openxmlformats.org/officeDocument/2006/relationships/hyperlink" TargetMode="External" Target="https://spark-interfax.ru/system/home/card#/company/7E879A5C73D647D4821F04D3A53EF353/101"/><Relationship Id="rId9474" Type="http://schemas.openxmlformats.org/officeDocument/2006/relationships/hyperlink" TargetMode="External" Target="https://spark-interfax.ru/system/home/card#/company/83157C542C704C4A9A3EB9A805EFAFDA/101"/><Relationship Id="rId9475" Type="http://schemas.openxmlformats.org/officeDocument/2006/relationships/hyperlink" TargetMode="External" Target="https://spark-interfax.ru/system/home/card#/company/0B7969A32B574F889F99DC9A4B6E98B0/101"/><Relationship Id="rId9476" Type="http://schemas.openxmlformats.org/officeDocument/2006/relationships/hyperlink" TargetMode="External" Target="https://spark-interfax.ru/system/home/card#/company/1DB07DDF2CC348F9A0B878F95FB152A2/101"/><Relationship Id="rId9477" Type="http://schemas.openxmlformats.org/officeDocument/2006/relationships/hyperlink" TargetMode="External" Target="https://spark-interfax.ru/system/home/card#/company/5DD64F720A2A4C55849C9ADEB42FBCF6/101"/><Relationship Id="rId9478" Type="http://schemas.openxmlformats.org/officeDocument/2006/relationships/hyperlink" TargetMode="External" Target="https://spark-interfax.ru/system/home/card#/company/A794CA9544804C459EDB78E5EB400376/101"/><Relationship Id="rId9479" Type="http://schemas.openxmlformats.org/officeDocument/2006/relationships/hyperlink" TargetMode="External" Target="https://spark-interfax.ru/system/home/card#/company/EEF08048B53A42009830120D38C96A61/101"/><Relationship Id="rId9480" Type="http://schemas.openxmlformats.org/officeDocument/2006/relationships/hyperlink" TargetMode="External" Target="https://spark-interfax.ru/system/home/card#/company/E93D08EE0F9E487A893B6F663D02AC4B/101"/><Relationship Id="rId9481" Type="http://schemas.openxmlformats.org/officeDocument/2006/relationships/hyperlink" TargetMode="External" Target="https://spark-interfax.ru/system/home/card#/company/9B168CFB0B7D453691FA569A18AC1D7D/101"/><Relationship Id="rId9482" Type="http://schemas.openxmlformats.org/officeDocument/2006/relationships/hyperlink" TargetMode="External" Target="https://spark-interfax.ru/system/home/card#/company/E2BD43783B264428A3721285C4F967A1/101"/><Relationship Id="rId9483" Type="http://schemas.openxmlformats.org/officeDocument/2006/relationships/hyperlink" TargetMode="External" Target="https://spark-interfax.ru/system/home/card#/company/EAF82BF0813645359BABF0EEACE93A74/101"/><Relationship Id="rId9484" Type="http://schemas.openxmlformats.org/officeDocument/2006/relationships/hyperlink" TargetMode="External" Target="https://spark-interfax.ru/system/home/card#/company/2422D41A1EC14834B3AB951535538999/101"/><Relationship Id="rId9485" Type="http://schemas.openxmlformats.org/officeDocument/2006/relationships/hyperlink" TargetMode="External" Target="https://spark-interfax.ru/system/home/card#/company/764FB615FDE7425FB5C3FE84D6F12D9F/101"/><Relationship Id="rId9486" Type="http://schemas.openxmlformats.org/officeDocument/2006/relationships/hyperlink" TargetMode="External" Target="https://spark-interfax.ru/system/home/card#/company/02308E9D51004DF1A0216DBFEFE43C19/101"/><Relationship Id="rId9487" Type="http://schemas.openxmlformats.org/officeDocument/2006/relationships/hyperlink" TargetMode="External" Target="https://spark-interfax.ru/system/home/card#/company/B8707FFF5D254470A4130F25E4FC5ADC/101"/><Relationship Id="rId9488" Type="http://schemas.openxmlformats.org/officeDocument/2006/relationships/hyperlink" TargetMode="External" Target="https://spark-interfax.ru/system/home/card#/company/FF9D8C77CD02494281848CDCB5935EEA/101"/><Relationship Id="rId9489" Type="http://schemas.openxmlformats.org/officeDocument/2006/relationships/hyperlink" TargetMode="External" Target="https://spark-interfax.ru/system/home/card#/company/2F0B7F7A60C24E15AC0FFE8875881612/101"/><Relationship Id="rId9490" Type="http://schemas.openxmlformats.org/officeDocument/2006/relationships/hyperlink" TargetMode="External" Target="https://spark-interfax.ru/system/home/card#/company/61EA9333C8574E8F8E70C9F7152A74FC/101"/><Relationship Id="rId9491" Type="http://schemas.openxmlformats.org/officeDocument/2006/relationships/hyperlink" TargetMode="External" Target="https://spark-interfax.ru/system/home/card#/company/DE44373AB28D4B1C8ECCB96D2A4218C2/101"/><Relationship Id="rId9492" Type="http://schemas.openxmlformats.org/officeDocument/2006/relationships/hyperlink" TargetMode="External" Target="https://spark-interfax.ru/system/home/card#/company/C3CEE10FDC2C4E30B691273986F2E34E/101"/><Relationship Id="rId9493" Type="http://schemas.openxmlformats.org/officeDocument/2006/relationships/hyperlink" TargetMode="External" Target="https://spark-interfax.ru/system/home/card#/company/DE24EC89DBFA441AA925FEE1F74500F9/101"/><Relationship Id="rId9494" Type="http://schemas.openxmlformats.org/officeDocument/2006/relationships/hyperlink" TargetMode="External" Target="https://spark-interfax.ru/system/home/card#/company/CE08B9C9D8E84F39B6A803B9CE35C137/101"/><Relationship Id="rId9495" Type="http://schemas.openxmlformats.org/officeDocument/2006/relationships/hyperlink" TargetMode="External" Target="https://spark-interfax.ru/system/home/card#/company/C850AA42293B4562AF83A9FB6E0E4541/101"/><Relationship Id="rId9496" Type="http://schemas.openxmlformats.org/officeDocument/2006/relationships/hyperlink" TargetMode="External" Target="https://spark-interfax.ru/system/home/card#/company/C4F3BB67511042C38717C97C49141D34/101"/><Relationship Id="rId9497" Type="http://schemas.openxmlformats.org/officeDocument/2006/relationships/hyperlink" TargetMode="External" Target="https://spark-interfax.ru/system/home/card#/company/6878B9F488434A41A81656EDCB1E2A78/101"/><Relationship Id="rId9498" Type="http://schemas.openxmlformats.org/officeDocument/2006/relationships/hyperlink" TargetMode="External" Target="https://spark-interfax.ru/system/home/card#/company/099539FB7CC8401F9465CAC19CA3E2AE/101"/><Relationship Id="rId9499" Type="http://schemas.openxmlformats.org/officeDocument/2006/relationships/hyperlink" TargetMode="External" Target="https://spark-interfax.ru/system/home/card#/company/31B51CFCC59B45B090D98F226F019E29/101"/><Relationship Id="rId9500" Type="http://schemas.openxmlformats.org/officeDocument/2006/relationships/hyperlink" TargetMode="External" Target="https://spark-interfax.ru/system/home/card#/company/6060667518A346299198D6C097821F9C/101"/><Relationship Id="rId9501" Type="http://schemas.openxmlformats.org/officeDocument/2006/relationships/hyperlink" TargetMode="External" Target="https://spark-interfax.ru/system/home/card#/company/FA6ACD19B5F946C6AD3E2A484CA1F489/101"/><Relationship Id="rId9502" Type="http://schemas.openxmlformats.org/officeDocument/2006/relationships/hyperlink" TargetMode="External" Target="https://spark-interfax.ru/system/home/card#/company/A9D19663BA654B3A8E6ACCA2430CA161/101"/><Relationship Id="rId9503" Type="http://schemas.openxmlformats.org/officeDocument/2006/relationships/hyperlink" TargetMode="External" Target="https://spark-interfax.ru/system/home/card#/company/F28081E338354D04883B0476C8BA0C7D/101"/><Relationship Id="rId9504" Type="http://schemas.openxmlformats.org/officeDocument/2006/relationships/hyperlink" TargetMode="External" Target="https://spark-interfax.ru/system/home/card#/company/A93FE218E9E667ADE053189AA8C01563/101"/><Relationship Id="rId9505" Type="http://schemas.openxmlformats.org/officeDocument/2006/relationships/hyperlink" TargetMode="External" Target="https://spark-interfax.ru/system/home/card#/company/D901AC51F5584C0F87190F8B6ECA2BC5/101"/><Relationship Id="rId9506" Type="http://schemas.openxmlformats.org/officeDocument/2006/relationships/hyperlink" TargetMode="External" Target="https://spark-interfax.ru/system/home/card#/company/801CC35720834E5A9D8E8A8A8881310D/101"/><Relationship Id="rId9507" Type="http://schemas.openxmlformats.org/officeDocument/2006/relationships/hyperlink" TargetMode="External" Target="https://spark-interfax.ru/system/home/card#/company/4ABD930B2D7E470E91DD89E292E8ADC2/101"/><Relationship Id="rId9508" Type="http://schemas.openxmlformats.org/officeDocument/2006/relationships/hyperlink" TargetMode="External" Target="https://spark-interfax.ru/system/home/card#/company/D25A51D483034356881DBE9B5F58BA2F/101"/><Relationship Id="rId9509" Type="http://schemas.openxmlformats.org/officeDocument/2006/relationships/hyperlink" TargetMode="External" Target="https://spark-interfax.ru/system/home/card#/company/18CEAE00C42048BC9B9ED9AB3C4D4AA7/101"/><Relationship Id="rId9510" Type="http://schemas.openxmlformats.org/officeDocument/2006/relationships/hyperlink" TargetMode="External" Target="https://spark-interfax.ru/system/home/card#/company/06CE84AB65CB416FA2959752EDDD0CEF/101"/><Relationship Id="rId9511" Type="http://schemas.openxmlformats.org/officeDocument/2006/relationships/hyperlink" TargetMode="External" Target="https://spark-interfax.ru/system/home/card#/company/F15658104E9A4D9A93CFA7D6DA141541/101"/><Relationship Id="rId9512" Type="http://schemas.openxmlformats.org/officeDocument/2006/relationships/hyperlink" TargetMode="External" Target="https://spark-interfax.ru/system/home/card#/company/AA3F6EF8C6A3464FB7328617ED037791/101"/><Relationship Id="rId9513" Type="http://schemas.openxmlformats.org/officeDocument/2006/relationships/hyperlink" TargetMode="External" Target="https://spark-interfax.ru/system/home/card#/company/6807147F4EFD06EFE0531B9AA8C0DBAE/101"/><Relationship Id="rId9514" Type="http://schemas.openxmlformats.org/officeDocument/2006/relationships/hyperlink" TargetMode="External" Target="https://spark-interfax.ru/system/home/card#/company/964173CADDBC449B80A47E08062A4862/101"/><Relationship Id="rId9515" Type="http://schemas.openxmlformats.org/officeDocument/2006/relationships/hyperlink" TargetMode="External" Target="https://spark-interfax.ru/system/home/card#/company/A38EDD51DB2D46A08EF5DEC9C5A5BA1C/101"/><Relationship Id="rId9516" Type="http://schemas.openxmlformats.org/officeDocument/2006/relationships/hyperlink" TargetMode="External" Target="https://spark-interfax.ru/system/home/card#/company/9D1339862E16471F877A3DD6D635BD0F/101"/><Relationship Id="rId9517" Type="http://schemas.openxmlformats.org/officeDocument/2006/relationships/hyperlink" TargetMode="External" Target="https://spark-interfax.ru/system/home/card#/company/32A15BDFFE484F01A1F754290F529847/101"/><Relationship Id="rId9518" Type="http://schemas.openxmlformats.org/officeDocument/2006/relationships/hyperlink" TargetMode="External" Target="https://spark-interfax.ru/system/home/card#/company/EE819C17F40649E1B283BE172CAC81D5/101"/><Relationship Id="rId9519" Type="http://schemas.openxmlformats.org/officeDocument/2006/relationships/hyperlink" TargetMode="External" Target="https://spark-interfax.ru/system/home/card#/company/EC9894271D6F488DA903FF11F0C5CC4F/101"/><Relationship Id="rId9520" Type="http://schemas.openxmlformats.org/officeDocument/2006/relationships/hyperlink" TargetMode="External" Target="https://spark-interfax.ru/system/home/card#/company/AF67CBC2885341EB88188A07ED8B9C3D/101"/><Relationship Id="rId9521" Type="http://schemas.openxmlformats.org/officeDocument/2006/relationships/hyperlink" TargetMode="External" Target="https://spark-interfax.ru/system/home/card#/company/E547F6B9D6704844B1F64A98C8A090A6/101"/><Relationship Id="rId9522" Type="http://schemas.openxmlformats.org/officeDocument/2006/relationships/hyperlink" TargetMode="External" Target="https://spark-interfax.ru/system/home/card#/company/261AC31EBE30448D84C9FE08CCC8BB6D/101"/><Relationship Id="rId9523" Type="http://schemas.openxmlformats.org/officeDocument/2006/relationships/hyperlink" TargetMode="External" Target="https://spark-interfax.ru/system/home/card#/company/4CF4E9A413D54CA2824DA5D77C12373D/101"/><Relationship Id="rId9524" Type="http://schemas.openxmlformats.org/officeDocument/2006/relationships/hyperlink" TargetMode="External" Target="https://spark-interfax.ru/system/home/card#/company/9AF5D645ADC1489EB5FBB4E3E9A02127/101"/><Relationship Id="rId9525" Type="http://schemas.openxmlformats.org/officeDocument/2006/relationships/hyperlink" TargetMode="External" Target="https://spark-interfax.ru/system/home/card#/company/71EDD87E8979480BA10FB575E086E22B/101"/><Relationship Id="rId9526" Type="http://schemas.openxmlformats.org/officeDocument/2006/relationships/hyperlink" TargetMode="External" Target="https://spark-interfax.ru/system/home/card#/company/7D902372A82544C2A44A2B7FB6117E59/101"/><Relationship Id="rId9527" Type="http://schemas.openxmlformats.org/officeDocument/2006/relationships/hyperlink" TargetMode="External" Target="https://spark-interfax.ru/system/home/card#/company/69EEE9C428D74619BD19BAD6FEC85059/101"/><Relationship Id="rId9528" Type="http://schemas.openxmlformats.org/officeDocument/2006/relationships/hyperlink" TargetMode="External" Target="https://spark-interfax.ru/system/home/card#/company/7F311C83941E468493EDCA0DE2ADE3FB/101"/><Relationship Id="rId9529" Type="http://schemas.openxmlformats.org/officeDocument/2006/relationships/hyperlink" TargetMode="External" Target="https://spark-interfax.ru/system/home/card#/company/64D22BC662C24A648BC23A668F0942CE/101"/><Relationship Id="rId9530" Type="http://schemas.openxmlformats.org/officeDocument/2006/relationships/hyperlink" TargetMode="External" Target="https://spark-interfax.ru/system/home/card#/company/52AEB0EE487A4CF493186C654A8BED0F/101"/><Relationship Id="rId9531" Type="http://schemas.openxmlformats.org/officeDocument/2006/relationships/hyperlink" TargetMode="External" Target="https://spark-interfax.ru/system/home/card#/company/CEF287FC80A34D06AAD1C14CF4A1CE58/101"/><Relationship Id="rId9532" Type="http://schemas.openxmlformats.org/officeDocument/2006/relationships/hyperlink" TargetMode="External" Target="https://spark-interfax.ru/system/home/card#/company/681999D440CD5560E0531B9AA8C088A9/101"/><Relationship Id="rId9533" Type="http://schemas.openxmlformats.org/officeDocument/2006/relationships/hyperlink" TargetMode="External" Target="https://spark-interfax.ru/system/home/card#/company/3DB9749C37A44A368030E00BDA50A07A/101"/><Relationship Id="rId9534" Type="http://schemas.openxmlformats.org/officeDocument/2006/relationships/hyperlink" TargetMode="External" Target="https://spark-interfax.ru/system/home/card#/company/23BD0FEB432A415AA375F04A2B86DF60/101"/><Relationship Id="rId9535" Type="http://schemas.openxmlformats.org/officeDocument/2006/relationships/hyperlink" TargetMode="External" Target="https://spark-interfax.ru/system/home/card#/company/424AFA2093E8444597449D4A698A0EAC/101"/><Relationship Id="rId9536" Type="http://schemas.openxmlformats.org/officeDocument/2006/relationships/hyperlink" TargetMode="External" Target="https://spark-interfax.ru/system/home/card#/company/DFF45498B0854EC78C0E6C2C0BAD0766/101"/><Relationship Id="rId9537" Type="http://schemas.openxmlformats.org/officeDocument/2006/relationships/hyperlink" TargetMode="External" Target="https://spark-interfax.ru/system/home/card#/company/7F4A0EFA77F24372AEE8E463BA1CE5CA/101"/><Relationship Id="rId9538" Type="http://schemas.openxmlformats.org/officeDocument/2006/relationships/hyperlink" TargetMode="External" Target="https://spark-interfax.ru/system/home/card#/company/5C241F1C16FC4AEB8CD568EA8E66C3CA/101"/><Relationship Id="rId9539" Type="http://schemas.openxmlformats.org/officeDocument/2006/relationships/hyperlink" TargetMode="External" Target="https://spark-interfax.ru/system/home/card#/company/AE307EB505E549939A6F061FDE930505/101"/><Relationship Id="rId9540" Type="http://schemas.openxmlformats.org/officeDocument/2006/relationships/hyperlink" TargetMode="External" Target="https://spark-interfax.ru/system/home/card#/company/62968823913F4FF19AF1676A67026690/101"/><Relationship Id="rId9541" Type="http://schemas.openxmlformats.org/officeDocument/2006/relationships/hyperlink" TargetMode="External" Target="https://spark-interfax.ru/system/home/card#/company/EA6E8CC680BF4F98BEB15CF3E7C096D3/101"/><Relationship Id="rId9542" Type="http://schemas.openxmlformats.org/officeDocument/2006/relationships/hyperlink" TargetMode="External" Target="https://spark-interfax.ru/system/home/card#/company/1BC0A90D2FD745ED878ECD84D84DD90B/101"/><Relationship Id="rId9543" Type="http://schemas.openxmlformats.org/officeDocument/2006/relationships/hyperlink" TargetMode="External" Target="https://spark-interfax.ru/system/home/card#/company/EB40E7D0E16A494DA7D8D1BEDE87A62A/101"/><Relationship Id="rId9544" Type="http://schemas.openxmlformats.org/officeDocument/2006/relationships/hyperlink" TargetMode="External" Target="https://spark-interfax.ru/system/home/card#/company/B261E27A817F4F1CACA79FB05FD6064A/101"/><Relationship Id="rId9545" Type="http://schemas.openxmlformats.org/officeDocument/2006/relationships/hyperlink" TargetMode="External" Target="https://spark-interfax.ru/system/home/card#/company/7F1CBBD108524A9284D08C3919D5B35F/101"/><Relationship Id="rId9546" Type="http://schemas.openxmlformats.org/officeDocument/2006/relationships/hyperlink" TargetMode="External" Target="https://spark-interfax.ru/system/home/card#/company/26BDF835FF4543C29B165ED3D4C625AB/101"/><Relationship Id="rId9547" Type="http://schemas.openxmlformats.org/officeDocument/2006/relationships/hyperlink" TargetMode="External" Target="https://spark-interfax.ru/system/home/card#/company/6DD737CC40CE19C4E0531B9AA8C0A7A2/101"/><Relationship Id="rId9548" Type="http://schemas.openxmlformats.org/officeDocument/2006/relationships/hyperlink" TargetMode="External" Target="https://spark-interfax.ru/system/home/card#/company/4ABE8B4DF23848B4883AC192A00DA5B6/101"/><Relationship Id="rId9549" Type="http://schemas.openxmlformats.org/officeDocument/2006/relationships/hyperlink" TargetMode="External" Target="https://spark-interfax.ru/system/home/card#/company/D8970626047549C3A8C728EE10936850/101"/><Relationship Id="rId9550" Type="http://schemas.openxmlformats.org/officeDocument/2006/relationships/hyperlink" TargetMode="External" Target="https://spark-interfax.ru/system/home/card#/company/11C7DC57D566436E9970E4A495B2830D/101"/><Relationship Id="rId9551" Type="http://schemas.openxmlformats.org/officeDocument/2006/relationships/hyperlink" TargetMode="External" Target="https://spark-interfax.ru/system/home/card#/company/7B3865A15C254EBB910A7A48C675C57C/101"/><Relationship Id="rId9552" Type="http://schemas.openxmlformats.org/officeDocument/2006/relationships/hyperlink" TargetMode="External" Target="https://spark-interfax.ru/system/home/card#/company/423634AA73984822B567790495B565A3/101"/><Relationship Id="rId9553" Type="http://schemas.openxmlformats.org/officeDocument/2006/relationships/hyperlink" TargetMode="External" Target="https://spark-interfax.ru/system/home/card#/company/17001501091844E5824D7A01607A4314/101"/><Relationship Id="rId9554" Type="http://schemas.openxmlformats.org/officeDocument/2006/relationships/hyperlink" TargetMode="External" Target="https://spark-interfax.ru/system/home/card#/company/3C8A5B28240444E0A3B19BF5FB3940DE/101"/><Relationship Id="rId9555" Type="http://schemas.openxmlformats.org/officeDocument/2006/relationships/hyperlink" TargetMode="External" Target="https://spark-interfax.ru/system/home/card#/company/9221F47807204DAAACFEAE519B34AB7A/101"/><Relationship Id="rId9556" Type="http://schemas.openxmlformats.org/officeDocument/2006/relationships/hyperlink" TargetMode="External" Target="https://spark-interfax.ru/system/home/card#/company/CBDD2E25F6A241BC9E5C7811A9EFC992/101"/><Relationship Id="rId9557" Type="http://schemas.openxmlformats.org/officeDocument/2006/relationships/hyperlink" TargetMode="External" Target="https://spark-interfax.ru/system/home/card#/company/81DEB7D1EBE34EBAA2EFB70BC360EB97/101"/><Relationship Id="rId9558" Type="http://schemas.openxmlformats.org/officeDocument/2006/relationships/hyperlink" TargetMode="External" Target="https://spark-interfax.ru/system/home/card#/company/7136A707B9328019E0531B9AA8C0AFCC/101"/><Relationship Id="rId9559" Type="http://schemas.openxmlformats.org/officeDocument/2006/relationships/hyperlink" TargetMode="External" Target="https://spark-interfax.ru/system/home/card#/company/B8AF1C3E633042018674E81F40008178/101"/><Relationship Id="rId9560" Type="http://schemas.openxmlformats.org/officeDocument/2006/relationships/hyperlink" TargetMode="External" Target="https://spark-interfax.ru/system/home/card#/company/0BD6EE2A5AC64C0DA45CB6216E4C19CB/101"/><Relationship Id="rId9561" Type="http://schemas.openxmlformats.org/officeDocument/2006/relationships/hyperlink" TargetMode="External" Target="https://spark-interfax.ru/system/home/card#/company/480E9B0AEFDA4E7E8434B225FB40CC51/101"/><Relationship Id="rId9562" Type="http://schemas.openxmlformats.org/officeDocument/2006/relationships/hyperlink" TargetMode="External" Target="https://spark-interfax.ru/system/home/card#/company/E32930608FDD4139A886950048997A7D/101"/><Relationship Id="rId9563" Type="http://schemas.openxmlformats.org/officeDocument/2006/relationships/hyperlink" TargetMode="External" Target="https://spark-interfax.ru/system/home/card#/company/5E33205552A44B3A9BA65DD13E9562A2/101"/><Relationship Id="rId9564" Type="http://schemas.openxmlformats.org/officeDocument/2006/relationships/hyperlink" TargetMode="External" Target="https://spark-interfax.ru/system/home/card#/company/A6867EE493444EA2BDF3553F90FF38C7/101"/><Relationship Id="rId9565" Type="http://schemas.openxmlformats.org/officeDocument/2006/relationships/hyperlink" TargetMode="External" Target="https://spark-interfax.ru/system/home/card#/company/BD456F5301154424AACFC0C08CC28FFC/101"/><Relationship Id="rId9566" Type="http://schemas.openxmlformats.org/officeDocument/2006/relationships/hyperlink" TargetMode="External" Target="https://spark-interfax.ru/system/home/card#/company/8C11A997486D4B2B92B614AC47FFDC9C/101"/><Relationship Id="rId9567" Type="http://schemas.openxmlformats.org/officeDocument/2006/relationships/hyperlink" TargetMode="External" Target="https://spark-interfax.ru/system/home/card#/company/C59DEC5A87C16C0AE053219AA8C020C1/101"/><Relationship Id="rId9568" Type="http://schemas.openxmlformats.org/officeDocument/2006/relationships/hyperlink" TargetMode="External" Target="https://spark-interfax.ru/system/home/card#/company/188C8958276C413FBD2F3A5997149535/101"/><Relationship Id="rId9569" Type="http://schemas.openxmlformats.org/officeDocument/2006/relationships/hyperlink" TargetMode="External" Target="https://spark-interfax.ru/system/home/card#/company/01C3BE42515847ACB9C114CFB962ACE7/101"/><Relationship Id="rId9570" Type="http://schemas.openxmlformats.org/officeDocument/2006/relationships/hyperlink" TargetMode="External" Target="https://spark-interfax.ru/system/home/card#/company/3A32F8A54EB744B7B7B7CD56F87B7B3F/101"/><Relationship Id="rId9571" Type="http://schemas.openxmlformats.org/officeDocument/2006/relationships/hyperlink" TargetMode="External" Target="https://spark-interfax.ru/system/home/card#/company/857D6CF5697C449FB1EE1763EA4B615F/101"/><Relationship Id="rId9572" Type="http://schemas.openxmlformats.org/officeDocument/2006/relationships/hyperlink" TargetMode="External" Target="https://spark-interfax.ru/system/home/card#/company/08AAE58C48BE4A04826DFE6F7F1E426D/101"/><Relationship Id="rId9573" Type="http://schemas.openxmlformats.org/officeDocument/2006/relationships/hyperlink" TargetMode="External" Target="https://spark-interfax.ru/system/home/card#/company/96054FD1A94040A1BDB068742F4624C8/101"/><Relationship Id="rId9574" Type="http://schemas.openxmlformats.org/officeDocument/2006/relationships/hyperlink" TargetMode="External" Target="https://spark-interfax.ru/system/home/card#/company/5E0C23D3F6C34D53BD7C18F3479B8CE1/101"/><Relationship Id="rId9575" Type="http://schemas.openxmlformats.org/officeDocument/2006/relationships/hyperlink" TargetMode="External" Target="https://spark-interfax.ru/system/home/card#/company/E592578E984A4C7B8809D1FD2356D937/101"/><Relationship Id="rId9576" Type="http://schemas.openxmlformats.org/officeDocument/2006/relationships/hyperlink" TargetMode="External" Target="https://spark-interfax.ru/system/home/card#/company/7A3FF8328B0C5E65E0531F9AA8C0C08D/101"/><Relationship Id="rId9577" Type="http://schemas.openxmlformats.org/officeDocument/2006/relationships/hyperlink" TargetMode="External" Target="https://spark-interfax.ru/system/home/card#/company/16897575B0CA47F684D7DC111EA07729/101"/><Relationship Id="rId9578" Type="http://schemas.openxmlformats.org/officeDocument/2006/relationships/hyperlink" TargetMode="External" Target="https://spark-interfax.ru/system/home/card#/company/A12608B64D7D3590E053189AA8C05BE4/101"/><Relationship Id="rId9579" Type="http://schemas.openxmlformats.org/officeDocument/2006/relationships/hyperlink" TargetMode="External" Target="https://spark-interfax.ru/system/home/card#/company/D2BCFBB3AB804FD6B0C600AC99DEF87C/101"/><Relationship Id="rId9580" Type="http://schemas.openxmlformats.org/officeDocument/2006/relationships/hyperlink" TargetMode="External" Target="https://spark-interfax.ru/system/home/card#/company/8E9920EE93464ED283E8885762C1C4C2/101"/><Relationship Id="rId9581" Type="http://schemas.openxmlformats.org/officeDocument/2006/relationships/hyperlink" TargetMode="External" Target="https://spark-interfax.ru/system/home/card#/company/3648A8EAB62145288AAB731F4CD63082/101"/><Relationship Id="rId9582" Type="http://schemas.openxmlformats.org/officeDocument/2006/relationships/hyperlink" TargetMode="External" Target="https://spark-interfax.ru/system/home/card#/company/547A6085E1AE402A8BC42F53A267E7A6/101"/><Relationship Id="rId9583" Type="http://schemas.openxmlformats.org/officeDocument/2006/relationships/hyperlink" TargetMode="External" Target="https://spark-interfax.ru/system/home/card#/company/74ACDA7226C94E82A647611D84196F18/101"/><Relationship Id="rId9584" Type="http://schemas.openxmlformats.org/officeDocument/2006/relationships/hyperlink" TargetMode="External" Target="https://spark-interfax.ru/system/home/card#/company/D22B5DF51AF14E7C827DFB4256BB8FB7/101"/><Relationship Id="rId9585" Type="http://schemas.openxmlformats.org/officeDocument/2006/relationships/hyperlink" TargetMode="External" Target="https://spark-interfax.ru/system/home/card#/company/97FF0A3256B440BAADF105B529BC6060/101"/><Relationship Id="rId9586" Type="http://schemas.openxmlformats.org/officeDocument/2006/relationships/hyperlink" TargetMode="External" Target="https://spark-interfax.ru/system/home/card#/company/AFBFBF76CFD84E34BB3063C314AB1E2A/101"/><Relationship Id="rId9587" Type="http://schemas.openxmlformats.org/officeDocument/2006/relationships/hyperlink" TargetMode="External" Target="https://spark-interfax.ru/system/home/card#/company/7E1A7180E51659A4E0531B9AA8C009CD/101"/><Relationship Id="rId9588" Type="http://schemas.openxmlformats.org/officeDocument/2006/relationships/hyperlink" TargetMode="External" Target="https://spark-interfax.ru/system/home/card#/company/D67F16FF5FA4469094E44177B17906A2/101"/><Relationship Id="rId9589" Type="http://schemas.openxmlformats.org/officeDocument/2006/relationships/hyperlink" TargetMode="External" Target="https://spark-interfax.ru/system/home/card#/company/185F167B638F41D0BCAC50A4A860DDB1/101"/><Relationship Id="rId9590" Type="http://schemas.openxmlformats.org/officeDocument/2006/relationships/hyperlink" TargetMode="External" Target="https://spark-interfax.ru/system/home/card#/company/2F3BD5F61A8F46BCBE11F20FBC1B858E/101"/><Relationship Id="rId9591" Type="http://schemas.openxmlformats.org/officeDocument/2006/relationships/hyperlink" TargetMode="External" Target="https://spark-interfax.ru/system/home/card#/company/D1C33A5B1DC644349622D58CE877C0E6/101"/><Relationship Id="rId9592" Type="http://schemas.openxmlformats.org/officeDocument/2006/relationships/hyperlink" TargetMode="External" Target="https://spark-interfax.ru/system/home/card#/company/DA3D8669492D4E098A69FF8D01129C5A/101"/><Relationship Id="rId9593" Type="http://schemas.openxmlformats.org/officeDocument/2006/relationships/hyperlink" TargetMode="External" Target="https://spark-interfax.ru/system/home/card#/company/234F108ACC7B42D09140B766C907C34C/101"/><Relationship Id="rId9594" Type="http://schemas.openxmlformats.org/officeDocument/2006/relationships/hyperlink" TargetMode="External" Target="https://spark-interfax.ru/system/home/card#/company/8EC057CBDB4649B4A4FEE544E1D083FC/101"/><Relationship Id="rId9595" Type="http://schemas.openxmlformats.org/officeDocument/2006/relationships/hyperlink" TargetMode="External" Target="https://spark-interfax.ru/system/home/card#/company/05E884AAFE724E6CB92B07F30ABBEC06/101"/><Relationship Id="rId9596" Type="http://schemas.openxmlformats.org/officeDocument/2006/relationships/hyperlink" TargetMode="External" Target="https://spark-interfax.ru/system/home/card#/company/55C2168EE4A24BB4BFDE49589BD977E0/101"/><Relationship Id="rId9597" Type="http://schemas.openxmlformats.org/officeDocument/2006/relationships/hyperlink" TargetMode="External" Target="https://spark-interfax.ru/system/home/card#/company/E8EF0B0D91434682958D1D36C58532B4/101"/><Relationship Id="rId9598" Type="http://schemas.openxmlformats.org/officeDocument/2006/relationships/hyperlink" TargetMode="External" Target="https://spark-interfax.ru/system/home/card#/company/5364DB66BFA8481792C1638426532C9F/101"/><Relationship Id="rId9599" Type="http://schemas.openxmlformats.org/officeDocument/2006/relationships/hyperlink" TargetMode="External" Target="https://spark-interfax.ru/system/home/card#/company/5F111955A3133EF2E0531B9AA8C0B603/101"/><Relationship Id="rId9600" Type="http://schemas.openxmlformats.org/officeDocument/2006/relationships/hyperlink" TargetMode="External" Target="https://spark-interfax.ru/system/home/card#/company/0C9473E8B99D4C22953C0537E972A974/101"/><Relationship Id="rId9601" Type="http://schemas.openxmlformats.org/officeDocument/2006/relationships/hyperlink" TargetMode="External" Target="https://spark-interfax.ru/system/home/card#/company/87D0E8B16BFA4DB289380DA2BF4D600D/101"/><Relationship Id="rId9602" Type="http://schemas.openxmlformats.org/officeDocument/2006/relationships/hyperlink" TargetMode="External" Target="https://spark-interfax.ru/system/home/card#/company/8F708D48DCA848C1938CB7B3A63B9119/101"/><Relationship Id="rId9603" Type="http://schemas.openxmlformats.org/officeDocument/2006/relationships/hyperlink" TargetMode="External" Target="https://spark-interfax.ru/system/home/card#/company/F3C0374F7D4444B285E5AE045BBDAEA3/101"/><Relationship Id="rId9604" Type="http://schemas.openxmlformats.org/officeDocument/2006/relationships/hyperlink" TargetMode="External" Target="https://spark-interfax.ru/system/home/card#/company/899D7AF64BDE483C8F4C1B7BA47101EE/101"/><Relationship Id="rId9605" Type="http://schemas.openxmlformats.org/officeDocument/2006/relationships/hyperlink" TargetMode="External" Target="https://spark-interfax.ru/system/home/card#/company/20AE7C4478EE4BB3AAF2AEFD5BEDB857/101"/><Relationship Id="rId9606" Type="http://schemas.openxmlformats.org/officeDocument/2006/relationships/hyperlink" TargetMode="External" Target="https://spark-interfax.ru/system/home/card#/company/7F567D7ACA484AA18A311675A0598187/101"/><Relationship Id="rId9607" Type="http://schemas.openxmlformats.org/officeDocument/2006/relationships/hyperlink" TargetMode="External" Target="https://spark-interfax.ru/system/home/card#/company/DCC6E61813F44D999EDB26FA554CD75A/101"/><Relationship Id="rId9608" Type="http://schemas.openxmlformats.org/officeDocument/2006/relationships/hyperlink" TargetMode="External" Target="https://spark-interfax.ru/system/home/card#/company/453D706C32DD4A98B653407FBD6C76C9/101"/><Relationship Id="rId9609" Type="http://schemas.openxmlformats.org/officeDocument/2006/relationships/hyperlink" TargetMode="External" Target="https://spark-interfax.ru/system/home/card#/company/8321C97549785CF3E0531B9AA8C0538B/101"/><Relationship Id="rId9610" Type="http://schemas.openxmlformats.org/officeDocument/2006/relationships/hyperlink" TargetMode="External" Target="https://spark-interfax.ru/system/home/card#/company/70CEB6FF27E64ACFA4A20FADFC93F6A2/101"/><Relationship Id="rId9611" Type="http://schemas.openxmlformats.org/officeDocument/2006/relationships/hyperlink" TargetMode="External" Target="https://spark-interfax.ru/system/home/card#/company/D1D45600F5CD47A2A79FBCE09FF97669/101"/><Relationship Id="rId9612" Type="http://schemas.openxmlformats.org/officeDocument/2006/relationships/hyperlink" TargetMode="External" Target="https://spark-interfax.ru/system/home/card#/company/909187C6D0F86B43E0531B9AA8C0B2D4/101"/><Relationship Id="rId9613" Type="http://schemas.openxmlformats.org/officeDocument/2006/relationships/hyperlink" TargetMode="External" Target="https://spark-interfax.ru/system/home/card#/company/41F766541C33426CA60E69265C3179F1/101"/><Relationship Id="rId9614" Type="http://schemas.openxmlformats.org/officeDocument/2006/relationships/hyperlink" TargetMode="External" Target="https://spark-interfax.ru/system/home/card#/company/497446718DAA4062988117E502C6B7F5/101"/><Relationship Id="rId9615" Type="http://schemas.openxmlformats.org/officeDocument/2006/relationships/hyperlink" TargetMode="External" Target="https://spark-interfax.ru/system/home/card#/company/1B477BA4D2E54B2698F12608A7765132/101"/><Relationship Id="rId9616" Type="http://schemas.openxmlformats.org/officeDocument/2006/relationships/hyperlink" TargetMode="External" Target="https://spark-interfax.ru/system/home/card#/company/E0D153DEBAFC4D0EB3F9325BFD5BE0CC/101"/><Relationship Id="rId9617" Type="http://schemas.openxmlformats.org/officeDocument/2006/relationships/hyperlink" TargetMode="External" Target="https://spark-interfax.ru/system/home/card#/company/48A2ABDACF1443A0AB5B90DCDD68635C/101"/><Relationship Id="rId9618" Type="http://schemas.openxmlformats.org/officeDocument/2006/relationships/hyperlink" TargetMode="External" Target="https://spark-interfax.ru/system/home/card#/company/B3136B19AE584A9F885C0ADA4B513D06/101"/><Relationship Id="rId9619" Type="http://schemas.openxmlformats.org/officeDocument/2006/relationships/hyperlink" TargetMode="External" Target="https://spark-interfax.ru/system/home/card#/company/A1B41286E49E4CAD9510315A8E53DACC/101"/><Relationship Id="rId9620" Type="http://schemas.openxmlformats.org/officeDocument/2006/relationships/hyperlink" TargetMode="External" Target="https://spark-interfax.ru/system/home/card#/company/E0EBC2CFF8874C02BF363DB4AA23D6B1/101"/><Relationship Id="rId9621" Type="http://schemas.openxmlformats.org/officeDocument/2006/relationships/hyperlink" TargetMode="External" Target="https://spark-interfax.ru/system/home/card#/company/F36C7E9D20C84F64BDB644D219202A4F/101"/><Relationship Id="rId9622" Type="http://schemas.openxmlformats.org/officeDocument/2006/relationships/hyperlink" TargetMode="External" Target="https://spark-interfax.ru/system/home/card#/company/5D5A609E710E44D5B24BBFDC5CA99149/101"/><Relationship Id="rId9623" Type="http://schemas.openxmlformats.org/officeDocument/2006/relationships/hyperlink" TargetMode="External" Target="https://spark-interfax.ru/system/home/card#/company/747075724A3E4A7AA77A1A430021AC17/101"/><Relationship Id="rId9624" Type="http://schemas.openxmlformats.org/officeDocument/2006/relationships/hyperlink" TargetMode="External" Target="https://spark-interfax.ru/system/home/card#/company/B0EEE29AF9BF4F5E97DCA0DABF5404D1/101"/><Relationship Id="rId9625" Type="http://schemas.openxmlformats.org/officeDocument/2006/relationships/hyperlink" TargetMode="External" Target="https://spark-interfax.ru/system/home/card#/company/C164C43F965442D98AF9E3F937B62388/101"/><Relationship Id="rId9626" Type="http://schemas.openxmlformats.org/officeDocument/2006/relationships/hyperlink" TargetMode="External" Target="https://spark-interfax.ru/system/home/card#/company/FD1393BD04B04656A67A3F7D66560A2C/101"/><Relationship Id="rId9627" Type="http://schemas.openxmlformats.org/officeDocument/2006/relationships/hyperlink" TargetMode="External" Target="https://spark-interfax.ru/system/home/card#/company/B5A08947CDE14C22A1C469EDD2A958EA/101"/><Relationship Id="rId9628" Type="http://schemas.openxmlformats.org/officeDocument/2006/relationships/hyperlink" TargetMode="External" Target="https://spark-interfax.ru/system/home/card#/company/A33AC093D5AA48FB8E9950A08BF5037B/101"/><Relationship Id="rId9629" Type="http://schemas.openxmlformats.org/officeDocument/2006/relationships/hyperlink" TargetMode="External" Target="https://spark-interfax.ru/system/home/card#/company/92D34C89D6EE4CE1BB2EBEECDCB94C3E/101"/><Relationship Id="rId9630" Type="http://schemas.openxmlformats.org/officeDocument/2006/relationships/hyperlink" TargetMode="External" Target="https://spark-interfax.ru/system/home/card#/company/D471240587964C028DC7FFE60D686392/101"/><Relationship Id="rId9631" Type="http://schemas.openxmlformats.org/officeDocument/2006/relationships/hyperlink" TargetMode="External" Target="https://spark-interfax.ru/system/home/card#/company/D97A917DFBE14E98A175A7A22BA29C37/101"/><Relationship Id="rId9632" Type="http://schemas.openxmlformats.org/officeDocument/2006/relationships/hyperlink" TargetMode="External" Target="https://spark-interfax.ru/system/home/card#/company/29B4C29724AE4BDA881746A2312CFEB4/101"/><Relationship Id="rId9633" Type="http://schemas.openxmlformats.org/officeDocument/2006/relationships/hyperlink" TargetMode="External" Target="https://spark-interfax.ru/system/home/card#/company/F53009775C1F422BAB7D76CCCE6A3C49/101"/><Relationship Id="rId9634" Type="http://schemas.openxmlformats.org/officeDocument/2006/relationships/hyperlink" TargetMode="External" Target="https://spark-interfax.ru/system/home/card#/company/12CAD369E2F14F6683DBA80DD871CCAA/101"/><Relationship Id="rId9635" Type="http://schemas.openxmlformats.org/officeDocument/2006/relationships/hyperlink" TargetMode="External" Target="https://spark-interfax.ru/system/home/card#/company/7E3C3FD394CC487B8E9454157BB537D8/101"/><Relationship Id="rId9636" Type="http://schemas.openxmlformats.org/officeDocument/2006/relationships/hyperlink" TargetMode="External" Target="https://spark-interfax.ru/system/home/card#/company/88582BEA88E5478DAD99C43CBB60A99A/101"/><Relationship Id="rId9637" Type="http://schemas.openxmlformats.org/officeDocument/2006/relationships/hyperlink" TargetMode="External" Target="https://spark-interfax.ru/system/home/card#/company/0B4C9E24969E43528DE08EF4BC5CE717/101"/><Relationship Id="rId9638" Type="http://schemas.openxmlformats.org/officeDocument/2006/relationships/hyperlink" TargetMode="External" Target="https://spark-interfax.ru/system/home/card#/company/17A33EAA213D4D659E7DE6616390018C/101"/><Relationship Id="rId9639" Type="http://schemas.openxmlformats.org/officeDocument/2006/relationships/hyperlink" TargetMode="External" Target="https://spark-interfax.ru/system/home/card#/company/D2990C02DCEA4D0BA8A0D2BE7AA45E7F/101"/><Relationship Id="rId9640" Type="http://schemas.openxmlformats.org/officeDocument/2006/relationships/hyperlink" TargetMode="External" Target="https://spark-interfax.ru/system/home/card#/company/14F803EFA3734D66AE12CCB9DF356430/101"/><Relationship Id="rId9641" Type="http://schemas.openxmlformats.org/officeDocument/2006/relationships/hyperlink" TargetMode="External" Target="https://spark-interfax.ru/system/home/card#/company/0A950FEA1BBC4D359C6492C29F55DDC3/101"/><Relationship Id="rId9642" Type="http://schemas.openxmlformats.org/officeDocument/2006/relationships/hyperlink" TargetMode="External" Target="https://spark-interfax.ru/system/home/card#/company/D8E7C9D98E5E4DF58E4CD5FAE57FB53B/101"/><Relationship Id="rId9643" Type="http://schemas.openxmlformats.org/officeDocument/2006/relationships/hyperlink" TargetMode="External" Target="https://spark-interfax.ru/system/home/card#/company/748067BD9C6444D590429AFD05B7CCB5/101"/><Relationship Id="rId9644" Type="http://schemas.openxmlformats.org/officeDocument/2006/relationships/hyperlink" TargetMode="External" Target="https://spark-interfax.ru/system/home/card#/company/1F50646CD618490B91EE876B0245346F/101"/><Relationship Id="rId9645" Type="http://schemas.openxmlformats.org/officeDocument/2006/relationships/hyperlink" TargetMode="External" Target="https://spark-interfax.ru/system/home/card#/company/B4C05E0FD6E8490DB2CEA2EEA52CE4F9/101"/><Relationship Id="rId9646" Type="http://schemas.openxmlformats.org/officeDocument/2006/relationships/hyperlink" TargetMode="External" Target="https://spark-interfax.ru/system/home/card#/company/B3C57E6C6CDB44BAB2D7174040F9128A/101"/><Relationship Id="rId9647" Type="http://schemas.openxmlformats.org/officeDocument/2006/relationships/hyperlink" TargetMode="External" Target="https://spark-interfax.ru/system/home/card#/company/16A5E0E2F9634EC7A6271094EAE662AD/101"/><Relationship Id="rId9648" Type="http://schemas.openxmlformats.org/officeDocument/2006/relationships/hyperlink" TargetMode="External" Target="https://spark-interfax.ru/system/home/card#/company/FD08D504E5EF4A87859767F3A5138B54/101"/><Relationship Id="rId9649" Type="http://schemas.openxmlformats.org/officeDocument/2006/relationships/hyperlink" TargetMode="External" Target="https://spark-interfax.ru/system/home/card#/company/27B905A0D2A04D469407812570CE5A5B/101"/><Relationship Id="rId9650" Type="http://schemas.openxmlformats.org/officeDocument/2006/relationships/hyperlink" TargetMode="External" Target="https://spark-interfax.ru/system/home/card#/company/772D9EA00B84406C94A935F57DF15F5D/101"/><Relationship Id="rId9651" Type="http://schemas.openxmlformats.org/officeDocument/2006/relationships/hyperlink" TargetMode="External" Target="https://spark-interfax.ru/system/home/card#/company/5117464A47F94898B7CC4EE3379ED014/101"/><Relationship Id="rId9652" Type="http://schemas.openxmlformats.org/officeDocument/2006/relationships/hyperlink" TargetMode="External" Target="https://spark-interfax.ru/system/home/card#/company/50B6DA08170443CD8EF4AE3F159ED6E8/101"/><Relationship Id="rId9653" Type="http://schemas.openxmlformats.org/officeDocument/2006/relationships/hyperlink" TargetMode="External" Target="https://spark-interfax.ru/system/home/card#/company/6DE5460E69134911BAD17472E81B3399/101"/><Relationship Id="rId9654" Type="http://schemas.openxmlformats.org/officeDocument/2006/relationships/hyperlink" TargetMode="External" Target="https://spark-interfax.ru/system/home/card#/company/830DFC7DEEAE5B91E0531B9AA8C03E71/101"/><Relationship Id="rId9655" Type="http://schemas.openxmlformats.org/officeDocument/2006/relationships/hyperlink" TargetMode="External" Target="https://spark-interfax.ru/system/home/card#/company/A02E9F61012A4FC3BDBBEB38B1688352/101"/><Relationship Id="rId9656" Type="http://schemas.openxmlformats.org/officeDocument/2006/relationships/hyperlink" TargetMode="External" Target="https://spark-interfax.ru/system/home/card#/company/6A5DE16966C2448D9C6D86D18D620995/101"/><Relationship Id="rId9657" Type="http://schemas.openxmlformats.org/officeDocument/2006/relationships/hyperlink" TargetMode="External" Target="https://spark-interfax.ru/system/home/card#/company/A18C91B189794897BD67C5B7FF22CC70/101"/><Relationship Id="rId9658" Type="http://schemas.openxmlformats.org/officeDocument/2006/relationships/hyperlink" TargetMode="External" Target="https://spark-interfax.ru/system/home/card#/company/CBC15A8C527C4206969DEA15133BDCD1/101"/><Relationship Id="rId9659" Type="http://schemas.openxmlformats.org/officeDocument/2006/relationships/hyperlink" TargetMode="External" Target="https://spark-interfax.ru/system/home/card#/company/9F09667783AC466BA946C461F162DB62/101"/><Relationship Id="rId9660" Type="http://schemas.openxmlformats.org/officeDocument/2006/relationships/hyperlink" TargetMode="External" Target="https://spark-interfax.ru/system/home/card#/company/3D0BB54F512D4C96B0A3087C9BD3F825/101"/><Relationship Id="rId9661" Type="http://schemas.openxmlformats.org/officeDocument/2006/relationships/hyperlink" TargetMode="External" Target="https://spark-interfax.ru/system/home/card#/company/73EF2C8C3C5945CBAD518A22E2E37367/101"/><Relationship Id="rId9662" Type="http://schemas.openxmlformats.org/officeDocument/2006/relationships/hyperlink" TargetMode="External" Target="https://spark-interfax.ru/system/home/card#/company/82B3A63B0C67728CE0531B9AA8C006E8/101"/><Relationship Id="rId9663" Type="http://schemas.openxmlformats.org/officeDocument/2006/relationships/hyperlink" TargetMode="External" Target="https://spark-interfax.ru/system/home/card#/company/1C8B94CC874F4E52AECA2E5A3D7D37F0/101"/><Relationship Id="rId9664" Type="http://schemas.openxmlformats.org/officeDocument/2006/relationships/hyperlink" TargetMode="External" Target="https://spark-interfax.ru/system/home/card#/company/7C6EC8BAA6EF4625A5E5DCE6FF1250D6/101"/><Relationship Id="rId9665" Type="http://schemas.openxmlformats.org/officeDocument/2006/relationships/hyperlink" TargetMode="External" Target="https://spark-interfax.ru/system/home/card#/company/CEAD1281252149429F1D8C67E4438C7F/101"/><Relationship Id="rId9666" Type="http://schemas.openxmlformats.org/officeDocument/2006/relationships/hyperlink" TargetMode="External" Target="https://spark-interfax.ru/system/home/card#/company/9E693A702C23431B842EE1C675DD4868/101"/><Relationship Id="rId9667" Type="http://schemas.openxmlformats.org/officeDocument/2006/relationships/hyperlink" TargetMode="External" Target="https://spark-interfax.ru/system/home/card#/company/89DA847DC2B24CAD977812CEEACBF7FC/101"/><Relationship Id="rId9668" Type="http://schemas.openxmlformats.org/officeDocument/2006/relationships/hyperlink" TargetMode="External" Target="https://spark-interfax.ru/system/home/card#/company/406E49CE7C534EFDA9AC9FBCCF95943E/101"/><Relationship Id="rId9669" Type="http://schemas.openxmlformats.org/officeDocument/2006/relationships/hyperlink" TargetMode="External" Target="https://spark-interfax.ru/system/home/card#/company/9962422C3BA54D72B3BE611431CBBF14/101"/><Relationship Id="rId9670" Type="http://schemas.openxmlformats.org/officeDocument/2006/relationships/hyperlink" TargetMode="External" Target="https://spark-interfax.ru/system/home/card#/company/E644463DC9534942B558F51578F1DC98/101"/><Relationship Id="rId9671" Type="http://schemas.openxmlformats.org/officeDocument/2006/relationships/hyperlink" TargetMode="External" Target="https://spark-interfax.ru/system/home/card#/company/6B94E54C14A641C39E2DF388EDA3BEC9/101"/><Relationship Id="rId9672" Type="http://schemas.openxmlformats.org/officeDocument/2006/relationships/hyperlink" TargetMode="External" Target="https://spark-interfax.ru/system/home/card#/company/DE95707E3A3B47BDAD0D383985915DC0/101"/><Relationship Id="rId9673" Type="http://schemas.openxmlformats.org/officeDocument/2006/relationships/hyperlink" TargetMode="External" Target="https://spark-interfax.ru/system/home/card#/company/9CAC1E76E39E4B7A9E6C6270D9DDA476/101"/><Relationship Id="rId9674" Type="http://schemas.openxmlformats.org/officeDocument/2006/relationships/hyperlink" TargetMode="External" Target="https://spark-interfax.ru/system/home/card#/company/76B7FBCD6FD67B6AE0531B9AA8C07088/101"/><Relationship Id="rId9675" Type="http://schemas.openxmlformats.org/officeDocument/2006/relationships/hyperlink" TargetMode="External" Target="https://spark-interfax.ru/system/home/card#/company/3059319E8A6244CA82AD52798C8FD1DA/101"/><Relationship Id="rId9676" Type="http://schemas.openxmlformats.org/officeDocument/2006/relationships/hyperlink" TargetMode="External" Target="https://spark-interfax.ru/system/home/card#/company/1CFE3C42857E4752B0A86B62CB3B809C/101"/><Relationship Id="rId9677" Type="http://schemas.openxmlformats.org/officeDocument/2006/relationships/hyperlink" TargetMode="External" Target="https://spark-interfax.ru/system/home/card#/company/1DC64977C3B84D61AF0ADEDD7BD616C1/101"/><Relationship Id="rId9678" Type="http://schemas.openxmlformats.org/officeDocument/2006/relationships/hyperlink" TargetMode="External" Target="https://spark-interfax.ru/system/home/card#/company/0E664EABB0AC459A87CF595BE6E4E12B/101"/><Relationship Id="rId9679" Type="http://schemas.openxmlformats.org/officeDocument/2006/relationships/hyperlink" TargetMode="External" Target="https://spark-interfax.ru/system/home/card#/company/3088FB1997D24AF1B768DBB5DA71157A/101"/><Relationship Id="rId9680" Type="http://schemas.openxmlformats.org/officeDocument/2006/relationships/hyperlink" TargetMode="External" Target="https://spark-interfax.ru/system/home/card#/company/ACBDF37FCA184B7E89F4B5A6786A399A/101"/><Relationship Id="rId9681" Type="http://schemas.openxmlformats.org/officeDocument/2006/relationships/hyperlink" TargetMode="External" Target="https://spark-interfax.ru/system/home/card#/company/68CB49046FD942EE84D7AF97F73D906C/101"/><Relationship Id="rId9682" Type="http://schemas.openxmlformats.org/officeDocument/2006/relationships/hyperlink" TargetMode="External" Target="https://spark-interfax.ru/system/home/card#/company/AFCBCF8F56664F288E29EE41D60F23D0/101"/><Relationship Id="rId9683" Type="http://schemas.openxmlformats.org/officeDocument/2006/relationships/hyperlink" TargetMode="External" Target="https://spark-interfax.ru/system/home/card#/company/09ED014EE2B7420D98FEC9E0EDE46BB8/101"/><Relationship Id="rId9684" Type="http://schemas.openxmlformats.org/officeDocument/2006/relationships/hyperlink" TargetMode="External" Target="https://spark-interfax.ru/system/home/card#/company/5E9851FBD8512BF8E0531B9AA8C0409D/101"/><Relationship Id="rId9685" Type="http://schemas.openxmlformats.org/officeDocument/2006/relationships/hyperlink" TargetMode="External" Target="https://spark-interfax.ru/system/home/card#/company/E369940AC5AF4DEC8B32CC6EC807F318/101"/><Relationship Id="rId9686" Type="http://schemas.openxmlformats.org/officeDocument/2006/relationships/hyperlink" TargetMode="External" Target="https://spark-interfax.ru/system/home/card#/company/35C5AFCCDD234EB5B71F6ABD94EC7D8D/101"/><Relationship Id="rId9687" Type="http://schemas.openxmlformats.org/officeDocument/2006/relationships/hyperlink" TargetMode="External" Target="https://spark-interfax.ru/system/home/card#/company/F1D76A8171084194A37695E5BB8EBD7C/101"/><Relationship Id="rId9688" Type="http://schemas.openxmlformats.org/officeDocument/2006/relationships/hyperlink" TargetMode="External" Target="https://spark-interfax.ru/system/home/card#/company/CC7800BFDBF84EC5A8418B99E73FA83A/101"/><Relationship Id="rId9689" Type="http://schemas.openxmlformats.org/officeDocument/2006/relationships/hyperlink" TargetMode="External" Target="https://spark-interfax.ru/system/home/card#/company/938F50F2B90E2E81E0531B9AA8C0608C/101"/><Relationship Id="rId9690" Type="http://schemas.openxmlformats.org/officeDocument/2006/relationships/hyperlink" TargetMode="External" Target="https://spark-interfax.ru/system/home/card#/company/5A48F5F05B3944A681960C7B40EB8C69/101"/><Relationship Id="rId9691" Type="http://schemas.openxmlformats.org/officeDocument/2006/relationships/hyperlink" TargetMode="External" Target="https://spark-interfax.ru/system/home/card#/company/933D0FE73A884FD7A1464C3561692AA8/101"/><Relationship Id="rId9692" Type="http://schemas.openxmlformats.org/officeDocument/2006/relationships/hyperlink" TargetMode="External" Target="https://spark-interfax.ru/system/home/card#/company/366B6758583A4F01AEF9169FF638B149/101"/><Relationship Id="rId9693" Type="http://schemas.openxmlformats.org/officeDocument/2006/relationships/hyperlink" TargetMode="External" Target="https://spark-interfax.ru/system/home/card#/company/6AA2EF3CF8B74C9B825DF85FB53D6D98/101"/><Relationship Id="rId9694" Type="http://schemas.openxmlformats.org/officeDocument/2006/relationships/hyperlink" TargetMode="External" Target="https://spark-interfax.ru/system/home/card#/company/A24A0B34379B4E939BD5355C7731820F/101"/><Relationship Id="rId9695" Type="http://schemas.openxmlformats.org/officeDocument/2006/relationships/hyperlink" TargetMode="External" Target="https://spark-interfax.ru/system/home/card#/company/CFC2B12FC1574758A353DF4D1BA9CDD4/101"/><Relationship Id="rId9696" Type="http://schemas.openxmlformats.org/officeDocument/2006/relationships/hyperlink" TargetMode="External" Target="https://spark-interfax.ru/system/home/card#/company/67E828BF7311480390BEA901CB6998D2/101"/><Relationship Id="rId9697" Type="http://schemas.openxmlformats.org/officeDocument/2006/relationships/hyperlink" TargetMode="External" Target="https://spark-interfax.ru/system/home/card#/company/078639AB3BD54DD8946892C127A975CC/101"/><Relationship Id="rId9698" Type="http://schemas.openxmlformats.org/officeDocument/2006/relationships/hyperlink" TargetMode="External" Target="https://spark-interfax.ru/system/home/card#/company/3E627D30554243719E5544ADD6B078FC/101"/><Relationship Id="rId9699" Type="http://schemas.openxmlformats.org/officeDocument/2006/relationships/hyperlink" TargetMode="External" Target="https://spark-interfax.ru/system/home/card#/company/C45BC0359D984A58B1B79E9A54B8B603/101"/><Relationship Id="rId9700" Type="http://schemas.openxmlformats.org/officeDocument/2006/relationships/hyperlink" TargetMode="External" Target="https://spark-interfax.ru/system/home/card#/company/7624C374A6954298987914D865817374/101"/><Relationship Id="rId9701" Type="http://schemas.openxmlformats.org/officeDocument/2006/relationships/hyperlink" TargetMode="External" Target="https://spark-interfax.ru/system/home/card#/company/15C34A08E8D845BEA30BF2CA61FD1E65/101"/><Relationship Id="rId9702" Type="http://schemas.openxmlformats.org/officeDocument/2006/relationships/hyperlink" TargetMode="External" Target="https://spark-interfax.ru/system/home/card#/company/27978CEC777042D4AE3C54C4FB172D8A/101"/><Relationship Id="rId9703" Type="http://schemas.openxmlformats.org/officeDocument/2006/relationships/hyperlink" TargetMode="External" Target="https://spark-interfax.ru/system/home/card#/company/7EC4A8EAA08A4F5D95F64223E5E76926/101"/><Relationship Id="rId9704" Type="http://schemas.openxmlformats.org/officeDocument/2006/relationships/hyperlink" TargetMode="External" Target="https://spark-interfax.ru/system/home/card#/company/705A55B6A5D34FBEE0531B9AA8C015ED/101"/><Relationship Id="rId9705" Type="http://schemas.openxmlformats.org/officeDocument/2006/relationships/hyperlink" TargetMode="External" Target="https://spark-interfax.ru/system/home/card#/company/5E28C085E89C4246B8344EC7D75C8132/101"/><Relationship Id="rId9706" Type="http://schemas.openxmlformats.org/officeDocument/2006/relationships/hyperlink" TargetMode="External" Target="https://spark-interfax.ru/system/home/card#/company/11CAD94D7D004EB28C115A167CC2FA74/101"/><Relationship Id="rId9707" Type="http://schemas.openxmlformats.org/officeDocument/2006/relationships/hyperlink" TargetMode="External" Target="https://spark-interfax.ru/system/home/card#/company/8A2997126DE247558A6A4DF5F9ACF90E/101"/><Relationship Id="rId9708" Type="http://schemas.openxmlformats.org/officeDocument/2006/relationships/hyperlink" TargetMode="External" Target="https://spark-interfax.ru/system/home/card#/company/6F629E3205654F62860AC9CB49BFF1FC/101"/><Relationship Id="rId9709" Type="http://schemas.openxmlformats.org/officeDocument/2006/relationships/hyperlink" TargetMode="External" Target="https://spark-interfax.ru/system/home/card#/company/6944A0E807204A149F1A6DE9CCC371F9/101"/><Relationship Id="rId9710" Type="http://schemas.openxmlformats.org/officeDocument/2006/relationships/hyperlink" TargetMode="External" Target="https://spark-interfax.ru/system/home/card#/company/DF2058A19F574A61891BDCC5E4ADBB24/101"/><Relationship Id="rId9711" Type="http://schemas.openxmlformats.org/officeDocument/2006/relationships/hyperlink" TargetMode="External" Target="https://spark-interfax.ru/system/home/card#/company/E5F639E55B884F18AD192AC14FFE9D1D/101"/><Relationship Id="rId9712" Type="http://schemas.openxmlformats.org/officeDocument/2006/relationships/hyperlink" TargetMode="External" Target="https://spark-interfax.ru/system/home/card#/company/3E95C3BAE6FF403B88DF214BE1043293/101"/><Relationship Id="rId9713" Type="http://schemas.openxmlformats.org/officeDocument/2006/relationships/hyperlink" TargetMode="External" Target="https://spark-interfax.ru/system/home/card#/company/8B9F891F8EC71674E0531C9AA8C095A1/101"/><Relationship Id="rId9714" Type="http://schemas.openxmlformats.org/officeDocument/2006/relationships/hyperlink" TargetMode="External" Target="https://spark-interfax.ru/system/home/card#/company/C2EFC1EDFA1447C2B4E7D2F538AA14CB/101"/><Relationship Id="rId9715" Type="http://schemas.openxmlformats.org/officeDocument/2006/relationships/hyperlink" TargetMode="External" Target="https://spark-interfax.ru/system/home/card#/company/4999B286966840E2AE32812160B30FD5/101"/><Relationship Id="rId9716" Type="http://schemas.openxmlformats.org/officeDocument/2006/relationships/hyperlink" TargetMode="External" Target="https://spark-interfax.ru/system/home/card#/company/13B576ACC48E4C9898D678792D5BDF64/101"/><Relationship Id="rId9717" Type="http://schemas.openxmlformats.org/officeDocument/2006/relationships/hyperlink" TargetMode="External" Target="https://spark-interfax.ru/system/home/card#/company/B7AB80005F55420692724210D28F48C1/101"/><Relationship Id="rId9718" Type="http://schemas.openxmlformats.org/officeDocument/2006/relationships/hyperlink" TargetMode="External" Target="https://spark-interfax.ru/system/home/card#/company/F2969A3E1D414890BF897AEA2F990559/101"/><Relationship Id="rId9719" Type="http://schemas.openxmlformats.org/officeDocument/2006/relationships/hyperlink" TargetMode="External" Target="https://spark-interfax.ru/system/home/card#/company/6B4E7F87772B4E6EA137478EC56820B5/101"/><Relationship Id="rId9720" Type="http://schemas.openxmlformats.org/officeDocument/2006/relationships/hyperlink" TargetMode="External" Target="https://spark-interfax.ru/system/home/card#/company/105848CD0E0C4F1C82468CA0A3C1A1D7/101"/><Relationship Id="rId9721" Type="http://schemas.openxmlformats.org/officeDocument/2006/relationships/hyperlink" TargetMode="External" Target="https://spark-interfax.ru/system/home/card#/company/320080566CE449528ABDA5C283ABC2E6/101"/><Relationship Id="rId9722" Type="http://schemas.openxmlformats.org/officeDocument/2006/relationships/hyperlink" TargetMode="External" Target="https://spark-interfax.ru/system/home/card#/company/2BE0B6D3DFF84716BBCB1103378FC57D/101"/><Relationship Id="rId9723" Type="http://schemas.openxmlformats.org/officeDocument/2006/relationships/hyperlink" TargetMode="External" Target="https://spark-interfax.ru/system/home/card#/company/D14DE67C11FC4D098BE7BCDC960B864E/101"/><Relationship Id="rId9724" Type="http://schemas.openxmlformats.org/officeDocument/2006/relationships/hyperlink" TargetMode="External" Target="https://spark-interfax.ru/system/home/card#/company/C0C4430ADA6F417ABC7B158FD26249D0/101"/><Relationship Id="rId9725" Type="http://schemas.openxmlformats.org/officeDocument/2006/relationships/hyperlink" TargetMode="External" Target="https://spark-interfax.ru/system/home/card#/company/899024A4FA464BA5A527ACEDA7B94EA6/101"/><Relationship Id="rId9726" Type="http://schemas.openxmlformats.org/officeDocument/2006/relationships/hyperlink" TargetMode="External" Target="https://spark-interfax.ru/system/home/card#/company/D1DB185658954D38B56CC3AD9F59816E/101"/><Relationship Id="rId9727" Type="http://schemas.openxmlformats.org/officeDocument/2006/relationships/hyperlink" TargetMode="External" Target="https://spark-interfax.ru/system/home/card#/company/5353965168FE47CCA97F3A4227B378F9/101"/><Relationship Id="rId9728" Type="http://schemas.openxmlformats.org/officeDocument/2006/relationships/hyperlink" TargetMode="External" Target="https://spark-interfax.ru/system/home/card#/company/48C32DE6E94244F9A8DB930751804716/101"/><Relationship Id="rId9729" Type="http://schemas.openxmlformats.org/officeDocument/2006/relationships/hyperlink" TargetMode="External" Target="https://spark-interfax.ru/system/home/card#/company/67D518076CD0495686C730EC4995D52A/101"/><Relationship Id="rId9730" Type="http://schemas.openxmlformats.org/officeDocument/2006/relationships/hyperlink" TargetMode="External" Target="https://spark-interfax.ru/system/home/card#/company/D437B267B28A427186B88D13A17F9E91/101"/><Relationship Id="rId9731" Type="http://schemas.openxmlformats.org/officeDocument/2006/relationships/hyperlink" TargetMode="External" Target="https://spark-interfax.ru/system/home/card#/company/0F270128D4394E8BB6ABC98510F519AF/101"/><Relationship Id="rId9732" Type="http://schemas.openxmlformats.org/officeDocument/2006/relationships/hyperlink" TargetMode="External" Target="https://spark-interfax.ru/system/home/card#/company/E2EB678B4F364DCE81DDDD94288EE78C/101"/><Relationship Id="rId9733" Type="http://schemas.openxmlformats.org/officeDocument/2006/relationships/hyperlink" TargetMode="External" Target="https://spark-interfax.ru/system/home/card#/company/7B30C52BB22A4B31B8D9A0D9BC6B94C3/101"/><Relationship Id="rId9734" Type="http://schemas.openxmlformats.org/officeDocument/2006/relationships/hyperlink" TargetMode="External" Target="https://spark-interfax.ru/system/home/card#/company/E88FAB9830824D609D3AFCC7514BE101/101"/><Relationship Id="rId9735" Type="http://schemas.openxmlformats.org/officeDocument/2006/relationships/hyperlink" TargetMode="External" Target="https://spark-interfax.ru/system/home/card#/company/47307ECC637B4E0F8A5E02D8A3E209DE/101"/><Relationship Id="rId9736" Type="http://schemas.openxmlformats.org/officeDocument/2006/relationships/hyperlink" TargetMode="External" Target="https://spark-interfax.ru/system/home/card#/company/CE84F258C2404929897BF6C28B9E6160/101"/><Relationship Id="rId9737" Type="http://schemas.openxmlformats.org/officeDocument/2006/relationships/hyperlink" TargetMode="External" Target="https://spark-interfax.ru/system/home/card#/company/71A455078F8C479691810E42B7FE0592/101"/><Relationship Id="rId9738" Type="http://schemas.openxmlformats.org/officeDocument/2006/relationships/hyperlink" TargetMode="External" Target="https://spark-interfax.ru/system/home/card#/company/B1F7AF4B5E4E4EB4B5AAB0F673576272/101"/><Relationship Id="rId9739" Type="http://schemas.openxmlformats.org/officeDocument/2006/relationships/hyperlink" TargetMode="External" Target="https://spark-interfax.ru/system/home/card#/company/5F461B0A17924B3BA161B2821FEFDC62/101"/><Relationship Id="rId9740" Type="http://schemas.openxmlformats.org/officeDocument/2006/relationships/hyperlink" TargetMode="External" Target="https://spark-interfax.ru/system/home/card#/company/77E22C16A7CB4514B7FB3FA1BFDACBEC/101"/><Relationship Id="rId9741" Type="http://schemas.openxmlformats.org/officeDocument/2006/relationships/hyperlink" TargetMode="External" Target="https://spark-interfax.ru/system/home/card#/company/5D18CDE9378E18CEE0531C9AA8C0126E/101"/><Relationship Id="rId9742" Type="http://schemas.openxmlformats.org/officeDocument/2006/relationships/hyperlink" TargetMode="External" Target="https://spark-interfax.ru/system/home/card#/company/F8D1794438AF4A2F977C28AA505B7ACD/101"/><Relationship Id="rId9743" Type="http://schemas.openxmlformats.org/officeDocument/2006/relationships/hyperlink" TargetMode="External" Target="https://spark-interfax.ru/system/home/card#/company/3B87964207B24683A7B62DB15B1FCBE7/101"/><Relationship Id="rId9744" Type="http://schemas.openxmlformats.org/officeDocument/2006/relationships/hyperlink" TargetMode="External" Target="https://spark-interfax.ru/system/home/card#/company/E4C7DF88956A427A84274B0F9FD2B6F0/101"/><Relationship Id="rId9745" Type="http://schemas.openxmlformats.org/officeDocument/2006/relationships/hyperlink" TargetMode="External" Target="https://spark-interfax.ru/system/home/card#/company/A33F072448EF4192807C0F529F0D7019/101"/><Relationship Id="rId9746" Type="http://schemas.openxmlformats.org/officeDocument/2006/relationships/hyperlink" TargetMode="External" Target="https://spark-interfax.ru/system/home/card#/company/3C35CEAA5D3D494B8A4BD7D7F8997214/101"/><Relationship Id="rId9747" Type="http://schemas.openxmlformats.org/officeDocument/2006/relationships/hyperlink" TargetMode="External" Target="https://spark-interfax.ru/system/home/card#/company/BF341B13CE0B4C7BA4338294470A9E5C/101"/><Relationship Id="rId9748" Type="http://schemas.openxmlformats.org/officeDocument/2006/relationships/hyperlink" TargetMode="External" Target="https://spark-interfax.ru/system/home/card#/company/89A3E2CB93794C38822F7C82CE1536B8/101"/><Relationship Id="rId9749" Type="http://schemas.openxmlformats.org/officeDocument/2006/relationships/hyperlink" TargetMode="External" Target="https://spark-interfax.ru/system/home/card#/company/A120FF4BBFF14FA298E79740907BF721/101"/><Relationship Id="rId9750" Type="http://schemas.openxmlformats.org/officeDocument/2006/relationships/hyperlink" TargetMode="External" Target="https://spark-interfax.ru/system/home/card#/company/E9915DF58F654AA4B8F0A0845E5C4D77/101"/><Relationship Id="rId9751" Type="http://schemas.openxmlformats.org/officeDocument/2006/relationships/hyperlink" TargetMode="External" Target="https://spark-interfax.ru/system/home/card#/company/1155D90B66D040769FD18113E9563C05/101"/><Relationship Id="rId9752" Type="http://schemas.openxmlformats.org/officeDocument/2006/relationships/hyperlink" TargetMode="External" Target="https://spark-interfax.ru/system/home/card#/company/5FE53C3DD50548D3BC43A8355108F87B/101"/><Relationship Id="rId9753" Type="http://schemas.openxmlformats.org/officeDocument/2006/relationships/hyperlink" TargetMode="External" Target="https://spark-interfax.ru/system/home/card#/company/664C311EC9156699E0531B9AA8C010CE/101"/><Relationship Id="rId9754" Type="http://schemas.openxmlformats.org/officeDocument/2006/relationships/hyperlink" TargetMode="External" Target="https://spark-interfax.ru/system/home/card#/company/F26210C267404EB4B3998D39735C4C08/101"/><Relationship Id="rId9755" Type="http://schemas.openxmlformats.org/officeDocument/2006/relationships/hyperlink" TargetMode="External" Target="https://spark-interfax.ru/system/home/card#/company/0B008C02BE0347449EABCC22D8CACEA9/101"/><Relationship Id="rId9756" Type="http://schemas.openxmlformats.org/officeDocument/2006/relationships/hyperlink" TargetMode="External" Target="https://spark-interfax.ru/system/home/card#/company/CDD1128FC24D4AF9B2E7179952180726/101"/><Relationship Id="rId9757" Type="http://schemas.openxmlformats.org/officeDocument/2006/relationships/hyperlink" TargetMode="External" Target="https://spark-interfax.ru/system/home/card#/company/BA3B4BF3C84641A9A323662A83D6048E/101"/><Relationship Id="rId9758" Type="http://schemas.openxmlformats.org/officeDocument/2006/relationships/hyperlink" TargetMode="External" Target="https://spark-interfax.ru/system/home/card#/company/DFDCB5EFF00A4B97A948145B451093F8/101"/><Relationship Id="rId9759" Type="http://schemas.openxmlformats.org/officeDocument/2006/relationships/hyperlink" TargetMode="External" Target="https://spark-interfax.ru/system/home/card#/company/8A348C332BAF45C9A302D4A08B1C4269/101"/><Relationship Id="rId9760" Type="http://schemas.openxmlformats.org/officeDocument/2006/relationships/hyperlink" TargetMode="External" Target="https://spark-interfax.ru/system/home/card#/company/66C882AFDA5F40458AADF11270CA8A98/101"/><Relationship Id="rId9761" Type="http://schemas.openxmlformats.org/officeDocument/2006/relationships/hyperlink" TargetMode="External" Target="https://spark-interfax.ru/system/home/card#/company/BE47150DA4674526A577CF2A249BDA29/101"/><Relationship Id="rId9762" Type="http://schemas.openxmlformats.org/officeDocument/2006/relationships/hyperlink" TargetMode="External" Target="https://spark-interfax.ru/system/home/card#/company/DC945A21AD2444A9B94AADFB46A367E5/101"/><Relationship Id="rId9763" Type="http://schemas.openxmlformats.org/officeDocument/2006/relationships/hyperlink" TargetMode="External" Target="https://spark-interfax.ru/system/home/card#/company/B518F5B484954BF6A6D6773432D8B55A/101"/><Relationship Id="rId9764" Type="http://schemas.openxmlformats.org/officeDocument/2006/relationships/hyperlink" TargetMode="External" Target="https://spark-interfax.ru/system/home/card#/company/046144A1AB024F8888D45B8BFAC920FF/101"/><Relationship Id="rId9765" Type="http://schemas.openxmlformats.org/officeDocument/2006/relationships/hyperlink" TargetMode="External" Target="https://spark-interfax.ru/system/home/card#/company/1A88EBBC1E1A40A9B35C4041103C0888/101"/><Relationship Id="rId9766" Type="http://schemas.openxmlformats.org/officeDocument/2006/relationships/hyperlink" TargetMode="External" Target="https://spark-interfax.ru/system/home/card#/company/95ADD073D7DC4C11AD5CED4A81ADC339/101"/><Relationship Id="rId9767" Type="http://schemas.openxmlformats.org/officeDocument/2006/relationships/hyperlink" TargetMode="External" Target="https://spark-interfax.ru/system/home/card#/company/7A185F380FA75B08E0531F9AA8C057A3/101"/><Relationship Id="rId9768" Type="http://schemas.openxmlformats.org/officeDocument/2006/relationships/hyperlink" TargetMode="External" Target="https://spark-interfax.ru/system/home/card#/company/9FB3193FBC974122BF60590FBECA8454/101"/><Relationship Id="rId9769" Type="http://schemas.openxmlformats.org/officeDocument/2006/relationships/hyperlink" TargetMode="External" Target="https://spark-interfax.ru/system/home/card#/company/173811AFB8A246829485066D768067CA/101"/><Relationship Id="rId9770" Type="http://schemas.openxmlformats.org/officeDocument/2006/relationships/hyperlink" TargetMode="External" Target="https://spark-interfax.ru/system/home/card#/company/E18C08E417084793A3DAE3F04453D0F0/101"/><Relationship Id="rId9771" Type="http://schemas.openxmlformats.org/officeDocument/2006/relationships/hyperlink" TargetMode="External" Target="https://spark-interfax.ru/system/home/card#/company/CF0750EF7EED4056BF0EE9F52DBDE6B3/101"/><Relationship Id="rId9772" Type="http://schemas.openxmlformats.org/officeDocument/2006/relationships/hyperlink" TargetMode="External" Target="https://spark-interfax.ru/system/home/card#/company/C15D3BC41CC14383B87C71CDF4D3BB8E/101"/><Relationship Id="rId9773" Type="http://schemas.openxmlformats.org/officeDocument/2006/relationships/hyperlink" TargetMode="External" Target="https://spark-interfax.ru/system/home/card#/company/8246DA6748A145D3AC51FF1C12E2D7A1/101"/><Relationship Id="rId9774" Type="http://schemas.openxmlformats.org/officeDocument/2006/relationships/hyperlink" TargetMode="External" Target="https://spark-interfax.ru/system/home/card#/company/156EFC73E37645C9A78C10CB59FF23AC/101"/><Relationship Id="rId9775" Type="http://schemas.openxmlformats.org/officeDocument/2006/relationships/hyperlink" TargetMode="External" Target="https://spark-interfax.ru/system/home/card#/company/662DD84BE38E412883E4EBDFD597CAE0/101"/><Relationship Id="rId9776" Type="http://schemas.openxmlformats.org/officeDocument/2006/relationships/hyperlink" TargetMode="External" Target="https://spark-interfax.ru/system/home/card#/company/C67788E9436F431CA8C434103D3D3F46/101"/><Relationship Id="rId9777" Type="http://schemas.openxmlformats.org/officeDocument/2006/relationships/hyperlink" TargetMode="External" Target="https://spark-interfax.ru/system/home/card#/company/3CDEEC48A0C5458B880A68737FE6DC4B/101"/><Relationship Id="rId9778" Type="http://schemas.openxmlformats.org/officeDocument/2006/relationships/hyperlink" TargetMode="External" Target="https://spark-interfax.ru/system/home/card#/company/5018650CBCC645C385832A7F53570D43/101"/><Relationship Id="rId9779" Type="http://schemas.openxmlformats.org/officeDocument/2006/relationships/hyperlink" TargetMode="External" Target="https://spark-interfax.ru/system/home/card#/company/F6B92E87F8EC479D86EA7525E9C42EBC/101"/><Relationship Id="rId9780" Type="http://schemas.openxmlformats.org/officeDocument/2006/relationships/hyperlink" TargetMode="External" Target="https://spark-interfax.ru/system/home/card#/company/3F5F7FE7AD1846819A19A1695E7EBD6A/101"/><Relationship Id="rId9781" Type="http://schemas.openxmlformats.org/officeDocument/2006/relationships/hyperlink" TargetMode="External" Target="https://spark-interfax.ru/system/home/card#/company/ABAAF4DF907B462995D0D370DB244FFB/101"/><Relationship Id="rId9782" Type="http://schemas.openxmlformats.org/officeDocument/2006/relationships/hyperlink" TargetMode="External" Target="https://spark-interfax.ru/system/home/card#/company/3B3BEFAB6046483883B1ECC360D5F33D/101"/><Relationship Id="rId9783" Type="http://schemas.openxmlformats.org/officeDocument/2006/relationships/hyperlink" TargetMode="External" Target="https://spark-interfax.ru/system/home/card#/company/8AD9A361355B4C27B6FCE9BE9E28A0B7/101"/><Relationship Id="rId9784" Type="http://schemas.openxmlformats.org/officeDocument/2006/relationships/hyperlink" TargetMode="External" Target="https://spark-interfax.ru/system/home/card#/company/69A1359A9AF34A5AB9BC80331E3DD04D/101"/><Relationship Id="rId9785" Type="http://schemas.openxmlformats.org/officeDocument/2006/relationships/hyperlink" TargetMode="External" Target="https://spark-interfax.ru/system/home/card#/company/61AB7D9DE1624ED58DE9647FD4C23044/101"/><Relationship Id="rId9786" Type="http://schemas.openxmlformats.org/officeDocument/2006/relationships/hyperlink" TargetMode="External" Target="https://spark-interfax.ru/system/home/card#/company/639057A2D94E4E38BA08C19F0A9A85B2/101"/><Relationship Id="rId9787" Type="http://schemas.openxmlformats.org/officeDocument/2006/relationships/hyperlink" TargetMode="External" Target="https://spark-interfax.ru/system/home/card#/company/27991D0933FB47E8B0BF27E441C549CE/101"/><Relationship Id="rId9788" Type="http://schemas.openxmlformats.org/officeDocument/2006/relationships/hyperlink" TargetMode="External" Target="https://spark-interfax.ru/system/home/card#/company/909187C6D0E06B43E0531B9AA8C0B2D4/101"/><Relationship Id="rId9789" Type="http://schemas.openxmlformats.org/officeDocument/2006/relationships/hyperlink" TargetMode="External" Target="https://spark-interfax.ru/system/home/card#/company/705D7BB34FBD41FBA445607C09B3DBC2/101"/><Relationship Id="rId9790" Type="http://schemas.openxmlformats.org/officeDocument/2006/relationships/hyperlink" TargetMode="External" Target="https://spark-interfax.ru/system/home/card#/company/9B69C626864145E48875D976FBADB535/101"/><Relationship Id="rId9791" Type="http://schemas.openxmlformats.org/officeDocument/2006/relationships/hyperlink" TargetMode="External" Target="https://spark-interfax.ru/system/home/card#/company/C829D27DB6B742D18C19A786AAFABF29/101"/><Relationship Id="rId9792" Type="http://schemas.openxmlformats.org/officeDocument/2006/relationships/hyperlink" TargetMode="External" Target="https://spark-interfax.ru/system/home/card#/company/5524FE9798FE413BA21ADCD1A01AAE1A/101"/><Relationship Id="rId9793" Type="http://schemas.openxmlformats.org/officeDocument/2006/relationships/hyperlink" TargetMode="External" Target="https://spark-interfax.ru/system/home/card#/company/F7F73B3154B949D588430BFBEC4AFF90/101"/><Relationship Id="rId9794" Type="http://schemas.openxmlformats.org/officeDocument/2006/relationships/hyperlink" TargetMode="External" Target="https://spark-interfax.ru/system/home/card#/company/FFA1B19F1D48422782601808957CAB1E/101"/><Relationship Id="rId9795" Type="http://schemas.openxmlformats.org/officeDocument/2006/relationships/hyperlink" TargetMode="External" Target="https://spark-interfax.ru/system/home/card#/company/62AACF68E4B74BE28A4066DEBC3A3265/101"/><Relationship Id="rId9796" Type="http://schemas.openxmlformats.org/officeDocument/2006/relationships/hyperlink" TargetMode="External" Target="https://spark-interfax.ru/system/home/card#/company/522660FDCA5F4F868DC21F6EF44E2612/101"/><Relationship Id="rId9797" Type="http://schemas.openxmlformats.org/officeDocument/2006/relationships/hyperlink" TargetMode="External" Target="https://spark-interfax.ru/system/home/card#/company/4C26358BE7694E76BB134124A6C049E7/101"/><Relationship Id="rId9798" Type="http://schemas.openxmlformats.org/officeDocument/2006/relationships/hyperlink" TargetMode="External" Target="https://spark-interfax.ru/system/home/card#/company/7EDC4E96698546289905FD7E57E7B167/101"/><Relationship Id="rId9799" Type="http://schemas.openxmlformats.org/officeDocument/2006/relationships/hyperlink" TargetMode="External" Target="https://spark-interfax.ru/system/home/card#/company/EF1644FECA07409B86C7B9500FEF2C8D/101"/><Relationship Id="rId9800" Type="http://schemas.openxmlformats.org/officeDocument/2006/relationships/hyperlink" TargetMode="External" Target="https://spark-interfax.ru/system/home/card#/company/E0D2649F4E5848C886D72590D4E654E2/101"/><Relationship Id="rId9801" Type="http://schemas.openxmlformats.org/officeDocument/2006/relationships/hyperlink" TargetMode="External" Target="https://spark-interfax.ru/system/home/card#/company/2D6BF6EFB79E44FC85C3D040D747F63B/101"/><Relationship Id="rId9802" Type="http://schemas.openxmlformats.org/officeDocument/2006/relationships/hyperlink" TargetMode="External" Target="https://spark-interfax.ru/system/home/card#/company/E6ACD89C494A45EE8CB1081BA15A3183/101"/><Relationship Id="rId9803" Type="http://schemas.openxmlformats.org/officeDocument/2006/relationships/hyperlink" TargetMode="External" Target="https://spark-interfax.ru/system/home/card#/company/52DADC1891734AEDB1F3C6DDA0C5F662/101"/><Relationship Id="rId9804" Type="http://schemas.openxmlformats.org/officeDocument/2006/relationships/hyperlink" TargetMode="External" Target="https://spark-interfax.ru/system/home/card#/company/ECF259416FB24451B9A33C8AFE71F36B/101"/><Relationship Id="rId9805" Type="http://schemas.openxmlformats.org/officeDocument/2006/relationships/hyperlink" TargetMode="External" Target="https://spark-interfax.ru/system/home/card#/company/CA2A5FC9242149998A2C904E34384C57/101"/><Relationship Id="rId9806" Type="http://schemas.openxmlformats.org/officeDocument/2006/relationships/hyperlink" TargetMode="External" Target="https://spark-interfax.ru/system/home/card#/company/CD8892F7AF1C4A1A9041A05D0787FF5B/101"/><Relationship Id="rId9807" Type="http://schemas.openxmlformats.org/officeDocument/2006/relationships/hyperlink" TargetMode="External" Target="https://spark-interfax.ru/system/home/card#/company/1B941A2BCD4649A9BC5B3A6B339A6827/101"/><Relationship Id="rId9808" Type="http://schemas.openxmlformats.org/officeDocument/2006/relationships/hyperlink" TargetMode="External" Target="https://spark-interfax.ru/system/home/card#/company/DC35E47A01744E51B023304F20C0FEFB/101"/><Relationship Id="rId9809" Type="http://schemas.openxmlformats.org/officeDocument/2006/relationships/hyperlink" TargetMode="External" Target="https://spark-interfax.ru/system/home/card#/company/7A1861B227DB6014E0531F9AA8C0AFF4/101"/><Relationship Id="rId9810" Type="http://schemas.openxmlformats.org/officeDocument/2006/relationships/hyperlink" TargetMode="External" Target="https://spark-interfax.ru/system/home/card#/company/5F6389BAF2954527B85618BEF209187A/101"/><Relationship Id="rId9811" Type="http://schemas.openxmlformats.org/officeDocument/2006/relationships/hyperlink" TargetMode="External" Target="https://spark-interfax.ru/system/home/card#/company/78A7BBF4678D4D66AF2AA0763624ED9C/101"/><Relationship Id="rId9812" Type="http://schemas.openxmlformats.org/officeDocument/2006/relationships/hyperlink" TargetMode="External" Target="https://spark-interfax.ru/system/home/card#/company/6A120D4CE2330841E0531B9AA8C0C78F/101"/><Relationship Id="rId9813" Type="http://schemas.openxmlformats.org/officeDocument/2006/relationships/hyperlink" TargetMode="External" Target="https://spark-interfax.ru/system/home/card#/company/1B14468EEB844FC9AA832F9336976F91/101"/><Relationship Id="rId9814" Type="http://schemas.openxmlformats.org/officeDocument/2006/relationships/hyperlink" TargetMode="External" Target="https://spark-interfax.ru/system/home/card#/company/6967ED0A3A425992E0531B9AA8C0928B/101"/><Relationship Id="rId9815" Type="http://schemas.openxmlformats.org/officeDocument/2006/relationships/hyperlink" TargetMode="External" Target="https://spark-interfax.ru/system/home/card#/company/8A1D13BBF3164A16B21657F3A155A3EA/101"/><Relationship Id="rId9816" Type="http://schemas.openxmlformats.org/officeDocument/2006/relationships/hyperlink" TargetMode="External" Target="https://spark-interfax.ru/system/home/card#/company/9C41F194AF534A6FAC503586C9AA3005/101"/><Relationship Id="rId9817" Type="http://schemas.openxmlformats.org/officeDocument/2006/relationships/hyperlink" TargetMode="External" Target="https://spark-interfax.ru/system/home/card#/company/5B5C83C51C974D4C857DDCC3E474B75E/101"/><Relationship Id="rId9818" Type="http://schemas.openxmlformats.org/officeDocument/2006/relationships/hyperlink" TargetMode="External" Target="https://spark-interfax.ru/system/home/card#/company/A6E8AABAF8674090A3A8DDD4EE8775B4/101"/><Relationship Id="rId9819" Type="http://schemas.openxmlformats.org/officeDocument/2006/relationships/hyperlink" TargetMode="External" Target="https://spark-interfax.ru/system/home/card#/company/A63824091E7B477CAFC3F023ECABDF39/101"/><Relationship Id="rId9820" Type="http://schemas.openxmlformats.org/officeDocument/2006/relationships/hyperlink" TargetMode="External" Target="https://spark-interfax.ru/system/home/card#/company/6B55B4F8A5254A91B096BB0198D14767/101"/><Relationship Id="rId9821" Type="http://schemas.openxmlformats.org/officeDocument/2006/relationships/hyperlink" TargetMode="External" Target="https://spark-interfax.ru/system/home/card#/company/C02AAF65FD044E168FA46940ED4BFC26/101"/><Relationship Id="rId9822" Type="http://schemas.openxmlformats.org/officeDocument/2006/relationships/hyperlink" TargetMode="External" Target="https://spark-interfax.ru/system/home/card#/company/78C6D63468EB4B83806B78A3C6114B9B/101"/><Relationship Id="rId9823" Type="http://schemas.openxmlformats.org/officeDocument/2006/relationships/hyperlink" TargetMode="External" Target="https://spark-interfax.ru/system/home/card#/company/8EA2853B01114561AB3E9D889A729905/101"/><Relationship Id="rId9824" Type="http://schemas.openxmlformats.org/officeDocument/2006/relationships/hyperlink" TargetMode="External" Target="https://spark-interfax.ru/system/home/card#/company/5F89D636701E76FCE0531B9AA8C0892D/101"/><Relationship Id="rId9825" Type="http://schemas.openxmlformats.org/officeDocument/2006/relationships/hyperlink" TargetMode="External" Target="https://spark-interfax.ru/system/home/card#/company/2A33BA33490446B49B807703A70D8232/101"/><Relationship Id="rId9826" Type="http://schemas.openxmlformats.org/officeDocument/2006/relationships/hyperlink" TargetMode="External" Target="https://spark-interfax.ru/system/home/card#/company/97539E5A5BE589F7E0531B9AA8C00993/101"/><Relationship Id="rId9827" Type="http://schemas.openxmlformats.org/officeDocument/2006/relationships/hyperlink" TargetMode="External" Target="https://spark-interfax.ru/system/home/card#/company/EAB72876747B4A54A8D015E3259CFA85/101"/><Relationship Id="rId9828" Type="http://schemas.openxmlformats.org/officeDocument/2006/relationships/hyperlink" TargetMode="External" Target="https://spark-interfax.ru/system/home/card#/company/0E1BEDC002B0436C983CD9A47A4A4EC4/101"/><Relationship Id="rId9829" Type="http://schemas.openxmlformats.org/officeDocument/2006/relationships/hyperlink" TargetMode="External" Target="https://spark-interfax.ru/system/home/card#/company/236B9F96F8804AA5B73F0D36F4E848C3/101"/><Relationship Id="rId9830" Type="http://schemas.openxmlformats.org/officeDocument/2006/relationships/hyperlink" TargetMode="External" Target="https://spark-interfax.ru/system/home/card#/company/053E49ABCE6443F68307AC08B13797E8/101"/><Relationship Id="rId9831" Type="http://schemas.openxmlformats.org/officeDocument/2006/relationships/hyperlink" TargetMode="External" Target="https://spark-interfax.ru/system/home/card#/company/B5E00BF75ABE4765AE4D7B6BD1E8C769/101"/><Relationship Id="rId9832" Type="http://schemas.openxmlformats.org/officeDocument/2006/relationships/hyperlink" TargetMode="External" Target="https://spark-interfax.ru/system/home/card#/company/978CB7E291474271B8F49E97D6BBEBA8/101"/><Relationship Id="rId9833" Type="http://schemas.openxmlformats.org/officeDocument/2006/relationships/hyperlink" TargetMode="External" Target="https://spark-interfax.ru/system/home/card#/company/BE94825E4CD246B4962477DD8298D777/101"/><Relationship Id="rId9834" Type="http://schemas.openxmlformats.org/officeDocument/2006/relationships/hyperlink" TargetMode="External" Target="https://spark-interfax.ru/system/home/card#/company/D47959BB601447C5BE7F4BAA82F2D3A1/101"/><Relationship Id="rId9835" Type="http://schemas.openxmlformats.org/officeDocument/2006/relationships/hyperlink" TargetMode="External" Target="https://spark-interfax.ru/system/home/card#/company/53F9613E2BDF4283910DFD5297339F4C/101"/><Relationship Id="rId9836" Type="http://schemas.openxmlformats.org/officeDocument/2006/relationships/hyperlink" TargetMode="External" Target="https://spark-interfax.ru/system/home/card#/company/066A5AA5510045019642B3C1B5A89086/101"/><Relationship Id="rId9837" Type="http://schemas.openxmlformats.org/officeDocument/2006/relationships/hyperlink" TargetMode="External" Target="https://spark-interfax.ru/system/home/card#/company/5B1FA26A19C24D5A8027770A6664C4E1/101"/><Relationship Id="rId9838" Type="http://schemas.openxmlformats.org/officeDocument/2006/relationships/hyperlink" TargetMode="External" Target="https://spark-interfax.ru/system/home/card#/company/3E4339E0B7234F3D950A02C922278774/101"/><Relationship Id="rId9839" Type="http://schemas.openxmlformats.org/officeDocument/2006/relationships/hyperlink" TargetMode="External" Target="https://spark-interfax.ru/system/home/card#/company/955B891972CD4DF883A66627150E9574/101"/><Relationship Id="rId9840" Type="http://schemas.openxmlformats.org/officeDocument/2006/relationships/hyperlink" TargetMode="External" Target="https://spark-interfax.ru/system/home/card#/company/F3095D98F4334BA7BC770EEC22374DE9/101"/><Relationship Id="rId9841" Type="http://schemas.openxmlformats.org/officeDocument/2006/relationships/hyperlink" TargetMode="External" Target="https://spark-interfax.ru/system/home/card#/company/69D64DB833824F2A9F94DF3846F77AD5/101"/><Relationship Id="rId9842" Type="http://schemas.openxmlformats.org/officeDocument/2006/relationships/hyperlink" TargetMode="External" Target="https://spark-interfax.ru/system/home/card#/company/4D0ACF7B77E242D9B4DDD12B1DF0F7BC/101"/><Relationship Id="rId9843" Type="http://schemas.openxmlformats.org/officeDocument/2006/relationships/hyperlink" TargetMode="External" Target="https://spark-interfax.ru/system/home/card#/company/7E2E27D371273F85E0531B9AA8C018FE/101"/><Relationship Id="rId9844" Type="http://schemas.openxmlformats.org/officeDocument/2006/relationships/hyperlink" TargetMode="External" Target="https://spark-interfax.ru/system/home/card#/company/51193155976F4036B2B1A2F6DD58492E/101"/><Relationship Id="rId9845" Type="http://schemas.openxmlformats.org/officeDocument/2006/relationships/hyperlink" TargetMode="External" Target="https://spark-interfax.ru/system/home/card#/company/95264C85EA8C4F7B88845998C422B708/101"/><Relationship Id="rId9846" Type="http://schemas.openxmlformats.org/officeDocument/2006/relationships/hyperlink" TargetMode="External" Target="https://spark-interfax.ru/system/home/card#/company/9E333E9E423140848483A47A1A4C0EBA/101"/><Relationship Id="rId9847" Type="http://schemas.openxmlformats.org/officeDocument/2006/relationships/hyperlink" TargetMode="External" Target="https://spark-interfax.ru/system/home/card#/company/CF19AE80E7764EA09AA0C19E6EE35E46/101"/><Relationship Id="rId9848" Type="http://schemas.openxmlformats.org/officeDocument/2006/relationships/hyperlink" TargetMode="External" Target="https://spark-interfax.ru/system/home/card#/company/4B062914A7EF4995A65366CDFF1C200D/101"/><Relationship Id="rId9849" Type="http://schemas.openxmlformats.org/officeDocument/2006/relationships/hyperlink" TargetMode="External" Target="https://spark-interfax.ru/system/home/card#/company/C2250A52B21C44CAA1DBF1356D32DCF3/101"/><Relationship Id="rId9850" Type="http://schemas.openxmlformats.org/officeDocument/2006/relationships/hyperlink" TargetMode="External" Target="https://spark-interfax.ru/system/home/card#/company/50A7F7FA0C6E4FEBBC2CC6E97C736FD4/101"/><Relationship Id="rId9851" Type="http://schemas.openxmlformats.org/officeDocument/2006/relationships/hyperlink" TargetMode="External" Target="https://spark-interfax.ru/system/home/card#/company/14BD355BE84345FE8959C39D75112F81/101"/><Relationship Id="rId9852" Type="http://schemas.openxmlformats.org/officeDocument/2006/relationships/hyperlink" TargetMode="External" Target="https://spark-interfax.ru/system/home/card#/company/C520E93D28C4419AA5C882FEDBF17C6D/101"/><Relationship Id="rId9853" Type="http://schemas.openxmlformats.org/officeDocument/2006/relationships/hyperlink" TargetMode="External" Target="https://spark-interfax.ru/system/home/card#/company/F80E47CD85274C9AB7B28AD97344FC67/101"/><Relationship Id="rId9854" Type="http://schemas.openxmlformats.org/officeDocument/2006/relationships/hyperlink" TargetMode="External" Target="https://spark-interfax.ru/system/home/card#/company/E1EDF015FF1243F985C6F902DF498977/101"/><Relationship Id="rId9855" Type="http://schemas.openxmlformats.org/officeDocument/2006/relationships/hyperlink" TargetMode="External" Target="https://spark-interfax.ru/system/home/card#/company/8B0EF6C32ADC4F8D8FBB7AB7D4B572FA/101"/><Relationship Id="rId9856" Type="http://schemas.openxmlformats.org/officeDocument/2006/relationships/hyperlink" TargetMode="External" Target="https://spark-interfax.ru/system/home/card#/company/E65F57D2A793420AAD525EC0C7292F1C/101"/><Relationship Id="rId9857" Type="http://schemas.openxmlformats.org/officeDocument/2006/relationships/hyperlink" TargetMode="External" Target="https://spark-interfax.ru/system/home/card#/company/A17F40060AAE4464B6CDFBB0469D4342/101"/><Relationship Id="rId9858" Type="http://schemas.openxmlformats.org/officeDocument/2006/relationships/hyperlink" TargetMode="External" Target="https://spark-interfax.ru/system/home/card#/company/DD74BB42BF194BF8A943DC5BC8CFDC1E/101"/><Relationship Id="rId9859" Type="http://schemas.openxmlformats.org/officeDocument/2006/relationships/hyperlink" TargetMode="External" Target="https://spark-interfax.ru/system/home/card#/company/D4538AEB8E454036A42E83010BA30424/101"/><Relationship Id="rId9860" Type="http://schemas.openxmlformats.org/officeDocument/2006/relationships/hyperlink" TargetMode="External" Target="https://spark-interfax.ru/system/home/card#/company/CEF007191FE6437CBE321E700EF0ABF9/101"/><Relationship Id="rId9861" Type="http://schemas.openxmlformats.org/officeDocument/2006/relationships/hyperlink" TargetMode="External" Target="https://spark-interfax.ru/system/home/card#/company/69563F62597B44B2B8402C4F832D8A67/101"/><Relationship Id="rId9862" Type="http://schemas.openxmlformats.org/officeDocument/2006/relationships/hyperlink" TargetMode="External" Target="https://spark-interfax.ru/system/home/card#/company/D7BAD97B553049C9A7F608A746684061/101"/><Relationship Id="rId9863" Type="http://schemas.openxmlformats.org/officeDocument/2006/relationships/hyperlink" TargetMode="External" Target="https://spark-interfax.ru/system/home/card#/company/2C5A5BB455C8466E9C6368C1E06A2EAB/101"/><Relationship Id="rId9864" Type="http://schemas.openxmlformats.org/officeDocument/2006/relationships/hyperlink" TargetMode="External" Target="https://spark-interfax.ru/system/home/card#/company/80A0B978040C489E889C3F214FDE026A/101"/><Relationship Id="rId9865" Type="http://schemas.openxmlformats.org/officeDocument/2006/relationships/hyperlink" TargetMode="External" Target="https://spark-interfax.ru/system/home/card#/company/2CA850087A6747E0B8B8FEBB8C859A7A/101"/><Relationship Id="rId9866" Type="http://schemas.openxmlformats.org/officeDocument/2006/relationships/hyperlink" TargetMode="External" Target="https://spark-interfax.ru/system/home/card#/company/BE7437C62C764E809A719C65402C617C/101"/><Relationship Id="rId9867" Type="http://schemas.openxmlformats.org/officeDocument/2006/relationships/hyperlink" TargetMode="External" Target="https://spark-interfax.ru/system/home/card#/company/399A97DFA6194EDF88431BDEBCD2ABE6/101"/><Relationship Id="rId9868" Type="http://schemas.openxmlformats.org/officeDocument/2006/relationships/hyperlink" TargetMode="External" Target="https://spark-interfax.ru/system/home/card#/company/2E49164C0E7B4B5A86ED1EB13A5D95D6/101"/><Relationship Id="rId9869" Type="http://schemas.openxmlformats.org/officeDocument/2006/relationships/hyperlink" TargetMode="External" Target="https://spark-interfax.ru/system/home/card#/company/3CFAD968A9D24A11AFC903A8FF97A6DC/101"/><Relationship Id="rId9870" Type="http://schemas.openxmlformats.org/officeDocument/2006/relationships/hyperlink" TargetMode="External" Target="https://spark-interfax.ru/system/home/card#/company/3EF3418A4AB64CC4ACA249499355E8DC/101"/><Relationship Id="rId9871" Type="http://schemas.openxmlformats.org/officeDocument/2006/relationships/hyperlink" TargetMode="External" Target="https://spark-interfax.ru/system/home/card#/company/EC397925D592448EBEBD6A2E455C3641/101"/><Relationship Id="rId9872" Type="http://schemas.openxmlformats.org/officeDocument/2006/relationships/hyperlink" TargetMode="External" Target="https://spark-interfax.ru/system/home/card#/company/CE80216EFF344BA597A99535B5D7E984/101"/><Relationship Id="rId9873" Type="http://schemas.openxmlformats.org/officeDocument/2006/relationships/hyperlink" TargetMode="External" Target="https://spark-interfax.ru/system/home/card#/company/1B1320BD861E493FA040AE4C3F2DCD7F/101"/><Relationship Id="rId9874" Type="http://schemas.openxmlformats.org/officeDocument/2006/relationships/hyperlink" TargetMode="External" Target="https://spark-interfax.ru/system/home/card#/company/195C5057A3C44930BC404190B66DDC26/101"/><Relationship Id="rId9875" Type="http://schemas.openxmlformats.org/officeDocument/2006/relationships/hyperlink" TargetMode="External" Target="https://spark-interfax.ru/system/home/card#/company/658DB543B5044A3CA9C4F0AEC1A55225/101"/><Relationship Id="rId9876" Type="http://schemas.openxmlformats.org/officeDocument/2006/relationships/hyperlink" TargetMode="External" Target="https://spark-interfax.ru/system/home/card#/company/894C263FAE074E15A9C030CA4D4235A7/101"/><Relationship Id="rId9877" Type="http://schemas.openxmlformats.org/officeDocument/2006/relationships/hyperlink" TargetMode="External" Target="https://spark-interfax.ru/system/home/card#/company/82F3F566DBBA4178A4C5FA8582F7DD6D/101"/><Relationship Id="rId9878" Type="http://schemas.openxmlformats.org/officeDocument/2006/relationships/hyperlink" TargetMode="External" Target="https://spark-interfax.ru/system/home/card#/company/0AD9A5D3680B4389863EC9E87BDD9A82/101"/><Relationship Id="rId9879" Type="http://schemas.openxmlformats.org/officeDocument/2006/relationships/hyperlink" TargetMode="External" Target="https://spark-interfax.ru/system/home/card#/company/E164AE590EC7401D9A3F423A104B211A/101"/><Relationship Id="rId9880" Type="http://schemas.openxmlformats.org/officeDocument/2006/relationships/hyperlink" TargetMode="External" Target="https://spark-interfax.ru/system/home/card#/company/5C396DA54CBD4A8AA65F366BC41BF5CF/101"/><Relationship Id="rId9881" Type="http://schemas.openxmlformats.org/officeDocument/2006/relationships/hyperlink" TargetMode="External" Target="https://spark-interfax.ru/system/home/card#/company/D9CD6E8A32F445C59EF5C2F74C371F3D/101"/><Relationship Id="rId9882" Type="http://schemas.openxmlformats.org/officeDocument/2006/relationships/hyperlink" TargetMode="External" Target="https://spark-interfax.ru/system/home/card#/company/9C087998C9004034856E100F83EE3C64/101"/><Relationship Id="rId9883" Type="http://schemas.openxmlformats.org/officeDocument/2006/relationships/hyperlink" TargetMode="External" Target="https://spark-interfax.ru/system/home/card#/company/2368CF2EECE2498D8E528D43F2C84F24/101"/><Relationship Id="rId9884" Type="http://schemas.openxmlformats.org/officeDocument/2006/relationships/hyperlink" TargetMode="External" Target="https://spark-interfax.ru/system/home/card#/company/19E3482CFFBF497781BB0B3743BBA82D/101"/><Relationship Id="rId9885" Type="http://schemas.openxmlformats.org/officeDocument/2006/relationships/hyperlink" TargetMode="External" Target="https://spark-interfax.ru/system/home/card#/company/3C3EEB142D5341E0A91BACF2BE17AB0A/101"/><Relationship Id="rId9886" Type="http://schemas.openxmlformats.org/officeDocument/2006/relationships/hyperlink" TargetMode="External" Target="https://spark-interfax.ru/system/home/card#/company/814B6064A2A54AECA5461ABBE981C5B9/101"/><Relationship Id="rId9887" Type="http://schemas.openxmlformats.org/officeDocument/2006/relationships/hyperlink" TargetMode="External" Target="https://spark-interfax.ru/system/home/card#/company/66D886A92BF88687E0531B9AA8C05A1A/101"/><Relationship Id="rId9888" Type="http://schemas.openxmlformats.org/officeDocument/2006/relationships/hyperlink" TargetMode="External" Target="https://spark-interfax.ru/system/home/card#/company/B267D5282CDA49EFA9A358BCCDC8D35B/101"/><Relationship Id="rId9889" Type="http://schemas.openxmlformats.org/officeDocument/2006/relationships/hyperlink" TargetMode="External" Target="https://spark-interfax.ru/system/home/card#/company/51848C0ED244453BBC79740484F0BBE6/101"/><Relationship Id="rId9890" Type="http://schemas.openxmlformats.org/officeDocument/2006/relationships/hyperlink" TargetMode="External" Target="https://spark-interfax.ru/system/home/card#/company/8CB9F2E4092B634CE0531C9AA8C008D9/101"/><Relationship Id="rId9891" Type="http://schemas.openxmlformats.org/officeDocument/2006/relationships/hyperlink" TargetMode="External" Target="https://spark-interfax.ru/system/home/card#/company/41F4E393DF5642EAB02916F06BCFDD57/101"/><Relationship Id="rId9892" Type="http://schemas.openxmlformats.org/officeDocument/2006/relationships/hyperlink" TargetMode="External" Target="https://spark-interfax.ru/system/home/card#/company/15DCBD42252245A8BC898379512B1937/101"/><Relationship Id="rId9893" Type="http://schemas.openxmlformats.org/officeDocument/2006/relationships/hyperlink" TargetMode="External" Target="https://spark-interfax.ru/system/home/card#/company/A036EBA69AAA4AB8BDD668ADEB46294E/101"/><Relationship Id="rId9894" Type="http://schemas.openxmlformats.org/officeDocument/2006/relationships/hyperlink" TargetMode="External" Target="https://spark-interfax.ru/system/home/card#/company/228F141C8292488FA0C0B920340AD1AF/101"/><Relationship Id="rId9895" Type="http://schemas.openxmlformats.org/officeDocument/2006/relationships/hyperlink" TargetMode="External" Target="https://spark-interfax.ru/system/home/card#/company/971D02DBECC64E76BE32248108A7AD5C/101"/><Relationship Id="rId9896" Type="http://schemas.openxmlformats.org/officeDocument/2006/relationships/hyperlink" TargetMode="External" Target="https://spark-interfax.ru/system/home/card#/company/827EB68E83664044B30CA1E9489E6540/101"/><Relationship Id="rId9897" Type="http://schemas.openxmlformats.org/officeDocument/2006/relationships/hyperlink" TargetMode="External" Target="https://spark-interfax.ru/system/home/card#/company/B15B53C3C6A44BB0A26287347FF48803/101"/><Relationship Id="rId9898" Type="http://schemas.openxmlformats.org/officeDocument/2006/relationships/hyperlink" TargetMode="External" Target="https://spark-interfax.ru/system/home/card#/company/54A142111EAE43CDBE25F8C8D80D82F5/101"/><Relationship Id="rId9899" Type="http://schemas.openxmlformats.org/officeDocument/2006/relationships/hyperlink" TargetMode="External" Target="https://spark-interfax.ru/system/home/card#/company/B411B0E72FBF4D8788E319AA8C0F0BED/101"/><Relationship Id="rId9900" Type="http://schemas.openxmlformats.org/officeDocument/2006/relationships/hyperlink" TargetMode="External" Target="https://spark-interfax.ru/system/home/card#/company/D816378BA68843D192027E4FE813B6BC/101"/><Relationship Id="rId9901" Type="http://schemas.openxmlformats.org/officeDocument/2006/relationships/hyperlink" TargetMode="External" Target="https://spark-interfax.ru/system/home/card#/company/A15242FC26514D01AC73B7676CE43246/101"/><Relationship Id="rId9902" Type="http://schemas.openxmlformats.org/officeDocument/2006/relationships/hyperlink" TargetMode="External" Target="https://spark-interfax.ru/system/home/card#/company/7AA329DB37EE4ECD9AE827F326FF2573/101"/><Relationship Id="rId9903" Type="http://schemas.openxmlformats.org/officeDocument/2006/relationships/hyperlink" TargetMode="External" Target="https://spark-interfax.ru/system/home/card#/company/A375E4F268464752899AEB5C97BEF91D/101"/><Relationship Id="rId9904" Type="http://schemas.openxmlformats.org/officeDocument/2006/relationships/hyperlink" TargetMode="External" Target="https://spark-interfax.ru/system/home/card#/company/FC899559738C46899B9A157F292AE672/101"/><Relationship Id="rId9905" Type="http://schemas.openxmlformats.org/officeDocument/2006/relationships/hyperlink" TargetMode="External" Target="https://spark-interfax.ru/system/home/card#/company/AB109B4CC2974FEFB3DE2AE0BE75FB7B/101"/><Relationship Id="rId9906" Type="http://schemas.openxmlformats.org/officeDocument/2006/relationships/hyperlink" TargetMode="External" Target="https://spark-interfax.ru/system/home/card#/company/789759410A1D405CBD374A14EF7AB348/101"/><Relationship Id="rId9907" Type="http://schemas.openxmlformats.org/officeDocument/2006/relationships/hyperlink" TargetMode="External" Target="https://spark-interfax.ru/system/home/card#/company/90AE142BA20A4A088B34FFEBBB510129/101"/><Relationship Id="rId9908" Type="http://schemas.openxmlformats.org/officeDocument/2006/relationships/hyperlink" TargetMode="External" Target="https://spark-interfax.ru/system/home/card#/company/76B7918A5DD87B79E0531B9AA8C0D22F/101"/><Relationship Id="rId9909" Type="http://schemas.openxmlformats.org/officeDocument/2006/relationships/hyperlink" TargetMode="External" Target="https://spark-interfax.ru/system/home/card#/company/C3D01118EA374CAC8D86D97B4F2A29F0/101"/><Relationship Id="rId9910" Type="http://schemas.openxmlformats.org/officeDocument/2006/relationships/hyperlink" TargetMode="External" Target="https://spark-interfax.ru/system/home/card#/company/1856176C13524FE4A1922BA418C6C781/101"/><Relationship Id="rId9911" Type="http://schemas.openxmlformats.org/officeDocument/2006/relationships/hyperlink" TargetMode="External" Target="https://spark-interfax.ru/system/home/card#/company/C4DDA446ED4E4C1E8C1C8B562FC89813/101"/><Relationship Id="rId9912" Type="http://schemas.openxmlformats.org/officeDocument/2006/relationships/hyperlink" TargetMode="External" Target="https://spark-interfax.ru/system/home/card#/company/DA64D2A1F8BC4F52967224DA7EB65A21/101"/><Relationship Id="rId9913" Type="http://schemas.openxmlformats.org/officeDocument/2006/relationships/hyperlink" TargetMode="External" Target="https://spark-interfax.ru/system/home/card#/company/1634E3BD05EB4E2091B21895E39422A0/101"/><Relationship Id="rId9914" Type="http://schemas.openxmlformats.org/officeDocument/2006/relationships/hyperlink" TargetMode="External" Target="https://spark-interfax.ru/system/home/card#/company/06CB7D1E8F844C838F3026578A2BF1F1/101"/><Relationship Id="rId9915" Type="http://schemas.openxmlformats.org/officeDocument/2006/relationships/hyperlink" TargetMode="External" Target="https://spark-interfax.ru/system/home/card#/company/CDEE37D319374E9DA9F23ED77FAC6F03/101"/><Relationship Id="rId9916" Type="http://schemas.openxmlformats.org/officeDocument/2006/relationships/hyperlink" TargetMode="External" Target="https://spark-interfax.ru/system/home/card#/company/4E1C06C125D449CC859992455B2CB79E/101"/><Relationship Id="rId9917" Type="http://schemas.openxmlformats.org/officeDocument/2006/relationships/hyperlink" TargetMode="External" Target="https://spark-interfax.ru/system/home/card#/company/4DD6F64BA18340DAAD5EFE41565E4F66/101"/><Relationship Id="rId9918" Type="http://schemas.openxmlformats.org/officeDocument/2006/relationships/hyperlink" TargetMode="External" Target="https://spark-interfax.ru/system/home/card#/company/6DFE4DC41EEC45DE955F1ACA272D31D8/101"/><Relationship Id="rId9919" Type="http://schemas.openxmlformats.org/officeDocument/2006/relationships/hyperlink" TargetMode="External" Target="https://spark-interfax.ru/system/home/card#/company/4C61EFA99EAA42A39147CC9351971DA0/101"/><Relationship Id="rId9920" Type="http://schemas.openxmlformats.org/officeDocument/2006/relationships/hyperlink" TargetMode="External" Target="https://spark-interfax.ru/system/home/card#/company/45DE802ADA90472C923AE7B7FB86AE39/101"/><Relationship Id="rId9921" Type="http://schemas.openxmlformats.org/officeDocument/2006/relationships/hyperlink" TargetMode="External" Target="https://spark-interfax.ru/system/home/card#/company/73F6A386F7824CE78B009CC9FAF801FF/101"/><Relationship Id="rId9922" Type="http://schemas.openxmlformats.org/officeDocument/2006/relationships/hyperlink" TargetMode="External" Target="https://spark-interfax.ru/system/home/card#/company/10B72B62933D437288B246D525495A51/101"/><Relationship Id="rId9923" Type="http://schemas.openxmlformats.org/officeDocument/2006/relationships/hyperlink" TargetMode="External" Target="https://spark-interfax.ru/system/home/card#/company/555CE8EBC3BD46B9A6BDEDF45AC7A968/101"/><Relationship Id="rId9924" Type="http://schemas.openxmlformats.org/officeDocument/2006/relationships/hyperlink" TargetMode="External" Target="https://spark-interfax.ru/system/home/card#/company/F086B468E74344B98D298A59E9C2FBDB/101"/><Relationship Id="rId9925" Type="http://schemas.openxmlformats.org/officeDocument/2006/relationships/hyperlink" TargetMode="External" Target="https://spark-interfax.ru/system/home/card#/company/52AB5E0868E0432B94A994C4CA6E81CD/101"/><Relationship Id="rId9926" Type="http://schemas.openxmlformats.org/officeDocument/2006/relationships/hyperlink" TargetMode="External" Target="https://spark-interfax.ru/system/home/card#/company/D76216186E2A41F388DADB4D0C3D4CC2/101"/><Relationship Id="rId9927" Type="http://schemas.openxmlformats.org/officeDocument/2006/relationships/hyperlink" TargetMode="External" Target="https://spark-interfax.ru/system/home/card#/company/491B17CEE85D4BE484102121C0B94D81/101"/><Relationship Id="rId9928" Type="http://schemas.openxmlformats.org/officeDocument/2006/relationships/hyperlink" TargetMode="External" Target="https://spark-interfax.ru/system/home/card#/company/3DBA4C3983784D12A32156415F1FED59/101"/><Relationship Id="rId9929" Type="http://schemas.openxmlformats.org/officeDocument/2006/relationships/hyperlink" TargetMode="External" Target="https://spark-interfax.ru/system/home/card#/company/F549001A431540E7BC3EE256C67ABC3E/101"/><Relationship Id="rId9930" Type="http://schemas.openxmlformats.org/officeDocument/2006/relationships/hyperlink" TargetMode="External" Target="https://spark-interfax.ru/system/home/card#/company/02698B6D1972418CB05A5FF64BDA7D7A/101"/><Relationship Id="rId9931" Type="http://schemas.openxmlformats.org/officeDocument/2006/relationships/hyperlink" TargetMode="External" Target="https://spark-interfax.ru/system/home/card#/company/057352C6F6FD48EE9A32E2A1CDF6AB52/101"/><Relationship Id="rId9932" Type="http://schemas.openxmlformats.org/officeDocument/2006/relationships/hyperlink" TargetMode="External" Target="https://spark-interfax.ru/system/home/card#/company/D9B3E97E002E4A609AF2B265DC4E08A5/101"/><Relationship Id="rId9933" Type="http://schemas.openxmlformats.org/officeDocument/2006/relationships/hyperlink" TargetMode="External" Target="https://spark-interfax.ru/system/home/card#/company/27BA403648144A169E291F96A2D12335/101"/><Relationship Id="rId9934" Type="http://schemas.openxmlformats.org/officeDocument/2006/relationships/hyperlink" TargetMode="External" Target="https://spark-interfax.ru/system/home/card#/company/A3A0DDA8B1C1496E9A9D1662637FB862/101"/><Relationship Id="rId9935" Type="http://schemas.openxmlformats.org/officeDocument/2006/relationships/hyperlink" TargetMode="External" Target="https://spark-interfax.ru/system/home/card#/company/8AF954A5CE3F4E67B3A9EA31D46E9B70/101"/><Relationship Id="rId9936" Type="http://schemas.openxmlformats.org/officeDocument/2006/relationships/hyperlink" TargetMode="External" Target="https://spark-interfax.ru/system/home/card#/company/7A1861B227AF6014E0531F9AA8C0AFF4/101"/><Relationship Id="rId9937" Type="http://schemas.openxmlformats.org/officeDocument/2006/relationships/hyperlink" TargetMode="External" Target="https://spark-interfax.ru/system/home/card#/company/969DC82A2B874B7EA2279BCC2AB5E17B/101"/><Relationship Id="rId9938" Type="http://schemas.openxmlformats.org/officeDocument/2006/relationships/hyperlink" TargetMode="External" Target="https://spark-interfax.ru/system/home/card#/company/1F649AB545C24B82B79ED48314ECB0C0/101"/><Relationship Id="rId9939" Type="http://schemas.openxmlformats.org/officeDocument/2006/relationships/hyperlink" TargetMode="External" Target="https://spark-interfax.ru/system/home/card#/company/5F25697D334479AAE0531B9AA8C03E9B/101"/><Relationship Id="rId9940" Type="http://schemas.openxmlformats.org/officeDocument/2006/relationships/hyperlink" TargetMode="External" Target="https://spark-interfax.ru/system/home/card#/company/8C09B8488DC84DB29AB2464046D92AAF/101"/><Relationship Id="rId9941" Type="http://schemas.openxmlformats.org/officeDocument/2006/relationships/hyperlink" TargetMode="External" Target="https://spark-interfax.ru/system/home/card#/company/02B54EFBC43F439AAF27ACF9A2EA7CFE/101"/><Relationship Id="rId9942" Type="http://schemas.openxmlformats.org/officeDocument/2006/relationships/hyperlink" TargetMode="External" Target="https://spark-interfax.ru/system/home/card#/company/DFE9B0FD8D96434BA81AD27A6611D6CC/101"/><Relationship Id="rId9943" Type="http://schemas.openxmlformats.org/officeDocument/2006/relationships/hyperlink" TargetMode="External" Target="https://spark-interfax.ru/system/home/card#/company/DE9017FCEBA541548B7D65FB47CB4A75/101"/><Relationship Id="rId9944" Type="http://schemas.openxmlformats.org/officeDocument/2006/relationships/hyperlink" TargetMode="External" Target="https://spark-interfax.ru/system/home/card#/company/78EB27790A9CAE3FE0531F9AA8C0464B/101"/><Relationship Id="rId9945" Type="http://schemas.openxmlformats.org/officeDocument/2006/relationships/hyperlink" TargetMode="External" Target="https://spark-interfax.ru/system/home/card#/company/1E0F15F46420432A97813186F1B41B61/101"/><Relationship Id="rId9946" Type="http://schemas.openxmlformats.org/officeDocument/2006/relationships/hyperlink" TargetMode="External" Target="https://spark-interfax.ru/system/home/card#/company/9FAF1B936E4347E68221910CD0F8593B/101"/><Relationship Id="rId9947" Type="http://schemas.openxmlformats.org/officeDocument/2006/relationships/hyperlink" TargetMode="External" Target="https://spark-interfax.ru/system/home/card#/company/2DEB8237AB074A4E8FE608131005830E/101"/><Relationship Id="rId9948" Type="http://schemas.openxmlformats.org/officeDocument/2006/relationships/hyperlink" TargetMode="External" Target="https://spark-interfax.ru/system/home/card#/company/7C874110178344D28A13696F93A2CA92/101"/><Relationship Id="rId9949" Type="http://schemas.openxmlformats.org/officeDocument/2006/relationships/hyperlink" TargetMode="External" Target="https://spark-interfax.ru/system/home/card#/company/F2234BAEA4BD4C33A294131778D31C61/101"/><Relationship Id="rId9950" Type="http://schemas.openxmlformats.org/officeDocument/2006/relationships/hyperlink" TargetMode="External" Target="https://spark-interfax.ru/system/home/card#/company/A8A48F2983D44BF9B845AA8383193050/101"/><Relationship Id="rId9951" Type="http://schemas.openxmlformats.org/officeDocument/2006/relationships/hyperlink" TargetMode="External" Target="https://spark-interfax.ru/system/home/card#/company/738F3678BA504A7799EF8230EE7B4891/101"/><Relationship Id="rId9952" Type="http://schemas.openxmlformats.org/officeDocument/2006/relationships/hyperlink" TargetMode="External" Target="https://spark-interfax.ru/system/home/card#/company/FFC74554DC7F4AA0B2D0329B0A2089B7/101"/><Relationship Id="rId9953" Type="http://schemas.openxmlformats.org/officeDocument/2006/relationships/hyperlink" TargetMode="External" Target="https://spark-interfax.ru/system/home/card#/company/FBD2F9B612434FC0BD9FD23BE3FF49E7/101"/><Relationship Id="rId9954" Type="http://schemas.openxmlformats.org/officeDocument/2006/relationships/hyperlink" TargetMode="External" Target="https://spark-interfax.ru/system/home/card#/company/B4768273322240858DD7B2B13F8DD31E/101"/><Relationship Id="rId9955" Type="http://schemas.openxmlformats.org/officeDocument/2006/relationships/hyperlink" TargetMode="External" Target="https://spark-interfax.ru/system/home/card#/company/E294CC4E215C4C7D852E69F6729411DB/101"/><Relationship Id="rId9956" Type="http://schemas.openxmlformats.org/officeDocument/2006/relationships/hyperlink" TargetMode="External" Target="https://spark-interfax.ru/system/home/card#/company/E87BAB8064CD48249B1A0268C19FFE48/101"/><Relationship Id="rId9957" Type="http://schemas.openxmlformats.org/officeDocument/2006/relationships/hyperlink" TargetMode="External" Target="https://spark-interfax.ru/system/home/card#/company/0C3911DF7ED144419EF230A1920E1448/101"/><Relationship Id="rId9958" Type="http://schemas.openxmlformats.org/officeDocument/2006/relationships/hyperlink" TargetMode="External" Target="https://spark-interfax.ru/system/home/card#/company/AC25B5853A494FB98E968E57232C1C89/101"/><Relationship Id="rId9959" Type="http://schemas.openxmlformats.org/officeDocument/2006/relationships/hyperlink" TargetMode="External" Target="https://spark-interfax.ru/system/home/card#/company/0B583A5AED7E4AC9ADE0A58461367F63/101"/><Relationship Id="rId9960" Type="http://schemas.openxmlformats.org/officeDocument/2006/relationships/hyperlink" TargetMode="External" Target="https://spark-interfax.ru/system/home/card#/company/7092327F25D549C69CAE6D2D445BE0C1/101"/><Relationship Id="rId9961" Type="http://schemas.openxmlformats.org/officeDocument/2006/relationships/hyperlink" TargetMode="External" Target="https://spark-interfax.ru/system/home/card#/company/A3457B19EF044C7C828FB83FF84B8913/101"/><Relationship Id="rId9962" Type="http://schemas.openxmlformats.org/officeDocument/2006/relationships/hyperlink" TargetMode="External" Target="https://spark-interfax.ru/system/home/card#/company/547CB8C5E85A4353A5CE644DEAA6336C/101"/><Relationship Id="rId9963" Type="http://schemas.openxmlformats.org/officeDocument/2006/relationships/hyperlink" TargetMode="External" Target="https://spark-interfax.ru/system/home/card#/company/D774B03CEA644352A2E97FC0B0348008/101"/><Relationship Id="rId9964" Type="http://schemas.openxmlformats.org/officeDocument/2006/relationships/hyperlink" TargetMode="External" Target="https://spark-interfax.ru/system/home/card#/company/81D264099E6C464FA4CCDD0368D025E5/101"/><Relationship Id="rId9965" Type="http://schemas.openxmlformats.org/officeDocument/2006/relationships/hyperlink" TargetMode="External" Target="https://spark-interfax.ru/system/home/card#/company/F4BBB6B059B5476FA6AA5AE708B384E1/101"/><Relationship Id="rId9966" Type="http://schemas.openxmlformats.org/officeDocument/2006/relationships/hyperlink" TargetMode="External" Target="https://spark-interfax.ru/system/home/card#/company/24399A76AD584A0EBB6A34315B69F25A/101"/><Relationship Id="rId9967" Type="http://schemas.openxmlformats.org/officeDocument/2006/relationships/hyperlink" TargetMode="External" Target="https://spark-interfax.ru/system/home/card#/company/6404ADB9B0030715E0531B9AA8C003B2/101"/><Relationship Id="rId9968" Type="http://schemas.openxmlformats.org/officeDocument/2006/relationships/hyperlink" TargetMode="External" Target="https://spark-interfax.ru/system/home/card#/company/13E0D2D467C4468F928369AF5281B725/101"/><Relationship Id="rId9969" Type="http://schemas.openxmlformats.org/officeDocument/2006/relationships/hyperlink" TargetMode="External" Target="https://spark-interfax.ru/system/home/card#/company/804DC5721A8E4A4499373C66CF992C76/101"/><Relationship Id="rId9970" Type="http://schemas.openxmlformats.org/officeDocument/2006/relationships/hyperlink" TargetMode="External" Target="https://spark-interfax.ru/system/home/card#/company/53285B5E64A84010AD4B7F62ECB036D5/101"/><Relationship Id="rId9971" Type="http://schemas.openxmlformats.org/officeDocument/2006/relationships/hyperlink" TargetMode="External" Target="https://spark-interfax.ru/system/home/card#/company/FDD590C7B21649BEA279DF79D8D11E2A/101"/><Relationship Id="rId9972" Type="http://schemas.openxmlformats.org/officeDocument/2006/relationships/hyperlink" TargetMode="External" Target="https://spark-interfax.ru/system/home/card#/company/85E10697AD5F41E89B7EE1F9DC274972/101"/><Relationship Id="rId9973" Type="http://schemas.openxmlformats.org/officeDocument/2006/relationships/hyperlink" TargetMode="External" Target="https://spark-interfax.ru/system/home/card#/company/481671760EDA4E8D90D5D1084205B7F0/101"/><Relationship Id="rId9974" Type="http://schemas.openxmlformats.org/officeDocument/2006/relationships/hyperlink" TargetMode="External" Target="https://spark-interfax.ru/system/home/card#/company/9FDAC075844E41779F23169F44358929/101"/><Relationship Id="rId9975" Type="http://schemas.openxmlformats.org/officeDocument/2006/relationships/hyperlink" TargetMode="External" Target="https://spark-interfax.ru/system/home/card#/company/1C423B705D6E4805BFA6EF6622689951/101"/><Relationship Id="rId9976" Type="http://schemas.openxmlformats.org/officeDocument/2006/relationships/hyperlink" TargetMode="External" Target="https://spark-interfax.ru/system/home/card#/company/3010CCE7B7B147759DC88B23A4E5F2D9/101"/><Relationship Id="rId9977" Type="http://schemas.openxmlformats.org/officeDocument/2006/relationships/hyperlink" TargetMode="External" Target="https://spark-interfax.ru/system/home/card#/company/92D1FAB20945484483E9A38F7ACB05F2/101"/><Relationship Id="rId9978" Type="http://schemas.openxmlformats.org/officeDocument/2006/relationships/hyperlink" TargetMode="External" Target="https://spark-interfax.ru/system/home/card#/company/F89AB7579F25411AAA772F4F28F0E861/101"/><Relationship Id="rId9979" Type="http://schemas.openxmlformats.org/officeDocument/2006/relationships/hyperlink" TargetMode="External" Target="https://spark-interfax.ru/system/home/card#/company/3D8B9B12F50D412A8BABFCA3C0942077/101"/><Relationship Id="rId9980" Type="http://schemas.openxmlformats.org/officeDocument/2006/relationships/hyperlink" TargetMode="External" Target="https://spark-interfax.ru/system/home/card#/company/C2E0310171C64AA3B307398B48532450/101"/><Relationship Id="rId9981" Type="http://schemas.openxmlformats.org/officeDocument/2006/relationships/hyperlink" TargetMode="External" Target="https://spark-interfax.ru/system/home/card#/company/FCE4A67B2656421FAA787DA3438E153E/101"/><Relationship Id="rId9982" Type="http://schemas.openxmlformats.org/officeDocument/2006/relationships/hyperlink" TargetMode="External" Target="https://spark-interfax.ru/system/home/card#/company/1D22E62B2F39486E9DB3F270A87E87BA/101"/><Relationship Id="rId9983" Type="http://schemas.openxmlformats.org/officeDocument/2006/relationships/hyperlink" TargetMode="External" Target="https://spark-interfax.ru/system/home/card#/company/843B47573E7A5FFAE0531B9AA8C0FBF3/101"/><Relationship Id="rId9984" Type="http://schemas.openxmlformats.org/officeDocument/2006/relationships/hyperlink" TargetMode="External" Target="https://spark-interfax.ru/system/home/card#/company/53C056E9B8234F8A88A13BCEEAE60C18/101"/><Relationship Id="rId9985" Type="http://schemas.openxmlformats.org/officeDocument/2006/relationships/hyperlink" TargetMode="External" Target="https://spark-interfax.ru/system/home/card#/company/939291AC6B824005980C29B964F02D4E/101"/><Relationship Id="rId9986" Type="http://schemas.openxmlformats.org/officeDocument/2006/relationships/hyperlink" TargetMode="External" Target="https://spark-interfax.ru/system/home/card#/company/D93D4B3EA5C644A9BE053A15A6223C31/101"/><Relationship Id="rId9987" Type="http://schemas.openxmlformats.org/officeDocument/2006/relationships/hyperlink" TargetMode="External" Target="https://spark-interfax.ru/system/home/card#/company/C23551643736456388D9D1F07ACB89A0/101"/><Relationship Id="rId9988" Type="http://schemas.openxmlformats.org/officeDocument/2006/relationships/hyperlink" TargetMode="External" Target="https://spark-interfax.ru/system/home/card#/company/7E842095C7D94ED58AEDD3C27E3AFCCF/101"/><Relationship Id="rId9989" Type="http://schemas.openxmlformats.org/officeDocument/2006/relationships/hyperlink" TargetMode="External" Target="https://spark-interfax.ru/system/home/card#/company/1BECCB3006EB4324AB3939EF87F31C47/101"/><Relationship Id="rId9990" Type="http://schemas.openxmlformats.org/officeDocument/2006/relationships/hyperlink" TargetMode="External" Target="https://spark-interfax.ru/system/home/card#/company/08A44036FF6D42BC9B393B55A4453060/101"/><Relationship Id="rId9991" Type="http://schemas.openxmlformats.org/officeDocument/2006/relationships/hyperlink" TargetMode="External" Target="https://spark-interfax.ru/system/home/card#/company/445D00B27F424018AFECFA2BC2AB4EA7/101"/><Relationship Id="rId9992" Type="http://schemas.openxmlformats.org/officeDocument/2006/relationships/hyperlink" TargetMode="External" Target="https://spark-interfax.ru/system/home/card#/company/74EABC9549BC46399C52BA9105B29866/101"/><Relationship Id="rId9993" Type="http://schemas.openxmlformats.org/officeDocument/2006/relationships/hyperlink" TargetMode="External" Target="https://spark-interfax.ru/system/home/card#/company/EC1EB22375CF42ECB7DB388AAFAF1DD7/101"/><Relationship Id="rId9994" Type="http://schemas.openxmlformats.org/officeDocument/2006/relationships/hyperlink" TargetMode="External" Target="https://spark-interfax.ru/system/home/card#/company/5EF277A74B49414AA840965DC7707B5B/101"/><Relationship Id="rId9995" Type="http://schemas.openxmlformats.org/officeDocument/2006/relationships/hyperlink" TargetMode="External" Target="https://spark-interfax.ru/system/home/card#/company/491A8FB3634A4AE795A03E6E2B54E09C/101"/><Relationship Id="rId9996" Type="http://schemas.openxmlformats.org/officeDocument/2006/relationships/hyperlink" TargetMode="External" Target="https://spark-interfax.ru/system/home/card#/company/A8A648D25BDB4856977AA71FFE81F765/101"/><Relationship Id="rId9997" Type="http://schemas.openxmlformats.org/officeDocument/2006/relationships/hyperlink" TargetMode="External" Target="https://spark-interfax.ru/system/home/card#/company/0522D2F5A9E142EA9083ECF5DDFFCC6F/101"/><Relationship Id="rId9998" Type="http://schemas.openxmlformats.org/officeDocument/2006/relationships/hyperlink" TargetMode="External" Target="https://spark-interfax.ru/system/home/card#/company/BCBE4388FC224D53B710B433D277E7AD/101"/><Relationship Id="rId9999" Type="http://schemas.openxmlformats.org/officeDocument/2006/relationships/hyperlink" TargetMode="External" Target="https://spark-interfax.ru/system/home/card#/company/EC42F57C1460462ABCCA4457F0A1565B/101"/><Relationship Id="rId10000" Type="http://schemas.openxmlformats.org/officeDocument/2006/relationships/hyperlink" TargetMode="External" Target="https://spark-interfax.ru/system/home/card#/company/51D5932882AE406DBA402CEF79E8EC75/101"/><Relationship Id="rId10001" Type="http://schemas.openxmlformats.org/officeDocument/2006/relationships/hyperlink" TargetMode="External" Target="https://spark-interfax.ru/system/home/card#/company/4602C11B6DDA4935BC9AA5B2E671357C/101"/><Relationship Id="rId10002" Type="http://schemas.openxmlformats.org/officeDocument/2006/relationships/hyperlink" TargetMode="External" Target="https://spark-interfax.ru/system/home/card#/company/148B67A3A7484FA6B6147ADC40F2EB4F/101"/><Relationship Id="rId10003" Type="http://schemas.openxmlformats.org/officeDocument/2006/relationships/hyperlink" TargetMode="External" Target="https://spark-interfax.ru/system/home/card#/company/836276E1B6694348BFB4385D4A68742F/101"/><Relationship Id="rId10004" Type="http://schemas.openxmlformats.org/officeDocument/2006/relationships/hyperlink" TargetMode="External" Target="https://spark-interfax.ru/system/home/card#/company/E7CA05379BCB459987BB57BA2F6E39DD/101"/><Relationship Id="rId10005" Type="http://schemas.openxmlformats.org/officeDocument/2006/relationships/hyperlink" TargetMode="External" Target="https://spark-interfax.ru/system/home/card#/company/205FD61B003849E7952B384B5BA2464E/101"/><Relationship Id="rId10006" Type="http://schemas.openxmlformats.org/officeDocument/2006/relationships/hyperlink" TargetMode="External" Target="https://spark-interfax.ru/system/home/card#/company/E6709CAFB0A947E197D6663943F01F3E/101"/><Relationship Id="rId10007" Type="http://schemas.openxmlformats.org/officeDocument/2006/relationships/hyperlink" TargetMode="External" Target="https://spark-interfax.ru/system/home/card#/company/548D99EAEF02476AA96AB37D39BDAFC3/101"/><Relationship Id="rId10008" Type="http://schemas.openxmlformats.org/officeDocument/2006/relationships/hyperlink" TargetMode="External" Target="https://spark-interfax.ru/system/home/card#/company/3AA9E79C3BB94648ADD9912EB8077721/101"/><Relationship Id="rId10009" Type="http://schemas.openxmlformats.org/officeDocument/2006/relationships/hyperlink" TargetMode="External" Target="https://spark-interfax.ru/system/home/card#/company/5C571DB54BFB40929F8F7541AAF61D06/101"/><Relationship Id="rId10010" Type="http://schemas.openxmlformats.org/officeDocument/2006/relationships/hyperlink" TargetMode="External" Target="https://spark-interfax.ru/system/home/card#/company/AC4F24223A9B4781941B34A7F89D9009/101"/><Relationship Id="rId10011" Type="http://schemas.openxmlformats.org/officeDocument/2006/relationships/hyperlink" TargetMode="External" Target="https://spark-interfax.ru/system/home/card#/company/E77895281E5442A8B0B163BE000242E0/101"/><Relationship Id="rId10012" Type="http://schemas.openxmlformats.org/officeDocument/2006/relationships/hyperlink" TargetMode="External" Target="https://spark-interfax.ru/system/home/card#/company/D770F15D328448BBB696B7DD8CF70B20/101"/><Relationship Id="rId10013" Type="http://schemas.openxmlformats.org/officeDocument/2006/relationships/hyperlink" TargetMode="External" Target="https://spark-interfax.ru/system/home/card#/company/C4A8D714C8624125A534D8DCE86B19CF/101"/><Relationship Id="rId10014" Type="http://schemas.openxmlformats.org/officeDocument/2006/relationships/hyperlink" TargetMode="External" Target="https://spark-interfax.ru/system/home/card#/company/C0C35860C684459F82E0A1F20777AEF2/101"/><Relationship Id="rId10015" Type="http://schemas.openxmlformats.org/officeDocument/2006/relationships/hyperlink" TargetMode="External" Target="https://spark-interfax.ru/system/home/card#/company/77473EE7EC7D4BFC8C4F7E3066C800A5/101"/><Relationship Id="rId10016" Type="http://schemas.openxmlformats.org/officeDocument/2006/relationships/hyperlink" TargetMode="External" Target="https://spark-interfax.ru/system/home/card#/company/5D525D2FCFBA4183B86326580824F6C4/101"/><Relationship Id="rId10017" Type="http://schemas.openxmlformats.org/officeDocument/2006/relationships/hyperlink" TargetMode="External" Target="https://spark-interfax.ru/system/home/card#/company/EFC4F33CAF33412DA48D313DD5B5815A/101"/><Relationship Id="rId10018" Type="http://schemas.openxmlformats.org/officeDocument/2006/relationships/hyperlink" TargetMode="External" Target="https://spark-interfax.ru/system/home/card#/company/20D7310FD94E4000A098F44FFAEF3793/101"/><Relationship Id="rId10019" Type="http://schemas.openxmlformats.org/officeDocument/2006/relationships/hyperlink" TargetMode="External" Target="https://spark-interfax.ru/system/home/card#/company/CDB59C4192B14920A30C2D897BEC5A44/101"/><Relationship Id="rId10020" Type="http://schemas.openxmlformats.org/officeDocument/2006/relationships/hyperlink" TargetMode="External" Target="https://spark-interfax.ru/system/home/card#/company/4BAFA2ABB0174858BF986DA48FE2EED7/101"/><Relationship Id="rId10021" Type="http://schemas.openxmlformats.org/officeDocument/2006/relationships/hyperlink" TargetMode="External" Target="https://spark-interfax.ru/system/home/card#/company/E4843EF960AF4CA6A0E17B78D34CC36F/101"/><Relationship Id="rId10022" Type="http://schemas.openxmlformats.org/officeDocument/2006/relationships/hyperlink" TargetMode="External" Target="https://spark-interfax.ru/system/home/card#/company/1CD4BC22FBDE4FF5A335D61F23D92C6E/101"/><Relationship Id="rId10023" Type="http://schemas.openxmlformats.org/officeDocument/2006/relationships/hyperlink" TargetMode="External" Target="https://spark-interfax.ru/system/home/card#/company/C3703633E0504E238A1EAA24C4FBE845/101"/><Relationship Id="rId10024" Type="http://schemas.openxmlformats.org/officeDocument/2006/relationships/hyperlink" TargetMode="External" Target="https://spark-interfax.ru/system/home/card#/company/A726E15F47CE4C17B0EC05DAD05CD67A/101"/><Relationship Id="rId10025" Type="http://schemas.openxmlformats.org/officeDocument/2006/relationships/hyperlink" TargetMode="External" Target="https://spark-interfax.ru/system/home/card#/company/47DDA0A6CC244CD2B986C3D4F44F0803/101"/><Relationship Id="rId10026" Type="http://schemas.openxmlformats.org/officeDocument/2006/relationships/hyperlink" TargetMode="External" Target="https://spark-interfax.ru/system/home/card#/company/71C8B16EC33C4B229656ADC8BEC07CC5/101"/><Relationship Id="rId10027" Type="http://schemas.openxmlformats.org/officeDocument/2006/relationships/hyperlink" TargetMode="External" Target="https://spark-interfax.ru/system/home/card#/company/5864FD3475DC46C2AD1422403D3B2EB8/101"/><Relationship Id="rId10028" Type="http://schemas.openxmlformats.org/officeDocument/2006/relationships/hyperlink" TargetMode="External" Target="https://spark-interfax.ru/system/home/card#/company/971EC289FC5D4778B02585D917B4EC25/101"/><Relationship Id="rId10029" Type="http://schemas.openxmlformats.org/officeDocument/2006/relationships/hyperlink" TargetMode="External" Target="https://spark-interfax.ru/system/home/card#/company/FE273B0DC3BC416EA761623D3013766F/101"/><Relationship Id="rId10030" Type="http://schemas.openxmlformats.org/officeDocument/2006/relationships/hyperlink" TargetMode="External" Target="https://spark-interfax.ru/system/home/card#/company/973FCCA43F4F4CE492F4B0647634474B/101"/><Relationship Id="rId10031" Type="http://schemas.openxmlformats.org/officeDocument/2006/relationships/hyperlink" TargetMode="External" Target="https://spark-interfax.ru/system/home/card#/company/3DC825AF32264452A311F69CF420825B/101"/><Relationship Id="rId10032" Type="http://schemas.openxmlformats.org/officeDocument/2006/relationships/hyperlink" TargetMode="External" Target="https://spark-interfax.ru/system/home/card#/company/930E1ED6B6814F79BA8293B38A29E4EB/101"/><Relationship Id="rId10033" Type="http://schemas.openxmlformats.org/officeDocument/2006/relationships/hyperlink" TargetMode="External" Target="https://spark-interfax.ru/system/home/card#/company/6C61BF1E1DE047B28A80F25E5FD759BC/101"/><Relationship Id="rId10034" Type="http://schemas.openxmlformats.org/officeDocument/2006/relationships/hyperlink" TargetMode="External" Target="https://spark-interfax.ru/system/home/card#/company/0E899481AD9D4E97A1CC33BBCEA61B37/101"/><Relationship Id="rId10035" Type="http://schemas.openxmlformats.org/officeDocument/2006/relationships/hyperlink" TargetMode="External" Target="https://spark-interfax.ru/system/home/card#/company/4C71752FB2C0485496932835A2B24181/101"/><Relationship Id="rId10036" Type="http://schemas.openxmlformats.org/officeDocument/2006/relationships/hyperlink" TargetMode="External" Target="https://spark-interfax.ru/system/home/card#/company/84A0A4EBBC954146E0531B9AA8C00399/101"/><Relationship Id="rId10037" Type="http://schemas.openxmlformats.org/officeDocument/2006/relationships/hyperlink" TargetMode="External" Target="https://spark-interfax.ru/system/home/card#/company/4AD2C123729D43E1B210EF20B2612E48/101"/><Relationship Id="rId10038" Type="http://schemas.openxmlformats.org/officeDocument/2006/relationships/hyperlink" TargetMode="External" Target="https://spark-interfax.ru/system/home/card#/company/D20A93F52E594007A77316261A5F002A/101"/><Relationship Id="rId10039" Type="http://schemas.openxmlformats.org/officeDocument/2006/relationships/hyperlink" TargetMode="External" Target="https://spark-interfax.ru/system/home/card#/company/9603D557CC394F5AB9F66409E3AC406A/101"/><Relationship Id="rId10040" Type="http://schemas.openxmlformats.org/officeDocument/2006/relationships/hyperlink" TargetMode="External" Target="https://spark-interfax.ru/system/home/card#/company/D59CD71B054B4F89B8D2DE7CA4F03EE1/101"/><Relationship Id="rId10041" Type="http://schemas.openxmlformats.org/officeDocument/2006/relationships/hyperlink" TargetMode="External" Target="https://spark-interfax.ru/system/home/card#/company/2D80D1E5E74140CD8800D0E9601CF422/101"/><Relationship Id="rId10042" Type="http://schemas.openxmlformats.org/officeDocument/2006/relationships/hyperlink" TargetMode="External" Target="https://spark-interfax.ru/system/home/card#/company/33204F7CE5B04706898B098F3117E325/101"/><Relationship Id="rId10043" Type="http://schemas.openxmlformats.org/officeDocument/2006/relationships/hyperlink" TargetMode="External" Target="https://spark-interfax.ru/system/home/card#/company/8F2DDB4F15074D4397C40A8C0E5FF260/101"/><Relationship Id="rId10044" Type="http://schemas.openxmlformats.org/officeDocument/2006/relationships/hyperlink" TargetMode="External" Target="https://spark-interfax.ru/system/home/card#/company/86D446B28088449CA2F2DC6BB73A7D15/101"/><Relationship Id="rId10045" Type="http://schemas.openxmlformats.org/officeDocument/2006/relationships/hyperlink" TargetMode="External" Target="https://spark-interfax.ru/system/home/card#/company/D9B4226F9B2A41679BA971E4845731D0/101"/><Relationship Id="rId10046" Type="http://schemas.openxmlformats.org/officeDocument/2006/relationships/hyperlink" TargetMode="External" Target="https://spark-interfax.ru/system/home/card#/company/F99AC798FE3746E6A6774288A1866ED8/101"/><Relationship Id="rId10047" Type="http://schemas.openxmlformats.org/officeDocument/2006/relationships/hyperlink" TargetMode="External" Target="https://spark-interfax.ru/system/home/card#/company/D8C0B11CDAE1458BBD8AEDCDDB7758A9/101"/><Relationship Id="rId10048" Type="http://schemas.openxmlformats.org/officeDocument/2006/relationships/hyperlink" TargetMode="External" Target="https://spark-interfax.ru/system/home/card#/company/E7030678FB8F4D51A21FAE5165F0841C/101"/><Relationship Id="rId10049" Type="http://schemas.openxmlformats.org/officeDocument/2006/relationships/hyperlink" TargetMode="External" Target="https://spark-interfax.ru/system/home/card#/company/B0E3B2FCE5EF4FCD975A1C0B49611AC6/101"/><Relationship Id="rId10050" Type="http://schemas.openxmlformats.org/officeDocument/2006/relationships/hyperlink" TargetMode="External" Target="https://spark-interfax.ru/system/home/card#/company/92E604DD4E604AEF9A227648B40593FA/101"/><Relationship Id="rId10051" Type="http://schemas.openxmlformats.org/officeDocument/2006/relationships/hyperlink" TargetMode="External" Target="https://spark-interfax.ru/system/home/card#/company/8B1ABF3BEE054264A79CF679A0F7B3B7/101"/><Relationship Id="rId10052" Type="http://schemas.openxmlformats.org/officeDocument/2006/relationships/hyperlink" TargetMode="External" Target="https://spark-interfax.ru/system/home/card#/company/F4D41ED09AFF4735B505C7B4F39DFB65/101"/><Relationship Id="rId10053" Type="http://schemas.openxmlformats.org/officeDocument/2006/relationships/hyperlink" TargetMode="External" Target="https://spark-interfax.ru/system/home/card#/company/632F8810C786401980DE936398FC14E2/101"/><Relationship Id="rId10054" Type="http://schemas.openxmlformats.org/officeDocument/2006/relationships/hyperlink" TargetMode="External" Target="https://spark-interfax.ru/system/home/card#/company/EF9E57E90AB44219BAA1697B12275542/101"/><Relationship Id="rId10055" Type="http://schemas.openxmlformats.org/officeDocument/2006/relationships/hyperlink" TargetMode="External" Target="https://spark-interfax.ru/system/home/card#/company/C7F335C9A2D04A77BC4471213C55ABB5/101"/><Relationship Id="rId10056" Type="http://schemas.openxmlformats.org/officeDocument/2006/relationships/hyperlink" TargetMode="External" Target="https://spark-interfax.ru/system/home/card#/company/FB2E06C4B0564432A1E2EC3E19637698/101"/><Relationship Id="rId10057" Type="http://schemas.openxmlformats.org/officeDocument/2006/relationships/hyperlink" TargetMode="External" Target="https://spark-interfax.ru/system/home/card#/company/C026C632F64B4815B8AC4049CC8673A7/101"/><Relationship Id="rId10058" Type="http://schemas.openxmlformats.org/officeDocument/2006/relationships/hyperlink" TargetMode="External" Target="https://spark-interfax.ru/system/home/card#/company/BA28D6B87FE549BEB064C90EAE9616C2/101"/><Relationship Id="rId10059" Type="http://schemas.openxmlformats.org/officeDocument/2006/relationships/hyperlink" TargetMode="External" Target="https://spark-interfax.ru/system/home/card#/company/7CB0D9E6C0CF4A5B9813C0352EB7E933/101"/><Relationship Id="rId10060" Type="http://schemas.openxmlformats.org/officeDocument/2006/relationships/hyperlink" TargetMode="External" Target="https://spark-interfax.ru/system/home/card#/company/AC2DBE542CAC4B639D7AA694C9B9D592/101"/><Relationship Id="rId10061" Type="http://schemas.openxmlformats.org/officeDocument/2006/relationships/hyperlink" TargetMode="External" Target="https://spark-interfax.ru/system/home/card#/company/E8C62080629547C99C1B75E02329D01F/101"/><Relationship Id="rId10062" Type="http://schemas.openxmlformats.org/officeDocument/2006/relationships/hyperlink" TargetMode="External" Target="https://spark-interfax.ru/system/home/card#/company/8F13E9A0D77C824AE0531B9AA8C0F383/101"/><Relationship Id="rId10063" Type="http://schemas.openxmlformats.org/officeDocument/2006/relationships/hyperlink" TargetMode="External" Target="https://spark-interfax.ru/system/home/card#/company/23AEEEEF8A33457DBEAE58004F12DA24/101"/><Relationship Id="rId10064" Type="http://schemas.openxmlformats.org/officeDocument/2006/relationships/hyperlink" TargetMode="External" Target="https://spark-interfax.ru/system/home/card#/company/951CC8182E2C43B09FCE214CDBF5F16A/101"/><Relationship Id="rId10065" Type="http://schemas.openxmlformats.org/officeDocument/2006/relationships/hyperlink" TargetMode="External" Target="https://spark-interfax.ru/system/home/card#/company/1F2E30CE11CA4279AD63059C776A5FED/101"/><Relationship Id="rId10066" Type="http://schemas.openxmlformats.org/officeDocument/2006/relationships/hyperlink" TargetMode="External" Target="https://spark-interfax.ru/system/home/card#/company/735737040A596FB0E0531B9AA8C0284F/101"/><Relationship Id="rId10067" Type="http://schemas.openxmlformats.org/officeDocument/2006/relationships/hyperlink" TargetMode="External" Target="https://spark-interfax.ru/system/home/card#/company/BF02B54118F05864E053219AA8C07EC5/101"/><Relationship Id="rId10068" Type="http://schemas.openxmlformats.org/officeDocument/2006/relationships/hyperlink" TargetMode="External" Target="https://spark-interfax.ru/system/home/card#/company/095198CE4DAD45FA99D11F64105D64C5/101"/><Relationship Id="rId10069" Type="http://schemas.openxmlformats.org/officeDocument/2006/relationships/hyperlink" TargetMode="External" Target="https://spark-interfax.ru/system/home/card#/company/88E008176A657CF3E0531B9AA8C0405B/101"/><Relationship Id="rId10070" Type="http://schemas.openxmlformats.org/officeDocument/2006/relationships/hyperlink" TargetMode="External" Target="https://spark-interfax.ru/system/home/card#/company/22B2303A63B946E08D10FC8729B4C98E/101"/><Relationship Id="rId10071" Type="http://schemas.openxmlformats.org/officeDocument/2006/relationships/hyperlink" TargetMode="External" Target="https://spark-interfax.ru/system/home/card#/company/0330B6D8A9A944309E3150DAB1B35B37/101"/><Relationship Id="rId10072" Type="http://schemas.openxmlformats.org/officeDocument/2006/relationships/hyperlink" TargetMode="External" Target="https://spark-interfax.ru/system/home/card#/company/891FAB3FA3D74F2EAA4D3D399207D657/101"/><Relationship Id="rId10073" Type="http://schemas.openxmlformats.org/officeDocument/2006/relationships/hyperlink" TargetMode="External" Target="https://spark-interfax.ru/system/home/card#/company/F42CF966AC4E4434A8F7473C58C88DE8/101"/><Relationship Id="rId10074" Type="http://schemas.openxmlformats.org/officeDocument/2006/relationships/hyperlink" TargetMode="External" Target="https://spark-interfax.ru/system/home/card#/company/0973C93E22764B549591A73BADCE2700/101"/><Relationship Id="rId10075" Type="http://schemas.openxmlformats.org/officeDocument/2006/relationships/hyperlink" TargetMode="External" Target="https://spark-interfax.ru/system/home/card#/company/2CD171A7372449BF952EB40A830FF05B/101"/><Relationship Id="rId10076" Type="http://schemas.openxmlformats.org/officeDocument/2006/relationships/hyperlink" TargetMode="External" Target="https://spark-interfax.ru/system/home/card#/company/93CBC8A9F3E34AEB859FC569D0F9125C/101"/><Relationship Id="rId10077" Type="http://schemas.openxmlformats.org/officeDocument/2006/relationships/hyperlink" TargetMode="External" Target="https://spark-interfax.ru/system/home/card#/company/9A152DCD2DA24FE1A4CD4A1E7F859C21/101"/><Relationship Id="rId10078" Type="http://schemas.openxmlformats.org/officeDocument/2006/relationships/hyperlink" TargetMode="External" Target="https://spark-interfax.ru/system/home/card#/company/E9EAE4E90FDB470B88B6026A9AF784DE/101"/><Relationship Id="rId10079" Type="http://schemas.openxmlformats.org/officeDocument/2006/relationships/hyperlink" TargetMode="External" Target="https://spark-interfax.ru/system/home/card#/company/4DC9DC61578B478298674FFCAF825CAB/101"/><Relationship Id="rId10080" Type="http://schemas.openxmlformats.org/officeDocument/2006/relationships/hyperlink" TargetMode="External" Target="https://spark-interfax.ru/system/home/card#/company/8A61A6E84C144B68B9A3E7F56E4DC34E/101"/><Relationship Id="rId10081" Type="http://schemas.openxmlformats.org/officeDocument/2006/relationships/hyperlink" TargetMode="External" Target="https://spark-interfax.ru/system/home/card#/company/8D31A8B69A7F4B559F416F404E32409F/101"/><Relationship Id="rId10082" Type="http://schemas.openxmlformats.org/officeDocument/2006/relationships/hyperlink" TargetMode="External" Target="https://spark-interfax.ru/system/home/card#/company/6F19731F0C703F46E0531B9AA8C05A12/101"/><Relationship Id="rId10083" Type="http://schemas.openxmlformats.org/officeDocument/2006/relationships/hyperlink" TargetMode="External" Target="https://spark-interfax.ru/system/home/card#/company/29F9ABA79A7045829953AAC9B2CF68FC/101"/><Relationship Id="rId10084" Type="http://schemas.openxmlformats.org/officeDocument/2006/relationships/hyperlink" TargetMode="External" Target="https://spark-interfax.ru/system/home/card#/company/69D5E4040A0E7611E0531B9AA8C0E317/101"/><Relationship Id="rId10085" Type="http://schemas.openxmlformats.org/officeDocument/2006/relationships/hyperlink" TargetMode="External" Target="https://spark-interfax.ru/system/home/card#/company/B2B03F02F6C64F32A3BA67DFABAA615D/101"/><Relationship Id="rId10086" Type="http://schemas.openxmlformats.org/officeDocument/2006/relationships/hyperlink" TargetMode="External" Target="https://spark-interfax.ru/system/home/card#/company/463E1DBF27934D7B986010604A14B458/101"/><Relationship Id="rId10087" Type="http://schemas.openxmlformats.org/officeDocument/2006/relationships/hyperlink" TargetMode="External" Target="https://spark-interfax.ru/system/home/card#/company/5D048769EBEE3904E0531C9AA8C032E7/101"/><Relationship Id="rId10088" Type="http://schemas.openxmlformats.org/officeDocument/2006/relationships/hyperlink" TargetMode="External" Target="https://spark-interfax.ru/system/home/card#/company/AE789AB122474C189353EF7C54D84228/101"/><Relationship Id="rId10089" Type="http://schemas.openxmlformats.org/officeDocument/2006/relationships/hyperlink" TargetMode="External" Target="https://spark-interfax.ru/system/home/card#/company/3CA4DD89775646FBAD71AD47E4C491EA/101"/><Relationship Id="rId10090" Type="http://schemas.openxmlformats.org/officeDocument/2006/relationships/hyperlink" TargetMode="External" Target="https://spark-interfax.ru/system/home/card#/company/E2E8D86324CC4B90B8DF663DC341D527/101"/><Relationship Id="rId10091" Type="http://schemas.openxmlformats.org/officeDocument/2006/relationships/hyperlink" TargetMode="External" Target="https://spark-interfax.ru/system/home/card#/company/C0C566942E9D49AD931B26711DE76B85/101"/><Relationship Id="rId10092" Type="http://schemas.openxmlformats.org/officeDocument/2006/relationships/hyperlink" TargetMode="External" Target="https://spark-interfax.ru/system/home/card#/company/E52017A208E34DFF9C96CDEA0A19AB57/101"/><Relationship Id="rId10093" Type="http://schemas.openxmlformats.org/officeDocument/2006/relationships/hyperlink" TargetMode="External" Target="https://spark-interfax.ru/system/home/card#/company/8038C7EB2ED06F07E0531B9AA8C09B99/101"/><Relationship Id="rId10094" Type="http://schemas.openxmlformats.org/officeDocument/2006/relationships/hyperlink" TargetMode="External" Target="https://spark-interfax.ru/system/home/card#/company/0A1D4297EB0A41F595F1B73F018F9C7D/101"/><Relationship Id="rId10095" Type="http://schemas.openxmlformats.org/officeDocument/2006/relationships/hyperlink" TargetMode="External" Target="https://spark-interfax.ru/system/home/card#/company/8215786C7DC64B02AA7326256096DDAC/101"/><Relationship Id="rId10096" Type="http://schemas.openxmlformats.org/officeDocument/2006/relationships/hyperlink" TargetMode="External" Target="https://spark-interfax.ru/system/home/card#/company/2D676EE5DE66425DBBC933F08535D1D8/101"/><Relationship Id="rId10097" Type="http://schemas.openxmlformats.org/officeDocument/2006/relationships/hyperlink" TargetMode="External" Target="https://spark-interfax.ru/system/home/card#/company/6108B426F6BF78F9E0531B9AA8C01718/101"/><Relationship Id="rId10098" Type="http://schemas.openxmlformats.org/officeDocument/2006/relationships/hyperlink" TargetMode="External" Target="https://spark-interfax.ru/system/home/card#/company/B1FC2B11B21C44F9A9CC4BABF4C51F88/101"/><Relationship Id="rId10099" Type="http://schemas.openxmlformats.org/officeDocument/2006/relationships/hyperlink" TargetMode="External" Target="https://spark-interfax.ru/system/home/card#/company/D737D1B6052C4A9CAEC76BA7E25371AE/101"/><Relationship Id="rId10100" Type="http://schemas.openxmlformats.org/officeDocument/2006/relationships/hyperlink" TargetMode="External" Target="https://spark-interfax.ru/system/home/card#/company/043482D929AE413D8EB3767DF6951492/101"/><Relationship Id="rId10101" Type="http://schemas.openxmlformats.org/officeDocument/2006/relationships/hyperlink" TargetMode="External" Target="https://spark-interfax.ru/system/home/card#/company/C618345A638A7BE7E053219AA8C05D76/101"/><Relationship Id="rId10102" Type="http://schemas.openxmlformats.org/officeDocument/2006/relationships/hyperlink" TargetMode="External" Target="https://spark-interfax.ru/system/home/card#/company/6F4C03EECDF74FB9B485E87CFEFBBF41/101"/><Relationship Id="rId10103" Type="http://schemas.openxmlformats.org/officeDocument/2006/relationships/hyperlink" TargetMode="External" Target="https://spark-interfax.ru/system/home/card#/company/1918A8995F3949E8842D0D20FEDCAB77/101"/><Relationship Id="rId10104" Type="http://schemas.openxmlformats.org/officeDocument/2006/relationships/hyperlink" TargetMode="External" Target="https://spark-interfax.ru/system/home/card#/company/B3A4F2FE64DE4259BDB6749EEB38AE01/101"/><Relationship Id="rId10105" Type="http://schemas.openxmlformats.org/officeDocument/2006/relationships/hyperlink" TargetMode="External" Target="https://spark-interfax.ru/system/home/card#/company/7A5440AEE0F63395E0531F9AA8C0C3FD/101"/><Relationship Id="rId10106" Type="http://schemas.openxmlformats.org/officeDocument/2006/relationships/hyperlink" TargetMode="External" Target="https://spark-interfax.ru/system/home/card#/company/B3E9E3FAE4A5449695FEF0C7D24E8280/101"/><Relationship Id="rId10107" Type="http://schemas.openxmlformats.org/officeDocument/2006/relationships/hyperlink" TargetMode="External" Target="https://spark-interfax.ru/system/home/card#/company/F440460910D04F0F88A9C83780C67D8E/101"/><Relationship Id="rId10108" Type="http://schemas.openxmlformats.org/officeDocument/2006/relationships/hyperlink" TargetMode="External" Target="https://spark-interfax.ru/system/home/card#/company/661026DB23A5436A8252DED9F7466239/101"/><Relationship Id="rId10109" Type="http://schemas.openxmlformats.org/officeDocument/2006/relationships/hyperlink" TargetMode="External" Target="https://spark-interfax.ru/system/home/card#/company/C9F8E0473A2A4C8C8D6893F1839C8E64/101"/><Relationship Id="rId10110" Type="http://schemas.openxmlformats.org/officeDocument/2006/relationships/hyperlink" TargetMode="External" Target="https://spark-interfax.ru/system/home/card#/company/0E9A2123A0F84DBFA357D2BFA0ED2AAA/101"/><Relationship Id="rId10111" Type="http://schemas.openxmlformats.org/officeDocument/2006/relationships/hyperlink" TargetMode="External" Target="https://spark-interfax.ru/system/home/card#/company/DC4D970A737D4EEE962714F8A01FC92C/101"/><Relationship Id="rId10112" Type="http://schemas.openxmlformats.org/officeDocument/2006/relationships/hyperlink" TargetMode="External" Target="https://spark-interfax.ru/system/home/card#/company/7FB4FE1C4E724A3DA990846BC998745B/101"/><Relationship Id="rId10113" Type="http://schemas.openxmlformats.org/officeDocument/2006/relationships/hyperlink" TargetMode="External" Target="https://spark-interfax.ru/system/home/card#/company/E82910D3795E4BD0B3E41D2F73DE353E/101"/><Relationship Id="rId10114" Type="http://schemas.openxmlformats.org/officeDocument/2006/relationships/hyperlink" TargetMode="External" Target="https://spark-interfax.ru/system/home/card#/company/D95C2B2928E6462E9A80C8A4107A9AD8/101"/><Relationship Id="rId10115" Type="http://schemas.openxmlformats.org/officeDocument/2006/relationships/hyperlink" TargetMode="External" Target="https://spark-interfax.ru/system/home/card#/company/C47CF81BE3C648B284A5E486939B25C1/101"/><Relationship Id="rId10116" Type="http://schemas.openxmlformats.org/officeDocument/2006/relationships/hyperlink" TargetMode="External" Target="https://spark-interfax.ru/system/home/card#/company/02AC30BC9898412E88BBECBC0F24B224/101"/><Relationship Id="rId10117" Type="http://schemas.openxmlformats.org/officeDocument/2006/relationships/hyperlink" TargetMode="External" Target="https://spark-interfax.ru/system/home/card#/company/8FB4A7214D8E435FA13C4A67192BE4F7/101"/><Relationship Id="rId10118" Type="http://schemas.openxmlformats.org/officeDocument/2006/relationships/hyperlink" TargetMode="External" Target="https://spark-interfax.ru/system/home/card#/company/DDB4EEDF820443089D4EBC0856427531/101"/><Relationship Id="rId10119" Type="http://schemas.openxmlformats.org/officeDocument/2006/relationships/hyperlink" TargetMode="External" Target="https://spark-interfax.ru/system/home/card#/company/6855E610E062415EB70F5F302B1764C4/101"/><Relationship Id="rId10120" Type="http://schemas.openxmlformats.org/officeDocument/2006/relationships/hyperlink" TargetMode="External" Target="https://spark-interfax.ru/system/home/card#/company/A732EBF439FA0504E053189AA8C0DB2B/101"/><Relationship Id="rId10121" Type="http://schemas.openxmlformats.org/officeDocument/2006/relationships/hyperlink" TargetMode="External" Target="https://spark-interfax.ru/system/home/card#/company/5E1FBC3CB6021B23E0531B9AA8C040C7/101"/><Relationship Id="rId10122" Type="http://schemas.openxmlformats.org/officeDocument/2006/relationships/hyperlink" TargetMode="External" Target="https://spark-interfax.ru/system/home/card#/company/7C9C1E7EA5DE409786F6D7B409648CEB/101"/><Relationship Id="rId10123" Type="http://schemas.openxmlformats.org/officeDocument/2006/relationships/hyperlink" TargetMode="External" Target="https://spark-interfax.ru/system/home/card#/company/E4FC40765C144979B20E9ACF912CED98/101"/><Relationship Id="rId10124" Type="http://schemas.openxmlformats.org/officeDocument/2006/relationships/hyperlink" TargetMode="External" Target="https://spark-interfax.ru/system/home/card#/company/B1EA0D4537CE4C4488DCD20926B2BB12/101"/><Relationship Id="rId10125" Type="http://schemas.openxmlformats.org/officeDocument/2006/relationships/hyperlink" TargetMode="External" Target="https://spark-interfax.ru/system/home/card#/company/DC876F2196B741E0BB18C604D1D83E32/101"/><Relationship Id="rId10126" Type="http://schemas.openxmlformats.org/officeDocument/2006/relationships/hyperlink" TargetMode="External" Target="https://spark-interfax.ru/system/home/card#/company/C291A6E7ABB145BBBC6D1A72651BF377/101"/><Relationship Id="rId10127" Type="http://schemas.openxmlformats.org/officeDocument/2006/relationships/hyperlink" TargetMode="External" Target="https://spark-interfax.ru/system/home/card#/company/B602EAC231904EC7B360601A8BEE607B/101"/><Relationship Id="rId10128" Type="http://schemas.openxmlformats.org/officeDocument/2006/relationships/hyperlink" TargetMode="External" Target="https://spark-interfax.ru/system/home/card#/company/4576A03E8F20462A903E7072E50644D3/101"/><Relationship Id="rId10129" Type="http://schemas.openxmlformats.org/officeDocument/2006/relationships/hyperlink" TargetMode="External" Target="https://spark-interfax.ru/system/home/card#/company/6AE39D3AF78D4E8B991C1E3913312DC4/101"/><Relationship Id="rId10130" Type="http://schemas.openxmlformats.org/officeDocument/2006/relationships/hyperlink" TargetMode="External" Target="https://spark-interfax.ru/system/home/card#/company/1257A8FF63C64AD284D8F808D4240C67/101"/><Relationship Id="rId10131" Type="http://schemas.openxmlformats.org/officeDocument/2006/relationships/hyperlink" TargetMode="External" Target="https://spark-interfax.ru/system/home/card#/company/D22BB121DF0E44EA8DF6567EE01C6A94/101"/><Relationship Id="rId10132" Type="http://schemas.openxmlformats.org/officeDocument/2006/relationships/hyperlink" TargetMode="External" Target="https://spark-interfax.ru/system/home/card#/company/7610B8782530479C96B6E9051C2061B4/101"/><Relationship Id="rId10133" Type="http://schemas.openxmlformats.org/officeDocument/2006/relationships/hyperlink" TargetMode="External" Target="https://spark-interfax.ru/system/home/card#/company/570ECC3E69154EB58217B5C1B4625B57/101"/><Relationship Id="rId10134" Type="http://schemas.openxmlformats.org/officeDocument/2006/relationships/hyperlink" TargetMode="External" Target="https://spark-interfax.ru/system/home/card#/company/344E234E3C7D47F49C4BC3584919AE77/101"/><Relationship Id="rId10135" Type="http://schemas.openxmlformats.org/officeDocument/2006/relationships/hyperlink" TargetMode="External" Target="https://spark-interfax.ru/system/home/card#/company/EE06B5558D004A09A4677116512F6DCD/101"/><Relationship Id="rId10136" Type="http://schemas.openxmlformats.org/officeDocument/2006/relationships/hyperlink" TargetMode="External" Target="https://spark-interfax.ru/system/home/card#/company/C20B5726BDD24090A8748F223DF12037/101"/><Relationship Id="rId10137" Type="http://schemas.openxmlformats.org/officeDocument/2006/relationships/hyperlink" TargetMode="External" Target="https://spark-interfax.ru/system/home/card#/company/B60C43FFCEA64F5980AD4E45521CCA62/101"/><Relationship Id="rId10138" Type="http://schemas.openxmlformats.org/officeDocument/2006/relationships/hyperlink" TargetMode="External" Target="https://spark-interfax.ru/system/home/card#/company/35A4DE37A1D34D9489AAA7A9582F4FD8/101"/><Relationship Id="rId10139" Type="http://schemas.openxmlformats.org/officeDocument/2006/relationships/hyperlink" TargetMode="External" Target="https://spark-interfax.ru/system/home/card#/company/1BF4B9CB14A2412982FF951C25695EED/101"/><Relationship Id="rId10140" Type="http://schemas.openxmlformats.org/officeDocument/2006/relationships/hyperlink" TargetMode="External" Target="https://spark-interfax.ru/system/home/card#/company/81FB0B7D853647EEA6C3CF7AABB4E4FF/101"/><Relationship Id="rId10141" Type="http://schemas.openxmlformats.org/officeDocument/2006/relationships/hyperlink" TargetMode="External" Target="https://spark-interfax.ru/system/home/card#/company/7A25009370B24CAD82C1D989B73AA050/101"/><Relationship Id="rId10142" Type="http://schemas.openxmlformats.org/officeDocument/2006/relationships/hyperlink" TargetMode="External" Target="https://spark-interfax.ru/system/home/card#/company/CAE22E0F314241A2819F7A94EC6C5FFC/101"/><Relationship Id="rId10143" Type="http://schemas.openxmlformats.org/officeDocument/2006/relationships/hyperlink" TargetMode="External" Target="https://spark-interfax.ru/system/home/card#/company/644F387E01D64026B1762DD64090FB1F/101"/><Relationship Id="rId10144" Type="http://schemas.openxmlformats.org/officeDocument/2006/relationships/hyperlink" TargetMode="External" Target="https://spark-interfax.ru/system/home/card#/company/946D31F41D8747B993FDA0EC8A877A62/101"/><Relationship Id="rId10145" Type="http://schemas.openxmlformats.org/officeDocument/2006/relationships/hyperlink" TargetMode="External" Target="https://spark-interfax.ru/system/home/card#/company/C6140A2F4EE746FABA00530C3536E70D/101"/><Relationship Id="rId10146" Type="http://schemas.openxmlformats.org/officeDocument/2006/relationships/hyperlink" TargetMode="External" Target="https://spark-interfax.ru/system/home/card#/company/33494A9B26A0466EA522D0D48CF270CC/101"/><Relationship Id="rId10147" Type="http://schemas.openxmlformats.org/officeDocument/2006/relationships/hyperlink" TargetMode="External" Target="https://spark-interfax.ru/system/home/card#/company/22E2454A84E0449EA258689DB52674D8/101"/><Relationship Id="rId10148" Type="http://schemas.openxmlformats.org/officeDocument/2006/relationships/hyperlink" TargetMode="External" Target="https://spark-interfax.ru/system/home/card#/company/1439FF1B68DD4237B4F5C1A422FD7F96/101"/><Relationship Id="rId10149" Type="http://schemas.openxmlformats.org/officeDocument/2006/relationships/hyperlink" TargetMode="External" Target="https://spark-interfax.ru/system/home/card#/company/1E9CC75F7CC345879B422F00D1FC1B75/101"/><Relationship Id="rId10150" Type="http://schemas.openxmlformats.org/officeDocument/2006/relationships/hyperlink" TargetMode="External" Target="https://spark-interfax.ru/system/home/card#/company/B74E654B0292016AE053219AA8C0EB5F/101"/><Relationship Id="rId10151" Type="http://schemas.openxmlformats.org/officeDocument/2006/relationships/hyperlink" TargetMode="External" Target="https://spark-interfax.ru/system/home/card#/company/E1869C659F714EDF8F509FCEF5A96CCA/101"/><Relationship Id="rId10152" Type="http://schemas.openxmlformats.org/officeDocument/2006/relationships/hyperlink" TargetMode="External" Target="https://spark-interfax.ru/system/home/card#/company/9DC879171EDC488BACB1D923BF173EE8/101"/><Relationship Id="rId10153" Type="http://schemas.openxmlformats.org/officeDocument/2006/relationships/hyperlink" TargetMode="External" Target="https://spark-interfax.ru/system/home/card#/company/8CD75E166CC041C1A66E7362614F0D32/101"/><Relationship Id="rId10154" Type="http://schemas.openxmlformats.org/officeDocument/2006/relationships/hyperlink" TargetMode="External" Target="https://spark-interfax.ru/system/home/card#/company/857DD24901CC46838D1E6BD1EB2DF36F/101"/><Relationship Id="rId10155" Type="http://schemas.openxmlformats.org/officeDocument/2006/relationships/hyperlink" TargetMode="External" Target="https://spark-interfax.ru/system/home/card#/company/CC3600FE923641FAB6CB9D8D31EADE42/101"/><Relationship Id="rId10156" Type="http://schemas.openxmlformats.org/officeDocument/2006/relationships/hyperlink" TargetMode="External" Target="https://spark-interfax.ru/system/home/card#/company/216B8F325EEC4FF8B9D1075E274C94F2/101"/><Relationship Id="rId10157" Type="http://schemas.openxmlformats.org/officeDocument/2006/relationships/hyperlink" TargetMode="External" Target="https://spark-interfax.ru/system/home/card#/company/832F471D9A4B47C8A1FD04CBE4CCD9D0/101"/><Relationship Id="rId10158" Type="http://schemas.openxmlformats.org/officeDocument/2006/relationships/hyperlink" TargetMode="External" Target="https://spark-interfax.ru/system/home/card#/company/73E0B02D45D8493C9DD013B0BE36CDDE/101"/><Relationship Id="rId10159" Type="http://schemas.openxmlformats.org/officeDocument/2006/relationships/hyperlink" TargetMode="External" Target="https://spark-interfax.ru/system/home/card#/company/F491DE2D6C154AFCA0E3FAFDB8525FD2/101"/><Relationship Id="rId10160" Type="http://schemas.openxmlformats.org/officeDocument/2006/relationships/hyperlink" TargetMode="External" Target="https://spark-interfax.ru/system/home/card#/company/3A903665B5C34E5C8114728FAEB88068/101"/><Relationship Id="rId10161" Type="http://schemas.openxmlformats.org/officeDocument/2006/relationships/hyperlink" TargetMode="External" Target="https://spark-interfax.ru/system/home/card#/company/D65EA786219D4C0AB7377D5908071C21/101"/><Relationship Id="rId10162" Type="http://schemas.openxmlformats.org/officeDocument/2006/relationships/hyperlink" TargetMode="External" Target="https://spark-interfax.ru/system/home/card#/company/C340D653C1CF2432E053219AA8C08D34/101"/><Relationship Id="rId10163" Type="http://schemas.openxmlformats.org/officeDocument/2006/relationships/hyperlink" TargetMode="External" Target="https://spark-interfax.ru/system/home/card#/company/14A21C37D469450CA6B7692BDEED5738/101"/><Relationship Id="rId10164" Type="http://schemas.openxmlformats.org/officeDocument/2006/relationships/hyperlink" TargetMode="External" Target="https://spark-interfax.ru/system/home/card#/company/32C7EB76114445A6A073F7EBD49DF808/101"/><Relationship Id="rId10165" Type="http://schemas.openxmlformats.org/officeDocument/2006/relationships/hyperlink" TargetMode="External" Target="https://spark-interfax.ru/system/home/card#/company/8F8F801212C647B5AB14E65DE5CD0FD2/101"/><Relationship Id="rId10166" Type="http://schemas.openxmlformats.org/officeDocument/2006/relationships/hyperlink" TargetMode="External" Target="https://spark-interfax.ru/system/home/card#/company/ECBF45399D2E4EBE8D5AD7DB74F48EDA/101"/><Relationship Id="rId10167" Type="http://schemas.openxmlformats.org/officeDocument/2006/relationships/hyperlink" TargetMode="External" Target="https://spark-interfax.ru/system/home/card#/company/BB92E3D6169A481E9AB595F1A06B7B91/101"/><Relationship Id="rId10168" Type="http://schemas.openxmlformats.org/officeDocument/2006/relationships/hyperlink" TargetMode="External" Target="https://spark-interfax.ru/system/home/card#/company/AF7CC3998F724D3C913C66FF4D36ED17/101"/><Relationship Id="rId10169" Type="http://schemas.openxmlformats.org/officeDocument/2006/relationships/hyperlink" TargetMode="External" Target="https://spark-interfax.ru/system/home/card#/company/40BAAAA4120F4EB9A8DE18D50FED8C05/101"/><Relationship Id="rId10170" Type="http://schemas.openxmlformats.org/officeDocument/2006/relationships/hyperlink" TargetMode="External" Target="https://spark-interfax.ru/system/home/card#/company/22A39397E3134C638EEB3C1C94582A00/101"/><Relationship Id="rId10171" Type="http://schemas.openxmlformats.org/officeDocument/2006/relationships/hyperlink" TargetMode="External" Target="https://spark-interfax.ru/system/home/card#/company/BA5854FD77724F7B995CB1D72B51042E/101"/><Relationship Id="rId10172" Type="http://schemas.openxmlformats.org/officeDocument/2006/relationships/hyperlink" TargetMode="External" Target="https://spark-interfax.ru/system/home/card#/company/CD8E9BA2FA184761A2CF111047B0D054/101"/><Relationship Id="rId10173" Type="http://schemas.openxmlformats.org/officeDocument/2006/relationships/hyperlink" TargetMode="External" Target="https://spark-interfax.ru/system/home/card#/company/7AAA5E0636E64D9D9338193C5772E6F6/101"/><Relationship Id="rId10174" Type="http://schemas.openxmlformats.org/officeDocument/2006/relationships/hyperlink" TargetMode="External" Target="https://spark-interfax.ru/system/home/card#/company/FD036688B1564D999561A48E0C4516A7/101"/><Relationship Id="rId10175" Type="http://schemas.openxmlformats.org/officeDocument/2006/relationships/hyperlink" TargetMode="External" Target="https://spark-interfax.ru/system/home/card#/company/4D1BF03E319343298B81CED37656CB8B/101"/><Relationship Id="rId10176" Type="http://schemas.openxmlformats.org/officeDocument/2006/relationships/hyperlink" TargetMode="External" Target="https://spark-interfax.ru/system/home/card#/company/D089B461F1C14708B4693AC21462A16F/101"/><Relationship Id="rId10177" Type="http://schemas.openxmlformats.org/officeDocument/2006/relationships/hyperlink" TargetMode="External" Target="https://spark-interfax.ru/system/home/card#/company/114971B6756D4A6BB423921B068693CE/101"/><Relationship Id="rId10178" Type="http://schemas.openxmlformats.org/officeDocument/2006/relationships/hyperlink" TargetMode="External" Target="https://spark-interfax.ru/system/home/card#/company/406CB6DA7713425FBC29099107BAE4C6/101"/><Relationship Id="rId10179" Type="http://schemas.openxmlformats.org/officeDocument/2006/relationships/hyperlink" TargetMode="External" Target="https://spark-interfax.ru/system/home/card#/company/75C614BC8092283AE0531B9AA8C091B0/101"/><Relationship Id="rId10180" Type="http://schemas.openxmlformats.org/officeDocument/2006/relationships/hyperlink" TargetMode="External" Target="https://spark-interfax.ru/system/home/card#/company/557A734BB3604A60B94BD33A1E125265/101"/><Relationship Id="rId10181" Type="http://schemas.openxmlformats.org/officeDocument/2006/relationships/hyperlink" TargetMode="External" Target="https://spark-interfax.ru/system/home/card#/company/82A2551E575F49A58854CE9E371B78C7/101"/><Relationship Id="rId10182" Type="http://schemas.openxmlformats.org/officeDocument/2006/relationships/hyperlink" TargetMode="External" Target="https://spark-interfax.ru/system/home/card#/company/36C85BD0253743ACBD7C9B85315FDE5B/101"/><Relationship Id="rId10183" Type="http://schemas.openxmlformats.org/officeDocument/2006/relationships/hyperlink" TargetMode="External" Target="https://spark-interfax.ru/system/home/card#/company/292BF49DBC1046F085152C6DD43FA19E/101"/><Relationship Id="rId10184" Type="http://schemas.openxmlformats.org/officeDocument/2006/relationships/hyperlink" TargetMode="External" Target="https://spark-interfax.ru/system/home/card#/company/4D971C4AEFF2412EA3FEA15C65D546CF/101"/><Relationship Id="rId10185" Type="http://schemas.openxmlformats.org/officeDocument/2006/relationships/hyperlink" TargetMode="External" Target="https://spark-interfax.ru/system/home/card#/company/D32E4B55C36C40279398721269ADF677/101"/><Relationship Id="rId10186" Type="http://schemas.openxmlformats.org/officeDocument/2006/relationships/hyperlink" TargetMode="External" Target="https://spark-interfax.ru/system/home/card#/company/9B01950DB2CB483C937F5CB20DC00DA2/101"/><Relationship Id="rId10187" Type="http://schemas.openxmlformats.org/officeDocument/2006/relationships/hyperlink" TargetMode="External" Target="https://spark-interfax.ru/system/home/card#/company/835E1ACFDDF805EEE0531B9AA8C0856F/101"/><Relationship Id="rId10188" Type="http://schemas.openxmlformats.org/officeDocument/2006/relationships/hyperlink" TargetMode="External" Target="https://spark-interfax.ru/system/home/card#/company/9C74D29DA165401197AD785A70297B02/101"/><Relationship Id="rId10189" Type="http://schemas.openxmlformats.org/officeDocument/2006/relationships/hyperlink" TargetMode="External" Target="https://spark-interfax.ru/system/home/card#/company/A8333581A03047D89BA8A5B73880863D/101"/><Relationship Id="rId10190" Type="http://schemas.openxmlformats.org/officeDocument/2006/relationships/hyperlink" TargetMode="External" Target="https://spark-interfax.ru/system/home/card#/company/CA3331E1A1D84988892D95EE50D09DC8/101"/><Relationship Id="rId10191" Type="http://schemas.openxmlformats.org/officeDocument/2006/relationships/hyperlink" TargetMode="External" Target="https://spark-interfax.ru/system/home/card#/company/73F4F46352DC417CA186EE6BA9C333D8/101"/><Relationship Id="rId10192" Type="http://schemas.openxmlformats.org/officeDocument/2006/relationships/hyperlink" TargetMode="External" Target="https://spark-interfax.ru/system/home/card#/company/2A63C96CE9464C90B8FE9104E2C79739/101"/><Relationship Id="rId10193" Type="http://schemas.openxmlformats.org/officeDocument/2006/relationships/hyperlink" TargetMode="External" Target="https://spark-interfax.ru/system/home/card#/company/B55AC3C56DF94623BC9ADD0F4633DCAE/101"/><Relationship Id="rId10194" Type="http://schemas.openxmlformats.org/officeDocument/2006/relationships/hyperlink" TargetMode="External" Target="https://spark-interfax.ru/system/home/card#/company/6312A94EA8A443FC896134C6C6C94925/101"/><Relationship Id="rId10195" Type="http://schemas.openxmlformats.org/officeDocument/2006/relationships/hyperlink" TargetMode="External" Target="https://spark-interfax.ru/system/home/card#/company/592D9CF6865F433DA1B0F78F571B0CC4/101"/><Relationship Id="rId10196" Type="http://schemas.openxmlformats.org/officeDocument/2006/relationships/hyperlink" TargetMode="External" Target="https://spark-interfax.ru/system/home/card#/company/5416B1EFD6754C63AFAE2F5F63CA2606/101"/><Relationship Id="rId10197" Type="http://schemas.openxmlformats.org/officeDocument/2006/relationships/hyperlink" TargetMode="External" Target="https://spark-interfax.ru/system/home/card#/company/CE0C185F230C4F0CBE1279CCDD80F86A/101"/><Relationship Id="rId10198" Type="http://schemas.openxmlformats.org/officeDocument/2006/relationships/hyperlink" TargetMode="External" Target="https://spark-interfax.ru/system/home/card#/company/C502D648A8794EBB8130BF50C5732DB4/101"/><Relationship Id="rId10199" Type="http://schemas.openxmlformats.org/officeDocument/2006/relationships/hyperlink" TargetMode="External" Target="https://spark-interfax.ru/system/home/card#/company/4A3767C9E5C9444F81AEF8ED774322F1/101"/><Relationship Id="rId10200" Type="http://schemas.openxmlformats.org/officeDocument/2006/relationships/hyperlink" TargetMode="External" Target="https://spark-interfax.ru/system/home/card#/company/1F40CD2FEC9D4894BA0CC6A23AAF1F63/101"/><Relationship Id="rId10201" Type="http://schemas.openxmlformats.org/officeDocument/2006/relationships/hyperlink" TargetMode="External" Target="https://spark-interfax.ru/system/home/card#/company/EDCF10FE98704C89BA1271B609F48855/101"/><Relationship Id="rId10202" Type="http://schemas.openxmlformats.org/officeDocument/2006/relationships/hyperlink" TargetMode="External" Target="https://spark-interfax.ru/system/home/card#/company/0FD63F90108A435AB8F914AFA1B0D15E/101"/><Relationship Id="rId10203" Type="http://schemas.openxmlformats.org/officeDocument/2006/relationships/hyperlink" TargetMode="External" Target="https://spark-interfax.ru/system/home/card#/company/4E7717CFDE7A4D318C735482F4487E14/101"/><Relationship Id="rId10204" Type="http://schemas.openxmlformats.org/officeDocument/2006/relationships/hyperlink" TargetMode="External" Target="https://spark-interfax.ru/system/home/card#/company/748AB8F0C7784D46B92429D856DC5462/101"/><Relationship Id="rId10205" Type="http://schemas.openxmlformats.org/officeDocument/2006/relationships/hyperlink" TargetMode="External" Target="https://spark-interfax.ru/system/home/card#/company/BAA064A51B3F47F8A6315728D048F6DA/101"/><Relationship Id="rId10206" Type="http://schemas.openxmlformats.org/officeDocument/2006/relationships/hyperlink" TargetMode="External" Target="https://spark-interfax.ru/system/home/card#/company/998F95ACA6064D85BDFAF2D5675336DA/101"/><Relationship Id="rId10207" Type="http://schemas.openxmlformats.org/officeDocument/2006/relationships/hyperlink" TargetMode="External" Target="https://spark-interfax.ru/system/home/card#/company/D76E092E24FB41EFABC1F8E3248821E0/101"/><Relationship Id="rId10208" Type="http://schemas.openxmlformats.org/officeDocument/2006/relationships/hyperlink" TargetMode="External" Target="https://spark-interfax.ru/system/home/card#/company/EDDE8535BDBD465E852F5F3FDCE627AD/101"/><Relationship Id="rId10209" Type="http://schemas.openxmlformats.org/officeDocument/2006/relationships/hyperlink" TargetMode="External" Target="https://spark-interfax.ru/system/home/card#/company/084ADCCA339944988ECEA36B61A3BEA6/101"/><Relationship Id="rId10210" Type="http://schemas.openxmlformats.org/officeDocument/2006/relationships/hyperlink" TargetMode="External" Target="https://spark-interfax.ru/system/home/card#/company/E67DE0CBF6734628959B633F95D68E13/101"/><Relationship Id="rId10211" Type="http://schemas.openxmlformats.org/officeDocument/2006/relationships/hyperlink" TargetMode="External" Target="https://spark-interfax.ru/system/home/card#/company/229071EB312943E08B0CDC88FFEBD3C7/101"/><Relationship Id="rId10212" Type="http://schemas.openxmlformats.org/officeDocument/2006/relationships/hyperlink" TargetMode="External" Target="https://spark-interfax.ru/system/home/card#/company/BD77E654BBF44908BEDA8239598B6220/101"/><Relationship Id="rId10213" Type="http://schemas.openxmlformats.org/officeDocument/2006/relationships/hyperlink" TargetMode="External" Target="https://spark-interfax.ru/system/home/card#/company/DA6132B221CA46E69B84F874908E3E55/101"/><Relationship Id="rId10214" Type="http://schemas.openxmlformats.org/officeDocument/2006/relationships/hyperlink" TargetMode="External" Target="https://spark-interfax.ru/system/home/card#/company/8160A743B7464C4A96E9CFBAFD9EF8C5/101"/><Relationship Id="rId10215" Type="http://schemas.openxmlformats.org/officeDocument/2006/relationships/hyperlink" TargetMode="External" Target="https://spark-interfax.ru/system/home/card#/company/27AF138553FB44B4A381BA609F450D8A/101"/><Relationship Id="rId10216" Type="http://schemas.openxmlformats.org/officeDocument/2006/relationships/hyperlink" TargetMode="External" Target="https://spark-interfax.ru/system/home/card#/company/8104FDF7445B4AC48DBFC648B63B82E2/101"/><Relationship Id="rId10217" Type="http://schemas.openxmlformats.org/officeDocument/2006/relationships/hyperlink" TargetMode="External" Target="https://spark-interfax.ru/system/home/card#/company/B69136F588BB4048B431DE19C3AD576F/101"/><Relationship Id="rId10218" Type="http://schemas.openxmlformats.org/officeDocument/2006/relationships/hyperlink" TargetMode="External" Target="https://spark-interfax.ru/system/home/card#/company/E8620B1F54324747A0F1FA787C77085D/101"/><Relationship Id="rId10219" Type="http://schemas.openxmlformats.org/officeDocument/2006/relationships/hyperlink" TargetMode="External" Target="https://spark-interfax.ru/system/home/card#/company/A0FDBD08EF9C4DDF8D5DF4C9BA111F27/101"/><Relationship Id="rId10220" Type="http://schemas.openxmlformats.org/officeDocument/2006/relationships/hyperlink" TargetMode="External" Target="https://spark-interfax.ru/system/home/card#/company/E8F19D91A33E45E289F16B320DF2D4D6/101"/><Relationship Id="rId10221" Type="http://schemas.openxmlformats.org/officeDocument/2006/relationships/hyperlink" TargetMode="External" Target="https://spark-interfax.ru/system/home/card#/company/D4E128629B7A4F60B7F3C12180F01E16/101"/><Relationship Id="rId10222" Type="http://schemas.openxmlformats.org/officeDocument/2006/relationships/hyperlink" TargetMode="External" Target="https://spark-interfax.ru/system/home/card#/company/F5BBD0B8E9B34990840F704BB582A8E3/101"/><Relationship Id="rId10223" Type="http://schemas.openxmlformats.org/officeDocument/2006/relationships/hyperlink" TargetMode="External" Target="https://spark-interfax.ru/system/home/card#/company/425F8994E19D4FDFA45076A7F88AB588/101"/><Relationship Id="rId10224" Type="http://schemas.openxmlformats.org/officeDocument/2006/relationships/hyperlink" TargetMode="External" Target="https://spark-interfax.ru/system/home/card#/company/A1639015DDD540079459F665B079562D/101"/><Relationship Id="rId10225" Type="http://schemas.openxmlformats.org/officeDocument/2006/relationships/hyperlink" TargetMode="External" Target="https://spark-interfax.ru/system/home/card#/company/95342EB9F8CC6A67E0531B9AA8C01B55/101"/><Relationship Id="rId10226" Type="http://schemas.openxmlformats.org/officeDocument/2006/relationships/hyperlink" TargetMode="External" Target="https://spark-interfax.ru/system/home/card#/company/5B9D87AE9479407E9537D256CF0D849D/101"/><Relationship Id="rId10227" Type="http://schemas.openxmlformats.org/officeDocument/2006/relationships/hyperlink" TargetMode="External" Target="https://spark-interfax.ru/system/home/card#/company/D16B2E3C2AFD4CD8A092AA7282D8534C/101"/><Relationship Id="rId10228" Type="http://schemas.openxmlformats.org/officeDocument/2006/relationships/hyperlink" TargetMode="External" Target="https://spark-interfax.ru/system/home/card#/company/BEBB18FC04844477855F84A4AF1A5195/101"/><Relationship Id="rId10229" Type="http://schemas.openxmlformats.org/officeDocument/2006/relationships/hyperlink" TargetMode="External" Target="https://spark-interfax.ru/system/home/card#/company/C3375B85412A4017B70FD4AB2619EAEF/101"/><Relationship Id="rId10230" Type="http://schemas.openxmlformats.org/officeDocument/2006/relationships/hyperlink" TargetMode="External" Target="https://spark-interfax.ru/system/home/card#/company/AB40C38B41EB4668832E59A56A1FD02B/101"/><Relationship Id="rId10231" Type="http://schemas.openxmlformats.org/officeDocument/2006/relationships/hyperlink" TargetMode="External" Target="https://spark-interfax.ru/system/home/card#/company/9882999A573344C3B5A8A235B1270200/101"/><Relationship Id="rId10232" Type="http://schemas.openxmlformats.org/officeDocument/2006/relationships/hyperlink" TargetMode="External" Target="https://spark-interfax.ru/system/home/card#/company/75607F676744430C841567C7F38D479F/101"/><Relationship Id="rId10233" Type="http://schemas.openxmlformats.org/officeDocument/2006/relationships/hyperlink" TargetMode="External" Target="https://spark-interfax.ru/system/home/card#/company/652950AF4C874F2694A015602792D459/101"/><Relationship Id="rId10234" Type="http://schemas.openxmlformats.org/officeDocument/2006/relationships/hyperlink" TargetMode="External" Target="https://spark-interfax.ru/system/home/card#/company/F0C76396456642DE9AF955F4AD38A294/101"/><Relationship Id="rId10235" Type="http://schemas.openxmlformats.org/officeDocument/2006/relationships/hyperlink" TargetMode="External" Target="https://spark-interfax.ru/system/home/card#/company/F89B5F033D1942DDB060BD8BFE6E2DC1/101"/><Relationship Id="rId10236" Type="http://schemas.openxmlformats.org/officeDocument/2006/relationships/hyperlink" TargetMode="External" Target="https://spark-interfax.ru/system/home/card#/company/A18C9259A21242579F8AB9B7A68C4834/101"/><Relationship Id="rId10237" Type="http://schemas.openxmlformats.org/officeDocument/2006/relationships/hyperlink" TargetMode="External" Target="https://spark-interfax.ru/system/home/card#/company/D3B1860288AD4FD7B2C6197D2047A279/101"/><Relationship Id="rId10238" Type="http://schemas.openxmlformats.org/officeDocument/2006/relationships/hyperlink" TargetMode="External" Target="https://spark-interfax.ru/system/home/card#/company/FA6F8079B54C41DC9BC90B82F9D73AB7/101"/><Relationship Id="rId10239" Type="http://schemas.openxmlformats.org/officeDocument/2006/relationships/hyperlink" TargetMode="External" Target="https://spark-interfax.ru/system/home/card#/company/C08F361B04A348999DF9451FAF0F3CB0/101"/><Relationship Id="rId10240" Type="http://schemas.openxmlformats.org/officeDocument/2006/relationships/hyperlink" TargetMode="External" Target="https://spark-interfax.ru/system/home/card#/company/1D05611F1C704AB1A163AF499ED28080/101"/><Relationship Id="rId10241" Type="http://schemas.openxmlformats.org/officeDocument/2006/relationships/hyperlink" TargetMode="External" Target="https://spark-interfax.ru/system/home/card#/company/8C21FD5A4ED74FAF9A8F64DE4FBCD5BB/101"/><Relationship Id="rId10242" Type="http://schemas.openxmlformats.org/officeDocument/2006/relationships/hyperlink" TargetMode="External" Target="https://spark-interfax.ru/system/home/card#/company/A945BF4CDAA24A2FB1D2826B903AA07E/101"/><Relationship Id="rId10243" Type="http://schemas.openxmlformats.org/officeDocument/2006/relationships/hyperlink" TargetMode="External" Target="https://spark-interfax.ru/system/home/card#/company/A6F8A8C6AB1E44EE9E70DB0876D765DD/101"/><Relationship Id="rId10244" Type="http://schemas.openxmlformats.org/officeDocument/2006/relationships/hyperlink" TargetMode="External" Target="https://spark-interfax.ru/system/home/card#/company/6017D3FD7C724E3DB559D8EB494CFC55/101"/><Relationship Id="rId10245" Type="http://schemas.openxmlformats.org/officeDocument/2006/relationships/hyperlink" TargetMode="External" Target="https://spark-interfax.ru/system/home/card#/company/196F2F0584934D80AD3DA00950474848/101"/><Relationship Id="rId10246" Type="http://schemas.openxmlformats.org/officeDocument/2006/relationships/hyperlink" TargetMode="External" Target="https://spark-interfax.ru/system/home/card#/company/390433EE7953431BA88E6448630484FA/101"/><Relationship Id="rId10247" Type="http://schemas.openxmlformats.org/officeDocument/2006/relationships/hyperlink" TargetMode="External" Target="https://spark-interfax.ru/system/home/card#/company/F934D27EE2014FA1A58B6A482E2A95CD/101"/><Relationship Id="rId10248" Type="http://schemas.openxmlformats.org/officeDocument/2006/relationships/hyperlink" TargetMode="External" Target="https://spark-interfax.ru/system/home/card#/company/ABF2CF31CB1241BAB142E28007D39015/101"/><Relationship Id="rId10249" Type="http://schemas.openxmlformats.org/officeDocument/2006/relationships/hyperlink" TargetMode="External" Target="https://spark-interfax.ru/system/home/card#/company/16A5F912506547F09F8A1D1D5F5B40A7/101"/><Relationship Id="rId10250" Type="http://schemas.openxmlformats.org/officeDocument/2006/relationships/hyperlink" TargetMode="External" Target="https://spark-interfax.ru/system/home/card#/company/D6A857C902A54569A8C7E436152D1892/101"/><Relationship Id="rId10251" Type="http://schemas.openxmlformats.org/officeDocument/2006/relationships/hyperlink" TargetMode="External" Target="https://spark-interfax.ru/system/home/card#/company/D1452FB605D24CD999F7C70D154481F0/101"/><Relationship Id="rId10252" Type="http://schemas.openxmlformats.org/officeDocument/2006/relationships/hyperlink" TargetMode="External" Target="https://spark-interfax.ru/system/home/card#/company/4CBF932AB8CE4951BAE3B7CE6762E3AE/101"/><Relationship Id="rId10253" Type="http://schemas.openxmlformats.org/officeDocument/2006/relationships/hyperlink" TargetMode="External" Target="https://spark-interfax.ru/system/home/card#/company/DC79AEA3287C4B93B975A5BB7051056B/101"/><Relationship Id="rId10254" Type="http://schemas.openxmlformats.org/officeDocument/2006/relationships/hyperlink" TargetMode="External" Target="https://spark-interfax.ru/system/home/card#/company/563C283A5139481AA18D9CAF30743E0C/101"/><Relationship Id="rId10255" Type="http://schemas.openxmlformats.org/officeDocument/2006/relationships/hyperlink" TargetMode="External" Target="https://spark-interfax.ru/system/home/card#/company/E08812E53248443EB685C4063CABDBEE/101"/><Relationship Id="rId10256" Type="http://schemas.openxmlformats.org/officeDocument/2006/relationships/hyperlink" TargetMode="External" Target="https://spark-interfax.ru/system/home/card#/company/F5CEB4505A704E4F9FB915E4F54D5486/101"/><Relationship Id="rId10257" Type="http://schemas.openxmlformats.org/officeDocument/2006/relationships/hyperlink" TargetMode="External" Target="https://spark-interfax.ru/system/home/card#/company/BDD8386D74F44D27BB8B96068C972997/101"/><Relationship Id="rId10258" Type="http://schemas.openxmlformats.org/officeDocument/2006/relationships/hyperlink" TargetMode="External" Target="https://spark-interfax.ru/system/home/card#/company/EFD83583804A46239611B8C13B32CD74/101"/><Relationship Id="rId10259" Type="http://schemas.openxmlformats.org/officeDocument/2006/relationships/hyperlink" TargetMode="External" Target="https://spark-interfax.ru/system/home/card#/company/33EE385B93FD444A85BC387792B116B6/101"/><Relationship Id="rId10260" Type="http://schemas.openxmlformats.org/officeDocument/2006/relationships/hyperlink" TargetMode="External" Target="https://spark-interfax.ru/system/home/card#/company/BB18245C7FB242079BD5C67103312998/101"/><Relationship Id="rId10261" Type="http://schemas.openxmlformats.org/officeDocument/2006/relationships/hyperlink" TargetMode="External" Target="https://spark-interfax.ru/system/home/card#/company/9A9F3D7952EE479BB356CD2FD5022C60/101"/><Relationship Id="rId10262" Type="http://schemas.openxmlformats.org/officeDocument/2006/relationships/hyperlink" TargetMode="External" Target="https://spark-interfax.ru/system/home/card#/company/F6A5CBBCBB544B22A378ECCA21B02A85/101"/><Relationship Id="rId10263" Type="http://schemas.openxmlformats.org/officeDocument/2006/relationships/hyperlink" TargetMode="External" Target="https://spark-interfax.ru/system/home/card#/company/0E9AEF9CAAAE4070BFB5FA6A801D2A98/101"/><Relationship Id="rId10264" Type="http://schemas.openxmlformats.org/officeDocument/2006/relationships/hyperlink" TargetMode="External" Target="https://spark-interfax.ru/system/home/card#/company/C3617A8537824B04A98DC6F06BAE661F/101"/><Relationship Id="rId10265" Type="http://schemas.openxmlformats.org/officeDocument/2006/relationships/hyperlink" TargetMode="External" Target="https://spark-interfax.ru/system/home/card#/company/46E0711D11D74C6FB525A9A7A6DB3402/101"/><Relationship Id="rId10266" Type="http://schemas.openxmlformats.org/officeDocument/2006/relationships/hyperlink" TargetMode="External" Target="https://spark-interfax.ru/system/home/card#/company/841385B7D0CB7F0AE0531B9AA8C0D020/101"/><Relationship Id="rId10267" Type="http://schemas.openxmlformats.org/officeDocument/2006/relationships/hyperlink" TargetMode="External" Target="https://spark-interfax.ru/system/home/card#/company/71D8A6CD20AC472181F0FC7AE24AC146/101"/><Relationship Id="rId10268" Type="http://schemas.openxmlformats.org/officeDocument/2006/relationships/hyperlink" TargetMode="External" Target="https://spark-interfax.ru/system/home/card#/company/EB2158B482454AD3A71AF15E1ECAC4FD/101"/><Relationship Id="rId10269" Type="http://schemas.openxmlformats.org/officeDocument/2006/relationships/hyperlink" TargetMode="External" Target="https://spark-interfax.ru/system/home/card#/company/AD2E0DEC46B2436499D8A0C83116C439/101"/><Relationship Id="rId10270" Type="http://schemas.openxmlformats.org/officeDocument/2006/relationships/hyperlink" TargetMode="External" Target="https://spark-interfax.ru/system/home/card#/company/578A3164B28E42EEA3CB70F0DA2BDB3A/101"/><Relationship Id="rId10271" Type="http://schemas.openxmlformats.org/officeDocument/2006/relationships/hyperlink" TargetMode="External" Target="https://spark-interfax.ru/system/home/card#/company/045763660004416EB04BDE0DE5CEC779/101"/><Relationship Id="rId10272" Type="http://schemas.openxmlformats.org/officeDocument/2006/relationships/hyperlink" TargetMode="External" Target="https://spark-interfax.ru/system/home/card#/company/66D88037488077E9E0531B9AA8C0BAB9/101"/><Relationship Id="rId10273" Type="http://schemas.openxmlformats.org/officeDocument/2006/relationships/hyperlink" TargetMode="External" Target="https://spark-interfax.ru/system/home/card#/company/2AB5447E880C4118983F9E017143A0DF/101"/><Relationship Id="rId10274" Type="http://schemas.openxmlformats.org/officeDocument/2006/relationships/hyperlink" TargetMode="External" Target="https://spark-interfax.ru/system/home/card#/company/8EE066D5A551477FAFA7F51BA7A33507/101"/><Relationship Id="rId10275" Type="http://schemas.openxmlformats.org/officeDocument/2006/relationships/hyperlink" TargetMode="External" Target="https://spark-interfax.ru/system/home/card#/company/84844BB420BA4D1EAD9C7C3C3B7F0723/101"/><Relationship Id="rId10276" Type="http://schemas.openxmlformats.org/officeDocument/2006/relationships/hyperlink" TargetMode="External" Target="https://spark-interfax.ru/system/home/card#/company/E32ECCDCC9F64F93875DCC33125CEB4F/101"/><Relationship Id="rId10277" Type="http://schemas.openxmlformats.org/officeDocument/2006/relationships/hyperlink" TargetMode="External" Target="https://spark-interfax.ru/system/home/card#/company/35A4225DC77F4A9598A85757C10B5C6F/101"/><Relationship Id="rId10278" Type="http://schemas.openxmlformats.org/officeDocument/2006/relationships/hyperlink" TargetMode="External" Target="https://spark-interfax.ru/system/home/card#/company/8505DAD7A95A0FB3E0531B9AA8C0B49B/101"/><Relationship Id="rId10279" Type="http://schemas.openxmlformats.org/officeDocument/2006/relationships/hyperlink" TargetMode="External" Target="https://spark-interfax.ru/system/home/card#/company/2BA2E031C51145DB9DEE83C2C8223988/101"/><Relationship Id="rId10280" Type="http://schemas.openxmlformats.org/officeDocument/2006/relationships/hyperlink" TargetMode="External" Target="https://spark-interfax.ru/system/home/card#/company/7602F02B8ACB4F64A4CABD993D5F5FB7/101"/><Relationship Id="rId10281" Type="http://schemas.openxmlformats.org/officeDocument/2006/relationships/hyperlink" TargetMode="External" Target="https://spark-interfax.ru/system/home/card#/company/B8CCEB3BA2A444F0AE63AD99AF56B4E7/101"/><Relationship Id="rId10282" Type="http://schemas.openxmlformats.org/officeDocument/2006/relationships/hyperlink" TargetMode="External" Target="https://spark-interfax.ru/system/home/card#/company/07B86DB29D874B2397627323333D2F30/101"/><Relationship Id="rId10283" Type="http://schemas.openxmlformats.org/officeDocument/2006/relationships/hyperlink" TargetMode="External" Target="https://spark-interfax.ru/system/home/card#/company/6CE3CD00342F409D9FF37FB8E10FBF1C/101"/><Relationship Id="rId10284" Type="http://schemas.openxmlformats.org/officeDocument/2006/relationships/hyperlink" TargetMode="External" Target="https://spark-interfax.ru/system/home/card#/company/4864C979FF8F4A368B5EBD46FE2501A1/101"/><Relationship Id="rId10285" Type="http://schemas.openxmlformats.org/officeDocument/2006/relationships/hyperlink" TargetMode="External" Target="https://spark-interfax.ru/system/home/card#/company/5B401FF839A7463EBC543ACE0A5A27A5/101"/><Relationship Id="rId10286" Type="http://schemas.openxmlformats.org/officeDocument/2006/relationships/hyperlink" TargetMode="External" Target="https://spark-interfax.ru/system/home/card#/company/8967A772091E406C89114143C75600A0/101"/><Relationship Id="rId10287" Type="http://schemas.openxmlformats.org/officeDocument/2006/relationships/hyperlink" TargetMode="External" Target="https://spark-interfax.ru/system/home/card#/company/0123D0F1BDF84F7E8AAC9463FA79EE98/101"/><Relationship Id="rId10288" Type="http://schemas.openxmlformats.org/officeDocument/2006/relationships/hyperlink" TargetMode="External" Target="https://spark-interfax.ru/system/home/card#/company/9305F041D53741CE91DB3DFBB2E6CB6B/101"/><Relationship Id="rId10289" Type="http://schemas.openxmlformats.org/officeDocument/2006/relationships/hyperlink" TargetMode="External" Target="https://spark-interfax.ru/system/home/card#/company/4E6994C3E2904DEF908D6FD53AD11D0B/101"/><Relationship Id="rId10290" Type="http://schemas.openxmlformats.org/officeDocument/2006/relationships/hyperlink" TargetMode="External" Target="https://spark-interfax.ru/system/home/card#/company/6810A64592DF413A851D7421C02041D9/101"/><Relationship Id="rId10291" Type="http://schemas.openxmlformats.org/officeDocument/2006/relationships/hyperlink" TargetMode="External" Target="https://spark-interfax.ru/system/home/card#/company/58D07D35078E4063B4FDC421E68279F2/101"/><Relationship Id="rId10292" Type="http://schemas.openxmlformats.org/officeDocument/2006/relationships/hyperlink" TargetMode="External" Target="https://spark-interfax.ru/system/home/card#/company/4F1AB8992FF8450CB87D212D62BB03F7/101"/><Relationship Id="rId10293" Type="http://schemas.openxmlformats.org/officeDocument/2006/relationships/hyperlink" TargetMode="External" Target="https://spark-interfax.ru/system/home/card#/company/F377DF3B88DF4FF7A36A29C1D2DEED9F/101"/><Relationship Id="rId10294" Type="http://schemas.openxmlformats.org/officeDocument/2006/relationships/hyperlink" TargetMode="External" Target="https://spark-interfax.ru/system/home/card#/company/23A7522393214D6DB222007B5AD22516/101"/><Relationship Id="rId10295" Type="http://schemas.openxmlformats.org/officeDocument/2006/relationships/hyperlink" TargetMode="External" Target="https://spark-interfax.ru/system/home/card#/company/1A51F5AF943D4A9992C74EE1E853A3D2/101"/><Relationship Id="rId10296" Type="http://schemas.openxmlformats.org/officeDocument/2006/relationships/hyperlink" TargetMode="External" Target="https://spark-interfax.ru/system/home/card#/company/0AA206F3A36A4739A4B9F0B03BD0593D/101"/><Relationship Id="rId10297" Type="http://schemas.openxmlformats.org/officeDocument/2006/relationships/hyperlink" TargetMode="External" Target="https://spark-interfax.ru/system/home/card#/company/9A10541766294381A83A6626FC462FC1/101"/><Relationship Id="rId10298" Type="http://schemas.openxmlformats.org/officeDocument/2006/relationships/hyperlink" TargetMode="External" Target="https://spark-interfax.ru/system/home/card#/company/850640623AC449FE8DCA861611C38657/101"/><Relationship Id="rId10299" Type="http://schemas.openxmlformats.org/officeDocument/2006/relationships/hyperlink" TargetMode="External" Target="https://spark-interfax.ru/system/home/card#/company/40B41C61776048A1B6B75EAA09A9C07C/101"/><Relationship Id="rId10300" Type="http://schemas.openxmlformats.org/officeDocument/2006/relationships/hyperlink" TargetMode="External" Target="https://spark-interfax.ru/system/home/card#/company/37774FC55B8C40D6A17CDBD741482F64/101"/><Relationship Id="rId10301" Type="http://schemas.openxmlformats.org/officeDocument/2006/relationships/hyperlink" TargetMode="External" Target="https://spark-interfax.ru/system/home/card#/company/655C9D4AB3E74209AC5248FFBBFA18C1/101"/><Relationship Id="rId10302" Type="http://schemas.openxmlformats.org/officeDocument/2006/relationships/hyperlink" TargetMode="External" Target="https://spark-interfax.ru/system/home/card#/company/CC4F3DD73F5C4B01BEF06F4D41276531/101"/><Relationship Id="rId10303" Type="http://schemas.openxmlformats.org/officeDocument/2006/relationships/hyperlink" TargetMode="External" Target="https://spark-interfax.ru/system/home/card#/company/DDB6C1B00E144C03A9209B5983BA8B24/101"/><Relationship Id="rId10304" Type="http://schemas.openxmlformats.org/officeDocument/2006/relationships/hyperlink" TargetMode="External" Target="https://spark-interfax.ru/system/home/card#/company/B4B686B0C8BA48ABA55074B96DA9CAF9/101"/><Relationship Id="rId10305" Type="http://schemas.openxmlformats.org/officeDocument/2006/relationships/hyperlink" TargetMode="External" Target="https://spark-interfax.ru/system/home/card#/company/DA4AEE13928C4220BC50846E62C5F9FD/101"/><Relationship Id="rId10306" Type="http://schemas.openxmlformats.org/officeDocument/2006/relationships/hyperlink" TargetMode="External" Target="https://spark-interfax.ru/system/home/card#/company/A2B76B6787C041A6ADF10F4DB7CF5BDE/101"/><Relationship Id="rId10307" Type="http://schemas.openxmlformats.org/officeDocument/2006/relationships/hyperlink" TargetMode="External" Target="https://spark-interfax.ru/system/home/card#/company/F54A8F5B18924C9DA38A36A9248757EE/101"/><Relationship Id="rId10308" Type="http://schemas.openxmlformats.org/officeDocument/2006/relationships/hyperlink" TargetMode="External" Target="https://spark-interfax.ru/system/home/card#/company/CBB77B1B796744E8AABA61888C1BA951/101"/><Relationship Id="rId10309" Type="http://schemas.openxmlformats.org/officeDocument/2006/relationships/hyperlink" TargetMode="External" Target="https://spark-interfax.ru/system/home/card#/company/B4865CCFBA854698BA44B8383B40539F/101"/><Relationship Id="rId10310" Type="http://schemas.openxmlformats.org/officeDocument/2006/relationships/hyperlink" TargetMode="External" Target="https://spark-interfax.ru/system/home/card#/company/1F1580BA550A451F9E9E6D25873B0E60/101"/><Relationship Id="rId10311" Type="http://schemas.openxmlformats.org/officeDocument/2006/relationships/hyperlink" TargetMode="External" Target="https://spark-interfax.ru/system/home/card#/company/8993B1C9A9F67733E0531B9AA8C0DDF0/101"/><Relationship Id="rId10312" Type="http://schemas.openxmlformats.org/officeDocument/2006/relationships/hyperlink" TargetMode="External" Target="https://spark-interfax.ru/system/home/card#/company/FEE0EFBDBA034B3F993438BAC916CAFB/101"/><Relationship Id="rId10313" Type="http://schemas.openxmlformats.org/officeDocument/2006/relationships/hyperlink" TargetMode="External" Target="https://spark-interfax.ru/system/home/card#/company/436B5F4B178D4DC9A53DA1AAA1B1BE27/101"/><Relationship Id="rId10314" Type="http://schemas.openxmlformats.org/officeDocument/2006/relationships/hyperlink" TargetMode="External" Target="https://spark-interfax.ru/system/home/card#/company/5B2293A16D7B0B5BE0531C9AA8C0B301/101"/><Relationship Id="rId10315" Type="http://schemas.openxmlformats.org/officeDocument/2006/relationships/hyperlink" TargetMode="External" Target="https://spark-interfax.ru/system/home/card#/company/6A07D32BC5E24484B271187CA09EE2FD/101"/><Relationship Id="rId10316" Type="http://schemas.openxmlformats.org/officeDocument/2006/relationships/hyperlink" TargetMode="External" Target="https://spark-interfax.ru/system/home/card#/company/63C51CC8842345B4900B3C684AE7FED2/101"/><Relationship Id="rId10317" Type="http://schemas.openxmlformats.org/officeDocument/2006/relationships/hyperlink" TargetMode="External" Target="https://spark-interfax.ru/system/home/card#/company/2DEF7C3F443D4D22A983F60C5A426765/101"/><Relationship Id="rId10318" Type="http://schemas.openxmlformats.org/officeDocument/2006/relationships/hyperlink" TargetMode="External" Target="https://spark-interfax.ru/system/home/card#/company/27E7E7D559DD4C92BCDEF9A3433B0300/101"/><Relationship Id="rId10319" Type="http://schemas.openxmlformats.org/officeDocument/2006/relationships/hyperlink" TargetMode="External" Target="https://spark-interfax.ru/system/home/card#/company/EF83E1CF5E124851896F8AA12CB7C11B/101"/><Relationship Id="rId10320" Type="http://schemas.openxmlformats.org/officeDocument/2006/relationships/hyperlink" TargetMode="External" Target="https://spark-interfax.ru/system/home/card#/company/154C63A714374A2FADB07E79CFA803FE/101"/><Relationship Id="rId10321" Type="http://schemas.openxmlformats.org/officeDocument/2006/relationships/hyperlink" TargetMode="External" Target="https://spark-interfax.ru/system/home/card#/company/D5617611A1FE403DA0A7749D19823260/101"/><Relationship Id="rId10322" Type="http://schemas.openxmlformats.org/officeDocument/2006/relationships/hyperlink" TargetMode="External" Target="https://spark-interfax.ru/system/home/card#/company/592F5E319FF64C148B04F56BCB110C57/101"/><Relationship Id="rId10323" Type="http://schemas.openxmlformats.org/officeDocument/2006/relationships/hyperlink" TargetMode="External" Target="https://spark-interfax.ru/system/home/card#/company/F83F46A7C70748C08A0E1B7A4A94F126/101"/><Relationship Id="rId10324" Type="http://schemas.openxmlformats.org/officeDocument/2006/relationships/hyperlink" TargetMode="External" Target="https://spark-interfax.ru/system/home/card#/company/923A6934B70E42AEA877603768B93EC2/101"/><Relationship Id="rId10325" Type="http://schemas.openxmlformats.org/officeDocument/2006/relationships/hyperlink" TargetMode="External" Target="https://spark-interfax.ru/system/home/card#/company/0C3EBD3454D847FD9369C634DF2FC171/101"/><Relationship Id="rId10326" Type="http://schemas.openxmlformats.org/officeDocument/2006/relationships/hyperlink" TargetMode="External" Target="https://spark-interfax.ru/system/home/card#/company/BB36466F3A844870A9864EE287CA49FB/101"/><Relationship Id="rId10327" Type="http://schemas.openxmlformats.org/officeDocument/2006/relationships/hyperlink" TargetMode="External" Target="https://spark-interfax.ru/system/home/card#/company/B2883F19E2034844B7D444337805A333/101"/><Relationship Id="rId10328" Type="http://schemas.openxmlformats.org/officeDocument/2006/relationships/hyperlink" TargetMode="External" Target="https://spark-interfax.ru/system/home/card#/company/F293BB8948D5438DA3AFA3BCB65A1558/101"/><Relationship Id="rId10329" Type="http://schemas.openxmlformats.org/officeDocument/2006/relationships/hyperlink" TargetMode="External" Target="https://spark-interfax.ru/system/home/card#/company/09FE0F17D90F43DEA522DC9EF32B9ADC/101"/><Relationship Id="rId10330" Type="http://schemas.openxmlformats.org/officeDocument/2006/relationships/hyperlink" TargetMode="External" Target="https://spark-interfax.ru/system/home/card#/company/C9EE60E246444A20BDDBACCD8A1BDD46/101"/><Relationship Id="rId10331" Type="http://schemas.openxmlformats.org/officeDocument/2006/relationships/hyperlink" TargetMode="External" Target="https://spark-interfax.ru/system/home/card#/company/B09542FF23734D7C8DFD844E4E9FFE35/101"/><Relationship Id="rId10332" Type="http://schemas.openxmlformats.org/officeDocument/2006/relationships/hyperlink" TargetMode="External" Target="https://spark-interfax.ru/system/home/card#/company/0C302A92ADB84F3290AC83CE72ECB4FC/101"/><Relationship Id="rId10333" Type="http://schemas.openxmlformats.org/officeDocument/2006/relationships/hyperlink" TargetMode="External" Target="https://spark-interfax.ru/system/home/card#/company/6F136E1EDDFD4CAE99E64986A4273021/101"/><Relationship Id="rId10334" Type="http://schemas.openxmlformats.org/officeDocument/2006/relationships/hyperlink" TargetMode="External" Target="https://spark-interfax.ru/system/home/card#/company/3B1385EDDC194065A5D6A90E9C4C4FB7/101"/><Relationship Id="rId10335" Type="http://schemas.openxmlformats.org/officeDocument/2006/relationships/hyperlink" TargetMode="External" Target="https://spark-interfax.ru/system/home/card#/company/1F5A5A269A344D1691B0C58ABA2E284A/101"/><Relationship Id="rId10336" Type="http://schemas.openxmlformats.org/officeDocument/2006/relationships/hyperlink" TargetMode="External" Target="https://spark-interfax.ru/system/home/card#/company/740EB77E6C114DDABE0D83BC56C0FBED/101"/><Relationship Id="rId10337" Type="http://schemas.openxmlformats.org/officeDocument/2006/relationships/hyperlink" TargetMode="External" Target="https://spark-interfax.ru/system/home/card#/company/1D84EDBE1613460C860C5B94ECD4A16D/101"/><Relationship Id="rId10338" Type="http://schemas.openxmlformats.org/officeDocument/2006/relationships/hyperlink" TargetMode="External" Target="https://spark-interfax.ru/system/home/card#/company/61414053E02B4F4E88BA20C3617F4D1A/101"/><Relationship Id="rId10339" Type="http://schemas.openxmlformats.org/officeDocument/2006/relationships/hyperlink" TargetMode="External" Target="https://spark-interfax.ru/system/home/card#/company/D52726A7B3814DE8AF7E7EA57D0638B4/101"/><Relationship Id="rId10340" Type="http://schemas.openxmlformats.org/officeDocument/2006/relationships/hyperlink" TargetMode="External" Target="https://spark-interfax.ru/system/home/card#/company/5FDE501FE9684BFF98A7CF2DA4AA24E9/101"/><Relationship Id="rId10341" Type="http://schemas.openxmlformats.org/officeDocument/2006/relationships/hyperlink" TargetMode="External" Target="https://spark-interfax.ru/system/home/card#/company/8377E2339EE74CFF937E7E7F9C341068/101"/><Relationship Id="rId10342" Type="http://schemas.openxmlformats.org/officeDocument/2006/relationships/hyperlink" TargetMode="External" Target="https://spark-interfax.ru/system/home/card#/company/1963162DB85A466AB6790DB2EA9F505C/101"/><Relationship Id="rId10343" Type="http://schemas.openxmlformats.org/officeDocument/2006/relationships/hyperlink" TargetMode="External" Target="https://spark-interfax.ru/system/home/card#/company/4E8045C5A4644F6F84F86685819358D0/101"/><Relationship Id="rId10344" Type="http://schemas.openxmlformats.org/officeDocument/2006/relationships/hyperlink" TargetMode="External" Target="https://spark-interfax.ru/system/home/card#/company/06B49244869D4DB0919C473E663AD9C5/101"/><Relationship Id="rId10345" Type="http://schemas.openxmlformats.org/officeDocument/2006/relationships/hyperlink" TargetMode="External" Target="https://spark-interfax.ru/system/home/card#/company/351EFBF99B52414892CB2006B445FB08/101"/><Relationship Id="rId10346" Type="http://schemas.openxmlformats.org/officeDocument/2006/relationships/hyperlink" TargetMode="External" Target="https://spark-interfax.ru/system/home/card#/company/E0B9A52D03494683ABAF55448B91FE76/101"/><Relationship Id="rId10347" Type="http://schemas.openxmlformats.org/officeDocument/2006/relationships/hyperlink" TargetMode="External" Target="https://spark-interfax.ru/system/home/card#/company/F3F506F26E7D4CD8BAFDC5FF46D2B225/101"/><Relationship Id="rId10348" Type="http://schemas.openxmlformats.org/officeDocument/2006/relationships/hyperlink" TargetMode="External" Target="https://spark-interfax.ru/system/home/card#/company/DAD97DF9C2E445B99997AE1FDCEE814B/101"/><Relationship Id="rId10349" Type="http://schemas.openxmlformats.org/officeDocument/2006/relationships/hyperlink" TargetMode="External" Target="https://spark-interfax.ru/system/home/card#/company/1B06D7EECC4E4A66AD1C08CF8D883F64/101"/><Relationship Id="rId10350" Type="http://schemas.openxmlformats.org/officeDocument/2006/relationships/hyperlink" TargetMode="External" Target="https://spark-interfax.ru/system/home/card#/company/2C1551865BAA42C5A4F24D1CF707943A/101"/><Relationship Id="rId10351" Type="http://schemas.openxmlformats.org/officeDocument/2006/relationships/hyperlink" TargetMode="External" Target="https://spark-interfax.ru/system/home/card#/company/70BF8BFB7DC64494A8CF5EF4DF61B05B/101"/><Relationship Id="rId10352" Type="http://schemas.openxmlformats.org/officeDocument/2006/relationships/hyperlink" TargetMode="External" Target="https://spark-interfax.ru/system/home/card#/company/DB7F68644DE245C9A28485A94E8035C6/101"/><Relationship Id="rId10353" Type="http://schemas.openxmlformats.org/officeDocument/2006/relationships/hyperlink" TargetMode="External" Target="https://spark-interfax.ru/system/home/card#/company/B96DF16A5F233B9FE053219AA8C0DCA7/101"/><Relationship Id="rId10354" Type="http://schemas.openxmlformats.org/officeDocument/2006/relationships/hyperlink" TargetMode="External" Target="https://spark-interfax.ru/system/home/card#/company/563D019BBF9246E5BC78B38521E05866/101"/><Relationship Id="rId10355" Type="http://schemas.openxmlformats.org/officeDocument/2006/relationships/hyperlink" TargetMode="External" Target="https://spark-interfax.ru/system/home/card#/company/D17A00C837264BC3B52C4A67C595702A/101"/><Relationship Id="rId10356" Type="http://schemas.openxmlformats.org/officeDocument/2006/relationships/hyperlink" TargetMode="External" Target="https://spark-interfax.ru/system/home/card#/company/C5C04A6F51D04F34A77A948B7DA5C34E/101"/><Relationship Id="rId10357" Type="http://schemas.openxmlformats.org/officeDocument/2006/relationships/hyperlink" TargetMode="External" Target="https://spark-interfax.ru/system/home/card#/company/7D14D1D2BFD94435B5E06EF86523A01A/101"/><Relationship Id="rId10358" Type="http://schemas.openxmlformats.org/officeDocument/2006/relationships/hyperlink" TargetMode="External" Target="https://spark-interfax.ru/system/home/card#/company/930B31E7454A4D07A6EA889CF5447BC9/101"/><Relationship Id="rId10359" Type="http://schemas.openxmlformats.org/officeDocument/2006/relationships/hyperlink" TargetMode="External" Target="https://spark-interfax.ru/system/home/card#/company/DAF1D0044DC941D5AF03939951A757DC/101"/><Relationship Id="rId10360" Type="http://schemas.openxmlformats.org/officeDocument/2006/relationships/hyperlink" TargetMode="External" Target="https://spark-interfax.ru/system/home/card#/company/EEE3DB826F45403A916557D25705B2F6/101"/><Relationship Id="rId10361" Type="http://schemas.openxmlformats.org/officeDocument/2006/relationships/hyperlink" TargetMode="External" Target="https://spark-interfax.ru/system/home/card#/company/F925097DF21B42B995A0C825AB2F26EC/101"/><Relationship Id="rId10362" Type="http://schemas.openxmlformats.org/officeDocument/2006/relationships/hyperlink" TargetMode="External" Target="https://spark-interfax.ru/system/home/card#/company/5A573009ABEF43C1AC145937A2DBBB57/101"/><Relationship Id="rId10363" Type="http://schemas.openxmlformats.org/officeDocument/2006/relationships/hyperlink" TargetMode="External" Target="https://spark-interfax.ru/system/home/card#/company/113ED37DFD0942E090A75E0204887805/101"/><Relationship Id="rId10364" Type="http://schemas.openxmlformats.org/officeDocument/2006/relationships/hyperlink" TargetMode="External" Target="https://spark-interfax.ru/system/home/card#/company/5C5E9B830BF47ADCE0531C9AA8C01F37/101"/><Relationship Id="rId10365" Type="http://schemas.openxmlformats.org/officeDocument/2006/relationships/hyperlink" TargetMode="External" Target="https://spark-interfax.ru/system/home/card#/company/830101EFBC3A46D7AB2C4073ABC1EB07/101"/><Relationship Id="rId10366" Type="http://schemas.openxmlformats.org/officeDocument/2006/relationships/hyperlink" TargetMode="External" Target="https://spark-interfax.ru/system/home/card#/company/BC62222981684BE789734149541D4AA7/101"/><Relationship Id="rId10367" Type="http://schemas.openxmlformats.org/officeDocument/2006/relationships/hyperlink" TargetMode="External" Target="https://spark-interfax.ru/system/home/card#/company/EE5EE163B30D479186CEF0442E8D013B/101"/><Relationship Id="rId10368" Type="http://schemas.openxmlformats.org/officeDocument/2006/relationships/hyperlink" TargetMode="External" Target="https://spark-interfax.ru/system/home/card#/company/6AA199B612DC46359A4E85B5433E22A6/101"/><Relationship Id="rId10369" Type="http://schemas.openxmlformats.org/officeDocument/2006/relationships/hyperlink" TargetMode="External" Target="https://spark-interfax.ru/system/home/card#/company/698705507C8B4E56B5E5FE826DA52C16/101"/><Relationship Id="rId10370" Type="http://schemas.openxmlformats.org/officeDocument/2006/relationships/hyperlink" TargetMode="External" Target="https://spark-interfax.ru/system/home/card#/company/D7ADB5E5D52B43DE9CA542BA0D41A881/101"/><Relationship Id="rId10371" Type="http://schemas.openxmlformats.org/officeDocument/2006/relationships/hyperlink" TargetMode="External" Target="https://spark-interfax.ru/system/home/card#/company/FBB55BBB9C8A4D47BC859B09F13DE1FF/101"/><Relationship Id="rId10372" Type="http://schemas.openxmlformats.org/officeDocument/2006/relationships/hyperlink" TargetMode="External" Target="https://spark-interfax.ru/system/home/card#/company/9600F5B29D5741AAAF24D88326850D71/101"/><Relationship Id="rId10373" Type="http://schemas.openxmlformats.org/officeDocument/2006/relationships/hyperlink" TargetMode="External" Target="https://spark-interfax.ru/system/home/card#/company/00C5C52456414EC18A361613327CE844/101"/><Relationship Id="rId10374" Type="http://schemas.openxmlformats.org/officeDocument/2006/relationships/hyperlink" TargetMode="External" Target="https://spark-interfax.ru/system/home/card#/company/5A995FDCA65E46FAA359BB448FB4B18B/101"/><Relationship Id="rId10375" Type="http://schemas.openxmlformats.org/officeDocument/2006/relationships/hyperlink" TargetMode="External" Target="https://spark-interfax.ru/system/home/card#/company/90BB427525941117E0531B9AA8C0E29A/101"/><Relationship Id="rId10376" Type="http://schemas.openxmlformats.org/officeDocument/2006/relationships/hyperlink" TargetMode="External" Target="https://spark-interfax.ru/system/home/card#/company/291249DB9F0748B08E2E8273191DF049/101"/><Relationship Id="rId10377" Type="http://schemas.openxmlformats.org/officeDocument/2006/relationships/hyperlink" TargetMode="External" Target="https://spark-interfax.ru/system/home/card#/company/090F2C46672B4B18A30B3252AC50DF8F/101"/><Relationship Id="rId10378" Type="http://schemas.openxmlformats.org/officeDocument/2006/relationships/hyperlink" TargetMode="External" Target="https://spark-interfax.ru/system/home/card#/company/6FAA928B4AF142C0AB7695FADDA3B7C4/101"/><Relationship Id="rId10379" Type="http://schemas.openxmlformats.org/officeDocument/2006/relationships/hyperlink" TargetMode="External" Target="https://spark-interfax.ru/system/home/card#/company/5B24E83F7DDE486C8824C58183BA19B8/101"/><Relationship Id="rId10380" Type="http://schemas.openxmlformats.org/officeDocument/2006/relationships/hyperlink" TargetMode="External" Target="https://spark-interfax.ru/system/home/card#/company/C9ABAEFA4FBB4B3E871646A9E708A337/101"/><Relationship Id="rId10381" Type="http://schemas.openxmlformats.org/officeDocument/2006/relationships/hyperlink" TargetMode="External" Target="https://spark-interfax.ru/system/home/card#/company/4A9CF15396024FC2826B3E28377C2DEA/101"/><Relationship Id="rId10382" Type="http://schemas.openxmlformats.org/officeDocument/2006/relationships/hyperlink" TargetMode="External" Target="https://spark-interfax.ru/system/home/card#/company/E4452A07E3BD44A58BBBC06CFD2CA672/101"/><Relationship Id="rId10383" Type="http://schemas.openxmlformats.org/officeDocument/2006/relationships/hyperlink" TargetMode="External" Target="https://spark-interfax.ru/system/home/card#/company/3EF5562018B24FC691481BE52C9F7CE2/101"/><Relationship Id="rId10384" Type="http://schemas.openxmlformats.org/officeDocument/2006/relationships/hyperlink" TargetMode="External" Target="https://spark-interfax.ru/system/home/card#/company/18250A4FC73B413C8108DF19D95BA7DA/101"/><Relationship Id="rId10385" Type="http://schemas.openxmlformats.org/officeDocument/2006/relationships/hyperlink" TargetMode="External" Target="https://spark-interfax.ru/system/home/card#/company/705A55B8636B5D64E0531B9AA8C082B4/101"/><Relationship Id="rId10386" Type="http://schemas.openxmlformats.org/officeDocument/2006/relationships/hyperlink" TargetMode="External" Target="https://spark-interfax.ru/system/home/card#/company/46FA143A998C4B908D16B0F11175D792/101"/><Relationship Id="rId10387" Type="http://schemas.openxmlformats.org/officeDocument/2006/relationships/hyperlink" TargetMode="External" Target="https://spark-interfax.ru/system/home/card#/company/CFD2D70B548A4225AEF68858A3543244/101"/><Relationship Id="rId10388" Type="http://schemas.openxmlformats.org/officeDocument/2006/relationships/hyperlink" TargetMode="External" Target="https://spark-interfax.ru/system/home/card#/company/6312EC99AEE515B3E0531B9AA8C0C3BB/101"/><Relationship Id="rId10389" Type="http://schemas.openxmlformats.org/officeDocument/2006/relationships/hyperlink" TargetMode="External" Target="https://spark-interfax.ru/system/home/card#/company/6C43573EE14F6AFDE0531B9AA8C0A2CE/101"/><Relationship Id="rId10390" Type="http://schemas.openxmlformats.org/officeDocument/2006/relationships/hyperlink" TargetMode="External" Target="https://spark-interfax.ru/system/home/card#/company/70E7CFC6A0A38C1AE0531B9AA8C0D068/101"/><Relationship Id="rId10391" Type="http://schemas.openxmlformats.org/officeDocument/2006/relationships/hyperlink" TargetMode="External" Target="https://spark-interfax.ru/system/home/card#/company/B8B44DB6F7E640E5862792F849B3CA5E/101"/><Relationship Id="rId10392" Type="http://schemas.openxmlformats.org/officeDocument/2006/relationships/hyperlink" TargetMode="External" Target="https://spark-interfax.ru/system/home/card#/company/A27121E26E0F43F484FDBA66DC8E02E4/101"/><Relationship Id="rId10393" Type="http://schemas.openxmlformats.org/officeDocument/2006/relationships/hyperlink" TargetMode="External" Target="https://spark-interfax.ru/system/home/card#/company/5BF070662141451990C0C57700DD8B4C/101"/><Relationship Id="rId10394" Type="http://schemas.openxmlformats.org/officeDocument/2006/relationships/hyperlink" TargetMode="External" Target="https://spark-interfax.ru/system/home/card#/company/2A050BDF473C4047AC6F66330389008A/101"/><Relationship Id="rId10395" Type="http://schemas.openxmlformats.org/officeDocument/2006/relationships/hyperlink" TargetMode="External" Target="https://spark-interfax.ru/system/home/card#/company/6374B7A163EA4FD58BF558188BB3ED7F/101"/><Relationship Id="rId10396" Type="http://schemas.openxmlformats.org/officeDocument/2006/relationships/hyperlink" TargetMode="External" Target="https://spark-interfax.ru/system/home/card#/company/469163020D1E41BE9F16D6058223C606/101"/><Relationship Id="rId10397" Type="http://schemas.openxmlformats.org/officeDocument/2006/relationships/hyperlink" TargetMode="External" Target="https://spark-interfax.ru/system/home/card#/company/E20AD60F43C94CE6A20A8D7A6692192E/101"/><Relationship Id="rId10398" Type="http://schemas.openxmlformats.org/officeDocument/2006/relationships/hyperlink" TargetMode="External" Target="https://spark-interfax.ru/system/home/card#/company/025F8C24B88E4B4786603EB5A3947000/101"/><Relationship Id="rId10399" Type="http://schemas.openxmlformats.org/officeDocument/2006/relationships/hyperlink" TargetMode="External" Target="https://spark-interfax.ru/system/home/card#/company/1997648471C84D7483C37860D977B7FB/101"/><Relationship Id="rId10400" Type="http://schemas.openxmlformats.org/officeDocument/2006/relationships/hyperlink" TargetMode="External" Target="https://spark-interfax.ru/system/home/card#/company/20EA2852870749D2A28E5CAC72A36A7E/101"/><Relationship Id="rId10401" Type="http://schemas.openxmlformats.org/officeDocument/2006/relationships/hyperlink" TargetMode="External" Target="https://spark-interfax.ru/system/home/card#/company/6734DB05EA6045F5B8628346AFD61C35/101"/><Relationship Id="rId10402" Type="http://schemas.openxmlformats.org/officeDocument/2006/relationships/hyperlink" TargetMode="External" Target="https://spark-interfax.ru/system/home/card#/company/B41F713850324DD096D795B025E773BA/101"/><Relationship Id="rId10403" Type="http://schemas.openxmlformats.org/officeDocument/2006/relationships/hyperlink" TargetMode="External" Target="https://spark-interfax.ru/system/home/card#/company/5733B19CC903457E845A63909C20B974/101"/><Relationship Id="rId10404" Type="http://schemas.openxmlformats.org/officeDocument/2006/relationships/hyperlink" TargetMode="External" Target="https://spark-interfax.ru/system/home/card#/company/75689408DC844204A53CEBCCF6F177EE/101"/><Relationship Id="rId10405" Type="http://schemas.openxmlformats.org/officeDocument/2006/relationships/hyperlink" TargetMode="External" Target="https://spark-interfax.ru/system/home/card#/company/D14EBFCB00F3458AB177E27BEC91ED36/101"/><Relationship Id="rId10406" Type="http://schemas.openxmlformats.org/officeDocument/2006/relationships/hyperlink" TargetMode="External" Target="https://spark-interfax.ru/system/home/card#/company/9653615D8C6948569FECEEDB896D0AE3/101"/><Relationship Id="rId10407" Type="http://schemas.openxmlformats.org/officeDocument/2006/relationships/hyperlink" TargetMode="External" Target="https://spark-interfax.ru/system/home/card#/company/4E578890D7EC44D18CDA2B2BB47DE8DC/101"/></Relationships>
</file>

<file path=xl/worksheets/sheet1.xml><?xml version="1.0" encoding="utf-8"?>
<worksheet xmlns:r="http://schemas.openxmlformats.org/officeDocument/2006/relationships" xmlns="http://schemas.openxmlformats.org/spreadsheetml/2006/main">
  <dimension ref="A2:E93"/>
  <sheetViews>
    <sheetView workbookViewId="0" tabSelected="0" topLeftCell="A1">
      <selection sqref="AG1:BM1" activeCell="AG1" activeCellId="0"/>
    </sheetView>
  </sheetViews>
  <sheetFormatPr defaultRowHeight="35.25" outlineLevelRow="0" outlineLevelCol="0" customHeight="true" defaultColWidth="7.59765625"/>
  <cols>
    <col min="1" max="1" width="13.73046875" style="11" bestFit="1" customWidth="1"/>
    <col min="2" max="2" width="13.73046875" style="11" bestFit="1" customWidth="1"/>
    <col min="3" max="3" width="13.73046875" style="11" bestFit="1" customWidth="1"/>
    <col min="4" max="4" width="13.73046875" style="11" bestFit="1" customWidth="1"/>
    <col min="5" max="5" width="16" style="0" customWidth="1"/>
    <col min="6" max="6" width="7.59765625" style="11"/>
    <col min="7" max="7" width="7.59765625" style="11"/>
    <col min="8" max="8" width="7.59765625" style="11"/>
    <col min="9" max="9" width="7.59765625" style="11"/>
    <col min="10" max="10" width="7.59765625" style="11"/>
    <col min="10" max="10" width="15.46484375" style="11" customWidth="1"/>
    <col min="11" max="11" width="7.59765625" style="11"/>
    <col min="12" max="12" width="13.73046875" style="11" customWidth="1" bestFit="1"/>
    <col min="13" max="13" width="13.73046875" style="11" customWidth="1" bestFit="1"/>
    <col min="14" max="14" width="13.73046875" style="11" customWidth="1" bestFit="1"/>
    <col min="15" max="15" width="13.73046875" style="11"/>
    <col min="16" max="16" width="7.59765625" style="11"/>
    <col min="15" max="15" width="13.73046875" style="11" customWidth="1" bestFit="1"/>
    <col min="16" max="16" width="7.59765625" style="11"/>
    <col min="17" max="17" width="7.59765625" style="11"/>
    <col min="18" max="18" width="7.59765625" style="11"/>
    <col min="19" max="19" width="7.59765625" style="11"/>
    <col min="20" max="20" width="7.59765625" style="11"/>
    <col min="21" max="21" width="7.59765625" style="11"/>
    <col min="22" max="22" width="7.59765625" style="11"/>
    <col min="23" max="23" width="7.59765625" style="11"/>
    <col min="24" max="24" width="7.59765625" style="11"/>
    <col min="25" max="25" width="7.59765625" style="11"/>
    <col min="26" max="26" width="7.59765625" style="11"/>
    <col min="27" max="27" width="7.59765625" style="11"/>
    <col min="28" max="28" width="7.59765625" style="11"/>
    <col min="29" max="29" width="7.59765625" style="11"/>
    <col min="30" max="30" width="7.59765625" style="11"/>
    <col min="31" max="31" width="7.59765625" style="11"/>
    <col min="32" max="32" width="7.59765625" style="11"/>
    <col min="33" max="33" width="13.73046875" style="11"/>
    <col min="34" max="34" width="7.59765625" style="11"/>
    <col min="33" max="33" width="7.59765625" style="39" customWidth="1" bestFit="1"/>
    <col min="34" max="34" width="7.59765625" style="11"/>
    <col min="35" max="35" width="7.59765625" style="11"/>
    <col min="36" max="36" width="7.59765625" style="11"/>
    <col min="37" max="37" width="7.59765625" style="11"/>
    <col min="38" max="38" width="7.59765625" style="11"/>
    <col min="39" max="39" width="7.59765625" style="11"/>
    <col min="40" max="40" width="7.59765625" style="11"/>
    <col min="41" max="41" width="7.59765625" style="11"/>
    <col min="42" max="42" width="7.59765625" style="11"/>
    <col min="43" max="43" width="7.59765625" style="11"/>
    <col min="44" max="44" width="7.59765625" style="11"/>
    <col min="45" max="45" width="7.59765625" style="11"/>
    <col min="46" max="46" width="7.59765625" style="11"/>
    <col min="47" max="47" width="7.59765625" style="11"/>
    <col min="48" max="48" width="7.59765625" style="11"/>
    <col min="49" max="49" width="7.59765625" style="11"/>
    <col min="50" max="50" width="7.59765625" style="11"/>
    <col min="51" max="51" width="7.59765625" style="11"/>
    <col min="52" max="52" width="7.59765625" style="11"/>
    <col min="53" max="53" width="7.59765625" style="11"/>
    <col min="54" max="54" width="7.59765625" style="11"/>
    <col min="55" max="55" width="7.59765625" style="11"/>
    <col min="56" max="56" width="7.59765625" style="11"/>
    <col min="57" max="57" width="7.59765625" style="11"/>
    <col min="58" max="58" width="7.59765625" style="11"/>
    <col min="59" max="59" width="7.59765625" style="11"/>
    <col min="60" max="16384" width="7.59765625" style="11"/>
  </cols>
  <sheetData>
    <row r="1" ht="48">
      <c r="A1" s="13" t="s">
        <v>2</v>
      </c>
      <c r="B1" s="13" t="s">
        <v>281</v>
      </c>
      <c r="C1" s="13" t="s">
        <v>282</v>
      </c>
      <c r="D1" s="13" t="s">
        <v>283</v>
      </c>
      <c r="E1" s="0" t="s">
        <v>284</v>
      </c>
      <c r="F1" s="13" t="s">
        <v>285</v>
      </c>
      <c r="G1" s="13" t="s">
        <v>61520</v>
      </c>
      <c r="H1" s="13" t="s">
        <v>61521</v>
      </c>
      <c r="I1" s="13" t="s">
        <v>61522</v>
      </c>
      <c r="J1" s="13" t="s">
        <v>320</v>
      </c>
      <c r="K1" s="13" t="s">
        <v>61518</v>
      </c>
      <c r="L1" s="13" t="s">
        <v>61523</v>
      </c>
      <c r="M1" s="13" t="s">
        <v>61524</v>
      </c>
      <c r="N1" s="13" t="s">
        <v>293</v>
      </c>
      <c r="O1" s="13" t="s">
        <v>4</v>
      </c>
      <c r="P1" s="13" t="s">
        <v>294</v>
      </c>
      <c r="Q1" s="15" t="s">
        <v>61527</v>
      </c>
      <c r="R1" s="15" t="s">
        <v>61526</v>
      </c>
      <c r="S1" s="15" t="s">
        <v>61525</v>
      </c>
      <c r="T1" s="15" t="s">
        <v>61528</v>
      </c>
      <c r="U1" s="15" t="s">
        <v>61529</v>
      </c>
      <c r="V1" s="15" t="s">
        <v>61530</v>
      </c>
      <c r="W1" s="15" t="s">
        <v>61531</v>
      </c>
      <c r="X1" s="15" t="s">
        <v>61532</v>
      </c>
      <c r="Y1" s="15" t="s">
        <v>61533</v>
      </c>
      <c r="Z1" s="15" t="s">
        <v>61534</v>
      </c>
      <c r="AA1" s="15" t="s">
        <v>61535</v>
      </c>
      <c r="AB1" s="15" t="s">
        <v>61536</v>
      </c>
      <c r="AC1" s="15" t="s">
        <v>61537</v>
      </c>
      <c r="AD1" s="15" t="s">
        <v>61538</v>
      </c>
      <c r="AE1" s="15" t="s">
        <v>61539</v>
      </c>
      <c r="AF1" s="15" t="s">
        <v>61540</v>
      </c>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row>
    <row r="2">
      <c r="A2" s="7" t="s">
        <v>1755</v>
      </c>
      <c r="B2" s="5" t="s">
        <v>9724</v>
      </c>
      <c r="C2" s="5" t="s">
        <v>17634</v>
      </c>
      <c r="D2" s="5" t="str">
        <v>166024598007</v>
      </c>
      <c r="E2" s="0" t="e">
        <f>+7 (800) 4441494</f>
        <v>#NAME?</v>
      </c>
      <c r="F2" s="5"/>
      <c r="G2" s="5" t="s">
        <v>25185</v>
      </c>
      <c r="H2" s="26">
        <v>6</v>
      </c>
      <c r="I2" s="5" t="s">
        <v>25186</v>
      </c>
      <c r="J2" s="5" t="s">
        <v>364</v>
      </c>
      <c r="K2" s="5" t="s">
        <v>355</v>
      </c>
      <c r="L2" s="5"/>
      <c r="M2" s="27"/>
      <c r="N2" s="5"/>
      <c r="O2" s="5" t="str">
        <v>1655378243</v>
      </c>
      <c r="P2" s="27">
        <v>10000</v>
      </c>
      <c r="Q2" s="5" t="s">
        <v>49009</v>
      </c>
      <c r="R2" s="5"/>
      <c r="S2" s="5" t="s">
        <v>49010</v>
      </c>
      <c r="T2" s="28">
        <v>6953000</v>
      </c>
      <c r="U2" s="28"/>
      <c r="V2" s="28">
        <v>2963999000</v>
      </c>
      <c r="W2" s="28">
        <v>41368000</v>
      </c>
      <c r="X2" s="28">
        <v>1468000</v>
      </c>
      <c r="Y2" s="28">
        <v>3064827000</v>
      </c>
      <c r="Z2" s="28">
        <v>-6540000</v>
      </c>
      <c r="AA2" s="28"/>
      <c r="AB2" s="28">
        <v>29000</v>
      </c>
      <c r="AC2" s="28">
        <v>3070539000</v>
      </c>
      <c r="AD2" s="28">
        <v>-6530000</v>
      </c>
      <c r="AE2" s="28">
        <v>4072523000</v>
      </c>
      <c r="AF2" s="28">
        <v>-175000</v>
      </c>
      <c r="AG2" s="11"/>
    </row>
    <row r="3">
      <c r="A3" s="7" t="s">
        <v>1756</v>
      </c>
      <c r="B3" s="5" t="s">
        <v>9725</v>
      </c>
      <c r="C3" s="5" t="s">
        <v>17635</v>
      </c>
      <c r="D3" s="5" t="str">
        <v>591100086999</v>
      </c>
      <c r="E3" s="0" t="e">
        <f>+7 (343) 2260059
+7 (903) 814288
+7 (3422) 388668</f>
        <v>#NAME?</v>
      </c>
      <c r="F3" s="5" t="s">
        <v>25187</v>
      </c>
      <c r="G3" s="5" t="s">
        <v>25188</v>
      </c>
      <c r="H3" s="26">
        <v>9.5</v>
      </c>
      <c r="I3" s="5" t="s">
        <v>25189</v>
      </c>
      <c r="J3" s="5" t="s">
        <v>25190</v>
      </c>
      <c r="K3" s="5" t="s">
        <v>344</v>
      </c>
      <c r="L3" s="5" t="s">
        <v>25191</v>
      </c>
      <c r="M3" s="27">
        <v>785408</v>
      </c>
      <c r="N3" s="5" t="s">
        <v>49011</v>
      </c>
      <c r="O3" s="5" t="str">
        <v>5902240063</v>
      </c>
      <c r="P3" s="27">
        <v>10000</v>
      </c>
      <c r="Q3" s="5" t="s">
        <v>49009</v>
      </c>
      <c r="R3" s="5"/>
      <c r="S3" s="5" t="s">
        <v>49012</v>
      </c>
      <c r="T3" s="28">
        <v>170103000</v>
      </c>
      <c r="U3" s="28"/>
      <c r="V3" s="28">
        <v>515396000</v>
      </c>
      <c r="W3" s="28">
        <v>94992000</v>
      </c>
      <c r="X3" s="28">
        <v>445747000</v>
      </c>
      <c r="Y3" s="28">
        <v>1668093000</v>
      </c>
      <c r="Z3" s="28">
        <v>778611000</v>
      </c>
      <c r="AA3" s="28"/>
      <c r="AB3" s="28">
        <v>136083000</v>
      </c>
      <c r="AC3" s="28">
        <v>831328000</v>
      </c>
      <c r="AD3" s="28">
        <v>778621000</v>
      </c>
      <c r="AE3" s="28">
        <v>7232895000</v>
      </c>
      <c r="AF3" s="28">
        <v>111722000</v>
      </c>
      <c r="AG3" s="11"/>
    </row>
    <row r="4">
      <c r="A4" s="7" t="s">
        <v>1757</v>
      </c>
      <c r="B4" s="5" t="s">
        <v>9726</v>
      </c>
      <c r="C4" s="5" t="s">
        <v>17636</v>
      </c>
      <c r="D4" s="5" t="str">
        <v>501305071393</v>
      </c>
      <c r="E4" s="0" t="e">
        <f>+7 (495) 7373797</f>
        <v>#NAME?</v>
      </c>
      <c r="F4" s="5" t="s">
        <v>25192</v>
      </c>
      <c r="G4" s="5"/>
      <c r="H4" s="26">
        <v>4</v>
      </c>
      <c r="I4" s="5"/>
      <c r="J4" s="5" t="s">
        <v>25193</v>
      </c>
      <c r="K4" s="5" t="s">
        <v>344</v>
      </c>
      <c r="L4" s="5"/>
      <c r="M4" s="27"/>
      <c r="N4" s="5"/>
      <c r="O4" s="5" t="str">
        <v>9715334311</v>
      </c>
      <c r="P4" s="27">
        <v>180271707</v>
      </c>
      <c r="Q4" s="5" t="s">
        <v>49014</v>
      </c>
      <c r="R4" s="5"/>
      <c r="S4" s="5" t="s">
        <v>49015</v>
      </c>
      <c r="T4" s="28">
        <v>1507773000</v>
      </c>
      <c r="U4" s="28"/>
      <c r="V4" s="28">
        <v>853281000</v>
      </c>
      <c r="W4" s="28"/>
      <c r="X4" s="28">
        <v>206722000</v>
      </c>
      <c r="Y4" s="28">
        <v>5696983000</v>
      </c>
      <c r="Z4" s="28">
        <v>-1619195000</v>
      </c>
      <c r="AA4" s="28">
        <v>1999042000</v>
      </c>
      <c r="AB4" s="28">
        <v>463948000</v>
      </c>
      <c r="AC4" s="28">
        <v>1782412000</v>
      </c>
      <c r="AD4" s="28">
        <v>60595000</v>
      </c>
      <c r="AE4" s="28">
        <v>6249609000</v>
      </c>
      <c r="AF4" s="28">
        <v>-385801000</v>
      </c>
      <c r="AG4" s="11"/>
    </row>
    <row r="5">
      <c r="A5" s="7" t="s">
        <v>1758</v>
      </c>
      <c r="B5" s="5" t="s">
        <v>9727</v>
      </c>
      <c r="C5" s="5" t="s">
        <v>17637</v>
      </c>
      <c r="D5" s="5" t="str">
        <v>720212461164</v>
      </c>
      <c r="E5" s="0" t="e">
        <f>+7 (499) 1107625
+7 (912) 2822213</f>
        <v>#NAME?</v>
      </c>
      <c r="F5" s="5"/>
      <c r="G5" s="5"/>
      <c r="H5" s="26">
        <v>7</v>
      </c>
      <c r="I5" s="5" t="s">
        <v>25194</v>
      </c>
      <c r="J5" s="5" t="s">
        <v>25195</v>
      </c>
      <c r="K5" s="5" t="s">
        <v>355</v>
      </c>
      <c r="L5" s="5" t="s">
        <v>25196</v>
      </c>
      <c r="M5" s="27">
        <v>11439791</v>
      </c>
      <c r="N5" s="5"/>
      <c r="O5" s="5" t="str">
        <v>6658485429</v>
      </c>
      <c r="P5" s="27">
        <v>16215</v>
      </c>
      <c r="Q5" s="5" t="s">
        <v>49016</v>
      </c>
      <c r="R5" s="5"/>
      <c r="S5" s="5" t="s">
        <v>49017</v>
      </c>
      <c r="T5" s="28">
        <v>1992865000</v>
      </c>
      <c r="U5" s="28">
        <v>351000</v>
      </c>
      <c r="V5" s="28">
        <v>423308000</v>
      </c>
      <c r="W5" s="28">
        <v>3467000</v>
      </c>
      <c r="X5" s="28">
        <v>86745000</v>
      </c>
      <c r="Y5" s="28">
        <v>4832922000</v>
      </c>
      <c r="Z5" s="28">
        <v>662284000</v>
      </c>
      <c r="AA5" s="28"/>
      <c r="AB5" s="28">
        <v>696577000</v>
      </c>
      <c r="AC5" s="28">
        <v>2332199000</v>
      </c>
      <c r="AD5" s="28">
        <v>785428000</v>
      </c>
      <c r="AE5" s="28">
        <v>7308192000</v>
      </c>
      <c r="AF5" s="28">
        <v>-53130000</v>
      </c>
      <c r="AG5" s="11"/>
    </row>
    <row r="6">
      <c r="A6" s="7" t="s">
        <v>1759</v>
      </c>
      <c r="B6" s="5" t="s">
        <v>9728</v>
      </c>
      <c r="C6" s="5" t="s">
        <v>17638</v>
      </c>
      <c r="D6" s="5" t="str">
        <v>525617856171</v>
      </c>
      <c r="E6" s="0" t="e">
        <f>+7 (495) 6255370
+7 (495) 1055370
+7 (495) 1055375
+7 (495) 4706234
+7 (495) 4706289
+7 (495) 4708071
+7 (495) 4708085
+7 (495) 4715922
+7 (495) 6255371
+7 (495) 6255372
+7 (495) 6255375
+7 (495) 6255379
+7 (495) 6255383
+7 (495) 7211520
+7 (499) 2535371</f>
        <v>#NAME?</v>
      </c>
      <c r="F6" s="5" t="s">
        <v>25197</v>
      </c>
      <c r="G6" s="5"/>
      <c r="H6" s="26">
        <v>27</v>
      </c>
      <c r="I6" s="5" t="s">
        <v>25198</v>
      </c>
      <c r="J6" s="5" t="s">
        <v>25199</v>
      </c>
      <c r="K6" s="5" t="s">
        <v>344</v>
      </c>
      <c r="L6" s="5"/>
      <c r="M6" s="27"/>
      <c r="N6" s="5" t="s">
        <v>49018</v>
      </c>
      <c r="O6" s="5" t="str">
        <v>7716117203</v>
      </c>
      <c r="P6" s="27">
        <v>11700000</v>
      </c>
      <c r="Q6" s="5" t="s">
        <v>49019</v>
      </c>
      <c r="R6" s="5"/>
      <c r="S6" s="5" t="s">
        <v>49020</v>
      </c>
      <c r="T6" s="28">
        <v>83909000</v>
      </c>
      <c r="U6" s="28"/>
      <c r="V6" s="28">
        <v>2946645000</v>
      </c>
      <c r="W6" s="28"/>
      <c r="X6" s="28">
        <v>79842000</v>
      </c>
      <c r="Y6" s="28">
        <v>4723374000</v>
      </c>
      <c r="Z6" s="28">
        <v>878723000</v>
      </c>
      <c r="AA6" s="28">
        <v>510000000</v>
      </c>
      <c r="AB6" s="28">
        <v>715603000</v>
      </c>
      <c r="AC6" s="28">
        <v>3319224000</v>
      </c>
      <c r="AD6" s="28">
        <v>733089000</v>
      </c>
      <c r="AE6" s="28">
        <v>3990540000</v>
      </c>
      <c r="AF6" s="28">
        <v>152062000</v>
      </c>
      <c r="AG6" s="11"/>
    </row>
    <row r="7">
      <c r="A7" s="7" t="s">
        <v>1760</v>
      </c>
      <c r="B7" s="5" t="s">
        <v>9729</v>
      </c>
      <c r="C7" s="5" t="s">
        <v>17639</v>
      </c>
      <c r="D7" s="5" t="str">
        <v>390700925222</v>
      </c>
      <c r="E7" s="0" t="e">
        <f>+7 (495) 2291441
+7 (495) 6291441
+7 (800) 5504409
+7 (863) 3115892
+7 (863) 3115893
+7 (924) 4796050
+7 (938) 5440401
+7 (938) 5440402
+7 (938) 5440403
+7 (938) 5440405
+7 (938) 5440407
+7 (938) 5440409
+7 (964) 4716050</f>
        <v>#NAME?</v>
      </c>
      <c r="F7" s="5" t="s">
        <v>25200</v>
      </c>
      <c r="G7" s="5" t="s">
        <v>25201</v>
      </c>
      <c r="H7" s="26">
        <v>16</v>
      </c>
      <c r="I7" s="5" t="s">
        <v>25202</v>
      </c>
      <c r="J7" s="5" t="s">
        <v>25203</v>
      </c>
      <c r="K7" s="5" t="s">
        <v>344</v>
      </c>
      <c r="L7" s="5" t="s">
        <v>25204</v>
      </c>
      <c r="M7" s="27">
        <v>100000</v>
      </c>
      <c r="N7" s="5"/>
      <c r="O7" s="5" t="str">
        <v>7717586110</v>
      </c>
      <c r="P7" s="27">
        <v>12000</v>
      </c>
      <c r="Q7" s="5" t="s">
        <v>49009</v>
      </c>
      <c r="R7" s="5"/>
      <c r="S7" s="5" t="s">
        <v>49010</v>
      </c>
      <c r="T7" s="28">
        <v>71673000</v>
      </c>
      <c r="U7" s="28">
        <v>1110000</v>
      </c>
      <c r="V7" s="28">
        <v>72495000</v>
      </c>
      <c r="W7" s="28"/>
      <c r="X7" s="28">
        <v>496435000</v>
      </c>
      <c r="Y7" s="28">
        <v>683291000</v>
      </c>
      <c r="Z7" s="28">
        <v>394195000</v>
      </c>
      <c r="AA7" s="28"/>
      <c r="AB7" s="28"/>
      <c r="AC7" s="28">
        <v>196478000</v>
      </c>
      <c r="AD7" s="28">
        <v>419961000</v>
      </c>
      <c r="AE7" s="28">
        <v>3201125000</v>
      </c>
      <c r="AF7" s="28">
        <v>1036757000</v>
      </c>
      <c r="AG7" s="11"/>
    </row>
    <row r="8">
      <c r="A8" s="7" t="s">
        <v>1761</v>
      </c>
      <c r="B8" s="5" t="s">
        <v>9730</v>
      </c>
      <c r="C8" s="5" t="s">
        <v>17640</v>
      </c>
      <c r="D8" s="5" t="str">
        <v>401701405544</v>
      </c>
      <c r="E8" s="0" t="e">
        <f>+7 (495) 6443333</f>
        <v>#NAME?</v>
      </c>
      <c r="F8" s="5" t="s">
        <v>25205</v>
      </c>
      <c r="G8" s="5"/>
      <c r="H8" s="26">
        <v>14.5</v>
      </c>
      <c r="I8" s="5" t="s">
        <v>25206</v>
      </c>
      <c r="J8" s="5" t="s">
        <v>25207</v>
      </c>
      <c r="K8" s="5" t="s">
        <v>344</v>
      </c>
      <c r="L8" s="5"/>
      <c r="M8" s="27"/>
      <c r="N8" s="5"/>
      <c r="O8" s="5" t="str">
        <v>7706692109</v>
      </c>
      <c r="P8" s="27">
        <v>8800000</v>
      </c>
      <c r="Q8" s="5" t="s">
        <v>49021</v>
      </c>
      <c r="R8" s="5"/>
      <c r="S8" s="5" t="s">
        <v>49022</v>
      </c>
      <c r="T8" s="28">
        <v>9646000</v>
      </c>
      <c r="U8" s="28"/>
      <c r="V8" s="28">
        <v>1238024000</v>
      </c>
      <c r="W8" s="28"/>
      <c r="X8" s="28">
        <v>730450000</v>
      </c>
      <c r="Y8" s="28">
        <v>2238712000</v>
      </c>
      <c r="Z8" s="28">
        <v>773049000</v>
      </c>
      <c r="AA8" s="28"/>
      <c r="AB8" s="28">
        <v>270195000</v>
      </c>
      <c r="AC8" s="28">
        <v>1456706000</v>
      </c>
      <c r="AD8" s="28">
        <v>781849000</v>
      </c>
      <c r="AE8" s="28">
        <v>3719815000</v>
      </c>
      <c r="AF8" s="28">
        <v>90699000</v>
      </c>
      <c r="AG8" s="11"/>
    </row>
    <row r="9">
      <c r="A9" s="7" t="s">
        <v>1762</v>
      </c>
      <c r="B9" s="5" t="s">
        <v>9731</v>
      </c>
      <c r="C9" s="5" t="s">
        <v>17641</v>
      </c>
      <c r="D9" s="5" t="str">
        <v>503218231679</v>
      </c>
      <c r="E9" s="0" t="e">
        <f>+7 (495) 8984585</f>
        <v>#NAME?</v>
      </c>
      <c r="F9" s="5" t="s">
        <v>25208</v>
      </c>
      <c r="G9" s="5"/>
      <c r="H9" s="26">
        <v>10.5</v>
      </c>
      <c r="I9" s="5" t="s">
        <v>25209</v>
      </c>
      <c r="J9" s="5" t="s">
        <v>25210</v>
      </c>
      <c r="K9" s="5" t="s">
        <v>344</v>
      </c>
      <c r="L9" s="5" t="s">
        <v>25211</v>
      </c>
      <c r="M9" s="27"/>
      <c r="N9" s="5" t="s">
        <v>49023</v>
      </c>
      <c r="O9" s="5" t="str">
        <v>7709905490</v>
      </c>
      <c r="P9" s="27">
        <v>100000</v>
      </c>
      <c r="Q9" s="5" t="s">
        <v>49024</v>
      </c>
      <c r="R9" s="5"/>
      <c r="S9" s="5" t="s">
        <v>49025</v>
      </c>
      <c r="T9" s="28">
        <v>25263000</v>
      </c>
      <c r="U9" s="28"/>
      <c r="V9" s="28">
        <v>695221000</v>
      </c>
      <c r="W9" s="28">
        <v>326727000</v>
      </c>
      <c r="X9" s="28">
        <v>635000</v>
      </c>
      <c r="Y9" s="28">
        <v>2327340000</v>
      </c>
      <c r="Z9" s="28">
        <v>239351000</v>
      </c>
      <c r="AA9" s="28"/>
      <c r="AB9" s="28">
        <v>39090000</v>
      </c>
      <c r="AC9" s="28">
        <v>2087889000</v>
      </c>
      <c r="AD9" s="28">
        <v>239451000</v>
      </c>
      <c r="AE9" s="28">
        <v>3045364000</v>
      </c>
      <c r="AF9" s="28">
        <v>113842000</v>
      </c>
      <c r="AG9" s="11"/>
    </row>
    <row r="10">
      <c r="A10" s="7" t="s">
        <v>1763</v>
      </c>
      <c r="B10" s="5" t="s">
        <v>9732</v>
      </c>
      <c r="C10" s="5" t="s">
        <v>17642</v>
      </c>
      <c r="D10" s="5" t="str">
        <v>343501015230</v>
      </c>
      <c r="E10" s="0" t="e">
        <f>+7 (8443) 315151
+7 (927) 5250000
+7 (800) 3013151
+7 (8443) 202494
+7 (8443) 314141
+7 (905) 3305924</f>
        <v>#NAME?</v>
      </c>
      <c r="F10" s="5" t="s">
        <v>25212</v>
      </c>
      <c r="G10" s="5" t="s">
        <v>25213</v>
      </c>
      <c r="H10" s="26">
        <v>14</v>
      </c>
      <c r="I10" s="5" t="s">
        <v>25214</v>
      </c>
      <c r="J10" s="5" t="s">
        <v>678</v>
      </c>
      <c r="K10" s="5" t="s">
        <v>344</v>
      </c>
      <c r="L10" s="5" t="s">
        <v>25215</v>
      </c>
      <c r="M10" s="27">
        <v>240000</v>
      </c>
      <c r="N10" s="5" t="s">
        <v>49026</v>
      </c>
      <c r="O10" s="5" t="str">
        <v>3435099167</v>
      </c>
      <c r="P10" s="27">
        <v>1100000</v>
      </c>
      <c r="Q10" s="5" t="s">
        <v>49009</v>
      </c>
      <c r="R10" s="5"/>
      <c r="S10" s="5" t="s">
        <v>49012</v>
      </c>
      <c r="T10" s="28">
        <v>90938000</v>
      </c>
      <c r="U10" s="28">
        <v>200000</v>
      </c>
      <c r="V10" s="28">
        <v>419702000</v>
      </c>
      <c r="W10" s="28">
        <v>71262000</v>
      </c>
      <c r="X10" s="28">
        <v>18773000</v>
      </c>
      <c r="Y10" s="28">
        <v>2256231000</v>
      </c>
      <c r="Z10" s="28">
        <v>2134108000</v>
      </c>
      <c r="AA10" s="28"/>
      <c r="AB10" s="28"/>
      <c r="AC10" s="28">
        <v>49021000</v>
      </c>
      <c r="AD10" s="28">
        <v>2135208000</v>
      </c>
      <c r="AE10" s="28">
        <v>3329448000</v>
      </c>
      <c r="AF10" s="28">
        <v>1084308000</v>
      </c>
      <c r="AG10" s="11"/>
    </row>
    <row r="11">
      <c r="A11" s="7" t="s">
        <v>1764</v>
      </c>
      <c r="B11" s="5" t="s">
        <v>9733</v>
      </c>
      <c r="C11" s="5" t="s">
        <v>17643</v>
      </c>
      <c r="D11" s="5" t="str">
        <v>343509556209</v>
      </c>
      <c r="E11" s="0" t="e">
        <f>+7 (495) 4877474
+7 (495) 7817474
+7 (495) 7847414
+7 (495) 7847475
+7 (495) 7847488</f>
        <v>#NAME?</v>
      </c>
      <c r="F11" s="5"/>
      <c r="G11" s="5"/>
      <c r="H11" s="26">
        <v>31</v>
      </c>
      <c r="I11" s="5"/>
      <c r="J11" s="5" t="s">
        <v>25216</v>
      </c>
      <c r="K11" s="5" t="s">
        <v>355</v>
      </c>
      <c r="L11" s="5" t="s">
        <v>25217</v>
      </c>
      <c r="M11" s="27">
        <v>19651112</v>
      </c>
      <c r="N11" s="5" t="s">
        <v>49027</v>
      </c>
      <c r="O11" s="5" t="str">
        <v>7702045083</v>
      </c>
      <c r="P11" s="27">
        <v>74441000</v>
      </c>
      <c r="Q11" s="5" t="s">
        <v>49009</v>
      </c>
      <c r="R11" s="5"/>
      <c r="S11" s="5" t="s">
        <v>49028</v>
      </c>
      <c r="T11" s="28">
        <v>674899000</v>
      </c>
      <c r="U11" s="28"/>
      <c r="V11" s="28">
        <v>20760000</v>
      </c>
      <c r="W11" s="28"/>
      <c r="X11" s="28">
        <v>903937000</v>
      </c>
      <c r="Y11" s="28">
        <v>1655759000</v>
      </c>
      <c r="Z11" s="28">
        <v>1149999000</v>
      </c>
      <c r="AA11" s="28"/>
      <c r="AB11" s="28"/>
      <c r="AC11" s="28">
        <v>339126000</v>
      </c>
      <c r="AD11" s="28">
        <v>1291754000</v>
      </c>
      <c r="AE11" s="28">
        <v>4435466000</v>
      </c>
      <c r="AF11" s="28">
        <v>-3894227000</v>
      </c>
      <c r="AG11" s="11"/>
    </row>
    <row r="12">
      <c r="A12" s="7" t="s">
        <v>1765</v>
      </c>
      <c r="B12" s="5" t="s">
        <v>9734</v>
      </c>
      <c r="C12" s="5" t="s">
        <v>17644</v>
      </c>
      <c r="D12" s="5" t="str">
        <v>910217785845</v>
      </c>
      <c r="E12" s="0" t="e">
        <f>+7 (978) 9043628</f>
        <v>#NAME?</v>
      </c>
      <c r="F12" s="5"/>
      <c r="G12" s="5"/>
      <c r="H12" s="26">
        <v>3.5</v>
      </c>
      <c r="I12" s="5" t="s">
        <v>25218</v>
      </c>
      <c r="J12" s="5" t="s">
        <v>25219</v>
      </c>
      <c r="K12" s="5" t="s">
        <v>344</v>
      </c>
      <c r="L12" s="5" t="s">
        <v>25220</v>
      </c>
      <c r="M12" s="27"/>
      <c r="N12" s="5"/>
      <c r="O12" s="5" t="str">
        <v>9102258189</v>
      </c>
      <c r="P12" s="27">
        <v>100000</v>
      </c>
      <c r="Q12" s="5"/>
      <c r="R12" s="5"/>
      <c r="S12" s="5" t="s">
        <v>49029</v>
      </c>
      <c r="T12" s="28">
        <v>155802000</v>
      </c>
      <c r="U12" s="28"/>
      <c r="V12" s="28">
        <v>87847000</v>
      </c>
      <c r="W12" s="28">
        <v>45608000</v>
      </c>
      <c r="X12" s="28">
        <v>162966000</v>
      </c>
      <c r="Y12" s="28">
        <v>805133000</v>
      </c>
      <c r="Z12" s="28">
        <v>188396000</v>
      </c>
      <c r="AA12" s="28"/>
      <c r="AB12" s="28">
        <v>179249000</v>
      </c>
      <c r="AC12" s="28">
        <v>616637000</v>
      </c>
      <c r="AD12" s="28">
        <v>188496000</v>
      </c>
      <c r="AE12" s="28">
        <v>6607238000</v>
      </c>
      <c r="AF12" s="28">
        <v>98615000</v>
      </c>
      <c r="AG12" s="11"/>
    </row>
    <row r="13">
      <c r="A13" s="7" t="s">
        <v>1766</v>
      </c>
      <c r="B13" s="5" t="s">
        <v>9735</v>
      </c>
      <c r="C13" s="5" t="s">
        <v>17645</v>
      </c>
      <c r="D13" s="5" t="str">
        <v>056003637746</v>
      </c>
      <c r="E13" s="0" t="e">
        <f>+7 (495) 2903645</f>
        <v>#NAME?</v>
      </c>
      <c r="F13" s="5" t="s">
        <v>25221</v>
      </c>
      <c r="G13" s="5" t="s">
        <v>25222</v>
      </c>
      <c r="H13" s="26">
        <v>4.5</v>
      </c>
      <c r="I13" s="5"/>
      <c r="J13" s="5" t="s">
        <v>671</v>
      </c>
      <c r="K13" s="5" t="s">
        <v>355</v>
      </c>
      <c r="L13" s="5"/>
      <c r="M13" s="27">
        <v>167198293</v>
      </c>
      <c r="N13" s="5" t="s">
        <v>49030</v>
      </c>
      <c r="O13" s="5" t="str">
        <v>9717073231</v>
      </c>
      <c r="P13" s="27">
        <v>6000000</v>
      </c>
      <c r="Q13" s="5" t="s">
        <v>49031</v>
      </c>
      <c r="R13" s="5"/>
      <c r="S13" s="5" t="s">
        <v>49032</v>
      </c>
      <c r="T13" s="28">
        <v>39888000</v>
      </c>
      <c r="U13" s="28"/>
      <c r="V13" s="28">
        <v>10080871000</v>
      </c>
      <c r="W13" s="28">
        <v>17900000</v>
      </c>
      <c r="X13" s="28">
        <v>1921897000</v>
      </c>
      <c r="Y13" s="28">
        <v>14712983000</v>
      </c>
      <c r="Z13" s="28">
        <v>263881000</v>
      </c>
      <c r="AA13" s="28">
        <v>130000000</v>
      </c>
      <c r="AB13" s="28">
        <v>15854000</v>
      </c>
      <c r="AC13" s="28">
        <v>14103363000</v>
      </c>
      <c r="AD13" s="28">
        <v>270591000</v>
      </c>
      <c r="AE13" s="28">
        <v>4276566000</v>
      </c>
      <c r="AF13" s="28">
        <v>280910000</v>
      </c>
      <c r="AG13" s="11"/>
    </row>
    <row r="14">
      <c r="A14" s="7" t="s">
        <v>1767</v>
      </c>
      <c r="B14" s="5" t="s">
        <v>9736</v>
      </c>
      <c r="C14" s="5" t="s">
        <v>17646</v>
      </c>
      <c r="D14" s="5" t="str">
        <v>332806341462</v>
      </c>
      <c r="F14" s="5"/>
      <c r="G14" s="5"/>
      <c r="H14" s="26">
        <v>5</v>
      </c>
      <c r="I14" s="5" t="s">
        <v>25223</v>
      </c>
      <c r="J14" s="5" t="s">
        <v>25224</v>
      </c>
      <c r="K14" s="5" t="s">
        <v>344</v>
      </c>
      <c r="L14" s="5"/>
      <c r="M14" s="27"/>
      <c r="N14" s="5"/>
      <c r="O14" s="5" t="str">
        <v>7820064237</v>
      </c>
      <c r="P14" s="27">
        <v>1010000</v>
      </c>
      <c r="Q14" s="5" t="s">
        <v>49021</v>
      </c>
      <c r="R14" s="5"/>
      <c r="S14" s="5" t="s">
        <v>49033</v>
      </c>
      <c r="T14" s="28">
        <v>355000</v>
      </c>
      <c r="U14" s="28"/>
      <c r="V14" s="28">
        <v>112279000</v>
      </c>
      <c r="W14" s="28"/>
      <c r="X14" s="28">
        <v>80506000</v>
      </c>
      <c r="Y14" s="28">
        <v>234886000</v>
      </c>
      <c r="Z14" s="28">
        <v>89754000</v>
      </c>
      <c r="AA14" s="28"/>
      <c r="AB14" s="28">
        <v>32600000</v>
      </c>
      <c r="AC14" s="28">
        <v>141914000</v>
      </c>
      <c r="AD14" s="28">
        <v>92764000</v>
      </c>
      <c r="AE14" s="28">
        <v>5646541000</v>
      </c>
      <c r="AF14" s="28">
        <v>110750000</v>
      </c>
      <c r="AG14" s="11"/>
    </row>
    <row r="15">
      <c r="A15" s="7" t="s">
        <v>1768</v>
      </c>
      <c r="B15" s="5" t="s">
        <v>9737</v>
      </c>
      <c r="C15" s="5" t="s">
        <v>17647</v>
      </c>
      <c r="D15" s="5" t="str">
        <v>504712611000</v>
      </c>
      <c r="E15" s="0" t="e">
        <f>+7 (495) 5445090
+7 (495) 5885999
+7 (968) 8181515</f>
        <v>#NAME?</v>
      </c>
      <c r="F15" s="5" t="s">
        <v>25225</v>
      </c>
      <c r="G15" s="5" t="s">
        <v>25226</v>
      </c>
      <c r="H15" s="26">
        <v>19.5</v>
      </c>
      <c r="I15" s="5" t="s">
        <v>25227</v>
      </c>
      <c r="J15" s="5" t="s">
        <v>364</v>
      </c>
      <c r="K15" s="5" t="s">
        <v>355</v>
      </c>
      <c r="L15" s="5"/>
      <c r="M15" s="27">
        <v>3411428</v>
      </c>
      <c r="N15" s="5"/>
      <c r="O15" s="5" t="str">
        <v>7743509143</v>
      </c>
      <c r="P15" s="27">
        <v>50000</v>
      </c>
      <c r="Q15" s="5" t="s">
        <v>49016</v>
      </c>
      <c r="R15" s="5" t="s">
        <v>49034</v>
      </c>
      <c r="S15" s="5" t="s">
        <v>49035</v>
      </c>
      <c r="T15" s="28">
        <v>7580000</v>
      </c>
      <c r="U15" s="28"/>
      <c r="V15" s="28">
        <v>2130337000</v>
      </c>
      <c r="W15" s="28"/>
      <c r="X15" s="28">
        <v>4013000</v>
      </c>
      <c r="Y15" s="28">
        <v>2889047000</v>
      </c>
      <c r="Z15" s="28">
        <v>-286062000</v>
      </c>
      <c r="AA15" s="28">
        <v>474060000</v>
      </c>
      <c r="AB15" s="28">
        <v>3353000</v>
      </c>
      <c r="AC15" s="28">
        <v>2700362000</v>
      </c>
      <c r="AD15" s="28">
        <v>-286009000</v>
      </c>
      <c r="AE15" s="28">
        <v>3507539000</v>
      </c>
      <c r="AF15" s="28">
        <v>-169600000</v>
      </c>
      <c r="AG15" s="11"/>
    </row>
    <row r="16">
      <c r="A16" s="7" t="s">
        <v>1769</v>
      </c>
      <c r="B16" s="5" t="s">
        <v>9738</v>
      </c>
      <c r="C16" s="5" t="s">
        <v>17648</v>
      </c>
      <c r="D16" s="5" t="str">
        <v>366600339586</v>
      </c>
      <c r="E16" s="0" t="e">
        <f>+7 (473) 2282700
+7 (473) 2318400
+7 (473) 2318843
+7 (473) 2318985
+7 (473) 2391600
+7 (473) 2391601
+7 (473) 2476610</f>
        <v>#NAME?</v>
      </c>
      <c r="F16" s="5" t="s">
        <v>25228</v>
      </c>
      <c r="G16" s="5" t="s">
        <v>25229</v>
      </c>
      <c r="H16" s="26">
        <v>27</v>
      </c>
      <c r="I16" s="5" t="s">
        <v>25230</v>
      </c>
      <c r="J16" s="5" t="s">
        <v>25231</v>
      </c>
      <c r="K16" s="5" t="s">
        <v>344</v>
      </c>
      <c r="L16" s="5"/>
      <c r="M16" s="27">
        <v>26034309</v>
      </c>
      <c r="N16" s="5" t="s">
        <v>49036</v>
      </c>
      <c r="O16" s="5" t="str">
        <v>3666062693</v>
      </c>
      <c r="P16" s="27">
        <v>50000000</v>
      </c>
      <c r="Q16" s="5" t="s">
        <v>49037</v>
      </c>
      <c r="R16" s="5"/>
      <c r="S16" s="5" t="s">
        <v>49038</v>
      </c>
      <c r="T16" s="28">
        <v>506279000</v>
      </c>
      <c r="U16" s="28"/>
      <c r="V16" s="28">
        <v>397488000</v>
      </c>
      <c r="W16" s="28"/>
      <c r="X16" s="28">
        <v>24258000</v>
      </c>
      <c r="Y16" s="28">
        <v>1972374000</v>
      </c>
      <c r="Z16" s="28">
        <v>713277000</v>
      </c>
      <c r="AA16" s="28">
        <v>311632000</v>
      </c>
      <c r="AB16" s="28">
        <v>332514000</v>
      </c>
      <c r="AC16" s="28">
        <v>736054000</v>
      </c>
      <c r="AD16" s="28">
        <v>788889000</v>
      </c>
      <c r="AE16" s="28">
        <v>5999666000</v>
      </c>
      <c r="AF16" s="28">
        <v>110635000</v>
      </c>
      <c r="AG16" s="11"/>
    </row>
    <row r="17">
      <c r="A17" s="7" t="s">
        <v>1770</v>
      </c>
      <c r="B17" s="5" t="s">
        <v>9739</v>
      </c>
      <c r="C17" s="5" t="s">
        <v>17649</v>
      </c>
      <c r="D17" s="5" t="str">
        <v>281800386898</v>
      </c>
      <c r="E17" s="0" t="e">
        <f>+7 (984) 2911032
+7 (42142) 31741
+7 (42142) 31948
+7 (42142) 32899
+7 (42142) 33018</f>
        <v>#NAME?</v>
      </c>
      <c r="F17" s="5" t="s">
        <v>25232</v>
      </c>
      <c r="G17" s="5" t="s">
        <v>25233</v>
      </c>
      <c r="H17" s="26">
        <v>24</v>
      </c>
      <c r="I17" s="5" t="s">
        <v>25234</v>
      </c>
      <c r="J17" s="5" t="s">
        <v>25235</v>
      </c>
      <c r="K17" s="5"/>
      <c r="L17" s="5"/>
      <c r="M17" s="27"/>
      <c r="N17" s="5" t="s">
        <v>49039</v>
      </c>
      <c r="O17" s="5" t="str">
        <v>2706019462</v>
      </c>
      <c r="P17" s="27"/>
      <c r="Q17" s="5"/>
      <c r="R17" s="5"/>
      <c r="S17" s="5" t="s">
        <v>49040</v>
      </c>
      <c r="T17" s="28">
        <v>105350630000</v>
      </c>
      <c r="U17" s="28"/>
      <c r="V17" s="28">
        <v>524329000</v>
      </c>
      <c r="W17" s="28"/>
      <c r="X17" s="28">
        <v>6076499000</v>
      </c>
      <c r="Y17" s="28">
        <v>114557962000</v>
      </c>
      <c r="Z17" s="28">
        <v>-61853020000</v>
      </c>
      <c r="AA17" s="28"/>
      <c r="AB17" s="28"/>
      <c r="AC17" s="28">
        <v>176410982000</v>
      </c>
      <c r="AD17" s="28">
        <v>-61853020000</v>
      </c>
      <c r="AE17" s="28">
        <v>115709937000</v>
      </c>
      <c r="AF17" s="28">
        <v>1362060000</v>
      </c>
      <c r="AG17" s="11"/>
    </row>
    <row r="18">
      <c r="A18" s="7" t="s">
        <v>1771</v>
      </c>
      <c r="B18" s="5" t="s">
        <v>9740</v>
      </c>
      <c r="C18" s="5" t="s">
        <v>17650</v>
      </c>
      <c r="D18" s="5" t="str">
        <v>773412489862</v>
      </c>
      <c r="E18" s="0" t="e">
        <f>+7 (411) 2258875
+7 (411) 2449101
+7 (421) 2944077
+7 (411) 2408875
+7 (495) 6170707</f>
        <v>#NAME?</v>
      </c>
      <c r="F18" s="5" t="s">
        <v>25236</v>
      </c>
      <c r="G18" s="5" t="s">
        <v>25237</v>
      </c>
      <c r="H18" s="26">
        <v>14.5</v>
      </c>
      <c r="I18" s="5" t="s">
        <v>25238</v>
      </c>
      <c r="J18" s="5" t="s">
        <v>25239</v>
      </c>
      <c r="K18" s="5" t="s">
        <v>344</v>
      </c>
      <c r="L18" s="5" t="s">
        <v>25240</v>
      </c>
      <c r="M18" s="27">
        <v>197115678</v>
      </c>
      <c r="N18" s="5" t="s">
        <v>49041</v>
      </c>
      <c r="O18" s="5" t="str">
        <v>7717625418</v>
      </c>
      <c r="P18" s="27">
        <v>10110000</v>
      </c>
      <c r="Q18" s="5" t="s">
        <v>49042</v>
      </c>
      <c r="R18" s="5"/>
      <c r="S18" s="5" t="s">
        <v>49043</v>
      </c>
      <c r="T18" s="28">
        <v>364431000</v>
      </c>
      <c r="U18" s="28">
        <v>26254000</v>
      </c>
      <c r="V18" s="28">
        <v>7567956000</v>
      </c>
      <c r="W18" s="28">
        <v>315888000</v>
      </c>
      <c r="X18" s="28">
        <v>996703000</v>
      </c>
      <c r="Y18" s="28">
        <v>18932817000</v>
      </c>
      <c r="Z18" s="28">
        <v>9459634000</v>
      </c>
      <c r="AA18" s="28"/>
      <c r="AB18" s="28">
        <v>3826472000</v>
      </c>
      <c r="AC18" s="28">
        <v>9367234000</v>
      </c>
      <c r="AD18" s="28">
        <v>9469744000</v>
      </c>
      <c r="AE18" s="28">
        <v>69551862000</v>
      </c>
      <c r="AF18" s="28">
        <v>1021481000</v>
      </c>
      <c r="AG18" s="11"/>
    </row>
    <row r="19">
      <c r="A19" s="7" t="s">
        <v>1772</v>
      </c>
      <c r="B19" s="5" t="s">
        <v>9741</v>
      </c>
      <c r="C19" s="5" t="s">
        <v>17651</v>
      </c>
      <c r="D19" s="5" t="str">
        <v>772436281300</v>
      </c>
      <c r="E19" s="0" t="e">
        <f>+7 (495) 5405050
+7 (495) 6265050
+7 (495) 9265050
+7 (495) 9265051
+7 (495) 9265058</f>
        <v>#NAME?</v>
      </c>
      <c r="F19" s="5" t="s">
        <v>25241</v>
      </c>
      <c r="G19" s="5" t="s">
        <v>25242</v>
      </c>
      <c r="H19" s="26">
        <v>27.5</v>
      </c>
      <c r="I19" s="5" t="s">
        <v>25243</v>
      </c>
      <c r="J19" s="5" t="s">
        <v>25216</v>
      </c>
      <c r="K19" s="5" t="s">
        <v>344</v>
      </c>
      <c r="L19" s="5" t="s">
        <v>25244</v>
      </c>
      <c r="M19" s="27"/>
      <c r="N19" s="5" t="s">
        <v>49044</v>
      </c>
      <c r="O19" s="5" t="str">
        <v>7710077498</v>
      </c>
      <c r="P19" s="27">
        <v>10000</v>
      </c>
      <c r="Q19" s="5" t="s">
        <v>49009</v>
      </c>
      <c r="R19" s="5"/>
      <c r="S19" s="5" t="s">
        <v>49045</v>
      </c>
      <c r="T19" s="28">
        <v>92873000</v>
      </c>
      <c r="U19" s="28"/>
      <c r="V19" s="28">
        <v>1870995000</v>
      </c>
      <c r="W19" s="28"/>
      <c r="X19" s="28">
        <v>16401000</v>
      </c>
      <c r="Y19" s="28">
        <v>3891062000</v>
      </c>
      <c r="Z19" s="28">
        <v>2785139000</v>
      </c>
      <c r="AA19" s="28"/>
      <c r="AB19" s="28">
        <v>310807000</v>
      </c>
      <c r="AC19" s="28">
        <v>1103678000</v>
      </c>
      <c r="AD19" s="28">
        <v>2785149000</v>
      </c>
      <c r="AE19" s="28">
        <v>5599709000</v>
      </c>
      <c r="AF19" s="28">
        <v>419937000</v>
      </c>
      <c r="AG19" s="11"/>
    </row>
    <row r="20">
      <c r="A20" s="7" t="s">
        <v>1773</v>
      </c>
      <c r="B20" s="5" t="s">
        <v>9742</v>
      </c>
      <c r="C20" s="5" t="s">
        <v>17652</v>
      </c>
      <c r="D20" s="5" t="str">
        <v>260705644382</v>
      </c>
      <c r="E20" s="0" t="e">
        <f>+7 (495) 6409942
+7 (800) 5001005</f>
        <v>#NAME?</v>
      </c>
      <c r="F20" s="5"/>
      <c r="G20" s="5" t="s">
        <v>25245</v>
      </c>
      <c r="H20" s="26">
        <v>12</v>
      </c>
      <c r="I20" s="5" t="s">
        <v>25246</v>
      </c>
      <c r="J20" s="5" t="s">
        <v>25247</v>
      </c>
      <c r="K20" s="5" t="s">
        <v>344</v>
      </c>
      <c r="L20" s="5"/>
      <c r="M20" s="27"/>
      <c r="N20" s="5" t="s">
        <v>49046</v>
      </c>
      <c r="O20" s="5" t="str">
        <v>7722742614</v>
      </c>
      <c r="P20" s="27">
        <v>10000</v>
      </c>
      <c r="Q20" s="5"/>
      <c r="R20" s="5"/>
      <c r="S20" s="5" t="s">
        <v>49047</v>
      </c>
      <c r="T20" s="28">
        <v>28290000</v>
      </c>
      <c r="U20" s="28">
        <v>280000000</v>
      </c>
      <c r="V20" s="28">
        <v>239641000</v>
      </c>
      <c r="W20" s="28"/>
      <c r="X20" s="28">
        <v>1408363000</v>
      </c>
      <c r="Y20" s="28">
        <v>3754800000</v>
      </c>
      <c r="Z20" s="28">
        <v>216013000</v>
      </c>
      <c r="AA20" s="28"/>
      <c r="AB20" s="28"/>
      <c r="AC20" s="28">
        <v>2131856000</v>
      </c>
      <c r="AD20" s="28">
        <v>1403449000</v>
      </c>
      <c r="AE20" s="28">
        <v>4781831000</v>
      </c>
      <c r="AF20" s="28">
        <v>970711000</v>
      </c>
      <c r="AG20" s="11"/>
    </row>
    <row r="21">
      <c r="A21" s="7" t="s">
        <v>1774</v>
      </c>
      <c r="B21" s="5" t="s">
        <v>9743</v>
      </c>
      <c r="C21" s="5" t="s">
        <v>17653</v>
      </c>
      <c r="D21" s="5" t="str">
        <v>615397981893</v>
      </c>
      <c r="E21" s="0" t="e">
        <f>+7 (916) 9923179
+7 (8352) 540638
+7 (8352) 640518
+7 (8352) 640746</f>
        <v>#NAME?</v>
      </c>
      <c r="F21" s="5" t="s">
        <v>25248</v>
      </c>
      <c r="G21" s="5"/>
      <c r="H21" s="26">
        <v>30</v>
      </c>
      <c r="I21" s="5" t="s">
        <v>25249</v>
      </c>
      <c r="J21" s="5" t="s">
        <v>1081</v>
      </c>
      <c r="K21" s="5" t="s">
        <v>380</v>
      </c>
      <c r="L21" s="5"/>
      <c r="M21" s="27">
        <v>6823279</v>
      </c>
      <c r="N21" s="5"/>
      <c r="O21" s="5" t="str">
        <v>2127000767</v>
      </c>
      <c r="P21" s="27">
        <v>10000</v>
      </c>
      <c r="Q21" s="5" t="s">
        <v>49009</v>
      </c>
      <c r="R21" s="5"/>
      <c r="S21" s="5" t="s">
        <v>49049</v>
      </c>
      <c r="T21" s="28">
        <v>271884000</v>
      </c>
      <c r="U21" s="28"/>
      <c r="V21" s="28">
        <v>4931339000</v>
      </c>
      <c r="W21" s="28"/>
      <c r="X21" s="28">
        <v>1499743000</v>
      </c>
      <c r="Y21" s="28">
        <v>8248753000</v>
      </c>
      <c r="Z21" s="28">
        <v>-229269000</v>
      </c>
      <c r="AA21" s="28"/>
      <c r="AB21" s="28">
        <v>644899000</v>
      </c>
      <c r="AC21" s="28">
        <v>8033314000</v>
      </c>
      <c r="AD21" s="28">
        <v>-229259000</v>
      </c>
      <c r="AE21" s="28">
        <v>7615054000</v>
      </c>
      <c r="AF21" s="28">
        <v>106094000</v>
      </c>
      <c r="AG21" s="11"/>
    </row>
    <row r="22">
      <c r="A22" s="7" t="s">
        <v>1775</v>
      </c>
      <c r="B22" s="5" t="s">
        <v>9744</v>
      </c>
      <c r="C22" s="5" t="s">
        <v>764</v>
      </c>
      <c r="D22" s="5" t="str">
        <v>470313590843</v>
      </c>
      <c r="E22" s="0" t="e">
        <f>+7 (812) 4497767</f>
        <v>#NAME?</v>
      </c>
      <c r="F22" s="5" t="s">
        <v>25250</v>
      </c>
      <c r="G22" s="5" t="s">
        <v>25251</v>
      </c>
      <c r="H22" s="26">
        <v>13.5</v>
      </c>
      <c r="I22" s="5" t="s">
        <v>25252</v>
      </c>
      <c r="J22" s="5" t="s">
        <v>25253</v>
      </c>
      <c r="K22" s="5" t="s">
        <v>344</v>
      </c>
      <c r="L22" s="5" t="s">
        <v>25254</v>
      </c>
      <c r="M22" s="27">
        <v>2365776</v>
      </c>
      <c r="N22" s="5" t="s">
        <v>49050</v>
      </c>
      <c r="O22" s="5" t="str">
        <v>7805495207</v>
      </c>
      <c r="P22" s="27">
        <v>10000000</v>
      </c>
      <c r="Q22" s="5" t="s">
        <v>49051</v>
      </c>
      <c r="R22" s="5"/>
      <c r="S22" s="5" t="s">
        <v>49052</v>
      </c>
      <c r="T22" s="28">
        <v>8773000</v>
      </c>
      <c r="U22" s="28">
        <v>105035000</v>
      </c>
      <c r="V22" s="28">
        <v>920851000</v>
      </c>
      <c r="W22" s="28">
        <v>5600000</v>
      </c>
      <c r="X22" s="28">
        <v>62462000</v>
      </c>
      <c r="Y22" s="28">
        <v>1798058000</v>
      </c>
      <c r="Z22" s="28">
        <v>297698000</v>
      </c>
      <c r="AA22" s="28"/>
      <c r="AB22" s="28">
        <v>1178011000</v>
      </c>
      <c r="AC22" s="28">
        <v>1489127000</v>
      </c>
      <c r="AD22" s="28">
        <v>307700000</v>
      </c>
      <c r="AE22" s="28">
        <v>6305927000</v>
      </c>
      <c r="AF22" s="28">
        <v>400705000</v>
      </c>
      <c r="AG22" s="11"/>
    </row>
    <row r="23">
      <c r="A23" s="7" t="s">
        <v>1776</v>
      </c>
      <c r="B23" s="5" t="s">
        <v>9745</v>
      </c>
      <c r="C23" s="5" t="s">
        <v>17654</v>
      </c>
      <c r="D23" s="5" t="str">
        <v>614100850227</v>
      </c>
      <c r="E23" s="0" t="e">
        <f>+7 (915) 600300</f>
        <v>#NAME?</v>
      </c>
      <c r="F23" s="5" t="s">
        <v>25255</v>
      </c>
      <c r="G23" s="5"/>
      <c r="H23" s="26">
        <v>1</v>
      </c>
      <c r="I23" s="5" t="s">
        <v>25256</v>
      </c>
      <c r="J23" s="5" t="s">
        <v>881</v>
      </c>
      <c r="K23" s="5" t="s">
        <v>344</v>
      </c>
      <c r="L23" s="5"/>
      <c r="M23" s="27"/>
      <c r="N23" s="5"/>
      <c r="O23" s="5" t="str">
        <v>7714479529</v>
      </c>
      <c r="P23" s="27">
        <v>10000</v>
      </c>
      <c r="Q23" s="5"/>
      <c r="R23" s="5"/>
      <c r="S23" s="5" t="s">
        <v>49053</v>
      </c>
      <c r="T23" s="28">
        <v>7379000</v>
      </c>
      <c r="U23" s="28"/>
      <c r="V23" s="28">
        <v>4082824000</v>
      </c>
      <c r="W23" s="28"/>
      <c r="X23" s="28">
        <v>24946000</v>
      </c>
      <c r="Y23" s="28">
        <v>4203926000</v>
      </c>
      <c r="Z23" s="28">
        <v>2659548000</v>
      </c>
      <c r="AA23" s="28"/>
      <c r="AB23" s="28">
        <v>77527000</v>
      </c>
      <c r="AC23" s="28">
        <v>1544368000</v>
      </c>
      <c r="AD23" s="28">
        <v>2659558000</v>
      </c>
      <c r="AE23" s="28">
        <v>7814432000</v>
      </c>
      <c r="AF23" s="28">
        <v>2659548000</v>
      </c>
      <c r="AG23" s="11"/>
    </row>
    <row r="24">
      <c r="A24" s="7" t="s">
        <v>1777</v>
      </c>
      <c r="B24" s="5" t="s">
        <v>9746</v>
      </c>
      <c r="C24" s="5" t="s">
        <v>17655</v>
      </c>
      <c r="D24" s="5" t="str">
        <v>583804265906</v>
      </c>
      <c r="E24" s="0" t="e">
        <f>+7 (495) 6657480
+7 (495) 7814555
+7 (495) 9843072
+7 (985) 9280539</f>
        <v>#NAME?</v>
      </c>
      <c r="F24" s="5" t="s">
        <v>25257</v>
      </c>
      <c r="G24" s="5"/>
      <c r="H24" s="26">
        <v>12.5</v>
      </c>
      <c r="I24" s="5" t="s">
        <v>25258</v>
      </c>
      <c r="J24" s="5" t="s">
        <v>25259</v>
      </c>
      <c r="K24" s="5" t="s">
        <v>344</v>
      </c>
      <c r="L24" s="5" t="s">
        <v>25260</v>
      </c>
      <c r="M24" s="27">
        <v>311792</v>
      </c>
      <c r="N24" s="5"/>
      <c r="O24" s="5" t="str">
        <v>7721844807</v>
      </c>
      <c r="P24" s="27">
        <v>12220000</v>
      </c>
      <c r="Q24" s="5" t="s">
        <v>49016</v>
      </c>
      <c r="R24" s="5"/>
      <c r="S24" s="5" t="s">
        <v>49055</v>
      </c>
      <c r="T24" s="28">
        <v>2518633000</v>
      </c>
      <c r="U24" s="28"/>
      <c r="V24" s="28">
        <v>9345885000</v>
      </c>
      <c r="W24" s="28">
        <v>540365000</v>
      </c>
      <c r="X24" s="28">
        <v>301979000</v>
      </c>
      <c r="Y24" s="28">
        <v>24575722000</v>
      </c>
      <c r="Z24" s="28">
        <v>9139202000</v>
      </c>
      <c r="AA24" s="28">
        <v>3631424000</v>
      </c>
      <c r="AB24" s="28">
        <v>703641000</v>
      </c>
      <c r="AC24" s="28">
        <v>8612267000</v>
      </c>
      <c r="AD24" s="28">
        <v>9643814000</v>
      </c>
      <c r="AE24" s="28">
        <v>67966973000</v>
      </c>
      <c r="AF24" s="28">
        <v>6396173000</v>
      </c>
      <c r="AG24" s="11"/>
    </row>
    <row r="25">
      <c r="A25" s="7" t="s">
        <v>1778</v>
      </c>
      <c r="B25" s="5" t="s">
        <v>9747</v>
      </c>
      <c r="C25" s="5" t="s">
        <v>17656</v>
      </c>
      <c r="D25" s="5" t="str">
        <v>772916819123</v>
      </c>
      <c r="E25" s="0" t="e">
        <f>+7 (473) 2025050</f>
        <v>#NAME?</v>
      </c>
      <c r="F25" s="5" t="s">
        <v>25261</v>
      </c>
      <c r="G25" s="5"/>
      <c r="H25" s="26">
        <v>3.5</v>
      </c>
      <c r="I25" s="5"/>
      <c r="J25" s="5" t="s">
        <v>25262</v>
      </c>
      <c r="K25" s="5" t="s">
        <v>344</v>
      </c>
      <c r="L25" s="5" t="s">
        <v>25263</v>
      </c>
      <c r="M25" s="27">
        <v>161060</v>
      </c>
      <c r="N25" s="5" t="s">
        <v>49056</v>
      </c>
      <c r="O25" s="5" t="str">
        <v>6234184883</v>
      </c>
      <c r="P25" s="27">
        <v>100000</v>
      </c>
      <c r="Q25" s="5" t="s">
        <v>49057</v>
      </c>
      <c r="R25" s="5"/>
      <c r="S25" s="5" t="s">
        <v>49058</v>
      </c>
      <c r="T25" s="28">
        <v>202151000</v>
      </c>
      <c r="U25" s="28">
        <v>20000</v>
      </c>
      <c r="V25" s="28">
        <v>236315000</v>
      </c>
      <c r="W25" s="28">
        <v>38300000</v>
      </c>
      <c r="X25" s="28">
        <v>16024000</v>
      </c>
      <c r="Y25" s="28">
        <v>705589000</v>
      </c>
      <c r="Z25" s="28">
        <v>171775000</v>
      </c>
      <c r="AA25" s="28">
        <v>66000000</v>
      </c>
      <c r="AB25" s="28">
        <v>32798000</v>
      </c>
      <c r="AC25" s="28">
        <v>464377000</v>
      </c>
      <c r="AD25" s="28">
        <v>171880000</v>
      </c>
      <c r="AE25" s="28">
        <v>3902623000</v>
      </c>
      <c r="AF25" s="28">
        <v>42577000</v>
      </c>
      <c r="AG25" s="11"/>
    </row>
    <row r="26">
      <c r="A26" s="7" t="s">
        <v>1779</v>
      </c>
      <c r="B26" s="5" t="s">
        <v>9748</v>
      </c>
      <c r="C26" s="5" t="s">
        <v>17657</v>
      </c>
      <c r="D26" s="5" t="str">
        <v>262602886270</v>
      </c>
      <c r="E26" s="0" t="e">
        <f>+7 (495) 2214016
+7 (495) 2214021
+7 (495) 6657395
+7 (495) 6657510
+7 (909) 1637057
+7 (916) 5466691</f>
        <v>#NAME?</v>
      </c>
      <c r="F26" s="5" t="s">
        <v>25264</v>
      </c>
      <c r="G26" s="5" t="s">
        <v>25265</v>
      </c>
      <c r="H26" s="26">
        <v>10.5</v>
      </c>
      <c r="I26" s="5" t="s">
        <v>25266</v>
      </c>
      <c r="J26" s="5" t="s">
        <v>364</v>
      </c>
      <c r="K26" s="5" t="s">
        <v>344</v>
      </c>
      <c r="L26" s="5" t="s">
        <v>25267</v>
      </c>
      <c r="M26" s="27">
        <v>19016774746</v>
      </c>
      <c r="N26" s="5"/>
      <c r="O26" s="5" t="str">
        <v>7704810149</v>
      </c>
      <c r="P26" s="27">
        <v>8837429000</v>
      </c>
      <c r="Q26" s="5" t="s">
        <v>49059</v>
      </c>
      <c r="R26" s="5" t="s">
        <v>49060</v>
      </c>
      <c r="S26" s="5" t="s">
        <v>49010</v>
      </c>
      <c r="T26" s="28">
        <v>725326000</v>
      </c>
      <c r="U26" s="28">
        <v>94019779000</v>
      </c>
      <c r="V26" s="28">
        <v>12528498000</v>
      </c>
      <c r="W26" s="28"/>
      <c r="X26" s="28">
        <v>3201039000</v>
      </c>
      <c r="Y26" s="28">
        <v>146296709000</v>
      </c>
      <c r="Z26" s="28">
        <v>59541748000</v>
      </c>
      <c r="AA26" s="28">
        <v>47021820000</v>
      </c>
      <c r="AB26" s="28"/>
      <c r="AC26" s="28">
        <v>12571286000</v>
      </c>
      <c r="AD26" s="28">
        <v>86584284000</v>
      </c>
      <c r="AE26" s="28">
        <v>36183365000</v>
      </c>
      <c r="AF26" s="28">
        <v>13593534000</v>
      </c>
      <c r="AG26" s="11"/>
    </row>
    <row r="27">
      <c r="A27" s="7" t="s">
        <v>1780</v>
      </c>
      <c r="B27" s="5" t="s">
        <v>9749</v>
      </c>
      <c r="C27" s="5" t="s">
        <v>17658</v>
      </c>
      <c r="D27" s="5" t="str">
        <v>563101143394</v>
      </c>
      <c r="E27" s="0" t="e">
        <f>+7 (35324) 49304
+7 (35325) 63289
+7 (922) 8804036
+7 (35324) 49303
+7 (35342) 30142
+7 (35342) 63672
+7 (35374) 40414</f>
        <v>#NAME?</v>
      </c>
      <c r="F27" s="5" t="s">
        <v>25268</v>
      </c>
      <c r="G27" s="5" t="s">
        <v>25269</v>
      </c>
      <c r="H27" s="26">
        <v>6.5</v>
      </c>
      <c r="I27" s="5" t="s">
        <v>25270</v>
      </c>
      <c r="J27" s="5" t="s">
        <v>25231</v>
      </c>
      <c r="K27" s="5" t="s">
        <v>344</v>
      </c>
      <c r="L27" s="5"/>
      <c r="M27" s="27"/>
      <c r="N27" s="5" t="s">
        <v>49061</v>
      </c>
      <c r="O27" s="5" t="str">
        <v>5611078754</v>
      </c>
      <c r="P27" s="27">
        <v>741126563</v>
      </c>
      <c r="Q27" s="5"/>
      <c r="R27" s="5"/>
      <c r="S27" s="5" t="s">
        <v>49062</v>
      </c>
      <c r="T27" s="28">
        <v>591115000</v>
      </c>
      <c r="U27" s="28"/>
      <c r="V27" s="28">
        <v>444200000</v>
      </c>
      <c r="W27" s="28">
        <v>7500000</v>
      </c>
      <c r="X27" s="28">
        <v>12488000</v>
      </c>
      <c r="Y27" s="28">
        <v>1308658000</v>
      </c>
      <c r="Z27" s="28">
        <v>77095000</v>
      </c>
      <c r="AA27" s="28">
        <v>2831000</v>
      </c>
      <c r="AB27" s="28">
        <v>263415000</v>
      </c>
      <c r="AC27" s="28">
        <v>456770000</v>
      </c>
      <c r="AD27" s="28">
        <v>818369000</v>
      </c>
      <c r="AE27" s="28">
        <v>3773728000</v>
      </c>
      <c r="AF27" s="28">
        <v>127255000</v>
      </c>
      <c r="AG27" s="11"/>
    </row>
    <row r="28">
      <c r="A28" s="7" t="s">
        <v>1781</v>
      </c>
      <c r="B28" s="5" t="s">
        <v>9750</v>
      </c>
      <c r="C28" s="5" t="s">
        <v>17659</v>
      </c>
      <c r="D28" s="5" t="str">
        <v>800101844531</v>
      </c>
      <c r="E28" s="0" t="e">
        <f>+7 (914) 4726013
+7 (914) 5090721
+7 (924) 3766013</f>
        <v>#NAME?</v>
      </c>
      <c r="F28" s="5" t="s">
        <v>25271</v>
      </c>
      <c r="G28" s="5"/>
      <c r="H28" s="26">
        <v>7</v>
      </c>
      <c r="I28" s="5" t="s">
        <v>25272</v>
      </c>
      <c r="J28" s="5" t="s">
        <v>467</v>
      </c>
      <c r="K28" s="5" t="s">
        <v>344</v>
      </c>
      <c r="L28" s="5" t="s">
        <v>25273</v>
      </c>
      <c r="M28" s="27"/>
      <c r="N28" s="5" t="s">
        <v>49063</v>
      </c>
      <c r="O28" s="5" t="str">
        <v>8001018196</v>
      </c>
      <c r="P28" s="27">
        <v>10000</v>
      </c>
      <c r="Q28" s="5" t="s">
        <v>49064</v>
      </c>
      <c r="R28" s="5"/>
      <c r="S28" s="5" t="s">
        <v>49065</v>
      </c>
      <c r="T28" s="28">
        <v>37096000</v>
      </c>
      <c r="U28" s="28"/>
      <c r="V28" s="28">
        <v>1905000</v>
      </c>
      <c r="W28" s="28"/>
      <c r="X28" s="28">
        <v>885000</v>
      </c>
      <c r="Y28" s="28">
        <v>47654000</v>
      </c>
      <c r="Z28" s="28"/>
      <c r="AA28" s="28">
        <v>2333000</v>
      </c>
      <c r="AB28" s="28"/>
      <c r="AC28" s="28"/>
      <c r="AD28" s="28">
        <v>21948000</v>
      </c>
      <c r="AE28" s="28">
        <v>132468806000</v>
      </c>
      <c r="AF28" s="28">
        <v>13202906000</v>
      </c>
      <c r="AG28" s="11"/>
    </row>
    <row r="29">
      <c r="A29" s="7" t="s">
        <v>1782</v>
      </c>
      <c r="B29" s="5" t="s">
        <v>9751</v>
      </c>
      <c r="C29" s="5" t="s">
        <v>17660</v>
      </c>
      <c r="D29" s="5" t="str">
        <v>381904218019</v>
      </c>
      <c r="E29" s="0" t="e">
        <f>+7 (38555) 75688
+7 (395) 5575058
+7 (395) 5578545
+7 (3951) 575533
+7 (3951) 575944
+7 (3951) 578545
+7 (3955) 527585
+7 (3955) 575145
+7 (3955) 575688</f>
        <v>#NAME?</v>
      </c>
      <c r="F29" s="5"/>
      <c r="G29" s="5"/>
      <c r="H29" s="26">
        <v>18.5</v>
      </c>
      <c r="I29" s="5" t="s">
        <v>25274</v>
      </c>
      <c r="J29" s="5" t="s">
        <v>25275</v>
      </c>
      <c r="K29" s="5" t="s">
        <v>344</v>
      </c>
      <c r="L29" s="5" t="s">
        <v>25276</v>
      </c>
      <c r="M29" s="27"/>
      <c r="N29" s="5"/>
      <c r="O29" s="5" t="str">
        <v>3801072394</v>
      </c>
      <c r="P29" s="27">
        <v>160000000</v>
      </c>
      <c r="Q29" s="5" t="s">
        <v>49009</v>
      </c>
      <c r="R29" s="5"/>
      <c r="S29" s="5" t="s">
        <v>49066</v>
      </c>
      <c r="T29" s="28">
        <v>1152607000</v>
      </c>
      <c r="U29" s="28"/>
      <c r="V29" s="28">
        <v>333762000</v>
      </c>
      <c r="W29" s="28"/>
      <c r="X29" s="28">
        <v>804000</v>
      </c>
      <c r="Y29" s="28">
        <v>2454242000</v>
      </c>
      <c r="Z29" s="28">
        <v>2008803000</v>
      </c>
      <c r="AA29" s="28"/>
      <c r="AB29" s="28"/>
      <c r="AC29" s="28">
        <v>206582000</v>
      </c>
      <c r="AD29" s="28">
        <v>2179915000</v>
      </c>
      <c r="AE29" s="28">
        <v>13050046000</v>
      </c>
      <c r="AF29" s="28">
        <v>2826954000</v>
      </c>
      <c r="AG29" s="11"/>
    </row>
    <row r="30">
      <c r="A30" s="7" t="s">
        <v>1783</v>
      </c>
      <c r="B30" s="5" t="s">
        <v>9752</v>
      </c>
      <c r="C30" s="5" t="s">
        <v>17661</v>
      </c>
      <c r="D30" s="5" t="str">
        <v>772729379680</v>
      </c>
      <c r="E30" s="0" t="e">
        <f>+7 (812) 6357071
+7 (812) 6357072</f>
        <v>#NAME?</v>
      </c>
      <c r="F30" s="5" t="s">
        <v>25277</v>
      </c>
      <c r="G30" s="5" t="s">
        <v>25278</v>
      </c>
      <c r="H30" s="26">
        <v>15.5</v>
      </c>
      <c r="I30" s="5" t="s">
        <v>25279</v>
      </c>
      <c r="J30" s="5" t="s">
        <v>25280</v>
      </c>
      <c r="K30" s="5" t="s">
        <v>355</v>
      </c>
      <c r="L30" s="5"/>
      <c r="M30" s="27"/>
      <c r="N30" s="5" t="s">
        <v>49067</v>
      </c>
      <c r="O30" s="5" t="str">
        <v>5036083578</v>
      </c>
      <c r="P30" s="27">
        <v>3543400000</v>
      </c>
      <c r="Q30" s="5" t="s">
        <v>49068</v>
      </c>
      <c r="R30" s="5" t="s">
        <v>49069</v>
      </c>
      <c r="S30" s="5" t="s">
        <v>49070</v>
      </c>
      <c r="T30" s="28">
        <v>107193000</v>
      </c>
      <c r="U30" s="28"/>
      <c r="V30" s="28">
        <v>59432322000</v>
      </c>
      <c r="W30" s="28">
        <v>10555070000</v>
      </c>
      <c r="X30" s="28">
        <v>6648375000</v>
      </c>
      <c r="Y30" s="28">
        <v>79474975000</v>
      </c>
      <c r="Z30" s="28">
        <v>3808566000</v>
      </c>
      <c r="AA30" s="28"/>
      <c r="AB30" s="28"/>
      <c r="AC30" s="28">
        <v>71279940000</v>
      </c>
      <c r="AD30" s="28">
        <v>7393822000</v>
      </c>
      <c r="AE30" s="28">
        <v>11091781000</v>
      </c>
      <c r="AF30" s="28">
        <v>555889000</v>
      </c>
      <c r="AG30" s="11"/>
    </row>
    <row r="31">
      <c r="A31" s="7" t="s">
        <v>1784</v>
      </c>
      <c r="B31" s="5" t="s">
        <v>9753</v>
      </c>
      <c r="C31" s="5" t="s">
        <v>17662</v>
      </c>
      <c r="D31" s="5" t="str">
        <v>550316270009</v>
      </c>
      <c r="E31" s="0" t="e">
        <f>+7 (495) 1370110
+7 (381) 2408180</f>
        <v>#NAME?</v>
      </c>
      <c r="F31" s="5" t="s">
        <v>25281</v>
      </c>
      <c r="G31" s="5"/>
      <c r="H31" s="26">
        <v>12</v>
      </c>
      <c r="I31" s="5" t="s">
        <v>25282</v>
      </c>
      <c r="J31" s="5" t="s">
        <v>25283</v>
      </c>
      <c r="K31" s="5" t="s">
        <v>344</v>
      </c>
      <c r="L31" s="5" t="s">
        <v>25284</v>
      </c>
      <c r="M31" s="27"/>
      <c r="N31" s="5" t="s">
        <v>49071</v>
      </c>
      <c r="O31" s="5" t="str">
        <v>5501230170</v>
      </c>
      <c r="P31" s="27">
        <v>10000</v>
      </c>
      <c r="Q31" s="5" t="s">
        <v>49072</v>
      </c>
      <c r="R31" s="5"/>
      <c r="S31" s="5" t="s">
        <v>49073</v>
      </c>
      <c r="T31" s="28">
        <v>587762000</v>
      </c>
      <c r="U31" s="28">
        <v>1024719000</v>
      </c>
      <c r="V31" s="28">
        <v>1201274000</v>
      </c>
      <c r="W31" s="28">
        <v>100679000</v>
      </c>
      <c r="X31" s="28">
        <v>234937000</v>
      </c>
      <c r="Y31" s="28">
        <v>3676797000</v>
      </c>
      <c r="Z31" s="28">
        <v>639874000</v>
      </c>
      <c r="AA31" s="28">
        <v>398667000</v>
      </c>
      <c r="AB31" s="28">
        <v>47998000</v>
      </c>
      <c r="AC31" s="28">
        <v>950183000</v>
      </c>
      <c r="AD31" s="28">
        <v>639884000</v>
      </c>
      <c r="AE31" s="28">
        <v>4147412000</v>
      </c>
      <c r="AF31" s="28">
        <v>285335000</v>
      </c>
      <c r="AG31" s="11"/>
    </row>
    <row r="32">
      <c r="A32" s="7" t="s">
        <v>1785</v>
      </c>
      <c r="B32" s="5" t="s">
        <v>9754</v>
      </c>
      <c r="C32" s="5" t="s">
        <v>17663</v>
      </c>
      <c r="D32" s="5" t="str">
        <v>771000962613</v>
      </c>
      <c r="E32" s="0" t="e">
        <f>+7 (383) 3832250
+7 (40161) 32383
+7 (40161) 35320
+7 (40161) 36921
+7 (40161) 65263
+7 (495) 1203306
+7 (495) 1364327
+7 (499) 1364327
+7 (812) 4071961
+7 (964) 3299282
+7 (965) 895546</f>
        <v>#NAME?</v>
      </c>
      <c r="F32" s="5"/>
      <c r="G32" s="5" t="s">
        <v>25285</v>
      </c>
      <c r="H32" s="26">
        <v>16.5</v>
      </c>
      <c r="I32" s="5" t="s">
        <v>25286</v>
      </c>
      <c r="J32" s="5" t="s">
        <v>25287</v>
      </c>
      <c r="K32" s="5" t="s">
        <v>344</v>
      </c>
      <c r="L32" s="5" t="s">
        <v>25288</v>
      </c>
      <c r="M32" s="27">
        <v>1773301</v>
      </c>
      <c r="N32" s="5" t="s">
        <v>49074</v>
      </c>
      <c r="O32" s="5" t="str">
        <v>7727582668</v>
      </c>
      <c r="P32" s="27">
        <v>37770000</v>
      </c>
      <c r="Q32" s="5" t="s">
        <v>49021</v>
      </c>
      <c r="R32" s="5"/>
      <c r="S32" s="5" t="s">
        <v>49075</v>
      </c>
      <c r="T32" s="28">
        <v>153792000</v>
      </c>
      <c r="U32" s="28"/>
      <c r="V32" s="28">
        <v>703175000</v>
      </c>
      <c r="W32" s="28">
        <v>35220000</v>
      </c>
      <c r="X32" s="28">
        <v>21678000</v>
      </c>
      <c r="Y32" s="28">
        <v>1516666000</v>
      </c>
      <c r="Z32" s="28">
        <v>641127000</v>
      </c>
      <c r="AA32" s="28"/>
      <c r="AB32" s="28">
        <v>411364000</v>
      </c>
      <c r="AC32" s="28">
        <v>568017000</v>
      </c>
      <c r="AD32" s="28">
        <v>879838000</v>
      </c>
      <c r="AE32" s="28">
        <v>3313515000</v>
      </c>
      <c r="AF32" s="28">
        <v>310751000</v>
      </c>
      <c r="AG32" s="11"/>
    </row>
    <row r="33">
      <c r="A33" s="7" t="s">
        <v>1786</v>
      </c>
      <c r="B33" s="5" t="s">
        <v>9755</v>
      </c>
      <c r="C33" s="5" t="s">
        <v>17664</v>
      </c>
      <c r="D33" s="5" t="str">
        <v>770204038550</v>
      </c>
      <c r="E33" s="0" t="e">
        <f>+7 (916) 6684388
+7 (390) 2282735
+7 (495) 5043791</f>
        <v>#NAME?</v>
      </c>
      <c r="F33" s="5" t="s">
        <v>25289</v>
      </c>
      <c r="G33" s="5" t="s">
        <v>25290</v>
      </c>
      <c r="H33" s="26">
        <v>17.5</v>
      </c>
      <c r="I33" s="5" t="s">
        <v>25291</v>
      </c>
      <c r="J33" s="5" t="s">
        <v>25292</v>
      </c>
      <c r="K33" s="5" t="s">
        <v>355</v>
      </c>
      <c r="L33" s="5" t="s">
        <v>25293</v>
      </c>
      <c r="M33" s="27"/>
      <c r="N33" s="5" t="s">
        <v>49076</v>
      </c>
      <c r="O33" s="5" t="str">
        <v>2455024143</v>
      </c>
      <c r="P33" s="27">
        <v>500000</v>
      </c>
      <c r="Q33" s="5" t="s">
        <v>49077</v>
      </c>
      <c r="R33" s="5"/>
      <c r="S33" s="5" t="s">
        <v>49078</v>
      </c>
      <c r="T33" s="28">
        <v>1936641000</v>
      </c>
      <c r="U33" s="28"/>
      <c r="V33" s="28">
        <v>1595304000</v>
      </c>
      <c r="W33" s="28">
        <v>58000000</v>
      </c>
      <c r="X33" s="28">
        <v>57928000</v>
      </c>
      <c r="Y33" s="28">
        <v>4543233000</v>
      </c>
      <c r="Z33" s="28">
        <v>384325000</v>
      </c>
      <c r="AA33" s="28">
        <v>215584000</v>
      </c>
      <c r="AB33" s="28">
        <v>456416000</v>
      </c>
      <c r="AC33" s="28">
        <v>2579634000</v>
      </c>
      <c r="AD33" s="28">
        <v>384825000</v>
      </c>
      <c r="AE33" s="28">
        <v>4310644000</v>
      </c>
      <c r="AF33" s="28">
        <v>157264000</v>
      </c>
      <c r="AG33" s="11"/>
    </row>
    <row r="34">
      <c r="A34" s="7" t="s">
        <v>1787</v>
      </c>
      <c r="B34" s="5" t="s">
        <v>9756</v>
      </c>
      <c r="C34" s="5" t="s">
        <v>17665</v>
      </c>
      <c r="D34" s="5"/>
      <c r="E34" s="0" t="e">
        <f>+7 (390) 2202650
+7 (390) 2229034
+7 (390) 2303031
+7 (390) 2313031
+7 (495) 2588300
+7 (390) 2355027</f>
        <v>#NAME?</v>
      </c>
      <c r="F34" s="5" t="s">
        <v>25294</v>
      </c>
      <c r="G34" s="5"/>
      <c r="H34" s="26">
        <v>2</v>
      </c>
      <c r="I34" s="5"/>
      <c r="J34" s="5" t="s">
        <v>25295</v>
      </c>
      <c r="K34" s="5" t="s">
        <v>344</v>
      </c>
      <c r="L34" s="5" t="s">
        <v>25296</v>
      </c>
      <c r="M34" s="27">
        <v>503314</v>
      </c>
      <c r="N34" s="5" t="s">
        <v>49079</v>
      </c>
      <c r="O34" s="5" t="str">
        <v>1900000252</v>
      </c>
      <c r="P34" s="27">
        <v>500000000</v>
      </c>
      <c r="Q34" s="5" t="s">
        <v>49080</v>
      </c>
      <c r="R34" s="5" t="s">
        <v>49081</v>
      </c>
      <c r="S34" s="5" t="s">
        <v>49082</v>
      </c>
      <c r="T34" s="28">
        <v>12082956000</v>
      </c>
      <c r="U34" s="28"/>
      <c r="V34" s="28">
        <v>1266521000</v>
      </c>
      <c r="W34" s="28"/>
      <c r="X34" s="28">
        <v>242499000</v>
      </c>
      <c r="Y34" s="28">
        <v>15812980000</v>
      </c>
      <c r="Z34" s="28">
        <v>1365778000</v>
      </c>
      <c r="AA34" s="28">
        <v>90069000</v>
      </c>
      <c r="AB34" s="28">
        <v>10241294000</v>
      </c>
      <c r="AC34" s="28">
        <v>11807037000</v>
      </c>
      <c r="AD34" s="28">
        <v>1890778000</v>
      </c>
      <c r="AE34" s="28">
        <v>10817029000</v>
      </c>
      <c r="AF34" s="28">
        <v>2962059000</v>
      </c>
      <c r="AG34" s="11"/>
    </row>
    <row r="35">
      <c r="A35" s="7" t="s">
        <v>1788</v>
      </c>
      <c r="B35" s="5" t="s">
        <v>9757</v>
      </c>
      <c r="C35" s="5" t="s">
        <v>17666</v>
      </c>
      <c r="D35" s="5" t="str">
        <v>771508011103</v>
      </c>
      <c r="E35" s="0" t="e">
        <f>+7 (495) 7770013
+7 (495) 7772200
+7 (495) 7772201
+7 (495) 7772220
+7 (495) 7772221
+7 (495) 9560750
+7 (495) 9560760
+7 (495) 9562229
+7 (495) 9569393
+7 (495) 9602205
+7 (495) 9602220
+7 (495) 9602221
+7 (499) 2560750
+7 (800) 5002220
+7 (903) 5235561</f>
        <v>#NAME?</v>
      </c>
      <c r="F35" s="5" t="s">
        <v>25297</v>
      </c>
      <c r="G35" s="5" t="s">
        <v>25298</v>
      </c>
      <c r="H35" s="26">
        <v>22</v>
      </c>
      <c r="I35" s="5" t="s">
        <v>25299</v>
      </c>
      <c r="J35" s="5" t="s">
        <v>641</v>
      </c>
      <c r="K35" s="5" t="s">
        <v>355</v>
      </c>
      <c r="L35" s="5" t="s">
        <v>25300</v>
      </c>
      <c r="M35" s="27">
        <v>118314058</v>
      </c>
      <c r="N35" s="5" t="s">
        <v>49083</v>
      </c>
      <c r="O35" s="5" t="str">
        <v>7727180430</v>
      </c>
      <c r="P35" s="27">
        <v>23000000</v>
      </c>
      <c r="Q35" s="5" t="s">
        <v>49009</v>
      </c>
      <c r="R35" s="5" t="s">
        <v>49084</v>
      </c>
      <c r="S35" s="5" t="s">
        <v>49085</v>
      </c>
      <c r="T35" s="28">
        <v>250050000</v>
      </c>
      <c r="U35" s="28">
        <v>1136614000</v>
      </c>
      <c r="V35" s="28">
        <v>1304501000</v>
      </c>
      <c r="W35" s="28"/>
      <c r="X35" s="28">
        <v>2062874000</v>
      </c>
      <c r="Y35" s="28">
        <v>6499823000</v>
      </c>
      <c r="Z35" s="28">
        <v>2030033000</v>
      </c>
      <c r="AA35" s="28"/>
      <c r="AB35" s="28">
        <v>583000</v>
      </c>
      <c r="AC35" s="28">
        <v>2490277000</v>
      </c>
      <c r="AD35" s="28">
        <v>3962940000</v>
      </c>
      <c r="AE35" s="28">
        <v>6046300000</v>
      </c>
      <c r="AF35" s="28">
        <v>952472000</v>
      </c>
      <c r="AG35" s="11"/>
    </row>
    <row r="36">
      <c r="A36" s="7" t="s">
        <v>1789</v>
      </c>
      <c r="B36" s="5" t="s">
        <v>9758</v>
      </c>
      <c r="C36" s="5" t="s">
        <v>17667</v>
      </c>
      <c r="D36" s="5" t="str">
        <v>780604130404</v>
      </c>
      <c r="E36" s="0" t="e">
        <f>+7 (812) 3318440
+7 (812) 5418584
+7 (812) 5421497
+7 (812) 5423119
+7 (812) 5423979
+7 (812) 5428591
+7 (812) 9634008</f>
        <v>#NAME?</v>
      </c>
      <c r="F36" s="5" t="s">
        <v>25301</v>
      </c>
      <c r="G36" s="5" t="s">
        <v>25302</v>
      </c>
      <c r="H36" s="26">
        <v>30</v>
      </c>
      <c r="I36" s="5" t="s">
        <v>25303</v>
      </c>
      <c r="J36" s="5" t="s">
        <v>25304</v>
      </c>
      <c r="K36" s="5" t="s">
        <v>344</v>
      </c>
      <c r="L36" s="5"/>
      <c r="M36" s="27">
        <v>152686</v>
      </c>
      <c r="N36" s="5" t="s">
        <v>49086</v>
      </c>
      <c r="O36" s="5" t="str">
        <v>7804016807</v>
      </c>
      <c r="P36" s="27">
        <v>176250</v>
      </c>
      <c r="Q36" s="5" t="s">
        <v>49087</v>
      </c>
      <c r="R36" s="5" t="s">
        <v>49088</v>
      </c>
      <c r="S36" s="5" t="s">
        <v>49089</v>
      </c>
      <c r="T36" s="28">
        <v>1310520000</v>
      </c>
      <c r="U36" s="28">
        <v>867938000</v>
      </c>
      <c r="V36" s="28">
        <v>5572582000</v>
      </c>
      <c r="W36" s="28">
        <v>552223000</v>
      </c>
      <c r="X36" s="28">
        <v>224970000</v>
      </c>
      <c r="Y36" s="28">
        <v>8972516000</v>
      </c>
      <c r="Z36" s="28">
        <v>2416259000</v>
      </c>
      <c r="AA36" s="28">
        <v>2000000000</v>
      </c>
      <c r="AB36" s="28">
        <v>2884339000</v>
      </c>
      <c r="AC36" s="28">
        <v>4223723000</v>
      </c>
      <c r="AD36" s="28">
        <v>2416479000</v>
      </c>
      <c r="AE36" s="28">
        <v>6206348000</v>
      </c>
      <c r="AF36" s="28">
        <v>324757000</v>
      </c>
      <c r="AG36" s="11"/>
    </row>
    <row r="37">
      <c r="A37" s="7" t="s">
        <v>1790</v>
      </c>
      <c r="B37" s="5" t="s">
        <v>9759</v>
      </c>
      <c r="C37" s="5" t="s">
        <v>17668</v>
      </c>
      <c r="D37" s="5" t="str">
        <v>780623030902</v>
      </c>
      <c r="E37" s="0" t="e">
        <f>+7 (912) 3477755
+7 (812) 2442979
+7 (812) 3477755
+7 (812) 3477775
+7 (812) 9964456</f>
        <v>#NAME?</v>
      </c>
      <c r="F37" s="5" t="s">
        <v>25305</v>
      </c>
      <c r="G37" s="5"/>
      <c r="H37" s="26">
        <v>22</v>
      </c>
      <c r="I37" s="5"/>
      <c r="J37" s="5" t="s">
        <v>467</v>
      </c>
      <c r="K37" s="5" t="s">
        <v>344</v>
      </c>
      <c r="L37" s="5" t="s">
        <v>25306</v>
      </c>
      <c r="M37" s="27">
        <v>86890979</v>
      </c>
      <c r="N37" s="5" t="s">
        <v>49090</v>
      </c>
      <c r="O37" s="5" t="str">
        <v>7811099353</v>
      </c>
      <c r="P37" s="27">
        <v>15000</v>
      </c>
      <c r="Q37" s="5" t="s">
        <v>49091</v>
      </c>
      <c r="R37" s="5"/>
      <c r="S37" s="5" t="s">
        <v>49092</v>
      </c>
      <c r="T37" s="28">
        <v>206424000</v>
      </c>
      <c r="U37" s="28">
        <v>667098000</v>
      </c>
      <c r="V37" s="28">
        <v>5232667000</v>
      </c>
      <c r="W37" s="28">
        <v>1568391000</v>
      </c>
      <c r="X37" s="28">
        <v>6555743000</v>
      </c>
      <c r="Y37" s="28">
        <v>16621292000</v>
      </c>
      <c r="Z37" s="28">
        <v>1815677000</v>
      </c>
      <c r="AA37" s="28">
        <v>1043115000</v>
      </c>
      <c r="AB37" s="28">
        <v>2785465000</v>
      </c>
      <c r="AC37" s="28">
        <v>13502328000</v>
      </c>
      <c r="AD37" s="28">
        <v>1815693000</v>
      </c>
      <c r="AE37" s="28">
        <v>13187949000</v>
      </c>
      <c r="AF37" s="28">
        <v>692031000</v>
      </c>
      <c r="AG37" s="11"/>
    </row>
    <row r="38">
      <c r="A38" s="7" t="s">
        <v>1791</v>
      </c>
      <c r="B38" s="5" t="s">
        <v>9760</v>
      </c>
      <c r="C38" s="5" t="s">
        <v>17669</v>
      </c>
      <c r="D38" s="5" t="str">
        <v>332710068043</v>
      </c>
      <c r="E38" s="0" t="e">
        <f>+7 (492) 2353574
+7 (492) 2529999</f>
        <v>#NAME?</v>
      </c>
      <c r="F38" s="5" t="s">
        <v>25307</v>
      </c>
      <c r="G38" s="5" t="s">
        <v>25308</v>
      </c>
      <c r="H38" s="26">
        <v>15</v>
      </c>
      <c r="I38" s="5"/>
      <c r="J38" s="5" t="s">
        <v>502</v>
      </c>
      <c r="K38" s="5" t="s">
        <v>344</v>
      </c>
      <c r="L38" s="5"/>
      <c r="M38" s="27"/>
      <c r="N38" s="5"/>
      <c r="O38" s="5" t="str">
        <v>3328458132</v>
      </c>
      <c r="P38" s="27">
        <v>138404000</v>
      </c>
      <c r="Q38" s="5" t="s">
        <v>49009</v>
      </c>
      <c r="R38" s="5"/>
      <c r="S38" s="5" t="s">
        <v>49093</v>
      </c>
      <c r="T38" s="28">
        <v>342250000</v>
      </c>
      <c r="U38" s="28">
        <v>138344000</v>
      </c>
      <c r="V38" s="28">
        <v>5811883000</v>
      </c>
      <c r="W38" s="28"/>
      <c r="X38" s="28">
        <v>285000</v>
      </c>
      <c r="Y38" s="28">
        <v>6462354000</v>
      </c>
      <c r="Z38" s="28">
        <v>4491819000</v>
      </c>
      <c r="AA38" s="28"/>
      <c r="AB38" s="28">
        <v>662210000</v>
      </c>
      <c r="AC38" s="28">
        <v>1684224000</v>
      </c>
      <c r="AD38" s="28">
        <v>4637143000</v>
      </c>
      <c r="AE38" s="28">
        <v>7085967000</v>
      </c>
      <c r="AF38" s="28">
        <v>2248194000</v>
      </c>
      <c r="AG38" s="11"/>
    </row>
    <row r="39">
      <c r="A39" s="7" t="s">
        <v>1792</v>
      </c>
      <c r="B39" s="5" t="s">
        <v>9761</v>
      </c>
      <c r="C39" s="5" t="s">
        <v>17670</v>
      </c>
      <c r="D39" s="5" t="str">
        <v>772860421000</v>
      </c>
      <c r="E39" s="0" t="e">
        <f>+7 (495) 1340107
+7 (499) 2073393
+7 (926) 927313</f>
        <v>#NAME?</v>
      </c>
      <c r="F39" s="5" t="s">
        <v>25309</v>
      </c>
      <c r="G39" s="5" t="s">
        <v>25310</v>
      </c>
      <c r="H39" s="26">
        <v>8</v>
      </c>
      <c r="I39" s="5" t="s">
        <v>25311</v>
      </c>
      <c r="J39" s="5" t="s">
        <v>25312</v>
      </c>
      <c r="K39" s="5" t="s">
        <v>344</v>
      </c>
      <c r="L39" s="5" t="s">
        <v>25313</v>
      </c>
      <c r="M39" s="27"/>
      <c r="N39" s="5"/>
      <c r="O39" s="5" t="str">
        <v>7715410689</v>
      </c>
      <c r="P39" s="27">
        <v>1000000</v>
      </c>
      <c r="Q39" s="5" t="s">
        <v>49094</v>
      </c>
      <c r="R39" s="5"/>
      <c r="S39" s="5" t="s">
        <v>49095</v>
      </c>
      <c r="T39" s="28">
        <v>44980000</v>
      </c>
      <c r="U39" s="28"/>
      <c r="V39" s="28">
        <v>294987000</v>
      </c>
      <c r="W39" s="28">
        <v>692000</v>
      </c>
      <c r="X39" s="28">
        <v>351109000</v>
      </c>
      <c r="Y39" s="28">
        <v>1416597000</v>
      </c>
      <c r="Z39" s="28">
        <v>654489000</v>
      </c>
      <c r="AA39" s="28"/>
      <c r="AB39" s="28">
        <v>499495000</v>
      </c>
      <c r="AC39" s="28">
        <v>721294000</v>
      </c>
      <c r="AD39" s="28">
        <v>655489000</v>
      </c>
      <c r="AE39" s="28">
        <v>9318770000</v>
      </c>
      <c r="AF39" s="28">
        <v>532635000</v>
      </c>
      <c r="AG39" s="11"/>
    </row>
    <row r="40">
      <c r="A40" s="7" t="s">
        <v>1793</v>
      </c>
      <c r="B40" s="5" t="s">
        <v>9762</v>
      </c>
      <c r="C40" s="5" t="s">
        <v>17671</v>
      </c>
      <c r="D40" s="5"/>
      <c r="E40" s="0" t="e">
        <f>+7 (967) 3061990
+7 (495) 9333333
+7 (800) 1009100
+7 (8617) 271316
+7 (961) 5016886</f>
        <v>#NAME?</v>
      </c>
      <c r="F40" s="5" t="s">
        <v>25314</v>
      </c>
      <c r="G40" s="5" t="s">
        <v>25315</v>
      </c>
      <c r="H40" s="26">
        <v>21.5</v>
      </c>
      <c r="I40" s="5"/>
      <c r="J40" s="5" t="s">
        <v>25316</v>
      </c>
      <c r="K40" s="5" t="s">
        <v>344</v>
      </c>
      <c r="L40" s="5" t="s">
        <v>25317</v>
      </c>
      <c r="M40" s="27"/>
      <c r="N40" s="5" t="s">
        <v>49096</v>
      </c>
      <c r="O40" s="5" t="str">
        <v>2315092440</v>
      </c>
      <c r="P40" s="27">
        <v>182000000</v>
      </c>
      <c r="Q40" s="5"/>
      <c r="R40" s="5"/>
      <c r="S40" s="5" t="s">
        <v>49029</v>
      </c>
      <c r="T40" s="28">
        <v>1593074000</v>
      </c>
      <c r="U40" s="28">
        <v>1714023000</v>
      </c>
      <c r="V40" s="28">
        <v>2459797000</v>
      </c>
      <c r="W40" s="28">
        <v>2855700000</v>
      </c>
      <c r="X40" s="28">
        <v>35997000</v>
      </c>
      <c r="Y40" s="28">
        <v>11498527000</v>
      </c>
      <c r="Z40" s="28">
        <v>5632004000</v>
      </c>
      <c r="AA40" s="28">
        <v>3892933000</v>
      </c>
      <c r="AB40" s="28">
        <v>666540000</v>
      </c>
      <c r="AC40" s="28">
        <v>1762595000</v>
      </c>
      <c r="AD40" s="28">
        <v>5823157000</v>
      </c>
      <c r="AE40" s="28">
        <v>6432513000</v>
      </c>
      <c r="AF40" s="28">
        <v>1313560000</v>
      </c>
      <c r="AG40" s="11"/>
    </row>
    <row r="41">
      <c r="A41" s="7" t="s">
        <v>1794</v>
      </c>
      <c r="B41" s="5" t="s">
        <v>9763</v>
      </c>
      <c r="C41" s="5" t="s">
        <v>17672</v>
      </c>
      <c r="D41" s="5"/>
      <c r="E41" s="0" t="e">
        <f>+7 (495) 7306465
+7 (495) 7306466
+7 (495) 9666465
+7 (495) 9666466
+7 (925) 4250725
+7 (925) 4250726
+7 (925) 4250731
+7 (925) 4250734
+7 (925) 4250735
+7 (925) 4250736</f>
        <v>#NAME?</v>
      </c>
      <c r="F41" s="5" t="s">
        <v>25318</v>
      </c>
      <c r="G41" s="5" t="s">
        <v>25319</v>
      </c>
      <c r="H41" s="26">
        <v>9.5</v>
      </c>
      <c r="I41" s="5" t="s">
        <v>25320</v>
      </c>
      <c r="J41" s="5" t="s">
        <v>25321</v>
      </c>
      <c r="K41" s="5" t="s">
        <v>344</v>
      </c>
      <c r="L41" s="5" t="s">
        <v>25322</v>
      </c>
      <c r="M41" s="27"/>
      <c r="N41" s="5" t="s">
        <v>49097</v>
      </c>
      <c r="O41" s="5" t="str">
        <v>7726727504</v>
      </c>
      <c r="P41" s="27">
        <v>10000</v>
      </c>
      <c r="Q41" s="5" t="s">
        <v>49098</v>
      </c>
      <c r="R41" s="5"/>
      <c r="S41" s="5" t="s">
        <v>49099</v>
      </c>
      <c r="T41" s="28">
        <v>191756000</v>
      </c>
      <c r="U41" s="28"/>
      <c r="V41" s="28">
        <v>512152000</v>
      </c>
      <c r="W41" s="28"/>
      <c r="X41" s="28">
        <v>54182000</v>
      </c>
      <c r="Y41" s="28">
        <v>980861000</v>
      </c>
      <c r="Z41" s="28">
        <v>317162000</v>
      </c>
      <c r="AA41" s="28"/>
      <c r="AB41" s="28"/>
      <c r="AC41" s="28">
        <v>545628000</v>
      </c>
      <c r="AD41" s="28">
        <v>317172000</v>
      </c>
      <c r="AE41" s="28">
        <v>4621210000</v>
      </c>
      <c r="AF41" s="28">
        <v>122530000</v>
      </c>
      <c r="AG41" s="11"/>
    </row>
    <row r="42">
      <c r="A42" s="7" t="s">
        <v>1795</v>
      </c>
      <c r="B42" s="5" t="s">
        <v>9764</v>
      </c>
      <c r="C42" s="5" t="s">
        <v>17673</v>
      </c>
      <c r="D42" s="5" t="str">
        <v>690500958067</v>
      </c>
      <c r="E42" s="0" t="e">
        <f>+7 (495) 1252640
+7 (495) 1564273
+7 (495) 1812047
+7 (495) 4831833
+7 (495) 7455533</f>
        <v>#NAME?</v>
      </c>
      <c r="F42" s="5"/>
      <c r="G42" s="5"/>
      <c r="H42" s="26">
        <v>6.5</v>
      </c>
      <c r="I42" s="5" t="s">
        <v>25323</v>
      </c>
      <c r="J42" s="5" t="s">
        <v>25324</v>
      </c>
      <c r="K42" s="5" t="s">
        <v>344</v>
      </c>
      <c r="L42" s="5"/>
      <c r="M42" s="27"/>
      <c r="N42" s="5"/>
      <c r="O42" s="5" t="str">
        <v>7704370339</v>
      </c>
      <c r="P42" s="27">
        <v>1555010000</v>
      </c>
      <c r="Q42" s="5" t="s">
        <v>49021</v>
      </c>
      <c r="R42" s="5"/>
      <c r="S42" s="5" t="s">
        <v>49100</v>
      </c>
      <c r="T42" s="28">
        <v>248284000</v>
      </c>
      <c r="U42" s="28">
        <v>470230000</v>
      </c>
      <c r="V42" s="28">
        <v>626165000</v>
      </c>
      <c r="W42" s="28">
        <v>7131480000</v>
      </c>
      <c r="X42" s="28">
        <v>710478000</v>
      </c>
      <c r="Y42" s="28">
        <v>11003861000</v>
      </c>
      <c r="Z42" s="28">
        <v>519727000</v>
      </c>
      <c r="AA42" s="28">
        <v>82000000</v>
      </c>
      <c r="AB42" s="28">
        <v>662263000</v>
      </c>
      <c r="AC42" s="28">
        <v>8671302000</v>
      </c>
      <c r="AD42" s="28">
        <v>2074737000</v>
      </c>
      <c r="AE42" s="28">
        <v>4810273000</v>
      </c>
      <c r="AF42" s="28">
        <v>41862000</v>
      </c>
      <c r="AG42" s="11"/>
    </row>
    <row r="43">
      <c r="A43" s="7" t="s">
        <v>1796</v>
      </c>
      <c r="B43" s="5" t="s">
        <v>9765</v>
      </c>
      <c r="C43" s="5" t="s">
        <v>17674</v>
      </c>
      <c r="D43" s="5" t="str">
        <v>420800204007</v>
      </c>
      <c r="E43" s="0" t="e">
        <f>+7 (384) 2288720
+7 (384) 2345701
+7 (384) 2345702</f>
        <v>#NAME?</v>
      </c>
      <c r="F43" s="5" t="s">
        <v>25325</v>
      </c>
      <c r="G43" s="5"/>
      <c r="H43" s="26">
        <v>20.5</v>
      </c>
      <c r="I43" s="5" t="s">
        <v>25326</v>
      </c>
      <c r="J43" s="5" t="s">
        <v>25327</v>
      </c>
      <c r="K43" s="5" t="s">
        <v>344</v>
      </c>
      <c r="L43" s="5" t="s">
        <v>25328</v>
      </c>
      <c r="M43" s="27">
        <v>283500</v>
      </c>
      <c r="N43" s="5"/>
      <c r="O43" s="5" t="str">
        <v>4205040700</v>
      </c>
      <c r="P43" s="27">
        <v>100000</v>
      </c>
      <c r="Q43" s="5" t="s">
        <v>49057</v>
      </c>
      <c r="R43" s="5"/>
      <c r="S43" s="5" t="s">
        <v>49101</v>
      </c>
      <c r="T43" s="28">
        <v>10319000</v>
      </c>
      <c r="U43" s="28"/>
      <c r="V43" s="28">
        <v>1482510000</v>
      </c>
      <c r="W43" s="28"/>
      <c r="X43" s="28">
        <v>32408000</v>
      </c>
      <c r="Y43" s="28">
        <v>2043139000</v>
      </c>
      <c r="Z43" s="28">
        <v>1549746000</v>
      </c>
      <c r="AA43" s="28"/>
      <c r="AB43" s="28">
        <v>203697000</v>
      </c>
      <c r="AC43" s="28">
        <v>483092000</v>
      </c>
      <c r="AD43" s="28">
        <v>1549846000</v>
      </c>
      <c r="AE43" s="28">
        <v>8178124000</v>
      </c>
      <c r="AF43" s="28">
        <v>714175000</v>
      </c>
      <c r="AG43" s="11"/>
    </row>
    <row r="44">
      <c r="A44" s="7" t="s">
        <v>1796</v>
      </c>
      <c r="B44" s="5" t="s">
        <v>9766</v>
      </c>
      <c r="C44" s="5" t="s">
        <v>17675</v>
      </c>
      <c r="D44" s="5" t="str">
        <v>745304076291</v>
      </c>
      <c r="E44" s="0" t="e">
        <f>+7 (3512) 102202
+7 (3512) 102210
+7 (3512) 675052</f>
        <v>#NAME?</v>
      </c>
      <c r="F44" s="5" t="s">
        <v>25329</v>
      </c>
      <c r="G44" s="5" t="s">
        <v>25330</v>
      </c>
      <c r="H44" s="26">
        <v>14</v>
      </c>
      <c r="I44" s="5" t="s">
        <v>25331</v>
      </c>
      <c r="J44" s="5" t="s">
        <v>25332</v>
      </c>
      <c r="K44" s="5" t="s">
        <v>344</v>
      </c>
      <c r="L44" s="5" t="s">
        <v>25333</v>
      </c>
      <c r="M44" s="27"/>
      <c r="N44" s="5"/>
      <c r="O44" s="5" t="str">
        <v>7451279527</v>
      </c>
      <c r="P44" s="27">
        <v>10000000</v>
      </c>
      <c r="Q44" s="5" t="s">
        <v>49009</v>
      </c>
      <c r="R44" s="5"/>
      <c r="S44" s="5" t="s">
        <v>49066</v>
      </c>
      <c r="T44" s="28">
        <v>1721800000</v>
      </c>
      <c r="U44" s="28"/>
      <c r="V44" s="28">
        <v>9617119000</v>
      </c>
      <c r="W44" s="28"/>
      <c r="X44" s="28">
        <v>14895000</v>
      </c>
      <c r="Y44" s="28">
        <v>20596126000</v>
      </c>
      <c r="Z44" s="28">
        <v>417677000</v>
      </c>
      <c r="AA44" s="28"/>
      <c r="AB44" s="28">
        <v>5410800000</v>
      </c>
      <c r="AC44" s="28">
        <v>18326368000</v>
      </c>
      <c r="AD44" s="28">
        <v>427677000</v>
      </c>
      <c r="AE44" s="28">
        <v>87980393000</v>
      </c>
      <c r="AF44" s="28">
        <v>1220529000</v>
      </c>
      <c r="AG44" s="11"/>
    </row>
    <row r="45">
      <c r="A45" s="7" t="s">
        <v>1797</v>
      </c>
      <c r="B45" s="5" t="s">
        <v>9767</v>
      </c>
      <c r="C45" s="5" t="s">
        <v>17676</v>
      </c>
      <c r="D45" s="5" t="str">
        <v>421407201429</v>
      </c>
      <c r="E45" s="0" t="e">
        <f>+7 (967) 320022
+7 (495) 1200187</f>
        <v>#NAME?</v>
      </c>
      <c r="F45" s="5" t="s">
        <v>25334</v>
      </c>
      <c r="G45" s="5" t="s">
        <v>25335</v>
      </c>
      <c r="H45" s="26">
        <v>7</v>
      </c>
      <c r="I45" s="5" t="s">
        <v>25336</v>
      </c>
      <c r="J45" s="5" t="s">
        <v>25337</v>
      </c>
      <c r="K45" s="5" t="s">
        <v>344</v>
      </c>
      <c r="L45" s="5" t="s">
        <v>25338</v>
      </c>
      <c r="M45" s="27"/>
      <c r="N45" s="5" t="s">
        <v>49102</v>
      </c>
      <c r="O45" s="5" t="str">
        <v>5027235633</v>
      </c>
      <c r="P45" s="27">
        <v>1000000</v>
      </c>
      <c r="Q45" s="5" t="s">
        <v>49103</v>
      </c>
      <c r="R45" s="5"/>
      <c r="S45" s="5" t="s">
        <v>49104</v>
      </c>
      <c r="T45" s="28">
        <v>42010000</v>
      </c>
      <c r="U45" s="28"/>
      <c r="V45" s="28">
        <v>719436000</v>
      </c>
      <c r="W45" s="28"/>
      <c r="X45" s="28">
        <v>8822000</v>
      </c>
      <c r="Y45" s="28">
        <v>1172650000</v>
      </c>
      <c r="Z45" s="28">
        <v>436151000</v>
      </c>
      <c r="AA45" s="28"/>
      <c r="AB45" s="28">
        <v>348968000</v>
      </c>
      <c r="AC45" s="28">
        <v>718476000</v>
      </c>
      <c r="AD45" s="28">
        <v>437151000</v>
      </c>
      <c r="AE45" s="28">
        <v>7418210000</v>
      </c>
      <c r="AF45" s="28">
        <v>150751000</v>
      </c>
      <c r="AG45" s="11"/>
    </row>
    <row r="46">
      <c r="A46" s="7" t="s">
        <v>1798</v>
      </c>
      <c r="B46" s="5" t="s">
        <v>9768</v>
      </c>
      <c r="C46" s="5" t="s">
        <v>17677</v>
      </c>
      <c r="D46" s="5" t="str">
        <v>344105818450</v>
      </c>
      <c r="E46" s="0" t="e">
        <f>+7 (927) 5193743
+7 (844) 2409371
+7 (927) 5344968</f>
        <v>#NAME?</v>
      </c>
      <c r="F46" s="5" t="s">
        <v>25339</v>
      </c>
      <c r="G46" s="5"/>
      <c r="H46" s="26">
        <v>12</v>
      </c>
      <c r="I46" s="5" t="s">
        <v>25340</v>
      </c>
      <c r="J46" s="5" t="s">
        <v>25341</v>
      </c>
      <c r="K46" s="5" t="s">
        <v>344</v>
      </c>
      <c r="L46" s="5" t="s">
        <v>25342</v>
      </c>
      <c r="M46" s="27"/>
      <c r="N46" s="5" t="s">
        <v>49105</v>
      </c>
      <c r="O46" s="5" t="str">
        <v>3442116261</v>
      </c>
      <c r="P46" s="27">
        <v>50000</v>
      </c>
      <c r="Q46" s="5" t="s">
        <v>49106</v>
      </c>
      <c r="R46" s="5"/>
      <c r="S46" s="5" t="s">
        <v>49107</v>
      </c>
      <c r="T46" s="28">
        <v>973174000</v>
      </c>
      <c r="U46" s="28"/>
      <c r="V46" s="28">
        <v>158814000</v>
      </c>
      <c r="W46" s="28">
        <v>755000</v>
      </c>
      <c r="X46" s="28">
        <v>48522000</v>
      </c>
      <c r="Y46" s="28">
        <v>1422771000</v>
      </c>
      <c r="Z46" s="28">
        <v>798811000</v>
      </c>
      <c r="AA46" s="28"/>
      <c r="AB46" s="28">
        <v>119659000</v>
      </c>
      <c r="AC46" s="28">
        <v>456136000</v>
      </c>
      <c r="AD46" s="28">
        <v>798861000</v>
      </c>
      <c r="AE46" s="28">
        <v>3587282000</v>
      </c>
      <c r="AF46" s="28">
        <v>303430000</v>
      </c>
      <c r="AG46" s="11"/>
    </row>
    <row r="47">
      <c r="A47" s="7" t="s">
        <v>1799</v>
      </c>
      <c r="B47" s="5" t="s">
        <v>9769</v>
      </c>
      <c r="C47" s="5" t="s">
        <v>17678</v>
      </c>
      <c r="D47" s="5" t="str">
        <v>280101764739</v>
      </c>
      <c r="E47" s="0" t="e">
        <f>+7 (495) 5029174
+7 (495) 5040790
+7 (495) 5040791</f>
        <v>#NAME?</v>
      </c>
      <c r="F47" s="5"/>
      <c r="G47" s="5" t="s">
        <v>25343</v>
      </c>
      <c r="H47" s="26">
        <v>17.5</v>
      </c>
      <c r="I47" s="5"/>
      <c r="J47" s="5" t="s">
        <v>25344</v>
      </c>
      <c r="K47" s="5" t="s">
        <v>344</v>
      </c>
      <c r="L47" s="5" t="s">
        <v>25345</v>
      </c>
      <c r="M47" s="27"/>
      <c r="N47" s="5"/>
      <c r="O47" s="5" t="str">
        <v>7727558640</v>
      </c>
      <c r="P47" s="27">
        <v>100000</v>
      </c>
      <c r="Q47" s="5" t="s">
        <v>49009</v>
      </c>
      <c r="R47" s="5"/>
      <c r="S47" s="5" t="s">
        <v>49066</v>
      </c>
      <c r="T47" s="28">
        <v>813798000</v>
      </c>
      <c r="U47" s="28">
        <v>98000</v>
      </c>
      <c r="V47" s="28">
        <v>478291000</v>
      </c>
      <c r="W47" s="28"/>
      <c r="X47" s="28">
        <v>121343000</v>
      </c>
      <c r="Y47" s="28">
        <v>2090715000</v>
      </c>
      <c r="Z47" s="28">
        <v>513544000</v>
      </c>
      <c r="AA47" s="28">
        <v>117275000</v>
      </c>
      <c r="AB47" s="28">
        <v>340822000</v>
      </c>
      <c r="AC47" s="28">
        <v>1277345000</v>
      </c>
      <c r="AD47" s="28">
        <v>513644000</v>
      </c>
      <c r="AE47" s="28">
        <v>3673030000</v>
      </c>
      <c r="AF47" s="28">
        <v>627567000</v>
      </c>
      <c r="AG47" s="11"/>
    </row>
    <row r="48">
      <c r="A48" s="7" t="s">
        <v>1800</v>
      </c>
      <c r="B48" s="5" t="s">
        <v>9770</v>
      </c>
      <c r="C48" s="5" t="s">
        <v>17679</v>
      </c>
      <c r="D48" s="5" t="str">
        <v>772201232841</v>
      </c>
      <c r="E48" s="0" t="e">
        <f>+7 (8432) 622
+7 (812) 2727211
+7 (812) 2733663
+7 (812) 3363050
+7 (812) 3363065
+7 (812) 5706272
+7 (812) 6007777
+7 (812) 6007778
+7 (812) 6007866
+7 (812) 6007897</f>
        <v>#NAME?</v>
      </c>
      <c r="F48" s="5" t="s">
        <v>25346</v>
      </c>
      <c r="G48" s="5" t="s">
        <v>25347</v>
      </c>
      <c r="H48" s="26">
        <v>28</v>
      </c>
      <c r="I48" s="5" t="s">
        <v>25348</v>
      </c>
      <c r="J48" s="5" t="s">
        <v>25349</v>
      </c>
      <c r="K48" s="5" t="s">
        <v>344</v>
      </c>
      <c r="L48" s="5" t="s">
        <v>25350</v>
      </c>
      <c r="M48" s="27"/>
      <c r="N48" s="5"/>
      <c r="O48" s="5" t="str">
        <v>7825052242</v>
      </c>
      <c r="P48" s="27">
        <v>166585</v>
      </c>
      <c r="Q48" s="5"/>
      <c r="R48" s="5" t="s">
        <v>49109</v>
      </c>
      <c r="S48" s="5" t="s">
        <v>49110</v>
      </c>
      <c r="T48" s="28">
        <v>3730117000</v>
      </c>
      <c r="U48" s="28">
        <v>572361000</v>
      </c>
      <c r="V48" s="28">
        <v>1680963000</v>
      </c>
      <c r="W48" s="28"/>
      <c r="X48" s="28">
        <v>323461000</v>
      </c>
      <c r="Y48" s="28">
        <v>6930450000</v>
      </c>
      <c r="Z48" s="28">
        <v>3578823000</v>
      </c>
      <c r="AA48" s="28">
        <v>224100000</v>
      </c>
      <c r="AB48" s="28"/>
      <c r="AC48" s="28">
        <v>720734000</v>
      </c>
      <c r="AD48" s="28">
        <v>5745887000</v>
      </c>
      <c r="AE48" s="28">
        <v>4490171000</v>
      </c>
      <c r="AF48" s="28">
        <v>873842000</v>
      </c>
      <c r="AG48" s="11"/>
    </row>
    <row r="49">
      <c r="A49" s="7" t="s">
        <v>1801</v>
      </c>
      <c r="B49" s="5" t="s">
        <v>9771</v>
      </c>
      <c r="C49" s="5" t="s">
        <v>17680</v>
      </c>
      <c r="D49" s="5" t="str">
        <v>774301266693</v>
      </c>
      <c r="E49" s="0" t="e">
        <f>+7 (473) 2602230
+7 (495) 5405722
+7 (495) 5405765
+7 (473) 2000020
+7 (473) 2204617
+7 (473) 2602231
+7 (473) 2602240
+7 (473) 2668068
+7 (495) 9953443</f>
        <v>#NAME?</v>
      </c>
      <c r="F49" s="5"/>
      <c r="G49" s="5" t="s">
        <v>25351</v>
      </c>
      <c r="H49" s="26">
        <v>14.5</v>
      </c>
      <c r="I49" s="5" t="s">
        <v>25352</v>
      </c>
      <c r="J49" s="5" t="s">
        <v>25353</v>
      </c>
      <c r="K49" s="5" t="s">
        <v>355</v>
      </c>
      <c r="L49" s="5" t="s">
        <v>25354</v>
      </c>
      <c r="M49" s="27">
        <v>677491</v>
      </c>
      <c r="N49" s="5"/>
      <c r="O49" s="5" t="str">
        <v>3662135848</v>
      </c>
      <c r="P49" s="27">
        <v>91620000</v>
      </c>
      <c r="Q49" s="5" t="s">
        <v>49009</v>
      </c>
      <c r="R49" s="5" t="s">
        <v>49111</v>
      </c>
      <c r="S49" s="5" t="s">
        <v>49010</v>
      </c>
      <c r="T49" s="28">
        <v>1468914000</v>
      </c>
      <c r="U49" s="28">
        <v>865726000</v>
      </c>
      <c r="V49" s="28">
        <v>1346884000</v>
      </c>
      <c r="W49" s="28">
        <v>134455000</v>
      </c>
      <c r="X49" s="28">
        <v>9941000</v>
      </c>
      <c r="Y49" s="28">
        <v>4717914000</v>
      </c>
      <c r="Z49" s="28">
        <v>552792000</v>
      </c>
      <c r="AA49" s="28">
        <v>424000000</v>
      </c>
      <c r="AB49" s="28">
        <v>1373105000</v>
      </c>
      <c r="AC49" s="28">
        <v>3585850000</v>
      </c>
      <c r="AD49" s="28">
        <v>644412000</v>
      </c>
      <c r="AE49" s="28">
        <v>6456247000</v>
      </c>
      <c r="AF49" s="28">
        <v>46366000</v>
      </c>
      <c r="AG49" s="11"/>
    </row>
    <row r="50">
      <c r="A50" s="7" t="s">
        <v>1802</v>
      </c>
      <c r="B50" s="5" t="s">
        <v>9772</v>
      </c>
      <c r="C50" s="5" t="s">
        <v>17681</v>
      </c>
      <c r="D50" s="5" t="str">
        <v>507001207149</v>
      </c>
      <c r="E50" s="0" t="e">
        <f>+7 (495) 6405182</f>
        <v>#NAME?</v>
      </c>
      <c r="F50" s="5" t="s">
        <v>25355</v>
      </c>
      <c r="G50" s="5" t="s">
        <v>25356</v>
      </c>
      <c r="H50" s="26">
        <v>11</v>
      </c>
      <c r="I50" s="5" t="s">
        <v>25357</v>
      </c>
      <c r="J50" s="5" t="s">
        <v>678</v>
      </c>
      <c r="K50" s="5" t="s">
        <v>344</v>
      </c>
      <c r="L50" s="5" t="s">
        <v>25358</v>
      </c>
      <c r="M50" s="27"/>
      <c r="N50" s="5" t="s">
        <v>49112</v>
      </c>
      <c r="O50" s="5" t="str">
        <v>7728798719</v>
      </c>
      <c r="P50" s="27">
        <v>20000</v>
      </c>
      <c r="Q50" s="5" t="s">
        <v>49113</v>
      </c>
      <c r="R50" s="5"/>
      <c r="S50" s="5" t="s">
        <v>49114</v>
      </c>
      <c r="T50" s="28">
        <v>7740000</v>
      </c>
      <c r="U50" s="28"/>
      <c r="V50" s="28">
        <v>240640000</v>
      </c>
      <c r="W50" s="28"/>
      <c r="X50" s="28">
        <v>306000</v>
      </c>
      <c r="Y50" s="28">
        <v>1024845000</v>
      </c>
      <c r="Z50" s="28">
        <v>361596000</v>
      </c>
      <c r="AA50" s="28">
        <v>14001000</v>
      </c>
      <c r="AB50" s="28">
        <v>394585000</v>
      </c>
      <c r="AC50" s="28">
        <v>649209000</v>
      </c>
      <c r="AD50" s="28">
        <v>361616000</v>
      </c>
      <c r="AE50" s="28">
        <v>6557248000</v>
      </c>
      <c r="AF50" s="28">
        <v>125810000</v>
      </c>
      <c r="AG50" s="11"/>
    </row>
    <row r="51">
      <c r="A51" s="7" t="s">
        <v>6</v>
      </c>
      <c r="B51" s="5" t="s">
        <v>9773</v>
      </c>
      <c r="C51" s="5" t="s">
        <v>17682</v>
      </c>
      <c r="D51" s="5" t="str">
        <v>282800973104</v>
      </c>
      <c r="E51" s="0" t="e">
        <f>+7 (921) 9692213
+7 (812) 3333344
+7 (812) 4760443</f>
        <v>#NAME?</v>
      </c>
      <c r="F51" s="5" t="s">
        <v>25359</v>
      </c>
      <c r="G51" s="5" t="s">
        <v>25360</v>
      </c>
      <c r="H51" s="26">
        <v>20.5</v>
      </c>
      <c r="I51" s="5" t="s">
        <v>25361</v>
      </c>
      <c r="J51" s="5" t="s">
        <v>389</v>
      </c>
      <c r="K51" s="5" t="s">
        <v>344</v>
      </c>
      <c r="L51" s="5" t="s">
        <v>25362</v>
      </c>
      <c r="M51" s="27"/>
      <c r="N51" s="5" t="s">
        <v>49115</v>
      </c>
      <c r="O51" s="5" t="str">
        <v>7813167880</v>
      </c>
      <c r="P51" s="27">
        <v>2537000</v>
      </c>
      <c r="Q51" s="5" t="s">
        <v>49009</v>
      </c>
      <c r="R51" s="5"/>
      <c r="S51" s="5" t="s">
        <v>49116</v>
      </c>
      <c r="T51" s="28">
        <v>740128000</v>
      </c>
      <c r="U51" s="28">
        <v>366221000</v>
      </c>
      <c r="V51" s="28">
        <v>168346000</v>
      </c>
      <c r="W51" s="28"/>
      <c r="X51" s="28">
        <v>19144000</v>
      </c>
      <c r="Y51" s="28">
        <v>1983315000</v>
      </c>
      <c r="Z51" s="28">
        <v>1561089000</v>
      </c>
      <c r="AA51" s="28">
        <v>130000000</v>
      </c>
      <c r="AB51" s="28">
        <v>134870000</v>
      </c>
      <c r="AC51" s="28">
        <v>284835000</v>
      </c>
      <c r="AD51" s="28">
        <v>1563626000</v>
      </c>
      <c r="AE51" s="28">
        <v>4916013000</v>
      </c>
      <c r="AF51" s="28">
        <v>522445000</v>
      </c>
      <c r="AG51" s="11"/>
    </row>
    <row r="52">
      <c r="A52" s="7" t="s">
        <v>6</v>
      </c>
      <c r="B52" s="5" t="s">
        <v>9774</v>
      </c>
      <c r="C52" s="5" t="s">
        <v>17683</v>
      </c>
      <c r="D52" s="5" t="str">
        <v>780105210260</v>
      </c>
      <c r="E52" s="0" t="e">
        <f>+7 (951) 6698058
+7 (812) 4591823
+7 (812) 5500765
+7 (812) 5503283
+7 (812) 6110580
+7 (81361) 22355
+7 (81361) 25610
+7 (81361) 26439</f>
        <v>#NAME?</v>
      </c>
      <c r="F52" s="5" t="s">
        <v>25363</v>
      </c>
      <c r="G52" s="5" t="s">
        <v>25364</v>
      </c>
      <c r="H52" s="26">
        <v>22</v>
      </c>
      <c r="I52" s="5" t="s">
        <v>25365</v>
      </c>
      <c r="J52" s="5" t="s">
        <v>25366</v>
      </c>
      <c r="K52" s="5" t="s">
        <v>344</v>
      </c>
      <c r="L52" s="5" t="s">
        <v>25367</v>
      </c>
      <c r="M52" s="27">
        <v>14814652</v>
      </c>
      <c r="N52" s="5" t="s">
        <v>49117</v>
      </c>
      <c r="O52" s="5" t="str">
        <v>7826741774</v>
      </c>
      <c r="P52" s="27">
        <v>10010000</v>
      </c>
      <c r="Q52" s="5" t="s">
        <v>49009</v>
      </c>
      <c r="R52" s="5"/>
      <c r="S52" s="5" t="s">
        <v>49066</v>
      </c>
      <c r="T52" s="28">
        <v>1579957000</v>
      </c>
      <c r="U52" s="28">
        <v>20002000</v>
      </c>
      <c r="V52" s="28">
        <v>6135440000</v>
      </c>
      <c r="W52" s="28">
        <v>4214267000</v>
      </c>
      <c r="X52" s="28">
        <v>6351000</v>
      </c>
      <c r="Y52" s="28">
        <v>13333277000</v>
      </c>
      <c r="Z52" s="28">
        <v>1832406000</v>
      </c>
      <c r="AA52" s="28">
        <v>2084800000</v>
      </c>
      <c r="AB52" s="28"/>
      <c r="AC52" s="28">
        <v>5522138000</v>
      </c>
      <c r="AD52" s="28">
        <v>5716232000</v>
      </c>
      <c r="AE52" s="28">
        <v>16754178000</v>
      </c>
      <c r="AF52" s="28">
        <v>377095000</v>
      </c>
      <c r="AG52" s="11"/>
    </row>
    <row r="53">
      <c r="A53" s="7" t="s">
        <v>6</v>
      </c>
      <c r="B53" s="5" t="s">
        <v>9775</v>
      </c>
      <c r="C53" s="5" t="s">
        <v>17684</v>
      </c>
      <c r="D53" s="5" t="str">
        <v>211500567761</v>
      </c>
      <c r="E53" s="0" t="e">
        <f>+7 (834) 7442676
+7 (834) 7442677
+7 (834) 7442678
+7 (84374) 38302
+7 (929) 7229417
+7 (83545) 64945
+7 (83545) 64968
+7 (83545) 64998
+7 (84374) 32067
+7 (84374) 38301
+7 (84374) 42677</f>
        <v>#NAME?</v>
      </c>
      <c r="F53" s="5" t="s">
        <v>25368</v>
      </c>
      <c r="G53" s="5" t="s">
        <v>25369</v>
      </c>
      <c r="H53" s="26">
        <v>19</v>
      </c>
      <c r="I53" s="5" t="s">
        <v>25370</v>
      </c>
      <c r="J53" s="5" t="s">
        <v>25371</v>
      </c>
      <c r="K53" s="5" t="s">
        <v>344</v>
      </c>
      <c r="L53" s="5" t="s">
        <v>25372</v>
      </c>
      <c r="M53" s="27"/>
      <c r="N53" s="5" t="s">
        <v>49119</v>
      </c>
      <c r="O53" s="5" t="str">
        <v>1614006863</v>
      </c>
      <c r="P53" s="27">
        <v>60000</v>
      </c>
      <c r="Q53" s="5" t="s">
        <v>49009</v>
      </c>
      <c r="R53" s="5"/>
      <c r="S53" s="5" t="s">
        <v>49120</v>
      </c>
      <c r="T53" s="28">
        <v>3269760000</v>
      </c>
      <c r="U53" s="28">
        <v>378261000</v>
      </c>
      <c r="V53" s="28">
        <v>1473419000</v>
      </c>
      <c r="W53" s="28">
        <v>75517000</v>
      </c>
      <c r="X53" s="28">
        <v>19278000</v>
      </c>
      <c r="Y53" s="28">
        <v>7145315000</v>
      </c>
      <c r="Z53" s="28">
        <v>4458535000</v>
      </c>
      <c r="AA53" s="28">
        <v>749045000</v>
      </c>
      <c r="AB53" s="28">
        <v>1125353000</v>
      </c>
      <c r="AC53" s="28">
        <v>1604801000</v>
      </c>
      <c r="AD53" s="28">
        <v>4637546000</v>
      </c>
      <c r="AE53" s="28">
        <v>3605560000</v>
      </c>
      <c r="AF53" s="28">
        <v>244548000</v>
      </c>
      <c r="AG53" s="11"/>
    </row>
    <row r="54">
      <c r="A54" s="7" t="s">
        <v>1803</v>
      </c>
      <c r="B54" s="5" t="s">
        <v>9776</v>
      </c>
      <c r="C54" s="5" t="s">
        <v>17685</v>
      </c>
      <c r="D54" s="5" t="str">
        <v>771813961334</v>
      </c>
      <c r="E54" s="0" t="e">
        <f>+7 (48645) 21316
+7 (48645) 22058
+7 (495) 2303073
+7 (495) 9376246</f>
        <v>#NAME?</v>
      </c>
      <c r="F54" s="5" t="s">
        <v>25373</v>
      </c>
      <c r="G54" s="5" t="s">
        <v>25374</v>
      </c>
      <c r="H54" s="26">
        <v>19</v>
      </c>
      <c r="I54" s="5" t="s">
        <v>25375</v>
      </c>
      <c r="J54" s="5" t="s">
        <v>25376</v>
      </c>
      <c r="K54" s="5" t="s">
        <v>344</v>
      </c>
      <c r="L54" s="5"/>
      <c r="M54" s="27"/>
      <c r="N54" s="5"/>
      <c r="O54" s="5" t="str">
        <v>5722033117</v>
      </c>
      <c r="P54" s="27">
        <v>7290000</v>
      </c>
      <c r="Q54" s="5" t="s">
        <v>49059</v>
      </c>
      <c r="R54" s="5"/>
      <c r="S54" s="5" t="s">
        <v>49121</v>
      </c>
      <c r="T54" s="28"/>
      <c r="U54" s="28">
        <v>1782522000</v>
      </c>
      <c r="V54" s="28">
        <v>832643000</v>
      </c>
      <c r="W54" s="28">
        <v>8657889000</v>
      </c>
      <c r="X54" s="28">
        <v>18622000</v>
      </c>
      <c r="Y54" s="28">
        <v>11291719000</v>
      </c>
      <c r="Z54" s="28">
        <v>341177000</v>
      </c>
      <c r="AA54" s="28">
        <v>8999900000</v>
      </c>
      <c r="AB54" s="28">
        <v>1942902000</v>
      </c>
      <c r="AC54" s="28">
        <v>1942988000</v>
      </c>
      <c r="AD54" s="28">
        <v>348831000</v>
      </c>
      <c r="AE54" s="28">
        <v>8208000000</v>
      </c>
      <c r="AF54" s="28">
        <v>8210354000</v>
      </c>
      <c r="AG54" s="11"/>
    </row>
    <row r="55">
      <c r="A55" s="7" t="s">
        <v>1804</v>
      </c>
      <c r="B55" s="5" t="s">
        <v>9777</v>
      </c>
      <c r="C55" s="5" t="s">
        <v>17686</v>
      </c>
      <c r="D55" s="5" t="str">
        <v>463207372169</v>
      </c>
      <c r="E55" s="0" t="e">
        <f>+7 (473) 2554313
+7 (47372) 22927
+7 (495) 7821772
+7 (495) 9376246</f>
        <v>#NAME?</v>
      </c>
      <c r="F55" s="5" t="s">
        <v>25377</v>
      </c>
      <c r="G55" s="5"/>
      <c r="H55" s="26">
        <v>17.5</v>
      </c>
      <c r="I55" s="5" t="s">
        <v>25378</v>
      </c>
      <c r="J55" s="5" t="s">
        <v>841</v>
      </c>
      <c r="K55" s="5" t="s">
        <v>355</v>
      </c>
      <c r="L55" s="5" t="s">
        <v>25379</v>
      </c>
      <c r="M55" s="27">
        <v>28288648</v>
      </c>
      <c r="N55" s="5"/>
      <c r="O55" s="5" t="str">
        <v>3666128249</v>
      </c>
      <c r="P55" s="27">
        <v>1200832000</v>
      </c>
      <c r="Q55" s="5"/>
      <c r="R55" s="5"/>
      <c r="S55" s="5" t="s">
        <v>49110</v>
      </c>
      <c r="T55" s="28">
        <v>14399792000</v>
      </c>
      <c r="U55" s="28"/>
      <c r="V55" s="28">
        <v>5461311000</v>
      </c>
      <c r="W55" s="28">
        <v>178218000</v>
      </c>
      <c r="X55" s="28">
        <v>1044000</v>
      </c>
      <c r="Y55" s="28">
        <v>26425955000</v>
      </c>
      <c r="Z55" s="28">
        <v>7759363000</v>
      </c>
      <c r="AA55" s="28">
        <v>2577457000</v>
      </c>
      <c r="AB55" s="28">
        <v>4435326000</v>
      </c>
      <c r="AC55" s="28">
        <v>5254953000</v>
      </c>
      <c r="AD55" s="28">
        <v>18489038000</v>
      </c>
      <c r="AE55" s="28">
        <v>6826576000</v>
      </c>
      <c r="AF55" s="28">
        <v>3625287000</v>
      </c>
      <c r="AG55" s="11"/>
    </row>
    <row r="56">
      <c r="A56" s="7" t="s">
        <v>1805</v>
      </c>
      <c r="B56" s="5" t="s">
        <v>9778</v>
      </c>
      <c r="C56" s="5" t="s">
        <v>17687</v>
      </c>
      <c r="D56" s="5" t="str">
        <v>772427750901</v>
      </c>
      <c r="E56" s="0" t="e">
        <f>+7 (4712) 390999
+7 (47147) 22057
+7 (47151) 21415
+7 (495) 9376246
+7 (920) 7160201
+7 (920) 7370395</f>
        <v>#NAME?</v>
      </c>
      <c r="F56" s="5" t="s">
        <v>25380</v>
      </c>
      <c r="G56" s="5"/>
      <c r="H56" s="26">
        <v>17</v>
      </c>
      <c r="I56" s="5" t="s">
        <v>25381</v>
      </c>
      <c r="J56" s="5" t="s">
        <v>841</v>
      </c>
      <c r="K56" s="5" t="s">
        <v>344</v>
      </c>
      <c r="L56" s="5" t="s">
        <v>25382</v>
      </c>
      <c r="M56" s="27"/>
      <c r="N56" s="5"/>
      <c r="O56" s="5" t="str">
        <v>4607004691</v>
      </c>
      <c r="P56" s="27">
        <v>410305024</v>
      </c>
      <c r="Q56" s="5"/>
      <c r="R56" s="5"/>
      <c r="S56" s="5" t="s">
        <v>49123</v>
      </c>
      <c r="T56" s="28">
        <v>7899661000</v>
      </c>
      <c r="U56" s="28"/>
      <c r="V56" s="28">
        <v>4636204000</v>
      </c>
      <c r="W56" s="28">
        <v>215600000</v>
      </c>
      <c r="X56" s="28">
        <v>15506000</v>
      </c>
      <c r="Y56" s="28">
        <v>15555797000</v>
      </c>
      <c r="Z56" s="28">
        <v>5424422000</v>
      </c>
      <c r="AA56" s="28">
        <v>266540000</v>
      </c>
      <c r="AB56" s="28">
        <v>4551367000</v>
      </c>
      <c r="AC56" s="28">
        <v>5141010000</v>
      </c>
      <c r="AD56" s="28">
        <v>10103097000</v>
      </c>
      <c r="AE56" s="28">
        <v>4867845000</v>
      </c>
      <c r="AF56" s="28">
        <v>3033764000</v>
      </c>
      <c r="AG56" s="11"/>
    </row>
    <row r="57">
      <c r="A57" s="7" t="s">
        <v>1806</v>
      </c>
      <c r="B57" s="5" t="s">
        <v>9779</v>
      </c>
      <c r="C57" s="5" t="s">
        <v>17688</v>
      </c>
      <c r="D57" s="5" t="str">
        <v>342301517946</v>
      </c>
      <c r="E57" s="0" t="e">
        <f>+7 (48645) 21001
+7 (4862) 540480
+7 (48645) 21316
+7 (495) 9376246
+7 (910) 2073510</f>
        <v>#NAME?</v>
      </c>
      <c r="F57" s="5" t="s">
        <v>25383</v>
      </c>
      <c r="G57" s="5"/>
      <c r="H57" s="26">
        <v>19</v>
      </c>
      <c r="I57" s="5" t="s">
        <v>25384</v>
      </c>
      <c r="J57" s="5" t="s">
        <v>725</v>
      </c>
      <c r="K57" s="5" t="s">
        <v>344</v>
      </c>
      <c r="L57" s="5" t="s">
        <v>25385</v>
      </c>
      <c r="M57" s="27">
        <v>7129566</v>
      </c>
      <c r="N57" s="5"/>
      <c r="O57" s="5" t="str">
        <v>5722033156</v>
      </c>
      <c r="P57" s="27">
        <v>112385000</v>
      </c>
      <c r="Q57" s="5"/>
      <c r="R57" s="5"/>
      <c r="S57" s="5" t="s">
        <v>49125</v>
      </c>
      <c r="T57" s="28">
        <v>12533339000</v>
      </c>
      <c r="U57" s="28"/>
      <c r="V57" s="28">
        <v>3301057000</v>
      </c>
      <c r="W57" s="28">
        <v>542771000</v>
      </c>
      <c r="X57" s="28">
        <v>1152000</v>
      </c>
      <c r="Y57" s="28">
        <v>21161827000</v>
      </c>
      <c r="Z57" s="28">
        <v>6629120000</v>
      </c>
      <c r="AA57" s="28">
        <v>603143000</v>
      </c>
      <c r="AB57" s="28">
        <v>5607168000</v>
      </c>
      <c r="AC57" s="28">
        <v>5901855000</v>
      </c>
      <c r="AD57" s="28">
        <v>14539754000</v>
      </c>
      <c r="AE57" s="28">
        <v>8001700000</v>
      </c>
      <c r="AF57" s="28">
        <v>4054245000</v>
      </c>
      <c r="AG57" s="11"/>
    </row>
    <row r="58">
      <c r="A58" s="7" t="s">
        <v>1807</v>
      </c>
      <c r="B58" s="5" t="s">
        <v>9780</v>
      </c>
      <c r="C58" s="5" t="s">
        <v>17689</v>
      </c>
      <c r="D58" s="5" t="str">
        <v>771375431240</v>
      </c>
      <c r="E58" s="0" t="e">
        <f>+7 (495) 2303073
+7 (495) 7821772
+7 (499) 2303073</f>
        <v>#NAME?</v>
      </c>
      <c r="F58" s="5"/>
      <c r="G58" s="5" t="s">
        <v>25386</v>
      </c>
      <c r="H58" s="26">
        <v>15</v>
      </c>
      <c r="I58" s="5" t="s">
        <v>25387</v>
      </c>
      <c r="J58" s="5" t="s">
        <v>25388</v>
      </c>
      <c r="K58" s="5" t="s">
        <v>355</v>
      </c>
      <c r="L58" s="5" t="s">
        <v>25389</v>
      </c>
      <c r="M58" s="27"/>
      <c r="N58" s="5"/>
      <c r="O58" s="5" t="str">
        <v>7705824970</v>
      </c>
      <c r="P58" s="27">
        <v>10000</v>
      </c>
      <c r="Q58" s="5" t="s">
        <v>49057</v>
      </c>
      <c r="R58" s="5"/>
      <c r="S58" s="5" t="s">
        <v>49126</v>
      </c>
      <c r="T58" s="28">
        <v>436255000</v>
      </c>
      <c r="U58" s="28"/>
      <c r="V58" s="28">
        <v>7205271000</v>
      </c>
      <c r="W58" s="28">
        <v>6916479000</v>
      </c>
      <c r="X58" s="28">
        <v>52890000</v>
      </c>
      <c r="Y58" s="28">
        <v>14770734000</v>
      </c>
      <c r="Z58" s="28">
        <v>317141000</v>
      </c>
      <c r="AA58" s="28"/>
      <c r="AB58" s="28">
        <v>9190325000</v>
      </c>
      <c r="AC58" s="28">
        <v>14453579000</v>
      </c>
      <c r="AD58" s="28">
        <v>317151000</v>
      </c>
      <c r="AE58" s="28">
        <v>16427719000</v>
      </c>
      <c r="AF58" s="28">
        <v>144721000</v>
      </c>
      <c r="AG58" s="11"/>
    </row>
    <row r="59">
      <c r="A59" s="7" t="s">
        <v>1808</v>
      </c>
      <c r="B59" s="5" t="s">
        <v>9781</v>
      </c>
      <c r="C59" s="5" t="s">
        <v>17690</v>
      </c>
      <c r="D59" s="5" t="str">
        <v>772817831296</v>
      </c>
      <c r="F59" s="5"/>
      <c r="G59" s="5"/>
      <c r="H59" s="26">
        <v>3</v>
      </c>
      <c r="I59" s="5" t="s">
        <v>25390</v>
      </c>
      <c r="J59" s="5" t="s">
        <v>25391</v>
      </c>
      <c r="K59" s="5" t="s">
        <v>344</v>
      </c>
      <c r="L59" s="5" t="s">
        <v>25392</v>
      </c>
      <c r="M59" s="27"/>
      <c r="N59" s="5"/>
      <c r="O59" s="5" t="str">
        <v>9706004606</v>
      </c>
      <c r="P59" s="27">
        <v>10000000</v>
      </c>
      <c r="Q59" s="5" t="s">
        <v>49127</v>
      </c>
      <c r="R59" s="5"/>
      <c r="S59" s="5" t="s">
        <v>49053</v>
      </c>
      <c r="T59" s="28">
        <v>114000</v>
      </c>
      <c r="U59" s="28"/>
      <c r="V59" s="28">
        <v>919848000</v>
      </c>
      <c r="W59" s="28">
        <v>419436000</v>
      </c>
      <c r="X59" s="28">
        <v>49944000</v>
      </c>
      <c r="Y59" s="28">
        <v>1908312000</v>
      </c>
      <c r="Z59" s="28">
        <v>38088000</v>
      </c>
      <c r="AA59" s="28">
        <v>24970000</v>
      </c>
      <c r="AB59" s="28">
        <v>526165000</v>
      </c>
      <c r="AC59" s="28">
        <v>1835254000</v>
      </c>
      <c r="AD59" s="28">
        <v>49495000</v>
      </c>
      <c r="AE59" s="28">
        <v>11474195000</v>
      </c>
      <c r="AF59" s="28">
        <v>8995000</v>
      </c>
      <c r="AG59" s="11"/>
    </row>
    <row r="60">
      <c r="A60" s="7" t="s">
        <v>1809</v>
      </c>
      <c r="B60" s="5" t="s">
        <v>9782</v>
      </c>
      <c r="C60" s="5" t="s">
        <v>17691</v>
      </c>
      <c r="D60" s="5" t="str">
        <v>615108001883</v>
      </c>
      <c r="E60" s="0" t="e">
        <f>+7 (928) 1306000</f>
        <v>#NAME?</v>
      </c>
      <c r="F60" s="5"/>
      <c r="G60" s="5"/>
      <c r="H60" s="26">
        <v>6</v>
      </c>
      <c r="I60" s="5" t="s">
        <v>25393</v>
      </c>
      <c r="J60" s="5" t="s">
        <v>373</v>
      </c>
      <c r="K60" s="5" t="s">
        <v>344</v>
      </c>
      <c r="L60" s="5" t="s">
        <v>25394</v>
      </c>
      <c r="M60" s="27">
        <v>410499</v>
      </c>
      <c r="N60" s="5"/>
      <c r="O60" s="5" t="str">
        <v>6151019741</v>
      </c>
      <c r="P60" s="27">
        <v>10000</v>
      </c>
      <c r="Q60" s="5" t="s">
        <v>49057</v>
      </c>
      <c r="R60" s="5"/>
      <c r="S60" s="5" t="s">
        <v>49128</v>
      </c>
      <c r="T60" s="28">
        <v>534000</v>
      </c>
      <c r="U60" s="28"/>
      <c r="V60" s="28">
        <v>726342000</v>
      </c>
      <c r="W60" s="28">
        <v>2834000</v>
      </c>
      <c r="X60" s="28">
        <v>9862000</v>
      </c>
      <c r="Y60" s="28">
        <v>755460000</v>
      </c>
      <c r="Z60" s="28">
        <v>103405000</v>
      </c>
      <c r="AA60" s="28"/>
      <c r="AB60" s="28">
        <v>163769000</v>
      </c>
      <c r="AC60" s="28">
        <v>652045000</v>
      </c>
      <c r="AD60" s="28">
        <v>103415000</v>
      </c>
      <c r="AE60" s="28">
        <v>11845262000</v>
      </c>
      <c r="AF60" s="28">
        <v>21906000</v>
      </c>
      <c r="AG60" s="11"/>
    </row>
    <row r="61">
      <c r="A61" s="7" t="s">
        <v>1810</v>
      </c>
      <c r="B61" s="5" t="s">
        <v>9783</v>
      </c>
      <c r="C61" s="5" t="s">
        <v>17692</v>
      </c>
      <c r="D61" s="5" t="str">
        <v>711709496428</v>
      </c>
      <c r="E61" s="0" t="e">
        <f>+7 (487) 2710653
+7 (487) 2710657
+7 (487) 2710689
+7 (495) 9379461</f>
        <v>#NAME?</v>
      </c>
      <c r="F61" s="5" t="s">
        <v>25395</v>
      </c>
      <c r="G61" s="5" t="s">
        <v>25396</v>
      </c>
      <c r="H61" s="26">
        <v>17</v>
      </c>
      <c r="I61" s="5" t="s">
        <v>25397</v>
      </c>
      <c r="J61" s="5" t="s">
        <v>25366</v>
      </c>
      <c r="K61" s="5" t="s">
        <v>344</v>
      </c>
      <c r="L61" s="5" t="s">
        <v>25398</v>
      </c>
      <c r="M61" s="27"/>
      <c r="N61" s="5"/>
      <c r="O61" s="5" t="str">
        <v>7116128972</v>
      </c>
      <c r="P61" s="27">
        <v>1242625500</v>
      </c>
      <c r="Q61" s="5"/>
      <c r="R61" s="5"/>
      <c r="S61" s="5" t="s">
        <v>49029</v>
      </c>
      <c r="T61" s="28">
        <v>3096943000</v>
      </c>
      <c r="U61" s="28"/>
      <c r="V61" s="28">
        <v>1229380000</v>
      </c>
      <c r="W61" s="28"/>
      <c r="X61" s="28">
        <v>246503000</v>
      </c>
      <c r="Y61" s="28">
        <v>5270754000</v>
      </c>
      <c r="Z61" s="28">
        <v>1104065000</v>
      </c>
      <c r="AA61" s="28">
        <v>2290416000</v>
      </c>
      <c r="AB61" s="28"/>
      <c r="AC61" s="28">
        <v>461364000</v>
      </c>
      <c r="AD61" s="28">
        <v>2346735000</v>
      </c>
      <c r="AE61" s="28">
        <v>3822309000</v>
      </c>
      <c r="AF61" s="28">
        <v>276196000</v>
      </c>
      <c r="AG61" s="11"/>
    </row>
    <row r="62">
      <c r="A62" s="7" t="s">
        <v>1811</v>
      </c>
      <c r="B62" s="5" t="s">
        <v>9784</v>
      </c>
      <c r="C62" s="5" t="s">
        <v>17693</v>
      </c>
      <c r="D62" s="5" t="str">
        <v>772449131616</v>
      </c>
      <c r="E62" s="0" t="e">
        <f>+7 (495) 7870805
+7 (83537) 27361
+7 (3952) 258077
+7 (47362) 23740
+7 (495) 7870800
+7 (495) 7870807
+7 (495) 7878493
+7 (495) 7878499
+7 (800) 7000357
+7 (83537) 25801</f>
        <v>#NAME?</v>
      </c>
      <c r="F62" s="5" t="s">
        <v>25399</v>
      </c>
      <c r="G62" s="5" t="s">
        <v>25400</v>
      </c>
      <c r="H62" s="26">
        <v>30</v>
      </c>
      <c r="I62" s="5" t="s">
        <v>25401</v>
      </c>
      <c r="J62" s="5" t="s">
        <v>25402</v>
      </c>
      <c r="K62" s="5" t="s">
        <v>344</v>
      </c>
      <c r="L62" s="5" t="s">
        <v>25403</v>
      </c>
      <c r="M62" s="27"/>
      <c r="N62" s="5" t="s">
        <v>49129</v>
      </c>
      <c r="O62" s="5" t="str">
        <v>5046001101</v>
      </c>
      <c r="P62" s="27">
        <v>1000000000</v>
      </c>
      <c r="Q62" s="5" t="s">
        <v>49130</v>
      </c>
      <c r="R62" s="5"/>
      <c r="S62" s="5" t="s">
        <v>49131</v>
      </c>
      <c r="T62" s="28">
        <v>3677387000</v>
      </c>
      <c r="U62" s="28">
        <v>4929376000</v>
      </c>
      <c r="V62" s="28">
        <v>18235885000</v>
      </c>
      <c r="W62" s="28"/>
      <c r="X62" s="28">
        <v>4891066000</v>
      </c>
      <c r="Y62" s="28">
        <v>62124852000</v>
      </c>
      <c r="Z62" s="28">
        <v>30973729000</v>
      </c>
      <c r="AA62" s="28">
        <v>5690983000</v>
      </c>
      <c r="AB62" s="28">
        <v>11392694000</v>
      </c>
      <c r="AC62" s="28">
        <v>24125207000</v>
      </c>
      <c r="AD62" s="28">
        <v>31974104000</v>
      </c>
      <c r="AE62" s="28">
        <v>42040259000</v>
      </c>
      <c r="AF62" s="28">
        <v>5231567000</v>
      </c>
      <c r="AG62" s="11"/>
    </row>
    <row r="63">
      <c r="A63" s="7" t="s">
        <v>1812</v>
      </c>
      <c r="B63" s="5" t="s">
        <v>9785</v>
      </c>
      <c r="C63" s="5" t="s">
        <v>17694</v>
      </c>
      <c r="D63" s="5" t="str">
        <v>771522483884</v>
      </c>
      <c r="E63" s="0" t="e">
        <f>+7 (800) 7754544
+7 (812) 3465969
+7 (812) 3465990
+7 (812) 3769515</f>
        <v>#NAME?</v>
      </c>
      <c r="F63" s="5" t="s">
        <v>25404</v>
      </c>
      <c r="G63" s="5" t="s">
        <v>25405</v>
      </c>
      <c r="H63" s="26">
        <v>26</v>
      </c>
      <c r="I63" s="5" t="s">
        <v>25406</v>
      </c>
      <c r="J63" s="5" t="s">
        <v>25195</v>
      </c>
      <c r="K63" s="5" t="s">
        <v>344</v>
      </c>
      <c r="L63" s="5"/>
      <c r="M63" s="27"/>
      <c r="N63" s="5"/>
      <c r="O63" s="5" t="str">
        <v>7825099392</v>
      </c>
      <c r="P63" s="27">
        <v>9010000</v>
      </c>
      <c r="Q63" s="5" t="s">
        <v>49009</v>
      </c>
      <c r="R63" s="5"/>
      <c r="S63" s="5" t="s">
        <v>49066</v>
      </c>
      <c r="T63" s="28">
        <v>670802000</v>
      </c>
      <c r="U63" s="28">
        <v>94003000</v>
      </c>
      <c r="V63" s="28">
        <v>760283000</v>
      </c>
      <c r="W63" s="28">
        <v>479041000</v>
      </c>
      <c r="X63" s="28">
        <v>1137252000</v>
      </c>
      <c r="Y63" s="28">
        <v>7387968000</v>
      </c>
      <c r="Z63" s="28">
        <v>612537000</v>
      </c>
      <c r="AA63" s="28"/>
      <c r="AB63" s="28">
        <v>137849000</v>
      </c>
      <c r="AC63" s="28">
        <v>598627000</v>
      </c>
      <c r="AD63" s="28">
        <v>5820987000</v>
      </c>
      <c r="AE63" s="28">
        <v>6197870000</v>
      </c>
      <c r="AF63" s="28">
        <v>-403581000</v>
      </c>
      <c r="AG63" s="11"/>
    </row>
    <row r="64">
      <c r="A64" s="7" t="s">
        <v>1813</v>
      </c>
      <c r="B64" s="5" t="s">
        <v>9786</v>
      </c>
      <c r="C64" s="5" t="s">
        <v>17695</v>
      </c>
      <c r="D64" s="5" t="str">
        <v>505001219824</v>
      </c>
      <c r="E64" s="0" t="e">
        <f>+7 (85557) 52603
+7 (903) 7619130</f>
        <v>#NAME?</v>
      </c>
      <c r="F64" s="5" t="s">
        <v>25407</v>
      </c>
      <c r="G64" s="5"/>
      <c r="H64" s="26">
        <v>7</v>
      </c>
      <c r="I64" s="5" t="s">
        <v>25408</v>
      </c>
      <c r="J64" s="5" t="s">
        <v>25402</v>
      </c>
      <c r="K64" s="5" t="s">
        <v>344</v>
      </c>
      <c r="L64" s="5" t="s">
        <v>25409</v>
      </c>
      <c r="M64" s="27"/>
      <c r="N64" s="5"/>
      <c r="O64" s="5" t="str">
        <v>1646042381</v>
      </c>
      <c r="P64" s="27">
        <v>90000000</v>
      </c>
      <c r="Q64" s="5"/>
      <c r="R64" s="5"/>
      <c r="S64" s="5" t="s">
        <v>49132</v>
      </c>
      <c r="T64" s="28">
        <v>3456555000</v>
      </c>
      <c r="U64" s="28"/>
      <c r="V64" s="28">
        <v>5041921000</v>
      </c>
      <c r="W64" s="28"/>
      <c r="X64" s="28">
        <v>342635000</v>
      </c>
      <c r="Y64" s="28">
        <v>19179499000</v>
      </c>
      <c r="Z64" s="28">
        <v>4685719000</v>
      </c>
      <c r="AA64" s="28">
        <v>6756100000</v>
      </c>
      <c r="AB64" s="28">
        <v>5994559000</v>
      </c>
      <c r="AC64" s="28">
        <v>7532497000</v>
      </c>
      <c r="AD64" s="28">
        <v>4885719000</v>
      </c>
      <c r="AE64" s="28">
        <v>16389779000</v>
      </c>
      <c r="AF64" s="28">
        <v>2864445000</v>
      </c>
      <c r="AG64" s="11"/>
    </row>
    <row r="65">
      <c r="A65" s="7" t="s">
        <v>1814</v>
      </c>
      <c r="B65" s="5" t="s">
        <v>9787</v>
      </c>
      <c r="C65" s="5" t="s">
        <v>17696</v>
      </c>
      <c r="D65" s="5" t="str">
        <v>780605190477</v>
      </c>
      <c r="E65" s="0" t="e">
        <f>+7 (495) 2584528
+7 (499) 1934339
+7 (499) 1937906</f>
        <v>#NAME?</v>
      </c>
      <c r="F65" s="5"/>
      <c r="G65" s="5" t="s">
        <v>25410</v>
      </c>
      <c r="H65" s="26">
        <v>11.5</v>
      </c>
      <c r="I65" s="5"/>
      <c r="J65" s="5" t="s">
        <v>25349</v>
      </c>
      <c r="K65" s="5" t="s">
        <v>344</v>
      </c>
      <c r="L65" s="5" t="s">
        <v>25411</v>
      </c>
      <c r="M65" s="27"/>
      <c r="N65" s="5" t="s">
        <v>49133</v>
      </c>
      <c r="O65" s="5" t="str">
        <v>7714856826</v>
      </c>
      <c r="P65" s="27">
        <v>90000000</v>
      </c>
      <c r="Q65" s="5" t="s">
        <v>49134</v>
      </c>
      <c r="R65" s="5"/>
      <c r="S65" s="5" t="s">
        <v>49135</v>
      </c>
      <c r="T65" s="28">
        <v>836660000</v>
      </c>
      <c r="U65" s="28">
        <v>427747000</v>
      </c>
      <c r="V65" s="28">
        <v>2625171000</v>
      </c>
      <c r="W65" s="28"/>
      <c r="X65" s="28">
        <v>53202000</v>
      </c>
      <c r="Y65" s="28">
        <v>5463809000</v>
      </c>
      <c r="Z65" s="28">
        <v>1757548000</v>
      </c>
      <c r="AA65" s="28">
        <v>1140856000</v>
      </c>
      <c r="AB65" s="28">
        <v>231287000</v>
      </c>
      <c r="AC65" s="28">
        <v>1955948000</v>
      </c>
      <c r="AD65" s="28">
        <v>1852061000</v>
      </c>
      <c r="AE65" s="28">
        <v>5058510000</v>
      </c>
      <c r="AF65" s="28">
        <v>191543000</v>
      </c>
      <c r="AG65" s="11"/>
    </row>
    <row r="66">
      <c r="A66" s="7" t="s">
        <v>1815</v>
      </c>
      <c r="B66" s="5" t="s">
        <v>9788</v>
      </c>
      <c r="C66" s="5" t="s">
        <v>17697</v>
      </c>
      <c r="D66" s="5" t="str">
        <v>382101000909</v>
      </c>
      <c r="E66" s="0" t="e">
        <f>+7 (495) 9330611
+7 (800) 2500056</f>
        <v>#NAME?</v>
      </c>
      <c r="F66" s="5"/>
      <c r="G66" s="5" t="s">
        <v>25412</v>
      </c>
      <c r="H66" s="26">
        <v>11.5</v>
      </c>
      <c r="I66" s="5" t="s">
        <v>25413</v>
      </c>
      <c r="J66" s="5" t="s">
        <v>25414</v>
      </c>
      <c r="K66" s="5" t="s">
        <v>355</v>
      </c>
      <c r="L66" s="5" t="s">
        <v>25415</v>
      </c>
      <c r="M66" s="27">
        <v>14711769</v>
      </c>
      <c r="N66" s="5" t="s">
        <v>49136</v>
      </c>
      <c r="O66" s="5" t="str">
        <v>7701921436</v>
      </c>
      <c r="P66" s="27">
        <v>966693872</v>
      </c>
      <c r="Q66" s="5" t="s">
        <v>49137</v>
      </c>
      <c r="R66" s="5" t="s">
        <v>49138</v>
      </c>
      <c r="S66" s="5" t="s">
        <v>49139</v>
      </c>
      <c r="T66" s="28">
        <v>29153071000</v>
      </c>
      <c r="U66" s="28">
        <v>12076055000</v>
      </c>
      <c r="V66" s="28">
        <v>2752474000</v>
      </c>
      <c r="W66" s="28">
        <v>1120649000</v>
      </c>
      <c r="X66" s="28">
        <v>891433000</v>
      </c>
      <c r="Y66" s="28">
        <v>50700430000</v>
      </c>
      <c r="Z66" s="28">
        <v>18585497000</v>
      </c>
      <c r="AA66" s="28">
        <v>22054260000</v>
      </c>
      <c r="AB66" s="28">
        <v>3378118000</v>
      </c>
      <c r="AC66" s="28">
        <v>5433032000</v>
      </c>
      <c r="AD66" s="28">
        <v>19826657000</v>
      </c>
      <c r="AE66" s="28">
        <v>18231764000</v>
      </c>
      <c r="AF66" s="28">
        <v>5249573000</v>
      </c>
      <c r="AG66" s="11"/>
    </row>
    <row r="67">
      <c r="A67" s="7" t="s">
        <v>1816</v>
      </c>
      <c r="B67" s="5" t="s">
        <v>9789</v>
      </c>
      <c r="C67" s="5" t="s">
        <v>17698</v>
      </c>
      <c r="D67" s="5" t="str">
        <v>263502810093</v>
      </c>
      <c r="E67" s="0" t="e">
        <f>+7 (865) 2380351
+7 (800) 7004091
+7 (865) 2294943
+7 (865) 2394943
+7 (865) 2954102
+7 (8652) 953102</f>
        <v>#NAME?</v>
      </c>
      <c r="F67" s="5" t="s">
        <v>25416</v>
      </c>
      <c r="G67" s="5" t="s">
        <v>25417</v>
      </c>
      <c r="H67" s="26">
        <v>25</v>
      </c>
      <c r="I67" s="5" t="s">
        <v>25418</v>
      </c>
      <c r="J67" s="5" t="s">
        <v>25419</v>
      </c>
      <c r="K67" s="5" t="s">
        <v>344</v>
      </c>
      <c r="L67" s="5" t="s">
        <v>25420</v>
      </c>
      <c r="M67" s="27">
        <v>2203970</v>
      </c>
      <c r="N67" s="5" t="s">
        <v>49140</v>
      </c>
      <c r="O67" s="5" t="str">
        <v>2634039330</v>
      </c>
      <c r="P67" s="27">
        <v>43191699</v>
      </c>
      <c r="Q67" s="5" t="s">
        <v>49009</v>
      </c>
      <c r="R67" s="5"/>
      <c r="S67" s="5" t="s">
        <v>49045</v>
      </c>
      <c r="T67" s="28">
        <v>164275000</v>
      </c>
      <c r="U67" s="28"/>
      <c r="V67" s="28">
        <v>292696000</v>
      </c>
      <c r="W67" s="28">
        <v>24000</v>
      </c>
      <c r="X67" s="28">
        <v>4720000</v>
      </c>
      <c r="Y67" s="28">
        <v>721611000</v>
      </c>
      <c r="Z67" s="28">
        <v>171220000</v>
      </c>
      <c r="AA67" s="28">
        <v>1782000</v>
      </c>
      <c r="AB67" s="28">
        <v>192351000</v>
      </c>
      <c r="AC67" s="28">
        <v>501868000</v>
      </c>
      <c r="AD67" s="28">
        <v>214423000</v>
      </c>
      <c r="AE67" s="28">
        <v>3362428000</v>
      </c>
      <c r="AF67" s="28">
        <v>33048000</v>
      </c>
      <c r="AG67" s="11"/>
    </row>
    <row r="68">
      <c r="A68" s="7" t="s">
        <v>1817</v>
      </c>
      <c r="B68" s="5" t="s">
        <v>9790</v>
      </c>
      <c r="C68" s="5" t="s">
        <v>17699</v>
      </c>
      <c r="D68" s="5" t="str">
        <v>780206268467</v>
      </c>
      <c r="E68" s="0" t="e">
        <f>+7 (812) 3139565
+7 (812) 3139566
+7 (812) 6220920</f>
        <v>#NAME?</v>
      </c>
      <c r="F68" s="5" t="s">
        <v>25421</v>
      </c>
      <c r="G68" s="5" t="s">
        <v>25422</v>
      </c>
      <c r="H68" s="26">
        <v>14</v>
      </c>
      <c r="I68" s="5" t="s">
        <v>25423</v>
      </c>
      <c r="J68" s="5" t="s">
        <v>25424</v>
      </c>
      <c r="K68" s="5" t="s">
        <v>344</v>
      </c>
      <c r="L68" s="5" t="s">
        <v>25425</v>
      </c>
      <c r="M68" s="27"/>
      <c r="N68" s="5" t="s">
        <v>49141</v>
      </c>
      <c r="O68" s="5" t="str">
        <v>7802459779</v>
      </c>
      <c r="P68" s="27">
        <v>760000</v>
      </c>
      <c r="Q68" s="5" t="s">
        <v>49142</v>
      </c>
      <c r="R68" s="5"/>
      <c r="S68" s="5" t="s">
        <v>49143</v>
      </c>
      <c r="T68" s="28">
        <v>110393000</v>
      </c>
      <c r="U68" s="28"/>
      <c r="V68" s="28">
        <v>683323000</v>
      </c>
      <c r="W68" s="28">
        <v>49000000</v>
      </c>
      <c r="X68" s="28">
        <v>236234000</v>
      </c>
      <c r="Y68" s="28">
        <v>1736875000</v>
      </c>
      <c r="Z68" s="28">
        <v>780595000</v>
      </c>
      <c r="AA68" s="28">
        <v>29000000</v>
      </c>
      <c r="AB68" s="28">
        <v>921000</v>
      </c>
      <c r="AC68" s="28">
        <v>916499000</v>
      </c>
      <c r="AD68" s="28">
        <v>781478000</v>
      </c>
      <c r="AE68" s="28">
        <v>4426516000</v>
      </c>
      <c r="AF68" s="28">
        <v>559448000</v>
      </c>
      <c r="AG68" s="11"/>
    </row>
    <row r="69">
      <c r="A69" s="7" t="s">
        <v>1818</v>
      </c>
      <c r="B69" s="5" t="s">
        <v>9791</v>
      </c>
      <c r="C69" s="5" t="s">
        <v>17700</v>
      </c>
      <c r="D69" s="5" t="str">
        <v>770502247809</v>
      </c>
      <c r="E69" s="0" t="e">
        <f>+7 (495) 7750204
+7 (495) 7750303
+7 (4987) 750205
+7 (925) 5167737
+7 (929) 5167737
+7 (495) 7750203
+7 (495) 7750205</f>
        <v>#NAME?</v>
      </c>
      <c r="F69" s="5" t="s">
        <v>25426</v>
      </c>
      <c r="G69" s="5" t="s">
        <v>25427</v>
      </c>
      <c r="H69" s="26">
        <v>18.5</v>
      </c>
      <c r="I69" s="5" t="s">
        <v>25428</v>
      </c>
      <c r="J69" s="5" t="s">
        <v>25429</v>
      </c>
      <c r="K69" s="5" t="s">
        <v>344</v>
      </c>
      <c r="L69" s="5" t="s">
        <v>25430</v>
      </c>
      <c r="M69" s="27"/>
      <c r="N69" s="5" t="s">
        <v>49144</v>
      </c>
      <c r="O69" s="5" t="str">
        <v>7709548382</v>
      </c>
      <c r="P69" s="27">
        <v>20000</v>
      </c>
      <c r="Q69" s="5" t="s">
        <v>49145</v>
      </c>
      <c r="R69" s="5"/>
      <c r="S69" s="5" t="s">
        <v>49146</v>
      </c>
      <c r="T69" s="28">
        <v>217778000</v>
      </c>
      <c r="U69" s="28">
        <v>36226000</v>
      </c>
      <c r="V69" s="28">
        <v>4925008000</v>
      </c>
      <c r="W69" s="28">
        <v>17500000</v>
      </c>
      <c r="X69" s="28">
        <v>78833000</v>
      </c>
      <c r="Y69" s="28">
        <v>8826900000</v>
      </c>
      <c r="Z69" s="28">
        <v>435770000</v>
      </c>
      <c r="AA69" s="28">
        <v>1463217000</v>
      </c>
      <c r="AB69" s="28">
        <v>1504256000</v>
      </c>
      <c r="AC69" s="28">
        <v>6803106000</v>
      </c>
      <c r="AD69" s="28">
        <v>435790000</v>
      </c>
      <c r="AE69" s="28">
        <v>24440866000</v>
      </c>
      <c r="AF69" s="28">
        <v>114675000</v>
      </c>
      <c r="AG69" s="11"/>
    </row>
    <row r="70">
      <c r="A70" s="7" t="s">
        <v>1819</v>
      </c>
      <c r="B70" s="5" t="s">
        <v>9792</v>
      </c>
      <c r="C70" s="5" t="s">
        <v>17701</v>
      </c>
      <c r="D70" s="5" t="str">
        <v>772005234465</v>
      </c>
      <c r="E70" s="0" t="e">
        <f>+7 (495) 6460800</f>
        <v>#NAME?</v>
      </c>
      <c r="F70" s="5" t="s">
        <v>25431</v>
      </c>
      <c r="G70" s="5" t="s">
        <v>25432</v>
      </c>
      <c r="H70" s="26">
        <v>14.5</v>
      </c>
      <c r="I70" s="5" t="s">
        <v>25433</v>
      </c>
      <c r="J70" s="5" t="s">
        <v>25429</v>
      </c>
      <c r="K70" s="5" t="s">
        <v>344</v>
      </c>
      <c r="L70" s="5" t="s">
        <v>25434</v>
      </c>
      <c r="M70" s="27"/>
      <c r="N70" s="5" t="s">
        <v>49147</v>
      </c>
      <c r="O70" s="5" t="str">
        <v>3123184434</v>
      </c>
      <c r="P70" s="27">
        <v>7143000</v>
      </c>
      <c r="Q70" s="5" t="s">
        <v>49148</v>
      </c>
      <c r="R70" s="5"/>
      <c r="S70" s="5" t="s">
        <v>49149</v>
      </c>
      <c r="T70" s="28">
        <v>61355000</v>
      </c>
      <c r="U70" s="28">
        <v>26000000</v>
      </c>
      <c r="V70" s="28">
        <v>304913000</v>
      </c>
      <c r="W70" s="28">
        <v>100000000</v>
      </c>
      <c r="X70" s="28">
        <v>73416000</v>
      </c>
      <c r="Y70" s="28">
        <v>588886000</v>
      </c>
      <c r="Z70" s="28">
        <v>41722000</v>
      </c>
      <c r="AA70" s="28"/>
      <c r="AB70" s="28"/>
      <c r="AC70" s="28">
        <v>500107000</v>
      </c>
      <c r="AD70" s="28">
        <v>48865000</v>
      </c>
      <c r="AE70" s="28">
        <v>4034446000</v>
      </c>
      <c r="AF70" s="28">
        <v>8825000</v>
      </c>
      <c r="AG70" s="11"/>
    </row>
    <row r="71">
      <c r="A71" s="7" t="s">
        <v>1820</v>
      </c>
      <c r="B71" s="5" t="s">
        <v>9793</v>
      </c>
      <c r="C71" s="5" t="s">
        <v>17702</v>
      </c>
      <c r="D71" s="5" t="str">
        <v>773316711730</v>
      </c>
      <c r="E71" s="0" t="e">
        <f>+7 (926) 6009756
+7 (495) 7294164</f>
        <v>#NAME?</v>
      </c>
      <c r="F71" s="5" t="s">
        <v>25435</v>
      </c>
      <c r="G71" s="5"/>
      <c r="H71" s="26">
        <v>12.5</v>
      </c>
      <c r="I71" s="5" t="s">
        <v>25436</v>
      </c>
      <c r="J71" s="5" t="s">
        <v>25437</v>
      </c>
      <c r="K71" s="5" t="s">
        <v>344</v>
      </c>
      <c r="L71" s="5"/>
      <c r="M71" s="27"/>
      <c r="N71" s="5" t="s">
        <v>49150</v>
      </c>
      <c r="O71" s="5" t="str">
        <v>5042113943</v>
      </c>
      <c r="P71" s="27">
        <v>276958332</v>
      </c>
      <c r="Q71" s="5" t="s">
        <v>49151</v>
      </c>
      <c r="R71" s="5"/>
      <c r="S71" s="5" t="s">
        <v>49152</v>
      </c>
      <c r="T71" s="28">
        <v>694371000</v>
      </c>
      <c r="U71" s="28">
        <v>28480000</v>
      </c>
      <c r="V71" s="28">
        <v>864407000</v>
      </c>
      <c r="W71" s="28">
        <v>80000000</v>
      </c>
      <c r="X71" s="28">
        <v>91146000</v>
      </c>
      <c r="Y71" s="28">
        <v>3089602000</v>
      </c>
      <c r="Z71" s="28">
        <v>2177832000</v>
      </c>
      <c r="AA71" s="28"/>
      <c r="AB71" s="28"/>
      <c r="AC71" s="28">
        <v>592078000</v>
      </c>
      <c r="AD71" s="28">
        <v>2630264000</v>
      </c>
      <c r="AE71" s="28">
        <v>3931965000</v>
      </c>
      <c r="AF71" s="28">
        <v>507962000</v>
      </c>
      <c r="AG71" s="11"/>
    </row>
    <row r="72">
      <c r="A72" s="7" t="s">
        <v>1821</v>
      </c>
      <c r="B72" s="5" t="s">
        <v>9794</v>
      </c>
      <c r="C72" s="5" t="s">
        <v>17703</v>
      </c>
      <c r="D72" s="5" t="str">
        <v>701403421041</v>
      </c>
      <c r="E72" s="0" t="e">
        <f>+7 (382) 2515963
+7 (382) 2597817
+7 (382) 2621092
+7 (913) 8297817</f>
        <v>#NAME?</v>
      </c>
      <c r="F72" s="5" t="s">
        <v>25438</v>
      </c>
      <c r="G72" s="5"/>
      <c r="H72" s="26">
        <v>12</v>
      </c>
      <c r="I72" s="5" t="s">
        <v>25439</v>
      </c>
      <c r="J72" s="5" t="s">
        <v>373</v>
      </c>
      <c r="K72" s="5" t="s">
        <v>344</v>
      </c>
      <c r="L72" s="5" t="s">
        <v>25440</v>
      </c>
      <c r="M72" s="27"/>
      <c r="N72" s="5" t="s">
        <v>49153</v>
      </c>
      <c r="O72" s="5" t="str">
        <v>7017273305</v>
      </c>
      <c r="P72" s="27">
        <v>10000000</v>
      </c>
      <c r="Q72" s="5" t="s">
        <v>49154</v>
      </c>
      <c r="R72" s="5"/>
      <c r="S72" s="5" t="s">
        <v>49155</v>
      </c>
      <c r="T72" s="28">
        <v>136678000</v>
      </c>
      <c r="U72" s="28"/>
      <c r="V72" s="28">
        <v>575103000</v>
      </c>
      <c r="W72" s="28">
        <v>104343000</v>
      </c>
      <c r="X72" s="28">
        <v>954000</v>
      </c>
      <c r="Y72" s="28">
        <v>1538952000</v>
      </c>
      <c r="Z72" s="28">
        <v>6239000</v>
      </c>
      <c r="AA72" s="28">
        <v>203840000</v>
      </c>
      <c r="AB72" s="28">
        <v>105776000</v>
      </c>
      <c r="AC72" s="28">
        <v>1318873000</v>
      </c>
      <c r="AD72" s="28">
        <v>16239000</v>
      </c>
      <c r="AE72" s="28">
        <v>5614769000</v>
      </c>
      <c r="AF72" s="28">
        <v>10817000</v>
      </c>
      <c r="AG72" s="11"/>
    </row>
    <row r="73">
      <c r="A73" s="7" t="s">
        <v>1822</v>
      </c>
      <c r="B73" s="5" t="s">
        <v>9795</v>
      </c>
      <c r="C73" s="5" t="s">
        <v>17704</v>
      </c>
      <c r="D73" s="5" t="str">
        <v>166003764119</v>
      </c>
      <c r="E73" s="0" t="e">
        <f>+7 (471) 2539535
+7 (471) 2533771
+7 (471) 2722418
+7 (4712) 501507
+7 (4712) 535843
+7 (4712) 535890
+7 (4712) 537785
+7 (4712) 539468
+7 (4712) 572009
+7 (4712) 575665
+7 (4712) 576556
+7 (4712) 576955
+7 (4712) 580151
+7 (4712) 585230
+7 (4712) 722411</f>
        <v>#NAME?</v>
      </c>
      <c r="F73" s="5" t="s">
        <v>25441</v>
      </c>
      <c r="G73" s="5" t="s">
        <v>25442</v>
      </c>
      <c r="H73" s="26">
        <v>29</v>
      </c>
      <c r="I73" s="5"/>
      <c r="J73" s="5" t="s">
        <v>25443</v>
      </c>
      <c r="K73" s="5" t="s">
        <v>344</v>
      </c>
      <c r="L73" s="5"/>
      <c r="M73" s="27">
        <v>16065157</v>
      </c>
      <c r="N73" s="5" t="s">
        <v>49156</v>
      </c>
      <c r="O73" s="5" t="str">
        <v>4629019412</v>
      </c>
      <c r="P73" s="27">
        <v>100100</v>
      </c>
      <c r="Q73" s="5" t="s">
        <v>49157</v>
      </c>
      <c r="R73" s="5"/>
      <c r="S73" s="5" t="s">
        <v>49158</v>
      </c>
      <c r="T73" s="28">
        <v>816286000</v>
      </c>
      <c r="U73" s="28">
        <v>271587000</v>
      </c>
      <c r="V73" s="28">
        <v>5468348000</v>
      </c>
      <c r="W73" s="28"/>
      <c r="X73" s="28">
        <v>2445726000</v>
      </c>
      <c r="Y73" s="28">
        <v>13613366000</v>
      </c>
      <c r="Z73" s="28">
        <v>1444416000</v>
      </c>
      <c r="AA73" s="28"/>
      <c r="AB73" s="28">
        <v>1161449000</v>
      </c>
      <c r="AC73" s="28">
        <v>11567366000</v>
      </c>
      <c r="AD73" s="28">
        <v>1608590000</v>
      </c>
      <c r="AE73" s="28">
        <v>7702270000</v>
      </c>
      <c r="AF73" s="28">
        <v>1760289000</v>
      </c>
      <c r="AG73" s="11"/>
    </row>
    <row r="74">
      <c r="A74" s="7" t="s">
        <v>1823</v>
      </c>
      <c r="B74" s="5" t="s">
        <v>9796</v>
      </c>
      <c r="C74" s="5" t="s">
        <v>17705</v>
      </c>
      <c r="D74" s="5" t="str">
        <v>890400166218</v>
      </c>
      <c r="E74" s="0" t="e">
        <f>+7 (495) 2321834
+7 (495) 7354597</f>
        <v>#NAME?</v>
      </c>
      <c r="F74" s="5"/>
      <c r="G74" s="5" t="s">
        <v>25444</v>
      </c>
      <c r="H74" s="26">
        <v>12.5</v>
      </c>
      <c r="I74" s="5" t="s">
        <v>25445</v>
      </c>
      <c r="J74" s="5" t="s">
        <v>25446</v>
      </c>
      <c r="K74" s="5" t="s">
        <v>355</v>
      </c>
      <c r="L74" s="5"/>
      <c r="M74" s="27">
        <v>370220081</v>
      </c>
      <c r="N74" s="5"/>
      <c r="O74" s="5" t="str">
        <v>7725696405</v>
      </c>
      <c r="P74" s="27">
        <v>2040816</v>
      </c>
      <c r="Q74" s="5"/>
      <c r="R74" s="5" t="s">
        <v>49159</v>
      </c>
      <c r="S74" s="5" t="s">
        <v>49160</v>
      </c>
      <c r="T74" s="28">
        <v>46362000</v>
      </c>
      <c r="U74" s="28"/>
      <c r="V74" s="28">
        <v>5315179000</v>
      </c>
      <c r="W74" s="28">
        <v>8000000</v>
      </c>
      <c r="X74" s="28">
        <v>49678000</v>
      </c>
      <c r="Y74" s="28">
        <v>6211164000</v>
      </c>
      <c r="Z74" s="28">
        <v>26401000</v>
      </c>
      <c r="AA74" s="28">
        <v>27000000</v>
      </c>
      <c r="AB74" s="28">
        <v>6192000</v>
      </c>
      <c r="AC74" s="28">
        <v>5858390000</v>
      </c>
      <c r="AD74" s="28">
        <v>293318000</v>
      </c>
      <c r="AE74" s="28">
        <v>4436281000</v>
      </c>
      <c r="AF74" s="28">
        <v>7963000</v>
      </c>
      <c r="AG74" s="11"/>
    </row>
    <row r="75">
      <c r="A75" s="7" t="s">
        <v>1824</v>
      </c>
      <c r="B75" s="5" t="s">
        <v>9797</v>
      </c>
      <c r="C75" s="5" t="s">
        <v>17706</v>
      </c>
      <c r="D75" s="5" t="str">
        <v>773000735822</v>
      </c>
      <c r="E75" s="0" t="e">
        <f>+7 (487) 2393729
+7 (487) 2702203
+7 (487) 2702206
+7 (495) 5393729
+7 (495) 5702203
+7 (495) 7357264</f>
        <v>#NAME?</v>
      </c>
      <c r="F75" s="5" t="s">
        <v>25447</v>
      </c>
      <c r="G75" s="5" t="s">
        <v>25448</v>
      </c>
      <c r="H75" s="26">
        <v>15</v>
      </c>
      <c r="I75" s="5" t="s">
        <v>25449</v>
      </c>
      <c r="J75" s="5" t="s">
        <v>25450</v>
      </c>
      <c r="K75" s="5" t="s">
        <v>344</v>
      </c>
      <c r="L75" s="5" t="s">
        <v>25451</v>
      </c>
      <c r="M75" s="27"/>
      <c r="N75" s="5"/>
      <c r="O75" s="5" t="str">
        <v>7136500162</v>
      </c>
      <c r="P75" s="27">
        <v>10000</v>
      </c>
      <c r="Q75" s="5" t="s">
        <v>49161</v>
      </c>
      <c r="R75" s="5"/>
      <c r="S75" s="5" t="s">
        <v>49162</v>
      </c>
      <c r="T75" s="28">
        <v>2704714000</v>
      </c>
      <c r="U75" s="28">
        <v>138725000</v>
      </c>
      <c r="V75" s="28">
        <v>268249000</v>
      </c>
      <c r="W75" s="28"/>
      <c r="X75" s="28">
        <v>1017929000</v>
      </c>
      <c r="Y75" s="28">
        <v>4801926000</v>
      </c>
      <c r="Z75" s="28">
        <v>3653122000</v>
      </c>
      <c r="AA75" s="28"/>
      <c r="AB75" s="28"/>
      <c r="AC75" s="28">
        <v>1146866000</v>
      </c>
      <c r="AD75" s="28">
        <v>3655705000</v>
      </c>
      <c r="AE75" s="28">
        <v>7192795000</v>
      </c>
      <c r="AF75" s="28">
        <v>2144245000</v>
      </c>
      <c r="AG75" s="11"/>
    </row>
    <row r="76">
      <c r="A76" s="7" t="s">
        <v>1825</v>
      </c>
      <c r="B76" s="5" t="s">
        <v>9798</v>
      </c>
      <c r="C76" s="5" t="s">
        <v>17707</v>
      </c>
      <c r="D76" s="5" t="str">
        <v>650112387322</v>
      </c>
      <c r="E76" s="0" t="e">
        <f>+7 (424) 2784487
+7 (4232) 307333
+7 (424) 2300206
+7 (424) 2462289
+7 (424) 2465827
+7 (424) 2465830
+7 (424) 2465858
+7 (424) 2465866
+7 (424) 2465897
+7 (424) 2739000
+7 (424) 2739090
+7 (424) 2739191
+7 (424) 2788007
+7 (424) 2788346
+7 (424) 2788439</f>
        <v>#NAME?</v>
      </c>
      <c r="F76" s="5" t="s">
        <v>25452</v>
      </c>
      <c r="G76" s="5" t="s">
        <v>25453</v>
      </c>
      <c r="H76" s="26">
        <v>31</v>
      </c>
      <c r="I76" s="5"/>
      <c r="J76" s="5" t="s">
        <v>25454</v>
      </c>
      <c r="K76" s="5" t="s">
        <v>344</v>
      </c>
      <c r="L76" s="5" t="s">
        <v>25455</v>
      </c>
      <c r="M76" s="27">
        <v>3710888</v>
      </c>
      <c r="N76" s="5" t="s">
        <v>49163</v>
      </c>
      <c r="O76" s="5" t="str">
        <v>6501161401</v>
      </c>
      <c r="P76" s="27">
        <v>7772170</v>
      </c>
      <c r="Q76" s="5" t="s">
        <v>49164</v>
      </c>
      <c r="R76" s="5"/>
      <c r="S76" s="5" t="s">
        <v>49165</v>
      </c>
      <c r="T76" s="28">
        <v>11536167000</v>
      </c>
      <c r="U76" s="28">
        <v>10000</v>
      </c>
      <c r="V76" s="28">
        <v>3107177000</v>
      </c>
      <c r="W76" s="28">
        <v>3458665000</v>
      </c>
      <c r="X76" s="28">
        <v>5188013000</v>
      </c>
      <c r="Y76" s="28">
        <v>27459354000</v>
      </c>
      <c r="Z76" s="28">
        <v>5318721000</v>
      </c>
      <c r="AA76" s="28"/>
      <c r="AB76" s="28"/>
      <c r="AC76" s="28">
        <v>5401789000</v>
      </c>
      <c r="AD76" s="28">
        <v>16488434000</v>
      </c>
      <c r="AE76" s="28">
        <v>21728315000</v>
      </c>
      <c r="AF76" s="28">
        <v>1988250000</v>
      </c>
      <c r="AG76" s="11"/>
    </row>
    <row r="77">
      <c r="A77" s="7" t="s">
        <v>1826</v>
      </c>
      <c r="B77" s="5" t="s">
        <v>9799</v>
      </c>
      <c r="C77" s="5" t="s">
        <v>17708</v>
      </c>
      <c r="D77" s="5" t="str">
        <v>772816840080</v>
      </c>
      <c r="E77" s="0" t="e">
        <f>+7 (495) 5454872
+7 (861) 7630053
+7 (863) 3020220
+7 (985) 7630053</f>
        <v>#NAME?</v>
      </c>
      <c r="F77" s="5" t="s">
        <v>25456</v>
      </c>
      <c r="G77" s="5"/>
      <c r="H77" s="26">
        <v>8.5</v>
      </c>
      <c r="I77" s="5"/>
      <c r="J77" s="5" t="s">
        <v>25454</v>
      </c>
      <c r="K77" s="5" t="s">
        <v>344</v>
      </c>
      <c r="L77" s="5"/>
      <c r="M77" s="27">
        <v>1444090</v>
      </c>
      <c r="N77" s="5" t="s">
        <v>49166</v>
      </c>
      <c r="O77" s="5" t="str">
        <v>2312218415</v>
      </c>
      <c r="P77" s="27">
        <v>3000000</v>
      </c>
      <c r="Q77" s="5" t="s">
        <v>49009</v>
      </c>
      <c r="R77" s="5"/>
      <c r="S77" s="5" t="s">
        <v>49167</v>
      </c>
      <c r="T77" s="28">
        <v>14235807000</v>
      </c>
      <c r="U77" s="28"/>
      <c r="V77" s="28">
        <v>2548845000</v>
      </c>
      <c r="W77" s="28">
        <v>500000000</v>
      </c>
      <c r="X77" s="28">
        <v>1446515000</v>
      </c>
      <c r="Y77" s="28">
        <v>23033622000</v>
      </c>
      <c r="Z77" s="28">
        <v>2637288000</v>
      </c>
      <c r="AA77" s="28">
        <v>336346000</v>
      </c>
      <c r="AB77" s="28">
        <v>34623000</v>
      </c>
      <c r="AC77" s="28">
        <v>5680771000</v>
      </c>
      <c r="AD77" s="28">
        <v>2865552000</v>
      </c>
      <c r="AE77" s="28">
        <v>21610031000</v>
      </c>
      <c r="AF77" s="28">
        <v>3802804000</v>
      </c>
      <c r="AG77" s="11"/>
    </row>
    <row r="78">
      <c r="A78" s="7" t="s">
        <v>1827</v>
      </c>
      <c r="B78" s="5" t="s">
        <v>9800</v>
      </c>
      <c r="C78" s="5" t="s">
        <v>17709</v>
      </c>
      <c r="D78" s="5" t="str">
        <v>143301635047</v>
      </c>
      <c r="E78" s="0" t="e">
        <f>+7 (383) 3631843
+7 (41136) 31873
+7 (41136) 48121
+7 (41136) 48123
+7 (41136) 48160
+7 (41136) 48169
+7 (41136) 48315
+7 (41136) 98011
+7 (41136) 98018
+7 (41136) 98023
+7 (41136) 98100
+7 (41136) 98108
+7 (41136) 98113
+7 (41136) 98121
+7 (41136) 98153</f>
        <v>#NAME?</v>
      </c>
      <c r="F78" s="5" t="s">
        <v>25457</v>
      </c>
      <c r="G78" s="5" t="s">
        <v>25458</v>
      </c>
      <c r="H78" s="26">
        <v>29.5</v>
      </c>
      <c r="I78" s="5"/>
      <c r="J78" s="5" t="s">
        <v>25454</v>
      </c>
      <c r="K78" s="5" t="s">
        <v>344</v>
      </c>
      <c r="L78" s="5" t="s">
        <v>25459</v>
      </c>
      <c r="M78" s="27">
        <v>12785245</v>
      </c>
      <c r="N78" s="5" t="s">
        <v>49168</v>
      </c>
      <c r="O78" s="5" t="str">
        <v>7805004321</v>
      </c>
      <c r="P78" s="27">
        <v>1216311900</v>
      </c>
      <c r="Q78" s="5" t="s">
        <v>49169</v>
      </c>
      <c r="R78" s="5"/>
      <c r="S78" s="5" t="s">
        <v>49170</v>
      </c>
      <c r="T78" s="28">
        <v>4441489000</v>
      </c>
      <c r="U78" s="28"/>
      <c r="V78" s="28">
        <v>712432000</v>
      </c>
      <c r="W78" s="28">
        <v>3470380000</v>
      </c>
      <c r="X78" s="28">
        <v>16743000</v>
      </c>
      <c r="Y78" s="28">
        <v>10074725000</v>
      </c>
      <c r="Z78" s="28">
        <v>3018069000</v>
      </c>
      <c r="AA78" s="28"/>
      <c r="AB78" s="28"/>
      <c r="AC78" s="28">
        <v>2594021000</v>
      </c>
      <c r="AD78" s="28">
        <v>4475352000</v>
      </c>
      <c r="AE78" s="28">
        <v>7759587000</v>
      </c>
      <c r="AF78" s="28">
        <v>961441000</v>
      </c>
      <c r="AG78" s="11"/>
    </row>
    <row r="79">
      <c r="A79" s="7" t="s">
        <v>1828</v>
      </c>
      <c r="B79" s="5" t="s">
        <v>9801</v>
      </c>
      <c r="C79" s="5" t="s">
        <v>17710</v>
      </c>
      <c r="D79" s="5" t="str">
        <v>380802283793</v>
      </c>
      <c r="E79" s="0" t="e">
        <f>+7 (395) 2342555
+7 (3952) 278831
+7 (3952) 282820
+7 (3952) 287732
+7 (3952) 287820
+7 (3952) 287831
+7 (3952) 287845
+7 (3952) 287861
+7 (3952) 287862
+7 (3952) 287864
+7 (3952) 287865
+7 (3952) 287898
+7 (3952) 287920
+7 (39557) 70020</f>
        <v>#NAME?</v>
      </c>
      <c r="F79" s="5" t="s">
        <v>25460</v>
      </c>
      <c r="G79" s="5"/>
      <c r="H79" s="26">
        <v>18</v>
      </c>
      <c r="I79" s="5"/>
      <c r="J79" s="5" t="s">
        <v>25454</v>
      </c>
      <c r="K79" s="5" t="s">
        <v>344</v>
      </c>
      <c r="L79" s="5" t="s">
        <v>25461</v>
      </c>
      <c r="M79" s="27"/>
      <c r="N79" s="5" t="s">
        <v>49171</v>
      </c>
      <c r="O79" s="5" t="str">
        <v>3811089799</v>
      </c>
      <c r="P79" s="27">
        <v>11535000</v>
      </c>
      <c r="Q79" s="5" t="s">
        <v>49172</v>
      </c>
      <c r="R79" s="5"/>
      <c r="S79" s="5" t="s">
        <v>49173</v>
      </c>
      <c r="T79" s="28">
        <v>1714106000</v>
      </c>
      <c r="U79" s="28">
        <v>324501000</v>
      </c>
      <c r="V79" s="28">
        <v>1068365000</v>
      </c>
      <c r="W79" s="28"/>
      <c r="X79" s="28">
        <v>319133000</v>
      </c>
      <c r="Y79" s="28">
        <v>3700522000</v>
      </c>
      <c r="Z79" s="28">
        <v>1907767000</v>
      </c>
      <c r="AA79" s="28"/>
      <c r="AB79" s="28">
        <v>97562000</v>
      </c>
      <c r="AC79" s="28">
        <v>1256917000</v>
      </c>
      <c r="AD79" s="28">
        <v>1919879000</v>
      </c>
      <c r="AE79" s="28">
        <v>4081921000</v>
      </c>
      <c r="AF79" s="28">
        <v>517968000</v>
      </c>
      <c r="AG79" s="11"/>
    </row>
    <row r="80">
      <c r="A80" s="7" t="s">
        <v>1829</v>
      </c>
      <c r="B80" s="5" t="s">
        <v>9802</v>
      </c>
      <c r="C80" s="5" t="s">
        <v>17711</v>
      </c>
      <c r="D80" s="5" t="str">
        <v>732800052176</v>
      </c>
      <c r="E80" s="0" t="e">
        <f>+7 (842) 2201863
+7 (906) 1453201
+7 (8422) 202675
+7 (8422) 590019
+7 (8422) 590059
+7 (8422) 590073
+7 (8422) 590142</f>
        <v>#NAME?</v>
      </c>
      <c r="F80" s="5" t="s">
        <v>25462</v>
      </c>
      <c r="G80" s="5" t="s">
        <v>25463</v>
      </c>
      <c r="H80" s="26">
        <v>16</v>
      </c>
      <c r="I80" s="5" t="s">
        <v>25464</v>
      </c>
      <c r="J80" s="5" t="s">
        <v>25465</v>
      </c>
      <c r="K80" s="5" t="s">
        <v>344</v>
      </c>
      <c r="L80" s="5" t="s">
        <v>25466</v>
      </c>
      <c r="M80" s="27"/>
      <c r="N80" s="5" t="s">
        <v>49174</v>
      </c>
      <c r="O80" s="5" t="str">
        <v>7328510118</v>
      </c>
      <c r="P80" s="27">
        <v>270000</v>
      </c>
      <c r="Q80" s="5" t="s">
        <v>49009</v>
      </c>
      <c r="R80" s="5"/>
      <c r="S80" s="5" t="s">
        <v>49175</v>
      </c>
      <c r="T80" s="28">
        <v>7537882000</v>
      </c>
      <c r="U80" s="28">
        <v>20558488000</v>
      </c>
      <c r="V80" s="28">
        <v>9437981000</v>
      </c>
      <c r="W80" s="28">
        <v>2806336000</v>
      </c>
      <c r="X80" s="28">
        <v>3489029000</v>
      </c>
      <c r="Y80" s="28">
        <v>46844527000</v>
      </c>
      <c r="Z80" s="28">
        <v>28267124000</v>
      </c>
      <c r="AA80" s="28">
        <v>7437326000</v>
      </c>
      <c r="AB80" s="28"/>
      <c r="AC80" s="28">
        <v>5542914000</v>
      </c>
      <c r="AD80" s="28">
        <v>28268614000</v>
      </c>
      <c r="AE80" s="28">
        <v>17617567000</v>
      </c>
      <c r="AF80" s="28">
        <v>1100818000</v>
      </c>
      <c r="AG80" s="11"/>
    </row>
    <row r="81">
      <c r="A81" s="7" t="s">
        <v>1830</v>
      </c>
      <c r="B81" s="5" t="s">
        <v>9803</v>
      </c>
      <c r="C81" s="5" t="s">
        <v>17712</v>
      </c>
      <c r="D81" s="5" t="str">
        <v>560901610980</v>
      </c>
      <c r="E81" s="0" t="e">
        <f>+7 (35324) 87999
+7 (391) 2008070
+7 (391) 2008196
+7 (902) 9605856
+7 (963) 2577733</f>
        <v>#NAME?</v>
      </c>
      <c r="F81" s="5" t="s">
        <v>25467</v>
      </c>
      <c r="G81" s="5" t="s">
        <v>25468</v>
      </c>
      <c r="H81" s="26">
        <v>25.5</v>
      </c>
      <c r="I81" s="5" t="s">
        <v>25469</v>
      </c>
      <c r="J81" s="5" t="s">
        <v>25470</v>
      </c>
      <c r="K81" s="5" t="s">
        <v>355</v>
      </c>
      <c r="L81" s="5"/>
      <c r="M81" s="27"/>
      <c r="N81" s="5"/>
      <c r="O81" s="5" t="str">
        <v>4901005298</v>
      </c>
      <c r="P81" s="27">
        <v>400050000</v>
      </c>
      <c r="Q81" s="5" t="s">
        <v>49021</v>
      </c>
      <c r="R81" s="5"/>
      <c r="S81" s="5" t="s">
        <v>49176</v>
      </c>
      <c r="T81" s="28">
        <v>363378000</v>
      </c>
      <c r="U81" s="28"/>
      <c r="V81" s="28">
        <v>2003200000</v>
      </c>
      <c r="W81" s="28">
        <v>540850000</v>
      </c>
      <c r="X81" s="28">
        <v>40574000</v>
      </c>
      <c r="Y81" s="28">
        <v>4471705000</v>
      </c>
      <c r="Z81" s="28">
        <v>-457025000</v>
      </c>
      <c r="AA81" s="28"/>
      <c r="AB81" s="28"/>
      <c r="AC81" s="28">
        <v>4505787000</v>
      </c>
      <c r="AD81" s="28">
        <v>-56975000</v>
      </c>
      <c r="AE81" s="28">
        <v>9726422000</v>
      </c>
      <c r="AF81" s="28">
        <v>248556000</v>
      </c>
      <c r="AG81" s="11"/>
    </row>
    <row r="82">
      <c r="A82" s="7" t="s">
        <v>1831</v>
      </c>
      <c r="B82" s="5" t="s">
        <v>9804</v>
      </c>
      <c r="C82" s="5" t="s">
        <v>17713</v>
      </c>
      <c r="D82" s="5" t="str">
        <v>250207316287</v>
      </c>
      <c r="E82" s="0" t="e">
        <f>+7 (499) 4271101
+7 (499) 4271102</f>
        <v>#NAME?</v>
      </c>
      <c r="F82" s="5" t="s">
        <v>25471</v>
      </c>
      <c r="G82" s="5" t="s">
        <v>25472</v>
      </c>
      <c r="H82" s="26">
        <v>8.5</v>
      </c>
      <c r="I82" s="5" t="s">
        <v>25473</v>
      </c>
      <c r="J82" s="5" t="s">
        <v>25454</v>
      </c>
      <c r="K82" s="5" t="s">
        <v>344</v>
      </c>
      <c r="L82" s="5" t="s">
        <v>25474</v>
      </c>
      <c r="M82" s="27"/>
      <c r="N82" s="5" t="s">
        <v>49177</v>
      </c>
      <c r="O82" s="5" t="str">
        <v>9705001313</v>
      </c>
      <c r="P82" s="27">
        <v>1200000000</v>
      </c>
      <c r="Q82" s="5" t="s">
        <v>49178</v>
      </c>
      <c r="R82" s="5"/>
      <c r="S82" s="5" t="s">
        <v>49179</v>
      </c>
      <c r="T82" s="28">
        <v>86155426000</v>
      </c>
      <c r="U82" s="28">
        <v>260000</v>
      </c>
      <c r="V82" s="28">
        <v>7802926000</v>
      </c>
      <c r="W82" s="28">
        <v>22527820000</v>
      </c>
      <c r="X82" s="28">
        <v>6293081000</v>
      </c>
      <c r="Y82" s="28">
        <v>162264252000</v>
      </c>
      <c r="Z82" s="28">
        <v>13858980000</v>
      </c>
      <c r="AA82" s="28"/>
      <c r="AB82" s="28"/>
      <c r="AC82" s="28">
        <v>15105693000</v>
      </c>
      <c r="AD82" s="28">
        <v>15065527000</v>
      </c>
      <c r="AE82" s="28">
        <v>58673160000</v>
      </c>
      <c r="AF82" s="28">
        <v>15016938000</v>
      </c>
      <c r="AG82" s="11"/>
    </row>
    <row r="83">
      <c r="A83" s="7" t="s">
        <v>1832</v>
      </c>
      <c r="B83" s="5" t="s">
        <v>9805</v>
      </c>
      <c r="C83" s="5" t="s">
        <v>17714</v>
      </c>
      <c r="D83" s="5" t="str">
        <v>711300828681</v>
      </c>
      <c r="E83" s="0" t="e">
        <f>+7 (495) 7820031</f>
        <v>#NAME?</v>
      </c>
      <c r="F83" s="5"/>
      <c r="G83" s="5" t="s">
        <v>25475</v>
      </c>
      <c r="H83" s="26">
        <v>30</v>
      </c>
      <c r="I83" s="5"/>
      <c r="J83" s="5" t="s">
        <v>25470</v>
      </c>
      <c r="K83" s="5" t="s">
        <v>380</v>
      </c>
      <c r="L83" s="5"/>
      <c r="M83" s="27"/>
      <c r="N83" s="5"/>
      <c r="O83" s="5" t="str">
        <v>1901011793</v>
      </c>
      <c r="P83" s="27">
        <v>50000000</v>
      </c>
      <c r="Q83" s="5" t="s">
        <v>49009</v>
      </c>
      <c r="R83" s="5"/>
      <c r="S83" s="5" t="s">
        <v>49180</v>
      </c>
      <c r="T83" s="28">
        <v>74760000</v>
      </c>
      <c r="U83" s="28"/>
      <c r="V83" s="28">
        <v>327743000</v>
      </c>
      <c r="W83" s="28"/>
      <c r="X83" s="28">
        <v>21563000</v>
      </c>
      <c r="Y83" s="28">
        <v>1356487000</v>
      </c>
      <c r="Z83" s="28">
        <v>-540162000</v>
      </c>
      <c r="AA83" s="28"/>
      <c r="AB83" s="28">
        <v>15000000</v>
      </c>
      <c r="AC83" s="28">
        <v>1814081000</v>
      </c>
      <c r="AD83" s="28">
        <v>-482662000</v>
      </c>
      <c r="AE83" s="28">
        <v>3810443000</v>
      </c>
      <c r="AF83" s="28">
        <v>-549627000</v>
      </c>
      <c r="AG83" s="11"/>
    </row>
    <row r="84">
      <c r="A84" s="7" t="s">
        <v>1833</v>
      </c>
      <c r="B84" s="5" t="s">
        <v>9806</v>
      </c>
      <c r="C84" s="5" t="s">
        <v>17715</v>
      </c>
      <c r="D84" s="5" t="str">
        <v>781701017357</v>
      </c>
      <c r="E84" s="0" t="e">
        <f>+7 (495) 2690213
+7 (812) 6128184
+7 (921) 4281557
+7 (981) 7214379
+7 (981) 9909261</f>
        <v>#NAME?</v>
      </c>
      <c r="F84" s="5" t="s">
        <v>25476</v>
      </c>
      <c r="G84" s="5" t="s">
        <v>25477</v>
      </c>
      <c r="H84" s="26">
        <v>13</v>
      </c>
      <c r="I84" s="5" t="s">
        <v>25478</v>
      </c>
      <c r="J84" s="5" t="s">
        <v>25470</v>
      </c>
      <c r="K84" s="5" t="s">
        <v>344</v>
      </c>
      <c r="L84" s="5" t="s">
        <v>25479</v>
      </c>
      <c r="M84" s="27">
        <v>1121700</v>
      </c>
      <c r="N84" s="5" t="s">
        <v>49181</v>
      </c>
      <c r="O84" s="5" t="str">
        <v>1101077330</v>
      </c>
      <c r="P84" s="27">
        <v>135425000</v>
      </c>
      <c r="Q84" s="5" t="s">
        <v>49182</v>
      </c>
      <c r="R84" s="5"/>
      <c r="S84" s="5" t="s">
        <v>49183</v>
      </c>
      <c r="T84" s="28">
        <v>6320480000</v>
      </c>
      <c r="U84" s="28">
        <v>10000</v>
      </c>
      <c r="V84" s="28">
        <v>1094170000</v>
      </c>
      <c r="W84" s="28">
        <v>200000000</v>
      </c>
      <c r="X84" s="28">
        <v>445317000</v>
      </c>
      <c r="Y84" s="28">
        <v>9519668000</v>
      </c>
      <c r="Z84" s="28">
        <v>1223337000</v>
      </c>
      <c r="AA84" s="28"/>
      <c r="AB84" s="28"/>
      <c r="AC84" s="28">
        <v>626486000</v>
      </c>
      <c r="AD84" s="28">
        <v>1358762000</v>
      </c>
      <c r="AE84" s="28">
        <v>8539848000</v>
      </c>
      <c r="AF84" s="28">
        <v>1064539000</v>
      </c>
      <c r="AG84" s="11"/>
    </row>
    <row r="85">
      <c r="A85" s="7" t="s">
        <v>1834</v>
      </c>
      <c r="B85" s="5" t="s">
        <v>9807</v>
      </c>
      <c r="C85" s="5" t="s">
        <v>17716</v>
      </c>
      <c r="D85" s="5" t="str">
        <v>772486539019</v>
      </c>
      <c r="E85" s="0" t="e">
        <f>+7 (383) 2106052
+7 (383) 2106051
+7 (383) 2176976
+7 (383) 3599015
+7 (383) 3599044
+7 (383) 3599064
+7 (411) 2444276
+7 (495) 5404700
+7 (495) 7830707
+7 (800) 7000707</f>
        <v>#NAME?</v>
      </c>
      <c r="F85" s="5" t="s">
        <v>25480</v>
      </c>
      <c r="G85" s="5"/>
      <c r="H85" s="26">
        <v>29</v>
      </c>
      <c r="I85" s="5"/>
      <c r="J85" s="5" t="s">
        <v>25454</v>
      </c>
      <c r="K85" s="5" t="s">
        <v>344</v>
      </c>
      <c r="L85" s="5" t="s">
        <v>25481</v>
      </c>
      <c r="M85" s="27">
        <v>1698643</v>
      </c>
      <c r="N85" s="5" t="s">
        <v>49184</v>
      </c>
      <c r="O85" s="5" t="str">
        <v>5448100656</v>
      </c>
      <c r="P85" s="27">
        <v>204134456</v>
      </c>
      <c r="Q85" s="5" t="s">
        <v>49185</v>
      </c>
      <c r="R85" s="5"/>
      <c r="S85" s="5" t="s">
        <v>49186</v>
      </c>
      <c r="T85" s="28">
        <v>97254308000</v>
      </c>
      <c r="U85" s="28">
        <v>21769895000</v>
      </c>
      <c r="V85" s="28">
        <v>18774197000</v>
      </c>
      <c r="W85" s="28">
        <v>4793010000</v>
      </c>
      <c r="X85" s="28">
        <v>60332609000</v>
      </c>
      <c r="Y85" s="28">
        <v>242804089000</v>
      </c>
      <c r="Z85" s="28">
        <v>16546992000</v>
      </c>
      <c r="AA85" s="28">
        <v>26851945000</v>
      </c>
      <c r="AB85" s="28">
        <v>16821000</v>
      </c>
      <c r="AC85" s="28">
        <v>85257926000</v>
      </c>
      <c r="AD85" s="28">
        <v>16781746000</v>
      </c>
      <c r="AE85" s="28">
        <v>151439335000</v>
      </c>
      <c r="AF85" s="28">
        <v>34159176000</v>
      </c>
      <c r="AG85" s="11"/>
    </row>
    <row r="86">
      <c r="A86" s="7" t="s">
        <v>1835</v>
      </c>
      <c r="B86" s="5" t="s">
        <v>9808</v>
      </c>
      <c r="C86" s="5" t="s">
        <v>17717</v>
      </c>
      <c r="D86" s="5" t="str">
        <v>860220398926</v>
      </c>
      <c r="E86" s="0" t="e">
        <f>+7 (345) 2281079
+7 (345) 2281131
+7 (345) 2281366
+7 (345) 2281601
+7 (345) 2281798
+7 (345) 2298304
+7 (345) 2298375
+7 (345) 2298381
+7 (345) 2298409
+7 (345) 2298414
+7 (345) 2298479
+7 (345) 2298721
+7 (346) 2280057
+7 (346) 2280116
+7 (346) 2770069</f>
        <v>#NAME?</v>
      </c>
      <c r="F86" s="5" t="s">
        <v>25482</v>
      </c>
      <c r="G86" s="5"/>
      <c r="H86" s="26">
        <v>30.5</v>
      </c>
      <c r="I86" s="5"/>
      <c r="J86" s="5" t="s">
        <v>25454</v>
      </c>
      <c r="K86" s="5" t="s">
        <v>344</v>
      </c>
      <c r="L86" s="5"/>
      <c r="M86" s="27">
        <v>614895793</v>
      </c>
      <c r="N86" s="5" t="s">
        <v>49187</v>
      </c>
      <c r="O86" s="5" t="str">
        <v>7204002873</v>
      </c>
      <c r="P86" s="27">
        <v>7896123268</v>
      </c>
      <c r="Q86" s="5" t="s">
        <v>49188</v>
      </c>
      <c r="R86" s="5" t="s">
        <v>49189</v>
      </c>
      <c r="S86" s="5" t="s">
        <v>49190</v>
      </c>
      <c r="T86" s="28">
        <v>7988056000</v>
      </c>
      <c r="U86" s="28">
        <v>7387601000</v>
      </c>
      <c r="V86" s="28">
        <v>21954880000</v>
      </c>
      <c r="W86" s="28">
        <v>15045872000</v>
      </c>
      <c r="X86" s="28">
        <v>2259299000</v>
      </c>
      <c r="Y86" s="28">
        <v>71831601000</v>
      </c>
      <c r="Z86" s="28">
        <v>-50274328000</v>
      </c>
      <c r="AA86" s="28">
        <v>22816433000</v>
      </c>
      <c r="AB86" s="28">
        <v>5461617000</v>
      </c>
      <c r="AC86" s="28">
        <v>44239956000</v>
      </c>
      <c r="AD86" s="28">
        <v>-8452013000</v>
      </c>
      <c r="AE86" s="28">
        <v>53246974000</v>
      </c>
      <c r="AF86" s="28">
        <v>4083088000</v>
      </c>
      <c r="AG86" s="11"/>
    </row>
    <row r="87">
      <c r="A87" s="7" t="s">
        <v>1836</v>
      </c>
      <c r="B87" s="5" t="s">
        <v>9809</v>
      </c>
      <c r="C87" s="5" t="s">
        <v>17718</v>
      </c>
      <c r="D87" s="5" t="str">
        <v>771804130333</v>
      </c>
      <c r="E87" s="0" t="e">
        <f>+7 (495) 1392670
+7 (495) 6444544
+7 (495) 7758727
+7 (495) 6909555
+7 (495) 6947887</f>
        <v>#NAME?</v>
      </c>
      <c r="F87" s="5"/>
      <c r="G87" s="5" t="s">
        <v>25483</v>
      </c>
      <c r="H87" s="26">
        <v>21.5</v>
      </c>
      <c r="I87" s="5"/>
      <c r="J87" s="5" t="s">
        <v>25484</v>
      </c>
      <c r="K87" s="5" t="s">
        <v>355</v>
      </c>
      <c r="L87" s="5"/>
      <c r="M87" s="27">
        <v>21040759</v>
      </c>
      <c r="N87" s="5"/>
      <c r="O87" s="5" t="str">
        <v>7707298722</v>
      </c>
      <c r="P87" s="27">
        <v>100000</v>
      </c>
      <c r="Q87" s="5" t="s">
        <v>49009</v>
      </c>
      <c r="R87" s="5"/>
      <c r="S87" s="5" t="s">
        <v>49120</v>
      </c>
      <c r="T87" s="28"/>
      <c r="U87" s="28">
        <v>10000</v>
      </c>
      <c r="V87" s="28">
        <v>460275000</v>
      </c>
      <c r="W87" s="28">
        <v>1526858000</v>
      </c>
      <c r="X87" s="28">
        <v>2409196000</v>
      </c>
      <c r="Y87" s="28">
        <v>84643553000</v>
      </c>
      <c r="Z87" s="28">
        <v>28874290000</v>
      </c>
      <c r="AA87" s="28">
        <v>38166674000</v>
      </c>
      <c r="AB87" s="28">
        <v>2135816000</v>
      </c>
      <c r="AC87" s="28">
        <v>3939826000</v>
      </c>
      <c r="AD87" s="28">
        <v>28874390000</v>
      </c>
      <c r="AE87" s="28">
        <v>9333389000</v>
      </c>
      <c r="AF87" s="28">
        <v>3942832000</v>
      </c>
      <c r="AG87" s="11"/>
    </row>
    <row r="88">
      <c r="A88" s="7" t="s">
        <v>1837</v>
      </c>
      <c r="B88" s="5" t="s">
        <v>9810</v>
      </c>
      <c r="C88" s="5" t="s">
        <v>17719</v>
      </c>
      <c r="D88" s="5" t="str">
        <v>702281224599</v>
      </c>
      <c r="E88" s="0" t="e">
        <f>+7 (383) 2359409
+7 (383) 2545454
+7 (383) 2779042
+7 (383) 2788771
+7 (908) 8556619
+7 (383) 2278545
+7 (383) 2790427
+7 (383) 2791365
+7 (383) 2798489
+7 (383) 2798828
+7 (383) 3284012
+7 (383) 3284014
+7 (383) 3284848
+7 (913) 3700535</f>
        <v>#NAME?</v>
      </c>
      <c r="F88" s="5" t="s">
        <v>25485</v>
      </c>
      <c r="G88" s="5" t="s">
        <v>25486</v>
      </c>
      <c r="H88" s="26">
        <v>14</v>
      </c>
      <c r="I88" s="5"/>
      <c r="J88" s="5" t="s">
        <v>25292</v>
      </c>
      <c r="K88" s="5" t="s">
        <v>344</v>
      </c>
      <c r="L88" s="5" t="s">
        <v>25487</v>
      </c>
      <c r="M88" s="27">
        <v>1450759</v>
      </c>
      <c r="N88" s="5" t="s">
        <v>49191</v>
      </c>
      <c r="O88" s="5" t="str">
        <v>5401321353</v>
      </c>
      <c r="P88" s="27">
        <v>100000</v>
      </c>
      <c r="Q88" s="5" t="s">
        <v>49192</v>
      </c>
      <c r="R88" s="5"/>
      <c r="S88" s="5" t="s">
        <v>49193</v>
      </c>
      <c r="T88" s="28">
        <v>263693000</v>
      </c>
      <c r="U88" s="28"/>
      <c r="V88" s="28">
        <v>959670000</v>
      </c>
      <c r="W88" s="28">
        <v>23500000</v>
      </c>
      <c r="X88" s="28">
        <v>80240000</v>
      </c>
      <c r="Y88" s="28">
        <v>1872040000</v>
      </c>
      <c r="Z88" s="28">
        <v>451892000</v>
      </c>
      <c r="AA88" s="28"/>
      <c r="AB88" s="28">
        <v>22777000</v>
      </c>
      <c r="AC88" s="28">
        <v>1390538000</v>
      </c>
      <c r="AD88" s="28">
        <v>451992000</v>
      </c>
      <c r="AE88" s="28">
        <v>3106380000</v>
      </c>
      <c r="AF88" s="28">
        <v>63497000</v>
      </c>
      <c r="AG88" s="11"/>
    </row>
    <row r="89">
      <c r="A89" s="7" t="s">
        <v>1838</v>
      </c>
      <c r="B89" s="5" t="s">
        <v>9811</v>
      </c>
      <c r="C89" s="5" t="s">
        <v>17720</v>
      </c>
      <c r="D89" s="5" t="str">
        <v>501304035882</v>
      </c>
      <c r="E89" s="0" t="e">
        <f>+7 (495) 5565051
+7 (495) 5565205
+7 (495) 5565235
+7 (495) 5562622
+7 (495) 9123164</f>
        <v>#NAME?</v>
      </c>
      <c r="F89" s="5" t="s">
        <v>25488</v>
      </c>
      <c r="G89" s="5" t="s">
        <v>25489</v>
      </c>
      <c r="H89" s="26">
        <v>23</v>
      </c>
      <c r="I89" s="5" t="s">
        <v>25490</v>
      </c>
      <c r="J89" s="5" t="s">
        <v>25465</v>
      </c>
      <c r="K89" s="5" t="s">
        <v>355</v>
      </c>
      <c r="L89" s="5" t="s">
        <v>25491</v>
      </c>
      <c r="M89" s="27">
        <v>72280</v>
      </c>
      <c r="N89" s="5"/>
      <c r="O89" s="5" t="str">
        <v>7705326371</v>
      </c>
      <c r="P89" s="27">
        <v>10000</v>
      </c>
      <c r="Q89" s="5" t="s">
        <v>49194</v>
      </c>
      <c r="R89" s="5"/>
      <c r="S89" s="5" t="s">
        <v>49195</v>
      </c>
      <c r="T89" s="28">
        <v>4178319000</v>
      </c>
      <c r="U89" s="28">
        <v>184208000</v>
      </c>
      <c r="V89" s="28">
        <v>2171003000</v>
      </c>
      <c r="W89" s="28">
        <v>2718155000</v>
      </c>
      <c r="X89" s="28">
        <v>199633000</v>
      </c>
      <c r="Y89" s="28">
        <v>10330021000</v>
      </c>
      <c r="Z89" s="28">
        <v>1691360000</v>
      </c>
      <c r="AA89" s="28"/>
      <c r="AB89" s="28">
        <v>9213000</v>
      </c>
      <c r="AC89" s="28">
        <v>4582853000</v>
      </c>
      <c r="AD89" s="28">
        <v>1691370000</v>
      </c>
      <c r="AE89" s="28">
        <v>11060151000</v>
      </c>
      <c r="AF89" s="28">
        <v>1038579000</v>
      </c>
      <c r="AG89" s="11"/>
    </row>
    <row r="90">
      <c r="A90" s="7" t="s">
        <v>1839</v>
      </c>
      <c r="B90" s="5" t="s">
        <v>9812</v>
      </c>
      <c r="C90" s="5" t="s">
        <v>17721</v>
      </c>
      <c r="D90" s="5" t="str">
        <v>772446410386</v>
      </c>
      <c r="E90" s="0" t="e">
        <f>+7 (343) 3510536
+7 (8443) 215921
+7 (8443) 215923
+7 (8443) 215924</f>
        <v>#NAME?</v>
      </c>
      <c r="F90" s="5" t="s">
        <v>25492</v>
      </c>
      <c r="G90" s="5" t="s">
        <v>25493</v>
      </c>
      <c r="H90" s="26">
        <v>21</v>
      </c>
      <c r="I90" s="5" t="s">
        <v>25494</v>
      </c>
      <c r="J90" s="5" t="s">
        <v>25495</v>
      </c>
      <c r="K90" s="5" t="s">
        <v>344</v>
      </c>
      <c r="L90" s="5" t="s">
        <v>25496</v>
      </c>
      <c r="M90" s="27">
        <v>1106260</v>
      </c>
      <c r="N90" s="5" t="s">
        <v>49196</v>
      </c>
      <c r="O90" s="5" t="str">
        <v>7725172747</v>
      </c>
      <c r="P90" s="27">
        <v>20000</v>
      </c>
      <c r="Q90" s="5" t="s">
        <v>49197</v>
      </c>
      <c r="R90" s="5"/>
      <c r="S90" s="5" t="s">
        <v>49198</v>
      </c>
      <c r="T90" s="28">
        <v>473961000</v>
      </c>
      <c r="U90" s="28">
        <v>72000</v>
      </c>
      <c r="V90" s="28">
        <v>2096956000</v>
      </c>
      <c r="W90" s="28">
        <v>235849000</v>
      </c>
      <c r="X90" s="28">
        <v>121319000</v>
      </c>
      <c r="Y90" s="28">
        <v>3795317000</v>
      </c>
      <c r="Z90" s="28">
        <v>2956199000</v>
      </c>
      <c r="AA90" s="28"/>
      <c r="AB90" s="28">
        <v>301720000</v>
      </c>
      <c r="AC90" s="28">
        <v>839098000</v>
      </c>
      <c r="AD90" s="28">
        <v>2956219000</v>
      </c>
      <c r="AE90" s="28">
        <v>7271631000</v>
      </c>
      <c r="AF90" s="28">
        <v>987152000</v>
      </c>
      <c r="AG90" s="11"/>
    </row>
    <row r="91">
      <c r="A91" s="7" t="s">
        <v>1840</v>
      </c>
      <c r="B91" s="5" t="s">
        <v>9813</v>
      </c>
      <c r="C91" s="5" t="s">
        <v>17722</v>
      </c>
      <c r="D91" s="5" t="str">
        <v>460400773981</v>
      </c>
      <c r="E91" s="0" t="e">
        <f>+7 (472) 2429658
+7 (4725) 429328
+7 (4725) 429384
+7 (4725) 429438
+7 (4725) 429488
+7 (4725) 429658</f>
        <v>#NAME?</v>
      </c>
      <c r="F91" s="5" t="s">
        <v>25497</v>
      </c>
      <c r="G91" s="5" t="s">
        <v>25498</v>
      </c>
      <c r="H91" s="26">
        <v>30</v>
      </c>
      <c r="I91" s="5"/>
      <c r="J91" s="5" t="s">
        <v>25499</v>
      </c>
      <c r="K91" s="5" t="s">
        <v>344</v>
      </c>
      <c r="L91" s="5"/>
      <c r="M91" s="27"/>
      <c r="N91" s="5" t="s">
        <v>49199</v>
      </c>
      <c r="O91" s="5" t="str">
        <v>3128004452</v>
      </c>
      <c r="P91" s="27">
        <v>25024500</v>
      </c>
      <c r="Q91" s="5" t="s">
        <v>49009</v>
      </c>
      <c r="R91" s="5"/>
      <c r="S91" s="5" t="s">
        <v>49200</v>
      </c>
      <c r="T91" s="28">
        <v>970621000</v>
      </c>
      <c r="U91" s="28">
        <v>319788000</v>
      </c>
      <c r="V91" s="28">
        <v>635805000</v>
      </c>
      <c r="W91" s="28">
        <v>880000000</v>
      </c>
      <c r="X91" s="28">
        <v>12073000</v>
      </c>
      <c r="Y91" s="28">
        <v>3201890000</v>
      </c>
      <c r="Z91" s="28">
        <v>1550026000</v>
      </c>
      <c r="AA91" s="28">
        <v>550412000</v>
      </c>
      <c r="AB91" s="28">
        <v>800572000</v>
      </c>
      <c r="AC91" s="28">
        <v>1017667000</v>
      </c>
      <c r="AD91" s="28">
        <v>1577000000</v>
      </c>
      <c r="AE91" s="28">
        <v>5599751000</v>
      </c>
      <c r="AF91" s="28">
        <v>753064000</v>
      </c>
      <c r="AG91" s="11"/>
    </row>
    <row r="92">
      <c r="A92" s="7" t="s">
        <v>1841</v>
      </c>
      <c r="B92" s="5" t="s">
        <v>9814</v>
      </c>
      <c r="C92" s="5" t="s">
        <v>17723</v>
      </c>
      <c r="D92" s="5" t="str">
        <v>504216138309</v>
      </c>
      <c r="E92" s="0" t="e">
        <f>+7 (495) 6460790
+7 (812) 3855926
+7 (495) 1520028
+7 (495) 5405922
+7 (917) 5384922
+7 (926) 2326902</f>
        <v>#NAME?</v>
      </c>
      <c r="F92" s="5" t="s">
        <v>25500</v>
      </c>
      <c r="G92" s="5" t="s">
        <v>25501</v>
      </c>
      <c r="H92" s="26">
        <v>16</v>
      </c>
      <c r="I92" s="5" t="s">
        <v>25502</v>
      </c>
      <c r="J92" s="5" t="s">
        <v>25190</v>
      </c>
      <c r="K92" s="5" t="s">
        <v>355</v>
      </c>
      <c r="L92" s="5" t="s">
        <v>25503</v>
      </c>
      <c r="M92" s="27">
        <v>56367571</v>
      </c>
      <c r="N92" s="5"/>
      <c r="O92" s="5" t="str">
        <v>7705776540</v>
      </c>
      <c r="P92" s="27">
        <v>1000000</v>
      </c>
      <c r="Q92" s="5" t="s">
        <v>49057</v>
      </c>
      <c r="R92" s="5"/>
      <c r="S92" s="5" t="s">
        <v>49201</v>
      </c>
      <c r="T92" s="28">
        <v>12677000</v>
      </c>
      <c r="U92" s="28"/>
      <c r="V92" s="28">
        <v>3215077000</v>
      </c>
      <c r="W92" s="28">
        <v>581165000</v>
      </c>
      <c r="X92" s="28">
        <v>3425000</v>
      </c>
      <c r="Y92" s="28">
        <v>4219438000</v>
      </c>
      <c r="Z92" s="28">
        <v>620747000</v>
      </c>
      <c r="AA92" s="28"/>
      <c r="AB92" s="28"/>
      <c r="AC92" s="28">
        <v>3587519000</v>
      </c>
      <c r="AD92" s="28">
        <v>621747000</v>
      </c>
      <c r="AE92" s="28">
        <v>8779898000</v>
      </c>
      <c r="AF92" s="28">
        <v>236732000</v>
      </c>
      <c r="AG92" s="11"/>
    </row>
    <row r="93">
      <c r="A93" s="7" t="s">
        <v>1842</v>
      </c>
      <c r="B93" s="5" t="s">
        <v>9815</v>
      </c>
      <c r="C93" s="5" t="s">
        <v>17724</v>
      </c>
      <c r="D93" s="5" t="str">
        <v>780431992776</v>
      </c>
      <c r="E93" s="0" t="e">
        <f>+7 (812) 5962060
+7 (812) 6779342
+7 (812) 6779345
+7 (812) 6779347</f>
        <v>#NAME?</v>
      </c>
      <c r="F93" s="5" t="s">
        <v>25504</v>
      </c>
      <c r="G93" s="5" t="s">
        <v>25505</v>
      </c>
      <c r="H93" s="26">
        <v>22</v>
      </c>
      <c r="I93" s="5" t="s">
        <v>25506</v>
      </c>
      <c r="J93" s="5" t="s">
        <v>678</v>
      </c>
      <c r="K93" s="5" t="s">
        <v>344</v>
      </c>
      <c r="L93" s="5" t="s">
        <v>25507</v>
      </c>
      <c r="M93" s="27"/>
      <c r="N93" s="5" t="s">
        <v>49202</v>
      </c>
      <c r="O93" s="5" t="str">
        <v>7802165433</v>
      </c>
      <c r="P93" s="27">
        <v>10000</v>
      </c>
      <c r="Q93" s="5" t="s">
        <v>49203</v>
      </c>
      <c r="R93" s="5"/>
      <c r="S93" s="5" t="s">
        <v>49204</v>
      </c>
      <c r="T93" s="28">
        <v>92713000</v>
      </c>
      <c r="U93" s="28">
        <v>148373000</v>
      </c>
      <c r="V93" s="28">
        <v>2436793000</v>
      </c>
      <c r="W93" s="28">
        <v>6526000</v>
      </c>
      <c r="X93" s="28">
        <v>738246000</v>
      </c>
      <c r="Y93" s="28">
        <v>3962288000</v>
      </c>
      <c r="Z93" s="28">
        <v>1154515000</v>
      </c>
      <c r="AA93" s="28">
        <v>76390000</v>
      </c>
      <c r="AB93" s="28"/>
      <c r="AC93" s="28">
        <v>2717249000</v>
      </c>
      <c r="AD93" s="28">
        <v>1160828000</v>
      </c>
      <c r="AE93" s="28">
        <v>4628807000</v>
      </c>
      <c r="AF93" s="28">
        <v>1107860000</v>
      </c>
      <c r="AG93" s="11"/>
    </row>
    <row r="94">
      <c r="A94" s="7" t="s">
        <v>1843</v>
      </c>
      <c r="B94" s="5" t="s">
        <v>9816</v>
      </c>
      <c r="C94" s="5" t="s">
        <v>17725</v>
      </c>
      <c r="D94" s="5" t="str">
        <v>773118802819</v>
      </c>
      <c r="F94" s="5"/>
      <c r="G94" s="5" t="s">
        <v>25508</v>
      </c>
      <c r="H94" s="26">
        <v>13.5</v>
      </c>
      <c r="I94" s="5" t="s">
        <v>25509</v>
      </c>
      <c r="J94" s="5" t="s">
        <v>25429</v>
      </c>
      <c r="K94" s="5" t="s">
        <v>344</v>
      </c>
      <c r="L94" s="5" t="s">
        <v>25510</v>
      </c>
      <c r="M94" s="27"/>
      <c r="N94" s="5"/>
      <c r="O94" s="5" t="str">
        <v>7720667150</v>
      </c>
      <c r="P94" s="27">
        <v>12000</v>
      </c>
      <c r="Q94" s="5" t="s">
        <v>49021</v>
      </c>
      <c r="R94" s="5"/>
      <c r="S94" s="5" t="s">
        <v>49205</v>
      </c>
      <c r="T94" s="28">
        <v>12780000</v>
      </c>
      <c r="U94" s="28"/>
      <c r="V94" s="28">
        <v>713841000</v>
      </c>
      <c r="W94" s="28"/>
      <c r="X94" s="28">
        <v>42086000</v>
      </c>
      <c r="Y94" s="28">
        <v>945081000</v>
      </c>
      <c r="Z94" s="28">
        <v>412565000</v>
      </c>
      <c r="AA94" s="28">
        <v>170000000</v>
      </c>
      <c r="AB94" s="28">
        <v>20013000</v>
      </c>
      <c r="AC94" s="28">
        <v>354591000</v>
      </c>
      <c r="AD94" s="28">
        <v>412577000</v>
      </c>
      <c r="AE94" s="28">
        <v>3277152000</v>
      </c>
      <c r="AF94" s="28">
        <v>141098000</v>
      </c>
      <c r="AG94" s="11"/>
    </row>
    <row r="95">
      <c r="A95" s="7" t="s">
        <v>1844</v>
      </c>
      <c r="B95" s="5" t="s">
        <v>9817</v>
      </c>
      <c r="C95" s="5" t="s">
        <v>17726</v>
      </c>
      <c r="D95" s="5" t="str">
        <v>772614091230</v>
      </c>
      <c r="E95" s="0" t="e">
        <f>+7 (495) 5025511
+7 (495) 5405902
+7 (495) 7585300</f>
        <v>#NAME?</v>
      </c>
      <c r="F95" s="5" t="s">
        <v>25511</v>
      </c>
      <c r="G95" s="5"/>
      <c r="H95" s="26">
        <v>13.5</v>
      </c>
      <c r="I95" s="5"/>
      <c r="J95" s="5" t="s">
        <v>25512</v>
      </c>
      <c r="K95" s="5" t="s">
        <v>344</v>
      </c>
      <c r="L95" s="5" t="s">
        <v>25513</v>
      </c>
      <c r="M95" s="27"/>
      <c r="N95" s="5" t="s">
        <v>49206</v>
      </c>
      <c r="O95" s="5" t="str">
        <v>7734615498</v>
      </c>
      <c r="P95" s="27">
        <v>1000000</v>
      </c>
      <c r="Q95" s="5" t="s">
        <v>49207</v>
      </c>
      <c r="R95" s="5"/>
      <c r="S95" s="5" t="s">
        <v>49208</v>
      </c>
      <c r="T95" s="28">
        <v>9113000</v>
      </c>
      <c r="U95" s="28">
        <v>10200000</v>
      </c>
      <c r="V95" s="28">
        <v>4173892000</v>
      </c>
      <c r="W95" s="28">
        <v>133000000</v>
      </c>
      <c r="X95" s="28">
        <v>95176000</v>
      </c>
      <c r="Y95" s="28">
        <v>4765372000</v>
      </c>
      <c r="Z95" s="28">
        <v>582737000</v>
      </c>
      <c r="AA95" s="28"/>
      <c r="AB95" s="28">
        <v>322105000</v>
      </c>
      <c r="AC95" s="28">
        <v>4151820000</v>
      </c>
      <c r="AD95" s="28">
        <v>583787000</v>
      </c>
      <c r="AE95" s="28">
        <v>8887588000</v>
      </c>
      <c r="AF95" s="28">
        <v>620155000</v>
      </c>
      <c r="AG95" s="11"/>
    </row>
    <row r="96">
      <c r="A96" s="7" t="s">
        <v>1845</v>
      </c>
      <c r="B96" s="5" t="s">
        <v>9818</v>
      </c>
      <c r="C96" s="5" t="s">
        <v>17727</v>
      </c>
      <c r="D96" s="5" t="str">
        <v>780603173613</v>
      </c>
      <c r="E96" s="0" t="e">
        <f>+7 (925) 1439518
+7 (977) 7538347
+7 (812) 6415189
+7 (926) 1447650
+7 (985) 2356598</f>
        <v>#NAME?</v>
      </c>
      <c r="F96" s="5" t="s">
        <v>25514</v>
      </c>
      <c r="G96" s="5" t="s">
        <v>25515</v>
      </c>
      <c r="H96" s="26">
        <v>12.5</v>
      </c>
      <c r="I96" s="5" t="s">
        <v>25516</v>
      </c>
      <c r="J96" s="5" t="s">
        <v>585</v>
      </c>
      <c r="K96" s="5" t="s">
        <v>344</v>
      </c>
      <c r="L96" s="5" t="s">
        <v>25517</v>
      </c>
      <c r="M96" s="27"/>
      <c r="N96" s="5" t="s">
        <v>49209</v>
      </c>
      <c r="O96" s="5" t="str">
        <v>7736622807</v>
      </c>
      <c r="P96" s="27">
        <v>500000</v>
      </c>
      <c r="Q96" s="5" t="s">
        <v>49210</v>
      </c>
      <c r="R96" s="5"/>
      <c r="S96" s="5" t="s">
        <v>49211</v>
      </c>
      <c r="T96" s="28">
        <v>286529000</v>
      </c>
      <c r="U96" s="28"/>
      <c r="V96" s="28">
        <v>768826000</v>
      </c>
      <c r="W96" s="28">
        <v>162471000</v>
      </c>
      <c r="X96" s="28">
        <v>605778000</v>
      </c>
      <c r="Y96" s="28">
        <v>2019823000</v>
      </c>
      <c r="Z96" s="28">
        <v>594033000</v>
      </c>
      <c r="AA96" s="28"/>
      <c r="AB96" s="28"/>
      <c r="AC96" s="28">
        <v>1182142000</v>
      </c>
      <c r="AD96" s="28">
        <v>594533000</v>
      </c>
      <c r="AE96" s="28">
        <v>4391100000</v>
      </c>
      <c r="AF96" s="28">
        <v>396004000</v>
      </c>
      <c r="AG96" s="11"/>
    </row>
    <row r="97">
      <c r="A97" s="7" t="s">
        <v>1846</v>
      </c>
      <c r="B97" s="5" t="s">
        <v>9819</v>
      </c>
      <c r="C97" s="5" t="s">
        <v>17728</v>
      </c>
      <c r="D97" s="5" t="str">
        <v>772345173065</v>
      </c>
      <c r="E97" s="0" t="e">
        <f>+7 (495) 7254151
+7 (495) 9805708
+7 (495) 9813896</f>
        <v>#NAME?</v>
      </c>
      <c r="F97" s="5" t="s">
        <v>25518</v>
      </c>
      <c r="G97" s="5" t="s">
        <v>25519</v>
      </c>
      <c r="H97" s="26">
        <v>21.5</v>
      </c>
      <c r="I97" s="5" t="s">
        <v>25520</v>
      </c>
      <c r="J97" s="5" t="s">
        <v>25219</v>
      </c>
      <c r="K97" s="5" t="s">
        <v>344</v>
      </c>
      <c r="L97" s="5"/>
      <c r="M97" s="27">
        <v>792764</v>
      </c>
      <c r="N97" s="5"/>
      <c r="O97" s="5" t="str">
        <v>7724232030</v>
      </c>
      <c r="P97" s="27">
        <v>11000000</v>
      </c>
      <c r="Q97" s="5" t="s">
        <v>49009</v>
      </c>
      <c r="R97" s="5" t="s">
        <v>49212</v>
      </c>
      <c r="S97" s="5" t="s">
        <v>49028</v>
      </c>
      <c r="T97" s="28">
        <v>179620000</v>
      </c>
      <c r="U97" s="28">
        <v>314301000</v>
      </c>
      <c r="V97" s="28">
        <v>243107000</v>
      </c>
      <c r="W97" s="28">
        <v>476660000</v>
      </c>
      <c r="X97" s="28">
        <v>192510000</v>
      </c>
      <c r="Y97" s="28">
        <v>2345399000</v>
      </c>
      <c r="Z97" s="28">
        <v>1420618000</v>
      </c>
      <c r="AA97" s="28"/>
      <c r="AB97" s="28"/>
      <c r="AC97" s="28">
        <v>912281000</v>
      </c>
      <c r="AD97" s="28">
        <v>1432618000</v>
      </c>
      <c r="AE97" s="28">
        <v>8443357000</v>
      </c>
      <c r="AF97" s="28">
        <v>4151000</v>
      </c>
      <c r="AG97" s="11"/>
    </row>
    <row r="98">
      <c r="A98" s="7" t="s">
        <v>1847</v>
      </c>
      <c r="B98" s="5" t="s">
        <v>9820</v>
      </c>
      <c r="C98" s="5" t="s">
        <v>17729</v>
      </c>
      <c r="D98" s="5" t="str">
        <v>165028486415</v>
      </c>
      <c r="E98" s="0" t="e">
        <f>+7 (917) 2837484
+7 (855) 2253913</f>
        <v>#NAME?</v>
      </c>
      <c r="F98" s="5" t="s">
        <v>25521</v>
      </c>
      <c r="G98" s="5"/>
      <c r="H98" s="26">
        <v>7.5</v>
      </c>
      <c r="I98" s="5" t="s">
        <v>25522</v>
      </c>
      <c r="J98" s="5" t="s">
        <v>445</v>
      </c>
      <c r="K98" s="5" t="s">
        <v>344</v>
      </c>
      <c r="L98" s="5" t="s">
        <v>25523</v>
      </c>
      <c r="M98" s="27">
        <v>27001001</v>
      </c>
      <c r="N98" s="5"/>
      <c r="O98" s="5" t="str">
        <v>1650314013</v>
      </c>
      <c r="P98" s="27">
        <v>10135200</v>
      </c>
      <c r="Q98" s="5" t="s">
        <v>49021</v>
      </c>
      <c r="R98" s="5"/>
      <c r="S98" s="5" t="s">
        <v>49213</v>
      </c>
      <c r="T98" s="28">
        <v>1186445000</v>
      </c>
      <c r="U98" s="28">
        <v>1530000</v>
      </c>
      <c r="V98" s="28">
        <v>2002987000</v>
      </c>
      <c r="W98" s="28">
        <v>290000000</v>
      </c>
      <c r="X98" s="28">
        <v>235301000</v>
      </c>
      <c r="Y98" s="28">
        <v>6210425000</v>
      </c>
      <c r="Z98" s="28">
        <v>1501383000</v>
      </c>
      <c r="AA98" s="28">
        <v>257248000</v>
      </c>
      <c r="AB98" s="28">
        <v>252723000</v>
      </c>
      <c r="AC98" s="28">
        <v>4193510000</v>
      </c>
      <c r="AD98" s="28">
        <v>1511518000</v>
      </c>
      <c r="AE98" s="28">
        <v>3427028000</v>
      </c>
      <c r="AF98" s="28">
        <v>173526000</v>
      </c>
      <c r="AG98" s="11"/>
    </row>
    <row r="99">
      <c r="A99" s="7" t="s">
        <v>1848</v>
      </c>
      <c r="B99" s="5" t="s">
        <v>9821</v>
      </c>
      <c r="C99" s="5" t="s">
        <v>17730</v>
      </c>
      <c r="D99" s="5" t="str">
        <v>361800931462</v>
      </c>
      <c r="E99" s="0" t="e">
        <f>+7 (473) 2553001
+7 (473) 2553008
+7 (473) 3003630
+7 (473) 3003718
+7 (473) 3003736
+7 (473) 3003810
+7 (47395) 31395
+7 (47395) 31828
+7 (47395) 40150
+7 (47395) 40614
+7 (47395) 45000
+7 (47395) 45233
+7 (47395) 45236
+7 (47395) 51150
+7 (47395) 51904</f>
        <v>#NAME?</v>
      </c>
      <c r="F99" s="5" t="s">
        <v>25524</v>
      </c>
      <c r="G99" s="5"/>
      <c r="H99" s="26">
        <v>23.5</v>
      </c>
      <c r="I99" s="5"/>
      <c r="J99" s="5" t="s">
        <v>25525</v>
      </c>
      <c r="K99" s="5" t="s">
        <v>344</v>
      </c>
      <c r="L99" s="5" t="s">
        <v>25526</v>
      </c>
      <c r="M99" s="27">
        <v>1184279</v>
      </c>
      <c r="N99" s="5" t="s">
        <v>49214</v>
      </c>
      <c r="O99" s="5" t="str">
        <v>3618003426</v>
      </c>
      <c r="P99" s="27">
        <v>20000</v>
      </c>
      <c r="Q99" s="5" t="s">
        <v>447</v>
      </c>
      <c r="R99" s="5"/>
      <c r="S99" s="5" t="s">
        <v>49215</v>
      </c>
      <c r="T99" s="28">
        <v>523189000</v>
      </c>
      <c r="U99" s="28">
        <v>85000000</v>
      </c>
      <c r="V99" s="28">
        <v>583920000</v>
      </c>
      <c r="W99" s="28">
        <v>33500000</v>
      </c>
      <c r="X99" s="28">
        <v>11296000</v>
      </c>
      <c r="Y99" s="28">
        <v>2415868000</v>
      </c>
      <c r="Z99" s="28">
        <v>1087034000</v>
      </c>
      <c r="AA99" s="28">
        <v>624000000</v>
      </c>
      <c r="AB99" s="28">
        <v>311739000</v>
      </c>
      <c r="AC99" s="28">
        <v>676463000</v>
      </c>
      <c r="AD99" s="28">
        <v>1099287000</v>
      </c>
      <c r="AE99" s="28">
        <v>4201464000</v>
      </c>
      <c r="AF99" s="28">
        <v>364307000</v>
      </c>
      <c r="AG99" s="11"/>
    </row>
    <row r="100">
      <c r="A100" s="7" t="s">
        <v>1849</v>
      </c>
      <c r="B100" s="5" t="s">
        <v>9822</v>
      </c>
      <c r="C100" s="5" t="s">
        <v>17731</v>
      </c>
      <c r="D100" s="5" t="str">
        <v>366303310400</v>
      </c>
      <c r="E100" s="0" t="e">
        <f>+7 (4712) 349494
+7 (4725) 444121
+7 (473) 2000003
+7 (474) 2505585
+7 (47467) 47363
+7 (475) 2521671
+7 (475) 2756162
+7 (483) 2770470
+7 (484) 2277600
+7 (4862) 599988
+7 (487) 2770555
+7 (487) 2770630
+7 (4912) 559559
+7 (499) 3503436
+7 (499) 7044791</f>
        <v>#NAME?</v>
      </c>
      <c r="F100" s="5" t="s">
        <v>25527</v>
      </c>
      <c r="G100" s="5" t="s">
        <v>25528</v>
      </c>
      <c r="H100" s="26">
        <v>22</v>
      </c>
      <c r="I100" s="5" t="s">
        <v>25529</v>
      </c>
      <c r="J100" s="5" t="s">
        <v>25530</v>
      </c>
      <c r="K100" s="5" t="s">
        <v>344</v>
      </c>
      <c r="L100" s="5" t="s">
        <v>25531</v>
      </c>
      <c r="M100" s="27">
        <v>2871360</v>
      </c>
      <c r="N100" s="5" t="s">
        <v>49216</v>
      </c>
      <c r="O100" s="5" t="str">
        <v>3664042290</v>
      </c>
      <c r="P100" s="27">
        <v>10000</v>
      </c>
      <c r="Q100" s="5" t="s">
        <v>49217</v>
      </c>
      <c r="R100" s="5"/>
      <c r="S100" s="5" t="s">
        <v>49218</v>
      </c>
      <c r="T100" s="28">
        <v>18699000</v>
      </c>
      <c r="U100" s="28"/>
      <c r="V100" s="28">
        <v>900729000</v>
      </c>
      <c r="W100" s="28">
        <v>210000</v>
      </c>
      <c r="X100" s="28">
        <v>44947000</v>
      </c>
      <c r="Y100" s="28">
        <v>4443108000</v>
      </c>
      <c r="Z100" s="28">
        <v>734117000</v>
      </c>
      <c r="AA100" s="28">
        <v>723761000</v>
      </c>
      <c r="AB100" s="28">
        <v>674027000</v>
      </c>
      <c r="AC100" s="28">
        <v>2985220000</v>
      </c>
      <c r="AD100" s="28">
        <v>734127000</v>
      </c>
      <c r="AE100" s="28">
        <v>9154683000</v>
      </c>
      <c r="AF100" s="28">
        <v>158150000</v>
      </c>
      <c r="AG100" s="11"/>
    </row>
    <row r="101">
      <c r="A101" s="7" t="s">
        <v>1850</v>
      </c>
      <c r="B101" s="5" t="s">
        <v>9823</v>
      </c>
      <c r="C101" s="5" t="s">
        <v>17732</v>
      </c>
      <c r="D101" s="5" t="str">
        <v>312811088727</v>
      </c>
      <c r="E101" s="0" t="e">
        <f>+7 (416) 2394403
+7 (914) 5855384
+7 (914) 5900178</f>
        <v>#NAME?</v>
      </c>
      <c r="F101" s="5"/>
      <c r="G101" s="5"/>
      <c r="H101" s="26">
        <v>13</v>
      </c>
      <c r="I101" s="5" t="s">
        <v>25532</v>
      </c>
      <c r="J101" s="5" t="s">
        <v>25344</v>
      </c>
      <c r="K101" s="5" t="s">
        <v>355</v>
      </c>
      <c r="L101" s="5" t="s">
        <v>25533</v>
      </c>
      <c r="M101" s="27"/>
      <c r="N101" s="5"/>
      <c r="O101" s="5" t="str">
        <v>2801147062</v>
      </c>
      <c r="P101" s="27">
        <v>100000</v>
      </c>
      <c r="Q101" s="5" t="s">
        <v>49219</v>
      </c>
      <c r="R101" s="5"/>
      <c r="S101" s="5" t="s">
        <v>49220</v>
      </c>
      <c r="T101" s="28">
        <v>50877000</v>
      </c>
      <c r="U101" s="28"/>
      <c r="V101" s="28">
        <v>606717000</v>
      </c>
      <c r="W101" s="28"/>
      <c r="X101" s="28">
        <v>16008000</v>
      </c>
      <c r="Y101" s="28">
        <v>1345915000</v>
      </c>
      <c r="Z101" s="28">
        <v>61055000</v>
      </c>
      <c r="AA101" s="28"/>
      <c r="AB101" s="28"/>
      <c r="AC101" s="28">
        <v>1276572000</v>
      </c>
      <c r="AD101" s="28">
        <v>61170000</v>
      </c>
      <c r="AE101" s="28">
        <v>3726158000</v>
      </c>
      <c r="AF101" s="28">
        <v>-59879000</v>
      </c>
      <c r="AG101" s="11"/>
    </row>
    <row r="102">
      <c r="A102" s="7" t="s">
        <v>1851</v>
      </c>
      <c r="B102" s="5" t="s">
        <v>9824</v>
      </c>
      <c r="C102" s="5" t="s">
        <v>17733</v>
      </c>
      <c r="D102" s="5" t="str">
        <v>590709526683</v>
      </c>
      <c r="E102" s="0" t="e">
        <f>+7 (3422) 583400
+7 (965) 5794707</f>
        <v>#NAME?</v>
      </c>
      <c r="F102" s="5" t="s">
        <v>25534</v>
      </c>
      <c r="G102" s="5" t="s">
        <v>25535</v>
      </c>
      <c r="H102" s="26">
        <v>6</v>
      </c>
      <c r="I102" s="5" t="s">
        <v>25536</v>
      </c>
      <c r="J102" s="5" t="s">
        <v>389</v>
      </c>
      <c r="K102" s="5" t="s">
        <v>344</v>
      </c>
      <c r="L102" s="5" t="s">
        <v>25537</v>
      </c>
      <c r="M102" s="27"/>
      <c r="N102" s="5"/>
      <c r="O102" s="5" t="str">
        <v>5906145075</v>
      </c>
      <c r="P102" s="27">
        <v>10000</v>
      </c>
      <c r="Q102" s="5" t="s">
        <v>481</v>
      </c>
      <c r="R102" s="5"/>
      <c r="S102" s="5" t="s">
        <v>49221</v>
      </c>
      <c r="T102" s="28">
        <v>499896000</v>
      </c>
      <c r="U102" s="28"/>
      <c r="V102" s="28">
        <v>111835000</v>
      </c>
      <c r="W102" s="28"/>
      <c r="X102" s="28">
        <v>21346000</v>
      </c>
      <c r="Y102" s="28">
        <v>1140965000</v>
      </c>
      <c r="Z102" s="28">
        <v>104571000</v>
      </c>
      <c r="AA102" s="28">
        <v>494212000</v>
      </c>
      <c r="AB102" s="28">
        <v>250701000</v>
      </c>
      <c r="AC102" s="28">
        <v>454265000</v>
      </c>
      <c r="AD102" s="28">
        <v>110314000</v>
      </c>
      <c r="AE102" s="28">
        <v>4777071000</v>
      </c>
      <c r="AF102" s="28">
        <v>43707000</v>
      </c>
      <c r="AG102" s="11"/>
    </row>
    <row r="103">
      <c r="A103" s="7" t="s">
        <v>1852</v>
      </c>
      <c r="B103" s="5" t="s">
        <v>9825</v>
      </c>
      <c r="C103" s="5" t="s">
        <v>17734</v>
      </c>
      <c r="D103" s="5" t="str">
        <v>770404666520</v>
      </c>
      <c r="E103" s="0" t="e">
        <f>+7 (495) 7375242</f>
        <v>#NAME?</v>
      </c>
      <c r="F103" s="5" t="s">
        <v>25538</v>
      </c>
      <c r="G103" s="5"/>
      <c r="H103" s="26">
        <v>13.5</v>
      </c>
      <c r="I103" s="5" t="s">
        <v>25539</v>
      </c>
      <c r="J103" s="5" t="s">
        <v>389</v>
      </c>
      <c r="K103" s="5" t="s">
        <v>344</v>
      </c>
      <c r="L103" s="5" t="s">
        <v>25540</v>
      </c>
      <c r="M103" s="27">
        <v>1314043</v>
      </c>
      <c r="N103" s="5" t="s">
        <v>49222</v>
      </c>
      <c r="O103" s="5" t="str">
        <v>5024107584</v>
      </c>
      <c r="P103" s="27">
        <v>100000</v>
      </c>
      <c r="Q103" s="5" t="s">
        <v>49223</v>
      </c>
      <c r="R103" s="5"/>
      <c r="S103" s="5" t="s">
        <v>49224</v>
      </c>
      <c r="T103" s="28">
        <v>248596000</v>
      </c>
      <c r="U103" s="28"/>
      <c r="V103" s="28">
        <v>6496563000</v>
      </c>
      <c r="W103" s="28"/>
      <c r="X103" s="28">
        <v>366683000</v>
      </c>
      <c r="Y103" s="28">
        <v>11293522000</v>
      </c>
      <c r="Z103" s="28">
        <v>536381000</v>
      </c>
      <c r="AA103" s="28">
        <v>8007988000</v>
      </c>
      <c r="AB103" s="28">
        <v>503965000</v>
      </c>
      <c r="AC103" s="28">
        <v>2749053000</v>
      </c>
      <c r="AD103" s="28">
        <v>536481000</v>
      </c>
      <c r="AE103" s="28">
        <v>22637800000</v>
      </c>
      <c r="AF103" s="28">
        <v>112703000</v>
      </c>
      <c r="AG103" s="11"/>
    </row>
    <row r="104">
      <c r="A104" s="7" t="s">
        <v>1853</v>
      </c>
      <c r="B104" s="5" t="s">
        <v>9826</v>
      </c>
      <c r="C104" s="5" t="s">
        <v>17735</v>
      </c>
      <c r="D104" s="5" t="str">
        <v>504307695762</v>
      </c>
      <c r="E104" s="0" t="e">
        <f>+7 (495) 7390303
+7 (495) 7300073</f>
        <v>#NAME?</v>
      </c>
      <c r="F104" s="5"/>
      <c r="G104" s="5"/>
      <c r="H104" s="26">
        <v>16</v>
      </c>
      <c r="I104" s="5" t="s">
        <v>25541</v>
      </c>
      <c r="J104" s="5" t="s">
        <v>389</v>
      </c>
      <c r="K104" s="5" t="s">
        <v>344</v>
      </c>
      <c r="L104" s="5" t="s">
        <v>25542</v>
      </c>
      <c r="M104" s="27"/>
      <c r="N104" s="5" t="s">
        <v>49225</v>
      </c>
      <c r="O104" s="5" t="str">
        <v>5024084190</v>
      </c>
      <c r="P104" s="27">
        <v>10000</v>
      </c>
      <c r="Q104" s="5" t="s">
        <v>49226</v>
      </c>
      <c r="R104" s="5"/>
      <c r="S104" s="5" t="s">
        <v>49227</v>
      </c>
      <c r="T104" s="28">
        <v>30380000</v>
      </c>
      <c r="U104" s="28"/>
      <c r="V104" s="28">
        <v>2712528000</v>
      </c>
      <c r="W104" s="28"/>
      <c r="X104" s="28">
        <v>134479000</v>
      </c>
      <c r="Y104" s="28">
        <v>3470089000</v>
      </c>
      <c r="Z104" s="28">
        <v>689379000</v>
      </c>
      <c r="AA104" s="28">
        <v>1672092000</v>
      </c>
      <c r="AB104" s="28">
        <v>181837000</v>
      </c>
      <c r="AC104" s="28">
        <v>1097045000</v>
      </c>
      <c r="AD104" s="28">
        <v>689389000</v>
      </c>
      <c r="AE104" s="28">
        <v>4987528000</v>
      </c>
      <c r="AF104" s="28">
        <v>69428000</v>
      </c>
      <c r="AG104" s="11"/>
    </row>
    <row r="105">
      <c r="A105" s="7" t="s">
        <v>1854</v>
      </c>
      <c r="B105" s="5" t="s">
        <v>9827</v>
      </c>
      <c r="C105" s="5" t="s">
        <v>17736</v>
      </c>
      <c r="D105" s="5" t="str">
        <v>773506255740</v>
      </c>
      <c r="E105" s="0" t="e">
        <f>+7 (495) 6286766
+7 (495) 6886452
+7 (495) 6886766
+7 (495) 6888166
+7 (495) 9816662
+7 (800) 5552060
+7 (903) 163172</f>
        <v>#NAME?</v>
      </c>
      <c r="F105" s="5" t="s">
        <v>25543</v>
      </c>
      <c r="G105" s="5"/>
      <c r="H105" s="26">
        <v>29</v>
      </c>
      <c r="I105" s="5"/>
      <c r="J105" s="5" t="s">
        <v>25259</v>
      </c>
      <c r="K105" s="5" t="s">
        <v>344</v>
      </c>
      <c r="L105" s="5" t="s">
        <v>25544</v>
      </c>
      <c r="M105" s="27">
        <v>206515</v>
      </c>
      <c r="N105" s="5" t="s">
        <v>49228</v>
      </c>
      <c r="O105" s="5" t="str">
        <v>7712035729</v>
      </c>
      <c r="P105" s="27">
        <v>100000</v>
      </c>
      <c r="Q105" s="5" t="s">
        <v>49230</v>
      </c>
      <c r="R105" s="5"/>
      <c r="S105" s="5" t="s">
        <v>49231</v>
      </c>
      <c r="T105" s="28">
        <v>505890000</v>
      </c>
      <c r="U105" s="28">
        <v>17523000</v>
      </c>
      <c r="V105" s="28">
        <v>844513000</v>
      </c>
      <c r="W105" s="28"/>
      <c r="X105" s="28">
        <v>166345000</v>
      </c>
      <c r="Y105" s="28">
        <v>6140458000</v>
      </c>
      <c r="Z105" s="28">
        <v>1444226000</v>
      </c>
      <c r="AA105" s="28"/>
      <c r="AB105" s="28">
        <v>2788812000</v>
      </c>
      <c r="AC105" s="28">
        <v>4384101000</v>
      </c>
      <c r="AD105" s="28">
        <v>1444341000</v>
      </c>
      <c r="AE105" s="28">
        <v>23271641000</v>
      </c>
      <c r="AF105" s="28">
        <v>1132105000</v>
      </c>
      <c r="AG105" s="11"/>
    </row>
    <row r="106">
      <c r="A106" s="7" t="s">
        <v>1855</v>
      </c>
      <c r="B106" s="5" t="s">
        <v>9828</v>
      </c>
      <c r="C106" s="5" t="s">
        <v>17737</v>
      </c>
      <c r="D106" s="5" t="str">
        <v>772437117582</v>
      </c>
      <c r="E106" s="0" t="e">
        <f>+7 (926) 2487789
+7 (926) 7773454
+7 (495) 6258814
+7 (926) 8008717</f>
        <v>#NAME?</v>
      </c>
      <c r="F106" s="5"/>
      <c r="G106" s="5" t="s">
        <v>25545</v>
      </c>
      <c r="H106" s="26">
        <v>15</v>
      </c>
      <c r="I106" s="5" t="s">
        <v>25546</v>
      </c>
      <c r="J106" s="5" t="s">
        <v>866</v>
      </c>
      <c r="K106" s="5" t="s">
        <v>344</v>
      </c>
      <c r="L106" s="5"/>
      <c r="M106" s="27">
        <v>4689727</v>
      </c>
      <c r="N106" s="5"/>
      <c r="O106" s="5" t="str">
        <v>7721618974</v>
      </c>
      <c r="P106" s="27">
        <v>41492000</v>
      </c>
      <c r="Q106" s="5" t="s">
        <v>49021</v>
      </c>
      <c r="R106" s="5"/>
      <c r="S106" s="5" t="s">
        <v>49233</v>
      </c>
      <c r="T106" s="28">
        <v>1274577000</v>
      </c>
      <c r="U106" s="28"/>
      <c r="V106" s="28">
        <v>690184000</v>
      </c>
      <c r="W106" s="28"/>
      <c r="X106" s="28">
        <v>55333000</v>
      </c>
      <c r="Y106" s="28">
        <v>2686524000</v>
      </c>
      <c r="Z106" s="28">
        <v>581276000</v>
      </c>
      <c r="AA106" s="28">
        <v>735800000</v>
      </c>
      <c r="AB106" s="28">
        <v>112800000</v>
      </c>
      <c r="AC106" s="28">
        <v>536360000</v>
      </c>
      <c r="AD106" s="28">
        <v>622768000</v>
      </c>
      <c r="AE106" s="28">
        <v>5949407000</v>
      </c>
      <c r="AF106" s="28">
        <v>5940000</v>
      </c>
      <c r="AG106" s="11"/>
    </row>
    <row r="107">
      <c r="A107" s="7" t="s">
        <v>1856</v>
      </c>
      <c r="B107" s="5" t="s">
        <v>9829</v>
      </c>
      <c r="C107" s="5" t="s">
        <v>17738</v>
      </c>
      <c r="D107" s="5" t="str">
        <v>366100096600</v>
      </c>
      <c r="E107" s="0" t="e">
        <f>+7 (473) 2332123
+7 (473) 2950951</f>
        <v>#NAME?</v>
      </c>
      <c r="F107" s="5" t="s">
        <v>25547</v>
      </c>
      <c r="G107" s="5" t="s">
        <v>25548</v>
      </c>
      <c r="H107" s="26">
        <v>13</v>
      </c>
      <c r="I107" s="5" t="s">
        <v>25549</v>
      </c>
      <c r="J107" s="5" t="s">
        <v>25550</v>
      </c>
      <c r="K107" s="5" t="s">
        <v>344</v>
      </c>
      <c r="L107" s="5" t="s">
        <v>25551</v>
      </c>
      <c r="M107" s="27">
        <v>464500</v>
      </c>
      <c r="N107" s="5"/>
      <c r="O107" s="5" t="str">
        <v>3666164550</v>
      </c>
      <c r="P107" s="27">
        <v>1000000</v>
      </c>
      <c r="Q107" s="5" t="s">
        <v>49009</v>
      </c>
      <c r="R107" s="5"/>
      <c r="S107" s="5" t="s">
        <v>49010</v>
      </c>
      <c r="T107" s="28">
        <v>113544000</v>
      </c>
      <c r="U107" s="28"/>
      <c r="V107" s="28">
        <v>148179000</v>
      </c>
      <c r="W107" s="28"/>
      <c r="X107" s="28">
        <v>8966000</v>
      </c>
      <c r="Y107" s="28">
        <v>560781000</v>
      </c>
      <c r="Z107" s="28">
        <v>143974000</v>
      </c>
      <c r="AA107" s="28">
        <v>304000000</v>
      </c>
      <c r="AB107" s="28"/>
      <c r="AC107" s="28">
        <v>43883000</v>
      </c>
      <c r="AD107" s="28">
        <v>144974000</v>
      </c>
      <c r="AE107" s="28">
        <v>4805244000</v>
      </c>
      <c r="AF107" s="28">
        <v>49364000</v>
      </c>
      <c r="AG107" s="11"/>
    </row>
    <row r="108">
      <c r="A108" s="7" t="s">
        <v>1857</v>
      </c>
      <c r="B108" s="5" t="s">
        <v>9830</v>
      </c>
      <c r="C108" s="5" t="s">
        <v>17739</v>
      </c>
      <c r="D108" s="5" t="str">
        <v>860803854680</v>
      </c>
      <c r="E108" s="0" t="e">
        <f>+7 (495) 7885955</f>
        <v>#NAME?</v>
      </c>
      <c r="F108" s="5" t="s">
        <v>25552</v>
      </c>
      <c r="G108" s="5" t="s">
        <v>25553</v>
      </c>
      <c r="H108" s="26">
        <v>11.5</v>
      </c>
      <c r="I108" s="5" t="s">
        <v>25554</v>
      </c>
      <c r="J108" s="5" t="s">
        <v>533</v>
      </c>
      <c r="K108" s="5" t="s">
        <v>344</v>
      </c>
      <c r="L108" s="5" t="s">
        <v>25555</v>
      </c>
      <c r="M108" s="27"/>
      <c r="N108" s="5" t="s">
        <v>49234</v>
      </c>
      <c r="O108" s="5" t="str">
        <v>7705963268</v>
      </c>
      <c r="P108" s="27">
        <v>350000</v>
      </c>
      <c r="Q108" s="5" t="s">
        <v>49021</v>
      </c>
      <c r="R108" s="5"/>
      <c r="S108" s="5" t="s">
        <v>49235</v>
      </c>
      <c r="T108" s="28">
        <v>17046000</v>
      </c>
      <c r="U108" s="28"/>
      <c r="V108" s="28">
        <v>1041178000</v>
      </c>
      <c r="W108" s="28"/>
      <c r="X108" s="28">
        <v>101394000</v>
      </c>
      <c r="Y108" s="28">
        <v>1202932000</v>
      </c>
      <c r="Z108" s="28">
        <v>276278000</v>
      </c>
      <c r="AA108" s="28">
        <v>15820000</v>
      </c>
      <c r="AB108" s="28">
        <v>23200000</v>
      </c>
      <c r="AC108" s="28">
        <v>905705000</v>
      </c>
      <c r="AD108" s="28">
        <v>276628000</v>
      </c>
      <c r="AE108" s="28">
        <v>4266211000</v>
      </c>
      <c r="AF108" s="28">
        <v>96663000</v>
      </c>
      <c r="AG108" s="11"/>
    </row>
    <row r="109">
      <c r="A109" s="7" t="s">
        <v>1858</v>
      </c>
      <c r="B109" s="5" t="s">
        <v>9831</v>
      </c>
      <c r="C109" s="5" t="s">
        <v>17740</v>
      </c>
      <c r="D109" s="5" t="str">
        <v>503245489130</v>
      </c>
      <c r="E109" s="0" t="e">
        <f>+7 (951) 7161008
+7 (966) 1021112
+7 (481) 2270614
+7 (495) 6610586
+7 (495) 6610587
+7 (812) 3093897</f>
        <v>#NAME?</v>
      </c>
      <c r="F109" s="5" t="s">
        <v>25556</v>
      </c>
      <c r="G109" s="5" t="s">
        <v>25557</v>
      </c>
      <c r="H109" s="26">
        <v>10</v>
      </c>
      <c r="I109" s="5" t="s">
        <v>25558</v>
      </c>
      <c r="J109" s="5" t="s">
        <v>25559</v>
      </c>
      <c r="K109" s="5" t="s">
        <v>344</v>
      </c>
      <c r="L109" s="5"/>
      <c r="M109" s="27"/>
      <c r="N109" s="5"/>
      <c r="O109" s="5" t="str">
        <v>6732055048</v>
      </c>
      <c r="P109" s="27">
        <v>10000</v>
      </c>
      <c r="Q109" s="5" t="s">
        <v>447</v>
      </c>
      <c r="R109" s="5"/>
      <c r="S109" s="5" t="s">
        <v>49236</v>
      </c>
      <c r="T109" s="28">
        <v>62490000</v>
      </c>
      <c r="U109" s="28"/>
      <c r="V109" s="28">
        <v>187993000</v>
      </c>
      <c r="W109" s="28"/>
      <c r="X109" s="28">
        <v>454000</v>
      </c>
      <c r="Y109" s="28">
        <v>1679067000</v>
      </c>
      <c r="Z109" s="28">
        <v>251786000</v>
      </c>
      <c r="AA109" s="28"/>
      <c r="AB109" s="28">
        <v>19688000</v>
      </c>
      <c r="AC109" s="28">
        <v>1426621000</v>
      </c>
      <c r="AD109" s="28">
        <v>251796000</v>
      </c>
      <c r="AE109" s="28">
        <v>3564868000</v>
      </c>
      <c r="AF109" s="28">
        <v>234901000</v>
      </c>
      <c r="AG109" s="11"/>
    </row>
    <row r="110">
      <c r="A110" s="7" t="s">
        <v>1859</v>
      </c>
      <c r="B110" s="5" t="s">
        <v>9832</v>
      </c>
      <c r="C110" s="5" t="s">
        <v>17741</v>
      </c>
      <c r="D110" s="5" t="str">
        <v>644106068738</v>
      </c>
      <c r="E110" s="0" t="e">
        <f>+7 (845) 2956642
+7 (8452) 740555
+7 (8452) 759055
+7 (8452) 759555
+7 (845) 2956304</f>
        <v>#NAME?</v>
      </c>
      <c r="F110" s="5" t="s">
        <v>25560</v>
      </c>
      <c r="G110" s="5"/>
      <c r="H110" s="26">
        <v>30.5</v>
      </c>
      <c r="I110" s="5" t="s">
        <v>25561</v>
      </c>
      <c r="J110" s="5" t="s">
        <v>467</v>
      </c>
      <c r="K110" s="5" t="s">
        <v>344</v>
      </c>
      <c r="L110" s="5" t="s">
        <v>25562</v>
      </c>
      <c r="M110" s="27"/>
      <c r="N110" s="5" t="s">
        <v>49237</v>
      </c>
      <c r="O110" s="5" t="str">
        <v>6451213228</v>
      </c>
      <c r="P110" s="27">
        <v>25000</v>
      </c>
      <c r="Q110" s="5" t="s">
        <v>49238</v>
      </c>
      <c r="R110" s="5"/>
      <c r="S110" s="5" t="s">
        <v>49239</v>
      </c>
      <c r="T110" s="28">
        <v>2007974000</v>
      </c>
      <c r="U110" s="28"/>
      <c r="V110" s="28">
        <v>2488532000</v>
      </c>
      <c r="W110" s="28">
        <v>14600000</v>
      </c>
      <c r="X110" s="28">
        <v>1011914000</v>
      </c>
      <c r="Y110" s="28">
        <v>9034396000</v>
      </c>
      <c r="Z110" s="28">
        <v>2080653000</v>
      </c>
      <c r="AA110" s="28"/>
      <c r="AB110" s="28"/>
      <c r="AC110" s="28">
        <v>6598575000</v>
      </c>
      <c r="AD110" s="28">
        <v>2080678000</v>
      </c>
      <c r="AE110" s="28">
        <v>8007091000</v>
      </c>
      <c r="AF110" s="28">
        <v>542113000</v>
      </c>
      <c r="AG110" s="11"/>
    </row>
    <row r="111">
      <c r="A111" s="7" t="s">
        <v>1860</v>
      </c>
      <c r="B111" s="5" t="s">
        <v>9833</v>
      </c>
      <c r="C111" s="5" t="s">
        <v>17742</v>
      </c>
      <c r="D111" s="5" t="str">
        <v>772638576032</v>
      </c>
      <c r="E111" s="0" t="e">
        <f>+7 (495) 3800630
+7 (495) 7301242
+7 (499) 5069473
+7 (985) 3827888</f>
        <v>#NAME?</v>
      </c>
      <c r="F111" s="5" t="s">
        <v>25563</v>
      </c>
      <c r="G111" s="5"/>
      <c r="H111" s="26">
        <v>13</v>
      </c>
      <c r="I111" s="5"/>
      <c r="J111" s="5" t="s">
        <v>397</v>
      </c>
      <c r="K111" s="5" t="s">
        <v>344</v>
      </c>
      <c r="L111" s="5" t="s">
        <v>25564</v>
      </c>
      <c r="M111" s="27"/>
      <c r="N111" s="5" t="s">
        <v>49240</v>
      </c>
      <c r="O111" s="5" t="str">
        <v>7728732852</v>
      </c>
      <c r="P111" s="27">
        <v>28000000</v>
      </c>
      <c r="Q111" s="5" t="s">
        <v>49241</v>
      </c>
      <c r="R111" s="5"/>
      <c r="S111" s="5" t="s">
        <v>49242</v>
      </c>
      <c r="T111" s="28">
        <v>168984000</v>
      </c>
      <c r="U111" s="28"/>
      <c r="V111" s="28">
        <v>284735000</v>
      </c>
      <c r="W111" s="28"/>
      <c r="X111" s="28">
        <v>3599000</v>
      </c>
      <c r="Y111" s="28">
        <v>1319280000</v>
      </c>
      <c r="Z111" s="28">
        <v>409870000</v>
      </c>
      <c r="AA111" s="28">
        <v>140000000</v>
      </c>
      <c r="AB111" s="28">
        <v>237562000</v>
      </c>
      <c r="AC111" s="28">
        <v>725735000</v>
      </c>
      <c r="AD111" s="28">
        <v>439620000</v>
      </c>
      <c r="AE111" s="28">
        <v>4338542000</v>
      </c>
      <c r="AF111" s="28">
        <v>233095000</v>
      </c>
      <c r="AG111" s="11"/>
    </row>
    <row r="112">
      <c r="A112" s="7" t="s">
        <v>1861</v>
      </c>
      <c r="B112" s="5" t="s">
        <v>9834</v>
      </c>
      <c r="C112" s="5" t="s">
        <v>17743</v>
      </c>
      <c r="D112" s="5" t="str">
        <v>165118315171</v>
      </c>
      <c r="E112" s="0" t="e">
        <f>+7 (800) 2222116
+7 (917) 2561270
+7 (987) 98707
+7 (927) 4733773</f>
        <v>#NAME?</v>
      </c>
      <c r="F112" s="5" t="s">
        <v>25565</v>
      </c>
      <c r="G112" s="5" t="s">
        <v>25566</v>
      </c>
      <c r="H112" s="26">
        <v>5</v>
      </c>
      <c r="I112" s="5" t="s">
        <v>25567</v>
      </c>
      <c r="J112" s="5" t="s">
        <v>678</v>
      </c>
      <c r="K112" s="5" t="s">
        <v>344</v>
      </c>
      <c r="L112" s="5" t="s">
        <v>25568</v>
      </c>
      <c r="M112" s="27">
        <v>1589070</v>
      </c>
      <c r="N112" s="5" t="s">
        <v>49243</v>
      </c>
      <c r="O112" s="5" t="str">
        <v>7726417936</v>
      </c>
      <c r="P112" s="27">
        <v>10000</v>
      </c>
      <c r="Q112" s="5" t="s">
        <v>49244</v>
      </c>
      <c r="R112" s="5"/>
      <c r="S112" s="5" t="s">
        <v>49245</v>
      </c>
      <c r="T112" s="28">
        <v>100442000</v>
      </c>
      <c r="U112" s="28"/>
      <c r="V112" s="28">
        <v>533434000</v>
      </c>
      <c r="W112" s="28">
        <v>524050000</v>
      </c>
      <c r="X112" s="28">
        <v>50185000</v>
      </c>
      <c r="Y112" s="28">
        <v>1908034000</v>
      </c>
      <c r="Z112" s="28">
        <v>473309000</v>
      </c>
      <c r="AA112" s="28">
        <v>116969000</v>
      </c>
      <c r="AB112" s="28">
        <v>30508000</v>
      </c>
      <c r="AC112" s="28">
        <v>1314988000</v>
      </c>
      <c r="AD112" s="28">
        <v>473319000</v>
      </c>
      <c r="AE112" s="28">
        <v>5962023000</v>
      </c>
      <c r="AF112" s="28">
        <v>230248000</v>
      </c>
      <c r="AG112" s="11"/>
    </row>
    <row r="113">
      <c r="A113" s="7" t="s">
        <v>1862</v>
      </c>
      <c r="B113" s="5" t="s">
        <v>9835</v>
      </c>
      <c r="C113" s="5" t="s">
        <v>17744</v>
      </c>
      <c r="D113" s="5" t="str">
        <v>781400967281</v>
      </c>
      <c r="E113" s="0" t="e">
        <f>+7 (848) 2738555
+7 (8482) 640464
+7 (800) 7005232
+7 (8482) 377125
+7 (8482) 377617
+7 (8482) 534002
+7 (8482) 534250
+7 (8482) 534256
+7 (8482) 640528
+7 (8482) 641213
+7 (8482) 641312
+7 (8482) 642853
+7 (8482) 643164
+7 (8482) 644520
+7 (8482) 645101</f>
        <v>#NAME?</v>
      </c>
      <c r="F113" s="5" t="s">
        <v>25569</v>
      </c>
      <c r="G113" s="5"/>
      <c r="H113" s="26">
        <v>30</v>
      </c>
      <c r="I113" s="5" t="s">
        <v>25570</v>
      </c>
      <c r="J113" s="5" t="s">
        <v>25571</v>
      </c>
      <c r="K113" s="5" t="s">
        <v>344</v>
      </c>
      <c r="L113" s="5"/>
      <c r="M113" s="27">
        <v>2248030</v>
      </c>
      <c r="N113" s="5" t="s">
        <v>49225</v>
      </c>
      <c r="O113" s="5" t="str">
        <v>6320002223</v>
      </c>
      <c r="P113" s="27">
        <v>63708471795</v>
      </c>
      <c r="Q113" s="5" t="s">
        <v>49246</v>
      </c>
      <c r="R113" s="5" t="s">
        <v>49247</v>
      </c>
      <c r="S113" s="5" t="s">
        <v>49248</v>
      </c>
      <c r="T113" s="28">
        <v>93284899000</v>
      </c>
      <c r="U113" s="28">
        <v>5220469000</v>
      </c>
      <c r="V113" s="28">
        <v>30224955000</v>
      </c>
      <c r="W113" s="28">
        <v>936612000</v>
      </c>
      <c r="X113" s="28">
        <v>22146112000</v>
      </c>
      <c r="Y113" s="28">
        <v>211019421000</v>
      </c>
      <c r="Z113" s="28">
        <v>-136083467000</v>
      </c>
      <c r="AA113" s="28">
        <v>82043125000</v>
      </c>
      <c r="AB113" s="28">
        <v>41610010000</v>
      </c>
      <c r="AC113" s="28">
        <v>94094721000</v>
      </c>
      <c r="AD113" s="28">
        <v>29277279000</v>
      </c>
      <c r="AE113" s="28">
        <v>169574040000</v>
      </c>
      <c r="AF113" s="28">
        <v>206608000</v>
      </c>
      <c r="AG113" s="11"/>
    </row>
    <row r="114">
      <c r="A114" s="7" t="s">
        <v>1863</v>
      </c>
      <c r="B114" s="5" t="s">
        <v>9836</v>
      </c>
      <c r="C114" s="5" t="s">
        <v>17745</v>
      </c>
      <c r="D114" s="5" t="str">
        <v>645391267466</v>
      </c>
      <c r="E114" s="0" t="e">
        <f>+7 (8412) 650064
+7 (844) 2650062
+7 (846) 2113113
+7 (8482) 600064
+7 (917) 9615521
+7 (927) 7305907
+7 (927) 7480241
+7 (937) 5124548
+7 (8482) 650062
+7 (8482) 945156
+7 (917) 9724311
+7 (937) 4392222</f>
        <v>#NAME?</v>
      </c>
      <c r="F114" s="5" t="s">
        <v>25572</v>
      </c>
      <c r="G114" s="5" t="s">
        <v>25573</v>
      </c>
      <c r="H114" s="26">
        <v>8</v>
      </c>
      <c r="I114" s="5" t="s">
        <v>25574</v>
      </c>
      <c r="J114" s="5" t="s">
        <v>467</v>
      </c>
      <c r="K114" s="5" t="s">
        <v>344</v>
      </c>
      <c r="L114" s="5" t="s">
        <v>25575</v>
      </c>
      <c r="M114" s="27">
        <v>18062127</v>
      </c>
      <c r="N114" s="5" t="s">
        <v>49249</v>
      </c>
      <c r="O114" s="5" t="str">
        <v>6324056090</v>
      </c>
      <c r="P114" s="27">
        <v>40000</v>
      </c>
      <c r="Q114" s="5" t="s">
        <v>49251</v>
      </c>
      <c r="R114" s="5" t="s">
        <v>49252</v>
      </c>
      <c r="S114" s="5" t="s">
        <v>49253</v>
      </c>
      <c r="T114" s="28">
        <v>813108000</v>
      </c>
      <c r="U114" s="28">
        <v>67800000</v>
      </c>
      <c r="V114" s="28">
        <v>1954474000</v>
      </c>
      <c r="W114" s="28">
        <v>773700000</v>
      </c>
      <c r="X114" s="28">
        <v>665621000</v>
      </c>
      <c r="Y114" s="28">
        <v>8249907000</v>
      </c>
      <c r="Z114" s="28">
        <v>1178666000</v>
      </c>
      <c r="AA114" s="28">
        <v>1330769000</v>
      </c>
      <c r="AB114" s="28">
        <v>1527353000</v>
      </c>
      <c r="AC114" s="28">
        <v>5679162000</v>
      </c>
      <c r="AD114" s="28">
        <v>1178706000</v>
      </c>
      <c r="AE114" s="28">
        <v>5011915000</v>
      </c>
      <c r="AF114" s="28">
        <v>138443000</v>
      </c>
      <c r="AG114" s="11"/>
    </row>
    <row r="115">
      <c r="A115" s="7" t="s">
        <v>1864</v>
      </c>
      <c r="B115" s="5" t="s">
        <v>9837</v>
      </c>
      <c r="C115" s="5" t="s">
        <v>17746</v>
      </c>
      <c r="D115" s="5" t="str">
        <v>772904217036</v>
      </c>
      <c r="E115" s="0" t="e">
        <f>+7 (495) 5266442
+7 (495) 1360300
+7 (495) 1364508
+7 (495) 2280341
+7 (915) 3176889
+7 (495) 5266440
+7 (495) 5266444
+7 (495) 6631997
+7 (963) 7500855</f>
        <v>#NAME?</v>
      </c>
      <c r="F115" s="5" t="s">
        <v>25576</v>
      </c>
      <c r="G115" s="5"/>
      <c r="H115" s="26">
        <v>10.5</v>
      </c>
      <c r="I115" s="5" t="s">
        <v>25577</v>
      </c>
      <c r="J115" s="5" t="s">
        <v>389</v>
      </c>
      <c r="K115" s="5" t="s">
        <v>344</v>
      </c>
      <c r="L115" s="5" t="s">
        <v>25578</v>
      </c>
      <c r="M115" s="27"/>
      <c r="N115" s="5" t="s">
        <v>49254</v>
      </c>
      <c r="O115" s="5" t="str">
        <v>5001088705</v>
      </c>
      <c r="P115" s="27">
        <v>10000000</v>
      </c>
      <c r="Q115" s="5" t="s">
        <v>49255</v>
      </c>
      <c r="R115" s="5"/>
      <c r="S115" s="5" t="s">
        <v>49256</v>
      </c>
      <c r="T115" s="28"/>
      <c r="U115" s="28">
        <v>211809000</v>
      </c>
      <c r="V115" s="28">
        <v>1479725000</v>
      </c>
      <c r="W115" s="28"/>
      <c r="X115" s="28">
        <v>751000</v>
      </c>
      <c r="Y115" s="28">
        <v>1696900000</v>
      </c>
      <c r="Z115" s="28">
        <v>1672199000</v>
      </c>
      <c r="AA115" s="28"/>
      <c r="AB115" s="28">
        <v>4179000</v>
      </c>
      <c r="AC115" s="28">
        <v>14701000</v>
      </c>
      <c r="AD115" s="28">
        <v>1682199000</v>
      </c>
      <c r="AE115" s="28">
        <v>3225878000</v>
      </c>
      <c r="AF115" s="28">
        <v>274114000</v>
      </c>
      <c r="AG115" s="11"/>
    </row>
    <row r="116">
      <c r="A116" s="7" t="s">
        <v>1865</v>
      </c>
      <c r="B116" s="5" t="s">
        <v>9838</v>
      </c>
      <c r="C116" s="5" t="s">
        <v>17746</v>
      </c>
      <c r="D116" s="5" t="str">
        <v>772904217036</v>
      </c>
      <c r="E116" s="0" t="e">
        <f>+7 (495) 2280341
+7 (495) 2210542
+7 (495) 2210613
+7 (495) 2233254
+7 (495) 6631711
+7 (495) 7377209
+7 (495) 7377272
+7 (495) 7377276
+7 (495) 7854476
+7 (495) 7898625
+7 (495) 7898628
+7 (901) 5781411</f>
        <v>#NAME?</v>
      </c>
      <c r="F116" s="5" t="s">
        <v>25579</v>
      </c>
      <c r="G116" s="5" t="s">
        <v>25580</v>
      </c>
      <c r="H116" s="26">
        <v>12</v>
      </c>
      <c r="I116" s="5" t="s">
        <v>25581</v>
      </c>
      <c r="J116" s="5" t="s">
        <v>389</v>
      </c>
      <c r="K116" s="5" t="s">
        <v>344</v>
      </c>
      <c r="L116" s="5" t="s">
        <v>25582</v>
      </c>
      <c r="M116" s="27">
        <v>23100</v>
      </c>
      <c r="N116" s="5" t="s">
        <v>49257</v>
      </c>
      <c r="O116" s="5" t="str">
        <v>5032237788</v>
      </c>
      <c r="P116" s="27">
        <v>10000000</v>
      </c>
      <c r="Q116" s="5" t="s">
        <v>49258</v>
      </c>
      <c r="R116" s="5"/>
      <c r="S116" s="5" t="s">
        <v>49259</v>
      </c>
      <c r="T116" s="28">
        <v>1461051000</v>
      </c>
      <c r="U116" s="28">
        <v>3547000000</v>
      </c>
      <c r="V116" s="28">
        <v>452751000</v>
      </c>
      <c r="W116" s="28"/>
      <c r="X116" s="28">
        <v>1690079000</v>
      </c>
      <c r="Y116" s="28">
        <v>13706522000</v>
      </c>
      <c r="Z116" s="28">
        <v>3846551000</v>
      </c>
      <c r="AA116" s="28">
        <v>5468108000</v>
      </c>
      <c r="AB116" s="28">
        <v>119819000</v>
      </c>
      <c r="AC116" s="28">
        <v>4053173000</v>
      </c>
      <c r="AD116" s="28">
        <v>3856551000</v>
      </c>
      <c r="AE116" s="28">
        <v>28560724000</v>
      </c>
      <c r="AF116" s="28">
        <v>1212844000</v>
      </c>
      <c r="AG116" s="11"/>
    </row>
    <row r="117">
      <c r="A117" s="7" t="s">
        <v>1866</v>
      </c>
      <c r="B117" s="5" t="s">
        <v>9839</v>
      </c>
      <c r="C117" s="5" t="s">
        <v>17747</v>
      </c>
      <c r="D117" s="5"/>
      <c r="E117" s="0" t="e">
        <f>+7 (495) 6406500
+7 (915) 2530005</f>
        <v>#NAME?</v>
      </c>
      <c r="F117" s="5"/>
      <c r="G117" s="5" t="s">
        <v>25583</v>
      </c>
      <c r="H117" s="26">
        <v>7.5</v>
      </c>
      <c r="I117" s="5" t="s">
        <v>25584</v>
      </c>
      <c r="J117" s="5" t="s">
        <v>25550</v>
      </c>
      <c r="K117" s="5" t="s">
        <v>344</v>
      </c>
      <c r="L117" s="5" t="s">
        <v>25585</v>
      </c>
      <c r="M117" s="27"/>
      <c r="N117" s="5"/>
      <c r="O117" s="5" t="str">
        <v>7714345645</v>
      </c>
      <c r="P117" s="27">
        <v>1000000</v>
      </c>
      <c r="Q117" s="5" t="s">
        <v>49009</v>
      </c>
      <c r="R117" s="5"/>
      <c r="S117" s="5" t="s">
        <v>49010</v>
      </c>
      <c r="T117" s="28">
        <v>55931000</v>
      </c>
      <c r="U117" s="28">
        <v>16663000</v>
      </c>
      <c r="V117" s="28">
        <v>177795000</v>
      </c>
      <c r="W117" s="28"/>
      <c r="X117" s="28">
        <v>392509000</v>
      </c>
      <c r="Y117" s="28">
        <v>1049846000</v>
      </c>
      <c r="Z117" s="28">
        <v>514033000</v>
      </c>
      <c r="AA117" s="28"/>
      <c r="AB117" s="28"/>
      <c r="AC117" s="28">
        <v>528846000</v>
      </c>
      <c r="AD117" s="28">
        <v>515033000</v>
      </c>
      <c r="AE117" s="28">
        <v>12402010000</v>
      </c>
      <c r="AF117" s="28">
        <v>235490000</v>
      </c>
      <c r="AG117" s="11"/>
    </row>
    <row r="118">
      <c r="A118" s="7" t="s">
        <v>1867</v>
      </c>
      <c r="B118" s="5" t="s">
        <v>9840</v>
      </c>
      <c r="C118" s="5" t="s">
        <v>17747</v>
      </c>
      <c r="D118" s="5"/>
      <c r="F118" s="5"/>
      <c r="G118" s="5"/>
      <c r="H118" s="26">
        <v>3.5</v>
      </c>
      <c r="I118" s="5" t="s">
        <v>25586</v>
      </c>
      <c r="J118" s="5" t="s">
        <v>25587</v>
      </c>
      <c r="K118" s="5" t="s">
        <v>355</v>
      </c>
      <c r="L118" s="5"/>
      <c r="M118" s="27"/>
      <c r="N118" s="5"/>
      <c r="O118" s="5" t="str">
        <v>5010056724</v>
      </c>
      <c r="P118" s="27">
        <v>990000</v>
      </c>
      <c r="Q118" s="5"/>
      <c r="R118" s="5" t="s">
        <v>49260</v>
      </c>
      <c r="S118" s="5" t="s">
        <v>49110</v>
      </c>
      <c r="T118" s="28">
        <v>25574000</v>
      </c>
      <c r="U118" s="28"/>
      <c r="V118" s="28">
        <v>38921000</v>
      </c>
      <c r="W118" s="28">
        <v>50000000</v>
      </c>
      <c r="X118" s="28">
        <v>37402000</v>
      </c>
      <c r="Y118" s="28">
        <v>411548000</v>
      </c>
      <c r="Z118" s="28">
        <v>-1516000</v>
      </c>
      <c r="AA118" s="28"/>
      <c r="AB118" s="28"/>
      <c r="AC118" s="28">
        <v>410833000</v>
      </c>
      <c r="AD118" s="28">
        <v>-526000</v>
      </c>
      <c r="AE118" s="28">
        <v>9269626000</v>
      </c>
      <c r="AF118" s="28">
        <v>34696000</v>
      </c>
      <c r="AG118" s="11"/>
    </row>
    <row r="119">
      <c r="A119" s="7" t="s">
        <v>1868</v>
      </c>
      <c r="B119" s="5" t="s">
        <v>9841</v>
      </c>
      <c r="C119" s="5" t="s">
        <v>17748</v>
      </c>
      <c r="D119" s="5" t="str">
        <v>550507893501</v>
      </c>
      <c r="E119" s="0" t="e">
        <f>+7 (495) 5000076
+7 (812) 3292651
+7 (812) 5005000
+7 (495) 1050106
+7 (495) 1536047
+7 (495) 5005000
+7 (495) 5005001
+7 (495) 5348885
+7 (495) 9250100
+7 (499) 2434043
+7 (812) 2101987
+7 (812) 4101000
+7 (812) 4101011
+7 (812) 5005001
+7 (903) 7228426</f>
        <v>#NAME?</v>
      </c>
      <c r="F119" s="5" t="s">
        <v>25588</v>
      </c>
      <c r="G119" s="5" t="s">
        <v>25589</v>
      </c>
      <c r="H119" s="26">
        <v>15.5</v>
      </c>
      <c r="I119" s="5"/>
      <c r="J119" s="5" t="s">
        <v>389</v>
      </c>
      <c r="K119" s="5" t="s">
        <v>344</v>
      </c>
      <c r="L119" s="5"/>
      <c r="M119" s="27">
        <v>398558</v>
      </c>
      <c r="N119" s="5" t="s">
        <v>49261</v>
      </c>
      <c r="O119" s="5" t="str">
        <v>7714709349</v>
      </c>
      <c r="P119" s="27">
        <v>10000000</v>
      </c>
      <c r="Q119" s="5" t="s">
        <v>49262</v>
      </c>
      <c r="R119" s="5" t="s">
        <v>49263</v>
      </c>
      <c r="S119" s="5" t="s">
        <v>49204</v>
      </c>
      <c r="T119" s="28">
        <v>9387967000</v>
      </c>
      <c r="U119" s="28">
        <v>3247244000</v>
      </c>
      <c r="V119" s="28">
        <v>10032716000</v>
      </c>
      <c r="W119" s="28">
        <v>489033000</v>
      </c>
      <c r="X119" s="28">
        <v>4235533000</v>
      </c>
      <c r="Y119" s="28">
        <v>37953609000</v>
      </c>
      <c r="Z119" s="28">
        <v>1731390000</v>
      </c>
      <c r="AA119" s="28">
        <v>7539686000</v>
      </c>
      <c r="AB119" s="28">
        <v>15193361000</v>
      </c>
      <c r="AC119" s="28">
        <v>17801014000</v>
      </c>
      <c r="AD119" s="28">
        <v>9708795000</v>
      </c>
      <c r="AE119" s="28">
        <v>41649912000</v>
      </c>
      <c r="AF119" s="28">
        <v>2094403000</v>
      </c>
      <c r="AG119" s="11"/>
    </row>
    <row r="120">
      <c r="A120" s="7" t="s">
        <v>1869</v>
      </c>
      <c r="B120" s="5" t="s">
        <v>9842</v>
      </c>
      <c r="C120" s="5" t="s">
        <v>17749</v>
      </c>
      <c r="D120" s="5" t="str">
        <v>380200028676</v>
      </c>
      <c r="E120" s="0" t="e">
        <f>+7 (8342) 210588
+7 (384) 2210588
+7 (384) 2289143
+7 (384) 2377687
+7 (384) 2377688
+7 (909) 5173176</f>
        <v>#NAME?</v>
      </c>
      <c r="F120" s="5" t="s">
        <v>25590</v>
      </c>
      <c r="G120" s="5"/>
      <c r="H120" s="26">
        <v>11</v>
      </c>
      <c r="I120" s="5"/>
      <c r="J120" s="5" t="s">
        <v>467</v>
      </c>
      <c r="K120" s="5" t="s">
        <v>344</v>
      </c>
      <c r="L120" s="5" t="s">
        <v>25591</v>
      </c>
      <c r="M120" s="27">
        <v>2423639</v>
      </c>
      <c r="N120" s="5" t="s">
        <v>49264</v>
      </c>
      <c r="O120" s="5" t="str">
        <v>4205241205</v>
      </c>
      <c r="P120" s="27">
        <v>60294000</v>
      </c>
      <c r="Q120" s="5" t="s">
        <v>49266</v>
      </c>
      <c r="R120" s="5"/>
      <c r="S120" s="5" t="s">
        <v>49267</v>
      </c>
      <c r="T120" s="28">
        <v>983359000</v>
      </c>
      <c r="U120" s="28"/>
      <c r="V120" s="28">
        <v>518152000</v>
      </c>
      <c r="W120" s="28"/>
      <c r="X120" s="28">
        <v>463313000</v>
      </c>
      <c r="Y120" s="28">
        <v>2438093000</v>
      </c>
      <c r="Z120" s="28">
        <v>427512000</v>
      </c>
      <c r="AA120" s="28">
        <v>301600000</v>
      </c>
      <c r="AB120" s="28">
        <v>103109000</v>
      </c>
      <c r="AC120" s="28">
        <v>1364351000</v>
      </c>
      <c r="AD120" s="28">
        <v>529208000</v>
      </c>
      <c r="AE120" s="28">
        <v>4303018000</v>
      </c>
      <c r="AF120" s="28">
        <v>4810000</v>
      </c>
      <c r="AG120" s="11"/>
    </row>
    <row r="121">
      <c r="A121" s="7" t="s">
        <v>1870</v>
      </c>
      <c r="B121" s="5" t="s">
        <v>9843</v>
      </c>
      <c r="C121" s="5" t="s">
        <v>17750</v>
      </c>
      <c r="D121" s="5" t="str">
        <v>743801673400</v>
      </c>
      <c r="F121" s="5"/>
      <c r="G121" s="5"/>
      <c r="H121" s="26">
        <v>14.5</v>
      </c>
      <c r="I121" s="5" t="s">
        <v>25592</v>
      </c>
      <c r="J121" s="5" t="s">
        <v>364</v>
      </c>
      <c r="K121" s="5" t="s">
        <v>355</v>
      </c>
      <c r="L121" s="5" t="s">
        <v>25593</v>
      </c>
      <c r="M121" s="27">
        <v>1361250</v>
      </c>
      <c r="N121" s="5"/>
      <c r="O121" s="5" t="str">
        <v>7715720850</v>
      </c>
      <c r="P121" s="27">
        <v>20000</v>
      </c>
      <c r="Q121" s="5" t="s">
        <v>49268</v>
      </c>
      <c r="R121" s="5"/>
      <c r="S121" s="5" t="s">
        <v>49227</v>
      </c>
      <c r="T121" s="28">
        <v>16550000</v>
      </c>
      <c r="U121" s="28"/>
      <c r="V121" s="28">
        <v>2443497000</v>
      </c>
      <c r="W121" s="28">
        <v>78412000</v>
      </c>
      <c r="X121" s="28">
        <v>110976000</v>
      </c>
      <c r="Y121" s="28">
        <v>4151882000</v>
      </c>
      <c r="Z121" s="28">
        <v>75201000</v>
      </c>
      <c r="AA121" s="28"/>
      <c r="AB121" s="28"/>
      <c r="AC121" s="28">
        <v>4076661000</v>
      </c>
      <c r="AD121" s="28">
        <v>75221000</v>
      </c>
      <c r="AE121" s="28">
        <v>3051253000</v>
      </c>
      <c r="AF121" s="28">
        <v>29597000</v>
      </c>
      <c r="AG121" s="11"/>
    </row>
    <row r="122">
      <c r="A122" s="7" t="s">
        <v>1871</v>
      </c>
      <c r="B122" s="5" t="s">
        <v>9844</v>
      </c>
      <c r="C122" s="5" t="s">
        <v>17751</v>
      </c>
      <c r="D122" s="5" t="str">
        <v>503106636275</v>
      </c>
      <c r="E122" s="0" t="e">
        <f>+7 (495) 7759920
+7 (812) 3844764
+7 (861) 2558717
+7 (915) 3579470
+7 (916) 4055989
+7 (916) 4056505
+7 (985) 3343292
+7 (985) 5113950
+7 (985) 9232851</f>
        <v>#NAME?</v>
      </c>
      <c r="F122" s="5" t="s">
        <v>25594</v>
      </c>
      <c r="G122" s="5" t="s">
        <v>25595</v>
      </c>
      <c r="H122" s="26">
        <v>9.5</v>
      </c>
      <c r="I122" s="5" t="s">
        <v>25596</v>
      </c>
      <c r="J122" s="5" t="s">
        <v>1013</v>
      </c>
      <c r="K122" s="5" t="s">
        <v>344</v>
      </c>
      <c r="L122" s="5" t="s">
        <v>25597</v>
      </c>
      <c r="M122" s="27"/>
      <c r="N122" s="5" t="s">
        <v>49269</v>
      </c>
      <c r="O122" s="5" t="str">
        <v>7710946388</v>
      </c>
      <c r="P122" s="27">
        <v>10000</v>
      </c>
      <c r="Q122" s="5" t="s">
        <v>49270</v>
      </c>
      <c r="R122" s="5"/>
      <c r="S122" s="5" t="s">
        <v>49271</v>
      </c>
      <c r="T122" s="28">
        <v>431304000</v>
      </c>
      <c r="U122" s="28">
        <v>255000</v>
      </c>
      <c r="V122" s="28">
        <v>1643152000</v>
      </c>
      <c r="W122" s="28"/>
      <c r="X122" s="28">
        <v>389608000</v>
      </c>
      <c r="Y122" s="28">
        <v>2703176000</v>
      </c>
      <c r="Z122" s="28">
        <v>1073830000</v>
      </c>
      <c r="AA122" s="28"/>
      <c r="AB122" s="28">
        <v>14000</v>
      </c>
      <c r="AC122" s="28">
        <v>1471860000</v>
      </c>
      <c r="AD122" s="28">
        <v>1073840000</v>
      </c>
      <c r="AE122" s="28">
        <v>4363240000</v>
      </c>
      <c r="AF122" s="28">
        <v>302446000</v>
      </c>
      <c r="AG122" s="11"/>
    </row>
    <row r="123">
      <c r="A123" s="7" t="s">
        <v>1872</v>
      </c>
      <c r="B123" s="5" t="s">
        <v>9845</v>
      </c>
      <c r="C123" s="5" t="s">
        <v>17752</v>
      </c>
      <c r="D123" s="5" t="str">
        <v>553300720829</v>
      </c>
      <c r="E123" s="0" t="e">
        <f>+7 (84649) 85745
+7 (84649) 10064
+7 (84643) 34404
+7 (917) 8204046</f>
        <v>#NAME?</v>
      </c>
      <c r="F123" s="5" t="s">
        <v>25598</v>
      </c>
      <c r="G123" s="5"/>
      <c r="H123" s="26">
        <v>9.5</v>
      </c>
      <c r="I123" s="5" t="s">
        <v>25599</v>
      </c>
      <c r="J123" s="5" t="s">
        <v>467</v>
      </c>
      <c r="K123" s="5" t="s">
        <v>344</v>
      </c>
      <c r="L123" s="5"/>
      <c r="M123" s="27">
        <v>161944630</v>
      </c>
      <c r="N123" s="5" t="s">
        <v>49272</v>
      </c>
      <c r="O123" s="5" t="str">
        <v>6325057547</v>
      </c>
      <c r="P123" s="27">
        <v>200000000</v>
      </c>
      <c r="Q123" s="5" t="s">
        <v>49274</v>
      </c>
      <c r="R123" s="5" t="s">
        <v>49275</v>
      </c>
      <c r="S123" s="5" t="s">
        <v>49276</v>
      </c>
      <c r="T123" s="28">
        <v>856910000</v>
      </c>
      <c r="U123" s="28">
        <v>59880000</v>
      </c>
      <c r="V123" s="28">
        <v>2054087000</v>
      </c>
      <c r="W123" s="28">
        <v>68591000</v>
      </c>
      <c r="X123" s="28">
        <v>755919000</v>
      </c>
      <c r="Y123" s="28">
        <v>8433878000</v>
      </c>
      <c r="Z123" s="28">
        <v>257683000</v>
      </c>
      <c r="AA123" s="28">
        <v>2013418000</v>
      </c>
      <c r="AB123" s="28">
        <v>1509887000</v>
      </c>
      <c r="AC123" s="28">
        <v>5340949000</v>
      </c>
      <c r="AD123" s="28">
        <v>457683000</v>
      </c>
      <c r="AE123" s="28">
        <v>4701326000</v>
      </c>
      <c r="AF123" s="28">
        <v>28644000</v>
      </c>
      <c r="AG123" s="11"/>
    </row>
    <row r="124">
      <c r="A124" s="7" t="s">
        <v>1873</v>
      </c>
      <c r="B124" s="5" t="s">
        <v>9846</v>
      </c>
      <c r="C124" s="5" t="s">
        <v>17753</v>
      </c>
      <c r="D124" s="5" t="str">
        <v>290124157399</v>
      </c>
      <c r="E124" s="0" t="e">
        <f>+7 (818) 2295867
+7 (818) 2475257
+7 (818) 2626888
+7 (818) 2626919
+7 (818) 2626929
+7 (818) 2674702
+7 (81836) 53313
+7 (921) 2903050</f>
        <v>#NAME?</v>
      </c>
      <c r="F124" s="5" t="s">
        <v>25600</v>
      </c>
      <c r="G124" s="5" t="s">
        <v>25601</v>
      </c>
      <c r="H124" s="26">
        <v>19.5</v>
      </c>
      <c r="I124" s="5" t="s">
        <v>25602</v>
      </c>
      <c r="J124" s="5" t="s">
        <v>25603</v>
      </c>
      <c r="K124" s="5" t="s">
        <v>344</v>
      </c>
      <c r="L124" s="5" t="s">
        <v>25604</v>
      </c>
      <c r="M124" s="27">
        <v>21103099</v>
      </c>
      <c r="N124" s="5" t="s">
        <v>49277</v>
      </c>
      <c r="O124" s="5" t="str">
        <v>2901115427</v>
      </c>
      <c r="P124" s="27">
        <v>1010000</v>
      </c>
      <c r="Q124" s="5" t="s">
        <v>49279</v>
      </c>
      <c r="R124" s="5" t="s">
        <v>49280</v>
      </c>
      <c r="S124" s="5" t="s">
        <v>49281</v>
      </c>
      <c r="T124" s="28">
        <v>2143915000</v>
      </c>
      <c r="U124" s="28">
        <v>55267000</v>
      </c>
      <c r="V124" s="28">
        <v>859243000</v>
      </c>
      <c r="W124" s="28"/>
      <c r="X124" s="28">
        <v>999265000</v>
      </c>
      <c r="Y124" s="28">
        <v>6191910000</v>
      </c>
      <c r="Z124" s="28">
        <v>4958475000</v>
      </c>
      <c r="AA124" s="28"/>
      <c r="AB124" s="28"/>
      <c r="AC124" s="28">
        <v>1099894000</v>
      </c>
      <c r="AD124" s="28">
        <v>4959485000</v>
      </c>
      <c r="AE124" s="28">
        <v>11436078000</v>
      </c>
      <c r="AF124" s="28">
        <v>800935000</v>
      </c>
      <c r="AG124" s="11"/>
    </row>
    <row r="125">
      <c r="A125" s="7" t="s">
        <v>1874</v>
      </c>
      <c r="B125" s="5" t="s">
        <v>9847</v>
      </c>
      <c r="C125" s="5" t="s">
        <v>17754</v>
      </c>
      <c r="D125" s="5" t="str">
        <v>860203520277</v>
      </c>
      <c r="E125" s="0" t="e">
        <f>+7 (346) 2224682
+7 (346) 2224560
+7 (346) 2224563
+7 (346) 2909951
+7 (902) 6900657</f>
        <v>#NAME?</v>
      </c>
      <c r="F125" s="5" t="s">
        <v>25605</v>
      </c>
      <c r="G125" s="5" t="s">
        <v>25606</v>
      </c>
      <c r="H125" s="26">
        <v>30</v>
      </c>
      <c r="I125" s="5"/>
      <c r="J125" s="5" t="s">
        <v>467</v>
      </c>
      <c r="K125" s="5" t="s">
        <v>355</v>
      </c>
      <c r="L125" s="5"/>
      <c r="M125" s="27">
        <v>524117</v>
      </c>
      <c r="N125" s="5" t="s">
        <v>49282</v>
      </c>
      <c r="O125" s="5" t="str">
        <v>8602034629</v>
      </c>
      <c r="P125" s="27">
        <v>20000000</v>
      </c>
      <c r="Q125" s="5" t="s">
        <v>49283</v>
      </c>
      <c r="R125" s="5" t="s">
        <v>49284</v>
      </c>
      <c r="S125" s="5" t="s">
        <v>49285</v>
      </c>
      <c r="T125" s="28">
        <v>1050003000</v>
      </c>
      <c r="U125" s="28"/>
      <c r="V125" s="28">
        <v>1003787000</v>
      </c>
      <c r="W125" s="28">
        <v>2601000</v>
      </c>
      <c r="X125" s="28">
        <v>727816000</v>
      </c>
      <c r="Y125" s="28">
        <v>3610593000</v>
      </c>
      <c r="Z125" s="28">
        <v>258780000</v>
      </c>
      <c r="AA125" s="28">
        <v>247374000</v>
      </c>
      <c r="AB125" s="28">
        <v>225640000</v>
      </c>
      <c r="AC125" s="28">
        <v>2519468000</v>
      </c>
      <c r="AD125" s="28">
        <v>281780000</v>
      </c>
      <c r="AE125" s="28">
        <v>4370090000</v>
      </c>
      <c r="AF125" s="28">
        <v>47403000</v>
      </c>
      <c r="AG125" s="11"/>
    </row>
    <row r="126">
      <c r="A126" s="7" t="s">
        <v>1875</v>
      </c>
      <c r="B126" s="5" t="s">
        <v>9848</v>
      </c>
      <c r="C126" s="5" t="s">
        <v>17755</v>
      </c>
      <c r="D126" s="5" t="str">
        <v>110303203739</v>
      </c>
      <c r="E126" s="0" t="e">
        <f>+7 (831) 2340132
+7 (831) 2340405
+7 (831) 2400133
+7 (831) 2401324
+7 (831) 2410132
+7 (831) 2430102
+7 (831) 2430113
+7 (831) 2430137
+7 (831) 2430414
+7 (831) 2489565
+7 (831) 2558964
+7 (831) 2340133
+7 (831) 2420405
+7 (831) 2567997
+7 (831) 2681904</f>
        <v>#NAME?</v>
      </c>
      <c r="F126" s="5" t="s">
        <v>25607</v>
      </c>
      <c r="G126" s="5"/>
      <c r="H126" s="26">
        <v>18.5</v>
      </c>
      <c r="I126" s="5" t="s">
        <v>25608</v>
      </c>
      <c r="J126" s="5" t="s">
        <v>25295</v>
      </c>
      <c r="K126" s="5" t="s">
        <v>344</v>
      </c>
      <c r="L126" s="5" t="s">
        <v>25609</v>
      </c>
      <c r="M126" s="27">
        <v>16642972</v>
      </c>
      <c r="N126" s="5" t="s">
        <v>49286</v>
      </c>
      <c r="O126" s="5" t="str">
        <v>5256049357</v>
      </c>
      <c r="P126" s="27">
        <v>650100000</v>
      </c>
      <c r="Q126" s="5" t="s">
        <v>49287</v>
      </c>
      <c r="R126" s="5"/>
      <c r="S126" s="5" t="s">
        <v>49288</v>
      </c>
      <c r="T126" s="28">
        <v>2528425000</v>
      </c>
      <c r="U126" s="28">
        <v>881679000</v>
      </c>
      <c r="V126" s="28">
        <v>2083563000</v>
      </c>
      <c r="W126" s="28">
        <v>2165566000</v>
      </c>
      <c r="X126" s="28">
        <v>271285000</v>
      </c>
      <c r="Y126" s="28">
        <v>8259555000</v>
      </c>
      <c r="Z126" s="28">
        <v>3242522000</v>
      </c>
      <c r="AA126" s="28">
        <v>1561584000</v>
      </c>
      <c r="AB126" s="28"/>
      <c r="AC126" s="28">
        <v>2522078000</v>
      </c>
      <c r="AD126" s="28">
        <v>3892622000</v>
      </c>
      <c r="AE126" s="28">
        <v>9590472000</v>
      </c>
      <c r="AF126" s="28">
        <v>365159000</v>
      </c>
      <c r="AG126" s="11"/>
    </row>
    <row r="127">
      <c r="A127" s="7" t="s">
        <v>1876</v>
      </c>
      <c r="B127" s="5" t="s">
        <v>9849</v>
      </c>
      <c r="C127" s="5" t="s">
        <v>17756</v>
      </c>
      <c r="D127" s="5" t="str">
        <v>575102154247</v>
      </c>
      <c r="E127" s="0" t="e">
        <f>+7 (486) 2557216
+7 (4862) 558888
+7 (4862) 391050
+7 (4862) 391051
+7 (4862) 391060
+7 (4862) 391919
+7 (4862) 439089
+7 (4862) 439209
+7 (4862) 543151
+7 (4862) 734340
+7 (4862) 734346
+7 (903) 4078588
+7 (910) 2064749
+7 (910) 7487548
+7 (915) 5049052</f>
        <v>#NAME?</v>
      </c>
      <c r="F127" s="5" t="s">
        <v>25610</v>
      </c>
      <c r="G127" s="5"/>
      <c r="H127" s="26">
        <v>18.5</v>
      </c>
      <c r="I127" s="5" t="s">
        <v>25611</v>
      </c>
      <c r="J127" s="5" t="s">
        <v>25612</v>
      </c>
      <c r="K127" s="5" t="s">
        <v>344</v>
      </c>
      <c r="L127" s="5" t="s">
        <v>25613</v>
      </c>
      <c r="M127" s="27"/>
      <c r="N127" s="5" t="s">
        <v>49289</v>
      </c>
      <c r="O127" s="5" t="str">
        <v>5751027990</v>
      </c>
      <c r="P127" s="27">
        <v>20000</v>
      </c>
      <c r="Q127" s="5" t="s">
        <v>49290</v>
      </c>
      <c r="R127" s="5"/>
      <c r="S127" s="5" t="s">
        <v>49256</v>
      </c>
      <c r="T127" s="28">
        <v>113959000</v>
      </c>
      <c r="U127" s="28"/>
      <c r="V127" s="28">
        <v>364039000</v>
      </c>
      <c r="W127" s="28">
        <v>32050000</v>
      </c>
      <c r="X127" s="28">
        <v>23290000</v>
      </c>
      <c r="Y127" s="28">
        <v>1179760000</v>
      </c>
      <c r="Z127" s="28">
        <v>484506000</v>
      </c>
      <c r="AA127" s="28"/>
      <c r="AB127" s="28">
        <v>260070000</v>
      </c>
      <c r="AC127" s="28">
        <v>620479000</v>
      </c>
      <c r="AD127" s="28">
        <v>484526000</v>
      </c>
      <c r="AE127" s="28">
        <v>3211027000</v>
      </c>
      <c r="AF127" s="28">
        <v>356666000</v>
      </c>
      <c r="AG127" s="11"/>
    </row>
    <row r="128">
      <c r="A128" s="7" t="s">
        <v>1877</v>
      </c>
      <c r="B128" s="5" t="s">
        <v>9850</v>
      </c>
      <c r="C128" s="5" t="s">
        <v>17757</v>
      </c>
      <c r="D128" s="5" t="str">
        <v>261401983226</v>
      </c>
      <c r="E128" s="0" t="e">
        <f>+7 (861) 2040187
+7 (928) 8257172
+7 (861) 142121
+7 (861) 2040107
+7 (861) 2040181
+7 (918) 1208086
+7 (938) 9177722
+7 (988) 1324949</f>
        <v>#NAME?</v>
      </c>
      <c r="F128" s="5" t="s">
        <v>25614</v>
      </c>
      <c r="G128" s="5" t="s">
        <v>25615</v>
      </c>
      <c r="H128" s="26">
        <v>9</v>
      </c>
      <c r="I128" s="5" t="s">
        <v>25616</v>
      </c>
      <c r="J128" s="5" t="s">
        <v>373</v>
      </c>
      <c r="K128" s="5" t="s">
        <v>344</v>
      </c>
      <c r="L128" s="5" t="s">
        <v>25617</v>
      </c>
      <c r="M128" s="27"/>
      <c r="N128" s="5" t="s">
        <v>49291</v>
      </c>
      <c r="O128" s="5" t="str">
        <v>2309140180</v>
      </c>
      <c r="P128" s="27">
        <v>11000</v>
      </c>
      <c r="Q128" s="5" t="s">
        <v>49292</v>
      </c>
      <c r="R128" s="5"/>
      <c r="S128" s="5" t="s">
        <v>49293</v>
      </c>
      <c r="T128" s="28">
        <v>6277000</v>
      </c>
      <c r="U128" s="28"/>
      <c r="V128" s="28">
        <v>190213000</v>
      </c>
      <c r="W128" s="28"/>
      <c r="X128" s="28">
        <v>3425000</v>
      </c>
      <c r="Y128" s="28">
        <v>200189000</v>
      </c>
      <c r="Z128" s="28">
        <v>32556000</v>
      </c>
      <c r="AA128" s="28"/>
      <c r="AB128" s="28"/>
      <c r="AC128" s="28">
        <v>167252000</v>
      </c>
      <c r="AD128" s="28">
        <v>32568000</v>
      </c>
      <c r="AE128" s="28">
        <v>3378656000</v>
      </c>
      <c r="AF128" s="28">
        <v>119982000</v>
      </c>
      <c r="AG128" s="11"/>
    </row>
    <row r="129">
      <c r="A129" s="7" t="s">
        <v>1878</v>
      </c>
      <c r="B129" s="5" t="s">
        <v>9851</v>
      </c>
      <c r="C129" s="5" t="s">
        <v>17758</v>
      </c>
      <c r="D129" s="5" t="str">
        <v>550145324540</v>
      </c>
      <c r="E129" s="0" t="e">
        <f>+7 (926) 6387883</f>
        <v>#NAME?</v>
      </c>
      <c r="F129" s="5"/>
      <c r="G129" s="5"/>
      <c r="H129" s="26">
        <v>8.5</v>
      </c>
      <c r="I129" s="5" t="s">
        <v>25618</v>
      </c>
      <c r="J129" s="5" t="s">
        <v>397</v>
      </c>
      <c r="K129" s="5" t="s">
        <v>344</v>
      </c>
      <c r="L129" s="5" t="s">
        <v>25619</v>
      </c>
      <c r="M129" s="27"/>
      <c r="N129" s="5"/>
      <c r="O129" s="5" t="str">
        <v>7731472788</v>
      </c>
      <c r="P129" s="27">
        <v>1000000</v>
      </c>
      <c r="Q129" s="5" t="s">
        <v>49294</v>
      </c>
      <c r="R129" s="5"/>
      <c r="S129" s="5" t="s">
        <v>49295</v>
      </c>
      <c r="T129" s="28">
        <v>34959000</v>
      </c>
      <c r="U129" s="28"/>
      <c r="V129" s="28">
        <v>459198000</v>
      </c>
      <c r="W129" s="28">
        <v>9822000</v>
      </c>
      <c r="X129" s="28">
        <v>1124000</v>
      </c>
      <c r="Y129" s="28">
        <v>696341000</v>
      </c>
      <c r="Z129" s="28">
        <v>80768000</v>
      </c>
      <c r="AA129" s="28">
        <v>62685000</v>
      </c>
      <c r="AB129" s="28">
        <v>50000000</v>
      </c>
      <c r="AC129" s="28">
        <v>533569000</v>
      </c>
      <c r="AD129" s="28">
        <v>81768000</v>
      </c>
      <c r="AE129" s="28">
        <v>4308236000</v>
      </c>
      <c r="AF129" s="28">
        <v>59087000</v>
      </c>
      <c r="AG129" s="11"/>
    </row>
    <row r="130">
      <c r="A130" s="7" t="s">
        <v>1879</v>
      </c>
      <c r="B130" s="5" t="s">
        <v>9852</v>
      </c>
      <c r="C130" s="5" t="s">
        <v>17759</v>
      </c>
      <c r="D130" s="5" t="str">
        <v>774300351610</v>
      </c>
      <c r="E130" s="0" t="e">
        <f>+7 (903) 523249
+7 (987) 7552639</f>
        <v>#NAME?</v>
      </c>
      <c r="F130" s="5"/>
      <c r="G130" s="5" t="s">
        <v>25620</v>
      </c>
      <c r="H130" s="26">
        <v>6.5</v>
      </c>
      <c r="I130" s="5" t="s">
        <v>25621</v>
      </c>
      <c r="J130" s="5" t="s">
        <v>25259</v>
      </c>
      <c r="K130" s="5" t="s">
        <v>355</v>
      </c>
      <c r="L130" s="5" t="s">
        <v>25622</v>
      </c>
      <c r="M130" s="27">
        <v>97669</v>
      </c>
      <c r="N130" s="5"/>
      <c r="O130" s="5" t="str">
        <v>5262337498</v>
      </c>
      <c r="P130" s="27">
        <v>1000000</v>
      </c>
      <c r="Q130" s="5" t="s">
        <v>49009</v>
      </c>
      <c r="R130" s="5"/>
      <c r="S130" s="5" t="s">
        <v>49093</v>
      </c>
      <c r="T130" s="28">
        <v>98439000</v>
      </c>
      <c r="U130" s="28">
        <v>1159776000</v>
      </c>
      <c r="V130" s="28">
        <v>2553361000</v>
      </c>
      <c r="W130" s="28"/>
      <c r="X130" s="28">
        <v>39145000</v>
      </c>
      <c r="Y130" s="28">
        <v>6606187000</v>
      </c>
      <c r="Z130" s="28">
        <v>1208046000</v>
      </c>
      <c r="AA130" s="28">
        <v>29757000</v>
      </c>
      <c r="AB130" s="28">
        <v>2141140000</v>
      </c>
      <c r="AC130" s="28">
        <v>4984596000</v>
      </c>
      <c r="AD130" s="28">
        <v>1209046000</v>
      </c>
      <c r="AE130" s="28">
        <v>9841070000</v>
      </c>
      <c r="AF130" s="28">
        <v>803112000</v>
      </c>
      <c r="AG130" s="11"/>
    </row>
    <row r="131">
      <c r="A131" s="7" t="s">
        <v>1880</v>
      </c>
      <c r="B131" s="5" t="s">
        <v>9853</v>
      </c>
      <c r="C131" s="5" t="s">
        <v>17760</v>
      </c>
      <c r="D131" s="5" t="str">
        <v>027204278017</v>
      </c>
      <c r="E131" s="0" t="e">
        <f>+7 (3472) 934343
+7 (800) 3332552
+7 (905) 77223
+7 (3472) 294343
+7 (3472) 934150
+7 (3472) 934166
+7 (800) 7755558</f>
        <v>#NAME?</v>
      </c>
      <c r="F131" s="5" t="s">
        <v>25623</v>
      </c>
      <c r="G131" s="5" t="s">
        <v>25624</v>
      </c>
      <c r="H131" s="26">
        <v>8</v>
      </c>
      <c r="I131" s="5" t="s">
        <v>25625</v>
      </c>
      <c r="J131" s="5" t="s">
        <v>1143</v>
      </c>
      <c r="K131" s="5" t="s">
        <v>344</v>
      </c>
      <c r="L131" s="5" t="s">
        <v>25626</v>
      </c>
      <c r="M131" s="27"/>
      <c r="N131" s="5" t="s">
        <v>49297</v>
      </c>
      <c r="O131" s="5" t="str">
        <v>0224950249</v>
      </c>
      <c r="P131" s="27">
        <v>10000</v>
      </c>
      <c r="Q131" s="5" t="s">
        <v>49298</v>
      </c>
      <c r="R131" s="5"/>
      <c r="S131" s="5" t="s">
        <v>49299</v>
      </c>
      <c r="T131" s="28">
        <v>6320000</v>
      </c>
      <c r="U131" s="28"/>
      <c r="V131" s="28">
        <v>503749000</v>
      </c>
      <c r="W131" s="28">
        <v>7626000</v>
      </c>
      <c r="X131" s="28">
        <v>13020000</v>
      </c>
      <c r="Y131" s="28">
        <v>1039721000</v>
      </c>
      <c r="Z131" s="28">
        <v>85337000</v>
      </c>
      <c r="AA131" s="28"/>
      <c r="AB131" s="28">
        <v>514042000</v>
      </c>
      <c r="AC131" s="28">
        <v>954374000</v>
      </c>
      <c r="AD131" s="28">
        <v>85347000</v>
      </c>
      <c r="AE131" s="28">
        <v>8935684000</v>
      </c>
      <c r="AF131" s="28">
        <v>219041000</v>
      </c>
      <c r="AG131" s="11"/>
    </row>
    <row r="132">
      <c r="A132" s="7" t="s">
        <v>1881</v>
      </c>
      <c r="B132" s="5" t="s">
        <v>9854</v>
      </c>
      <c r="C132" s="5" t="s">
        <v>17761</v>
      </c>
      <c r="D132" s="5" t="str">
        <v>502718448501</v>
      </c>
      <c r="E132" s="0" t="e">
        <f>+7 (495) 7870070
+7 (495) 6413311
+7 (916) 7245491</f>
        <v>#NAME?</v>
      </c>
      <c r="F132" s="5" t="s">
        <v>25627</v>
      </c>
      <c r="G132" s="5"/>
      <c r="H132" s="26">
        <v>12.5</v>
      </c>
      <c r="I132" s="5" t="s">
        <v>25628</v>
      </c>
      <c r="J132" s="5" t="s">
        <v>25629</v>
      </c>
      <c r="K132" s="5" t="s">
        <v>344</v>
      </c>
      <c r="L132" s="5" t="s">
        <v>25630</v>
      </c>
      <c r="M132" s="27"/>
      <c r="N132" s="5" t="s">
        <v>49300</v>
      </c>
      <c r="O132" s="5" t="str">
        <v>5027164118</v>
      </c>
      <c r="P132" s="27">
        <v>10000</v>
      </c>
      <c r="Q132" s="5" t="s">
        <v>49009</v>
      </c>
      <c r="R132" s="5"/>
      <c r="S132" s="5" t="s">
        <v>49045</v>
      </c>
      <c r="T132" s="28">
        <v>7992000</v>
      </c>
      <c r="U132" s="28"/>
      <c r="V132" s="28">
        <v>60922000</v>
      </c>
      <c r="W132" s="28"/>
      <c r="X132" s="28">
        <v>20768000</v>
      </c>
      <c r="Y132" s="28">
        <v>615140000</v>
      </c>
      <c r="Z132" s="28">
        <v>225882000</v>
      </c>
      <c r="AA132" s="28"/>
      <c r="AB132" s="28">
        <v>212991000</v>
      </c>
      <c r="AC132" s="28">
        <v>388422000</v>
      </c>
      <c r="AD132" s="28">
        <v>225892000</v>
      </c>
      <c r="AE132" s="28">
        <v>3992850000</v>
      </c>
      <c r="AF132" s="28">
        <v>137559000</v>
      </c>
      <c r="AG132" s="11"/>
    </row>
    <row r="133">
      <c r="A133" s="7" t="s">
        <v>1882</v>
      </c>
      <c r="B133" s="5" t="s">
        <v>9855</v>
      </c>
      <c r="C133" s="5" t="s">
        <v>17762</v>
      </c>
      <c r="D133" s="5" t="str">
        <v>773003199591</v>
      </c>
      <c r="F133" s="5"/>
      <c r="G133" s="5"/>
      <c r="H133" s="26">
        <v>15.5</v>
      </c>
      <c r="I133" s="5" t="s">
        <v>25631</v>
      </c>
      <c r="J133" s="5" t="s">
        <v>389</v>
      </c>
      <c r="K133" s="5" t="s">
        <v>344</v>
      </c>
      <c r="L133" s="5" t="s">
        <v>25632</v>
      </c>
      <c r="M133" s="27"/>
      <c r="N133" s="5" t="s">
        <v>49301</v>
      </c>
      <c r="O133" s="5" t="str">
        <v>7730569579</v>
      </c>
      <c r="P133" s="27">
        <v>98340000</v>
      </c>
      <c r="Q133" s="5" t="s">
        <v>49021</v>
      </c>
      <c r="R133" s="5"/>
      <c r="S133" s="5" t="s">
        <v>49302</v>
      </c>
      <c r="T133" s="28">
        <v>27696000</v>
      </c>
      <c r="U133" s="28"/>
      <c r="V133" s="28">
        <v>260030000</v>
      </c>
      <c r="W133" s="28">
        <v>112111000</v>
      </c>
      <c r="X133" s="28">
        <v>48610000</v>
      </c>
      <c r="Y133" s="28">
        <v>2007830000</v>
      </c>
      <c r="Z133" s="28">
        <v>772852000</v>
      </c>
      <c r="AA133" s="28"/>
      <c r="AB133" s="28">
        <v>73000</v>
      </c>
      <c r="AC133" s="28">
        <v>1135159000</v>
      </c>
      <c r="AD133" s="28">
        <v>871192000</v>
      </c>
      <c r="AE133" s="28">
        <v>10387598000</v>
      </c>
      <c r="AF133" s="28">
        <v>560542000</v>
      </c>
      <c r="AG133" s="11"/>
    </row>
    <row r="134">
      <c r="A134" s="7" t="s">
        <v>1883</v>
      </c>
      <c r="B134" s="5" t="s">
        <v>9856</v>
      </c>
      <c r="C134" s="5" t="s">
        <v>17763</v>
      </c>
      <c r="D134" s="5" t="str">
        <v>773123859240</v>
      </c>
      <c r="E134" s="0" t="e">
        <f>+7 (383) 3637000
+7 (383) 3637070
+7 (495) 2260379
+7 (861) 2019001</f>
        <v>#NAME?</v>
      </c>
      <c r="F134" s="5" t="s">
        <v>25633</v>
      </c>
      <c r="G134" s="5"/>
      <c r="H134" s="26">
        <v>15</v>
      </c>
      <c r="I134" s="5" t="s">
        <v>25634</v>
      </c>
      <c r="J134" s="5" t="s">
        <v>389</v>
      </c>
      <c r="K134" s="5" t="s">
        <v>344</v>
      </c>
      <c r="L134" s="5" t="s">
        <v>25635</v>
      </c>
      <c r="M134" s="27"/>
      <c r="N134" s="5" t="s">
        <v>49303</v>
      </c>
      <c r="O134" s="5" t="str">
        <v>8602068681</v>
      </c>
      <c r="P134" s="27">
        <v>583350000</v>
      </c>
      <c r="Q134" s="5" t="s">
        <v>49009</v>
      </c>
      <c r="R134" s="5"/>
      <c r="S134" s="5" t="s">
        <v>49012</v>
      </c>
      <c r="T134" s="28">
        <v>24478000</v>
      </c>
      <c r="U134" s="28"/>
      <c r="V134" s="28">
        <v>121221000</v>
      </c>
      <c r="W134" s="28">
        <v>1126508000</v>
      </c>
      <c r="X134" s="28">
        <v>36873000</v>
      </c>
      <c r="Y134" s="28">
        <v>2020866000</v>
      </c>
      <c r="Z134" s="28">
        <v>626872000</v>
      </c>
      <c r="AA134" s="28"/>
      <c r="AB134" s="28"/>
      <c r="AC134" s="28">
        <v>810056000</v>
      </c>
      <c r="AD134" s="28">
        <v>1210222000</v>
      </c>
      <c r="AE134" s="28">
        <v>9608954000</v>
      </c>
      <c r="AF134" s="28">
        <v>540966000</v>
      </c>
      <c r="AG134" s="11"/>
    </row>
    <row r="135">
      <c r="A135" s="7" t="s">
        <v>1884</v>
      </c>
      <c r="B135" s="5" t="s">
        <v>9856</v>
      </c>
      <c r="C135" s="5" t="s">
        <v>17763</v>
      </c>
      <c r="D135" s="5" t="str">
        <v>773123859240</v>
      </c>
      <c r="E135" s="0" t="e">
        <f>+7 (845) 5393333</f>
        <v>#NAME?</v>
      </c>
      <c r="F135" s="5"/>
      <c r="G135" s="5"/>
      <c r="H135" s="26">
        <v>15.5</v>
      </c>
      <c r="I135" s="5" t="s">
        <v>25636</v>
      </c>
      <c r="J135" s="5" t="s">
        <v>389</v>
      </c>
      <c r="K135" s="5" t="s">
        <v>344</v>
      </c>
      <c r="L135" s="5" t="s">
        <v>25637</v>
      </c>
      <c r="M135" s="27"/>
      <c r="N135" s="5" t="s">
        <v>49304</v>
      </c>
      <c r="O135" s="5" t="str">
        <v>3665064747</v>
      </c>
      <c r="P135" s="27">
        <v>413019025</v>
      </c>
      <c r="Q135" s="5" t="s">
        <v>49021</v>
      </c>
      <c r="R135" s="5"/>
      <c r="S135" s="5" t="s">
        <v>49302</v>
      </c>
      <c r="T135" s="28">
        <v>43704000</v>
      </c>
      <c r="U135" s="28"/>
      <c r="V135" s="28">
        <v>176687000</v>
      </c>
      <c r="W135" s="28">
        <v>413826000</v>
      </c>
      <c r="X135" s="28">
        <v>17636000</v>
      </c>
      <c r="Y135" s="28">
        <v>1682526000</v>
      </c>
      <c r="Z135" s="28">
        <v>616211000</v>
      </c>
      <c r="AA135" s="28"/>
      <c r="AB135" s="28"/>
      <c r="AC135" s="28">
        <v>651747000</v>
      </c>
      <c r="AD135" s="28">
        <v>1029230000</v>
      </c>
      <c r="AE135" s="28">
        <v>7318653000</v>
      </c>
      <c r="AF135" s="28">
        <v>563840000</v>
      </c>
      <c r="AG135" s="11"/>
    </row>
    <row r="136">
      <c r="A136" s="7" t="s">
        <v>1885</v>
      </c>
      <c r="B136" s="5" t="s">
        <v>9857</v>
      </c>
      <c r="C136" s="5" t="s">
        <v>17764</v>
      </c>
      <c r="D136" s="5" t="str">
        <v>772649128000</v>
      </c>
      <c r="E136" s="0" t="e">
        <f>+7 (499) 9562898
+7 (383) 3637070
+7 (495) 2289898
+7 (495) 2562898
+7 (495) 9561144
+7 (495) 9588822
+7 (913) 185167
+7 (926) 5314516</f>
        <v>#NAME?</v>
      </c>
      <c r="F136" s="5" t="s">
        <v>25638</v>
      </c>
      <c r="G136" s="5" t="s">
        <v>25639</v>
      </c>
      <c r="H136" s="26">
        <v>12.5</v>
      </c>
      <c r="I136" s="5" t="s">
        <v>25640</v>
      </c>
      <c r="J136" s="5" t="s">
        <v>25641</v>
      </c>
      <c r="K136" s="5" t="s">
        <v>344</v>
      </c>
      <c r="L136" s="5" t="s">
        <v>25642</v>
      </c>
      <c r="M136" s="27"/>
      <c r="N136" s="5" t="s">
        <v>49305</v>
      </c>
      <c r="O136" s="5" t="str">
        <v>7730632823</v>
      </c>
      <c r="P136" s="27">
        <v>100000</v>
      </c>
      <c r="Q136" s="5" t="s">
        <v>49306</v>
      </c>
      <c r="R136" s="5"/>
      <c r="S136" s="5" t="s">
        <v>49307</v>
      </c>
      <c r="T136" s="28"/>
      <c r="U136" s="28"/>
      <c r="V136" s="28">
        <v>356457000</v>
      </c>
      <c r="W136" s="28"/>
      <c r="X136" s="28">
        <v>6447000</v>
      </c>
      <c r="Y136" s="28">
        <v>363058000</v>
      </c>
      <c r="Z136" s="28">
        <v>70596000</v>
      </c>
      <c r="AA136" s="28"/>
      <c r="AB136" s="28"/>
      <c r="AC136" s="28">
        <v>292362000</v>
      </c>
      <c r="AD136" s="28">
        <v>70696000</v>
      </c>
      <c r="AE136" s="28">
        <v>5207987000</v>
      </c>
      <c r="AF136" s="28">
        <v>46621000</v>
      </c>
      <c r="AG136" s="11"/>
    </row>
    <row r="137">
      <c r="A137" s="7" t="s">
        <v>1886</v>
      </c>
      <c r="B137" s="5" t="s">
        <v>9856</v>
      </c>
      <c r="C137" s="5" t="s">
        <v>17765</v>
      </c>
      <c r="D137" s="5" t="str">
        <v>505401016307</v>
      </c>
      <c r="F137" s="5"/>
      <c r="G137" s="5"/>
      <c r="H137" s="26">
        <v>15.5</v>
      </c>
      <c r="I137" s="5" t="s">
        <v>25643</v>
      </c>
      <c r="J137" s="5" t="s">
        <v>389</v>
      </c>
      <c r="K137" s="5" t="s">
        <v>344</v>
      </c>
      <c r="L137" s="5" t="s">
        <v>25644</v>
      </c>
      <c r="M137" s="27"/>
      <c r="N137" s="5" t="s">
        <v>49308</v>
      </c>
      <c r="O137" s="5" t="str">
        <v>7730569353</v>
      </c>
      <c r="P137" s="27">
        <v>120010000</v>
      </c>
      <c r="Q137" s="5" t="s">
        <v>49021</v>
      </c>
      <c r="R137" s="5"/>
      <c r="S137" s="5" t="s">
        <v>49309</v>
      </c>
      <c r="T137" s="28">
        <v>54195000</v>
      </c>
      <c r="U137" s="28"/>
      <c r="V137" s="28">
        <v>1113616000</v>
      </c>
      <c r="W137" s="28">
        <v>938902000</v>
      </c>
      <c r="X137" s="28">
        <v>112581000</v>
      </c>
      <c r="Y137" s="28">
        <v>6269990000</v>
      </c>
      <c r="Z137" s="28">
        <v>1839957000</v>
      </c>
      <c r="AA137" s="28"/>
      <c r="AB137" s="28">
        <v>1847656000</v>
      </c>
      <c r="AC137" s="28">
        <v>4308835000</v>
      </c>
      <c r="AD137" s="28">
        <v>1959967000</v>
      </c>
      <c r="AE137" s="28">
        <v>26516792000</v>
      </c>
      <c r="AF137" s="28">
        <v>1289375000</v>
      </c>
      <c r="AG137" s="11"/>
    </row>
    <row r="138">
      <c r="A138" s="7" t="s">
        <v>1887</v>
      </c>
      <c r="B138" s="5" t="s">
        <v>9858</v>
      </c>
      <c r="C138" s="5" t="s">
        <v>17766</v>
      </c>
      <c r="D138" s="5" t="str">
        <v>772339165161</v>
      </c>
      <c r="E138" s="0" t="e">
        <f>+7 (495) 7395686
+7 (499) 6416641</f>
        <v>#NAME?</v>
      </c>
      <c r="F138" s="5" t="s">
        <v>25645</v>
      </c>
      <c r="G138" s="5"/>
      <c r="H138" s="26">
        <v>14</v>
      </c>
      <c r="I138" s="5" t="s">
        <v>25646</v>
      </c>
      <c r="J138" s="5" t="s">
        <v>533</v>
      </c>
      <c r="K138" s="5" t="s">
        <v>355</v>
      </c>
      <c r="L138" s="5" t="s">
        <v>25647</v>
      </c>
      <c r="M138" s="27">
        <v>1429326</v>
      </c>
      <c r="N138" s="5"/>
      <c r="O138" s="5" t="str">
        <v>7743715611</v>
      </c>
      <c r="P138" s="27">
        <v>10000</v>
      </c>
      <c r="Q138" s="5" t="s">
        <v>49207</v>
      </c>
      <c r="R138" s="5" t="s">
        <v>49310</v>
      </c>
      <c r="S138" s="5" t="s">
        <v>49311</v>
      </c>
      <c r="T138" s="28">
        <v>4790195000</v>
      </c>
      <c r="U138" s="28">
        <v>411000</v>
      </c>
      <c r="V138" s="28">
        <v>2324060000</v>
      </c>
      <c r="W138" s="28">
        <v>2915711000</v>
      </c>
      <c r="X138" s="28">
        <v>18212000</v>
      </c>
      <c r="Y138" s="28">
        <v>11891482000</v>
      </c>
      <c r="Z138" s="28">
        <v>630137000</v>
      </c>
      <c r="AA138" s="28">
        <v>948750000</v>
      </c>
      <c r="AB138" s="28">
        <v>2180862000</v>
      </c>
      <c r="AC138" s="28">
        <v>5589585000</v>
      </c>
      <c r="AD138" s="28">
        <v>630147000</v>
      </c>
      <c r="AE138" s="28">
        <v>3876290000</v>
      </c>
      <c r="AF138" s="28">
        <v>159542000</v>
      </c>
      <c r="AG138" s="11"/>
    </row>
    <row r="139">
      <c r="A139" s="7" t="s">
        <v>1888</v>
      </c>
      <c r="B139" s="5" t="s">
        <v>9859</v>
      </c>
      <c r="C139" s="5" t="s">
        <v>17767</v>
      </c>
      <c r="D139" s="5" t="str">
        <v>780704374108</v>
      </c>
      <c r="E139" s="0" t="e">
        <f>+7 (812) 3180904
+7 (812) 3204325
+7 (812) 3231844
+7 (812) 3386780
+7 (485) 2982878
+7 (812) 3234844
+7 (812) 3359808
+7 (812) 3383664
+7 (812) 3692187
+7 (812) 3696313
+7 (812) 3718583
+7 (812) 3873440
+7 (812) 3875281
+7 (812) 3880042
+7 (812) 3881755</f>
        <v>#NAME?</v>
      </c>
      <c r="F139" s="5" t="s">
        <v>25648</v>
      </c>
      <c r="G139" s="5" t="s">
        <v>25649</v>
      </c>
      <c r="H139" s="26">
        <v>28</v>
      </c>
      <c r="I139" s="5"/>
      <c r="J139" s="5" t="s">
        <v>930</v>
      </c>
      <c r="K139" s="5" t="s">
        <v>355</v>
      </c>
      <c r="L139" s="5"/>
      <c r="M139" s="27">
        <v>614379</v>
      </c>
      <c r="N139" s="5" t="s">
        <v>49312</v>
      </c>
      <c r="O139" s="5" t="str">
        <v>7830002705</v>
      </c>
      <c r="P139" s="27">
        <v>27266</v>
      </c>
      <c r="Q139" s="5" t="s">
        <v>49314</v>
      </c>
      <c r="R139" s="5"/>
      <c r="S139" s="5" t="s">
        <v>49315</v>
      </c>
      <c r="T139" s="28">
        <v>762419000</v>
      </c>
      <c r="U139" s="28">
        <v>34785000</v>
      </c>
      <c r="V139" s="28">
        <v>1281595000</v>
      </c>
      <c r="W139" s="28">
        <v>44850000</v>
      </c>
      <c r="X139" s="28">
        <v>301445000</v>
      </c>
      <c r="Y139" s="28">
        <v>2670558000</v>
      </c>
      <c r="Z139" s="28">
        <v>1035306000</v>
      </c>
      <c r="AA139" s="28">
        <v>120000000</v>
      </c>
      <c r="AB139" s="28">
        <v>473801000</v>
      </c>
      <c r="AC139" s="28">
        <v>1508118000</v>
      </c>
      <c r="AD139" s="28">
        <v>1039067000</v>
      </c>
      <c r="AE139" s="28">
        <v>3717271000</v>
      </c>
      <c r="AF139" s="28">
        <v>-213219000</v>
      </c>
      <c r="AG139" s="11"/>
    </row>
    <row r="140">
      <c r="A140" s="7" t="s">
        <v>1889</v>
      </c>
      <c r="B140" s="5" t="s">
        <v>9860</v>
      </c>
      <c r="C140" s="5" t="s">
        <v>17768</v>
      </c>
      <c r="D140" s="5" t="str">
        <v>503216704961</v>
      </c>
      <c r="E140" s="0" t="e">
        <f>+7 (495) 7781154
+7 (495) 7786586
+7 (495) 1289777
+7 (495) 2582574
+7 (495) 4817474
+7 (495) 7906818
+7 (495) 7907900
+7 (495) 9786191
+7 (901) 5786586
+7 (915) 3555648
+7 (977) 4504892
+7 (977) 4504899</f>
        <v>#NAME?</v>
      </c>
      <c r="F140" s="5" t="s">
        <v>25650</v>
      </c>
      <c r="G140" s="5"/>
      <c r="H140" s="26">
        <v>16</v>
      </c>
      <c r="I140" s="5"/>
      <c r="J140" s="5" t="s">
        <v>25559</v>
      </c>
      <c r="K140" s="5" t="s">
        <v>344</v>
      </c>
      <c r="L140" s="5"/>
      <c r="M140" s="27"/>
      <c r="N140" s="5"/>
      <c r="O140" s="5" t="str">
        <v>5032164233</v>
      </c>
      <c r="P140" s="27">
        <v>1000000</v>
      </c>
      <c r="Q140" s="5" t="s">
        <v>49009</v>
      </c>
      <c r="R140" s="5"/>
      <c r="S140" s="5" t="s">
        <v>49010</v>
      </c>
      <c r="T140" s="28">
        <v>7122000</v>
      </c>
      <c r="U140" s="28">
        <v>48000</v>
      </c>
      <c r="V140" s="28">
        <v>957538000</v>
      </c>
      <c r="W140" s="28">
        <v>9200000</v>
      </c>
      <c r="X140" s="28">
        <v>9106000</v>
      </c>
      <c r="Y140" s="28">
        <v>1877772000</v>
      </c>
      <c r="Z140" s="28">
        <v>823599000</v>
      </c>
      <c r="AA140" s="28">
        <v>61600000</v>
      </c>
      <c r="AB140" s="28">
        <v>606636000</v>
      </c>
      <c r="AC140" s="28">
        <v>947799000</v>
      </c>
      <c r="AD140" s="28">
        <v>855501000</v>
      </c>
      <c r="AE140" s="28">
        <v>3005784000</v>
      </c>
      <c r="AF140" s="28">
        <v>106613000</v>
      </c>
      <c r="AG140" s="11"/>
    </row>
    <row r="141">
      <c r="A141" s="7" t="s">
        <v>1890</v>
      </c>
      <c r="B141" s="5" t="s">
        <v>9861</v>
      </c>
      <c r="C141" s="5" t="s">
        <v>17769</v>
      </c>
      <c r="D141" s="5" t="str">
        <v>780540638493</v>
      </c>
      <c r="E141" s="0" t="e">
        <f>+7 (812) 2194920</f>
        <v>#NAME?</v>
      </c>
      <c r="F141" s="5"/>
      <c r="G141" s="5"/>
      <c r="H141" s="26">
        <v>7.5</v>
      </c>
      <c r="I141" s="5" t="s">
        <v>25651</v>
      </c>
      <c r="J141" s="5" t="s">
        <v>25652</v>
      </c>
      <c r="K141" s="5" t="s">
        <v>344</v>
      </c>
      <c r="L141" s="5" t="s">
        <v>25653</v>
      </c>
      <c r="M141" s="27">
        <v>278970</v>
      </c>
      <c r="N141" s="5"/>
      <c r="O141" s="5" t="str">
        <v>7820046291</v>
      </c>
      <c r="P141" s="27">
        <v>10000</v>
      </c>
      <c r="Q141" s="5" t="s">
        <v>49021</v>
      </c>
      <c r="R141" s="5"/>
      <c r="S141" s="5" t="s">
        <v>49317</v>
      </c>
      <c r="T141" s="28">
        <v>234805000</v>
      </c>
      <c r="U141" s="28">
        <v>24215000</v>
      </c>
      <c r="V141" s="28">
        <v>580057000</v>
      </c>
      <c r="W141" s="28">
        <v>575000000</v>
      </c>
      <c r="X141" s="28">
        <v>389972000</v>
      </c>
      <c r="Y141" s="28">
        <v>1871588000</v>
      </c>
      <c r="Z141" s="28">
        <v>875292000</v>
      </c>
      <c r="AA141" s="28"/>
      <c r="AB141" s="28"/>
      <c r="AC141" s="28">
        <v>996286000</v>
      </c>
      <c r="AD141" s="28">
        <v>875302000</v>
      </c>
      <c r="AE141" s="28">
        <v>14664898000</v>
      </c>
      <c r="AF141" s="28">
        <v>863554000</v>
      </c>
      <c r="AG141" s="11"/>
    </row>
    <row r="142">
      <c r="A142" s="7" t="s">
        <v>1891</v>
      </c>
      <c r="B142" s="5" t="s">
        <v>9862</v>
      </c>
      <c r="C142" s="5" t="s">
        <v>17770</v>
      </c>
      <c r="D142" s="5"/>
      <c r="E142" s="0" t="e">
        <f>+7 (977) 8819440
+7 (812) 3808534
+7 (812) 3808594
+7 (812) 4954618
+7 (812) 6110252
+7 (812) 6110258
+7 (983) 1212326</f>
        <v>#NAME?</v>
      </c>
      <c r="F142" s="5" t="s">
        <v>25654</v>
      </c>
      <c r="G142" s="5" t="s">
        <v>25655</v>
      </c>
      <c r="H142" s="26">
        <v>9.5</v>
      </c>
      <c r="I142" s="5" t="s">
        <v>25656</v>
      </c>
      <c r="J142" s="5" t="s">
        <v>389</v>
      </c>
      <c r="K142" s="5" t="s">
        <v>344</v>
      </c>
      <c r="L142" s="5" t="s">
        <v>25657</v>
      </c>
      <c r="M142" s="27"/>
      <c r="N142" s="5" t="s">
        <v>49318</v>
      </c>
      <c r="O142" s="5" t="str">
        <v>4703134982</v>
      </c>
      <c r="P142" s="27">
        <v>20000</v>
      </c>
      <c r="Q142" s="5" t="s">
        <v>49319</v>
      </c>
      <c r="R142" s="5"/>
      <c r="S142" s="5" t="s">
        <v>49320</v>
      </c>
      <c r="T142" s="28">
        <v>31531000</v>
      </c>
      <c r="U142" s="28">
        <v>4400000</v>
      </c>
      <c r="V142" s="28">
        <v>540840000</v>
      </c>
      <c r="W142" s="28">
        <v>37330000</v>
      </c>
      <c r="X142" s="28">
        <v>25760000</v>
      </c>
      <c r="Y142" s="28">
        <v>958939000</v>
      </c>
      <c r="Z142" s="28">
        <v>57838000</v>
      </c>
      <c r="AA142" s="28">
        <v>426509000</v>
      </c>
      <c r="AB142" s="28">
        <v>297862000</v>
      </c>
      <c r="AC142" s="28">
        <v>469572000</v>
      </c>
      <c r="AD142" s="28">
        <v>62858000</v>
      </c>
      <c r="AE142" s="28">
        <v>3186719000</v>
      </c>
      <c r="AF142" s="28">
        <v>19459000</v>
      </c>
      <c r="AG142" s="11"/>
    </row>
    <row r="143">
      <c r="A143" s="7" t="s">
        <v>1892</v>
      </c>
      <c r="B143" s="5" t="s">
        <v>9863</v>
      </c>
      <c r="C143" s="5" t="s">
        <v>17771</v>
      </c>
      <c r="D143" s="5" t="str">
        <v>540363887956</v>
      </c>
      <c r="E143" s="0" t="e">
        <f>+7 (911) 9583466
+7 (921) 9526258
+7 (812) 2107119
+7 (812) 3298196
+7 (812) 4413784
+7 (812) 4585697</f>
        <v>#NAME?</v>
      </c>
      <c r="F143" s="5" t="s">
        <v>25658</v>
      </c>
      <c r="G143" s="5"/>
      <c r="H143" s="26">
        <v>10.5</v>
      </c>
      <c r="I143" s="5" t="s">
        <v>25659</v>
      </c>
      <c r="J143" s="5" t="s">
        <v>389</v>
      </c>
      <c r="K143" s="5" t="s">
        <v>344</v>
      </c>
      <c r="L143" s="5" t="s">
        <v>25660</v>
      </c>
      <c r="M143" s="27"/>
      <c r="N143" s="5" t="s">
        <v>49321</v>
      </c>
      <c r="O143" s="5" t="str">
        <v>4703128724</v>
      </c>
      <c r="P143" s="27">
        <v>10000</v>
      </c>
      <c r="Q143" s="5" t="s">
        <v>49322</v>
      </c>
      <c r="R143" s="5"/>
      <c r="S143" s="5" t="s">
        <v>49323</v>
      </c>
      <c r="T143" s="28">
        <v>112290000</v>
      </c>
      <c r="U143" s="28">
        <v>5200000</v>
      </c>
      <c r="V143" s="28">
        <v>117651000</v>
      </c>
      <c r="W143" s="28">
        <v>20586000</v>
      </c>
      <c r="X143" s="28">
        <v>64454000</v>
      </c>
      <c r="Y143" s="28">
        <v>1345893000</v>
      </c>
      <c r="Z143" s="28">
        <v>188100000</v>
      </c>
      <c r="AA143" s="28">
        <v>198039000</v>
      </c>
      <c r="AB143" s="28">
        <v>623905000</v>
      </c>
      <c r="AC143" s="28">
        <v>959007000</v>
      </c>
      <c r="AD143" s="28">
        <v>188110000</v>
      </c>
      <c r="AE143" s="28">
        <v>5915755000</v>
      </c>
      <c r="AF143" s="28">
        <v>31000000</v>
      </c>
      <c r="AG143" s="11"/>
    </row>
    <row r="144">
      <c r="A144" s="7" t="s">
        <v>1893</v>
      </c>
      <c r="B144" s="5" t="s">
        <v>9864</v>
      </c>
      <c r="C144" s="5" t="s">
        <v>17772</v>
      </c>
      <c r="D144" s="5" t="str">
        <v>507805050723</v>
      </c>
      <c r="E144" s="0" t="e">
        <f>+7 (495) 7274040
+7 (903) 5069524
+7 (495) 1061798
+7 (495) 4514813
+7 (495) 5726015
+7 (495) 7274010</f>
        <v>#NAME?</v>
      </c>
      <c r="F144" s="5"/>
      <c r="G144" s="5" t="s">
        <v>25661</v>
      </c>
      <c r="H144" s="26">
        <v>19.5</v>
      </c>
      <c r="I144" s="5" t="s">
        <v>25662</v>
      </c>
      <c r="J144" s="5" t="s">
        <v>25641</v>
      </c>
      <c r="K144" s="5" t="s">
        <v>344</v>
      </c>
      <c r="L144" s="5" t="s">
        <v>25663</v>
      </c>
      <c r="M144" s="27">
        <v>4100000</v>
      </c>
      <c r="N144" s="5"/>
      <c r="O144" s="5" t="str">
        <v>7743509560</v>
      </c>
      <c r="P144" s="27">
        <v>16010000</v>
      </c>
      <c r="Q144" s="5" t="s">
        <v>49009</v>
      </c>
      <c r="R144" s="5"/>
      <c r="S144" s="5" t="s">
        <v>49045</v>
      </c>
      <c r="T144" s="28">
        <v>239883000</v>
      </c>
      <c r="U144" s="28"/>
      <c r="V144" s="28">
        <v>103191000</v>
      </c>
      <c r="W144" s="28">
        <v>30000</v>
      </c>
      <c r="X144" s="28">
        <v>165644000</v>
      </c>
      <c r="Y144" s="28">
        <v>1225044000</v>
      </c>
      <c r="Z144" s="28">
        <v>234180000</v>
      </c>
      <c r="AA144" s="28"/>
      <c r="AB144" s="28">
        <v>516729000</v>
      </c>
      <c r="AC144" s="28">
        <v>974843000</v>
      </c>
      <c r="AD144" s="28">
        <v>250190000</v>
      </c>
      <c r="AE144" s="28">
        <v>3983099000</v>
      </c>
      <c r="AF144" s="28">
        <v>290443000</v>
      </c>
      <c r="AG144" s="11"/>
    </row>
    <row r="145">
      <c r="A145" s="7" t="s">
        <v>1894</v>
      </c>
      <c r="B145" s="5" t="s">
        <v>9865</v>
      </c>
      <c r="C145" s="5" t="s">
        <v>17773</v>
      </c>
      <c r="D145" s="5" t="str">
        <v>165009026853</v>
      </c>
      <c r="E145" s="0" t="e">
        <f>+7 (962) 5670087
+7 (962) 5671144</f>
        <v>#NAME?</v>
      </c>
      <c r="F145" s="5" t="s">
        <v>25664</v>
      </c>
      <c r="G145" s="5"/>
      <c r="H145" s="26">
        <v>16</v>
      </c>
      <c r="I145" s="5" t="s">
        <v>25665</v>
      </c>
      <c r="J145" s="5" t="s">
        <v>25666</v>
      </c>
      <c r="K145" s="5" t="s">
        <v>344</v>
      </c>
      <c r="L145" s="5" t="s">
        <v>25667</v>
      </c>
      <c r="M145" s="27">
        <v>30849</v>
      </c>
      <c r="N145" s="5"/>
      <c r="O145" s="5" t="str">
        <v>1639034661</v>
      </c>
      <c r="P145" s="27">
        <v>12000</v>
      </c>
      <c r="Q145" s="5" t="s">
        <v>49324</v>
      </c>
      <c r="R145" s="5"/>
      <c r="S145" s="5" t="s">
        <v>49325</v>
      </c>
      <c r="T145" s="28">
        <v>1295956000</v>
      </c>
      <c r="U145" s="28"/>
      <c r="V145" s="28">
        <v>1478992000</v>
      </c>
      <c r="W145" s="28">
        <v>519000</v>
      </c>
      <c r="X145" s="28">
        <v>26792000</v>
      </c>
      <c r="Y145" s="28">
        <v>2835520000</v>
      </c>
      <c r="Z145" s="28">
        <v>1077710000</v>
      </c>
      <c r="AA145" s="28">
        <v>620709000</v>
      </c>
      <c r="AB145" s="28">
        <v>1744000</v>
      </c>
      <c r="AC145" s="28">
        <v>996653000</v>
      </c>
      <c r="AD145" s="28">
        <v>1141422000</v>
      </c>
      <c r="AE145" s="28">
        <v>3262567000</v>
      </c>
      <c r="AF145" s="28">
        <v>530896000</v>
      </c>
      <c r="AG145" s="11"/>
    </row>
    <row r="146">
      <c r="A146" s="7" t="s">
        <v>1895</v>
      </c>
      <c r="B146" s="5" t="s">
        <v>9866</v>
      </c>
      <c r="C146" s="5" t="s">
        <v>17774</v>
      </c>
      <c r="D146" s="5" t="str">
        <v>772838071504</v>
      </c>
      <c r="E146" s="0" t="e">
        <f>+7 (495) 2314261
+7 (965) 2653291</f>
        <v>#NAME?</v>
      </c>
      <c r="F146" s="5" t="s">
        <v>25668</v>
      </c>
      <c r="G146" s="5"/>
      <c r="H146" s="26">
        <v>5</v>
      </c>
      <c r="I146" s="5" t="s">
        <v>25669</v>
      </c>
      <c r="J146" s="5" t="s">
        <v>25670</v>
      </c>
      <c r="K146" s="5" t="s">
        <v>344</v>
      </c>
      <c r="L146" s="5"/>
      <c r="M146" s="27"/>
      <c r="N146" s="5"/>
      <c r="O146" s="5" t="str">
        <v>7724425339</v>
      </c>
      <c r="P146" s="27">
        <v>10000</v>
      </c>
      <c r="Q146" s="5" t="s">
        <v>49009</v>
      </c>
      <c r="R146" s="5" t="s">
        <v>49326</v>
      </c>
      <c r="S146" s="5" t="s">
        <v>49010</v>
      </c>
      <c r="T146" s="28">
        <v>54796000</v>
      </c>
      <c r="U146" s="28"/>
      <c r="V146" s="28">
        <v>3897886000</v>
      </c>
      <c r="W146" s="28"/>
      <c r="X146" s="28">
        <v>266601000</v>
      </c>
      <c r="Y146" s="28">
        <v>4241666000</v>
      </c>
      <c r="Z146" s="28">
        <v>274426000</v>
      </c>
      <c r="AA146" s="28">
        <v>450000000</v>
      </c>
      <c r="AB146" s="28"/>
      <c r="AC146" s="28">
        <v>1591905000</v>
      </c>
      <c r="AD146" s="28">
        <v>274438000</v>
      </c>
      <c r="AE146" s="28">
        <v>6128056000</v>
      </c>
      <c r="AF146" s="28">
        <v>133369000</v>
      </c>
      <c r="AG146" s="11"/>
    </row>
    <row r="147">
      <c r="A147" s="7" t="s">
        <v>1896</v>
      </c>
      <c r="B147" s="5" t="s">
        <v>9867</v>
      </c>
      <c r="C147" s="5" t="s">
        <v>17775</v>
      </c>
      <c r="D147" s="5" t="str">
        <v>772631463424</v>
      </c>
      <c r="E147" s="0" t="e">
        <f>+7 (495) 1247855
+7 (495) 1342777
+7 (495) 7707790
+7 (495) 7900790
+7 (800) 3029945
+7 (800) 3500362
+7 (495) 2870050
+7 (495) 2870055
+7 (495) 5056245
+7 (495) 5056247
+7 (495) 6411718
+7 (495) 6464477
+7 (495) 7211631
+7 (495) 7448777
+7 (495) 7907790</f>
        <v>#NAME?</v>
      </c>
      <c r="F147" s="5" t="s">
        <v>25671</v>
      </c>
      <c r="G147" s="5" t="s">
        <v>25672</v>
      </c>
      <c r="H147" s="26">
        <v>2.5</v>
      </c>
      <c r="I147" s="5" t="s">
        <v>25673</v>
      </c>
      <c r="J147" s="5" t="s">
        <v>25674</v>
      </c>
      <c r="K147" s="5" t="s">
        <v>344</v>
      </c>
      <c r="L147" s="5" t="s">
        <v>25675</v>
      </c>
      <c r="M147" s="27">
        <v>3109634</v>
      </c>
      <c r="N147" s="5" t="s">
        <v>49327</v>
      </c>
      <c r="O147" s="5" t="str">
        <v>7714461708</v>
      </c>
      <c r="P147" s="27">
        <v>10000</v>
      </c>
      <c r="Q147" s="5" t="s">
        <v>49328</v>
      </c>
      <c r="R147" s="5" t="s">
        <v>49329</v>
      </c>
      <c r="S147" s="5" t="s">
        <v>49330</v>
      </c>
      <c r="T147" s="28">
        <v>1704851000</v>
      </c>
      <c r="U147" s="28"/>
      <c r="V147" s="28">
        <v>655260000</v>
      </c>
      <c r="W147" s="28"/>
      <c r="X147" s="28">
        <v>1292427000</v>
      </c>
      <c r="Y147" s="28">
        <v>9637778000</v>
      </c>
      <c r="Z147" s="28">
        <v>891221000</v>
      </c>
      <c r="AA147" s="28">
        <v>1670000000</v>
      </c>
      <c r="AB147" s="28">
        <v>812923000</v>
      </c>
      <c r="AC147" s="28">
        <v>6377128000</v>
      </c>
      <c r="AD147" s="28">
        <v>891231000</v>
      </c>
      <c r="AE147" s="28">
        <v>21637456000</v>
      </c>
      <c r="AF147" s="28">
        <v>345256000</v>
      </c>
      <c r="AG147" s="11"/>
    </row>
    <row r="148">
      <c r="A148" s="7" t="s">
        <v>1897</v>
      </c>
      <c r="B148" s="5" t="s">
        <v>9868</v>
      </c>
      <c r="C148" s="5" t="s">
        <v>17776</v>
      </c>
      <c r="D148" s="5" t="str">
        <v>524096423167</v>
      </c>
      <c r="F148" s="5"/>
      <c r="G148" s="5" t="s">
        <v>25676</v>
      </c>
      <c r="H148" s="26">
        <v>2.5</v>
      </c>
      <c r="I148" s="5" t="s">
        <v>25677</v>
      </c>
      <c r="J148" s="5" t="s">
        <v>25259</v>
      </c>
      <c r="K148" s="5" t="s">
        <v>344</v>
      </c>
      <c r="L148" s="5"/>
      <c r="M148" s="27"/>
      <c r="N148" s="5"/>
      <c r="O148" s="5" t="str">
        <v>5260473657</v>
      </c>
      <c r="P148" s="27">
        <v>10000</v>
      </c>
      <c r="Q148" s="5" t="s">
        <v>49331</v>
      </c>
      <c r="R148" s="5"/>
      <c r="S148" s="5" t="s">
        <v>49332</v>
      </c>
      <c r="T148" s="28">
        <v>192697000</v>
      </c>
      <c r="U148" s="28"/>
      <c r="V148" s="28">
        <v>244207000</v>
      </c>
      <c r="W148" s="28">
        <v>80001000</v>
      </c>
      <c r="X148" s="28">
        <v>64639000</v>
      </c>
      <c r="Y148" s="28">
        <v>1717542000</v>
      </c>
      <c r="Z148" s="28">
        <v>66208000</v>
      </c>
      <c r="AA148" s="28"/>
      <c r="AB148" s="28">
        <v>370954000</v>
      </c>
      <c r="AC148" s="28">
        <v>1443458000</v>
      </c>
      <c r="AD148" s="28">
        <v>66218000</v>
      </c>
      <c r="AE148" s="28">
        <v>4858458000</v>
      </c>
      <c r="AF148" s="28">
        <v>39445000</v>
      </c>
      <c r="AG148" s="11"/>
    </row>
    <row r="149">
      <c r="A149" s="7" t="s">
        <v>1898</v>
      </c>
      <c r="B149" s="5" t="s">
        <v>9869</v>
      </c>
      <c r="C149" s="5" t="s">
        <v>17777</v>
      </c>
      <c r="D149" s="5" t="str">
        <v>772489006788</v>
      </c>
      <c r="E149" s="0" t="e">
        <f>+7 (495) 2761513
+7 (495) 2761521
+7 (495) 2761524
+7 (495) 2761564
+7 (495) 2761717
+7 (495) 3163001
+7 (495) 3302188
+7 (495) 3354010
+7 (495) 3368038
+7 (495) 4227501
+7 (495) 4356251
+7 (495) 7149449
+7 (495) 7160200
+7 (495) 7530702
+7 (499) 1239999</f>
        <v>#NAME?</v>
      </c>
      <c r="F149" s="5" t="s">
        <v>25678</v>
      </c>
      <c r="G149" s="5" t="s">
        <v>25679</v>
      </c>
      <c r="H149" s="26">
        <v>23.5</v>
      </c>
      <c r="I149" s="5" t="s">
        <v>25680</v>
      </c>
      <c r="J149" s="5" t="s">
        <v>25550</v>
      </c>
      <c r="K149" s="5" t="s">
        <v>344</v>
      </c>
      <c r="L149" s="5" t="s">
        <v>25681</v>
      </c>
      <c r="M149" s="27"/>
      <c r="N149" s="5" t="s">
        <v>49333</v>
      </c>
      <c r="O149" s="5" t="str">
        <v>7728187283</v>
      </c>
      <c r="P149" s="27">
        <v>10000</v>
      </c>
      <c r="Q149" s="5" t="s">
        <v>49021</v>
      </c>
      <c r="R149" s="5"/>
      <c r="S149" s="5" t="s">
        <v>49334</v>
      </c>
      <c r="T149" s="28">
        <v>138090000</v>
      </c>
      <c r="U149" s="28"/>
      <c r="V149" s="28">
        <v>4503608000</v>
      </c>
      <c r="W149" s="28"/>
      <c r="X149" s="28">
        <v>124599000</v>
      </c>
      <c r="Y149" s="28">
        <v>9562327000</v>
      </c>
      <c r="Z149" s="28">
        <v>2182915000</v>
      </c>
      <c r="AA149" s="28">
        <v>4819900000</v>
      </c>
      <c r="AB149" s="28">
        <v>4962000</v>
      </c>
      <c r="AC149" s="28">
        <v>2556193000</v>
      </c>
      <c r="AD149" s="28">
        <v>2182925000</v>
      </c>
      <c r="AE149" s="28">
        <v>26592966000</v>
      </c>
      <c r="AF149" s="28">
        <v>3236077000</v>
      </c>
      <c r="AG149" s="11"/>
    </row>
    <row r="150">
      <c r="A150" s="7" t="s">
        <v>1899</v>
      </c>
      <c r="B150" s="5" t="s">
        <v>9870</v>
      </c>
      <c r="C150" s="5" t="s">
        <v>17778</v>
      </c>
      <c r="D150" s="5" t="str">
        <v>366300936461</v>
      </c>
      <c r="E150" s="0" t="e">
        <f>+7 (495) 3356058
+7 (495) 7160440
+7 (495) 7330966
+7 (499) 1231072
+7 (499) 7891220</f>
        <v>#NAME?</v>
      </c>
      <c r="F150" s="5"/>
      <c r="G150" s="5" t="s">
        <v>25682</v>
      </c>
      <c r="H150" s="26">
        <v>23.5</v>
      </c>
      <c r="I150" s="5" t="s">
        <v>25680</v>
      </c>
      <c r="J150" s="5" t="s">
        <v>25683</v>
      </c>
      <c r="K150" s="5" t="s">
        <v>344</v>
      </c>
      <c r="L150" s="5" t="s">
        <v>25684</v>
      </c>
      <c r="M150" s="27"/>
      <c r="N150" s="5" t="s">
        <v>49335</v>
      </c>
      <c r="O150" s="5" t="str">
        <v>7727168520</v>
      </c>
      <c r="P150" s="27">
        <v>10000</v>
      </c>
      <c r="Q150" s="5" t="s">
        <v>49021</v>
      </c>
      <c r="R150" s="5"/>
      <c r="S150" s="5" t="s">
        <v>49337</v>
      </c>
      <c r="T150" s="28">
        <v>156257000</v>
      </c>
      <c r="U150" s="28"/>
      <c r="V150" s="28">
        <v>1321494000</v>
      </c>
      <c r="W150" s="28"/>
      <c r="X150" s="28">
        <v>110040000</v>
      </c>
      <c r="Y150" s="28">
        <v>4856350000</v>
      </c>
      <c r="Z150" s="28">
        <v>382447000</v>
      </c>
      <c r="AA150" s="28">
        <v>1450365000</v>
      </c>
      <c r="AB150" s="28">
        <v>803000</v>
      </c>
      <c r="AC150" s="28">
        <v>3020305000</v>
      </c>
      <c r="AD150" s="28">
        <v>382457000</v>
      </c>
      <c r="AE150" s="28">
        <v>15705555000</v>
      </c>
      <c r="AF150" s="28">
        <v>1245185000</v>
      </c>
      <c r="AG150" s="11"/>
    </row>
    <row r="151">
      <c r="A151" s="7" t="s">
        <v>1900</v>
      </c>
      <c r="B151" s="5" t="s">
        <v>9871</v>
      </c>
      <c r="C151" s="5" t="s">
        <v>17779</v>
      </c>
      <c r="D151" s="5" t="str">
        <v>504904979126</v>
      </c>
      <c r="E151" s="0" t="e">
        <f>+7 (495) 2291100
+7 (495) 2554062
+7 (495) 2554298
+7 (495) 7880803</f>
        <v>#NAME?</v>
      </c>
      <c r="F151" s="5"/>
      <c r="G151" s="5"/>
      <c r="H151" s="26">
        <v>12.5</v>
      </c>
      <c r="I151" s="5" t="s">
        <v>25685</v>
      </c>
      <c r="J151" s="5" t="s">
        <v>389</v>
      </c>
      <c r="K151" s="5" t="s">
        <v>344</v>
      </c>
      <c r="L151" s="5" t="s">
        <v>25686</v>
      </c>
      <c r="M151" s="27"/>
      <c r="N151" s="5"/>
      <c r="O151" s="5" t="str">
        <v>7728741350</v>
      </c>
      <c r="P151" s="27">
        <v>1130100000</v>
      </c>
      <c r="Q151" s="5" t="s">
        <v>49009</v>
      </c>
      <c r="R151" s="5"/>
      <c r="S151" s="5" t="s">
        <v>49012</v>
      </c>
      <c r="T151" s="28">
        <v>644946000</v>
      </c>
      <c r="U151" s="28">
        <v>552288000</v>
      </c>
      <c r="V151" s="28">
        <v>1500878000</v>
      </c>
      <c r="W151" s="28"/>
      <c r="X151" s="28">
        <v>8438000</v>
      </c>
      <c r="Y151" s="28">
        <v>3386604000</v>
      </c>
      <c r="Z151" s="28">
        <v>121728000</v>
      </c>
      <c r="AA151" s="28">
        <v>742328000</v>
      </c>
      <c r="AB151" s="28">
        <v>542654000</v>
      </c>
      <c r="AC151" s="28">
        <v>703590000</v>
      </c>
      <c r="AD151" s="28">
        <v>1251828000</v>
      </c>
      <c r="AE151" s="28">
        <v>4112050000</v>
      </c>
      <c r="AF151" s="28">
        <v>435270000</v>
      </c>
      <c r="AG151" s="11"/>
    </row>
    <row r="152">
      <c r="A152" s="7" t="s">
        <v>1901</v>
      </c>
      <c r="B152" s="5" t="s">
        <v>9872</v>
      </c>
      <c r="C152" s="5" t="s">
        <v>17780</v>
      </c>
      <c r="D152" s="5" t="str">
        <v>380801910233</v>
      </c>
      <c r="E152" s="0" t="e">
        <f>+7 (499) 6734457
+7 (499) 6734467
+7 (915) 2169248</f>
        <v>#NAME?</v>
      </c>
      <c r="F152" s="5"/>
      <c r="G152" s="5"/>
      <c r="H152" s="26">
        <v>8.5</v>
      </c>
      <c r="I152" s="5"/>
      <c r="J152" s="5" t="s">
        <v>25559</v>
      </c>
      <c r="K152" s="5" t="s">
        <v>344</v>
      </c>
      <c r="L152" s="5" t="s">
        <v>25687</v>
      </c>
      <c r="M152" s="27"/>
      <c r="N152" s="5"/>
      <c r="O152" s="5" t="str">
        <v>7731481119</v>
      </c>
      <c r="P152" s="27">
        <v>10000</v>
      </c>
      <c r="Q152" s="5"/>
      <c r="R152" s="5"/>
      <c r="S152" s="5" t="s">
        <v>49029</v>
      </c>
      <c r="T152" s="28">
        <v>10878000</v>
      </c>
      <c r="U152" s="28"/>
      <c r="V152" s="28">
        <v>894466000</v>
      </c>
      <c r="W152" s="28">
        <v>332767000</v>
      </c>
      <c r="X152" s="28">
        <v>577000</v>
      </c>
      <c r="Y152" s="28">
        <v>1298842000</v>
      </c>
      <c r="Z152" s="28">
        <v>469454000</v>
      </c>
      <c r="AA152" s="28"/>
      <c r="AB152" s="28"/>
      <c r="AC152" s="28">
        <v>822848000</v>
      </c>
      <c r="AD152" s="28">
        <v>469464000</v>
      </c>
      <c r="AE152" s="28">
        <v>3195283000</v>
      </c>
      <c r="AF152" s="28">
        <v>92946000</v>
      </c>
      <c r="AG152" s="11"/>
    </row>
    <row r="153">
      <c r="A153" s="7" t="s">
        <v>1902</v>
      </c>
      <c r="B153" s="5" t="s">
        <v>9873</v>
      </c>
      <c r="C153" s="5" t="s">
        <v>17781</v>
      </c>
      <c r="D153" s="5" t="str">
        <v>780163212883</v>
      </c>
      <c r="E153" s="0" t="e">
        <f>+7 (812) 7779214
+7 (812) 7779247
+7 (812) 7779277
+7 (816) 2500525
+7 (816) 2603525</f>
        <v>#NAME?</v>
      </c>
      <c r="F153" s="5"/>
      <c r="G153" s="5" t="s">
        <v>25688</v>
      </c>
      <c r="H153" s="26">
        <v>3.5</v>
      </c>
      <c r="I153" s="5" t="s">
        <v>25689</v>
      </c>
      <c r="J153" s="5" t="s">
        <v>389</v>
      </c>
      <c r="K153" s="5" t="s">
        <v>355</v>
      </c>
      <c r="L153" s="5" t="s">
        <v>25690</v>
      </c>
      <c r="M153" s="27"/>
      <c r="N153" s="5"/>
      <c r="O153" s="5" t="str">
        <v>7805752165</v>
      </c>
      <c r="P153" s="27">
        <v>10000</v>
      </c>
      <c r="Q153" s="5" t="s">
        <v>49009</v>
      </c>
      <c r="R153" s="5"/>
      <c r="S153" s="5" t="s">
        <v>49010</v>
      </c>
      <c r="T153" s="28">
        <v>211345000</v>
      </c>
      <c r="U153" s="28"/>
      <c r="V153" s="28">
        <v>212702000</v>
      </c>
      <c r="W153" s="28">
        <v>40000000</v>
      </c>
      <c r="X153" s="28">
        <v>13906000</v>
      </c>
      <c r="Y153" s="28">
        <v>1031728000</v>
      </c>
      <c r="Z153" s="28">
        <v>183993000</v>
      </c>
      <c r="AA153" s="28"/>
      <c r="AB153" s="28">
        <v>578782000</v>
      </c>
      <c r="AC153" s="28">
        <v>608792000</v>
      </c>
      <c r="AD153" s="28">
        <v>184003000</v>
      </c>
      <c r="AE153" s="28">
        <v>3117334000</v>
      </c>
      <c r="AF153" s="28">
        <v>27361000</v>
      </c>
      <c r="AG153" s="11"/>
    </row>
    <row r="154">
      <c r="A154" s="7" t="s">
        <v>1903</v>
      </c>
      <c r="B154" s="5" t="s">
        <v>9874</v>
      </c>
      <c r="C154" s="5" t="s">
        <v>17782</v>
      </c>
      <c r="D154" s="5" t="str">
        <v>504707235858</v>
      </c>
      <c r="E154" s="0" t="e">
        <f>+7 (495) 2349009
+7 (495) 2349942
+7 (499) 2349942</f>
        <v>#NAME?</v>
      </c>
      <c r="F154" s="5" t="s">
        <v>25691</v>
      </c>
      <c r="G154" s="5" t="s">
        <v>25692</v>
      </c>
      <c r="H154" s="26">
        <v>16.5</v>
      </c>
      <c r="I154" s="5" t="s">
        <v>25693</v>
      </c>
      <c r="J154" s="5" t="s">
        <v>678</v>
      </c>
      <c r="K154" s="5" t="s">
        <v>344</v>
      </c>
      <c r="L154" s="5" t="s">
        <v>25694</v>
      </c>
      <c r="M154" s="27">
        <v>10251602</v>
      </c>
      <c r="N154" s="5"/>
      <c r="O154" s="5" t="str">
        <v>7721568730</v>
      </c>
      <c r="P154" s="27">
        <v>17862</v>
      </c>
      <c r="Q154" s="5" t="s">
        <v>416</v>
      </c>
      <c r="R154" s="5"/>
      <c r="S154" s="5" t="s">
        <v>49338</v>
      </c>
      <c r="T154" s="28">
        <v>571158000</v>
      </c>
      <c r="U154" s="28"/>
      <c r="V154" s="28">
        <v>248744000</v>
      </c>
      <c r="W154" s="28"/>
      <c r="X154" s="28">
        <v>16290000</v>
      </c>
      <c r="Y154" s="28">
        <v>1933940000</v>
      </c>
      <c r="Z154" s="28">
        <v>255136000</v>
      </c>
      <c r="AA154" s="28"/>
      <c r="AB154" s="28">
        <v>545846000</v>
      </c>
      <c r="AC154" s="28">
        <v>956009000</v>
      </c>
      <c r="AD154" s="28">
        <v>255154000</v>
      </c>
      <c r="AE154" s="28">
        <v>7804506000</v>
      </c>
      <c r="AF154" s="28">
        <v>65925000</v>
      </c>
      <c r="AG154" s="11"/>
    </row>
    <row r="155">
      <c r="A155" s="7" t="s">
        <v>1904</v>
      </c>
      <c r="B155" s="5" t="s">
        <v>9875</v>
      </c>
      <c r="C155" s="5" t="s">
        <v>17783</v>
      </c>
      <c r="D155" s="5" t="str">
        <v>532129323090</v>
      </c>
      <c r="E155" s="0" t="e">
        <f>+7 (816) 2776158
+7 (911) 6001398
+7 (911) 6141571</f>
        <v>#NAME?</v>
      </c>
      <c r="F155" s="5" t="s">
        <v>25695</v>
      </c>
      <c r="G155" s="5"/>
      <c r="H155" s="26">
        <v>10.5</v>
      </c>
      <c r="I155" s="5" t="s">
        <v>25696</v>
      </c>
      <c r="J155" s="5" t="s">
        <v>423</v>
      </c>
      <c r="K155" s="5" t="s">
        <v>344</v>
      </c>
      <c r="L155" s="5" t="s">
        <v>25697</v>
      </c>
      <c r="M155" s="27">
        <v>1570842</v>
      </c>
      <c r="N155" s="5" t="s">
        <v>49339</v>
      </c>
      <c r="O155" s="5" t="str">
        <v>5321158165</v>
      </c>
      <c r="P155" s="27">
        <v>10000000</v>
      </c>
      <c r="Q155" s="5" t="s">
        <v>49340</v>
      </c>
      <c r="R155" s="5"/>
      <c r="S155" s="5" t="s">
        <v>49341</v>
      </c>
      <c r="T155" s="28">
        <v>13246000</v>
      </c>
      <c r="U155" s="28"/>
      <c r="V155" s="28">
        <v>1978263000</v>
      </c>
      <c r="W155" s="28">
        <v>27650000</v>
      </c>
      <c r="X155" s="28">
        <v>99080000</v>
      </c>
      <c r="Y155" s="28">
        <v>3077553000</v>
      </c>
      <c r="Z155" s="28">
        <v>1117327000</v>
      </c>
      <c r="AA155" s="28"/>
      <c r="AB155" s="28">
        <v>92600000</v>
      </c>
      <c r="AC155" s="28">
        <v>1893958000</v>
      </c>
      <c r="AD155" s="28">
        <v>1127327000</v>
      </c>
      <c r="AE155" s="28">
        <v>12116396000</v>
      </c>
      <c r="AF155" s="28">
        <v>2237263000</v>
      </c>
      <c r="AG155" s="11"/>
    </row>
    <row r="156">
      <c r="A156" s="7" t="s">
        <v>1905</v>
      </c>
      <c r="B156" s="5" t="s">
        <v>9876</v>
      </c>
      <c r="C156" s="5" t="s">
        <v>17784</v>
      </c>
      <c r="D156" s="5" t="str">
        <v>470320307822</v>
      </c>
      <c r="E156" s="0" t="e">
        <f>+7 (495) 3800628
+7 (495) 7877785
+7 (800) 2000628
+7 (812) 3659996
+7 (812) 7031160
+7 (915) 1473964
+7 (916) 1329663</f>
        <v>#NAME?</v>
      </c>
      <c r="F156" s="5" t="s">
        <v>25698</v>
      </c>
      <c r="G156" s="5"/>
      <c r="H156" s="26">
        <v>7</v>
      </c>
      <c r="I156" s="5" t="s">
        <v>25699</v>
      </c>
      <c r="J156" s="5" t="s">
        <v>976</v>
      </c>
      <c r="K156" s="5" t="s">
        <v>344</v>
      </c>
      <c r="L156" s="5" t="s">
        <v>25700</v>
      </c>
      <c r="M156" s="27">
        <v>4555969</v>
      </c>
      <c r="N156" s="5" t="s">
        <v>49342</v>
      </c>
      <c r="O156" s="5" t="str">
        <v>9718003558</v>
      </c>
      <c r="P156" s="27">
        <v>10000</v>
      </c>
      <c r="Q156" s="5" t="s">
        <v>49343</v>
      </c>
      <c r="R156" s="5"/>
      <c r="S156" s="5" t="s">
        <v>49344</v>
      </c>
      <c r="T156" s="28">
        <v>50369000</v>
      </c>
      <c r="U156" s="28">
        <v>14000</v>
      </c>
      <c r="V156" s="28">
        <v>1625324000</v>
      </c>
      <c r="W156" s="28">
        <v>152968000</v>
      </c>
      <c r="X156" s="28">
        <v>2849000</v>
      </c>
      <c r="Y156" s="28">
        <v>2462576000</v>
      </c>
      <c r="Z156" s="28">
        <v>57891000</v>
      </c>
      <c r="AA156" s="28"/>
      <c r="AB156" s="28">
        <v>100029000</v>
      </c>
      <c r="AC156" s="28">
        <v>2404513000</v>
      </c>
      <c r="AD156" s="28">
        <v>57901000</v>
      </c>
      <c r="AE156" s="28">
        <v>5487427000</v>
      </c>
      <c r="AF156" s="28">
        <v>6748000</v>
      </c>
      <c r="AG156" s="11"/>
    </row>
    <row r="157">
      <c r="A157" s="7" t="s">
        <v>1906</v>
      </c>
      <c r="B157" s="5" t="s">
        <v>9877</v>
      </c>
      <c r="C157" s="5" t="s">
        <v>17785</v>
      </c>
      <c r="D157" s="5" t="str">
        <v>525200313214</v>
      </c>
      <c r="E157" s="0" t="e">
        <f>+7 (831) 2829022</f>
        <v>#NAME?</v>
      </c>
      <c r="F157" s="5" t="s">
        <v>25701</v>
      </c>
      <c r="G157" s="5" t="s">
        <v>25702</v>
      </c>
      <c r="H157" s="26">
        <v>20</v>
      </c>
      <c r="I157" s="5" t="s">
        <v>25703</v>
      </c>
      <c r="J157" s="5" t="s">
        <v>423</v>
      </c>
      <c r="K157" s="5" t="s">
        <v>344</v>
      </c>
      <c r="L157" s="5" t="s">
        <v>25704</v>
      </c>
      <c r="M157" s="27">
        <v>840754</v>
      </c>
      <c r="N157" s="5" t="s">
        <v>49345</v>
      </c>
      <c r="O157" s="5" t="str">
        <v>5252013092</v>
      </c>
      <c r="P157" s="27">
        <v>30000</v>
      </c>
      <c r="Q157" s="5" t="s">
        <v>49346</v>
      </c>
      <c r="R157" s="5"/>
      <c r="S157" s="5" t="s">
        <v>49347</v>
      </c>
      <c r="T157" s="28">
        <v>9535000</v>
      </c>
      <c r="U157" s="28">
        <v>28125000</v>
      </c>
      <c r="V157" s="28">
        <v>886418000</v>
      </c>
      <c r="W157" s="28">
        <v>66124000</v>
      </c>
      <c r="X157" s="28">
        <v>511208000</v>
      </c>
      <c r="Y157" s="28">
        <v>2333699000</v>
      </c>
      <c r="Z157" s="28">
        <v>467120000</v>
      </c>
      <c r="AA157" s="28"/>
      <c r="AB157" s="28">
        <v>1097394000</v>
      </c>
      <c r="AC157" s="28">
        <v>1862915000</v>
      </c>
      <c r="AD157" s="28">
        <v>467151000</v>
      </c>
      <c r="AE157" s="28">
        <v>4423785000</v>
      </c>
      <c r="AF157" s="28">
        <v>268399000</v>
      </c>
      <c r="AG157" s="11"/>
    </row>
    <row r="158">
      <c r="A158" s="7" t="s">
        <v>1907</v>
      </c>
      <c r="B158" s="5" t="s">
        <v>9878</v>
      </c>
      <c r="C158" s="5" t="s">
        <v>17786</v>
      </c>
      <c r="D158" s="5" t="str">
        <v>391502377270</v>
      </c>
      <c r="E158" s="0" t="e">
        <f>+7 (495) 6244891
+7 (401) 2590002
+7 (401) 2590012
+7 (401) 2590016
+7 (401) 2916027
+7 (401) 2916143
+7 (401) 2937638
+7 (495) 6241611
+7 (495) 6244666
+7 (495) 9231411
+7 (495) 9244891
+7 (962) 2525436</f>
        <v>#NAME?</v>
      </c>
      <c r="F158" s="5" t="s">
        <v>25705</v>
      </c>
      <c r="G158" s="5" t="s">
        <v>25706</v>
      </c>
      <c r="H158" s="26">
        <v>28</v>
      </c>
      <c r="I158" s="5"/>
      <c r="J158" s="5" t="s">
        <v>25571</v>
      </c>
      <c r="K158" s="5" t="s">
        <v>355</v>
      </c>
      <c r="L158" s="5"/>
      <c r="M158" s="27"/>
      <c r="N158" s="5"/>
      <c r="O158" s="5" t="str">
        <v>3905011678</v>
      </c>
      <c r="P158" s="27">
        <v>94300</v>
      </c>
      <c r="Q158" s="5"/>
      <c r="R158" s="5"/>
      <c r="S158" s="5" t="s">
        <v>49348</v>
      </c>
      <c r="T158" s="28">
        <v>83775000</v>
      </c>
      <c r="U158" s="28">
        <v>30200000</v>
      </c>
      <c r="V158" s="28">
        <v>126769000</v>
      </c>
      <c r="W158" s="28">
        <v>1200849000</v>
      </c>
      <c r="X158" s="28">
        <v>136309000</v>
      </c>
      <c r="Y158" s="28">
        <v>2578420000</v>
      </c>
      <c r="Z158" s="28">
        <v>-175307000</v>
      </c>
      <c r="AA158" s="28"/>
      <c r="AB158" s="28">
        <v>3000000</v>
      </c>
      <c r="AC158" s="28">
        <v>2753633000</v>
      </c>
      <c r="AD158" s="28">
        <v>-174977000</v>
      </c>
      <c r="AE158" s="28">
        <v>9478757000</v>
      </c>
      <c r="AF158" s="28">
        <v>-563530000</v>
      </c>
      <c r="AG158" s="11"/>
    </row>
    <row r="159">
      <c r="A159" s="7" t="s">
        <v>1908</v>
      </c>
      <c r="B159" s="5" t="s">
        <v>9879</v>
      </c>
      <c r="C159" s="5" t="s">
        <v>17787</v>
      </c>
      <c r="D159" s="5" t="str">
        <v>744710013743</v>
      </c>
      <c r="E159" s="0" t="e">
        <f>+7 (3512) 102202</f>
        <v>#NAME?</v>
      </c>
      <c r="F159" s="5" t="s">
        <v>25707</v>
      </c>
      <c r="G159" s="5"/>
      <c r="H159" s="26">
        <v>12.5</v>
      </c>
      <c r="I159" s="5" t="s">
        <v>25708</v>
      </c>
      <c r="J159" s="5" t="s">
        <v>533</v>
      </c>
      <c r="K159" s="5" t="s">
        <v>380</v>
      </c>
      <c r="L159" s="5" t="s">
        <v>25709</v>
      </c>
      <c r="M159" s="27">
        <v>1613772</v>
      </c>
      <c r="N159" s="5"/>
      <c r="O159" s="5" t="str">
        <v>7451302600</v>
      </c>
      <c r="P159" s="27">
        <v>30000</v>
      </c>
      <c r="Q159" s="5" t="s">
        <v>49009</v>
      </c>
      <c r="R159" s="5"/>
      <c r="S159" s="5" t="s">
        <v>49010</v>
      </c>
      <c r="T159" s="28">
        <v>6381706000</v>
      </c>
      <c r="U159" s="28"/>
      <c r="V159" s="28">
        <v>1438386000</v>
      </c>
      <c r="W159" s="28"/>
      <c r="X159" s="28">
        <v>1396000</v>
      </c>
      <c r="Y159" s="28">
        <v>8281514000</v>
      </c>
      <c r="Z159" s="28">
        <v>3646232000</v>
      </c>
      <c r="AA159" s="28">
        <v>1692621000</v>
      </c>
      <c r="AB159" s="28"/>
      <c r="AC159" s="28">
        <v>1914645000</v>
      </c>
      <c r="AD159" s="28">
        <v>3646262000</v>
      </c>
      <c r="AE159" s="28">
        <v>17850925000</v>
      </c>
      <c r="AF159" s="28">
        <v>898918000</v>
      </c>
      <c r="AG159" s="11"/>
    </row>
    <row r="160">
      <c r="A160" s="7" t="s">
        <v>1909</v>
      </c>
      <c r="B160" s="5" t="s">
        <v>9880</v>
      </c>
      <c r="C160" s="5" t="s">
        <v>17788</v>
      </c>
      <c r="D160" s="5" t="str">
        <v>591118450977</v>
      </c>
      <c r="E160" s="0" t="e">
        <f>+7 (342) 4296939
+7 (342) 4429500
+7 (34242) 95001
+7 (34242) 95027
+7 (34242) 95063
+7 (34253) 62918
+7 (495) 7880999</f>
        <v>#NAME?</v>
      </c>
      <c r="F160" s="5" t="s">
        <v>25710</v>
      </c>
      <c r="G160" s="5"/>
      <c r="H160" s="26">
        <v>11.5</v>
      </c>
      <c r="I160" s="5" t="s">
        <v>25711</v>
      </c>
      <c r="J160" s="5" t="s">
        <v>25712</v>
      </c>
      <c r="K160" s="5" t="s">
        <v>344</v>
      </c>
      <c r="L160" s="5" t="s">
        <v>25713</v>
      </c>
      <c r="M160" s="27">
        <v>291366</v>
      </c>
      <c r="N160" s="5" t="s">
        <v>49350</v>
      </c>
      <c r="O160" s="5" t="str">
        <v>5911065178</v>
      </c>
      <c r="P160" s="27">
        <v>189010000</v>
      </c>
      <c r="Q160" s="5" t="s">
        <v>49059</v>
      </c>
      <c r="R160" s="5"/>
      <c r="S160" s="5" t="s">
        <v>49110</v>
      </c>
      <c r="T160" s="28">
        <v>1907108000</v>
      </c>
      <c r="U160" s="28"/>
      <c r="V160" s="28">
        <v>251244000</v>
      </c>
      <c r="W160" s="28"/>
      <c r="X160" s="28">
        <v>1945000</v>
      </c>
      <c r="Y160" s="28">
        <v>2461015000</v>
      </c>
      <c r="Z160" s="28">
        <v>1102192000</v>
      </c>
      <c r="AA160" s="28"/>
      <c r="AB160" s="28">
        <v>240130000</v>
      </c>
      <c r="AC160" s="28">
        <v>694015000</v>
      </c>
      <c r="AD160" s="28">
        <v>1366172000</v>
      </c>
      <c r="AE160" s="28">
        <v>3190422000</v>
      </c>
      <c r="AF160" s="28">
        <v>154831000</v>
      </c>
      <c r="AG160" s="11"/>
    </row>
    <row r="161">
      <c r="A161" s="7" t="s">
        <v>1910</v>
      </c>
      <c r="B161" s="5" t="s">
        <v>9881</v>
      </c>
      <c r="C161" s="5" t="s">
        <v>17789</v>
      </c>
      <c r="D161" s="5" t="str">
        <v>644106063200</v>
      </c>
      <c r="E161" s="0" t="e">
        <f>+7 (84593) 51491
+7 (937) 9790555
+7 (8452) 245803
+7 (84593) 50862
+7 (84593) 53535
+7 (84593) 60952
+7 (84593) 60953</f>
        <v>#NAME?</v>
      </c>
      <c r="F161" s="5" t="s">
        <v>25714</v>
      </c>
      <c r="G161" s="5"/>
      <c r="H161" s="26">
        <v>24.5</v>
      </c>
      <c r="I161" s="5" t="s">
        <v>25715</v>
      </c>
      <c r="J161" s="5" t="s">
        <v>467</v>
      </c>
      <c r="K161" s="5" t="s">
        <v>344</v>
      </c>
      <c r="L161" s="5" t="s">
        <v>25716</v>
      </c>
      <c r="M161" s="27">
        <v>2146641</v>
      </c>
      <c r="N161" s="5" t="s">
        <v>49352</v>
      </c>
      <c r="O161" s="5" t="str">
        <v>6441008893</v>
      </c>
      <c r="P161" s="27">
        <v>20000</v>
      </c>
      <c r="Q161" s="5" t="s">
        <v>49353</v>
      </c>
      <c r="R161" s="5"/>
      <c r="S161" s="5" t="s">
        <v>49354</v>
      </c>
      <c r="T161" s="28">
        <v>1518560000</v>
      </c>
      <c r="U161" s="28"/>
      <c r="V161" s="28">
        <v>715529000</v>
      </c>
      <c r="W161" s="28">
        <v>800950000</v>
      </c>
      <c r="X161" s="28">
        <v>205712000</v>
      </c>
      <c r="Y161" s="28">
        <v>4775183000</v>
      </c>
      <c r="Z161" s="28">
        <v>2781369000</v>
      </c>
      <c r="AA161" s="28">
        <v>88150000</v>
      </c>
      <c r="AB161" s="28"/>
      <c r="AC161" s="28">
        <v>1549880000</v>
      </c>
      <c r="AD161" s="28">
        <v>2781389000</v>
      </c>
      <c r="AE161" s="28">
        <v>7980761000</v>
      </c>
      <c r="AF161" s="28">
        <v>1024224000</v>
      </c>
      <c r="AG161" s="11"/>
    </row>
    <row r="162">
      <c r="A162" s="7" t="s">
        <v>1911</v>
      </c>
      <c r="B162" s="5" t="s">
        <v>9882</v>
      </c>
      <c r="C162" s="5" t="s">
        <v>17790</v>
      </c>
      <c r="D162" s="5" t="str">
        <v>772980109138</v>
      </c>
      <c r="E162" s="0" t="e">
        <f>+7 (918) 4177890
+7 (861) 2015000</f>
        <v>#NAME?</v>
      </c>
      <c r="F162" s="5" t="s">
        <v>25717</v>
      </c>
      <c r="G162" s="5"/>
      <c r="H162" s="26">
        <v>3.5</v>
      </c>
      <c r="I162" s="5" t="s">
        <v>25718</v>
      </c>
      <c r="J162" s="5" t="s">
        <v>389</v>
      </c>
      <c r="K162" s="5" t="s">
        <v>344</v>
      </c>
      <c r="L162" s="5" t="s">
        <v>25719</v>
      </c>
      <c r="M162" s="27"/>
      <c r="N162" s="5"/>
      <c r="O162" s="5" t="str">
        <v>2311295833</v>
      </c>
      <c r="P162" s="27">
        <v>42000000</v>
      </c>
      <c r="Q162" s="5" t="s">
        <v>49355</v>
      </c>
      <c r="R162" s="5"/>
      <c r="S162" s="5" t="s">
        <v>49356</v>
      </c>
      <c r="T162" s="28">
        <v>19666000</v>
      </c>
      <c r="U162" s="28">
        <v>211310000</v>
      </c>
      <c r="V162" s="28">
        <v>311934000</v>
      </c>
      <c r="W162" s="28">
        <v>116516000</v>
      </c>
      <c r="X162" s="28">
        <v>14155000</v>
      </c>
      <c r="Y162" s="28">
        <v>990706000</v>
      </c>
      <c r="Z162" s="28">
        <v>754044000</v>
      </c>
      <c r="AA162" s="28"/>
      <c r="AB162" s="28"/>
      <c r="AC162" s="28">
        <v>189587000</v>
      </c>
      <c r="AD162" s="28">
        <v>796044000</v>
      </c>
      <c r="AE162" s="28">
        <v>3110640000</v>
      </c>
      <c r="AF162" s="28">
        <v>298581000</v>
      </c>
      <c r="AG162" s="11"/>
    </row>
    <row r="163">
      <c r="A163" s="7" t="s">
        <v>1912</v>
      </c>
      <c r="B163" s="5" t="s">
        <v>9883</v>
      </c>
      <c r="C163" s="5" t="s">
        <v>17791</v>
      </c>
      <c r="D163" s="5" t="str">
        <v>771370654532</v>
      </c>
      <c r="E163" s="0" t="e">
        <f>+7 (495) 9673760
+7 (495) 9268252
+7 (84692) 61809
+7 (84692) 62418
+7 (84692) 92141</f>
        <v>#NAME?</v>
      </c>
      <c r="F163" s="5" t="s">
        <v>25720</v>
      </c>
      <c r="G163" s="5" t="s">
        <v>25721</v>
      </c>
      <c r="H163" s="26">
        <v>17.5</v>
      </c>
      <c r="I163" s="5" t="s">
        <v>25722</v>
      </c>
      <c r="J163" s="5" t="s">
        <v>25559</v>
      </c>
      <c r="K163" s="5" t="s">
        <v>344</v>
      </c>
      <c r="L163" s="5" t="s">
        <v>25723</v>
      </c>
      <c r="M163" s="27"/>
      <c r="N163" s="5"/>
      <c r="O163" s="5" t="str">
        <v>7701607692</v>
      </c>
      <c r="P163" s="27">
        <v>3500000</v>
      </c>
      <c r="Q163" s="5" t="s">
        <v>49357</v>
      </c>
      <c r="R163" s="5"/>
      <c r="S163" s="5" t="s">
        <v>49358</v>
      </c>
      <c r="T163" s="28">
        <v>45000</v>
      </c>
      <c r="U163" s="28">
        <v>417759000</v>
      </c>
      <c r="V163" s="28">
        <v>492015000</v>
      </c>
      <c r="W163" s="28">
        <v>397255000</v>
      </c>
      <c r="X163" s="28">
        <v>6925000</v>
      </c>
      <c r="Y163" s="28">
        <v>1323931000</v>
      </c>
      <c r="Z163" s="28">
        <v>837527000</v>
      </c>
      <c r="AA163" s="28"/>
      <c r="AB163" s="28"/>
      <c r="AC163" s="28">
        <v>431388000</v>
      </c>
      <c r="AD163" s="28">
        <v>841027000</v>
      </c>
      <c r="AE163" s="28">
        <v>7766528000</v>
      </c>
      <c r="AF163" s="28">
        <v>578944000</v>
      </c>
      <c r="AG163" s="11"/>
    </row>
    <row r="164">
      <c r="A164" s="7" t="s">
        <v>1913</v>
      </c>
      <c r="B164" s="5" t="s">
        <v>9884</v>
      </c>
      <c r="C164" s="5" t="s">
        <v>17792</v>
      </c>
      <c r="D164" s="5" t="str">
        <v>616842985698</v>
      </c>
      <c r="E164" s="0" t="e">
        <f>+7 (863) 2618361
+7 (8632) 433848</f>
        <v>#NAME?</v>
      </c>
      <c r="F164" s="5" t="s">
        <v>25724</v>
      </c>
      <c r="G164" s="5"/>
      <c r="H164" s="26">
        <v>18.5</v>
      </c>
      <c r="I164" s="5" t="s">
        <v>25725</v>
      </c>
      <c r="J164" s="5" t="s">
        <v>25559</v>
      </c>
      <c r="K164" s="5" t="s">
        <v>344</v>
      </c>
      <c r="L164" s="5" t="s">
        <v>25726</v>
      </c>
      <c r="M164" s="27">
        <v>381748</v>
      </c>
      <c r="N164" s="5"/>
      <c r="O164" s="5" t="str">
        <v>6165115558</v>
      </c>
      <c r="P164" s="27">
        <v>3200000</v>
      </c>
      <c r="Q164" s="5"/>
      <c r="R164" s="5"/>
      <c r="S164" s="5" t="s">
        <v>49110</v>
      </c>
      <c r="T164" s="28">
        <v>4219000</v>
      </c>
      <c r="U164" s="28"/>
      <c r="V164" s="28">
        <v>249759000</v>
      </c>
      <c r="W164" s="28"/>
      <c r="X164" s="28">
        <v>10349000</v>
      </c>
      <c r="Y164" s="28">
        <v>420127000</v>
      </c>
      <c r="Z164" s="28">
        <v>157053000</v>
      </c>
      <c r="AA164" s="28"/>
      <c r="AB164" s="28"/>
      <c r="AC164" s="28">
        <v>259554000</v>
      </c>
      <c r="AD164" s="28">
        <v>160573000</v>
      </c>
      <c r="AE164" s="28">
        <v>4415514000</v>
      </c>
      <c r="AF164" s="28">
        <v>105856000</v>
      </c>
      <c r="AG164" s="11"/>
    </row>
    <row r="165">
      <c r="A165" s="7" t="s">
        <v>1914</v>
      </c>
      <c r="B165" s="5" t="s">
        <v>9885</v>
      </c>
      <c r="C165" s="5" t="s">
        <v>17734</v>
      </c>
      <c r="D165" s="5" t="str">
        <v>770404666520</v>
      </c>
      <c r="E165" s="0" t="e">
        <f>+7 (499) 7301111</f>
        <v>#NAME?</v>
      </c>
      <c r="F165" s="5" t="s">
        <v>25727</v>
      </c>
      <c r="G165" s="5" t="s">
        <v>25728</v>
      </c>
      <c r="H165" s="26">
        <v>20</v>
      </c>
      <c r="I165" s="5" t="s">
        <v>25729</v>
      </c>
      <c r="J165" s="5" t="s">
        <v>389</v>
      </c>
      <c r="K165" s="5" t="s">
        <v>355</v>
      </c>
      <c r="L165" s="5" t="s">
        <v>25730</v>
      </c>
      <c r="M165" s="27"/>
      <c r="N165" s="5" t="s">
        <v>49359</v>
      </c>
      <c r="O165" s="5" t="str">
        <v>7718240330</v>
      </c>
      <c r="P165" s="27">
        <v>10000</v>
      </c>
      <c r="Q165" s="5" t="s">
        <v>49360</v>
      </c>
      <c r="R165" s="5"/>
      <c r="S165" s="5" t="s">
        <v>49361</v>
      </c>
      <c r="T165" s="28">
        <v>15339000</v>
      </c>
      <c r="U165" s="28">
        <v>112000000</v>
      </c>
      <c r="V165" s="28">
        <v>778151000</v>
      </c>
      <c r="W165" s="28"/>
      <c r="X165" s="28">
        <v>90979000</v>
      </c>
      <c r="Y165" s="28">
        <v>1966287000</v>
      </c>
      <c r="Z165" s="28">
        <v>899068000</v>
      </c>
      <c r="AA165" s="28">
        <v>46450000</v>
      </c>
      <c r="AB165" s="28">
        <v>134000</v>
      </c>
      <c r="AC165" s="28">
        <v>1020759000</v>
      </c>
      <c r="AD165" s="28">
        <v>899078000</v>
      </c>
      <c r="AE165" s="28">
        <v>3986227000</v>
      </c>
      <c r="AF165" s="28">
        <v>284351000</v>
      </c>
      <c r="AG165" s="11"/>
    </row>
    <row r="166">
      <c r="A166" s="7" t="s">
        <v>1915</v>
      </c>
      <c r="B166" s="5" t="s">
        <v>9886</v>
      </c>
      <c r="C166" s="5" t="s">
        <v>17793</v>
      </c>
      <c r="D166" s="5" t="str">
        <v>132303641707</v>
      </c>
      <c r="E166" s="0" t="e">
        <f>+7 (495) 7270940
+7 (931) 9799139
+7 (812) 6122717</f>
        <v>#NAME?</v>
      </c>
      <c r="F166" s="5" t="s">
        <v>25731</v>
      </c>
      <c r="G166" s="5" t="s">
        <v>25732</v>
      </c>
      <c r="H166" s="26">
        <v>4.5</v>
      </c>
      <c r="I166" s="5" t="s">
        <v>25733</v>
      </c>
      <c r="J166" s="5" t="s">
        <v>25674</v>
      </c>
      <c r="K166" s="5" t="s">
        <v>344</v>
      </c>
      <c r="L166" s="5" t="s">
        <v>25734</v>
      </c>
      <c r="M166" s="27"/>
      <c r="N166" s="5" t="s">
        <v>49362</v>
      </c>
      <c r="O166" s="5" t="str">
        <v>7727391550</v>
      </c>
      <c r="P166" s="27">
        <v>10000000</v>
      </c>
      <c r="Q166" s="5" t="s">
        <v>49363</v>
      </c>
      <c r="R166" s="5" t="s">
        <v>49364</v>
      </c>
      <c r="S166" s="5" t="s">
        <v>49365</v>
      </c>
      <c r="T166" s="28">
        <v>42593000</v>
      </c>
      <c r="U166" s="28"/>
      <c r="V166" s="28">
        <v>3656983000</v>
      </c>
      <c r="W166" s="28">
        <v>1000000</v>
      </c>
      <c r="X166" s="28">
        <v>531236000</v>
      </c>
      <c r="Y166" s="28">
        <v>5260659000</v>
      </c>
      <c r="Z166" s="28">
        <v>562373000</v>
      </c>
      <c r="AA166" s="28"/>
      <c r="AB166" s="28">
        <v>2556000</v>
      </c>
      <c r="AC166" s="28">
        <v>4676108000</v>
      </c>
      <c r="AD166" s="28">
        <v>572373000</v>
      </c>
      <c r="AE166" s="28">
        <v>8624608000</v>
      </c>
      <c r="AF166" s="28">
        <v>382371000</v>
      </c>
      <c r="AG166" s="11"/>
    </row>
    <row r="167">
      <c r="A167" s="7" t="s">
        <v>1916</v>
      </c>
      <c r="B167" s="5" t="s">
        <v>9887</v>
      </c>
      <c r="C167" s="5" t="s">
        <v>17794</v>
      </c>
      <c r="D167" s="5" t="str">
        <v>500107427977</v>
      </c>
      <c r="E167" s="0" t="e">
        <f>+7 (495) 2344350
+7 (495) 3978275
+7 (495) 3988505
+7 (495) 5450088
+7 (495) 6310513
+7 (495) 6632201
+7 (495) 6717261
+7 (495) 6798186
+7 (495) 7190460
+7 (495) 7205409
+7 (495) 7205411
+7 (495) 7205412
+7 (495) 7205413
+7 (495) 7205415
+7 (495) 7305398</f>
        <v>#NAME?</v>
      </c>
      <c r="F167" s="5" t="s">
        <v>25735</v>
      </c>
      <c r="G167" s="5" t="s">
        <v>25736</v>
      </c>
      <c r="H167" s="26">
        <v>14</v>
      </c>
      <c r="I167" s="5" t="s">
        <v>25737</v>
      </c>
      <c r="J167" s="5" t="s">
        <v>25738</v>
      </c>
      <c r="K167" s="5" t="s">
        <v>344</v>
      </c>
      <c r="L167" s="5" t="s">
        <v>25739</v>
      </c>
      <c r="M167" s="27">
        <v>1000000</v>
      </c>
      <c r="N167" s="5"/>
      <c r="O167" s="5" t="str">
        <v>7743734773</v>
      </c>
      <c r="P167" s="27">
        <v>20000</v>
      </c>
      <c r="Q167" s="5" t="s">
        <v>49009</v>
      </c>
      <c r="R167" s="5"/>
      <c r="S167" s="5" t="s">
        <v>49010</v>
      </c>
      <c r="T167" s="28">
        <v>135719000</v>
      </c>
      <c r="U167" s="28"/>
      <c r="V167" s="28">
        <v>325016000</v>
      </c>
      <c r="W167" s="28"/>
      <c r="X167" s="28">
        <v>16133000</v>
      </c>
      <c r="Y167" s="28">
        <v>1105551000</v>
      </c>
      <c r="Z167" s="28">
        <v>597090000</v>
      </c>
      <c r="AA167" s="28">
        <v>85500000</v>
      </c>
      <c r="AB167" s="28">
        <v>46012000</v>
      </c>
      <c r="AC167" s="28">
        <v>287800000</v>
      </c>
      <c r="AD167" s="28">
        <v>597110000</v>
      </c>
      <c r="AE167" s="28">
        <v>3182059000</v>
      </c>
      <c r="AF167" s="28">
        <v>228465000</v>
      </c>
      <c r="AG167" s="11"/>
    </row>
    <row r="168">
      <c r="A168" s="7" t="s">
        <v>1917</v>
      </c>
      <c r="B168" s="5" t="s">
        <v>9888</v>
      </c>
      <c r="C168" s="5" t="s">
        <v>17795</v>
      </c>
      <c r="D168" s="5"/>
      <c r="E168" s="0" t="e">
        <f>+7 (800) 7007465
+7 (812) 7777002
+7 (812) 7770003
+7 (812) 2448208
+7 (812) 3207209
+7 (812) 6123828
+7 (812) 6497293
+7 (812) 6497500
+7 (812) 7024606
+7 (812) 7770015
+7 (812) 7777003
+7 (812) 7777765
+7 (812) 7777785
+7 (929) 1173436</f>
        <v>#NAME?</v>
      </c>
      <c r="F168" s="5" t="s">
        <v>25740</v>
      </c>
      <c r="G168" s="5" t="s">
        <v>25741</v>
      </c>
      <c r="H168" s="26">
        <v>14</v>
      </c>
      <c r="I168" s="5" t="s">
        <v>25742</v>
      </c>
      <c r="J168" s="5" t="s">
        <v>389</v>
      </c>
      <c r="K168" s="5" t="s">
        <v>344</v>
      </c>
      <c r="L168" s="5" t="s">
        <v>25743</v>
      </c>
      <c r="M168" s="27"/>
      <c r="N168" s="5" t="s">
        <v>49366</v>
      </c>
      <c r="O168" s="5" t="str">
        <v>7814425414</v>
      </c>
      <c r="P168" s="27">
        <v>10000</v>
      </c>
      <c r="Q168" s="5" t="s">
        <v>49009</v>
      </c>
      <c r="R168" s="5"/>
      <c r="S168" s="5" t="s">
        <v>49120</v>
      </c>
      <c r="T168" s="28">
        <v>12578000</v>
      </c>
      <c r="U168" s="28"/>
      <c r="V168" s="28">
        <v>163628000</v>
      </c>
      <c r="W168" s="28">
        <v>1258208000</v>
      </c>
      <c r="X168" s="28">
        <v>26455000</v>
      </c>
      <c r="Y168" s="28">
        <v>1757117000</v>
      </c>
      <c r="Z168" s="28">
        <v>361436000</v>
      </c>
      <c r="AA168" s="28">
        <v>1200082000</v>
      </c>
      <c r="AB168" s="28">
        <v>21092000</v>
      </c>
      <c r="AC168" s="28">
        <v>195129000</v>
      </c>
      <c r="AD168" s="28">
        <v>361446000</v>
      </c>
      <c r="AE168" s="28">
        <v>3532041000</v>
      </c>
      <c r="AF168" s="28">
        <v>51864000</v>
      </c>
      <c r="AG168" s="11"/>
    </row>
    <row r="169">
      <c r="A169" s="7" t="s">
        <v>1918</v>
      </c>
      <c r="B169" s="5" t="s">
        <v>9889</v>
      </c>
      <c r="C169" s="5" t="s">
        <v>17796</v>
      </c>
      <c r="D169" s="5" t="str">
        <v>920252010205</v>
      </c>
      <c r="E169" s="0" t="e">
        <f>+7 (978) 689
+7 (978) 646445
+7 (978) 5615909
+7 (978) 6567655
+7 (978) 7317679
+7 (978) 9989481
+7 (918) 9795656
+7 (978) 868
+7 (978) 7626700
+7 (978) 7773738</f>
        <v>#NAME?</v>
      </c>
      <c r="F169" s="5" t="s">
        <v>25744</v>
      </c>
      <c r="G169" s="5" t="s">
        <v>25745</v>
      </c>
      <c r="H169" s="26">
        <v>8</v>
      </c>
      <c r="I169" s="5" t="s">
        <v>25746</v>
      </c>
      <c r="J169" s="5" t="s">
        <v>25747</v>
      </c>
      <c r="K169" s="5" t="s">
        <v>344</v>
      </c>
      <c r="L169" s="5" t="s">
        <v>25748</v>
      </c>
      <c r="M169" s="27">
        <v>9900000</v>
      </c>
      <c r="N169" s="5" t="s">
        <v>49367</v>
      </c>
      <c r="O169" s="5" t="str">
        <v>9102050046</v>
      </c>
      <c r="P169" s="27">
        <v>30612</v>
      </c>
      <c r="Q169" s="5" t="s">
        <v>49368</v>
      </c>
      <c r="R169" s="5"/>
      <c r="S169" s="5" t="s">
        <v>49369</v>
      </c>
      <c r="T169" s="28">
        <v>32174000</v>
      </c>
      <c r="U169" s="28"/>
      <c r="V169" s="28">
        <v>1315486000</v>
      </c>
      <c r="W169" s="28">
        <v>30000000</v>
      </c>
      <c r="X169" s="28">
        <v>76683000</v>
      </c>
      <c r="Y169" s="28">
        <v>1609041000</v>
      </c>
      <c r="Z169" s="28">
        <v>529586000</v>
      </c>
      <c r="AA169" s="28">
        <v>35518000</v>
      </c>
      <c r="AB169" s="28">
        <v>610146000</v>
      </c>
      <c r="AC169" s="28">
        <v>1042605000</v>
      </c>
      <c r="AD169" s="28">
        <v>529617000</v>
      </c>
      <c r="AE169" s="28">
        <v>4675869000</v>
      </c>
      <c r="AF169" s="28">
        <v>337420000</v>
      </c>
      <c r="AG169" s="11"/>
    </row>
    <row r="170">
      <c r="A170" s="7" t="s">
        <v>1919</v>
      </c>
      <c r="B170" s="5" t="s">
        <v>9890</v>
      </c>
      <c r="C170" s="5" t="s">
        <v>17797</v>
      </c>
      <c r="D170" s="5" t="str">
        <v>420591226967</v>
      </c>
      <c r="E170" s="0" t="e">
        <f>+7 (383) 2300434
+7 (383) 3054133
+7 (383) 3478719
+7 (800) 6006171
+7 (800) 7077484</f>
        <v>#NAME?</v>
      </c>
      <c r="F170" s="5"/>
      <c r="G170" s="5" t="s">
        <v>25749</v>
      </c>
      <c r="H170" s="26">
        <v>5.5</v>
      </c>
      <c r="I170" s="5" t="s">
        <v>25750</v>
      </c>
      <c r="J170" s="5" t="s">
        <v>25674</v>
      </c>
      <c r="K170" s="5" t="s">
        <v>344</v>
      </c>
      <c r="L170" s="5" t="s">
        <v>25751</v>
      </c>
      <c r="M170" s="27"/>
      <c r="N170" s="5"/>
      <c r="O170" s="5" t="str">
        <v>5432001836</v>
      </c>
      <c r="P170" s="27">
        <v>1000000</v>
      </c>
      <c r="Q170" s="5" t="s">
        <v>49009</v>
      </c>
      <c r="R170" s="5" t="s">
        <v>49370</v>
      </c>
      <c r="S170" s="5" t="s">
        <v>49371</v>
      </c>
      <c r="T170" s="28">
        <v>9045000</v>
      </c>
      <c r="U170" s="28"/>
      <c r="V170" s="28">
        <v>169845000</v>
      </c>
      <c r="W170" s="28">
        <v>506000000</v>
      </c>
      <c r="X170" s="28">
        <v>57732000</v>
      </c>
      <c r="Y170" s="28">
        <v>2138234000</v>
      </c>
      <c r="Z170" s="28">
        <v>326357000</v>
      </c>
      <c r="AA170" s="28">
        <v>1346391000</v>
      </c>
      <c r="AB170" s="28">
        <v>324162000</v>
      </c>
      <c r="AC170" s="28">
        <v>463085000</v>
      </c>
      <c r="AD170" s="28">
        <v>327591000</v>
      </c>
      <c r="AE170" s="28">
        <v>6661624000</v>
      </c>
      <c r="AF170" s="28">
        <v>45393000</v>
      </c>
      <c r="AG170" s="11"/>
    </row>
    <row r="171">
      <c r="A171" s="7" t="s">
        <v>1920</v>
      </c>
      <c r="B171" s="5" t="s">
        <v>9891</v>
      </c>
      <c r="C171" s="5" t="s">
        <v>17798</v>
      </c>
      <c r="D171" s="5" t="str">
        <v>165505818461</v>
      </c>
      <c r="E171" s="0" t="e">
        <f>+7 (8362) 386568
+7 (8422) 226788
+7 (8435) 621229
+7 (855) 2477048
+7 (855) 2588979
+7 (8553) 302525
+7 (8352) 220364
+7 (8432) 910601
+7 (8432) 910605
+7 (8432) 910608
+7 (8432) 910611
+7 (8432) 990101
+7 (8435) 282003
+7 (8435) 378647
+7 (855) 2477226</f>
        <v>#NAME?</v>
      </c>
      <c r="F171" s="5" t="s">
        <v>25752</v>
      </c>
      <c r="G171" s="5" t="s">
        <v>25753</v>
      </c>
      <c r="H171" s="26">
        <v>19.5</v>
      </c>
      <c r="I171" s="5" t="s">
        <v>25754</v>
      </c>
      <c r="J171" s="5" t="s">
        <v>25738</v>
      </c>
      <c r="K171" s="5" t="s">
        <v>344</v>
      </c>
      <c r="L171" s="5" t="s">
        <v>25755</v>
      </c>
      <c r="M171" s="27">
        <v>60054017</v>
      </c>
      <c r="N171" s="5" t="s">
        <v>49372</v>
      </c>
      <c r="O171" s="5" t="str">
        <v>1660067356</v>
      </c>
      <c r="P171" s="27">
        <v>816540</v>
      </c>
      <c r="Q171" s="5" t="s">
        <v>49009</v>
      </c>
      <c r="R171" s="5"/>
      <c r="S171" s="5" t="s">
        <v>49373</v>
      </c>
      <c r="T171" s="28">
        <v>3548621000</v>
      </c>
      <c r="U171" s="28">
        <v>424968000</v>
      </c>
      <c r="V171" s="28">
        <v>612021000</v>
      </c>
      <c r="W171" s="28"/>
      <c r="X171" s="28">
        <v>147734000</v>
      </c>
      <c r="Y171" s="28">
        <v>10765227000</v>
      </c>
      <c r="Z171" s="28">
        <v>5421448000</v>
      </c>
      <c r="AA171" s="28">
        <v>319589000</v>
      </c>
      <c r="AB171" s="28">
        <v>715000</v>
      </c>
      <c r="AC171" s="28">
        <v>4801431000</v>
      </c>
      <c r="AD171" s="28">
        <v>5506986000</v>
      </c>
      <c r="AE171" s="28">
        <v>17673224000</v>
      </c>
      <c r="AF171" s="28">
        <v>1421589000</v>
      </c>
      <c r="AG171" s="11"/>
    </row>
    <row r="172">
      <c r="A172" s="7" t="s">
        <v>1921</v>
      </c>
      <c r="B172" s="5" t="s">
        <v>9892</v>
      </c>
      <c r="C172" s="5" t="s">
        <v>17799</v>
      </c>
      <c r="D172" s="5" t="str">
        <v>772737443594</v>
      </c>
      <c r="E172" s="0" t="e">
        <f>+7 (916) 6987675
+7 (343) 3793415
+7 (383) 2105541
+7 (495) 5807080
+7 (812) 7034857
+7 (815) 2557025
+7 (84626) 66513
+7 (916) 839701
+7 (916) 6338397
+7 (916) 6338739
+7 (916) 6338950
+7 (916) 6339326
+7 (916) 6340493</f>
        <v>#NAME?</v>
      </c>
      <c r="F172" s="5" t="s">
        <v>25756</v>
      </c>
      <c r="G172" s="5" t="s">
        <v>25757</v>
      </c>
      <c r="H172" s="26">
        <v>15</v>
      </c>
      <c r="I172" s="5" t="s">
        <v>25758</v>
      </c>
      <c r="J172" s="5" t="s">
        <v>25759</v>
      </c>
      <c r="K172" s="5" t="s">
        <v>344</v>
      </c>
      <c r="L172" s="5" t="s">
        <v>25760</v>
      </c>
      <c r="M172" s="27">
        <v>15400</v>
      </c>
      <c r="N172" s="5" t="s">
        <v>49374</v>
      </c>
      <c r="O172" s="5" t="str">
        <v>5017075973</v>
      </c>
      <c r="P172" s="27">
        <v>321100000</v>
      </c>
      <c r="Q172" s="5" t="s">
        <v>49375</v>
      </c>
      <c r="R172" s="5" t="s">
        <v>49376</v>
      </c>
      <c r="S172" s="5" t="s">
        <v>49377</v>
      </c>
      <c r="T172" s="28">
        <v>257951000</v>
      </c>
      <c r="U172" s="28">
        <v>358464000</v>
      </c>
      <c r="V172" s="28">
        <v>3994047000</v>
      </c>
      <c r="W172" s="28"/>
      <c r="X172" s="28">
        <v>251484000</v>
      </c>
      <c r="Y172" s="28">
        <v>7613086000</v>
      </c>
      <c r="Z172" s="28">
        <v>1385590000</v>
      </c>
      <c r="AA172" s="28">
        <v>1352863000</v>
      </c>
      <c r="AB172" s="28">
        <v>457323000</v>
      </c>
      <c r="AC172" s="28">
        <v>4300536000</v>
      </c>
      <c r="AD172" s="28">
        <v>1706690000</v>
      </c>
      <c r="AE172" s="28">
        <v>9873886000</v>
      </c>
      <c r="AF172" s="28">
        <v>772521000</v>
      </c>
      <c r="AG172" s="11"/>
    </row>
    <row r="173">
      <c r="A173" s="7" t="s">
        <v>1922</v>
      </c>
      <c r="B173" s="5" t="s">
        <v>9893</v>
      </c>
      <c r="C173" s="5" t="s">
        <v>17800</v>
      </c>
      <c r="D173" s="5" t="str">
        <v>165011425407</v>
      </c>
      <c r="E173" s="0" t="e">
        <f>+7 (917) 2230771
+7 (8435) 280751
+7 (8435) 280752
+7 (8435) 280753
+7 (8435) 280754
+7 (855) 2425793
+7 (855) 2707005
+7 (855) 2707303
+7 (912) 4623481</f>
        <v>#NAME?</v>
      </c>
      <c r="F173" s="5" t="s">
        <v>25761</v>
      </c>
      <c r="G173" s="5" t="s">
        <v>25762</v>
      </c>
      <c r="H173" s="26">
        <v>22.5</v>
      </c>
      <c r="I173" s="5" t="s">
        <v>25763</v>
      </c>
      <c r="J173" s="5" t="s">
        <v>25219</v>
      </c>
      <c r="K173" s="5" t="s">
        <v>344</v>
      </c>
      <c r="L173" s="5"/>
      <c r="M173" s="27"/>
      <c r="N173" s="5" t="s">
        <v>49378</v>
      </c>
      <c r="O173" s="5" t="str">
        <v>1650078006</v>
      </c>
      <c r="P173" s="27">
        <v>100000000</v>
      </c>
      <c r="Q173" s="5"/>
      <c r="R173" s="5"/>
      <c r="S173" s="5" t="s">
        <v>49379</v>
      </c>
      <c r="T173" s="28">
        <v>638708000</v>
      </c>
      <c r="U173" s="28">
        <v>9750000</v>
      </c>
      <c r="V173" s="28">
        <v>102006000</v>
      </c>
      <c r="W173" s="28"/>
      <c r="X173" s="28">
        <v>11529000</v>
      </c>
      <c r="Y173" s="28">
        <v>1393181000</v>
      </c>
      <c r="Z173" s="28">
        <v>312391000</v>
      </c>
      <c r="AA173" s="28">
        <v>41064000</v>
      </c>
      <c r="AB173" s="28">
        <v>60486000</v>
      </c>
      <c r="AC173" s="28">
        <v>445239000</v>
      </c>
      <c r="AD173" s="28">
        <v>412391000</v>
      </c>
      <c r="AE173" s="28">
        <v>4196313000</v>
      </c>
      <c r="AF173" s="28">
        <v>48313000</v>
      </c>
      <c r="AG173" s="11"/>
    </row>
    <row r="174">
      <c r="A174" s="7" t="s">
        <v>1923</v>
      </c>
      <c r="B174" s="5" t="s">
        <v>9894</v>
      </c>
      <c r="C174" s="5" t="s">
        <v>17801</v>
      </c>
      <c r="D174" s="5" t="str">
        <v>580300445622</v>
      </c>
      <c r="E174" s="0" t="e">
        <f>+7 (345) 2578001
+7 (495) 2259375
+7 (495) 7854870
+7 (495) 7854899
+7 (800) 5002305</f>
        <v>#NAME?</v>
      </c>
      <c r="F174" s="5" t="s">
        <v>25764</v>
      </c>
      <c r="G174" s="5" t="s">
        <v>25765</v>
      </c>
      <c r="H174" s="26">
        <v>15</v>
      </c>
      <c r="I174" s="5" t="s">
        <v>25766</v>
      </c>
      <c r="J174" s="5" t="s">
        <v>25767</v>
      </c>
      <c r="K174" s="5" t="s">
        <v>344</v>
      </c>
      <c r="L174" s="5" t="s">
        <v>25768</v>
      </c>
      <c r="M174" s="27">
        <v>3561393254</v>
      </c>
      <c r="N174" s="5" t="s">
        <v>49380</v>
      </c>
      <c r="O174" s="5" t="str">
        <v>7705838531</v>
      </c>
      <c r="P174" s="27">
        <v>3600000</v>
      </c>
      <c r="Q174" s="5" t="s">
        <v>49381</v>
      </c>
      <c r="R174" s="5"/>
      <c r="S174" s="5" t="s">
        <v>49382</v>
      </c>
      <c r="T174" s="28">
        <v>2454109000</v>
      </c>
      <c r="U174" s="28"/>
      <c r="V174" s="28">
        <v>1931571000</v>
      </c>
      <c r="W174" s="28">
        <v>1750000</v>
      </c>
      <c r="X174" s="28">
        <v>3644491000</v>
      </c>
      <c r="Y174" s="28">
        <v>12342680000</v>
      </c>
      <c r="Z174" s="28">
        <v>9853635000</v>
      </c>
      <c r="AA174" s="28">
        <v>544580000</v>
      </c>
      <c r="AB174" s="28"/>
      <c r="AC174" s="28">
        <v>1811116000</v>
      </c>
      <c r="AD174" s="28">
        <v>9857235000</v>
      </c>
      <c r="AE174" s="28">
        <v>8365112000</v>
      </c>
      <c r="AF174" s="28">
        <v>2188286000</v>
      </c>
      <c r="AG174" s="11"/>
    </row>
    <row r="175">
      <c r="A175" s="7" t="s">
        <v>1924</v>
      </c>
      <c r="B175" s="5" t="s">
        <v>9895</v>
      </c>
      <c r="C175" s="5" t="s">
        <v>17802</v>
      </c>
      <c r="D175" s="5" t="str">
        <v>771700273810</v>
      </c>
      <c r="E175" s="0" t="e">
        <f>+7 (495) 7252868
+7 (495) 7253141
+7 (495) 7452126
+7 (495) 7452162
+7 (495) 7452166
+7 (495) 7452868
+7 (800) 2000805
+7 (911) 932432</f>
        <v>#NAME?</v>
      </c>
      <c r="F175" s="5" t="s">
        <v>25769</v>
      </c>
      <c r="G175" s="5" t="s">
        <v>25770</v>
      </c>
      <c r="H175" s="26">
        <v>19</v>
      </c>
      <c r="I175" s="5"/>
      <c r="J175" s="5" t="s">
        <v>25771</v>
      </c>
      <c r="K175" s="5"/>
      <c r="L175" s="5"/>
      <c r="M175" s="27">
        <v>1941322</v>
      </c>
      <c r="N175" s="5" t="s">
        <v>49383</v>
      </c>
      <c r="O175" s="5" t="str">
        <v>7708514824</v>
      </c>
      <c r="P175" s="27">
        <v>3000000000</v>
      </c>
      <c r="Q175" s="5" t="s">
        <v>49384</v>
      </c>
      <c r="R175" s="5"/>
      <c r="S175" s="5" t="s">
        <v>49385</v>
      </c>
      <c r="T175" s="28">
        <v>2291438000</v>
      </c>
      <c r="U175" s="28">
        <v>1713548202000</v>
      </c>
      <c r="V175" s="28">
        <v>1538910183000</v>
      </c>
      <c r="W175" s="28">
        <v>118129612000</v>
      </c>
      <c r="X175" s="28">
        <v>20065741000</v>
      </c>
      <c r="Y175" s="28">
        <v>3403363121000</v>
      </c>
      <c r="Z175" s="28"/>
      <c r="AA175" s="28">
        <v>1003372896000</v>
      </c>
      <c r="AB175" s="28">
        <v>55941144000</v>
      </c>
      <c r="AC175" s="28">
        <v>1464411633000</v>
      </c>
      <c r="AD175" s="28">
        <v>935578384000</v>
      </c>
      <c r="AE175" s="28">
        <v>54413598000</v>
      </c>
      <c r="AF175" s="28">
        <v>249677000</v>
      </c>
      <c r="AG175" s="11"/>
    </row>
    <row r="176">
      <c r="A176" s="7" t="s">
        <v>1925</v>
      </c>
      <c r="B176" s="5" t="s">
        <v>9896</v>
      </c>
      <c r="C176" s="5" t="s">
        <v>17803</v>
      </c>
      <c r="D176" s="5" t="str">
        <v>027501108586</v>
      </c>
      <c r="E176" s="0" t="e">
        <f>+7 (3472) 400211
+7 (3472) 912101
+7 (3472) 912102
+7 (3472) 400200
+7 (3472) 660266</f>
        <v>#NAME?</v>
      </c>
      <c r="F176" s="5" t="s">
        <v>25772</v>
      </c>
      <c r="G176" s="5" t="s">
        <v>25773</v>
      </c>
      <c r="H176" s="26">
        <v>15.5</v>
      </c>
      <c r="I176" s="5" t="s">
        <v>25774</v>
      </c>
      <c r="J176" s="5" t="s">
        <v>25259</v>
      </c>
      <c r="K176" s="5" t="s">
        <v>344</v>
      </c>
      <c r="L176" s="5" t="s">
        <v>25775</v>
      </c>
      <c r="M176" s="27"/>
      <c r="N176" s="5" t="s">
        <v>49386</v>
      </c>
      <c r="O176" s="5" t="str">
        <v>0275060572</v>
      </c>
      <c r="P176" s="27">
        <v>10000000</v>
      </c>
      <c r="Q176" s="5" t="s">
        <v>49009</v>
      </c>
      <c r="R176" s="5"/>
      <c r="S176" s="5" t="s">
        <v>49045</v>
      </c>
      <c r="T176" s="28">
        <v>121634000</v>
      </c>
      <c r="U176" s="28"/>
      <c r="V176" s="28">
        <v>68405000</v>
      </c>
      <c r="W176" s="28"/>
      <c r="X176" s="28">
        <v>4086000</v>
      </c>
      <c r="Y176" s="28">
        <v>657048000</v>
      </c>
      <c r="Z176" s="28">
        <v>456080000</v>
      </c>
      <c r="AA176" s="28"/>
      <c r="AB176" s="28"/>
      <c r="AC176" s="28">
        <v>123377000</v>
      </c>
      <c r="AD176" s="28">
        <v>466080000</v>
      </c>
      <c r="AE176" s="28">
        <v>3753714000</v>
      </c>
      <c r="AF176" s="28">
        <v>188283000</v>
      </c>
      <c r="AG176" s="11"/>
    </row>
    <row r="177">
      <c r="A177" s="7" t="s">
        <v>1926</v>
      </c>
      <c r="B177" s="5" t="s">
        <v>9897</v>
      </c>
      <c r="C177" s="5" t="s">
        <v>17804</v>
      </c>
      <c r="D177" s="5" t="str">
        <v>581703412445</v>
      </c>
      <c r="E177" s="0" t="e">
        <f>+7 (421) 4222813
+7 (42142) 21421
+7 (42142) 28065
+7 (42142) 28066
+7 (42142) 30001
+7 (42142) 30116
+7 (42142) 30128
+7 (42142) 34101</f>
        <v>#NAME?</v>
      </c>
      <c r="F177" s="5" t="s">
        <v>25776</v>
      </c>
      <c r="G177" s="5" t="s">
        <v>25777</v>
      </c>
      <c r="H177" s="26">
        <v>16</v>
      </c>
      <c r="I177" s="5" t="s">
        <v>25778</v>
      </c>
      <c r="J177" s="5" t="s">
        <v>25779</v>
      </c>
      <c r="K177" s="5" t="s">
        <v>355</v>
      </c>
      <c r="L177" s="5"/>
      <c r="M177" s="27">
        <v>3628000</v>
      </c>
      <c r="N177" s="5"/>
      <c r="O177" s="5" t="str">
        <v>2706028675</v>
      </c>
      <c r="P177" s="27">
        <v>200000000</v>
      </c>
      <c r="Q177" s="5" t="s">
        <v>49387</v>
      </c>
      <c r="R177" s="5"/>
      <c r="S177" s="5" t="s">
        <v>49388</v>
      </c>
      <c r="T177" s="28">
        <v>8067214000</v>
      </c>
      <c r="U177" s="28">
        <v>20410000</v>
      </c>
      <c r="V177" s="28">
        <v>9394110000</v>
      </c>
      <c r="W177" s="28"/>
      <c r="X177" s="28">
        <v>183092000</v>
      </c>
      <c r="Y177" s="28">
        <v>63536815000</v>
      </c>
      <c r="Z177" s="28">
        <v>-1582175000</v>
      </c>
      <c r="AA177" s="28">
        <v>47681438000</v>
      </c>
      <c r="AB177" s="28">
        <v>2042124000</v>
      </c>
      <c r="AC177" s="28">
        <v>13667228000</v>
      </c>
      <c r="AD177" s="28">
        <v>2082407000</v>
      </c>
      <c r="AE177" s="28">
        <v>28839623000</v>
      </c>
      <c r="AF177" s="28">
        <v>-2755965000</v>
      </c>
      <c r="AG177" s="11"/>
    </row>
    <row r="178">
      <c r="A178" s="7" t="s">
        <v>1927</v>
      </c>
      <c r="B178" s="5" t="s">
        <v>9898</v>
      </c>
      <c r="C178" s="5" t="s">
        <v>17805</v>
      </c>
      <c r="D178" s="5" t="str">
        <v>771406379508</v>
      </c>
      <c r="E178" s="0" t="e">
        <f>+7 (495) 6602100
+7 (495) 6662101
+7 (49673) 10289
+7 (49673) 11167
+7 (49677) 60970
+7 (910) 4050833
+7 (917) 5827673</f>
        <v>#NAME?</v>
      </c>
      <c r="F178" s="5" t="s">
        <v>25780</v>
      </c>
      <c r="G178" s="5" t="s">
        <v>25781</v>
      </c>
      <c r="H178" s="26">
        <v>20.5</v>
      </c>
      <c r="I178" s="5" t="s">
        <v>25782</v>
      </c>
      <c r="J178" s="5" t="s">
        <v>25783</v>
      </c>
      <c r="K178" s="5" t="s">
        <v>344</v>
      </c>
      <c r="L178" s="5" t="s">
        <v>25784</v>
      </c>
      <c r="M178" s="27"/>
      <c r="N178" s="5"/>
      <c r="O178" s="5" t="str">
        <v>5050040270</v>
      </c>
      <c r="P178" s="27">
        <v>549181996</v>
      </c>
      <c r="Q178" s="5" t="s">
        <v>49009</v>
      </c>
      <c r="R178" s="5"/>
      <c r="S178" s="5" t="s">
        <v>49066</v>
      </c>
      <c r="T178" s="28">
        <v>837921000</v>
      </c>
      <c r="U178" s="28"/>
      <c r="V178" s="28">
        <v>1086374000</v>
      </c>
      <c r="W178" s="28"/>
      <c r="X178" s="28">
        <v>556302000</v>
      </c>
      <c r="Y178" s="28">
        <v>3574709000</v>
      </c>
      <c r="Z178" s="28">
        <v>2250733000</v>
      </c>
      <c r="AA178" s="28"/>
      <c r="AB178" s="28"/>
      <c r="AC178" s="28">
        <v>691697000</v>
      </c>
      <c r="AD178" s="28">
        <v>2883012000</v>
      </c>
      <c r="AE178" s="28">
        <v>5162046000</v>
      </c>
      <c r="AF178" s="28">
        <v>601008000</v>
      </c>
      <c r="AG178" s="11"/>
    </row>
    <row r="179">
      <c r="A179" s="7" t="s">
        <v>1928</v>
      </c>
      <c r="B179" s="5" t="s">
        <v>9899</v>
      </c>
      <c r="C179" s="5" t="s">
        <v>17806</v>
      </c>
      <c r="D179" s="5"/>
      <c r="E179" s="0" t="e">
        <f>+7 (382) 2228288
+7 (382) 2228213
+7 (382) 2228620
+7 (382) 2405019
+7 (382) 2405298
+7 (382) 2902084
+7 (382) 2902123
+7 (382) 2905372
+7 (382) 2921096
+7 (38241) 23314
+7 (495) 5173219
+7 (800) 2345363
+7 (800) 3335754
+7 (905) 9764257
+7 (909) 5433013</f>
        <v>#NAME?</v>
      </c>
      <c r="F179" s="5" t="s">
        <v>25785</v>
      </c>
      <c r="G179" s="5" t="s">
        <v>25786</v>
      </c>
      <c r="H179" s="26">
        <v>17</v>
      </c>
      <c r="I179" s="5" t="s">
        <v>25787</v>
      </c>
      <c r="J179" s="5" t="s">
        <v>25788</v>
      </c>
      <c r="K179" s="5" t="s">
        <v>355</v>
      </c>
      <c r="L179" s="5" t="s">
        <v>25789</v>
      </c>
      <c r="M179" s="27"/>
      <c r="N179" s="5" t="s">
        <v>49389</v>
      </c>
      <c r="O179" s="5" t="str">
        <v>7224031400</v>
      </c>
      <c r="P179" s="27">
        <v>10000</v>
      </c>
      <c r="Q179" s="5" t="s">
        <v>49009</v>
      </c>
      <c r="R179" s="5"/>
      <c r="S179" s="5" t="s">
        <v>49028</v>
      </c>
      <c r="T179" s="28">
        <v>720421000</v>
      </c>
      <c r="U179" s="28"/>
      <c r="V179" s="28">
        <v>2476539000</v>
      </c>
      <c r="W179" s="28">
        <v>3685358000</v>
      </c>
      <c r="X179" s="28">
        <v>13154000</v>
      </c>
      <c r="Y179" s="28">
        <v>7513130000</v>
      </c>
      <c r="Z179" s="28">
        <v>-338615000</v>
      </c>
      <c r="AA179" s="28">
        <v>3800000000</v>
      </c>
      <c r="AB179" s="28">
        <v>2399429000</v>
      </c>
      <c r="AC179" s="28">
        <v>4047043000</v>
      </c>
      <c r="AD179" s="28">
        <v>-338605000</v>
      </c>
      <c r="AE179" s="28">
        <v>12234822000</v>
      </c>
      <c r="AF179" s="28">
        <v>-427733000</v>
      </c>
      <c r="AG179" s="11"/>
    </row>
    <row r="180">
      <c r="A180" s="7" t="s">
        <v>1929</v>
      </c>
      <c r="B180" s="5" t="s">
        <v>9900</v>
      </c>
      <c r="C180" s="5" t="s">
        <v>17807</v>
      </c>
      <c r="D180" s="5" t="str">
        <v>760201024224</v>
      </c>
      <c r="E180" s="0" t="e">
        <f>+7 (485) 2481106
+7 (485) 2449867
+7 (485) 2449873
+7 (485) 2481160
+7 (485) 2481161
+7 (485) 2481163</f>
        <v>#NAME?</v>
      </c>
      <c r="F180" s="5" t="s">
        <v>25790</v>
      </c>
      <c r="G180" s="5" t="s">
        <v>25791</v>
      </c>
      <c r="H180" s="26">
        <v>29</v>
      </c>
      <c r="I180" s="5" t="s">
        <v>25792</v>
      </c>
      <c r="J180" s="5" t="s">
        <v>373</v>
      </c>
      <c r="K180" s="5" t="s">
        <v>344</v>
      </c>
      <c r="L180" s="5" t="s">
        <v>25793</v>
      </c>
      <c r="M180" s="27"/>
      <c r="N180" s="5" t="s">
        <v>49391</v>
      </c>
      <c r="O180" s="5" t="str">
        <v>7602006764</v>
      </c>
      <c r="P180" s="27">
        <v>500000</v>
      </c>
      <c r="Q180" s="5" t="s">
        <v>49392</v>
      </c>
      <c r="R180" s="5"/>
      <c r="S180" s="5" t="s">
        <v>49393</v>
      </c>
      <c r="T180" s="28">
        <v>121234000</v>
      </c>
      <c r="U180" s="28"/>
      <c r="V180" s="28">
        <v>1081574000</v>
      </c>
      <c r="W180" s="28">
        <v>25000000</v>
      </c>
      <c r="X180" s="28">
        <v>5323000</v>
      </c>
      <c r="Y180" s="28">
        <v>1767500000</v>
      </c>
      <c r="Z180" s="28">
        <v>710839000</v>
      </c>
      <c r="AA180" s="28">
        <v>44000000</v>
      </c>
      <c r="AB180" s="28">
        <v>748934000</v>
      </c>
      <c r="AC180" s="28">
        <v>1012161000</v>
      </c>
      <c r="AD180" s="28">
        <v>711339000</v>
      </c>
      <c r="AE180" s="28">
        <v>12344199000</v>
      </c>
      <c r="AF180" s="28">
        <v>493426000</v>
      </c>
      <c r="AG180" s="11"/>
    </row>
    <row r="181">
      <c r="A181" s="7" t="s">
        <v>1930</v>
      </c>
      <c r="B181" s="5" t="s">
        <v>9901</v>
      </c>
      <c r="C181" s="5" t="s">
        <v>17808</v>
      </c>
      <c r="D181" s="5" t="str">
        <v>773272696880</v>
      </c>
      <c r="E181" s="0" t="e">
        <f>+7 (48431) 21035
+7 (48431) 54100
+7 (48431) 54130
+7 (48431) 62000
+7 (495) 6470444
+7 (800) 3021035</f>
        <v>#NAME?</v>
      </c>
      <c r="F181" s="5" t="s">
        <v>25794</v>
      </c>
      <c r="G181" s="5" t="s">
        <v>25795</v>
      </c>
      <c r="H181" s="26">
        <v>29</v>
      </c>
      <c r="I181" s="5" t="s">
        <v>25796</v>
      </c>
      <c r="J181" s="5" t="s">
        <v>445</v>
      </c>
      <c r="K181" s="5" t="s">
        <v>344</v>
      </c>
      <c r="L181" s="5" t="s">
        <v>25797</v>
      </c>
      <c r="M181" s="27">
        <v>1782925</v>
      </c>
      <c r="N181" s="5" t="s">
        <v>49394</v>
      </c>
      <c r="O181" s="5" t="str">
        <v>4011003730</v>
      </c>
      <c r="P181" s="27">
        <v>615094000</v>
      </c>
      <c r="Q181" s="5" t="s">
        <v>49396</v>
      </c>
      <c r="R181" s="5"/>
      <c r="S181" s="5" t="s">
        <v>49397</v>
      </c>
      <c r="T181" s="28">
        <v>3246199000</v>
      </c>
      <c r="U181" s="28">
        <v>65866000</v>
      </c>
      <c r="V181" s="28">
        <v>1238039000</v>
      </c>
      <c r="W181" s="28">
        <v>8500000</v>
      </c>
      <c r="X181" s="28">
        <v>4812000</v>
      </c>
      <c r="Y181" s="28">
        <v>6129331000</v>
      </c>
      <c r="Z181" s="28">
        <v>-103302000</v>
      </c>
      <c r="AA181" s="28">
        <v>2730440000</v>
      </c>
      <c r="AB181" s="28">
        <v>328349000</v>
      </c>
      <c r="AC181" s="28">
        <v>2781972000</v>
      </c>
      <c r="AD181" s="28">
        <v>551309000</v>
      </c>
      <c r="AE181" s="28">
        <v>10883496000</v>
      </c>
      <c r="AF181" s="28">
        <v>95360000</v>
      </c>
      <c r="AG181" s="11"/>
    </row>
    <row r="182">
      <c r="A182" s="7" t="s">
        <v>1931</v>
      </c>
      <c r="B182" s="5" t="s">
        <v>9902</v>
      </c>
      <c r="C182" s="5" t="s">
        <v>17809</v>
      </c>
      <c r="D182" s="5" t="str">
        <v>672501063077</v>
      </c>
      <c r="E182" s="0" t="e">
        <f>+7 (48134) 58812
+7 (48134) 58879</f>
        <v>#NAME?</v>
      </c>
      <c r="F182" s="5"/>
      <c r="G182" s="5" t="s">
        <v>25798</v>
      </c>
      <c r="H182" s="26">
        <v>3</v>
      </c>
      <c r="I182" s="5" t="s">
        <v>25799</v>
      </c>
      <c r="J182" s="5" t="s">
        <v>25800</v>
      </c>
      <c r="K182" s="5" t="s">
        <v>344</v>
      </c>
      <c r="L182" s="5" t="s">
        <v>25801</v>
      </c>
      <c r="M182" s="27"/>
      <c r="N182" s="5"/>
      <c r="O182" s="5" t="str">
        <v>6725033780</v>
      </c>
      <c r="P182" s="27">
        <v>1000000</v>
      </c>
      <c r="Q182" s="5" t="s">
        <v>49059</v>
      </c>
      <c r="R182" s="5"/>
      <c r="S182" s="5" t="s">
        <v>49029</v>
      </c>
      <c r="T182" s="28">
        <v>395685000</v>
      </c>
      <c r="U182" s="28"/>
      <c r="V182" s="28">
        <v>1066258000</v>
      </c>
      <c r="W182" s="28"/>
      <c r="X182" s="28">
        <v>39090000</v>
      </c>
      <c r="Y182" s="28">
        <v>1977019000</v>
      </c>
      <c r="Z182" s="28">
        <v>136908000</v>
      </c>
      <c r="AA182" s="28">
        <v>554161000</v>
      </c>
      <c r="AB182" s="28">
        <v>783767000</v>
      </c>
      <c r="AC182" s="28">
        <v>1277200000</v>
      </c>
      <c r="AD182" s="28">
        <v>137908000</v>
      </c>
      <c r="AE182" s="28">
        <v>5081551000</v>
      </c>
      <c r="AF182" s="28">
        <v>118631000</v>
      </c>
      <c r="AG182" s="11"/>
    </row>
    <row r="183">
      <c r="A183" s="7" t="s">
        <v>1932</v>
      </c>
      <c r="B183" s="5" t="s">
        <v>9903</v>
      </c>
      <c r="C183" s="5" t="s">
        <v>17810</v>
      </c>
      <c r="D183" s="5" t="str">
        <v>614905381948</v>
      </c>
      <c r="E183" s="0" t="e">
        <f>+7 (863) 3032930
+7 (863) 3332809
+7 (86342) 67539
+7 (86342) 67654
+7 (918) 5277919
+7 (928) 6176643
+7 (928) 7580050</f>
        <v>#NAME?</v>
      </c>
      <c r="F183" s="5" t="s">
        <v>25802</v>
      </c>
      <c r="G183" s="5" t="s">
        <v>25803</v>
      </c>
      <c r="H183" s="26">
        <v>12.5</v>
      </c>
      <c r="I183" s="5" t="s">
        <v>25804</v>
      </c>
      <c r="J183" s="5" t="s">
        <v>25805</v>
      </c>
      <c r="K183" s="5" t="s">
        <v>344</v>
      </c>
      <c r="L183" s="5" t="s">
        <v>25806</v>
      </c>
      <c r="M183" s="27"/>
      <c r="N183" s="5"/>
      <c r="O183" s="5" t="str">
        <v>6164298323</v>
      </c>
      <c r="P183" s="27">
        <v>10000</v>
      </c>
      <c r="Q183" s="5"/>
      <c r="R183" s="5"/>
      <c r="S183" s="5" t="s">
        <v>49029</v>
      </c>
      <c r="T183" s="28">
        <v>27196000</v>
      </c>
      <c r="U183" s="28"/>
      <c r="V183" s="28">
        <v>441616000</v>
      </c>
      <c r="W183" s="28">
        <v>1884000</v>
      </c>
      <c r="X183" s="28">
        <v>90709000</v>
      </c>
      <c r="Y183" s="28">
        <v>983455000</v>
      </c>
      <c r="Z183" s="28">
        <v>277319000</v>
      </c>
      <c r="AA183" s="28"/>
      <c r="AB183" s="28">
        <v>374300000</v>
      </c>
      <c r="AC183" s="28">
        <v>697479000</v>
      </c>
      <c r="AD183" s="28">
        <v>277329000</v>
      </c>
      <c r="AE183" s="28">
        <v>3457342000</v>
      </c>
      <c r="AF183" s="28">
        <v>44944000</v>
      </c>
      <c r="AG183" s="11"/>
    </row>
    <row r="184">
      <c r="A184" s="7" t="s">
        <v>1933</v>
      </c>
      <c r="B184" s="5" t="s">
        <v>9904</v>
      </c>
      <c r="C184" s="5" t="s">
        <v>17811</v>
      </c>
      <c r="D184" s="5" t="str">
        <v>771977695995</v>
      </c>
      <c r="E184" s="0" t="e">
        <f>+7 (3432) 877796
+7 (345) 2595072
+7 (3472) 921929
+7 (3522) 630990
+7 (35329) 220
+7 (381) 2554085
+7 (383) 3090115
+7 (385) 2502723
+7 (4712) 393206
+7 (472) 2201875
+7 (473) 2502564
+7 (475) 2720596
+7 (483) 2321011
+7 (4862) 540494
+7 (4912) 506449</f>
        <v>#NAME?</v>
      </c>
      <c r="F184" s="5"/>
      <c r="G184" s="5" t="s">
        <v>25807</v>
      </c>
      <c r="H184" s="26">
        <v>20.5</v>
      </c>
      <c r="I184" s="5" t="s">
        <v>25808</v>
      </c>
      <c r="J184" s="5" t="s">
        <v>25262</v>
      </c>
      <c r="K184" s="5" t="s">
        <v>344</v>
      </c>
      <c r="L184" s="5" t="s">
        <v>25809</v>
      </c>
      <c r="M184" s="27">
        <v>60766390</v>
      </c>
      <c r="N184" s="5" t="s">
        <v>49398</v>
      </c>
      <c r="O184" s="5" t="str">
        <v>7708204519</v>
      </c>
      <c r="P184" s="27">
        <v>30000</v>
      </c>
      <c r="Q184" s="5"/>
      <c r="R184" s="5"/>
      <c r="S184" s="5" t="s">
        <v>49399</v>
      </c>
      <c r="T184" s="28">
        <v>329314000</v>
      </c>
      <c r="U184" s="28">
        <v>256504000</v>
      </c>
      <c r="V184" s="28">
        <v>2137643000</v>
      </c>
      <c r="W184" s="28">
        <v>56007000</v>
      </c>
      <c r="X184" s="28">
        <v>2225730000</v>
      </c>
      <c r="Y184" s="28">
        <v>13882083000</v>
      </c>
      <c r="Z184" s="28">
        <v>3332208000</v>
      </c>
      <c r="AA184" s="28">
        <v>10470000</v>
      </c>
      <c r="AB184" s="28">
        <v>833480000</v>
      </c>
      <c r="AC184" s="28">
        <v>9540557000</v>
      </c>
      <c r="AD184" s="28">
        <v>4020738000</v>
      </c>
      <c r="AE184" s="28">
        <v>14897840000</v>
      </c>
      <c r="AF184" s="28">
        <v>1538393000</v>
      </c>
      <c r="AG184" s="11"/>
    </row>
    <row r="185">
      <c r="A185" s="7" t="s">
        <v>1934</v>
      </c>
      <c r="B185" s="5" t="s">
        <v>9905</v>
      </c>
      <c r="C185" s="5" t="s">
        <v>17812</v>
      </c>
      <c r="D185" s="5" t="str">
        <v>052307016800</v>
      </c>
      <c r="E185" s="0" t="e">
        <f>+7 (988) 3098880
+7 (86135) 46556
+7 (916) 7959634</f>
        <v>#NAME?</v>
      </c>
      <c r="F185" s="5" t="s">
        <v>25810</v>
      </c>
      <c r="G185" s="5"/>
      <c r="H185" s="26">
        <v>8</v>
      </c>
      <c r="I185" s="5" t="s">
        <v>25811</v>
      </c>
      <c r="J185" s="5" t="s">
        <v>25812</v>
      </c>
      <c r="K185" s="5" t="s">
        <v>380</v>
      </c>
      <c r="L185" s="5" t="s">
        <v>25813</v>
      </c>
      <c r="M185" s="27">
        <v>778937704</v>
      </c>
      <c r="N185" s="5" t="s">
        <v>49400</v>
      </c>
      <c r="O185" s="5" t="str">
        <v>2373008461</v>
      </c>
      <c r="P185" s="27">
        <v>500000</v>
      </c>
      <c r="Q185" s="5" t="s">
        <v>49059</v>
      </c>
      <c r="R185" s="5"/>
      <c r="S185" s="5" t="s">
        <v>49401</v>
      </c>
      <c r="T185" s="28">
        <v>1101825000</v>
      </c>
      <c r="U185" s="28"/>
      <c r="V185" s="28">
        <v>409196000</v>
      </c>
      <c r="W185" s="28">
        <v>133164000</v>
      </c>
      <c r="X185" s="28">
        <v>1269000</v>
      </c>
      <c r="Y185" s="28">
        <v>2484688000</v>
      </c>
      <c r="Z185" s="28">
        <v>55298000</v>
      </c>
      <c r="AA185" s="28">
        <v>6475000</v>
      </c>
      <c r="AB185" s="28">
        <v>24005000</v>
      </c>
      <c r="AC185" s="28">
        <v>1180710000</v>
      </c>
      <c r="AD185" s="28">
        <v>55798000</v>
      </c>
      <c r="AE185" s="28">
        <v>5085530000</v>
      </c>
      <c r="AF185" s="28">
        <v>32105000</v>
      </c>
      <c r="AG185" s="11"/>
    </row>
    <row r="186">
      <c r="A186" s="7" t="s">
        <v>1935</v>
      </c>
      <c r="B186" s="5" t="s">
        <v>9906</v>
      </c>
      <c r="C186" s="5" t="s">
        <v>17813</v>
      </c>
      <c r="D186" s="5" t="str">
        <v>761001040559</v>
      </c>
      <c r="E186" s="0" t="e">
        <f>+7 (3472) 875250
+7 (473) 2502796
+7 (485) 2287797
+7 (485) 2670797
+7 (831) 2820436
+7 (8432) 42469
+7 (846) 2026663
+7 (910) 9765986</f>
        <v>#NAME?</v>
      </c>
      <c r="F186" s="5" t="s">
        <v>25814</v>
      </c>
      <c r="G186" s="5"/>
      <c r="H186" s="26">
        <v>15</v>
      </c>
      <c r="I186" s="5" t="s">
        <v>25815</v>
      </c>
      <c r="J186" s="5" t="s">
        <v>25429</v>
      </c>
      <c r="K186" s="5" t="s">
        <v>344</v>
      </c>
      <c r="L186" s="5" t="s">
        <v>25816</v>
      </c>
      <c r="M186" s="27"/>
      <c r="N186" s="5" t="s">
        <v>49402</v>
      </c>
      <c r="O186" s="5" t="str">
        <v>7604130710</v>
      </c>
      <c r="P186" s="27">
        <v>10000</v>
      </c>
      <c r="Q186" s="5"/>
      <c r="R186" s="5"/>
      <c r="S186" s="5" t="s">
        <v>49399</v>
      </c>
      <c r="T186" s="28">
        <v>18149000</v>
      </c>
      <c r="U186" s="28"/>
      <c r="V186" s="28">
        <v>176783000</v>
      </c>
      <c r="W186" s="28">
        <v>282000</v>
      </c>
      <c r="X186" s="28">
        <v>140341000</v>
      </c>
      <c r="Y186" s="28">
        <v>770629000</v>
      </c>
      <c r="Z186" s="28">
        <v>559521000</v>
      </c>
      <c r="AA186" s="28"/>
      <c r="AB186" s="28"/>
      <c r="AC186" s="28">
        <v>211098000</v>
      </c>
      <c r="AD186" s="28">
        <v>559531000</v>
      </c>
      <c r="AE186" s="28">
        <v>3351620000</v>
      </c>
      <c r="AF186" s="28">
        <v>127058000</v>
      </c>
      <c r="AG186" s="11"/>
    </row>
    <row r="187">
      <c r="A187" s="7" t="s">
        <v>1936</v>
      </c>
      <c r="B187" s="5" t="s">
        <v>9907</v>
      </c>
      <c r="C187" s="5" t="s">
        <v>17814</v>
      </c>
      <c r="D187" s="5"/>
      <c r="E187" s="0" t="e">
        <f>+7 (495) 5029790
+7 (495) 5029797
+7 (495) 6628888</f>
        <v>#NAME?</v>
      </c>
      <c r="F187" s="5"/>
      <c r="G187" s="5"/>
      <c r="H187" s="26">
        <v>22</v>
      </c>
      <c r="I187" s="5" t="s">
        <v>25817</v>
      </c>
      <c r="J187" s="5" t="s">
        <v>866</v>
      </c>
      <c r="K187" s="5" t="s">
        <v>355</v>
      </c>
      <c r="L187" s="5" t="s">
        <v>25818</v>
      </c>
      <c r="M187" s="27">
        <v>10718524</v>
      </c>
      <c r="N187" s="5" t="s">
        <v>49403</v>
      </c>
      <c r="O187" s="5" t="str">
        <v>7714211088</v>
      </c>
      <c r="P187" s="27">
        <v>3120000</v>
      </c>
      <c r="Q187" s="5" t="s">
        <v>49009</v>
      </c>
      <c r="R187" s="5"/>
      <c r="S187" s="5" t="s">
        <v>49010</v>
      </c>
      <c r="T187" s="28">
        <v>15144244000</v>
      </c>
      <c r="U187" s="28">
        <v>45000000</v>
      </c>
      <c r="V187" s="28">
        <v>19503034000</v>
      </c>
      <c r="W187" s="28"/>
      <c r="X187" s="28">
        <v>5225000</v>
      </c>
      <c r="Y187" s="28">
        <v>36127658000</v>
      </c>
      <c r="Z187" s="28">
        <v>-3796979000</v>
      </c>
      <c r="AA187" s="28"/>
      <c r="AB187" s="28">
        <v>15707534000</v>
      </c>
      <c r="AC187" s="28">
        <v>23726865000</v>
      </c>
      <c r="AD187" s="28">
        <v>10781141000</v>
      </c>
      <c r="AE187" s="28">
        <v>40955212000</v>
      </c>
      <c r="AF187" s="28">
        <v>-2414607000</v>
      </c>
      <c r="AG187" s="11"/>
    </row>
    <row r="188">
      <c r="A188" s="7" t="s">
        <v>1937</v>
      </c>
      <c r="B188" s="5" t="s">
        <v>9908</v>
      </c>
      <c r="C188" s="5" t="s">
        <v>17815</v>
      </c>
      <c r="D188" s="5" t="str">
        <v>246600955068</v>
      </c>
      <c r="E188" s="0" t="e">
        <f>+7 (921) 9460001
+7 (950) 273070
+7 (35373) 72233
+7 (4232) 650749
+7 (48646) 20454
+7 (495) 7921912
+7 (812) 2404310
+7 (812) 2404330
+7 (812) 2404333
+7 (812) 4958707
+7 (86150) 33151
+7 (86150) 33184
+7 (86150) 98348</f>
        <v>#NAME?</v>
      </c>
      <c r="F188" s="5" t="s">
        <v>25819</v>
      </c>
      <c r="G188" s="5" t="s">
        <v>25820</v>
      </c>
      <c r="H188" s="26">
        <v>14.5</v>
      </c>
      <c r="I188" s="5" t="s">
        <v>25821</v>
      </c>
      <c r="J188" s="5" t="s">
        <v>25822</v>
      </c>
      <c r="K188" s="5" t="s">
        <v>344</v>
      </c>
      <c r="L188" s="5" t="s">
        <v>25823</v>
      </c>
      <c r="M188" s="27"/>
      <c r="N188" s="5" t="s">
        <v>49404</v>
      </c>
      <c r="O188" s="5" t="str">
        <v>7814413641</v>
      </c>
      <c r="P188" s="27">
        <v>435823921</v>
      </c>
      <c r="Q188" s="5" t="s">
        <v>49009</v>
      </c>
      <c r="R188" s="5"/>
      <c r="S188" s="5" t="s">
        <v>49405</v>
      </c>
      <c r="T188" s="28">
        <v>257811000</v>
      </c>
      <c r="U188" s="28">
        <v>1044983000</v>
      </c>
      <c r="V188" s="28">
        <v>3053897000</v>
      </c>
      <c r="W188" s="28"/>
      <c r="X188" s="28">
        <v>132535000</v>
      </c>
      <c r="Y188" s="28">
        <v>6303110000</v>
      </c>
      <c r="Z188" s="28">
        <v>1227103000</v>
      </c>
      <c r="AA188" s="28">
        <v>401591000</v>
      </c>
      <c r="AB188" s="28">
        <v>100137000</v>
      </c>
      <c r="AC188" s="28">
        <v>3980763000</v>
      </c>
      <c r="AD188" s="28">
        <v>1665906000</v>
      </c>
      <c r="AE188" s="28">
        <v>19319393000</v>
      </c>
      <c r="AF188" s="28">
        <v>395720000</v>
      </c>
      <c r="AG188" s="11"/>
    </row>
    <row r="189">
      <c r="A189" s="7" t="s">
        <v>1938</v>
      </c>
      <c r="B189" s="5" t="s">
        <v>9909</v>
      </c>
      <c r="C189" s="5" t="s">
        <v>17816</v>
      </c>
      <c r="D189" s="5" t="str">
        <v>344505616836</v>
      </c>
      <c r="E189" s="0" t="e">
        <f>+7 (844) 2239576
+7 (844) 2369403
+7 (844) 2369404
+7 (844) 2369405</f>
        <v>#NAME?</v>
      </c>
      <c r="F189" s="5" t="s">
        <v>25824</v>
      </c>
      <c r="G189" s="5"/>
      <c r="H189" s="26">
        <v>16.5</v>
      </c>
      <c r="I189" s="5" t="s">
        <v>25825</v>
      </c>
      <c r="J189" s="5" t="s">
        <v>25826</v>
      </c>
      <c r="K189" s="5" t="s">
        <v>344</v>
      </c>
      <c r="L189" s="5" t="s">
        <v>25827</v>
      </c>
      <c r="M189" s="27"/>
      <c r="N189" s="5" t="s">
        <v>49406</v>
      </c>
      <c r="O189" s="5" t="str">
        <v>3444134668</v>
      </c>
      <c r="P189" s="27">
        <v>10000</v>
      </c>
      <c r="Q189" s="5"/>
      <c r="R189" s="5"/>
      <c r="S189" s="5" t="s">
        <v>49047</v>
      </c>
      <c r="T189" s="28">
        <v>178567000</v>
      </c>
      <c r="U189" s="28">
        <v>14307000</v>
      </c>
      <c r="V189" s="28">
        <v>1146705000</v>
      </c>
      <c r="W189" s="28">
        <v>189487000</v>
      </c>
      <c r="X189" s="28">
        <v>2835000</v>
      </c>
      <c r="Y189" s="28">
        <v>3392090000</v>
      </c>
      <c r="Z189" s="28">
        <v>1030878000</v>
      </c>
      <c r="AA189" s="28">
        <v>46500000</v>
      </c>
      <c r="AB189" s="28">
        <v>856000000</v>
      </c>
      <c r="AC189" s="28">
        <v>2195322000</v>
      </c>
      <c r="AD189" s="28">
        <v>1030891000</v>
      </c>
      <c r="AE189" s="28">
        <v>4798191000</v>
      </c>
      <c r="AF189" s="28">
        <v>271048000</v>
      </c>
      <c r="AG189" s="11"/>
    </row>
    <row r="190">
      <c r="A190" s="7" t="s">
        <v>1939</v>
      </c>
      <c r="B190" s="5" t="s">
        <v>9910</v>
      </c>
      <c r="C190" s="5" t="s">
        <v>17817</v>
      </c>
      <c r="D190" s="5" t="str">
        <v>402407079841</v>
      </c>
      <c r="E190" s="0" t="e">
        <f>+7 (48444) 68372
+7 (48444) 68374
+7 (48444) 68375
+7 (48444) 68386
+7 (48444) 68387
+7 (495) 2048555
+7 (495) 6048555
+7 (495) 7818197</f>
        <v>#NAME?</v>
      </c>
      <c r="F190" s="5"/>
      <c r="G190" s="5"/>
      <c r="H190" s="26">
        <v>10</v>
      </c>
      <c r="I190" s="5" t="s">
        <v>25828</v>
      </c>
      <c r="J190" s="5" t="s">
        <v>25829</v>
      </c>
      <c r="K190" s="5" t="s">
        <v>355</v>
      </c>
      <c r="L190" s="5"/>
      <c r="M190" s="27"/>
      <c r="N190" s="5"/>
      <c r="O190" s="5" t="str">
        <v>4012005152</v>
      </c>
      <c r="P190" s="27">
        <v>10000</v>
      </c>
      <c r="Q190" s="5" t="s">
        <v>49009</v>
      </c>
      <c r="R190" s="5"/>
      <c r="S190" s="5" t="s">
        <v>49408</v>
      </c>
      <c r="T190" s="28">
        <v>17171081000</v>
      </c>
      <c r="U190" s="28"/>
      <c r="V190" s="28">
        <v>1406138000</v>
      </c>
      <c r="W190" s="28"/>
      <c r="X190" s="28">
        <v>216841000</v>
      </c>
      <c r="Y190" s="28">
        <v>19980789000</v>
      </c>
      <c r="Z190" s="28">
        <v>-361240000</v>
      </c>
      <c r="AA190" s="28">
        <v>15559560000</v>
      </c>
      <c r="AB190" s="28">
        <v>2395000000</v>
      </c>
      <c r="AC190" s="28">
        <v>4748424000</v>
      </c>
      <c r="AD190" s="28">
        <v>1193146000</v>
      </c>
      <c r="AE190" s="28">
        <v>7690932000</v>
      </c>
      <c r="AF190" s="28">
        <v>604080000</v>
      </c>
      <c r="AG190" s="11"/>
    </row>
    <row r="191">
      <c r="A191" s="7" t="s">
        <v>1940</v>
      </c>
      <c r="B191" s="5" t="s">
        <v>9911</v>
      </c>
      <c r="C191" s="5" t="s">
        <v>17818</v>
      </c>
      <c r="D191" s="5" t="str">
        <v>480702476681</v>
      </c>
      <c r="E191" s="0" t="e">
        <f>+7 (800) 7002117
+7 (473) 2280800
+7 (473) 2280803
+7 (473) 2612105
+7 (473) 2612155
+7 (473) 2612156
+7 (473) 2612157
+7 (473) 2612169
+7 (980) 3420494</f>
        <v>#NAME?</v>
      </c>
      <c r="F191" s="5" t="s">
        <v>25830</v>
      </c>
      <c r="G191" s="5" t="s">
        <v>25831</v>
      </c>
      <c r="H191" s="26">
        <v>16.5</v>
      </c>
      <c r="I191" s="5" t="s">
        <v>25832</v>
      </c>
      <c r="J191" s="5" t="s">
        <v>25259</v>
      </c>
      <c r="K191" s="5" t="s">
        <v>344</v>
      </c>
      <c r="L191" s="5" t="s">
        <v>25833</v>
      </c>
      <c r="M191" s="27">
        <v>6778000</v>
      </c>
      <c r="N191" s="5" t="s">
        <v>49409</v>
      </c>
      <c r="O191" s="5" t="str">
        <v>3662114767</v>
      </c>
      <c r="P191" s="27">
        <v>10200</v>
      </c>
      <c r="Q191" s="5" t="s">
        <v>49410</v>
      </c>
      <c r="R191" s="5"/>
      <c r="S191" s="5" t="s">
        <v>49411</v>
      </c>
      <c r="T191" s="28">
        <v>267320000</v>
      </c>
      <c r="U191" s="28">
        <v>10000</v>
      </c>
      <c r="V191" s="28">
        <v>1147704000</v>
      </c>
      <c r="W191" s="28"/>
      <c r="X191" s="28">
        <v>919473000</v>
      </c>
      <c r="Y191" s="28">
        <v>3148535000</v>
      </c>
      <c r="Z191" s="28">
        <v>1326431000</v>
      </c>
      <c r="AA191" s="28">
        <v>139700000</v>
      </c>
      <c r="AB191" s="28">
        <v>114750000</v>
      </c>
      <c r="AC191" s="28">
        <v>1663775000</v>
      </c>
      <c r="AD191" s="28">
        <v>1326441000</v>
      </c>
      <c r="AE191" s="28">
        <v>3911114000</v>
      </c>
      <c r="AF191" s="28">
        <v>520320000</v>
      </c>
      <c r="AG191" s="11"/>
    </row>
    <row r="192">
      <c r="A192" s="7" t="s">
        <v>1941</v>
      </c>
      <c r="B192" s="5" t="s">
        <v>9912</v>
      </c>
      <c r="C192" s="5" t="s">
        <v>17819</v>
      </c>
      <c r="D192" s="5" t="str">
        <v>583400309308</v>
      </c>
      <c r="E192" s="0" t="e">
        <f>+7 (8412) 953333</f>
        <v>#NAME?</v>
      </c>
      <c r="F192" s="5" t="s">
        <v>25834</v>
      </c>
      <c r="G192" s="5" t="s">
        <v>25835</v>
      </c>
      <c r="H192" s="26">
        <v>28</v>
      </c>
      <c r="I192" s="5" t="s">
        <v>25836</v>
      </c>
      <c r="J192" s="5" t="s">
        <v>25837</v>
      </c>
      <c r="K192" s="5" t="s">
        <v>344</v>
      </c>
      <c r="L192" s="5" t="s">
        <v>25838</v>
      </c>
      <c r="M192" s="27"/>
      <c r="N192" s="5" t="s">
        <v>49412</v>
      </c>
      <c r="O192" s="5" t="str">
        <v>5836611474</v>
      </c>
      <c r="P192" s="27">
        <v>852050</v>
      </c>
      <c r="Q192" s="5" t="s">
        <v>49009</v>
      </c>
      <c r="R192" s="5"/>
      <c r="S192" s="5" t="s">
        <v>49045</v>
      </c>
      <c r="T192" s="28">
        <v>79056000</v>
      </c>
      <c r="U192" s="28"/>
      <c r="V192" s="28">
        <v>1461686000</v>
      </c>
      <c r="W192" s="28">
        <v>142030000</v>
      </c>
      <c r="X192" s="28">
        <v>9320000</v>
      </c>
      <c r="Y192" s="28">
        <v>2218644000</v>
      </c>
      <c r="Z192" s="28">
        <v>540770000</v>
      </c>
      <c r="AA192" s="28"/>
      <c r="AB192" s="28">
        <v>390614000</v>
      </c>
      <c r="AC192" s="28">
        <v>1671836000</v>
      </c>
      <c r="AD192" s="28">
        <v>541622000</v>
      </c>
      <c r="AE192" s="28">
        <v>3013978000</v>
      </c>
      <c r="AF192" s="28">
        <v>185391000</v>
      </c>
      <c r="AG192" s="11"/>
    </row>
    <row r="193">
      <c r="A193" s="7" t="s">
        <v>1942</v>
      </c>
      <c r="B193" s="5" t="s">
        <v>9913</v>
      </c>
      <c r="C193" s="5" t="s">
        <v>17820</v>
      </c>
      <c r="D193" s="5" t="str">
        <v>550613873313</v>
      </c>
      <c r="E193" s="0" t="e">
        <f>+7 (345) 2215795
+7 (3512) 400164
+7 (3522) 545464
+7 (381) 2551556
+7 (381) 2951534
+7 (381) 2999900
+7 (383) 3031580
+7 (384) 2360324
+7 (385) 2506245
+7 (391) 2323120
+7 (913) 1556879
+7 (913) 6696210</f>
        <v>#NAME?</v>
      </c>
      <c r="F193" s="5" t="s">
        <v>25839</v>
      </c>
      <c r="G193" s="5" t="s">
        <v>25840</v>
      </c>
      <c r="H193" s="26">
        <v>12.5</v>
      </c>
      <c r="I193" s="5" t="s">
        <v>25841</v>
      </c>
      <c r="J193" s="5" t="s">
        <v>25842</v>
      </c>
      <c r="K193" s="5" t="s">
        <v>344</v>
      </c>
      <c r="L193" s="5" t="s">
        <v>25843</v>
      </c>
      <c r="M193" s="27"/>
      <c r="N193" s="5" t="s">
        <v>49413</v>
      </c>
      <c r="O193" s="5" t="str">
        <v>5507220228</v>
      </c>
      <c r="P193" s="27">
        <v>10000</v>
      </c>
      <c r="Q193" s="5" t="s">
        <v>49414</v>
      </c>
      <c r="R193" s="5"/>
      <c r="S193" s="5" t="s">
        <v>49415</v>
      </c>
      <c r="T193" s="28">
        <v>226715000</v>
      </c>
      <c r="U193" s="28"/>
      <c r="V193" s="28">
        <v>1204649000</v>
      </c>
      <c r="W193" s="28">
        <v>156820000</v>
      </c>
      <c r="X193" s="28">
        <v>36628000</v>
      </c>
      <c r="Y193" s="28">
        <v>3416044000</v>
      </c>
      <c r="Z193" s="28">
        <v>1865277000</v>
      </c>
      <c r="AA193" s="28"/>
      <c r="AB193" s="28">
        <v>412926000</v>
      </c>
      <c r="AC193" s="28">
        <v>1529500000</v>
      </c>
      <c r="AD193" s="28">
        <v>1865287000</v>
      </c>
      <c r="AE193" s="28">
        <v>3252340000</v>
      </c>
      <c r="AF193" s="28">
        <v>563589000</v>
      </c>
      <c r="AG193" s="11"/>
    </row>
    <row r="194">
      <c r="A194" s="7" t="s">
        <v>1943</v>
      </c>
      <c r="B194" s="5" t="s">
        <v>9914</v>
      </c>
      <c r="C194" s="5" t="s">
        <v>17821</v>
      </c>
      <c r="D194" s="5" t="str">
        <v>504714621283</v>
      </c>
      <c r="E194" s="0" t="e">
        <f>+7 (800) 5051379
+7 (4712) 740516
+7 (4712) 740517
+7 (472) 2569328
+7 (473) 2070440
+7 (474) 2506550
+7 (475) 2456849
+7 (4862) 442920
+7 (4862) 442921
+7 (487) 2702176
+7 (4912) 500938
+7 (495) 1206615
+7 (495) 7814248
+7 (800) 7772590
+7 (812) 6771019</f>
        <v>#NAME?</v>
      </c>
      <c r="F194" s="5" t="s">
        <v>25844</v>
      </c>
      <c r="G194" s="5" t="s">
        <v>25845</v>
      </c>
      <c r="H194" s="26">
        <v>19</v>
      </c>
      <c r="I194" s="5" t="s">
        <v>25846</v>
      </c>
      <c r="J194" s="5" t="s">
        <v>25842</v>
      </c>
      <c r="K194" s="5" t="s">
        <v>344</v>
      </c>
      <c r="L194" s="5" t="s">
        <v>25847</v>
      </c>
      <c r="M194" s="27">
        <v>45565760</v>
      </c>
      <c r="N194" s="5" t="s">
        <v>49416</v>
      </c>
      <c r="O194" s="5" t="str">
        <v>7719502210</v>
      </c>
      <c r="P194" s="27">
        <v>170000000</v>
      </c>
      <c r="Q194" s="5" t="s">
        <v>49021</v>
      </c>
      <c r="R194" s="5"/>
      <c r="S194" s="5" t="s">
        <v>49417</v>
      </c>
      <c r="T194" s="28">
        <v>140266000</v>
      </c>
      <c r="U194" s="28"/>
      <c r="V194" s="28">
        <v>635410000</v>
      </c>
      <c r="W194" s="28">
        <v>1112000</v>
      </c>
      <c r="X194" s="28">
        <v>4915000</v>
      </c>
      <c r="Y194" s="28">
        <v>1574646000</v>
      </c>
      <c r="Z194" s="28">
        <v>420316000</v>
      </c>
      <c r="AA194" s="28">
        <v>78333000</v>
      </c>
      <c r="AB194" s="28">
        <v>347156000</v>
      </c>
      <c r="AC194" s="28">
        <v>832337000</v>
      </c>
      <c r="AD194" s="28">
        <v>590316000</v>
      </c>
      <c r="AE194" s="28">
        <v>3420986000</v>
      </c>
      <c r="AF194" s="28">
        <v>195047000</v>
      </c>
      <c r="AG194" s="11"/>
    </row>
    <row r="195">
      <c r="A195" s="7" t="s">
        <v>1944</v>
      </c>
      <c r="B195" s="5" t="s">
        <v>9915</v>
      </c>
      <c r="C195" s="5" t="s">
        <v>17822</v>
      </c>
      <c r="D195" s="5" t="str">
        <v>501208368960</v>
      </c>
      <c r="E195" s="0" t="e">
        <f>+7 (906) 4725688
+7 (909) 7715445</f>
        <v>#NAME?</v>
      </c>
      <c r="F195" s="5" t="s">
        <v>25848</v>
      </c>
      <c r="G195" s="5"/>
      <c r="H195" s="26">
        <v>8.5</v>
      </c>
      <c r="I195" s="5" t="s">
        <v>25849</v>
      </c>
      <c r="J195" s="5" t="s">
        <v>25850</v>
      </c>
      <c r="K195" s="5" t="s">
        <v>344</v>
      </c>
      <c r="L195" s="5" t="s">
        <v>25851</v>
      </c>
      <c r="M195" s="27">
        <v>5992</v>
      </c>
      <c r="N195" s="5"/>
      <c r="O195" s="5" t="str">
        <v>2636809993</v>
      </c>
      <c r="P195" s="27">
        <v>1210000</v>
      </c>
      <c r="Q195" s="5" t="s">
        <v>49319</v>
      </c>
      <c r="R195" s="5"/>
      <c r="S195" s="5" t="s">
        <v>49418</v>
      </c>
      <c r="T195" s="28">
        <v>28297000</v>
      </c>
      <c r="U195" s="28"/>
      <c r="V195" s="28">
        <v>327647000</v>
      </c>
      <c r="W195" s="28"/>
      <c r="X195" s="28">
        <v>4584000</v>
      </c>
      <c r="Y195" s="28">
        <v>1008726000</v>
      </c>
      <c r="Z195" s="28">
        <v>157828000</v>
      </c>
      <c r="AA195" s="28">
        <v>86593000</v>
      </c>
      <c r="AB195" s="28">
        <v>159000000</v>
      </c>
      <c r="AC195" s="28">
        <v>752366000</v>
      </c>
      <c r="AD195" s="28">
        <v>159038000</v>
      </c>
      <c r="AE195" s="28">
        <v>3568792000</v>
      </c>
      <c r="AF195" s="28">
        <v>35984000</v>
      </c>
      <c r="AG195" s="11"/>
    </row>
    <row r="196">
      <c r="A196" s="7" t="s">
        <v>1945</v>
      </c>
      <c r="B196" s="5" t="s">
        <v>9916</v>
      </c>
      <c r="C196" s="5" t="s">
        <v>17814</v>
      </c>
      <c r="D196" s="5"/>
      <c r="E196" s="0" t="e">
        <f>+7 (495) 5029768
+7 (495) 7866537
+7 (499) 2612466</f>
        <v>#NAME?</v>
      </c>
      <c r="F196" s="5"/>
      <c r="G196" s="5"/>
      <c r="H196" s="26">
        <v>22</v>
      </c>
      <c r="I196" s="5" t="s">
        <v>25852</v>
      </c>
      <c r="J196" s="5" t="s">
        <v>25853</v>
      </c>
      <c r="K196" s="5" t="s">
        <v>344</v>
      </c>
      <c r="L196" s="5" t="s">
        <v>25854</v>
      </c>
      <c r="M196" s="27">
        <v>19052313</v>
      </c>
      <c r="N196" s="5" t="s">
        <v>49419</v>
      </c>
      <c r="O196" s="5" t="str">
        <v>7715277300</v>
      </c>
      <c r="P196" s="27">
        <v>210310000</v>
      </c>
      <c r="Q196" s="5" t="s">
        <v>49009</v>
      </c>
      <c r="R196" s="5"/>
      <c r="S196" s="5" t="s">
        <v>49420</v>
      </c>
      <c r="T196" s="28">
        <v>21484193000</v>
      </c>
      <c r="U196" s="28"/>
      <c r="V196" s="28">
        <v>44293882000</v>
      </c>
      <c r="W196" s="28">
        <v>112594000</v>
      </c>
      <c r="X196" s="28">
        <v>1263631000</v>
      </c>
      <c r="Y196" s="28">
        <v>74582544000</v>
      </c>
      <c r="Z196" s="28">
        <v>13035733000</v>
      </c>
      <c r="AA196" s="28">
        <v>6966539000</v>
      </c>
      <c r="AB196" s="28">
        <v>258182000</v>
      </c>
      <c r="AC196" s="28">
        <v>41211079000</v>
      </c>
      <c r="AD196" s="28">
        <v>13246043000</v>
      </c>
      <c r="AE196" s="28">
        <v>224240926000</v>
      </c>
      <c r="AF196" s="28">
        <v>5922549000</v>
      </c>
      <c r="AG196" s="11"/>
    </row>
    <row r="197">
      <c r="A197" s="7" t="s">
        <v>1946</v>
      </c>
      <c r="B197" s="5" t="s">
        <v>9917</v>
      </c>
      <c r="C197" s="5" t="s">
        <v>17823</v>
      </c>
      <c r="D197" s="5" t="str">
        <v>501806286826</v>
      </c>
      <c r="E197" s="0" t="e">
        <f>+7 (495) 6260756
+7 (495) 9260756
+7 (926) 734531</f>
        <v>#NAME?</v>
      </c>
      <c r="F197" s="5" t="s">
        <v>25855</v>
      </c>
      <c r="G197" s="5" t="s">
        <v>25856</v>
      </c>
      <c r="H197" s="26">
        <v>13</v>
      </c>
      <c r="I197" s="5" t="s">
        <v>25857</v>
      </c>
      <c r="J197" s="5" t="s">
        <v>25837</v>
      </c>
      <c r="K197" s="5" t="s">
        <v>344</v>
      </c>
      <c r="L197" s="5" t="s">
        <v>25858</v>
      </c>
      <c r="M197" s="27"/>
      <c r="N197" s="5" t="s">
        <v>49421</v>
      </c>
      <c r="O197" s="5" t="str">
        <v>7705906140</v>
      </c>
      <c r="P197" s="27">
        <v>10000</v>
      </c>
      <c r="Q197" s="5"/>
      <c r="R197" s="5"/>
      <c r="S197" s="5" t="s">
        <v>49047</v>
      </c>
      <c r="T197" s="28">
        <v>1942000</v>
      </c>
      <c r="U197" s="28"/>
      <c r="V197" s="28">
        <v>264070000</v>
      </c>
      <c r="W197" s="28">
        <v>220000000</v>
      </c>
      <c r="X197" s="28">
        <v>4173000</v>
      </c>
      <c r="Y197" s="28">
        <v>676383000</v>
      </c>
      <c r="Z197" s="28">
        <v>589485000</v>
      </c>
      <c r="AA197" s="28"/>
      <c r="AB197" s="28"/>
      <c r="AC197" s="28">
        <v>86494000</v>
      </c>
      <c r="AD197" s="28">
        <v>589495000</v>
      </c>
      <c r="AE197" s="28">
        <v>3785702000</v>
      </c>
      <c r="AF197" s="28">
        <v>242686000</v>
      </c>
      <c r="AG197" s="11"/>
    </row>
    <row r="198">
      <c r="A198" s="7" t="s">
        <v>1947</v>
      </c>
      <c r="B198" s="5" t="s">
        <v>9918</v>
      </c>
      <c r="C198" s="5" t="s">
        <v>17824</v>
      </c>
      <c r="D198" s="5"/>
      <c r="E198" s="0" t="e">
        <f>+7 (4862) 435201
+7 (4862) 495333
+7 (48664) 21797
+7 (48664) 22072
+7 (48664) 22441</f>
        <v>#NAME?</v>
      </c>
      <c r="F198" s="5"/>
      <c r="G198" s="5"/>
      <c r="H198" s="26">
        <v>19.5</v>
      </c>
      <c r="I198" s="5" t="s">
        <v>25859</v>
      </c>
      <c r="J198" s="5" t="s">
        <v>725</v>
      </c>
      <c r="K198" s="5" t="s">
        <v>344</v>
      </c>
      <c r="L198" s="5" t="s">
        <v>25860</v>
      </c>
      <c r="M198" s="27"/>
      <c r="N198" s="5" t="s">
        <v>49422</v>
      </c>
      <c r="O198" s="5" t="str">
        <v>5721002902</v>
      </c>
      <c r="P198" s="27">
        <v>1017361091</v>
      </c>
      <c r="Q198" s="5" t="s">
        <v>49009</v>
      </c>
      <c r="R198" s="5" t="s">
        <v>49423</v>
      </c>
      <c r="S198" s="5" t="s">
        <v>49066</v>
      </c>
      <c r="T198" s="28">
        <v>1461080000</v>
      </c>
      <c r="U198" s="28">
        <v>1719000</v>
      </c>
      <c r="V198" s="28">
        <v>262473000</v>
      </c>
      <c r="W198" s="28">
        <v>100000</v>
      </c>
      <c r="X198" s="28">
        <v>686075000</v>
      </c>
      <c r="Y198" s="28">
        <v>3788388000</v>
      </c>
      <c r="Z198" s="28">
        <v>726534000</v>
      </c>
      <c r="AA198" s="28">
        <v>469921000</v>
      </c>
      <c r="AB198" s="28">
        <v>1031648000</v>
      </c>
      <c r="AC198" s="28">
        <v>1366511000</v>
      </c>
      <c r="AD198" s="28">
        <v>1786440000</v>
      </c>
      <c r="AE198" s="28">
        <v>3131423000</v>
      </c>
      <c r="AF198" s="28">
        <v>1263759000</v>
      </c>
      <c r="AG198" s="11"/>
    </row>
    <row r="199">
      <c r="A199" s="7" t="s">
        <v>1948</v>
      </c>
      <c r="B199" s="5" t="s">
        <v>9919</v>
      </c>
      <c r="C199" s="5" t="s">
        <v>17825</v>
      </c>
      <c r="D199" s="5" t="str">
        <v>246001266936</v>
      </c>
      <c r="E199" s="0" t="e">
        <f>+7 (391) 2682178
+7 (391) 2463288
+7 (391) 2682179
+7 (913) 1925019
+7 (962) 736353
+7 (962) 740064
+7 (962) 740084
+7 (962) 740201
+7 (965) 9004523
+7 (983) 1413183</f>
        <v>#NAME?</v>
      </c>
      <c r="F199" s="5" t="s">
        <v>25861</v>
      </c>
      <c r="G199" s="5" t="s">
        <v>25862</v>
      </c>
      <c r="H199" s="26">
        <v>15.5</v>
      </c>
      <c r="I199" s="5" t="s">
        <v>25863</v>
      </c>
      <c r="J199" s="5" t="s">
        <v>25864</v>
      </c>
      <c r="K199" s="5" t="s">
        <v>344</v>
      </c>
      <c r="L199" s="5" t="s">
        <v>25865</v>
      </c>
      <c r="M199" s="27"/>
      <c r="N199" s="5"/>
      <c r="O199" s="5" t="str">
        <v>2463200025</v>
      </c>
      <c r="P199" s="27">
        <v>10000</v>
      </c>
      <c r="Q199" s="5" t="s">
        <v>49059</v>
      </c>
      <c r="R199" s="5" t="s">
        <v>49424</v>
      </c>
      <c r="S199" s="5" t="s">
        <v>49425</v>
      </c>
      <c r="T199" s="28">
        <v>150000</v>
      </c>
      <c r="U199" s="28"/>
      <c r="V199" s="28">
        <v>37111000</v>
      </c>
      <c r="W199" s="28"/>
      <c r="X199" s="28">
        <v>93000</v>
      </c>
      <c r="Y199" s="28">
        <v>67088000</v>
      </c>
      <c r="Z199" s="28"/>
      <c r="AA199" s="28"/>
      <c r="AB199" s="28">
        <v>10204000</v>
      </c>
      <c r="AC199" s="28">
        <v>56780000</v>
      </c>
      <c r="AD199" s="28">
        <v>10308000</v>
      </c>
      <c r="AE199" s="28">
        <v>37378622000</v>
      </c>
      <c r="AF199" s="28">
        <v>681849000</v>
      </c>
      <c r="AG199" s="11"/>
    </row>
    <row r="200">
      <c r="A200" s="7" t="s">
        <v>1949</v>
      </c>
      <c r="B200" s="5" t="s">
        <v>9920</v>
      </c>
      <c r="C200" s="5" t="s">
        <v>17826</v>
      </c>
      <c r="D200" s="5" t="str">
        <v>263214666541</v>
      </c>
      <c r="E200" s="0" t="e">
        <f>+7 (495) 6462075
+7 (495) 9840535
+7 (909) 1515718
+7 (916) 1035486
+7 (916) 7310604
+7 (916) 8882933</f>
        <v>#NAME?</v>
      </c>
      <c r="F200" s="5" t="s">
        <v>25866</v>
      </c>
      <c r="G200" s="5" t="s">
        <v>25867</v>
      </c>
      <c r="H200" s="26">
        <v>18.5</v>
      </c>
      <c r="I200" s="5" t="s">
        <v>25868</v>
      </c>
      <c r="J200" s="5" t="s">
        <v>25869</v>
      </c>
      <c r="K200" s="5" t="s">
        <v>344</v>
      </c>
      <c r="L200" s="5" t="s">
        <v>25870</v>
      </c>
      <c r="M200" s="27"/>
      <c r="N200" s="5"/>
      <c r="O200" s="5" t="str">
        <v>7710553010</v>
      </c>
      <c r="P200" s="27">
        <v>10000</v>
      </c>
      <c r="Q200" s="5" t="s">
        <v>49057</v>
      </c>
      <c r="R200" s="5"/>
      <c r="S200" s="5" t="s">
        <v>49426</v>
      </c>
      <c r="T200" s="28">
        <v>230203000</v>
      </c>
      <c r="U200" s="28">
        <v>38774000</v>
      </c>
      <c r="V200" s="28">
        <v>141159000</v>
      </c>
      <c r="W200" s="28"/>
      <c r="X200" s="28">
        <v>115645000</v>
      </c>
      <c r="Y200" s="28">
        <v>664773000</v>
      </c>
      <c r="Z200" s="28">
        <v>70951000</v>
      </c>
      <c r="AA200" s="28"/>
      <c r="AB200" s="28">
        <v>100542000</v>
      </c>
      <c r="AC200" s="28">
        <v>593812000</v>
      </c>
      <c r="AD200" s="28">
        <v>70961000</v>
      </c>
      <c r="AE200" s="28">
        <v>4241042000</v>
      </c>
      <c r="AF200" s="28">
        <v>140606000</v>
      </c>
      <c r="AG200" s="11"/>
    </row>
    <row r="201">
      <c r="A201" s="7" t="s">
        <v>1950</v>
      </c>
      <c r="B201" s="5" t="s">
        <v>9921</v>
      </c>
      <c r="C201" s="5" t="s">
        <v>17827</v>
      </c>
      <c r="D201" s="5" t="str">
        <v>782612442584</v>
      </c>
      <c r="E201" s="0" t="e">
        <f>+7 (812) 6777700
+7 (812) 3136378
+7 (812) 4494141
+7 (912) 6777700</f>
        <v>#NAME?</v>
      </c>
      <c r="F201" s="5" t="s">
        <v>25871</v>
      </c>
      <c r="G201" s="5" t="s">
        <v>25872</v>
      </c>
      <c r="H201" s="26">
        <v>28</v>
      </c>
      <c r="I201" s="5" t="s">
        <v>25873</v>
      </c>
      <c r="J201" s="5" t="s">
        <v>25874</v>
      </c>
      <c r="K201" s="5" t="s">
        <v>344</v>
      </c>
      <c r="L201" s="5" t="s">
        <v>25875</v>
      </c>
      <c r="M201" s="27"/>
      <c r="N201" s="5"/>
      <c r="O201" s="5" t="str">
        <v>7816085379</v>
      </c>
      <c r="P201" s="27">
        <v>30000</v>
      </c>
      <c r="Q201" s="5" t="s">
        <v>49059</v>
      </c>
      <c r="R201" s="5"/>
      <c r="S201" s="5" t="s">
        <v>49028</v>
      </c>
      <c r="T201" s="28">
        <v>700608000</v>
      </c>
      <c r="U201" s="28">
        <v>83692000</v>
      </c>
      <c r="V201" s="28">
        <v>1062524000</v>
      </c>
      <c r="W201" s="28">
        <v>92300000</v>
      </c>
      <c r="X201" s="28">
        <v>17135000</v>
      </c>
      <c r="Y201" s="28">
        <v>2964659000</v>
      </c>
      <c r="Z201" s="28">
        <v>1498441000</v>
      </c>
      <c r="AA201" s="28">
        <v>780000000</v>
      </c>
      <c r="AB201" s="28">
        <v>385276000</v>
      </c>
      <c r="AC201" s="28">
        <v>659317000</v>
      </c>
      <c r="AD201" s="28">
        <v>1498471000</v>
      </c>
      <c r="AE201" s="28">
        <v>6883940000</v>
      </c>
      <c r="AF201" s="28">
        <v>387372000</v>
      </c>
      <c r="AG201" s="11"/>
    </row>
    <row r="202">
      <c r="A202" s="7" t="s">
        <v>1951</v>
      </c>
      <c r="B202" s="5" t="s">
        <v>9922</v>
      </c>
      <c r="C202" s="5" t="s">
        <v>17828</v>
      </c>
      <c r="D202" s="5" t="str">
        <v>560901861800</v>
      </c>
      <c r="E202" s="0" t="e">
        <f>+7 (35323) 5568
+7 (35323) 6084
+7 (35326) 18360
+7 (905) 8195693</f>
        <v>#NAME?</v>
      </c>
      <c r="F202" s="5" t="s">
        <v>25876</v>
      </c>
      <c r="G202" s="5"/>
      <c r="H202" s="26">
        <v>6.5</v>
      </c>
      <c r="I202" s="5" t="s">
        <v>25877</v>
      </c>
      <c r="J202" s="5" t="s">
        <v>25388</v>
      </c>
      <c r="K202" s="5" t="s">
        <v>344</v>
      </c>
      <c r="L202" s="5" t="s">
        <v>25878</v>
      </c>
      <c r="M202" s="27"/>
      <c r="N202" s="5"/>
      <c r="O202" s="5" t="str">
        <v>5609182395</v>
      </c>
      <c r="P202" s="27">
        <v>40000</v>
      </c>
      <c r="Q202" s="5" t="s">
        <v>49009</v>
      </c>
      <c r="R202" s="5"/>
      <c r="S202" s="5" t="s">
        <v>49010</v>
      </c>
      <c r="T202" s="28">
        <v>5646000</v>
      </c>
      <c r="U202" s="28"/>
      <c r="V202" s="28">
        <v>916046000</v>
      </c>
      <c r="W202" s="28">
        <v>215000000</v>
      </c>
      <c r="X202" s="28">
        <v>5008000</v>
      </c>
      <c r="Y202" s="28">
        <v>1396126000</v>
      </c>
      <c r="Z202" s="28">
        <v>188901000</v>
      </c>
      <c r="AA202" s="28"/>
      <c r="AB202" s="28"/>
      <c r="AC202" s="28">
        <v>1207185000</v>
      </c>
      <c r="AD202" s="28">
        <v>188941000</v>
      </c>
      <c r="AE202" s="28">
        <v>3146145000</v>
      </c>
      <c r="AF202" s="28">
        <v>153209000</v>
      </c>
      <c r="AG202" s="11"/>
    </row>
    <row r="203">
      <c r="A203" s="7" t="s">
        <v>1952</v>
      </c>
      <c r="B203" s="5" t="s">
        <v>9923</v>
      </c>
      <c r="C203" s="5" t="s">
        <v>17829</v>
      </c>
      <c r="D203" s="5" t="str">
        <v>710704091218</v>
      </c>
      <c r="E203" s="0" t="e">
        <f>+7 (487) 2268363
+7 (487) 2303363
+7 (487) 2554166
+7 (487) 2558428
+7 (910) 9449437</f>
        <v>#NAME?</v>
      </c>
      <c r="F203" s="5" t="s">
        <v>25879</v>
      </c>
      <c r="G203" s="5"/>
      <c r="H203" s="26">
        <v>18.5</v>
      </c>
      <c r="I203" s="5" t="s">
        <v>25880</v>
      </c>
      <c r="J203" s="5" t="s">
        <v>25881</v>
      </c>
      <c r="K203" s="5" t="s">
        <v>344</v>
      </c>
      <c r="L203" s="5" t="s">
        <v>25882</v>
      </c>
      <c r="M203" s="27"/>
      <c r="N203" s="5"/>
      <c r="O203" s="5" t="str">
        <v>7106060700</v>
      </c>
      <c r="P203" s="27">
        <v>10000</v>
      </c>
      <c r="Q203" s="5"/>
      <c r="R203" s="5"/>
      <c r="S203" s="5" t="s">
        <v>49110</v>
      </c>
      <c r="T203" s="28">
        <v>29909000</v>
      </c>
      <c r="U203" s="28"/>
      <c r="V203" s="28">
        <v>272807000</v>
      </c>
      <c r="W203" s="28"/>
      <c r="X203" s="28">
        <v>2423000</v>
      </c>
      <c r="Y203" s="28">
        <v>615150000</v>
      </c>
      <c r="Z203" s="28">
        <v>239858000</v>
      </c>
      <c r="AA203" s="28"/>
      <c r="AB203" s="28">
        <v>218726000</v>
      </c>
      <c r="AC203" s="28">
        <v>372041000</v>
      </c>
      <c r="AD203" s="28">
        <v>239868000</v>
      </c>
      <c r="AE203" s="28">
        <v>3549714000</v>
      </c>
      <c r="AF203" s="28">
        <v>53648000</v>
      </c>
      <c r="AG203" s="11"/>
    </row>
    <row r="204">
      <c r="A204" s="7" t="s">
        <v>1953</v>
      </c>
      <c r="B204" s="5" t="s">
        <v>9924</v>
      </c>
      <c r="C204" s="5" t="s">
        <v>17830</v>
      </c>
      <c r="D204" s="5" t="str">
        <v>711300080607</v>
      </c>
      <c r="F204" s="5" t="s">
        <v>25883</v>
      </c>
      <c r="G204" s="5"/>
      <c r="H204" s="26">
        <v>9</v>
      </c>
      <c r="I204" s="5" t="s">
        <v>25884</v>
      </c>
      <c r="J204" s="5" t="s">
        <v>25837</v>
      </c>
      <c r="K204" s="5" t="s">
        <v>344</v>
      </c>
      <c r="L204" s="5" t="s">
        <v>25885</v>
      </c>
      <c r="M204" s="27"/>
      <c r="N204" s="5"/>
      <c r="O204" s="5" t="str">
        <v>7714922268</v>
      </c>
      <c r="P204" s="27">
        <v>30000</v>
      </c>
      <c r="Q204" s="5"/>
      <c r="R204" s="5"/>
      <c r="S204" s="5" t="s">
        <v>49425</v>
      </c>
      <c r="T204" s="28">
        <v>7631000</v>
      </c>
      <c r="U204" s="28"/>
      <c r="V204" s="28">
        <v>982755000</v>
      </c>
      <c r="W204" s="28">
        <v>542214000</v>
      </c>
      <c r="X204" s="28">
        <v>1973000</v>
      </c>
      <c r="Y204" s="28">
        <v>1711199000</v>
      </c>
      <c r="Z204" s="28">
        <v>441940000</v>
      </c>
      <c r="AA204" s="28"/>
      <c r="AB204" s="28"/>
      <c r="AC204" s="28">
        <v>1267327000</v>
      </c>
      <c r="AD204" s="28">
        <v>441970000</v>
      </c>
      <c r="AE204" s="28">
        <v>5017511000</v>
      </c>
      <c r="AF204" s="28">
        <v>573376000</v>
      </c>
      <c r="AG204" s="11"/>
    </row>
    <row r="205">
      <c r="A205" s="7" t="s">
        <v>1954</v>
      </c>
      <c r="B205" s="5" t="s">
        <v>9925</v>
      </c>
      <c r="C205" s="5" t="s">
        <v>17831</v>
      </c>
      <c r="D205" s="5" t="str">
        <v>366605620381</v>
      </c>
      <c r="E205" s="0" t="e">
        <f>+7 (800) 1002960</f>
        <v>#NAME?</v>
      </c>
      <c r="F205" s="5" t="s">
        <v>25886</v>
      </c>
      <c r="G205" s="5" t="s">
        <v>25887</v>
      </c>
      <c r="H205" s="26">
        <v>4.5</v>
      </c>
      <c r="I205" s="5" t="s">
        <v>25888</v>
      </c>
      <c r="J205" s="5" t="s">
        <v>25889</v>
      </c>
      <c r="K205" s="5" t="s">
        <v>344</v>
      </c>
      <c r="L205" s="5" t="s">
        <v>25890</v>
      </c>
      <c r="M205" s="27"/>
      <c r="N205" s="5"/>
      <c r="O205" s="5" t="str">
        <v>3662263913</v>
      </c>
      <c r="P205" s="27">
        <v>400000</v>
      </c>
      <c r="Q205" s="5"/>
      <c r="R205" s="5"/>
      <c r="S205" s="5" t="s">
        <v>49029</v>
      </c>
      <c r="T205" s="28">
        <v>34156000</v>
      </c>
      <c r="U205" s="28"/>
      <c r="V205" s="28">
        <v>750938000</v>
      </c>
      <c r="W205" s="28"/>
      <c r="X205" s="28">
        <v>1883000</v>
      </c>
      <c r="Y205" s="28">
        <v>1170442000</v>
      </c>
      <c r="Z205" s="28">
        <v>100021000</v>
      </c>
      <c r="AA205" s="28">
        <v>146218000</v>
      </c>
      <c r="AB205" s="28">
        <v>486285000</v>
      </c>
      <c r="AC205" s="28">
        <v>638521000</v>
      </c>
      <c r="AD205" s="28">
        <v>355575000</v>
      </c>
      <c r="AE205" s="28">
        <v>7871201000</v>
      </c>
      <c r="AF205" s="28">
        <v>141404000</v>
      </c>
      <c r="AG205" s="11"/>
    </row>
    <row r="206">
      <c r="A206" s="7" t="s">
        <v>1955</v>
      </c>
      <c r="B206" s="5" t="s">
        <v>9926</v>
      </c>
      <c r="C206" s="5" t="s">
        <v>17832</v>
      </c>
      <c r="D206" s="5" t="str">
        <v>402700682843</v>
      </c>
      <c r="E206" s="0" t="e">
        <f>+7 (910) 7074637
+7 (495) 4398199
+7 (495) 4398274
+7 (495) 4398417
+7 (495) 4398509
+7 (495) 4398620
+7 (495) 4398913
+7 (495) 8418417
+7 (495) 8419464
+7 (495) 9775608</f>
        <v>#NAME?</v>
      </c>
      <c r="F206" s="5" t="s">
        <v>25891</v>
      </c>
      <c r="G206" s="5" t="s">
        <v>25892</v>
      </c>
      <c r="H206" s="26">
        <v>29</v>
      </c>
      <c r="I206" s="5"/>
      <c r="J206" s="5" t="s">
        <v>25829</v>
      </c>
      <c r="K206" s="5" t="s">
        <v>355</v>
      </c>
      <c r="L206" s="5"/>
      <c r="M206" s="27">
        <v>4249108</v>
      </c>
      <c r="N206" s="5" t="s">
        <v>49427</v>
      </c>
      <c r="O206" s="5" t="str">
        <v>5003003432</v>
      </c>
      <c r="P206" s="27">
        <v>920012</v>
      </c>
      <c r="Q206" s="5" t="s">
        <v>49009</v>
      </c>
      <c r="R206" s="5"/>
      <c r="S206" s="5" t="s">
        <v>49428</v>
      </c>
      <c r="T206" s="28">
        <v>2583983000</v>
      </c>
      <c r="U206" s="28">
        <v>1274565000</v>
      </c>
      <c r="V206" s="28">
        <v>275363000</v>
      </c>
      <c r="W206" s="28"/>
      <c r="X206" s="28">
        <v>123855000</v>
      </c>
      <c r="Y206" s="28">
        <v>4867543000</v>
      </c>
      <c r="Z206" s="28">
        <v>4023915000</v>
      </c>
      <c r="AA206" s="28"/>
      <c r="AB206" s="28">
        <v>34278000</v>
      </c>
      <c r="AC206" s="28">
        <v>352120000</v>
      </c>
      <c r="AD206" s="28">
        <v>4353870000</v>
      </c>
      <c r="AE206" s="28">
        <v>3268930000</v>
      </c>
      <c r="AF206" s="28">
        <v>-660055000</v>
      </c>
      <c r="AG206" s="11"/>
    </row>
    <row r="207">
      <c r="A207" s="7" t="s">
        <v>1956</v>
      </c>
      <c r="B207" s="5" t="s">
        <v>9927</v>
      </c>
      <c r="C207" s="5" t="s">
        <v>17833</v>
      </c>
      <c r="D207" s="5" t="str">
        <v>233503784070</v>
      </c>
      <c r="E207" s="0" t="e">
        <f>+7 (861) 2983721
+7 (86146) 42235
+7 (800) 2500690
+7 (861) 2983710
+7 (86157) 78027
+7 (86157) 78096
+7 (86157) 78333
+7 (86157) 78633
+7 (86167) 78333
+7 (86168) 43389
+7 (8617) 578333
+7 (918) 1173463
+7 (961) 5778333</f>
        <v>#NAME?</v>
      </c>
      <c r="F207" s="5" t="s">
        <v>25893</v>
      </c>
      <c r="G207" s="5" t="s">
        <v>25894</v>
      </c>
      <c r="H207" s="26">
        <v>29.5</v>
      </c>
      <c r="I207" s="5"/>
      <c r="J207" s="5" t="s">
        <v>25895</v>
      </c>
      <c r="K207" s="5" t="s">
        <v>344</v>
      </c>
      <c r="L207" s="5" t="s">
        <v>25896</v>
      </c>
      <c r="M207" s="27">
        <v>44949649</v>
      </c>
      <c r="N207" s="5" t="s">
        <v>49429</v>
      </c>
      <c r="O207" s="5" t="str">
        <v>2328000083</v>
      </c>
      <c r="P207" s="27">
        <v>46116160</v>
      </c>
      <c r="Q207" s="5" t="s">
        <v>49430</v>
      </c>
      <c r="R207" s="5" t="s">
        <v>49431</v>
      </c>
      <c r="S207" s="5" t="s">
        <v>49432</v>
      </c>
      <c r="T207" s="28">
        <v>49349082000</v>
      </c>
      <c r="U207" s="28">
        <v>44626937000</v>
      </c>
      <c r="V207" s="28">
        <v>19122640000</v>
      </c>
      <c r="W207" s="28">
        <v>268260000</v>
      </c>
      <c r="X207" s="28">
        <v>3813299000</v>
      </c>
      <c r="Y207" s="28">
        <v>145119331000</v>
      </c>
      <c r="Z207" s="28">
        <v>38584519000</v>
      </c>
      <c r="AA207" s="28">
        <v>52514857000</v>
      </c>
      <c r="AB207" s="28">
        <v>18615719000</v>
      </c>
      <c r="AC207" s="28">
        <v>41646522000</v>
      </c>
      <c r="AD207" s="28">
        <v>41497154000</v>
      </c>
      <c r="AE207" s="28">
        <v>78921826000</v>
      </c>
      <c r="AF207" s="28">
        <v>10686667000</v>
      </c>
      <c r="AG207" s="11"/>
    </row>
    <row r="208">
      <c r="A208" s="7" t="s">
        <v>1957</v>
      </c>
      <c r="B208" s="5" t="s">
        <v>9928</v>
      </c>
      <c r="C208" s="5" t="s">
        <v>17834</v>
      </c>
      <c r="D208" s="5" t="str">
        <v>232700710406</v>
      </c>
      <c r="E208" s="0" t="e">
        <f>+7 (86195) 56278</f>
        <v>#NAME?</v>
      </c>
      <c r="F208" s="5" t="s">
        <v>25897</v>
      </c>
      <c r="G208" s="5"/>
      <c r="H208" s="26">
        <v>17.5</v>
      </c>
      <c r="I208" s="5" t="s">
        <v>25898</v>
      </c>
      <c r="J208" s="5" t="s">
        <v>725</v>
      </c>
      <c r="K208" s="5" t="s">
        <v>344</v>
      </c>
      <c r="L208" s="5" t="s">
        <v>25899</v>
      </c>
      <c r="M208" s="27">
        <v>65377</v>
      </c>
      <c r="N208" s="5"/>
      <c r="O208" s="5" t="str">
        <v>2343017589</v>
      </c>
      <c r="P208" s="27">
        <v>4381570459</v>
      </c>
      <c r="Q208" s="5" t="s">
        <v>49434</v>
      </c>
      <c r="R208" s="5"/>
      <c r="S208" s="5" t="s">
        <v>49435</v>
      </c>
      <c r="T208" s="28">
        <v>6671753000</v>
      </c>
      <c r="U208" s="28">
        <v>307233000</v>
      </c>
      <c r="V208" s="28">
        <v>3867680000</v>
      </c>
      <c r="W208" s="28">
        <v>991540000</v>
      </c>
      <c r="X208" s="28">
        <v>127119000</v>
      </c>
      <c r="Y208" s="28">
        <v>16046064000</v>
      </c>
      <c r="Z208" s="28">
        <v>5452196000</v>
      </c>
      <c r="AA208" s="28">
        <v>439778000</v>
      </c>
      <c r="AB208" s="28">
        <v>1632287000</v>
      </c>
      <c r="AC208" s="28">
        <v>2471678000</v>
      </c>
      <c r="AD208" s="28">
        <v>10862015000</v>
      </c>
      <c r="AE208" s="28">
        <v>8179390000</v>
      </c>
      <c r="AF208" s="28">
        <v>3166659000</v>
      </c>
      <c r="AG208" s="11"/>
    </row>
    <row r="209">
      <c r="A209" s="7" t="s">
        <v>1958</v>
      </c>
      <c r="B209" s="5" t="s">
        <v>9929</v>
      </c>
      <c r="C209" s="5" t="s">
        <v>17835</v>
      </c>
      <c r="D209" s="5" t="str">
        <v>232801451564</v>
      </c>
      <c r="E209" s="0" t="e">
        <f>+7 (495) 9370555
+7 (86191) 22585
+7 (918) 9893001</f>
        <v>#NAME?</v>
      </c>
      <c r="F209" s="5" t="s">
        <v>25900</v>
      </c>
      <c r="G209" s="5"/>
      <c r="H209" s="26">
        <v>31</v>
      </c>
      <c r="I209" s="5"/>
      <c r="J209" s="5" t="s">
        <v>25901</v>
      </c>
      <c r="K209" s="5" t="s">
        <v>355</v>
      </c>
      <c r="L209" s="5" t="s">
        <v>25902</v>
      </c>
      <c r="M209" s="27">
        <v>185353</v>
      </c>
      <c r="N209" s="5"/>
      <c r="O209" s="5" t="str">
        <v>2360014203</v>
      </c>
      <c r="P209" s="27">
        <v>1206347000</v>
      </c>
      <c r="Q209" s="5" t="s">
        <v>49059</v>
      </c>
      <c r="R209" s="5" t="s">
        <v>49436</v>
      </c>
      <c r="S209" s="5" t="s">
        <v>49425</v>
      </c>
      <c r="T209" s="28">
        <v>3798799000</v>
      </c>
      <c r="U209" s="28">
        <v>274688000</v>
      </c>
      <c r="V209" s="28">
        <v>1248304000</v>
      </c>
      <c r="W209" s="28">
        <v>557500000</v>
      </c>
      <c r="X209" s="28">
        <v>56278000</v>
      </c>
      <c r="Y209" s="28">
        <v>7785094000</v>
      </c>
      <c r="Z209" s="28">
        <v>2813150000</v>
      </c>
      <c r="AA209" s="28">
        <v>70720000</v>
      </c>
      <c r="AB209" s="28">
        <v>2112374000</v>
      </c>
      <c r="AC209" s="28">
        <v>2502729000</v>
      </c>
      <c r="AD209" s="28">
        <v>4158843000</v>
      </c>
      <c r="AE209" s="28">
        <v>4665623000</v>
      </c>
      <c r="AF209" s="28">
        <v>768095000</v>
      </c>
      <c r="AG209" s="11"/>
    </row>
    <row r="210">
      <c r="A210" s="7" t="s">
        <v>1959</v>
      </c>
      <c r="B210" s="5" t="s">
        <v>9930</v>
      </c>
      <c r="C210" s="5" t="s">
        <v>17836</v>
      </c>
      <c r="D210" s="5" t="str">
        <v>234001859407</v>
      </c>
      <c r="E210" s="0" t="e">
        <f>+7 (86344) 30551
+7 (928) 1338421
+7 (86344) 30552
+7 (86373) 94254</f>
        <v>#NAME?</v>
      </c>
      <c r="F210" s="5" t="s">
        <v>25903</v>
      </c>
      <c r="G210" s="5"/>
      <c r="H210" s="26">
        <v>30.5</v>
      </c>
      <c r="I210" s="5" t="s">
        <v>25904</v>
      </c>
      <c r="J210" s="5" t="s">
        <v>725</v>
      </c>
      <c r="K210" s="5" t="s">
        <v>344</v>
      </c>
      <c r="L210" s="5" t="s">
        <v>25905</v>
      </c>
      <c r="M210" s="27">
        <v>25858</v>
      </c>
      <c r="N210" s="5" t="s">
        <v>49437</v>
      </c>
      <c r="O210" s="5" t="str">
        <v>6123016298</v>
      </c>
      <c r="P210" s="27">
        <v>1138721169</v>
      </c>
      <c r="Q210" s="5" t="s">
        <v>49434</v>
      </c>
      <c r="R210" s="5"/>
      <c r="S210" s="5" t="s">
        <v>49439</v>
      </c>
      <c r="T210" s="28">
        <v>6906589000</v>
      </c>
      <c r="U210" s="28">
        <v>826457000</v>
      </c>
      <c r="V210" s="28">
        <v>3452995000</v>
      </c>
      <c r="W210" s="28">
        <v>2700912000</v>
      </c>
      <c r="X210" s="28">
        <v>71021000</v>
      </c>
      <c r="Y210" s="28">
        <v>19757811000</v>
      </c>
      <c r="Z210" s="28">
        <v>7010504000</v>
      </c>
      <c r="AA210" s="28">
        <v>4058320000</v>
      </c>
      <c r="AB210" s="28">
        <v>2027437000</v>
      </c>
      <c r="AC210" s="28">
        <v>4293348000</v>
      </c>
      <c r="AD210" s="28">
        <v>8266851000</v>
      </c>
      <c r="AE210" s="28">
        <v>7778844000</v>
      </c>
      <c r="AF210" s="28">
        <v>2521768000</v>
      </c>
      <c r="AG210" s="11"/>
    </row>
    <row r="211">
      <c r="A211" s="7" t="s">
        <v>1960</v>
      </c>
      <c r="B211" s="5" t="s">
        <v>9931</v>
      </c>
      <c r="C211" s="5" t="s">
        <v>17837</v>
      </c>
      <c r="D211" s="5" t="str">
        <v>233407855708</v>
      </c>
      <c r="E211" s="0" t="e">
        <f>+7 (861) 6474630</f>
        <v>#NAME?</v>
      </c>
      <c r="F211" s="5" t="s">
        <v>25906</v>
      </c>
      <c r="G211" s="5"/>
      <c r="H211" s="26">
        <v>11.5</v>
      </c>
      <c r="I211" s="5" t="s">
        <v>25907</v>
      </c>
      <c r="J211" s="5" t="s">
        <v>25850</v>
      </c>
      <c r="K211" s="5" t="s">
        <v>355</v>
      </c>
      <c r="L211" s="5"/>
      <c r="M211" s="27">
        <v>1698897444</v>
      </c>
      <c r="N211" s="5"/>
      <c r="O211" s="5" t="str">
        <v>2334023755</v>
      </c>
      <c r="P211" s="27">
        <v>141482633</v>
      </c>
      <c r="Q211" s="5" t="s">
        <v>49057</v>
      </c>
      <c r="R211" s="5"/>
      <c r="S211" s="5" t="s">
        <v>49440</v>
      </c>
      <c r="T211" s="28">
        <v>61000</v>
      </c>
      <c r="U211" s="28">
        <v>102327000</v>
      </c>
      <c r="V211" s="28">
        <v>2390809000</v>
      </c>
      <c r="W211" s="28">
        <v>981089000</v>
      </c>
      <c r="X211" s="28">
        <v>178000</v>
      </c>
      <c r="Y211" s="28">
        <v>3489290000</v>
      </c>
      <c r="Z211" s="28">
        <v>659095000</v>
      </c>
      <c r="AA211" s="28"/>
      <c r="AB211" s="28">
        <v>3323000</v>
      </c>
      <c r="AC211" s="28">
        <v>2679512000</v>
      </c>
      <c r="AD211" s="28">
        <v>800578000</v>
      </c>
      <c r="AE211" s="28">
        <v>5104404000</v>
      </c>
      <c r="AF211" s="28">
        <v>125760000</v>
      </c>
      <c r="AG211" s="11"/>
    </row>
    <row r="212">
      <c r="A212" s="7" t="s">
        <v>1961</v>
      </c>
      <c r="B212" s="5" t="s">
        <v>9932</v>
      </c>
      <c r="C212" s="5" t="s">
        <v>17838</v>
      </c>
      <c r="D212" s="5" t="str">
        <v>780515768428</v>
      </c>
      <c r="E212" s="0" t="e">
        <f>+7 (985) 3112836
+7 (495) 1234001
+7 (495) 6492000
+7 (499) 1234004
+7 (499) 6492000</f>
        <v>#NAME?</v>
      </c>
      <c r="F212" s="5" t="s">
        <v>25908</v>
      </c>
      <c r="G212" s="5"/>
      <c r="H212" s="26">
        <v>8.5</v>
      </c>
      <c r="I212" s="5" t="s">
        <v>25909</v>
      </c>
      <c r="J212" s="5" t="s">
        <v>25910</v>
      </c>
      <c r="K212" s="5" t="s">
        <v>344</v>
      </c>
      <c r="L212" s="5" t="s">
        <v>25911</v>
      </c>
      <c r="M212" s="27"/>
      <c r="N212" s="5"/>
      <c r="O212" s="5" t="str">
        <v>5019026210</v>
      </c>
      <c r="P212" s="27">
        <v>50000000</v>
      </c>
      <c r="Q212" s="5" t="s">
        <v>49009</v>
      </c>
      <c r="R212" s="5"/>
      <c r="S212" s="5" t="s">
        <v>49408</v>
      </c>
      <c r="T212" s="28">
        <v>16387013000</v>
      </c>
      <c r="U212" s="28">
        <v>139183000</v>
      </c>
      <c r="V212" s="28">
        <v>796594000</v>
      </c>
      <c r="W212" s="28"/>
      <c r="X212" s="28">
        <v>234922000</v>
      </c>
      <c r="Y212" s="28">
        <v>18824377000</v>
      </c>
      <c r="Z212" s="28">
        <v>4147592000</v>
      </c>
      <c r="AA212" s="28">
        <v>11681417000</v>
      </c>
      <c r="AB212" s="28">
        <v>900000000</v>
      </c>
      <c r="AC212" s="28">
        <v>1456518000</v>
      </c>
      <c r="AD212" s="28">
        <v>4197592000</v>
      </c>
      <c r="AE212" s="28">
        <v>8127629000</v>
      </c>
      <c r="AF212" s="28">
        <v>539623000</v>
      </c>
      <c r="AG212" s="11"/>
    </row>
    <row r="213">
      <c r="A213" s="7" t="s">
        <v>1962</v>
      </c>
      <c r="B213" s="5" t="s">
        <v>9933</v>
      </c>
      <c r="C213" s="5" t="s">
        <v>17839</v>
      </c>
      <c r="D213" s="5" t="str">
        <v>230606991805</v>
      </c>
      <c r="E213" s="0" t="e">
        <f>+7 (989) 2978683</f>
        <v>#NAME?</v>
      </c>
      <c r="F213" s="5" t="s">
        <v>25912</v>
      </c>
      <c r="G213" s="5"/>
      <c r="H213" s="26">
        <v>3.5</v>
      </c>
      <c r="I213" s="5" t="s">
        <v>25913</v>
      </c>
      <c r="J213" s="5" t="s">
        <v>25837</v>
      </c>
      <c r="K213" s="5" t="s">
        <v>344</v>
      </c>
      <c r="L213" s="5" t="s">
        <v>25914</v>
      </c>
      <c r="M213" s="27">
        <v>527788</v>
      </c>
      <c r="N213" s="5"/>
      <c r="O213" s="5" t="str">
        <v>2363001210</v>
      </c>
      <c r="P213" s="27">
        <v>10000</v>
      </c>
      <c r="Q213" s="5" t="s">
        <v>49009</v>
      </c>
      <c r="R213" s="5"/>
      <c r="S213" s="5" t="s">
        <v>49066</v>
      </c>
      <c r="T213" s="28">
        <v>6071000</v>
      </c>
      <c r="U213" s="28"/>
      <c r="V213" s="28">
        <v>2417306000</v>
      </c>
      <c r="W213" s="28">
        <v>25065000</v>
      </c>
      <c r="X213" s="28">
        <v>176393000</v>
      </c>
      <c r="Y213" s="28">
        <v>3804814000</v>
      </c>
      <c r="Z213" s="28">
        <v>225158000</v>
      </c>
      <c r="AA213" s="28">
        <v>2844629000</v>
      </c>
      <c r="AB213" s="28">
        <v>3415000</v>
      </c>
      <c r="AC213" s="28">
        <v>709524000</v>
      </c>
      <c r="AD213" s="28">
        <v>225168000</v>
      </c>
      <c r="AE213" s="28">
        <v>7041771000</v>
      </c>
      <c r="AF213" s="28">
        <v>225142000</v>
      </c>
      <c r="AG213" s="11"/>
    </row>
    <row r="214">
      <c r="A214" s="7" t="s">
        <v>1963</v>
      </c>
      <c r="B214" s="5" t="s">
        <v>9934</v>
      </c>
      <c r="C214" s="5" t="s">
        <v>17840</v>
      </c>
      <c r="D214" s="5" t="str">
        <v>505301717972</v>
      </c>
      <c r="E214" s="0" t="e">
        <f>+7 (495) 9373275
+7 (35326) 46665
+7 (4712) 520787
+7 (4712) 549205
+7 (473) 2265639
+7 (473) 2604009
+7 (474) 2273042
+7 (474) 2724156
+7 (475) 2455915
+7 (48439) 44292
+7 (495) 9373296
+7 (84624) 11898
+7 (84624) 79216
+7 (910) 2310623
+7 (910) 5236668</f>
        <v>#NAME?</v>
      </c>
      <c r="F214" s="5" t="s">
        <v>25915</v>
      </c>
      <c r="G214" s="5" t="s">
        <v>25916</v>
      </c>
      <c r="H214" s="26">
        <v>11.5</v>
      </c>
      <c r="I214" s="5" t="s">
        <v>25917</v>
      </c>
      <c r="J214" s="5" t="s">
        <v>25512</v>
      </c>
      <c r="K214" s="5" t="s">
        <v>355</v>
      </c>
      <c r="L214" s="5" t="s">
        <v>25918</v>
      </c>
      <c r="M214" s="27"/>
      <c r="N214" s="5" t="s">
        <v>49442</v>
      </c>
      <c r="O214" s="5" t="str">
        <v>7713730066</v>
      </c>
      <c r="P214" s="27">
        <v>2000000</v>
      </c>
      <c r="Q214" s="5" t="s">
        <v>49443</v>
      </c>
      <c r="R214" s="5"/>
      <c r="S214" s="5" t="s">
        <v>49444</v>
      </c>
      <c r="T214" s="28">
        <v>75316000</v>
      </c>
      <c r="U214" s="28">
        <v>35627000</v>
      </c>
      <c r="V214" s="28">
        <v>4271070000</v>
      </c>
      <c r="W214" s="28">
        <v>60492000</v>
      </c>
      <c r="X214" s="28">
        <v>4475000</v>
      </c>
      <c r="Y214" s="28">
        <v>7752229000</v>
      </c>
      <c r="Z214" s="28">
        <v>1224188000</v>
      </c>
      <c r="AA214" s="28">
        <v>176510000</v>
      </c>
      <c r="AB214" s="28">
        <v>91217000</v>
      </c>
      <c r="AC214" s="28">
        <v>6319945000</v>
      </c>
      <c r="AD214" s="28">
        <v>1226188000</v>
      </c>
      <c r="AE214" s="28">
        <v>17405469000</v>
      </c>
      <c r="AF214" s="28">
        <v>471775000</v>
      </c>
      <c r="AG214" s="11"/>
    </row>
    <row r="215">
      <c r="A215" s="7" t="s">
        <v>1964</v>
      </c>
      <c r="B215" s="5" t="s">
        <v>9935</v>
      </c>
      <c r="C215" s="5" t="s">
        <v>17841</v>
      </c>
      <c r="D215" s="5" t="str">
        <v>260702407224</v>
      </c>
      <c r="E215" s="0" t="e">
        <f>+7 (861) 2034587
+7 (863) 3081785
+7 (8652) 206152
+7 (86545) 25587
+7 (86545) 40660
+7 (903) 4170249
+7 (905) 4119082
+7 (906) 4210998
+7 (906) 4623023
+7 (909) 7534787
+7 (909) 7551545
+7 (928) 1351650
+7 (928) 1359244
+7 (928) 1661671
+7 (928) 3180174</f>
        <v>#NAME?</v>
      </c>
      <c r="F215" s="5" t="s">
        <v>25919</v>
      </c>
      <c r="G215" s="5" t="s">
        <v>25920</v>
      </c>
      <c r="H215" s="26">
        <v>19</v>
      </c>
      <c r="I215" s="5" t="s">
        <v>25921</v>
      </c>
      <c r="J215" s="5" t="s">
        <v>25850</v>
      </c>
      <c r="K215" s="5" t="s">
        <v>344</v>
      </c>
      <c r="L215" s="5" t="s">
        <v>25922</v>
      </c>
      <c r="M215" s="27">
        <v>79949</v>
      </c>
      <c r="N215" s="5" t="s">
        <v>49445</v>
      </c>
      <c r="O215" s="5" t="str">
        <v>2607017369</v>
      </c>
      <c r="P215" s="27">
        <v>184248703</v>
      </c>
      <c r="Q215" s="5" t="s">
        <v>49446</v>
      </c>
      <c r="R215" s="5"/>
      <c r="S215" s="5" t="s">
        <v>49447</v>
      </c>
      <c r="T215" s="28">
        <v>598684000</v>
      </c>
      <c r="U215" s="28"/>
      <c r="V215" s="28">
        <v>889714000</v>
      </c>
      <c r="W215" s="28">
        <v>179694000</v>
      </c>
      <c r="X215" s="28">
        <v>1605000</v>
      </c>
      <c r="Y215" s="28">
        <v>2774012000</v>
      </c>
      <c r="Z215" s="28">
        <v>694681000</v>
      </c>
      <c r="AA215" s="28"/>
      <c r="AB215" s="28">
        <v>1558120000</v>
      </c>
      <c r="AC215" s="28">
        <v>1864929000</v>
      </c>
      <c r="AD215" s="28">
        <v>878930000</v>
      </c>
      <c r="AE215" s="28">
        <v>6107800000</v>
      </c>
      <c r="AF215" s="28">
        <v>30821000</v>
      </c>
      <c r="AG215" s="11"/>
    </row>
    <row r="216">
      <c r="A216" s="7" t="s">
        <v>1965</v>
      </c>
      <c r="B216" s="5" t="s">
        <v>9936</v>
      </c>
      <c r="C216" s="5" t="s">
        <v>17842</v>
      </c>
      <c r="D216" s="5" t="str">
        <v>670400016292</v>
      </c>
      <c r="E216" s="0" t="e">
        <f>+7 (472) 2400414
+7 (472) 2400415
+7 (472) 2400416
+7 (472) 2578828
+7 (980) 3786380</f>
        <v>#NAME?</v>
      </c>
      <c r="F216" s="5" t="s">
        <v>25923</v>
      </c>
      <c r="G216" s="5"/>
      <c r="H216" s="26">
        <v>19.5</v>
      </c>
      <c r="I216" s="5"/>
      <c r="J216" s="5" t="s">
        <v>25262</v>
      </c>
      <c r="K216" s="5" t="s">
        <v>344</v>
      </c>
      <c r="L216" s="5" t="s">
        <v>25924</v>
      </c>
      <c r="M216" s="27"/>
      <c r="N216" s="5" t="s">
        <v>49448</v>
      </c>
      <c r="O216" s="5" t="str">
        <v>3123099179</v>
      </c>
      <c r="P216" s="27">
        <v>3356300</v>
      </c>
      <c r="Q216" s="5" t="s">
        <v>49057</v>
      </c>
      <c r="R216" s="5" t="s">
        <v>49449</v>
      </c>
      <c r="S216" s="5" t="s">
        <v>49450</v>
      </c>
      <c r="T216" s="28">
        <v>46489000</v>
      </c>
      <c r="U216" s="28"/>
      <c r="V216" s="28">
        <v>1271091000</v>
      </c>
      <c r="W216" s="28">
        <v>17500000</v>
      </c>
      <c r="X216" s="28">
        <v>6607000</v>
      </c>
      <c r="Y216" s="28">
        <v>1618779000</v>
      </c>
      <c r="Z216" s="28">
        <v>256484000</v>
      </c>
      <c r="AA216" s="28"/>
      <c r="AB216" s="28"/>
      <c r="AC216" s="28">
        <v>1325753000</v>
      </c>
      <c r="AD216" s="28">
        <v>291785000</v>
      </c>
      <c r="AE216" s="28">
        <v>8472244000</v>
      </c>
      <c r="AF216" s="28">
        <v>205027000</v>
      </c>
      <c r="AG216" s="11"/>
    </row>
    <row r="217">
      <c r="A217" s="7" t="s">
        <v>1966</v>
      </c>
      <c r="B217" s="5" t="s">
        <v>9937</v>
      </c>
      <c r="C217" s="5" t="s">
        <v>17843</v>
      </c>
      <c r="D217" s="5" t="str">
        <v>320700096732</v>
      </c>
      <c r="E217" s="0" t="e">
        <f>+7 (483) 2580280
+7 (483) 2642218
+7 (483) 2941303
+7 (483) 2971683</f>
        <v>#NAME?</v>
      </c>
      <c r="F217" s="5" t="s">
        <v>25925</v>
      </c>
      <c r="G217" s="5"/>
      <c r="H217" s="26">
        <v>29.5</v>
      </c>
      <c r="I217" s="5"/>
      <c r="J217" s="5" t="s">
        <v>678</v>
      </c>
      <c r="K217" s="5" t="s">
        <v>344</v>
      </c>
      <c r="L217" s="5" t="s">
        <v>25926</v>
      </c>
      <c r="M217" s="27"/>
      <c r="N217" s="5" t="s">
        <v>49451</v>
      </c>
      <c r="O217" s="5" t="str">
        <v>3207004470</v>
      </c>
      <c r="P217" s="27">
        <v>5120</v>
      </c>
      <c r="Q217" s="5" t="s">
        <v>49057</v>
      </c>
      <c r="R217" s="5"/>
      <c r="S217" s="5" t="s">
        <v>49452</v>
      </c>
      <c r="T217" s="28">
        <v>56772000</v>
      </c>
      <c r="U217" s="28"/>
      <c r="V217" s="28">
        <v>885929000</v>
      </c>
      <c r="W217" s="28">
        <v>1800000</v>
      </c>
      <c r="X217" s="28">
        <v>2982000</v>
      </c>
      <c r="Y217" s="28">
        <v>1107509000</v>
      </c>
      <c r="Z217" s="28">
        <v>87144000</v>
      </c>
      <c r="AA217" s="28"/>
      <c r="AB217" s="28"/>
      <c r="AC217" s="28">
        <v>1018178000</v>
      </c>
      <c r="AD217" s="28">
        <v>89322000</v>
      </c>
      <c r="AE217" s="28">
        <v>4129659000</v>
      </c>
      <c r="AF217" s="28">
        <v>47117000</v>
      </c>
      <c r="AG217" s="11"/>
    </row>
    <row r="218">
      <c r="A218" s="7" t="s">
        <v>1967</v>
      </c>
      <c r="B218" s="5" t="s">
        <v>9938</v>
      </c>
      <c r="C218" s="5" t="s">
        <v>17844</v>
      </c>
      <c r="D218" s="5" t="str">
        <v>310204042500</v>
      </c>
      <c r="E218" s="0" t="e">
        <f>+7 (831) 4619134
+7 (83143) 51461
+7 (83146) 19175
+7 (83196) 41911
+7 (83196) 43232</f>
        <v>#NAME?</v>
      </c>
      <c r="F218" s="5" t="s">
        <v>25927</v>
      </c>
      <c r="G218" s="5"/>
      <c r="H218" s="26">
        <v>19.5</v>
      </c>
      <c r="I218" s="5"/>
      <c r="J218" s="5" t="s">
        <v>25262</v>
      </c>
      <c r="K218" s="5" t="s">
        <v>344</v>
      </c>
      <c r="L218" s="5" t="s">
        <v>25928</v>
      </c>
      <c r="M218" s="27"/>
      <c r="N218" s="5" t="s">
        <v>49453</v>
      </c>
      <c r="O218" s="5" t="str">
        <v>5260125040</v>
      </c>
      <c r="P218" s="27">
        <v>953200</v>
      </c>
      <c r="Q218" s="5" t="s">
        <v>49057</v>
      </c>
      <c r="R218" s="5"/>
      <c r="S218" s="5" t="s">
        <v>49058</v>
      </c>
      <c r="T218" s="28">
        <v>12221000</v>
      </c>
      <c r="U218" s="28"/>
      <c r="V218" s="28">
        <v>374880000</v>
      </c>
      <c r="W218" s="28"/>
      <c r="X218" s="28">
        <v>14512000</v>
      </c>
      <c r="Y218" s="28">
        <v>484461000</v>
      </c>
      <c r="Z218" s="28">
        <v>144668000</v>
      </c>
      <c r="AA218" s="28"/>
      <c r="AB218" s="28"/>
      <c r="AC218" s="28">
        <v>338697000</v>
      </c>
      <c r="AD218" s="28">
        <v>145764000</v>
      </c>
      <c r="AE218" s="28">
        <v>4560334000</v>
      </c>
      <c r="AF218" s="28">
        <v>128327000</v>
      </c>
      <c r="AG218" s="11"/>
    </row>
    <row r="219">
      <c r="A219" s="7" t="s">
        <v>1968</v>
      </c>
      <c r="B219" s="5" t="s">
        <v>9939</v>
      </c>
      <c r="C219" s="5" t="s">
        <v>17845</v>
      </c>
      <c r="D219" s="5" t="str">
        <v>325200774435</v>
      </c>
      <c r="E219" s="0" t="e">
        <f>+7 (86165) 31506</f>
        <v>#NAME?</v>
      </c>
      <c r="F219" s="5" t="s">
        <v>25929</v>
      </c>
      <c r="G219" s="5" t="s">
        <v>25930</v>
      </c>
      <c r="H219" s="26">
        <v>30</v>
      </c>
      <c r="I219" s="5"/>
      <c r="J219" s="5" t="s">
        <v>25262</v>
      </c>
      <c r="K219" s="5" t="s">
        <v>344</v>
      </c>
      <c r="L219" s="5" t="s">
        <v>25931</v>
      </c>
      <c r="M219" s="27"/>
      <c r="N219" s="5" t="s">
        <v>49448</v>
      </c>
      <c r="O219" s="5" t="str">
        <v>2336002292</v>
      </c>
      <c r="P219" s="27">
        <v>6000</v>
      </c>
      <c r="Q219" s="5" t="s">
        <v>49057</v>
      </c>
      <c r="R219" s="5"/>
      <c r="S219" s="5" t="s">
        <v>49101</v>
      </c>
      <c r="T219" s="28">
        <v>34327000</v>
      </c>
      <c r="U219" s="28"/>
      <c r="V219" s="28">
        <v>188389000</v>
      </c>
      <c r="W219" s="28"/>
      <c r="X219" s="28">
        <v>2704000</v>
      </c>
      <c r="Y219" s="28">
        <v>372333000</v>
      </c>
      <c r="Z219" s="28">
        <v>122283000</v>
      </c>
      <c r="AA219" s="28"/>
      <c r="AB219" s="28"/>
      <c r="AC219" s="28">
        <v>245765000</v>
      </c>
      <c r="AD219" s="28">
        <v>124013000</v>
      </c>
      <c r="AE219" s="28">
        <v>3163350000</v>
      </c>
      <c r="AF219" s="28">
        <v>95528000</v>
      </c>
      <c r="AG219" s="11"/>
    </row>
    <row r="220">
      <c r="A220" s="7" t="s">
        <v>1969</v>
      </c>
      <c r="B220" s="5" t="s">
        <v>9940</v>
      </c>
      <c r="C220" s="5" t="s">
        <v>17846</v>
      </c>
      <c r="D220" s="5" t="str">
        <v>500113995015</v>
      </c>
      <c r="E220" s="0" t="e">
        <f>+7 (474) 2724147
+7 (474) 6652401
+7 (47466) 52504
+7 (47466) 57119
+7 (47466) 57401</f>
        <v>#NAME?</v>
      </c>
      <c r="F220" s="5" t="s">
        <v>25932</v>
      </c>
      <c r="G220" s="5"/>
      <c r="H220" s="26">
        <v>22.5</v>
      </c>
      <c r="I220" s="5"/>
      <c r="J220" s="5" t="s">
        <v>25262</v>
      </c>
      <c r="K220" s="5" t="s">
        <v>344</v>
      </c>
      <c r="L220" s="5" t="s">
        <v>25933</v>
      </c>
      <c r="M220" s="27">
        <v>93600</v>
      </c>
      <c r="N220" s="5"/>
      <c r="O220" s="5" t="str">
        <v>4811005511</v>
      </c>
      <c r="P220" s="27">
        <v>8195510</v>
      </c>
      <c r="Q220" s="5" t="s">
        <v>49057</v>
      </c>
      <c r="R220" s="5"/>
      <c r="S220" s="5" t="s">
        <v>49454</v>
      </c>
      <c r="T220" s="28">
        <v>48234000</v>
      </c>
      <c r="U220" s="28"/>
      <c r="V220" s="28">
        <v>800697000</v>
      </c>
      <c r="W220" s="28">
        <v>17000</v>
      </c>
      <c r="X220" s="28">
        <v>14770000</v>
      </c>
      <c r="Y220" s="28">
        <v>979825000</v>
      </c>
      <c r="Z220" s="28">
        <v>222323000</v>
      </c>
      <c r="AA220" s="28"/>
      <c r="AB220" s="28"/>
      <c r="AC220" s="28">
        <v>734649000</v>
      </c>
      <c r="AD220" s="28">
        <v>243805000</v>
      </c>
      <c r="AE220" s="28">
        <v>6007584000</v>
      </c>
      <c r="AF220" s="28">
        <v>146791000</v>
      </c>
      <c r="AG220" s="11"/>
    </row>
    <row r="221">
      <c r="A221" s="7" t="s">
        <v>1970</v>
      </c>
      <c r="B221" s="5" t="s">
        <v>9941</v>
      </c>
      <c r="C221" s="5" t="s">
        <v>17847</v>
      </c>
      <c r="D221" s="5" t="str">
        <v>575403354610</v>
      </c>
      <c r="E221" s="0" t="e">
        <f>+7 (4862) 431120
+7 (4862) 475709
+7 (4862) 475715
+7 (48678) 21654
+7 (48678) 21756</f>
        <v>#NAME?</v>
      </c>
      <c r="F221" s="5" t="s">
        <v>25934</v>
      </c>
      <c r="G221" s="5"/>
      <c r="H221" s="26">
        <v>19.5</v>
      </c>
      <c r="I221" s="5"/>
      <c r="J221" s="5" t="s">
        <v>25262</v>
      </c>
      <c r="K221" s="5" t="s">
        <v>344</v>
      </c>
      <c r="L221" s="5" t="s">
        <v>25935</v>
      </c>
      <c r="M221" s="27"/>
      <c r="N221" s="5" t="s">
        <v>49455</v>
      </c>
      <c r="O221" s="5" t="str">
        <v>5753033526</v>
      </c>
      <c r="P221" s="27">
        <v>100000</v>
      </c>
      <c r="Q221" s="5" t="s">
        <v>49057</v>
      </c>
      <c r="R221" s="5"/>
      <c r="S221" s="5" t="s">
        <v>49456</v>
      </c>
      <c r="T221" s="28">
        <v>18520000</v>
      </c>
      <c r="U221" s="28"/>
      <c r="V221" s="28">
        <v>826628000</v>
      </c>
      <c r="W221" s="28"/>
      <c r="X221" s="28">
        <v>25000000</v>
      </c>
      <c r="Y221" s="28">
        <v>1071852000</v>
      </c>
      <c r="Z221" s="28">
        <v>153226000</v>
      </c>
      <c r="AA221" s="28"/>
      <c r="AB221" s="28"/>
      <c r="AC221" s="28">
        <v>918510000</v>
      </c>
      <c r="AD221" s="28">
        <v>153341000</v>
      </c>
      <c r="AE221" s="28">
        <v>5888036000</v>
      </c>
      <c r="AF221" s="28">
        <v>123357000</v>
      </c>
      <c r="AG221" s="11"/>
    </row>
    <row r="222">
      <c r="A222" s="7" t="s">
        <v>1971</v>
      </c>
      <c r="B222" s="5" t="s">
        <v>9942</v>
      </c>
      <c r="C222" s="5" t="s">
        <v>17848</v>
      </c>
      <c r="D222" s="5" t="str">
        <v>772439983957</v>
      </c>
      <c r="F222" s="5"/>
      <c r="G222" s="5" t="s">
        <v>25936</v>
      </c>
      <c r="H222" s="26">
        <v>4</v>
      </c>
      <c r="I222" s="5" t="s">
        <v>25937</v>
      </c>
      <c r="J222" s="5" t="s">
        <v>25938</v>
      </c>
      <c r="K222" s="5" t="s">
        <v>344</v>
      </c>
      <c r="L222" s="5" t="s">
        <v>25939</v>
      </c>
      <c r="M222" s="27">
        <v>6263836</v>
      </c>
      <c r="N222" s="5"/>
      <c r="O222" s="5" t="str">
        <v>3257066070</v>
      </c>
      <c r="P222" s="27">
        <v>10000</v>
      </c>
      <c r="Q222" s="5" t="s">
        <v>49324</v>
      </c>
      <c r="R222" s="5"/>
      <c r="S222" s="5" t="s">
        <v>49457</v>
      </c>
      <c r="T222" s="28">
        <v>8812000</v>
      </c>
      <c r="U222" s="28"/>
      <c r="V222" s="28">
        <v>1435586000</v>
      </c>
      <c r="W222" s="28"/>
      <c r="X222" s="28">
        <v>2973000</v>
      </c>
      <c r="Y222" s="28">
        <v>2354253000</v>
      </c>
      <c r="Z222" s="28">
        <v>15724000</v>
      </c>
      <c r="AA222" s="28">
        <v>625000</v>
      </c>
      <c r="AB222" s="28">
        <v>16745000</v>
      </c>
      <c r="AC222" s="28">
        <v>2333191000</v>
      </c>
      <c r="AD222" s="28">
        <v>15734000</v>
      </c>
      <c r="AE222" s="28">
        <v>3363160000</v>
      </c>
      <c r="AF222" s="28">
        <v>12155000</v>
      </c>
      <c r="AG222" s="11"/>
    </row>
    <row r="223">
      <c r="A223" s="7" t="s">
        <v>1972</v>
      </c>
      <c r="B223" s="5" t="s">
        <v>9943</v>
      </c>
      <c r="C223" s="5" t="s">
        <v>17849</v>
      </c>
      <c r="D223" s="5" t="str">
        <v>310201163257</v>
      </c>
      <c r="E223" s="0" t="e">
        <f>+7 (495) 2878697
+7 (919) 2992362</f>
        <v>#NAME?</v>
      </c>
      <c r="F223" s="5"/>
      <c r="G223" s="5"/>
      <c r="H223" s="26">
        <v>17</v>
      </c>
      <c r="I223" s="5" t="s">
        <v>25940</v>
      </c>
      <c r="J223" s="5" t="s">
        <v>25837</v>
      </c>
      <c r="K223" s="5" t="s">
        <v>380</v>
      </c>
      <c r="L223" s="5"/>
      <c r="M223" s="27"/>
      <c r="N223" s="5"/>
      <c r="O223" s="5" t="str">
        <v>3121181131</v>
      </c>
      <c r="P223" s="27">
        <v>100000</v>
      </c>
      <c r="Q223" s="5" t="s">
        <v>49057</v>
      </c>
      <c r="R223" s="5"/>
      <c r="S223" s="5" t="s">
        <v>49458</v>
      </c>
      <c r="T223" s="28">
        <v>121000</v>
      </c>
      <c r="U223" s="28"/>
      <c r="V223" s="28">
        <v>33331075000</v>
      </c>
      <c r="W223" s="28">
        <v>161846000</v>
      </c>
      <c r="X223" s="28">
        <v>20559000</v>
      </c>
      <c r="Y223" s="28">
        <v>36796828000</v>
      </c>
      <c r="Z223" s="28">
        <v>-751149000</v>
      </c>
      <c r="AA223" s="28"/>
      <c r="AB223" s="28">
        <v>15642716000</v>
      </c>
      <c r="AC223" s="28">
        <v>37547877000</v>
      </c>
      <c r="AD223" s="28">
        <v>-751049000</v>
      </c>
      <c r="AE223" s="28">
        <v>51607692000</v>
      </c>
      <c r="AF223" s="28">
        <v>-13750000</v>
      </c>
      <c r="AG223" s="11"/>
    </row>
    <row r="224">
      <c r="A224" s="7" t="s">
        <v>1973</v>
      </c>
      <c r="B224" s="5" t="s">
        <v>9944</v>
      </c>
      <c r="C224" s="5" t="s">
        <v>17850</v>
      </c>
      <c r="D224" s="5" t="str">
        <v>615418872601</v>
      </c>
      <c r="E224" s="0" t="e">
        <f>+7 (86344) 77170
+7 (928) 9047439
+7 (950) 8682186</f>
        <v>#NAME?</v>
      </c>
      <c r="F224" s="5" t="s">
        <v>25941</v>
      </c>
      <c r="G224" s="5" t="s">
        <v>25942</v>
      </c>
      <c r="H224" s="26">
        <v>7.5</v>
      </c>
      <c r="I224" s="5" t="s">
        <v>25943</v>
      </c>
      <c r="J224" s="5" t="s">
        <v>25812</v>
      </c>
      <c r="K224" s="5" t="s">
        <v>344</v>
      </c>
      <c r="L224" s="5" t="s">
        <v>25944</v>
      </c>
      <c r="M224" s="27"/>
      <c r="N224" s="5" t="s">
        <v>49459</v>
      </c>
      <c r="O224" s="5" t="str">
        <v>6154139589</v>
      </c>
      <c r="P224" s="27">
        <v>20026500</v>
      </c>
      <c r="Q224" s="5"/>
      <c r="R224" s="5" t="s">
        <v>49460</v>
      </c>
      <c r="S224" s="5" t="s">
        <v>49399</v>
      </c>
      <c r="T224" s="28">
        <v>551347000</v>
      </c>
      <c r="U224" s="28">
        <v>449914000</v>
      </c>
      <c r="V224" s="28">
        <v>876561000</v>
      </c>
      <c r="W224" s="28"/>
      <c r="X224" s="28">
        <v>82728000</v>
      </c>
      <c r="Y224" s="28">
        <v>2530548000</v>
      </c>
      <c r="Z224" s="28">
        <v>526459000</v>
      </c>
      <c r="AA224" s="28">
        <v>267400000</v>
      </c>
      <c r="AB224" s="28">
        <v>765927000</v>
      </c>
      <c r="AC224" s="28">
        <v>1700531000</v>
      </c>
      <c r="AD224" s="28">
        <v>546485000</v>
      </c>
      <c r="AE224" s="28">
        <v>5755830000</v>
      </c>
      <c r="AF224" s="28">
        <v>121088000</v>
      </c>
      <c r="AG224" s="11"/>
    </row>
    <row r="225">
      <c r="A225" s="7" t="s">
        <v>1974</v>
      </c>
      <c r="B225" s="5" t="s">
        <v>9945</v>
      </c>
      <c r="C225" s="5" t="s">
        <v>17851</v>
      </c>
      <c r="D225" s="5" t="str">
        <v>771548420504</v>
      </c>
      <c r="E225" s="0" t="e">
        <f>+7 (49646) 41264
+7 (49646) 41449
+7 (49646) 41509
+7 (49646) 41688
+7 (49646) 41940
+7 (49646) 41971</f>
        <v>#NAME?</v>
      </c>
      <c r="F225" s="5" t="s">
        <v>25945</v>
      </c>
      <c r="G225" s="5"/>
      <c r="H225" s="26">
        <v>28.5</v>
      </c>
      <c r="I225" s="5"/>
      <c r="J225" s="5" t="s">
        <v>25946</v>
      </c>
      <c r="K225" s="5" t="s">
        <v>344</v>
      </c>
      <c r="L225" s="5" t="s">
        <v>25947</v>
      </c>
      <c r="M225" s="27"/>
      <c r="N225" s="5"/>
      <c r="O225" s="5" t="str">
        <v>5040013340</v>
      </c>
      <c r="P225" s="27">
        <v>8151116</v>
      </c>
      <c r="Q225" s="5"/>
      <c r="R225" s="5"/>
      <c r="S225" s="5" t="s">
        <v>49029</v>
      </c>
      <c r="T225" s="28">
        <v>145323000</v>
      </c>
      <c r="U225" s="28"/>
      <c r="V225" s="28">
        <v>510928000</v>
      </c>
      <c r="W225" s="28">
        <v>3000</v>
      </c>
      <c r="X225" s="28">
        <v>4661000</v>
      </c>
      <c r="Y225" s="28">
        <v>1017082000</v>
      </c>
      <c r="Z225" s="28">
        <v>362318000</v>
      </c>
      <c r="AA225" s="28">
        <v>352835000</v>
      </c>
      <c r="AB225" s="28">
        <v>967000</v>
      </c>
      <c r="AC225" s="28">
        <v>247563000</v>
      </c>
      <c r="AD225" s="28">
        <v>416683000</v>
      </c>
      <c r="AE225" s="28">
        <v>3225757000</v>
      </c>
      <c r="AF225" s="28">
        <v>42596000</v>
      </c>
      <c r="AG225" s="11"/>
    </row>
    <row r="226">
      <c r="A226" s="7" t="s">
        <v>1975</v>
      </c>
      <c r="B226" s="5" t="s">
        <v>9946</v>
      </c>
      <c r="C226" s="5" t="s">
        <v>17852</v>
      </c>
      <c r="D226" s="5"/>
      <c r="E226" s="0" t="e">
        <f>+7 (401) 2305544
+7 (401) 2305503
+7 (401) 2305523</f>
        <v>#NAME?</v>
      </c>
      <c r="F226" s="5" t="s">
        <v>25948</v>
      </c>
      <c r="G226" s="5"/>
      <c r="H226" s="26">
        <v>13</v>
      </c>
      <c r="I226" s="5"/>
      <c r="J226" s="5" t="s">
        <v>25949</v>
      </c>
      <c r="K226" s="5" t="s">
        <v>355</v>
      </c>
      <c r="L226" s="5" t="s">
        <v>25950</v>
      </c>
      <c r="M226" s="27"/>
      <c r="N226" s="5"/>
      <c r="O226" s="5" t="str">
        <v>3913501820</v>
      </c>
      <c r="P226" s="27">
        <v>7447000</v>
      </c>
      <c r="Q226" s="5"/>
      <c r="R226" s="5"/>
      <c r="S226" s="5" t="s">
        <v>49110</v>
      </c>
      <c r="T226" s="28">
        <v>4818839000</v>
      </c>
      <c r="U226" s="28"/>
      <c r="V226" s="28">
        <v>15469558000</v>
      </c>
      <c r="W226" s="28"/>
      <c r="X226" s="28">
        <v>13925000</v>
      </c>
      <c r="Y226" s="28">
        <v>29343531000</v>
      </c>
      <c r="Z226" s="28">
        <v>-929845000</v>
      </c>
      <c r="AA226" s="28">
        <v>2019375000</v>
      </c>
      <c r="AB226" s="28">
        <v>11948116000</v>
      </c>
      <c r="AC226" s="28">
        <v>26869159000</v>
      </c>
      <c r="AD226" s="28">
        <v>178095000</v>
      </c>
      <c r="AE226" s="28">
        <v>103820985000</v>
      </c>
      <c r="AF226" s="28">
        <v>713396000</v>
      </c>
      <c r="AG226" s="11"/>
    </row>
    <row r="227">
      <c r="A227" s="7" t="s">
        <v>1976</v>
      </c>
      <c r="B227" s="5" t="s">
        <v>9947</v>
      </c>
      <c r="C227" s="5" t="s">
        <v>17853</v>
      </c>
      <c r="D227" s="5" t="str">
        <v>773002827300</v>
      </c>
      <c r="E227" s="0" t="e">
        <f>+7 (388) 2241008
+7 (495) 9334415
+7 (903) 9192726</f>
        <v>#NAME?</v>
      </c>
      <c r="F227" s="5"/>
      <c r="G227" s="5"/>
      <c r="H227" s="26">
        <v>19.5</v>
      </c>
      <c r="I227" s="5" t="s">
        <v>25951</v>
      </c>
      <c r="J227" s="5" t="s">
        <v>25376</v>
      </c>
      <c r="K227" s="5" t="s">
        <v>355</v>
      </c>
      <c r="L227" s="5" t="s">
        <v>25952</v>
      </c>
      <c r="M227" s="27"/>
      <c r="N227" s="5"/>
      <c r="O227" s="5" t="str">
        <v>0411113667</v>
      </c>
      <c r="P227" s="27">
        <v>50250000</v>
      </c>
      <c r="Q227" s="5" t="s">
        <v>49461</v>
      </c>
      <c r="R227" s="5"/>
      <c r="S227" s="5" t="s">
        <v>49053</v>
      </c>
      <c r="T227" s="28"/>
      <c r="U227" s="28">
        <v>10679869000</v>
      </c>
      <c r="V227" s="28">
        <v>15831974000</v>
      </c>
      <c r="W227" s="28">
        <v>6228787000</v>
      </c>
      <c r="X227" s="28">
        <v>202575000</v>
      </c>
      <c r="Y227" s="28">
        <v>33478416000</v>
      </c>
      <c r="Z227" s="28">
        <v>22187981000</v>
      </c>
      <c r="AA227" s="28"/>
      <c r="AB227" s="28">
        <v>4763402000</v>
      </c>
      <c r="AC227" s="28">
        <v>11240185000</v>
      </c>
      <c r="AD227" s="28">
        <v>22238231000</v>
      </c>
      <c r="AE227" s="28">
        <v>14390974000</v>
      </c>
      <c r="AF227" s="28">
        <v>14339932000</v>
      </c>
      <c r="AG227" s="11"/>
    </row>
    <row r="228">
      <c r="A228" s="7" t="s">
        <v>1977</v>
      </c>
      <c r="B228" s="5" t="s">
        <v>9948</v>
      </c>
      <c r="C228" s="5" t="s">
        <v>17854</v>
      </c>
      <c r="D228" s="5" t="str">
        <v>165010782389</v>
      </c>
      <c r="E228" s="0" t="e">
        <f>+7 (855) 2381232
+7 (855) 2391188
+7 (855) 2392211
+7 (927) 4516644</f>
        <v>#NAME?</v>
      </c>
      <c r="F228" s="5" t="s">
        <v>25953</v>
      </c>
      <c r="G228" s="5"/>
      <c r="H228" s="26">
        <v>16</v>
      </c>
      <c r="I228" s="5" t="s">
        <v>25954</v>
      </c>
      <c r="J228" s="5" t="s">
        <v>25955</v>
      </c>
      <c r="K228" s="5" t="s">
        <v>344</v>
      </c>
      <c r="L228" s="5"/>
      <c r="M228" s="27"/>
      <c r="N228" s="5"/>
      <c r="O228" s="5" t="str">
        <v>1650151344</v>
      </c>
      <c r="P228" s="27">
        <v>2100000</v>
      </c>
      <c r="Q228" s="5"/>
      <c r="R228" s="5" t="s">
        <v>49462</v>
      </c>
      <c r="S228" s="5" t="s">
        <v>49425</v>
      </c>
      <c r="T228" s="28">
        <v>111660000</v>
      </c>
      <c r="U228" s="28"/>
      <c r="V228" s="28">
        <v>101917000</v>
      </c>
      <c r="W228" s="28">
        <v>110612000</v>
      </c>
      <c r="X228" s="28">
        <v>57219000</v>
      </c>
      <c r="Y228" s="28">
        <v>465995000</v>
      </c>
      <c r="Z228" s="28">
        <v>38726000</v>
      </c>
      <c r="AA228" s="28"/>
      <c r="AB228" s="28"/>
      <c r="AC228" s="28">
        <v>341674000</v>
      </c>
      <c r="AD228" s="28">
        <v>40826000</v>
      </c>
      <c r="AE228" s="28">
        <v>3258237000</v>
      </c>
      <c r="AF228" s="28">
        <v>202180000</v>
      </c>
      <c r="AG228" s="11"/>
    </row>
    <row r="229">
      <c r="A229" s="7" t="s">
        <v>1977</v>
      </c>
      <c r="B229" s="5" t="s">
        <v>9949</v>
      </c>
      <c r="C229" s="5" t="s">
        <v>17855</v>
      </c>
      <c r="D229" s="5" t="str">
        <v>463200432644</v>
      </c>
      <c r="E229" s="0" t="e">
        <f>+7 (4712) 564310</f>
        <v>#NAME?</v>
      </c>
      <c r="F229" s="5" t="s">
        <v>25956</v>
      </c>
      <c r="G229" s="5" t="s">
        <v>25957</v>
      </c>
      <c r="H229" s="26">
        <v>10</v>
      </c>
      <c r="I229" s="5" t="s">
        <v>25958</v>
      </c>
      <c r="J229" s="5" t="s">
        <v>25446</v>
      </c>
      <c r="K229" s="5" t="s">
        <v>344</v>
      </c>
      <c r="L229" s="5" t="s">
        <v>25959</v>
      </c>
      <c r="M229" s="27">
        <v>928000</v>
      </c>
      <c r="N229" s="5" t="s">
        <v>49463</v>
      </c>
      <c r="O229" s="5" t="str">
        <v>4632175267</v>
      </c>
      <c r="P229" s="27">
        <v>301900</v>
      </c>
      <c r="Q229" s="5" t="s">
        <v>49464</v>
      </c>
      <c r="R229" s="5" t="s">
        <v>49465</v>
      </c>
      <c r="S229" s="5" t="s">
        <v>49466</v>
      </c>
      <c r="T229" s="28">
        <v>80380000</v>
      </c>
      <c r="U229" s="28"/>
      <c r="V229" s="28">
        <v>287508000</v>
      </c>
      <c r="W229" s="28">
        <v>1031230000</v>
      </c>
      <c r="X229" s="28">
        <v>11049000</v>
      </c>
      <c r="Y229" s="28">
        <v>2182522000</v>
      </c>
      <c r="Z229" s="28">
        <v>396950000</v>
      </c>
      <c r="AA229" s="28"/>
      <c r="AB229" s="28">
        <v>607965000</v>
      </c>
      <c r="AC229" s="28">
        <v>1785562000</v>
      </c>
      <c r="AD229" s="28">
        <v>396960000</v>
      </c>
      <c r="AE229" s="28">
        <v>4370337000</v>
      </c>
      <c r="AF229" s="28">
        <v>154826000</v>
      </c>
      <c r="AG229" s="11"/>
    </row>
    <row r="230">
      <c r="A230" s="7" t="s">
        <v>1978</v>
      </c>
      <c r="B230" s="5" t="s">
        <v>9950</v>
      </c>
      <c r="C230" s="5" t="s">
        <v>17856</v>
      </c>
      <c r="D230" s="5" t="str">
        <v>362000183266</v>
      </c>
      <c r="E230" s="0" t="e">
        <f>+7 (903) 8572072
+7 (961) 1821313
+7 (473) 2331313
+7 (473) 6229913
+7 (47362) 21310
+7 (47362) 21313
+7 (47362) 21354
+7 (47362) 21778
+7 (47362) 21783
+7 (47362) 22000</f>
        <v>#NAME?</v>
      </c>
      <c r="F230" s="5" t="s">
        <v>25960</v>
      </c>
      <c r="G230" s="5" t="s">
        <v>25961</v>
      </c>
      <c r="H230" s="26">
        <v>27</v>
      </c>
      <c r="I230" s="5" t="s">
        <v>25962</v>
      </c>
      <c r="J230" s="5" t="s">
        <v>678</v>
      </c>
      <c r="K230" s="5" t="s">
        <v>344</v>
      </c>
      <c r="L230" s="5" t="s">
        <v>25963</v>
      </c>
      <c r="M230" s="27">
        <v>413293</v>
      </c>
      <c r="N230" s="5" t="s">
        <v>49467</v>
      </c>
      <c r="O230" s="5" t="str">
        <v>3620000278</v>
      </c>
      <c r="P230" s="27">
        <v>462574</v>
      </c>
      <c r="Q230" s="5" t="s">
        <v>49009</v>
      </c>
      <c r="R230" s="5"/>
      <c r="S230" s="5" t="s">
        <v>49256</v>
      </c>
      <c r="T230" s="28">
        <v>151730000</v>
      </c>
      <c r="U230" s="28"/>
      <c r="V230" s="28">
        <v>563613000</v>
      </c>
      <c r="W230" s="28">
        <v>4500000</v>
      </c>
      <c r="X230" s="28">
        <v>253517000</v>
      </c>
      <c r="Y230" s="28">
        <v>1564756000</v>
      </c>
      <c r="Z230" s="28">
        <v>880723000</v>
      </c>
      <c r="AA230" s="28">
        <v>100000000</v>
      </c>
      <c r="AB230" s="28">
        <v>260695000</v>
      </c>
      <c r="AC230" s="28">
        <v>582113000</v>
      </c>
      <c r="AD230" s="28">
        <v>882643000</v>
      </c>
      <c r="AE230" s="28">
        <v>4322234000</v>
      </c>
      <c r="AF230" s="28">
        <v>329767000</v>
      </c>
      <c r="AG230" s="11"/>
    </row>
    <row r="231">
      <c r="A231" s="7" t="s">
        <v>1979</v>
      </c>
      <c r="B231" s="5" t="s">
        <v>9951</v>
      </c>
      <c r="C231" s="5" t="s">
        <v>17857</v>
      </c>
      <c r="D231" s="5" t="str">
        <v>711609236137</v>
      </c>
      <c r="E231" s="0" t="e">
        <f>+7 (495) 1507020</f>
        <v>#NAME?</v>
      </c>
      <c r="F231" s="5"/>
      <c r="G231" s="5"/>
      <c r="H231" s="26">
        <v>5.5</v>
      </c>
      <c r="I231" s="5" t="s">
        <v>25964</v>
      </c>
      <c r="J231" s="5" t="s">
        <v>25512</v>
      </c>
      <c r="K231" s="5" t="s">
        <v>355</v>
      </c>
      <c r="L231" s="5" t="s">
        <v>25965</v>
      </c>
      <c r="M231" s="27">
        <v>5730540</v>
      </c>
      <c r="N231" s="5" t="s">
        <v>49468</v>
      </c>
      <c r="O231" s="5" t="str">
        <v>7720384473</v>
      </c>
      <c r="P231" s="27">
        <v>10000</v>
      </c>
      <c r="Q231" s="5" t="s">
        <v>49057</v>
      </c>
      <c r="R231" s="5"/>
      <c r="S231" s="5" t="s">
        <v>49469</v>
      </c>
      <c r="T231" s="28">
        <v>266727000</v>
      </c>
      <c r="U231" s="28"/>
      <c r="V231" s="28">
        <v>713208000</v>
      </c>
      <c r="W231" s="28"/>
      <c r="X231" s="28">
        <v>5124000</v>
      </c>
      <c r="Y231" s="28">
        <v>1632656000</v>
      </c>
      <c r="Z231" s="28">
        <v>163204000</v>
      </c>
      <c r="AA231" s="28">
        <v>334000000</v>
      </c>
      <c r="AB231" s="28">
        <v>246523000</v>
      </c>
      <c r="AC231" s="28">
        <v>885105000</v>
      </c>
      <c r="AD231" s="28">
        <v>163214000</v>
      </c>
      <c r="AE231" s="28">
        <v>4815847000</v>
      </c>
      <c r="AF231" s="28">
        <v>14206000</v>
      </c>
      <c r="AG231" s="11"/>
    </row>
    <row r="232">
      <c r="A232" s="7" t="s">
        <v>1980</v>
      </c>
      <c r="B232" s="5" t="s">
        <v>9952</v>
      </c>
      <c r="C232" s="5" t="s">
        <v>17858</v>
      </c>
      <c r="D232" s="5" t="str">
        <v>504702052949</v>
      </c>
      <c r="E232" s="0" t="e">
        <f>+7 (499) 4033906
+7 (985) 7695652
+7 (495) 8830402
+7 (499) 7059995
+7 (915) 2227105
+7 (915) 4044431
+7 (916) 7269907
+7 (926) 200691
+7 (926) 2809354
+7 (926) 5751732
+7 (968) 5858664
+7 (985) 1590237
+7 (985) 4164641</f>
        <v>#NAME?</v>
      </c>
      <c r="F232" s="5" t="s">
        <v>25966</v>
      </c>
      <c r="G232" s="5" t="s">
        <v>25967</v>
      </c>
      <c r="H232" s="26">
        <v>8</v>
      </c>
      <c r="I232" s="5" t="s">
        <v>25968</v>
      </c>
      <c r="J232" s="5" t="s">
        <v>25550</v>
      </c>
      <c r="K232" s="5" t="s">
        <v>344</v>
      </c>
      <c r="L232" s="5" t="s">
        <v>25969</v>
      </c>
      <c r="M232" s="27"/>
      <c r="N232" s="5" t="s">
        <v>49470</v>
      </c>
      <c r="O232" s="5" t="str">
        <v>7706416719</v>
      </c>
      <c r="P232" s="27">
        <v>50000</v>
      </c>
      <c r="Q232" s="5" t="s">
        <v>49471</v>
      </c>
      <c r="R232" s="5"/>
      <c r="S232" s="5" t="s">
        <v>49472</v>
      </c>
      <c r="T232" s="28">
        <v>10614000</v>
      </c>
      <c r="U232" s="28"/>
      <c r="V232" s="28">
        <v>610077000</v>
      </c>
      <c r="W232" s="28">
        <v>2821000</v>
      </c>
      <c r="X232" s="28">
        <v>934000</v>
      </c>
      <c r="Y232" s="28">
        <v>2449390000</v>
      </c>
      <c r="Z232" s="28">
        <v>382526000</v>
      </c>
      <c r="AA232" s="28">
        <v>400000000</v>
      </c>
      <c r="AB232" s="28">
        <v>773781000</v>
      </c>
      <c r="AC232" s="28">
        <v>1663218000</v>
      </c>
      <c r="AD232" s="28">
        <v>382576000</v>
      </c>
      <c r="AE232" s="28">
        <v>3772425000</v>
      </c>
      <c r="AF232" s="28">
        <v>382523000</v>
      </c>
      <c r="AG232" s="11"/>
    </row>
    <row r="233">
      <c r="A233" s="7" t="s">
        <v>1981</v>
      </c>
      <c r="B233" s="5" t="s">
        <v>9953</v>
      </c>
      <c r="C233" s="5" t="s">
        <v>17859</v>
      </c>
      <c r="D233" s="5" t="str">
        <v>590405272187</v>
      </c>
      <c r="E233" s="0" t="e">
        <f>+7 (922) 2407675
+7 (922) 3179015
+7 (919) 9354321
+7 (922) 3353535
+7 (342) 2655584
+7 (3422) 603415
+7 (3422) 651445
+7 (34271) 24855
+7 (34271) 37738
+7 (902) 8011840</f>
        <v>#NAME?</v>
      </c>
      <c r="F233" s="5" t="s">
        <v>25970</v>
      </c>
      <c r="G233" s="5" t="s">
        <v>25971</v>
      </c>
      <c r="H233" s="26">
        <v>12</v>
      </c>
      <c r="I233" s="5" t="s">
        <v>25972</v>
      </c>
      <c r="J233" s="5" t="s">
        <v>25864</v>
      </c>
      <c r="K233" s="5" t="s">
        <v>344</v>
      </c>
      <c r="L233" s="5" t="s">
        <v>25973</v>
      </c>
      <c r="M233" s="27">
        <v>19370783</v>
      </c>
      <c r="N233" s="5" t="s">
        <v>49473</v>
      </c>
      <c r="O233" s="5" t="str">
        <v>5906104576</v>
      </c>
      <c r="P233" s="27">
        <v>13002043</v>
      </c>
      <c r="Q233" s="5" t="s">
        <v>49474</v>
      </c>
      <c r="R233" s="5"/>
      <c r="S233" s="5" t="s">
        <v>49475</v>
      </c>
      <c r="T233" s="28">
        <v>483889000</v>
      </c>
      <c r="U233" s="28"/>
      <c r="V233" s="28">
        <v>513098000</v>
      </c>
      <c r="W233" s="28"/>
      <c r="X233" s="28">
        <v>11789000</v>
      </c>
      <c r="Y233" s="28">
        <v>2271725000</v>
      </c>
      <c r="Z233" s="28">
        <v>1639210000</v>
      </c>
      <c r="AA233" s="28">
        <v>20096000</v>
      </c>
      <c r="AB233" s="28">
        <v>101869000</v>
      </c>
      <c r="AC233" s="28">
        <v>547036000</v>
      </c>
      <c r="AD233" s="28">
        <v>1698146000</v>
      </c>
      <c r="AE233" s="28">
        <v>5034629000</v>
      </c>
      <c r="AF233" s="28">
        <v>659125000</v>
      </c>
      <c r="AG233" s="11"/>
    </row>
    <row r="234">
      <c r="A234" s="7" t="s">
        <v>1982</v>
      </c>
      <c r="B234" s="5" t="s">
        <v>9954</v>
      </c>
      <c r="C234" s="5" t="s">
        <v>17860</v>
      </c>
      <c r="D234" s="5" t="str">
        <v>544519275412</v>
      </c>
      <c r="E234" s="0" t="e">
        <f>+7 (383) 3339927
+7 (391) 2199199
+7 (952) 9334466
+7 (383) 3061448
+7 (383) 3365300
+7 (383) 3477158
+7 (383) 3630224
+7 (383) 3630226
+7 (383) 3630702
+7 (391) 2644694</f>
        <v>#NAME?</v>
      </c>
      <c r="F234" s="5" t="s">
        <v>25974</v>
      </c>
      <c r="G234" s="5"/>
      <c r="H234" s="26">
        <v>19.5</v>
      </c>
      <c r="I234" s="5" t="s">
        <v>25975</v>
      </c>
      <c r="J234" s="5" t="s">
        <v>25429</v>
      </c>
      <c r="K234" s="5" t="s">
        <v>344</v>
      </c>
      <c r="L234" s="5" t="s">
        <v>25976</v>
      </c>
      <c r="M234" s="27"/>
      <c r="N234" s="5" t="s">
        <v>49476</v>
      </c>
      <c r="O234" s="5" t="str">
        <v>5408191400</v>
      </c>
      <c r="P234" s="27">
        <v>139497000</v>
      </c>
      <c r="Q234" s="5" t="s">
        <v>49477</v>
      </c>
      <c r="R234" s="5"/>
      <c r="S234" s="5" t="s">
        <v>49478</v>
      </c>
      <c r="T234" s="28">
        <v>396144000</v>
      </c>
      <c r="U234" s="28">
        <v>90000</v>
      </c>
      <c r="V234" s="28">
        <v>5170021000</v>
      </c>
      <c r="W234" s="28"/>
      <c r="X234" s="28">
        <v>305679000</v>
      </c>
      <c r="Y234" s="28">
        <v>11488762000</v>
      </c>
      <c r="Z234" s="28">
        <v>2547879000</v>
      </c>
      <c r="AA234" s="28"/>
      <c r="AB234" s="28">
        <v>1009797000</v>
      </c>
      <c r="AC234" s="28">
        <v>8539612000</v>
      </c>
      <c r="AD234" s="28">
        <v>2747376000</v>
      </c>
      <c r="AE234" s="28">
        <v>31875587000</v>
      </c>
      <c r="AF234" s="28">
        <v>460524000</v>
      </c>
      <c r="AG234" s="11"/>
    </row>
    <row r="235">
      <c r="A235" s="7" t="s">
        <v>1983</v>
      </c>
      <c r="B235" s="5" t="s">
        <v>9955</v>
      </c>
      <c r="C235" s="5" t="s">
        <v>17861</v>
      </c>
      <c r="D235" s="5"/>
      <c r="E235" s="0" t="e">
        <f>+7 (3422) 967555
+7 (3422) 967966
+7 (3422) 967972</f>
        <v>#NAME?</v>
      </c>
      <c r="F235" s="5" t="s">
        <v>25977</v>
      </c>
      <c r="G235" s="5" t="s">
        <v>25978</v>
      </c>
      <c r="H235" s="26">
        <v>30</v>
      </c>
      <c r="I235" s="5"/>
      <c r="J235" s="5" t="s">
        <v>25450</v>
      </c>
      <c r="K235" s="5" t="s">
        <v>344</v>
      </c>
      <c r="L235" s="5" t="s">
        <v>25979</v>
      </c>
      <c r="M235" s="27">
        <v>1358040</v>
      </c>
      <c r="N235" s="5" t="s">
        <v>49479</v>
      </c>
      <c r="O235" s="5" t="str">
        <v>5948008585</v>
      </c>
      <c r="P235" s="27">
        <v>297447040</v>
      </c>
      <c r="Q235" s="5" t="s">
        <v>49009</v>
      </c>
      <c r="R235" s="5"/>
      <c r="S235" s="5" t="s">
        <v>49028</v>
      </c>
      <c r="T235" s="28">
        <v>829409000</v>
      </c>
      <c r="U235" s="28"/>
      <c r="V235" s="28">
        <v>221408000</v>
      </c>
      <c r="W235" s="28">
        <v>300000000</v>
      </c>
      <c r="X235" s="28">
        <v>120095000</v>
      </c>
      <c r="Y235" s="28">
        <v>2353198000</v>
      </c>
      <c r="Z235" s="28">
        <v>644575000</v>
      </c>
      <c r="AA235" s="28"/>
      <c r="AB235" s="28">
        <v>399522000</v>
      </c>
      <c r="AC235" s="28">
        <v>1085618000</v>
      </c>
      <c r="AD235" s="28">
        <v>1157753000</v>
      </c>
      <c r="AE235" s="28">
        <v>5582353000</v>
      </c>
      <c r="AF235" s="28">
        <v>245324000</v>
      </c>
      <c r="AG235" s="11"/>
    </row>
    <row r="236">
      <c r="A236" s="7" t="s">
        <v>1984</v>
      </c>
      <c r="B236" s="5" t="s">
        <v>9956</v>
      </c>
      <c r="C236" s="5" t="s">
        <v>17862</v>
      </c>
      <c r="D236" s="5" t="str">
        <v>166008395401</v>
      </c>
      <c r="E236" s="0" t="e">
        <f>+7 (8432) 676641</f>
        <v>#NAME?</v>
      </c>
      <c r="F236" s="5" t="s">
        <v>25980</v>
      </c>
      <c r="G236" s="5" t="s">
        <v>25981</v>
      </c>
      <c r="H236" s="26">
        <v>7</v>
      </c>
      <c r="I236" s="5"/>
      <c r="J236" s="5" t="s">
        <v>25982</v>
      </c>
      <c r="K236" s="5" t="s">
        <v>344</v>
      </c>
      <c r="L236" s="5" t="s">
        <v>25983</v>
      </c>
      <c r="M236" s="27"/>
      <c r="N236" s="5"/>
      <c r="O236" s="5" t="str">
        <v>1604010557</v>
      </c>
      <c r="P236" s="27">
        <v>1000000</v>
      </c>
      <c r="Q236" s="5" t="s">
        <v>49481</v>
      </c>
      <c r="R236" s="5"/>
      <c r="S236" s="5" t="s">
        <v>49482</v>
      </c>
      <c r="T236" s="28">
        <v>33517000</v>
      </c>
      <c r="U236" s="28">
        <v>1022328000</v>
      </c>
      <c r="V236" s="28">
        <v>3766355000</v>
      </c>
      <c r="W236" s="28">
        <v>3155089000</v>
      </c>
      <c r="X236" s="28">
        <v>5878000</v>
      </c>
      <c r="Y236" s="28">
        <v>8066583000</v>
      </c>
      <c r="Z236" s="28">
        <v>261154000</v>
      </c>
      <c r="AA236" s="28"/>
      <c r="AB236" s="28">
        <v>1492003000</v>
      </c>
      <c r="AC236" s="28">
        <v>7794988000</v>
      </c>
      <c r="AD236" s="28">
        <v>262304000</v>
      </c>
      <c r="AE236" s="28">
        <v>5084326000</v>
      </c>
      <c r="AF236" s="28">
        <v>83326000</v>
      </c>
      <c r="AG236" s="11"/>
    </row>
    <row r="237">
      <c r="A237" s="7" t="s">
        <v>1985</v>
      </c>
      <c r="B237" s="5" t="s">
        <v>9957</v>
      </c>
      <c r="C237" s="5" t="s">
        <v>17861</v>
      </c>
      <c r="D237" s="5"/>
      <c r="E237" s="0" t="e">
        <f>+7 (855) 2472547
+7 (855) 2746872</f>
        <v>#NAME?</v>
      </c>
      <c r="F237" s="5" t="s">
        <v>25984</v>
      </c>
      <c r="G237" s="5"/>
      <c r="H237" s="26">
        <v>7.5</v>
      </c>
      <c r="I237" s="5" t="s">
        <v>25985</v>
      </c>
      <c r="J237" s="5" t="s">
        <v>25986</v>
      </c>
      <c r="K237" s="5" t="s">
        <v>355</v>
      </c>
      <c r="L237" s="5"/>
      <c r="M237" s="27"/>
      <c r="N237" s="5" t="s">
        <v>49483</v>
      </c>
      <c r="O237" s="5" t="str">
        <v>1650310080</v>
      </c>
      <c r="P237" s="27">
        <v>100000</v>
      </c>
      <c r="Q237" s="5" t="s">
        <v>49059</v>
      </c>
      <c r="R237" s="5"/>
      <c r="S237" s="5" t="s">
        <v>49160</v>
      </c>
      <c r="T237" s="28">
        <v>59070000</v>
      </c>
      <c r="U237" s="28"/>
      <c r="V237" s="28">
        <v>3084984000</v>
      </c>
      <c r="W237" s="28">
        <v>2250460000</v>
      </c>
      <c r="X237" s="28">
        <v>129088000</v>
      </c>
      <c r="Y237" s="28">
        <v>5784104000</v>
      </c>
      <c r="Z237" s="28">
        <v>13529000</v>
      </c>
      <c r="AA237" s="28"/>
      <c r="AB237" s="28">
        <v>203000</v>
      </c>
      <c r="AC237" s="28">
        <v>5770059000</v>
      </c>
      <c r="AD237" s="28">
        <v>13629000</v>
      </c>
      <c r="AE237" s="28">
        <v>25142525000</v>
      </c>
      <c r="AF237" s="28">
        <v>3972000</v>
      </c>
      <c r="AG237" s="11"/>
    </row>
    <row r="238">
      <c r="A238" s="7" t="s">
        <v>1986</v>
      </c>
      <c r="B238" s="5" t="s">
        <v>9958</v>
      </c>
      <c r="C238" s="5" t="s">
        <v>17861</v>
      </c>
      <c r="D238" s="5"/>
      <c r="E238" s="0" t="e">
        <f>+7 (855) 2472830
+7 (855) 2707351</f>
        <v>#NAME?</v>
      </c>
      <c r="F238" s="5" t="s">
        <v>25987</v>
      </c>
      <c r="G238" s="5"/>
      <c r="H238" s="26">
        <v>5.5</v>
      </c>
      <c r="I238" s="5" t="s">
        <v>25988</v>
      </c>
      <c r="J238" s="5" t="s">
        <v>25231</v>
      </c>
      <c r="K238" s="5" t="s">
        <v>355</v>
      </c>
      <c r="L238" s="5"/>
      <c r="M238" s="27"/>
      <c r="N238" s="5"/>
      <c r="O238" s="5" t="str">
        <v>1650350325</v>
      </c>
      <c r="P238" s="27">
        <v>1000000</v>
      </c>
      <c r="Q238" s="5" t="s">
        <v>49059</v>
      </c>
      <c r="R238" s="5"/>
      <c r="S238" s="5" t="s">
        <v>49029</v>
      </c>
      <c r="T238" s="28">
        <v>1657986000</v>
      </c>
      <c r="U238" s="28"/>
      <c r="V238" s="28">
        <v>226797000</v>
      </c>
      <c r="W238" s="28"/>
      <c r="X238" s="28">
        <v>338000</v>
      </c>
      <c r="Y238" s="28">
        <v>2267137000</v>
      </c>
      <c r="Z238" s="28">
        <v>-82623000</v>
      </c>
      <c r="AA238" s="28">
        <v>1308644000</v>
      </c>
      <c r="AB238" s="28">
        <v>131105000</v>
      </c>
      <c r="AC238" s="28">
        <v>1027633000</v>
      </c>
      <c r="AD238" s="28">
        <v>-81623000</v>
      </c>
      <c r="AE238" s="28">
        <v>3111032000</v>
      </c>
      <c r="AF238" s="28">
        <v>24503000</v>
      </c>
      <c r="AG238" s="11"/>
    </row>
    <row r="239">
      <c r="A239" s="7" t="s">
        <v>1987</v>
      </c>
      <c r="B239" s="5" t="s">
        <v>9959</v>
      </c>
      <c r="C239" s="5" t="s">
        <v>17863</v>
      </c>
      <c r="D239" s="5" t="str">
        <v>344503556807</v>
      </c>
      <c r="E239" s="0" t="e">
        <f>+7 (844) 2379292
+7 (844) 2373732
+7 (844) 2376732
+7 (844) 2376981
+7 (844) 2377922
+7 (844) 2378248
+7 (844) 2379874</f>
        <v>#NAME?</v>
      </c>
      <c r="F239" s="5" t="s">
        <v>25989</v>
      </c>
      <c r="G239" s="5"/>
      <c r="H239" s="26">
        <v>19.5</v>
      </c>
      <c r="I239" s="5" t="s">
        <v>25990</v>
      </c>
      <c r="J239" s="5" t="s">
        <v>373</v>
      </c>
      <c r="K239" s="5" t="s">
        <v>344</v>
      </c>
      <c r="L239" s="5" t="s">
        <v>25991</v>
      </c>
      <c r="M239" s="27">
        <v>74804</v>
      </c>
      <c r="N239" s="5" t="s">
        <v>49484</v>
      </c>
      <c r="O239" s="5" t="str">
        <v>3444109340</v>
      </c>
      <c r="P239" s="27">
        <v>18159325</v>
      </c>
      <c r="Q239" s="5"/>
      <c r="R239" s="5"/>
      <c r="S239" s="5" t="s">
        <v>49399</v>
      </c>
      <c r="T239" s="28">
        <v>74879000</v>
      </c>
      <c r="U239" s="28"/>
      <c r="V239" s="28">
        <v>109170000</v>
      </c>
      <c r="W239" s="28">
        <v>1320000</v>
      </c>
      <c r="X239" s="28">
        <v>17294000</v>
      </c>
      <c r="Y239" s="28">
        <v>387194000</v>
      </c>
      <c r="Z239" s="28">
        <v>113211000</v>
      </c>
      <c r="AA239" s="28"/>
      <c r="AB239" s="28">
        <v>156000000</v>
      </c>
      <c r="AC239" s="28">
        <v>246938000</v>
      </c>
      <c r="AD239" s="28">
        <v>131370000</v>
      </c>
      <c r="AE239" s="28">
        <v>3716290000</v>
      </c>
      <c r="AF239" s="28">
        <v>44354000</v>
      </c>
      <c r="AG239" s="11"/>
    </row>
    <row r="240">
      <c r="A240" s="7" t="s">
        <v>1988</v>
      </c>
      <c r="B240" s="5" t="s">
        <v>9960</v>
      </c>
      <c r="C240" s="5" t="s">
        <v>17864</v>
      </c>
      <c r="D240" s="5"/>
      <c r="E240" s="0" t="e">
        <f>+7 (474) 2329101
+7 (47467) 20583
+7 (47467) 50293
+7 (47467) 50452
+7 (47467) 50546
+7 (47467) 50935
+7 (47467) 50936
+7 (47467) 69485
+7 (47467) 69505
+7 (47467) 69920
+7 (910) 2555138</f>
        <v>#NAME?</v>
      </c>
      <c r="F240" s="5" t="s">
        <v>25992</v>
      </c>
      <c r="G240" s="5"/>
      <c r="H240" s="26">
        <v>17</v>
      </c>
      <c r="I240" s="5" t="s">
        <v>25993</v>
      </c>
      <c r="J240" s="5" t="s">
        <v>25994</v>
      </c>
      <c r="K240" s="5" t="s">
        <v>344</v>
      </c>
      <c r="L240" s="5" t="s">
        <v>25995</v>
      </c>
      <c r="M240" s="27"/>
      <c r="N240" s="5"/>
      <c r="O240" s="5" t="str">
        <v>4826050108</v>
      </c>
      <c r="P240" s="27">
        <v>2811761972</v>
      </c>
      <c r="Q240" s="5"/>
      <c r="R240" s="5"/>
      <c r="S240" s="5" t="s">
        <v>49029</v>
      </c>
      <c r="T240" s="28">
        <v>5598786000</v>
      </c>
      <c r="U240" s="28"/>
      <c r="V240" s="28">
        <v>1765225000</v>
      </c>
      <c r="W240" s="28"/>
      <c r="X240" s="28">
        <v>19780000</v>
      </c>
      <c r="Y240" s="28">
        <v>12442393000</v>
      </c>
      <c r="Z240" s="28">
        <v>2575703000</v>
      </c>
      <c r="AA240" s="28"/>
      <c r="AB240" s="28">
        <v>1056835000</v>
      </c>
      <c r="AC240" s="28">
        <v>2816825000</v>
      </c>
      <c r="AD240" s="28">
        <v>9393861000</v>
      </c>
      <c r="AE240" s="28">
        <v>8997247000</v>
      </c>
      <c r="AF240" s="28">
        <v>915239000</v>
      </c>
      <c r="AG240" s="11"/>
    </row>
    <row r="241">
      <c r="A241" s="7" t="s">
        <v>1989</v>
      </c>
      <c r="B241" s="5" t="s">
        <v>9961</v>
      </c>
      <c r="C241" s="5" t="s">
        <v>17865</v>
      </c>
      <c r="D241" s="5" t="str">
        <v>366400330434</v>
      </c>
      <c r="E241" s="0" t="e">
        <f>+7 (473) 2273007
+7 (473) 2275237
+7 (473) 2614632
+7 (960) 1029469</f>
        <v>#NAME?</v>
      </c>
      <c r="F241" s="5" t="s">
        <v>25996</v>
      </c>
      <c r="G241" s="5" t="s">
        <v>25997</v>
      </c>
      <c r="H241" s="26">
        <v>13</v>
      </c>
      <c r="I241" s="5" t="s">
        <v>25998</v>
      </c>
      <c r="J241" s="5" t="s">
        <v>25262</v>
      </c>
      <c r="K241" s="5" t="s">
        <v>344</v>
      </c>
      <c r="L241" s="5" t="s">
        <v>25999</v>
      </c>
      <c r="M241" s="27">
        <v>49920485</v>
      </c>
      <c r="N241" s="5" t="s">
        <v>49485</v>
      </c>
      <c r="O241" s="5" t="str">
        <v>3661049667</v>
      </c>
      <c r="P241" s="27">
        <v>10000</v>
      </c>
      <c r="Q241" s="5" t="s">
        <v>49009</v>
      </c>
      <c r="R241" s="5"/>
      <c r="S241" s="5" t="s">
        <v>49012</v>
      </c>
      <c r="T241" s="28">
        <v>275917000</v>
      </c>
      <c r="U241" s="28">
        <v>10000</v>
      </c>
      <c r="V241" s="28">
        <v>5553999000</v>
      </c>
      <c r="W241" s="28">
        <v>90022000</v>
      </c>
      <c r="X241" s="28">
        <v>125285000</v>
      </c>
      <c r="Y241" s="28">
        <v>7823759000</v>
      </c>
      <c r="Z241" s="28">
        <v>678023000</v>
      </c>
      <c r="AA241" s="28"/>
      <c r="AB241" s="28">
        <v>862812000</v>
      </c>
      <c r="AC241" s="28">
        <v>7114681000</v>
      </c>
      <c r="AD241" s="28">
        <v>678033000</v>
      </c>
      <c r="AE241" s="28">
        <v>9724464000</v>
      </c>
      <c r="AF241" s="28">
        <v>416140000</v>
      </c>
      <c r="AG241" s="11"/>
    </row>
    <row r="242">
      <c r="A242" s="7" t="s">
        <v>1990</v>
      </c>
      <c r="B242" s="5" t="s">
        <v>9962</v>
      </c>
      <c r="C242" s="5" t="s">
        <v>17866</v>
      </c>
      <c r="D242" s="5" t="str">
        <v>366515861777</v>
      </c>
      <c r="E242" s="0" t="e">
        <f>+7 (473) 2614631
+7 (473) 2614632
+7 (473) 2614633
+7 (473) 2614634
+7 (473) 2614635
+7 (474) 2284162
+7 (474) 2483598
+7 (863) 3036396
+7 (903) 4062266
+7 (903) 4203041
+7 (904) 2120842
+7 (905) 6445848
+7 (905) 6507415
+7 (906) 6704050
+7 (908) 1398528</f>
        <v>#NAME?</v>
      </c>
      <c r="F242" s="5" t="s">
        <v>26000</v>
      </c>
      <c r="G242" s="5"/>
      <c r="H242" s="26">
        <v>19.5</v>
      </c>
      <c r="I242" s="5" t="s">
        <v>25998</v>
      </c>
      <c r="J242" s="5" t="s">
        <v>25837</v>
      </c>
      <c r="K242" s="5" t="s">
        <v>344</v>
      </c>
      <c r="L242" s="5" t="s">
        <v>26001</v>
      </c>
      <c r="M242" s="27"/>
      <c r="N242" s="5" t="s">
        <v>49486</v>
      </c>
      <c r="O242" s="5" t="str">
        <v>3666106686</v>
      </c>
      <c r="P242" s="27">
        <v>10000</v>
      </c>
      <c r="Q242" s="5"/>
      <c r="R242" s="5"/>
      <c r="S242" s="5" t="s">
        <v>49110</v>
      </c>
      <c r="T242" s="28">
        <v>57434000</v>
      </c>
      <c r="U242" s="28"/>
      <c r="V242" s="28">
        <v>1196387000</v>
      </c>
      <c r="W242" s="28">
        <v>63300000</v>
      </c>
      <c r="X242" s="28">
        <v>6493000</v>
      </c>
      <c r="Y242" s="28">
        <v>1614685000</v>
      </c>
      <c r="Z242" s="28">
        <v>49034000</v>
      </c>
      <c r="AA242" s="28"/>
      <c r="AB242" s="28">
        <v>180000000</v>
      </c>
      <c r="AC242" s="28">
        <v>1558256000</v>
      </c>
      <c r="AD242" s="28">
        <v>49044000</v>
      </c>
      <c r="AE242" s="28">
        <v>3408176000</v>
      </c>
      <c r="AF242" s="28">
        <v>40034000</v>
      </c>
      <c r="AG242" s="11"/>
    </row>
    <row r="243">
      <c r="A243" s="7" t="s">
        <v>1991</v>
      </c>
      <c r="B243" s="5" t="s">
        <v>9963</v>
      </c>
      <c r="C243" s="5" t="s">
        <v>17867</v>
      </c>
      <c r="D243" s="5" t="str">
        <v>232802557059</v>
      </c>
      <c r="E243" s="0" t="e">
        <f>+7 (84474) 64269
+7 (8632) 923953
+7 (8632) 950095</f>
        <v>#NAME?</v>
      </c>
      <c r="F243" s="5" t="s">
        <v>26002</v>
      </c>
      <c r="G243" s="5" t="s">
        <v>26003</v>
      </c>
      <c r="H243" s="26">
        <v>25</v>
      </c>
      <c r="I243" s="5" t="s">
        <v>26004</v>
      </c>
      <c r="J243" s="5" t="s">
        <v>725</v>
      </c>
      <c r="K243" s="5" t="s">
        <v>355</v>
      </c>
      <c r="L243" s="5" t="s">
        <v>26005</v>
      </c>
      <c r="M243" s="27"/>
      <c r="N243" s="5"/>
      <c r="O243" s="5" t="str">
        <v>6167044609</v>
      </c>
      <c r="P243" s="27">
        <v>538010000</v>
      </c>
      <c r="Q243" s="5" t="s">
        <v>49009</v>
      </c>
      <c r="R243" s="5"/>
      <c r="S243" s="5" t="s">
        <v>49487</v>
      </c>
      <c r="T243" s="28">
        <v>7599751000</v>
      </c>
      <c r="U243" s="28">
        <v>2556769000</v>
      </c>
      <c r="V243" s="28">
        <v>1122701000</v>
      </c>
      <c r="W243" s="28">
        <v>4002000</v>
      </c>
      <c r="X243" s="28">
        <v>789794000</v>
      </c>
      <c r="Y243" s="28">
        <v>13460953000</v>
      </c>
      <c r="Z243" s="28">
        <v>7912797000</v>
      </c>
      <c r="AA243" s="28">
        <v>1840566000</v>
      </c>
      <c r="AB243" s="28">
        <v>2956773000</v>
      </c>
      <c r="AC243" s="28">
        <v>3156114000</v>
      </c>
      <c r="AD243" s="28">
        <v>8451336000</v>
      </c>
      <c r="AE243" s="28">
        <v>3645208000</v>
      </c>
      <c r="AF243" s="28">
        <v>2421497000</v>
      </c>
      <c r="AG243" s="11"/>
    </row>
    <row r="244">
      <c r="A244" s="7" t="s">
        <v>1992</v>
      </c>
      <c r="B244" s="5" t="s">
        <v>9964</v>
      </c>
      <c r="C244" s="5" t="s">
        <v>17868</v>
      </c>
      <c r="D244" s="5" t="str">
        <v>645404512502</v>
      </c>
      <c r="E244" s="0" t="e">
        <f>+7 (845) 2271381
+7 (927) 6265882
+7 (8452) 320391
+7 (8452) 393730
+7 (8452) 624286</f>
        <v>#NAME?</v>
      </c>
      <c r="F244" s="5" t="s">
        <v>26006</v>
      </c>
      <c r="G244" s="5"/>
      <c r="H244" s="26">
        <v>25.5</v>
      </c>
      <c r="I244" s="5" t="s">
        <v>26007</v>
      </c>
      <c r="J244" s="5" t="s">
        <v>25864</v>
      </c>
      <c r="K244" s="5" t="s">
        <v>344</v>
      </c>
      <c r="L244" s="5" t="s">
        <v>26008</v>
      </c>
      <c r="M244" s="27"/>
      <c r="N244" s="5" t="s">
        <v>49488</v>
      </c>
      <c r="O244" s="5" t="str">
        <v>6452132300</v>
      </c>
      <c r="P244" s="27">
        <v>10000</v>
      </c>
      <c r="Q244" s="5"/>
      <c r="R244" s="5"/>
      <c r="S244" s="5" t="s">
        <v>49110</v>
      </c>
      <c r="T244" s="28">
        <v>199285000</v>
      </c>
      <c r="U244" s="28"/>
      <c r="V244" s="28">
        <v>335839000</v>
      </c>
      <c r="W244" s="28">
        <v>733700000</v>
      </c>
      <c r="X244" s="28">
        <v>35234000</v>
      </c>
      <c r="Y244" s="28">
        <v>1582233000</v>
      </c>
      <c r="Z244" s="28">
        <v>1155250000</v>
      </c>
      <c r="AA244" s="28"/>
      <c r="AB244" s="28"/>
      <c r="AC244" s="28">
        <v>420305000</v>
      </c>
      <c r="AD244" s="28">
        <v>1155261000</v>
      </c>
      <c r="AE244" s="28">
        <v>3085912000</v>
      </c>
      <c r="AF244" s="28">
        <v>456772000</v>
      </c>
      <c r="AG244" s="11"/>
    </row>
    <row r="245">
      <c r="A245" s="7" t="s">
        <v>1993</v>
      </c>
      <c r="B245" s="5" t="s">
        <v>9965</v>
      </c>
      <c r="C245" s="5" t="s">
        <v>17869</v>
      </c>
      <c r="D245" s="5" t="str">
        <v>272012398380</v>
      </c>
      <c r="F245" s="5" t="s">
        <v>26009</v>
      </c>
      <c r="G245" s="5"/>
      <c r="H245" s="26">
        <v>15.5</v>
      </c>
      <c r="I245" s="5" t="s">
        <v>26010</v>
      </c>
      <c r="J245" s="5" t="s">
        <v>25829</v>
      </c>
      <c r="K245" s="5" t="s">
        <v>355</v>
      </c>
      <c r="L245" s="5" t="s">
        <v>26011</v>
      </c>
      <c r="M245" s="27"/>
      <c r="N245" s="5" t="s">
        <v>49489</v>
      </c>
      <c r="O245" s="5" t="str">
        <v>2725064774</v>
      </c>
      <c r="P245" s="27">
        <v>10000</v>
      </c>
      <c r="Q245" s="5"/>
      <c r="R245" s="5"/>
      <c r="S245" s="5" t="s">
        <v>49110</v>
      </c>
      <c r="T245" s="28"/>
      <c r="U245" s="28"/>
      <c r="V245" s="28">
        <v>9667000</v>
      </c>
      <c r="W245" s="28"/>
      <c r="X245" s="28">
        <v>818000</v>
      </c>
      <c r="Y245" s="28">
        <v>10485000</v>
      </c>
      <c r="Z245" s="28"/>
      <c r="AA245" s="28"/>
      <c r="AB245" s="28"/>
      <c r="AC245" s="28"/>
      <c r="AD245" s="28">
        <v>9731000</v>
      </c>
      <c r="AE245" s="28">
        <v>6845175000</v>
      </c>
      <c r="AF245" s="28">
        <v>734535000</v>
      </c>
      <c r="AG245" s="11"/>
    </row>
    <row r="246">
      <c r="A246" s="7" t="s">
        <v>1994</v>
      </c>
      <c r="B246" s="5" t="s">
        <v>9966</v>
      </c>
      <c r="C246" s="5" t="s">
        <v>17870</v>
      </c>
      <c r="D246" s="5" t="str">
        <v>366407420895</v>
      </c>
      <c r="E246" s="0" t="e">
        <f>+7 (920) 5245917
+7 (87938) 33957</f>
        <v>#NAME?</v>
      </c>
      <c r="F246" s="5" t="s">
        <v>26012</v>
      </c>
      <c r="G246" s="5" t="s">
        <v>26013</v>
      </c>
      <c r="H246" s="26">
        <v>8</v>
      </c>
      <c r="I246" s="5" t="s">
        <v>26014</v>
      </c>
      <c r="J246" s="5" t="s">
        <v>364</v>
      </c>
      <c r="K246" s="5" t="s">
        <v>344</v>
      </c>
      <c r="L246" s="5" t="s">
        <v>26015</v>
      </c>
      <c r="M246" s="27"/>
      <c r="N246" s="5" t="s">
        <v>49490</v>
      </c>
      <c r="O246" s="5" t="str">
        <v>2609024114</v>
      </c>
      <c r="P246" s="27">
        <v>10000</v>
      </c>
      <c r="Q246" s="5" t="s">
        <v>49446</v>
      </c>
      <c r="R246" s="5"/>
      <c r="S246" s="5" t="s">
        <v>49492</v>
      </c>
      <c r="T246" s="28">
        <v>254683000</v>
      </c>
      <c r="U246" s="28">
        <v>104000</v>
      </c>
      <c r="V246" s="28">
        <v>2387580000</v>
      </c>
      <c r="W246" s="28">
        <v>125694000</v>
      </c>
      <c r="X246" s="28">
        <v>152206000</v>
      </c>
      <c r="Y246" s="28">
        <v>5217597000</v>
      </c>
      <c r="Z246" s="28">
        <v>496045000</v>
      </c>
      <c r="AA246" s="28"/>
      <c r="AB246" s="28"/>
      <c r="AC246" s="28">
        <v>4661815000</v>
      </c>
      <c r="AD246" s="28">
        <v>496055000</v>
      </c>
      <c r="AE246" s="28">
        <v>14482810000</v>
      </c>
      <c r="AF246" s="28">
        <v>186523000</v>
      </c>
      <c r="AG246" s="11"/>
    </row>
    <row r="247">
      <c r="A247" s="7" t="s">
        <v>1995</v>
      </c>
      <c r="B247" s="5" t="s">
        <v>9967</v>
      </c>
      <c r="C247" s="5" t="s">
        <v>17871</v>
      </c>
      <c r="D247" s="5" t="str">
        <v>222107727545</v>
      </c>
      <c r="E247" s="0" t="e">
        <f>+7 (385) 2249906
+7 (385) 2474039
+7 (385) 2507083</f>
        <v>#NAME?</v>
      </c>
      <c r="F247" s="5" t="s">
        <v>26016</v>
      </c>
      <c r="G247" s="5" t="s">
        <v>26017</v>
      </c>
      <c r="H247" s="26">
        <v>17</v>
      </c>
      <c r="I247" s="5" t="s">
        <v>26018</v>
      </c>
      <c r="J247" s="5" t="s">
        <v>678</v>
      </c>
      <c r="K247" s="5" t="s">
        <v>344</v>
      </c>
      <c r="L247" s="5" t="s">
        <v>26019</v>
      </c>
      <c r="M247" s="27"/>
      <c r="N247" s="5" t="s">
        <v>49493</v>
      </c>
      <c r="O247" s="5" t="str">
        <v>2221114899</v>
      </c>
      <c r="P247" s="27">
        <v>10000</v>
      </c>
      <c r="Q247" s="5"/>
      <c r="R247" s="5"/>
      <c r="S247" s="5" t="s">
        <v>49047</v>
      </c>
      <c r="T247" s="28">
        <v>42919000</v>
      </c>
      <c r="U247" s="28">
        <v>109100000</v>
      </c>
      <c r="V247" s="28">
        <v>1035064000</v>
      </c>
      <c r="W247" s="28"/>
      <c r="X247" s="28">
        <v>522660000</v>
      </c>
      <c r="Y247" s="28">
        <v>1927540000</v>
      </c>
      <c r="Z247" s="28">
        <v>1329625000</v>
      </c>
      <c r="AA247" s="28"/>
      <c r="AB247" s="28"/>
      <c r="AC247" s="28">
        <v>595171000</v>
      </c>
      <c r="AD247" s="28">
        <v>1329635000</v>
      </c>
      <c r="AE247" s="28">
        <v>3013717000</v>
      </c>
      <c r="AF247" s="28">
        <v>540689000</v>
      </c>
      <c r="AG247" s="11"/>
    </row>
    <row r="248">
      <c r="A248" s="7" t="s">
        <v>1996</v>
      </c>
      <c r="B248" s="5" t="s">
        <v>9968</v>
      </c>
      <c r="C248" s="5" t="s">
        <v>17872</v>
      </c>
      <c r="D248" s="5" t="str">
        <v>713006194226</v>
      </c>
      <c r="E248" s="0" t="e">
        <f>+7 (985) 8722282
+7 (915) 1252929
+7 (861) 2217116
+7 (988) 2403010</f>
        <v>#NAME?</v>
      </c>
      <c r="F248" s="5" t="s">
        <v>26020</v>
      </c>
      <c r="G248" s="5" t="s">
        <v>26021</v>
      </c>
      <c r="H248" s="26">
        <v>15.5</v>
      </c>
      <c r="I248" s="5" t="s">
        <v>26022</v>
      </c>
      <c r="J248" s="5" t="s">
        <v>25262</v>
      </c>
      <c r="K248" s="5" t="s">
        <v>344</v>
      </c>
      <c r="L248" s="5" t="s">
        <v>26023</v>
      </c>
      <c r="M248" s="27">
        <v>4356410</v>
      </c>
      <c r="N248" s="5" t="s">
        <v>49494</v>
      </c>
      <c r="O248" s="5" t="str">
        <v>7714701614</v>
      </c>
      <c r="P248" s="27">
        <v>10000</v>
      </c>
      <c r="Q248" s="5"/>
      <c r="R248" s="5"/>
      <c r="S248" s="5" t="s">
        <v>49047</v>
      </c>
      <c r="T248" s="28">
        <v>194200000</v>
      </c>
      <c r="U248" s="28">
        <v>221400000</v>
      </c>
      <c r="V248" s="28">
        <v>3570342000</v>
      </c>
      <c r="W248" s="28">
        <v>242187000</v>
      </c>
      <c r="X248" s="28">
        <v>92421000</v>
      </c>
      <c r="Y248" s="28">
        <v>8543375000</v>
      </c>
      <c r="Z248" s="28">
        <v>1183007000</v>
      </c>
      <c r="AA248" s="28">
        <v>1206001000</v>
      </c>
      <c r="AB248" s="28">
        <v>624818000</v>
      </c>
      <c r="AC248" s="28">
        <v>6084434000</v>
      </c>
      <c r="AD248" s="28">
        <v>1183017000</v>
      </c>
      <c r="AE248" s="28">
        <v>14729254000</v>
      </c>
      <c r="AF248" s="28">
        <v>1108062000</v>
      </c>
      <c r="AG248" s="11"/>
    </row>
    <row r="249">
      <c r="A249" s="7" t="s">
        <v>1997</v>
      </c>
      <c r="B249" s="5" t="s">
        <v>9969</v>
      </c>
      <c r="C249" s="5" t="s">
        <v>17873</v>
      </c>
      <c r="D249" s="5" t="str">
        <v>774316393359</v>
      </c>
      <c r="E249" s="0" t="e">
        <f>+7 (861) 2217113
+7 (985) 8722282
+7 (918) 606283</f>
        <v>#NAME?</v>
      </c>
      <c r="F249" s="5" t="s">
        <v>26024</v>
      </c>
      <c r="G249" s="5"/>
      <c r="H249" s="26">
        <v>12</v>
      </c>
      <c r="I249" s="5" t="s">
        <v>26025</v>
      </c>
      <c r="J249" s="5" t="s">
        <v>25262</v>
      </c>
      <c r="K249" s="5" t="s">
        <v>355</v>
      </c>
      <c r="L249" s="5" t="s">
        <v>26026</v>
      </c>
      <c r="M249" s="27"/>
      <c r="N249" s="5" t="s">
        <v>49495</v>
      </c>
      <c r="O249" s="5" t="str">
        <v>2308175039</v>
      </c>
      <c r="P249" s="27">
        <v>10000</v>
      </c>
      <c r="Q249" s="5"/>
      <c r="R249" s="5"/>
      <c r="S249" s="5" t="s">
        <v>49496</v>
      </c>
      <c r="T249" s="28">
        <v>119361000</v>
      </c>
      <c r="U249" s="28"/>
      <c r="V249" s="28">
        <v>1978134000</v>
      </c>
      <c r="W249" s="28"/>
      <c r="X249" s="28">
        <v>1541000</v>
      </c>
      <c r="Y249" s="28">
        <v>2162364000</v>
      </c>
      <c r="Z249" s="28">
        <v>443088000</v>
      </c>
      <c r="AA249" s="28"/>
      <c r="AB249" s="28">
        <v>1078081000</v>
      </c>
      <c r="AC249" s="28">
        <v>1625016000</v>
      </c>
      <c r="AD249" s="28">
        <v>522177000</v>
      </c>
      <c r="AE249" s="28">
        <v>3141990000</v>
      </c>
      <c r="AF249" s="28">
        <v>53517000</v>
      </c>
      <c r="AG249" s="11"/>
    </row>
    <row r="250">
      <c r="A250" s="7" t="s">
        <v>1997</v>
      </c>
      <c r="B250" s="5" t="s">
        <v>9970</v>
      </c>
      <c r="C250" s="5" t="s">
        <v>17874</v>
      </c>
      <c r="D250" s="5" t="str">
        <v>230901916690</v>
      </c>
      <c r="E250" s="0" t="e">
        <f>+7 (861) 2217113
+7 (861) 2221111
+7 (861) 2221958
+7 (861) 2226854
+7 (861) 2403010
+7 (988) 2403010</f>
        <v>#NAME?</v>
      </c>
      <c r="F250" s="5" t="s">
        <v>26027</v>
      </c>
      <c r="G250" s="5" t="s">
        <v>26028</v>
      </c>
      <c r="H250" s="26">
        <v>25</v>
      </c>
      <c r="I250" s="5" t="s">
        <v>26029</v>
      </c>
      <c r="J250" s="5" t="s">
        <v>25262</v>
      </c>
      <c r="K250" s="5" t="s">
        <v>344</v>
      </c>
      <c r="L250" s="5" t="s">
        <v>26030</v>
      </c>
      <c r="M250" s="27">
        <v>655400</v>
      </c>
      <c r="N250" s="5" t="s">
        <v>49497</v>
      </c>
      <c r="O250" s="5" t="str">
        <v>2311049789</v>
      </c>
      <c r="P250" s="27">
        <v>110000</v>
      </c>
      <c r="Q250" s="5"/>
      <c r="R250" s="5"/>
      <c r="S250" s="5" t="s">
        <v>49047</v>
      </c>
      <c r="T250" s="28">
        <v>25504000</v>
      </c>
      <c r="U250" s="28"/>
      <c r="V250" s="28">
        <v>4376452000</v>
      </c>
      <c r="W250" s="28">
        <v>3690000</v>
      </c>
      <c r="X250" s="28">
        <v>878156000</v>
      </c>
      <c r="Y250" s="28">
        <v>5683565000</v>
      </c>
      <c r="Z250" s="28">
        <v>879419000</v>
      </c>
      <c r="AA250" s="28">
        <v>640000000</v>
      </c>
      <c r="AB250" s="28">
        <v>1323702000</v>
      </c>
      <c r="AC250" s="28">
        <v>4162841000</v>
      </c>
      <c r="AD250" s="28">
        <v>879529000</v>
      </c>
      <c r="AE250" s="28">
        <v>10260913000</v>
      </c>
      <c r="AF250" s="28">
        <v>205662000</v>
      </c>
      <c r="AG250" s="11"/>
    </row>
    <row r="251">
      <c r="A251" s="7" t="s">
        <v>1998</v>
      </c>
      <c r="B251" s="5" t="s">
        <v>9971</v>
      </c>
      <c r="C251" s="5" t="s">
        <v>17875</v>
      </c>
      <c r="D251" s="5" t="str">
        <v>366600711420</v>
      </c>
      <c r="E251" s="0" t="e">
        <f>+7 (910) 2883808
+7 (473) 2227535
+7 (473) 2337035
+7 (473) 2357629
+7 (473) 2357631
+7 (473) 2357635
+7 (473) 2357636
+7 (473) 2536212
+7 (473) 2536518</f>
        <v>#NAME?</v>
      </c>
      <c r="F251" s="5" t="s">
        <v>26031</v>
      </c>
      <c r="G251" s="5" t="s">
        <v>26032</v>
      </c>
      <c r="H251" s="26">
        <v>19</v>
      </c>
      <c r="I251" s="5" t="s">
        <v>26033</v>
      </c>
      <c r="J251" s="5" t="s">
        <v>562</v>
      </c>
      <c r="K251" s="5" t="s">
        <v>344</v>
      </c>
      <c r="L251" s="5" t="s">
        <v>26034</v>
      </c>
      <c r="M251" s="27"/>
      <c r="N251" s="5" t="s">
        <v>49498</v>
      </c>
      <c r="O251" s="5" t="str">
        <v>3666110241</v>
      </c>
      <c r="P251" s="27">
        <v>10000</v>
      </c>
      <c r="Q251" s="5"/>
      <c r="R251" s="5"/>
      <c r="S251" s="5" t="s">
        <v>49425</v>
      </c>
      <c r="T251" s="28">
        <v>80421000</v>
      </c>
      <c r="U251" s="28">
        <v>357495000</v>
      </c>
      <c r="V251" s="28">
        <v>5427284000</v>
      </c>
      <c r="W251" s="28">
        <v>3432065000</v>
      </c>
      <c r="X251" s="28">
        <v>343133000</v>
      </c>
      <c r="Y251" s="28">
        <v>11467970000</v>
      </c>
      <c r="Z251" s="28">
        <v>3535365000</v>
      </c>
      <c r="AA251" s="28"/>
      <c r="AB251" s="28">
        <v>4510888000</v>
      </c>
      <c r="AC251" s="28">
        <v>7932595000</v>
      </c>
      <c r="AD251" s="28">
        <v>3535375000</v>
      </c>
      <c r="AE251" s="28">
        <v>11597315000</v>
      </c>
      <c r="AF251" s="28">
        <v>1154954000</v>
      </c>
      <c r="AG251" s="11"/>
    </row>
    <row r="252">
      <c r="A252" s="7" t="s">
        <v>1999</v>
      </c>
      <c r="B252" s="5" t="s">
        <v>9972</v>
      </c>
      <c r="C252" s="5" t="s">
        <v>17876</v>
      </c>
      <c r="D252" s="5" t="str">
        <v>680501469464</v>
      </c>
      <c r="E252" s="0" t="e">
        <f>+7 (475) 3557672
+7 (475) 2492578
+7 (475) 2492582
+7 (47535) 36121
+7 (47535) 57686
+7 (495) 3631661</f>
        <v>#NAME?</v>
      </c>
      <c r="F252" s="5" t="s">
        <v>26035</v>
      </c>
      <c r="G252" s="5"/>
      <c r="H252" s="26">
        <v>20</v>
      </c>
      <c r="I252" s="5" t="s">
        <v>26036</v>
      </c>
      <c r="J252" s="5" t="s">
        <v>26037</v>
      </c>
      <c r="K252" s="5" t="s">
        <v>344</v>
      </c>
      <c r="L252" s="5" t="s">
        <v>26038</v>
      </c>
      <c r="M252" s="27">
        <v>199852</v>
      </c>
      <c r="N252" s="5"/>
      <c r="O252" s="5" t="str">
        <v>6803120472</v>
      </c>
      <c r="P252" s="27">
        <v>4000127829</v>
      </c>
      <c r="Q252" s="5" t="s">
        <v>49059</v>
      </c>
      <c r="R252" s="5"/>
      <c r="S252" s="5" t="s">
        <v>49499</v>
      </c>
      <c r="T252" s="28">
        <v>5040183000</v>
      </c>
      <c r="U252" s="28">
        <v>706000</v>
      </c>
      <c r="V252" s="28">
        <v>2572597000</v>
      </c>
      <c r="W252" s="28">
        <v>26802000</v>
      </c>
      <c r="X252" s="28">
        <v>359000</v>
      </c>
      <c r="Y252" s="28">
        <v>13821891000</v>
      </c>
      <c r="Z252" s="28">
        <v>2952412000</v>
      </c>
      <c r="AA252" s="28">
        <v>576012000</v>
      </c>
      <c r="AB252" s="28">
        <v>3163437000</v>
      </c>
      <c r="AC252" s="28">
        <v>4794451000</v>
      </c>
      <c r="AD252" s="28">
        <v>7414557000</v>
      </c>
      <c r="AE252" s="28">
        <v>7830553000</v>
      </c>
      <c r="AF252" s="28">
        <v>2842818000</v>
      </c>
      <c r="AG252" s="11"/>
    </row>
    <row r="253">
      <c r="A253" s="7" t="s">
        <v>2000</v>
      </c>
      <c r="B253" s="5" t="s">
        <v>9973</v>
      </c>
      <c r="C253" s="5" t="s">
        <v>17877</v>
      </c>
      <c r="D253" s="5" t="str">
        <v>745106760774</v>
      </c>
      <c r="E253" s="0" t="e">
        <f>+7 (495) 2878697
+7 (495) 6878697</f>
        <v>#NAME?</v>
      </c>
      <c r="F253" s="5"/>
      <c r="G253" s="5"/>
      <c r="H253" s="26">
        <v>9.5</v>
      </c>
      <c r="I253" s="5" t="s">
        <v>26039</v>
      </c>
      <c r="J253" s="5" t="s">
        <v>26040</v>
      </c>
      <c r="K253" s="5" t="s">
        <v>344</v>
      </c>
      <c r="L253" s="5" t="s">
        <v>26041</v>
      </c>
      <c r="M253" s="27">
        <v>502390</v>
      </c>
      <c r="N253" s="5"/>
      <c r="O253" s="5" t="str">
        <v>7424031365</v>
      </c>
      <c r="P253" s="27">
        <v>10000</v>
      </c>
      <c r="Q253" s="5"/>
      <c r="R253" s="5"/>
      <c r="S253" s="5" t="s">
        <v>49110</v>
      </c>
      <c r="T253" s="28">
        <v>137633000</v>
      </c>
      <c r="U253" s="28"/>
      <c r="V253" s="28">
        <v>747094000</v>
      </c>
      <c r="W253" s="28">
        <v>34574000</v>
      </c>
      <c r="X253" s="28">
        <v>383421000</v>
      </c>
      <c r="Y253" s="28">
        <v>1445474000</v>
      </c>
      <c r="Z253" s="28">
        <v>98439000</v>
      </c>
      <c r="AA253" s="28"/>
      <c r="AB253" s="28">
        <v>58707000</v>
      </c>
      <c r="AC253" s="28">
        <v>1178872000</v>
      </c>
      <c r="AD253" s="28">
        <v>265266000</v>
      </c>
      <c r="AE253" s="28">
        <v>3175914000</v>
      </c>
      <c r="AF253" s="28">
        <v>82986000</v>
      </c>
      <c r="AG253" s="11"/>
    </row>
    <row r="254">
      <c r="A254" s="7" t="s">
        <v>2001</v>
      </c>
      <c r="B254" s="5" t="s">
        <v>9974</v>
      </c>
      <c r="C254" s="5" t="s">
        <v>17878</v>
      </c>
      <c r="D254" s="5" t="str">
        <v>362084523029</v>
      </c>
      <c r="E254" s="0" t="e">
        <f>+7 (47362) 22271
+7 (47362) 29199
+7 (47362) 31101
+7 (926) 575702</f>
        <v>#NAME?</v>
      </c>
      <c r="F254" s="5" t="s">
        <v>26042</v>
      </c>
      <c r="G254" s="5"/>
      <c r="H254" s="26">
        <v>31.5</v>
      </c>
      <c r="I254" s="5" t="s">
        <v>26043</v>
      </c>
      <c r="J254" s="5" t="s">
        <v>373</v>
      </c>
      <c r="K254" s="5" t="s">
        <v>355</v>
      </c>
      <c r="L254" s="5"/>
      <c r="M254" s="27">
        <v>8733000</v>
      </c>
      <c r="N254" s="5"/>
      <c r="O254" s="5" t="str">
        <v>3620000359</v>
      </c>
      <c r="P254" s="27">
        <v>300000</v>
      </c>
      <c r="Q254" s="5" t="s">
        <v>49057</v>
      </c>
      <c r="R254" s="5"/>
      <c r="S254" s="5" t="s">
        <v>49452</v>
      </c>
      <c r="T254" s="28">
        <v>4722000</v>
      </c>
      <c r="U254" s="28"/>
      <c r="V254" s="28">
        <v>1290276000</v>
      </c>
      <c r="W254" s="28"/>
      <c r="X254" s="28">
        <v>63669000</v>
      </c>
      <c r="Y254" s="28">
        <v>1404069000</v>
      </c>
      <c r="Z254" s="28">
        <v>111363000</v>
      </c>
      <c r="AA254" s="28">
        <v>289995000</v>
      </c>
      <c r="AB254" s="28">
        <v>7389000</v>
      </c>
      <c r="AC254" s="28">
        <v>996981000</v>
      </c>
      <c r="AD254" s="28">
        <v>111663000</v>
      </c>
      <c r="AE254" s="28">
        <v>17711478000</v>
      </c>
      <c r="AF254" s="28">
        <v>284478000</v>
      </c>
      <c r="AG254" s="11"/>
    </row>
    <row r="255">
      <c r="A255" s="7" t="s">
        <v>2002</v>
      </c>
      <c r="B255" s="5" t="s">
        <v>9975</v>
      </c>
      <c r="C255" s="5" t="s">
        <v>17814</v>
      </c>
      <c r="D255" s="5"/>
      <c r="E255" s="0" t="e">
        <f>+7 (800) 2229963
+7 (800) 7755532
+7 (812) 4483010</f>
        <v>#NAME?</v>
      </c>
      <c r="F255" s="5" t="s">
        <v>26044</v>
      </c>
      <c r="G255" s="5"/>
      <c r="H255" s="26">
        <v>24</v>
      </c>
      <c r="I255" s="5" t="s">
        <v>26045</v>
      </c>
      <c r="J255" s="5" t="s">
        <v>25738</v>
      </c>
      <c r="K255" s="5" t="s">
        <v>344</v>
      </c>
      <c r="L255" s="5" t="s">
        <v>26046</v>
      </c>
      <c r="M255" s="27">
        <v>531133373</v>
      </c>
      <c r="N255" s="5" t="s">
        <v>49500</v>
      </c>
      <c r="O255" s="5" t="str">
        <v>7825706086</v>
      </c>
      <c r="P255" s="27">
        <v>28740768876</v>
      </c>
      <c r="Q255" s="5" t="s">
        <v>49501</v>
      </c>
      <c r="R255" s="5"/>
      <c r="S255" s="5" t="s">
        <v>49502</v>
      </c>
      <c r="T255" s="28">
        <v>518007895000</v>
      </c>
      <c r="U255" s="28">
        <v>100669288000</v>
      </c>
      <c r="V255" s="28">
        <v>53058013000</v>
      </c>
      <c r="W255" s="28">
        <v>30001388000</v>
      </c>
      <c r="X255" s="28">
        <v>27412027000</v>
      </c>
      <c r="Y255" s="28">
        <v>886622251000</v>
      </c>
      <c r="Z255" s="28">
        <v>35223971000</v>
      </c>
      <c r="AA255" s="28">
        <v>99593404000</v>
      </c>
      <c r="AB255" s="28">
        <v>54856146000</v>
      </c>
      <c r="AC255" s="28">
        <v>352839337000</v>
      </c>
      <c r="AD255" s="28">
        <v>76930199000</v>
      </c>
      <c r="AE255" s="28">
        <v>2002786487000</v>
      </c>
      <c r="AF255" s="28">
        <v>21016364000</v>
      </c>
      <c r="AG255" s="11"/>
    </row>
    <row r="256">
      <c r="A256" s="7" t="s">
        <v>2003</v>
      </c>
      <c r="B256" s="5" t="s">
        <v>9976</v>
      </c>
      <c r="C256" s="5" t="s">
        <v>17879</v>
      </c>
      <c r="D256" s="5" t="str">
        <v>221000226537</v>
      </c>
      <c r="E256" s="0" t="e">
        <f>+7 (905) 9336667
+7 (906) 9411056
+7 (913) 7038576
+7 (913) 7769049
+7 (383) 2626685
+7 (383) 3478291</f>
        <v>#NAME?</v>
      </c>
      <c r="F256" s="5" t="s">
        <v>26047</v>
      </c>
      <c r="G256" s="5" t="s">
        <v>26048</v>
      </c>
      <c r="H256" s="26">
        <v>19</v>
      </c>
      <c r="I256" s="5" t="s">
        <v>26049</v>
      </c>
      <c r="J256" s="5" t="s">
        <v>25550</v>
      </c>
      <c r="K256" s="5" t="s">
        <v>344</v>
      </c>
      <c r="L256" s="5" t="s">
        <v>26050</v>
      </c>
      <c r="M256" s="27">
        <v>2177838</v>
      </c>
      <c r="N256" s="5" t="s">
        <v>49503</v>
      </c>
      <c r="O256" s="5" t="str">
        <v>5405265156</v>
      </c>
      <c r="P256" s="27">
        <v>140000</v>
      </c>
      <c r="Q256" s="5" t="s">
        <v>49009</v>
      </c>
      <c r="R256" s="5"/>
      <c r="S256" s="5" t="s">
        <v>49504</v>
      </c>
      <c r="T256" s="28">
        <v>554751000</v>
      </c>
      <c r="U256" s="28">
        <v>749657000</v>
      </c>
      <c r="V256" s="28">
        <v>4330267000</v>
      </c>
      <c r="W256" s="28">
        <v>210500000</v>
      </c>
      <c r="X256" s="28">
        <v>26818000</v>
      </c>
      <c r="Y256" s="28">
        <v>9321559000</v>
      </c>
      <c r="Z256" s="28">
        <v>6587356000</v>
      </c>
      <c r="AA256" s="28">
        <v>368000000</v>
      </c>
      <c r="AB256" s="28">
        <v>723593000</v>
      </c>
      <c r="AC256" s="28">
        <v>2198758000</v>
      </c>
      <c r="AD256" s="28">
        <v>6704472000</v>
      </c>
      <c r="AE256" s="28">
        <v>16406009000</v>
      </c>
      <c r="AF256" s="28">
        <v>2232562000</v>
      </c>
      <c r="AG256" s="11"/>
    </row>
    <row r="257">
      <c r="A257" s="7" t="s">
        <v>2004</v>
      </c>
      <c r="B257" s="5" t="s">
        <v>9977</v>
      </c>
      <c r="C257" s="5" t="s">
        <v>17880</v>
      </c>
      <c r="D257" s="5" t="str">
        <v>771545149981</v>
      </c>
      <c r="E257" s="0" t="e">
        <f>+7 (495) 7889080
+7 (926) 3959395
+7 (963) 9989298
+7 (495) 7889089
+7 (903) 9611601</f>
        <v>#NAME?</v>
      </c>
      <c r="F257" s="5" t="s">
        <v>26051</v>
      </c>
      <c r="G257" s="5"/>
      <c r="H257" s="26">
        <v>16</v>
      </c>
      <c r="I257" s="5" t="s">
        <v>26052</v>
      </c>
      <c r="J257" s="5" t="s">
        <v>678</v>
      </c>
      <c r="K257" s="5" t="s">
        <v>344</v>
      </c>
      <c r="L257" s="5" t="s">
        <v>26053</v>
      </c>
      <c r="M257" s="27">
        <v>39600</v>
      </c>
      <c r="N257" s="5"/>
      <c r="O257" s="5" t="str">
        <v>7701696050</v>
      </c>
      <c r="P257" s="27">
        <v>10000000</v>
      </c>
      <c r="Q257" s="5" t="s">
        <v>49505</v>
      </c>
      <c r="R257" s="5"/>
      <c r="S257" s="5" t="s">
        <v>49506</v>
      </c>
      <c r="T257" s="28">
        <v>104789000</v>
      </c>
      <c r="U257" s="28">
        <v>80745000</v>
      </c>
      <c r="V257" s="28">
        <v>2277820000</v>
      </c>
      <c r="W257" s="28">
        <v>3806850000</v>
      </c>
      <c r="X257" s="28">
        <v>2132277000</v>
      </c>
      <c r="Y257" s="28">
        <v>8510752000</v>
      </c>
      <c r="Z257" s="28">
        <v>2484626000</v>
      </c>
      <c r="AA257" s="28">
        <v>1578094000</v>
      </c>
      <c r="AB257" s="28">
        <v>952000</v>
      </c>
      <c r="AC257" s="28">
        <v>4438032000</v>
      </c>
      <c r="AD257" s="28">
        <v>2494626000</v>
      </c>
      <c r="AE257" s="28">
        <v>20924711000</v>
      </c>
      <c r="AF257" s="28">
        <v>382679000</v>
      </c>
      <c r="AG257" s="11"/>
    </row>
    <row r="258">
      <c r="A258" s="7" t="s">
        <v>2005</v>
      </c>
      <c r="B258" s="5" t="s">
        <v>9978</v>
      </c>
      <c r="C258" s="5" t="s">
        <v>17881</v>
      </c>
      <c r="D258" s="5" t="str">
        <v>710311797634</v>
      </c>
      <c r="E258" s="0" t="e">
        <f>+7 (487) 2254713
+7 (487) 2312895
+7 (920) 7807064</f>
        <v>#NAME?</v>
      </c>
      <c r="F258" s="5" t="s">
        <v>26054</v>
      </c>
      <c r="G258" s="5" t="s">
        <v>26055</v>
      </c>
      <c r="H258" s="26">
        <v>21</v>
      </c>
      <c r="I258" s="5" t="s">
        <v>26056</v>
      </c>
      <c r="J258" s="5" t="s">
        <v>26057</v>
      </c>
      <c r="K258" s="5" t="s">
        <v>344</v>
      </c>
      <c r="L258" s="5" t="s">
        <v>26058</v>
      </c>
      <c r="M258" s="27"/>
      <c r="N258" s="5"/>
      <c r="O258" s="5" t="str">
        <v>7107064024</v>
      </c>
      <c r="P258" s="27">
        <v>250000000</v>
      </c>
      <c r="Q258" s="5"/>
      <c r="R258" s="5"/>
      <c r="S258" s="5" t="s">
        <v>49121</v>
      </c>
      <c r="T258" s="28">
        <v>599986000</v>
      </c>
      <c r="U258" s="28"/>
      <c r="V258" s="28">
        <v>722391000</v>
      </c>
      <c r="W258" s="28"/>
      <c r="X258" s="28">
        <v>144972000</v>
      </c>
      <c r="Y258" s="28">
        <v>2026920000</v>
      </c>
      <c r="Z258" s="28">
        <v>889381000</v>
      </c>
      <c r="AA258" s="28">
        <v>270304000</v>
      </c>
      <c r="AB258" s="28">
        <v>174146000</v>
      </c>
      <c r="AC258" s="28">
        <v>530780000</v>
      </c>
      <c r="AD258" s="28">
        <v>1139381000</v>
      </c>
      <c r="AE258" s="28">
        <v>4806934000</v>
      </c>
      <c r="AF258" s="28">
        <v>19005000</v>
      </c>
      <c r="AG258" s="11"/>
    </row>
    <row r="259">
      <c r="A259" s="7" t="s">
        <v>2006</v>
      </c>
      <c r="B259" s="5" t="s">
        <v>9979</v>
      </c>
      <c r="C259" s="5" t="s">
        <v>17882</v>
      </c>
      <c r="D259" s="5" t="str">
        <v>745303736107</v>
      </c>
      <c r="E259" s="0" t="e">
        <f>+7 (3517) 785432
+7 (3512) 116106
+7 (3512) 450345
+7 (3512) 485432</f>
        <v>#NAME?</v>
      </c>
      <c r="F259" s="5" t="s">
        <v>26059</v>
      </c>
      <c r="G259" s="5" t="s">
        <v>26060</v>
      </c>
      <c r="H259" s="26">
        <v>10</v>
      </c>
      <c r="I259" s="5" t="s">
        <v>26061</v>
      </c>
      <c r="J259" s="5" t="s">
        <v>25371</v>
      </c>
      <c r="K259" s="5" t="s">
        <v>344</v>
      </c>
      <c r="L259" s="5"/>
      <c r="M259" s="27">
        <v>12707265</v>
      </c>
      <c r="N259" s="5" t="s">
        <v>49507</v>
      </c>
      <c r="O259" s="5" t="str">
        <v>7424030241</v>
      </c>
      <c r="P259" s="27">
        <v>28177596824</v>
      </c>
      <c r="Q259" s="5" t="s">
        <v>49009</v>
      </c>
      <c r="R259" s="5" t="s">
        <v>49509</v>
      </c>
      <c r="S259" s="5" t="s">
        <v>49010</v>
      </c>
      <c r="T259" s="28">
        <v>31693688000</v>
      </c>
      <c r="U259" s="28">
        <v>8060000</v>
      </c>
      <c r="V259" s="28">
        <v>1046587000</v>
      </c>
      <c r="W259" s="28">
        <v>2727802000</v>
      </c>
      <c r="X259" s="28">
        <v>244792000</v>
      </c>
      <c r="Y259" s="28">
        <v>43633904000</v>
      </c>
      <c r="Z259" s="28">
        <v>8289796000</v>
      </c>
      <c r="AA259" s="28">
        <v>564266000</v>
      </c>
      <c r="AB259" s="28">
        <v>4760476000</v>
      </c>
      <c r="AC259" s="28">
        <v>6522135000</v>
      </c>
      <c r="AD259" s="28">
        <v>36467393000</v>
      </c>
      <c r="AE259" s="28">
        <v>17231471000</v>
      </c>
      <c r="AF259" s="28">
        <v>-1251174000</v>
      </c>
      <c r="AG259" s="11"/>
    </row>
    <row r="260">
      <c r="A260" s="7" t="s">
        <v>2007</v>
      </c>
      <c r="B260" s="5" t="s">
        <v>9980</v>
      </c>
      <c r="C260" s="5" t="s">
        <v>17883</v>
      </c>
      <c r="D260" s="5" t="str">
        <v>463227550412</v>
      </c>
      <c r="E260" s="0" t="e">
        <f>+7 (482) 4269414
+7 (482) 4269415
+7 (48242) 43128
+7 (48242) 69250
+7 (48242) 69419</f>
        <v>#NAME?</v>
      </c>
      <c r="F260" s="5" t="s">
        <v>26062</v>
      </c>
      <c r="G260" s="5" t="s">
        <v>26063</v>
      </c>
      <c r="H260" s="26">
        <v>29</v>
      </c>
      <c r="I260" s="5" t="s">
        <v>26064</v>
      </c>
      <c r="J260" s="5" t="s">
        <v>25901</v>
      </c>
      <c r="K260" s="5" t="s">
        <v>344</v>
      </c>
      <c r="L260" s="5" t="s">
        <v>26065</v>
      </c>
      <c r="M260" s="27"/>
      <c r="N260" s="5"/>
      <c r="O260" s="5" t="str">
        <v>6911003670</v>
      </c>
      <c r="P260" s="27">
        <v>1928064802</v>
      </c>
      <c r="Q260" s="5"/>
      <c r="R260" s="5" t="s">
        <v>49511</v>
      </c>
      <c r="S260" s="5" t="s">
        <v>49110</v>
      </c>
      <c r="T260" s="28">
        <v>17693220000</v>
      </c>
      <c r="U260" s="28"/>
      <c r="V260" s="28">
        <v>802121000</v>
      </c>
      <c r="W260" s="28">
        <v>5215000000</v>
      </c>
      <c r="X260" s="28">
        <v>835862000</v>
      </c>
      <c r="Y260" s="28">
        <v>28773807000</v>
      </c>
      <c r="Z260" s="28">
        <v>12003674000</v>
      </c>
      <c r="AA260" s="28">
        <v>11794419000</v>
      </c>
      <c r="AB260" s="28">
        <v>800000000</v>
      </c>
      <c r="AC260" s="28">
        <v>2591563000</v>
      </c>
      <c r="AD260" s="28">
        <v>14638826000</v>
      </c>
      <c r="AE260" s="28">
        <v>11727790000</v>
      </c>
      <c r="AF260" s="28">
        <v>2315887000</v>
      </c>
      <c r="AG260" s="11"/>
    </row>
    <row r="261">
      <c r="A261" s="7" t="s">
        <v>2008</v>
      </c>
      <c r="B261" s="5" t="s">
        <v>9981</v>
      </c>
      <c r="C261" s="5" t="s">
        <v>17884</v>
      </c>
      <c r="D261" s="5" t="str">
        <v>732801559508</v>
      </c>
      <c r="E261" s="0" t="e">
        <f>+7 (8332) 231562
+7 (8332) 381535</f>
        <v>#NAME?</v>
      </c>
      <c r="F261" s="5" t="s">
        <v>26066</v>
      </c>
      <c r="G261" s="5"/>
      <c r="H261" s="26">
        <v>31</v>
      </c>
      <c r="I261" s="5"/>
      <c r="J261" s="5" t="s">
        <v>25371</v>
      </c>
      <c r="K261" s="5" t="s">
        <v>355</v>
      </c>
      <c r="L261" s="5" t="s">
        <v>26067</v>
      </c>
      <c r="M261" s="27"/>
      <c r="N261" s="5" t="s">
        <v>49512</v>
      </c>
      <c r="O261" s="5" t="str">
        <v>4346000273</v>
      </c>
      <c r="P261" s="27">
        <v>44289806</v>
      </c>
      <c r="Q261" s="5" t="s">
        <v>49009</v>
      </c>
      <c r="R261" s="5"/>
      <c r="S261" s="5" t="s">
        <v>49028</v>
      </c>
      <c r="T261" s="28">
        <v>4995854000</v>
      </c>
      <c r="U261" s="28">
        <v>2341514000</v>
      </c>
      <c r="V261" s="28">
        <v>998309000</v>
      </c>
      <c r="W261" s="28">
        <v>262436000</v>
      </c>
      <c r="X261" s="28">
        <v>472000</v>
      </c>
      <c r="Y261" s="28">
        <v>10161049000</v>
      </c>
      <c r="Z261" s="28">
        <v>4660072000</v>
      </c>
      <c r="AA261" s="28">
        <v>1531277000</v>
      </c>
      <c r="AB261" s="28">
        <v>3332681000</v>
      </c>
      <c r="AC261" s="28">
        <v>3889483000</v>
      </c>
      <c r="AD261" s="28">
        <v>4708368000</v>
      </c>
      <c r="AE261" s="28">
        <v>6628939000</v>
      </c>
      <c r="AF261" s="28">
        <v>415924000</v>
      </c>
      <c r="AG261" s="11"/>
    </row>
    <row r="262">
      <c r="A262" s="7" t="s">
        <v>2009</v>
      </c>
      <c r="B262" s="5" t="s">
        <v>9982</v>
      </c>
      <c r="C262" s="5" t="s">
        <v>17885</v>
      </c>
      <c r="D262" s="5" t="str">
        <v>261101178236</v>
      </c>
      <c r="E262" s="0" t="e">
        <f>+7 (812) 7037903
+7 (865) 2330380
+7 (865) 4421331
+7 (8652) 330367
+7 (8652) 330379
+7 (8652) 330384
+7 (8652) 999152
+7 (86544) 64191
+7 (86544) 66956
+7 (86544) 66966</f>
        <v>#NAME?</v>
      </c>
      <c r="F262" s="5" t="s">
        <v>26068</v>
      </c>
      <c r="G262" s="5" t="s">
        <v>26069</v>
      </c>
      <c r="H262" s="26">
        <v>23.5</v>
      </c>
      <c r="I262" s="5" t="s">
        <v>26070</v>
      </c>
      <c r="J262" s="5" t="s">
        <v>725</v>
      </c>
      <c r="K262" s="5" t="s">
        <v>344</v>
      </c>
      <c r="L262" s="5" t="s">
        <v>26071</v>
      </c>
      <c r="M262" s="27"/>
      <c r="N262" s="5"/>
      <c r="O262" s="5" t="str">
        <v>2635049370</v>
      </c>
      <c r="P262" s="27">
        <v>876850330</v>
      </c>
      <c r="Q262" s="5" t="s">
        <v>49009</v>
      </c>
      <c r="R262" s="5" t="s">
        <v>49513</v>
      </c>
      <c r="S262" s="5" t="s">
        <v>49028</v>
      </c>
      <c r="T262" s="28">
        <v>3424123000</v>
      </c>
      <c r="U262" s="28">
        <v>1980204000</v>
      </c>
      <c r="V262" s="28">
        <v>2788996000</v>
      </c>
      <c r="W262" s="28">
        <v>443654000</v>
      </c>
      <c r="X262" s="28">
        <v>22495000</v>
      </c>
      <c r="Y262" s="28">
        <v>12445005000</v>
      </c>
      <c r="Z262" s="28">
        <v>7242786000</v>
      </c>
      <c r="AA262" s="28">
        <v>436949000</v>
      </c>
      <c r="AB262" s="28">
        <v>1846124000</v>
      </c>
      <c r="AC262" s="28">
        <v>2346324000</v>
      </c>
      <c r="AD262" s="28">
        <v>8290535000</v>
      </c>
      <c r="AE262" s="28">
        <v>3390699000</v>
      </c>
      <c r="AF262" s="28">
        <v>690998000</v>
      </c>
      <c r="AG262" s="11"/>
    </row>
    <row r="263">
      <c r="A263" s="7" t="s">
        <v>2010</v>
      </c>
      <c r="B263" s="5" t="s">
        <v>9983</v>
      </c>
      <c r="C263" s="5" t="s">
        <v>17886</v>
      </c>
      <c r="D263" s="5" t="str">
        <v>131502483309</v>
      </c>
      <c r="E263" s="0" t="e">
        <f>+7 (8342) 252627
+7 (8342) 252726
+7 (8342) 252728
+7 (8342) 252764
+7 (8342) 252782
+7 (8342) 252797
+7 (8342) 252799
+7 (8342) 556839
+7 (8342) 556867
+7 (8342) 752230
+7 (83431) 32184
+7 (83436) 23022
+7 (83439) 21111
+7 (83441) 30661
+7 (83441) 30670</f>
        <v>#NAME?</v>
      </c>
      <c r="F263" s="5" t="s">
        <v>26072</v>
      </c>
      <c r="G263" s="5"/>
      <c r="H263" s="26">
        <v>21.5</v>
      </c>
      <c r="I263" s="5" t="s">
        <v>26073</v>
      </c>
      <c r="J263" s="5" t="s">
        <v>25450</v>
      </c>
      <c r="K263" s="5" t="s">
        <v>344</v>
      </c>
      <c r="L263" s="5" t="s">
        <v>26074</v>
      </c>
      <c r="M263" s="27">
        <v>18437136</v>
      </c>
      <c r="N263" s="5" t="s">
        <v>49514</v>
      </c>
      <c r="O263" s="5" t="str">
        <v>1315012925</v>
      </c>
      <c r="P263" s="27">
        <v>260025000</v>
      </c>
      <c r="Q263" s="5"/>
      <c r="R263" s="5"/>
      <c r="S263" s="5" t="s">
        <v>49516</v>
      </c>
      <c r="T263" s="28">
        <v>5901358000</v>
      </c>
      <c r="U263" s="28">
        <v>121485000</v>
      </c>
      <c r="V263" s="28">
        <v>750002000</v>
      </c>
      <c r="W263" s="28">
        <v>1400000000</v>
      </c>
      <c r="X263" s="28">
        <v>2405371000</v>
      </c>
      <c r="Y263" s="28">
        <v>15745843000</v>
      </c>
      <c r="Z263" s="28">
        <v>15025011000</v>
      </c>
      <c r="AA263" s="28"/>
      <c r="AB263" s="28"/>
      <c r="AC263" s="28">
        <v>438516000</v>
      </c>
      <c r="AD263" s="28">
        <v>15306591000</v>
      </c>
      <c r="AE263" s="28">
        <v>9670367000</v>
      </c>
      <c r="AF263" s="28">
        <v>1214561000</v>
      </c>
      <c r="AG263" s="11"/>
    </row>
    <row r="264">
      <c r="A264" s="7" t="s">
        <v>2011</v>
      </c>
      <c r="B264" s="5" t="s">
        <v>9984</v>
      </c>
      <c r="C264" s="5" t="s">
        <v>17887</v>
      </c>
      <c r="D264" s="5" t="str">
        <v>521401021743</v>
      </c>
      <c r="E264" s="0" t="e">
        <f>+7 (83136) 40137
+7 (83136) 40164
+7 (83136) 40166
+7 (83136) 41067
+7 (83136) 41071
+7 (83136) 41075
+7 (83136) 41161
+7 (83136) 41197
+7 (83136) 41238
+7 (83136) 41391
+7 (83136) 41405
+7 (83136) 41432
+7 (83136) 41435
+7 (83136) 41859
+7 (83136) 42579</f>
        <v>#NAME?</v>
      </c>
      <c r="F264" s="5" t="s">
        <v>26075</v>
      </c>
      <c r="G264" s="5" t="s">
        <v>26076</v>
      </c>
      <c r="H264" s="26">
        <v>31</v>
      </c>
      <c r="I264" s="5"/>
      <c r="J264" s="5" t="s">
        <v>25450</v>
      </c>
      <c r="K264" s="5" t="s">
        <v>344</v>
      </c>
      <c r="L264" s="5" t="s">
        <v>26077</v>
      </c>
      <c r="M264" s="27">
        <v>3930282</v>
      </c>
      <c r="N264" s="5" t="s">
        <v>49517</v>
      </c>
      <c r="O264" s="5" t="str">
        <v>5214002050</v>
      </c>
      <c r="P264" s="27">
        <v>1000000</v>
      </c>
      <c r="Q264" s="5" t="s">
        <v>49009</v>
      </c>
      <c r="R264" s="5"/>
      <c r="S264" s="5" t="s">
        <v>49518</v>
      </c>
      <c r="T264" s="28">
        <v>755750000</v>
      </c>
      <c r="U264" s="28">
        <v>7498000</v>
      </c>
      <c r="V264" s="28">
        <v>1149317000</v>
      </c>
      <c r="W264" s="28"/>
      <c r="X264" s="28">
        <v>432649000</v>
      </c>
      <c r="Y264" s="28">
        <v>3819627000</v>
      </c>
      <c r="Z264" s="28">
        <v>1977479000</v>
      </c>
      <c r="AA264" s="28">
        <v>129835000</v>
      </c>
      <c r="AB264" s="28">
        <v>1180208000</v>
      </c>
      <c r="AC264" s="28">
        <v>1643804000</v>
      </c>
      <c r="AD264" s="28">
        <v>2034755000</v>
      </c>
      <c r="AE264" s="28">
        <v>4682822000</v>
      </c>
      <c r="AF264" s="28">
        <v>64484000</v>
      </c>
      <c r="AG264" s="11"/>
    </row>
    <row r="265">
      <c r="A265" s="7" t="s">
        <v>2012</v>
      </c>
      <c r="B265" s="5" t="s">
        <v>9985</v>
      </c>
      <c r="C265" s="5" t="s">
        <v>17888</v>
      </c>
      <c r="D265" s="5"/>
      <c r="E265" s="0" t="e">
        <f>+7 (474) 2329198
+7 (474) 2329168
+7 (47468) 22579
+7 (47468) 24612
+7 (47468) 24616
+7 (47468) 24617
+7 (47468) 24618
+7 (47468) 24713
+7 (47468) 24771</f>
        <v>#NAME?</v>
      </c>
      <c r="F265" s="5" t="s">
        <v>26078</v>
      </c>
      <c r="G265" s="5"/>
      <c r="H265" s="26">
        <v>13</v>
      </c>
      <c r="I265" s="5" t="s">
        <v>26079</v>
      </c>
      <c r="J265" s="5" t="s">
        <v>25895</v>
      </c>
      <c r="K265" s="5" t="s">
        <v>344</v>
      </c>
      <c r="L265" s="5" t="s">
        <v>26080</v>
      </c>
      <c r="M265" s="27"/>
      <c r="N265" s="5" t="s">
        <v>49519</v>
      </c>
      <c r="O265" s="5" t="str">
        <v>4807014182</v>
      </c>
      <c r="P265" s="27">
        <v>3810000</v>
      </c>
      <c r="Q265" s="5"/>
      <c r="R265" s="5"/>
      <c r="S265" s="5" t="s">
        <v>49110</v>
      </c>
      <c r="T265" s="28">
        <v>1867743000</v>
      </c>
      <c r="U265" s="28">
        <v>55736000</v>
      </c>
      <c r="V265" s="28">
        <v>622967000</v>
      </c>
      <c r="W265" s="28">
        <v>2001901000</v>
      </c>
      <c r="X265" s="28">
        <v>8091000</v>
      </c>
      <c r="Y265" s="28">
        <v>6441901000</v>
      </c>
      <c r="Z265" s="28">
        <v>3157493000</v>
      </c>
      <c r="AA265" s="28">
        <v>609795000</v>
      </c>
      <c r="AB265" s="28">
        <v>1801384000</v>
      </c>
      <c r="AC265" s="28">
        <v>2309228000</v>
      </c>
      <c r="AD265" s="28">
        <v>3523676000</v>
      </c>
      <c r="AE265" s="28">
        <v>3150345000</v>
      </c>
      <c r="AF265" s="28">
        <v>659373000</v>
      </c>
      <c r="AG265" s="11"/>
    </row>
    <row r="266">
      <c r="A266" s="7" t="s">
        <v>2013</v>
      </c>
      <c r="B266" s="5" t="s">
        <v>9986</v>
      </c>
      <c r="C266" s="5" t="s">
        <v>17889</v>
      </c>
      <c r="D266" s="5" t="str">
        <v>233402886100</v>
      </c>
      <c r="E266" s="0" t="e">
        <f>+7 (86164) 42940</f>
        <v>#NAME?</v>
      </c>
      <c r="F266" s="5" t="s">
        <v>26081</v>
      </c>
      <c r="G266" s="5" t="s">
        <v>26082</v>
      </c>
      <c r="H266" s="26">
        <v>31</v>
      </c>
      <c r="I266" s="5" t="s">
        <v>26083</v>
      </c>
      <c r="J266" s="5" t="s">
        <v>725</v>
      </c>
      <c r="K266" s="5" t="s">
        <v>355</v>
      </c>
      <c r="L266" s="5"/>
      <c r="M266" s="27">
        <v>10664787</v>
      </c>
      <c r="N266" s="5" t="s">
        <v>49520</v>
      </c>
      <c r="O266" s="5" t="str">
        <v>2334001455</v>
      </c>
      <c r="P266" s="27">
        <v>10675033</v>
      </c>
      <c r="Q266" s="5"/>
      <c r="R266" s="5"/>
      <c r="S266" s="5" t="s">
        <v>49425</v>
      </c>
      <c r="T266" s="28">
        <v>2340185000</v>
      </c>
      <c r="U266" s="28">
        <v>755351000</v>
      </c>
      <c r="V266" s="28">
        <v>4510445000</v>
      </c>
      <c r="W266" s="28">
        <v>27400000</v>
      </c>
      <c r="X266" s="28">
        <v>666000</v>
      </c>
      <c r="Y266" s="28">
        <v>8945148000</v>
      </c>
      <c r="Z266" s="28">
        <v>5579301000</v>
      </c>
      <c r="AA266" s="28">
        <v>1173162000</v>
      </c>
      <c r="AB266" s="28">
        <v>382181000</v>
      </c>
      <c r="AC266" s="28">
        <v>1592808000</v>
      </c>
      <c r="AD266" s="28">
        <v>5594730000</v>
      </c>
      <c r="AE266" s="28">
        <v>3521001000</v>
      </c>
      <c r="AF266" s="28">
        <v>731186000</v>
      </c>
      <c r="AG266" s="11"/>
    </row>
    <row r="267">
      <c r="A267" s="7" t="s">
        <v>2014</v>
      </c>
      <c r="B267" s="5" t="s">
        <v>9987</v>
      </c>
      <c r="C267" s="5" t="s">
        <v>17890</v>
      </c>
      <c r="D267" s="5" t="str">
        <v>771542110626</v>
      </c>
      <c r="E267" s="0" t="e">
        <f>+7 (495) 2251680
+7 (495) 2251683
+7 (495) 2251684
+7 (925) 3602120
+7 (926) 100996
+7 (926) 5189467
+7 (985) 8697323</f>
        <v>#NAME?</v>
      </c>
      <c r="F267" s="5" t="s">
        <v>26084</v>
      </c>
      <c r="G267" s="5"/>
      <c r="H267" s="26">
        <v>9.5</v>
      </c>
      <c r="I267" s="5" t="s">
        <v>26085</v>
      </c>
      <c r="J267" s="5" t="s">
        <v>25262</v>
      </c>
      <c r="K267" s="5" t="s">
        <v>344</v>
      </c>
      <c r="L267" s="5" t="s">
        <v>26086</v>
      </c>
      <c r="M267" s="27"/>
      <c r="N267" s="5"/>
      <c r="O267" s="5" t="str">
        <v>7736666603</v>
      </c>
      <c r="P267" s="27">
        <v>10000</v>
      </c>
      <c r="Q267" s="5"/>
      <c r="R267" s="5"/>
      <c r="S267" s="5" t="s">
        <v>49425</v>
      </c>
      <c r="T267" s="28">
        <v>22696000</v>
      </c>
      <c r="U267" s="28"/>
      <c r="V267" s="28">
        <v>429660000</v>
      </c>
      <c r="W267" s="28"/>
      <c r="X267" s="28">
        <v>912914000</v>
      </c>
      <c r="Y267" s="28">
        <v>2010379000</v>
      </c>
      <c r="Z267" s="28">
        <v>858236000</v>
      </c>
      <c r="AA267" s="28"/>
      <c r="AB267" s="28"/>
      <c r="AC267" s="28">
        <v>1152133000</v>
      </c>
      <c r="AD267" s="28">
        <v>858246000</v>
      </c>
      <c r="AE267" s="28">
        <v>3034312000</v>
      </c>
      <c r="AF267" s="28">
        <v>268824000</v>
      </c>
      <c r="AG267" s="11"/>
    </row>
    <row r="268">
      <c r="A268" s="7" t="s">
        <v>2015</v>
      </c>
      <c r="B268" s="5" t="s">
        <v>9988</v>
      </c>
      <c r="C268" s="5" t="s">
        <v>17891</v>
      </c>
      <c r="D268" s="5"/>
      <c r="E268" s="0" t="e">
        <f>+7 (4712) 556234
+7 (921) 8414994
+7 (471) 2665033
+7 (4712) 545777
+7 (4712) 545888
+7 (47145) 41415</f>
        <v>#NAME?</v>
      </c>
      <c r="F268" s="5" t="s">
        <v>26087</v>
      </c>
      <c r="G268" s="5"/>
      <c r="H268" s="26">
        <v>17.5</v>
      </c>
      <c r="I268" s="5" t="s">
        <v>26088</v>
      </c>
      <c r="J268" s="5" t="s">
        <v>25262</v>
      </c>
      <c r="K268" s="5" t="s">
        <v>344</v>
      </c>
      <c r="L268" s="5" t="s">
        <v>26089</v>
      </c>
      <c r="M268" s="27"/>
      <c r="N268" s="5" t="s">
        <v>49521</v>
      </c>
      <c r="O268" s="5" t="str">
        <v>4628007943</v>
      </c>
      <c r="P268" s="27">
        <v>5000000</v>
      </c>
      <c r="Q268" s="5" t="s">
        <v>49057</v>
      </c>
      <c r="R268" s="5"/>
      <c r="S268" s="5" t="s">
        <v>49454</v>
      </c>
      <c r="T268" s="28">
        <v>2748000</v>
      </c>
      <c r="U268" s="28"/>
      <c r="V268" s="28">
        <v>612045000</v>
      </c>
      <c r="W268" s="28"/>
      <c r="X268" s="28">
        <v>1956000</v>
      </c>
      <c r="Y268" s="28">
        <v>872631000</v>
      </c>
      <c r="Z268" s="28">
        <v>192108000</v>
      </c>
      <c r="AA268" s="28">
        <v>42084000</v>
      </c>
      <c r="AB268" s="28">
        <v>202745000</v>
      </c>
      <c r="AC268" s="28">
        <v>632432000</v>
      </c>
      <c r="AD268" s="28">
        <v>197358000</v>
      </c>
      <c r="AE268" s="28">
        <v>4313163000</v>
      </c>
      <c r="AF268" s="28">
        <v>36788000</v>
      </c>
      <c r="AG268" s="11"/>
    </row>
    <row r="269">
      <c r="A269" s="7" t="s">
        <v>2016</v>
      </c>
      <c r="B269" s="5" t="s">
        <v>9989</v>
      </c>
      <c r="C269" s="5" t="s">
        <v>17892</v>
      </c>
      <c r="D269" s="5" t="str">
        <v>070706487687</v>
      </c>
      <c r="E269" s="0" t="e">
        <f>+7 (86631) 71010
+7 (866) 3591746
+7 (86635) 22157
+7 (86635) 25049
+7 (86635) 71010</f>
        <v>#NAME?</v>
      </c>
      <c r="F269" s="5" t="s">
        <v>26090</v>
      </c>
      <c r="G269" s="5"/>
      <c r="H269" s="26">
        <v>22</v>
      </c>
      <c r="I269" s="5" t="s">
        <v>26091</v>
      </c>
      <c r="J269" s="5" t="s">
        <v>25262</v>
      </c>
      <c r="K269" s="5" t="s">
        <v>344</v>
      </c>
      <c r="L269" s="5" t="s">
        <v>26092</v>
      </c>
      <c r="M269" s="27"/>
      <c r="N269" s="5" t="s">
        <v>49522</v>
      </c>
      <c r="O269" s="5" t="str">
        <v>0707017263</v>
      </c>
      <c r="P269" s="27">
        <v>1279000</v>
      </c>
      <c r="Q269" s="5" t="s">
        <v>447</v>
      </c>
      <c r="R269" s="5"/>
      <c r="S269" s="5" t="s">
        <v>49523</v>
      </c>
      <c r="T269" s="28">
        <v>1056000</v>
      </c>
      <c r="U269" s="28"/>
      <c r="V269" s="28">
        <v>1312929000</v>
      </c>
      <c r="W269" s="28"/>
      <c r="X269" s="28">
        <v>38285000</v>
      </c>
      <c r="Y269" s="28">
        <v>1783944000</v>
      </c>
      <c r="Z269" s="28">
        <v>165979000</v>
      </c>
      <c r="AA269" s="28"/>
      <c r="AB269" s="28">
        <v>157000000</v>
      </c>
      <c r="AC269" s="28">
        <v>1613523000</v>
      </c>
      <c r="AD269" s="28">
        <v>170421000</v>
      </c>
      <c r="AE269" s="28">
        <v>3771137000</v>
      </c>
      <c r="AF269" s="28">
        <v>79094000</v>
      </c>
      <c r="AG269" s="11"/>
    </row>
    <row r="270">
      <c r="A270" s="7" t="s">
        <v>2017</v>
      </c>
      <c r="B270" s="5" t="s">
        <v>9990</v>
      </c>
      <c r="C270" s="5" t="s">
        <v>17893</v>
      </c>
      <c r="D270" s="5" t="str">
        <v>222403096000</v>
      </c>
      <c r="E270" s="0" t="e">
        <f>+7 (385) 2243559
+7 (385) 2637891
+7 (385) 2639278</f>
        <v>#NAME?</v>
      </c>
      <c r="F270" s="5"/>
      <c r="G270" s="5" t="s">
        <v>26093</v>
      </c>
      <c r="H270" s="26">
        <v>20</v>
      </c>
      <c r="I270" s="5" t="s">
        <v>26094</v>
      </c>
      <c r="J270" s="5" t="s">
        <v>25262</v>
      </c>
      <c r="K270" s="5" t="s">
        <v>344</v>
      </c>
      <c r="L270" s="5" t="s">
        <v>26095</v>
      </c>
      <c r="M270" s="27"/>
      <c r="N270" s="5" t="s">
        <v>49524</v>
      </c>
      <c r="O270" s="5" t="str">
        <v>2221053798</v>
      </c>
      <c r="P270" s="27">
        <v>15000</v>
      </c>
      <c r="Q270" s="5" t="s">
        <v>49057</v>
      </c>
      <c r="R270" s="5"/>
      <c r="S270" s="5" t="s">
        <v>49101</v>
      </c>
      <c r="T270" s="28">
        <v>219129000</v>
      </c>
      <c r="U270" s="28"/>
      <c r="V270" s="28">
        <v>413006000</v>
      </c>
      <c r="W270" s="28">
        <v>57500000</v>
      </c>
      <c r="X270" s="28">
        <v>39477000</v>
      </c>
      <c r="Y270" s="28">
        <v>1566510000</v>
      </c>
      <c r="Z270" s="28">
        <v>809795000</v>
      </c>
      <c r="AA270" s="28"/>
      <c r="AB270" s="28"/>
      <c r="AC270" s="28">
        <v>723746000</v>
      </c>
      <c r="AD270" s="28">
        <v>809812000</v>
      </c>
      <c r="AE270" s="28">
        <v>3378768000</v>
      </c>
      <c r="AF270" s="28">
        <v>322955000</v>
      </c>
      <c r="AG270" s="11"/>
    </row>
    <row r="271">
      <c r="A271" s="7" t="s">
        <v>2018</v>
      </c>
      <c r="B271" s="5" t="s">
        <v>9991</v>
      </c>
      <c r="C271" s="5" t="s">
        <v>17894</v>
      </c>
      <c r="D271" s="5"/>
      <c r="E271" s="0" t="e">
        <f>+7 (475) 2716583
+7 (475) 2729781
+7 (475) 2532527
+7 (475) 2725450
+7 (910) 8577008</f>
        <v>#NAME?</v>
      </c>
      <c r="F271" s="5"/>
      <c r="G271" s="5" t="s">
        <v>26096</v>
      </c>
      <c r="H271" s="26">
        <v>15.5</v>
      </c>
      <c r="I271" s="5" t="s">
        <v>26097</v>
      </c>
      <c r="J271" s="5" t="s">
        <v>25512</v>
      </c>
      <c r="K271" s="5" t="s">
        <v>344</v>
      </c>
      <c r="L271" s="5" t="s">
        <v>26098</v>
      </c>
      <c r="M271" s="27"/>
      <c r="N271" s="5" t="s">
        <v>49525</v>
      </c>
      <c r="O271" s="5" t="str">
        <v>6820025564</v>
      </c>
      <c r="P271" s="27">
        <v>10000</v>
      </c>
      <c r="Q271" s="5" t="s">
        <v>49059</v>
      </c>
      <c r="R271" s="5"/>
      <c r="S271" s="5" t="s">
        <v>49526</v>
      </c>
      <c r="T271" s="28">
        <v>197848000</v>
      </c>
      <c r="U271" s="28"/>
      <c r="V271" s="28">
        <v>359924000</v>
      </c>
      <c r="W271" s="28">
        <v>5000000</v>
      </c>
      <c r="X271" s="28">
        <v>10438000</v>
      </c>
      <c r="Y271" s="28">
        <v>782025000</v>
      </c>
      <c r="Z271" s="28">
        <v>210285000</v>
      </c>
      <c r="AA271" s="28">
        <v>28537000</v>
      </c>
      <c r="AB271" s="28">
        <v>45060000</v>
      </c>
      <c r="AC271" s="28">
        <v>531696000</v>
      </c>
      <c r="AD271" s="28">
        <v>210295000</v>
      </c>
      <c r="AE271" s="28">
        <v>3888170000</v>
      </c>
      <c r="AF271" s="28">
        <v>61124000</v>
      </c>
      <c r="AG271" s="11"/>
    </row>
    <row r="272">
      <c r="A272" s="7" t="s">
        <v>2019</v>
      </c>
      <c r="B272" s="5" t="s">
        <v>9992</v>
      </c>
      <c r="C272" s="5" t="s">
        <v>17895</v>
      </c>
      <c r="D272" s="5" t="str">
        <v>772743619510</v>
      </c>
      <c r="E272" s="0" t="e">
        <f>+7 (47231) 44188
+7 (47242) 41148
+7 (47243) 51167
+7 (47243) 53037
+7 (47243) 53177
+7 (47243) 55180</f>
        <v>#NAME?</v>
      </c>
      <c r="F272" s="5"/>
      <c r="G272" s="5"/>
      <c r="H272" s="26">
        <v>19</v>
      </c>
      <c r="I272" s="5" t="s">
        <v>26099</v>
      </c>
      <c r="J272" s="5" t="s">
        <v>725</v>
      </c>
      <c r="K272" s="5" t="s">
        <v>344</v>
      </c>
      <c r="L272" s="5" t="s">
        <v>26100</v>
      </c>
      <c r="M272" s="27">
        <v>1077438</v>
      </c>
      <c r="N272" s="5"/>
      <c r="O272" s="5" t="str">
        <v>3109003728</v>
      </c>
      <c r="P272" s="27">
        <v>476119529</v>
      </c>
      <c r="Q272" s="5"/>
      <c r="R272" s="5"/>
      <c r="S272" s="5" t="s">
        <v>49110</v>
      </c>
      <c r="T272" s="28">
        <v>2281347000</v>
      </c>
      <c r="U272" s="28">
        <v>1280000000</v>
      </c>
      <c r="V272" s="28">
        <v>13653583000</v>
      </c>
      <c r="W272" s="28"/>
      <c r="X272" s="28">
        <v>433000</v>
      </c>
      <c r="Y272" s="28">
        <v>20410248000</v>
      </c>
      <c r="Z272" s="28">
        <v>16285391000</v>
      </c>
      <c r="AA272" s="28">
        <v>102956000</v>
      </c>
      <c r="AB272" s="28">
        <v>1341313000</v>
      </c>
      <c r="AC272" s="28">
        <v>2826674000</v>
      </c>
      <c r="AD272" s="28">
        <v>16884065000</v>
      </c>
      <c r="AE272" s="28">
        <v>5728915000</v>
      </c>
      <c r="AF272" s="28">
        <v>2076745000</v>
      </c>
      <c r="AG272" s="11"/>
    </row>
    <row r="273">
      <c r="A273" s="7" t="s">
        <v>2020</v>
      </c>
      <c r="B273" s="5" t="s">
        <v>9993</v>
      </c>
      <c r="C273" s="5" t="s">
        <v>17896</v>
      </c>
      <c r="D273" s="5" t="str">
        <v>561001441820</v>
      </c>
      <c r="E273" s="0" t="e">
        <f>+7 (3512) 402910
+7 (3512) 402912
+7 (35323) 23932
+7 (35323) 87878
+7 (35323) 87979
+7 (35347) 22750
+7 (35355) 26990
+7 (35364) 21146
+7 (35372) 24778</f>
        <v>#NAME?</v>
      </c>
      <c r="F273" s="5" t="s">
        <v>26101</v>
      </c>
      <c r="G273" s="5"/>
      <c r="H273" s="26">
        <v>21</v>
      </c>
      <c r="I273" s="5" t="s">
        <v>26102</v>
      </c>
      <c r="J273" s="5" t="s">
        <v>25842</v>
      </c>
      <c r="K273" s="5" t="s">
        <v>344</v>
      </c>
      <c r="L273" s="5" t="s">
        <v>26103</v>
      </c>
      <c r="M273" s="27">
        <v>140679486</v>
      </c>
      <c r="N273" s="5" t="s">
        <v>49527</v>
      </c>
      <c r="O273" s="5" t="str">
        <v>5610071410</v>
      </c>
      <c r="P273" s="27">
        <v>10000</v>
      </c>
      <c r="Q273" s="5" t="s">
        <v>49528</v>
      </c>
      <c r="R273" s="5"/>
      <c r="S273" s="5" t="s">
        <v>49529</v>
      </c>
      <c r="T273" s="28">
        <v>218759000</v>
      </c>
      <c r="U273" s="28"/>
      <c r="V273" s="28">
        <v>174721000</v>
      </c>
      <c r="W273" s="28">
        <v>411680000</v>
      </c>
      <c r="X273" s="28">
        <v>106388000</v>
      </c>
      <c r="Y273" s="28">
        <v>1932469000</v>
      </c>
      <c r="Z273" s="28">
        <v>1222516000</v>
      </c>
      <c r="AA273" s="28">
        <v>56683000</v>
      </c>
      <c r="AB273" s="28">
        <v>201916000</v>
      </c>
      <c r="AC273" s="28">
        <v>617288000</v>
      </c>
      <c r="AD273" s="28">
        <v>1222526000</v>
      </c>
      <c r="AE273" s="28">
        <v>4599623000</v>
      </c>
      <c r="AF273" s="28">
        <v>373789000</v>
      </c>
      <c r="AG273" s="11"/>
    </row>
    <row r="274">
      <c r="A274" s="7" t="s">
        <v>2021</v>
      </c>
      <c r="B274" s="5" t="s">
        <v>9994</v>
      </c>
      <c r="C274" s="5" t="s">
        <v>17897</v>
      </c>
      <c r="D274" s="5" t="str">
        <v>310301907051</v>
      </c>
      <c r="E274" s="0" t="e">
        <f>+7 (495) 2215656
+7 (985) 7456824
+7 (495) 4858385
+7 (495) 7750881
+7 (495) 9330031
+7 (495) 9330037</f>
        <v>#NAME?</v>
      </c>
      <c r="F274" s="5" t="s">
        <v>26104</v>
      </c>
      <c r="G274" s="5"/>
      <c r="H274" s="26">
        <v>19</v>
      </c>
      <c r="I274" s="5" t="s">
        <v>26105</v>
      </c>
      <c r="J274" s="5" t="s">
        <v>897</v>
      </c>
      <c r="K274" s="5" t="s">
        <v>344</v>
      </c>
      <c r="L274" s="5" t="s">
        <v>26106</v>
      </c>
      <c r="M274" s="27">
        <v>3432291</v>
      </c>
      <c r="N274" s="5" t="s">
        <v>49530</v>
      </c>
      <c r="O274" s="5" t="str">
        <v>5032111175</v>
      </c>
      <c r="P274" s="27">
        <v>250100000</v>
      </c>
      <c r="Q274" s="5" t="s">
        <v>49531</v>
      </c>
      <c r="R274" s="5"/>
      <c r="S274" s="5" t="s">
        <v>49532</v>
      </c>
      <c r="T274" s="28">
        <v>112629000</v>
      </c>
      <c r="U274" s="28"/>
      <c r="V274" s="28">
        <v>902112000</v>
      </c>
      <c r="W274" s="28">
        <v>135062000</v>
      </c>
      <c r="X274" s="28">
        <v>33636000</v>
      </c>
      <c r="Y274" s="28">
        <v>1989842000</v>
      </c>
      <c r="Z274" s="28">
        <v>423575000</v>
      </c>
      <c r="AA274" s="28">
        <v>398722000</v>
      </c>
      <c r="AB274" s="28">
        <v>100879000</v>
      </c>
      <c r="AC274" s="28">
        <v>884269000</v>
      </c>
      <c r="AD274" s="28">
        <v>673675000</v>
      </c>
      <c r="AE274" s="28">
        <v>5090529000</v>
      </c>
      <c r="AF274" s="28">
        <v>170021000</v>
      </c>
      <c r="AG274" s="11"/>
    </row>
    <row r="275">
      <c r="A275" s="7" t="s">
        <v>2022</v>
      </c>
      <c r="B275" s="5" t="s">
        <v>9995</v>
      </c>
      <c r="C275" s="5" t="s">
        <v>17897</v>
      </c>
      <c r="D275" s="5" t="str">
        <v>310301907051</v>
      </c>
      <c r="E275" s="0" t="e">
        <f>+7 (473) 2597616
+7 (47391) 47391
+7 (47391) 98275
+7 (47391) 99047
+7 (47391) 99324</f>
        <v>#NAME?</v>
      </c>
      <c r="F275" s="5" t="s">
        <v>26107</v>
      </c>
      <c r="G275" s="5"/>
      <c r="H275" s="26">
        <v>18.5</v>
      </c>
      <c r="I275" s="5" t="s">
        <v>26108</v>
      </c>
      <c r="J275" s="5" t="s">
        <v>897</v>
      </c>
      <c r="K275" s="5" t="s">
        <v>344</v>
      </c>
      <c r="L275" s="5" t="s">
        <v>26109</v>
      </c>
      <c r="M275" s="27">
        <v>687353</v>
      </c>
      <c r="N275" s="5" t="s">
        <v>49533</v>
      </c>
      <c r="O275" s="5" t="str">
        <v>3614004860</v>
      </c>
      <c r="P275" s="27">
        <v>284316085</v>
      </c>
      <c r="Q275" s="5" t="s">
        <v>49207</v>
      </c>
      <c r="R275" s="5"/>
      <c r="S275" s="5" t="s">
        <v>49532</v>
      </c>
      <c r="T275" s="28">
        <v>369002000</v>
      </c>
      <c r="U275" s="28"/>
      <c r="V275" s="28">
        <v>1067609000</v>
      </c>
      <c r="W275" s="28">
        <v>304597000</v>
      </c>
      <c r="X275" s="28">
        <v>26139000</v>
      </c>
      <c r="Y275" s="28">
        <v>2634782000</v>
      </c>
      <c r="Z275" s="28">
        <v>709249000</v>
      </c>
      <c r="AA275" s="28">
        <v>521278000</v>
      </c>
      <c r="AB275" s="28">
        <v>102714000</v>
      </c>
      <c r="AC275" s="28">
        <v>1089879000</v>
      </c>
      <c r="AD275" s="28">
        <v>993586000</v>
      </c>
      <c r="AE275" s="28">
        <v>5501613000</v>
      </c>
      <c r="AF275" s="28">
        <v>394297000</v>
      </c>
      <c r="AG275" s="11"/>
    </row>
    <row r="276">
      <c r="A276" s="7" t="s">
        <v>2023</v>
      </c>
      <c r="B276" s="5" t="s">
        <v>9996</v>
      </c>
      <c r="C276" s="5" t="s">
        <v>17898</v>
      </c>
      <c r="D276" s="5" t="str">
        <v>501702194970</v>
      </c>
      <c r="E276" s="0" t="e">
        <f>+7 (495) 6496591
+7 (929) 6402152
+7 (4983) 157196
+7 (499) 6181195
+7 (916) 1181195</f>
        <v>#NAME?</v>
      </c>
      <c r="F276" s="5" t="s">
        <v>26110</v>
      </c>
      <c r="G276" s="5" t="s">
        <v>26111</v>
      </c>
      <c r="H276" s="26">
        <v>16</v>
      </c>
      <c r="I276" s="5" t="s">
        <v>26112</v>
      </c>
      <c r="J276" s="5" t="s">
        <v>25388</v>
      </c>
      <c r="K276" s="5" t="s">
        <v>344</v>
      </c>
      <c r="L276" s="5" t="s">
        <v>26113</v>
      </c>
      <c r="M276" s="27"/>
      <c r="N276" s="5" t="s">
        <v>49534</v>
      </c>
      <c r="O276" s="5" t="str">
        <v>5017067228</v>
      </c>
      <c r="P276" s="27">
        <v>10000</v>
      </c>
      <c r="Q276" s="5" t="s">
        <v>49535</v>
      </c>
      <c r="R276" s="5"/>
      <c r="S276" s="5" t="s">
        <v>49536</v>
      </c>
      <c r="T276" s="28">
        <v>9292000</v>
      </c>
      <c r="U276" s="28"/>
      <c r="V276" s="28">
        <v>329295000</v>
      </c>
      <c r="W276" s="28">
        <v>900000</v>
      </c>
      <c r="X276" s="28">
        <v>8948000</v>
      </c>
      <c r="Y276" s="28">
        <v>801686000</v>
      </c>
      <c r="Z276" s="28">
        <v>310934000</v>
      </c>
      <c r="AA276" s="28"/>
      <c r="AB276" s="28"/>
      <c r="AC276" s="28">
        <v>490211000</v>
      </c>
      <c r="AD276" s="28">
        <v>310944000</v>
      </c>
      <c r="AE276" s="28">
        <v>5130500000</v>
      </c>
      <c r="AF276" s="28">
        <v>130089000</v>
      </c>
      <c r="AG276" s="11"/>
    </row>
    <row r="277">
      <c r="A277" s="7" t="s">
        <v>2024</v>
      </c>
      <c r="B277" s="5" t="s">
        <v>9997</v>
      </c>
      <c r="C277" s="5" t="s">
        <v>17899</v>
      </c>
      <c r="D277" s="5" t="str">
        <v>222302008294</v>
      </c>
      <c r="E277" s="0" t="e">
        <f>+7 (913) 2355333</f>
        <v>#NAME?</v>
      </c>
      <c r="F277" s="5"/>
      <c r="G277" s="5"/>
      <c r="H277" s="26">
        <v>12.5</v>
      </c>
      <c r="I277" s="5" t="s">
        <v>26114</v>
      </c>
      <c r="J277" s="5" t="s">
        <v>25842</v>
      </c>
      <c r="K277" s="5" t="s">
        <v>344</v>
      </c>
      <c r="L277" s="5" t="s">
        <v>26115</v>
      </c>
      <c r="M277" s="27"/>
      <c r="N277" s="5" t="s">
        <v>49537</v>
      </c>
      <c r="O277" s="5" t="str">
        <v>2222787946</v>
      </c>
      <c r="P277" s="27">
        <v>10000</v>
      </c>
      <c r="Q277" s="5" t="s">
        <v>49538</v>
      </c>
      <c r="R277" s="5"/>
      <c r="S277" s="5" t="s">
        <v>49256</v>
      </c>
      <c r="T277" s="28">
        <v>7385000</v>
      </c>
      <c r="U277" s="28"/>
      <c r="V277" s="28">
        <v>2300049000</v>
      </c>
      <c r="W277" s="28"/>
      <c r="X277" s="28">
        <v>1260000</v>
      </c>
      <c r="Y277" s="28">
        <v>2637411000</v>
      </c>
      <c r="Z277" s="28">
        <v>779353000</v>
      </c>
      <c r="AA277" s="28"/>
      <c r="AB277" s="28"/>
      <c r="AC277" s="28">
        <v>1858048000</v>
      </c>
      <c r="AD277" s="28">
        <v>779363000</v>
      </c>
      <c r="AE277" s="28">
        <v>3533392000</v>
      </c>
      <c r="AF277" s="28">
        <v>429787000</v>
      </c>
      <c r="AG277" s="11"/>
    </row>
    <row r="278">
      <c r="A278" s="7" t="s">
        <v>2025</v>
      </c>
      <c r="B278" s="5" t="s">
        <v>9998</v>
      </c>
      <c r="C278" s="5" t="s">
        <v>17900</v>
      </c>
      <c r="D278" s="5" t="str">
        <v>312008969959</v>
      </c>
      <c r="E278" s="0" t="e">
        <f>+7 (473) 2620244
+7 (473) 2579310
+7 (473) 2932713
+7 (920) 4082389</f>
        <v>#NAME?</v>
      </c>
      <c r="F278" s="5" t="s">
        <v>26116</v>
      </c>
      <c r="G278" s="5" t="s">
        <v>26117</v>
      </c>
      <c r="H278" s="26">
        <v>11.5</v>
      </c>
      <c r="I278" s="5" t="s">
        <v>26118</v>
      </c>
      <c r="J278" s="5" t="s">
        <v>25371</v>
      </c>
      <c r="K278" s="5" t="s">
        <v>344</v>
      </c>
      <c r="L278" s="5" t="s">
        <v>26119</v>
      </c>
      <c r="M278" s="27"/>
      <c r="N278" s="5"/>
      <c r="O278" s="5" t="str">
        <v>3662168441</v>
      </c>
      <c r="P278" s="27">
        <v>10000</v>
      </c>
      <c r="Q278" s="5" t="s">
        <v>49009</v>
      </c>
      <c r="R278" s="5"/>
      <c r="S278" s="5" t="s">
        <v>49010</v>
      </c>
      <c r="T278" s="28">
        <v>9045244000</v>
      </c>
      <c r="U278" s="28">
        <v>3740001000</v>
      </c>
      <c r="V278" s="28">
        <v>1934128000</v>
      </c>
      <c r="W278" s="28">
        <v>99583000</v>
      </c>
      <c r="X278" s="28">
        <v>6918630000</v>
      </c>
      <c r="Y278" s="28">
        <v>25053891000</v>
      </c>
      <c r="Z278" s="28">
        <v>13354482000</v>
      </c>
      <c r="AA278" s="28">
        <v>4025533000</v>
      </c>
      <c r="AB278" s="28">
        <v>5395029000</v>
      </c>
      <c r="AC278" s="28">
        <v>6004782000</v>
      </c>
      <c r="AD278" s="28">
        <v>14856992000</v>
      </c>
      <c r="AE278" s="28">
        <v>12274753000</v>
      </c>
      <c r="AF278" s="28">
        <v>2244222000</v>
      </c>
      <c r="AG278" s="11"/>
    </row>
    <row r="279">
      <c r="A279" s="7" t="s">
        <v>2026</v>
      </c>
      <c r="B279" s="5" t="s">
        <v>9998</v>
      </c>
      <c r="C279" s="5" t="s">
        <v>17901</v>
      </c>
      <c r="D279" s="5"/>
      <c r="E279" s="0" t="e">
        <f>+7 (473) 2620244
+7 (473) 2006503
+7 (473) 2579310
+7 (473) 2621746
+7 (473) 2932713</f>
        <v>#NAME?</v>
      </c>
      <c r="F279" s="5" t="s">
        <v>26120</v>
      </c>
      <c r="G279" s="5" t="s">
        <v>26117</v>
      </c>
      <c r="H279" s="26">
        <v>12</v>
      </c>
      <c r="I279" s="5" t="s">
        <v>26118</v>
      </c>
      <c r="J279" s="5" t="s">
        <v>25371</v>
      </c>
      <c r="K279" s="5" t="s">
        <v>344</v>
      </c>
      <c r="L279" s="5" t="s">
        <v>26121</v>
      </c>
      <c r="M279" s="27"/>
      <c r="N279" s="5"/>
      <c r="O279" s="5" t="str">
        <v>3662159285</v>
      </c>
      <c r="P279" s="27">
        <v>10000</v>
      </c>
      <c r="Q279" s="5"/>
      <c r="R279" s="5"/>
      <c r="S279" s="5" t="s">
        <v>49029</v>
      </c>
      <c r="T279" s="28">
        <v>14692754000</v>
      </c>
      <c r="U279" s="28">
        <v>1206036000</v>
      </c>
      <c r="V279" s="28">
        <v>694967000</v>
      </c>
      <c r="W279" s="28"/>
      <c r="X279" s="28">
        <v>2080422000</v>
      </c>
      <c r="Y279" s="28">
        <v>22697145000</v>
      </c>
      <c r="Z279" s="28">
        <v>7808990000</v>
      </c>
      <c r="AA279" s="28">
        <v>8619806000</v>
      </c>
      <c r="AB279" s="28">
        <v>4367195000</v>
      </c>
      <c r="AC279" s="28">
        <v>5391336000</v>
      </c>
      <c r="AD279" s="28">
        <v>8624000000</v>
      </c>
      <c r="AE279" s="28">
        <v>14858733000</v>
      </c>
      <c r="AF279" s="28">
        <v>2120857000</v>
      </c>
      <c r="AG279" s="11"/>
    </row>
    <row r="280">
      <c r="A280" s="7" t="s">
        <v>2027</v>
      </c>
      <c r="B280" s="5" t="s">
        <v>9998</v>
      </c>
      <c r="C280" s="5" t="s">
        <v>17901</v>
      </c>
      <c r="D280" s="5"/>
      <c r="E280" s="0" t="e">
        <f>+7 (473) 2620244
+7 (473) 2932713</f>
        <v>#NAME?</v>
      </c>
      <c r="F280" s="5" t="s">
        <v>26122</v>
      </c>
      <c r="G280" s="5" t="s">
        <v>26123</v>
      </c>
      <c r="H280" s="26">
        <v>12</v>
      </c>
      <c r="I280" s="5" t="s">
        <v>26124</v>
      </c>
      <c r="J280" s="5" t="s">
        <v>26125</v>
      </c>
      <c r="K280" s="5" t="s">
        <v>355</v>
      </c>
      <c r="L280" s="5" t="s">
        <v>26126</v>
      </c>
      <c r="M280" s="27"/>
      <c r="N280" s="5" t="s">
        <v>49539</v>
      </c>
      <c r="O280" s="5" t="str">
        <v>3662159310</v>
      </c>
      <c r="P280" s="27">
        <v>10000</v>
      </c>
      <c r="Q280" s="5" t="s">
        <v>49009</v>
      </c>
      <c r="R280" s="5"/>
      <c r="S280" s="5" t="s">
        <v>49066</v>
      </c>
      <c r="T280" s="28">
        <v>32393000</v>
      </c>
      <c r="U280" s="28">
        <v>494904000</v>
      </c>
      <c r="V280" s="28">
        <v>476220000</v>
      </c>
      <c r="W280" s="28"/>
      <c r="X280" s="28">
        <v>402561000</v>
      </c>
      <c r="Y280" s="28">
        <v>1551613000</v>
      </c>
      <c r="Z280" s="28">
        <v>37818000</v>
      </c>
      <c r="AA280" s="28"/>
      <c r="AB280" s="28"/>
      <c r="AC280" s="28">
        <v>1505073000</v>
      </c>
      <c r="AD280" s="28">
        <v>45328000</v>
      </c>
      <c r="AE280" s="28">
        <v>6565371000</v>
      </c>
      <c r="AF280" s="28">
        <v>338000</v>
      </c>
      <c r="AG280" s="11"/>
    </row>
    <row r="281">
      <c r="A281" s="7" t="s">
        <v>2028</v>
      </c>
      <c r="B281" s="5" t="s">
        <v>9999</v>
      </c>
      <c r="C281" s="5" t="s">
        <v>17901</v>
      </c>
      <c r="D281" s="5"/>
      <c r="E281" s="0" t="e">
        <f>+7 (473) 2620244
+7 (473) 2932713</f>
        <v>#NAME?</v>
      </c>
      <c r="F281" s="5" t="s">
        <v>26127</v>
      </c>
      <c r="G281" s="5" t="s">
        <v>26117</v>
      </c>
      <c r="H281" s="26">
        <v>12</v>
      </c>
      <c r="I281" s="5" t="s">
        <v>26118</v>
      </c>
      <c r="J281" s="5" t="s">
        <v>26128</v>
      </c>
      <c r="K281" s="5" t="s">
        <v>380</v>
      </c>
      <c r="L281" s="5"/>
      <c r="M281" s="27">
        <v>862640</v>
      </c>
      <c r="N281" s="5"/>
      <c r="O281" s="5" t="str">
        <v>3662159260</v>
      </c>
      <c r="P281" s="27">
        <v>10000</v>
      </c>
      <c r="Q281" s="5"/>
      <c r="R281" s="5"/>
      <c r="S281" s="5" t="s">
        <v>49029</v>
      </c>
      <c r="T281" s="28">
        <v>12134728000</v>
      </c>
      <c r="U281" s="28">
        <v>7722000</v>
      </c>
      <c r="V281" s="28">
        <v>1190196000</v>
      </c>
      <c r="W281" s="28"/>
      <c r="X281" s="28">
        <v>449048000</v>
      </c>
      <c r="Y281" s="28">
        <v>14395590000</v>
      </c>
      <c r="Z281" s="28">
        <v>-401332000</v>
      </c>
      <c r="AA281" s="28">
        <v>9962047000</v>
      </c>
      <c r="AB281" s="28">
        <v>190686000</v>
      </c>
      <c r="AC281" s="28">
        <v>2563515000</v>
      </c>
      <c r="AD281" s="28">
        <v>2572907000</v>
      </c>
      <c r="AE281" s="28">
        <v>6756803000</v>
      </c>
      <c r="AF281" s="28">
        <v>-387118000</v>
      </c>
      <c r="AG281" s="11"/>
    </row>
    <row r="282">
      <c r="A282" s="7" t="s">
        <v>2029</v>
      </c>
      <c r="B282" s="5" t="s">
        <v>10000</v>
      </c>
      <c r="C282" s="5" t="s">
        <v>17902</v>
      </c>
      <c r="D282" s="5" t="str">
        <v>402706858010</v>
      </c>
      <c r="E282" s="0" t="e">
        <f>+7 (495) 2878536
+7 (925) 7402111</f>
        <v>#NAME?</v>
      </c>
      <c r="F282" s="5" t="s">
        <v>26129</v>
      </c>
      <c r="G282" s="5" t="s">
        <v>26130</v>
      </c>
      <c r="H282" s="26">
        <v>6</v>
      </c>
      <c r="I282" s="5" t="s">
        <v>26131</v>
      </c>
      <c r="J282" s="5" t="s">
        <v>25402</v>
      </c>
      <c r="K282" s="5" t="s">
        <v>344</v>
      </c>
      <c r="L282" s="5" t="s">
        <v>26132</v>
      </c>
      <c r="M282" s="27"/>
      <c r="N282" s="5"/>
      <c r="O282" s="5" t="str">
        <v>1646044131</v>
      </c>
      <c r="P282" s="27">
        <v>128000000</v>
      </c>
      <c r="Q282" s="5"/>
      <c r="R282" s="5"/>
      <c r="S282" s="5" t="s">
        <v>49029</v>
      </c>
      <c r="T282" s="28">
        <v>1195073000</v>
      </c>
      <c r="U282" s="28"/>
      <c r="V282" s="28">
        <v>1091918000</v>
      </c>
      <c r="W282" s="28"/>
      <c r="X282" s="28">
        <v>432623000</v>
      </c>
      <c r="Y282" s="28">
        <v>6447351000</v>
      </c>
      <c r="Z282" s="28">
        <v>3423753000</v>
      </c>
      <c r="AA282" s="28">
        <v>1179368000</v>
      </c>
      <c r="AB282" s="28">
        <v>1497566000</v>
      </c>
      <c r="AC282" s="28">
        <v>1703929000</v>
      </c>
      <c r="AD282" s="28">
        <v>3551753000</v>
      </c>
      <c r="AE282" s="28">
        <v>6649290000</v>
      </c>
      <c r="AF282" s="28">
        <v>2073908000</v>
      </c>
      <c r="AG282" s="11"/>
    </row>
    <row r="283">
      <c r="A283" s="7" t="s">
        <v>2030</v>
      </c>
      <c r="B283" s="5" t="s">
        <v>10001</v>
      </c>
      <c r="C283" s="5" t="s">
        <v>17903</v>
      </c>
      <c r="D283" s="5" t="str">
        <v>771709609119</v>
      </c>
      <c r="E283" s="0" t="e">
        <f>+7 (3512) 395783
+7 (381) 2388668
+7 (495) 5179082
+7 (495) 5428097
+7 (495) 7879361
+7 (495) 7889597</f>
        <v>#NAME?</v>
      </c>
      <c r="F283" s="5"/>
      <c r="G283" s="5" t="s">
        <v>26133</v>
      </c>
      <c r="H283" s="26">
        <v>20</v>
      </c>
      <c r="I283" s="5" t="s">
        <v>26134</v>
      </c>
      <c r="J283" s="5" t="s">
        <v>678</v>
      </c>
      <c r="K283" s="5" t="s">
        <v>344</v>
      </c>
      <c r="L283" s="5" t="s">
        <v>26135</v>
      </c>
      <c r="M283" s="27"/>
      <c r="N283" s="5"/>
      <c r="O283" s="5" t="str">
        <v>7716227943</v>
      </c>
      <c r="P283" s="27">
        <v>378362732</v>
      </c>
      <c r="Q283" s="5"/>
      <c r="R283" s="5"/>
      <c r="S283" s="5" t="s">
        <v>49029</v>
      </c>
      <c r="T283" s="28">
        <v>79092000</v>
      </c>
      <c r="U283" s="28"/>
      <c r="V283" s="28">
        <v>415005000</v>
      </c>
      <c r="W283" s="28"/>
      <c r="X283" s="28">
        <v>120834000</v>
      </c>
      <c r="Y283" s="28">
        <v>1385158000</v>
      </c>
      <c r="Z283" s="28">
        <v>142748000</v>
      </c>
      <c r="AA283" s="28"/>
      <c r="AB283" s="28"/>
      <c r="AC283" s="28">
        <v>807517000</v>
      </c>
      <c r="AD283" s="28">
        <v>571111000</v>
      </c>
      <c r="AE283" s="28">
        <v>3119105000</v>
      </c>
      <c r="AF283" s="28">
        <v>79386000</v>
      </c>
      <c r="AG283" s="11"/>
    </row>
    <row r="284">
      <c r="A284" s="7" t="s">
        <v>2031</v>
      </c>
      <c r="B284" s="5" t="s">
        <v>10002</v>
      </c>
      <c r="C284" s="5" t="s">
        <v>17904</v>
      </c>
      <c r="D284" s="5" t="str">
        <v>760602955559</v>
      </c>
      <c r="E284" s="0" t="e">
        <f>+7 (495) 1233272
+7 (495) 1977576
+7 (495) 6471245
+7 (926) 5298489</f>
        <v>#NAME?</v>
      </c>
      <c r="F284" s="5" t="s">
        <v>26136</v>
      </c>
      <c r="G284" s="5" t="s">
        <v>26137</v>
      </c>
      <c r="H284" s="26">
        <v>16</v>
      </c>
      <c r="I284" s="5" t="s">
        <v>26138</v>
      </c>
      <c r="J284" s="5" t="s">
        <v>25262</v>
      </c>
      <c r="K284" s="5" t="s">
        <v>344</v>
      </c>
      <c r="L284" s="5"/>
      <c r="M284" s="27"/>
      <c r="N284" s="5" t="s">
        <v>49540</v>
      </c>
      <c r="O284" s="5" t="str">
        <v>2310120439</v>
      </c>
      <c r="P284" s="27">
        <v>541705890</v>
      </c>
      <c r="Q284" s="5" t="s">
        <v>49059</v>
      </c>
      <c r="R284" s="5"/>
      <c r="S284" s="5" t="s">
        <v>49110</v>
      </c>
      <c r="T284" s="28">
        <v>74324000</v>
      </c>
      <c r="U284" s="28"/>
      <c r="V284" s="28">
        <v>1577909000</v>
      </c>
      <c r="W284" s="28"/>
      <c r="X284" s="28">
        <v>314108000</v>
      </c>
      <c r="Y284" s="28">
        <v>2418064000</v>
      </c>
      <c r="Z284" s="28">
        <v>280518000</v>
      </c>
      <c r="AA284" s="28"/>
      <c r="AB284" s="28"/>
      <c r="AC284" s="28">
        <v>1487575000</v>
      </c>
      <c r="AD284" s="28">
        <v>826717000</v>
      </c>
      <c r="AE284" s="28">
        <v>3002158000</v>
      </c>
      <c r="AF284" s="28">
        <v>248086000</v>
      </c>
      <c r="AG284" s="11"/>
    </row>
    <row r="285">
      <c r="A285" s="7" t="s">
        <v>2032</v>
      </c>
      <c r="B285" s="5" t="s">
        <v>10003</v>
      </c>
      <c r="C285" s="5" t="s">
        <v>17905</v>
      </c>
      <c r="D285" s="5" t="str">
        <v>781910542688</v>
      </c>
      <c r="E285" s="0" t="e">
        <f>+7 (812) 3334459
+7 (812) 3107303
+7 (812) 3331725
+7 (812) 3334181
+7 (812) 5676057
+7 (812) 5679437</f>
        <v>#NAME?</v>
      </c>
      <c r="F285" s="5" t="s">
        <v>26139</v>
      </c>
      <c r="G285" s="5" t="s">
        <v>26140</v>
      </c>
      <c r="H285" s="26">
        <v>25</v>
      </c>
      <c r="I285" s="5" t="s">
        <v>26141</v>
      </c>
      <c r="J285" s="5" t="s">
        <v>364</v>
      </c>
      <c r="K285" s="5" t="s">
        <v>344</v>
      </c>
      <c r="L285" s="5"/>
      <c r="M285" s="27">
        <v>20156961</v>
      </c>
      <c r="N285" s="5"/>
      <c r="O285" s="5" t="str">
        <v>7826688129</v>
      </c>
      <c r="P285" s="27">
        <v>90000000</v>
      </c>
      <c r="Q285" s="5" t="s">
        <v>49541</v>
      </c>
      <c r="R285" s="5"/>
      <c r="S285" s="5" t="s">
        <v>49542</v>
      </c>
      <c r="T285" s="28">
        <v>15225000</v>
      </c>
      <c r="U285" s="28"/>
      <c r="V285" s="28">
        <v>4305006000</v>
      </c>
      <c r="W285" s="28">
        <v>249990000</v>
      </c>
      <c r="X285" s="28">
        <v>63147000</v>
      </c>
      <c r="Y285" s="28">
        <v>6170324000</v>
      </c>
      <c r="Z285" s="28">
        <v>180025000</v>
      </c>
      <c r="AA285" s="28"/>
      <c r="AB285" s="28"/>
      <c r="AC285" s="28">
        <v>5859571000</v>
      </c>
      <c r="AD285" s="28">
        <v>270025000</v>
      </c>
      <c r="AE285" s="28">
        <v>6502902000</v>
      </c>
      <c r="AF285" s="28">
        <v>12288000</v>
      </c>
      <c r="AG285" s="11"/>
    </row>
    <row r="286">
      <c r="A286" s="7" t="s">
        <v>2033</v>
      </c>
      <c r="B286" s="5" t="s">
        <v>10004</v>
      </c>
      <c r="C286" s="5" t="s">
        <v>17906</v>
      </c>
      <c r="D286" s="5" t="str">
        <v>772395610105</v>
      </c>
      <c r="E286" s="0" t="e">
        <f>+7 (495) 7235061
+7 (495) 6413533</f>
        <v>#NAME?</v>
      </c>
      <c r="F286" s="5" t="s">
        <v>26142</v>
      </c>
      <c r="G286" s="5"/>
      <c r="H286" s="26">
        <v>10.5</v>
      </c>
      <c r="I286" s="5" t="s">
        <v>26143</v>
      </c>
      <c r="J286" s="5" t="s">
        <v>785</v>
      </c>
      <c r="K286" s="5" t="s">
        <v>344</v>
      </c>
      <c r="L286" s="5" t="s">
        <v>26144</v>
      </c>
      <c r="M286" s="27"/>
      <c r="N286" s="5"/>
      <c r="O286" s="5" t="str">
        <v>7701959824</v>
      </c>
      <c r="P286" s="27">
        <v>10000</v>
      </c>
      <c r="Q286" s="5" t="s">
        <v>49009</v>
      </c>
      <c r="R286" s="5" t="s">
        <v>49543</v>
      </c>
      <c r="S286" s="5" t="s">
        <v>49010</v>
      </c>
      <c r="T286" s="28">
        <v>24165000</v>
      </c>
      <c r="U286" s="28">
        <v>200000</v>
      </c>
      <c r="V286" s="28">
        <v>609030000</v>
      </c>
      <c r="W286" s="28">
        <v>684813000</v>
      </c>
      <c r="X286" s="28">
        <v>1229880000</v>
      </c>
      <c r="Y286" s="28">
        <v>2569529000</v>
      </c>
      <c r="Z286" s="28">
        <v>194956000</v>
      </c>
      <c r="AA286" s="28"/>
      <c r="AB286" s="28"/>
      <c r="AC286" s="28">
        <v>2362884000</v>
      </c>
      <c r="AD286" s="28">
        <v>194966000</v>
      </c>
      <c r="AE286" s="28">
        <v>4215740000</v>
      </c>
      <c r="AF286" s="28">
        <v>62000000</v>
      </c>
      <c r="AG286" s="11"/>
    </row>
    <row r="287">
      <c r="A287" s="7" t="s">
        <v>2034</v>
      </c>
      <c r="B287" s="5" t="s">
        <v>10005</v>
      </c>
      <c r="C287" s="5" t="s">
        <v>17907</v>
      </c>
      <c r="D287" s="5" t="str">
        <v>531312547820</v>
      </c>
      <c r="F287" s="5"/>
      <c r="G287" s="5"/>
      <c r="H287" s="26">
        <v>5.5</v>
      </c>
      <c r="I287" s="5" t="s">
        <v>26145</v>
      </c>
      <c r="J287" s="5" t="s">
        <v>785</v>
      </c>
      <c r="K287" s="5" t="s">
        <v>355</v>
      </c>
      <c r="L287" s="5"/>
      <c r="M287" s="27">
        <v>73462</v>
      </c>
      <c r="N287" s="5" t="s">
        <v>49544</v>
      </c>
      <c r="O287" s="5" t="str">
        <v>7810704382</v>
      </c>
      <c r="P287" s="27">
        <v>10000</v>
      </c>
      <c r="Q287" s="5" t="s">
        <v>49009</v>
      </c>
      <c r="R287" s="5"/>
      <c r="S287" s="5" t="s">
        <v>49545</v>
      </c>
      <c r="T287" s="28">
        <v>928000</v>
      </c>
      <c r="U287" s="28"/>
      <c r="V287" s="28">
        <v>1771090000</v>
      </c>
      <c r="W287" s="28"/>
      <c r="X287" s="28">
        <v>6342006000</v>
      </c>
      <c r="Y287" s="28">
        <v>8192613000</v>
      </c>
      <c r="Z287" s="28">
        <v>164819000</v>
      </c>
      <c r="AA287" s="28"/>
      <c r="AB287" s="28"/>
      <c r="AC287" s="28">
        <v>8027656000</v>
      </c>
      <c r="AD287" s="28">
        <v>164829000</v>
      </c>
      <c r="AE287" s="28">
        <v>29016415000</v>
      </c>
      <c r="AF287" s="28">
        <v>166790000</v>
      </c>
      <c r="AG287" s="11"/>
    </row>
    <row r="288">
      <c r="A288" s="7" t="s">
        <v>2035</v>
      </c>
      <c r="B288" s="5" t="s">
        <v>10006</v>
      </c>
      <c r="C288" s="5" t="s">
        <v>17908</v>
      </c>
      <c r="D288" s="5" t="str">
        <v>860804067100</v>
      </c>
      <c r="E288" s="0" t="e">
        <f>+7 (861) 2930303
+7 (863) 2487635</f>
        <v>#NAME?</v>
      </c>
      <c r="F288" s="5" t="s">
        <v>26146</v>
      </c>
      <c r="G288" s="5"/>
      <c r="H288" s="26">
        <v>9.5</v>
      </c>
      <c r="I288" s="5" t="s">
        <v>26147</v>
      </c>
      <c r="J288" s="5" t="s">
        <v>26148</v>
      </c>
      <c r="K288" s="5" t="s">
        <v>344</v>
      </c>
      <c r="L288" s="5" t="s">
        <v>26149</v>
      </c>
      <c r="M288" s="27">
        <v>320000</v>
      </c>
      <c r="N288" s="5"/>
      <c r="O288" s="5" t="str">
        <v>3443923606</v>
      </c>
      <c r="P288" s="27">
        <v>30000</v>
      </c>
      <c r="Q288" s="5" t="s">
        <v>49324</v>
      </c>
      <c r="R288" s="5"/>
      <c r="S288" s="5" t="s">
        <v>49457</v>
      </c>
      <c r="T288" s="28">
        <v>675106000</v>
      </c>
      <c r="U288" s="28">
        <v>315000000</v>
      </c>
      <c r="V288" s="28">
        <v>658607000</v>
      </c>
      <c r="W288" s="28">
        <v>3500000</v>
      </c>
      <c r="X288" s="28">
        <v>887886000</v>
      </c>
      <c r="Y288" s="28">
        <v>2649451000</v>
      </c>
      <c r="Z288" s="28">
        <v>1055939000</v>
      </c>
      <c r="AA288" s="28">
        <v>277301000</v>
      </c>
      <c r="AB288" s="28"/>
      <c r="AC288" s="28">
        <v>1163570000</v>
      </c>
      <c r="AD288" s="28">
        <v>1055969000</v>
      </c>
      <c r="AE288" s="28">
        <v>6389871000</v>
      </c>
      <c r="AF288" s="28">
        <v>209642000</v>
      </c>
      <c r="AG288" s="11"/>
    </row>
    <row r="289">
      <c r="A289" s="7" t="s">
        <v>2036</v>
      </c>
      <c r="B289" s="5" t="s">
        <v>10007</v>
      </c>
      <c r="C289" s="5" t="s">
        <v>17909</v>
      </c>
      <c r="D289" s="5" t="str">
        <v>503203639680</v>
      </c>
      <c r="E289" s="0" t="e">
        <f>+7 (495) 9810827
+7 (495) 9810828</f>
        <v>#NAME?</v>
      </c>
      <c r="F289" s="5"/>
      <c r="G289" s="5" t="s">
        <v>26150</v>
      </c>
      <c r="H289" s="26">
        <v>13</v>
      </c>
      <c r="I289" s="5" t="s">
        <v>26151</v>
      </c>
      <c r="J289" s="5" t="s">
        <v>785</v>
      </c>
      <c r="K289" s="5" t="s">
        <v>344</v>
      </c>
      <c r="L289" s="5" t="s">
        <v>26152</v>
      </c>
      <c r="M289" s="27">
        <v>1834272</v>
      </c>
      <c r="N289" s="5" t="s">
        <v>49546</v>
      </c>
      <c r="O289" s="5" t="str">
        <v>7725691541</v>
      </c>
      <c r="P289" s="27">
        <v>10000</v>
      </c>
      <c r="Q289" s="5" t="s">
        <v>49547</v>
      </c>
      <c r="R289" s="5"/>
      <c r="S289" s="5" t="s">
        <v>49496</v>
      </c>
      <c r="T289" s="28">
        <v>1464000</v>
      </c>
      <c r="U289" s="28"/>
      <c r="V289" s="28">
        <v>2075410000</v>
      </c>
      <c r="W289" s="28"/>
      <c r="X289" s="28">
        <v>515000</v>
      </c>
      <c r="Y289" s="28">
        <v>2100677000</v>
      </c>
      <c r="Z289" s="28">
        <v>13118000</v>
      </c>
      <c r="AA289" s="28"/>
      <c r="AB289" s="28"/>
      <c r="AC289" s="28">
        <v>2086730000</v>
      </c>
      <c r="AD289" s="28">
        <v>13128000</v>
      </c>
      <c r="AE289" s="28">
        <v>3053557000</v>
      </c>
      <c r="AF289" s="28">
        <v>10952000</v>
      </c>
      <c r="AG289" s="11"/>
    </row>
    <row r="290">
      <c r="A290" s="7" t="s">
        <v>2037</v>
      </c>
      <c r="B290" s="5" t="s">
        <v>10008</v>
      </c>
      <c r="C290" s="5" t="s">
        <v>17910</v>
      </c>
      <c r="D290" s="5" t="str">
        <v>381254259199</v>
      </c>
      <c r="E290" s="0" t="e">
        <f>+7 (4232) 333565
+7 (495) 4886834
+7 (985) 4419294
+7 (985) 7328941
+7 (985) 7328946
+7 (991) 7251896
+7 (495) 9897411</f>
        <v>#NAME?</v>
      </c>
      <c r="F290" s="5" t="s">
        <v>26153</v>
      </c>
      <c r="G290" s="5"/>
      <c r="H290" s="26">
        <v>12</v>
      </c>
      <c r="I290" s="5" t="s">
        <v>26154</v>
      </c>
      <c r="J290" s="5" t="s">
        <v>25429</v>
      </c>
      <c r="K290" s="5" t="s">
        <v>344</v>
      </c>
      <c r="L290" s="5" t="s">
        <v>26155</v>
      </c>
      <c r="M290" s="27"/>
      <c r="N290" s="5" t="s">
        <v>49548</v>
      </c>
      <c r="O290" s="5" t="str">
        <v>7724776601</v>
      </c>
      <c r="P290" s="27">
        <v>6500000</v>
      </c>
      <c r="Q290" s="5" t="s">
        <v>49549</v>
      </c>
      <c r="R290" s="5"/>
      <c r="S290" s="5" t="s">
        <v>49550</v>
      </c>
      <c r="T290" s="28">
        <v>280000</v>
      </c>
      <c r="U290" s="28"/>
      <c r="V290" s="28">
        <v>410305000</v>
      </c>
      <c r="W290" s="28"/>
      <c r="X290" s="28">
        <v>230415000</v>
      </c>
      <c r="Y290" s="28">
        <v>1086992000</v>
      </c>
      <c r="Z290" s="28">
        <v>247595000</v>
      </c>
      <c r="AA290" s="28"/>
      <c r="AB290" s="28"/>
      <c r="AC290" s="28">
        <v>832859000</v>
      </c>
      <c r="AD290" s="28">
        <v>254095000</v>
      </c>
      <c r="AE290" s="28">
        <v>5867230000</v>
      </c>
      <c r="AF290" s="28">
        <v>44166000</v>
      </c>
      <c r="AG290" s="11"/>
    </row>
    <row r="291">
      <c r="A291" s="7" t="s">
        <v>2038</v>
      </c>
      <c r="B291" s="5" t="s">
        <v>10009</v>
      </c>
      <c r="C291" s="5" t="s">
        <v>17911</v>
      </c>
      <c r="D291" s="5" t="str">
        <v>772622365477</v>
      </c>
      <c r="E291" s="0" t="e">
        <f>+7 (499) 6382357</f>
        <v>#NAME?</v>
      </c>
      <c r="F291" s="5" t="s">
        <v>26156</v>
      </c>
      <c r="G291" s="5" t="s">
        <v>26157</v>
      </c>
      <c r="H291" s="26">
        <v>11</v>
      </c>
      <c r="I291" s="5" t="s">
        <v>26158</v>
      </c>
      <c r="J291" s="5" t="s">
        <v>26159</v>
      </c>
      <c r="K291" s="5" t="s">
        <v>344</v>
      </c>
      <c r="L291" s="5" t="s">
        <v>26160</v>
      </c>
      <c r="M291" s="27"/>
      <c r="N291" s="5"/>
      <c r="O291" s="5" t="str">
        <v>7714859746</v>
      </c>
      <c r="P291" s="27">
        <v>12500</v>
      </c>
      <c r="Q291" s="5" t="s">
        <v>49021</v>
      </c>
      <c r="R291" s="5"/>
      <c r="S291" s="5" t="s">
        <v>49551</v>
      </c>
      <c r="T291" s="28">
        <v>45259000</v>
      </c>
      <c r="U291" s="28">
        <v>157461000</v>
      </c>
      <c r="V291" s="28">
        <v>2638659000</v>
      </c>
      <c r="W291" s="28"/>
      <c r="X291" s="28">
        <v>78657000</v>
      </c>
      <c r="Y291" s="28">
        <v>3728139000</v>
      </c>
      <c r="Z291" s="28">
        <v>1176201000</v>
      </c>
      <c r="AA291" s="28"/>
      <c r="AB291" s="28"/>
      <c r="AC291" s="28">
        <v>2525597000</v>
      </c>
      <c r="AD291" s="28">
        <v>1176214000</v>
      </c>
      <c r="AE291" s="28">
        <v>3856152000</v>
      </c>
      <c r="AF291" s="28">
        <v>17025000</v>
      </c>
      <c r="AG291" s="11"/>
    </row>
    <row r="292">
      <c r="A292" s="7" t="s">
        <v>2039</v>
      </c>
      <c r="B292" s="5" t="s">
        <v>10010</v>
      </c>
      <c r="C292" s="5" t="s">
        <v>17912</v>
      </c>
      <c r="D292" s="5" t="str">
        <v>772974338034</v>
      </c>
      <c r="E292" s="0" t="e">
        <f>+7 (495) 9375272
+7 (495) 6467341
+7 (915) 2555556
+7 (967) 1937341</f>
        <v>#NAME?</v>
      </c>
      <c r="F292" s="5" t="s">
        <v>26161</v>
      </c>
      <c r="G292" s="5"/>
      <c r="H292" s="26">
        <v>18</v>
      </c>
      <c r="I292" s="5" t="s">
        <v>26162</v>
      </c>
      <c r="J292" s="5" t="s">
        <v>785</v>
      </c>
      <c r="K292" s="5" t="s">
        <v>355</v>
      </c>
      <c r="L292" s="5" t="s">
        <v>26163</v>
      </c>
      <c r="M292" s="27"/>
      <c r="N292" s="5"/>
      <c r="O292" s="5" t="str">
        <v>7704550892</v>
      </c>
      <c r="P292" s="27">
        <v>9235346</v>
      </c>
      <c r="Q292" s="5" t="s">
        <v>49059</v>
      </c>
      <c r="R292" s="5" t="s">
        <v>49552</v>
      </c>
      <c r="S292" s="5" t="s">
        <v>49010</v>
      </c>
      <c r="T292" s="28">
        <v>1239000</v>
      </c>
      <c r="U292" s="28"/>
      <c r="V292" s="28">
        <v>1905646000</v>
      </c>
      <c r="W292" s="28"/>
      <c r="X292" s="28">
        <v>17000</v>
      </c>
      <c r="Y292" s="28">
        <v>1911999000</v>
      </c>
      <c r="Z292" s="28">
        <v>117119000</v>
      </c>
      <c r="AA292" s="28"/>
      <c r="AB292" s="28"/>
      <c r="AC292" s="28">
        <v>1783211000</v>
      </c>
      <c r="AD292" s="28">
        <v>126354000</v>
      </c>
      <c r="AE292" s="28">
        <v>3121235000</v>
      </c>
      <c r="AF292" s="28">
        <v>114993000</v>
      </c>
      <c r="AG292" s="11"/>
    </row>
    <row r="293">
      <c r="A293" s="7" t="s">
        <v>2040</v>
      </c>
      <c r="B293" s="5" t="s">
        <v>10011</v>
      </c>
      <c r="C293" s="5" t="s">
        <v>17913</v>
      </c>
      <c r="D293" s="5" t="str">
        <v>504214425354</v>
      </c>
      <c r="E293" s="0" t="e">
        <f>+7 (495) 1312979
+7 (495) 3047351
+7 (495) 8705849
+7 (495) 8705864
+7 (499) 7933730</f>
        <v>#NAME?</v>
      </c>
      <c r="F293" s="5"/>
      <c r="G293" s="5"/>
      <c r="H293" s="26">
        <v>10</v>
      </c>
      <c r="I293" s="5" t="s">
        <v>26164</v>
      </c>
      <c r="J293" s="5" t="s">
        <v>26165</v>
      </c>
      <c r="K293" s="5" t="s">
        <v>344</v>
      </c>
      <c r="L293" s="5" t="s">
        <v>26166</v>
      </c>
      <c r="M293" s="27"/>
      <c r="N293" s="5"/>
      <c r="O293" s="5" t="str">
        <v>7724854659</v>
      </c>
      <c r="P293" s="27">
        <v>10000</v>
      </c>
      <c r="Q293" s="5"/>
      <c r="R293" s="5"/>
      <c r="S293" s="5" t="s">
        <v>49121</v>
      </c>
      <c r="T293" s="28">
        <v>423281000</v>
      </c>
      <c r="U293" s="28"/>
      <c r="V293" s="28">
        <v>47673000</v>
      </c>
      <c r="W293" s="28"/>
      <c r="X293" s="28">
        <v>264376000</v>
      </c>
      <c r="Y293" s="28">
        <v>1170701000</v>
      </c>
      <c r="Z293" s="28">
        <v>47816000</v>
      </c>
      <c r="AA293" s="28"/>
      <c r="AB293" s="28"/>
      <c r="AC293" s="28">
        <v>653363000</v>
      </c>
      <c r="AD293" s="28">
        <v>47826000</v>
      </c>
      <c r="AE293" s="28">
        <v>3313587000</v>
      </c>
      <c r="AF293" s="28">
        <v>193433000</v>
      </c>
      <c r="AG293" s="11"/>
    </row>
    <row r="294">
      <c r="A294" s="7" t="s">
        <v>2041</v>
      </c>
      <c r="B294" s="5" t="s">
        <v>10012</v>
      </c>
      <c r="C294" s="5" t="s">
        <v>17914</v>
      </c>
      <c r="D294" s="5" t="str">
        <v>165800174045</v>
      </c>
      <c r="E294" s="0" t="e">
        <f>+7 (495) 6516553
+7 (495) 6516557
+7 (495) 9816550
+7 (495) 9816555
+7 (495) 9816557</f>
        <v>#NAME?</v>
      </c>
      <c r="F294" s="5" t="s">
        <v>26167</v>
      </c>
      <c r="G294" s="5" t="s">
        <v>26168</v>
      </c>
      <c r="H294" s="26">
        <v>24.5</v>
      </c>
      <c r="I294" s="5" t="s">
        <v>26169</v>
      </c>
      <c r="J294" s="5" t="s">
        <v>25195</v>
      </c>
      <c r="K294" s="5" t="s">
        <v>344</v>
      </c>
      <c r="L294" s="5" t="s">
        <v>26170</v>
      </c>
      <c r="M294" s="27">
        <v>9262539</v>
      </c>
      <c r="N294" s="5" t="s">
        <v>49553</v>
      </c>
      <c r="O294" s="5" t="str">
        <v>7714037390</v>
      </c>
      <c r="P294" s="27">
        <v>61700000</v>
      </c>
      <c r="Q294" s="5" t="s">
        <v>49009</v>
      </c>
      <c r="R294" s="5" t="s">
        <v>49554</v>
      </c>
      <c r="S294" s="5" t="s">
        <v>49045</v>
      </c>
      <c r="T294" s="28">
        <v>7156024000</v>
      </c>
      <c r="U294" s="28"/>
      <c r="V294" s="28">
        <v>1067068000</v>
      </c>
      <c r="W294" s="28">
        <v>17001300000</v>
      </c>
      <c r="X294" s="28">
        <v>2935224000</v>
      </c>
      <c r="Y294" s="28">
        <v>31835024000</v>
      </c>
      <c r="Z294" s="28">
        <v>28437686000</v>
      </c>
      <c r="AA294" s="28"/>
      <c r="AB294" s="28"/>
      <c r="AC294" s="28">
        <v>1289093000</v>
      </c>
      <c r="AD294" s="28">
        <v>28499386000</v>
      </c>
      <c r="AE294" s="28">
        <v>24972174000</v>
      </c>
      <c r="AF294" s="28">
        <v>-7939039000</v>
      </c>
      <c r="AG294" s="11"/>
    </row>
    <row r="295">
      <c r="A295" s="7" t="s">
        <v>2042</v>
      </c>
      <c r="B295" s="5" t="s">
        <v>10013</v>
      </c>
      <c r="C295" s="5" t="s">
        <v>17915</v>
      </c>
      <c r="D295" s="5" t="str">
        <v>780706030014</v>
      </c>
      <c r="E295" s="0" t="e">
        <f>+7 (812) 3206285
+7 (901) 3048814</f>
        <v>#NAME?</v>
      </c>
      <c r="F295" s="5" t="s">
        <v>26171</v>
      </c>
      <c r="G295" s="5"/>
      <c r="H295" s="26">
        <v>13</v>
      </c>
      <c r="I295" s="5" t="s">
        <v>26172</v>
      </c>
      <c r="J295" s="5" t="s">
        <v>26173</v>
      </c>
      <c r="K295" s="5" t="s">
        <v>344</v>
      </c>
      <c r="L295" s="5" t="s">
        <v>26174</v>
      </c>
      <c r="M295" s="27"/>
      <c r="N295" s="5"/>
      <c r="O295" s="5" t="str">
        <v>7816480058</v>
      </c>
      <c r="P295" s="27">
        <v>10000</v>
      </c>
      <c r="Q295" s="5" t="s">
        <v>49009</v>
      </c>
      <c r="R295" s="5"/>
      <c r="S295" s="5" t="s">
        <v>49010</v>
      </c>
      <c r="T295" s="28">
        <v>170000</v>
      </c>
      <c r="U295" s="28"/>
      <c r="V295" s="28">
        <v>536697000</v>
      </c>
      <c r="W295" s="28"/>
      <c r="X295" s="28">
        <v>12626000</v>
      </c>
      <c r="Y295" s="28">
        <v>712690000</v>
      </c>
      <c r="Z295" s="28">
        <v>338218000</v>
      </c>
      <c r="AA295" s="28"/>
      <c r="AB295" s="28"/>
      <c r="AC295" s="28">
        <v>374438000</v>
      </c>
      <c r="AD295" s="28">
        <v>338228000</v>
      </c>
      <c r="AE295" s="28">
        <v>4490428000</v>
      </c>
      <c r="AF295" s="28">
        <v>29514000</v>
      </c>
      <c r="AG295" s="11"/>
    </row>
    <row r="296">
      <c r="A296" s="7" t="s">
        <v>2043</v>
      </c>
      <c r="B296" s="5" t="s">
        <v>10014</v>
      </c>
      <c r="C296" s="5" t="s">
        <v>17916</v>
      </c>
      <c r="D296" s="5" t="str">
        <v>236703547586</v>
      </c>
      <c r="F296" s="5" t="s">
        <v>26175</v>
      </c>
      <c r="G296" s="5"/>
      <c r="H296" s="26">
        <v>1.5</v>
      </c>
      <c r="I296" s="5" t="s">
        <v>26176</v>
      </c>
      <c r="J296" s="5" t="s">
        <v>821</v>
      </c>
      <c r="K296" s="5" t="s">
        <v>344</v>
      </c>
      <c r="L296" s="5"/>
      <c r="M296" s="27">
        <v>17686</v>
      </c>
      <c r="N296" s="5"/>
      <c r="O296" s="5" t="str">
        <v>5047254673</v>
      </c>
      <c r="P296" s="27">
        <v>10000</v>
      </c>
      <c r="Q296" s="5"/>
      <c r="R296" s="5"/>
      <c r="S296" s="5" t="s">
        <v>49029</v>
      </c>
      <c r="T296" s="28">
        <v>72348000</v>
      </c>
      <c r="U296" s="28"/>
      <c r="V296" s="28">
        <v>2586621000</v>
      </c>
      <c r="W296" s="28">
        <v>107922000</v>
      </c>
      <c r="X296" s="28">
        <v>1540924000</v>
      </c>
      <c r="Y296" s="28">
        <v>5741210000</v>
      </c>
      <c r="Z296" s="28">
        <v>362410000</v>
      </c>
      <c r="AA296" s="28"/>
      <c r="AB296" s="28">
        <v>1936000</v>
      </c>
      <c r="AC296" s="28">
        <v>5376963000</v>
      </c>
      <c r="AD296" s="28">
        <v>362420000</v>
      </c>
      <c r="AE296" s="28">
        <v>4950598000</v>
      </c>
      <c r="AF296" s="28">
        <v>357105000</v>
      </c>
      <c r="AG296" s="11"/>
    </row>
    <row r="297">
      <c r="A297" s="7" t="s">
        <v>2044</v>
      </c>
      <c r="B297" s="5" t="s">
        <v>10015</v>
      </c>
      <c r="C297" s="5" t="s">
        <v>17917</v>
      </c>
      <c r="D297" s="5" t="str">
        <v>392000049460</v>
      </c>
      <c r="E297" s="0" t="e">
        <f>+7 (963) 2995838</f>
        <v>#NAME?</v>
      </c>
      <c r="F297" s="5"/>
      <c r="G297" s="5"/>
      <c r="H297" s="26">
        <v>10</v>
      </c>
      <c r="I297" s="5" t="s">
        <v>26177</v>
      </c>
      <c r="J297" s="5" t="s">
        <v>25262</v>
      </c>
      <c r="K297" s="5" t="s">
        <v>344</v>
      </c>
      <c r="L297" s="5" t="s">
        <v>26178</v>
      </c>
      <c r="M297" s="27"/>
      <c r="N297" s="5" t="s">
        <v>49555</v>
      </c>
      <c r="O297" s="5" t="str">
        <v>3906283755</v>
      </c>
      <c r="P297" s="27">
        <v>10000</v>
      </c>
      <c r="Q297" s="5" t="s">
        <v>49057</v>
      </c>
      <c r="R297" s="5"/>
      <c r="S297" s="5" t="s">
        <v>49556</v>
      </c>
      <c r="T297" s="28">
        <v>1333000</v>
      </c>
      <c r="U297" s="28">
        <v>328240000</v>
      </c>
      <c r="V297" s="28">
        <v>1299172000</v>
      </c>
      <c r="W297" s="28">
        <v>10900000</v>
      </c>
      <c r="X297" s="28">
        <v>7330000</v>
      </c>
      <c r="Y297" s="28">
        <v>2338459000</v>
      </c>
      <c r="Z297" s="28">
        <v>382981000</v>
      </c>
      <c r="AA297" s="28">
        <v>7443000</v>
      </c>
      <c r="AB297" s="28">
        <v>1269722000</v>
      </c>
      <c r="AC297" s="28">
        <v>1922720000</v>
      </c>
      <c r="AD297" s="28">
        <v>382991000</v>
      </c>
      <c r="AE297" s="28">
        <v>3027054000</v>
      </c>
      <c r="AF297" s="28">
        <v>159618000</v>
      </c>
      <c r="AG297" s="11"/>
    </row>
    <row r="298">
      <c r="A298" s="7" t="s">
        <v>2045</v>
      </c>
      <c r="B298" s="5" t="s">
        <v>10016</v>
      </c>
      <c r="C298" s="5" t="s">
        <v>17918</v>
      </c>
      <c r="D298" s="5" t="str">
        <v>771121151592</v>
      </c>
      <c r="E298" s="0" t="e">
        <f>+7 (495) 6887118
+7 (495) 9372828</f>
        <v>#NAME?</v>
      </c>
      <c r="F298" s="5"/>
      <c r="G298" s="5"/>
      <c r="H298" s="26">
        <v>15.5</v>
      </c>
      <c r="I298" s="5" t="s">
        <v>26179</v>
      </c>
      <c r="J298" s="5" t="s">
        <v>26180</v>
      </c>
      <c r="K298" s="5" t="s">
        <v>344</v>
      </c>
      <c r="L298" s="5" t="s">
        <v>26181</v>
      </c>
      <c r="M298" s="27"/>
      <c r="N298" s="5"/>
      <c r="O298" s="5" t="str">
        <v>7702655917</v>
      </c>
      <c r="P298" s="27">
        <v>300000</v>
      </c>
      <c r="Q298" s="5" t="s">
        <v>416</v>
      </c>
      <c r="R298" s="5"/>
      <c r="S298" s="5" t="s">
        <v>49557</v>
      </c>
      <c r="T298" s="28">
        <v>509185000</v>
      </c>
      <c r="U298" s="28"/>
      <c r="V298" s="28">
        <v>1707977000</v>
      </c>
      <c r="W298" s="28"/>
      <c r="X298" s="28">
        <v>32348000</v>
      </c>
      <c r="Y298" s="28">
        <v>2714529000</v>
      </c>
      <c r="Z298" s="28">
        <v>1029791000</v>
      </c>
      <c r="AA298" s="28">
        <v>10141000</v>
      </c>
      <c r="AB298" s="28">
        <v>1362852000</v>
      </c>
      <c r="AC298" s="28">
        <v>1673112000</v>
      </c>
      <c r="AD298" s="28">
        <v>1030091000</v>
      </c>
      <c r="AE298" s="28">
        <v>5032365000</v>
      </c>
      <c r="AF298" s="28">
        <v>136942000</v>
      </c>
      <c r="AG298" s="11"/>
    </row>
    <row r="299">
      <c r="A299" s="7" t="s">
        <v>2046</v>
      </c>
      <c r="B299" s="5" t="s">
        <v>10017</v>
      </c>
      <c r="C299" s="5" t="s">
        <v>17919</v>
      </c>
      <c r="D299" s="5" t="str">
        <v>165013190422</v>
      </c>
      <c r="E299" s="0" t="e">
        <f>+7 (987) 4005260
+7 (855) 2778870</f>
        <v>#NAME?</v>
      </c>
      <c r="F299" s="5" t="s">
        <v>26182</v>
      </c>
      <c r="G299" s="5" t="s">
        <v>26183</v>
      </c>
      <c r="H299" s="26">
        <v>16</v>
      </c>
      <c r="I299" s="5" t="s">
        <v>26184</v>
      </c>
      <c r="J299" s="5" t="s">
        <v>26185</v>
      </c>
      <c r="K299" s="5" t="s">
        <v>344</v>
      </c>
      <c r="L299" s="5" t="s">
        <v>26186</v>
      </c>
      <c r="M299" s="27">
        <v>9547368</v>
      </c>
      <c r="N299" s="5" t="s">
        <v>49558</v>
      </c>
      <c r="O299" s="5" t="str">
        <v>1639034870</v>
      </c>
      <c r="P299" s="27">
        <v>100000</v>
      </c>
      <c r="Q299" s="5" t="s">
        <v>49559</v>
      </c>
      <c r="R299" s="5"/>
      <c r="S299" s="5" t="s">
        <v>49560</v>
      </c>
      <c r="T299" s="28">
        <v>337608000</v>
      </c>
      <c r="U299" s="28">
        <v>81652000</v>
      </c>
      <c r="V299" s="28">
        <v>1573029000</v>
      </c>
      <c r="W299" s="28">
        <v>255298000</v>
      </c>
      <c r="X299" s="28">
        <v>584942000</v>
      </c>
      <c r="Y299" s="28">
        <v>4934226000</v>
      </c>
      <c r="Z299" s="28">
        <v>874984000</v>
      </c>
      <c r="AA299" s="28">
        <v>264000000</v>
      </c>
      <c r="AB299" s="28">
        <v>887291000</v>
      </c>
      <c r="AC299" s="28">
        <v>3391481000</v>
      </c>
      <c r="AD299" s="28">
        <v>1223175000</v>
      </c>
      <c r="AE299" s="28">
        <v>4098829000</v>
      </c>
      <c r="AF299" s="28">
        <v>371793000</v>
      </c>
      <c r="AG299" s="11"/>
    </row>
    <row r="300">
      <c r="A300" s="7" t="s">
        <v>2047</v>
      </c>
      <c r="B300" s="5" t="s">
        <v>10018</v>
      </c>
      <c r="C300" s="5" t="s">
        <v>17920</v>
      </c>
      <c r="D300" s="5" t="str">
        <v>230403325084</v>
      </c>
      <c r="E300" s="0" t="e">
        <f>+7 (985) 3392200
+7 (918) 667168
+7 (938) 4907070</f>
        <v>#NAME?</v>
      </c>
      <c r="F300" s="5" t="s">
        <v>26187</v>
      </c>
      <c r="G300" s="5"/>
      <c r="H300" s="26">
        <v>5.5</v>
      </c>
      <c r="I300" s="5" t="s">
        <v>26188</v>
      </c>
      <c r="J300" s="5" t="s">
        <v>364</v>
      </c>
      <c r="K300" s="5" t="s">
        <v>355</v>
      </c>
      <c r="L300" s="5"/>
      <c r="M300" s="27"/>
      <c r="N300" s="5"/>
      <c r="O300" s="5" t="str">
        <v>2304071769</v>
      </c>
      <c r="P300" s="27">
        <v>11000</v>
      </c>
      <c r="Q300" s="5" t="s">
        <v>49561</v>
      </c>
      <c r="R300" s="5"/>
      <c r="S300" s="5" t="s">
        <v>49562</v>
      </c>
      <c r="T300" s="28">
        <v>49111000</v>
      </c>
      <c r="U300" s="28"/>
      <c r="V300" s="28">
        <v>1343148000</v>
      </c>
      <c r="W300" s="28">
        <v>154515000</v>
      </c>
      <c r="X300" s="28">
        <v>3800000</v>
      </c>
      <c r="Y300" s="28">
        <v>1772032000</v>
      </c>
      <c r="Z300" s="28">
        <v>34438000</v>
      </c>
      <c r="AA300" s="28">
        <v>13796000</v>
      </c>
      <c r="AB300" s="28"/>
      <c r="AC300" s="28">
        <v>1716307000</v>
      </c>
      <c r="AD300" s="28">
        <v>41929000</v>
      </c>
      <c r="AE300" s="28">
        <v>6991233000</v>
      </c>
      <c r="AF300" s="28">
        <v>63011000</v>
      </c>
      <c r="AG300" s="11"/>
    </row>
    <row r="301">
      <c r="A301" s="7" t="s">
        <v>2048</v>
      </c>
      <c r="B301" s="5" t="s">
        <v>10019</v>
      </c>
      <c r="C301" s="5" t="s">
        <v>17921</v>
      </c>
      <c r="D301" s="5" t="str">
        <v>430702310349</v>
      </c>
      <c r="E301" s="0" t="e">
        <f>+7 (917) 2417844
+7 (8432) 22603
+7 (8432) 228401
+7 (8432) 228449
+7 (8432) 228450
+7 (84378) 41275</f>
        <v>#NAME?</v>
      </c>
      <c r="F301" s="5" t="s">
        <v>26189</v>
      </c>
      <c r="G301" s="5"/>
      <c r="H301" s="26">
        <v>10</v>
      </c>
      <c r="I301" s="5" t="s">
        <v>26190</v>
      </c>
      <c r="J301" s="5" t="s">
        <v>25231</v>
      </c>
      <c r="K301" s="5" t="s">
        <v>344</v>
      </c>
      <c r="L301" s="5" t="s">
        <v>26191</v>
      </c>
      <c r="M301" s="27"/>
      <c r="N301" s="5" t="s">
        <v>49563</v>
      </c>
      <c r="O301" s="5" t="str">
        <v>1660183627</v>
      </c>
      <c r="P301" s="27">
        <v>821892</v>
      </c>
      <c r="Q301" s="5" t="s">
        <v>49564</v>
      </c>
      <c r="R301" s="5"/>
      <c r="S301" s="5" t="s">
        <v>49160</v>
      </c>
      <c r="T301" s="28">
        <v>1197782000</v>
      </c>
      <c r="U301" s="28"/>
      <c r="V301" s="28">
        <v>669612000</v>
      </c>
      <c r="W301" s="28"/>
      <c r="X301" s="28">
        <v>9401000</v>
      </c>
      <c r="Y301" s="28">
        <v>2733278000</v>
      </c>
      <c r="Z301" s="28">
        <v>1188907000</v>
      </c>
      <c r="AA301" s="28">
        <v>185548000</v>
      </c>
      <c r="AB301" s="28">
        <v>936779000</v>
      </c>
      <c r="AC301" s="28">
        <v>1298801000</v>
      </c>
      <c r="AD301" s="28">
        <v>1189729000</v>
      </c>
      <c r="AE301" s="28">
        <v>5574942000</v>
      </c>
      <c r="AF301" s="28">
        <v>188727000</v>
      </c>
      <c r="AG301" s="11"/>
    </row>
    <row r="302">
      <c r="A302" s="7" t="s">
        <v>2049</v>
      </c>
      <c r="B302" s="5" t="s">
        <v>10020</v>
      </c>
      <c r="C302" s="5" t="s">
        <v>17922</v>
      </c>
      <c r="D302" s="5" t="str">
        <v>771584839668</v>
      </c>
      <c r="E302" s="0" t="e">
        <f>+7 (985) 7382972</f>
        <v>#NAME?</v>
      </c>
      <c r="F302" s="5" t="s">
        <v>26192</v>
      </c>
      <c r="G302" s="5"/>
      <c r="H302" s="26">
        <v>3.5</v>
      </c>
      <c r="I302" s="5" t="s">
        <v>26193</v>
      </c>
      <c r="J302" s="5" t="s">
        <v>1081</v>
      </c>
      <c r="K302" s="5" t="s">
        <v>344</v>
      </c>
      <c r="L302" s="5" t="s">
        <v>26194</v>
      </c>
      <c r="M302" s="27"/>
      <c r="N302" s="5"/>
      <c r="O302" s="5" t="str">
        <v>9705132362</v>
      </c>
      <c r="P302" s="27">
        <v>1000000</v>
      </c>
      <c r="Q302" s="5" t="s">
        <v>49207</v>
      </c>
      <c r="R302" s="5"/>
      <c r="S302" s="5" t="s">
        <v>49565</v>
      </c>
      <c r="T302" s="28">
        <v>13760000</v>
      </c>
      <c r="U302" s="28"/>
      <c r="V302" s="28">
        <v>2934709000</v>
      </c>
      <c r="W302" s="28"/>
      <c r="X302" s="28">
        <v>11387000</v>
      </c>
      <c r="Y302" s="28">
        <v>3020723000</v>
      </c>
      <c r="Z302" s="28">
        <v>31868000</v>
      </c>
      <c r="AA302" s="28"/>
      <c r="AB302" s="28">
        <v>600000</v>
      </c>
      <c r="AC302" s="28">
        <v>2988745000</v>
      </c>
      <c r="AD302" s="28">
        <v>31978000</v>
      </c>
      <c r="AE302" s="28">
        <v>6441116000</v>
      </c>
      <c r="AF302" s="28">
        <v>11687000</v>
      </c>
      <c r="AG302" s="11"/>
    </row>
    <row r="303">
      <c r="A303" s="7" t="s">
        <v>2050</v>
      </c>
      <c r="B303" s="5" t="s">
        <v>10021</v>
      </c>
      <c r="C303" s="5" t="s">
        <v>17923</v>
      </c>
      <c r="D303" s="5" t="str">
        <v>252692118429</v>
      </c>
      <c r="E303" s="0" t="e">
        <f>+7 (3952) 716101
+7 (499) 9633135
+7 (914) 9274454</f>
        <v>#NAME?</v>
      </c>
      <c r="F303" s="5" t="s">
        <v>26195</v>
      </c>
      <c r="G303" s="5" t="s">
        <v>26196</v>
      </c>
      <c r="H303" s="26">
        <v>8</v>
      </c>
      <c r="I303" s="5" t="s">
        <v>26197</v>
      </c>
      <c r="J303" s="5" t="s">
        <v>26198</v>
      </c>
      <c r="K303" s="5" t="s">
        <v>344</v>
      </c>
      <c r="L303" s="5" t="s">
        <v>26199</v>
      </c>
      <c r="M303" s="27">
        <v>3796365</v>
      </c>
      <c r="N303" s="5"/>
      <c r="O303" s="5" t="str">
        <v>3811029172</v>
      </c>
      <c r="P303" s="27">
        <v>20000</v>
      </c>
      <c r="Q303" s="5" t="s">
        <v>49134</v>
      </c>
      <c r="R303" s="5"/>
      <c r="S303" s="5" t="s">
        <v>49566</v>
      </c>
      <c r="T303" s="28">
        <v>231518000</v>
      </c>
      <c r="U303" s="28"/>
      <c r="V303" s="28">
        <v>818184000</v>
      </c>
      <c r="W303" s="28"/>
      <c r="X303" s="28">
        <v>850000</v>
      </c>
      <c r="Y303" s="28">
        <v>2736909000</v>
      </c>
      <c r="Z303" s="28">
        <v>1156668000</v>
      </c>
      <c r="AA303" s="28">
        <v>739160000</v>
      </c>
      <c r="AB303" s="28"/>
      <c r="AC303" s="28">
        <v>767085000</v>
      </c>
      <c r="AD303" s="28">
        <v>1156688000</v>
      </c>
      <c r="AE303" s="28">
        <v>4821606000</v>
      </c>
      <c r="AF303" s="28">
        <v>552911000</v>
      </c>
      <c r="AG303" s="11"/>
    </row>
    <row r="304">
      <c r="A304" s="7" t="s">
        <v>2051</v>
      </c>
      <c r="B304" s="5" t="s">
        <v>10022</v>
      </c>
      <c r="C304" s="5" t="s">
        <v>17924</v>
      </c>
      <c r="D304" s="5" t="str">
        <v>773169909937</v>
      </c>
      <c r="E304" s="0" t="e">
        <f>+7 (3843) 461709
+7 (905) 5031111</f>
        <v>#NAME?</v>
      </c>
      <c r="F304" s="5"/>
      <c r="G304" s="5"/>
      <c r="H304" s="26">
        <v>13.5</v>
      </c>
      <c r="I304" s="5" t="s">
        <v>26200</v>
      </c>
      <c r="J304" s="5" t="s">
        <v>25337</v>
      </c>
      <c r="K304" s="5" t="s">
        <v>344</v>
      </c>
      <c r="L304" s="5" t="s">
        <v>26201</v>
      </c>
      <c r="M304" s="27"/>
      <c r="N304" s="5"/>
      <c r="O304" s="5" t="str">
        <v>4217119633</v>
      </c>
      <c r="P304" s="27">
        <v>12500</v>
      </c>
      <c r="Q304" s="5" t="s">
        <v>49567</v>
      </c>
      <c r="R304" s="5"/>
      <c r="S304" s="5" t="s">
        <v>49496</v>
      </c>
      <c r="T304" s="28">
        <v>47311000</v>
      </c>
      <c r="U304" s="28"/>
      <c r="V304" s="28">
        <v>444839000</v>
      </c>
      <c r="W304" s="28">
        <v>126046000</v>
      </c>
      <c r="X304" s="28">
        <v>35279000</v>
      </c>
      <c r="Y304" s="28">
        <v>872669000</v>
      </c>
      <c r="Z304" s="28">
        <v>220683000</v>
      </c>
      <c r="AA304" s="28"/>
      <c r="AB304" s="28">
        <v>30000</v>
      </c>
      <c r="AC304" s="28">
        <v>651934000</v>
      </c>
      <c r="AD304" s="28">
        <v>220696000</v>
      </c>
      <c r="AE304" s="28">
        <v>5071390000</v>
      </c>
      <c r="AF304" s="28">
        <v>99972000</v>
      </c>
      <c r="AG304" s="11"/>
    </row>
    <row r="305">
      <c r="A305" s="7" t="s">
        <v>2052</v>
      </c>
      <c r="B305" s="5" t="s">
        <v>10023</v>
      </c>
      <c r="C305" s="5" t="s">
        <v>17925</v>
      </c>
      <c r="D305" s="5" t="str">
        <v>503018418800</v>
      </c>
      <c r="E305" s="0" t="e">
        <f>+7 (384) 2347148
+7 (495) 5040791
+7 (384) 2346901</f>
        <v>#NAME?</v>
      </c>
      <c r="F305" s="5" t="s">
        <v>26202</v>
      </c>
      <c r="G305" s="5" t="s">
        <v>26203</v>
      </c>
      <c r="H305" s="26">
        <v>10</v>
      </c>
      <c r="I305" s="5" t="s">
        <v>26204</v>
      </c>
      <c r="J305" s="5" t="s">
        <v>25344</v>
      </c>
      <c r="K305" s="5" t="s">
        <v>344</v>
      </c>
      <c r="L305" s="5" t="s">
        <v>26205</v>
      </c>
      <c r="M305" s="27">
        <v>260590352</v>
      </c>
      <c r="N305" s="5"/>
      <c r="O305" s="5" t="str">
        <v>7751507816</v>
      </c>
      <c r="P305" s="27">
        <v>100000</v>
      </c>
      <c r="Q305" s="5" t="s">
        <v>49324</v>
      </c>
      <c r="R305" s="5"/>
      <c r="S305" s="5" t="s">
        <v>49569</v>
      </c>
      <c r="T305" s="28">
        <v>3605183000</v>
      </c>
      <c r="U305" s="28"/>
      <c r="V305" s="28">
        <v>4709078000</v>
      </c>
      <c r="W305" s="28">
        <v>89578000</v>
      </c>
      <c r="X305" s="28">
        <v>431805000</v>
      </c>
      <c r="Y305" s="28">
        <v>12994067000</v>
      </c>
      <c r="Z305" s="28">
        <v>3557010000</v>
      </c>
      <c r="AA305" s="28">
        <v>1600000000</v>
      </c>
      <c r="AB305" s="28">
        <v>1342506000</v>
      </c>
      <c r="AC305" s="28">
        <v>6132613000</v>
      </c>
      <c r="AD305" s="28">
        <v>3557110000</v>
      </c>
      <c r="AE305" s="28">
        <v>22655344000</v>
      </c>
      <c r="AF305" s="28">
        <v>2371721000</v>
      </c>
      <c r="AG305" s="11"/>
    </row>
    <row r="306">
      <c r="A306" s="7" t="s">
        <v>2053</v>
      </c>
      <c r="B306" s="5" t="s">
        <v>10024</v>
      </c>
      <c r="C306" s="5" t="s">
        <v>17926</v>
      </c>
      <c r="D306" s="5" t="str">
        <v>772738208353</v>
      </c>
      <c r="E306" s="0" t="e">
        <f>+7 (495) 6455660</f>
        <v>#NAME?</v>
      </c>
      <c r="F306" s="5"/>
      <c r="G306" s="5"/>
      <c r="H306" s="26">
        <v>13.5</v>
      </c>
      <c r="I306" s="5" t="s">
        <v>26206</v>
      </c>
      <c r="J306" s="5" t="s">
        <v>25262</v>
      </c>
      <c r="K306" s="5" t="s">
        <v>344</v>
      </c>
      <c r="L306" s="5" t="s">
        <v>26207</v>
      </c>
      <c r="M306" s="27"/>
      <c r="N306" s="5"/>
      <c r="O306" s="5" t="str">
        <v>7728703749</v>
      </c>
      <c r="P306" s="27">
        <v>150000</v>
      </c>
      <c r="Q306" s="5" t="s">
        <v>49057</v>
      </c>
      <c r="R306" s="5"/>
      <c r="S306" s="5" t="s">
        <v>49570</v>
      </c>
      <c r="T306" s="28">
        <v>2718000</v>
      </c>
      <c r="U306" s="28"/>
      <c r="V306" s="28">
        <v>243501000</v>
      </c>
      <c r="W306" s="28"/>
      <c r="X306" s="28">
        <v>24855000</v>
      </c>
      <c r="Y306" s="28">
        <v>296731000</v>
      </c>
      <c r="Z306" s="28">
        <v>150653000</v>
      </c>
      <c r="AA306" s="28"/>
      <c r="AB306" s="28"/>
      <c r="AC306" s="28">
        <v>145921000</v>
      </c>
      <c r="AD306" s="28">
        <v>150803000</v>
      </c>
      <c r="AE306" s="28">
        <v>6028720000</v>
      </c>
      <c r="AF306" s="28">
        <v>150653000</v>
      </c>
      <c r="AG306" s="11"/>
    </row>
    <row r="307">
      <c r="A307" s="7" t="s">
        <v>2054</v>
      </c>
      <c r="B307" s="5" t="s">
        <v>10025</v>
      </c>
      <c r="C307" s="5" t="s">
        <v>17925</v>
      </c>
      <c r="D307" s="5" t="str">
        <v>503018418800</v>
      </c>
      <c r="E307" s="0" t="e">
        <f>+7 (34341) 31015
+7 (413) 2221001
+7 (413) 2221003
+7 (416) 2390946
+7 (4725) 449497
+7 (49234) 60770
+7 (49234) 60864
+7 (495) 5029174
+7 (495) 5040790
+7 (495) 5040791
+7 (495) 7488179
+7 (84699) 38057</f>
        <v>#NAME?</v>
      </c>
      <c r="F307" s="5" t="s">
        <v>26208</v>
      </c>
      <c r="G307" s="5" t="s">
        <v>25343</v>
      </c>
      <c r="H307" s="26">
        <v>20.5</v>
      </c>
      <c r="I307" s="5"/>
      <c r="J307" s="5" t="s">
        <v>25512</v>
      </c>
      <c r="K307" s="5" t="s">
        <v>344</v>
      </c>
      <c r="L307" s="5" t="s">
        <v>26209</v>
      </c>
      <c r="M307" s="27">
        <v>5510061</v>
      </c>
      <c r="N307" s="5" t="s">
        <v>49571</v>
      </c>
      <c r="O307" s="5" t="str">
        <v>7727218041</v>
      </c>
      <c r="P307" s="27">
        <v>100000</v>
      </c>
      <c r="Q307" s="5" t="s">
        <v>49572</v>
      </c>
      <c r="R307" s="5"/>
      <c r="S307" s="5" t="s">
        <v>49573</v>
      </c>
      <c r="T307" s="28">
        <v>287607000</v>
      </c>
      <c r="U307" s="28">
        <v>55000</v>
      </c>
      <c r="V307" s="28">
        <v>6257923000</v>
      </c>
      <c r="W307" s="28">
        <v>199160000</v>
      </c>
      <c r="X307" s="28">
        <v>136274000</v>
      </c>
      <c r="Y307" s="28">
        <v>11205385000</v>
      </c>
      <c r="Z307" s="28">
        <v>2162651000</v>
      </c>
      <c r="AA307" s="28">
        <v>2773309000</v>
      </c>
      <c r="AB307" s="28">
        <v>3072894000</v>
      </c>
      <c r="AC307" s="28">
        <v>6139643000</v>
      </c>
      <c r="AD307" s="28">
        <v>2162756000</v>
      </c>
      <c r="AE307" s="28">
        <v>14756430000</v>
      </c>
      <c r="AF307" s="28">
        <v>566315000</v>
      </c>
      <c r="AG307" s="11"/>
    </row>
    <row r="308">
      <c r="A308" s="7" t="s">
        <v>2055</v>
      </c>
      <c r="B308" s="5" t="s">
        <v>10026</v>
      </c>
      <c r="C308" s="5" t="s">
        <v>17927</v>
      </c>
      <c r="D308" s="5" t="str">
        <v>591904682977</v>
      </c>
      <c r="E308" s="0" t="e">
        <f>+7 (342) 4298750
+7 (3422) 60817
+7 (34242) 92545
+7 (34242) 92546
+7 (34242) 98758
+7 (495) 9883330
+7 (984) 2704126</f>
        <v>#NAME?</v>
      </c>
      <c r="F308" s="5" t="s">
        <v>26210</v>
      </c>
      <c r="G308" s="5" t="s">
        <v>26211</v>
      </c>
      <c r="H308" s="26">
        <v>15</v>
      </c>
      <c r="I308" s="5" t="s">
        <v>26212</v>
      </c>
      <c r="J308" s="5" t="s">
        <v>26213</v>
      </c>
      <c r="K308" s="5" t="s">
        <v>344</v>
      </c>
      <c r="L308" s="5" t="s">
        <v>26214</v>
      </c>
      <c r="M308" s="27"/>
      <c r="N308" s="5" t="s">
        <v>49574</v>
      </c>
      <c r="O308" s="5" t="str">
        <v>5911055740</v>
      </c>
      <c r="P308" s="27">
        <v>10000</v>
      </c>
      <c r="Q308" s="5" t="s">
        <v>49009</v>
      </c>
      <c r="R308" s="5"/>
      <c r="S308" s="5" t="s">
        <v>49010</v>
      </c>
      <c r="T308" s="28">
        <v>691103000</v>
      </c>
      <c r="U308" s="28"/>
      <c r="V308" s="28">
        <v>658108000</v>
      </c>
      <c r="W308" s="28"/>
      <c r="X308" s="28">
        <v>18758000</v>
      </c>
      <c r="Y308" s="28">
        <v>2728541000</v>
      </c>
      <c r="Z308" s="28">
        <v>1505890000</v>
      </c>
      <c r="AA308" s="28"/>
      <c r="AB308" s="28">
        <v>415664000</v>
      </c>
      <c r="AC308" s="28">
        <v>1173624000</v>
      </c>
      <c r="AD308" s="28">
        <v>1505900000</v>
      </c>
      <c r="AE308" s="28">
        <v>4719497000</v>
      </c>
      <c r="AF308" s="28">
        <v>671661000</v>
      </c>
      <c r="AG308" s="11"/>
    </row>
    <row r="309">
      <c r="A309" s="7" t="s">
        <v>2056</v>
      </c>
      <c r="B309" s="5" t="s">
        <v>10027</v>
      </c>
      <c r="C309" s="5" t="s">
        <v>17928</v>
      </c>
      <c r="D309" s="5" t="str">
        <v>770904335572</v>
      </c>
      <c r="E309" s="0" t="e">
        <f>+7 (86342) 56570
+7 (918) 5204330
+7 (499) 5501610
+7 (86342) 56216</f>
        <v>#NAME?</v>
      </c>
      <c r="F309" s="5" t="s">
        <v>26215</v>
      </c>
      <c r="G309" s="5" t="s">
        <v>26216</v>
      </c>
      <c r="H309" s="26">
        <v>3.5</v>
      </c>
      <c r="I309" s="5" t="s">
        <v>26217</v>
      </c>
      <c r="J309" s="5" t="s">
        <v>25850</v>
      </c>
      <c r="K309" s="5" t="s">
        <v>344</v>
      </c>
      <c r="L309" s="5" t="s">
        <v>26218</v>
      </c>
      <c r="M309" s="27"/>
      <c r="N309" s="5"/>
      <c r="O309" s="5" t="str">
        <v>7734428522</v>
      </c>
      <c r="P309" s="27">
        <v>259433238</v>
      </c>
      <c r="Q309" s="5"/>
      <c r="R309" s="5"/>
      <c r="S309" s="5" t="s">
        <v>49029</v>
      </c>
      <c r="T309" s="28">
        <v>969410000</v>
      </c>
      <c r="U309" s="28"/>
      <c r="V309" s="28">
        <v>554738000</v>
      </c>
      <c r="W309" s="28"/>
      <c r="X309" s="28">
        <v>585914000</v>
      </c>
      <c r="Y309" s="28">
        <v>2542504000</v>
      </c>
      <c r="Z309" s="28">
        <v>834135000</v>
      </c>
      <c r="AA309" s="28">
        <v>475988000</v>
      </c>
      <c r="AB309" s="28"/>
      <c r="AC309" s="28">
        <v>919273000</v>
      </c>
      <c r="AD309" s="28">
        <v>1093568000</v>
      </c>
      <c r="AE309" s="28">
        <v>13435300000</v>
      </c>
      <c r="AF309" s="28">
        <v>361504000</v>
      </c>
      <c r="AG309" s="11"/>
    </row>
    <row r="310">
      <c r="A310" s="7" t="s">
        <v>2057</v>
      </c>
      <c r="B310" s="5" t="s">
        <v>10028</v>
      </c>
      <c r="C310" s="5" t="s">
        <v>17929</v>
      </c>
      <c r="D310" s="5" t="str">
        <v>246006415035</v>
      </c>
      <c r="E310" s="0" t="e">
        <f>+7 (391) 2302671
+7 (495) 3745514
+7 (495) 9090282
+7 (495) 9098242
+7 (915) 2365634
+7 (918) 5548231</f>
        <v>#NAME?</v>
      </c>
      <c r="F310" s="5" t="s">
        <v>26219</v>
      </c>
      <c r="G310" s="5" t="s">
        <v>26220</v>
      </c>
      <c r="H310" s="26">
        <v>27</v>
      </c>
      <c r="I310" s="5" t="s">
        <v>26221</v>
      </c>
      <c r="J310" s="5" t="s">
        <v>25454</v>
      </c>
      <c r="K310" s="5" t="s">
        <v>355</v>
      </c>
      <c r="L310" s="5"/>
      <c r="M310" s="27"/>
      <c r="N310" s="5" t="s">
        <v>49181</v>
      </c>
      <c r="O310" s="5" t="str">
        <v>2459007621</v>
      </c>
      <c r="P310" s="27">
        <v>2725000</v>
      </c>
      <c r="Q310" s="5" t="s">
        <v>49575</v>
      </c>
      <c r="R310" s="5"/>
      <c r="S310" s="5" t="s">
        <v>49358</v>
      </c>
      <c r="T310" s="28">
        <v>5667304000</v>
      </c>
      <c r="U310" s="28">
        <v>5251000</v>
      </c>
      <c r="V310" s="28">
        <v>10751871000</v>
      </c>
      <c r="W310" s="28"/>
      <c r="X310" s="28">
        <v>4194914000</v>
      </c>
      <c r="Y310" s="28">
        <v>24013082000</v>
      </c>
      <c r="Z310" s="28">
        <v>639453000</v>
      </c>
      <c r="AA310" s="28"/>
      <c r="AB310" s="28"/>
      <c r="AC310" s="28">
        <v>17175076000</v>
      </c>
      <c r="AD310" s="28">
        <v>731722000</v>
      </c>
      <c r="AE310" s="28">
        <v>31880487000</v>
      </c>
      <c r="AF310" s="28">
        <v>934897000</v>
      </c>
      <c r="AG310" s="11"/>
    </row>
    <row r="311">
      <c r="A311" s="7" t="s">
        <v>2058</v>
      </c>
      <c r="B311" s="5" t="s">
        <v>10029</v>
      </c>
      <c r="C311" s="5" t="s">
        <v>17930</v>
      </c>
      <c r="D311" s="5" t="str">
        <v>781610527600</v>
      </c>
      <c r="E311" s="0" t="e">
        <f>+7 (812) 3881475
+7 (812) 3883340
+7 (812) 3887291
+7 (812) 3887617
+7 (812) 3887753
+7 (812) 3888072
+7 (812) 3888091
+7 (812) 3888136
+7 (812) 3888169
+7 (812) 3888242
+7 (812) 3888253
+7 (812) 3889058</f>
        <v>#NAME?</v>
      </c>
      <c r="F311" s="5" t="s">
        <v>26222</v>
      </c>
      <c r="G311" s="5" t="s">
        <v>26223</v>
      </c>
      <c r="H311" s="26">
        <v>31</v>
      </c>
      <c r="I311" s="5"/>
      <c r="J311" s="5" t="s">
        <v>26224</v>
      </c>
      <c r="K311" s="5" t="s">
        <v>344</v>
      </c>
      <c r="L311" s="5" t="s">
        <v>26225</v>
      </c>
      <c r="M311" s="27">
        <v>3333704</v>
      </c>
      <c r="N311" s="5"/>
      <c r="O311" s="5" t="str">
        <v>7830001596</v>
      </c>
      <c r="P311" s="27">
        <v>69000</v>
      </c>
      <c r="Q311" s="5" t="s">
        <v>49009</v>
      </c>
      <c r="R311" s="5"/>
      <c r="S311" s="5" t="s">
        <v>49576</v>
      </c>
      <c r="T311" s="28">
        <v>1056277000</v>
      </c>
      <c r="U311" s="28">
        <v>2377000</v>
      </c>
      <c r="V311" s="28">
        <v>1226037000</v>
      </c>
      <c r="W311" s="28">
        <v>1800000000</v>
      </c>
      <c r="X311" s="28">
        <v>4779325000</v>
      </c>
      <c r="Y311" s="28">
        <v>10029447000</v>
      </c>
      <c r="Z311" s="28">
        <v>9576341000</v>
      </c>
      <c r="AA311" s="28"/>
      <c r="AB311" s="28"/>
      <c r="AC311" s="28">
        <v>325626000</v>
      </c>
      <c r="AD311" s="28">
        <v>9685790000</v>
      </c>
      <c r="AE311" s="28">
        <v>5693147000</v>
      </c>
      <c r="AF311" s="28">
        <v>1537836000</v>
      </c>
      <c r="AG311" s="11"/>
    </row>
    <row r="312">
      <c r="A312" s="7" t="s">
        <v>2059</v>
      </c>
      <c r="B312" s="5" t="s">
        <v>10030</v>
      </c>
      <c r="C312" s="5" t="s">
        <v>17931</v>
      </c>
      <c r="D312" s="5" t="str">
        <v>500305753436</v>
      </c>
      <c r="E312" s="0" t="e">
        <f>+7 (4232) 513711
+7 (495) 5892480
+7 (495) 5892482</f>
        <v>#NAME?</v>
      </c>
      <c r="F312" s="5" t="s">
        <v>26226</v>
      </c>
      <c r="G312" s="5" t="s">
        <v>26227</v>
      </c>
      <c r="H312" s="26">
        <v>12</v>
      </c>
      <c r="I312" s="5" t="s">
        <v>26228</v>
      </c>
      <c r="J312" s="5" t="s">
        <v>26229</v>
      </c>
      <c r="K312" s="5" t="s">
        <v>355</v>
      </c>
      <c r="L312" s="5" t="s">
        <v>26230</v>
      </c>
      <c r="M312" s="27"/>
      <c r="N312" s="5"/>
      <c r="O312" s="5" t="str">
        <v>7743816842</v>
      </c>
      <c r="P312" s="27">
        <v>1500000000</v>
      </c>
      <c r="Q312" s="5"/>
      <c r="R312" s="5"/>
      <c r="S312" s="5" t="s">
        <v>49132</v>
      </c>
      <c r="T312" s="28">
        <v>1308268000</v>
      </c>
      <c r="U312" s="28"/>
      <c r="V312" s="28">
        <v>90662000</v>
      </c>
      <c r="W312" s="28"/>
      <c r="X312" s="28">
        <v>1493074000</v>
      </c>
      <c r="Y312" s="28">
        <v>3017377000</v>
      </c>
      <c r="Z312" s="28">
        <v>1199179000</v>
      </c>
      <c r="AA312" s="28"/>
      <c r="AB312" s="28"/>
      <c r="AC312" s="28">
        <v>305378000</v>
      </c>
      <c r="AD312" s="28">
        <v>2699179000</v>
      </c>
      <c r="AE312" s="28">
        <v>9729208000</v>
      </c>
      <c r="AF312" s="28">
        <v>13423000</v>
      </c>
      <c r="AG312" s="11"/>
    </row>
    <row r="313">
      <c r="A313" s="7" t="s">
        <v>2060</v>
      </c>
      <c r="B313" s="5" t="s">
        <v>10031</v>
      </c>
      <c r="C313" s="5" t="s">
        <v>17932</v>
      </c>
      <c r="D313" s="5" t="str">
        <v>772883491437</v>
      </c>
      <c r="F313" s="5" t="s">
        <v>26231</v>
      </c>
      <c r="G313" s="5"/>
      <c r="H313" s="26">
        <v>10</v>
      </c>
      <c r="I313" s="5" t="s">
        <v>26232</v>
      </c>
      <c r="J313" s="5" t="s">
        <v>785</v>
      </c>
      <c r="K313" s="5" t="s">
        <v>344</v>
      </c>
      <c r="L313" s="5" t="s">
        <v>26233</v>
      </c>
      <c r="M313" s="27"/>
      <c r="N313" s="5" t="s">
        <v>49577</v>
      </c>
      <c r="O313" s="5" t="str">
        <v>7709921950</v>
      </c>
      <c r="P313" s="27">
        <v>8000000</v>
      </c>
      <c r="Q313" s="5"/>
      <c r="R313" s="5"/>
      <c r="S313" s="5" t="s">
        <v>49110</v>
      </c>
      <c r="T313" s="28">
        <v>51096000</v>
      </c>
      <c r="U313" s="28"/>
      <c r="V313" s="28">
        <v>5404437000</v>
      </c>
      <c r="W313" s="28"/>
      <c r="X313" s="28">
        <v>2406485000</v>
      </c>
      <c r="Y313" s="28">
        <v>7947022000</v>
      </c>
      <c r="Z313" s="28">
        <v>1743079000</v>
      </c>
      <c r="AA313" s="28"/>
      <c r="AB313" s="28"/>
      <c r="AC313" s="28">
        <v>6017457000</v>
      </c>
      <c r="AD313" s="28">
        <v>1751080000</v>
      </c>
      <c r="AE313" s="28">
        <v>5824265000</v>
      </c>
      <c r="AF313" s="28">
        <v>319882000</v>
      </c>
      <c r="AG313" s="11"/>
    </row>
    <row r="314">
      <c r="A314" s="7" t="s">
        <v>2061</v>
      </c>
      <c r="B314" s="5" t="s">
        <v>10032</v>
      </c>
      <c r="C314" s="5" t="s">
        <v>17933</v>
      </c>
      <c r="D314" s="5" t="str">
        <v>504905491275</v>
      </c>
      <c r="E314" s="0" t="e">
        <f>+7 (499) 7490052
+7 (345) 2496333
+7 (346) 2770018
+7 (3466) 492372
+7 (381) 2379341
+7 (391) 2911699
+7 (3952) 266214
+7 (3952) 999503
+7 (421) 2758157
+7 (421) 2758158
+7 (495) 4366846
+7 (495) 6428780
+7 (495) 6442022
+7 (812) 2446055
+7 (812) 3273704</f>
        <v>#NAME?</v>
      </c>
      <c r="F314" s="5"/>
      <c r="G314" s="5" t="s">
        <v>26234</v>
      </c>
      <c r="H314" s="26">
        <v>14</v>
      </c>
      <c r="I314" s="5" t="s">
        <v>26235</v>
      </c>
      <c r="J314" s="5" t="s">
        <v>25470</v>
      </c>
      <c r="K314" s="5" t="s">
        <v>380</v>
      </c>
      <c r="L314" s="5"/>
      <c r="M314" s="27">
        <v>383000</v>
      </c>
      <c r="N314" s="5" t="s">
        <v>49578</v>
      </c>
      <c r="O314" s="5" t="str">
        <v>7728695093</v>
      </c>
      <c r="P314" s="27">
        <v>1940400</v>
      </c>
      <c r="Q314" s="5" t="s">
        <v>49579</v>
      </c>
      <c r="R314" s="5"/>
      <c r="S314" s="5" t="s">
        <v>49580</v>
      </c>
      <c r="T314" s="28">
        <v>5750938000</v>
      </c>
      <c r="U314" s="28"/>
      <c r="V314" s="28">
        <v>3863243000</v>
      </c>
      <c r="W314" s="28">
        <v>77000000</v>
      </c>
      <c r="X314" s="28">
        <v>689730000</v>
      </c>
      <c r="Y314" s="28">
        <v>14395799000</v>
      </c>
      <c r="Z314" s="28">
        <v>-2529482000</v>
      </c>
      <c r="AA314" s="28">
        <v>30400000</v>
      </c>
      <c r="AB314" s="28"/>
      <c r="AC314" s="28">
        <v>7906426000</v>
      </c>
      <c r="AD314" s="28">
        <v>-1475232000</v>
      </c>
      <c r="AE314" s="28">
        <v>9520607000</v>
      </c>
      <c r="AF314" s="28">
        <v>-687724000</v>
      </c>
      <c r="AG314" s="11"/>
    </row>
    <row r="315">
      <c r="A315" s="7" t="s">
        <v>2062</v>
      </c>
      <c r="B315" s="5" t="s">
        <v>10033</v>
      </c>
      <c r="C315" s="5" t="s">
        <v>17934</v>
      </c>
      <c r="D315" s="5" t="str">
        <v>070111629208</v>
      </c>
      <c r="E315" s="0" t="e">
        <f>+7 (495) 9612900
+7 (474) 2270674
+7 (474) 2424422
+7 (474) 2424467
+7 (474) 2424669
+7 (474) 2424841
+7 (495) 7877222
+7 (495) 9379735
+7 (495) 9612919
+7 (800) 1005731</f>
        <v>#NAME?</v>
      </c>
      <c r="F315" s="5" t="s">
        <v>26236</v>
      </c>
      <c r="G315" s="5" t="s">
        <v>26237</v>
      </c>
      <c r="H315" s="26">
        <v>13.5</v>
      </c>
      <c r="I315" s="5" t="s">
        <v>26238</v>
      </c>
      <c r="J315" s="5" t="s">
        <v>25530</v>
      </c>
      <c r="K315" s="5" t="s">
        <v>344</v>
      </c>
      <c r="L315" s="5" t="s">
        <v>26239</v>
      </c>
      <c r="M315" s="27">
        <v>1731725</v>
      </c>
      <c r="N315" s="5"/>
      <c r="O315" s="5" t="str">
        <v>7717654289</v>
      </c>
      <c r="P315" s="27">
        <v>4340000</v>
      </c>
      <c r="Q315" s="5" t="s">
        <v>49207</v>
      </c>
      <c r="R315" s="5"/>
      <c r="S315" s="5" t="s">
        <v>49311</v>
      </c>
      <c r="T315" s="28">
        <v>95694000</v>
      </c>
      <c r="U315" s="28">
        <v>11434000</v>
      </c>
      <c r="V315" s="28">
        <v>4127613000</v>
      </c>
      <c r="W315" s="28"/>
      <c r="X315" s="28">
        <v>5566691000</v>
      </c>
      <c r="Y315" s="28">
        <v>12044853000</v>
      </c>
      <c r="Z315" s="28">
        <v>6468605000</v>
      </c>
      <c r="AA315" s="28"/>
      <c r="AB315" s="28"/>
      <c r="AC315" s="28">
        <v>5560722000</v>
      </c>
      <c r="AD315" s="28">
        <v>6472945000</v>
      </c>
      <c r="AE315" s="28">
        <v>17964737000</v>
      </c>
      <c r="AF315" s="28">
        <v>457677000</v>
      </c>
      <c r="AG315" s="11"/>
    </row>
    <row r="316">
      <c r="A316" s="7" t="s">
        <v>2063</v>
      </c>
      <c r="B316" s="5" t="s">
        <v>10034</v>
      </c>
      <c r="C316" s="5" t="s">
        <v>17934</v>
      </c>
      <c r="D316" s="5" t="str">
        <v>070111629208</v>
      </c>
      <c r="E316" s="0" t="e">
        <f>+7 (474) 2424408
+7 (474) 2424422
+7 (474) 2424688
+7 (474) 2424802
+7 (474) 2424704
+7 (474) 2424159
+7 (474) 2424161
+7 (474) 2424187
+7 (474) 2424250
+7 (474) 2424405
+7 (474) 2424566
+7 (474) 2424871
+7 (474) 2424967
+7 (800) 3506058</f>
        <v>#NAME?</v>
      </c>
      <c r="F316" s="5" t="s">
        <v>26240</v>
      </c>
      <c r="G316" s="5" t="s">
        <v>26241</v>
      </c>
      <c r="H316" s="26">
        <v>28</v>
      </c>
      <c r="I316" s="5" t="s">
        <v>26242</v>
      </c>
      <c r="J316" s="5" t="s">
        <v>26243</v>
      </c>
      <c r="K316" s="5" t="s">
        <v>344</v>
      </c>
      <c r="L316" s="5"/>
      <c r="M316" s="27"/>
      <c r="N316" s="5"/>
      <c r="O316" s="5" t="str">
        <v>4823005682</v>
      </c>
      <c r="P316" s="27">
        <v>1664165000</v>
      </c>
      <c r="Q316" s="5" t="s">
        <v>49009</v>
      </c>
      <c r="R316" s="5"/>
      <c r="S316" s="5" t="s">
        <v>49581</v>
      </c>
      <c r="T316" s="28">
        <v>5806473000</v>
      </c>
      <c r="U316" s="28">
        <v>116000</v>
      </c>
      <c r="V316" s="28">
        <v>3457477000</v>
      </c>
      <c r="W316" s="28"/>
      <c r="X316" s="28">
        <v>83608000</v>
      </c>
      <c r="Y316" s="28">
        <v>12790480000</v>
      </c>
      <c r="Z316" s="28">
        <v>4128616000</v>
      </c>
      <c r="AA316" s="28"/>
      <c r="AB316" s="28"/>
      <c r="AC316" s="28">
        <v>2703542000</v>
      </c>
      <c r="AD316" s="28">
        <v>9697250000</v>
      </c>
      <c r="AE316" s="28">
        <v>11274554000</v>
      </c>
      <c r="AF316" s="28">
        <v>-295663000</v>
      </c>
      <c r="AG316" s="11"/>
    </row>
    <row r="317">
      <c r="A317" s="7" t="s">
        <v>2064</v>
      </c>
      <c r="B317" s="5" t="s">
        <v>10035</v>
      </c>
      <c r="C317" s="5" t="s">
        <v>17935</v>
      </c>
      <c r="D317" s="5" t="str">
        <v>422903376900</v>
      </c>
      <c r="E317" s="0" t="e">
        <f>+7 (905) 9059041
+7 (384) 2680081
+7 (384) 2680680
+7 (906) 9750000</f>
        <v>#NAME?</v>
      </c>
      <c r="F317" s="5" t="s">
        <v>26244</v>
      </c>
      <c r="G317" s="5" t="s">
        <v>26245</v>
      </c>
      <c r="H317" s="26">
        <v>24</v>
      </c>
      <c r="I317" s="5" t="s">
        <v>26246</v>
      </c>
      <c r="J317" s="5" t="s">
        <v>389</v>
      </c>
      <c r="K317" s="5" t="s">
        <v>355</v>
      </c>
      <c r="L317" s="5" t="s">
        <v>26247</v>
      </c>
      <c r="M317" s="27">
        <v>705900</v>
      </c>
      <c r="N317" s="5" t="s">
        <v>49582</v>
      </c>
      <c r="O317" s="5" t="str">
        <v>4207055973</v>
      </c>
      <c r="P317" s="27">
        <v>30000</v>
      </c>
      <c r="Q317" s="5" t="s">
        <v>49009</v>
      </c>
      <c r="R317" s="5"/>
      <c r="S317" s="5" t="s">
        <v>49583</v>
      </c>
      <c r="T317" s="28">
        <v>920945000</v>
      </c>
      <c r="U317" s="28">
        <v>147000</v>
      </c>
      <c r="V317" s="28">
        <v>98076000</v>
      </c>
      <c r="W317" s="28"/>
      <c r="X317" s="28">
        <v>14118000</v>
      </c>
      <c r="Y317" s="28">
        <v>1898380000</v>
      </c>
      <c r="Z317" s="28">
        <v>576308000</v>
      </c>
      <c r="AA317" s="28">
        <v>80000000</v>
      </c>
      <c r="AB317" s="28">
        <v>834395000</v>
      </c>
      <c r="AC317" s="28">
        <v>1013354000</v>
      </c>
      <c r="AD317" s="28">
        <v>577094000</v>
      </c>
      <c r="AE317" s="28">
        <v>5946709000</v>
      </c>
      <c r="AF317" s="28">
        <v>24630000</v>
      </c>
      <c r="AG317" s="11"/>
    </row>
    <row r="318">
      <c r="A318" s="7" t="s">
        <v>2065</v>
      </c>
      <c r="B318" s="5" t="s">
        <v>10036</v>
      </c>
      <c r="C318" s="5" t="s">
        <v>17936</v>
      </c>
      <c r="D318" s="5" t="str">
        <v>165037613839</v>
      </c>
      <c r="E318" s="0" t="e">
        <f>+7 (919) 6356685
+7 (800) 2010016
+7 (800) 5059974
+7 (8555) 398646
+7 (8555) 420017
+7 (8555) 439874
+7 (917) 3900974</f>
        <v>#NAME?</v>
      </c>
      <c r="F318" s="5" t="s">
        <v>26248</v>
      </c>
      <c r="G318" s="5" t="s">
        <v>26249</v>
      </c>
      <c r="H318" s="26">
        <v>13.5</v>
      </c>
      <c r="I318" s="5" t="s">
        <v>26250</v>
      </c>
      <c r="J318" s="5" t="s">
        <v>26251</v>
      </c>
      <c r="K318" s="5" t="s">
        <v>344</v>
      </c>
      <c r="L318" s="5" t="s">
        <v>26252</v>
      </c>
      <c r="M318" s="27"/>
      <c r="N318" s="5" t="s">
        <v>49584</v>
      </c>
      <c r="O318" s="5" t="str">
        <v>1651057721</v>
      </c>
      <c r="P318" s="27">
        <v>40000000</v>
      </c>
      <c r="Q318" s="5" t="s">
        <v>49585</v>
      </c>
      <c r="R318" s="5"/>
      <c r="S318" s="5" t="s">
        <v>49586</v>
      </c>
      <c r="T318" s="28">
        <v>2926297000</v>
      </c>
      <c r="U318" s="28">
        <v>1000000</v>
      </c>
      <c r="V318" s="28">
        <v>837047000</v>
      </c>
      <c r="W318" s="28"/>
      <c r="X318" s="28">
        <v>164825000</v>
      </c>
      <c r="Y318" s="28">
        <v>5293037000</v>
      </c>
      <c r="Z318" s="28">
        <v>3045392000</v>
      </c>
      <c r="AA318" s="28"/>
      <c r="AB318" s="28">
        <v>299471000</v>
      </c>
      <c r="AC318" s="28">
        <v>1143629000</v>
      </c>
      <c r="AD318" s="28">
        <v>3614513000</v>
      </c>
      <c r="AE318" s="28">
        <v>9049015000</v>
      </c>
      <c r="AF318" s="28">
        <v>1541709000</v>
      </c>
      <c r="AG318" s="11"/>
    </row>
    <row r="319">
      <c r="A319" s="7" t="s">
        <v>2066</v>
      </c>
      <c r="B319" s="5" t="s">
        <v>10037</v>
      </c>
      <c r="C319" s="5" t="s">
        <v>17937</v>
      </c>
      <c r="D319" s="5" t="str">
        <v>502407078079</v>
      </c>
      <c r="E319" s="0" t="e">
        <f>+7 (495) 5316320
+7 (495) 7771029</f>
        <v>#NAME?</v>
      </c>
      <c r="F319" s="5" t="s">
        <v>26253</v>
      </c>
      <c r="G319" s="5" t="s">
        <v>26254</v>
      </c>
      <c r="H319" s="26">
        <v>26</v>
      </c>
      <c r="I319" s="5" t="s">
        <v>26255</v>
      </c>
      <c r="J319" s="5" t="s">
        <v>26256</v>
      </c>
      <c r="K319" s="5" t="s">
        <v>344</v>
      </c>
      <c r="L319" s="5"/>
      <c r="M319" s="27">
        <v>153280412</v>
      </c>
      <c r="N319" s="5" t="s">
        <v>49587</v>
      </c>
      <c r="O319" s="5" t="str">
        <v>7704160892</v>
      </c>
      <c r="P319" s="27">
        <v>135000000</v>
      </c>
      <c r="Q319" s="5" t="s">
        <v>49588</v>
      </c>
      <c r="R319" s="5"/>
      <c r="S319" s="5" t="s">
        <v>49589</v>
      </c>
      <c r="T319" s="28">
        <v>1471512000</v>
      </c>
      <c r="U319" s="28">
        <v>448175000</v>
      </c>
      <c r="V319" s="28">
        <v>4606797000</v>
      </c>
      <c r="W319" s="28">
        <v>1348048000</v>
      </c>
      <c r="X319" s="28">
        <v>3233226000</v>
      </c>
      <c r="Y319" s="28">
        <v>14174142000</v>
      </c>
      <c r="Z319" s="28">
        <v>5594999000</v>
      </c>
      <c r="AA319" s="28"/>
      <c r="AB319" s="28">
        <v>900000000</v>
      </c>
      <c r="AC319" s="28">
        <v>7819855000</v>
      </c>
      <c r="AD319" s="28">
        <v>5875249000</v>
      </c>
      <c r="AE319" s="28">
        <v>12949389000</v>
      </c>
      <c r="AF319" s="28">
        <v>3277663000</v>
      </c>
      <c r="AG319" s="11"/>
    </row>
    <row r="320">
      <c r="A320" s="7" t="s">
        <v>2067</v>
      </c>
      <c r="B320" s="5" t="s">
        <v>10038</v>
      </c>
      <c r="C320" s="5" t="s">
        <v>17938</v>
      </c>
      <c r="D320" s="5" t="str">
        <v>502202809585</v>
      </c>
      <c r="E320" s="0" t="e">
        <f>+7 (495) 2584785
+7 (495) 2587485
+7 (495) 6478853
+7 (495) 6478873</f>
        <v>#NAME?</v>
      </c>
      <c r="F320" s="5"/>
      <c r="G320" s="5"/>
      <c r="H320" s="26">
        <v>12.5</v>
      </c>
      <c r="I320" s="5" t="s">
        <v>26257</v>
      </c>
      <c r="J320" s="5" t="s">
        <v>25216</v>
      </c>
      <c r="K320" s="5" t="s">
        <v>344</v>
      </c>
      <c r="L320" s="5" t="s">
        <v>26258</v>
      </c>
      <c r="M320" s="27"/>
      <c r="N320" s="5"/>
      <c r="O320" s="5" t="str">
        <v>7706737783</v>
      </c>
      <c r="P320" s="27">
        <v>20010000</v>
      </c>
      <c r="Q320" s="5"/>
      <c r="R320" s="5"/>
      <c r="S320" s="5" t="s">
        <v>49053</v>
      </c>
      <c r="T320" s="28">
        <v>8000</v>
      </c>
      <c r="U320" s="28"/>
      <c r="V320" s="28">
        <v>5445111000</v>
      </c>
      <c r="W320" s="28"/>
      <c r="X320" s="28">
        <v>13342000</v>
      </c>
      <c r="Y320" s="28">
        <v>6033511000</v>
      </c>
      <c r="Z320" s="28">
        <v>1581076000</v>
      </c>
      <c r="AA320" s="28"/>
      <c r="AB320" s="28"/>
      <c r="AC320" s="28">
        <v>4392750000</v>
      </c>
      <c r="AD320" s="28">
        <v>1601086000</v>
      </c>
      <c r="AE320" s="28">
        <v>5633863000</v>
      </c>
      <c r="AF320" s="28">
        <v>830115000</v>
      </c>
      <c r="AG320" s="11"/>
    </row>
    <row r="321">
      <c r="A321" s="7" t="s">
        <v>2068</v>
      </c>
      <c r="B321" s="5" t="s">
        <v>10039</v>
      </c>
      <c r="C321" s="5" t="s">
        <v>17939</v>
      </c>
      <c r="D321" s="5" t="str">
        <v>781434422600</v>
      </c>
      <c r="E321" s="0" t="e">
        <f>+7 (812) 3297962
+7 (812) 5437635
+7 (812) 3297964
+7 (812) 3316648
+7 (812) 3850896
+7 (812) 6127023
+7 (812) 9317523
+7 (812) 9621555
+7 (911) 9798030
+7 (921) 6349171
+7 (931) 3437277</f>
        <v>#NAME?</v>
      </c>
      <c r="F321" s="5" t="s">
        <v>26259</v>
      </c>
      <c r="G321" s="5" t="s">
        <v>26260</v>
      </c>
      <c r="H321" s="26">
        <v>16</v>
      </c>
      <c r="I321" s="5" t="s">
        <v>26261</v>
      </c>
      <c r="J321" s="5" t="s">
        <v>25938</v>
      </c>
      <c r="K321" s="5" t="s">
        <v>344</v>
      </c>
      <c r="L321" s="5" t="s">
        <v>26262</v>
      </c>
      <c r="M321" s="27"/>
      <c r="N321" s="5"/>
      <c r="O321" s="5" t="str">
        <v>7816405237</v>
      </c>
      <c r="P321" s="27">
        <v>1000000</v>
      </c>
      <c r="Q321" s="5"/>
      <c r="R321" s="5"/>
      <c r="S321" s="5" t="s">
        <v>49029</v>
      </c>
      <c r="T321" s="28">
        <v>190260000</v>
      </c>
      <c r="U321" s="28"/>
      <c r="V321" s="28">
        <v>1366533000</v>
      </c>
      <c r="W321" s="28">
        <v>97902000</v>
      </c>
      <c r="X321" s="28">
        <v>97141000</v>
      </c>
      <c r="Y321" s="28">
        <v>2397350000</v>
      </c>
      <c r="Z321" s="28">
        <v>416949000</v>
      </c>
      <c r="AA321" s="28">
        <v>895400000</v>
      </c>
      <c r="AB321" s="28">
        <v>503407000</v>
      </c>
      <c r="AC321" s="28">
        <v>1084001000</v>
      </c>
      <c r="AD321" s="28">
        <v>417949000</v>
      </c>
      <c r="AE321" s="28">
        <v>12074250000</v>
      </c>
      <c r="AF321" s="28">
        <v>120029000</v>
      </c>
      <c r="AG321" s="11"/>
    </row>
    <row r="322">
      <c r="A322" s="7" t="s">
        <v>2069</v>
      </c>
      <c r="B322" s="5" t="s">
        <v>10040</v>
      </c>
      <c r="C322" s="5" t="s">
        <v>17940</v>
      </c>
      <c r="D322" s="5" t="str">
        <v>772776471877</v>
      </c>
      <c r="E322" s="0" t="e">
        <f>+7 (495) 2664515
+7 (495) 6426652
+7 (495) 6714697
+7 (495) 6714698</f>
        <v>#NAME?</v>
      </c>
      <c r="F322" s="5" t="s">
        <v>26263</v>
      </c>
      <c r="G322" s="5"/>
      <c r="H322" s="26">
        <v>22.5</v>
      </c>
      <c r="I322" s="5" t="s">
        <v>26264</v>
      </c>
      <c r="J322" s="5" t="s">
        <v>599</v>
      </c>
      <c r="K322" s="5" t="s">
        <v>344</v>
      </c>
      <c r="L322" s="5"/>
      <c r="M322" s="27"/>
      <c r="N322" s="5" t="s">
        <v>49590</v>
      </c>
      <c r="O322" s="5" t="str">
        <v>7727186921</v>
      </c>
      <c r="P322" s="27">
        <v>16400</v>
      </c>
      <c r="Q322" s="5" t="s">
        <v>49591</v>
      </c>
      <c r="R322" s="5"/>
      <c r="S322" s="5" t="s">
        <v>49496</v>
      </c>
      <c r="T322" s="28">
        <v>881000</v>
      </c>
      <c r="U322" s="28">
        <v>20000</v>
      </c>
      <c r="V322" s="28">
        <v>5679000</v>
      </c>
      <c r="W322" s="28"/>
      <c r="X322" s="28">
        <v>21417000</v>
      </c>
      <c r="Y322" s="28">
        <v>28087000</v>
      </c>
      <c r="Z322" s="28">
        <v>22206000</v>
      </c>
      <c r="AA322" s="28"/>
      <c r="AB322" s="28"/>
      <c r="AC322" s="28">
        <v>5863000</v>
      </c>
      <c r="AD322" s="28">
        <v>22224000</v>
      </c>
      <c r="AE322" s="28">
        <v>52308329000</v>
      </c>
      <c r="AF322" s="28">
        <v>7577567000</v>
      </c>
      <c r="AG322" s="11"/>
    </row>
    <row r="323">
      <c r="A323" s="7" t="s">
        <v>2070</v>
      </c>
      <c r="B323" s="5" t="s">
        <v>10041</v>
      </c>
      <c r="C323" s="5" t="s">
        <v>17941</v>
      </c>
      <c r="D323" s="5" t="str">
        <v>634001184593</v>
      </c>
      <c r="E323" s="0" t="e">
        <f>+7 (4862) 255030
+7 (4862) 255092
+7 (4862) 424502
+7 (911) 1385536</f>
        <v>#NAME?</v>
      </c>
      <c r="F323" s="5" t="s">
        <v>26265</v>
      </c>
      <c r="G323" s="5" t="s">
        <v>26266</v>
      </c>
      <c r="H323" s="26">
        <v>5.5</v>
      </c>
      <c r="I323" s="5" t="s">
        <v>26267</v>
      </c>
      <c r="J323" s="5" t="s">
        <v>26268</v>
      </c>
      <c r="K323" s="5" t="s">
        <v>344</v>
      </c>
      <c r="L323" s="5" t="s">
        <v>26269</v>
      </c>
      <c r="M323" s="27"/>
      <c r="N323" s="5"/>
      <c r="O323" s="5" t="str">
        <v>5752077190</v>
      </c>
      <c r="P323" s="27">
        <v>2256487300</v>
      </c>
      <c r="Q323" s="5" t="s">
        <v>49009</v>
      </c>
      <c r="R323" s="5"/>
      <c r="S323" s="5" t="s">
        <v>49066</v>
      </c>
      <c r="T323" s="28">
        <v>3851292000</v>
      </c>
      <c r="U323" s="28"/>
      <c r="V323" s="28">
        <v>1559254000</v>
      </c>
      <c r="W323" s="28"/>
      <c r="X323" s="28">
        <v>771000</v>
      </c>
      <c r="Y323" s="28">
        <v>6633986000</v>
      </c>
      <c r="Z323" s="28">
        <v>875019000</v>
      </c>
      <c r="AA323" s="28">
        <v>2500000000</v>
      </c>
      <c r="AB323" s="28">
        <v>662093000</v>
      </c>
      <c r="AC323" s="28">
        <v>990604000</v>
      </c>
      <c r="AD323" s="28">
        <v>3140806000</v>
      </c>
      <c r="AE323" s="28">
        <v>5282561000</v>
      </c>
      <c r="AF323" s="28">
        <v>516631000</v>
      </c>
      <c r="AG323" s="11"/>
    </row>
    <row r="324">
      <c r="A324" s="7" t="s">
        <v>2071</v>
      </c>
      <c r="B324" s="5" t="s">
        <v>10042</v>
      </c>
      <c r="C324" s="5" t="s">
        <v>17942</v>
      </c>
      <c r="D324" s="5" t="str">
        <v>773375665771</v>
      </c>
      <c r="E324" s="0" t="e">
        <f>+7 (499) 7501200
+7 (800) 6000979</f>
        <v>#NAME?</v>
      </c>
      <c r="F324" s="5" t="s">
        <v>26270</v>
      </c>
      <c r="G324" s="5"/>
      <c r="H324" s="26">
        <v>6</v>
      </c>
      <c r="I324" s="5" t="s">
        <v>26271</v>
      </c>
      <c r="J324" s="5" t="s">
        <v>26272</v>
      </c>
      <c r="K324" s="5" t="s">
        <v>344</v>
      </c>
      <c r="L324" s="5"/>
      <c r="M324" s="27">
        <v>904762</v>
      </c>
      <c r="N324" s="5"/>
      <c r="O324" s="5" t="str">
        <v>7730233723</v>
      </c>
      <c r="P324" s="27">
        <v>101010101</v>
      </c>
      <c r="Q324" s="5" t="s">
        <v>49009</v>
      </c>
      <c r="R324" s="5"/>
      <c r="S324" s="5" t="s">
        <v>49010</v>
      </c>
      <c r="T324" s="28">
        <v>17889000</v>
      </c>
      <c r="U324" s="28">
        <v>113000</v>
      </c>
      <c r="V324" s="28">
        <v>466385000</v>
      </c>
      <c r="W324" s="28">
        <v>7794836000</v>
      </c>
      <c r="X324" s="28">
        <v>169811000</v>
      </c>
      <c r="Y324" s="28">
        <v>9413856000</v>
      </c>
      <c r="Z324" s="28">
        <v>2262813000</v>
      </c>
      <c r="AA324" s="28">
        <v>2353197000</v>
      </c>
      <c r="AB324" s="28">
        <v>4360183000</v>
      </c>
      <c r="AC324" s="28">
        <v>4514152000</v>
      </c>
      <c r="AD324" s="28">
        <v>2362813000</v>
      </c>
      <c r="AE324" s="28">
        <v>3648241000</v>
      </c>
      <c r="AF324" s="28">
        <v>1329942000</v>
      </c>
      <c r="AG324" s="11"/>
    </row>
    <row r="325">
      <c r="A325" s="7" t="s">
        <v>2072</v>
      </c>
      <c r="B325" s="5" t="s">
        <v>10043</v>
      </c>
      <c r="C325" s="5" t="s">
        <v>17943</v>
      </c>
      <c r="D325" s="5" t="str">
        <v>780230664165</v>
      </c>
      <c r="E325" s="0" t="e">
        <f>+7 (812) 4269988
+7 (921) 7770268
+7 (800) 5553588
+7 (812) 4381678
+7 (812) 7770872</f>
        <v>#NAME?</v>
      </c>
      <c r="F325" s="5" t="s">
        <v>26273</v>
      </c>
      <c r="G325" s="5" t="s">
        <v>26274</v>
      </c>
      <c r="H325" s="26">
        <v>9</v>
      </c>
      <c r="I325" s="5" t="s">
        <v>26275</v>
      </c>
      <c r="J325" s="5" t="s">
        <v>26276</v>
      </c>
      <c r="K325" s="5" t="s">
        <v>344</v>
      </c>
      <c r="L325" s="5" t="s">
        <v>26277</v>
      </c>
      <c r="M325" s="27"/>
      <c r="N325" s="5" t="s">
        <v>49592</v>
      </c>
      <c r="O325" s="5" t="str">
        <v>7813577816</v>
      </c>
      <c r="P325" s="27">
        <v>29000000</v>
      </c>
      <c r="Q325" s="5" t="s">
        <v>49593</v>
      </c>
      <c r="R325" s="5"/>
      <c r="S325" s="5" t="s">
        <v>49594</v>
      </c>
      <c r="T325" s="28">
        <v>30358000</v>
      </c>
      <c r="U325" s="28">
        <v>12038000</v>
      </c>
      <c r="V325" s="28">
        <v>776426000</v>
      </c>
      <c r="W325" s="28"/>
      <c r="X325" s="28">
        <v>90680000</v>
      </c>
      <c r="Y325" s="28">
        <v>941936000</v>
      </c>
      <c r="Z325" s="28">
        <v>134257000</v>
      </c>
      <c r="AA325" s="28"/>
      <c r="AB325" s="28"/>
      <c r="AC325" s="28">
        <v>750988000</v>
      </c>
      <c r="AD325" s="28">
        <v>167257000</v>
      </c>
      <c r="AE325" s="28">
        <v>4390443000</v>
      </c>
      <c r="AF325" s="28">
        <v>147592000</v>
      </c>
      <c r="AG325" s="11"/>
    </row>
    <row r="326">
      <c r="A326" s="7" t="s">
        <v>2073</v>
      </c>
      <c r="B326" s="5" t="s">
        <v>10044</v>
      </c>
      <c r="C326" s="5" t="s">
        <v>17944</v>
      </c>
      <c r="D326" s="5" t="str">
        <v>504790592884</v>
      </c>
      <c r="E326" s="0" t="e">
        <f>+7 (812) 3369595
+7 (812) 3369000</f>
        <v>#NAME?</v>
      </c>
      <c r="F326" s="5" t="s">
        <v>26278</v>
      </c>
      <c r="G326" s="5" t="s">
        <v>26279</v>
      </c>
      <c r="H326" s="26">
        <v>18.5</v>
      </c>
      <c r="I326" s="5" t="s">
        <v>26280</v>
      </c>
      <c r="J326" s="5" t="s">
        <v>26281</v>
      </c>
      <c r="K326" s="5" t="s">
        <v>344</v>
      </c>
      <c r="L326" s="5"/>
      <c r="M326" s="27"/>
      <c r="N326" s="5"/>
      <c r="O326" s="5" t="str">
        <v>4703073810</v>
      </c>
      <c r="P326" s="27">
        <v>2822182723</v>
      </c>
      <c r="Q326" s="5" t="s">
        <v>49009</v>
      </c>
      <c r="R326" s="5"/>
      <c r="S326" s="5" t="s">
        <v>49066</v>
      </c>
      <c r="T326" s="28">
        <v>14082969000</v>
      </c>
      <c r="U326" s="28">
        <v>322023000</v>
      </c>
      <c r="V326" s="28">
        <v>14066467000</v>
      </c>
      <c r="W326" s="28">
        <v>31083000</v>
      </c>
      <c r="X326" s="28">
        <v>221446000</v>
      </c>
      <c r="Y326" s="28">
        <v>33747252000</v>
      </c>
      <c r="Z326" s="28">
        <v>23656625000</v>
      </c>
      <c r="AA326" s="28"/>
      <c r="AB326" s="28">
        <v>6071636000</v>
      </c>
      <c r="AC326" s="28">
        <v>7267434000</v>
      </c>
      <c r="AD326" s="28">
        <v>26478808000</v>
      </c>
      <c r="AE326" s="28">
        <v>27830331000</v>
      </c>
      <c r="AF326" s="28">
        <v>-712334000</v>
      </c>
      <c r="AG326" s="11"/>
    </row>
    <row r="327">
      <c r="A327" s="7" t="s">
        <v>2074</v>
      </c>
      <c r="B327" s="5" t="s">
        <v>10044</v>
      </c>
      <c r="C327" s="5" t="s">
        <v>17944</v>
      </c>
      <c r="D327" s="5" t="str">
        <v>504790592884</v>
      </c>
      <c r="E327" s="0" t="e">
        <f>+7 (495) 7779900
+7 (800) 2508850
+7 (812) 3366840
+7 (812) 3369000
+7 (812) 3369090
+7 (812) 3369594
+7 (812) 3369595
+7 (908) 6157757</f>
        <v>#NAME?</v>
      </c>
      <c r="F327" s="5" t="s">
        <v>26282</v>
      </c>
      <c r="G327" s="5"/>
      <c r="H327" s="26">
        <v>23</v>
      </c>
      <c r="I327" s="5" t="s">
        <v>26283</v>
      </c>
      <c r="J327" s="5" t="s">
        <v>25550</v>
      </c>
      <c r="K327" s="5" t="s">
        <v>344</v>
      </c>
      <c r="L327" s="5" t="s">
        <v>26284</v>
      </c>
      <c r="M327" s="27"/>
      <c r="N327" s="5"/>
      <c r="O327" s="5" t="str">
        <v>7816162305</v>
      </c>
      <c r="P327" s="27">
        <v>20000000</v>
      </c>
      <c r="Q327" s="5" t="s">
        <v>49009</v>
      </c>
      <c r="R327" s="5"/>
      <c r="S327" s="5" t="s">
        <v>49066</v>
      </c>
      <c r="T327" s="28">
        <v>1141773000</v>
      </c>
      <c r="U327" s="28">
        <v>12286000</v>
      </c>
      <c r="V327" s="28">
        <v>20251435000</v>
      </c>
      <c r="W327" s="28">
        <v>1734000</v>
      </c>
      <c r="X327" s="28">
        <v>5188492000</v>
      </c>
      <c r="Y327" s="28">
        <v>29400700000</v>
      </c>
      <c r="Z327" s="28">
        <v>11236441000</v>
      </c>
      <c r="AA327" s="28"/>
      <c r="AB327" s="28"/>
      <c r="AC327" s="28">
        <v>17095679000</v>
      </c>
      <c r="AD327" s="28">
        <v>11256627000</v>
      </c>
      <c r="AE327" s="28">
        <v>45064641000</v>
      </c>
      <c r="AF327" s="28">
        <v>10932649000</v>
      </c>
      <c r="AG327" s="11"/>
    </row>
    <row r="328">
      <c r="A328" s="7" t="s">
        <v>2075</v>
      </c>
      <c r="B328" s="5" t="s">
        <v>10045</v>
      </c>
      <c r="C328" s="5" t="s">
        <v>17945</v>
      </c>
      <c r="D328" s="5" t="str">
        <v>772742172815</v>
      </c>
      <c r="E328" s="0" t="e">
        <f>+7 (499) 9409328
+7 (495) 7555554
+7 (495) 7729378
+7 (495) 7755554
+7 (499) 6535177
+7 (800) 7755554
+7 (800) 7755559</f>
        <v>#NAME?</v>
      </c>
      <c r="F328" s="5" t="s">
        <v>26285</v>
      </c>
      <c r="G328" s="5" t="s">
        <v>26286</v>
      </c>
      <c r="H328" s="26">
        <v>15.5</v>
      </c>
      <c r="I328" s="5" t="s">
        <v>26287</v>
      </c>
      <c r="J328" s="5" t="s">
        <v>26288</v>
      </c>
      <c r="K328" s="5" t="s">
        <v>355</v>
      </c>
      <c r="L328" s="5"/>
      <c r="M328" s="27">
        <v>100000</v>
      </c>
      <c r="N328" s="5"/>
      <c r="O328" s="5" t="str">
        <v>7701733880</v>
      </c>
      <c r="P328" s="27">
        <v>3010000</v>
      </c>
      <c r="Q328" s="5" t="s">
        <v>49021</v>
      </c>
      <c r="R328" s="5" t="s">
        <v>49596</v>
      </c>
      <c r="S328" s="5" t="s">
        <v>49597</v>
      </c>
      <c r="T328" s="28">
        <v>1166400000</v>
      </c>
      <c r="U328" s="28"/>
      <c r="V328" s="28">
        <v>401174000</v>
      </c>
      <c r="W328" s="28"/>
      <c r="X328" s="28">
        <v>22465000</v>
      </c>
      <c r="Y328" s="28">
        <v>2475392000</v>
      </c>
      <c r="Z328" s="28">
        <v>276976000</v>
      </c>
      <c r="AA328" s="28"/>
      <c r="AB328" s="28">
        <v>272178000</v>
      </c>
      <c r="AC328" s="28">
        <v>1593553000</v>
      </c>
      <c r="AD328" s="28">
        <v>279986000</v>
      </c>
      <c r="AE328" s="28">
        <v>3794421000</v>
      </c>
      <c r="AF328" s="28">
        <v>12042000</v>
      </c>
      <c r="AG328" s="11"/>
    </row>
    <row r="329">
      <c r="A329" s="7" t="s">
        <v>2076</v>
      </c>
      <c r="B329" s="5" t="s">
        <v>10046</v>
      </c>
      <c r="C329" s="5" t="s">
        <v>17946</v>
      </c>
      <c r="D329" s="5" t="str">
        <v>773571083353</v>
      </c>
      <c r="E329" s="0" t="e">
        <f>+7 (495) 2803814
+7 (495) 9333217
+7 (904) 5117664
+7 (911) 270967
+7 (911) 2564049
+7 (911) 9203212
+7 (921) 7706633
+7 (981) 7054353</f>
        <v>#NAME?</v>
      </c>
      <c r="F329" s="5"/>
      <c r="G329" s="5"/>
      <c r="H329" s="26">
        <v>9.5</v>
      </c>
      <c r="I329" s="5" t="s">
        <v>26289</v>
      </c>
      <c r="J329" s="5" t="s">
        <v>25199</v>
      </c>
      <c r="K329" s="5" t="s">
        <v>344</v>
      </c>
      <c r="L329" s="5"/>
      <c r="M329" s="27">
        <v>50000</v>
      </c>
      <c r="N329" s="5" t="s">
        <v>49598</v>
      </c>
      <c r="O329" s="5" t="str">
        <v>7718935772</v>
      </c>
      <c r="P329" s="27">
        <v>95300000</v>
      </c>
      <c r="Q329" s="5" t="s">
        <v>49059</v>
      </c>
      <c r="R329" s="5"/>
      <c r="S329" s="5" t="s">
        <v>49599</v>
      </c>
      <c r="T329" s="28">
        <v>145075000</v>
      </c>
      <c r="U329" s="28">
        <v>9000</v>
      </c>
      <c r="V329" s="28">
        <v>541375000</v>
      </c>
      <c r="W329" s="28">
        <v>2481540000</v>
      </c>
      <c r="X329" s="28">
        <v>721811000</v>
      </c>
      <c r="Y329" s="28">
        <v>4143834000</v>
      </c>
      <c r="Z329" s="28">
        <v>641440000</v>
      </c>
      <c r="AA329" s="28"/>
      <c r="AB329" s="28"/>
      <c r="AC329" s="28">
        <v>1011655000</v>
      </c>
      <c r="AD329" s="28">
        <v>3094192000</v>
      </c>
      <c r="AE329" s="28">
        <v>8115015000</v>
      </c>
      <c r="AF329" s="28">
        <v>1407957000</v>
      </c>
      <c r="AG329" s="11"/>
    </row>
    <row r="330">
      <c r="A330" s="7" t="s">
        <v>2077</v>
      </c>
      <c r="B330" s="5" t="s">
        <v>10047</v>
      </c>
      <c r="C330" s="5" t="s">
        <v>17947</v>
      </c>
      <c r="D330" s="5" t="str">
        <v>616132794642</v>
      </c>
      <c r="E330" s="0" t="e">
        <f>+7 (8632) 914327</f>
        <v>#NAME?</v>
      </c>
      <c r="F330" s="5" t="s">
        <v>26290</v>
      </c>
      <c r="G330" s="5"/>
      <c r="H330" s="26">
        <v>14.5</v>
      </c>
      <c r="I330" s="5" t="s">
        <v>26291</v>
      </c>
      <c r="J330" s="5" t="s">
        <v>26292</v>
      </c>
      <c r="K330" s="5" t="s">
        <v>355</v>
      </c>
      <c r="L330" s="5" t="s">
        <v>26293</v>
      </c>
      <c r="M330" s="27"/>
      <c r="N330" s="5"/>
      <c r="O330" s="5" t="str">
        <v>6168022580</v>
      </c>
      <c r="P330" s="27">
        <v>1050000</v>
      </c>
      <c r="Q330" s="5"/>
      <c r="R330" s="5"/>
      <c r="S330" s="5" t="s">
        <v>49110</v>
      </c>
      <c r="T330" s="28">
        <v>34099000</v>
      </c>
      <c r="U330" s="28"/>
      <c r="V330" s="28">
        <v>540887000</v>
      </c>
      <c r="W330" s="28">
        <v>149173000</v>
      </c>
      <c r="X330" s="28">
        <v>2167000</v>
      </c>
      <c r="Y330" s="28">
        <v>1704298000</v>
      </c>
      <c r="Z330" s="28">
        <v>352471000</v>
      </c>
      <c r="AA330" s="28"/>
      <c r="AB330" s="28">
        <v>357753000</v>
      </c>
      <c r="AC330" s="28">
        <v>1350610000</v>
      </c>
      <c r="AD330" s="28">
        <v>353521000</v>
      </c>
      <c r="AE330" s="28">
        <v>8378804000</v>
      </c>
      <c r="AF330" s="28">
        <v>79874000</v>
      </c>
      <c r="AG330" s="11"/>
    </row>
    <row r="331">
      <c r="A331" s="7" t="s">
        <v>2078</v>
      </c>
      <c r="B331" s="5" t="s">
        <v>10048</v>
      </c>
      <c r="C331" s="5" t="s">
        <v>17948</v>
      </c>
      <c r="D331" s="5" t="str">
        <v>165708769682</v>
      </c>
      <c r="E331" s="0" t="e">
        <f>+7 (495) 7770101
+7 (8432) 795823
+7 (8435) 149021
+7 (800) 2014848
+7 (8435) 149015
+7 (8435) 149022
+7 (8435) 149026
+7 (8435) 672571
+7 (8435) 672593</f>
        <v>#NAME?</v>
      </c>
      <c r="F331" s="5" t="s">
        <v>26294</v>
      </c>
      <c r="G331" s="5" t="s">
        <v>26295</v>
      </c>
      <c r="H331" s="26">
        <v>7</v>
      </c>
      <c r="I331" s="5" t="s">
        <v>26296</v>
      </c>
      <c r="J331" s="5" t="s">
        <v>26297</v>
      </c>
      <c r="K331" s="5" t="s">
        <v>344</v>
      </c>
      <c r="L331" s="5" t="s">
        <v>26298</v>
      </c>
      <c r="M331" s="27"/>
      <c r="N331" s="5" t="s">
        <v>49600</v>
      </c>
      <c r="O331" s="5" t="str">
        <v>1624014670</v>
      </c>
      <c r="P331" s="27">
        <v>25000000</v>
      </c>
      <c r="Q331" s="5" t="s">
        <v>49601</v>
      </c>
      <c r="R331" s="5"/>
      <c r="S331" s="5" t="s">
        <v>49602</v>
      </c>
      <c r="T331" s="28">
        <v>524683000</v>
      </c>
      <c r="U331" s="28">
        <v>123724000</v>
      </c>
      <c r="V331" s="28">
        <v>3501147000</v>
      </c>
      <c r="W331" s="28">
        <v>737000000</v>
      </c>
      <c r="X331" s="28">
        <v>2045169000</v>
      </c>
      <c r="Y331" s="28">
        <v>9081625000</v>
      </c>
      <c r="Z331" s="28">
        <v>3343369000</v>
      </c>
      <c r="AA331" s="28"/>
      <c r="AB331" s="28">
        <v>3759668000</v>
      </c>
      <c r="AC331" s="28">
        <v>5677367000</v>
      </c>
      <c r="AD331" s="28">
        <v>3368369000</v>
      </c>
      <c r="AE331" s="28">
        <v>15411556000</v>
      </c>
      <c r="AF331" s="28">
        <v>2559108000</v>
      </c>
      <c r="AG331" s="11"/>
    </row>
    <row r="332">
      <c r="A332" s="7" t="s">
        <v>2079</v>
      </c>
      <c r="B332" s="5" t="s">
        <v>10049</v>
      </c>
      <c r="C332" s="5" t="s">
        <v>17949</v>
      </c>
      <c r="D332" s="5" t="str">
        <v>510202877570</v>
      </c>
      <c r="E332" s="0" t="e">
        <f>+7 (495) 6535356
+7 (800) 3336495</f>
        <v>#NAME?</v>
      </c>
      <c r="F332" s="5" t="s">
        <v>26299</v>
      </c>
      <c r="G332" s="5"/>
      <c r="H332" s="26">
        <v>11.5</v>
      </c>
      <c r="I332" s="5" t="s">
        <v>26300</v>
      </c>
      <c r="J332" s="5" t="s">
        <v>1026</v>
      </c>
      <c r="K332" s="5" t="s">
        <v>344</v>
      </c>
      <c r="L332" s="5" t="s">
        <v>26301</v>
      </c>
      <c r="M332" s="27"/>
      <c r="N332" s="5" t="s">
        <v>49603</v>
      </c>
      <c r="O332" s="5" t="str">
        <v>7729685203</v>
      </c>
      <c r="P332" s="27">
        <v>1500000</v>
      </c>
      <c r="Q332" s="5" t="s">
        <v>49604</v>
      </c>
      <c r="R332" s="5"/>
      <c r="S332" s="5" t="s">
        <v>49405</v>
      </c>
      <c r="T332" s="28">
        <v>7776000</v>
      </c>
      <c r="U332" s="28"/>
      <c r="V332" s="28">
        <v>2709289000</v>
      </c>
      <c r="W332" s="28">
        <v>59000</v>
      </c>
      <c r="X332" s="28">
        <v>9250000</v>
      </c>
      <c r="Y332" s="28">
        <v>3585577000</v>
      </c>
      <c r="Z332" s="28">
        <v>457227000</v>
      </c>
      <c r="AA332" s="28"/>
      <c r="AB332" s="28">
        <v>481521000</v>
      </c>
      <c r="AC332" s="28">
        <v>3120107000</v>
      </c>
      <c r="AD332" s="28">
        <v>458727000</v>
      </c>
      <c r="AE332" s="28">
        <v>11999681000</v>
      </c>
      <c r="AF332" s="28">
        <v>153279000</v>
      </c>
      <c r="AG332" s="11"/>
    </row>
    <row r="333">
      <c r="A333" s="7" t="s">
        <v>2080</v>
      </c>
      <c r="B333" s="5" t="s">
        <v>10050</v>
      </c>
      <c r="C333" s="5" t="s">
        <v>17950</v>
      </c>
      <c r="D333" s="5" t="str">
        <v>550607084550</v>
      </c>
      <c r="E333" s="0" t="e">
        <f>+7 (495) 1363980
+7 (495) 7995585
+7 (499) 7995585
+7 (343) 2260429
+7 (343) 3802280
+7 (383) 2209747
+7 (383) 3630063
+7 (495) 9357350
+7 (495) 9357351
+7 (499) 7500818
+7 (812) 3806000
+7 (861) 2001234
+7 (861) 2109816
+7 (861) 2109817
+7 (861) 2109892</f>
        <v>#NAME?</v>
      </c>
      <c r="F333" s="5" t="s">
        <v>26302</v>
      </c>
      <c r="G333" s="5"/>
      <c r="H333" s="26">
        <v>4.5</v>
      </c>
      <c r="I333" s="5" t="s">
        <v>26303</v>
      </c>
      <c r="J333" s="5" t="s">
        <v>343</v>
      </c>
      <c r="K333" s="5" t="s">
        <v>344</v>
      </c>
      <c r="L333" s="5" t="s">
        <v>26304</v>
      </c>
      <c r="M333" s="27">
        <v>500000</v>
      </c>
      <c r="N333" s="5" t="s">
        <v>49605</v>
      </c>
      <c r="O333" s="5" t="str">
        <v>7708333955</v>
      </c>
      <c r="P333" s="27">
        <v>3159600</v>
      </c>
      <c r="Q333" s="5" t="s">
        <v>49009</v>
      </c>
      <c r="R333" s="5"/>
      <c r="S333" s="5" t="s">
        <v>49012</v>
      </c>
      <c r="T333" s="28">
        <v>90603000</v>
      </c>
      <c r="U333" s="28">
        <v>341461000</v>
      </c>
      <c r="V333" s="28">
        <v>837161000</v>
      </c>
      <c r="W333" s="28">
        <v>1099264000</v>
      </c>
      <c r="X333" s="28">
        <v>583432000</v>
      </c>
      <c r="Y333" s="28">
        <v>3268235000</v>
      </c>
      <c r="Z333" s="28">
        <v>1154719000</v>
      </c>
      <c r="AA333" s="28"/>
      <c r="AB333" s="28"/>
      <c r="AC333" s="28">
        <v>2052402000</v>
      </c>
      <c r="AD333" s="28">
        <v>1157987000</v>
      </c>
      <c r="AE333" s="28">
        <v>3323254000</v>
      </c>
      <c r="AF333" s="28">
        <v>829413000</v>
      </c>
      <c r="AG333" s="11"/>
    </row>
    <row r="334">
      <c r="A334" s="7" t="s">
        <v>2081</v>
      </c>
      <c r="B334" s="5" t="s">
        <v>10051</v>
      </c>
      <c r="C334" s="5" t="s">
        <v>17951</v>
      </c>
      <c r="D334" s="5" t="str">
        <v>771474464335</v>
      </c>
      <c r="E334" s="0" t="e">
        <f>+7 (495) 7950134
+7 (495) 6697611
+7 (495) 7455085
+7 (499) 2460110</f>
        <v>#NAME?</v>
      </c>
      <c r="F334" s="5" t="s">
        <v>26305</v>
      </c>
      <c r="G334" s="5" t="s">
        <v>26306</v>
      </c>
      <c r="H334" s="26">
        <v>20.5</v>
      </c>
      <c r="I334" s="5" t="s">
        <v>26307</v>
      </c>
      <c r="J334" s="5" t="s">
        <v>26308</v>
      </c>
      <c r="K334" s="5" t="s">
        <v>344</v>
      </c>
      <c r="L334" s="5"/>
      <c r="M334" s="27">
        <v>2218245</v>
      </c>
      <c r="N334" s="5" t="s">
        <v>49606</v>
      </c>
      <c r="O334" s="5" t="str">
        <v>7722267655</v>
      </c>
      <c r="P334" s="27">
        <v>4694305</v>
      </c>
      <c r="Q334" s="5" t="s">
        <v>49608</v>
      </c>
      <c r="R334" s="5"/>
      <c r="S334" s="5" t="s">
        <v>49609</v>
      </c>
      <c r="T334" s="28">
        <v>249493000</v>
      </c>
      <c r="U334" s="28">
        <v>91000</v>
      </c>
      <c r="V334" s="28">
        <v>2092589000</v>
      </c>
      <c r="W334" s="28"/>
      <c r="X334" s="28">
        <v>275547000</v>
      </c>
      <c r="Y334" s="28">
        <v>3594224000</v>
      </c>
      <c r="Z334" s="28">
        <v>1200975000</v>
      </c>
      <c r="AA334" s="28"/>
      <c r="AB334" s="28">
        <v>49162000</v>
      </c>
      <c r="AC334" s="28">
        <v>2287843000</v>
      </c>
      <c r="AD334" s="28">
        <v>1230669000</v>
      </c>
      <c r="AE334" s="28">
        <v>13786562000</v>
      </c>
      <c r="AF334" s="28">
        <v>517748000</v>
      </c>
      <c r="AG334" s="11"/>
    </row>
    <row r="335">
      <c r="A335" s="7" t="s">
        <v>2082</v>
      </c>
      <c r="B335" s="5" t="s">
        <v>10052</v>
      </c>
      <c r="C335" s="5" t="s">
        <v>17952</v>
      </c>
      <c r="D335" s="5" t="str">
        <v>165502582803</v>
      </c>
      <c r="F335" s="5"/>
      <c r="G335" s="5"/>
      <c r="H335" s="26">
        <v>5.5</v>
      </c>
      <c r="I335" s="5" t="s">
        <v>26309</v>
      </c>
      <c r="J335" s="5" t="s">
        <v>678</v>
      </c>
      <c r="K335" s="5" t="s">
        <v>344</v>
      </c>
      <c r="L335" s="5" t="s">
        <v>26310</v>
      </c>
      <c r="M335" s="27"/>
      <c r="N335" s="5" t="s">
        <v>49610</v>
      </c>
      <c r="O335" s="5" t="str">
        <v>1658202209</v>
      </c>
      <c r="P335" s="27">
        <v>10000</v>
      </c>
      <c r="Q335" s="5"/>
      <c r="R335" s="5"/>
      <c r="S335" s="5" t="s">
        <v>49125</v>
      </c>
      <c r="T335" s="28">
        <v>1081000</v>
      </c>
      <c r="U335" s="28"/>
      <c r="V335" s="28">
        <v>2684487000</v>
      </c>
      <c r="W335" s="28">
        <v>5391000</v>
      </c>
      <c r="X335" s="28">
        <v>57648000</v>
      </c>
      <c r="Y335" s="28">
        <v>2771820000</v>
      </c>
      <c r="Z335" s="28">
        <v>-534000</v>
      </c>
      <c r="AA335" s="28">
        <v>335770000</v>
      </c>
      <c r="AB335" s="28">
        <v>308509000</v>
      </c>
      <c r="AC335" s="28">
        <v>2413753000</v>
      </c>
      <c r="AD335" s="28">
        <v>-524000</v>
      </c>
      <c r="AE335" s="28">
        <v>3891743000</v>
      </c>
      <c r="AF335" s="28">
        <v>-1691000</v>
      </c>
      <c r="AG335" s="11"/>
    </row>
    <row r="336">
      <c r="A336" s="7" t="s">
        <v>2083</v>
      </c>
      <c r="B336" s="5" t="s">
        <v>10053</v>
      </c>
      <c r="C336" s="5" t="s">
        <v>17953</v>
      </c>
      <c r="D336" s="5" t="str">
        <v>165909521410</v>
      </c>
      <c r="E336" s="0" t="e">
        <f>+7 (8432) 53612
+7 (8432) 53619
+7 (8432) 56001</f>
        <v>#NAME?</v>
      </c>
      <c r="F336" s="5" t="s">
        <v>26311</v>
      </c>
      <c r="G336" s="5" t="s">
        <v>26312</v>
      </c>
      <c r="H336" s="26">
        <v>7.5</v>
      </c>
      <c r="I336" s="5" t="s">
        <v>26313</v>
      </c>
      <c r="J336" s="5" t="s">
        <v>364</v>
      </c>
      <c r="K336" s="5" t="s">
        <v>344</v>
      </c>
      <c r="L336" s="5" t="s">
        <v>26314</v>
      </c>
      <c r="M336" s="27">
        <v>76145634</v>
      </c>
      <c r="N336" s="5" t="s">
        <v>49611</v>
      </c>
      <c r="O336" s="5" t="str">
        <v>1660244397</v>
      </c>
      <c r="P336" s="27">
        <v>10000</v>
      </c>
      <c r="Q336" s="5" t="s">
        <v>49612</v>
      </c>
      <c r="R336" s="5"/>
      <c r="S336" s="5" t="s">
        <v>49613</v>
      </c>
      <c r="T336" s="28">
        <v>25161000</v>
      </c>
      <c r="U336" s="28"/>
      <c r="V336" s="28">
        <v>3437159000</v>
      </c>
      <c r="W336" s="28">
        <v>210978000</v>
      </c>
      <c r="X336" s="28">
        <v>4473000</v>
      </c>
      <c r="Y336" s="28">
        <v>4475146000</v>
      </c>
      <c r="Z336" s="28">
        <v>216583000</v>
      </c>
      <c r="AA336" s="28"/>
      <c r="AB336" s="28">
        <v>7255000</v>
      </c>
      <c r="AC336" s="28">
        <v>4258461000</v>
      </c>
      <c r="AD336" s="28">
        <v>216593000</v>
      </c>
      <c r="AE336" s="28">
        <v>9989030000</v>
      </c>
      <c r="AF336" s="28">
        <v>100728000</v>
      </c>
      <c r="AG336" s="11"/>
    </row>
    <row r="337">
      <c r="A337" s="7" t="s">
        <v>2084</v>
      </c>
      <c r="B337" s="5" t="s">
        <v>10054</v>
      </c>
      <c r="C337" s="5" t="s">
        <v>17954</v>
      </c>
      <c r="D337" s="5"/>
      <c r="E337" s="0" t="e">
        <f>+7 (473) 2065600
+7 (473) 2626182
+7 (473) 2964517
+7 (47344) 51393
+7 (47356) 48224
+7 (47356) 48336
+7 (47372) 95274
+7 (920) 4286453
+7 (950) 7697559</f>
        <v>#NAME?</v>
      </c>
      <c r="F337" s="5" t="s">
        <v>26315</v>
      </c>
      <c r="G337" s="5"/>
      <c r="H337" s="26">
        <v>15.5</v>
      </c>
      <c r="I337" s="5" t="s">
        <v>26316</v>
      </c>
      <c r="J337" s="5" t="s">
        <v>841</v>
      </c>
      <c r="K337" s="5" t="s">
        <v>344</v>
      </c>
      <c r="L337" s="5" t="s">
        <v>26317</v>
      </c>
      <c r="M337" s="27"/>
      <c r="N337" s="5"/>
      <c r="O337" s="5" t="str">
        <v>3608004452</v>
      </c>
      <c r="P337" s="27">
        <v>184572015</v>
      </c>
      <c r="Q337" s="5" t="s">
        <v>49009</v>
      </c>
      <c r="R337" s="5"/>
      <c r="S337" s="5" t="s">
        <v>49066</v>
      </c>
      <c r="T337" s="28">
        <v>2534548000</v>
      </c>
      <c r="U337" s="28">
        <v>764571000</v>
      </c>
      <c r="V337" s="28">
        <v>2008387000</v>
      </c>
      <c r="W337" s="28">
        <v>628664000</v>
      </c>
      <c r="X337" s="28">
        <v>1540214000</v>
      </c>
      <c r="Y337" s="28">
        <v>10287001000</v>
      </c>
      <c r="Z337" s="28">
        <v>5740913000</v>
      </c>
      <c r="AA337" s="28">
        <v>560625000</v>
      </c>
      <c r="AB337" s="28">
        <v>1597076000</v>
      </c>
      <c r="AC337" s="28">
        <v>3250689000</v>
      </c>
      <c r="AD337" s="28">
        <v>6131530000</v>
      </c>
      <c r="AE337" s="28">
        <v>6114214000</v>
      </c>
      <c r="AF337" s="28">
        <v>2882878000</v>
      </c>
      <c r="AG337" s="11"/>
    </row>
    <row r="338">
      <c r="A338" s="7" t="s">
        <v>2085</v>
      </c>
      <c r="B338" s="5" t="s">
        <v>10055</v>
      </c>
      <c r="C338" s="5" t="s">
        <v>17955</v>
      </c>
      <c r="D338" s="5" t="str">
        <v>470326477690</v>
      </c>
      <c r="E338" s="0" t="e">
        <f>+7 (812) 3277119
+7 (812) 3277147
+7 (812) 3345010
+7 (812) 3345014
+7 (921) 7971000</f>
        <v>#NAME?</v>
      </c>
      <c r="F338" s="5" t="s">
        <v>26318</v>
      </c>
      <c r="G338" s="5" t="s">
        <v>26319</v>
      </c>
      <c r="H338" s="26">
        <v>15.5</v>
      </c>
      <c r="I338" s="5" t="s">
        <v>26320</v>
      </c>
      <c r="J338" s="5" t="s">
        <v>397</v>
      </c>
      <c r="K338" s="5" t="s">
        <v>344</v>
      </c>
      <c r="L338" s="5" t="s">
        <v>26321</v>
      </c>
      <c r="M338" s="27"/>
      <c r="N338" s="5" t="s">
        <v>49614</v>
      </c>
      <c r="O338" s="5" t="str">
        <v>7820312828</v>
      </c>
      <c r="P338" s="27">
        <v>10000</v>
      </c>
      <c r="Q338" s="5" t="s">
        <v>49615</v>
      </c>
      <c r="R338" s="5"/>
      <c r="S338" s="5" t="s">
        <v>49173</v>
      </c>
      <c r="T338" s="28">
        <v>9229000</v>
      </c>
      <c r="U338" s="28"/>
      <c r="V338" s="28">
        <v>773583000</v>
      </c>
      <c r="W338" s="28">
        <v>104955000</v>
      </c>
      <c r="X338" s="28">
        <v>360000</v>
      </c>
      <c r="Y338" s="28">
        <v>1483297000</v>
      </c>
      <c r="Z338" s="28">
        <v>365561000</v>
      </c>
      <c r="AA338" s="28"/>
      <c r="AB338" s="28">
        <v>462256000</v>
      </c>
      <c r="AC338" s="28">
        <v>1115754000</v>
      </c>
      <c r="AD338" s="28">
        <v>365571000</v>
      </c>
      <c r="AE338" s="28">
        <v>4863355000</v>
      </c>
      <c r="AF338" s="28">
        <v>180048000</v>
      </c>
      <c r="AG338" s="11"/>
    </row>
    <row r="339">
      <c r="A339" s="7" t="s">
        <v>2086</v>
      </c>
      <c r="B339" s="5" t="s">
        <v>10056</v>
      </c>
      <c r="C339" s="5" t="s">
        <v>17956</v>
      </c>
      <c r="D339" s="5" t="str">
        <v>140200152560</v>
      </c>
      <c r="E339" s="0" t="e">
        <f>+7 (411) 2318081
+7 (41145) 22635
+7 (41145) 30593
+7 (41145) 30760
+7 (41145) 31522
+7 (41145) 32256
+7 (41145) 33540</f>
        <v>#NAME?</v>
      </c>
      <c r="F339" s="5" t="s">
        <v>26322</v>
      </c>
      <c r="G339" s="5" t="s">
        <v>26323</v>
      </c>
      <c r="H339" s="26">
        <v>27.5</v>
      </c>
      <c r="I339" s="5" t="s">
        <v>26324</v>
      </c>
      <c r="J339" s="5" t="s">
        <v>26325</v>
      </c>
      <c r="K339" s="5" t="s">
        <v>344</v>
      </c>
      <c r="L339" s="5"/>
      <c r="M339" s="27"/>
      <c r="N339" s="5" t="s">
        <v>49616</v>
      </c>
      <c r="O339" s="5" t="str">
        <v>1435073060</v>
      </c>
      <c r="P339" s="27">
        <v>8627571060</v>
      </c>
      <c r="Q339" s="5" t="s">
        <v>49618</v>
      </c>
      <c r="R339" s="5"/>
      <c r="S339" s="5" t="s">
        <v>49619</v>
      </c>
      <c r="T339" s="28">
        <v>19406662000</v>
      </c>
      <c r="U339" s="28">
        <v>1517000</v>
      </c>
      <c r="V339" s="28">
        <v>2586379000</v>
      </c>
      <c r="W339" s="28"/>
      <c r="X339" s="28">
        <v>348971000</v>
      </c>
      <c r="Y339" s="28">
        <v>25737191000</v>
      </c>
      <c r="Z339" s="28">
        <v>594397000</v>
      </c>
      <c r="AA339" s="28">
        <v>1545256000</v>
      </c>
      <c r="AB339" s="28">
        <v>755182000</v>
      </c>
      <c r="AC339" s="28">
        <v>5776368000</v>
      </c>
      <c r="AD339" s="28">
        <v>15316700000</v>
      </c>
      <c r="AE339" s="28">
        <v>9541435000</v>
      </c>
      <c r="AF339" s="28">
        <v>232755000</v>
      </c>
      <c r="AG339" s="11"/>
    </row>
    <row r="340">
      <c r="A340" s="7" t="s">
        <v>2087</v>
      </c>
      <c r="B340" s="5" t="s">
        <v>10057</v>
      </c>
      <c r="C340" s="5" t="s">
        <v>17957</v>
      </c>
      <c r="D340" s="5" t="str">
        <v>450109946913</v>
      </c>
      <c r="E340" s="0" t="e">
        <f>+7 (352) 2534748
+7 (3522) 234161
+7 (3522) 234164
+7 (3522) 254846
+7 (3522) 255699
+7 (3522) 255845
+7 (3522) 255846
+7 (3522) 476632
+7 (3522) 476646
+7 (3522) 476683
+7 (3522) 476709
+7 (3522) 476780
+7 (3522) 476787
+7 (3522) 476790</f>
        <v>#NAME?</v>
      </c>
      <c r="F340" s="5" t="s">
        <v>26326</v>
      </c>
      <c r="G340" s="5" t="s">
        <v>26327</v>
      </c>
      <c r="H340" s="26">
        <v>31</v>
      </c>
      <c r="I340" s="5"/>
      <c r="J340" s="5" t="s">
        <v>26328</v>
      </c>
      <c r="K340" s="5" t="s">
        <v>344</v>
      </c>
      <c r="L340" s="5" t="s">
        <v>26329</v>
      </c>
      <c r="M340" s="27">
        <v>21048018</v>
      </c>
      <c r="N340" s="5" t="s">
        <v>49620</v>
      </c>
      <c r="O340" s="5" t="str">
        <v>4501006138</v>
      </c>
      <c r="P340" s="27">
        <v>99500000</v>
      </c>
      <c r="Q340" s="5" t="s">
        <v>49622</v>
      </c>
      <c r="R340" s="5"/>
      <c r="S340" s="5" t="s">
        <v>49160</v>
      </c>
      <c r="T340" s="28">
        <v>1108075000</v>
      </c>
      <c r="U340" s="28">
        <v>280219000</v>
      </c>
      <c r="V340" s="28">
        <v>2108807000</v>
      </c>
      <c r="W340" s="28"/>
      <c r="X340" s="28">
        <v>235227000</v>
      </c>
      <c r="Y340" s="28">
        <v>6435367000</v>
      </c>
      <c r="Z340" s="28">
        <v>3129069000</v>
      </c>
      <c r="AA340" s="28"/>
      <c r="AB340" s="28">
        <v>87316000</v>
      </c>
      <c r="AC340" s="28">
        <v>1906144000</v>
      </c>
      <c r="AD340" s="28">
        <v>4370280000</v>
      </c>
      <c r="AE340" s="28">
        <v>7551794000</v>
      </c>
      <c r="AF340" s="28">
        <v>1024774000</v>
      </c>
      <c r="AG340" s="11"/>
    </row>
    <row r="341">
      <c r="A341" s="7" t="s">
        <v>2088</v>
      </c>
      <c r="B341" s="5" t="s">
        <v>10058</v>
      </c>
      <c r="C341" s="5" t="s">
        <v>17958</v>
      </c>
      <c r="D341" s="5" t="str">
        <v>772439370894</v>
      </c>
      <c r="E341" s="0" t="e">
        <f>+7 (495) 7830044
+7 (391) 2911670
+7 (913) 1991616
+7 (391) 2911668
+7 (391) 2911671
+7 (800) 7008007</f>
        <v>#NAME?</v>
      </c>
      <c r="F341" s="5" t="s">
        <v>26330</v>
      </c>
      <c r="G341" s="5" t="s">
        <v>26331</v>
      </c>
      <c r="H341" s="26">
        <v>21</v>
      </c>
      <c r="I341" s="5"/>
      <c r="J341" s="5" t="s">
        <v>25454</v>
      </c>
      <c r="K341" s="5" t="s">
        <v>344</v>
      </c>
      <c r="L341" s="5"/>
      <c r="M341" s="27">
        <v>1273</v>
      </c>
      <c r="N341" s="5" t="s">
        <v>49623</v>
      </c>
      <c r="O341" s="5" t="str">
        <v>8401008386</v>
      </c>
      <c r="P341" s="27">
        <v>1039095415</v>
      </c>
      <c r="Q341" s="5" t="s">
        <v>49624</v>
      </c>
      <c r="R341" s="5" t="s">
        <v>49625</v>
      </c>
      <c r="S341" s="5" t="s">
        <v>49204</v>
      </c>
      <c r="T341" s="28">
        <v>544563000</v>
      </c>
      <c r="U341" s="28"/>
      <c r="V341" s="28">
        <v>1424824000</v>
      </c>
      <c r="W341" s="28">
        <v>5600000000</v>
      </c>
      <c r="X341" s="28">
        <v>222971000</v>
      </c>
      <c r="Y341" s="28">
        <v>13655793000</v>
      </c>
      <c r="Z341" s="28">
        <v>-814565000</v>
      </c>
      <c r="AA341" s="28"/>
      <c r="AB341" s="28">
        <v>837781000</v>
      </c>
      <c r="AC341" s="28">
        <v>4633592000</v>
      </c>
      <c r="AD341" s="28">
        <v>4961663000</v>
      </c>
      <c r="AE341" s="28">
        <v>14599591000</v>
      </c>
      <c r="AF341" s="28">
        <v>1749628000</v>
      </c>
      <c r="AG341" s="11"/>
    </row>
    <row r="342">
      <c r="A342" s="7" t="s">
        <v>2089</v>
      </c>
      <c r="B342" s="5" t="s">
        <v>10059</v>
      </c>
      <c r="C342" s="5" t="s">
        <v>17959</v>
      </c>
      <c r="D342" s="5" t="str">
        <v>071300836106</v>
      </c>
      <c r="E342" s="0" t="e">
        <f>+7 (86164) 74630</f>
        <v>#NAME?</v>
      </c>
      <c r="F342" s="5" t="s">
        <v>26332</v>
      </c>
      <c r="G342" s="5"/>
      <c r="H342" s="26">
        <v>9.5</v>
      </c>
      <c r="I342" s="5" t="s">
        <v>26333</v>
      </c>
      <c r="J342" s="5" t="s">
        <v>25850</v>
      </c>
      <c r="K342" s="5" t="s">
        <v>355</v>
      </c>
      <c r="L342" s="5"/>
      <c r="M342" s="27">
        <v>73963969</v>
      </c>
      <c r="N342" s="5"/>
      <c r="O342" s="5" t="str">
        <v>2362000333</v>
      </c>
      <c r="P342" s="27">
        <v>10000</v>
      </c>
      <c r="Q342" s="5"/>
      <c r="R342" s="5"/>
      <c r="S342" s="5" t="s">
        <v>49029</v>
      </c>
      <c r="T342" s="28">
        <v>95895000</v>
      </c>
      <c r="U342" s="28">
        <v>41687000</v>
      </c>
      <c r="V342" s="28">
        <v>2302465000</v>
      </c>
      <c r="W342" s="28">
        <v>363777000</v>
      </c>
      <c r="X342" s="28">
        <v>8454000</v>
      </c>
      <c r="Y342" s="28">
        <v>3802116000</v>
      </c>
      <c r="Z342" s="28">
        <v>26724000</v>
      </c>
      <c r="AA342" s="28"/>
      <c r="AB342" s="28">
        <v>97000</v>
      </c>
      <c r="AC342" s="28">
        <v>3766335000</v>
      </c>
      <c r="AD342" s="28">
        <v>26734000</v>
      </c>
      <c r="AE342" s="28">
        <v>9862901000</v>
      </c>
      <c r="AF342" s="28">
        <v>26682000</v>
      </c>
      <c r="AG342" s="11"/>
    </row>
    <row r="343">
      <c r="A343" s="7" t="s">
        <v>2090</v>
      </c>
      <c r="B343" s="5" t="s">
        <v>10060</v>
      </c>
      <c r="C343" s="5" t="s">
        <v>17960</v>
      </c>
      <c r="D343" s="5" t="str">
        <v>142600144253</v>
      </c>
      <c r="E343" s="0" t="e">
        <f>+7 (411) 2318088
+7 (411) 2424041
+7 (411) 2443090
+7 (411) 2443190
+7 (411) 2443295
+7 (411) 2443314
+7 (411) 2443339</f>
        <v>#NAME?</v>
      </c>
      <c r="F343" s="5" t="s">
        <v>26334</v>
      </c>
      <c r="G343" s="5"/>
      <c r="H343" s="26">
        <v>28</v>
      </c>
      <c r="I343" s="5"/>
      <c r="J343" s="5" t="s">
        <v>25454</v>
      </c>
      <c r="K343" s="5" t="s">
        <v>344</v>
      </c>
      <c r="L343" s="5"/>
      <c r="M343" s="27">
        <v>24142622</v>
      </c>
      <c r="N343" s="5" t="s">
        <v>49626</v>
      </c>
      <c r="O343" s="5" t="str">
        <v>1435229817</v>
      </c>
      <c r="P343" s="27">
        <v>1416315150</v>
      </c>
      <c r="Q343" s="5" t="s">
        <v>49627</v>
      </c>
      <c r="R343" s="5"/>
      <c r="S343" s="5" t="s">
        <v>49628</v>
      </c>
      <c r="T343" s="28">
        <v>2990455000</v>
      </c>
      <c r="U343" s="28">
        <v>49000</v>
      </c>
      <c r="V343" s="28">
        <v>1276082000</v>
      </c>
      <c r="W343" s="28">
        <v>108650000</v>
      </c>
      <c r="X343" s="28">
        <v>13290000</v>
      </c>
      <c r="Y343" s="28">
        <v>5703141000</v>
      </c>
      <c r="Z343" s="28">
        <v>305248000</v>
      </c>
      <c r="AA343" s="28">
        <v>1285000000</v>
      </c>
      <c r="AB343" s="28">
        <v>1866000</v>
      </c>
      <c r="AC343" s="28">
        <v>548695000</v>
      </c>
      <c r="AD343" s="28">
        <v>2315198000</v>
      </c>
      <c r="AE343" s="28">
        <v>5350881000</v>
      </c>
      <c r="AF343" s="28">
        <v>33547000</v>
      </c>
      <c r="AG343" s="11"/>
    </row>
    <row r="344">
      <c r="A344" s="7" t="s">
        <v>2091</v>
      </c>
      <c r="B344" s="5" t="s">
        <v>10061</v>
      </c>
      <c r="C344" s="5" t="s">
        <v>17961</v>
      </c>
      <c r="D344" s="5" t="str">
        <v>772870126765</v>
      </c>
      <c r="E344" s="0" t="e">
        <f>+7 (818) 2228856
+7 (925) 5188628
+7 (800) 2000055
+7 (818) 2218856
+7 (911) 5588038</f>
        <v>#NAME?</v>
      </c>
      <c r="F344" s="5" t="s">
        <v>26335</v>
      </c>
      <c r="G344" s="5" t="s">
        <v>26336</v>
      </c>
      <c r="H344" s="26">
        <v>18.5</v>
      </c>
      <c r="I344" s="5"/>
      <c r="J344" s="5" t="s">
        <v>25454</v>
      </c>
      <c r="K344" s="5" t="s">
        <v>344</v>
      </c>
      <c r="L344" s="5" t="s">
        <v>26337</v>
      </c>
      <c r="M344" s="27">
        <v>48846</v>
      </c>
      <c r="N344" s="5" t="s">
        <v>49629</v>
      </c>
      <c r="O344" s="5" t="str">
        <v>2901126323</v>
      </c>
      <c r="P344" s="27">
        <v>80000000</v>
      </c>
      <c r="Q344" s="5" t="s">
        <v>49009</v>
      </c>
      <c r="R344" s="5"/>
      <c r="S344" s="5" t="s">
        <v>49045</v>
      </c>
      <c r="T344" s="28">
        <v>607688000</v>
      </c>
      <c r="U344" s="28">
        <v>1608384000</v>
      </c>
      <c r="V344" s="28">
        <v>2172362000</v>
      </c>
      <c r="W344" s="28">
        <v>29379000</v>
      </c>
      <c r="X344" s="28">
        <v>3311710000</v>
      </c>
      <c r="Y344" s="28">
        <v>8660409000</v>
      </c>
      <c r="Z344" s="28">
        <v>2440841000</v>
      </c>
      <c r="AA344" s="28"/>
      <c r="AB344" s="28"/>
      <c r="AC344" s="28">
        <v>5664565000</v>
      </c>
      <c r="AD344" s="28">
        <v>2547754000</v>
      </c>
      <c r="AE344" s="28">
        <v>17546628000</v>
      </c>
      <c r="AF344" s="28">
        <v>1926357000</v>
      </c>
      <c r="AG344" s="11"/>
    </row>
    <row r="345">
      <c r="A345" s="7" t="s">
        <v>2092</v>
      </c>
      <c r="B345" s="5" t="s">
        <v>10062</v>
      </c>
      <c r="C345" s="5" t="s">
        <v>17962</v>
      </c>
      <c r="D345" s="5" t="str">
        <v>732894844128</v>
      </c>
      <c r="E345" s="0" t="e">
        <f>+7 (495) 7556581
+7 (495) 7862613</f>
        <v>#NAME?</v>
      </c>
      <c r="F345" s="5" t="s">
        <v>26338</v>
      </c>
      <c r="G345" s="5" t="s">
        <v>26339</v>
      </c>
      <c r="H345" s="26">
        <v>18</v>
      </c>
      <c r="I345" s="5" t="s">
        <v>26340</v>
      </c>
      <c r="J345" s="5" t="s">
        <v>26341</v>
      </c>
      <c r="K345" s="5" t="s">
        <v>355</v>
      </c>
      <c r="L345" s="5" t="s">
        <v>26342</v>
      </c>
      <c r="M345" s="27"/>
      <c r="N345" s="5"/>
      <c r="O345" s="5" t="str">
        <v>7704548011</v>
      </c>
      <c r="P345" s="27">
        <v>15050000</v>
      </c>
      <c r="Q345" s="5" t="s">
        <v>49009</v>
      </c>
      <c r="R345" s="5"/>
      <c r="S345" s="5" t="s">
        <v>49010</v>
      </c>
      <c r="T345" s="28">
        <v>1411270000</v>
      </c>
      <c r="U345" s="28">
        <v>26500192000</v>
      </c>
      <c r="V345" s="28">
        <v>14661078000</v>
      </c>
      <c r="W345" s="28">
        <v>9351501000</v>
      </c>
      <c r="X345" s="28">
        <v>3933746000</v>
      </c>
      <c r="Y345" s="28">
        <v>59796416000</v>
      </c>
      <c r="Z345" s="28">
        <v>41685932000</v>
      </c>
      <c r="AA345" s="28"/>
      <c r="AB345" s="28"/>
      <c r="AC345" s="28">
        <v>15268834000</v>
      </c>
      <c r="AD345" s="28">
        <v>41701022000</v>
      </c>
      <c r="AE345" s="28">
        <v>35121987000</v>
      </c>
      <c r="AF345" s="28">
        <v>-4695140000</v>
      </c>
      <c r="AG345" s="11"/>
    </row>
    <row r="346">
      <c r="A346" s="7" t="s">
        <v>2093</v>
      </c>
      <c r="B346" s="5" t="s">
        <v>10063</v>
      </c>
      <c r="C346" s="5" t="s">
        <v>17963</v>
      </c>
      <c r="D346" s="5" t="str">
        <v>143516560289</v>
      </c>
      <c r="E346" s="0" t="e">
        <f>+7 (411) 2443272
+7 (411) 2443372
+7 (411) 2443045
+7 (411) 2443115
+7 (411) 2443212
+7 (411) 2443221
+7 (411) 2443293
+7 (411) 2443303
+7 (411) 2443381
+7 (411) 2491216
+7 (411) 2491222
+7 (411) 2491227
+7 (411) 2491231
+7 (411) 2491299
+7 (411) 2495155</f>
        <v>#NAME?</v>
      </c>
      <c r="F346" s="5" t="s">
        <v>26343</v>
      </c>
      <c r="G346" s="5" t="s">
        <v>26344</v>
      </c>
      <c r="H346" s="26">
        <v>18.5</v>
      </c>
      <c r="I346" s="5"/>
      <c r="J346" s="5" t="s">
        <v>25454</v>
      </c>
      <c r="K346" s="5" t="s">
        <v>380</v>
      </c>
      <c r="L346" s="5"/>
      <c r="M346" s="27">
        <v>86938011</v>
      </c>
      <c r="N346" s="5" t="s">
        <v>49631</v>
      </c>
      <c r="O346" s="5" t="str">
        <v>1435149030</v>
      </c>
      <c r="P346" s="27">
        <v>2634771650</v>
      </c>
      <c r="Q346" s="5" t="s">
        <v>49632</v>
      </c>
      <c r="R346" s="5" t="s">
        <v>49633</v>
      </c>
      <c r="S346" s="5" t="s">
        <v>49634</v>
      </c>
      <c r="T346" s="28">
        <v>5610157000</v>
      </c>
      <c r="U346" s="28">
        <v>5000</v>
      </c>
      <c r="V346" s="28">
        <v>3190294000</v>
      </c>
      <c r="W346" s="28"/>
      <c r="X346" s="28">
        <v>101367000</v>
      </c>
      <c r="Y346" s="28">
        <v>11187800000</v>
      </c>
      <c r="Z346" s="28">
        <v>-15387417000</v>
      </c>
      <c r="AA346" s="28">
        <v>4057152000</v>
      </c>
      <c r="AB346" s="28">
        <v>1299336000</v>
      </c>
      <c r="AC346" s="28">
        <v>12022043000</v>
      </c>
      <c r="AD346" s="28">
        <v>-6256639000</v>
      </c>
      <c r="AE346" s="28">
        <v>10017097000</v>
      </c>
      <c r="AF346" s="28">
        <v>188609000</v>
      </c>
      <c r="AG346" s="11"/>
    </row>
    <row r="347">
      <c r="A347" s="7" t="s">
        <v>2094</v>
      </c>
      <c r="B347" s="5" t="s">
        <v>10064</v>
      </c>
      <c r="C347" s="5" t="s">
        <v>17964</v>
      </c>
      <c r="D347" s="5" t="str">
        <v>770705135321</v>
      </c>
      <c r="E347" s="0" t="e">
        <f>+7 (3422) 222602
+7 (349) 2222525
+7 (349) 2225252
+7 (349) 2222602
+7 (349) 2225251
+7 (349) 2235251
+7 (349) 2243910
+7 (349) 2246422
+7 (964) 5215538</f>
        <v>#NAME?</v>
      </c>
      <c r="F347" s="5" t="s">
        <v>26345</v>
      </c>
      <c r="G347" s="5" t="s">
        <v>26346</v>
      </c>
      <c r="H347" s="26">
        <v>15</v>
      </c>
      <c r="I347" s="5" t="s">
        <v>26347</v>
      </c>
      <c r="J347" s="5" t="s">
        <v>25454</v>
      </c>
      <c r="K347" s="5" t="s">
        <v>355</v>
      </c>
      <c r="L347" s="5" t="s">
        <v>26348</v>
      </c>
      <c r="M347" s="27"/>
      <c r="N347" s="5" t="s">
        <v>49635</v>
      </c>
      <c r="O347" s="5" t="str">
        <v>7710697928</v>
      </c>
      <c r="P347" s="27">
        <v>1800000000</v>
      </c>
      <c r="Q347" s="5" t="s">
        <v>49636</v>
      </c>
      <c r="R347" s="5"/>
      <c r="S347" s="5" t="s">
        <v>49637</v>
      </c>
      <c r="T347" s="28">
        <v>3764125000</v>
      </c>
      <c r="U347" s="28">
        <v>14978000</v>
      </c>
      <c r="V347" s="28">
        <v>1402123000</v>
      </c>
      <c r="W347" s="28">
        <v>1002500000</v>
      </c>
      <c r="X347" s="28">
        <v>78212000</v>
      </c>
      <c r="Y347" s="28">
        <v>7169973000</v>
      </c>
      <c r="Z347" s="28">
        <v>856440000</v>
      </c>
      <c r="AA347" s="28">
        <v>165800000</v>
      </c>
      <c r="AB347" s="28"/>
      <c r="AC347" s="28">
        <v>3964831000</v>
      </c>
      <c r="AD347" s="28">
        <v>2839742000</v>
      </c>
      <c r="AE347" s="28">
        <v>8073236000</v>
      </c>
      <c r="AF347" s="28">
        <v>468117000</v>
      </c>
      <c r="AG347" s="11"/>
    </row>
    <row r="348">
      <c r="A348" s="7" t="s">
        <v>2095</v>
      </c>
      <c r="B348" s="5" t="s">
        <v>10065</v>
      </c>
      <c r="C348" s="5" t="s">
        <v>17965</v>
      </c>
      <c r="D348" s="5" t="str">
        <v>166013410800</v>
      </c>
      <c r="E348" s="0" t="e">
        <f>+7 (8432) 948887
+7 (8432) 948804
+7 (927) 4747500
+7 (8435) 274614
+7 (919) 6284515</f>
        <v>#NAME?</v>
      </c>
      <c r="F348" s="5" t="s">
        <v>26349</v>
      </c>
      <c r="G348" s="5"/>
      <c r="H348" s="26">
        <v>16</v>
      </c>
      <c r="I348" s="5" t="s">
        <v>26350</v>
      </c>
      <c r="J348" s="5" t="s">
        <v>364</v>
      </c>
      <c r="K348" s="5" t="s">
        <v>344</v>
      </c>
      <c r="L348" s="5" t="s">
        <v>26351</v>
      </c>
      <c r="M348" s="27">
        <v>9032372</v>
      </c>
      <c r="N348" s="5" t="s">
        <v>49638</v>
      </c>
      <c r="O348" s="5" t="str">
        <v>1657065214</v>
      </c>
      <c r="P348" s="27">
        <v>10000</v>
      </c>
      <c r="Q348" s="5" t="s">
        <v>49639</v>
      </c>
      <c r="R348" s="5" t="s">
        <v>49640</v>
      </c>
      <c r="S348" s="5" t="s">
        <v>49641</v>
      </c>
      <c r="T348" s="28">
        <v>1189419000</v>
      </c>
      <c r="U348" s="28"/>
      <c r="V348" s="28">
        <v>1338834000</v>
      </c>
      <c r="W348" s="28">
        <v>83435000</v>
      </c>
      <c r="X348" s="28">
        <v>2359495000</v>
      </c>
      <c r="Y348" s="28">
        <v>9078094000</v>
      </c>
      <c r="Z348" s="28">
        <v>11156000</v>
      </c>
      <c r="AA348" s="28">
        <v>1085762000</v>
      </c>
      <c r="AB348" s="28">
        <v>1029810000</v>
      </c>
      <c r="AC348" s="28">
        <v>7443616000</v>
      </c>
      <c r="AD348" s="28">
        <v>416819000</v>
      </c>
      <c r="AE348" s="28">
        <v>4875993000</v>
      </c>
      <c r="AF348" s="28">
        <v>18708000</v>
      </c>
      <c r="AG348" s="11"/>
    </row>
    <row r="349">
      <c r="A349" s="7" t="s">
        <v>2096</v>
      </c>
      <c r="B349" s="5" t="s">
        <v>10066</v>
      </c>
      <c r="C349" s="5" t="s">
        <v>17966</v>
      </c>
      <c r="D349" s="5"/>
      <c r="E349" s="0" t="e">
        <f>+7 (938) 252944
+7 (800) 2001171
+7 (878) 2210609</f>
        <v>#NAME?</v>
      </c>
      <c r="F349" s="5" t="s">
        <v>26352</v>
      </c>
      <c r="G349" s="5" t="s">
        <v>26353</v>
      </c>
      <c r="H349" s="26">
        <v>25</v>
      </c>
      <c r="I349" s="5" t="s">
        <v>26354</v>
      </c>
      <c r="J349" s="5" t="s">
        <v>26355</v>
      </c>
      <c r="K349" s="5" t="s">
        <v>344</v>
      </c>
      <c r="L349" s="5" t="s">
        <v>26356</v>
      </c>
      <c r="M349" s="27">
        <v>1302212</v>
      </c>
      <c r="N349" s="5"/>
      <c r="O349" s="5" t="str">
        <v>0901039797</v>
      </c>
      <c r="P349" s="27">
        <v>10000000</v>
      </c>
      <c r="Q349" s="5" t="s">
        <v>49446</v>
      </c>
      <c r="R349" s="5"/>
      <c r="S349" s="5" t="s">
        <v>49642</v>
      </c>
      <c r="T349" s="28">
        <v>389118000</v>
      </c>
      <c r="U349" s="28"/>
      <c r="V349" s="28">
        <v>383855000</v>
      </c>
      <c r="W349" s="28">
        <v>202281000</v>
      </c>
      <c r="X349" s="28">
        <v>22409000</v>
      </c>
      <c r="Y349" s="28">
        <v>1404130000</v>
      </c>
      <c r="Z349" s="28">
        <v>378685000</v>
      </c>
      <c r="AA349" s="28">
        <v>50900000</v>
      </c>
      <c r="AB349" s="28">
        <v>532518000</v>
      </c>
      <c r="AC349" s="28">
        <v>903600000</v>
      </c>
      <c r="AD349" s="28">
        <v>388907000</v>
      </c>
      <c r="AE349" s="28">
        <v>3229589000</v>
      </c>
      <c r="AF349" s="28">
        <v>84904000</v>
      </c>
      <c r="AG349" s="11"/>
    </row>
    <row r="350">
      <c r="A350" s="7" t="s">
        <v>2097</v>
      </c>
      <c r="B350" s="5" t="s">
        <v>10067</v>
      </c>
      <c r="C350" s="5" t="s">
        <v>17967</v>
      </c>
      <c r="D350" s="5" t="str">
        <v>027707526604</v>
      </c>
      <c r="E350" s="0" t="e">
        <f>+7 (3472) 404599
+7 (3472) 405277
+7 (3472) 405600
+7 (3472) 405814
+7 (3472) 405821
+7 (3472) 405830
+7 (3472) 405901
+7 (3472) 609621
+7 (3472) 609635
+7 (3472) 609734
+7 (986) 9612795</f>
        <v>#NAME?</v>
      </c>
      <c r="F350" s="5" t="s">
        <v>26357</v>
      </c>
      <c r="G350" s="5" t="s">
        <v>26358</v>
      </c>
      <c r="H350" s="26">
        <v>18</v>
      </c>
      <c r="I350" s="5" t="s">
        <v>26359</v>
      </c>
      <c r="J350" s="5" t="s">
        <v>373</v>
      </c>
      <c r="K350" s="5" t="s">
        <v>344</v>
      </c>
      <c r="L350" s="5"/>
      <c r="M350" s="27"/>
      <c r="N350" s="5" t="s">
        <v>49643</v>
      </c>
      <c r="O350" s="5" t="str">
        <v>0277067012</v>
      </c>
      <c r="P350" s="27">
        <v>1651000</v>
      </c>
      <c r="Q350" s="5" t="s">
        <v>49644</v>
      </c>
      <c r="R350" s="5"/>
      <c r="S350" s="5" t="s">
        <v>49645</v>
      </c>
      <c r="T350" s="28">
        <v>20485000</v>
      </c>
      <c r="U350" s="28">
        <v>63000</v>
      </c>
      <c r="V350" s="28">
        <v>486351000</v>
      </c>
      <c r="W350" s="28">
        <v>60000000</v>
      </c>
      <c r="X350" s="28">
        <v>88765000</v>
      </c>
      <c r="Y350" s="28">
        <v>672091000</v>
      </c>
      <c r="Z350" s="28">
        <v>290936000</v>
      </c>
      <c r="AA350" s="28"/>
      <c r="AB350" s="28">
        <v>60066000</v>
      </c>
      <c r="AC350" s="28">
        <v>379338000</v>
      </c>
      <c r="AD350" s="28">
        <v>292752000</v>
      </c>
      <c r="AE350" s="28">
        <v>4203515000</v>
      </c>
      <c r="AF350" s="28">
        <v>1048000</v>
      </c>
      <c r="AG350" s="11"/>
    </row>
    <row r="351">
      <c r="A351" s="7" t="s">
        <v>2098</v>
      </c>
      <c r="B351" s="5" t="s">
        <v>10068</v>
      </c>
      <c r="C351" s="5" t="s">
        <v>17968</v>
      </c>
      <c r="D351" s="5" t="str">
        <v>780207876281</v>
      </c>
      <c r="E351" s="0" t="e">
        <f>+7 (421) 2259425
+7 (421) 2930299
+7 (4234) 322520
+7 (4234) 370540
+7 (812) 2975654
+7 (812) 5342003
+7 (812) 5348351
+7 (812) 5962803
+7 (812) 5962813
+7 (812) 5962823
+7 (812) 5962833
+7 (812) 5962843
+7 (812) 6050055
+7 (812) 7174848
+7 (914) 6670110</f>
        <v>#NAME?</v>
      </c>
      <c r="F351" s="5" t="s">
        <v>26360</v>
      </c>
      <c r="G351" s="5" t="s">
        <v>26361</v>
      </c>
      <c r="H351" s="26">
        <v>24.5</v>
      </c>
      <c r="I351" s="5" t="s">
        <v>26362</v>
      </c>
      <c r="J351" s="5" t="s">
        <v>26363</v>
      </c>
      <c r="K351" s="5" t="s">
        <v>344</v>
      </c>
      <c r="L351" s="5" t="s">
        <v>26364</v>
      </c>
      <c r="M351" s="27"/>
      <c r="N351" s="5" t="s">
        <v>49646</v>
      </c>
      <c r="O351" s="5" t="str">
        <v>7825692852</v>
      </c>
      <c r="P351" s="27">
        <v>29160000</v>
      </c>
      <c r="Q351" s="5"/>
      <c r="R351" s="5" t="s">
        <v>49647</v>
      </c>
      <c r="S351" s="5" t="s">
        <v>49062</v>
      </c>
      <c r="T351" s="28">
        <v>353601000</v>
      </c>
      <c r="U351" s="28">
        <v>325816000</v>
      </c>
      <c r="V351" s="28">
        <v>972967000</v>
      </c>
      <c r="W351" s="28"/>
      <c r="X351" s="28">
        <v>647605000</v>
      </c>
      <c r="Y351" s="28">
        <v>4232610000</v>
      </c>
      <c r="Z351" s="28">
        <v>3419809000</v>
      </c>
      <c r="AA351" s="28"/>
      <c r="AB351" s="28">
        <v>274795000</v>
      </c>
      <c r="AC351" s="28">
        <v>775872000</v>
      </c>
      <c r="AD351" s="28">
        <v>3448969000</v>
      </c>
      <c r="AE351" s="28">
        <v>4480643000</v>
      </c>
      <c r="AF351" s="28">
        <v>554693000</v>
      </c>
      <c r="AG351" s="11"/>
    </row>
    <row r="352">
      <c r="A352" s="7" t="s">
        <v>2099</v>
      </c>
      <c r="B352" s="5" t="s">
        <v>10069</v>
      </c>
      <c r="C352" s="5" t="s">
        <v>17969</v>
      </c>
      <c r="D352" s="5" t="str">
        <v>130803418622</v>
      </c>
      <c r="E352" s="0" t="e">
        <f>+7 (495) 7773876</f>
        <v>#NAME?</v>
      </c>
      <c r="F352" s="5" t="s">
        <v>26365</v>
      </c>
      <c r="G352" s="5"/>
      <c r="H352" s="26">
        <v>21</v>
      </c>
      <c r="I352" s="5" t="s">
        <v>26366</v>
      </c>
      <c r="J352" s="5" t="s">
        <v>26367</v>
      </c>
      <c r="K352" s="5" t="s">
        <v>355</v>
      </c>
      <c r="L352" s="5"/>
      <c r="M352" s="27"/>
      <c r="N352" s="5" t="s">
        <v>49648</v>
      </c>
      <c r="O352" s="5" t="str">
        <v>7725184492</v>
      </c>
      <c r="P352" s="27">
        <v>10000</v>
      </c>
      <c r="Q352" s="5" t="s">
        <v>49579</v>
      </c>
      <c r="R352" s="5"/>
      <c r="S352" s="5" t="s">
        <v>49649</v>
      </c>
      <c r="T352" s="28">
        <v>14041000</v>
      </c>
      <c r="U352" s="28"/>
      <c r="V352" s="28">
        <v>903780000</v>
      </c>
      <c r="W352" s="28">
        <v>143000000</v>
      </c>
      <c r="X352" s="28">
        <v>9595000</v>
      </c>
      <c r="Y352" s="28">
        <v>1628329000</v>
      </c>
      <c r="Z352" s="28">
        <v>549860000</v>
      </c>
      <c r="AA352" s="28"/>
      <c r="AB352" s="28"/>
      <c r="AC352" s="28">
        <v>1078458000</v>
      </c>
      <c r="AD352" s="28">
        <v>549870000</v>
      </c>
      <c r="AE352" s="28">
        <v>5045480000</v>
      </c>
      <c r="AF352" s="28">
        <v>18945000</v>
      </c>
      <c r="AG352" s="11"/>
    </row>
    <row r="353">
      <c r="A353" s="7" t="s">
        <v>2100</v>
      </c>
      <c r="B353" s="5" t="s">
        <v>10070</v>
      </c>
      <c r="C353" s="5" t="s">
        <v>17970</v>
      </c>
      <c r="D353" s="5" t="str">
        <v>290104909315</v>
      </c>
      <c r="E353" s="0" t="e">
        <f>+7 (495) 6608100
+7 (495) 9407090</f>
        <v>#NAME?</v>
      </c>
      <c r="F353" s="5"/>
      <c r="G353" s="5" t="s">
        <v>26368</v>
      </c>
      <c r="H353" s="26">
        <v>18</v>
      </c>
      <c r="I353" s="5" t="s">
        <v>26369</v>
      </c>
      <c r="J353" s="5" t="s">
        <v>26198</v>
      </c>
      <c r="K353" s="5" t="s">
        <v>344</v>
      </c>
      <c r="L353" s="5" t="s">
        <v>26370</v>
      </c>
      <c r="M353" s="27"/>
      <c r="N353" s="5"/>
      <c r="O353" s="5" t="str">
        <v>7714586810</v>
      </c>
      <c r="P353" s="27">
        <v>10000</v>
      </c>
      <c r="Q353" s="5" t="s">
        <v>49009</v>
      </c>
      <c r="R353" s="5"/>
      <c r="S353" s="5" t="s">
        <v>49045</v>
      </c>
      <c r="T353" s="28">
        <v>76575000</v>
      </c>
      <c r="U353" s="28">
        <v>11000</v>
      </c>
      <c r="V353" s="28">
        <v>1181697000</v>
      </c>
      <c r="W353" s="28"/>
      <c r="X353" s="28">
        <v>13346000</v>
      </c>
      <c r="Y353" s="28">
        <v>1588042000</v>
      </c>
      <c r="Z353" s="28">
        <v>1191360000</v>
      </c>
      <c r="AA353" s="28"/>
      <c r="AB353" s="28"/>
      <c r="AC353" s="28">
        <v>336059000</v>
      </c>
      <c r="AD353" s="28">
        <v>1191370000</v>
      </c>
      <c r="AE353" s="28">
        <v>4365140000</v>
      </c>
      <c r="AF353" s="28">
        <v>341382000</v>
      </c>
      <c r="AG353" s="11"/>
    </row>
    <row r="354">
      <c r="A354" s="7" t="s">
        <v>2101</v>
      </c>
      <c r="B354" s="5" t="s">
        <v>10071</v>
      </c>
      <c r="C354" s="5" t="s">
        <v>17971</v>
      </c>
      <c r="D354" s="5" t="str">
        <v>780214064989</v>
      </c>
      <c r="E354" s="0" t="e">
        <f>+7 (812) 3206368
+7 (495) 6608100
+7 (800) 3338100
+7 (800) 5501227
+7 (800) 5551020
+7 (812) 3252623</f>
        <v>#NAME?</v>
      </c>
      <c r="F354" s="5" t="s">
        <v>26371</v>
      </c>
      <c r="G354" s="5" t="s">
        <v>26372</v>
      </c>
      <c r="H354" s="26">
        <v>19</v>
      </c>
      <c r="I354" s="5"/>
      <c r="J354" s="5" t="s">
        <v>26198</v>
      </c>
      <c r="K354" s="5" t="s">
        <v>344</v>
      </c>
      <c r="L354" s="5" t="s">
        <v>26373</v>
      </c>
      <c r="M354" s="27"/>
      <c r="N354" s="5" t="s">
        <v>49650</v>
      </c>
      <c r="O354" s="5" t="str">
        <v>7813195260</v>
      </c>
      <c r="P354" s="27">
        <v>110000</v>
      </c>
      <c r="Q354" s="5" t="s">
        <v>49059</v>
      </c>
      <c r="R354" s="5"/>
      <c r="S354" s="5" t="s">
        <v>49110</v>
      </c>
      <c r="T354" s="28">
        <v>6507000</v>
      </c>
      <c r="U354" s="28">
        <v>115779000</v>
      </c>
      <c r="V354" s="28">
        <v>1305269000</v>
      </c>
      <c r="W354" s="28">
        <v>103000000</v>
      </c>
      <c r="X354" s="28">
        <v>11898000</v>
      </c>
      <c r="Y354" s="28">
        <v>1594265000</v>
      </c>
      <c r="Z354" s="28">
        <v>1313886000</v>
      </c>
      <c r="AA354" s="28"/>
      <c r="AB354" s="28"/>
      <c r="AC354" s="28">
        <v>254660000</v>
      </c>
      <c r="AD354" s="28">
        <v>1313996000</v>
      </c>
      <c r="AE354" s="28">
        <v>4918726000</v>
      </c>
      <c r="AF354" s="28">
        <v>252662000</v>
      </c>
      <c r="AG354" s="11"/>
    </row>
    <row r="355">
      <c r="A355" s="7" t="s">
        <v>2102</v>
      </c>
      <c r="B355" s="5" t="s">
        <v>10072</v>
      </c>
      <c r="C355" s="5" t="s">
        <v>17972</v>
      </c>
      <c r="D355" s="5" t="str">
        <v>780105810570</v>
      </c>
      <c r="E355" s="0" t="e">
        <f>+7 (495) 1344200
+7 (800) 3337752
+7 (800) 5558100
+7 (812) 2350745
+7 (812) 2352152
+7 (812) 2352623
+7 (812) 2352626
+7 (812) 2352642
+7 (812) 2357114
+7 (812) 2357612
+7 (812) 2357712
+7 (812) 3250400
+7 (812) 3252623
+7 (812) 3252642
+7 (812) 3290794</f>
        <v>#NAME?</v>
      </c>
      <c r="F355" s="5" t="s">
        <v>26374</v>
      </c>
      <c r="G355" s="5" t="s">
        <v>26375</v>
      </c>
      <c r="H355" s="26">
        <v>31</v>
      </c>
      <c r="I355" s="5" t="s">
        <v>26376</v>
      </c>
      <c r="J355" s="5" t="s">
        <v>26363</v>
      </c>
      <c r="K355" s="5" t="s">
        <v>344</v>
      </c>
      <c r="L355" s="5" t="s">
        <v>26377</v>
      </c>
      <c r="M355" s="27"/>
      <c r="N355" s="5"/>
      <c r="O355" s="5" t="str">
        <v>7813120106</v>
      </c>
      <c r="P355" s="27">
        <v>10000000</v>
      </c>
      <c r="Q355" s="5" t="s">
        <v>49009</v>
      </c>
      <c r="R355" s="5" t="s">
        <v>49651</v>
      </c>
      <c r="S355" s="5" t="s">
        <v>49066</v>
      </c>
      <c r="T355" s="28">
        <v>869145000</v>
      </c>
      <c r="U355" s="28">
        <v>2286756000</v>
      </c>
      <c r="V355" s="28">
        <v>1443161000</v>
      </c>
      <c r="W355" s="28">
        <v>860233000</v>
      </c>
      <c r="X355" s="28">
        <v>523125000</v>
      </c>
      <c r="Y355" s="28">
        <v>7053719000</v>
      </c>
      <c r="Z355" s="28">
        <v>6556451000</v>
      </c>
      <c r="AA355" s="28">
        <v>5000000</v>
      </c>
      <c r="AB355" s="28">
        <v>77000</v>
      </c>
      <c r="AC355" s="28">
        <v>358179000</v>
      </c>
      <c r="AD355" s="28">
        <v>6567495000</v>
      </c>
      <c r="AE355" s="28">
        <v>7079442000</v>
      </c>
      <c r="AF355" s="28">
        <v>992067000</v>
      </c>
      <c r="AG355" s="11"/>
    </row>
    <row r="356">
      <c r="A356" s="7" t="s">
        <v>2103</v>
      </c>
      <c r="B356" s="5" t="s">
        <v>10073</v>
      </c>
      <c r="C356" s="5" t="s">
        <v>17973</v>
      </c>
      <c r="D356" s="5" t="str">
        <v>780150289078</v>
      </c>
      <c r="F356" s="5" t="s">
        <v>26378</v>
      </c>
      <c r="G356" s="5"/>
      <c r="H356" s="26">
        <v>4</v>
      </c>
      <c r="I356" s="5" t="s">
        <v>26379</v>
      </c>
      <c r="J356" s="5" t="s">
        <v>25190</v>
      </c>
      <c r="K356" s="5" t="s">
        <v>355</v>
      </c>
      <c r="L356" s="5" t="s">
        <v>26380</v>
      </c>
      <c r="M356" s="27">
        <v>31971</v>
      </c>
      <c r="N356" s="5"/>
      <c r="O356" s="5" t="str">
        <v>7727411567</v>
      </c>
      <c r="P356" s="27">
        <v>150000</v>
      </c>
      <c r="Q356" s="5" t="s">
        <v>49021</v>
      </c>
      <c r="R356" s="5"/>
      <c r="S356" s="5" t="s">
        <v>49652</v>
      </c>
      <c r="T356" s="28">
        <v>1707000</v>
      </c>
      <c r="U356" s="28"/>
      <c r="V356" s="28">
        <v>765275000</v>
      </c>
      <c r="W356" s="28">
        <v>271674000</v>
      </c>
      <c r="X356" s="28">
        <v>110878000</v>
      </c>
      <c r="Y356" s="28">
        <v>2021988000</v>
      </c>
      <c r="Z356" s="28">
        <v>181729000</v>
      </c>
      <c r="AA356" s="28">
        <v>10000000</v>
      </c>
      <c r="AB356" s="28">
        <v>7367000</v>
      </c>
      <c r="AC356" s="28">
        <v>1830109000</v>
      </c>
      <c r="AD356" s="28">
        <v>181879000</v>
      </c>
      <c r="AE356" s="28">
        <v>4101091000</v>
      </c>
      <c r="AF356" s="28">
        <v>74537000</v>
      </c>
      <c r="AG356" s="11"/>
    </row>
    <row r="357">
      <c r="A357" s="7" t="s">
        <v>2104</v>
      </c>
      <c r="B357" s="5" t="s">
        <v>10074</v>
      </c>
      <c r="C357" s="5" t="s">
        <v>17974</v>
      </c>
      <c r="D357" s="5"/>
      <c r="E357" s="0" t="e">
        <f>+7 (473) 2069484
+7 (473) 2069485
+7 (473) 2069486
+7 (473) 2069487
+7 (812) 3743588
+7 (903) 8633270</f>
        <v>#NAME?</v>
      </c>
      <c r="F357" s="5" t="s">
        <v>26381</v>
      </c>
      <c r="G357" s="5"/>
      <c r="H357" s="26">
        <v>10.5</v>
      </c>
      <c r="I357" s="5" t="s">
        <v>26382</v>
      </c>
      <c r="J357" s="5" t="s">
        <v>26383</v>
      </c>
      <c r="K357" s="5" t="s">
        <v>344</v>
      </c>
      <c r="L357" s="5" t="s">
        <v>26384</v>
      </c>
      <c r="M357" s="27"/>
      <c r="N357" s="5"/>
      <c r="O357" s="5" t="str">
        <v>2310165912</v>
      </c>
      <c r="P357" s="27">
        <v>1000000</v>
      </c>
      <c r="Q357" s="5" t="s">
        <v>49009</v>
      </c>
      <c r="R357" s="5"/>
      <c r="S357" s="5" t="s">
        <v>49653</v>
      </c>
      <c r="T357" s="28">
        <v>3056236000</v>
      </c>
      <c r="U357" s="28"/>
      <c r="V357" s="28">
        <v>2290572000</v>
      </c>
      <c r="W357" s="28"/>
      <c r="X357" s="28">
        <v>592000</v>
      </c>
      <c r="Y357" s="28">
        <v>7397043000</v>
      </c>
      <c r="Z357" s="28">
        <v>2038969000</v>
      </c>
      <c r="AA357" s="28"/>
      <c r="AB357" s="28">
        <v>3351901000</v>
      </c>
      <c r="AC357" s="28">
        <v>4314503000</v>
      </c>
      <c r="AD357" s="28">
        <v>2039969000</v>
      </c>
      <c r="AE357" s="28">
        <v>21632059000</v>
      </c>
      <c r="AF357" s="28">
        <v>534891000</v>
      </c>
      <c r="AG357" s="11"/>
    </row>
    <row r="358">
      <c r="A358" s="7" t="s">
        <v>2105</v>
      </c>
      <c r="B358" s="5" t="s">
        <v>10075</v>
      </c>
      <c r="C358" s="5" t="s">
        <v>17975</v>
      </c>
      <c r="D358" s="5" t="str">
        <v>230807457343</v>
      </c>
      <c r="E358" s="0" t="e">
        <f>+7 (925) 5181984
+7 (495) 5181984
+7 (903) 2824498</f>
        <v>#NAME?</v>
      </c>
      <c r="F358" s="5" t="s">
        <v>26385</v>
      </c>
      <c r="G358" s="5" t="s">
        <v>26386</v>
      </c>
      <c r="H358" s="26">
        <v>11</v>
      </c>
      <c r="I358" s="5" t="s">
        <v>26387</v>
      </c>
      <c r="J358" s="5" t="s">
        <v>373</v>
      </c>
      <c r="K358" s="5" t="s">
        <v>344</v>
      </c>
      <c r="L358" s="5" t="s">
        <v>26388</v>
      </c>
      <c r="M358" s="27">
        <v>4906738</v>
      </c>
      <c r="N358" s="5"/>
      <c r="O358" s="5" t="str">
        <v>7701955925</v>
      </c>
      <c r="P358" s="27">
        <v>100000</v>
      </c>
      <c r="Q358" s="5" t="s">
        <v>49021</v>
      </c>
      <c r="R358" s="5"/>
      <c r="S358" s="5" t="s">
        <v>49654</v>
      </c>
      <c r="T358" s="28">
        <v>6022000</v>
      </c>
      <c r="U358" s="28"/>
      <c r="V358" s="28">
        <v>1217413000</v>
      </c>
      <c r="W358" s="28"/>
      <c r="X358" s="28">
        <v>12989000</v>
      </c>
      <c r="Y358" s="28">
        <v>1247228000</v>
      </c>
      <c r="Z358" s="28">
        <v>203800000</v>
      </c>
      <c r="AA358" s="28"/>
      <c r="AB358" s="28">
        <v>164225000</v>
      </c>
      <c r="AC358" s="28">
        <v>1043328000</v>
      </c>
      <c r="AD358" s="28">
        <v>203900000</v>
      </c>
      <c r="AE358" s="28">
        <v>14118738000</v>
      </c>
      <c r="AF358" s="28">
        <v>63837000</v>
      </c>
      <c r="AG358" s="11"/>
    </row>
    <row r="359">
      <c r="A359" s="7" t="s">
        <v>2106</v>
      </c>
      <c r="B359" s="5" t="s">
        <v>10076</v>
      </c>
      <c r="C359" s="5" t="s">
        <v>17976</v>
      </c>
      <c r="D359" s="5" t="str">
        <v>501815632906</v>
      </c>
      <c r="E359" s="0" t="e">
        <f>+7 (495) 7952422
+7 (495) 7950160
+7 (495) 7954011</f>
        <v>#NAME?</v>
      </c>
      <c r="F359" s="5" t="s">
        <v>26389</v>
      </c>
      <c r="G359" s="5" t="s">
        <v>26390</v>
      </c>
      <c r="H359" s="26">
        <v>24.5</v>
      </c>
      <c r="I359" s="5"/>
      <c r="J359" s="5" t="s">
        <v>26391</v>
      </c>
      <c r="K359" s="5" t="s">
        <v>344</v>
      </c>
      <c r="L359" s="5" t="s">
        <v>26392</v>
      </c>
      <c r="M359" s="27"/>
      <c r="N359" s="5"/>
      <c r="O359" s="5" t="str">
        <v>5001027607</v>
      </c>
      <c r="P359" s="27">
        <v>5935000</v>
      </c>
      <c r="Q359" s="5" t="s">
        <v>49009</v>
      </c>
      <c r="R359" s="5"/>
      <c r="S359" s="5" t="s">
        <v>49066</v>
      </c>
      <c r="T359" s="28">
        <v>612702000</v>
      </c>
      <c r="U359" s="28"/>
      <c r="V359" s="28">
        <v>889650000</v>
      </c>
      <c r="W359" s="28"/>
      <c r="X359" s="28">
        <v>936725000</v>
      </c>
      <c r="Y359" s="28">
        <v>3448548000</v>
      </c>
      <c r="Z359" s="28">
        <v>2851719000</v>
      </c>
      <c r="AA359" s="28"/>
      <c r="AB359" s="28"/>
      <c r="AC359" s="28">
        <v>534012000</v>
      </c>
      <c r="AD359" s="28">
        <v>2857922000</v>
      </c>
      <c r="AE359" s="28">
        <v>6694272000</v>
      </c>
      <c r="AF359" s="28">
        <v>1514520000</v>
      </c>
      <c r="AG359" s="11"/>
    </row>
    <row r="360">
      <c r="A360" s="7" t="s">
        <v>2107</v>
      </c>
      <c r="B360" s="5" t="s">
        <v>10077</v>
      </c>
      <c r="C360" s="5" t="s">
        <v>17977</v>
      </c>
      <c r="D360" s="5" t="str">
        <v>773105425610</v>
      </c>
      <c r="E360" s="0" t="e">
        <f>+7 (474) 2318766
+7 (474) 2318788
+7 (474) 2318797
+7 (474) 2318807
+7 (474) 2384952</f>
        <v>#NAME?</v>
      </c>
      <c r="F360" s="5"/>
      <c r="G360" s="5"/>
      <c r="H360" s="26">
        <v>18</v>
      </c>
      <c r="I360" s="5" t="s">
        <v>26393</v>
      </c>
      <c r="J360" s="5" t="s">
        <v>26394</v>
      </c>
      <c r="K360" s="5" t="s">
        <v>355</v>
      </c>
      <c r="L360" s="5" t="s">
        <v>26395</v>
      </c>
      <c r="M360" s="27"/>
      <c r="N360" s="5" t="s">
        <v>49655</v>
      </c>
      <c r="O360" s="5" t="str">
        <v>4825041742</v>
      </c>
      <c r="P360" s="27">
        <v>16010000</v>
      </c>
      <c r="Q360" s="5" t="s">
        <v>49009</v>
      </c>
      <c r="R360" s="5" t="s">
        <v>49656</v>
      </c>
      <c r="S360" s="5" t="s">
        <v>49028</v>
      </c>
      <c r="T360" s="28">
        <v>1173749000</v>
      </c>
      <c r="U360" s="28"/>
      <c r="V360" s="28">
        <v>877664000</v>
      </c>
      <c r="W360" s="28">
        <v>400000000</v>
      </c>
      <c r="X360" s="28">
        <v>976472000</v>
      </c>
      <c r="Y360" s="28">
        <v>4327153000</v>
      </c>
      <c r="Z360" s="28">
        <v>2954461000</v>
      </c>
      <c r="AA360" s="28"/>
      <c r="AB360" s="28">
        <v>408690000</v>
      </c>
      <c r="AC360" s="28">
        <v>1185125000</v>
      </c>
      <c r="AD360" s="28">
        <v>3060078000</v>
      </c>
      <c r="AE360" s="28">
        <v>5374746000</v>
      </c>
      <c r="AF360" s="28">
        <v>-854387000</v>
      </c>
      <c r="AG360" s="11"/>
    </row>
    <row r="361">
      <c r="A361" s="7" t="s">
        <v>2108</v>
      </c>
      <c r="B361" s="5" t="s">
        <v>10078</v>
      </c>
      <c r="C361" s="5" t="s">
        <v>17978</v>
      </c>
      <c r="D361" s="5" t="str">
        <v>507306133861</v>
      </c>
      <c r="E361" s="0" t="e">
        <f>+7 (495) 4118420
+7 (495) 4117350
+7 (495) 9602890
+7 (49642) 27444
+7 (49642) 27454
+7 (8352) 738854</f>
        <v>#NAME?</v>
      </c>
      <c r="F361" s="5" t="s">
        <v>26396</v>
      </c>
      <c r="G361" s="5" t="s">
        <v>26397</v>
      </c>
      <c r="H361" s="26">
        <v>18.5</v>
      </c>
      <c r="I361" s="5" t="s">
        <v>26398</v>
      </c>
      <c r="J361" s="5" t="s">
        <v>26394</v>
      </c>
      <c r="K361" s="5" t="s">
        <v>344</v>
      </c>
      <c r="L361" s="5" t="s">
        <v>26399</v>
      </c>
      <c r="M361" s="27"/>
      <c r="N361" s="5"/>
      <c r="O361" s="5" t="str">
        <v>5034019048</v>
      </c>
      <c r="P361" s="27">
        <v>267159000</v>
      </c>
      <c r="Q361" s="5" t="s">
        <v>49009</v>
      </c>
      <c r="R361" s="5"/>
      <c r="S361" s="5" t="s">
        <v>49045</v>
      </c>
      <c r="T361" s="28">
        <v>671475000</v>
      </c>
      <c r="U361" s="28"/>
      <c r="V361" s="28">
        <v>396625000</v>
      </c>
      <c r="W361" s="28"/>
      <c r="X361" s="28">
        <v>122151000</v>
      </c>
      <c r="Y361" s="28">
        <v>2288426000</v>
      </c>
      <c r="Z361" s="28">
        <v>1241535000</v>
      </c>
      <c r="AA361" s="28"/>
      <c r="AB361" s="28">
        <v>403033000</v>
      </c>
      <c r="AC361" s="28">
        <v>758786000</v>
      </c>
      <c r="AD361" s="28">
        <v>1508694000</v>
      </c>
      <c r="AE361" s="28">
        <v>3982794000</v>
      </c>
      <c r="AF361" s="28">
        <v>-109726000</v>
      </c>
      <c r="AG361" s="11"/>
    </row>
    <row r="362">
      <c r="A362" s="7" t="s">
        <v>2109</v>
      </c>
      <c r="B362" s="5" t="s">
        <v>10079</v>
      </c>
      <c r="C362" s="5" t="s">
        <v>17979</v>
      </c>
      <c r="D362" s="5" t="str">
        <v>252500923417</v>
      </c>
      <c r="E362" s="0" t="e">
        <f>+7 (423) 2388692
+7 (423) 2389416
+7 (3433) 10800
+7 (383) 2120545
+7 (383) 2125184
+7 (391) 2285258
+7 (3952) 706141
+7 (421) 2372239
+7 (4232) 633887
+7 (4232) 790664
+7 (495) 7857346
+7 (495) 9169198
+7 (812) 7407846
+7 (812) 7407847
+7 (8432) 487070</f>
        <v>#NAME?</v>
      </c>
      <c r="F362" s="5" t="s">
        <v>26400</v>
      </c>
      <c r="G362" s="5" t="s">
        <v>26401</v>
      </c>
      <c r="H362" s="26">
        <v>17</v>
      </c>
      <c r="I362" s="5" t="s">
        <v>26402</v>
      </c>
      <c r="J362" s="5" t="s">
        <v>25559</v>
      </c>
      <c r="K362" s="5" t="s">
        <v>344</v>
      </c>
      <c r="L362" s="5" t="s">
        <v>26403</v>
      </c>
      <c r="M362" s="27"/>
      <c r="N362" s="5"/>
      <c r="O362" s="5" t="str">
        <v>2540117060</v>
      </c>
      <c r="P362" s="27">
        <v>130000</v>
      </c>
      <c r="Q362" s="5" t="s">
        <v>49009</v>
      </c>
      <c r="R362" s="5"/>
      <c r="S362" s="5" t="s">
        <v>49010</v>
      </c>
      <c r="T362" s="28">
        <v>500291000</v>
      </c>
      <c r="U362" s="28"/>
      <c r="V362" s="28">
        <v>444844000</v>
      </c>
      <c r="W362" s="28">
        <v>354000000</v>
      </c>
      <c r="X362" s="28">
        <v>151329000</v>
      </c>
      <c r="Y362" s="28">
        <v>2784831000</v>
      </c>
      <c r="Z362" s="28">
        <v>1999595000</v>
      </c>
      <c r="AA362" s="28">
        <v>174888000</v>
      </c>
      <c r="AB362" s="28"/>
      <c r="AC362" s="28">
        <v>485139000</v>
      </c>
      <c r="AD362" s="28">
        <v>1999725000</v>
      </c>
      <c r="AE362" s="28">
        <v>6175740000</v>
      </c>
      <c r="AF362" s="28">
        <v>1162184000</v>
      </c>
      <c r="AG362" s="11"/>
    </row>
    <row r="363">
      <c r="A363" s="7" t="s">
        <v>2110</v>
      </c>
      <c r="B363" s="5" t="s">
        <v>10080</v>
      </c>
      <c r="C363" s="5" t="s">
        <v>17980</v>
      </c>
      <c r="D363" s="5" t="str">
        <v>245407695846</v>
      </c>
      <c r="E363" s="0" t="e">
        <f>+7 (3537) 779112
+7 (353) 7624905
+7 (35376) 6112
+7 (35376) 56111
+7 (35377) 79111</f>
        <v>#NAME?</v>
      </c>
      <c r="F363" s="5" t="s">
        <v>26404</v>
      </c>
      <c r="G363" s="5" t="s">
        <v>26405</v>
      </c>
      <c r="H363" s="26">
        <v>20.5</v>
      </c>
      <c r="I363" s="5" t="s">
        <v>26406</v>
      </c>
      <c r="J363" s="5" t="s">
        <v>26407</v>
      </c>
      <c r="K363" s="5" t="s">
        <v>355</v>
      </c>
      <c r="L363" s="5" t="s">
        <v>26408</v>
      </c>
      <c r="M363" s="27">
        <v>192000</v>
      </c>
      <c r="N363" s="5" t="s">
        <v>49657</v>
      </c>
      <c r="O363" s="5" t="str">
        <v>5607015014</v>
      </c>
      <c r="P363" s="27">
        <v>166678000</v>
      </c>
      <c r="Q363" s="5" t="s">
        <v>49659</v>
      </c>
      <c r="R363" s="5"/>
      <c r="S363" s="5" t="s">
        <v>49660</v>
      </c>
      <c r="T363" s="28">
        <v>12565742000</v>
      </c>
      <c r="U363" s="28">
        <v>20150787000</v>
      </c>
      <c r="V363" s="28">
        <v>2795779000</v>
      </c>
      <c r="W363" s="28"/>
      <c r="X363" s="28">
        <v>843120000</v>
      </c>
      <c r="Y363" s="28">
        <v>40798713000</v>
      </c>
      <c r="Z363" s="28">
        <v>5383716000</v>
      </c>
      <c r="AA363" s="28">
        <v>19205369000</v>
      </c>
      <c r="AB363" s="28">
        <v>4710406000</v>
      </c>
      <c r="AC363" s="28">
        <v>6536025000</v>
      </c>
      <c r="AD363" s="28">
        <v>13029755000</v>
      </c>
      <c r="AE363" s="28">
        <v>13555757000</v>
      </c>
      <c r="AF363" s="28">
        <v>4472470000</v>
      </c>
      <c r="AG363" s="11"/>
    </row>
    <row r="364">
      <c r="A364" s="7" t="s">
        <v>2111</v>
      </c>
      <c r="B364" s="5" t="s">
        <v>10081</v>
      </c>
      <c r="C364" s="5" t="s">
        <v>17981</v>
      </c>
      <c r="D364" s="5" t="str">
        <v>212803327873</v>
      </c>
      <c r="E364" s="0" t="e">
        <f>+7 (8352) 200244
+7 (8352) 550244
+7 (8352) 630113
+7 (8352) 630212
+7 (8352) 630282
+7 (8352) 631556
+7 (8352) 631671
+7 (8352) 632719</f>
        <v>#NAME?</v>
      </c>
      <c r="F364" s="5" t="s">
        <v>26409</v>
      </c>
      <c r="G364" s="5"/>
      <c r="H364" s="26">
        <v>30</v>
      </c>
      <c r="I364" s="5"/>
      <c r="J364" s="5" t="s">
        <v>26410</v>
      </c>
      <c r="K364" s="5" t="s">
        <v>344</v>
      </c>
      <c r="L364" s="5" t="s">
        <v>26411</v>
      </c>
      <c r="M364" s="27"/>
      <c r="N364" s="5"/>
      <c r="O364" s="5" t="str">
        <v>2126000147</v>
      </c>
      <c r="P364" s="27">
        <v>445767</v>
      </c>
      <c r="Q364" s="5" t="s">
        <v>49009</v>
      </c>
      <c r="R364" s="5"/>
      <c r="S364" s="5" t="s">
        <v>49028</v>
      </c>
      <c r="T364" s="28">
        <v>3139626000</v>
      </c>
      <c r="U364" s="28">
        <v>3906000</v>
      </c>
      <c r="V364" s="28">
        <v>1405718000</v>
      </c>
      <c r="W364" s="28">
        <v>381307000</v>
      </c>
      <c r="X364" s="28">
        <v>4380715000</v>
      </c>
      <c r="Y364" s="28">
        <v>10850003000</v>
      </c>
      <c r="Z364" s="28">
        <v>9234146000</v>
      </c>
      <c r="AA364" s="28"/>
      <c r="AB364" s="28"/>
      <c r="AC364" s="28">
        <v>1318298000</v>
      </c>
      <c r="AD364" s="28">
        <v>9314954000</v>
      </c>
      <c r="AE364" s="28">
        <v>15217513000</v>
      </c>
      <c r="AF364" s="28">
        <v>2623071000</v>
      </c>
      <c r="AG364" s="11"/>
    </row>
    <row r="365">
      <c r="A365" s="7" t="s">
        <v>2112</v>
      </c>
      <c r="B365" s="5" t="s">
        <v>10082</v>
      </c>
      <c r="C365" s="5" t="s">
        <v>17982</v>
      </c>
      <c r="D365" s="5" t="str">
        <v>770302979731</v>
      </c>
      <c r="E365" s="0" t="e">
        <f>+7 (383) 3144799
+7 (383) 3448241
+7 (495) 2234581
+7 (495) 2281313
+7 (495) 6479888
+7 (495) 7489382
+7 (800) 2229494
+7 (8435) 187705
+7 (84630) 20819
+7 (8632) 11235</f>
        <v>#NAME?</v>
      </c>
      <c r="F365" s="5" t="s">
        <v>26412</v>
      </c>
      <c r="G365" s="5" t="s">
        <v>26413</v>
      </c>
      <c r="H365" s="26">
        <v>30</v>
      </c>
      <c r="I365" s="5" t="s">
        <v>26414</v>
      </c>
      <c r="J365" s="5" t="s">
        <v>641</v>
      </c>
      <c r="K365" s="5" t="s">
        <v>344</v>
      </c>
      <c r="L365" s="5"/>
      <c r="M365" s="27">
        <v>1558941</v>
      </c>
      <c r="N365" s="5" t="s">
        <v>49662</v>
      </c>
      <c r="O365" s="5" t="str">
        <v>7729786040</v>
      </c>
      <c r="P365" s="27">
        <v>1001000</v>
      </c>
      <c r="Q365" s="5" t="s">
        <v>49663</v>
      </c>
      <c r="R365" s="5"/>
      <c r="S365" s="5" t="s">
        <v>49664</v>
      </c>
      <c r="T365" s="28">
        <v>30301000</v>
      </c>
      <c r="U365" s="28">
        <v>293922000</v>
      </c>
      <c r="V365" s="28">
        <v>1924265000</v>
      </c>
      <c r="W365" s="28">
        <v>2305665000</v>
      </c>
      <c r="X365" s="28">
        <v>215506000</v>
      </c>
      <c r="Y365" s="28">
        <v>6330279000</v>
      </c>
      <c r="Z365" s="28">
        <v>4985998000</v>
      </c>
      <c r="AA365" s="28"/>
      <c r="AB365" s="28"/>
      <c r="AC365" s="28">
        <v>1322880000</v>
      </c>
      <c r="AD365" s="28">
        <v>4991984000</v>
      </c>
      <c r="AE365" s="28">
        <v>5442901000</v>
      </c>
      <c r="AF365" s="28">
        <v>622423000</v>
      </c>
      <c r="AG365" s="11"/>
    </row>
    <row r="366">
      <c r="A366" s="7" t="s">
        <v>2113</v>
      </c>
      <c r="B366" s="5" t="s">
        <v>10083</v>
      </c>
      <c r="C366" s="5" t="s">
        <v>17983</v>
      </c>
      <c r="D366" s="5" t="str">
        <v>027400296083</v>
      </c>
      <c r="E366" s="0" t="e">
        <f>+7 (3476) 397793
+7 (3472) 391130
+7 (3472) 391411
+7 (34763) 91364
+7 (34763) 91532
+7 (34763) 91641
+7 (34763) 91692
+7 (34763) 93411
+7 (34763) 96566</f>
        <v>#NAME?</v>
      </c>
      <c r="F366" s="5"/>
      <c r="G366" s="5"/>
      <c r="H366" s="26">
        <v>10</v>
      </c>
      <c r="I366" s="5" t="s">
        <v>26415</v>
      </c>
      <c r="J366" s="5" t="s">
        <v>25495</v>
      </c>
      <c r="K366" s="5" t="s">
        <v>355</v>
      </c>
      <c r="L366" s="5"/>
      <c r="M366" s="27"/>
      <c r="N366" s="5"/>
      <c r="O366" s="5" t="str">
        <v>0266040210</v>
      </c>
      <c r="P366" s="27">
        <v>500000</v>
      </c>
      <c r="Q366" s="5" t="s">
        <v>49665</v>
      </c>
      <c r="R366" s="5"/>
      <c r="S366" s="5" t="s">
        <v>49666</v>
      </c>
      <c r="T366" s="28">
        <v>25563803000</v>
      </c>
      <c r="U366" s="28"/>
      <c r="V366" s="28">
        <v>117883000</v>
      </c>
      <c r="W366" s="28">
        <v>10456000</v>
      </c>
      <c r="X366" s="28"/>
      <c r="Y366" s="28">
        <v>29196008000</v>
      </c>
      <c r="Z366" s="28">
        <v>17911000</v>
      </c>
      <c r="AA366" s="28">
        <v>7712774000</v>
      </c>
      <c r="AB366" s="28">
        <v>3029322000</v>
      </c>
      <c r="AC366" s="28">
        <v>6415050000</v>
      </c>
      <c r="AD366" s="28">
        <v>18654000</v>
      </c>
      <c r="AE366" s="28">
        <v>5601528000</v>
      </c>
      <c r="AF366" s="28">
        <v>578129000</v>
      </c>
      <c r="AG366" s="11"/>
    </row>
    <row r="367">
      <c r="A367" s="7" t="s">
        <v>2114</v>
      </c>
      <c r="B367" s="5" t="s">
        <v>10084</v>
      </c>
      <c r="C367" s="5" t="s">
        <v>17984</v>
      </c>
      <c r="D367" s="5" t="str">
        <v>772006205450</v>
      </c>
      <c r="E367" s="0" t="e">
        <f>+7 (492) 2306222
+7 (492) 2412296
+7 (492) 2413502
+7 (492) 2490339
+7 (492) 2490609
+7 (492) 2778025
+7 (492) 2778026
+7 (492) 2778032
+7 (492) 2778044
+7 (492) 2778055
+7 (492) 2778059
+7 (492) 2778063
+7 (495) 2325352
+7 (495) 2873626</f>
        <v>#NAME?</v>
      </c>
      <c r="F367" s="5" t="s">
        <v>26416</v>
      </c>
      <c r="G367" s="5"/>
      <c r="H367" s="26">
        <v>21</v>
      </c>
      <c r="I367" s="5" t="s">
        <v>26417</v>
      </c>
      <c r="J367" s="5" t="s">
        <v>26418</v>
      </c>
      <c r="K367" s="5" t="s">
        <v>344</v>
      </c>
      <c r="L367" s="5" t="s">
        <v>26419</v>
      </c>
      <c r="M367" s="27"/>
      <c r="N367" s="5"/>
      <c r="O367" s="5" t="str">
        <v>3327306761</v>
      </c>
      <c r="P367" s="27">
        <v>1001000</v>
      </c>
      <c r="Q367" s="5" t="s">
        <v>49667</v>
      </c>
      <c r="R367" s="5"/>
      <c r="S367" s="5" t="s">
        <v>49668</v>
      </c>
      <c r="T367" s="28">
        <v>907464000</v>
      </c>
      <c r="U367" s="28">
        <v>450010000</v>
      </c>
      <c r="V367" s="28">
        <v>580956000</v>
      </c>
      <c r="W367" s="28">
        <v>415000000</v>
      </c>
      <c r="X367" s="28">
        <v>9350000</v>
      </c>
      <c r="Y367" s="28">
        <v>2839736000</v>
      </c>
      <c r="Z367" s="28">
        <v>2014997000</v>
      </c>
      <c r="AA367" s="28">
        <v>64865000</v>
      </c>
      <c r="AB367" s="28">
        <v>49333000</v>
      </c>
      <c r="AC367" s="28">
        <v>180641000</v>
      </c>
      <c r="AD367" s="28">
        <v>2556498000</v>
      </c>
      <c r="AE367" s="28">
        <v>3794421000</v>
      </c>
      <c r="AF367" s="28">
        <v>644751000</v>
      </c>
      <c r="AG367" s="11"/>
    </row>
    <row r="368">
      <c r="A368" s="7" t="s">
        <v>2115</v>
      </c>
      <c r="B368" s="5" t="s">
        <v>10085</v>
      </c>
      <c r="C368" s="5" t="s">
        <v>17985</v>
      </c>
      <c r="D368" s="5" t="str">
        <v>670400070814</v>
      </c>
      <c r="E368" s="0" t="e">
        <f>+7 (495) 4115594
+7 (495) 7457745
+7 (499) 1401648
+7 (499) 2462359
+7 (816) 2131940
+7 (816) 2196558
+7 (816) 2996020
+7 (816) 2996054
+7 (816) 2996109
+7 (816) 2996118
+7 (816) 2996198
+7 (816) 2996216
+7 (816) 2996246
+7 (816) 2996249
+7 (816) 2996292</f>
        <v>#NAME?</v>
      </c>
      <c r="F368" s="5" t="s">
        <v>26420</v>
      </c>
      <c r="G368" s="5" t="s">
        <v>26421</v>
      </c>
      <c r="H368" s="26">
        <v>31</v>
      </c>
      <c r="I368" s="5" t="s">
        <v>26422</v>
      </c>
      <c r="J368" s="5" t="s">
        <v>25275</v>
      </c>
      <c r="K368" s="5" t="s">
        <v>344</v>
      </c>
      <c r="L368" s="5"/>
      <c r="M368" s="27">
        <v>13298098</v>
      </c>
      <c r="N368" s="5" t="s">
        <v>49669</v>
      </c>
      <c r="O368" s="5" t="str">
        <v>5321029508</v>
      </c>
      <c r="P368" s="27">
        <v>183785780</v>
      </c>
      <c r="Q368" s="5" t="s">
        <v>49057</v>
      </c>
      <c r="R368" s="5"/>
      <c r="S368" s="5" t="s">
        <v>49670</v>
      </c>
      <c r="T368" s="28">
        <v>53714033000</v>
      </c>
      <c r="U368" s="28">
        <v>87142660000</v>
      </c>
      <c r="V368" s="28">
        <v>43162966000</v>
      </c>
      <c r="W368" s="28">
        <v>2899594000</v>
      </c>
      <c r="X368" s="28">
        <v>25020944000</v>
      </c>
      <c r="Y368" s="28">
        <v>235087111000</v>
      </c>
      <c r="Z368" s="28">
        <v>131580712000</v>
      </c>
      <c r="AA368" s="28">
        <v>48809378000</v>
      </c>
      <c r="AB368" s="28">
        <v>24639831000</v>
      </c>
      <c r="AC368" s="28">
        <v>42040921000</v>
      </c>
      <c r="AD368" s="28">
        <v>132770665000</v>
      </c>
      <c r="AE368" s="28">
        <v>180565693000</v>
      </c>
      <c r="AF368" s="28">
        <v>71777247000</v>
      </c>
      <c r="AG368" s="11"/>
    </row>
    <row r="369">
      <c r="A369" s="7" t="s">
        <v>2116</v>
      </c>
      <c r="B369" s="5" t="s">
        <v>10086</v>
      </c>
      <c r="C369" s="5" t="s">
        <v>17986</v>
      </c>
      <c r="D369" s="5" t="str">
        <v>253604415635</v>
      </c>
      <c r="E369" s="0" t="e">
        <f>+7 (415) 2238773
+7 (415) 2238933
+7 (415) 2243729
+7 (415) 2243757
+7 (415) 2243797
+7 (415) 2263813
+7 (415) 2415815
+7 (415) 2415816
+7 (415) 2415842
+7 (415) 2415878
+7 (415) 2415899
+7 (415) 2415900
+7 (415) 2415901
+7 (415) 2415902
+7 (415) 2415903</f>
        <v>#NAME?</v>
      </c>
      <c r="F369" s="5" t="s">
        <v>26423</v>
      </c>
      <c r="G369" s="5"/>
      <c r="H369" s="26">
        <v>30.5</v>
      </c>
      <c r="I369" s="5"/>
      <c r="J369" s="5" t="s">
        <v>26424</v>
      </c>
      <c r="K369" s="5" t="s">
        <v>380</v>
      </c>
      <c r="L369" s="5" t="s">
        <v>26425</v>
      </c>
      <c r="M369" s="27"/>
      <c r="N369" s="5"/>
      <c r="O369" s="5" t="str">
        <v>4101013772</v>
      </c>
      <c r="P369" s="27">
        <v>259000</v>
      </c>
      <c r="Q369" s="5"/>
      <c r="R369" s="5" t="s">
        <v>49671</v>
      </c>
      <c r="S369" s="5" t="s">
        <v>49029</v>
      </c>
      <c r="T369" s="28">
        <v>8965326000</v>
      </c>
      <c r="U369" s="28">
        <v>484128000</v>
      </c>
      <c r="V369" s="28">
        <v>6870205000</v>
      </c>
      <c r="W369" s="28">
        <v>1235250000</v>
      </c>
      <c r="X369" s="28">
        <v>1790292000</v>
      </c>
      <c r="Y369" s="28">
        <v>24045105000</v>
      </c>
      <c r="Z369" s="28">
        <v>4450392000</v>
      </c>
      <c r="AA369" s="28">
        <v>7702220000</v>
      </c>
      <c r="AB369" s="28">
        <v>4184801000</v>
      </c>
      <c r="AC369" s="28">
        <v>7877391000</v>
      </c>
      <c r="AD369" s="28">
        <v>4456158000</v>
      </c>
      <c r="AE369" s="28">
        <v>10164349000</v>
      </c>
      <c r="AF369" s="28">
        <v>-192321000</v>
      </c>
      <c r="AG369" s="11"/>
    </row>
    <row r="370">
      <c r="A370" s="7" t="s">
        <v>2117</v>
      </c>
      <c r="B370" s="5" t="s">
        <v>10087</v>
      </c>
      <c r="C370" s="5" t="s">
        <v>17987</v>
      </c>
      <c r="D370" s="5" t="str">
        <v>772828586663</v>
      </c>
      <c r="E370" s="0" t="e">
        <f>+7 (499) 9410904</f>
        <v>#NAME?</v>
      </c>
      <c r="F370" s="5" t="s">
        <v>26426</v>
      </c>
      <c r="G370" s="5" t="s">
        <v>26427</v>
      </c>
      <c r="H370" s="26">
        <v>23</v>
      </c>
      <c r="I370" s="5" t="s">
        <v>26428</v>
      </c>
      <c r="J370" s="5" t="s">
        <v>678</v>
      </c>
      <c r="K370" s="5" t="s">
        <v>344</v>
      </c>
      <c r="L370" s="5" t="s">
        <v>26429</v>
      </c>
      <c r="M370" s="27"/>
      <c r="N370" s="5" t="s">
        <v>49672</v>
      </c>
      <c r="O370" s="5" t="str">
        <v>7810190225</v>
      </c>
      <c r="P370" s="27">
        <v>5000000</v>
      </c>
      <c r="Q370" s="5" t="s">
        <v>49673</v>
      </c>
      <c r="R370" s="5"/>
      <c r="S370" s="5" t="s">
        <v>49674</v>
      </c>
      <c r="T370" s="28">
        <v>949408000</v>
      </c>
      <c r="U370" s="28">
        <v>3246000</v>
      </c>
      <c r="V370" s="28">
        <v>3130336000</v>
      </c>
      <c r="W370" s="28"/>
      <c r="X370" s="28">
        <v>49972000</v>
      </c>
      <c r="Y370" s="28">
        <v>7147201000</v>
      </c>
      <c r="Z370" s="28">
        <v>2635335000</v>
      </c>
      <c r="AA370" s="28">
        <v>612524000</v>
      </c>
      <c r="AB370" s="28">
        <v>483036000</v>
      </c>
      <c r="AC370" s="28">
        <v>3500912000</v>
      </c>
      <c r="AD370" s="28">
        <v>2714640000</v>
      </c>
      <c r="AE370" s="28">
        <v>9898924000</v>
      </c>
      <c r="AF370" s="28">
        <v>939616000</v>
      </c>
      <c r="AG370" s="11"/>
    </row>
    <row r="371">
      <c r="A371" s="7" t="s">
        <v>2118</v>
      </c>
      <c r="B371" s="5" t="s">
        <v>10088</v>
      </c>
      <c r="C371" s="5" t="s">
        <v>17988</v>
      </c>
      <c r="D371" s="5" t="str">
        <v>482612414733</v>
      </c>
      <c r="E371" s="0" t="e">
        <f>+7 (495) 2595411
+7 (499) 2595411
+7 (499) 6730550
+7 (82144) 47139
+7 (915) 3828777</f>
        <v>#NAME?</v>
      </c>
      <c r="F371" s="5" t="s">
        <v>26430</v>
      </c>
      <c r="G371" s="5" t="s">
        <v>26431</v>
      </c>
      <c r="H371" s="26">
        <v>25.5</v>
      </c>
      <c r="I371" s="5" t="s">
        <v>26432</v>
      </c>
      <c r="J371" s="5" t="s">
        <v>585</v>
      </c>
      <c r="K371" s="5" t="s">
        <v>344</v>
      </c>
      <c r="L371" s="5"/>
      <c r="M371" s="27">
        <v>1547187</v>
      </c>
      <c r="N371" s="5" t="s">
        <v>49675</v>
      </c>
      <c r="O371" s="5" t="str">
        <v>1106010917</v>
      </c>
      <c r="P371" s="27">
        <v>121333070</v>
      </c>
      <c r="Q371" s="5" t="s">
        <v>49009</v>
      </c>
      <c r="R371" s="5"/>
      <c r="S371" s="5" t="s">
        <v>49010</v>
      </c>
      <c r="T371" s="28">
        <v>219692000</v>
      </c>
      <c r="U371" s="28"/>
      <c r="V371" s="28">
        <v>724839000</v>
      </c>
      <c r="W371" s="28"/>
      <c r="X371" s="28">
        <v>309150000</v>
      </c>
      <c r="Y371" s="28">
        <v>2413711000</v>
      </c>
      <c r="Z371" s="28">
        <v>206469000</v>
      </c>
      <c r="AA371" s="28"/>
      <c r="AB371" s="28"/>
      <c r="AC371" s="28">
        <v>1732288000</v>
      </c>
      <c r="AD371" s="28">
        <v>351718000</v>
      </c>
      <c r="AE371" s="28">
        <v>5572977000</v>
      </c>
      <c r="AF371" s="28">
        <v>331193000</v>
      </c>
      <c r="AG371" s="11"/>
    </row>
    <row r="372">
      <c r="A372" s="7" t="s">
        <v>2118</v>
      </c>
      <c r="B372" s="5" t="s">
        <v>10089</v>
      </c>
      <c r="C372" s="5" t="s">
        <v>17989</v>
      </c>
      <c r="D372" s="5"/>
      <c r="E372" s="0" t="e">
        <f>+7 (416) 2397480
+7 (411) 2494455
+7 (416) 2220721
+7 (416) 2393114
+7 (416) 2494555
+7 (416) 2495455
+7 (416) 2495466
+7 (416) 2594455
+7 (416) 2220704
+7 (416) 2494466
+7 (416) 2518816
+7 (416) 2522041
+7 (416) 2772147
+7 (416) 2773144
+7 (416) 2774242</f>
        <v>#NAME?</v>
      </c>
      <c r="F372" s="5" t="s">
        <v>26433</v>
      </c>
      <c r="G372" s="5"/>
      <c r="H372" s="26">
        <v>19.5</v>
      </c>
      <c r="I372" s="5" t="s">
        <v>26434</v>
      </c>
      <c r="J372" s="5" t="s">
        <v>26435</v>
      </c>
      <c r="K372" s="5" t="s">
        <v>355</v>
      </c>
      <c r="L372" s="5" t="s">
        <v>26436</v>
      </c>
      <c r="M372" s="27">
        <v>8478945</v>
      </c>
      <c r="N372" s="5" t="s">
        <v>49677</v>
      </c>
      <c r="O372" s="5" t="str">
        <v>2801254956</v>
      </c>
      <c r="P372" s="27">
        <v>10000000</v>
      </c>
      <c r="Q372" s="5" t="s">
        <v>49679</v>
      </c>
      <c r="R372" s="5" t="s">
        <v>49680</v>
      </c>
      <c r="S372" s="5" t="s">
        <v>49288</v>
      </c>
      <c r="T372" s="28">
        <v>5088887000</v>
      </c>
      <c r="U372" s="28">
        <v>7304000</v>
      </c>
      <c r="V372" s="28">
        <v>447995000</v>
      </c>
      <c r="W372" s="28">
        <v>2400000</v>
      </c>
      <c r="X372" s="28">
        <v>46501000</v>
      </c>
      <c r="Y372" s="28">
        <v>7680653000</v>
      </c>
      <c r="Z372" s="28">
        <v>1335463000</v>
      </c>
      <c r="AA372" s="28">
        <v>725000000</v>
      </c>
      <c r="AB372" s="28">
        <v>1121000</v>
      </c>
      <c r="AC372" s="28">
        <v>1230406000</v>
      </c>
      <c r="AD372" s="28">
        <v>1346373000</v>
      </c>
      <c r="AE372" s="28">
        <v>3217773000</v>
      </c>
      <c r="AF372" s="28">
        <v>378991000</v>
      </c>
      <c r="AG372" s="11"/>
    </row>
    <row r="373">
      <c r="A373" s="7" t="s">
        <v>2119</v>
      </c>
      <c r="B373" s="5" t="s">
        <v>10090</v>
      </c>
      <c r="C373" s="5" t="s">
        <v>17990</v>
      </c>
      <c r="D373" s="5" t="str">
        <v>780511629617</v>
      </c>
      <c r="E373" s="0" t="e">
        <f>+7 (812) 3253000
+7 (812) 3255252</f>
        <v>#NAME?</v>
      </c>
      <c r="F373" s="5" t="s">
        <v>26437</v>
      </c>
      <c r="G373" s="5" t="s">
        <v>26438</v>
      </c>
      <c r="H373" s="26">
        <v>15.5</v>
      </c>
      <c r="I373" s="5" t="s">
        <v>26439</v>
      </c>
      <c r="J373" s="5" t="s">
        <v>25641</v>
      </c>
      <c r="K373" s="5" t="s">
        <v>344</v>
      </c>
      <c r="L373" s="5" t="s">
        <v>26440</v>
      </c>
      <c r="M373" s="27"/>
      <c r="N373" s="5"/>
      <c r="O373" s="5" t="str">
        <v>7801445371</v>
      </c>
      <c r="P373" s="27">
        <v>10000</v>
      </c>
      <c r="Q373" s="5" t="s">
        <v>49009</v>
      </c>
      <c r="R373" s="5"/>
      <c r="S373" s="5" t="s">
        <v>49045</v>
      </c>
      <c r="T373" s="28">
        <v>261949000</v>
      </c>
      <c r="U373" s="28"/>
      <c r="V373" s="28">
        <v>129906000</v>
      </c>
      <c r="W373" s="28">
        <v>569130000</v>
      </c>
      <c r="X373" s="28">
        <v>114789000</v>
      </c>
      <c r="Y373" s="28">
        <v>1828617000</v>
      </c>
      <c r="Z373" s="28">
        <v>939991000</v>
      </c>
      <c r="AA373" s="28"/>
      <c r="AB373" s="28">
        <v>511924000</v>
      </c>
      <c r="AC373" s="28">
        <v>866112000</v>
      </c>
      <c r="AD373" s="28">
        <v>940001000</v>
      </c>
      <c r="AE373" s="28">
        <v>5235636000</v>
      </c>
      <c r="AF373" s="28">
        <v>127924000</v>
      </c>
      <c r="AG373" s="11"/>
    </row>
    <row r="374">
      <c r="A374" s="7" t="s">
        <v>2120</v>
      </c>
      <c r="B374" s="5" t="s">
        <v>10091</v>
      </c>
      <c r="C374" s="5" t="s">
        <v>17990</v>
      </c>
      <c r="D374" s="5" t="str">
        <v>780511629617</v>
      </c>
      <c r="E374" s="0" t="e">
        <f>+7 (812) 3250555</f>
        <v>#NAME?</v>
      </c>
      <c r="F374" s="5" t="s">
        <v>26441</v>
      </c>
      <c r="G374" s="5"/>
      <c r="H374" s="26">
        <v>25</v>
      </c>
      <c r="I374" s="5" t="s">
        <v>26442</v>
      </c>
      <c r="J374" s="5" t="s">
        <v>1143</v>
      </c>
      <c r="K374" s="5" t="s">
        <v>344</v>
      </c>
      <c r="L374" s="5" t="s">
        <v>26443</v>
      </c>
      <c r="M374" s="27"/>
      <c r="N374" s="5"/>
      <c r="O374" s="5" t="str">
        <v>7801273186</v>
      </c>
      <c r="P374" s="27">
        <v>41655600</v>
      </c>
      <c r="Q374" s="5" t="s">
        <v>49009</v>
      </c>
      <c r="R374" s="5"/>
      <c r="S374" s="5" t="s">
        <v>49045</v>
      </c>
      <c r="T374" s="28">
        <v>37114000</v>
      </c>
      <c r="U374" s="28"/>
      <c r="V374" s="28">
        <v>127555000</v>
      </c>
      <c r="W374" s="28">
        <v>504900000</v>
      </c>
      <c r="X374" s="28">
        <v>30189000</v>
      </c>
      <c r="Y374" s="28">
        <v>1072574000</v>
      </c>
      <c r="Z374" s="28">
        <v>779733000</v>
      </c>
      <c r="AA374" s="28"/>
      <c r="AB374" s="28">
        <v>6200000</v>
      </c>
      <c r="AC374" s="28">
        <v>181742000</v>
      </c>
      <c r="AD374" s="28">
        <v>826543000</v>
      </c>
      <c r="AE374" s="28">
        <v>4173456000</v>
      </c>
      <c r="AF374" s="28">
        <v>262623000</v>
      </c>
      <c r="AG374" s="11"/>
    </row>
    <row r="375">
      <c r="A375" s="7" t="s">
        <v>2121</v>
      </c>
      <c r="B375" s="5" t="s">
        <v>10092</v>
      </c>
      <c r="C375" s="5" t="s">
        <v>17991</v>
      </c>
      <c r="D375" s="5" t="str">
        <v>631816525842</v>
      </c>
      <c r="E375" s="0" t="e">
        <f>+7 (499) 3902704
+7 (937) 6629083</f>
        <v>#NAME?</v>
      </c>
      <c r="F375" s="5" t="s">
        <v>26444</v>
      </c>
      <c r="G375" s="5"/>
      <c r="H375" s="26">
        <v>11.5</v>
      </c>
      <c r="I375" s="5"/>
      <c r="J375" s="5" t="s">
        <v>25429</v>
      </c>
      <c r="K375" s="5" t="s">
        <v>344</v>
      </c>
      <c r="L375" s="5" t="s">
        <v>26445</v>
      </c>
      <c r="M375" s="27"/>
      <c r="N375" s="5" t="s">
        <v>49681</v>
      </c>
      <c r="O375" s="5" t="str">
        <v>7720494170</v>
      </c>
      <c r="P375" s="27">
        <v>20000</v>
      </c>
      <c r="Q375" s="5" t="s">
        <v>49059</v>
      </c>
      <c r="R375" s="5"/>
      <c r="S375" s="5" t="s">
        <v>49116</v>
      </c>
      <c r="T375" s="28">
        <v>18067000</v>
      </c>
      <c r="U375" s="28">
        <v>756002000</v>
      </c>
      <c r="V375" s="28">
        <v>431736000</v>
      </c>
      <c r="W375" s="28">
        <v>196100000</v>
      </c>
      <c r="X375" s="28">
        <v>1762000</v>
      </c>
      <c r="Y375" s="28">
        <v>1541217000</v>
      </c>
      <c r="Z375" s="28">
        <v>1171036000</v>
      </c>
      <c r="AA375" s="28"/>
      <c r="AB375" s="28">
        <v>162122000</v>
      </c>
      <c r="AC375" s="28">
        <v>360630000</v>
      </c>
      <c r="AD375" s="28">
        <v>1171057000</v>
      </c>
      <c r="AE375" s="28">
        <v>3572482000</v>
      </c>
      <c r="AF375" s="28">
        <v>194324000</v>
      </c>
      <c r="AG375" s="11"/>
    </row>
    <row r="376">
      <c r="A376" s="7" t="s">
        <v>2122</v>
      </c>
      <c r="B376" s="5" t="s">
        <v>10093</v>
      </c>
      <c r="C376" s="5" t="s">
        <v>17992</v>
      </c>
      <c r="D376" s="5" t="str">
        <v>771584812850</v>
      </c>
      <c r="E376" s="0" t="e">
        <f>+7 (916) 2702000
+7 (916) 8022000</f>
        <v>#NAME?</v>
      </c>
      <c r="F376" s="5"/>
      <c r="G376" s="5"/>
      <c r="H376" s="26">
        <v>14.5</v>
      </c>
      <c r="I376" s="5" t="s">
        <v>26446</v>
      </c>
      <c r="J376" s="5" t="s">
        <v>26447</v>
      </c>
      <c r="K376" s="5" t="s">
        <v>344</v>
      </c>
      <c r="L376" s="5" t="s">
        <v>26448</v>
      </c>
      <c r="M376" s="27"/>
      <c r="N376" s="5"/>
      <c r="O376" s="5" t="str">
        <v>5029119008</v>
      </c>
      <c r="P376" s="27">
        <v>20000</v>
      </c>
      <c r="Q376" s="5" t="s">
        <v>49059</v>
      </c>
      <c r="R376" s="5"/>
      <c r="S376" s="5" t="s">
        <v>49682</v>
      </c>
      <c r="T376" s="28">
        <v>44113000</v>
      </c>
      <c r="U376" s="28"/>
      <c r="V376" s="28">
        <v>300193000</v>
      </c>
      <c r="W376" s="28">
        <v>12830000</v>
      </c>
      <c r="X376" s="28">
        <v>73570000</v>
      </c>
      <c r="Y376" s="28">
        <v>909704000</v>
      </c>
      <c r="Z376" s="28">
        <v>509206000</v>
      </c>
      <c r="AA376" s="28"/>
      <c r="AB376" s="28"/>
      <c r="AC376" s="28">
        <v>366494000</v>
      </c>
      <c r="AD376" s="28">
        <v>509226000</v>
      </c>
      <c r="AE376" s="28">
        <v>4799701000</v>
      </c>
      <c r="AF376" s="28">
        <v>172982000</v>
      </c>
      <c r="AG376" s="11"/>
    </row>
    <row r="377">
      <c r="A377" s="7" t="s">
        <v>2123</v>
      </c>
      <c r="B377" s="5" t="s">
        <v>10094</v>
      </c>
      <c r="C377" s="5" t="s">
        <v>17993</v>
      </c>
      <c r="D377" s="5" t="str">
        <v>771003448131</v>
      </c>
      <c r="E377" s="0" t="e">
        <f>+7 (495) 7559780</f>
        <v>#NAME?</v>
      </c>
      <c r="F377" s="5" t="s">
        <v>26449</v>
      </c>
      <c r="G377" s="5" t="s">
        <v>26450</v>
      </c>
      <c r="H377" s="26">
        <v>20.5</v>
      </c>
      <c r="I377" s="5" t="s">
        <v>26451</v>
      </c>
      <c r="J377" s="5" t="s">
        <v>502</v>
      </c>
      <c r="K377" s="5" t="s">
        <v>344</v>
      </c>
      <c r="L377" s="5" t="s">
        <v>26452</v>
      </c>
      <c r="M377" s="27"/>
      <c r="N377" s="5" t="s">
        <v>49683</v>
      </c>
      <c r="O377" s="5" t="str">
        <v>7705476338</v>
      </c>
      <c r="P377" s="27">
        <v>450000</v>
      </c>
      <c r="Q377" s="5" t="s">
        <v>49685</v>
      </c>
      <c r="R377" s="5"/>
      <c r="S377" s="5" t="s">
        <v>49686</v>
      </c>
      <c r="T377" s="28">
        <v>298635000</v>
      </c>
      <c r="U377" s="28">
        <v>10000</v>
      </c>
      <c r="V377" s="28">
        <v>2200962000</v>
      </c>
      <c r="W377" s="28">
        <v>3234400000</v>
      </c>
      <c r="X377" s="28">
        <v>5341930000</v>
      </c>
      <c r="Y377" s="28">
        <v>11282998000</v>
      </c>
      <c r="Z377" s="28">
        <v>3828948000</v>
      </c>
      <c r="AA377" s="28"/>
      <c r="AB377" s="28"/>
      <c r="AC377" s="28">
        <v>1937492000</v>
      </c>
      <c r="AD377" s="28">
        <v>9258999000</v>
      </c>
      <c r="AE377" s="28">
        <v>10248810000</v>
      </c>
      <c r="AF377" s="28">
        <v>-2165830000</v>
      </c>
      <c r="AG377" s="11"/>
    </row>
    <row r="378">
      <c r="A378" s="7" t="s">
        <v>2124</v>
      </c>
      <c r="B378" s="5" t="s">
        <v>10095</v>
      </c>
      <c r="C378" s="5" t="s">
        <v>17994</v>
      </c>
      <c r="D378" s="5" t="str">
        <v>775112477355</v>
      </c>
      <c r="E378" s="0" t="e">
        <f>+7 (926) 7178211
+7 (495) 2405470
+7 (495) 5041822</f>
        <v>#NAME?</v>
      </c>
      <c r="F378" s="5" t="s">
        <v>26453</v>
      </c>
      <c r="G378" s="5"/>
      <c r="H378" s="26">
        <v>9</v>
      </c>
      <c r="I378" s="5" t="s">
        <v>26454</v>
      </c>
      <c r="J378" s="5" t="s">
        <v>373</v>
      </c>
      <c r="K378" s="5" t="s">
        <v>344</v>
      </c>
      <c r="L378" s="5" t="s">
        <v>26455</v>
      </c>
      <c r="M378" s="27"/>
      <c r="N378" s="5" t="s">
        <v>49687</v>
      </c>
      <c r="O378" s="5" t="str">
        <v>7719874970</v>
      </c>
      <c r="P378" s="27">
        <v>150000</v>
      </c>
      <c r="Q378" s="5" t="s">
        <v>49688</v>
      </c>
      <c r="R378" s="5"/>
      <c r="S378" s="5" t="s">
        <v>49689</v>
      </c>
      <c r="T378" s="28">
        <v>693000</v>
      </c>
      <c r="U378" s="28">
        <v>2000</v>
      </c>
      <c r="V378" s="28">
        <v>1131233000</v>
      </c>
      <c r="W378" s="28">
        <v>8531000</v>
      </c>
      <c r="X378" s="28">
        <v>46570000</v>
      </c>
      <c r="Y378" s="28">
        <v>1258495000</v>
      </c>
      <c r="Z378" s="28">
        <v>73603000</v>
      </c>
      <c r="AA378" s="28"/>
      <c r="AB378" s="28"/>
      <c r="AC378" s="28">
        <v>1184742000</v>
      </c>
      <c r="AD378" s="28">
        <v>73753000</v>
      </c>
      <c r="AE378" s="28">
        <v>7891422000</v>
      </c>
      <c r="AF378" s="28">
        <v>62777000</v>
      </c>
      <c r="AG378" s="11"/>
    </row>
    <row r="379">
      <c r="A379" s="7" t="s">
        <v>2125</v>
      </c>
      <c r="B379" s="5" t="s">
        <v>10096</v>
      </c>
      <c r="C379" s="5" t="s">
        <v>17995</v>
      </c>
      <c r="D379" s="5" t="str">
        <v>182799315810</v>
      </c>
      <c r="E379" s="0" t="e">
        <f>+7 (8332) 203860</f>
        <v>#NAME?</v>
      </c>
      <c r="F379" s="5" t="s">
        <v>26456</v>
      </c>
      <c r="G379" s="5"/>
      <c r="H379" s="26">
        <v>3.5</v>
      </c>
      <c r="I379" s="5"/>
      <c r="J379" s="5" t="s">
        <v>25450</v>
      </c>
      <c r="K379" s="5" t="s">
        <v>380</v>
      </c>
      <c r="L379" s="5"/>
      <c r="M379" s="27">
        <v>2135</v>
      </c>
      <c r="N379" s="5"/>
      <c r="O379" s="5" t="str">
        <v>5256182292</v>
      </c>
      <c r="P379" s="27">
        <v>10000</v>
      </c>
      <c r="Q379" s="5"/>
      <c r="R379" s="5"/>
      <c r="S379" s="5" t="s">
        <v>49029</v>
      </c>
      <c r="T379" s="28">
        <v>3239552000</v>
      </c>
      <c r="U379" s="28">
        <v>4761000</v>
      </c>
      <c r="V379" s="28">
        <v>168575000</v>
      </c>
      <c r="W379" s="28"/>
      <c r="X379" s="28">
        <v>118611000</v>
      </c>
      <c r="Y379" s="28">
        <v>4343139000</v>
      </c>
      <c r="Z379" s="28">
        <v>-99903000</v>
      </c>
      <c r="AA379" s="28">
        <v>2394550000</v>
      </c>
      <c r="AB379" s="28">
        <v>1734854000</v>
      </c>
      <c r="AC379" s="28">
        <v>1869938000</v>
      </c>
      <c r="AD379" s="28">
        <v>-99692000</v>
      </c>
      <c r="AE379" s="28">
        <v>3347696000</v>
      </c>
      <c r="AF379" s="28">
        <v>-19596000</v>
      </c>
      <c r="AG379" s="11"/>
    </row>
    <row r="380">
      <c r="A380" s="7" t="s">
        <v>2126</v>
      </c>
      <c r="B380" s="5" t="s">
        <v>10097</v>
      </c>
      <c r="C380" s="5" t="s">
        <v>17996</v>
      </c>
      <c r="D380" s="5" t="str">
        <v>772033576453</v>
      </c>
      <c r="E380" s="0" t="e">
        <f>+7 (495) 6627045
+7 (495) 7885321</f>
        <v>#NAME?</v>
      </c>
      <c r="F380" s="5"/>
      <c r="G380" s="5" t="s">
        <v>26457</v>
      </c>
      <c r="H380" s="26">
        <v>15.5</v>
      </c>
      <c r="I380" s="5" t="s">
        <v>26458</v>
      </c>
      <c r="J380" s="5" t="s">
        <v>26459</v>
      </c>
      <c r="K380" s="5" t="s">
        <v>344</v>
      </c>
      <c r="L380" s="5" t="s">
        <v>26460</v>
      </c>
      <c r="M380" s="27"/>
      <c r="N380" s="5" t="s">
        <v>49690</v>
      </c>
      <c r="O380" s="5" t="str">
        <v>7715670503</v>
      </c>
      <c r="P380" s="27">
        <v>10000</v>
      </c>
      <c r="Q380" s="5" t="s">
        <v>49059</v>
      </c>
      <c r="R380" s="5"/>
      <c r="S380" s="5" t="s">
        <v>49045</v>
      </c>
      <c r="T380" s="28">
        <v>446000</v>
      </c>
      <c r="U380" s="28"/>
      <c r="V380" s="28">
        <v>1915482000</v>
      </c>
      <c r="W380" s="28"/>
      <c r="X380" s="28">
        <v>8771000</v>
      </c>
      <c r="Y380" s="28">
        <v>1952976000</v>
      </c>
      <c r="Z380" s="28">
        <v>1797123000</v>
      </c>
      <c r="AA380" s="28"/>
      <c r="AB380" s="28"/>
      <c r="AC380" s="28">
        <v>155843000</v>
      </c>
      <c r="AD380" s="28">
        <v>1797133000</v>
      </c>
      <c r="AE380" s="28">
        <v>4612031000</v>
      </c>
      <c r="AF380" s="28">
        <v>2188880000</v>
      </c>
      <c r="AG380" s="11"/>
    </row>
    <row r="381">
      <c r="A381" s="7" t="s">
        <v>2127</v>
      </c>
      <c r="B381" s="5" t="s">
        <v>10098</v>
      </c>
      <c r="C381" s="5" t="s">
        <v>17997</v>
      </c>
      <c r="D381" s="5" t="str">
        <v>682500727236</v>
      </c>
      <c r="E381" s="0" t="e">
        <f>+7 (495) 7885990
+7 (800) 5052985</f>
        <v>#NAME?</v>
      </c>
      <c r="F381" s="5" t="s">
        <v>26461</v>
      </c>
      <c r="G381" s="5" t="s">
        <v>26462</v>
      </c>
      <c r="H381" s="26">
        <v>23</v>
      </c>
      <c r="I381" s="5" t="s">
        <v>26458</v>
      </c>
      <c r="J381" s="5" t="s">
        <v>26463</v>
      </c>
      <c r="K381" s="5" t="s">
        <v>344</v>
      </c>
      <c r="L381" s="5"/>
      <c r="M381" s="27">
        <v>1295</v>
      </c>
      <c r="N381" s="5" t="s">
        <v>49691</v>
      </c>
      <c r="O381" s="5" t="str">
        <v>7702272022</v>
      </c>
      <c r="P381" s="27">
        <v>10000</v>
      </c>
      <c r="Q381" s="5" t="s">
        <v>49561</v>
      </c>
      <c r="R381" s="5"/>
      <c r="S381" s="5" t="s">
        <v>49693</v>
      </c>
      <c r="T381" s="28">
        <v>4124000</v>
      </c>
      <c r="U381" s="28"/>
      <c r="V381" s="28">
        <v>1062319000</v>
      </c>
      <c r="W381" s="28">
        <v>175000000</v>
      </c>
      <c r="X381" s="28">
        <v>38577000</v>
      </c>
      <c r="Y381" s="28">
        <v>1291425000</v>
      </c>
      <c r="Z381" s="28">
        <v>7795000</v>
      </c>
      <c r="AA381" s="28"/>
      <c r="AB381" s="28"/>
      <c r="AC381" s="28">
        <v>1283620000</v>
      </c>
      <c r="AD381" s="28">
        <v>7805000</v>
      </c>
      <c r="AE381" s="28">
        <v>3685001000</v>
      </c>
      <c r="AF381" s="28">
        <v>303000</v>
      </c>
      <c r="AG381" s="11"/>
    </row>
    <row r="382">
      <c r="A382" s="7" t="s">
        <v>2128</v>
      </c>
      <c r="B382" s="5" t="s">
        <v>10099</v>
      </c>
      <c r="C382" s="5" t="s">
        <v>17998</v>
      </c>
      <c r="D382" s="5" t="str">
        <v>366201222561</v>
      </c>
      <c r="E382" s="0" t="e">
        <f>+7 (3422) 700151
+7 (915) 3845463
+7 (920) 4057457
+7 (982) 4774560</f>
        <v>#NAME?</v>
      </c>
      <c r="F382" s="5" t="s">
        <v>26464</v>
      </c>
      <c r="G382" s="5"/>
      <c r="H382" s="26">
        <v>7</v>
      </c>
      <c r="I382" s="5" t="s">
        <v>26465</v>
      </c>
      <c r="J382" s="5" t="s">
        <v>25262</v>
      </c>
      <c r="K382" s="5" t="s">
        <v>344</v>
      </c>
      <c r="L382" s="5" t="s">
        <v>26466</v>
      </c>
      <c r="M382" s="27"/>
      <c r="N382" s="5" t="s">
        <v>49694</v>
      </c>
      <c r="O382" s="5" t="str">
        <v>5911074937</v>
      </c>
      <c r="P382" s="27">
        <v>1369863</v>
      </c>
      <c r="Q382" s="5" t="s">
        <v>49695</v>
      </c>
      <c r="R382" s="5"/>
      <c r="S382" s="5" t="s">
        <v>49012</v>
      </c>
      <c r="T382" s="28">
        <v>23000</v>
      </c>
      <c r="U382" s="28">
        <v>7034000</v>
      </c>
      <c r="V382" s="28">
        <v>2070141000</v>
      </c>
      <c r="W382" s="28">
        <v>874692000</v>
      </c>
      <c r="X382" s="28">
        <v>37269000</v>
      </c>
      <c r="Y382" s="28">
        <v>3956226000</v>
      </c>
      <c r="Z382" s="28">
        <v>993398000</v>
      </c>
      <c r="AA382" s="28"/>
      <c r="AB382" s="28"/>
      <c r="AC382" s="28">
        <v>2961454000</v>
      </c>
      <c r="AD382" s="28">
        <v>994768000</v>
      </c>
      <c r="AE382" s="28">
        <v>8538265000</v>
      </c>
      <c r="AF382" s="28">
        <v>1040229000</v>
      </c>
      <c r="AG382" s="11"/>
    </row>
    <row r="383">
      <c r="A383" s="7" t="s">
        <v>2129</v>
      </c>
      <c r="B383" s="5" t="s">
        <v>10100</v>
      </c>
      <c r="C383" s="5" t="s">
        <v>17999</v>
      </c>
      <c r="D383" s="5" t="str">
        <v>773708755336</v>
      </c>
      <c r="E383" s="0" t="e">
        <f>+7 (902) 5211970
+7 (926) 2219129</f>
        <v>#NAME?</v>
      </c>
      <c r="F383" s="5"/>
      <c r="G383" s="5" t="s">
        <v>26467</v>
      </c>
      <c r="H383" s="26">
        <v>6</v>
      </c>
      <c r="I383" s="5" t="s">
        <v>26468</v>
      </c>
      <c r="J383" s="5" t="s">
        <v>718</v>
      </c>
      <c r="K383" s="5" t="s">
        <v>344</v>
      </c>
      <c r="L383" s="5" t="s">
        <v>26469</v>
      </c>
      <c r="M383" s="27"/>
      <c r="N383" s="5"/>
      <c r="O383" s="5" t="str">
        <v>7725359181</v>
      </c>
      <c r="P383" s="27">
        <v>105000</v>
      </c>
      <c r="Q383" s="5" t="s">
        <v>49059</v>
      </c>
      <c r="R383" s="5"/>
      <c r="S383" s="5" t="s">
        <v>49028</v>
      </c>
      <c r="T383" s="28">
        <v>46819000</v>
      </c>
      <c r="U383" s="28"/>
      <c r="V383" s="28">
        <v>515745000</v>
      </c>
      <c r="W383" s="28">
        <v>730000000</v>
      </c>
      <c r="X383" s="28">
        <v>7554000</v>
      </c>
      <c r="Y383" s="28">
        <v>1753238000</v>
      </c>
      <c r="Z383" s="28">
        <v>63775000</v>
      </c>
      <c r="AA383" s="28">
        <v>30000000</v>
      </c>
      <c r="AB383" s="28">
        <v>37951000</v>
      </c>
      <c r="AC383" s="28">
        <v>1656992000</v>
      </c>
      <c r="AD383" s="28">
        <v>65380000</v>
      </c>
      <c r="AE383" s="28">
        <v>3016147000</v>
      </c>
      <c r="AF383" s="28">
        <v>56845000</v>
      </c>
      <c r="AG383" s="11"/>
    </row>
    <row r="384">
      <c r="A384" s="7" t="s">
        <v>2130</v>
      </c>
      <c r="B384" s="5" t="s">
        <v>10101</v>
      </c>
      <c r="C384" s="5" t="s">
        <v>18000</v>
      </c>
      <c r="D384" s="5" t="str">
        <v>614005562589</v>
      </c>
      <c r="E384" s="0" t="e">
        <f>+7 (495) 7884625
+7 (3412) 506650
+7 (345) 2550189
+7 (381) 2263345
+7 (383) 3631691
+7 (391) 2904174
+7 (474) 2566410
+7 (481) 2700731
+7 (4862) 720244
+7 (4912) 900820
+7 (495) 7884616
+7 (495) 7884620
+7 (495) 7884624
+7 (812) 6004277
+7 (8212) 213320</f>
        <v>#NAME?</v>
      </c>
      <c r="F384" s="5"/>
      <c r="G384" s="5"/>
      <c r="H384" s="26">
        <v>15</v>
      </c>
      <c r="I384" s="5" t="s">
        <v>26470</v>
      </c>
      <c r="J384" s="5" t="s">
        <v>25287</v>
      </c>
      <c r="K384" s="5" t="s">
        <v>344</v>
      </c>
      <c r="L384" s="5"/>
      <c r="M384" s="27"/>
      <c r="N384" s="5"/>
      <c r="O384" s="5" t="str">
        <v>6140026955</v>
      </c>
      <c r="P384" s="27">
        <v>213000000</v>
      </c>
      <c r="Q384" s="5" t="s">
        <v>49009</v>
      </c>
      <c r="R384" s="5"/>
      <c r="S384" s="5" t="s">
        <v>49028</v>
      </c>
      <c r="T384" s="28">
        <v>2020863000</v>
      </c>
      <c r="U384" s="28"/>
      <c r="V384" s="28">
        <v>1243558000</v>
      </c>
      <c r="W384" s="28"/>
      <c r="X384" s="28">
        <v>60038000</v>
      </c>
      <c r="Y384" s="28">
        <v>5378336000</v>
      </c>
      <c r="Z384" s="28">
        <v>3334130000</v>
      </c>
      <c r="AA384" s="28">
        <v>420504000</v>
      </c>
      <c r="AB384" s="28"/>
      <c r="AC384" s="28">
        <v>1250518000</v>
      </c>
      <c r="AD384" s="28">
        <v>3547153000</v>
      </c>
      <c r="AE384" s="28">
        <v>8255822000</v>
      </c>
      <c r="AF384" s="28">
        <v>332337000</v>
      </c>
      <c r="AG384" s="11"/>
    </row>
    <row r="385">
      <c r="A385" s="7" t="s">
        <v>2131</v>
      </c>
      <c r="B385" s="5" t="s">
        <v>10102</v>
      </c>
      <c r="C385" s="5" t="s">
        <v>18001</v>
      </c>
      <c r="D385" s="5" t="str">
        <v>616607410202</v>
      </c>
      <c r="E385" s="0" t="e">
        <f>+7 (47364) 21791
+7 (474) 2348786
+7 (474) 2553346
+7 (495) 9567937
+7 (862) 3333161
+7 (863) 3330207
+7 (863) 3330252
+7 (863) 3333022
+7 (86386) 35214
+7 (920) 5183122
+7 (863) 3333161
+7 (8632) 182701
+7 (8632) 182710</f>
        <v>#NAME?</v>
      </c>
      <c r="F385" s="5" t="s">
        <v>26471</v>
      </c>
      <c r="G385" s="5"/>
      <c r="H385" s="26">
        <v>8</v>
      </c>
      <c r="I385" s="5" t="s">
        <v>26472</v>
      </c>
      <c r="J385" s="5" t="s">
        <v>25429</v>
      </c>
      <c r="K385" s="5" t="s">
        <v>344</v>
      </c>
      <c r="L385" s="5" t="s">
        <v>26473</v>
      </c>
      <c r="M385" s="27">
        <v>9193195</v>
      </c>
      <c r="N385" s="5" t="s">
        <v>49697</v>
      </c>
      <c r="O385" s="5" t="str">
        <v>6168078329</v>
      </c>
      <c r="P385" s="27">
        <v>100000</v>
      </c>
      <c r="Q385" s="5" t="s">
        <v>49698</v>
      </c>
      <c r="R385" s="5"/>
      <c r="S385" s="5" t="s">
        <v>49204</v>
      </c>
      <c r="T385" s="28">
        <v>132738000</v>
      </c>
      <c r="U385" s="28"/>
      <c r="V385" s="28">
        <v>3194558000</v>
      </c>
      <c r="W385" s="28">
        <v>6480000</v>
      </c>
      <c r="X385" s="28">
        <v>7974000</v>
      </c>
      <c r="Y385" s="28">
        <v>5087549000</v>
      </c>
      <c r="Z385" s="28">
        <v>333024000</v>
      </c>
      <c r="AA385" s="28"/>
      <c r="AB385" s="28">
        <v>580000000</v>
      </c>
      <c r="AC385" s="28">
        <v>4607840000</v>
      </c>
      <c r="AD385" s="28">
        <v>333124000</v>
      </c>
      <c r="AE385" s="28">
        <v>12176168000</v>
      </c>
      <c r="AF385" s="28">
        <v>80556000</v>
      </c>
      <c r="AG385" s="11"/>
    </row>
    <row r="386">
      <c r="A386" s="7" t="s">
        <v>2132</v>
      </c>
      <c r="B386" s="5" t="s">
        <v>10103</v>
      </c>
      <c r="C386" s="5" t="s">
        <v>18002</v>
      </c>
      <c r="D386" s="5" t="str">
        <v>540437347355</v>
      </c>
      <c r="E386" s="0" t="e">
        <f>+7 (383) 2558888
+7 (962) 8358888</f>
        <v>#NAME?</v>
      </c>
      <c r="F386" s="5" t="s">
        <v>26474</v>
      </c>
      <c r="G386" s="5" t="s">
        <v>26475</v>
      </c>
      <c r="H386" s="26">
        <v>22</v>
      </c>
      <c r="I386" s="5" t="s">
        <v>26476</v>
      </c>
      <c r="J386" s="5" t="s">
        <v>26367</v>
      </c>
      <c r="K386" s="5" t="s">
        <v>344</v>
      </c>
      <c r="L386" s="5" t="s">
        <v>25700</v>
      </c>
      <c r="M386" s="27"/>
      <c r="N386" s="5"/>
      <c r="O386" s="5" t="str">
        <v>5404172357</v>
      </c>
      <c r="P386" s="27">
        <v>223282000</v>
      </c>
      <c r="Q386" s="5" t="s">
        <v>49059</v>
      </c>
      <c r="R386" s="5" t="s">
        <v>49081</v>
      </c>
      <c r="S386" s="5" t="s">
        <v>49029</v>
      </c>
      <c r="T386" s="28">
        <v>286017000</v>
      </c>
      <c r="U386" s="28">
        <v>67000</v>
      </c>
      <c r="V386" s="28">
        <v>175970000</v>
      </c>
      <c r="W386" s="28">
        <v>1686000</v>
      </c>
      <c r="X386" s="28">
        <v>3553000</v>
      </c>
      <c r="Y386" s="28">
        <v>674710000</v>
      </c>
      <c r="Z386" s="28">
        <v>66787000</v>
      </c>
      <c r="AA386" s="28">
        <v>12700000</v>
      </c>
      <c r="AB386" s="28">
        <v>41870000</v>
      </c>
      <c r="AC386" s="28">
        <v>257897000</v>
      </c>
      <c r="AD386" s="28">
        <v>290069000</v>
      </c>
      <c r="AE386" s="28">
        <v>3176428000</v>
      </c>
      <c r="AF386" s="28">
        <v>45950000</v>
      </c>
      <c r="AG386" s="11"/>
    </row>
    <row r="387">
      <c r="A387" s="7" t="s">
        <v>2133</v>
      </c>
      <c r="B387" s="5" t="s">
        <v>10104</v>
      </c>
      <c r="C387" s="5" t="s">
        <v>18003</v>
      </c>
      <c r="D387" s="5" t="str">
        <v>663901208460</v>
      </c>
      <c r="E387" s="0" t="e">
        <f>+7 (85557) 59000
+7 (85557) 59013
+7 (85557) 59442</f>
        <v>#NAME?</v>
      </c>
      <c r="F387" s="5" t="s">
        <v>26477</v>
      </c>
      <c r="G387" s="5"/>
      <c r="H387" s="26">
        <v>6</v>
      </c>
      <c r="I387" s="5" t="s">
        <v>26478</v>
      </c>
      <c r="J387" s="5" t="s">
        <v>364</v>
      </c>
      <c r="K387" s="5" t="s">
        <v>344</v>
      </c>
      <c r="L387" s="5" t="s">
        <v>26479</v>
      </c>
      <c r="M387" s="27">
        <v>119483</v>
      </c>
      <c r="N387" s="5" t="s">
        <v>49699</v>
      </c>
      <c r="O387" s="5" t="str">
        <v>1646043699</v>
      </c>
      <c r="P387" s="27">
        <v>1000000</v>
      </c>
      <c r="Q387" s="5" t="s">
        <v>49700</v>
      </c>
      <c r="R387" s="5"/>
      <c r="S387" s="5" t="s">
        <v>49701</v>
      </c>
      <c r="T387" s="28">
        <v>188867000</v>
      </c>
      <c r="U387" s="28">
        <v>525000</v>
      </c>
      <c r="V387" s="28">
        <v>17208988000</v>
      </c>
      <c r="W387" s="28"/>
      <c r="X387" s="28">
        <v>2428488000</v>
      </c>
      <c r="Y387" s="28">
        <v>32922552000</v>
      </c>
      <c r="Z387" s="28">
        <v>2586423000</v>
      </c>
      <c r="AA387" s="28">
        <v>699967000</v>
      </c>
      <c r="AB387" s="28">
        <v>3027766000</v>
      </c>
      <c r="AC387" s="28">
        <v>16975258000</v>
      </c>
      <c r="AD387" s="28">
        <v>2587423000</v>
      </c>
      <c r="AE387" s="28">
        <v>22083214000</v>
      </c>
      <c r="AF387" s="28">
        <v>1717356000</v>
      </c>
      <c r="AG387" s="11"/>
    </row>
    <row r="388">
      <c r="A388" s="7" t="s">
        <v>2134</v>
      </c>
      <c r="B388" s="5" t="s">
        <v>10105</v>
      </c>
      <c r="C388" s="5" t="s">
        <v>18004</v>
      </c>
      <c r="D388" s="5" t="str">
        <v>165022083603</v>
      </c>
      <c r="E388" s="0" t="e">
        <f>+7 (85557) 75601
+7 (919) 6202150
+7 (85557) 41601
+7 (85557) 42526
+7 (85557) 75532
+7 (85557) 75607</f>
        <v>#NAME?</v>
      </c>
      <c r="F388" s="5" t="s">
        <v>26480</v>
      </c>
      <c r="G388" s="5" t="s">
        <v>26481</v>
      </c>
      <c r="H388" s="26">
        <v>21</v>
      </c>
      <c r="I388" s="5"/>
      <c r="J388" s="5" t="s">
        <v>26482</v>
      </c>
      <c r="K388" s="5" t="s">
        <v>344</v>
      </c>
      <c r="L388" s="5" t="s">
        <v>26483</v>
      </c>
      <c r="M388" s="27"/>
      <c r="N388" s="5" t="s">
        <v>49702</v>
      </c>
      <c r="O388" s="5" t="str">
        <v>1646013662</v>
      </c>
      <c r="P388" s="27">
        <v>15347000</v>
      </c>
      <c r="Q388" s="5" t="s">
        <v>49703</v>
      </c>
      <c r="R388" s="5"/>
      <c r="S388" s="5" t="s">
        <v>49704</v>
      </c>
      <c r="T388" s="28">
        <v>606798000</v>
      </c>
      <c r="U388" s="28"/>
      <c r="V388" s="28">
        <v>368390000</v>
      </c>
      <c r="W388" s="28">
        <v>29777000</v>
      </c>
      <c r="X388" s="28">
        <v>720576000</v>
      </c>
      <c r="Y388" s="28">
        <v>2181031000</v>
      </c>
      <c r="Z388" s="28">
        <v>1687260000</v>
      </c>
      <c r="AA388" s="28"/>
      <c r="AB388" s="28">
        <v>218138000</v>
      </c>
      <c r="AC388" s="28">
        <v>448824000</v>
      </c>
      <c r="AD388" s="28">
        <v>1704909000</v>
      </c>
      <c r="AE388" s="28">
        <v>6593816000</v>
      </c>
      <c r="AF388" s="28">
        <v>270035000</v>
      </c>
      <c r="AG388" s="11"/>
    </row>
    <row r="389">
      <c r="A389" s="7" t="s">
        <v>2135</v>
      </c>
      <c r="B389" s="5" t="s">
        <v>10106</v>
      </c>
      <c r="C389" s="5" t="s">
        <v>18005</v>
      </c>
      <c r="D389" s="5" t="str">
        <v>165108811526</v>
      </c>
      <c r="F389" s="5"/>
      <c r="G389" s="5"/>
      <c r="H389" s="26">
        <v>5</v>
      </c>
      <c r="I389" s="5" t="s">
        <v>26484</v>
      </c>
      <c r="J389" s="5" t="s">
        <v>373</v>
      </c>
      <c r="K389" s="5" t="s">
        <v>344</v>
      </c>
      <c r="L389" s="5" t="s">
        <v>26485</v>
      </c>
      <c r="M389" s="27"/>
      <c r="N389" s="5"/>
      <c r="O389" s="5" t="str">
        <v>1651082453</v>
      </c>
      <c r="P389" s="27">
        <v>10000</v>
      </c>
      <c r="Q389" s="5" t="s">
        <v>49705</v>
      </c>
      <c r="R389" s="5"/>
      <c r="S389" s="5" t="s">
        <v>49706</v>
      </c>
      <c r="T389" s="28">
        <v>88504000</v>
      </c>
      <c r="U389" s="28"/>
      <c r="V389" s="28">
        <v>145640000</v>
      </c>
      <c r="W389" s="28"/>
      <c r="X389" s="28">
        <v>4483000</v>
      </c>
      <c r="Y389" s="28">
        <v>241902000</v>
      </c>
      <c r="Z389" s="28">
        <v>29179000</v>
      </c>
      <c r="AA389" s="28"/>
      <c r="AB389" s="28">
        <v>83568000</v>
      </c>
      <c r="AC389" s="28">
        <v>169187000</v>
      </c>
      <c r="AD389" s="28">
        <v>30489000</v>
      </c>
      <c r="AE389" s="28">
        <v>3359746000</v>
      </c>
      <c r="AF389" s="28">
        <v>14341000</v>
      </c>
      <c r="AG389" s="11"/>
    </row>
    <row r="390">
      <c r="A390" s="7" t="s">
        <v>2136</v>
      </c>
      <c r="B390" s="5" t="s">
        <v>10107</v>
      </c>
      <c r="C390" s="5" t="s">
        <v>18006</v>
      </c>
      <c r="D390" s="5" t="str">
        <v>782613385480</v>
      </c>
      <c r="E390" s="0" t="e">
        <f>+7 (812) 3206263
+7 (812) 7772777</f>
        <v>#NAME?</v>
      </c>
      <c r="F390" s="5" t="s">
        <v>26486</v>
      </c>
      <c r="G390" s="5" t="s">
        <v>26487</v>
      </c>
      <c r="H390" s="26">
        <v>16</v>
      </c>
      <c r="I390" s="5" t="s">
        <v>26488</v>
      </c>
      <c r="J390" s="5" t="s">
        <v>389</v>
      </c>
      <c r="K390" s="5" t="s">
        <v>344</v>
      </c>
      <c r="L390" s="5" t="s">
        <v>26489</v>
      </c>
      <c r="M390" s="27"/>
      <c r="N390" s="5" t="s">
        <v>49707</v>
      </c>
      <c r="O390" s="5" t="str">
        <v>7814367593</v>
      </c>
      <c r="P390" s="27">
        <v>10000</v>
      </c>
      <c r="Q390" s="5" t="s">
        <v>49708</v>
      </c>
      <c r="R390" s="5"/>
      <c r="S390" s="5" t="s">
        <v>49709</v>
      </c>
      <c r="T390" s="28">
        <v>12885000</v>
      </c>
      <c r="U390" s="28"/>
      <c r="V390" s="28">
        <v>885236000</v>
      </c>
      <c r="W390" s="28">
        <v>67637000</v>
      </c>
      <c r="X390" s="28">
        <v>30169000</v>
      </c>
      <c r="Y390" s="28">
        <v>1930858000</v>
      </c>
      <c r="Z390" s="28">
        <v>288375000</v>
      </c>
      <c r="AA390" s="28">
        <v>787492000</v>
      </c>
      <c r="AB390" s="28">
        <v>80884000</v>
      </c>
      <c r="AC390" s="28">
        <v>748417000</v>
      </c>
      <c r="AD390" s="28">
        <v>288386000</v>
      </c>
      <c r="AE390" s="28">
        <v>5807606000</v>
      </c>
      <c r="AF390" s="28">
        <v>185609000</v>
      </c>
      <c r="AG390" s="11"/>
    </row>
    <row r="391">
      <c r="A391" s="7" t="s">
        <v>2137</v>
      </c>
      <c r="B391" s="5" t="s">
        <v>10108</v>
      </c>
      <c r="C391" s="5" t="s">
        <v>18007</v>
      </c>
      <c r="D391" s="5" t="str">
        <v>781129282836</v>
      </c>
      <c r="F391" s="5" t="s">
        <v>26490</v>
      </c>
      <c r="G391" s="5"/>
      <c r="H391" s="26">
        <v>16</v>
      </c>
      <c r="I391" s="5" t="s">
        <v>26491</v>
      </c>
      <c r="J391" s="5" t="s">
        <v>389</v>
      </c>
      <c r="K391" s="5" t="s">
        <v>344</v>
      </c>
      <c r="L391" s="5" t="s">
        <v>26492</v>
      </c>
      <c r="M391" s="27"/>
      <c r="N391" s="5" t="s">
        <v>49710</v>
      </c>
      <c r="O391" s="5" t="str">
        <v>7802383738</v>
      </c>
      <c r="P391" s="27">
        <v>10010000</v>
      </c>
      <c r="Q391" s="5" t="s">
        <v>49217</v>
      </c>
      <c r="R391" s="5"/>
      <c r="S391" s="5" t="s">
        <v>49711</v>
      </c>
      <c r="T391" s="28">
        <v>6444000</v>
      </c>
      <c r="U391" s="28"/>
      <c r="V391" s="28">
        <v>497739000</v>
      </c>
      <c r="W391" s="28"/>
      <c r="X391" s="28">
        <v>26930000</v>
      </c>
      <c r="Y391" s="28">
        <v>766725000</v>
      </c>
      <c r="Z391" s="28">
        <v>80935000</v>
      </c>
      <c r="AA391" s="28">
        <v>68490000</v>
      </c>
      <c r="AB391" s="28">
        <v>1020000</v>
      </c>
      <c r="AC391" s="28">
        <v>607289000</v>
      </c>
      <c r="AD391" s="28">
        <v>90946000</v>
      </c>
      <c r="AE391" s="28">
        <v>4025461000</v>
      </c>
      <c r="AF391" s="28">
        <v>8513000</v>
      </c>
      <c r="AG391" s="11"/>
    </row>
    <row r="392">
      <c r="A392" s="7" t="s">
        <v>2138</v>
      </c>
      <c r="B392" s="5" t="s">
        <v>10109</v>
      </c>
      <c r="C392" s="5" t="s">
        <v>18008</v>
      </c>
      <c r="D392" s="5" t="str">
        <v>502602742529</v>
      </c>
      <c r="E392" s="0" t="e">
        <f>+7 (985) 4234537</f>
        <v>#NAME?</v>
      </c>
      <c r="F392" s="5"/>
      <c r="G392" s="5" t="s">
        <v>26493</v>
      </c>
      <c r="H392" s="26">
        <v>9</v>
      </c>
      <c r="I392" s="5" t="s">
        <v>26494</v>
      </c>
      <c r="J392" s="5" t="s">
        <v>445</v>
      </c>
      <c r="K392" s="5" t="s">
        <v>344</v>
      </c>
      <c r="L392" s="5" t="s">
        <v>26495</v>
      </c>
      <c r="M392" s="27"/>
      <c r="N392" s="5"/>
      <c r="O392" s="5" t="str">
        <v>7707827648</v>
      </c>
      <c r="P392" s="27">
        <v>10000</v>
      </c>
      <c r="Q392" s="5" t="s">
        <v>49009</v>
      </c>
      <c r="R392" s="5"/>
      <c r="S392" s="5" t="s">
        <v>49066</v>
      </c>
      <c r="T392" s="28">
        <v>41003000</v>
      </c>
      <c r="U392" s="28">
        <v>49000000</v>
      </c>
      <c r="V392" s="28">
        <v>473539000</v>
      </c>
      <c r="W392" s="28">
        <v>2008310000</v>
      </c>
      <c r="X392" s="28">
        <v>1383000</v>
      </c>
      <c r="Y392" s="28">
        <v>3541228000</v>
      </c>
      <c r="Z392" s="28">
        <v>1523440000</v>
      </c>
      <c r="AA392" s="28"/>
      <c r="AB392" s="28"/>
      <c r="AC392" s="28">
        <v>2017778000</v>
      </c>
      <c r="AD392" s="28">
        <v>1523450000</v>
      </c>
      <c r="AE392" s="28">
        <v>8652294000</v>
      </c>
      <c r="AF392" s="28">
        <v>981427000</v>
      </c>
      <c r="AG392" s="11"/>
    </row>
    <row r="393">
      <c r="A393" s="7" t="s">
        <v>2139</v>
      </c>
      <c r="B393" s="5" t="s">
        <v>10110</v>
      </c>
      <c r="C393" s="5" t="s">
        <v>18009</v>
      </c>
      <c r="D393" s="5"/>
      <c r="E393" s="0" t="e">
        <f>+7 (416) 2390941
+7 (416) 2390942
+7 (416) 2394463</f>
        <v>#NAME?</v>
      </c>
      <c r="F393" s="5" t="s">
        <v>26496</v>
      </c>
      <c r="G393" s="5" t="s">
        <v>26497</v>
      </c>
      <c r="H393" s="26">
        <v>14</v>
      </c>
      <c r="I393" s="5" t="s">
        <v>26498</v>
      </c>
      <c r="J393" s="5" t="s">
        <v>26499</v>
      </c>
      <c r="K393" s="5" t="s">
        <v>380</v>
      </c>
      <c r="L393" s="5" t="s">
        <v>26500</v>
      </c>
      <c r="M393" s="27">
        <v>2966741</v>
      </c>
      <c r="N393" s="5"/>
      <c r="O393" s="5" t="str">
        <v>2801138741</v>
      </c>
      <c r="P393" s="27">
        <v>1200000</v>
      </c>
      <c r="Q393" s="5" t="s">
        <v>49009</v>
      </c>
      <c r="R393" s="5"/>
      <c r="S393" s="5" t="s">
        <v>49576</v>
      </c>
      <c r="T393" s="28">
        <v>8835869000</v>
      </c>
      <c r="U393" s="28"/>
      <c r="V393" s="28">
        <v>5602471000</v>
      </c>
      <c r="W393" s="28"/>
      <c r="X393" s="28">
        <v>7209000</v>
      </c>
      <c r="Y393" s="28">
        <v>16445414000</v>
      </c>
      <c r="Z393" s="28">
        <v>12910877000</v>
      </c>
      <c r="AA393" s="28">
        <v>54989000</v>
      </c>
      <c r="AB393" s="28">
        <v>1411067000</v>
      </c>
      <c r="AC393" s="28">
        <v>2467937000</v>
      </c>
      <c r="AD393" s="28">
        <v>13011077000</v>
      </c>
      <c r="AE393" s="28">
        <v>7001709000</v>
      </c>
      <c r="AF393" s="28">
        <v>276130000</v>
      </c>
      <c r="AG393" s="11"/>
    </row>
    <row r="394">
      <c r="A394" s="7" t="s">
        <v>2140</v>
      </c>
      <c r="B394" s="5" t="s">
        <v>10111</v>
      </c>
      <c r="C394" s="5" t="s">
        <v>18010</v>
      </c>
      <c r="D394" s="5" t="str">
        <v>290100570208</v>
      </c>
      <c r="E394" s="0" t="e">
        <f>+7 (818) 2279002
+7 (818) 2454240
+7 (818) 2454242
+7 (818) 2454247
+7 (818) 2454249
+7 (818) 2454250
+7 (818) 2454251
+7 (818) 2454253
+7 (818) 2650288
+7 (818) 2650400
+7 (818) 2650765
+7 (818) 2670765</f>
        <v>#NAME?</v>
      </c>
      <c r="F394" s="5" t="s">
        <v>26501</v>
      </c>
      <c r="G394" s="5" t="s">
        <v>26502</v>
      </c>
      <c r="H394" s="26">
        <v>30</v>
      </c>
      <c r="I394" s="5"/>
      <c r="J394" s="5" t="s">
        <v>26503</v>
      </c>
      <c r="K394" s="5" t="s">
        <v>344</v>
      </c>
      <c r="L394" s="5" t="s">
        <v>26504</v>
      </c>
      <c r="M394" s="27"/>
      <c r="N394" s="5"/>
      <c r="O394" s="5" t="str">
        <v>2900000293</v>
      </c>
      <c r="P394" s="27">
        <v>120008353</v>
      </c>
      <c r="Q394" s="5"/>
      <c r="R394" s="5"/>
      <c r="S394" s="5" t="s">
        <v>49029</v>
      </c>
      <c r="T394" s="28">
        <v>422911000</v>
      </c>
      <c r="U394" s="28"/>
      <c r="V394" s="28">
        <v>4584786000</v>
      </c>
      <c r="W394" s="28"/>
      <c r="X394" s="28">
        <v>1084000</v>
      </c>
      <c r="Y394" s="28">
        <v>5578442000</v>
      </c>
      <c r="Z394" s="28">
        <v>991243000</v>
      </c>
      <c r="AA394" s="28">
        <v>679285000</v>
      </c>
      <c r="AB394" s="28">
        <v>796800000</v>
      </c>
      <c r="AC394" s="28">
        <v>3732182000</v>
      </c>
      <c r="AD394" s="28">
        <v>1113784000</v>
      </c>
      <c r="AE394" s="28">
        <v>4685433000</v>
      </c>
      <c r="AF394" s="28">
        <v>129269000</v>
      </c>
      <c r="AG394" s="11"/>
    </row>
    <row r="395">
      <c r="A395" s="7" t="s">
        <v>2141</v>
      </c>
      <c r="B395" s="5" t="s">
        <v>10112</v>
      </c>
      <c r="C395" s="5" t="s">
        <v>18011</v>
      </c>
      <c r="D395" s="5" t="str">
        <v>229100198990</v>
      </c>
      <c r="E395" s="0" t="e">
        <f>+7 (495) 7999700</f>
        <v>#NAME?</v>
      </c>
      <c r="F395" s="5" t="s">
        <v>26505</v>
      </c>
      <c r="G395" s="5" t="s">
        <v>26506</v>
      </c>
      <c r="H395" s="26">
        <v>13.5</v>
      </c>
      <c r="I395" s="5" t="s">
        <v>26507</v>
      </c>
      <c r="J395" s="5" t="s">
        <v>26508</v>
      </c>
      <c r="K395" s="5" t="s">
        <v>344</v>
      </c>
      <c r="L395" s="5" t="s">
        <v>26509</v>
      </c>
      <c r="M395" s="27">
        <v>8000</v>
      </c>
      <c r="N395" s="5"/>
      <c r="O395" s="5" t="str">
        <v>7730614662</v>
      </c>
      <c r="P395" s="27">
        <v>10000000</v>
      </c>
      <c r="Q395" s="5"/>
      <c r="R395" s="5" t="s">
        <v>49712</v>
      </c>
      <c r="S395" s="5" t="s">
        <v>49123</v>
      </c>
      <c r="T395" s="28">
        <v>3624948000</v>
      </c>
      <c r="U395" s="28"/>
      <c r="V395" s="28">
        <v>5954046000</v>
      </c>
      <c r="W395" s="28">
        <v>172160000</v>
      </c>
      <c r="X395" s="28">
        <v>46005000</v>
      </c>
      <c r="Y395" s="28">
        <v>18886949000</v>
      </c>
      <c r="Z395" s="28">
        <v>3965553000</v>
      </c>
      <c r="AA395" s="28">
        <v>1200000000</v>
      </c>
      <c r="AB395" s="28">
        <v>2840070000</v>
      </c>
      <c r="AC395" s="28">
        <v>13564320000</v>
      </c>
      <c r="AD395" s="28">
        <v>3975553000</v>
      </c>
      <c r="AE395" s="28">
        <v>19330216000</v>
      </c>
      <c r="AF395" s="28">
        <v>2047742000</v>
      </c>
      <c r="AG395" s="11"/>
    </row>
    <row r="396">
      <c r="A396" s="7" t="s">
        <v>2142</v>
      </c>
      <c r="B396" s="5" t="s">
        <v>10113</v>
      </c>
      <c r="C396" s="5" t="s">
        <v>18012</v>
      </c>
      <c r="D396" s="5" t="str">
        <v>772741873720</v>
      </c>
      <c r="E396" s="0" t="e">
        <f>+7 (495) 1977958
+7 (495) 2257308
+7 (495) 2346189
+7 (495) 2346190
+7 (499) 2346190</f>
        <v>#NAME?</v>
      </c>
      <c r="F396" s="5"/>
      <c r="G396" s="5"/>
      <c r="H396" s="26">
        <v>13.5</v>
      </c>
      <c r="I396" s="5" t="s">
        <v>26510</v>
      </c>
      <c r="J396" s="5" t="s">
        <v>26511</v>
      </c>
      <c r="K396" s="5" t="s">
        <v>344</v>
      </c>
      <c r="L396" s="5" t="s">
        <v>26512</v>
      </c>
      <c r="M396" s="27"/>
      <c r="N396" s="5"/>
      <c r="O396" s="5" t="str">
        <v>7743754392</v>
      </c>
      <c r="P396" s="27">
        <v>10000</v>
      </c>
      <c r="Q396" s="5" t="s">
        <v>49009</v>
      </c>
      <c r="R396" s="5"/>
      <c r="S396" s="5" t="s">
        <v>49010</v>
      </c>
      <c r="T396" s="28">
        <v>14295000</v>
      </c>
      <c r="U396" s="28"/>
      <c r="V396" s="28">
        <v>251552000</v>
      </c>
      <c r="W396" s="28"/>
      <c r="X396" s="28">
        <v>3642000</v>
      </c>
      <c r="Y396" s="28">
        <v>631426000</v>
      </c>
      <c r="Z396" s="28">
        <v>62199000</v>
      </c>
      <c r="AA396" s="28">
        <v>180000000</v>
      </c>
      <c r="AB396" s="28">
        <v>62000000</v>
      </c>
      <c r="AC396" s="28">
        <v>376244000</v>
      </c>
      <c r="AD396" s="28">
        <v>62209000</v>
      </c>
      <c r="AE396" s="28">
        <v>3909798000</v>
      </c>
      <c r="AF396" s="28">
        <v>4882000</v>
      </c>
      <c r="AG396" s="11"/>
    </row>
    <row r="397">
      <c r="A397" s="7" t="s">
        <v>2143</v>
      </c>
      <c r="B397" s="5" t="s">
        <v>10114</v>
      </c>
      <c r="C397" s="5" t="s">
        <v>18013</v>
      </c>
      <c r="D397" s="5" t="str">
        <v>771606490239</v>
      </c>
      <c r="E397" s="0" t="e">
        <f>+7 (495) 5102857
+7 (495) 5102858</f>
        <v>#NAME?</v>
      </c>
      <c r="F397" s="5"/>
      <c r="G397" s="5" t="s">
        <v>26513</v>
      </c>
      <c r="H397" s="26">
        <v>18.5</v>
      </c>
      <c r="I397" s="5" t="s">
        <v>26514</v>
      </c>
      <c r="J397" s="5" t="s">
        <v>26515</v>
      </c>
      <c r="K397" s="5" t="s">
        <v>344</v>
      </c>
      <c r="L397" s="5" t="s">
        <v>26516</v>
      </c>
      <c r="M397" s="27">
        <v>1116476</v>
      </c>
      <c r="N397" s="5"/>
      <c r="O397" s="5" t="str">
        <v>7725514969</v>
      </c>
      <c r="P397" s="27">
        <v>16146000</v>
      </c>
      <c r="Q397" s="5" t="s">
        <v>49009</v>
      </c>
      <c r="R397" s="5"/>
      <c r="S397" s="5" t="s">
        <v>49010</v>
      </c>
      <c r="T397" s="28">
        <v>12824785000</v>
      </c>
      <c r="U397" s="28">
        <v>91240000</v>
      </c>
      <c r="V397" s="28">
        <v>996776000</v>
      </c>
      <c r="W397" s="28">
        <v>89217000</v>
      </c>
      <c r="X397" s="28">
        <v>6912189000</v>
      </c>
      <c r="Y397" s="28">
        <v>21326048000</v>
      </c>
      <c r="Z397" s="28">
        <v>14283340000</v>
      </c>
      <c r="AA397" s="28">
        <v>2496369000</v>
      </c>
      <c r="AB397" s="28">
        <v>1836637000</v>
      </c>
      <c r="AC397" s="28">
        <v>2951888000</v>
      </c>
      <c r="AD397" s="28">
        <v>14546463000</v>
      </c>
      <c r="AE397" s="28">
        <v>12692453000</v>
      </c>
      <c r="AF397" s="28">
        <v>3544226000</v>
      </c>
      <c r="AG397" s="11"/>
    </row>
    <row r="398">
      <c r="A398" s="7" t="s">
        <v>2144</v>
      </c>
      <c r="B398" s="5" t="s">
        <v>10115</v>
      </c>
      <c r="C398" s="5" t="s">
        <v>18014</v>
      </c>
      <c r="D398" s="5" t="str">
        <v>143519620715</v>
      </c>
      <c r="E398" s="0" t="e">
        <f>+7 (924) 6909389</f>
        <v>#NAME?</v>
      </c>
      <c r="F398" s="5" t="s">
        <v>26517</v>
      </c>
      <c r="G398" s="5"/>
      <c r="H398" s="26">
        <v>8</v>
      </c>
      <c r="I398" s="5" t="s">
        <v>26518</v>
      </c>
      <c r="J398" s="5" t="s">
        <v>26499</v>
      </c>
      <c r="K398" s="5" t="s">
        <v>344</v>
      </c>
      <c r="L398" s="5" t="s">
        <v>26519</v>
      </c>
      <c r="M398" s="27"/>
      <c r="N398" s="5"/>
      <c r="O398" s="5" t="str">
        <v>4909121602</v>
      </c>
      <c r="P398" s="27">
        <v>10000</v>
      </c>
      <c r="Q398" s="5" t="s">
        <v>49009</v>
      </c>
      <c r="R398" s="5"/>
      <c r="S398" s="5" t="s">
        <v>49010</v>
      </c>
      <c r="T398" s="28">
        <v>740000</v>
      </c>
      <c r="U398" s="28"/>
      <c r="V398" s="28">
        <v>321995000</v>
      </c>
      <c r="W398" s="28">
        <v>3710000000</v>
      </c>
      <c r="X398" s="28">
        <v>23355000</v>
      </c>
      <c r="Y398" s="28">
        <v>4058843000</v>
      </c>
      <c r="Z398" s="28">
        <v>3332060000</v>
      </c>
      <c r="AA398" s="28"/>
      <c r="AB398" s="28">
        <v>3741000</v>
      </c>
      <c r="AC398" s="28">
        <v>726615000</v>
      </c>
      <c r="AD398" s="28">
        <v>3332070000</v>
      </c>
      <c r="AE398" s="28">
        <v>4486671000</v>
      </c>
      <c r="AF398" s="28">
        <v>1431320000</v>
      </c>
      <c r="AG398" s="11"/>
    </row>
    <row r="399">
      <c r="A399" s="7" t="s">
        <v>2145</v>
      </c>
      <c r="B399" s="5" t="s">
        <v>10116</v>
      </c>
      <c r="C399" s="5" t="s">
        <v>18015</v>
      </c>
      <c r="D399" s="5" t="str">
        <v>231901651332</v>
      </c>
      <c r="E399" s="0" t="e">
        <f>+7 (918) 1050536
+7 (862) 2334023
+7 (8622) 432086
+7 (918) 6008136
+7 (918) 9078159
+7 (918) 9176453
+7 (918) 9197558
+7 (988) 2338140
+7 (988) 4112711
+7 (988) 4180666</f>
        <v>#NAME?</v>
      </c>
      <c r="F399" s="5" t="s">
        <v>26520</v>
      </c>
      <c r="G399" s="5" t="s">
        <v>26521</v>
      </c>
      <c r="H399" s="26">
        <v>19</v>
      </c>
      <c r="I399" s="5" t="s">
        <v>26522</v>
      </c>
      <c r="J399" s="5" t="s">
        <v>25190</v>
      </c>
      <c r="K399" s="5" t="s">
        <v>344</v>
      </c>
      <c r="L399" s="5" t="s">
        <v>26523</v>
      </c>
      <c r="M399" s="27"/>
      <c r="N399" s="5"/>
      <c r="O399" s="5" t="str">
        <v>2317038141</v>
      </c>
      <c r="P399" s="27">
        <v>10000</v>
      </c>
      <c r="Q399" s="5"/>
      <c r="R399" s="5"/>
      <c r="S399" s="5" t="s">
        <v>49713</v>
      </c>
      <c r="T399" s="28">
        <v>38155000</v>
      </c>
      <c r="U399" s="28"/>
      <c r="V399" s="28">
        <v>108774000</v>
      </c>
      <c r="W399" s="28"/>
      <c r="X399" s="28">
        <v>77760000</v>
      </c>
      <c r="Y399" s="28">
        <v>678140000</v>
      </c>
      <c r="Z399" s="28">
        <v>567457000</v>
      </c>
      <c r="AA399" s="28"/>
      <c r="AB399" s="28"/>
      <c r="AC399" s="28">
        <v>94822000</v>
      </c>
      <c r="AD399" s="28">
        <v>567467000</v>
      </c>
      <c r="AE399" s="28">
        <v>3482800000</v>
      </c>
      <c r="AF399" s="28">
        <v>182375000</v>
      </c>
      <c r="AG399" s="11"/>
    </row>
    <row r="400">
      <c r="A400" s="7" t="s">
        <v>2146</v>
      </c>
      <c r="B400" s="5" t="s">
        <v>10117</v>
      </c>
      <c r="C400" s="5" t="s">
        <v>18016</v>
      </c>
      <c r="D400" s="5" t="str">
        <v>222400694299</v>
      </c>
      <c r="E400" s="0" t="e">
        <f>+7 (385) 2650098
+7 (345) 2283556
+7 (385) 2555902
+7 (903) 9571212
+7 (923) 1636174
+7 (3022) 401293
+7 (3022) 401454
+7 (38553) 77716
+7 (416) 2334729</f>
        <v>#NAME?</v>
      </c>
      <c r="F400" s="5" t="s">
        <v>26524</v>
      </c>
      <c r="G400" s="5" t="s">
        <v>26525</v>
      </c>
      <c r="H400" s="26">
        <v>27</v>
      </c>
      <c r="I400" s="5"/>
      <c r="J400" s="5" t="s">
        <v>26526</v>
      </c>
      <c r="K400" s="5" t="s">
        <v>344</v>
      </c>
      <c r="L400" s="5" t="s">
        <v>26527</v>
      </c>
      <c r="M400" s="27">
        <v>2293200</v>
      </c>
      <c r="N400" s="5" t="s">
        <v>49714</v>
      </c>
      <c r="O400" s="5" t="str">
        <v>2201000766</v>
      </c>
      <c r="P400" s="27">
        <v>10968412</v>
      </c>
      <c r="Q400" s="5" t="s">
        <v>49716</v>
      </c>
      <c r="R400" s="5"/>
      <c r="S400" s="5" t="s">
        <v>49717</v>
      </c>
      <c r="T400" s="28">
        <v>1211328000</v>
      </c>
      <c r="U400" s="28">
        <v>18112000</v>
      </c>
      <c r="V400" s="28">
        <v>748465000</v>
      </c>
      <c r="W400" s="28"/>
      <c r="X400" s="28">
        <v>2947840000</v>
      </c>
      <c r="Y400" s="28">
        <v>6726861000</v>
      </c>
      <c r="Z400" s="28">
        <v>5454811000</v>
      </c>
      <c r="AA400" s="28"/>
      <c r="AB400" s="28">
        <v>600000000</v>
      </c>
      <c r="AC400" s="28">
        <v>1234125000</v>
      </c>
      <c r="AD400" s="28">
        <v>5492736000</v>
      </c>
      <c r="AE400" s="28">
        <v>10670353000</v>
      </c>
      <c r="AF400" s="28">
        <v>559761000</v>
      </c>
      <c r="AG400" s="11"/>
    </row>
    <row r="401">
      <c r="A401" s="7" t="s">
        <v>2147</v>
      </c>
      <c r="B401" s="5" t="s">
        <v>10118</v>
      </c>
      <c r="C401" s="5" t="s">
        <v>18017</v>
      </c>
      <c r="D401" s="5" t="str">
        <v>165205803489</v>
      </c>
      <c r="E401" s="0" t="e">
        <f>+7 (84348) 22606
+7 (917) 8584046
+7 (84341) 25545
+7 (927) 2491950</f>
        <v>#NAME?</v>
      </c>
      <c r="F401" s="5" t="s">
        <v>26528</v>
      </c>
      <c r="G401" s="5" t="s">
        <v>26529</v>
      </c>
      <c r="H401" s="26">
        <v>19.5</v>
      </c>
      <c r="I401" s="5"/>
      <c r="J401" s="5" t="s">
        <v>467</v>
      </c>
      <c r="K401" s="5" t="s">
        <v>344</v>
      </c>
      <c r="L401" s="5" t="s">
        <v>26530</v>
      </c>
      <c r="M401" s="27">
        <v>4011619</v>
      </c>
      <c r="N401" s="5" t="s">
        <v>49718</v>
      </c>
      <c r="O401" s="5" t="str">
        <v>1605003859</v>
      </c>
      <c r="P401" s="27">
        <v>43311200</v>
      </c>
      <c r="Q401" s="5" t="s">
        <v>49720</v>
      </c>
      <c r="R401" s="5" t="s">
        <v>49721</v>
      </c>
      <c r="S401" s="5" t="s">
        <v>49722</v>
      </c>
      <c r="T401" s="28">
        <v>582177000</v>
      </c>
      <c r="U401" s="28">
        <v>43750000</v>
      </c>
      <c r="V401" s="28">
        <v>5049779000</v>
      </c>
      <c r="W401" s="28"/>
      <c r="X401" s="28">
        <v>6083930000</v>
      </c>
      <c r="Y401" s="28">
        <v>14248620000</v>
      </c>
      <c r="Z401" s="28">
        <v>2640852000</v>
      </c>
      <c r="AA401" s="28"/>
      <c r="AB401" s="28"/>
      <c r="AC401" s="28">
        <v>11552202000</v>
      </c>
      <c r="AD401" s="28">
        <v>2686329000</v>
      </c>
      <c r="AE401" s="28">
        <v>17428954000</v>
      </c>
      <c r="AF401" s="28">
        <v>1452427000</v>
      </c>
      <c r="AG401" s="11"/>
    </row>
    <row r="402">
      <c r="A402" s="7" t="s">
        <v>2148</v>
      </c>
      <c r="B402" s="5" t="s">
        <v>10119</v>
      </c>
      <c r="C402" s="5" t="s">
        <v>18018</v>
      </c>
      <c r="D402" s="5"/>
      <c r="F402" s="5"/>
      <c r="G402" s="5"/>
      <c r="H402" s="26">
        <v>15.5</v>
      </c>
      <c r="I402" s="5"/>
      <c r="J402" s="5" t="s">
        <v>25371</v>
      </c>
      <c r="K402" s="5" t="s">
        <v>344</v>
      </c>
      <c r="L402" s="5" t="s">
        <v>26531</v>
      </c>
      <c r="M402" s="27"/>
      <c r="N402" s="5"/>
      <c r="O402" s="5" t="str">
        <v>3122506583</v>
      </c>
      <c r="P402" s="27">
        <v>4046477000</v>
      </c>
      <c r="Q402" s="5"/>
      <c r="R402" s="5"/>
      <c r="S402" s="5" t="s">
        <v>49723</v>
      </c>
      <c r="T402" s="28">
        <v>3583640000</v>
      </c>
      <c r="U402" s="28">
        <v>1133650000</v>
      </c>
      <c r="V402" s="28">
        <v>804878000</v>
      </c>
      <c r="W402" s="28">
        <v>21250000</v>
      </c>
      <c r="X402" s="28">
        <v>431190000</v>
      </c>
      <c r="Y402" s="28">
        <v>8389158000</v>
      </c>
      <c r="Z402" s="28">
        <v>96215000</v>
      </c>
      <c r="AA402" s="28">
        <v>378979000</v>
      </c>
      <c r="AB402" s="28">
        <v>2775359000</v>
      </c>
      <c r="AC402" s="28">
        <v>3659418000</v>
      </c>
      <c r="AD402" s="28">
        <v>4351555000</v>
      </c>
      <c r="AE402" s="28">
        <v>9084242000</v>
      </c>
      <c r="AF402" s="28">
        <v>-198408000</v>
      </c>
      <c r="AG402" s="11"/>
    </row>
    <row r="403">
      <c r="A403" s="7" t="s">
        <v>2149</v>
      </c>
      <c r="B403" s="5" t="s">
        <v>10120</v>
      </c>
      <c r="C403" s="5" t="s">
        <v>18018</v>
      </c>
      <c r="D403" s="5"/>
      <c r="E403" s="0" t="e">
        <f>+7 (47234) 75544
+7 (960) 1176003</f>
        <v>#NAME?</v>
      </c>
      <c r="F403" s="5" t="s">
        <v>26532</v>
      </c>
      <c r="G403" s="5"/>
      <c r="H403" s="26">
        <v>15.5</v>
      </c>
      <c r="I403" s="5"/>
      <c r="J403" s="5" t="s">
        <v>25949</v>
      </c>
      <c r="K403" s="5" t="s">
        <v>344</v>
      </c>
      <c r="L403" s="5" t="s">
        <v>26533</v>
      </c>
      <c r="M403" s="27"/>
      <c r="N403" s="5"/>
      <c r="O403" s="5" t="str">
        <v>3122506590</v>
      </c>
      <c r="P403" s="27">
        <v>2000000</v>
      </c>
      <c r="Q403" s="5" t="s">
        <v>49009</v>
      </c>
      <c r="R403" s="5"/>
      <c r="S403" s="5" t="s">
        <v>49066</v>
      </c>
      <c r="T403" s="28">
        <v>1593872000</v>
      </c>
      <c r="U403" s="28"/>
      <c r="V403" s="28">
        <v>441957000</v>
      </c>
      <c r="W403" s="28"/>
      <c r="X403" s="28">
        <v>9375000</v>
      </c>
      <c r="Y403" s="28">
        <v>3131786000</v>
      </c>
      <c r="Z403" s="28">
        <v>81464000</v>
      </c>
      <c r="AA403" s="28">
        <v>508611000</v>
      </c>
      <c r="AB403" s="28">
        <v>944270000</v>
      </c>
      <c r="AC403" s="28">
        <v>2285175000</v>
      </c>
      <c r="AD403" s="28">
        <v>83564000</v>
      </c>
      <c r="AE403" s="28">
        <v>7849090000</v>
      </c>
      <c r="AF403" s="28">
        <v>-123863000</v>
      </c>
      <c r="AG403" s="11"/>
    </row>
    <row r="404">
      <c r="A404" s="7" t="s">
        <v>2150</v>
      </c>
      <c r="B404" s="5" t="s">
        <v>10121</v>
      </c>
      <c r="C404" s="5" t="s">
        <v>18019</v>
      </c>
      <c r="D404" s="5"/>
      <c r="E404" s="0" t="e">
        <f>+7 (499) 9561003
+7 (48753) 41038
+7 (48753) 41065
+7 (48753) 41888
+7 (48753) 42137
+7 (48753) 42590
+7 (48753) 42949
+7 (495) 9257656</f>
        <v>#NAME?</v>
      </c>
      <c r="F404" s="5" t="s">
        <v>26534</v>
      </c>
      <c r="G404" s="5"/>
      <c r="H404" s="26">
        <v>23.5</v>
      </c>
      <c r="I404" s="5" t="s">
        <v>26535</v>
      </c>
      <c r="J404" s="5" t="s">
        <v>26536</v>
      </c>
      <c r="K404" s="5" t="s">
        <v>344</v>
      </c>
      <c r="L404" s="5"/>
      <c r="M404" s="27"/>
      <c r="N404" s="5" t="s">
        <v>49724</v>
      </c>
      <c r="O404" s="5" t="str">
        <v>7111021753</v>
      </c>
      <c r="P404" s="27">
        <v>230061278</v>
      </c>
      <c r="Q404" s="5" t="s">
        <v>49009</v>
      </c>
      <c r="R404" s="5" t="s">
        <v>49725</v>
      </c>
      <c r="S404" s="5" t="s">
        <v>49010</v>
      </c>
      <c r="T404" s="28">
        <v>4314408000</v>
      </c>
      <c r="U404" s="28"/>
      <c r="V404" s="28">
        <v>1091771000</v>
      </c>
      <c r="W404" s="28">
        <v>184000</v>
      </c>
      <c r="X404" s="28">
        <v>504610000</v>
      </c>
      <c r="Y404" s="28">
        <v>6845506000</v>
      </c>
      <c r="Z404" s="28">
        <v>-129574000</v>
      </c>
      <c r="AA404" s="28">
        <v>5777364000</v>
      </c>
      <c r="AB404" s="28">
        <v>426988000</v>
      </c>
      <c r="AC404" s="28">
        <v>922770000</v>
      </c>
      <c r="AD404" s="28">
        <v>100487000</v>
      </c>
      <c r="AE404" s="28">
        <v>7055891000</v>
      </c>
      <c r="AF404" s="28">
        <v>14599000</v>
      </c>
      <c r="AG404" s="11"/>
    </row>
    <row r="405">
      <c r="A405" s="7" t="s">
        <v>2151</v>
      </c>
      <c r="B405" s="5" t="s">
        <v>10122</v>
      </c>
      <c r="C405" s="5" t="s">
        <v>18020</v>
      </c>
      <c r="D405" s="5" t="str">
        <v>614703975554</v>
      </c>
      <c r="E405" s="0" t="e">
        <f>+7 (863) 3224567
+7 (863) 3330198
+7 (863) 3335498
+7 (963) 3224567
+7 (863) 2197012
+7 (863) 3333161</f>
        <v>#NAME?</v>
      </c>
      <c r="F405" s="5" t="s">
        <v>26537</v>
      </c>
      <c r="G405" s="5" t="s">
        <v>26538</v>
      </c>
      <c r="H405" s="26">
        <v>12.5</v>
      </c>
      <c r="I405" s="5" t="s">
        <v>26539</v>
      </c>
      <c r="J405" s="5" t="s">
        <v>25429</v>
      </c>
      <c r="K405" s="5" t="s">
        <v>344</v>
      </c>
      <c r="L405" s="5" t="s">
        <v>26540</v>
      </c>
      <c r="M405" s="27"/>
      <c r="N405" s="5" t="s">
        <v>49726</v>
      </c>
      <c r="O405" s="5" t="str">
        <v>6161058806</v>
      </c>
      <c r="P405" s="27">
        <v>10000</v>
      </c>
      <c r="Q405" s="5" t="s">
        <v>49727</v>
      </c>
      <c r="R405" s="5"/>
      <c r="S405" s="5" t="s">
        <v>49204</v>
      </c>
      <c r="T405" s="28">
        <v>66664000</v>
      </c>
      <c r="U405" s="28"/>
      <c r="V405" s="28">
        <v>2176629000</v>
      </c>
      <c r="W405" s="28">
        <v>11512000</v>
      </c>
      <c r="X405" s="28">
        <v>17849000</v>
      </c>
      <c r="Y405" s="28">
        <v>4025304000</v>
      </c>
      <c r="Z405" s="28">
        <v>286178000</v>
      </c>
      <c r="AA405" s="28"/>
      <c r="AB405" s="28">
        <v>587020000</v>
      </c>
      <c r="AC405" s="28">
        <v>3661230000</v>
      </c>
      <c r="AD405" s="28">
        <v>286188000</v>
      </c>
      <c r="AE405" s="28">
        <v>8225231000</v>
      </c>
      <c r="AF405" s="28">
        <v>37198000</v>
      </c>
      <c r="AG405" s="11"/>
    </row>
    <row r="406">
      <c r="A406" s="7" t="s">
        <v>2152</v>
      </c>
      <c r="B406" s="5" t="s">
        <v>10123</v>
      </c>
      <c r="C406" s="5" t="s">
        <v>18021</v>
      </c>
      <c r="D406" s="5" t="str">
        <v>614312286806</v>
      </c>
      <c r="E406" s="0" t="e">
        <f>+7 (8639) 236733
+7 (918) 5091147
+7 (928) 6299777
+7 (928) 7622777</f>
        <v>#NAME?</v>
      </c>
      <c r="F406" s="5" t="s">
        <v>26541</v>
      </c>
      <c r="G406" s="5"/>
      <c r="H406" s="26">
        <v>16</v>
      </c>
      <c r="I406" s="5" t="s">
        <v>26542</v>
      </c>
      <c r="J406" s="5" t="s">
        <v>26543</v>
      </c>
      <c r="K406" s="5" t="s">
        <v>344</v>
      </c>
      <c r="L406" s="5" t="s">
        <v>26544</v>
      </c>
      <c r="M406" s="27">
        <v>1794716</v>
      </c>
      <c r="N406" s="5"/>
      <c r="O406" s="5" t="str">
        <v>6143065600</v>
      </c>
      <c r="P406" s="27">
        <v>10000</v>
      </c>
      <c r="Q406" s="5" t="s">
        <v>49728</v>
      </c>
      <c r="R406" s="5"/>
      <c r="S406" s="5" t="s">
        <v>49729</v>
      </c>
      <c r="T406" s="28">
        <v>9762000</v>
      </c>
      <c r="U406" s="28"/>
      <c r="V406" s="28">
        <v>304577000</v>
      </c>
      <c r="W406" s="28">
        <v>231450000</v>
      </c>
      <c r="X406" s="28">
        <v>38456000</v>
      </c>
      <c r="Y406" s="28">
        <v>687447000</v>
      </c>
      <c r="Z406" s="28">
        <v>119314000</v>
      </c>
      <c r="AA406" s="28">
        <v>5500000</v>
      </c>
      <c r="AB406" s="28">
        <v>19000000</v>
      </c>
      <c r="AC406" s="28">
        <v>562624000</v>
      </c>
      <c r="AD406" s="28">
        <v>119324000</v>
      </c>
      <c r="AE406" s="28">
        <v>4976798000</v>
      </c>
      <c r="AF406" s="28">
        <v>20550000</v>
      </c>
      <c r="AG406" s="11"/>
    </row>
    <row r="407">
      <c r="A407" s="7" t="s">
        <v>2153</v>
      </c>
      <c r="B407" s="5" t="s">
        <v>10124</v>
      </c>
      <c r="C407" s="5" t="s">
        <v>18022</v>
      </c>
      <c r="D407" s="5" t="str">
        <v>526104438340</v>
      </c>
      <c r="E407" s="0" t="e">
        <f>+7 (962) 5150303
+7 (492) 2530351
+7 (495) 3635004
+7 (495) 9701138
+7 (831) 2244231
+7 (831) 2244586
+7 (831) 2629900
+7 (83146) 29900</f>
        <v>#NAME?</v>
      </c>
      <c r="F407" s="5" t="s">
        <v>26545</v>
      </c>
      <c r="G407" s="5" t="s">
        <v>26546</v>
      </c>
      <c r="H407" s="26">
        <v>30.5</v>
      </c>
      <c r="I407" s="5" t="s">
        <v>26547</v>
      </c>
      <c r="J407" s="5" t="s">
        <v>25424</v>
      </c>
      <c r="K407" s="5" t="s">
        <v>344</v>
      </c>
      <c r="L407" s="5" t="s">
        <v>26548</v>
      </c>
      <c r="M407" s="27">
        <v>34217916</v>
      </c>
      <c r="N407" s="5" t="s">
        <v>49730</v>
      </c>
      <c r="O407" s="5" t="str">
        <v>5245000448</v>
      </c>
      <c r="P407" s="27">
        <v>40010000</v>
      </c>
      <c r="Q407" s="5" t="s">
        <v>49732</v>
      </c>
      <c r="R407" s="5"/>
      <c r="S407" s="5" t="s">
        <v>49361</v>
      </c>
      <c r="T407" s="28">
        <v>841171000</v>
      </c>
      <c r="U407" s="28">
        <v>423229000</v>
      </c>
      <c r="V407" s="28">
        <v>5142414000</v>
      </c>
      <c r="W407" s="28">
        <v>736006000</v>
      </c>
      <c r="X407" s="28">
        <v>18864000</v>
      </c>
      <c r="Y407" s="28">
        <v>12160963000</v>
      </c>
      <c r="Z407" s="28">
        <v>2380870000</v>
      </c>
      <c r="AA407" s="28">
        <v>5920000000</v>
      </c>
      <c r="AB407" s="28">
        <v>1614675000</v>
      </c>
      <c r="AC407" s="28">
        <v>3548003000</v>
      </c>
      <c r="AD407" s="28">
        <v>2420882000</v>
      </c>
      <c r="AE407" s="28">
        <v>38278542000</v>
      </c>
      <c r="AF407" s="28">
        <v>340533000</v>
      </c>
      <c r="AG407" s="11"/>
    </row>
    <row r="408">
      <c r="A408" s="7" t="s">
        <v>2154</v>
      </c>
      <c r="B408" s="5" t="s">
        <v>10125</v>
      </c>
      <c r="C408" s="5" t="s">
        <v>18023</v>
      </c>
      <c r="D408" s="5" t="str">
        <v>352504012295</v>
      </c>
      <c r="E408" s="0" t="e">
        <f>+7 (812) 3802080
+7 (831) 4629900</f>
        <v>#NAME?</v>
      </c>
      <c r="F408" s="5"/>
      <c r="G408" s="5"/>
      <c r="H408" s="26">
        <v>16.5</v>
      </c>
      <c r="I408" s="5" t="s">
        <v>26549</v>
      </c>
      <c r="J408" s="5" t="s">
        <v>25424</v>
      </c>
      <c r="K408" s="5" t="s">
        <v>344</v>
      </c>
      <c r="L408" s="5" t="s">
        <v>26550</v>
      </c>
      <c r="M408" s="27">
        <v>49692</v>
      </c>
      <c r="N408" s="5" t="s">
        <v>49733</v>
      </c>
      <c r="O408" s="5" t="str">
        <v>4703090157</v>
      </c>
      <c r="P408" s="27">
        <v>50000000</v>
      </c>
      <c r="Q408" s="5" t="s">
        <v>49009</v>
      </c>
      <c r="R408" s="5"/>
      <c r="S408" s="5" t="s">
        <v>49012</v>
      </c>
      <c r="T408" s="28">
        <v>1194936000</v>
      </c>
      <c r="U408" s="28">
        <v>572140000</v>
      </c>
      <c r="V408" s="28">
        <v>3886524000</v>
      </c>
      <c r="W408" s="28">
        <v>615233000</v>
      </c>
      <c r="X408" s="28">
        <v>26386000</v>
      </c>
      <c r="Y408" s="28">
        <v>8427165000</v>
      </c>
      <c r="Z408" s="28">
        <v>1886184000</v>
      </c>
      <c r="AA408" s="28">
        <v>3052400000</v>
      </c>
      <c r="AB408" s="28">
        <v>203855000</v>
      </c>
      <c r="AC408" s="28">
        <v>2947284000</v>
      </c>
      <c r="AD408" s="28">
        <v>1936320000</v>
      </c>
      <c r="AE408" s="28">
        <v>29928302000</v>
      </c>
      <c r="AF408" s="28">
        <v>247645000</v>
      </c>
      <c r="AG408" s="11"/>
    </row>
    <row r="409">
      <c r="A409" s="7" t="s">
        <v>2155</v>
      </c>
      <c r="B409" s="5" t="s">
        <v>10126</v>
      </c>
      <c r="C409" s="5" t="s">
        <v>18024</v>
      </c>
      <c r="D409" s="5" t="str">
        <v>301301991852</v>
      </c>
      <c r="E409" s="0" t="e">
        <f>+7 (473) 2066890</f>
        <v>#NAME?</v>
      </c>
      <c r="F409" s="5"/>
      <c r="G409" s="5"/>
      <c r="H409" s="26">
        <v>8</v>
      </c>
      <c r="I409" s="5" t="s">
        <v>26551</v>
      </c>
      <c r="J409" s="5" t="s">
        <v>26552</v>
      </c>
      <c r="K409" s="5" t="s">
        <v>344</v>
      </c>
      <c r="L409" s="5" t="s">
        <v>26553</v>
      </c>
      <c r="M409" s="27"/>
      <c r="N409" s="5"/>
      <c r="O409" s="5" t="str">
        <v>3663065897</v>
      </c>
      <c r="P409" s="27">
        <v>10000</v>
      </c>
      <c r="Q409" s="5" t="s">
        <v>49009</v>
      </c>
      <c r="R409" s="5"/>
      <c r="S409" s="5" t="s">
        <v>49010</v>
      </c>
      <c r="T409" s="28">
        <v>17305000</v>
      </c>
      <c r="U409" s="28">
        <v>912000</v>
      </c>
      <c r="V409" s="28">
        <v>462575000</v>
      </c>
      <c r="W409" s="28">
        <v>24000000</v>
      </c>
      <c r="X409" s="28">
        <v>4006000</v>
      </c>
      <c r="Y409" s="28">
        <v>1192796000</v>
      </c>
      <c r="Z409" s="28">
        <v>248660000</v>
      </c>
      <c r="AA409" s="28">
        <v>700000000</v>
      </c>
      <c r="AB409" s="28">
        <v>2369000</v>
      </c>
      <c r="AC409" s="28">
        <v>236623000</v>
      </c>
      <c r="AD409" s="28">
        <v>248670000</v>
      </c>
      <c r="AE409" s="28">
        <v>4823032000</v>
      </c>
      <c r="AF409" s="28">
        <v>24169000</v>
      </c>
      <c r="AG409" s="11"/>
    </row>
    <row r="410">
      <c r="A410" s="7" t="s">
        <v>2156</v>
      </c>
      <c r="B410" s="5" t="s">
        <v>10127</v>
      </c>
      <c r="C410" s="5" t="s">
        <v>18025</v>
      </c>
      <c r="D410" s="5" t="str">
        <v>772201139200</v>
      </c>
      <c r="E410" s="0" t="e">
        <f>+7 (985) 7738133
+7 (495) 6454460
+7 (499) 1381159</f>
        <v>#NAME?</v>
      </c>
      <c r="F410" s="5" t="s">
        <v>26554</v>
      </c>
      <c r="G410" s="5" t="s">
        <v>26555</v>
      </c>
      <c r="H410" s="26">
        <v>16</v>
      </c>
      <c r="I410" s="5" t="s">
        <v>26556</v>
      </c>
      <c r="J410" s="5" t="s">
        <v>26557</v>
      </c>
      <c r="K410" s="5" t="s">
        <v>344</v>
      </c>
      <c r="L410" s="5" t="s">
        <v>26558</v>
      </c>
      <c r="M410" s="27"/>
      <c r="N410" s="5" t="s">
        <v>49735</v>
      </c>
      <c r="O410" s="5" t="str">
        <v>6950059765</v>
      </c>
      <c r="P410" s="27">
        <v>150500000</v>
      </c>
      <c r="Q410" s="5" t="s">
        <v>49736</v>
      </c>
      <c r="R410" s="5"/>
      <c r="S410" s="5" t="s">
        <v>49737</v>
      </c>
      <c r="T410" s="28">
        <v>367393000</v>
      </c>
      <c r="U410" s="28"/>
      <c r="V410" s="28">
        <v>569317000</v>
      </c>
      <c r="W410" s="28">
        <v>800000</v>
      </c>
      <c r="X410" s="28">
        <v>1301657000</v>
      </c>
      <c r="Y410" s="28">
        <v>3697619000</v>
      </c>
      <c r="Z410" s="28">
        <v>1497726000</v>
      </c>
      <c r="AA410" s="28"/>
      <c r="AB410" s="28"/>
      <c r="AC410" s="28">
        <v>1974518000</v>
      </c>
      <c r="AD410" s="28">
        <v>1655751000</v>
      </c>
      <c r="AE410" s="28">
        <v>9109254000</v>
      </c>
      <c r="AF410" s="28">
        <v>4281931000</v>
      </c>
      <c r="AG410" s="11"/>
    </row>
    <row r="411">
      <c r="A411" s="7" t="s">
        <v>2157</v>
      </c>
      <c r="B411" s="5" t="s">
        <v>10128</v>
      </c>
      <c r="C411" s="5" t="s">
        <v>18026</v>
      </c>
      <c r="D411" s="5" t="str">
        <v>781400886850</v>
      </c>
      <c r="E411" s="0" t="e">
        <f>+7 (812) 2740972
+7 (812) 3158253
+7 (812) 3187892
+7 (812) 3187893
+7 (812) 3867548
+7 (812) 3867550
+7 (812) 3867551
+7 (812) 3867553
+7 (812) 3867554
+7 (812) 3867653
+7 (812) 5713669
+7 (812) 5840254
+7 (812) 5885437
+7 (812) 6032211
+7 (812) 6470988</f>
        <v>#NAME?</v>
      </c>
      <c r="F411" s="5" t="s">
        <v>26559</v>
      </c>
      <c r="G411" s="5"/>
      <c r="H411" s="26">
        <v>23.5</v>
      </c>
      <c r="I411" s="5" t="s">
        <v>26560</v>
      </c>
      <c r="J411" s="5" t="s">
        <v>26561</v>
      </c>
      <c r="K411" s="5" t="s">
        <v>344</v>
      </c>
      <c r="L411" s="5" t="s">
        <v>26562</v>
      </c>
      <c r="M411" s="27"/>
      <c r="N411" s="5" t="s">
        <v>49738</v>
      </c>
      <c r="O411" s="5" t="str">
        <v>7811079533</v>
      </c>
      <c r="P411" s="27">
        <v>1000000</v>
      </c>
      <c r="Q411" s="5" t="s">
        <v>49739</v>
      </c>
      <c r="R411" s="5"/>
      <c r="S411" s="5" t="s">
        <v>49487</v>
      </c>
      <c r="T411" s="28">
        <v>33557000</v>
      </c>
      <c r="U411" s="28">
        <v>87036000</v>
      </c>
      <c r="V411" s="28">
        <v>982019000</v>
      </c>
      <c r="W411" s="28">
        <v>2009000000</v>
      </c>
      <c r="X411" s="28">
        <v>17464000</v>
      </c>
      <c r="Y411" s="28">
        <v>3667245000</v>
      </c>
      <c r="Z411" s="28">
        <v>2889612000</v>
      </c>
      <c r="AA411" s="28"/>
      <c r="AB411" s="28"/>
      <c r="AC411" s="28">
        <v>766379000</v>
      </c>
      <c r="AD411" s="28">
        <v>2890612000</v>
      </c>
      <c r="AE411" s="28">
        <v>4829931000</v>
      </c>
      <c r="AF411" s="28">
        <v>288445000</v>
      </c>
      <c r="AG411" s="11"/>
    </row>
    <row r="412">
      <c r="A412" s="7" t="s">
        <v>2158</v>
      </c>
      <c r="B412" s="5" t="s">
        <v>10129</v>
      </c>
      <c r="C412" s="5" t="s">
        <v>18027</v>
      </c>
      <c r="D412" s="5" t="str">
        <v>233707935859</v>
      </c>
      <c r="F412" s="5"/>
      <c r="G412" s="5"/>
      <c r="H412" s="26">
        <v>6</v>
      </c>
      <c r="I412" s="5" t="s">
        <v>26563</v>
      </c>
      <c r="J412" s="5" t="s">
        <v>26564</v>
      </c>
      <c r="K412" s="5" t="s">
        <v>344</v>
      </c>
      <c r="L412" s="5" t="s">
        <v>26565</v>
      </c>
      <c r="M412" s="27"/>
      <c r="N412" s="5"/>
      <c r="O412" s="5" t="str">
        <v>5038126770</v>
      </c>
      <c r="P412" s="27">
        <v>500000</v>
      </c>
      <c r="Q412" s="5" t="s">
        <v>49009</v>
      </c>
      <c r="R412" s="5"/>
      <c r="S412" s="5" t="s">
        <v>49010</v>
      </c>
      <c r="T412" s="28">
        <v>39696000</v>
      </c>
      <c r="U412" s="28">
        <v>410000</v>
      </c>
      <c r="V412" s="28">
        <v>2310541000</v>
      </c>
      <c r="W412" s="28"/>
      <c r="X412" s="28">
        <v>32744000</v>
      </c>
      <c r="Y412" s="28">
        <v>2701814000</v>
      </c>
      <c r="Z412" s="28">
        <v>237499000</v>
      </c>
      <c r="AA412" s="28"/>
      <c r="AB412" s="28"/>
      <c r="AC412" s="28">
        <v>2432743000</v>
      </c>
      <c r="AD412" s="28">
        <v>237999000</v>
      </c>
      <c r="AE412" s="28">
        <v>11060951000</v>
      </c>
      <c r="AF412" s="28">
        <v>689772000</v>
      </c>
      <c r="AG412" s="11"/>
    </row>
    <row r="413">
      <c r="A413" s="7" t="s">
        <v>2159</v>
      </c>
      <c r="B413" s="5" t="s">
        <v>10130</v>
      </c>
      <c r="C413" s="5" t="s">
        <v>18028</v>
      </c>
      <c r="D413" s="5" t="str">
        <v>631605314440</v>
      </c>
      <c r="E413" s="0" t="e">
        <f>+7 (927) 2050463
+7 (846) 2057555
+7 (84649) 95002
+7 (84649) 95003</f>
        <v>#NAME?</v>
      </c>
      <c r="F413" s="5" t="s">
        <v>26566</v>
      </c>
      <c r="G413" s="5"/>
      <c r="H413" s="26">
        <v>9.5</v>
      </c>
      <c r="I413" s="5" t="s">
        <v>26567</v>
      </c>
      <c r="J413" s="5" t="s">
        <v>26367</v>
      </c>
      <c r="K413" s="5" t="s">
        <v>344</v>
      </c>
      <c r="L413" s="5" t="s">
        <v>26568</v>
      </c>
      <c r="M413" s="27"/>
      <c r="N413" s="5"/>
      <c r="O413" s="5" t="str">
        <v>6330057856</v>
      </c>
      <c r="P413" s="27">
        <v>10000000</v>
      </c>
      <c r="Q413" s="5" t="s">
        <v>49009</v>
      </c>
      <c r="R413" s="5"/>
      <c r="S413" s="5" t="s">
        <v>49010</v>
      </c>
      <c r="T413" s="28">
        <v>99240000</v>
      </c>
      <c r="U413" s="28">
        <v>238000</v>
      </c>
      <c r="V413" s="28">
        <v>385074000</v>
      </c>
      <c r="W413" s="28"/>
      <c r="X413" s="28">
        <v>3386000</v>
      </c>
      <c r="Y413" s="28">
        <v>1173097000</v>
      </c>
      <c r="Z413" s="28">
        <v>43738000</v>
      </c>
      <c r="AA413" s="28"/>
      <c r="AB413" s="28">
        <v>136427000</v>
      </c>
      <c r="AC413" s="28">
        <v>991860000</v>
      </c>
      <c r="AD413" s="28">
        <v>53738000</v>
      </c>
      <c r="AE413" s="28">
        <v>3351225000</v>
      </c>
      <c r="AF413" s="28">
        <v>33422000</v>
      </c>
      <c r="AG413" s="11"/>
    </row>
    <row r="414">
      <c r="A414" s="7" t="s">
        <v>2160</v>
      </c>
      <c r="B414" s="5" t="s">
        <v>10131</v>
      </c>
      <c r="C414" s="5" t="s">
        <v>18029</v>
      </c>
      <c r="D414" s="5" t="str">
        <v>775134004994</v>
      </c>
      <c r="E414" s="0" t="e">
        <f>+7 (495) 2585278
+7 (495) 2585279
+7 (495) 7756869
+7 (495) 9611333</f>
        <v>#NAME?</v>
      </c>
      <c r="F414" s="5" t="s">
        <v>26569</v>
      </c>
      <c r="G414" s="5" t="s">
        <v>26570</v>
      </c>
      <c r="H414" s="26">
        <v>21.5</v>
      </c>
      <c r="I414" s="5" t="s">
        <v>26571</v>
      </c>
      <c r="J414" s="5" t="s">
        <v>25429</v>
      </c>
      <c r="K414" s="5" t="s">
        <v>344</v>
      </c>
      <c r="L414" s="5" t="s">
        <v>26572</v>
      </c>
      <c r="M414" s="27"/>
      <c r="N414" s="5" t="s">
        <v>49740</v>
      </c>
      <c r="O414" s="5" t="str">
        <v>7709354370</v>
      </c>
      <c r="P414" s="27">
        <v>44055000</v>
      </c>
      <c r="Q414" s="5" t="s">
        <v>49009</v>
      </c>
      <c r="R414" s="5"/>
      <c r="S414" s="5" t="s">
        <v>49256</v>
      </c>
      <c r="T414" s="28">
        <v>372012000</v>
      </c>
      <c r="U414" s="28"/>
      <c r="V414" s="28">
        <v>2579730000</v>
      </c>
      <c r="W414" s="28"/>
      <c r="X414" s="28">
        <v>325540000</v>
      </c>
      <c r="Y414" s="28">
        <v>7803932000</v>
      </c>
      <c r="Z414" s="28">
        <v>2535258000</v>
      </c>
      <c r="AA414" s="28"/>
      <c r="AB414" s="28">
        <v>8528000</v>
      </c>
      <c r="AC414" s="28">
        <v>5018365000</v>
      </c>
      <c r="AD414" s="28">
        <v>2581070000</v>
      </c>
      <c r="AE414" s="28">
        <v>11804622000</v>
      </c>
      <c r="AF414" s="28">
        <v>841004000</v>
      </c>
      <c r="AG414" s="11"/>
    </row>
    <row r="415">
      <c r="A415" s="7" t="s">
        <v>2161</v>
      </c>
      <c r="B415" s="5" t="s">
        <v>10132</v>
      </c>
      <c r="C415" s="5" t="s">
        <v>18030</v>
      </c>
      <c r="D415" s="5" t="str">
        <v>324110839446</v>
      </c>
      <c r="E415" s="0" t="e">
        <f>+7 (483) 2770493
+7 (48358) 21375</f>
        <v>#NAME?</v>
      </c>
      <c r="F415" s="5" t="s">
        <v>26573</v>
      </c>
      <c r="G415" s="5" t="s">
        <v>26574</v>
      </c>
      <c r="H415" s="26">
        <v>5</v>
      </c>
      <c r="I415" s="5" t="s">
        <v>26575</v>
      </c>
      <c r="J415" s="5" t="s">
        <v>678</v>
      </c>
      <c r="K415" s="5" t="s">
        <v>344</v>
      </c>
      <c r="L415" s="5"/>
      <c r="M415" s="27"/>
      <c r="N415" s="5" t="s">
        <v>49741</v>
      </c>
      <c r="O415" s="5" t="str">
        <v>3241015753</v>
      </c>
      <c r="P415" s="27">
        <v>10000</v>
      </c>
      <c r="Q415" s="5" t="s">
        <v>49009</v>
      </c>
      <c r="R415" s="5"/>
      <c r="S415" s="5" t="s">
        <v>49361</v>
      </c>
      <c r="T415" s="28">
        <v>6608000</v>
      </c>
      <c r="U415" s="28"/>
      <c r="V415" s="28">
        <v>471603000</v>
      </c>
      <c r="W415" s="28"/>
      <c r="X415" s="28">
        <v>45608000</v>
      </c>
      <c r="Y415" s="28">
        <v>657372000</v>
      </c>
      <c r="Z415" s="28">
        <v>1811000</v>
      </c>
      <c r="AA415" s="28"/>
      <c r="AB415" s="28"/>
      <c r="AC415" s="28">
        <v>655551000</v>
      </c>
      <c r="AD415" s="28">
        <v>1821000</v>
      </c>
      <c r="AE415" s="28">
        <v>6260659000</v>
      </c>
      <c r="AF415" s="28">
        <v>22711000</v>
      </c>
      <c r="AG415" s="11"/>
    </row>
    <row r="416">
      <c r="A416" s="7" t="s">
        <v>2162</v>
      </c>
      <c r="B416" s="5" t="s">
        <v>10133</v>
      </c>
      <c r="C416" s="5" t="s">
        <v>18031</v>
      </c>
      <c r="D416" s="5" t="str">
        <v>165713095453</v>
      </c>
      <c r="E416" s="0" t="e">
        <f>+7 (8432) 229393
+7 (8435) 331560
+7 (8435) 701587
+7 (966) 2405058</f>
        <v>#NAME?</v>
      </c>
      <c r="F416" s="5" t="s">
        <v>26576</v>
      </c>
      <c r="G416" s="5" t="s">
        <v>26577</v>
      </c>
      <c r="H416" s="26">
        <v>14</v>
      </c>
      <c r="I416" s="5" t="s">
        <v>26578</v>
      </c>
      <c r="J416" s="5" t="s">
        <v>26367</v>
      </c>
      <c r="K416" s="5" t="s">
        <v>344</v>
      </c>
      <c r="L416" s="5" t="s">
        <v>26579</v>
      </c>
      <c r="M416" s="27">
        <v>864056160</v>
      </c>
      <c r="N416" s="5" t="s">
        <v>49742</v>
      </c>
      <c r="O416" s="5" t="str">
        <v>1659091192</v>
      </c>
      <c r="P416" s="27">
        <v>10000000</v>
      </c>
      <c r="Q416" s="5" t="s">
        <v>49059</v>
      </c>
      <c r="R416" s="5"/>
      <c r="S416" s="5" t="s">
        <v>49045</v>
      </c>
      <c r="T416" s="28">
        <v>552338000</v>
      </c>
      <c r="U416" s="28">
        <v>531000</v>
      </c>
      <c r="V416" s="28">
        <v>12737143000</v>
      </c>
      <c r="W416" s="28">
        <v>11441000</v>
      </c>
      <c r="X416" s="28">
        <v>17795000</v>
      </c>
      <c r="Y416" s="28">
        <v>16598885000</v>
      </c>
      <c r="Z416" s="28">
        <v>243281000</v>
      </c>
      <c r="AA416" s="28"/>
      <c r="AB416" s="28"/>
      <c r="AC416" s="28">
        <v>16072350000</v>
      </c>
      <c r="AD416" s="28">
        <v>290146000</v>
      </c>
      <c r="AE416" s="28">
        <v>50825543000</v>
      </c>
      <c r="AF416" s="28">
        <v>343685000</v>
      </c>
      <c r="AG416" s="11"/>
    </row>
    <row r="417">
      <c r="A417" s="7" t="s">
        <v>2163</v>
      </c>
      <c r="B417" s="5" t="s">
        <v>10134</v>
      </c>
      <c r="C417" s="5" t="s">
        <v>18032</v>
      </c>
      <c r="D417" s="5" t="str">
        <v>690140699520</v>
      </c>
      <c r="E417" s="0" t="e">
        <f>+7 (964) 5206555
+7 (967) 6008000</f>
        <v>#NAME?</v>
      </c>
      <c r="F417" s="5"/>
      <c r="G417" s="5"/>
      <c r="H417" s="26">
        <v>8</v>
      </c>
      <c r="I417" s="5" t="s">
        <v>26580</v>
      </c>
      <c r="J417" s="5" t="s">
        <v>26581</v>
      </c>
      <c r="K417" s="5" t="s">
        <v>355</v>
      </c>
      <c r="L417" s="5" t="s">
        <v>26582</v>
      </c>
      <c r="M417" s="27">
        <v>10622197</v>
      </c>
      <c r="N417" s="5"/>
      <c r="O417" s="5" t="str">
        <v>2464116680</v>
      </c>
      <c r="P417" s="27">
        <v>10010000</v>
      </c>
      <c r="Q417" s="5" t="s">
        <v>49009</v>
      </c>
      <c r="R417" s="5"/>
      <c r="S417" s="5" t="s">
        <v>49010</v>
      </c>
      <c r="T417" s="28">
        <v>685000</v>
      </c>
      <c r="U417" s="28"/>
      <c r="V417" s="28">
        <v>1394816000</v>
      </c>
      <c r="W417" s="28"/>
      <c r="X417" s="28">
        <v>40037000</v>
      </c>
      <c r="Y417" s="28">
        <v>1610770000</v>
      </c>
      <c r="Z417" s="28">
        <v>5833000</v>
      </c>
      <c r="AA417" s="28"/>
      <c r="AB417" s="28"/>
      <c r="AC417" s="28">
        <v>1594927000</v>
      </c>
      <c r="AD417" s="28">
        <v>15843000</v>
      </c>
      <c r="AE417" s="28">
        <v>3725203000</v>
      </c>
      <c r="AF417" s="28">
        <v>4000</v>
      </c>
      <c r="AG417" s="11"/>
    </row>
    <row r="418">
      <c r="A418" s="7" t="s">
        <v>2164</v>
      </c>
      <c r="B418" s="5" t="s">
        <v>10135</v>
      </c>
      <c r="C418" s="5" t="s">
        <v>18033</v>
      </c>
      <c r="D418" s="5" t="str">
        <v>781409129510</v>
      </c>
      <c r="E418" s="0" t="e">
        <f>+7 (812) 3092960
+7 (482) 2345786
+7 (482) 2349683
+7 (812) 3092560
+7 (812) 4381747</f>
        <v>#NAME?</v>
      </c>
      <c r="F418" s="5" t="s">
        <v>26583</v>
      </c>
      <c r="G418" s="5" t="s">
        <v>26584</v>
      </c>
      <c r="H418" s="26">
        <v>18.5</v>
      </c>
      <c r="I418" s="5" t="s">
        <v>26585</v>
      </c>
      <c r="J418" s="5" t="s">
        <v>26586</v>
      </c>
      <c r="K418" s="5" t="s">
        <v>344</v>
      </c>
      <c r="L418" s="5"/>
      <c r="M418" s="27"/>
      <c r="N418" s="5"/>
      <c r="O418" s="5" t="str">
        <v>4703074719</v>
      </c>
      <c r="P418" s="27">
        <v>79759700</v>
      </c>
      <c r="Q418" s="5" t="s">
        <v>49059</v>
      </c>
      <c r="R418" s="5"/>
      <c r="S418" s="5" t="s">
        <v>49029</v>
      </c>
      <c r="T418" s="28">
        <v>629096000</v>
      </c>
      <c r="U418" s="28"/>
      <c r="V418" s="28">
        <v>516295000</v>
      </c>
      <c r="W418" s="28"/>
      <c r="X418" s="28">
        <v>39963000</v>
      </c>
      <c r="Y418" s="28">
        <v>1757354000</v>
      </c>
      <c r="Z418" s="28">
        <v>849182000</v>
      </c>
      <c r="AA418" s="28">
        <v>220000000</v>
      </c>
      <c r="AB418" s="28">
        <v>744000</v>
      </c>
      <c r="AC418" s="28">
        <v>490560000</v>
      </c>
      <c r="AD418" s="28">
        <v>961329000</v>
      </c>
      <c r="AE418" s="28">
        <v>6749438000</v>
      </c>
      <c r="AF418" s="28">
        <v>344880000</v>
      </c>
      <c r="AG418" s="11"/>
    </row>
    <row r="419">
      <c r="A419" s="7" t="s">
        <v>2165</v>
      </c>
      <c r="B419" s="5" t="s">
        <v>10136</v>
      </c>
      <c r="C419" s="5" t="s">
        <v>18034</v>
      </c>
      <c r="D419" s="5" t="str">
        <v>772582172067</v>
      </c>
      <c r="E419" s="0" t="e">
        <f>+7 (495) 9740353
+7 (495) 9740470
+7 (800) 2500130
+7 (800) 2500131
+7 (903) 7236726</f>
        <v>#NAME?</v>
      </c>
      <c r="F419" s="5"/>
      <c r="G419" s="5"/>
      <c r="H419" s="26">
        <v>15</v>
      </c>
      <c r="I419" s="5" t="s">
        <v>26587</v>
      </c>
      <c r="J419" s="5" t="s">
        <v>26588</v>
      </c>
      <c r="K419" s="5" t="s">
        <v>344</v>
      </c>
      <c r="L419" s="5" t="s">
        <v>26589</v>
      </c>
      <c r="M419" s="27"/>
      <c r="N419" s="5"/>
      <c r="O419" s="5" t="str">
        <v>7709771398</v>
      </c>
      <c r="P419" s="27">
        <v>10000</v>
      </c>
      <c r="Q419" s="5" t="s">
        <v>49009</v>
      </c>
      <c r="R419" s="5"/>
      <c r="S419" s="5" t="s">
        <v>49045</v>
      </c>
      <c r="T419" s="28">
        <v>59622000</v>
      </c>
      <c r="U419" s="28"/>
      <c r="V419" s="28">
        <v>675758000</v>
      </c>
      <c r="W419" s="28"/>
      <c r="X419" s="28">
        <v>1605860000</v>
      </c>
      <c r="Y419" s="28">
        <v>2584056000</v>
      </c>
      <c r="Z419" s="28">
        <v>607248000</v>
      </c>
      <c r="AA419" s="28"/>
      <c r="AB419" s="28">
        <v>80313000</v>
      </c>
      <c r="AC419" s="28">
        <v>644868000</v>
      </c>
      <c r="AD419" s="28">
        <v>1923397000</v>
      </c>
      <c r="AE419" s="28">
        <v>3247848000</v>
      </c>
      <c r="AF419" s="28">
        <v>-460764000</v>
      </c>
      <c r="AG419" s="11"/>
    </row>
    <row r="420">
      <c r="A420" s="7" t="s">
        <v>2166</v>
      </c>
      <c r="B420" s="5" t="s">
        <v>10137</v>
      </c>
      <c r="C420" s="5" t="s">
        <v>18035</v>
      </c>
      <c r="D420" s="5" t="str">
        <v>236802911204</v>
      </c>
      <c r="E420" s="0" t="e">
        <f>+7 (87935) 30672</f>
        <v>#NAME?</v>
      </c>
      <c r="F420" s="5" t="s">
        <v>26590</v>
      </c>
      <c r="G420" s="5" t="s">
        <v>26591</v>
      </c>
      <c r="H420" s="26">
        <v>4</v>
      </c>
      <c r="I420" s="5" t="s">
        <v>26592</v>
      </c>
      <c r="J420" s="5" t="s">
        <v>25275</v>
      </c>
      <c r="K420" s="5" t="s">
        <v>344</v>
      </c>
      <c r="L420" s="5" t="s">
        <v>26593</v>
      </c>
      <c r="M420" s="27">
        <v>1012573</v>
      </c>
      <c r="N420" s="5"/>
      <c r="O420" s="5" t="str">
        <v>2629012660</v>
      </c>
      <c r="P420" s="27">
        <v>10000</v>
      </c>
      <c r="Q420" s="5"/>
      <c r="R420" s="5"/>
      <c r="S420" s="5" t="s">
        <v>49743</v>
      </c>
      <c r="T420" s="28">
        <v>323524000</v>
      </c>
      <c r="U420" s="28"/>
      <c r="V420" s="28">
        <v>163457000</v>
      </c>
      <c r="W420" s="28">
        <v>235500000</v>
      </c>
      <c r="X420" s="28">
        <v>1603000</v>
      </c>
      <c r="Y420" s="28">
        <v>2266554000</v>
      </c>
      <c r="Z420" s="28">
        <v>535936000</v>
      </c>
      <c r="AA420" s="28">
        <v>147500000</v>
      </c>
      <c r="AB420" s="28">
        <v>124478000</v>
      </c>
      <c r="AC420" s="28">
        <v>1575042000</v>
      </c>
      <c r="AD420" s="28">
        <v>535946000</v>
      </c>
      <c r="AE420" s="28">
        <v>8681501000</v>
      </c>
      <c r="AF420" s="28">
        <v>516384000</v>
      </c>
      <c r="AG420" s="11"/>
    </row>
    <row r="421">
      <c r="A421" s="7" t="s">
        <v>2167</v>
      </c>
      <c r="B421" s="5" t="s">
        <v>10138</v>
      </c>
      <c r="C421" s="5" t="s">
        <v>18036</v>
      </c>
      <c r="D421" s="5" t="str">
        <v>772772532173</v>
      </c>
      <c r="E421" s="0" t="e">
        <f>+7 (499) 6854250</f>
        <v>#NAME?</v>
      </c>
      <c r="F421" s="5" t="s">
        <v>26594</v>
      </c>
      <c r="G421" s="5"/>
      <c r="H421" s="26">
        <v>8.5</v>
      </c>
      <c r="I421" s="5" t="s">
        <v>26595</v>
      </c>
      <c r="J421" s="5" t="s">
        <v>26596</v>
      </c>
      <c r="K421" s="5" t="s">
        <v>344</v>
      </c>
      <c r="L421" s="5" t="s">
        <v>26597</v>
      </c>
      <c r="M421" s="27">
        <v>20869304</v>
      </c>
      <c r="N421" s="5"/>
      <c r="O421" s="5" t="str">
        <v>7743946070</v>
      </c>
      <c r="P421" s="27">
        <v>10000</v>
      </c>
      <c r="Q421" s="5"/>
      <c r="R421" s="5"/>
      <c r="S421" s="5" t="s">
        <v>49029</v>
      </c>
      <c r="T421" s="28">
        <v>2123776000</v>
      </c>
      <c r="U421" s="28">
        <v>324047000</v>
      </c>
      <c r="V421" s="28">
        <v>2100599000</v>
      </c>
      <c r="W421" s="28">
        <v>3300000</v>
      </c>
      <c r="X421" s="28">
        <v>887860000</v>
      </c>
      <c r="Y421" s="28">
        <v>6238825000</v>
      </c>
      <c r="Z421" s="28">
        <v>4153964000</v>
      </c>
      <c r="AA421" s="28"/>
      <c r="AB421" s="28"/>
      <c r="AC421" s="28">
        <v>1165767000</v>
      </c>
      <c r="AD421" s="28">
        <v>4153974000</v>
      </c>
      <c r="AE421" s="28">
        <v>9513719000</v>
      </c>
      <c r="AF421" s="28">
        <v>3186398000</v>
      </c>
      <c r="AG421" s="11"/>
    </row>
    <row r="422">
      <c r="A422" s="7" t="s">
        <v>2168</v>
      </c>
      <c r="B422" s="5" t="s">
        <v>10139</v>
      </c>
      <c r="C422" s="5" t="s">
        <v>18037</v>
      </c>
      <c r="D422" s="5" t="str">
        <v>141402506397</v>
      </c>
      <c r="E422" s="0" t="e">
        <f>+7 (924) 1725823
+7 (924) 4602726
+7 (924) 5694349
+7 (41136) 36063
+7 (41137) 21052
+7 (41137) 25090
+7 (41137) 42175
+7 (41137) 42719</f>
        <v>#NAME?</v>
      </c>
      <c r="F422" s="5" t="s">
        <v>26598</v>
      </c>
      <c r="G422" s="5" t="s">
        <v>26599</v>
      </c>
      <c r="H422" s="26">
        <v>4.5</v>
      </c>
      <c r="I422" s="5" t="s">
        <v>26600</v>
      </c>
      <c r="J422" s="5" t="s">
        <v>533</v>
      </c>
      <c r="K422" s="5" t="s">
        <v>344</v>
      </c>
      <c r="L422" s="5"/>
      <c r="M422" s="27"/>
      <c r="N422" s="5" t="s">
        <v>49744</v>
      </c>
      <c r="O422" s="5" t="str">
        <v>1414017258</v>
      </c>
      <c r="P422" s="27">
        <v>3039942000</v>
      </c>
      <c r="Q422" s="5" t="s">
        <v>49746</v>
      </c>
      <c r="R422" s="5"/>
      <c r="S422" s="5" t="s">
        <v>49747</v>
      </c>
      <c r="T422" s="28">
        <v>2888812000</v>
      </c>
      <c r="U422" s="28">
        <v>1000</v>
      </c>
      <c r="V422" s="28">
        <v>1150389000</v>
      </c>
      <c r="W422" s="28">
        <v>707158000</v>
      </c>
      <c r="X422" s="28">
        <v>42994000</v>
      </c>
      <c r="Y422" s="28">
        <v>5921585000</v>
      </c>
      <c r="Z422" s="28">
        <v>720259000</v>
      </c>
      <c r="AA422" s="28">
        <v>22686000</v>
      </c>
      <c r="AB422" s="28">
        <v>5973000</v>
      </c>
      <c r="AC422" s="28">
        <v>1348830000</v>
      </c>
      <c r="AD422" s="28">
        <v>4357201000</v>
      </c>
      <c r="AE422" s="28">
        <v>7888137000</v>
      </c>
      <c r="AF422" s="28">
        <v>326540000</v>
      </c>
      <c r="AG422" s="11"/>
    </row>
    <row r="423">
      <c r="A423" s="7" t="s">
        <v>2169</v>
      </c>
      <c r="B423" s="5" t="s">
        <v>10140</v>
      </c>
      <c r="C423" s="5" t="s">
        <v>18038</v>
      </c>
      <c r="D423" s="5" t="str">
        <v>143515801397</v>
      </c>
      <c r="E423" s="0" t="e">
        <f>+7 (411) 2496054
+7 (914) 2262980
+7 (411) 2449715
+7 (411) 2450100
+7 (411) 2450306
+7 (411) 2450499
+7 (411) 2450603
+7 (411) 2451100</f>
        <v>#NAME?</v>
      </c>
      <c r="F423" s="5" t="s">
        <v>26601</v>
      </c>
      <c r="G423" s="5" t="s">
        <v>26602</v>
      </c>
      <c r="H423" s="26">
        <v>26</v>
      </c>
      <c r="I423" s="5"/>
      <c r="J423" s="5" t="s">
        <v>26603</v>
      </c>
      <c r="K423" s="5" t="s">
        <v>344</v>
      </c>
      <c r="L423" s="5" t="s">
        <v>26604</v>
      </c>
      <c r="M423" s="27">
        <v>17539240</v>
      </c>
      <c r="N423" s="5" t="s">
        <v>49748</v>
      </c>
      <c r="O423" s="5" t="str">
        <v>1435152770</v>
      </c>
      <c r="P423" s="27">
        <v>2112380000</v>
      </c>
      <c r="Q423" s="5" t="s">
        <v>49749</v>
      </c>
      <c r="R423" s="5"/>
      <c r="S423" s="5" t="s">
        <v>49750</v>
      </c>
      <c r="T423" s="28">
        <v>11267038000</v>
      </c>
      <c r="U423" s="28">
        <v>430559000</v>
      </c>
      <c r="V423" s="28">
        <v>4067799000</v>
      </c>
      <c r="W423" s="28">
        <v>5652364000</v>
      </c>
      <c r="X423" s="28">
        <v>4209000</v>
      </c>
      <c r="Y423" s="28">
        <v>48538989000</v>
      </c>
      <c r="Z423" s="28">
        <v>41206662000</v>
      </c>
      <c r="AA423" s="28"/>
      <c r="AB423" s="28"/>
      <c r="AC423" s="28">
        <v>4634549000</v>
      </c>
      <c r="AD423" s="28">
        <v>43424661000</v>
      </c>
      <c r="AE423" s="28">
        <v>17597955000</v>
      </c>
      <c r="AF423" s="28">
        <v>4558625000</v>
      </c>
      <c r="AG423" s="11"/>
    </row>
    <row r="424">
      <c r="A424" s="7" t="s">
        <v>2170</v>
      </c>
      <c r="B424" s="5" t="s">
        <v>10141</v>
      </c>
      <c r="C424" s="5" t="s">
        <v>18039</v>
      </c>
      <c r="D424" s="5" t="str">
        <v>164400899775</v>
      </c>
      <c r="E424" s="0" t="e">
        <f>+7 (85569) 56214
+7 (855) 1946009
+7 (855) 1956227
+7 (85569) 56227
+7 (903) 9642043</f>
        <v>#NAME?</v>
      </c>
      <c r="F424" s="5" t="s">
        <v>26605</v>
      </c>
      <c r="G424" s="5" t="s">
        <v>26606</v>
      </c>
      <c r="H424" s="26">
        <v>25.5</v>
      </c>
      <c r="I424" s="5"/>
      <c r="J424" s="5" t="s">
        <v>26607</v>
      </c>
      <c r="K424" s="5" t="s">
        <v>344</v>
      </c>
      <c r="L424" s="5" t="s">
        <v>26608</v>
      </c>
      <c r="M424" s="27"/>
      <c r="N424" s="5"/>
      <c r="O424" s="5" t="str">
        <v>1642002123</v>
      </c>
      <c r="P424" s="27">
        <v>300000000</v>
      </c>
      <c r="Q424" s="5" t="s">
        <v>49009</v>
      </c>
      <c r="R424" s="5"/>
      <c r="S424" s="5" t="s">
        <v>49751</v>
      </c>
      <c r="T424" s="28">
        <v>5339365000</v>
      </c>
      <c r="U424" s="28">
        <v>76670000</v>
      </c>
      <c r="V424" s="28">
        <v>660785000</v>
      </c>
      <c r="W424" s="28"/>
      <c r="X424" s="28">
        <v>379817000</v>
      </c>
      <c r="Y424" s="28">
        <v>7070976000</v>
      </c>
      <c r="Z424" s="28">
        <v>4259063000</v>
      </c>
      <c r="AA424" s="28"/>
      <c r="AB424" s="28"/>
      <c r="AC424" s="28">
        <v>796046000</v>
      </c>
      <c r="AD424" s="28">
        <v>4947983000</v>
      </c>
      <c r="AE424" s="28">
        <v>11258922000</v>
      </c>
      <c r="AF424" s="28">
        <v>400707000</v>
      </c>
      <c r="AG424" s="11"/>
    </row>
    <row r="425">
      <c r="A425" s="7" t="s">
        <v>2171</v>
      </c>
      <c r="B425" s="5" t="s">
        <v>10142</v>
      </c>
      <c r="C425" s="5" t="s">
        <v>18040</v>
      </c>
      <c r="D425" s="5" t="str">
        <v>502729864870</v>
      </c>
      <c r="E425" s="0" t="e">
        <f>+7 (495) 9268688
+7 (499) 2130077</f>
        <v>#NAME?</v>
      </c>
      <c r="F425" s="5"/>
      <c r="G425" s="5"/>
      <c r="H425" s="26">
        <v>16</v>
      </c>
      <c r="I425" s="5" t="s">
        <v>26609</v>
      </c>
      <c r="J425" s="5" t="s">
        <v>26564</v>
      </c>
      <c r="K425" s="5" t="s">
        <v>344</v>
      </c>
      <c r="L425" s="5" t="s">
        <v>26610</v>
      </c>
      <c r="M425" s="27"/>
      <c r="N425" s="5"/>
      <c r="O425" s="5" t="str">
        <v>7702639584</v>
      </c>
      <c r="P425" s="27">
        <v>10000</v>
      </c>
      <c r="Q425" s="5" t="s">
        <v>49009</v>
      </c>
      <c r="R425" s="5"/>
      <c r="S425" s="5" t="s">
        <v>49010</v>
      </c>
      <c r="T425" s="28">
        <v>65150000</v>
      </c>
      <c r="U425" s="28"/>
      <c r="V425" s="28">
        <v>3660730000</v>
      </c>
      <c r="W425" s="28">
        <v>264700000</v>
      </c>
      <c r="X425" s="28">
        <v>169695000</v>
      </c>
      <c r="Y425" s="28">
        <v>4907323000</v>
      </c>
      <c r="Z425" s="28">
        <v>3307368000</v>
      </c>
      <c r="AA425" s="28"/>
      <c r="AB425" s="28">
        <v>800000000</v>
      </c>
      <c r="AC425" s="28">
        <v>1563916000</v>
      </c>
      <c r="AD425" s="28">
        <v>3307378000</v>
      </c>
      <c r="AE425" s="28">
        <v>14506332000</v>
      </c>
      <c r="AF425" s="28">
        <v>765414000</v>
      </c>
      <c r="AG425" s="11"/>
    </row>
    <row r="426">
      <c r="A426" s="7" t="s">
        <v>2172</v>
      </c>
      <c r="B426" s="5" t="s">
        <v>10143</v>
      </c>
      <c r="C426" s="5" t="s">
        <v>18041</v>
      </c>
      <c r="D426" s="5" t="str">
        <v>505603472302</v>
      </c>
      <c r="E426" s="0" t="e">
        <f>+7 (495) 2216379
+7 (495) 2216380
+7 (495) 5505917
+7 (495) 5506638
+7 (49672) 34997
+7 (49672) 34998
+7 (499) 1797351</f>
        <v>#NAME?</v>
      </c>
      <c r="F426" s="5"/>
      <c r="G426" s="5" t="s">
        <v>26611</v>
      </c>
      <c r="H426" s="26">
        <v>26</v>
      </c>
      <c r="I426" s="5" t="s">
        <v>26612</v>
      </c>
      <c r="J426" s="5" t="s">
        <v>26251</v>
      </c>
      <c r="K426" s="5" t="s">
        <v>344</v>
      </c>
      <c r="L426" s="5" t="s">
        <v>26613</v>
      </c>
      <c r="M426" s="27"/>
      <c r="N426" s="5"/>
      <c r="O426" s="5" t="str">
        <v>5056000026</v>
      </c>
      <c r="P426" s="27">
        <v>90590628</v>
      </c>
      <c r="Q426" s="5" t="s">
        <v>49009</v>
      </c>
      <c r="R426" s="5"/>
      <c r="S426" s="5" t="s">
        <v>49066</v>
      </c>
      <c r="T426" s="28">
        <v>1952248000</v>
      </c>
      <c r="U426" s="28"/>
      <c r="V426" s="28">
        <v>1560105000</v>
      </c>
      <c r="W426" s="28">
        <v>5281000</v>
      </c>
      <c r="X426" s="28">
        <v>3375146000</v>
      </c>
      <c r="Y426" s="28">
        <v>8171824000</v>
      </c>
      <c r="Z426" s="28">
        <v>5639043000</v>
      </c>
      <c r="AA426" s="28"/>
      <c r="AB426" s="28"/>
      <c r="AC426" s="28">
        <v>2278669000</v>
      </c>
      <c r="AD426" s="28">
        <v>5732223000</v>
      </c>
      <c r="AE426" s="28">
        <v>9348988000</v>
      </c>
      <c r="AF426" s="28">
        <v>1197589000</v>
      </c>
      <c r="AG426" s="11"/>
    </row>
    <row r="427">
      <c r="A427" s="7" t="s">
        <v>2173</v>
      </c>
      <c r="B427" s="5" t="s">
        <v>10144</v>
      </c>
      <c r="C427" s="5" t="s">
        <v>18042</v>
      </c>
      <c r="D427" s="5" t="str">
        <v>771813655760</v>
      </c>
      <c r="E427" s="0" t="e">
        <f>+7 (495) 6639794
+7 (499) 1528630
+7 (495) 2294056
+7 (495) 6176170
+7 (495) 6176561
+7 (495) 6294056</f>
        <v>#NAME?</v>
      </c>
      <c r="F427" s="5"/>
      <c r="G427" s="5" t="s">
        <v>26614</v>
      </c>
      <c r="H427" s="26">
        <v>26</v>
      </c>
      <c r="I427" s="5" t="s">
        <v>26615</v>
      </c>
      <c r="J427" s="5" t="s">
        <v>693</v>
      </c>
      <c r="K427" s="5" t="s">
        <v>344</v>
      </c>
      <c r="L427" s="5" t="s">
        <v>26616</v>
      </c>
      <c r="M427" s="27"/>
      <c r="N427" s="5"/>
      <c r="O427" s="5" t="str">
        <v>5008023104</v>
      </c>
      <c r="P427" s="27">
        <v>10000</v>
      </c>
      <c r="Q427" s="5" t="s">
        <v>49021</v>
      </c>
      <c r="R427" s="5"/>
      <c r="S427" s="5" t="s">
        <v>49033</v>
      </c>
      <c r="T427" s="28">
        <v>1104000</v>
      </c>
      <c r="U427" s="28"/>
      <c r="V427" s="28">
        <v>204024000</v>
      </c>
      <c r="W427" s="28"/>
      <c r="X427" s="28">
        <v>64608000</v>
      </c>
      <c r="Y427" s="28">
        <v>744241000</v>
      </c>
      <c r="Z427" s="28">
        <v>392811000</v>
      </c>
      <c r="AA427" s="28">
        <v>212800000</v>
      </c>
      <c r="AB427" s="28">
        <v>525000</v>
      </c>
      <c r="AC427" s="28">
        <v>138595000</v>
      </c>
      <c r="AD427" s="28">
        <v>392821000</v>
      </c>
      <c r="AE427" s="28">
        <v>3179419000</v>
      </c>
      <c r="AF427" s="28">
        <v>189168000</v>
      </c>
      <c r="AG427" s="11"/>
    </row>
    <row r="428">
      <c r="A428" s="7" t="s">
        <v>2174</v>
      </c>
      <c r="B428" s="5" t="s">
        <v>10145</v>
      </c>
      <c r="C428" s="5" t="s">
        <v>18043</v>
      </c>
      <c r="D428" s="5" t="str">
        <v>220501250190</v>
      </c>
      <c r="E428" s="0" t="e">
        <f>+7 (38595) 52017
+7 (38595) 52873
+7 (38595) 53905
+7 (38595) 52543
+7 (38595) 53180
+7 (38595) 79201
+7 (38595) 79268</f>
        <v>#NAME?</v>
      </c>
      <c r="F428" s="5" t="s">
        <v>26617</v>
      </c>
      <c r="G428" s="5" t="s">
        <v>26618</v>
      </c>
      <c r="H428" s="26">
        <v>30.5</v>
      </c>
      <c r="I428" s="5"/>
      <c r="J428" s="5" t="s">
        <v>26619</v>
      </c>
      <c r="K428" s="5" t="s">
        <v>344</v>
      </c>
      <c r="L428" s="5" t="s">
        <v>26620</v>
      </c>
      <c r="M428" s="27">
        <v>1155652</v>
      </c>
      <c r="N428" s="5"/>
      <c r="O428" s="5" t="str">
        <v>2205001753</v>
      </c>
      <c r="P428" s="27">
        <v>988158000</v>
      </c>
      <c r="Q428" s="5" t="s">
        <v>49057</v>
      </c>
      <c r="R428" s="5"/>
      <c r="S428" s="5" t="s">
        <v>49752</v>
      </c>
      <c r="T428" s="28">
        <v>8431002000</v>
      </c>
      <c r="U428" s="28"/>
      <c r="V428" s="28">
        <v>9143046000</v>
      </c>
      <c r="W428" s="28"/>
      <c r="X428" s="28">
        <v>35616000</v>
      </c>
      <c r="Y428" s="28">
        <v>20820418000</v>
      </c>
      <c r="Z428" s="28">
        <v>9416449000</v>
      </c>
      <c r="AA428" s="28">
        <v>815270000</v>
      </c>
      <c r="AB428" s="28"/>
      <c r="AC428" s="28">
        <v>9295361000</v>
      </c>
      <c r="AD428" s="28">
        <v>10700029000</v>
      </c>
      <c r="AE428" s="28">
        <v>92216578000</v>
      </c>
      <c r="AF428" s="28">
        <v>14761921000</v>
      </c>
      <c r="AG428" s="11"/>
    </row>
    <row r="429">
      <c r="A429" s="7" t="s">
        <v>2175</v>
      </c>
      <c r="B429" s="5" t="s">
        <v>10146</v>
      </c>
      <c r="C429" s="5" t="s">
        <v>18044</v>
      </c>
      <c r="D429" s="5" t="str">
        <v>220501708089</v>
      </c>
      <c r="E429" s="0" t="e">
        <f>+7 (38452) 40125
+7 (385) 2222432
+7 (385) 2240371
+7 (385) 2247653
+7 (385) 2295940
+7 (385) 2329614
+7 (385) 2353540
+7 (385) 2353635
+7 (385) 2363525
+7 (385) 2363536
+7 (385) 2365352
+7 (385) 2506072
+7 (385) 2240125
+7 (385) 2245707
+7 (385) 2421231</f>
        <v>#NAME?</v>
      </c>
      <c r="F429" s="5" t="s">
        <v>26621</v>
      </c>
      <c r="G429" s="5" t="s">
        <v>26622</v>
      </c>
      <c r="H429" s="26">
        <v>31</v>
      </c>
      <c r="I429" s="5"/>
      <c r="J429" s="5" t="s">
        <v>26623</v>
      </c>
      <c r="K429" s="5" t="s">
        <v>344</v>
      </c>
      <c r="L429" s="5" t="s">
        <v>26624</v>
      </c>
      <c r="M429" s="27">
        <v>1470218</v>
      </c>
      <c r="N429" s="5" t="s">
        <v>49753</v>
      </c>
      <c r="O429" s="5" t="str">
        <v>2224132840</v>
      </c>
      <c r="P429" s="27">
        <v>10389000</v>
      </c>
      <c r="Q429" s="5" t="s">
        <v>49754</v>
      </c>
      <c r="R429" s="5" t="s">
        <v>49755</v>
      </c>
      <c r="S429" s="5" t="s">
        <v>49756</v>
      </c>
      <c r="T429" s="28">
        <v>74887000</v>
      </c>
      <c r="U429" s="28">
        <v>56128000</v>
      </c>
      <c r="V429" s="28">
        <v>703295000</v>
      </c>
      <c r="W429" s="28">
        <v>21000000</v>
      </c>
      <c r="X429" s="28">
        <v>812829000</v>
      </c>
      <c r="Y429" s="28">
        <v>1705565000</v>
      </c>
      <c r="Z429" s="28">
        <v>790729000</v>
      </c>
      <c r="AA429" s="28"/>
      <c r="AB429" s="28">
        <v>100000000</v>
      </c>
      <c r="AC429" s="28">
        <v>871156000</v>
      </c>
      <c r="AD429" s="28">
        <v>801638000</v>
      </c>
      <c r="AE429" s="28">
        <v>6875701000</v>
      </c>
      <c r="AF429" s="28">
        <v>466985000</v>
      </c>
      <c r="AG429" s="11"/>
    </row>
    <row r="430">
      <c r="A430" s="7" t="s">
        <v>2176</v>
      </c>
      <c r="B430" s="5" t="s">
        <v>10147</v>
      </c>
      <c r="C430" s="5" t="s">
        <v>18045</v>
      </c>
      <c r="D430" s="5" t="str">
        <v>222509211912</v>
      </c>
      <c r="E430" s="0" t="e">
        <f>+7 (385) 2650382
+7 (385) 2650843
+7 (38530) 22170
+7 (38530) 25382
+7 (38530) 25399
+7 (38530) 25431
+7 (38530) 25505
+7 (38530) 25506
+7 (38530) 25521
+7 (38530) 25526
+7 (3854) 255235
+7 (3854) 362261
+7 (3854) 363109
+7 (3854) 363150
+7 (38557) 28426</f>
        <v>#NAME?</v>
      </c>
      <c r="F430" s="5" t="s">
        <v>26625</v>
      </c>
      <c r="G430" s="5" t="s">
        <v>26626</v>
      </c>
      <c r="H430" s="26">
        <v>22</v>
      </c>
      <c r="I430" s="5" t="s">
        <v>26627</v>
      </c>
      <c r="J430" s="5" t="s">
        <v>25231</v>
      </c>
      <c r="K430" s="5" t="s">
        <v>344</v>
      </c>
      <c r="L430" s="5" t="s">
        <v>26628</v>
      </c>
      <c r="M430" s="27"/>
      <c r="N430" s="5" t="s">
        <v>49757</v>
      </c>
      <c r="O430" s="5" t="str">
        <v>2245002792</v>
      </c>
      <c r="P430" s="27">
        <v>15000</v>
      </c>
      <c r="Q430" s="5" t="s">
        <v>49009</v>
      </c>
      <c r="R430" s="5"/>
      <c r="S430" s="5" t="s">
        <v>49200</v>
      </c>
      <c r="T430" s="28">
        <v>569066000</v>
      </c>
      <c r="U430" s="28">
        <v>6915000</v>
      </c>
      <c r="V430" s="28">
        <v>660588000</v>
      </c>
      <c r="W430" s="28">
        <v>365530000</v>
      </c>
      <c r="X430" s="28">
        <v>47173000</v>
      </c>
      <c r="Y430" s="28">
        <v>3000547000</v>
      </c>
      <c r="Z430" s="28">
        <v>693029000</v>
      </c>
      <c r="AA430" s="28">
        <v>200161000</v>
      </c>
      <c r="AB430" s="28">
        <v>1600500000</v>
      </c>
      <c r="AC430" s="28">
        <v>1857862000</v>
      </c>
      <c r="AD430" s="28">
        <v>693044000</v>
      </c>
      <c r="AE430" s="28">
        <v>6218750000</v>
      </c>
      <c r="AF430" s="28">
        <v>37082000</v>
      </c>
      <c r="AG430" s="11"/>
    </row>
    <row r="431">
      <c r="A431" s="7" t="s">
        <v>2177</v>
      </c>
      <c r="B431" s="5" t="s">
        <v>10148</v>
      </c>
      <c r="C431" s="5" t="s">
        <v>18046</v>
      </c>
      <c r="D431" s="5" t="str">
        <v>227700299683</v>
      </c>
      <c r="E431" s="0" t="e">
        <f>+7 (382) 2223471
+7 (382) 2227133
+7 (385) 2200200
+7 (385) 2202266
+7 (385) 2204504
+7 (385) 2206159
+7 (385) 2222473
+7 (385) 2222808
+7 (385) 2222862
+7 (385) 2222878
+7 (385) 2223321
+7 (385) 2223356
+7 (385) 2223460
+7 (385) 2223461
+7 (385) 2223359</f>
        <v>#NAME?</v>
      </c>
      <c r="F431" s="5" t="s">
        <v>26629</v>
      </c>
      <c r="G431" s="5" t="s">
        <v>26630</v>
      </c>
      <c r="H431" s="26">
        <v>16.5</v>
      </c>
      <c r="I431" s="5"/>
      <c r="J431" s="5" t="s">
        <v>26623</v>
      </c>
      <c r="K431" s="5" t="s">
        <v>344</v>
      </c>
      <c r="L431" s="5" t="s">
        <v>26631</v>
      </c>
      <c r="M431" s="27">
        <v>17051326</v>
      </c>
      <c r="N431" s="5" t="s">
        <v>49758</v>
      </c>
      <c r="O431" s="5" t="str">
        <v>2224103849</v>
      </c>
      <c r="P431" s="27">
        <v>30000000</v>
      </c>
      <c r="Q431" s="5" t="s">
        <v>49759</v>
      </c>
      <c r="R431" s="5"/>
      <c r="S431" s="5" t="s">
        <v>49760</v>
      </c>
      <c r="T431" s="28">
        <v>427713000</v>
      </c>
      <c r="U431" s="28">
        <v>19998000</v>
      </c>
      <c r="V431" s="28">
        <v>2244798000</v>
      </c>
      <c r="W431" s="28"/>
      <c r="X431" s="28">
        <v>1571078000</v>
      </c>
      <c r="Y431" s="28">
        <v>4450813000</v>
      </c>
      <c r="Z431" s="28">
        <v>1917935000</v>
      </c>
      <c r="AA431" s="28">
        <v>66227000</v>
      </c>
      <c r="AB431" s="28">
        <v>21932000</v>
      </c>
      <c r="AC431" s="28">
        <v>2419314000</v>
      </c>
      <c r="AD431" s="28">
        <v>1951777000</v>
      </c>
      <c r="AE431" s="28">
        <v>17797916000</v>
      </c>
      <c r="AF431" s="28">
        <v>353686000</v>
      </c>
      <c r="AG431" s="11"/>
    </row>
    <row r="432">
      <c r="A432" s="7" t="s">
        <v>2178</v>
      </c>
      <c r="B432" s="5" t="s">
        <v>10149</v>
      </c>
      <c r="C432" s="5" t="s">
        <v>18047</v>
      </c>
      <c r="D432" s="5" t="str">
        <v>230808813033</v>
      </c>
      <c r="E432" s="0" t="e">
        <f>+7 (918) 4332999
+7 (861) 2367431
+7 (861) 2764100
+7 (988) 4623615</f>
        <v>#NAME?</v>
      </c>
      <c r="F432" s="5"/>
      <c r="G432" s="5" t="s">
        <v>26632</v>
      </c>
      <c r="H432" s="26">
        <v>12.5</v>
      </c>
      <c r="I432" s="5" t="s">
        <v>26633</v>
      </c>
      <c r="J432" s="5" t="s">
        <v>1059</v>
      </c>
      <c r="K432" s="5" t="s">
        <v>344</v>
      </c>
      <c r="L432" s="5" t="s">
        <v>26634</v>
      </c>
      <c r="M432" s="27"/>
      <c r="N432" s="5" t="s">
        <v>49761</v>
      </c>
      <c r="O432" s="5" t="str">
        <v>2312176243</v>
      </c>
      <c r="P432" s="27">
        <v>10000000</v>
      </c>
      <c r="Q432" s="5" t="s">
        <v>49324</v>
      </c>
      <c r="R432" s="5"/>
      <c r="S432" s="5" t="s">
        <v>49762</v>
      </c>
      <c r="T432" s="28">
        <v>678564000</v>
      </c>
      <c r="U432" s="28"/>
      <c r="V432" s="28">
        <v>520948000</v>
      </c>
      <c r="W432" s="28">
        <v>1026000</v>
      </c>
      <c r="X432" s="28">
        <v>11897000</v>
      </c>
      <c r="Y432" s="28">
        <v>3415618000</v>
      </c>
      <c r="Z432" s="28">
        <v>250428000</v>
      </c>
      <c r="AA432" s="28">
        <v>1164500000</v>
      </c>
      <c r="AB432" s="28"/>
      <c r="AC432" s="28">
        <v>1840636000</v>
      </c>
      <c r="AD432" s="28">
        <v>260428000</v>
      </c>
      <c r="AE432" s="28">
        <v>7019017000</v>
      </c>
      <c r="AF432" s="28">
        <v>65365000</v>
      </c>
      <c r="AG432" s="11"/>
    </row>
    <row r="433">
      <c r="A433" s="7" t="s">
        <v>2179</v>
      </c>
      <c r="B433" s="5" t="s">
        <v>10150</v>
      </c>
      <c r="C433" s="5" t="s">
        <v>18048</v>
      </c>
      <c r="D433" s="5" t="str">
        <v>222102009406</v>
      </c>
      <c r="E433" s="0" t="e">
        <f>+7 (962) 8057703
+7 (385) 2267841
+7 (385) 2267883
+7 (385) 2466701
+7 (385) 2466702
+7 (385) 2466703
+7 (385) 2466711
+7 (385) 2466714</f>
        <v>#NAME?</v>
      </c>
      <c r="F433" s="5" t="s">
        <v>26635</v>
      </c>
      <c r="G433" s="5" t="s">
        <v>26636</v>
      </c>
      <c r="H433" s="26">
        <v>30</v>
      </c>
      <c r="I433" s="5"/>
      <c r="J433" s="5" t="s">
        <v>26637</v>
      </c>
      <c r="K433" s="5" t="s">
        <v>344</v>
      </c>
      <c r="L433" s="5" t="s">
        <v>26638</v>
      </c>
      <c r="M433" s="27">
        <v>126751</v>
      </c>
      <c r="N433" s="5" t="s">
        <v>49763</v>
      </c>
      <c r="O433" s="5" t="str">
        <v>2221000387</v>
      </c>
      <c r="P433" s="27">
        <v>5689000</v>
      </c>
      <c r="Q433" s="5" t="s">
        <v>49764</v>
      </c>
      <c r="R433" s="5"/>
      <c r="S433" s="5" t="s">
        <v>49765</v>
      </c>
      <c r="T433" s="28">
        <v>557078000</v>
      </c>
      <c r="U433" s="28"/>
      <c r="V433" s="28">
        <v>730341000</v>
      </c>
      <c r="W433" s="28"/>
      <c r="X433" s="28">
        <v>1183742000</v>
      </c>
      <c r="Y433" s="28">
        <v>2963128000</v>
      </c>
      <c r="Z433" s="28">
        <v>2568789000</v>
      </c>
      <c r="AA433" s="28"/>
      <c r="AB433" s="28"/>
      <c r="AC433" s="28">
        <v>354115000</v>
      </c>
      <c r="AD433" s="28">
        <v>2574762000</v>
      </c>
      <c r="AE433" s="28">
        <v>3469212000</v>
      </c>
      <c r="AF433" s="28">
        <v>425056000</v>
      </c>
      <c r="AG433" s="11"/>
    </row>
    <row r="434">
      <c r="A434" s="7" t="s">
        <v>2180</v>
      </c>
      <c r="B434" s="5" t="s">
        <v>10151</v>
      </c>
      <c r="C434" s="5" t="s">
        <v>18049</v>
      </c>
      <c r="D434" s="5" t="str">
        <v>165811328265</v>
      </c>
      <c r="E434" s="0" t="e">
        <f>+7 (8432) 9831
+7 (8432) 9832
+7 (8432) 375757
+7 (8432) 535757
+7 (8432) 648079</f>
        <v>#NAME?</v>
      </c>
      <c r="F434" s="5"/>
      <c r="G434" s="5"/>
      <c r="H434" s="26">
        <v>4.5</v>
      </c>
      <c r="I434" s="5" t="s">
        <v>26639</v>
      </c>
      <c r="J434" s="5" t="s">
        <v>364</v>
      </c>
      <c r="K434" s="5" t="s">
        <v>344</v>
      </c>
      <c r="L434" s="5" t="s">
        <v>26640</v>
      </c>
      <c r="M434" s="27">
        <v>13421</v>
      </c>
      <c r="N434" s="5" t="s">
        <v>49766</v>
      </c>
      <c r="O434" s="5" t="str">
        <v>1661058467</v>
      </c>
      <c r="P434" s="27">
        <v>10000</v>
      </c>
      <c r="Q434" s="5" t="s">
        <v>49767</v>
      </c>
      <c r="R434" s="5"/>
      <c r="S434" s="5" t="s">
        <v>49768</v>
      </c>
      <c r="T434" s="28">
        <v>4877000</v>
      </c>
      <c r="U434" s="28"/>
      <c r="V434" s="28">
        <v>617579000</v>
      </c>
      <c r="W434" s="28">
        <v>551644000</v>
      </c>
      <c r="X434" s="28">
        <v>129763000</v>
      </c>
      <c r="Y434" s="28">
        <v>1351670000</v>
      </c>
      <c r="Z434" s="28">
        <v>78164000</v>
      </c>
      <c r="AA434" s="28">
        <v>33966000</v>
      </c>
      <c r="AB434" s="28"/>
      <c r="AC434" s="28">
        <v>1239530000</v>
      </c>
      <c r="AD434" s="28">
        <v>78174000</v>
      </c>
      <c r="AE434" s="28">
        <v>7213526000</v>
      </c>
      <c r="AF434" s="28">
        <v>47643000</v>
      </c>
      <c r="AG434" s="11"/>
    </row>
    <row r="435">
      <c r="A435" s="7" t="s">
        <v>2181</v>
      </c>
      <c r="B435" s="5" t="s">
        <v>10152</v>
      </c>
      <c r="C435" s="5" t="s">
        <v>18050</v>
      </c>
      <c r="D435" s="5" t="str">
        <v>524927382297</v>
      </c>
      <c r="E435" s="0" t="e">
        <f>+7 (909) 2990089
+7 (831) 2960890
+7 (831) 2960891
+7 (831) 2960892
+7 (831) 2960894
+7 (831) 2960896
+7 (831) 2960899
+7 (831) 4166000
+7 (83141) 18585
+7 (83141) 18686</f>
        <v>#NAME?</v>
      </c>
      <c r="F435" s="5" t="s">
        <v>26641</v>
      </c>
      <c r="G435" s="5"/>
      <c r="H435" s="26">
        <v>16</v>
      </c>
      <c r="I435" s="5" t="s">
        <v>26642</v>
      </c>
      <c r="J435" s="5" t="s">
        <v>364</v>
      </c>
      <c r="K435" s="5" t="s">
        <v>344</v>
      </c>
      <c r="L435" s="5" t="s">
        <v>26643</v>
      </c>
      <c r="M435" s="27"/>
      <c r="N435" s="5" t="s">
        <v>49769</v>
      </c>
      <c r="O435" s="5" t="str">
        <v>5262210526</v>
      </c>
      <c r="P435" s="27">
        <v>50100000</v>
      </c>
      <c r="Q435" s="5" t="s">
        <v>49770</v>
      </c>
      <c r="R435" s="5"/>
      <c r="S435" s="5" t="s">
        <v>49089</v>
      </c>
      <c r="T435" s="28">
        <v>48267000</v>
      </c>
      <c r="U435" s="28"/>
      <c r="V435" s="28">
        <v>843594000</v>
      </c>
      <c r="W435" s="28">
        <v>217150000</v>
      </c>
      <c r="X435" s="28">
        <v>1202000</v>
      </c>
      <c r="Y435" s="28">
        <v>1241192000</v>
      </c>
      <c r="Z435" s="28">
        <v>445532000</v>
      </c>
      <c r="AA435" s="28"/>
      <c r="AB435" s="28">
        <v>15000000</v>
      </c>
      <c r="AC435" s="28">
        <v>745560000</v>
      </c>
      <c r="AD435" s="28">
        <v>495632000</v>
      </c>
      <c r="AE435" s="28">
        <v>3181117000</v>
      </c>
      <c r="AF435" s="28">
        <v>89486000</v>
      </c>
      <c r="AG435" s="11"/>
    </row>
    <row r="436">
      <c r="A436" s="7" t="s">
        <v>10</v>
      </c>
      <c r="B436" s="5" t="s">
        <v>10153</v>
      </c>
      <c r="C436" s="5" t="s">
        <v>18051</v>
      </c>
      <c r="D436" s="5" t="str">
        <v>632200593244</v>
      </c>
      <c r="E436" s="0" t="e">
        <f>+7 (3412) 700112
+7 (3412) 700128
+7 (3412) 784586
+7 (3422) 584517
+7 (346) 2213824
+7 (3472) 165487
+7 (3472) 169874
+7 (3512) 236589
+7 (3512) 326569
+7 (3512) 326583
+7 (343) 2158909
+7 (343) 2158922
+7 (345) 2213834
+7 (345) 2688121
+7 (346) 2243834</f>
        <v>#NAME?</v>
      </c>
      <c r="F436" s="5" t="s">
        <v>26644</v>
      </c>
      <c r="G436" s="5"/>
      <c r="H436" s="26">
        <v>8.5</v>
      </c>
      <c r="I436" s="5" t="s">
        <v>26645</v>
      </c>
      <c r="J436" s="5" t="s">
        <v>25429</v>
      </c>
      <c r="K436" s="5" t="s">
        <v>344</v>
      </c>
      <c r="L436" s="5" t="s">
        <v>26646</v>
      </c>
      <c r="M436" s="27"/>
      <c r="N436" s="5" t="s">
        <v>49771</v>
      </c>
      <c r="O436" s="5" t="str">
        <v>7724922443</v>
      </c>
      <c r="P436" s="27">
        <v>10000</v>
      </c>
      <c r="Q436" s="5" t="s">
        <v>49772</v>
      </c>
      <c r="R436" s="5"/>
      <c r="S436" s="5" t="s">
        <v>49773</v>
      </c>
      <c r="T436" s="28">
        <v>39000</v>
      </c>
      <c r="U436" s="28"/>
      <c r="V436" s="28">
        <v>939903000</v>
      </c>
      <c r="W436" s="28">
        <v>100113000</v>
      </c>
      <c r="X436" s="28">
        <v>101834000</v>
      </c>
      <c r="Y436" s="28">
        <v>1142133000</v>
      </c>
      <c r="Z436" s="28">
        <v>90431000</v>
      </c>
      <c r="AA436" s="28"/>
      <c r="AB436" s="28">
        <v>608000</v>
      </c>
      <c r="AC436" s="28">
        <v>1051661000</v>
      </c>
      <c r="AD436" s="28">
        <v>90441000</v>
      </c>
      <c r="AE436" s="28">
        <v>7041786000</v>
      </c>
      <c r="AF436" s="28">
        <v>89509000</v>
      </c>
      <c r="AG436" s="11"/>
    </row>
    <row r="437">
      <c r="A437" s="7" t="s">
        <v>10</v>
      </c>
      <c r="B437" s="5" t="s">
        <v>10154</v>
      </c>
      <c r="C437" s="5" t="s">
        <v>18052</v>
      </c>
      <c r="D437" s="5" t="str">
        <v>770509606060</v>
      </c>
      <c r="E437" s="0" t="e">
        <f>+7 (800) 6005816</f>
        <v>#NAME?</v>
      </c>
      <c r="F437" s="5"/>
      <c r="G437" s="5"/>
      <c r="H437" s="26">
        <v>3.5</v>
      </c>
      <c r="I437" s="5" t="s">
        <v>26647</v>
      </c>
      <c r="J437" s="5" t="s">
        <v>26447</v>
      </c>
      <c r="K437" s="5" t="s">
        <v>344</v>
      </c>
      <c r="L437" s="5" t="s">
        <v>26648</v>
      </c>
      <c r="M437" s="27"/>
      <c r="N437" s="5"/>
      <c r="O437" s="5" t="str">
        <v>9703001861</v>
      </c>
      <c r="P437" s="27">
        <v>10000</v>
      </c>
      <c r="Q437" s="5" t="s">
        <v>49319</v>
      </c>
      <c r="R437" s="5"/>
      <c r="S437" s="5" t="s">
        <v>49774</v>
      </c>
      <c r="T437" s="28">
        <v>3211000</v>
      </c>
      <c r="U437" s="28"/>
      <c r="V437" s="28">
        <v>468815000</v>
      </c>
      <c r="W437" s="28">
        <v>292000000</v>
      </c>
      <c r="X437" s="28">
        <v>4746000</v>
      </c>
      <c r="Y437" s="28">
        <v>1484440000</v>
      </c>
      <c r="Z437" s="28">
        <v>269548000</v>
      </c>
      <c r="AA437" s="28">
        <v>697425000</v>
      </c>
      <c r="AB437" s="28">
        <v>13878000</v>
      </c>
      <c r="AC437" s="28">
        <v>514932000</v>
      </c>
      <c r="AD437" s="28">
        <v>269558000</v>
      </c>
      <c r="AE437" s="28">
        <v>4628311000</v>
      </c>
      <c r="AF437" s="28">
        <v>82317000</v>
      </c>
      <c r="AG437" s="11"/>
    </row>
    <row r="438">
      <c r="A438" s="7" t="s">
        <v>2182</v>
      </c>
      <c r="B438" s="5" t="s">
        <v>10155</v>
      </c>
      <c r="C438" s="5" t="s">
        <v>18053</v>
      </c>
      <c r="D438" s="5" t="str">
        <v>632311835499</v>
      </c>
      <c r="E438" s="0" t="e">
        <f>+7 (495) 2323934
+7 (495) 5244447
+7 (495) 5975031
+7 (499) 5501512
+7 (499) 5501585
+7 (495) 5501525</f>
        <v>#NAME?</v>
      </c>
      <c r="F438" s="5" t="s">
        <v>26649</v>
      </c>
      <c r="G438" s="5" t="s">
        <v>26650</v>
      </c>
      <c r="H438" s="26">
        <v>8</v>
      </c>
      <c r="I438" s="5" t="s">
        <v>26651</v>
      </c>
      <c r="J438" s="5" t="s">
        <v>26173</v>
      </c>
      <c r="K438" s="5" t="s">
        <v>344</v>
      </c>
      <c r="L438" s="5" t="s">
        <v>26652</v>
      </c>
      <c r="M438" s="27"/>
      <c r="N438" s="5" t="s">
        <v>49775</v>
      </c>
      <c r="O438" s="5" t="str">
        <v>7709448074</v>
      </c>
      <c r="P438" s="27">
        <v>10000</v>
      </c>
      <c r="Q438" s="5" t="s">
        <v>49776</v>
      </c>
      <c r="R438" s="5"/>
      <c r="S438" s="5" t="s">
        <v>49777</v>
      </c>
      <c r="T438" s="28">
        <v>10477000</v>
      </c>
      <c r="U438" s="28">
        <v>439000</v>
      </c>
      <c r="V438" s="28">
        <v>183891000</v>
      </c>
      <c r="W438" s="28">
        <v>1988287000</v>
      </c>
      <c r="X438" s="28">
        <v>2000687000</v>
      </c>
      <c r="Y438" s="28">
        <v>4559900000</v>
      </c>
      <c r="Z438" s="28">
        <v>3796075000</v>
      </c>
      <c r="AA438" s="28"/>
      <c r="AB438" s="28"/>
      <c r="AC438" s="28">
        <v>756255000</v>
      </c>
      <c r="AD438" s="28">
        <v>3799177000</v>
      </c>
      <c r="AE438" s="28">
        <v>5416668000</v>
      </c>
      <c r="AF438" s="28">
        <v>1356621000</v>
      </c>
      <c r="AG438" s="11"/>
    </row>
    <row r="439">
      <c r="A439" s="7" t="s">
        <v>2183</v>
      </c>
      <c r="B439" s="5" t="s">
        <v>10156</v>
      </c>
      <c r="C439" s="5" t="s">
        <v>18054</v>
      </c>
      <c r="D439" s="5" t="str">
        <v>526300318539</v>
      </c>
      <c r="E439" s="0" t="e">
        <f>+7 (800) 7071555
+7 (83142) 22925
+7 (83142) 22928
+7 (83142) 22955
+7 (910) 8951221</f>
        <v>#NAME?</v>
      </c>
      <c r="F439" s="5" t="s">
        <v>26653</v>
      </c>
      <c r="G439" s="5" t="s">
        <v>26654</v>
      </c>
      <c r="H439" s="26">
        <v>21</v>
      </c>
      <c r="I439" s="5" t="s">
        <v>25331</v>
      </c>
      <c r="J439" s="5" t="s">
        <v>26655</v>
      </c>
      <c r="K439" s="5" t="s">
        <v>355</v>
      </c>
      <c r="L439" s="5" t="s">
        <v>26656</v>
      </c>
      <c r="M439" s="27">
        <v>976116</v>
      </c>
      <c r="N439" s="5" t="s">
        <v>49778</v>
      </c>
      <c r="O439" s="5" t="str">
        <v>5257056036</v>
      </c>
      <c r="P439" s="27">
        <v>10000000</v>
      </c>
      <c r="Q439" s="5" t="s">
        <v>49009</v>
      </c>
      <c r="R439" s="5"/>
      <c r="S439" s="5" t="s">
        <v>49576</v>
      </c>
      <c r="T439" s="28">
        <v>16524951000</v>
      </c>
      <c r="U439" s="28"/>
      <c r="V439" s="28">
        <v>2190207000</v>
      </c>
      <c r="W439" s="28"/>
      <c r="X439" s="28">
        <v>4143320000</v>
      </c>
      <c r="Y439" s="28">
        <v>69897903000</v>
      </c>
      <c r="Z439" s="28">
        <v>2104573000</v>
      </c>
      <c r="AA439" s="28"/>
      <c r="AB439" s="28">
        <v>16077262000</v>
      </c>
      <c r="AC439" s="28">
        <v>57912590000</v>
      </c>
      <c r="AD439" s="28">
        <v>2114573000</v>
      </c>
      <c r="AE439" s="28">
        <v>236421838000</v>
      </c>
      <c r="AF439" s="28">
        <v>10281845000</v>
      </c>
      <c r="AG439" s="11"/>
    </row>
    <row r="440">
      <c r="A440" s="7" t="s">
        <v>2184</v>
      </c>
      <c r="B440" s="5" t="s">
        <v>10157</v>
      </c>
      <c r="C440" s="5" t="s">
        <v>18055</v>
      </c>
      <c r="D440" s="5" t="str">
        <v>774330969806</v>
      </c>
      <c r="E440" s="0" t="e">
        <f>+7 (495) 6503684
+7 (495) 6943403
+7 (495) 9371231
+7 (495) 9371232
+7 (495) 9371233
+7 (800) 2002345</f>
        <v>#NAME?</v>
      </c>
      <c r="F440" s="5" t="s">
        <v>26657</v>
      </c>
      <c r="G440" s="5" t="s">
        <v>26658</v>
      </c>
      <c r="H440" s="26">
        <v>30.5</v>
      </c>
      <c r="I440" s="5" t="s">
        <v>26659</v>
      </c>
      <c r="J440" s="5" t="s">
        <v>26660</v>
      </c>
      <c r="K440" s="5" t="s">
        <v>355</v>
      </c>
      <c r="L440" s="5" t="s">
        <v>26661</v>
      </c>
      <c r="M440" s="27">
        <v>5779823</v>
      </c>
      <c r="N440" s="5" t="s">
        <v>49779</v>
      </c>
      <c r="O440" s="5" t="str">
        <v>7729265128</v>
      </c>
      <c r="P440" s="27">
        <v>4695640277</v>
      </c>
      <c r="Q440" s="5" t="s">
        <v>49579</v>
      </c>
      <c r="R440" s="5"/>
      <c r="S440" s="5" t="s">
        <v>49780</v>
      </c>
      <c r="T440" s="28">
        <v>50661002000</v>
      </c>
      <c r="U440" s="28">
        <v>28426482000</v>
      </c>
      <c r="V440" s="28">
        <v>7307145000</v>
      </c>
      <c r="W440" s="28">
        <v>50697000</v>
      </c>
      <c r="X440" s="28">
        <v>5678721000</v>
      </c>
      <c r="Y440" s="28">
        <v>128386836000</v>
      </c>
      <c r="Z440" s="28">
        <v>41740681000</v>
      </c>
      <c r="AA440" s="28">
        <v>260000000</v>
      </c>
      <c r="AB440" s="28">
        <v>4735000</v>
      </c>
      <c r="AC440" s="28">
        <v>33292020000</v>
      </c>
      <c r="AD440" s="28">
        <v>49951635000</v>
      </c>
      <c r="AE440" s="28">
        <v>80480256000</v>
      </c>
      <c r="AF440" s="28">
        <v>3582957000</v>
      </c>
      <c r="AG440" s="11"/>
    </row>
    <row r="441">
      <c r="A441" s="7" t="s">
        <v>2185</v>
      </c>
      <c r="B441" s="5" t="s">
        <v>10158</v>
      </c>
      <c r="C441" s="5" t="s">
        <v>18056</v>
      </c>
      <c r="D441" s="5"/>
      <c r="F441" s="5"/>
      <c r="G441" s="5"/>
      <c r="H441" s="26">
        <v>4.5</v>
      </c>
      <c r="I441" s="5" t="s">
        <v>26662</v>
      </c>
      <c r="J441" s="5" t="s">
        <v>678</v>
      </c>
      <c r="K441" s="5" t="s">
        <v>344</v>
      </c>
      <c r="L441" s="5" t="s">
        <v>26663</v>
      </c>
      <c r="M441" s="27"/>
      <c r="N441" s="5"/>
      <c r="O441" s="5" t="str">
        <v>7704460720</v>
      </c>
      <c r="P441" s="27">
        <v>515100</v>
      </c>
      <c r="Q441" s="5" t="s">
        <v>49009</v>
      </c>
      <c r="R441" s="5"/>
      <c r="S441" s="5" t="s">
        <v>49781</v>
      </c>
      <c r="T441" s="28">
        <v>39402000</v>
      </c>
      <c r="U441" s="28"/>
      <c r="V441" s="28">
        <v>213653000</v>
      </c>
      <c r="W441" s="28"/>
      <c r="X441" s="28">
        <v>28583000</v>
      </c>
      <c r="Y441" s="28">
        <v>376628000</v>
      </c>
      <c r="Z441" s="28">
        <v>41402000</v>
      </c>
      <c r="AA441" s="28"/>
      <c r="AB441" s="28"/>
      <c r="AC441" s="28">
        <v>329572000</v>
      </c>
      <c r="AD441" s="28">
        <v>41917000</v>
      </c>
      <c r="AE441" s="28">
        <v>3486669000</v>
      </c>
      <c r="AF441" s="28">
        <v>21675000</v>
      </c>
      <c r="AG441" s="11"/>
    </row>
    <row r="442">
      <c r="A442" s="7" t="s">
        <v>2186</v>
      </c>
      <c r="B442" s="5" t="s">
        <v>10159</v>
      </c>
      <c r="C442" s="5" t="s">
        <v>18057</v>
      </c>
      <c r="D442" s="5" t="str">
        <v>772465172200</v>
      </c>
      <c r="F442" s="5" t="s">
        <v>26664</v>
      </c>
      <c r="G442" s="5"/>
      <c r="H442" s="26">
        <v>9</v>
      </c>
      <c r="I442" s="5" t="s">
        <v>26665</v>
      </c>
      <c r="J442" s="5" t="s">
        <v>26125</v>
      </c>
      <c r="K442" s="5" t="s">
        <v>344</v>
      </c>
      <c r="L442" s="5" t="s">
        <v>26666</v>
      </c>
      <c r="M442" s="27">
        <v>10231884</v>
      </c>
      <c r="N442" s="5"/>
      <c r="O442" s="5" t="str">
        <v>7725824216</v>
      </c>
      <c r="P442" s="27">
        <v>1100000</v>
      </c>
      <c r="Q442" s="5" t="s">
        <v>49009</v>
      </c>
      <c r="R442" s="5"/>
      <c r="S442" s="5" t="s">
        <v>49010</v>
      </c>
      <c r="T442" s="28">
        <v>49685000</v>
      </c>
      <c r="U442" s="28"/>
      <c r="V442" s="28">
        <v>698483000</v>
      </c>
      <c r="W442" s="28"/>
      <c r="X442" s="28">
        <v>2000</v>
      </c>
      <c r="Y442" s="28">
        <v>1477223000</v>
      </c>
      <c r="Z442" s="28">
        <v>334150000</v>
      </c>
      <c r="AA442" s="28">
        <v>642137000</v>
      </c>
      <c r="AB442" s="28">
        <v>77128000</v>
      </c>
      <c r="AC442" s="28">
        <v>494255000</v>
      </c>
      <c r="AD442" s="28">
        <v>335250000</v>
      </c>
      <c r="AE442" s="28">
        <v>6355027000</v>
      </c>
      <c r="AF442" s="28">
        <v>121554000</v>
      </c>
      <c r="AG442" s="11"/>
    </row>
    <row r="443">
      <c r="A443" s="7" t="s">
        <v>2187</v>
      </c>
      <c r="B443" s="5" t="s">
        <v>10160</v>
      </c>
      <c r="C443" s="5" t="s">
        <v>18058</v>
      </c>
      <c r="D443" s="5" t="str">
        <v>772902368914</v>
      </c>
      <c r="E443" s="0" t="e">
        <f>+7 (495) 4759286
+7 (499) 2521433
+7 (499) 7023338</f>
        <v>#NAME?</v>
      </c>
      <c r="F443" s="5" t="s">
        <v>26667</v>
      </c>
      <c r="G443" s="5" t="s">
        <v>26668</v>
      </c>
      <c r="H443" s="26">
        <v>17.5</v>
      </c>
      <c r="I443" s="5" t="s">
        <v>26669</v>
      </c>
      <c r="J443" s="5" t="s">
        <v>1081</v>
      </c>
      <c r="K443" s="5" t="s">
        <v>344</v>
      </c>
      <c r="L443" s="5" t="s">
        <v>26670</v>
      </c>
      <c r="M443" s="27">
        <v>36121986</v>
      </c>
      <c r="N443" s="5" t="s">
        <v>49782</v>
      </c>
      <c r="O443" s="5" t="str">
        <v>5032134447</v>
      </c>
      <c r="P443" s="27">
        <v>750000</v>
      </c>
      <c r="Q443" s="5" t="s">
        <v>49784</v>
      </c>
      <c r="R443" s="5" t="s">
        <v>49785</v>
      </c>
      <c r="S443" s="5" t="s">
        <v>49786</v>
      </c>
      <c r="T443" s="28">
        <v>508390000</v>
      </c>
      <c r="U443" s="28">
        <v>3000</v>
      </c>
      <c r="V443" s="28">
        <v>17217047000</v>
      </c>
      <c r="W443" s="28">
        <v>45969000</v>
      </c>
      <c r="X443" s="28">
        <v>3196569000</v>
      </c>
      <c r="Y443" s="28">
        <v>26557206000</v>
      </c>
      <c r="Z443" s="28">
        <v>1893293000</v>
      </c>
      <c r="AA443" s="28">
        <v>300000000</v>
      </c>
      <c r="AB443" s="28">
        <v>1407715000</v>
      </c>
      <c r="AC443" s="28">
        <v>22939756000</v>
      </c>
      <c r="AD443" s="28">
        <v>1894043000</v>
      </c>
      <c r="AE443" s="28">
        <v>17173852000</v>
      </c>
      <c r="AF443" s="28">
        <v>769804000</v>
      </c>
      <c r="AG443" s="11"/>
    </row>
    <row r="444">
      <c r="A444" s="7" t="s">
        <v>2188</v>
      </c>
      <c r="B444" s="5" t="s">
        <v>10161</v>
      </c>
      <c r="C444" s="5" t="s">
        <v>18059</v>
      </c>
      <c r="D444" s="5" t="str">
        <v>231524323630</v>
      </c>
      <c r="E444" s="0" t="e">
        <f>+7 (918) 4564973</f>
        <v>#NAME?</v>
      </c>
      <c r="F444" s="5" t="s">
        <v>26671</v>
      </c>
      <c r="G444" s="5"/>
      <c r="H444" s="26">
        <v>3</v>
      </c>
      <c r="I444" s="5" t="s">
        <v>26672</v>
      </c>
      <c r="J444" s="5" t="s">
        <v>364</v>
      </c>
      <c r="K444" s="5" t="s">
        <v>344</v>
      </c>
      <c r="L444" s="5" t="s">
        <v>26673</v>
      </c>
      <c r="M444" s="27">
        <v>1609071</v>
      </c>
      <c r="N444" s="5" t="s">
        <v>49787</v>
      </c>
      <c r="O444" s="5" t="str">
        <v>9704013316</v>
      </c>
      <c r="P444" s="27">
        <v>100000</v>
      </c>
      <c r="Q444" s="5" t="s">
        <v>49789</v>
      </c>
      <c r="R444" s="5"/>
      <c r="S444" s="5" t="s">
        <v>49790</v>
      </c>
      <c r="T444" s="28">
        <v>169833000</v>
      </c>
      <c r="U444" s="28">
        <v>311339000</v>
      </c>
      <c r="V444" s="28">
        <v>27951274000</v>
      </c>
      <c r="W444" s="28">
        <v>170355000</v>
      </c>
      <c r="X444" s="28">
        <v>6926761000</v>
      </c>
      <c r="Y444" s="28">
        <v>36796003000</v>
      </c>
      <c r="Z444" s="28">
        <v>3080348000</v>
      </c>
      <c r="AA444" s="28"/>
      <c r="AB444" s="28"/>
      <c r="AC444" s="28">
        <v>32773256000</v>
      </c>
      <c r="AD444" s="28">
        <v>3080448000</v>
      </c>
      <c r="AE444" s="28">
        <v>19962222000</v>
      </c>
      <c r="AF444" s="28">
        <v>3689446000</v>
      </c>
      <c r="AG444" s="11"/>
    </row>
    <row r="445">
      <c r="A445" s="7" t="s">
        <v>2189</v>
      </c>
      <c r="B445" s="5" t="s">
        <v>10162</v>
      </c>
      <c r="C445" s="5" t="s">
        <v>18060</v>
      </c>
      <c r="D445" s="5" t="str">
        <v>771524202151</v>
      </c>
      <c r="E445" s="0" t="e">
        <f>+7 (499) 1530521
+7 (499) 1545218
+7 (495) 1530521
+7 (495) 1545218
+7 (495) 7819982
+7 (499) 1270888</f>
        <v>#NAME?</v>
      </c>
      <c r="F445" s="5" t="s">
        <v>26674</v>
      </c>
      <c r="G445" s="5"/>
      <c r="H445" s="26">
        <v>30</v>
      </c>
      <c r="I445" s="5" t="s">
        <v>26675</v>
      </c>
      <c r="J445" s="5" t="s">
        <v>364</v>
      </c>
      <c r="K445" s="5" t="s">
        <v>344</v>
      </c>
      <c r="L445" s="5"/>
      <c r="M445" s="27">
        <v>433929</v>
      </c>
      <c r="N445" s="5"/>
      <c r="O445" s="5" t="str">
        <v>7727018123</v>
      </c>
      <c r="P445" s="27">
        <v>19000</v>
      </c>
      <c r="Q445" s="5"/>
      <c r="R445" s="5"/>
      <c r="S445" s="5" t="s">
        <v>49110</v>
      </c>
      <c r="T445" s="28"/>
      <c r="U445" s="28"/>
      <c r="V445" s="28">
        <v>19120000</v>
      </c>
      <c r="W445" s="28">
        <v>400000</v>
      </c>
      <c r="X445" s="28">
        <v>3000</v>
      </c>
      <c r="Y445" s="28">
        <v>53265000</v>
      </c>
      <c r="Z445" s="28">
        <v>1208000</v>
      </c>
      <c r="AA445" s="28"/>
      <c r="AB445" s="28"/>
      <c r="AC445" s="28">
        <v>52000000</v>
      </c>
      <c r="AD445" s="28">
        <v>1265000</v>
      </c>
      <c r="AE445" s="28">
        <v>3784803000</v>
      </c>
      <c r="AF445" s="28">
        <v>93920000</v>
      </c>
      <c r="AG445" s="11"/>
    </row>
    <row r="446">
      <c r="A446" s="7" t="s">
        <v>2190</v>
      </c>
      <c r="B446" s="5" t="s">
        <v>10163</v>
      </c>
      <c r="C446" s="5" t="s">
        <v>18061</v>
      </c>
      <c r="D446" s="5" t="str">
        <v>780254673000</v>
      </c>
      <c r="E446" s="0" t="e">
        <f>+7 (812) 2094101
+7 (911) 5423851</f>
        <v>#NAME?</v>
      </c>
      <c r="F446" s="5" t="s">
        <v>26676</v>
      </c>
      <c r="G446" s="5" t="s">
        <v>26677</v>
      </c>
      <c r="H446" s="26">
        <v>4</v>
      </c>
      <c r="I446" s="5" t="s">
        <v>26678</v>
      </c>
      <c r="J446" s="5" t="s">
        <v>467</v>
      </c>
      <c r="K446" s="5" t="s">
        <v>344</v>
      </c>
      <c r="L446" s="5" t="s">
        <v>26679</v>
      </c>
      <c r="M446" s="27"/>
      <c r="N446" s="5" t="s">
        <v>49791</v>
      </c>
      <c r="O446" s="5" t="str">
        <v>3528302608</v>
      </c>
      <c r="P446" s="27">
        <v>100000</v>
      </c>
      <c r="Q446" s="5"/>
      <c r="R446" s="5"/>
      <c r="S446" s="5" t="s">
        <v>49110</v>
      </c>
      <c r="T446" s="28">
        <v>2472000</v>
      </c>
      <c r="U446" s="28"/>
      <c r="V446" s="28">
        <v>2278739000</v>
      </c>
      <c r="W446" s="28">
        <v>3030000</v>
      </c>
      <c r="X446" s="28">
        <v>166000</v>
      </c>
      <c r="Y446" s="28">
        <v>2601475000</v>
      </c>
      <c r="Z446" s="28">
        <v>388707000</v>
      </c>
      <c r="AA446" s="28"/>
      <c r="AB446" s="28"/>
      <c r="AC446" s="28">
        <v>2212546000</v>
      </c>
      <c r="AD446" s="28">
        <v>388807000</v>
      </c>
      <c r="AE446" s="28">
        <v>4767099000</v>
      </c>
      <c r="AF446" s="28">
        <v>372945000</v>
      </c>
      <c r="AG446" s="11"/>
    </row>
    <row r="447">
      <c r="A447" s="7" t="s">
        <v>2191</v>
      </c>
      <c r="B447" s="5" t="s">
        <v>10164</v>
      </c>
      <c r="C447" s="5" t="s">
        <v>18062</v>
      </c>
      <c r="D447" s="5" t="str">
        <v>910500002208</v>
      </c>
      <c r="E447" s="0" t="e">
        <f>+7 (36556) 23504
+7 (978) 7541700
+7 (978) 8658406</f>
        <v>#NAME?</v>
      </c>
      <c r="F447" s="5" t="s">
        <v>26680</v>
      </c>
      <c r="G447" s="5" t="s">
        <v>26681</v>
      </c>
      <c r="H447" s="26">
        <v>16</v>
      </c>
      <c r="I447" s="5" t="s">
        <v>26682</v>
      </c>
      <c r="J447" s="5" t="s">
        <v>467</v>
      </c>
      <c r="K447" s="5" t="s">
        <v>344</v>
      </c>
      <c r="L447" s="5" t="s">
        <v>26683</v>
      </c>
      <c r="M447" s="27">
        <v>121706</v>
      </c>
      <c r="N447" s="5" t="s">
        <v>49792</v>
      </c>
      <c r="O447" s="5" t="str">
        <v>9105010010</v>
      </c>
      <c r="P447" s="27">
        <v>136400</v>
      </c>
      <c r="Q447" s="5" t="s">
        <v>49793</v>
      </c>
      <c r="R447" s="5"/>
      <c r="S447" s="5" t="s">
        <v>49794</v>
      </c>
      <c r="T447" s="28">
        <v>1487344000</v>
      </c>
      <c r="U447" s="28"/>
      <c r="V447" s="28">
        <v>694009000</v>
      </c>
      <c r="W447" s="28"/>
      <c r="X447" s="28">
        <v>9198706000</v>
      </c>
      <c r="Y447" s="28">
        <v>14868683000</v>
      </c>
      <c r="Z447" s="28">
        <v>1026537000</v>
      </c>
      <c r="AA447" s="28"/>
      <c r="AB447" s="28">
        <v>393608000</v>
      </c>
      <c r="AC447" s="28">
        <v>13395986000</v>
      </c>
      <c r="AD447" s="28">
        <v>1026673000</v>
      </c>
      <c r="AE447" s="28">
        <v>4125143000</v>
      </c>
      <c r="AF447" s="28">
        <v>874664000</v>
      </c>
      <c r="AG447" s="11"/>
    </row>
    <row r="448">
      <c r="A448" s="7" t="s">
        <v>2192</v>
      </c>
      <c r="B448" s="5" t="s">
        <v>10165</v>
      </c>
      <c r="C448" s="5" t="s">
        <v>18063</v>
      </c>
      <c r="D448" s="5" t="str">
        <v>611101453202</v>
      </c>
      <c r="E448" s="0" t="e">
        <f>+7 (928) 1134675
+7 (86196) 48296
+7 (86372) 59224
+7 (8652) 501096
+7 (8652) 501097</f>
        <v>#NAME?</v>
      </c>
      <c r="F448" s="5"/>
      <c r="G448" s="5" t="s">
        <v>26684</v>
      </c>
      <c r="H448" s="26">
        <v>20.5</v>
      </c>
      <c r="I448" s="5" t="s">
        <v>26685</v>
      </c>
      <c r="J448" s="5" t="s">
        <v>25842</v>
      </c>
      <c r="K448" s="5" t="s">
        <v>344</v>
      </c>
      <c r="L448" s="5" t="s">
        <v>26686</v>
      </c>
      <c r="M448" s="27"/>
      <c r="N448" s="5" t="s">
        <v>49795</v>
      </c>
      <c r="O448" s="5" t="str">
        <v>6165103200</v>
      </c>
      <c r="P448" s="27">
        <v>20918</v>
      </c>
      <c r="Q448" s="5" t="s">
        <v>49796</v>
      </c>
      <c r="R448" s="5"/>
      <c r="S448" s="5" t="s">
        <v>49797</v>
      </c>
      <c r="T448" s="28">
        <v>333982000</v>
      </c>
      <c r="U448" s="28"/>
      <c r="V448" s="28">
        <v>896592000</v>
      </c>
      <c r="W448" s="28"/>
      <c r="X448" s="28">
        <v>28733000</v>
      </c>
      <c r="Y448" s="28">
        <v>2862836000</v>
      </c>
      <c r="Z448" s="28">
        <v>1470910000</v>
      </c>
      <c r="AA448" s="28"/>
      <c r="AB448" s="28">
        <v>544241000</v>
      </c>
      <c r="AC448" s="28">
        <v>1341422000</v>
      </c>
      <c r="AD448" s="28">
        <v>1484695000</v>
      </c>
      <c r="AE448" s="28">
        <v>4217631000</v>
      </c>
      <c r="AF448" s="28">
        <v>454140000</v>
      </c>
      <c r="AG448" s="11"/>
    </row>
    <row r="449">
      <c r="A449" s="7" t="s">
        <v>2193</v>
      </c>
      <c r="B449" s="5" t="s">
        <v>10166</v>
      </c>
      <c r="C449" s="5" t="s">
        <v>18064</v>
      </c>
      <c r="D449" s="5" t="str">
        <v>550305232883</v>
      </c>
      <c r="E449" s="0" t="e">
        <f>+7 (381) 2433238
+7 (381) 2433239
+7 (381) 2433241
+7 (381) 2433240
+7 (381) 2433392</f>
        <v>#NAME?</v>
      </c>
      <c r="F449" s="5" t="s">
        <v>26687</v>
      </c>
      <c r="G449" s="5"/>
      <c r="H449" s="26">
        <v>14</v>
      </c>
      <c r="I449" s="5" t="s">
        <v>26688</v>
      </c>
      <c r="J449" s="5" t="s">
        <v>678</v>
      </c>
      <c r="K449" s="5" t="s">
        <v>344</v>
      </c>
      <c r="L449" s="5" t="s">
        <v>26689</v>
      </c>
      <c r="M449" s="27">
        <v>7368998</v>
      </c>
      <c r="N449" s="5"/>
      <c r="O449" s="5" t="str">
        <v>5507209087</v>
      </c>
      <c r="P449" s="27">
        <v>10000</v>
      </c>
      <c r="Q449" s="5" t="s">
        <v>49057</v>
      </c>
      <c r="R449" s="5"/>
      <c r="S449" s="5" t="s">
        <v>49101</v>
      </c>
      <c r="T449" s="28">
        <v>7048000</v>
      </c>
      <c r="U449" s="28"/>
      <c r="V449" s="28">
        <v>1027471000</v>
      </c>
      <c r="W449" s="28"/>
      <c r="X449" s="28">
        <v>121503000</v>
      </c>
      <c r="Y449" s="28">
        <v>1158516000</v>
      </c>
      <c r="Z449" s="28">
        <v>371155000</v>
      </c>
      <c r="AA449" s="28"/>
      <c r="AB449" s="28">
        <v>44000</v>
      </c>
      <c r="AC449" s="28">
        <v>782961000</v>
      </c>
      <c r="AD449" s="28">
        <v>371165000</v>
      </c>
      <c r="AE449" s="28">
        <v>10761910000</v>
      </c>
      <c r="AF449" s="28">
        <v>64075000</v>
      </c>
      <c r="AG449" s="11"/>
    </row>
    <row r="450">
      <c r="A450" s="7" t="s">
        <v>2193</v>
      </c>
      <c r="B450" s="5" t="s">
        <v>10167</v>
      </c>
      <c r="C450" s="5" t="s">
        <v>18065</v>
      </c>
      <c r="D450" s="5" t="str">
        <v>360503534679</v>
      </c>
      <c r="E450" s="0" t="e">
        <f>+7 (905) 434635</f>
        <v>#NAME?</v>
      </c>
      <c r="F450" s="5" t="s">
        <v>26690</v>
      </c>
      <c r="G450" s="5" t="s">
        <v>26691</v>
      </c>
      <c r="H450" s="26">
        <v>8</v>
      </c>
      <c r="I450" s="5" t="s">
        <v>26692</v>
      </c>
      <c r="J450" s="5" t="s">
        <v>25812</v>
      </c>
      <c r="K450" s="5" t="s">
        <v>344</v>
      </c>
      <c r="L450" s="5" t="s">
        <v>26693</v>
      </c>
      <c r="M450" s="27"/>
      <c r="N450" s="5"/>
      <c r="O450" s="5" t="str">
        <v>3663065801</v>
      </c>
      <c r="P450" s="27">
        <v>10500</v>
      </c>
      <c r="Q450" s="5" t="s">
        <v>49009</v>
      </c>
      <c r="R450" s="5"/>
      <c r="S450" s="5" t="s">
        <v>49066</v>
      </c>
      <c r="T450" s="28">
        <v>583775000</v>
      </c>
      <c r="U450" s="28"/>
      <c r="V450" s="28">
        <v>1667455000</v>
      </c>
      <c r="W450" s="28">
        <v>3150000</v>
      </c>
      <c r="X450" s="28">
        <v>13516000</v>
      </c>
      <c r="Y450" s="28">
        <v>2871050000</v>
      </c>
      <c r="Z450" s="28">
        <v>235664000</v>
      </c>
      <c r="AA450" s="28">
        <v>2469450000</v>
      </c>
      <c r="AB450" s="28"/>
      <c r="AC450" s="28">
        <v>162443000</v>
      </c>
      <c r="AD450" s="28">
        <v>235675000</v>
      </c>
      <c r="AE450" s="28">
        <v>3642605000</v>
      </c>
      <c r="AF450" s="28">
        <v>77652000</v>
      </c>
      <c r="AG450" s="11"/>
    </row>
    <row r="451">
      <c r="A451" s="7" t="s">
        <v>2193</v>
      </c>
      <c r="B451" s="5" t="s">
        <v>10168</v>
      </c>
      <c r="C451" s="5" t="s">
        <v>18066</v>
      </c>
      <c r="D451" s="5" t="str">
        <v>780223253615</v>
      </c>
      <c r="E451" s="0" t="e">
        <f>+7 (495) 9567937
+7 (812) 3092922
+7 (812) 4201238
+7 (912) 3094201
+7 (926) 8278285
+7 (812) 3094201
+7 (812) 3271043
+7 (812) 5423534
+7 (812) 5423647
+7 (911) 9113600</f>
        <v>#NAME?</v>
      </c>
      <c r="F451" s="5" t="s">
        <v>26694</v>
      </c>
      <c r="G451" s="5" t="s">
        <v>26695</v>
      </c>
      <c r="H451" s="26">
        <v>26</v>
      </c>
      <c r="I451" s="5" t="s">
        <v>26696</v>
      </c>
      <c r="J451" s="5" t="s">
        <v>25429</v>
      </c>
      <c r="K451" s="5" t="s">
        <v>344</v>
      </c>
      <c r="L451" s="5" t="s">
        <v>26697</v>
      </c>
      <c r="M451" s="27">
        <v>85703268</v>
      </c>
      <c r="N451" s="5" t="s">
        <v>49798</v>
      </c>
      <c r="O451" s="5" t="str">
        <v>7825377184</v>
      </c>
      <c r="P451" s="27">
        <v>97590000</v>
      </c>
      <c r="Q451" s="5" t="s">
        <v>49799</v>
      </c>
      <c r="R451" s="5"/>
      <c r="S451" s="5" t="s">
        <v>49800</v>
      </c>
      <c r="T451" s="28">
        <v>717158000</v>
      </c>
      <c r="U451" s="28">
        <v>446218000</v>
      </c>
      <c r="V451" s="28">
        <v>3904072000</v>
      </c>
      <c r="W451" s="28"/>
      <c r="X451" s="28">
        <v>7289000</v>
      </c>
      <c r="Y451" s="28">
        <v>9488404000</v>
      </c>
      <c r="Z451" s="28">
        <v>1285145000</v>
      </c>
      <c r="AA451" s="28">
        <v>1769776000</v>
      </c>
      <c r="AB451" s="28"/>
      <c r="AC451" s="28">
        <v>6150741000</v>
      </c>
      <c r="AD451" s="28">
        <v>1382735000</v>
      </c>
      <c r="AE451" s="28">
        <v>11639601000</v>
      </c>
      <c r="AF451" s="28">
        <v>275999000</v>
      </c>
      <c r="AG451" s="11"/>
    </row>
    <row r="452">
      <c r="A452" s="7" t="s">
        <v>2194</v>
      </c>
      <c r="B452" s="5" t="s">
        <v>10169</v>
      </c>
      <c r="C452" s="5" t="s">
        <v>18067</v>
      </c>
      <c r="D452" s="5" t="str">
        <v>370258509571</v>
      </c>
      <c r="E452" s="0" t="e">
        <f>+7 (493) 2353505</f>
        <v>#NAME?</v>
      </c>
      <c r="F452" s="5" t="s">
        <v>26698</v>
      </c>
      <c r="G452" s="5"/>
      <c r="H452" s="26">
        <v>7.5</v>
      </c>
      <c r="I452" s="5" t="s">
        <v>26699</v>
      </c>
      <c r="J452" s="5" t="s">
        <v>26367</v>
      </c>
      <c r="K452" s="5" t="s">
        <v>344</v>
      </c>
      <c r="L452" s="5" t="s">
        <v>26700</v>
      </c>
      <c r="M452" s="27"/>
      <c r="N452" s="5"/>
      <c r="O452" s="5" t="str">
        <v>3702109607</v>
      </c>
      <c r="P452" s="27">
        <v>10000000</v>
      </c>
      <c r="Q452" s="5" t="s">
        <v>49059</v>
      </c>
      <c r="R452" s="5"/>
      <c r="S452" s="5" t="s">
        <v>49010</v>
      </c>
      <c r="T452" s="28">
        <v>7449000</v>
      </c>
      <c r="U452" s="28"/>
      <c r="V452" s="28">
        <v>597939000</v>
      </c>
      <c r="W452" s="28">
        <v>70000000</v>
      </c>
      <c r="X452" s="28">
        <v>25975000</v>
      </c>
      <c r="Y452" s="28">
        <v>1095069000</v>
      </c>
      <c r="Z452" s="28">
        <v>30976000</v>
      </c>
      <c r="AA452" s="28">
        <v>353642000</v>
      </c>
      <c r="AB452" s="28"/>
      <c r="AC452" s="28">
        <v>630451000</v>
      </c>
      <c r="AD452" s="28">
        <v>110976000</v>
      </c>
      <c r="AE452" s="28">
        <v>3036109000</v>
      </c>
      <c r="AF452" s="28">
        <v>4008000</v>
      </c>
      <c r="AG452" s="11"/>
    </row>
    <row r="453">
      <c r="A453" s="7" t="s">
        <v>2195</v>
      </c>
      <c r="B453" s="5" t="s">
        <v>10170</v>
      </c>
      <c r="C453" s="5" t="s">
        <v>18068</v>
      </c>
      <c r="D453" s="5" t="str">
        <v>782512721506</v>
      </c>
      <c r="E453" s="0" t="e">
        <f>+7 (921) 3584492
+7 (812) 2444567
+7 (812) 9290227
+7 (921) 3574055
+7 (921) 3714055
+7 (921) 9458625</f>
        <v>#NAME?</v>
      </c>
      <c r="F453" s="5" t="s">
        <v>26701</v>
      </c>
      <c r="G453" s="5" t="s">
        <v>26702</v>
      </c>
      <c r="H453" s="26">
        <v>14</v>
      </c>
      <c r="I453" s="5" t="s">
        <v>26703</v>
      </c>
      <c r="J453" s="5" t="s">
        <v>467</v>
      </c>
      <c r="K453" s="5" t="s">
        <v>344</v>
      </c>
      <c r="L453" s="5" t="s">
        <v>26704</v>
      </c>
      <c r="M453" s="27"/>
      <c r="N453" s="5"/>
      <c r="O453" s="5" t="str">
        <v>7814437339</v>
      </c>
      <c r="P453" s="27">
        <v>500000</v>
      </c>
      <c r="Q453" s="5" t="s">
        <v>49801</v>
      </c>
      <c r="R453" s="5"/>
      <c r="S453" s="5" t="s">
        <v>49802</v>
      </c>
      <c r="T453" s="28">
        <v>10017000</v>
      </c>
      <c r="U453" s="28"/>
      <c r="V453" s="28">
        <v>837431000</v>
      </c>
      <c r="W453" s="28">
        <v>38750000</v>
      </c>
      <c r="X453" s="28">
        <v>115324000</v>
      </c>
      <c r="Y453" s="28">
        <v>1113559000</v>
      </c>
      <c r="Z453" s="28">
        <v>20098000</v>
      </c>
      <c r="AA453" s="28"/>
      <c r="AB453" s="28"/>
      <c r="AC453" s="28">
        <v>1092624000</v>
      </c>
      <c r="AD453" s="28">
        <v>20598000</v>
      </c>
      <c r="AE453" s="28">
        <v>4341417000</v>
      </c>
      <c r="AF453" s="28">
        <v>11943000</v>
      </c>
      <c r="AG453" s="11"/>
    </row>
    <row r="454">
      <c r="A454" s="7" t="s">
        <v>2196</v>
      </c>
      <c r="B454" s="5" t="s">
        <v>10171</v>
      </c>
      <c r="C454" s="5" t="s">
        <v>18069</v>
      </c>
      <c r="D454" s="5" t="str">
        <v>519030320149</v>
      </c>
      <c r="E454" s="0" t="e">
        <f>+7 (815) 2273922</f>
        <v>#NAME?</v>
      </c>
      <c r="F454" s="5" t="s">
        <v>26705</v>
      </c>
      <c r="G454" s="5"/>
      <c r="H454" s="26">
        <v>11</v>
      </c>
      <c r="I454" s="5"/>
      <c r="J454" s="5" t="s">
        <v>26424</v>
      </c>
      <c r="K454" s="5" t="s">
        <v>344</v>
      </c>
      <c r="L454" s="5" t="s">
        <v>26706</v>
      </c>
      <c r="M454" s="27">
        <v>333414</v>
      </c>
      <c r="N454" s="5"/>
      <c r="O454" s="5" t="str">
        <v>1018005330</v>
      </c>
      <c r="P454" s="27">
        <v>7625626</v>
      </c>
      <c r="Q454" s="5" t="s">
        <v>49009</v>
      </c>
      <c r="R454" s="5" t="s">
        <v>49803</v>
      </c>
      <c r="S454" s="5" t="s">
        <v>49010</v>
      </c>
      <c r="T454" s="28">
        <v>3385849000</v>
      </c>
      <c r="U454" s="28">
        <v>3787995000</v>
      </c>
      <c r="V454" s="28">
        <v>4493525000</v>
      </c>
      <c r="W454" s="28">
        <v>10000</v>
      </c>
      <c r="X454" s="28">
        <v>2383461000</v>
      </c>
      <c r="Y454" s="28">
        <v>14397534000</v>
      </c>
      <c r="Z454" s="28">
        <v>3697188000</v>
      </c>
      <c r="AA454" s="28">
        <v>7838127000</v>
      </c>
      <c r="AB454" s="28">
        <v>924020000</v>
      </c>
      <c r="AC454" s="28">
        <v>2106701000</v>
      </c>
      <c r="AD454" s="28">
        <v>3789775000</v>
      </c>
      <c r="AE454" s="28">
        <v>4522682000</v>
      </c>
      <c r="AF454" s="28">
        <v>674134000</v>
      </c>
      <c r="AG454" s="11"/>
    </row>
    <row r="455">
      <c r="A455" s="7" t="s">
        <v>2197</v>
      </c>
      <c r="B455" s="5" t="s">
        <v>10172</v>
      </c>
      <c r="C455" s="5" t="s">
        <v>18070</v>
      </c>
      <c r="D455" s="5" t="str">
        <v>673200964224</v>
      </c>
      <c r="E455" s="0" t="e">
        <f>+7 (950) 7009905</f>
        <v>#NAME?</v>
      </c>
      <c r="F455" s="5" t="s">
        <v>26707</v>
      </c>
      <c r="G455" s="5"/>
      <c r="H455" s="26">
        <v>2</v>
      </c>
      <c r="I455" s="5" t="s">
        <v>26708</v>
      </c>
      <c r="J455" s="5" t="s">
        <v>25327</v>
      </c>
      <c r="K455" s="5" t="s">
        <v>344</v>
      </c>
      <c r="L455" s="5"/>
      <c r="M455" s="27"/>
      <c r="N455" s="5"/>
      <c r="O455" s="5" t="str">
        <v>6732208456</v>
      </c>
      <c r="P455" s="27">
        <v>10000</v>
      </c>
      <c r="Q455" s="5" t="s">
        <v>49059</v>
      </c>
      <c r="R455" s="5"/>
      <c r="S455" s="5" t="s">
        <v>49029</v>
      </c>
      <c r="T455" s="28"/>
      <c r="U455" s="28"/>
      <c r="V455" s="28">
        <v>959647000</v>
      </c>
      <c r="W455" s="28"/>
      <c r="X455" s="28">
        <v>2854000</v>
      </c>
      <c r="Y455" s="28">
        <v>1486592000</v>
      </c>
      <c r="Z455" s="28">
        <v>35302000</v>
      </c>
      <c r="AA455" s="28">
        <v>1348654000</v>
      </c>
      <c r="AB455" s="28">
        <v>5595000</v>
      </c>
      <c r="AC455" s="28">
        <v>102626000</v>
      </c>
      <c r="AD455" s="28">
        <v>35312000</v>
      </c>
      <c r="AE455" s="28">
        <v>6215156000</v>
      </c>
      <c r="AF455" s="28">
        <v>30694000</v>
      </c>
      <c r="AG455" s="11"/>
    </row>
    <row r="456">
      <c r="A456" s="7" t="s">
        <v>2197</v>
      </c>
      <c r="B456" s="5" t="s">
        <v>10173</v>
      </c>
      <c r="C456" s="5" t="s">
        <v>18071</v>
      </c>
      <c r="D456" s="5" t="str">
        <v>504410012890</v>
      </c>
      <c r="E456" s="0" t="e">
        <f>+7 (812) 6664105</f>
        <v>#NAME?</v>
      </c>
      <c r="F456" s="5" t="s">
        <v>26709</v>
      </c>
      <c r="G456" s="5"/>
      <c r="H456" s="26">
        <v>4.5</v>
      </c>
      <c r="I456" s="5" t="s">
        <v>26710</v>
      </c>
      <c r="J456" s="5" t="s">
        <v>585</v>
      </c>
      <c r="K456" s="5" t="s">
        <v>344</v>
      </c>
      <c r="L456" s="5" t="s">
        <v>26711</v>
      </c>
      <c r="M456" s="27">
        <v>1043706</v>
      </c>
      <c r="N456" s="5"/>
      <c r="O456" s="5" t="str">
        <v>5024185906</v>
      </c>
      <c r="P456" s="27">
        <v>500000</v>
      </c>
      <c r="Q456" s="5" t="s">
        <v>49009</v>
      </c>
      <c r="R456" s="5"/>
      <c r="S456" s="5" t="s">
        <v>49010</v>
      </c>
      <c r="T456" s="28">
        <v>20787000</v>
      </c>
      <c r="U456" s="28"/>
      <c r="V456" s="28">
        <v>577371000</v>
      </c>
      <c r="W456" s="28"/>
      <c r="X456" s="28">
        <v>1282000</v>
      </c>
      <c r="Y456" s="28">
        <v>680099000</v>
      </c>
      <c r="Z456" s="28">
        <v>420546000</v>
      </c>
      <c r="AA456" s="28"/>
      <c r="AB456" s="28"/>
      <c r="AC456" s="28">
        <v>246849000</v>
      </c>
      <c r="AD456" s="28">
        <v>421046000</v>
      </c>
      <c r="AE456" s="28">
        <v>3113081000</v>
      </c>
      <c r="AF456" s="28">
        <v>250605000</v>
      </c>
      <c r="AG456" s="11"/>
    </row>
    <row r="457">
      <c r="A457" s="7" t="s">
        <v>2198</v>
      </c>
      <c r="B457" s="5" t="s">
        <v>10174</v>
      </c>
      <c r="C457" s="5" t="s">
        <v>18072</v>
      </c>
      <c r="D457" s="5" t="str">
        <v>222509038055</v>
      </c>
      <c r="E457" s="0" t="e">
        <f>+7 (385) 2259733
+7 (385) 2299758
+7 (385) 2548301
+7 (385) 2548333
+7 (385) 2556650
+7 (385) 2601820
+7 (385) 2717024
+7 (385) 2717025
+7 (38532) 45555
+7 (38532) 45757
+7 (38532) 61291
+7 (38532) 61440
+7 (38532) 61500
+7 (38532) 61502
+7 (3854) 555510</f>
        <v>#NAME?</v>
      </c>
      <c r="F457" s="5" t="s">
        <v>26712</v>
      </c>
      <c r="G457" s="5" t="s">
        <v>26713</v>
      </c>
      <c r="H457" s="26">
        <v>15</v>
      </c>
      <c r="I457" s="5" t="s">
        <v>26714</v>
      </c>
      <c r="J457" s="5" t="s">
        <v>25190</v>
      </c>
      <c r="K457" s="5" t="s">
        <v>344</v>
      </c>
      <c r="L457" s="5" t="s">
        <v>26715</v>
      </c>
      <c r="M457" s="27"/>
      <c r="N457" s="5" t="s">
        <v>49804</v>
      </c>
      <c r="O457" s="5" t="str">
        <v>2208015955</v>
      </c>
      <c r="P457" s="27">
        <v>1000000</v>
      </c>
      <c r="Q457" s="5" t="s">
        <v>49579</v>
      </c>
      <c r="R457" s="5"/>
      <c r="S457" s="5" t="s">
        <v>49805</v>
      </c>
      <c r="T457" s="28">
        <v>683812000</v>
      </c>
      <c r="U457" s="28"/>
      <c r="V457" s="28">
        <v>108520000</v>
      </c>
      <c r="W457" s="28"/>
      <c r="X457" s="28">
        <v>39383000</v>
      </c>
      <c r="Y457" s="28">
        <v>1301576000</v>
      </c>
      <c r="Z457" s="28">
        <v>347159000</v>
      </c>
      <c r="AA457" s="28">
        <v>118470000</v>
      </c>
      <c r="AB457" s="28">
        <v>437000</v>
      </c>
      <c r="AC457" s="28">
        <v>297449000</v>
      </c>
      <c r="AD457" s="28">
        <v>348159000</v>
      </c>
      <c r="AE457" s="28">
        <v>3542985000</v>
      </c>
      <c r="AF457" s="28">
        <v>78317000</v>
      </c>
      <c r="AG457" s="11"/>
    </row>
    <row r="458">
      <c r="A458" s="7" t="s">
        <v>2199</v>
      </c>
      <c r="B458" s="5" t="s">
        <v>10175</v>
      </c>
      <c r="C458" s="5" t="s">
        <v>18073</v>
      </c>
      <c r="D458" s="5" t="str">
        <v>773576699971</v>
      </c>
      <c r="E458" s="0" t="e">
        <f>+7 (499) 7359640
+7 (499) 1167067</f>
        <v>#NAME?</v>
      </c>
      <c r="F458" s="5" t="s">
        <v>26716</v>
      </c>
      <c r="G458" s="5"/>
      <c r="H458" s="26">
        <v>6.5</v>
      </c>
      <c r="I458" s="5" t="s">
        <v>26717</v>
      </c>
      <c r="J458" s="5" t="s">
        <v>364</v>
      </c>
      <c r="K458" s="5" t="s">
        <v>344</v>
      </c>
      <c r="L458" s="5" t="s">
        <v>26718</v>
      </c>
      <c r="M458" s="27">
        <v>35857641</v>
      </c>
      <c r="N458" s="5" t="s">
        <v>49806</v>
      </c>
      <c r="O458" s="5" t="str">
        <v>9705078980</v>
      </c>
      <c r="P458" s="27">
        <v>100000000</v>
      </c>
      <c r="Q458" s="5" t="s">
        <v>49807</v>
      </c>
      <c r="R458" s="5" t="s">
        <v>49808</v>
      </c>
      <c r="S458" s="5" t="s">
        <v>49809</v>
      </c>
      <c r="T458" s="28">
        <v>6398000</v>
      </c>
      <c r="U458" s="28"/>
      <c r="V458" s="28">
        <v>3831674000</v>
      </c>
      <c r="W458" s="28">
        <v>170000000</v>
      </c>
      <c r="X458" s="28">
        <v>68941000</v>
      </c>
      <c r="Y458" s="28">
        <v>4263481000</v>
      </c>
      <c r="Z458" s="28">
        <v>702052000</v>
      </c>
      <c r="AA458" s="28"/>
      <c r="AB458" s="28">
        <v>223223000</v>
      </c>
      <c r="AC458" s="28">
        <v>3445617000</v>
      </c>
      <c r="AD458" s="28">
        <v>802052000</v>
      </c>
      <c r="AE458" s="28">
        <v>4163046000</v>
      </c>
      <c r="AF458" s="28">
        <v>232314000</v>
      </c>
      <c r="AG458" s="11"/>
    </row>
    <row r="459">
      <c r="A459" s="7" t="s">
        <v>2200</v>
      </c>
      <c r="B459" s="5" t="s">
        <v>10176</v>
      </c>
      <c r="C459" s="5" t="s">
        <v>18074</v>
      </c>
      <c r="D459" s="5" t="str">
        <v>272109607710</v>
      </c>
      <c r="E459" s="0" t="e">
        <f>+7 (421) 2626998
+7 (421) 2633200
+7 (421) 2728440
+7 (962) 5026998</f>
        <v>#NAME?</v>
      </c>
      <c r="F459" s="5" t="s">
        <v>26719</v>
      </c>
      <c r="G459" s="5" t="s">
        <v>26720</v>
      </c>
      <c r="H459" s="26">
        <v>18</v>
      </c>
      <c r="I459" s="5" t="s">
        <v>26721</v>
      </c>
      <c r="J459" s="5" t="s">
        <v>373</v>
      </c>
      <c r="K459" s="5" t="s">
        <v>344</v>
      </c>
      <c r="L459" s="5" t="s">
        <v>26722</v>
      </c>
      <c r="M459" s="27"/>
      <c r="N459" s="5" t="s">
        <v>49810</v>
      </c>
      <c r="O459" s="5" t="str">
        <v>2721124292</v>
      </c>
      <c r="P459" s="27">
        <v>1010000</v>
      </c>
      <c r="Q459" s="5" t="s">
        <v>49811</v>
      </c>
      <c r="R459" s="5"/>
      <c r="S459" s="5" t="s">
        <v>49812</v>
      </c>
      <c r="T459" s="28">
        <v>6535000</v>
      </c>
      <c r="U459" s="28"/>
      <c r="V459" s="28">
        <v>176528000</v>
      </c>
      <c r="W459" s="28">
        <v>62500000</v>
      </c>
      <c r="X459" s="28">
        <v>9627000</v>
      </c>
      <c r="Y459" s="28">
        <v>332486000</v>
      </c>
      <c r="Z459" s="28">
        <v>216813000</v>
      </c>
      <c r="AA459" s="28"/>
      <c r="AB459" s="28">
        <v>3106000</v>
      </c>
      <c r="AC459" s="28">
        <v>114507000</v>
      </c>
      <c r="AD459" s="28">
        <v>217975000</v>
      </c>
      <c r="AE459" s="28">
        <v>3067452000</v>
      </c>
      <c r="AF459" s="28">
        <v>55200000</v>
      </c>
      <c r="AG459" s="11"/>
    </row>
    <row r="460">
      <c r="A460" s="7" t="s">
        <v>2201</v>
      </c>
      <c r="B460" s="5" t="s">
        <v>10177</v>
      </c>
      <c r="C460" s="5" t="s">
        <v>18075</v>
      </c>
      <c r="D460" s="5" t="str">
        <v>504310583427</v>
      </c>
      <c r="E460" s="0" t="e">
        <f>+7 (3512) 675051</f>
        <v>#NAME?</v>
      </c>
      <c r="F460" s="5" t="s">
        <v>26723</v>
      </c>
      <c r="G460" s="5"/>
      <c r="H460" s="26">
        <v>8.5</v>
      </c>
      <c r="I460" s="5" t="s">
        <v>26724</v>
      </c>
      <c r="J460" s="5" t="s">
        <v>26655</v>
      </c>
      <c r="K460" s="5" t="s">
        <v>344</v>
      </c>
      <c r="L460" s="5" t="s">
        <v>26725</v>
      </c>
      <c r="M460" s="27">
        <v>1545746</v>
      </c>
      <c r="N460" s="5" t="s">
        <v>49813</v>
      </c>
      <c r="O460" s="5" t="str">
        <v>3327122348</v>
      </c>
      <c r="P460" s="27">
        <v>1000000</v>
      </c>
      <c r="Q460" s="5"/>
      <c r="R460" s="5"/>
      <c r="S460" s="5" t="s">
        <v>49110</v>
      </c>
      <c r="T460" s="28">
        <v>2098050000</v>
      </c>
      <c r="U460" s="28"/>
      <c r="V460" s="28">
        <v>42323000</v>
      </c>
      <c r="W460" s="28"/>
      <c r="X460" s="28">
        <v>837393000</v>
      </c>
      <c r="Y460" s="28">
        <v>6167349000</v>
      </c>
      <c r="Z460" s="28">
        <v>562473000</v>
      </c>
      <c r="AA460" s="28"/>
      <c r="AB460" s="28"/>
      <c r="AC460" s="28">
        <v>3842596000</v>
      </c>
      <c r="AD460" s="28">
        <v>563473000</v>
      </c>
      <c r="AE460" s="28">
        <v>45816037000</v>
      </c>
      <c r="AF460" s="28">
        <v>2643197000</v>
      </c>
      <c r="AG460" s="11"/>
    </row>
    <row r="461">
      <c r="A461" s="7" t="s">
        <v>2202</v>
      </c>
      <c r="B461" s="5" t="s">
        <v>10178</v>
      </c>
      <c r="C461" s="5" t="s">
        <v>18076</v>
      </c>
      <c r="D461" s="5" t="str">
        <v>632206221524</v>
      </c>
      <c r="E461" s="0" t="e">
        <f>+7 (495) 5105004
+7 (926) 7043415</f>
        <v>#NAME?</v>
      </c>
      <c r="F461" s="5"/>
      <c r="G461" s="5" t="s">
        <v>26726</v>
      </c>
      <c r="H461" s="26">
        <v>5</v>
      </c>
      <c r="I461" s="5" t="s">
        <v>26727</v>
      </c>
      <c r="J461" s="5" t="s">
        <v>25353</v>
      </c>
      <c r="K461" s="5" t="s">
        <v>344</v>
      </c>
      <c r="L461" s="5" t="s">
        <v>26728</v>
      </c>
      <c r="M461" s="27">
        <v>1356278</v>
      </c>
      <c r="N461" s="5"/>
      <c r="O461" s="5" t="str">
        <v>9721061415</v>
      </c>
      <c r="P461" s="27">
        <v>300000</v>
      </c>
      <c r="Q461" s="5" t="s">
        <v>49009</v>
      </c>
      <c r="R461" s="5"/>
      <c r="S461" s="5" t="s">
        <v>49814</v>
      </c>
      <c r="T461" s="28">
        <v>257793000</v>
      </c>
      <c r="U461" s="28"/>
      <c r="V461" s="28">
        <v>860250000</v>
      </c>
      <c r="W461" s="28"/>
      <c r="X461" s="28">
        <v>50775000</v>
      </c>
      <c r="Y461" s="28">
        <v>1493654000</v>
      </c>
      <c r="Z461" s="28">
        <v>238493000</v>
      </c>
      <c r="AA461" s="28"/>
      <c r="AB461" s="28"/>
      <c r="AC461" s="28">
        <v>968534000</v>
      </c>
      <c r="AD461" s="28">
        <v>238793000</v>
      </c>
      <c r="AE461" s="28">
        <v>6915682000</v>
      </c>
      <c r="AF461" s="28">
        <v>96093000</v>
      </c>
      <c r="AG461" s="11"/>
    </row>
    <row r="462">
      <c r="A462" s="7" t="s">
        <v>2203</v>
      </c>
      <c r="B462" s="5" t="s">
        <v>10179</v>
      </c>
      <c r="C462" s="5" t="s">
        <v>18077</v>
      </c>
      <c r="D462" s="5"/>
      <c r="E462" s="0" t="e">
        <f>+7 (343) 3747020
+7 (34350) 20228</f>
        <v>#NAME?</v>
      </c>
      <c r="F462" s="5" t="s">
        <v>26729</v>
      </c>
      <c r="G462" s="5"/>
      <c r="H462" s="26">
        <v>14.5</v>
      </c>
      <c r="I462" s="5" t="s">
        <v>26730</v>
      </c>
      <c r="J462" s="5" t="s">
        <v>26165</v>
      </c>
      <c r="K462" s="5" t="s">
        <v>355</v>
      </c>
      <c r="L462" s="5" t="s">
        <v>749</v>
      </c>
      <c r="M462" s="27">
        <v>48251</v>
      </c>
      <c r="N462" s="5"/>
      <c r="O462" s="5" t="str">
        <v>6673189456</v>
      </c>
      <c r="P462" s="27">
        <v>30000</v>
      </c>
      <c r="Q462" s="5" t="s">
        <v>49059</v>
      </c>
      <c r="R462" s="5" t="s">
        <v>49815</v>
      </c>
      <c r="S462" s="5" t="s">
        <v>49110</v>
      </c>
      <c r="T462" s="28">
        <v>1861707000</v>
      </c>
      <c r="U462" s="28">
        <v>932414000</v>
      </c>
      <c r="V462" s="28">
        <v>475481000</v>
      </c>
      <c r="W462" s="28"/>
      <c r="X462" s="28">
        <v>165078000</v>
      </c>
      <c r="Y462" s="28">
        <v>5180036000</v>
      </c>
      <c r="Z462" s="28">
        <v>237101000</v>
      </c>
      <c r="AA462" s="28"/>
      <c r="AB462" s="28"/>
      <c r="AC462" s="28">
        <v>3108654000</v>
      </c>
      <c r="AD462" s="28">
        <v>237131000</v>
      </c>
      <c r="AE462" s="28">
        <v>11937791000</v>
      </c>
      <c r="AF462" s="28">
        <v>389797000</v>
      </c>
      <c r="AG462" s="11"/>
    </row>
    <row r="463">
      <c r="A463" s="7" t="s">
        <v>2204</v>
      </c>
      <c r="B463" s="5" t="s">
        <v>10180</v>
      </c>
      <c r="C463" s="5" t="s">
        <v>18078</v>
      </c>
      <c r="D463" s="5" t="str">
        <v>771974343064</v>
      </c>
      <c r="E463" s="0" t="e">
        <f>+7 (3412) 720009
+7 (3512) 102202</f>
        <v>#NAME?</v>
      </c>
      <c r="F463" s="5"/>
      <c r="G463" s="5"/>
      <c r="H463" s="26">
        <v>10.5</v>
      </c>
      <c r="I463" s="5" t="s">
        <v>26724</v>
      </c>
      <c r="J463" s="5" t="s">
        <v>26655</v>
      </c>
      <c r="K463" s="5" t="s">
        <v>344</v>
      </c>
      <c r="L463" s="5"/>
      <c r="M463" s="27">
        <v>56661</v>
      </c>
      <c r="N463" s="5"/>
      <c r="O463" s="5" t="str">
        <v>1840011810</v>
      </c>
      <c r="P463" s="27">
        <v>1000000</v>
      </c>
      <c r="Q463" s="5"/>
      <c r="R463" s="5"/>
      <c r="S463" s="5" t="s">
        <v>49110</v>
      </c>
      <c r="T463" s="28">
        <v>204508000</v>
      </c>
      <c r="U463" s="28"/>
      <c r="V463" s="28">
        <v>2310000</v>
      </c>
      <c r="W463" s="28"/>
      <c r="X463" s="28">
        <v>73811000</v>
      </c>
      <c r="Y463" s="28">
        <v>602698000</v>
      </c>
      <c r="Z463" s="28">
        <v>96311000</v>
      </c>
      <c r="AA463" s="28"/>
      <c r="AB463" s="28"/>
      <c r="AC463" s="28">
        <v>301752000</v>
      </c>
      <c r="AD463" s="28">
        <v>97311000</v>
      </c>
      <c r="AE463" s="28">
        <v>3855040000</v>
      </c>
      <c r="AF463" s="28">
        <v>149845000</v>
      </c>
      <c r="AG463" s="11"/>
    </row>
    <row r="464">
      <c r="A464" s="7" t="s">
        <v>2205</v>
      </c>
      <c r="B464" s="5" t="s">
        <v>10181</v>
      </c>
      <c r="C464" s="5" t="s">
        <v>18079</v>
      </c>
      <c r="D464" s="5" t="str">
        <v>772772190931</v>
      </c>
      <c r="E464" s="0" t="e">
        <f>+7 (495) 2322590
+7 (495) 2323372
+7 (495) 2321250
+7 (495) 2321275
+7 (495) 2321306
+7 (495) 2321310
+7 (495) 2321322
+7 (495) 2321350
+7 (495) 2322372
+7 (495) 2322461
+7 (495) 2322573
+7 (495) 2322595
+7 (495) 5157598
+7 (495) 5159322
+7 (495) 5159328</f>
        <v>#NAME?</v>
      </c>
      <c r="F464" s="5" t="s">
        <v>26731</v>
      </c>
      <c r="G464" s="5" t="s">
        <v>26732</v>
      </c>
      <c r="H464" s="26">
        <v>23</v>
      </c>
      <c r="I464" s="5"/>
      <c r="J464" s="5" t="s">
        <v>26733</v>
      </c>
      <c r="K464" s="5" t="s">
        <v>344</v>
      </c>
      <c r="L464" s="5" t="s">
        <v>26734</v>
      </c>
      <c r="M464" s="27">
        <v>29886950</v>
      </c>
      <c r="N464" s="5" t="s">
        <v>49816</v>
      </c>
      <c r="O464" s="5" t="str">
        <v>5018035564</v>
      </c>
      <c r="P464" s="27">
        <v>31093100</v>
      </c>
      <c r="Q464" s="5" t="s">
        <v>49817</v>
      </c>
      <c r="R464" s="5"/>
      <c r="S464" s="5" t="s">
        <v>49818</v>
      </c>
      <c r="T464" s="28">
        <v>321016000</v>
      </c>
      <c r="U464" s="28"/>
      <c r="V464" s="28">
        <v>381046000</v>
      </c>
      <c r="W464" s="28"/>
      <c r="X464" s="28">
        <v>797416000</v>
      </c>
      <c r="Y464" s="28">
        <v>2235938000</v>
      </c>
      <c r="Z464" s="28">
        <v>653692000</v>
      </c>
      <c r="AA464" s="28"/>
      <c r="AB464" s="28"/>
      <c r="AC464" s="28">
        <v>1400241000</v>
      </c>
      <c r="AD464" s="28">
        <v>694654000</v>
      </c>
      <c r="AE464" s="28">
        <v>3122443000</v>
      </c>
      <c r="AF464" s="28">
        <v>-243160000</v>
      </c>
      <c r="AG464" s="11"/>
    </row>
    <row r="465">
      <c r="A465" s="7" t="s">
        <v>2206</v>
      </c>
      <c r="B465" s="5" t="s">
        <v>10182</v>
      </c>
      <c r="C465" s="5" t="s">
        <v>18080</v>
      </c>
      <c r="D465" s="5" t="str">
        <v>026203130601</v>
      </c>
      <c r="E465" s="0" t="e">
        <f>+7 (35326) 70837
+7 (35335) 21276
+7 (35376) 20089
+7 (35376) 79585</f>
        <v>#NAME?</v>
      </c>
      <c r="F465" s="5" t="s">
        <v>26735</v>
      </c>
      <c r="G465" s="5"/>
      <c r="H465" s="26">
        <v>10.5</v>
      </c>
      <c r="I465" s="5" t="s">
        <v>26736</v>
      </c>
      <c r="J465" s="5" t="s">
        <v>26655</v>
      </c>
      <c r="K465" s="5" t="s">
        <v>344</v>
      </c>
      <c r="L465" s="5" t="s">
        <v>26737</v>
      </c>
      <c r="M465" s="27"/>
      <c r="N465" s="5"/>
      <c r="O465" s="5" t="str">
        <v>5610146627</v>
      </c>
      <c r="P465" s="27">
        <v>200000</v>
      </c>
      <c r="Q465" s="5" t="s">
        <v>49059</v>
      </c>
      <c r="R465" s="5"/>
      <c r="S465" s="5" t="s">
        <v>49010</v>
      </c>
      <c r="T465" s="28">
        <v>311561000</v>
      </c>
      <c r="U465" s="28"/>
      <c r="V465" s="28">
        <v>93683000</v>
      </c>
      <c r="W465" s="28"/>
      <c r="X465" s="28">
        <v>167334000</v>
      </c>
      <c r="Y465" s="28">
        <v>1092283000</v>
      </c>
      <c r="Z465" s="28">
        <v>210757000</v>
      </c>
      <c r="AA465" s="28"/>
      <c r="AB465" s="28"/>
      <c r="AC465" s="28">
        <v>552729000</v>
      </c>
      <c r="AD465" s="28">
        <v>210957000</v>
      </c>
      <c r="AE465" s="28">
        <v>8363297000</v>
      </c>
      <c r="AF465" s="28">
        <v>610169000</v>
      </c>
      <c r="AG465" s="11"/>
    </row>
    <row r="466">
      <c r="A466" s="7" t="s">
        <v>2207</v>
      </c>
      <c r="B466" s="5" t="s">
        <v>10183</v>
      </c>
      <c r="C466" s="5" t="s">
        <v>18081</v>
      </c>
      <c r="D466" s="5" t="str">
        <v>771672599782</v>
      </c>
      <c r="E466" s="0" t="e">
        <f>+7 (3512) 102202</f>
        <v>#NAME?</v>
      </c>
      <c r="F466" s="5" t="s">
        <v>26738</v>
      </c>
      <c r="G466" s="5"/>
      <c r="H466" s="26">
        <v>8.5</v>
      </c>
      <c r="I466" s="5" t="s">
        <v>26739</v>
      </c>
      <c r="J466" s="5" t="s">
        <v>26655</v>
      </c>
      <c r="K466" s="5" t="s">
        <v>344</v>
      </c>
      <c r="L466" s="5"/>
      <c r="M466" s="27"/>
      <c r="N466" s="5"/>
      <c r="O466" s="5" t="str">
        <v>5837061167</v>
      </c>
      <c r="P466" s="27">
        <v>500000</v>
      </c>
      <c r="Q466" s="5" t="s">
        <v>49059</v>
      </c>
      <c r="R466" s="5"/>
      <c r="S466" s="5" t="s">
        <v>49110</v>
      </c>
      <c r="T466" s="28">
        <v>1016084000</v>
      </c>
      <c r="U466" s="28"/>
      <c r="V466" s="28">
        <v>6875000</v>
      </c>
      <c r="W466" s="28"/>
      <c r="X466" s="28">
        <v>412897000</v>
      </c>
      <c r="Y466" s="28">
        <v>3079853000</v>
      </c>
      <c r="Z466" s="28">
        <v>185598000</v>
      </c>
      <c r="AA466" s="28"/>
      <c r="AB466" s="28"/>
      <c r="AC466" s="28">
        <v>1871163000</v>
      </c>
      <c r="AD466" s="28">
        <v>186098000</v>
      </c>
      <c r="AE466" s="28">
        <v>21573646000</v>
      </c>
      <c r="AF466" s="28">
        <v>966996000</v>
      </c>
      <c r="AG466" s="11"/>
    </row>
    <row r="467">
      <c r="A467" s="7" t="s">
        <v>2208</v>
      </c>
      <c r="B467" s="5" t="s">
        <v>10184</v>
      </c>
      <c r="C467" s="5" t="s">
        <v>18082</v>
      </c>
      <c r="D467" s="5" t="str">
        <v>590772543980</v>
      </c>
      <c r="E467" s="0" t="e">
        <f>+7 (3422) 379515
+7 (34275) 32853
+7 (929) 2382067</f>
        <v>#NAME?</v>
      </c>
      <c r="F467" s="5" t="s">
        <v>26740</v>
      </c>
      <c r="G467" s="5"/>
      <c r="H467" s="26">
        <v>11</v>
      </c>
      <c r="I467" s="5" t="s">
        <v>26741</v>
      </c>
      <c r="J467" s="5" t="s">
        <v>26655</v>
      </c>
      <c r="K467" s="5" t="s">
        <v>344</v>
      </c>
      <c r="L467" s="5"/>
      <c r="M467" s="27">
        <v>9000</v>
      </c>
      <c r="N467" s="5"/>
      <c r="O467" s="5" t="str">
        <v>5906112048</v>
      </c>
      <c r="P467" s="27">
        <v>250000</v>
      </c>
      <c r="Q467" s="5"/>
      <c r="R467" s="5"/>
      <c r="S467" s="5" t="s">
        <v>49110</v>
      </c>
      <c r="T467" s="28">
        <v>202949000</v>
      </c>
      <c r="U467" s="28"/>
      <c r="V467" s="28">
        <v>9028000</v>
      </c>
      <c r="W467" s="28"/>
      <c r="X467" s="28">
        <v>94246000</v>
      </c>
      <c r="Y467" s="28">
        <v>679665000</v>
      </c>
      <c r="Z467" s="28">
        <v>87070000</v>
      </c>
      <c r="AA467" s="28"/>
      <c r="AB467" s="28"/>
      <c r="AC467" s="28">
        <v>375532000</v>
      </c>
      <c r="AD467" s="28">
        <v>87320000</v>
      </c>
      <c r="AE467" s="28">
        <v>5064940000</v>
      </c>
      <c r="AF467" s="28">
        <v>243652000</v>
      </c>
      <c r="AG467" s="11"/>
    </row>
    <row r="468">
      <c r="A468" s="7" t="s">
        <v>2209</v>
      </c>
      <c r="B468" s="5" t="s">
        <v>10185</v>
      </c>
      <c r="C468" s="5" t="s">
        <v>18083</v>
      </c>
      <c r="D468" s="5" t="str">
        <v>263406815370</v>
      </c>
      <c r="E468" s="0" t="e">
        <f>+7 (953) 7303071
+7 (932) 3074842</f>
        <v>#NAME?</v>
      </c>
      <c r="F468" s="5" t="s">
        <v>26742</v>
      </c>
      <c r="G468" s="5"/>
      <c r="H468" s="26">
        <v>8.5</v>
      </c>
      <c r="I468" s="5" t="s">
        <v>26724</v>
      </c>
      <c r="J468" s="5" t="s">
        <v>26655</v>
      </c>
      <c r="K468" s="5" t="s">
        <v>344</v>
      </c>
      <c r="L468" s="5" t="s">
        <v>26743</v>
      </c>
      <c r="M468" s="27">
        <v>3048830</v>
      </c>
      <c r="N468" s="5" t="s">
        <v>49813</v>
      </c>
      <c r="O468" s="5" t="str">
        <v>6234131659</v>
      </c>
      <c r="P468" s="27">
        <v>1000000</v>
      </c>
      <c r="Q468" s="5"/>
      <c r="R468" s="5"/>
      <c r="S468" s="5" t="s">
        <v>49110</v>
      </c>
      <c r="T468" s="28">
        <v>2321928000</v>
      </c>
      <c r="U468" s="28"/>
      <c r="V468" s="28">
        <v>46491000</v>
      </c>
      <c r="W468" s="28"/>
      <c r="X468" s="28">
        <v>922476000</v>
      </c>
      <c r="Y468" s="28">
        <v>6909881000</v>
      </c>
      <c r="Z468" s="28">
        <v>609392000</v>
      </c>
      <c r="AA468" s="28"/>
      <c r="AB468" s="28"/>
      <c r="AC468" s="28">
        <v>4341469000</v>
      </c>
      <c r="AD468" s="28">
        <v>610392000</v>
      </c>
      <c r="AE468" s="28">
        <v>51051745000</v>
      </c>
      <c r="AF468" s="28">
        <v>3014427000</v>
      </c>
      <c r="AG468" s="11"/>
    </row>
    <row r="469">
      <c r="A469" s="7" t="s">
        <v>2210</v>
      </c>
      <c r="B469" s="5" t="s">
        <v>10186</v>
      </c>
      <c r="C469" s="5" t="s">
        <v>18084</v>
      </c>
      <c r="D469" s="5" t="str">
        <v>660107252527</v>
      </c>
      <c r="E469" s="0" t="e">
        <f>+7 (343) 2230191</f>
        <v>#NAME?</v>
      </c>
      <c r="F469" s="5" t="s">
        <v>26744</v>
      </c>
      <c r="G469" s="5"/>
      <c r="H469" s="26">
        <v>11.5</v>
      </c>
      <c r="I469" s="5" t="s">
        <v>26745</v>
      </c>
      <c r="J469" s="5" t="s">
        <v>364</v>
      </c>
      <c r="K469" s="5" t="s">
        <v>344</v>
      </c>
      <c r="L469" s="5" t="s">
        <v>26746</v>
      </c>
      <c r="M469" s="27">
        <v>23003610</v>
      </c>
      <c r="N469" s="5" t="s">
        <v>49819</v>
      </c>
      <c r="O469" s="5" t="str">
        <v>6659222310</v>
      </c>
      <c r="P469" s="27">
        <v>10000</v>
      </c>
      <c r="Q469" s="5" t="s">
        <v>49820</v>
      </c>
      <c r="R469" s="5"/>
      <c r="S469" s="5" t="s">
        <v>49821</v>
      </c>
      <c r="T469" s="28">
        <v>251318000</v>
      </c>
      <c r="U469" s="28">
        <v>392650000</v>
      </c>
      <c r="V469" s="28">
        <v>4878313000</v>
      </c>
      <c r="W469" s="28">
        <v>79847000</v>
      </c>
      <c r="X469" s="28">
        <v>405418000</v>
      </c>
      <c r="Y469" s="28">
        <v>9119891000</v>
      </c>
      <c r="Z469" s="28">
        <v>299548000</v>
      </c>
      <c r="AA469" s="28"/>
      <c r="AB469" s="28"/>
      <c r="AC469" s="28">
        <v>8796743000</v>
      </c>
      <c r="AD469" s="28">
        <v>299558000</v>
      </c>
      <c r="AE469" s="28">
        <v>9677658000</v>
      </c>
      <c r="AF469" s="28">
        <v>136983000</v>
      </c>
      <c r="AG469" s="11"/>
    </row>
    <row r="470">
      <c r="A470" s="7" t="s">
        <v>2211</v>
      </c>
      <c r="B470" s="5" t="s">
        <v>10187</v>
      </c>
      <c r="C470" s="5" t="s">
        <v>18085</v>
      </c>
      <c r="D470" s="5" t="str">
        <v>504224556187</v>
      </c>
      <c r="E470" s="0" t="e">
        <f>+7 (499) 3712170
+7 (903) 5928380</f>
        <v>#NAME?</v>
      </c>
      <c r="F470" s="5" t="s">
        <v>26747</v>
      </c>
      <c r="G470" s="5" t="s">
        <v>26748</v>
      </c>
      <c r="H470" s="26">
        <v>30</v>
      </c>
      <c r="I470" s="5" t="s">
        <v>26749</v>
      </c>
      <c r="J470" s="5" t="s">
        <v>364</v>
      </c>
      <c r="K470" s="5" t="s">
        <v>344</v>
      </c>
      <c r="L470" s="5" t="s">
        <v>26750</v>
      </c>
      <c r="M470" s="27"/>
      <c r="N470" s="5"/>
      <c r="O470" s="5" t="str">
        <v>5032258410</v>
      </c>
      <c r="P470" s="27">
        <v>500000</v>
      </c>
      <c r="Q470" s="5" t="s">
        <v>49822</v>
      </c>
      <c r="R470" s="5"/>
      <c r="S470" s="5" t="s">
        <v>49823</v>
      </c>
      <c r="T470" s="28">
        <v>71465000</v>
      </c>
      <c r="U470" s="28"/>
      <c r="V470" s="28">
        <v>1189065000</v>
      </c>
      <c r="W470" s="28"/>
      <c r="X470" s="28">
        <v>12647000</v>
      </c>
      <c r="Y470" s="28">
        <v>1281222000</v>
      </c>
      <c r="Z470" s="28">
        <v>773151000</v>
      </c>
      <c r="AA470" s="28"/>
      <c r="AB470" s="28">
        <v>68918000</v>
      </c>
      <c r="AC470" s="28">
        <v>481682000</v>
      </c>
      <c r="AD470" s="28">
        <v>773651000</v>
      </c>
      <c r="AE470" s="28">
        <v>6158659000</v>
      </c>
      <c r="AF470" s="28">
        <v>425431000</v>
      </c>
      <c r="AG470" s="11"/>
    </row>
    <row r="471">
      <c r="A471" s="7" t="s">
        <v>2212</v>
      </c>
      <c r="B471" s="5" t="s">
        <v>10188</v>
      </c>
      <c r="C471" s="5" t="s">
        <v>18086</v>
      </c>
      <c r="D471" s="5" t="str">
        <v>772156576686</v>
      </c>
      <c r="F471" s="5"/>
      <c r="G471" s="5"/>
      <c r="H471" s="26">
        <v>7</v>
      </c>
      <c r="I471" s="5" t="s">
        <v>26751</v>
      </c>
      <c r="J471" s="5" t="s">
        <v>373</v>
      </c>
      <c r="K471" s="5" t="s">
        <v>355</v>
      </c>
      <c r="L471" s="5" t="s">
        <v>26752</v>
      </c>
      <c r="M471" s="27"/>
      <c r="N471" s="5"/>
      <c r="O471" s="5" t="str">
        <v>6164106688</v>
      </c>
      <c r="P471" s="27">
        <v>1000000</v>
      </c>
      <c r="Q471" s="5" t="s">
        <v>49057</v>
      </c>
      <c r="R471" s="5"/>
      <c r="S471" s="5" t="s">
        <v>49452</v>
      </c>
      <c r="T471" s="28">
        <v>11028037000</v>
      </c>
      <c r="U471" s="28"/>
      <c r="V471" s="28">
        <v>608605000</v>
      </c>
      <c r="W471" s="28">
        <v>114000000</v>
      </c>
      <c r="X471" s="28">
        <v>4110000</v>
      </c>
      <c r="Y471" s="28">
        <v>11898168000</v>
      </c>
      <c r="Z471" s="28">
        <v>159147000</v>
      </c>
      <c r="AA471" s="28">
        <v>713508000</v>
      </c>
      <c r="AB471" s="28">
        <v>1124116000</v>
      </c>
      <c r="AC471" s="28">
        <v>10501236000</v>
      </c>
      <c r="AD471" s="28">
        <v>651213000</v>
      </c>
      <c r="AE471" s="28">
        <v>4021232000</v>
      </c>
      <c r="AF471" s="28">
        <v>56275000</v>
      </c>
      <c r="AG471" s="11"/>
    </row>
    <row r="472">
      <c r="A472" s="7" t="s">
        <v>2213</v>
      </c>
      <c r="B472" s="5" t="s">
        <v>10189</v>
      </c>
      <c r="C472" s="5" t="s">
        <v>18087</v>
      </c>
      <c r="D472" s="5" t="str">
        <v>340304048255</v>
      </c>
      <c r="F472" s="5" t="s">
        <v>26753</v>
      </c>
      <c r="G472" s="5" t="s">
        <v>26754</v>
      </c>
      <c r="H472" s="26">
        <v>2</v>
      </c>
      <c r="I472" s="5" t="s">
        <v>26755</v>
      </c>
      <c r="J472" s="5" t="s">
        <v>25219</v>
      </c>
      <c r="K472" s="5" t="s">
        <v>344</v>
      </c>
      <c r="L472" s="5"/>
      <c r="M472" s="27"/>
      <c r="N472" s="5"/>
      <c r="O472" s="5" t="str">
        <v>2536326826</v>
      </c>
      <c r="P472" s="27">
        <v>20000</v>
      </c>
      <c r="Q472" s="5"/>
      <c r="R472" s="5"/>
      <c r="S472" s="5" t="s">
        <v>49029</v>
      </c>
      <c r="T472" s="28">
        <v>14023000</v>
      </c>
      <c r="U472" s="28"/>
      <c r="V472" s="28">
        <v>1518277000</v>
      </c>
      <c r="W472" s="28">
        <v>382438000</v>
      </c>
      <c r="X472" s="28">
        <v>161307000</v>
      </c>
      <c r="Y472" s="28">
        <v>2747124000</v>
      </c>
      <c r="Z472" s="28">
        <v>260925000</v>
      </c>
      <c r="AA472" s="28">
        <v>935240000</v>
      </c>
      <c r="AB472" s="28"/>
      <c r="AC472" s="28">
        <v>1550939000</v>
      </c>
      <c r="AD472" s="28">
        <v>260945000</v>
      </c>
      <c r="AE472" s="28">
        <v>11511393000</v>
      </c>
      <c r="AF472" s="28">
        <v>266226000</v>
      </c>
      <c r="AG472" s="11"/>
    </row>
    <row r="473">
      <c r="A473" s="7" t="s">
        <v>2214</v>
      </c>
      <c r="B473" s="5" t="s">
        <v>10190</v>
      </c>
      <c r="C473" s="5" t="s">
        <v>18088</v>
      </c>
      <c r="D473" s="5" t="str">
        <v>780714916825</v>
      </c>
      <c r="E473" s="0" t="e">
        <f>+7 (495) 1046402
+7 (495) 1628310
+7 (495) 2217363
+7 (495) 6803165
+7 (800) 1009837
+7 (800) 3014654</f>
        <v>#NAME?</v>
      </c>
      <c r="F473" s="5" t="s">
        <v>26756</v>
      </c>
      <c r="G473" s="5" t="s">
        <v>26757</v>
      </c>
      <c r="H473" s="26">
        <v>25</v>
      </c>
      <c r="I473" s="5" t="s">
        <v>26758</v>
      </c>
      <c r="J473" s="5" t="s">
        <v>25670</v>
      </c>
      <c r="K473" s="5" t="s">
        <v>355</v>
      </c>
      <c r="L473" s="5"/>
      <c r="M473" s="27"/>
      <c r="N473" s="5" t="s">
        <v>49825</v>
      </c>
      <c r="O473" s="5" t="str">
        <v>7728169439</v>
      </c>
      <c r="P473" s="27">
        <v>17460000</v>
      </c>
      <c r="Q473" s="5" t="s">
        <v>49826</v>
      </c>
      <c r="R473" s="5"/>
      <c r="S473" s="5" t="s">
        <v>49358</v>
      </c>
      <c r="T473" s="28">
        <v>26344000</v>
      </c>
      <c r="U473" s="28">
        <v>45632886000</v>
      </c>
      <c r="V473" s="28">
        <v>7209633000</v>
      </c>
      <c r="W473" s="28">
        <v>7014284000</v>
      </c>
      <c r="X473" s="28">
        <v>1495323000</v>
      </c>
      <c r="Y473" s="28">
        <v>100975327000</v>
      </c>
      <c r="Z473" s="28">
        <v>8020505000</v>
      </c>
      <c r="AA473" s="28">
        <v>59668853000</v>
      </c>
      <c r="AB473" s="28">
        <v>13333948000</v>
      </c>
      <c r="AC473" s="28">
        <v>15305097000</v>
      </c>
      <c r="AD473" s="28">
        <v>9587965000</v>
      </c>
      <c r="AE473" s="28">
        <v>5156175000</v>
      </c>
      <c r="AF473" s="28">
        <v>1149733000</v>
      </c>
      <c r="AG473" s="11"/>
    </row>
    <row r="474">
      <c r="A474" s="7" t="s">
        <v>2215</v>
      </c>
      <c r="B474" s="5" t="s">
        <v>10191</v>
      </c>
      <c r="C474" s="5" t="s">
        <v>18089</v>
      </c>
      <c r="D474" s="5" t="str">
        <v>770800280600</v>
      </c>
      <c r="F474" s="5"/>
      <c r="G474" s="5"/>
      <c r="H474" s="26">
        <v>2</v>
      </c>
      <c r="I474" s="5" t="s">
        <v>26759</v>
      </c>
      <c r="J474" s="5" t="s">
        <v>26325</v>
      </c>
      <c r="K474" s="5" t="s">
        <v>344</v>
      </c>
      <c r="L474" s="5" t="s">
        <v>26760</v>
      </c>
      <c r="M474" s="27"/>
      <c r="N474" s="5"/>
      <c r="O474" s="5" t="str">
        <v>9704038568</v>
      </c>
      <c r="P474" s="27">
        <v>5000000</v>
      </c>
      <c r="Q474" s="5" t="s">
        <v>49827</v>
      </c>
      <c r="R474" s="5"/>
      <c r="S474" s="5" t="s">
        <v>49828</v>
      </c>
      <c r="T474" s="28">
        <v>42358000</v>
      </c>
      <c r="U474" s="28">
        <v>10000</v>
      </c>
      <c r="V474" s="28">
        <v>675844000</v>
      </c>
      <c r="W474" s="28"/>
      <c r="X474" s="28">
        <v>36018000</v>
      </c>
      <c r="Y474" s="28">
        <v>755636000</v>
      </c>
      <c r="Z474" s="28">
        <v>176301000</v>
      </c>
      <c r="AA474" s="28"/>
      <c r="AB474" s="28"/>
      <c r="AC474" s="28">
        <v>574321000</v>
      </c>
      <c r="AD474" s="28">
        <v>181301000</v>
      </c>
      <c r="AE474" s="28">
        <v>6906925000</v>
      </c>
      <c r="AF474" s="28">
        <v>159457000</v>
      </c>
      <c r="AG474" s="11"/>
    </row>
    <row r="475">
      <c r="A475" s="7" t="s">
        <v>2216</v>
      </c>
      <c r="B475" s="5" t="s">
        <v>10192</v>
      </c>
      <c r="C475" s="5" t="s">
        <v>18090</v>
      </c>
      <c r="D475" s="5" t="str">
        <v>744810457809</v>
      </c>
      <c r="E475" s="0" t="e">
        <f>+7 (922) 7442719
+7 (3512) 102202</f>
        <v>#NAME?</v>
      </c>
      <c r="F475" s="5" t="s">
        <v>26761</v>
      </c>
      <c r="G475" s="5" t="s">
        <v>26762</v>
      </c>
      <c r="H475" s="26">
        <v>8.5</v>
      </c>
      <c r="I475" s="5" t="s">
        <v>26763</v>
      </c>
      <c r="J475" s="5" t="s">
        <v>26655</v>
      </c>
      <c r="K475" s="5" t="s">
        <v>344</v>
      </c>
      <c r="L475" s="5" t="s">
        <v>26764</v>
      </c>
      <c r="M475" s="27">
        <v>2034862</v>
      </c>
      <c r="N475" s="5" t="s">
        <v>49829</v>
      </c>
      <c r="O475" s="5" t="str">
        <v>7743931676</v>
      </c>
      <c r="P475" s="27">
        <v>2000000</v>
      </c>
      <c r="Q475" s="5" t="s">
        <v>49009</v>
      </c>
      <c r="R475" s="5" t="s">
        <v>49830</v>
      </c>
      <c r="S475" s="5" t="s">
        <v>49120</v>
      </c>
      <c r="T475" s="28">
        <v>47931389000</v>
      </c>
      <c r="U475" s="28"/>
      <c r="V475" s="28">
        <v>482156000</v>
      </c>
      <c r="W475" s="28"/>
      <c r="X475" s="28">
        <v>6686520000</v>
      </c>
      <c r="Y475" s="28">
        <v>89852489000</v>
      </c>
      <c r="Z475" s="28">
        <v>2473751000</v>
      </c>
      <c r="AA475" s="28"/>
      <c r="AB475" s="28"/>
      <c r="AC475" s="28">
        <v>44373403000</v>
      </c>
      <c r="AD475" s="28">
        <v>2475751000</v>
      </c>
      <c r="AE475" s="28">
        <v>304633566000</v>
      </c>
      <c r="AF475" s="28">
        <v>13193369000</v>
      </c>
      <c r="AG475" s="11"/>
    </row>
    <row r="476">
      <c r="A476" s="7" t="s">
        <v>2217</v>
      </c>
      <c r="B476" s="5" t="s">
        <v>10193</v>
      </c>
      <c r="C476" s="5" t="s">
        <v>18091</v>
      </c>
      <c r="D476" s="5" t="str">
        <v>773310258601</v>
      </c>
      <c r="E476" s="0" t="e">
        <f>+7 (495) 1271120
+7 (495) 1277963
+7 (495) 6458699
+7 (495) 6458701
+7 (495) 6458707
+7 (499) 1271120
+7 (499) 1277963</f>
        <v>#NAME?</v>
      </c>
      <c r="F476" s="5" t="s">
        <v>26765</v>
      </c>
      <c r="G476" s="5" t="s">
        <v>26766</v>
      </c>
      <c r="H476" s="26">
        <v>26.5</v>
      </c>
      <c r="I476" s="5"/>
      <c r="J476" s="5" t="s">
        <v>26767</v>
      </c>
      <c r="K476" s="5" t="s">
        <v>344</v>
      </c>
      <c r="L476" s="5" t="s">
        <v>26768</v>
      </c>
      <c r="M476" s="27"/>
      <c r="N476" s="5" t="s">
        <v>49831</v>
      </c>
      <c r="O476" s="5" t="str">
        <v>7726235982</v>
      </c>
      <c r="P476" s="27">
        <v>7600</v>
      </c>
      <c r="Q476" s="5"/>
      <c r="R476" s="5"/>
      <c r="S476" s="5" t="s">
        <v>49047</v>
      </c>
      <c r="T476" s="28">
        <v>19405000</v>
      </c>
      <c r="U476" s="28">
        <v>158000</v>
      </c>
      <c r="V476" s="28">
        <v>1004182000</v>
      </c>
      <c r="W476" s="28"/>
      <c r="X476" s="28">
        <v>55627000</v>
      </c>
      <c r="Y476" s="28">
        <v>2708425000</v>
      </c>
      <c r="Z476" s="28">
        <v>1574994000</v>
      </c>
      <c r="AA476" s="28"/>
      <c r="AB476" s="28"/>
      <c r="AC476" s="28">
        <v>1131127000</v>
      </c>
      <c r="AD476" s="28">
        <v>1575002000</v>
      </c>
      <c r="AE476" s="28">
        <v>4477253000</v>
      </c>
      <c r="AF476" s="28">
        <v>981429000</v>
      </c>
      <c r="AG476" s="11"/>
    </row>
    <row r="477">
      <c r="A477" s="7" t="s">
        <v>2218</v>
      </c>
      <c r="B477" s="5" t="s">
        <v>10194</v>
      </c>
      <c r="C477" s="5" t="s">
        <v>18092</v>
      </c>
      <c r="D477" s="5" t="str">
        <v>590307643475</v>
      </c>
      <c r="E477" s="0" t="e">
        <f>+7 (917) 3449495</f>
        <v>#NAME?</v>
      </c>
      <c r="F477" s="5"/>
      <c r="G477" s="5"/>
      <c r="H477" s="26">
        <v>7.5</v>
      </c>
      <c r="I477" s="5" t="s">
        <v>26769</v>
      </c>
      <c r="J477" s="5" t="s">
        <v>26770</v>
      </c>
      <c r="K477" s="5" t="s">
        <v>344</v>
      </c>
      <c r="L477" s="5"/>
      <c r="M477" s="27"/>
      <c r="N477" s="5"/>
      <c r="O477" s="5" t="str">
        <v>0275902317</v>
      </c>
      <c r="P477" s="27">
        <v>10000</v>
      </c>
      <c r="Q477" s="5" t="s">
        <v>49057</v>
      </c>
      <c r="R477" s="5"/>
      <c r="S477" s="5" t="s">
        <v>49832</v>
      </c>
      <c r="T477" s="28"/>
      <c r="U477" s="28"/>
      <c r="V477" s="28">
        <v>295883000</v>
      </c>
      <c r="W477" s="28">
        <v>38237000</v>
      </c>
      <c r="X477" s="28">
        <v>84946000</v>
      </c>
      <c r="Y477" s="28">
        <v>616109000</v>
      </c>
      <c r="Z477" s="28">
        <v>45626000</v>
      </c>
      <c r="AA477" s="28"/>
      <c r="AB477" s="28">
        <v>36418000</v>
      </c>
      <c r="AC477" s="28">
        <v>570473000</v>
      </c>
      <c r="AD477" s="28">
        <v>45636000</v>
      </c>
      <c r="AE477" s="28">
        <v>3246938000</v>
      </c>
      <c r="AF477" s="28">
        <v>35068000</v>
      </c>
      <c r="AG477" s="11"/>
    </row>
    <row r="478">
      <c r="A478" s="7" t="s">
        <v>2219</v>
      </c>
      <c r="B478" s="5" t="s">
        <v>10195</v>
      </c>
      <c r="C478" s="5" t="s">
        <v>18093</v>
      </c>
      <c r="D478" s="5" t="str">
        <v>272336983447</v>
      </c>
      <c r="E478" s="0" t="e">
        <f>+7 (421) 2475453
+7 (421) 2755112
+7 (421) 2755113</f>
        <v>#NAME?</v>
      </c>
      <c r="F478" s="5" t="s">
        <v>26771</v>
      </c>
      <c r="G478" s="5" t="s">
        <v>26772</v>
      </c>
      <c r="H478" s="26">
        <v>15</v>
      </c>
      <c r="I478" s="5" t="s">
        <v>26773</v>
      </c>
      <c r="J478" s="5" t="s">
        <v>25327</v>
      </c>
      <c r="K478" s="5" t="s">
        <v>344</v>
      </c>
      <c r="L478" s="5" t="s">
        <v>26774</v>
      </c>
      <c r="M478" s="27"/>
      <c r="N478" s="5" t="s">
        <v>49833</v>
      </c>
      <c r="O478" s="5" t="str">
        <v>2721156209</v>
      </c>
      <c r="P478" s="27">
        <v>20000</v>
      </c>
      <c r="Q478" s="5" t="s">
        <v>49834</v>
      </c>
      <c r="R478" s="5"/>
      <c r="S478" s="5" t="s">
        <v>49835</v>
      </c>
      <c r="T478" s="28">
        <v>1802000</v>
      </c>
      <c r="U478" s="28"/>
      <c r="V478" s="28">
        <v>885073000</v>
      </c>
      <c r="W478" s="28"/>
      <c r="X478" s="28">
        <v>2573000</v>
      </c>
      <c r="Y478" s="28">
        <v>1478965000</v>
      </c>
      <c r="Z478" s="28">
        <v>167677000</v>
      </c>
      <c r="AA478" s="28"/>
      <c r="AB478" s="28">
        <v>331819000</v>
      </c>
      <c r="AC478" s="28">
        <v>1310905000</v>
      </c>
      <c r="AD478" s="28">
        <v>167700000</v>
      </c>
      <c r="AE478" s="28">
        <v>6676959000</v>
      </c>
      <c r="AF478" s="28">
        <v>33470000</v>
      </c>
      <c r="AG478" s="11"/>
    </row>
    <row r="479">
      <c r="A479" s="7" t="s">
        <v>2220</v>
      </c>
      <c r="B479" s="5" t="s">
        <v>10196</v>
      </c>
      <c r="C479" s="5" t="s">
        <v>18094</v>
      </c>
      <c r="D479" s="5" t="str">
        <v>772322299375</v>
      </c>
      <c r="E479" s="0" t="e">
        <f>+7 (905) 1605131</f>
        <v>#NAME?</v>
      </c>
      <c r="F479" s="5" t="s">
        <v>26775</v>
      </c>
      <c r="G479" s="5"/>
      <c r="H479" s="26">
        <v>10.5</v>
      </c>
      <c r="I479" s="5" t="s">
        <v>26776</v>
      </c>
      <c r="J479" s="5" t="s">
        <v>641</v>
      </c>
      <c r="K479" s="5" t="s">
        <v>344</v>
      </c>
      <c r="L479" s="5" t="s">
        <v>26777</v>
      </c>
      <c r="M479" s="27"/>
      <c r="N479" s="5"/>
      <c r="O479" s="5" t="str">
        <v>7728822263</v>
      </c>
      <c r="P479" s="27">
        <v>510000</v>
      </c>
      <c r="Q479" s="5" t="s">
        <v>49059</v>
      </c>
      <c r="R479" s="5"/>
      <c r="S479" s="5" t="s">
        <v>49010</v>
      </c>
      <c r="T479" s="28">
        <v>24388000</v>
      </c>
      <c r="U479" s="28"/>
      <c r="V479" s="28">
        <v>288072000</v>
      </c>
      <c r="W479" s="28"/>
      <c r="X479" s="28">
        <v>29761000</v>
      </c>
      <c r="Y479" s="28">
        <v>472466000</v>
      </c>
      <c r="Z479" s="28">
        <v>306035000</v>
      </c>
      <c r="AA479" s="28"/>
      <c r="AB479" s="28"/>
      <c r="AC479" s="28">
        <v>165887000</v>
      </c>
      <c r="AD479" s="28">
        <v>306545000</v>
      </c>
      <c r="AE479" s="28">
        <v>3536292000</v>
      </c>
      <c r="AF479" s="28">
        <v>256790000</v>
      </c>
      <c r="AG479" s="11"/>
    </row>
    <row r="480">
      <c r="A480" s="7" t="s">
        <v>2221</v>
      </c>
      <c r="B480" s="5" t="s">
        <v>10197</v>
      </c>
      <c r="C480" s="5" t="s">
        <v>18095</v>
      </c>
      <c r="D480" s="5" t="str">
        <v>620601429890</v>
      </c>
      <c r="E480" s="0" t="e">
        <f>+7 (495) 1044923
+7 (812) 3856661
+7 (495) 1046402
+7 (800) 1004908
+7 (812) 5011933</f>
        <v>#NAME?</v>
      </c>
      <c r="F480" s="5"/>
      <c r="G480" s="5" t="s">
        <v>26778</v>
      </c>
      <c r="H480" s="26">
        <v>7.5</v>
      </c>
      <c r="I480" s="5" t="s">
        <v>26779</v>
      </c>
      <c r="J480" s="5" t="s">
        <v>25670</v>
      </c>
      <c r="K480" s="5" t="s">
        <v>355</v>
      </c>
      <c r="L480" s="5" t="s">
        <v>26780</v>
      </c>
      <c r="M480" s="27">
        <v>234752955</v>
      </c>
      <c r="N480" s="5" t="s">
        <v>49836</v>
      </c>
      <c r="O480" s="5" t="str">
        <v>7702390587</v>
      </c>
      <c r="P480" s="27">
        <v>70000000</v>
      </c>
      <c r="Q480" s="5" t="s">
        <v>49838</v>
      </c>
      <c r="R480" s="5"/>
      <c r="S480" s="5" t="s">
        <v>49012</v>
      </c>
      <c r="T480" s="28">
        <v>483709000</v>
      </c>
      <c r="U480" s="28">
        <v>93534512000</v>
      </c>
      <c r="V480" s="28">
        <v>4302890000</v>
      </c>
      <c r="W480" s="28">
        <v>46707575000</v>
      </c>
      <c r="X480" s="28">
        <v>9585139000</v>
      </c>
      <c r="Y480" s="28">
        <v>215478772000</v>
      </c>
      <c r="Z480" s="28">
        <v>16808228000</v>
      </c>
      <c r="AA480" s="28">
        <v>86750042000</v>
      </c>
      <c r="AB480" s="28">
        <v>57499676000</v>
      </c>
      <c r="AC480" s="28">
        <v>69708598000</v>
      </c>
      <c r="AD480" s="28">
        <v>17118228000</v>
      </c>
      <c r="AE480" s="28">
        <v>21714926000</v>
      </c>
      <c r="AF480" s="28">
        <v>6867527000</v>
      </c>
      <c r="AG480" s="11"/>
    </row>
    <row r="481">
      <c r="A481" s="7" t="s">
        <v>2222</v>
      </c>
      <c r="B481" s="5" t="s">
        <v>10198</v>
      </c>
      <c r="C481" s="5" t="s">
        <v>18096</v>
      </c>
      <c r="D481" s="5" t="str">
        <v>667008658021</v>
      </c>
      <c r="E481" s="0" t="e">
        <f>+7 (343) 2876005
+7 (912) 6661700
+7 (912) 6670040
+7 (922) 1196677</f>
        <v>#NAME?</v>
      </c>
      <c r="F481" s="5" t="s">
        <v>26781</v>
      </c>
      <c r="G481" s="5" t="s">
        <v>26782</v>
      </c>
      <c r="H481" s="26">
        <v>9</v>
      </c>
      <c r="I481" s="5" t="s">
        <v>26783</v>
      </c>
      <c r="J481" s="5" t="s">
        <v>25327</v>
      </c>
      <c r="K481" s="5" t="s">
        <v>344</v>
      </c>
      <c r="L481" s="5" t="s">
        <v>26784</v>
      </c>
      <c r="M481" s="27"/>
      <c r="N481" s="5" t="s">
        <v>49839</v>
      </c>
      <c r="O481" s="5" t="str">
        <v>6670418940</v>
      </c>
      <c r="P481" s="27">
        <v>725000</v>
      </c>
      <c r="Q481" s="5" t="s">
        <v>49840</v>
      </c>
      <c r="R481" s="5"/>
      <c r="S481" s="5" t="s">
        <v>49841</v>
      </c>
      <c r="T481" s="28">
        <v>76381000</v>
      </c>
      <c r="U481" s="28"/>
      <c r="V481" s="28">
        <v>320911000</v>
      </c>
      <c r="W481" s="28">
        <v>42177000</v>
      </c>
      <c r="X481" s="28">
        <v>3937000</v>
      </c>
      <c r="Y481" s="28">
        <v>515635000</v>
      </c>
      <c r="Z481" s="28">
        <v>40347000</v>
      </c>
      <c r="AA481" s="28">
        <v>28793000</v>
      </c>
      <c r="AB481" s="28">
        <v>138654000</v>
      </c>
      <c r="AC481" s="28">
        <v>355456000</v>
      </c>
      <c r="AD481" s="28">
        <v>40927000</v>
      </c>
      <c r="AE481" s="28">
        <v>3126529000</v>
      </c>
      <c r="AF481" s="28">
        <v>31968000</v>
      </c>
      <c r="AG481" s="11"/>
    </row>
    <row r="482">
      <c r="A482" s="7" t="s">
        <v>2223</v>
      </c>
      <c r="B482" s="5" t="s">
        <v>10199</v>
      </c>
      <c r="C482" s="5" t="s">
        <v>18097</v>
      </c>
      <c r="D482" s="5" t="str">
        <v>772001103430</v>
      </c>
      <c r="E482" s="0" t="e">
        <f>+7 (495) 2233122
+7 (499) 4005542
+7 (499) 4005544
+7 (499) 7001035</f>
        <v>#NAME?</v>
      </c>
      <c r="F482" s="5" t="s">
        <v>26785</v>
      </c>
      <c r="G482" s="5" t="s">
        <v>26786</v>
      </c>
      <c r="H482" s="26">
        <v>25</v>
      </c>
      <c r="I482" s="5" t="s">
        <v>26787</v>
      </c>
      <c r="J482" s="5" t="s">
        <v>26251</v>
      </c>
      <c r="K482" s="5" t="s">
        <v>344</v>
      </c>
      <c r="L482" s="5" t="s">
        <v>26788</v>
      </c>
      <c r="M482" s="27"/>
      <c r="N482" s="5" t="s">
        <v>49842</v>
      </c>
      <c r="O482" s="5" t="str">
        <v>7705195785</v>
      </c>
      <c r="P482" s="27">
        <v>480000</v>
      </c>
      <c r="Q482" s="5"/>
      <c r="R482" s="5"/>
      <c r="S482" s="5" t="s">
        <v>49425</v>
      </c>
      <c r="T482" s="28">
        <v>396774000</v>
      </c>
      <c r="U482" s="28"/>
      <c r="V482" s="28">
        <v>1224925000</v>
      </c>
      <c r="W482" s="28">
        <v>546558000</v>
      </c>
      <c r="X482" s="28">
        <v>35775000</v>
      </c>
      <c r="Y482" s="28">
        <v>3263458000</v>
      </c>
      <c r="Z482" s="28">
        <v>2679533000</v>
      </c>
      <c r="AA482" s="28">
        <v>76500000</v>
      </c>
      <c r="AB482" s="28">
        <v>238347000</v>
      </c>
      <c r="AC482" s="28">
        <v>499512000</v>
      </c>
      <c r="AD482" s="28">
        <v>2680013000</v>
      </c>
      <c r="AE482" s="28">
        <v>8905369000</v>
      </c>
      <c r="AF482" s="28">
        <v>1430086000</v>
      </c>
      <c r="AG482" s="11"/>
    </row>
    <row r="483">
      <c r="A483" s="7" t="s">
        <v>2224</v>
      </c>
      <c r="B483" s="5" t="s">
        <v>10200</v>
      </c>
      <c r="C483" s="5" t="s">
        <v>18098</v>
      </c>
      <c r="D483" s="5" t="str">
        <v>772512855817</v>
      </c>
      <c r="E483" s="0" t="e">
        <f>+7 (495) 3633500</f>
        <v>#NAME?</v>
      </c>
      <c r="F483" s="5" t="s">
        <v>26789</v>
      </c>
      <c r="G483" s="5" t="s">
        <v>26790</v>
      </c>
      <c r="H483" s="26">
        <v>6</v>
      </c>
      <c r="I483" s="5" t="s">
        <v>26791</v>
      </c>
      <c r="J483" s="5" t="s">
        <v>26165</v>
      </c>
      <c r="K483" s="5" t="s">
        <v>344</v>
      </c>
      <c r="L483" s="5"/>
      <c r="M483" s="27"/>
      <c r="N483" s="5"/>
      <c r="O483" s="5" t="str">
        <v>7708311020</v>
      </c>
      <c r="P483" s="27">
        <v>10000</v>
      </c>
      <c r="Q483" s="5" t="s">
        <v>49059</v>
      </c>
      <c r="R483" s="5"/>
      <c r="S483" s="5" t="s">
        <v>49045</v>
      </c>
      <c r="T483" s="28">
        <v>892041000</v>
      </c>
      <c r="U483" s="28"/>
      <c r="V483" s="28">
        <v>72948000</v>
      </c>
      <c r="W483" s="28"/>
      <c r="X483" s="28">
        <v>89618000</v>
      </c>
      <c r="Y483" s="28">
        <v>1993775000</v>
      </c>
      <c r="Z483" s="28">
        <v>184494000</v>
      </c>
      <c r="AA483" s="28"/>
      <c r="AB483" s="28">
        <v>84462000</v>
      </c>
      <c r="AC483" s="28">
        <v>660576000</v>
      </c>
      <c r="AD483" s="28">
        <v>184504000</v>
      </c>
      <c r="AE483" s="28">
        <v>7978730000</v>
      </c>
      <c r="AF483" s="28">
        <v>293378000</v>
      </c>
      <c r="AG483" s="11"/>
    </row>
    <row r="484">
      <c r="A484" s="7" t="s">
        <v>2225</v>
      </c>
      <c r="B484" s="5" t="s">
        <v>10201</v>
      </c>
      <c r="C484" s="5" t="s">
        <v>18099</v>
      </c>
      <c r="D484" s="5" t="str">
        <v>026411930045</v>
      </c>
      <c r="E484" s="0" t="e">
        <f>+7 (495) 6877077
+7 (495) 2877077
+7 (495) 7308811
+7 (495) 7778008
+7 (495) 9876543</f>
        <v>#NAME?</v>
      </c>
      <c r="F484" s="5" t="s">
        <v>26792</v>
      </c>
      <c r="G484" s="5"/>
      <c r="H484" s="26">
        <v>11</v>
      </c>
      <c r="I484" s="5" t="s">
        <v>26793</v>
      </c>
      <c r="J484" s="5" t="s">
        <v>25446</v>
      </c>
      <c r="K484" s="5" t="s">
        <v>344</v>
      </c>
      <c r="L484" s="5" t="s">
        <v>26794</v>
      </c>
      <c r="M484" s="27"/>
      <c r="N484" s="5" t="s">
        <v>49843</v>
      </c>
      <c r="O484" s="5" t="str">
        <v>7705973315</v>
      </c>
      <c r="P484" s="27">
        <v>5000000</v>
      </c>
      <c r="Q484" s="5" t="s">
        <v>49844</v>
      </c>
      <c r="R484" s="5"/>
      <c r="S484" s="5" t="s">
        <v>49845</v>
      </c>
      <c r="T484" s="28">
        <v>3362000</v>
      </c>
      <c r="U484" s="28"/>
      <c r="V484" s="28">
        <v>1662606000</v>
      </c>
      <c r="W484" s="28">
        <v>50000000</v>
      </c>
      <c r="X484" s="28">
        <v>673809000</v>
      </c>
      <c r="Y484" s="28">
        <v>2435229000</v>
      </c>
      <c r="Z484" s="28">
        <v>753381000</v>
      </c>
      <c r="AA484" s="28"/>
      <c r="AB484" s="28"/>
      <c r="AC484" s="28">
        <v>1676824000</v>
      </c>
      <c r="AD484" s="28">
        <v>758381000</v>
      </c>
      <c r="AE484" s="28">
        <v>7708687000</v>
      </c>
      <c r="AF484" s="28">
        <v>371656000</v>
      </c>
      <c r="AG484" s="11"/>
    </row>
    <row r="485">
      <c r="A485" s="7" t="s">
        <v>2226</v>
      </c>
      <c r="B485" s="5" t="s">
        <v>10202</v>
      </c>
      <c r="C485" s="5" t="s">
        <v>18100</v>
      </c>
      <c r="D485" s="5" t="str">
        <v>232100629182</v>
      </c>
      <c r="E485" s="0" t="e">
        <f>+7 (861) 2593715
+7 (918) 3668827</f>
        <v>#NAME?</v>
      </c>
      <c r="F485" s="5"/>
      <c r="G485" s="5"/>
      <c r="H485" s="26">
        <v>14.5</v>
      </c>
      <c r="I485" s="5" t="s">
        <v>26795</v>
      </c>
      <c r="J485" s="5" t="s">
        <v>25327</v>
      </c>
      <c r="K485" s="5" t="s">
        <v>355</v>
      </c>
      <c r="L485" s="5" t="s">
        <v>26796</v>
      </c>
      <c r="M485" s="27">
        <v>682530</v>
      </c>
      <c r="N485" s="5"/>
      <c r="O485" s="5" t="str">
        <v>2311110480</v>
      </c>
      <c r="P485" s="27">
        <v>10000</v>
      </c>
      <c r="Q485" s="5" t="s">
        <v>49057</v>
      </c>
      <c r="R485" s="5"/>
      <c r="S485" s="5" t="s">
        <v>49101</v>
      </c>
      <c r="T485" s="28">
        <v>149054000</v>
      </c>
      <c r="U485" s="28">
        <v>34650000</v>
      </c>
      <c r="V485" s="28">
        <v>346271000</v>
      </c>
      <c r="W485" s="28"/>
      <c r="X485" s="28">
        <v>10000</v>
      </c>
      <c r="Y485" s="28">
        <v>912722000</v>
      </c>
      <c r="Z485" s="28">
        <v>181027000</v>
      </c>
      <c r="AA485" s="28">
        <v>427290000</v>
      </c>
      <c r="AB485" s="28">
        <v>29711000</v>
      </c>
      <c r="AC485" s="28">
        <v>161243000</v>
      </c>
      <c r="AD485" s="28">
        <v>181037000</v>
      </c>
      <c r="AE485" s="28">
        <v>6255009000</v>
      </c>
      <c r="AF485" s="28">
        <v>9711000</v>
      </c>
      <c r="AG485" s="11"/>
    </row>
    <row r="486">
      <c r="A486" s="7" t="s">
        <v>2226</v>
      </c>
      <c r="B486" s="5" t="s">
        <v>10203</v>
      </c>
      <c r="C486" s="5" t="s">
        <v>18101</v>
      </c>
      <c r="D486" s="5" t="str">
        <v>860504505900</v>
      </c>
      <c r="E486" s="0" t="e">
        <f>+7 (34643) 53401
+7 (34643) 53402
+7 (34643) 53403
+7 (495) 5049861
+7 (495) 7377078
+7 (912) 5120389
+7 (922) 7666100</f>
        <v>#NAME?</v>
      </c>
      <c r="F486" s="5" t="s">
        <v>26797</v>
      </c>
      <c r="G486" s="5"/>
      <c r="H486" s="26">
        <v>15</v>
      </c>
      <c r="I486" s="5" t="s">
        <v>26798</v>
      </c>
      <c r="J486" s="5" t="s">
        <v>26799</v>
      </c>
      <c r="K486" s="5" t="s">
        <v>344</v>
      </c>
      <c r="L486" s="5" t="s">
        <v>26800</v>
      </c>
      <c r="M486" s="27">
        <v>45992563</v>
      </c>
      <c r="N486" s="5"/>
      <c r="O486" s="5" t="str">
        <v>7710705784</v>
      </c>
      <c r="P486" s="27">
        <v>12000</v>
      </c>
      <c r="Q486" s="5"/>
      <c r="R486" s="5"/>
      <c r="S486" s="5" t="s">
        <v>49195</v>
      </c>
      <c r="T486" s="28">
        <v>1512020000</v>
      </c>
      <c r="U486" s="28"/>
      <c r="V486" s="28">
        <v>1046273000</v>
      </c>
      <c r="W486" s="28"/>
      <c r="X486" s="28">
        <v>25109000</v>
      </c>
      <c r="Y486" s="28">
        <v>2998647000</v>
      </c>
      <c r="Z486" s="28">
        <v>381489000</v>
      </c>
      <c r="AA486" s="28">
        <v>559229000</v>
      </c>
      <c r="AB486" s="28">
        <v>2946000</v>
      </c>
      <c r="AC486" s="28">
        <v>846591000</v>
      </c>
      <c r="AD486" s="28">
        <v>381501000</v>
      </c>
      <c r="AE486" s="28">
        <v>4136375000</v>
      </c>
      <c r="AF486" s="28">
        <v>259288000</v>
      </c>
      <c r="AG486" s="11"/>
    </row>
    <row r="487">
      <c r="A487" s="7" t="s">
        <v>2227</v>
      </c>
      <c r="B487" s="5" t="s">
        <v>10204</v>
      </c>
      <c r="C487" s="5" t="s">
        <v>18102</v>
      </c>
      <c r="D487" s="5" t="str">
        <v>660605466680</v>
      </c>
      <c r="F487" s="5" t="s">
        <v>26801</v>
      </c>
      <c r="G487" s="5"/>
      <c r="H487" s="26">
        <v>4.5</v>
      </c>
      <c r="I487" s="5" t="s">
        <v>26802</v>
      </c>
      <c r="J487" s="5" t="s">
        <v>955</v>
      </c>
      <c r="K487" s="5" t="s">
        <v>344</v>
      </c>
      <c r="L487" s="5" t="s">
        <v>26803</v>
      </c>
      <c r="M487" s="27">
        <v>13620359</v>
      </c>
      <c r="N487" s="5"/>
      <c r="O487" s="5" t="str">
        <v>6686110245</v>
      </c>
      <c r="P487" s="27">
        <v>500000</v>
      </c>
      <c r="Q487" s="5"/>
      <c r="R487" s="5" t="s">
        <v>49846</v>
      </c>
      <c r="S487" s="5" t="s">
        <v>49125</v>
      </c>
      <c r="T487" s="28">
        <v>220452000</v>
      </c>
      <c r="U487" s="28"/>
      <c r="V487" s="28">
        <v>497287000</v>
      </c>
      <c r="W487" s="28">
        <v>478000</v>
      </c>
      <c r="X487" s="28">
        <v>5824000</v>
      </c>
      <c r="Y487" s="28">
        <v>1808887000</v>
      </c>
      <c r="Z487" s="28">
        <v>194689000</v>
      </c>
      <c r="AA487" s="28">
        <v>408571000</v>
      </c>
      <c r="AB487" s="28">
        <v>127020000</v>
      </c>
      <c r="AC487" s="28">
        <v>1118231000</v>
      </c>
      <c r="AD487" s="28">
        <v>195189000</v>
      </c>
      <c r="AE487" s="28">
        <v>3857801000</v>
      </c>
      <c r="AF487" s="28">
        <v>115027000</v>
      </c>
      <c r="AG487" s="11"/>
    </row>
    <row r="488">
      <c r="A488" s="7" t="s">
        <v>2227</v>
      </c>
      <c r="B488" s="5" t="s">
        <v>10205</v>
      </c>
      <c r="C488" s="5" t="s">
        <v>18103</v>
      </c>
      <c r="D488" s="5" t="str">
        <v>166009640906</v>
      </c>
      <c r="E488" s="0" t="e">
        <f>+7 (8432) 125724
+7 (919) 6862297
+7 (927) 311697
+7 (927) 4541384
+7 (965) 5872908</f>
        <v>#NAME?</v>
      </c>
      <c r="F488" s="5" t="s">
        <v>26804</v>
      </c>
      <c r="G488" s="5"/>
      <c r="H488" s="26">
        <v>10</v>
      </c>
      <c r="I488" s="5" t="s">
        <v>26805</v>
      </c>
      <c r="J488" s="5" t="s">
        <v>26511</v>
      </c>
      <c r="K488" s="5" t="s">
        <v>344</v>
      </c>
      <c r="L488" s="5" t="s">
        <v>26806</v>
      </c>
      <c r="M488" s="27">
        <v>3650000</v>
      </c>
      <c r="N488" s="5"/>
      <c r="O488" s="5" t="str">
        <v>1661034868</v>
      </c>
      <c r="P488" s="27">
        <v>10000</v>
      </c>
      <c r="Q488" s="5" t="s">
        <v>49009</v>
      </c>
      <c r="R488" s="5"/>
      <c r="S488" s="5" t="s">
        <v>49010</v>
      </c>
      <c r="T488" s="28">
        <v>16671000</v>
      </c>
      <c r="U488" s="28"/>
      <c r="V488" s="28">
        <v>303406000</v>
      </c>
      <c r="W488" s="28"/>
      <c r="X488" s="28">
        <v>9757000</v>
      </c>
      <c r="Y488" s="28">
        <v>682323000</v>
      </c>
      <c r="Z488" s="28">
        <v>540994000</v>
      </c>
      <c r="AA488" s="28"/>
      <c r="AB488" s="28">
        <v>52071000</v>
      </c>
      <c r="AC488" s="28">
        <v>133179000</v>
      </c>
      <c r="AD488" s="28">
        <v>541004000</v>
      </c>
      <c r="AE488" s="28">
        <v>4206341000</v>
      </c>
      <c r="AF488" s="28">
        <v>98841000</v>
      </c>
      <c r="AG488" s="11"/>
    </row>
    <row r="489">
      <c r="A489" s="7" t="s">
        <v>2228</v>
      </c>
      <c r="B489" s="5" t="s">
        <v>10206</v>
      </c>
      <c r="C489" s="5" t="s">
        <v>18104</v>
      </c>
      <c r="D489" s="5" t="str">
        <v>560912561372</v>
      </c>
      <c r="E489" s="0" t="e">
        <f>+7 (4912) 465236
+7 (4912) 465235
+7 (49142) 24549
+7 (49142) 24570
+7 (49142) 26147</f>
        <v>#NAME?</v>
      </c>
      <c r="F489" s="5" t="s">
        <v>26807</v>
      </c>
      <c r="G489" s="5"/>
      <c r="H489" s="26">
        <v>10.5</v>
      </c>
      <c r="I489" s="5" t="s">
        <v>26808</v>
      </c>
      <c r="J489" s="5" t="s">
        <v>467</v>
      </c>
      <c r="K489" s="5" t="s">
        <v>344</v>
      </c>
      <c r="L489" s="5"/>
      <c r="M489" s="27">
        <v>4232348</v>
      </c>
      <c r="N489" s="5" t="s">
        <v>49847</v>
      </c>
      <c r="O489" s="5" t="str">
        <v>6205008227</v>
      </c>
      <c r="P489" s="27">
        <v>651010000</v>
      </c>
      <c r="Q489" s="5" t="s">
        <v>49848</v>
      </c>
      <c r="R489" s="5" t="s">
        <v>49849</v>
      </c>
      <c r="S489" s="5" t="s">
        <v>49850</v>
      </c>
      <c r="T489" s="28">
        <v>864931000</v>
      </c>
      <c r="U489" s="28"/>
      <c r="V489" s="28">
        <v>8265190000</v>
      </c>
      <c r="W489" s="28">
        <v>1800455000</v>
      </c>
      <c r="X489" s="28">
        <v>1316581000</v>
      </c>
      <c r="Y489" s="28">
        <v>13957708000</v>
      </c>
      <c r="Z489" s="28">
        <v>-674329000</v>
      </c>
      <c r="AA489" s="28">
        <v>4571387000</v>
      </c>
      <c r="AB489" s="28">
        <v>112429000</v>
      </c>
      <c r="AC489" s="28">
        <v>8480147000</v>
      </c>
      <c r="AD489" s="28">
        <v>252925000</v>
      </c>
      <c r="AE489" s="28">
        <v>3493870000</v>
      </c>
      <c r="AF489" s="28">
        <v>49271000</v>
      </c>
      <c r="AG489" s="11"/>
    </row>
    <row r="490">
      <c r="A490" s="7" t="s">
        <v>2229</v>
      </c>
      <c r="B490" s="5" t="s">
        <v>10207</v>
      </c>
      <c r="C490" s="5" t="s">
        <v>18105</v>
      </c>
      <c r="D490" s="5" t="str">
        <v>782605089417</v>
      </c>
      <c r="E490" s="0" t="e">
        <f>+7 (921) 9542503
+7 (812) 2354973
+7 (812) 2354984
+7 (812) 2357225
+7 (812) 2798756</f>
        <v>#NAME?</v>
      </c>
      <c r="F490" s="5"/>
      <c r="G490" s="5" t="s">
        <v>26809</v>
      </c>
      <c r="H490" s="26">
        <v>23</v>
      </c>
      <c r="I490" s="5" t="s">
        <v>26810</v>
      </c>
      <c r="J490" s="5" t="s">
        <v>897</v>
      </c>
      <c r="K490" s="5" t="s">
        <v>344</v>
      </c>
      <c r="L490" s="5" t="s">
        <v>26811</v>
      </c>
      <c r="M490" s="27"/>
      <c r="N490" s="5"/>
      <c r="O490" s="5" t="str">
        <v>7814107186</v>
      </c>
      <c r="P490" s="27">
        <v>10000</v>
      </c>
      <c r="Q490" s="5" t="s">
        <v>49059</v>
      </c>
      <c r="R490" s="5"/>
      <c r="S490" s="5" t="s">
        <v>49425</v>
      </c>
      <c r="T490" s="28">
        <v>220000</v>
      </c>
      <c r="U490" s="28"/>
      <c r="V490" s="28">
        <v>13151000</v>
      </c>
      <c r="W490" s="28">
        <v>2628000</v>
      </c>
      <c r="X490" s="28">
        <v>25000</v>
      </c>
      <c r="Y490" s="28">
        <v>22743000</v>
      </c>
      <c r="Z490" s="28">
        <v>17729000</v>
      </c>
      <c r="AA490" s="28"/>
      <c r="AB490" s="28"/>
      <c r="AC490" s="28">
        <v>5004000</v>
      </c>
      <c r="AD490" s="28">
        <v>17739000</v>
      </c>
      <c r="AE490" s="28">
        <v>27042653000</v>
      </c>
      <c r="AF490" s="28">
        <v>1820868000</v>
      </c>
      <c r="AG490" s="11"/>
    </row>
    <row r="491">
      <c r="A491" s="7" t="s">
        <v>2230</v>
      </c>
      <c r="B491" s="5" t="s">
        <v>10208</v>
      </c>
      <c r="C491" s="5" t="s">
        <v>18106</v>
      </c>
      <c r="D491" s="5" t="str">
        <v>060603760553</v>
      </c>
      <c r="E491" s="0" t="e">
        <f>+7 (495) 3746202</f>
        <v>#NAME?</v>
      </c>
      <c r="F491" s="5"/>
      <c r="G491" s="5"/>
      <c r="H491" s="26">
        <v>14</v>
      </c>
      <c r="I491" s="5" t="s">
        <v>26812</v>
      </c>
      <c r="J491" s="5" t="s">
        <v>373</v>
      </c>
      <c r="K491" s="5" t="s">
        <v>355</v>
      </c>
      <c r="L491" s="5" t="s">
        <v>26813</v>
      </c>
      <c r="M491" s="27">
        <v>402000</v>
      </c>
      <c r="N491" s="5" t="s">
        <v>49851</v>
      </c>
      <c r="O491" s="5" t="str">
        <v>7704870290</v>
      </c>
      <c r="P491" s="27">
        <v>10000</v>
      </c>
      <c r="Q491" s="5" t="s">
        <v>49059</v>
      </c>
      <c r="R491" s="5" t="s">
        <v>49852</v>
      </c>
      <c r="S491" s="5" t="s">
        <v>49853</v>
      </c>
      <c r="T491" s="28">
        <v>187000</v>
      </c>
      <c r="U491" s="28"/>
      <c r="V491" s="28">
        <v>2640749000</v>
      </c>
      <c r="W491" s="28"/>
      <c r="X491" s="28">
        <v>15644000</v>
      </c>
      <c r="Y491" s="28">
        <v>3050473000</v>
      </c>
      <c r="Z491" s="28">
        <v>628568000</v>
      </c>
      <c r="AA491" s="28">
        <v>460000000</v>
      </c>
      <c r="AB491" s="28">
        <v>173000000</v>
      </c>
      <c r="AC491" s="28">
        <v>1961895000</v>
      </c>
      <c r="AD491" s="28">
        <v>628578000</v>
      </c>
      <c r="AE491" s="28">
        <v>19874271000</v>
      </c>
      <c r="AF491" s="28">
        <v>134573000</v>
      </c>
      <c r="AG491" s="11"/>
    </row>
    <row r="492">
      <c r="A492" s="7" t="s">
        <v>2231</v>
      </c>
      <c r="B492" s="5" t="s">
        <v>10206</v>
      </c>
      <c r="C492" s="5" t="s">
        <v>18107</v>
      </c>
      <c r="D492" s="5" t="str">
        <v>470703112095</v>
      </c>
      <c r="E492" s="0" t="e">
        <f>+7 (4912) 779442
+7 (4912) 465239
+7 (916) 7828309
+7 (920) 6392946</f>
        <v>#NAME?</v>
      </c>
      <c r="F492" s="5" t="s">
        <v>26814</v>
      </c>
      <c r="G492" s="5" t="s">
        <v>26815</v>
      </c>
      <c r="H492" s="26">
        <v>7</v>
      </c>
      <c r="I492" s="5" t="s">
        <v>26816</v>
      </c>
      <c r="J492" s="5" t="s">
        <v>25304</v>
      </c>
      <c r="K492" s="5" t="s">
        <v>344</v>
      </c>
      <c r="L492" s="5"/>
      <c r="M492" s="27"/>
      <c r="N492" s="5" t="s">
        <v>49854</v>
      </c>
      <c r="O492" s="5" t="str">
        <v>6205000267</v>
      </c>
      <c r="P492" s="27">
        <v>10000</v>
      </c>
      <c r="Q492" s="5" t="s">
        <v>49855</v>
      </c>
      <c r="R492" s="5" t="s">
        <v>49856</v>
      </c>
      <c r="S492" s="5" t="s">
        <v>49857</v>
      </c>
      <c r="T492" s="28">
        <v>913768000</v>
      </c>
      <c r="U492" s="28"/>
      <c r="V492" s="28">
        <v>127504000</v>
      </c>
      <c r="W492" s="28"/>
      <c r="X492" s="28">
        <v>37297000</v>
      </c>
      <c r="Y492" s="28">
        <v>1453916000</v>
      </c>
      <c r="Z492" s="28">
        <v>-145161000</v>
      </c>
      <c r="AA492" s="28"/>
      <c r="AB492" s="28"/>
      <c r="AC492" s="28">
        <v>532547000</v>
      </c>
      <c r="AD492" s="28">
        <v>604849000</v>
      </c>
      <c r="AE492" s="28">
        <v>3132262000</v>
      </c>
      <c r="AF492" s="28">
        <v>-51274000</v>
      </c>
      <c r="AG492" s="11"/>
    </row>
    <row r="493">
      <c r="A493" s="7" t="s">
        <v>2232</v>
      </c>
      <c r="B493" s="5" t="s">
        <v>10209</v>
      </c>
      <c r="C493" s="5" t="s">
        <v>18108</v>
      </c>
      <c r="D493" s="5" t="str">
        <v>771814718244</v>
      </c>
      <c r="E493" s="0" t="e">
        <f>+7 (495) 7258042</f>
        <v>#NAME?</v>
      </c>
      <c r="F493" s="5" t="s">
        <v>26817</v>
      </c>
      <c r="G493" s="5"/>
      <c r="H493" s="26">
        <v>10.5</v>
      </c>
      <c r="I493" s="5" t="s">
        <v>26818</v>
      </c>
      <c r="J493" s="5" t="s">
        <v>364</v>
      </c>
      <c r="K493" s="5" t="s">
        <v>344</v>
      </c>
      <c r="L493" s="5" t="s">
        <v>26819</v>
      </c>
      <c r="M493" s="27">
        <v>12577437</v>
      </c>
      <c r="N493" s="5" t="s">
        <v>49858</v>
      </c>
      <c r="O493" s="5" t="str">
        <v>7713755409</v>
      </c>
      <c r="P493" s="27">
        <v>10000</v>
      </c>
      <c r="Q493" s="5" t="s">
        <v>49860</v>
      </c>
      <c r="R493" s="5"/>
      <c r="S493" s="5" t="s">
        <v>49861</v>
      </c>
      <c r="T493" s="28">
        <v>125315000</v>
      </c>
      <c r="U493" s="28"/>
      <c r="V493" s="28">
        <v>3874216000</v>
      </c>
      <c r="W493" s="28"/>
      <c r="X493" s="28">
        <v>2965000</v>
      </c>
      <c r="Y493" s="28">
        <v>6913419000</v>
      </c>
      <c r="Z493" s="28">
        <v>89854000</v>
      </c>
      <c r="AA493" s="28">
        <v>5000000</v>
      </c>
      <c r="AB493" s="28">
        <v>485419000</v>
      </c>
      <c r="AC493" s="28">
        <v>6432803000</v>
      </c>
      <c r="AD493" s="28">
        <v>89864000</v>
      </c>
      <c r="AE493" s="28">
        <v>5147679000</v>
      </c>
      <c r="AF493" s="28">
        <v>72656000</v>
      </c>
      <c r="AG493" s="11"/>
    </row>
    <row r="494">
      <c r="A494" s="7" t="s">
        <v>2233</v>
      </c>
      <c r="B494" s="5" t="s">
        <v>10210</v>
      </c>
      <c r="C494" s="5" t="s">
        <v>18109</v>
      </c>
      <c r="D494" s="5" t="str">
        <v>772816809347</v>
      </c>
      <c r="E494" s="0" t="e">
        <f>+7 (495) 2216200
+7 (3472) 210409
+7 (3472) 210418
+7 (3472) 465881
+7 (3472) 465882
+7 (381) 2389939
+7 (383) 3633993
+7 (391) 2517352
+7 (3952) 503733
+7 (416) 2771530
+7 (421) 2275799
+7 (421) 2275800
+7 (4232) 620096
+7 (4232) 620097
+7 (473) 2438708</f>
        <v>#NAME?</v>
      </c>
      <c r="F494" s="5" t="s">
        <v>26820</v>
      </c>
      <c r="G494" s="5" t="s">
        <v>26821</v>
      </c>
      <c r="H494" s="26">
        <v>14.5</v>
      </c>
      <c r="I494" s="5" t="s">
        <v>26822</v>
      </c>
      <c r="J494" s="5" t="s">
        <v>693</v>
      </c>
      <c r="K494" s="5" t="s">
        <v>344</v>
      </c>
      <c r="L494" s="5" t="s">
        <v>26823</v>
      </c>
      <c r="M494" s="27"/>
      <c r="N494" s="5"/>
      <c r="O494" s="5" t="str">
        <v>5032190610</v>
      </c>
      <c r="P494" s="27">
        <v>16573806</v>
      </c>
      <c r="Q494" s="5" t="s">
        <v>49009</v>
      </c>
      <c r="R494" s="5"/>
      <c r="S494" s="5" t="s">
        <v>49010</v>
      </c>
      <c r="T494" s="28">
        <v>512915000</v>
      </c>
      <c r="U494" s="28"/>
      <c r="V494" s="28">
        <v>139036000</v>
      </c>
      <c r="W494" s="28"/>
      <c r="X494" s="28">
        <v>192269000</v>
      </c>
      <c r="Y494" s="28">
        <v>1330423000</v>
      </c>
      <c r="Z494" s="28">
        <v>243585000</v>
      </c>
      <c r="AA494" s="28"/>
      <c r="AB494" s="28"/>
      <c r="AC494" s="28">
        <v>557601000</v>
      </c>
      <c r="AD494" s="28">
        <v>260181000</v>
      </c>
      <c r="AE494" s="28">
        <v>5254146000</v>
      </c>
      <c r="AF494" s="28">
        <v>39079000</v>
      </c>
      <c r="AG494" s="11"/>
    </row>
    <row r="495">
      <c r="A495" s="7" t="s">
        <v>2234</v>
      </c>
      <c r="B495" s="5" t="s">
        <v>10211</v>
      </c>
      <c r="C495" s="5" t="s">
        <v>18110</v>
      </c>
      <c r="D495" s="5" t="str">
        <v>616812190302</v>
      </c>
      <c r="E495" s="0" t="e">
        <f>+7 (861) 2605444
+7 (861) 2790120</f>
        <v>#NAME?</v>
      </c>
      <c r="F495" s="5" t="s">
        <v>26824</v>
      </c>
      <c r="G495" s="5"/>
      <c r="H495" s="26">
        <v>18.5</v>
      </c>
      <c r="I495" s="5" t="s">
        <v>26825</v>
      </c>
      <c r="J495" s="5" t="s">
        <v>693</v>
      </c>
      <c r="K495" s="5" t="s">
        <v>355</v>
      </c>
      <c r="L495" s="5"/>
      <c r="M495" s="27"/>
      <c r="N495" s="5"/>
      <c r="O495" s="5" t="str">
        <v>2312112401</v>
      </c>
      <c r="P495" s="27">
        <v>27906205</v>
      </c>
      <c r="Q495" s="5" t="s">
        <v>49009</v>
      </c>
      <c r="R495" s="5"/>
      <c r="S495" s="5" t="s">
        <v>49045</v>
      </c>
      <c r="T495" s="28">
        <v>85913000</v>
      </c>
      <c r="U495" s="28"/>
      <c r="V495" s="28">
        <v>150526000</v>
      </c>
      <c r="W495" s="28"/>
      <c r="X495" s="28">
        <v>258780000</v>
      </c>
      <c r="Y495" s="28">
        <v>934927000</v>
      </c>
      <c r="Z495" s="28">
        <v>-22040000</v>
      </c>
      <c r="AA495" s="28"/>
      <c r="AB495" s="28"/>
      <c r="AC495" s="28">
        <v>914565000</v>
      </c>
      <c r="AD495" s="28">
        <v>5866000</v>
      </c>
      <c r="AE495" s="28">
        <v>4336176000</v>
      </c>
      <c r="AF495" s="28">
        <v>1663000</v>
      </c>
      <c r="AG495" s="11"/>
    </row>
    <row r="496">
      <c r="A496" s="7" t="s">
        <v>2235</v>
      </c>
      <c r="B496" s="5" t="s">
        <v>10212</v>
      </c>
      <c r="C496" s="5" t="s">
        <v>18111</v>
      </c>
      <c r="D496" s="5" t="str">
        <v>772145150751</v>
      </c>
      <c r="E496" s="0" t="e">
        <f>+7 (495) 9358586</f>
        <v>#NAME?</v>
      </c>
      <c r="F496" s="5"/>
      <c r="G496" s="5" t="s">
        <v>26826</v>
      </c>
      <c r="H496" s="26">
        <v>13.5</v>
      </c>
      <c r="I496" s="5" t="s">
        <v>26827</v>
      </c>
      <c r="J496" s="5" t="s">
        <v>26828</v>
      </c>
      <c r="K496" s="5" t="s">
        <v>344</v>
      </c>
      <c r="L496" s="5" t="s">
        <v>26829</v>
      </c>
      <c r="M496" s="27"/>
      <c r="N496" s="5" t="s">
        <v>49862</v>
      </c>
      <c r="O496" s="5" t="str">
        <v>7705900740</v>
      </c>
      <c r="P496" s="27">
        <v>4010000</v>
      </c>
      <c r="Q496" s="5" t="s">
        <v>49863</v>
      </c>
      <c r="R496" s="5"/>
      <c r="S496" s="5" t="s">
        <v>49487</v>
      </c>
      <c r="T496" s="28">
        <v>1651686000</v>
      </c>
      <c r="U496" s="28">
        <v>616835000</v>
      </c>
      <c r="V496" s="28">
        <v>384056000</v>
      </c>
      <c r="W496" s="28">
        <v>79015000</v>
      </c>
      <c r="X496" s="28">
        <v>59751000</v>
      </c>
      <c r="Y496" s="28">
        <v>5243317000</v>
      </c>
      <c r="Z496" s="28">
        <v>4737163000</v>
      </c>
      <c r="AA496" s="28"/>
      <c r="AB496" s="28">
        <v>235578000</v>
      </c>
      <c r="AC496" s="28">
        <v>369269000</v>
      </c>
      <c r="AD496" s="28">
        <v>4741192000</v>
      </c>
      <c r="AE496" s="28">
        <v>7115073000</v>
      </c>
      <c r="AF496" s="28">
        <v>765482000</v>
      </c>
      <c r="AG496" s="11"/>
    </row>
    <row r="497">
      <c r="A497" s="7" t="s">
        <v>2236</v>
      </c>
      <c r="B497" s="5" t="s">
        <v>10213</v>
      </c>
      <c r="C497" s="5" t="s">
        <v>18112</v>
      </c>
      <c r="D497" s="5" t="str">
        <v>645311323534</v>
      </c>
      <c r="E497" s="0" t="e">
        <f>+7 (495) 7742704
+7 (49675) 55930
+7 (49675) 55931
+7 (49675) 55965
+7 (916) 9904429
+7 (985) 7742704</f>
        <v>#NAME?</v>
      </c>
      <c r="F497" s="5" t="s">
        <v>26830</v>
      </c>
      <c r="G497" s="5" t="s">
        <v>26831</v>
      </c>
      <c r="H497" s="26">
        <v>17.5</v>
      </c>
      <c r="I497" s="5" t="s">
        <v>26832</v>
      </c>
      <c r="J497" s="5" t="s">
        <v>25446</v>
      </c>
      <c r="K497" s="5" t="s">
        <v>344</v>
      </c>
      <c r="L497" s="5" t="s">
        <v>26833</v>
      </c>
      <c r="M497" s="27"/>
      <c r="N497" s="5"/>
      <c r="O497" s="5" t="str">
        <v>5036068160</v>
      </c>
      <c r="P497" s="27">
        <v>3500000</v>
      </c>
      <c r="Q497" s="5"/>
      <c r="R497" s="5"/>
      <c r="S497" s="5" t="s">
        <v>49110</v>
      </c>
      <c r="T497" s="28">
        <v>1004866000</v>
      </c>
      <c r="U497" s="28"/>
      <c r="V497" s="28">
        <v>222619000</v>
      </c>
      <c r="W497" s="28"/>
      <c r="X497" s="28">
        <v>665713000</v>
      </c>
      <c r="Y497" s="28">
        <v>5536256000</v>
      </c>
      <c r="Z497" s="28">
        <v>1762925000</v>
      </c>
      <c r="AA497" s="28"/>
      <c r="AB497" s="28"/>
      <c r="AC497" s="28">
        <v>3764630000</v>
      </c>
      <c r="AD497" s="28">
        <v>1766425000</v>
      </c>
      <c r="AE497" s="28">
        <v>10939016000</v>
      </c>
      <c r="AF497" s="28">
        <v>577783000</v>
      </c>
      <c r="AG497" s="11"/>
    </row>
    <row r="498">
      <c r="A498" s="7" t="s">
        <v>2237</v>
      </c>
      <c r="B498" s="5" t="s">
        <v>10214</v>
      </c>
      <c r="C498" s="5" t="s">
        <v>18113</v>
      </c>
      <c r="D498" s="5" t="str">
        <v>772577184645</v>
      </c>
      <c r="E498" s="0" t="e">
        <f>+7 (495) 127770
+7 (495) 127777
+7 (495) 7422787
+7 (925) 273307</f>
        <v>#NAME?</v>
      </c>
      <c r="F498" s="5" t="s">
        <v>26834</v>
      </c>
      <c r="G498" s="5"/>
      <c r="H498" s="26">
        <v>6</v>
      </c>
      <c r="I498" s="5" t="s">
        <v>26835</v>
      </c>
      <c r="J498" s="5" t="s">
        <v>467</v>
      </c>
      <c r="K498" s="5" t="s">
        <v>344</v>
      </c>
      <c r="L498" s="5" t="s">
        <v>26836</v>
      </c>
      <c r="M498" s="27">
        <v>230163</v>
      </c>
      <c r="N498" s="5" t="s">
        <v>49864</v>
      </c>
      <c r="O498" s="5" t="str">
        <v>9723011900</v>
      </c>
      <c r="P498" s="27">
        <v>20000</v>
      </c>
      <c r="Q498" s="5" t="s">
        <v>49865</v>
      </c>
      <c r="R498" s="5"/>
      <c r="S498" s="5" t="s">
        <v>49866</v>
      </c>
      <c r="T498" s="28">
        <v>172567000</v>
      </c>
      <c r="U498" s="28"/>
      <c r="V498" s="28">
        <v>192905000</v>
      </c>
      <c r="W498" s="28">
        <v>75000000</v>
      </c>
      <c r="X498" s="28">
        <v>863358000</v>
      </c>
      <c r="Y498" s="28">
        <v>1436722000</v>
      </c>
      <c r="Z498" s="28">
        <v>203150000</v>
      </c>
      <c r="AA498" s="28"/>
      <c r="AB498" s="28"/>
      <c r="AC498" s="28">
        <v>1226257000</v>
      </c>
      <c r="AD498" s="28">
        <v>203170000</v>
      </c>
      <c r="AE498" s="28">
        <v>3119719000</v>
      </c>
      <c r="AF498" s="28">
        <v>75379000</v>
      </c>
      <c r="AG498" s="11"/>
    </row>
    <row r="499">
      <c r="A499" s="7" t="s">
        <v>2238</v>
      </c>
      <c r="B499" s="5" t="s">
        <v>10215</v>
      </c>
      <c r="C499" s="5" t="s">
        <v>18114</v>
      </c>
      <c r="D499" s="5" t="str">
        <v>771309149266</v>
      </c>
      <c r="E499" s="0" t="e">
        <f>+7 (495) 6411910
+7 (495) 6411911</f>
        <v>#NAME?</v>
      </c>
      <c r="F499" s="5" t="s">
        <v>26837</v>
      </c>
      <c r="G499" s="5"/>
      <c r="H499" s="26">
        <v>21.5</v>
      </c>
      <c r="I499" s="5" t="s">
        <v>26838</v>
      </c>
      <c r="J499" s="5" t="s">
        <v>881</v>
      </c>
      <c r="K499" s="5" t="s">
        <v>344</v>
      </c>
      <c r="L499" s="5"/>
      <c r="M499" s="27"/>
      <c r="N499" s="5"/>
      <c r="O499" s="5" t="str">
        <v>7710393180</v>
      </c>
      <c r="P499" s="27">
        <v>11900000</v>
      </c>
      <c r="Q499" s="5" t="s">
        <v>49867</v>
      </c>
      <c r="R499" s="5"/>
      <c r="S499" s="5" t="s">
        <v>49496</v>
      </c>
      <c r="T499" s="28">
        <v>9174000</v>
      </c>
      <c r="U499" s="28">
        <v>945058000</v>
      </c>
      <c r="V499" s="28">
        <v>1718424000</v>
      </c>
      <c r="W499" s="28"/>
      <c r="X499" s="28">
        <v>761309000</v>
      </c>
      <c r="Y499" s="28">
        <v>3476835000</v>
      </c>
      <c r="Z499" s="28">
        <v>1755682000</v>
      </c>
      <c r="AA499" s="28"/>
      <c r="AB499" s="28">
        <v>529337000</v>
      </c>
      <c r="AC499" s="28">
        <v>1235748000</v>
      </c>
      <c r="AD499" s="28">
        <v>2207157000</v>
      </c>
      <c r="AE499" s="28">
        <v>4670584000</v>
      </c>
      <c r="AF499" s="28">
        <v>801704000</v>
      </c>
      <c r="AG499" s="11"/>
    </row>
    <row r="500">
      <c r="A500" s="7" t="s">
        <v>2239</v>
      </c>
      <c r="B500" s="5" t="s">
        <v>10216</v>
      </c>
      <c r="C500" s="5" t="s">
        <v>18115</v>
      </c>
      <c r="D500" s="5" t="str">
        <v>590607952080</v>
      </c>
      <c r="E500" s="0" t="e">
        <f>+7 (342) 2949452
+7 (3422) 700810
+7 (3422) 700811</f>
        <v>#NAME?</v>
      </c>
      <c r="F500" s="5" t="s">
        <v>26839</v>
      </c>
      <c r="G500" s="5" t="s">
        <v>26840</v>
      </c>
      <c r="H500" s="26">
        <v>15</v>
      </c>
      <c r="I500" s="5" t="s">
        <v>26841</v>
      </c>
      <c r="J500" s="5" t="s">
        <v>26268</v>
      </c>
      <c r="K500" s="5" t="s">
        <v>344</v>
      </c>
      <c r="L500" s="5" t="s">
        <v>26842</v>
      </c>
      <c r="M500" s="27">
        <v>105774</v>
      </c>
      <c r="N500" s="5"/>
      <c r="O500" s="5" t="str">
        <v>5905258887</v>
      </c>
      <c r="P500" s="27">
        <v>100000</v>
      </c>
      <c r="Q500" s="5" t="s">
        <v>49868</v>
      </c>
      <c r="R500" s="5"/>
      <c r="S500" s="5" t="s">
        <v>49869</v>
      </c>
      <c r="T500" s="28">
        <v>83817000</v>
      </c>
      <c r="U500" s="28">
        <v>256000</v>
      </c>
      <c r="V500" s="28">
        <v>141885000</v>
      </c>
      <c r="W500" s="28">
        <v>161420000</v>
      </c>
      <c r="X500" s="28">
        <v>450865000</v>
      </c>
      <c r="Y500" s="28">
        <v>903027000</v>
      </c>
      <c r="Z500" s="28">
        <v>328269000</v>
      </c>
      <c r="AA500" s="28"/>
      <c r="AB500" s="28">
        <v>8228000</v>
      </c>
      <c r="AC500" s="28">
        <v>574539000</v>
      </c>
      <c r="AD500" s="28">
        <v>328369000</v>
      </c>
      <c r="AE500" s="28">
        <v>4410214000</v>
      </c>
      <c r="AF500" s="28">
        <v>144266000</v>
      </c>
      <c r="AG500" s="11"/>
    </row>
    <row r="501">
      <c r="A501" s="7" t="s">
        <v>2240</v>
      </c>
      <c r="B501" s="5" t="s">
        <v>10217</v>
      </c>
      <c r="C501" s="5" t="s">
        <v>18116</v>
      </c>
      <c r="D501" s="5" t="str">
        <v>772205278011</v>
      </c>
      <c r="E501" s="0" t="e">
        <f>+7 (499) 6851111
+7 (499) 6854545
+7 (499) 6854646</f>
        <v>#NAME?</v>
      </c>
      <c r="F501" s="5" t="s">
        <v>26843</v>
      </c>
      <c r="G501" s="5" t="s">
        <v>26844</v>
      </c>
      <c r="H501" s="26">
        <v>14</v>
      </c>
      <c r="I501" s="5" t="s">
        <v>26845</v>
      </c>
      <c r="J501" s="5" t="s">
        <v>26846</v>
      </c>
      <c r="K501" s="5" t="s">
        <v>344</v>
      </c>
      <c r="L501" s="5" t="s">
        <v>26847</v>
      </c>
      <c r="M501" s="27"/>
      <c r="N501" s="5" t="s">
        <v>49870</v>
      </c>
      <c r="O501" s="5" t="str">
        <v>7727687452</v>
      </c>
      <c r="P501" s="27">
        <v>10000000</v>
      </c>
      <c r="Q501" s="5" t="s">
        <v>49009</v>
      </c>
      <c r="R501" s="5"/>
      <c r="S501" s="5" t="s">
        <v>49371</v>
      </c>
      <c r="T501" s="28">
        <v>582687000</v>
      </c>
      <c r="U501" s="28">
        <v>189000000</v>
      </c>
      <c r="V501" s="28">
        <v>2327802000</v>
      </c>
      <c r="W501" s="28">
        <v>549000</v>
      </c>
      <c r="X501" s="28">
        <v>20272000</v>
      </c>
      <c r="Y501" s="28">
        <v>4387678000</v>
      </c>
      <c r="Z501" s="28">
        <v>2021409000</v>
      </c>
      <c r="AA501" s="28">
        <v>328236000</v>
      </c>
      <c r="AB501" s="28">
        <v>466676000</v>
      </c>
      <c r="AC501" s="28">
        <v>1653352000</v>
      </c>
      <c r="AD501" s="28">
        <v>2031409000</v>
      </c>
      <c r="AE501" s="28">
        <v>6508687000</v>
      </c>
      <c r="AF501" s="28">
        <v>550892000</v>
      </c>
      <c r="AG501" s="11"/>
    </row>
    <row r="502">
      <c r="A502" s="7" t="s">
        <v>2241</v>
      </c>
      <c r="B502" s="5" t="s">
        <v>10218</v>
      </c>
      <c r="C502" s="5" t="s">
        <v>18117</v>
      </c>
      <c r="D502" s="5" t="str">
        <v>262404163343</v>
      </c>
      <c r="E502" s="0" t="e">
        <f>+7 (86559) 24327
+7 (86559) 24692
+7 (495) 6604150
+7 (865) 5941488
+7 (8652) 925282
+7 (905) 4128852</f>
        <v>#NAME?</v>
      </c>
      <c r="F502" s="5" t="s">
        <v>26848</v>
      </c>
      <c r="G502" s="5" t="s">
        <v>26849</v>
      </c>
      <c r="H502" s="26">
        <v>19</v>
      </c>
      <c r="I502" s="5" t="s">
        <v>26850</v>
      </c>
      <c r="J502" s="5" t="s">
        <v>26851</v>
      </c>
      <c r="K502" s="5" t="s">
        <v>344</v>
      </c>
      <c r="L502" s="5" t="s">
        <v>26852</v>
      </c>
      <c r="M502" s="27"/>
      <c r="N502" s="5"/>
      <c r="O502" s="5" t="str">
        <v>2624027906</v>
      </c>
      <c r="P502" s="27">
        <v>34000000</v>
      </c>
      <c r="Q502" s="5" t="s">
        <v>49009</v>
      </c>
      <c r="R502" s="5"/>
      <c r="S502" s="5" t="s">
        <v>49010</v>
      </c>
      <c r="T502" s="28">
        <v>553599000</v>
      </c>
      <c r="U502" s="28"/>
      <c r="V502" s="28">
        <v>708435000</v>
      </c>
      <c r="W502" s="28"/>
      <c r="X502" s="28">
        <v>9971000</v>
      </c>
      <c r="Y502" s="28">
        <v>1484933000</v>
      </c>
      <c r="Z502" s="28">
        <v>657567000</v>
      </c>
      <c r="AA502" s="28">
        <v>318808000</v>
      </c>
      <c r="AB502" s="28">
        <v>353913000</v>
      </c>
      <c r="AC502" s="28">
        <v>472423000</v>
      </c>
      <c r="AD502" s="28">
        <v>691567000</v>
      </c>
      <c r="AE502" s="28">
        <v>3278305000</v>
      </c>
      <c r="AF502" s="28">
        <v>181568000</v>
      </c>
      <c r="AG502" s="11"/>
    </row>
    <row r="503">
      <c r="A503" s="7" t="s">
        <v>2242</v>
      </c>
      <c r="B503" s="5" t="s">
        <v>10219</v>
      </c>
      <c r="C503" s="5" t="s">
        <v>18118</v>
      </c>
      <c r="D503" s="5"/>
      <c r="E503" s="0" t="e">
        <f>+7 (415) 2334467
+7 (914) 204156
+7 (415) 2201673
+7 (415) 2300809
+7 (415) 2300818
+7 (415) 2300821</f>
        <v>#NAME?</v>
      </c>
      <c r="F503" s="5" t="s">
        <v>26853</v>
      </c>
      <c r="G503" s="5"/>
      <c r="H503" s="26">
        <v>20</v>
      </c>
      <c r="I503" s="5"/>
      <c r="J503" s="5" t="s">
        <v>26499</v>
      </c>
      <c r="K503" s="5" t="s">
        <v>355</v>
      </c>
      <c r="L503" s="5" t="s">
        <v>26854</v>
      </c>
      <c r="M503" s="27">
        <v>500</v>
      </c>
      <c r="N503" s="5" t="s">
        <v>49871</v>
      </c>
      <c r="O503" s="5" t="str">
        <v>8201004722</v>
      </c>
      <c r="P503" s="27">
        <v>5005100000</v>
      </c>
      <c r="Q503" s="5" t="s">
        <v>49057</v>
      </c>
      <c r="R503" s="5"/>
      <c r="S503" s="5" t="s">
        <v>49872</v>
      </c>
      <c r="T503" s="28">
        <v>12557113000</v>
      </c>
      <c r="U503" s="28"/>
      <c r="V503" s="28">
        <v>7585472000</v>
      </c>
      <c r="W503" s="28"/>
      <c r="X503" s="28">
        <v>959573000</v>
      </c>
      <c r="Y503" s="28">
        <v>29199165000</v>
      </c>
      <c r="Z503" s="28">
        <v>-1207321000</v>
      </c>
      <c r="AA503" s="28">
        <v>22624636000</v>
      </c>
      <c r="AB503" s="28">
        <v>466000</v>
      </c>
      <c r="AC503" s="28">
        <v>2046228000</v>
      </c>
      <c r="AD503" s="28">
        <v>3797779000</v>
      </c>
      <c r="AE503" s="28">
        <v>8228044000</v>
      </c>
      <c r="AF503" s="28">
        <v>-2072693000</v>
      </c>
      <c r="AG503" s="11"/>
    </row>
    <row r="504">
      <c r="A504" s="7" t="s">
        <v>2243</v>
      </c>
      <c r="B504" s="5" t="s">
        <v>10220</v>
      </c>
      <c r="C504" s="5" t="s">
        <v>18119</v>
      </c>
      <c r="D504" s="5" t="str">
        <v>613600555027</v>
      </c>
      <c r="E504" s="0" t="e">
        <f>+7 (800) 7000217
+7 (86385) 23572
+7 (86385) 25963
+7 (86385) 29062
+7 (86385) 31151
+7 (86385) 38001
+7 (903) 4602882</f>
        <v>#NAME?</v>
      </c>
      <c r="F504" s="5" t="s">
        <v>26855</v>
      </c>
      <c r="G504" s="5" t="s">
        <v>26856</v>
      </c>
      <c r="H504" s="26">
        <v>16.5</v>
      </c>
      <c r="I504" s="5" t="s">
        <v>26857</v>
      </c>
      <c r="J504" s="5" t="s">
        <v>26858</v>
      </c>
      <c r="K504" s="5" t="s">
        <v>344</v>
      </c>
      <c r="L504" s="5" t="s">
        <v>26859</v>
      </c>
      <c r="M504" s="27"/>
      <c r="N504" s="5"/>
      <c r="O504" s="5" t="str">
        <v>7721559817</v>
      </c>
      <c r="P504" s="27">
        <v>147000000</v>
      </c>
      <c r="Q504" s="5" t="s">
        <v>49009</v>
      </c>
      <c r="R504" s="5"/>
      <c r="S504" s="5" t="s">
        <v>49066</v>
      </c>
      <c r="T504" s="28">
        <v>3411441000</v>
      </c>
      <c r="U504" s="28">
        <v>153048000</v>
      </c>
      <c r="V504" s="28">
        <v>937010000</v>
      </c>
      <c r="W504" s="28"/>
      <c r="X504" s="28">
        <v>2233177000</v>
      </c>
      <c r="Y504" s="28">
        <v>8069531000</v>
      </c>
      <c r="Z504" s="28">
        <v>3541563000</v>
      </c>
      <c r="AA504" s="28">
        <v>785028000</v>
      </c>
      <c r="AB504" s="28">
        <v>2682108000</v>
      </c>
      <c r="AC504" s="28">
        <v>3475918000</v>
      </c>
      <c r="AD504" s="28">
        <v>3688563000</v>
      </c>
      <c r="AE504" s="28">
        <v>9586075000</v>
      </c>
      <c r="AF504" s="28">
        <v>2620755000</v>
      </c>
      <c r="AG504" s="11"/>
    </row>
    <row r="505">
      <c r="A505" s="7" t="s">
        <v>2244</v>
      </c>
      <c r="B505" s="5" t="s">
        <v>10221</v>
      </c>
      <c r="C505" s="5" t="s">
        <v>18120</v>
      </c>
      <c r="D505" s="5" t="str">
        <v>720318946602</v>
      </c>
      <c r="E505" s="0" t="e">
        <f>+7 (34551) 79267
+7 (922) 4808948
+7 (34551) 78406
+7 (34551) 78424
+7 (34551) 78652
+7 (34551) 79262
+7 (34551) 79266
+7 (34551) 79270
+7 (34551) 79273
+7 (34551) 79274
+7 (966) 7642289</f>
        <v>#NAME?</v>
      </c>
      <c r="F505" s="5" t="s">
        <v>26860</v>
      </c>
      <c r="G505" s="5" t="s">
        <v>26861</v>
      </c>
      <c r="H505" s="26">
        <v>8</v>
      </c>
      <c r="I505" s="5"/>
      <c r="J505" s="5" t="s">
        <v>26862</v>
      </c>
      <c r="K505" s="5" t="s">
        <v>344</v>
      </c>
      <c r="L505" s="5" t="s">
        <v>26863</v>
      </c>
      <c r="M505" s="27"/>
      <c r="N505" s="5" t="s">
        <v>49873</v>
      </c>
      <c r="O505" s="5" t="str">
        <v>7205027920</v>
      </c>
      <c r="P505" s="27">
        <v>10100000</v>
      </c>
      <c r="Q505" s="5" t="s">
        <v>49874</v>
      </c>
      <c r="R505" s="5"/>
      <c r="S505" s="5" t="s">
        <v>49875</v>
      </c>
      <c r="T505" s="28">
        <v>936733000</v>
      </c>
      <c r="U505" s="28"/>
      <c r="V505" s="28">
        <v>776189000</v>
      </c>
      <c r="W505" s="28"/>
      <c r="X505" s="28">
        <v>531154000</v>
      </c>
      <c r="Y505" s="28">
        <v>2645567000</v>
      </c>
      <c r="Z505" s="28">
        <v>1960204000</v>
      </c>
      <c r="AA505" s="28"/>
      <c r="AB505" s="28">
        <v>200000000</v>
      </c>
      <c r="AC505" s="28">
        <v>656271000</v>
      </c>
      <c r="AD505" s="28">
        <v>1972829000</v>
      </c>
      <c r="AE505" s="28">
        <v>5449226000</v>
      </c>
      <c r="AF505" s="28">
        <v>1107085000</v>
      </c>
      <c r="AG505" s="11"/>
    </row>
    <row r="506">
      <c r="A506" s="7" t="s">
        <v>2245</v>
      </c>
      <c r="B506" s="5" t="s">
        <v>9855</v>
      </c>
      <c r="C506" s="5" t="s">
        <v>18121</v>
      </c>
      <c r="D506" s="5" t="str">
        <v>771810169064</v>
      </c>
      <c r="E506" s="0" t="e">
        <f>+7 (495) 7375555
+7 (495) 9955551
+7 (495) 7470110
+7 (495) 9255060
+7 (495) 9561300</f>
        <v>#NAME?</v>
      </c>
      <c r="F506" s="5" t="s">
        <v>26864</v>
      </c>
      <c r="G506" s="5" t="s">
        <v>26865</v>
      </c>
      <c r="H506" s="26">
        <v>16.5</v>
      </c>
      <c r="I506" s="5" t="s">
        <v>26866</v>
      </c>
      <c r="J506" s="5" t="s">
        <v>389</v>
      </c>
      <c r="K506" s="5" t="s">
        <v>344</v>
      </c>
      <c r="L506" s="5" t="s">
        <v>26867</v>
      </c>
      <c r="M506" s="27">
        <v>1199525</v>
      </c>
      <c r="N506" s="5" t="s">
        <v>49225</v>
      </c>
      <c r="O506" s="5" t="str">
        <v>7708607959</v>
      </c>
      <c r="P506" s="27">
        <v>1000000000</v>
      </c>
      <c r="Q506" s="5" t="s">
        <v>49876</v>
      </c>
      <c r="R506" s="5"/>
      <c r="S506" s="5" t="s">
        <v>49877</v>
      </c>
      <c r="T506" s="28">
        <v>73614000</v>
      </c>
      <c r="U506" s="28">
        <v>28115000</v>
      </c>
      <c r="V506" s="28">
        <v>1501190000</v>
      </c>
      <c r="W506" s="28">
        <v>2104927000</v>
      </c>
      <c r="X506" s="28">
        <v>2233812000</v>
      </c>
      <c r="Y506" s="28">
        <v>12291523000</v>
      </c>
      <c r="Z506" s="28">
        <v>2543083000</v>
      </c>
      <c r="AA506" s="28">
        <v>3550000000</v>
      </c>
      <c r="AB506" s="28">
        <v>3066368000</v>
      </c>
      <c r="AC506" s="28">
        <v>5197341000</v>
      </c>
      <c r="AD506" s="28">
        <v>3545733000</v>
      </c>
      <c r="AE506" s="28">
        <v>35467419000</v>
      </c>
      <c r="AF506" s="28">
        <v>2077251000</v>
      </c>
      <c r="AG506" s="11"/>
    </row>
    <row r="507">
      <c r="A507" s="7" t="s">
        <v>2246</v>
      </c>
      <c r="B507" s="5" t="s">
        <v>10222</v>
      </c>
      <c r="C507" s="5" t="s">
        <v>18122</v>
      </c>
      <c r="D507" s="5" t="str">
        <v>645319465604</v>
      </c>
      <c r="E507" s="0" t="e">
        <f>+7 (47234) 30410
+7 (47234) 30718
+7 (47234) 30165
+7 (47234) 35345
+7 (47234) 35518
+7 (47234) 35675
+7 (47234) 45234
+7 (47234) 68440
+7 (47234) 68441
+7 (910) 2287614
+7 (985) 6964972</f>
        <v>#NAME?</v>
      </c>
      <c r="F507" s="5" t="s">
        <v>26868</v>
      </c>
      <c r="G507" s="5"/>
      <c r="H507" s="26">
        <v>27</v>
      </c>
      <c r="I507" s="5"/>
      <c r="J507" s="5" t="s">
        <v>26869</v>
      </c>
      <c r="K507" s="5" t="s">
        <v>344</v>
      </c>
      <c r="L507" s="5"/>
      <c r="M507" s="27"/>
      <c r="N507" s="5" t="s">
        <v>49878</v>
      </c>
      <c r="O507" s="5" t="str">
        <v>3122000035</v>
      </c>
      <c r="P507" s="27">
        <v>48326900</v>
      </c>
      <c r="Q507" s="5" t="s">
        <v>49009</v>
      </c>
      <c r="R507" s="5"/>
      <c r="S507" s="5" t="s">
        <v>49879</v>
      </c>
      <c r="T507" s="28">
        <v>2717959000</v>
      </c>
      <c r="U507" s="28">
        <v>200000</v>
      </c>
      <c r="V507" s="28">
        <v>1217539000</v>
      </c>
      <c r="W507" s="28">
        <v>987440000</v>
      </c>
      <c r="X507" s="28">
        <v>239614000</v>
      </c>
      <c r="Y507" s="28">
        <v>5920582000</v>
      </c>
      <c r="Z507" s="28">
        <v>2288967000</v>
      </c>
      <c r="AA507" s="28">
        <v>1938454000</v>
      </c>
      <c r="AB507" s="28">
        <v>641960000</v>
      </c>
      <c r="AC507" s="28">
        <v>1505373000</v>
      </c>
      <c r="AD507" s="28">
        <v>2461680000</v>
      </c>
      <c r="AE507" s="28">
        <v>8018169000</v>
      </c>
      <c r="AF507" s="28">
        <v>366151000</v>
      </c>
      <c r="AG507" s="11"/>
    </row>
    <row r="508">
      <c r="A508" s="7" t="s">
        <v>2247</v>
      </c>
      <c r="B508" s="5" t="s">
        <v>10223</v>
      </c>
      <c r="C508" s="5" t="s">
        <v>18123</v>
      </c>
      <c r="D508" s="5" t="str">
        <v>772634344785</v>
      </c>
      <c r="E508" s="0" t="e">
        <f>+7 (85549) 22006
+7 (843) 2994009
+7 (843) 2994006
+7 (855) 4921600
+7 (85549) 21035
+7 (85549) 21076
+7 (85549) 26001
+7 (85549) 92002
+7 (985) 2338714</f>
        <v>#NAME?</v>
      </c>
      <c r="F508" s="5" t="s">
        <v>26870</v>
      </c>
      <c r="G508" s="5" t="s">
        <v>26871</v>
      </c>
      <c r="H508" s="26">
        <v>16.5</v>
      </c>
      <c r="I508" s="5"/>
      <c r="J508" s="5" t="s">
        <v>25275</v>
      </c>
      <c r="K508" s="5" t="s">
        <v>344</v>
      </c>
      <c r="L508" s="5"/>
      <c r="M508" s="27"/>
      <c r="N508" s="5" t="s">
        <v>49880</v>
      </c>
      <c r="O508" s="5" t="str">
        <v>1627005779</v>
      </c>
      <c r="P508" s="27">
        <v>217302380</v>
      </c>
      <c r="Q508" s="5" t="s">
        <v>49881</v>
      </c>
      <c r="R508" s="5" t="s">
        <v>49882</v>
      </c>
      <c r="S508" s="5" t="s">
        <v>49883</v>
      </c>
      <c r="T508" s="28">
        <v>35474189000</v>
      </c>
      <c r="U508" s="28">
        <v>821854000</v>
      </c>
      <c r="V508" s="28">
        <v>4029647000</v>
      </c>
      <c r="W508" s="28"/>
      <c r="X508" s="28">
        <v>4625512000</v>
      </c>
      <c r="Y508" s="28">
        <v>63388944000</v>
      </c>
      <c r="Z508" s="28">
        <v>-27133300000</v>
      </c>
      <c r="AA508" s="28">
        <v>72296248000</v>
      </c>
      <c r="AB508" s="28">
        <v>8377036000</v>
      </c>
      <c r="AC508" s="28">
        <v>10765785000</v>
      </c>
      <c r="AD508" s="28">
        <v>-22824312000</v>
      </c>
      <c r="AE508" s="28">
        <v>41222763000</v>
      </c>
      <c r="AF508" s="28">
        <v>14588417000</v>
      </c>
      <c r="AG508" s="11"/>
    </row>
    <row r="509">
      <c r="A509" s="7" t="s">
        <v>2248</v>
      </c>
      <c r="B509" s="5" t="s">
        <v>10224</v>
      </c>
      <c r="C509" s="5" t="s">
        <v>18124</v>
      </c>
      <c r="D509" s="5" t="str">
        <v>781000242379</v>
      </c>
      <c r="F509" s="5"/>
      <c r="G509" s="5"/>
      <c r="H509" s="26">
        <v>7</v>
      </c>
      <c r="I509" s="5" t="s">
        <v>26872</v>
      </c>
      <c r="J509" s="5" t="s">
        <v>25938</v>
      </c>
      <c r="K509" s="5" t="s">
        <v>344</v>
      </c>
      <c r="L509" s="5" t="s">
        <v>26873</v>
      </c>
      <c r="M509" s="27"/>
      <c r="N509" s="5"/>
      <c r="O509" s="5" t="str">
        <v>7816323489</v>
      </c>
      <c r="P509" s="27">
        <v>10000</v>
      </c>
      <c r="Q509" s="5" t="s">
        <v>49009</v>
      </c>
      <c r="R509" s="5"/>
      <c r="S509" s="5" t="s">
        <v>49066</v>
      </c>
      <c r="T509" s="28">
        <v>1959000</v>
      </c>
      <c r="U509" s="28"/>
      <c r="V509" s="28">
        <v>1152693000</v>
      </c>
      <c r="W509" s="28">
        <v>31700000</v>
      </c>
      <c r="X509" s="28">
        <v>65714000</v>
      </c>
      <c r="Y509" s="28">
        <v>1620811000</v>
      </c>
      <c r="Z509" s="28">
        <v>302232000</v>
      </c>
      <c r="AA509" s="28"/>
      <c r="AB509" s="28">
        <v>250000000</v>
      </c>
      <c r="AC509" s="28">
        <v>1318569000</v>
      </c>
      <c r="AD509" s="28">
        <v>302242000</v>
      </c>
      <c r="AE509" s="28">
        <v>6895883000</v>
      </c>
      <c r="AF509" s="28">
        <v>35371000</v>
      </c>
      <c r="AG509" s="11"/>
    </row>
    <row r="510">
      <c r="A510" s="7" t="s">
        <v>2249</v>
      </c>
      <c r="B510" s="5" t="s">
        <v>10225</v>
      </c>
      <c r="C510" s="5" t="s">
        <v>18125</v>
      </c>
      <c r="D510" s="5" t="str">
        <v>780427004053</v>
      </c>
      <c r="E510" s="0" t="e">
        <f>+7 (495) 2235608
+7 (495) 2252101
+7 (495) 2589071
+7 (495) 2710476
+7 (495) 2871467
+7 (495) 3800354
+7 (495) 5057106
+7 (495) 5891956
+7 (495) 6044225
+7 (495) 6403018
+7 (495) 7270071
+7 (495) 7414618
+7 (495) 7717068
+7 (495) 7865855
+7 (495) 7898239</f>
        <v>#NAME?</v>
      </c>
      <c r="F510" s="5" t="s">
        <v>26874</v>
      </c>
      <c r="G510" s="5"/>
      <c r="H510" s="26">
        <v>28.5</v>
      </c>
      <c r="I510" s="5" t="s">
        <v>26875</v>
      </c>
      <c r="J510" s="5" t="s">
        <v>26308</v>
      </c>
      <c r="K510" s="5" t="s">
        <v>344</v>
      </c>
      <c r="L510" s="5" t="s">
        <v>26876</v>
      </c>
      <c r="M510" s="27"/>
      <c r="N510" s="5"/>
      <c r="O510" s="5" t="str">
        <v>7825335145</v>
      </c>
      <c r="P510" s="27">
        <v>3788200532</v>
      </c>
      <c r="Q510" s="5" t="s">
        <v>49009</v>
      </c>
      <c r="R510" s="5"/>
      <c r="S510" s="5" t="s">
        <v>49884</v>
      </c>
      <c r="T510" s="28">
        <v>1634609000</v>
      </c>
      <c r="U510" s="28">
        <v>1835338000</v>
      </c>
      <c r="V510" s="28">
        <v>898337000</v>
      </c>
      <c r="W510" s="28"/>
      <c r="X510" s="28">
        <v>2768106000</v>
      </c>
      <c r="Y510" s="28">
        <v>7860969000</v>
      </c>
      <c r="Z510" s="28">
        <v>2599396000</v>
      </c>
      <c r="AA510" s="28"/>
      <c r="AB510" s="28"/>
      <c r="AC510" s="28">
        <v>1324778000</v>
      </c>
      <c r="AD510" s="28">
        <v>6403453000</v>
      </c>
      <c r="AE510" s="28">
        <v>18897093000</v>
      </c>
      <c r="AF510" s="28">
        <v>1743851000</v>
      </c>
      <c r="AG510" s="11"/>
    </row>
    <row r="511">
      <c r="A511" s="7" t="s">
        <v>2250</v>
      </c>
      <c r="B511" s="5" t="s">
        <v>10226</v>
      </c>
      <c r="C511" s="5" t="s">
        <v>18126</v>
      </c>
      <c r="D511" s="5" t="str">
        <v>470506325009</v>
      </c>
      <c r="E511" s="0" t="e">
        <f>+7 (812) 3371053</f>
        <v>#NAME?</v>
      </c>
      <c r="F511" s="5" t="s">
        <v>26877</v>
      </c>
      <c r="G511" s="5" t="s">
        <v>26878</v>
      </c>
      <c r="H511" s="26">
        <v>8</v>
      </c>
      <c r="I511" s="5" t="s">
        <v>26879</v>
      </c>
      <c r="J511" s="5" t="s">
        <v>26880</v>
      </c>
      <c r="K511" s="5" t="s">
        <v>355</v>
      </c>
      <c r="L511" s="5" t="s">
        <v>25392</v>
      </c>
      <c r="M511" s="27"/>
      <c r="N511" s="5"/>
      <c r="O511" s="5" t="str">
        <v>7802263110</v>
      </c>
      <c r="P511" s="27">
        <v>10000</v>
      </c>
      <c r="Q511" s="5" t="s">
        <v>49021</v>
      </c>
      <c r="R511" s="5"/>
      <c r="S511" s="5" t="s">
        <v>49885</v>
      </c>
      <c r="T511" s="28">
        <v>1201000</v>
      </c>
      <c r="U511" s="28"/>
      <c r="V511" s="28">
        <v>1653323000</v>
      </c>
      <c r="W511" s="28">
        <v>162818000</v>
      </c>
      <c r="X511" s="28">
        <v>440000</v>
      </c>
      <c r="Y511" s="28">
        <v>2131664000</v>
      </c>
      <c r="Z511" s="28">
        <v>-444897000</v>
      </c>
      <c r="AA511" s="28"/>
      <c r="AB511" s="28"/>
      <c r="AC511" s="28">
        <v>2576412000</v>
      </c>
      <c r="AD511" s="28">
        <v>-444887000</v>
      </c>
      <c r="AE511" s="28">
        <v>13972892000</v>
      </c>
      <c r="AF511" s="28">
        <v>-444897000</v>
      </c>
      <c r="AG511" s="11"/>
    </row>
    <row r="512">
      <c r="A512" s="7" t="s">
        <v>2251</v>
      </c>
      <c r="B512" s="5" t="s">
        <v>10227</v>
      </c>
      <c r="C512" s="5" t="s">
        <v>18127</v>
      </c>
      <c r="D512" s="5" t="str">
        <v>774345222799</v>
      </c>
      <c r="E512" s="0" t="e">
        <f>+7 (964) 7081111
+7 (916) 9890792
+7 (916) 9890793
+7 (985) 2267012</f>
        <v>#NAME?</v>
      </c>
      <c r="F512" s="5" t="s">
        <v>26881</v>
      </c>
      <c r="G512" s="5"/>
      <c r="H512" s="26">
        <v>15</v>
      </c>
      <c r="I512" s="5" t="s">
        <v>26882</v>
      </c>
      <c r="J512" s="5" t="s">
        <v>25429</v>
      </c>
      <c r="K512" s="5" t="s">
        <v>344</v>
      </c>
      <c r="L512" s="5" t="s">
        <v>26883</v>
      </c>
      <c r="M512" s="27"/>
      <c r="N512" s="5" t="s">
        <v>49886</v>
      </c>
      <c r="O512" s="5" t="str">
        <v>7709771052</v>
      </c>
      <c r="P512" s="27">
        <v>1000000</v>
      </c>
      <c r="Q512" s="5" t="s">
        <v>49009</v>
      </c>
      <c r="R512" s="5"/>
      <c r="S512" s="5" t="s">
        <v>49204</v>
      </c>
      <c r="T512" s="28">
        <v>61971000</v>
      </c>
      <c r="U512" s="28"/>
      <c r="V512" s="28">
        <v>2342597000</v>
      </c>
      <c r="W512" s="28">
        <v>4841000</v>
      </c>
      <c r="X512" s="28">
        <v>57943000</v>
      </c>
      <c r="Y512" s="28">
        <v>2719496000</v>
      </c>
      <c r="Z512" s="28">
        <v>409751000</v>
      </c>
      <c r="AA512" s="28"/>
      <c r="AB512" s="28"/>
      <c r="AC512" s="28">
        <v>2306237000</v>
      </c>
      <c r="AD512" s="28">
        <v>410751000</v>
      </c>
      <c r="AE512" s="28">
        <v>3472224000</v>
      </c>
      <c r="AF512" s="28">
        <v>118565000</v>
      </c>
      <c r="AG512" s="11"/>
    </row>
    <row r="513">
      <c r="A513" s="7" t="s">
        <v>2252</v>
      </c>
      <c r="B513" s="5" t="s">
        <v>10228</v>
      </c>
      <c r="C513" s="5" t="s">
        <v>18128</v>
      </c>
      <c r="D513" s="5" t="str">
        <v>771591666889</v>
      </c>
      <c r="E513" s="0" t="e">
        <f>+7 (812) 7033043
+7 (812) 7033046
+7 (812) 7033047
+7 (812) 7033989</f>
        <v>#NAME?</v>
      </c>
      <c r="F513" s="5" t="s">
        <v>26884</v>
      </c>
      <c r="G513" s="5" t="s">
        <v>26885</v>
      </c>
      <c r="H513" s="26">
        <v>14.5</v>
      </c>
      <c r="I513" s="5" t="s">
        <v>26886</v>
      </c>
      <c r="J513" s="5" t="s">
        <v>26887</v>
      </c>
      <c r="K513" s="5" t="s">
        <v>344</v>
      </c>
      <c r="L513" s="5" t="s">
        <v>26888</v>
      </c>
      <c r="M513" s="27"/>
      <c r="N513" s="5" t="s">
        <v>49887</v>
      </c>
      <c r="O513" s="5" t="str">
        <v>7805468771</v>
      </c>
      <c r="P513" s="27">
        <v>10000000</v>
      </c>
      <c r="Q513" s="5"/>
      <c r="R513" s="5"/>
      <c r="S513" s="5" t="s">
        <v>49399</v>
      </c>
      <c r="T513" s="28">
        <v>63195000</v>
      </c>
      <c r="U513" s="28"/>
      <c r="V513" s="28">
        <v>516070000</v>
      </c>
      <c r="W513" s="28">
        <v>7136000</v>
      </c>
      <c r="X513" s="28">
        <v>2837000</v>
      </c>
      <c r="Y513" s="28">
        <v>1080123000</v>
      </c>
      <c r="Z513" s="28">
        <v>145056000</v>
      </c>
      <c r="AA513" s="28"/>
      <c r="AB513" s="28">
        <v>825390000</v>
      </c>
      <c r="AC513" s="28">
        <v>909439000</v>
      </c>
      <c r="AD513" s="28">
        <v>155056000</v>
      </c>
      <c r="AE513" s="28">
        <v>4586385000</v>
      </c>
      <c r="AF513" s="28">
        <v>53448000</v>
      </c>
      <c r="AG513" s="11"/>
    </row>
    <row r="514">
      <c r="A514" s="7" t="s">
        <v>2252</v>
      </c>
      <c r="B514" s="5" t="s">
        <v>10229</v>
      </c>
      <c r="C514" s="5" t="s">
        <v>18129</v>
      </c>
      <c r="D514" s="5" t="str">
        <v>233504125601</v>
      </c>
      <c r="E514" s="0" t="e">
        <f>+7 (861) 2530100
+7 (861) 2533859</f>
        <v>#NAME?</v>
      </c>
      <c r="F514" s="5" t="s">
        <v>26889</v>
      </c>
      <c r="G514" s="5" t="s">
        <v>26890</v>
      </c>
      <c r="H514" s="26">
        <v>14.5</v>
      </c>
      <c r="I514" s="5" t="s">
        <v>26891</v>
      </c>
      <c r="J514" s="5" t="s">
        <v>25262</v>
      </c>
      <c r="K514" s="5" t="s">
        <v>355</v>
      </c>
      <c r="L514" s="5" t="s">
        <v>26892</v>
      </c>
      <c r="M514" s="27"/>
      <c r="N514" s="5" t="s">
        <v>49888</v>
      </c>
      <c r="O514" s="5" t="str">
        <v>2308151510</v>
      </c>
      <c r="P514" s="27">
        <v>500000</v>
      </c>
      <c r="Q514" s="5"/>
      <c r="R514" s="5"/>
      <c r="S514" s="5" t="s">
        <v>49162</v>
      </c>
      <c r="T514" s="28">
        <v>91562000</v>
      </c>
      <c r="U514" s="28"/>
      <c r="V514" s="28">
        <v>231461000</v>
      </c>
      <c r="W514" s="28">
        <v>21892000</v>
      </c>
      <c r="X514" s="28">
        <v>416143000</v>
      </c>
      <c r="Y514" s="28">
        <v>1800888000</v>
      </c>
      <c r="Z514" s="28">
        <v>4351000</v>
      </c>
      <c r="AA514" s="28"/>
      <c r="AB514" s="28">
        <v>119521000</v>
      </c>
      <c r="AC514" s="28">
        <v>1796037000</v>
      </c>
      <c r="AD514" s="28">
        <v>4851000</v>
      </c>
      <c r="AE514" s="28">
        <v>3156843000</v>
      </c>
      <c r="AF514" s="28">
        <v>566265000</v>
      </c>
      <c r="AG514" s="11"/>
    </row>
    <row r="515">
      <c r="A515" s="7" t="s">
        <v>2253</v>
      </c>
      <c r="B515" s="5" t="s">
        <v>10230</v>
      </c>
      <c r="C515" s="5" t="s">
        <v>18130</v>
      </c>
      <c r="D515" s="5" t="str">
        <v>772804048680</v>
      </c>
      <c r="E515" s="0" t="e">
        <f>+7 (495) 6467560
+7 (495) 7257560
+7 (495) 7257660
+7 (495) 7257663
+7 (812) 3295719</f>
        <v>#NAME?</v>
      </c>
      <c r="F515" s="5" t="s">
        <v>26893</v>
      </c>
      <c r="G515" s="5" t="s">
        <v>26894</v>
      </c>
      <c r="H515" s="26">
        <v>28</v>
      </c>
      <c r="I515" s="5"/>
      <c r="J515" s="5" t="s">
        <v>748</v>
      </c>
      <c r="K515" s="5" t="s">
        <v>344</v>
      </c>
      <c r="L515" s="5" t="s">
        <v>26895</v>
      </c>
      <c r="M515" s="27">
        <v>4954748</v>
      </c>
      <c r="N515" s="5" t="s">
        <v>49889</v>
      </c>
      <c r="O515" s="5" t="str">
        <v>7703025499</v>
      </c>
      <c r="P515" s="27">
        <v>21000</v>
      </c>
      <c r="Q515" s="5" t="s">
        <v>49890</v>
      </c>
      <c r="R515" s="5"/>
      <c r="S515" s="5" t="s">
        <v>49891</v>
      </c>
      <c r="T515" s="28">
        <v>247497000</v>
      </c>
      <c r="U515" s="28">
        <v>748000</v>
      </c>
      <c r="V515" s="28">
        <v>659574000</v>
      </c>
      <c r="W515" s="28">
        <v>9548000</v>
      </c>
      <c r="X515" s="28">
        <v>85392000</v>
      </c>
      <c r="Y515" s="28">
        <v>1956333000</v>
      </c>
      <c r="Z515" s="28">
        <v>716448000</v>
      </c>
      <c r="AA515" s="28"/>
      <c r="AB515" s="28"/>
      <c r="AC515" s="28">
        <v>1009796000</v>
      </c>
      <c r="AD515" s="28">
        <v>716469000</v>
      </c>
      <c r="AE515" s="28">
        <v>3321099000</v>
      </c>
      <c r="AF515" s="28">
        <v>83653000</v>
      </c>
      <c r="AG515" s="11"/>
    </row>
    <row r="516">
      <c r="A516" s="7" t="s">
        <v>2254</v>
      </c>
      <c r="B516" s="5" t="s">
        <v>10231</v>
      </c>
      <c r="C516" s="5" t="s">
        <v>18131</v>
      </c>
      <c r="D516" s="5" t="str">
        <v>390500332225</v>
      </c>
      <c r="E516" s="0" t="e">
        <f>+7 (495) 2520167
+7 (495) 4823833
+7 (495) 4824444
+7 (499) 2520167</f>
        <v>#NAME?</v>
      </c>
      <c r="F516" s="5" t="s">
        <v>26896</v>
      </c>
      <c r="G516" s="5"/>
      <c r="H516" s="26">
        <v>18</v>
      </c>
      <c r="I516" s="5" t="s">
        <v>26897</v>
      </c>
      <c r="J516" s="5" t="s">
        <v>364</v>
      </c>
      <c r="K516" s="5" t="s">
        <v>355</v>
      </c>
      <c r="L516" s="5" t="s">
        <v>1129</v>
      </c>
      <c r="M516" s="27">
        <v>42532327</v>
      </c>
      <c r="N516" s="5" t="s">
        <v>49892</v>
      </c>
      <c r="O516" s="5" t="str">
        <v>7710568658</v>
      </c>
      <c r="P516" s="27">
        <v>1000000</v>
      </c>
      <c r="Q516" s="5" t="s">
        <v>49894</v>
      </c>
      <c r="R516" s="5" t="s">
        <v>49895</v>
      </c>
      <c r="S516" s="5" t="s">
        <v>49896</v>
      </c>
      <c r="T516" s="28">
        <v>40806000</v>
      </c>
      <c r="U516" s="28">
        <v>10000</v>
      </c>
      <c r="V516" s="28">
        <v>3769648000</v>
      </c>
      <c r="W516" s="28">
        <v>273572000</v>
      </c>
      <c r="X516" s="28">
        <v>128289000</v>
      </c>
      <c r="Y516" s="28">
        <v>10010308000</v>
      </c>
      <c r="Z516" s="28">
        <v>85243000</v>
      </c>
      <c r="AA516" s="28"/>
      <c r="AB516" s="28"/>
      <c r="AC516" s="28">
        <v>9882581000</v>
      </c>
      <c r="AD516" s="28">
        <v>86243000</v>
      </c>
      <c r="AE516" s="28">
        <v>4550429000</v>
      </c>
      <c r="AF516" s="28">
        <v>21365000</v>
      </c>
      <c r="AG516" s="11"/>
    </row>
    <row r="517">
      <c r="A517" s="7" t="s">
        <v>2255</v>
      </c>
      <c r="B517" s="5" t="s">
        <v>10232</v>
      </c>
      <c r="C517" s="5" t="s">
        <v>18132</v>
      </c>
      <c r="D517" s="5" t="str">
        <v>780407297690</v>
      </c>
      <c r="E517" s="0" t="e">
        <f>+7 (812) 3468900
+7 (812) 3468975
+7 (812) 4562471</f>
        <v>#NAME?</v>
      </c>
      <c r="F517" s="5" t="s">
        <v>26898</v>
      </c>
      <c r="G517" s="5" t="s">
        <v>26899</v>
      </c>
      <c r="H517" s="26">
        <v>20.5</v>
      </c>
      <c r="I517" s="5" t="s">
        <v>26900</v>
      </c>
      <c r="J517" s="5" t="s">
        <v>25559</v>
      </c>
      <c r="K517" s="5" t="s">
        <v>344</v>
      </c>
      <c r="L517" s="5" t="s">
        <v>26901</v>
      </c>
      <c r="M517" s="27"/>
      <c r="N517" s="5"/>
      <c r="O517" s="5" t="str">
        <v>7801214737</v>
      </c>
      <c r="P517" s="27">
        <v>10000</v>
      </c>
      <c r="Q517" s="5" t="s">
        <v>49009</v>
      </c>
      <c r="R517" s="5"/>
      <c r="S517" s="5" t="s">
        <v>49010</v>
      </c>
      <c r="T517" s="28">
        <v>77768000</v>
      </c>
      <c r="U517" s="28"/>
      <c r="V517" s="28">
        <v>1026826000</v>
      </c>
      <c r="W517" s="28"/>
      <c r="X517" s="28">
        <v>2912000</v>
      </c>
      <c r="Y517" s="28">
        <v>4009003000</v>
      </c>
      <c r="Z517" s="28">
        <v>954239000</v>
      </c>
      <c r="AA517" s="28">
        <v>21725000</v>
      </c>
      <c r="AB517" s="28">
        <v>165560000</v>
      </c>
      <c r="AC517" s="28">
        <v>3028256000</v>
      </c>
      <c r="AD517" s="28">
        <v>954249000</v>
      </c>
      <c r="AE517" s="28">
        <v>7673082000</v>
      </c>
      <c r="AF517" s="28">
        <v>436274000</v>
      </c>
      <c r="AG517" s="11"/>
    </row>
    <row r="518">
      <c r="A518" s="7" t="s">
        <v>2256</v>
      </c>
      <c r="B518" s="5" t="s">
        <v>10233</v>
      </c>
      <c r="C518" s="5" t="s">
        <v>18133</v>
      </c>
      <c r="D518" s="5" t="str">
        <v>081100918943</v>
      </c>
      <c r="E518" s="0" t="e">
        <f>+7 (818) 2200881
+7 (818) 2210570
+7 (818) 2210580
+7 (818) 2211210
+7 (818) 2211730
+7 (818) 2211945
+7 (818) 2671007
+7 (818) 2671026
+7 (818) 2671035
+7 (818) 2671037
+7 (818) 2671108
+7 (818) 2671391
+7 (818) 2671443
+7 (921) 4808490</f>
        <v>#NAME?</v>
      </c>
      <c r="F518" s="5" t="s">
        <v>26902</v>
      </c>
      <c r="G518" s="5" t="s">
        <v>26903</v>
      </c>
      <c r="H518" s="26">
        <v>30</v>
      </c>
      <c r="I518" s="5" t="s">
        <v>26904</v>
      </c>
      <c r="J518" s="5" t="s">
        <v>26905</v>
      </c>
      <c r="K518" s="5" t="s">
        <v>344</v>
      </c>
      <c r="L518" s="5" t="s">
        <v>26906</v>
      </c>
      <c r="M518" s="27">
        <v>5250000</v>
      </c>
      <c r="N518" s="5" t="s">
        <v>49897</v>
      </c>
      <c r="O518" s="5" t="str">
        <v>2901311982</v>
      </c>
      <c r="P518" s="27">
        <v>125300</v>
      </c>
      <c r="Q518" s="5" t="s">
        <v>49898</v>
      </c>
      <c r="R518" s="5" t="s">
        <v>49899</v>
      </c>
      <c r="S518" s="5" t="s">
        <v>49032</v>
      </c>
      <c r="T518" s="28">
        <v>1158063000</v>
      </c>
      <c r="U518" s="28">
        <v>948000</v>
      </c>
      <c r="V518" s="28">
        <v>534512000</v>
      </c>
      <c r="W518" s="28"/>
      <c r="X518" s="28">
        <v>699565000</v>
      </c>
      <c r="Y518" s="28">
        <v>2527847000</v>
      </c>
      <c r="Z518" s="28">
        <v>1341844000</v>
      </c>
      <c r="AA518" s="28"/>
      <c r="AB518" s="28"/>
      <c r="AC518" s="28">
        <v>1018294000</v>
      </c>
      <c r="AD518" s="28">
        <v>1492146000</v>
      </c>
      <c r="AE518" s="28">
        <v>3988504000</v>
      </c>
      <c r="AF518" s="28">
        <v>1821380000</v>
      </c>
      <c r="AG518" s="11"/>
    </row>
    <row r="519">
      <c r="A519" s="7" t="s">
        <v>2257</v>
      </c>
      <c r="B519" s="5" t="s">
        <v>10234</v>
      </c>
      <c r="C519" s="5" t="s">
        <v>18134</v>
      </c>
      <c r="D519" s="5" t="str">
        <v>502912438575</v>
      </c>
      <c r="E519" s="0" t="e">
        <f>+7 (3433) 795232
+7 (495) 2480011
+7 (495) 2840011
+7 (905) 5381840</f>
        <v>#NAME?</v>
      </c>
      <c r="F519" s="5" t="s">
        <v>26907</v>
      </c>
      <c r="G519" s="5" t="s">
        <v>26908</v>
      </c>
      <c r="H519" s="26">
        <v>9.5</v>
      </c>
      <c r="I519" s="5" t="s">
        <v>26909</v>
      </c>
      <c r="J519" s="5" t="s">
        <v>599</v>
      </c>
      <c r="K519" s="5" t="s">
        <v>344</v>
      </c>
      <c r="L519" s="5" t="s">
        <v>26910</v>
      </c>
      <c r="M519" s="27">
        <v>1534683</v>
      </c>
      <c r="N519" s="5" t="s">
        <v>49900</v>
      </c>
      <c r="O519" s="5" t="str">
        <v>7716750198</v>
      </c>
      <c r="P519" s="27">
        <v>200000</v>
      </c>
      <c r="Q519" s="5" t="s">
        <v>49009</v>
      </c>
      <c r="R519" s="5"/>
      <c r="S519" s="5" t="s">
        <v>49361</v>
      </c>
      <c r="T519" s="28">
        <v>454622000</v>
      </c>
      <c r="U519" s="28">
        <v>30000000</v>
      </c>
      <c r="V519" s="28">
        <v>258362000</v>
      </c>
      <c r="W519" s="28">
        <v>2485000</v>
      </c>
      <c r="X519" s="28">
        <v>759334000</v>
      </c>
      <c r="Y519" s="28">
        <v>1641624000</v>
      </c>
      <c r="Z519" s="28">
        <v>747727000</v>
      </c>
      <c r="AA519" s="28">
        <v>204826000</v>
      </c>
      <c r="AB519" s="28">
        <v>88050000</v>
      </c>
      <c r="AC519" s="28">
        <v>655880000</v>
      </c>
      <c r="AD519" s="28">
        <v>747927000</v>
      </c>
      <c r="AE519" s="28">
        <v>3557345000</v>
      </c>
      <c r="AF519" s="28">
        <v>496649000</v>
      </c>
      <c r="AG519" s="11"/>
    </row>
    <row r="520">
      <c r="A520" s="7" t="s">
        <v>2258</v>
      </c>
      <c r="B520" s="5" t="s">
        <v>10235</v>
      </c>
      <c r="C520" s="5" t="s">
        <v>18135</v>
      </c>
      <c r="D520" s="5" t="str">
        <v>616113982263</v>
      </c>
      <c r="E520" s="0" t="e">
        <f>+7 (421) 2400322
+7 (421) 2274888
+7 (421) 2400300
+7 (421) 2400302
+7 (421) 2400303
+7 (421) 2400305
+7 (421) 2400315
+7 (421) 2400323
+7 (421) 2400332
+7 (421) 2400343
+7 (421) 2400346
+7 (421) 2400347
+7 (421) 2400348
+7 (421) 2400349
+7 (421) 2793948</f>
        <v>#NAME?</v>
      </c>
      <c r="F520" s="5" t="s">
        <v>26911</v>
      </c>
      <c r="G520" s="5" t="s">
        <v>26912</v>
      </c>
      <c r="H520" s="26">
        <v>12.5</v>
      </c>
      <c r="I520" s="5" t="s">
        <v>26913</v>
      </c>
      <c r="J520" s="5" t="s">
        <v>26499</v>
      </c>
      <c r="K520" s="5" t="s">
        <v>380</v>
      </c>
      <c r="L520" s="5" t="s">
        <v>26914</v>
      </c>
      <c r="M520" s="27">
        <v>29114572</v>
      </c>
      <c r="N520" s="5"/>
      <c r="O520" s="5" t="str">
        <v>2708001686</v>
      </c>
      <c r="P520" s="27">
        <v>1639414569</v>
      </c>
      <c r="Q520" s="5" t="s">
        <v>49009</v>
      </c>
      <c r="R520" s="5"/>
      <c r="S520" s="5" t="s">
        <v>49901</v>
      </c>
      <c r="T520" s="28">
        <v>6540865000</v>
      </c>
      <c r="U520" s="28">
        <v>976805000</v>
      </c>
      <c r="V520" s="28">
        <v>982303000</v>
      </c>
      <c r="W520" s="28"/>
      <c r="X520" s="28">
        <v>404294000</v>
      </c>
      <c r="Y520" s="28">
        <v>15004803000</v>
      </c>
      <c r="Z520" s="28">
        <v>4104660000</v>
      </c>
      <c r="AA520" s="28">
        <v>7000000000</v>
      </c>
      <c r="AB520" s="28">
        <v>928025000</v>
      </c>
      <c r="AC520" s="28">
        <v>1933103000</v>
      </c>
      <c r="AD520" s="28">
        <v>5744075000</v>
      </c>
      <c r="AE520" s="28">
        <v>5946534000</v>
      </c>
      <c r="AF520" s="28">
        <v>-971577000</v>
      </c>
      <c r="AG520" s="11"/>
    </row>
    <row r="521">
      <c r="A521" s="7" t="s">
        <v>2259</v>
      </c>
      <c r="B521" s="5" t="s">
        <v>10236</v>
      </c>
      <c r="C521" s="5" t="s">
        <v>18136</v>
      </c>
      <c r="D521" s="5" t="str">
        <v>272514015320</v>
      </c>
      <c r="E521" s="0" t="e">
        <f>+7 (423) 2407917
+7 (421) 2783335
+7 (914) 1831752
+7 (421) 2400788
+7 (421) 2400800
+7 (421) 2450043
+7 (421) 2450325
+7 (421) 2450592
+7 (421) 2794055
+7 (423) 2407920
+7 (423) 2407958</f>
        <v>#NAME?</v>
      </c>
      <c r="F521" s="5" t="s">
        <v>26915</v>
      </c>
      <c r="G521" s="5" t="s">
        <v>26916</v>
      </c>
      <c r="H521" s="26">
        <v>27</v>
      </c>
      <c r="I521" s="5" t="s">
        <v>26917</v>
      </c>
      <c r="J521" s="5" t="s">
        <v>26918</v>
      </c>
      <c r="K521" s="5" t="s">
        <v>344</v>
      </c>
      <c r="L521" s="5" t="s">
        <v>26919</v>
      </c>
      <c r="M521" s="27">
        <v>14660728</v>
      </c>
      <c r="N521" s="5" t="s">
        <v>49902</v>
      </c>
      <c r="O521" s="5" t="str">
        <v>2702093899</v>
      </c>
      <c r="P521" s="27">
        <v>3509800</v>
      </c>
      <c r="Q521" s="5" t="s">
        <v>49903</v>
      </c>
      <c r="R521" s="5" t="s">
        <v>49904</v>
      </c>
      <c r="S521" s="5" t="s">
        <v>49905</v>
      </c>
      <c r="T521" s="28">
        <v>591464000</v>
      </c>
      <c r="U521" s="28">
        <v>1000000</v>
      </c>
      <c r="V521" s="28">
        <v>1607687000</v>
      </c>
      <c r="W521" s="28">
        <v>211013000</v>
      </c>
      <c r="X521" s="28">
        <v>1258061000</v>
      </c>
      <c r="Y521" s="28">
        <v>6405470000</v>
      </c>
      <c r="Z521" s="28">
        <v>4330709000</v>
      </c>
      <c r="AA521" s="28"/>
      <c r="AB521" s="28">
        <v>808963000</v>
      </c>
      <c r="AC521" s="28">
        <v>1996605000</v>
      </c>
      <c r="AD521" s="28">
        <v>4422871000</v>
      </c>
      <c r="AE521" s="28">
        <v>9826355000</v>
      </c>
      <c r="AF521" s="28">
        <v>394460000</v>
      </c>
      <c r="AG521" s="11"/>
    </row>
    <row r="522">
      <c r="A522" s="7" t="s">
        <v>2260</v>
      </c>
      <c r="B522" s="5" t="s">
        <v>10237</v>
      </c>
      <c r="C522" s="5" t="s">
        <v>18137</v>
      </c>
      <c r="D522" s="5"/>
      <c r="E522" s="0" t="e">
        <f>+7 (416) 2201192
+7 (416) 2201196
+7 (416) 2201701
+7 (416) 2440504
+7 (416) 2991129
+7 (41639) 98115</f>
        <v>#NAME?</v>
      </c>
      <c r="F522" s="5" t="s">
        <v>26920</v>
      </c>
      <c r="G522" s="5"/>
      <c r="H522" s="26">
        <v>14.5</v>
      </c>
      <c r="I522" s="5" t="s">
        <v>26921</v>
      </c>
      <c r="J522" s="5" t="s">
        <v>841</v>
      </c>
      <c r="K522" s="5" t="s">
        <v>355</v>
      </c>
      <c r="L522" s="5" t="s">
        <v>26922</v>
      </c>
      <c r="M522" s="27"/>
      <c r="N522" s="5" t="s">
        <v>49906</v>
      </c>
      <c r="O522" s="5" t="str">
        <v>2801134017</v>
      </c>
      <c r="P522" s="27">
        <v>44890000</v>
      </c>
      <c r="Q522" s="5" t="s">
        <v>49009</v>
      </c>
      <c r="R522" s="5"/>
      <c r="S522" s="5" t="s">
        <v>49907</v>
      </c>
      <c r="T522" s="28">
        <v>2490332000</v>
      </c>
      <c r="U522" s="28"/>
      <c r="V522" s="28">
        <v>877073000</v>
      </c>
      <c r="W522" s="28">
        <v>88337000</v>
      </c>
      <c r="X522" s="28">
        <v>317684000</v>
      </c>
      <c r="Y522" s="28">
        <v>6909851000</v>
      </c>
      <c r="Z522" s="28">
        <v>1794176000</v>
      </c>
      <c r="AA522" s="28">
        <v>2457312000</v>
      </c>
      <c r="AB522" s="28">
        <v>2070406000</v>
      </c>
      <c r="AC522" s="28">
        <v>2413575000</v>
      </c>
      <c r="AD522" s="28">
        <v>1955351000</v>
      </c>
      <c r="AE522" s="28">
        <v>3440832000</v>
      </c>
      <c r="AF522" s="28">
        <v>-1570660000</v>
      </c>
      <c r="AG522" s="11"/>
    </row>
    <row r="523">
      <c r="A523" s="7" t="s">
        <v>2261</v>
      </c>
      <c r="B523" s="5" t="s">
        <v>10238</v>
      </c>
      <c r="C523" s="5" t="s">
        <v>18138</v>
      </c>
      <c r="D523" s="5" t="str">
        <v>381108937382</v>
      </c>
      <c r="E523" s="0" t="e">
        <f>+7 (421) 2793848
+7 (421) 2314590
+7 (421) 2314610
+7 (421) 2324769
+7 (421) 2400500
+7 (421) 2400600
+7 (421) 2400667
+7 (421) 2416665
+7 (42142) 44000
+7 (42142) 44222</f>
        <v>#NAME?</v>
      </c>
      <c r="F523" s="5"/>
      <c r="G523" s="5"/>
      <c r="H523" s="26">
        <v>14.5</v>
      </c>
      <c r="I523" s="5" t="s">
        <v>26923</v>
      </c>
      <c r="J523" s="5" t="s">
        <v>26924</v>
      </c>
      <c r="K523" s="5" t="s">
        <v>380</v>
      </c>
      <c r="L523" s="5"/>
      <c r="M523" s="27"/>
      <c r="N523" s="5"/>
      <c r="O523" s="5" t="str">
        <v>2721162072</v>
      </c>
      <c r="P523" s="27">
        <v>1823301667</v>
      </c>
      <c r="Q523" s="5" t="s">
        <v>49009</v>
      </c>
      <c r="R523" s="5" t="s">
        <v>49543</v>
      </c>
      <c r="S523" s="5" t="s">
        <v>49045</v>
      </c>
      <c r="T523" s="28">
        <v>5968720000</v>
      </c>
      <c r="U523" s="28">
        <v>282210000</v>
      </c>
      <c r="V523" s="28">
        <v>560922000</v>
      </c>
      <c r="W523" s="28">
        <v>163800000</v>
      </c>
      <c r="X523" s="28">
        <v>115000</v>
      </c>
      <c r="Y523" s="28">
        <v>10557769000</v>
      </c>
      <c r="Z523" s="28">
        <v>-11380238000</v>
      </c>
      <c r="AA523" s="28">
        <v>68147000</v>
      </c>
      <c r="AB523" s="28"/>
      <c r="AC523" s="28">
        <v>2509805000</v>
      </c>
      <c r="AD523" s="28">
        <v>7318342000</v>
      </c>
      <c r="AE523" s="28">
        <v>5855675000</v>
      </c>
      <c r="AF523" s="28">
        <v>-4693943000</v>
      </c>
      <c r="AG523" s="11"/>
    </row>
    <row r="524">
      <c r="A524" s="7" t="s">
        <v>2262</v>
      </c>
      <c r="B524" s="5" t="s">
        <v>10239</v>
      </c>
      <c r="C524" s="5" t="s">
        <v>18139</v>
      </c>
      <c r="D524" s="5" t="str">
        <v>280107469987</v>
      </c>
      <c r="E524" s="0" t="e">
        <f>+7 (416) 2201490
+7 (416) 2252868
+7 (416) 2319868
+7 (416) 2336940
+7 (416) 2336942
+7 (416) 2336947
+7 (416) 2336949
+7 (421) 2505550</f>
        <v>#NAME?</v>
      </c>
      <c r="F524" s="5" t="s">
        <v>26925</v>
      </c>
      <c r="G524" s="5" t="s">
        <v>26926</v>
      </c>
      <c r="H524" s="26">
        <v>24.5</v>
      </c>
      <c r="I524" s="5" t="s">
        <v>26927</v>
      </c>
      <c r="J524" s="5" t="s">
        <v>25450</v>
      </c>
      <c r="K524" s="5" t="s">
        <v>344</v>
      </c>
      <c r="L524" s="5" t="s">
        <v>26928</v>
      </c>
      <c r="M524" s="27"/>
      <c r="N524" s="5" t="s">
        <v>49908</v>
      </c>
      <c r="O524" s="5" t="str">
        <v>2801065123</v>
      </c>
      <c r="P524" s="27">
        <v>7923000</v>
      </c>
      <c r="Q524" s="5"/>
      <c r="R524" s="5"/>
      <c r="S524" s="5" t="s">
        <v>49399</v>
      </c>
      <c r="T524" s="28">
        <v>1171303000</v>
      </c>
      <c r="U524" s="28"/>
      <c r="V524" s="28">
        <v>554246000</v>
      </c>
      <c r="W524" s="28">
        <v>175150000</v>
      </c>
      <c r="X524" s="28">
        <v>20504000</v>
      </c>
      <c r="Y524" s="28">
        <v>3395704000</v>
      </c>
      <c r="Z524" s="28">
        <v>3003139000</v>
      </c>
      <c r="AA524" s="28"/>
      <c r="AB524" s="28">
        <v>268424000</v>
      </c>
      <c r="AC524" s="28">
        <v>372588000</v>
      </c>
      <c r="AD524" s="28">
        <v>3023116000</v>
      </c>
      <c r="AE524" s="28">
        <v>4414251000</v>
      </c>
      <c r="AF524" s="28">
        <v>378859000</v>
      </c>
      <c r="AG524" s="11"/>
    </row>
    <row r="525">
      <c r="A525" s="7" t="s">
        <v>2263</v>
      </c>
      <c r="B525" s="5" t="s">
        <v>10240</v>
      </c>
      <c r="C525" s="5" t="s">
        <v>18140</v>
      </c>
      <c r="D525" s="5" t="str">
        <v>504709435806</v>
      </c>
      <c r="E525" s="0" t="e">
        <f>+7 (4217) 529463
+7 (4217) 529502
+7 (924) 1095599</f>
        <v>#NAME?</v>
      </c>
      <c r="F525" s="5" t="s">
        <v>26929</v>
      </c>
      <c r="G525" s="5" t="s">
        <v>26930</v>
      </c>
      <c r="H525" s="26">
        <v>6.5</v>
      </c>
      <c r="I525" s="5" t="s">
        <v>26931</v>
      </c>
      <c r="J525" s="5" t="s">
        <v>26932</v>
      </c>
      <c r="K525" s="5" t="s">
        <v>355</v>
      </c>
      <c r="L525" s="5" t="s">
        <v>26933</v>
      </c>
      <c r="M525" s="27">
        <v>612824702</v>
      </c>
      <c r="N525" s="5" t="s">
        <v>49910</v>
      </c>
      <c r="O525" s="5" t="str">
        <v>2723188252</v>
      </c>
      <c r="P525" s="27">
        <v>79510000</v>
      </c>
      <c r="Q525" s="5" t="s">
        <v>1685</v>
      </c>
      <c r="R525" s="5" t="s">
        <v>49912</v>
      </c>
      <c r="S525" s="5" t="s">
        <v>49913</v>
      </c>
      <c r="T525" s="28">
        <v>1955290000</v>
      </c>
      <c r="U525" s="28">
        <v>2211000</v>
      </c>
      <c r="V525" s="28">
        <v>1511606000</v>
      </c>
      <c r="W525" s="28"/>
      <c r="X525" s="28">
        <v>604836000</v>
      </c>
      <c r="Y525" s="28">
        <v>9287641000</v>
      </c>
      <c r="Z525" s="28">
        <v>2666346000</v>
      </c>
      <c r="AA525" s="28">
        <v>2857340000</v>
      </c>
      <c r="AB525" s="28">
        <v>2439863000</v>
      </c>
      <c r="AC525" s="28">
        <v>3577976000</v>
      </c>
      <c r="AD525" s="28">
        <v>2746342000</v>
      </c>
      <c r="AE525" s="28">
        <v>30463905000</v>
      </c>
      <c r="AF525" s="28">
        <v>719679000</v>
      </c>
      <c r="AG525" s="11"/>
    </row>
    <row r="526">
      <c r="A526" s="7" t="s">
        <v>2264</v>
      </c>
      <c r="B526" s="5" t="s">
        <v>10241</v>
      </c>
      <c r="C526" s="5" t="s">
        <v>18141</v>
      </c>
      <c r="D526" s="5" t="str">
        <v>280128117168</v>
      </c>
      <c r="E526" s="0" t="e">
        <f>+7 (914) 5523887</f>
        <v>#NAME?</v>
      </c>
      <c r="F526" s="5" t="s">
        <v>26934</v>
      </c>
      <c r="G526" s="5"/>
      <c r="H526" s="26">
        <v>7.5</v>
      </c>
      <c r="I526" s="5" t="s">
        <v>26935</v>
      </c>
      <c r="J526" s="5" t="s">
        <v>397</v>
      </c>
      <c r="K526" s="5" t="s">
        <v>344</v>
      </c>
      <c r="L526" s="5" t="s">
        <v>26936</v>
      </c>
      <c r="M526" s="27">
        <v>688001</v>
      </c>
      <c r="N526" s="5" t="s">
        <v>49914</v>
      </c>
      <c r="O526" s="5" t="str">
        <v>2801208741</v>
      </c>
      <c r="P526" s="27">
        <v>10000</v>
      </c>
      <c r="Q526" s="5" t="s">
        <v>49915</v>
      </c>
      <c r="R526" s="5"/>
      <c r="S526" s="5" t="s">
        <v>49916</v>
      </c>
      <c r="T526" s="28">
        <v>118304000</v>
      </c>
      <c r="U526" s="28"/>
      <c r="V526" s="28">
        <v>443298000</v>
      </c>
      <c r="W526" s="28">
        <v>17846000</v>
      </c>
      <c r="X526" s="28">
        <v>12519000</v>
      </c>
      <c r="Y526" s="28">
        <v>1520466000</v>
      </c>
      <c r="Z526" s="28">
        <v>837300000</v>
      </c>
      <c r="AA526" s="28">
        <v>9780000</v>
      </c>
      <c r="AB526" s="28">
        <v>100000000</v>
      </c>
      <c r="AC526" s="28">
        <v>398115000</v>
      </c>
      <c r="AD526" s="28">
        <v>837310000</v>
      </c>
      <c r="AE526" s="28">
        <v>5069333000</v>
      </c>
      <c r="AF526" s="28">
        <v>345711000</v>
      </c>
      <c r="AG526" s="11"/>
    </row>
    <row r="527">
      <c r="A527" s="7" t="s">
        <v>2265</v>
      </c>
      <c r="B527" s="5" t="s">
        <v>10242</v>
      </c>
      <c r="C527" s="5" t="s">
        <v>18142</v>
      </c>
      <c r="D527" s="5" t="str">
        <v>381600612609</v>
      </c>
      <c r="E527" s="0" t="e">
        <f>+7 (416) 2593344
+7 (41647) 21201
+7 (41647) 21212
+7 (41647) 23174
+7 (84164) 74101</f>
        <v>#NAME?</v>
      </c>
      <c r="F527" s="5" t="s">
        <v>26937</v>
      </c>
      <c r="G527" s="5" t="s">
        <v>26938</v>
      </c>
      <c r="H527" s="26">
        <v>19.5</v>
      </c>
      <c r="I527" s="5"/>
      <c r="J527" s="5" t="s">
        <v>26939</v>
      </c>
      <c r="K527" s="5" t="s">
        <v>344</v>
      </c>
      <c r="L527" s="5" t="s">
        <v>26940</v>
      </c>
      <c r="M527" s="27">
        <v>7884501</v>
      </c>
      <c r="N527" s="5" t="s">
        <v>49917</v>
      </c>
      <c r="O527" s="5" t="str">
        <v>2801170255</v>
      </c>
      <c r="P527" s="27">
        <v>115443000</v>
      </c>
      <c r="Q527" s="5" t="s">
        <v>49919</v>
      </c>
      <c r="R527" s="5"/>
      <c r="S527" s="5" t="s">
        <v>49371</v>
      </c>
      <c r="T527" s="28">
        <v>1545423000</v>
      </c>
      <c r="U527" s="28"/>
      <c r="V527" s="28">
        <v>1650732000</v>
      </c>
      <c r="W527" s="28"/>
      <c r="X527" s="28">
        <v>9958000</v>
      </c>
      <c r="Y527" s="28">
        <v>3989646000</v>
      </c>
      <c r="Z527" s="28">
        <v>1919552000</v>
      </c>
      <c r="AA527" s="28"/>
      <c r="AB527" s="28"/>
      <c r="AC527" s="28">
        <v>1553206000</v>
      </c>
      <c r="AD527" s="28">
        <v>2040767000</v>
      </c>
      <c r="AE527" s="28">
        <v>4178014000</v>
      </c>
      <c r="AF527" s="28">
        <v>346114000</v>
      </c>
      <c r="AG527" s="11"/>
    </row>
    <row r="528">
      <c r="A528" s="7" t="s">
        <v>2266</v>
      </c>
      <c r="B528" s="5" t="s">
        <v>10243</v>
      </c>
      <c r="C528" s="5" t="s">
        <v>18143</v>
      </c>
      <c r="D528" s="5" t="str">
        <v>272426506135</v>
      </c>
      <c r="E528" s="0" t="e">
        <f>+7 (421) 2450606
+7 (421) 2470770
+7 (914) 7737036</f>
        <v>#NAME?</v>
      </c>
      <c r="F528" s="5" t="s">
        <v>26941</v>
      </c>
      <c r="G528" s="5" t="s">
        <v>26942</v>
      </c>
      <c r="H528" s="26">
        <v>7.5</v>
      </c>
      <c r="I528" s="5" t="s">
        <v>26943</v>
      </c>
      <c r="J528" s="5" t="s">
        <v>25327</v>
      </c>
      <c r="K528" s="5" t="s">
        <v>344</v>
      </c>
      <c r="L528" s="5" t="s">
        <v>26944</v>
      </c>
      <c r="M528" s="27"/>
      <c r="N528" s="5" t="s">
        <v>49920</v>
      </c>
      <c r="O528" s="5" t="str">
        <v>2724206962</v>
      </c>
      <c r="P528" s="27">
        <v>10000</v>
      </c>
      <c r="Q528" s="5" t="s">
        <v>49921</v>
      </c>
      <c r="R528" s="5"/>
      <c r="S528" s="5" t="s">
        <v>49922</v>
      </c>
      <c r="T528" s="28">
        <v>965705000</v>
      </c>
      <c r="U528" s="28"/>
      <c r="V528" s="28">
        <v>3158950000</v>
      </c>
      <c r="W528" s="28"/>
      <c r="X528" s="28">
        <v>56868000</v>
      </c>
      <c r="Y528" s="28">
        <v>7340247000</v>
      </c>
      <c r="Z528" s="28">
        <v>36536000</v>
      </c>
      <c r="AA528" s="28">
        <v>1354513000</v>
      </c>
      <c r="AB528" s="28">
        <v>4159321000</v>
      </c>
      <c r="AC528" s="28">
        <v>5316128000</v>
      </c>
      <c r="AD528" s="28">
        <v>36784000</v>
      </c>
      <c r="AE528" s="28">
        <v>22042080000</v>
      </c>
      <c r="AF528" s="28">
        <v>31839000</v>
      </c>
      <c r="AG528" s="11"/>
    </row>
    <row r="529">
      <c r="A529" s="7" t="s">
        <v>2266</v>
      </c>
      <c r="B529" s="5" t="s">
        <v>10244</v>
      </c>
      <c r="C529" s="5" t="s">
        <v>18144</v>
      </c>
      <c r="D529" s="5" t="str">
        <v>230804597409</v>
      </c>
      <c r="E529" s="0" t="e">
        <f>+7 (495) 4813339
+7 (800) 1001011
+7 (800) 7777340
+7 (900) 7007
+7 (918) 2426876
+7 (918) 4313314
+7 (928) 2410202
+7 (938) 5111115</f>
        <v>#NAME?</v>
      </c>
      <c r="F529" s="5" t="s">
        <v>26945</v>
      </c>
      <c r="G529" s="5" t="s">
        <v>26946</v>
      </c>
      <c r="H529" s="26">
        <v>6.5</v>
      </c>
      <c r="I529" s="5" t="s">
        <v>26947</v>
      </c>
      <c r="J529" s="5" t="s">
        <v>373</v>
      </c>
      <c r="K529" s="5" t="s">
        <v>344</v>
      </c>
      <c r="L529" s="5" t="s">
        <v>26948</v>
      </c>
      <c r="M529" s="27"/>
      <c r="N529" s="5"/>
      <c r="O529" s="5" t="str">
        <v>2308237415</v>
      </c>
      <c r="P529" s="27">
        <v>10000</v>
      </c>
      <c r="Q529" s="5"/>
      <c r="R529" s="5"/>
      <c r="S529" s="5" t="s">
        <v>49029</v>
      </c>
      <c r="T529" s="28">
        <v>84712000</v>
      </c>
      <c r="U529" s="28"/>
      <c r="V529" s="28">
        <v>312612000</v>
      </c>
      <c r="W529" s="28"/>
      <c r="X529" s="28">
        <v>41631000</v>
      </c>
      <c r="Y529" s="28">
        <v>719324000</v>
      </c>
      <c r="Z529" s="28">
        <v>30729000</v>
      </c>
      <c r="AA529" s="28">
        <v>355000000</v>
      </c>
      <c r="AB529" s="28">
        <v>95015000</v>
      </c>
      <c r="AC529" s="28">
        <v>281380000</v>
      </c>
      <c r="AD529" s="28">
        <v>30739000</v>
      </c>
      <c r="AE529" s="28">
        <v>6623195000</v>
      </c>
      <c r="AF529" s="28">
        <v>28467000</v>
      </c>
      <c r="AG529" s="11"/>
    </row>
    <row r="530">
      <c r="A530" s="7" t="s">
        <v>2267</v>
      </c>
      <c r="B530" s="5" t="s">
        <v>10245</v>
      </c>
      <c r="C530" s="5" t="s">
        <v>18145</v>
      </c>
      <c r="D530" s="5" t="str">
        <v>246406441872</v>
      </c>
      <c r="E530" s="0" t="e">
        <f>+7 (963) 1819111</f>
        <v>#NAME?</v>
      </c>
      <c r="F530" s="5" t="s">
        <v>26949</v>
      </c>
      <c r="G530" s="5"/>
      <c r="H530" s="26">
        <v>6</v>
      </c>
      <c r="I530" s="5" t="s">
        <v>26950</v>
      </c>
      <c r="J530" s="5" t="s">
        <v>26951</v>
      </c>
      <c r="K530" s="5" t="s">
        <v>355</v>
      </c>
      <c r="L530" s="5" t="s">
        <v>26952</v>
      </c>
      <c r="M530" s="27">
        <v>11199146</v>
      </c>
      <c r="N530" s="5" t="s">
        <v>49923</v>
      </c>
      <c r="O530" s="5" t="str">
        <v>2420008503</v>
      </c>
      <c r="P530" s="27">
        <v>20000</v>
      </c>
      <c r="Q530" s="5" t="s">
        <v>49924</v>
      </c>
      <c r="R530" s="5" t="s">
        <v>49925</v>
      </c>
      <c r="S530" s="5" t="s">
        <v>49047</v>
      </c>
      <c r="T530" s="28">
        <v>1827226000</v>
      </c>
      <c r="U530" s="28"/>
      <c r="V530" s="28">
        <v>426920000</v>
      </c>
      <c r="W530" s="28">
        <v>203687000</v>
      </c>
      <c r="X530" s="28">
        <v>63845000</v>
      </c>
      <c r="Y530" s="28">
        <v>3496078000</v>
      </c>
      <c r="Z530" s="28">
        <v>244810000</v>
      </c>
      <c r="AA530" s="28">
        <v>1162237000</v>
      </c>
      <c r="AB530" s="28">
        <v>74735000</v>
      </c>
      <c r="AC530" s="28">
        <v>1350587000</v>
      </c>
      <c r="AD530" s="28">
        <v>718173000</v>
      </c>
      <c r="AE530" s="28">
        <v>3177803000</v>
      </c>
      <c r="AF530" s="28">
        <v>34339000</v>
      </c>
      <c r="AG530" s="11"/>
    </row>
    <row r="531">
      <c r="A531" s="7" t="s">
        <v>2268</v>
      </c>
      <c r="B531" s="5" t="s">
        <v>10246</v>
      </c>
      <c r="C531" s="5" t="s">
        <v>18146</v>
      </c>
      <c r="D531" s="5"/>
      <c r="E531" s="0" t="e">
        <f>+7 (395) 1522966
+7 (395) 1894142
+7 (3951) 508604
+7 (3951) 508644
+7 (3952) 201259
+7 (39544) 54673
+7 (3955) 508468
+7 (3955) 508601
+7 (3955) 508607
+7 (3955) 508644
+7 (904) 1488049</f>
        <v>#NAME?</v>
      </c>
      <c r="F531" s="5" t="s">
        <v>26953</v>
      </c>
      <c r="G531" s="5" t="s">
        <v>26954</v>
      </c>
      <c r="H531" s="26">
        <v>30</v>
      </c>
      <c r="I531" s="5"/>
      <c r="J531" s="5" t="s">
        <v>26407</v>
      </c>
      <c r="K531" s="5" t="s">
        <v>344</v>
      </c>
      <c r="L531" s="5" t="s">
        <v>26955</v>
      </c>
      <c r="M531" s="27"/>
      <c r="N531" s="5"/>
      <c r="O531" s="5" t="str">
        <v>3801008180</v>
      </c>
      <c r="P531" s="27">
        <v>92167000</v>
      </c>
      <c r="Q531" s="5" t="s">
        <v>49009</v>
      </c>
      <c r="R531" s="5"/>
      <c r="S531" s="5" t="s">
        <v>49066</v>
      </c>
      <c r="T531" s="28">
        <v>2421804000</v>
      </c>
      <c r="U531" s="28">
        <v>1587627000</v>
      </c>
      <c r="V531" s="28">
        <v>208871000</v>
      </c>
      <c r="W531" s="28">
        <v>145000</v>
      </c>
      <c r="X531" s="28">
        <v>692626000</v>
      </c>
      <c r="Y531" s="28">
        <v>6111580000</v>
      </c>
      <c r="Z531" s="28">
        <v>3117786000</v>
      </c>
      <c r="AA531" s="28">
        <v>1165326000</v>
      </c>
      <c r="AB531" s="28">
        <v>612774000</v>
      </c>
      <c r="AC531" s="28">
        <v>1181808000</v>
      </c>
      <c r="AD531" s="28">
        <v>3214561000</v>
      </c>
      <c r="AE531" s="28">
        <v>4962461000</v>
      </c>
      <c r="AF531" s="28">
        <v>349482000</v>
      </c>
      <c r="AG531" s="11"/>
    </row>
    <row r="532">
      <c r="A532" s="7" t="s">
        <v>2269</v>
      </c>
      <c r="B532" s="5" t="s">
        <v>10247</v>
      </c>
      <c r="C532" s="5" t="s">
        <v>18147</v>
      </c>
      <c r="D532" s="5" t="str">
        <v>480305298104</v>
      </c>
      <c r="E532" s="0" t="e">
        <f>+7 (474) 2515748
+7 (474) 2576606
+7 (47465) 60251
+7 (47465) 60271
+7 (495) 3573006
+7 (905) 1781616
+7 (919) 1694241</f>
        <v>#NAME?</v>
      </c>
      <c r="F532" s="5" t="s">
        <v>26956</v>
      </c>
      <c r="G532" s="5" t="s">
        <v>26957</v>
      </c>
      <c r="H532" s="26">
        <v>7.5</v>
      </c>
      <c r="I532" s="5" t="s">
        <v>26958</v>
      </c>
      <c r="J532" s="5" t="s">
        <v>26959</v>
      </c>
      <c r="K532" s="5" t="s">
        <v>344</v>
      </c>
      <c r="L532" s="5"/>
      <c r="M532" s="27"/>
      <c r="N532" s="5" t="s">
        <v>49926</v>
      </c>
      <c r="O532" s="5" t="str">
        <v>4803000975</v>
      </c>
      <c r="P532" s="27">
        <v>2813000000</v>
      </c>
      <c r="Q532" s="5" t="s">
        <v>49009</v>
      </c>
      <c r="R532" s="5"/>
      <c r="S532" s="5" t="s">
        <v>49120</v>
      </c>
      <c r="T532" s="28">
        <v>6252594000</v>
      </c>
      <c r="U532" s="28"/>
      <c r="V532" s="28">
        <v>1420594000</v>
      </c>
      <c r="W532" s="28"/>
      <c r="X532" s="28">
        <v>177703000</v>
      </c>
      <c r="Y532" s="28">
        <v>9829418000</v>
      </c>
      <c r="Z532" s="28">
        <v>-540316000</v>
      </c>
      <c r="AA532" s="28">
        <v>1790981000</v>
      </c>
      <c r="AB532" s="28">
        <v>5237848000</v>
      </c>
      <c r="AC532" s="28">
        <v>5803057000</v>
      </c>
      <c r="AD532" s="28">
        <v>2221806000</v>
      </c>
      <c r="AE532" s="28">
        <v>4773845000</v>
      </c>
      <c r="AF532" s="28">
        <v>1034812000</v>
      </c>
      <c r="AG532" s="11"/>
    </row>
    <row r="533">
      <c r="A533" s="7" t="s">
        <v>2270</v>
      </c>
      <c r="B533" s="5" t="s">
        <v>10248</v>
      </c>
      <c r="C533" s="5" t="s">
        <v>18148</v>
      </c>
      <c r="D533" s="5" t="str">
        <v>773101631611</v>
      </c>
      <c r="E533" s="0" t="e">
        <f>+7 (495) 7059920
+7 (495) 7775265
+7 (495) 7777766
+7 (495) 9602362
+7 (381) 2713624
+7 (484) 2538221
+7 (493) 2339697
+7 (495) 7775052
+7 (495) 7775250
+7 (495) 7775260
+7 (495) 9255140
+7 (495) 9602360
+7 (495) 9602361
+7 (800) 3338101
+7 (8342) 293314</f>
        <v>#NAME?</v>
      </c>
      <c r="F533" s="5" t="s">
        <v>26960</v>
      </c>
      <c r="G533" s="5" t="s">
        <v>26961</v>
      </c>
      <c r="H533" s="26">
        <v>19</v>
      </c>
      <c r="I533" s="5"/>
      <c r="J533" s="5" t="s">
        <v>26962</v>
      </c>
      <c r="K533" s="5" t="s">
        <v>344</v>
      </c>
      <c r="L533" s="5" t="s">
        <v>26963</v>
      </c>
      <c r="M533" s="27">
        <v>83139274</v>
      </c>
      <c r="N533" s="5" t="s">
        <v>49927</v>
      </c>
      <c r="O533" s="5" t="str">
        <v>5020037784</v>
      </c>
      <c r="P533" s="27">
        <v>15831980809</v>
      </c>
      <c r="Q533" s="5" t="s">
        <v>49009</v>
      </c>
      <c r="R533" s="5" t="s">
        <v>49928</v>
      </c>
      <c r="S533" s="5" t="s">
        <v>49929</v>
      </c>
      <c r="T533" s="28">
        <v>32527428000</v>
      </c>
      <c r="U533" s="28">
        <v>1377973000</v>
      </c>
      <c r="V533" s="28">
        <v>14155037000</v>
      </c>
      <c r="W533" s="28"/>
      <c r="X533" s="28">
        <v>14043631000</v>
      </c>
      <c r="Y533" s="28">
        <v>79437795000</v>
      </c>
      <c r="Z533" s="28">
        <v>-21792333000</v>
      </c>
      <c r="AA533" s="28"/>
      <c r="AB533" s="28">
        <v>154729000</v>
      </c>
      <c r="AC533" s="28">
        <v>39980969000</v>
      </c>
      <c r="AD533" s="28">
        <v>35797195000</v>
      </c>
      <c r="AE533" s="28">
        <v>97515103000</v>
      </c>
      <c r="AF533" s="28">
        <v>12160038000</v>
      </c>
      <c r="AG533" s="11"/>
    </row>
    <row r="534">
      <c r="A534" s="7" t="s">
        <v>2271</v>
      </c>
      <c r="B534" s="5" t="s">
        <v>10249</v>
      </c>
      <c r="C534" s="5" t="s">
        <v>18149</v>
      </c>
      <c r="D534" s="5" t="str">
        <v>633002751902</v>
      </c>
      <c r="E534" s="0" t="e">
        <f>+7 (384) 2345656
+7 (384) 2345657
+7 (384) 2345658
+7 (384) 2513701
+7 (38453) 59221
+7 (38453) 59328
+7 (844) 1345656
+7 (906) 9768434
+7 (908) 9531568</f>
        <v>#NAME?</v>
      </c>
      <c r="F534" s="5" t="s">
        <v>26964</v>
      </c>
      <c r="G534" s="5"/>
      <c r="H534" s="26">
        <v>18</v>
      </c>
      <c r="I534" s="5" t="s">
        <v>26965</v>
      </c>
      <c r="J534" s="5" t="s">
        <v>555</v>
      </c>
      <c r="K534" s="5" t="s">
        <v>380</v>
      </c>
      <c r="L534" s="5"/>
      <c r="M534" s="27"/>
      <c r="N534" s="5"/>
      <c r="O534" s="5" t="str">
        <v>4246004891</v>
      </c>
      <c r="P534" s="27">
        <v>314880000</v>
      </c>
      <c r="Q534" s="5" t="s">
        <v>49009</v>
      </c>
      <c r="R534" s="5" t="s">
        <v>49930</v>
      </c>
      <c r="S534" s="5" t="s">
        <v>49028</v>
      </c>
      <c r="T534" s="28">
        <v>3233482000</v>
      </c>
      <c r="U534" s="28"/>
      <c r="V534" s="28">
        <v>3249697000</v>
      </c>
      <c r="W534" s="28">
        <v>31705000</v>
      </c>
      <c r="X534" s="28">
        <v>174000</v>
      </c>
      <c r="Y534" s="28">
        <v>10019529000</v>
      </c>
      <c r="Z534" s="28">
        <v>-20595701000</v>
      </c>
      <c r="AA534" s="28">
        <v>36531000</v>
      </c>
      <c r="AB534" s="28">
        <v>3611000</v>
      </c>
      <c r="AC534" s="28">
        <v>30099405000</v>
      </c>
      <c r="AD534" s="28">
        <v>-20280821000</v>
      </c>
      <c r="AE534" s="28">
        <v>5347159000</v>
      </c>
      <c r="AF534" s="28">
        <v>-2364704000</v>
      </c>
      <c r="AG534" s="11"/>
    </row>
    <row r="535">
      <c r="A535" s="7" t="s">
        <v>2272</v>
      </c>
      <c r="B535" s="5" t="s">
        <v>10250</v>
      </c>
      <c r="C535" s="5" t="s">
        <v>18150</v>
      </c>
      <c r="D535" s="5"/>
      <c r="E535" s="0" t="e">
        <f>+7 (495) 9264100</f>
        <v>#NAME?</v>
      </c>
      <c r="F535" s="5" t="s">
        <v>26966</v>
      </c>
      <c r="G535" s="5" t="s">
        <v>26967</v>
      </c>
      <c r="H535" s="26">
        <v>13</v>
      </c>
      <c r="I535" s="5" t="s">
        <v>26968</v>
      </c>
      <c r="J535" s="5" t="s">
        <v>25889</v>
      </c>
      <c r="K535" s="5" t="s">
        <v>344</v>
      </c>
      <c r="L535" s="5" t="s">
        <v>26969</v>
      </c>
      <c r="M535" s="27"/>
      <c r="N535" s="5" t="s">
        <v>49931</v>
      </c>
      <c r="O535" s="5" t="str">
        <v>7725683815</v>
      </c>
      <c r="P535" s="27">
        <v>1000000</v>
      </c>
      <c r="Q535" s="5"/>
      <c r="R535" s="5"/>
      <c r="S535" s="5" t="s">
        <v>49496</v>
      </c>
      <c r="T535" s="28">
        <v>1879000</v>
      </c>
      <c r="U535" s="28"/>
      <c r="V535" s="28">
        <v>2966304000</v>
      </c>
      <c r="W535" s="28"/>
      <c r="X535" s="28">
        <v>236313000</v>
      </c>
      <c r="Y535" s="28">
        <v>3225860000</v>
      </c>
      <c r="Z535" s="28">
        <v>160149000</v>
      </c>
      <c r="AA535" s="28"/>
      <c r="AB535" s="28">
        <v>440000000</v>
      </c>
      <c r="AC535" s="28">
        <v>3064587000</v>
      </c>
      <c r="AD535" s="28">
        <v>161149000</v>
      </c>
      <c r="AE535" s="28">
        <v>12413556000</v>
      </c>
      <c r="AF535" s="28">
        <v>16407000</v>
      </c>
      <c r="AG535" s="11"/>
    </row>
    <row r="536">
      <c r="A536" s="7" t="s">
        <v>2273</v>
      </c>
      <c r="B536" s="5" t="s">
        <v>10251</v>
      </c>
      <c r="C536" s="5" t="s">
        <v>18150</v>
      </c>
      <c r="D536" s="5"/>
      <c r="F536" s="5"/>
      <c r="G536" s="5"/>
      <c r="H536" s="26">
        <v>10</v>
      </c>
      <c r="I536" s="5" t="s">
        <v>26968</v>
      </c>
      <c r="J536" s="5" t="s">
        <v>25889</v>
      </c>
      <c r="K536" s="5" t="s">
        <v>344</v>
      </c>
      <c r="L536" s="5" t="s">
        <v>26970</v>
      </c>
      <c r="M536" s="27"/>
      <c r="N536" s="5" t="s">
        <v>49932</v>
      </c>
      <c r="O536" s="5" t="str">
        <v>7705531067</v>
      </c>
      <c r="P536" s="27">
        <v>1000000</v>
      </c>
      <c r="Q536" s="5" t="s">
        <v>49934</v>
      </c>
      <c r="R536" s="5"/>
      <c r="S536" s="5" t="s">
        <v>49361</v>
      </c>
      <c r="T536" s="28">
        <v>73000</v>
      </c>
      <c r="U536" s="28"/>
      <c r="V536" s="28">
        <v>1801053000</v>
      </c>
      <c r="W536" s="28"/>
      <c r="X536" s="28">
        <v>283429000</v>
      </c>
      <c r="Y536" s="28">
        <v>2092032000</v>
      </c>
      <c r="Z536" s="28">
        <v>14856000</v>
      </c>
      <c r="AA536" s="28"/>
      <c r="AB536" s="28"/>
      <c r="AC536" s="28">
        <v>2072262000</v>
      </c>
      <c r="AD536" s="28">
        <v>15856000</v>
      </c>
      <c r="AE536" s="28">
        <v>7198102000</v>
      </c>
      <c r="AF536" s="28">
        <v>5792000</v>
      </c>
      <c r="AG536" s="11"/>
    </row>
    <row r="537">
      <c r="A537" s="7" t="s">
        <v>2274</v>
      </c>
      <c r="B537" s="5" t="s">
        <v>10252</v>
      </c>
      <c r="C537" s="5" t="s">
        <v>18151</v>
      </c>
      <c r="D537" s="5" t="str">
        <v>701740836341</v>
      </c>
      <c r="E537" s="0" t="e">
        <f>+7 (382) 2512507
+7 (38255) 24645
+7 (38255) 24784
+7 (38255) 25630
+7 (38255) 25705
+7 (38255) 26046
+7 (38255) 26868
+7 (383) 3835754</f>
        <v>#NAME?</v>
      </c>
      <c r="F537" s="5"/>
      <c r="G537" s="5"/>
      <c r="H537" s="26">
        <v>20</v>
      </c>
      <c r="I537" s="5" t="s">
        <v>26971</v>
      </c>
      <c r="J537" s="5" t="s">
        <v>555</v>
      </c>
      <c r="K537" s="5" t="s">
        <v>344</v>
      </c>
      <c r="L537" s="5" t="s">
        <v>26972</v>
      </c>
      <c r="M537" s="27"/>
      <c r="N537" s="5" t="s">
        <v>49935</v>
      </c>
      <c r="O537" s="5" t="str">
        <v>7022011190</v>
      </c>
      <c r="P537" s="27">
        <v>10000</v>
      </c>
      <c r="Q537" s="5" t="s">
        <v>49217</v>
      </c>
      <c r="R537" s="5"/>
      <c r="S537" s="5" t="s">
        <v>49936</v>
      </c>
      <c r="T537" s="28">
        <v>81618000</v>
      </c>
      <c r="U537" s="28"/>
      <c r="V537" s="28">
        <v>203337000</v>
      </c>
      <c r="W537" s="28"/>
      <c r="X537" s="28">
        <v>366000</v>
      </c>
      <c r="Y537" s="28">
        <v>2722445000</v>
      </c>
      <c r="Z537" s="28">
        <v>538875000</v>
      </c>
      <c r="AA537" s="28"/>
      <c r="AB537" s="28">
        <v>400000000</v>
      </c>
      <c r="AC537" s="28">
        <v>2128011000</v>
      </c>
      <c r="AD537" s="28">
        <v>589285000</v>
      </c>
      <c r="AE537" s="28">
        <v>6808040000</v>
      </c>
      <c r="AF537" s="28">
        <v>121170000</v>
      </c>
      <c r="AG537" s="11"/>
    </row>
    <row r="538">
      <c r="A538" s="7" t="s">
        <v>2275</v>
      </c>
      <c r="B538" s="5" t="s">
        <v>10253</v>
      </c>
      <c r="C538" s="5" t="s">
        <v>18152</v>
      </c>
      <c r="D538" s="5" t="str">
        <v>770372655473</v>
      </c>
      <c r="E538" s="0" t="e">
        <f>+7 (495) 2668410
+7 (499) 2558419</f>
        <v>#NAME?</v>
      </c>
      <c r="F538" s="5"/>
      <c r="G538" s="5"/>
      <c r="H538" s="26">
        <v>18</v>
      </c>
      <c r="I538" s="5" t="s">
        <v>26973</v>
      </c>
      <c r="J538" s="5" t="s">
        <v>364</v>
      </c>
      <c r="K538" s="5" t="s">
        <v>344</v>
      </c>
      <c r="L538" s="5" t="s">
        <v>26974</v>
      </c>
      <c r="M538" s="27">
        <v>2114043</v>
      </c>
      <c r="N538" s="5" t="s">
        <v>49937</v>
      </c>
      <c r="O538" s="5" t="str">
        <v>7709602209</v>
      </c>
      <c r="P538" s="27">
        <v>10000</v>
      </c>
      <c r="Q538" s="5" t="s">
        <v>49938</v>
      </c>
      <c r="R538" s="5"/>
      <c r="S538" s="5" t="s">
        <v>49939</v>
      </c>
      <c r="T538" s="28">
        <v>894646000</v>
      </c>
      <c r="U538" s="28">
        <v>9200000</v>
      </c>
      <c r="V538" s="28">
        <v>21071225000</v>
      </c>
      <c r="W538" s="28">
        <v>2389450000</v>
      </c>
      <c r="X538" s="28">
        <v>2271476000</v>
      </c>
      <c r="Y538" s="28">
        <v>27637806000</v>
      </c>
      <c r="Z538" s="28">
        <v>1554430000</v>
      </c>
      <c r="AA538" s="28">
        <v>13536000</v>
      </c>
      <c r="AB538" s="28">
        <v>194151000</v>
      </c>
      <c r="AC538" s="28">
        <v>25952863000</v>
      </c>
      <c r="AD538" s="28">
        <v>1554440000</v>
      </c>
      <c r="AE538" s="28">
        <v>40938673000</v>
      </c>
      <c r="AF538" s="28">
        <v>192667000</v>
      </c>
      <c r="AG538" s="11"/>
    </row>
    <row r="539">
      <c r="A539" s="7" t="s">
        <v>2276</v>
      </c>
      <c r="B539" s="5" t="s">
        <v>10254</v>
      </c>
      <c r="C539" s="5" t="s">
        <v>18153</v>
      </c>
      <c r="D539" s="5" t="str">
        <v>250304408110</v>
      </c>
      <c r="E539" s="0" t="e">
        <f>+7 (495) 1365442
+7 (921) 1761101
+7 (921) 2874777
+7 (815) 2995025</f>
        <v>#NAME?</v>
      </c>
      <c r="F539" s="5" t="s">
        <v>26975</v>
      </c>
      <c r="G539" s="5"/>
      <c r="H539" s="26">
        <v>3.5</v>
      </c>
      <c r="I539" s="5" t="s">
        <v>26976</v>
      </c>
      <c r="J539" s="5" t="s">
        <v>26424</v>
      </c>
      <c r="K539" s="5" t="s">
        <v>380</v>
      </c>
      <c r="L539" s="5"/>
      <c r="M539" s="27">
        <v>882794</v>
      </c>
      <c r="N539" s="5" t="s">
        <v>49940</v>
      </c>
      <c r="O539" s="5" t="str">
        <v>5190081090</v>
      </c>
      <c r="P539" s="27">
        <v>1000000</v>
      </c>
      <c r="Q539" s="5" t="s">
        <v>49009</v>
      </c>
      <c r="R539" s="5"/>
      <c r="S539" s="5" t="s">
        <v>49066</v>
      </c>
      <c r="T539" s="28">
        <v>2335639000</v>
      </c>
      <c r="U539" s="28">
        <v>650000000</v>
      </c>
      <c r="V539" s="28">
        <v>958694000</v>
      </c>
      <c r="W539" s="28">
        <v>606025000</v>
      </c>
      <c r="X539" s="28">
        <v>45975000</v>
      </c>
      <c r="Y539" s="28">
        <v>28709293000</v>
      </c>
      <c r="Z539" s="28">
        <v>2622937000</v>
      </c>
      <c r="AA539" s="28">
        <v>16353578000</v>
      </c>
      <c r="AB539" s="28">
        <v>6618101000</v>
      </c>
      <c r="AC539" s="28">
        <v>9122800000</v>
      </c>
      <c r="AD539" s="28">
        <v>2649887000</v>
      </c>
      <c r="AE539" s="28">
        <v>4195394000</v>
      </c>
      <c r="AF539" s="28">
        <v>1182870000</v>
      </c>
      <c r="AG539" s="11"/>
    </row>
    <row r="540">
      <c r="A540" s="7" t="s">
        <v>2277</v>
      </c>
      <c r="B540" s="5" t="s">
        <v>10255</v>
      </c>
      <c r="C540" s="5" t="s">
        <v>18154</v>
      </c>
      <c r="D540" s="5" t="str">
        <v>253603262182</v>
      </c>
      <c r="E540" s="0" t="e">
        <f>+7 (914) 7918952
+7 (415) 2304373
+7 (4232) 320601
+7 (4232) 320617
+7 (4232) 320636
+7 (4232) 321636
+7 (4232) 362711
+7 (4232) 390997</f>
        <v>#NAME?</v>
      </c>
      <c r="F540" s="5" t="s">
        <v>26977</v>
      </c>
      <c r="G540" s="5"/>
      <c r="H540" s="26">
        <v>30</v>
      </c>
      <c r="I540" s="5" t="s">
        <v>26978</v>
      </c>
      <c r="J540" s="5" t="s">
        <v>26979</v>
      </c>
      <c r="K540" s="5" t="s">
        <v>344</v>
      </c>
      <c r="L540" s="5" t="s">
        <v>26980</v>
      </c>
      <c r="M540" s="27">
        <v>1779750</v>
      </c>
      <c r="N540" s="5"/>
      <c r="O540" s="5" t="str">
        <v>2704007990</v>
      </c>
      <c r="P540" s="27">
        <v>4040816</v>
      </c>
      <c r="Q540" s="5"/>
      <c r="R540" s="5" t="s">
        <v>49941</v>
      </c>
      <c r="S540" s="5" t="s">
        <v>49029</v>
      </c>
      <c r="T540" s="28">
        <v>9713947000</v>
      </c>
      <c r="U540" s="28">
        <v>2527789000</v>
      </c>
      <c r="V540" s="28">
        <v>3298885000</v>
      </c>
      <c r="W540" s="28">
        <v>2886032000</v>
      </c>
      <c r="X540" s="28">
        <v>243638000</v>
      </c>
      <c r="Y540" s="28">
        <v>23765732000</v>
      </c>
      <c r="Z540" s="28">
        <v>9294404000</v>
      </c>
      <c r="AA540" s="28">
        <v>1918200000</v>
      </c>
      <c r="AB540" s="28">
        <v>886032000</v>
      </c>
      <c r="AC540" s="28">
        <v>8173335000</v>
      </c>
      <c r="AD540" s="28">
        <v>11850307000</v>
      </c>
      <c r="AE540" s="28">
        <v>9481980000</v>
      </c>
      <c r="AF540" s="28">
        <v>762565000</v>
      </c>
      <c r="AG540" s="11"/>
    </row>
    <row r="541">
      <c r="A541" s="7" t="s">
        <v>2278</v>
      </c>
      <c r="B541" s="5" t="s">
        <v>10256</v>
      </c>
      <c r="C541" s="5" t="s">
        <v>18155</v>
      </c>
      <c r="D541" s="5" t="str">
        <v>027605982252</v>
      </c>
      <c r="E541" s="0" t="e">
        <f>+7 (965) 6541992
+7 (3472) 466535</f>
        <v>#NAME?</v>
      </c>
      <c r="F541" s="5" t="s">
        <v>26981</v>
      </c>
      <c r="G541" s="5"/>
      <c r="H541" s="26">
        <v>11.5</v>
      </c>
      <c r="I541" s="5" t="s">
        <v>26982</v>
      </c>
      <c r="J541" s="5" t="s">
        <v>25327</v>
      </c>
      <c r="K541" s="5" t="s">
        <v>344</v>
      </c>
      <c r="L541" s="5" t="s">
        <v>26983</v>
      </c>
      <c r="M541" s="27"/>
      <c r="N541" s="5" t="s">
        <v>49942</v>
      </c>
      <c r="O541" s="5" t="str">
        <v>0278182868</v>
      </c>
      <c r="P541" s="27">
        <v>10000</v>
      </c>
      <c r="Q541" s="5" t="s">
        <v>49943</v>
      </c>
      <c r="R541" s="5"/>
      <c r="S541" s="5" t="s">
        <v>49944</v>
      </c>
      <c r="T541" s="28">
        <v>134332000</v>
      </c>
      <c r="U541" s="28"/>
      <c r="V541" s="28">
        <v>833602000</v>
      </c>
      <c r="W541" s="28">
        <v>343983000</v>
      </c>
      <c r="X541" s="28">
        <v>40092000</v>
      </c>
      <c r="Y541" s="28">
        <v>1372445000</v>
      </c>
      <c r="Z541" s="28">
        <v>260705000</v>
      </c>
      <c r="AA541" s="28"/>
      <c r="AB541" s="28">
        <v>207799000</v>
      </c>
      <c r="AC541" s="28">
        <v>1109263000</v>
      </c>
      <c r="AD541" s="28">
        <v>260715000</v>
      </c>
      <c r="AE541" s="28">
        <v>9549610000</v>
      </c>
      <c r="AF541" s="28">
        <v>92677000</v>
      </c>
      <c r="AG541" s="11"/>
    </row>
    <row r="542">
      <c r="A542" s="7" t="s">
        <v>2279</v>
      </c>
      <c r="B542" s="5" t="s">
        <v>10257</v>
      </c>
      <c r="C542" s="5" t="s">
        <v>18156</v>
      </c>
      <c r="D542" s="5" t="str">
        <v>253501798070</v>
      </c>
      <c r="E542" s="0" t="e">
        <f>+7 (8636) 236604
+7 (8636) 259129
+7 (8636) 282613</f>
        <v>#NAME?</v>
      </c>
      <c r="F542" s="5" t="s">
        <v>26984</v>
      </c>
      <c r="G542" s="5"/>
      <c r="H542" s="26">
        <v>7.5</v>
      </c>
      <c r="I542" s="5" t="s">
        <v>26985</v>
      </c>
      <c r="J542" s="5" t="s">
        <v>25283</v>
      </c>
      <c r="K542" s="5" t="s">
        <v>344</v>
      </c>
      <c r="L542" s="5" t="s">
        <v>26986</v>
      </c>
      <c r="M542" s="27"/>
      <c r="N542" s="5" t="s">
        <v>49945</v>
      </c>
      <c r="O542" s="5" t="str">
        <v>6155072827</v>
      </c>
      <c r="P542" s="27">
        <v>20000</v>
      </c>
      <c r="Q542" s="5" t="s">
        <v>49946</v>
      </c>
      <c r="R542" s="5"/>
      <c r="S542" s="5" t="s">
        <v>49947</v>
      </c>
      <c r="T542" s="28">
        <v>7595000</v>
      </c>
      <c r="U542" s="28"/>
      <c r="V542" s="28">
        <v>821052000</v>
      </c>
      <c r="W542" s="28"/>
      <c r="X542" s="28">
        <v>41300000</v>
      </c>
      <c r="Y542" s="28">
        <v>1123279000</v>
      </c>
      <c r="Z542" s="28">
        <v>935526000</v>
      </c>
      <c r="AA542" s="28"/>
      <c r="AB542" s="28"/>
      <c r="AC542" s="28">
        <v>175399000</v>
      </c>
      <c r="AD542" s="28">
        <v>935546000</v>
      </c>
      <c r="AE542" s="28">
        <v>3876137000</v>
      </c>
      <c r="AF542" s="28">
        <v>537919000</v>
      </c>
      <c r="AG542" s="11"/>
    </row>
    <row r="543">
      <c r="A543" s="7" t="s">
        <v>2280</v>
      </c>
      <c r="B543" s="5" t="s">
        <v>10258</v>
      </c>
      <c r="C543" s="5" t="s">
        <v>18157</v>
      </c>
      <c r="D543" s="5" t="str">
        <v>770354984972</v>
      </c>
      <c r="E543" s="0" t="e">
        <f>+7 (495) 5892015</f>
        <v>#NAME?</v>
      </c>
      <c r="F543" s="5"/>
      <c r="G543" s="5" t="s">
        <v>26987</v>
      </c>
      <c r="H543" s="26">
        <v>9</v>
      </c>
      <c r="I543" s="5" t="s">
        <v>26988</v>
      </c>
      <c r="J543" s="5" t="s">
        <v>364</v>
      </c>
      <c r="K543" s="5" t="s">
        <v>344</v>
      </c>
      <c r="L543" s="5" t="s">
        <v>26989</v>
      </c>
      <c r="M543" s="27">
        <v>30388019</v>
      </c>
      <c r="N543" s="5"/>
      <c r="O543" s="5" t="str">
        <v>7701380579</v>
      </c>
      <c r="P543" s="27">
        <v>100000</v>
      </c>
      <c r="Q543" s="5" t="s">
        <v>49021</v>
      </c>
      <c r="R543" s="5"/>
      <c r="S543" s="5" t="s">
        <v>49948</v>
      </c>
      <c r="T543" s="28">
        <v>955967000</v>
      </c>
      <c r="U543" s="28">
        <v>826438000</v>
      </c>
      <c r="V543" s="28">
        <v>47836737000</v>
      </c>
      <c r="W543" s="28"/>
      <c r="X543" s="28">
        <v>2005939000</v>
      </c>
      <c r="Y543" s="28">
        <v>53362843000</v>
      </c>
      <c r="Z543" s="28">
        <v>2163784000</v>
      </c>
      <c r="AA543" s="28">
        <v>117379000</v>
      </c>
      <c r="AB543" s="28">
        <v>80277000</v>
      </c>
      <c r="AC543" s="28">
        <v>50946393000</v>
      </c>
      <c r="AD543" s="28">
        <v>2163884000</v>
      </c>
      <c r="AE543" s="28">
        <v>52767541000</v>
      </c>
      <c r="AF543" s="28">
        <v>701941000</v>
      </c>
      <c r="AG543" s="11"/>
    </row>
    <row r="544">
      <c r="A544" s="7" t="s">
        <v>2281</v>
      </c>
      <c r="B544" s="5" t="s">
        <v>10259</v>
      </c>
      <c r="C544" s="5" t="s">
        <v>18158</v>
      </c>
      <c r="D544" s="5" t="str">
        <v>664602882672</v>
      </c>
      <c r="E544" s="0" t="e">
        <f>+7 (421) 2325180
+7 (421) 2372719
+7 (421) 2372722
+7 (421) 2372801
+7 (421) 2400202
+7 (421) 2400569
+7 (421) 2372711
+7 (421) 2372747
+7 (421) 2398203
+7 (421) 2398632
+7 (421) 2400107
+7 (421) 2400108
+7 (421) 2400123
+7 (421) 2400191</f>
        <v>#NAME?</v>
      </c>
      <c r="F544" s="5" t="s">
        <v>26990</v>
      </c>
      <c r="G544" s="5" t="s">
        <v>26991</v>
      </c>
      <c r="H544" s="26">
        <v>29.5</v>
      </c>
      <c r="I544" s="5"/>
      <c r="J544" s="5" t="s">
        <v>26992</v>
      </c>
      <c r="K544" s="5" t="s">
        <v>344</v>
      </c>
      <c r="L544" s="5" t="s">
        <v>26993</v>
      </c>
      <c r="M544" s="27"/>
      <c r="N544" s="5" t="s">
        <v>49949</v>
      </c>
      <c r="O544" s="5" t="str">
        <v>2700000088</v>
      </c>
      <c r="P544" s="27">
        <v>317956800</v>
      </c>
      <c r="Q544" s="5" t="s">
        <v>49950</v>
      </c>
      <c r="R544" s="5"/>
      <c r="S544" s="5" t="s">
        <v>49047</v>
      </c>
      <c r="T544" s="28">
        <v>3930734000</v>
      </c>
      <c r="U544" s="28">
        <v>1927000</v>
      </c>
      <c r="V544" s="28">
        <v>1290395000</v>
      </c>
      <c r="W544" s="28"/>
      <c r="X544" s="28">
        <v>141718000</v>
      </c>
      <c r="Y544" s="28">
        <v>6002315000</v>
      </c>
      <c r="Z544" s="28">
        <v>2701225000</v>
      </c>
      <c r="AA544" s="28">
        <v>80000000</v>
      </c>
      <c r="AB544" s="28">
        <v>454898000</v>
      </c>
      <c r="AC544" s="28">
        <v>1368729000</v>
      </c>
      <c r="AD544" s="28">
        <v>3072261000</v>
      </c>
      <c r="AE544" s="28">
        <v>3576536000</v>
      </c>
      <c r="AF544" s="28">
        <v>221684000</v>
      </c>
      <c r="AG544" s="11"/>
    </row>
    <row r="545">
      <c r="A545" s="7" t="s">
        <v>2282</v>
      </c>
      <c r="B545" s="5" t="s">
        <v>10260</v>
      </c>
      <c r="C545" s="5" t="s">
        <v>18159</v>
      </c>
      <c r="D545" s="5" t="str">
        <v>616853970654</v>
      </c>
      <c r="E545" s="0" t="e">
        <f>+7 (863) 2209061
+7 (863) 2209065
+7 (8632) 209259
+7 (8632) 209059
+7 (8632) 229059
+7 (928) 1322559</f>
        <v>#NAME?</v>
      </c>
      <c r="F545" s="5" t="s">
        <v>26994</v>
      </c>
      <c r="G545" s="5" t="s">
        <v>26995</v>
      </c>
      <c r="H545" s="26">
        <v>23.5</v>
      </c>
      <c r="I545" s="5" t="s">
        <v>26996</v>
      </c>
      <c r="J545" s="5" t="s">
        <v>26997</v>
      </c>
      <c r="K545" s="5" t="s">
        <v>344</v>
      </c>
      <c r="L545" s="5"/>
      <c r="M545" s="27"/>
      <c r="N545" s="5" t="s">
        <v>49951</v>
      </c>
      <c r="O545" s="5" t="str">
        <v>6168060650</v>
      </c>
      <c r="P545" s="27">
        <v>10000000</v>
      </c>
      <c r="Q545" s="5" t="s">
        <v>49446</v>
      </c>
      <c r="R545" s="5"/>
      <c r="S545" s="5" t="s">
        <v>49952</v>
      </c>
      <c r="T545" s="28">
        <v>111079000</v>
      </c>
      <c r="U545" s="28"/>
      <c r="V545" s="28">
        <v>375080000</v>
      </c>
      <c r="W545" s="28"/>
      <c r="X545" s="28">
        <v>38157000</v>
      </c>
      <c r="Y545" s="28">
        <v>1302638000</v>
      </c>
      <c r="Z545" s="28">
        <v>466349000</v>
      </c>
      <c r="AA545" s="28">
        <v>555547000</v>
      </c>
      <c r="AB545" s="28">
        <v>231000000</v>
      </c>
      <c r="AC545" s="28">
        <v>270742000</v>
      </c>
      <c r="AD545" s="28">
        <v>476349000</v>
      </c>
      <c r="AE545" s="28">
        <v>3843545000</v>
      </c>
      <c r="AF545" s="28">
        <v>21228000</v>
      </c>
      <c r="AG545" s="11"/>
    </row>
    <row r="546">
      <c r="A546" s="7" t="s">
        <v>2283</v>
      </c>
      <c r="B546" s="5" t="s">
        <v>10261</v>
      </c>
      <c r="C546" s="5" t="s">
        <v>18160</v>
      </c>
      <c r="D546" s="5" t="str">
        <v>772578914372</v>
      </c>
      <c r="E546" s="0" t="e">
        <f>+7 (495) 3802202
+7 (495) 5437272
+7 (800) 3331767</f>
        <v>#NAME?</v>
      </c>
      <c r="F546" s="5"/>
      <c r="G546" s="5"/>
      <c r="H546" s="26">
        <v>4.5</v>
      </c>
      <c r="I546" s="5" t="s">
        <v>26998</v>
      </c>
      <c r="J546" s="5" t="s">
        <v>26999</v>
      </c>
      <c r="K546" s="5" t="s">
        <v>344</v>
      </c>
      <c r="L546" s="5" t="s">
        <v>27000</v>
      </c>
      <c r="M546" s="27"/>
      <c r="N546" s="5"/>
      <c r="O546" s="5" t="str">
        <v>7751149504</v>
      </c>
      <c r="P546" s="27">
        <v>100000</v>
      </c>
      <c r="Q546" s="5" t="s">
        <v>49021</v>
      </c>
      <c r="R546" s="5"/>
      <c r="S546" s="5" t="s">
        <v>49953</v>
      </c>
      <c r="T546" s="28">
        <v>474181000</v>
      </c>
      <c r="U546" s="28"/>
      <c r="V546" s="28">
        <v>357032000</v>
      </c>
      <c r="W546" s="28"/>
      <c r="X546" s="28">
        <v>78838000</v>
      </c>
      <c r="Y546" s="28">
        <v>2756408000</v>
      </c>
      <c r="Z546" s="28">
        <v>1479621000</v>
      </c>
      <c r="AA546" s="28">
        <v>201287000</v>
      </c>
      <c r="AB546" s="28"/>
      <c r="AC546" s="28">
        <v>486956000</v>
      </c>
      <c r="AD546" s="28">
        <v>1479721000</v>
      </c>
      <c r="AE546" s="28">
        <v>4721203000</v>
      </c>
      <c r="AF546" s="28">
        <v>798873000</v>
      </c>
      <c r="AG546" s="11"/>
    </row>
    <row r="547">
      <c r="A547" s="7" t="s">
        <v>2284</v>
      </c>
      <c r="B547" s="5" t="s">
        <v>9998</v>
      </c>
      <c r="C547" s="5" t="s">
        <v>17901</v>
      </c>
      <c r="D547" s="5"/>
      <c r="E547" s="0" t="e">
        <f>+7 (473) 2620244
+7 (473) 2621746
+7 (473) 2764110
+7 (800) 82000
+7 (910) 403981
+7 (915) 5809829
+7 (919) 2311998
+7 (920) 4497488
+7 (980) 2438331
+7 (980) 5519015</f>
        <v>#NAME?</v>
      </c>
      <c r="F547" s="5" t="s">
        <v>26127</v>
      </c>
      <c r="G547" s="5" t="s">
        <v>26117</v>
      </c>
      <c r="H547" s="26">
        <v>13</v>
      </c>
      <c r="I547" s="5" t="s">
        <v>27001</v>
      </c>
      <c r="J547" s="5" t="s">
        <v>27002</v>
      </c>
      <c r="K547" s="5" t="s">
        <v>344</v>
      </c>
      <c r="L547" s="5" t="s">
        <v>27003</v>
      </c>
      <c r="M547" s="27">
        <v>8245429</v>
      </c>
      <c r="N547" s="5"/>
      <c r="O547" s="5" t="str">
        <v>3662149375</v>
      </c>
      <c r="P547" s="27">
        <v>1300010000</v>
      </c>
      <c r="Q547" s="5" t="s">
        <v>49009</v>
      </c>
      <c r="R547" s="5"/>
      <c r="S547" s="5" t="s">
        <v>49010</v>
      </c>
      <c r="T547" s="28">
        <v>2940965000</v>
      </c>
      <c r="U547" s="28">
        <v>1461037000</v>
      </c>
      <c r="V547" s="28">
        <v>348377000</v>
      </c>
      <c r="W547" s="28"/>
      <c r="X547" s="28">
        <v>222800000</v>
      </c>
      <c r="Y547" s="28">
        <v>7157300000</v>
      </c>
      <c r="Z547" s="28">
        <v>4237980000</v>
      </c>
      <c r="AA547" s="28"/>
      <c r="AB547" s="28">
        <v>800000000</v>
      </c>
      <c r="AC547" s="28">
        <v>1501246000</v>
      </c>
      <c r="AD547" s="28">
        <v>5590836000</v>
      </c>
      <c r="AE547" s="28">
        <v>5961405000</v>
      </c>
      <c r="AF547" s="28">
        <v>858181000</v>
      </c>
      <c r="AG547" s="11"/>
    </row>
    <row r="548">
      <c r="A548" s="7" t="s">
        <v>2285</v>
      </c>
      <c r="B548" s="5" t="s">
        <v>10262</v>
      </c>
      <c r="C548" s="5" t="s">
        <v>18161</v>
      </c>
      <c r="D548" s="5" t="str">
        <v>771384980656</v>
      </c>
      <c r="E548" s="0" t="e">
        <f>+7 (909) 5000600
+7 (495) 2115829
+7 (495) 2115892
+7 (495) 6112059
+7 (495) 6113800
+7 (495) 6114066
+7 (495) 6114922
+7 (495) 6115829
+7 (495) 6115874
+7 (495) 6115888
+7 (495) 6115892
+7 (499) 2115829</f>
        <v>#NAME?</v>
      </c>
      <c r="F548" s="5" t="s">
        <v>27004</v>
      </c>
      <c r="G548" s="5" t="s">
        <v>27005</v>
      </c>
      <c r="H548" s="26">
        <v>25.5</v>
      </c>
      <c r="I548" s="5" t="s">
        <v>27006</v>
      </c>
      <c r="J548" s="5" t="s">
        <v>25850</v>
      </c>
      <c r="K548" s="5" t="s">
        <v>344</v>
      </c>
      <c r="L548" s="5" t="s">
        <v>27007</v>
      </c>
      <c r="M548" s="27">
        <v>7924966</v>
      </c>
      <c r="N548" s="5" t="s">
        <v>49954</v>
      </c>
      <c r="O548" s="5" t="str">
        <v>7721147115</v>
      </c>
      <c r="P548" s="27">
        <v>33000000</v>
      </c>
      <c r="Q548" s="5" t="s">
        <v>49955</v>
      </c>
      <c r="R548" s="5"/>
      <c r="S548" s="5" t="s">
        <v>49956</v>
      </c>
      <c r="T548" s="28">
        <v>240716000</v>
      </c>
      <c r="U548" s="28">
        <v>653219000</v>
      </c>
      <c r="V548" s="28">
        <v>16748640000</v>
      </c>
      <c r="W548" s="28">
        <v>303000000</v>
      </c>
      <c r="X548" s="28">
        <v>488323000</v>
      </c>
      <c r="Y548" s="28">
        <v>21753871000</v>
      </c>
      <c r="Z548" s="28">
        <v>3874520000</v>
      </c>
      <c r="AA548" s="28">
        <v>5665541000</v>
      </c>
      <c r="AB548" s="28">
        <v>6983483000</v>
      </c>
      <c r="AC548" s="28">
        <v>11982373000</v>
      </c>
      <c r="AD548" s="28">
        <v>3907520000</v>
      </c>
      <c r="AE548" s="28">
        <v>60720344000</v>
      </c>
      <c r="AF548" s="28">
        <v>465811000</v>
      </c>
      <c r="AG548" s="11"/>
    </row>
    <row r="549">
      <c r="A549" s="7" t="s">
        <v>2286</v>
      </c>
      <c r="B549" s="5" t="s">
        <v>10263</v>
      </c>
      <c r="C549" s="5" t="s">
        <v>18162</v>
      </c>
      <c r="D549" s="5" t="str">
        <v>616300761754</v>
      </c>
      <c r="E549" s="0" t="e">
        <f>+7 (851) 2290134
+7 (851) 2442400
+7 (85148) 51050
+7 (86191) 31045
+7 (927) 6620256
+7 (961) 9131045
+7 (964) 8884460</f>
        <v>#NAME?</v>
      </c>
      <c r="F549" s="5"/>
      <c r="G549" s="5" t="s">
        <v>27008</v>
      </c>
      <c r="H549" s="26">
        <v>8</v>
      </c>
      <c r="I549" s="5" t="s">
        <v>27009</v>
      </c>
      <c r="J549" s="5" t="s">
        <v>430</v>
      </c>
      <c r="K549" s="5" t="s">
        <v>355</v>
      </c>
      <c r="L549" s="5" t="s">
        <v>27010</v>
      </c>
      <c r="M549" s="27">
        <v>400024</v>
      </c>
      <c r="N549" s="5"/>
      <c r="O549" s="5" t="str">
        <v>3023008925</v>
      </c>
      <c r="P549" s="27">
        <v>1026134926</v>
      </c>
      <c r="Q549" s="5"/>
      <c r="R549" s="5"/>
      <c r="S549" s="5" t="s">
        <v>49029</v>
      </c>
      <c r="T549" s="28">
        <v>5198159000</v>
      </c>
      <c r="U549" s="28"/>
      <c r="V549" s="28">
        <v>583895000</v>
      </c>
      <c r="W549" s="28">
        <v>36350000</v>
      </c>
      <c r="X549" s="28">
        <v>77540000</v>
      </c>
      <c r="Y549" s="28">
        <v>7836551000</v>
      </c>
      <c r="Z549" s="28">
        <v>752522000</v>
      </c>
      <c r="AA549" s="28">
        <v>2956009000</v>
      </c>
      <c r="AB549" s="28">
        <v>1520220000</v>
      </c>
      <c r="AC549" s="28">
        <v>3043958000</v>
      </c>
      <c r="AD549" s="28">
        <v>1778657000</v>
      </c>
      <c r="AE549" s="28">
        <v>3939607000</v>
      </c>
      <c r="AF549" s="28">
        <v>381279000</v>
      </c>
      <c r="AG549" s="11"/>
    </row>
    <row r="550">
      <c r="A550" s="7" t="s">
        <v>2287</v>
      </c>
      <c r="B550" s="5" t="s">
        <v>10264</v>
      </c>
      <c r="C550" s="5" t="s">
        <v>18163</v>
      </c>
      <c r="D550" s="5" t="str">
        <v>165505613104</v>
      </c>
      <c r="E550" s="0" t="e">
        <f>+7 (855) 2306215
+7 (855) 2305314
+7 (855) 2306222
+7 (855) 2306272
+7 (855) 2308843
+7 (855) 2308855
+7 (927) 4786007
+7 (987) 4201705</f>
        <v>#NAME?</v>
      </c>
      <c r="F550" s="5" t="s">
        <v>27011</v>
      </c>
      <c r="G550" s="5"/>
      <c r="H550" s="26">
        <v>13.5</v>
      </c>
      <c r="I550" s="5" t="s">
        <v>27012</v>
      </c>
      <c r="J550" s="5" t="s">
        <v>25788</v>
      </c>
      <c r="K550" s="5" t="s">
        <v>344</v>
      </c>
      <c r="L550" s="5"/>
      <c r="M550" s="27"/>
      <c r="N550" s="5" t="s">
        <v>49957</v>
      </c>
      <c r="O550" s="5" t="str">
        <v>1639041669</v>
      </c>
      <c r="P550" s="27">
        <v>627000000</v>
      </c>
      <c r="Q550" s="5"/>
      <c r="R550" s="5"/>
      <c r="S550" s="5" t="s">
        <v>49425</v>
      </c>
      <c r="T550" s="28">
        <v>1521943000</v>
      </c>
      <c r="U550" s="28"/>
      <c r="V550" s="28">
        <v>385688000</v>
      </c>
      <c r="W550" s="28">
        <v>100000</v>
      </c>
      <c r="X550" s="28">
        <v>21070000</v>
      </c>
      <c r="Y550" s="28">
        <v>2269071000</v>
      </c>
      <c r="Z550" s="28">
        <v>-291064000</v>
      </c>
      <c r="AA550" s="28"/>
      <c r="AB550" s="28">
        <v>359000</v>
      </c>
      <c r="AC550" s="28">
        <v>1928690000</v>
      </c>
      <c r="AD550" s="28">
        <v>335936000</v>
      </c>
      <c r="AE550" s="28">
        <v>3992285000</v>
      </c>
      <c r="AF550" s="28">
        <v>383236000</v>
      </c>
      <c r="AG550" s="11"/>
    </row>
    <row r="551">
      <c r="A551" s="7" t="s">
        <v>2288</v>
      </c>
      <c r="B551" s="5" t="s">
        <v>10265</v>
      </c>
      <c r="C551" s="5" t="s">
        <v>18164</v>
      </c>
      <c r="D551" s="5" t="str">
        <v>162600787296</v>
      </c>
      <c r="E551" s="0" t="e">
        <f>+7 (85563) 23601
+7 (85563) 40591
+7 (909) 3130088
+7 (85557) 23421
+7 (85557) 33797
+7 (85563) 23421
+7 (85563) 33797
+7 (85563) 35179</f>
        <v>#NAME?</v>
      </c>
      <c r="F551" s="5" t="s">
        <v>27013</v>
      </c>
      <c r="G551" s="5"/>
      <c r="H551" s="26">
        <v>13.5</v>
      </c>
      <c r="I551" s="5" t="s">
        <v>27014</v>
      </c>
      <c r="J551" s="5" t="s">
        <v>25901</v>
      </c>
      <c r="K551" s="5" t="s">
        <v>344</v>
      </c>
      <c r="L551" s="5" t="s">
        <v>27015</v>
      </c>
      <c r="M551" s="27">
        <v>98253</v>
      </c>
      <c r="N551" s="5" t="s">
        <v>49958</v>
      </c>
      <c r="O551" s="5" t="str">
        <v>1626011106</v>
      </c>
      <c r="P551" s="27">
        <v>380000000</v>
      </c>
      <c r="Q551" s="5" t="s">
        <v>49009</v>
      </c>
      <c r="R551" s="5"/>
      <c r="S551" s="5" t="s">
        <v>49200</v>
      </c>
      <c r="T551" s="28">
        <v>6156888000</v>
      </c>
      <c r="U551" s="28">
        <v>100000</v>
      </c>
      <c r="V551" s="28">
        <v>1301969000</v>
      </c>
      <c r="W551" s="28">
        <v>19500000</v>
      </c>
      <c r="X551" s="28">
        <v>269254000</v>
      </c>
      <c r="Y551" s="28">
        <v>11754609000</v>
      </c>
      <c r="Z551" s="28">
        <v>4078950000</v>
      </c>
      <c r="AA551" s="28">
        <v>3750652000</v>
      </c>
      <c r="AB551" s="28">
        <v>1511243000</v>
      </c>
      <c r="AC551" s="28">
        <v>3142489000</v>
      </c>
      <c r="AD551" s="28">
        <v>5278839000</v>
      </c>
      <c r="AE551" s="28">
        <v>5194043000</v>
      </c>
      <c r="AF551" s="28">
        <v>731851000</v>
      </c>
      <c r="AG551" s="11"/>
    </row>
    <row r="552">
      <c r="A552" s="7" t="s">
        <v>2289</v>
      </c>
      <c r="B552" s="5" t="s">
        <v>10266</v>
      </c>
      <c r="C552" s="5" t="s">
        <v>17806</v>
      </c>
      <c r="D552" s="5"/>
      <c r="E552" s="0" t="e">
        <f>+7 (472) 5450007
+7 (4725) 390210
+7 (4725) 450003
+7 (4725) 450004
+7 (4725) 450375
+7 (4725) 450388
+7 (4725) 450450
+7 (4725) 450498
+7 (495) 2690381
+7 (499) 1369966
+7 (951) 7685945</f>
        <v>#NAME?</v>
      </c>
      <c r="F552" s="5" t="s">
        <v>27016</v>
      </c>
      <c r="G552" s="5"/>
      <c r="H552" s="26">
        <v>8</v>
      </c>
      <c r="I552" s="5"/>
      <c r="J552" s="5" t="s">
        <v>25371</v>
      </c>
      <c r="K552" s="5" t="s">
        <v>355</v>
      </c>
      <c r="L552" s="5"/>
      <c r="M552" s="27">
        <v>3176139</v>
      </c>
      <c r="N552" s="5"/>
      <c r="O552" s="5" t="str">
        <v>3128102820</v>
      </c>
      <c r="P552" s="27">
        <v>68975700</v>
      </c>
      <c r="Q552" s="5" t="s">
        <v>49960</v>
      </c>
      <c r="R552" s="5"/>
      <c r="S552" s="5" t="s">
        <v>49961</v>
      </c>
      <c r="T552" s="28">
        <v>5835987000</v>
      </c>
      <c r="U552" s="28">
        <v>500459000</v>
      </c>
      <c r="V552" s="28">
        <v>537555000</v>
      </c>
      <c r="W552" s="28"/>
      <c r="X552" s="28">
        <v>36274000</v>
      </c>
      <c r="Y552" s="28">
        <v>9329310000</v>
      </c>
      <c r="Z552" s="28">
        <v>1365939000</v>
      </c>
      <c r="AA552" s="28">
        <v>691686000</v>
      </c>
      <c r="AB552" s="28">
        <v>5599635000</v>
      </c>
      <c r="AC552" s="28">
        <v>7202625000</v>
      </c>
      <c r="AD552" s="28">
        <v>1434999000</v>
      </c>
      <c r="AE552" s="28">
        <v>7055570000</v>
      </c>
      <c r="AF552" s="28">
        <v>-773533000</v>
      </c>
      <c r="AG552" s="11"/>
    </row>
    <row r="553">
      <c r="A553" s="7" t="s">
        <v>2290</v>
      </c>
      <c r="B553" s="5" t="s">
        <v>10267</v>
      </c>
      <c r="C553" s="5" t="s">
        <v>18165</v>
      </c>
      <c r="D553" s="5" t="str">
        <v>575308426007</v>
      </c>
      <c r="E553" s="0" t="e">
        <f>+7 (486) 2255002
+7 (48672) 21089
+7 (48672) 21103
+7 (48672) 21443
+7 (910) 3037541</f>
        <v>#NAME?</v>
      </c>
      <c r="F553" s="5" t="s">
        <v>27017</v>
      </c>
      <c r="G553" s="5"/>
      <c r="H553" s="26">
        <v>25</v>
      </c>
      <c r="I553" s="5" t="s">
        <v>27018</v>
      </c>
      <c r="J553" s="5" t="s">
        <v>725</v>
      </c>
      <c r="K553" s="5" t="s">
        <v>355</v>
      </c>
      <c r="L553" s="5" t="s">
        <v>27019</v>
      </c>
      <c r="M553" s="27">
        <v>3148800</v>
      </c>
      <c r="N553" s="5"/>
      <c r="O553" s="5" t="str">
        <v>5708006707</v>
      </c>
      <c r="P553" s="27">
        <v>629040500</v>
      </c>
      <c r="Q553" s="5" t="s">
        <v>49057</v>
      </c>
      <c r="R553" s="5" t="s">
        <v>49962</v>
      </c>
      <c r="S553" s="5" t="s">
        <v>49963</v>
      </c>
      <c r="T553" s="28">
        <v>4447746000</v>
      </c>
      <c r="U553" s="28">
        <v>1019277000</v>
      </c>
      <c r="V553" s="28">
        <v>1334628000</v>
      </c>
      <c r="W553" s="28">
        <v>246517000</v>
      </c>
      <c r="X553" s="28">
        <v>43183000</v>
      </c>
      <c r="Y553" s="28">
        <v>11945721000</v>
      </c>
      <c r="Z553" s="28">
        <v>8713118000</v>
      </c>
      <c r="AA553" s="28">
        <v>44105000</v>
      </c>
      <c r="AB553" s="28">
        <v>428060000</v>
      </c>
      <c r="AC553" s="28">
        <v>2518995000</v>
      </c>
      <c r="AD553" s="28">
        <v>9382621000</v>
      </c>
      <c r="AE553" s="28">
        <v>3054059000</v>
      </c>
      <c r="AF553" s="28">
        <v>1203059000</v>
      </c>
      <c r="AG553" s="11"/>
    </row>
    <row r="554">
      <c r="A554" s="7" t="s">
        <v>2291</v>
      </c>
      <c r="B554" s="5" t="s">
        <v>10268</v>
      </c>
      <c r="C554" s="5" t="s">
        <v>18166</v>
      </c>
      <c r="D554" s="5" t="str">
        <v>774327489158</v>
      </c>
      <c r="E554" s="0" t="e">
        <f>+7 (8422) 214283
+7 (8422) 214380
+7 (8422) 325715
+7 (8422) 326211
+7 (8422) 328062
+7 (8422) 362278
+7 (8422) 411552
+7 (8422) 420472
+7 (906) 3949718</f>
        <v>#NAME?</v>
      </c>
      <c r="F554" s="5"/>
      <c r="G554" s="5"/>
      <c r="H554" s="26">
        <v>6.5</v>
      </c>
      <c r="I554" s="5" t="s">
        <v>27020</v>
      </c>
      <c r="J554" s="5" t="s">
        <v>26503</v>
      </c>
      <c r="K554" s="5" t="s">
        <v>344</v>
      </c>
      <c r="L554" s="5"/>
      <c r="M554" s="27"/>
      <c r="N554" s="5"/>
      <c r="O554" s="5" t="str">
        <v>7327080600</v>
      </c>
      <c r="P554" s="27">
        <v>80000000</v>
      </c>
      <c r="Q554" s="5" t="s">
        <v>49059</v>
      </c>
      <c r="R554" s="5"/>
      <c r="S554" s="5" t="s">
        <v>49066</v>
      </c>
      <c r="T554" s="28">
        <v>358336000</v>
      </c>
      <c r="U554" s="28"/>
      <c r="V554" s="28">
        <v>1531625000</v>
      </c>
      <c r="W554" s="28">
        <v>5700000</v>
      </c>
      <c r="X554" s="28">
        <v>36781000</v>
      </c>
      <c r="Y554" s="28">
        <v>2488915000</v>
      </c>
      <c r="Z554" s="28">
        <v>19633000</v>
      </c>
      <c r="AA554" s="28"/>
      <c r="AB554" s="28">
        <v>250000000</v>
      </c>
      <c r="AC554" s="28">
        <v>2005014000</v>
      </c>
      <c r="AD554" s="28">
        <v>479653000</v>
      </c>
      <c r="AE554" s="28">
        <v>3867287000</v>
      </c>
      <c r="AF554" s="28">
        <v>10988000</v>
      </c>
      <c r="AG554" s="11"/>
    </row>
    <row r="555">
      <c r="A555" s="7" t="s">
        <v>2292</v>
      </c>
      <c r="B555" s="5" t="s">
        <v>10269</v>
      </c>
      <c r="C555" s="5" t="s">
        <v>18167</v>
      </c>
      <c r="D555" s="5" t="str">
        <v>505023817218</v>
      </c>
      <c r="E555" s="0" t="e">
        <f>+7 (471) 5621741
+7 (47148) 76479
+7 (47148) 76488
+7 (47148) 76489
+7 (47156) 23041
+7 (47156) 23042</f>
        <v>#NAME?</v>
      </c>
      <c r="F555" s="5" t="s">
        <v>27021</v>
      </c>
      <c r="G555" s="5" t="s">
        <v>27022</v>
      </c>
      <c r="H555" s="26">
        <v>15.5</v>
      </c>
      <c r="I555" s="5" t="s">
        <v>27023</v>
      </c>
      <c r="J555" s="5" t="s">
        <v>25371</v>
      </c>
      <c r="K555" s="5" t="s">
        <v>344</v>
      </c>
      <c r="L555" s="5" t="s">
        <v>27024</v>
      </c>
      <c r="M555" s="27"/>
      <c r="N555" s="5"/>
      <c r="O555" s="5" t="str">
        <v>4609004168</v>
      </c>
      <c r="P555" s="27">
        <v>25000</v>
      </c>
      <c r="Q555" s="5" t="s">
        <v>49009</v>
      </c>
      <c r="R555" s="5"/>
      <c r="S555" s="5" t="s">
        <v>49066</v>
      </c>
      <c r="T555" s="28">
        <v>45966631000</v>
      </c>
      <c r="U555" s="28">
        <v>600600000</v>
      </c>
      <c r="V555" s="28">
        <v>11101983000</v>
      </c>
      <c r="W555" s="28">
        <v>2040000000</v>
      </c>
      <c r="X555" s="28">
        <v>1963734000</v>
      </c>
      <c r="Y555" s="28">
        <v>71221365000</v>
      </c>
      <c r="Z555" s="28">
        <v>19878810000</v>
      </c>
      <c r="AA555" s="28">
        <v>40058728000</v>
      </c>
      <c r="AB555" s="28">
        <v>989241000</v>
      </c>
      <c r="AC555" s="28">
        <v>10664989000</v>
      </c>
      <c r="AD555" s="28">
        <v>22155852000</v>
      </c>
      <c r="AE555" s="28">
        <v>25487320000</v>
      </c>
      <c r="AF555" s="28">
        <v>3301270000</v>
      </c>
      <c r="AG555" s="11"/>
    </row>
    <row r="556">
      <c r="A556" s="7" t="s">
        <v>2293</v>
      </c>
      <c r="B556" s="5" t="s">
        <v>10269</v>
      </c>
      <c r="C556" s="5" t="s">
        <v>18167</v>
      </c>
      <c r="D556" s="5" t="str">
        <v>505023817218</v>
      </c>
      <c r="E556" s="0" t="e">
        <f>+7 (47148) 76488
+7 (471) 4876489
+7 (47148) 76487
+7 (47156) 36844
+7 (47156) 36847
+7 (47156) 36848
+7 (960) 6822940</f>
        <v>#NAME?</v>
      </c>
      <c r="F556" s="5" t="s">
        <v>27025</v>
      </c>
      <c r="G556" s="5" t="s">
        <v>27022</v>
      </c>
      <c r="H556" s="26">
        <v>13</v>
      </c>
      <c r="I556" s="5" t="s">
        <v>27026</v>
      </c>
      <c r="J556" s="5" t="s">
        <v>25829</v>
      </c>
      <c r="K556" s="5" t="s">
        <v>355</v>
      </c>
      <c r="L556" s="5" t="s">
        <v>27027</v>
      </c>
      <c r="M556" s="27"/>
      <c r="N556" s="5"/>
      <c r="O556" s="5" t="str">
        <v>4609004337</v>
      </c>
      <c r="P556" s="27">
        <v>15000000</v>
      </c>
      <c r="Q556" s="5"/>
      <c r="R556" s="5" t="s">
        <v>49964</v>
      </c>
      <c r="S556" s="5" t="s">
        <v>49029</v>
      </c>
      <c r="T556" s="28">
        <v>1159747000</v>
      </c>
      <c r="U556" s="28">
        <v>616709000</v>
      </c>
      <c r="V556" s="28">
        <v>3717100000</v>
      </c>
      <c r="W556" s="28">
        <v>15642000</v>
      </c>
      <c r="X556" s="28">
        <v>12380000</v>
      </c>
      <c r="Y556" s="28">
        <v>6506532000</v>
      </c>
      <c r="Z556" s="28">
        <v>4527516000</v>
      </c>
      <c r="AA556" s="28">
        <v>380219000</v>
      </c>
      <c r="AB556" s="28">
        <v>1090000000</v>
      </c>
      <c r="AC556" s="28">
        <v>1486803000</v>
      </c>
      <c r="AD556" s="28">
        <v>4565960000</v>
      </c>
      <c r="AE556" s="28">
        <v>3154280000</v>
      </c>
      <c r="AF556" s="28">
        <v>728054000</v>
      </c>
      <c r="AG556" s="11"/>
    </row>
    <row r="557">
      <c r="A557" s="7" t="s">
        <v>2294</v>
      </c>
      <c r="B557" s="5" t="s">
        <v>10270</v>
      </c>
      <c r="C557" s="5" t="s">
        <v>18168</v>
      </c>
      <c r="D557" s="5" t="str">
        <v>164402016295</v>
      </c>
      <c r="E557" s="0" t="e">
        <f>+7 (8553) 450832</f>
        <v>#NAME?</v>
      </c>
      <c r="F557" s="5" t="s">
        <v>27028</v>
      </c>
      <c r="G557" s="5"/>
      <c r="H557" s="26">
        <v>18.5</v>
      </c>
      <c r="I557" s="5" t="s">
        <v>27029</v>
      </c>
      <c r="J557" s="5" t="s">
        <v>947</v>
      </c>
      <c r="K557" s="5" t="s">
        <v>344</v>
      </c>
      <c r="L557" s="5" t="s">
        <v>27030</v>
      </c>
      <c r="M557" s="27">
        <v>9148046</v>
      </c>
      <c r="N557" s="5" t="s">
        <v>49965</v>
      </c>
      <c r="O557" s="5" t="str">
        <v>1644031360</v>
      </c>
      <c r="P557" s="27">
        <v>4882840</v>
      </c>
      <c r="Q557" s="5" t="s">
        <v>49966</v>
      </c>
      <c r="R557" s="5" t="s">
        <v>49967</v>
      </c>
      <c r="S557" s="5" t="s">
        <v>49968</v>
      </c>
      <c r="T557" s="28">
        <v>531912000</v>
      </c>
      <c r="U557" s="28">
        <v>17370000</v>
      </c>
      <c r="V557" s="28">
        <v>700333000</v>
      </c>
      <c r="W557" s="28">
        <v>300000</v>
      </c>
      <c r="X557" s="28">
        <v>11805000</v>
      </c>
      <c r="Y557" s="28">
        <v>1598685000</v>
      </c>
      <c r="Z557" s="28">
        <v>400398000</v>
      </c>
      <c r="AA557" s="28">
        <v>100000000</v>
      </c>
      <c r="AB557" s="28"/>
      <c r="AC557" s="28">
        <v>875052000</v>
      </c>
      <c r="AD557" s="28">
        <v>541328000</v>
      </c>
      <c r="AE557" s="28">
        <v>3701322000</v>
      </c>
      <c r="AF557" s="28">
        <v>32285000</v>
      </c>
      <c r="AG557" s="11"/>
    </row>
    <row r="558">
      <c r="A558" s="7" t="s">
        <v>2295</v>
      </c>
      <c r="B558" s="5" t="s">
        <v>10271</v>
      </c>
      <c r="C558" s="5" t="s">
        <v>18169</v>
      </c>
      <c r="D558" s="5" t="str">
        <v>481302471680</v>
      </c>
      <c r="E558" s="0" t="e">
        <f>+7 (474) 2343998
+7 (474) 2345962
+7 (47467) 99133
+7 (47471) 22085
+7 (47471) 24209
+7 (47471) 52278
+7 (47471) 52289
+7 (47471) 52295
+7 (906) 6811718</f>
        <v>#NAME?</v>
      </c>
      <c r="F558" s="5" t="s">
        <v>27031</v>
      </c>
      <c r="G558" s="5"/>
      <c r="H558" s="26">
        <v>27.5</v>
      </c>
      <c r="I558" s="5"/>
      <c r="J558" s="5" t="s">
        <v>725</v>
      </c>
      <c r="K558" s="5" t="s">
        <v>344</v>
      </c>
      <c r="L558" s="5" t="s">
        <v>27032</v>
      </c>
      <c r="M558" s="27">
        <v>1535695</v>
      </c>
      <c r="N558" s="5"/>
      <c r="O558" s="5" t="str">
        <v>4825003761</v>
      </c>
      <c r="P558" s="27">
        <v>3782614</v>
      </c>
      <c r="Q558" s="5" t="s">
        <v>49057</v>
      </c>
      <c r="R558" s="5"/>
      <c r="S558" s="5" t="s">
        <v>49126</v>
      </c>
      <c r="T558" s="28">
        <v>7878879000</v>
      </c>
      <c r="U558" s="28">
        <v>833306000</v>
      </c>
      <c r="V558" s="28">
        <v>3299132000</v>
      </c>
      <c r="W558" s="28">
        <v>73593000</v>
      </c>
      <c r="X558" s="28">
        <v>342047000</v>
      </c>
      <c r="Y558" s="28">
        <v>17301678000</v>
      </c>
      <c r="Z558" s="28">
        <v>13842825000</v>
      </c>
      <c r="AA558" s="28">
        <v>454171000</v>
      </c>
      <c r="AB558" s="28">
        <v>1371031000</v>
      </c>
      <c r="AC558" s="28">
        <v>2906877000</v>
      </c>
      <c r="AD558" s="28">
        <v>13951260000</v>
      </c>
      <c r="AE558" s="28">
        <v>8909609000</v>
      </c>
      <c r="AF558" s="28">
        <v>2810170000</v>
      </c>
      <c r="AG558" s="11"/>
    </row>
    <row r="559">
      <c r="A559" s="7" t="s">
        <v>2296</v>
      </c>
      <c r="B559" s="5" t="s">
        <v>10272</v>
      </c>
      <c r="C559" s="5" t="s">
        <v>18170</v>
      </c>
      <c r="D559" s="5" t="str">
        <v>614006236732</v>
      </c>
      <c r="E559" s="0" t="e">
        <f>+7 (928) 2120710
+7 (3512) 20214
+7 (383) 2022116
+7 (495) 5445634
+7 (495) 9227695
+7 (812) 6076857
+7 (8432) 9593
+7 (863) 2618888
+7 (8632) 610888
+7 (8632) 618800
+7 (86342) 56243
+7 (928) 1301068
+7 (928) 2274045
+7 (938) 1087329
+7 (938) 1256203</f>
        <v>#NAME?</v>
      </c>
      <c r="F559" s="5" t="s">
        <v>27033</v>
      </c>
      <c r="G559" s="5" t="s">
        <v>27034</v>
      </c>
      <c r="H559" s="26">
        <v>15.5</v>
      </c>
      <c r="I559" s="5" t="s">
        <v>27035</v>
      </c>
      <c r="J559" s="5" t="s">
        <v>26251</v>
      </c>
      <c r="K559" s="5" t="s">
        <v>344</v>
      </c>
      <c r="L559" s="5" t="s">
        <v>27036</v>
      </c>
      <c r="M559" s="27"/>
      <c r="N559" s="5" t="s">
        <v>49970</v>
      </c>
      <c r="O559" s="5" t="str">
        <v>6140026296</v>
      </c>
      <c r="P559" s="27">
        <v>300000</v>
      </c>
      <c r="Q559" s="5" t="s">
        <v>49971</v>
      </c>
      <c r="R559" s="5"/>
      <c r="S559" s="5" t="s">
        <v>49972</v>
      </c>
      <c r="T559" s="28">
        <v>104878000</v>
      </c>
      <c r="U559" s="28">
        <v>1485000</v>
      </c>
      <c r="V559" s="28">
        <v>300274000</v>
      </c>
      <c r="W559" s="28">
        <v>228000</v>
      </c>
      <c r="X559" s="28">
        <v>76646000</v>
      </c>
      <c r="Y559" s="28">
        <v>1176747000</v>
      </c>
      <c r="Z559" s="28">
        <v>801002000</v>
      </c>
      <c r="AA559" s="28">
        <v>15700000</v>
      </c>
      <c r="AB559" s="28">
        <v>36013000</v>
      </c>
      <c r="AC559" s="28">
        <v>352590000</v>
      </c>
      <c r="AD559" s="28">
        <v>801302000</v>
      </c>
      <c r="AE559" s="28">
        <v>4776597000</v>
      </c>
      <c r="AF559" s="28">
        <v>471381000</v>
      </c>
      <c r="AG559" s="11"/>
    </row>
    <row r="560">
      <c r="A560" s="7" t="s">
        <v>2297</v>
      </c>
      <c r="B560" s="5" t="s">
        <v>10273</v>
      </c>
      <c r="C560" s="5" t="s">
        <v>18171</v>
      </c>
      <c r="D560" s="5" t="str">
        <v>741104270760</v>
      </c>
      <c r="E560" s="0" t="e">
        <f>+7 (343) 9398002</f>
        <v>#NAME?</v>
      </c>
      <c r="F560" s="5"/>
      <c r="G560" s="5"/>
      <c r="H560" s="26">
        <v>14.5</v>
      </c>
      <c r="I560" s="5" t="s">
        <v>26741</v>
      </c>
      <c r="J560" s="5" t="s">
        <v>26655</v>
      </c>
      <c r="K560" s="5" t="s">
        <v>344</v>
      </c>
      <c r="L560" s="5" t="s">
        <v>27037</v>
      </c>
      <c r="M560" s="27"/>
      <c r="N560" s="5" t="s">
        <v>49973</v>
      </c>
      <c r="O560" s="5" t="str">
        <v>6674313152</v>
      </c>
      <c r="P560" s="27">
        <v>250000</v>
      </c>
      <c r="Q560" s="5" t="s">
        <v>49975</v>
      </c>
      <c r="R560" s="5"/>
      <c r="S560" s="5" t="s">
        <v>49976</v>
      </c>
      <c r="T560" s="28">
        <v>634651000</v>
      </c>
      <c r="U560" s="28"/>
      <c r="V560" s="28">
        <v>1769000</v>
      </c>
      <c r="W560" s="28"/>
      <c r="X560" s="28">
        <v>261834000</v>
      </c>
      <c r="Y560" s="28">
        <v>1849002000</v>
      </c>
      <c r="Z560" s="28">
        <v>214413000</v>
      </c>
      <c r="AA560" s="28"/>
      <c r="AB560" s="28"/>
      <c r="AC560" s="28">
        <v>1025195000</v>
      </c>
      <c r="AD560" s="28">
        <v>214663000</v>
      </c>
      <c r="AE560" s="28">
        <v>14564971000</v>
      </c>
      <c r="AF560" s="28">
        <v>790516000</v>
      </c>
      <c r="AG560" s="11"/>
    </row>
    <row r="561">
      <c r="A561" s="7" t="s">
        <v>2298</v>
      </c>
      <c r="B561" s="5" t="s">
        <v>10274</v>
      </c>
      <c r="C561" s="5" t="s">
        <v>18172</v>
      </c>
      <c r="D561" s="5" t="str">
        <v>772637344575</v>
      </c>
      <c r="E561" s="0" t="e">
        <f>+7 (495) 7923898
+7 (495) 7923892</f>
        <v>#NAME?</v>
      </c>
      <c r="F561" s="5" t="s">
        <v>27038</v>
      </c>
      <c r="G561" s="5"/>
      <c r="H561" s="26">
        <v>26.5</v>
      </c>
      <c r="I561" s="5" t="s">
        <v>27039</v>
      </c>
      <c r="J561" s="5" t="s">
        <v>354</v>
      </c>
      <c r="K561" s="5" t="s">
        <v>344</v>
      </c>
      <c r="L561" s="5" t="s">
        <v>27040</v>
      </c>
      <c r="M561" s="27"/>
      <c r="N561" s="5" t="s">
        <v>49977</v>
      </c>
      <c r="O561" s="5" t="str">
        <v>7708234873</v>
      </c>
      <c r="P561" s="27">
        <v>33734940</v>
      </c>
      <c r="Q561" s="5"/>
      <c r="R561" s="5"/>
      <c r="S561" s="5" t="s">
        <v>49110</v>
      </c>
      <c r="T561" s="28">
        <v>3127000</v>
      </c>
      <c r="U561" s="28">
        <v>20004000</v>
      </c>
      <c r="V561" s="28">
        <v>299003000</v>
      </c>
      <c r="W561" s="28">
        <v>400181000</v>
      </c>
      <c r="X561" s="28">
        <v>15468000</v>
      </c>
      <c r="Y561" s="28">
        <v>748281000</v>
      </c>
      <c r="Z561" s="28">
        <v>244101000</v>
      </c>
      <c r="AA561" s="28"/>
      <c r="AB561" s="28"/>
      <c r="AC561" s="28">
        <v>470445000</v>
      </c>
      <c r="AD561" s="28">
        <v>277836000</v>
      </c>
      <c r="AE561" s="28">
        <v>3517940000</v>
      </c>
      <c r="AF561" s="28">
        <v>113413000</v>
      </c>
      <c r="AG561" s="11"/>
    </row>
    <row r="562">
      <c r="A562" s="7" t="s">
        <v>2299</v>
      </c>
      <c r="B562" s="5" t="s">
        <v>10275</v>
      </c>
      <c r="C562" s="5" t="s">
        <v>18173</v>
      </c>
      <c r="D562" s="5" t="str">
        <v>234500200835</v>
      </c>
      <c r="E562" s="0" t="e">
        <f>+7 (861) 2735993</f>
        <v>#NAME?</v>
      </c>
      <c r="F562" s="5"/>
      <c r="G562" s="5"/>
      <c r="H562" s="26">
        <v>9</v>
      </c>
      <c r="I562" s="5" t="s">
        <v>27041</v>
      </c>
      <c r="J562" s="5" t="s">
        <v>26165</v>
      </c>
      <c r="K562" s="5" t="s">
        <v>380</v>
      </c>
      <c r="L562" s="5" t="s">
        <v>27042</v>
      </c>
      <c r="M562" s="27"/>
      <c r="N562" s="5"/>
      <c r="O562" s="5" t="str">
        <v>2311169959</v>
      </c>
      <c r="P562" s="27">
        <v>10000</v>
      </c>
      <c r="Q562" s="5" t="s">
        <v>49009</v>
      </c>
      <c r="R562" s="5"/>
      <c r="S562" s="5" t="s">
        <v>49978</v>
      </c>
      <c r="T562" s="28">
        <v>930978000</v>
      </c>
      <c r="U562" s="28">
        <v>73800000</v>
      </c>
      <c r="V562" s="28">
        <v>925368000</v>
      </c>
      <c r="W562" s="28">
        <v>700000</v>
      </c>
      <c r="X562" s="28">
        <v>52338000</v>
      </c>
      <c r="Y562" s="28">
        <v>2928509000</v>
      </c>
      <c r="Z562" s="28">
        <v>149333000</v>
      </c>
      <c r="AA562" s="28">
        <v>336150000</v>
      </c>
      <c r="AB562" s="28">
        <v>161053000</v>
      </c>
      <c r="AC562" s="28">
        <v>1201648000</v>
      </c>
      <c r="AD562" s="28">
        <v>149343000</v>
      </c>
      <c r="AE562" s="28">
        <v>4775658000</v>
      </c>
      <c r="AF562" s="28">
        <v>53244000</v>
      </c>
      <c r="AG562" s="11"/>
    </row>
    <row r="563">
      <c r="A563" s="7" t="s">
        <v>2300</v>
      </c>
      <c r="B563" s="5" t="s">
        <v>10276</v>
      </c>
      <c r="C563" s="5" t="s">
        <v>18173</v>
      </c>
      <c r="D563" s="5" t="str">
        <v>234500200835</v>
      </c>
      <c r="E563" s="0" t="e">
        <f>+7 (812) 2735993</f>
        <v>#NAME?</v>
      </c>
      <c r="F563" s="5"/>
      <c r="G563" s="5"/>
      <c r="H563" s="26">
        <v>9</v>
      </c>
      <c r="I563" s="5" t="s">
        <v>27041</v>
      </c>
      <c r="J563" s="5" t="s">
        <v>26165</v>
      </c>
      <c r="K563" s="5" t="s">
        <v>355</v>
      </c>
      <c r="L563" s="5" t="s">
        <v>27043</v>
      </c>
      <c r="M563" s="27"/>
      <c r="N563" s="5"/>
      <c r="O563" s="5" t="str">
        <v>2310174829</v>
      </c>
      <c r="P563" s="27">
        <v>10000</v>
      </c>
      <c r="Q563" s="5" t="s">
        <v>49009</v>
      </c>
      <c r="R563" s="5"/>
      <c r="S563" s="5" t="s">
        <v>49978</v>
      </c>
      <c r="T563" s="28">
        <v>816197000</v>
      </c>
      <c r="U563" s="28">
        <v>149400000</v>
      </c>
      <c r="V563" s="28">
        <v>390957000</v>
      </c>
      <c r="W563" s="28">
        <v>600000</v>
      </c>
      <c r="X563" s="28">
        <v>46225000</v>
      </c>
      <c r="Y563" s="28">
        <v>2251144000</v>
      </c>
      <c r="Z563" s="28">
        <v>178237000</v>
      </c>
      <c r="AA563" s="28">
        <v>133000000</v>
      </c>
      <c r="AB563" s="28">
        <v>119088000</v>
      </c>
      <c r="AC563" s="28">
        <v>871323000</v>
      </c>
      <c r="AD563" s="28">
        <v>178247000</v>
      </c>
      <c r="AE563" s="28">
        <v>3931936000</v>
      </c>
      <c r="AF563" s="28">
        <v>132007000</v>
      </c>
      <c r="AG563" s="11"/>
    </row>
    <row r="564">
      <c r="A564" s="7" t="s">
        <v>2301</v>
      </c>
      <c r="B564" s="5" t="s">
        <v>10277</v>
      </c>
      <c r="C564" s="5" t="s">
        <v>18173</v>
      </c>
      <c r="D564" s="5" t="str">
        <v>234500200835</v>
      </c>
      <c r="E564" s="0" t="e">
        <f>+7 (812) 2735993
+7 (861) 2730473
+7 (861) 2735993</f>
        <v>#NAME?</v>
      </c>
      <c r="F564" s="5" t="s">
        <v>27044</v>
      </c>
      <c r="G564" s="5"/>
      <c r="H564" s="26">
        <v>9</v>
      </c>
      <c r="I564" s="5" t="s">
        <v>27041</v>
      </c>
      <c r="J564" s="5" t="s">
        <v>26165</v>
      </c>
      <c r="K564" s="5" t="s">
        <v>355</v>
      </c>
      <c r="L564" s="5" t="s">
        <v>27045</v>
      </c>
      <c r="M564" s="27"/>
      <c r="N564" s="5"/>
      <c r="O564" s="5" t="str">
        <v>2310174811</v>
      </c>
      <c r="P564" s="27">
        <v>10000</v>
      </c>
      <c r="Q564" s="5" t="s">
        <v>49009</v>
      </c>
      <c r="R564" s="5" t="s">
        <v>49979</v>
      </c>
      <c r="S564" s="5" t="s">
        <v>49980</v>
      </c>
      <c r="T564" s="28">
        <v>1131328000</v>
      </c>
      <c r="U564" s="28">
        <v>213200000</v>
      </c>
      <c r="V564" s="28">
        <v>948724000</v>
      </c>
      <c r="W564" s="28"/>
      <c r="X564" s="28">
        <v>63407000</v>
      </c>
      <c r="Y564" s="28">
        <v>3492014000</v>
      </c>
      <c r="Z564" s="28">
        <v>321215000</v>
      </c>
      <c r="AA564" s="28">
        <v>194400000</v>
      </c>
      <c r="AB564" s="28">
        <v>312890000</v>
      </c>
      <c r="AC564" s="28">
        <v>1463299000</v>
      </c>
      <c r="AD564" s="28">
        <v>321225000</v>
      </c>
      <c r="AE564" s="28">
        <v>5778191000</v>
      </c>
      <c r="AF564" s="28">
        <v>162077000</v>
      </c>
      <c r="AG564" s="11"/>
    </row>
    <row r="565">
      <c r="A565" s="7" t="s">
        <v>2302</v>
      </c>
      <c r="B565" s="5" t="s">
        <v>10278</v>
      </c>
      <c r="C565" s="5" t="s">
        <v>18173</v>
      </c>
      <c r="D565" s="5" t="str">
        <v>234500200835</v>
      </c>
      <c r="E565" s="0" t="e">
        <f>+7 (861) 2735993</f>
        <v>#NAME?</v>
      </c>
      <c r="F565" s="5"/>
      <c r="G565" s="5"/>
      <c r="H565" s="26">
        <v>9</v>
      </c>
      <c r="I565" s="5" t="s">
        <v>27041</v>
      </c>
      <c r="J565" s="5" t="s">
        <v>26165</v>
      </c>
      <c r="K565" s="5" t="s">
        <v>355</v>
      </c>
      <c r="L565" s="5" t="s">
        <v>27046</v>
      </c>
      <c r="M565" s="27"/>
      <c r="N565" s="5"/>
      <c r="O565" s="5" t="str">
        <v>2308209746</v>
      </c>
      <c r="P565" s="27">
        <v>10000</v>
      </c>
      <c r="Q565" s="5" t="s">
        <v>49981</v>
      </c>
      <c r="R565" s="5"/>
      <c r="S565" s="5" t="s">
        <v>49045</v>
      </c>
      <c r="T565" s="28">
        <v>990016000</v>
      </c>
      <c r="U565" s="28">
        <v>108850000</v>
      </c>
      <c r="V565" s="28">
        <v>531013000</v>
      </c>
      <c r="W565" s="28">
        <v>150000</v>
      </c>
      <c r="X565" s="28">
        <v>45906000</v>
      </c>
      <c r="Y565" s="28">
        <v>2619018000</v>
      </c>
      <c r="Z565" s="28">
        <v>154736000</v>
      </c>
      <c r="AA565" s="28">
        <v>58400000</v>
      </c>
      <c r="AB565" s="28">
        <v>140059000</v>
      </c>
      <c r="AC565" s="28">
        <v>1068005000</v>
      </c>
      <c r="AD565" s="28">
        <v>154746000</v>
      </c>
      <c r="AE565" s="28">
        <v>3948888000</v>
      </c>
      <c r="AF565" s="28">
        <v>64050000</v>
      </c>
      <c r="AG565" s="11"/>
    </row>
    <row r="566">
      <c r="A566" s="7" t="s">
        <v>2303</v>
      </c>
      <c r="B566" s="5" t="s">
        <v>10279</v>
      </c>
      <c r="C566" s="5" t="s">
        <v>18174</v>
      </c>
      <c r="D566" s="5" t="str">
        <v>771580770655</v>
      </c>
      <c r="F566" s="5"/>
      <c r="G566" s="5"/>
      <c r="H566" s="26">
        <v>7.5</v>
      </c>
      <c r="I566" s="5" t="s">
        <v>27047</v>
      </c>
      <c r="J566" s="5" t="s">
        <v>26165</v>
      </c>
      <c r="K566" s="5" t="s">
        <v>380</v>
      </c>
      <c r="L566" s="5"/>
      <c r="M566" s="27">
        <v>49594</v>
      </c>
      <c r="N566" s="5" t="s">
        <v>49982</v>
      </c>
      <c r="O566" s="5" t="str">
        <v>7718280244</v>
      </c>
      <c r="P566" s="27">
        <v>5000000</v>
      </c>
      <c r="Q566" s="5" t="s">
        <v>49434</v>
      </c>
      <c r="R566" s="5"/>
      <c r="S566" s="5" t="s">
        <v>49983</v>
      </c>
      <c r="T566" s="28">
        <v>121820000</v>
      </c>
      <c r="U566" s="28"/>
      <c r="V566" s="28">
        <v>224577000</v>
      </c>
      <c r="W566" s="28"/>
      <c r="X566" s="28">
        <v>76829000</v>
      </c>
      <c r="Y566" s="28">
        <v>1144788000</v>
      </c>
      <c r="Z566" s="28">
        <v>-696446000</v>
      </c>
      <c r="AA566" s="28">
        <v>384780000</v>
      </c>
      <c r="AB566" s="28">
        <v>2659000</v>
      </c>
      <c r="AC566" s="28">
        <v>1435562000</v>
      </c>
      <c r="AD566" s="28">
        <v>-691446000</v>
      </c>
      <c r="AE566" s="28">
        <v>3283608000</v>
      </c>
      <c r="AF566" s="28">
        <v>-22673000</v>
      </c>
      <c r="AG566" s="11"/>
    </row>
    <row r="567">
      <c r="A567" s="7" t="s">
        <v>2304</v>
      </c>
      <c r="B567" s="5" t="s">
        <v>10280</v>
      </c>
      <c r="C567" s="5" t="s">
        <v>18175</v>
      </c>
      <c r="D567" s="5" t="str">
        <v>501301276801</v>
      </c>
      <c r="E567" s="0" t="e">
        <f>+7 (498) 4878552</f>
        <v>#NAME?</v>
      </c>
      <c r="F567" s="5"/>
      <c r="G567" s="5"/>
      <c r="H567" s="26">
        <v>22</v>
      </c>
      <c r="I567" s="5" t="s">
        <v>27048</v>
      </c>
      <c r="J567" s="5" t="s">
        <v>26165</v>
      </c>
      <c r="K567" s="5" t="s">
        <v>380</v>
      </c>
      <c r="L567" s="5"/>
      <c r="M567" s="27"/>
      <c r="N567" s="5"/>
      <c r="O567" s="5" t="str">
        <v>5013041677</v>
      </c>
      <c r="P567" s="27">
        <v>10020</v>
      </c>
      <c r="Q567" s="5"/>
      <c r="R567" s="5"/>
      <c r="S567" s="5" t="s">
        <v>49110</v>
      </c>
      <c r="T567" s="28">
        <v>3799863000</v>
      </c>
      <c r="U567" s="28"/>
      <c r="V567" s="28">
        <v>29766000</v>
      </c>
      <c r="W567" s="28"/>
      <c r="X567" s="28">
        <v>186441000</v>
      </c>
      <c r="Y567" s="28">
        <v>8549212000</v>
      </c>
      <c r="Z567" s="28"/>
      <c r="AA567" s="28"/>
      <c r="AB567" s="28">
        <v>5800000000</v>
      </c>
      <c r="AC567" s="28">
        <v>8539192000</v>
      </c>
      <c r="AD567" s="28">
        <v>10020000</v>
      </c>
      <c r="AE567" s="28">
        <v>52561351000</v>
      </c>
      <c r="AF567" s="28">
        <v>-508044000</v>
      </c>
      <c r="AG567" s="11"/>
    </row>
    <row r="568">
      <c r="A568" s="7" t="s">
        <v>2305</v>
      </c>
      <c r="B568" s="5" t="s">
        <v>10281</v>
      </c>
      <c r="C568" s="5" t="s">
        <v>18174</v>
      </c>
      <c r="D568" s="5" t="str">
        <v>771580770655</v>
      </c>
      <c r="E568" s="0" t="e">
        <f>+7 (495) 2761130
+7 (495) 2761430
+7 (495) 3632503
+7 (495) 4404634
+7 (495) 6471011
+7 (495) 7184977
+7 (495) 7834245
+7 (495) 7976336
+7 (495) 7978681
+7 (495) 7978686
+7 (499) 2151366
+7 (499) 4086482
+7 (812) 4496336
+7 (925) 980215</f>
        <v>#NAME?</v>
      </c>
      <c r="F568" s="5"/>
      <c r="G568" s="5" t="s">
        <v>27049</v>
      </c>
      <c r="H568" s="26">
        <v>12</v>
      </c>
      <c r="I568" s="5" t="s">
        <v>27050</v>
      </c>
      <c r="J568" s="5" t="s">
        <v>26165</v>
      </c>
      <c r="K568" s="5" t="s">
        <v>344</v>
      </c>
      <c r="L568" s="5"/>
      <c r="M568" s="27">
        <v>11590342</v>
      </c>
      <c r="N568" s="5"/>
      <c r="O568" s="5" t="str">
        <v>7705947629</v>
      </c>
      <c r="P568" s="27">
        <v>10000</v>
      </c>
      <c r="Q568" s="5" t="s">
        <v>49984</v>
      </c>
      <c r="R568" s="5" t="s">
        <v>49985</v>
      </c>
      <c r="S568" s="5" t="s">
        <v>49986</v>
      </c>
      <c r="T568" s="28">
        <v>1323041000</v>
      </c>
      <c r="U568" s="28">
        <v>552295000</v>
      </c>
      <c r="V568" s="28">
        <v>4444698000</v>
      </c>
      <c r="W568" s="28">
        <v>18872375000</v>
      </c>
      <c r="X568" s="28">
        <v>392748000</v>
      </c>
      <c r="Y568" s="28">
        <v>34274638000</v>
      </c>
      <c r="Z568" s="28">
        <v>-34005254000</v>
      </c>
      <c r="AA568" s="28">
        <v>17226200000</v>
      </c>
      <c r="AB568" s="28">
        <v>7188288000</v>
      </c>
      <c r="AC568" s="28">
        <v>16605931000</v>
      </c>
      <c r="AD568" s="28">
        <v>337538000</v>
      </c>
      <c r="AE568" s="28">
        <v>35729050000</v>
      </c>
      <c r="AF568" s="28">
        <v>64034000</v>
      </c>
      <c r="AG568" s="11"/>
    </row>
    <row r="569">
      <c r="A569" s="7" t="s">
        <v>2306</v>
      </c>
      <c r="B569" s="5" t="s">
        <v>10282</v>
      </c>
      <c r="C569" s="5" t="s">
        <v>18174</v>
      </c>
      <c r="D569" s="5" t="str">
        <v>771580770655</v>
      </c>
      <c r="E569" s="0" t="e">
        <f>+7 (495) 1201285
+7 (495) 1503584
+7 (495) 2767663
+7 (495) 3692140
+7 (495) 7813602
+7 (495) 7925209
+7 (495) 7976336
+7 (495) 7979366
+7 (499) 3220262
+7 (499) 4086483
+7 (800) 2006303
+7 (812) 4261584
+7 (812) 4496336
+7 (916) 5707979
+7 (925) 3037568</f>
        <v>#NAME?</v>
      </c>
      <c r="F569" s="5" t="s">
        <v>27051</v>
      </c>
      <c r="G569" s="5" t="s">
        <v>27052</v>
      </c>
      <c r="H569" s="26">
        <v>11.5</v>
      </c>
      <c r="I569" s="5" t="s">
        <v>27053</v>
      </c>
      <c r="J569" s="5" t="s">
        <v>26165</v>
      </c>
      <c r="K569" s="5" t="s">
        <v>355</v>
      </c>
      <c r="L569" s="5"/>
      <c r="M569" s="27"/>
      <c r="N569" s="5" t="s">
        <v>49987</v>
      </c>
      <c r="O569" s="5" t="str">
        <v>7714844316</v>
      </c>
      <c r="P569" s="27">
        <v>12000</v>
      </c>
      <c r="Q569" s="5" t="s">
        <v>49009</v>
      </c>
      <c r="R569" s="5" t="s">
        <v>49988</v>
      </c>
      <c r="S569" s="5" t="s">
        <v>49045</v>
      </c>
      <c r="T569" s="28">
        <v>612916000</v>
      </c>
      <c r="U569" s="28">
        <v>455102000</v>
      </c>
      <c r="V569" s="28">
        <v>324014000</v>
      </c>
      <c r="W569" s="28">
        <v>1700000000</v>
      </c>
      <c r="X569" s="28">
        <v>203830000</v>
      </c>
      <c r="Y569" s="28">
        <v>6204688000</v>
      </c>
      <c r="Z569" s="28">
        <v>-2393128000</v>
      </c>
      <c r="AA569" s="28">
        <v>750000000</v>
      </c>
      <c r="AB569" s="28">
        <v>1257875000</v>
      </c>
      <c r="AC569" s="28">
        <v>6163401000</v>
      </c>
      <c r="AD569" s="28">
        <v>-759541000</v>
      </c>
      <c r="AE569" s="28">
        <v>17758461000</v>
      </c>
      <c r="AF569" s="28">
        <v>52249000</v>
      </c>
      <c r="AG569" s="11"/>
    </row>
    <row r="570">
      <c r="A570" s="7" t="s">
        <v>2307</v>
      </c>
      <c r="B570" s="5" t="s">
        <v>10283</v>
      </c>
      <c r="C570" s="5" t="s">
        <v>18176</v>
      </c>
      <c r="D570" s="5" t="str">
        <v>780105722074</v>
      </c>
      <c r="E570" s="0" t="e">
        <f>+7 (499) 2343187
+7 (903) 7288564
+7 (495) 7373535
+7 (800) 7773003</f>
        <v>#NAME?</v>
      </c>
      <c r="F570" s="5" t="s">
        <v>27054</v>
      </c>
      <c r="G570" s="5"/>
      <c r="H570" s="26">
        <v>31</v>
      </c>
      <c r="I570" s="5" t="s">
        <v>27055</v>
      </c>
      <c r="J570" s="5" t="s">
        <v>26165</v>
      </c>
      <c r="K570" s="5" t="s">
        <v>344</v>
      </c>
      <c r="L570" s="5" t="s">
        <v>27056</v>
      </c>
      <c r="M570" s="27">
        <v>15446221</v>
      </c>
      <c r="N570" s="5" t="s">
        <v>49989</v>
      </c>
      <c r="O570" s="5" t="str">
        <v>7709068298</v>
      </c>
      <c r="P570" s="27">
        <v>317031000</v>
      </c>
      <c r="Q570" s="5"/>
      <c r="R570" s="5" t="s">
        <v>49990</v>
      </c>
      <c r="S570" s="5" t="s">
        <v>49991</v>
      </c>
      <c r="T570" s="28">
        <v>6968153000</v>
      </c>
      <c r="U570" s="28">
        <v>170418000</v>
      </c>
      <c r="V570" s="28">
        <v>1373629000</v>
      </c>
      <c r="W570" s="28">
        <v>917160000</v>
      </c>
      <c r="X570" s="28">
        <v>232975000</v>
      </c>
      <c r="Y570" s="28">
        <v>13451725000</v>
      </c>
      <c r="Z570" s="28">
        <v>-132818000</v>
      </c>
      <c r="AA570" s="28"/>
      <c r="AB570" s="28"/>
      <c r="AC570" s="28">
        <v>5761672000</v>
      </c>
      <c r="AD570" s="28">
        <v>191647000</v>
      </c>
      <c r="AE570" s="28">
        <v>22890181000</v>
      </c>
      <c r="AF570" s="28">
        <v>969018000</v>
      </c>
      <c r="AG570" s="11"/>
    </row>
    <row r="571">
      <c r="A571" s="7" t="s">
        <v>2308</v>
      </c>
      <c r="B571" s="5" t="s">
        <v>10284</v>
      </c>
      <c r="C571" s="5" t="s">
        <v>18177</v>
      </c>
      <c r="D571" s="5" t="str">
        <v>744814128957</v>
      </c>
      <c r="E571" s="0" t="e">
        <f>+7 (495) 9883338
+7 (925) 1447482
+7 (800) 1007242
+7 (800) 5050221</f>
        <v>#NAME?</v>
      </c>
      <c r="F571" s="5" t="s">
        <v>27057</v>
      </c>
      <c r="G571" s="5"/>
      <c r="H571" s="26">
        <v>3</v>
      </c>
      <c r="I571" s="5" t="s">
        <v>27058</v>
      </c>
      <c r="J571" s="5" t="s">
        <v>26165</v>
      </c>
      <c r="K571" s="5" t="s">
        <v>344</v>
      </c>
      <c r="L571" s="5" t="s">
        <v>27059</v>
      </c>
      <c r="M571" s="27"/>
      <c r="N571" s="5" t="s">
        <v>49982</v>
      </c>
      <c r="O571" s="5" t="str">
        <v>7714456627</v>
      </c>
      <c r="P571" s="27">
        <v>10000</v>
      </c>
      <c r="Q571" s="5" t="s">
        <v>49992</v>
      </c>
      <c r="R571" s="5"/>
      <c r="S571" s="5" t="s">
        <v>49065</v>
      </c>
      <c r="T571" s="28">
        <v>1213464000</v>
      </c>
      <c r="U571" s="28"/>
      <c r="V571" s="28">
        <v>2410451000</v>
      </c>
      <c r="W571" s="28"/>
      <c r="X571" s="28">
        <v>32070000</v>
      </c>
      <c r="Y571" s="28">
        <v>5787839000</v>
      </c>
      <c r="Z571" s="28">
        <v>6685000</v>
      </c>
      <c r="AA571" s="28">
        <v>1610000000</v>
      </c>
      <c r="AB571" s="28">
        <v>2655000</v>
      </c>
      <c r="AC571" s="28">
        <v>3225124000</v>
      </c>
      <c r="AD571" s="28">
        <v>6695000</v>
      </c>
      <c r="AE571" s="28">
        <v>5272989000</v>
      </c>
      <c r="AF571" s="28">
        <v>48000</v>
      </c>
      <c r="AG571" s="11"/>
    </row>
    <row r="572">
      <c r="A572" s="7" t="s">
        <v>2309</v>
      </c>
      <c r="B572" s="5" t="s">
        <v>10285</v>
      </c>
      <c r="C572" s="5" t="s">
        <v>18178</v>
      </c>
      <c r="D572" s="5" t="str">
        <v>550313466980</v>
      </c>
      <c r="E572" s="0" t="e">
        <f>+7 (913) 6411965
+7 (3463) 227486
+7 (800) 2009707
+7 (913) 9759502</f>
        <v>#NAME?</v>
      </c>
      <c r="F572" s="5" t="s">
        <v>27060</v>
      </c>
      <c r="G572" s="5"/>
      <c r="H572" s="26">
        <v>8</v>
      </c>
      <c r="I572" s="5" t="s">
        <v>27061</v>
      </c>
      <c r="J572" s="5" t="s">
        <v>26165</v>
      </c>
      <c r="K572" s="5" t="s">
        <v>344</v>
      </c>
      <c r="L572" s="5" t="s">
        <v>27062</v>
      </c>
      <c r="M572" s="27">
        <v>2400000</v>
      </c>
      <c r="N572" s="5" t="s">
        <v>49993</v>
      </c>
      <c r="O572" s="5" t="str">
        <v>5507102175</v>
      </c>
      <c r="P572" s="27">
        <v>10000</v>
      </c>
      <c r="Q572" s="5" t="s">
        <v>49009</v>
      </c>
      <c r="R572" s="5"/>
      <c r="S572" s="5" t="s">
        <v>49045</v>
      </c>
      <c r="T572" s="28">
        <v>82386000</v>
      </c>
      <c r="U572" s="28"/>
      <c r="V572" s="28">
        <v>39455000</v>
      </c>
      <c r="W572" s="28">
        <v>34245000</v>
      </c>
      <c r="X572" s="28">
        <v>37932000</v>
      </c>
      <c r="Y572" s="28">
        <v>692337000</v>
      </c>
      <c r="Z572" s="28">
        <v>9610000</v>
      </c>
      <c r="AA572" s="28">
        <v>39250000</v>
      </c>
      <c r="AB572" s="28">
        <v>310000</v>
      </c>
      <c r="AC572" s="28">
        <v>546719000</v>
      </c>
      <c r="AD572" s="28">
        <v>9620000</v>
      </c>
      <c r="AE572" s="28">
        <v>3739833000</v>
      </c>
      <c r="AF572" s="28">
        <v>-690000</v>
      </c>
      <c r="AG572" s="11"/>
    </row>
    <row r="573">
      <c r="A573" s="7" t="s">
        <v>2310</v>
      </c>
      <c r="B573" s="5" t="s">
        <v>10286</v>
      </c>
      <c r="C573" s="5" t="s">
        <v>18173</v>
      </c>
      <c r="D573" s="5" t="str">
        <v>234500200835</v>
      </c>
      <c r="E573" s="0" t="e">
        <f>+7 (861) 2735993</f>
        <v>#NAME?</v>
      </c>
      <c r="F573" s="5"/>
      <c r="G573" s="5"/>
      <c r="H573" s="26">
        <v>5.5</v>
      </c>
      <c r="I573" s="5" t="s">
        <v>27041</v>
      </c>
      <c r="J573" s="5" t="s">
        <v>26165</v>
      </c>
      <c r="K573" s="5" t="s">
        <v>344</v>
      </c>
      <c r="L573" s="5" t="s">
        <v>27063</v>
      </c>
      <c r="M573" s="27">
        <v>464391</v>
      </c>
      <c r="N573" s="5"/>
      <c r="O573" s="5" t="str">
        <v>2311242373</v>
      </c>
      <c r="P573" s="27">
        <v>10000</v>
      </c>
      <c r="Q573" s="5"/>
      <c r="R573" s="5"/>
      <c r="S573" s="5" t="s">
        <v>49110</v>
      </c>
      <c r="T573" s="28">
        <v>2029824000</v>
      </c>
      <c r="U573" s="28">
        <v>46300000</v>
      </c>
      <c r="V573" s="28">
        <v>1193205000</v>
      </c>
      <c r="W573" s="28">
        <v>350000</v>
      </c>
      <c r="X573" s="28">
        <v>98508000</v>
      </c>
      <c r="Y573" s="28">
        <v>4986890000</v>
      </c>
      <c r="Z573" s="28">
        <v>57347000</v>
      </c>
      <c r="AA573" s="28">
        <v>173400000</v>
      </c>
      <c r="AB573" s="28">
        <v>152318000</v>
      </c>
      <c r="AC573" s="28">
        <v>2177103000</v>
      </c>
      <c r="AD573" s="28">
        <v>57357000</v>
      </c>
      <c r="AE573" s="28">
        <v>6452382000</v>
      </c>
      <c r="AF573" s="28">
        <v>-61391000</v>
      </c>
      <c r="AG573" s="11"/>
    </row>
    <row r="574">
      <c r="A574" s="7" t="s">
        <v>2311</v>
      </c>
      <c r="B574" s="5" t="s">
        <v>10287</v>
      </c>
      <c r="C574" s="5" t="s">
        <v>18179</v>
      </c>
      <c r="D574" s="5" t="str">
        <v>235209208847</v>
      </c>
      <c r="E574" s="0" t="e">
        <f>+7 (918) 2703456
+7 (918) 9944340
+7 (86148) 38747
+7 (86148) 38770
+7 (911) 153939
+7 (918) 402085
+7 (918) 405102
+7 (918) 497486
+7 (918) 610636
+7 (918) 2237995
+7 (918) 9967448
+7 (918) 9967545
+7 (920) 2505696
+7 (962) 4013113
+7 (988) 1303861</f>
        <v>#NAME?</v>
      </c>
      <c r="F574" s="5" t="s">
        <v>27064</v>
      </c>
      <c r="G574" s="5" t="s">
        <v>27065</v>
      </c>
      <c r="H574" s="26">
        <v>26.5</v>
      </c>
      <c r="I574" s="5" t="s">
        <v>27066</v>
      </c>
      <c r="J574" s="5" t="s">
        <v>25316</v>
      </c>
      <c r="K574" s="5" t="s">
        <v>355</v>
      </c>
      <c r="L574" s="5" t="s">
        <v>27067</v>
      </c>
      <c r="M574" s="27"/>
      <c r="N574" s="5" t="s">
        <v>49995</v>
      </c>
      <c r="O574" s="5" t="str">
        <v>2352002170</v>
      </c>
      <c r="P574" s="27">
        <v>185198286</v>
      </c>
      <c r="Q574" s="5" t="s">
        <v>49996</v>
      </c>
      <c r="R574" s="5" t="s">
        <v>49997</v>
      </c>
      <c r="S574" s="5" t="s">
        <v>49998</v>
      </c>
      <c r="T574" s="28">
        <v>2317460000</v>
      </c>
      <c r="U574" s="28">
        <v>143399000</v>
      </c>
      <c r="V574" s="28">
        <v>1563246000</v>
      </c>
      <c r="W574" s="28">
        <v>644000</v>
      </c>
      <c r="X574" s="28">
        <v>51579000</v>
      </c>
      <c r="Y574" s="28">
        <v>10718192000</v>
      </c>
      <c r="Z574" s="28">
        <v>5433900000</v>
      </c>
      <c r="AA574" s="28">
        <v>965811000</v>
      </c>
      <c r="AB574" s="28">
        <v>890755000</v>
      </c>
      <c r="AC574" s="28">
        <v>3829189000</v>
      </c>
      <c r="AD574" s="28">
        <v>5628358000</v>
      </c>
      <c r="AE574" s="28">
        <v>5736600000</v>
      </c>
      <c r="AF574" s="28">
        <v>1370333000</v>
      </c>
      <c r="AG574" s="11"/>
    </row>
    <row r="575">
      <c r="A575" s="7" t="s">
        <v>2312</v>
      </c>
      <c r="B575" s="5" t="s">
        <v>10288</v>
      </c>
      <c r="C575" s="5" t="s">
        <v>18180</v>
      </c>
      <c r="D575" s="5" t="str">
        <v>344345990230</v>
      </c>
      <c r="E575" s="0" t="e">
        <f>+7 (86130) 26280
+7 (86130) 26425
+7 (812) 4484585
+7 (8142) 592299
+7 (86130) 26263
+7 (86130) 26275
+7 (86130) 26354
+7 (86130) 26458
+7 (86130) 26480</f>
        <v>#NAME?</v>
      </c>
      <c r="F575" s="5" t="s">
        <v>27068</v>
      </c>
      <c r="G575" s="5" t="s">
        <v>27069</v>
      </c>
      <c r="H575" s="26">
        <v>23</v>
      </c>
      <c r="I575" s="5"/>
      <c r="J575" s="5" t="s">
        <v>27070</v>
      </c>
      <c r="K575" s="5" t="s">
        <v>344</v>
      </c>
      <c r="L575" s="5" t="s">
        <v>27071</v>
      </c>
      <c r="M575" s="27"/>
      <c r="N575" s="5"/>
      <c r="O575" s="5" t="str">
        <v>2353017002</v>
      </c>
      <c r="P575" s="27">
        <v>12450000</v>
      </c>
      <c r="Q575" s="5"/>
      <c r="R575" s="5"/>
      <c r="S575" s="5" t="s">
        <v>49029</v>
      </c>
      <c r="T575" s="28">
        <v>923855000</v>
      </c>
      <c r="U575" s="28">
        <v>2345314000</v>
      </c>
      <c r="V575" s="28">
        <v>1146589000</v>
      </c>
      <c r="W575" s="28">
        <v>26002000</v>
      </c>
      <c r="X575" s="28">
        <v>371710000</v>
      </c>
      <c r="Y575" s="28">
        <v>6000231000</v>
      </c>
      <c r="Z575" s="28">
        <v>5244369000</v>
      </c>
      <c r="AA575" s="28"/>
      <c r="AB575" s="28"/>
      <c r="AC575" s="28">
        <v>591792000</v>
      </c>
      <c r="AD575" s="28">
        <v>5272784000</v>
      </c>
      <c r="AE575" s="28">
        <v>6615818000</v>
      </c>
      <c r="AF575" s="28">
        <v>-394390000</v>
      </c>
      <c r="AG575" s="11"/>
    </row>
    <row r="576">
      <c r="A576" s="7" t="s">
        <v>2313</v>
      </c>
      <c r="B576" s="5" t="s">
        <v>10289</v>
      </c>
      <c r="C576" s="5" t="s">
        <v>18181</v>
      </c>
      <c r="D576" s="5" t="str">
        <v>540409360749</v>
      </c>
      <c r="E576" s="0" t="e">
        <f>+7 (383) 2105694
+7 (383) 2105697</f>
        <v>#NAME?</v>
      </c>
      <c r="F576" s="5" t="s">
        <v>27072</v>
      </c>
      <c r="G576" s="5" t="s">
        <v>27073</v>
      </c>
      <c r="H576" s="26">
        <v>18</v>
      </c>
      <c r="I576" s="5" t="s">
        <v>27074</v>
      </c>
      <c r="J576" s="5" t="s">
        <v>26251</v>
      </c>
      <c r="K576" s="5" t="s">
        <v>344</v>
      </c>
      <c r="L576" s="5"/>
      <c r="M576" s="27"/>
      <c r="N576" s="5"/>
      <c r="O576" s="5" t="str">
        <v>5433158068</v>
      </c>
      <c r="P576" s="27">
        <v>10000</v>
      </c>
      <c r="Q576" s="5" t="s">
        <v>49021</v>
      </c>
      <c r="R576" s="5"/>
      <c r="S576" s="5" t="s">
        <v>49999</v>
      </c>
      <c r="T576" s="28">
        <v>1853000</v>
      </c>
      <c r="U576" s="28"/>
      <c r="V576" s="28">
        <v>830608000</v>
      </c>
      <c r="W576" s="28">
        <v>474300000</v>
      </c>
      <c r="X576" s="28">
        <v>495855000</v>
      </c>
      <c r="Y576" s="28">
        <v>3418367000</v>
      </c>
      <c r="Z576" s="28">
        <v>1394854000</v>
      </c>
      <c r="AA576" s="28">
        <v>1800000000</v>
      </c>
      <c r="AB576" s="28">
        <v>45439000</v>
      </c>
      <c r="AC576" s="28">
        <v>223503000</v>
      </c>
      <c r="AD576" s="28">
        <v>1394864000</v>
      </c>
      <c r="AE576" s="28">
        <v>5653517000</v>
      </c>
      <c r="AF576" s="28">
        <v>704000000</v>
      </c>
      <c r="AG576" s="11"/>
    </row>
    <row r="577">
      <c r="A577" s="7" t="s">
        <v>2314</v>
      </c>
      <c r="B577" s="5" t="s">
        <v>10290</v>
      </c>
      <c r="C577" s="5" t="s">
        <v>18182</v>
      </c>
      <c r="D577" s="5" t="str">
        <v>503407821176</v>
      </c>
      <c r="E577" s="0" t="e">
        <f>+7 (495) 9334423
+7 (4986) 263135</f>
        <v>#NAME?</v>
      </c>
      <c r="F577" s="5" t="s">
        <v>27075</v>
      </c>
      <c r="G577" s="5" t="s">
        <v>27076</v>
      </c>
      <c r="H577" s="26">
        <v>22.5</v>
      </c>
      <c r="I577" s="5"/>
      <c r="J577" s="5" t="s">
        <v>25429</v>
      </c>
      <c r="K577" s="5" t="s">
        <v>344</v>
      </c>
      <c r="L577" s="5"/>
      <c r="M577" s="27"/>
      <c r="N577" s="5" t="s">
        <v>50000</v>
      </c>
      <c r="O577" s="5" t="str">
        <v>5032063274</v>
      </c>
      <c r="P577" s="27">
        <v>100000</v>
      </c>
      <c r="Q577" s="5" t="s">
        <v>49059</v>
      </c>
      <c r="R577" s="5"/>
      <c r="S577" s="5" t="s">
        <v>50001</v>
      </c>
      <c r="T577" s="28">
        <v>104908000</v>
      </c>
      <c r="U577" s="28"/>
      <c r="V577" s="28">
        <v>243412000</v>
      </c>
      <c r="W577" s="28"/>
      <c r="X577" s="28">
        <v>56100000</v>
      </c>
      <c r="Y577" s="28">
        <v>754079000</v>
      </c>
      <c r="Z577" s="28">
        <v>326479000</v>
      </c>
      <c r="AA577" s="28"/>
      <c r="AB577" s="28">
        <v>11096000</v>
      </c>
      <c r="AC577" s="28">
        <v>423421000</v>
      </c>
      <c r="AD577" s="28">
        <v>326579000</v>
      </c>
      <c r="AE577" s="28">
        <v>3859525000</v>
      </c>
      <c r="AF577" s="28">
        <v>13891000</v>
      </c>
      <c r="AG577" s="11"/>
    </row>
    <row r="578">
      <c r="A578" s="7" t="s">
        <v>2315</v>
      </c>
      <c r="B578" s="5" t="s">
        <v>10291</v>
      </c>
      <c r="C578" s="5" t="s">
        <v>18183</v>
      </c>
      <c r="D578" s="5" t="str">
        <v>771578429014</v>
      </c>
      <c r="F578" s="5"/>
      <c r="G578" s="5"/>
      <c r="H578" s="26">
        <v>7</v>
      </c>
      <c r="I578" s="5" t="s">
        <v>27077</v>
      </c>
      <c r="J578" s="5" t="s">
        <v>373</v>
      </c>
      <c r="K578" s="5" t="s">
        <v>344</v>
      </c>
      <c r="L578" s="5" t="s">
        <v>27078</v>
      </c>
      <c r="M578" s="27">
        <v>93900</v>
      </c>
      <c r="N578" s="5"/>
      <c r="O578" s="5" t="str">
        <v>9715234733</v>
      </c>
      <c r="P578" s="27">
        <v>10000</v>
      </c>
      <c r="Q578" s="5" t="s">
        <v>49057</v>
      </c>
      <c r="R578" s="5"/>
      <c r="S578" s="5" t="s">
        <v>49101</v>
      </c>
      <c r="T578" s="28">
        <v>3000</v>
      </c>
      <c r="U578" s="28"/>
      <c r="V578" s="28">
        <v>396723000</v>
      </c>
      <c r="W578" s="28"/>
      <c r="X578" s="28">
        <v>163749000</v>
      </c>
      <c r="Y578" s="28">
        <v>607668000</v>
      </c>
      <c r="Z578" s="28">
        <v>123070000</v>
      </c>
      <c r="AA578" s="28"/>
      <c r="AB578" s="28">
        <v>92600000</v>
      </c>
      <c r="AC578" s="28">
        <v>484588000</v>
      </c>
      <c r="AD578" s="28">
        <v>123080000</v>
      </c>
      <c r="AE578" s="28">
        <v>4832339000</v>
      </c>
      <c r="AF578" s="28">
        <v>136389000</v>
      </c>
      <c r="AG578" s="11"/>
    </row>
    <row r="579">
      <c r="A579" s="7" t="s">
        <v>2316</v>
      </c>
      <c r="B579" s="5" t="s">
        <v>10292</v>
      </c>
      <c r="C579" s="5" t="s">
        <v>18184</v>
      </c>
      <c r="D579" s="5" t="str">
        <v>780207341688</v>
      </c>
      <c r="E579" s="0" t="e">
        <f>+7 (495) 6442270
+7 (495) 6442271</f>
        <v>#NAME?</v>
      </c>
      <c r="F579" s="5" t="s">
        <v>27079</v>
      </c>
      <c r="G579" s="5" t="s">
        <v>27080</v>
      </c>
      <c r="H579" s="26">
        <v>16.5</v>
      </c>
      <c r="I579" s="5" t="s">
        <v>27081</v>
      </c>
      <c r="J579" s="5" t="s">
        <v>26515</v>
      </c>
      <c r="K579" s="5" t="s">
        <v>344</v>
      </c>
      <c r="L579" s="5" t="s">
        <v>27082</v>
      </c>
      <c r="M579" s="27">
        <v>372850</v>
      </c>
      <c r="N579" s="5"/>
      <c r="O579" s="5" t="str">
        <v>7743601808</v>
      </c>
      <c r="P579" s="27">
        <v>250000000</v>
      </c>
      <c r="Q579" s="5" t="s">
        <v>49059</v>
      </c>
      <c r="R579" s="5"/>
      <c r="S579" s="5" t="s">
        <v>49010</v>
      </c>
      <c r="T579" s="28">
        <v>103962000</v>
      </c>
      <c r="U579" s="28"/>
      <c r="V579" s="28">
        <v>879761000</v>
      </c>
      <c r="W579" s="28"/>
      <c r="X579" s="28">
        <v>2385608000</v>
      </c>
      <c r="Y579" s="28">
        <v>12237100000</v>
      </c>
      <c r="Z579" s="28">
        <v>7203221000</v>
      </c>
      <c r="AA579" s="28">
        <v>791000000</v>
      </c>
      <c r="AB579" s="28">
        <v>1528276000</v>
      </c>
      <c r="AC579" s="28">
        <v>2157238000</v>
      </c>
      <c r="AD579" s="28">
        <v>7903221000</v>
      </c>
      <c r="AE579" s="28">
        <v>8931344000</v>
      </c>
      <c r="AF579" s="28">
        <v>2270624000</v>
      </c>
      <c r="AG579" s="11"/>
    </row>
    <row r="580">
      <c r="A580" s="7" t="s">
        <v>2317</v>
      </c>
      <c r="B580" s="5" t="s">
        <v>10293</v>
      </c>
      <c r="C580" s="5" t="s">
        <v>17814</v>
      </c>
      <c r="D580" s="5"/>
      <c r="E580" s="0" t="e">
        <f>+7 (926) 3832565
+7 (495) 6628888
+7 (495) 7884216
+7 (495) 7899595</f>
        <v>#NAME?</v>
      </c>
      <c r="F580" s="5"/>
      <c r="G580" s="5"/>
      <c r="H580" s="26">
        <v>18</v>
      </c>
      <c r="I580" s="5"/>
      <c r="J580" s="5" t="s">
        <v>1073</v>
      </c>
      <c r="K580" s="5" t="s">
        <v>344</v>
      </c>
      <c r="L580" s="5" t="s">
        <v>27083</v>
      </c>
      <c r="M580" s="27"/>
      <c r="N580" s="5"/>
      <c r="O580" s="5" t="str">
        <v>7706571841</v>
      </c>
      <c r="P580" s="27">
        <v>20000000</v>
      </c>
      <c r="Q580" s="5"/>
      <c r="R580" s="5"/>
      <c r="S580" s="5" t="s">
        <v>49029</v>
      </c>
      <c r="T580" s="28">
        <v>2615143000</v>
      </c>
      <c r="U580" s="28">
        <v>2370495000</v>
      </c>
      <c r="V580" s="28">
        <v>10028827000</v>
      </c>
      <c r="W580" s="28"/>
      <c r="X580" s="28">
        <v>28962000</v>
      </c>
      <c r="Y580" s="28">
        <v>21912221000</v>
      </c>
      <c r="Z580" s="28">
        <v>6218964000</v>
      </c>
      <c r="AA580" s="28"/>
      <c r="AB580" s="28"/>
      <c r="AC580" s="28">
        <v>13123586000</v>
      </c>
      <c r="AD580" s="28">
        <v>6238964000</v>
      </c>
      <c r="AE580" s="28">
        <v>98017494000</v>
      </c>
      <c r="AF580" s="28">
        <v>3576670000</v>
      </c>
      <c r="AG580" s="11"/>
    </row>
    <row r="581">
      <c r="A581" s="7" t="s">
        <v>2318</v>
      </c>
      <c r="B581" s="5" t="s">
        <v>10294</v>
      </c>
      <c r="C581" s="5" t="s">
        <v>18185</v>
      </c>
      <c r="D581" s="5" t="str">
        <v>711101811620</v>
      </c>
      <c r="E581" s="0" t="e">
        <f>+7 (903) 7383922
+7 (903) 9690540
+7 (906) 579596
+7 (917) 5877787
+7 (926) 2644444
+7 (926) 3784077</f>
        <v>#NAME?</v>
      </c>
      <c r="F581" s="5"/>
      <c r="G581" s="5"/>
      <c r="H581" s="26">
        <v>13</v>
      </c>
      <c r="I581" s="5" t="s">
        <v>27084</v>
      </c>
      <c r="J581" s="5" t="s">
        <v>27085</v>
      </c>
      <c r="K581" s="5" t="s">
        <v>344</v>
      </c>
      <c r="L581" s="5" t="s">
        <v>27086</v>
      </c>
      <c r="M581" s="27"/>
      <c r="N581" s="5"/>
      <c r="O581" s="5" t="str">
        <v>7111502665</v>
      </c>
      <c r="P581" s="27">
        <v>10000</v>
      </c>
      <c r="Q581" s="5" t="s">
        <v>49207</v>
      </c>
      <c r="R581" s="5"/>
      <c r="S581" s="5" t="s">
        <v>50002</v>
      </c>
      <c r="T581" s="28">
        <v>1295000</v>
      </c>
      <c r="U581" s="28"/>
      <c r="V581" s="28">
        <v>800328000</v>
      </c>
      <c r="W581" s="28">
        <v>3500000</v>
      </c>
      <c r="X581" s="28">
        <v>4967000</v>
      </c>
      <c r="Y581" s="28">
        <v>989908000</v>
      </c>
      <c r="Z581" s="28">
        <v>116491000</v>
      </c>
      <c r="AA581" s="28"/>
      <c r="AB581" s="28">
        <v>226521000</v>
      </c>
      <c r="AC581" s="28">
        <v>873407000</v>
      </c>
      <c r="AD581" s="28">
        <v>116501000</v>
      </c>
      <c r="AE581" s="28">
        <v>3765388000</v>
      </c>
      <c r="AF581" s="28">
        <v>49883000</v>
      </c>
      <c r="AG581" s="11"/>
    </row>
    <row r="582">
      <c r="A582" s="7" t="s">
        <v>2319</v>
      </c>
      <c r="B582" s="5" t="s">
        <v>10295</v>
      </c>
      <c r="C582" s="5" t="s">
        <v>18186</v>
      </c>
      <c r="D582" s="5" t="str">
        <v>772708021799</v>
      </c>
      <c r="E582" s="0" t="e">
        <f>+7 (495) 6486865</f>
        <v>#NAME?</v>
      </c>
      <c r="F582" s="5"/>
      <c r="G582" s="5"/>
      <c r="H582" s="26">
        <v>9</v>
      </c>
      <c r="I582" s="5" t="s">
        <v>27087</v>
      </c>
      <c r="J582" s="5" t="s">
        <v>785</v>
      </c>
      <c r="K582" s="5" t="s">
        <v>344</v>
      </c>
      <c r="L582" s="5" t="s">
        <v>27088</v>
      </c>
      <c r="M582" s="27"/>
      <c r="N582" s="5" t="s">
        <v>50003</v>
      </c>
      <c r="O582" s="5" t="str">
        <v>7725814962</v>
      </c>
      <c r="P582" s="27">
        <v>10000</v>
      </c>
      <c r="Q582" s="5" t="s">
        <v>49059</v>
      </c>
      <c r="R582" s="5"/>
      <c r="S582" s="5" t="s">
        <v>49012</v>
      </c>
      <c r="T582" s="28">
        <v>18276000</v>
      </c>
      <c r="U582" s="28">
        <v>212760000</v>
      </c>
      <c r="V582" s="28">
        <v>869570000</v>
      </c>
      <c r="W582" s="28">
        <v>16500000</v>
      </c>
      <c r="X582" s="28">
        <v>297983000</v>
      </c>
      <c r="Y582" s="28">
        <v>1429346000</v>
      </c>
      <c r="Z582" s="28">
        <v>67742000</v>
      </c>
      <c r="AA582" s="28"/>
      <c r="AB582" s="28"/>
      <c r="AC582" s="28">
        <v>1352577000</v>
      </c>
      <c r="AD582" s="28">
        <v>67752000</v>
      </c>
      <c r="AE582" s="28">
        <v>4395669000</v>
      </c>
      <c r="AF582" s="28">
        <v>105238000</v>
      </c>
      <c r="AG582" s="11"/>
    </row>
    <row r="583">
      <c r="A583" s="7" t="s">
        <v>2320</v>
      </c>
      <c r="B583" s="5" t="s">
        <v>10296</v>
      </c>
      <c r="C583" s="5" t="s">
        <v>18187</v>
      </c>
      <c r="D583" s="5" t="str">
        <v>691604517904</v>
      </c>
      <c r="E583" s="0" t="e">
        <f>+7 (978) 7067461</f>
        <v>#NAME?</v>
      </c>
      <c r="F583" s="5" t="s">
        <v>27089</v>
      </c>
      <c r="G583" s="5"/>
      <c r="H583" s="26">
        <v>8</v>
      </c>
      <c r="I583" s="5"/>
      <c r="J583" s="5" t="s">
        <v>364</v>
      </c>
      <c r="K583" s="5" t="s">
        <v>380</v>
      </c>
      <c r="L583" s="5"/>
      <c r="M583" s="27">
        <v>33303</v>
      </c>
      <c r="N583" s="5" t="s">
        <v>50004</v>
      </c>
      <c r="O583" s="5" t="str">
        <v>9103094977</v>
      </c>
      <c r="P583" s="27">
        <v>33300</v>
      </c>
      <c r="Q583" s="5"/>
      <c r="R583" s="5" t="s">
        <v>50005</v>
      </c>
      <c r="S583" s="5" t="s">
        <v>49499</v>
      </c>
      <c r="T583" s="28">
        <v>576636000</v>
      </c>
      <c r="U583" s="28"/>
      <c r="V583" s="28">
        <v>10717581000</v>
      </c>
      <c r="W583" s="28"/>
      <c r="X583" s="28">
        <v>549430000</v>
      </c>
      <c r="Y583" s="28">
        <v>14424838000</v>
      </c>
      <c r="Z583" s="28">
        <v>-3420729000</v>
      </c>
      <c r="AA583" s="28">
        <v>1049220000</v>
      </c>
      <c r="AB583" s="28"/>
      <c r="AC583" s="28">
        <v>15819421000</v>
      </c>
      <c r="AD583" s="28">
        <v>-3420694000</v>
      </c>
      <c r="AE583" s="28">
        <v>6347380000</v>
      </c>
      <c r="AF583" s="28">
        <v>-2654446000</v>
      </c>
      <c r="AG583" s="11"/>
    </row>
    <row r="584">
      <c r="A584" s="7" t="s">
        <v>2321</v>
      </c>
      <c r="B584" s="5" t="s">
        <v>10297</v>
      </c>
      <c r="C584" s="5" t="s">
        <v>18188</v>
      </c>
      <c r="D584" s="5" t="str">
        <v>780221867426</v>
      </c>
      <c r="E584" s="0" t="e">
        <f>+7 (812) 7024360
+7 (812) 7088522</f>
        <v>#NAME?</v>
      </c>
      <c r="F584" s="5"/>
      <c r="G584" s="5" t="s">
        <v>27090</v>
      </c>
      <c r="H584" s="26">
        <v>8</v>
      </c>
      <c r="I584" s="5" t="s">
        <v>27091</v>
      </c>
      <c r="J584" s="5" t="s">
        <v>25938</v>
      </c>
      <c r="K584" s="5" t="s">
        <v>344</v>
      </c>
      <c r="L584" s="5" t="s">
        <v>27092</v>
      </c>
      <c r="M584" s="27"/>
      <c r="N584" s="5"/>
      <c r="O584" s="5" t="str">
        <v>7814166230</v>
      </c>
      <c r="P584" s="27">
        <v>1000000</v>
      </c>
      <c r="Q584" s="5"/>
      <c r="R584" s="5"/>
      <c r="S584" s="5" t="s">
        <v>49029</v>
      </c>
      <c r="T584" s="28">
        <v>12230000</v>
      </c>
      <c r="U584" s="28"/>
      <c r="V584" s="28">
        <v>292205000</v>
      </c>
      <c r="W584" s="28">
        <v>13000000</v>
      </c>
      <c r="X584" s="28">
        <v>20645000</v>
      </c>
      <c r="Y584" s="28">
        <v>754520000</v>
      </c>
      <c r="Z584" s="28">
        <v>250213000</v>
      </c>
      <c r="AA584" s="28"/>
      <c r="AB584" s="28">
        <v>12627000</v>
      </c>
      <c r="AC584" s="28">
        <v>474875000</v>
      </c>
      <c r="AD584" s="28">
        <v>261213000</v>
      </c>
      <c r="AE584" s="28">
        <v>5884952000</v>
      </c>
      <c r="AF584" s="28">
        <v>141055000</v>
      </c>
      <c r="AG584" s="11"/>
    </row>
    <row r="585">
      <c r="A585" s="7" t="s">
        <v>2322</v>
      </c>
      <c r="B585" s="5" t="s">
        <v>10298</v>
      </c>
      <c r="C585" s="5" t="s">
        <v>18189</v>
      </c>
      <c r="D585" s="5" t="str">
        <v>771989049700</v>
      </c>
      <c r="E585" s="0" t="e">
        <f>+7 (495) 2345692
+7 (985) 9970262</f>
        <v>#NAME?</v>
      </c>
      <c r="F585" s="5"/>
      <c r="G585" s="5"/>
      <c r="H585" s="26">
        <v>7.5</v>
      </c>
      <c r="I585" s="5" t="s">
        <v>27093</v>
      </c>
      <c r="J585" s="5" t="s">
        <v>27094</v>
      </c>
      <c r="K585" s="5" t="s">
        <v>344</v>
      </c>
      <c r="L585" s="5" t="s">
        <v>27095</v>
      </c>
      <c r="M585" s="27">
        <v>137886</v>
      </c>
      <c r="N585" s="5"/>
      <c r="O585" s="5" t="str">
        <v>9717001974</v>
      </c>
      <c r="P585" s="27">
        <v>1000000</v>
      </c>
      <c r="Q585" s="5"/>
      <c r="R585" s="5"/>
      <c r="S585" s="5" t="s">
        <v>49029</v>
      </c>
      <c r="T585" s="28">
        <v>215300000</v>
      </c>
      <c r="U585" s="28"/>
      <c r="V585" s="28">
        <v>541491000</v>
      </c>
      <c r="W585" s="28"/>
      <c r="X585" s="28">
        <v>246579000</v>
      </c>
      <c r="Y585" s="28">
        <v>2906015000</v>
      </c>
      <c r="Z585" s="28">
        <v>228934000</v>
      </c>
      <c r="AA585" s="28">
        <v>1949997000</v>
      </c>
      <c r="AB585" s="28">
        <v>7693000</v>
      </c>
      <c r="AC585" s="28">
        <v>700729000</v>
      </c>
      <c r="AD585" s="28">
        <v>229934000</v>
      </c>
      <c r="AE585" s="28">
        <v>6385197000</v>
      </c>
      <c r="AF585" s="28">
        <v>224578000</v>
      </c>
      <c r="AG585" s="11"/>
    </row>
    <row r="586">
      <c r="A586" s="7" t="s">
        <v>2323</v>
      </c>
      <c r="B586" s="5" t="s">
        <v>10299</v>
      </c>
      <c r="C586" s="5" t="s">
        <v>18190</v>
      </c>
      <c r="D586" s="5" t="str">
        <v>540121523501</v>
      </c>
      <c r="E586" s="0" t="e">
        <f>+7 (383) 2561111
+7 (383) 2561222
+7 (383) 3047239
+7 (383) 3047258
+7 (383) 3047379
+7 (383) 3054447
+7 (383) 3054454
+7 (383) 3081009
+7 (383) 3477780</f>
        <v>#NAME?</v>
      </c>
      <c r="F586" s="5"/>
      <c r="G586" s="5"/>
      <c r="H586" s="26">
        <v>2.5</v>
      </c>
      <c r="I586" s="5" t="s">
        <v>27096</v>
      </c>
      <c r="J586" s="5" t="s">
        <v>25190</v>
      </c>
      <c r="K586" s="5" t="s">
        <v>344</v>
      </c>
      <c r="L586" s="5" t="s">
        <v>27097</v>
      </c>
      <c r="M586" s="27"/>
      <c r="N586" s="5" t="s">
        <v>50006</v>
      </c>
      <c r="O586" s="5" t="str">
        <v>5410084959</v>
      </c>
      <c r="P586" s="27">
        <v>10000</v>
      </c>
      <c r="Q586" s="5"/>
      <c r="R586" s="5"/>
      <c r="S586" s="5" t="s">
        <v>49047</v>
      </c>
      <c r="T586" s="28">
        <v>4243000</v>
      </c>
      <c r="U586" s="28"/>
      <c r="V586" s="28">
        <v>303450000</v>
      </c>
      <c r="W586" s="28">
        <v>39450000</v>
      </c>
      <c r="X586" s="28">
        <v>194056000</v>
      </c>
      <c r="Y586" s="28">
        <v>948683000</v>
      </c>
      <c r="Z586" s="28">
        <v>9655000</v>
      </c>
      <c r="AA586" s="28">
        <v>194780000</v>
      </c>
      <c r="AB586" s="28"/>
      <c r="AC586" s="28">
        <v>733379000</v>
      </c>
      <c r="AD586" s="28">
        <v>20524000</v>
      </c>
      <c r="AE586" s="28">
        <v>4139736000</v>
      </c>
      <c r="AF586" s="28">
        <v>9655000</v>
      </c>
      <c r="AG586" s="11"/>
    </row>
    <row r="587">
      <c r="A587" s="7" t="s">
        <v>2324</v>
      </c>
      <c r="B587" s="5" t="s">
        <v>10300</v>
      </c>
      <c r="C587" s="5" t="s">
        <v>18191</v>
      </c>
      <c r="D587" s="5" t="str">
        <v>300804623109</v>
      </c>
      <c r="E587" s="0" t="e">
        <f>+7 (908) 6196006
+7 (927) 791111</f>
        <v>#NAME?</v>
      </c>
      <c r="F587" s="5" t="s">
        <v>27098</v>
      </c>
      <c r="G587" s="5"/>
      <c r="H587" s="26">
        <v>7</v>
      </c>
      <c r="I587" s="5" t="s">
        <v>27099</v>
      </c>
      <c r="J587" s="5" t="s">
        <v>25850</v>
      </c>
      <c r="K587" s="5" t="s">
        <v>344</v>
      </c>
      <c r="L587" s="5" t="s">
        <v>27100</v>
      </c>
      <c r="M587" s="27"/>
      <c r="N587" s="5"/>
      <c r="O587" s="5" t="str">
        <v>3019017268</v>
      </c>
      <c r="P587" s="27">
        <v>10000</v>
      </c>
      <c r="Q587" s="5"/>
      <c r="R587" s="5"/>
      <c r="S587" s="5" t="s">
        <v>49029</v>
      </c>
      <c r="T587" s="28">
        <v>213240000</v>
      </c>
      <c r="U587" s="28"/>
      <c r="V587" s="28">
        <v>526677000</v>
      </c>
      <c r="W587" s="28">
        <v>15750000</v>
      </c>
      <c r="X587" s="28">
        <v>2628000</v>
      </c>
      <c r="Y587" s="28">
        <v>835639000</v>
      </c>
      <c r="Z587" s="28">
        <v>39259000</v>
      </c>
      <c r="AA587" s="28">
        <v>269911000</v>
      </c>
      <c r="AB587" s="28"/>
      <c r="AC587" s="28">
        <v>517548000</v>
      </c>
      <c r="AD587" s="28">
        <v>39269000</v>
      </c>
      <c r="AE587" s="28">
        <v>4747546000</v>
      </c>
      <c r="AF587" s="28">
        <v>20734000</v>
      </c>
      <c r="AG587" s="11"/>
    </row>
    <row r="588">
      <c r="A588" s="7" t="s">
        <v>2325</v>
      </c>
      <c r="B588" s="5" t="s">
        <v>10301</v>
      </c>
      <c r="C588" s="5" t="s">
        <v>18192</v>
      </c>
      <c r="D588" s="5" t="str">
        <v>253600746347</v>
      </c>
      <c r="F588" s="5" t="s">
        <v>27101</v>
      </c>
      <c r="G588" s="5"/>
      <c r="H588" s="26">
        <v>6.5</v>
      </c>
      <c r="I588" s="5" t="s">
        <v>27102</v>
      </c>
      <c r="J588" s="5" t="s">
        <v>25219</v>
      </c>
      <c r="K588" s="5" t="s">
        <v>344</v>
      </c>
      <c r="L588" s="5" t="s">
        <v>27103</v>
      </c>
      <c r="M588" s="27"/>
      <c r="N588" s="5"/>
      <c r="O588" s="5" t="str">
        <v>2543096154</v>
      </c>
      <c r="P588" s="27">
        <v>50000</v>
      </c>
      <c r="Q588" s="5" t="s">
        <v>49009</v>
      </c>
      <c r="R588" s="5"/>
      <c r="S588" s="5" t="s">
        <v>49010</v>
      </c>
      <c r="T588" s="28">
        <v>112640000</v>
      </c>
      <c r="U588" s="28"/>
      <c r="V588" s="28">
        <v>71016000</v>
      </c>
      <c r="W588" s="28">
        <v>85000</v>
      </c>
      <c r="X588" s="28">
        <v>38850000</v>
      </c>
      <c r="Y588" s="28">
        <v>486274000</v>
      </c>
      <c r="Z588" s="28">
        <v>139996000</v>
      </c>
      <c r="AA588" s="28">
        <v>158500000</v>
      </c>
      <c r="AB588" s="28">
        <v>156000</v>
      </c>
      <c r="AC588" s="28">
        <v>187728000</v>
      </c>
      <c r="AD588" s="28">
        <v>140046000</v>
      </c>
      <c r="AE588" s="28">
        <v>3057181000</v>
      </c>
      <c r="AF588" s="28">
        <v>42268000</v>
      </c>
      <c r="AG588" s="11"/>
    </row>
    <row r="589">
      <c r="A589" s="7" t="s">
        <v>2326</v>
      </c>
      <c r="B589" s="5" t="s">
        <v>10302</v>
      </c>
      <c r="C589" s="5" t="s">
        <v>18193</v>
      </c>
      <c r="D589" s="5" t="str">
        <v>781624214421</v>
      </c>
      <c r="E589" s="0" t="e">
        <f>+7 (495) 2130300
+7 (812) 1035191
+7 (812) 3328100
+7 (812) 3328101
+7 (812) 3328102
+7 (812) 3369100
+7 (812) 3369101
+7 (812) 3369102</f>
        <v>#NAME?</v>
      </c>
      <c r="F589" s="5" t="s">
        <v>27104</v>
      </c>
      <c r="G589" s="5" t="s">
        <v>27105</v>
      </c>
      <c r="H589" s="26">
        <v>20.5</v>
      </c>
      <c r="I589" s="5" t="s">
        <v>27106</v>
      </c>
      <c r="J589" s="5" t="s">
        <v>26243</v>
      </c>
      <c r="K589" s="5" t="s">
        <v>344</v>
      </c>
      <c r="L589" s="5" t="s">
        <v>27107</v>
      </c>
      <c r="M589" s="27"/>
      <c r="N589" s="5" t="s">
        <v>50007</v>
      </c>
      <c r="O589" s="5" t="str">
        <v>4703066115</v>
      </c>
      <c r="P589" s="27">
        <v>1403787727</v>
      </c>
      <c r="Q589" s="5" t="s">
        <v>50008</v>
      </c>
      <c r="R589" s="5"/>
      <c r="S589" s="5" t="s">
        <v>49884</v>
      </c>
      <c r="T589" s="28">
        <v>1222041000</v>
      </c>
      <c r="U589" s="28"/>
      <c r="V589" s="28">
        <v>926336000</v>
      </c>
      <c r="W589" s="28"/>
      <c r="X589" s="28">
        <v>1312236000</v>
      </c>
      <c r="Y589" s="28">
        <v>5117987000</v>
      </c>
      <c r="Z589" s="28">
        <v>2265920000</v>
      </c>
      <c r="AA589" s="28"/>
      <c r="AB589" s="28"/>
      <c r="AC589" s="28">
        <v>1279725000</v>
      </c>
      <c r="AD589" s="28">
        <v>3670391000</v>
      </c>
      <c r="AE589" s="28">
        <v>8982233000</v>
      </c>
      <c r="AF589" s="28">
        <v>398745000</v>
      </c>
      <c r="AG589" s="11"/>
    </row>
    <row r="590">
      <c r="A590" s="7" t="s">
        <v>2327</v>
      </c>
      <c r="B590" s="5" t="s">
        <v>10303</v>
      </c>
      <c r="C590" s="5" t="s">
        <v>18194</v>
      </c>
      <c r="D590" s="5" t="str">
        <v>771617349238</v>
      </c>
      <c r="E590" s="0" t="e">
        <f>+7 (495) 7864318
+7 (495) 9814145</f>
        <v>#NAME?</v>
      </c>
      <c r="F590" s="5" t="s">
        <v>27108</v>
      </c>
      <c r="G590" s="5"/>
      <c r="H590" s="26">
        <v>16.5</v>
      </c>
      <c r="I590" s="5"/>
      <c r="J590" s="5" t="s">
        <v>25337</v>
      </c>
      <c r="K590" s="5" t="s">
        <v>344</v>
      </c>
      <c r="L590" s="5" t="s">
        <v>27109</v>
      </c>
      <c r="M590" s="27"/>
      <c r="N590" s="5" t="s">
        <v>50009</v>
      </c>
      <c r="O590" s="5" t="str">
        <v>7702624330</v>
      </c>
      <c r="P590" s="27">
        <v>50100000</v>
      </c>
      <c r="Q590" s="5" t="s">
        <v>50010</v>
      </c>
      <c r="R590" s="5"/>
      <c r="S590" s="5" t="s">
        <v>50011</v>
      </c>
      <c r="T590" s="28">
        <v>11513000</v>
      </c>
      <c r="U590" s="28"/>
      <c r="V590" s="28">
        <v>1373268000</v>
      </c>
      <c r="W590" s="28">
        <v>221500000</v>
      </c>
      <c r="X590" s="28">
        <v>34617000</v>
      </c>
      <c r="Y590" s="28">
        <v>2701448000</v>
      </c>
      <c r="Z590" s="28">
        <v>981613000</v>
      </c>
      <c r="AA590" s="28"/>
      <c r="AB590" s="28">
        <v>555000000</v>
      </c>
      <c r="AC590" s="28">
        <v>1669734000</v>
      </c>
      <c r="AD590" s="28">
        <v>1031713000</v>
      </c>
      <c r="AE590" s="28">
        <v>17810707000</v>
      </c>
      <c r="AF590" s="28">
        <v>121773000</v>
      </c>
      <c r="AG590" s="11"/>
    </row>
    <row r="591">
      <c r="A591" s="7" t="s">
        <v>2328</v>
      </c>
      <c r="B591" s="5" t="s">
        <v>10304</v>
      </c>
      <c r="C591" s="5" t="s">
        <v>18195</v>
      </c>
      <c r="D591" s="5" t="str">
        <v>166106699856</v>
      </c>
      <c r="F591" s="5" t="s">
        <v>27110</v>
      </c>
      <c r="G591" s="5"/>
      <c r="H591" s="26">
        <v>7.5</v>
      </c>
      <c r="I591" s="5" t="s">
        <v>27111</v>
      </c>
      <c r="J591" s="5" t="s">
        <v>364</v>
      </c>
      <c r="K591" s="5" t="s">
        <v>344</v>
      </c>
      <c r="L591" s="5"/>
      <c r="M591" s="27"/>
      <c r="N591" s="5" t="s">
        <v>50012</v>
      </c>
      <c r="O591" s="5" t="str">
        <v>1656087600</v>
      </c>
      <c r="P591" s="27">
        <v>10000</v>
      </c>
      <c r="Q591" s="5" t="s">
        <v>50013</v>
      </c>
      <c r="R591" s="5"/>
      <c r="S591" s="5" t="s">
        <v>50014</v>
      </c>
      <c r="T591" s="28">
        <v>2004000</v>
      </c>
      <c r="U591" s="28"/>
      <c r="V591" s="28">
        <v>420080000</v>
      </c>
      <c r="W591" s="28">
        <v>60405000</v>
      </c>
      <c r="X591" s="28">
        <v>292390000</v>
      </c>
      <c r="Y591" s="28">
        <v>853299000</v>
      </c>
      <c r="Z591" s="28">
        <v>12637000</v>
      </c>
      <c r="AA591" s="28">
        <v>302162000</v>
      </c>
      <c r="AB591" s="28">
        <v>71393000</v>
      </c>
      <c r="AC591" s="28">
        <v>538427000</v>
      </c>
      <c r="AD591" s="28">
        <v>12647000</v>
      </c>
      <c r="AE591" s="28">
        <v>5221915000</v>
      </c>
      <c r="AF591" s="28">
        <v>18424000</v>
      </c>
      <c r="AG591" s="11"/>
    </row>
    <row r="592">
      <c r="A592" s="7" t="s">
        <v>2329</v>
      </c>
      <c r="B592" s="5" t="s">
        <v>10305</v>
      </c>
      <c r="C592" s="5" t="s">
        <v>18196</v>
      </c>
      <c r="D592" s="5" t="str">
        <v>770901143992</v>
      </c>
      <c r="E592" s="0" t="e">
        <f>+7 (844) 258281
+7 (8422) 364948
+7 (844) 2362696
+7 (844) 2484587
+7 (844) 2540202
+7 (844) 2787952
+7 (844) 2797862
+7 (8443) 364948
+7 (84468) 47641
+7 (844) 2396172
+7 (844) 2788059</f>
        <v>#NAME?</v>
      </c>
      <c r="F592" s="5" t="s">
        <v>27112</v>
      </c>
      <c r="G592" s="5" t="s">
        <v>27113</v>
      </c>
      <c r="H592" s="26">
        <v>22</v>
      </c>
      <c r="I592" s="5" t="s">
        <v>27114</v>
      </c>
      <c r="J592" s="5" t="s">
        <v>27115</v>
      </c>
      <c r="K592" s="5" t="s">
        <v>344</v>
      </c>
      <c r="L592" s="5" t="s">
        <v>27116</v>
      </c>
      <c r="M592" s="27"/>
      <c r="N592" s="5" t="s">
        <v>50015</v>
      </c>
      <c r="O592" s="5" t="str">
        <v>3444090700</v>
      </c>
      <c r="P592" s="27">
        <v>11500</v>
      </c>
      <c r="Q592" s="5" t="s">
        <v>50016</v>
      </c>
      <c r="R592" s="5"/>
      <c r="S592" s="5" t="s">
        <v>50017</v>
      </c>
      <c r="T592" s="28">
        <v>48260000</v>
      </c>
      <c r="U592" s="28"/>
      <c r="V592" s="28">
        <v>319368000</v>
      </c>
      <c r="W592" s="28">
        <v>334000</v>
      </c>
      <c r="X592" s="28">
        <v>6943000</v>
      </c>
      <c r="Y592" s="28">
        <v>1505677000</v>
      </c>
      <c r="Z592" s="28">
        <v>166421000</v>
      </c>
      <c r="AA592" s="28"/>
      <c r="AB592" s="28">
        <v>454627000</v>
      </c>
      <c r="AC592" s="28">
        <v>1339226000</v>
      </c>
      <c r="AD592" s="28">
        <v>166432000</v>
      </c>
      <c r="AE592" s="28">
        <v>3558736000</v>
      </c>
      <c r="AF592" s="28">
        <v>25017000</v>
      </c>
      <c r="AG592" s="11"/>
    </row>
    <row r="593">
      <c r="A593" s="7" t="s">
        <v>2330</v>
      </c>
      <c r="B593" s="5" t="s">
        <v>10306</v>
      </c>
      <c r="C593" s="5" t="s">
        <v>18197</v>
      </c>
      <c r="D593" s="5" t="str">
        <v>510701425700</v>
      </c>
      <c r="E593" s="0" t="e">
        <f>+7 (81536) 66006
+7 (81536) 76031
+7 (81536) 66002
+7 (81536) 66003
+7 (81536) 66022
+7 (81536) 66024
+7 (81536) 66030
+7 (81536) 66031
+7 (81536) 66037
+7 (81536) 66038
+7 (81536) 66040
+7 (81536) 66048
+7 (81536) 66085
+7 (81536) 74129
+7 (81536) 77676</f>
        <v>#NAME?</v>
      </c>
      <c r="F593" s="5" t="s">
        <v>27117</v>
      </c>
      <c r="G593" s="5" t="s">
        <v>27118</v>
      </c>
      <c r="H593" s="26">
        <v>17</v>
      </c>
      <c r="I593" s="5" t="s">
        <v>27119</v>
      </c>
      <c r="J593" s="5" t="s">
        <v>26623</v>
      </c>
      <c r="K593" s="5" t="s">
        <v>344</v>
      </c>
      <c r="L593" s="5" t="s">
        <v>27120</v>
      </c>
      <c r="M593" s="27"/>
      <c r="N593" s="5" t="s">
        <v>50018</v>
      </c>
      <c r="O593" s="5" t="str">
        <v>5107910347</v>
      </c>
      <c r="P593" s="27">
        <v>3000000</v>
      </c>
      <c r="Q593" s="5" t="s">
        <v>49009</v>
      </c>
      <c r="R593" s="5"/>
      <c r="S593" s="5" t="s">
        <v>50019</v>
      </c>
      <c r="T593" s="28">
        <v>9409000</v>
      </c>
      <c r="U593" s="28"/>
      <c r="V593" s="28">
        <v>285110000</v>
      </c>
      <c r="W593" s="28">
        <v>140011000</v>
      </c>
      <c r="X593" s="28">
        <v>5353000</v>
      </c>
      <c r="Y593" s="28">
        <v>445915000</v>
      </c>
      <c r="Z593" s="28">
        <v>55024000</v>
      </c>
      <c r="AA593" s="28"/>
      <c r="AB593" s="28"/>
      <c r="AC593" s="28">
        <v>337891000</v>
      </c>
      <c r="AD593" s="28">
        <v>108024000</v>
      </c>
      <c r="AE593" s="28">
        <v>5457128000</v>
      </c>
      <c r="AF593" s="28">
        <v>11061000</v>
      </c>
      <c r="AG593" s="11"/>
    </row>
    <row r="594">
      <c r="A594" s="7" t="s">
        <v>2331</v>
      </c>
      <c r="B594" s="5" t="s">
        <v>10307</v>
      </c>
      <c r="C594" s="5" t="s">
        <v>18198</v>
      </c>
      <c r="D594" s="5" t="str">
        <v>711401794284</v>
      </c>
      <c r="E594" s="0" t="e">
        <f>+7 (48762) 20962
+7 (963) 2237220</f>
        <v>#NAME?</v>
      </c>
      <c r="F594" s="5" t="s">
        <v>27121</v>
      </c>
      <c r="G594" s="5"/>
      <c r="H594" s="26">
        <v>8.5</v>
      </c>
      <c r="I594" s="5" t="s">
        <v>27122</v>
      </c>
      <c r="J594" s="5" t="s">
        <v>25495</v>
      </c>
      <c r="K594" s="5" t="s">
        <v>355</v>
      </c>
      <c r="L594" s="5" t="s">
        <v>27123</v>
      </c>
      <c r="M594" s="27"/>
      <c r="N594" s="5"/>
      <c r="O594" s="5" t="str">
        <v>7116512875</v>
      </c>
      <c r="P594" s="27">
        <v>320891227</v>
      </c>
      <c r="Q594" s="5"/>
      <c r="R594" s="5"/>
      <c r="S594" s="5" t="s">
        <v>49053</v>
      </c>
      <c r="T594" s="28">
        <v>1621687000</v>
      </c>
      <c r="U594" s="28">
        <v>1667000</v>
      </c>
      <c r="V594" s="28">
        <v>657347000</v>
      </c>
      <c r="W594" s="28">
        <v>2167000</v>
      </c>
      <c r="X594" s="28">
        <v>2233000</v>
      </c>
      <c r="Y594" s="28">
        <v>2802723000</v>
      </c>
      <c r="Z594" s="28">
        <v>85091000</v>
      </c>
      <c r="AA594" s="28">
        <v>559367000</v>
      </c>
      <c r="AB594" s="28">
        <v>99000000</v>
      </c>
      <c r="AC594" s="28">
        <v>1616678000</v>
      </c>
      <c r="AD594" s="28">
        <v>432599000</v>
      </c>
      <c r="AE594" s="28">
        <v>3026928000</v>
      </c>
      <c r="AF594" s="28">
        <v>74885000</v>
      </c>
      <c r="AG594" s="11"/>
    </row>
    <row r="595">
      <c r="A595" s="7" t="s">
        <v>2332</v>
      </c>
      <c r="B595" s="5" t="s">
        <v>10308</v>
      </c>
      <c r="C595" s="5" t="s">
        <v>18199</v>
      </c>
      <c r="D595" s="5" t="str">
        <v>616806304706</v>
      </c>
      <c r="E595" s="0" t="e">
        <f>+7 (8622) 408787
+7 (8632) 60462
+7 (8632) 154565
+7 (8632) 180861
+7 (8632) 205204
+7 (8632) 220497
+7 (8632) 239840
+7 (8632) 265814
+7 (8632) 322984
+7 (8632) 323984
+7 (8632) 325339
+7 (8632) 328940
+7 (8632) 329040
+7 (8632) 329801
+7 (8632) 329809</f>
        <v>#NAME?</v>
      </c>
      <c r="F595" s="5" t="s">
        <v>27124</v>
      </c>
      <c r="G595" s="5"/>
      <c r="H595" s="26">
        <v>10</v>
      </c>
      <c r="I595" s="5" t="s">
        <v>27125</v>
      </c>
      <c r="J595" s="5" t="s">
        <v>25231</v>
      </c>
      <c r="K595" s="5" t="s">
        <v>344</v>
      </c>
      <c r="L595" s="5" t="s">
        <v>27126</v>
      </c>
      <c r="M595" s="27"/>
      <c r="N595" s="5" t="s">
        <v>50020</v>
      </c>
      <c r="O595" s="5" t="str">
        <v>6167121412</v>
      </c>
      <c r="P595" s="27">
        <v>100000</v>
      </c>
      <c r="Q595" s="5" t="s">
        <v>50021</v>
      </c>
      <c r="R595" s="5"/>
      <c r="S595" s="5" t="s">
        <v>49504</v>
      </c>
      <c r="T595" s="28">
        <v>3143000</v>
      </c>
      <c r="U595" s="28"/>
      <c r="V595" s="28">
        <v>564434000</v>
      </c>
      <c r="W595" s="28"/>
      <c r="X595" s="28">
        <v>586431000</v>
      </c>
      <c r="Y595" s="28">
        <v>1739025000</v>
      </c>
      <c r="Z595" s="28">
        <v>582271000</v>
      </c>
      <c r="AA595" s="28"/>
      <c r="AB595" s="28">
        <v>452500000</v>
      </c>
      <c r="AC595" s="28">
        <v>1155225000</v>
      </c>
      <c r="AD595" s="28">
        <v>582371000</v>
      </c>
      <c r="AE595" s="28">
        <v>6952499000</v>
      </c>
      <c r="AF595" s="28">
        <v>386349000</v>
      </c>
      <c r="AG595" s="11"/>
    </row>
    <row r="596">
      <c r="A596" s="7" t="s">
        <v>2333</v>
      </c>
      <c r="B596" s="5" t="s">
        <v>10309</v>
      </c>
      <c r="C596" s="5" t="s">
        <v>18200</v>
      </c>
      <c r="D596" s="5" t="str">
        <v>720317264325</v>
      </c>
      <c r="E596" s="0" t="e">
        <f>+7 (349) 2242311
+7 (349) 9442311
+7 (3494) 935000
+7 (3494) 942311
+7 (3494) 942522</f>
        <v>#NAME?</v>
      </c>
      <c r="F596" s="5" t="s">
        <v>27127</v>
      </c>
      <c r="G596" s="5" t="s">
        <v>27128</v>
      </c>
      <c r="H596" s="26">
        <v>29.5</v>
      </c>
      <c r="I596" s="5"/>
      <c r="J596" s="5" t="s">
        <v>27129</v>
      </c>
      <c r="K596" s="5" t="s">
        <v>344</v>
      </c>
      <c r="L596" s="5" t="s">
        <v>27130</v>
      </c>
      <c r="M596" s="27">
        <v>782226258</v>
      </c>
      <c r="N596" s="5"/>
      <c r="O596" s="5" t="str">
        <v>8904002359</v>
      </c>
      <c r="P596" s="27">
        <v>5198000</v>
      </c>
      <c r="Q596" s="5" t="s">
        <v>50022</v>
      </c>
      <c r="R596" s="5"/>
      <c r="S596" s="5" t="s">
        <v>49070</v>
      </c>
      <c r="T596" s="28">
        <v>236079311000</v>
      </c>
      <c r="U596" s="28"/>
      <c r="V596" s="28">
        <v>34052168000</v>
      </c>
      <c r="W596" s="28">
        <v>3005000</v>
      </c>
      <c r="X596" s="28">
        <v>3960743000</v>
      </c>
      <c r="Y596" s="28">
        <v>285823437000</v>
      </c>
      <c r="Z596" s="28">
        <v>75757369000</v>
      </c>
      <c r="AA596" s="28">
        <v>93368182000</v>
      </c>
      <c r="AB596" s="28">
        <v>26736086000</v>
      </c>
      <c r="AC596" s="28">
        <v>65736357000</v>
      </c>
      <c r="AD596" s="28">
        <v>105363478000</v>
      </c>
      <c r="AE596" s="28">
        <v>289871477000</v>
      </c>
      <c r="AF596" s="28">
        <v>101990285000</v>
      </c>
      <c r="AG596" s="11"/>
    </row>
    <row r="597">
      <c r="A597" s="7" t="s">
        <v>2334</v>
      </c>
      <c r="B597" s="5" t="s">
        <v>10310</v>
      </c>
      <c r="C597" s="5" t="s">
        <v>18201</v>
      </c>
      <c r="D597" s="5" t="str">
        <v>772003353932</v>
      </c>
      <c r="E597" s="0" t="e">
        <f>+7 (495) 6442313
+7 (495) 7973452
+7 (916) 6610807</f>
        <v>#NAME?</v>
      </c>
      <c r="F597" s="5"/>
      <c r="G597" s="5"/>
      <c r="H597" s="26">
        <v>8</v>
      </c>
      <c r="I597" s="5" t="s">
        <v>27131</v>
      </c>
      <c r="J597" s="5" t="s">
        <v>678</v>
      </c>
      <c r="K597" s="5" t="s">
        <v>344</v>
      </c>
      <c r="L597" s="5" t="s">
        <v>27132</v>
      </c>
      <c r="M597" s="27"/>
      <c r="N597" s="5"/>
      <c r="O597" s="5" t="str">
        <v>7743089178</v>
      </c>
      <c r="P597" s="27">
        <v>10000</v>
      </c>
      <c r="Q597" s="5" t="s">
        <v>49059</v>
      </c>
      <c r="R597" s="5"/>
      <c r="S597" s="5" t="s">
        <v>50023</v>
      </c>
      <c r="T597" s="28">
        <v>256075000</v>
      </c>
      <c r="U597" s="28">
        <v>113006000</v>
      </c>
      <c r="V597" s="28">
        <v>365117000</v>
      </c>
      <c r="W597" s="28"/>
      <c r="X597" s="28">
        <v>1332872000</v>
      </c>
      <c r="Y597" s="28">
        <v>4153205000</v>
      </c>
      <c r="Z597" s="28">
        <v>2852629000</v>
      </c>
      <c r="AA597" s="28"/>
      <c r="AB597" s="28"/>
      <c r="AC597" s="28">
        <v>744505000</v>
      </c>
      <c r="AD597" s="28">
        <v>2852639000</v>
      </c>
      <c r="AE597" s="28">
        <v>5321976000</v>
      </c>
      <c r="AF597" s="28">
        <v>1052264000</v>
      </c>
      <c r="AG597" s="11"/>
    </row>
    <row r="598">
      <c r="A598" s="7" t="s">
        <v>2335</v>
      </c>
      <c r="B598" s="5" t="s">
        <v>10311</v>
      </c>
      <c r="C598" s="5" t="s">
        <v>18202</v>
      </c>
      <c r="D598" s="5" t="str">
        <v>575201653494</v>
      </c>
      <c r="E598" s="0" t="e">
        <f>+7 (920) 8020555
+7 (960) 6422828</f>
        <v>#NAME?</v>
      </c>
      <c r="F598" s="5" t="s">
        <v>27133</v>
      </c>
      <c r="G598" s="5" t="s">
        <v>27134</v>
      </c>
      <c r="H598" s="26">
        <v>7</v>
      </c>
      <c r="I598" s="5"/>
      <c r="J598" s="5" t="s">
        <v>25842</v>
      </c>
      <c r="K598" s="5" t="s">
        <v>344</v>
      </c>
      <c r="L598" s="5" t="s">
        <v>27135</v>
      </c>
      <c r="M598" s="27"/>
      <c r="N598" s="5" t="s">
        <v>50024</v>
      </c>
      <c r="O598" s="5" t="str">
        <v>5751057761</v>
      </c>
      <c r="P598" s="27">
        <v>10000000</v>
      </c>
      <c r="Q598" s="5"/>
      <c r="R598" s="5"/>
      <c r="S598" s="5" t="s">
        <v>49110</v>
      </c>
      <c r="T598" s="28">
        <v>15935000</v>
      </c>
      <c r="U598" s="28"/>
      <c r="V598" s="28">
        <v>173424000</v>
      </c>
      <c r="W598" s="28">
        <v>46200000</v>
      </c>
      <c r="X598" s="28">
        <v>4570000</v>
      </c>
      <c r="Y598" s="28">
        <v>554651000</v>
      </c>
      <c r="Z598" s="28">
        <v>438452000</v>
      </c>
      <c r="AA598" s="28"/>
      <c r="AB598" s="28"/>
      <c r="AC598" s="28">
        <v>105082000</v>
      </c>
      <c r="AD598" s="28">
        <v>449452000</v>
      </c>
      <c r="AE598" s="28">
        <v>3415715000</v>
      </c>
      <c r="AF598" s="28">
        <v>181748000</v>
      </c>
      <c r="AG598" s="11"/>
    </row>
    <row r="599">
      <c r="A599" s="7" t="s">
        <v>2336</v>
      </c>
      <c r="B599" s="5" t="s">
        <v>10312</v>
      </c>
      <c r="C599" s="5" t="s">
        <v>18203</v>
      </c>
      <c r="D599" s="5" t="str">
        <v>503601406082</v>
      </c>
      <c r="E599" s="0" t="e">
        <f>+7 (495) 3578256
+7 (800) 2222668
+7 (495) 5807204</f>
        <v>#NAME?</v>
      </c>
      <c r="F599" s="5" t="s">
        <v>27136</v>
      </c>
      <c r="G599" s="5"/>
      <c r="H599" s="26">
        <v>15</v>
      </c>
      <c r="I599" s="5" t="s">
        <v>27137</v>
      </c>
      <c r="J599" s="5" t="s">
        <v>641</v>
      </c>
      <c r="K599" s="5" t="s">
        <v>344</v>
      </c>
      <c r="L599" s="5" t="s">
        <v>27138</v>
      </c>
      <c r="M599" s="27"/>
      <c r="N599" s="5" t="s">
        <v>50025</v>
      </c>
      <c r="O599" s="5" t="str">
        <v>5036090504</v>
      </c>
      <c r="P599" s="27">
        <v>60000</v>
      </c>
      <c r="Q599" s="5" t="s">
        <v>50026</v>
      </c>
      <c r="R599" s="5"/>
      <c r="S599" s="5" t="s">
        <v>50027</v>
      </c>
      <c r="T599" s="28">
        <v>12621000</v>
      </c>
      <c r="U599" s="28">
        <v>1000000</v>
      </c>
      <c r="V599" s="28">
        <v>444608000</v>
      </c>
      <c r="W599" s="28"/>
      <c r="X599" s="28">
        <v>133627000</v>
      </c>
      <c r="Y599" s="28">
        <v>784651000</v>
      </c>
      <c r="Z599" s="28">
        <v>650507000</v>
      </c>
      <c r="AA599" s="28"/>
      <c r="AB599" s="28"/>
      <c r="AC599" s="28">
        <v>131464000</v>
      </c>
      <c r="AD599" s="28">
        <v>650567000</v>
      </c>
      <c r="AE599" s="28">
        <v>3002289000</v>
      </c>
      <c r="AF599" s="28">
        <v>455966000</v>
      </c>
      <c r="AG599" s="11"/>
    </row>
    <row r="600">
      <c r="A600" s="7" t="s">
        <v>2337</v>
      </c>
      <c r="B600" s="5" t="s">
        <v>10313</v>
      </c>
      <c r="C600" s="5" t="s">
        <v>18204</v>
      </c>
      <c r="D600" s="5" t="str">
        <v>025804804187</v>
      </c>
      <c r="E600" s="0" t="e">
        <f>+7 (3472) 923888
+7 (3472) 929888
+7 (34766) 31818</f>
        <v>#NAME?</v>
      </c>
      <c r="F600" s="5"/>
      <c r="G600" s="5" t="s">
        <v>27139</v>
      </c>
      <c r="H600" s="26">
        <v>12.5</v>
      </c>
      <c r="I600" s="5" t="s">
        <v>27140</v>
      </c>
      <c r="J600" s="5" t="s">
        <v>26328</v>
      </c>
      <c r="K600" s="5" t="s">
        <v>344</v>
      </c>
      <c r="L600" s="5" t="s">
        <v>27141</v>
      </c>
      <c r="M600" s="27">
        <v>48018722</v>
      </c>
      <c r="N600" s="5" t="s">
        <v>50028</v>
      </c>
      <c r="O600" s="5" t="str">
        <v>0278170037</v>
      </c>
      <c r="P600" s="27">
        <v>10000000</v>
      </c>
      <c r="Q600" s="5" t="s">
        <v>50029</v>
      </c>
      <c r="R600" s="5"/>
      <c r="S600" s="5" t="s">
        <v>50030</v>
      </c>
      <c r="T600" s="28">
        <v>582806000</v>
      </c>
      <c r="U600" s="28"/>
      <c r="V600" s="28">
        <v>795701000</v>
      </c>
      <c r="W600" s="28">
        <v>216960000</v>
      </c>
      <c r="X600" s="28">
        <v>48439000</v>
      </c>
      <c r="Y600" s="28">
        <v>2059884000</v>
      </c>
      <c r="Z600" s="28">
        <v>719794000</v>
      </c>
      <c r="AA600" s="28"/>
      <c r="AB600" s="28"/>
      <c r="AC600" s="28">
        <v>1304499000</v>
      </c>
      <c r="AD600" s="28">
        <v>729794000</v>
      </c>
      <c r="AE600" s="28">
        <v>3085103000</v>
      </c>
      <c r="AF600" s="28">
        <v>236449000</v>
      </c>
      <c r="AG600" s="11"/>
    </row>
    <row r="601">
      <c r="A601" s="7" t="s">
        <v>2338</v>
      </c>
      <c r="B601" s="5" t="s">
        <v>10314</v>
      </c>
      <c r="C601" s="5" t="s">
        <v>18205</v>
      </c>
      <c r="D601" s="5" t="str">
        <v>772604866470</v>
      </c>
      <c r="E601" s="0" t="e">
        <f>+7 (495) 2585100
+7 (495) 2585103
+7 (495) 9565101
+7 (916) 4626248</f>
        <v>#NAME?</v>
      </c>
      <c r="F601" s="5" t="s">
        <v>27142</v>
      </c>
      <c r="G601" s="5" t="s">
        <v>27143</v>
      </c>
      <c r="H601" s="26">
        <v>15.5</v>
      </c>
      <c r="I601" s="5" t="s">
        <v>27144</v>
      </c>
      <c r="J601" s="5" t="s">
        <v>693</v>
      </c>
      <c r="K601" s="5" t="s">
        <v>344</v>
      </c>
      <c r="L601" s="5"/>
      <c r="M601" s="27"/>
      <c r="N601" s="5"/>
      <c r="O601" s="5" t="str">
        <v>7728631727</v>
      </c>
      <c r="P601" s="27">
        <v>187177500</v>
      </c>
      <c r="Q601" s="5"/>
      <c r="R601" s="5"/>
      <c r="S601" s="5" t="s">
        <v>49425</v>
      </c>
      <c r="T601" s="28">
        <v>57938000</v>
      </c>
      <c r="U601" s="28"/>
      <c r="V601" s="28">
        <v>2774621000</v>
      </c>
      <c r="W601" s="28"/>
      <c r="X601" s="28">
        <v>4823000</v>
      </c>
      <c r="Y601" s="28">
        <v>3059117000</v>
      </c>
      <c r="Z601" s="28">
        <v>1675543000</v>
      </c>
      <c r="AA601" s="28"/>
      <c r="AB601" s="28"/>
      <c r="AC601" s="28">
        <v>965723000</v>
      </c>
      <c r="AD601" s="28">
        <v>2056993000</v>
      </c>
      <c r="AE601" s="28">
        <v>6026617000</v>
      </c>
      <c r="AF601" s="28">
        <v>1667912000</v>
      </c>
      <c r="AG601" s="11"/>
    </row>
    <row r="602">
      <c r="A602" s="7" t="s">
        <v>2339</v>
      </c>
      <c r="B602" s="5" t="s">
        <v>10315</v>
      </c>
      <c r="C602" s="5" t="s">
        <v>18206</v>
      </c>
      <c r="D602" s="5" t="str">
        <v>263104127064</v>
      </c>
      <c r="E602" s="0" t="e">
        <f>+7 (86554) 54101
+7 (86554) 54105
+7 (86554) 54110
+7 (86554) 54139
+7 (86554) 54149
+7 (86554) 54194
+7 (86554) 54240
+7 (86554) 54272
+7 (86554) 54284
+7 (86554) 54293
+7 (86554) 71919
+7 (86554) 95349</f>
        <v>#NAME?</v>
      </c>
      <c r="F602" s="5" t="s">
        <v>27145</v>
      </c>
      <c r="G602" s="5" t="s">
        <v>27146</v>
      </c>
      <c r="H602" s="26">
        <v>30.5</v>
      </c>
      <c r="I602" s="5"/>
      <c r="J602" s="5" t="s">
        <v>27147</v>
      </c>
      <c r="K602" s="5" t="s">
        <v>344</v>
      </c>
      <c r="L602" s="5" t="s">
        <v>27148</v>
      </c>
      <c r="M602" s="27"/>
      <c r="N602" s="5"/>
      <c r="O602" s="5" t="str">
        <v>2631006752</v>
      </c>
      <c r="P602" s="27">
        <v>32402928</v>
      </c>
      <c r="Q602" s="5" t="s">
        <v>49009</v>
      </c>
      <c r="R602" s="5"/>
      <c r="S602" s="5" t="s">
        <v>49028</v>
      </c>
      <c r="T602" s="28">
        <v>3687154000</v>
      </c>
      <c r="U602" s="28">
        <v>1796391000</v>
      </c>
      <c r="V602" s="28">
        <v>6528647000</v>
      </c>
      <c r="W602" s="28">
        <v>1715000</v>
      </c>
      <c r="X602" s="28">
        <v>47334000</v>
      </c>
      <c r="Y602" s="28">
        <v>14861867000</v>
      </c>
      <c r="Z602" s="28">
        <v>7704430000</v>
      </c>
      <c r="AA602" s="28">
        <v>1514498000</v>
      </c>
      <c r="AB602" s="28">
        <v>2544483000</v>
      </c>
      <c r="AC602" s="28">
        <v>5035893000</v>
      </c>
      <c r="AD602" s="28">
        <v>7794637000</v>
      </c>
      <c r="AE602" s="28">
        <v>11171278000</v>
      </c>
      <c r="AF602" s="28">
        <v>259375000</v>
      </c>
      <c r="AG602" s="11"/>
    </row>
    <row r="603">
      <c r="A603" s="7" t="s">
        <v>2340</v>
      </c>
      <c r="B603" s="5" t="s">
        <v>10316</v>
      </c>
      <c r="C603" s="5" t="s">
        <v>18207</v>
      </c>
      <c r="D603" s="5" t="str">
        <v>772806885853</v>
      </c>
      <c r="E603" s="0" t="e">
        <f>+7 (495) 7775190
+7 (495) 1086868
+7 (495) 6371853
+7 (495) 6731523
+7 (495) 7051700
+7 (499) 1370545
+7 (499) 1643921
+7 (499) 1650530
+7 (499) 2432413
+7 (499) 2433397
+7 (812) 2009696
+7 (812) 3216060</f>
        <v>#NAME?</v>
      </c>
      <c r="F603" s="5"/>
      <c r="G603" s="5" t="s">
        <v>27149</v>
      </c>
      <c r="H603" s="26">
        <v>27.5</v>
      </c>
      <c r="I603" s="5" t="s">
        <v>27150</v>
      </c>
      <c r="J603" s="5" t="s">
        <v>27151</v>
      </c>
      <c r="K603" s="5" t="s">
        <v>344</v>
      </c>
      <c r="L603" s="5" t="s">
        <v>27152</v>
      </c>
      <c r="M603" s="27">
        <v>171506</v>
      </c>
      <c r="N603" s="5"/>
      <c r="O603" s="5" t="str">
        <v>7710161911</v>
      </c>
      <c r="P603" s="27">
        <v>11220000</v>
      </c>
      <c r="Q603" s="5"/>
      <c r="R603" s="5"/>
      <c r="S603" s="5" t="s">
        <v>49121</v>
      </c>
      <c r="T603" s="28">
        <v>4297846000</v>
      </c>
      <c r="U603" s="28"/>
      <c r="V603" s="28">
        <v>271421000</v>
      </c>
      <c r="W603" s="28"/>
      <c r="X603" s="28">
        <v>315598000</v>
      </c>
      <c r="Y603" s="28">
        <v>6984373000</v>
      </c>
      <c r="Z603" s="28">
        <v>462962000</v>
      </c>
      <c r="AA603" s="28"/>
      <c r="AB603" s="28">
        <v>254619000</v>
      </c>
      <c r="AC603" s="28">
        <v>1400987000</v>
      </c>
      <c r="AD603" s="28">
        <v>474782000</v>
      </c>
      <c r="AE603" s="28">
        <v>15767772000</v>
      </c>
      <c r="AF603" s="28">
        <v>288373000</v>
      </c>
      <c r="AG603" s="11"/>
    </row>
    <row r="604">
      <c r="A604" s="7" t="s">
        <v>2341</v>
      </c>
      <c r="B604" s="5" t="s">
        <v>10317</v>
      </c>
      <c r="C604" s="5" t="s">
        <v>18208</v>
      </c>
      <c r="D604" s="5" t="str">
        <v>772504776294</v>
      </c>
      <c r="E604" s="0" t="e">
        <f>+7 (495) 4117843
+7 (495) 7775195
+7 (495) 7775520</f>
        <v>#NAME?</v>
      </c>
      <c r="F604" s="5"/>
      <c r="G604" s="5"/>
      <c r="H604" s="26">
        <v>27</v>
      </c>
      <c r="I604" s="5"/>
      <c r="J604" s="5" t="s">
        <v>1059</v>
      </c>
      <c r="K604" s="5" t="s">
        <v>355</v>
      </c>
      <c r="L604" s="5" t="s">
        <v>27153</v>
      </c>
      <c r="M604" s="27"/>
      <c r="N604" s="5"/>
      <c r="O604" s="5" t="str">
        <v>7730077591</v>
      </c>
      <c r="P604" s="27">
        <v>10000000</v>
      </c>
      <c r="Q604" s="5" t="s">
        <v>49207</v>
      </c>
      <c r="R604" s="5"/>
      <c r="S604" s="5" t="s">
        <v>50032</v>
      </c>
      <c r="T604" s="28">
        <v>592045000</v>
      </c>
      <c r="U604" s="28">
        <v>14702000</v>
      </c>
      <c r="V604" s="28">
        <v>2174522000</v>
      </c>
      <c r="W604" s="28"/>
      <c r="X604" s="28">
        <v>2292000</v>
      </c>
      <c r="Y604" s="28">
        <v>5809776000</v>
      </c>
      <c r="Z604" s="28">
        <v>101605000</v>
      </c>
      <c r="AA604" s="28"/>
      <c r="AB604" s="28">
        <v>958362000</v>
      </c>
      <c r="AC604" s="28">
        <v>5001830000</v>
      </c>
      <c r="AD604" s="28">
        <v>112105000</v>
      </c>
      <c r="AE604" s="28">
        <v>18220912000</v>
      </c>
      <c r="AF604" s="28">
        <v>129663000</v>
      </c>
      <c r="AG604" s="11"/>
    </row>
    <row r="605">
      <c r="A605" s="7" t="s">
        <v>2342</v>
      </c>
      <c r="B605" s="5" t="s">
        <v>10318</v>
      </c>
      <c r="C605" s="5" t="s">
        <v>18209</v>
      </c>
      <c r="D605" s="5" t="str">
        <v>780718997536</v>
      </c>
      <c r="E605" s="0" t="e">
        <f>+7 (800) 3332020
+7 (495) 7898020
+7 (812) 3323555
+7 (812) 3332080
+7 (812) 4481828</f>
        <v>#NAME?</v>
      </c>
      <c r="F605" s="5" t="s">
        <v>27154</v>
      </c>
      <c r="G605" s="5" t="s">
        <v>27155</v>
      </c>
      <c r="H605" s="26">
        <v>18</v>
      </c>
      <c r="I605" s="5" t="s">
        <v>27156</v>
      </c>
      <c r="J605" s="5" t="s">
        <v>26660</v>
      </c>
      <c r="K605" s="5" t="s">
        <v>344</v>
      </c>
      <c r="L605" s="5" t="s">
        <v>27157</v>
      </c>
      <c r="M605" s="27"/>
      <c r="N605" s="5" t="s">
        <v>50033</v>
      </c>
      <c r="O605" s="5" t="str">
        <v>7810022460</v>
      </c>
      <c r="P605" s="27">
        <v>9020000</v>
      </c>
      <c r="Q605" s="5" t="s">
        <v>49021</v>
      </c>
      <c r="R605" s="5"/>
      <c r="S605" s="5" t="s">
        <v>50034</v>
      </c>
      <c r="T605" s="28">
        <v>17216735000</v>
      </c>
      <c r="U605" s="28">
        <v>948046000</v>
      </c>
      <c r="V605" s="28">
        <v>1540343000</v>
      </c>
      <c r="W605" s="28">
        <v>655000000</v>
      </c>
      <c r="X605" s="28">
        <v>1693424000</v>
      </c>
      <c r="Y605" s="28">
        <v>30097906000</v>
      </c>
      <c r="Z605" s="28">
        <v>3110414000</v>
      </c>
      <c r="AA605" s="28"/>
      <c r="AB605" s="28">
        <v>4794936000</v>
      </c>
      <c r="AC605" s="28">
        <v>14185313000</v>
      </c>
      <c r="AD605" s="28">
        <v>3123171000</v>
      </c>
      <c r="AE605" s="28">
        <v>35868118000</v>
      </c>
      <c r="AF605" s="28">
        <v>322669000</v>
      </c>
      <c r="AG605" s="11"/>
    </row>
    <row r="606">
      <c r="A606" s="7" t="s">
        <v>2343</v>
      </c>
      <c r="B606" s="5" t="s">
        <v>10319</v>
      </c>
      <c r="C606" s="5" t="s">
        <v>18210</v>
      </c>
      <c r="D606" s="5" t="str">
        <v>510302245705</v>
      </c>
      <c r="E606" s="0" t="e">
        <f>+7 (495) 9232023
+7 (495) 5445074
+7 (812) 6090019
+7 (862) 5551010
+7 (916) 3160887</f>
        <v>#NAME?</v>
      </c>
      <c r="F606" s="5" t="s">
        <v>27158</v>
      </c>
      <c r="G606" s="5" t="s">
        <v>27159</v>
      </c>
      <c r="H606" s="26">
        <v>14</v>
      </c>
      <c r="I606" s="5" t="s">
        <v>27160</v>
      </c>
      <c r="J606" s="5" t="s">
        <v>26125</v>
      </c>
      <c r="K606" s="5" t="s">
        <v>344</v>
      </c>
      <c r="L606" s="5" t="s">
        <v>27161</v>
      </c>
      <c r="M606" s="27">
        <v>342809</v>
      </c>
      <c r="N606" s="5" t="s">
        <v>50035</v>
      </c>
      <c r="O606" s="5" t="str">
        <v>7719701745</v>
      </c>
      <c r="P606" s="27">
        <v>10000000</v>
      </c>
      <c r="Q606" s="5" t="s">
        <v>50036</v>
      </c>
      <c r="R606" s="5" t="s">
        <v>50037</v>
      </c>
      <c r="S606" s="5" t="s">
        <v>50038</v>
      </c>
      <c r="T606" s="28">
        <v>198293000</v>
      </c>
      <c r="U606" s="28"/>
      <c r="V606" s="28">
        <v>577554000</v>
      </c>
      <c r="W606" s="28">
        <v>107932000</v>
      </c>
      <c r="X606" s="28">
        <v>30779000</v>
      </c>
      <c r="Y606" s="28">
        <v>1878798000</v>
      </c>
      <c r="Z606" s="28">
        <v>96099000</v>
      </c>
      <c r="AA606" s="28">
        <v>900000000</v>
      </c>
      <c r="AB606" s="28">
        <v>20133000</v>
      </c>
      <c r="AC606" s="28">
        <v>651333000</v>
      </c>
      <c r="AD606" s="28">
        <v>200742000</v>
      </c>
      <c r="AE606" s="28">
        <v>8588627000</v>
      </c>
      <c r="AF606" s="28">
        <v>49417000</v>
      </c>
      <c r="AG606" s="11"/>
    </row>
    <row r="607">
      <c r="A607" s="7" t="s">
        <v>2344</v>
      </c>
      <c r="B607" s="5" t="s">
        <v>10320</v>
      </c>
      <c r="C607" s="5" t="s">
        <v>18211</v>
      </c>
      <c r="D607" s="5" t="str">
        <v>772500869149</v>
      </c>
      <c r="E607" s="0" t="e">
        <f>+7 (495) 2870702
+7 (495) 6265809
+7 (495) 9214946
+7 (495) 9567937
+7 (495) 9889370
+7 (495) 9214948</f>
        <v>#NAME?</v>
      </c>
      <c r="F607" s="5" t="s">
        <v>27162</v>
      </c>
      <c r="G607" s="5"/>
      <c r="H607" s="26">
        <v>3.5</v>
      </c>
      <c r="I607" s="5" t="s">
        <v>27163</v>
      </c>
      <c r="J607" s="5" t="s">
        <v>27164</v>
      </c>
      <c r="K607" s="5" t="s">
        <v>344</v>
      </c>
      <c r="L607" s="5" t="s">
        <v>27165</v>
      </c>
      <c r="M607" s="27"/>
      <c r="N607" s="5" t="s">
        <v>50039</v>
      </c>
      <c r="O607" s="5" t="str">
        <v>7728485265</v>
      </c>
      <c r="P607" s="27">
        <v>874237000</v>
      </c>
      <c r="Q607" s="5" t="s">
        <v>50040</v>
      </c>
      <c r="R607" s="5"/>
      <c r="S607" s="5" t="s">
        <v>50041</v>
      </c>
      <c r="T607" s="28">
        <v>42042000</v>
      </c>
      <c r="U607" s="28">
        <v>17453000</v>
      </c>
      <c r="V607" s="28">
        <v>1024401000</v>
      </c>
      <c r="W607" s="28"/>
      <c r="X607" s="28">
        <v>1844770000</v>
      </c>
      <c r="Y607" s="28">
        <v>5655573000</v>
      </c>
      <c r="Z607" s="28">
        <v>747062000</v>
      </c>
      <c r="AA607" s="28"/>
      <c r="AB607" s="28"/>
      <c r="AC607" s="28">
        <v>3706511000</v>
      </c>
      <c r="AD607" s="28">
        <v>1703781000</v>
      </c>
      <c r="AE607" s="28">
        <v>6040900000</v>
      </c>
      <c r="AF607" s="28">
        <v>180531000</v>
      </c>
      <c r="AG607" s="11"/>
    </row>
    <row r="608">
      <c r="A608" s="7" t="s">
        <v>2345</v>
      </c>
      <c r="B608" s="5" t="s">
        <v>10321</v>
      </c>
      <c r="C608" s="5" t="s">
        <v>18212</v>
      </c>
      <c r="D608" s="5" t="str">
        <v>330104268507</v>
      </c>
      <c r="E608" s="0" t="e">
        <f>+7 (495) 1342647
+7 (903) 2557976
+7 (999) 8810914</f>
        <v>#NAME?</v>
      </c>
      <c r="F608" s="5" t="s">
        <v>27166</v>
      </c>
      <c r="G608" s="5"/>
      <c r="H608" s="26">
        <v>9</v>
      </c>
      <c r="I608" s="5"/>
      <c r="J608" s="5" t="s">
        <v>364</v>
      </c>
      <c r="K608" s="5" t="s">
        <v>344</v>
      </c>
      <c r="L608" s="5" t="s">
        <v>27167</v>
      </c>
      <c r="M608" s="27">
        <v>267075965</v>
      </c>
      <c r="N608" s="5" t="s">
        <v>50042</v>
      </c>
      <c r="O608" s="5" t="str">
        <v>7707822167</v>
      </c>
      <c r="P608" s="27">
        <v>10000</v>
      </c>
      <c r="Q608" s="5" t="s">
        <v>50043</v>
      </c>
      <c r="R608" s="5"/>
      <c r="S608" s="5" t="s">
        <v>50044</v>
      </c>
      <c r="T608" s="28">
        <v>48717000</v>
      </c>
      <c r="U608" s="28">
        <v>10000</v>
      </c>
      <c r="V608" s="28">
        <v>4755916000</v>
      </c>
      <c r="W608" s="28">
        <v>50388000</v>
      </c>
      <c r="X608" s="28">
        <v>813396000</v>
      </c>
      <c r="Y608" s="28">
        <v>6927496000</v>
      </c>
      <c r="Z608" s="28">
        <v>666977000</v>
      </c>
      <c r="AA608" s="28">
        <v>5000000</v>
      </c>
      <c r="AB608" s="28">
        <v>61488000</v>
      </c>
      <c r="AC608" s="28">
        <v>6255111000</v>
      </c>
      <c r="AD608" s="28">
        <v>667368000</v>
      </c>
      <c r="AE608" s="28">
        <v>10734253000</v>
      </c>
      <c r="AF608" s="28">
        <v>364231000</v>
      </c>
      <c r="AG608" s="11"/>
    </row>
    <row r="609">
      <c r="A609" s="7" t="s">
        <v>2346</v>
      </c>
      <c r="B609" s="5" t="s">
        <v>10322</v>
      </c>
      <c r="C609" s="5" t="s">
        <v>18213</v>
      </c>
      <c r="D609" s="5" t="str">
        <v>771509465886</v>
      </c>
      <c r="E609" s="0" t="e">
        <f>+7 (499) 5188410
+7 (495) 2800223
+7 (499) 3725261</f>
        <v>#NAME?</v>
      </c>
      <c r="F609" s="5" t="s">
        <v>27168</v>
      </c>
      <c r="G609" s="5"/>
      <c r="H609" s="26">
        <v>10.5</v>
      </c>
      <c r="I609" s="5" t="s">
        <v>27169</v>
      </c>
      <c r="J609" s="5" t="s">
        <v>999</v>
      </c>
      <c r="K609" s="5" t="s">
        <v>355</v>
      </c>
      <c r="L609" s="5" t="s">
        <v>27170</v>
      </c>
      <c r="M609" s="27">
        <v>12957735</v>
      </c>
      <c r="N609" s="5" t="s">
        <v>50045</v>
      </c>
      <c r="O609" s="5" t="str">
        <v>7725766966</v>
      </c>
      <c r="P609" s="27">
        <v>10000000</v>
      </c>
      <c r="Q609" s="5" t="s">
        <v>50046</v>
      </c>
      <c r="R609" s="5"/>
      <c r="S609" s="5" t="s">
        <v>50047</v>
      </c>
      <c r="T609" s="28">
        <v>1085118000</v>
      </c>
      <c r="U609" s="28">
        <v>6003000</v>
      </c>
      <c r="V609" s="28">
        <v>3244380000</v>
      </c>
      <c r="W609" s="28">
        <v>162690000</v>
      </c>
      <c r="X609" s="28">
        <v>290736000</v>
      </c>
      <c r="Y609" s="28">
        <v>5992462000</v>
      </c>
      <c r="Z609" s="28">
        <v>210495000</v>
      </c>
      <c r="AA609" s="28">
        <v>179495000</v>
      </c>
      <c r="AB609" s="28">
        <v>1114818000</v>
      </c>
      <c r="AC609" s="28">
        <v>5560823000</v>
      </c>
      <c r="AD609" s="28">
        <v>220499000</v>
      </c>
      <c r="AE609" s="28">
        <v>10620457000</v>
      </c>
      <c r="AF609" s="28">
        <v>470224000</v>
      </c>
      <c r="AG609" s="11"/>
    </row>
    <row r="610">
      <c r="A610" s="7" t="s">
        <v>2347</v>
      </c>
      <c r="B610" s="5" t="s">
        <v>10323</v>
      </c>
      <c r="C610" s="5" t="s">
        <v>18214</v>
      </c>
      <c r="D610" s="5" t="str">
        <v>200601908882</v>
      </c>
      <c r="F610" s="5"/>
      <c r="G610" s="5"/>
      <c r="H610" s="26">
        <v>9</v>
      </c>
      <c r="I610" s="5" t="s">
        <v>27171</v>
      </c>
      <c r="J610" s="5" t="s">
        <v>26880</v>
      </c>
      <c r="K610" s="5" t="s">
        <v>355</v>
      </c>
      <c r="L610" s="5" t="s">
        <v>27172</v>
      </c>
      <c r="M610" s="27"/>
      <c r="N610" s="5" t="s">
        <v>50048</v>
      </c>
      <c r="O610" s="5" t="str">
        <v>2006800060</v>
      </c>
      <c r="P610" s="27">
        <v>10000</v>
      </c>
      <c r="Q610" s="5" t="s">
        <v>50049</v>
      </c>
      <c r="R610" s="5"/>
      <c r="S610" s="5" t="s">
        <v>49047</v>
      </c>
      <c r="T610" s="28"/>
      <c r="U610" s="28"/>
      <c r="V610" s="28">
        <v>37980000</v>
      </c>
      <c r="W610" s="28"/>
      <c r="X610" s="28">
        <v>82956000</v>
      </c>
      <c r="Y610" s="28">
        <v>155264000</v>
      </c>
      <c r="Z610" s="28">
        <v>29254000</v>
      </c>
      <c r="AA610" s="28"/>
      <c r="AB610" s="28"/>
      <c r="AC610" s="28">
        <v>126000000</v>
      </c>
      <c r="AD610" s="28">
        <v>29264000</v>
      </c>
      <c r="AE610" s="28">
        <v>3304745000</v>
      </c>
      <c r="AF610" s="28">
        <v>24254000</v>
      </c>
      <c r="AG610" s="11"/>
    </row>
    <row r="611">
      <c r="A611" s="7" t="s">
        <v>2348</v>
      </c>
      <c r="B611" s="5" t="s">
        <v>10324</v>
      </c>
      <c r="C611" s="5" t="s">
        <v>18215</v>
      </c>
      <c r="D611" s="5" t="str">
        <v>683000473306</v>
      </c>
      <c r="E611" s="0" t="e">
        <f>+7 (915) 4170119</f>
        <v>#NAME?</v>
      </c>
      <c r="F611" s="5"/>
      <c r="G611" s="5"/>
      <c r="H611" s="26">
        <v>8.5</v>
      </c>
      <c r="I611" s="5" t="s">
        <v>27173</v>
      </c>
      <c r="J611" s="5" t="s">
        <v>27174</v>
      </c>
      <c r="K611" s="5" t="s">
        <v>380</v>
      </c>
      <c r="L611" s="5" t="s">
        <v>381</v>
      </c>
      <c r="M611" s="27"/>
      <c r="N611" s="5"/>
      <c r="O611" s="5" t="str">
        <v>7724929216</v>
      </c>
      <c r="P611" s="27">
        <v>11000</v>
      </c>
      <c r="Q611" s="5" t="s">
        <v>50050</v>
      </c>
      <c r="R611" s="5"/>
      <c r="S611" s="5" t="s">
        <v>50051</v>
      </c>
      <c r="T611" s="28"/>
      <c r="U611" s="28"/>
      <c r="V611" s="28">
        <v>431798000</v>
      </c>
      <c r="W611" s="28">
        <v>18527709000</v>
      </c>
      <c r="X611" s="28">
        <v>1462054000</v>
      </c>
      <c r="Y611" s="28">
        <v>22791967000</v>
      </c>
      <c r="Z611" s="28">
        <v>-9531776000</v>
      </c>
      <c r="AA611" s="28"/>
      <c r="AB611" s="28">
        <v>25878539000</v>
      </c>
      <c r="AC611" s="28">
        <v>32309592000</v>
      </c>
      <c r="AD611" s="28">
        <v>-9531765000</v>
      </c>
      <c r="AE611" s="28">
        <v>57022770000</v>
      </c>
      <c r="AF611" s="28">
        <v>-9533262000</v>
      </c>
      <c r="AG611" s="11"/>
    </row>
    <row r="612">
      <c r="A612" s="7" t="s">
        <v>2349</v>
      </c>
      <c r="B612" s="5" t="s">
        <v>10325</v>
      </c>
      <c r="C612" s="5" t="s">
        <v>18216</v>
      </c>
      <c r="D612" s="5" t="str">
        <v>780716705227</v>
      </c>
      <c r="E612" s="0" t="e">
        <f>+7 (800) 5112371
+7 (812) 2107835
+7 (812) 2107837
+7 (812) 3200320</f>
        <v>#NAME?</v>
      </c>
      <c r="F612" s="5"/>
      <c r="G612" s="5"/>
      <c r="H612" s="26">
        <v>15</v>
      </c>
      <c r="I612" s="5"/>
      <c r="J612" s="5" t="s">
        <v>364</v>
      </c>
      <c r="K612" s="5" t="s">
        <v>344</v>
      </c>
      <c r="L612" s="5"/>
      <c r="M612" s="27"/>
      <c r="N612" s="5" t="s">
        <v>50052</v>
      </c>
      <c r="O612" s="5" t="str">
        <v>7841385672</v>
      </c>
      <c r="P612" s="27">
        <v>400000000</v>
      </c>
      <c r="Q612" s="5" t="s">
        <v>50053</v>
      </c>
      <c r="R612" s="5"/>
      <c r="S612" s="5" t="s">
        <v>49227</v>
      </c>
      <c r="T612" s="28">
        <v>67763000</v>
      </c>
      <c r="U612" s="28"/>
      <c r="V612" s="28">
        <v>703043000</v>
      </c>
      <c r="W612" s="28">
        <v>1300000</v>
      </c>
      <c r="X612" s="28">
        <v>310000</v>
      </c>
      <c r="Y612" s="28">
        <v>1734999000</v>
      </c>
      <c r="Z612" s="28">
        <v>577658000</v>
      </c>
      <c r="AA612" s="28"/>
      <c r="AB612" s="28"/>
      <c r="AC612" s="28">
        <v>737341000</v>
      </c>
      <c r="AD612" s="28">
        <v>997658000</v>
      </c>
      <c r="AE612" s="28">
        <v>3028828000</v>
      </c>
      <c r="AF612" s="28">
        <v>1878678000</v>
      </c>
      <c r="AG612" s="11"/>
    </row>
    <row r="613">
      <c r="A613" s="7" t="s">
        <v>2350</v>
      </c>
      <c r="B613" s="5" t="s">
        <v>10326</v>
      </c>
      <c r="C613" s="5" t="s">
        <v>18217</v>
      </c>
      <c r="D613" s="5" t="str">
        <v>771526764646</v>
      </c>
      <c r="E613" s="0" t="e">
        <f>+7 (385) 2609560
+7 (495) 1913890
+7 (495) 2583433
+7 (495) 2803348
+7 (495) 6899955
+7 (905) 6569907</f>
        <v>#NAME?</v>
      </c>
      <c r="F613" s="5" t="s">
        <v>27175</v>
      </c>
      <c r="G613" s="5"/>
      <c r="H613" s="26">
        <v>14.5</v>
      </c>
      <c r="I613" s="5" t="s">
        <v>27176</v>
      </c>
      <c r="J613" s="5" t="s">
        <v>678</v>
      </c>
      <c r="K613" s="5" t="s">
        <v>344</v>
      </c>
      <c r="L613" s="5" t="s">
        <v>27177</v>
      </c>
      <c r="M613" s="27">
        <v>5000000</v>
      </c>
      <c r="N613" s="5"/>
      <c r="O613" s="5" t="str">
        <v>7715712954</v>
      </c>
      <c r="P613" s="27">
        <v>420000000</v>
      </c>
      <c r="Q613" s="5"/>
      <c r="R613" s="5"/>
      <c r="S613" s="5" t="s">
        <v>49029</v>
      </c>
      <c r="T613" s="28">
        <v>8619000</v>
      </c>
      <c r="U613" s="28"/>
      <c r="V613" s="28">
        <v>669578000</v>
      </c>
      <c r="W613" s="28">
        <v>42850000</v>
      </c>
      <c r="X613" s="28">
        <v>10011000</v>
      </c>
      <c r="Y613" s="28">
        <v>1704697000</v>
      </c>
      <c r="Z613" s="28">
        <v>272665000</v>
      </c>
      <c r="AA613" s="28"/>
      <c r="AB613" s="28">
        <v>222391000</v>
      </c>
      <c r="AC613" s="28">
        <v>972032000</v>
      </c>
      <c r="AD613" s="28">
        <v>732665000</v>
      </c>
      <c r="AE613" s="28">
        <v>3297978000</v>
      </c>
      <c r="AF613" s="28">
        <v>239388000</v>
      </c>
      <c r="AG613" s="11"/>
    </row>
    <row r="614">
      <c r="A614" s="7" t="s">
        <v>2351</v>
      </c>
      <c r="B614" s="5" t="s">
        <v>10327</v>
      </c>
      <c r="C614" s="5" t="s">
        <v>18218</v>
      </c>
      <c r="D614" s="5" t="str">
        <v>667009459910</v>
      </c>
      <c r="E614" s="0" t="e">
        <f>+7 (343) 3010780
+7 (343) 3103218
+7 (343) 3107080</f>
        <v>#NAME?</v>
      </c>
      <c r="F614" s="5" t="s">
        <v>27178</v>
      </c>
      <c r="G614" s="5" t="s">
        <v>27179</v>
      </c>
      <c r="H614" s="26">
        <v>18</v>
      </c>
      <c r="I614" s="5" t="s">
        <v>27180</v>
      </c>
      <c r="J614" s="5" t="s">
        <v>26623</v>
      </c>
      <c r="K614" s="5" t="s">
        <v>344</v>
      </c>
      <c r="L614" s="5"/>
      <c r="M614" s="27"/>
      <c r="N614" s="5" t="s">
        <v>50054</v>
      </c>
      <c r="O614" s="5" t="str">
        <v>6672185635</v>
      </c>
      <c r="P614" s="27">
        <v>14116900</v>
      </c>
      <c r="Q614" s="5" t="s">
        <v>50055</v>
      </c>
      <c r="R614" s="5"/>
      <c r="S614" s="5" t="s">
        <v>49047</v>
      </c>
      <c r="T614" s="28">
        <v>25718000</v>
      </c>
      <c r="U614" s="28">
        <v>5912000</v>
      </c>
      <c r="V614" s="28">
        <v>456046000</v>
      </c>
      <c r="W614" s="28">
        <v>104398000</v>
      </c>
      <c r="X614" s="28">
        <v>227000</v>
      </c>
      <c r="Y614" s="28">
        <v>644358000</v>
      </c>
      <c r="Z614" s="28">
        <v>173169000</v>
      </c>
      <c r="AA614" s="28"/>
      <c r="AB614" s="28">
        <v>4305000</v>
      </c>
      <c r="AC614" s="28">
        <v>455893000</v>
      </c>
      <c r="AD614" s="28">
        <v>187286000</v>
      </c>
      <c r="AE614" s="28">
        <v>5505721000</v>
      </c>
      <c r="AF614" s="28">
        <v>8332000</v>
      </c>
      <c r="AG614" s="11"/>
    </row>
    <row r="615">
      <c r="A615" s="7" t="s">
        <v>2352</v>
      </c>
      <c r="B615" s="5" t="s">
        <v>10328</v>
      </c>
      <c r="C615" s="5" t="s">
        <v>18219</v>
      </c>
      <c r="D615" s="5" t="str">
        <v>472003415997</v>
      </c>
      <c r="E615" s="0" t="e">
        <f>+7 (925) 6135162
+7 (812) 3279262
+7 (812) 6171139
+7 (812) 6173123
+7 (812) 6173516
+7 (812) 6174359
+7 (812) 6175106
+7 (812) 6182076
+7 (812) 6187930
+7 (812) 6187964
+7 (812) 6188007
+7 (812) 6188303</f>
        <v>#NAME?</v>
      </c>
      <c r="F615" s="5"/>
      <c r="G615" s="5"/>
      <c r="H615" s="26">
        <v>19</v>
      </c>
      <c r="I615" s="5" t="s">
        <v>27181</v>
      </c>
      <c r="J615" s="5" t="s">
        <v>27182</v>
      </c>
      <c r="K615" s="5" t="s">
        <v>344</v>
      </c>
      <c r="L615" s="5" t="s">
        <v>27183</v>
      </c>
      <c r="M615" s="27"/>
      <c r="N615" s="5" t="s">
        <v>50056</v>
      </c>
      <c r="O615" s="5" t="str">
        <v>7810310099</v>
      </c>
      <c r="P615" s="27">
        <v>10000</v>
      </c>
      <c r="Q615" s="5" t="s">
        <v>50057</v>
      </c>
      <c r="R615" s="5"/>
      <c r="S615" s="5" t="s">
        <v>49358</v>
      </c>
      <c r="T615" s="28">
        <v>5972000</v>
      </c>
      <c r="U615" s="28"/>
      <c r="V615" s="28">
        <v>10102151000</v>
      </c>
      <c r="W615" s="28"/>
      <c r="X615" s="28">
        <v>5858975000</v>
      </c>
      <c r="Y615" s="28">
        <v>29587898000</v>
      </c>
      <c r="Z615" s="28">
        <v>1897094000</v>
      </c>
      <c r="AA615" s="28">
        <v>5493887000</v>
      </c>
      <c r="AB615" s="28">
        <v>9503000</v>
      </c>
      <c r="AC615" s="28">
        <v>22196042000</v>
      </c>
      <c r="AD615" s="28">
        <v>1897104000</v>
      </c>
      <c r="AE615" s="28">
        <v>4000215000</v>
      </c>
      <c r="AF615" s="28">
        <v>1214090000</v>
      </c>
      <c r="AG615" s="11"/>
    </row>
    <row r="616">
      <c r="A616" s="7" t="s">
        <v>2353</v>
      </c>
      <c r="B616" s="5" t="s">
        <v>10329</v>
      </c>
      <c r="C616" s="5" t="s">
        <v>18220</v>
      </c>
      <c r="D616" s="5" t="str">
        <v>201000160146</v>
      </c>
      <c r="E616" s="0" t="e">
        <f>+7 (871) 2291516
+7 (928) 227268
+7 (928) 704773</f>
        <v>#NAME?</v>
      </c>
      <c r="F616" s="5" t="s">
        <v>27184</v>
      </c>
      <c r="G616" s="5"/>
      <c r="H616" s="26">
        <v>20.5</v>
      </c>
      <c r="I616" s="5" t="s">
        <v>27185</v>
      </c>
      <c r="J616" s="5" t="s">
        <v>364</v>
      </c>
      <c r="K616" s="5" t="s">
        <v>344</v>
      </c>
      <c r="L616" s="5" t="s">
        <v>27186</v>
      </c>
      <c r="M616" s="27"/>
      <c r="N616" s="5" t="s">
        <v>50058</v>
      </c>
      <c r="O616" s="5" t="str">
        <v>2014024284</v>
      </c>
      <c r="P616" s="27">
        <v>45000</v>
      </c>
      <c r="Q616" s="5" t="s">
        <v>50059</v>
      </c>
      <c r="R616" s="5"/>
      <c r="S616" s="5" t="s">
        <v>50060</v>
      </c>
      <c r="T616" s="28">
        <v>9514000</v>
      </c>
      <c r="U616" s="28"/>
      <c r="V616" s="28"/>
      <c r="W616" s="28"/>
      <c r="X616" s="28">
        <v>49130000</v>
      </c>
      <c r="Y616" s="28">
        <v>80494000</v>
      </c>
      <c r="Z616" s="28">
        <v>7030000</v>
      </c>
      <c r="AA616" s="28"/>
      <c r="AB616" s="28"/>
      <c r="AC616" s="28">
        <v>73419000</v>
      </c>
      <c r="AD616" s="28">
        <v>7075000</v>
      </c>
      <c r="AE616" s="28">
        <v>3261899000</v>
      </c>
      <c r="AF616" s="28">
        <v>1193000</v>
      </c>
      <c r="AG616" s="11"/>
    </row>
    <row r="617">
      <c r="A617" s="7" t="s">
        <v>2354</v>
      </c>
      <c r="B617" s="5" t="s">
        <v>10330</v>
      </c>
      <c r="C617" s="5" t="s">
        <v>18221</v>
      </c>
      <c r="D617" s="5" t="str">
        <v>280100104391</v>
      </c>
      <c r="E617" s="0" t="e">
        <f>+7 (416) 2230296
+7 (416) 2337347
+7 (416) 2352537
+7 (416) 2390357
+7 (416) 2514706
+7 (416) 2990356
+7 (416) 2990363
+7 (41641) 20013
+7 (41641) 27488</f>
        <v>#NAME?</v>
      </c>
      <c r="F617" s="5" t="s">
        <v>27187</v>
      </c>
      <c r="G617" s="5" t="s">
        <v>27188</v>
      </c>
      <c r="H617" s="26">
        <v>19</v>
      </c>
      <c r="I617" s="5" t="s">
        <v>27189</v>
      </c>
      <c r="J617" s="5" t="s">
        <v>25738</v>
      </c>
      <c r="K617" s="5" t="s">
        <v>344</v>
      </c>
      <c r="L617" s="5" t="s">
        <v>27190</v>
      </c>
      <c r="M617" s="27"/>
      <c r="N617" s="5"/>
      <c r="O617" s="5" t="str">
        <v>2801094519</v>
      </c>
      <c r="P617" s="27">
        <v>20000000</v>
      </c>
      <c r="Q617" s="5"/>
      <c r="R617" s="5"/>
      <c r="S617" s="5" t="s">
        <v>49029</v>
      </c>
      <c r="T617" s="28">
        <v>350364000</v>
      </c>
      <c r="U617" s="28"/>
      <c r="V617" s="28">
        <v>6101000</v>
      </c>
      <c r="W617" s="28">
        <v>267963000</v>
      </c>
      <c r="X617" s="28">
        <v>79148000</v>
      </c>
      <c r="Y617" s="28">
        <v>793026000</v>
      </c>
      <c r="Z617" s="28">
        <v>355926000</v>
      </c>
      <c r="AA617" s="28">
        <v>11635000</v>
      </c>
      <c r="AB617" s="28">
        <v>-54387000</v>
      </c>
      <c r="AC617" s="28">
        <v>405060000</v>
      </c>
      <c r="AD617" s="28">
        <v>375926000</v>
      </c>
      <c r="AE617" s="28">
        <v>4571882000</v>
      </c>
      <c r="AF617" s="28">
        <v>99862000</v>
      </c>
      <c r="AG617" s="11"/>
    </row>
    <row r="618">
      <c r="A618" s="7" t="s">
        <v>2355</v>
      </c>
      <c r="B618" s="5" t="s">
        <v>10331</v>
      </c>
      <c r="C618" s="5" t="s">
        <v>18222</v>
      </c>
      <c r="D618" s="5" t="str">
        <v>780607493300</v>
      </c>
      <c r="E618" s="0" t="e">
        <f>+7 (495) 6486900
+7 (812) 3269161
+7 (812) 3343520
+7 (812) 6021984
+7 (921) 9369588</f>
        <v>#NAME?</v>
      </c>
      <c r="F618" s="5" t="s">
        <v>27191</v>
      </c>
      <c r="G618" s="5" t="s">
        <v>27192</v>
      </c>
      <c r="H618" s="26">
        <v>8</v>
      </c>
      <c r="I618" s="5" t="s">
        <v>27193</v>
      </c>
      <c r="J618" s="5" t="s">
        <v>27194</v>
      </c>
      <c r="K618" s="5" t="s">
        <v>344</v>
      </c>
      <c r="L618" s="5" t="s">
        <v>27195</v>
      </c>
      <c r="M618" s="27"/>
      <c r="N618" s="5"/>
      <c r="O618" s="5" t="str">
        <v>4705066128</v>
      </c>
      <c r="P618" s="27">
        <v>10000</v>
      </c>
      <c r="Q618" s="5" t="s">
        <v>49009</v>
      </c>
      <c r="R618" s="5"/>
      <c r="S618" s="5" t="s">
        <v>49066</v>
      </c>
      <c r="T618" s="28">
        <v>5851481000</v>
      </c>
      <c r="U618" s="28"/>
      <c r="V618" s="28">
        <v>1960920000</v>
      </c>
      <c r="W618" s="28"/>
      <c r="X618" s="28">
        <v>176446000</v>
      </c>
      <c r="Y618" s="28">
        <v>9216497000</v>
      </c>
      <c r="Z618" s="28">
        <v>585698000</v>
      </c>
      <c r="AA618" s="28">
        <v>2313621000</v>
      </c>
      <c r="AB618" s="28">
        <v>1627609000</v>
      </c>
      <c r="AC618" s="28">
        <v>3404375000</v>
      </c>
      <c r="AD618" s="28">
        <v>3506348000</v>
      </c>
      <c r="AE618" s="28">
        <v>10087125000</v>
      </c>
      <c r="AF618" s="28">
        <v>1165631000</v>
      </c>
      <c r="AG618" s="11"/>
    </row>
    <row r="619">
      <c r="A619" s="7" t="s">
        <v>2356</v>
      </c>
      <c r="B619" s="5" t="s">
        <v>10332</v>
      </c>
      <c r="C619" s="5" t="s">
        <v>18223</v>
      </c>
      <c r="D619" s="5" t="str">
        <v>246301537295</v>
      </c>
      <c r="E619" s="0" t="e">
        <f>+7 (391) 2345344</f>
        <v>#NAME?</v>
      </c>
      <c r="F619" s="5"/>
      <c r="G619" s="5"/>
      <c r="H619" s="26">
        <v>17.5</v>
      </c>
      <c r="I619" s="5" t="s">
        <v>27196</v>
      </c>
      <c r="J619" s="5" t="s">
        <v>26499</v>
      </c>
      <c r="K619" s="5" t="s">
        <v>355</v>
      </c>
      <c r="L619" s="5" t="s">
        <v>27197</v>
      </c>
      <c r="M619" s="27"/>
      <c r="N619" s="5" t="s">
        <v>50061</v>
      </c>
      <c r="O619" s="5" t="str">
        <v>2464076765</v>
      </c>
      <c r="P619" s="27">
        <v>400000</v>
      </c>
      <c r="Q619" s="5" t="s">
        <v>49009</v>
      </c>
      <c r="R619" s="5"/>
      <c r="S619" s="5" t="s">
        <v>49045</v>
      </c>
      <c r="T619" s="28">
        <v>385413000</v>
      </c>
      <c r="U619" s="28">
        <v>520000</v>
      </c>
      <c r="V619" s="28">
        <v>996262000</v>
      </c>
      <c r="W619" s="28">
        <v>512318000</v>
      </c>
      <c r="X619" s="28">
        <v>58000</v>
      </c>
      <c r="Y619" s="28">
        <v>2162882000</v>
      </c>
      <c r="Z619" s="28">
        <v>1269381000</v>
      </c>
      <c r="AA619" s="28"/>
      <c r="AB619" s="28">
        <v>602720000</v>
      </c>
      <c r="AC619" s="28">
        <v>893101000</v>
      </c>
      <c r="AD619" s="28">
        <v>1269781000</v>
      </c>
      <c r="AE619" s="28">
        <v>3170635000</v>
      </c>
      <c r="AF619" s="28">
        <v>56926000</v>
      </c>
      <c r="AG619" s="11"/>
    </row>
    <row r="620">
      <c r="A620" s="7" t="s">
        <v>2357</v>
      </c>
      <c r="B620" s="5" t="s">
        <v>10333</v>
      </c>
      <c r="C620" s="5" t="s">
        <v>18224</v>
      </c>
      <c r="D620" s="5" t="str">
        <v>772873216424</v>
      </c>
      <c r="E620" s="0" t="e">
        <f>+7 (395) 6153341
+7 (39561) 51119
+7 (39561) 51412
+7 (39561) 51445
+7 (495) 1331025</f>
        <v>#NAME?</v>
      </c>
      <c r="F620" s="5" t="s">
        <v>27198</v>
      </c>
      <c r="G620" s="5" t="s">
        <v>27199</v>
      </c>
      <c r="H620" s="26">
        <v>29</v>
      </c>
      <c r="I620" s="5"/>
      <c r="J620" s="5" t="s">
        <v>26499</v>
      </c>
      <c r="K620" s="5" t="s">
        <v>355</v>
      </c>
      <c r="L620" s="5" t="s">
        <v>27200</v>
      </c>
      <c r="M620" s="27"/>
      <c r="N620" s="5"/>
      <c r="O620" s="5" t="str">
        <v>3802007817</v>
      </c>
      <c r="P620" s="27">
        <v>15100000</v>
      </c>
      <c r="Q620" s="5" t="s">
        <v>49057</v>
      </c>
      <c r="R620" s="5"/>
      <c r="S620" s="5" t="s">
        <v>50063</v>
      </c>
      <c r="T620" s="28">
        <v>1560354000</v>
      </c>
      <c r="U620" s="28">
        <v>16149000</v>
      </c>
      <c r="V620" s="28">
        <v>1013764000</v>
      </c>
      <c r="W620" s="28"/>
      <c r="X620" s="28">
        <v>27978000</v>
      </c>
      <c r="Y620" s="28">
        <v>8668756000</v>
      </c>
      <c r="Z620" s="28">
        <v>7406731000</v>
      </c>
      <c r="AA620" s="28"/>
      <c r="AB620" s="28">
        <v>148728000</v>
      </c>
      <c r="AC620" s="28">
        <v>410115000</v>
      </c>
      <c r="AD620" s="28">
        <v>7422586000</v>
      </c>
      <c r="AE620" s="28">
        <v>9852023000</v>
      </c>
      <c r="AF620" s="28">
        <v>304201000</v>
      </c>
      <c r="AG620" s="11"/>
    </row>
    <row r="621">
      <c r="A621" s="7" t="s">
        <v>2358</v>
      </c>
      <c r="B621" s="5" t="s">
        <v>10334</v>
      </c>
      <c r="C621" s="5" t="s">
        <v>18225</v>
      </c>
      <c r="D621" s="5" t="str">
        <v>031300329220</v>
      </c>
      <c r="E621" s="0" t="e">
        <f>+7 (924) 6572857
+7 (924) 7557000
+7 (30132) 54235
+7 (30132) 54399
+7 (30132) 54667
+7 (30132) 54678
+7 (30132) 54787</f>
        <v>#NAME?</v>
      </c>
      <c r="F621" s="5" t="s">
        <v>27201</v>
      </c>
      <c r="G621" s="5"/>
      <c r="H621" s="26">
        <v>26.5</v>
      </c>
      <c r="I621" s="5" t="s">
        <v>27202</v>
      </c>
      <c r="J621" s="5" t="s">
        <v>26499</v>
      </c>
      <c r="K621" s="5" t="s">
        <v>344</v>
      </c>
      <c r="L621" s="5" t="s">
        <v>27203</v>
      </c>
      <c r="M621" s="27"/>
      <c r="N621" s="5" t="s">
        <v>50064</v>
      </c>
      <c r="O621" s="5" t="str">
        <v>0313003232</v>
      </c>
      <c r="P621" s="27">
        <v>61872000</v>
      </c>
      <c r="Q621" s="5" t="s">
        <v>49207</v>
      </c>
      <c r="R621" s="5"/>
      <c r="S621" s="5" t="s">
        <v>50065</v>
      </c>
      <c r="T621" s="28">
        <v>1133275000</v>
      </c>
      <c r="U621" s="28">
        <v>2569274000</v>
      </c>
      <c r="V621" s="28">
        <v>3791908000</v>
      </c>
      <c r="W621" s="28"/>
      <c r="X621" s="28">
        <v>85358000</v>
      </c>
      <c r="Y621" s="28">
        <v>10051986000</v>
      </c>
      <c r="Z621" s="28">
        <v>8707869000</v>
      </c>
      <c r="AA621" s="28"/>
      <c r="AB621" s="28"/>
      <c r="AC621" s="28">
        <v>997674000</v>
      </c>
      <c r="AD621" s="28">
        <v>8800677000</v>
      </c>
      <c r="AE621" s="28">
        <v>5370727000</v>
      </c>
      <c r="AF621" s="28">
        <v>1511151000</v>
      </c>
      <c r="AG621" s="11"/>
    </row>
    <row r="622">
      <c r="A622" s="7" t="s">
        <v>2359</v>
      </c>
      <c r="B622" s="5" t="s">
        <v>10335</v>
      </c>
      <c r="C622" s="5" t="s">
        <v>18226</v>
      </c>
      <c r="D622" s="5" t="str">
        <v>781416252056</v>
      </c>
      <c r="E622" s="0" t="e">
        <f>+7 (495) 6041244
+7 (495) 6450497
+7 (812) 6551244
+7 (905) 7384978</f>
        <v>#NAME?</v>
      </c>
      <c r="F622" s="5" t="s">
        <v>27204</v>
      </c>
      <c r="G622" s="5" t="s">
        <v>27205</v>
      </c>
      <c r="H622" s="26">
        <v>11</v>
      </c>
      <c r="I622" s="5" t="s">
        <v>27206</v>
      </c>
      <c r="J622" s="5" t="s">
        <v>27207</v>
      </c>
      <c r="K622" s="5" t="s">
        <v>355</v>
      </c>
      <c r="L622" s="5" t="s">
        <v>27208</v>
      </c>
      <c r="M622" s="27"/>
      <c r="N622" s="5" t="s">
        <v>50066</v>
      </c>
      <c r="O622" s="5" t="str">
        <v>7723828649</v>
      </c>
      <c r="P622" s="27">
        <v>10000</v>
      </c>
      <c r="Q622" s="5" t="s">
        <v>50067</v>
      </c>
      <c r="R622" s="5"/>
      <c r="S622" s="5" t="s">
        <v>50068</v>
      </c>
      <c r="T622" s="28">
        <v>2121000</v>
      </c>
      <c r="U622" s="28"/>
      <c r="V622" s="28">
        <v>1228572000</v>
      </c>
      <c r="W622" s="28"/>
      <c r="X622" s="28">
        <v>2415092000</v>
      </c>
      <c r="Y622" s="28">
        <v>3652527000</v>
      </c>
      <c r="Z622" s="28">
        <v>109143000</v>
      </c>
      <c r="AA622" s="28"/>
      <c r="AB622" s="28"/>
      <c r="AC622" s="28">
        <v>3542980000</v>
      </c>
      <c r="AD622" s="28">
        <v>109153000</v>
      </c>
      <c r="AE622" s="28">
        <v>6370497000</v>
      </c>
      <c r="AF622" s="28">
        <v>248820000</v>
      </c>
      <c r="AG622" s="11"/>
    </row>
    <row r="623">
      <c r="A623" s="7" t="s">
        <v>2360</v>
      </c>
      <c r="B623" s="5" t="s">
        <v>10336</v>
      </c>
      <c r="C623" s="5" t="s">
        <v>18227</v>
      </c>
      <c r="D623" s="5" t="str">
        <v>781129299928</v>
      </c>
      <c r="E623" s="0" t="e">
        <f>+7 (812) 4497259
+7 (812) 3243145
+7 (812) 3466009
+7 (812) 6607253</f>
        <v>#NAME?</v>
      </c>
      <c r="F623" s="5" t="s">
        <v>27209</v>
      </c>
      <c r="G623" s="5" t="s">
        <v>27210</v>
      </c>
      <c r="H623" s="26">
        <v>27.5</v>
      </c>
      <c r="I623" s="5"/>
      <c r="J623" s="5" t="s">
        <v>678</v>
      </c>
      <c r="K623" s="5" t="s">
        <v>344</v>
      </c>
      <c r="L623" s="5" t="s">
        <v>27211</v>
      </c>
      <c r="M623" s="27">
        <v>1914246</v>
      </c>
      <c r="N623" s="5" t="s">
        <v>50069</v>
      </c>
      <c r="O623" s="5" t="str">
        <v>7804054351</v>
      </c>
      <c r="P623" s="27">
        <v>55000</v>
      </c>
      <c r="Q623" s="5" t="s">
        <v>50070</v>
      </c>
      <c r="R623" s="5"/>
      <c r="S623" s="5" t="s">
        <v>50071</v>
      </c>
      <c r="T623" s="28">
        <v>36315000</v>
      </c>
      <c r="U623" s="28"/>
      <c r="V623" s="28">
        <v>555815000</v>
      </c>
      <c r="W623" s="28">
        <v>14905000</v>
      </c>
      <c r="X623" s="28">
        <v>12554000</v>
      </c>
      <c r="Y623" s="28">
        <v>1372200000</v>
      </c>
      <c r="Z623" s="28">
        <v>405301000</v>
      </c>
      <c r="AA623" s="28">
        <v>471999000</v>
      </c>
      <c r="AB623" s="28"/>
      <c r="AC623" s="28">
        <v>451074000</v>
      </c>
      <c r="AD623" s="28">
        <v>405356000</v>
      </c>
      <c r="AE623" s="28">
        <v>3649233000</v>
      </c>
      <c r="AF623" s="28">
        <v>11247000</v>
      </c>
      <c r="AG623" s="11"/>
    </row>
    <row r="624">
      <c r="A624" s="7" t="s">
        <v>2361</v>
      </c>
      <c r="B624" s="5" t="s">
        <v>10337</v>
      </c>
      <c r="C624" s="5" t="s">
        <v>18228</v>
      </c>
      <c r="D624" s="5" t="str">
        <v>772337180703</v>
      </c>
      <c r="E624" s="0" t="e">
        <f>+7 (800) 7700900
+7 (495) 2253030
+7 (495) 4338569
+7 (495) 6700178
+7 (495) 6703635
+7 (495) 7751929
+7 (495) 9374377
+7 (495) 9585628
+7 (499) 5509543
+7 (499) 9439575
+7 (499) 9439860
+7 (800) 7700929</f>
        <v>#NAME?</v>
      </c>
      <c r="F624" s="5" t="s">
        <v>27212</v>
      </c>
      <c r="G624" s="5" t="s">
        <v>27213</v>
      </c>
      <c r="H624" s="26">
        <v>21.5</v>
      </c>
      <c r="I624" s="5"/>
      <c r="J624" s="5" t="s">
        <v>25216</v>
      </c>
      <c r="K624" s="5" t="s">
        <v>344</v>
      </c>
      <c r="L624" s="5" t="s">
        <v>27214</v>
      </c>
      <c r="M624" s="27">
        <v>501694979</v>
      </c>
      <c r="N624" s="5" t="s">
        <v>50072</v>
      </c>
      <c r="O624" s="5" t="str">
        <v>5037050871</v>
      </c>
      <c r="P624" s="27">
        <v>200000000</v>
      </c>
      <c r="Q624" s="5" t="s">
        <v>49009</v>
      </c>
      <c r="R624" s="5"/>
      <c r="S624" s="5" t="s">
        <v>49200</v>
      </c>
      <c r="T624" s="28">
        <v>584353000</v>
      </c>
      <c r="U624" s="28">
        <v>2024000</v>
      </c>
      <c r="V624" s="28">
        <v>1254118000</v>
      </c>
      <c r="W624" s="28"/>
      <c r="X624" s="28">
        <v>130954000</v>
      </c>
      <c r="Y624" s="28">
        <v>2692987000</v>
      </c>
      <c r="Z624" s="28">
        <v>985126000</v>
      </c>
      <c r="AA624" s="28">
        <v>593500000</v>
      </c>
      <c r="AB624" s="28">
        <v>500000</v>
      </c>
      <c r="AC624" s="28">
        <v>810588000</v>
      </c>
      <c r="AD624" s="28">
        <v>1224726000</v>
      </c>
      <c r="AE624" s="28">
        <v>9589855000</v>
      </c>
      <c r="AF624" s="28">
        <v>293551000</v>
      </c>
      <c r="AG624" s="11"/>
    </row>
    <row r="625">
      <c r="A625" s="7" t="s">
        <v>2362</v>
      </c>
      <c r="B625" s="5" t="s">
        <v>10338</v>
      </c>
      <c r="C625" s="5" t="s">
        <v>18229</v>
      </c>
      <c r="D625" s="5" t="str">
        <v>773717444915</v>
      </c>
      <c r="E625" s="0" t="e">
        <f>+7 (985) 9997261</f>
        <v>#NAME?</v>
      </c>
      <c r="F625" s="5" t="s">
        <v>27215</v>
      </c>
      <c r="G625" s="5" t="s">
        <v>27216</v>
      </c>
      <c r="H625" s="26">
        <v>11.5</v>
      </c>
      <c r="I625" s="5" t="s">
        <v>27217</v>
      </c>
      <c r="J625" s="5" t="s">
        <v>947</v>
      </c>
      <c r="K625" s="5" t="s">
        <v>344</v>
      </c>
      <c r="L625" s="5" t="s">
        <v>27218</v>
      </c>
      <c r="M625" s="27">
        <v>31504916</v>
      </c>
      <c r="N625" s="5" t="s">
        <v>50074</v>
      </c>
      <c r="O625" s="5" t="str">
        <v>7724791180</v>
      </c>
      <c r="P625" s="27">
        <v>100000</v>
      </c>
      <c r="Q625" s="5" t="s">
        <v>50075</v>
      </c>
      <c r="R625" s="5"/>
      <c r="S625" s="5" t="s">
        <v>50076</v>
      </c>
      <c r="T625" s="28">
        <v>25492000</v>
      </c>
      <c r="U625" s="28"/>
      <c r="V625" s="28">
        <v>3150454000</v>
      </c>
      <c r="W625" s="28">
        <v>13262000</v>
      </c>
      <c r="X625" s="28">
        <v>261669000</v>
      </c>
      <c r="Y625" s="28">
        <v>4029984000</v>
      </c>
      <c r="Z625" s="28">
        <v>279206000</v>
      </c>
      <c r="AA625" s="28"/>
      <c r="AB625" s="28"/>
      <c r="AC625" s="28">
        <v>3725135000</v>
      </c>
      <c r="AD625" s="28">
        <v>279313000</v>
      </c>
      <c r="AE625" s="28">
        <v>3006118000</v>
      </c>
      <c r="AF625" s="28">
        <v>59985000</v>
      </c>
      <c r="AG625" s="11"/>
    </row>
    <row r="626">
      <c r="A626" s="7" t="s">
        <v>2363</v>
      </c>
      <c r="B626" s="5" t="s">
        <v>10339</v>
      </c>
      <c r="C626" s="5" t="s">
        <v>18230</v>
      </c>
      <c r="D626" s="5" t="str">
        <v>290302181557</v>
      </c>
      <c r="E626" s="0" t="e">
        <f>+7 (81852) 42314
+7 (81852) 42770
+7 (81852) 43195
+7 (81852) 43264
+7 (81852) 44630
+7 (81852) 44758
+7 (81852) 45341
+7 (81852) 51200
+7 (81852) 51202
+7 (81852) 51211
+7 (81852) 51218
+7 (81852) 51222
+7 (81852) 51227</f>
        <v>#NAME?</v>
      </c>
      <c r="F626" s="5" t="s">
        <v>27219</v>
      </c>
      <c r="G626" s="5" t="s">
        <v>27220</v>
      </c>
      <c r="H626" s="26">
        <v>29.5</v>
      </c>
      <c r="I626" s="5"/>
      <c r="J626" s="5" t="s">
        <v>27221</v>
      </c>
      <c r="K626" s="5" t="s">
        <v>344</v>
      </c>
      <c r="L626" s="5" t="s">
        <v>27222</v>
      </c>
      <c r="M626" s="27"/>
      <c r="N626" s="5" t="s">
        <v>50077</v>
      </c>
      <c r="O626" s="5" t="str">
        <v>2903004722</v>
      </c>
      <c r="P626" s="27">
        <v>1146000</v>
      </c>
      <c r="Q626" s="5" t="s">
        <v>49434</v>
      </c>
      <c r="R626" s="5"/>
      <c r="S626" s="5" t="s">
        <v>50078</v>
      </c>
      <c r="T626" s="28">
        <v>2069591000</v>
      </c>
      <c r="U626" s="28"/>
      <c r="V626" s="28">
        <v>278847000</v>
      </c>
      <c r="W626" s="28">
        <v>46950000</v>
      </c>
      <c r="X626" s="28">
        <v>934690000</v>
      </c>
      <c r="Y626" s="28">
        <v>4408415000</v>
      </c>
      <c r="Z626" s="28">
        <v>3316497000</v>
      </c>
      <c r="AA626" s="28">
        <v>588632000</v>
      </c>
      <c r="AB626" s="28"/>
      <c r="AC626" s="28">
        <v>213814000</v>
      </c>
      <c r="AD626" s="28">
        <v>3370220000</v>
      </c>
      <c r="AE626" s="28">
        <v>3560027000</v>
      </c>
      <c r="AF626" s="28">
        <v>53498000</v>
      </c>
      <c r="AG626" s="11"/>
    </row>
    <row r="627">
      <c r="A627" s="7" t="s">
        <v>2364</v>
      </c>
      <c r="B627" s="5" t="s">
        <v>10340</v>
      </c>
      <c r="C627" s="5" t="s">
        <v>18231</v>
      </c>
      <c r="D627" s="5" t="str">
        <v>292600540396</v>
      </c>
      <c r="E627" s="0" t="e">
        <f>+7 (81852) 42387
+7 (81852) 63012
+7 (81852) 63019
+7 (81852) 63042
+7 (81852) 63080
+7 (81852) 63090
+7 (81852) 63115
+7 (81852) 63119
+7 (81852) 63139
+7 (81852) 63175
+7 (81852) 63192
+7 (81852) 63196
+7 (81852) 63198
+7 (81852) 63202
+7 (81852) 63231</f>
        <v>#NAME?</v>
      </c>
      <c r="F627" s="5" t="s">
        <v>27223</v>
      </c>
      <c r="G627" s="5" t="s">
        <v>27224</v>
      </c>
      <c r="H627" s="26">
        <v>30</v>
      </c>
      <c r="I627" s="5" t="s">
        <v>27225</v>
      </c>
      <c r="J627" s="5" t="s">
        <v>27226</v>
      </c>
      <c r="K627" s="5" t="s">
        <v>344</v>
      </c>
      <c r="L627" s="5" t="s">
        <v>27227</v>
      </c>
      <c r="M627" s="27">
        <v>1041167</v>
      </c>
      <c r="N627" s="5" t="s">
        <v>50079</v>
      </c>
      <c r="O627" s="5" t="str">
        <v>2903000446</v>
      </c>
      <c r="P627" s="27">
        <v>32000000</v>
      </c>
      <c r="Q627" s="5" t="s">
        <v>50080</v>
      </c>
      <c r="R627" s="5"/>
      <c r="S627" s="5" t="s">
        <v>50081</v>
      </c>
      <c r="T627" s="28">
        <v>29512606000</v>
      </c>
      <c r="U627" s="28">
        <v>12781592000</v>
      </c>
      <c r="V627" s="28">
        <v>18755747000</v>
      </c>
      <c r="W627" s="28">
        <v>31040000</v>
      </c>
      <c r="X627" s="28">
        <v>976617000</v>
      </c>
      <c r="Y627" s="28">
        <v>68975947000</v>
      </c>
      <c r="Z627" s="28">
        <v>52381886000</v>
      </c>
      <c r="AA627" s="28">
        <v>4259195000</v>
      </c>
      <c r="AB627" s="28">
        <v>5060577000</v>
      </c>
      <c r="AC627" s="28">
        <v>8548622000</v>
      </c>
      <c r="AD627" s="28">
        <v>53743331000</v>
      </c>
      <c r="AE627" s="28">
        <v>44625590000</v>
      </c>
      <c r="AF627" s="28">
        <v>9378508000</v>
      </c>
      <c r="AG627" s="11"/>
    </row>
    <row r="628">
      <c r="A628" s="7" t="s">
        <v>2365</v>
      </c>
      <c r="B628" s="5" t="s">
        <v>10341</v>
      </c>
      <c r="C628" s="5" t="s">
        <v>18232</v>
      </c>
      <c r="D628" s="5" t="str">
        <v>290100005911</v>
      </c>
      <c r="E628" s="0" t="e">
        <f>+7 (48439) 57266
+7 (495) 1222430
+7 (495) 5807909</f>
        <v>#NAME?</v>
      </c>
      <c r="F628" s="5"/>
      <c r="G628" s="5" t="s">
        <v>27228</v>
      </c>
      <c r="H628" s="26">
        <v>10</v>
      </c>
      <c r="I628" s="5" t="s">
        <v>27229</v>
      </c>
      <c r="J628" s="5" t="s">
        <v>26536</v>
      </c>
      <c r="K628" s="5" t="s">
        <v>344</v>
      </c>
      <c r="L628" s="5"/>
      <c r="M628" s="27">
        <v>5145000</v>
      </c>
      <c r="N628" s="5"/>
      <c r="O628" s="5" t="str">
        <v>4003033530</v>
      </c>
      <c r="P628" s="27">
        <v>7265696086</v>
      </c>
      <c r="Q628" s="5"/>
      <c r="R628" s="5"/>
      <c r="S628" s="5" t="s">
        <v>49029</v>
      </c>
      <c r="T628" s="28">
        <v>14974899000</v>
      </c>
      <c r="U628" s="28">
        <v>3259000</v>
      </c>
      <c r="V628" s="28">
        <v>1386786000</v>
      </c>
      <c r="W628" s="28"/>
      <c r="X628" s="28">
        <v>2097744000</v>
      </c>
      <c r="Y628" s="28">
        <v>20623850000</v>
      </c>
      <c r="Z628" s="28">
        <v>-422854000</v>
      </c>
      <c r="AA628" s="28">
        <v>7809863000</v>
      </c>
      <c r="AB628" s="28">
        <v>1626517000</v>
      </c>
      <c r="AC628" s="28">
        <v>4185756000</v>
      </c>
      <c r="AD628" s="28">
        <v>7404548000</v>
      </c>
      <c r="AE628" s="28">
        <v>9139832000</v>
      </c>
      <c r="AF628" s="28">
        <v>1209390000</v>
      </c>
      <c r="AG628" s="11"/>
    </row>
    <row r="629">
      <c r="A629" s="7" t="s">
        <v>2366</v>
      </c>
      <c r="B629" s="5" t="s">
        <v>10340</v>
      </c>
      <c r="C629" s="5" t="s">
        <v>18233</v>
      </c>
      <c r="D629" s="5" t="str">
        <v>366201827133</v>
      </c>
      <c r="E629" s="0" t="e">
        <f>+7 (910) 3481029
+7 (495) 5000995
+7 (495) 5807909
+7 (499) 4005014
+7 (818) 5263152
+7 (81852) 43442
+7 (81852) 43617
+7 (81852) 46527
+7 (81852) 63168
+7 (81852) 63239
+7 (81852) 63365</f>
        <v>#NAME?</v>
      </c>
      <c r="F629" s="5" t="s">
        <v>27230</v>
      </c>
      <c r="G629" s="5" t="s">
        <v>27231</v>
      </c>
      <c r="H629" s="26">
        <v>28</v>
      </c>
      <c r="I629" s="5"/>
      <c r="J629" s="5" t="s">
        <v>27070</v>
      </c>
      <c r="K629" s="5" t="s">
        <v>355</v>
      </c>
      <c r="L629" s="5"/>
      <c r="M629" s="27">
        <v>99063</v>
      </c>
      <c r="N629" s="5"/>
      <c r="O629" s="5" t="str">
        <v>2903003430</v>
      </c>
      <c r="P629" s="27">
        <v>995000</v>
      </c>
      <c r="Q629" s="5"/>
      <c r="R629" s="5" t="s">
        <v>50082</v>
      </c>
      <c r="S629" s="5" t="s">
        <v>49499</v>
      </c>
      <c r="T629" s="28">
        <v>12207944000</v>
      </c>
      <c r="U629" s="28">
        <v>39421000</v>
      </c>
      <c r="V629" s="28">
        <v>2725382000</v>
      </c>
      <c r="W629" s="28">
        <v>100000</v>
      </c>
      <c r="X629" s="28">
        <v>676987000</v>
      </c>
      <c r="Y629" s="28">
        <v>17789455000</v>
      </c>
      <c r="Z629" s="28">
        <v>2894318000</v>
      </c>
      <c r="AA629" s="28">
        <v>1780087000</v>
      </c>
      <c r="AB629" s="28">
        <v>3065499000</v>
      </c>
      <c r="AC629" s="28">
        <v>9016422000</v>
      </c>
      <c r="AD629" s="28">
        <v>6071517000</v>
      </c>
      <c r="AE629" s="28">
        <v>19639885000</v>
      </c>
      <c r="AF629" s="28">
        <v>994986000</v>
      </c>
      <c r="AG629" s="11"/>
    </row>
    <row r="630">
      <c r="A630" s="7" t="s">
        <v>2367</v>
      </c>
      <c r="B630" s="5" t="s">
        <v>10342</v>
      </c>
      <c r="C630" s="5" t="s">
        <v>18234</v>
      </c>
      <c r="D630" s="5" t="str">
        <v>770301234239</v>
      </c>
      <c r="E630" s="0" t="e">
        <f>+7 (495) 3950103
+7 (495) 4156321
+7 (495) 9980103
+7 (495) 9990103
+7 (499) 9950103
+7 (928) 5415241
+7 (495) 2255419
+7 (495) 5628045
+7 (495) 9955010
+7 (499) 3175622
+7 (916) 1298300</f>
        <v>#NAME?</v>
      </c>
      <c r="F630" s="5" t="s">
        <v>27232</v>
      </c>
      <c r="G630" s="5"/>
      <c r="H630" s="26">
        <v>25</v>
      </c>
      <c r="I630" s="5" t="s">
        <v>27233</v>
      </c>
      <c r="J630" s="5" t="s">
        <v>25429</v>
      </c>
      <c r="K630" s="5" t="s">
        <v>344</v>
      </c>
      <c r="L630" s="5" t="s">
        <v>27234</v>
      </c>
      <c r="M630" s="27"/>
      <c r="N630" s="5" t="s">
        <v>50083</v>
      </c>
      <c r="O630" s="5" t="str">
        <v>5024033830</v>
      </c>
      <c r="P630" s="27">
        <v>1000000</v>
      </c>
      <c r="Q630" s="5" t="s">
        <v>50084</v>
      </c>
      <c r="R630" s="5"/>
      <c r="S630" s="5" t="s">
        <v>50085</v>
      </c>
      <c r="T630" s="28">
        <v>2554000</v>
      </c>
      <c r="U630" s="28"/>
      <c r="V630" s="28">
        <v>525645000</v>
      </c>
      <c r="W630" s="28">
        <v>5000000</v>
      </c>
      <c r="X630" s="28">
        <v>15139000</v>
      </c>
      <c r="Y630" s="28">
        <v>945498000</v>
      </c>
      <c r="Z630" s="28">
        <v>154893000</v>
      </c>
      <c r="AA630" s="28">
        <v>6000000</v>
      </c>
      <c r="AB630" s="28">
        <v>43362000</v>
      </c>
      <c r="AC630" s="28">
        <v>781608000</v>
      </c>
      <c r="AD630" s="28">
        <v>155893000</v>
      </c>
      <c r="AE630" s="28">
        <v>4008895000</v>
      </c>
      <c r="AF630" s="28">
        <v>44934000</v>
      </c>
      <c r="AG630" s="11"/>
    </row>
    <row r="631">
      <c r="A631" s="7" t="s">
        <v>2368</v>
      </c>
      <c r="B631" s="5" t="s">
        <v>10343</v>
      </c>
      <c r="C631" s="5" t="s">
        <v>18235</v>
      </c>
      <c r="D631" s="5" t="str">
        <v>166021441270</v>
      </c>
      <c r="E631" s="0" t="e">
        <f>+7 (843) 6635430
+7 (8435) 646472
+7 (927) 2465095</f>
        <v>#NAME?</v>
      </c>
      <c r="F631" s="5" t="s">
        <v>27235</v>
      </c>
      <c r="G631" s="5"/>
      <c r="H631" s="26">
        <v>9.5</v>
      </c>
      <c r="I631" s="5" t="s">
        <v>27236</v>
      </c>
      <c r="J631" s="5" t="s">
        <v>25231</v>
      </c>
      <c r="K631" s="5" t="s">
        <v>355</v>
      </c>
      <c r="L631" s="5" t="s">
        <v>27237</v>
      </c>
      <c r="M631" s="27">
        <v>2222757</v>
      </c>
      <c r="N631" s="5"/>
      <c r="O631" s="5" t="str">
        <v>1609013424</v>
      </c>
      <c r="P631" s="27">
        <v>15000</v>
      </c>
      <c r="Q631" s="5"/>
      <c r="R631" s="5"/>
      <c r="S631" s="5" t="s">
        <v>49425</v>
      </c>
      <c r="T631" s="28">
        <v>1151207000</v>
      </c>
      <c r="U631" s="28"/>
      <c r="V631" s="28">
        <v>478368000</v>
      </c>
      <c r="W631" s="28">
        <v>45000000</v>
      </c>
      <c r="X631" s="28">
        <v>29728000</v>
      </c>
      <c r="Y631" s="28">
        <v>2873712000</v>
      </c>
      <c r="Z631" s="28">
        <v>775162000</v>
      </c>
      <c r="AA631" s="28">
        <v>362926000</v>
      </c>
      <c r="AB631" s="28">
        <v>510689000</v>
      </c>
      <c r="AC631" s="28">
        <v>1676523000</v>
      </c>
      <c r="AD631" s="28">
        <v>775177000</v>
      </c>
      <c r="AE631" s="28">
        <v>7921396000</v>
      </c>
      <c r="AF631" s="28">
        <v>110270000</v>
      </c>
      <c r="AG631" s="11"/>
    </row>
    <row r="632">
      <c r="A632" s="7" t="s">
        <v>2369</v>
      </c>
      <c r="B632" s="5" t="s">
        <v>10344</v>
      </c>
      <c r="C632" s="5" t="s">
        <v>18077</v>
      </c>
      <c r="D632" s="5"/>
      <c r="E632" s="0" t="e">
        <f>+7 (3432) 158907
+7 (343) 3747020
+7 (3433) 750463
+7 (3433) 777222</f>
        <v>#NAME?</v>
      </c>
      <c r="F632" s="5" t="s">
        <v>26729</v>
      </c>
      <c r="G632" s="5" t="s">
        <v>27238</v>
      </c>
      <c r="H632" s="26">
        <v>25.5</v>
      </c>
      <c r="I632" s="5" t="s">
        <v>27239</v>
      </c>
      <c r="J632" s="5" t="s">
        <v>26165</v>
      </c>
      <c r="K632" s="5" t="s">
        <v>344</v>
      </c>
      <c r="L632" s="5" t="s">
        <v>27240</v>
      </c>
      <c r="M632" s="27"/>
      <c r="N632" s="5" t="s">
        <v>50086</v>
      </c>
      <c r="O632" s="5" t="str">
        <v>6630006059</v>
      </c>
      <c r="P632" s="27">
        <v>40000</v>
      </c>
      <c r="Q632" s="5" t="s">
        <v>49059</v>
      </c>
      <c r="R632" s="5"/>
      <c r="S632" s="5" t="s">
        <v>49047</v>
      </c>
      <c r="T632" s="28">
        <v>724981000</v>
      </c>
      <c r="U632" s="28">
        <v>520000000</v>
      </c>
      <c r="V632" s="28">
        <v>251125000</v>
      </c>
      <c r="W632" s="28"/>
      <c r="X632" s="28">
        <v>106735000</v>
      </c>
      <c r="Y632" s="28">
        <v>2610348000</v>
      </c>
      <c r="Z632" s="28">
        <v>233546000</v>
      </c>
      <c r="AA632" s="28"/>
      <c r="AB632" s="28"/>
      <c r="AC632" s="28">
        <v>1557974000</v>
      </c>
      <c r="AD632" s="28">
        <v>233586000</v>
      </c>
      <c r="AE632" s="28">
        <v>7853280000</v>
      </c>
      <c r="AF632" s="28">
        <v>358946000</v>
      </c>
      <c r="AG632" s="11"/>
    </row>
    <row r="633">
      <c r="A633" s="7" t="s">
        <v>2370</v>
      </c>
      <c r="B633" s="5" t="s">
        <v>10345</v>
      </c>
      <c r="C633" s="5" t="s">
        <v>18236</v>
      </c>
      <c r="D633" s="5" t="str">
        <v>744808112701</v>
      </c>
      <c r="E633" s="0" t="e">
        <f>+7 (495) 7750640
+7 (495) 7750641
+7 (812) 3138281
+7 (8432) 741166</f>
        <v>#NAME?</v>
      </c>
      <c r="F633" s="5" t="s">
        <v>27241</v>
      </c>
      <c r="G633" s="5" t="s">
        <v>27242</v>
      </c>
      <c r="H633" s="26">
        <v>22.5</v>
      </c>
      <c r="I633" s="5" t="s">
        <v>27243</v>
      </c>
      <c r="J633" s="5" t="s">
        <v>1026</v>
      </c>
      <c r="K633" s="5" t="s">
        <v>344</v>
      </c>
      <c r="L633" s="5" t="s">
        <v>27244</v>
      </c>
      <c r="M633" s="27"/>
      <c r="N633" s="5" t="s">
        <v>50087</v>
      </c>
      <c r="O633" s="5" t="str">
        <v>7717115978</v>
      </c>
      <c r="P633" s="27">
        <v>12699994</v>
      </c>
      <c r="Q633" s="5" t="s">
        <v>49009</v>
      </c>
      <c r="R633" s="5"/>
      <c r="S633" s="5" t="s">
        <v>50088</v>
      </c>
      <c r="T633" s="28">
        <v>22458000</v>
      </c>
      <c r="U633" s="28"/>
      <c r="V633" s="28">
        <v>1931797000</v>
      </c>
      <c r="W633" s="28"/>
      <c r="X633" s="28">
        <v>465992000</v>
      </c>
      <c r="Y633" s="28">
        <v>3654335000</v>
      </c>
      <c r="Z633" s="28">
        <v>1630323000</v>
      </c>
      <c r="AA633" s="28"/>
      <c r="AB633" s="28">
        <v>141850000</v>
      </c>
      <c r="AC633" s="28">
        <v>1989557000</v>
      </c>
      <c r="AD633" s="28">
        <v>1643023000</v>
      </c>
      <c r="AE633" s="28">
        <v>12655930000</v>
      </c>
      <c r="AF633" s="28">
        <v>1059559000</v>
      </c>
      <c r="AG633" s="11"/>
    </row>
    <row r="634">
      <c r="A634" s="7" t="s">
        <v>2371</v>
      </c>
      <c r="B634" s="5" t="s">
        <v>10346</v>
      </c>
      <c r="C634" s="5" t="s">
        <v>18237</v>
      </c>
      <c r="D634" s="5" t="str">
        <v>503207340027</v>
      </c>
      <c r="E634" s="0" t="e">
        <f>+7 (495) 2259646
+7 (495) 2355567</f>
        <v>#NAME?</v>
      </c>
      <c r="F634" s="5"/>
      <c r="G634" s="5" t="s">
        <v>27245</v>
      </c>
      <c r="H634" s="26">
        <v>15</v>
      </c>
      <c r="I634" s="5" t="s">
        <v>27246</v>
      </c>
      <c r="J634" s="5" t="s">
        <v>364</v>
      </c>
      <c r="K634" s="5" t="s">
        <v>344</v>
      </c>
      <c r="L634" s="5" t="s">
        <v>27247</v>
      </c>
      <c r="M634" s="27">
        <v>28675257</v>
      </c>
      <c r="N634" s="5" t="s">
        <v>50089</v>
      </c>
      <c r="O634" s="5" t="str">
        <v>5032182673</v>
      </c>
      <c r="P634" s="27">
        <v>10000</v>
      </c>
      <c r="Q634" s="5" t="s">
        <v>50090</v>
      </c>
      <c r="R634" s="5"/>
      <c r="S634" s="5" t="s">
        <v>50091</v>
      </c>
      <c r="T634" s="28">
        <v>2011000</v>
      </c>
      <c r="U634" s="28"/>
      <c r="V634" s="28">
        <v>3429262000</v>
      </c>
      <c r="W634" s="28"/>
      <c r="X634" s="28">
        <v>2124872000</v>
      </c>
      <c r="Y634" s="28">
        <v>7218384000</v>
      </c>
      <c r="Z634" s="28">
        <v>194618000</v>
      </c>
      <c r="AA634" s="28"/>
      <c r="AB634" s="28">
        <v>2928000</v>
      </c>
      <c r="AC634" s="28">
        <v>7023756000</v>
      </c>
      <c r="AD634" s="28">
        <v>194628000</v>
      </c>
      <c r="AE634" s="28">
        <v>7076233000</v>
      </c>
      <c r="AF634" s="28">
        <v>22182000</v>
      </c>
      <c r="AG634" s="11"/>
    </row>
    <row r="635">
      <c r="A635" s="7" t="s">
        <v>2372</v>
      </c>
      <c r="B635" s="5" t="s">
        <v>10347</v>
      </c>
      <c r="C635" s="5" t="s">
        <v>18238</v>
      </c>
      <c r="D635" s="5" t="str">
        <v>550614232200</v>
      </c>
      <c r="E635" s="0" t="e">
        <f>+7 (495) 1392191
+7 (381) 2927804
+7 (381) 2927828
+7 (381) 2927857
+7 (381) 2927873
+7 (381) 2927882
+7 (381) 2927885
+7 (381) 2927888
+7 (800) 2005585</f>
        <v>#NAME?</v>
      </c>
      <c r="F635" s="5" t="s">
        <v>27248</v>
      </c>
      <c r="G635" s="5" t="s">
        <v>27249</v>
      </c>
      <c r="H635" s="26">
        <v>14</v>
      </c>
      <c r="I635" s="5" t="s">
        <v>27250</v>
      </c>
      <c r="J635" s="5" t="s">
        <v>25332</v>
      </c>
      <c r="K635" s="5" t="s">
        <v>380</v>
      </c>
      <c r="L635" s="5"/>
      <c r="M635" s="27">
        <v>5060000</v>
      </c>
      <c r="N635" s="5"/>
      <c r="O635" s="5" t="str">
        <v>5506207263</v>
      </c>
      <c r="P635" s="27">
        <v>14500000</v>
      </c>
      <c r="Q635" s="5" t="s">
        <v>49579</v>
      </c>
      <c r="R635" s="5" t="s">
        <v>50092</v>
      </c>
      <c r="S635" s="5" t="s">
        <v>50093</v>
      </c>
      <c r="T635" s="28">
        <v>17984000</v>
      </c>
      <c r="U635" s="28">
        <v>2081635000</v>
      </c>
      <c r="V635" s="28">
        <v>9098923000</v>
      </c>
      <c r="W635" s="28"/>
      <c r="X635" s="28">
        <v>17278000</v>
      </c>
      <c r="Y635" s="28">
        <v>15314244000</v>
      </c>
      <c r="Z635" s="28">
        <v>-1372429000</v>
      </c>
      <c r="AA635" s="28">
        <v>52472000</v>
      </c>
      <c r="AB635" s="28"/>
      <c r="AC635" s="28">
        <v>13658825000</v>
      </c>
      <c r="AD635" s="28">
        <v>270947000</v>
      </c>
      <c r="AE635" s="28">
        <v>36166813000</v>
      </c>
      <c r="AF635" s="28">
        <v>-4404042000</v>
      </c>
      <c r="AG635" s="11"/>
    </row>
    <row r="636">
      <c r="A636" s="7" t="s">
        <v>2373</v>
      </c>
      <c r="B636" s="5" t="s">
        <v>10348</v>
      </c>
      <c r="C636" s="5" t="s">
        <v>18239</v>
      </c>
      <c r="D636" s="5" t="str">
        <v>770479660050</v>
      </c>
      <c r="E636" s="0" t="e">
        <f>+7 (495) 7393311
+7 (495) 5221632
+7 (495) 7414411
+7 (495) 9253311
+7 (495) 9415070</f>
        <v>#NAME?</v>
      </c>
      <c r="F636" s="5"/>
      <c r="G636" s="5" t="s">
        <v>27251</v>
      </c>
      <c r="H636" s="26">
        <v>18</v>
      </c>
      <c r="I636" s="5" t="s">
        <v>27252</v>
      </c>
      <c r="J636" s="5" t="s">
        <v>25216</v>
      </c>
      <c r="K636" s="5" t="s">
        <v>344</v>
      </c>
      <c r="L636" s="5" t="s">
        <v>27253</v>
      </c>
      <c r="M636" s="27"/>
      <c r="N636" s="5" t="s">
        <v>50094</v>
      </c>
      <c r="O636" s="5" t="str">
        <v>5012028560</v>
      </c>
      <c r="P636" s="27">
        <v>50000000</v>
      </c>
      <c r="Q636" s="5" t="s">
        <v>49009</v>
      </c>
      <c r="R636" s="5"/>
      <c r="S636" s="5" t="s">
        <v>49487</v>
      </c>
      <c r="T636" s="28">
        <v>201930000</v>
      </c>
      <c r="U636" s="28">
        <v>65000000</v>
      </c>
      <c r="V636" s="28">
        <v>725572000</v>
      </c>
      <c r="W636" s="28">
        <v>32754000</v>
      </c>
      <c r="X636" s="28">
        <v>66743000</v>
      </c>
      <c r="Y636" s="28">
        <v>1598785000</v>
      </c>
      <c r="Z636" s="28">
        <v>1376958000</v>
      </c>
      <c r="AA636" s="28"/>
      <c r="AB636" s="28"/>
      <c r="AC636" s="28">
        <v>152241000</v>
      </c>
      <c r="AD636" s="28">
        <v>1427065000</v>
      </c>
      <c r="AE636" s="28">
        <v>3924303000</v>
      </c>
      <c r="AF636" s="28">
        <v>24264000</v>
      </c>
      <c r="AG636" s="11"/>
    </row>
    <row r="637">
      <c r="A637" s="7" t="s">
        <v>2374</v>
      </c>
      <c r="B637" s="5" t="s">
        <v>10349</v>
      </c>
      <c r="C637" s="5" t="s">
        <v>18240</v>
      </c>
      <c r="D637" s="5" t="str">
        <v>246201455673</v>
      </c>
      <c r="E637" s="0" t="e">
        <f>+7 (391) 2119800
+7 (391) 2120018</f>
        <v>#NAME?</v>
      </c>
      <c r="F637" s="5"/>
      <c r="G637" s="5"/>
      <c r="H637" s="26">
        <v>12.5</v>
      </c>
      <c r="I637" s="5" t="s">
        <v>27254</v>
      </c>
      <c r="J637" s="5" t="s">
        <v>25344</v>
      </c>
      <c r="K637" s="5" t="s">
        <v>344</v>
      </c>
      <c r="L637" s="5" t="s">
        <v>27255</v>
      </c>
      <c r="M637" s="27"/>
      <c r="N637" s="5" t="s">
        <v>50095</v>
      </c>
      <c r="O637" s="5" t="str">
        <v>2466231871</v>
      </c>
      <c r="P637" s="27">
        <v>20000</v>
      </c>
      <c r="Q637" s="5"/>
      <c r="R637" s="5"/>
      <c r="S637" s="5" t="s">
        <v>50096</v>
      </c>
      <c r="T637" s="28">
        <v>133508000</v>
      </c>
      <c r="U637" s="28"/>
      <c r="V637" s="28">
        <v>977433000</v>
      </c>
      <c r="W637" s="28">
        <v>54200000</v>
      </c>
      <c r="X637" s="28">
        <v>1467000</v>
      </c>
      <c r="Y637" s="28">
        <v>1356202000</v>
      </c>
      <c r="Z637" s="28">
        <v>796826000</v>
      </c>
      <c r="AA637" s="28"/>
      <c r="AB637" s="28"/>
      <c r="AC637" s="28">
        <v>485418000</v>
      </c>
      <c r="AD637" s="28">
        <v>796836000</v>
      </c>
      <c r="AE637" s="28">
        <v>3082736000</v>
      </c>
      <c r="AF637" s="28">
        <v>1628000</v>
      </c>
      <c r="AG637" s="11"/>
    </row>
    <row r="638">
      <c r="A638" s="7" t="s">
        <v>2375</v>
      </c>
      <c r="B638" s="5" t="s">
        <v>10350</v>
      </c>
      <c r="C638" s="5" t="s">
        <v>18241</v>
      </c>
      <c r="D638" s="5" t="str">
        <v>503827994260</v>
      </c>
      <c r="E638" s="0" t="e">
        <f>+7 (8632) 662863
+7 (495) 5395363
+7 (812) 6557255
+7 (8432) 230061
+7 (8632) 61099
+7 (926) 2136072</f>
        <v>#NAME?</v>
      </c>
      <c r="F638" s="5" t="s">
        <v>27256</v>
      </c>
      <c r="G638" s="5" t="s">
        <v>27257</v>
      </c>
      <c r="H638" s="26">
        <v>18.5</v>
      </c>
      <c r="I638" s="5" t="s">
        <v>27258</v>
      </c>
      <c r="J638" s="5" t="s">
        <v>25864</v>
      </c>
      <c r="K638" s="5" t="s">
        <v>344</v>
      </c>
      <c r="L638" s="5" t="s">
        <v>27259</v>
      </c>
      <c r="M638" s="27"/>
      <c r="N638" s="5" t="s">
        <v>50097</v>
      </c>
      <c r="O638" s="5" t="str">
        <v>7723518245</v>
      </c>
      <c r="P638" s="27">
        <v>90060000</v>
      </c>
      <c r="Q638" s="5" t="s">
        <v>50098</v>
      </c>
      <c r="R638" s="5"/>
      <c r="S638" s="5" t="s">
        <v>50099</v>
      </c>
      <c r="T638" s="28">
        <v>121435000</v>
      </c>
      <c r="U638" s="28">
        <v>54318000</v>
      </c>
      <c r="V638" s="28">
        <v>353429000</v>
      </c>
      <c r="W638" s="28"/>
      <c r="X638" s="28">
        <v>7444000</v>
      </c>
      <c r="Y638" s="28">
        <v>1430528000</v>
      </c>
      <c r="Z638" s="28">
        <v>254454000</v>
      </c>
      <c r="AA638" s="28">
        <v>297804000</v>
      </c>
      <c r="AB638" s="28">
        <v>118013000</v>
      </c>
      <c r="AC638" s="28">
        <v>774014000</v>
      </c>
      <c r="AD638" s="28">
        <v>344514000</v>
      </c>
      <c r="AE638" s="28">
        <v>3791209000</v>
      </c>
      <c r="AF638" s="28">
        <v>53538000</v>
      </c>
      <c r="AG638" s="11"/>
    </row>
    <row r="639">
      <c r="A639" s="7" t="s">
        <v>2376</v>
      </c>
      <c r="B639" s="5" t="s">
        <v>10351</v>
      </c>
      <c r="C639" s="5" t="s">
        <v>18242</v>
      </c>
      <c r="D639" s="5" t="str">
        <v>350704651672</v>
      </c>
      <c r="E639" s="0" t="e">
        <f>+7 (817) 2421348
+7 (817) 2760136
+7 (817) 2760564</f>
        <v>#NAME?</v>
      </c>
      <c r="F639" s="5" t="s">
        <v>27260</v>
      </c>
      <c r="G639" s="5"/>
      <c r="H639" s="26">
        <v>23.5</v>
      </c>
      <c r="I639" s="5"/>
      <c r="J639" s="5" t="s">
        <v>25837</v>
      </c>
      <c r="K639" s="5" t="s">
        <v>344</v>
      </c>
      <c r="L639" s="5" t="s">
        <v>27261</v>
      </c>
      <c r="M639" s="27">
        <v>5822593</v>
      </c>
      <c r="N639" s="5" t="s">
        <v>50100</v>
      </c>
      <c r="O639" s="5" t="str">
        <v>3525097774</v>
      </c>
      <c r="P639" s="27">
        <v>6000000</v>
      </c>
      <c r="Q639" s="5" t="s">
        <v>50101</v>
      </c>
      <c r="R639" s="5"/>
      <c r="S639" s="5" t="s">
        <v>49399</v>
      </c>
      <c r="T639" s="28">
        <v>4773000</v>
      </c>
      <c r="U639" s="28">
        <v>470575000</v>
      </c>
      <c r="V639" s="28">
        <v>977645000</v>
      </c>
      <c r="W639" s="28">
        <v>478400000</v>
      </c>
      <c r="X639" s="28">
        <v>73561000</v>
      </c>
      <c r="Y639" s="28">
        <v>2396079000</v>
      </c>
      <c r="Z639" s="28">
        <v>1249630000</v>
      </c>
      <c r="AA639" s="28">
        <v>571575000</v>
      </c>
      <c r="AB639" s="28">
        <v>27910000</v>
      </c>
      <c r="AC639" s="28">
        <v>566078000</v>
      </c>
      <c r="AD639" s="28">
        <v>1255931000</v>
      </c>
      <c r="AE639" s="28">
        <v>4405739000</v>
      </c>
      <c r="AF639" s="28">
        <v>547552000</v>
      </c>
      <c r="AG639" s="11"/>
    </row>
    <row r="640">
      <c r="A640" s="7" t="s">
        <v>2377</v>
      </c>
      <c r="B640" s="5" t="s">
        <v>10352</v>
      </c>
      <c r="C640" s="5" t="s">
        <v>18243</v>
      </c>
      <c r="D640" s="5" t="str">
        <v>781432029351</v>
      </c>
      <c r="E640" s="0" t="e">
        <f>+7 (968) 7627016
+7 (985) 7746274</f>
        <v>#NAME?</v>
      </c>
      <c r="F640" s="5"/>
      <c r="G640" s="5"/>
      <c r="H640" s="26">
        <v>9.5</v>
      </c>
      <c r="I640" s="5" t="s">
        <v>27262</v>
      </c>
      <c r="J640" s="5" t="s">
        <v>25603</v>
      </c>
      <c r="K640" s="5" t="s">
        <v>344</v>
      </c>
      <c r="L640" s="5" t="s">
        <v>27263</v>
      </c>
      <c r="M640" s="27"/>
      <c r="N640" s="5"/>
      <c r="O640" s="5" t="str">
        <v>7729747812</v>
      </c>
      <c r="P640" s="27">
        <v>100000000</v>
      </c>
      <c r="Q640" s="5" t="s">
        <v>49021</v>
      </c>
      <c r="R640" s="5"/>
      <c r="S640" s="5" t="s">
        <v>50102</v>
      </c>
      <c r="T640" s="28">
        <v>3559000</v>
      </c>
      <c r="U640" s="28"/>
      <c r="V640" s="28">
        <v>1715467000</v>
      </c>
      <c r="W640" s="28"/>
      <c r="X640" s="28">
        <v>2954354000</v>
      </c>
      <c r="Y640" s="28">
        <v>85967138000</v>
      </c>
      <c r="Z640" s="28">
        <v>465251000</v>
      </c>
      <c r="AA640" s="28">
        <v>9555317000</v>
      </c>
      <c r="AB640" s="28">
        <v>624205000</v>
      </c>
      <c r="AC640" s="28">
        <v>4771663000</v>
      </c>
      <c r="AD640" s="28">
        <v>3019429000</v>
      </c>
      <c r="AE640" s="28">
        <v>4788036000</v>
      </c>
      <c r="AF640" s="28">
        <v>563449000</v>
      </c>
      <c r="AG640" s="11"/>
    </row>
    <row r="641">
      <c r="A641" s="7" t="s">
        <v>2377</v>
      </c>
      <c r="B641" s="5" t="s">
        <v>10353</v>
      </c>
      <c r="C641" s="5" t="s">
        <v>18244</v>
      </c>
      <c r="D641" s="5" t="str">
        <v>311200064216</v>
      </c>
      <c r="E641" s="0" t="e">
        <f>+7 (472) 3433755
+7 (47234) 30751
+7 (47234) 31612
+7 (47234) 44813
+7 (47234) 45257
+7 (47234) 45285
+7 (47234) 77172
+7 (910) 3242005
+7 (915) 5720119</f>
        <v>#NAME?</v>
      </c>
      <c r="F641" s="5" t="s">
        <v>27264</v>
      </c>
      <c r="G641" s="5"/>
      <c r="H641" s="26">
        <v>10</v>
      </c>
      <c r="I641" s="5" t="s">
        <v>27265</v>
      </c>
      <c r="J641" s="5" t="s">
        <v>27266</v>
      </c>
      <c r="K641" s="5" t="s">
        <v>344</v>
      </c>
      <c r="L641" s="5" t="s">
        <v>27267</v>
      </c>
      <c r="M641" s="27"/>
      <c r="N641" s="5"/>
      <c r="O641" s="5" t="str">
        <v>3122509094</v>
      </c>
      <c r="P641" s="27">
        <v>153460000</v>
      </c>
      <c r="Q641" s="5" t="s">
        <v>49009</v>
      </c>
      <c r="R641" s="5"/>
      <c r="S641" s="5" t="s">
        <v>50103</v>
      </c>
      <c r="T641" s="28">
        <v>2763652000</v>
      </c>
      <c r="U641" s="28"/>
      <c r="V641" s="28">
        <v>11668343000</v>
      </c>
      <c r="W641" s="28"/>
      <c r="X641" s="28">
        <v>301000</v>
      </c>
      <c r="Y641" s="28">
        <v>16978866000</v>
      </c>
      <c r="Z641" s="28">
        <v>980197000</v>
      </c>
      <c r="AA641" s="28">
        <v>1618601000</v>
      </c>
      <c r="AB641" s="28">
        <v>12454511000</v>
      </c>
      <c r="AC641" s="28">
        <v>14161595000</v>
      </c>
      <c r="AD641" s="28">
        <v>1133657000</v>
      </c>
      <c r="AE641" s="28">
        <v>25392947000</v>
      </c>
      <c r="AF641" s="28">
        <v>336229000</v>
      </c>
      <c r="AG641" s="11"/>
    </row>
    <row r="642">
      <c r="A642" s="7" t="s">
        <v>2377</v>
      </c>
      <c r="B642" s="5" t="s">
        <v>10354</v>
      </c>
      <c r="C642" s="5" t="s">
        <v>18245</v>
      </c>
      <c r="D642" s="5" t="str">
        <v>090701228346</v>
      </c>
      <c r="E642" s="0" t="e">
        <f>+7 (928) 3841030
+7 (928) 3843010</f>
        <v>#NAME?</v>
      </c>
      <c r="F642" s="5" t="s">
        <v>27268</v>
      </c>
      <c r="G642" s="5"/>
      <c r="H642" s="26">
        <v>0.5</v>
      </c>
      <c r="I642" s="5" t="s">
        <v>27269</v>
      </c>
      <c r="J642" s="5" t="s">
        <v>364</v>
      </c>
      <c r="K642" s="5" t="s">
        <v>344</v>
      </c>
      <c r="L642" s="5"/>
      <c r="M642" s="27"/>
      <c r="N642" s="5" t="s">
        <v>50064</v>
      </c>
      <c r="O642" s="5" t="str">
        <v>0900004791</v>
      </c>
      <c r="P642" s="27">
        <v>10000</v>
      </c>
      <c r="Q642" s="5"/>
      <c r="R642" s="5"/>
      <c r="S642" s="5" t="s">
        <v>50104</v>
      </c>
      <c r="T642" s="28"/>
      <c r="U642" s="28"/>
      <c r="V642" s="28"/>
      <c r="W642" s="28"/>
      <c r="X642" s="28">
        <v>1835000000</v>
      </c>
      <c r="Y642" s="28">
        <v>2849012000</v>
      </c>
      <c r="Z642" s="28"/>
      <c r="AA642" s="28"/>
      <c r="AB642" s="28">
        <v>274909000</v>
      </c>
      <c r="AC642" s="28">
        <v>274909000</v>
      </c>
      <c r="AD642" s="28">
        <v>2574103000</v>
      </c>
      <c r="AE642" s="28">
        <v>13437476000</v>
      </c>
      <c r="AF642" s="28">
        <v>2564103000</v>
      </c>
      <c r="AG642" s="11"/>
    </row>
    <row r="643">
      <c r="A643" s="7" t="s">
        <v>2378</v>
      </c>
      <c r="B643" s="5" t="s">
        <v>10355</v>
      </c>
      <c r="C643" s="5" t="s">
        <v>18246</v>
      </c>
      <c r="D643" s="5" t="str">
        <v>330502396882</v>
      </c>
      <c r="E643" s="0" t="e">
        <f>+7 (49232) 43032
+7 (49232) 94646
+7 (49232) 94747
+7 (49232) 94757
+7 (49232) 94858
+7 (49232) 99033
+7 (49232) 99035
+7 (49232) 99433
+7 (49232) 99476
+7 (49232) 99636
+7 (49232) 99646
+7 (493) 2399646
+7 (800) 2004090</f>
        <v>#NAME?</v>
      </c>
      <c r="F643" s="5" t="s">
        <v>27270</v>
      </c>
      <c r="G643" s="5" t="s">
        <v>27271</v>
      </c>
      <c r="H643" s="26">
        <v>22</v>
      </c>
      <c r="I643" s="5" t="s">
        <v>27272</v>
      </c>
      <c r="J643" s="5" t="s">
        <v>27273</v>
      </c>
      <c r="K643" s="5" t="s">
        <v>355</v>
      </c>
      <c r="L643" s="5"/>
      <c r="M643" s="27"/>
      <c r="N643" s="5"/>
      <c r="O643" s="5" t="str">
        <v>3305037917</v>
      </c>
      <c r="P643" s="27">
        <v>17146064</v>
      </c>
      <c r="Q643" s="5" t="s">
        <v>49009</v>
      </c>
      <c r="R643" s="5"/>
      <c r="S643" s="5" t="s">
        <v>49066</v>
      </c>
      <c r="T643" s="28">
        <v>1363543000</v>
      </c>
      <c r="U643" s="28">
        <v>6031000</v>
      </c>
      <c r="V643" s="28">
        <v>2118206000</v>
      </c>
      <c r="W643" s="28">
        <v>169200000</v>
      </c>
      <c r="X643" s="28">
        <v>86820000</v>
      </c>
      <c r="Y643" s="28">
        <v>5730398000</v>
      </c>
      <c r="Z643" s="28">
        <v>469020000</v>
      </c>
      <c r="AA643" s="28"/>
      <c r="AB643" s="28">
        <v>2503984000</v>
      </c>
      <c r="AC643" s="28">
        <v>5162442000</v>
      </c>
      <c r="AD643" s="28">
        <v>486166000</v>
      </c>
      <c r="AE643" s="28">
        <v>18360705000</v>
      </c>
      <c r="AF643" s="28">
        <v>323549000</v>
      </c>
      <c r="AG643" s="11"/>
    </row>
    <row r="644">
      <c r="A644" s="7" t="s">
        <v>2379</v>
      </c>
      <c r="B644" s="5" t="s">
        <v>10356</v>
      </c>
      <c r="C644" s="5" t="s">
        <v>18247</v>
      </c>
      <c r="D644" s="5" t="str">
        <v>222500203272</v>
      </c>
      <c r="E644" s="0" t="e">
        <f>+7 (385) 2505549
+7 (903) 9471533
+7 (385) 2465273
+7 (385) 2465274
+7 (385) 2505591
+7 (385) 2505593
+7 (385) 2505598
+7 (385) 2555160
+7 (905) 815333
+7 (983) 3881685</f>
        <v>#NAME?</v>
      </c>
      <c r="F644" s="5" t="s">
        <v>27274</v>
      </c>
      <c r="G644" s="5" t="s">
        <v>27275</v>
      </c>
      <c r="H644" s="26">
        <v>14.5</v>
      </c>
      <c r="I644" s="5" t="s">
        <v>27276</v>
      </c>
      <c r="J644" s="5" t="s">
        <v>678</v>
      </c>
      <c r="K644" s="5" t="s">
        <v>344</v>
      </c>
      <c r="L644" s="5" t="s">
        <v>27277</v>
      </c>
      <c r="M644" s="27"/>
      <c r="N644" s="5" t="s">
        <v>50105</v>
      </c>
      <c r="O644" s="5" t="str">
        <v>2222077304</v>
      </c>
      <c r="P644" s="27">
        <v>10000</v>
      </c>
      <c r="Q644" s="5" t="s">
        <v>50106</v>
      </c>
      <c r="R644" s="5"/>
      <c r="S644" s="5" t="s">
        <v>50107</v>
      </c>
      <c r="T644" s="28">
        <v>111314000</v>
      </c>
      <c r="U644" s="28">
        <v>5210000</v>
      </c>
      <c r="V644" s="28">
        <v>645250000</v>
      </c>
      <c r="W644" s="28"/>
      <c r="X644" s="28">
        <v>2157000</v>
      </c>
      <c r="Y644" s="28">
        <v>1348904000</v>
      </c>
      <c r="Z644" s="28">
        <v>431867000</v>
      </c>
      <c r="AA644" s="28">
        <v>51848000</v>
      </c>
      <c r="AB644" s="28">
        <v>156700000</v>
      </c>
      <c r="AC644" s="28">
        <v>854110000</v>
      </c>
      <c r="AD644" s="28">
        <v>431877000</v>
      </c>
      <c r="AE644" s="28">
        <v>4801719000</v>
      </c>
      <c r="AF644" s="28">
        <v>214073000</v>
      </c>
      <c r="AG644" s="11"/>
    </row>
    <row r="645">
      <c r="A645" s="7" t="s">
        <v>2380</v>
      </c>
      <c r="B645" s="5" t="s">
        <v>10357</v>
      </c>
      <c r="C645" s="5" t="s">
        <v>18248</v>
      </c>
      <c r="D645" s="5" t="str">
        <v>771519893760</v>
      </c>
      <c r="E645" s="0" t="e">
        <f>+7 (495) 2233403
+7 (495) 7786792
+7 (800) 7772233
+7 (930) 907063</f>
        <v>#NAME?</v>
      </c>
      <c r="F645" s="5" t="s">
        <v>27278</v>
      </c>
      <c r="G645" s="5" t="s">
        <v>27279</v>
      </c>
      <c r="H645" s="26">
        <v>9.5</v>
      </c>
      <c r="I645" s="5" t="s">
        <v>27280</v>
      </c>
      <c r="J645" s="5" t="s">
        <v>502</v>
      </c>
      <c r="K645" s="5" t="s">
        <v>355</v>
      </c>
      <c r="L645" s="5"/>
      <c r="M645" s="27">
        <v>440000</v>
      </c>
      <c r="N645" s="5" t="s">
        <v>50108</v>
      </c>
      <c r="O645" s="5" t="str">
        <v>7728850310</v>
      </c>
      <c r="P645" s="27">
        <v>11693</v>
      </c>
      <c r="Q645" s="5" t="s">
        <v>50109</v>
      </c>
      <c r="R645" s="5"/>
      <c r="S645" s="5" t="s">
        <v>50110</v>
      </c>
      <c r="T645" s="28">
        <v>196381000</v>
      </c>
      <c r="U645" s="28">
        <v>299577000</v>
      </c>
      <c r="V645" s="28">
        <v>2452399000</v>
      </c>
      <c r="W645" s="28">
        <v>98485000</v>
      </c>
      <c r="X645" s="28">
        <v>359328000</v>
      </c>
      <c r="Y645" s="28">
        <v>5311510000</v>
      </c>
      <c r="Z645" s="28">
        <v>775284000</v>
      </c>
      <c r="AA645" s="28"/>
      <c r="AB645" s="28">
        <v>482248000</v>
      </c>
      <c r="AC645" s="28">
        <v>3324579000</v>
      </c>
      <c r="AD645" s="28">
        <v>1815294000</v>
      </c>
      <c r="AE645" s="28">
        <v>11422211000</v>
      </c>
      <c r="AF645" s="28">
        <v>-854171000</v>
      </c>
      <c r="AG645" s="11"/>
    </row>
    <row r="646">
      <c r="A646" s="7" t="s">
        <v>2381</v>
      </c>
      <c r="B646" s="5" t="s">
        <v>10358</v>
      </c>
      <c r="C646" s="5" t="s">
        <v>18249</v>
      </c>
      <c r="D646" s="5" t="str">
        <v>644404202107</v>
      </c>
      <c r="E646" s="0" t="e">
        <f>+7 (812) 6770657</f>
        <v>#NAME?</v>
      </c>
      <c r="F646" s="5"/>
      <c r="G646" s="5"/>
      <c r="H646" s="26">
        <v>10.5</v>
      </c>
      <c r="I646" s="5" t="s">
        <v>27281</v>
      </c>
      <c r="J646" s="5" t="s">
        <v>585</v>
      </c>
      <c r="K646" s="5" t="s">
        <v>344</v>
      </c>
      <c r="L646" s="5" t="s">
        <v>27282</v>
      </c>
      <c r="M646" s="27">
        <v>8173863</v>
      </c>
      <c r="N646" s="5" t="s">
        <v>50111</v>
      </c>
      <c r="O646" s="5" t="str">
        <v>7743869795</v>
      </c>
      <c r="P646" s="27">
        <v>250000</v>
      </c>
      <c r="Q646" s="5" t="s">
        <v>50112</v>
      </c>
      <c r="R646" s="5"/>
      <c r="S646" s="5" t="s">
        <v>50113</v>
      </c>
      <c r="T646" s="28">
        <v>2585000</v>
      </c>
      <c r="U646" s="28"/>
      <c r="V646" s="28">
        <v>885304000</v>
      </c>
      <c r="W646" s="28"/>
      <c r="X646" s="28">
        <v>1099000</v>
      </c>
      <c r="Y646" s="28">
        <v>955112000</v>
      </c>
      <c r="Z646" s="28">
        <v>564314000</v>
      </c>
      <c r="AA646" s="28"/>
      <c r="AB646" s="28"/>
      <c r="AC646" s="28">
        <v>388193000</v>
      </c>
      <c r="AD646" s="28">
        <v>564564000</v>
      </c>
      <c r="AE646" s="28">
        <v>3541404000</v>
      </c>
      <c r="AF646" s="28">
        <v>235751000</v>
      </c>
      <c r="AG646" s="11"/>
    </row>
    <row r="647">
      <c r="A647" s="7" t="s">
        <v>2382</v>
      </c>
      <c r="B647" s="5" t="s">
        <v>10359</v>
      </c>
      <c r="C647" s="5" t="s">
        <v>18250</v>
      </c>
      <c r="D647" s="5" t="str">
        <v>771815243787</v>
      </c>
      <c r="E647" s="0" t="e">
        <f>+7 (495) 2272851
+7 (495) 5190363
+7 (499) 5190363
+7 (499) 6730080</f>
        <v>#NAME?</v>
      </c>
      <c r="F647" s="5" t="s">
        <v>27283</v>
      </c>
      <c r="G647" s="5" t="s">
        <v>27284</v>
      </c>
      <c r="H647" s="26">
        <v>10</v>
      </c>
      <c r="I647" s="5" t="s">
        <v>27285</v>
      </c>
      <c r="J647" s="5" t="s">
        <v>671</v>
      </c>
      <c r="K647" s="5" t="s">
        <v>344</v>
      </c>
      <c r="L647" s="5" t="s">
        <v>27286</v>
      </c>
      <c r="M647" s="27"/>
      <c r="N647" s="5" t="s">
        <v>50114</v>
      </c>
      <c r="O647" s="5" t="str">
        <v>7701987853</v>
      </c>
      <c r="P647" s="27">
        <v>3000000</v>
      </c>
      <c r="Q647" s="5" t="s">
        <v>50115</v>
      </c>
      <c r="R647" s="5"/>
      <c r="S647" s="5" t="s">
        <v>50116</v>
      </c>
      <c r="T647" s="28">
        <v>165500000</v>
      </c>
      <c r="U647" s="28">
        <v>48952000</v>
      </c>
      <c r="V647" s="28">
        <v>3500327000</v>
      </c>
      <c r="W647" s="28">
        <v>627848000</v>
      </c>
      <c r="X647" s="28">
        <v>1618339000</v>
      </c>
      <c r="Y647" s="28">
        <v>9907795000</v>
      </c>
      <c r="Z647" s="28">
        <v>2265312000</v>
      </c>
      <c r="AA647" s="28"/>
      <c r="AB647" s="28">
        <v>105000000</v>
      </c>
      <c r="AC647" s="28">
        <v>7502457000</v>
      </c>
      <c r="AD647" s="28">
        <v>2268312000</v>
      </c>
      <c r="AE647" s="28">
        <v>11106505000</v>
      </c>
      <c r="AF647" s="28">
        <v>882512000</v>
      </c>
      <c r="AG647" s="11"/>
    </row>
    <row r="648">
      <c r="A648" s="7" t="s">
        <v>2383</v>
      </c>
      <c r="B648" s="5" t="s">
        <v>10360</v>
      </c>
      <c r="C648" s="5" t="s">
        <v>18251</v>
      </c>
      <c r="D648" s="5" t="str">
        <v>524922653320</v>
      </c>
      <c r="E648" s="0" t="e">
        <f>+7 (8313) 254920
+7 (8313) 391111
+7 (8313) 399993
+7 (930) 8183802
+7 (930) 8183814</f>
        <v>#NAME?</v>
      </c>
      <c r="F648" s="5"/>
      <c r="G648" s="5"/>
      <c r="H648" s="26">
        <v>14.5</v>
      </c>
      <c r="I648" s="5" t="s">
        <v>27287</v>
      </c>
      <c r="J648" s="5" t="s">
        <v>27194</v>
      </c>
      <c r="K648" s="5" t="s">
        <v>344</v>
      </c>
      <c r="L648" s="5"/>
      <c r="M648" s="27">
        <v>2330000</v>
      </c>
      <c r="N648" s="5"/>
      <c r="O648" s="5" t="str">
        <v>5012049730</v>
      </c>
      <c r="P648" s="27">
        <v>270000000</v>
      </c>
      <c r="Q648" s="5" t="s">
        <v>49009</v>
      </c>
      <c r="R648" s="5"/>
      <c r="S648" s="5" t="s">
        <v>49066</v>
      </c>
      <c r="T648" s="28">
        <v>1238258000</v>
      </c>
      <c r="U648" s="28"/>
      <c r="V648" s="28">
        <v>949276000</v>
      </c>
      <c r="W648" s="28"/>
      <c r="X648" s="28">
        <v>192637000</v>
      </c>
      <c r="Y648" s="28">
        <v>3326505000</v>
      </c>
      <c r="Z648" s="28">
        <v>526610000</v>
      </c>
      <c r="AA648" s="28">
        <v>2195360000</v>
      </c>
      <c r="AB648" s="28"/>
      <c r="AC648" s="28">
        <v>172831000</v>
      </c>
      <c r="AD648" s="28">
        <v>796610000</v>
      </c>
      <c r="AE648" s="28">
        <v>3508089000</v>
      </c>
      <c r="AF648" s="28">
        <v>1166579000</v>
      </c>
      <c r="AG648" s="11"/>
    </row>
    <row r="649">
      <c r="A649" s="7" t="s">
        <v>2384</v>
      </c>
      <c r="B649" s="5" t="s">
        <v>10361</v>
      </c>
      <c r="C649" s="5" t="s">
        <v>18252</v>
      </c>
      <c r="D649" s="5" t="str">
        <v>471508159888</v>
      </c>
      <c r="E649" s="0" t="e">
        <f>+7 (812) 3120772
+7 (812) 4933045
+7 (81366) 46669
+7 (921) 4061262</f>
        <v>#NAME?</v>
      </c>
      <c r="F649" s="5" t="s">
        <v>27288</v>
      </c>
      <c r="G649" s="5" t="s">
        <v>27289</v>
      </c>
      <c r="H649" s="26">
        <v>17.5</v>
      </c>
      <c r="I649" s="5" t="s">
        <v>27290</v>
      </c>
      <c r="J649" s="5" t="s">
        <v>27291</v>
      </c>
      <c r="K649" s="5" t="s">
        <v>344</v>
      </c>
      <c r="L649" s="5" t="s">
        <v>27292</v>
      </c>
      <c r="M649" s="27">
        <v>9875552</v>
      </c>
      <c r="N649" s="5" t="s">
        <v>50117</v>
      </c>
      <c r="O649" s="5" t="str">
        <v>4715778325</v>
      </c>
      <c r="P649" s="27">
        <v>952987000</v>
      </c>
      <c r="Q649" s="5" t="s">
        <v>50118</v>
      </c>
      <c r="R649" s="5"/>
      <c r="S649" s="5" t="s">
        <v>50119</v>
      </c>
      <c r="T649" s="28">
        <v>2922498000</v>
      </c>
      <c r="U649" s="28"/>
      <c r="V649" s="28">
        <v>1040478000</v>
      </c>
      <c r="W649" s="28"/>
      <c r="X649" s="28">
        <v>428258000</v>
      </c>
      <c r="Y649" s="28">
        <v>5368798000</v>
      </c>
      <c r="Z649" s="28">
        <v>3500627000</v>
      </c>
      <c r="AA649" s="28"/>
      <c r="AB649" s="28"/>
      <c r="AC649" s="28">
        <v>246280000</v>
      </c>
      <c r="AD649" s="28">
        <v>4994319000</v>
      </c>
      <c r="AE649" s="28">
        <v>4797654000</v>
      </c>
      <c r="AF649" s="28">
        <v>377634000</v>
      </c>
      <c r="AG649" s="11"/>
    </row>
    <row r="650">
      <c r="A650" s="7" t="s">
        <v>2385</v>
      </c>
      <c r="B650" s="5" t="s">
        <v>10362</v>
      </c>
      <c r="C650" s="5" t="s">
        <v>18253</v>
      </c>
      <c r="D650" s="5" t="str">
        <v>732608529520</v>
      </c>
      <c r="E650" s="0" t="e">
        <f>+7 (342) 4293077
+7 (3422) 293290
+7 (34242) 93290
+7 (925) 409545</f>
        <v>#NAME?</v>
      </c>
      <c r="F650" s="5" t="s">
        <v>27293</v>
      </c>
      <c r="G650" s="5" t="s">
        <v>27294</v>
      </c>
      <c r="H650" s="26">
        <v>17.5</v>
      </c>
      <c r="I650" s="5" t="s">
        <v>27295</v>
      </c>
      <c r="J650" s="5" t="s">
        <v>27296</v>
      </c>
      <c r="K650" s="5" t="s">
        <v>355</v>
      </c>
      <c r="L650" s="5" t="s">
        <v>27297</v>
      </c>
      <c r="M650" s="27"/>
      <c r="N650" s="5"/>
      <c r="O650" s="5" t="str">
        <v>5911045608</v>
      </c>
      <c r="P650" s="27">
        <v>59053102</v>
      </c>
      <c r="Q650" s="5" t="s">
        <v>49009</v>
      </c>
      <c r="R650" s="5"/>
      <c r="S650" s="5" t="s">
        <v>49371</v>
      </c>
      <c r="T650" s="28">
        <v>1272000</v>
      </c>
      <c r="U650" s="28"/>
      <c r="V650" s="28">
        <v>5271093000</v>
      </c>
      <c r="W650" s="28"/>
      <c r="X650" s="28">
        <v>568218000</v>
      </c>
      <c r="Y650" s="28">
        <v>7773447000</v>
      </c>
      <c r="Z650" s="28">
        <v>-86663000</v>
      </c>
      <c r="AA650" s="28"/>
      <c r="AB650" s="28"/>
      <c r="AC650" s="28">
        <v>7747932000</v>
      </c>
      <c r="AD650" s="28">
        <v>-25509000</v>
      </c>
      <c r="AE650" s="28">
        <v>9507732000</v>
      </c>
      <c r="AF650" s="28">
        <v>-242492000</v>
      </c>
      <c r="AG650" s="11"/>
    </row>
    <row r="651">
      <c r="A651" s="7" t="s">
        <v>2386</v>
      </c>
      <c r="B651" s="5" t="s">
        <v>10363</v>
      </c>
      <c r="C651" s="5" t="s">
        <v>18254</v>
      </c>
      <c r="D651" s="5" t="str">
        <v>246309195163</v>
      </c>
      <c r="E651" s="0" t="e">
        <f>+7 (924) 3613070
+7 (41145) 23719
+7 (41145) 35275
+7 (41145) 36436
+7 (41145) 36585
+7 (41145) 37406
+7 (914) 2481261</f>
        <v>#NAME?</v>
      </c>
      <c r="F651" s="5" t="s">
        <v>27298</v>
      </c>
      <c r="G651" s="5" t="s">
        <v>27299</v>
      </c>
      <c r="H651" s="26">
        <v>26.5</v>
      </c>
      <c r="I651" s="5" t="s">
        <v>27300</v>
      </c>
      <c r="J651" s="5" t="s">
        <v>26905</v>
      </c>
      <c r="K651" s="5" t="s">
        <v>344</v>
      </c>
      <c r="L651" s="5" t="s">
        <v>27301</v>
      </c>
      <c r="M651" s="27">
        <v>70834105</v>
      </c>
      <c r="N651" s="5" t="s">
        <v>50120</v>
      </c>
      <c r="O651" s="5" t="str">
        <v>1402045638</v>
      </c>
      <c r="P651" s="27">
        <v>100000</v>
      </c>
      <c r="Q651" s="5" t="s">
        <v>50121</v>
      </c>
      <c r="R651" s="5"/>
      <c r="S651" s="5" t="s">
        <v>50122</v>
      </c>
      <c r="T651" s="28">
        <v>1817948000</v>
      </c>
      <c r="U651" s="28">
        <v>175178000</v>
      </c>
      <c r="V651" s="28">
        <v>895430000</v>
      </c>
      <c r="W651" s="28">
        <v>1630447000</v>
      </c>
      <c r="X651" s="28">
        <v>3874000</v>
      </c>
      <c r="Y651" s="28">
        <v>4989802000</v>
      </c>
      <c r="Z651" s="28">
        <v>3547621000</v>
      </c>
      <c r="AA651" s="28"/>
      <c r="AB651" s="28"/>
      <c r="AC651" s="28">
        <v>1437767000</v>
      </c>
      <c r="AD651" s="28">
        <v>3547721000</v>
      </c>
      <c r="AE651" s="28">
        <v>4205935000</v>
      </c>
      <c r="AF651" s="28">
        <v>218804000</v>
      </c>
      <c r="AG651" s="11"/>
    </row>
    <row r="652">
      <c r="A652" s="7" t="s">
        <v>2387</v>
      </c>
      <c r="B652" s="5" t="s">
        <v>10364</v>
      </c>
      <c r="C652" s="5" t="s">
        <v>18255</v>
      </c>
      <c r="D652" s="5" t="str">
        <v>971506285954</v>
      </c>
      <c r="E652" s="0" t="e">
        <f>+7 (3433) 102703
+7 (481) 2677629
+7 (812) 6004940
+7 (812) 6004941
+7 (812) 6004947
+7 (8617) 300779</f>
        <v>#NAME?</v>
      </c>
      <c r="F652" s="5" t="s">
        <v>27302</v>
      </c>
      <c r="G652" s="5" t="s">
        <v>27303</v>
      </c>
      <c r="H652" s="26">
        <v>14.5</v>
      </c>
      <c r="I652" s="5" t="s">
        <v>27304</v>
      </c>
      <c r="J652" s="5" t="s">
        <v>599</v>
      </c>
      <c r="K652" s="5" t="s">
        <v>344</v>
      </c>
      <c r="L652" s="5" t="s">
        <v>27305</v>
      </c>
      <c r="M652" s="27">
        <v>78218762</v>
      </c>
      <c r="N652" s="5" t="s">
        <v>50123</v>
      </c>
      <c r="O652" s="5" t="str">
        <v>7717629959</v>
      </c>
      <c r="P652" s="27">
        <v>506000</v>
      </c>
      <c r="Q652" s="5" t="s">
        <v>50124</v>
      </c>
      <c r="R652" s="5"/>
      <c r="S652" s="5" t="s">
        <v>50125</v>
      </c>
      <c r="T652" s="28">
        <v>34867000</v>
      </c>
      <c r="U652" s="28"/>
      <c r="V652" s="28">
        <v>1218670000</v>
      </c>
      <c r="W652" s="28">
        <v>5055000</v>
      </c>
      <c r="X652" s="28">
        <v>45354000</v>
      </c>
      <c r="Y652" s="28">
        <v>1388792000</v>
      </c>
      <c r="Z652" s="28">
        <v>58343000</v>
      </c>
      <c r="AA652" s="28"/>
      <c r="AB652" s="28">
        <v>238623000</v>
      </c>
      <c r="AC652" s="28">
        <v>1268219000</v>
      </c>
      <c r="AD652" s="28">
        <v>77349000</v>
      </c>
      <c r="AE652" s="28">
        <v>7281372000</v>
      </c>
      <c r="AF652" s="28">
        <v>204547000</v>
      </c>
      <c r="AG652" s="11"/>
    </row>
    <row r="653">
      <c r="A653" s="7" t="s">
        <v>2388</v>
      </c>
      <c r="B653" s="5" t="s">
        <v>10365</v>
      </c>
      <c r="C653" s="5" t="s">
        <v>18256</v>
      </c>
      <c r="D653" s="5" t="str">
        <v>616300726855</v>
      </c>
      <c r="E653" s="0" t="e">
        <f>+7 (879) 2227338
+7 (87932) 73780
+7 (918) 6630004
+7 (918) 6814901
+7 (988) 5941438
+7 (989) 8497258
+7 (4232) 652400
+7 (495) 9331303
+7 (800) 1002445
+7 (861) 2227503
+7 (861) 2227578
+7 (918) 494983
+7 (918) 1117217
+7 (918) 2226865
+7 (918) 4407354</f>
        <v>#NAME?</v>
      </c>
      <c r="F653" s="5" t="s">
        <v>27306</v>
      </c>
      <c r="G653" s="5" t="s">
        <v>27307</v>
      </c>
      <c r="H653" s="26">
        <v>17.5</v>
      </c>
      <c r="I653" s="5" t="s">
        <v>27308</v>
      </c>
      <c r="J653" s="5" t="s">
        <v>25864</v>
      </c>
      <c r="K653" s="5" t="s">
        <v>344</v>
      </c>
      <c r="L653" s="5" t="s">
        <v>27309</v>
      </c>
      <c r="M653" s="27">
        <v>34459619</v>
      </c>
      <c r="N653" s="5" t="s">
        <v>50126</v>
      </c>
      <c r="O653" s="5" t="str">
        <v>2311082835</v>
      </c>
      <c r="P653" s="27">
        <v>10924990</v>
      </c>
      <c r="Q653" s="5" t="s">
        <v>50127</v>
      </c>
      <c r="R653" s="5"/>
      <c r="S653" s="5" t="s">
        <v>50128</v>
      </c>
      <c r="T653" s="28">
        <v>1462517000</v>
      </c>
      <c r="U653" s="28">
        <v>20045000</v>
      </c>
      <c r="V653" s="28">
        <v>2537339000</v>
      </c>
      <c r="W653" s="28">
        <v>42350000</v>
      </c>
      <c r="X653" s="28">
        <v>259948000</v>
      </c>
      <c r="Y653" s="28">
        <v>9086859000</v>
      </c>
      <c r="Z653" s="28">
        <v>4126611000</v>
      </c>
      <c r="AA653" s="28"/>
      <c r="AB653" s="28">
        <v>2314935000</v>
      </c>
      <c r="AC653" s="28">
        <v>4645781000</v>
      </c>
      <c r="AD653" s="28">
        <v>4137536000</v>
      </c>
      <c r="AE653" s="28">
        <v>16345834000</v>
      </c>
      <c r="AF653" s="28">
        <v>1945471000</v>
      </c>
      <c r="AG653" s="11"/>
    </row>
    <row r="654">
      <c r="A654" s="7" t="s">
        <v>2389</v>
      </c>
      <c r="B654" s="5" t="s">
        <v>10366</v>
      </c>
      <c r="C654" s="5" t="s">
        <v>18257</v>
      </c>
      <c r="D654" s="5" t="str">
        <v>772729566899</v>
      </c>
      <c r="E654" s="0" t="e">
        <f>+7 (903) 1360797
+7 (495) 2580037
+7 (495) 5403333
+7 (495) 5408877
+7 (495) 9939999</f>
        <v>#NAME?</v>
      </c>
      <c r="F654" s="5" t="s">
        <v>27310</v>
      </c>
      <c r="G654" s="5" t="s">
        <v>27311</v>
      </c>
      <c r="H654" s="26">
        <v>28.5</v>
      </c>
      <c r="I654" s="5" t="s">
        <v>27312</v>
      </c>
      <c r="J654" s="5" t="s">
        <v>26367</v>
      </c>
      <c r="K654" s="5" t="s">
        <v>344</v>
      </c>
      <c r="L654" s="5" t="s">
        <v>27313</v>
      </c>
      <c r="M654" s="27"/>
      <c r="N654" s="5" t="s">
        <v>50129</v>
      </c>
      <c r="O654" s="5" t="str">
        <v>7712037444</v>
      </c>
      <c r="P654" s="27">
        <v>10000000</v>
      </c>
      <c r="Q654" s="5" t="s">
        <v>49009</v>
      </c>
      <c r="R654" s="5"/>
      <c r="S654" s="5" t="s">
        <v>49361</v>
      </c>
      <c r="T654" s="28">
        <v>64714000</v>
      </c>
      <c r="U654" s="28"/>
      <c r="V654" s="28">
        <v>4631061000</v>
      </c>
      <c r="W654" s="28">
        <v>868100000</v>
      </c>
      <c r="X654" s="28">
        <v>48032000</v>
      </c>
      <c r="Y654" s="28">
        <v>7594770000</v>
      </c>
      <c r="Z654" s="28">
        <v>3766585000</v>
      </c>
      <c r="AA654" s="28"/>
      <c r="AB654" s="28">
        <v>1454359000</v>
      </c>
      <c r="AC654" s="28">
        <v>3818177000</v>
      </c>
      <c r="AD654" s="28">
        <v>3776585000</v>
      </c>
      <c r="AE654" s="28">
        <v>15388327000</v>
      </c>
      <c r="AF654" s="28">
        <v>1567918000</v>
      </c>
      <c r="AG654" s="11"/>
    </row>
    <row r="655">
      <c r="A655" s="7" t="s">
        <v>2390</v>
      </c>
      <c r="B655" s="5" t="s">
        <v>10367</v>
      </c>
      <c r="C655" s="5" t="s">
        <v>18258</v>
      </c>
      <c r="D655" s="5" t="str">
        <v>773135150698</v>
      </c>
      <c r="E655" s="0" t="e">
        <f>+7 (495) 7370756</f>
        <v>#NAME?</v>
      </c>
      <c r="F655" s="5"/>
      <c r="G655" s="5" t="s">
        <v>27314</v>
      </c>
      <c r="H655" s="26">
        <v>9</v>
      </c>
      <c r="I655" s="5" t="s">
        <v>27315</v>
      </c>
      <c r="J655" s="5" t="s">
        <v>27316</v>
      </c>
      <c r="K655" s="5" t="s">
        <v>344</v>
      </c>
      <c r="L655" s="5"/>
      <c r="M655" s="27"/>
      <c r="N655" s="5"/>
      <c r="O655" s="5" t="str">
        <v>7709948951</v>
      </c>
      <c r="P655" s="27">
        <v>11024500</v>
      </c>
      <c r="Q655" s="5"/>
      <c r="R655" s="5" t="s">
        <v>50130</v>
      </c>
      <c r="S655" s="5" t="s">
        <v>49029</v>
      </c>
      <c r="T655" s="28">
        <v>125241000</v>
      </c>
      <c r="U655" s="28"/>
      <c r="V655" s="28">
        <v>7993909000</v>
      </c>
      <c r="W655" s="28"/>
      <c r="X655" s="28">
        <v>397226000</v>
      </c>
      <c r="Y655" s="28">
        <v>17458258000</v>
      </c>
      <c r="Z655" s="28">
        <v>3116940000</v>
      </c>
      <c r="AA655" s="28"/>
      <c r="AB655" s="28"/>
      <c r="AC655" s="28">
        <v>14243304000</v>
      </c>
      <c r="AD655" s="28">
        <v>3128723000</v>
      </c>
      <c r="AE655" s="28">
        <v>22159029000</v>
      </c>
      <c r="AF655" s="28">
        <v>1413341000</v>
      </c>
      <c r="AG655" s="11"/>
    </row>
    <row r="656">
      <c r="A656" s="7" t="s">
        <v>2391</v>
      </c>
      <c r="B656" s="5" t="s">
        <v>10368</v>
      </c>
      <c r="C656" s="5" t="s">
        <v>18259</v>
      </c>
      <c r="D656" s="5" t="str">
        <v>771602038705</v>
      </c>
      <c r="E656" s="0" t="e">
        <f>+7 (495) 9814148
+7 (985) 3382390</f>
        <v>#NAME?</v>
      </c>
      <c r="F656" s="5" t="s">
        <v>27317</v>
      </c>
      <c r="G656" s="5"/>
      <c r="H656" s="26">
        <v>11.5</v>
      </c>
      <c r="I656" s="5" t="s">
        <v>27318</v>
      </c>
      <c r="J656" s="5" t="s">
        <v>955</v>
      </c>
      <c r="K656" s="5" t="s">
        <v>344</v>
      </c>
      <c r="L656" s="5" t="s">
        <v>27319</v>
      </c>
      <c r="M656" s="27"/>
      <c r="N656" s="5"/>
      <c r="O656" s="5" t="str">
        <v>7710893425</v>
      </c>
      <c r="P656" s="27">
        <v>2500000</v>
      </c>
      <c r="Q656" s="5" t="s">
        <v>49021</v>
      </c>
      <c r="R656" s="5"/>
      <c r="S656" s="5" t="s">
        <v>50131</v>
      </c>
      <c r="T656" s="28">
        <v>31000</v>
      </c>
      <c r="U656" s="28"/>
      <c r="V656" s="28">
        <v>324307000</v>
      </c>
      <c r="W656" s="28"/>
      <c r="X656" s="28">
        <v>5000</v>
      </c>
      <c r="Y656" s="28">
        <v>331055000</v>
      </c>
      <c r="Z656" s="28">
        <v>230582000</v>
      </c>
      <c r="AA656" s="28"/>
      <c r="AB656" s="28">
        <v>60905000</v>
      </c>
      <c r="AC656" s="28">
        <v>97973000</v>
      </c>
      <c r="AD656" s="28">
        <v>233082000</v>
      </c>
      <c r="AE656" s="28">
        <v>4741120000</v>
      </c>
      <c r="AF656" s="28">
        <v>52417000</v>
      </c>
      <c r="AG656" s="11"/>
    </row>
    <row r="657">
      <c r="A657" s="7" t="s">
        <v>2392</v>
      </c>
      <c r="B657" s="5" t="s">
        <v>10369</v>
      </c>
      <c r="C657" s="5" t="s">
        <v>18260</v>
      </c>
      <c r="D657" s="5" t="str">
        <v>300105580332</v>
      </c>
      <c r="E657" s="0" t="e">
        <f>+7 (85141) 35412
+7 (960) 8524935
+7 (85141) 52015
+7 (904) 7554713
+7 (85141) 54547</f>
        <v>#NAME?</v>
      </c>
      <c r="F657" s="5" t="s">
        <v>27320</v>
      </c>
      <c r="G657" s="5" t="s">
        <v>27321</v>
      </c>
      <c r="H657" s="26">
        <v>12.5</v>
      </c>
      <c r="I657" s="5" t="s">
        <v>27322</v>
      </c>
      <c r="J657" s="5" t="s">
        <v>1073</v>
      </c>
      <c r="K657" s="5" t="s">
        <v>344</v>
      </c>
      <c r="L657" s="5" t="s">
        <v>27323</v>
      </c>
      <c r="M657" s="27">
        <v>130646</v>
      </c>
      <c r="N657" s="5" t="s">
        <v>50132</v>
      </c>
      <c r="O657" s="5" t="str">
        <v>3022000472</v>
      </c>
      <c r="P657" s="27">
        <v>10000</v>
      </c>
      <c r="Q657" s="5" t="s">
        <v>49446</v>
      </c>
      <c r="R657" s="5"/>
      <c r="S657" s="5" t="s">
        <v>50133</v>
      </c>
      <c r="T657" s="28">
        <v>5430000</v>
      </c>
      <c r="U657" s="28"/>
      <c r="V657" s="28">
        <v>336536000</v>
      </c>
      <c r="W657" s="28"/>
      <c r="X657" s="28">
        <v>24461000</v>
      </c>
      <c r="Y657" s="28">
        <v>1058905000</v>
      </c>
      <c r="Z657" s="28">
        <v>451571000</v>
      </c>
      <c r="AA657" s="28"/>
      <c r="AB657" s="28">
        <v>119023000</v>
      </c>
      <c r="AC657" s="28">
        <v>607324000</v>
      </c>
      <c r="AD657" s="28">
        <v>451581000</v>
      </c>
      <c r="AE657" s="28">
        <v>4228210000</v>
      </c>
      <c r="AF657" s="28">
        <v>215872000</v>
      </c>
      <c r="AG657" s="11"/>
    </row>
    <row r="658">
      <c r="A658" s="7" t="s">
        <v>2393</v>
      </c>
      <c r="B658" s="5" t="s">
        <v>10370</v>
      </c>
      <c r="C658" s="5" t="s">
        <v>18261</v>
      </c>
      <c r="D658" s="5" t="str">
        <v>773404653075</v>
      </c>
      <c r="E658" s="0" t="e">
        <f>+7 (4912) 559552
+7 (49136) 21869
+7 (49136) 22369
+7 (49136) 22375
+7 (49136) 22464
+7 (49136) 22846
+7 (809) 3621869</f>
        <v>#NAME?</v>
      </c>
      <c r="F658" s="5" t="s">
        <v>27324</v>
      </c>
      <c r="G658" s="5"/>
      <c r="H658" s="26">
        <v>8</v>
      </c>
      <c r="I658" s="5" t="s">
        <v>27325</v>
      </c>
      <c r="J658" s="5" t="s">
        <v>26858</v>
      </c>
      <c r="K658" s="5" t="s">
        <v>344</v>
      </c>
      <c r="L658" s="5" t="s">
        <v>27326</v>
      </c>
      <c r="M658" s="27"/>
      <c r="N658" s="5"/>
      <c r="O658" s="5" t="str">
        <v>6225010432</v>
      </c>
      <c r="P658" s="27">
        <v>2811948178</v>
      </c>
      <c r="Q658" s="5" t="s">
        <v>49009</v>
      </c>
      <c r="R658" s="5"/>
      <c r="S658" s="5" t="s">
        <v>49175</v>
      </c>
      <c r="T658" s="28">
        <v>2060865000</v>
      </c>
      <c r="U658" s="28"/>
      <c r="V658" s="28">
        <v>956624000</v>
      </c>
      <c r="W658" s="28"/>
      <c r="X658" s="28">
        <v>1726832000</v>
      </c>
      <c r="Y658" s="28">
        <v>5534735000</v>
      </c>
      <c r="Z658" s="28">
        <v>2420375000</v>
      </c>
      <c r="AA658" s="28"/>
      <c r="AB658" s="28"/>
      <c r="AC658" s="28">
        <v>245170000</v>
      </c>
      <c r="AD658" s="28">
        <v>5232323000</v>
      </c>
      <c r="AE658" s="28">
        <v>7376002000</v>
      </c>
      <c r="AF658" s="28">
        <v>1128896000</v>
      </c>
      <c r="AG658" s="11"/>
    </row>
    <row r="659">
      <c r="A659" s="7" t="s">
        <v>2394</v>
      </c>
      <c r="B659" s="5" t="s">
        <v>10371</v>
      </c>
      <c r="C659" s="5" t="s">
        <v>18262</v>
      </c>
      <c r="D659" s="5"/>
      <c r="E659" s="0" t="e">
        <f>+7 (49136) 22844
+7 (863) 2618106
+7 (863) 2618141
+7 (8632) 618100</f>
        <v>#NAME?</v>
      </c>
      <c r="F659" s="5" t="s">
        <v>27327</v>
      </c>
      <c r="G659" s="5" t="s">
        <v>27328</v>
      </c>
      <c r="H659" s="26">
        <v>20.5</v>
      </c>
      <c r="I659" s="5" t="s">
        <v>27329</v>
      </c>
      <c r="J659" s="5" t="s">
        <v>26383</v>
      </c>
      <c r="K659" s="5" t="s">
        <v>344</v>
      </c>
      <c r="L659" s="5" t="s">
        <v>27330</v>
      </c>
      <c r="M659" s="27">
        <v>4352747</v>
      </c>
      <c r="N659" s="5" t="s">
        <v>50134</v>
      </c>
      <c r="O659" s="5" t="str">
        <v>6162015019</v>
      </c>
      <c r="P659" s="27">
        <v>906364450</v>
      </c>
      <c r="Q659" s="5" t="s">
        <v>49009</v>
      </c>
      <c r="R659" s="5" t="s">
        <v>50135</v>
      </c>
      <c r="S659" s="5" t="s">
        <v>49907</v>
      </c>
      <c r="T659" s="28">
        <v>3584464000</v>
      </c>
      <c r="U659" s="28">
        <v>8937958000</v>
      </c>
      <c r="V659" s="28">
        <v>60234975000</v>
      </c>
      <c r="W659" s="28">
        <v>5871002000</v>
      </c>
      <c r="X659" s="28">
        <v>2258825000</v>
      </c>
      <c r="Y659" s="28">
        <v>90587432000</v>
      </c>
      <c r="Z659" s="28">
        <v>25799652000</v>
      </c>
      <c r="AA659" s="28">
        <v>5794052000</v>
      </c>
      <c r="AB659" s="28">
        <v>51624807000</v>
      </c>
      <c r="AC659" s="28">
        <v>55574604000</v>
      </c>
      <c r="AD659" s="28">
        <v>26753965000</v>
      </c>
      <c r="AE659" s="28">
        <v>127603497000</v>
      </c>
      <c r="AF659" s="28">
        <v>5036334000</v>
      </c>
      <c r="AG659" s="11"/>
    </row>
    <row r="660">
      <c r="A660" s="7" t="s">
        <v>2395</v>
      </c>
      <c r="B660" s="5" t="s">
        <v>10372</v>
      </c>
      <c r="C660" s="5" t="s">
        <v>18263</v>
      </c>
      <c r="D660" s="5" t="str">
        <v>781421286300</v>
      </c>
      <c r="E660" s="0" t="e">
        <f>+7 (812) 3193874
+7 (812) 3193873
+7 (812) 3261559</f>
        <v>#NAME?</v>
      </c>
      <c r="F660" s="5" t="s">
        <v>27331</v>
      </c>
      <c r="G660" s="5" t="s">
        <v>27332</v>
      </c>
      <c r="H660" s="26">
        <v>28</v>
      </c>
      <c r="I660" s="5"/>
      <c r="J660" s="5" t="s">
        <v>27333</v>
      </c>
      <c r="K660" s="5" t="s">
        <v>344</v>
      </c>
      <c r="L660" s="5" t="s">
        <v>27334</v>
      </c>
      <c r="M660" s="27"/>
      <c r="N660" s="5"/>
      <c r="O660" s="5" t="str">
        <v>4703015840</v>
      </c>
      <c r="P660" s="27">
        <v>51000</v>
      </c>
      <c r="Q660" s="5"/>
      <c r="R660" s="5"/>
      <c r="S660" s="5" t="s">
        <v>49425</v>
      </c>
      <c r="T660" s="28">
        <v>1069559000</v>
      </c>
      <c r="U660" s="28"/>
      <c r="V660" s="28">
        <v>942715000</v>
      </c>
      <c r="W660" s="28"/>
      <c r="X660" s="28">
        <v>266171000</v>
      </c>
      <c r="Y660" s="28">
        <v>3531712000</v>
      </c>
      <c r="Z660" s="28">
        <v>3235879000</v>
      </c>
      <c r="AA660" s="28"/>
      <c r="AB660" s="28"/>
      <c r="AC660" s="28">
        <v>208362000</v>
      </c>
      <c r="AD660" s="28">
        <v>3235933000</v>
      </c>
      <c r="AE660" s="28">
        <v>3314559000</v>
      </c>
      <c r="AF660" s="28">
        <v>560274000</v>
      </c>
      <c r="AG660" s="11"/>
    </row>
    <row r="661">
      <c r="A661" s="7" t="s">
        <v>2396</v>
      </c>
      <c r="B661" s="5" t="s">
        <v>10373</v>
      </c>
      <c r="C661" s="5" t="s">
        <v>18264</v>
      </c>
      <c r="D661" s="5" t="str">
        <v>504106726403</v>
      </c>
      <c r="E661" s="0" t="e">
        <f>+7 (909) 9424304</f>
        <v>#NAME?</v>
      </c>
      <c r="F661" s="5"/>
      <c r="G661" s="5"/>
      <c r="H661" s="26">
        <v>5</v>
      </c>
      <c r="I661" s="5" t="s">
        <v>27335</v>
      </c>
      <c r="J661" s="5" t="s">
        <v>25337</v>
      </c>
      <c r="K661" s="5" t="s">
        <v>344</v>
      </c>
      <c r="L661" s="5" t="s">
        <v>27336</v>
      </c>
      <c r="M661" s="27"/>
      <c r="N661" s="5"/>
      <c r="O661" s="5" t="str">
        <v>9715310279</v>
      </c>
      <c r="P661" s="27">
        <v>125000</v>
      </c>
      <c r="Q661" s="5" t="s">
        <v>49021</v>
      </c>
      <c r="R661" s="5"/>
      <c r="S661" s="5" t="s">
        <v>50136</v>
      </c>
      <c r="T661" s="28">
        <v>127000</v>
      </c>
      <c r="U661" s="28"/>
      <c r="V661" s="28">
        <v>1127972000</v>
      </c>
      <c r="W661" s="28"/>
      <c r="X661" s="28">
        <v>460000</v>
      </c>
      <c r="Y661" s="28">
        <v>1128559000</v>
      </c>
      <c r="Z661" s="28">
        <v>269132000</v>
      </c>
      <c r="AA661" s="28"/>
      <c r="AB661" s="28"/>
      <c r="AC661" s="28">
        <v>859327000</v>
      </c>
      <c r="AD661" s="28">
        <v>269232000</v>
      </c>
      <c r="AE661" s="28">
        <v>3792787000</v>
      </c>
      <c r="AF661" s="28">
        <v>122752000</v>
      </c>
      <c r="AG661" s="11"/>
    </row>
    <row r="662">
      <c r="A662" s="7" t="s">
        <v>2397</v>
      </c>
      <c r="B662" s="5" t="s">
        <v>10374</v>
      </c>
      <c r="C662" s="5" t="s">
        <v>18265</v>
      </c>
      <c r="D662" s="5" t="str">
        <v>772016193274</v>
      </c>
      <c r="E662" s="0" t="e">
        <f>+7 (831) 2821011
+7 (495) 1201010
+7 (812) 3092233
+7 (812) 4485139</f>
        <v>#NAME?</v>
      </c>
      <c r="F662" s="5" t="s">
        <v>27337</v>
      </c>
      <c r="G662" s="5" t="s">
        <v>27338</v>
      </c>
      <c r="H662" s="26">
        <v>14</v>
      </c>
      <c r="I662" s="5" t="s">
        <v>27339</v>
      </c>
      <c r="J662" s="5" t="s">
        <v>27085</v>
      </c>
      <c r="K662" s="5" t="s">
        <v>344</v>
      </c>
      <c r="L662" s="5" t="s">
        <v>27340</v>
      </c>
      <c r="M662" s="27"/>
      <c r="N662" s="5" t="s">
        <v>50137</v>
      </c>
      <c r="O662" s="5" t="str">
        <v>7701836734</v>
      </c>
      <c r="P662" s="27">
        <v>100000</v>
      </c>
      <c r="Q662" s="5"/>
      <c r="R662" s="5"/>
      <c r="S662" s="5" t="s">
        <v>49425</v>
      </c>
      <c r="T662" s="28">
        <v>72572000</v>
      </c>
      <c r="U662" s="28">
        <v>1400000</v>
      </c>
      <c r="V662" s="28">
        <v>1058315000</v>
      </c>
      <c r="W662" s="28">
        <v>145000000</v>
      </c>
      <c r="X662" s="28">
        <v>158743000</v>
      </c>
      <c r="Y662" s="28">
        <v>1820465000</v>
      </c>
      <c r="Z662" s="28">
        <v>1740834000</v>
      </c>
      <c r="AA662" s="28"/>
      <c r="AB662" s="28"/>
      <c r="AC662" s="28">
        <v>60571000</v>
      </c>
      <c r="AD662" s="28">
        <v>1740934000</v>
      </c>
      <c r="AE662" s="28">
        <v>3088275000</v>
      </c>
      <c r="AF662" s="28">
        <v>602574000</v>
      </c>
      <c r="AG662" s="11"/>
    </row>
    <row r="663">
      <c r="A663" s="7" t="s">
        <v>2398</v>
      </c>
      <c r="B663" s="5" t="s">
        <v>10375</v>
      </c>
      <c r="C663" s="5" t="s">
        <v>18266</v>
      </c>
      <c r="D663" s="5" t="str">
        <v>561208338963</v>
      </c>
      <c r="E663" s="0" t="e">
        <f>+7 (35324) 32788
+7 (922) 8337373
+7 (961) 9104534
+7 (987) 2016546</f>
        <v>#NAME?</v>
      </c>
      <c r="F663" s="5" t="s">
        <v>27341</v>
      </c>
      <c r="G663" s="5"/>
      <c r="H663" s="26">
        <v>8</v>
      </c>
      <c r="I663" s="5" t="s">
        <v>27342</v>
      </c>
      <c r="J663" s="5" t="s">
        <v>27115</v>
      </c>
      <c r="K663" s="5" t="s">
        <v>355</v>
      </c>
      <c r="L663" s="5" t="s">
        <v>1507</v>
      </c>
      <c r="M663" s="27"/>
      <c r="N663" s="5" t="s">
        <v>50138</v>
      </c>
      <c r="O663" s="5" t="str">
        <v>5610211668</v>
      </c>
      <c r="P663" s="27">
        <v>100000</v>
      </c>
      <c r="Q663" s="5" t="s">
        <v>49057</v>
      </c>
      <c r="R663" s="5"/>
      <c r="S663" s="5" t="s">
        <v>50139</v>
      </c>
      <c r="T663" s="28">
        <v>107926000</v>
      </c>
      <c r="U663" s="28"/>
      <c r="V663" s="28">
        <v>485123000</v>
      </c>
      <c r="W663" s="28">
        <v>84347000</v>
      </c>
      <c r="X663" s="28">
        <v>7443000</v>
      </c>
      <c r="Y663" s="28">
        <v>716461000</v>
      </c>
      <c r="Z663" s="28">
        <v>85095000</v>
      </c>
      <c r="AA663" s="28">
        <v>49061000</v>
      </c>
      <c r="AB663" s="28">
        <v>257724000</v>
      </c>
      <c r="AC663" s="28">
        <v>570312000</v>
      </c>
      <c r="AD663" s="28">
        <v>85195000</v>
      </c>
      <c r="AE663" s="28">
        <v>10246920000</v>
      </c>
      <c r="AF663" s="28">
        <v>41135000</v>
      </c>
      <c r="AG663" s="11"/>
    </row>
    <row r="664">
      <c r="A664" s="7" t="s">
        <v>2399</v>
      </c>
      <c r="B664" s="5" t="s">
        <v>10376</v>
      </c>
      <c r="C664" s="5" t="s">
        <v>18267</v>
      </c>
      <c r="D664" s="5" t="str">
        <v>772870228439</v>
      </c>
      <c r="E664" s="0" t="e">
        <f>+7 (48438) 26100
+7 (48438) 26109
+7 (495) 7995698
+7 (495) 7995699</f>
        <v>#NAME?</v>
      </c>
      <c r="F664" s="5" t="s">
        <v>27343</v>
      </c>
      <c r="G664" s="5" t="s">
        <v>27344</v>
      </c>
      <c r="H664" s="26">
        <v>12.5</v>
      </c>
      <c r="I664" s="5" t="s">
        <v>27345</v>
      </c>
      <c r="J664" s="5" t="s">
        <v>25437</v>
      </c>
      <c r="K664" s="5" t="s">
        <v>344</v>
      </c>
      <c r="L664" s="5" t="s">
        <v>27346</v>
      </c>
      <c r="M664" s="27"/>
      <c r="N664" s="5"/>
      <c r="O664" s="5" t="str">
        <v>4029043692</v>
      </c>
      <c r="P664" s="27">
        <v>700010000</v>
      </c>
      <c r="Q664" s="5" t="s">
        <v>50140</v>
      </c>
      <c r="R664" s="5"/>
      <c r="S664" s="5" t="s">
        <v>49066</v>
      </c>
      <c r="T664" s="28">
        <v>8550272000</v>
      </c>
      <c r="U664" s="28"/>
      <c r="V664" s="28">
        <v>13772334000</v>
      </c>
      <c r="W664" s="28"/>
      <c r="X664" s="28">
        <v>664471000</v>
      </c>
      <c r="Y664" s="28">
        <v>34727644000</v>
      </c>
      <c r="Z664" s="28">
        <v>7414370000</v>
      </c>
      <c r="AA664" s="28"/>
      <c r="AB664" s="28">
        <v>10268488000</v>
      </c>
      <c r="AC664" s="28">
        <v>21666956000</v>
      </c>
      <c r="AD664" s="28">
        <v>12399380000</v>
      </c>
      <c r="AE664" s="28">
        <v>23610553000</v>
      </c>
      <c r="AF664" s="28">
        <v>2176481000</v>
      </c>
      <c r="AG664" s="11"/>
    </row>
    <row r="665">
      <c r="A665" s="7" t="s">
        <v>2400</v>
      </c>
      <c r="B665" s="5" t="s">
        <v>10377</v>
      </c>
      <c r="C665" s="5" t="s">
        <v>18268</v>
      </c>
      <c r="D665" s="5" t="str">
        <v>771584188470</v>
      </c>
      <c r="E665" s="0" t="e">
        <f>+7 (495) 7995698
+7 (48438) 26100
+7 (495) 7995699</f>
        <v>#NAME?</v>
      </c>
      <c r="F665" s="5" t="s">
        <v>27347</v>
      </c>
      <c r="G665" s="5" t="s">
        <v>27348</v>
      </c>
      <c r="H665" s="26">
        <v>17</v>
      </c>
      <c r="I665" s="5" t="s">
        <v>27349</v>
      </c>
      <c r="J665" s="5" t="s">
        <v>25429</v>
      </c>
      <c r="K665" s="5" t="s">
        <v>344</v>
      </c>
      <c r="L665" s="5" t="s">
        <v>27350</v>
      </c>
      <c r="M665" s="27"/>
      <c r="N665" s="5" t="s">
        <v>50141</v>
      </c>
      <c r="O665" s="5" t="str">
        <v>7704579700</v>
      </c>
      <c r="P665" s="27">
        <v>193000000</v>
      </c>
      <c r="Q665" s="5" t="s">
        <v>49009</v>
      </c>
      <c r="R665" s="5"/>
      <c r="S665" s="5" t="s">
        <v>49358</v>
      </c>
      <c r="T665" s="28">
        <v>1202137000</v>
      </c>
      <c r="U665" s="28">
        <v>8000000</v>
      </c>
      <c r="V665" s="28">
        <v>26305238000</v>
      </c>
      <c r="W665" s="28"/>
      <c r="X665" s="28">
        <v>4175097000</v>
      </c>
      <c r="Y665" s="28">
        <v>54548611000</v>
      </c>
      <c r="Z665" s="28">
        <v>5706816000</v>
      </c>
      <c r="AA665" s="28"/>
      <c r="AB665" s="28"/>
      <c r="AC665" s="28">
        <v>47622752000</v>
      </c>
      <c r="AD665" s="28">
        <v>5965249000</v>
      </c>
      <c r="AE665" s="28">
        <v>53673601000</v>
      </c>
      <c r="AF665" s="28">
        <v>-14509000</v>
      </c>
      <c r="AG665" s="11"/>
    </row>
    <row r="666">
      <c r="A666" s="7" t="s">
        <v>2401</v>
      </c>
      <c r="B666" s="5" t="s">
        <v>10378</v>
      </c>
      <c r="C666" s="5" t="s">
        <v>18269</v>
      </c>
      <c r="D666" s="5" t="str">
        <v>666006173164</v>
      </c>
      <c r="E666" s="0" t="e">
        <f>+7 (343) 3050010
+7 (343) 3050020
+7 (904) 1653894
+7 (3433) 822000</f>
        <v>#NAME?</v>
      </c>
      <c r="F666" s="5" t="s">
        <v>27351</v>
      </c>
      <c r="G666" s="5"/>
      <c r="H666" s="26">
        <v>11</v>
      </c>
      <c r="I666" s="5" t="s">
        <v>27352</v>
      </c>
      <c r="J666" s="5" t="s">
        <v>364</v>
      </c>
      <c r="K666" s="5" t="s">
        <v>344</v>
      </c>
      <c r="L666" s="5"/>
      <c r="M666" s="27"/>
      <c r="N666" s="5" t="s">
        <v>50142</v>
      </c>
      <c r="O666" s="5" t="str">
        <v>6658403031</v>
      </c>
      <c r="P666" s="27">
        <v>10000</v>
      </c>
      <c r="Q666" s="5" t="s">
        <v>50143</v>
      </c>
      <c r="R666" s="5"/>
      <c r="S666" s="5" t="s">
        <v>50144</v>
      </c>
      <c r="T666" s="28">
        <v>51897000</v>
      </c>
      <c r="U666" s="28"/>
      <c r="V666" s="28">
        <v>1578117000</v>
      </c>
      <c r="W666" s="28"/>
      <c r="X666" s="28">
        <v>598764000</v>
      </c>
      <c r="Y666" s="28">
        <v>2402602000</v>
      </c>
      <c r="Z666" s="28">
        <v>331341000</v>
      </c>
      <c r="AA666" s="28"/>
      <c r="AB666" s="28"/>
      <c r="AC666" s="28">
        <v>2071251000</v>
      </c>
      <c r="AD666" s="28">
        <v>331351000</v>
      </c>
      <c r="AE666" s="28">
        <v>3572580000</v>
      </c>
      <c r="AF666" s="28">
        <v>1489000</v>
      </c>
      <c r="AG666" s="11"/>
    </row>
    <row r="667">
      <c r="A667" s="7" t="s">
        <v>2402</v>
      </c>
      <c r="B667" s="5" t="s">
        <v>10379</v>
      </c>
      <c r="C667" s="5" t="s">
        <v>18270</v>
      </c>
      <c r="D667" s="5" t="str">
        <v>344400518775</v>
      </c>
      <c r="E667" s="0" t="e">
        <f>+7 (3512) 445893
+7 (815) 2249000
+7 (815) 2792959
+7 (851) 2246000
+7 (851) 2249000
+7 (851) 2249090
+7 (851) 2249200
+7 (851) 2256548
+7 (851) 2299000
+7 (851) 2301741
+7 (851) 2335368
+7 (851) 2335613
+7 (851) 2330393
+7 (851) 2335356
+7 (851) 2335366</f>
        <v>#NAME?</v>
      </c>
      <c r="F667" s="5" t="s">
        <v>27353</v>
      </c>
      <c r="G667" s="5" t="s">
        <v>27354</v>
      </c>
      <c r="H667" s="26">
        <v>18</v>
      </c>
      <c r="I667" s="5" t="s">
        <v>27355</v>
      </c>
      <c r="J667" s="5" t="s">
        <v>26623</v>
      </c>
      <c r="K667" s="5" t="s">
        <v>355</v>
      </c>
      <c r="L667" s="5"/>
      <c r="M667" s="27">
        <v>6511735492</v>
      </c>
      <c r="N667" s="5" t="s">
        <v>50145</v>
      </c>
      <c r="O667" s="5" t="str">
        <v>3017041554</v>
      </c>
      <c r="P667" s="27">
        <v>5417300</v>
      </c>
      <c r="Q667" s="5" t="s">
        <v>50146</v>
      </c>
      <c r="R667" s="5"/>
      <c r="S667" s="5" t="s">
        <v>49271</v>
      </c>
      <c r="T667" s="28">
        <v>106129000</v>
      </c>
      <c r="U667" s="28"/>
      <c r="V667" s="28">
        <v>3321831000</v>
      </c>
      <c r="W667" s="28"/>
      <c r="X667" s="28">
        <v>120752000</v>
      </c>
      <c r="Y667" s="28">
        <v>3601155000</v>
      </c>
      <c r="Z667" s="28">
        <v>222755000</v>
      </c>
      <c r="AA667" s="28"/>
      <c r="AB667" s="28"/>
      <c r="AC667" s="28">
        <v>3087859000</v>
      </c>
      <c r="AD667" s="28">
        <v>237092000</v>
      </c>
      <c r="AE667" s="28">
        <v>12370541000</v>
      </c>
      <c r="AF667" s="28">
        <v>53348000</v>
      </c>
      <c r="AG667" s="11"/>
    </row>
    <row r="668">
      <c r="A668" s="7" t="s">
        <v>2403</v>
      </c>
      <c r="B668" s="5" t="s">
        <v>10380</v>
      </c>
      <c r="C668" s="5" t="s">
        <v>18271</v>
      </c>
      <c r="D668" s="5" t="str">
        <v>501810795946</v>
      </c>
      <c r="E668" s="0" t="e">
        <f>+7 (496) 5629027</f>
        <v>#NAME?</v>
      </c>
      <c r="F668" s="5" t="s">
        <v>27356</v>
      </c>
      <c r="G668" s="5"/>
      <c r="H668" s="26">
        <v>19.5</v>
      </c>
      <c r="I668" s="5" t="s">
        <v>27357</v>
      </c>
      <c r="J668" s="5" t="s">
        <v>373</v>
      </c>
      <c r="K668" s="5" t="s">
        <v>344</v>
      </c>
      <c r="L668" s="5" t="s">
        <v>25617</v>
      </c>
      <c r="M668" s="27"/>
      <c r="N668" s="5"/>
      <c r="O668" s="5" t="str">
        <v>5050045197</v>
      </c>
      <c r="P668" s="27">
        <v>20000</v>
      </c>
      <c r="Q668" s="5" t="s">
        <v>49057</v>
      </c>
      <c r="R668" s="5"/>
      <c r="S668" s="5" t="s">
        <v>50147</v>
      </c>
      <c r="T668" s="28">
        <v>3650000</v>
      </c>
      <c r="U668" s="28"/>
      <c r="V668" s="28">
        <v>291106000</v>
      </c>
      <c r="W668" s="28"/>
      <c r="X668" s="28">
        <v>286979000</v>
      </c>
      <c r="Y668" s="28">
        <v>582484000</v>
      </c>
      <c r="Z668" s="28">
        <v>75768000</v>
      </c>
      <c r="AA668" s="28">
        <v>375450000</v>
      </c>
      <c r="AB668" s="28"/>
      <c r="AC668" s="28">
        <v>126898000</v>
      </c>
      <c r="AD668" s="28">
        <v>75788000</v>
      </c>
      <c r="AE668" s="28">
        <v>3917790000</v>
      </c>
      <c r="AF668" s="28">
        <v>25971000</v>
      </c>
      <c r="AG668" s="11"/>
    </row>
    <row r="669">
      <c r="A669" s="7" t="s">
        <v>2404</v>
      </c>
      <c r="B669" s="5" t="s">
        <v>10381</v>
      </c>
      <c r="C669" s="5" t="s">
        <v>18272</v>
      </c>
      <c r="D669" s="5" t="str">
        <v>282601078280</v>
      </c>
      <c r="E669" s="0" t="e">
        <f>+7 (416) 2231119
+7 (416) 2231123
+7 (416) 2231124
+7 (416) 2375699
+7 (416) 2444229
+7 (416) 2447419</f>
        <v>#NAME?</v>
      </c>
      <c r="F669" s="5" t="s">
        <v>27358</v>
      </c>
      <c r="G669" s="5"/>
      <c r="H669" s="26">
        <v>23.5</v>
      </c>
      <c r="I669" s="5"/>
      <c r="J669" s="5" t="s">
        <v>467</v>
      </c>
      <c r="K669" s="5" t="s">
        <v>344</v>
      </c>
      <c r="L669" s="5" t="s">
        <v>27359</v>
      </c>
      <c r="M669" s="27">
        <v>432955</v>
      </c>
      <c r="N669" s="5" t="s">
        <v>50148</v>
      </c>
      <c r="O669" s="5" t="str">
        <v>2801069343</v>
      </c>
      <c r="P669" s="27">
        <v>15115200</v>
      </c>
      <c r="Q669" s="5" t="s">
        <v>50150</v>
      </c>
      <c r="R669" s="5" t="s">
        <v>50151</v>
      </c>
      <c r="S669" s="5" t="s">
        <v>50152</v>
      </c>
      <c r="T669" s="28">
        <v>1456731000</v>
      </c>
      <c r="U669" s="28"/>
      <c r="V669" s="28">
        <v>508598000</v>
      </c>
      <c r="W669" s="28">
        <v>43500000</v>
      </c>
      <c r="X669" s="28">
        <v>350602000</v>
      </c>
      <c r="Y669" s="28">
        <v>3194085000</v>
      </c>
      <c r="Z669" s="28">
        <v>1235543000</v>
      </c>
      <c r="AA669" s="28"/>
      <c r="AB669" s="28">
        <v>433476000</v>
      </c>
      <c r="AC669" s="28">
        <v>1475973000</v>
      </c>
      <c r="AD669" s="28">
        <v>1250831000</v>
      </c>
      <c r="AE669" s="28">
        <v>7082748000</v>
      </c>
      <c r="AF669" s="28">
        <v>124315000</v>
      </c>
      <c r="AG669" s="11"/>
    </row>
    <row r="670">
      <c r="A670" s="7" t="s">
        <v>2405</v>
      </c>
      <c r="B670" s="5" t="s">
        <v>10382</v>
      </c>
      <c r="C670" s="5" t="s">
        <v>18273</v>
      </c>
      <c r="D670" s="5" t="str">
        <v>772027610836</v>
      </c>
      <c r="E670" s="0" t="e">
        <f>+7 (495) 2323725
+7 (495) 7253281
+7 (495) 7379070
+7 (83142) 17900
+7 (83142) 17919
+7 (83172) 53281</f>
        <v>#NAME?</v>
      </c>
      <c r="F670" s="5" t="s">
        <v>27360</v>
      </c>
      <c r="G670" s="5" t="s">
        <v>27361</v>
      </c>
      <c r="H670" s="26">
        <v>25</v>
      </c>
      <c r="I670" s="5" t="s">
        <v>27362</v>
      </c>
      <c r="J670" s="5" t="s">
        <v>27182</v>
      </c>
      <c r="K670" s="5" t="s">
        <v>355</v>
      </c>
      <c r="L670" s="5" t="s">
        <v>27363</v>
      </c>
      <c r="M670" s="27">
        <v>293793945</v>
      </c>
      <c r="N670" s="5" t="s">
        <v>50153</v>
      </c>
      <c r="O670" s="5" t="str">
        <v>7701186067</v>
      </c>
      <c r="P670" s="27">
        <v>350044835</v>
      </c>
      <c r="Q670" s="5" t="s">
        <v>50154</v>
      </c>
      <c r="R670" s="5" t="s">
        <v>50155</v>
      </c>
      <c r="S670" s="5" t="s">
        <v>50156</v>
      </c>
      <c r="T670" s="28">
        <v>15185263000</v>
      </c>
      <c r="U670" s="28">
        <v>20404154000</v>
      </c>
      <c r="V670" s="28">
        <v>370694727000</v>
      </c>
      <c r="W670" s="28">
        <v>58363708000</v>
      </c>
      <c r="X670" s="28">
        <v>18514615000</v>
      </c>
      <c r="Y670" s="28">
        <v>651723238000</v>
      </c>
      <c r="Z670" s="28">
        <v>36826573000</v>
      </c>
      <c r="AA670" s="28">
        <v>31444364000</v>
      </c>
      <c r="AB670" s="28">
        <v>1027484000</v>
      </c>
      <c r="AC670" s="28">
        <v>338703458000</v>
      </c>
      <c r="AD670" s="28">
        <v>104863876000</v>
      </c>
      <c r="AE670" s="28">
        <v>287892538000</v>
      </c>
      <c r="AF670" s="28">
        <v>17533139000</v>
      </c>
      <c r="AG670" s="11"/>
    </row>
    <row r="671">
      <c r="A671" s="7" t="s">
        <v>2406</v>
      </c>
      <c r="B671" s="5" t="s">
        <v>10383</v>
      </c>
      <c r="C671" s="5" t="s">
        <v>18274</v>
      </c>
      <c r="D671" s="5"/>
      <c r="E671" s="0" t="e">
        <f>+7 (495) 6609875
+7 (495) 6609870
+7 (495) 7215090
+7 (495) 7293582</f>
        <v>#NAME?</v>
      </c>
      <c r="F671" s="5"/>
      <c r="G671" s="5"/>
      <c r="H671" s="26">
        <v>18.5</v>
      </c>
      <c r="I671" s="5" t="s">
        <v>27364</v>
      </c>
      <c r="J671" s="5" t="s">
        <v>25738</v>
      </c>
      <c r="K671" s="5" t="s">
        <v>355</v>
      </c>
      <c r="L671" s="5"/>
      <c r="M671" s="27">
        <v>524064990</v>
      </c>
      <c r="N671" s="5"/>
      <c r="O671" s="5" t="str">
        <v>7743543232</v>
      </c>
      <c r="P671" s="27">
        <v>8348000000</v>
      </c>
      <c r="Q671" s="5" t="s">
        <v>49009</v>
      </c>
      <c r="R671" s="5" t="s">
        <v>50157</v>
      </c>
      <c r="S671" s="5" t="s">
        <v>49066</v>
      </c>
      <c r="T671" s="28">
        <v>18144373000</v>
      </c>
      <c r="U671" s="28"/>
      <c r="V671" s="28">
        <v>860849000</v>
      </c>
      <c r="W671" s="28"/>
      <c r="X671" s="28">
        <v>965682000</v>
      </c>
      <c r="Y671" s="28">
        <v>24894234000</v>
      </c>
      <c r="Z671" s="28">
        <v>-6071672000</v>
      </c>
      <c r="AA671" s="28"/>
      <c r="AB671" s="28">
        <v>5281865000</v>
      </c>
      <c r="AC671" s="28">
        <v>11099009000</v>
      </c>
      <c r="AD671" s="28">
        <v>13296442000</v>
      </c>
      <c r="AE671" s="28">
        <v>52328713000</v>
      </c>
      <c r="AF671" s="28">
        <v>2277282000</v>
      </c>
      <c r="AG671" s="11"/>
    </row>
    <row r="672">
      <c r="A672" s="7" t="s">
        <v>2407</v>
      </c>
      <c r="B672" s="5" t="s">
        <v>10384</v>
      </c>
      <c r="C672" s="5" t="s">
        <v>18275</v>
      </c>
      <c r="D672" s="5" t="str">
        <v>637720191766</v>
      </c>
      <c r="E672" s="0" t="e">
        <f>+7 (927) 2032392
+7 (927) 7077501</f>
        <v>#NAME?</v>
      </c>
      <c r="F672" s="5"/>
      <c r="G672" s="5"/>
      <c r="H672" s="26">
        <v>10</v>
      </c>
      <c r="I672" s="5" t="s">
        <v>27365</v>
      </c>
      <c r="J672" s="5" t="s">
        <v>25446</v>
      </c>
      <c r="K672" s="5" t="s">
        <v>355</v>
      </c>
      <c r="L672" s="5" t="s">
        <v>27366</v>
      </c>
      <c r="M672" s="27"/>
      <c r="N672" s="5"/>
      <c r="O672" s="5" t="str">
        <v>6319167661</v>
      </c>
      <c r="P672" s="27">
        <v>10000</v>
      </c>
      <c r="Q672" s="5" t="s">
        <v>49009</v>
      </c>
      <c r="R672" s="5"/>
      <c r="S672" s="5" t="s">
        <v>49010</v>
      </c>
      <c r="T672" s="28">
        <v>334652000</v>
      </c>
      <c r="U672" s="28">
        <v>5200000</v>
      </c>
      <c r="V672" s="28">
        <v>179033000</v>
      </c>
      <c r="W672" s="28">
        <v>140985000</v>
      </c>
      <c r="X672" s="28">
        <v>334000</v>
      </c>
      <c r="Y672" s="28">
        <v>738304000</v>
      </c>
      <c r="Z672" s="28">
        <v>22130000</v>
      </c>
      <c r="AA672" s="28"/>
      <c r="AB672" s="28"/>
      <c r="AC672" s="28">
        <v>716164000</v>
      </c>
      <c r="AD672" s="28">
        <v>22140000</v>
      </c>
      <c r="AE672" s="28">
        <v>4552734000</v>
      </c>
      <c r="AF672" s="28">
        <v>22016000</v>
      </c>
      <c r="AG672" s="11"/>
    </row>
    <row r="673">
      <c r="A673" s="7" t="s">
        <v>2408</v>
      </c>
      <c r="B673" s="5" t="s">
        <v>10385</v>
      </c>
      <c r="C673" s="5" t="s">
        <v>18276</v>
      </c>
      <c r="D673" s="5" t="str">
        <v>662900751569</v>
      </c>
      <c r="E673" s="0" t="e">
        <f>+7 (3422) 357876
+7 (345) 2578073
+7 (391) 2208089
+7 (391) 2547737
+7 (3952) 562472
+7 (4232) 25021
+7 (485) 2609032
+7 (495) 1201524
+7 (495) 2025021
+7 (343) 2478192
+7 (3517) 995463
+7 (383) 2075664
+7 (384) 2400130
+7 (391) 2298089
+7 (473) 3003018</f>
        <v>#NAME?</v>
      </c>
      <c r="F673" s="5" t="s">
        <v>27367</v>
      </c>
      <c r="G673" s="5" t="s">
        <v>27368</v>
      </c>
      <c r="H673" s="26">
        <v>9.5</v>
      </c>
      <c r="I673" s="5" t="s">
        <v>27369</v>
      </c>
      <c r="J673" s="5" t="s">
        <v>25429</v>
      </c>
      <c r="K673" s="5" t="s">
        <v>344</v>
      </c>
      <c r="L673" s="5" t="s">
        <v>27370</v>
      </c>
      <c r="M673" s="27"/>
      <c r="N673" s="5" t="s">
        <v>50158</v>
      </c>
      <c r="O673" s="5" t="str">
        <v>5027203511</v>
      </c>
      <c r="P673" s="27">
        <v>402016080</v>
      </c>
      <c r="Q673" s="5" t="s">
        <v>50159</v>
      </c>
      <c r="R673" s="5"/>
      <c r="S673" s="5" t="s">
        <v>50160</v>
      </c>
      <c r="T673" s="28">
        <v>315456000</v>
      </c>
      <c r="U673" s="28"/>
      <c r="V673" s="28">
        <v>767734000</v>
      </c>
      <c r="W673" s="28">
        <v>113658000</v>
      </c>
      <c r="X673" s="28">
        <v>140540000</v>
      </c>
      <c r="Y673" s="28">
        <v>2288618000</v>
      </c>
      <c r="Z673" s="28">
        <v>989224000</v>
      </c>
      <c r="AA673" s="28"/>
      <c r="AB673" s="28"/>
      <c r="AC673" s="28">
        <v>632315000</v>
      </c>
      <c r="AD673" s="28">
        <v>1391240000</v>
      </c>
      <c r="AE673" s="28">
        <v>7310439000</v>
      </c>
      <c r="AF673" s="28">
        <v>989224000</v>
      </c>
      <c r="AG673" s="11"/>
    </row>
    <row r="674">
      <c r="A674" s="7" t="s">
        <v>2409</v>
      </c>
      <c r="B674" s="5" t="s">
        <v>10386</v>
      </c>
      <c r="C674" s="5" t="s">
        <v>18277</v>
      </c>
      <c r="D674" s="5" t="str">
        <v>501201656239</v>
      </c>
      <c r="F674" s="5" t="s">
        <v>27371</v>
      </c>
      <c r="G674" s="5" t="s">
        <v>27372</v>
      </c>
      <c r="H674" s="26">
        <v>9</v>
      </c>
      <c r="I674" s="5" t="s">
        <v>27373</v>
      </c>
      <c r="J674" s="5" t="s">
        <v>25327</v>
      </c>
      <c r="K674" s="5" t="s">
        <v>355</v>
      </c>
      <c r="L674" s="5" t="s">
        <v>27374</v>
      </c>
      <c r="M674" s="27">
        <v>7262700</v>
      </c>
      <c r="N674" s="5" t="s">
        <v>50161</v>
      </c>
      <c r="O674" s="5" t="str">
        <v>7706806518</v>
      </c>
      <c r="P674" s="27">
        <v>660000000</v>
      </c>
      <c r="Q674" s="5" t="s">
        <v>50162</v>
      </c>
      <c r="R674" s="5"/>
      <c r="S674" s="5" t="s">
        <v>50163</v>
      </c>
      <c r="T674" s="28">
        <v>17378000</v>
      </c>
      <c r="U674" s="28">
        <v>156000000</v>
      </c>
      <c r="V674" s="28">
        <v>27322429000</v>
      </c>
      <c r="W674" s="28">
        <v>847122000</v>
      </c>
      <c r="X674" s="28">
        <v>1082989000</v>
      </c>
      <c r="Y674" s="28">
        <v>33035880000</v>
      </c>
      <c r="Z674" s="28">
        <v>-523055000</v>
      </c>
      <c r="AA674" s="28"/>
      <c r="AB674" s="28">
        <v>11069921000</v>
      </c>
      <c r="AC674" s="28">
        <v>32879851000</v>
      </c>
      <c r="AD674" s="28">
        <v>136945000</v>
      </c>
      <c r="AE674" s="28">
        <v>288676160000</v>
      </c>
      <c r="AF674" s="28">
        <v>-30119000</v>
      </c>
      <c r="AG674" s="11"/>
    </row>
    <row r="675">
      <c r="A675" s="7" t="s">
        <v>2410</v>
      </c>
      <c r="B675" s="5" t="s">
        <v>10387</v>
      </c>
      <c r="C675" s="5" t="s">
        <v>18278</v>
      </c>
      <c r="D675" s="5" t="str">
        <v>500404041856</v>
      </c>
      <c r="E675" s="0" t="e">
        <f>+7 (345) 2689880
+7 (349) 2231472
+7 (349) 2243906
+7 (349) 2243910</f>
        <v>#NAME?</v>
      </c>
      <c r="F675" s="5" t="s">
        <v>27375</v>
      </c>
      <c r="G675" s="5" t="s">
        <v>27376</v>
      </c>
      <c r="H675" s="26">
        <v>26</v>
      </c>
      <c r="I675" s="5" t="s">
        <v>27377</v>
      </c>
      <c r="J675" s="5" t="s">
        <v>27378</v>
      </c>
      <c r="K675" s="5" t="s">
        <v>355</v>
      </c>
      <c r="L675" s="5" t="s">
        <v>27379</v>
      </c>
      <c r="M675" s="27"/>
      <c r="N675" s="5" t="s">
        <v>50164</v>
      </c>
      <c r="O675" s="5" t="str">
        <v>8901008031</v>
      </c>
      <c r="P675" s="27">
        <v>3893576000</v>
      </c>
      <c r="Q675" s="5" t="s">
        <v>50165</v>
      </c>
      <c r="R675" s="5"/>
      <c r="S675" s="5" t="s">
        <v>50166</v>
      </c>
      <c r="T675" s="28">
        <v>13998733000</v>
      </c>
      <c r="U675" s="28">
        <v>11481000</v>
      </c>
      <c r="V675" s="28">
        <v>3065727000</v>
      </c>
      <c r="W675" s="28"/>
      <c r="X675" s="28">
        <v>1664383000</v>
      </c>
      <c r="Y675" s="28">
        <v>24263525000</v>
      </c>
      <c r="Z675" s="28">
        <v>-551384000</v>
      </c>
      <c r="AA675" s="28"/>
      <c r="AB675" s="28">
        <v>190000000</v>
      </c>
      <c r="AC675" s="28">
        <v>6383220000</v>
      </c>
      <c r="AD675" s="28">
        <v>3378423000</v>
      </c>
      <c r="AE675" s="28">
        <v>16683187000</v>
      </c>
      <c r="AF675" s="28">
        <v>246420000</v>
      </c>
      <c r="AG675" s="11"/>
    </row>
    <row r="676">
      <c r="A676" s="7" t="s">
        <v>2411</v>
      </c>
      <c r="B676" s="5" t="s">
        <v>10388</v>
      </c>
      <c r="C676" s="5" t="s">
        <v>18279</v>
      </c>
      <c r="D676" s="5" t="str">
        <v>781144678173</v>
      </c>
      <c r="E676" s="0" t="e">
        <f>+7 (812) 4935016
+7 (953) 9002315</f>
        <v>#NAME?</v>
      </c>
      <c r="F676" s="5" t="s">
        <v>27380</v>
      </c>
      <c r="G676" s="5" t="s">
        <v>27381</v>
      </c>
      <c r="H676" s="26">
        <v>8.5</v>
      </c>
      <c r="I676" s="5" t="s">
        <v>27382</v>
      </c>
      <c r="J676" s="5" t="s">
        <v>533</v>
      </c>
      <c r="K676" s="5" t="s">
        <v>344</v>
      </c>
      <c r="L676" s="5"/>
      <c r="M676" s="27">
        <v>828041</v>
      </c>
      <c r="N676" s="5"/>
      <c r="O676" s="5" t="str">
        <v>7810377262</v>
      </c>
      <c r="P676" s="27">
        <v>6118959</v>
      </c>
      <c r="Q676" s="5" t="s">
        <v>49021</v>
      </c>
      <c r="R676" s="5"/>
      <c r="S676" s="5" t="s">
        <v>50167</v>
      </c>
      <c r="T676" s="28">
        <v>792166000</v>
      </c>
      <c r="U676" s="28"/>
      <c r="V676" s="28">
        <v>751648000</v>
      </c>
      <c r="W676" s="28">
        <v>5921000</v>
      </c>
      <c r="X676" s="28">
        <v>15184000</v>
      </c>
      <c r="Y676" s="28">
        <v>1580377000</v>
      </c>
      <c r="Z676" s="28">
        <v>18528000</v>
      </c>
      <c r="AA676" s="28">
        <v>46000000</v>
      </c>
      <c r="AB676" s="28">
        <v>60501000</v>
      </c>
      <c r="AC676" s="28">
        <v>510546000</v>
      </c>
      <c r="AD676" s="28">
        <v>24647000</v>
      </c>
      <c r="AE676" s="28">
        <v>3934679000</v>
      </c>
      <c r="AF676" s="28">
        <v>6501000</v>
      </c>
      <c r="AG676" s="11"/>
    </row>
    <row r="677">
      <c r="A677" s="7" t="s">
        <v>2412</v>
      </c>
      <c r="B677" s="5" t="s">
        <v>10389</v>
      </c>
      <c r="C677" s="5" t="s">
        <v>18280</v>
      </c>
      <c r="D677" s="5" t="str">
        <v>671300505189</v>
      </c>
      <c r="F677" s="5"/>
      <c r="G677" s="5"/>
      <c r="H677" s="26">
        <v>4.5</v>
      </c>
      <c r="I677" s="5" t="s">
        <v>27383</v>
      </c>
      <c r="J677" s="5" t="s">
        <v>25837</v>
      </c>
      <c r="K677" s="5" t="s">
        <v>344</v>
      </c>
      <c r="L677" s="5" t="s">
        <v>27384</v>
      </c>
      <c r="M677" s="27"/>
      <c r="N677" s="5"/>
      <c r="O677" s="5" t="str">
        <v>6732167217</v>
      </c>
      <c r="P677" s="27">
        <v>10000</v>
      </c>
      <c r="Q677" s="5"/>
      <c r="R677" s="5"/>
      <c r="S677" s="5" t="s">
        <v>49029</v>
      </c>
      <c r="T677" s="28">
        <v>1211000</v>
      </c>
      <c r="U677" s="28"/>
      <c r="V677" s="28">
        <v>367328000</v>
      </c>
      <c r="W677" s="28">
        <v>582527000</v>
      </c>
      <c r="X677" s="28">
        <v>49324000</v>
      </c>
      <c r="Y677" s="28">
        <v>1325053000</v>
      </c>
      <c r="Z677" s="28">
        <v>234882000</v>
      </c>
      <c r="AA677" s="28">
        <v>571900000</v>
      </c>
      <c r="AB677" s="28">
        <v>20574000</v>
      </c>
      <c r="AC677" s="28">
        <v>518261000</v>
      </c>
      <c r="AD677" s="28">
        <v>234892000</v>
      </c>
      <c r="AE677" s="28">
        <v>3096327000</v>
      </c>
      <c r="AF677" s="28">
        <v>198091000</v>
      </c>
      <c r="AG677" s="11"/>
    </row>
    <row r="678">
      <c r="A678" s="7" t="s">
        <v>2413</v>
      </c>
      <c r="B678" s="5" t="s">
        <v>10390</v>
      </c>
      <c r="C678" s="5" t="s">
        <v>18281</v>
      </c>
      <c r="D678" s="5" t="str">
        <v>575106234944</v>
      </c>
      <c r="E678" s="0" t="e">
        <f>+7 (930) 7770000
+7 (920) 9200155
+7 (4862) 252327
+7 (4862) 444090</f>
        <v>#NAME?</v>
      </c>
      <c r="F678" s="5" t="s">
        <v>27385</v>
      </c>
      <c r="G678" s="5" t="s">
        <v>27386</v>
      </c>
      <c r="H678" s="26">
        <v>13</v>
      </c>
      <c r="I678" s="5"/>
      <c r="J678" s="5" t="s">
        <v>25842</v>
      </c>
      <c r="K678" s="5" t="s">
        <v>344</v>
      </c>
      <c r="L678" s="5" t="s">
        <v>27387</v>
      </c>
      <c r="M678" s="27"/>
      <c r="N678" s="5" t="s">
        <v>50168</v>
      </c>
      <c r="O678" s="5" t="str">
        <v>5751059254</v>
      </c>
      <c r="P678" s="27">
        <v>25000000</v>
      </c>
      <c r="Q678" s="5" t="s">
        <v>49009</v>
      </c>
      <c r="R678" s="5"/>
      <c r="S678" s="5" t="s">
        <v>49012</v>
      </c>
      <c r="T678" s="28">
        <v>200516000</v>
      </c>
      <c r="U678" s="28">
        <v>132210000</v>
      </c>
      <c r="V678" s="28">
        <v>1020089000</v>
      </c>
      <c r="W678" s="28">
        <v>3606000</v>
      </c>
      <c r="X678" s="28">
        <v>23333000</v>
      </c>
      <c r="Y678" s="28">
        <v>2471833000</v>
      </c>
      <c r="Z678" s="28">
        <v>934395000</v>
      </c>
      <c r="AA678" s="28">
        <v>172577000</v>
      </c>
      <c r="AB678" s="28">
        <v>910899000</v>
      </c>
      <c r="AC678" s="28">
        <v>1325898000</v>
      </c>
      <c r="AD678" s="28">
        <v>959395000</v>
      </c>
      <c r="AE678" s="28">
        <v>3683040000</v>
      </c>
      <c r="AF678" s="28">
        <v>431320000</v>
      </c>
      <c r="AG678" s="11"/>
    </row>
    <row r="679">
      <c r="A679" s="7" t="s">
        <v>462</v>
      </c>
      <c r="B679" s="5" t="s">
        <v>10391</v>
      </c>
      <c r="C679" s="5" t="s">
        <v>18282</v>
      </c>
      <c r="D679" s="5" t="str">
        <v>233500452929</v>
      </c>
      <c r="E679" s="0" t="e">
        <f>+7 (4712) 519642
+7 (495) 7559999
+7 (495) 7884949
+7 (800) 2504949</f>
        <v>#NAME?</v>
      </c>
      <c r="F679" s="5" t="s">
        <v>27388</v>
      </c>
      <c r="G679" s="5"/>
      <c r="H679" s="26">
        <v>6.5</v>
      </c>
      <c r="I679" s="5" t="s">
        <v>27389</v>
      </c>
      <c r="J679" s="5" t="s">
        <v>25587</v>
      </c>
      <c r="K679" s="5" t="s">
        <v>344</v>
      </c>
      <c r="L679" s="5" t="s">
        <v>27390</v>
      </c>
      <c r="M679" s="27"/>
      <c r="N679" s="5" t="s">
        <v>50169</v>
      </c>
      <c r="O679" s="5" t="str">
        <v>7730208886</v>
      </c>
      <c r="P679" s="27">
        <v>1000000</v>
      </c>
      <c r="Q679" s="5" t="s">
        <v>49009</v>
      </c>
      <c r="R679" s="5"/>
      <c r="S679" s="5" t="s">
        <v>49045</v>
      </c>
      <c r="T679" s="28">
        <v>1836214000</v>
      </c>
      <c r="U679" s="28"/>
      <c r="V679" s="28">
        <v>101109000</v>
      </c>
      <c r="W679" s="28"/>
      <c r="X679" s="28">
        <v>325937000</v>
      </c>
      <c r="Y679" s="28">
        <v>3509507000</v>
      </c>
      <c r="Z679" s="28">
        <v>280451000</v>
      </c>
      <c r="AA679" s="28">
        <v>100000000</v>
      </c>
      <c r="AB679" s="28">
        <v>45110000</v>
      </c>
      <c r="AC679" s="28">
        <v>1497077000</v>
      </c>
      <c r="AD679" s="28">
        <v>281451000</v>
      </c>
      <c r="AE679" s="28">
        <v>7723879000</v>
      </c>
      <c r="AF679" s="28">
        <v>52821000</v>
      </c>
      <c r="AG679" s="11"/>
    </row>
    <row r="680">
      <c r="A680" s="7" t="s">
        <v>462</v>
      </c>
      <c r="B680" s="5" t="s">
        <v>10392</v>
      </c>
      <c r="C680" s="5" t="s">
        <v>18283</v>
      </c>
      <c r="D680" s="5" t="str">
        <v>781013257100</v>
      </c>
      <c r="E680" s="0" t="e">
        <f>+7 (812) 3868547
+7 (911) 1125001
+7 (921) 9504715</f>
        <v>#NAME?</v>
      </c>
      <c r="F680" s="5" t="s">
        <v>27391</v>
      </c>
      <c r="G680" s="5"/>
      <c r="H680" s="26">
        <v>8.5</v>
      </c>
      <c r="I680" s="5" t="s">
        <v>27392</v>
      </c>
      <c r="J680" s="5" t="s">
        <v>599</v>
      </c>
      <c r="K680" s="5" t="s">
        <v>344</v>
      </c>
      <c r="L680" s="5" t="s">
        <v>27393</v>
      </c>
      <c r="M680" s="27"/>
      <c r="N680" s="5"/>
      <c r="O680" s="5" t="str">
        <v>7813596664</v>
      </c>
      <c r="P680" s="27">
        <v>1000000</v>
      </c>
      <c r="Q680" s="5" t="s">
        <v>50171</v>
      </c>
      <c r="R680" s="5"/>
      <c r="S680" s="5" t="s">
        <v>50172</v>
      </c>
      <c r="T680" s="28">
        <v>17803502000</v>
      </c>
      <c r="U680" s="28">
        <v>5759000</v>
      </c>
      <c r="V680" s="28">
        <v>653371000</v>
      </c>
      <c r="W680" s="28">
        <v>9887000</v>
      </c>
      <c r="X680" s="28">
        <v>3221213000</v>
      </c>
      <c r="Y680" s="28">
        <v>21726219000</v>
      </c>
      <c r="Z680" s="28">
        <v>4464459000</v>
      </c>
      <c r="AA680" s="28">
        <v>473490000</v>
      </c>
      <c r="AB680" s="28">
        <v>375801000</v>
      </c>
      <c r="AC680" s="28">
        <v>3252032000</v>
      </c>
      <c r="AD680" s="28">
        <v>4465459000</v>
      </c>
      <c r="AE680" s="28">
        <v>16044012000</v>
      </c>
      <c r="AF680" s="28">
        <v>2929187000</v>
      </c>
      <c r="AG680" s="11"/>
    </row>
    <row r="681">
      <c r="A681" s="7" t="s">
        <v>462</v>
      </c>
      <c r="B681" s="5" t="s">
        <v>10393</v>
      </c>
      <c r="C681" s="5" t="s">
        <v>18284</v>
      </c>
      <c r="D681" s="5" t="str">
        <v>771916008780</v>
      </c>
      <c r="E681" s="0" t="e">
        <f>+7 (499) 4180404
+7 (499) 6482020</f>
        <v>#NAME?</v>
      </c>
      <c r="F681" s="5" t="s">
        <v>27394</v>
      </c>
      <c r="G681" s="5" t="s">
        <v>27395</v>
      </c>
      <c r="H681" s="26">
        <v>11</v>
      </c>
      <c r="I681" s="5" t="s">
        <v>27396</v>
      </c>
      <c r="J681" s="5" t="s">
        <v>27397</v>
      </c>
      <c r="K681" s="5" t="s">
        <v>344</v>
      </c>
      <c r="L681" s="5"/>
      <c r="M681" s="27">
        <v>4093792</v>
      </c>
      <c r="N681" s="5"/>
      <c r="O681" s="5" t="str">
        <v>7719806667</v>
      </c>
      <c r="P681" s="27">
        <v>10000012000</v>
      </c>
      <c r="Q681" s="5" t="s">
        <v>50173</v>
      </c>
      <c r="R681" s="5"/>
      <c r="S681" s="5" t="s">
        <v>49053</v>
      </c>
      <c r="T681" s="28">
        <v>21204000</v>
      </c>
      <c r="U681" s="28"/>
      <c r="V681" s="28">
        <v>4217208000</v>
      </c>
      <c r="W681" s="28">
        <v>11834560000</v>
      </c>
      <c r="X681" s="28">
        <v>290634000</v>
      </c>
      <c r="Y681" s="28">
        <v>107317212000</v>
      </c>
      <c r="Z681" s="28">
        <v>9504503000</v>
      </c>
      <c r="AA681" s="28">
        <v>9586292000</v>
      </c>
      <c r="AB681" s="28">
        <v>13460000</v>
      </c>
      <c r="AC681" s="28">
        <v>16517815000</v>
      </c>
      <c r="AD681" s="28">
        <v>19504515000</v>
      </c>
      <c r="AE681" s="28">
        <v>61547418000</v>
      </c>
      <c r="AF681" s="28">
        <v>19253493000</v>
      </c>
      <c r="AG681" s="11"/>
    </row>
    <row r="682">
      <c r="A682" s="7" t="s">
        <v>462</v>
      </c>
      <c r="B682" s="5" t="s">
        <v>10394</v>
      </c>
      <c r="C682" s="5" t="s">
        <v>18285</v>
      </c>
      <c r="D682" s="5"/>
      <c r="E682" s="0" t="e">
        <f>+7 (3952) 489774
+7 (924) 7585888</f>
        <v>#NAME?</v>
      </c>
      <c r="F682" s="5" t="s">
        <v>27398</v>
      </c>
      <c r="G682" s="5"/>
      <c r="H682" s="26">
        <v>14.5</v>
      </c>
      <c r="I682" s="5" t="s">
        <v>27399</v>
      </c>
      <c r="J682" s="5" t="s">
        <v>26924</v>
      </c>
      <c r="K682" s="5" t="s">
        <v>355</v>
      </c>
      <c r="L682" s="5"/>
      <c r="M682" s="27"/>
      <c r="N682" s="5"/>
      <c r="O682" s="5" t="str">
        <v>0326479893</v>
      </c>
      <c r="P682" s="27">
        <v>500000</v>
      </c>
      <c r="Q682" s="5" t="s">
        <v>49057</v>
      </c>
      <c r="R682" s="5"/>
      <c r="S682" s="5" t="s">
        <v>49452</v>
      </c>
      <c r="T682" s="28">
        <v>3475306000</v>
      </c>
      <c r="U682" s="28"/>
      <c r="V682" s="28">
        <v>1730562000</v>
      </c>
      <c r="W682" s="28">
        <v>103527000</v>
      </c>
      <c r="X682" s="28">
        <v>55005000</v>
      </c>
      <c r="Y682" s="28">
        <v>6770754000</v>
      </c>
      <c r="Z682" s="28">
        <v>1057887000</v>
      </c>
      <c r="AA682" s="28">
        <v>418010000</v>
      </c>
      <c r="AB682" s="28">
        <v>634348000</v>
      </c>
      <c r="AC682" s="28">
        <v>4088406000</v>
      </c>
      <c r="AD682" s="28">
        <v>1058387000</v>
      </c>
      <c r="AE682" s="28">
        <v>3429188000</v>
      </c>
      <c r="AF682" s="28">
        <v>694237000</v>
      </c>
      <c r="AG682" s="11"/>
    </row>
    <row r="683">
      <c r="A683" s="7" t="s">
        <v>2414</v>
      </c>
      <c r="B683" s="5" t="s">
        <v>10395</v>
      </c>
      <c r="C683" s="5" t="s">
        <v>18286</v>
      </c>
      <c r="D683" s="5" t="str">
        <v>771607144802</v>
      </c>
      <c r="E683" s="0" t="e">
        <f>+7 (499) 2679002
+7 (499) 2673213</f>
        <v>#NAME?</v>
      </c>
      <c r="F683" s="5"/>
      <c r="G683" s="5" t="s">
        <v>27400</v>
      </c>
      <c r="H683" s="26">
        <v>27</v>
      </c>
      <c r="I683" s="5" t="s">
        <v>27401</v>
      </c>
      <c r="J683" s="5" t="s">
        <v>25327</v>
      </c>
      <c r="K683" s="5" t="s">
        <v>344</v>
      </c>
      <c r="L683" s="5"/>
      <c r="M683" s="27"/>
      <c r="N683" s="5" t="s">
        <v>50174</v>
      </c>
      <c r="O683" s="5" t="str">
        <v>7701356135</v>
      </c>
      <c r="P683" s="27">
        <v>57750</v>
      </c>
      <c r="Q683" s="5" t="s">
        <v>49057</v>
      </c>
      <c r="R683" s="5"/>
      <c r="S683" s="5" t="s">
        <v>49101</v>
      </c>
      <c r="T683" s="28">
        <v>5069000</v>
      </c>
      <c r="U683" s="28">
        <v>152000</v>
      </c>
      <c r="V683" s="28">
        <v>1584446000</v>
      </c>
      <c r="W683" s="28"/>
      <c r="X683" s="28">
        <v>43000</v>
      </c>
      <c r="Y683" s="28">
        <v>1736882000</v>
      </c>
      <c r="Z683" s="28">
        <v>161848000</v>
      </c>
      <c r="AA683" s="28">
        <v>350025000</v>
      </c>
      <c r="AB683" s="28">
        <v>48739000</v>
      </c>
      <c r="AC683" s="28">
        <v>1224951000</v>
      </c>
      <c r="AD683" s="28">
        <v>161906000</v>
      </c>
      <c r="AE683" s="28">
        <v>3792945000</v>
      </c>
      <c r="AF683" s="28">
        <v>8659000</v>
      </c>
      <c r="AG683" s="11"/>
    </row>
    <row r="684">
      <c r="A684" s="7" t="s">
        <v>2415</v>
      </c>
      <c r="B684" s="5" t="s">
        <v>10396</v>
      </c>
      <c r="C684" s="5" t="s">
        <v>18287</v>
      </c>
      <c r="D684" s="5" t="str">
        <v>616107098881</v>
      </c>
      <c r="E684" s="0" t="e">
        <f>+7 (3412) 600998
+7 (3412) 601260
+7 (3412) 602188
+7 (343) 3787269
+7 (3472) 433653
+7 (3472) 433657
+7 (3472) 601999
+7 (3512) 190068
+7 (3512) 190076
+7 (35325) 40556
+7 (35325) 40557
+7 (383) 2208804
+7 (383) 2209411
+7 (383) 3358455
+7 (421) 2307858</f>
        <v>#NAME?</v>
      </c>
      <c r="F684" s="5" t="s">
        <v>27402</v>
      </c>
      <c r="G684" s="5" t="s">
        <v>27403</v>
      </c>
      <c r="H684" s="26">
        <v>26</v>
      </c>
      <c r="I684" s="5" t="s">
        <v>27404</v>
      </c>
      <c r="J684" s="5" t="s">
        <v>26251</v>
      </c>
      <c r="K684" s="5" t="s">
        <v>344</v>
      </c>
      <c r="L684" s="5" t="s">
        <v>27405</v>
      </c>
      <c r="M684" s="27"/>
      <c r="N684" s="5"/>
      <c r="O684" s="5" t="str">
        <v>6163026503</v>
      </c>
      <c r="P684" s="27">
        <v>710000</v>
      </c>
      <c r="Q684" s="5" t="s">
        <v>49021</v>
      </c>
      <c r="R684" s="5"/>
      <c r="S684" s="5" t="s">
        <v>50176</v>
      </c>
      <c r="T684" s="28">
        <v>6806629000</v>
      </c>
      <c r="U684" s="28">
        <v>357310000</v>
      </c>
      <c r="V684" s="28">
        <v>3690834000</v>
      </c>
      <c r="W684" s="28">
        <v>332634000</v>
      </c>
      <c r="X684" s="28">
        <v>2543775000</v>
      </c>
      <c r="Y684" s="28">
        <v>18466184000</v>
      </c>
      <c r="Z684" s="28">
        <v>14306436000</v>
      </c>
      <c r="AA684" s="28">
        <v>499990000</v>
      </c>
      <c r="AB684" s="28">
        <v>762500000</v>
      </c>
      <c r="AC684" s="28">
        <v>2439252000</v>
      </c>
      <c r="AD684" s="28">
        <v>14307499000</v>
      </c>
      <c r="AE684" s="28">
        <v>14517657000</v>
      </c>
      <c r="AF684" s="28">
        <v>3779069000</v>
      </c>
      <c r="AG684" s="11"/>
    </row>
    <row r="685">
      <c r="A685" s="7" t="s">
        <v>2416</v>
      </c>
      <c r="B685" s="5" t="s">
        <v>10397</v>
      </c>
      <c r="C685" s="5" t="s">
        <v>18288</v>
      </c>
      <c r="D685" s="5" t="str">
        <v>772822233453</v>
      </c>
      <c r="E685" s="0" t="e">
        <f>+7 (495) 9334060
+7 (495) 9335557
+7 (495) 9335558
+7 (343) 3103207
+7 (383) 2120913
+7 (383) 2120914
+7 (495) 7717421
+7 (495) 7752885
+7 (495) 9330190
+7 (495) 9331080
+7 (495) 9335522
+7 (495) 9335550
+7 (495) 9335552
+7 (495) 9335553
+7 (495) 9335554</f>
        <v>#NAME?</v>
      </c>
      <c r="F685" s="5" t="s">
        <v>27406</v>
      </c>
      <c r="G685" s="5"/>
      <c r="H685" s="26">
        <v>20</v>
      </c>
      <c r="I685" s="5"/>
      <c r="J685" s="5" t="s">
        <v>27407</v>
      </c>
      <c r="K685" s="5" t="s">
        <v>344</v>
      </c>
      <c r="L685" s="5" t="s">
        <v>27408</v>
      </c>
      <c r="M685" s="27"/>
      <c r="N685" s="5" t="s">
        <v>50177</v>
      </c>
      <c r="O685" s="5" t="str">
        <v>7710218759</v>
      </c>
      <c r="P685" s="27">
        <v>46690069</v>
      </c>
      <c r="Q685" s="5" t="s">
        <v>50178</v>
      </c>
      <c r="R685" s="5"/>
      <c r="S685" s="5" t="s">
        <v>50179</v>
      </c>
      <c r="T685" s="28">
        <v>402103000</v>
      </c>
      <c r="U685" s="28">
        <v>436000</v>
      </c>
      <c r="V685" s="28">
        <v>686457000</v>
      </c>
      <c r="W685" s="28"/>
      <c r="X685" s="28">
        <v>1775008000</v>
      </c>
      <c r="Y685" s="28">
        <v>4212104000</v>
      </c>
      <c r="Z685" s="28">
        <v>2893897000</v>
      </c>
      <c r="AA685" s="28"/>
      <c r="AB685" s="28">
        <v>415000</v>
      </c>
      <c r="AC685" s="28">
        <v>1115182000</v>
      </c>
      <c r="AD685" s="28">
        <v>3072468000</v>
      </c>
      <c r="AE685" s="28">
        <v>6418927000</v>
      </c>
      <c r="AF685" s="28">
        <v>344059000</v>
      </c>
      <c r="AG685" s="11"/>
    </row>
    <row r="686">
      <c r="A686" s="7" t="s">
        <v>2417</v>
      </c>
      <c r="B686" s="5" t="s">
        <v>10398</v>
      </c>
      <c r="C686" s="5" t="s">
        <v>18289</v>
      </c>
      <c r="D686" s="5" t="str">
        <v>344816016253</v>
      </c>
      <c r="E686" s="0" t="e">
        <f>+7 (800) 6004067
+7 (800) 7071408
+7 (967) 5645471</f>
        <v>#NAME?</v>
      </c>
      <c r="F686" s="5" t="s">
        <v>27409</v>
      </c>
      <c r="G686" s="5"/>
      <c r="H686" s="26">
        <v>15</v>
      </c>
      <c r="I686" s="5" t="s">
        <v>27410</v>
      </c>
      <c r="J686" s="5" t="s">
        <v>599</v>
      </c>
      <c r="K686" s="5" t="s">
        <v>355</v>
      </c>
      <c r="L686" s="5"/>
      <c r="M686" s="27">
        <v>1118588</v>
      </c>
      <c r="N686" s="5"/>
      <c r="O686" s="5" t="str">
        <v>3914021094</v>
      </c>
      <c r="P686" s="27">
        <v>12000000</v>
      </c>
      <c r="Q686" s="5" t="s">
        <v>49207</v>
      </c>
      <c r="R686" s="5"/>
      <c r="S686" s="5" t="s">
        <v>50180</v>
      </c>
      <c r="T686" s="28">
        <v>1292000</v>
      </c>
      <c r="U686" s="28">
        <v>7480000</v>
      </c>
      <c r="V686" s="28">
        <v>672683000</v>
      </c>
      <c r="W686" s="28">
        <v>275211000</v>
      </c>
      <c r="X686" s="28">
        <v>7065000</v>
      </c>
      <c r="Y686" s="28">
        <v>1464813000</v>
      </c>
      <c r="Z686" s="28">
        <v>-58385000</v>
      </c>
      <c r="AA686" s="28">
        <v>724568000</v>
      </c>
      <c r="AB686" s="28">
        <v>303284000</v>
      </c>
      <c r="AC686" s="28">
        <v>732290000</v>
      </c>
      <c r="AD686" s="28">
        <v>2337000</v>
      </c>
      <c r="AE686" s="28">
        <v>3049068000</v>
      </c>
      <c r="AF686" s="28">
        <v>50550000</v>
      </c>
      <c r="AG686" s="11"/>
    </row>
    <row r="687">
      <c r="A687" s="7" t="s">
        <v>2418</v>
      </c>
      <c r="B687" s="5" t="s">
        <v>10399</v>
      </c>
      <c r="C687" s="5" t="s">
        <v>18290</v>
      </c>
      <c r="D687" s="5" t="str">
        <v>616506949809</v>
      </c>
      <c r="F687" s="5" t="s">
        <v>27411</v>
      </c>
      <c r="G687" s="5"/>
      <c r="H687" s="26">
        <v>11</v>
      </c>
      <c r="I687" s="5" t="s">
        <v>26736</v>
      </c>
      <c r="J687" s="5" t="s">
        <v>26655</v>
      </c>
      <c r="K687" s="5" t="s">
        <v>344</v>
      </c>
      <c r="L687" s="5" t="s">
        <v>27412</v>
      </c>
      <c r="M687" s="27"/>
      <c r="N687" s="5"/>
      <c r="O687" s="5" t="str">
        <v>7447208587</v>
      </c>
      <c r="P687" s="27">
        <v>200000</v>
      </c>
      <c r="Q687" s="5"/>
      <c r="R687" s="5"/>
      <c r="S687" s="5" t="s">
        <v>49110</v>
      </c>
      <c r="T687" s="28">
        <v>901386000</v>
      </c>
      <c r="U687" s="28"/>
      <c r="V687" s="28">
        <v>14776000</v>
      </c>
      <c r="W687" s="28"/>
      <c r="X687" s="28">
        <v>376575000</v>
      </c>
      <c r="Y687" s="28">
        <v>2567503000</v>
      </c>
      <c r="Z687" s="28">
        <v>334788000</v>
      </c>
      <c r="AA687" s="28"/>
      <c r="AB687" s="28"/>
      <c r="AC687" s="28">
        <v>1529097000</v>
      </c>
      <c r="AD687" s="28">
        <v>334988000</v>
      </c>
      <c r="AE687" s="28">
        <v>18182807000</v>
      </c>
      <c r="AF687" s="28">
        <v>1319778000</v>
      </c>
      <c r="AG687" s="11"/>
    </row>
    <row r="688">
      <c r="A688" s="7" t="s">
        <v>2419</v>
      </c>
      <c r="B688" s="5" t="s">
        <v>10400</v>
      </c>
      <c r="C688" s="5" t="s">
        <v>18291</v>
      </c>
      <c r="D688" s="5" t="str">
        <v>231294302304</v>
      </c>
      <c r="E688" s="0" t="e">
        <f>+7 (861) 2125390
+7 (861) 2758133
+7 (861) 2755552</f>
        <v>#NAME?</v>
      </c>
      <c r="F688" s="5" t="s">
        <v>27413</v>
      </c>
      <c r="G688" s="5" t="s">
        <v>27414</v>
      </c>
      <c r="H688" s="26">
        <v>24</v>
      </c>
      <c r="I688" s="5" t="s">
        <v>27415</v>
      </c>
      <c r="J688" s="5" t="s">
        <v>27416</v>
      </c>
      <c r="K688" s="5" t="s">
        <v>344</v>
      </c>
      <c r="L688" s="5" t="s">
        <v>27417</v>
      </c>
      <c r="M688" s="27">
        <v>405052</v>
      </c>
      <c r="N688" s="5"/>
      <c r="O688" s="5" t="str">
        <v>2311053288</v>
      </c>
      <c r="P688" s="27">
        <v>21000000</v>
      </c>
      <c r="Q688" s="5" t="s">
        <v>49446</v>
      </c>
      <c r="R688" s="5" t="s">
        <v>50182</v>
      </c>
      <c r="S688" s="5" t="s">
        <v>50183</v>
      </c>
      <c r="T688" s="28">
        <v>592217000</v>
      </c>
      <c r="U688" s="28">
        <v>79000000</v>
      </c>
      <c r="V688" s="28">
        <v>91634000</v>
      </c>
      <c r="W688" s="28"/>
      <c r="X688" s="28">
        <v>41590000</v>
      </c>
      <c r="Y688" s="28">
        <v>1793098000</v>
      </c>
      <c r="Z688" s="28">
        <v>380609000</v>
      </c>
      <c r="AA688" s="28"/>
      <c r="AB688" s="28">
        <v>347900000</v>
      </c>
      <c r="AC688" s="28">
        <v>1110537000</v>
      </c>
      <c r="AD688" s="28">
        <v>401609000</v>
      </c>
      <c r="AE688" s="28">
        <v>3094001000</v>
      </c>
      <c r="AF688" s="28">
        <v>50006000</v>
      </c>
      <c r="AG688" s="11"/>
    </row>
    <row r="689">
      <c r="A689" s="7" t="s">
        <v>2420</v>
      </c>
      <c r="B689" s="5" t="s">
        <v>10401</v>
      </c>
      <c r="C689" s="5" t="s">
        <v>18292</v>
      </c>
      <c r="D689" s="5" t="str">
        <v>580200328717</v>
      </c>
      <c r="E689" s="0" t="e">
        <f>+7 (841) 5622871
+7 (84156) 20767
+7 (84156) 22565
+7 (84156) 42225
+7 (84156) 42235</f>
        <v>#NAME?</v>
      </c>
      <c r="F689" s="5" t="s">
        <v>27418</v>
      </c>
      <c r="G689" s="5" t="s">
        <v>27419</v>
      </c>
      <c r="H689" s="26">
        <v>26.5</v>
      </c>
      <c r="I689" s="5" t="s">
        <v>27420</v>
      </c>
      <c r="J689" s="5" t="s">
        <v>25994</v>
      </c>
      <c r="K689" s="5" t="s">
        <v>344</v>
      </c>
      <c r="L689" s="5" t="s">
        <v>27421</v>
      </c>
      <c r="M689" s="27"/>
      <c r="N689" s="5"/>
      <c r="O689" s="5" t="str">
        <v>5802000692</v>
      </c>
      <c r="P689" s="27">
        <v>200053327</v>
      </c>
      <c r="Q689" s="5" t="s">
        <v>49009</v>
      </c>
      <c r="R689" s="5"/>
      <c r="S689" s="5" t="s">
        <v>49028</v>
      </c>
      <c r="T689" s="28">
        <v>2425601000</v>
      </c>
      <c r="U689" s="28"/>
      <c r="V689" s="28">
        <v>1288179000</v>
      </c>
      <c r="W689" s="28"/>
      <c r="X689" s="28">
        <v>2590000</v>
      </c>
      <c r="Y689" s="28">
        <v>7441532000</v>
      </c>
      <c r="Z689" s="28">
        <v>2339065000</v>
      </c>
      <c r="AA689" s="28">
        <v>932500000</v>
      </c>
      <c r="AB689" s="28">
        <v>1879888000</v>
      </c>
      <c r="AC689" s="28">
        <v>3389273000</v>
      </c>
      <c r="AD689" s="28">
        <v>3015542000</v>
      </c>
      <c r="AE689" s="28">
        <v>7908238000</v>
      </c>
      <c r="AF689" s="28">
        <v>1112156000</v>
      </c>
      <c r="AG689" s="11"/>
    </row>
    <row r="690">
      <c r="A690" s="7" t="s">
        <v>2421</v>
      </c>
      <c r="B690" s="5" t="s">
        <v>10402</v>
      </c>
      <c r="C690" s="5" t="s">
        <v>18293</v>
      </c>
      <c r="D690" s="5" t="str">
        <v>481802034304</v>
      </c>
      <c r="E690" s="0" t="e">
        <f>+7 (495) 2329687
+7 (495) 3859840</f>
        <v>#NAME?</v>
      </c>
      <c r="F690" s="5" t="s">
        <v>27422</v>
      </c>
      <c r="G690" s="5"/>
      <c r="H690" s="26">
        <v>7</v>
      </c>
      <c r="I690" s="5" t="s">
        <v>27423</v>
      </c>
      <c r="J690" s="5" t="s">
        <v>26297</v>
      </c>
      <c r="K690" s="5" t="s">
        <v>344</v>
      </c>
      <c r="L690" s="5" t="s">
        <v>27424</v>
      </c>
      <c r="M690" s="27"/>
      <c r="N690" s="5" t="s">
        <v>50184</v>
      </c>
      <c r="O690" s="5" t="str">
        <v>5010051677</v>
      </c>
      <c r="P690" s="27">
        <v>10000</v>
      </c>
      <c r="Q690" s="5" t="s">
        <v>49021</v>
      </c>
      <c r="R690" s="5"/>
      <c r="S690" s="5" t="s">
        <v>50185</v>
      </c>
      <c r="T690" s="28">
        <v>540200000</v>
      </c>
      <c r="U690" s="28"/>
      <c r="V690" s="28">
        <v>521011000</v>
      </c>
      <c r="W690" s="28"/>
      <c r="X690" s="28">
        <v>130190000</v>
      </c>
      <c r="Y690" s="28">
        <v>3815656000</v>
      </c>
      <c r="Z690" s="28">
        <v>1739063000</v>
      </c>
      <c r="AA690" s="28"/>
      <c r="AB690" s="28">
        <v>451243000</v>
      </c>
      <c r="AC690" s="28">
        <v>1570694000</v>
      </c>
      <c r="AD690" s="28">
        <v>1739075000</v>
      </c>
      <c r="AE690" s="28">
        <v>3920068000</v>
      </c>
      <c r="AF690" s="28">
        <v>26232000</v>
      </c>
      <c r="AG690" s="11"/>
    </row>
    <row r="691">
      <c r="A691" s="7" t="s">
        <v>2422</v>
      </c>
      <c r="B691" s="5" t="s">
        <v>10403</v>
      </c>
      <c r="C691" s="5" t="s">
        <v>18294</v>
      </c>
      <c r="D691" s="5" t="str">
        <v>614313186160</v>
      </c>
      <c r="E691" s="0" t="e">
        <f>+7 (86392) 49606
+7 (495) 7907239
+7 (863) 9238291
+7 (86392) 30486
+7 (86392) 32140
+7 (86392) 35307
+7 (86392) 38180
+7 (86392) 38929
+7 (86392) 39081
+7 (86392) 47969
+7 (918) 5446279
+7 (928) 1519633
+7 (928) 1971270
+7 (988) 5650510</f>
        <v>#NAME?</v>
      </c>
      <c r="F691" s="5" t="s">
        <v>27425</v>
      </c>
      <c r="G691" s="5" t="s">
        <v>27426</v>
      </c>
      <c r="H691" s="26">
        <v>28</v>
      </c>
      <c r="I691" s="5"/>
      <c r="J691" s="5" t="s">
        <v>27427</v>
      </c>
      <c r="K691" s="5" t="s">
        <v>344</v>
      </c>
      <c r="L691" s="5"/>
      <c r="M691" s="27">
        <v>58132025</v>
      </c>
      <c r="N691" s="5" t="s">
        <v>50186</v>
      </c>
      <c r="O691" s="5" t="str">
        <v>6143005914</v>
      </c>
      <c r="P691" s="27">
        <v>200816200</v>
      </c>
      <c r="Q691" s="5" t="s">
        <v>50187</v>
      </c>
      <c r="R691" s="5"/>
      <c r="S691" s="5" t="s">
        <v>50188</v>
      </c>
      <c r="T691" s="28">
        <v>581025000</v>
      </c>
      <c r="U691" s="28">
        <v>201000</v>
      </c>
      <c r="V691" s="28">
        <v>3481960000</v>
      </c>
      <c r="W691" s="28"/>
      <c r="X691" s="28">
        <v>663048000</v>
      </c>
      <c r="Y691" s="28">
        <v>6903285000</v>
      </c>
      <c r="Z691" s="28">
        <v>1038044000</v>
      </c>
      <c r="AA691" s="28">
        <v>409504000</v>
      </c>
      <c r="AB691" s="28">
        <v>221782000</v>
      </c>
      <c r="AC691" s="28">
        <v>5073687000</v>
      </c>
      <c r="AD691" s="28">
        <v>1249631000</v>
      </c>
      <c r="AE691" s="28">
        <v>3632823000</v>
      </c>
      <c r="AF691" s="28">
        <v>238762000</v>
      </c>
      <c r="AG691" s="11"/>
    </row>
    <row r="692">
      <c r="A692" s="7" t="s">
        <v>2423</v>
      </c>
      <c r="B692" s="5" t="s">
        <v>10404</v>
      </c>
      <c r="C692" s="5" t="s">
        <v>18295</v>
      </c>
      <c r="D692" s="5" t="str">
        <v>772973529928</v>
      </c>
      <c r="E692" s="0" t="e">
        <f>+7 (495) 5088810
+7 (30245) 25305
+7 (495) 5088808
+7 (499) 9494919
+7 (914) 1206893</f>
        <v>#NAME?</v>
      </c>
      <c r="F692" s="5" t="s">
        <v>27428</v>
      </c>
      <c r="G692" s="5"/>
      <c r="H692" s="26">
        <v>28</v>
      </c>
      <c r="I692" s="5"/>
      <c r="J692" s="5" t="s">
        <v>678</v>
      </c>
      <c r="K692" s="5" t="s">
        <v>344</v>
      </c>
      <c r="L692" s="5"/>
      <c r="M692" s="27"/>
      <c r="N692" s="5" t="s">
        <v>50189</v>
      </c>
      <c r="O692" s="5" t="str">
        <v>7706016076</v>
      </c>
      <c r="P692" s="27">
        <v>28290277191</v>
      </c>
      <c r="Q692" s="5" t="s">
        <v>50190</v>
      </c>
      <c r="R692" s="5"/>
      <c r="S692" s="5" t="s">
        <v>50191</v>
      </c>
      <c r="T692" s="28">
        <v>197084000</v>
      </c>
      <c r="U692" s="28">
        <v>69032670000</v>
      </c>
      <c r="V692" s="28">
        <v>1984945000</v>
      </c>
      <c r="W692" s="28">
        <v>16507145000</v>
      </c>
      <c r="X692" s="28">
        <v>2910265000</v>
      </c>
      <c r="Y692" s="28">
        <v>91256848000</v>
      </c>
      <c r="Z692" s="28">
        <v>-1685055000</v>
      </c>
      <c r="AA692" s="28">
        <v>5000000000</v>
      </c>
      <c r="AB692" s="28">
        <v>28964231000</v>
      </c>
      <c r="AC692" s="28">
        <v>31316291000</v>
      </c>
      <c r="AD692" s="28">
        <v>54843159000</v>
      </c>
      <c r="AE692" s="28">
        <v>15175092000</v>
      </c>
      <c r="AF692" s="28">
        <v>-21772224000</v>
      </c>
      <c r="AG692" s="11"/>
    </row>
    <row r="693">
      <c r="A693" s="7" t="s">
        <v>2424</v>
      </c>
      <c r="B693" s="5" t="s">
        <v>10405</v>
      </c>
      <c r="C693" s="5" t="s">
        <v>18296</v>
      </c>
      <c r="D693" s="5" t="str">
        <v>366202214267</v>
      </c>
      <c r="E693" s="0" t="e">
        <f>+7 (473) 2227141
+7 (473) 2227142
+7 (473) 2227284
+7 (473) 2227285
+7 (473) 2227286
+7 (473) 2227287
+7 (473) 2227289
+7 (473) 2530947
+7 (800) 4504160</f>
        <v>#NAME?</v>
      </c>
      <c r="F693" s="5" t="s">
        <v>27429</v>
      </c>
      <c r="G693" s="5" t="s">
        <v>27430</v>
      </c>
      <c r="H693" s="26">
        <v>21.5</v>
      </c>
      <c r="I693" s="5"/>
      <c r="J693" s="5" t="s">
        <v>26623</v>
      </c>
      <c r="K693" s="5" t="s">
        <v>344</v>
      </c>
      <c r="L693" s="5" t="s">
        <v>27431</v>
      </c>
      <c r="M693" s="27"/>
      <c r="N693" s="5" t="s">
        <v>50192</v>
      </c>
      <c r="O693" s="5" t="str">
        <v>3666092377</v>
      </c>
      <c r="P693" s="27">
        <v>2000000</v>
      </c>
      <c r="Q693" s="5" t="s">
        <v>50193</v>
      </c>
      <c r="R693" s="5"/>
      <c r="S693" s="5" t="s">
        <v>49047</v>
      </c>
      <c r="T693" s="28">
        <v>58579000</v>
      </c>
      <c r="U693" s="28">
        <v>1500000</v>
      </c>
      <c r="V693" s="28">
        <v>270176000</v>
      </c>
      <c r="W693" s="28">
        <v>322100000</v>
      </c>
      <c r="X693" s="28">
        <v>4751000</v>
      </c>
      <c r="Y693" s="28">
        <v>659004000</v>
      </c>
      <c r="Z693" s="28">
        <v>336745000</v>
      </c>
      <c r="AA693" s="28"/>
      <c r="AB693" s="28"/>
      <c r="AC693" s="28">
        <v>296716000</v>
      </c>
      <c r="AD693" s="28">
        <v>338845000</v>
      </c>
      <c r="AE693" s="28">
        <v>4922937000</v>
      </c>
      <c r="AF693" s="28">
        <v>42637000</v>
      </c>
      <c r="AG693" s="11"/>
    </row>
    <row r="694">
      <c r="A694" s="7" t="s">
        <v>2425</v>
      </c>
      <c r="B694" s="5" t="s">
        <v>10406</v>
      </c>
      <c r="C694" s="5" t="s">
        <v>18297</v>
      </c>
      <c r="D694" s="5" t="str">
        <v>526097840294</v>
      </c>
      <c r="E694" s="0" t="e">
        <f>+7 (831) 2330406
+7 (499) 7040044
+7 (950) 3545003</f>
        <v>#NAME?</v>
      </c>
      <c r="F694" s="5" t="s">
        <v>27432</v>
      </c>
      <c r="G694" s="5" t="s">
        <v>27433</v>
      </c>
      <c r="H694" s="26">
        <v>9</v>
      </c>
      <c r="I694" s="5" t="s">
        <v>27434</v>
      </c>
      <c r="J694" s="5" t="s">
        <v>364</v>
      </c>
      <c r="K694" s="5" t="s">
        <v>355</v>
      </c>
      <c r="L694" s="5"/>
      <c r="M694" s="27">
        <v>2278030876</v>
      </c>
      <c r="N694" s="5"/>
      <c r="O694" s="5" t="str">
        <v>5261088954</v>
      </c>
      <c r="P694" s="27">
        <v>510000</v>
      </c>
      <c r="Q694" s="5" t="s">
        <v>50194</v>
      </c>
      <c r="R694" s="5"/>
      <c r="S694" s="5" t="s">
        <v>50195</v>
      </c>
      <c r="T694" s="28">
        <v>56592000</v>
      </c>
      <c r="U694" s="28"/>
      <c r="V694" s="28">
        <v>3749676000</v>
      </c>
      <c r="W694" s="28">
        <v>408061000</v>
      </c>
      <c r="X694" s="28">
        <v>58489000</v>
      </c>
      <c r="Y694" s="28">
        <v>4668054000</v>
      </c>
      <c r="Z694" s="28">
        <v>15264000</v>
      </c>
      <c r="AA694" s="28"/>
      <c r="AB694" s="28"/>
      <c r="AC694" s="28">
        <v>4650708000</v>
      </c>
      <c r="AD694" s="28">
        <v>15774000</v>
      </c>
      <c r="AE694" s="28">
        <v>9528219000</v>
      </c>
      <c r="AF694" s="28">
        <v>1978000</v>
      </c>
      <c r="AG694" s="11"/>
    </row>
    <row r="695">
      <c r="A695" s="7" t="s">
        <v>2426</v>
      </c>
      <c r="B695" s="5" t="s">
        <v>10407</v>
      </c>
      <c r="C695" s="5" t="s">
        <v>18298</v>
      </c>
      <c r="D695" s="5" t="str">
        <v>420505890060</v>
      </c>
      <c r="E695" s="0" t="e">
        <f>+7 (495) 7899788
+7 (495) 6682090
+7 (495) 6682093
+7 (495) 6682094
+7 (495) 6682095</f>
        <v>#NAME?</v>
      </c>
      <c r="F695" s="5" t="s">
        <v>27435</v>
      </c>
      <c r="G695" s="5" t="s">
        <v>27436</v>
      </c>
      <c r="H695" s="26">
        <v>17</v>
      </c>
      <c r="I695" s="5"/>
      <c r="J695" s="5" t="s">
        <v>27437</v>
      </c>
      <c r="K695" s="5" t="s">
        <v>355</v>
      </c>
      <c r="L695" s="5" t="s">
        <v>27438</v>
      </c>
      <c r="M695" s="27">
        <v>3629885</v>
      </c>
      <c r="N695" s="5" t="s">
        <v>50196</v>
      </c>
      <c r="O695" s="5" t="str">
        <v>7706614573</v>
      </c>
      <c r="P695" s="27">
        <v>3410656</v>
      </c>
      <c r="Q695" s="5" t="s">
        <v>50197</v>
      </c>
      <c r="R695" s="5"/>
      <c r="S695" s="5" t="s">
        <v>50198</v>
      </c>
      <c r="T695" s="28">
        <v>245156000</v>
      </c>
      <c r="U695" s="28">
        <v>61885350000</v>
      </c>
      <c r="V695" s="28">
        <v>63017532000</v>
      </c>
      <c r="W695" s="28">
        <v>44960072000</v>
      </c>
      <c r="X695" s="28">
        <v>23200058000</v>
      </c>
      <c r="Y695" s="28">
        <v>258208224000</v>
      </c>
      <c r="Z695" s="28">
        <v>-10560294000</v>
      </c>
      <c r="AA695" s="28">
        <v>11009000000</v>
      </c>
      <c r="AB695" s="28">
        <v>31394425000</v>
      </c>
      <c r="AC695" s="28">
        <v>122537553000</v>
      </c>
      <c r="AD695" s="28">
        <v>67681805000</v>
      </c>
      <c r="AE695" s="28">
        <v>19706753000</v>
      </c>
      <c r="AF695" s="28">
        <v>-10483576000</v>
      </c>
      <c r="AG695" s="11"/>
    </row>
    <row r="696">
      <c r="A696" s="7" t="s">
        <v>2427</v>
      </c>
      <c r="B696" s="5" t="s">
        <v>10408</v>
      </c>
      <c r="C696" s="5" t="s">
        <v>18299</v>
      </c>
      <c r="D696" s="5" t="str">
        <v>770104871260</v>
      </c>
      <c r="E696" s="0" t="e">
        <f>+7 (903) 7215089
+7 (47364) 53050
+7 (495) 3159065
+7 (495) 3159183
+7 (495) 3159210
+7 (499) 2610021
+7 (499) 2613051
+7 (499) 2614187
+7 (499) 2638347
+7 (499) 2650974
+7 (499) 2674975
+7 (499) 2676121
+7 (499) 2676640
+7 (499) 3891536
+7 (831) 4218181</f>
        <v>#NAME?</v>
      </c>
      <c r="F696" s="5" t="s">
        <v>27439</v>
      </c>
      <c r="G696" s="5" t="s">
        <v>27440</v>
      </c>
      <c r="H696" s="26">
        <v>30</v>
      </c>
      <c r="I696" s="5"/>
      <c r="J696" s="5" t="s">
        <v>671</v>
      </c>
      <c r="K696" s="5" t="s">
        <v>344</v>
      </c>
      <c r="L696" s="5"/>
      <c r="M696" s="27">
        <v>43131463</v>
      </c>
      <c r="N696" s="5" t="s">
        <v>50199</v>
      </c>
      <c r="O696" s="5" t="str">
        <v>7701796320</v>
      </c>
      <c r="P696" s="27">
        <v>3966281763</v>
      </c>
      <c r="Q696" s="5" t="s">
        <v>50200</v>
      </c>
      <c r="R696" s="5" t="s">
        <v>50201</v>
      </c>
      <c r="S696" s="5" t="s">
        <v>50202</v>
      </c>
      <c r="T696" s="28">
        <v>3516814000</v>
      </c>
      <c r="U696" s="28"/>
      <c r="V696" s="28">
        <v>28404947000</v>
      </c>
      <c r="W696" s="28">
        <v>1900000000</v>
      </c>
      <c r="X696" s="28">
        <v>831688000</v>
      </c>
      <c r="Y696" s="28">
        <v>40861949000</v>
      </c>
      <c r="Z696" s="28">
        <v>-34903218000</v>
      </c>
      <c r="AA696" s="28"/>
      <c r="AB696" s="28">
        <v>13737620000</v>
      </c>
      <c r="AC696" s="28">
        <v>31440457000</v>
      </c>
      <c r="AD696" s="28">
        <v>7079204000</v>
      </c>
      <c r="AE696" s="28">
        <v>30365572000</v>
      </c>
      <c r="AF696" s="28">
        <v>-174388000</v>
      </c>
      <c r="AG696" s="11"/>
    </row>
    <row r="697">
      <c r="A697" s="7" t="s">
        <v>2428</v>
      </c>
      <c r="B697" s="5" t="s">
        <v>10409</v>
      </c>
      <c r="C697" s="5" t="s">
        <v>18300</v>
      </c>
      <c r="D697" s="5" t="str">
        <v>773572879807</v>
      </c>
      <c r="E697" s="0" t="e">
        <f>+7 (495) 5433306
+7 (495) 5436603</f>
        <v>#NAME?</v>
      </c>
      <c r="F697" s="5" t="s">
        <v>27441</v>
      </c>
      <c r="G697" s="5" t="s">
        <v>27442</v>
      </c>
      <c r="H697" s="26">
        <v>9</v>
      </c>
      <c r="I697" s="5" t="s">
        <v>27443</v>
      </c>
      <c r="J697" s="5" t="s">
        <v>26623</v>
      </c>
      <c r="K697" s="5" t="s">
        <v>344</v>
      </c>
      <c r="L697" s="5" t="s">
        <v>27444</v>
      </c>
      <c r="M697" s="27">
        <v>694027</v>
      </c>
      <c r="N697" s="5" t="s">
        <v>50203</v>
      </c>
      <c r="O697" s="5" t="str">
        <v>7725828549</v>
      </c>
      <c r="P697" s="27">
        <v>10000000</v>
      </c>
      <c r="Q697" s="5" t="s">
        <v>50204</v>
      </c>
      <c r="R697" s="5"/>
      <c r="S697" s="5" t="s">
        <v>50205</v>
      </c>
      <c r="T697" s="28">
        <v>186387000</v>
      </c>
      <c r="U697" s="28"/>
      <c r="V697" s="28">
        <v>822914000</v>
      </c>
      <c r="W697" s="28">
        <v>650000000</v>
      </c>
      <c r="X697" s="28">
        <v>166727000</v>
      </c>
      <c r="Y697" s="28">
        <v>1872369000</v>
      </c>
      <c r="Z697" s="28">
        <v>676389000</v>
      </c>
      <c r="AA697" s="28"/>
      <c r="AB697" s="28"/>
      <c r="AC697" s="28">
        <v>1173407000</v>
      </c>
      <c r="AD697" s="28">
        <v>686889000</v>
      </c>
      <c r="AE697" s="28">
        <v>15300635000</v>
      </c>
      <c r="AF697" s="28">
        <v>229460000</v>
      </c>
      <c r="AG697" s="11"/>
    </row>
    <row r="698">
      <c r="A698" s="7" t="s">
        <v>2429</v>
      </c>
      <c r="B698" s="5" t="s">
        <v>10410</v>
      </c>
      <c r="C698" s="5" t="s">
        <v>18301</v>
      </c>
      <c r="D698" s="5" t="str">
        <v>643912811370</v>
      </c>
      <c r="E698" s="0" t="e">
        <f>+7 (84532) 32277
+7 (910) 5334797
+7 (34377) 72399
+7 (34377) 72890
+7 (34377) 75668
+7 (47131) 52200
+7 (47131) 52213
+7 (47364) 21696
+7 (48153) 30060
+7 (48153) 31093
+7 (48153) 32407
+7 (495) 5819045
+7 (495) 6601112
+7 (86392) 48118
+7 (86392) 97758</f>
        <v>#NAME?</v>
      </c>
      <c r="F698" s="5" t="s">
        <v>27445</v>
      </c>
      <c r="G698" s="5" t="s">
        <v>27446</v>
      </c>
      <c r="H698" s="26">
        <v>15</v>
      </c>
      <c r="I698" s="5" t="s">
        <v>27447</v>
      </c>
      <c r="J698" s="5" t="s">
        <v>27448</v>
      </c>
      <c r="K698" s="5" t="s">
        <v>355</v>
      </c>
      <c r="L698" s="5" t="s">
        <v>27449</v>
      </c>
      <c r="M698" s="27">
        <v>990830</v>
      </c>
      <c r="N698" s="5" t="s">
        <v>50206</v>
      </c>
      <c r="O698" s="5" t="str">
        <v>5029112443</v>
      </c>
      <c r="P698" s="27">
        <v>2437986312</v>
      </c>
      <c r="Q698" s="5" t="s">
        <v>50207</v>
      </c>
      <c r="R698" s="5"/>
      <c r="S698" s="5" t="s">
        <v>50208</v>
      </c>
      <c r="T698" s="28">
        <v>4348134000</v>
      </c>
      <c r="U698" s="28">
        <v>25765000</v>
      </c>
      <c r="V698" s="28">
        <v>4683012000</v>
      </c>
      <c r="W698" s="28">
        <v>1240000000</v>
      </c>
      <c r="X698" s="28">
        <v>72096000</v>
      </c>
      <c r="Y698" s="28">
        <v>11951666000</v>
      </c>
      <c r="Z698" s="28">
        <v>2454067000</v>
      </c>
      <c r="AA698" s="28"/>
      <c r="AB698" s="28"/>
      <c r="AC698" s="28">
        <v>5945104000</v>
      </c>
      <c r="AD698" s="28">
        <v>5925386000</v>
      </c>
      <c r="AE698" s="28">
        <v>18429084000</v>
      </c>
      <c r="AF698" s="28">
        <v>-295542000</v>
      </c>
      <c r="AG698" s="11"/>
    </row>
    <row r="699">
      <c r="A699" s="7" t="s">
        <v>2430</v>
      </c>
      <c r="B699" s="5" t="s">
        <v>10411</v>
      </c>
      <c r="C699" s="5" t="s">
        <v>18302</v>
      </c>
      <c r="D699" s="5" t="str">
        <v>701708770015</v>
      </c>
      <c r="E699" s="0" t="e">
        <f>+7 (390) 2218464
+7 (390) 2246484
+7 (390) 2248764
+7 (390) 2249464
+7 (390) 2288464
+7 (390) 2312030
+7 (390) 2312032
+7 (390) 2312033
+7 (390) 2312047
+7 (390) 2312054
+7 (390) 2312059
+7 (390) 2312091
+7 (390) 2312106
+7 (390) 2312108
+7 (390) 2312130</f>
        <v>#NAME?</v>
      </c>
      <c r="F699" s="5" t="s">
        <v>27450</v>
      </c>
      <c r="G699" s="5" t="s">
        <v>27451</v>
      </c>
      <c r="H699" s="26">
        <v>17</v>
      </c>
      <c r="I699" s="5" t="s">
        <v>27452</v>
      </c>
      <c r="J699" s="5" t="s">
        <v>26623</v>
      </c>
      <c r="K699" s="5" t="s">
        <v>355</v>
      </c>
      <c r="L699" s="5"/>
      <c r="M699" s="27"/>
      <c r="N699" s="5" t="s">
        <v>50209</v>
      </c>
      <c r="O699" s="5" t="str">
        <v>4633017746</v>
      </c>
      <c r="P699" s="27">
        <v>400000</v>
      </c>
      <c r="Q699" s="5" t="s">
        <v>50210</v>
      </c>
      <c r="R699" s="5"/>
      <c r="S699" s="5" t="s">
        <v>50205</v>
      </c>
      <c r="T699" s="28">
        <v>28996000</v>
      </c>
      <c r="U699" s="28"/>
      <c r="V699" s="28">
        <v>629435000</v>
      </c>
      <c r="W699" s="28"/>
      <c r="X699" s="28">
        <v>33462000</v>
      </c>
      <c r="Y699" s="28">
        <v>734708000</v>
      </c>
      <c r="Z699" s="28">
        <v>-6580000</v>
      </c>
      <c r="AA699" s="28"/>
      <c r="AB699" s="28">
        <v>136105000</v>
      </c>
      <c r="AC699" s="28">
        <v>732384000</v>
      </c>
      <c r="AD699" s="28">
        <v>1512000</v>
      </c>
      <c r="AE699" s="28">
        <v>3511298000</v>
      </c>
      <c r="AF699" s="28">
        <v>93000</v>
      </c>
      <c r="AG699" s="11"/>
    </row>
    <row r="700">
      <c r="A700" s="7" t="s">
        <v>2431</v>
      </c>
      <c r="B700" s="5" t="s">
        <v>10412</v>
      </c>
      <c r="C700" s="5" t="s">
        <v>18303</v>
      </c>
      <c r="D700" s="5" t="str">
        <v>490100235526</v>
      </c>
      <c r="E700" s="0" t="e">
        <f>+7 (3512) 692359
+7 (421) 2227018
+7 (421) 2390301
+7 (4712) 227012
+7 (4712) 227019
+7 (4712) 227034
+7 (4712) 227148
+7 (4712) 227218
+7 (4712) 227318
+7 (4712) 207018
+7 (4712) 227008
+7 (4712) 227025
+7 (4712) 227036
+7 (4712) 227039
+7 (4712) 227080</f>
        <v>#NAME?</v>
      </c>
      <c r="F700" s="5" t="s">
        <v>27453</v>
      </c>
      <c r="G700" s="5" t="s">
        <v>27454</v>
      </c>
      <c r="H700" s="26">
        <v>21.5</v>
      </c>
      <c r="I700" s="5" t="s">
        <v>27455</v>
      </c>
      <c r="J700" s="5" t="s">
        <v>26623</v>
      </c>
      <c r="K700" s="5" t="s">
        <v>344</v>
      </c>
      <c r="L700" s="5" t="s">
        <v>27456</v>
      </c>
      <c r="M700" s="27">
        <v>1453808522</v>
      </c>
      <c r="N700" s="5" t="s">
        <v>50211</v>
      </c>
      <c r="O700" s="5" t="str">
        <v>7704228075</v>
      </c>
      <c r="P700" s="27">
        <v>3720000000</v>
      </c>
      <c r="Q700" s="5" t="s">
        <v>50212</v>
      </c>
      <c r="R700" s="5"/>
      <c r="S700" s="5" t="s">
        <v>50213</v>
      </c>
      <c r="T700" s="28">
        <v>1713392000</v>
      </c>
      <c r="U700" s="28">
        <v>9900000</v>
      </c>
      <c r="V700" s="28">
        <v>8042354000</v>
      </c>
      <c r="W700" s="28">
        <v>136000000</v>
      </c>
      <c r="X700" s="28">
        <v>1477041000</v>
      </c>
      <c r="Y700" s="28">
        <v>12438481000</v>
      </c>
      <c r="Z700" s="28">
        <v>-885560000</v>
      </c>
      <c r="AA700" s="28"/>
      <c r="AB700" s="28"/>
      <c r="AC700" s="28">
        <v>9294600000</v>
      </c>
      <c r="AD700" s="28">
        <v>2908318000</v>
      </c>
      <c r="AE700" s="28">
        <v>81755308000</v>
      </c>
      <c r="AF700" s="28">
        <v>1908188000</v>
      </c>
      <c r="AG700" s="11"/>
    </row>
    <row r="701">
      <c r="A701" s="7" t="s">
        <v>2432</v>
      </c>
      <c r="B701" s="5" t="s">
        <v>10413</v>
      </c>
      <c r="C701" s="5" t="s">
        <v>18304</v>
      </c>
      <c r="D701" s="5" t="str">
        <v>643964695661</v>
      </c>
      <c r="E701" s="0" t="e">
        <f>+7 (903) 155462
+7 (495) 7372572
+7 (495) 7372610
+7 (495) 7372700
+7 (495) 7372702</f>
        <v>#NAME?</v>
      </c>
      <c r="F701" s="5" t="s">
        <v>27457</v>
      </c>
      <c r="G701" s="5" t="s">
        <v>27458</v>
      </c>
      <c r="H701" s="26">
        <v>12.5</v>
      </c>
      <c r="I701" s="5" t="s">
        <v>27459</v>
      </c>
      <c r="J701" s="5" t="s">
        <v>27460</v>
      </c>
      <c r="K701" s="5" t="s">
        <v>344</v>
      </c>
      <c r="L701" s="5" t="s">
        <v>27461</v>
      </c>
      <c r="M701" s="27"/>
      <c r="N701" s="5" t="s">
        <v>50214</v>
      </c>
      <c r="O701" s="5" t="str">
        <v>7725707142</v>
      </c>
      <c r="P701" s="27">
        <v>15000000</v>
      </c>
      <c r="Q701" s="5" t="s">
        <v>50216</v>
      </c>
      <c r="R701" s="5" t="s">
        <v>50217</v>
      </c>
      <c r="S701" s="5" t="s">
        <v>50218</v>
      </c>
      <c r="T701" s="28">
        <v>97142000</v>
      </c>
      <c r="U701" s="28">
        <v>401118000</v>
      </c>
      <c r="V701" s="28">
        <v>1240489000</v>
      </c>
      <c r="W701" s="28"/>
      <c r="X701" s="28">
        <v>1490135000</v>
      </c>
      <c r="Y701" s="28">
        <v>3479946000</v>
      </c>
      <c r="Z701" s="28">
        <v>1818843000</v>
      </c>
      <c r="AA701" s="28"/>
      <c r="AB701" s="28">
        <v>34059000</v>
      </c>
      <c r="AC701" s="28">
        <v>864870000</v>
      </c>
      <c r="AD701" s="28">
        <v>2536845000</v>
      </c>
      <c r="AE701" s="28">
        <v>5311579000</v>
      </c>
      <c r="AF701" s="28">
        <v>236316000</v>
      </c>
      <c r="AG701" s="11"/>
    </row>
    <row r="702">
      <c r="A702" s="7" t="s">
        <v>2433</v>
      </c>
      <c r="B702" s="5" t="s">
        <v>10414</v>
      </c>
      <c r="C702" s="5" t="s">
        <v>18305</v>
      </c>
      <c r="D702" s="5" t="str">
        <v>760901799019</v>
      </c>
      <c r="E702" s="0" t="e">
        <f>+7 (485) 2477133
+7 (485) 2477134
+7 (48536) 61492
+7 (48536) 61610
+7 (48536) 62450
+7 (48536) 62485
+7 (48536) 63285
+7 (48536) 63575
+7 (48536) 63717
+7 (48536) 64044
+7 (48536) 64075
+7 (48536) 64453
+7 (48536) 65244
+7 (48536) 65247
+7 (48536) 65768</f>
        <v>#NAME?</v>
      </c>
      <c r="F702" s="5" t="s">
        <v>27462</v>
      </c>
      <c r="G702" s="5" t="s">
        <v>27463</v>
      </c>
      <c r="H702" s="26">
        <v>31.5</v>
      </c>
      <c r="I702" s="5"/>
      <c r="J702" s="5" t="s">
        <v>27464</v>
      </c>
      <c r="K702" s="5" t="s">
        <v>344</v>
      </c>
      <c r="L702" s="5"/>
      <c r="M702" s="27">
        <v>3541662</v>
      </c>
      <c r="N702" s="5" t="s">
        <v>50219</v>
      </c>
      <c r="O702" s="5" t="str">
        <v>7609002208</v>
      </c>
      <c r="P702" s="27">
        <v>44200000</v>
      </c>
      <c r="Q702" s="5" t="s">
        <v>50221</v>
      </c>
      <c r="R702" s="5"/>
      <c r="S702" s="5" t="s">
        <v>50222</v>
      </c>
      <c r="T702" s="28">
        <v>983782000</v>
      </c>
      <c r="U702" s="28"/>
      <c r="V702" s="28">
        <v>162252000</v>
      </c>
      <c r="W702" s="28"/>
      <c r="X702" s="28">
        <v>341194000</v>
      </c>
      <c r="Y702" s="28">
        <v>2298810000</v>
      </c>
      <c r="Z702" s="28">
        <v>1464521000</v>
      </c>
      <c r="AA702" s="28"/>
      <c r="AB702" s="28">
        <v>50065000</v>
      </c>
      <c r="AC702" s="28">
        <v>703066000</v>
      </c>
      <c r="AD702" s="28">
        <v>1520495000</v>
      </c>
      <c r="AE702" s="28">
        <v>6046616000</v>
      </c>
      <c r="AF702" s="28">
        <v>88585000</v>
      </c>
      <c r="AG702" s="11"/>
    </row>
    <row r="703">
      <c r="A703" s="7" t="s">
        <v>2434</v>
      </c>
      <c r="B703" s="5" t="s">
        <v>10415</v>
      </c>
      <c r="C703" s="5" t="s">
        <v>18306</v>
      </c>
      <c r="D703" s="5" t="str">
        <v>781003901774</v>
      </c>
      <c r="E703" s="0" t="e">
        <f>+7 (812) 2121212
+7 (812) 5764345
+7 (812) 5767111
+7 (812) 5767600
+7 (812) 6033210
+7 (904) 6067986
+7 (931) 3260021
+7 (812) 2712556
+7 (812) 4172228
+7 (812) 5760166
+7 (812) 5760177
+7 (812) 5763294
+7 (812) 5766677</f>
        <v>#NAME?</v>
      </c>
      <c r="F703" s="5" t="s">
        <v>27465</v>
      </c>
      <c r="G703" s="5" t="s">
        <v>27466</v>
      </c>
      <c r="H703" s="26">
        <v>22</v>
      </c>
      <c r="I703" s="5" t="s">
        <v>27467</v>
      </c>
      <c r="J703" s="5" t="s">
        <v>27468</v>
      </c>
      <c r="K703" s="5" t="s">
        <v>344</v>
      </c>
      <c r="L703" s="5"/>
      <c r="M703" s="27"/>
      <c r="N703" s="5" t="s">
        <v>50223</v>
      </c>
      <c r="O703" s="5" t="str">
        <v>7825444176</v>
      </c>
      <c r="P703" s="27">
        <v>1482071233</v>
      </c>
      <c r="Q703" s="5" t="s">
        <v>50224</v>
      </c>
      <c r="R703" s="5"/>
      <c r="S703" s="5" t="s">
        <v>50225</v>
      </c>
      <c r="T703" s="28">
        <v>10248096000</v>
      </c>
      <c r="U703" s="28"/>
      <c r="V703" s="28">
        <v>186311000</v>
      </c>
      <c r="W703" s="28"/>
      <c r="X703" s="28">
        <v>1502344000</v>
      </c>
      <c r="Y703" s="28">
        <v>12805520000</v>
      </c>
      <c r="Z703" s="28">
        <v>1958933000</v>
      </c>
      <c r="AA703" s="28"/>
      <c r="AB703" s="28"/>
      <c r="AC703" s="28">
        <v>8003643000</v>
      </c>
      <c r="AD703" s="28">
        <v>10953641000</v>
      </c>
      <c r="AE703" s="28">
        <v>3681003000</v>
      </c>
      <c r="AF703" s="28">
        <v>388301000</v>
      </c>
      <c r="AG703" s="11"/>
    </row>
    <row r="704">
      <c r="A704" s="7" t="s">
        <v>2435</v>
      </c>
      <c r="B704" s="5" t="s">
        <v>10416</v>
      </c>
      <c r="C704" s="5" t="s">
        <v>18307</v>
      </c>
      <c r="D704" s="5" t="str">
        <v>772765096102</v>
      </c>
      <c r="F704" s="5" t="s">
        <v>27469</v>
      </c>
      <c r="G704" s="5"/>
      <c r="H704" s="26">
        <v>12.5</v>
      </c>
      <c r="I704" s="5" t="s">
        <v>27470</v>
      </c>
      <c r="J704" s="5" t="s">
        <v>26148</v>
      </c>
      <c r="K704" s="5" t="s">
        <v>344</v>
      </c>
      <c r="L704" s="5"/>
      <c r="M704" s="27"/>
      <c r="N704" s="5"/>
      <c r="O704" s="5" t="str">
        <v>7715838682</v>
      </c>
      <c r="P704" s="27">
        <v>20000</v>
      </c>
      <c r="Q704" s="5" t="s">
        <v>49009</v>
      </c>
      <c r="R704" s="5"/>
      <c r="S704" s="5" t="s">
        <v>49010</v>
      </c>
      <c r="T704" s="28">
        <v>5526740000</v>
      </c>
      <c r="U704" s="28">
        <v>7005000</v>
      </c>
      <c r="V704" s="28">
        <v>257331000</v>
      </c>
      <c r="W704" s="28">
        <v>137843000</v>
      </c>
      <c r="X704" s="28">
        <v>126921000</v>
      </c>
      <c r="Y704" s="28">
        <v>7779134000</v>
      </c>
      <c r="Z704" s="28">
        <v>-1774735000</v>
      </c>
      <c r="AA704" s="28"/>
      <c r="AB704" s="28">
        <v>2314283000</v>
      </c>
      <c r="AC704" s="28">
        <v>2738939000</v>
      </c>
      <c r="AD704" s="28">
        <v>-1772359000</v>
      </c>
      <c r="AE704" s="28">
        <v>3671958000</v>
      </c>
      <c r="AF704" s="28">
        <v>-233643000</v>
      </c>
      <c r="AG704" s="11"/>
    </row>
    <row r="705">
      <c r="A705" s="7" t="s">
        <v>2436</v>
      </c>
      <c r="B705" s="5" t="s">
        <v>10417</v>
      </c>
      <c r="C705" s="5" t="s">
        <v>18308</v>
      </c>
      <c r="D705" s="5" t="str">
        <v>470417081047</v>
      </c>
      <c r="E705" s="0" t="e">
        <f>+7 (812) 4412180</f>
        <v>#NAME?</v>
      </c>
      <c r="F705" s="5" t="s">
        <v>27471</v>
      </c>
      <c r="G705" s="5" t="s">
        <v>27472</v>
      </c>
      <c r="H705" s="26">
        <v>12</v>
      </c>
      <c r="I705" s="5" t="s">
        <v>27473</v>
      </c>
      <c r="J705" s="5" t="s">
        <v>25512</v>
      </c>
      <c r="K705" s="5" t="s">
        <v>344</v>
      </c>
      <c r="L705" s="5" t="s">
        <v>27474</v>
      </c>
      <c r="M705" s="27"/>
      <c r="N705" s="5"/>
      <c r="O705" s="5" t="str">
        <v>7841442909</v>
      </c>
      <c r="P705" s="27">
        <v>10000</v>
      </c>
      <c r="Q705" s="5" t="s">
        <v>49579</v>
      </c>
      <c r="R705" s="5"/>
      <c r="S705" s="5" t="s">
        <v>50227</v>
      </c>
      <c r="T705" s="28">
        <v>24373000</v>
      </c>
      <c r="U705" s="28">
        <v>36542000</v>
      </c>
      <c r="V705" s="28">
        <v>309972000</v>
      </c>
      <c r="W705" s="28">
        <v>1300000</v>
      </c>
      <c r="X705" s="28">
        <v>29595000</v>
      </c>
      <c r="Y705" s="28">
        <v>675617000</v>
      </c>
      <c r="Z705" s="28">
        <v>283608000</v>
      </c>
      <c r="AA705" s="28">
        <v>20000000</v>
      </c>
      <c r="AB705" s="28">
        <v>24447000</v>
      </c>
      <c r="AC705" s="28">
        <v>318901000</v>
      </c>
      <c r="AD705" s="28">
        <v>283618000</v>
      </c>
      <c r="AE705" s="28">
        <v>3051419000</v>
      </c>
      <c r="AF705" s="28">
        <v>254683000</v>
      </c>
      <c r="AG705" s="11"/>
    </row>
    <row r="706">
      <c r="A706" s="7" t="s">
        <v>2437</v>
      </c>
      <c r="B706" s="5" t="s">
        <v>10418</v>
      </c>
      <c r="C706" s="5" t="s">
        <v>18309</v>
      </c>
      <c r="D706" s="5" t="str">
        <v>744409407206</v>
      </c>
      <c r="E706" s="0" t="e">
        <f>+7 (3519) 248100
+7 (3519) 240128
+7 (3519) 246193
+7 (3519) 247221</f>
        <v>#NAME?</v>
      </c>
      <c r="F706" s="5" t="s">
        <v>27475</v>
      </c>
      <c r="G706" s="5" t="s">
        <v>27476</v>
      </c>
      <c r="H706" s="26">
        <v>27</v>
      </c>
      <c r="I706" s="5" t="s">
        <v>27477</v>
      </c>
      <c r="J706" s="5" t="s">
        <v>25712</v>
      </c>
      <c r="K706" s="5" t="s">
        <v>344</v>
      </c>
      <c r="L706" s="5"/>
      <c r="M706" s="27">
        <v>6040027</v>
      </c>
      <c r="N706" s="5" t="s">
        <v>50228</v>
      </c>
      <c r="O706" s="5" t="str">
        <v>7414006930</v>
      </c>
      <c r="P706" s="27">
        <v>851954857</v>
      </c>
      <c r="Q706" s="5" t="s">
        <v>49009</v>
      </c>
      <c r="R706" s="5"/>
      <c r="S706" s="5" t="s">
        <v>50230</v>
      </c>
      <c r="T706" s="28">
        <v>920101000</v>
      </c>
      <c r="U706" s="28"/>
      <c r="V706" s="28">
        <v>519555000</v>
      </c>
      <c r="W706" s="28">
        <v>497600000</v>
      </c>
      <c r="X706" s="28">
        <v>90000</v>
      </c>
      <c r="Y706" s="28">
        <v>2127795000</v>
      </c>
      <c r="Z706" s="28">
        <v>452251000</v>
      </c>
      <c r="AA706" s="28"/>
      <c r="AB706" s="28"/>
      <c r="AC706" s="28">
        <v>561092000</v>
      </c>
      <c r="AD706" s="28">
        <v>1449549000</v>
      </c>
      <c r="AE706" s="28">
        <v>4960656000</v>
      </c>
      <c r="AF706" s="28">
        <v>292283000</v>
      </c>
      <c r="AG706" s="11"/>
    </row>
    <row r="707">
      <c r="A707" s="7" t="s">
        <v>2438</v>
      </c>
      <c r="B707" s="5" t="s">
        <v>10419</v>
      </c>
      <c r="C707" s="5" t="s">
        <v>18310</v>
      </c>
      <c r="D707" s="5" t="str">
        <v>290121100468</v>
      </c>
      <c r="E707" s="0" t="e">
        <f>+7 (818) 2421858
+7 (818) 2421867
+7 (818) 2421865
+7 (818) 2421985
+7 (818) 2610545
+7 (818) 2611315
+7 (818) 2612197
+7 (818) 2686789
+7 (921) 7252822</f>
        <v>#NAME?</v>
      </c>
      <c r="F707" s="5" t="s">
        <v>27478</v>
      </c>
      <c r="G707" s="5" t="s">
        <v>27479</v>
      </c>
      <c r="H707" s="26">
        <v>18.5</v>
      </c>
      <c r="I707" s="5"/>
      <c r="J707" s="5" t="s">
        <v>26424</v>
      </c>
      <c r="K707" s="5" t="s">
        <v>344</v>
      </c>
      <c r="L707" s="5"/>
      <c r="M707" s="27">
        <v>22608191</v>
      </c>
      <c r="N707" s="5" t="s">
        <v>50231</v>
      </c>
      <c r="O707" s="5" t="str">
        <v>2901128602</v>
      </c>
      <c r="P707" s="27">
        <v>1148923600</v>
      </c>
      <c r="Q707" s="5" t="s">
        <v>50232</v>
      </c>
      <c r="R707" s="5" t="s">
        <v>50233</v>
      </c>
      <c r="S707" s="5" t="s">
        <v>50234</v>
      </c>
      <c r="T707" s="28">
        <v>17360995000</v>
      </c>
      <c r="U707" s="28">
        <v>100000</v>
      </c>
      <c r="V707" s="28">
        <v>915833000</v>
      </c>
      <c r="W707" s="28">
        <v>520498000</v>
      </c>
      <c r="X707" s="28">
        <v>1084660000</v>
      </c>
      <c r="Y707" s="28">
        <v>21618608000</v>
      </c>
      <c r="Z707" s="28">
        <v>9195684000</v>
      </c>
      <c r="AA707" s="28">
        <v>6000088000</v>
      </c>
      <c r="AB707" s="28">
        <v>3677475000</v>
      </c>
      <c r="AC707" s="28">
        <v>4247703000</v>
      </c>
      <c r="AD707" s="28">
        <v>10421203000</v>
      </c>
      <c r="AE707" s="28">
        <v>8211848000</v>
      </c>
      <c r="AF707" s="28">
        <v>2510324000</v>
      </c>
      <c r="AG707" s="11"/>
    </row>
    <row r="708">
      <c r="A708" s="7" t="s">
        <v>2439</v>
      </c>
      <c r="B708" s="5" t="s">
        <v>10420</v>
      </c>
      <c r="C708" s="5" t="s">
        <v>18311</v>
      </c>
      <c r="D708" s="5"/>
      <c r="E708" s="0" t="e">
        <f>+7 (916) 2049470
+7 (495) 9334033
+7 (925) 9878599</f>
        <v>#NAME?</v>
      </c>
      <c r="F708" s="5" t="s">
        <v>27480</v>
      </c>
      <c r="G708" s="5"/>
      <c r="H708" s="26">
        <v>9.5</v>
      </c>
      <c r="I708" s="5" t="s">
        <v>27481</v>
      </c>
      <c r="J708" s="5" t="s">
        <v>397</v>
      </c>
      <c r="K708" s="5" t="s">
        <v>344</v>
      </c>
      <c r="L708" s="5" t="s">
        <v>27482</v>
      </c>
      <c r="M708" s="27"/>
      <c r="N708" s="5" t="s">
        <v>50235</v>
      </c>
      <c r="O708" s="5" t="str">
        <v>5032271852</v>
      </c>
      <c r="P708" s="27">
        <v>10000000</v>
      </c>
      <c r="Q708" s="5" t="s">
        <v>50236</v>
      </c>
      <c r="R708" s="5"/>
      <c r="S708" s="5" t="s">
        <v>49012</v>
      </c>
      <c r="T708" s="28">
        <v>96617000</v>
      </c>
      <c r="U708" s="28">
        <v>16481000</v>
      </c>
      <c r="V708" s="28">
        <v>275246000</v>
      </c>
      <c r="W708" s="28">
        <v>148950000</v>
      </c>
      <c r="X708" s="28">
        <v>32283000</v>
      </c>
      <c r="Y708" s="28">
        <v>1736141000</v>
      </c>
      <c r="Z708" s="28">
        <v>395384000</v>
      </c>
      <c r="AA708" s="28">
        <v>75800000</v>
      </c>
      <c r="AB708" s="28">
        <v>1209841000</v>
      </c>
      <c r="AC708" s="28">
        <v>1250612000</v>
      </c>
      <c r="AD708" s="28">
        <v>405384000</v>
      </c>
      <c r="AE708" s="28">
        <v>9074925000</v>
      </c>
      <c r="AF708" s="28">
        <v>152419000</v>
      </c>
      <c r="AG708" s="11"/>
    </row>
    <row r="709">
      <c r="A709" s="7" t="s">
        <v>2440</v>
      </c>
      <c r="B709" s="5" t="s">
        <v>10421</v>
      </c>
      <c r="C709" s="5" t="s">
        <v>18312</v>
      </c>
      <c r="D709" s="5" t="str">
        <v>503010872867</v>
      </c>
      <c r="E709" s="0" t="e">
        <f>+7 (812) 3368600
+7 (812) 3368601
+7 (812) 3368617</f>
        <v>#NAME?</v>
      </c>
      <c r="F709" s="5" t="s">
        <v>27483</v>
      </c>
      <c r="G709" s="5" t="s">
        <v>27484</v>
      </c>
      <c r="H709" s="26">
        <v>20.5</v>
      </c>
      <c r="I709" s="5" t="s">
        <v>27485</v>
      </c>
      <c r="J709" s="5" t="s">
        <v>27486</v>
      </c>
      <c r="K709" s="5" t="s">
        <v>344</v>
      </c>
      <c r="L709" s="5" t="s">
        <v>27487</v>
      </c>
      <c r="M709" s="27"/>
      <c r="N709" s="5"/>
      <c r="O709" s="5" t="str">
        <v>4703065337</v>
      </c>
      <c r="P709" s="27">
        <v>1601147807</v>
      </c>
      <c r="Q709" s="5"/>
      <c r="R709" s="5"/>
      <c r="S709" s="5" t="s">
        <v>49029</v>
      </c>
      <c r="T709" s="28">
        <v>809035000</v>
      </c>
      <c r="U709" s="28"/>
      <c r="V709" s="28">
        <v>2369912000</v>
      </c>
      <c r="W709" s="28">
        <v>6982000000</v>
      </c>
      <c r="X709" s="28">
        <v>80715000</v>
      </c>
      <c r="Y709" s="28">
        <v>12055732000</v>
      </c>
      <c r="Z709" s="28">
        <v>9188574000</v>
      </c>
      <c r="AA709" s="28"/>
      <c r="AB709" s="28"/>
      <c r="AC709" s="28">
        <v>1266010000</v>
      </c>
      <c r="AD709" s="28">
        <v>10789722000</v>
      </c>
      <c r="AE709" s="28">
        <v>11209190000</v>
      </c>
      <c r="AF709" s="28">
        <v>1759609000</v>
      </c>
      <c r="AG709" s="11"/>
    </row>
    <row r="710">
      <c r="A710" s="7" t="s">
        <v>2441</v>
      </c>
      <c r="B710" s="5" t="s">
        <v>10422</v>
      </c>
      <c r="C710" s="5" t="s">
        <v>18312</v>
      </c>
      <c r="D710" s="5" t="str">
        <v>503010872867</v>
      </c>
      <c r="E710" s="0" t="e">
        <f>+7 (35131) 96900
+7 (495) 7716570
+7 (495) 7974455
+7 (495) 7974460
+7 (495) 9810825</f>
        <v>#NAME?</v>
      </c>
      <c r="F710" s="5" t="s">
        <v>27488</v>
      </c>
      <c r="G710" s="5" t="s">
        <v>27489</v>
      </c>
      <c r="H710" s="26">
        <v>20.5</v>
      </c>
      <c r="I710" s="5" t="s">
        <v>27490</v>
      </c>
      <c r="J710" s="5" t="s">
        <v>27486</v>
      </c>
      <c r="K710" s="5" t="s">
        <v>344</v>
      </c>
      <c r="L710" s="5" t="s">
        <v>27491</v>
      </c>
      <c r="M710" s="27"/>
      <c r="N710" s="5" t="s">
        <v>50237</v>
      </c>
      <c r="O710" s="5" t="str">
        <v>5030041780</v>
      </c>
      <c r="P710" s="27">
        <v>1927030000</v>
      </c>
      <c r="Q710" s="5"/>
      <c r="R710" s="5"/>
      <c r="S710" s="5" t="s">
        <v>50238</v>
      </c>
      <c r="T710" s="28">
        <v>11242468000</v>
      </c>
      <c r="U710" s="28"/>
      <c r="V710" s="28">
        <v>9275595000</v>
      </c>
      <c r="W710" s="28"/>
      <c r="X710" s="28">
        <v>613215000</v>
      </c>
      <c r="Y710" s="28">
        <v>28180051000</v>
      </c>
      <c r="Z710" s="28">
        <v>5058722000</v>
      </c>
      <c r="AA710" s="28"/>
      <c r="AB710" s="28">
        <v>15227930000</v>
      </c>
      <c r="AC710" s="28">
        <v>21144375000</v>
      </c>
      <c r="AD710" s="28">
        <v>6985752000</v>
      </c>
      <c r="AE710" s="28">
        <v>42194423000</v>
      </c>
      <c r="AF710" s="28">
        <v>4545579000</v>
      </c>
      <c r="AG710" s="11"/>
    </row>
    <row r="711">
      <c r="A711" s="7" t="s">
        <v>2442</v>
      </c>
      <c r="B711" s="5" t="s">
        <v>10423</v>
      </c>
      <c r="C711" s="5" t="s">
        <v>18313</v>
      </c>
      <c r="D711" s="5" t="str">
        <v>503009726332</v>
      </c>
      <c r="E711" s="0" t="e">
        <f>+7 (967) 2283355
+7 (499) 2702730
+7 (929) 6374340
+7 (929) 6408242</f>
        <v>#NAME?</v>
      </c>
      <c r="F711" s="5" t="s">
        <v>27492</v>
      </c>
      <c r="G711" s="5"/>
      <c r="H711" s="26">
        <v>5.5</v>
      </c>
      <c r="I711" s="5" t="s">
        <v>27493</v>
      </c>
      <c r="J711" s="5" t="s">
        <v>27164</v>
      </c>
      <c r="K711" s="5" t="s">
        <v>344</v>
      </c>
      <c r="L711" s="5" t="s">
        <v>27494</v>
      </c>
      <c r="M711" s="27"/>
      <c r="N711" s="5" t="s">
        <v>50239</v>
      </c>
      <c r="O711" s="5" t="str">
        <v>7704439358</v>
      </c>
      <c r="P711" s="27">
        <v>5100000</v>
      </c>
      <c r="Q711" s="5" t="s">
        <v>50240</v>
      </c>
      <c r="R711" s="5"/>
      <c r="S711" s="5" t="s">
        <v>50241</v>
      </c>
      <c r="T711" s="28">
        <v>48439000</v>
      </c>
      <c r="U711" s="28">
        <v>550000</v>
      </c>
      <c r="V711" s="28">
        <v>443687000</v>
      </c>
      <c r="W711" s="28"/>
      <c r="X711" s="28">
        <v>1522695000</v>
      </c>
      <c r="Y711" s="28">
        <v>2155881000</v>
      </c>
      <c r="Z711" s="28">
        <v>455481000</v>
      </c>
      <c r="AA711" s="28"/>
      <c r="AB711" s="28"/>
      <c r="AC711" s="28">
        <v>1677833000</v>
      </c>
      <c r="AD711" s="28">
        <v>460581000</v>
      </c>
      <c r="AE711" s="28">
        <v>4571746000</v>
      </c>
      <c r="AF711" s="28">
        <v>1264964000</v>
      </c>
      <c r="AG711" s="11"/>
    </row>
    <row r="712">
      <c r="A712" s="7" t="s">
        <v>2443</v>
      </c>
      <c r="B712" s="5" t="s">
        <v>10424</v>
      </c>
      <c r="C712" s="5" t="s">
        <v>18314</v>
      </c>
      <c r="D712" s="5" t="str">
        <v>583610171046</v>
      </c>
      <c r="E712" s="0" t="e">
        <f>+7 (499) 5765005
+7 (473) 2606773
+7 (495) 6642691
+7 (495) 6642692
+7 (495) 7818308
+7 (499) 5501610
+7 (499) 5501620
+7 (86342) 56224
+7 (8652) 771017</f>
        <v>#NAME?</v>
      </c>
      <c r="F712" s="5" t="s">
        <v>27495</v>
      </c>
      <c r="G712" s="5"/>
      <c r="H712" s="26">
        <v>17</v>
      </c>
      <c r="I712" s="5" t="s">
        <v>27496</v>
      </c>
      <c r="J712" s="5" t="s">
        <v>27497</v>
      </c>
      <c r="K712" s="5" t="s">
        <v>344</v>
      </c>
      <c r="L712" s="5" t="s">
        <v>27498</v>
      </c>
      <c r="M712" s="27"/>
      <c r="N712" s="5"/>
      <c r="O712" s="5" t="str">
        <v>7731537040</v>
      </c>
      <c r="P712" s="27">
        <v>307016762</v>
      </c>
      <c r="Q712" s="5" t="s">
        <v>50242</v>
      </c>
      <c r="R712" s="5"/>
      <c r="S712" s="5" t="s">
        <v>49956</v>
      </c>
      <c r="T712" s="28">
        <v>12359000</v>
      </c>
      <c r="U712" s="28"/>
      <c r="V712" s="28">
        <v>295878000</v>
      </c>
      <c r="W712" s="28"/>
      <c r="X712" s="28">
        <v>385453000</v>
      </c>
      <c r="Y712" s="28">
        <v>753712000</v>
      </c>
      <c r="Z712" s="28">
        <v>341632000</v>
      </c>
      <c r="AA712" s="28"/>
      <c r="AB712" s="28"/>
      <c r="AC712" s="28">
        <v>100647000</v>
      </c>
      <c r="AD712" s="28">
        <v>651636000</v>
      </c>
      <c r="AE712" s="28">
        <v>9480735000</v>
      </c>
      <c r="AF712" s="28">
        <v>-19955000</v>
      </c>
      <c r="AG712" s="11"/>
    </row>
    <row r="713">
      <c r="A713" s="7" t="s">
        <v>2444</v>
      </c>
      <c r="B713" s="5" t="s">
        <v>10425</v>
      </c>
      <c r="C713" s="5" t="s">
        <v>18315</v>
      </c>
      <c r="D713" s="5" t="str">
        <v>972901414271</v>
      </c>
      <c r="E713" s="0" t="e">
        <f>+7 (495) 1271155</f>
        <v>#NAME?</v>
      </c>
      <c r="F713" s="5" t="s">
        <v>27499</v>
      </c>
      <c r="G713" s="5" t="s">
        <v>27500</v>
      </c>
      <c r="H713" s="26">
        <v>10</v>
      </c>
      <c r="I713" s="5" t="s">
        <v>27501</v>
      </c>
      <c r="J713" s="5" t="s">
        <v>599</v>
      </c>
      <c r="K713" s="5" t="s">
        <v>344</v>
      </c>
      <c r="L713" s="5" t="s">
        <v>27502</v>
      </c>
      <c r="M713" s="27"/>
      <c r="N713" s="5"/>
      <c r="O713" s="5" t="str">
        <v>5024135535</v>
      </c>
      <c r="P713" s="27">
        <v>1000000</v>
      </c>
      <c r="Q713" s="5" t="s">
        <v>49207</v>
      </c>
      <c r="R713" s="5"/>
      <c r="S713" s="5" t="s">
        <v>50032</v>
      </c>
      <c r="T713" s="28">
        <v>11901000</v>
      </c>
      <c r="U713" s="28"/>
      <c r="V713" s="28">
        <v>248957000</v>
      </c>
      <c r="W713" s="28"/>
      <c r="X713" s="28">
        <v>53505000</v>
      </c>
      <c r="Y713" s="28">
        <v>319155000</v>
      </c>
      <c r="Z713" s="28">
        <v>67604000</v>
      </c>
      <c r="AA713" s="28"/>
      <c r="AB713" s="28">
        <v>34481000</v>
      </c>
      <c r="AC713" s="28">
        <v>237025000</v>
      </c>
      <c r="AD713" s="28">
        <v>68604000</v>
      </c>
      <c r="AE713" s="28">
        <v>3401663000</v>
      </c>
      <c r="AF713" s="28">
        <v>67573000</v>
      </c>
      <c r="AG713" s="11"/>
    </row>
    <row r="714">
      <c r="A714" s="7" t="s">
        <v>2445</v>
      </c>
      <c r="B714" s="5" t="s">
        <v>10426</v>
      </c>
      <c r="C714" s="5" t="s">
        <v>18316</v>
      </c>
      <c r="D714" s="5" t="str">
        <v>773472599771</v>
      </c>
      <c r="E714" s="0" t="e">
        <f>+7 (495) 3080058
+7 (495) 6385019
+7 (812) 3039390
+7 (812) 3039393
+7 (812) 3039397
+7 (83142) 21115
+7 (86146) 41500
+7 (902) 7925097
+7 (903) 71708
+7 (903) 5026035
+7 (903) 9053777
+7 (906) 8653853
+7 (908) 9052222
+7 (910) 1076829
+7 (914) 4193818</f>
        <v>#NAME?</v>
      </c>
      <c r="F714" s="5"/>
      <c r="G714" s="5"/>
      <c r="H714" s="26">
        <v>13.5</v>
      </c>
      <c r="I714" s="5" t="s">
        <v>27503</v>
      </c>
      <c r="J714" s="5" t="s">
        <v>25822</v>
      </c>
      <c r="K714" s="5" t="s">
        <v>344</v>
      </c>
      <c r="L714" s="5" t="s">
        <v>27504</v>
      </c>
      <c r="M714" s="27"/>
      <c r="N714" s="5"/>
      <c r="O714" s="5" t="str">
        <v>7734623403</v>
      </c>
      <c r="P714" s="27">
        <v>2000000</v>
      </c>
      <c r="Q714" s="5" t="s">
        <v>49535</v>
      </c>
      <c r="R714" s="5"/>
      <c r="S714" s="5" t="s">
        <v>50243</v>
      </c>
      <c r="T714" s="28"/>
      <c r="U714" s="28">
        <v>629099000</v>
      </c>
      <c r="V714" s="28">
        <v>1469269000</v>
      </c>
      <c r="W714" s="28"/>
      <c r="X714" s="28">
        <v>4083000</v>
      </c>
      <c r="Y714" s="28">
        <v>2102574000</v>
      </c>
      <c r="Z714" s="28">
        <v>660655000</v>
      </c>
      <c r="AA714" s="28"/>
      <c r="AB714" s="28">
        <v>1347000000</v>
      </c>
      <c r="AC714" s="28">
        <v>1439919000</v>
      </c>
      <c r="AD714" s="28">
        <v>662655000</v>
      </c>
      <c r="AE714" s="28">
        <v>3936616000</v>
      </c>
      <c r="AF714" s="28">
        <v>61346000</v>
      </c>
      <c r="AG714" s="11"/>
    </row>
    <row r="715">
      <c r="A715" s="7" t="s">
        <v>2446</v>
      </c>
      <c r="B715" s="5" t="s">
        <v>10427</v>
      </c>
      <c r="C715" s="5" t="s">
        <v>18317</v>
      </c>
      <c r="D715" s="5" t="str">
        <v>616802362400</v>
      </c>
      <c r="E715" s="0" t="e">
        <f>+7 (495) 9732733</f>
        <v>#NAME?</v>
      </c>
      <c r="F715" s="5" t="s">
        <v>27505</v>
      </c>
      <c r="G715" s="5" t="s">
        <v>27506</v>
      </c>
      <c r="H715" s="26">
        <v>8</v>
      </c>
      <c r="I715" s="5" t="s">
        <v>27507</v>
      </c>
      <c r="J715" s="5" t="s">
        <v>26552</v>
      </c>
      <c r="K715" s="5" t="s">
        <v>355</v>
      </c>
      <c r="L715" s="5"/>
      <c r="M715" s="27"/>
      <c r="N715" s="5"/>
      <c r="O715" s="5" t="str">
        <v>7706421476</v>
      </c>
      <c r="P715" s="27">
        <v>20000</v>
      </c>
      <c r="Q715" s="5" t="s">
        <v>49021</v>
      </c>
      <c r="R715" s="5"/>
      <c r="S715" s="5" t="s">
        <v>50244</v>
      </c>
      <c r="T715" s="28">
        <v>3444000</v>
      </c>
      <c r="U715" s="28"/>
      <c r="V715" s="28">
        <v>361022000</v>
      </c>
      <c r="W715" s="28">
        <v>47552000</v>
      </c>
      <c r="X715" s="28">
        <v>77382000</v>
      </c>
      <c r="Y715" s="28">
        <v>662437000</v>
      </c>
      <c r="Z715" s="28">
        <v>98364000</v>
      </c>
      <c r="AA715" s="28">
        <v>41420000</v>
      </c>
      <c r="AB715" s="28"/>
      <c r="AC715" s="28">
        <v>521929000</v>
      </c>
      <c r="AD715" s="28">
        <v>98384000</v>
      </c>
      <c r="AE715" s="28">
        <v>3831277000</v>
      </c>
      <c r="AF715" s="28">
        <v>-181858000</v>
      </c>
      <c r="AG715" s="11"/>
    </row>
    <row r="716">
      <c r="A716" s="7" t="s">
        <v>2447</v>
      </c>
      <c r="B716" s="5" t="s">
        <v>10428</v>
      </c>
      <c r="C716" s="5" t="s">
        <v>18286</v>
      </c>
      <c r="D716" s="5" t="str">
        <v>380104085544</v>
      </c>
      <c r="E716" s="0" t="e">
        <f>+7 (861) 2010500
+7 (861) 2452642
+7 (86166) 33831
+7 (86166) 60500</f>
        <v>#NAME?</v>
      </c>
      <c r="F716" s="5" t="s">
        <v>27508</v>
      </c>
      <c r="G716" s="5" t="s">
        <v>27509</v>
      </c>
      <c r="H716" s="26">
        <v>22.5</v>
      </c>
      <c r="I716" s="5" t="s">
        <v>27510</v>
      </c>
      <c r="J716" s="5" t="s">
        <v>555</v>
      </c>
      <c r="K716" s="5" t="s">
        <v>355</v>
      </c>
      <c r="L716" s="5"/>
      <c r="M716" s="27">
        <v>1134357562</v>
      </c>
      <c r="N716" s="5" t="s">
        <v>50245</v>
      </c>
      <c r="O716" s="5" t="str">
        <v>7704214548</v>
      </c>
      <c r="P716" s="27">
        <v>3619565</v>
      </c>
      <c r="Q716" s="5" t="s">
        <v>49059</v>
      </c>
      <c r="R716" s="5" t="s">
        <v>50246</v>
      </c>
      <c r="S716" s="5" t="s">
        <v>49028</v>
      </c>
      <c r="T716" s="28">
        <v>182997314000</v>
      </c>
      <c r="U716" s="28">
        <v>1176901000</v>
      </c>
      <c r="V716" s="28">
        <v>1687087000</v>
      </c>
      <c r="W716" s="28">
        <v>76787000</v>
      </c>
      <c r="X716" s="28">
        <v>2443000</v>
      </c>
      <c r="Y716" s="28">
        <v>232697241000</v>
      </c>
      <c r="Z716" s="28">
        <v>-40148919000</v>
      </c>
      <c r="AA716" s="28">
        <v>214756933000</v>
      </c>
      <c r="AB716" s="28">
        <v>688612000</v>
      </c>
      <c r="AC716" s="28">
        <v>13352101000</v>
      </c>
      <c r="AD716" s="28">
        <v>-39570655000</v>
      </c>
      <c r="AE716" s="28">
        <v>20842627000</v>
      </c>
      <c r="AF716" s="28">
        <v>13373045000</v>
      </c>
      <c r="AG716" s="11"/>
    </row>
    <row r="717">
      <c r="A717" s="7" t="s">
        <v>2448</v>
      </c>
      <c r="B717" s="5" t="s">
        <v>10429</v>
      </c>
      <c r="C717" s="5" t="s">
        <v>18318</v>
      </c>
      <c r="D717" s="5" t="str">
        <v>890406430050</v>
      </c>
      <c r="E717" s="0" t="e">
        <f>+7 (3494) 913938
+7 (3494) 912050
+7 (982) 1741086</f>
        <v>#NAME?</v>
      </c>
      <c r="F717" s="5" t="s">
        <v>27511</v>
      </c>
      <c r="G717" s="5"/>
      <c r="H717" s="26">
        <v>8.5</v>
      </c>
      <c r="I717" s="5" t="s">
        <v>27512</v>
      </c>
      <c r="J717" s="5" t="s">
        <v>27129</v>
      </c>
      <c r="K717" s="5" t="s">
        <v>380</v>
      </c>
      <c r="L717" s="5"/>
      <c r="M717" s="27"/>
      <c r="N717" s="5"/>
      <c r="O717" s="5" t="str">
        <v>8904075533</v>
      </c>
      <c r="P717" s="27">
        <v>60000000</v>
      </c>
      <c r="Q717" s="5" t="s">
        <v>50247</v>
      </c>
      <c r="R717" s="5"/>
      <c r="S717" s="5" t="s">
        <v>50248</v>
      </c>
      <c r="T717" s="28">
        <v>137208904000</v>
      </c>
      <c r="U717" s="28"/>
      <c r="V717" s="28">
        <v>12710096000</v>
      </c>
      <c r="W717" s="28"/>
      <c r="X717" s="28">
        <v>25066614000</v>
      </c>
      <c r="Y717" s="28">
        <v>185525447000</v>
      </c>
      <c r="Z717" s="28">
        <v>564701000</v>
      </c>
      <c r="AA717" s="28"/>
      <c r="AB717" s="28">
        <v>90234616000</v>
      </c>
      <c r="AC717" s="28">
        <v>109857514000</v>
      </c>
      <c r="AD717" s="28">
        <v>65742989000</v>
      </c>
      <c r="AE717" s="28">
        <v>73551732000</v>
      </c>
      <c r="AF717" s="28">
        <v>407880000</v>
      </c>
      <c r="AG717" s="11"/>
    </row>
    <row r="718">
      <c r="A718" s="7" t="s">
        <v>2449</v>
      </c>
      <c r="B718" s="5" t="s">
        <v>10430</v>
      </c>
      <c r="C718" s="5" t="s">
        <v>18319</v>
      </c>
      <c r="D718" s="5" t="str">
        <v>720406118862</v>
      </c>
      <c r="E718" s="0" t="e">
        <f>+7 (812) 6004017
+7 (985) 3645433</f>
        <v>#NAME?</v>
      </c>
      <c r="F718" s="5" t="s">
        <v>27513</v>
      </c>
      <c r="G718" s="5"/>
      <c r="H718" s="26">
        <v>8.5</v>
      </c>
      <c r="I718" s="5"/>
      <c r="J718" s="5" t="s">
        <v>373</v>
      </c>
      <c r="K718" s="5" t="s">
        <v>344</v>
      </c>
      <c r="L718" s="5" t="s">
        <v>27514</v>
      </c>
      <c r="M718" s="27"/>
      <c r="N718" s="5"/>
      <c r="O718" s="5" t="str">
        <v>7704866945</v>
      </c>
      <c r="P718" s="27">
        <v>30000000</v>
      </c>
      <c r="Q718" s="5" t="s">
        <v>49059</v>
      </c>
      <c r="R718" s="5"/>
      <c r="S718" s="5" t="s">
        <v>49121</v>
      </c>
      <c r="T718" s="28">
        <v>9555000</v>
      </c>
      <c r="U718" s="28"/>
      <c r="V718" s="28">
        <v>29050702000</v>
      </c>
      <c r="W718" s="28"/>
      <c r="X718" s="28">
        <v>19486743000</v>
      </c>
      <c r="Y718" s="28">
        <v>48548165000</v>
      </c>
      <c r="Z718" s="28">
        <v>8410124000</v>
      </c>
      <c r="AA718" s="28"/>
      <c r="AB718" s="28"/>
      <c r="AC718" s="28">
        <v>40069932000</v>
      </c>
      <c r="AD718" s="28">
        <v>8477462000</v>
      </c>
      <c r="AE718" s="28">
        <v>55460655000</v>
      </c>
      <c r="AF718" s="28">
        <v>4091181000</v>
      </c>
      <c r="AG718" s="11"/>
    </row>
    <row r="719">
      <c r="A719" s="7" t="s">
        <v>2450</v>
      </c>
      <c r="B719" s="5" t="s">
        <v>10431</v>
      </c>
      <c r="C719" s="5" t="s">
        <v>18318</v>
      </c>
      <c r="D719" s="5" t="str">
        <v>890406430050</v>
      </c>
      <c r="E719" s="0" t="e">
        <f>+7 (3494) 253596
+7 (349) 2233867
+7 (3494) 253594
+7 (3494) 253670</f>
        <v>#NAME?</v>
      </c>
      <c r="F719" s="5" t="s">
        <v>27515</v>
      </c>
      <c r="G719" s="5"/>
      <c r="H719" s="26">
        <v>17</v>
      </c>
      <c r="I719" s="5"/>
      <c r="J719" s="5" t="s">
        <v>26799</v>
      </c>
      <c r="K719" s="5" t="s">
        <v>355</v>
      </c>
      <c r="L719" s="5" t="s">
        <v>27516</v>
      </c>
      <c r="M719" s="27">
        <v>3494942620</v>
      </c>
      <c r="N719" s="5"/>
      <c r="O719" s="5" t="str">
        <v>8904047896</v>
      </c>
      <c r="P719" s="27">
        <v>8274000</v>
      </c>
      <c r="Q719" s="5" t="s">
        <v>50249</v>
      </c>
      <c r="R719" s="5"/>
      <c r="S719" s="5" t="s">
        <v>49496</v>
      </c>
      <c r="T719" s="28">
        <v>81520313000</v>
      </c>
      <c r="U719" s="28"/>
      <c r="V719" s="28">
        <v>42874801000</v>
      </c>
      <c r="W719" s="28"/>
      <c r="X719" s="28">
        <v>91361878000</v>
      </c>
      <c r="Y719" s="28">
        <v>217734676000</v>
      </c>
      <c r="Z719" s="28">
        <v>91897893000</v>
      </c>
      <c r="AA719" s="28"/>
      <c r="AB719" s="28"/>
      <c r="AC719" s="28">
        <v>106390145000</v>
      </c>
      <c r="AD719" s="28">
        <v>97419225000</v>
      </c>
      <c r="AE719" s="28">
        <v>34499886000</v>
      </c>
      <c r="AF719" s="28">
        <v>17925825000</v>
      </c>
      <c r="AG719" s="11"/>
    </row>
    <row r="720">
      <c r="A720" s="7" t="s">
        <v>2451</v>
      </c>
      <c r="B720" s="5" t="s">
        <v>10432</v>
      </c>
      <c r="C720" s="5" t="s">
        <v>18320</v>
      </c>
      <c r="D720" s="5" t="str">
        <v>502915990030</v>
      </c>
      <c r="E720" s="0" t="e">
        <f>+7 (3412) 320031
+7 (3422) 597934
+7 (343) 3101492
+7 (343) 3103220
+7 (345) 2522160
+7 (345) 2522165
+7 (3472) 267210
+7 (3472) 267220
+7 (3472) 268475
+7 (3519) 393880
+7 (381) 2356090
+7 (383) 2300408
+7 (3843) 910262
+7 (3843) 910265
+7 (385) 2285288</f>
        <v>#NAME?</v>
      </c>
      <c r="F720" s="5" t="s">
        <v>27517</v>
      </c>
      <c r="G720" s="5" t="s">
        <v>27518</v>
      </c>
      <c r="H720" s="26">
        <v>22</v>
      </c>
      <c r="I720" s="5" t="s">
        <v>27519</v>
      </c>
      <c r="J720" s="5" t="s">
        <v>25738</v>
      </c>
      <c r="K720" s="5" t="s">
        <v>344</v>
      </c>
      <c r="L720" s="5"/>
      <c r="M720" s="27">
        <v>337098601</v>
      </c>
      <c r="N720" s="5" t="s">
        <v>50250</v>
      </c>
      <c r="O720" s="5" t="str">
        <v>7703270067</v>
      </c>
      <c r="P720" s="27">
        <v>16772051075</v>
      </c>
      <c r="Q720" s="5" t="s">
        <v>49009</v>
      </c>
      <c r="R720" s="5"/>
      <c r="S720" s="5" t="s">
        <v>50251</v>
      </c>
      <c r="T720" s="28">
        <v>47142411000</v>
      </c>
      <c r="U720" s="28">
        <v>22610640000</v>
      </c>
      <c r="V720" s="28">
        <v>15190059000</v>
      </c>
      <c r="W720" s="28"/>
      <c r="X720" s="28">
        <v>10009213000</v>
      </c>
      <c r="Y720" s="28">
        <v>122820350000</v>
      </c>
      <c r="Z720" s="28">
        <v>31553227000</v>
      </c>
      <c r="AA720" s="28">
        <v>8850000000</v>
      </c>
      <c r="AB720" s="28">
        <v>6181156000</v>
      </c>
      <c r="AC720" s="28">
        <v>43184699000</v>
      </c>
      <c r="AD720" s="28">
        <v>67910791000</v>
      </c>
      <c r="AE720" s="28">
        <v>237164443000</v>
      </c>
      <c r="AF720" s="28">
        <v>4702184000</v>
      </c>
      <c r="AG720" s="11"/>
    </row>
    <row r="721">
      <c r="A721" s="7" t="s">
        <v>2452</v>
      </c>
      <c r="B721" s="5" t="s">
        <v>10433</v>
      </c>
      <c r="C721" s="5" t="s">
        <v>18321</v>
      </c>
      <c r="D721" s="5" t="str">
        <v>781142832246</v>
      </c>
      <c r="E721" s="0" t="e">
        <f>+7 (812) 3392215</f>
        <v>#NAME?</v>
      </c>
      <c r="F721" s="5" t="s">
        <v>27520</v>
      </c>
      <c r="G721" s="5"/>
      <c r="H721" s="26">
        <v>13</v>
      </c>
      <c r="I721" s="5" t="s">
        <v>27521</v>
      </c>
      <c r="J721" s="5" t="s">
        <v>27522</v>
      </c>
      <c r="K721" s="5" t="s">
        <v>344</v>
      </c>
      <c r="L721" s="5" t="s">
        <v>27523</v>
      </c>
      <c r="M721" s="27"/>
      <c r="N721" s="5"/>
      <c r="O721" s="5" t="str">
        <v>7811451960</v>
      </c>
      <c r="P721" s="27">
        <v>50050000</v>
      </c>
      <c r="Q721" s="5"/>
      <c r="R721" s="5"/>
      <c r="S721" s="5" t="s">
        <v>49425</v>
      </c>
      <c r="T721" s="28">
        <v>280411000</v>
      </c>
      <c r="U721" s="28">
        <v>11900000</v>
      </c>
      <c r="V721" s="28">
        <v>997906000</v>
      </c>
      <c r="W721" s="28"/>
      <c r="X721" s="28">
        <v>3366000</v>
      </c>
      <c r="Y721" s="28">
        <v>4030904000</v>
      </c>
      <c r="Z721" s="28">
        <v>903688000</v>
      </c>
      <c r="AA721" s="28">
        <v>1860826000</v>
      </c>
      <c r="AB721" s="28">
        <v>251633000</v>
      </c>
      <c r="AC721" s="28">
        <v>609285000</v>
      </c>
      <c r="AD721" s="28">
        <v>1549375000</v>
      </c>
      <c r="AE721" s="28">
        <v>7206393000</v>
      </c>
      <c r="AF721" s="28">
        <v>200779000</v>
      </c>
      <c r="AG721" s="11"/>
    </row>
    <row r="722">
      <c r="A722" s="7" t="s">
        <v>2453</v>
      </c>
      <c r="B722" s="5" t="s">
        <v>10434</v>
      </c>
      <c r="C722" s="5" t="s">
        <v>18322</v>
      </c>
      <c r="D722" s="5" t="str">
        <v>774397296791</v>
      </c>
      <c r="E722" s="0" t="e">
        <f>+7 (495) 7809771
+7 (495) 9803113</f>
        <v>#NAME?</v>
      </c>
      <c r="F722" s="5" t="s">
        <v>27524</v>
      </c>
      <c r="G722" s="5"/>
      <c r="H722" s="26">
        <v>9.5</v>
      </c>
      <c r="I722" s="5"/>
      <c r="J722" s="5" t="s">
        <v>25327</v>
      </c>
      <c r="K722" s="5" t="s">
        <v>344</v>
      </c>
      <c r="L722" s="5"/>
      <c r="M722" s="27">
        <v>275309835</v>
      </c>
      <c r="N722" s="5" t="s">
        <v>50252</v>
      </c>
      <c r="O722" s="5" t="str">
        <v>5047146702</v>
      </c>
      <c r="P722" s="27">
        <v>5449300000</v>
      </c>
      <c r="Q722" s="5" t="s">
        <v>50253</v>
      </c>
      <c r="R722" s="5"/>
      <c r="S722" s="5" t="s">
        <v>49361</v>
      </c>
      <c r="T722" s="28">
        <v>5479235000</v>
      </c>
      <c r="U722" s="28"/>
      <c r="V722" s="28">
        <v>749259000</v>
      </c>
      <c r="W722" s="28"/>
      <c r="X722" s="28">
        <v>2176619000</v>
      </c>
      <c r="Y722" s="28">
        <v>9302615000</v>
      </c>
      <c r="Z722" s="28">
        <v>2080818000</v>
      </c>
      <c r="AA722" s="28"/>
      <c r="AB722" s="28"/>
      <c r="AC722" s="28">
        <v>557905000</v>
      </c>
      <c r="AD722" s="28">
        <v>7802583000</v>
      </c>
      <c r="AE722" s="28">
        <v>24020894000</v>
      </c>
      <c r="AF722" s="28">
        <v>598808000</v>
      </c>
      <c r="AG722" s="11"/>
    </row>
    <row r="723">
      <c r="A723" s="7" t="s">
        <v>2454</v>
      </c>
      <c r="B723" s="5" t="s">
        <v>10435</v>
      </c>
      <c r="C723" s="5" t="s">
        <v>18206</v>
      </c>
      <c r="D723" s="5" t="str">
        <v>263104127064</v>
      </c>
      <c r="E723" s="0" t="e">
        <f>+7 (48762) 71750
+7 (48762) 71646
+7 (48762) 71710
+7 (48762) 71897
+7 (48762) 97090</f>
        <v>#NAME?</v>
      </c>
      <c r="F723" s="5" t="s">
        <v>27525</v>
      </c>
      <c r="G723" s="5"/>
      <c r="H723" s="26">
        <v>23</v>
      </c>
      <c r="I723" s="5" t="s">
        <v>27526</v>
      </c>
      <c r="J723" s="5" t="s">
        <v>27147</v>
      </c>
      <c r="K723" s="5" t="s">
        <v>344</v>
      </c>
      <c r="L723" s="5" t="s">
        <v>27527</v>
      </c>
      <c r="M723" s="27"/>
      <c r="N723" s="5" t="s">
        <v>50254</v>
      </c>
      <c r="O723" s="5" t="str">
        <v>7116010113</v>
      </c>
      <c r="P723" s="27">
        <v>510000000</v>
      </c>
      <c r="Q723" s="5" t="s">
        <v>49059</v>
      </c>
      <c r="R723" s="5"/>
      <c r="S723" s="5" t="s">
        <v>50255</v>
      </c>
      <c r="T723" s="28">
        <v>1510868000</v>
      </c>
      <c r="U723" s="28">
        <v>183144000</v>
      </c>
      <c r="V723" s="28">
        <v>1240809000</v>
      </c>
      <c r="W723" s="28">
        <v>518920000</v>
      </c>
      <c r="X723" s="28">
        <v>52632000</v>
      </c>
      <c r="Y723" s="28">
        <v>5932850000</v>
      </c>
      <c r="Z723" s="28">
        <v>2715322000</v>
      </c>
      <c r="AA723" s="28">
        <v>82920000</v>
      </c>
      <c r="AB723" s="28">
        <v>1347885000</v>
      </c>
      <c r="AC723" s="28">
        <v>2563940000</v>
      </c>
      <c r="AD723" s="28">
        <v>3225322000</v>
      </c>
      <c r="AE723" s="28">
        <v>6325486000</v>
      </c>
      <c r="AF723" s="28">
        <v>469946000</v>
      </c>
      <c r="AG723" s="11"/>
    </row>
    <row r="724">
      <c r="A724" s="7" t="s">
        <v>2455</v>
      </c>
      <c r="B724" s="5" t="s">
        <v>10436</v>
      </c>
      <c r="C724" s="5" t="s">
        <v>18323</v>
      </c>
      <c r="D724" s="5" t="str">
        <v>771800548105</v>
      </c>
      <c r="E724" s="0" t="e">
        <f>+7 (495) 5782714
+7 (3652) 595254
+7 (495) 2326536
+7 (495) 2326554
+7 (495) 2343141
+7 (495) 2349475
+7 (812) 3243625
+7 (812) 3317726
+7 (917) 5826165</f>
        <v>#NAME?</v>
      </c>
      <c r="F724" s="5" t="s">
        <v>27528</v>
      </c>
      <c r="G724" s="5" t="s">
        <v>27529</v>
      </c>
      <c r="H724" s="26">
        <v>27</v>
      </c>
      <c r="I724" s="5" t="s">
        <v>27530</v>
      </c>
      <c r="J724" s="5" t="s">
        <v>585</v>
      </c>
      <c r="K724" s="5" t="s">
        <v>344</v>
      </c>
      <c r="L724" s="5"/>
      <c r="M724" s="27"/>
      <c r="N724" s="5" t="s">
        <v>50256</v>
      </c>
      <c r="O724" s="5" t="str">
        <v>7712045131</v>
      </c>
      <c r="P724" s="27">
        <v>10000000</v>
      </c>
      <c r="Q724" s="5" t="s">
        <v>50257</v>
      </c>
      <c r="R724" s="5"/>
      <c r="S724" s="5" t="s">
        <v>50258</v>
      </c>
      <c r="T724" s="28">
        <v>1811859000</v>
      </c>
      <c r="U724" s="28">
        <v>74352000</v>
      </c>
      <c r="V724" s="28">
        <v>1481706000</v>
      </c>
      <c r="W724" s="28"/>
      <c r="X724" s="28">
        <v>639154000</v>
      </c>
      <c r="Y724" s="28">
        <v>5888713000</v>
      </c>
      <c r="Z724" s="28">
        <v>2817972000</v>
      </c>
      <c r="AA724" s="28"/>
      <c r="AB724" s="28"/>
      <c r="AC724" s="28">
        <v>2620697000</v>
      </c>
      <c r="AD724" s="28">
        <v>2870733000</v>
      </c>
      <c r="AE724" s="28">
        <v>11368056000</v>
      </c>
      <c r="AF724" s="28">
        <v>-79851000</v>
      </c>
      <c r="AG724" s="11"/>
    </row>
    <row r="725">
      <c r="A725" s="7" t="s">
        <v>2456</v>
      </c>
      <c r="B725" s="5" t="s">
        <v>10437</v>
      </c>
      <c r="C725" s="5" t="s">
        <v>18324</v>
      </c>
      <c r="D725" s="5" t="str">
        <v>222109039047</v>
      </c>
      <c r="E725" s="0" t="e">
        <f>+7 (391) 2213729
+7 (391) 2195480
+7 (391) 2266222
+7 (391) 2283916
+7 (391) 2286430
+7 (391) 2289169
+7 (391) 2772858
+7 (391) 2904637
+7 (913) 5743865
+7 (931) 2286199
+7 (391) 2219568
+7 (391) 2286124
+7 (391) 2286922
+7 (391) 2555999
+7 (391) 2911728</f>
        <v>#NAME?</v>
      </c>
      <c r="F725" s="5" t="s">
        <v>27531</v>
      </c>
      <c r="G725" s="5" t="s">
        <v>27532</v>
      </c>
      <c r="H725" s="26">
        <v>14</v>
      </c>
      <c r="I725" s="5" t="s">
        <v>27533</v>
      </c>
      <c r="J725" s="5" t="s">
        <v>27534</v>
      </c>
      <c r="K725" s="5" t="s">
        <v>344</v>
      </c>
      <c r="L725" s="5" t="s">
        <v>27535</v>
      </c>
      <c r="M725" s="27">
        <v>861019</v>
      </c>
      <c r="N725" s="5" t="s">
        <v>50259</v>
      </c>
      <c r="O725" s="5" t="str">
        <v>2460213509</v>
      </c>
      <c r="P725" s="27">
        <v>219432691</v>
      </c>
      <c r="Q725" s="5" t="s">
        <v>50261</v>
      </c>
      <c r="R725" s="5"/>
      <c r="S725" s="5" t="s">
        <v>50262</v>
      </c>
      <c r="T725" s="28">
        <v>8699690000</v>
      </c>
      <c r="U725" s="28">
        <v>1197600000</v>
      </c>
      <c r="V725" s="28">
        <v>458565000</v>
      </c>
      <c r="W725" s="28"/>
      <c r="X725" s="28">
        <v>3134529000</v>
      </c>
      <c r="Y725" s="28">
        <v>13691653000</v>
      </c>
      <c r="Z725" s="28">
        <v>3967214000</v>
      </c>
      <c r="AA725" s="28"/>
      <c r="AB725" s="28"/>
      <c r="AC725" s="28">
        <v>2126449000</v>
      </c>
      <c r="AD725" s="28">
        <v>4197619000</v>
      </c>
      <c r="AE725" s="28">
        <v>4049217000</v>
      </c>
      <c r="AF725" s="28">
        <v>565448000</v>
      </c>
      <c r="AG725" s="11"/>
    </row>
    <row r="726">
      <c r="A726" s="7" t="s">
        <v>2457</v>
      </c>
      <c r="B726" s="5" t="s">
        <v>10438</v>
      </c>
      <c r="C726" s="5" t="s">
        <v>18325</v>
      </c>
      <c r="D726" s="5"/>
      <c r="E726" s="0" t="e">
        <f>+7 (343) 2647657
+7 (343) 2268401
+7 (343) 2268409
+7 (343) 2268565
+7 (343) 2268582
+7 (343) 2268681
+7 (343) 2268767
+7 (343) 2644225
+7 (343) 2644247
+7 (343) 2644260
+7 (343) 2647607
+7 (343) 2647635
+7 (343) 2647897
+7 (343) 2647977
+7 (343) 2726222</f>
        <v>#NAME?</v>
      </c>
      <c r="F726" s="5" t="s">
        <v>27536</v>
      </c>
      <c r="G726" s="5" t="s">
        <v>27537</v>
      </c>
      <c r="H726" s="26">
        <v>29</v>
      </c>
      <c r="I726" s="5"/>
      <c r="J726" s="5" t="s">
        <v>27534</v>
      </c>
      <c r="K726" s="5" t="s">
        <v>344</v>
      </c>
      <c r="L726" s="5" t="s">
        <v>27538</v>
      </c>
      <c r="M726" s="27">
        <v>7505853</v>
      </c>
      <c r="N726" s="5" t="s">
        <v>50263</v>
      </c>
      <c r="O726" s="5" t="str">
        <v>6608000446</v>
      </c>
      <c r="P726" s="27">
        <v>417053</v>
      </c>
      <c r="Q726" s="5" t="s">
        <v>50264</v>
      </c>
      <c r="R726" s="5"/>
      <c r="S726" s="5" t="s">
        <v>49756</v>
      </c>
      <c r="T726" s="28">
        <v>4993624000</v>
      </c>
      <c r="U726" s="28">
        <v>14824033000</v>
      </c>
      <c r="V726" s="28">
        <v>6285359000</v>
      </c>
      <c r="W726" s="28">
        <v>4452400000</v>
      </c>
      <c r="X726" s="28">
        <v>3272227000</v>
      </c>
      <c r="Y726" s="28">
        <v>34989120000</v>
      </c>
      <c r="Z726" s="28">
        <v>20872906000</v>
      </c>
      <c r="AA726" s="28"/>
      <c r="AB726" s="28">
        <v>7098145000</v>
      </c>
      <c r="AC726" s="28">
        <v>8326759000</v>
      </c>
      <c r="AD726" s="28">
        <v>26006476000</v>
      </c>
      <c r="AE726" s="28">
        <v>6489902000</v>
      </c>
      <c r="AF726" s="28">
        <v>4280094000</v>
      </c>
      <c r="AG726" s="11"/>
    </row>
    <row r="727">
      <c r="A727" s="7" t="s">
        <v>2458</v>
      </c>
      <c r="B727" s="5" t="s">
        <v>10439</v>
      </c>
      <c r="C727" s="5" t="s">
        <v>18326</v>
      </c>
      <c r="D727" s="5" t="str">
        <v>054503334182</v>
      </c>
      <c r="E727" s="0" t="e">
        <f>+7 (872) 2517691
+7 (872) 2555502
+7 (872) 2555506
+7 (872) 2988898
+7 (872) 2555500</f>
        <v>#NAME?</v>
      </c>
      <c r="F727" s="5" t="s">
        <v>27539</v>
      </c>
      <c r="G727" s="5" t="s">
        <v>27540</v>
      </c>
      <c r="H727" s="26">
        <v>11</v>
      </c>
      <c r="I727" s="5" t="s">
        <v>27541</v>
      </c>
      <c r="J727" s="5" t="s">
        <v>27534</v>
      </c>
      <c r="K727" s="5" t="s">
        <v>344</v>
      </c>
      <c r="L727" s="5" t="s">
        <v>27542</v>
      </c>
      <c r="M727" s="27">
        <v>114422</v>
      </c>
      <c r="N727" s="5" t="s">
        <v>50265</v>
      </c>
      <c r="O727" s="5" t="str">
        <v>0571000541</v>
      </c>
      <c r="P727" s="27">
        <v>1000100000</v>
      </c>
      <c r="Q727" s="5" t="s">
        <v>50266</v>
      </c>
      <c r="R727" s="5"/>
      <c r="S727" s="5" t="s">
        <v>50267</v>
      </c>
      <c r="T727" s="28">
        <v>2412075000</v>
      </c>
      <c r="U727" s="28"/>
      <c r="V727" s="28">
        <v>251128000</v>
      </c>
      <c r="W727" s="28">
        <v>302000000</v>
      </c>
      <c r="X727" s="28">
        <v>416608000</v>
      </c>
      <c r="Y727" s="28">
        <v>3602870000</v>
      </c>
      <c r="Z727" s="28">
        <v>1669293000</v>
      </c>
      <c r="AA727" s="28">
        <v>401926000</v>
      </c>
      <c r="AB727" s="28"/>
      <c r="AC727" s="28">
        <v>289049000</v>
      </c>
      <c r="AD727" s="28">
        <v>2830044000</v>
      </c>
      <c r="AE727" s="28">
        <v>3909593000</v>
      </c>
      <c r="AF727" s="28">
        <v>653250000</v>
      </c>
      <c r="AG727" s="11"/>
    </row>
    <row r="728">
      <c r="A728" s="7" t="s">
        <v>2459</v>
      </c>
      <c r="B728" s="5" t="s">
        <v>10440</v>
      </c>
      <c r="C728" s="5" t="s">
        <v>18327</v>
      </c>
      <c r="D728" s="5" t="str">
        <v>245701092641</v>
      </c>
      <c r="E728" s="0" t="e">
        <f>+7 (3919) 315314
+7 (3919) 315360
+7 (3919) 428266
+7 (391) 9229904
+7 (391) 9229906
+7 (3919) 315353
+7 (3919) 315373
+7 (3919) 315422
+7 (3919) 315479
+7 (3919) 315532
+7 (3919) 437563</f>
        <v>#NAME?</v>
      </c>
      <c r="F728" s="5" t="s">
        <v>27543</v>
      </c>
      <c r="G728" s="5" t="s">
        <v>27544</v>
      </c>
      <c r="H728" s="26">
        <v>14.5</v>
      </c>
      <c r="I728" s="5" t="s">
        <v>27545</v>
      </c>
      <c r="J728" s="5" t="s">
        <v>27534</v>
      </c>
      <c r="K728" s="5" t="s">
        <v>344</v>
      </c>
      <c r="L728" s="5"/>
      <c r="M728" s="27">
        <v>4040490</v>
      </c>
      <c r="N728" s="5" t="s">
        <v>50268</v>
      </c>
      <c r="O728" s="5" t="str">
        <v>2457067174</v>
      </c>
      <c r="P728" s="27">
        <v>2500000000</v>
      </c>
      <c r="Q728" s="5" t="s">
        <v>50269</v>
      </c>
      <c r="R728" s="5"/>
      <c r="S728" s="5" t="s">
        <v>49032</v>
      </c>
      <c r="T728" s="28">
        <v>2274672000</v>
      </c>
      <c r="U728" s="28"/>
      <c r="V728" s="28">
        <v>783872000</v>
      </c>
      <c r="W728" s="28">
        <v>1110818000</v>
      </c>
      <c r="X728" s="28">
        <v>288000</v>
      </c>
      <c r="Y728" s="28">
        <v>4366036000</v>
      </c>
      <c r="Z728" s="28">
        <v>-1218927000</v>
      </c>
      <c r="AA728" s="28"/>
      <c r="AB728" s="28"/>
      <c r="AC728" s="28">
        <v>723410000</v>
      </c>
      <c r="AD728" s="28">
        <v>3630073000</v>
      </c>
      <c r="AE728" s="28">
        <v>3696796000</v>
      </c>
      <c r="AF728" s="28">
        <v>-144491000</v>
      </c>
      <c r="AG728" s="11"/>
    </row>
    <row r="729">
      <c r="A729" s="7" t="s">
        <v>2460</v>
      </c>
      <c r="B729" s="5" t="s">
        <v>10441</v>
      </c>
      <c r="C729" s="5" t="s">
        <v>18328</v>
      </c>
      <c r="D729" s="5" t="str">
        <v>860204475299</v>
      </c>
      <c r="E729" s="0" t="e">
        <f>+7 (346) 2280074
+7 (346) 2280079
+7 (346) 2770019
+7 (346) 2770172
+7 (346) 2770219
+7 (346) 2770276
+7 (346) 2770296
+7 (346) 2770309
+7 (346) 2770321
+7 (346) 2770330
+7 (346) 2770429
+7 (346) 2770479
+7 (34996) 28780</f>
        <v>#NAME?</v>
      </c>
      <c r="F729" s="5" t="s">
        <v>27546</v>
      </c>
      <c r="G729" s="5" t="s">
        <v>27547</v>
      </c>
      <c r="H729" s="26">
        <v>25.5</v>
      </c>
      <c r="I729" s="5"/>
      <c r="J729" s="5" t="s">
        <v>27534</v>
      </c>
      <c r="K729" s="5" t="s">
        <v>344</v>
      </c>
      <c r="L729" s="5"/>
      <c r="M729" s="27"/>
      <c r="N729" s="5" t="s">
        <v>50270</v>
      </c>
      <c r="O729" s="5" t="str">
        <v>8602060523</v>
      </c>
      <c r="P729" s="27">
        <v>5000000</v>
      </c>
      <c r="Q729" s="5" t="s">
        <v>50272</v>
      </c>
      <c r="R729" s="5"/>
      <c r="S729" s="5" t="s">
        <v>49082</v>
      </c>
      <c r="T729" s="28">
        <v>831844000</v>
      </c>
      <c r="U729" s="28"/>
      <c r="V729" s="28">
        <v>612176000</v>
      </c>
      <c r="W729" s="28"/>
      <c r="X729" s="28">
        <v>487764000</v>
      </c>
      <c r="Y729" s="28">
        <v>2286944000</v>
      </c>
      <c r="Z729" s="28">
        <v>1003398000</v>
      </c>
      <c r="AA729" s="28"/>
      <c r="AB729" s="28"/>
      <c r="AC729" s="28">
        <v>1010377000</v>
      </c>
      <c r="AD729" s="28">
        <v>1041340000</v>
      </c>
      <c r="AE729" s="28">
        <v>4515350000</v>
      </c>
      <c r="AF729" s="28">
        <v>41964000</v>
      </c>
      <c r="AG729" s="11"/>
    </row>
    <row r="730">
      <c r="A730" s="7" t="s">
        <v>2461</v>
      </c>
      <c r="B730" s="5" t="s">
        <v>10442</v>
      </c>
      <c r="C730" s="5" t="s">
        <v>18329</v>
      </c>
      <c r="D730" s="5" t="str">
        <v>701800418581</v>
      </c>
      <c r="E730" s="0" t="e">
        <f>+7 (383) 2169169
+7 (383) 2160980
+7 (383) 2169080
+7 (383) 2169128
+7 (383) 2169156
+7 (383) 2169216
+7 (383) 2169318
+7 (383) 2169053
+7 (383) 2169183
+7 (383) 2169214
+7 (383) 2169230
+7 (383) 2169270
+7 (383) 2169290
+7 (383) 2169292
+7 (383) 2169314</f>
        <v>#NAME?</v>
      </c>
      <c r="F730" s="5" t="s">
        <v>27548</v>
      </c>
      <c r="G730" s="5"/>
      <c r="H730" s="26">
        <v>27</v>
      </c>
      <c r="I730" s="5"/>
      <c r="J730" s="5" t="s">
        <v>27534</v>
      </c>
      <c r="K730" s="5" t="s">
        <v>344</v>
      </c>
      <c r="L730" s="5" t="s">
        <v>27549</v>
      </c>
      <c r="M730" s="27">
        <v>29126917</v>
      </c>
      <c r="N730" s="5" t="s">
        <v>50273</v>
      </c>
      <c r="O730" s="5" t="str">
        <v>5448100208</v>
      </c>
      <c r="P730" s="27">
        <v>124440600</v>
      </c>
      <c r="Q730" s="5" t="s">
        <v>50274</v>
      </c>
      <c r="R730" s="5"/>
      <c r="S730" s="5" t="s">
        <v>49271</v>
      </c>
      <c r="T730" s="28">
        <v>20544217000</v>
      </c>
      <c r="U730" s="28">
        <v>1868873000</v>
      </c>
      <c r="V730" s="28">
        <v>748353000</v>
      </c>
      <c r="W730" s="28">
        <v>300000000</v>
      </c>
      <c r="X730" s="28">
        <v>176279000</v>
      </c>
      <c r="Y730" s="28">
        <v>24164858000</v>
      </c>
      <c r="Z730" s="28">
        <v>7640624000</v>
      </c>
      <c r="AA730" s="28">
        <v>13416716000</v>
      </c>
      <c r="AB730" s="28">
        <v>306991000</v>
      </c>
      <c r="AC730" s="28">
        <v>1120547000</v>
      </c>
      <c r="AD730" s="28">
        <v>7796665000</v>
      </c>
      <c r="AE730" s="28">
        <v>7382756000</v>
      </c>
      <c r="AF730" s="28">
        <v>3024385000</v>
      </c>
      <c r="AG730" s="11"/>
    </row>
    <row r="731">
      <c r="A731" s="7" t="s">
        <v>2462</v>
      </c>
      <c r="B731" s="5" t="s">
        <v>10443</v>
      </c>
      <c r="C731" s="5" t="s">
        <v>18330</v>
      </c>
      <c r="D731" s="5" t="str">
        <v>391800483570</v>
      </c>
      <c r="E731" s="0" t="e">
        <f>+7 (401) 2610243
+7 (401) 2610406
+7 (401) 2300300
+7 (401) 2610310
+7 (401) 2610311
+7 (401) 2610371
+7 (401) 2610405
+7 (401) 2610421
+7 (401) 2610459
+7 (401) 2610555
+7 (401) 2610610</f>
        <v>#NAME?</v>
      </c>
      <c r="F731" s="5" t="s">
        <v>27550</v>
      </c>
      <c r="G731" s="5" t="s">
        <v>27551</v>
      </c>
      <c r="H731" s="26">
        <v>13</v>
      </c>
      <c r="I731" s="5" t="s">
        <v>27552</v>
      </c>
      <c r="J731" s="5" t="s">
        <v>27534</v>
      </c>
      <c r="K731" s="5" t="s">
        <v>344</v>
      </c>
      <c r="L731" s="5" t="s">
        <v>27553</v>
      </c>
      <c r="M731" s="27"/>
      <c r="N731" s="5" t="s">
        <v>50275</v>
      </c>
      <c r="O731" s="5" t="str">
        <v>3917505777</v>
      </c>
      <c r="P731" s="27">
        <v>100000</v>
      </c>
      <c r="Q731" s="5" t="s">
        <v>50276</v>
      </c>
      <c r="R731" s="5"/>
      <c r="S731" s="5" t="s">
        <v>49288</v>
      </c>
      <c r="T731" s="28">
        <v>4919037000</v>
      </c>
      <c r="U731" s="28">
        <v>290000000</v>
      </c>
      <c r="V731" s="28">
        <v>110516000</v>
      </c>
      <c r="W731" s="28"/>
      <c r="X731" s="28">
        <v>132965000</v>
      </c>
      <c r="Y731" s="28">
        <v>5758150000</v>
      </c>
      <c r="Z731" s="28">
        <v>1069448000</v>
      </c>
      <c r="AA731" s="28">
        <v>3306668000</v>
      </c>
      <c r="AB731" s="28">
        <v>718864000</v>
      </c>
      <c r="AC731" s="28">
        <v>1264969000</v>
      </c>
      <c r="AD731" s="28">
        <v>1069553000</v>
      </c>
      <c r="AE731" s="28">
        <v>4101675000</v>
      </c>
      <c r="AF731" s="28">
        <v>2151603000</v>
      </c>
      <c r="AG731" s="11"/>
    </row>
    <row r="732">
      <c r="A732" s="7" t="s">
        <v>2463</v>
      </c>
      <c r="B732" s="5" t="s">
        <v>10444</v>
      </c>
      <c r="C732" s="5" t="s">
        <v>18331</v>
      </c>
      <c r="D732" s="5" t="str">
        <v>891001425818</v>
      </c>
      <c r="E732" s="0" t="e">
        <f>+7 (903) 3617088
+7 (916) 8160709
+7 (499) 6730505</f>
        <v>#NAME?</v>
      </c>
      <c r="F732" s="5" t="s">
        <v>27554</v>
      </c>
      <c r="G732" s="5"/>
      <c r="H732" s="26">
        <v>5</v>
      </c>
      <c r="I732" s="5" t="s">
        <v>27555</v>
      </c>
      <c r="J732" s="5" t="s">
        <v>27556</v>
      </c>
      <c r="K732" s="5" t="s">
        <v>344</v>
      </c>
      <c r="L732" s="5" t="s">
        <v>27557</v>
      </c>
      <c r="M732" s="27"/>
      <c r="N732" s="5" t="s">
        <v>50277</v>
      </c>
      <c r="O732" s="5" t="str">
        <v>5603045794</v>
      </c>
      <c r="P732" s="27">
        <v>10000</v>
      </c>
      <c r="Q732" s="5"/>
      <c r="R732" s="5"/>
      <c r="S732" s="5" t="s">
        <v>49991</v>
      </c>
      <c r="T732" s="28">
        <v>1174540000</v>
      </c>
      <c r="U732" s="28"/>
      <c r="V732" s="28">
        <v>1328088000</v>
      </c>
      <c r="W732" s="28">
        <v>265500000</v>
      </c>
      <c r="X732" s="28">
        <v>478760000</v>
      </c>
      <c r="Y732" s="28">
        <v>4836486000</v>
      </c>
      <c r="Z732" s="28">
        <v>229122000</v>
      </c>
      <c r="AA732" s="28"/>
      <c r="AB732" s="28">
        <v>500000</v>
      </c>
      <c r="AC732" s="28">
        <v>4606867000</v>
      </c>
      <c r="AD732" s="28">
        <v>229132000</v>
      </c>
      <c r="AE732" s="28">
        <v>3772949000</v>
      </c>
      <c r="AF732" s="28">
        <v>224750000</v>
      </c>
      <c r="AG732" s="11"/>
    </row>
    <row r="733">
      <c r="A733" s="7" t="s">
        <v>2464</v>
      </c>
      <c r="B733" s="5" t="s">
        <v>10445</v>
      </c>
      <c r="C733" s="5" t="s">
        <v>18332</v>
      </c>
      <c r="D733" s="5" t="str">
        <v>504408215532</v>
      </c>
      <c r="E733" s="0" t="e">
        <f>+7 (35323) 76847
+7 (499) 4043547</f>
        <v>#NAME?</v>
      </c>
      <c r="F733" s="5" t="s">
        <v>27558</v>
      </c>
      <c r="G733" s="5" t="s">
        <v>27559</v>
      </c>
      <c r="H733" s="26">
        <v>7</v>
      </c>
      <c r="I733" s="5" t="s">
        <v>27560</v>
      </c>
      <c r="J733" s="5" t="s">
        <v>27561</v>
      </c>
      <c r="K733" s="5" t="s">
        <v>355</v>
      </c>
      <c r="L733" s="5"/>
      <c r="M733" s="27"/>
      <c r="N733" s="5" t="s">
        <v>50278</v>
      </c>
      <c r="O733" s="5" t="str">
        <v>7729485719</v>
      </c>
      <c r="P733" s="27">
        <v>100000</v>
      </c>
      <c r="Q733" s="5" t="s">
        <v>50280</v>
      </c>
      <c r="R733" s="5"/>
      <c r="S733" s="5" t="s">
        <v>50281</v>
      </c>
      <c r="T733" s="28">
        <v>5677485000</v>
      </c>
      <c r="U733" s="28"/>
      <c r="V733" s="28">
        <v>654284000</v>
      </c>
      <c r="W733" s="28"/>
      <c r="X733" s="28">
        <v>142281000</v>
      </c>
      <c r="Y733" s="28">
        <v>8001979000</v>
      </c>
      <c r="Z733" s="28">
        <v>-17568000</v>
      </c>
      <c r="AA733" s="28">
        <v>610000000</v>
      </c>
      <c r="AB733" s="28"/>
      <c r="AC733" s="28">
        <v>1701503000</v>
      </c>
      <c r="AD733" s="28">
        <v>-15390000</v>
      </c>
      <c r="AE733" s="28">
        <v>4134659000</v>
      </c>
      <c r="AF733" s="28">
        <v>-570485000</v>
      </c>
      <c r="AG733" s="11"/>
    </row>
    <row r="734">
      <c r="A734" s="7" t="s">
        <v>2465</v>
      </c>
      <c r="B734" s="5" t="s">
        <v>10446</v>
      </c>
      <c r="C734" s="5" t="s">
        <v>18333</v>
      </c>
      <c r="D734" s="5" t="str">
        <v>032600414380</v>
      </c>
      <c r="E734" s="0" t="e">
        <f>+7 (495) 2807889
+7 (985) 4100669
+7 (495) 6807889
+7 (499) 1517312</f>
        <v>#NAME?</v>
      </c>
      <c r="F734" s="5" t="s">
        <v>27562</v>
      </c>
      <c r="G734" s="5" t="s">
        <v>27563</v>
      </c>
      <c r="H734" s="26">
        <v>21.5</v>
      </c>
      <c r="I734" s="5"/>
      <c r="J734" s="5" t="s">
        <v>27564</v>
      </c>
      <c r="K734" s="5" t="s">
        <v>344</v>
      </c>
      <c r="L734" s="5"/>
      <c r="M734" s="27"/>
      <c r="N734" s="5" t="s">
        <v>50282</v>
      </c>
      <c r="O734" s="5" t="str">
        <v>7714216826</v>
      </c>
      <c r="P734" s="27">
        <v>156102000</v>
      </c>
      <c r="Q734" s="5" t="s">
        <v>50283</v>
      </c>
      <c r="R734" s="5"/>
      <c r="S734" s="5" t="s">
        <v>49012</v>
      </c>
      <c r="T734" s="28">
        <v>342924000</v>
      </c>
      <c r="U734" s="28">
        <v>1204908000</v>
      </c>
      <c r="V734" s="28">
        <v>217997000</v>
      </c>
      <c r="W734" s="28">
        <v>71245000</v>
      </c>
      <c r="X734" s="28">
        <v>19585000</v>
      </c>
      <c r="Y734" s="28">
        <v>2804621000</v>
      </c>
      <c r="Z734" s="28">
        <v>291341000</v>
      </c>
      <c r="AA734" s="28">
        <v>1500000000</v>
      </c>
      <c r="AB734" s="28">
        <v>8145000</v>
      </c>
      <c r="AC734" s="28">
        <v>707622000</v>
      </c>
      <c r="AD734" s="28">
        <v>522687000</v>
      </c>
      <c r="AE734" s="28">
        <v>3160584000</v>
      </c>
      <c r="AF734" s="28">
        <v>109010000</v>
      </c>
      <c r="AG734" s="11"/>
    </row>
    <row r="735">
      <c r="A735" s="7" t="s">
        <v>2466</v>
      </c>
      <c r="B735" s="5" t="s">
        <v>10447</v>
      </c>
      <c r="C735" s="5" t="s">
        <v>18334</v>
      </c>
      <c r="D735" s="5" t="str">
        <v>502102642340</v>
      </c>
      <c r="E735" s="0" t="e">
        <f>+7 (495) 6638410
+7 (800) 7003377</f>
        <v>#NAME?</v>
      </c>
      <c r="F735" s="5" t="s">
        <v>27565</v>
      </c>
      <c r="G735" s="5" t="s">
        <v>27566</v>
      </c>
      <c r="H735" s="26">
        <v>18</v>
      </c>
      <c r="I735" s="5" t="s">
        <v>27567</v>
      </c>
      <c r="J735" s="5" t="s">
        <v>27568</v>
      </c>
      <c r="K735" s="5" t="s">
        <v>344</v>
      </c>
      <c r="L735" s="5" t="s">
        <v>27569</v>
      </c>
      <c r="M735" s="27"/>
      <c r="N735" s="5" t="s">
        <v>50284</v>
      </c>
      <c r="O735" s="5" t="str">
        <v>5047066172</v>
      </c>
      <c r="P735" s="27">
        <v>5000000</v>
      </c>
      <c r="Q735" s="5" t="s">
        <v>50285</v>
      </c>
      <c r="R735" s="5" t="s">
        <v>50286</v>
      </c>
      <c r="S735" s="5" t="s">
        <v>50287</v>
      </c>
      <c r="T735" s="28">
        <v>13371904000</v>
      </c>
      <c r="U735" s="28">
        <v>2929000</v>
      </c>
      <c r="V735" s="28">
        <v>627212000</v>
      </c>
      <c r="W735" s="28"/>
      <c r="X735" s="28">
        <v>882044000</v>
      </c>
      <c r="Y735" s="28">
        <v>16430368000</v>
      </c>
      <c r="Z735" s="28">
        <v>2189172000</v>
      </c>
      <c r="AA735" s="28">
        <v>6412712000</v>
      </c>
      <c r="AB735" s="28">
        <v>964415000</v>
      </c>
      <c r="AC735" s="28">
        <v>1555108000</v>
      </c>
      <c r="AD735" s="28">
        <v>2194922000</v>
      </c>
      <c r="AE735" s="28">
        <v>4909244000</v>
      </c>
      <c r="AF735" s="28">
        <v>156848000</v>
      </c>
      <c r="AG735" s="11"/>
    </row>
    <row r="736">
      <c r="A736" s="7" t="s">
        <v>2467</v>
      </c>
      <c r="B736" s="5" t="s">
        <v>10448</v>
      </c>
      <c r="C736" s="5" t="s">
        <v>18335</v>
      </c>
      <c r="D736" s="5" t="str">
        <v>166004891800</v>
      </c>
      <c r="E736" s="0" t="e">
        <f>+7 (843) 2530300
+7 (8435) 677039
+7 (8435) 677123
+7 (8435) 677227</f>
        <v>#NAME?</v>
      </c>
      <c r="F736" s="5" t="s">
        <v>27570</v>
      </c>
      <c r="G736" s="5"/>
      <c r="H736" s="26">
        <v>11</v>
      </c>
      <c r="I736" s="5" t="s">
        <v>27571</v>
      </c>
      <c r="J736" s="5" t="s">
        <v>26623</v>
      </c>
      <c r="K736" s="5" t="s">
        <v>344</v>
      </c>
      <c r="L736" s="5" t="s">
        <v>27572</v>
      </c>
      <c r="M736" s="27">
        <v>36028022</v>
      </c>
      <c r="N736" s="5" t="s">
        <v>50288</v>
      </c>
      <c r="O736" s="5" t="str">
        <v>1646031693</v>
      </c>
      <c r="P736" s="27">
        <v>20000</v>
      </c>
      <c r="Q736" s="5" t="s">
        <v>50289</v>
      </c>
      <c r="R736" s="5"/>
      <c r="S736" s="5" t="s">
        <v>50290</v>
      </c>
      <c r="T736" s="28"/>
      <c r="U736" s="28"/>
      <c r="V736" s="28">
        <v>319955000</v>
      </c>
      <c r="W736" s="28"/>
      <c r="X736" s="28">
        <v>11929000</v>
      </c>
      <c r="Y736" s="28">
        <v>353028000</v>
      </c>
      <c r="Z736" s="28">
        <v>301947000</v>
      </c>
      <c r="AA736" s="28"/>
      <c r="AB736" s="28"/>
      <c r="AC736" s="28">
        <v>47531000</v>
      </c>
      <c r="AD736" s="28">
        <v>305497000</v>
      </c>
      <c r="AE736" s="28">
        <v>7759801000</v>
      </c>
      <c r="AF736" s="28">
        <v>23760000</v>
      </c>
      <c r="AG736" s="11"/>
    </row>
    <row r="737">
      <c r="A737" s="7" t="s">
        <v>2468</v>
      </c>
      <c r="B737" s="5" t="s">
        <v>10449</v>
      </c>
      <c r="C737" s="5" t="s">
        <v>18336</v>
      </c>
      <c r="D737" s="5" t="str">
        <v>702435600550</v>
      </c>
      <c r="E737" s="0" t="e">
        <f>+7 (395) 1540040
+7 (3952) 540040
+7 (3955) 540771
+7 (3955) 599134
+7 (395) 1840850
+7 (395) 1866715
+7 (3951) 540000
+7 (3951) 540771
+7 (3951) 549641
+7 (3955) 540000
+7 (3955) 544400
+7 (3955) 560022
+7 (3955) 560023
+7 (3955) 564969
+7 (3955) 599155</f>
        <v>#NAME?</v>
      </c>
      <c r="F737" s="5" t="s">
        <v>27573</v>
      </c>
      <c r="G737" s="5" t="s">
        <v>27574</v>
      </c>
      <c r="H737" s="26">
        <v>14.5</v>
      </c>
      <c r="I737" s="5"/>
      <c r="J737" s="5" t="s">
        <v>27575</v>
      </c>
      <c r="K737" s="5" t="s">
        <v>344</v>
      </c>
      <c r="L737" s="5" t="s">
        <v>27576</v>
      </c>
      <c r="M737" s="27"/>
      <c r="N737" s="5" t="s">
        <v>50291</v>
      </c>
      <c r="O737" s="5" t="str">
        <v>3801098402</v>
      </c>
      <c r="P737" s="27">
        <v>11170144370</v>
      </c>
      <c r="Q737" s="5" t="s">
        <v>50292</v>
      </c>
      <c r="R737" s="5"/>
      <c r="S737" s="5" t="s">
        <v>50293</v>
      </c>
      <c r="T737" s="28">
        <v>10685328000</v>
      </c>
      <c r="U737" s="28"/>
      <c r="V737" s="28">
        <v>2975004000</v>
      </c>
      <c r="W737" s="28">
        <v>7720000000</v>
      </c>
      <c r="X737" s="28">
        <v>93447000</v>
      </c>
      <c r="Y737" s="28">
        <v>22026999000</v>
      </c>
      <c r="Z737" s="28">
        <v>8161495000</v>
      </c>
      <c r="AA737" s="28"/>
      <c r="AB737" s="28"/>
      <c r="AC737" s="28">
        <v>1132728000</v>
      </c>
      <c r="AD737" s="28">
        <v>19890146000</v>
      </c>
      <c r="AE737" s="28">
        <v>7369845000</v>
      </c>
      <c r="AF737" s="28">
        <v>2362096000</v>
      </c>
      <c r="AG737" s="11"/>
    </row>
    <row r="738">
      <c r="A738" s="7" t="s">
        <v>2469</v>
      </c>
      <c r="B738" s="5" t="s">
        <v>10450</v>
      </c>
      <c r="C738" s="5" t="s">
        <v>18337</v>
      </c>
      <c r="D738" s="5" t="str">
        <v>711300742716</v>
      </c>
      <c r="E738" s="0" t="e">
        <f>+7 (8632) 917716
+7 (916) 5080522
+7 (918) 5410558
+7 (918) 8719655
+7 (928) 6057878
+7 (8632) 620552
+7 (8632) 695749
+7 (8632) 695753</f>
        <v>#NAME?</v>
      </c>
      <c r="F738" s="5" t="s">
        <v>27577</v>
      </c>
      <c r="G738" s="5" t="s">
        <v>27578</v>
      </c>
      <c r="H738" s="26">
        <v>25</v>
      </c>
      <c r="I738" s="5" t="s">
        <v>27579</v>
      </c>
      <c r="J738" s="5" t="s">
        <v>27115</v>
      </c>
      <c r="K738" s="5" t="s">
        <v>344</v>
      </c>
      <c r="L738" s="5"/>
      <c r="M738" s="27"/>
      <c r="N738" s="5" t="s">
        <v>50294</v>
      </c>
      <c r="O738" s="5" t="str">
        <v>6168097441</v>
      </c>
      <c r="P738" s="27">
        <v>10000</v>
      </c>
      <c r="Q738" s="5" t="s">
        <v>50295</v>
      </c>
      <c r="R738" s="5"/>
      <c r="S738" s="5" t="s">
        <v>49704</v>
      </c>
      <c r="T738" s="28">
        <v>24066000</v>
      </c>
      <c r="U738" s="28">
        <v>142700000</v>
      </c>
      <c r="V738" s="28">
        <v>225108000</v>
      </c>
      <c r="W738" s="28">
        <v>193100000</v>
      </c>
      <c r="X738" s="28">
        <v>94226000</v>
      </c>
      <c r="Y738" s="28">
        <v>946122000</v>
      </c>
      <c r="Z738" s="28">
        <v>15794000</v>
      </c>
      <c r="AA738" s="28">
        <v>88500000</v>
      </c>
      <c r="AB738" s="28">
        <v>139000</v>
      </c>
      <c r="AC738" s="28">
        <v>819195000</v>
      </c>
      <c r="AD738" s="28">
        <v>15804000</v>
      </c>
      <c r="AE738" s="28">
        <v>8648830000</v>
      </c>
      <c r="AF738" s="28">
        <v>158240000</v>
      </c>
      <c r="AG738" s="11"/>
    </row>
    <row r="739">
      <c r="A739" s="7" t="s">
        <v>2470</v>
      </c>
      <c r="B739" s="5" t="s">
        <v>10451</v>
      </c>
      <c r="C739" s="5" t="s">
        <v>18338</v>
      </c>
      <c r="D739" s="5" t="str">
        <v>140200024800</v>
      </c>
      <c r="E739" s="0" t="e">
        <f>+7 (499) 9224330
+7 (968) 6443196
+7 (411) 2405145
+7 (411) 2405343
+7 (41145) 35797
+7 (41147) 59055
+7 (41147) 74245
+7 (924) 3625002
+7 (924) 5670330
+7 (924) 5673663
+7 (924) 5677798
+7 (924) 6636300
+7 (926) 947853
+7 (926) 947854
+7 (926) 947861</f>
        <v>#NAME?</v>
      </c>
      <c r="F739" s="5"/>
      <c r="G739" s="5" t="s">
        <v>27580</v>
      </c>
      <c r="H739" s="26">
        <v>17.5</v>
      </c>
      <c r="I739" s="5" t="s">
        <v>27581</v>
      </c>
      <c r="J739" s="5" t="s">
        <v>599</v>
      </c>
      <c r="K739" s="5" t="s">
        <v>344</v>
      </c>
      <c r="L739" s="5" t="s">
        <v>27582</v>
      </c>
      <c r="M739" s="27">
        <v>1793534</v>
      </c>
      <c r="N739" s="5" t="s">
        <v>50296</v>
      </c>
      <c r="O739" s="5" t="str">
        <v>1435045249</v>
      </c>
      <c r="P739" s="27">
        <v>20000</v>
      </c>
      <c r="Q739" s="5" t="s">
        <v>50297</v>
      </c>
      <c r="R739" s="5"/>
      <c r="S739" s="5" t="s">
        <v>50298</v>
      </c>
      <c r="T739" s="28">
        <v>1978860000</v>
      </c>
      <c r="U739" s="28">
        <v>130012000</v>
      </c>
      <c r="V739" s="28">
        <v>1495703000</v>
      </c>
      <c r="W739" s="28">
        <v>50378000</v>
      </c>
      <c r="X739" s="28">
        <v>244517000</v>
      </c>
      <c r="Y739" s="28">
        <v>3983177000</v>
      </c>
      <c r="Z739" s="28">
        <v>2606680000</v>
      </c>
      <c r="AA739" s="28"/>
      <c r="AB739" s="28">
        <v>20435000</v>
      </c>
      <c r="AC739" s="28">
        <v>699273000</v>
      </c>
      <c r="AD739" s="28">
        <v>2606700000</v>
      </c>
      <c r="AE739" s="28">
        <v>5124983000</v>
      </c>
      <c r="AF739" s="28">
        <v>1243413000</v>
      </c>
      <c r="AG739" s="11"/>
    </row>
    <row r="740">
      <c r="A740" s="7" t="s">
        <v>2471</v>
      </c>
      <c r="B740" s="5" t="s">
        <v>10452</v>
      </c>
      <c r="C740" s="5" t="s">
        <v>18339</v>
      </c>
      <c r="D740" s="5" t="str">
        <v>190101807898</v>
      </c>
      <c r="E740" s="0" t="e">
        <f>+7 (390) 2256209
+7 (390) 2285007
+7 (390) 2285326
+7 (390) 2285339
+7 (390) 2285398
+7 (390) 2285521
+7 (390) 2285571
+7 (390) 2285593
+7 (390) 2295007
+7 (391) 2259807</f>
        <v>#NAME?</v>
      </c>
      <c r="F740" s="5" t="s">
        <v>27583</v>
      </c>
      <c r="G740" s="5"/>
      <c r="H740" s="26">
        <v>30.5</v>
      </c>
      <c r="I740" s="5"/>
      <c r="J740" s="5" t="s">
        <v>26962</v>
      </c>
      <c r="K740" s="5" t="s">
        <v>344</v>
      </c>
      <c r="L740" s="5"/>
      <c r="M740" s="27"/>
      <c r="N740" s="5"/>
      <c r="O740" s="5" t="str">
        <v>1901003094</v>
      </c>
      <c r="P740" s="27">
        <v>375200</v>
      </c>
      <c r="Q740" s="5"/>
      <c r="R740" s="5"/>
      <c r="S740" s="5" t="s">
        <v>49029</v>
      </c>
      <c r="T740" s="28">
        <v>1242075000</v>
      </c>
      <c r="U740" s="28">
        <v>440097000</v>
      </c>
      <c r="V740" s="28">
        <v>523897000</v>
      </c>
      <c r="W740" s="28">
        <v>1500000000</v>
      </c>
      <c r="X740" s="28">
        <v>108500000</v>
      </c>
      <c r="Y740" s="28">
        <v>4537938000</v>
      </c>
      <c r="Z740" s="28">
        <v>3474367000</v>
      </c>
      <c r="AA740" s="28"/>
      <c r="AB740" s="28"/>
      <c r="AC740" s="28">
        <v>547040000</v>
      </c>
      <c r="AD740" s="28">
        <v>3905706000</v>
      </c>
      <c r="AE740" s="28">
        <v>4731403000</v>
      </c>
      <c r="AF740" s="28">
        <v>208243000</v>
      </c>
      <c r="AG740" s="11"/>
    </row>
    <row r="741">
      <c r="A741" s="7" t="s">
        <v>2472</v>
      </c>
      <c r="B741" s="5" t="s">
        <v>10453</v>
      </c>
      <c r="C741" s="5" t="s">
        <v>18340</v>
      </c>
      <c r="D741" s="5" t="str">
        <v>421211544069</v>
      </c>
      <c r="E741" s="0" t="e">
        <f>+7 (985) 2249592
+7 (800) 3024240</f>
        <v>#NAME?</v>
      </c>
      <c r="F741" s="5" t="s">
        <v>27584</v>
      </c>
      <c r="G741" s="5" t="s">
        <v>27585</v>
      </c>
      <c r="H741" s="26">
        <v>7.5</v>
      </c>
      <c r="I741" s="5" t="s">
        <v>27586</v>
      </c>
      <c r="J741" s="5" t="s">
        <v>397</v>
      </c>
      <c r="K741" s="5" t="s">
        <v>344</v>
      </c>
      <c r="L741" s="5" t="s">
        <v>27587</v>
      </c>
      <c r="M741" s="27"/>
      <c r="N741" s="5"/>
      <c r="O741" s="5" t="str">
        <v>7727192347</v>
      </c>
      <c r="P741" s="27">
        <v>1010000</v>
      </c>
      <c r="Q741" s="5"/>
      <c r="R741" s="5"/>
      <c r="S741" s="5" t="s">
        <v>49121</v>
      </c>
      <c r="T741" s="28">
        <v>2033146000</v>
      </c>
      <c r="U741" s="28"/>
      <c r="V741" s="28">
        <v>8657209000</v>
      </c>
      <c r="W741" s="28"/>
      <c r="X741" s="28">
        <v>7278552000</v>
      </c>
      <c r="Y741" s="28">
        <v>24685098000</v>
      </c>
      <c r="Z741" s="28">
        <v>9740428000</v>
      </c>
      <c r="AA741" s="28"/>
      <c r="AB741" s="28"/>
      <c r="AC741" s="28">
        <v>13510353000</v>
      </c>
      <c r="AD741" s="28">
        <v>9741438000</v>
      </c>
      <c r="AE741" s="28">
        <v>25698569000</v>
      </c>
      <c r="AF741" s="28">
        <v>3138334000</v>
      </c>
      <c r="AG741" s="11"/>
    </row>
    <row r="742">
      <c r="A742" s="7" t="s">
        <v>2473</v>
      </c>
      <c r="B742" s="5" t="s">
        <v>10454</v>
      </c>
      <c r="C742" s="5" t="s">
        <v>18341</v>
      </c>
      <c r="D742" s="5" t="str">
        <v>780144663376</v>
      </c>
      <c r="F742" s="5" t="s">
        <v>27588</v>
      </c>
      <c r="G742" s="5" t="s">
        <v>27589</v>
      </c>
      <c r="H742" s="26">
        <v>15.5</v>
      </c>
      <c r="I742" s="5" t="s">
        <v>27590</v>
      </c>
      <c r="J742" s="5" t="s">
        <v>26767</v>
      </c>
      <c r="K742" s="5" t="s">
        <v>344</v>
      </c>
      <c r="L742" s="5"/>
      <c r="M742" s="27"/>
      <c r="N742" s="5" t="s">
        <v>50299</v>
      </c>
      <c r="O742" s="5" t="str">
        <v>7801448742</v>
      </c>
      <c r="P742" s="27">
        <v>2457077000</v>
      </c>
      <c r="Q742" s="5" t="s">
        <v>49021</v>
      </c>
      <c r="R742" s="5"/>
      <c r="S742" s="5" t="s">
        <v>50300</v>
      </c>
      <c r="T742" s="28">
        <v>719305000</v>
      </c>
      <c r="U742" s="28">
        <v>3553158000</v>
      </c>
      <c r="V742" s="28">
        <v>4017277000</v>
      </c>
      <c r="W742" s="28">
        <v>844163000</v>
      </c>
      <c r="X742" s="28">
        <v>59419000</v>
      </c>
      <c r="Y742" s="28">
        <v>13086337000</v>
      </c>
      <c r="Z742" s="28">
        <v>4778807000</v>
      </c>
      <c r="AA742" s="28">
        <v>2510000000</v>
      </c>
      <c r="AB742" s="28">
        <v>574823000</v>
      </c>
      <c r="AC742" s="28">
        <v>2134921000</v>
      </c>
      <c r="AD742" s="28">
        <v>7236017000</v>
      </c>
      <c r="AE742" s="28">
        <v>4837528000</v>
      </c>
      <c r="AF742" s="28">
        <v>633784000</v>
      </c>
      <c r="AG742" s="11"/>
    </row>
    <row r="743">
      <c r="A743" s="7" t="s">
        <v>2474</v>
      </c>
      <c r="B743" s="5" t="s">
        <v>10455</v>
      </c>
      <c r="C743" s="5" t="s">
        <v>18342</v>
      </c>
      <c r="D743" s="5" t="str">
        <v>780101836105</v>
      </c>
      <c r="E743" s="0" t="e">
        <f>+7 (3512) 4719
+7 (812) 2070977
+7 (812) 2324004
+7 (812) 3205021
+7 (812) 3205070
+7 (812) 3215071
+7 (812) 3340686
+7 (812) 3831080
+7 (812) 3892062
+7 (812) 3204040
+7 (812) 3404004
+7 (812) 7004556
+7 (921) 9439554
+7 (931) 2070977</f>
        <v>#NAME?</v>
      </c>
      <c r="F743" s="5" t="s">
        <v>27591</v>
      </c>
      <c r="G743" s="5" t="s">
        <v>27592</v>
      </c>
      <c r="H743" s="26">
        <v>21</v>
      </c>
      <c r="I743" s="5" t="s">
        <v>27593</v>
      </c>
      <c r="J743" s="5" t="s">
        <v>25429</v>
      </c>
      <c r="K743" s="5" t="s">
        <v>344</v>
      </c>
      <c r="L743" s="5" t="s">
        <v>27594</v>
      </c>
      <c r="M743" s="27"/>
      <c r="N743" s="5" t="s">
        <v>50301</v>
      </c>
      <c r="O743" s="5" t="str">
        <v>7825465916</v>
      </c>
      <c r="P743" s="27">
        <v>7500000</v>
      </c>
      <c r="Q743" s="5" t="s">
        <v>50302</v>
      </c>
      <c r="R743" s="5"/>
      <c r="S743" s="5" t="s">
        <v>50303</v>
      </c>
      <c r="T743" s="28">
        <v>957215000</v>
      </c>
      <c r="U743" s="28"/>
      <c r="V743" s="28">
        <v>823864000</v>
      </c>
      <c r="W743" s="28">
        <v>580230000</v>
      </c>
      <c r="X743" s="28">
        <v>630723000</v>
      </c>
      <c r="Y743" s="28">
        <v>5812656000</v>
      </c>
      <c r="Z743" s="28">
        <v>4217805000</v>
      </c>
      <c r="AA743" s="28"/>
      <c r="AB743" s="28"/>
      <c r="AC743" s="28">
        <v>1232687000</v>
      </c>
      <c r="AD743" s="28">
        <v>4225305000</v>
      </c>
      <c r="AE743" s="28">
        <v>12538904000</v>
      </c>
      <c r="AF743" s="28">
        <v>1470655000</v>
      </c>
      <c r="AG743" s="11"/>
    </row>
    <row r="744">
      <c r="A744" s="7" t="s">
        <v>2475</v>
      </c>
      <c r="B744" s="5" t="s">
        <v>10456</v>
      </c>
      <c r="C744" s="5" t="s">
        <v>18343</v>
      </c>
      <c r="D744" s="5" t="str">
        <v>500804475488</v>
      </c>
      <c r="E744" s="0" t="e">
        <f>+7 (345) 2697776
+7 (3472) 250666
+7 (473) 2026089
+7 (495) 325444
+7 (495) 325533
+7 (495) 329333
+7 (495) 329797
+7 (495) 329888
+7 (495) 329922
+7 (495) 329977
+7 (800) 7753265
+7 (812) 6035666
+7 (812) 6035888
+7 (8432) 118000
+7 (861) 2387900</f>
        <v>#NAME?</v>
      </c>
      <c r="F744" s="5"/>
      <c r="G744" s="5" t="s">
        <v>27595</v>
      </c>
      <c r="H744" s="26">
        <v>4</v>
      </c>
      <c r="I744" s="5" t="s">
        <v>27596</v>
      </c>
      <c r="J744" s="5" t="s">
        <v>678</v>
      </c>
      <c r="K744" s="5" t="s">
        <v>344</v>
      </c>
      <c r="L744" s="5" t="s">
        <v>27597</v>
      </c>
      <c r="M744" s="27"/>
      <c r="N744" s="5"/>
      <c r="O744" s="5" t="str">
        <v>5003131770</v>
      </c>
      <c r="P744" s="27">
        <v>10000</v>
      </c>
      <c r="Q744" s="5" t="s">
        <v>50304</v>
      </c>
      <c r="R744" s="5"/>
      <c r="S744" s="5" t="s">
        <v>50305</v>
      </c>
      <c r="T744" s="28">
        <v>21045000</v>
      </c>
      <c r="U744" s="28"/>
      <c r="V744" s="28">
        <v>875916000</v>
      </c>
      <c r="W744" s="28"/>
      <c r="X744" s="28">
        <v>422000</v>
      </c>
      <c r="Y744" s="28">
        <v>1286612000</v>
      </c>
      <c r="Z744" s="28">
        <v>935834000</v>
      </c>
      <c r="AA744" s="28"/>
      <c r="AB744" s="28"/>
      <c r="AC744" s="28">
        <v>344646000</v>
      </c>
      <c r="AD744" s="28">
        <v>941660000</v>
      </c>
      <c r="AE744" s="28">
        <v>7526545000</v>
      </c>
      <c r="AF744" s="28">
        <v>465036000</v>
      </c>
      <c r="AG744" s="11"/>
    </row>
    <row r="745">
      <c r="A745" s="7" t="s">
        <v>2476</v>
      </c>
      <c r="B745" s="5" t="s">
        <v>10457</v>
      </c>
      <c r="C745" s="5" t="s">
        <v>18344</v>
      </c>
      <c r="D745" s="5" t="str">
        <v>673211069488</v>
      </c>
      <c r="E745" s="0" t="e">
        <f>+7 (495) 4087954</f>
        <v>#NAME?</v>
      </c>
      <c r="F745" s="5"/>
      <c r="G745" s="5"/>
      <c r="H745" s="26">
        <v>15.5</v>
      </c>
      <c r="I745" s="5" t="s">
        <v>27598</v>
      </c>
      <c r="J745" s="5" t="s">
        <v>27497</v>
      </c>
      <c r="K745" s="5" t="s">
        <v>344</v>
      </c>
      <c r="L745" s="5"/>
      <c r="M745" s="27">
        <v>1000000</v>
      </c>
      <c r="N745" s="5"/>
      <c r="O745" s="5" t="str">
        <v>5008044584</v>
      </c>
      <c r="P745" s="27">
        <v>10000</v>
      </c>
      <c r="Q745" s="5" t="s">
        <v>49009</v>
      </c>
      <c r="R745" s="5"/>
      <c r="S745" s="5" t="s">
        <v>49010</v>
      </c>
      <c r="T745" s="28">
        <v>750000</v>
      </c>
      <c r="U745" s="28"/>
      <c r="V745" s="28">
        <v>152252000</v>
      </c>
      <c r="W745" s="28"/>
      <c r="X745" s="28">
        <v>2419000</v>
      </c>
      <c r="Y745" s="28">
        <v>216206000</v>
      </c>
      <c r="Z745" s="28">
        <v>77750000</v>
      </c>
      <c r="AA745" s="28"/>
      <c r="AB745" s="28">
        <v>8318000</v>
      </c>
      <c r="AC745" s="28">
        <v>137696000</v>
      </c>
      <c r="AD745" s="28">
        <v>77760000</v>
      </c>
      <c r="AE745" s="28">
        <v>3565846000</v>
      </c>
      <c r="AF745" s="28">
        <v>56066000</v>
      </c>
      <c r="AG745" s="11"/>
    </row>
    <row r="746">
      <c r="A746" s="7" t="s">
        <v>2477</v>
      </c>
      <c r="B746" s="5" t="s">
        <v>10458</v>
      </c>
      <c r="C746" s="5" t="s">
        <v>18345</v>
      </c>
      <c r="D746" s="5"/>
      <c r="E746" s="0" t="e">
        <f>+7 (812) 3323676
+7 (812) 7185109</f>
        <v>#NAME?</v>
      </c>
      <c r="F746" s="5" t="s">
        <v>27599</v>
      </c>
      <c r="G746" s="5"/>
      <c r="H746" s="26">
        <v>18</v>
      </c>
      <c r="I746" s="5" t="s">
        <v>27600</v>
      </c>
      <c r="J746" s="5" t="s">
        <v>27601</v>
      </c>
      <c r="K746" s="5" t="s">
        <v>344</v>
      </c>
      <c r="L746" s="5" t="s">
        <v>27602</v>
      </c>
      <c r="M746" s="27"/>
      <c r="N746" s="5" t="s">
        <v>50306</v>
      </c>
      <c r="O746" s="5" t="str">
        <v>4711006335</v>
      </c>
      <c r="P746" s="27">
        <v>3402000</v>
      </c>
      <c r="Q746" s="5"/>
      <c r="R746" s="5"/>
      <c r="S746" s="5" t="s">
        <v>49110</v>
      </c>
      <c r="T746" s="28">
        <v>698000</v>
      </c>
      <c r="U746" s="28"/>
      <c r="V746" s="28">
        <v>32834000</v>
      </c>
      <c r="W746" s="28"/>
      <c r="X746" s="28">
        <v>471593000</v>
      </c>
      <c r="Y746" s="28">
        <v>510918000</v>
      </c>
      <c r="Z746" s="28">
        <v>-33854000</v>
      </c>
      <c r="AA746" s="28"/>
      <c r="AB746" s="28"/>
      <c r="AC746" s="28">
        <v>162423000</v>
      </c>
      <c r="AD746" s="28">
        <v>348356000</v>
      </c>
      <c r="AE746" s="28">
        <v>4468015000</v>
      </c>
      <c r="AF746" s="28">
        <v>51737000</v>
      </c>
      <c r="AG746" s="11"/>
    </row>
    <row r="747">
      <c r="A747" s="7" t="s">
        <v>2478</v>
      </c>
      <c r="B747" s="5" t="s">
        <v>10459</v>
      </c>
      <c r="C747" s="5" t="s">
        <v>18346</v>
      </c>
      <c r="D747" s="5" t="str">
        <v>234306385550</v>
      </c>
      <c r="E747" s="0" t="e">
        <f>+7 (928) 3840589
+7 (988) 7120783
+7 (861) 9579420
+7 (86137) 79420
+7 (86195) 56344
+7 (86195) 86195
+7 (928) 4053110</f>
        <v>#NAME?</v>
      </c>
      <c r="F747" s="5" t="s">
        <v>27603</v>
      </c>
      <c r="G747" s="5" t="s">
        <v>27604</v>
      </c>
      <c r="H747" s="26">
        <v>13.5</v>
      </c>
      <c r="I747" s="5" t="s">
        <v>27605</v>
      </c>
      <c r="J747" s="5" t="s">
        <v>26383</v>
      </c>
      <c r="K747" s="5" t="s">
        <v>344</v>
      </c>
      <c r="L747" s="5" t="s">
        <v>27606</v>
      </c>
      <c r="M747" s="27"/>
      <c r="N747" s="5"/>
      <c r="O747" s="5" t="str">
        <v>2302061821</v>
      </c>
      <c r="P747" s="27">
        <v>40000</v>
      </c>
      <c r="Q747" s="5" t="s">
        <v>49059</v>
      </c>
      <c r="R747" s="5"/>
      <c r="S747" s="5" t="s">
        <v>49425</v>
      </c>
      <c r="T747" s="28">
        <v>275091000</v>
      </c>
      <c r="U747" s="28">
        <v>49000</v>
      </c>
      <c r="V747" s="28">
        <v>501139000</v>
      </c>
      <c r="W747" s="28">
        <v>21265000</v>
      </c>
      <c r="X747" s="28">
        <v>1701000</v>
      </c>
      <c r="Y747" s="28">
        <v>1081693000</v>
      </c>
      <c r="Z747" s="28">
        <v>664237000</v>
      </c>
      <c r="AA747" s="28">
        <v>20196000</v>
      </c>
      <c r="AB747" s="28">
        <v>35048000</v>
      </c>
      <c r="AC747" s="28">
        <v>382727000</v>
      </c>
      <c r="AD747" s="28">
        <v>664277000</v>
      </c>
      <c r="AE747" s="28">
        <v>3508622000</v>
      </c>
      <c r="AF747" s="28">
        <v>240265000</v>
      </c>
      <c r="AG747" s="11"/>
    </row>
    <row r="748">
      <c r="A748" s="7" t="s">
        <v>2479</v>
      </c>
      <c r="B748" s="5" t="s">
        <v>10460</v>
      </c>
      <c r="C748" s="5" t="s">
        <v>18347</v>
      </c>
      <c r="D748" s="5" t="str">
        <v>500104199176</v>
      </c>
      <c r="E748" s="0" t="e">
        <f>+7 (495) 2574147
+7 (495) 7604006
+7 (495) 9567937
+7 (499) 7406004
+7 (8212) 365239
+7 (495) 7406040
+7 (495) 7606004</f>
        <v>#NAME?</v>
      </c>
      <c r="F748" s="5" t="s">
        <v>27607</v>
      </c>
      <c r="G748" s="5" t="s">
        <v>27608</v>
      </c>
      <c r="H748" s="26">
        <v>7.5</v>
      </c>
      <c r="I748" s="5" t="s">
        <v>27609</v>
      </c>
      <c r="J748" s="5" t="s">
        <v>25429</v>
      </c>
      <c r="K748" s="5" t="s">
        <v>344</v>
      </c>
      <c r="L748" s="5" t="s">
        <v>27610</v>
      </c>
      <c r="M748" s="27"/>
      <c r="N748" s="5" t="s">
        <v>50307</v>
      </c>
      <c r="O748" s="5" t="str">
        <v>7725285067</v>
      </c>
      <c r="P748" s="27">
        <v>200000</v>
      </c>
      <c r="Q748" s="5" t="s">
        <v>50308</v>
      </c>
      <c r="R748" s="5"/>
      <c r="S748" s="5" t="s">
        <v>50309</v>
      </c>
      <c r="T748" s="28">
        <v>84943000</v>
      </c>
      <c r="U748" s="28"/>
      <c r="V748" s="28">
        <v>822031000</v>
      </c>
      <c r="W748" s="28">
        <v>254800000</v>
      </c>
      <c r="X748" s="28">
        <v>270920000</v>
      </c>
      <c r="Y748" s="28">
        <v>2000662000</v>
      </c>
      <c r="Z748" s="28">
        <v>786858000</v>
      </c>
      <c r="AA748" s="28"/>
      <c r="AB748" s="28"/>
      <c r="AC748" s="28">
        <v>1132224000</v>
      </c>
      <c r="AD748" s="28">
        <v>787058000</v>
      </c>
      <c r="AE748" s="28">
        <v>6154517000</v>
      </c>
      <c r="AF748" s="28">
        <v>458508000</v>
      </c>
      <c r="AG748" s="11"/>
    </row>
    <row r="749">
      <c r="A749" s="7" t="s">
        <v>2480</v>
      </c>
      <c r="B749" s="5" t="s">
        <v>10461</v>
      </c>
      <c r="C749" s="5" t="s">
        <v>18348</v>
      </c>
      <c r="D749" s="5" t="str">
        <v>631200509843</v>
      </c>
      <c r="E749" s="0" t="e">
        <f>+7 (846) 9779005</f>
        <v>#NAME?</v>
      </c>
      <c r="F749" s="5"/>
      <c r="G749" s="5"/>
      <c r="H749" s="26">
        <v>11.5</v>
      </c>
      <c r="I749" s="5" t="s">
        <v>27611</v>
      </c>
      <c r="J749" s="5" t="s">
        <v>27497</v>
      </c>
      <c r="K749" s="5" t="s">
        <v>344</v>
      </c>
      <c r="L749" s="5" t="s">
        <v>27612</v>
      </c>
      <c r="M749" s="27"/>
      <c r="N749" s="5"/>
      <c r="O749" s="5" t="str">
        <v>6319155232</v>
      </c>
      <c r="P749" s="27">
        <v>300000</v>
      </c>
      <c r="Q749" s="5" t="s">
        <v>49059</v>
      </c>
      <c r="R749" s="5"/>
      <c r="S749" s="5" t="s">
        <v>49010</v>
      </c>
      <c r="T749" s="28"/>
      <c r="U749" s="28"/>
      <c r="V749" s="28">
        <v>925825000</v>
      </c>
      <c r="W749" s="28">
        <v>614400000</v>
      </c>
      <c r="X749" s="28">
        <v>830000</v>
      </c>
      <c r="Y749" s="28">
        <v>1697818000</v>
      </c>
      <c r="Z749" s="28">
        <v>153169000</v>
      </c>
      <c r="AA749" s="28"/>
      <c r="AB749" s="28">
        <v>420000000</v>
      </c>
      <c r="AC749" s="28">
        <v>1544349000</v>
      </c>
      <c r="AD749" s="28">
        <v>153469000</v>
      </c>
      <c r="AE749" s="28">
        <v>6180169000</v>
      </c>
      <c r="AF749" s="28">
        <v>37644000</v>
      </c>
      <c r="AG749" s="11"/>
    </row>
    <row r="750">
      <c r="A750" s="7" t="s">
        <v>2481</v>
      </c>
      <c r="B750" s="5" t="s">
        <v>10462</v>
      </c>
      <c r="C750" s="5" t="s">
        <v>18349</v>
      </c>
      <c r="D750" s="5"/>
      <c r="E750" s="0" t="e">
        <f>+7 (427) 3824859</f>
        <v>#NAME?</v>
      </c>
      <c r="F750" s="5"/>
      <c r="G750" s="5"/>
      <c r="H750" s="26">
        <v>15.5</v>
      </c>
      <c r="I750" s="5"/>
      <c r="J750" s="5" t="s">
        <v>26499</v>
      </c>
      <c r="K750" s="5" t="s">
        <v>380</v>
      </c>
      <c r="L750" s="5"/>
      <c r="M750" s="27">
        <v>7044020</v>
      </c>
      <c r="N750" s="5"/>
      <c r="O750" s="5" t="str">
        <v>7720587949</v>
      </c>
      <c r="P750" s="27">
        <v>10000</v>
      </c>
      <c r="Q750" s="5" t="s">
        <v>49009</v>
      </c>
      <c r="R750" s="5"/>
      <c r="S750" s="5" t="s">
        <v>50310</v>
      </c>
      <c r="T750" s="28">
        <v>17207062000</v>
      </c>
      <c r="U750" s="28">
        <v>78845932000</v>
      </c>
      <c r="V750" s="28">
        <v>1786119000</v>
      </c>
      <c r="W750" s="28"/>
      <c r="X750" s="28">
        <v>330633000</v>
      </c>
      <c r="Y750" s="28">
        <v>125257841000</v>
      </c>
      <c r="Z750" s="28">
        <v>792657000</v>
      </c>
      <c r="AA750" s="28">
        <v>83081871000</v>
      </c>
      <c r="AB750" s="28">
        <v>36620142000</v>
      </c>
      <c r="AC750" s="28">
        <v>37623998000</v>
      </c>
      <c r="AD750" s="28">
        <v>2431738000</v>
      </c>
      <c r="AE750" s="28">
        <v>3352411000</v>
      </c>
      <c r="AF750" s="28">
        <v>2108098000</v>
      </c>
      <c r="AG750" s="11"/>
    </row>
    <row r="751">
      <c r="A751" s="7" t="s">
        <v>2482</v>
      </c>
      <c r="B751" s="5" t="s">
        <v>10463</v>
      </c>
      <c r="C751" s="5" t="s">
        <v>18350</v>
      </c>
      <c r="D751" s="5" t="str">
        <v>771893858241</v>
      </c>
      <c r="E751" s="0" t="e">
        <f>+7 (495) 2342001
+7 (495) 2311200
+7 (495) 2287799
+7 (495) 2311201
+7 (495) 2341200
+7 (495) 2342000
+7 (495) 2342002
+7 (495) 2342008
+7 (495) 2342015
+7 (495) 2342021
+7 (495) 2871748
+7 (495) 2871751
+7 (495) 5961320
+7 (495) 6636870
+7 (495) 9561318</f>
        <v>#NAME?</v>
      </c>
      <c r="F751" s="5" t="s">
        <v>27613</v>
      </c>
      <c r="G751" s="5" t="s">
        <v>27614</v>
      </c>
      <c r="H751" s="26">
        <v>28.5</v>
      </c>
      <c r="I751" s="5"/>
      <c r="J751" s="5" t="s">
        <v>25429</v>
      </c>
      <c r="K751" s="5" t="s">
        <v>344</v>
      </c>
      <c r="L751" s="5" t="s">
        <v>27615</v>
      </c>
      <c r="M751" s="27">
        <v>16319</v>
      </c>
      <c r="N751" s="5" t="s">
        <v>50311</v>
      </c>
      <c r="O751" s="5" t="str">
        <v>7704017596</v>
      </c>
      <c r="P751" s="27">
        <v>50635000</v>
      </c>
      <c r="Q751" s="5" t="s">
        <v>49009</v>
      </c>
      <c r="R751" s="5"/>
      <c r="S751" s="5" t="s">
        <v>49028</v>
      </c>
      <c r="T751" s="28">
        <v>1776733000</v>
      </c>
      <c r="U751" s="28"/>
      <c r="V751" s="28">
        <v>13304526000</v>
      </c>
      <c r="W751" s="28"/>
      <c r="X751" s="28">
        <v>6496697000</v>
      </c>
      <c r="Y751" s="28">
        <v>54597306000</v>
      </c>
      <c r="Z751" s="28">
        <v>7991890000</v>
      </c>
      <c r="AA751" s="28"/>
      <c r="AB751" s="28">
        <v>7477110000</v>
      </c>
      <c r="AC751" s="28">
        <v>46015755000</v>
      </c>
      <c r="AD751" s="28">
        <v>8056533000</v>
      </c>
      <c r="AE751" s="28">
        <v>86502877000</v>
      </c>
      <c r="AF751" s="28">
        <v>1883177000</v>
      </c>
      <c r="AG751" s="11"/>
    </row>
    <row r="752">
      <c r="A752" s="7" t="s">
        <v>2483</v>
      </c>
      <c r="B752" s="5" t="s">
        <v>10464</v>
      </c>
      <c r="C752" s="5" t="s">
        <v>18351</v>
      </c>
      <c r="D752" s="5" t="str">
        <v>550503155119</v>
      </c>
      <c r="E752" s="0" t="e">
        <f>+7 (495) 2584022
+7 (495) 2584027
+7 (800) 2000753</f>
        <v>#NAME?</v>
      </c>
      <c r="F752" s="5" t="s">
        <v>27616</v>
      </c>
      <c r="G752" s="5" t="s">
        <v>27617</v>
      </c>
      <c r="H752" s="26">
        <v>24.5</v>
      </c>
      <c r="I752" s="5" t="s">
        <v>27618</v>
      </c>
      <c r="J752" s="5" t="s">
        <v>27085</v>
      </c>
      <c r="K752" s="5" t="s">
        <v>344</v>
      </c>
      <c r="L752" s="5" t="s">
        <v>27619</v>
      </c>
      <c r="M752" s="27"/>
      <c r="N752" s="5"/>
      <c r="O752" s="5" t="str">
        <v>7702226629</v>
      </c>
      <c r="P752" s="27">
        <v>100000000</v>
      </c>
      <c r="Q752" s="5" t="s">
        <v>49009</v>
      </c>
      <c r="R752" s="5"/>
      <c r="S752" s="5" t="s">
        <v>49010</v>
      </c>
      <c r="T752" s="28">
        <v>233208000</v>
      </c>
      <c r="U752" s="28"/>
      <c r="V752" s="28">
        <v>2424234000</v>
      </c>
      <c r="W752" s="28"/>
      <c r="X752" s="28">
        <v>2361567000</v>
      </c>
      <c r="Y752" s="28">
        <v>6546256000</v>
      </c>
      <c r="Z752" s="28">
        <v>2271299000</v>
      </c>
      <c r="AA752" s="28"/>
      <c r="AB752" s="28"/>
      <c r="AC752" s="28">
        <v>4046611000</v>
      </c>
      <c r="AD752" s="28">
        <v>2371299000</v>
      </c>
      <c r="AE752" s="28">
        <v>14707946000</v>
      </c>
      <c r="AF752" s="28">
        <v>2132054000</v>
      </c>
      <c r="AG752" s="11"/>
    </row>
    <row r="753">
      <c r="A753" s="7" t="s">
        <v>2484</v>
      </c>
      <c r="B753" s="5" t="s">
        <v>10465</v>
      </c>
      <c r="C753" s="5" t="s">
        <v>18352</v>
      </c>
      <c r="D753" s="5" t="str">
        <v>381100295285</v>
      </c>
      <c r="F753" s="5"/>
      <c r="G753" s="5"/>
      <c r="H753" s="26">
        <v>7</v>
      </c>
      <c r="I753" s="5" t="s">
        <v>27620</v>
      </c>
      <c r="J753" s="5" t="s">
        <v>26846</v>
      </c>
      <c r="K753" s="5" t="s">
        <v>344</v>
      </c>
      <c r="L753" s="5" t="s">
        <v>27621</v>
      </c>
      <c r="M753" s="27"/>
      <c r="N753" s="5"/>
      <c r="O753" s="5" t="str">
        <v>3808194151</v>
      </c>
      <c r="P753" s="27">
        <v>500000</v>
      </c>
      <c r="Q753" s="5" t="s">
        <v>49009</v>
      </c>
      <c r="R753" s="5"/>
      <c r="S753" s="5" t="s">
        <v>49010</v>
      </c>
      <c r="T753" s="28"/>
      <c r="U753" s="28"/>
      <c r="V753" s="28">
        <v>630165000</v>
      </c>
      <c r="W753" s="28">
        <v>299000000</v>
      </c>
      <c r="X753" s="28">
        <v>34000</v>
      </c>
      <c r="Y753" s="28">
        <v>1193076000</v>
      </c>
      <c r="Z753" s="28">
        <v>170823000</v>
      </c>
      <c r="AA753" s="28"/>
      <c r="AB753" s="28"/>
      <c r="AC753" s="28">
        <v>1021753000</v>
      </c>
      <c r="AD753" s="28">
        <v>171323000</v>
      </c>
      <c r="AE753" s="28">
        <v>4374272000</v>
      </c>
      <c r="AF753" s="28">
        <v>90963000</v>
      </c>
      <c r="AG753" s="11"/>
    </row>
    <row r="754">
      <c r="A754" s="7" t="s">
        <v>2485</v>
      </c>
      <c r="B754" s="5" t="s">
        <v>10466</v>
      </c>
      <c r="C754" s="5" t="s">
        <v>18353</v>
      </c>
      <c r="D754" s="5" t="str">
        <v>381002804505</v>
      </c>
      <c r="E754" s="0" t="e">
        <f>+7 (495) 9950809
+7 (495) 9959952
+7 (959) 9521198</f>
        <v>#NAME?</v>
      </c>
      <c r="F754" s="5" t="s">
        <v>27622</v>
      </c>
      <c r="G754" s="5" t="s">
        <v>27623</v>
      </c>
      <c r="H754" s="26">
        <v>20.5</v>
      </c>
      <c r="I754" s="5" t="s">
        <v>27624</v>
      </c>
      <c r="J754" s="5" t="s">
        <v>599</v>
      </c>
      <c r="K754" s="5" t="s">
        <v>344</v>
      </c>
      <c r="L754" s="5" t="s">
        <v>27625</v>
      </c>
      <c r="M754" s="27">
        <v>1518282</v>
      </c>
      <c r="N754" s="5" t="s">
        <v>50312</v>
      </c>
      <c r="O754" s="5" t="str">
        <v>5001038736</v>
      </c>
      <c r="P754" s="27">
        <v>10000</v>
      </c>
      <c r="Q754" s="5" t="s">
        <v>49021</v>
      </c>
      <c r="R754" s="5" t="s">
        <v>50314</v>
      </c>
      <c r="S754" s="5" t="s">
        <v>50315</v>
      </c>
      <c r="T754" s="28">
        <v>1091804000</v>
      </c>
      <c r="U754" s="28"/>
      <c r="V754" s="28">
        <v>327686000</v>
      </c>
      <c r="W754" s="28">
        <v>800000000</v>
      </c>
      <c r="X754" s="28">
        <v>26131000</v>
      </c>
      <c r="Y754" s="28">
        <v>2507857000</v>
      </c>
      <c r="Z754" s="28">
        <v>165170000</v>
      </c>
      <c r="AA754" s="28"/>
      <c r="AB754" s="28"/>
      <c r="AC754" s="28">
        <v>1284646000</v>
      </c>
      <c r="AD754" s="28">
        <v>165180000</v>
      </c>
      <c r="AE754" s="28">
        <v>10490660000</v>
      </c>
      <c r="AF754" s="28">
        <v>41914000</v>
      </c>
      <c r="AG754" s="11"/>
    </row>
    <row r="755">
      <c r="A755" s="7" t="s">
        <v>2486</v>
      </c>
      <c r="B755" s="5" t="s">
        <v>10467</v>
      </c>
      <c r="C755" s="5" t="s">
        <v>18354</v>
      </c>
      <c r="D755" s="5" t="str">
        <v>750501470590</v>
      </c>
      <c r="E755" s="0" t="e">
        <f>+7 (983) 5315550</f>
        <v>#NAME?</v>
      </c>
      <c r="F755" s="5" t="s">
        <v>27626</v>
      </c>
      <c r="G755" s="5"/>
      <c r="H755" s="26">
        <v>5</v>
      </c>
      <c r="I755" s="5" t="s">
        <v>27627</v>
      </c>
      <c r="J755" s="5" t="s">
        <v>27628</v>
      </c>
      <c r="K755" s="5" t="s">
        <v>344</v>
      </c>
      <c r="L755" s="5" t="s">
        <v>27629</v>
      </c>
      <c r="M755" s="27"/>
      <c r="N755" s="5" t="s">
        <v>50316</v>
      </c>
      <c r="O755" s="5" t="str">
        <v>0323402701</v>
      </c>
      <c r="P755" s="27">
        <v>11000</v>
      </c>
      <c r="Q755" s="5" t="s">
        <v>49387</v>
      </c>
      <c r="R755" s="5"/>
      <c r="S755" s="5" t="s">
        <v>50317</v>
      </c>
      <c r="T755" s="28">
        <v>2483000</v>
      </c>
      <c r="U755" s="28"/>
      <c r="V755" s="28">
        <v>565639000</v>
      </c>
      <c r="W755" s="28">
        <v>189500000</v>
      </c>
      <c r="X755" s="28">
        <v>804000</v>
      </c>
      <c r="Y755" s="28">
        <v>1498610000</v>
      </c>
      <c r="Z755" s="28">
        <v>652782000</v>
      </c>
      <c r="AA755" s="28">
        <v>608185000</v>
      </c>
      <c r="AB755" s="28"/>
      <c r="AC755" s="28">
        <v>237632000</v>
      </c>
      <c r="AD755" s="28">
        <v>652793000</v>
      </c>
      <c r="AE755" s="28">
        <v>5381210000</v>
      </c>
      <c r="AF755" s="28">
        <v>103868000</v>
      </c>
      <c r="AG755" s="11"/>
    </row>
    <row r="756">
      <c r="A756" s="7" t="s">
        <v>2487</v>
      </c>
      <c r="B756" s="5" t="s">
        <v>10468</v>
      </c>
      <c r="C756" s="5" t="s">
        <v>18355</v>
      </c>
      <c r="D756" s="5" t="str">
        <v>753610357671</v>
      </c>
      <c r="E756" s="0" t="e">
        <f>+7 (3022) 351435
+7 (3022) 354480
+7 (3952) 386988
+7 (3952) 486501
+7 (800) 6005587
+7 (902) 5688630
+7 (914) 5033144
+7 (914) 9503144
+7 (924) 8101814</f>
        <v>#NAME?</v>
      </c>
      <c r="F756" s="5" t="s">
        <v>27630</v>
      </c>
      <c r="G756" s="5" t="s">
        <v>27631</v>
      </c>
      <c r="H756" s="26">
        <v>7</v>
      </c>
      <c r="I756" s="5" t="s">
        <v>27632</v>
      </c>
      <c r="J756" s="5" t="s">
        <v>27115</v>
      </c>
      <c r="K756" s="5" t="s">
        <v>344</v>
      </c>
      <c r="L756" s="5" t="s">
        <v>27633</v>
      </c>
      <c r="M756" s="27">
        <v>293682</v>
      </c>
      <c r="N756" s="5" t="s">
        <v>50318</v>
      </c>
      <c r="O756" s="5" t="str">
        <v>3812119076</v>
      </c>
      <c r="P756" s="27">
        <v>10000</v>
      </c>
      <c r="Q756" s="5" t="s">
        <v>50319</v>
      </c>
      <c r="R756" s="5"/>
      <c r="S756" s="5" t="s">
        <v>50320</v>
      </c>
      <c r="T756" s="28"/>
      <c r="U756" s="28"/>
      <c r="V756" s="28">
        <v>1176443000</v>
      </c>
      <c r="W756" s="28">
        <v>212498000</v>
      </c>
      <c r="X756" s="28">
        <v>4078000</v>
      </c>
      <c r="Y756" s="28">
        <v>2430997000</v>
      </c>
      <c r="Z756" s="28">
        <v>15563000</v>
      </c>
      <c r="AA756" s="28"/>
      <c r="AB756" s="28">
        <v>165840000</v>
      </c>
      <c r="AC756" s="28">
        <v>2415424000</v>
      </c>
      <c r="AD756" s="28">
        <v>15573000</v>
      </c>
      <c r="AE756" s="28">
        <v>8779017000</v>
      </c>
      <c r="AF756" s="28">
        <v>3176000</v>
      </c>
      <c r="AG756" s="11"/>
    </row>
    <row r="757">
      <c r="A757" s="7" t="s">
        <v>2488</v>
      </c>
      <c r="B757" s="5" t="s">
        <v>10469</v>
      </c>
      <c r="C757" s="5" t="s">
        <v>18356</v>
      </c>
      <c r="D757" s="5" t="str">
        <v>750201442761</v>
      </c>
      <c r="E757" s="0" t="e">
        <f>+7 (3022) 217178
+7 (3022) 236632
+7 (3022) 236656
+7 (3022) 236665
+7 (3022) 236667
+7 (3022) 236766
+7 (30240) 21097
+7 (30240) 21098
+7 (30240) 21099
+7 (30240) 45127</f>
        <v>#NAME?</v>
      </c>
      <c r="F757" s="5" t="s">
        <v>27634</v>
      </c>
      <c r="G757" s="5"/>
      <c r="H757" s="26">
        <v>18</v>
      </c>
      <c r="I757" s="5" t="s">
        <v>27635</v>
      </c>
      <c r="J757" s="5" t="s">
        <v>27636</v>
      </c>
      <c r="K757" s="5" t="s">
        <v>355</v>
      </c>
      <c r="L757" s="5" t="s">
        <v>27637</v>
      </c>
      <c r="M757" s="27"/>
      <c r="N757" s="5"/>
      <c r="O757" s="5" t="str">
        <v>7536059947</v>
      </c>
      <c r="P757" s="27">
        <v>95000000</v>
      </c>
      <c r="Q757" s="5" t="s">
        <v>49009</v>
      </c>
      <c r="R757" s="5"/>
      <c r="S757" s="5" t="s">
        <v>49010</v>
      </c>
      <c r="T757" s="28">
        <v>14624135000</v>
      </c>
      <c r="U757" s="28"/>
      <c r="V757" s="28">
        <v>8575621000</v>
      </c>
      <c r="W757" s="28"/>
      <c r="X757" s="28">
        <v>232627000</v>
      </c>
      <c r="Y757" s="28">
        <v>26316182000</v>
      </c>
      <c r="Z757" s="28">
        <v>8818934000</v>
      </c>
      <c r="AA757" s="28">
        <v>5187550000</v>
      </c>
      <c r="AB757" s="28"/>
      <c r="AC757" s="28">
        <v>10544677000</v>
      </c>
      <c r="AD757" s="28">
        <v>10186168000</v>
      </c>
      <c r="AE757" s="28">
        <v>12391516000</v>
      </c>
      <c r="AF757" s="28">
        <v>3061441000</v>
      </c>
      <c r="AG757" s="11"/>
    </row>
    <row r="758">
      <c r="A758" s="7" t="s">
        <v>2489</v>
      </c>
      <c r="B758" s="5" t="s">
        <v>10470</v>
      </c>
      <c r="C758" s="5" t="s">
        <v>18357</v>
      </c>
      <c r="D758" s="5" t="str">
        <v>382100549206</v>
      </c>
      <c r="E758" s="0" t="e">
        <f>+7 (3854) 368986
+7 (3952) 202020
+7 (3952) 214672
+7 (3952) 217061
+7 (3952) 217653
+7 (3952) 224455
+7 (3952) 231748
+7 (3952) 240153
+7 (3952) 242940
+7 (3952) 250318
+7 (3952) 251529
+7 (3952) 252973
+7 (3952) 254875
+7 (3952) 256124
+7 (3952) 256321</f>
        <v>#NAME?</v>
      </c>
      <c r="F758" s="5" t="s">
        <v>27638</v>
      </c>
      <c r="G758" s="5"/>
      <c r="H758" s="26">
        <v>9.5</v>
      </c>
      <c r="I758" s="5" t="s">
        <v>27639</v>
      </c>
      <c r="J758" s="5" t="s">
        <v>27640</v>
      </c>
      <c r="K758" s="5" t="s">
        <v>355</v>
      </c>
      <c r="L758" s="5"/>
      <c r="M758" s="27">
        <v>8016005</v>
      </c>
      <c r="N758" s="5" t="s">
        <v>50321</v>
      </c>
      <c r="O758" s="5" t="str">
        <v>3808229774</v>
      </c>
      <c r="P758" s="27">
        <v>3300000000</v>
      </c>
      <c r="Q758" s="5" t="s">
        <v>50323</v>
      </c>
      <c r="R758" s="5"/>
      <c r="S758" s="5" t="s">
        <v>50324</v>
      </c>
      <c r="T758" s="28">
        <v>24855201000</v>
      </c>
      <c r="U758" s="28">
        <v>6022681000</v>
      </c>
      <c r="V758" s="28">
        <v>5347504000</v>
      </c>
      <c r="W758" s="28"/>
      <c r="X758" s="28">
        <v>2654459000</v>
      </c>
      <c r="Y758" s="28">
        <v>43662113000</v>
      </c>
      <c r="Z758" s="28">
        <v>3111101000</v>
      </c>
      <c r="AA758" s="28">
        <v>10720215000</v>
      </c>
      <c r="AB758" s="28">
        <v>3136245000</v>
      </c>
      <c r="AC758" s="28">
        <v>20779195000</v>
      </c>
      <c r="AD758" s="28">
        <v>9170954000</v>
      </c>
      <c r="AE758" s="28">
        <v>47977689000</v>
      </c>
      <c r="AF758" s="28">
        <v>-14023000</v>
      </c>
      <c r="AG758" s="11"/>
    </row>
    <row r="759">
      <c r="A759" s="7" t="s">
        <v>2490</v>
      </c>
      <c r="B759" s="5" t="s">
        <v>10471</v>
      </c>
      <c r="C759" s="5" t="s">
        <v>18358</v>
      </c>
      <c r="D759" s="5" t="str">
        <v>381270250700</v>
      </c>
      <c r="E759" s="0" t="e">
        <f>+7 (390) 2288588
+7 (390) 2299655
+7 (39042) 29219
+7 (39042) 64144
+7 (39042) 64795
+7 (3952) 280936
+7 (3952) 790777
+7 (3952) 794888
+7 (39550) 71428
+7 (39042) 27179
+7 (39042) 28468
+7 (39042) 61603
+7 (39042) 67002
+7 (395) 2217586
+7 (3952) 794992</f>
        <v>#NAME?</v>
      </c>
      <c r="F759" s="5" t="s">
        <v>27641</v>
      </c>
      <c r="G759" s="5"/>
      <c r="H759" s="26">
        <v>18.5</v>
      </c>
      <c r="I759" s="5"/>
      <c r="J759" s="5" t="s">
        <v>27642</v>
      </c>
      <c r="K759" s="5" t="s">
        <v>355</v>
      </c>
      <c r="L759" s="5"/>
      <c r="M759" s="27">
        <v>857093</v>
      </c>
      <c r="N759" s="5" t="s">
        <v>50325</v>
      </c>
      <c r="O759" s="5" t="str">
        <v>3808108339</v>
      </c>
      <c r="P759" s="27">
        <v>58100</v>
      </c>
      <c r="Q759" s="5" t="s">
        <v>50327</v>
      </c>
      <c r="R759" s="5"/>
      <c r="S759" s="5" t="s">
        <v>50328</v>
      </c>
      <c r="T759" s="28">
        <v>338264000</v>
      </c>
      <c r="U759" s="28">
        <v>243490000</v>
      </c>
      <c r="V759" s="28">
        <v>778863000</v>
      </c>
      <c r="W759" s="28"/>
      <c r="X759" s="28">
        <v>377352000</v>
      </c>
      <c r="Y759" s="28">
        <v>3161216000</v>
      </c>
      <c r="Z759" s="28">
        <v>-1047163000</v>
      </c>
      <c r="AA759" s="28">
        <v>1547465000</v>
      </c>
      <c r="AB759" s="28"/>
      <c r="AC759" s="28">
        <v>927418000</v>
      </c>
      <c r="AD759" s="28">
        <v>425758000</v>
      </c>
      <c r="AE759" s="28">
        <v>3188267000</v>
      </c>
      <c r="AF759" s="28">
        <v>-305134000</v>
      </c>
      <c r="AG759" s="11"/>
    </row>
    <row r="760">
      <c r="A760" s="7" t="s">
        <v>2491</v>
      </c>
      <c r="B760" s="5" t="s">
        <v>10472</v>
      </c>
      <c r="C760" s="5" t="s">
        <v>18359</v>
      </c>
      <c r="D760" s="5" t="str">
        <v>262802782960</v>
      </c>
      <c r="E760" s="0" t="e">
        <f>+7 (87937) 40120
+7 (87937) 42062
+7 (87937) 56394</f>
        <v>#NAME?</v>
      </c>
      <c r="F760" s="5" t="s">
        <v>27643</v>
      </c>
      <c r="G760" s="5"/>
      <c r="H760" s="26">
        <v>31</v>
      </c>
      <c r="I760" s="5"/>
      <c r="J760" s="5" t="s">
        <v>25450</v>
      </c>
      <c r="K760" s="5" t="s">
        <v>344</v>
      </c>
      <c r="L760" s="5" t="s">
        <v>27644</v>
      </c>
      <c r="M760" s="27">
        <v>3568161</v>
      </c>
      <c r="N760" s="5" t="s">
        <v>50329</v>
      </c>
      <c r="O760" s="5" t="str">
        <v>2628009249</v>
      </c>
      <c r="P760" s="27">
        <v>31617000</v>
      </c>
      <c r="Q760" s="5" t="s">
        <v>49059</v>
      </c>
      <c r="R760" s="5"/>
      <c r="S760" s="5" t="s">
        <v>49028</v>
      </c>
      <c r="T760" s="28">
        <v>253136000</v>
      </c>
      <c r="U760" s="28"/>
      <c r="V760" s="28">
        <v>210052000</v>
      </c>
      <c r="W760" s="28">
        <v>32274000</v>
      </c>
      <c r="X760" s="28">
        <v>14505000</v>
      </c>
      <c r="Y760" s="28">
        <v>1024339000</v>
      </c>
      <c r="Z760" s="28">
        <v>375038000</v>
      </c>
      <c r="AA760" s="28">
        <v>284702000</v>
      </c>
      <c r="AB760" s="28"/>
      <c r="AC760" s="28">
        <v>331865000</v>
      </c>
      <c r="AD760" s="28">
        <v>407773000</v>
      </c>
      <c r="AE760" s="28">
        <v>3525475000</v>
      </c>
      <c r="AF760" s="28">
        <v>70890000</v>
      </c>
      <c r="AG760" s="11"/>
    </row>
    <row r="761">
      <c r="A761" s="7" t="s">
        <v>2492</v>
      </c>
      <c r="B761" s="5" t="s">
        <v>10473</v>
      </c>
      <c r="C761" s="5" t="s">
        <v>18360</v>
      </c>
      <c r="D761" s="5" t="str">
        <v>860406468907</v>
      </c>
      <c r="E761" s="0" t="e">
        <f>+7 (35352) 26426
+7 (35352) 32175
+7 (903) 3650298</f>
        <v>#NAME?</v>
      </c>
      <c r="F761" s="5"/>
      <c r="G761" s="5"/>
      <c r="H761" s="26">
        <v>28</v>
      </c>
      <c r="I761" s="5" t="s">
        <v>27645</v>
      </c>
      <c r="J761" s="5" t="s">
        <v>26607</v>
      </c>
      <c r="K761" s="5" t="s">
        <v>344</v>
      </c>
      <c r="L761" s="5" t="s">
        <v>27646</v>
      </c>
      <c r="M761" s="27"/>
      <c r="N761" s="5"/>
      <c r="O761" s="5" t="str">
        <v>5602004322</v>
      </c>
      <c r="P761" s="27">
        <v>4200000</v>
      </c>
      <c r="Q761" s="5" t="s">
        <v>49009</v>
      </c>
      <c r="R761" s="5"/>
      <c r="S761" s="5" t="s">
        <v>49045</v>
      </c>
      <c r="T761" s="28">
        <v>6066014000</v>
      </c>
      <c r="U761" s="28"/>
      <c r="V761" s="28">
        <v>409317000</v>
      </c>
      <c r="W761" s="28"/>
      <c r="X761" s="28">
        <v>937594000</v>
      </c>
      <c r="Y761" s="28">
        <v>8408041000</v>
      </c>
      <c r="Z761" s="28">
        <v>3080088000</v>
      </c>
      <c r="AA761" s="28">
        <v>1701281000</v>
      </c>
      <c r="AB761" s="28"/>
      <c r="AC761" s="28">
        <v>1821224000</v>
      </c>
      <c r="AD761" s="28">
        <v>4205888000</v>
      </c>
      <c r="AE761" s="28">
        <v>12339628000</v>
      </c>
      <c r="AF761" s="28">
        <v>-129269000</v>
      </c>
      <c r="AG761" s="11"/>
    </row>
    <row r="762">
      <c r="A762" s="7" t="s">
        <v>2493</v>
      </c>
      <c r="B762" s="5" t="s">
        <v>10474</v>
      </c>
      <c r="C762" s="5" t="s">
        <v>18361</v>
      </c>
      <c r="D762" s="5" t="str">
        <v>280101323950</v>
      </c>
      <c r="E762" s="0" t="e">
        <f>+7 (495) 6476808
+7 (495) 6241111
+7 (495) 6476807</f>
        <v>#NAME?</v>
      </c>
      <c r="F762" s="5"/>
      <c r="G762" s="5" t="s">
        <v>27647</v>
      </c>
      <c r="H762" s="26">
        <v>30</v>
      </c>
      <c r="I762" s="5"/>
      <c r="J762" s="5" t="s">
        <v>25429</v>
      </c>
      <c r="K762" s="5" t="s">
        <v>344</v>
      </c>
      <c r="L762" s="5"/>
      <c r="M762" s="27"/>
      <c r="N762" s="5"/>
      <c r="O762" s="5" t="str">
        <v>7729085069</v>
      </c>
      <c r="P762" s="27">
        <v>10000</v>
      </c>
      <c r="Q762" s="5" t="s">
        <v>49009</v>
      </c>
      <c r="R762" s="5"/>
      <c r="S762" s="5" t="s">
        <v>49028</v>
      </c>
      <c r="T762" s="28">
        <v>783002000</v>
      </c>
      <c r="U762" s="28"/>
      <c r="V762" s="28">
        <v>1400374000</v>
      </c>
      <c r="W762" s="28"/>
      <c r="X762" s="28">
        <v>505972000</v>
      </c>
      <c r="Y762" s="28">
        <v>3195871000</v>
      </c>
      <c r="Z762" s="28">
        <v>409340000</v>
      </c>
      <c r="AA762" s="28"/>
      <c r="AB762" s="28"/>
      <c r="AC762" s="28">
        <v>2697761000</v>
      </c>
      <c r="AD762" s="28">
        <v>409351000</v>
      </c>
      <c r="AE762" s="28">
        <v>4188092000</v>
      </c>
      <c r="AF762" s="28">
        <v>9717000</v>
      </c>
      <c r="AG762" s="11"/>
    </row>
    <row r="763">
      <c r="A763" s="7" t="s">
        <v>2494</v>
      </c>
      <c r="B763" s="5" t="s">
        <v>10475</v>
      </c>
      <c r="C763" s="5" t="s">
        <v>18362</v>
      </c>
      <c r="D763" s="5" t="str">
        <v>301300841607</v>
      </c>
      <c r="E763" s="0" t="e">
        <f>+7 (812) 7401080
+7 (911) 3645388
+7 (911) 3665013
+7 (911) 3902681
+7 (911) 8831559
+7 (911) 8831595</f>
        <v>#NAME?</v>
      </c>
      <c r="F763" s="5"/>
      <c r="G763" s="5" t="s">
        <v>27648</v>
      </c>
      <c r="H763" s="26">
        <v>19.5</v>
      </c>
      <c r="I763" s="5" t="s">
        <v>27649</v>
      </c>
      <c r="J763" s="5" t="s">
        <v>27650</v>
      </c>
      <c r="K763" s="5" t="s">
        <v>344</v>
      </c>
      <c r="L763" s="5" t="s">
        <v>27651</v>
      </c>
      <c r="M763" s="27"/>
      <c r="N763" s="5"/>
      <c r="O763" s="5" t="str">
        <v>6037000390</v>
      </c>
      <c r="P763" s="27">
        <v>100000</v>
      </c>
      <c r="Q763" s="5" t="s">
        <v>49059</v>
      </c>
      <c r="R763" s="5"/>
      <c r="S763" s="5" t="s">
        <v>49325</v>
      </c>
      <c r="T763" s="28">
        <v>275269000</v>
      </c>
      <c r="U763" s="28"/>
      <c r="V763" s="28">
        <v>288102000</v>
      </c>
      <c r="W763" s="28"/>
      <c r="X763" s="28">
        <v>34433000</v>
      </c>
      <c r="Y763" s="28">
        <v>1219316000</v>
      </c>
      <c r="Z763" s="28">
        <v>496900000</v>
      </c>
      <c r="AA763" s="28">
        <v>432360000</v>
      </c>
      <c r="AB763" s="28">
        <v>102578000</v>
      </c>
      <c r="AC763" s="28">
        <v>282895000</v>
      </c>
      <c r="AD763" s="28">
        <v>497000000</v>
      </c>
      <c r="AE763" s="28">
        <v>3125798000</v>
      </c>
      <c r="AF763" s="28">
        <v>277831000</v>
      </c>
      <c r="AG763" s="11"/>
    </row>
    <row r="764">
      <c r="A764" s="7" t="s">
        <v>2495</v>
      </c>
      <c r="B764" s="5" t="s">
        <v>10476</v>
      </c>
      <c r="C764" s="5" t="s">
        <v>18363</v>
      </c>
      <c r="D764" s="5" t="str">
        <v>780209569254</v>
      </c>
      <c r="E764" s="0" t="e">
        <f>+7 (3412) 915325
+7 (3433) 4131
+7 (345) 2496398
+7 (383) 2919487
+7 (383) 3633534
+7 (495) 6496084
+7 (495) 9212868
+7 (812) 3207677
+7 (812) 3207678
+7 (812) 6007039
+7 (84626) 93812
+7 (915) 1129318
+7 (963) 7508929</f>
        <v>#NAME?</v>
      </c>
      <c r="F764" s="5" t="s">
        <v>27652</v>
      </c>
      <c r="G764" s="5" t="s">
        <v>27653</v>
      </c>
      <c r="H764" s="26">
        <v>29.5</v>
      </c>
      <c r="I764" s="5"/>
      <c r="J764" s="5" t="s">
        <v>27654</v>
      </c>
      <c r="K764" s="5" t="s">
        <v>344</v>
      </c>
      <c r="L764" s="5" t="s">
        <v>27655</v>
      </c>
      <c r="M764" s="27"/>
      <c r="N764" s="5"/>
      <c r="O764" s="5" t="str">
        <v>7813055464</v>
      </c>
      <c r="P764" s="27">
        <v>10588770</v>
      </c>
      <c r="Q764" s="5" t="s">
        <v>49009</v>
      </c>
      <c r="R764" s="5"/>
      <c r="S764" s="5" t="s">
        <v>49045</v>
      </c>
      <c r="T764" s="28">
        <v>16296000</v>
      </c>
      <c r="U764" s="28">
        <v>99132000</v>
      </c>
      <c r="V764" s="28">
        <v>1835734000</v>
      </c>
      <c r="W764" s="28">
        <v>128721000</v>
      </c>
      <c r="X764" s="28">
        <v>130543000</v>
      </c>
      <c r="Y764" s="28">
        <v>3290888000</v>
      </c>
      <c r="Z764" s="28">
        <v>2147941000</v>
      </c>
      <c r="AA764" s="28"/>
      <c r="AB764" s="28">
        <v>400000000</v>
      </c>
      <c r="AC764" s="28">
        <v>1035731000</v>
      </c>
      <c r="AD764" s="28">
        <v>2214422000</v>
      </c>
      <c r="AE764" s="28">
        <v>7012195000</v>
      </c>
      <c r="AF764" s="28">
        <v>302390000</v>
      </c>
      <c r="AG764" s="11"/>
    </row>
    <row r="765">
      <c r="A765" s="7" t="s">
        <v>2496</v>
      </c>
      <c r="B765" s="5" t="s">
        <v>10477</v>
      </c>
      <c r="C765" s="5" t="s">
        <v>18364</v>
      </c>
      <c r="D765" s="5" t="str">
        <v>781662856885</v>
      </c>
      <c r="E765" s="0" t="e">
        <f>+7 (3433) 848402
+7 (49133) 93338
+7 (49133) 93959
+7 (49133) 93964
+7 (495) 6459347
+7 (800) 5000033
+7 (812) 3629072
+7 (812) 3629073
+7 (812) 3629074</f>
        <v>#NAME?</v>
      </c>
      <c r="F765" s="5" t="s">
        <v>27656</v>
      </c>
      <c r="G765" s="5" t="s">
        <v>27657</v>
      </c>
      <c r="H765" s="26">
        <v>21</v>
      </c>
      <c r="I765" s="5"/>
      <c r="J765" s="5" t="s">
        <v>27407</v>
      </c>
      <c r="K765" s="5" t="s">
        <v>344</v>
      </c>
      <c r="L765" s="5" t="s">
        <v>27658</v>
      </c>
      <c r="M765" s="27"/>
      <c r="N765" s="5" t="s">
        <v>50330</v>
      </c>
      <c r="O765" s="5" t="str">
        <v>7801200558</v>
      </c>
      <c r="P765" s="27">
        <v>10000</v>
      </c>
      <c r="Q765" s="5" t="s">
        <v>50331</v>
      </c>
      <c r="R765" s="5"/>
      <c r="S765" s="5" t="s">
        <v>50332</v>
      </c>
      <c r="T765" s="28">
        <v>679402000</v>
      </c>
      <c r="U765" s="28">
        <v>365232000</v>
      </c>
      <c r="V765" s="28">
        <v>1517193000</v>
      </c>
      <c r="W765" s="28">
        <v>33010000</v>
      </c>
      <c r="X765" s="28">
        <v>208613000</v>
      </c>
      <c r="Y765" s="28">
        <v>4781617000</v>
      </c>
      <c r="Z765" s="28">
        <v>3298972000</v>
      </c>
      <c r="AA765" s="28">
        <v>473480000</v>
      </c>
      <c r="AB765" s="28">
        <v>264698000</v>
      </c>
      <c r="AC765" s="28">
        <v>998774000</v>
      </c>
      <c r="AD765" s="28">
        <v>3298983000</v>
      </c>
      <c r="AE765" s="28">
        <v>3036508000</v>
      </c>
      <c r="AF765" s="28">
        <v>424569000</v>
      </c>
      <c r="AG765" s="11"/>
    </row>
    <row r="766">
      <c r="A766" s="7" t="s">
        <v>2497</v>
      </c>
      <c r="B766" s="5" t="s">
        <v>10478</v>
      </c>
      <c r="C766" s="5" t="s">
        <v>18365</v>
      </c>
      <c r="D766" s="5" t="str">
        <v>781708850783</v>
      </c>
      <c r="E766" s="0" t="e">
        <f>+7 (812) 5767777
+7 (343) 2537090
+7 (385) 2721236
+7 (4712) 770364
+7 (472) 2218045
+7 (475) 2703478
+7 (485) 2695284
+7 (492) 2479073
+7 (800) 2220555
+7 (8112) 622828
+7 (812) 6110580
+7 (812) 6709080
+7 (815) 2400270
+7 (8212) 202556
+7 (8212) 202565</f>
        <v>#NAME?</v>
      </c>
      <c r="F766" s="5" t="s">
        <v>27659</v>
      </c>
      <c r="G766" s="5" t="s">
        <v>27660</v>
      </c>
      <c r="H766" s="26">
        <v>23.5</v>
      </c>
      <c r="I766" s="5" t="s">
        <v>27661</v>
      </c>
      <c r="J766" s="5" t="s">
        <v>25670</v>
      </c>
      <c r="K766" s="5" t="s">
        <v>344</v>
      </c>
      <c r="L766" s="5"/>
      <c r="M766" s="27">
        <v>25431247</v>
      </c>
      <c r="N766" s="5" t="s">
        <v>50333</v>
      </c>
      <c r="O766" s="5" t="str">
        <v>7826705374</v>
      </c>
      <c r="P766" s="27">
        <v>150000000</v>
      </c>
      <c r="Q766" s="5" t="s">
        <v>50334</v>
      </c>
      <c r="R766" s="5" t="s">
        <v>50335</v>
      </c>
      <c r="S766" s="5" t="s">
        <v>50336</v>
      </c>
      <c r="T766" s="28">
        <v>929188000</v>
      </c>
      <c r="U766" s="28"/>
      <c r="V766" s="28">
        <v>56383124000</v>
      </c>
      <c r="W766" s="28"/>
      <c r="X766" s="28">
        <v>956318000</v>
      </c>
      <c r="Y766" s="28">
        <v>110334264000</v>
      </c>
      <c r="Z766" s="28">
        <v>11779696000</v>
      </c>
      <c r="AA766" s="28">
        <v>49770929000</v>
      </c>
      <c r="AB766" s="28">
        <v>38512370000</v>
      </c>
      <c r="AC766" s="28">
        <v>48039672000</v>
      </c>
      <c r="AD766" s="28">
        <v>11929698000</v>
      </c>
      <c r="AE766" s="28">
        <v>14875707000</v>
      </c>
      <c r="AF766" s="28">
        <v>2993809000</v>
      </c>
      <c r="AG766" s="11"/>
    </row>
    <row r="767">
      <c r="A767" s="7" t="s">
        <v>2498</v>
      </c>
      <c r="B767" s="5" t="s">
        <v>10479</v>
      </c>
      <c r="C767" s="5" t="s">
        <v>18366</v>
      </c>
      <c r="D767" s="5" t="str">
        <v>390610325809</v>
      </c>
      <c r="E767" s="0" t="e">
        <f>+7 (401) 2922877</f>
        <v>#NAME?</v>
      </c>
      <c r="F767" s="5" t="s">
        <v>27662</v>
      </c>
      <c r="G767" s="5"/>
      <c r="H767" s="26">
        <v>6.5</v>
      </c>
      <c r="I767" s="5" t="s">
        <v>27663</v>
      </c>
      <c r="J767" s="5" t="s">
        <v>373</v>
      </c>
      <c r="K767" s="5" t="s">
        <v>344</v>
      </c>
      <c r="L767" s="5" t="s">
        <v>27664</v>
      </c>
      <c r="M767" s="27"/>
      <c r="N767" s="5" t="s">
        <v>50337</v>
      </c>
      <c r="O767" s="5" t="str">
        <v>3906996097</v>
      </c>
      <c r="P767" s="27">
        <v>10000</v>
      </c>
      <c r="Q767" s="5" t="s">
        <v>49057</v>
      </c>
      <c r="R767" s="5"/>
      <c r="S767" s="5" t="s">
        <v>50338</v>
      </c>
      <c r="T767" s="28"/>
      <c r="U767" s="28"/>
      <c r="V767" s="28">
        <v>409777000</v>
      </c>
      <c r="W767" s="28">
        <v>139603000</v>
      </c>
      <c r="X767" s="28">
        <v>9078000</v>
      </c>
      <c r="Y767" s="28">
        <v>639070000</v>
      </c>
      <c r="Z767" s="28">
        <v>272749000</v>
      </c>
      <c r="AA767" s="28"/>
      <c r="AB767" s="28">
        <v>187051000</v>
      </c>
      <c r="AC767" s="28">
        <v>360938000</v>
      </c>
      <c r="AD767" s="28">
        <v>272759000</v>
      </c>
      <c r="AE767" s="28">
        <v>3983177000</v>
      </c>
      <c r="AF767" s="28">
        <v>217642000</v>
      </c>
      <c r="AG767" s="11"/>
    </row>
    <row r="768">
      <c r="A768" s="7" t="s">
        <v>2499</v>
      </c>
      <c r="B768" s="5" t="s">
        <v>10480</v>
      </c>
      <c r="C768" s="5" t="s">
        <v>18367</v>
      </c>
      <c r="D768" s="5" t="str">
        <v>781108174822</v>
      </c>
      <c r="E768" s="0" t="e">
        <f>+7 (812) 3315000
+7 (812) 3315012
+7 (812) 7238989
+7 (921) 9394271</f>
        <v>#NAME?</v>
      </c>
      <c r="F768" s="5" t="s">
        <v>27665</v>
      </c>
      <c r="G768" s="5" t="s">
        <v>27666</v>
      </c>
      <c r="H768" s="26">
        <v>22</v>
      </c>
      <c r="I768" s="5" t="s">
        <v>27667</v>
      </c>
      <c r="J768" s="5" t="s">
        <v>364</v>
      </c>
      <c r="K768" s="5" t="s">
        <v>344</v>
      </c>
      <c r="L768" s="5" t="s">
        <v>27668</v>
      </c>
      <c r="M768" s="27"/>
      <c r="N768" s="5" t="s">
        <v>50339</v>
      </c>
      <c r="O768" s="5" t="str">
        <v>7801180990</v>
      </c>
      <c r="P768" s="27">
        <v>800000000</v>
      </c>
      <c r="Q768" s="5" t="s">
        <v>50340</v>
      </c>
      <c r="R768" s="5"/>
      <c r="S768" s="5" t="s">
        <v>50341</v>
      </c>
      <c r="T768" s="28">
        <v>456345000</v>
      </c>
      <c r="U768" s="28">
        <v>1507242000</v>
      </c>
      <c r="V768" s="28">
        <v>1016174000</v>
      </c>
      <c r="W768" s="28"/>
      <c r="X768" s="28">
        <v>3051749000</v>
      </c>
      <c r="Y768" s="28">
        <v>6595898000</v>
      </c>
      <c r="Z768" s="28">
        <v>1629855000</v>
      </c>
      <c r="AA768" s="28">
        <v>1058342000</v>
      </c>
      <c r="AB768" s="28"/>
      <c r="AC768" s="28">
        <v>3073502000</v>
      </c>
      <c r="AD768" s="28">
        <v>2429855000</v>
      </c>
      <c r="AE768" s="28">
        <v>4748072000</v>
      </c>
      <c r="AF768" s="28">
        <v>868688000</v>
      </c>
      <c r="AG768" s="11"/>
    </row>
    <row r="769">
      <c r="A769" s="7" t="s">
        <v>2500</v>
      </c>
      <c r="B769" s="5" t="s">
        <v>10481</v>
      </c>
      <c r="C769" s="5" t="s">
        <v>18368</v>
      </c>
      <c r="D769" s="5" t="str">
        <v>780208805928</v>
      </c>
      <c r="E769" s="0" t="e">
        <f>+7 (800) 3336519
+7 (800) 3336520
+7 (812) 3276520
+7 (812) 4123841</f>
        <v>#NAME?</v>
      </c>
      <c r="F769" s="5" t="s">
        <v>27669</v>
      </c>
      <c r="G769" s="5" t="s">
        <v>27670</v>
      </c>
      <c r="H769" s="26">
        <v>25.5</v>
      </c>
      <c r="I769" s="5" t="s">
        <v>27671</v>
      </c>
      <c r="J769" s="5" t="s">
        <v>25259</v>
      </c>
      <c r="K769" s="5" t="s">
        <v>344</v>
      </c>
      <c r="L769" s="5" t="s">
        <v>27672</v>
      </c>
      <c r="M769" s="27"/>
      <c r="N769" s="5" t="s">
        <v>50342</v>
      </c>
      <c r="O769" s="5" t="str">
        <v>7826019311</v>
      </c>
      <c r="P769" s="27">
        <v>12000</v>
      </c>
      <c r="Q769" s="5" t="s">
        <v>50343</v>
      </c>
      <c r="R769" s="5"/>
      <c r="S769" s="5" t="s">
        <v>50344</v>
      </c>
      <c r="T769" s="28">
        <v>100485000</v>
      </c>
      <c r="U769" s="28"/>
      <c r="V769" s="28">
        <v>497186000</v>
      </c>
      <c r="W769" s="28">
        <v>52395000</v>
      </c>
      <c r="X769" s="28">
        <v>5661000</v>
      </c>
      <c r="Y769" s="28">
        <v>2525360000</v>
      </c>
      <c r="Z769" s="28">
        <v>292758000</v>
      </c>
      <c r="AA769" s="28">
        <v>1438286000</v>
      </c>
      <c r="AB769" s="28">
        <v>259029000</v>
      </c>
      <c r="AC769" s="28">
        <v>773194000</v>
      </c>
      <c r="AD769" s="28">
        <v>292776000</v>
      </c>
      <c r="AE769" s="28">
        <v>4776204000</v>
      </c>
      <c r="AF769" s="28">
        <v>146504000</v>
      </c>
      <c r="AG769" s="11"/>
    </row>
    <row r="770">
      <c r="A770" s="7" t="s">
        <v>2501</v>
      </c>
      <c r="B770" s="5" t="s">
        <v>10482</v>
      </c>
      <c r="C770" s="5" t="s">
        <v>18369</v>
      </c>
      <c r="D770" s="5" t="str">
        <v>505200229400</v>
      </c>
      <c r="E770" s="0" t="e">
        <f>+7 (812) 3318112
+7 (913) 6261954
+7 (967) 7647264</f>
        <v>#NAME?</v>
      </c>
      <c r="F770" s="5"/>
      <c r="G770" s="5" t="s">
        <v>27673</v>
      </c>
      <c r="H770" s="26">
        <v>19.5</v>
      </c>
      <c r="I770" s="5" t="s">
        <v>27674</v>
      </c>
      <c r="J770" s="5" t="s">
        <v>678</v>
      </c>
      <c r="K770" s="5" t="s">
        <v>344</v>
      </c>
      <c r="L770" s="5" t="s">
        <v>27675</v>
      </c>
      <c r="M770" s="27">
        <v>735283</v>
      </c>
      <c r="N770" s="5"/>
      <c r="O770" s="5" t="str">
        <v>7707328335</v>
      </c>
      <c r="P770" s="27">
        <v>21800000</v>
      </c>
      <c r="Q770" s="5" t="s">
        <v>49009</v>
      </c>
      <c r="R770" s="5"/>
      <c r="S770" s="5" t="s">
        <v>49066</v>
      </c>
      <c r="T770" s="28">
        <v>3492000</v>
      </c>
      <c r="U770" s="28">
        <v>204150000</v>
      </c>
      <c r="V770" s="28">
        <v>1868442000</v>
      </c>
      <c r="W770" s="28"/>
      <c r="X770" s="28">
        <v>55602000</v>
      </c>
      <c r="Y770" s="28">
        <v>2766573000</v>
      </c>
      <c r="Z770" s="28">
        <v>1040773000</v>
      </c>
      <c r="AA770" s="28"/>
      <c r="AB770" s="28"/>
      <c r="AC770" s="28">
        <v>1704000000</v>
      </c>
      <c r="AD770" s="28">
        <v>1062573000</v>
      </c>
      <c r="AE770" s="28">
        <v>17305878000</v>
      </c>
      <c r="AF770" s="28">
        <v>239138000</v>
      </c>
      <c r="AG770" s="11"/>
    </row>
    <row r="771">
      <c r="A771" s="7" t="s">
        <v>2502</v>
      </c>
      <c r="B771" s="5" t="s">
        <v>10483</v>
      </c>
      <c r="C771" s="5" t="s">
        <v>18370</v>
      </c>
      <c r="D771" s="5" t="str">
        <v>781433793792</v>
      </c>
      <c r="E771" s="0" t="e">
        <f>+7 (812) 4224402
+7 (812) 4229848
+7 (812) 9748455</f>
        <v>#NAME?</v>
      </c>
      <c r="F771" s="5" t="s">
        <v>27676</v>
      </c>
      <c r="G771" s="5"/>
      <c r="H771" s="26">
        <v>21.5</v>
      </c>
      <c r="I771" s="5" t="s">
        <v>27677</v>
      </c>
      <c r="J771" s="5" t="s">
        <v>467</v>
      </c>
      <c r="K771" s="5" t="s">
        <v>344</v>
      </c>
      <c r="L771" s="5"/>
      <c r="M771" s="27">
        <v>7382491</v>
      </c>
      <c r="N771" s="5"/>
      <c r="O771" s="5" t="str">
        <v>7801182620</v>
      </c>
      <c r="P771" s="27">
        <v>10000</v>
      </c>
      <c r="Q771" s="5" t="s">
        <v>50346</v>
      </c>
      <c r="R771" s="5"/>
      <c r="S771" s="5" t="s">
        <v>50347</v>
      </c>
      <c r="T771" s="28">
        <v>361455000</v>
      </c>
      <c r="U771" s="28"/>
      <c r="V771" s="28">
        <v>1018839000</v>
      </c>
      <c r="W771" s="28">
        <v>6342000</v>
      </c>
      <c r="X771" s="28">
        <v>164079000</v>
      </c>
      <c r="Y771" s="28">
        <v>2793154000</v>
      </c>
      <c r="Z771" s="28">
        <v>1169146000</v>
      </c>
      <c r="AA771" s="28"/>
      <c r="AB771" s="28">
        <v>48673000</v>
      </c>
      <c r="AC771" s="28">
        <v>1630767000</v>
      </c>
      <c r="AD771" s="28">
        <v>1169156000</v>
      </c>
      <c r="AE771" s="28">
        <v>4969105000</v>
      </c>
      <c r="AF771" s="28">
        <v>871179000</v>
      </c>
      <c r="AG771" s="11"/>
    </row>
    <row r="772">
      <c r="A772" s="7" t="s">
        <v>2503</v>
      </c>
      <c r="B772" s="5" t="s">
        <v>10484</v>
      </c>
      <c r="C772" s="5" t="s">
        <v>18371</v>
      </c>
      <c r="D772" s="5" t="str">
        <v>784200596701</v>
      </c>
      <c r="E772" s="0" t="e">
        <f>+7 (812) 3265010
+7 (812) 3265011
+7 (812) 3265021
+7 (812) 7100153</f>
        <v>#NAME?</v>
      </c>
      <c r="F772" s="5" t="s">
        <v>27678</v>
      </c>
      <c r="G772" s="5" t="s">
        <v>27679</v>
      </c>
      <c r="H772" s="26">
        <v>23.5</v>
      </c>
      <c r="I772" s="5" t="s">
        <v>27680</v>
      </c>
      <c r="J772" s="5" t="s">
        <v>26325</v>
      </c>
      <c r="K772" s="5" t="s">
        <v>344</v>
      </c>
      <c r="L772" s="5" t="s">
        <v>27681</v>
      </c>
      <c r="M772" s="27">
        <v>2024483</v>
      </c>
      <c r="N772" s="5" t="s">
        <v>50348</v>
      </c>
      <c r="O772" s="5" t="str">
        <v>7804099031</v>
      </c>
      <c r="P772" s="27">
        <v>120775000</v>
      </c>
      <c r="Q772" s="5" t="s">
        <v>50349</v>
      </c>
      <c r="R772" s="5"/>
      <c r="S772" s="5" t="s">
        <v>50350</v>
      </c>
      <c r="T772" s="28">
        <v>25905244000</v>
      </c>
      <c r="U772" s="28">
        <v>82295000</v>
      </c>
      <c r="V772" s="28">
        <v>2198849000</v>
      </c>
      <c r="W772" s="28"/>
      <c r="X772" s="28">
        <v>1167227000</v>
      </c>
      <c r="Y772" s="28">
        <v>33433474000</v>
      </c>
      <c r="Z772" s="28">
        <v>8835398000</v>
      </c>
      <c r="AA772" s="28">
        <v>6073868000</v>
      </c>
      <c r="AB772" s="28">
        <v>2328212000</v>
      </c>
      <c r="AC772" s="28">
        <v>16266676000</v>
      </c>
      <c r="AD772" s="28">
        <v>9707849000</v>
      </c>
      <c r="AE772" s="28">
        <v>30186537000</v>
      </c>
      <c r="AF772" s="28">
        <v>5318964000</v>
      </c>
      <c r="AG772" s="11"/>
    </row>
    <row r="773">
      <c r="A773" s="7" t="s">
        <v>2504</v>
      </c>
      <c r="B773" s="5" t="s">
        <v>10485</v>
      </c>
      <c r="C773" s="5" t="s">
        <v>18372</v>
      </c>
      <c r="D773" s="5" t="str">
        <v>782021031998</v>
      </c>
      <c r="E773" s="0" t="e">
        <f>+7 (800) 2220438
+7 (812) 2928069
+7 (812) 3202870
+7 (812) 3273605
+7 (921) 6597197</f>
        <v>#NAME?</v>
      </c>
      <c r="F773" s="5" t="s">
        <v>27682</v>
      </c>
      <c r="G773" s="5" t="s">
        <v>27683</v>
      </c>
      <c r="H773" s="26">
        <v>30.5</v>
      </c>
      <c r="I773" s="5"/>
      <c r="J773" s="5" t="s">
        <v>26828</v>
      </c>
      <c r="K773" s="5" t="s">
        <v>344</v>
      </c>
      <c r="L773" s="5" t="s">
        <v>27684</v>
      </c>
      <c r="M773" s="27"/>
      <c r="N773" s="5" t="s">
        <v>50351</v>
      </c>
      <c r="O773" s="5" t="str">
        <v>7802005550</v>
      </c>
      <c r="P773" s="27">
        <v>100100</v>
      </c>
      <c r="Q773" s="5" t="s">
        <v>50352</v>
      </c>
      <c r="R773" s="5"/>
      <c r="S773" s="5" t="s">
        <v>49012</v>
      </c>
      <c r="T773" s="28">
        <v>1026000</v>
      </c>
      <c r="U773" s="28">
        <v>171000</v>
      </c>
      <c r="V773" s="28">
        <v>1663710000</v>
      </c>
      <c r="W773" s="28">
        <v>310643000</v>
      </c>
      <c r="X773" s="28">
        <v>32212000</v>
      </c>
      <c r="Y773" s="28">
        <v>2592592000</v>
      </c>
      <c r="Z773" s="28">
        <v>771020000</v>
      </c>
      <c r="AA773" s="28"/>
      <c r="AB773" s="28">
        <v>4108000</v>
      </c>
      <c r="AC773" s="28">
        <v>1817151000</v>
      </c>
      <c r="AD773" s="28">
        <v>771604000</v>
      </c>
      <c r="AE773" s="28">
        <v>14408545000</v>
      </c>
      <c r="AF773" s="28">
        <v>290317000</v>
      </c>
      <c r="AG773" s="11"/>
    </row>
    <row r="774">
      <c r="A774" s="7" t="s">
        <v>2505</v>
      </c>
      <c r="B774" s="5" t="s">
        <v>10486</v>
      </c>
      <c r="C774" s="5" t="s">
        <v>18373</v>
      </c>
      <c r="D774" s="5" t="str">
        <v>280802919130</v>
      </c>
      <c r="E774" s="0" t="e">
        <f>+7 (41656) 40763
+7 (41656) 50100
+7 (916) 2741111
+7 (41656) 40411
+7 (41656) 43804
+7 (41656) 46263
+7 (41656) 46826
+7 (41656) 48371
+7 (41656) 48394
+7 (421) 2911828
+7 (495) 9094000
+7 (914) 474131</f>
        <v>#NAME?</v>
      </c>
      <c r="F774" s="5" t="s">
        <v>27685</v>
      </c>
      <c r="G774" s="5" t="s">
        <v>27686</v>
      </c>
      <c r="H774" s="26">
        <v>30.5</v>
      </c>
      <c r="I774" s="5"/>
      <c r="J774" s="5" t="s">
        <v>27687</v>
      </c>
      <c r="K774" s="5" t="s">
        <v>344</v>
      </c>
      <c r="L774" s="5"/>
      <c r="M774" s="27">
        <v>47914290</v>
      </c>
      <c r="N774" s="5" t="s">
        <v>50353</v>
      </c>
      <c r="O774" s="5" t="str">
        <v>2808001344</v>
      </c>
      <c r="P774" s="27">
        <v>7191975</v>
      </c>
      <c r="Q774" s="5" t="s">
        <v>50354</v>
      </c>
      <c r="R774" s="5" t="s">
        <v>50355</v>
      </c>
      <c r="S774" s="5" t="s">
        <v>50356</v>
      </c>
      <c r="T774" s="28">
        <v>102515000</v>
      </c>
      <c r="U774" s="28">
        <v>2257856000</v>
      </c>
      <c r="V774" s="28">
        <v>5108790000</v>
      </c>
      <c r="W774" s="28"/>
      <c r="X774" s="28">
        <v>317989000</v>
      </c>
      <c r="Y774" s="28">
        <v>9567042000</v>
      </c>
      <c r="Z774" s="28">
        <v>1369206000</v>
      </c>
      <c r="AA774" s="28"/>
      <c r="AB774" s="28">
        <v>690976000</v>
      </c>
      <c r="AC774" s="28">
        <v>6019641000</v>
      </c>
      <c r="AD774" s="28">
        <v>3238329000</v>
      </c>
      <c r="AE774" s="28">
        <v>13749282000</v>
      </c>
      <c r="AF774" s="28">
        <v>147075000</v>
      </c>
      <c r="AG774" s="11"/>
    </row>
    <row r="775">
      <c r="A775" s="7" t="s">
        <v>2506</v>
      </c>
      <c r="B775" s="5" t="s">
        <v>10487</v>
      </c>
      <c r="C775" s="5" t="s">
        <v>18374</v>
      </c>
      <c r="D775" s="5" t="str">
        <v>771475427939</v>
      </c>
      <c r="E775" s="0" t="e">
        <f>+7 (495) 2584039</f>
        <v>#NAME?</v>
      </c>
      <c r="F775" s="5" t="s">
        <v>27688</v>
      </c>
      <c r="G775" s="5" t="s">
        <v>27689</v>
      </c>
      <c r="H775" s="26">
        <v>16</v>
      </c>
      <c r="I775" s="5" t="s">
        <v>27690</v>
      </c>
      <c r="J775" s="5" t="s">
        <v>25512</v>
      </c>
      <c r="K775" s="5" t="s">
        <v>344</v>
      </c>
      <c r="L775" s="5" t="s">
        <v>27691</v>
      </c>
      <c r="M775" s="27"/>
      <c r="N775" s="5" t="s">
        <v>50357</v>
      </c>
      <c r="O775" s="5" t="str">
        <v>7726568572</v>
      </c>
      <c r="P775" s="27">
        <v>8000000</v>
      </c>
      <c r="Q775" s="5" t="s">
        <v>49059</v>
      </c>
      <c r="R775" s="5"/>
      <c r="S775" s="5" t="s">
        <v>49487</v>
      </c>
      <c r="T775" s="28">
        <v>6950000</v>
      </c>
      <c r="U775" s="28">
        <v>32653000</v>
      </c>
      <c r="V775" s="28">
        <v>212201000</v>
      </c>
      <c r="W775" s="28"/>
      <c r="X775" s="28">
        <v>525069000</v>
      </c>
      <c r="Y775" s="28">
        <v>1308434000</v>
      </c>
      <c r="Z775" s="28">
        <v>1118887000</v>
      </c>
      <c r="AA775" s="28"/>
      <c r="AB775" s="28"/>
      <c r="AC775" s="28">
        <v>181548000</v>
      </c>
      <c r="AD775" s="28">
        <v>1126887000</v>
      </c>
      <c r="AE775" s="28">
        <v>5925176000</v>
      </c>
      <c r="AF775" s="28">
        <v>667813000</v>
      </c>
      <c r="AG775" s="11"/>
    </row>
    <row r="776">
      <c r="A776" s="7" t="s">
        <v>2507</v>
      </c>
      <c r="B776" s="5" t="s">
        <v>10488</v>
      </c>
      <c r="C776" s="5" t="s">
        <v>18375</v>
      </c>
      <c r="D776" s="5" t="str">
        <v>503218413284</v>
      </c>
      <c r="E776" s="0" t="e">
        <f>+7 (495) 9375801
+7 (495) 7830800
+7 (495) 9376500
+7 (495) 9376565
+7 (499) 5190707
+7 (800) 2223008</f>
        <v>#NAME?</v>
      </c>
      <c r="F776" s="5" t="s">
        <v>27692</v>
      </c>
      <c r="G776" s="5" t="s">
        <v>27693</v>
      </c>
      <c r="H776" s="26">
        <v>25</v>
      </c>
      <c r="I776" s="5" t="s">
        <v>27694</v>
      </c>
      <c r="J776" s="5" t="s">
        <v>27695</v>
      </c>
      <c r="K776" s="5" t="s">
        <v>344</v>
      </c>
      <c r="L776" s="5"/>
      <c r="M776" s="27"/>
      <c r="N776" s="5"/>
      <c r="O776" s="5" t="str">
        <v>5044022794</v>
      </c>
      <c r="P776" s="27">
        <v>661401820</v>
      </c>
      <c r="Q776" s="5" t="s">
        <v>49009</v>
      </c>
      <c r="R776" s="5"/>
      <c r="S776" s="5" t="s">
        <v>49066</v>
      </c>
      <c r="T776" s="28">
        <v>2513984000</v>
      </c>
      <c r="U776" s="28">
        <v>3321010000</v>
      </c>
      <c r="V776" s="28">
        <v>1919155000</v>
      </c>
      <c r="W776" s="28"/>
      <c r="X776" s="28">
        <v>2086352000</v>
      </c>
      <c r="Y776" s="28">
        <v>11274079000</v>
      </c>
      <c r="Z776" s="28">
        <v>-2762020000</v>
      </c>
      <c r="AA776" s="28"/>
      <c r="AB776" s="28"/>
      <c r="AC776" s="28">
        <v>3177687000</v>
      </c>
      <c r="AD776" s="28">
        <v>8096392000</v>
      </c>
      <c r="AE776" s="28">
        <v>11612342000</v>
      </c>
      <c r="AF776" s="28">
        <v>1160174000</v>
      </c>
      <c r="AG776" s="11"/>
    </row>
    <row r="777">
      <c r="A777" s="7" t="s">
        <v>2508</v>
      </c>
      <c r="B777" s="5" t="s">
        <v>10489</v>
      </c>
      <c r="C777" s="5" t="s">
        <v>18376</v>
      </c>
      <c r="D777" s="5" t="str">
        <v>164608356094</v>
      </c>
      <c r="E777" s="0" t="e">
        <f>+7 (495) 4190630
+7 (800) 3006291
+7 (916) 9285566</f>
        <v>#NAME?</v>
      </c>
      <c r="F777" s="5"/>
      <c r="G777" s="5"/>
      <c r="H777" s="26">
        <v>8.5</v>
      </c>
      <c r="I777" s="5" t="s">
        <v>27696</v>
      </c>
      <c r="J777" s="5" t="s">
        <v>27697</v>
      </c>
      <c r="K777" s="5" t="s">
        <v>344</v>
      </c>
      <c r="L777" s="5" t="s">
        <v>27698</v>
      </c>
      <c r="M777" s="27"/>
      <c r="N777" s="5" t="s">
        <v>50358</v>
      </c>
      <c r="O777" s="5" t="str">
        <v>5029191597</v>
      </c>
      <c r="P777" s="27">
        <v>10000</v>
      </c>
      <c r="Q777" s="5" t="s">
        <v>49009</v>
      </c>
      <c r="R777" s="5"/>
      <c r="S777" s="5" t="s">
        <v>49045</v>
      </c>
      <c r="T777" s="28">
        <v>70052000</v>
      </c>
      <c r="U777" s="28"/>
      <c r="V777" s="28">
        <v>731344000</v>
      </c>
      <c r="W777" s="28"/>
      <c r="X777" s="28">
        <v>9227000</v>
      </c>
      <c r="Y777" s="28">
        <v>927718000</v>
      </c>
      <c r="Z777" s="28">
        <v>364251000</v>
      </c>
      <c r="AA777" s="28">
        <v>23912000</v>
      </c>
      <c r="AB777" s="28">
        <v>23967000</v>
      </c>
      <c r="AC777" s="28">
        <v>538199000</v>
      </c>
      <c r="AD777" s="28">
        <v>364261000</v>
      </c>
      <c r="AE777" s="28">
        <v>4601514000</v>
      </c>
      <c r="AF777" s="28">
        <v>196647000</v>
      </c>
      <c r="AG777" s="11"/>
    </row>
    <row r="778">
      <c r="A778" s="7" t="s">
        <v>2509</v>
      </c>
      <c r="B778" s="5" t="s">
        <v>10490</v>
      </c>
      <c r="C778" s="5" t="s">
        <v>18377</v>
      </c>
      <c r="D778" s="5" t="str">
        <v>771680161287</v>
      </c>
      <c r="E778" s="0" t="e">
        <f>+7 (3823) 542145
+7 (495) 1
+7 (495) 1277978
+7 (495) 1278797
+7 (495) 1279140
+7 (495) 1279718
+7 (495) 1279789
+7 (495) 1279887
+7 (495) 2830310
+7 (495) 6465665
+7 (495) 9567937
+7 (499) 1279727
+7 (499) 2830310
+7 (495) 1279787
+7 (495) 2830810</f>
        <v>#NAME?</v>
      </c>
      <c r="F778" s="5" t="s">
        <v>27699</v>
      </c>
      <c r="G778" s="5" t="s">
        <v>27700</v>
      </c>
      <c r="H778" s="26">
        <v>4.5</v>
      </c>
      <c r="I778" s="5" t="s">
        <v>27701</v>
      </c>
      <c r="J778" s="5" t="s">
        <v>25429</v>
      </c>
      <c r="K778" s="5" t="s">
        <v>344</v>
      </c>
      <c r="L778" s="5" t="s">
        <v>27702</v>
      </c>
      <c r="M778" s="27">
        <v>1611</v>
      </c>
      <c r="N778" s="5" t="s">
        <v>50359</v>
      </c>
      <c r="O778" s="5" t="str">
        <v>7719481754</v>
      </c>
      <c r="P778" s="27">
        <v>10010000</v>
      </c>
      <c r="Q778" s="5" t="s">
        <v>50360</v>
      </c>
      <c r="R778" s="5"/>
      <c r="S778" s="5" t="s">
        <v>50361</v>
      </c>
      <c r="T778" s="28">
        <v>32578000</v>
      </c>
      <c r="U778" s="28">
        <v>10000</v>
      </c>
      <c r="V778" s="28">
        <v>1311009000</v>
      </c>
      <c r="W778" s="28"/>
      <c r="X778" s="28">
        <v>85040000</v>
      </c>
      <c r="Y778" s="28">
        <v>2254277000</v>
      </c>
      <c r="Z778" s="28">
        <v>193236000</v>
      </c>
      <c r="AA778" s="28">
        <v>121000000</v>
      </c>
      <c r="AB778" s="28">
        <v>681501000</v>
      </c>
      <c r="AC778" s="28">
        <v>1927833000</v>
      </c>
      <c r="AD778" s="28">
        <v>203246000</v>
      </c>
      <c r="AE778" s="28">
        <v>8546719000</v>
      </c>
      <c r="AF778" s="28">
        <v>145935000</v>
      </c>
      <c r="AG778" s="11"/>
    </row>
    <row r="779">
      <c r="A779" s="7" t="s">
        <v>2510</v>
      </c>
      <c r="B779" s="5" t="s">
        <v>10491</v>
      </c>
      <c r="C779" s="5" t="s">
        <v>17665</v>
      </c>
      <c r="D779" s="5"/>
      <c r="E779" s="0" t="e">
        <f>+7 (383) 2222569
+7 (385) 2222358
+7 (385) 2223331
+7 (385) 2223473
+7 (385) 2226715
+7 (385) 2230410
+7 (385) 2230424
+7 (385) 2230550
+7 (385) 2235456
+7 (385) 2235695
+7 (385) 2236598
+7 (385) 2254559
+7 (385) 2256545
+7 (385) 2256548
+7 (385) 2258764</f>
        <v>#NAME?</v>
      </c>
      <c r="F779" s="5" t="s">
        <v>27703</v>
      </c>
      <c r="G779" s="5" t="s">
        <v>27704</v>
      </c>
      <c r="H779" s="26">
        <v>11</v>
      </c>
      <c r="I779" s="5" t="s">
        <v>27705</v>
      </c>
      <c r="J779" s="5" t="s">
        <v>25295</v>
      </c>
      <c r="K779" s="5" t="s">
        <v>344</v>
      </c>
      <c r="L779" s="5" t="s">
        <v>27706</v>
      </c>
      <c r="M779" s="27">
        <v>4158325</v>
      </c>
      <c r="N779" s="5" t="s">
        <v>50362</v>
      </c>
      <c r="O779" s="5" t="str">
        <v>2224152758</v>
      </c>
      <c r="P779" s="27">
        <v>4983234619</v>
      </c>
      <c r="Q779" s="5" t="s">
        <v>50363</v>
      </c>
      <c r="R779" s="5" t="s">
        <v>50364</v>
      </c>
      <c r="S779" s="5" t="s">
        <v>50205</v>
      </c>
      <c r="T779" s="28">
        <v>13756000000</v>
      </c>
      <c r="U779" s="28"/>
      <c r="V779" s="28">
        <v>3944572000</v>
      </c>
      <c r="W779" s="28">
        <v>112800000</v>
      </c>
      <c r="X779" s="28">
        <v>280828000</v>
      </c>
      <c r="Y779" s="28">
        <v>24299296000</v>
      </c>
      <c r="Z779" s="28">
        <v>10303992000</v>
      </c>
      <c r="AA779" s="28">
        <v>589707000</v>
      </c>
      <c r="AB779" s="28">
        <v>1719596000</v>
      </c>
      <c r="AC779" s="28">
        <v>5794145000</v>
      </c>
      <c r="AD779" s="28">
        <v>15682702000</v>
      </c>
      <c r="AE779" s="28">
        <v>23023232000</v>
      </c>
      <c r="AF779" s="28">
        <v>2455076000</v>
      </c>
      <c r="AG779" s="11"/>
    </row>
    <row r="780">
      <c r="A780" s="7" t="s">
        <v>2511</v>
      </c>
      <c r="B780" s="5" t="s">
        <v>10492</v>
      </c>
      <c r="C780" s="5" t="s">
        <v>18378</v>
      </c>
      <c r="D780" s="5" t="str">
        <v>222203750586</v>
      </c>
      <c r="E780" s="0" t="e">
        <f>+7 (382) 2501253
+7 (383) 2616335
+7 (385) 2226043
+7 (385) 2231545
+7 (385) 2235685
+7 (385) 2297510
+7 (385) 2352635
+7 (385) 2353525
+7 (385) 2353526
+7 (385) 2353536
+7 (385) 2353539
+7 (385) 2353635
+7 (385) 2353636
+7 (385) 2241530
+7 (385) 2353136</f>
        <v>#NAME?</v>
      </c>
      <c r="F780" s="5" t="s">
        <v>27707</v>
      </c>
      <c r="G780" s="5" t="s">
        <v>27708</v>
      </c>
      <c r="H780" s="26">
        <v>23.5</v>
      </c>
      <c r="I780" s="5"/>
      <c r="J780" s="5" t="s">
        <v>26623</v>
      </c>
      <c r="K780" s="5" t="s">
        <v>344</v>
      </c>
      <c r="L780" s="5" t="s">
        <v>27709</v>
      </c>
      <c r="M780" s="27">
        <v>50000</v>
      </c>
      <c r="N780" s="5" t="s">
        <v>50365</v>
      </c>
      <c r="O780" s="5" t="str">
        <v>2221008019</v>
      </c>
      <c r="P780" s="27">
        <v>9134430</v>
      </c>
      <c r="Q780" s="5" t="s">
        <v>50366</v>
      </c>
      <c r="R780" s="5"/>
      <c r="S780" s="5" t="s">
        <v>49288</v>
      </c>
      <c r="T780" s="28">
        <v>169610000</v>
      </c>
      <c r="U780" s="28"/>
      <c r="V780" s="28">
        <v>444111000</v>
      </c>
      <c r="W780" s="28">
        <v>611818000</v>
      </c>
      <c r="X780" s="28">
        <v>37181000</v>
      </c>
      <c r="Y780" s="28">
        <v>1508183000</v>
      </c>
      <c r="Z780" s="28">
        <v>955054000</v>
      </c>
      <c r="AA780" s="28"/>
      <c r="AB780" s="28"/>
      <c r="AC780" s="28">
        <v>423810000</v>
      </c>
      <c r="AD780" s="28">
        <v>990280000</v>
      </c>
      <c r="AE780" s="28">
        <v>6667262000</v>
      </c>
      <c r="AF780" s="28">
        <v>320982000</v>
      </c>
      <c r="AG780" s="11"/>
    </row>
    <row r="781">
      <c r="A781" s="7" t="s">
        <v>2512</v>
      </c>
      <c r="B781" s="5" t="s">
        <v>10493</v>
      </c>
      <c r="C781" s="5" t="s">
        <v>18379</v>
      </c>
      <c r="D781" s="5" t="str">
        <v>222310620969</v>
      </c>
      <c r="E781" s="0" t="e">
        <f>+7 (385) 2200382
+7 (385) 2613312
+7 (385) 2615141
+7 (385) 2285300
+7 (385) 2515152
+7 (385) 2615100
+7 (385) 2615115
+7 (903) 736244</f>
        <v>#NAME?</v>
      </c>
      <c r="F781" s="5" t="s">
        <v>27710</v>
      </c>
      <c r="G781" s="5" t="s">
        <v>27711</v>
      </c>
      <c r="H781" s="26">
        <v>17</v>
      </c>
      <c r="I781" s="5"/>
      <c r="J781" s="5" t="s">
        <v>27712</v>
      </c>
      <c r="K781" s="5" t="s">
        <v>344</v>
      </c>
      <c r="L781" s="5" t="s">
        <v>27713</v>
      </c>
      <c r="M781" s="27"/>
      <c r="N781" s="5" t="s">
        <v>50367</v>
      </c>
      <c r="O781" s="5" t="str">
        <v>2224100213</v>
      </c>
      <c r="P781" s="27">
        <v>868740000</v>
      </c>
      <c r="Q781" s="5" t="s">
        <v>50368</v>
      </c>
      <c r="R781" s="5"/>
      <c r="S781" s="5" t="s">
        <v>50369</v>
      </c>
      <c r="T781" s="28">
        <v>724735000</v>
      </c>
      <c r="U781" s="28"/>
      <c r="V781" s="28">
        <v>1834846000</v>
      </c>
      <c r="W781" s="28">
        <v>682200000</v>
      </c>
      <c r="X781" s="28">
        <v>747000</v>
      </c>
      <c r="Y781" s="28">
        <v>4333212000</v>
      </c>
      <c r="Z781" s="28">
        <v>1258408000</v>
      </c>
      <c r="AA781" s="28"/>
      <c r="AB781" s="28"/>
      <c r="AC781" s="28">
        <v>1782999000</v>
      </c>
      <c r="AD781" s="28">
        <v>2245146000</v>
      </c>
      <c r="AE781" s="28">
        <v>10573452000</v>
      </c>
      <c r="AF781" s="28">
        <v>998371000</v>
      </c>
      <c r="AG781" s="11"/>
    </row>
    <row r="782">
      <c r="A782" s="7" t="s">
        <v>2513</v>
      </c>
      <c r="B782" s="5" t="s">
        <v>10494</v>
      </c>
      <c r="C782" s="5" t="s">
        <v>18380</v>
      </c>
      <c r="D782" s="5" t="str">
        <v>222108548877</v>
      </c>
      <c r="E782" s="0" t="e">
        <f>+7 (385) 2500284</f>
        <v>#NAME?</v>
      </c>
      <c r="F782" s="5" t="s">
        <v>27714</v>
      </c>
      <c r="G782" s="5" t="s">
        <v>27715</v>
      </c>
      <c r="H782" s="26">
        <v>11.5</v>
      </c>
      <c r="I782" s="5" t="s">
        <v>27716</v>
      </c>
      <c r="J782" s="5" t="s">
        <v>467</v>
      </c>
      <c r="K782" s="5" t="s">
        <v>344</v>
      </c>
      <c r="L782" s="5"/>
      <c r="M782" s="27"/>
      <c r="N782" s="5" t="s">
        <v>50370</v>
      </c>
      <c r="O782" s="5" t="str">
        <v>2221193717</v>
      </c>
      <c r="P782" s="27">
        <v>233735922</v>
      </c>
      <c r="Q782" s="5" t="s">
        <v>50371</v>
      </c>
      <c r="R782" s="5"/>
      <c r="S782" s="5" t="s">
        <v>50372</v>
      </c>
      <c r="T782" s="28">
        <v>322749000</v>
      </c>
      <c r="U782" s="28"/>
      <c r="V782" s="28">
        <v>216238000</v>
      </c>
      <c r="W782" s="28">
        <v>10058000</v>
      </c>
      <c r="X782" s="28">
        <v>743626000</v>
      </c>
      <c r="Y782" s="28">
        <v>2117786000</v>
      </c>
      <c r="Z782" s="28">
        <v>80688000</v>
      </c>
      <c r="AA782" s="28"/>
      <c r="AB782" s="28">
        <v>24000000</v>
      </c>
      <c r="AC782" s="28">
        <v>1687730000</v>
      </c>
      <c r="AD782" s="28">
        <v>314822000</v>
      </c>
      <c r="AE782" s="28">
        <v>3690193000</v>
      </c>
      <c r="AF782" s="28">
        <v>5160000</v>
      </c>
      <c r="AG782" s="11"/>
    </row>
    <row r="783">
      <c r="A783" s="7" t="s">
        <v>2514</v>
      </c>
      <c r="B783" s="5" t="s">
        <v>10495</v>
      </c>
      <c r="C783" s="5" t="s">
        <v>18381</v>
      </c>
      <c r="D783" s="5" t="str">
        <v>504321486947</v>
      </c>
      <c r="E783" s="0" t="e">
        <f>+7 (495) 7880715
+7 (499) 9221931
+7 (917) 5697240
+7 (495) 9221930
+7 (495) 9807191
+7 (499) 9221930</f>
        <v>#NAME?</v>
      </c>
      <c r="F783" s="5" t="s">
        <v>27717</v>
      </c>
      <c r="G783" s="5" t="s">
        <v>27718</v>
      </c>
      <c r="H783" s="26">
        <v>16.5</v>
      </c>
      <c r="I783" s="5" t="s">
        <v>27719</v>
      </c>
      <c r="J783" s="5" t="s">
        <v>25287</v>
      </c>
      <c r="K783" s="5" t="s">
        <v>344</v>
      </c>
      <c r="L783" s="5" t="s">
        <v>27720</v>
      </c>
      <c r="M783" s="27">
        <v>1278762</v>
      </c>
      <c r="N783" s="5"/>
      <c r="O783" s="5" t="str">
        <v>5048014441</v>
      </c>
      <c r="P783" s="27">
        <v>800000000</v>
      </c>
      <c r="Q783" s="5" t="s">
        <v>49009</v>
      </c>
      <c r="R783" s="5"/>
      <c r="S783" s="5" t="s">
        <v>49066</v>
      </c>
      <c r="T783" s="28">
        <v>881007000</v>
      </c>
      <c r="U783" s="28">
        <v>2378248000</v>
      </c>
      <c r="V783" s="28">
        <v>2800411000</v>
      </c>
      <c r="W783" s="28">
        <v>540000000</v>
      </c>
      <c r="X783" s="28">
        <v>6087246000</v>
      </c>
      <c r="Y783" s="28">
        <v>15700770000</v>
      </c>
      <c r="Z783" s="28">
        <v>11665841000</v>
      </c>
      <c r="AA783" s="28"/>
      <c r="AB783" s="28">
        <v>868234000</v>
      </c>
      <c r="AC783" s="28">
        <v>2995702000</v>
      </c>
      <c r="AD783" s="28">
        <v>12465841000</v>
      </c>
      <c r="AE783" s="28">
        <v>21938496000</v>
      </c>
      <c r="AF783" s="28">
        <v>2657020000</v>
      </c>
      <c r="AG783" s="11"/>
    </row>
    <row r="784">
      <c r="A784" s="7" t="s">
        <v>2515</v>
      </c>
      <c r="B784" s="5" t="s">
        <v>10496</v>
      </c>
      <c r="C784" s="5" t="s">
        <v>18382</v>
      </c>
      <c r="D784" s="5" t="str">
        <v>774392788038</v>
      </c>
      <c r="E784" s="0" t="e">
        <f>+7 (495) 7753747</f>
        <v>#NAME?</v>
      </c>
      <c r="F784" s="5" t="s">
        <v>27721</v>
      </c>
      <c r="G784" s="5" t="s">
        <v>27722</v>
      </c>
      <c r="H784" s="26">
        <v>8</v>
      </c>
      <c r="I784" s="5" t="s">
        <v>27723</v>
      </c>
      <c r="J784" s="5" t="s">
        <v>599</v>
      </c>
      <c r="K784" s="5" t="s">
        <v>344</v>
      </c>
      <c r="L784" s="5" t="s">
        <v>27724</v>
      </c>
      <c r="M784" s="27">
        <v>579421</v>
      </c>
      <c r="N784" s="5" t="s">
        <v>50373</v>
      </c>
      <c r="O784" s="5" t="str">
        <v>7714331152</v>
      </c>
      <c r="P784" s="27">
        <v>5000000</v>
      </c>
      <c r="Q784" s="5" t="s">
        <v>49009</v>
      </c>
      <c r="R784" s="5"/>
      <c r="S784" s="5" t="s">
        <v>49045</v>
      </c>
      <c r="T784" s="28">
        <v>21039000</v>
      </c>
      <c r="U784" s="28"/>
      <c r="V784" s="28">
        <v>1736240000</v>
      </c>
      <c r="W784" s="28"/>
      <c r="X784" s="28">
        <v>814479000</v>
      </c>
      <c r="Y784" s="28">
        <v>2644977000</v>
      </c>
      <c r="Z784" s="28">
        <v>213310000</v>
      </c>
      <c r="AA784" s="28">
        <v>928836000</v>
      </c>
      <c r="AB784" s="28">
        <v>136208000</v>
      </c>
      <c r="AC784" s="28">
        <v>1482413000</v>
      </c>
      <c r="AD784" s="28">
        <v>218310000</v>
      </c>
      <c r="AE784" s="28">
        <v>9679192000</v>
      </c>
      <c r="AF784" s="28">
        <v>105591000</v>
      </c>
      <c r="AG784" s="11"/>
    </row>
    <row r="785">
      <c r="A785" s="7" t="s">
        <v>2516</v>
      </c>
      <c r="B785" s="5" t="s">
        <v>10497</v>
      </c>
      <c r="C785" s="5" t="s">
        <v>18383</v>
      </c>
      <c r="D785" s="5" t="str">
        <v>180900020405</v>
      </c>
      <c r="E785" s="0" t="e">
        <f>+7 (8435) 672576
+7 (930) 1099444
+7 (8435) 247115
+7 (8435) 247137
+7 (937) 6110797</f>
        <v>#NAME?</v>
      </c>
      <c r="F785" s="5" t="s">
        <v>27725</v>
      </c>
      <c r="G785" s="5" t="s">
        <v>27726</v>
      </c>
      <c r="H785" s="26">
        <v>10.5</v>
      </c>
      <c r="I785" s="5"/>
      <c r="J785" s="5" t="s">
        <v>881</v>
      </c>
      <c r="K785" s="5" t="s">
        <v>344</v>
      </c>
      <c r="L785" s="5" t="s">
        <v>27727</v>
      </c>
      <c r="M785" s="27"/>
      <c r="N785" s="5" t="s">
        <v>50374</v>
      </c>
      <c r="O785" s="5" t="str">
        <v>1655251590</v>
      </c>
      <c r="P785" s="27">
        <v>1000000</v>
      </c>
      <c r="Q785" s="5" t="s">
        <v>50376</v>
      </c>
      <c r="R785" s="5"/>
      <c r="S785" s="5" t="s">
        <v>50377</v>
      </c>
      <c r="T785" s="28">
        <v>169461000</v>
      </c>
      <c r="U785" s="28"/>
      <c r="V785" s="28">
        <v>599908000</v>
      </c>
      <c r="W785" s="28"/>
      <c r="X785" s="28">
        <v>910435000</v>
      </c>
      <c r="Y785" s="28">
        <v>2058459000</v>
      </c>
      <c r="Z785" s="28">
        <v>664593000</v>
      </c>
      <c r="AA785" s="28"/>
      <c r="AB785" s="28">
        <v>648325000</v>
      </c>
      <c r="AC785" s="28">
        <v>1343739000</v>
      </c>
      <c r="AD785" s="28">
        <v>665743000</v>
      </c>
      <c r="AE785" s="28">
        <v>4498572000</v>
      </c>
      <c r="AF785" s="28">
        <v>291152000</v>
      </c>
      <c r="AG785" s="11"/>
    </row>
    <row r="786">
      <c r="A786" s="7" t="s">
        <v>2517</v>
      </c>
      <c r="B786" s="5" t="s">
        <v>10498</v>
      </c>
      <c r="C786" s="5" t="s">
        <v>18384</v>
      </c>
      <c r="D786" s="5" t="str">
        <v>772150801624</v>
      </c>
      <c r="E786" s="0" t="e">
        <f>+7 (903) 7338980</f>
        <v>#NAME?</v>
      </c>
      <c r="F786" s="5"/>
      <c r="G786" s="5"/>
      <c r="H786" s="26">
        <v>7</v>
      </c>
      <c r="I786" s="5" t="s">
        <v>27728</v>
      </c>
      <c r="J786" s="5" t="s">
        <v>364</v>
      </c>
      <c r="K786" s="5" t="s">
        <v>344</v>
      </c>
      <c r="L786" s="5"/>
      <c r="M786" s="27">
        <v>25200</v>
      </c>
      <c r="N786" s="5"/>
      <c r="O786" s="5" t="str">
        <v>7724351126</v>
      </c>
      <c r="P786" s="27">
        <v>20000</v>
      </c>
      <c r="Q786" s="5" t="s">
        <v>49009</v>
      </c>
      <c r="R786" s="5"/>
      <c r="S786" s="5" t="s">
        <v>49045</v>
      </c>
      <c r="T786" s="28">
        <v>30305000</v>
      </c>
      <c r="U786" s="28"/>
      <c r="V786" s="28">
        <v>132217000</v>
      </c>
      <c r="W786" s="28">
        <v>2500000</v>
      </c>
      <c r="X786" s="28">
        <v>130335000</v>
      </c>
      <c r="Y786" s="28">
        <v>370602000</v>
      </c>
      <c r="Z786" s="28">
        <v>47995000</v>
      </c>
      <c r="AA786" s="28"/>
      <c r="AB786" s="28"/>
      <c r="AC786" s="28">
        <v>318746000</v>
      </c>
      <c r="AD786" s="28">
        <v>48015000</v>
      </c>
      <c r="AE786" s="28">
        <v>3242399000</v>
      </c>
      <c r="AF786" s="28">
        <v>15965000</v>
      </c>
      <c r="AG786" s="11"/>
    </row>
    <row r="787">
      <c r="A787" s="7" t="s">
        <v>2518</v>
      </c>
      <c r="B787" s="5" t="s">
        <v>10499</v>
      </c>
      <c r="C787" s="5"/>
      <c r="D787" s="5"/>
      <c r="E787" s="0" t="e">
        <f>+7 (495) 9748462
+7 (499) 6734921
+7 (915) 4410903</f>
        <v>#NAME?</v>
      </c>
      <c r="F787" s="5" t="s">
        <v>27729</v>
      </c>
      <c r="G787" s="5" t="s">
        <v>27730</v>
      </c>
      <c r="H787" s="26">
        <v>3.5</v>
      </c>
      <c r="I787" s="5"/>
      <c r="J787" s="5" t="s">
        <v>25484</v>
      </c>
      <c r="K787" s="5" t="s">
        <v>355</v>
      </c>
      <c r="L787" s="5"/>
      <c r="M787" s="27"/>
      <c r="N787" s="5"/>
      <c r="O787" s="5" t="str">
        <v>7736324991</v>
      </c>
      <c r="P787" s="27">
        <v>263730588575</v>
      </c>
      <c r="Q787" s="5" t="s">
        <v>49009</v>
      </c>
      <c r="R787" s="5"/>
      <c r="S787" s="5" t="s">
        <v>50378</v>
      </c>
      <c r="T787" s="28">
        <v>1913985000</v>
      </c>
      <c r="U787" s="28">
        <v>105399369000</v>
      </c>
      <c r="V787" s="28">
        <v>1901876000</v>
      </c>
      <c r="W787" s="28">
        <v>836664000</v>
      </c>
      <c r="X787" s="28">
        <v>50367571000</v>
      </c>
      <c r="Y787" s="28">
        <v>345465703000</v>
      </c>
      <c r="Z787" s="28">
        <v>3057195000</v>
      </c>
      <c r="AA787" s="28"/>
      <c r="AB787" s="28"/>
      <c r="AC787" s="28">
        <v>4004443000</v>
      </c>
      <c r="AD787" s="28">
        <v>328211781000</v>
      </c>
      <c r="AE787" s="28">
        <v>6697719000</v>
      </c>
      <c r="AF787" s="28">
        <v>4126165000</v>
      </c>
      <c r="AG787" s="11"/>
    </row>
    <row r="788">
      <c r="A788" s="7" t="s">
        <v>2519</v>
      </c>
      <c r="B788" s="5" t="s">
        <v>10500</v>
      </c>
      <c r="C788" s="5" t="s">
        <v>18385</v>
      </c>
      <c r="D788" s="5" t="str">
        <v>701706034669</v>
      </c>
      <c r="E788" s="0" t="e">
        <f>+7 (3422) 144242
+7 (3422) 159333
+7 (3422) 650765
+7 (3422) 689103</f>
        <v>#NAME?</v>
      </c>
      <c r="F788" s="5" t="s">
        <v>27731</v>
      </c>
      <c r="G788" s="5"/>
      <c r="H788" s="26">
        <v>30</v>
      </c>
      <c r="I788" s="5"/>
      <c r="J788" s="5" t="s">
        <v>26503</v>
      </c>
      <c r="K788" s="5" t="s">
        <v>344</v>
      </c>
      <c r="L788" s="5"/>
      <c r="M788" s="27"/>
      <c r="N788" s="5"/>
      <c r="O788" s="5" t="str">
        <v>5904101820</v>
      </c>
      <c r="P788" s="27">
        <v>582198680</v>
      </c>
      <c r="Q788" s="5" t="s">
        <v>49009</v>
      </c>
      <c r="R788" s="5"/>
      <c r="S788" s="5" t="s">
        <v>49066</v>
      </c>
      <c r="T788" s="28">
        <v>1260651000</v>
      </c>
      <c r="U788" s="28">
        <v>401400000</v>
      </c>
      <c r="V788" s="28">
        <v>2183775000</v>
      </c>
      <c r="W788" s="28"/>
      <c r="X788" s="28">
        <v>793000</v>
      </c>
      <c r="Y788" s="28">
        <v>5455264000</v>
      </c>
      <c r="Z788" s="28">
        <v>112846000</v>
      </c>
      <c r="AA788" s="28">
        <v>654000000</v>
      </c>
      <c r="AB788" s="28">
        <v>1612453000</v>
      </c>
      <c r="AC788" s="28">
        <v>3165156000</v>
      </c>
      <c r="AD788" s="28">
        <v>753720000</v>
      </c>
      <c r="AE788" s="28">
        <v>4177242000</v>
      </c>
      <c r="AF788" s="28">
        <v>202398000</v>
      </c>
      <c r="AG788" s="11"/>
    </row>
    <row r="789">
      <c r="A789" s="7" t="s">
        <v>2520</v>
      </c>
      <c r="B789" s="5" t="s">
        <v>10501</v>
      </c>
      <c r="C789" s="5" t="s">
        <v>18386</v>
      </c>
      <c r="D789" s="5" t="str">
        <v>770601534258</v>
      </c>
      <c r="E789" s="0" t="e">
        <f>+7 (495) 9569170
+7 (495) 9569174
+7 (499) 2317147
+7 (499) 2317148
+7 (499) 2317159
+7 (499) 2317193
+7 (499) 2317201
+7 (495) 2256477
+7 (495) 2317200
+7 (495) 2317227
+7 (495) 2317246
+7 (495) 2317379
+7 (495) 5392637
+7 (499) 2317200
+7 (916) 3577892</f>
        <v>#NAME?</v>
      </c>
      <c r="F789" s="5" t="s">
        <v>27732</v>
      </c>
      <c r="G789" s="5" t="s">
        <v>27733</v>
      </c>
      <c r="H789" s="26">
        <v>9.5</v>
      </c>
      <c r="I789" s="5" t="s">
        <v>27734</v>
      </c>
      <c r="J789" s="5" t="s">
        <v>25262</v>
      </c>
      <c r="K789" s="5" t="s">
        <v>344</v>
      </c>
      <c r="L789" s="5" t="s">
        <v>27735</v>
      </c>
      <c r="M789" s="27"/>
      <c r="N789" s="5" t="s">
        <v>50379</v>
      </c>
      <c r="O789" s="5" t="str">
        <v>7706800837</v>
      </c>
      <c r="P789" s="27">
        <v>350300000</v>
      </c>
      <c r="Q789" s="5" t="s">
        <v>49009</v>
      </c>
      <c r="R789" s="5"/>
      <c r="S789" s="5" t="s">
        <v>49358</v>
      </c>
      <c r="T789" s="28">
        <v>315521000</v>
      </c>
      <c r="U789" s="28">
        <v>120050000</v>
      </c>
      <c r="V789" s="28">
        <v>3119407000</v>
      </c>
      <c r="W789" s="28">
        <v>386081000</v>
      </c>
      <c r="X789" s="28">
        <v>7834174000</v>
      </c>
      <c r="Y789" s="28">
        <v>16765575000</v>
      </c>
      <c r="Z789" s="28">
        <v>7730009000</v>
      </c>
      <c r="AA789" s="28"/>
      <c r="AB789" s="28">
        <v>3741426000</v>
      </c>
      <c r="AC789" s="28">
        <v>8667678000</v>
      </c>
      <c r="AD789" s="28">
        <v>8528074000</v>
      </c>
      <c r="AE789" s="28">
        <v>38668682000</v>
      </c>
      <c r="AF789" s="28">
        <v>3544562000</v>
      </c>
      <c r="AG789" s="11"/>
    </row>
    <row r="790">
      <c r="A790" s="7" t="s">
        <v>2521</v>
      </c>
      <c r="B790" s="5" t="s">
        <v>10502</v>
      </c>
      <c r="C790" s="5" t="s">
        <v>18387</v>
      </c>
      <c r="D790" s="5" t="str">
        <v>770905791867</v>
      </c>
      <c r="E790" s="0" t="e">
        <f>+7 (495) 7440088
+7 (495) 7777733
+7 (909) 9655559
+7 (495) 1167411
+7 (495) 3639696
+7 (495) 4017482
+7 (495) 4153928
+7 (499) 1410002
+7 (499) 7266185
+7 (499) 7266186
+7 (499) 7266187</f>
        <v>#NAME?</v>
      </c>
      <c r="F790" s="5" t="s">
        <v>27736</v>
      </c>
      <c r="G790" s="5" t="s">
        <v>27737</v>
      </c>
      <c r="H790" s="26">
        <v>21</v>
      </c>
      <c r="I790" s="5" t="s">
        <v>27738</v>
      </c>
      <c r="J790" s="5" t="s">
        <v>397</v>
      </c>
      <c r="K790" s="5" t="s">
        <v>344</v>
      </c>
      <c r="L790" s="5" t="s">
        <v>27739</v>
      </c>
      <c r="M790" s="27"/>
      <c r="N790" s="5" t="s">
        <v>50380</v>
      </c>
      <c r="O790" s="5" t="str">
        <v>7714255600</v>
      </c>
      <c r="P790" s="27">
        <v>180010000</v>
      </c>
      <c r="Q790" s="5" t="s">
        <v>49059</v>
      </c>
      <c r="R790" s="5"/>
      <c r="S790" s="5" t="s">
        <v>49256</v>
      </c>
      <c r="T790" s="28">
        <v>1257556000</v>
      </c>
      <c r="U790" s="28">
        <v>723100000</v>
      </c>
      <c r="V790" s="28">
        <v>434610000</v>
      </c>
      <c r="W790" s="28"/>
      <c r="X790" s="28">
        <v>73150000</v>
      </c>
      <c r="Y790" s="28">
        <v>3678861000</v>
      </c>
      <c r="Z790" s="28">
        <v>2448581000</v>
      </c>
      <c r="AA790" s="28">
        <v>554753000</v>
      </c>
      <c r="AB790" s="28">
        <v>4870000</v>
      </c>
      <c r="AC790" s="28">
        <v>261315000</v>
      </c>
      <c r="AD790" s="28">
        <v>2760644000</v>
      </c>
      <c r="AE790" s="28">
        <v>10001196000</v>
      </c>
      <c r="AF790" s="28">
        <v>442651000</v>
      </c>
      <c r="AG790" s="11"/>
    </row>
    <row r="791">
      <c r="A791" s="7" t="s">
        <v>2522</v>
      </c>
      <c r="B791" s="5" t="s">
        <v>10503</v>
      </c>
      <c r="C791" s="5" t="s">
        <v>18388</v>
      </c>
      <c r="D791" s="5" t="str">
        <v>222107331208</v>
      </c>
      <c r="E791" s="0" t="e">
        <f>+7 (495) 7940555
+7 (495) 9740555
+7 (812) 3263600
+7 (812) 3263601
+7 (812) 3263608</f>
        <v>#NAME?</v>
      </c>
      <c r="F791" s="5" t="s">
        <v>27740</v>
      </c>
      <c r="G791" s="5" t="s">
        <v>27741</v>
      </c>
      <c r="H791" s="26">
        <v>30</v>
      </c>
      <c r="I791" s="5"/>
      <c r="J791" s="5" t="s">
        <v>27742</v>
      </c>
      <c r="K791" s="5" t="s">
        <v>344</v>
      </c>
      <c r="L791" s="5" t="s">
        <v>27743</v>
      </c>
      <c r="M791" s="27"/>
      <c r="N791" s="5"/>
      <c r="O791" s="5" t="str">
        <v>7809008119</v>
      </c>
      <c r="P791" s="27">
        <v>622714979</v>
      </c>
      <c r="Q791" s="5"/>
      <c r="R791" s="5"/>
      <c r="S791" s="5" t="s">
        <v>49029</v>
      </c>
      <c r="T791" s="28">
        <v>14686490000</v>
      </c>
      <c r="U791" s="28">
        <v>1682767000</v>
      </c>
      <c r="V791" s="28">
        <v>20420358000</v>
      </c>
      <c r="W791" s="28"/>
      <c r="X791" s="28">
        <v>5247934000</v>
      </c>
      <c r="Y791" s="28">
        <v>56012319000</v>
      </c>
      <c r="Z791" s="28">
        <v>13118237000</v>
      </c>
      <c r="AA791" s="28">
        <v>12800000000</v>
      </c>
      <c r="AB791" s="28"/>
      <c r="AC791" s="28">
        <v>26717687000</v>
      </c>
      <c r="AD791" s="28">
        <v>15980490000</v>
      </c>
      <c r="AE791" s="28">
        <v>42738536000</v>
      </c>
      <c r="AF791" s="28">
        <v>2205522000</v>
      </c>
      <c r="AG791" s="11"/>
    </row>
    <row r="792">
      <c r="A792" s="7" t="s">
        <v>2523</v>
      </c>
      <c r="B792" s="5" t="s">
        <v>10504</v>
      </c>
      <c r="C792" s="5" t="s">
        <v>18389</v>
      </c>
      <c r="D792" s="5" t="str">
        <v>770874396938</v>
      </c>
      <c r="E792" s="0" t="e">
        <f>+7 (495) 7821744
+7 (929) 5410431
+7 (929) 5729426
+7 (929) 6842848</f>
        <v>#NAME?</v>
      </c>
      <c r="F792" s="5" t="s">
        <v>27744</v>
      </c>
      <c r="G792" s="5" t="s">
        <v>27745</v>
      </c>
      <c r="H792" s="26">
        <v>11.5</v>
      </c>
      <c r="I792" s="5" t="s">
        <v>27746</v>
      </c>
      <c r="J792" s="5" t="s">
        <v>533</v>
      </c>
      <c r="K792" s="5" t="s">
        <v>344</v>
      </c>
      <c r="L792" s="5" t="s">
        <v>27747</v>
      </c>
      <c r="M792" s="27"/>
      <c r="N792" s="5" t="s">
        <v>50381</v>
      </c>
      <c r="O792" s="5" t="str">
        <v>7731415934</v>
      </c>
      <c r="P792" s="27">
        <v>32000</v>
      </c>
      <c r="Q792" s="5" t="s">
        <v>49009</v>
      </c>
      <c r="R792" s="5"/>
      <c r="S792" s="5" t="s">
        <v>49200</v>
      </c>
      <c r="T792" s="28">
        <v>1290128000</v>
      </c>
      <c r="U792" s="28"/>
      <c r="V792" s="28">
        <v>519578000</v>
      </c>
      <c r="W792" s="28">
        <v>284069000</v>
      </c>
      <c r="X792" s="28">
        <v>97409000</v>
      </c>
      <c r="Y792" s="28">
        <v>2446450000</v>
      </c>
      <c r="Z792" s="28">
        <v>727031000</v>
      </c>
      <c r="AA792" s="28">
        <v>112128000</v>
      </c>
      <c r="AB792" s="28">
        <v>36883000</v>
      </c>
      <c r="AC792" s="28">
        <v>679249000</v>
      </c>
      <c r="AD792" s="28">
        <v>727723000</v>
      </c>
      <c r="AE792" s="28">
        <v>4645235000</v>
      </c>
      <c r="AF792" s="28">
        <v>541959000</v>
      </c>
      <c r="AG792" s="11"/>
    </row>
    <row r="793">
      <c r="A793" s="7" t="s">
        <v>2524</v>
      </c>
      <c r="B793" s="5" t="s">
        <v>10505</v>
      </c>
      <c r="C793" s="5" t="s">
        <v>18390</v>
      </c>
      <c r="D793" s="5" t="str">
        <v>666800343179</v>
      </c>
      <c r="E793" s="0" t="e">
        <f>+7 (495) 233786
+7 (495) 1034848
+7 (495) 1353333
+7 (495) 2294420
+7 (495) 4119977
+7 (495) 5165444
+7 (495) 5320047
+7 (495) 9980602
+7 (49642) 23640
+7 (49664) 23055
+7 (499) 5889291
+7 (499) 6508429
+7 (800) 3015151
+7 (800) 5558942
+7 (903) 6139397</f>
        <v>#NAME?</v>
      </c>
      <c r="F793" s="5" t="s">
        <v>27748</v>
      </c>
      <c r="G793" s="5" t="s">
        <v>27749</v>
      </c>
      <c r="H793" s="26">
        <v>13</v>
      </c>
      <c r="I793" s="5" t="s">
        <v>27750</v>
      </c>
      <c r="J793" s="5" t="s">
        <v>25190</v>
      </c>
      <c r="K793" s="5" t="s">
        <v>344</v>
      </c>
      <c r="L793" s="5" t="s">
        <v>27751</v>
      </c>
      <c r="M793" s="27">
        <v>693823</v>
      </c>
      <c r="N793" s="5"/>
      <c r="O793" s="5" t="str">
        <v>5074113294</v>
      </c>
      <c r="P793" s="27">
        <v>1000000</v>
      </c>
      <c r="Q793" s="5" t="s">
        <v>49016</v>
      </c>
      <c r="R793" s="5"/>
      <c r="S793" s="5" t="s">
        <v>50382</v>
      </c>
      <c r="T793" s="28">
        <v>22535000</v>
      </c>
      <c r="U793" s="28"/>
      <c r="V793" s="28">
        <v>2117131000</v>
      </c>
      <c r="W793" s="28">
        <v>55000000</v>
      </c>
      <c r="X793" s="28">
        <v>10840000</v>
      </c>
      <c r="Y793" s="28">
        <v>3919750000</v>
      </c>
      <c r="Z793" s="28">
        <v>564274000</v>
      </c>
      <c r="AA793" s="28"/>
      <c r="AB793" s="28">
        <v>1215584000</v>
      </c>
      <c r="AC793" s="28">
        <v>3342309000</v>
      </c>
      <c r="AD793" s="28">
        <v>565274000</v>
      </c>
      <c r="AE793" s="28">
        <v>9253638000</v>
      </c>
      <c r="AF793" s="28">
        <v>455200000</v>
      </c>
      <c r="AG793" s="11"/>
    </row>
    <row r="794">
      <c r="A794" s="7" t="s">
        <v>2525</v>
      </c>
      <c r="B794" s="5" t="s">
        <v>10506</v>
      </c>
      <c r="C794" s="5" t="s">
        <v>18391</v>
      </c>
      <c r="D794" s="5" t="str">
        <v>713680021920</v>
      </c>
      <c r="E794" s="0" t="e">
        <f>+7 (48766) 21252
+7 (48766) 21707
+7 (495) 5029228
+7 (495) 5102984
+7 (495) 5102989
+7 (920) 7702111</f>
        <v>#NAME?</v>
      </c>
      <c r="F794" s="5" t="s">
        <v>27752</v>
      </c>
      <c r="G794" s="5" t="s">
        <v>27753</v>
      </c>
      <c r="H794" s="26">
        <v>11.5</v>
      </c>
      <c r="I794" s="5" t="s">
        <v>27754</v>
      </c>
      <c r="J794" s="5" t="s">
        <v>397</v>
      </c>
      <c r="K794" s="5" t="s">
        <v>344</v>
      </c>
      <c r="L794" s="5"/>
      <c r="M794" s="27"/>
      <c r="N794" s="5"/>
      <c r="O794" s="5" t="str">
        <v>7743821345</v>
      </c>
      <c r="P794" s="27">
        <v>432677395</v>
      </c>
      <c r="Q794" s="5" t="s">
        <v>49009</v>
      </c>
      <c r="R794" s="5"/>
      <c r="S794" s="5" t="s">
        <v>49045</v>
      </c>
      <c r="T794" s="28">
        <v>159631000</v>
      </c>
      <c r="U794" s="28"/>
      <c r="V794" s="28">
        <v>46601000</v>
      </c>
      <c r="W794" s="28"/>
      <c r="X794" s="28">
        <v>108774000</v>
      </c>
      <c r="Y794" s="28">
        <v>718090000</v>
      </c>
      <c r="Z794" s="28">
        <v>-354278000</v>
      </c>
      <c r="AA794" s="28"/>
      <c r="AB794" s="28"/>
      <c r="AC794" s="28">
        <v>629015000</v>
      </c>
      <c r="AD794" s="28">
        <v>78465000</v>
      </c>
      <c r="AE794" s="28">
        <v>3248404000</v>
      </c>
      <c r="AF794" s="28">
        <v>64220000</v>
      </c>
      <c r="AG794" s="11"/>
    </row>
    <row r="795">
      <c r="A795" s="7" t="s">
        <v>2526</v>
      </c>
      <c r="B795" s="5" t="s">
        <v>10507</v>
      </c>
      <c r="C795" s="5" t="s">
        <v>18392</v>
      </c>
      <c r="D795" s="5" t="str">
        <v>772150779633</v>
      </c>
      <c r="F795" s="5"/>
      <c r="G795" s="5"/>
      <c r="H795" s="26">
        <v>6.5</v>
      </c>
      <c r="I795" s="5" t="s">
        <v>27755</v>
      </c>
      <c r="J795" s="5" t="s">
        <v>533</v>
      </c>
      <c r="K795" s="5" t="s">
        <v>380</v>
      </c>
      <c r="L795" s="5" t="s">
        <v>27756</v>
      </c>
      <c r="M795" s="27">
        <v>2615336</v>
      </c>
      <c r="N795" s="5" t="s">
        <v>50383</v>
      </c>
      <c r="O795" s="5" t="str">
        <v>7727297565</v>
      </c>
      <c r="P795" s="27">
        <v>50000</v>
      </c>
      <c r="Q795" s="5" t="s">
        <v>49021</v>
      </c>
      <c r="R795" s="5"/>
      <c r="S795" s="5" t="s">
        <v>50384</v>
      </c>
      <c r="T795" s="28">
        <v>883696000</v>
      </c>
      <c r="U795" s="28"/>
      <c r="V795" s="28">
        <v>574093000</v>
      </c>
      <c r="W795" s="28">
        <v>47616000</v>
      </c>
      <c r="X795" s="28">
        <v>2860000</v>
      </c>
      <c r="Y795" s="28">
        <v>1815971000</v>
      </c>
      <c r="Z795" s="28">
        <v>-99359000</v>
      </c>
      <c r="AA795" s="28"/>
      <c r="AB795" s="28"/>
      <c r="AC795" s="28">
        <v>1111934000</v>
      </c>
      <c r="AD795" s="28">
        <v>-99309000</v>
      </c>
      <c r="AE795" s="28">
        <v>3014257000</v>
      </c>
      <c r="AF795" s="28">
        <v>1892000</v>
      </c>
      <c r="AG795" s="11"/>
    </row>
    <row r="796">
      <c r="A796" s="7" t="s">
        <v>2527</v>
      </c>
      <c r="B796" s="5" t="s">
        <v>10508</v>
      </c>
      <c r="C796" s="5" t="s">
        <v>18393</v>
      </c>
      <c r="D796" s="5" t="str">
        <v>772737266560</v>
      </c>
      <c r="E796" s="0" t="e">
        <f>+7 (499) 2313628
+7 (922) 4882068
+7 (495) 2313628
+7 (495) 9757235
+7 (800) 2343628</f>
        <v>#NAME?</v>
      </c>
      <c r="F796" s="5" t="s">
        <v>27757</v>
      </c>
      <c r="G796" s="5" t="s">
        <v>27758</v>
      </c>
      <c r="H796" s="26">
        <v>12</v>
      </c>
      <c r="I796" s="5" t="s">
        <v>27759</v>
      </c>
      <c r="J796" s="5" t="s">
        <v>599</v>
      </c>
      <c r="K796" s="5" t="s">
        <v>344</v>
      </c>
      <c r="L796" s="5" t="s">
        <v>27760</v>
      </c>
      <c r="M796" s="27">
        <v>203781</v>
      </c>
      <c r="N796" s="5"/>
      <c r="O796" s="5" t="str">
        <v>7724780245</v>
      </c>
      <c r="P796" s="27">
        <v>1000000</v>
      </c>
      <c r="Q796" s="5" t="s">
        <v>694</v>
      </c>
      <c r="R796" s="5"/>
      <c r="S796" s="5" t="s">
        <v>50385</v>
      </c>
      <c r="T796" s="28">
        <v>229540000</v>
      </c>
      <c r="U796" s="28"/>
      <c r="V796" s="28">
        <v>566948000</v>
      </c>
      <c r="W796" s="28"/>
      <c r="X796" s="28">
        <v>55021000</v>
      </c>
      <c r="Y796" s="28">
        <v>867037000</v>
      </c>
      <c r="Z796" s="28">
        <v>239143000</v>
      </c>
      <c r="AA796" s="28"/>
      <c r="AB796" s="28">
        <v>50000000</v>
      </c>
      <c r="AC796" s="28">
        <v>441624000</v>
      </c>
      <c r="AD796" s="28">
        <v>240143000</v>
      </c>
      <c r="AE796" s="28">
        <v>3339799000</v>
      </c>
      <c r="AF796" s="28">
        <v>156924000</v>
      </c>
      <c r="AG796" s="11"/>
    </row>
    <row r="797">
      <c r="A797" s="7" t="s">
        <v>2528</v>
      </c>
      <c r="B797" s="5" t="s">
        <v>10509</v>
      </c>
      <c r="C797" s="5" t="s">
        <v>18394</v>
      </c>
      <c r="D797" s="5" t="str">
        <v>390800025426</v>
      </c>
      <c r="E797" s="0" t="e">
        <f>+7 (381) 2356268
+7 (401) 2579057
+7 (401) 2690770
+7 (401) 2999111
+7 (401) 2999555</f>
        <v>#NAME?</v>
      </c>
      <c r="F797" s="5" t="s">
        <v>27761</v>
      </c>
      <c r="G797" s="5" t="s">
        <v>27762</v>
      </c>
      <c r="H797" s="26">
        <v>17</v>
      </c>
      <c r="I797" s="5" t="s">
        <v>27763</v>
      </c>
      <c r="J797" s="5" t="s">
        <v>27764</v>
      </c>
      <c r="K797" s="5" t="s">
        <v>344</v>
      </c>
      <c r="L797" s="5" t="s">
        <v>27765</v>
      </c>
      <c r="M797" s="27"/>
      <c r="N797" s="5" t="s">
        <v>50386</v>
      </c>
      <c r="O797" s="5" t="str">
        <v>7702596813</v>
      </c>
      <c r="P797" s="27">
        <v>47000000</v>
      </c>
      <c r="Q797" s="5" t="s">
        <v>49009</v>
      </c>
      <c r="R797" s="5" t="s">
        <v>50387</v>
      </c>
      <c r="S797" s="5" t="s">
        <v>49256</v>
      </c>
      <c r="T797" s="28">
        <v>5331106000</v>
      </c>
      <c r="U797" s="28">
        <v>17520000</v>
      </c>
      <c r="V797" s="28">
        <v>2275370000</v>
      </c>
      <c r="W797" s="28">
        <v>1526000000</v>
      </c>
      <c r="X797" s="28">
        <v>107213000</v>
      </c>
      <c r="Y797" s="28">
        <v>16882291000</v>
      </c>
      <c r="Z797" s="28">
        <v>9822839000</v>
      </c>
      <c r="AA797" s="28">
        <v>589425000</v>
      </c>
      <c r="AB797" s="28">
        <v>4972000</v>
      </c>
      <c r="AC797" s="28">
        <v>5720430000</v>
      </c>
      <c r="AD797" s="28">
        <v>10377856000</v>
      </c>
      <c r="AE797" s="28">
        <v>35158265000</v>
      </c>
      <c r="AF797" s="28">
        <v>2431909000</v>
      </c>
      <c r="AG797" s="11"/>
    </row>
    <row r="798">
      <c r="A798" s="7" t="s">
        <v>2529</v>
      </c>
      <c r="B798" s="5" t="s">
        <v>10510</v>
      </c>
      <c r="C798" s="5" t="s">
        <v>18395</v>
      </c>
      <c r="D798" s="5" t="str">
        <v>770511250519</v>
      </c>
      <c r="E798" s="0" t="e">
        <f>+7 (800) 1000308
+7 (800) 2008000
+7 (495) 1180734
+7 (495) 5102879
+7 (495) 6655980</f>
        <v>#NAME?</v>
      </c>
      <c r="F798" s="5" t="s">
        <v>27766</v>
      </c>
      <c r="G798" s="5" t="s">
        <v>27767</v>
      </c>
      <c r="H798" s="26">
        <v>10.5</v>
      </c>
      <c r="I798" s="5" t="s">
        <v>27768</v>
      </c>
      <c r="J798" s="5" t="s">
        <v>25429</v>
      </c>
      <c r="K798" s="5" t="s">
        <v>344</v>
      </c>
      <c r="L798" s="5"/>
      <c r="M798" s="27"/>
      <c r="N798" s="5"/>
      <c r="O798" s="5" t="str">
        <v>7706782987</v>
      </c>
      <c r="P798" s="27">
        <v>1674095656</v>
      </c>
      <c r="Q798" s="5" t="s">
        <v>50388</v>
      </c>
      <c r="R798" s="5"/>
      <c r="S798" s="5" t="s">
        <v>49053</v>
      </c>
      <c r="T798" s="28">
        <v>226065000</v>
      </c>
      <c r="U798" s="28"/>
      <c r="V798" s="28">
        <v>4657850000</v>
      </c>
      <c r="W798" s="28"/>
      <c r="X798" s="28">
        <v>339224000</v>
      </c>
      <c r="Y798" s="28">
        <v>6810249000</v>
      </c>
      <c r="Z798" s="28">
        <v>2787914000</v>
      </c>
      <c r="AA798" s="28">
        <v>46372000</v>
      </c>
      <c r="AB798" s="28">
        <v>1606000</v>
      </c>
      <c r="AC798" s="28">
        <v>2255217000</v>
      </c>
      <c r="AD798" s="28">
        <v>4464714000</v>
      </c>
      <c r="AE798" s="28">
        <v>8822950000</v>
      </c>
      <c r="AF798" s="28">
        <v>667170000</v>
      </c>
      <c r="AG798" s="11"/>
    </row>
    <row r="799">
      <c r="A799" s="7" t="s">
        <v>2530</v>
      </c>
      <c r="B799" s="5" t="s">
        <v>10511</v>
      </c>
      <c r="C799" s="5" t="s">
        <v>18396</v>
      </c>
      <c r="D799" s="5" t="str">
        <v>165900791355</v>
      </c>
      <c r="E799" s="0" t="e">
        <f>+7 (8432) 100665
+7 (843) 5377674
+7 (8432) 725661
+7 (8435) 377643
+7 (8435) 377663
+7 (8555) 437920</f>
        <v>#NAME?</v>
      </c>
      <c r="F799" s="5" t="s">
        <v>27769</v>
      </c>
      <c r="G799" s="5" t="s">
        <v>27770</v>
      </c>
      <c r="H799" s="26">
        <v>24.5</v>
      </c>
      <c r="I799" s="5" t="s">
        <v>27771</v>
      </c>
      <c r="J799" s="5" t="s">
        <v>25219</v>
      </c>
      <c r="K799" s="5" t="s">
        <v>344</v>
      </c>
      <c r="L799" s="5" t="s">
        <v>27772</v>
      </c>
      <c r="M799" s="27">
        <v>24169606</v>
      </c>
      <c r="N799" s="5" t="s">
        <v>50389</v>
      </c>
      <c r="O799" s="5" t="str">
        <v>1660034880</v>
      </c>
      <c r="P799" s="27">
        <v>3000000</v>
      </c>
      <c r="Q799" s="5" t="s">
        <v>49009</v>
      </c>
      <c r="R799" s="5"/>
      <c r="S799" s="5" t="s">
        <v>49961</v>
      </c>
      <c r="T799" s="28">
        <v>373566000</v>
      </c>
      <c r="U799" s="28"/>
      <c r="V799" s="28">
        <v>1925145000</v>
      </c>
      <c r="W799" s="28">
        <v>445997000</v>
      </c>
      <c r="X799" s="28">
        <v>15008000</v>
      </c>
      <c r="Y799" s="28">
        <v>4802783000</v>
      </c>
      <c r="Z799" s="28">
        <v>534994000</v>
      </c>
      <c r="AA799" s="28">
        <v>2824955000</v>
      </c>
      <c r="AB799" s="28">
        <v>634800000</v>
      </c>
      <c r="AC799" s="28">
        <v>1439834000</v>
      </c>
      <c r="AD799" s="28">
        <v>537994000</v>
      </c>
      <c r="AE799" s="28">
        <v>4873794000</v>
      </c>
      <c r="AF799" s="28">
        <v>6799000</v>
      </c>
      <c r="AG799" s="11"/>
    </row>
    <row r="800">
      <c r="A800" s="7" t="s">
        <v>2531</v>
      </c>
      <c r="B800" s="5" t="s">
        <v>10512</v>
      </c>
      <c r="C800" s="5" t="s">
        <v>18397</v>
      </c>
      <c r="D800" s="5" t="str">
        <v>027713128707</v>
      </c>
      <c r="E800" s="0" t="e">
        <f>+7 (347) 2234408
+7 (3472) 306230
+7 (3472) 327378
+7 (347) 2224184
+7 (347) 2225718
+7 (347) 2734408
+7 (3472) 234808
+7 (3472) 234810
+7 (3472) 239433
+7 (3472) 239633
+7 (3472) 280296
+7 (3472) 327298
+7 (3472) 327696
+7 (3472) 329985
+7 (3472) 356240</f>
        <v>#NAME?</v>
      </c>
      <c r="F800" s="5" t="s">
        <v>27773</v>
      </c>
      <c r="G800" s="5" t="s">
        <v>27774</v>
      </c>
      <c r="H800" s="26">
        <v>30</v>
      </c>
      <c r="I800" s="5" t="s">
        <v>27775</v>
      </c>
      <c r="J800" s="5" t="s">
        <v>27776</v>
      </c>
      <c r="K800" s="5" t="s">
        <v>344</v>
      </c>
      <c r="L800" s="5"/>
      <c r="M800" s="27">
        <v>16285</v>
      </c>
      <c r="N800" s="5" t="s">
        <v>50390</v>
      </c>
      <c r="O800" s="5" t="str">
        <v>0275026324</v>
      </c>
      <c r="P800" s="27">
        <v>639225000</v>
      </c>
      <c r="Q800" s="5" t="s">
        <v>50391</v>
      </c>
      <c r="R800" s="5"/>
      <c r="S800" s="5" t="s">
        <v>50392</v>
      </c>
      <c r="T800" s="28">
        <v>3704088000</v>
      </c>
      <c r="U800" s="28"/>
      <c r="V800" s="28">
        <v>245556000</v>
      </c>
      <c r="W800" s="28"/>
      <c r="X800" s="28">
        <v>267128000</v>
      </c>
      <c r="Y800" s="28">
        <v>4451384000</v>
      </c>
      <c r="Z800" s="28">
        <v>1540083000</v>
      </c>
      <c r="AA800" s="28"/>
      <c r="AB800" s="28">
        <v>165157000</v>
      </c>
      <c r="AC800" s="28">
        <v>725522000</v>
      </c>
      <c r="AD800" s="28">
        <v>3189032000</v>
      </c>
      <c r="AE800" s="28">
        <v>4006331000</v>
      </c>
      <c r="AF800" s="28">
        <v>-942450000</v>
      </c>
      <c r="AG800" s="11"/>
    </row>
    <row r="801">
      <c r="A801" s="7" t="s">
        <v>2532</v>
      </c>
      <c r="B801" s="5" t="s">
        <v>10513</v>
      </c>
      <c r="C801" s="5" t="s">
        <v>18398</v>
      </c>
      <c r="D801" s="5" t="str">
        <v>026408698755</v>
      </c>
      <c r="E801" s="0" t="e">
        <f>+7 (3472) 770060
+7 (3472) 770091
+7 (34782) 71816
+7 (34783) 36618
+7 (917) 8072281
+7 (3472) 460919
+7 (34783) 26625
+7 (34783) 36643
+7 (34783) 36648
+7 (917) 4277898
+7 (961) 3639022
+7 (968) 3370103
+7 (987) 1070009
+7 (987) 2578016</f>
        <v>#NAME?</v>
      </c>
      <c r="F801" s="5" t="s">
        <v>27777</v>
      </c>
      <c r="G801" s="5" t="s">
        <v>27778</v>
      </c>
      <c r="H801" s="26">
        <v>10</v>
      </c>
      <c r="I801" s="5" t="s">
        <v>27779</v>
      </c>
      <c r="J801" s="5" t="s">
        <v>26268</v>
      </c>
      <c r="K801" s="5" t="s">
        <v>344</v>
      </c>
      <c r="L801" s="5" t="s">
        <v>27780</v>
      </c>
      <c r="M801" s="27"/>
      <c r="N801" s="5" t="s">
        <v>50393</v>
      </c>
      <c r="O801" s="5" t="str">
        <v>0264065699</v>
      </c>
      <c r="P801" s="27">
        <v>10000</v>
      </c>
      <c r="Q801" s="5" t="s">
        <v>50394</v>
      </c>
      <c r="R801" s="5"/>
      <c r="S801" s="5" t="s">
        <v>50395</v>
      </c>
      <c r="T801" s="28">
        <v>92112000</v>
      </c>
      <c r="U801" s="28"/>
      <c r="V801" s="28">
        <v>683205000</v>
      </c>
      <c r="W801" s="28"/>
      <c r="X801" s="28">
        <v>487955000</v>
      </c>
      <c r="Y801" s="28">
        <v>1415834000</v>
      </c>
      <c r="Z801" s="28">
        <v>135134000</v>
      </c>
      <c r="AA801" s="28">
        <v>396977000</v>
      </c>
      <c r="AB801" s="28">
        <v>3189000</v>
      </c>
      <c r="AC801" s="28">
        <v>848591000</v>
      </c>
      <c r="AD801" s="28">
        <v>135144000</v>
      </c>
      <c r="AE801" s="28">
        <v>3212862000</v>
      </c>
      <c r="AF801" s="28">
        <v>10401000</v>
      </c>
      <c r="AG801" s="11"/>
    </row>
    <row r="802">
      <c r="A802" s="7" t="s">
        <v>2533</v>
      </c>
      <c r="B802" s="5" t="s">
        <v>10514</v>
      </c>
      <c r="C802" s="5" t="s">
        <v>18399</v>
      </c>
      <c r="D802" s="5" t="str">
        <v>132602656740</v>
      </c>
      <c r="E802" s="0" t="e">
        <f>+7 (3422) 128615
+7 (3472) 165845
+7 (3472) 181022
+7 (3472) 181024
+7 (3472) 182025
+7 (3472) 184455
+7 (3472) 185220
+7 (3472) 185544
+7 (3472) 202384
+7 (3472) 215093
+7 (3472) 215094
+7 (3472) 215110
+7 (3472) 149483
+7 (3472) 215128
+7 (3472) 215130</f>
        <v>#NAME?</v>
      </c>
      <c r="F802" s="5" t="s">
        <v>27781</v>
      </c>
      <c r="G802" s="5" t="s">
        <v>27782</v>
      </c>
      <c r="H802" s="26">
        <v>30.5</v>
      </c>
      <c r="I802" s="5"/>
      <c r="J802" s="5" t="s">
        <v>27783</v>
      </c>
      <c r="K802" s="5" t="s">
        <v>344</v>
      </c>
      <c r="L802" s="5"/>
      <c r="M802" s="27">
        <v>2359213</v>
      </c>
      <c r="N802" s="5" t="s">
        <v>50396</v>
      </c>
      <c r="O802" s="5" t="str">
        <v>0274018377</v>
      </c>
      <c r="P802" s="27">
        <v>453985974</v>
      </c>
      <c r="Q802" s="5" t="s">
        <v>50397</v>
      </c>
      <c r="R802" s="5"/>
      <c r="S802" s="5" t="s">
        <v>50398</v>
      </c>
      <c r="T802" s="28">
        <v>6908398000</v>
      </c>
      <c r="U802" s="28">
        <v>17171414000</v>
      </c>
      <c r="V802" s="28">
        <v>1188077000</v>
      </c>
      <c r="W802" s="28">
        <v>10644000</v>
      </c>
      <c r="X802" s="28">
        <v>1128664000</v>
      </c>
      <c r="Y802" s="28">
        <v>27178912000</v>
      </c>
      <c r="Z802" s="28">
        <v>13421277000</v>
      </c>
      <c r="AA802" s="28">
        <v>1138000</v>
      </c>
      <c r="AB802" s="28">
        <v>7163158000</v>
      </c>
      <c r="AC802" s="28">
        <v>8374579000</v>
      </c>
      <c r="AD802" s="28">
        <v>17469963000</v>
      </c>
      <c r="AE802" s="28">
        <v>5558711000</v>
      </c>
      <c r="AF802" s="28">
        <v>1268241000</v>
      </c>
      <c r="AG802" s="11"/>
    </row>
    <row r="803">
      <c r="A803" s="7" t="s">
        <v>2534</v>
      </c>
      <c r="B803" s="5" t="s">
        <v>10515</v>
      </c>
      <c r="C803" s="5" t="s">
        <v>18400</v>
      </c>
      <c r="D803" s="5" t="str">
        <v>463001514701</v>
      </c>
      <c r="E803" s="0" t="e">
        <f>+7 (34747) 28520
+7 (34747) 41274
+7 (34773) 28667
+7 (34797) 21022
+7 (34797) 28666
+7 (34797) 31344
+7 (349) 7928113
+7 (910) 9090011
+7 (937) 7834969</f>
        <v>#NAME?</v>
      </c>
      <c r="F803" s="5" t="s">
        <v>27784</v>
      </c>
      <c r="G803" s="5"/>
      <c r="H803" s="26">
        <v>17.5</v>
      </c>
      <c r="I803" s="5" t="s">
        <v>27785</v>
      </c>
      <c r="J803" s="5" t="s">
        <v>25895</v>
      </c>
      <c r="K803" s="5" t="s">
        <v>355</v>
      </c>
      <c r="L803" s="5" t="s">
        <v>27786</v>
      </c>
      <c r="M803" s="27"/>
      <c r="N803" s="5"/>
      <c r="O803" s="5" t="str">
        <v>0250010107</v>
      </c>
      <c r="P803" s="27">
        <v>1000000</v>
      </c>
      <c r="Q803" s="5" t="s">
        <v>49057</v>
      </c>
      <c r="R803" s="5"/>
      <c r="S803" s="5" t="s">
        <v>50399</v>
      </c>
      <c r="T803" s="28">
        <v>3196220000</v>
      </c>
      <c r="U803" s="28">
        <v>3543988000</v>
      </c>
      <c r="V803" s="28">
        <v>2661482000</v>
      </c>
      <c r="W803" s="28"/>
      <c r="X803" s="28">
        <v>179000</v>
      </c>
      <c r="Y803" s="28">
        <v>13188194000</v>
      </c>
      <c r="Z803" s="28">
        <v>4849664000</v>
      </c>
      <c r="AA803" s="28">
        <v>67700000</v>
      </c>
      <c r="AB803" s="28">
        <v>2412320000</v>
      </c>
      <c r="AC803" s="28">
        <v>5831647000</v>
      </c>
      <c r="AD803" s="28">
        <v>5810108000</v>
      </c>
      <c r="AE803" s="28">
        <v>4139873000</v>
      </c>
      <c r="AF803" s="28">
        <v>779015000</v>
      </c>
      <c r="AG803" s="11"/>
    </row>
    <row r="804">
      <c r="A804" s="7" t="s">
        <v>2535</v>
      </c>
      <c r="B804" s="5" t="s">
        <v>10516</v>
      </c>
      <c r="C804" s="5" t="s">
        <v>18401</v>
      </c>
      <c r="D804" s="5" t="str">
        <v>025301872913</v>
      </c>
      <c r="E804" s="0" t="e">
        <f>+7 (3472) 247278
+7 (3472) 610151
+7 (3472) 620101
+7 (3472) 210708
+7 (3472) 281677
+7 (3472) 615101
+7 (3472) 625100
+7 (3472) 625123
+7 (3472) 625130
+7 (3472) 625150
+7 (3472) 625151
+7 (3472) 625220
+7 (3472) 625555
+7 (3472) 655101
+7 (3472) 707729</f>
        <v>#NAME?</v>
      </c>
      <c r="F804" s="5" t="s">
        <v>27787</v>
      </c>
      <c r="G804" s="5"/>
      <c r="H804" s="26">
        <v>13</v>
      </c>
      <c r="I804" s="5"/>
      <c r="J804" s="5" t="s">
        <v>25603</v>
      </c>
      <c r="K804" s="5" t="s">
        <v>355</v>
      </c>
      <c r="L804" s="5"/>
      <c r="M804" s="27">
        <v>1856528402</v>
      </c>
      <c r="N804" s="5" t="s">
        <v>50400</v>
      </c>
      <c r="O804" s="5" t="str">
        <v>0274144861</v>
      </c>
      <c r="P804" s="27">
        <v>4406326860</v>
      </c>
      <c r="Q804" s="5" t="s">
        <v>50402</v>
      </c>
      <c r="R804" s="5"/>
      <c r="S804" s="5" t="s">
        <v>50403</v>
      </c>
      <c r="T804" s="28">
        <v>5554230000</v>
      </c>
      <c r="U804" s="28">
        <v>1018000</v>
      </c>
      <c r="V804" s="28">
        <v>2053621000</v>
      </c>
      <c r="W804" s="28"/>
      <c r="X804" s="28">
        <v>289742000</v>
      </c>
      <c r="Y804" s="28">
        <v>15512559000</v>
      </c>
      <c r="Z804" s="28">
        <v>467640000</v>
      </c>
      <c r="AA804" s="28">
        <v>43909000</v>
      </c>
      <c r="AB804" s="28">
        <v>937633000</v>
      </c>
      <c r="AC804" s="28">
        <v>9863729000</v>
      </c>
      <c r="AD804" s="28">
        <v>5037800000</v>
      </c>
      <c r="AE804" s="28">
        <v>11186171000</v>
      </c>
      <c r="AF804" s="28">
        <v>29095000</v>
      </c>
      <c r="AG804" s="11"/>
    </row>
    <row r="805">
      <c r="A805" s="7" t="s">
        <v>2536</v>
      </c>
      <c r="B805" s="5" t="s">
        <v>10517</v>
      </c>
      <c r="C805" s="5" t="s">
        <v>18402</v>
      </c>
      <c r="D805" s="5" t="str">
        <v>560400490697</v>
      </c>
      <c r="E805" s="0" t="e">
        <f>+7 (347) 7523602
+7 (34758) 23585
+7 (34758) 24703
+7 (34758) 24749
+7 (34775) 23744
+7 (34775) 24055</f>
        <v>#NAME?</v>
      </c>
      <c r="F805" s="5" t="s">
        <v>27788</v>
      </c>
      <c r="G805" s="5" t="s">
        <v>27789</v>
      </c>
      <c r="H805" s="26">
        <v>17.5</v>
      </c>
      <c r="I805" s="5" t="s">
        <v>27790</v>
      </c>
      <c r="J805" s="5" t="s">
        <v>27791</v>
      </c>
      <c r="K805" s="5" t="s">
        <v>355</v>
      </c>
      <c r="L805" s="5" t="s">
        <v>27792</v>
      </c>
      <c r="M805" s="27">
        <v>65821305</v>
      </c>
      <c r="N805" s="5"/>
      <c r="O805" s="5" t="str">
        <v>0267011229</v>
      </c>
      <c r="P805" s="27">
        <v>17487438</v>
      </c>
      <c r="Q805" s="5"/>
      <c r="R805" s="5"/>
      <c r="S805" s="5" t="s">
        <v>50404</v>
      </c>
      <c r="T805" s="28">
        <v>27968036000</v>
      </c>
      <c r="U805" s="28">
        <v>1953481000</v>
      </c>
      <c r="V805" s="28">
        <v>1069442000</v>
      </c>
      <c r="W805" s="28"/>
      <c r="X805" s="28">
        <v>11761000</v>
      </c>
      <c r="Y805" s="28">
        <v>34488241000</v>
      </c>
      <c r="Z805" s="28">
        <v>5221747000</v>
      </c>
      <c r="AA805" s="28">
        <v>18099552000</v>
      </c>
      <c r="AB805" s="28">
        <v>304641000</v>
      </c>
      <c r="AC805" s="28">
        <v>3639840000</v>
      </c>
      <c r="AD805" s="28">
        <v>12350247000</v>
      </c>
      <c r="AE805" s="28">
        <v>11918562000</v>
      </c>
      <c r="AF805" s="28">
        <v>1099501000</v>
      </c>
      <c r="AG805" s="11"/>
    </row>
    <row r="806">
      <c r="A806" s="7" t="s">
        <v>2537</v>
      </c>
      <c r="B806" s="5" t="s">
        <v>10518</v>
      </c>
      <c r="C806" s="5" t="s">
        <v>18403</v>
      </c>
      <c r="D806" s="5" t="str">
        <v>025503988614</v>
      </c>
      <c r="E806" s="0" t="e">
        <f>+7 (937) 7899971
+7 (3472) 464428
+7 (3472) 464429
+7 (495) 2325543
+7 (915) 371819
+7 (916) 5257769
+7 (917) 7323728
+7 (917) 7817043
+7 (927) 2363773
+7 (937) 7899975
+7 (937) 8366525
+7 (964) 9507200</f>
        <v>#NAME?</v>
      </c>
      <c r="F806" s="5" t="s">
        <v>27793</v>
      </c>
      <c r="G806" s="5"/>
      <c r="H806" s="26">
        <v>11.5</v>
      </c>
      <c r="I806" s="5" t="s">
        <v>27794</v>
      </c>
      <c r="J806" s="5" t="s">
        <v>27002</v>
      </c>
      <c r="K806" s="5" t="s">
        <v>344</v>
      </c>
      <c r="L806" s="5" t="s">
        <v>27795</v>
      </c>
      <c r="M806" s="27"/>
      <c r="N806" s="5"/>
      <c r="O806" s="5" t="str">
        <v>0214005782</v>
      </c>
      <c r="P806" s="27">
        <v>1252671000</v>
      </c>
      <c r="Q806" s="5" t="s">
        <v>49009</v>
      </c>
      <c r="R806" s="5"/>
      <c r="S806" s="5" t="s">
        <v>49576</v>
      </c>
      <c r="T806" s="28">
        <v>7546720000</v>
      </c>
      <c r="U806" s="28">
        <v>1352517000</v>
      </c>
      <c r="V806" s="28">
        <v>2888200000</v>
      </c>
      <c r="W806" s="28"/>
      <c r="X806" s="28">
        <v>180622000</v>
      </c>
      <c r="Y806" s="28">
        <v>15027224000</v>
      </c>
      <c r="Z806" s="28">
        <v>9344956000</v>
      </c>
      <c r="AA806" s="28">
        <v>1714280000</v>
      </c>
      <c r="AB806" s="28">
        <v>1811164000</v>
      </c>
      <c r="AC806" s="28">
        <v>2553085000</v>
      </c>
      <c r="AD806" s="28">
        <v>10982657000</v>
      </c>
      <c r="AE806" s="28">
        <v>9793377000</v>
      </c>
      <c r="AF806" s="28">
        <v>1250200000</v>
      </c>
      <c r="AG806" s="11"/>
    </row>
    <row r="807">
      <c r="A807" s="7" t="s">
        <v>2538</v>
      </c>
      <c r="B807" s="5" t="s">
        <v>10519</v>
      </c>
      <c r="C807" s="5" t="s">
        <v>18404</v>
      </c>
      <c r="D807" s="5" t="str">
        <v>482611360066</v>
      </c>
      <c r="F807" s="5" t="s">
        <v>27796</v>
      </c>
      <c r="G807" s="5"/>
      <c r="H807" s="26">
        <v>14.5</v>
      </c>
      <c r="I807" s="5" t="s">
        <v>27797</v>
      </c>
      <c r="J807" s="5" t="s">
        <v>25805</v>
      </c>
      <c r="K807" s="5" t="s">
        <v>344</v>
      </c>
      <c r="L807" s="5" t="s">
        <v>27798</v>
      </c>
      <c r="M807" s="27"/>
      <c r="N807" s="5"/>
      <c r="O807" s="5" t="str">
        <v>0274133796</v>
      </c>
      <c r="P807" s="27">
        <v>462083635</v>
      </c>
      <c r="Q807" s="5" t="s">
        <v>49059</v>
      </c>
      <c r="R807" s="5"/>
      <c r="S807" s="5" t="s">
        <v>49110</v>
      </c>
      <c r="T807" s="28">
        <v>58486000</v>
      </c>
      <c r="U807" s="28"/>
      <c r="V807" s="28">
        <v>1197445000</v>
      </c>
      <c r="W807" s="28">
        <v>648069000</v>
      </c>
      <c r="X807" s="28">
        <v>26016000</v>
      </c>
      <c r="Y807" s="28">
        <v>2624859000</v>
      </c>
      <c r="Z807" s="28">
        <v>87903000</v>
      </c>
      <c r="AA807" s="28"/>
      <c r="AB807" s="28">
        <v>101102000</v>
      </c>
      <c r="AC807" s="28">
        <v>1961761000</v>
      </c>
      <c r="AD807" s="28">
        <v>549987000</v>
      </c>
      <c r="AE807" s="28">
        <v>4459902000</v>
      </c>
      <c r="AF807" s="28">
        <v>108006000</v>
      </c>
      <c r="AG807" s="11"/>
    </row>
    <row r="808">
      <c r="A808" s="7" t="s">
        <v>2539</v>
      </c>
      <c r="B808" s="5" t="s">
        <v>10520</v>
      </c>
      <c r="C808" s="5" t="s">
        <v>18405</v>
      </c>
      <c r="D808" s="5" t="str">
        <v>027712051096</v>
      </c>
      <c r="E808" s="0" t="e">
        <f>+7 (347) 2691340
+7 (3472) 797350
+7 (3472) 856620
+7 (3472) 890559
+7 (3472) 376424
+7 (3472) 690559
+7 (3472) 690730
+7 (3472) 693112
+7 (3472) 693773
+7 (3472) 797259
+7 (3472) 797286
+7 (3472) 797424
+7 (3472) 843136
+7 (34747) 96505
+7 (34761) 34070</f>
        <v>#NAME?</v>
      </c>
      <c r="F808" s="5" t="s">
        <v>27799</v>
      </c>
      <c r="G808" s="5" t="s">
        <v>27800</v>
      </c>
      <c r="H808" s="26">
        <v>17.5</v>
      </c>
      <c r="I808" s="5" t="s">
        <v>27801</v>
      </c>
      <c r="J808" s="5" t="s">
        <v>27802</v>
      </c>
      <c r="K808" s="5" t="s">
        <v>344</v>
      </c>
      <c r="L808" s="5" t="s">
        <v>27803</v>
      </c>
      <c r="M808" s="27">
        <v>454899117</v>
      </c>
      <c r="N808" s="5" t="s">
        <v>50405</v>
      </c>
      <c r="O808" s="5" t="str">
        <v>0277071467</v>
      </c>
      <c r="P808" s="27">
        <v>10295413770</v>
      </c>
      <c r="Q808" s="5" t="s">
        <v>50406</v>
      </c>
      <c r="R808" s="5"/>
      <c r="S808" s="5" t="s">
        <v>50407</v>
      </c>
      <c r="T808" s="28">
        <v>31288244000</v>
      </c>
      <c r="U808" s="28">
        <v>87197000</v>
      </c>
      <c r="V808" s="28">
        <v>2259866000</v>
      </c>
      <c r="W808" s="28"/>
      <c r="X808" s="28">
        <v>1740820000</v>
      </c>
      <c r="Y808" s="28">
        <v>37053880000</v>
      </c>
      <c r="Z808" s="28">
        <v>16524680000</v>
      </c>
      <c r="AA808" s="28"/>
      <c r="AB808" s="28"/>
      <c r="AC808" s="28">
        <v>5793752000</v>
      </c>
      <c r="AD808" s="28">
        <v>26826080000</v>
      </c>
      <c r="AE808" s="28">
        <v>28481528000</v>
      </c>
      <c r="AF808" s="28">
        <v>2323333000</v>
      </c>
      <c r="AG808" s="11"/>
    </row>
    <row r="809">
      <c r="A809" s="7" t="s">
        <v>2540</v>
      </c>
      <c r="B809" s="5" t="s">
        <v>10521</v>
      </c>
      <c r="C809" s="5" t="s">
        <v>18406</v>
      </c>
      <c r="D809" s="5" t="str">
        <v>027621332188</v>
      </c>
      <c r="E809" s="0" t="e">
        <f>+7 (347) 2923846
+7 (347) 2515939
+7 (3472) 726024
+7 (3472) 767660</f>
        <v>#NAME?</v>
      </c>
      <c r="F809" s="5" t="s">
        <v>27804</v>
      </c>
      <c r="G809" s="5" t="s">
        <v>27805</v>
      </c>
      <c r="H809" s="26">
        <v>29.5</v>
      </c>
      <c r="I809" s="5"/>
      <c r="J809" s="5" t="s">
        <v>27806</v>
      </c>
      <c r="K809" s="5" t="s">
        <v>344</v>
      </c>
      <c r="L809" s="5" t="s">
        <v>27807</v>
      </c>
      <c r="M809" s="27">
        <v>10168620</v>
      </c>
      <c r="N809" s="5" t="s">
        <v>50408</v>
      </c>
      <c r="O809" s="5" t="str">
        <v>0275009544</v>
      </c>
      <c r="P809" s="27">
        <v>26903000</v>
      </c>
      <c r="Q809" s="5" t="s">
        <v>50410</v>
      </c>
      <c r="R809" s="5"/>
      <c r="S809" s="5" t="s">
        <v>49428</v>
      </c>
      <c r="T809" s="28">
        <v>8875772000</v>
      </c>
      <c r="U809" s="28">
        <v>2074078000</v>
      </c>
      <c r="V809" s="28">
        <v>3068306000</v>
      </c>
      <c r="W809" s="28">
        <v>7512243000</v>
      </c>
      <c r="X809" s="28">
        <v>100402000</v>
      </c>
      <c r="Y809" s="28">
        <v>24746536000</v>
      </c>
      <c r="Z809" s="28">
        <v>17549360000</v>
      </c>
      <c r="AA809" s="28">
        <v>100000000</v>
      </c>
      <c r="AB809" s="28">
        <v>3337801000</v>
      </c>
      <c r="AC809" s="28">
        <v>6138255000</v>
      </c>
      <c r="AD809" s="28">
        <v>17703073000</v>
      </c>
      <c r="AE809" s="28">
        <v>26486813000</v>
      </c>
      <c r="AF809" s="28">
        <v>3953926000</v>
      </c>
      <c r="AG809" s="11"/>
    </row>
    <row r="810">
      <c r="A810" s="7" t="s">
        <v>2541</v>
      </c>
      <c r="B810" s="5" t="s">
        <v>10522</v>
      </c>
      <c r="C810" s="5" t="s">
        <v>18407</v>
      </c>
      <c r="D810" s="5" t="str">
        <v>770171222127</v>
      </c>
      <c r="E810" s="0" t="e">
        <f>+7 (3422) 691060
+7 (3472) 180401
+7 (3472) 181010
+7 (3472) 181088
+7 (3472) 222200
+7 (3472) 222233
+7 (3472) 222865
+7 (3472) 228615
+7 (3472) 228628
+7 (3472) 233587
+7 (3472) 252525
+7 (3472) 286012
+7 (3472) 291258
+7 (347) 2402611
+7 (3472) 228625</f>
        <v>#NAME?</v>
      </c>
      <c r="F810" s="5" t="s">
        <v>27808</v>
      </c>
      <c r="G810" s="5"/>
      <c r="H810" s="26">
        <v>17</v>
      </c>
      <c r="I810" s="5" t="s">
        <v>27809</v>
      </c>
      <c r="J810" s="5" t="s">
        <v>26435</v>
      </c>
      <c r="K810" s="5" t="s">
        <v>380</v>
      </c>
      <c r="L810" s="5"/>
      <c r="M810" s="27">
        <v>182419526</v>
      </c>
      <c r="N810" s="5" t="s">
        <v>50411</v>
      </c>
      <c r="O810" s="5" t="str">
        <v>0277072661</v>
      </c>
      <c r="P810" s="27">
        <v>2541808631</v>
      </c>
      <c r="Q810" s="5" t="s">
        <v>50412</v>
      </c>
      <c r="R810" s="5"/>
      <c r="S810" s="5" t="s">
        <v>50324</v>
      </c>
      <c r="T810" s="28">
        <v>9646002000</v>
      </c>
      <c r="U810" s="28">
        <v>3000</v>
      </c>
      <c r="V810" s="28">
        <v>5033563000</v>
      </c>
      <c r="W810" s="28"/>
      <c r="X810" s="28">
        <v>36800000</v>
      </c>
      <c r="Y810" s="28">
        <v>16679362000</v>
      </c>
      <c r="Z810" s="28">
        <v>1432918000</v>
      </c>
      <c r="AA810" s="28">
        <v>1332007000</v>
      </c>
      <c r="AB810" s="28">
        <v>699395000</v>
      </c>
      <c r="AC810" s="28">
        <v>10340536000</v>
      </c>
      <c r="AD810" s="28">
        <v>4115604000</v>
      </c>
      <c r="AE810" s="28">
        <v>17518124000</v>
      </c>
      <c r="AF810" s="28">
        <v>827189000</v>
      </c>
      <c r="AG810" s="11"/>
    </row>
    <row r="811">
      <c r="A811" s="7" t="s">
        <v>2542</v>
      </c>
      <c r="B811" s="5" t="s">
        <v>10523</v>
      </c>
      <c r="C811" s="5" t="s">
        <v>18408</v>
      </c>
      <c r="D811" s="5" t="str">
        <v>027810199125</v>
      </c>
      <c r="E811" s="0" t="e">
        <f>+7 (347) 2222458
+7 (347) 2231790
+7 (347) 2921370
+7 (347) 2921371
+7 (347) 2921374
+7 (347) 2921375
+7 (3472) 359600
+7 (3472) 842566
+7 (3472) 921382
+7 (3472) 937400
+7 (3472) 937401
+7 (3472) 937410
+7 (3472) 937411
+7 (3472) 937413
+7 (3472) 937420</f>
        <v>#NAME?</v>
      </c>
      <c r="F811" s="5" t="s">
        <v>27810</v>
      </c>
      <c r="G811" s="5" t="s">
        <v>27811</v>
      </c>
      <c r="H811" s="26">
        <v>17</v>
      </c>
      <c r="I811" s="5"/>
      <c r="J811" s="5" t="s">
        <v>26508</v>
      </c>
      <c r="K811" s="5" t="s">
        <v>355</v>
      </c>
      <c r="L811" s="5"/>
      <c r="M811" s="27">
        <v>3260782</v>
      </c>
      <c r="N811" s="5" t="s">
        <v>50413</v>
      </c>
      <c r="O811" s="5" t="str">
        <v>0276100884</v>
      </c>
      <c r="P811" s="27">
        <v>593622000</v>
      </c>
      <c r="Q811" s="5" t="s">
        <v>50414</v>
      </c>
      <c r="R811" s="5" t="s">
        <v>50415</v>
      </c>
      <c r="S811" s="5" t="s">
        <v>50416</v>
      </c>
      <c r="T811" s="28">
        <v>4586141000</v>
      </c>
      <c r="U811" s="28">
        <v>66354000</v>
      </c>
      <c r="V811" s="28">
        <v>4783369000</v>
      </c>
      <c r="W811" s="28"/>
      <c r="X811" s="28">
        <v>12110000</v>
      </c>
      <c r="Y811" s="28">
        <v>10644391000</v>
      </c>
      <c r="Z811" s="28">
        <v>2940966000</v>
      </c>
      <c r="AA811" s="28">
        <v>538462000</v>
      </c>
      <c r="AB811" s="28">
        <v>2763000000</v>
      </c>
      <c r="AC811" s="28">
        <v>6182280000</v>
      </c>
      <c r="AD811" s="28">
        <v>3567063000</v>
      </c>
      <c r="AE811" s="28">
        <v>6338732000</v>
      </c>
      <c r="AF811" s="28">
        <v>31088000</v>
      </c>
      <c r="AG811" s="11"/>
    </row>
    <row r="812">
      <c r="A812" s="7" t="s">
        <v>2543</v>
      </c>
      <c r="B812" s="5" t="s">
        <v>10524</v>
      </c>
      <c r="C812" s="5" t="s">
        <v>18409</v>
      </c>
      <c r="D812" s="5" t="str">
        <v>561502638129</v>
      </c>
      <c r="E812" s="0" t="e">
        <f>+7 (905) 8478862</f>
        <v>#NAME?</v>
      </c>
      <c r="F812" s="5" t="s">
        <v>27812</v>
      </c>
      <c r="G812" s="5"/>
      <c r="H812" s="26">
        <v>6</v>
      </c>
      <c r="I812" s="5" t="s">
        <v>27813</v>
      </c>
      <c r="J812" s="5" t="s">
        <v>373</v>
      </c>
      <c r="K812" s="5" t="s">
        <v>344</v>
      </c>
      <c r="L812" s="5" t="s">
        <v>27814</v>
      </c>
      <c r="M812" s="27"/>
      <c r="N812" s="5"/>
      <c r="O812" s="5" t="str">
        <v>5614079555</v>
      </c>
      <c r="P812" s="27">
        <v>2500000</v>
      </c>
      <c r="Q812" s="5" t="s">
        <v>49021</v>
      </c>
      <c r="R812" s="5"/>
      <c r="S812" s="5" t="s">
        <v>50417</v>
      </c>
      <c r="T812" s="28">
        <v>48619000</v>
      </c>
      <c r="U812" s="28"/>
      <c r="V812" s="28">
        <v>304105000</v>
      </c>
      <c r="W812" s="28">
        <v>27216000</v>
      </c>
      <c r="X812" s="28">
        <v>1336000</v>
      </c>
      <c r="Y812" s="28">
        <v>390639000</v>
      </c>
      <c r="Z812" s="28">
        <v>91507000</v>
      </c>
      <c r="AA812" s="28"/>
      <c r="AB812" s="28">
        <v>94559000</v>
      </c>
      <c r="AC812" s="28">
        <v>261632000</v>
      </c>
      <c r="AD812" s="28">
        <v>94007000</v>
      </c>
      <c r="AE812" s="28">
        <v>3612269000</v>
      </c>
      <c r="AF812" s="28">
        <v>38247000</v>
      </c>
      <c r="AG812" s="11"/>
    </row>
    <row r="813">
      <c r="A813" s="7" t="s">
        <v>2544</v>
      </c>
      <c r="B813" s="5" t="s">
        <v>10525</v>
      </c>
      <c r="C813" s="5" t="s">
        <v>18410</v>
      </c>
      <c r="D813" s="5" t="str">
        <v>503207710687</v>
      </c>
      <c r="E813" s="0" t="e">
        <f>+7 (495) 7875002
+7 (495) 7875001
+7 (929) 5024912
+7 (925) 7806433
+7 (495) 7875000
+7 (800) 5055500</f>
        <v>#NAME?</v>
      </c>
      <c r="F813" s="5" t="s">
        <v>27815</v>
      </c>
      <c r="G813" s="5" t="s">
        <v>27816</v>
      </c>
      <c r="H813" s="26">
        <v>28</v>
      </c>
      <c r="I813" s="5" t="s">
        <v>27817</v>
      </c>
      <c r="J813" s="5" t="s">
        <v>397</v>
      </c>
      <c r="K813" s="5" t="s">
        <v>344</v>
      </c>
      <c r="L813" s="5" t="s">
        <v>27818</v>
      </c>
      <c r="M813" s="27">
        <v>6097170</v>
      </c>
      <c r="N813" s="5" t="s">
        <v>50418</v>
      </c>
      <c r="O813" s="5" t="str">
        <v>5032073106</v>
      </c>
      <c r="P813" s="27">
        <v>1364580780</v>
      </c>
      <c r="Q813" s="5" t="s">
        <v>49009</v>
      </c>
      <c r="R813" s="5"/>
      <c r="S813" s="5" t="s">
        <v>49256</v>
      </c>
      <c r="T813" s="28">
        <v>1170387000</v>
      </c>
      <c r="U813" s="28">
        <v>137233000</v>
      </c>
      <c r="V813" s="28">
        <v>7352911000</v>
      </c>
      <c r="W813" s="28"/>
      <c r="X813" s="28">
        <v>1440865000</v>
      </c>
      <c r="Y813" s="28">
        <v>12066193000</v>
      </c>
      <c r="Z813" s="28">
        <v>10187958000</v>
      </c>
      <c r="AA813" s="28"/>
      <c r="AB813" s="28">
        <v>161101000</v>
      </c>
      <c r="AC813" s="28">
        <v>512113000</v>
      </c>
      <c r="AD813" s="28">
        <v>11552539000</v>
      </c>
      <c r="AE813" s="28">
        <v>15263359000</v>
      </c>
      <c r="AF813" s="28">
        <v>3324408000</v>
      </c>
      <c r="AG813" s="11"/>
    </row>
    <row r="814">
      <c r="A814" s="7" t="s">
        <v>2545</v>
      </c>
      <c r="B814" s="5" t="s">
        <v>10526</v>
      </c>
      <c r="C814" s="5" t="s">
        <v>18411</v>
      </c>
      <c r="D814" s="5" t="str">
        <v>745108946855</v>
      </c>
      <c r="E814" s="0" t="e">
        <f>+7 (351) 2597604
+7 (351) 2595029
+7 (3512) 168717
+7 (3512) 169777
+7 (3512) 169888
+7 (3517) 751062
+7 (3517) 751065</f>
        <v>#NAME?</v>
      </c>
      <c r="F814" s="5" t="s">
        <v>27819</v>
      </c>
      <c r="G814" s="5" t="s">
        <v>27820</v>
      </c>
      <c r="H814" s="26">
        <v>11</v>
      </c>
      <c r="I814" s="5" t="s">
        <v>27821</v>
      </c>
      <c r="J814" s="5" t="s">
        <v>27822</v>
      </c>
      <c r="K814" s="5" t="s">
        <v>344</v>
      </c>
      <c r="L814" s="5" t="s">
        <v>27823</v>
      </c>
      <c r="M814" s="27">
        <v>117752951</v>
      </c>
      <c r="N814" s="5" t="s">
        <v>50419</v>
      </c>
      <c r="O814" s="5" t="str">
        <v>7449106598</v>
      </c>
      <c r="P814" s="27">
        <v>600000000</v>
      </c>
      <c r="Q814" s="5" t="s">
        <v>50420</v>
      </c>
      <c r="R814" s="5"/>
      <c r="S814" s="5" t="s">
        <v>49195</v>
      </c>
      <c r="T814" s="28">
        <v>1600952000</v>
      </c>
      <c r="U814" s="28"/>
      <c r="V814" s="28">
        <v>979458000</v>
      </c>
      <c r="W814" s="28"/>
      <c r="X814" s="28">
        <v>23434000</v>
      </c>
      <c r="Y814" s="28">
        <v>3526163000</v>
      </c>
      <c r="Z814" s="28">
        <v>185115000</v>
      </c>
      <c r="AA814" s="28">
        <v>218500000</v>
      </c>
      <c r="AB814" s="28">
        <v>1186310000</v>
      </c>
      <c r="AC814" s="28">
        <v>2064129000</v>
      </c>
      <c r="AD814" s="28">
        <v>785115000</v>
      </c>
      <c r="AE814" s="28">
        <v>3626992000</v>
      </c>
      <c r="AF814" s="28">
        <v>251014000</v>
      </c>
      <c r="AG814" s="11"/>
    </row>
    <row r="815">
      <c r="A815" s="7" t="s">
        <v>2546</v>
      </c>
      <c r="B815" s="5" t="s">
        <v>10527</v>
      </c>
      <c r="C815" s="5" t="s">
        <v>18412</v>
      </c>
      <c r="D815" s="5" t="str">
        <v>500107707484</v>
      </c>
      <c r="E815" s="0" t="e">
        <f>+7 (495) 5294297
+7 (3433) 443220
+7 (3472) 369166
+7 (383) 3636750
+7 (391) 2287060
+7 (495) 2230720
+7 (495) 5294295
+7 (495) 6612121
+7 (812) 4955441
+7 (8422) 421286
+7 (844) 2546189
+7 (844) 2546839
+7 (84622) 86646
+7 (861) 2782200
+7 (863) 3109496</f>
        <v>#NAME?</v>
      </c>
      <c r="F815" s="5" t="s">
        <v>27824</v>
      </c>
      <c r="G815" s="5" t="s">
        <v>27825</v>
      </c>
      <c r="H815" s="26">
        <v>29</v>
      </c>
      <c r="I815" s="5"/>
      <c r="J815" s="5" t="s">
        <v>26363</v>
      </c>
      <c r="K815" s="5" t="s">
        <v>344</v>
      </c>
      <c r="L815" s="5" t="s">
        <v>27826</v>
      </c>
      <c r="M815" s="27"/>
      <c r="N815" s="5" t="s">
        <v>49650</v>
      </c>
      <c r="O815" s="5" t="str">
        <v>5001017207</v>
      </c>
      <c r="P815" s="27">
        <v>50000000</v>
      </c>
      <c r="Q815" s="5" t="s">
        <v>49009</v>
      </c>
      <c r="R815" s="5"/>
      <c r="S815" s="5" t="s">
        <v>49028</v>
      </c>
      <c r="T815" s="28">
        <v>1063118000</v>
      </c>
      <c r="U815" s="28">
        <v>111000</v>
      </c>
      <c r="V815" s="28">
        <v>2145532000</v>
      </c>
      <c r="W815" s="28"/>
      <c r="X815" s="28">
        <v>238481000</v>
      </c>
      <c r="Y815" s="28">
        <v>4788587000</v>
      </c>
      <c r="Z815" s="28">
        <v>3614825000</v>
      </c>
      <c r="AA815" s="28"/>
      <c r="AB815" s="28">
        <v>144133000</v>
      </c>
      <c r="AC815" s="28">
        <v>938769000</v>
      </c>
      <c r="AD815" s="28">
        <v>3670554000</v>
      </c>
      <c r="AE815" s="28">
        <v>6317923000</v>
      </c>
      <c r="AF815" s="28">
        <v>544063000</v>
      </c>
      <c r="AG815" s="11"/>
    </row>
    <row r="816">
      <c r="A816" s="7" t="s">
        <v>2547</v>
      </c>
      <c r="B816" s="5" t="s">
        <v>10528</v>
      </c>
      <c r="C816" s="5" t="s">
        <v>18413</v>
      </c>
      <c r="D816" s="5" t="str">
        <v>631625697960</v>
      </c>
      <c r="E816" s="0" t="e">
        <f>+7 (347) 2403079
+7 (84624) 3077
+7 (84624) 3093</f>
        <v>#NAME?</v>
      </c>
      <c r="F816" s="5"/>
      <c r="G816" s="5"/>
      <c r="H816" s="26">
        <v>22.5</v>
      </c>
      <c r="I816" s="5"/>
      <c r="J816" s="5" t="s">
        <v>26770</v>
      </c>
      <c r="K816" s="5" t="s">
        <v>344</v>
      </c>
      <c r="L816" s="5" t="s">
        <v>27827</v>
      </c>
      <c r="M816" s="27"/>
      <c r="N816" s="5" t="s">
        <v>50421</v>
      </c>
      <c r="O816" s="5" t="str">
        <v>0276061770</v>
      </c>
      <c r="P816" s="27">
        <v>9000000</v>
      </c>
      <c r="Q816" s="5" t="s">
        <v>50422</v>
      </c>
      <c r="R816" s="5"/>
      <c r="S816" s="5" t="s">
        <v>49160</v>
      </c>
      <c r="T816" s="28">
        <v>1413957000</v>
      </c>
      <c r="U816" s="28">
        <v>187064000</v>
      </c>
      <c r="V816" s="28">
        <v>4074352000</v>
      </c>
      <c r="W816" s="28">
        <v>35000000</v>
      </c>
      <c r="X816" s="28">
        <v>6578000</v>
      </c>
      <c r="Y816" s="28">
        <v>7158872000</v>
      </c>
      <c r="Z816" s="28">
        <v>2745695000</v>
      </c>
      <c r="AA816" s="28">
        <v>3089938000</v>
      </c>
      <c r="AB816" s="28">
        <v>590000</v>
      </c>
      <c r="AC816" s="28">
        <v>705783000</v>
      </c>
      <c r="AD816" s="28">
        <v>2754695000</v>
      </c>
      <c r="AE816" s="28">
        <v>5441661000</v>
      </c>
      <c r="AF816" s="28">
        <v>152267000</v>
      </c>
      <c r="AG816" s="11"/>
    </row>
    <row r="817">
      <c r="A817" s="7" t="s">
        <v>2548</v>
      </c>
      <c r="B817" s="5" t="s">
        <v>10529</v>
      </c>
      <c r="C817" s="5" t="s">
        <v>18414</v>
      </c>
      <c r="D817" s="5" t="str">
        <v>711307314702</v>
      </c>
      <c r="E817" s="0" t="e">
        <f>+7 (499) 2408901
+7 (495) 7257660</f>
        <v>#NAME?</v>
      </c>
      <c r="F817" s="5"/>
      <c r="G817" s="5" t="s">
        <v>27828</v>
      </c>
      <c r="H817" s="26">
        <v>9</v>
      </c>
      <c r="I817" s="5" t="s">
        <v>27829</v>
      </c>
      <c r="J817" s="5" t="s">
        <v>25210</v>
      </c>
      <c r="K817" s="5" t="s">
        <v>355</v>
      </c>
      <c r="L817" s="5" t="s">
        <v>27830</v>
      </c>
      <c r="M817" s="27"/>
      <c r="N817" s="5" t="s">
        <v>50423</v>
      </c>
      <c r="O817" s="5" t="str">
        <v>7728876607</v>
      </c>
      <c r="P817" s="27">
        <v>660000</v>
      </c>
      <c r="Q817" s="5" t="s">
        <v>49021</v>
      </c>
      <c r="R817" s="5"/>
      <c r="S817" s="5" t="s">
        <v>50424</v>
      </c>
      <c r="T817" s="28">
        <v>23431000</v>
      </c>
      <c r="U817" s="28"/>
      <c r="V817" s="28">
        <v>4923695000</v>
      </c>
      <c r="W817" s="28"/>
      <c r="X817" s="28">
        <v>15216000</v>
      </c>
      <c r="Y817" s="28">
        <v>5634507000</v>
      </c>
      <c r="Z817" s="28">
        <v>9815000</v>
      </c>
      <c r="AA817" s="28"/>
      <c r="AB817" s="28">
        <v>169000</v>
      </c>
      <c r="AC817" s="28">
        <v>5610288000</v>
      </c>
      <c r="AD817" s="28">
        <v>10475000</v>
      </c>
      <c r="AE817" s="28">
        <v>4387439000</v>
      </c>
      <c r="AF817" s="28">
        <v>4861000</v>
      </c>
      <c r="AG817" s="11"/>
    </row>
    <row r="818">
      <c r="A818" s="7" t="s">
        <v>2549</v>
      </c>
      <c r="B818" s="5" t="s">
        <v>10530</v>
      </c>
      <c r="C818" s="5" t="s">
        <v>18415</v>
      </c>
      <c r="D818" s="5" t="str">
        <v>773378075298</v>
      </c>
      <c r="E818" s="0" t="e">
        <f>+7 (918) 4057054</f>
        <v>#NAME?</v>
      </c>
      <c r="F818" s="5" t="s">
        <v>27831</v>
      </c>
      <c r="G818" s="5"/>
      <c r="H818" s="26">
        <v>7</v>
      </c>
      <c r="I818" s="5" t="s">
        <v>27832</v>
      </c>
      <c r="J818" s="5" t="s">
        <v>27833</v>
      </c>
      <c r="K818" s="5" t="s">
        <v>344</v>
      </c>
      <c r="L818" s="5" t="s">
        <v>27834</v>
      </c>
      <c r="M818" s="27"/>
      <c r="N818" s="5" t="s">
        <v>50425</v>
      </c>
      <c r="O818" s="5" t="str">
        <v>2320238976</v>
      </c>
      <c r="P818" s="27">
        <v>10000</v>
      </c>
      <c r="Q818" s="5"/>
      <c r="R818" s="5"/>
      <c r="S818" s="5" t="s">
        <v>49110</v>
      </c>
      <c r="T818" s="28">
        <v>712795000</v>
      </c>
      <c r="U818" s="28">
        <v>261039000</v>
      </c>
      <c r="V818" s="28">
        <v>292760000</v>
      </c>
      <c r="W818" s="28">
        <v>777475000</v>
      </c>
      <c r="X818" s="28">
        <v>5977000</v>
      </c>
      <c r="Y818" s="28">
        <v>2256423000</v>
      </c>
      <c r="Z818" s="28">
        <v>1161003000</v>
      </c>
      <c r="AA818" s="28"/>
      <c r="AB818" s="28"/>
      <c r="AC818" s="28">
        <v>754584000</v>
      </c>
      <c r="AD818" s="28">
        <v>1161013000</v>
      </c>
      <c r="AE818" s="28">
        <v>4479912000</v>
      </c>
      <c r="AF818" s="28">
        <v>915517000</v>
      </c>
      <c r="AG818" s="11"/>
    </row>
    <row r="819">
      <c r="A819" s="7" t="s">
        <v>2550</v>
      </c>
      <c r="B819" s="5" t="s">
        <v>10531</v>
      </c>
      <c r="C819" s="5" t="s">
        <v>18416</v>
      </c>
      <c r="D819" s="5" t="str">
        <v>246503945145</v>
      </c>
      <c r="E819" s="0" t="e">
        <f>+7 (347) 2646834
+7 (3472) 358180
+7 (3472) 694359
+7 (34783) 23020</f>
        <v>#NAME?</v>
      </c>
      <c r="F819" s="5" t="s">
        <v>27835</v>
      </c>
      <c r="G819" s="5"/>
      <c r="H819" s="26">
        <v>16.5</v>
      </c>
      <c r="I819" s="5" t="s">
        <v>27836</v>
      </c>
      <c r="J819" s="5" t="s">
        <v>25295</v>
      </c>
      <c r="K819" s="5" t="s">
        <v>344</v>
      </c>
      <c r="L819" s="5" t="s">
        <v>27837</v>
      </c>
      <c r="M819" s="27">
        <v>33698096</v>
      </c>
      <c r="N819" s="5" t="s">
        <v>50426</v>
      </c>
      <c r="O819" s="5" t="str">
        <v>0277077282</v>
      </c>
      <c r="P819" s="27">
        <v>24038539087</v>
      </c>
      <c r="Q819" s="5" t="s">
        <v>50427</v>
      </c>
      <c r="R819" s="5"/>
      <c r="S819" s="5" t="s">
        <v>50205</v>
      </c>
      <c r="T819" s="28">
        <v>36667590000</v>
      </c>
      <c r="U819" s="28">
        <v>2546698000</v>
      </c>
      <c r="V819" s="28">
        <v>7240494000</v>
      </c>
      <c r="W819" s="28"/>
      <c r="X819" s="28">
        <v>24325506000</v>
      </c>
      <c r="Y819" s="28">
        <v>73986579000</v>
      </c>
      <c r="Z819" s="28">
        <v>38874888000</v>
      </c>
      <c r="AA819" s="28">
        <v>602745000</v>
      </c>
      <c r="AB819" s="28">
        <v>21715000</v>
      </c>
      <c r="AC819" s="28">
        <v>7338855000</v>
      </c>
      <c r="AD819" s="28">
        <v>63206377000</v>
      </c>
      <c r="AE819" s="28">
        <v>60492336000</v>
      </c>
      <c r="AF819" s="28">
        <v>6513979000</v>
      </c>
      <c r="AG819" s="11"/>
    </row>
    <row r="820">
      <c r="A820" s="7" t="s">
        <v>2551</v>
      </c>
      <c r="B820" s="5" t="s">
        <v>10532</v>
      </c>
      <c r="C820" s="5" t="s">
        <v>18417</v>
      </c>
      <c r="D820" s="5" t="str">
        <v>311601104681</v>
      </c>
      <c r="E820" s="0" t="e">
        <f>+7 (816) 2608095
+7 (472) 2376900
+7 (81659) 51260
+7 (81659) 51281
+7 (81659) 51290
+7 (81659) 51291
+7 (81659) 51292
+7 (81659) 51316
+7 (81659) 51338
+7 (81659) 51348
+7 (81659) 53834
+7 (908) 7813713
+7 (911) 402982</f>
        <v>#NAME?</v>
      </c>
      <c r="F820" s="5" t="s">
        <v>27838</v>
      </c>
      <c r="G820" s="5"/>
      <c r="H820" s="26">
        <v>15.5</v>
      </c>
      <c r="I820" s="5" t="s">
        <v>27839</v>
      </c>
      <c r="J820" s="5" t="s">
        <v>25450</v>
      </c>
      <c r="K820" s="5" t="s">
        <v>355</v>
      </c>
      <c r="L820" s="5" t="s">
        <v>27840</v>
      </c>
      <c r="M820" s="27">
        <v>30574054</v>
      </c>
      <c r="N820" s="5" t="s">
        <v>50428</v>
      </c>
      <c r="O820" s="5" t="str">
        <v>5305006239</v>
      </c>
      <c r="P820" s="27">
        <v>900000000</v>
      </c>
      <c r="Q820" s="5"/>
      <c r="R820" s="5"/>
      <c r="S820" s="5" t="s">
        <v>49110</v>
      </c>
      <c r="T820" s="28">
        <v>4621246000</v>
      </c>
      <c r="U820" s="28">
        <v>281311000</v>
      </c>
      <c r="V820" s="28">
        <v>1570822000</v>
      </c>
      <c r="W820" s="28"/>
      <c r="X820" s="28">
        <v>8802000</v>
      </c>
      <c r="Y820" s="28">
        <v>9528862000</v>
      </c>
      <c r="Z820" s="28">
        <v>4593612000</v>
      </c>
      <c r="AA820" s="28">
        <v>2000505000</v>
      </c>
      <c r="AB820" s="28">
        <v>1077464000</v>
      </c>
      <c r="AC820" s="28">
        <v>1948006000</v>
      </c>
      <c r="AD820" s="28">
        <v>5580157000</v>
      </c>
      <c r="AE820" s="28">
        <v>9227941000</v>
      </c>
      <c r="AF820" s="28">
        <v>1069818000</v>
      </c>
      <c r="AG820" s="11"/>
    </row>
    <row r="821">
      <c r="A821" s="7" t="s">
        <v>2552</v>
      </c>
      <c r="B821" s="5" t="s">
        <v>10533</v>
      </c>
      <c r="C821" s="5" t="s">
        <v>18418</v>
      </c>
      <c r="D821" s="5" t="str">
        <v>027506979185</v>
      </c>
      <c r="E821" s="0" t="e">
        <f>+7 (3472) 525570
+7 (917) 4190290
+7 (347) 2223962
+7 (347) 2465972
+7 (347) 2733962
+7 (3472) 465971
+7 (3472) 465974
+7 (3472) 466120
+7 (3472) 635356</f>
        <v>#NAME?</v>
      </c>
      <c r="F821" s="5" t="s">
        <v>27841</v>
      </c>
      <c r="G821" s="5" t="s">
        <v>27842</v>
      </c>
      <c r="H821" s="26">
        <v>18.5</v>
      </c>
      <c r="I821" s="5" t="s">
        <v>27843</v>
      </c>
      <c r="J821" s="5" t="s">
        <v>27844</v>
      </c>
      <c r="K821" s="5" t="s">
        <v>355</v>
      </c>
      <c r="L821" s="5"/>
      <c r="M821" s="27">
        <v>136685373</v>
      </c>
      <c r="N821" s="5" t="s">
        <v>50429</v>
      </c>
      <c r="O821" s="5" t="str">
        <v>0274100286</v>
      </c>
      <c r="P821" s="27">
        <v>500000000</v>
      </c>
      <c r="Q821" s="5" t="s">
        <v>50430</v>
      </c>
      <c r="R821" s="5" t="s">
        <v>50431</v>
      </c>
      <c r="S821" s="5" t="s">
        <v>50432</v>
      </c>
      <c r="T821" s="28">
        <v>99664000</v>
      </c>
      <c r="U821" s="28">
        <v>498040000</v>
      </c>
      <c r="V821" s="28">
        <v>1432110000</v>
      </c>
      <c r="W821" s="28">
        <v>12062000</v>
      </c>
      <c r="X821" s="28">
        <v>314344000</v>
      </c>
      <c r="Y821" s="28">
        <v>2934227000</v>
      </c>
      <c r="Z821" s="28">
        <v>17349000</v>
      </c>
      <c r="AA821" s="28">
        <v>213395000</v>
      </c>
      <c r="AB821" s="28">
        <v>31413000</v>
      </c>
      <c r="AC821" s="28">
        <v>2155550000</v>
      </c>
      <c r="AD821" s="28">
        <v>517349000</v>
      </c>
      <c r="AE821" s="28">
        <v>3358292000</v>
      </c>
      <c r="AF821" s="28">
        <v>233000</v>
      </c>
      <c r="AG821" s="11"/>
    </row>
    <row r="822">
      <c r="A822" s="7" t="s">
        <v>2553</v>
      </c>
      <c r="B822" s="5" t="s">
        <v>10534</v>
      </c>
      <c r="C822" s="5" t="s">
        <v>18419</v>
      </c>
      <c r="D822" s="5" t="str">
        <v>402508876709</v>
      </c>
      <c r="E822" s="0" t="e">
        <f>+7 (495) 2213286
+7 (495) 7339583
+7 (495) 7339584
+7 (495) 7339585
+7 (495) 7339582</f>
        <v>#NAME?</v>
      </c>
      <c r="F822" s="5" t="s">
        <v>27845</v>
      </c>
      <c r="G822" s="5" t="s">
        <v>27846</v>
      </c>
      <c r="H822" s="26">
        <v>15</v>
      </c>
      <c r="I822" s="5" t="s">
        <v>27847</v>
      </c>
      <c r="J822" s="5" t="s">
        <v>26198</v>
      </c>
      <c r="K822" s="5" t="s">
        <v>344</v>
      </c>
      <c r="L822" s="5" t="s">
        <v>27848</v>
      </c>
      <c r="M822" s="27"/>
      <c r="N822" s="5"/>
      <c r="O822" s="5" t="str">
        <v>7717615508</v>
      </c>
      <c r="P822" s="27">
        <v>3506000</v>
      </c>
      <c r="Q822" s="5" t="s">
        <v>49009</v>
      </c>
      <c r="R822" s="5"/>
      <c r="S822" s="5" t="s">
        <v>49010</v>
      </c>
      <c r="T822" s="28">
        <v>64066000</v>
      </c>
      <c r="U822" s="28"/>
      <c r="V822" s="28">
        <v>1052777000</v>
      </c>
      <c r="W822" s="28"/>
      <c r="X822" s="28">
        <v>468568000</v>
      </c>
      <c r="Y822" s="28">
        <v>2654518000</v>
      </c>
      <c r="Z822" s="28">
        <v>1268539000</v>
      </c>
      <c r="AA822" s="28"/>
      <c r="AB822" s="28"/>
      <c r="AC822" s="28">
        <v>1322892000</v>
      </c>
      <c r="AD822" s="28">
        <v>1275862000</v>
      </c>
      <c r="AE822" s="28">
        <v>8505145000</v>
      </c>
      <c r="AF822" s="28">
        <v>951610000</v>
      </c>
      <c r="AG822" s="11"/>
    </row>
    <row r="823">
      <c r="A823" s="7" t="s">
        <v>2554</v>
      </c>
      <c r="B823" s="5" t="s">
        <v>10535</v>
      </c>
      <c r="C823" s="5" t="s">
        <v>18420</v>
      </c>
      <c r="D823" s="5" t="str">
        <v>781124558551</v>
      </c>
      <c r="E823" s="0" t="e">
        <f>+7 (812) 7021780
+7 (812) 3252593
+7 (812) 7021781
+7 (812) 7021783</f>
        <v>#NAME?</v>
      </c>
      <c r="F823" s="5" t="s">
        <v>27849</v>
      </c>
      <c r="G823" s="5" t="s">
        <v>27850</v>
      </c>
      <c r="H823" s="26">
        <v>26</v>
      </c>
      <c r="I823" s="5"/>
      <c r="J823" s="5" t="s">
        <v>821</v>
      </c>
      <c r="K823" s="5" t="s">
        <v>344</v>
      </c>
      <c r="L823" s="5" t="s">
        <v>27851</v>
      </c>
      <c r="M823" s="27"/>
      <c r="N823" s="5" t="s">
        <v>50433</v>
      </c>
      <c r="O823" s="5" t="str">
        <v>7825367884</v>
      </c>
      <c r="P823" s="27">
        <v>504000</v>
      </c>
      <c r="Q823" s="5" t="s">
        <v>50434</v>
      </c>
      <c r="R823" s="5"/>
      <c r="S823" s="5" t="s">
        <v>49085</v>
      </c>
      <c r="T823" s="28">
        <v>460032000</v>
      </c>
      <c r="U823" s="28">
        <v>285614000</v>
      </c>
      <c r="V823" s="28">
        <v>795772000</v>
      </c>
      <c r="W823" s="28">
        <v>1351033000</v>
      </c>
      <c r="X823" s="28">
        <v>19028000</v>
      </c>
      <c r="Y823" s="28">
        <v>3746156000</v>
      </c>
      <c r="Z823" s="28">
        <v>845608000</v>
      </c>
      <c r="AA823" s="28"/>
      <c r="AB823" s="28">
        <v>10681000</v>
      </c>
      <c r="AC823" s="28">
        <v>1472722000</v>
      </c>
      <c r="AD823" s="28">
        <v>2170503000</v>
      </c>
      <c r="AE823" s="28">
        <v>5722721000</v>
      </c>
      <c r="AF823" s="28">
        <v>551357000</v>
      </c>
      <c r="AG823" s="11"/>
    </row>
    <row r="824">
      <c r="A824" s="7" t="s">
        <v>2555</v>
      </c>
      <c r="B824" s="5" t="s">
        <v>10536</v>
      </c>
      <c r="C824" s="5" t="s">
        <v>18421</v>
      </c>
      <c r="D824" s="5" t="str">
        <v>682803650367</v>
      </c>
      <c r="E824" s="0" t="e">
        <f>+7 (475) 2489041
+7 (475) 2630602
+7 (475) 2630732
+7 (475) 2630733
+7 (910) 6505264
+7 (910) 7577437
+7 (915) 8600132
+7 (915) 8603670
+7 (915) 8670683
+7 (915) 8721554
+7 (915) 8747474
+7 (915) 8795577
+7 (915) 8886222
+7 (953) 7139001</f>
        <v>#NAME?</v>
      </c>
      <c r="F824" s="5" t="s">
        <v>27852</v>
      </c>
      <c r="G824" s="5" t="s">
        <v>27853</v>
      </c>
      <c r="H824" s="26">
        <v>15</v>
      </c>
      <c r="I824" s="5" t="s">
        <v>27854</v>
      </c>
      <c r="J824" s="5" t="s">
        <v>27855</v>
      </c>
      <c r="K824" s="5" t="s">
        <v>344</v>
      </c>
      <c r="L824" s="5" t="s">
        <v>27856</v>
      </c>
      <c r="M824" s="27"/>
      <c r="N824" s="5"/>
      <c r="O824" s="5" t="str">
        <v>6828006179</v>
      </c>
      <c r="P824" s="27">
        <v>5000000</v>
      </c>
      <c r="Q824" s="5" t="s">
        <v>49059</v>
      </c>
      <c r="R824" s="5"/>
      <c r="S824" s="5" t="s">
        <v>49425</v>
      </c>
      <c r="T824" s="28">
        <v>118147000</v>
      </c>
      <c r="U824" s="28"/>
      <c r="V824" s="28">
        <v>34270000</v>
      </c>
      <c r="W824" s="28"/>
      <c r="X824" s="28">
        <v>28875000</v>
      </c>
      <c r="Y824" s="28">
        <v>920365000</v>
      </c>
      <c r="Z824" s="28">
        <v>124580000</v>
      </c>
      <c r="AA824" s="28">
        <v>360000000</v>
      </c>
      <c r="AB824" s="28">
        <v>63407000</v>
      </c>
      <c r="AC824" s="28">
        <v>368941000</v>
      </c>
      <c r="AD824" s="28">
        <v>139580000</v>
      </c>
      <c r="AE824" s="28">
        <v>3548591000</v>
      </c>
      <c r="AF824" s="28">
        <v>14270000</v>
      </c>
      <c r="AG824" s="11"/>
    </row>
    <row r="825">
      <c r="A825" s="7" t="s">
        <v>2556</v>
      </c>
      <c r="B825" s="5" t="s">
        <v>10537</v>
      </c>
      <c r="C825" s="5" t="s">
        <v>18422</v>
      </c>
      <c r="D825" s="5" t="str">
        <v>770365038871</v>
      </c>
      <c r="E825" s="0" t="e">
        <f>+7 (495) 9801067
+7 (495) 9801068
+7 (916) 5469330</f>
        <v>#NAME?</v>
      </c>
      <c r="F825" s="5" t="s">
        <v>27857</v>
      </c>
      <c r="G825" s="5" t="s">
        <v>27858</v>
      </c>
      <c r="H825" s="26">
        <v>15.5</v>
      </c>
      <c r="I825" s="5" t="s">
        <v>27859</v>
      </c>
      <c r="J825" s="5" t="s">
        <v>25429</v>
      </c>
      <c r="K825" s="5" t="s">
        <v>344</v>
      </c>
      <c r="L825" s="5" t="s">
        <v>27860</v>
      </c>
      <c r="M825" s="27"/>
      <c r="N825" s="5"/>
      <c r="O825" s="5" t="str">
        <v>7715661354</v>
      </c>
      <c r="P825" s="27">
        <v>3500000</v>
      </c>
      <c r="Q825" s="5" t="s">
        <v>49009</v>
      </c>
      <c r="R825" s="5"/>
      <c r="S825" s="5" t="s">
        <v>49010</v>
      </c>
      <c r="T825" s="28">
        <v>158936000</v>
      </c>
      <c r="U825" s="28">
        <v>30000</v>
      </c>
      <c r="V825" s="28">
        <v>2599336000</v>
      </c>
      <c r="W825" s="28"/>
      <c r="X825" s="28">
        <v>236630000</v>
      </c>
      <c r="Y825" s="28">
        <v>4142643000</v>
      </c>
      <c r="Z825" s="28">
        <v>1229950000</v>
      </c>
      <c r="AA825" s="28"/>
      <c r="AB825" s="28"/>
      <c r="AC825" s="28">
        <v>2792684000</v>
      </c>
      <c r="AD825" s="28">
        <v>1233975000</v>
      </c>
      <c r="AE825" s="28">
        <v>5053981000</v>
      </c>
      <c r="AF825" s="28">
        <v>537552000</v>
      </c>
      <c r="AG825" s="11"/>
    </row>
    <row r="826">
      <c r="A826" s="7" t="s">
        <v>2557</v>
      </c>
      <c r="B826" s="5" t="s">
        <v>10538</v>
      </c>
      <c r="C826" s="5" t="s">
        <v>18423</v>
      </c>
      <c r="D826" s="5" t="str">
        <v>774336047477</v>
      </c>
      <c r="E826" s="0" t="e">
        <f>+7 (915) 134513
+7 (495) 6096044
+7 (495) 7258062</f>
        <v>#NAME?</v>
      </c>
      <c r="F826" s="5" t="s">
        <v>27861</v>
      </c>
      <c r="G826" s="5"/>
      <c r="H826" s="26">
        <v>18</v>
      </c>
      <c r="I826" s="5" t="s">
        <v>27862</v>
      </c>
      <c r="J826" s="5" t="s">
        <v>991</v>
      </c>
      <c r="K826" s="5" t="s">
        <v>344</v>
      </c>
      <c r="L826" s="5"/>
      <c r="M826" s="27"/>
      <c r="N826" s="5" t="s">
        <v>50435</v>
      </c>
      <c r="O826" s="5" t="str">
        <v>7743553262</v>
      </c>
      <c r="P826" s="27">
        <v>10000</v>
      </c>
      <c r="Q826" s="5" t="s">
        <v>50436</v>
      </c>
      <c r="R826" s="5"/>
      <c r="S826" s="5" t="s">
        <v>49399</v>
      </c>
      <c r="T826" s="28">
        <v>22791000</v>
      </c>
      <c r="U826" s="28"/>
      <c r="V826" s="28">
        <v>1606180000</v>
      </c>
      <c r="W826" s="28"/>
      <c r="X826" s="28">
        <v>9716000</v>
      </c>
      <c r="Y826" s="28">
        <v>2032292000</v>
      </c>
      <c r="Z826" s="28">
        <v>364372000</v>
      </c>
      <c r="AA826" s="28">
        <v>724396000</v>
      </c>
      <c r="AB826" s="28"/>
      <c r="AC826" s="28">
        <v>933727000</v>
      </c>
      <c r="AD826" s="28">
        <v>364382000</v>
      </c>
      <c r="AE826" s="28">
        <v>3119114000</v>
      </c>
      <c r="AF826" s="28">
        <v>28972000</v>
      </c>
      <c r="AG826" s="11"/>
    </row>
    <row r="827">
      <c r="A827" s="7" t="s">
        <v>2558</v>
      </c>
      <c r="B827" s="5" t="s">
        <v>10539</v>
      </c>
      <c r="C827" s="5" t="s">
        <v>18424</v>
      </c>
      <c r="D827" s="5" t="str">
        <v>781718114888</v>
      </c>
      <c r="E827" s="0" t="e">
        <f>+7 (474) 2519362
+7 (474) 2519363
+7 (474) 2519365
+7 (474) 2240094
+7 (474) 2519360
+7 (474) 2771283</f>
        <v>#NAME?</v>
      </c>
      <c r="F827" s="5" t="s">
        <v>27863</v>
      </c>
      <c r="G827" s="5" t="s">
        <v>27864</v>
      </c>
      <c r="H827" s="26">
        <v>15</v>
      </c>
      <c r="I827" s="5" t="s">
        <v>27865</v>
      </c>
      <c r="J827" s="5" t="s">
        <v>27866</v>
      </c>
      <c r="K827" s="5" t="s">
        <v>344</v>
      </c>
      <c r="L827" s="5" t="s">
        <v>27867</v>
      </c>
      <c r="M827" s="27"/>
      <c r="N827" s="5"/>
      <c r="O827" s="5" t="str">
        <v>4802011068</v>
      </c>
      <c r="P827" s="27">
        <v>2590010000</v>
      </c>
      <c r="Q827" s="5"/>
      <c r="R827" s="5"/>
      <c r="S827" s="5" t="s">
        <v>49110</v>
      </c>
      <c r="T827" s="28">
        <v>4237945000</v>
      </c>
      <c r="U827" s="28"/>
      <c r="V827" s="28">
        <v>458365000</v>
      </c>
      <c r="W827" s="28"/>
      <c r="X827" s="28">
        <v>500322000</v>
      </c>
      <c r="Y827" s="28">
        <v>6441525000</v>
      </c>
      <c r="Z827" s="28">
        <v>-133416000</v>
      </c>
      <c r="AA827" s="28">
        <v>151311000</v>
      </c>
      <c r="AB827" s="28">
        <v>2576575000</v>
      </c>
      <c r="AC827" s="28">
        <v>3712797000</v>
      </c>
      <c r="AD827" s="28">
        <v>2456594000</v>
      </c>
      <c r="AE827" s="28">
        <v>5285183000</v>
      </c>
      <c r="AF827" s="28">
        <v>181139000</v>
      </c>
      <c r="AG827" s="11"/>
    </row>
    <row r="828">
      <c r="A828" s="7" t="s">
        <v>2559</v>
      </c>
      <c r="B828" s="5" t="s">
        <v>10540</v>
      </c>
      <c r="C828" s="5" t="s">
        <v>18425</v>
      </c>
      <c r="D828" s="5" t="str">
        <v>772805864314</v>
      </c>
      <c r="E828" s="0" t="e">
        <f>+7 (495) 1362881
+7 (495) 6510597
+7 (495) 7859787
+7 (903) 7901420
+7 (903) 7970559
+7 (903) 9561299
+7 (963) 6745409
+7 (968) 7830585
+7 (969) 132890</f>
        <v>#NAME?</v>
      </c>
      <c r="F828" s="5" t="s">
        <v>27868</v>
      </c>
      <c r="G828" s="5" t="s">
        <v>27869</v>
      </c>
      <c r="H828" s="26">
        <v>21</v>
      </c>
      <c r="I828" s="5" t="s">
        <v>27870</v>
      </c>
      <c r="J828" s="5" t="s">
        <v>678</v>
      </c>
      <c r="K828" s="5" t="s">
        <v>344</v>
      </c>
      <c r="L828" s="5" t="s">
        <v>27871</v>
      </c>
      <c r="M828" s="27"/>
      <c r="N828" s="5"/>
      <c r="O828" s="5" t="str">
        <v>0411101855</v>
      </c>
      <c r="P828" s="27">
        <v>10000</v>
      </c>
      <c r="Q828" s="5" t="s">
        <v>50437</v>
      </c>
      <c r="R828" s="5"/>
      <c r="S828" s="5" t="s">
        <v>50438</v>
      </c>
      <c r="T828" s="28"/>
      <c r="U828" s="28"/>
      <c r="V828" s="28">
        <v>420530000</v>
      </c>
      <c r="W828" s="28"/>
      <c r="X828" s="28">
        <v>6964000</v>
      </c>
      <c r="Y828" s="28">
        <v>446039000</v>
      </c>
      <c r="Z828" s="28">
        <v>200204000</v>
      </c>
      <c r="AA828" s="28"/>
      <c r="AB828" s="28">
        <v>38713000</v>
      </c>
      <c r="AC828" s="28">
        <v>245825000</v>
      </c>
      <c r="AD828" s="28">
        <v>200214000</v>
      </c>
      <c r="AE828" s="28">
        <v>4774760000</v>
      </c>
      <c r="AF828" s="28">
        <v>69443000</v>
      </c>
      <c r="AG828" s="11"/>
    </row>
    <row r="829">
      <c r="A829" s="7" t="s">
        <v>2560</v>
      </c>
      <c r="B829" s="5" t="s">
        <v>10541</v>
      </c>
      <c r="C829" s="5" t="s">
        <v>18426</v>
      </c>
      <c r="D829" s="5" t="str">
        <v>165907498941</v>
      </c>
      <c r="E829" s="0" t="e">
        <f>+7 (495) 9371603
+7 (495) 2286700</f>
        <v>#NAME?</v>
      </c>
      <c r="F829" s="5" t="s">
        <v>27872</v>
      </c>
      <c r="G829" s="5"/>
      <c r="H829" s="26">
        <v>14</v>
      </c>
      <c r="I829" s="5" t="s">
        <v>27873</v>
      </c>
      <c r="J829" s="5" t="s">
        <v>26767</v>
      </c>
      <c r="K829" s="5" t="s">
        <v>344</v>
      </c>
      <c r="L829" s="5" t="s">
        <v>27874</v>
      </c>
      <c r="M829" s="27"/>
      <c r="N829" s="5" t="s">
        <v>50439</v>
      </c>
      <c r="O829" s="5" t="str">
        <v>7710745138</v>
      </c>
      <c r="P829" s="27">
        <v>80000000</v>
      </c>
      <c r="Q829" s="5" t="s">
        <v>49009</v>
      </c>
      <c r="R829" s="5"/>
      <c r="S829" s="5" t="s">
        <v>49045</v>
      </c>
      <c r="T829" s="28">
        <v>349447000</v>
      </c>
      <c r="U829" s="28"/>
      <c r="V829" s="28">
        <v>823608000</v>
      </c>
      <c r="W829" s="28"/>
      <c r="X829" s="28">
        <v>1044111000</v>
      </c>
      <c r="Y829" s="28">
        <v>4159389000</v>
      </c>
      <c r="Z829" s="28">
        <v>3798121000</v>
      </c>
      <c r="AA829" s="28"/>
      <c r="AB829" s="28">
        <v>102000</v>
      </c>
      <c r="AC829" s="28">
        <v>228584000</v>
      </c>
      <c r="AD829" s="28">
        <v>3878121000</v>
      </c>
      <c r="AE829" s="28">
        <v>5363432000</v>
      </c>
      <c r="AF829" s="28">
        <v>536042000</v>
      </c>
      <c r="AG829" s="11"/>
    </row>
    <row r="830">
      <c r="A830" s="7" t="s">
        <v>2561</v>
      </c>
      <c r="B830" s="5" t="s">
        <v>10542</v>
      </c>
      <c r="C830" s="5" t="s">
        <v>18427</v>
      </c>
      <c r="D830" s="5" t="str">
        <v>331603959220</v>
      </c>
      <c r="E830" s="0" t="e">
        <f>+7 (49237) 26090
+7 (492) 2721717
+7 (492) 2773114
+7 (49237) 26080
+7 (49243) 26080
+7 (495) 2122127
+7 (495) 2122129
+7 (905) 1479858
+7 (910) 6752848</f>
        <v>#NAME?</v>
      </c>
      <c r="F830" s="5" t="s">
        <v>27875</v>
      </c>
      <c r="G830" s="5" t="s">
        <v>27876</v>
      </c>
      <c r="H830" s="26">
        <v>20.5</v>
      </c>
      <c r="I830" s="5" t="s">
        <v>27877</v>
      </c>
      <c r="J830" s="5" t="s">
        <v>26243</v>
      </c>
      <c r="K830" s="5" t="s">
        <v>344</v>
      </c>
      <c r="L830" s="5" t="s">
        <v>27878</v>
      </c>
      <c r="M830" s="27"/>
      <c r="N830" s="5"/>
      <c r="O830" s="5" t="str">
        <v>7804157910</v>
      </c>
      <c r="P830" s="27">
        <v>4281183119</v>
      </c>
      <c r="Q830" s="5" t="s">
        <v>50440</v>
      </c>
      <c r="R830" s="5"/>
      <c r="S830" s="5" t="s">
        <v>50441</v>
      </c>
      <c r="T830" s="28">
        <v>1417040000</v>
      </c>
      <c r="U830" s="28"/>
      <c r="V830" s="28">
        <v>3723290000</v>
      </c>
      <c r="W830" s="28"/>
      <c r="X830" s="28">
        <v>3223849000</v>
      </c>
      <c r="Y830" s="28">
        <v>12269963000</v>
      </c>
      <c r="Z830" s="28">
        <v>4702405000</v>
      </c>
      <c r="AA830" s="28"/>
      <c r="AB830" s="28">
        <v>9946000</v>
      </c>
      <c r="AC830" s="28">
        <v>3284037000</v>
      </c>
      <c r="AD830" s="28">
        <v>8985926000</v>
      </c>
      <c r="AE830" s="28">
        <v>30201212000</v>
      </c>
      <c r="AF830" s="28">
        <v>4071389000</v>
      </c>
      <c r="AG830" s="11"/>
    </row>
    <row r="831">
      <c r="A831" s="7" t="s">
        <v>2562</v>
      </c>
      <c r="B831" s="5" t="s">
        <v>10543</v>
      </c>
      <c r="C831" s="5" t="s">
        <v>18428</v>
      </c>
      <c r="D831" s="5" t="str">
        <v>580800090590</v>
      </c>
      <c r="E831" s="0" t="e">
        <f>+7 (8412) 329767
+7 (84141) 26318
+7 (84141) 26465
+7 (937) 4155613</f>
        <v>#NAME?</v>
      </c>
      <c r="F831" s="5"/>
      <c r="G831" s="5"/>
      <c r="H831" s="26">
        <v>6.5</v>
      </c>
      <c r="I831" s="5" t="s">
        <v>27879</v>
      </c>
      <c r="J831" s="5" t="s">
        <v>25994</v>
      </c>
      <c r="K831" s="5" t="s">
        <v>344</v>
      </c>
      <c r="L831" s="5" t="s">
        <v>27880</v>
      </c>
      <c r="M831" s="27"/>
      <c r="N831" s="5"/>
      <c r="O831" s="5" t="str">
        <v>5808005802</v>
      </c>
      <c r="P831" s="27">
        <v>100000</v>
      </c>
      <c r="Q831" s="5" t="s">
        <v>49009</v>
      </c>
      <c r="R831" s="5"/>
      <c r="S831" s="5" t="s">
        <v>49066</v>
      </c>
      <c r="T831" s="28">
        <v>1347730000</v>
      </c>
      <c r="U831" s="28">
        <v>14375000</v>
      </c>
      <c r="V831" s="28">
        <v>4136137000</v>
      </c>
      <c r="W831" s="28"/>
      <c r="X831" s="28">
        <v>4184000</v>
      </c>
      <c r="Y831" s="28">
        <v>8096460000</v>
      </c>
      <c r="Z831" s="28">
        <v>2207777000</v>
      </c>
      <c r="AA831" s="28">
        <v>179798000</v>
      </c>
      <c r="AB831" s="28">
        <v>613000</v>
      </c>
      <c r="AC831" s="28">
        <v>172675000</v>
      </c>
      <c r="AD831" s="28">
        <v>2207877000</v>
      </c>
      <c r="AE831" s="28">
        <v>5581179000</v>
      </c>
      <c r="AF831" s="28">
        <v>1281302000</v>
      </c>
      <c r="AG831" s="11"/>
    </row>
    <row r="832">
      <c r="A832" s="7" t="s">
        <v>2563</v>
      </c>
      <c r="B832" s="5" t="s">
        <v>10544</v>
      </c>
      <c r="C832" s="5" t="s">
        <v>18429</v>
      </c>
      <c r="D832" s="5" t="str">
        <v>312329942331</v>
      </c>
      <c r="E832" s="0" t="e">
        <f>+7 (47248) 54512
+7 (472) 2252888
+7 (47248) 33007
+7 (47248) 54212
+7 (47248) 54213
+7 (980) 5226282</f>
        <v>#NAME?</v>
      </c>
      <c r="F832" s="5" t="s">
        <v>27881</v>
      </c>
      <c r="G832" s="5" t="s">
        <v>27882</v>
      </c>
      <c r="H832" s="26">
        <v>6.5</v>
      </c>
      <c r="I832" s="5" t="s">
        <v>27883</v>
      </c>
      <c r="J832" s="5" t="s">
        <v>26125</v>
      </c>
      <c r="K832" s="5" t="s">
        <v>344</v>
      </c>
      <c r="L832" s="5" t="s">
        <v>27884</v>
      </c>
      <c r="M832" s="27"/>
      <c r="N832" s="5" t="s">
        <v>50442</v>
      </c>
      <c r="O832" s="5" t="str">
        <v>3120101856</v>
      </c>
      <c r="P832" s="27">
        <v>100000</v>
      </c>
      <c r="Q832" s="5" t="s">
        <v>50443</v>
      </c>
      <c r="R832" s="5"/>
      <c r="S832" s="5" t="s">
        <v>49879</v>
      </c>
      <c r="T832" s="28">
        <v>62810000</v>
      </c>
      <c r="U832" s="28"/>
      <c r="V832" s="28">
        <v>127603000</v>
      </c>
      <c r="W832" s="28">
        <v>19500000</v>
      </c>
      <c r="X832" s="28">
        <v>16064000</v>
      </c>
      <c r="Y832" s="28">
        <v>298477000</v>
      </c>
      <c r="Z832" s="28">
        <v>52073000</v>
      </c>
      <c r="AA832" s="28">
        <v>20410000</v>
      </c>
      <c r="AB832" s="28">
        <v>5565000</v>
      </c>
      <c r="AC832" s="28">
        <v>223814000</v>
      </c>
      <c r="AD832" s="28">
        <v>52173000</v>
      </c>
      <c r="AE832" s="28">
        <v>7877966000</v>
      </c>
      <c r="AF832" s="28">
        <v>45934000</v>
      </c>
      <c r="AG832" s="11"/>
    </row>
    <row r="833">
      <c r="A833" s="7" t="s">
        <v>2564</v>
      </c>
      <c r="B833" s="5" t="s">
        <v>10545</v>
      </c>
      <c r="C833" s="5" t="s">
        <v>18349</v>
      </c>
      <c r="D833" s="5"/>
      <c r="E833" s="0" t="e">
        <f>+7 (42135) 31140
+7 (421) 3521546
+7 (42135) 31144
+7 (495) 4249521</f>
        <v>#NAME?</v>
      </c>
      <c r="F833" s="5"/>
      <c r="G833" s="5" t="s">
        <v>27885</v>
      </c>
      <c r="H833" s="26">
        <v>13</v>
      </c>
      <c r="I833" s="5" t="s">
        <v>27886</v>
      </c>
      <c r="J833" s="5" t="s">
        <v>26499</v>
      </c>
      <c r="K833" s="5" t="s">
        <v>355</v>
      </c>
      <c r="L833" s="5" t="s">
        <v>27887</v>
      </c>
      <c r="M833" s="27">
        <v>9216853</v>
      </c>
      <c r="N833" s="5"/>
      <c r="O833" s="5" t="str">
        <v>2705093470</v>
      </c>
      <c r="P833" s="27">
        <v>10000</v>
      </c>
      <c r="Q833" s="5" t="s">
        <v>49009</v>
      </c>
      <c r="R833" s="5"/>
      <c r="S833" s="5" t="s">
        <v>49093</v>
      </c>
      <c r="T833" s="28">
        <v>4612614000</v>
      </c>
      <c r="U833" s="28"/>
      <c r="V833" s="28">
        <v>420649000</v>
      </c>
      <c r="W833" s="28"/>
      <c r="X833" s="28">
        <v>160719000</v>
      </c>
      <c r="Y833" s="28">
        <v>10405512000</v>
      </c>
      <c r="Z833" s="28">
        <v>2737224000</v>
      </c>
      <c r="AA833" s="28">
        <v>1980100000</v>
      </c>
      <c r="AB833" s="28"/>
      <c r="AC833" s="28">
        <v>2104641000</v>
      </c>
      <c r="AD833" s="28">
        <v>4543883000</v>
      </c>
      <c r="AE833" s="28">
        <v>5407169000</v>
      </c>
      <c r="AF833" s="28">
        <v>1049325000</v>
      </c>
      <c r="AG833" s="11"/>
    </row>
    <row r="834">
      <c r="A834" s="7" t="s">
        <v>2565</v>
      </c>
      <c r="B834" s="5" t="s">
        <v>10546</v>
      </c>
      <c r="C834" s="5" t="s">
        <v>18430</v>
      </c>
      <c r="D834" s="5" t="str">
        <v>164604905138</v>
      </c>
      <c r="E834" s="0" t="e">
        <f>+7 (495) 9211747
+7 (495) 7284098
+7 (495) 9211748
+7 (495) 9211749
+7 (495) 9959000
+7 (85557) 52199</f>
        <v>#NAME?</v>
      </c>
      <c r="F834" s="5" t="s">
        <v>27888</v>
      </c>
      <c r="G834" s="5" t="s">
        <v>27889</v>
      </c>
      <c r="H834" s="26">
        <v>21</v>
      </c>
      <c r="I834" s="5"/>
      <c r="J834" s="5" t="s">
        <v>27890</v>
      </c>
      <c r="K834" s="5" t="s">
        <v>344</v>
      </c>
      <c r="L834" s="5" t="s">
        <v>27891</v>
      </c>
      <c r="M834" s="27"/>
      <c r="N834" s="5"/>
      <c r="O834" s="5" t="str">
        <v>5027085843</v>
      </c>
      <c r="P834" s="27">
        <v>1110000</v>
      </c>
      <c r="Q834" s="5" t="s">
        <v>49009</v>
      </c>
      <c r="R834" s="5"/>
      <c r="S834" s="5" t="s">
        <v>49408</v>
      </c>
      <c r="T834" s="28">
        <v>640449000</v>
      </c>
      <c r="U834" s="28">
        <v>310000000</v>
      </c>
      <c r="V834" s="28">
        <v>610569000</v>
      </c>
      <c r="W834" s="28">
        <v>143000000</v>
      </c>
      <c r="X834" s="28">
        <v>111317000</v>
      </c>
      <c r="Y834" s="28">
        <v>2003521000</v>
      </c>
      <c r="Z834" s="28">
        <v>1184769000</v>
      </c>
      <c r="AA834" s="28"/>
      <c r="AB834" s="28"/>
      <c r="AC834" s="28">
        <v>523514000</v>
      </c>
      <c r="AD834" s="28">
        <v>1465936000</v>
      </c>
      <c r="AE834" s="28">
        <v>5137622000</v>
      </c>
      <c r="AF834" s="28">
        <v>652653000</v>
      </c>
      <c r="AG834" s="11"/>
    </row>
    <row r="835">
      <c r="A835" s="7" t="s">
        <v>2566</v>
      </c>
      <c r="B835" s="5" t="s">
        <v>10547</v>
      </c>
      <c r="C835" s="5" t="s">
        <v>18431</v>
      </c>
      <c r="D835" s="5" t="str">
        <v>644911379706</v>
      </c>
      <c r="E835" s="0" t="e">
        <f>+7 (845) 3758038
+7 (84536) 31288
+7 (917) 2102834</f>
        <v>#NAME?</v>
      </c>
      <c r="F835" s="5" t="s">
        <v>27892</v>
      </c>
      <c r="G835" s="5"/>
      <c r="H835" s="26">
        <v>18</v>
      </c>
      <c r="I835" s="5" t="s">
        <v>27893</v>
      </c>
      <c r="J835" s="5" t="s">
        <v>27497</v>
      </c>
      <c r="K835" s="5" t="s">
        <v>344</v>
      </c>
      <c r="L835" s="5" t="s">
        <v>27894</v>
      </c>
      <c r="M835" s="27"/>
      <c r="N835" s="5" t="s">
        <v>50444</v>
      </c>
      <c r="O835" s="5" t="str">
        <v>6452908328</v>
      </c>
      <c r="P835" s="27">
        <v>1000000</v>
      </c>
      <c r="Q835" s="5" t="s">
        <v>50445</v>
      </c>
      <c r="R835" s="5" t="s">
        <v>50446</v>
      </c>
      <c r="S835" s="5" t="s">
        <v>50096</v>
      </c>
      <c r="T835" s="28">
        <v>87915000</v>
      </c>
      <c r="U835" s="28">
        <v>4000</v>
      </c>
      <c r="V835" s="28">
        <v>813655000</v>
      </c>
      <c r="W835" s="28">
        <v>116444000</v>
      </c>
      <c r="X835" s="28">
        <v>19400000</v>
      </c>
      <c r="Y835" s="28">
        <v>1143334000</v>
      </c>
      <c r="Z835" s="28">
        <v>142879000</v>
      </c>
      <c r="AA835" s="28"/>
      <c r="AB835" s="28">
        <v>326334000</v>
      </c>
      <c r="AC835" s="28">
        <v>999359000</v>
      </c>
      <c r="AD835" s="28">
        <v>143879000</v>
      </c>
      <c r="AE835" s="28">
        <v>6153841000</v>
      </c>
      <c r="AF835" s="28">
        <v>15677000</v>
      </c>
      <c r="AG835" s="11"/>
    </row>
    <row r="836">
      <c r="A836" s="7" t="s">
        <v>2567</v>
      </c>
      <c r="B836" s="5" t="s">
        <v>10548</v>
      </c>
      <c r="C836" s="5" t="s">
        <v>18432</v>
      </c>
      <c r="D836" s="5" t="str">
        <v>772787216124</v>
      </c>
      <c r="E836" s="0" t="e">
        <f>+7 (472) 2222364
+7 (472) 2223569
+7 (472) 2227667
+7 (472) 2227671
+7 (472) 2367671</f>
        <v>#NAME?</v>
      </c>
      <c r="F836" s="5" t="s">
        <v>27895</v>
      </c>
      <c r="G836" s="5" t="s">
        <v>27896</v>
      </c>
      <c r="H836" s="26">
        <v>18</v>
      </c>
      <c r="I836" s="5" t="s">
        <v>27897</v>
      </c>
      <c r="J836" s="5" t="s">
        <v>467</v>
      </c>
      <c r="K836" s="5" t="s">
        <v>344</v>
      </c>
      <c r="L836" s="5" t="s">
        <v>27898</v>
      </c>
      <c r="M836" s="27">
        <v>3516464</v>
      </c>
      <c r="N836" s="5" t="s">
        <v>50447</v>
      </c>
      <c r="O836" s="5" t="str">
        <v>3123119570</v>
      </c>
      <c r="P836" s="27">
        <v>40000</v>
      </c>
      <c r="Q836" s="5" t="s">
        <v>50449</v>
      </c>
      <c r="R836" s="5" t="s">
        <v>50450</v>
      </c>
      <c r="S836" s="5" t="s">
        <v>50451</v>
      </c>
      <c r="T836" s="28">
        <v>335746000</v>
      </c>
      <c r="U836" s="28"/>
      <c r="V836" s="28">
        <v>970414000</v>
      </c>
      <c r="W836" s="28">
        <v>251011000</v>
      </c>
      <c r="X836" s="28">
        <v>8987000</v>
      </c>
      <c r="Y836" s="28">
        <v>2176842000</v>
      </c>
      <c r="Z836" s="28">
        <v>731959000</v>
      </c>
      <c r="AA836" s="28">
        <v>595333000</v>
      </c>
      <c r="AB836" s="28">
        <v>123000000</v>
      </c>
      <c r="AC836" s="28">
        <v>544470000</v>
      </c>
      <c r="AD836" s="28">
        <v>1013187000</v>
      </c>
      <c r="AE836" s="28">
        <v>4245922000</v>
      </c>
      <c r="AF836" s="28">
        <v>182159000</v>
      </c>
      <c r="AG836" s="11"/>
    </row>
    <row r="837">
      <c r="A837" s="7" t="s">
        <v>2568</v>
      </c>
      <c r="B837" s="5" t="s">
        <v>10549</v>
      </c>
      <c r="C837" s="5" t="s">
        <v>18433</v>
      </c>
      <c r="D837" s="5" t="str">
        <v>263100794606</v>
      </c>
      <c r="E837" s="0" t="e">
        <f>+7 (47248) 32951</f>
        <v>#NAME?</v>
      </c>
      <c r="F837" s="5" t="s">
        <v>27899</v>
      </c>
      <c r="G837" s="5"/>
      <c r="H837" s="26">
        <v>1.5</v>
      </c>
      <c r="I837" s="5" t="s">
        <v>27900</v>
      </c>
      <c r="J837" s="5" t="s">
        <v>25450</v>
      </c>
      <c r="K837" s="5" t="s">
        <v>344</v>
      </c>
      <c r="L837" s="5"/>
      <c r="M837" s="27"/>
      <c r="N837" s="5"/>
      <c r="O837" s="5" t="str">
        <v>3123481412</v>
      </c>
      <c r="P837" s="27">
        <v>20000</v>
      </c>
      <c r="Q837" s="5" t="s">
        <v>49059</v>
      </c>
      <c r="R837" s="5"/>
      <c r="S837" s="5" t="s">
        <v>49123</v>
      </c>
      <c r="T837" s="28">
        <v>472193000</v>
      </c>
      <c r="U837" s="28"/>
      <c r="V837" s="28">
        <v>3731487000</v>
      </c>
      <c r="W837" s="28"/>
      <c r="X837" s="28">
        <v>745000</v>
      </c>
      <c r="Y837" s="28">
        <v>6509480000</v>
      </c>
      <c r="Z837" s="28">
        <v>1064813000</v>
      </c>
      <c r="AA837" s="28"/>
      <c r="AB837" s="28">
        <v>2118233000</v>
      </c>
      <c r="AC837" s="28">
        <v>5421466000</v>
      </c>
      <c r="AD837" s="28">
        <v>1074053000</v>
      </c>
      <c r="AE837" s="28">
        <v>12551443000</v>
      </c>
      <c r="AF837" s="28">
        <v>773995000</v>
      </c>
      <c r="AG837" s="11"/>
    </row>
    <row r="838">
      <c r="A838" s="7" t="s">
        <v>2569</v>
      </c>
      <c r="B838" s="5" t="s">
        <v>10550</v>
      </c>
      <c r="C838" s="5" t="s">
        <v>18434</v>
      </c>
      <c r="D838" s="5" t="str">
        <v>312326498799</v>
      </c>
      <c r="E838" s="0" t="e">
        <f>+7 (472) 2221645
+7 (472) 2223004
+7 (472) 2233236
+7 (472) 2300301
+7 (472) 2300315
+7 (472) 2300324
+7 (472) 2300396
+7 (472) 2300414
+7 (472) 2300463
+7 (472) 2321460
+7 (472) 2321774
+7 (472) 2322074
+7 (472) 2323455</f>
        <v>#NAME?</v>
      </c>
      <c r="F838" s="5"/>
      <c r="G838" s="5"/>
      <c r="H838" s="26">
        <v>30.5</v>
      </c>
      <c r="I838" s="5"/>
      <c r="J838" s="5" t="s">
        <v>26407</v>
      </c>
      <c r="K838" s="5" t="s">
        <v>344</v>
      </c>
      <c r="L838" s="5"/>
      <c r="M838" s="27">
        <v>27831</v>
      </c>
      <c r="N838" s="5"/>
      <c r="O838" s="5" t="str">
        <v>3123003920</v>
      </c>
      <c r="P838" s="27">
        <v>168920</v>
      </c>
      <c r="Q838" s="5"/>
      <c r="R838" s="5"/>
      <c r="S838" s="5" t="s">
        <v>49029</v>
      </c>
      <c r="T838" s="28">
        <v>463421000</v>
      </c>
      <c r="U838" s="28">
        <v>200419000</v>
      </c>
      <c r="V838" s="28">
        <v>1327674000</v>
      </c>
      <c r="W838" s="28"/>
      <c r="X838" s="28">
        <v>1811000</v>
      </c>
      <c r="Y838" s="28">
        <v>2630327000</v>
      </c>
      <c r="Z838" s="28">
        <v>1147035000</v>
      </c>
      <c r="AA838" s="28">
        <v>1048367000</v>
      </c>
      <c r="AB838" s="28">
        <v>21680000</v>
      </c>
      <c r="AC838" s="28">
        <v>253958000</v>
      </c>
      <c r="AD838" s="28">
        <v>1298779000</v>
      </c>
      <c r="AE838" s="28">
        <v>3045535000</v>
      </c>
      <c r="AF838" s="28">
        <v>509438000</v>
      </c>
      <c r="AG838" s="11"/>
    </row>
    <row r="839">
      <c r="A839" s="7" t="s">
        <v>2570</v>
      </c>
      <c r="B839" s="5" t="s">
        <v>10551</v>
      </c>
      <c r="C839" s="5" t="s">
        <v>18435</v>
      </c>
      <c r="D839" s="5" t="str">
        <v>503805631047</v>
      </c>
      <c r="E839" s="0" t="e">
        <f>+7 (472) 2230954
+7 (472) 2230749
+7 (472) 2230786
+7 (472) 2230804
+7 (472) 2230809
+7 (472) 2230842
+7 (472) 2230848
+7 (472) 2230946
+7 (472) 2223210
+7 (472) 2223896
+7 (472) 2230849
+7 (472) 2230927
+7 (472) 2230951
+7 (472) 2230971
+7 (472) 2230975</f>
        <v>#NAME?</v>
      </c>
      <c r="F839" s="5" t="s">
        <v>27901</v>
      </c>
      <c r="G839" s="5" t="s">
        <v>27902</v>
      </c>
      <c r="H839" s="26">
        <v>18.5</v>
      </c>
      <c r="I839" s="5" t="s">
        <v>27903</v>
      </c>
      <c r="J839" s="5" t="s">
        <v>26623</v>
      </c>
      <c r="K839" s="5" t="s">
        <v>344</v>
      </c>
      <c r="L839" s="5" t="s">
        <v>27904</v>
      </c>
      <c r="M839" s="27">
        <v>93310</v>
      </c>
      <c r="N839" s="5" t="s">
        <v>50453</v>
      </c>
      <c r="O839" s="5" t="str">
        <v>3123110760</v>
      </c>
      <c r="P839" s="27">
        <v>11818280</v>
      </c>
      <c r="Q839" s="5" t="s">
        <v>50454</v>
      </c>
      <c r="R839" s="5"/>
      <c r="S839" s="5" t="s">
        <v>49361</v>
      </c>
      <c r="T839" s="28">
        <v>651938000</v>
      </c>
      <c r="U839" s="28">
        <v>4511000</v>
      </c>
      <c r="V839" s="28">
        <v>1118508000</v>
      </c>
      <c r="W839" s="28">
        <v>1226000</v>
      </c>
      <c r="X839" s="28">
        <v>2355819000</v>
      </c>
      <c r="Y839" s="28">
        <v>4171633000</v>
      </c>
      <c r="Z839" s="28">
        <v>2015613000</v>
      </c>
      <c r="AA839" s="28"/>
      <c r="AB839" s="28"/>
      <c r="AC839" s="28">
        <v>2077591000</v>
      </c>
      <c r="AD839" s="28">
        <v>2028022000</v>
      </c>
      <c r="AE839" s="28">
        <v>23109737000</v>
      </c>
      <c r="AF839" s="28">
        <v>1172517000</v>
      </c>
      <c r="AG839" s="11"/>
    </row>
    <row r="840">
      <c r="A840" s="7" t="s">
        <v>2571</v>
      </c>
      <c r="B840" s="5" t="s">
        <v>10552</v>
      </c>
      <c r="C840" s="5" t="s">
        <v>18436</v>
      </c>
      <c r="D840" s="5" t="str">
        <v>771403845944</v>
      </c>
      <c r="E840" s="0" t="e">
        <f>+7 (472) 2321620
+7 (472) 2350945
+7 (472) 2400362</f>
        <v>#NAME?</v>
      </c>
      <c r="F840" s="5"/>
      <c r="G840" s="5"/>
      <c r="H840" s="26">
        <v>15.5</v>
      </c>
      <c r="I840" s="5" t="s">
        <v>27905</v>
      </c>
      <c r="J840" s="5" t="s">
        <v>27906</v>
      </c>
      <c r="K840" s="5" t="s">
        <v>344</v>
      </c>
      <c r="L840" s="5" t="s">
        <v>27907</v>
      </c>
      <c r="M840" s="27"/>
      <c r="N840" s="5" t="s">
        <v>50455</v>
      </c>
      <c r="O840" s="5" t="str">
        <v>3123163716</v>
      </c>
      <c r="P840" s="27">
        <v>10000</v>
      </c>
      <c r="Q840" s="5" t="s">
        <v>49009</v>
      </c>
      <c r="R840" s="5" t="s">
        <v>50456</v>
      </c>
      <c r="S840" s="5" t="s">
        <v>49066</v>
      </c>
      <c r="T840" s="28">
        <v>1135179000</v>
      </c>
      <c r="U840" s="28"/>
      <c r="V840" s="28">
        <v>386312000</v>
      </c>
      <c r="W840" s="28"/>
      <c r="X840" s="28">
        <v>590270000</v>
      </c>
      <c r="Y840" s="28">
        <v>3787000000</v>
      </c>
      <c r="Z840" s="28">
        <v>852668000</v>
      </c>
      <c r="AA840" s="28"/>
      <c r="AB840" s="28"/>
      <c r="AC840" s="28">
        <v>489276000</v>
      </c>
      <c r="AD840" s="28">
        <v>3211804000</v>
      </c>
      <c r="AE840" s="28">
        <v>5035514000</v>
      </c>
      <c r="AF840" s="28">
        <v>582868000</v>
      </c>
      <c r="AG840" s="11"/>
    </row>
    <row r="841">
      <c r="A841" s="7" t="s">
        <v>2572</v>
      </c>
      <c r="B841" s="5" t="s">
        <v>10553</v>
      </c>
      <c r="C841" s="5" t="s">
        <v>18437</v>
      </c>
      <c r="D841" s="5" t="str">
        <v>463403210799</v>
      </c>
      <c r="E841" s="0" t="e">
        <f>+7 (472) 2330809
+7 (472) 2376522
+7 (472) 2376523
+7 (472) 2376900
+7 (472) 2376902
+7 (472) 2376905
+7 (47245) 35845
+7 (47245) 35848</f>
        <v>#NAME?</v>
      </c>
      <c r="F841" s="5" t="s">
        <v>27908</v>
      </c>
      <c r="G841" s="5" t="s">
        <v>27909</v>
      </c>
      <c r="H841" s="26">
        <v>25</v>
      </c>
      <c r="I841" s="5" t="s">
        <v>27910</v>
      </c>
      <c r="J841" s="5" t="s">
        <v>25450</v>
      </c>
      <c r="K841" s="5" t="s">
        <v>344</v>
      </c>
      <c r="L841" s="5" t="s">
        <v>27911</v>
      </c>
      <c r="M841" s="27">
        <v>2782622</v>
      </c>
      <c r="N841" s="5"/>
      <c r="O841" s="5" t="str">
        <v>3116003662</v>
      </c>
      <c r="P841" s="27">
        <v>1156825500</v>
      </c>
      <c r="Q841" s="5"/>
      <c r="R841" s="5" t="s">
        <v>50457</v>
      </c>
      <c r="S841" s="5" t="s">
        <v>49379</v>
      </c>
      <c r="T841" s="28">
        <v>16415206000</v>
      </c>
      <c r="U841" s="28">
        <v>7780574000</v>
      </c>
      <c r="V841" s="28">
        <v>1467777000</v>
      </c>
      <c r="W841" s="28"/>
      <c r="X841" s="28">
        <v>9376442000</v>
      </c>
      <c r="Y841" s="28">
        <v>44786171000</v>
      </c>
      <c r="Z841" s="28">
        <v>32505612000</v>
      </c>
      <c r="AA841" s="28">
        <v>1414115000</v>
      </c>
      <c r="AB841" s="28">
        <v>1097076000</v>
      </c>
      <c r="AC841" s="28">
        <v>7736377000</v>
      </c>
      <c r="AD841" s="28">
        <v>35356110000</v>
      </c>
      <c r="AE841" s="28">
        <v>34786737000</v>
      </c>
      <c r="AF841" s="28">
        <v>6885788000</v>
      </c>
      <c r="AG841" s="11"/>
    </row>
    <row r="842">
      <c r="A842" s="7" t="s">
        <v>2573</v>
      </c>
      <c r="B842" s="5" t="s">
        <v>10554</v>
      </c>
      <c r="C842" s="5" t="s">
        <v>18438</v>
      </c>
      <c r="D842" s="5" t="str">
        <v>312320870805</v>
      </c>
      <c r="E842" s="0" t="e">
        <f>+7 (472) 2425236
+7 (473) 2739230
+7 (487) 2722303
+7 (472) 2250758
+7 (472) 2250759
+7 (472) 2312273
+7 (472) 2521579
+7 (472) 2521652
+7 (472) 2739233
+7 (472) 2739237
+7 (47248) 20173
+7 (4725) 225367
+7 (4725) 338471
+7 (904) 5344693</f>
        <v>#NAME?</v>
      </c>
      <c r="F842" s="5" t="s">
        <v>27912</v>
      </c>
      <c r="G842" s="5" t="s">
        <v>27913</v>
      </c>
      <c r="H842" s="26">
        <v>18</v>
      </c>
      <c r="I842" s="5" t="s">
        <v>27914</v>
      </c>
      <c r="J842" s="5" t="s">
        <v>467</v>
      </c>
      <c r="K842" s="5" t="s">
        <v>344</v>
      </c>
      <c r="L842" s="5"/>
      <c r="M842" s="27">
        <v>1206691</v>
      </c>
      <c r="N842" s="5" t="s">
        <v>50458</v>
      </c>
      <c r="O842" s="5" t="str">
        <v>3113100241</v>
      </c>
      <c r="P842" s="27">
        <v>10000</v>
      </c>
      <c r="Q842" s="5" t="s">
        <v>50459</v>
      </c>
      <c r="R842" s="5"/>
      <c r="S842" s="5" t="s">
        <v>50460</v>
      </c>
      <c r="T842" s="28">
        <v>631532000</v>
      </c>
      <c r="U842" s="28"/>
      <c r="V842" s="28">
        <v>671348000</v>
      </c>
      <c r="W842" s="28">
        <v>40060000</v>
      </c>
      <c r="X842" s="28">
        <v>10918000</v>
      </c>
      <c r="Y842" s="28">
        <v>3080667000</v>
      </c>
      <c r="Z842" s="28">
        <v>257811000</v>
      </c>
      <c r="AA842" s="28"/>
      <c r="AB842" s="28">
        <v>1104629000</v>
      </c>
      <c r="AC842" s="28">
        <v>2466260000</v>
      </c>
      <c r="AD842" s="28">
        <v>257821000</v>
      </c>
      <c r="AE842" s="28">
        <v>7018127000</v>
      </c>
      <c r="AF842" s="28">
        <v>54281000</v>
      </c>
      <c r="AG842" s="11"/>
    </row>
    <row r="843">
      <c r="A843" s="7" t="s">
        <v>2574</v>
      </c>
      <c r="B843" s="5" t="s">
        <v>10555</v>
      </c>
      <c r="C843" s="5" t="s">
        <v>18439</v>
      </c>
      <c r="D843" s="5" t="str">
        <v>025507232152</v>
      </c>
      <c r="E843" s="0" t="e">
        <f>+7 (34716) 30887
+7 (34716) 32080
+7 (34786) 31337
+7 (34786) 32080
+7 (34786) 59029</f>
        <v>#NAME?</v>
      </c>
      <c r="F843" s="5" t="s">
        <v>27915</v>
      </c>
      <c r="G843" s="5" t="s">
        <v>27916</v>
      </c>
      <c r="H843" s="26">
        <v>29</v>
      </c>
      <c r="I843" s="5"/>
      <c r="J843" s="5" t="s">
        <v>27917</v>
      </c>
      <c r="K843" s="5" t="s">
        <v>344</v>
      </c>
      <c r="L843" s="5" t="s">
        <v>27918</v>
      </c>
      <c r="M843" s="27"/>
      <c r="N843" s="5"/>
      <c r="O843" s="5" t="str">
        <v>0255000046</v>
      </c>
      <c r="P843" s="27">
        <v>94209806</v>
      </c>
      <c r="Q843" s="5"/>
      <c r="R843" s="5"/>
      <c r="S843" s="5" t="s">
        <v>49125</v>
      </c>
      <c r="T843" s="28">
        <v>1355317000</v>
      </c>
      <c r="U843" s="28">
        <v>350000</v>
      </c>
      <c r="V843" s="28">
        <v>1056195000</v>
      </c>
      <c r="W843" s="28">
        <v>1009000</v>
      </c>
      <c r="X843" s="28">
        <v>876103000</v>
      </c>
      <c r="Y843" s="28">
        <v>5881464000</v>
      </c>
      <c r="Z843" s="28">
        <v>2363590000</v>
      </c>
      <c r="AA843" s="28">
        <v>236467000</v>
      </c>
      <c r="AB843" s="28">
        <v>935124000</v>
      </c>
      <c r="AC843" s="28">
        <v>1160694000</v>
      </c>
      <c r="AD843" s="28">
        <v>4475785000</v>
      </c>
      <c r="AE843" s="28">
        <v>7051642000</v>
      </c>
      <c r="AF843" s="28">
        <v>-164441000</v>
      </c>
      <c r="AG843" s="11"/>
    </row>
    <row r="844">
      <c r="A844" s="7" t="s">
        <v>2575</v>
      </c>
      <c r="B844" s="5" t="s">
        <v>10556</v>
      </c>
      <c r="C844" s="5" t="s">
        <v>18440</v>
      </c>
      <c r="D844" s="5" t="str">
        <v>860312364959</v>
      </c>
      <c r="E844" s="0" t="e">
        <f>+7 (3412) 606808
+7 (3412) 606810
+7 (3412) 606969
+7 (341) 2253110
+7 (3412) 485912
+7 (3412) 606866</f>
        <v>#NAME?</v>
      </c>
      <c r="F844" s="5" t="s">
        <v>27919</v>
      </c>
      <c r="G844" s="5" t="s">
        <v>27920</v>
      </c>
      <c r="H844" s="26">
        <v>26</v>
      </c>
      <c r="I844" s="5"/>
      <c r="J844" s="5" t="s">
        <v>27921</v>
      </c>
      <c r="K844" s="5" t="s">
        <v>355</v>
      </c>
      <c r="L844" s="5"/>
      <c r="M844" s="27"/>
      <c r="N844" s="5" t="s">
        <v>50174</v>
      </c>
      <c r="O844" s="5" t="str">
        <v>0264015786</v>
      </c>
      <c r="P844" s="27">
        <v>1300000</v>
      </c>
      <c r="Q844" s="5"/>
      <c r="R844" s="5"/>
      <c r="S844" s="5" t="s">
        <v>49425</v>
      </c>
      <c r="T844" s="28">
        <v>13048504000</v>
      </c>
      <c r="U844" s="28">
        <v>23681405000</v>
      </c>
      <c r="V844" s="28">
        <v>7722183000</v>
      </c>
      <c r="W844" s="28"/>
      <c r="X844" s="28">
        <v>4668000</v>
      </c>
      <c r="Y844" s="28">
        <v>64318881000</v>
      </c>
      <c r="Z844" s="28">
        <v>51130153000</v>
      </c>
      <c r="AA844" s="28"/>
      <c r="AB844" s="28"/>
      <c r="AC844" s="28">
        <v>5218245000</v>
      </c>
      <c r="AD844" s="28">
        <v>51565708000</v>
      </c>
      <c r="AE844" s="28">
        <v>17631112000</v>
      </c>
      <c r="AF844" s="28">
        <v>1851707000</v>
      </c>
      <c r="AG844" s="11"/>
    </row>
    <row r="845">
      <c r="A845" s="7" t="s">
        <v>2576</v>
      </c>
      <c r="B845" s="5" t="s">
        <v>10557</v>
      </c>
      <c r="C845" s="5" t="s">
        <v>18441</v>
      </c>
      <c r="D845" s="5" t="str">
        <v>183301589501</v>
      </c>
      <c r="E845" s="0" t="e">
        <f>+7 (3412) 911785
+7 (341) 2754603
+7 (3412) 606865
+7 (3412) 606866</f>
        <v>#NAME?</v>
      </c>
      <c r="F845" s="5" t="s">
        <v>27922</v>
      </c>
      <c r="G845" s="5"/>
      <c r="H845" s="26">
        <v>19</v>
      </c>
      <c r="I845" s="5" t="s">
        <v>27923</v>
      </c>
      <c r="J845" s="5" t="s">
        <v>26607</v>
      </c>
      <c r="K845" s="5" t="s">
        <v>355</v>
      </c>
      <c r="L845" s="5"/>
      <c r="M845" s="27"/>
      <c r="N845" s="5" t="s">
        <v>50461</v>
      </c>
      <c r="O845" s="5" t="str">
        <v>1835058718</v>
      </c>
      <c r="P845" s="27">
        <v>2530982155</v>
      </c>
      <c r="Q845" s="5"/>
      <c r="R845" s="5"/>
      <c r="S845" s="5" t="s">
        <v>49110</v>
      </c>
      <c r="T845" s="28">
        <v>8396164000</v>
      </c>
      <c r="U845" s="28">
        <v>230765176000</v>
      </c>
      <c r="V845" s="28">
        <v>36218024000</v>
      </c>
      <c r="W845" s="28">
        <v>12945362000</v>
      </c>
      <c r="X845" s="28">
        <v>884000</v>
      </c>
      <c r="Y845" s="28">
        <v>411498478000</v>
      </c>
      <c r="Z845" s="28">
        <v>70814062000</v>
      </c>
      <c r="AA845" s="28">
        <v>219900735000</v>
      </c>
      <c r="AB845" s="28">
        <v>64939727000</v>
      </c>
      <c r="AC845" s="28">
        <v>103580166000</v>
      </c>
      <c r="AD845" s="28">
        <v>73345424000</v>
      </c>
      <c r="AE845" s="28">
        <v>82371540000</v>
      </c>
      <c r="AF845" s="28">
        <v>8114956000</v>
      </c>
      <c r="AG845" s="11"/>
    </row>
    <row r="846">
      <c r="A846" s="7" t="s">
        <v>2577</v>
      </c>
      <c r="B846" s="5" t="s">
        <v>10558</v>
      </c>
      <c r="C846" s="5" t="s">
        <v>18442</v>
      </c>
      <c r="D846" s="5" t="str">
        <v>420211993930</v>
      </c>
      <c r="E846" s="0" t="e">
        <f>+7 (38452) 96006
+7 (38452) 96008</f>
        <v>#NAME?</v>
      </c>
      <c r="F846" s="5" t="s">
        <v>27924</v>
      </c>
      <c r="G846" s="5"/>
      <c r="H846" s="26">
        <v>12</v>
      </c>
      <c r="I846" s="5" t="s">
        <v>27925</v>
      </c>
      <c r="J846" s="5" t="s">
        <v>373</v>
      </c>
      <c r="K846" s="5" t="s">
        <v>344</v>
      </c>
      <c r="L846" s="5" t="s">
        <v>27926</v>
      </c>
      <c r="M846" s="27">
        <v>1165</v>
      </c>
      <c r="N846" s="5" t="s">
        <v>50462</v>
      </c>
      <c r="O846" s="5" t="str">
        <v>4205215195</v>
      </c>
      <c r="P846" s="27">
        <v>1000000</v>
      </c>
      <c r="Q846" s="5" t="s">
        <v>50463</v>
      </c>
      <c r="R846" s="5"/>
      <c r="S846" s="5" t="s">
        <v>49227</v>
      </c>
      <c r="T846" s="28">
        <v>138292000</v>
      </c>
      <c r="U846" s="28"/>
      <c r="V846" s="28">
        <v>3875376000</v>
      </c>
      <c r="W846" s="28"/>
      <c r="X846" s="28">
        <v>520630000</v>
      </c>
      <c r="Y846" s="28">
        <v>5246794000</v>
      </c>
      <c r="Z846" s="28">
        <v>2355117000</v>
      </c>
      <c r="AA846" s="28">
        <v>854000000</v>
      </c>
      <c r="AB846" s="28">
        <v>1285595000</v>
      </c>
      <c r="AC846" s="28">
        <v>1934090000</v>
      </c>
      <c r="AD846" s="28">
        <v>2356117000</v>
      </c>
      <c r="AE846" s="28">
        <v>24680103000</v>
      </c>
      <c r="AF846" s="28">
        <v>967731000</v>
      </c>
      <c r="AG846" s="11"/>
    </row>
    <row r="847">
      <c r="A847" s="7" t="s">
        <v>2578</v>
      </c>
      <c r="B847" s="5" t="s">
        <v>10559</v>
      </c>
      <c r="C847" s="5" t="s">
        <v>18443</v>
      </c>
      <c r="D847" s="5" t="str">
        <v>501106615803</v>
      </c>
      <c r="E847" s="0" t="e">
        <f>+7 (915) 3943094
+7 (495) 7265525
+7 (49640) 24399
+7 (49640) 35648</f>
        <v>#NAME?</v>
      </c>
      <c r="F847" s="5" t="s">
        <v>27927</v>
      </c>
      <c r="G847" s="5" t="s">
        <v>27928</v>
      </c>
      <c r="H847" s="26">
        <v>19</v>
      </c>
      <c r="I847" s="5" t="s">
        <v>27929</v>
      </c>
      <c r="J847" s="5" t="s">
        <v>25429</v>
      </c>
      <c r="K847" s="5" t="s">
        <v>344</v>
      </c>
      <c r="L847" s="5" t="s">
        <v>27930</v>
      </c>
      <c r="M847" s="27"/>
      <c r="N847" s="5" t="s">
        <v>50464</v>
      </c>
      <c r="O847" s="5" t="str">
        <v>7721504871</v>
      </c>
      <c r="P847" s="27">
        <v>1350600000</v>
      </c>
      <c r="Q847" s="5" t="s">
        <v>50465</v>
      </c>
      <c r="R847" s="5"/>
      <c r="S847" s="5" t="s">
        <v>49857</v>
      </c>
      <c r="T847" s="28">
        <v>820672000</v>
      </c>
      <c r="U847" s="28">
        <v>545500000</v>
      </c>
      <c r="V847" s="28">
        <v>4596792000</v>
      </c>
      <c r="W847" s="28"/>
      <c r="X847" s="28">
        <v>1214847000</v>
      </c>
      <c r="Y847" s="28">
        <v>8944610000</v>
      </c>
      <c r="Z847" s="28">
        <v>6585527000</v>
      </c>
      <c r="AA847" s="28"/>
      <c r="AB847" s="28"/>
      <c r="AC847" s="28">
        <v>1008483000</v>
      </c>
      <c r="AD847" s="28">
        <v>7936127000</v>
      </c>
      <c r="AE847" s="28">
        <v>16263562000</v>
      </c>
      <c r="AF847" s="28">
        <v>2235586000</v>
      </c>
      <c r="AG847" s="11"/>
    </row>
    <row r="848">
      <c r="A848" s="7" t="s">
        <v>2579</v>
      </c>
      <c r="B848" s="5" t="s">
        <v>10559</v>
      </c>
      <c r="C848" s="5" t="s">
        <v>18444</v>
      </c>
      <c r="D848" s="5" t="str">
        <v>501111589651</v>
      </c>
      <c r="E848" s="0" t="e">
        <f>+7 (495) 2874909
+7 (496) 4035648
+7 (49640) 41058
+7 (49640) 41059
+7 (49640) 48370
+7 (49640) 49017
+7 (49644) 48370</f>
        <v>#NAME?</v>
      </c>
      <c r="F848" s="5" t="s">
        <v>27931</v>
      </c>
      <c r="G848" s="5" t="s">
        <v>27932</v>
      </c>
      <c r="H848" s="26">
        <v>20.5</v>
      </c>
      <c r="I848" s="5" t="s">
        <v>27933</v>
      </c>
      <c r="J848" s="5" t="s">
        <v>27934</v>
      </c>
      <c r="K848" s="5" t="s">
        <v>344</v>
      </c>
      <c r="L848" s="5"/>
      <c r="M848" s="27"/>
      <c r="N848" s="5"/>
      <c r="O848" s="5" t="str">
        <v>5011021499</v>
      </c>
      <c r="P848" s="27">
        <v>3652473728</v>
      </c>
      <c r="Q848" s="5" t="s">
        <v>49009</v>
      </c>
      <c r="R848" s="5"/>
      <c r="S848" s="5" t="s">
        <v>50467</v>
      </c>
      <c r="T848" s="28">
        <v>6340024000</v>
      </c>
      <c r="U848" s="28">
        <v>20000000</v>
      </c>
      <c r="V848" s="28">
        <v>396091000</v>
      </c>
      <c r="W848" s="28"/>
      <c r="X848" s="28">
        <v>729130000</v>
      </c>
      <c r="Y848" s="28">
        <v>9305023000</v>
      </c>
      <c r="Z848" s="28">
        <v>4054404000</v>
      </c>
      <c r="AA848" s="28">
        <v>182263000</v>
      </c>
      <c r="AB848" s="28"/>
      <c r="AC848" s="28">
        <v>765094000</v>
      </c>
      <c r="AD848" s="28">
        <v>8367510000</v>
      </c>
      <c r="AE848" s="28">
        <v>10494736000</v>
      </c>
      <c r="AF848" s="28">
        <v>1396679000</v>
      </c>
      <c r="AG848" s="11"/>
    </row>
    <row r="849">
      <c r="A849" s="7" t="s">
        <v>2580</v>
      </c>
      <c r="B849" s="5" t="s">
        <v>10560</v>
      </c>
      <c r="C849" s="5" t="s">
        <v>18445</v>
      </c>
      <c r="D849" s="5" t="str">
        <v>312307721794</v>
      </c>
      <c r="E849" s="0" t="e">
        <f>+7 (472) 2211327
+7 (472) 2211337
+7 (472) 2213171
+7 (472) 2213387
+7 (472) 2213900
+7 (472) 2217413
+7 (472) 2275822
+7 (47235) 56507
+7 (47235) 57002
+7 (47235) 57003
+7 (47235) 57004
+7 (495) 4329335</f>
        <v>#NAME?</v>
      </c>
      <c r="F849" s="5" t="s">
        <v>27935</v>
      </c>
      <c r="G849" s="5"/>
      <c r="H849" s="26">
        <v>30</v>
      </c>
      <c r="I849" s="5" t="s">
        <v>27936</v>
      </c>
      <c r="J849" s="5" t="s">
        <v>25231</v>
      </c>
      <c r="K849" s="5" t="s">
        <v>344</v>
      </c>
      <c r="L849" s="5"/>
      <c r="M849" s="27">
        <v>1051001</v>
      </c>
      <c r="N849" s="5" t="s">
        <v>50468</v>
      </c>
      <c r="O849" s="5" t="str">
        <v>3125007871</v>
      </c>
      <c r="P849" s="27">
        <v>2642400</v>
      </c>
      <c r="Q849" s="5" t="s">
        <v>49009</v>
      </c>
      <c r="R849" s="5"/>
      <c r="S849" s="5" t="s">
        <v>49487</v>
      </c>
      <c r="T849" s="28">
        <v>202710000</v>
      </c>
      <c r="U849" s="28"/>
      <c r="V849" s="28">
        <v>781753000</v>
      </c>
      <c r="W849" s="28">
        <v>301000</v>
      </c>
      <c r="X849" s="28">
        <v>14186000</v>
      </c>
      <c r="Y849" s="28">
        <v>1187949000</v>
      </c>
      <c r="Z849" s="28">
        <v>206053000</v>
      </c>
      <c r="AA849" s="28"/>
      <c r="AB849" s="28"/>
      <c r="AC849" s="28">
        <v>551810000</v>
      </c>
      <c r="AD849" s="28">
        <v>636139000</v>
      </c>
      <c r="AE849" s="28">
        <v>5491477000</v>
      </c>
      <c r="AF849" s="28">
        <v>21341000</v>
      </c>
      <c r="AG849" s="11"/>
    </row>
    <row r="850">
      <c r="A850" s="7" t="s">
        <v>2581</v>
      </c>
      <c r="B850" s="5" t="s">
        <v>10561</v>
      </c>
      <c r="C850" s="5" t="s">
        <v>18446</v>
      </c>
      <c r="D850" s="5" t="str">
        <v>971509701673</v>
      </c>
      <c r="E850" s="0" t="e">
        <f>+7 (812) 3744414
+7 (812) 4482538
+7 (812) 4482539
+7 (812) 4482540
+7 (863) 2190792
+7 (863) 2190793
+7 (863) 2190794
+7 (916) 6504400
+7 (495) 3082236
+7 (495) 9566123
+7 (495) 9656123</f>
        <v>#NAME?</v>
      </c>
      <c r="F850" s="5" t="s">
        <v>27937</v>
      </c>
      <c r="G850" s="5" t="s">
        <v>27938</v>
      </c>
      <c r="H850" s="26">
        <v>21.5</v>
      </c>
      <c r="I850" s="5" t="s">
        <v>27939</v>
      </c>
      <c r="J850" s="5" t="s">
        <v>25512</v>
      </c>
      <c r="K850" s="5" t="s">
        <v>344</v>
      </c>
      <c r="L850" s="5" t="s">
        <v>27940</v>
      </c>
      <c r="M850" s="27">
        <v>2525</v>
      </c>
      <c r="N850" s="5" t="s">
        <v>50469</v>
      </c>
      <c r="O850" s="5" t="str">
        <v>7710389970</v>
      </c>
      <c r="P850" s="27">
        <v>1720000</v>
      </c>
      <c r="Q850" s="5" t="s">
        <v>50470</v>
      </c>
      <c r="R850" s="5" t="s">
        <v>50471</v>
      </c>
      <c r="S850" s="5" t="s">
        <v>50472</v>
      </c>
      <c r="T850" s="28">
        <v>43542000</v>
      </c>
      <c r="U850" s="28"/>
      <c r="V850" s="28">
        <v>2644360000</v>
      </c>
      <c r="W850" s="28"/>
      <c r="X850" s="28">
        <v>289787000</v>
      </c>
      <c r="Y850" s="28">
        <v>4281499000</v>
      </c>
      <c r="Z850" s="28">
        <v>652074000</v>
      </c>
      <c r="AA850" s="28"/>
      <c r="AB850" s="28">
        <v>1094486000</v>
      </c>
      <c r="AC850" s="28">
        <v>3601300000</v>
      </c>
      <c r="AD850" s="28">
        <v>653920000</v>
      </c>
      <c r="AE850" s="28">
        <v>23830514000</v>
      </c>
      <c r="AF850" s="28">
        <v>227972000</v>
      </c>
      <c r="AG850" s="11"/>
    </row>
    <row r="851">
      <c r="A851" s="7" t="s">
        <v>2582</v>
      </c>
      <c r="B851" s="5" t="s">
        <v>10562</v>
      </c>
      <c r="C851" s="5" t="s">
        <v>18447</v>
      </c>
      <c r="D851" s="5" t="str">
        <v>262401760013</v>
      </c>
      <c r="E851" s="0" t="e">
        <f>+7 (472) 2202464
+7 (472) 2211745
+7 (472) 2262455
+7 (472) 2263311
+7 (472) 2263321
+7 (472) 2263361
+7 (472) 2267844
+7 (472) 2270805
+7 (472) 2273339
+7 (472) 2311805
+7 (472) 2347402
+7 (472) 2363331
+7 (472) 2402404
+7 (472) 2402424
+7 (472) 2402420</f>
        <v>#NAME?</v>
      </c>
      <c r="F851" s="5" t="s">
        <v>27941</v>
      </c>
      <c r="G851" s="5" t="s">
        <v>27942</v>
      </c>
      <c r="H851" s="26">
        <v>3.5</v>
      </c>
      <c r="I851" s="5" t="s">
        <v>27943</v>
      </c>
      <c r="J851" s="5" t="s">
        <v>27944</v>
      </c>
      <c r="K851" s="5" t="s">
        <v>344</v>
      </c>
      <c r="L851" s="5"/>
      <c r="M851" s="27">
        <v>75533986</v>
      </c>
      <c r="N851" s="5" t="s">
        <v>50473</v>
      </c>
      <c r="O851" s="5" t="str">
        <v>3123460476</v>
      </c>
      <c r="P851" s="27">
        <v>21747329</v>
      </c>
      <c r="Q851" s="5" t="s">
        <v>50474</v>
      </c>
      <c r="R851" s="5"/>
      <c r="S851" s="5" t="s">
        <v>50475</v>
      </c>
      <c r="T851" s="28">
        <v>10520303000</v>
      </c>
      <c r="U851" s="28">
        <v>78000</v>
      </c>
      <c r="V851" s="28">
        <v>384122000</v>
      </c>
      <c r="W851" s="28">
        <v>445500000</v>
      </c>
      <c r="X851" s="28">
        <v>795276000</v>
      </c>
      <c r="Y851" s="28">
        <v>12569684000</v>
      </c>
      <c r="Z851" s="28">
        <v>-240280000</v>
      </c>
      <c r="AA851" s="28">
        <v>418865000</v>
      </c>
      <c r="AB851" s="28">
        <v>65350000</v>
      </c>
      <c r="AC851" s="28">
        <v>5055306000</v>
      </c>
      <c r="AD851" s="28">
        <v>10855279000</v>
      </c>
      <c r="AE851" s="28">
        <v>3219273000</v>
      </c>
      <c r="AF851" s="28">
        <v>-313278000</v>
      </c>
      <c r="AG851" s="11"/>
    </row>
    <row r="852">
      <c r="A852" s="7" t="s">
        <v>2583</v>
      </c>
      <c r="B852" s="5" t="s">
        <v>10563</v>
      </c>
      <c r="C852" s="5" t="s">
        <v>18448</v>
      </c>
      <c r="D852" s="5" t="str">
        <v>770471108954</v>
      </c>
      <c r="F852" s="5"/>
      <c r="G852" s="5"/>
      <c r="H852" s="26">
        <v>20</v>
      </c>
      <c r="I852" s="5" t="s">
        <v>27945</v>
      </c>
      <c r="J852" s="5" t="s">
        <v>27946</v>
      </c>
      <c r="K852" s="5" t="s">
        <v>344</v>
      </c>
      <c r="L852" s="5" t="s">
        <v>27947</v>
      </c>
      <c r="M852" s="27"/>
      <c r="N852" s="5"/>
      <c r="O852" s="5" t="str">
        <v>7729422282</v>
      </c>
      <c r="P852" s="27">
        <v>10000</v>
      </c>
      <c r="Q852" s="5" t="s">
        <v>49009</v>
      </c>
      <c r="R852" s="5"/>
      <c r="S852" s="5" t="s">
        <v>49010</v>
      </c>
      <c r="T852" s="28">
        <v>157466000</v>
      </c>
      <c r="U852" s="28"/>
      <c r="V852" s="28">
        <v>4214982000</v>
      </c>
      <c r="W852" s="28"/>
      <c r="X852" s="28">
        <v>13736000</v>
      </c>
      <c r="Y852" s="28">
        <v>4913555000</v>
      </c>
      <c r="Z852" s="28">
        <v>2545670000</v>
      </c>
      <c r="AA852" s="28"/>
      <c r="AB852" s="28"/>
      <c r="AC852" s="28">
        <v>2170127000</v>
      </c>
      <c r="AD852" s="28">
        <v>2545680000</v>
      </c>
      <c r="AE852" s="28">
        <v>10020462000</v>
      </c>
      <c r="AF852" s="28">
        <v>789416000</v>
      </c>
      <c r="AG852" s="11"/>
    </row>
    <row r="853">
      <c r="A853" s="7" t="s">
        <v>2584</v>
      </c>
      <c r="B853" s="5" t="s">
        <v>10564</v>
      </c>
      <c r="C853" s="5" t="s">
        <v>18449</v>
      </c>
      <c r="D853" s="5" t="str">
        <v>381903710820</v>
      </c>
      <c r="E853" s="0" t="e">
        <f>+7 (3012) 222993
+7 (3022) 312727
+7 (3022) 312795
+7 (3654) 350561
+7 (38453) 50561
+7 (3952) 235689
+7 (3952) 250582
+7 (3952) 288254
+7 (3952) 288588
+7 (3952) 523652
+7 (3953) 350561
+7 (3952) 288584
+7 (3952) 434494
+7 (3952) 503651
+7 (3952) 503652</f>
        <v>#NAME?</v>
      </c>
      <c r="F853" s="5" t="s">
        <v>27948</v>
      </c>
      <c r="G853" s="5" t="s">
        <v>27949</v>
      </c>
      <c r="H853" s="26">
        <v>30.5</v>
      </c>
      <c r="I853" s="5"/>
      <c r="J853" s="5" t="s">
        <v>25450</v>
      </c>
      <c r="K853" s="5" t="s">
        <v>344</v>
      </c>
      <c r="L853" s="5" t="s">
        <v>27950</v>
      </c>
      <c r="M853" s="27"/>
      <c r="N853" s="5" t="s">
        <v>50476</v>
      </c>
      <c r="O853" s="5" t="str">
        <v>3840001848</v>
      </c>
      <c r="P853" s="27">
        <v>187869540</v>
      </c>
      <c r="Q853" s="5" t="s">
        <v>50478</v>
      </c>
      <c r="R853" s="5"/>
      <c r="S853" s="5" t="s">
        <v>50479</v>
      </c>
      <c r="T853" s="28">
        <v>6704962000</v>
      </c>
      <c r="U853" s="28">
        <v>72351000</v>
      </c>
      <c r="V853" s="28">
        <v>1310943000</v>
      </c>
      <c r="W853" s="28">
        <v>3908594000</v>
      </c>
      <c r="X853" s="28">
        <v>292133000</v>
      </c>
      <c r="Y853" s="28">
        <v>16593852000</v>
      </c>
      <c r="Z853" s="28">
        <v>11596676000</v>
      </c>
      <c r="AA853" s="28">
        <v>1944792000</v>
      </c>
      <c r="AB853" s="28">
        <v>1900000000</v>
      </c>
      <c r="AC853" s="28">
        <v>2675277000</v>
      </c>
      <c r="AD853" s="28">
        <v>11977619000</v>
      </c>
      <c r="AE853" s="28">
        <v>9850042000</v>
      </c>
      <c r="AF853" s="28">
        <v>1576707000</v>
      </c>
      <c r="AG853" s="11"/>
    </row>
    <row r="854">
      <c r="A854" s="7" t="s">
        <v>2585</v>
      </c>
      <c r="B854" s="5" t="s">
        <v>10565</v>
      </c>
      <c r="C854" s="5" t="s">
        <v>18450</v>
      </c>
      <c r="D854" s="5" t="str">
        <v>891106799539</v>
      </c>
      <c r="E854" s="0" t="e">
        <f>+7 (34936) 54290
+7 (34938) 67548
+7 (34938) 67550
+7 (34938) 67551
+7 (34938) 67552
+7 (951) 9945955
+7 (951) 9958099
+7 (992) 4088847</f>
        <v>#NAME?</v>
      </c>
      <c r="F854" s="5" t="s">
        <v>27951</v>
      </c>
      <c r="G854" s="5" t="s">
        <v>27952</v>
      </c>
      <c r="H854" s="26">
        <v>14.5</v>
      </c>
      <c r="I854" s="5" t="s">
        <v>27953</v>
      </c>
      <c r="J854" s="5" t="s">
        <v>27921</v>
      </c>
      <c r="K854" s="5" t="s">
        <v>355</v>
      </c>
      <c r="L854" s="5"/>
      <c r="M854" s="27">
        <v>500000</v>
      </c>
      <c r="N854" s="5" t="s">
        <v>50480</v>
      </c>
      <c r="O854" s="5" t="str">
        <v>8913008910</v>
      </c>
      <c r="P854" s="27">
        <v>4446399905</v>
      </c>
      <c r="Q854" s="5" t="s">
        <v>50482</v>
      </c>
      <c r="R854" s="5" t="s">
        <v>50483</v>
      </c>
      <c r="S854" s="5" t="s">
        <v>50484</v>
      </c>
      <c r="T854" s="28">
        <v>3617570000</v>
      </c>
      <c r="U854" s="28">
        <v>198000000</v>
      </c>
      <c r="V854" s="28">
        <v>2147271000</v>
      </c>
      <c r="W854" s="28"/>
      <c r="X854" s="28">
        <v>209901000</v>
      </c>
      <c r="Y854" s="28">
        <v>9119452000</v>
      </c>
      <c r="Z854" s="28">
        <v>1191637000</v>
      </c>
      <c r="AA854" s="28">
        <v>306500000</v>
      </c>
      <c r="AB854" s="28">
        <v>288500000</v>
      </c>
      <c r="AC854" s="28">
        <v>2216523000</v>
      </c>
      <c r="AD854" s="28">
        <v>5622717000</v>
      </c>
      <c r="AE854" s="28">
        <v>7081920000</v>
      </c>
      <c r="AF854" s="28">
        <v>104781000</v>
      </c>
      <c r="AG854" s="11"/>
    </row>
    <row r="855">
      <c r="A855" s="7" t="s">
        <v>2586</v>
      </c>
      <c r="B855" s="5" t="s">
        <v>10566</v>
      </c>
      <c r="C855" s="5" t="s">
        <v>18451</v>
      </c>
      <c r="D855" s="5" t="str">
        <v>502994091804</v>
      </c>
      <c r="E855" s="0" t="e">
        <f>+7 (495) 7999312
+7 (495) 7999310
+7 (495) 7999311</f>
        <v>#NAME?</v>
      </c>
      <c r="F855" s="5"/>
      <c r="G855" s="5" t="s">
        <v>27954</v>
      </c>
      <c r="H855" s="26">
        <v>16.5</v>
      </c>
      <c r="I855" s="5" t="s">
        <v>27955</v>
      </c>
      <c r="J855" s="5" t="s">
        <v>27956</v>
      </c>
      <c r="K855" s="5" t="s">
        <v>344</v>
      </c>
      <c r="L855" s="5"/>
      <c r="M855" s="27"/>
      <c r="N855" s="5"/>
      <c r="O855" s="5" t="str">
        <v>7706631480</v>
      </c>
      <c r="P855" s="27">
        <v>5400000</v>
      </c>
      <c r="Q855" s="5" t="s">
        <v>49021</v>
      </c>
      <c r="R855" s="5"/>
      <c r="S855" s="5" t="s">
        <v>50485</v>
      </c>
      <c r="T855" s="28">
        <v>7457000</v>
      </c>
      <c r="U855" s="28">
        <v>311000</v>
      </c>
      <c r="V855" s="28">
        <v>284359000</v>
      </c>
      <c r="W855" s="28"/>
      <c r="X855" s="28">
        <v>167638000</v>
      </c>
      <c r="Y855" s="28">
        <v>619997000</v>
      </c>
      <c r="Z855" s="28">
        <v>170922000</v>
      </c>
      <c r="AA855" s="28"/>
      <c r="AB855" s="28"/>
      <c r="AC855" s="28">
        <v>442183000</v>
      </c>
      <c r="AD855" s="28">
        <v>176322000</v>
      </c>
      <c r="AE855" s="28">
        <v>4567987000</v>
      </c>
      <c r="AF855" s="28">
        <v>27573000</v>
      </c>
      <c r="AG855" s="11"/>
    </row>
    <row r="856">
      <c r="A856" s="7" t="s">
        <v>2587</v>
      </c>
      <c r="B856" s="5" t="s">
        <v>10567</v>
      </c>
      <c r="C856" s="5" t="s">
        <v>18452</v>
      </c>
      <c r="D856" s="5" t="str">
        <v>772379749420</v>
      </c>
      <c r="E856" s="0" t="e">
        <f>+7 (495) 4900667
+7 (495) 7803085
+7 (495) 7803090
+7 (495) 7803433</f>
        <v>#NAME?</v>
      </c>
      <c r="F856" s="5"/>
      <c r="G856" s="5"/>
      <c r="H856" s="26">
        <v>23</v>
      </c>
      <c r="I856" s="5" t="s">
        <v>27957</v>
      </c>
      <c r="J856" s="5" t="s">
        <v>27497</v>
      </c>
      <c r="K856" s="5" t="s">
        <v>344</v>
      </c>
      <c r="L856" s="5" t="s">
        <v>27958</v>
      </c>
      <c r="M856" s="27"/>
      <c r="N856" s="5"/>
      <c r="O856" s="5" t="str">
        <v>7713732440</v>
      </c>
      <c r="P856" s="27">
        <v>109109000</v>
      </c>
      <c r="Q856" s="5" t="s">
        <v>49009</v>
      </c>
      <c r="R856" s="5"/>
      <c r="S856" s="5" t="s">
        <v>49010</v>
      </c>
      <c r="T856" s="28">
        <v>25804000</v>
      </c>
      <c r="U856" s="28">
        <v>23991000</v>
      </c>
      <c r="V856" s="28">
        <v>4172483000</v>
      </c>
      <c r="W856" s="28">
        <v>301901000</v>
      </c>
      <c r="X856" s="28">
        <v>49940000</v>
      </c>
      <c r="Y856" s="28">
        <v>5481045000</v>
      </c>
      <c r="Z856" s="28">
        <v>676689000</v>
      </c>
      <c r="AA856" s="28">
        <v>1474707000</v>
      </c>
      <c r="AB856" s="28">
        <v>1561514000</v>
      </c>
      <c r="AC856" s="28">
        <v>3220538000</v>
      </c>
      <c r="AD856" s="28">
        <v>785800000</v>
      </c>
      <c r="AE856" s="28">
        <v>16159558000</v>
      </c>
      <c r="AF856" s="28">
        <v>159833000</v>
      </c>
      <c r="AG856" s="11"/>
    </row>
    <row r="857">
      <c r="A857" s="7" t="s">
        <v>2588</v>
      </c>
      <c r="B857" s="5" t="s">
        <v>10568</v>
      </c>
      <c r="C857" s="5" t="s">
        <v>18453</v>
      </c>
      <c r="D857" s="5" t="str">
        <v>251113744200</v>
      </c>
      <c r="E857" s="0" t="e">
        <f>+7 (495) 2122126
+7 (495) 5102695
+7 (495) 5102697
+7 (495) 7442901
+7 (495) 7753050
+7 (495) 7753052
+7 (499) 5102695
+7 (965) 4295561</f>
        <v>#NAME?</v>
      </c>
      <c r="F857" s="5" t="s">
        <v>27959</v>
      </c>
      <c r="G857" s="5" t="s">
        <v>27960</v>
      </c>
      <c r="H857" s="26">
        <v>18</v>
      </c>
      <c r="I857" s="5" t="s">
        <v>27961</v>
      </c>
      <c r="J857" s="5" t="s">
        <v>25376</v>
      </c>
      <c r="K857" s="5" t="s">
        <v>344</v>
      </c>
      <c r="L857" s="5"/>
      <c r="M857" s="27"/>
      <c r="N857" s="5"/>
      <c r="O857" s="5" t="str">
        <v>7705634425</v>
      </c>
      <c r="P857" s="27">
        <v>1580000000</v>
      </c>
      <c r="Q857" s="5" t="s">
        <v>50486</v>
      </c>
      <c r="R857" s="5"/>
      <c r="S857" s="5" t="s">
        <v>50487</v>
      </c>
      <c r="T857" s="28">
        <v>1625000</v>
      </c>
      <c r="U857" s="28">
        <v>31264098000</v>
      </c>
      <c r="V857" s="28">
        <v>601356000</v>
      </c>
      <c r="W857" s="28">
        <v>5672900000</v>
      </c>
      <c r="X857" s="28">
        <v>642000</v>
      </c>
      <c r="Y857" s="28">
        <v>37576072000</v>
      </c>
      <c r="Z857" s="28">
        <v>6519468000</v>
      </c>
      <c r="AA857" s="28">
        <v>16945888000</v>
      </c>
      <c r="AB857" s="28">
        <v>3042904000</v>
      </c>
      <c r="AC857" s="28">
        <v>3595079000</v>
      </c>
      <c r="AD857" s="28">
        <v>17035085000</v>
      </c>
      <c r="AE857" s="28">
        <v>5760475000</v>
      </c>
      <c r="AF857" s="28">
        <v>5119571000</v>
      </c>
      <c r="AG857" s="11"/>
    </row>
    <row r="858">
      <c r="A858" s="7" t="s">
        <v>2589</v>
      </c>
      <c r="B858" s="5" t="s">
        <v>10569</v>
      </c>
      <c r="C858" s="5" t="s">
        <v>18454</v>
      </c>
      <c r="D858" s="5" t="str">
        <v>251107581660</v>
      </c>
      <c r="E858" s="0" t="e">
        <f>+7 (4232) 464183
+7 (4232) 464192
+7 (4232) 464490
+7 (4232) 464522
+7 (4232) 464524
+7 (4232) 465850
+7 (4232) 790883
+7 (42361) 33531
+7 (42361) 44709</f>
        <v>#NAME?</v>
      </c>
      <c r="F858" s="5" t="s">
        <v>27962</v>
      </c>
      <c r="G858" s="5"/>
      <c r="H858" s="26">
        <v>19.5</v>
      </c>
      <c r="I858" s="5" t="s">
        <v>27963</v>
      </c>
      <c r="J858" s="5" t="s">
        <v>25332</v>
      </c>
      <c r="K858" s="5" t="s">
        <v>344</v>
      </c>
      <c r="L858" s="5"/>
      <c r="M858" s="27"/>
      <c r="N858" s="5" t="s">
        <v>50488</v>
      </c>
      <c r="O858" s="5" t="str">
        <v>2511045260</v>
      </c>
      <c r="P858" s="27">
        <v>59000000</v>
      </c>
      <c r="Q858" s="5" t="s">
        <v>49009</v>
      </c>
      <c r="R858" s="5" t="s">
        <v>50489</v>
      </c>
      <c r="S858" s="5" t="s">
        <v>49010</v>
      </c>
      <c r="T858" s="28">
        <v>292038000</v>
      </c>
      <c r="U858" s="28">
        <v>1601500000</v>
      </c>
      <c r="V858" s="28">
        <v>1582929000</v>
      </c>
      <c r="W858" s="28"/>
      <c r="X858" s="28">
        <v>8746000</v>
      </c>
      <c r="Y858" s="28">
        <v>4398830000</v>
      </c>
      <c r="Z858" s="28">
        <v>101123000</v>
      </c>
      <c r="AA858" s="28"/>
      <c r="AB858" s="28">
        <v>337000</v>
      </c>
      <c r="AC858" s="28">
        <v>3952779000</v>
      </c>
      <c r="AD858" s="28">
        <v>317140000</v>
      </c>
      <c r="AE858" s="28">
        <v>8890090000</v>
      </c>
      <c r="AF858" s="28">
        <v>242735000</v>
      </c>
      <c r="AG858" s="11"/>
    </row>
    <row r="859">
      <c r="A859" s="7" t="s">
        <v>2590</v>
      </c>
      <c r="B859" s="5" t="s">
        <v>10570</v>
      </c>
      <c r="C859" s="5" t="s">
        <v>18455</v>
      </c>
      <c r="D859" s="5" t="str">
        <v>253715657083</v>
      </c>
      <c r="E859" s="0" t="e">
        <f>+7 (384) 2285366
+7 (384) 2464100
+7 (384) 2756164</f>
        <v>#NAME?</v>
      </c>
      <c r="F859" s="5"/>
      <c r="G859" s="5"/>
      <c r="H859" s="26">
        <v>19.5</v>
      </c>
      <c r="I859" s="5" t="s">
        <v>27964</v>
      </c>
      <c r="J859" s="5" t="s">
        <v>26367</v>
      </c>
      <c r="K859" s="5" t="s">
        <v>344</v>
      </c>
      <c r="L859" s="5" t="s">
        <v>27965</v>
      </c>
      <c r="M859" s="27"/>
      <c r="N859" s="5"/>
      <c r="O859" s="5" t="str">
        <v>4205050433</v>
      </c>
      <c r="P859" s="27">
        <v>50971440</v>
      </c>
      <c r="Q859" s="5" t="s">
        <v>49009</v>
      </c>
      <c r="R859" s="5"/>
      <c r="S859" s="5" t="s">
        <v>49010</v>
      </c>
      <c r="T859" s="28">
        <v>517668000</v>
      </c>
      <c r="U859" s="28">
        <v>2331000000</v>
      </c>
      <c r="V859" s="28">
        <v>1407636000</v>
      </c>
      <c r="W859" s="28"/>
      <c r="X859" s="28">
        <v>3540000</v>
      </c>
      <c r="Y859" s="28">
        <v>5005232000</v>
      </c>
      <c r="Z859" s="28">
        <v>553850000</v>
      </c>
      <c r="AA859" s="28">
        <v>289700000</v>
      </c>
      <c r="AB859" s="28">
        <v>164413000</v>
      </c>
      <c r="AC859" s="28">
        <v>3226391000</v>
      </c>
      <c r="AD859" s="28">
        <v>1420696000</v>
      </c>
      <c r="AE859" s="28">
        <v>7385559000</v>
      </c>
      <c r="AF859" s="28">
        <v>422186000</v>
      </c>
      <c r="AG859" s="11"/>
    </row>
    <row r="860">
      <c r="A860" s="7" t="s">
        <v>2591</v>
      </c>
      <c r="B860" s="5" t="s">
        <v>10571</v>
      </c>
      <c r="C860" s="5" t="s">
        <v>18456</v>
      </c>
      <c r="D860" s="5" t="str">
        <v>772001480808</v>
      </c>
      <c r="E860" s="0" t="e">
        <f>+7 (495) 7753050</f>
        <v>#NAME?</v>
      </c>
      <c r="F860" s="5"/>
      <c r="G860" s="5"/>
      <c r="H860" s="26">
        <v>8.5</v>
      </c>
      <c r="I860" s="5" t="s">
        <v>27966</v>
      </c>
      <c r="J860" s="5" t="s">
        <v>26367</v>
      </c>
      <c r="K860" s="5" t="s">
        <v>344</v>
      </c>
      <c r="L860" s="5"/>
      <c r="M860" s="27"/>
      <c r="N860" s="5"/>
      <c r="O860" s="5" t="str">
        <v>5006286242</v>
      </c>
      <c r="P860" s="27">
        <v>25000000</v>
      </c>
      <c r="Q860" s="5" t="s">
        <v>49009</v>
      </c>
      <c r="R860" s="5"/>
      <c r="S860" s="5" t="s">
        <v>49010</v>
      </c>
      <c r="T860" s="28">
        <v>392579000</v>
      </c>
      <c r="U860" s="28"/>
      <c r="V860" s="28">
        <v>2118177000</v>
      </c>
      <c r="W860" s="28">
        <v>599090000</v>
      </c>
      <c r="X860" s="28">
        <v>6815000</v>
      </c>
      <c r="Y860" s="28">
        <v>3695895000</v>
      </c>
      <c r="Z860" s="28">
        <v>-38332000</v>
      </c>
      <c r="AA860" s="28"/>
      <c r="AB860" s="28">
        <v>47000</v>
      </c>
      <c r="AC860" s="28">
        <v>3089457000</v>
      </c>
      <c r="AD860" s="28">
        <v>76668000</v>
      </c>
      <c r="AE860" s="28">
        <v>3663681000</v>
      </c>
      <c r="AF860" s="28">
        <v>62489000</v>
      </c>
      <c r="AG860" s="11"/>
    </row>
    <row r="861">
      <c r="A861" s="7" t="s">
        <v>2592</v>
      </c>
      <c r="B861" s="5" t="s">
        <v>10572</v>
      </c>
      <c r="C861" s="5" t="s">
        <v>18457</v>
      </c>
      <c r="D861" s="5" t="str">
        <v>272210790292</v>
      </c>
      <c r="E861" s="0" t="e">
        <f>+7 (421) 2312310
+7 (421) 2313057
+7 (421) 2324453</f>
        <v>#NAME?</v>
      </c>
      <c r="F861" s="5" t="s">
        <v>27967</v>
      </c>
      <c r="G861" s="5"/>
      <c r="H861" s="26">
        <v>19.5</v>
      </c>
      <c r="I861" s="5" t="s">
        <v>27968</v>
      </c>
      <c r="J861" s="5" t="s">
        <v>1059</v>
      </c>
      <c r="K861" s="5" t="s">
        <v>344</v>
      </c>
      <c r="L861" s="5"/>
      <c r="M861" s="27"/>
      <c r="N861" s="5"/>
      <c r="O861" s="5" t="str">
        <v>2721104391</v>
      </c>
      <c r="P861" s="27">
        <v>310010000</v>
      </c>
      <c r="Q861" s="5"/>
      <c r="R861" s="5" t="s">
        <v>50490</v>
      </c>
      <c r="S861" s="5" t="s">
        <v>49110</v>
      </c>
      <c r="T861" s="28">
        <v>438343000</v>
      </c>
      <c r="U861" s="28">
        <v>708000000</v>
      </c>
      <c r="V861" s="28">
        <v>2815901000</v>
      </c>
      <c r="W861" s="28"/>
      <c r="X861" s="28">
        <v>7369000</v>
      </c>
      <c r="Y861" s="28">
        <v>4839923000</v>
      </c>
      <c r="Z861" s="28">
        <v>467428000</v>
      </c>
      <c r="AA861" s="28">
        <v>269300000</v>
      </c>
      <c r="AB861" s="28">
        <v>214943000</v>
      </c>
      <c r="AC861" s="28">
        <v>3753519000</v>
      </c>
      <c r="AD861" s="28">
        <v>778940000</v>
      </c>
      <c r="AE861" s="28">
        <v>7177271000</v>
      </c>
      <c r="AF861" s="28">
        <v>89337000</v>
      </c>
      <c r="AG861" s="11"/>
    </row>
    <row r="862">
      <c r="A862" s="7" t="s">
        <v>2593</v>
      </c>
      <c r="B862" s="5" t="s">
        <v>10573</v>
      </c>
      <c r="C862" s="5" t="s">
        <v>18458</v>
      </c>
      <c r="D862" s="5" t="str">
        <v>253812484333</v>
      </c>
      <c r="E862" s="0" t="e">
        <f>+7 (495) 7753052
+7 (495) 7753050
+7 (495) 7899714</f>
        <v>#NAME?</v>
      </c>
      <c r="F862" s="5" t="s">
        <v>27969</v>
      </c>
      <c r="G862" s="5"/>
      <c r="H862" s="26">
        <v>19.5</v>
      </c>
      <c r="I862" s="5" t="s">
        <v>27970</v>
      </c>
      <c r="J862" s="5" t="s">
        <v>26367</v>
      </c>
      <c r="K862" s="5" t="s">
        <v>344</v>
      </c>
      <c r="L862" s="5" t="s">
        <v>27971</v>
      </c>
      <c r="M862" s="27">
        <v>16710937</v>
      </c>
      <c r="N862" s="5" t="s">
        <v>50491</v>
      </c>
      <c r="O862" s="5" t="str">
        <v>7727251521</v>
      </c>
      <c r="P862" s="27">
        <v>679131661</v>
      </c>
      <c r="Q862" s="5" t="s">
        <v>49009</v>
      </c>
      <c r="R862" s="5" t="s">
        <v>50492</v>
      </c>
      <c r="S862" s="5" t="s">
        <v>49045</v>
      </c>
      <c r="T862" s="28">
        <v>2797731000</v>
      </c>
      <c r="U862" s="28">
        <v>6677359000</v>
      </c>
      <c r="V862" s="28">
        <v>20669503000</v>
      </c>
      <c r="W862" s="28"/>
      <c r="X862" s="28">
        <v>5633437000</v>
      </c>
      <c r="Y862" s="28">
        <v>47617198000</v>
      </c>
      <c r="Z862" s="28">
        <v>3742605000</v>
      </c>
      <c r="AA862" s="28">
        <v>12626548000</v>
      </c>
      <c r="AB862" s="28">
        <v>1503097000</v>
      </c>
      <c r="AC862" s="28">
        <v>27601646000</v>
      </c>
      <c r="AD862" s="28">
        <v>4471037000</v>
      </c>
      <c r="AE862" s="28">
        <v>69709195000</v>
      </c>
      <c r="AF862" s="28">
        <v>2990199000</v>
      </c>
      <c r="AG862" s="11"/>
    </row>
    <row r="863">
      <c r="A863" s="7" t="s">
        <v>2594</v>
      </c>
      <c r="B863" s="5" t="s">
        <v>10574</v>
      </c>
      <c r="C863" s="5" t="s">
        <v>18459</v>
      </c>
      <c r="D863" s="5" t="str">
        <v>165100099924</v>
      </c>
      <c r="E863" s="0" t="e">
        <f>+7 (8432) 120287</f>
        <v>#NAME?</v>
      </c>
      <c r="F863" s="5" t="s">
        <v>27972</v>
      </c>
      <c r="G863" s="5"/>
      <c r="H863" s="26">
        <v>4.5</v>
      </c>
      <c r="I863" s="5" t="s">
        <v>27973</v>
      </c>
      <c r="J863" s="5" t="s">
        <v>25837</v>
      </c>
      <c r="K863" s="5" t="s">
        <v>344</v>
      </c>
      <c r="L863" s="5"/>
      <c r="M863" s="27"/>
      <c r="N863" s="5"/>
      <c r="O863" s="5" t="str">
        <v>1617006460</v>
      </c>
      <c r="P863" s="27">
        <v>10010000</v>
      </c>
      <c r="Q863" s="5" t="s">
        <v>50493</v>
      </c>
      <c r="R863" s="5"/>
      <c r="S863" s="5" t="s">
        <v>50494</v>
      </c>
      <c r="T863" s="28">
        <v>6052000</v>
      </c>
      <c r="U863" s="28"/>
      <c r="V863" s="28">
        <v>1558800000</v>
      </c>
      <c r="W863" s="28">
        <v>104221000</v>
      </c>
      <c r="X863" s="28">
        <v>11520000</v>
      </c>
      <c r="Y863" s="28">
        <v>2777471000</v>
      </c>
      <c r="Z863" s="28">
        <v>112257000</v>
      </c>
      <c r="AA863" s="28">
        <v>150000000</v>
      </c>
      <c r="AB863" s="28"/>
      <c r="AC863" s="28">
        <v>2505204000</v>
      </c>
      <c r="AD863" s="28">
        <v>122267000</v>
      </c>
      <c r="AE863" s="28">
        <v>9514687000</v>
      </c>
      <c r="AF863" s="28">
        <v>102429000</v>
      </c>
      <c r="AG863" s="11"/>
    </row>
    <row r="864">
      <c r="A864" s="7" t="s">
        <v>2595</v>
      </c>
      <c r="B864" s="5" t="s">
        <v>10575</v>
      </c>
      <c r="C864" s="5" t="s">
        <v>18460</v>
      </c>
      <c r="D864" s="5"/>
      <c r="E864" s="0" t="e">
        <f>+7 (472) 2306620
+7 (472) 2354145
+7 (910) 3260933
+7 (472) 2213782
+7 (472) 2213970
+7 (472) 2215259
+7 (472) 2217171
+7 (472) 2266830
+7 (472) 2266870
+7 (472) 2354061
+7 (472) 2354162
+7 (472) 2354275
+7 (472) 2354344</f>
        <v>#NAME?</v>
      </c>
      <c r="F864" s="5" t="s">
        <v>27974</v>
      </c>
      <c r="G864" s="5" t="s">
        <v>27975</v>
      </c>
      <c r="H864" s="26">
        <v>10</v>
      </c>
      <c r="I864" s="5" t="s">
        <v>27976</v>
      </c>
      <c r="J864" s="5" t="s">
        <v>27977</v>
      </c>
      <c r="K864" s="5" t="s">
        <v>344</v>
      </c>
      <c r="L864" s="5" t="s">
        <v>27978</v>
      </c>
      <c r="M864" s="27">
        <v>1361505</v>
      </c>
      <c r="N864" s="5" t="s">
        <v>50495</v>
      </c>
      <c r="O864" s="5" t="str">
        <v>3123315768</v>
      </c>
      <c r="P864" s="27">
        <v>100000</v>
      </c>
      <c r="Q864" s="5" t="s">
        <v>50496</v>
      </c>
      <c r="R864" s="5"/>
      <c r="S864" s="5" t="s">
        <v>50497</v>
      </c>
      <c r="T864" s="28">
        <v>3851014000</v>
      </c>
      <c r="U864" s="28"/>
      <c r="V864" s="28">
        <v>7780978000</v>
      </c>
      <c r="W864" s="28">
        <v>2806999000</v>
      </c>
      <c r="X864" s="28">
        <v>328784000</v>
      </c>
      <c r="Y864" s="28">
        <v>23416926000</v>
      </c>
      <c r="Z864" s="28">
        <v>8393258000</v>
      </c>
      <c r="AA864" s="28"/>
      <c r="AB864" s="28">
        <v>2869460000</v>
      </c>
      <c r="AC864" s="28">
        <v>12780828000</v>
      </c>
      <c r="AD864" s="28">
        <v>8393363000</v>
      </c>
      <c r="AE864" s="28">
        <v>16222639000</v>
      </c>
      <c r="AF864" s="28">
        <v>1636102000</v>
      </c>
      <c r="AG864" s="11"/>
    </row>
    <row r="865">
      <c r="A865" s="7" t="s">
        <v>2596</v>
      </c>
      <c r="B865" s="5" t="s">
        <v>10576</v>
      </c>
      <c r="C865" s="5" t="s">
        <v>18461</v>
      </c>
      <c r="D865" s="5"/>
      <c r="E865" s="0" t="e">
        <f>+7 (47248) 77575
+7 (47248) 77626
+7 (47248) 77754</f>
        <v>#NAME?</v>
      </c>
      <c r="F865" s="5" t="s">
        <v>27979</v>
      </c>
      <c r="G865" s="5" t="s">
        <v>27980</v>
      </c>
      <c r="H865" s="26">
        <v>10</v>
      </c>
      <c r="I865" s="5" t="s">
        <v>27981</v>
      </c>
      <c r="J865" s="5" t="s">
        <v>25450</v>
      </c>
      <c r="K865" s="5" t="s">
        <v>344</v>
      </c>
      <c r="L865" s="5"/>
      <c r="M865" s="27"/>
      <c r="N865" s="5"/>
      <c r="O865" s="5" t="str">
        <v>3120099413</v>
      </c>
      <c r="P865" s="27">
        <v>10911232</v>
      </c>
      <c r="Q865" s="5" t="s">
        <v>49009</v>
      </c>
      <c r="R865" s="5"/>
      <c r="S865" s="5" t="s">
        <v>49408</v>
      </c>
      <c r="T865" s="28">
        <v>856859000</v>
      </c>
      <c r="U865" s="28"/>
      <c r="V865" s="28">
        <v>738468000</v>
      </c>
      <c r="W865" s="28">
        <v>42574000</v>
      </c>
      <c r="X865" s="28">
        <v>207923000</v>
      </c>
      <c r="Y865" s="28">
        <v>2286253000</v>
      </c>
      <c r="Z865" s="28">
        <v>772523000</v>
      </c>
      <c r="AA865" s="28">
        <v>382454000</v>
      </c>
      <c r="AB865" s="28">
        <v>968111000</v>
      </c>
      <c r="AC865" s="28">
        <v>1106818000</v>
      </c>
      <c r="AD865" s="28">
        <v>789300000</v>
      </c>
      <c r="AE865" s="28">
        <v>3142760000</v>
      </c>
      <c r="AF865" s="28">
        <v>-96268000</v>
      </c>
      <c r="AG865" s="11"/>
    </row>
    <row r="866">
      <c r="A866" s="7" t="s">
        <v>2597</v>
      </c>
      <c r="B866" s="5" t="s">
        <v>10577</v>
      </c>
      <c r="C866" s="5" t="s">
        <v>18462</v>
      </c>
      <c r="D866" s="5" t="str">
        <v>771700411467</v>
      </c>
      <c r="E866" s="0" t="e">
        <f>+7 (343) 3111342
+7 (495) 2291927
+7 (495) 2361167
+7 (495) 2586784
+7 (495) 2870978
+7 (495) 2870979
+7 (495) 5807752
+7 (495) 5809975
+7 (495) 6055842
+7 (495) 6608839
+7 (495) 6638841
+7 (495) 6651504
+7 (495) 6991024
+7 (495) 6997813
+7 (495) 7802225</f>
        <v>#NAME?</v>
      </c>
      <c r="F866" s="5"/>
      <c r="G866" s="5"/>
      <c r="H866" s="26">
        <v>19.5</v>
      </c>
      <c r="I866" s="5" t="s">
        <v>27982</v>
      </c>
      <c r="J866" s="5" t="s">
        <v>27983</v>
      </c>
      <c r="K866" s="5" t="s">
        <v>355</v>
      </c>
      <c r="L866" s="5"/>
      <c r="M866" s="27"/>
      <c r="N866" s="5"/>
      <c r="O866" s="5" t="str">
        <v>7708506654</v>
      </c>
      <c r="P866" s="27">
        <v>223518999</v>
      </c>
      <c r="Q866" s="5" t="s">
        <v>49009</v>
      </c>
      <c r="R866" s="5"/>
      <c r="S866" s="5" t="s">
        <v>49010</v>
      </c>
      <c r="T866" s="28">
        <v>625083000</v>
      </c>
      <c r="U866" s="28">
        <v>1728416000</v>
      </c>
      <c r="V866" s="28">
        <v>2291900000</v>
      </c>
      <c r="W866" s="28"/>
      <c r="X866" s="28">
        <v>289861000</v>
      </c>
      <c r="Y866" s="28">
        <v>5105485000</v>
      </c>
      <c r="Z866" s="28">
        <v>1149215000</v>
      </c>
      <c r="AA866" s="28"/>
      <c r="AB866" s="28">
        <v>529822000</v>
      </c>
      <c r="AC866" s="28">
        <v>3208736000</v>
      </c>
      <c r="AD866" s="28">
        <v>1373357000</v>
      </c>
      <c r="AE866" s="28">
        <v>4781506000</v>
      </c>
      <c r="AF866" s="28">
        <v>80384000</v>
      </c>
      <c r="AG866" s="11"/>
    </row>
    <row r="867">
      <c r="A867" s="7" t="s">
        <v>2598</v>
      </c>
      <c r="B867" s="5" t="s">
        <v>10578</v>
      </c>
      <c r="C867" s="5" t="s">
        <v>18463</v>
      </c>
      <c r="D867" s="5" t="str">
        <v>280117316806</v>
      </c>
      <c r="E867" s="0" t="e">
        <f>+7 (914) 5387040</f>
        <v>#NAME?</v>
      </c>
      <c r="F867" s="5"/>
      <c r="G867" s="5"/>
      <c r="H867" s="26">
        <v>5.5</v>
      </c>
      <c r="I867" s="5" t="s">
        <v>27984</v>
      </c>
      <c r="J867" s="5" t="s">
        <v>373</v>
      </c>
      <c r="K867" s="5" t="s">
        <v>344</v>
      </c>
      <c r="L867" s="5"/>
      <c r="M867" s="27"/>
      <c r="N867" s="5" t="s">
        <v>50498</v>
      </c>
      <c r="O867" s="5" t="str">
        <v>2801233829</v>
      </c>
      <c r="P867" s="27">
        <v>150000</v>
      </c>
      <c r="Q867" s="5" t="s">
        <v>49057</v>
      </c>
      <c r="R867" s="5"/>
      <c r="S867" s="5" t="s">
        <v>49450</v>
      </c>
      <c r="T867" s="28">
        <v>20890000</v>
      </c>
      <c r="U867" s="28"/>
      <c r="V867" s="28">
        <v>280355000</v>
      </c>
      <c r="W867" s="28">
        <v>54759000</v>
      </c>
      <c r="X867" s="28">
        <v>1197000</v>
      </c>
      <c r="Y867" s="28">
        <v>463627000</v>
      </c>
      <c r="Z867" s="28">
        <v>81073000</v>
      </c>
      <c r="AA867" s="28"/>
      <c r="AB867" s="28">
        <v>84808000</v>
      </c>
      <c r="AC867" s="28">
        <v>351932000</v>
      </c>
      <c r="AD867" s="28">
        <v>81223000</v>
      </c>
      <c r="AE867" s="28">
        <v>3471624000</v>
      </c>
      <c r="AF867" s="28">
        <v>47434000</v>
      </c>
      <c r="AG867" s="11"/>
    </row>
    <row r="868">
      <c r="A868" s="7" t="s">
        <v>2599</v>
      </c>
      <c r="B868" s="5" t="s">
        <v>10579</v>
      </c>
      <c r="C868" s="5" t="s">
        <v>18464</v>
      </c>
      <c r="D868" s="5" t="str">
        <v>200702229164</v>
      </c>
      <c r="E868" s="0" t="e">
        <f>+7 (928) 13236
+7 (928) 7364471
+7 (928) 7364715
+7 (928) 9524197
+7 (929) 2659703
+7 (964) 694272</f>
        <v>#NAME?</v>
      </c>
      <c r="F868" s="5" t="s">
        <v>27985</v>
      </c>
      <c r="G868" s="5"/>
      <c r="H868" s="26">
        <v>8.5</v>
      </c>
      <c r="I868" s="5" t="s">
        <v>27986</v>
      </c>
      <c r="J868" s="5" t="s">
        <v>364</v>
      </c>
      <c r="K868" s="5" t="s">
        <v>344</v>
      </c>
      <c r="L868" s="5" t="s">
        <v>27987</v>
      </c>
      <c r="M868" s="27"/>
      <c r="N868" s="5" t="s">
        <v>50499</v>
      </c>
      <c r="O868" s="5" t="str">
        <v>2015800349</v>
      </c>
      <c r="P868" s="27">
        <v>10000</v>
      </c>
      <c r="Q868" s="5" t="s">
        <v>50500</v>
      </c>
      <c r="R868" s="5"/>
      <c r="S868" s="5" t="s">
        <v>49065</v>
      </c>
      <c r="T868" s="28"/>
      <c r="U868" s="28"/>
      <c r="V868" s="28">
        <v>3766160000</v>
      </c>
      <c r="W868" s="28">
        <v>14412637000</v>
      </c>
      <c r="X868" s="28">
        <v>298882000</v>
      </c>
      <c r="Y868" s="28">
        <v>19762295000</v>
      </c>
      <c r="Z868" s="28">
        <v>59652000</v>
      </c>
      <c r="AA868" s="28">
        <v>59830000</v>
      </c>
      <c r="AB868" s="28"/>
      <c r="AC868" s="28">
        <v>19642803000</v>
      </c>
      <c r="AD868" s="28">
        <v>59662000</v>
      </c>
      <c r="AE868" s="28">
        <v>9067150000</v>
      </c>
      <c r="AF868" s="28">
        <v>4536000</v>
      </c>
      <c r="AG868" s="11"/>
    </row>
    <row r="869">
      <c r="A869" s="7" t="s">
        <v>2600</v>
      </c>
      <c r="B869" s="5" t="s">
        <v>10580</v>
      </c>
      <c r="C869" s="5" t="s">
        <v>18465</v>
      </c>
      <c r="D869" s="5" t="str">
        <v>720401471030</v>
      </c>
      <c r="E869" s="0" t="e">
        <f>+7 (345) 2683900</f>
        <v>#NAME?</v>
      </c>
      <c r="F869" s="5" t="s">
        <v>27988</v>
      </c>
      <c r="G869" s="5" t="s">
        <v>27989</v>
      </c>
      <c r="H869" s="26">
        <v>18</v>
      </c>
      <c r="I869" s="5" t="s">
        <v>27990</v>
      </c>
      <c r="J869" s="5" t="s">
        <v>27991</v>
      </c>
      <c r="K869" s="5" t="s">
        <v>344</v>
      </c>
      <c r="L869" s="5" t="s">
        <v>27992</v>
      </c>
      <c r="M869" s="27"/>
      <c r="N869" s="5" t="s">
        <v>50501</v>
      </c>
      <c r="O869" s="5" t="str">
        <v>3906134785</v>
      </c>
      <c r="P869" s="27">
        <v>217395419</v>
      </c>
      <c r="Q869" s="5" t="s">
        <v>50502</v>
      </c>
      <c r="R869" s="5"/>
      <c r="S869" s="5" t="s">
        <v>49160</v>
      </c>
      <c r="T869" s="28">
        <v>587870000</v>
      </c>
      <c r="U869" s="28"/>
      <c r="V869" s="28">
        <v>775777000</v>
      </c>
      <c r="W869" s="28"/>
      <c r="X869" s="28">
        <v>664508000</v>
      </c>
      <c r="Y869" s="28">
        <v>2899710000</v>
      </c>
      <c r="Z869" s="28">
        <v>1860482000</v>
      </c>
      <c r="AA869" s="28"/>
      <c r="AB869" s="28"/>
      <c r="AC869" s="28">
        <v>774381000</v>
      </c>
      <c r="AD869" s="28">
        <v>2089912000</v>
      </c>
      <c r="AE869" s="28">
        <v>7261162000</v>
      </c>
      <c r="AF869" s="28">
        <v>248667000</v>
      </c>
      <c r="AG869" s="11"/>
    </row>
    <row r="870">
      <c r="A870" s="7" t="s">
        <v>2601</v>
      </c>
      <c r="B870" s="5" t="s">
        <v>10581</v>
      </c>
      <c r="C870" s="5" t="s">
        <v>18466</v>
      </c>
      <c r="D870" s="5" t="str">
        <v>772783303376</v>
      </c>
      <c r="E870" s="0" t="e">
        <f>+7 (491) 2778536
+7 (4912) 559000
+7 (4912) 778537
+7 (4912) 778538
+7 (4912) 991127
+7 (49137) 50524
+7 (903) 8367799
+7 (905) 6946006</f>
        <v>#NAME?</v>
      </c>
      <c r="F870" s="5" t="s">
        <v>27993</v>
      </c>
      <c r="G870" s="5" t="s">
        <v>27994</v>
      </c>
      <c r="H870" s="26">
        <v>11</v>
      </c>
      <c r="I870" s="5" t="s">
        <v>27995</v>
      </c>
      <c r="J870" s="5" t="s">
        <v>27996</v>
      </c>
      <c r="K870" s="5" t="s">
        <v>344</v>
      </c>
      <c r="L870" s="5"/>
      <c r="M870" s="27">
        <v>599500</v>
      </c>
      <c r="N870" s="5" t="s">
        <v>50503</v>
      </c>
      <c r="O870" s="5" t="str">
        <v>6234103281</v>
      </c>
      <c r="P870" s="27">
        <v>20000000</v>
      </c>
      <c r="Q870" s="5" t="s">
        <v>49009</v>
      </c>
      <c r="R870" s="5" t="s">
        <v>50504</v>
      </c>
      <c r="S870" s="5" t="s">
        <v>49010</v>
      </c>
      <c r="T870" s="28">
        <v>2125355000</v>
      </c>
      <c r="U870" s="28"/>
      <c r="V870" s="28">
        <v>226105000</v>
      </c>
      <c r="W870" s="28"/>
      <c r="X870" s="28">
        <v>608222000</v>
      </c>
      <c r="Y870" s="28">
        <v>4130505000</v>
      </c>
      <c r="Z870" s="28">
        <v>412382000</v>
      </c>
      <c r="AA870" s="28">
        <v>3269608000</v>
      </c>
      <c r="AB870" s="28">
        <v>139782000</v>
      </c>
      <c r="AC870" s="28">
        <v>392706000</v>
      </c>
      <c r="AD870" s="28">
        <v>432382000</v>
      </c>
      <c r="AE870" s="28">
        <v>3241686000</v>
      </c>
      <c r="AF870" s="28">
        <v>373839000</v>
      </c>
      <c r="AG870" s="11"/>
    </row>
    <row r="871">
      <c r="A871" s="7" t="s">
        <v>2602</v>
      </c>
      <c r="B871" s="5" t="s">
        <v>10582</v>
      </c>
      <c r="C871" s="5" t="s">
        <v>18467</v>
      </c>
      <c r="D871" s="5" t="str">
        <v>772795973978</v>
      </c>
      <c r="E871" s="0" t="e">
        <f>+7 (812) 2425375
+7 (495) 7879395
+7 (495) 7889597
+7 (909) 9032367
+7 (920) 2929888
+7 (925) 1861536
+7 (977) 2562290</f>
        <v>#NAME?</v>
      </c>
      <c r="F871" s="5" t="s">
        <v>27997</v>
      </c>
      <c r="G871" s="5" t="s">
        <v>27998</v>
      </c>
      <c r="H871" s="26">
        <v>14</v>
      </c>
      <c r="I871" s="5" t="s">
        <v>27999</v>
      </c>
      <c r="J871" s="5" t="s">
        <v>25550</v>
      </c>
      <c r="K871" s="5" t="s">
        <v>344</v>
      </c>
      <c r="L871" s="5" t="s">
        <v>28000</v>
      </c>
      <c r="M871" s="27">
        <v>5466481</v>
      </c>
      <c r="N871" s="5"/>
      <c r="O871" s="5" t="str">
        <v>7723706908</v>
      </c>
      <c r="P871" s="27">
        <v>42259500</v>
      </c>
      <c r="Q871" s="5" t="s">
        <v>49009</v>
      </c>
      <c r="R871" s="5"/>
      <c r="S871" s="5" t="s">
        <v>49093</v>
      </c>
      <c r="T871" s="28">
        <v>952801000</v>
      </c>
      <c r="U871" s="28">
        <v>128137000</v>
      </c>
      <c r="V871" s="28">
        <v>1444337000</v>
      </c>
      <c r="W871" s="28"/>
      <c r="X871" s="28">
        <v>344131000</v>
      </c>
      <c r="Y871" s="28">
        <v>6668295000</v>
      </c>
      <c r="Z871" s="28">
        <v>4200410000</v>
      </c>
      <c r="AA871" s="28">
        <v>208565000</v>
      </c>
      <c r="AB871" s="28">
        <v>12267000</v>
      </c>
      <c r="AC871" s="28">
        <v>1643758000</v>
      </c>
      <c r="AD871" s="28">
        <v>4242669000</v>
      </c>
      <c r="AE871" s="28">
        <v>19122366000</v>
      </c>
      <c r="AF871" s="28">
        <v>2439046000</v>
      </c>
      <c r="AG871" s="11"/>
    </row>
    <row r="872">
      <c r="A872" s="7" t="s">
        <v>2603</v>
      </c>
      <c r="B872" s="5" t="s">
        <v>10583</v>
      </c>
      <c r="C872" s="5" t="s">
        <v>18468</v>
      </c>
      <c r="D872" s="5" t="str">
        <v>666103899018</v>
      </c>
      <c r="E872" s="0" t="e">
        <f>+7 (3422) 785296
+7 (343) 2576523
+7 (343) 2785294
+7 (343) 2785295
+7 (343) 2785296
+7 (343) 2789599
+7 (3432) 785299
+7 (3433) 757605
+7 (3473) 297341
+7 (383) 2989842
+7 (800) 2000989
+7 (8432) 274364
+7 (8435) 247397
+7 (912) 475654
+7 (912) 475665</f>
        <v>#NAME?</v>
      </c>
      <c r="F872" s="5" t="s">
        <v>28001</v>
      </c>
      <c r="G872" s="5" t="s">
        <v>28002</v>
      </c>
      <c r="H872" s="26">
        <v>19</v>
      </c>
      <c r="I872" s="5" t="s">
        <v>28003</v>
      </c>
      <c r="J872" s="5" t="s">
        <v>28004</v>
      </c>
      <c r="K872" s="5" t="s">
        <v>344</v>
      </c>
      <c r="L872" s="5" t="s">
        <v>28005</v>
      </c>
      <c r="M872" s="27">
        <v>602633</v>
      </c>
      <c r="N872" s="5"/>
      <c r="O872" s="5" t="str">
        <v>6670045047</v>
      </c>
      <c r="P872" s="27">
        <v>10000000</v>
      </c>
      <c r="Q872" s="5"/>
      <c r="R872" s="5"/>
      <c r="S872" s="5" t="s">
        <v>49029</v>
      </c>
      <c r="T872" s="28">
        <v>111753000</v>
      </c>
      <c r="U872" s="28">
        <v>166149000</v>
      </c>
      <c r="V872" s="28">
        <v>1277616000</v>
      </c>
      <c r="W872" s="28">
        <v>213265000</v>
      </c>
      <c r="X872" s="28">
        <v>665556000</v>
      </c>
      <c r="Y872" s="28">
        <v>3698852000</v>
      </c>
      <c r="Z872" s="28">
        <v>690347000</v>
      </c>
      <c r="AA872" s="28">
        <v>152440000</v>
      </c>
      <c r="AB872" s="28">
        <v>2241338000</v>
      </c>
      <c r="AC872" s="28">
        <v>2808305000</v>
      </c>
      <c r="AD872" s="28">
        <v>700347000</v>
      </c>
      <c r="AE872" s="28">
        <v>7018140000</v>
      </c>
      <c r="AF872" s="28">
        <v>436471000</v>
      </c>
      <c r="AG872" s="11"/>
    </row>
    <row r="873">
      <c r="A873" s="7" t="s">
        <v>2604</v>
      </c>
      <c r="B873" s="5" t="s">
        <v>10584</v>
      </c>
      <c r="C873" s="5" t="s">
        <v>18173</v>
      </c>
      <c r="D873" s="5" t="str">
        <v>234500200835</v>
      </c>
      <c r="E873" s="0" t="e">
        <f>+7 (861) 2735993</f>
        <v>#NAME?</v>
      </c>
      <c r="F873" s="5" t="s">
        <v>28006</v>
      </c>
      <c r="G873" s="5"/>
      <c r="H873" s="26">
        <v>9.5</v>
      </c>
      <c r="I873" s="5" t="s">
        <v>27041</v>
      </c>
      <c r="J873" s="5" t="s">
        <v>26165</v>
      </c>
      <c r="K873" s="5" t="s">
        <v>355</v>
      </c>
      <c r="L873" s="5" t="s">
        <v>28007</v>
      </c>
      <c r="M873" s="27"/>
      <c r="N873" s="5"/>
      <c r="O873" s="5" t="str">
        <v>2309136755</v>
      </c>
      <c r="P873" s="27">
        <v>10000</v>
      </c>
      <c r="Q873" s="5" t="s">
        <v>49009</v>
      </c>
      <c r="R873" s="5"/>
      <c r="S873" s="5" t="s">
        <v>49980</v>
      </c>
      <c r="T873" s="28">
        <v>1391140000</v>
      </c>
      <c r="U873" s="28">
        <v>119350000</v>
      </c>
      <c r="V873" s="28">
        <v>837363000</v>
      </c>
      <c r="W873" s="28">
        <v>100000</v>
      </c>
      <c r="X873" s="28">
        <v>74776000</v>
      </c>
      <c r="Y873" s="28">
        <v>3781784000</v>
      </c>
      <c r="Z873" s="28">
        <v>178156000</v>
      </c>
      <c r="AA873" s="28">
        <v>317000000</v>
      </c>
      <c r="AB873" s="28">
        <v>197223000</v>
      </c>
      <c r="AC873" s="28">
        <v>1440471000</v>
      </c>
      <c r="AD873" s="28">
        <v>178166000</v>
      </c>
      <c r="AE873" s="28">
        <v>5903809000</v>
      </c>
      <c r="AF873" s="28">
        <v>113548000</v>
      </c>
      <c r="AG873" s="11"/>
    </row>
    <row r="874">
      <c r="A874" s="7" t="s">
        <v>2605</v>
      </c>
      <c r="B874" s="5" t="s">
        <v>10585</v>
      </c>
      <c r="C874" s="5" t="s">
        <v>18469</v>
      </c>
      <c r="D874" s="5" t="str">
        <v>633002904884</v>
      </c>
      <c r="E874" s="0" t="e">
        <f>+7 (346) 7327352
+7 (3467) 327326
+7 (3467) 327354
+7 (3467) 358409
+7 (3467) 362484
+7 (3467) 396247
+7 (3467) 396248
+7 (3467) 396863</f>
        <v>#NAME?</v>
      </c>
      <c r="F874" s="5" t="s">
        <v>28008</v>
      </c>
      <c r="G874" s="5" t="s">
        <v>28009</v>
      </c>
      <c r="H874" s="26">
        <v>14.5</v>
      </c>
      <c r="I874" s="5"/>
      <c r="J874" s="5" t="s">
        <v>28010</v>
      </c>
      <c r="K874" s="5" t="s">
        <v>355</v>
      </c>
      <c r="L874" s="5"/>
      <c r="M874" s="27"/>
      <c r="N874" s="5"/>
      <c r="O874" s="5" t="str">
        <v>8601036768</v>
      </c>
      <c r="P874" s="27">
        <v>1000000</v>
      </c>
      <c r="Q874" s="5"/>
      <c r="R874" s="5"/>
      <c r="S874" s="5" t="s">
        <v>49123</v>
      </c>
      <c r="T874" s="28">
        <v>2741093000</v>
      </c>
      <c r="U874" s="28"/>
      <c r="V874" s="28">
        <v>1986236000</v>
      </c>
      <c r="W874" s="28"/>
      <c r="X874" s="28">
        <v>111598000</v>
      </c>
      <c r="Y874" s="28">
        <v>7826907000</v>
      </c>
      <c r="Z874" s="28">
        <v>-10566047000</v>
      </c>
      <c r="AA874" s="28">
        <v>15491305000</v>
      </c>
      <c r="AB874" s="28">
        <v>1017064000</v>
      </c>
      <c r="AC874" s="28">
        <v>2748758000</v>
      </c>
      <c r="AD874" s="28">
        <v>-9405008000</v>
      </c>
      <c r="AE874" s="28">
        <v>3236672000</v>
      </c>
      <c r="AF874" s="28">
        <v>74437000</v>
      </c>
      <c r="AG874" s="11"/>
    </row>
    <row r="875">
      <c r="A875" s="7" t="s">
        <v>2606</v>
      </c>
      <c r="B875" s="5" t="s">
        <v>10586</v>
      </c>
      <c r="C875" s="5" t="s">
        <v>18470</v>
      </c>
      <c r="D875" s="5" t="str">
        <v>660404150253</v>
      </c>
      <c r="E875" s="0" t="e">
        <f>+7 (922) 2096731
+7 (343) 3440509
+7 (34369) 23046
+7 (34369) 25291
+7 (34369) 43941
+7 (34369) 44039
+7 (34369) 44394
+7 (34369) 44596</f>
        <v>#NAME?</v>
      </c>
      <c r="F875" s="5" t="s">
        <v>28011</v>
      </c>
      <c r="G875" s="5"/>
      <c r="H875" s="26">
        <v>21</v>
      </c>
      <c r="I875" s="5" t="s">
        <v>28012</v>
      </c>
      <c r="J875" s="5" t="s">
        <v>26499</v>
      </c>
      <c r="K875" s="5" t="s">
        <v>344</v>
      </c>
      <c r="L875" s="5" t="s">
        <v>28013</v>
      </c>
      <c r="M875" s="27"/>
      <c r="N875" s="5" t="s">
        <v>50506</v>
      </c>
      <c r="O875" s="5" t="str">
        <v>6604011599</v>
      </c>
      <c r="P875" s="27">
        <v>50000</v>
      </c>
      <c r="Q875" s="5" t="s">
        <v>50507</v>
      </c>
      <c r="R875" s="5"/>
      <c r="S875" s="5" t="s">
        <v>50508</v>
      </c>
      <c r="T875" s="28">
        <v>637398000</v>
      </c>
      <c r="U875" s="28">
        <v>48497000</v>
      </c>
      <c r="V875" s="28">
        <v>353826000</v>
      </c>
      <c r="W875" s="28">
        <v>51927000</v>
      </c>
      <c r="X875" s="28">
        <v>172735000</v>
      </c>
      <c r="Y875" s="28">
        <v>2164338000</v>
      </c>
      <c r="Z875" s="28">
        <v>1698013000</v>
      </c>
      <c r="AA875" s="28"/>
      <c r="AB875" s="28"/>
      <c r="AC875" s="28">
        <v>336259000</v>
      </c>
      <c r="AD875" s="28">
        <v>1722063000</v>
      </c>
      <c r="AE875" s="28">
        <v>3059586000</v>
      </c>
      <c r="AF875" s="28">
        <v>-6224000</v>
      </c>
      <c r="AG875" s="11"/>
    </row>
    <row r="876">
      <c r="A876" s="7" t="s">
        <v>2607</v>
      </c>
      <c r="B876" s="5" t="s">
        <v>10587</v>
      </c>
      <c r="C876" s="5" t="s">
        <v>18471</v>
      </c>
      <c r="D876" s="5" t="str">
        <v>772805188722</v>
      </c>
      <c r="E876" s="0" t="e">
        <f>+7 (83143) 51050
+7 (83159) 58748
+7 (83159) 63681
+7 (83159) 63717
+7 (83159) 64505
+7 (83159) 64708
+7 (83159) 67371
+7 (83159) 67620
+7 (83159) 67727
+7 (83159) 67810</f>
        <v>#NAME?</v>
      </c>
      <c r="F876" s="5" t="s">
        <v>28014</v>
      </c>
      <c r="G876" s="5" t="s">
        <v>28015</v>
      </c>
      <c r="H876" s="26">
        <v>20.5</v>
      </c>
      <c r="I876" s="5" t="s">
        <v>28016</v>
      </c>
      <c r="J876" s="5" t="s">
        <v>26251</v>
      </c>
      <c r="K876" s="5" t="s">
        <v>344</v>
      </c>
      <c r="L876" s="5" t="s">
        <v>28017</v>
      </c>
      <c r="M876" s="27"/>
      <c r="N876" s="5"/>
      <c r="O876" s="5" t="str">
        <v>5246022532</v>
      </c>
      <c r="P876" s="27">
        <v>266608162</v>
      </c>
      <c r="Q876" s="5"/>
      <c r="R876" s="5"/>
      <c r="S876" s="5" t="s">
        <v>50509</v>
      </c>
      <c r="T876" s="28">
        <v>1489399000</v>
      </c>
      <c r="U876" s="28"/>
      <c r="V876" s="28">
        <v>607984000</v>
      </c>
      <c r="W876" s="28"/>
      <c r="X876" s="28">
        <v>28772000</v>
      </c>
      <c r="Y876" s="28">
        <v>3048357000</v>
      </c>
      <c r="Z876" s="28">
        <v>2296195000</v>
      </c>
      <c r="AA876" s="28">
        <v>40611000</v>
      </c>
      <c r="AB876" s="28">
        <v>112911000</v>
      </c>
      <c r="AC876" s="28">
        <v>335818000</v>
      </c>
      <c r="AD876" s="28">
        <v>2562803000</v>
      </c>
      <c r="AE876" s="28">
        <v>4459764000</v>
      </c>
      <c r="AF876" s="28">
        <v>568384000</v>
      </c>
      <c r="AG876" s="11"/>
    </row>
    <row r="877">
      <c r="A877" s="7" t="s">
        <v>2608</v>
      </c>
      <c r="B877" s="5" t="s">
        <v>10588</v>
      </c>
      <c r="C877" s="5" t="s">
        <v>18472</v>
      </c>
      <c r="D877" s="5" t="str">
        <v>774350182012</v>
      </c>
      <c r="E877" s="0" t="e">
        <f>+7 (383) 3630696
+7 (495) 3171601
+7 (495) 3540303
+7 (495) 4104327
+7 (495) 5445044
+7 (495) 5445620
+7 (495) 7189512
+7 (495) 7772291
+7 (495) 7973472
+7 (495) 7973473
+7 (495) 9169166
+7 (495) 9671247
+7 (495) 9815767
+7 (812) 7770446
+7 (903) 7216968</f>
        <v>#NAME?</v>
      </c>
      <c r="F877" s="5"/>
      <c r="G877" s="5" t="s">
        <v>28018</v>
      </c>
      <c r="H877" s="26">
        <v>26.5</v>
      </c>
      <c r="I877" s="5" t="s">
        <v>28019</v>
      </c>
      <c r="J877" s="5" t="s">
        <v>25429</v>
      </c>
      <c r="K877" s="5" t="s">
        <v>344</v>
      </c>
      <c r="L877" s="5" t="s">
        <v>28020</v>
      </c>
      <c r="M877" s="27"/>
      <c r="N877" s="5" t="s">
        <v>50510</v>
      </c>
      <c r="O877" s="5" t="str">
        <v>7714103413</v>
      </c>
      <c r="P877" s="27">
        <v>600000000</v>
      </c>
      <c r="Q877" s="5" t="s">
        <v>49535</v>
      </c>
      <c r="R877" s="5"/>
      <c r="S877" s="5" t="s">
        <v>50511</v>
      </c>
      <c r="T877" s="28">
        <v>672461000</v>
      </c>
      <c r="U877" s="28"/>
      <c r="V877" s="28">
        <v>1946849000</v>
      </c>
      <c r="W877" s="28"/>
      <c r="X877" s="28">
        <v>965904000</v>
      </c>
      <c r="Y877" s="28">
        <v>8788582000</v>
      </c>
      <c r="Z877" s="28">
        <v>2019383000</v>
      </c>
      <c r="AA877" s="28"/>
      <c r="AB877" s="28"/>
      <c r="AC877" s="28">
        <v>5242497000</v>
      </c>
      <c r="AD877" s="28">
        <v>3520579000</v>
      </c>
      <c r="AE877" s="28">
        <v>27748426000</v>
      </c>
      <c r="AF877" s="28">
        <v>543836000</v>
      </c>
      <c r="AG877" s="11"/>
    </row>
    <row r="878">
      <c r="A878" s="7" t="s">
        <v>2609</v>
      </c>
      <c r="B878" s="5" t="s">
        <v>10589</v>
      </c>
      <c r="C878" s="5" t="s">
        <v>18473</v>
      </c>
      <c r="D878" s="5"/>
      <c r="E878" s="0" t="e">
        <f>+7 (495) 9747402
+7 (495) 6468353
+7 (42733) 31700
+7 (42733) 31710
+7 (42733) 31711
+7 (42733) 31717
+7 (42733) 31718
+7 (42733) 31730
+7 (42733) 31780
+7 (42733) 31781
+7 (495) 9166256
+7 (495) 9747401
+7 (913) 3196668</f>
        <v>#NAME?</v>
      </c>
      <c r="F878" s="5" t="s">
        <v>28021</v>
      </c>
      <c r="G878" s="5"/>
      <c r="H878" s="26">
        <v>12.5</v>
      </c>
      <c r="I878" s="5" t="s">
        <v>28022</v>
      </c>
      <c r="J878" s="5" t="s">
        <v>27806</v>
      </c>
      <c r="K878" s="5" t="s">
        <v>344</v>
      </c>
      <c r="L878" s="5" t="s">
        <v>28023</v>
      </c>
      <c r="M878" s="27"/>
      <c r="N878" s="5"/>
      <c r="O878" s="5" t="str">
        <v>7703730010</v>
      </c>
      <c r="P878" s="27">
        <v>5000000</v>
      </c>
      <c r="Q878" s="5" t="s">
        <v>50512</v>
      </c>
      <c r="R878" s="5"/>
      <c r="S878" s="5" t="s">
        <v>50290</v>
      </c>
      <c r="T878" s="28">
        <v>4063886000</v>
      </c>
      <c r="U878" s="28">
        <v>177250000</v>
      </c>
      <c r="V878" s="28">
        <v>3075729000</v>
      </c>
      <c r="W878" s="28"/>
      <c r="X878" s="28">
        <v>258731000</v>
      </c>
      <c r="Y878" s="28">
        <v>12665733000</v>
      </c>
      <c r="Z878" s="28">
        <v>4006391000</v>
      </c>
      <c r="AA878" s="28">
        <v>4204392000</v>
      </c>
      <c r="AB878" s="28"/>
      <c r="AC878" s="28">
        <v>2355468000</v>
      </c>
      <c r="AD878" s="28">
        <v>5838599000</v>
      </c>
      <c r="AE878" s="28">
        <v>7503458000</v>
      </c>
      <c r="AF878" s="28">
        <v>2099341000</v>
      </c>
      <c r="AG878" s="11"/>
    </row>
    <row r="879">
      <c r="A879" s="7" t="s">
        <v>2610</v>
      </c>
      <c r="B879" s="5" t="s">
        <v>10590</v>
      </c>
      <c r="C879" s="5" t="s">
        <v>18474</v>
      </c>
      <c r="D879" s="5" t="str">
        <v>771987867805</v>
      </c>
      <c r="E879" s="0" t="e">
        <f>+7 (499) 6490733</f>
        <v>#NAME?</v>
      </c>
      <c r="F879" s="5" t="s">
        <v>28024</v>
      </c>
      <c r="G879" s="5" t="s">
        <v>28025</v>
      </c>
      <c r="H879" s="26">
        <v>10.5</v>
      </c>
      <c r="I879" s="5" t="s">
        <v>28026</v>
      </c>
      <c r="J879" s="5" t="s">
        <v>1026</v>
      </c>
      <c r="K879" s="5" t="s">
        <v>344</v>
      </c>
      <c r="L879" s="5" t="s">
        <v>28027</v>
      </c>
      <c r="M879" s="27"/>
      <c r="N879" s="5" t="s">
        <v>50513</v>
      </c>
      <c r="O879" s="5" t="str">
        <v>7743856281</v>
      </c>
      <c r="P879" s="27">
        <v>8020000</v>
      </c>
      <c r="Q879" s="5" t="s">
        <v>50514</v>
      </c>
      <c r="R879" s="5"/>
      <c r="S879" s="5" t="s">
        <v>50515</v>
      </c>
      <c r="T879" s="28">
        <v>90962000</v>
      </c>
      <c r="U879" s="28"/>
      <c r="V879" s="28">
        <v>10778932000</v>
      </c>
      <c r="W879" s="28">
        <v>5417827000</v>
      </c>
      <c r="X879" s="28">
        <v>153893000</v>
      </c>
      <c r="Y879" s="28">
        <v>20273155000</v>
      </c>
      <c r="Z879" s="28">
        <v>1300119000</v>
      </c>
      <c r="AA879" s="28"/>
      <c r="AB879" s="28">
        <v>4441772000</v>
      </c>
      <c r="AC879" s="28">
        <v>18838867000</v>
      </c>
      <c r="AD879" s="28">
        <v>1308139000</v>
      </c>
      <c r="AE879" s="28">
        <v>80165620000</v>
      </c>
      <c r="AF879" s="28">
        <v>435536000</v>
      </c>
      <c r="AG879" s="11"/>
    </row>
    <row r="880">
      <c r="A880" s="7" t="s">
        <v>2611</v>
      </c>
      <c r="B880" s="5" t="s">
        <v>10591</v>
      </c>
      <c r="C880" s="5" t="s">
        <v>18475</v>
      </c>
      <c r="D880" s="5" t="str">
        <v>343900434514</v>
      </c>
      <c r="E880" s="0" t="e">
        <f>+7 (484) 2909500
+7 (484) 2909501
+7 (495) 7850100
+7 (495) 7850101
+7 (495) 7975955
+7 (495) 7975956
+7 (495) 7975957
+7 (495) 7975958
+7 (842) 7975958</f>
        <v>#NAME?</v>
      </c>
      <c r="F880" s="5" t="s">
        <v>28028</v>
      </c>
      <c r="G880" s="5" t="s">
        <v>28029</v>
      </c>
      <c r="H880" s="26">
        <v>27.5</v>
      </c>
      <c r="I880" s="5"/>
      <c r="J880" s="5" t="s">
        <v>28030</v>
      </c>
      <c r="K880" s="5" t="s">
        <v>344</v>
      </c>
      <c r="L880" s="5" t="s">
        <v>28031</v>
      </c>
      <c r="M880" s="27"/>
      <c r="N880" s="5"/>
      <c r="O880" s="5" t="str">
        <v>7714033558</v>
      </c>
      <c r="P880" s="27">
        <v>900100000</v>
      </c>
      <c r="Q880" s="5"/>
      <c r="R880" s="5"/>
      <c r="S880" s="5" t="s">
        <v>49029</v>
      </c>
      <c r="T880" s="28">
        <v>1220231000</v>
      </c>
      <c r="U880" s="28"/>
      <c r="V880" s="28">
        <v>1640825000</v>
      </c>
      <c r="W880" s="28">
        <v>343985000</v>
      </c>
      <c r="X880" s="28">
        <v>212662000</v>
      </c>
      <c r="Y880" s="28">
        <v>5181929000</v>
      </c>
      <c r="Z880" s="28">
        <v>3938887000</v>
      </c>
      <c r="AA880" s="28"/>
      <c r="AB880" s="28"/>
      <c r="AC880" s="28">
        <v>161145000</v>
      </c>
      <c r="AD880" s="28">
        <v>4974002000</v>
      </c>
      <c r="AE880" s="28">
        <v>4144826000</v>
      </c>
      <c r="AF880" s="28">
        <v>275051000</v>
      </c>
      <c r="AG880" s="11"/>
    </row>
    <row r="881">
      <c r="A881" s="7" t="s">
        <v>2612</v>
      </c>
      <c r="B881" s="5" t="s">
        <v>10592</v>
      </c>
      <c r="C881" s="5" t="s">
        <v>18476</v>
      </c>
      <c r="D881" s="5" t="str">
        <v>770371494600</v>
      </c>
      <c r="E881" s="0" t="e">
        <f>+7 (495) 7850100</f>
        <v>#NAME?</v>
      </c>
      <c r="F881" s="5" t="s">
        <v>28032</v>
      </c>
      <c r="G881" s="5" t="s">
        <v>28033</v>
      </c>
      <c r="H881" s="26">
        <v>11.5</v>
      </c>
      <c r="I881" s="5" t="s">
        <v>28034</v>
      </c>
      <c r="J881" s="5" t="s">
        <v>25429</v>
      </c>
      <c r="K881" s="5" t="s">
        <v>344</v>
      </c>
      <c r="L881" s="5" t="s">
        <v>28035</v>
      </c>
      <c r="M881" s="27"/>
      <c r="N881" s="5"/>
      <c r="O881" s="5" t="str">
        <v>7703755618</v>
      </c>
      <c r="P881" s="27">
        <v>200000000</v>
      </c>
      <c r="Q881" s="5" t="s">
        <v>49009</v>
      </c>
      <c r="R881" s="5"/>
      <c r="S881" s="5" t="s">
        <v>49028</v>
      </c>
      <c r="T881" s="28">
        <v>1051921000</v>
      </c>
      <c r="U881" s="28"/>
      <c r="V881" s="28">
        <v>9811435000</v>
      </c>
      <c r="W881" s="28">
        <v>1065366000</v>
      </c>
      <c r="X881" s="28">
        <v>91728000</v>
      </c>
      <c r="Y881" s="28">
        <v>19393566000</v>
      </c>
      <c r="Z881" s="28">
        <v>8593508000</v>
      </c>
      <c r="AA881" s="28">
        <v>969500000</v>
      </c>
      <c r="AB881" s="28">
        <v>141434000</v>
      </c>
      <c r="AC881" s="28">
        <v>9120793000</v>
      </c>
      <c r="AD881" s="28">
        <v>8793508000</v>
      </c>
      <c r="AE881" s="28">
        <v>24544243000</v>
      </c>
      <c r="AF881" s="28">
        <v>953005000</v>
      </c>
      <c r="AG881" s="11"/>
    </row>
    <row r="882">
      <c r="A882" s="7" t="s">
        <v>2613</v>
      </c>
      <c r="B882" s="5" t="s">
        <v>10593</v>
      </c>
      <c r="C882" s="5" t="s">
        <v>18477</v>
      </c>
      <c r="D882" s="5" t="str">
        <v>623012042257</v>
      </c>
      <c r="E882" s="0" t="e">
        <f>+7 (491) 2296815
+7 (4912) 296500
+7 (4912) 958000
+7 (4912) 958080
+7 (495) 2761071
+7 (495) 9251108
+7 (925) 2580162</f>
        <v>#NAME?</v>
      </c>
      <c r="F882" s="5" t="s">
        <v>28036</v>
      </c>
      <c r="G882" s="5" t="s">
        <v>28037</v>
      </c>
      <c r="H882" s="26">
        <v>17.5</v>
      </c>
      <c r="I882" s="5" t="s">
        <v>28038</v>
      </c>
      <c r="J882" s="5" t="s">
        <v>1073</v>
      </c>
      <c r="K882" s="5" t="s">
        <v>344</v>
      </c>
      <c r="L882" s="5" t="s">
        <v>28039</v>
      </c>
      <c r="M882" s="27"/>
      <c r="N882" s="5"/>
      <c r="O882" s="5" t="str">
        <v>7703568520</v>
      </c>
      <c r="P882" s="27">
        <v>100000</v>
      </c>
      <c r="Q882" s="5" t="s">
        <v>50516</v>
      </c>
      <c r="R882" s="5"/>
      <c r="S882" s="5" t="s">
        <v>50517</v>
      </c>
      <c r="T882" s="28">
        <v>1097000</v>
      </c>
      <c r="U882" s="28"/>
      <c r="V882" s="28">
        <v>1970940000</v>
      </c>
      <c r="W882" s="28"/>
      <c r="X882" s="28">
        <v>3119000</v>
      </c>
      <c r="Y882" s="28">
        <v>2044367000</v>
      </c>
      <c r="Z882" s="28">
        <v>608903000</v>
      </c>
      <c r="AA882" s="28">
        <v>300000000</v>
      </c>
      <c r="AB882" s="28">
        <v>1003382000</v>
      </c>
      <c r="AC882" s="28">
        <v>1135153000</v>
      </c>
      <c r="AD882" s="28">
        <v>609003000</v>
      </c>
      <c r="AE882" s="28">
        <v>3295786000</v>
      </c>
      <c r="AF882" s="28">
        <v>24296000</v>
      </c>
      <c r="AG882" s="11"/>
    </row>
    <row r="883">
      <c r="A883" s="7" t="s">
        <v>2614</v>
      </c>
      <c r="B883" s="5" t="s">
        <v>10594</v>
      </c>
      <c r="C883" s="5" t="s">
        <v>18478</v>
      </c>
      <c r="D883" s="5" t="str">
        <v>771702705166</v>
      </c>
      <c r="E883" s="0" t="e">
        <f>+7 (499) 5509201
+7 (499) 5509205
+7 (499) 6730496
+7 (499) 6733540</f>
        <v>#NAME?</v>
      </c>
      <c r="F883" s="5"/>
      <c r="G883" s="5"/>
      <c r="H883" s="26">
        <v>5.5</v>
      </c>
      <c r="I883" s="5" t="s">
        <v>28040</v>
      </c>
      <c r="J883" s="5" t="s">
        <v>25195</v>
      </c>
      <c r="K883" s="5" t="s">
        <v>344</v>
      </c>
      <c r="L883" s="5" t="s">
        <v>28041</v>
      </c>
      <c r="M883" s="27"/>
      <c r="N883" s="5"/>
      <c r="O883" s="5" t="str">
        <v>7731384891</v>
      </c>
      <c r="P883" s="27">
        <v>250000</v>
      </c>
      <c r="Q883" s="5" t="s">
        <v>49009</v>
      </c>
      <c r="R883" s="5" t="s">
        <v>50518</v>
      </c>
      <c r="S883" s="5" t="s">
        <v>49010</v>
      </c>
      <c r="T883" s="28">
        <v>51625000</v>
      </c>
      <c r="U883" s="28"/>
      <c r="V883" s="28">
        <v>911572000</v>
      </c>
      <c r="W883" s="28">
        <v>150328000</v>
      </c>
      <c r="X883" s="28">
        <v>168744000</v>
      </c>
      <c r="Y883" s="28">
        <v>1875798000</v>
      </c>
      <c r="Z883" s="28">
        <v>878047000</v>
      </c>
      <c r="AA883" s="28">
        <v>160233000</v>
      </c>
      <c r="AB883" s="28">
        <v>866000</v>
      </c>
      <c r="AC883" s="28">
        <v>832598000</v>
      </c>
      <c r="AD883" s="28">
        <v>878297000</v>
      </c>
      <c r="AE883" s="28">
        <v>5467524000</v>
      </c>
      <c r="AF883" s="28">
        <v>425303000</v>
      </c>
      <c r="AG883" s="11"/>
    </row>
    <row r="884">
      <c r="A884" s="7" t="s">
        <v>2615</v>
      </c>
      <c r="B884" s="5" t="s">
        <v>10595</v>
      </c>
      <c r="C884" s="5" t="s">
        <v>18479</v>
      </c>
      <c r="D884" s="5" t="str">
        <v>780242649570</v>
      </c>
      <c r="E884" s="0" t="e">
        <f>+7 (921) 9959950
+7 (812) 2753739</f>
        <v>#NAME?</v>
      </c>
      <c r="F884" s="5" t="s">
        <v>28042</v>
      </c>
      <c r="G884" s="5"/>
      <c r="H884" s="26">
        <v>14</v>
      </c>
      <c r="I884" s="5" t="s">
        <v>28043</v>
      </c>
      <c r="J884" s="5" t="s">
        <v>373</v>
      </c>
      <c r="K884" s="5" t="s">
        <v>344</v>
      </c>
      <c r="L884" s="5"/>
      <c r="M884" s="27"/>
      <c r="N884" s="5" t="s">
        <v>50519</v>
      </c>
      <c r="O884" s="5" t="str">
        <v>7841401885</v>
      </c>
      <c r="P884" s="27">
        <v>10000</v>
      </c>
      <c r="Q884" s="5" t="s">
        <v>50520</v>
      </c>
      <c r="R884" s="5"/>
      <c r="S884" s="5" t="s">
        <v>50521</v>
      </c>
      <c r="T884" s="28">
        <v>6557000</v>
      </c>
      <c r="U884" s="28"/>
      <c r="V884" s="28">
        <v>27618000</v>
      </c>
      <c r="W884" s="28">
        <v>133824000</v>
      </c>
      <c r="X884" s="28">
        <v>40787000</v>
      </c>
      <c r="Y884" s="28">
        <v>315988000</v>
      </c>
      <c r="Z884" s="28">
        <v>241812000</v>
      </c>
      <c r="AA884" s="28"/>
      <c r="AB884" s="28">
        <v>40000</v>
      </c>
      <c r="AC884" s="28">
        <v>74166000</v>
      </c>
      <c r="AD884" s="28">
        <v>241822000</v>
      </c>
      <c r="AE884" s="28">
        <v>5400581000</v>
      </c>
      <c r="AF884" s="28">
        <v>53681000</v>
      </c>
      <c r="AG884" s="11"/>
    </row>
    <row r="885">
      <c r="A885" s="7" t="s">
        <v>2616</v>
      </c>
      <c r="B885" s="5" t="s">
        <v>10596</v>
      </c>
      <c r="C885" s="5" t="s">
        <v>18077</v>
      </c>
      <c r="D885" s="5"/>
      <c r="F885" s="5" t="s">
        <v>26729</v>
      </c>
      <c r="G885" s="5"/>
      <c r="H885" s="26">
        <v>14.5</v>
      </c>
      <c r="I885" s="5" t="s">
        <v>26730</v>
      </c>
      <c r="J885" s="5" t="s">
        <v>26165</v>
      </c>
      <c r="K885" s="5" t="s">
        <v>355</v>
      </c>
      <c r="L885" s="5" t="s">
        <v>28044</v>
      </c>
      <c r="M885" s="27"/>
      <c r="N885" s="5"/>
      <c r="O885" s="5" t="str">
        <v>6673189463</v>
      </c>
      <c r="P885" s="27">
        <v>30000</v>
      </c>
      <c r="Q885" s="5" t="s">
        <v>49059</v>
      </c>
      <c r="R885" s="5"/>
      <c r="S885" s="5" t="s">
        <v>49110</v>
      </c>
      <c r="T885" s="28">
        <v>526111000</v>
      </c>
      <c r="U885" s="28">
        <v>515000000</v>
      </c>
      <c r="V885" s="28">
        <v>191015000</v>
      </c>
      <c r="W885" s="28">
        <v>9500000</v>
      </c>
      <c r="X885" s="28">
        <v>85532000</v>
      </c>
      <c r="Y885" s="28">
        <v>2124810000</v>
      </c>
      <c r="Z885" s="28">
        <v>223136000</v>
      </c>
      <c r="AA885" s="28"/>
      <c r="AB885" s="28"/>
      <c r="AC885" s="28">
        <v>1328232000</v>
      </c>
      <c r="AD885" s="28">
        <v>223166000</v>
      </c>
      <c r="AE885" s="28">
        <v>6764315000</v>
      </c>
      <c r="AF885" s="28">
        <v>368104000</v>
      </c>
      <c r="AG885" s="11"/>
    </row>
    <row r="886">
      <c r="A886" s="7" t="s">
        <v>2617</v>
      </c>
      <c r="B886" s="5" t="s">
        <v>10597</v>
      </c>
      <c r="C886" s="5" t="s">
        <v>18480</v>
      </c>
      <c r="D886" s="5" t="str">
        <v>023100306978</v>
      </c>
      <c r="E886" s="0" t="e">
        <f>+7 (929) 2075538
+7 (937) 1612549</f>
        <v>#NAME?</v>
      </c>
      <c r="F886" s="5" t="s">
        <v>28045</v>
      </c>
      <c r="G886" s="5"/>
      <c r="H886" s="26">
        <v>10.5</v>
      </c>
      <c r="I886" s="5" t="s">
        <v>26739</v>
      </c>
      <c r="J886" s="5" t="s">
        <v>26655</v>
      </c>
      <c r="K886" s="5" t="s">
        <v>344</v>
      </c>
      <c r="L886" s="5" t="s">
        <v>28046</v>
      </c>
      <c r="M886" s="27">
        <v>204596</v>
      </c>
      <c r="N886" s="5"/>
      <c r="O886" s="5" t="str">
        <v>0276140809</v>
      </c>
      <c r="P886" s="27">
        <v>500000</v>
      </c>
      <c r="Q886" s="5" t="s">
        <v>49009</v>
      </c>
      <c r="R886" s="5"/>
      <c r="S886" s="5" t="s">
        <v>49010</v>
      </c>
      <c r="T886" s="28">
        <v>526931000</v>
      </c>
      <c r="U886" s="28"/>
      <c r="V886" s="28">
        <v>451966000</v>
      </c>
      <c r="W886" s="28"/>
      <c r="X886" s="28">
        <v>275011000</v>
      </c>
      <c r="Y886" s="28">
        <v>2042612000</v>
      </c>
      <c r="Z886" s="28">
        <v>237378000</v>
      </c>
      <c r="AA886" s="28"/>
      <c r="AB886" s="28"/>
      <c r="AC886" s="28">
        <v>1273628000</v>
      </c>
      <c r="AD886" s="28">
        <v>237878000</v>
      </c>
      <c r="AE886" s="28">
        <v>14461543000</v>
      </c>
      <c r="AF886" s="28">
        <v>975552000</v>
      </c>
      <c r="AG886" s="11"/>
    </row>
    <row r="887">
      <c r="A887" s="7" t="s">
        <v>2618</v>
      </c>
      <c r="B887" s="5" t="s">
        <v>10598</v>
      </c>
      <c r="C887" s="5" t="s">
        <v>17672</v>
      </c>
      <c r="D887" s="5"/>
      <c r="E887" s="0" t="e">
        <f>+7 (499) 3907660
+7 (495) 4851146
+7 (903) 7902637</f>
        <v>#NAME?</v>
      </c>
      <c r="F887" s="5" t="s">
        <v>28047</v>
      </c>
      <c r="G887" s="5"/>
      <c r="H887" s="26">
        <v>11.5</v>
      </c>
      <c r="I887" s="5" t="s">
        <v>28048</v>
      </c>
      <c r="J887" s="5" t="s">
        <v>25304</v>
      </c>
      <c r="K887" s="5" t="s">
        <v>344</v>
      </c>
      <c r="L887" s="5"/>
      <c r="M887" s="27"/>
      <c r="N887" s="5" t="s">
        <v>50523</v>
      </c>
      <c r="O887" s="5" t="str">
        <v>5008056734</v>
      </c>
      <c r="P887" s="27">
        <v>100000</v>
      </c>
      <c r="Q887" s="5" t="s">
        <v>50524</v>
      </c>
      <c r="R887" s="5"/>
      <c r="S887" s="5" t="s">
        <v>49560</v>
      </c>
      <c r="T887" s="28">
        <v>51841000</v>
      </c>
      <c r="U887" s="28"/>
      <c r="V887" s="28">
        <v>611455000</v>
      </c>
      <c r="W887" s="28"/>
      <c r="X887" s="28">
        <v>31142000</v>
      </c>
      <c r="Y887" s="28">
        <v>948925000</v>
      </c>
      <c r="Z887" s="28">
        <v>239371000</v>
      </c>
      <c r="AA887" s="28"/>
      <c r="AB887" s="28">
        <v>191727000</v>
      </c>
      <c r="AC887" s="28">
        <v>708425000</v>
      </c>
      <c r="AD887" s="28">
        <v>239471000</v>
      </c>
      <c r="AE887" s="28">
        <v>3634151000</v>
      </c>
      <c r="AF887" s="28">
        <v>50226000</v>
      </c>
      <c r="AG887" s="11"/>
    </row>
    <row r="888">
      <c r="A888" s="7" t="s">
        <v>2619</v>
      </c>
      <c r="B888" s="5" t="s">
        <v>10599</v>
      </c>
      <c r="C888" s="5" t="s">
        <v>18481</v>
      </c>
      <c r="D888" s="5" t="str">
        <v>504507180263</v>
      </c>
      <c r="F888" s="5"/>
      <c r="G888" s="5"/>
      <c r="H888" s="26">
        <v>8.5</v>
      </c>
      <c r="I888" s="5" t="s">
        <v>28049</v>
      </c>
      <c r="J888" s="5" t="s">
        <v>821</v>
      </c>
      <c r="K888" s="5" t="s">
        <v>344</v>
      </c>
      <c r="L888" s="5" t="s">
        <v>28050</v>
      </c>
      <c r="M888" s="27"/>
      <c r="N888" s="5"/>
      <c r="O888" s="5" t="str">
        <v>7724930116</v>
      </c>
      <c r="P888" s="27">
        <v>60000</v>
      </c>
      <c r="Q888" s="5" t="s">
        <v>49059</v>
      </c>
      <c r="R888" s="5"/>
      <c r="S888" s="5" t="s">
        <v>49066</v>
      </c>
      <c r="T888" s="28">
        <v>21068000</v>
      </c>
      <c r="U888" s="28"/>
      <c r="V888" s="28">
        <v>324271000</v>
      </c>
      <c r="W888" s="28"/>
      <c r="X888" s="28">
        <v>20286000</v>
      </c>
      <c r="Y888" s="28">
        <v>405190000</v>
      </c>
      <c r="Z888" s="28">
        <v>64305000</v>
      </c>
      <c r="AA888" s="28"/>
      <c r="AB888" s="28"/>
      <c r="AC888" s="28">
        <v>332838000</v>
      </c>
      <c r="AD888" s="28">
        <v>65332000</v>
      </c>
      <c r="AE888" s="28">
        <v>3752600000</v>
      </c>
      <c r="AF888" s="28">
        <v>21250000</v>
      </c>
      <c r="AG888" s="11"/>
    </row>
    <row r="889">
      <c r="A889" s="7" t="s">
        <v>2620</v>
      </c>
      <c r="B889" s="5" t="s">
        <v>10600</v>
      </c>
      <c r="C889" s="5" t="s">
        <v>18482</v>
      </c>
      <c r="D889" s="5" t="str">
        <v>616508496270</v>
      </c>
      <c r="E889" s="0" t="e">
        <f>+7 (499) 1360032
+7 (345) 2633083
+7 (800) 7707371
+7 (863) 3031919
+7 (918) 8500185
+7 (950) 8510757
+7 (961) 759051</f>
        <v>#NAME?</v>
      </c>
      <c r="F889" s="5"/>
      <c r="G889" s="5" t="s">
        <v>28051</v>
      </c>
      <c r="H889" s="26">
        <v>13.5</v>
      </c>
      <c r="I889" s="5" t="s">
        <v>28052</v>
      </c>
      <c r="J889" s="5" t="s">
        <v>28053</v>
      </c>
      <c r="K889" s="5" t="s">
        <v>344</v>
      </c>
      <c r="L889" s="5" t="s">
        <v>28054</v>
      </c>
      <c r="M889" s="27"/>
      <c r="N889" s="5"/>
      <c r="O889" s="5" t="str">
        <v>7202197786</v>
      </c>
      <c r="P889" s="27">
        <v>198800000</v>
      </c>
      <c r="Q889" s="5" t="s">
        <v>49021</v>
      </c>
      <c r="R889" s="5"/>
      <c r="S889" s="5" t="s">
        <v>50525</v>
      </c>
      <c r="T889" s="28">
        <v>121000</v>
      </c>
      <c r="U889" s="28">
        <v>100000000</v>
      </c>
      <c r="V889" s="28">
        <v>27914000</v>
      </c>
      <c r="W889" s="28">
        <v>75231000</v>
      </c>
      <c r="X889" s="28">
        <v>535000</v>
      </c>
      <c r="Y889" s="28">
        <v>1637099000</v>
      </c>
      <c r="Z889" s="28">
        <v>200010000</v>
      </c>
      <c r="AA889" s="28"/>
      <c r="AB889" s="28">
        <v>6023000</v>
      </c>
      <c r="AC889" s="28">
        <v>101293000</v>
      </c>
      <c r="AD889" s="28">
        <v>1535806000</v>
      </c>
      <c r="AE889" s="28">
        <v>13067169000</v>
      </c>
      <c r="AF889" s="28">
        <v>159818000</v>
      </c>
      <c r="AG889" s="11"/>
    </row>
    <row r="890">
      <c r="A890" s="7" t="s">
        <v>2621</v>
      </c>
      <c r="B890" s="5" t="s">
        <v>10601</v>
      </c>
      <c r="C890" s="5" t="s">
        <v>18483</v>
      </c>
      <c r="D890" s="5" t="str">
        <v>312301739932</v>
      </c>
      <c r="E890" s="0" t="e">
        <f>+7 (472) 2402581
+7 (472) 2402586
+7 (472) 2402591
+7 (472) 2518453
+7 (472) 2519461
+7 (472) 2211825
+7 (472) 2518572</f>
        <v>#NAME?</v>
      </c>
      <c r="F890" s="5"/>
      <c r="G890" s="5" t="s">
        <v>28055</v>
      </c>
      <c r="H890" s="26">
        <v>30.5</v>
      </c>
      <c r="I890" s="5" t="s">
        <v>28056</v>
      </c>
      <c r="J890" s="5" t="s">
        <v>28057</v>
      </c>
      <c r="K890" s="5" t="s">
        <v>344</v>
      </c>
      <c r="L890" s="5" t="s">
        <v>28058</v>
      </c>
      <c r="M890" s="27"/>
      <c r="N890" s="5"/>
      <c r="O890" s="5" t="str">
        <v>3123353058</v>
      </c>
      <c r="P890" s="27">
        <v>267830</v>
      </c>
      <c r="Q890" s="5"/>
      <c r="R890" s="5"/>
      <c r="S890" s="5" t="s">
        <v>49029</v>
      </c>
      <c r="T890" s="28">
        <v>733709000</v>
      </c>
      <c r="U890" s="28"/>
      <c r="V890" s="28">
        <v>319306000</v>
      </c>
      <c r="W890" s="28">
        <v>150000000</v>
      </c>
      <c r="X890" s="28">
        <v>137868000</v>
      </c>
      <c r="Y890" s="28">
        <v>1892950000</v>
      </c>
      <c r="Z890" s="28">
        <v>1432704000</v>
      </c>
      <c r="AA890" s="28">
        <v>99985000</v>
      </c>
      <c r="AB890" s="28">
        <v>25419000</v>
      </c>
      <c r="AC890" s="28">
        <v>324207000</v>
      </c>
      <c r="AD890" s="28">
        <v>1433012000</v>
      </c>
      <c r="AE890" s="28">
        <v>3892398000</v>
      </c>
      <c r="AF890" s="28">
        <v>410377000</v>
      </c>
      <c r="AG890" s="11"/>
    </row>
    <row r="891">
      <c r="A891" s="7" t="s">
        <v>2622</v>
      </c>
      <c r="B891" s="5" t="s">
        <v>10602</v>
      </c>
      <c r="C891" s="5" t="s">
        <v>18484</v>
      </c>
      <c r="D891" s="5" t="str">
        <v>312301537968</v>
      </c>
      <c r="E891" s="0" t="e">
        <f>+7 (47246) 50213
+7 (47246) 50431
+7 (47246) 50985
+7 (47246) 51213
+7 (47246) 51351
+7 (47246) 51703
+7 (47246) 58217
+7 (47246) 58232
+7 (47246) 58234
+7 (47246) 58235</f>
        <v>#NAME?</v>
      </c>
      <c r="F891" s="5" t="s">
        <v>28059</v>
      </c>
      <c r="G891" s="5"/>
      <c r="H891" s="26">
        <v>30</v>
      </c>
      <c r="I891" s="5"/>
      <c r="J891" s="5" t="s">
        <v>445</v>
      </c>
      <c r="K891" s="5" t="s">
        <v>344</v>
      </c>
      <c r="L891" s="5" t="s">
        <v>28060</v>
      </c>
      <c r="M891" s="27"/>
      <c r="N891" s="5"/>
      <c r="O891" s="5" t="str">
        <v>3103004524</v>
      </c>
      <c r="P891" s="27">
        <v>48314000</v>
      </c>
      <c r="Q891" s="5" t="s">
        <v>49009</v>
      </c>
      <c r="R891" s="5"/>
      <c r="S891" s="5" t="s">
        <v>49066</v>
      </c>
      <c r="T891" s="28">
        <v>676772000</v>
      </c>
      <c r="U891" s="28">
        <v>12052000</v>
      </c>
      <c r="V891" s="28">
        <v>1338315000</v>
      </c>
      <c r="W891" s="28">
        <v>2483000000</v>
      </c>
      <c r="X891" s="28">
        <v>397219000</v>
      </c>
      <c r="Y891" s="28">
        <v>8470841000</v>
      </c>
      <c r="Z891" s="28">
        <v>5104706000</v>
      </c>
      <c r="AA891" s="28"/>
      <c r="AB891" s="28">
        <v>10465000</v>
      </c>
      <c r="AC891" s="28">
        <v>3212483000</v>
      </c>
      <c r="AD891" s="28">
        <v>5155436000</v>
      </c>
      <c r="AE891" s="28">
        <v>9466229000</v>
      </c>
      <c r="AF891" s="28">
        <v>996142000</v>
      </c>
      <c r="AG891" s="11"/>
    </row>
    <row r="892">
      <c r="A892" s="7" t="s">
        <v>2623</v>
      </c>
      <c r="B892" s="5" t="s">
        <v>10603</v>
      </c>
      <c r="C892" s="5" t="s">
        <v>18485</v>
      </c>
      <c r="D892" s="5" t="str">
        <v>526301026176</v>
      </c>
      <c r="E892" s="0" t="e">
        <f>+7 (831) 2108800
+7 (83159) 21444
+7 (83159) 22049
+7 (83159) 22962
+7 (910) 3940909
+7 (929) 530000</f>
        <v>#NAME?</v>
      </c>
      <c r="F892" s="5" t="s">
        <v>28061</v>
      </c>
      <c r="G892" s="5" t="s">
        <v>28062</v>
      </c>
      <c r="H892" s="26">
        <v>5.5</v>
      </c>
      <c r="I892" s="5" t="s">
        <v>28063</v>
      </c>
      <c r="J892" s="5" t="s">
        <v>28064</v>
      </c>
      <c r="K892" s="5" t="s">
        <v>344</v>
      </c>
      <c r="L892" s="5" t="s">
        <v>28065</v>
      </c>
      <c r="M892" s="27"/>
      <c r="N892" s="5"/>
      <c r="O892" s="5" t="str">
        <v>9718070427</v>
      </c>
      <c r="P892" s="27">
        <v>100000</v>
      </c>
      <c r="Q892" s="5" t="s">
        <v>49009</v>
      </c>
      <c r="R892" s="5"/>
      <c r="S892" s="5" t="s">
        <v>49066</v>
      </c>
      <c r="T892" s="28">
        <v>1554361000</v>
      </c>
      <c r="U892" s="28">
        <v>1265871000</v>
      </c>
      <c r="V892" s="28">
        <v>1218127000</v>
      </c>
      <c r="W892" s="28"/>
      <c r="X892" s="28">
        <v>121626000</v>
      </c>
      <c r="Y892" s="28">
        <v>5880451000</v>
      </c>
      <c r="Z892" s="28">
        <v>3189501000</v>
      </c>
      <c r="AA892" s="28">
        <v>20000000</v>
      </c>
      <c r="AB892" s="28">
        <v>106826000</v>
      </c>
      <c r="AC892" s="28">
        <v>1416391000</v>
      </c>
      <c r="AD892" s="28">
        <v>3754246000</v>
      </c>
      <c r="AE892" s="28">
        <v>6502661000</v>
      </c>
      <c r="AF892" s="28">
        <v>871012000</v>
      </c>
      <c r="AG892" s="11"/>
    </row>
    <row r="893">
      <c r="A893" s="7" t="s">
        <v>2624</v>
      </c>
      <c r="B893" s="5" t="s">
        <v>10604</v>
      </c>
      <c r="C893" s="5" t="s">
        <v>18486</v>
      </c>
      <c r="D893" s="5" t="str">
        <v>781119290443</v>
      </c>
      <c r="E893" s="0" t="e">
        <f>+7 (931) 2972063
+7 (495) 2588100
+7 (495) 3274444
+7 (812) 3274337
+7 (812) 3274343
+7 (812) 3274444</f>
        <v>#NAME?</v>
      </c>
      <c r="F893" s="5" t="s">
        <v>28066</v>
      </c>
      <c r="G893" s="5" t="s">
        <v>28067</v>
      </c>
      <c r="H893" s="26">
        <v>28.5</v>
      </c>
      <c r="I893" s="5" t="s">
        <v>28068</v>
      </c>
      <c r="J893" s="5" t="s">
        <v>28069</v>
      </c>
      <c r="K893" s="5" t="s">
        <v>344</v>
      </c>
      <c r="L893" s="5"/>
      <c r="M893" s="27">
        <v>908645</v>
      </c>
      <c r="N893" s="5" t="s">
        <v>50528</v>
      </c>
      <c r="O893" s="5" t="str">
        <v>7802876910</v>
      </c>
      <c r="P893" s="27">
        <v>1000000</v>
      </c>
      <c r="Q893" s="5" t="s">
        <v>50529</v>
      </c>
      <c r="R893" s="5"/>
      <c r="S893" s="5" t="s">
        <v>50179</v>
      </c>
      <c r="T893" s="28">
        <v>142926000</v>
      </c>
      <c r="U893" s="28"/>
      <c r="V893" s="28">
        <v>938449000</v>
      </c>
      <c r="W893" s="28"/>
      <c r="X893" s="28">
        <v>340440000</v>
      </c>
      <c r="Y893" s="28">
        <v>2851143000</v>
      </c>
      <c r="Z893" s="28">
        <v>632115000</v>
      </c>
      <c r="AA893" s="28">
        <v>124365000</v>
      </c>
      <c r="AB893" s="28">
        <v>119681000</v>
      </c>
      <c r="AC893" s="28">
        <v>1889956000</v>
      </c>
      <c r="AD893" s="28">
        <v>633268000</v>
      </c>
      <c r="AE893" s="28">
        <v>3275940000</v>
      </c>
      <c r="AF893" s="28">
        <v>14840000</v>
      </c>
      <c r="AG893" s="11"/>
    </row>
    <row r="894">
      <c r="A894" s="7" t="s">
        <v>2625</v>
      </c>
      <c r="B894" s="5" t="s">
        <v>10605</v>
      </c>
      <c r="C894" s="5" t="s">
        <v>18487</v>
      </c>
      <c r="D894" s="5" t="str">
        <v>400902137822</v>
      </c>
      <c r="E894" s="0" t="e">
        <f>+7 (812) 4481020
+7 (911) 1609954
+7 (800) 7071023
+7 (800) 7754502
+7 (812) 4483546
+7 (812) 5002015</f>
        <v>#NAME?</v>
      </c>
      <c r="F894" s="5" t="s">
        <v>28070</v>
      </c>
      <c r="G894" s="5"/>
      <c r="H894" s="26">
        <v>8.5</v>
      </c>
      <c r="I894" s="5" t="s">
        <v>28071</v>
      </c>
      <c r="J894" s="5" t="s">
        <v>881</v>
      </c>
      <c r="K894" s="5" t="s">
        <v>344</v>
      </c>
      <c r="L894" s="5" t="s">
        <v>28072</v>
      </c>
      <c r="M894" s="27"/>
      <c r="N894" s="5"/>
      <c r="O894" s="5" t="str">
        <v>7810385714</v>
      </c>
      <c r="P894" s="27">
        <v>10000</v>
      </c>
      <c r="Q894" s="5" t="s">
        <v>50530</v>
      </c>
      <c r="R894" s="5"/>
      <c r="S894" s="5" t="s">
        <v>49053</v>
      </c>
      <c r="T894" s="28">
        <v>291122000</v>
      </c>
      <c r="U894" s="28"/>
      <c r="V894" s="28">
        <v>1865907000</v>
      </c>
      <c r="W894" s="28"/>
      <c r="X894" s="28">
        <v>31524000</v>
      </c>
      <c r="Y894" s="28">
        <v>2553294000</v>
      </c>
      <c r="Z894" s="28">
        <v>1636173000</v>
      </c>
      <c r="AA894" s="28"/>
      <c r="AB894" s="28"/>
      <c r="AC894" s="28">
        <v>906125000</v>
      </c>
      <c r="AD894" s="28">
        <v>1647881000</v>
      </c>
      <c r="AE894" s="28">
        <v>3772815000</v>
      </c>
      <c r="AF894" s="28">
        <v>1674315000</v>
      </c>
      <c r="AG894" s="11"/>
    </row>
    <row r="895">
      <c r="A895" s="7" t="s">
        <v>2626</v>
      </c>
      <c r="B895" s="5" t="s">
        <v>10606</v>
      </c>
      <c r="C895" s="5" t="s">
        <v>18488</v>
      </c>
      <c r="D895" s="5" t="str">
        <v>771573106570</v>
      </c>
      <c r="E895" s="0" t="e">
        <f>+7 (831) 2430169
+7 (831) 4448392
+7 (495) 7339318
+7 (495) 7775500
+7 (83144) 71815
+7 (83144) 71816</f>
        <v>#NAME?</v>
      </c>
      <c r="F895" s="5" t="s">
        <v>28073</v>
      </c>
      <c r="G895" s="5"/>
      <c r="H895" s="26">
        <v>19.5</v>
      </c>
      <c r="I895" s="5" t="s">
        <v>28074</v>
      </c>
      <c r="J895" s="5" t="s">
        <v>28075</v>
      </c>
      <c r="K895" s="5" t="s">
        <v>344</v>
      </c>
      <c r="L895" s="5" t="s">
        <v>28076</v>
      </c>
      <c r="M895" s="27"/>
      <c r="N895" s="5"/>
      <c r="O895" s="5" t="str">
        <v>5244013331</v>
      </c>
      <c r="P895" s="27">
        <v>4500000000</v>
      </c>
      <c r="Q895" s="5" t="s">
        <v>50531</v>
      </c>
      <c r="R895" s="5" t="s">
        <v>50532</v>
      </c>
      <c r="S895" s="5" t="s">
        <v>50290</v>
      </c>
      <c r="T895" s="28">
        <v>2717739000</v>
      </c>
      <c r="U895" s="28">
        <v>257321000</v>
      </c>
      <c r="V895" s="28">
        <v>1399269000</v>
      </c>
      <c r="W895" s="28">
        <v>9308631000</v>
      </c>
      <c r="X895" s="28">
        <v>61586000</v>
      </c>
      <c r="Y895" s="28">
        <v>17694038000</v>
      </c>
      <c r="Z895" s="28">
        <v>3407780000</v>
      </c>
      <c r="AA895" s="28"/>
      <c r="AB895" s="28"/>
      <c r="AC895" s="28">
        <v>2357381000</v>
      </c>
      <c r="AD895" s="28">
        <v>14602612000</v>
      </c>
      <c r="AE895" s="28">
        <v>27856828000</v>
      </c>
      <c r="AF895" s="28">
        <v>3407780000</v>
      </c>
      <c r="AG895" s="11"/>
    </row>
    <row r="896">
      <c r="A896" s="7" t="s">
        <v>2627</v>
      </c>
      <c r="B896" s="5" t="s">
        <v>10607</v>
      </c>
      <c r="C896" s="5" t="s">
        <v>18489</v>
      </c>
      <c r="D896" s="5" t="str">
        <v>502903997175</v>
      </c>
      <c r="E896" s="0" t="e">
        <f>+7 (910) 9482114</f>
        <v>#NAME?</v>
      </c>
      <c r="F896" s="5"/>
      <c r="G896" s="5"/>
      <c r="H896" s="26">
        <v>9.5</v>
      </c>
      <c r="I896" s="5" t="s">
        <v>28077</v>
      </c>
      <c r="J896" s="5" t="s">
        <v>28078</v>
      </c>
      <c r="K896" s="5" t="s">
        <v>344</v>
      </c>
      <c r="L896" s="5"/>
      <c r="M896" s="27">
        <v>35920</v>
      </c>
      <c r="N896" s="5" t="s">
        <v>50533</v>
      </c>
      <c r="O896" s="5" t="str">
        <v>7731447686</v>
      </c>
      <c r="P896" s="27">
        <v>12000</v>
      </c>
      <c r="Q896" s="5" t="s">
        <v>50534</v>
      </c>
      <c r="R896" s="5"/>
      <c r="S896" s="5" t="s">
        <v>50535</v>
      </c>
      <c r="T896" s="28">
        <v>31483000</v>
      </c>
      <c r="U896" s="28">
        <v>9299000</v>
      </c>
      <c r="V896" s="28">
        <v>6571588000</v>
      </c>
      <c r="W896" s="28"/>
      <c r="X896" s="28">
        <v>3292044000</v>
      </c>
      <c r="Y896" s="28">
        <v>10522049000</v>
      </c>
      <c r="Z896" s="28">
        <v>1496282000</v>
      </c>
      <c r="AA896" s="28"/>
      <c r="AB896" s="28"/>
      <c r="AC896" s="28">
        <v>8951750000</v>
      </c>
      <c r="AD896" s="28">
        <v>1496294000</v>
      </c>
      <c r="AE896" s="28">
        <v>31561733000</v>
      </c>
      <c r="AF896" s="28">
        <v>2511533000</v>
      </c>
      <c r="AG896" s="11"/>
    </row>
    <row r="897">
      <c r="A897" s="7" t="s">
        <v>2628</v>
      </c>
      <c r="B897" s="5" t="s">
        <v>10608</v>
      </c>
      <c r="C897" s="5" t="s">
        <v>18490</v>
      </c>
      <c r="D897" s="5" t="str">
        <v>772633626642</v>
      </c>
      <c r="E897" s="0" t="e">
        <f>+7 (495) 2295161
+7 (495) 2295171
+7 (495) 6295161
+7 (495) 9330682</f>
        <v>#NAME?</v>
      </c>
      <c r="F897" s="5" t="s">
        <v>28079</v>
      </c>
      <c r="G897" s="5" t="s">
        <v>28080</v>
      </c>
      <c r="H897" s="26">
        <v>19.5</v>
      </c>
      <c r="I897" s="5" t="s">
        <v>28081</v>
      </c>
      <c r="J897" s="5" t="s">
        <v>25842</v>
      </c>
      <c r="K897" s="5" t="s">
        <v>344</v>
      </c>
      <c r="L897" s="5"/>
      <c r="M897" s="27"/>
      <c r="N897" s="5" t="s">
        <v>50536</v>
      </c>
      <c r="O897" s="5" t="str">
        <v>7704266056</v>
      </c>
      <c r="P897" s="27">
        <v>8625000</v>
      </c>
      <c r="Q897" s="5" t="s">
        <v>50537</v>
      </c>
      <c r="R897" s="5"/>
      <c r="S897" s="5" t="s">
        <v>50538</v>
      </c>
      <c r="T897" s="28">
        <v>65419000</v>
      </c>
      <c r="U897" s="28">
        <v>1050000</v>
      </c>
      <c r="V897" s="28">
        <v>554330000</v>
      </c>
      <c r="W897" s="28"/>
      <c r="X897" s="28">
        <v>44244000</v>
      </c>
      <c r="Y897" s="28">
        <v>1017870000</v>
      </c>
      <c r="Z897" s="28">
        <v>183648000</v>
      </c>
      <c r="AA897" s="28"/>
      <c r="AB897" s="28"/>
      <c r="AC897" s="28">
        <v>807554000</v>
      </c>
      <c r="AD897" s="28">
        <v>192273000</v>
      </c>
      <c r="AE897" s="28">
        <v>4606049000</v>
      </c>
      <c r="AF897" s="28">
        <v>-24805000</v>
      </c>
      <c r="AG897" s="11"/>
    </row>
    <row r="898">
      <c r="A898" s="7" t="s">
        <v>2629</v>
      </c>
      <c r="B898" s="5" t="s">
        <v>10609</v>
      </c>
      <c r="C898" s="5" t="s">
        <v>18491</v>
      </c>
      <c r="D898" s="5" t="str">
        <v>501700215600</v>
      </c>
      <c r="E898" s="0" t="e">
        <f>+7 (495) 2204348
+7 (495) 9376903
+7 (495) 9376932
+7 (495) 9736932
+7 (800) 2001052
+7 (915) 2070897
+7 (916) 1852873
+7 (926) 6645709
+7 (967) 959451
+7 (968) 3619093
+7 (968) 3619120
+7 (968) 3619121</f>
        <v>#NAME?</v>
      </c>
      <c r="F898" s="5" t="s">
        <v>28082</v>
      </c>
      <c r="G898" s="5" t="s">
        <v>28083</v>
      </c>
      <c r="H898" s="26">
        <v>5.5</v>
      </c>
      <c r="I898" s="5" t="s">
        <v>28084</v>
      </c>
      <c r="J898" s="5" t="s">
        <v>27147</v>
      </c>
      <c r="K898" s="5" t="s">
        <v>344</v>
      </c>
      <c r="L898" s="5" t="s">
        <v>28085</v>
      </c>
      <c r="M898" s="27"/>
      <c r="N898" s="5"/>
      <c r="O898" s="5" t="str">
        <v>7751057596</v>
      </c>
      <c r="P898" s="27">
        <v>1150000</v>
      </c>
      <c r="Q898" s="5"/>
      <c r="R898" s="5"/>
      <c r="S898" s="5" t="s">
        <v>49123</v>
      </c>
      <c r="T898" s="28">
        <v>795924000</v>
      </c>
      <c r="U898" s="28">
        <v>3930000</v>
      </c>
      <c r="V898" s="28">
        <v>1086926000</v>
      </c>
      <c r="W898" s="28">
        <v>163600000</v>
      </c>
      <c r="X898" s="28">
        <v>218987000</v>
      </c>
      <c r="Y898" s="28">
        <v>3653218000</v>
      </c>
      <c r="Z898" s="28">
        <v>1061324000</v>
      </c>
      <c r="AA898" s="28">
        <v>818548000</v>
      </c>
      <c r="AB898" s="28">
        <v>7611000</v>
      </c>
      <c r="AC898" s="28">
        <v>862494000</v>
      </c>
      <c r="AD898" s="28">
        <v>1540130000</v>
      </c>
      <c r="AE898" s="28">
        <v>5005240000</v>
      </c>
      <c r="AF898" s="28">
        <v>670659000</v>
      </c>
      <c r="AG898" s="11"/>
    </row>
    <row r="899">
      <c r="A899" s="7" t="s">
        <v>2630</v>
      </c>
      <c r="B899" s="5" t="s">
        <v>10610</v>
      </c>
      <c r="C899" s="5" t="s">
        <v>18492</v>
      </c>
      <c r="D899" s="5" t="str">
        <v>760200839560</v>
      </c>
      <c r="E899" s="0" t="e">
        <f>+7 (485) 2266490
+7 (485) 2222840
+7 (485) 2583644
+7 (485) 2735283
+7 (800) 5556973
+7 (902) 3330707
+7 (485) 2736329
+7 (485) 2737539</f>
        <v>#NAME?</v>
      </c>
      <c r="F899" s="5" t="s">
        <v>28086</v>
      </c>
      <c r="G899" s="5" t="s">
        <v>28087</v>
      </c>
      <c r="H899" s="26">
        <v>10.5</v>
      </c>
      <c r="I899" s="5" t="s">
        <v>28088</v>
      </c>
      <c r="J899" s="5" t="s">
        <v>28089</v>
      </c>
      <c r="K899" s="5" t="s">
        <v>344</v>
      </c>
      <c r="L899" s="5" t="s">
        <v>28090</v>
      </c>
      <c r="M899" s="27">
        <v>2037790</v>
      </c>
      <c r="N899" s="5" t="s">
        <v>50539</v>
      </c>
      <c r="O899" s="5" t="str">
        <v>7604228480</v>
      </c>
      <c r="P899" s="27">
        <v>100000</v>
      </c>
      <c r="Q899" s="5" t="s">
        <v>49355</v>
      </c>
      <c r="R899" s="5"/>
      <c r="S899" s="5" t="s">
        <v>50540</v>
      </c>
      <c r="T899" s="28">
        <v>124434000</v>
      </c>
      <c r="U899" s="28"/>
      <c r="V899" s="28">
        <v>526833000</v>
      </c>
      <c r="W899" s="28"/>
      <c r="X899" s="28">
        <v>37122000</v>
      </c>
      <c r="Y899" s="28">
        <v>1595630000</v>
      </c>
      <c r="Z899" s="28">
        <v>531534000</v>
      </c>
      <c r="AA899" s="28"/>
      <c r="AB899" s="28">
        <v>370625000</v>
      </c>
      <c r="AC899" s="28">
        <v>1004201000</v>
      </c>
      <c r="AD899" s="28">
        <v>531634000</v>
      </c>
      <c r="AE899" s="28">
        <v>4556510000</v>
      </c>
      <c r="AF899" s="28">
        <v>39483000</v>
      </c>
      <c r="AG899" s="11"/>
    </row>
    <row r="900">
      <c r="A900" s="7" t="s">
        <v>2631</v>
      </c>
      <c r="B900" s="5" t="s">
        <v>10611</v>
      </c>
      <c r="C900" s="5" t="s">
        <v>18493</v>
      </c>
      <c r="D900" s="5" t="str">
        <v>251100725923</v>
      </c>
      <c r="E900" s="0" t="e">
        <f>+7 (917) 5641524
+7 (495) 9001065</f>
        <v>#NAME?</v>
      </c>
      <c r="F900" s="5" t="s">
        <v>28091</v>
      </c>
      <c r="G900" s="5" t="s">
        <v>28092</v>
      </c>
      <c r="H900" s="26">
        <v>11.5</v>
      </c>
      <c r="I900" s="5" t="s">
        <v>28093</v>
      </c>
      <c r="J900" s="5" t="s">
        <v>748</v>
      </c>
      <c r="K900" s="5" t="s">
        <v>344</v>
      </c>
      <c r="L900" s="5" t="s">
        <v>28094</v>
      </c>
      <c r="M900" s="27"/>
      <c r="N900" s="5" t="s">
        <v>50541</v>
      </c>
      <c r="O900" s="5" t="str">
        <v>7714856880</v>
      </c>
      <c r="P900" s="27">
        <v>1000000</v>
      </c>
      <c r="Q900" s="5" t="s">
        <v>50542</v>
      </c>
      <c r="R900" s="5"/>
      <c r="S900" s="5" t="s">
        <v>50543</v>
      </c>
      <c r="T900" s="28">
        <v>59431000</v>
      </c>
      <c r="U900" s="28"/>
      <c r="V900" s="28">
        <v>2121842000</v>
      </c>
      <c r="W900" s="28">
        <v>61000000</v>
      </c>
      <c r="X900" s="28">
        <v>681177000</v>
      </c>
      <c r="Y900" s="28">
        <v>3029665000</v>
      </c>
      <c r="Z900" s="28">
        <v>1428168000</v>
      </c>
      <c r="AA900" s="28"/>
      <c r="AB900" s="28">
        <v>86328000</v>
      </c>
      <c r="AC900" s="28">
        <v>1571932000</v>
      </c>
      <c r="AD900" s="28">
        <v>1429168000</v>
      </c>
      <c r="AE900" s="28">
        <v>6050618000</v>
      </c>
      <c r="AF900" s="28">
        <v>771143000</v>
      </c>
      <c r="AG900" s="11"/>
    </row>
    <row r="901">
      <c r="A901" s="7" t="s">
        <v>2632</v>
      </c>
      <c r="B901" s="5" t="s">
        <v>10612</v>
      </c>
      <c r="C901" s="5" t="s">
        <v>18494</v>
      </c>
      <c r="D901" s="5" t="str">
        <v>770970220101</v>
      </c>
      <c r="E901" s="0" t="e">
        <f>+7 (495) 4098904</f>
        <v>#NAME?</v>
      </c>
      <c r="F901" s="5" t="s">
        <v>28095</v>
      </c>
      <c r="G901" s="5" t="s">
        <v>28096</v>
      </c>
      <c r="H901" s="26">
        <v>6</v>
      </c>
      <c r="I901" s="5" t="s">
        <v>28097</v>
      </c>
      <c r="J901" s="5" t="s">
        <v>364</v>
      </c>
      <c r="K901" s="5" t="s">
        <v>380</v>
      </c>
      <c r="L901" s="5"/>
      <c r="M901" s="27">
        <v>113862406</v>
      </c>
      <c r="N901" s="5" t="s">
        <v>50544</v>
      </c>
      <c r="O901" s="5" t="str">
        <v>7708305161</v>
      </c>
      <c r="P901" s="27">
        <v>10000</v>
      </c>
      <c r="Q901" s="5" t="s">
        <v>50545</v>
      </c>
      <c r="R901" s="5"/>
      <c r="S901" s="5" t="s">
        <v>49227</v>
      </c>
      <c r="T901" s="28">
        <v>545320000</v>
      </c>
      <c r="U901" s="28"/>
      <c r="V901" s="28">
        <v>238766000</v>
      </c>
      <c r="W901" s="28"/>
      <c r="X901" s="28">
        <v>13512000</v>
      </c>
      <c r="Y901" s="28">
        <v>9476105000</v>
      </c>
      <c r="Z901" s="28">
        <v>-932201000</v>
      </c>
      <c r="AA901" s="28"/>
      <c r="AB901" s="28">
        <v>9870842000</v>
      </c>
      <c r="AC901" s="28">
        <v>10313830000</v>
      </c>
      <c r="AD901" s="28">
        <v>-932191000</v>
      </c>
      <c r="AE901" s="28">
        <v>3648598000</v>
      </c>
      <c r="AF901" s="28">
        <v>-765990000</v>
      </c>
      <c r="AG901" s="11"/>
    </row>
    <row r="902">
      <c r="A902" s="7" t="s">
        <v>2633</v>
      </c>
      <c r="B902" s="5" t="s">
        <v>10613</v>
      </c>
      <c r="C902" s="5" t="s">
        <v>18495</v>
      </c>
      <c r="D902" s="5" t="str">
        <v>773131308239</v>
      </c>
      <c r="E902" s="0" t="e">
        <f>+7 (3512) 400164
+7 (385) 2506245
+7 (473) 2332842
+7 (474) 2515740
+7 (474) 2557100
+7 (474) 2557200
+7 (475) 2756179
+7 (4862) 442224
+7 (487) 2710560
+7 (4912) 240718
+7 (495) 6200926
+7 (800) 2002252
+7 (812) 4077319
+7 (812) 4077320
+7 (8412) 465055</f>
        <v>#NAME?</v>
      </c>
      <c r="F902" s="5" t="s">
        <v>28098</v>
      </c>
      <c r="G902" s="5" t="s">
        <v>28099</v>
      </c>
      <c r="H902" s="26">
        <v>17.5</v>
      </c>
      <c r="I902" s="5" t="s">
        <v>28100</v>
      </c>
      <c r="J902" s="5" t="s">
        <v>25864</v>
      </c>
      <c r="K902" s="5" t="s">
        <v>344</v>
      </c>
      <c r="L902" s="5" t="s">
        <v>28101</v>
      </c>
      <c r="M902" s="27"/>
      <c r="N902" s="5" t="s">
        <v>50546</v>
      </c>
      <c r="O902" s="5" t="str">
        <v>7704564736</v>
      </c>
      <c r="P902" s="27">
        <v>181793000</v>
      </c>
      <c r="Q902" s="5" t="s">
        <v>49021</v>
      </c>
      <c r="R902" s="5"/>
      <c r="S902" s="5" t="s">
        <v>50547</v>
      </c>
      <c r="T902" s="28">
        <v>126699000</v>
      </c>
      <c r="U902" s="28"/>
      <c r="V902" s="28">
        <v>130109000</v>
      </c>
      <c r="W902" s="28"/>
      <c r="X902" s="28">
        <v>93616000</v>
      </c>
      <c r="Y902" s="28">
        <v>1430993000</v>
      </c>
      <c r="Z902" s="28">
        <v>335841000</v>
      </c>
      <c r="AA902" s="28">
        <v>299520000</v>
      </c>
      <c r="AB902" s="28">
        <v>62724000</v>
      </c>
      <c r="AC902" s="28">
        <v>532959000</v>
      </c>
      <c r="AD902" s="28">
        <v>530981000</v>
      </c>
      <c r="AE902" s="28">
        <v>3364007000</v>
      </c>
      <c r="AF902" s="28">
        <v>197761000</v>
      </c>
      <c r="AG902" s="11"/>
    </row>
    <row r="903">
      <c r="A903" s="7" t="s">
        <v>2634</v>
      </c>
      <c r="B903" s="5" t="s">
        <v>10614</v>
      </c>
      <c r="C903" s="5" t="s">
        <v>18496</v>
      </c>
      <c r="D903" s="5" t="str">
        <v>263013658029</v>
      </c>
      <c r="E903" s="0" t="e">
        <f>+7 (499) 1335230
+7 (495) 9561717
+7 (812) 3251510
+7 (909) 5837676
+7 (962) 3683321
+7 (963) 2448602
+7 (968) 3577106
+7 (985) 7049880</f>
        <v>#NAME?</v>
      </c>
      <c r="F903" s="5"/>
      <c r="G903" s="5" t="s">
        <v>28102</v>
      </c>
      <c r="H903" s="26">
        <v>14</v>
      </c>
      <c r="I903" s="5" t="s">
        <v>28103</v>
      </c>
      <c r="J903" s="5" t="s">
        <v>678</v>
      </c>
      <c r="K903" s="5" t="s">
        <v>344</v>
      </c>
      <c r="L903" s="5" t="s">
        <v>28104</v>
      </c>
      <c r="M903" s="27">
        <v>8272919</v>
      </c>
      <c r="N903" s="5" t="s">
        <v>50548</v>
      </c>
      <c r="O903" s="5" t="str">
        <v>7736588909</v>
      </c>
      <c r="P903" s="27">
        <v>100000</v>
      </c>
      <c r="Q903" s="5" t="s">
        <v>50549</v>
      </c>
      <c r="R903" s="5"/>
      <c r="S903" s="5" t="s">
        <v>50550</v>
      </c>
      <c r="T903" s="28">
        <v>296647000</v>
      </c>
      <c r="U903" s="28">
        <v>107522000</v>
      </c>
      <c r="V903" s="28">
        <v>9748882000</v>
      </c>
      <c r="W903" s="28">
        <v>1019316000</v>
      </c>
      <c r="X903" s="28">
        <v>899638000</v>
      </c>
      <c r="Y903" s="28">
        <v>17599516000</v>
      </c>
      <c r="Z903" s="28">
        <v>1831533000</v>
      </c>
      <c r="AA903" s="28">
        <v>1398615000</v>
      </c>
      <c r="AB903" s="28">
        <v>1794823000</v>
      </c>
      <c r="AC903" s="28">
        <v>14050876000</v>
      </c>
      <c r="AD903" s="28">
        <v>1831633000</v>
      </c>
      <c r="AE903" s="28">
        <v>34384311000</v>
      </c>
      <c r="AF903" s="28">
        <v>1038833000</v>
      </c>
      <c r="AG903" s="11"/>
    </row>
    <row r="904">
      <c r="A904" s="7" t="s">
        <v>2635</v>
      </c>
      <c r="B904" s="5" t="s">
        <v>10615</v>
      </c>
      <c r="C904" s="5" t="s">
        <v>18497</v>
      </c>
      <c r="D904" s="5" t="str">
        <v>525011726230</v>
      </c>
      <c r="E904" s="0" t="e">
        <f>+7 (495) 7398757
+7 (499) 4450269</f>
        <v>#NAME?</v>
      </c>
      <c r="F904" s="5" t="s">
        <v>28105</v>
      </c>
      <c r="G904" s="5"/>
      <c r="H904" s="26">
        <v>9.5</v>
      </c>
      <c r="I904" s="5" t="s">
        <v>28106</v>
      </c>
      <c r="J904" s="5" t="s">
        <v>354</v>
      </c>
      <c r="K904" s="5" t="s">
        <v>344</v>
      </c>
      <c r="L904" s="5"/>
      <c r="M904" s="27">
        <v>11281889</v>
      </c>
      <c r="N904" s="5" t="s">
        <v>49923</v>
      </c>
      <c r="O904" s="5" t="str">
        <v>7708797121</v>
      </c>
      <c r="P904" s="27">
        <v>769060</v>
      </c>
      <c r="Q904" s="5" t="s">
        <v>50551</v>
      </c>
      <c r="R904" s="5" t="s">
        <v>50552</v>
      </c>
      <c r="S904" s="5" t="s">
        <v>50553</v>
      </c>
      <c r="T904" s="28">
        <v>1443439000</v>
      </c>
      <c r="U904" s="28">
        <v>3743945000</v>
      </c>
      <c r="V904" s="28">
        <v>7051062000</v>
      </c>
      <c r="W904" s="28">
        <v>302565000</v>
      </c>
      <c r="X904" s="28">
        <v>943022000</v>
      </c>
      <c r="Y904" s="28">
        <v>23130537000</v>
      </c>
      <c r="Z904" s="28">
        <v>675781000</v>
      </c>
      <c r="AA904" s="28">
        <v>8949404000</v>
      </c>
      <c r="AB904" s="28">
        <v>1810441000</v>
      </c>
      <c r="AC904" s="28">
        <v>2813352000</v>
      </c>
      <c r="AD904" s="28">
        <v>9453772000</v>
      </c>
      <c r="AE904" s="28">
        <v>3463571000</v>
      </c>
      <c r="AF904" s="28">
        <v>-13545000</v>
      </c>
      <c r="AG904" s="11"/>
    </row>
    <row r="905">
      <c r="A905" s="7" t="s">
        <v>2636</v>
      </c>
      <c r="B905" s="5" t="s">
        <v>10616</v>
      </c>
      <c r="C905" s="5" t="s">
        <v>18498</v>
      </c>
      <c r="D905" s="5" t="str">
        <v>772501544344</v>
      </c>
      <c r="F905" s="5"/>
      <c r="G905" s="5"/>
      <c r="H905" s="26">
        <v>9.5</v>
      </c>
      <c r="I905" s="5" t="s">
        <v>28107</v>
      </c>
      <c r="J905" s="5" t="s">
        <v>28108</v>
      </c>
      <c r="K905" s="5" t="s">
        <v>344</v>
      </c>
      <c r="L905" s="5" t="s">
        <v>28109</v>
      </c>
      <c r="M905" s="27">
        <v>257105842</v>
      </c>
      <c r="N905" s="5"/>
      <c r="O905" s="5" t="str">
        <v>7703791260</v>
      </c>
      <c r="P905" s="27">
        <v>1243345000</v>
      </c>
      <c r="Q905" s="5" t="s">
        <v>49009</v>
      </c>
      <c r="R905" s="5"/>
      <c r="S905" s="5" t="s">
        <v>49010</v>
      </c>
      <c r="T905" s="28">
        <v>559753000</v>
      </c>
      <c r="U905" s="28">
        <v>3283497000</v>
      </c>
      <c r="V905" s="28">
        <v>318957000</v>
      </c>
      <c r="W905" s="28">
        <v>3460962000</v>
      </c>
      <c r="X905" s="28">
        <v>5421000</v>
      </c>
      <c r="Y905" s="28">
        <v>7766202000</v>
      </c>
      <c r="Z905" s="28">
        <v>5082833000</v>
      </c>
      <c r="AA905" s="28"/>
      <c r="AB905" s="28"/>
      <c r="AC905" s="28">
        <v>3057000</v>
      </c>
      <c r="AD905" s="28">
        <v>7763145000</v>
      </c>
      <c r="AE905" s="28">
        <v>7333065000</v>
      </c>
      <c r="AF905" s="28">
        <v>3251121000</v>
      </c>
      <c r="AG905" s="11"/>
    </row>
    <row r="906">
      <c r="A906" s="7" t="s">
        <v>2637</v>
      </c>
      <c r="B906" s="5" t="s">
        <v>10617</v>
      </c>
      <c r="C906" s="5" t="s">
        <v>18499</v>
      </c>
      <c r="D906" s="5" t="str">
        <v>745503947063</v>
      </c>
      <c r="E906" s="0" t="e">
        <f>+7 (912) 3095370</f>
        <v>#NAME?</v>
      </c>
      <c r="F906" s="5"/>
      <c r="G906" s="5"/>
      <c r="H906" s="26">
        <v>4</v>
      </c>
      <c r="I906" s="5" t="s">
        <v>28110</v>
      </c>
      <c r="J906" s="5" t="s">
        <v>26292</v>
      </c>
      <c r="K906" s="5" t="s">
        <v>355</v>
      </c>
      <c r="L906" s="5" t="s">
        <v>28111</v>
      </c>
      <c r="M906" s="27"/>
      <c r="N906" s="5"/>
      <c r="O906" s="5" t="str">
        <v>7455034831</v>
      </c>
      <c r="P906" s="27">
        <v>10000</v>
      </c>
      <c r="Q906" s="5" t="s">
        <v>49009</v>
      </c>
      <c r="R906" s="5"/>
      <c r="S906" s="5" t="s">
        <v>49010</v>
      </c>
      <c r="T906" s="28"/>
      <c r="U906" s="28"/>
      <c r="V906" s="28">
        <v>1289439000</v>
      </c>
      <c r="W906" s="28"/>
      <c r="X906" s="28">
        <v>362000</v>
      </c>
      <c r="Y906" s="28">
        <v>1759611000</v>
      </c>
      <c r="Z906" s="28">
        <v>45315000</v>
      </c>
      <c r="AA906" s="28"/>
      <c r="AB906" s="28"/>
      <c r="AC906" s="28">
        <v>1714286000</v>
      </c>
      <c r="AD906" s="28">
        <v>45325000</v>
      </c>
      <c r="AE906" s="28">
        <v>4520808000</v>
      </c>
      <c r="AF906" s="28">
        <v>7779000</v>
      </c>
      <c r="AG906" s="11"/>
    </row>
    <row r="907">
      <c r="A907" s="7" t="s">
        <v>2638</v>
      </c>
      <c r="B907" s="5" t="s">
        <v>10618</v>
      </c>
      <c r="C907" s="5" t="s">
        <v>18500</v>
      </c>
      <c r="D907" s="5" t="str">
        <v>410121030085</v>
      </c>
      <c r="E907" s="0" t="e">
        <f>+7 (415) 2230763
+7 (415) 2336464</f>
        <v>#NAME?</v>
      </c>
      <c r="F907" s="5"/>
      <c r="G907" s="5"/>
      <c r="H907" s="26">
        <v>18</v>
      </c>
      <c r="I907" s="5" t="s">
        <v>28112</v>
      </c>
      <c r="J907" s="5" t="s">
        <v>373</v>
      </c>
      <c r="K907" s="5" t="s">
        <v>344</v>
      </c>
      <c r="L907" s="5"/>
      <c r="M907" s="27"/>
      <c r="N907" s="5"/>
      <c r="O907" s="5" t="str">
        <v>4101100591</v>
      </c>
      <c r="P907" s="27">
        <v>10000</v>
      </c>
      <c r="Q907" s="5" t="s">
        <v>49059</v>
      </c>
      <c r="R907" s="5"/>
      <c r="S907" s="5" t="s">
        <v>49028</v>
      </c>
      <c r="T907" s="28"/>
      <c r="U907" s="28"/>
      <c r="V907" s="28">
        <v>2752229000</v>
      </c>
      <c r="W907" s="28">
        <v>62000</v>
      </c>
      <c r="X907" s="28">
        <v>1152000</v>
      </c>
      <c r="Y907" s="28">
        <v>2753452000</v>
      </c>
      <c r="Z907" s="28">
        <v>22261000</v>
      </c>
      <c r="AA907" s="28">
        <v>449313000</v>
      </c>
      <c r="AB907" s="28">
        <v>924000</v>
      </c>
      <c r="AC907" s="28">
        <v>2281868000</v>
      </c>
      <c r="AD907" s="28">
        <v>22271000</v>
      </c>
      <c r="AE907" s="28">
        <v>6185043000</v>
      </c>
      <c r="AF907" s="28">
        <v>17320000</v>
      </c>
      <c r="AG907" s="11"/>
    </row>
    <row r="908">
      <c r="A908" s="7" t="s">
        <v>2639</v>
      </c>
      <c r="B908" s="5" t="s">
        <v>10619</v>
      </c>
      <c r="C908" s="5" t="s">
        <v>18501</v>
      </c>
      <c r="D908" s="5" t="str">
        <v>502718429266</v>
      </c>
      <c r="E908" s="0" t="e">
        <f>+7 (495) 1334433
+7 (499) 1102534
+7 (499) 4031409
+7 (926) 5876369
+7 (963) 9224078</f>
        <v>#NAME?</v>
      </c>
      <c r="F908" s="5" t="s">
        <v>28113</v>
      </c>
      <c r="G908" s="5" t="s">
        <v>28114</v>
      </c>
      <c r="H908" s="26">
        <v>7</v>
      </c>
      <c r="I908" s="5" t="s">
        <v>28115</v>
      </c>
      <c r="J908" s="5" t="s">
        <v>25199</v>
      </c>
      <c r="K908" s="5" t="s">
        <v>344</v>
      </c>
      <c r="L908" s="5"/>
      <c r="M908" s="27"/>
      <c r="N908" s="5" t="s">
        <v>50554</v>
      </c>
      <c r="O908" s="5" t="str">
        <v>9701036178</v>
      </c>
      <c r="P908" s="27">
        <v>2720468549</v>
      </c>
      <c r="Q908" s="5" t="s">
        <v>50555</v>
      </c>
      <c r="R908" s="5"/>
      <c r="S908" s="5" t="s">
        <v>50556</v>
      </c>
      <c r="T908" s="28">
        <v>541768000</v>
      </c>
      <c r="U908" s="28">
        <v>3728514000</v>
      </c>
      <c r="V908" s="28">
        <v>10898750000</v>
      </c>
      <c r="W908" s="28">
        <v>15174126000</v>
      </c>
      <c r="X908" s="28">
        <v>84855000</v>
      </c>
      <c r="Y908" s="28">
        <v>32621680000</v>
      </c>
      <c r="Z908" s="28">
        <v>-185400000</v>
      </c>
      <c r="AA908" s="28">
        <v>888481000</v>
      </c>
      <c r="AB908" s="28">
        <v>1488655000</v>
      </c>
      <c r="AC908" s="28">
        <v>2485744000</v>
      </c>
      <c r="AD908" s="28">
        <v>28689677000</v>
      </c>
      <c r="AE908" s="28">
        <v>7531344000</v>
      </c>
      <c r="AF908" s="28">
        <v>22534000</v>
      </c>
      <c r="AG908" s="11"/>
    </row>
    <row r="909">
      <c r="A909" s="7" t="s">
        <v>2640</v>
      </c>
      <c r="B909" s="5" t="s">
        <v>10620</v>
      </c>
      <c r="C909" s="5" t="s">
        <v>18502</v>
      </c>
      <c r="D909" s="5" t="str">
        <v>616100803037</v>
      </c>
      <c r="E909" s="0" t="e">
        <f>+7 (863) 2906881
+7 (863) 2916818
+7 (8632) 908686
+7 (8632) 916815</f>
        <v>#NAME?</v>
      </c>
      <c r="F909" s="5" t="s">
        <v>28116</v>
      </c>
      <c r="G909" s="5" t="s">
        <v>28117</v>
      </c>
      <c r="H909" s="26">
        <v>17</v>
      </c>
      <c r="I909" s="5" t="s">
        <v>28118</v>
      </c>
      <c r="J909" s="5" t="s">
        <v>25842</v>
      </c>
      <c r="K909" s="5" t="s">
        <v>344</v>
      </c>
      <c r="L909" s="5" t="s">
        <v>28119</v>
      </c>
      <c r="M909" s="27"/>
      <c r="N909" s="5" t="s">
        <v>50557</v>
      </c>
      <c r="O909" s="5" t="str">
        <v>6166055485</v>
      </c>
      <c r="P909" s="27">
        <v>10000</v>
      </c>
      <c r="Q909" s="5" t="s">
        <v>50558</v>
      </c>
      <c r="R909" s="5"/>
      <c r="S909" s="5" t="s">
        <v>49504</v>
      </c>
      <c r="T909" s="28">
        <v>62914000</v>
      </c>
      <c r="U909" s="28"/>
      <c r="V909" s="28">
        <v>1723072000</v>
      </c>
      <c r="W909" s="28">
        <v>103164000</v>
      </c>
      <c r="X909" s="28">
        <v>59422000</v>
      </c>
      <c r="Y909" s="28">
        <v>3008546000</v>
      </c>
      <c r="Z909" s="28">
        <v>1265822000</v>
      </c>
      <c r="AA909" s="28">
        <v>359712000</v>
      </c>
      <c r="AB909" s="28"/>
      <c r="AC909" s="28">
        <v>1373399000</v>
      </c>
      <c r="AD909" s="28">
        <v>1265854000</v>
      </c>
      <c r="AE909" s="28">
        <v>5926233000</v>
      </c>
      <c r="AF909" s="28">
        <v>370324000</v>
      </c>
      <c r="AG909" s="11"/>
    </row>
    <row r="910">
      <c r="A910" s="7" t="s">
        <v>2641</v>
      </c>
      <c r="B910" s="5" t="s">
        <v>10621</v>
      </c>
      <c r="C910" s="5" t="s">
        <v>18503</v>
      </c>
      <c r="D910" s="5" t="str">
        <v>772380096705</v>
      </c>
      <c r="E910" s="0" t="e">
        <f>+7 (495) 7211244
+7 (495) 9611100
+7 (495) 9611101
+7 (916) 3202179</f>
        <v>#NAME?</v>
      </c>
      <c r="F910" s="5" t="s">
        <v>28120</v>
      </c>
      <c r="G910" s="5" t="s">
        <v>28121</v>
      </c>
      <c r="H910" s="26">
        <v>26.5</v>
      </c>
      <c r="I910" s="5"/>
      <c r="J910" s="5" t="s">
        <v>678</v>
      </c>
      <c r="K910" s="5" t="s">
        <v>344</v>
      </c>
      <c r="L910" s="5" t="s">
        <v>28122</v>
      </c>
      <c r="M910" s="27"/>
      <c r="N910" s="5"/>
      <c r="O910" s="5" t="str">
        <v>7707130374</v>
      </c>
      <c r="P910" s="27">
        <v>357296709</v>
      </c>
      <c r="Q910" s="5" t="s">
        <v>49059</v>
      </c>
      <c r="R910" s="5"/>
      <c r="S910" s="5" t="s">
        <v>49045</v>
      </c>
      <c r="T910" s="28">
        <v>73663000</v>
      </c>
      <c r="U910" s="28"/>
      <c r="V910" s="28">
        <v>599088000</v>
      </c>
      <c r="W910" s="28">
        <v>1200000000</v>
      </c>
      <c r="X910" s="28">
        <v>686104000</v>
      </c>
      <c r="Y910" s="28">
        <v>2836203000</v>
      </c>
      <c r="Z910" s="28">
        <v>1677348000</v>
      </c>
      <c r="AA910" s="28"/>
      <c r="AB910" s="28"/>
      <c r="AC910" s="28">
        <v>600904000</v>
      </c>
      <c r="AD910" s="28">
        <v>2150746000</v>
      </c>
      <c r="AE910" s="28">
        <v>3798319000</v>
      </c>
      <c r="AF910" s="28">
        <v>784452000</v>
      </c>
      <c r="AG910" s="11"/>
    </row>
    <row r="911">
      <c r="A911" s="7" t="s">
        <v>2642</v>
      </c>
      <c r="B911" s="5" t="s">
        <v>10622</v>
      </c>
      <c r="C911" s="5" t="s">
        <v>18504</v>
      </c>
      <c r="D911" s="5" t="str">
        <v>027810887227</v>
      </c>
      <c r="E911" s="0" t="e">
        <f>+7 (917) 4110214
+7 (917) 4125075</f>
        <v>#NAME?</v>
      </c>
      <c r="F911" s="5" t="s">
        <v>28123</v>
      </c>
      <c r="G911" s="5" t="s">
        <v>28124</v>
      </c>
      <c r="H911" s="26">
        <v>10</v>
      </c>
      <c r="I911" s="5" t="s">
        <v>28125</v>
      </c>
      <c r="J911" s="5" t="s">
        <v>364</v>
      </c>
      <c r="K911" s="5" t="s">
        <v>344</v>
      </c>
      <c r="L911" s="5" t="s">
        <v>28126</v>
      </c>
      <c r="M911" s="27">
        <v>83994431</v>
      </c>
      <c r="N911" s="5" t="s">
        <v>50559</v>
      </c>
      <c r="O911" s="5" t="str">
        <v>0274171840</v>
      </c>
      <c r="P911" s="27">
        <v>2020000</v>
      </c>
      <c r="Q911" s="5" t="s">
        <v>50560</v>
      </c>
      <c r="R911" s="5"/>
      <c r="S911" s="5" t="s">
        <v>50561</v>
      </c>
      <c r="T911" s="28">
        <v>216209000</v>
      </c>
      <c r="U911" s="28">
        <v>66700000</v>
      </c>
      <c r="V911" s="28">
        <v>2236945000</v>
      </c>
      <c r="W911" s="28">
        <v>178353000</v>
      </c>
      <c r="X911" s="28">
        <v>471140000</v>
      </c>
      <c r="Y911" s="28">
        <v>4021612000</v>
      </c>
      <c r="Z911" s="28">
        <v>763030000</v>
      </c>
      <c r="AA911" s="28">
        <v>137384000</v>
      </c>
      <c r="AB911" s="28">
        <v>201160000</v>
      </c>
      <c r="AC911" s="28">
        <v>3030915000</v>
      </c>
      <c r="AD911" s="28">
        <v>765050000</v>
      </c>
      <c r="AE911" s="28">
        <v>3011113000</v>
      </c>
      <c r="AF911" s="28">
        <v>36300000</v>
      </c>
      <c r="AG911" s="11"/>
    </row>
    <row r="912">
      <c r="A912" s="7" t="s">
        <v>2643</v>
      </c>
      <c r="B912" s="5" t="s">
        <v>10623</v>
      </c>
      <c r="C912" s="5" t="s">
        <v>18505</v>
      </c>
      <c r="D912" s="5" t="str">
        <v>772741460232</v>
      </c>
      <c r="E912" s="0" t="e">
        <f>+7 (3433) 394283
+7 (4232) 492677
+7 (473) 2031115
+7 (485) 2670237
+7 (49341) 22283
+7 (49341) 22957
+7 (49341) 34943
+7 (49341) 34950
+7 (495) 6406440
+7 (495) 7805324
+7 (800) 5554256
+7 (812) 2411891
+7 (844) 2459144
+7 (8452) 491152
+7 (851) 2994506</f>
        <v>#NAME?</v>
      </c>
      <c r="F912" s="5" t="s">
        <v>28127</v>
      </c>
      <c r="G912" s="5"/>
      <c r="H912" s="26">
        <v>17</v>
      </c>
      <c r="I912" s="5" t="s">
        <v>28128</v>
      </c>
      <c r="J912" s="5" t="s">
        <v>445</v>
      </c>
      <c r="K912" s="5" t="s">
        <v>344</v>
      </c>
      <c r="L912" s="5" t="s">
        <v>28129</v>
      </c>
      <c r="M912" s="27"/>
      <c r="N912" s="5"/>
      <c r="O912" s="5" t="str">
        <v>3705061495</v>
      </c>
      <c r="P912" s="27">
        <v>10000</v>
      </c>
      <c r="Q912" s="5" t="s">
        <v>49009</v>
      </c>
      <c r="R912" s="5"/>
      <c r="S912" s="5" t="s">
        <v>49028</v>
      </c>
      <c r="T912" s="28">
        <v>352447000</v>
      </c>
      <c r="U912" s="28"/>
      <c r="V912" s="28">
        <v>565226000</v>
      </c>
      <c r="W912" s="28">
        <v>6400000</v>
      </c>
      <c r="X912" s="28">
        <v>359567000</v>
      </c>
      <c r="Y912" s="28">
        <v>2091550000</v>
      </c>
      <c r="Z912" s="28">
        <v>1070888000</v>
      </c>
      <c r="AA912" s="28"/>
      <c r="AB912" s="28"/>
      <c r="AC912" s="28">
        <v>784599000</v>
      </c>
      <c r="AD912" s="28">
        <v>1070898000</v>
      </c>
      <c r="AE912" s="28">
        <v>3650775000</v>
      </c>
      <c r="AF912" s="28">
        <v>759196000</v>
      </c>
      <c r="AG912" s="11"/>
    </row>
    <row r="913">
      <c r="A913" s="7" t="s">
        <v>2644</v>
      </c>
      <c r="B913" s="5" t="s">
        <v>10624</v>
      </c>
      <c r="C913" s="5" t="s">
        <v>18506</v>
      </c>
      <c r="D913" s="5" t="str">
        <v>781100668604</v>
      </c>
      <c r="E913" s="0" t="e">
        <f>+7 (495) 7310118
+7 (495) 7310181
+7 (495) 7310245
+7 (495) 7330460
+7 (495) 7330462
+7 (495) 7330463
+7 (495) 7330464
+7 (495) 7338559
+7 (495) 7556696
+7 (495) 7880102
+7 (495) 7880104
+7 (495) 7880107
+7 (495) 7880126
+7 (495) 7880128</f>
        <v>#NAME?</v>
      </c>
      <c r="F913" s="5" t="s">
        <v>28130</v>
      </c>
      <c r="G913" s="5"/>
      <c r="H913" s="26">
        <v>15</v>
      </c>
      <c r="I913" s="5" t="s">
        <v>28131</v>
      </c>
      <c r="J913" s="5" t="s">
        <v>26410</v>
      </c>
      <c r="K913" s="5" t="s">
        <v>344</v>
      </c>
      <c r="L913" s="5" t="s">
        <v>28132</v>
      </c>
      <c r="M913" s="27"/>
      <c r="N913" s="5"/>
      <c r="O913" s="5" t="str">
        <v>7732521036</v>
      </c>
      <c r="P913" s="27">
        <v>6000000</v>
      </c>
      <c r="Q913" s="5" t="s">
        <v>49324</v>
      </c>
      <c r="R913" s="5"/>
      <c r="S913" s="5" t="s">
        <v>50562</v>
      </c>
      <c r="T913" s="28">
        <v>3406785000</v>
      </c>
      <c r="U913" s="28"/>
      <c r="V913" s="28">
        <v>404782000</v>
      </c>
      <c r="W913" s="28"/>
      <c r="X913" s="28">
        <v>825819000</v>
      </c>
      <c r="Y913" s="28">
        <v>5103433000</v>
      </c>
      <c r="Z913" s="28">
        <v>3804214000</v>
      </c>
      <c r="AA913" s="28"/>
      <c r="AB913" s="28"/>
      <c r="AC913" s="28">
        <v>471306000</v>
      </c>
      <c r="AD913" s="28">
        <v>4523692000</v>
      </c>
      <c r="AE913" s="28">
        <v>4733108000</v>
      </c>
      <c r="AF913" s="28">
        <v>755869000</v>
      </c>
      <c r="AG913" s="11"/>
    </row>
    <row r="914">
      <c r="A914" s="7" t="s">
        <v>2645</v>
      </c>
      <c r="B914" s="5" t="s">
        <v>10625</v>
      </c>
      <c r="C914" s="5" t="s">
        <v>18507</v>
      </c>
      <c r="D914" s="5" t="str">
        <v>343505986803</v>
      </c>
      <c r="E914" s="0" t="e">
        <f>+7 (8443) 312231
+7 (495) 6005776
+7 (495) 6605766
+7 (495) 6625776
+7 (495) 6605774
+7 (495) 6605776
+7 (499) 6605776</f>
        <v>#NAME?</v>
      </c>
      <c r="F914" s="5" t="s">
        <v>28133</v>
      </c>
      <c r="G914" s="5" t="s">
        <v>28134</v>
      </c>
      <c r="H914" s="26">
        <v>14</v>
      </c>
      <c r="I914" s="5" t="s">
        <v>28135</v>
      </c>
      <c r="J914" s="5" t="s">
        <v>26767</v>
      </c>
      <c r="K914" s="5" t="s">
        <v>344</v>
      </c>
      <c r="L914" s="5" t="s">
        <v>28136</v>
      </c>
      <c r="M914" s="27"/>
      <c r="N914" s="5" t="s">
        <v>50563</v>
      </c>
      <c r="O914" s="5" t="str">
        <v>7705883894</v>
      </c>
      <c r="P914" s="27">
        <v>1000000</v>
      </c>
      <c r="Q914" s="5" t="s">
        <v>50564</v>
      </c>
      <c r="R914" s="5"/>
      <c r="S914" s="5" t="s">
        <v>50565</v>
      </c>
      <c r="T914" s="28">
        <v>10273000</v>
      </c>
      <c r="U914" s="28"/>
      <c r="V914" s="28">
        <v>1187723000</v>
      </c>
      <c r="W914" s="28">
        <v>966345000</v>
      </c>
      <c r="X914" s="28">
        <v>235293000</v>
      </c>
      <c r="Y914" s="28">
        <v>3161278000</v>
      </c>
      <c r="Z914" s="28">
        <v>1448721000</v>
      </c>
      <c r="AA914" s="28"/>
      <c r="AB914" s="28"/>
      <c r="AC914" s="28">
        <v>1711557000</v>
      </c>
      <c r="AD914" s="28">
        <v>1449721000</v>
      </c>
      <c r="AE914" s="28">
        <v>3494687000</v>
      </c>
      <c r="AF914" s="28">
        <v>199003000</v>
      </c>
      <c r="AG914" s="11"/>
    </row>
    <row r="915">
      <c r="A915" s="7" t="s">
        <v>2646</v>
      </c>
      <c r="B915" s="5" t="s">
        <v>10626</v>
      </c>
      <c r="C915" s="5" t="s">
        <v>18508</v>
      </c>
      <c r="D915" s="5" t="str">
        <v>631600317871</v>
      </c>
      <c r="E915" s="0" t="e">
        <f>+7 (846) 3401452
+7 (846) 3401529
+7 (846) 3401547
+7 (846) 3406723
+7 (846) 3406785
+7 (846) 3407127
+7 (84627) 86181
+7 (84633) 24075
+7 (84633) 37190
+7 (84633) 37684
+7 (84657) 86181</f>
        <v>#NAME?</v>
      </c>
      <c r="F915" s="5" t="s">
        <v>28137</v>
      </c>
      <c r="G915" s="5" t="s">
        <v>28138</v>
      </c>
      <c r="H915" s="26">
        <v>27</v>
      </c>
      <c r="I915" s="5" t="s">
        <v>28139</v>
      </c>
      <c r="J915" s="5" t="s">
        <v>364</v>
      </c>
      <c r="K915" s="5" t="s">
        <v>344</v>
      </c>
      <c r="L915" s="5" t="s">
        <v>1287</v>
      </c>
      <c r="M915" s="27"/>
      <c r="N915" s="5" t="s">
        <v>50566</v>
      </c>
      <c r="O915" s="5" t="str">
        <v>6311033659</v>
      </c>
      <c r="P915" s="27">
        <v>1000000</v>
      </c>
      <c r="Q915" s="5" t="s">
        <v>50567</v>
      </c>
      <c r="R915" s="5" t="s">
        <v>50568</v>
      </c>
      <c r="S915" s="5" t="s">
        <v>50569</v>
      </c>
      <c r="T915" s="28">
        <v>362096000</v>
      </c>
      <c r="U915" s="28"/>
      <c r="V915" s="28">
        <v>1370903000</v>
      </c>
      <c r="W915" s="28">
        <v>32738000</v>
      </c>
      <c r="X915" s="28">
        <v>264859000</v>
      </c>
      <c r="Y915" s="28">
        <v>2982683000</v>
      </c>
      <c r="Z915" s="28">
        <v>319014000</v>
      </c>
      <c r="AA915" s="28"/>
      <c r="AB915" s="28">
        <v>1984000</v>
      </c>
      <c r="AC915" s="28">
        <v>145396000</v>
      </c>
      <c r="AD915" s="28">
        <v>320014000</v>
      </c>
      <c r="AE915" s="28">
        <v>3396299000</v>
      </c>
      <c r="AF915" s="28">
        <v>40070000</v>
      </c>
      <c r="AG915" s="11"/>
    </row>
    <row r="916">
      <c r="A916" s="7" t="s">
        <v>2647</v>
      </c>
      <c r="B916" s="5" t="s">
        <v>10627</v>
      </c>
      <c r="C916" s="5" t="s">
        <v>18509</v>
      </c>
      <c r="D916" s="5" t="str">
        <v>540806859340</v>
      </c>
      <c r="F916" s="5" t="s">
        <v>28140</v>
      </c>
      <c r="G916" s="5"/>
      <c r="H916" s="26">
        <v>3.5</v>
      </c>
      <c r="I916" s="5" t="s">
        <v>28141</v>
      </c>
      <c r="J916" s="5" t="s">
        <v>25429</v>
      </c>
      <c r="K916" s="5" t="s">
        <v>344</v>
      </c>
      <c r="L916" s="5"/>
      <c r="M916" s="27"/>
      <c r="N916" s="5"/>
      <c r="O916" s="5" t="str">
        <v>9704005675</v>
      </c>
      <c r="P916" s="27">
        <v>37729380661</v>
      </c>
      <c r="Q916" s="5" t="s">
        <v>49207</v>
      </c>
      <c r="R916" s="5"/>
      <c r="S916" s="5" t="s">
        <v>50570</v>
      </c>
      <c r="T916" s="28">
        <v>26981000</v>
      </c>
      <c r="U916" s="28">
        <v>38494111000</v>
      </c>
      <c r="V916" s="28">
        <v>21171867000</v>
      </c>
      <c r="W916" s="28">
        <v>3671568000</v>
      </c>
      <c r="X916" s="28">
        <v>1583585000</v>
      </c>
      <c r="Y916" s="28">
        <v>75781386000</v>
      </c>
      <c r="Z916" s="28">
        <v>3452970000</v>
      </c>
      <c r="AA916" s="28">
        <v>7113038000</v>
      </c>
      <c r="AB916" s="28">
        <v>3850372000</v>
      </c>
      <c r="AC916" s="28">
        <v>27081402000</v>
      </c>
      <c r="AD916" s="28">
        <v>41187751000</v>
      </c>
      <c r="AE916" s="28">
        <v>36510537000</v>
      </c>
      <c r="AF916" s="28">
        <v>5722879000</v>
      </c>
      <c r="AG916" s="11"/>
    </row>
    <row r="917">
      <c r="A917" s="7" t="s">
        <v>2648</v>
      </c>
      <c r="B917" s="5" t="s">
        <v>10628</v>
      </c>
      <c r="C917" s="5" t="s">
        <v>18510</v>
      </c>
      <c r="D917" s="5" t="str">
        <v>770303375066</v>
      </c>
      <c r="E917" s="0" t="e">
        <f>+7 (416) 2334400
+7 (495) 3542425
+7 (495) 7241404
+7 (47235) 56232
+7 (495) 7211401</f>
        <v>#NAME?</v>
      </c>
      <c r="F917" s="5" t="s">
        <v>28142</v>
      </c>
      <c r="G917" s="5" t="s">
        <v>28143</v>
      </c>
      <c r="H917" s="26">
        <v>25</v>
      </c>
      <c r="I917" s="5" t="s">
        <v>28144</v>
      </c>
      <c r="J917" s="5" t="s">
        <v>26767</v>
      </c>
      <c r="K917" s="5" t="s">
        <v>344</v>
      </c>
      <c r="L917" s="5" t="s">
        <v>28145</v>
      </c>
      <c r="M917" s="27"/>
      <c r="N917" s="5" t="s">
        <v>50571</v>
      </c>
      <c r="O917" s="5" t="str">
        <v>7712100600</v>
      </c>
      <c r="P917" s="27">
        <v>66000</v>
      </c>
      <c r="Q917" s="5" t="s">
        <v>50572</v>
      </c>
      <c r="R917" s="5"/>
      <c r="S917" s="5" t="s">
        <v>49173</v>
      </c>
      <c r="T917" s="28">
        <v>529936000</v>
      </c>
      <c r="U917" s="28"/>
      <c r="V917" s="28">
        <v>584040000</v>
      </c>
      <c r="W917" s="28"/>
      <c r="X917" s="28">
        <v>380389000</v>
      </c>
      <c r="Y917" s="28">
        <v>2072887000</v>
      </c>
      <c r="Z917" s="28">
        <v>1179717000</v>
      </c>
      <c r="AA917" s="28"/>
      <c r="AB917" s="28"/>
      <c r="AC917" s="28">
        <v>449453000</v>
      </c>
      <c r="AD917" s="28">
        <v>1182097000</v>
      </c>
      <c r="AE917" s="28">
        <v>3365836000</v>
      </c>
      <c r="AF917" s="28">
        <v>559510000</v>
      </c>
      <c r="AG917" s="11"/>
    </row>
    <row r="918">
      <c r="A918" s="7" t="s">
        <v>2649</v>
      </c>
      <c r="B918" s="5" t="s">
        <v>10629</v>
      </c>
      <c r="C918" s="5" t="s">
        <v>18511</v>
      </c>
      <c r="D918" s="5" t="str">
        <v>631106521307</v>
      </c>
      <c r="E918" s="0" t="e">
        <f>+7 (846) 2420997
+7 (846) 2777713
+7 (84627) 72725
+7 (84627) 77723
+7 (84627) 77724
+7 (84627) 77725
+7 (84627) 77727
+7 (84651) 36223
+7 (84667) 29131
+7 (84667) 29136</f>
        <v>#NAME?</v>
      </c>
      <c r="F918" s="5" t="s">
        <v>28146</v>
      </c>
      <c r="G918" s="5" t="s">
        <v>28147</v>
      </c>
      <c r="H918" s="26">
        <v>18.5</v>
      </c>
      <c r="I918" s="5" t="s">
        <v>28148</v>
      </c>
      <c r="J918" s="5" t="s">
        <v>25829</v>
      </c>
      <c r="K918" s="5" t="s">
        <v>344</v>
      </c>
      <c r="L918" s="5" t="s">
        <v>28149</v>
      </c>
      <c r="M918" s="27">
        <v>21719285</v>
      </c>
      <c r="N918" s="5" t="s">
        <v>50573</v>
      </c>
      <c r="O918" s="5" t="str">
        <v>6367044243</v>
      </c>
      <c r="P918" s="27">
        <v>138020632</v>
      </c>
      <c r="Q918" s="5" t="s">
        <v>49057</v>
      </c>
      <c r="R918" s="5"/>
      <c r="S918" s="5" t="s">
        <v>50575</v>
      </c>
      <c r="T918" s="28">
        <v>16996528000</v>
      </c>
      <c r="U918" s="28">
        <v>6682562000</v>
      </c>
      <c r="V918" s="28">
        <v>4631438000</v>
      </c>
      <c r="W918" s="28">
        <v>500000000</v>
      </c>
      <c r="X918" s="28">
        <v>2998370000</v>
      </c>
      <c r="Y918" s="28">
        <v>40433705000</v>
      </c>
      <c r="Z918" s="28">
        <v>14227549000</v>
      </c>
      <c r="AA918" s="28">
        <v>6717397000</v>
      </c>
      <c r="AB918" s="28">
        <v>8635224000</v>
      </c>
      <c r="AC918" s="28">
        <v>12809023000</v>
      </c>
      <c r="AD918" s="28">
        <v>19233425000</v>
      </c>
      <c r="AE918" s="28">
        <v>10526955000</v>
      </c>
      <c r="AF918" s="28">
        <v>2149797000</v>
      </c>
      <c r="AG918" s="11"/>
    </row>
    <row r="919">
      <c r="A919" s="7" t="s">
        <v>2650</v>
      </c>
      <c r="B919" s="5" t="s">
        <v>10630</v>
      </c>
      <c r="C919" s="5" t="s">
        <v>18512</v>
      </c>
      <c r="D919" s="5" t="str">
        <v>616266732359</v>
      </c>
      <c r="E919" s="0" t="e">
        <f>+7 (928) 2960647
+7 (473) 2801141
+7 (8632) 7733
+7 (8632) 276310
+7 (86385) 20777
+7 (86393) 60401
+7 (928) 1812807
+7 (928) 2291085
+7 (928) 2704613
+7 (928) 2792437
+7 (928) 9059073
+7 (928) 9059476
+7 (930) 4008022</f>
        <v>#NAME?</v>
      </c>
      <c r="F919" s="5" t="s">
        <v>28150</v>
      </c>
      <c r="G919" s="5" t="s">
        <v>28151</v>
      </c>
      <c r="H919" s="26">
        <v>15.5</v>
      </c>
      <c r="I919" s="5"/>
      <c r="J919" s="5" t="s">
        <v>25837</v>
      </c>
      <c r="K919" s="5" t="s">
        <v>344</v>
      </c>
      <c r="L919" s="5" t="s">
        <v>28152</v>
      </c>
      <c r="M919" s="27"/>
      <c r="N919" s="5" t="s">
        <v>50576</v>
      </c>
      <c r="O919" s="5" t="str">
        <v>6162051881</v>
      </c>
      <c r="P919" s="27">
        <v>100000</v>
      </c>
      <c r="Q919" s="5"/>
      <c r="R919" s="5"/>
      <c r="S919" s="5" t="s">
        <v>49047</v>
      </c>
      <c r="T919" s="28">
        <v>66257000</v>
      </c>
      <c r="U919" s="28">
        <v>89697000</v>
      </c>
      <c r="V919" s="28">
        <v>1725956000</v>
      </c>
      <c r="W919" s="28"/>
      <c r="X919" s="28">
        <v>11792000</v>
      </c>
      <c r="Y919" s="28">
        <v>2684817000</v>
      </c>
      <c r="Z919" s="28">
        <v>782039000</v>
      </c>
      <c r="AA919" s="28">
        <v>677300000</v>
      </c>
      <c r="AB919" s="28">
        <v>34000</v>
      </c>
      <c r="AC919" s="28">
        <v>1220071000</v>
      </c>
      <c r="AD919" s="28">
        <v>782144000</v>
      </c>
      <c r="AE919" s="28">
        <v>3332166000</v>
      </c>
      <c r="AF919" s="28">
        <v>215546000</v>
      </c>
      <c r="AG919" s="11"/>
    </row>
    <row r="920">
      <c r="A920" s="7" t="s">
        <v>2651</v>
      </c>
      <c r="B920" s="5" t="s">
        <v>10631</v>
      </c>
      <c r="C920" s="5" t="s">
        <v>18513</v>
      </c>
      <c r="D920" s="5" t="str">
        <v>100400491116</v>
      </c>
      <c r="E920" s="0" t="e">
        <f>+7 (812) 3050600
+7 (812) 3050605
+7 (812) 3187444
+7 (812) 3605060
+7 (812) 4534533
+7 (812) 4546466
+7 (812) 4564465
+7 (812) 4564654
+7 (812) 4499703</f>
        <v>#NAME?</v>
      </c>
      <c r="F920" s="5" t="s">
        <v>28153</v>
      </c>
      <c r="G920" s="5"/>
      <c r="H920" s="26">
        <v>11.5</v>
      </c>
      <c r="I920" s="5" t="s">
        <v>28154</v>
      </c>
      <c r="J920" s="5" t="s">
        <v>678</v>
      </c>
      <c r="K920" s="5" t="s">
        <v>344</v>
      </c>
      <c r="L920" s="5" t="s">
        <v>28155</v>
      </c>
      <c r="M920" s="27"/>
      <c r="N920" s="5" t="s">
        <v>50577</v>
      </c>
      <c r="O920" s="5" t="str">
        <v>7801557131</v>
      </c>
      <c r="P920" s="27">
        <v>20000</v>
      </c>
      <c r="Q920" s="5" t="s">
        <v>50578</v>
      </c>
      <c r="R920" s="5"/>
      <c r="S920" s="5" t="s">
        <v>50579</v>
      </c>
      <c r="T920" s="28">
        <v>86286000</v>
      </c>
      <c r="U920" s="28">
        <v>16772000</v>
      </c>
      <c r="V920" s="28">
        <v>614761000</v>
      </c>
      <c r="W920" s="28">
        <v>25280000</v>
      </c>
      <c r="X920" s="28">
        <v>12883000</v>
      </c>
      <c r="Y920" s="28">
        <v>1766126000</v>
      </c>
      <c r="Z920" s="28">
        <v>678173000</v>
      </c>
      <c r="AA920" s="28">
        <v>69600000</v>
      </c>
      <c r="AB920" s="28">
        <v>381924000</v>
      </c>
      <c r="AC920" s="28">
        <v>802659000</v>
      </c>
      <c r="AD920" s="28">
        <v>877253000</v>
      </c>
      <c r="AE920" s="28">
        <v>3167271000</v>
      </c>
      <c r="AF920" s="28">
        <v>373045000</v>
      </c>
      <c r="AG920" s="11"/>
    </row>
    <row r="921">
      <c r="A921" s="7" t="s">
        <v>2652</v>
      </c>
      <c r="B921" s="5" t="s">
        <v>10632</v>
      </c>
      <c r="C921" s="5" t="s">
        <v>18514</v>
      </c>
      <c r="D921" s="5" t="str">
        <v>780150761607</v>
      </c>
      <c r="E921" s="0" t="e">
        <f>+7 (495) 559013
+7 (812) 2458578
+7 (812) 3204990
+7 (812) 3294940
+7 (812) 4568564
+7 (86141) 58486
+7 (931) 9602389
+7 (800) 5554940</f>
        <v>#NAME?</v>
      </c>
      <c r="F921" s="5" t="s">
        <v>28156</v>
      </c>
      <c r="G921" s="5" t="s">
        <v>28157</v>
      </c>
      <c r="H921" s="26">
        <v>23.5</v>
      </c>
      <c r="I921" s="5" t="s">
        <v>28158</v>
      </c>
      <c r="J921" s="5" t="s">
        <v>25429</v>
      </c>
      <c r="K921" s="5" t="s">
        <v>344</v>
      </c>
      <c r="L921" s="5" t="s">
        <v>28159</v>
      </c>
      <c r="M921" s="27"/>
      <c r="N921" s="5" t="s">
        <v>50580</v>
      </c>
      <c r="O921" s="5" t="str">
        <v>7813118690</v>
      </c>
      <c r="P921" s="27">
        <v>2116000</v>
      </c>
      <c r="Q921" s="5" t="s">
        <v>50581</v>
      </c>
      <c r="R921" s="5"/>
      <c r="S921" s="5" t="s">
        <v>50582</v>
      </c>
      <c r="T921" s="28">
        <v>241163000</v>
      </c>
      <c r="U921" s="28">
        <v>7000</v>
      </c>
      <c r="V921" s="28">
        <v>259494000</v>
      </c>
      <c r="W921" s="28">
        <v>21703000</v>
      </c>
      <c r="X921" s="28">
        <v>2337882000</v>
      </c>
      <c r="Y921" s="28">
        <v>3323976000</v>
      </c>
      <c r="Z921" s="28">
        <v>2588844000</v>
      </c>
      <c r="AA921" s="28"/>
      <c r="AB921" s="28"/>
      <c r="AC921" s="28">
        <v>604620000</v>
      </c>
      <c r="AD921" s="28">
        <v>2590960000</v>
      </c>
      <c r="AE921" s="28">
        <v>3444984000</v>
      </c>
      <c r="AF921" s="28">
        <v>753095000</v>
      </c>
      <c r="AG921" s="11"/>
    </row>
    <row r="922">
      <c r="A922" s="7" t="s">
        <v>2653</v>
      </c>
      <c r="B922" s="5" t="s">
        <v>10633</v>
      </c>
      <c r="C922" s="5" t="s">
        <v>18515</v>
      </c>
      <c r="D922" s="5" t="str">
        <v>771907893249</v>
      </c>
      <c r="E922" s="0" t="e">
        <f>+7 (495) 5000178
+7 (495) 5000304
+7 (495) 5000305
+7 (495) 5000313
+7 (495) 7559370
+7 (495) 7846490
+7 (495) 9337508</f>
        <v>#NAME?</v>
      </c>
      <c r="F922" s="5" t="s">
        <v>28160</v>
      </c>
      <c r="G922" s="5" t="s">
        <v>28161</v>
      </c>
      <c r="H922" s="26">
        <v>7</v>
      </c>
      <c r="I922" s="5" t="s">
        <v>28162</v>
      </c>
      <c r="J922" s="5" t="s">
        <v>1026</v>
      </c>
      <c r="K922" s="5" t="s">
        <v>344</v>
      </c>
      <c r="L922" s="5" t="s">
        <v>28163</v>
      </c>
      <c r="M922" s="27"/>
      <c r="N922" s="5" t="s">
        <v>50583</v>
      </c>
      <c r="O922" s="5" t="str">
        <v>5047181263</v>
      </c>
      <c r="P922" s="27">
        <v>200000</v>
      </c>
      <c r="Q922" s="5" t="s">
        <v>49009</v>
      </c>
      <c r="R922" s="5"/>
      <c r="S922" s="5" t="s">
        <v>49028</v>
      </c>
      <c r="T922" s="28">
        <v>2965000</v>
      </c>
      <c r="U922" s="28"/>
      <c r="V922" s="28">
        <v>915412000</v>
      </c>
      <c r="W922" s="28">
        <v>19000</v>
      </c>
      <c r="X922" s="28">
        <v>241096000</v>
      </c>
      <c r="Y922" s="28">
        <v>4051758000</v>
      </c>
      <c r="Z922" s="28">
        <v>3338233000</v>
      </c>
      <c r="AA922" s="28"/>
      <c r="AB922" s="28"/>
      <c r="AC922" s="28">
        <v>713312000</v>
      </c>
      <c r="AD922" s="28">
        <v>3338433000</v>
      </c>
      <c r="AE922" s="28">
        <v>24385061000</v>
      </c>
      <c r="AF922" s="28">
        <v>1090309000</v>
      </c>
      <c r="AG922" s="11"/>
    </row>
    <row r="923">
      <c r="A923" s="7" t="s">
        <v>2654</v>
      </c>
      <c r="B923" s="5" t="s">
        <v>10634</v>
      </c>
      <c r="C923" s="5" t="s">
        <v>18516</v>
      </c>
      <c r="D923" s="5" t="str">
        <v>772343222655</v>
      </c>
      <c r="E923" s="0" t="e">
        <f>+7 (495) 4852003
+7 (495) 2302255
+7 (800) 2509797
+7 (495) 4852888
+7 (495) 4856424
+7 (495) 9610088</f>
        <v>#NAME?</v>
      </c>
      <c r="F923" s="5" t="s">
        <v>28164</v>
      </c>
      <c r="G923" s="5"/>
      <c r="H923" s="26">
        <v>24</v>
      </c>
      <c r="I923" s="5" t="s">
        <v>28165</v>
      </c>
      <c r="J923" s="5" t="s">
        <v>25674</v>
      </c>
      <c r="K923" s="5" t="s">
        <v>344</v>
      </c>
      <c r="L923" s="5" t="s">
        <v>28166</v>
      </c>
      <c r="M923" s="27">
        <v>2219800</v>
      </c>
      <c r="N923" s="5" t="s">
        <v>50584</v>
      </c>
      <c r="O923" s="5" t="str">
        <v>7729380346</v>
      </c>
      <c r="P923" s="27">
        <v>10000000</v>
      </c>
      <c r="Q923" s="5" t="s">
        <v>50585</v>
      </c>
      <c r="R923" s="5"/>
      <c r="S923" s="5" t="s">
        <v>50586</v>
      </c>
      <c r="T923" s="28">
        <v>628428000</v>
      </c>
      <c r="U923" s="28"/>
      <c r="V923" s="28">
        <v>244747000</v>
      </c>
      <c r="W923" s="28">
        <v>19300000</v>
      </c>
      <c r="X923" s="28">
        <v>66301000</v>
      </c>
      <c r="Y923" s="28">
        <v>2517956000</v>
      </c>
      <c r="Z923" s="28">
        <v>955574000</v>
      </c>
      <c r="AA923" s="28">
        <v>498188000</v>
      </c>
      <c r="AB923" s="28">
        <v>430553000</v>
      </c>
      <c r="AC923" s="28">
        <v>1040004000</v>
      </c>
      <c r="AD923" s="28">
        <v>965574000</v>
      </c>
      <c r="AE923" s="28">
        <v>7514077000</v>
      </c>
      <c r="AF923" s="28">
        <v>643238000</v>
      </c>
      <c r="AG923" s="11"/>
    </row>
    <row r="924">
      <c r="A924" s="7" t="s">
        <v>2655</v>
      </c>
      <c r="B924" s="5" t="s">
        <v>10635</v>
      </c>
      <c r="C924" s="5" t="s">
        <v>18517</v>
      </c>
      <c r="D924" s="5" t="str">
        <v>772388929645</v>
      </c>
      <c r="E924" s="0" t="e">
        <f>+7 (484) 574307
+7 (484) 2210050
+7 (484) 2574307
+7 (495) 7370008
+7 (985) 7649098</f>
        <v>#NAME?</v>
      </c>
      <c r="F924" s="5"/>
      <c r="G924" s="5" t="s">
        <v>28167</v>
      </c>
      <c r="H924" s="26">
        <v>11.5</v>
      </c>
      <c r="I924" s="5"/>
      <c r="J924" s="5" t="s">
        <v>26862</v>
      </c>
      <c r="K924" s="5" t="s">
        <v>355</v>
      </c>
      <c r="L924" s="5"/>
      <c r="M924" s="27"/>
      <c r="N924" s="5"/>
      <c r="O924" s="5" t="str">
        <v>4029045298</v>
      </c>
      <c r="P924" s="27">
        <v>5000000</v>
      </c>
      <c r="Q924" s="5"/>
      <c r="R924" s="5"/>
      <c r="S924" s="5" t="s">
        <v>49029</v>
      </c>
      <c r="T924" s="28">
        <v>11020047000</v>
      </c>
      <c r="U924" s="28">
        <v>100000</v>
      </c>
      <c r="V924" s="28">
        <v>608450000</v>
      </c>
      <c r="W924" s="28">
        <v>60000000</v>
      </c>
      <c r="X924" s="28">
        <v>240194000</v>
      </c>
      <c r="Y924" s="28">
        <v>21637530000</v>
      </c>
      <c r="Z924" s="28">
        <v>-13545934000</v>
      </c>
      <c r="AA924" s="28">
        <v>29028130000</v>
      </c>
      <c r="AB924" s="28">
        <v>1847865000</v>
      </c>
      <c r="AC924" s="28">
        <v>3097927000</v>
      </c>
      <c r="AD924" s="28">
        <v>-13040934000</v>
      </c>
      <c r="AE924" s="28">
        <v>6332022000</v>
      </c>
      <c r="AF924" s="28">
        <v>700843000</v>
      </c>
      <c r="AG924" s="11"/>
    </row>
    <row r="925">
      <c r="A925" s="7" t="s">
        <v>2656</v>
      </c>
      <c r="B925" s="5" t="s">
        <v>10636</v>
      </c>
      <c r="C925" s="5" t="s">
        <v>18518</v>
      </c>
      <c r="D925" s="5" t="str">
        <v>773169830589</v>
      </c>
      <c r="E925" s="0" t="e">
        <f>+7 (495) 1502471
+7 (499) 3401014
+7 (800) 3332471
+7 (903) 1237169
+7 (916) 5757599</f>
        <v>#NAME?</v>
      </c>
      <c r="F925" s="5"/>
      <c r="G925" s="5"/>
      <c r="H925" s="26">
        <v>7.5</v>
      </c>
      <c r="I925" s="5" t="s">
        <v>28168</v>
      </c>
      <c r="J925" s="5" t="s">
        <v>25429</v>
      </c>
      <c r="K925" s="5" t="s">
        <v>344</v>
      </c>
      <c r="L925" s="5"/>
      <c r="M925" s="27"/>
      <c r="N925" s="5"/>
      <c r="O925" s="5" t="str">
        <v>7704317864</v>
      </c>
      <c r="P925" s="27">
        <v>10000</v>
      </c>
      <c r="Q925" s="5" t="s">
        <v>49009</v>
      </c>
      <c r="R925" s="5"/>
      <c r="S925" s="5" t="s">
        <v>49010</v>
      </c>
      <c r="T925" s="28">
        <v>42798000</v>
      </c>
      <c r="U925" s="28"/>
      <c r="V925" s="28">
        <v>1419566000</v>
      </c>
      <c r="W925" s="28"/>
      <c r="X925" s="28">
        <v>287081000</v>
      </c>
      <c r="Y925" s="28">
        <v>2631841000</v>
      </c>
      <c r="Z925" s="28">
        <v>-69024000</v>
      </c>
      <c r="AA925" s="28"/>
      <c r="AB925" s="28"/>
      <c r="AC925" s="28">
        <v>2692021000</v>
      </c>
      <c r="AD925" s="28">
        <v>-69014000</v>
      </c>
      <c r="AE925" s="28">
        <v>3961460000</v>
      </c>
      <c r="AF925" s="28">
        <v>89582000</v>
      </c>
      <c r="AG925" s="11"/>
    </row>
    <row r="926">
      <c r="A926" s="7" t="s">
        <v>2657</v>
      </c>
      <c r="B926" s="5" t="s">
        <v>10637</v>
      </c>
      <c r="C926" s="5" t="s">
        <v>18519</v>
      </c>
      <c r="D926" s="5" t="str">
        <v>616602584300</v>
      </c>
      <c r="E926" s="0" t="e">
        <f>+7 (86141) 28271
+7 (863) 3037002
+7 (8632) 61240
+7 (8632) 431313
+7 (8632) 951311
+7 (918) 1223546
+7 (918) 5181488
+7 (918) 5679869
+7 (918) 6010702
+7 (928) 1981987
+7 (86130) 30772
+7 (863) 3030372
+7 (863) 3030770
+7 (863) 3030792
+7 (952) 5728788</f>
        <v>#NAME?</v>
      </c>
      <c r="F926" s="5" t="s">
        <v>28169</v>
      </c>
      <c r="G926" s="5"/>
      <c r="H926" s="26">
        <v>10.5</v>
      </c>
      <c r="I926" s="5" t="s">
        <v>28170</v>
      </c>
      <c r="J926" s="5" t="s">
        <v>25429</v>
      </c>
      <c r="K926" s="5" t="s">
        <v>344</v>
      </c>
      <c r="L926" s="5" t="s">
        <v>28171</v>
      </c>
      <c r="M926" s="27"/>
      <c r="N926" s="5" t="s">
        <v>50587</v>
      </c>
      <c r="O926" s="5" t="str">
        <v>6165178580</v>
      </c>
      <c r="P926" s="27">
        <v>10000</v>
      </c>
      <c r="Q926" s="5" t="s">
        <v>50588</v>
      </c>
      <c r="R926" s="5"/>
      <c r="S926" s="5" t="s">
        <v>50589</v>
      </c>
      <c r="T926" s="28">
        <v>1015000</v>
      </c>
      <c r="U926" s="28">
        <v>150000</v>
      </c>
      <c r="V926" s="28">
        <v>1386730000</v>
      </c>
      <c r="W926" s="28"/>
      <c r="X926" s="28">
        <v>10037000</v>
      </c>
      <c r="Y926" s="28">
        <v>1857706000</v>
      </c>
      <c r="Z926" s="28">
        <v>666696000</v>
      </c>
      <c r="AA926" s="28">
        <v>130000000</v>
      </c>
      <c r="AB926" s="28">
        <v>23619000</v>
      </c>
      <c r="AC926" s="28">
        <v>1061000000</v>
      </c>
      <c r="AD926" s="28">
        <v>666706000</v>
      </c>
      <c r="AE926" s="28">
        <v>8798383000</v>
      </c>
      <c r="AF926" s="28">
        <v>148905000</v>
      </c>
      <c r="AG926" s="11"/>
    </row>
    <row r="927">
      <c r="A927" s="7" t="s">
        <v>2658</v>
      </c>
      <c r="B927" s="5" t="s">
        <v>10638</v>
      </c>
      <c r="C927" s="5" t="s">
        <v>18520</v>
      </c>
      <c r="D927" s="5" t="str">
        <v>770104360971</v>
      </c>
      <c r="E927" s="0" t="e">
        <f>+7 (903) 8453180
+7 (48746) 57532
+7 (48746) 47279
+7 (48746) 58284
+7 (48746) 59284</f>
        <v>#NAME?</v>
      </c>
      <c r="F927" s="5" t="s">
        <v>28172</v>
      </c>
      <c r="G927" s="5"/>
      <c r="H927" s="26">
        <v>19</v>
      </c>
      <c r="I927" s="5" t="s">
        <v>28173</v>
      </c>
      <c r="J927" s="5" t="s">
        <v>28174</v>
      </c>
      <c r="K927" s="5" t="s">
        <v>344</v>
      </c>
      <c r="L927" s="5"/>
      <c r="M927" s="27"/>
      <c r="N927" s="5"/>
      <c r="O927" s="5" t="str">
        <v>7114010781</v>
      </c>
      <c r="P927" s="27">
        <v>271000000</v>
      </c>
      <c r="Q927" s="5" t="s">
        <v>49009</v>
      </c>
      <c r="R927" s="5" t="s">
        <v>50591</v>
      </c>
      <c r="S927" s="5" t="s">
        <v>49066</v>
      </c>
      <c r="T927" s="28">
        <v>276481000</v>
      </c>
      <c r="U927" s="28">
        <v>622291000</v>
      </c>
      <c r="V927" s="28">
        <v>434865000</v>
      </c>
      <c r="W927" s="28">
        <v>25118000</v>
      </c>
      <c r="X927" s="28">
        <v>2461000</v>
      </c>
      <c r="Y927" s="28">
        <v>1977731000</v>
      </c>
      <c r="Z927" s="28">
        <v>1006780000</v>
      </c>
      <c r="AA927" s="28">
        <v>303657000</v>
      </c>
      <c r="AB927" s="28">
        <v>1724000</v>
      </c>
      <c r="AC927" s="28">
        <v>380750000</v>
      </c>
      <c r="AD927" s="28">
        <v>1277780000</v>
      </c>
      <c r="AE927" s="28">
        <v>4469403000</v>
      </c>
      <c r="AF927" s="28">
        <v>392644000</v>
      </c>
      <c r="AG927" s="11"/>
    </row>
    <row r="928">
      <c r="A928" s="7" t="s">
        <v>2659</v>
      </c>
      <c r="B928" s="5" t="s">
        <v>10639</v>
      </c>
      <c r="C928" s="5" t="s">
        <v>18521</v>
      </c>
      <c r="D928" s="5"/>
      <c r="E928" s="0" t="e">
        <f>+7 (834) 2244201
+7 (834) 2247249
+7 (8342) 244384
+7 (8342) 246270
+7 (8342) 380365
+7 (8342) 380368
+7 (8342) 380378
+7 (8342) 473648
+7 (8342) 473678
+7 (985) 7735890</f>
        <v>#NAME?</v>
      </c>
      <c r="F928" s="5" t="s">
        <v>28175</v>
      </c>
      <c r="G928" s="5" t="s">
        <v>28176</v>
      </c>
      <c r="H928" s="26">
        <v>30.5</v>
      </c>
      <c r="I928" s="5" t="s">
        <v>28177</v>
      </c>
      <c r="J928" s="5" t="s">
        <v>27316</v>
      </c>
      <c r="K928" s="5" t="s">
        <v>355</v>
      </c>
      <c r="L928" s="5" t="s">
        <v>28178</v>
      </c>
      <c r="M928" s="27">
        <v>4708511</v>
      </c>
      <c r="N928" s="5"/>
      <c r="O928" s="5" t="str">
        <v>1325030352</v>
      </c>
      <c r="P928" s="27">
        <v>174371252</v>
      </c>
      <c r="Q928" s="5" t="s">
        <v>49324</v>
      </c>
      <c r="R928" s="5"/>
      <c r="S928" s="5" t="s">
        <v>50562</v>
      </c>
      <c r="T928" s="28">
        <v>7376578000</v>
      </c>
      <c r="U928" s="28">
        <v>3439000</v>
      </c>
      <c r="V928" s="28">
        <v>3512784000</v>
      </c>
      <c r="W928" s="28">
        <v>86050000</v>
      </c>
      <c r="X928" s="28">
        <v>1676759000</v>
      </c>
      <c r="Y928" s="28">
        <v>20160408000</v>
      </c>
      <c r="Z928" s="28">
        <v>10853582000</v>
      </c>
      <c r="AA928" s="28">
        <v>7136490000</v>
      </c>
      <c r="AB928" s="28">
        <v>57871000</v>
      </c>
      <c r="AC928" s="28">
        <v>1420735000</v>
      </c>
      <c r="AD928" s="28">
        <v>11324334000</v>
      </c>
      <c r="AE928" s="28">
        <v>15031009000</v>
      </c>
      <c r="AF928" s="28">
        <v>3033172000</v>
      </c>
      <c r="AG928" s="11"/>
    </row>
    <row r="929">
      <c r="A929" s="7" t="s">
        <v>2660</v>
      </c>
      <c r="B929" s="5" t="s">
        <v>10640</v>
      </c>
      <c r="C929" s="5" t="s">
        <v>18522</v>
      </c>
      <c r="D929" s="5" t="str">
        <v>773605242300</v>
      </c>
      <c r="E929" s="0" t="e">
        <f>+7 (906) 726085
+7 (915) 2395847
+7 (495) 2690149
+7 (903) 7927257
+7 (916) 1133715
+7 (929) 6478235</f>
        <v>#NAME?</v>
      </c>
      <c r="F929" s="5" t="s">
        <v>28179</v>
      </c>
      <c r="G929" s="5" t="s">
        <v>28180</v>
      </c>
      <c r="H929" s="26">
        <v>8</v>
      </c>
      <c r="I929" s="5" t="s">
        <v>28181</v>
      </c>
      <c r="J929" s="5" t="s">
        <v>373</v>
      </c>
      <c r="K929" s="5" t="s">
        <v>344</v>
      </c>
      <c r="L929" s="5"/>
      <c r="M929" s="27">
        <v>123000</v>
      </c>
      <c r="N929" s="5" t="s">
        <v>50592</v>
      </c>
      <c r="O929" s="5" t="str">
        <v>5017105280</v>
      </c>
      <c r="P929" s="27">
        <v>9400000</v>
      </c>
      <c r="Q929" s="5" t="s">
        <v>50593</v>
      </c>
      <c r="R929" s="5"/>
      <c r="S929" s="5" t="s">
        <v>50594</v>
      </c>
      <c r="T929" s="28">
        <v>186013000</v>
      </c>
      <c r="U929" s="28"/>
      <c r="V929" s="28">
        <v>1078737000</v>
      </c>
      <c r="W929" s="28"/>
      <c r="X929" s="28">
        <v>207283000</v>
      </c>
      <c r="Y929" s="28">
        <v>1645425000</v>
      </c>
      <c r="Z929" s="28">
        <v>673847000</v>
      </c>
      <c r="AA929" s="28"/>
      <c r="AB929" s="28">
        <v>827109000</v>
      </c>
      <c r="AC929" s="28">
        <v>926556000</v>
      </c>
      <c r="AD929" s="28">
        <v>683247000</v>
      </c>
      <c r="AE929" s="28">
        <v>8747067000</v>
      </c>
      <c r="AF929" s="28">
        <v>444058000</v>
      </c>
      <c r="AG929" s="11"/>
    </row>
    <row r="930">
      <c r="A930" s="7" t="s">
        <v>2661</v>
      </c>
      <c r="B930" s="5" t="s">
        <v>10641</v>
      </c>
      <c r="C930" s="5" t="s">
        <v>18523</v>
      </c>
      <c r="D930" s="5" t="str">
        <v>773378290898</v>
      </c>
      <c r="E930" s="0" t="e">
        <f>+7 (499) 3725098
+7 (909) 9959992
+7 (968) 9383762
+7 (985) 7397905</f>
        <v>#NAME?</v>
      </c>
      <c r="F930" s="5" t="s">
        <v>28182</v>
      </c>
      <c r="G930" s="5" t="s">
        <v>28183</v>
      </c>
      <c r="H930" s="26">
        <v>4.5</v>
      </c>
      <c r="I930" s="5" t="s">
        <v>28184</v>
      </c>
      <c r="J930" s="5" t="s">
        <v>27296</v>
      </c>
      <c r="K930" s="5" t="s">
        <v>344</v>
      </c>
      <c r="L930" s="5" t="s">
        <v>28185</v>
      </c>
      <c r="M930" s="27"/>
      <c r="N930" s="5" t="s">
        <v>50595</v>
      </c>
      <c r="O930" s="5" t="str">
        <v>7708333320</v>
      </c>
      <c r="P930" s="27">
        <v>80150000</v>
      </c>
      <c r="Q930" s="5" t="s">
        <v>50596</v>
      </c>
      <c r="R930" s="5"/>
      <c r="S930" s="5" t="s">
        <v>50597</v>
      </c>
      <c r="T930" s="28">
        <v>560141000</v>
      </c>
      <c r="U930" s="28"/>
      <c r="V930" s="28">
        <v>1095190000</v>
      </c>
      <c r="W930" s="28">
        <v>649726000</v>
      </c>
      <c r="X930" s="28">
        <v>214149000</v>
      </c>
      <c r="Y930" s="28">
        <v>2916079000</v>
      </c>
      <c r="Z930" s="28">
        <v>1927009000</v>
      </c>
      <c r="AA930" s="28"/>
      <c r="AB930" s="28"/>
      <c r="AC930" s="28">
        <v>748407000</v>
      </c>
      <c r="AD930" s="28">
        <v>2008399000</v>
      </c>
      <c r="AE930" s="28">
        <v>12174873000</v>
      </c>
      <c r="AF930" s="28">
        <v>772668000</v>
      </c>
      <c r="AG930" s="11"/>
    </row>
    <row r="931">
      <c r="A931" s="7" t="s">
        <v>2662</v>
      </c>
      <c r="B931" s="5" t="s">
        <v>10642</v>
      </c>
      <c r="C931" s="5" t="s">
        <v>18524</v>
      </c>
      <c r="D931" s="5" t="str">
        <v>501809937730</v>
      </c>
      <c r="E931" s="0" t="e">
        <f>+7 (499) 7553100
+7 (499) 7553101</f>
        <v>#NAME?</v>
      </c>
      <c r="F931" s="5" t="s">
        <v>28186</v>
      </c>
      <c r="G931" s="5" t="s">
        <v>28187</v>
      </c>
      <c r="H931" s="26">
        <v>10</v>
      </c>
      <c r="I931" s="5" t="s">
        <v>28188</v>
      </c>
      <c r="J931" s="5" t="s">
        <v>502</v>
      </c>
      <c r="K931" s="5" t="s">
        <v>380</v>
      </c>
      <c r="L931" s="5"/>
      <c r="M931" s="27"/>
      <c r="N931" s="5" t="s">
        <v>50598</v>
      </c>
      <c r="O931" s="5" t="str">
        <v>7710927201</v>
      </c>
      <c r="P931" s="27">
        <v>10000</v>
      </c>
      <c r="Q931" s="5" t="s">
        <v>50599</v>
      </c>
      <c r="R931" s="5"/>
      <c r="S931" s="5" t="s">
        <v>49227</v>
      </c>
      <c r="T931" s="28">
        <v>36953000</v>
      </c>
      <c r="U931" s="28"/>
      <c r="V931" s="28">
        <v>3031948000</v>
      </c>
      <c r="W931" s="28"/>
      <c r="X931" s="28">
        <v>1030262000</v>
      </c>
      <c r="Y931" s="28">
        <v>4099163000</v>
      </c>
      <c r="Z931" s="28">
        <v>528396000</v>
      </c>
      <c r="AA931" s="28"/>
      <c r="AB931" s="28">
        <v>762232000</v>
      </c>
      <c r="AC931" s="28">
        <v>3570757000</v>
      </c>
      <c r="AD931" s="28">
        <v>528406000</v>
      </c>
      <c r="AE931" s="28">
        <v>5252868000</v>
      </c>
      <c r="AF931" s="28">
        <v>-133058000</v>
      </c>
      <c r="AG931" s="11"/>
    </row>
    <row r="932">
      <c r="A932" s="7" t="s">
        <v>2663</v>
      </c>
      <c r="B932" s="5" t="s">
        <v>10643</v>
      </c>
      <c r="C932" s="5" t="s">
        <v>18525</v>
      </c>
      <c r="D932" s="5" t="str">
        <v>381250810707</v>
      </c>
      <c r="E932" s="0" t="e">
        <f>+7 (421) 2734595
+7 (3952) 550055
+7 (3953) 371710
+7 (39535) 90400
+7 (39535) 90494
+7 (902) 5774940</f>
        <v>#NAME?</v>
      </c>
      <c r="F932" s="5" t="s">
        <v>28189</v>
      </c>
      <c r="G932" s="5" t="s">
        <v>28190</v>
      </c>
      <c r="H932" s="26">
        <v>8.5</v>
      </c>
      <c r="I932" s="5" t="s">
        <v>28191</v>
      </c>
      <c r="J932" s="5" t="s">
        <v>25259</v>
      </c>
      <c r="K932" s="5" t="s">
        <v>344</v>
      </c>
      <c r="L932" s="5" t="s">
        <v>28192</v>
      </c>
      <c r="M932" s="27"/>
      <c r="N932" s="5" t="s">
        <v>50600</v>
      </c>
      <c r="O932" s="5" t="str">
        <v>3812157931</v>
      </c>
      <c r="P932" s="27">
        <v>10000</v>
      </c>
      <c r="Q932" s="5" t="s">
        <v>50601</v>
      </c>
      <c r="R932" s="5"/>
      <c r="S932" s="5" t="s">
        <v>50602</v>
      </c>
      <c r="T932" s="28">
        <v>79045000</v>
      </c>
      <c r="U932" s="28"/>
      <c r="V932" s="28">
        <v>537459000</v>
      </c>
      <c r="W932" s="28">
        <v>2307000</v>
      </c>
      <c r="X932" s="28">
        <v>1993000</v>
      </c>
      <c r="Y932" s="28">
        <v>3080396000</v>
      </c>
      <c r="Z932" s="28">
        <v>1560663000</v>
      </c>
      <c r="AA932" s="28">
        <v>162153000</v>
      </c>
      <c r="AB932" s="28">
        <v>405034000</v>
      </c>
      <c r="AC932" s="28">
        <v>1356673000</v>
      </c>
      <c r="AD932" s="28">
        <v>1560673000</v>
      </c>
      <c r="AE932" s="28">
        <v>5317888000</v>
      </c>
      <c r="AF932" s="28">
        <v>667720000</v>
      </c>
      <c r="AG932" s="11"/>
    </row>
    <row r="933">
      <c r="A933" s="7" t="s">
        <v>2664</v>
      </c>
      <c r="B933" s="5" t="s">
        <v>10644</v>
      </c>
      <c r="C933" s="5" t="s">
        <v>18526</v>
      </c>
      <c r="D933" s="5" t="str">
        <v>773003912188</v>
      </c>
      <c r="E933" s="0" t="e">
        <f>+7 (3472) 352747
+7 (3472) 354104
+7 (34763) 29700
+7 (34763) 29701
+7 (34763) 29702
+7 (34763) 29704
+7 (34763) 29730
+7 (34763) 29731
+7 (34763) 29732
+7 (34763) 29733
+7 (34763) 29734
+7 (34763) 29761
+7 (495) 5104587</f>
        <v>#NAME?</v>
      </c>
      <c r="F933" s="5"/>
      <c r="G933" s="5"/>
      <c r="H933" s="26">
        <v>31.5</v>
      </c>
      <c r="I933" s="5" t="s">
        <v>28193</v>
      </c>
      <c r="J933" s="5" t="s">
        <v>555</v>
      </c>
      <c r="K933" s="5" t="s">
        <v>344</v>
      </c>
      <c r="L933" s="5" t="s">
        <v>28194</v>
      </c>
      <c r="M933" s="27"/>
      <c r="N933" s="5" t="s">
        <v>50603</v>
      </c>
      <c r="O933" s="5" t="str">
        <v>0266002239</v>
      </c>
      <c r="P933" s="27">
        <v>174210000</v>
      </c>
      <c r="Q933" s="5" t="s">
        <v>50604</v>
      </c>
      <c r="R933" s="5"/>
      <c r="S933" s="5" t="s">
        <v>50605</v>
      </c>
      <c r="T933" s="28">
        <v>1322093000</v>
      </c>
      <c r="U933" s="28">
        <v>40316000</v>
      </c>
      <c r="V933" s="28">
        <v>2197122000</v>
      </c>
      <c r="W933" s="28"/>
      <c r="X933" s="28">
        <v>62868000</v>
      </c>
      <c r="Y933" s="28">
        <v>4492208000</v>
      </c>
      <c r="Z933" s="28">
        <v>1533551000</v>
      </c>
      <c r="AA933" s="28">
        <v>369459000</v>
      </c>
      <c r="AB933" s="28">
        <v>899665000</v>
      </c>
      <c r="AC933" s="28">
        <v>2075867000</v>
      </c>
      <c r="AD933" s="28">
        <v>1712970000</v>
      </c>
      <c r="AE933" s="28">
        <v>9565756000</v>
      </c>
      <c r="AF933" s="28">
        <v>377422000</v>
      </c>
      <c r="AG933" s="11"/>
    </row>
    <row r="934">
      <c r="A934" s="7" t="s">
        <v>2665</v>
      </c>
      <c r="B934" s="5" t="s">
        <v>10645</v>
      </c>
      <c r="C934" s="5" t="s">
        <v>18527</v>
      </c>
      <c r="D934" s="5" t="str">
        <v>503104476192</v>
      </c>
      <c r="E934" s="0" t="e">
        <f>+7 (499) 9951730</f>
        <v>#NAME?</v>
      </c>
      <c r="F934" s="5" t="s">
        <v>28195</v>
      </c>
      <c r="G934" s="5" t="s">
        <v>28196</v>
      </c>
      <c r="H934" s="26">
        <v>6.5</v>
      </c>
      <c r="I934" s="5" t="s">
        <v>28197</v>
      </c>
      <c r="J934" s="5" t="s">
        <v>25304</v>
      </c>
      <c r="K934" s="5" t="s">
        <v>344</v>
      </c>
      <c r="L934" s="5" t="s">
        <v>28198</v>
      </c>
      <c r="M934" s="27"/>
      <c r="N934" s="5" t="s">
        <v>50606</v>
      </c>
      <c r="O934" s="5" t="str">
        <v>9729014110</v>
      </c>
      <c r="P934" s="27">
        <v>1000000</v>
      </c>
      <c r="Q934" s="5" t="s">
        <v>49207</v>
      </c>
      <c r="R934" s="5"/>
      <c r="S934" s="5" t="s">
        <v>50607</v>
      </c>
      <c r="T934" s="28">
        <v>32181000</v>
      </c>
      <c r="U934" s="28"/>
      <c r="V934" s="28">
        <v>435015000</v>
      </c>
      <c r="W934" s="28">
        <v>8700000</v>
      </c>
      <c r="X934" s="28">
        <v>454788000</v>
      </c>
      <c r="Y934" s="28">
        <v>963094000</v>
      </c>
      <c r="Z934" s="28">
        <v>875306000</v>
      </c>
      <c r="AA934" s="28"/>
      <c r="AB934" s="28"/>
      <c r="AC934" s="28">
        <v>83651000</v>
      </c>
      <c r="AD934" s="28">
        <v>876306000</v>
      </c>
      <c r="AE934" s="28">
        <v>5968828000</v>
      </c>
      <c r="AF934" s="28">
        <v>568945000</v>
      </c>
      <c r="AG934" s="11"/>
    </row>
    <row r="935">
      <c r="A935" s="7" t="s">
        <v>2666</v>
      </c>
      <c r="B935" s="5" t="s">
        <v>10646</v>
      </c>
      <c r="C935" s="5" t="s">
        <v>18528</v>
      </c>
      <c r="D935" s="5" t="str">
        <v>773130787187</v>
      </c>
      <c r="E935" s="0" t="e">
        <f>+7 (915) 1953060
+7 (495) 2411294</f>
        <v>#NAME?</v>
      </c>
      <c r="F935" s="5" t="s">
        <v>28199</v>
      </c>
      <c r="G935" s="5" t="s">
        <v>28200</v>
      </c>
      <c r="H935" s="26">
        <v>7.5</v>
      </c>
      <c r="I935" s="5" t="s">
        <v>28201</v>
      </c>
      <c r="J935" s="5" t="s">
        <v>28202</v>
      </c>
      <c r="K935" s="5" t="s">
        <v>344</v>
      </c>
      <c r="L935" s="5"/>
      <c r="M935" s="27"/>
      <c r="N935" s="5" t="s">
        <v>50608</v>
      </c>
      <c r="O935" s="5" t="str">
        <v>7728313442</v>
      </c>
      <c r="P935" s="27">
        <v>109058980</v>
      </c>
      <c r="Q935" s="5" t="s">
        <v>50609</v>
      </c>
      <c r="R935" s="5"/>
      <c r="S935" s="5" t="s">
        <v>50610</v>
      </c>
      <c r="T935" s="28">
        <v>251984000</v>
      </c>
      <c r="U935" s="28"/>
      <c r="V935" s="28">
        <v>1987145000</v>
      </c>
      <c r="W935" s="28">
        <v>300000000</v>
      </c>
      <c r="X935" s="28">
        <v>502546000</v>
      </c>
      <c r="Y935" s="28">
        <v>5072299000</v>
      </c>
      <c r="Z935" s="28">
        <v>1683127000</v>
      </c>
      <c r="AA935" s="28">
        <v>750000000</v>
      </c>
      <c r="AB935" s="28">
        <v>1274000</v>
      </c>
      <c r="AC935" s="28">
        <v>2107088000</v>
      </c>
      <c r="AD935" s="28">
        <v>3404667000</v>
      </c>
      <c r="AE935" s="28">
        <v>5166446000</v>
      </c>
      <c r="AF935" s="28">
        <v>2375350000</v>
      </c>
      <c r="AG935" s="11"/>
    </row>
    <row r="936">
      <c r="A936" s="7" t="s">
        <v>2667</v>
      </c>
      <c r="B936" s="5" t="s">
        <v>10647</v>
      </c>
      <c r="C936" s="5" t="s">
        <v>18529</v>
      </c>
      <c r="D936" s="5" t="str">
        <v>771599078014</v>
      </c>
      <c r="E936" s="0" t="e">
        <f>+7 (495) 3945780
+7 (499) 3945780
+7 (925) 3763999</f>
        <v>#NAME?</v>
      </c>
      <c r="F936" s="5" t="s">
        <v>28203</v>
      </c>
      <c r="G936" s="5" t="s">
        <v>28204</v>
      </c>
      <c r="H936" s="26">
        <v>14.5</v>
      </c>
      <c r="I936" s="5" t="s">
        <v>28205</v>
      </c>
      <c r="J936" s="5" t="s">
        <v>27890</v>
      </c>
      <c r="K936" s="5" t="s">
        <v>344</v>
      </c>
      <c r="L936" s="5" t="s">
        <v>28206</v>
      </c>
      <c r="M936" s="27"/>
      <c r="N936" s="5"/>
      <c r="O936" s="5" t="str">
        <v>7710728534</v>
      </c>
      <c r="P936" s="27">
        <v>2500000</v>
      </c>
      <c r="Q936" s="5"/>
      <c r="R936" s="5"/>
      <c r="S936" s="5" t="s">
        <v>49029</v>
      </c>
      <c r="T936" s="28">
        <v>54373000</v>
      </c>
      <c r="U936" s="28"/>
      <c r="V936" s="28">
        <v>1090016000</v>
      </c>
      <c r="W936" s="28">
        <v>46096000</v>
      </c>
      <c r="X936" s="28">
        <v>32566000</v>
      </c>
      <c r="Y936" s="28">
        <v>1444145000</v>
      </c>
      <c r="Z936" s="28">
        <v>92044000</v>
      </c>
      <c r="AA936" s="28"/>
      <c r="AB936" s="28"/>
      <c r="AC936" s="28">
        <v>1349600000</v>
      </c>
      <c r="AD936" s="28">
        <v>94544000</v>
      </c>
      <c r="AE936" s="28">
        <v>5373858000</v>
      </c>
      <c r="AF936" s="28">
        <v>47681000</v>
      </c>
      <c r="AG936" s="11"/>
    </row>
    <row r="937">
      <c r="A937" s="7" t="s">
        <v>2668</v>
      </c>
      <c r="B937" s="5" t="s">
        <v>10648</v>
      </c>
      <c r="C937" s="5" t="s">
        <v>18530</v>
      </c>
      <c r="D937" s="5" t="str">
        <v>471605287998</v>
      </c>
      <c r="E937" s="0" t="e">
        <f>+7 (495) 6033341
+7 (495) 6033342
+7 (495) 6033346
+7 (495) 6033347
+7 (495) 6033351
+7 (495) 6033353
+7 (926) 3245998</f>
        <v>#NAME?</v>
      </c>
      <c r="F937" s="5"/>
      <c r="G937" s="5"/>
      <c r="H937" s="26">
        <v>25</v>
      </c>
      <c r="I937" s="5" t="s">
        <v>28207</v>
      </c>
      <c r="J937" s="5" t="s">
        <v>28053</v>
      </c>
      <c r="K937" s="5" t="s">
        <v>344</v>
      </c>
      <c r="L937" s="5" t="s">
        <v>28208</v>
      </c>
      <c r="M937" s="27"/>
      <c r="N937" s="5"/>
      <c r="O937" s="5" t="str">
        <v>7701180668</v>
      </c>
      <c r="P937" s="27">
        <v>100000000</v>
      </c>
      <c r="Q937" s="5" t="s">
        <v>50611</v>
      </c>
      <c r="R937" s="5"/>
      <c r="S937" s="5" t="s">
        <v>50612</v>
      </c>
      <c r="T937" s="28">
        <v>4855000</v>
      </c>
      <c r="U937" s="28">
        <v>50000000</v>
      </c>
      <c r="V937" s="28">
        <v>193738000</v>
      </c>
      <c r="W937" s="28"/>
      <c r="X937" s="28">
        <v>519106000</v>
      </c>
      <c r="Y937" s="28">
        <v>2562266000</v>
      </c>
      <c r="Z937" s="28">
        <v>2049265000</v>
      </c>
      <c r="AA937" s="28"/>
      <c r="AB937" s="28"/>
      <c r="AC937" s="28">
        <v>277491000</v>
      </c>
      <c r="AD937" s="28">
        <v>2284775000</v>
      </c>
      <c r="AE937" s="28">
        <v>13636685000</v>
      </c>
      <c r="AF937" s="28">
        <v>513783000</v>
      </c>
      <c r="AG937" s="11"/>
    </row>
    <row r="938">
      <c r="A938" s="7" t="s">
        <v>2669</v>
      </c>
      <c r="B938" s="5" t="s">
        <v>10649</v>
      </c>
      <c r="C938" s="5" t="s">
        <v>18531</v>
      </c>
      <c r="D938" s="5" t="str">
        <v>771410425796</v>
      </c>
      <c r="E938" s="0" t="e">
        <f>+7 (495) 2494949
+7 (499) 2494949</f>
        <v>#NAME?</v>
      </c>
      <c r="F938" s="5" t="s">
        <v>28209</v>
      </c>
      <c r="G938" s="5"/>
      <c r="H938" s="26">
        <v>10.5</v>
      </c>
      <c r="I938" s="5" t="s">
        <v>28210</v>
      </c>
      <c r="J938" s="5" t="s">
        <v>28053</v>
      </c>
      <c r="K938" s="5" t="s">
        <v>344</v>
      </c>
      <c r="L938" s="5"/>
      <c r="M938" s="27"/>
      <c r="N938" s="5"/>
      <c r="O938" s="5" t="str">
        <v>7726705980</v>
      </c>
      <c r="P938" s="27">
        <v>153846154</v>
      </c>
      <c r="Q938" s="5" t="s">
        <v>49021</v>
      </c>
      <c r="R938" s="5"/>
      <c r="S938" s="5" t="s">
        <v>50613</v>
      </c>
      <c r="T938" s="28">
        <v>67251000</v>
      </c>
      <c r="U938" s="28">
        <v>951664000</v>
      </c>
      <c r="V938" s="28">
        <v>769572000</v>
      </c>
      <c r="W938" s="28">
        <v>382940000</v>
      </c>
      <c r="X938" s="28">
        <v>333533000</v>
      </c>
      <c r="Y938" s="28">
        <v>2546891000</v>
      </c>
      <c r="Z938" s="28">
        <v>658094000</v>
      </c>
      <c r="AA938" s="28">
        <v>792000000</v>
      </c>
      <c r="AB938" s="28">
        <v>16388000</v>
      </c>
      <c r="AC938" s="28">
        <v>69982000</v>
      </c>
      <c r="AD938" s="28">
        <v>1684909000</v>
      </c>
      <c r="AE938" s="28">
        <v>32730690000</v>
      </c>
      <c r="AF938" s="28">
        <v>7557000</v>
      </c>
      <c r="AG938" s="11"/>
    </row>
    <row r="939">
      <c r="A939" s="7" t="s">
        <v>2670</v>
      </c>
      <c r="B939" s="5" t="s">
        <v>10650</v>
      </c>
      <c r="C939" s="5" t="s">
        <v>18532</v>
      </c>
      <c r="D939" s="5" t="str">
        <v>616802939085</v>
      </c>
      <c r="E939" s="0" t="e">
        <f>+7 (495) 2048585
+7 (495) 2254991
+7 (495) 3088250
+7 (499) 2596035
+7 (900) 6138880</f>
        <v>#NAME?</v>
      </c>
      <c r="F939" s="5"/>
      <c r="G939" s="5" t="s">
        <v>28211</v>
      </c>
      <c r="H939" s="26">
        <v>20</v>
      </c>
      <c r="I939" s="5" t="s">
        <v>28212</v>
      </c>
      <c r="J939" s="5" t="s">
        <v>28053</v>
      </c>
      <c r="K939" s="5" t="s">
        <v>344</v>
      </c>
      <c r="L939" s="5"/>
      <c r="M939" s="27"/>
      <c r="N939" s="5"/>
      <c r="O939" s="5" t="str">
        <v>7703365167</v>
      </c>
      <c r="P939" s="27">
        <v>1005000000</v>
      </c>
      <c r="Q939" s="5" t="s">
        <v>50614</v>
      </c>
      <c r="R939" s="5"/>
      <c r="S939" s="5" t="s">
        <v>50615</v>
      </c>
      <c r="T939" s="28">
        <v>617391000</v>
      </c>
      <c r="U939" s="28"/>
      <c r="V939" s="28">
        <v>1502783000</v>
      </c>
      <c r="W939" s="28">
        <v>360420000</v>
      </c>
      <c r="X939" s="28">
        <v>1136433000</v>
      </c>
      <c r="Y939" s="28">
        <v>3887839000</v>
      </c>
      <c r="Z939" s="28">
        <v>2145429000</v>
      </c>
      <c r="AA939" s="28"/>
      <c r="AB939" s="28">
        <v>53811000</v>
      </c>
      <c r="AC939" s="28">
        <v>737410000</v>
      </c>
      <c r="AD939" s="28">
        <v>3150429000</v>
      </c>
      <c r="AE939" s="28">
        <v>38776171000</v>
      </c>
      <c r="AF939" s="28">
        <v>2046381000</v>
      </c>
      <c r="AG939" s="11"/>
    </row>
    <row r="940">
      <c r="A940" s="7" t="s">
        <v>2671</v>
      </c>
      <c r="B940" s="5" t="s">
        <v>10651</v>
      </c>
      <c r="C940" s="5" t="s">
        <v>18533</v>
      </c>
      <c r="D940" s="5"/>
      <c r="E940" s="0" t="e">
        <f>+7 (495) 7873727
+7 (495) 7873728</f>
        <v>#NAME?</v>
      </c>
      <c r="F940" s="5" t="s">
        <v>28213</v>
      </c>
      <c r="G940" s="5" t="s">
        <v>28214</v>
      </c>
      <c r="H940" s="26">
        <v>15</v>
      </c>
      <c r="I940" s="5" t="s">
        <v>28215</v>
      </c>
      <c r="J940" s="5" t="s">
        <v>26607</v>
      </c>
      <c r="K940" s="5" t="s">
        <v>355</v>
      </c>
      <c r="L940" s="5"/>
      <c r="M940" s="27">
        <v>4377711</v>
      </c>
      <c r="N940" s="5" t="s">
        <v>50616</v>
      </c>
      <c r="O940" s="5" t="str">
        <v>7736575096</v>
      </c>
      <c r="P940" s="27">
        <v>130814120</v>
      </c>
      <c r="Q940" s="5" t="s">
        <v>50617</v>
      </c>
      <c r="R940" s="5"/>
      <c r="S940" s="5" t="s">
        <v>50618</v>
      </c>
      <c r="T940" s="28">
        <v>1427998000</v>
      </c>
      <c r="U940" s="28">
        <v>1510000</v>
      </c>
      <c r="V940" s="28">
        <v>1187050000</v>
      </c>
      <c r="W940" s="28">
        <v>1505000</v>
      </c>
      <c r="X940" s="28">
        <v>442588000</v>
      </c>
      <c r="Y940" s="28">
        <v>6129045000</v>
      </c>
      <c r="Z940" s="28">
        <v>68165000</v>
      </c>
      <c r="AA940" s="28"/>
      <c r="AB940" s="28">
        <v>1000</v>
      </c>
      <c r="AC940" s="28">
        <v>3381831000</v>
      </c>
      <c r="AD940" s="28">
        <v>3198759000</v>
      </c>
      <c r="AE940" s="28">
        <v>4543740000</v>
      </c>
      <c r="AF940" s="28">
        <v>49892000</v>
      </c>
      <c r="AG940" s="11"/>
    </row>
    <row r="941">
      <c r="A941" s="7" t="s">
        <v>2672</v>
      </c>
      <c r="B941" s="5" t="s">
        <v>10652</v>
      </c>
      <c r="C941" s="5" t="s">
        <v>18534</v>
      </c>
      <c r="D941" s="5" t="str">
        <v>772805367834</v>
      </c>
      <c r="E941" s="0" t="e">
        <f>+7 (495) 2668758
+7 (985) 7640562
+7 (381) 2214620
+7 (383) 2804331
+7 (473) 2045157
+7 (495) 5000540
+7 (800) 3331740
+7 (812) 3094923
+7 (83142) 91387
+7 (846) 2060529
+7 (861) 2033901</f>
        <v>#NAME?</v>
      </c>
      <c r="F941" s="5" t="s">
        <v>28216</v>
      </c>
      <c r="G941" s="5" t="s">
        <v>28217</v>
      </c>
      <c r="H941" s="26">
        <v>11.5</v>
      </c>
      <c r="I941" s="5" t="s">
        <v>28218</v>
      </c>
      <c r="J941" s="5" t="s">
        <v>28219</v>
      </c>
      <c r="K941" s="5" t="s">
        <v>344</v>
      </c>
      <c r="L941" s="5" t="s">
        <v>28220</v>
      </c>
      <c r="M941" s="27"/>
      <c r="N941" s="5" t="s">
        <v>50619</v>
      </c>
      <c r="O941" s="5" t="str">
        <v>7728773908</v>
      </c>
      <c r="P941" s="27">
        <v>10000</v>
      </c>
      <c r="Q941" s="5"/>
      <c r="R941" s="5"/>
      <c r="S941" s="5" t="s">
        <v>49110</v>
      </c>
      <c r="T941" s="28">
        <v>92995000</v>
      </c>
      <c r="U941" s="28">
        <v>606781000</v>
      </c>
      <c r="V941" s="28">
        <v>1847734000</v>
      </c>
      <c r="W941" s="28"/>
      <c r="X941" s="28">
        <v>5277000</v>
      </c>
      <c r="Y941" s="28">
        <v>6359167000</v>
      </c>
      <c r="Z941" s="28">
        <v>4033986000</v>
      </c>
      <c r="AA941" s="28"/>
      <c r="AB941" s="28">
        <v>1861965000</v>
      </c>
      <c r="AC941" s="28">
        <v>2325171000</v>
      </c>
      <c r="AD941" s="28">
        <v>4033996000</v>
      </c>
      <c r="AE941" s="28">
        <v>14012403000</v>
      </c>
      <c r="AF941" s="28">
        <v>536911000</v>
      </c>
      <c r="AG941" s="11"/>
    </row>
    <row r="942">
      <c r="A942" s="7" t="s">
        <v>2673</v>
      </c>
      <c r="B942" s="5" t="s">
        <v>10653</v>
      </c>
      <c r="C942" s="5" t="s">
        <v>18535</v>
      </c>
      <c r="D942" s="5" t="str">
        <v>504200917719</v>
      </c>
      <c r="F942" s="5" t="s">
        <v>28221</v>
      </c>
      <c r="G942" s="5"/>
      <c r="H942" s="26">
        <v>0.5</v>
      </c>
      <c r="I942" s="5" t="s">
        <v>28222</v>
      </c>
      <c r="J942" s="5" t="s">
        <v>467</v>
      </c>
      <c r="K942" s="5" t="s">
        <v>344</v>
      </c>
      <c r="L942" s="5"/>
      <c r="M942" s="27"/>
      <c r="N942" s="5"/>
      <c r="O942" s="5" t="str">
        <v>9718197141</v>
      </c>
      <c r="P942" s="27">
        <v>100000</v>
      </c>
      <c r="Q942" s="5" t="s">
        <v>49528</v>
      </c>
      <c r="R942" s="5"/>
      <c r="S942" s="5" t="s">
        <v>50620</v>
      </c>
      <c r="T942" s="28">
        <v>3415000</v>
      </c>
      <c r="U942" s="28"/>
      <c r="V942" s="28">
        <v>413079000</v>
      </c>
      <c r="W942" s="28"/>
      <c r="X942" s="28">
        <v>6814740000</v>
      </c>
      <c r="Y942" s="28">
        <v>11581812000</v>
      </c>
      <c r="Z942" s="28">
        <v>813175000</v>
      </c>
      <c r="AA942" s="28"/>
      <c r="AB942" s="28"/>
      <c r="AC942" s="28">
        <v>10565082000</v>
      </c>
      <c r="AD942" s="28">
        <v>813275000</v>
      </c>
      <c r="AE942" s="28">
        <v>4307670000</v>
      </c>
      <c r="AF942" s="28">
        <v>813175000</v>
      </c>
      <c r="AG942" s="11"/>
    </row>
    <row r="943">
      <c r="A943" s="7" t="s">
        <v>2674</v>
      </c>
      <c r="B943" s="5" t="s">
        <v>10654</v>
      </c>
      <c r="C943" s="5" t="s">
        <v>18536</v>
      </c>
      <c r="D943" s="5" t="str">
        <v>300800909516</v>
      </c>
      <c r="E943" s="0" t="e">
        <f>+7 (851) 2391008
+7 (851) 2391009
+7 (851) 2402439
+7 (851) 2450829</f>
        <v>#NAME?</v>
      </c>
      <c r="F943" s="5" t="s">
        <v>28223</v>
      </c>
      <c r="G943" s="5" t="s">
        <v>28224</v>
      </c>
      <c r="H943" s="26">
        <v>16</v>
      </c>
      <c r="I943" s="5" t="s">
        <v>28225</v>
      </c>
      <c r="J943" s="5" t="s">
        <v>28226</v>
      </c>
      <c r="K943" s="5" t="s">
        <v>344</v>
      </c>
      <c r="L943" s="5"/>
      <c r="M943" s="27"/>
      <c r="N943" s="5"/>
      <c r="O943" s="5" t="str">
        <v>3008011426</v>
      </c>
      <c r="P943" s="27">
        <v>6200000</v>
      </c>
      <c r="Q943" s="5" t="s">
        <v>49009</v>
      </c>
      <c r="R943" s="5"/>
      <c r="S943" s="5" t="s">
        <v>49010</v>
      </c>
      <c r="T943" s="28">
        <v>107785000</v>
      </c>
      <c r="U943" s="28"/>
      <c r="V943" s="28">
        <v>238573000</v>
      </c>
      <c r="W943" s="28"/>
      <c r="X943" s="28">
        <v>1375659000</v>
      </c>
      <c r="Y943" s="28">
        <v>2031608000</v>
      </c>
      <c r="Z943" s="28">
        <v>1337654000</v>
      </c>
      <c r="AA943" s="28"/>
      <c r="AB943" s="28"/>
      <c r="AC943" s="28">
        <v>645633000</v>
      </c>
      <c r="AD943" s="28">
        <v>1343854000</v>
      </c>
      <c r="AE943" s="28">
        <v>6397721000</v>
      </c>
      <c r="AF943" s="28">
        <v>1246804000</v>
      </c>
      <c r="AG943" s="11"/>
    </row>
    <row r="944">
      <c r="A944" s="7" t="s">
        <v>2675</v>
      </c>
      <c r="B944" s="5" t="s">
        <v>10655</v>
      </c>
      <c r="C944" s="5" t="s">
        <v>18537</v>
      </c>
      <c r="D944" s="5"/>
      <c r="E944" s="0" t="e">
        <f>+7 (495) 2290070
+7 (495) 6429175
+7 (495) 9610252
+7 (495) 9610255
+7 (846) 3743030
+7 (846) 3743045</f>
        <v>#NAME?</v>
      </c>
      <c r="F944" s="5" t="s">
        <v>28227</v>
      </c>
      <c r="G944" s="5" t="s">
        <v>28228</v>
      </c>
      <c r="H944" s="26">
        <v>28</v>
      </c>
      <c r="I944" s="5" t="s">
        <v>28229</v>
      </c>
      <c r="J944" s="5" t="s">
        <v>28226</v>
      </c>
      <c r="K944" s="5" t="s">
        <v>344</v>
      </c>
      <c r="L944" s="5"/>
      <c r="M944" s="27">
        <v>140245720</v>
      </c>
      <c r="N944" s="5" t="s">
        <v>50616</v>
      </c>
      <c r="O944" s="5" t="str">
        <v>8608049090</v>
      </c>
      <c r="P944" s="27">
        <v>3562542112</v>
      </c>
      <c r="Q944" s="5" t="s">
        <v>50621</v>
      </c>
      <c r="R944" s="5" t="s">
        <v>50155</v>
      </c>
      <c r="S944" s="5" t="s">
        <v>50622</v>
      </c>
      <c r="T944" s="28">
        <v>33501391000</v>
      </c>
      <c r="U944" s="28">
        <v>8839000</v>
      </c>
      <c r="V944" s="28">
        <v>15598955000</v>
      </c>
      <c r="W944" s="28">
        <v>1077000</v>
      </c>
      <c r="X944" s="28">
        <v>12608443000</v>
      </c>
      <c r="Y944" s="28">
        <v>66723172000</v>
      </c>
      <c r="Z944" s="28">
        <v>20724425000</v>
      </c>
      <c r="AA944" s="28"/>
      <c r="AB944" s="28">
        <v>20032136000</v>
      </c>
      <c r="AC944" s="28">
        <v>36726926000</v>
      </c>
      <c r="AD944" s="28">
        <v>24383572000</v>
      </c>
      <c r="AE944" s="28">
        <v>77254851000</v>
      </c>
      <c r="AF944" s="28">
        <v>5006959000</v>
      </c>
      <c r="AG944" s="11"/>
    </row>
    <row r="945">
      <c r="A945" s="7" t="s">
        <v>2676</v>
      </c>
      <c r="B945" s="5" t="s">
        <v>10656</v>
      </c>
      <c r="C945" s="5" t="s">
        <v>18538</v>
      </c>
      <c r="D945" s="5" t="str">
        <v>532004422296</v>
      </c>
      <c r="E945" s="0" t="e">
        <f>+7 (81664) 21586
+7 (800) 2008575
+7 (81664) 42042
+7 (81664) 92010
+7 (81664) 92012
+7 (81664) 92020
+7 (81664) 92037
+7 (81664) 92060
+7 (81664) 92061
+7 (81664) 92065
+7 (81664) 92088
+7 (81664) 92105
+7 (81664) 92170
+7 (81664) 92183
+7 (81664) 92187</f>
        <v>#NAME?</v>
      </c>
      <c r="F945" s="5" t="s">
        <v>28230</v>
      </c>
      <c r="G945" s="5" t="s">
        <v>28231</v>
      </c>
      <c r="H945" s="26">
        <v>30.5</v>
      </c>
      <c r="I945" s="5"/>
      <c r="J945" s="5" t="s">
        <v>28232</v>
      </c>
      <c r="K945" s="5" t="s">
        <v>344</v>
      </c>
      <c r="L945" s="5"/>
      <c r="M945" s="27"/>
      <c r="N945" s="5" t="s">
        <v>50623</v>
      </c>
      <c r="O945" s="5" t="str">
        <v>5320002951</v>
      </c>
      <c r="P945" s="27">
        <v>2278416000</v>
      </c>
      <c r="Q945" s="5" t="s">
        <v>49009</v>
      </c>
      <c r="R945" s="5"/>
      <c r="S945" s="5" t="s">
        <v>50624</v>
      </c>
      <c r="T945" s="28">
        <v>6300599000</v>
      </c>
      <c r="U945" s="28">
        <v>1099955000</v>
      </c>
      <c r="V945" s="28">
        <v>2798360000</v>
      </c>
      <c r="W945" s="28"/>
      <c r="X945" s="28">
        <v>3104887000</v>
      </c>
      <c r="Y945" s="28">
        <v>18051829000</v>
      </c>
      <c r="Z945" s="28">
        <v>13175272000</v>
      </c>
      <c r="AA945" s="28"/>
      <c r="AB945" s="28"/>
      <c r="AC945" s="28">
        <v>1665297000</v>
      </c>
      <c r="AD945" s="28">
        <v>15523801000</v>
      </c>
      <c r="AE945" s="28">
        <v>15797873000</v>
      </c>
      <c r="AF945" s="28">
        <v>1601582000</v>
      </c>
      <c r="AG945" s="11"/>
    </row>
    <row r="946">
      <c r="A946" s="7" t="s">
        <v>2677</v>
      </c>
      <c r="B946" s="5" t="s">
        <v>10657</v>
      </c>
      <c r="C946" s="5" t="s">
        <v>18539</v>
      </c>
      <c r="D946" s="5" t="str">
        <v>773771396522</v>
      </c>
      <c r="E946" s="0" t="e">
        <f>+7 (495) 4292151
+7 (495) 5210061
+7 (495) 5212121
+7 (495) 5220355
+7 (495) 5220754
+7 (495) 5292451
+7 (495) 5922151
+7 (499) 3010334
+7 (499) 3010337
+7 (499) 7502334
+7 (495) 5220447
+7 (495) 5220764
+7 (495) 5292156
+7 (495) 5295121</f>
        <v>#NAME?</v>
      </c>
      <c r="F946" s="5" t="s">
        <v>28233</v>
      </c>
      <c r="G946" s="5" t="s">
        <v>28234</v>
      </c>
      <c r="H946" s="26">
        <v>7</v>
      </c>
      <c r="I946" s="5" t="s">
        <v>28235</v>
      </c>
      <c r="J946" s="5" t="s">
        <v>27944</v>
      </c>
      <c r="K946" s="5" t="s">
        <v>355</v>
      </c>
      <c r="L946" s="5"/>
      <c r="M946" s="27">
        <v>138520442</v>
      </c>
      <c r="N946" s="5" t="s">
        <v>50625</v>
      </c>
      <c r="O946" s="5" t="str">
        <v>5012091227</v>
      </c>
      <c r="P946" s="27">
        <v>200106892</v>
      </c>
      <c r="Q946" s="5" t="s">
        <v>50626</v>
      </c>
      <c r="R946" s="5" t="s">
        <v>50627</v>
      </c>
      <c r="S946" s="5" t="s">
        <v>49747</v>
      </c>
      <c r="T946" s="28">
        <v>9770069000</v>
      </c>
      <c r="U946" s="28"/>
      <c r="V946" s="28">
        <v>2884764000</v>
      </c>
      <c r="W946" s="28"/>
      <c r="X946" s="28">
        <v>32437000</v>
      </c>
      <c r="Y946" s="28">
        <v>12830521000</v>
      </c>
      <c r="Z946" s="28">
        <v>117931000</v>
      </c>
      <c r="AA946" s="28">
        <v>64802000</v>
      </c>
      <c r="AB946" s="28">
        <v>402206000</v>
      </c>
      <c r="AC946" s="28">
        <v>2623000000</v>
      </c>
      <c r="AD946" s="28">
        <v>10052409000</v>
      </c>
      <c r="AE946" s="28">
        <v>6669900000</v>
      </c>
      <c r="AF946" s="28">
        <v>8020000</v>
      </c>
      <c r="AG946" s="11"/>
    </row>
    <row r="947">
      <c r="A947" s="7" t="s">
        <v>2678</v>
      </c>
      <c r="B947" s="5" t="s">
        <v>10658</v>
      </c>
      <c r="C947" s="5" t="s">
        <v>17974</v>
      </c>
      <c r="D947" s="5"/>
      <c r="E947" s="0" t="e">
        <f>+7 (385) 2536302
+7 (385) 2536310
+7 (812) 3323760</f>
        <v>#NAME?</v>
      </c>
      <c r="F947" s="5" t="s">
        <v>28236</v>
      </c>
      <c r="G947" s="5"/>
      <c r="H947" s="26">
        <v>4.5</v>
      </c>
      <c r="I947" s="5" t="s">
        <v>28237</v>
      </c>
      <c r="J947" s="5" t="s">
        <v>25812</v>
      </c>
      <c r="K947" s="5" t="s">
        <v>344</v>
      </c>
      <c r="L947" s="5" t="s">
        <v>28238</v>
      </c>
      <c r="M947" s="27"/>
      <c r="N947" s="5"/>
      <c r="O947" s="5" t="str">
        <v>2223624670</v>
      </c>
      <c r="P947" s="27">
        <v>10000</v>
      </c>
      <c r="Q947" s="5" t="s">
        <v>49319</v>
      </c>
      <c r="R947" s="5"/>
      <c r="S947" s="5" t="s">
        <v>50628</v>
      </c>
      <c r="T947" s="28">
        <v>9708000</v>
      </c>
      <c r="U947" s="28"/>
      <c r="V947" s="28">
        <v>718808000</v>
      </c>
      <c r="W947" s="28"/>
      <c r="X947" s="28">
        <v>1390000</v>
      </c>
      <c r="Y947" s="28">
        <v>1947928000</v>
      </c>
      <c r="Z947" s="28">
        <v>403530000</v>
      </c>
      <c r="AA947" s="28"/>
      <c r="AB947" s="28"/>
      <c r="AC947" s="28">
        <v>1541070000</v>
      </c>
      <c r="AD947" s="28">
        <v>403540000</v>
      </c>
      <c r="AE947" s="28">
        <v>8751147000</v>
      </c>
      <c r="AF947" s="28">
        <v>203541000</v>
      </c>
      <c r="AG947" s="11"/>
    </row>
    <row r="948">
      <c r="A948" s="7" t="s">
        <v>2679</v>
      </c>
      <c r="B948" s="5" t="s">
        <v>10659</v>
      </c>
      <c r="C948" s="5" t="s">
        <v>17974</v>
      </c>
      <c r="D948" s="5"/>
      <c r="E948" s="0" t="e">
        <f>+7 (812) 3323760
+7 (923) 6750388</f>
        <v>#NAME?</v>
      </c>
      <c r="F948" s="5" t="s">
        <v>28239</v>
      </c>
      <c r="G948" s="5"/>
      <c r="H948" s="26">
        <v>4.5</v>
      </c>
      <c r="I948" s="5" t="s">
        <v>28237</v>
      </c>
      <c r="J948" s="5" t="s">
        <v>25812</v>
      </c>
      <c r="K948" s="5" t="s">
        <v>344</v>
      </c>
      <c r="L948" s="5"/>
      <c r="M948" s="27"/>
      <c r="N948" s="5"/>
      <c r="O948" s="5" t="str">
        <v>5504155010</v>
      </c>
      <c r="P948" s="27">
        <v>10000</v>
      </c>
      <c r="Q948" s="5"/>
      <c r="R948" s="5"/>
      <c r="S948" s="5" t="s">
        <v>49029</v>
      </c>
      <c r="T948" s="28">
        <v>2102000</v>
      </c>
      <c r="U948" s="28"/>
      <c r="V948" s="28">
        <v>950060000</v>
      </c>
      <c r="W948" s="28"/>
      <c r="X948" s="28">
        <v>327000</v>
      </c>
      <c r="Y948" s="28">
        <v>1708152000</v>
      </c>
      <c r="Z948" s="28">
        <v>29459000</v>
      </c>
      <c r="AA948" s="28"/>
      <c r="AB948" s="28">
        <v>700561000</v>
      </c>
      <c r="AC948" s="28">
        <v>1677378000</v>
      </c>
      <c r="AD948" s="28">
        <v>29469000</v>
      </c>
      <c r="AE948" s="28">
        <v>5848035000</v>
      </c>
      <c r="AF948" s="28">
        <v>69871000</v>
      </c>
      <c r="AG948" s="11"/>
    </row>
    <row r="949">
      <c r="A949" s="7" t="s">
        <v>2680</v>
      </c>
      <c r="B949" s="5" t="s">
        <v>10660</v>
      </c>
      <c r="C949" s="5" t="s">
        <v>17974</v>
      </c>
      <c r="D949" s="5"/>
      <c r="E949" s="0" t="e">
        <f>+7 (812) 3323760</f>
        <v>#NAME?</v>
      </c>
      <c r="F949" s="5" t="s">
        <v>28240</v>
      </c>
      <c r="G949" s="5"/>
      <c r="H949" s="26">
        <v>10.5</v>
      </c>
      <c r="I949" s="5" t="s">
        <v>28237</v>
      </c>
      <c r="J949" s="5" t="s">
        <v>26383</v>
      </c>
      <c r="K949" s="5" t="s">
        <v>344</v>
      </c>
      <c r="L949" s="5" t="s">
        <v>28241</v>
      </c>
      <c r="M949" s="27">
        <v>660991</v>
      </c>
      <c r="N949" s="5"/>
      <c r="O949" s="5" t="str">
        <v>2312196715</v>
      </c>
      <c r="P949" s="27">
        <v>10000</v>
      </c>
      <c r="Q949" s="5" t="s">
        <v>49319</v>
      </c>
      <c r="R949" s="5"/>
      <c r="S949" s="5" t="s">
        <v>49774</v>
      </c>
      <c r="T949" s="28">
        <v>993107000</v>
      </c>
      <c r="U949" s="28"/>
      <c r="V949" s="28">
        <v>2853156000</v>
      </c>
      <c r="W949" s="28"/>
      <c r="X949" s="28">
        <v>342000</v>
      </c>
      <c r="Y949" s="28">
        <v>4560092000</v>
      </c>
      <c r="Z949" s="28">
        <v>792014000</v>
      </c>
      <c r="AA949" s="28">
        <v>780000000</v>
      </c>
      <c r="AB949" s="28">
        <v>2002338000</v>
      </c>
      <c r="AC949" s="28">
        <v>2805115000</v>
      </c>
      <c r="AD949" s="28">
        <v>792080000</v>
      </c>
      <c r="AE949" s="28">
        <v>10293504000</v>
      </c>
      <c r="AF949" s="28">
        <v>271389000</v>
      </c>
      <c r="AG949" s="11"/>
    </row>
    <row r="950">
      <c r="A950" s="7" t="s">
        <v>2681</v>
      </c>
      <c r="B950" s="5" t="s">
        <v>10661</v>
      </c>
      <c r="C950" s="5" t="s">
        <v>18540</v>
      </c>
      <c r="D950" s="5" t="str">
        <v>772330506829</v>
      </c>
      <c r="E950" s="0" t="e">
        <f>+7 (495) 7952998
+7 (495) 2586256
+7 (495) 4952912
+7 (495) 5450748
+7 (495) 7922900
+7 (495) 7922912
+7 (495) 7952912
+7 (495) 7952932
+7 (495) 7952995
+7 (800) 7000269</f>
        <v>#NAME?</v>
      </c>
      <c r="F950" s="5"/>
      <c r="G950" s="5"/>
      <c r="H950" s="26">
        <v>23.5</v>
      </c>
      <c r="I950" s="5" t="s">
        <v>28242</v>
      </c>
      <c r="J950" s="5" t="s">
        <v>25641</v>
      </c>
      <c r="K950" s="5" t="s">
        <v>344</v>
      </c>
      <c r="L950" s="5" t="s">
        <v>28243</v>
      </c>
      <c r="M950" s="27"/>
      <c r="N950" s="5"/>
      <c r="O950" s="5" t="str">
        <v>7712107050</v>
      </c>
      <c r="P950" s="27">
        <v>335450000</v>
      </c>
      <c r="Q950" s="5" t="s">
        <v>50629</v>
      </c>
      <c r="R950" s="5"/>
      <c r="S950" s="5" t="s">
        <v>50630</v>
      </c>
      <c r="T950" s="28">
        <v>2110450000</v>
      </c>
      <c r="U950" s="28"/>
      <c r="V950" s="28">
        <v>2276453000</v>
      </c>
      <c r="W950" s="28"/>
      <c r="X950" s="28">
        <v>44719698000</v>
      </c>
      <c r="Y950" s="28">
        <v>54747119000</v>
      </c>
      <c r="Z950" s="28">
        <v>35866479000</v>
      </c>
      <c r="AA950" s="28"/>
      <c r="AB950" s="28"/>
      <c r="AC950" s="28">
        <v>9649941000</v>
      </c>
      <c r="AD950" s="28">
        <v>36203844000</v>
      </c>
      <c r="AE950" s="28">
        <v>56433560000</v>
      </c>
      <c r="AF950" s="28">
        <v>11221403000</v>
      </c>
      <c r="AG950" s="11"/>
    </row>
    <row r="951">
      <c r="A951" s="7" t="s">
        <v>2682</v>
      </c>
      <c r="B951" s="5" t="s">
        <v>10662</v>
      </c>
      <c r="C951" s="5" t="s">
        <v>18541</v>
      </c>
      <c r="D951" s="5" t="str">
        <v>343520163515</v>
      </c>
      <c r="E951" s="0" t="e">
        <f>+7 (492) 2222850
+7 (910) 6747517</f>
        <v>#NAME?</v>
      </c>
      <c r="F951" s="5"/>
      <c r="G951" s="5"/>
      <c r="H951" s="26">
        <v>9</v>
      </c>
      <c r="I951" s="5" t="s">
        <v>28244</v>
      </c>
      <c r="J951" s="5" t="s">
        <v>28245</v>
      </c>
      <c r="K951" s="5" t="s">
        <v>380</v>
      </c>
      <c r="L951" s="5"/>
      <c r="M951" s="27">
        <v>257118862</v>
      </c>
      <c r="N951" s="5" t="s">
        <v>50631</v>
      </c>
      <c r="O951" s="5" t="str">
        <v>3329072540</v>
      </c>
      <c r="P951" s="27">
        <v>10000</v>
      </c>
      <c r="Q951" s="5" t="s">
        <v>50632</v>
      </c>
      <c r="R951" s="5" t="s">
        <v>50633</v>
      </c>
      <c r="S951" s="5" t="s">
        <v>50634</v>
      </c>
      <c r="T951" s="28">
        <v>2790781000</v>
      </c>
      <c r="U951" s="28">
        <v>30000</v>
      </c>
      <c r="V951" s="28">
        <v>2383799000</v>
      </c>
      <c r="W951" s="28">
        <v>149980000</v>
      </c>
      <c r="X951" s="28">
        <v>3672000</v>
      </c>
      <c r="Y951" s="28">
        <v>8437333000</v>
      </c>
      <c r="Z951" s="28">
        <v>-373133000</v>
      </c>
      <c r="AA951" s="28">
        <v>2788000000</v>
      </c>
      <c r="AB951" s="28">
        <v>2774000</v>
      </c>
      <c r="AC951" s="28">
        <v>5979095000</v>
      </c>
      <c r="AD951" s="28">
        <v>-310131000</v>
      </c>
      <c r="AE951" s="28">
        <v>4899257000</v>
      </c>
      <c r="AF951" s="28">
        <v>1163000</v>
      </c>
      <c r="AG951" s="11"/>
    </row>
    <row r="952">
      <c r="A952" s="7" t="s">
        <v>2683</v>
      </c>
      <c r="B952" s="5" t="s">
        <v>10663</v>
      </c>
      <c r="C952" s="5" t="s">
        <v>18542</v>
      </c>
      <c r="D952" s="5" t="str">
        <v>222304366305</v>
      </c>
      <c r="E952" s="0" t="e">
        <f>+7 (385) 2388589
+7 (385) 2410802
+7 (38562) 22791
+7 (38562) 22891
+7 (38574) 23328
+7 (905) 9867171</f>
        <v>#NAME?</v>
      </c>
      <c r="F952" s="5" t="s">
        <v>28246</v>
      </c>
      <c r="G952" s="5"/>
      <c r="H952" s="26">
        <v>22</v>
      </c>
      <c r="I952" s="5"/>
      <c r="J952" s="5" t="s">
        <v>25499</v>
      </c>
      <c r="K952" s="5" t="s">
        <v>344</v>
      </c>
      <c r="L952" s="5" t="s">
        <v>28247</v>
      </c>
      <c r="M952" s="27">
        <v>175551</v>
      </c>
      <c r="N952" s="5"/>
      <c r="O952" s="5" t="str">
        <v>2223033980</v>
      </c>
      <c r="P952" s="27">
        <v>123659000</v>
      </c>
      <c r="Q952" s="5"/>
      <c r="R952" s="5" t="s">
        <v>50636</v>
      </c>
      <c r="S952" s="5" t="s">
        <v>49499</v>
      </c>
      <c r="T952" s="28">
        <v>1619343000</v>
      </c>
      <c r="U952" s="28">
        <v>210426000</v>
      </c>
      <c r="V952" s="28">
        <v>1303586000</v>
      </c>
      <c r="W952" s="28">
        <v>166279000</v>
      </c>
      <c r="X952" s="28">
        <v>11777000</v>
      </c>
      <c r="Y952" s="28">
        <v>5054039000</v>
      </c>
      <c r="Z952" s="28">
        <v>1055163000</v>
      </c>
      <c r="AA952" s="28">
        <v>277664000</v>
      </c>
      <c r="AB952" s="28">
        <v>1868313000</v>
      </c>
      <c r="AC952" s="28">
        <v>3018455000</v>
      </c>
      <c r="AD952" s="28">
        <v>1205701000</v>
      </c>
      <c r="AE952" s="28">
        <v>10350639000</v>
      </c>
      <c r="AF952" s="28">
        <v>156740000</v>
      </c>
      <c r="AG952" s="11"/>
    </row>
    <row r="953">
      <c r="A953" s="7" t="s">
        <v>2683</v>
      </c>
      <c r="B953" s="5" t="s">
        <v>10664</v>
      </c>
      <c r="C953" s="5" t="s">
        <v>18543</v>
      </c>
      <c r="D953" s="5" t="str">
        <v>280104280648</v>
      </c>
      <c r="E953" s="0" t="e">
        <f>+7 (416) 2350473
+7 (416) 2350516
+7 (416) 2350603
+7 (416) 2350638
+7 (416) 2350708
+7 (416) 2515283
+7 (84162) 35063</f>
        <v>#NAME?</v>
      </c>
      <c r="F953" s="5" t="s">
        <v>28248</v>
      </c>
      <c r="G953" s="5" t="s">
        <v>28249</v>
      </c>
      <c r="H953" s="26">
        <v>30.5</v>
      </c>
      <c r="I953" s="5"/>
      <c r="J953" s="5" t="s">
        <v>26482</v>
      </c>
      <c r="K953" s="5" t="s">
        <v>355</v>
      </c>
      <c r="L953" s="5" t="s">
        <v>28250</v>
      </c>
      <c r="M953" s="27"/>
      <c r="N953" s="5" t="s">
        <v>50637</v>
      </c>
      <c r="O953" s="5" t="str">
        <v>2801018878</v>
      </c>
      <c r="P953" s="27">
        <v>20062000</v>
      </c>
      <c r="Q953" s="5"/>
      <c r="R953" s="5"/>
      <c r="S953" s="5" t="s">
        <v>49399</v>
      </c>
      <c r="T953" s="28">
        <v>179714000</v>
      </c>
      <c r="U953" s="28">
        <v>467144000</v>
      </c>
      <c r="V953" s="28">
        <v>805546000</v>
      </c>
      <c r="W953" s="28">
        <v>25000000</v>
      </c>
      <c r="X953" s="28">
        <v>138546000</v>
      </c>
      <c r="Y953" s="28">
        <v>1907017000</v>
      </c>
      <c r="Z953" s="28">
        <v>938290000</v>
      </c>
      <c r="AA953" s="28">
        <v>51975000</v>
      </c>
      <c r="AB953" s="28">
        <v>730400000</v>
      </c>
      <c r="AC953" s="28">
        <v>795620000</v>
      </c>
      <c r="AD953" s="28">
        <v>968153000</v>
      </c>
      <c r="AE953" s="28">
        <v>3577155000</v>
      </c>
      <c r="AF953" s="28">
        <v>202596000</v>
      </c>
      <c r="AG953" s="11"/>
    </row>
    <row r="954">
      <c r="A954" s="7" t="s">
        <v>2683</v>
      </c>
      <c r="B954" s="5" t="s">
        <v>10665</v>
      </c>
      <c r="C954" s="5" t="s">
        <v>18544</v>
      </c>
      <c r="D954" s="5" t="str">
        <v>771523000522</v>
      </c>
      <c r="E954" s="0" t="e">
        <f>+7 (472) 2359075
+7 (343) 3858720
+7 (472) 2200770
+7 (472) 2200777
+7 (472) 2201972
+7 (472) 2209052
+7 (472) 2269052
+7 (472) 2348897
+7 (472) 2349512
+7 (472) 2359079
+7 (472) 2359134
+7 (472) 2359139
+7 (472) 2359504
+7 (472) 2359519
+7 (472) 2359523</f>
        <v>#NAME?</v>
      </c>
      <c r="F954" s="5" t="s">
        <v>28251</v>
      </c>
      <c r="G954" s="5" t="s">
        <v>28252</v>
      </c>
      <c r="H954" s="26">
        <v>30</v>
      </c>
      <c r="I954" s="5"/>
      <c r="J954" s="5" t="s">
        <v>26482</v>
      </c>
      <c r="K954" s="5" t="s">
        <v>344</v>
      </c>
      <c r="L954" s="5"/>
      <c r="M954" s="27"/>
      <c r="N954" s="5"/>
      <c r="O954" s="5" t="str">
        <v>3124011000</v>
      </c>
      <c r="P954" s="27">
        <v>67123000</v>
      </c>
      <c r="Q954" s="5"/>
      <c r="R954" s="5"/>
      <c r="S954" s="5" t="s">
        <v>49425</v>
      </c>
      <c r="T954" s="28">
        <v>1117536000</v>
      </c>
      <c r="U954" s="28"/>
      <c r="V954" s="28">
        <v>1764292000</v>
      </c>
      <c r="W954" s="28"/>
      <c r="X954" s="28">
        <v>5647000</v>
      </c>
      <c r="Y954" s="28">
        <v>3499255000</v>
      </c>
      <c r="Z954" s="28">
        <v>2884808000</v>
      </c>
      <c r="AA954" s="28"/>
      <c r="AB954" s="28"/>
      <c r="AC954" s="28">
        <v>436580000</v>
      </c>
      <c r="AD954" s="28">
        <v>2973667000</v>
      </c>
      <c r="AE954" s="28">
        <v>8386707000</v>
      </c>
      <c r="AF954" s="28">
        <v>309692000</v>
      </c>
      <c r="AG954" s="11"/>
    </row>
    <row r="955">
      <c r="A955" s="7" t="s">
        <v>2683</v>
      </c>
      <c r="B955" s="5" t="s">
        <v>10666</v>
      </c>
      <c r="C955" s="5" t="s">
        <v>18545</v>
      </c>
      <c r="D955" s="5" t="str">
        <v>781490108524</v>
      </c>
      <c r="E955" s="0" t="e">
        <f>+7 (812) 6779596
+7 (931) 3351102</f>
        <v>#NAME?</v>
      </c>
      <c r="F955" s="5" t="s">
        <v>28253</v>
      </c>
      <c r="G955" s="5"/>
      <c r="H955" s="26">
        <v>6.5</v>
      </c>
      <c r="I955" s="5"/>
      <c r="J955" s="5" t="s">
        <v>26125</v>
      </c>
      <c r="K955" s="5" t="s">
        <v>344</v>
      </c>
      <c r="L955" s="5" t="s">
        <v>28254</v>
      </c>
      <c r="M955" s="27"/>
      <c r="N955" s="5"/>
      <c r="O955" s="5" t="str">
        <v>7813633429</v>
      </c>
      <c r="P955" s="27">
        <v>1000000</v>
      </c>
      <c r="Q955" s="5" t="s">
        <v>49009</v>
      </c>
      <c r="R955" s="5"/>
      <c r="S955" s="5" t="s">
        <v>49010</v>
      </c>
      <c r="T955" s="28"/>
      <c r="U955" s="28"/>
      <c r="V955" s="28">
        <v>56202000</v>
      </c>
      <c r="W955" s="28"/>
      <c r="X955" s="28">
        <v>109789000</v>
      </c>
      <c r="Y955" s="28">
        <v>166221000</v>
      </c>
      <c r="Z955" s="28">
        <v>162036000</v>
      </c>
      <c r="AA955" s="28"/>
      <c r="AB955" s="28"/>
      <c r="AC955" s="28">
        <v>3135000</v>
      </c>
      <c r="AD955" s="28">
        <v>163086000</v>
      </c>
      <c r="AE955" s="28">
        <v>3103364000</v>
      </c>
      <c r="AF955" s="28">
        <v>692036000</v>
      </c>
      <c r="AG955" s="11"/>
    </row>
    <row r="956">
      <c r="A956" s="7" t="s">
        <v>2684</v>
      </c>
      <c r="B956" s="5" t="s">
        <v>10667</v>
      </c>
      <c r="C956" s="5" t="s">
        <v>18546</v>
      </c>
      <c r="D956" s="5" t="str">
        <v>323002254007</v>
      </c>
      <c r="E956" s="0" t="e">
        <f>+7 (483) 2524156
+7 (483) 2524911
+7 (483) 2527103
+7 (483) 2527161
+7 (483) 2527300
+7 (483) 2527435
+7 (483) 2528080
+7 (483) 2528544
+7 (483) 2528555
+7 (483) 2528579</f>
        <v>#NAME?</v>
      </c>
      <c r="F956" s="5" t="s">
        <v>28255</v>
      </c>
      <c r="G956" s="5" t="s">
        <v>28256</v>
      </c>
      <c r="H956" s="26">
        <v>30</v>
      </c>
      <c r="I956" s="5"/>
      <c r="J956" s="5" t="s">
        <v>26482</v>
      </c>
      <c r="K956" s="5" t="s">
        <v>344</v>
      </c>
      <c r="L956" s="5" t="s">
        <v>28257</v>
      </c>
      <c r="M956" s="27"/>
      <c r="N956" s="5" t="s">
        <v>50638</v>
      </c>
      <c r="O956" s="5" t="str">
        <v>3232000207</v>
      </c>
      <c r="P956" s="27">
        <v>1071000</v>
      </c>
      <c r="Q956" s="5" t="s">
        <v>50639</v>
      </c>
      <c r="R956" s="5"/>
      <c r="S956" s="5" t="s">
        <v>50640</v>
      </c>
      <c r="T956" s="28">
        <v>765418000</v>
      </c>
      <c r="U956" s="28">
        <v>3582000</v>
      </c>
      <c r="V956" s="28">
        <v>1315659000</v>
      </c>
      <c r="W956" s="28"/>
      <c r="X956" s="28">
        <v>6531000</v>
      </c>
      <c r="Y956" s="28">
        <v>2884949000</v>
      </c>
      <c r="Z956" s="28">
        <v>342645000</v>
      </c>
      <c r="AA956" s="28">
        <v>345896000</v>
      </c>
      <c r="AB956" s="28">
        <v>1319882000</v>
      </c>
      <c r="AC956" s="28">
        <v>1976041000</v>
      </c>
      <c r="AD956" s="28">
        <v>500099000</v>
      </c>
      <c r="AE956" s="28">
        <v>10105932000</v>
      </c>
      <c r="AF956" s="28">
        <v>86004000</v>
      </c>
      <c r="AG956" s="11"/>
    </row>
    <row r="957">
      <c r="A957" s="7" t="s">
        <v>2685</v>
      </c>
      <c r="B957" s="5" t="s">
        <v>10668</v>
      </c>
      <c r="C957" s="5" t="s">
        <v>18547</v>
      </c>
      <c r="D957" s="5" t="str">
        <v>771546898461</v>
      </c>
      <c r="E957" s="0" t="e">
        <f>+7 (495) 5027141
+7 (495) 5027522</f>
        <v>#NAME?</v>
      </c>
      <c r="F957" s="5" t="s">
        <v>28258</v>
      </c>
      <c r="G957" s="5"/>
      <c r="H957" s="26">
        <v>6.5</v>
      </c>
      <c r="I957" s="5" t="s">
        <v>28259</v>
      </c>
      <c r="J957" s="5" t="s">
        <v>25253</v>
      </c>
      <c r="K957" s="5" t="s">
        <v>344</v>
      </c>
      <c r="L957" s="5" t="s">
        <v>28260</v>
      </c>
      <c r="M957" s="27"/>
      <c r="N957" s="5"/>
      <c r="O957" s="5" t="str">
        <v>5018187535</v>
      </c>
      <c r="P957" s="27">
        <v>10000</v>
      </c>
      <c r="Q957" s="5" t="s">
        <v>49009</v>
      </c>
      <c r="R957" s="5"/>
      <c r="S957" s="5" t="s">
        <v>49010</v>
      </c>
      <c r="T957" s="28">
        <v>11406000</v>
      </c>
      <c r="U957" s="28"/>
      <c r="V957" s="28">
        <v>277106000</v>
      </c>
      <c r="W957" s="28"/>
      <c r="X957" s="28">
        <v>2635000</v>
      </c>
      <c r="Y957" s="28">
        <v>756753000</v>
      </c>
      <c r="Z957" s="28">
        <v>55913000</v>
      </c>
      <c r="AA957" s="28">
        <v>54635000</v>
      </c>
      <c r="AB957" s="28">
        <v>1683000</v>
      </c>
      <c r="AC957" s="28">
        <v>646195000</v>
      </c>
      <c r="AD957" s="28">
        <v>55923000</v>
      </c>
      <c r="AE957" s="28">
        <v>4872076000</v>
      </c>
      <c r="AF957" s="28">
        <v>21156000</v>
      </c>
      <c r="AG957" s="11"/>
    </row>
    <row r="958">
      <c r="A958" s="7" t="s">
        <v>2686</v>
      </c>
      <c r="B958" s="5" t="s">
        <v>10669</v>
      </c>
      <c r="C958" s="5" t="s">
        <v>18548</v>
      </c>
      <c r="D958" s="5" t="str">
        <v>632412327639</v>
      </c>
      <c r="E958" s="0" t="e">
        <f>+7 (8422) 240587
+7 (495) 9894710
+7 (8422) 240588
+7 (8422) 290100
+7 (8422) 290101
+7 (8422) 290110</f>
        <v>#NAME?</v>
      </c>
      <c r="F958" s="5" t="s">
        <v>28261</v>
      </c>
      <c r="G958" s="5" t="s">
        <v>28262</v>
      </c>
      <c r="H958" s="26">
        <v>10</v>
      </c>
      <c r="I958" s="5" t="s">
        <v>28263</v>
      </c>
      <c r="J958" s="5" t="s">
        <v>26281</v>
      </c>
      <c r="K958" s="5" t="s">
        <v>344</v>
      </c>
      <c r="L958" s="5"/>
      <c r="M958" s="27"/>
      <c r="N958" s="5"/>
      <c r="O958" s="5" t="str">
        <v>7325120984</v>
      </c>
      <c r="P958" s="27">
        <v>2929547023</v>
      </c>
      <c r="Q958" s="5" t="s">
        <v>49009</v>
      </c>
      <c r="R958" s="5"/>
      <c r="S958" s="5" t="s">
        <v>49066</v>
      </c>
      <c r="T958" s="28">
        <v>1264911000</v>
      </c>
      <c r="U958" s="28"/>
      <c r="V958" s="28">
        <v>298800000</v>
      </c>
      <c r="W958" s="28"/>
      <c r="X958" s="28">
        <v>976866000</v>
      </c>
      <c r="Y958" s="28">
        <v>4821754000</v>
      </c>
      <c r="Z958" s="28">
        <v>-13821535000</v>
      </c>
      <c r="AA958" s="28"/>
      <c r="AB958" s="28">
        <v>2009618000</v>
      </c>
      <c r="AC958" s="28">
        <v>2586169000</v>
      </c>
      <c r="AD958" s="28">
        <v>1915195000</v>
      </c>
      <c r="AE958" s="28">
        <v>12320815000</v>
      </c>
      <c r="AF958" s="28">
        <v>-11713329000</v>
      </c>
      <c r="AG958" s="11"/>
    </row>
    <row r="959">
      <c r="A959" s="7" t="s">
        <v>2687</v>
      </c>
      <c r="B959" s="5" t="s">
        <v>10670</v>
      </c>
      <c r="C959" s="5" t="s">
        <v>18549</v>
      </c>
      <c r="D959" s="5" t="str">
        <v>323200657304</v>
      </c>
      <c r="E959" s="0" t="e">
        <f>+7 (482) 2647719
+7 (483) 2312303
+7 (48336) 27719
+7 (48336) 41719
+7 (926) 2201808
+7 (48336) 27720
+7 (48439) 79506
+7 (833) 6670740</f>
        <v>#NAME?</v>
      </c>
      <c r="F959" s="5" t="s">
        <v>28264</v>
      </c>
      <c r="G959" s="5" t="s">
        <v>28265</v>
      </c>
      <c r="H959" s="26">
        <v>10</v>
      </c>
      <c r="I959" s="5" t="s">
        <v>28266</v>
      </c>
      <c r="J959" s="5" t="s">
        <v>389</v>
      </c>
      <c r="K959" s="5" t="s">
        <v>344</v>
      </c>
      <c r="L959" s="5" t="s">
        <v>28267</v>
      </c>
      <c r="M959" s="27"/>
      <c r="N959" s="5" t="s">
        <v>50641</v>
      </c>
      <c r="O959" s="5" t="str">
        <v>3241504095</v>
      </c>
      <c r="P959" s="27">
        <v>18010000</v>
      </c>
      <c r="Q959" s="5" t="s">
        <v>50642</v>
      </c>
      <c r="R959" s="5" t="s">
        <v>49364</v>
      </c>
      <c r="S959" s="5" t="s">
        <v>50643</v>
      </c>
      <c r="T959" s="28">
        <v>736608000</v>
      </c>
      <c r="U959" s="28"/>
      <c r="V959" s="28">
        <v>248106000</v>
      </c>
      <c r="W959" s="28">
        <v>118700000</v>
      </c>
      <c r="X959" s="28">
        <v>21263000</v>
      </c>
      <c r="Y959" s="28">
        <v>1872266000</v>
      </c>
      <c r="Z959" s="28">
        <v>68342000</v>
      </c>
      <c r="AA959" s="28">
        <v>619725000</v>
      </c>
      <c r="AB959" s="28">
        <v>47414000</v>
      </c>
      <c r="AC959" s="28">
        <v>630965000</v>
      </c>
      <c r="AD959" s="28">
        <v>147418000</v>
      </c>
      <c r="AE959" s="28">
        <v>3829979000</v>
      </c>
      <c r="AF959" s="28">
        <v>-89230000</v>
      </c>
      <c r="AG959" s="11"/>
    </row>
    <row r="960">
      <c r="A960" s="7" t="s">
        <v>2688</v>
      </c>
      <c r="B960" s="5" t="s">
        <v>10671</v>
      </c>
      <c r="C960" s="5" t="s">
        <v>18550</v>
      </c>
      <c r="D960" s="5" t="str">
        <v>773118671531</v>
      </c>
      <c r="E960" s="0" t="e">
        <f>+7 (47350) 44235
+7 (495) 9701625
+7 (495) 9701627</f>
        <v>#NAME?</v>
      </c>
      <c r="F960" s="5"/>
      <c r="G960" s="5"/>
      <c r="H960" s="26">
        <v>13.5</v>
      </c>
      <c r="I960" s="5" t="s">
        <v>28268</v>
      </c>
      <c r="J960" s="5" t="s">
        <v>27917</v>
      </c>
      <c r="K960" s="5" t="s">
        <v>344</v>
      </c>
      <c r="L960" s="5" t="s">
        <v>28269</v>
      </c>
      <c r="M960" s="27"/>
      <c r="N960" s="5" t="s">
        <v>50644</v>
      </c>
      <c r="O960" s="5" t="str">
        <v>3602011132</v>
      </c>
      <c r="P960" s="27">
        <v>1239010</v>
      </c>
      <c r="Q960" s="5"/>
      <c r="R960" s="5" t="s">
        <v>50489</v>
      </c>
      <c r="S960" s="5" t="s">
        <v>49425</v>
      </c>
      <c r="T960" s="28">
        <v>3045949000</v>
      </c>
      <c r="U960" s="28"/>
      <c r="V960" s="28">
        <v>1055798000</v>
      </c>
      <c r="W960" s="28"/>
      <c r="X960" s="28">
        <v>63858000</v>
      </c>
      <c r="Y960" s="28">
        <v>5396352000</v>
      </c>
      <c r="Z960" s="28">
        <v>1485721000</v>
      </c>
      <c r="AA960" s="28">
        <v>286217000</v>
      </c>
      <c r="AB960" s="28">
        <v>1007025000</v>
      </c>
      <c r="AC960" s="28">
        <v>1680628000</v>
      </c>
      <c r="AD960" s="28">
        <v>3352057000</v>
      </c>
      <c r="AE960" s="28">
        <v>7335963000</v>
      </c>
      <c r="AF960" s="28">
        <v>104351000</v>
      </c>
      <c r="AG960" s="11"/>
    </row>
    <row r="961">
      <c r="A961" s="7" t="s">
        <v>2689</v>
      </c>
      <c r="B961" s="5" t="s">
        <v>10672</v>
      </c>
      <c r="C961" s="5" t="s">
        <v>18551</v>
      </c>
      <c r="D961" s="5" t="str">
        <v>362001900910</v>
      </c>
      <c r="E961" s="0" t="e">
        <f>+7 (495) 9925546
+7 (903) 9619371
+7 (926) 6103571
+7 (926) 9191716
+7 (926) 9191722</f>
        <v>#NAME?</v>
      </c>
      <c r="F961" s="5" t="s">
        <v>28270</v>
      </c>
      <c r="G961" s="5" t="s">
        <v>28271</v>
      </c>
      <c r="H961" s="26">
        <v>25.5</v>
      </c>
      <c r="I961" s="5"/>
      <c r="J961" s="5" t="s">
        <v>26596</v>
      </c>
      <c r="K961" s="5" t="s">
        <v>344</v>
      </c>
      <c r="L961" s="5" t="s">
        <v>28272</v>
      </c>
      <c r="M961" s="27">
        <v>7280107</v>
      </c>
      <c r="N961" s="5"/>
      <c r="O961" s="5" t="str">
        <v>5075011344</v>
      </c>
      <c r="P961" s="27">
        <v>20000</v>
      </c>
      <c r="Q961" s="5"/>
      <c r="R961" s="5"/>
      <c r="S961" s="5" t="s">
        <v>49029</v>
      </c>
      <c r="T961" s="28">
        <v>501375000</v>
      </c>
      <c r="U961" s="28">
        <v>4058030000</v>
      </c>
      <c r="V961" s="28">
        <v>152494000</v>
      </c>
      <c r="W961" s="28">
        <v>868278000</v>
      </c>
      <c r="X961" s="28">
        <v>6645000</v>
      </c>
      <c r="Y961" s="28">
        <v>6132353000</v>
      </c>
      <c r="Z961" s="28">
        <v>4230144000</v>
      </c>
      <c r="AA961" s="28">
        <v>605000000</v>
      </c>
      <c r="AB961" s="28">
        <v>2474000</v>
      </c>
      <c r="AC961" s="28">
        <v>1248328000</v>
      </c>
      <c r="AD961" s="28">
        <v>4230164000</v>
      </c>
      <c r="AE961" s="28">
        <v>3727995000</v>
      </c>
      <c r="AF961" s="28">
        <v>885442000</v>
      </c>
      <c r="AG961" s="11"/>
    </row>
    <row r="962">
      <c r="A962" s="7" t="s">
        <v>2690</v>
      </c>
      <c r="B962" s="5" t="s">
        <v>10673</v>
      </c>
      <c r="C962" s="5" t="s">
        <v>18552</v>
      </c>
      <c r="D962" s="5" t="str">
        <v>667004021200</v>
      </c>
      <c r="E962" s="0" t="e">
        <f>+7 (34376) 25659
+7 (34376) 26760
+7 (34376) 26987
+7 (34376) 26994
+7 (34376) 55675
+7 (34376) 55676
+7 (34376) 55678
+7 (34376) 55683</f>
        <v>#NAME?</v>
      </c>
      <c r="F962" s="5" t="s">
        <v>28273</v>
      </c>
      <c r="G962" s="5" t="s">
        <v>28274</v>
      </c>
      <c r="H962" s="26">
        <v>30</v>
      </c>
      <c r="I962" s="5"/>
      <c r="J962" s="5" t="s">
        <v>25949</v>
      </c>
      <c r="K962" s="5" t="s">
        <v>344</v>
      </c>
      <c r="L962" s="5" t="s">
        <v>28275</v>
      </c>
      <c r="M962" s="27"/>
      <c r="N962" s="5" t="s">
        <v>50645</v>
      </c>
      <c r="O962" s="5" t="str">
        <v>6605002100</v>
      </c>
      <c r="P962" s="27">
        <v>39117</v>
      </c>
      <c r="Q962" s="5" t="s">
        <v>50646</v>
      </c>
      <c r="R962" s="5"/>
      <c r="S962" s="5" t="s">
        <v>50647</v>
      </c>
      <c r="T962" s="28">
        <v>673951000</v>
      </c>
      <c r="U962" s="28">
        <v>23000</v>
      </c>
      <c r="V962" s="28">
        <v>271925000</v>
      </c>
      <c r="W962" s="28">
        <v>594500000</v>
      </c>
      <c r="X962" s="28">
        <v>29883000</v>
      </c>
      <c r="Y962" s="28">
        <v>2271630000</v>
      </c>
      <c r="Z962" s="28">
        <v>1170243000</v>
      </c>
      <c r="AA962" s="28">
        <v>49885000</v>
      </c>
      <c r="AB962" s="28">
        <v>585540000</v>
      </c>
      <c r="AC962" s="28">
        <v>908359000</v>
      </c>
      <c r="AD962" s="28">
        <v>1298780000</v>
      </c>
      <c r="AE962" s="28">
        <v>6270809000</v>
      </c>
      <c r="AF962" s="28">
        <v>161998000</v>
      </c>
      <c r="AG962" s="11"/>
    </row>
    <row r="963">
      <c r="A963" s="7" t="s">
        <v>2691</v>
      </c>
      <c r="B963" s="5" t="s">
        <v>10674</v>
      </c>
      <c r="C963" s="5" t="s">
        <v>18553</v>
      </c>
      <c r="D963" s="5"/>
      <c r="E963" s="0" t="e">
        <f>+7 (923) 3405178
+7 (950) 9790693</f>
        <v>#NAME?</v>
      </c>
      <c r="F963" s="5" t="s">
        <v>28276</v>
      </c>
      <c r="G963" s="5"/>
      <c r="H963" s="26">
        <v>8</v>
      </c>
      <c r="I963" s="5" t="s">
        <v>28277</v>
      </c>
      <c r="J963" s="5" t="s">
        <v>28278</v>
      </c>
      <c r="K963" s="5" t="s">
        <v>355</v>
      </c>
      <c r="L963" s="5" t="s">
        <v>28279</v>
      </c>
      <c r="M963" s="27">
        <v>877500</v>
      </c>
      <c r="N963" s="5"/>
      <c r="O963" s="5" t="str">
        <v>2426005202</v>
      </c>
      <c r="P963" s="27">
        <v>2500704732</v>
      </c>
      <c r="Q963" s="5" t="s">
        <v>49009</v>
      </c>
      <c r="R963" s="5"/>
      <c r="S963" s="5" t="s">
        <v>49120</v>
      </c>
      <c r="T963" s="28">
        <v>1914024000</v>
      </c>
      <c r="U963" s="28"/>
      <c r="V963" s="28">
        <v>2579507000</v>
      </c>
      <c r="W963" s="28"/>
      <c r="X963" s="28">
        <v>9101000</v>
      </c>
      <c r="Y963" s="28">
        <v>8110522000</v>
      </c>
      <c r="Z963" s="28">
        <v>4073860000</v>
      </c>
      <c r="AA963" s="28"/>
      <c r="AB963" s="28"/>
      <c r="AC963" s="28">
        <v>875729000</v>
      </c>
      <c r="AD963" s="28">
        <v>7100399000</v>
      </c>
      <c r="AE963" s="28">
        <v>4544751000</v>
      </c>
      <c r="AF963" s="28">
        <v>729489000</v>
      </c>
      <c r="AG963" s="11"/>
    </row>
    <row r="964">
      <c r="A964" s="7" t="s">
        <v>2692</v>
      </c>
      <c r="B964" s="5" t="s">
        <v>10675</v>
      </c>
      <c r="C964" s="5" t="s">
        <v>18554</v>
      </c>
      <c r="D964" s="5" t="str">
        <v>772150402651</v>
      </c>
      <c r="E964" s="0" t="e">
        <f>+7 (495) 7979293
+7 (499) 7307510
+7 (495) 9609553
+7 (915) 2823723</f>
        <v>#NAME?</v>
      </c>
      <c r="F964" s="5"/>
      <c r="G964" s="5"/>
      <c r="H964" s="26">
        <v>16.5</v>
      </c>
      <c r="I964" s="5" t="s">
        <v>28280</v>
      </c>
      <c r="J964" s="5" t="s">
        <v>25788</v>
      </c>
      <c r="K964" s="5" t="s">
        <v>344</v>
      </c>
      <c r="L964" s="5" t="s">
        <v>28281</v>
      </c>
      <c r="M964" s="27"/>
      <c r="N964" s="5"/>
      <c r="O964" s="5" t="str">
        <v>5050058950</v>
      </c>
      <c r="P964" s="27">
        <v>10000</v>
      </c>
      <c r="Q964" s="5" t="s">
        <v>49324</v>
      </c>
      <c r="R964" s="5"/>
      <c r="S964" s="5" t="s">
        <v>50562</v>
      </c>
      <c r="T964" s="28">
        <v>38453000</v>
      </c>
      <c r="U964" s="28"/>
      <c r="V964" s="28">
        <v>304720000</v>
      </c>
      <c r="W964" s="28">
        <v>144370000</v>
      </c>
      <c r="X964" s="28">
        <v>7751000</v>
      </c>
      <c r="Y964" s="28">
        <v>616987000</v>
      </c>
      <c r="Z964" s="28">
        <v>139986000</v>
      </c>
      <c r="AA964" s="28">
        <v>180069000</v>
      </c>
      <c r="AB964" s="28">
        <v>18300000</v>
      </c>
      <c r="AC964" s="28">
        <v>296922000</v>
      </c>
      <c r="AD964" s="28">
        <v>139996000</v>
      </c>
      <c r="AE964" s="28">
        <v>3961663000</v>
      </c>
      <c r="AF964" s="28">
        <v>56692000</v>
      </c>
      <c r="AG964" s="11"/>
    </row>
    <row r="965">
      <c r="A965" s="7" t="s">
        <v>2693</v>
      </c>
      <c r="B965" s="5" t="s">
        <v>10676</v>
      </c>
      <c r="C965" s="5" t="s">
        <v>18555</v>
      </c>
      <c r="D965" s="5" t="str">
        <v>026817162115</v>
      </c>
      <c r="E965" s="0" t="e">
        <f>+7 (343) 1471555
+7 (343) 1471666
+7 (343) 1471800
+7 (343) 1491001
+7 (343) 1491006
+7 (34384) 71550
+7 (34384) 71555
+7 (34384) 71556
+7 (34384) 71666
+7 (34384) 71800</f>
        <v>#NAME?</v>
      </c>
      <c r="F965" s="5" t="s">
        <v>28282</v>
      </c>
      <c r="G965" s="5"/>
      <c r="H965" s="26">
        <v>28.5</v>
      </c>
      <c r="I965" s="5"/>
      <c r="J965" s="5" t="s">
        <v>28283</v>
      </c>
      <c r="K965" s="5" t="s">
        <v>344</v>
      </c>
      <c r="L965" s="5" t="s">
        <v>28284</v>
      </c>
      <c r="M965" s="27">
        <v>3753143</v>
      </c>
      <c r="N965" s="5" t="s">
        <v>49923</v>
      </c>
      <c r="O965" s="5" t="str">
        <v>6617002344</v>
      </c>
      <c r="P965" s="27">
        <v>74000</v>
      </c>
      <c r="Q965" s="5"/>
      <c r="R965" s="5"/>
      <c r="S965" s="5" t="s">
        <v>49029</v>
      </c>
      <c r="T965" s="28">
        <v>2203875000</v>
      </c>
      <c r="U965" s="28"/>
      <c r="V965" s="28">
        <v>119786000</v>
      </c>
      <c r="W965" s="28"/>
      <c r="X965" s="28">
        <v>7616000</v>
      </c>
      <c r="Y965" s="28">
        <v>3329127000</v>
      </c>
      <c r="Z965" s="28">
        <v>2505708000</v>
      </c>
      <c r="AA965" s="28"/>
      <c r="AB965" s="28"/>
      <c r="AC965" s="28">
        <v>740862000</v>
      </c>
      <c r="AD965" s="28">
        <v>2505786000</v>
      </c>
      <c r="AE965" s="28">
        <v>3810612000</v>
      </c>
      <c r="AF965" s="28">
        <v>35699000</v>
      </c>
      <c r="AG965" s="11"/>
    </row>
    <row r="966">
      <c r="A966" s="7" t="s">
        <v>2694</v>
      </c>
      <c r="B966" s="5" t="s">
        <v>10677</v>
      </c>
      <c r="C966" s="5" t="s">
        <v>18556</v>
      </c>
      <c r="D966" s="5" t="str">
        <v>244900329477</v>
      </c>
      <c r="E966" s="0" t="e">
        <f>+7 (39143) 31664
+7 (39143) 71396
+7 (963) 1828136
+7 (39143) 31000
+7 (39143) 31655
+7 (39143) 71359
+7 (39143) 71393
+7 (906) 9153035</f>
        <v>#NAME?</v>
      </c>
      <c r="F966" s="5" t="s">
        <v>28285</v>
      </c>
      <c r="G966" s="5" t="s">
        <v>28286</v>
      </c>
      <c r="H966" s="26">
        <v>30</v>
      </c>
      <c r="I966" s="5"/>
      <c r="J966" s="5" t="s">
        <v>28287</v>
      </c>
      <c r="K966" s="5" t="s">
        <v>344</v>
      </c>
      <c r="L966" s="5" t="s">
        <v>28288</v>
      </c>
      <c r="M966" s="27"/>
      <c r="N966" s="5" t="s">
        <v>50648</v>
      </c>
      <c r="O966" s="5" t="str">
        <v>2420002597</v>
      </c>
      <c r="P966" s="27">
        <v>5641561301</v>
      </c>
      <c r="Q966" s="5" t="s">
        <v>49009</v>
      </c>
      <c r="R966" s="5"/>
      <c r="S966" s="5" t="s">
        <v>49120</v>
      </c>
      <c r="T966" s="28">
        <v>63562651000</v>
      </c>
      <c r="U966" s="28"/>
      <c r="V966" s="28">
        <v>44890939000</v>
      </c>
      <c r="W966" s="28"/>
      <c r="X966" s="28">
        <v>3030719000</v>
      </c>
      <c r="Y966" s="28">
        <v>112852397000</v>
      </c>
      <c r="Z966" s="28">
        <v>56654617000</v>
      </c>
      <c r="AA966" s="28">
        <v>44298270000</v>
      </c>
      <c r="AB966" s="28">
        <v>3722000</v>
      </c>
      <c r="AC966" s="28">
        <v>2511263000</v>
      </c>
      <c r="AD966" s="28">
        <v>62560854000</v>
      </c>
      <c r="AE966" s="28">
        <v>27899373000</v>
      </c>
      <c r="AF966" s="28">
        <v>13686336000</v>
      </c>
      <c r="AG966" s="11"/>
    </row>
    <row r="967">
      <c r="A967" s="7" t="s">
        <v>2695</v>
      </c>
      <c r="B967" s="5" t="s">
        <v>10678</v>
      </c>
      <c r="C967" s="5" t="s">
        <v>18557</v>
      </c>
      <c r="D967" s="5" t="str">
        <v>502754158124</v>
      </c>
      <c r="E967" s="0" t="e">
        <f>+7 (495) 6440500</f>
        <v>#NAME?</v>
      </c>
      <c r="F967" s="5"/>
      <c r="G967" s="5"/>
      <c r="H967" s="26">
        <v>5.5</v>
      </c>
      <c r="I967" s="5" t="s">
        <v>28289</v>
      </c>
      <c r="J967" s="5" t="s">
        <v>28290</v>
      </c>
      <c r="K967" s="5" t="s">
        <v>344</v>
      </c>
      <c r="L967" s="5"/>
      <c r="M967" s="27"/>
      <c r="N967" s="5"/>
      <c r="O967" s="5" t="str">
        <v>5024176620</v>
      </c>
      <c r="P967" s="27">
        <v>5700000</v>
      </c>
      <c r="Q967" s="5"/>
      <c r="R967" s="5"/>
      <c r="S967" s="5" t="s">
        <v>49029</v>
      </c>
      <c r="T967" s="28">
        <v>2327000</v>
      </c>
      <c r="U967" s="28"/>
      <c r="V967" s="28">
        <v>48571000</v>
      </c>
      <c r="W967" s="28"/>
      <c r="X967" s="28">
        <v>154347000</v>
      </c>
      <c r="Y967" s="28">
        <v>238883000</v>
      </c>
      <c r="Z967" s="28">
        <v>223566000</v>
      </c>
      <c r="AA967" s="28"/>
      <c r="AB967" s="28"/>
      <c r="AC967" s="28">
        <v>8980000</v>
      </c>
      <c r="AD967" s="28">
        <v>229350000</v>
      </c>
      <c r="AE967" s="28">
        <v>3379384000</v>
      </c>
      <c r="AF967" s="28">
        <v>223806000</v>
      </c>
      <c r="AG967" s="11"/>
    </row>
    <row r="968">
      <c r="A968" s="7" t="s">
        <v>2696</v>
      </c>
      <c r="B968" s="5" t="s">
        <v>10679</v>
      </c>
      <c r="C968" s="5" t="s">
        <v>18558</v>
      </c>
      <c r="D968" s="5" t="str">
        <v>501801765494</v>
      </c>
      <c r="E968" s="0" t="e">
        <f>+7 (495) 6624488
+7 (495) 7843129</f>
        <v>#NAME?</v>
      </c>
      <c r="F968" s="5"/>
      <c r="G968" s="5" t="s">
        <v>28291</v>
      </c>
      <c r="H968" s="26">
        <v>15</v>
      </c>
      <c r="I968" s="5"/>
      <c r="J968" s="5" t="s">
        <v>641</v>
      </c>
      <c r="K968" s="5" t="s">
        <v>344</v>
      </c>
      <c r="L968" s="5" t="s">
        <v>28292</v>
      </c>
      <c r="M968" s="27"/>
      <c r="N968" s="5" t="s">
        <v>50649</v>
      </c>
      <c r="O968" s="5" t="str">
        <v>7715681030</v>
      </c>
      <c r="P968" s="27">
        <v>100000</v>
      </c>
      <c r="Q968" s="5" t="s">
        <v>49009</v>
      </c>
      <c r="R968" s="5"/>
      <c r="S968" s="5" t="s">
        <v>49045</v>
      </c>
      <c r="T968" s="28">
        <v>174000</v>
      </c>
      <c r="U968" s="28"/>
      <c r="V968" s="28">
        <v>2264000</v>
      </c>
      <c r="W968" s="28"/>
      <c r="X968" s="28">
        <v>1299942000</v>
      </c>
      <c r="Y968" s="28">
        <v>1308803000</v>
      </c>
      <c r="Z968" s="28">
        <v>1030637000</v>
      </c>
      <c r="AA968" s="28"/>
      <c r="AB968" s="28"/>
      <c r="AC968" s="28">
        <v>278051000</v>
      </c>
      <c r="AD968" s="28">
        <v>1030752000</v>
      </c>
      <c r="AE968" s="28">
        <v>9590379000</v>
      </c>
      <c r="AF968" s="28">
        <v>1958638000</v>
      </c>
      <c r="AG968" s="11"/>
    </row>
    <row r="969">
      <c r="A969" s="7" t="s">
        <v>2697</v>
      </c>
      <c r="B969" s="5" t="s">
        <v>10680</v>
      </c>
      <c r="C969" s="5" t="s">
        <v>18559</v>
      </c>
      <c r="D969" s="5" t="str">
        <v>701711417755</v>
      </c>
      <c r="E969" s="0" t="e">
        <f>+7 (38349) 21225
+7 (38349) 21653
+7 (38349) 22174
+7 (38349) 22375
+7 (38349) 22414</f>
        <v>#NAME?</v>
      </c>
      <c r="F969" s="5" t="s">
        <v>28293</v>
      </c>
      <c r="G969" s="5" t="s">
        <v>28294</v>
      </c>
      <c r="H969" s="26">
        <v>13.5</v>
      </c>
      <c r="I969" s="5"/>
      <c r="J969" s="5" t="s">
        <v>27070</v>
      </c>
      <c r="K969" s="5" t="s">
        <v>344</v>
      </c>
      <c r="L969" s="5" t="s">
        <v>28295</v>
      </c>
      <c r="M969" s="27"/>
      <c r="N969" s="5" t="s">
        <v>50650</v>
      </c>
      <c r="O969" s="5" t="str">
        <v>5413112964</v>
      </c>
      <c r="P969" s="27">
        <v>55000</v>
      </c>
      <c r="Q969" s="5" t="s">
        <v>49021</v>
      </c>
      <c r="R969" s="5"/>
      <c r="S969" s="5" t="s">
        <v>50651</v>
      </c>
      <c r="T969" s="28">
        <v>616567000</v>
      </c>
      <c r="U969" s="28"/>
      <c r="V969" s="28">
        <v>580293000</v>
      </c>
      <c r="W969" s="28">
        <v>301000000</v>
      </c>
      <c r="X969" s="28">
        <v>27121000</v>
      </c>
      <c r="Y969" s="28">
        <v>1841085000</v>
      </c>
      <c r="Z969" s="28">
        <v>1252287000</v>
      </c>
      <c r="AA969" s="28">
        <v>37700000</v>
      </c>
      <c r="AB969" s="28">
        <v>259000</v>
      </c>
      <c r="AC969" s="28">
        <v>284531000</v>
      </c>
      <c r="AD969" s="28">
        <v>1488762000</v>
      </c>
      <c r="AE969" s="28">
        <v>3427308000</v>
      </c>
      <c r="AF969" s="28">
        <v>167039000</v>
      </c>
      <c r="AG969" s="11"/>
    </row>
    <row r="970">
      <c r="A970" s="7" t="s">
        <v>2698</v>
      </c>
      <c r="B970" s="5" t="s">
        <v>10681</v>
      </c>
      <c r="C970" s="5" t="s">
        <v>18560</v>
      </c>
      <c r="D970" s="5" t="str">
        <v>631800677039</v>
      </c>
      <c r="E970" s="0" t="e">
        <f>+7 (927) 7631378
+7 (84666) 22452
+7 (84666) 22614
+7 (84666) 22826
+7 (84695) 37871
+7 (901) 3015801
+7 (927) 2989638
+7 (927) 2989969
+7 (927) 2992714
+7 (937) 678234</f>
        <v>#NAME?</v>
      </c>
      <c r="F970" s="5" t="s">
        <v>28296</v>
      </c>
      <c r="G970" s="5" t="s">
        <v>28297</v>
      </c>
      <c r="H970" s="26">
        <v>12.5</v>
      </c>
      <c r="I970" s="5" t="s">
        <v>28298</v>
      </c>
      <c r="J970" s="5" t="s">
        <v>25812</v>
      </c>
      <c r="K970" s="5" t="s">
        <v>344</v>
      </c>
      <c r="L970" s="5" t="s">
        <v>28299</v>
      </c>
      <c r="M970" s="27"/>
      <c r="N970" s="5"/>
      <c r="O970" s="5" t="str">
        <v>7842440855</v>
      </c>
      <c r="P970" s="27">
        <v>822370647</v>
      </c>
      <c r="Q970" s="5" t="s">
        <v>49009</v>
      </c>
      <c r="R970" s="5" t="s">
        <v>50652</v>
      </c>
      <c r="S970" s="5" t="s">
        <v>49028</v>
      </c>
      <c r="T970" s="28">
        <v>916301000</v>
      </c>
      <c r="U970" s="28">
        <v>5000</v>
      </c>
      <c r="V970" s="28">
        <v>375414000</v>
      </c>
      <c r="W970" s="28">
        <v>245400000</v>
      </c>
      <c r="X970" s="28">
        <v>2462000</v>
      </c>
      <c r="Y970" s="28">
        <v>2238522000</v>
      </c>
      <c r="Z970" s="28">
        <v>390037000</v>
      </c>
      <c r="AA970" s="28"/>
      <c r="AB970" s="28">
        <v>740000000</v>
      </c>
      <c r="AC970" s="28">
        <v>1014893000</v>
      </c>
      <c r="AD970" s="28">
        <v>1212408000</v>
      </c>
      <c r="AE970" s="28">
        <v>4222989000</v>
      </c>
      <c r="AF970" s="28">
        <v>99261000</v>
      </c>
      <c r="AG970" s="11"/>
    </row>
    <row r="971">
      <c r="A971" s="7" t="s">
        <v>2699</v>
      </c>
      <c r="B971" s="5" t="s">
        <v>10682</v>
      </c>
      <c r="C971" s="5" t="s">
        <v>18561</v>
      </c>
      <c r="D971" s="5" t="str">
        <v>781009623467</v>
      </c>
      <c r="E971" s="0" t="e">
        <f>+7 (812) 3297272
+7 (812) 3299222
+7 (812) 3299223
+7 (812) 3299225
+7 (921) 9973767</f>
        <v>#NAME?</v>
      </c>
      <c r="F971" s="5" t="s">
        <v>28300</v>
      </c>
      <c r="G971" s="5" t="s">
        <v>28301</v>
      </c>
      <c r="H971" s="26">
        <v>17.5</v>
      </c>
      <c r="I971" s="5" t="s">
        <v>28302</v>
      </c>
      <c r="J971" s="5" t="s">
        <v>1095</v>
      </c>
      <c r="K971" s="5" t="s">
        <v>344</v>
      </c>
      <c r="L971" s="5" t="s">
        <v>28303</v>
      </c>
      <c r="M971" s="27"/>
      <c r="N971" s="5" t="s">
        <v>50653</v>
      </c>
      <c r="O971" s="5" t="str">
        <v>7841322136</v>
      </c>
      <c r="P971" s="27">
        <v>400000000</v>
      </c>
      <c r="Q971" s="5" t="s">
        <v>49009</v>
      </c>
      <c r="R971" s="5" t="s">
        <v>50654</v>
      </c>
      <c r="S971" s="5" t="s">
        <v>49120</v>
      </c>
      <c r="T971" s="28">
        <v>7135000</v>
      </c>
      <c r="U971" s="28">
        <v>15090000</v>
      </c>
      <c r="V971" s="28">
        <v>1715254000</v>
      </c>
      <c r="W971" s="28"/>
      <c r="X971" s="28">
        <v>1245000000</v>
      </c>
      <c r="Y971" s="28">
        <v>5709856000</v>
      </c>
      <c r="Z971" s="28">
        <v>3939085000</v>
      </c>
      <c r="AA971" s="28"/>
      <c r="AB971" s="28"/>
      <c r="AC971" s="28">
        <v>1251380000</v>
      </c>
      <c r="AD971" s="28">
        <v>4372069000</v>
      </c>
      <c r="AE971" s="28">
        <v>3451680000</v>
      </c>
      <c r="AF971" s="28">
        <v>731387000</v>
      </c>
      <c r="AG971" s="11"/>
    </row>
    <row r="972">
      <c r="A972" s="7" t="s">
        <v>2700</v>
      </c>
      <c r="B972" s="5" t="s">
        <v>10683</v>
      </c>
      <c r="C972" s="5" t="s">
        <v>18562</v>
      </c>
      <c r="D972" s="5" t="str">
        <v>772500970886</v>
      </c>
      <c r="E972" s="0" t="e">
        <f>+7 (495) 5402003
+7 (495) 6402003
+7 (800) 2002088
+7 (861) 2568125
+7 (86130) 93023</f>
        <v>#NAME?</v>
      </c>
      <c r="F972" s="5" t="s">
        <v>28304</v>
      </c>
      <c r="G972" s="5"/>
      <c r="H972" s="26">
        <v>23</v>
      </c>
      <c r="I972" s="5" t="s">
        <v>28305</v>
      </c>
      <c r="J972" s="5" t="s">
        <v>28306</v>
      </c>
      <c r="K972" s="5" t="s">
        <v>344</v>
      </c>
      <c r="L972" s="5" t="s">
        <v>28307</v>
      </c>
      <c r="M972" s="27">
        <v>31927</v>
      </c>
      <c r="N972" s="5"/>
      <c r="O972" s="5" t="str">
        <v>2310060010</v>
      </c>
      <c r="P972" s="27">
        <v>856256977</v>
      </c>
      <c r="Q972" s="5" t="s">
        <v>49009</v>
      </c>
      <c r="R972" s="5" t="s">
        <v>50655</v>
      </c>
      <c r="S972" s="5" t="s">
        <v>49066</v>
      </c>
      <c r="T972" s="28">
        <v>2392794000</v>
      </c>
      <c r="U972" s="28">
        <v>350010000</v>
      </c>
      <c r="V972" s="28">
        <v>3376389000</v>
      </c>
      <c r="W972" s="28">
        <v>806252000</v>
      </c>
      <c r="X972" s="28">
        <v>18216000</v>
      </c>
      <c r="Y972" s="28">
        <v>14041365000</v>
      </c>
      <c r="Z972" s="28">
        <v>8356595000</v>
      </c>
      <c r="AA972" s="28"/>
      <c r="AB972" s="28">
        <v>1399303000</v>
      </c>
      <c r="AC972" s="28">
        <v>4096922000</v>
      </c>
      <c r="AD972" s="28">
        <v>9212852000</v>
      </c>
      <c r="AE972" s="28">
        <v>14907550000</v>
      </c>
      <c r="AF972" s="28">
        <v>1137319000</v>
      </c>
      <c r="AG972" s="11"/>
    </row>
    <row r="973">
      <c r="A973" s="7" t="s">
        <v>2701</v>
      </c>
      <c r="B973" s="5" t="s">
        <v>10684</v>
      </c>
      <c r="C973" s="5" t="s">
        <v>18563</v>
      </c>
      <c r="D973" s="5" t="str">
        <v>781650935500</v>
      </c>
      <c r="E973" s="0" t="e">
        <f>+7 (343) 3795200
+7 (3517) 711390
+7 (800) 5005375
+7 (812) 3091585
+7 (812) 3091595
+7 (8632) 7506</f>
        <v>#NAME?</v>
      </c>
      <c r="F973" s="5" t="s">
        <v>28308</v>
      </c>
      <c r="G973" s="5" t="s">
        <v>28309</v>
      </c>
      <c r="H973" s="26">
        <v>10</v>
      </c>
      <c r="I973" s="5" t="s">
        <v>28310</v>
      </c>
      <c r="J973" s="5" t="s">
        <v>25259</v>
      </c>
      <c r="K973" s="5" t="s">
        <v>344</v>
      </c>
      <c r="L973" s="5" t="s">
        <v>28311</v>
      </c>
      <c r="M973" s="27"/>
      <c r="N973" s="5" t="s">
        <v>50656</v>
      </c>
      <c r="O973" s="5" t="str">
        <v>4725483338</v>
      </c>
      <c r="P973" s="27">
        <v>551240400</v>
      </c>
      <c r="Q973" s="5"/>
      <c r="R973" s="5"/>
      <c r="S973" s="5" t="s">
        <v>49496</v>
      </c>
      <c r="T973" s="28">
        <v>139968000</v>
      </c>
      <c r="U973" s="28"/>
      <c r="V973" s="28">
        <v>172376000</v>
      </c>
      <c r="W973" s="28"/>
      <c r="X973" s="28">
        <v>14577000</v>
      </c>
      <c r="Y973" s="28">
        <v>1530144000</v>
      </c>
      <c r="Z973" s="28">
        <v>428748000</v>
      </c>
      <c r="AA973" s="28"/>
      <c r="AB973" s="28"/>
      <c r="AC973" s="28">
        <v>412724000</v>
      </c>
      <c r="AD973" s="28">
        <v>1101448000</v>
      </c>
      <c r="AE973" s="28">
        <v>5303169000</v>
      </c>
      <c r="AF973" s="28">
        <v>718969000</v>
      </c>
      <c r="AG973" s="11"/>
    </row>
    <row r="974">
      <c r="A974" s="7" t="s">
        <v>2702</v>
      </c>
      <c r="B974" s="5" t="s">
        <v>10685</v>
      </c>
      <c r="C974" s="5" t="s">
        <v>18564</v>
      </c>
      <c r="D974" s="5" t="str">
        <v>616508282006</v>
      </c>
      <c r="E974" s="0" t="e">
        <f>+7 (906) 4270880
+7 (928) 1112921
+7 (863) 3100122
+7 (86354) 50031
+7 (86354) 50282
+7 (928) 2791610
+7 (988) 5828402</f>
        <v>#NAME?</v>
      </c>
      <c r="F974" s="5"/>
      <c r="G974" s="5"/>
      <c r="H974" s="26">
        <v>8.5</v>
      </c>
      <c r="I974" s="5" t="s">
        <v>28312</v>
      </c>
      <c r="J974" s="5" t="s">
        <v>414</v>
      </c>
      <c r="K974" s="5" t="s">
        <v>344</v>
      </c>
      <c r="L974" s="5" t="s">
        <v>28313</v>
      </c>
      <c r="M974" s="27">
        <v>10740656</v>
      </c>
      <c r="N974" s="5" t="s">
        <v>50657</v>
      </c>
      <c r="O974" s="5" t="str">
        <v>6141046070</v>
      </c>
      <c r="P974" s="27">
        <v>30000</v>
      </c>
      <c r="Q974" s="5" t="s">
        <v>50658</v>
      </c>
      <c r="R974" s="5"/>
      <c r="S974" s="5" t="s">
        <v>50659</v>
      </c>
      <c r="T974" s="28">
        <v>966998000</v>
      </c>
      <c r="U974" s="28">
        <v>10000</v>
      </c>
      <c r="V974" s="28">
        <v>312615000</v>
      </c>
      <c r="W974" s="28">
        <v>12910000</v>
      </c>
      <c r="X974" s="28">
        <v>552810000</v>
      </c>
      <c r="Y974" s="28">
        <v>3182709000</v>
      </c>
      <c r="Z974" s="28">
        <v>1188870000</v>
      </c>
      <c r="AA974" s="28">
        <v>69811000</v>
      </c>
      <c r="AB974" s="28">
        <v>462970000</v>
      </c>
      <c r="AC974" s="28">
        <v>1849287000</v>
      </c>
      <c r="AD974" s="28">
        <v>1189012000</v>
      </c>
      <c r="AE974" s="28">
        <v>4118942000</v>
      </c>
      <c r="AF974" s="28">
        <v>557835000</v>
      </c>
      <c r="AG974" s="11"/>
    </row>
    <row r="975">
      <c r="A975" s="7" t="s">
        <v>2703</v>
      </c>
      <c r="B975" s="5" t="s">
        <v>10686</v>
      </c>
      <c r="C975" s="5" t="s">
        <v>18565</v>
      </c>
      <c r="D975" s="5" t="str">
        <v>504702602007</v>
      </c>
      <c r="E975" s="0" t="e">
        <f>+7 (495) 6639423
+7 (495) 3639757
+7 (495) 3639758
+7 (909) 9052280
+7 (916) 9353220</f>
        <v>#NAME?</v>
      </c>
      <c r="F975" s="5"/>
      <c r="G975" s="5"/>
      <c r="H975" s="26">
        <v>20.5</v>
      </c>
      <c r="I975" s="5" t="s">
        <v>28314</v>
      </c>
      <c r="J975" s="5" t="s">
        <v>27182</v>
      </c>
      <c r="K975" s="5" t="s">
        <v>355</v>
      </c>
      <c r="L975" s="5" t="s">
        <v>28315</v>
      </c>
      <c r="M975" s="27">
        <v>61534</v>
      </c>
      <c r="N975" s="5"/>
      <c r="O975" s="5" t="str">
        <v>7715343785</v>
      </c>
      <c r="P975" s="27">
        <v>263210000</v>
      </c>
      <c r="Q975" s="5"/>
      <c r="R975" s="5" t="s">
        <v>50660</v>
      </c>
      <c r="S975" s="5" t="s">
        <v>49029</v>
      </c>
      <c r="T975" s="28">
        <v>10694000</v>
      </c>
      <c r="U975" s="28"/>
      <c r="V975" s="28">
        <v>357709000</v>
      </c>
      <c r="W975" s="28"/>
      <c r="X975" s="28">
        <v>4722587000</v>
      </c>
      <c r="Y975" s="28">
        <v>14789065000</v>
      </c>
      <c r="Z975" s="28">
        <v>-81924000</v>
      </c>
      <c r="AA975" s="28"/>
      <c r="AB975" s="28"/>
      <c r="AC975" s="28">
        <v>14512172000</v>
      </c>
      <c r="AD975" s="28">
        <v>276643000</v>
      </c>
      <c r="AE975" s="28">
        <v>5442878000</v>
      </c>
      <c r="AF975" s="28">
        <v>1784999000</v>
      </c>
      <c r="AG975" s="11"/>
    </row>
    <row r="976">
      <c r="A976" s="7" t="s">
        <v>2704</v>
      </c>
      <c r="B976" s="5" t="s">
        <v>10687</v>
      </c>
      <c r="C976" s="5" t="s">
        <v>18566</v>
      </c>
      <c r="D976" s="5" t="str">
        <v>772780321793</v>
      </c>
      <c r="E976" s="0" t="e">
        <f>+7 (495) 3800580
+7 (495) 7555777
+7 (495) 7803517
+7 (495) 7978118
+7 (800) 5008899
+7 (929) 9837926</f>
        <v>#NAME?</v>
      </c>
      <c r="F976" s="5" t="s">
        <v>28316</v>
      </c>
      <c r="G976" s="5" t="s">
        <v>28317</v>
      </c>
      <c r="H976" s="26">
        <v>16</v>
      </c>
      <c r="I976" s="5" t="s">
        <v>28318</v>
      </c>
      <c r="J976" s="5" t="s">
        <v>678</v>
      </c>
      <c r="K976" s="5" t="s">
        <v>344</v>
      </c>
      <c r="L976" s="5" t="s">
        <v>28319</v>
      </c>
      <c r="M976" s="27"/>
      <c r="N976" s="5"/>
      <c r="O976" s="5" t="str">
        <v>5008042442</v>
      </c>
      <c r="P976" s="27">
        <v>900000000</v>
      </c>
      <c r="Q976" s="5" t="s">
        <v>49021</v>
      </c>
      <c r="R976" s="5" t="s">
        <v>50661</v>
      </c>
      <c r="S976" s="5" t="s">
        <v>50662</v>
      </c>
      <c r="T976" s="28">
        <v>489223000</v>
      </c>
      <c r="U976" s="28">
        <v>221854000</v>
      </c>
      <c r="V976" s="28">
        <v>2818035000</v>
      </c>
      <c r="W976" s="28"/>
      <c r="X976" s="28">
        <v>907044000</v>
      </c>
      <c r="Y976" s="28">
        <v>7739520000</v>
      </c>
      <c r="Z976" s="28">
        <v>989755000</v>
      </c>
      <c r="AA976" s="28"/>
      <c r="AB976" s="28">
        <v>3773087000</v>
      </c>
      <c r="AC976" s="28">
        <v>5641115000</v>
      </c>
      <c r="AD976" s="28">
        <v>1891782000</v>
      </c>
      <c r="AE976" s="28">
        <v>12338185000</v>
      </c>
      <c r="AF976" s="28">
        <v>987475000</v>
      </c>
      <c r="AG976" s="11"/>
    </row>
    <row r="977">
      <c r="A977" s="7" t="s">
        <v>2705</v>
      </c>
      <c r="B977" s="5" t="s">
        <v>10688</v>
      </c>
      <c r="C977" s="5" t="s">
        <v>18567</v>
      </c>
      <c r="D977" s="5" t="str">
        <v>360401268107</v>
      </c>
      <c r="E977" s="0" t="e">
        <f>+7 (473) 7632002
+7 (473) 7632003
+7 (910) 3430709
+7 (47376) 31344
+7 (47376) 32001
+7 (47376) 32324
+7 (47376) 32325
+7 (47376) 32326
+7 (47376) 32338
+7 (47376) 32339
+7 (47376) 32990
+7 (47376) 43656
+7 (47376) 43657</f>
        <v>#NAME?</v>
      </c>
      <c r="F977" s="5" t="s">
        <v>28320</v>
      </c>
      <c r="G977" s="5" t="s">
        <v>28321</v>
      </c>
      <c r="H977" s="26">
        <v>23</v>
      </c>
      <c r="I977" s="5" t="s">
        <v>28322</v>
      </c>
      <c r="J977" s="5" t="s">
        <v>28323</v>
      </c>
      <c r="K977" s="5" t="s">
        <v>344</v>
      </c>
      <c r="L977" s="5" t="s">
        <v>28324</v>
      </c>
      <c r="M977" s="27"/>
      <c r="N977" s="5" t="s">
        <v>50663</v>
      </c>
      <c r="O977" s="5" t="str">
        <v>3604011804</v>
      </c>
      <c r="P977" s="27">
        <v>10001000</v>
      </c>
      <c r="Q977" s="5"/>
      <c r="R977" s="5"/>
      <c r="S977" s="5" t="s">
        <v>49496</v>
      </c>
      <c r="T977" s="28">
        <v>585200000</v>
      </c>
      <c r="U977" s="28">
        <v>3750000</v>
      </c>
      <c r="V977" s="28">
        <v>1066849000</v>
      </c>
      <c r="W977" s="28">
        <v>80000000</v>
      </c>
      <c r="X977" s="28">
        <v>4036000</v>
      </c>
      <c r="Y977" s="28">
        <v>3113946000</v>
      </c>
      <c r="Z977" s="28">
        <v>440273000</v>
      </c>
      <c r="AA977" s="28">
        <v>20000000</v>
      </c>
      <c r="AB977" s="28">
        <v>4559000</v>
      </c>
      <c r="AC977" s="28">
        <v>1882269000</v>
      </c>
      <c r="AD977" s="28">
        <v>506231000</v>
      </c>
      <c r="AE977" s="28">
        <v>3732371000</v>
      </c>
      <c r="AF977" s="28">
        <v>176949000</v>
      </c>
      <c r="AG977" s="11"/>
    </row>
    <row r="978">
      <c r="A978" s="7" t="s">
        <v>2706</v>
      </c>
      <c r="B978" s="5" t="s">
        <v>10689</v>
      </c>
      <c r="C978" s="5" t="s">
        <v>18568</v>
      </c>
      <c r="D978" s="5" t="str">
        <v>360902523453</v>
      </c>
      <c r="E978" s="0" t="e">
        <f>+7 (47354) 41360
+7 (47354) 41362
+7 (47354) 41802
+7 (47354) 60514
+7 (47354) 62056
+7 (47354) 64868
+7 (47354) 65618
+7 (495) 7212061
+7 (800) 2347828</f>
        <v>#NAME?</v>
      </c>
      <c r="F978" s="5" t="s">
        <v>28325</v>
      </c>
      <c r="G978" s="5" t="s">
        <v>28326</v>
      </c>
      <c r="H978" s="26">
        <v>30.5</v>
      </c>
      <c r="I978" s="5" t="s">
        <v>28327</v>
      </c>
      <c r="J978" s="5" t="s">
        <v>28328</v>
      </c>
      <c r="K978" s="5" t="s">
        <v>355</v>
      </c>
      <c r="L978" s="5"/>
      <c r="M978" s="27">
        <v>20815680</v>
      </c>
      <c r="N978" s="5" t="s">
        <v>50664</v>
      </c>
      <c r="O978" s="5" t="str">
        <v>3604001059</v>
      </c>
      <c r="P978" s="27">
        <v>101800</v>
      </c>
      <c r="Q978" s="5" t="s">
        <v>50665</v>
      </c>
      <c r="R978" s="5" t="s">
        <v>50666</v>
      </c>
      <c r="S978" s="5" t="s">
        <v>50667</v>
      </c>
      <c r="T978" s="28">
        <v>409977000</v>
      </c>
      <c r="U978" s="28">
        <v>7650000</v>
      </c>
      <c r="V978" s="28">
        <v>1167717000</v>
      </c>
      <c r="W978" s="28">
        <v>114002000</v>
      </c>
      <c r="X978" s="28">
        <v>2164000</v>
      </c>
      <c r="Y978" s="28">
        <v>3786021000</v>
      </c>
      <c r="Z978" s="28">
        <v>771024000</v>
      </c>
      <c r="AA978" s="28">
        <v>1240003000</v>
      </c>
      <c r="AB978" s="28">
        <v>720907000</v>
      </c>
      <c r="AC978" s="28">
        <v>1400476000</v>
      </c>
      <c r="AD978" s="28">
        <v>805762000</v>
      </c>
      <c r="AE978" s="28">
        <v>3686218000</v>
      </c>
      <c r="AF978" s="28">
        <v>20656000</v>
      </c>
      <c r="AG978" s="11"/>
    </row>
    <row r="979">
      <c r="A979" s="7" t="s">
        <v>2707</v>
      </c>
      <c r="B979" s="5" t="s">
        <v>10690</v>
      </c>
      <c r="C979" s="5" t="s">
        <v>18569</v>
      </c>
      <c r="D979" s="5"/>
      <c r="E979" s="0" t="e">
        <f>+7 (383) 2092420
+7 (923) 7758205
+7 (992) 50690
+7 (343) 3000404
+7 (932) 1141627</f>
        <v>#NAME?</v>
      </c>
      <c r="F979" s="5" t="s">
        <v>28329</v>
      </c>
      <c r="G979" s="5"/>
      <c r="H979" s="26">
        <v>10.5</v>
      </c>
      <c r="I979" s="5" t="s">
        <v>28330</v>
      </c>
      <c r="J979" s="5" t="s">
        <v>27182</v>
      </c>
      <c r="K979" s="5" t="s">
        <v>344</v>
      </c>
      <c r="L979" s="5" t="s">
        <v>28331</v>
      </c>
      <c r="M979" s="27">
        <v>6692949</v>
      </c>
      <c r="N979" s="5" t="s">
        <v>49787</v>
      </c>
      <c r="O979" s="5" t="str">
        <v>6671397475</v>
      </c>
      <c r="P979" s="27">
        <v>40000</v>
      </c>
      <c r="Q979" s="5" t="s">
        <v>50668</v>
      </c>
      <c r="R979" s="5"/>
      <c r="S979" s="5" t="s">
        <v>50669</v>
      </c>
      <c r="T979" s="28">
        <v>1365724000</v>
      </c>
      <c r="U979" s="28"/>
      <c r="V979" s="28">
        <v>5934431000</v>
      </c>
      <c r="W979" s="28"/>
      <c r="X979" s="28">
        <v>405144000</v>
      </c>
      <c r="Y979" s="28">
        <v>8045763000</v>
      </c>
      <c r="Z979" s="28">
        <v>234942000</v>
      </c>
      <c r="AA979" s="28">
        <v>176741000</v>
      </c>
      <c r="AB979" s="28"/>
      <c r="AC979" s="28">
        <v>6749465000</v>
      </c>
      <c r="AD979" s="28">
        <v>234982000</v>
      </c>
      <c r="AE979" s="28">
        <v>20293077000</v>
      </c>
      <c r="AF979" s="28">
        <v>42078000</v>
      </c>
      <c r="AG979" s="11"/>
    </row>
    <row r="980">
      <c r="A980" s="7" t="s">
        <v>2708</v>
      </c>
      <c r="B980" s="5" t="s">
        <v>10691</v>
      </c>
      <c r="C980" s="5" t="s">
        <v>18570</v>
      </c>
      <c r="D980" s="5" t="str">
        <v>260402863748</v>
      </c>
      <c r="E980" s="0" t="e">
        <f>+7 (86544) 60661
+7 (962) 4480708
+7 (865) 2945038
+7 (918) 7493502</f>
        <v>#NAME?</v>
      </c>
      <c r="F980" s="5" t="s">
        <v>28332</v>
      </c>
      <c r="G980" s="5" t="s">
        <v>28333</v>
      </c>
      <c r="H980" s="26">
        <v>18</v>
      </c>
      <c r="I980" s="5" t="s">
        <v>28334</v>
      </c>
      <c r="J980" s="5" t="s">
        <v>25262</v>
      </c>
      <c r="K980" s="5" t="s">
        <v>344</v>
      </c>
      <c r="L980" s="5" t="s">
        <v>28335</v>
      </c>
      <c r="M980" s="27"/>
      <c r="N980" s="5" t="s">
        <v>50670</v>
      </c>
      <c r="O980" s="5" t="str">
        <v>2635078885</v>
      </c>
      <c r="P980" s="27">
        <v>230010000</v>
      </c>
      <c r="Q980" s="5" t="s">
        <v>49057</v>
      </c>
      <c r="R980" s="5"/>
      <c r="S980" s="5" t="s">
        <v>50671</v>
      </c>
      <c r="T980" s="28">
        <v>74216000</v>
      </c>
      <c r="U980" s="28">
        <v>1446202000</v>
      </c>
      <c r="V980" s="28">
        <v>642173000</v>
      </c>
      <c r="W980" s="28">
        <v>8939000</v>
      </c>
      <c r="X980" s="28">
        <v>31125000</v>
      </c>
      <c r="Y980" s="28">
        <v>2662560000</v>
      </c>
      <c r="Z980" s="28">
        <v>53006000</v>
      </c>
      <c r="AA980" s="28">
        <v>1851145000</v>
      </c>
      <c r="AB980" s="28">
        <v>241588000</v>
      </c>
      <c r="AC980" s="28">
        <v>415451000</v>
      </c>
      <c r="AD980" s="28">
        <v>388494000</v>
      </c>
      <c r="AE980" s="28">
        <v>3104600000</v>
      </c>
      <c r="AF980" s="28">
        <v>15667000</v>
      </c>
      <c r="AG980" s="11"/>
    </row>
    <row r="981">
      <c r="A981" s="7" t="s">
        <v>2709</v>
      </c>
      <c r="B981" s="5" t="s">
        <v>10692</v>
      </c>
      <c r="C981" s="5" t="s">
        <v>18571</v>
      </c>
      <c r="D981" s="5" t="str">
        <v>773004118806</v>
      </c>
      <c r="E981" s="0" t="e">
        <f>+7 (495) 5609950</f>
        <v>#NAME?</v>
      </c>
      <c r="F981" s="5" t="s">
        <v>28336</v>
      </c>
      <c r="G981" s="5" t="s">
        <v>28337</v>
      </c>
      <c r="H981" s="26">
        <v>19</v>
      </c>
      <c r="I981" s="5" t="s">
        <v>28338</v>
      </c>
      <c r="J981" s="5" t="s">
        <v>25530</v>
      </c>
      <c r="K981" s="5" t="s">
        <v>344</v>
      </c>
      <c r="L981" s="5"/>
      <c r="M981" s="27"/>
      <c r="N981" s="5" t="s">
        <v>50672</v>
      </c>
      <c r="O981" s="5" t="str">
        <v>7724506852</v>
      </c>
      <c r="P981" s="27">
        <v>10500000</v>
      </c>
      <c r="Q981" s="5" t="s">
        <v>50673</v>
      </c>
      <c r="R981" s="5"/>
      <c r="S981" s="5" t="s">
        <v>49361</v>
      </c>
      <c r="T981" s="28">
        <v>76801000</v>
      </c>
      <c r="U981" s="28"/>
      <c r="V981" s="28">
        <v>245557000</v>
      </c>
      <c r="W981" s="28">
        <v>285048000</v>
      </c>
      <c r="X981" s="28">
        <v>802148000</v>
      </c>
      <c r="Y981" s="28">
        <v>1955006000</v>
      </c>
      <c r="Z981" s="28">
        <v>-1587945000</v>
      </c>
      <c r="AA981" s="28"/>
      <c r="AB981" s="28">
        <v>46023000</v>
      </c>
      <c r="AC981" s="28">
        <v>969034000</v>
      </c>
      <c r="AD981" s="28">
        <v>722555000</v>
      </c>
      <c r="AE981" s="28">
        <v>5559572000</v>
      </c>
      <c r="AF981" s="28">
        <v>85865000</v>
      </c>
      <c r="AG981" s="11"/>
    </row>
    <row r="982">
      <c r="A982" s="7" t="s">
        <v>2710</v>
      </c>
      <c r="B982" s="5" t="s">
        <v>10693</v>
      </c>
      <c r="C982" s="5" t="s">
        <v>18572</v>
      </c>
      <c r="D982" s="5" t="str">
        <v>666001835953</v>
      </c>
      <c r="E982" s="0" t="e">
        <f>+7 (343) 2170791
+7 (3432) 170792
+7 (3432) 170793</f>
        <v>#NAME?</v>
      </c>
      <c r="F982" s="5"/>
      <c r="G982" s="5"/>
      <c r="H982" s="26">
        <v>20.5</v>
      </c>
      <c r="I982" s="5" t="s">
        <v>28339</v>
      </c>
      <c r="J982" s="5" t="s">
        <v>26198</v>
      </c>
      <c r="K982" s="5" t="s">
        <v>344</v>
      </c>
      <c r="L982" s="5" t="s">
        <v>28340</v>
      </c>
      <c r="M982" s="27"/>
      <c r="N982" s="5"/>
      <c r="O982" s="5" t="str">
        <v>6670017890</v>
      </c>
      <c r="P982" s="27">
        <v>1010000</v>
      </c>
      <c r="Q982" s="5" t="s">
        <v>49009</v>
      </c>
      <c r="R982" s="5"/>
      <c r="S982" s="5" t="s">
        <v>49010</v>
      </c>
      <c r="T982" s="28">
        <v>635859000</v>
      </c>
      <c r="U982" s="28">
        <v>14000</v>
      </c>
      <c r="V982" s="28">
        <v>374201000</v>
      </c>
      <c r="W982" s="28">
        <v>440200000</v>
      </c>
      <c r="X982" s="28">
        <v>24608000</v>
      </c>
      <c r="Y982" s="28">
        <v>3252194000</v>
      </c>
      <c r="Z982" s="28">
        <v>1717246000</v>
      </c>
      <c r="AA982" s="28"/>
      <c r="AB982" s="28">
        <v>2000</v>
      </c>
      <c r="AC982" s="28">
        <v>1449133000</v>
      </c>
      <c r="AD982" s="28">
        <v>1718256000</v>
      </c>
      <c r="AE982" s="28">
        <v>5765447000</v>
      </c>
      <c r="AF982" s="28">
        <v>553433000</v>
      </c>
      <c r="AG982" s="11"/>
    </row>
    <row r="983">
      <c r="A983" s="7" t="s">
        <v>2711</v>
      </c>
      <c r="B983" s="5" t="s">
        <v>10694</v>
      </c>
      <c r="C983" s="5" t="s">
        <v>18573</v>
      </c>
      <c r="D983" s="5" t="str">
        <v>773302304269</v>
      </c>
      <c r="E983" s="0" t="e">
        <f>+7 (495) 7716177
+7 (3517) 723810
+7 (3517) 728050
+7 (495) 7716178
+7 (499) 7040407
+7 (966) 1887888</f>
        <v>#NAME?</v>
      </c>
      <c r="F983" s="5" t="s">
        <v>28341</v>
      </c>
      <c r="G983" s="5" t="s">
        <v>28342</v>
      </c>
      <c r="H983" s="26">
        <v>20</v>
      </c>
      <c r="I983" s="5" t="s">
        <v>28343</v>
      </c>
      <c r="J983" s="5" t="s">
        <v>678</v>
      </c>
      <c r="K983" s="5" t="s">
        <v>344</v>
      </c>
      <c r="L983" s="5" t="s">
        <v>28344</v>
      </c>
      <c r="M983" s="27"/>
      <c r="N983" s="5"/>
      <c r="O983" s="5" t="str">
        <v>7718239800</v>
      </c>
      <c r="P983" s="27">
        <v>527173400</v>
      </c>
      <c r="Q983" s="5" t="s">
        <v>49535</v>
      </c>
      <c r="R983" s="5"/>
      <c r="S983" s="5" t="s">
        <v>50674</v>
      </c>
      <c r="T983" s="28">
        <v>600564000</v>
      </c>
      <c r="U983" s="28"/>
      <c r="V983" s="28">
        <v>984148000</v>
      </c>
      <c r="W983" s="28"/>
      <c r="X983" s="28">
        <v>281975000</v>
      </c>
      <c r="Y983" s="28">
        <v>3223162000</v>
      </c>
      <c r="Z983" s="28">
        <v>-444356000</v>
      </c>
      <c r="AA983" s="28">
        <v>922995000</v>
      </c>
      <c r="AB983" s="28">
        <v>1923000</v>
      </c>
      <c r="AC983" s="28">
        <v>2217350000</v>
      </c>
      <c r="AD983" s="28">
        <v>82817000</v>
      </c>
      <c r="AE983" s="28">
        <v>5725373000</v>
      </c>
      <c r="AF983" s="28">
        <v>63073000</v>
      </c>
      <c r="AG983" s="11"/>
    </row>
    <row r="984">
      <c r="A984" s="7" t="s">
        <v>2712</v>
      </c>
      <c r="B984" s="5" t="s">
        <v>10695</v>
      </c>
      <c r="C984" s="5" t="s">
        <v>18574</v>
      </c>
      <c r="D984" s="5" t="str">
        <v>225101680857</v>
      </c>
      <c r="E984" s="0" t="e">
        <f>+7 (923) 7187001
+7 (385) 2302894
+7 (385) 2314895
+7 (385) 2314908
+7 (385) 2315028
+7 (385) 2315029
+7 (385) 2315106
+7 (385) 2444202
+7 (385) 2629409
+7 (960) 9456666</f>
        <v>#NAME?</v>
      </c>
      <c r="F984" s="5" t="s">
        <v>28345</v>
      </c>
      <c r="G984" s="5" t="s">
        <v>28346</v>
      </c>
      <c r="H984" s="26">
        <v>30</v>
      </c>
      <c r="I984" s="5"/>
      <c r="J984" s="5" t="s">
        <v>26962</v>
      </c>
      <c r="K984" s="5" t="s">
        <v>344</v>
      </c>
      <c r="L984" s="5"/>
      <c r="M984" s="27"/>
      <c r="N984" s="5" t="s">
        <v>50675</v>
      </c>
      <c r="O984" s="5" t="str">
        <v>2222010839</v>
      </c>
      <c r="P984" s="27">
        <v>1001016</v>
      </c>
      <c r="Q984" s="5" t="s">
        <v>49009</v>
      </c>
      <c r="R984" s="5"/>
      <c r="S984" s="5" t="s">
        <v>50677</v>
      </c>
      <c r="T984" s="28">
        <v>898256000</v>
      </c>
      <c r="U984" s="28">
        <v>332991000</v>
      </c>
      <c r="V984" s="28">
        <v>275532000</v>
      </c>
      <c r="W984" s="28"/>
      <c r="X984" s="28">
        <v>3802000</v>
      </c>
      <c r="Y984" s="28">
        <v>2571848000</v>
      </c>
      <c r="Z984" s="28">
        <v>1314904000</v>
      </c>
      <c r="AA984" s="28"/>
      <c r="AB984" s="28">
        <v>661491000</v>
      </c>
      <c r="AC984" s="28">
        <v>1166249000</v>
      </c>
      <c r="AD984" s="28">
        <v>1338477000</v>
      </c>
      <c r="AE984" s="28">
        <v>3105254000</v>
      </c>
      <c r="AF984" s="28">
        <v>130667000</v>
      </c>
      <c r="AG984" s="11"/>
    </row>
    <row r="985">
      <c r="A985" s="7" t="s">
        <v>2713</v>
      </c>
      <c r="B985" s="5" t="s">
        <v>10696</v>
      </c>
      <c r="C985" s="5" t="s">
        <v>18575</v>
      </c>
      <c r="D985" s="5" t="str">
        <v>228700392476</v>
      </c>
      <c r="E985" s="0" t="e">
        <f>+7 (385) 2223862
+7 (38596) 32584
+7 (38596) 32592
+7 (38596) 32594
+7 (38596) 32617
+7 (38596) 32618
+7 (38596) 32619
+7 (38596) 32643
+7 (800) 7001825
+7 (963) 5322299</f>
        <v>#NAME?</v>
      </c>
      <c r="F985" s="5" t="s">
        <v>28347</v>
      </c>
      <c r="G985" s="5" t="s">
        <v>28348</v>
      </c>
      <c r="H985" s="26">
        <v>28</v>
      </c>
      <c r="I985" s="5" t="s">
        <v>28349</v>
      </c>
      <c r="J985" s="5" t="s">
        <v>26962</v>
      </c>
      <c r="K985" s="5" t="s">
        <v>344</v>
      </c>
      <c r="L985" s="5"/>
      <c r="M985" s="27"/>
      <c r="N985" s="5"/>
      <c r="O985" s="5" t="str">
        <v>2287003050</v>
      </c>
      <c r="P985" s="27">
        <v>25000</v>
      </c>
      <c r="Q985" s="5" t="s">
        <v>49009</v>
      </c>
      <c r="R985" s="5"/>
      <c r="S985" s="5" t="s">
        <v>49093</v>
      </c>
      <c r="T985" s="28">
        <v>2603298000</v>
      </c>
      <c r="U985" s="28">
        <v>250046000</v>
      </c>
      <c r="V985" s="28">
        <v>1168696000</v>
      </c>
      <c r="W985" s="28">
        <v>26000</v>
      </c>
      <c r="X985" s="28">
        <v>189236000</v>
      </c>
      <c r="Y985" s="28">
        <v>5768597000</v>
      </c>
      <c r="Z985" s="28">
        <v>4358683000</v>
      </c>
      <c r="AA985" s="28">
        <v>362223000</v>
      </c>
      <c r="AB985" s="28">
        <v>270367000</v>
      </c>
      <c r="AC985" s="28">
        <v>916970000</v>
      </c>
      <c r="AD985" s="28">
        <v>4361534000</v>
      </c>
      <c r="AE985" s="28">
        <v>5263951000</v>
      </c>
      <c r="AF985" s="28">
        <v>376448000</v>
      </c>
      <c r="AG985" s="11"/>
    </row>
    <row r="986">
      <c r="A986" s="7" t="s">
        <v>2714</v>
      </c>
      <c r="B986" s="5" t="s">
        <v>10697</v>
      </c>
      <c r="C986" s="5" t="s">
        <v>18576</v>
      </c>
      <c r="D986" s="5" t="str">
        <v>410127347018</v>
      </c>
      <c r="E986" s="0" t="e">
        <f>+7 (914) 7868173
+7 (914) 9567471
+7 (415) 2424007
+7 (951) 2900030</f>
        <v>#NAME?</v>
      </c>
      <c r="F986" s="5" t="s">
        <v>28350</v>
      </c>
      <c r="G986" s="5"/>
      <c r="H986" s="26">
        <v>16.5</v>
      </c>
      <c r="I986" s="5" t="s">
        <v>28351</v>
      </c>
      <c r="J986" s="5" t="s">
        <v>25327</v>
      </c>
      <c r="K986" s="5" t="s">
        <v>344</v>
      </c>
      <c r="L986" s="5" t="s">
        <v>28352</v>
      </c>
      <c r="M986" s="27">
        <v>161813</v>
      </c>
      <c r="N986" s="5" t="s">
        <v>50678</v>
      </c>
      <c r="O986" s="5" t="str">
        <v>4101109890</v>
      </c>
      <c r="P986" s="27">
        <v>10000</v>
      </c>
      <c r="Q986" s="5" t="s">
        <v>50679</v>
      </c>
      <c r="R986" s="5"/>
      <c r="S986" s="5" t="s">
        <v>50680</v>
      </c>
      <c r="T986" s="28">
        <v>64422000</v>
      </c>
      <c r="U986" s="28">
        <v>91782000</v>
      </c>
      <c r="V986" s="28">
        <v>781634000</v>
      </c>
      <c r="W986" s="28">
        <v>7463000</v>
      </c>
      <c r="X986" s="28">
        <v>37807000</v>
      </c>
      <c r="Y986" s="28">
        <v>2079509000</v>
      </c>
      <c r="Z986" s="28">
        <v>592034000</v>
      </c>
      <c r="AA986" s="28">
        <v>204523000</v>
      </c>
      <c r="AB986" s="28">
        <v>154543000</v>
      </c>
      <c r="AC986" s="28">
        <v>1113408000</v>
      </c>
      <c r="AD986" s="28">
        <v>592044000</v>
      </c>
      <c r="AE986" s="28">
        <v>5440150000</v>
      </c>
      <c r="AF986" s="28">
        <v>186858000</v>
      </c>
      <c r="AG986" s="11"/>
    </row>
    <row r="987">
      <c r="A987" s="7" t="s">
        <v>2715</v>
      </c>
      <c r="B987" s="5" t="s">
        <v>10698</v>
      </c>
      <c r="C987" s="5" t="s">
        <v>18577</v>
      </c>
      <c r="D987" s="5" t="str">
        <v>323401688609</v>
      </c>
      <c r="E987" s="0" t="e">
        <f>+7 (910) 2306611
+7 (483) 2620765
+7 (483) 2620974
+7 (483) 2621319
+7 (483) 2621354
+7 (483) 2621743
+7 (483) 2664148
+7 (483) 2721564
+7 (483) 2749807
+7 (48354) 91694
+7 (48354) 92596
+7 (910) 2340701</f>
        <v>#NAME?</v>
      </c>
      <c r="F987" s="5" t="s">
        <v>28353</v>
      </c>
      <c r="G987" s="5" t="s">
        <v>28354</v>
      </c>
      <c r="H987" s="26">
        <v>18</v>
      </c>
      <c r="I987" s="5" t="s">
        <v>28355</v>
      </c>
      <c r="J987" s="5" t="s">
        <v>25231</v>
      </c>
      <c r="K987" s="5" t="s">
        <v>344</v>
      </c>
      <c r="L987" s="5" t="s">
        <v>28356</v>
      </c>
      <c r="M987" s="27">
        <v>4337153</v>
      </c>
      <c r="N987" s="5"/>
      <c r="O987" s="5" t="str">
        <v>3254002818</v>
      </c>
      <c r="P987" s="27">
        <v>110000</v>
      </c>
      <c r="Q987" s="5" t="s">
        <v>49009</v>
      </c>
      <c r="R987" s="5"/>
      <c r="S987" s="5" t="s">
        <v>50681</v>
      </c>
      <c r="T987" s="28">
        <v>1091664000</v>
      </c>
      <c r="U987" s="28">
        <v>152803000</v>
      </c>
      <c r="V987" s="28">
        <v>700005000</v>
      </c>
      <c r="W987" s="28">
        <v>60000000</v>
      </c>
      <c r="X987" s="28">
        <v>56282000</v>
      </c>
      <c r="Y987" s="28">
        <v>2717793000</v>
      </c>
      <c r="Z987" s="28">
        <v>733803000</v>
      </c>
      <c r="AA987" s="28">
        <v>637353000</v>
      </c>
      <c r="AB987" s="28">
        <v>548744000</v>
      </c>
      <c r="AC987" s="28">
        <v>1148238000</v>
      </c>
      <c r="AD987" s="28">
        <v>912873000</v>
      </c>
      <c r="AE987" s="28">
        <v>8177353000</v>
      </c>
      <c r="AF987" s="28">
        <v>113518000</v>
      </c>
      <c r="AG987" s="11"/>
    </row>
    <row r="988">
      <c r="A988" s="7" t="s">
        <v>2716</v>
      </c>
      <c r="B988" s="5" t="s">
        <v>10699</v>
      </c>
      <c r="C988" s="5" t="s">
        <v>18578</v>
      </c>
      <c r="D988" s="5" t="str">
        <v>790103861142</v>
      </c>
      <c r="F988" s="5"/>
      <c r="G988" s="5"/>
      <c r="H988" s="26">
        <v>16.5</v>
      </c>
      <c r="I988" s="5" t="s">
        <v>28357</v>
      </c>
      <c r="J988" s="5" t="s">
        <v>25219</v>
      </c>
      <c r="K988" s="5" t="s">
        <v>344</v>
      </c>
      <c r="L988" s="5" t="s">
        <v>28358</v>
      </c>
      <c r="M988" s="27"/>
      <c r="N988" s="5" t="s">
        <v>50682</v>
      </c>
      <c r="O988" s="5" t="str">
        <v>7901528600</v>
      </c>
      <c r="P988" s="27">
        <v>10200000</v>
      </c>
      <c r="Q988" s="5"/>
      <c r="R988" s="5"/>
      <c r="S988" s="5" t="s">
        <v>49499</v>
      </c>
      <c r="T988" s="28">
        <v>83528000</v>
      </c>
      <c r="U988" s="28">
        <v>25000000</v>
      </c>
      <c r="V988" s="28">
        <v>143789000</v>
      </c>
      <c r="W988" s="28">
        <v>12000000</v>
      </c>
      <c r="X988" s="28">
        <v>55476000</v>
      </c>
      <c r="Y988" s="28">
        <v>815114000</v>
      </c>
      <c r="Z988" s="28">
        <v>223128000</v>
      </c>
      <c r="AA988" s="28"/>
      <c r="AB988" s="28">
        <v>39297000</v>
      </c>
      <c r="AC988" s="28">
        <v>581786000</v>
      </c>
      <c r="AD988" s="28">
        <v>233328000</v>
      </c>
      <c r="AE988" s="28">
        <v>3535611000</v>
      </c>
      <c r="AF988" s="28">
        <v>44649000</v>
      </c>
      <c r="AG988" s="11"/>
    </row>
    <row r="989">
      <c r="A989" s="7" t="s">
        <v>2717</v>
      </c>
      <c r="B989" s="5" t="s">
        <v>10700</v>
      </c>
      <c r="C989" s="5" t="s">
        <v>18548</v>
      </c>
      <c r="D989" s="5" t="str">
        <v>632412327639</v>
      </c>
      <c r="E989" s="0" t="e">
        <f>+7 (495) 2582091
+7 (495) 6212891
+7 (495) 9894710
+7 (495) 9894711
+7 (800) 4441144
+7 (800) 7758506
+7 (8422) 290101</f>
        <v>#NAME?</v>
      </c>
      <c r="F989" s="5" t="s">
        <v>28359</v>
      </c>
      <c r="G989" s="5" t="s">
        <v>28262</v>
      </c>
      <c r="H989" s="26">
        <v>24</v>
      </c>
      <c r="I989" s="5" t="s">
        <v>28360</v>
      </c>
      <c r="J989" s="5" t="s">
        <v>25259</v>
      </c>
      <c r="K989" s="5" t="s">
        <v>344</v>
      </c>
      <c r="L989" s="5" t="s">
        <v>28361</v>
      </c>
      <c r="M989" s="27"/>
      <c r="N989" s="5"/>
      <c r="O989" s="5" t="str">
        <v>7703204071</v>
      </c>
      <c r="P989" s="27">
        <v>600592730</v>
      </c>
      <c r="Q989" s="5" t="s">
        <v>49009</v>
      </c>
      <c r="R989" s="5"/>
      <c r="S989" s="5" t="s">
        <v>49010</v>
      </c>
      <c r="T989" s="28">
        <v>90487000</v>
      </c>
      <c r="U989" s="28"/>
      <c r="V989" s="28">
        <v>616528000</v>
      </c>
      <c r="W989" s="28"/>
      <c r="X989" s="28">
        <v>2182191000</v>
      </c>
      <c r="Y989" s="28">
        <v>3317277000</v>
      </c>
      <c r="Z989" s="28">
        <v>1498796000</v>
      </c>
      <c r="AA989" s="28"/>
      <c r="AB989" s="28"/>
      <c r="AC989" s="28">
        <v>733488000</v>
      </c>
      <c r="AD989" s="28">
        <v>2546484000</v>
      </c>
      <c r="AE989" s="28">
        <v>13717899000</v>
      </c>
      <c r="AF989" s="28">
        <v>328299000</v>
      </c>
      <c r="AG989" s="11"/>
    </row>
    <row r="990">
      <c r="A990" s="7" t="s">
        <v>2718</v>
      </c>
      <c r="B990" s="5" t="s">
        <v>10701</v>
      </c>
      <c r="C990" s="5" t="s">
        <v>18579</v>
      </c>
      <c r="D990" s="5" t="str">
        <v>332709423102</v>
      </c>
      <c r="E990" s="0" t="e">
        <f>+7 (492) 2361400
+7 (492) 2432497
+7 (492) 2472551
+7 (492) 2472580
+7 (916) 546763</f>
        <v>#NAME?</v>
      </c>
      <c r="F990" s="5" t="s">
        <v>28362</v>
      </c>
      <c r="G990" s="5" t="s">
        <v>28363</v>
      </c>
      <c r="H990" s="26">
        <v>21.5</v>
      </c>
      <c r="I990" s="5"/>
      <c r="J990" s="5" t="s">
        <v>533</v>
      </c>
      <c r="K990" s="5" t="s">
        <v>344</v>
      </c>
      <c r="L990" s="5" t="s">
        <v>28364</v>
      </c>
      <c r="M990" s="27">
        <v>3106631</v>
      </c>
      <c r="N990" s="5"/>
      <c r="O990" s="5" t="str">
        <v>7715290822</v>
      </c>
      <c r="P990" s="27">
        <v>17000</v>
      </c>
      <c r="Q990" s="5" t="s">
        <v>49009</v>
      </c>
      <c r="R990" s="5"/>
      <c r="S990" s="5" t="s">
        <v>49066</v>
      </c>
      <c r="T990" s="28">
        <v>5529493000</v>
      </c>
      <c r="U990" s="28"/>
      <c r="V990" s="28">
        <v>2760939000</v>
      </c>
      <c r="W990" s="28"/>
      <c r="X990" s="28">
        <v>9922000</v>
      </c>
      <c r="Y990" s="28">
        <v>8981359000</v>
      </c>
      <c r="Z990" s="28">
        <v>3751851000</v>
      </c>
      <c r="AA990" s="28">
        <v>2465704000</v>
      </c>
      <c r="AB990" s="28">
        <v>15773000</v>
      </c>
      <c r="AC990" s="28">
        <v>1562459000</v>
      </c>
      <c r="AD990" s="28">
        <v>4047599000</v>
      </c>
      <c r="AE990" s="28">
        <v>10635346000</v>
      </c>
      <c r="AF990" s="28">
        <v>575862000</v>
      </c>
      <c r="AG990" s="11"/>
    </row>
    <row r="991">
      <c r="A991" s="7" t="s">
        <v>2719</v>
      </c>
      <c r="B991" s="5" t="s">
        <v>10702</v>
      </c>
      <c r="C991" s="5" t="s">
        <v>18580</v>
      </c>
      <c r="D991" s="5" t="str">
        <v>253605335421</v>
      </c>
      <c r="E991" s="0" t="e">
        <f>+7 (495) 3247788</f>
        <v>#NAME?</v>
      </c>
      <c r="F991" s="5" t="s">
        <v>28365</v>
      </c>
      <c r="G991" s="5" t="s">
        <v>28366</v>
      </c>
      <c r="H991" s="26">
        <v>4.5</v>
      </c>
      <c r="I991" s="5"/>
      <c r="J991" s="5" t="s">
        <v>25559</v>
      </c>
      <c r="K991" s="5" t="s">
        <v>344</v>
      </c>
      <c r="L991" s="5" t="s">
        <v>28367</v>
      </c>
      <c r="M991" s="27"/>
      <c r="N991" s="5"/>
      <c r="O991" s="5" t="str">
        <v>9721065723</v>
      </c>
      <c r="P991" s="27">
        <v>10000</v>
      </c>
      <c r="Q991" s="5" t="s">
        <v>49009</v>
      </c>
      <c r="R991" s="5"/>
      <c r="S991" s="5" t="s">
        <v>49010</v>
      </c>
      <c r="T991" s="28">
        <v>203324000</v>
      </c>
      <c r="U991" s="28"/>
      <c r="V991" s="28">
        <v>654042000</v>
      </c>
      <c r="W991" s="28">
        <v>3702000</v>
      </c>
      <c r="X991" s="28">
        <v>330164000</v>
      </c>
      <c r="Y991" s="28">
        <v>3009273000</v>
      </c>
      <c r="Z991" s="28">
        <v>1869167000</v>
      </c>
      <c r="AA991" s="28"/>
      <c r="AB991" s="28">
        <v>143689000</v>
      </c>
      <c r="AC991" s="28">
        <v>1006405000</v>
      </c>
      <c r="AD991" s="28">
        <v>1869177000</v>
      </c>
      <c r="AE991" s="28">
        <v>4624158000</v>
      </c>
      <c r="AF991" s="28">
        <v>1048086000</v>
      </c>
      <c r="AG991" s="11"/>
    </row>
    <row r="992">
      <c r="A992" s="7" t="s">
        <v>2720</v>
      </c>
      <c r="B992" s="5" t="s">
        <v>10703</v>
      </c>
      <c r="C992" s="5" t="s">
        <v>18581</v>
      </c>
      <c r="D992" s="5" t="str">
        <v>772827526206</v>
      </c>
      <c r="E992" s="0" t="e">
        <f>+7 (495) 2300629
+7 (49653) 36200
+7 (4987) 675587
+7 (499) 2300629</f>
        <v>#NAME?</v>
      </c>
      <c r="F992" s="5"/>
      <c r="G992" s="5"/>
      <c r="H992" s="26">
        <v>7</v>
      </c>
      <c r="I992" s="5" t="s">
        <v>28368</v>
      </c>
      <c r="J992" s="5" t="s">
        <v>26367</v>
      </c>
      <c r="K992" s="5" t="s">
        <v>355</v>
      </c>
      <c r="L992" s="5" t="s">
        <v>28369</v>
      </c>
      <c r="M992" s="27"/>
      <c r="N992" s="5"/>
      <c r="O992" s="5" t="str">
        <v>5003116490</v>
      </c>
      <c r="P992" s="27">
        <v>10100000</v>
      </c>
      <c r="Q992" s="5" t="s">
        <v>49009</v>
      </c>
      <c r="R992" s="5" t="s">
        <v>50666</v>
      </c>
      <c r="S992" s="5" t="s">
        <v>49010</v>
      </c>
      <c r="T992" s="28">
        <v>6394863000</v>
      </c>
      <c r="U992" s="28"/>
      <c r="V992" s="28">
        <v>27436370000</v>
      </c>
      <c r="W992" s="28"/>
      <c r="X992" s="28">
        <v>149862000</v>
      </c>
      <c r="Y992" s="28">
        <v>47403559000</v>
      </c>
      <c r="Z992" s="28">
        <v>896961000</v>
      </c>
      <c r="AA992" s="28">
        <v>270000000</v>
      </c>
      <c r="AB992" s="28">
        <v>23134175000</v>
      </c>
      <c r="AC992" s="28">
        <v>40691095000</v>
      </c>
      <c r="AD992" s="28">
        <v>907061000</v>
      </c>
      <c r="AE992" s="28">
        <v>91607750000</v>
      </c>
      <c r="AF992" s="28">
        <v>1838067000</v>
      </c>
      <c r="AG992" s="11"/>
    </row>
    <row r="993">
      <c r="A993" s="7" t="s">
        <v>2721</v>
      </c>
      <c r="B993" s="5" t="s">
        <v>10704</v>
      </c>
      <c r="C993" s="5" t="s">
        <v>18582</v>
      </c>
      <c r="D993" s="5" t="str">
        <v>501203622059</v>
      </c>
      <c r="E993" s="0" t="e">
        <f>+7 (482) 2331140
+7 (482) 2331178
+7 (482) 2331770
+7 (48439) 96145
+7 (48439) 96146
+7 (485) 2674046
+7 (487) 2250290
+7 (487) 2250889
+7 (487) 2250890
+7 (4912) 502180
+7 (4912) 505180
+7 (492) 2601287
+7 (495) 9809775
+7 (495) 9809880
+7 (495) 9809888</f>
        <v>#NAME?</v>
      </c>
      <c r="F993" s="5" t="s">
        <v>28370</v>
      </c>
      <c r="G993" s="5" t="s">
        <v>28371</v>
      </c>
      <c r="H993" s="26">
        <v>29</v>
      </c>
      <c r="I993" s="5"/>
      <c r="J993" s="5" t="s">
        <v>678</v>
      </c>
      <c r="K993" s="5" t="s">
        <v>344</v>
      </c>
      <c r="L993" s="5" t="s">
        <v>28372</v>
      </c>
      <c r="M993" s="27">
        <v>34443</v>
      </c>
      <c r="N993" s="5" t="s">
        <v>50684</v>
      </c>
      <c r="O993" s="5" t="str">
        <v>7703068485</v>
      </c>
      <c r="P993" s="27">
        <v>7600</v>
      </c>
      <c r="Q993" s="5" t="s">
        <v>50685</v>
      </c>
      <c r="R993" s="5"/>
      <c r="S993" s="5" t="s">
        <v>50686</v>
      </c>
      <c r="T993" s="28">
        <v>103830000</v>
      </c>
      <c r="U993" s="28">
        <v>221269000</v>
      </c>
      <c r="V993" s="28">
        <v>3188951000</v>
      </c>
      <c r="W993" s="28">
        <v>230747000</v>
      </c>
      <c r="X993" s="28">
        <v>1068735000</v>
      </c>
      <c r="Y993" s="28">
        <v>8679958000</v>
      </c>
      <c r="Z993" s="28">
        <v>3105556000</v>
      </c>
      <c r="AA993" s="28"/>
      <c r="AB993" s="28">
        <v>1908162000</v>
      </c>
      <c r="AC993" s="28">
        <v>5537301000</v>
      </c>
      <c r="AD993" s="28">
        <v>3107507000</v>
      </c>
      <c r="AE993" s="28">
        <v>37809857000</v>
      </c>
      <c r="AF993" s="28">
        <v>447048000</v>
      </c>
      <c r="AG993" s="11"/>
    </row>
    <row r="994">
      <c r="A994" s="7" t="s">
        <v>2722</v>
      </c>
      <c r="B994" s="5" t="s">
        <v>10705</v>
      </c>
      <c r="C994" s="5" t="s">
        <v>18583</v>
      </c>
      <c r="D994" s="5" t="str">
        <v>570205528618</v>
      </c>
      <c r="E994" s="0" t="e">
        <f>+7 (495) 2081975
+7 (495) 6441685
+7 (499) 6441685
+7 (926) 7458013</f>
        <v>#NAME?</v>
      </c>
      <c r="F994" s="5"/>
      <c r="G994" s="5" t="s">
        <v>28373</v>
      </c>
      <c r="H994" s="26">
        <v>8</v>
      </c>
      <c r="I994" s="5" t="s">
        <v>28374</v>
      </c>
      <c r="J994" s="5" t="s">
        <v>28375</v>
      </c>
      <c r="K994" s="5" t="s">
        <v>344</v>
      </c>
      <c r="L994" s="5" t="s">
        <v>28376</v>
      </c>
      <c r="M994" s="27"/>
      <c r="N994" s="5"/>
      <c r="O994" s="5" t="str">
        <v>7704313852</v>
      </c>
      <c r="P994" s="27">
        <v>1010000</v>
      </c>
      <c r="Q994" s="5" t="s">
        <v>49021</v>
      </c>
      <c r="R994" s="5"/>
      <c r="S994" s="5" t="s">
        <v>50687</v>
      </c>
      <c r="T994" s="28">
        <v>8369000</v>
      </c>
      <c r="U994" s="28"/>
      <c r="V994" s="28">
        <v>749913000</v>
      </c>
      <c r="W994" s="28">
        <v>1700000</v>
      </c>
      <c r="X994" s="28">
        <v>21886000</v>
      </c>
      <c r="Y994" s="28">
        <v>1247224000</v>
      </c>
      <c r="Z994" s="28">
        <v>106485000</v>
      </c>
      <c r="AA994" s="28"/>
      <c r="AB994" s="28">
        <v>179099000</v>
      </c>
      <c r="AC994" s="28">
        <v>1139729000</v>
      </c>
      <c r="AD994" s="28">
        <v>107495000</v>
      </c>
      <c r="AE994" s="28">
        <v>17333715000</v>
      </c>
      <c r="AF994" s="28">
        <v>102653000</v>
      </c>
      <c r="AG994" s="11"/>
    </row>
    <row r="995">
      <c r="A995" s="7" t="s">
        <v>2723</v>
      </c>
      <c r="B995" s="5" t="s">
        <v>10706</v>
      </c>
      <c r="C995" s="5" t="s">
        <v>18584</v>
      </c>
      <c r="D995" s="5" t="str">
        <v>182908378570</v>
      </c>
      <c r="E995" s="0" t="e">
        <f>+7 (926) 2912271
+7 (929) 3181195</f>
        <v>#NAME?</v>
      </c>
      <c r="F995" s="5"/>
      <c r="G995" s="5"/>
      <c r="H995" s="26">
        <v>7.5</v>
      </c>
      <c r="I995" s="5" t="s">
        <v>28377</v>
      </c>
      <c r="J995" s="5" t="s">
        <v>25199</v>
      </c>
      <c r="K995" s="5" t="s">
        <v>344</v>
      </c>
      <c r="L995" s="5"/>
      <c r="M995" s="27"/>
      <c r="N995" s="5" t="s">
        <v>50688</v>
      </c>
      <c r="O995" s="5" t="str">
        <v>7703389880</v>
      </c>
      <c r="P995" s="27">
        <v>100000</v>
      </c>
      <c r="Q995" s="5" t="s">
        <v>49021</v>
      </c>
      <c r="R995" s="5"/>
      <c r="S995" s="5" t="s">
        <v>50689</v>
      </c>
      <c r="T995" s="28">
        <v>3511000</v>
      </c>
      <c r="U995" s="28"/>
      <c r="V995" s="28">
        <v>1794371000</v>
      </c>
      <c r="W995" s="28">
        <v>100276000</v>
      </c>
      <c r="X995" s="28">
        <v>375243000</v>
      </c>
      <c r="Y995" s="28">
        <v>2314014000</v>
      </c>
      <c r="Z995" s="28">
        <v>-581413000</v>
      </c>
      <c r="AA995" s="28"/>
      <c r="AB995" s="28"/>
      <c r="AC995" s="28">
        <v>2764375000</v>
      </c>
      <c r="AD995" s="28">
        <v>-452629000</v>
      </c>
      <c r="AE995" s="28">
        <v>3431474000</v>
      </c>
      <c r="AF995" s="28">
        <v>95307000</v>
      </c>
      <c r="AG995" s="11"/>
    </row>
    <row r="996">
      <c r="A996" s="7" t="s">
        <v>2724</v>
      </c>
      <c r="B996" s="5" t="s">
        <v>10707</v>
      </c>
      <c r="C996" s="5" t="s">
        <v>18585</v>
      </c>
      <c r="D996" s="5" t="str">
        <v>631603034092</v>
      </c>
      <c r="E996" s="0" t="e">
        <f>+7 (8453) 496414
+7 (8453) 496540
+7 (845) 7024959
+7 (845) 7026540
+7 (8453) 496677
+7 (84534) 96000
+7 (84534) 96242
+7 (84534) 96252
+7 (84534) 96542
+7 (84534) 96846
+7 (84536) 21389
+7 (84536) 28005
+7 (84536) 58005
+7 (84536) 60516
+7 (84536) 60530</f>
        <v>#NAME?</v>
      </c>
      <c r="F996" s="5" t="s">
        <v>28378</v>
      </c>
      <c r="G996" s="5"/>
      <c r="H996" s="26">
        <v>30</v>
      </c>
      <c r="I996" s="5"/>
      <c r="J996" s="5" t="s">
        <v>28379</v>
      </c>
      <c r="K996" s="5" t="s">
        <v>355</v>
      </c>
      <c r="L996" s="5"/>
      <c r="M996" s="27">
        <v>7839015</v>
      </c>
      <c r="N996" s="5"/>
      <c r="O996" s="5" t="str">
        <v>6439010895</v>
      </c>
      <c r="P996" s="27">
        <v>1103527</v>
      </c>
      <c r="Q996" s="5" t="s">
        <v>50690</v>
      </c>
      <c r="R996" s="5"/>
      <c r="S996" s="5" t="s">
        <v>49160</v>
      </c>
      <c r="T996" s="28">
        <v>1787298000</v>
      </c>
      <c r="U996" s="28">
        <v>188642000</v>
      </c>
      <c r="V996" s="28">
        <v>681414000</v>
      </c>
      <c r="W996" s="28"/>
      <c r="X996" s="28">
        <v>53719000</v>
      </c>
      <c r="Y996" s="28">
        <v>4899634000</v>
      </c>
      <c r="Z996" s="28">
        <v>2992516000</v>
      </c>
      <c r="AA996" s="28">
        <v>40000000</v>
      </c>
      <c r="AB996" s="28">
        <v>770447000</v>
      </c>
      <c r="AC996" s="28">
        <v>1552352000</v>
      </c>
      <c r="AD996" s="28">
        <v>3113198000</v>
      </c>
      <c r="AE996" s="28">
        <v>5133929000</v>
      </c>
      <c r="AF996" s="28">
        <v>-356988000</v>
      </c>
      <c r="AG996" s="11"/>
    </row>
    <row r="997">
      <c r="A997" s="7" t="s">
        <v>2725</v>
      </c>
      <c r="B997" s="5" t="s">
        <v>10708</v>
      </c>
      <c r="C997" s="5" t="s">
        <v>18586</v>
      </c>
      <c r="D997" s="5" t="str">
        <v>773007194033</v>
      </c>
      <c r="E997" s="0" t="e">
        <f>+7 (483) 2732885
+7 (483) 2732890
+7 (483) 2734946
+7 (483) 2735484
+7 (483) 2738970
+7 (483) 2770304
+7 (495) 2691719</f>
        <v>#NAME?</v>
      </c>
      <c r="F997" s="5" t="s">
        <v>28380</v>
      </c>
      <c r="G997" s="5" t="s">
        <v>28381</v>
      </c>
      <c r="H997" s="26">
        <v>19</v>
      </c>
      <c r="I997" s="5" t="s">
        <v>28382</v>
      </c>
      <c r="J997" s="5" t="s">
        <v>28075</v>
      </c>
      <c r="K997" s="5" t="s">
        <v>344</v>
      </c>
      <c r="L997" s="5" t="s">
        <v>28383</v>
      </c>
      <c r="M997" s="27"/>
      <c r="N997" s="5"/>
      <c r="O997" s="5" t="str">
        <v>3250053924</v>
      </c>
      <c r="P997" s="27">
        <v>156000000</v>
      </c>
      <c r="Q997" s="5" t="s">
        <v>50691</v>
      </c>
      <c r="R997" s="5"/>
      <c r="S997" s="5" t="s">
        <v>50692</v>
      </c>
      <c r="T997" s="28">
        <v>199246000</v>
      </c>
      <c r="U997" s="28">
        <v>9750000</v>
      </c>
      <c r="V997" s="28">
        <v>569206000</v>
      </c>
      <c r="W997" s="28"/>
      <c r="X997" s="28">
        <v>5267000</v>
      </c>
      <c r="Y997" s="28">
        <v>2279653000</v>
      </c>
      <c r="Z997" s="28">
        <v>948080000</v>
      </c>
      <c r="AA997" s="28">
        <v>600000000</v>
      </c>
      <c r="AB997" s="28">
        <v>60553000</v>
      </c>
      <c r="AC997" s="28">
        <v>574686000</v>
      </c>
      <c r="AD997" s="28">
        <v>1104080000</v>
      </c>
      <c r="AE997" s="28">
        <v>5639819000</v>
      </c>
      <c r="AF997" s="28">
        <v>160745000</v>
      </c>
      <c r="AG997" s="11"/>
    </row>
    <row r="998">
      <c r="A998" s="7" t="s">
        <v>2726</v>
      </c>
      <c r="B998" s="5" t="s">
        <v>10690</v>
      </c>
      <c r="C998" s="5" t="s">
        <v>18569</v>
      </c>
      <c r="D998" s="5"/>
      <c r="E998" s="0" t="e">
        <f>+7 (345) 2529595
+7 (343) 3000404
+7 (34369) 43736
+7 (34369) 43738</f>
        <v>#NAME?</v>
      </c>
      <c r="F998" s="5" t="s">
        <v>28384</v>
      </c>
      <c r="G998" s="5"/>
      <c r="H998" s="26">
        <v>11.5</v>
      </c>
      <c r="I998" s="5" t="s">
        <v>28385</v>
      </c>
      <c r="J998" s="5" t="s">
        <v>27182</v>
      </c>
      <c r="K998" s="5" t="s">
        <v>344</v>
      </c>
      <c r="L998" s="5"/>
      <c r="M998" s="27">
        <v>62754546</v>
      </c>
      <c r="N998" s="5" t="s">
        <v>50693</v>
      </c>
      <c r="O998" s="5" t="str">
        <v>6671382990</v>
      </c>
      <c r="P998" s="27">
        <v>469437983</v>
      </c>
      <c r="Q998" s="5" t="s">
        <v>50694</v>
      </c>
      <c r="R998" s="5" t="s">
        <v>50695</v>
      </c>
      <c r="S998" s="5" t="s">
        <v>50696</v>
      </c>
      <c r="T998" s="28">
        <v>1965749000</v>
      </c>
      <c r="U998" s="28">
        <v>16514825000</v>
      </c>
      <c r="V998" s="28">
        <v>25581275000</v>
      </c>
      <c r="W998" s="28">
        <v>3933285000</v>
      </c>
      <c r="X998" s="28">
        <v>8170197000</v>
      </c>
      <c r="Y998" s="28">
        <v>77093025000</v>
      </c>
      <c r="Z998" s="28">
        <v>8541710000</v>
      </c>
      <c r="AA998" s="28">
        <v>43455667000</v>
      </c>
      <c r="AB998" s="28">
        <v>2444809000</v>
      </c>
      <c r="AC998" s="28">
        <v>17481416000</v>
      </c>
      <c r="AD998" s="28">
        <v>9018388000</v>
      </c>
      <c r="AE998" s="28">
        <v>23994026000</v>
      </c>
      <c r="AF998" s="28">
        <v>177035000</v>
      </c>
      <c r="AG998" s="11"/>
    </row>
    <row r="999">
      <c r="A999" s="7" t="s">
        <v>2727</v>
      </c>
      <c r="B999" s="5" t="s">
        <v>10709</v>
      </c>
      <c r="C999" s="5" t="s">
        <v>18569</v>
      </c>
      <c r="D999" s="5"/>
      <c r="E999" s="0" t="e">
        <f>+7 (345) 2529595
+7 (922) 1105715
+7 (932) 6258124
+7 (345) 2500203
+7 (345) 2759953</f>
        <v>#NAME?</v>
      </c>
      <c r="F999" s="5" t="s">
        <v>28386</v>
      </c>
      <c r="G999" s="5" t="s">
        <v>28387</v>
      </c>
      <c r="H999" s="26">
        <v>13</v>
      </c>
      <c r="I999" s="5" t="s">
        <v>28388</v>
      </c>
      <c r="J999" s="5" t="s">
        <v>25324</v>
      </c>
      <c r="K999" s="5" t="s">
        <v>355</v>
      </c>
      <c r="L999" s="5" t="s">
        <v>28389</v>
      </c>
      <c r="M999" s="27"/>
      <c r="N999" s="5" t="s">
        <v>50697</v>
      </c>
      <c r="O999" s="5" t="str">
        <v>7202202500</v>
      </c>
      <c r="P999" s="27">
        <v>20000</v>
      </c>
      <c r="Q999" s="5"/>
      <c r="R999" s="5"/>
      <c r="S999" s="5" t="s">
        <v>49991</v>
      </c>
      <c r="T999" s="28">
        <v>442000</v>
      </c>
      <c r="U999" s="28">
        <v>4630000</v>
      </c>
      <c r="V999" s="28">
        <v>747138000</v>
      </c>
      <c r="W999" s="28">
        <v>163547000</v>
      </c>
      <c r="X999" s="28">
        <v>491054000</v>
      </c>
      <c r="Y999" s="28">
        <v>2153526000</v>
      </c>
      <c r="Z999" s="28">
        <v>104258000</v>
      </c>
      <c r="AA999" s="28">
        <v>25367000</v>
      </c>
      <c r="AB999" s="28">
        <v>25119000</v>
      </c>
      <c r="AC999" s="28">
        <v>2023878000</v>
      </c>
      <c r="AD999" s="28">
        <v>104281000</v>
      </c>
      <c r="AE999" s="28">
        <v>3536313000</v>
      </c>
      <c r="AF999" s="28">
        <v>108953000</v>
      </c>
      <c r="AG999" s="11"/>
    </row>
    <row r="1000">
      <c r="A1000" s="7" t="s">
        <v>2728</v>
      </c>
      <c r="B1000" s="5" t="s">
        <v>10710</v>
      </c>
      <c r="C1000" s="5" t="s">
        <v>18587</v>
      </c>
      <c r="D1000" s="5" t="str">
        <v>325001920392</v>
      </c>
      <c r="E1000" s="0" t="e">
        <f>+7 (483) 2416732
+7 (483) 2643177
+7 (483) 2647020
+7 (483) 2647077
+7 (483) 2647089
+7 (483) 2648966
+7 (483) 2666567
+7 (48348) 22216</f>
        <v>#NAME?</v>
      </c>
      <c r="F1000" s="5" t="s">
        <v>28390</v>
      </c>
      <c r="G1000" s="5" t="s">
        <v>28391</v>
      </c>
      <c r="H1000" s="26">
        <v>14</v>
      </c>
      <c r="I1000" s="5" t="s">
        <v>28392</v>
      </c>
      <c r="J1000" s="5" t="s">
        <v>467</v>
      </c>
      <c r="K1000" s="5" t="s">
        <v>344</v>
      </c>
      <c r="L1000" s="5"/>
      <c r="M1000" s="27">
        <v>4933548</v>
      </c>
      <c r="N1000" s="5" t="s">
        <v>50698</v>
      </c>
      <c r="O1000" s="5" t="str">
        <v>3250510627</v>
      </c>
      <c r="P1000" s="27">
        <v>935435300</v>
      </c>
      <c r="Q1000" s="5" t="s">
        <v>50700</v>
      </c>
      <c r="R1000" s="5"/>
      <c r="S1000" s="5" t="s">
        <v>50701</v>
      </c>
      <c r="T1000" s="28">
        <v>870424000</v>
      </c>
      <c r="U1000" s="28"/>
      <c r="V1000" s="28">
        <v>279343000</v>
      </c>
      <c r="W1000" s="28"/>
      <c r="X1000" s="28">
        <v>556987000</v>
      </c>
      <c r="Y1000" s="28">
        <v>2305922000</v>
      </c>
      <c r="Z1000" s="28">
        <v>418092000</v>
      </c>
      <c r="AA1000" s="28"/>
      <c r="AB1000" s="28"/>
      <c r="AC1000" s="28">
        <v>925408000</v>
      </c>
      <c r="AD1000" s="28">
        <v>1362051000</v>
      </c>
      <c r="AE1000" s="28">
        <v>3034396000</v>
      </c>
      <c r="AF1000" s="28">
        <v>49323000</v>
      </c>
      <c r="AG1000" s="11"/>
    </row>
    <row r="1001">
      <c r="A1001" s="7" t="s">
        <v>2729</v>
      </c>
      <c r="B1001" s="5" t="s">
        <v>10711</v>
      </c>
      <c r="C1001" s="5" t="s">
        <v>18588</v>
      </c>
      <c r="D1001" s="5" t="str">
        <v>323404301627</v>
      </c>
      <c r="E1001" s="0" t="e">
        <f>+7 (980) 3114942
+7 (980) 3397961
+7 (483) 2303742
+7 (915) 8001721
+7 (980) 3137034
+7 (3517) 299002
+7 (47231) 53884
+7 (910) 3328898</f>
        <v>#NAME?</v>
      </c>
      <c r="F1001" s="5"/>
      <c r="G1001" s="5" t="s">
        <v>28393</v>
      </c>
      <c r="H1001" s="26">
        <v>12</v>
      </c>
      <c r="I1001" s="5" t="s">
        <v>28394</v>
      </c>
      <c r="J1001" s="5" t="s">
        <v>1095</v>
      </c>
      <c r="K1001" s="5" t="s">
        <v>355</v>
      </c>
      <c r="L1001" s="5"/>
      <c r="M1001" s="27">
        <v>8943237</v>
      </c>
      <c r="N1001" s="5" t="s">
        <v>50702</v>
      </c>
      <c r="O1001" s="5" t="str">
        <v>3250521869</v>
      </c>
      <c r="P1001" s="27">
        <v>500000</v>
      </c>
      <c r="Q1001" s="5" t="s">
        <v>50703</v>
      </c>
      <c r="R1001" s="5" t="s">
        <v>50704</v>
      </c>
      <c r="S1001" s="5" t="s">
        <v>50705</v>
      </c>
      <c r="T1001" s="28">
        <v>212877000</v>
      </c>
      <c r="U1001" s="28"/>
      <c r="V1001" s="28">
        <v>17429811000</v>
      </c>
      <c r="W1001" s="28"/>
      <c r="X1001" s="28">
        <v>6816000</v>
      </c>
      <c r="Y1001" s="28">
        <v>24844462000</v>
      </c>
      <c r="Z1001" s="28">
        <v>-3409869000</v>
      </c>
      <c r="AA1001" s="28"/>
      <c r="AB1001" s="28">
        <v>16210932000</v>
      </c>
      <c r="AC1001" s="28">
        <v>28191331000</v>
      </c>
      <c r="AD1001" s="28">
        <v>-3389369000</v>
      </c>
      <c r="AE1001" s="28">
        <v>24357152000</v>
      </c>
      <c r="AF1001" s="28">
        <v>-864869000</v>
      </c>
      <c r="AG1001" s="11"/>
    </row>
    <row r="1002">
      <c r="A1002" s="7" t="s">
        <v>2730</v>
      </c>
      <c r="B1002" s="5" t="s">
        <v>10712</v>
      </c>
      <c r="C1002" s="5" t="s">
        <v>18589</v>
      </c>
      <c r="D1002" s="5" t="str">
        <v>772131009847</v>
      </c>
      <c r="E1002" s="0" t="e">
        <f>+7 (483) 2303737
+7 (800) 3334519
+7 (483) 2670900
+7 (48352) 48352
+7 (910) 7350458
+7 (920) 8590000
+7 (980) 3102808</f>
        <v>#NAME?</v>
      </c>
      <c r="F1002" s="5" t="s">
        <v>28395</v>
      </c>
      <c r="G1002" s="5" t="s">
        <v>28396</v>
      </c>
      <c r="H1002" s="26">
        <v>15</v>
      </c>
      <c r="I1002" s="5" t="s">
        <v>28397</v>
      </c>
      <c r="J1002" s="5" t="s">
        <v>25895</v>
      </c>
      <c r="K1002" s="5" t="s">
        <v>355</v>
      </c>
      <c r="L1002" s="5" t="s">
        <v>28398</v>
      </c>
      <c r="M1002" s="27">
        <v>46417318</v>
      </c>
      <c r="N1002" s="5" t="s">
        <v>50706</v>
      </c>
      <c r="O1002" s="5" t="str">
        <v>3252005997</v>
      </c>
      <c r="P1002" s="27">
        <v>26637066668</v>
      </c>
      <c r="Q1002" s="5" t="s">
        <v>49009</v>
      </c>
      <c r="R1002" s="5"/>
      <c r="S1002" s="5" t="s">
        <v>50707</v>
      </c>
      <c r="T1002" s="28">
        <v>67632782000</v>
      </c>
      <c r="U1002" s="28"/>
      <c r="V1002" s="28">
        <v>12874353000</v>
      </c>
      <c r="W1002" s="28"/>
      <c r="X1002" s="28">
        <v>2111673000</v>
      </c>
      <c r="Y1002" s="28">
        <v>155351532000</v>
      </c>
      <c r="Z1002" s="28">
        <v>-31984160000</v>
      </c>
      <c r="AA1002" s="28">
        <v>77222321000</v>
      </c>
      <c r="AB1002" s="28">
        <v>5198663000</v>
      </c>
      <c r="AC1002" s="28">
        <v>66194742000</v>
      </c>
      <c r="AD1002" s="28">
        <v>9879454000</v>
      </c>
      <c r="AE1002" s="28">
        <v>46444234000</v>
      </c>
      <c r="AF1002" s="28">
        <v>-795834000</v>
      </c>
      <c r="AG1002" s="11"/>
    </row>
    <row r="1003">
      <c r="A1003" s="7" t="s">
        <v>2731</v>
      </c>
      <c r="B1003" s="5" t="s">
        <v>10713</v>
      </c>
      <c r="C1003" s="5" t="s">
        <v>18590</v>
      </c>
      <c r="D1003" s="5" t="str">
        <v>311501670179</v>
      </c>
      <c r="E1003" s="0" t="e">
        <f>+7 (483) 2303737
+7 (919) 1936772</f>
        <v>#NAME?</v>
      </c>
      <c r="F1003" s="5" t="s">
        <v>28399</v>
      </c>
      <c r="G1003" s="5"/>
      <c r="H1003" s="26">
        <v>12.5</v>
      </c>
      <c r="I1003" s="5" t="s">
        <v>28400</v>
      </c>
      <c r="J1003" s="5" t="s">
        <v>25450</v>
      </c>
      <c r="K1003" s="5" t="s">
        <v>344</v>
      </c>
      <c r="L1003" s="5" t="s">
        <v>28401</v>
      </c>
      <c r="M1003" s="27">
        <v>787877</v>
      </c>
      <c r="N1003" s="5"/>
      <c r="O1003" s="5" t="str">
        <v>3250519281</v>
      </c>
      <c r="P1003" s="27">
        <v>4158000000</v>
      </c>
      <c r="Q1003" s="5" t="s">
        <v>49009</v>
      </c>
      <c r="R1003" s="5"/>
      <c r="S1003" s="5" t="s">
        <v>49408</v>
      </c>
      <c r="T1003" s="28">
        <v>16321715000</v>
      </c>
      <c r="U1003" s="28"/>
      <c r="V1003" s="28">
        <v>15450510000</v>
      </c>
      <c r="W1003" s="28"/>
      <c r="X1003" s="28">
        <v>3497000</v>
      </c>
      <c r="Y1003" s="28">
        <v>36839463000</v>
      </c>
      <c r="Z1003" s="28">
        <v>16729431000</v>
      </c>
      <c r="AA1003" s="28">
        <v>7003804000</v>
      </c>
      <c r="AB1003" s="28">
        <v>2224983000</v>
      </c>
      <c r="AC1003" s="28">
        <v>8848001000</v>
      </c>
      <c r="AD1003" s="28">
        <v>21164105000</v>
      </c>
      <c r="AE1003" s="28">
        <v>21679335000</v>
      </c>
      <c r="AF1003" s="28">
        <v>3575984000</v>
      </c>
      <c r="AG1003" s="11"/>
    </row>
    <row r="1004">
      <c r="A1004" s="7" t="s">
        <v>2732</v>
      </c>
      <c r="B1004" s="5" t="s">
        <v>10714</v>
      </c>
      <c r="C1004" s="5" t="s">
        <v>18591</v>
      </c>
      <c r="D1004" s="5" t="str">
        <v>322400283164</v>
      </c>
      <c r="E1004" s="0" t="e">
        <f>+7 (4232) 716109
+7 (483) 2321080
+7 (483) 2416109
+7 (483) 2424709
+7 (483) 2555133
+7 (483) 2616110
+7 (483) 2617109
+7 (483) 2624712
+7 (483) 2624713
+7 (483) 2324709
+7 (483) 2623265
+7 (483) 2624723
+7 (483) 2624764
+7 (483) 2624781
+7 (483) 2627409</f>
        <v>#NAME?</v>
      </c>
      <c r="F1004" s="5" t="s">
        <v>28402</v>
      </c>
      <c r="G1004" s="5"/>
      <c r="H1004" s="26">
        <v>19</v>
      </c>
      <c r="I1004" s="5" t="s">
        <v>28403</v>
      </c>
      <c r="J1004" s="5" t="s">
        <v>27642</v>
      </c>
      <c r="K1004" s="5" t="s">
        <v>344</v>
      </c>
      <c r="L1004" s="5"/>
      <c r="M1004" s="27">
        <v>199049297</v>
      </c>
      <c r="N1004" s="5" t="s">
        <v>50709</v>
      </c>
      <c r="O1004" s="5" t="str">
        <v>3250054100</v>
      </c>
      <c r="P1004" s="27">
        <v>1144516899</v>
      </c>
      <c r="Q1004" s="5" t="s">
        <v>50710</v>
      </c>
      <c r="R1004" s="5" t="s">
        <v>50711</v>
      </c>
      <c r="S1004" s="5" t="s">
        <v>49271</v>
      </c>
      <c r="T1004" s="28">
        <v>2308331000</v>
      </c>
      <c r="U1004" s="28">
        <v>3000000</v>
      </c>
      <c r="V1004" s="28">
        <v>2529083000</v>
      </c>
      <c r="W1004" s="28"/>
      <c r="X1004" s="28">
        <v>21939000</v>
      </c>
      <c r="Y1004" s="28">
        <v>5521431000</v>
      </c>
      <c r="Z1004" s="28">
        <v>-1432376000</v>
      </c>
      <c r="AA1004" s="28"/>
      <c r="AB1004" s="28"/>
      <c r="AC1004" s="28">
        <v>4402938000</v>
      </c>
      <c r="AD1004" s="28">
        <v>1681414000</v>
      </c>
      <c r="AE1004" s="28">
        <v>5549105000</v>
      </c>
      <c r="AF1004" s="28">
        <v>-828665000</v>
      </c>
      <c r="AG1004" s="11"/>
    </row>
    <row r="1005">
      <c r="A1005" s="7" t="s">
        <v>2733</v>
      </c>
      <c r="B1005" s="5" t="s">
        <v>10715</v>
      </c>
      <c r="C1005" s="5" t="s">
        <v>18592</v>
      </c>
      <c r="D1005" s="5" t="str">
        <v>324300245289</v>
      </c>
      <c r="E1005" s="0" t="e">
        <f>+7 (483) 2631042
+7 (483) 2631082
+7 (483) 2631590
+7 (483) 2639732
+7 (483) 2639735
+7 (483) 2639737
+7 (483) 2747609
+7 (483) 2747617
+7 (483) 2747707
+7 (483) 2747838</f>
        <v>#NAME?</v>
      </c>
      <c r="F1005" s="5" t="s">
        <v>28404</v>
      </c>
      <c r="G1005" s="5" t="s">
        <v>28405</v>
      </c>
      <c r="H1005" s="26">
        <v>17.5</v>
      </c>
      <c r="I1005" s="5"/>
      <c r="J1005" s="5" t="s">
        <v>28406</v>
      </c>
      <c r="K1005" s="5" t="s">
        <v>355</v>
      </c>
      <c r="L1005" s="5"/>
      <c r="M1005" s="27"/>
      <c r="N1005" s="5" t="s">
        <v>50712</v>
      </c>
      <c r="O1005" s="5" t="str">
        <v>3254003201</v>
      </c>
      <c r="P1005" s="27">
        <v>30096000</v>
      </c>
      <c r="Q1005" s="5" t="s">
        <v>50713</v>
      </c>
      <c r="R1005" s="5"/>
      <c r="S1005" s="5" t="s">
        <v>49085</v>
      </c>
      <c r="T1005" s="28">
        <v>240829000</v>
      </c>
      <c r="U1005" s="28"/>
      <c r="V1005" s="28">
        <v>749615000</v>
      </c>
      <c r="W1005" s="28">
        <v>1413000000</v>
      </c>
      <c r="X1005" s="28">
        <v>117981000</v>
      </c>
      <c r="Y1005" s="28">
        <v>4290877000</v>
      </c>
      <c r="Z1005" s="28">
        <v>-3720867000</v>
      </c>
      <c r="AA1005" s="28">
        <v>222222000</v>
      </c>
      <c r="AB1005" s="28"/>
      <c r="AC1005" s="28">
        <v>7484640000</v>
      </c>
      <c r="AD1005" s="28">
        <v>-3415986000</v>
      </c>
      <c r="AE1005" s="28">
        <v>10428329000</v>
      </c>
      <c r="AF1005" s="28">
        <v>292030000</v>
      </c>
      <c r="AG1005" s="11"/>
    </row>
    <row r="1006">
      <c r="A1006" s="7" t="s">
        <v>2734</v>
      </c>
      <c r="B1006" s="5" t="s">
        <v>10716</v>
      </c>
      <c r="C1006" s="5" t="s">
        <v>18593</v>
      </c>
      <c r="D1006" s="5" t="str">
        <v>772013674540</v>
      </c>
      <c r="E1006" s="0" t="e">
        <f>+7 (483) 2631415
+7 (483) 2635533
+7 (985) 2902982</f>
        <v>#NAME?</v>
      </c>
      <c r="F1006" s="5"/>
      <c r="G1006" s="5"/>
      <c r="H1006" s="26">
        <v>20.5</v>
      </c>
      <c r="I1006" s="5" t="s">
        <v>28407</v>
      </c>
      <c r="J1006" s="5" t="s">
        <v>947</v>
      </c>
      <c r="K1006" s="5" t="s">
        <v>380</v>
      </c>
      <c r="L1006" s="5" t="s">
        <v>28408</v>
      </c>
      <c r="M1006" s="27">
        <v>3503213436</v>
      </c>
      <c r="N1006" s="5"/>
      <c r="O1006" s="5" t="str">
        <v>4006002957</v>
      </c>
      <c r="P1006" s="27">
        <v>2400000</v>
      </c>
      <c r="Q1006" s="5"/>
      <c r="R1006" s="5" t="s">
        <v>50714</v>
      </c>
      <c r="S1006" s="5" t="s">
        <v>49121</v>
      </c>
      <c r="T1006" s="28">
        <v>7586000</v>
      </c>
      <c r="U1006" s="28"/>
      <c r="V1006" s="28">
        <v>1519267000</v>
      </c>
      <c r="W1006" s="28">
        <v>54038000</v>
      </c>
      <c r="X1006" s="28">
        <v>92267000</v>
      </c>
      <c r="Y1006" s="28">
        <v>5274795000</v>
      </c>
      <c r="Z1006" s="28">
        <v>-1218415000</v>
      </c>
      <c r="AA1006" s="28">
        <v>436000</v>
      </c>
      <c r="AB1006" s="28">
        <v>33000</v>
      </c>
      <c r="AC1006" s="28">
        <v>6437527000</v>
      </c>
      <c r="AD1006" s="28">
        <v>-1216015000</v>
      </c>
      <c r="AE1006" s="28">
        <v>4274585000</v>
      </c>
      <c r="AF1006" s="28">
        <v>-1229935000</v>
      </c>
      <c r="AG1006" s="11"/>
    </row>
    <row r="1007">
      <c r="A1007" s="7" t="s">
        <v>2735</v>
      </c>
      <c r="B1007" s="5" t="s">
        <v>10717</v>
      </c>
      <c r="C1007" s="5" t="s">
        <v>18594</v>
      </c>
      <c r="D1007" s="5" t="str">
        <v>323500568207</v>
      </c>
      <c r="E1007" s="0" t="e">
        <f>+7 (483) 2418009
+7 (483) 2201517
+7 (483) 2201617
+7 (483) 2201642
+7 (483) 2201645
+7 (483) 2201655
+7 (483) 2201673
+7 (483) 2412975
+7 (483) 2418001
+7 (483) 2201612
+7 (483) 2201618
+7 (483) 2201644
+7 (483) 2415876
+7 (483) 2415991
+7 (483) 2417675</f>
        <v>#NAME?</v>
      </c>
      <c r="F1007" s="5" t="s">
        <v>28409</v>
      </c>
      <c r="G1007" s="5"/>
      <c r="H1007" s="26">
        <v>21.5</v>
      </c>
      <c r="I1007" s="5" t="s">
        <v>28410</v>
      </c>
      <c r="J1007" s="5" t="s">
        <v>25429</v>
      </c>
      <c r="K1007" s="5" t="s">
        <v>344</v>
      </c>
      <c r="L1007" s="5"/>
      <c r="M1007" s="27"/>
      <c r="N1007" s="5" t="s">
        <v>50715</v>
      </c>
      <c r="O1007" s="5" t="str">
        <v>3201000327</v>
      </c>
      <c r="P1007" s="27">
        <v>12301000</v>
      </c>
      <c r="Q1007" s="5" t="s">
        <v>50716</v>
      </c>
      <c r="R1007" s="5"/>
      <c r="S1007" s="5" t="s">
        <v>50717</v>
      </c>
      <c r="T1007" s="28">
        <v>75940000</v>
      </c>
      <c r="U1007" s="28">
        <v>1147000</v>
      </c>
      <c r="V1007" s="28">
        <v>562239000</v>
      </c>
      <c r="W1007" s="28"/>
      <c r="X1007" s="28">
        <v>14326000</v>
      </c>
      <c r="Y1007" s="28">
        <v>1546718000</v>
      </c>
      <c r="Z1007" s="28">
        <v>37372000</v>
      </c>
      <c r="AA1007" s="28"/>
      <c r="AB1007" s="28">
        <v>52899000</v>
      </c>
      <c r="AC1007" s="28">
        <v>1465679000</v>
      </c>
      <c r="AD1007" s="28">
        <v>75096000</v>
      </c>
      <c r="AE1007" s="28">
        <v>3680522000</v>
      </c>
      <c r="AF1007" s="28">
        <v>8128000</v>
      </c>
      <c r="AG1007" s="11"/>
    </row>
    <row r="1008">
      <c r="A1008" s="7" t="s">
        <v>2736</v>
      </c>
      <c r="B1008" s="5" t="s">
        <v>10718</v>
      </c>
      <c r="C1008" s="5" t="s">
        <v>18595</v>
      </c>
      <c r="D1008" s="5" t="str">
        <v>322300273067</v>
      </c>
      <c r="E1008" s="0" t="e">
        <f>+7 (800) 4504510
+7 (910) 2925050</f>
        <v>#NAME?</v>
      </c>
      <c r="F1008" s="5" t="s">
        <v>28411</v>
      </c>
      <c r="G1008" s="5" t="s">
        <v>28412</v>
      </c>
      <c r="H1008" s="26">
        <v>8.5</v>
      </c>
      <c r="I1008" s="5" t="s">
        <v>28413</v>
      </c>
      <c r="J1008" s="5" t="s">
        <v>27802</v>
      </c>
      <c r="K1008" s="5" t="s">
        <v>355</v>
      </c>
      <c r="L1008" s="5" t="s">
        <v>28414</v>
      </c>
      <c r="M1008" s="27">
        <v>248342</v>
      </c>
      <c r="N1008" s="5" t="s">
        <v>50718</v>
      </c>
      <c r="O1008" s="5" t="str">
        <v>7731480563</v>
      </c>
      <c r="P1008" s="27">
        <v>10000</v>
      </c>
      <c r="Q1008" s="5" t="s">
        <v>50720</v>
      </c>
      <c r="R1008" s="5"/>
      <c r="S1008" s="5" t="s">
        <v>50721</v>
      </c>
      <c r="T1008" s="28">
        <v>2185720000</v>
      </c>
      <c r="U1008" s="28">
        <v>1433006000</v>
      </c>
      <c r="V1008" s="28">
        <v>332961000</v>
      </c>
      <c r="W1008" s="28"/>
      <c r="X1008" s="28">
        <v>115898000</v>
      </c>
      <c r="Y1008" s="28">
        <v>4209166000</v>
      </c>
      <c r="Z1008" s="28">
        <v>1078878000</v>
      </c>
      <c r="AA1008" s="28">
        <v>2160386000</v>
      </c>
      <c r="AB1008" s="28">
        <v>218837000</v>
      </c>
      <c r="AC1008" s="28">
        <v>809804000</v>
      </c>
      <c r="AD1008" s="28">
        <v>1078888000</v>
      </c>
      <c r="AE1008" s="28">
        <v>4731729000</v>
      </c>
      <c r="AF1008" s="28">
        <v>278280000</v>
      </c>
      <c r="AG1008" s="11"/>
    </row>
    <row r="1009">
      <c r="A1009" s="7" t="s">
        <v>2737</v>
      </c>
      <c r="B1009" s="5" t="s">
        <v>10719</v>
      </c>
      <c r="C1009" s="5" t="s">
        <v>18596</v>
      </c>
      <c r="D1009" s="5" t="str">
        <v>071405665507</v>
      </c>
      <c r="E1009" s="0" t="e">
        <f>+7 (342) 4256301
+7 (342) 4256330
+7 (34242) 29970
+7 (34242) 84101
+7 (34242) 84104
+7 (34242) 84107
+7 (34242) 84108
+7 (34242) 84110
+7 (34242) 84145
+7 (34242) 84150
+7 (34242) 84158
+7 (34242) 84175
+7 (34242) 84200
+7 (34242) 84320
+7 (34242) 84348</f>
        <v>#NAME?</v>
      </c>
      <c r="F1009" s="5" t="s">
        <v>28415</v>
      </c>
      <c r="G1009" s="5" t="s">
        <v>28416</v>
      </c>
      <c r="H1009" s="26">
        <v>24</v>
      </c>
      <c r="I1009" s="5" t="s">
        <v>28417</v>
      </c>
      <c r="J1009" s="5" t="s">
        <v>28418</v>
      </c>
      <c r="K1009" s="5" t="s">
        <v>344</v>
      </c>
      <c r="L1009" s="5" t="s">
        <v>28419</v>
      </c>
      <c r="M1009" s="27"/>
      <c r="N1009" s="5" t="s">
        <v>50722</v>
      </c>
      <c r="O1009" s="5" t="str">
        <v>5911013780</v>
      </c>
      <c r="P1009" s="27">
        <v>174516600</v>
      </c>
      <c r="Q1009" s="5" t="s">
        <v>50723</v>
      </c>
      <c r="R1009" s="5"/>
      <c r="S1009" s="5" t="s">
        <v>50724</v>
      </c>
      <c r="T1009" s="28">
        <v>4270487000</v>
      </c>
      <c r="U1009" s="28">
        <v>1347000</v>
      </c>
      <c r="V1009" s="28">
        <v>1128939000</v>
      </c>
      <c r="W1009" s="28"/>
      <c r="X1009" s="28">
        <v>4045000</v>
      </c>
      <c r="Y1009" s="28">
        <v>9354451000</v>
      </c>
      <c r="Z1009" s="28">
        <v>3881371000</v>
      </c>
      <c r="AA1009" s="28"/>
      <c r="AB1009" s="28">
        <v>2858180000</v>
      </c>
      <c r="AC1009" s="28">
        <v>3484714000</v>
      </c>
      <c r="AD1009" s="28">
        <v>4386733000</v>
      </c>
      <c r="AE1009" s="28">
        <v>9238459000</v>
      </c>
      <c r="AF1009" s="28">
        <v>527826000</v>
      </c>
      <c r="AG1009" s="11"/>
    </row>
    <row r="1010">
      <c r="A1010" s="7" t="s">
        <v>2562</v>
      </c>
      <c r="B1010" s="5" t="s">
        <v>10492</v>
      </c>
      <c r="C1010" s="5" t="s">
        <v>18597</v>
      </c>
      <c r="D1010" s="5" t="str">
        <v>222503290989</v>
      </c>
      <c r="E1010" s="0" t="e">
        <f>+7 (385) 2610200
+7 (385) 2380493
+7 (385) 2501628
+7 (385) 2502050
+7 (385) 2380616
+7 (385) 2616356
+7 (385) 2616372
+7 (385) 2616379
+7 (385) 2629914
+7 (903) 9126757</f>
        <v>#NAME?</v>
      </c>
      <c r="F1010" s="5" t="s">
        <v>28420</v>
      </c>
      <c r="G1010" s="5" t="s">
        <v>28421</v>
      </c>
      <c r="H1010" s="26">
        <v>17.5</v>
      </c>
      <c r="I1010" s="5" t="s">
        <v>28422</v>
      </c>
      <c r="J1010" s="5" t="s">
        <v>27802</v>
      </c>
      <c r="K1010" s="5" t="s">
        <v>380</v>
      </c>
      <c r="L1010" s="5" t="s">
        <v>28423</v>
      </c>
      <c r="M1010" s="27">
        <v>68366</v>
      </c>
      <c r="N1010" s="5" t="s">
        <v>50725</v>
      </c>
      <c r="O1010" s="5" t="str">
        <v>2221070063</v>
      </c>
      <c r="P1010" s="27">
        <v>4090000</v>
      </c>
      <c r="Q1010" s="5" t="s">
        <v>50726</v>
      </c>
      <c r="R1010" s="5" t="s">
        <v>50727</v>
      </c>
      <c r="S1010" s="5" t="s">
        <v>50728</v>
      </c>
      <c r="T1010" s="28">
        <v>2844491000</v>
      </c>
      <c r="U1010" s="28">
        <v>48724000</v>
      </c>
      <c r="V1010" s="28">
        <v>112250000</v>
      </c>
      <c r="W1010" s="28">
        <v>10000000</v>
      </c>
      <c r="X1010" s="28">
        <v>3671000</v>
      </c>
      <c r="Y1010" s="28">
        <v>3425828000</v>
      </c>
      <c r="Z1010" s="28">
        <v>255179000</v>
      </c>
      <c r="AA1010" s="28"/>
      <c r="AB1010" s="28"/>
      <c r="AC1010" s="28">
        <v>1754829000</v>
      </c>
      <c r="AD1010" s="28">
        <v>967094000</v>
      </c>
      <c r="AE1010" s="28">
        <v>3093313000</v>
      </c>
      <c r="AF1010" s="28">
        <v>-212226000</v>
      </c>
      <c r="AG1010" s="11"/>
    </row>
    <row r="1011">
      <c r="A1011" s="7" t="s">
        <v>2562</v>
      </c>
      <c r="B1011" s="5" t="s">
        <v>10720</v>
      </c>
      <c r="C1011" s="5" t="s">
        <v>18598</v>
      </c>
      <c r="D1011" s="5" t="str">
        <v>860501830620</v>
      </c>
      <c r="E1011" s="0" t="e">
        <f>+7 (346) 4342081
+7 (34643) 47061
+7 (34643) 47268
+7 (34643) 47281
+7 (34643) 47539
+7 (34643) 47672
+7 (495) 9889629</f>
        <v>#NAME?</v>
      </c>
      <c r="F1011" s="5" t="s">
        <v>28424</v>
      </c>
      <c r="G1011" s="5" t="s">
        <v>28425</v>
      </c>
      <c r="H1011" s="26">
        <v>13.5</v>
      </c>
      <c r="I1011" s="5" t="s">
        <v>28426</v>
      </c>
      <c r="J1011" s="5" t="s">
        <v>28226</v>
      </c>
      <c r="K1011" s="5" t="s">
        <v>344</v>
      </c>
      <c r="L1011" s="5" t="s">
        <v>28427</v>
      </c>
      <c r="M1011" s="27"/>
      <c r="N1011" s="5"/>
      <c r="O1011" s="5" t="str">
        <v>7701840346</v>
      </c>
      <c r="P1011" s="27">
        <v>10000</v>
      </c>
      <c r="Q1011" s="5"/>
      <c r="R1011" s="5"/>
      <c r="S1011" s="5" t="s">
        <v>49195</v>
      </c>
      <c r="T1011" s="28">
        <v>483083000</v>
      </c>
      <c r="U1011" s="28"/>
      <c r="V1011" s="28">
        <v>526471000</v>
      </c>
      <c r="W1011" s="28">
        <v>47000000</v>
      </c>
      <c r="X1011" s="28">
        <v>301579000</v>
      </c>
      <c r="Y1011" s="28">
        <v>1626803000</v>
      </c>
      <c r="Z1011" s="28">
        <v>762812000</v>
      </c>
      <c r="AA1011" s="28"/>
      <c r="AB1011" s="28"/>
      <c r="AC1011" s="28">
        <v>764511000</v>
      </c>
      <c r="AD1011" s="28">
        <v>762822000</v>
      </c>
      <c r="AE1011" s="28">
        <v>4117252000</v>
      </c>
      <c r="AF1011" s="28">
        <v>603794000</v>
      </c>
      <c r="AG1011" s="11"/>
    </row>
    <row r="1012">
      <c r="A1012" s="7" t="s">
        <v>2562</v>
      </c>
      <c r="B1012" s="5" t="s">
        <v>10721</v>
      </c>
      <c r="C1012" s="5" t="s">
        <v>18599</v>
      </c>
      <c r="D1012" s="5"/>
      <c r="E1012" s="0" t="e">
        <f>+7 (3472) 797216
+7 (347) 2694872
+7 (3472) 693359
+7 (3472) 844872
+7 (905) 3509668</f>
        <v>#NAME?</v>
      </c>
      <c r="F1012" s="5" t="s">
        <v>28428</v>
      </c>
      <c r="G1012" s="5" t="s">
        <v>28429</v>
      </c>
      <c r="H1012" s="26">
        <v>17</v>
      </c>
      <c r="I1012" s="5" t="s">
        <v>28430</v>
      </c>
      <c r="J1012" s="5" t="s">
        <v>27802</v>
      </c>
      <c r="K1012" s="5" t="s">
        <v>355</v>
      </c>
      <c r="L1012" s="5"/>
      <c r="M1012" s="27">
        <v>31413241</v>
      </c>
      <c r="N1012" s="5"/>
      <c r="O1012" s="5" t="str">
        <v>0273056757</v>
      </c>
      <c r="P1012" s="27">
        <v>2584356000</v>
      </c>
      <c r="Q1012" s="5" t="s">
        <v>50729</v>
      </c>
      <c r="R1012" s="5" t="s">
        <v>50730</v>
      </c>
      <c r="S1012" s="5" t="s">
        <v>50731</v>
      </c>
      <c r="T1012" s="28">
        <v>4646890000</v>
      </c>
      <c r="U1012" s="28"/>
      <c r="V1012" s="28">
        <v>260818000</v>
      </c>
      <c r="W1012" s="28"/>
      <c r="X1012" s="28">
        <v>12822000</v>
      </c>
      <c r="Y1012" s="28">
        <v>5019605000</v>
      </c>
      <c r="Z1012" s="28">
        <v>1471417000</v>
      </c>
      <c r="AA1012" s="28"/>
      <c r="AB1012" s="28"/>
      <c r="AC1012" s="28">
        <v>388499000</v>
      </c>
      <c r="AD1012" s="28">
        <v>4059612000</v>
      </c>
      <c r="AE1012" s="28">
        <v>4091540000</v>
      </c>
      <c r="AF1012" s="28">
        <v>152824000</v>
      </c>
      <c r="AG1012" s="11"/>
    </row>
    <row r="1013">
      <c r="A1013" s="7" t="s">
        <v>2738</v>
      </c>
      <c r="B1013" s="5" t="s">
        <v>10722</v>
      </c>
      <c r="C1013" s="5" t="s">
        <v>18600</v>
      </c>
      <c r="D1013" s="5" t="str">
        <v>772017766658</v>
      </c>
      <c r="E1013" s="0" t="e">
        <f>+7 (985) 7675958
+7 (495) 4307167
+7 (495) 9898046</f>
        <v>#NAME?</v>
      </c>
      <c r="F1013" s="5" t="s">
        <v>28431</v>
      </c>
      <c r="G1013" s="5"/>
      <c r="H1013" s="26">
        <v>30.5</v>
      </c>
      <c r="I1013" s="5" t="s">
        <v>28432</v>
      </c>
      <c r="J1013" s="5" t="s">
        <v>364</v>
      </c>
      <c r="K1013" s="5" t="s">
        <v>355</v>
      </c>
      <c r="L1013" s="5"/>
      <c r="M1013" s="27">
        <v>57601129</v>
      </c>
      <c r="N1013" s="5" t="s">
        <v>50732</v>
      </c>
      <c r="O1013" s="5" t="str">
        <v>7506000600</v>
      </c>
      <c r="P1013" s="27">
        <v>13200000</v>
      </c>
      <c r="Q1013" s="5" t="s">
        <v>50733</v>
      </c>
      <c r="R1013" s="5"/>
      <c r="S1013" s="5" t="s">
        <v>50734</v>
      </c>
      <c r="T1013" s="28">
        <v>169945000</v>
      </c>
      <c r="U1013" s="28">
        <v>96000</v>
      </c>
      <c r="V1013" s="28">
        <v>23491405000</v>
      </c>
      <c r="W1013" s="28">
        <v>117300000</v>
      </c>
      <c r="X1013" s="28">
        <v>235357000</v>
      </c>
      <c r="Y1013" s="28">
        <v>28107899000</v>
      </c>
      <c r="Z1013" s="28">
        <v>15691000</v>
      </c>
      <c r="AA1013" s="28"/>
      <c r="AB1013" s="28">
        <v>194148000</v>
      </c>
      <c r="AC1013" s="28">
        <v>28062156000</v>
      </c>
      <c r="AD1013" s="28">
        <v>28891000</v>
      </c>
      <c r="AE1013" s="28">
        <v>14145064000</v>
      </c>
      <c r="AF1013" s="28">
        <v>672000</v>
      </c>
      <c r="AG1013" s="11"/>
    </row>
    <row r="1014">
      <c r="A1014" s="7" t="s">
        <v>2739</v>
      </c>
      <c r="B1014" s="5" t="s">
        <v>10723</v>
      </c>
      <c r="C1014" s="5" t="s">
        <v>18601</v>
      </c>
      <c r="D1014" s="5" t="str">
        <v>784302147582</v>
      </c>
      <c r="E1014" s="0" t="e">
        <f>+7 (346) 2540538
+7 (383) 3120311
+7 (383) 3130311
+7 (411) 2219470
+7 (472) 2356437
+7 (494) 2313602
+7 (495) 2287061
+7 (495) 9567937
+7 (343) 3831010
+7 (35324) 20017
+7 (35324) 20053
+7 (383) 2090845
+7 (483) 2367604
+7 (494) 2420435
+7 (494) 2429882</f>
        <v>#NAME?</v>
      </c>
      <c r="F1014" s="5" t="s">
        <v>28433</v>
      </c>
      <c r="G1014" s="5" t="s">
        <v>28434</v>
      </c>
      <c r="H1014" s="26">
        <v>27</v>
      </c>
      <c r="I1014" s="5" t="s">
        <v>28435</v>
      </c>
      <c r="J1014" s="5" t="s">
        <v>25429</v>
      </c>
      <c r="K1014" s="5" t="s">
        <v>344</v>
      </c>
      <c r="L1014" s="5" t="s">
        <v>28436</v>
      </c>
      <c r="M1014" s="27">
        <v>10312865</v>
      </c>
      <c r="N1014" s="5" t="s">
        <v>50735</v>
      </c>
      <c r="O1014" s="5" t="str">
        <v>7810687137</v>
      </c>
      <c r="P1014" s="27">
        <v>10000</v>
      </c>
      <c r="Q1014" s="5" t="s">
        <v>50736</v>
      </c>
      <c r="R1014" s="5"/>
      <c r="S1014" s="5" t="s">
        <v>50737</v>
      </c>
      <c r="T1014" s="28">
        <v>189347000</v>
      </c>
      <c r="U1014" s="28">
        <v>18000</v>
      </c>
      <c r="V1014" s="28">
        <v>10351056000</v>
      </c>
      <c r="W1014" s="28">
        <v>198000000</v>
      </c>
      <c r="X1014" s="28">
        <v>123452000</v>
      </c>
      <c r="Y1014" s="28">
        <v>20055221000</v>
      </c>
      <c r="Z1014" s="28">
        <v>5446779000</v>
      </c>
      <c r="AA1014" s="28">
        <v>238039000</v>
      </c>
      <c r="AB1014" s="28">
        <v>1573993000</v>
      </c>
      <c r="AC1014" s="28">
        <v>14329674000</v>
      </c>
      <c r="AD1014" s="28">
        <v>5487508000</v>
      </c>
      <c r="AE1014" s="28">
        <v>47089614000</v>
      </c>
      <c r="AF1014" s="28">
        <v>1868863000</v>
      </c>
      <c r="AG1014" s="11"/>
    </row>
    <row r="1015">
      <c r="A1015" s="7" t="s">
        <v>2740</v>
      </c>
      <c r="B1015" s="5" t="s">
        <v>10724</v>
      </c>
      <c r="C1015" s="5" t="s">
        <v>18602</v>
      </c>
      <c r="D1015" s="5" t="str">
        <v>781711527325</v>
      </c>
      <c r="E1015" s="0" t="e">
        <f>+7 (812) 6055572
+7 (495) 6055553
+7 (495) 7372777
+7 (800) 1004252
+7 (800) 2002961
+7 (800) 7070772
+7 (812) 6055550
+7 (812) 6055553
+7 (812) 6055590</f>
        <v>#NAME?</v>
      </c>
      <c r="F1015" s="5" t="s">
        <v>28437</v>
      </c>
      <c r="G1015" s="5" t="s">
        <v>28438</v>
      </c>
      <c r="H1015" s="26">
        <v>18</v>
      </c>
      <c r="I1015" s="5" t="s">
        <v>28439</v>
      </c>
      <c r="J1015" s="5" t="s">
        <v>26243</v>
      </c>
      <c r="K1015" s="5" t="s">
        <v>344</v>
      </c>
      <c r="L1015" s="5"/>
      <c r="M1015" s="27">
        <v>1328908</v>
      </c>
      <c r="N1015" s="5"/>
      <c r="O1015" s="5" t="str">
        <v>7819301797</v>
      </c>
      <c r="P1015" s="27">
        <v>3233332128</v>
      </c>
      <c r="Q1015" s="5" t="s">
        <v>49009</v>
      </c>
      <c r="R1015" s="5"/>
      <c r="S1015" s="5" t="s">
        <v>49066</v>
      </c>
      <c r="T1015" s="28">
        <v>8541170000</v>
      </c>
      <c r="U1015" s="28"/>
      <c r="V1015" s="28">
        <v>1232867000</v>
      </c>
      <c r="W1015" s="28">
        <v>816000000</v>
      </c>
      <c r="X1015" s="28">
        <v>4429294000</v>
      </c>
      <c r="Y1015" s="28">
        <v>18575165000</v>
      </c>
      <c r="Z1015" s="28">
        <v>-4945338000</v>
      </c>
      <c r="AA1015" s="28"/>
      <c r="AB1015" s="28">
        <v>8777598000</v>
      </c>
      <c r="AC1015" s="28">
        <v>10795989000</v>
      </c>
      <c r="AD1015" s="28">
        <v>5666086000</v>
      </c>
      <c r="AE1015" s="28">
        <v>19524526000</v>
      </c>
      <c r="AF1015" s="28">
        <v>-1269781000</v>
      </c>
      <c r="AG1015" s="11"/>
    </row>
    <row r="1016">
      <c r="A1016" s="7" t="s">
        <v>2741</v>
      </c>
      <c r="B1016" s="5" t="s">
        <v>10725</v>
      </c>
      <c r="C1016" s="5" t="s">
        <v>18603</v>
      </c>
      <c r="D1016" s="5" t="str">
        <v>781411671783</v>
      </c>
      <c r="E1016" s="0" t="e">
        <f>+7 (812) 4381282
+7 (812) 4381280</f>
        <v>#NAME?</v>
      </c>
      <c r="F1016" s="5"/>
      <c r="G1016" s="5" t="s">
        <v>28440</v>
      </c>
      <c r="H1016" s="26">
        <v>15.5</v>
      </c>
      <c r="I1016" s="5" t="s">
        <v>28441</v>
      </c>
      <c r="J1016" s="5" t="s">
        <v>373</v>
      </c>
      <c r="K1016" s="5" t="s">
        <v>344</v>
      </c>
      <c r="L1016" s="5" t="s">
        <v>28442</v>
      </c>
      <c r="M1016" s="27"/>
      <c r="N1016" s="5" t="s">
        <v>50738</v>
      </c>
      <c r="O1016" s="5" t="str">
        <v>7805441610</v>
      </c>
      <c r="P1016" s="27">
        <v>10000</v>
      </c>
      <c r="Q1016" s="5" t="s">
        <v>50739</v>
      </c>
      <c r="R1016" s="5"/>
      <c r="S1016" s="5" t="s">
        <v>50740</v>
      </c>
      <c r="T1016" s="28">
        <v>9460000</v>
      </c>
      <c r="U1016" s="28"/>
      <c r="V1016" s="28">
        <v>4336802000</v>
      </c>
      <c r="W1016" s="28">
        <v>161331000</v>
      </c>
      <c r="X1016" s="28">
        <v>232103000</v>
      </c>
      <c r="Y1016" s="28">
        <v>6570145000</v>
      </c>
      <c r="Z1016" s="28">
        <v>2562838000</v>
      </c>
      <c r="AA1016" s="28"/>
      <c r="AB1016" s="28">
        <v>2165351000</v>
      </c>
      <c r="AC1016" s="28">
        <v>3995394000</v>
      </c>
      <c r="AD1016" s="28">
        <v>2562848000</v>
      </c>
      <c r="AE1016" s="28">
        <v>44588189000</v>
      </c>
      <c r="AF1016" s="28">
        <v>337264000</v>
      </c>
      <c r="AG1016" s="11"/>
    </row>
    <row r="1017">
      <c r="A1017" s="7" t="s">
        <v>2742</v>
      </c>
      <c r="B1017" s="5" t="s">
        <v>10726</v>
      </c>
      <c r="C1017" s="5" t="s">
        <v>18604</v>
      </c>
      <c r="D1017" s="5" t="str">
        <v>773605331215</v>
      </c>
      <c r="E1017" s="0" t="e">
        <f>+7 (495) 5445136
+7 (903) 1477428</f>
        <v>#NAME?</v>
      </c>
      <c r="F1017" s="5"/>
      <c r="G1017" s="5" t="s">
        <v>28443</v>
      </c>
      <c r="H1017" s="26">
        <v>8</v>
      </c>
      <c r="I1017" s="5" t="s">
        <v>28444</v>
      </c>
      <c r="J1017" s="5" t="s">
        <v>423</v>
      </c>
      <c r="K1017" s="5" t="s">
        <v>344</v>
      </c>
      <c r="L1017" s="5"/>
      <c r="M1017" s="27"/>
      <c r="N1017" s="5"/>
      <c r="O1017" s="5" t="str">
        <v>7726189888</v>
      </c>
      <c r="P1017" s="27">
        <v>41000000</v>
      </c>
      <c r="Q1017" s="5" t="s">
        <v>50741</v>
      </c>
      <c r="R1017" s="5"/>
      <c r="S1017" s="5" t="s">
        <v>49332</v>
      </c>
      <c r="T1017" s="28">
        <v>33357000</v>
      </c>
      <c r="U1017" s="28">
        <v>1500000</v>
      </c>
      <c r="V1017" s="28">
        <v>3182685000</v>
      </c>
      <c r="W1017" s="28">
        <v>33250000</v>
      </c>
      <c r="X1017" s="28">
        <v>710754000</v>
      </c>
      <c r="Y1017" s="28">
        <v>4651329000</v>
      </c>
      <c r="Z1017" s="28">
        <v>234479000</v>
      </c>
      <c r="AA1017" s="28"/>
      <c r="AB1017" s="28">
        <v>543754000</v>
      </c>
      <c r="AC1017" s="28">
        <v>4352115000</v>
      </c>
      <c r="AD1017" s="28">
        <v>275479000</v>
      </c>
      <c r="AE1017" s="28">
        <v>7144353000</v>
      </c>
      <c r="AF1017" s="28">
        <v>34658000</v>
      </c>
      <c r="AG1017" s="11"/>
    </row>
    <row r="1018">
      <c r="A1018" s="7" t="s">
        <v>2742</v>
      </c>
      <c r="B1018" s="5" t="s">
        <v>10727</v>
      </c>
      <c r="C1018" s="5" t="s">
        <v>18605</v>
      </c>
      <c r="D1018" s="5" t="str">
        <v>771470573492</v>
      </c>
      <c r="E1018" s="0" t="e">
        <f>+7 (495) 6458737
+7 (495) 7272777
+7 (499) 6830148</f>
        <v>#NAME?</v>
      </c>
      <c r="F1018" s="5" t="s">
        <v>28445</v>
      </c>
      <c r="G1018" s="5"/>
      <c r="H1018" s="26">
        <v>10</v>
      </c>
      <c r="I1018" s="5" t="s">
        <v>28446</v>
      </c>
      <c r="J1018" s="5" t="s">
        <v>25530</v>
      </c>
      <c r="K1018" s="5" t="s">
        <v>344</v>
      </c>
      <c r="L1018" s="5" t="s">
        <v>28447</v>
      </c>
      <c r="M1018" s="27"/>
      <c r="N1018" s="5"/>
      <c r="O1018" s="5" t="str">
        <v>7713763336</v>
      </c>
      <c r="P1018" s="27">
        <v>90000</v>
      </c>
      <c r="Q1018" s="5" t="s">
        <v>49021</v>
      </c>
      <c r="R1018" s="5"/>
      <c r="S1018" s="5" t="s">
        <v>50742</v>
      </c>
      <c r="T1018" s="28">
        <v>30466000</v>
      </c>
      <c r="U1018" s="28">
        <v>239329000</v>
      </c>
      <c r="V1018" s="28">
        <v>1885883000</v>
      </c>
      <c r="W1018" s="28"/>
      <c r="X1018" s="28">
        <v>21853000</v>
      </c>
      <c r="Y1018" s="28">
        <v>3821469000</v>
      </c>
      <c r="Z1018" s="28">
        <v>2148057000</v>
      </c>
      <c r="AA1018" s="28"/>
      <c r="AB1018" s="28">
        <v>821976000</v>
      </c>
      <c r="AC1018" s="28">
        <v>1651381000</v>
      </c>
      <c r="AD1018" s="28">
        <v>2148147000</v>
      </c>
      <c r="AE1018" s="28">
        <v>5978850000</v>
      </c>
      <c r="AF1018" s="28">
        <v>172755000</v>
      </c>
      <c r="AG1018" s="11"/>
    </row>
    <row r="1019">
      <c r="A1019" s="7" t="s">
        <v>2743</v>
      </c>
      <c r="B1019" s="5" t="s">
        <v>10728</v>
      </c>
      <c r="C1019" s="5" t="s">
        <v>18606</v>
      </c>
      <c r="D1019" s="5" t="str">
        <v>667415992293</v>
      </c>
      <c r="E1019" s="0" t="e">
        <f>+7 (3022) 455404
+7 (391) 2528989
+7 (391) 2529211
+7 (401) 2593164
+7 (41641) 23400
+7 (41641) 23813
+7 (41641) 26910
+7 (421) 2464501
+7 (421) 2464502
+7 (4232) 300495
+7 (4232) 456790
+7 (426) 2222300
+7 (495) 3632600
+7 (495) 3632602
+7 (495) 3632612</f>
        <v>#NAME?</v>
      </c>
      <c r="F1019" s="5" t="s">
        <v>28448</v>
      </c>
      <c r="G1019" s="5"/>
      <c r="H1019" s="26">
        <v>21.5</v>
      </c>
      <c r="I1019" s="5"/>
      <c r="J1019" s="5" t="s">
        <v>1081</v>
      </c>
      <c r="K1019" s="5" t="s">
        <v>344</v>
      </c>
      <c r="L1019" s="5"/>
      <c r="M1019" s="27">
        <v>194794438</v>
      </c>
      <c r="N1019" s="5" t="s">
        <v>50743</v>
      </c>
      <c r="O1019" s="5" t="str">
        <v>7702322731</v>
      </c>
      <c r="P1019" s="27">
        <v>5110000</v>
      </c>
      <c r="Q1019" s="5" t="s">
        <v>50745</v>
      </c>
      <c r="R1019" s="5" t="s">
        <v>50746</v>
      </c>
      <c r="S1019" s="5" t="s">
        <v>50747</v>
      </c>
      <c r="T1019" s="28">
        <v>1833403000</v>
      </c>
      <c r="U1019" s="28">
        <v>7860281000</v>
      </c>
      <c r="V1019" s="28">
        <v>12240084000</v>
      </c>
      <c r="W1019" s="28">
        <v>79035000</v>
      </c>
      <c r="X1019" s="28">
        <v>13694774000</v>
      </c>
      <c r="Y1019" s="28">
        <v>42086114000</v>
      </c>
      <c r="Z1019" s="28">
        <v>-5182750000</v>
      </c>
      <c r="AA1019" s="28">
        <v>16008502000</v>
      </c>
      <c r="AB1019" s="28"/>
      <c r="AC1019" s="28">
        <v>31056543000</v>
      </c>
      <c r="AD1019" s="28">
        <v>-5177355000</v>
      </c>
      <c r="AE1019" s="28">
        <v>22148906000</v>
      </c>
      <c r="AF1019" s="28">
        <v>315706000</v>
      </c>
      <c r="AG1019" s="11"/>
    </row>
    <row r="1020">
      <c r="A1020" s="7" t="s">
        <v>2744</v>
      </c>
      <c r="B1020" s="5" t="s">
        <v>10729</v>
      </c>
      <c r="C1020" s="5" t="s">
        <v>18607</v>
      </c>
      <c r="D1020" s="5" t="str">
        <v>370231289865</v>
      </c>
      <c r="E1020" s="0" t="e">
        <f>+7 (499) 3902126
+7 (915) 2057299</f>
        <v>#NAME?</v>
      </c>
      <c r="F1020" s="5" t="s">
        <v>28449</v>
      </c>
      <c r="G1020" s="5"/>
      <c r="H1020" s="26">
        <v>11.5</v>
      </c>
      <c r="I1020" s="5" t="s">
        <v>28450</v>
      </c>
      <c r="J1020" s="5" t="s">
        <v>28451</v>
      </c>
      <c r="K1020" s="5" t="s">
        <v>355</v>
      </c>
      <c r="L1020" s="5" t="s">
        <v>28452</v>
      </c>
      <c r="M1020" s="27"/>
      <c r="N1020" s="5" t="s">
        <v>50748</v>
      </c>
      <c r="O1020" s="5" t="str">
        <v>5001083545</v>
      </c>
      <c r="P1020" s="27">
        <v>1110000</v>
      </c>
      <c r="Q1020" s="5" t="s">
        <v>50749</v>
      </c>
      <c r="R1020" s="5"/>
      <c r="S1020" s="5" t="s">
        <v>49012</v>
      </c>
      <c r="T1020" s="28"/>
      <c r="U1020" s="28"/>
      <c r="V1020" s="28"/>
      <c r="W1020" s="28"/>
      <c r="X1020" s="28">
        <v>162000</v>
      </c>
      <c r="Y1020" s="28">
        <v>108827000</v>
      </c>
      <c r="Z1020" s="28">
        <v>107717000</v>
      </c>
      <c r="AA1020" s="28"/>
      <c r="AB1020" s="28"/>
      <c r="AC1020" s="28"/>
      <c r="AD1020" s="28">
        <v>108827000</v>
      </c>
      <c r="AE1020" s="28">
        <v>5365109000</v>
      </c>
      <c r="AF1020" s="28">
        <v>60307000</v>
      </c>
      <c r="AG1020" s="11"/>
    </row>
    <row r="1021">
      <c r="A1021" s="7" t="s">
        <v>2745</v>
      </c>
      <c r="B1021" s="5" t="s">
        <v>10730</v>
      </c>
      <c r="C1021" s="5" t="s">
        <v>18608</v>
      </c>
      <c r="D1021" s="5" t="str">
        <v>616601877008</v>
      </c>
      <c r="F1021" s="5"/>
      <c r="G1021" s="5"/>
      <c r="H1021" s="26">
        <v>21</v>
      </c>
      <c r="I1021" s="5" t="s">
        <v>28453</v>
      </c>
      <c r="J1021" s="5" t="s">
        <v>26165</v>
      </c>
      <c r="K1021" s="5" t="s">
        <v>344</v>
      </c>
      <c r="L1021" s="5" t="s">
        <v>28454</v>
      </c>
      <c r="M1021" s="27"/>
      <c r="N1021" s="5"/>
      <c r="O1021" s="5" t="str">
        <v>6164202134</v>
      </c>
      <c r="P1021" s="27">
        <v>10000</v>
      </c>
      <c r="Q1021" s="5"/>
      <c r="R1021" s="5"/>
      <c r="S1021" s="5" t="s">
        <v>49110</v>
      </c>
      <c r="T1021" s="28">
        <v>1030660000</v>
      </c>
      <c r="U1021" s="28"/>
      <c r="V1021" s="28">
        <v>205710000</v>
      </c>
      <c r="W1021" s="28">
        <v>44911000</v>
      </c>
      <c r="X1021" s="28">
        <v>45762000</v>
      </c>
      <c r="Y1021" s="28">
        <v>1909167000</v>
      </c>
      <c r="Z1021" s="28">
        <v>23810000</v>
      </c>
      <c r="AA1021" s="28"/>
      <c r="AB1021" s="28"/>
      <c r="AC1021" s="28">
        <v>889244000</v>
      </c>
      <c r="AD1021" s="28">
        <v>23820000</v>
      </c>
      <c r="AE1021" s="28">
        <v>3899481000</v>
      </c>
      <c r="AF1021" s="28">
        <v>163014000</v>
      </c>
      <c r="AG1021" s="11"/>
    </row>
    <row r="1022">
      <c r="A1022" s="7" t="s">
        <v>2746</v>
      </c>
      <c r="B1022" s="5" t="s">
        <v>10731</v>
      </c>
      <c r="C1022" s="5" t="s">
        <v>18609</v>
      </c>
      <c r="D1022" s="5" t="str">
        <v>780601480640</v>
      </c>
      <c r="E1022" s="0" t="e">
        <f>+7 (812) 3352204
+7 (812) 3552240
+7 (950) 115677
+7 (812) 1106503
+7 (812) 2959803
+7 (812) 3352240</f>
        <v>#NAME?</v>
      </c>
      <c r="F1022" s="5" t="s">
        <v>28455</v>
      </c>
      <c r="G1022" s="5"/>
      <c r="H1022" s="26">
        <v>25</v>
      </c>
      <c r="I1022" s="5"/>
      <c r="J1022" s="5" t="s">
        <v>467</v>
      </c>
      <c r="K1022" s="5" t="s">
        <v>344</v>
      </c>
      <c r="L1022" s="5"/>
      <c r="M1022" s="27"/>
      <c r="N1022" s="5" t="s">
        <v>50750</v>
      </c>
      <c r="O1022" s="5" t="str">
        <v>7816124109</v>
      </c>
      <c r="P1022" s="27">
        <v>8400</v>
      </c>
      <c r="Q1022" s="5" t="s">
        <v>50751</v>
      </c>
      <c r="R1022" s="5" t="s">
        <v>50752</v>
      </c>
      <c r="S1022" s="5" t="s">
        <v>50753</v>
      </c>
      <c r="T1022" s="28">
        <v>14805000</v>
      </c>
      <c r="U1022" s="28"/>
      <c r="V1022" s="28">
        <v>4620691000</v>
      </c>
      <c r="W1022" s="28">
        <v>251830000</v>
      </c>
      <c r="X1022" s="28">
        <v>835768000</v>
      </c>
      <c r="Y1022" s="28">
        <v>6138207000</v>
      </c>
      <c r="Z1022" s="28">
        <v>68324000</v>
      </c>
      <c r="AA1022" s="28">
        <v>3780494000</v>
      </c>
      <c r="AB1022" s="28">
        <v>517246000</v>
      </c>
      <c r="AC1022" s="28">
        <v>2084679000</v>
      </c>
      <c r="AD1022" s="28">
        <v>171126000</v>
      </c>
      <c r="AE1022" s="28">
        <v>4282072000</v>
      </c>
      <c r="AF1022" s="28">
        <v>1976000</v>
      </c>
      <c r="AG1022" s="11"/>
    </row>
    <row r="1023">
      <c r="A1023" s="7" t="s">
        <v>2747</v>
      </c>
      <c r="B1023" s="5" t="s">
        <v>10732</v>
      </c>
      <c r="C1023" s="5" t="s">
        <v>18610</v>
      </c>
      <c r="D1023" s="5" t="str">
        <v>580200319279</v>
      </c>
      <c r="E1023" s="0" t="e">
        <f>+7 (84374) 31258
+7 (84374) 31661
+7 (937) 7791292</f>
        <v>#NAME?</v>
      </c>
      <c r="F1023" s="5" t="s">
        <v>28456</v>
      </c>
      <c r="G1023" s="5"/>
      <c r="H1023" s="26">
        <v>9.5</v>
      </c>
      <c r="I1023" s="5" t="s">
        <v>28457</v>
      </c>
      <c r="J1023" s="5" t="s">
        <v>25994</v>
      </c>
      <c r="K1023" s="5" t="s">
        <v>344</v>
      </c>
      <c r="L1023" s="5" t="s">
        <v>28458</v>
      </c>
      <c r="M1023" s="27"/>
      <c r="N1023" s="5" t="s">
        <v>50754</v>
      </c>
      <c r="O1023" s="5" t="str">
        <v>1614011790</v>
      </c>
      <c r="P1023" s="27">
        <v>2235805233</v>
      </c>
      <c r="Q1023" s="5" t="s">
        <v>50755</v>
      </c>
      <c r="R1023" s="5"/>
      <c r="S1023" s="5" t="s">
        <v>49747</v>
      </c>
      <c r="T1023" s="28">
        <v>2520028000</v>
      </c>
      <c r="U1023" s="28">
        <v>877085000</v>
      </c>
      <c r="V1023" s="28">
        <v>2269549000</v>
      </c>
      <c r="W1023" s="28">
        <v>360724000</v>
      </c>
      <c r="X1023" s="28">
        <v>1376000</v>
      </c>
      <c r="Y1023" s="28">
        <v>6946213000</v>
      </c>
      <c r="Z1023" s="28">
        <v>819464000</v>
      </c>
      <c r="AA1023" s="28">
        <v>2687754000</v>
      </c>
      <c r="AB1023" s="28">
        <v>209658000</v>
      </c>
      <c r="AC1023" s="28">
        <v>742021000</v>
      </c>
      <c r="AD1023" s="28">
        <v>3288620000</v>
      </c>
      <c r="AE1023" s="28">
        <v>4186693000</v>
      </c>
      <c r="AF1023" s="28">
        <v>102774000</v>
      </c>
      <c r="AG1023" s="11"/>
    </row>
    <row r="1024">
      <c r="A1024" s="7" t="s">
        <v>2748</v>
      </c>
      <c r="B1024" s="5" t="s">
        <v>10733</v>
      </c>
      <c r="C1024" s="5" t="s">
        <v>18611</v>
      </c>
      <c r="D1024" s="5" t="str">
        <v>544590931045</v>
      </c>
      <c r="E1024" s="0" t="e">
        <f>+7 (831) 2825865
+7 (831) 2160364
+7 (831) 2653990
+7 (831) 2825860
+7 (831) 4169992
+7 (910) 7938276
+7 (951) 9044666</f>
        <v>#NAME?</v>
      </c>
      <c r="F1024" s="5" t="s">
        <v>28459</v>
      </c>
      <c r="G1024" s="5" t="s">
        <v>28460</v>
      </c>
      <c r="H1024" s="26">
        <v>15</v>
      </c>
      <c r="I1024" s="5" t="s">
        <v>28461</v>
      </c>
      <c r="J1024" s="5" t="s">
        <v>25429</v>
      </c>
      <c r="K1024" s="5" t="s">
        <v>344</v>
      </c>
      <c r="L1024" s="5" t="s">
        <v>28462</v>
      </c>
      <c r="M1024" s="27"/>
      <c r="N1024" s="5" t="s">
        <v>50756</v>
      </c>
      <c r="O1024" s="5" t="str">
        <v>5262220877</v>
      </c>
      <c r="P1024" s="27">
        <v>29380000</v>
      </c>
      <c r="Q1024" s="5" t="s">
        <v>49009</v>
      </c>
      <c r="R1024" s="5"/>
      <c r="S1024" s="5" t="s">
        <v>49256</v>
      </c>
      <c r="T1024" s="28">
        <v>10910000</v>
      </c>
      <c r="U1024" s="28"/>
      <c r="V1024" s="28">
        <v>975253000</v>
      </c>
      <c r="W1024" s="28">
        <v>28420000</v>
      </c>
      <c r="X1024" s="28">
        <v>64347000</v>
      </c>
      <c r="Y1024" s="28">
        <v>1323763000</v>
      </c>
      <c r="Z1024" s="28">
        <v>298434000</v>
      </c>
      <c r="AA1024" s="28">
        <v>3802000</v>
      </c>
      <c r="AB1024" s="28">
        <v>196543000</v>
      </c>
      <c r="AC1024" s="28">
        <v>991886000</v>
      </c>
      <c r="AD1024" s="28">
        <v>327814000</v>
      </c>
      <c r="AE1024" s="28">
        <v>3149829000</v>
      </c>
      <c r="AF1024" s="28">
        <v>107348000</v>
      </c>
      <c r="AG1024" s="11"/>
    </row>
    <row r="1025">
      <c r="A1025" s="7" t="s">
        <v>2749</v>
      </c>
      <c r="B1025" s="5" t="s">
        <v>10734</v>
      </c>
      <c r="C1025" s="5" t="s">
        <v>18612</v>
      </c>
      <c r="D1025" s="5" t="str">
        <v>773720051336</v>
      </c>
      <c r="E1025" s="0" t="e">
        <f>+7 (800) 2500618
+7 (812) 3465327
+7 (812) 6010601
+7 (812) 6010618</f>
        <v>#NAME?</v>
      </c>
      <c r="F1025" s="5" t="s">
        <v>28463</v>
      </c>
      <c r="G1025" s="5"/>
      <c r="H1025" s="26">
        <v>9.5</v>
      </c>
      <c r="I1025" s="5" t="s">
        <v>28464</v>
      </c>
      <c r="J1025" s="5" t="s">
        <v>28465</v>
      </c>
      <c r="K1025" s="5" t="s">
        <v>355</v>
      </c>
      <c r="L1025" s="5" t="s">
        <v>28466</v>
      </c>
      <c r="M1025" s="27"/>
      <c r="N1025" s="5"/>
      <c r="O1025" s="5" t="str">
        <v>7811552125</v>
      </c>
      <c r="P1025" s="27">
        <v>10000</v>
      </c>
      <c r="Q1025" s="5" t="s">
        <v>49009</v>
      </c>
      <c r="R1025" s="5"/>
      <c r="S1025" s="5" t="s">
        <v>49045</v>
      </c>
      <c r="T1025" s="28">
        <v>1135811000</v>
      </c>
      <c r="U1025" s="28"/>
      <c r="V1025" s="28">
        <v>181435000</v>
      </c>
      <c r="W1025" s="28">
        <v>110000000</v>
      </c>
      <c r="X1025" s="28">
        <v>71577000</v>
      </c>
      <c r="Y1025" s="28">
        <v>3025231000</v>
      </c>
      <c r="Z1025" s="28">
        <v>63831000</v>
      </c>
      <c r="AA1025" s="28"/>
      <c r="AB1025" s="28">
        <v>396661000</v>
      </c>
      <c r="AC1025" s="28">
        <v>1565466000</v>
      </c>
      <c r="AD1025" s="28">
        <v>63841000</v>
      </c>
      <c r="AE1025" s="28">
        <v>3950065000</v>
      </c>
      <c r="AF1025" s="28">
        <v>59427000</v>
      </c>
      <c r="AG1025" s="11"/>
    </row>
    <row r="1026">
      <c r="A1026" s="7" t="s">
        <v>2750</v>
      </c>
      <c r="B1026" s="5" t="s">
        <v>10735</v>
      </c>
      <c r="C1026" s="5" t="s">
        <v>18613</v>
      </c>
      <c r="D1026" s="5" t="str">
        <v>212401431419</v>
      </c>
      <c r="E1026" s="0" t="e">
        <f>+7 (8352) 633614
+7 (8352) 230751
+7 (8352) 635408
+7 (8352) 230750
+7 (8352) 230757
+7 (8352) 630749
+7 (8352) 630805
+7 (8352) 635318
+7 (8352) 635403</f>
        <v>#NAME?</v>
      </c>
      <c r="F1026" s="5" t="s">
        <v>28467</v>
      </c>
      <c r="G1026" s="5" t="s">
        <v>28468</v>
      </c>
      <c r="H1026" s="26">
        <v>30</v>
      </c>
      <c r="I1026" s="5"/>
      <c r="J1026" s="5" t="s">
        <v>26962</v>
      </c>
      <c r="K1026" s="5" t="s">
        <v>344</v>
      </c>
      <c r="L1026" s="5"/>
      <c r="M1026" s="27"/>
      <c r="N1026" s="5" t="s">
        <v>50757</v>
      </c>
      <c r="O1026" s="5" t="str">
        <v>2127009390</v>
      </c>
      <c r="P1026" s="27">
        <v>4770000</v>
      </c>
      <c r="Q1026" s="5"/>
      <c r="R1026" s="5"/>
      <c r="S1026" s="5" t="s">
        <v>49029</v>
      </c>
      <c r="T1026" s="28">
        <v>2277186000</v>
      </c>
      <c r="U1026" s="28">
        <v>3000</v>
      </c>
      <c r="V1026" s="28">
        <v>1155601000</v>
      </c>
      <c r="W1026" s="28">
        <v>283779000</v>
      </c>
      <c r="X1026" s="28">
        <v>16114000</v>
      </c>
      <c r="Y1026" s="28">
        <v>4305565000</v>
      </c>
      <c r="Z1026" s="28">
        <v>1741792000</v>
      </c>
      <c r="AA1026" s="28">
        <v>1382573000</v>
      </c>
      <c r="AB1026" s="28">
        <v>385546000</v>
      </c>
      <c r="AC1026" s="28">
        <v>853500000</v>
      </c>
      <c r="AD1026" s="28">
        <v>1771929000</v>
      </c>
      <c r="AE1026" s="28">
        <v>3168023000</v>
      </c>
      <c r="AF1026" s="28">
        <v>81966000</v>
      </c>
      <c r="AG1026" s="11"/>
    </row>
    <row r="1027">
      <c r="A1027" s="7" t="s">
        <v>2751</v>
      </c>
      <c r="B1027" s="5" t="s">
        <v>10736</v>
      </c>
      <c r="C1027" s="5" t="s">
        <v>18614</v>
      </c>
      <c r="D1027" s="5" t="str">
        <v>770103432831</v>
      </c>
      <c r="E1027" s="0" t="e">
        <f>+7 (495) 6342390
+7 (495) 4191390
+7 (915) 4479280</f>
        <v>#NAME?</v>
      </c>
      <c r="F1027" s="5" t="s">
        <v>28469</v>
      </c>
      <c r="G1027" s="5" t="s">
        <v>28470</v>
      </c>
      <c r="H1027" s="26">
        <v>8</v>
      </c>
      <c r="I1027" s="5" t="s">
        <v>28471</v>
      </c>
      <c r="J1027" s="5" t="s">
        <v>641</v>
      </c>
      <c r="K1027" s="5" t="s">
        <v>344</v>
      </c>
      <c r="L1027" s="5" t="s">
        <v>28472</v>
      </c>
      <c r="M1027" s="27">
        <v>4058242</v>
      </c>
      <c r="N1027" s="5" t="s">
        <v>50758</v>
      </c>
      <c r="O1027" s="5" t="str">
        <v>7724309893</v>
      </c>
      <c r="P1027" s="27">
        <v>100000</v>
      </c>
      <c r="Q1027" s="5" t="s">
        <v>50759</v>
      </c>
      <c r="R1027" s="5"/>
      <c r="S1027" s="5" t="s">
        <v>50760</v>
      </c>
      <c r="T1027" s="28">
        <v>43465000</v>
      </c>
      <c r="U1027" s="28">
        <v>3351000</v>
      </c>
      <c r="V1027" s="28">
        <v>1766338000</v>
      </c>
      <c r="W1027" s="28"/>
      <c r="X1027" s="28">
        <v>3060416000</v>
      </c>
      <c r="Y1027" s="28">
        <v>7371400000</v>
      </c>
      <c r="Z1027" s="28">
        <v>494273000</v>
      </c>
      <c r="AA1027" s="28"/>
      <c r="AB1027" s="28">
        <v>3430514000</v>
      </c>
      <c r="AC1027" s="28">
        <v>6388428000</v>
      </c>
      <c r="AD1027" s="28">
        <v>501373000</v>
      </c>
      <c r="AE1027" s="28">
        <v>10156954000</v>
      </c>
      <c r="AF1027" s="28">
        <v>107851000</v>
      </c>
      <c r="AG1027" s="11"/>
    </row>
    <row r="1028">
      <c r="A1028" s="7" t="s">
        <v>2752</v>
      </c>
      <c r="B1028" s="5" t="s">
        <v>10737</v>
      </c>
      <c r="C1028" s="5" t="s">
        <v>18615</v>
      </c>
      <c r="D1028" s="5" t="str">
        <v>519100677709</v>
      </c>
      <c r="E1028" s="0" t="e">
        <f>+7 (474) 2555888</f>
        <v>#NAME?</v>
      </c>
      <c r="F1028" s="5" t="s">
        <v>28473</v>
      </c>
      <c r="G1028" s="5"/>
      <c r="H1028" s="26">
        <v>19.5</v>
      </c>
      <c r="I1028" s="5" t="s">
        <v>28474</v>
      </c>
      <c r="J1028" s="5" t="s">
        <v>26148</v>
      </c>
      <c r="K1028" s="5" t="s">
        <v>355</v>
      </c>
      <c r="L1028" s="5" t="s">
        <v>28475</v>
      </c>
      <c r="M1028" s="27"/>
      <c r="N1028" s="5"/>
      <c r="O1028" s="5" t="str">
        <v>4825036196</v>
      </c>
      <c r="P1028" s="27">
        <v>100000000</v>
      </c>
      <c r="Q1028" s="5" t="s">
        <v>50761</v>
      </c>
      <c r="R1028" s="5"/>
      <c r="S1028" s="5" t="s">
        <v>49093</v>
      </c>
      <c r="T1028" s="28">
        <v>5416307000</v>
      </c>
      <c r="U1028" s="28"/>
      <c r="V1028" s="28">
        <v>1509243000</v>
      </c>
      <c r="W1028" s="28"/>
      <c r="X1028" s="28">
        <v>16423000</v>
      </c>
      <c r="Y1028" s="28">
        <v>7268064000</v>
      </c>
      <c r="Z1028" s="28">
        <v>3170686000</v>
      </c>
      <c r="AA1028" s="28">
        <v>142200000</v>
      </c>
      <c r="AB1028" s="28"/>
      <c r="AC1028" s="28">
        <v>3734387000</v>
      </c>
      <c r="AD1028" s="28">
        <v>3270686000</v>
      </c>
      <c r="AE1028" s="28">
        <v>8213595000</v>
      </c>
      <c r="AF1028" s="28">
        <v>773119000</v>
      </c>
      <c r="AG1028" s="11"/>
    </row>
    <row r="1029">
      <c r="A1029" s="7" t="s">
        <v>2753</v>
      </c>
      <c r="B1029" s="5" t="s">
        <v>10738</v>
      </c>
      <c r="C1029" s="5" t="s">
        <v>18616</v>
      </c>
      <c r="D1029" s="5" t="str">
        <v>370214321484</v>
      </c>
      <c r="E1029" s="0" t="e">
        <f>+7 (3422) 127223
+7 (3422) 128613</f>
        <v>#NAME?</v>
      </c>
      <c r="F1029" s="5" t="s">
        <v>28476</v>
      </c>
      <c r="G1029" s="5" t="s">
        <v>28477</v>
      </c>
      <c r="H1029" s="26">
        <v>10</v>
      </c>
      <c r="I1029" s="5" t="s">
        <v>28478</v>
      </c>
      <c r="J1029" s="5" t="s">
        <v>26828</v>
      </c>
      <c r="K1029" s="5" t="s">
        <v>344</v>
      </c>
      <c r="L1029" s="5" t="s">
        <v>28479</v>
      </c>
      <c r="M1029" s="27"/>
      <c r="N1029" s="5"/>
      <c r="O1029" s="5" t="str">
        <v>5903103750</v>
      </c>
      <c r="P1029" s="27">
        <v>500000</v>
      </c>
      <c r="Q1029" s="5" t="s">
        <v>50762</v>
      </c>
      <c r="R1029" s="5"/>
      <c r="S1029" s="5" t="s">
        <v>50763</v>
      </c>
      <c r="T1029" s="28">
        <v>42901000</v>
      </c>
      <c r="U1029" s="28"/>
      <c r="V1029" s="28">
        <v>419327000</v>
      </c>
      <c r="W1029" s="28">
        <v>4537000</v>
      </c>
      <c r="X1029" s="28">
        <v>16064000</v>
      </c>
      <c r="Y1029" s="28">
        <v>521324000</v>
      </c>
      <c r="Z1029" s="28">
        <v>295757000</v>
      </c>
      <c r="AA1029" s="28">
        <v>54763000</v>
      </c>
      <c r="AB1029" s="28">
        <v>1431000</v>
      </c>
      <c r="AC1029" s="28">
        <v>134973000</v>
      </c>
      <c r="AD1029" s="28">
        <v>296257000</v>
      </c>
      <c r="AE1029" s="28">
        <v>4795173000</v>
      </c>
      <c r="AF1029" s="28">
        <v>115468000</v>
      </c>
      <c r="AG1029" s="11"/>
    </row>
    <row r="1030">
      <c r="A1030" s="7" t="s">
        <v>2754</v>
      </c>
      <c r="B1030" s="5" t="s">
        <v>10739</v>
      </c>
      <c r="C1030" s="5" t="s">
        <v>18617</v>
      </c>
      <c r="D1030" s="5" t="str">
        <v>166011977110</v>
      </c>
      <c r="E1030" s="0" t="e">
        <f>+7 (843) 2968905</f>
        <v>#NAME?</v>
      </c>
      <c r="F1030" s="5"/>
      <c r="G1030" s="5" t="s">
        <v>28480</v>
      </c>
      <c r="H1030" s="26">
        <v>16</v>
      </c>
      <c r="I1030" s="5" t="s">
        <v>28481</v>
      </c>
      <c r="J1030" s="5" t="s">
        <v>26992</v>
      </c>
      <c r="K1030" s="5" t="s">
        <v>344</v>
      </c>
      <c r="L1030" s="5" t="s">
        <v>28482</v>
      </c>
      <c r="M1030" s="27"/>
      <c r="N1030" s="5" t="s">
        <v>50764</v>
      </c>
      <c r="O1030" s="5" t="str">
        <v>1655133885</v>
      </c>
      <c r="P1030" s="27">
        <v>10000</v>
      </c>
      <c r="Q1030" s="5" t="s">
        <v>50765</v>
      </c>
      <c r="R1030" s="5"/>
      <c r="S1030" s="5" t="s">
        <v>50766</v>
      </c>
      <c r="T1030" s="28">
        <v>43768000</v>
      </c>
      <c r="U1030" s="28"/>
      <c r="V1030" s="28">
        <v>221588000</v>
      </c>
      <c r="W1030" s="28"/>
      <c r="X1030" s="28">
        <v>247000</v>
      </c>
      <c r="Y1030" s="28">
        <v>312758000</v>
      </c>
      <c r="Z1030" s="28">
        <v>143519000</v>
      </c>
      <c r="AA1030" s="28">
        <v>50000000</v>
      </c>
      <c r="AB1030" s="28">
        <v>70000000</v>
      </c>
      <c r="AC1030" s="28">
        <v>115558000</v>
      </c>
      <c r="AD1030" s="28">
        <v>143529000</v>
      </c>
      <c r="AE1030" s="28">
        <v>3182198000</v>
      </c>
      <c r="AF1030" s="28">
        <v>19932000</v>
      </c>
      <c r="AG1030" s="11"/>
    </row>
    <row r="1031">
      <c r="A1031" s="7" t="s">
        <v>2755</v>
      </c>
      <c r="B1031" s="5" t="s">
        <v>10740</v>
      </c>
      <c r="C1031" s="5" t="s">
        <v>18618</v>
      </c>
      <c r="D1031" s="5" t="str">
        <v>420538012430</v>
      </c>
      <c r="E1031" s="0" t="e">
        <f>+7 (424) 2556789
+7 (42432) 38118
+7 (42432) 38148
+7 (42432) 38350
+7 (42432) 38396
+7 (42432) 38476
+7 (42432) 38503
+7 (42432) 42324</f>
        <v>#NAME?</v>
      </c>
      <c r="F1031" s="5"/>
      <c r="G1031" s="5"/>
      <c r="H1031" s="26">
        <v>24</v>
      </c>
      <c r="I1031" s="5" t="s">
        <v>28483</v>
      </c>
      <c r="J1031" s="5" t="s">
        <v>28484</v>
      </c>
      <c r="K1031" s="5" t="s">
        <v>380</v>
      </c>
      <c r="L1031" s="5" t="s">
        <v>28485</v>
      </c>
      <c r="M1031" s="27"/>
      <c r="N1031" s="5"/>
      <c r="O1031" s="5" t="str">
        <v>6508008995</v>
      </c>
      <c r="P1031" s="27">
        <v>10000</v>
      </c>
      <c r="Q1031" s="5" t="s">
        <v>49009</v>
      </c>
      <c r="R1031" s="5"/>
      <c r="S1031" s="5" t="s">
        <v>49175</v>
      </c>
      <c r="T1031" s="28">
        <v>1783843000</v>
      </c>
      <c r="U1031" s="28"/>
      <c r="V1031" s="28">
        <v>2160235000</v>
      </c>
      <c r="W1031" s="28">
        <v>3063000</v>
      </c>
      <c r="X1031" s="28">
        <v>46920000</v>
      </c>
      <c r="Y1031" s="28">
        <v>4965474000</v>
      </c>
      <c r="Z1031" s="28">
        <v>997110000</v>
      </c>
      <c r="AA1031" s="28">
        <v>94655000</v>
      </c>
      <c r="AB1031" s="28">
        <v>416550000</v>
      </c>
      <c r="AC1031" s="28">
        <v>1987039000</v>
      </c>
      <c r="AD1031" s="28">
        <v>2443352000</v>
      </c>
      <c r="AE1031" s="28">
        <v>4443810000</v>
      </c>
      <c r="AF1031" s="28">
        <v>397750000</v>
      </c>
      <c r="AG1031" s="11"/>
    </row>
    <row r="1032">
      <c r="A1032" s="7" t="s">
        <v>2756</v>
      </c>
      <c r="B1032" s="5" t="s">
        <v>10741</v>
      </c>
      <c r="C1032" s="5" t="s">
        <v>18619</v>
      </c>
      <c r="D1032" s="5" t="str">
        <v>771530630839</v>
      </c>
      <c r="E1032" s="0" t="e">
        <f>+7 (495) 5445000
+7 (800) 3333236</f>
        <v>#NAME?</v>
      </c>
      <c r="F1032" s="5" t="s">
        <v>28486</v>
      </c>
      <c r="G1032" s="5"/>
      <c r="H1032" s="26">
        <v>14</v>
      </c>
      <c r="I1032" s="5" t="s">
        <v>28487</v>
      </c>
      <c r="J1032" s="5" t="s">
        <v>26308</v>
      </c>
      <c r="K1032" s="5" t="s">
        <v>380</v>
      </c>
      <c r="L1032" s="5"/>
      <c r="M1032" s="27">
        <v>47371874</v>
      </c>
      <c r="N1032" s="5" t="s">
        <v>50767</v>
      </c>
      <c r="O1032" s="5" t="str">
        <v>7719723690</v>
      </c>
      <c r="P1032" s="27">
        <v>1006248800</v>
      </c>
      <c r="Q1032" s="5" t="s">
        <v>49009</v>
      </c>
      <c r="R1032" s="5" t="s">
        <v>50768</v>
      </c>
      <c r="S1032" s="5" t="s">
        <v>49120</v>
      </c>
      <c r="T1032" s="28">
        <v>33342958000</v>
      </c>
      <c r="U1032" s="28">
        <v>1350878000</v>
      </c>
      <c r="V1032" s="28">
        <v>6115063000</v>
      </c>
      <c r="W1032" s="28"/>
      <c r="X1032" s="28">
        <v>1261216000</v>
      </c>
      <c r="Y1032" s="28">
        <v>46618498000</v>
      </c>
      <c r="Z1032" s="28">
        <v>-6015870000</v>
      </c>
      <c r="AA1032" s="28">
        <v>7588077000</v>
      </c>
      <c r="AB1032" s="28">
        <v>8704777000</v>
      </c>
      <c r="AC1032" s="28">
        <v>18197343000</v>
      </c>
      <c r="AD1032" s="28">
        <v>5905151000</v>
      </c>
      <c r="AE1032" s="28">
        <v>68805048000</v>
      </c>
      <c r="AF1032" s="28">
        <v>2422422000</v>
      </c>
      <c r="AG1032" s="11"/>
    </row>
    <row r="1033">
      <c r="A1033" s="7" t="s">
        <v>2757</v>
      </c>
      <c r="B1033" s="5" t="s">
        <v>10742</v>
      </c>
      <c r="C1033" s="5" t="s">
        <v>18620</v>
      </c>
      <c r="D1033" s="5" t="str">
        <v>025403913206</v>
      </c>
      <c r="E1033" s="0" t="e">
        <f>+7 (937) 3380021
+7 (34758) 21945
+7 (34758) 31008
+7 (34758) 31100
+7 (34758) 31406
+7 (34758) 31408</f>
        <v>#NAME?</v>
      </c>
      <c r="F1033" s="5" t="s">
        <v>28488</v>
      </c>
      <c r="G1033" s="5" t="s">
        <v>28489</v>
      </c>
      <c r="H1033" s="26">
        <v>28</v>
      </c>
      <c r="I1033" s="5" t="s">
        <v>28490</v>
      </c>
      <c r="J1033" s="5" t="s">
        <v>27791</v>
      </c>
      <c r="K1033" s="5" t="s">
        <v>344</v>
      </c>
      <c r="L1033" s="5" t="s">
        <v>28491</v>
      </c>
      <c r="M1033" s="27">
        <v>4490000</v>
      </c>
      <c r="N1033" s="5" t="s">
        <v>50769</v>
      </c>
      <c r="O1033" s="5" t="str">
        <v>0248002003</v>
      </c>
      <c r="P1033" s="27">
        <v>1916162</v>
      </c>
      <c r="Q1033" s="5"/>
      <c r="R1033" s="5"/>
      <c r="S1033" s="5" t="s">
        <v>50404</v>
      </c>
      <c r="T1033" s="28">
        <v>2970975000</v>
      </c>
      <c r="U1033" s="28">
        <v>21849000</v>
      </c>
      <c r="V1033" s="28">
        <v>1800096000</v>
      </c>
      <c r="W1033" s="28">
        <v>4836000</v>
      </c>
      <c r="X1033" s="28">
        <v>17442000</v>
      </c>
      <c r="Y1033" s="28">
        <v>5347064000</v>
      </c>
      <c r="Z1033" s="28">
        <v>4787233000</v>
      </c>
      <c r="AA1033" s="28"/>
      <c r="AB1033" s="28"/>
      <c r="AC1033" s="28">
        <v>346228000</v>
      </c>
      <c r="AD1033" s="28">
        <v>4790640000</v>
      </c>
      <c r="AE1033" s="28">
        <v>3633777000</v>
      </c>
      <c r="AF1033" s="28">
        <v>718414000</v>
      </c>
      <c r="AG1033" s="11"/>
    </row>
    <row r="1034">
      <c r="A1034" s="7" t="s">
        <v>2758</v>
      </c>
      <c r="B1034" s="5" t="s">
        <v>10743</v>
      </c>
      <c r="C1034" s="5" t="s">
        <v>18621</v>
      </c>
      <c r="D1034" s="5" t="str">
        <v>027702649909</v>
      </c>
      <c r="E1034" s="0" t="e">
        <f>+7 (3472) 433312
+7 (3472) 433353
+7 (3472) 433500
+7 (3472) 433514
+7 (3472) 460872
+7 (3472) 608682
+7 (3472) 608790
+7 (3472) 609497
+7 (3472) 609498
+7 (3472) 644385
+7 (3472) 912532
+7 (3472) 912539</f>
        <v>#NAME?</v>
      </c>
      <c r="F1034" s="5" t="s">
        <v>28492</v>
      </c>
      <c r="G1034" s="5" t="s">
        <v>28493</v>
      </c>
      <c r="H1034" s="26">
        <v>23.5</v>
      </c>
      <c r="I1034" s="5" t="s">
        <v>28494</v>
      </c>
      <c r="J1034" s="5" t="s">
        <v>28226</v>
      </c>
      <c r="K1034" s="5" t="s">
        <v>344</v>
      </c>
      <c r="L1034" s="5" t="s">
        <v>28495</v>
      </c>
      <c r="M1034" s="27"/>
      <c r="N1034" s="5" t="s">
        <v>50770</v>
      </c>
      <c r="O1034" s="5" t="str">
        <v>0272010012</v>
      </c>
      <c r="P1034" s="27">
        <v>200000</v>
      </c>
      <c r="Q1034" s="5" t="s">
        <v>50772</v>
      </c>
      <c r="R1034" s="5"/>
      <c r="S1034" s="5" t="s">
        <v>50773</v>
      </c>
      <c r="T1034" s="28">
        <v>2081976000</v>
      </c>
      <c r="U1034" s="28">
        <v>41166000</v>
      </c>
      <c r="V1034" s="28">
        <v>2276861000</v>
      </c>
      <c r="W1034" s="28">
        <v>1203000</v>
      </c>
      <c r="X1034" s="28">
        <v>530251000</v>
      </c>
      <c r="Y1034" s="28">
        <v>11532569000</v>
      </c>
      <c r="Z1034" s="28">
        <v>6335290000</v>
      </c>
      <c r="AA1034" s="28"/>
      <c r="AB1034" s="28">
        <v>1064165000</v>
      </c>
      <c r="AC1034" s="28">
        <v>2516500000</v>
      </c>
      <c r="AD1034" s="28">
        <v>6335491000</v>
      </c>
      <c r="AE1034" s="28">
        <v>7674604000</v>
      </c>
      <c r="AF1034" s="28">
        <v>1021709000</v>
      </c>
      <c r="AG1034" s="11"/>
    </row>
    <row r="1035">
      <c r="A1035" s="7" t="s">
        <v>2759</v>
      </c>
      <c r="B1035" s="5" t="s">
        <v>10744</v>
      </c>
      <c r="C1035" s="5" t="s">
        <v>18622</v>
      </c>
      <c r="D1035" s="5" t="str">
        <v>771563135036</v>
      </c>
      <c r="E1035" s="0" t="e">
        <f>+7 (821) 4426456
+7 (82144) 26549
+7 (3466) 292550
+7 (495) 7558300
+7 (82144) 26547
+7 (82144) 54800
+7 (82144) 54801
+7 (82144) 54802
+7 (82144) 54803
+7 (912) 8677460</f>
        <v>#NAME?</v>
      </c>
      <c r="F1035" s="5" t="s">
        <v>28496</v>
      </c>
      <c r="G1035" s="5" t="s">
        <v>28497</v>
      </c>
      <c r="H1035" s="26">
        <v>22.5</v>
      </c>
      <c r="I1035" s="5" t="s">
        <v>28498</v>
      </c>
      <c r="J1035" s="5" t="s">
        <v>28226</v>
      </c>
      <c r="K1035" s="5" t="s">
        <v>344</v>
      </c>
      <c r="L1035" s="5" t="s">
        <v>28499</v>
      </c>
      <c r="M1035" s="27">
        <v>2443517</v>
      </c>
      <c r="N1035" s="5"/>
      <c r="O1035" s="5" t="str">
        <v>1106013435</v>
      </c>
      <c r="P1035" s="27">
        <v>100000</v>
      </c>
      <c r="Q1035" s="5" t="s">
        <v>49059</v>
      </c>
      <c r="R1035" s="5"/>
      <c r="S1035" s="5" t="s">
        <v>50774</v>
      </c>
      <c r="T1035" s="28">
        <v>627353000</v>
      </c>
      <c r="U1035" s="28"/>
      <c r="V1035" s="28">
        <v>8516237000</v>
      </c>
      <c r="W1035" s="28">
        <v>397378000</v>
      </c>
      <c r="X1035" s="28">
        <v>6543044000</v>
      </c>
      <c r="Y1035" s="28">
        <v>19483990000</v>
      </c>
      <c r="Z1035" s="28">
        <v>10427269000</v>
      </c>
      <c r="AA1035" s="28"/>
      <c r="AB1035" s="28"/>
      <c r="AC1035" s="28">
        <v>8763006000</v>
      </c>
      <c r="AD1035" s="28">
        <v>10443306000</v>
      </c>
      <c r="AE1035" s="28">
        <v>22070577000</v>
      </c>
      <c r="AF1035" s="28">
        <v>10413429000</v>
      </c>
      <c r="AG1035" s="11"/>
    </row>
    <row r="1036">
      <c r="A1036" s="7" t="s">
        <v>2760</v>
      </c>
      <c r="B1036" s="5" t="s">
        <v>10745</v>
      </c>
      <c r="C1036" s="5" t="s">
        <v>18623</v>
      </c>
      <c r="D1036" s="5" t="str">
        <v>890412323754</v>
      </c>
      <c r="E1036" s="0" t="e">
        <f>+7 (349) 2235045
+7 (3494) 231516
+7 (3494) 281580
+7 (3494) 281588
+7 (3494) 975936</f>
        <v>#NAME?</v>
      </c>
      <c r="F1036" s="5" t="s">
        <v>28500</v>
      </c>
      <c r="G1036" s="5" t="s">
        <v>28501</v>
      </c>
      <c r="H1036" s="26">
        <v>28.5</v>
      </c>
      <c r="I1036" s="5" t="s">
        <v>28502</v>
      </c>
      <c r="J1036" s="5" t="s">
        <v>25414</v>
      </c>
      <c r="K1036" s="5" t="s">
        <v>344</v>
      </c>
      <c r="L1036" s="5" t="s">
        <v>28503</v>
      </c>
      <c r="M1036" s="27"/>
      <c r="N1036" s="5" t="s">
        <v>50775</v>
      </c>
      <c r="O1036" s="5" t="str">
        <v>8904007702</v>
      </c>
      <c r="P1036" s="27">
        <v>628000</v>
      </c>
      <c r="Q1036" s="5" t="s">
        <v>50776</v>
      </c>
      <c r="R1036" s="5"/>
      <c r="S1036" s="5" t="s">
        <v>50320</v>
      </c>
      <c r="T1036" s="28">
        <v>2475419000</v>
      </c>
      <c r="U1036" s="28">
        <v>2010000</v>
      </c>
      <c r="V1036" s="28">
        <v>2074432000</v>
      </c>
      <c r="W1036" s="28"/>
      <c r="X1036" s="28">
        <v>632969000</v>
      </c>
      <c r="Y1036" s="28">
        <v>6386939000</v>
      </c>
      <c r="Z1036" s="28">
        <v>5157305000</v>
      </c>
      <c r="AA1036" s="28">
        <v>49967000</v>
      </c>
      <c r="AB1036" s="28">
        <v>232718000</v>
      </c>
      <c r="AC1036" s="28">
        <v>1084412000</v>
      </c>
      <c r="AD1036" s="28">
        <v>5157933000</v>
      </c>
      <c r="AE1036" s="28">
        <v>5552905000</v>
      </c>
      <c r="AF1036" s="28">
        <v>1071495000</v>
      </c>
      <c r="AG1036" s="11"/>
    </row>
    <row r="1037">
      <c r="A1037" s="7" t="s">
        <v>2761</v>
      </c>
      <c r="B1037" s="5" t="s">
        <v>10746</v>
      </c>
      <c r="C1037" s="5" t="s">
        <v>18624</v>
      </c>
      <c r="D1037" s="5" t="str">
        <v>781121258180</v>
      </c>
      <c r="E1037" s="0" t="e">
        <f>+7 (812) 6406006
+7 (812) 5116123
+7 (812) 6400110
+7 (812) 6406450
+7 (812) 7642927</f>
        <v>#NAME?</v>
      </c>
      <c r="F1037" s="5" t="s">
        <v>28504</v>
      </c>
      <c r="G1037" s="5" t="s">
        <v>28505</v>
      </c>
      <c r="H1037" s="26">
        <v>23.5</v>
      </c>
      <c r="I1037" s="5" t="s">
        <v>28506</v>
      </c>
      <c r="J1037" s="5" t="s">
        <v>27695</v>
      </c>
      <c r="K1037" s="5" t="s">
        <v>344</v>
      </c>
      <c r="L1037" s="5"/>
      <c r="M1037" s="27"/>
      <c r="N1037" s="5"/>
      <c r="O1037" s="5" t="str">
        <v>7825423480</v>
      </c>
      <c r="P1037" s="27">
        <v>3464146</v>
      </c>
      <c r="Q1037" s="5" t="s">
        <v>49324</v>
      </c>
      <c r="R1037" s="5"/>
      <c r="S1037" s="5" t="s">
        <v>50255</v>
      </c>
      <c r="T1037" s="28">
        <v>181942000</v>
      </c>
      <c r="U1037" s="28">
        <v>187763000</v>
      </c>
      <c r="V1037" s="28">
        <v>276362000</v>
      </c>
      <c r="W1037" s="28"/>
      <c r="X1037" s="28">
        <v>94384000</v>
      </c>
      <c r="Y1037" s="28">
        <v>1010365000</v>
      </c>
      <c r="Z1037" s="28">
        <v>428869000</v>
      </c>
      <c r="AA1037" s="28">
        <v>115900000</v>
      </c>
      <c r="AB1037" s="28">
        <v>13722000</v>
      </c>
      <c r="AC1037" s="28">
        <v>461982000</v>
      </c>
      <c r="AD1037" s="28">
        <v>432483000</v>
      </c>
      <c r="AE1037" s="28">
        <v>3379422000</v>
      </c>
      <c r="AF1037" s="28">
        <v>-29331000</v>
      </c>
      <c r="AG1037" s="11"/>
    </row>
    <row r="1038">
      <c r="A1038" s="7" t="s">
        <v>2762</v>
      </c>
      <c r="B1038" s="5" t="s">
        <v>10747</v>
      </c>
      <c r="C1038" s="5" t="s">
        <v>18625</v>
      </c>
      <c r="D1038" s="5" t="str">
        <v>780404652410</v>
      </c>
      <c r="E1038" s="0" t="e">
        <f>+7 (39573) 23234
+7 (495) 7847004
+7 (495) 7841000</f>
        <v>#NAME?</v>
      </c>
      <c r="F1038" s="5" t="s">
        <v>28507</v>
      </c>
      <c r="G1038" s="5" t="s">
        <v>28508</v>
      </c>
      <c r="H1038" s="26">
        <v>15.5</v>
      </c>
      <c r="I1038" s="5" t="s">
        <v>28509</v>
      </c>
      <c r="J1038" s="5" t="s">
        <v>881</v>
      </c>
      <c r="K1038" s="5" t="s">
        <v>344</v>
      </c>
      <c r="L1038" s="5" t="s">
        <v>28510</v>
      </c>
      <c r="M1038" s="27"/>
      <c r="N1038" s="5" t="s">
        <v>50777</v>
      </c>
      <c r="O1038" s="5" t="str">
        <v>7706673610</v>
      </c>
      <c r="P1038" s="27">
        <v>10000</v>
      </c>
      <c r="Q1038" s="5" t="s">
        <v>50778</v>
      </c>
      <c r="R1038" s="5"/>
      <c r="S1038" s="5" t="s">
        <v>50779</v>
      </c>
      <c r="T1038" s="28">
        <v>294244000</v>
      </c>
      <c r="U1038" s="28">
        <v>35000</v>
      </c>
      <c r="V1038" s="28">
        <v>1932407000</v>
      </c>
      <c r="W1038" s="28">
        <v>1249000000</v>
      </c>
      <c r="X1038" s="28">
        <v>2470083000</v>
      </c>
      <c r="Y1038" s="28">
        <v>6993371000</v>
      </c>
      <c r="Z1038" s="28">
        <v>2676866000</v>
      </c>
      <c r="AA1038" s="28"/>
      <c r="AB1038" s="28">
        <v>843384000</v>
      </c>
      <c r="AC1038" s="28">
        <v>3873391000</v>
      </c>
      <c r="AD1038" s="28">
        <v>2676876000</v>
      </c>
      <c r="AE1038" s="28">
        <v>7820014000</v>
      </c>
      <c r="AF1038" s="28">
        <v>1770757000</v>
      </c>
      <c r="AG1038" s="11"/>
    </row>
    <row r="1039">
      <c r="A1039" s="7" t="s">
        <v>2763</v>
      </c>
      <c r="B1039" s="5" t="s">
        <v>10748</v>
      </c>
      <c r="C1039" s="5" t="s">
        <v>18626</v>
      </c>
      <c r="D1039" s="5" t="str">
        <v>440113482337</v>
      </c>
      <c r="E1039" s="0" t="e">
        <f>+7 (929) 947351
+7 (49435) 20788
+7 (49435) 24129
+7 (49435) 41395
+7 (49435) 44129
+7 (49435) 44141
+7 (49435) 44182
+7 (49435) 44193
+7 (49435) 44197</f>
        <v>#NAME?</v>
      </c>
      <c r="F1039" s="5" t="s">
        <v>28511</v>
      </c>
      <c r="G1039" s="5" t="s">
        <v>28512</v>
      </c>
      <c r="H1039" s="26">
        <v>28.5</v>
      </c>
      <c r="I1039" s="5" t="s">
        <v>28513</v>
      </c>
      <c r="J1039" s="5" t="s">
        <v>25275</v>
      </c>
      <c r="K1039" s="5" t="s">
        <v>344</v>
      </c>
      <c r="L1039" s="5" t="s">
        <v>28514</v>
      </c>
      <c r="M1039" s="27"/>
      <c r="N1039" s="5" t="s">
        <v>50780</v>
      </c>
      <c r="O1039" s="5" t="str">
        <v>4402001940</v>
      </c>
      <c r="P1039" s="27">
        <v>19860000</v>
      </c>
      <c r="Q1039" s="5" t="s">
        <v>49009</v>
      </c>
      <c r="R1039" s="5"/>
      <c r="S1039" s="5" t="s">
        <v>50781</v>
      </c>
      <c r="T1039" s="28">
        <v>795704000</v>
      </c>
      <c r="U1039" s="28">
        <v>96141000</v>
      </c>
      <c r="V1039" s="28">
        <v>738316000</v>
      </c>
      <c r="W1039" s="28">
        <v>615599000</v>
      </c>
      <c r="X1039" s="28">
        <v>44193000</v>
      </c>
      <c r="Y1039" s="28">
        <v>4194170000</v>
      </c>
      <c r="Z1039" s="28">
        <v>3759413000</v>
      </c>
      <c r="AA1039" s="28"/>
      <c r="AB1039" s="28"/>
      <c r="AC1039" s="28">
        <v>318034000</v>
      </c>
      <c r="AD1039" s="28">
        <v>3811329000</v>
      </c>
      <c r="AE1039" s="28">
        <v>7031116000</v>
      </c>
      <c r="AF1039" s="28">
        <v>1034456000</v>
      </c>
      <c r="AG1039" s="11"/>
    </row>
    <row r="1040">
      <c r="A1040" s="7" t="s">
        <v>2764</v>
      </c>
      <c r="B1040" s="5" t="s">
        <v>10749</v>
      </c>
      <c r="C1040" s="5" t="s">
        <v>18627</v>
      </c>
      <c r="D1040" s="5" t="str">
        <v>246500207982</v>
      </c>
      <c r="E1040" s="0" t="e">
        <f>+7 (964) 6509022
+7 (3953) 216921
+7 (3953) 256051</f>
        <v>#NAME?</v>
      </c>
      <c r="F1040" s="5"/>
      <c r="G1040" s="5"/>
      <c r="H1040" s="26">
        <v>10</v>
      </c>
      <c r="I1040" s="5" t="s">
        <v>28515</v>
      </c>
      <c r="J1040" s="5" t="s">
        <v>27316</v>
      </c>
      <c r="K1040" s="5" t="s">
        <v>344</v>
      </c>
      <c r="L1040" s="5" t="s">
        <v>28516</v>
      </c>
      <c r="M1040" s="27"/>
      <c r="N1040" s="5"/>
      <c r="O1040" s="5" t="str">
        <v>3804049957</v>
      </c>
      <c r="P1040" s="27">
        <v>384540000</v>
      </c>
      <c r="Q1040" s="5" t="s">
        <v>49009</v>
      </c>
      <c r="R1040" s="5"/>
      <c r="S1040" s="5" t="s">
        <v>49010</v>
      </c>
      <c r="T1040" s="28">
        <v>2003738000</v>
      </c>
      <c r="U1040" s="28"/>
      <c r="V1040" s="28">
        <v>6493925000</v>
      </c>
      <c r="W1040" s="28">
        <v>342000000</v>
      </c>
      <c r="X1040" s="28">
        <v>147468000</v>
      </c>
      <c r="Y1040" s="28">
        <v>10187978000</v>
      </c>
      <c r="Z1040" s="28">
        <v>4628025000</v>
      </c>
      <c r="AA1040" s="28"/>
      <c r="AB1040" s="28">
        <v>1881458000</v>
      </c>
      <c r="AC1040" s="28">
        <v>5040220000</v>
      </c>
      <c r="AD1040" s="28">
        <v>5094493000</v>
      </c>
      <c r="AE1040" s="28">
        <v>5120425000</v>
      </c>
      <c r="AF1040" s="28">
        <v>2074777000</v>
      </c>
      <c r="AG1040" s="11"/>
    </row>
    <row r="1041">
      <c r="A1041" s="7" t="s">
        <v>2765</v>
      </c>
      <c r="B1041" s="5" t="s">
        <v>10750</v>
      </c>
      <c r="C1041" s="5" t="s">
        <v>18628</v>
      </c>
      <c r="D1041" s="5" t="str">
        <v>770703218879</v>
      </c>
      <c r="E1041" s="0" t="e">
        <f>+7 (496) 4035862
+7 (495) 2589326
+7 (495) 3093508
+7 (495) 7295302
+7 (496) 4048686
+7 (49640) 46965
+7 (499) 1704256
+7 (499) 1704265
+7 (499) 1704301
+7 (499) 2705695
+7 (499) 5450552
+7 (499) 7530271</f>
        <v>#NAME?</v>
      </c>
      <c r="F1041" s="5" t="s">
        <v>28517</v>
      </c>
      <c r="G1041" s="5" t="s">
        <v>28518</v>
      </c>
      <c r="H1041" s="26">
        <v>23</v>
      </c>
      <c r="I1041" s="5" t="s">
        <v>28519</v>
      </c>
      <c r="J1041" s="5" t="s">
        <v>28520</v>
      </c>
      <c r="K1041" s="5" t="s">
        <v>344</v>
      </c>
      <c r="L1041" s="5" t="s">
        <v>28521</v>
      </c>
      <c r="M1041" s="27"/>
      <c r="N1041" s="5"/>
      <c r="O1041" s="5" t="str">
        <v>5011018520</v>
      </c>
      <c r="P1041" s="27">
        <v>75830000</v>
      </c>
      <c r="Q1041" s="5" t="s">
        <v>49324</v>
      </c>
      <c r="R1041" s="5"/>
      <c r="S1041" s="5" t="s">
        <v>50782</v>
      </c>
      <c r="T1041" s="28">
        <v>1616258000</v>
      </c>
      <c r="U1041" s="28">
        <v>17700000</v>
      </c>
      <c r="V1041" s="28">
        <v>489017000</v>
      </c>
      <c r="W1041" s="28"/>
      <c r="X1041" s="28">
        <v>469108000</v>
      </c>
      <c r="Y1041" s="28">
        <v>3161696000</v>
      </c>
      <c r="Z1041" s="28">
        <v>2050976000</v>
      </c>
      <c r="AA1041" s="28">
        <v>514550000</v>
      </c>
      <c r="AB1041" s="28">
        <v>640000</v>
      </c>
      <c r="AC1041" s="28">
        <v>279339000</v>
      </c>
      <c r="AD1041" s="28">
        <v>2126806000</v>
      </c>
      <c r="AE1041" s="28">
        <v>3016378000</v>
      </c>
      <c r="AF1041" s="28">
        <v>80776000</v>
      </c>
      <c r="AG1041" s="11"/>
    </row>
    <row r="1042">
      <c r="A1042" s="7" t="s">
        <v>2766</v>
      </c>
      <c r="B1042" s="5" t="s">
        <v>10553</v>
      </c>
      <c r="C1042" s="5" t="s">
        <v>18629</v>
      </c>
      <c r="D1042" s="5" t="str">
        <v>312306702654</v>
      </c>
      <c r="E1042" s="0" t="e">
        <f>+7 (472) 2376900
+7 (472) 2376906</f>
        <v>#NAME?</v>
      </c>
      <c r="F1042" s="5" t="s">
        <v>28522</v>
      </c>
      <c r="G1042" s="5" t="s">
        <v>28523</v>
      </c>
      <c r="H1042" s="26">
        <v>30</v>
      </c>
      <c r="I1042" s="5"/>
      <c r="J1042" s="5" t="s">
        <v>26057</v>
      </c>
      <c r="K1042" s="5" t="s">
        <v>344</v>
      </c>
      <c r="L1042" s="5" t="s">
        <v>28524</v>
      </c>
      <c r="M1042" s="27">
        <v>84347</v>
      </c>
      <c r="N1042" s="5"/>
      <c r="O1042" s="5" t="str">
        <v>3116001200</v>
      </c>
      <c r="P1042" s="27">
        <v>10418000</v>
      </c>
      <c r="Q1042" s="5" t="s">
        <v>49009</v>
      </c>
      <c r="R1042" s="5"/>
      <c r="S1042" s="5" t="s">
        <v>49028</v>
      </c>
      <c r="T1042" s="28">
        <v>2206903000</v>
      </c>
      <c r="U1042" s="28"/>
      <c r="V1042" s="28">
        <v>1764152000</v>
      </c>
      <c r="W1042" s="28">
        <v>24000</v>
      </c>
      <c r="X1042" s="28">
        <v>27680000</v>
      </c>
      <c r="Y1042" s="28">
        <v>6132523000</v>
      </c>
      <c r="Z1042" s="28">
        <v>340542000</v>
      </c>
      <c r="AA1042" s="28">
        <v>1239008000</v>
      </c>
      <c r="AB1042" s="28">
        <v>983484000</v>
      </c>
      <c r="AC1042" s="28">
        <v>4347418000</v>
      </c>
      <c r="AD1042" s="28">
        <v>480452000</v>
      </c>
      <c r="AE1042" s="28">
        <v>16927987000</v>
      </c>
      <c r="AF1042" s="28">
        <v>44538000</v>
      </c>
      <c r="AG1042" s="11"/>
    </row>
    <row r="1043">
      <c r="A1043" s="7" t="s">
        <v>2767</v>
      </c>
      <c r="B1043" s="5" t="s">
        <v>10751</v>
      </c>
      <c r="C1043" s="5" t="s">
        <v>18630</v>
      </c>
      <c r="D1043" s="5" t="str">
        <v>525610991284</v>
      </c>
      <c r="F1043" s="5"/>
      <c r="G1043" s="5"/>
      <c r="H1043" s="26">
        <v>2.5</v>
      </c>
      <c r="I1043" s="5" t="s">
        <v>28525</v>
      </c>
      <c r="J1043" s="5" t="s">
        <v>25295</v>
      </c>
      <c r="K1043" s="5" t="s">
        <v>355</v>
      </c>
      <c r="L1043" s="5"/>
      <c r="M1043" s="27"/>
      <c r="N1043" s="5" t="s">
        <v>50783</v>
      </c>
      <c r="O1043" s="5" t="str">
        <v>3808271889</v>
      </c>
      <c r="P1043" s="27">
        <v>100000</v>
      </c>
      <c r="Q1043" s="5" t="s">
        <v>50785</v>
      </c>
      <c r="R1043" s="5"/>
      <c r="S1043" s="5" t="s">
        <v>49082</v>
      </c>
      <c r="T1043" s="28">
        <v>295875000</v>
      </c>
      <c r="U1043" s="28"/>
      <c r="V1043" s="28">
        <v>540113000</v>
      </c>
      <c r="W1043" s="28"/>
      <c r="X1043" s="28">
        <v>99667000</v>
      </c>
      <c r="Y1043" s="28">
        <v>1627443000</v>
      </c>
      <c r="Z1043" s="28">
        <v>12633000</v>
      </c>
      <c r="AA1043" s="28">
        <v>80644000</v>
      </c>
      <c r="AB1043" s="28">
        <v>51520000</v>
      </c>
      <c r="AC1043" s="28">
        <v>1431516000</v>
      </c>
      <c r="AD1043" s="28">
        <v>12816000</v>
      </c>
      <c r="AE1043" s="28">
        <v>4464360000</v>
      </c>
      <c r="AF1043" s="28">
        <v>-153303000</v>
      </c>
      <c r="AG1043" s="11"/>
    </row>
    <row r="1044">
      <c r="A1044" s="7" t="s">
        <v>2768</v>
      </c>
      <c r="B1044" s="5" t="s">
        <v>10752</v>
      </c>
      <c r="C1044" s="5" t="s">
        <v>18631</v>
      </c>
      <c r="D1044" s="5" t="str">
        <v>781430713830</v>
      </c>
      <c r="E1044" s="0" t="e">
        <f>+7 (919) 6022621
+7 (495) 9132262
+7 (495) 9806181
+7 (495) 9806182</f>
        <v>#NAME?</v>
      </c>
      <c r="F1044" s="5" t="s">
        <v>28526</v>
      </c>
      <c r="G1044" s="5" t="s">
        <v>28527</v>
      </c>
      <c r="H1044" s="26">
        <v>19.5</v>
      </c>
      <c r="I1044" s="5"/>
      <c r="J1044" s="5" t="s">
        <v>25199</v>
      </c>
      <c r="K1044" s="5" t="s">
        <v>344</v>
      </c>
      <c r="L1044" s="5" t="s">
        <v>28528</v>
      </c>
      <c r="M1044" s="27"/>
      <c r="N1044" s="5" t="s">
        <v>50786</v>
      </c>
      <c r="O1044" s="5" t="str">
        <v>7733180847</v>
      </c>
      <c r="P1044" s="27">
        <v>10000</v>
      </c>
      <c r="Q1044" s="5" t="s">
        <v>50787</v>
      </c>
      <c r="R1044" s="5"/>
      <c r="S1044" s="5" t="s">
        <v>50788</v>
      </c>
      <c r="T1044" s="28">
        <v>37441000</v>
      </c>
      <c r="U1044" s="28">
        <v>797000</v>
      </c>
      <c r="V1044" s="28">
        <v>1159959000</v>
      </c>
      <c r="W1044" s="28"/>
      <c r="X1044" s="28">
        <v>8040000</v>
      </c>
      <c r="Y1044" s="28">
        <v>1889278000</v>
      </c>
      <c r="Z1044" s="28">
        <v>366141000</v>
      </c>
      <c r="AA1044" s="28"/>
      <c r="AB1044" s="28">
        <v>678580000</v>
      </c>
      <c r="AC1044" s="28">
        <v>1363865000</v>
      </c>
      <c r="AD1044" s="28">
        <v>525413000</v>
      </c>
      <c r="AE1044" s="28">
        <v>3511391000</v>
      </c>
      <c r="AF1044" s="28">
        <v>55400000</v>
      </c>
      <c r="AG1044" s="11"/>
    </row>
    <row r="1045">
      <c r="A1045" s="7" t="s">
        <v>2769</v>
      </c>
      <c r="B1045" s="5" t="s">
        <v>10753</v>
      </c>
      <c r="C1045" s="5" t="s">
        <v>18632</v>
      </c>
      <c r="D1045" s="5" t="str">
        <v>501200691583</v>
      </c>
      <c r="E1045" s="0" t="e">
        <f>+7 (495) 5234698
+7 (495) 5474888
+7 (4985) 244075
+7 (495) 5207230
+7 (495) 5207290
+7 (495) 5241279
+7 (495) 5241363
+7 (495) 5244075
+7 (495) 5299047
+7 (495) 5299161
+7 (495) 5299251
+7 (495) 5424075
+7 (4985) 207230
+7 (4985) 207290
+7 (4985) 207961</f>
        <v>#NAME?</v>
      </c>
      <c r="F1045" s="5" t="s">
        <v>28529</v>
      </c>
      <c r="G1045" s="5" t="s">
        <v>28530</v>
      </c>
      <c r="H1045" s="26">
        <v>30</v>
      </c>
      <c r="I1045" s="5"/>
      <c r="J1045" s="5" t="s">
        <v>26623</v>
      </c>
      <c r="K1045" s="5" t="s">
        <v>344</v>
      </c>
      <c r="L1045" s="5" t="s">
        <v>28531</v>
      </c>
      <c r="M1045" s="27"/>
      <c r="N1045" s="5" t="s">
        <v>50789</v>
      </c>
      <c r="O1045" s="5" t="str">
        <v>5001003540</v>
      </c>
      <c r="P1045" s="27">
        <v>80000</v>
      </c>
      <c r="Q1045" s="5" t="s">
        <v>50790</v>
      </c>
      <c r="R1045" s="5"/>
      <c r="S1045" s="5" t="s">
        <v>50791</v>
      </c>
      <c r="T1045" s="28">
        <v>124373000</v>
      </c>
      <c r="U1045" s="28">
        <v>10000</v>
      </c>
      <c r="V1045" s="28">
        <v>1484523000</v>
      </c>
      <c r="W1045" s="28"/>
      <c r="X1045" s="28">
        <v>139303000</v>
      </c>
      <c r="Y1045" s="28">
        <v>1768191000</v>
      </c>
      <c r="Z1045" s="28">
        <v>819149000</v>
      </c>
      <c r="AA1045" s="28"/>
      <c r="AB1045" s="28">
        <v>200000000</v>
      </c>
      <c r="AC1045" s="28">
        <v>938680000</v>
      </c>
      <c r="AD1045" s="28">
        <v>827727000</v>
      </c>
      <c r="AE1045" s="28">
        <v>6934801000</v>
      </c>
      <c r="AF1045" s="28">
        <v>164031000</v>
      </c>
      <c r="AG1045" s="11"/>
    </row>
    <row r="1046">
      <c r="A1046" s="7" t="s">
        <v>2770</v>
      </c>
      <c r="B1046" s="5" t="s">
        <v>10754</v>
      </c>
      <c r="C1046" s="5" t="s">
        <v>18633</v>
      </c>
      <c r="D1046" s="5" t="str">
        <v>773206147510</v>
      </c>
      <c r="E1046" s="0" t="e">
        <f>+7 (495) 5805734
+7 (495) 6660497
+7 (495) 7394822
+7 (495) 9025000
+7 (800) 7753515
+7 (926) 4719698</f>
        <v>#NAME?</v>
      </c>
      <c r="F1046" s="5" t="s">
        <v>28532</v>
      </c>
      <c r="G1046" s="5"/>
      <c r="H1046" s="26">
        <v>15.5</v>
      </c>
      <c r="I1046" s="5" t="s">
        <v>28533</v>
      </c>
      <c r="J1046" s="5" t="s">
        <v>25219</v>
      </c>
      <c r="K1046" s="5" t="s">
        <v>344</v>
      </c>
      <c r="L1046" s="5" t="s">
        <v>28534</v>
      </c>
      <c r="M1046" s="27">
        <v>9939192</v>
      </c>
      <c r="N1046" s="5"/>
      <c r="O1046" s="5" t="str">
        <v>5047085094</v>
      </c>
      <c r="P1046" s="27">
        <v>110000000</v>
      </c>
      <c r="Q1046" s="5" t="s">
        <v>49009</v>
      </c>
      <c r="R1046" s="5" t="s">
        <v>50792</v>
      </c>
      <c r="S1046" s="5" t="s">
        <v>50310</v>
      </c>
      <c r="T1046" s="28">
        <v>27630250000</v>
      </c>
      <c r="U1046" s="28">
        <v>216000</v>
      </c>
      <c r="V1046" s="28">
        <v>6261233000</v>
      </c>
      <c r="W1046" s="28">
        <v>2077730000</v>
      </c>
      <c r="X1046" s="28">
        <v>18353407000</v>
      </c>
      <c r="Y1046" s="28">
        <v>112707393000</v>
      </c>
      <c r="Z1046" s="28">
        <v>41569017000</v>
      </c>
      <c r="AA1046" s="28">
        <v>4579653000</v>
      </c>
      <c r="AB1046" s="28">
        <v>17575913000</v>
      </c>
      <c r="AC1046" s="28">
        <v>61916313000</v>
      </c>
      <c r="AD1046" s="28">
        <v>41679017000</v>
      </c>
      <c r="AE1046" s="28">
        <v>272093677000</v>
      </c>
      <c r="AF1046" s="28">
        <v>19699750000</v>
      </c>
      <c r="AG1046" s="11"/>
    </row>
    <row r="1047">
      <c r="A1047" s="7" t="s">
        <v>2771</v>
      </c>
      <c r="B1047" s="5" t="s">
        <v>10755</v>
      </c>
      <c r="C1047" s="5" t="s">
        <v>18634</v>
      </c>
      <c r="D1047" s="5" t="str">
        <v>773609187636</v>
      </c>
      <c r="E1047" s="0" t="e">
        <f>+7 (47391) 37976
+7 (495) 6322717
+7 (495) 6631133
+7 (495) 9873322
+7 (495) 9887049</f>
        <v>#NAME?</v>
      </c>
      <c r="F1047" s="5" t="s">
        <v>28535</v>
      </c>
      <c r="G1047" s="5" t="s">
        <v>28536</v>
      </c>
      <c r="H1047" s="26">
        <v>15</v>
      </c>
      <c r="I1047" s="5"/>
      <c r="J1047" s="5" t="s">
        <v>28537</v>
      </c>
      <c r="K1047" s="5" t="s">
        <v>344</v>
      </c>
      <c r="L1047" s="5" t="s">
        <v>28538</v>
      </c>
      <c r="M1047" s="27">
        <v>5600930</v>
      </c>
      <c r="N1047" s="5" t="s">
        <v>50793</v>
      </c>
      <c r="O1047" s="5" t="str">
        <v>7708669867</v>
      </c>
      <c r="P1047" s="27">
        <v>3769701000</v>
      </c>
      <c r="Q1047" s="5" t="s">
        <v>50794</v>
      </c>
      <c r="R1047" s="5"/>
      <c r="S1047" s="5" t="s">
        <v>50795</v>
      </c>
      <c r="T1047" s="28">
        <v>4130682000</v>
      </c>
      <c r="U1047" s="28">
        <v>856199000</v>
      </c>
      <c r="V1047" s="28">
        <v>1989416000</v>
      </c>
      <c r="W1047" s="28">
        <v>321200000</v>
      </c>
      <c r="X1047" s="28">
        <v>2589726000</v>
      </c>
      <c r="Y1047" s="28">
        <v>17735402000</v>
      </c>
      <c r="Z1047" s="28">
        <v>2821234000</v>
      </c>
      <c r="AA1047" s="28">
        <v>640000000</v>
      </c>
      <c r="AB1047" s="28">
        <v>2340928000</v>
      </c>
      <c r="AC1047" s="28">
        <v>8284024000</v>
      </c>
      <c r="AD1047" s="28">
        <v>6929810000</v>
      </c>
      <c r="AE1047" s="28">
        <v>27500809000</v>
      </c>
      <c r="AF1047" s="28">
        <v>1103961000</v>
      </c>
      <c r="AG1047" s="11"/>
    </row>
    <row r="1048">
      <c r="A1048" s="7" t="s">
        <v>2772</v>
      </c>
      <c r="B1048" s="5" t="s">
        <v>10756</v>
      </c>
      <c r="C1048" s="5" t="s">
        <v>18635</v>
      </c>
      <c r="D1048" s="5" t="str">
        <v>920358455532</v>
      </c>
      <c r="E1048" s="0" t="e">
        <f>+7 (499) 6780377</f>
        <v>#NAME?</v>
      </c>
      <c r="F1048" s="5"/>
      <c r="G1048" s="5"/>
      <c r="H1048" s="26">
        <v>5</v>
      </c>
      <c r="I1048" s="5" t="s">
        <v>28539</v>
      </c>
      <c r="J1048" s="5" t="s">
        <v>27115</v>
      </c>
      <c r="K1048" s="5" t="s">
        <v>344</v>
      </c>
      <c r="L1048" s="5" t="s">
        <v>28540</v>
      </c>
      <c r="M1048" s="27"/>
      <c r="N1048" s="5"/>
      <c r="O1048" s="5" t="str">
        <v>9709031164</v>
      </c>
      <c r="P1048" s="27">
        <v>100000</v>
      </c>
      <c r="Q1048" s="5"/>
      <c r="R1048" s="5" t="s">
        <v>50796</v>
      </c>
      <c r="S1048" s="5" t="s">
        <v>49110</v>
      </c>
      <c r="T1048" s="28"/>
      <c r="U1048" s="28"/>
      <c r="V1048" s="28">
        <v>52669000</v>
      </c>
      <c r="W1048" s="28">
        <v>2273000</v>
      </c>
      <c r="X1048" s="28">
        <v>760000</v>
      </c>
      <c r="Y1048" s="28">
        <v>73654000</v>
      </c>
      <c r="Z1048" s="28">
        <v>8465000</v>
      </c>
      <c r="AA1048" s="28">
        <v>5668000</v>
      </c>
      <c r="AB1048" s="28">
        <v>107000</v>
      </c>
      <c r="AC1048" s="28">
        <v>59421000</v>
      </c>
      <c r="AD1048" s="28">
        <v>8566000</v>
      </c>
      <c r="AE1048" s="28">
        <v>8753078000</v>
      </c>
      <c r="AF1048" s="28">
        <v>4717000</v>
      </c>
      <c r="AG1048" s="11"/>
    </row>
    <row r="1049">
      <c r="A1049" s="7" t="s">
        <v>2773</v>
      </c>
      <c r="B1049" s="5" t="s">
        <v>10757</v>
      </c>
      <c r="C1049" s="5" t="s">
        <v>18636</v>
      </c>
      <c r="D1049" s="5" t="str">
        <v>504402989297</v>
      </c>
      <c r="E1049" s="0" t="e">
        <f>+7 (495) 1370370
+7 (965) 3688909</f>
        <v>#NAME?</v>
      </c>
      <c r="F1049" s="5" t="s">
        <v>28541</v>
      </c>
      <c r="G1049" s="5" t="s">
        <v>28542</v>
      </c>
      <c r="H1049" s="26">
        <v>19.5</v>
      </c>
      <c r="I1049" s="5" t="s">
        <v>28543</v>
      </c>
      <c r="J1049" s="5" t="s">
        <v>28064</v>
      </c>
      <c r="K1049" s="5" t="s">
        <v>344</v>
      </c>
      <c r="L1049" s="5" t="s">
        <v>28544</v>
      </c>
      <c r="M1049" s="27"/>
      <c r="N1049" s="5" t="s">
        <v>50797</v>
      </c>
      <c r="O1049" s="5" t="str">
        <v>5048035314</v>
      </c>
      <c r="P1049" s="27">
        <v>155551470</v>
      </c>
      <c r="Q1049" s="5" t="s">
        <v>50798</v>
      </c>
      <c r="R1049" s="5"/>
      <c r="S1049" s="5" t="s">
        <v>50799</v>
      </c>
      <c r="T1049" s="28">
        <v>1075079000</v>
      </c>
      <c r="U1049" s="28">
        <v>3033846000</v>
      </c>
      <c r="V1049" s="28">
        <v>773457000</v>
      </c>
      <c r="W1049" s="28">
        <v>1792354000</v>
      </c>
      <c r="X1049" s="28">
        <v>36325000</v>
      </c>
      <c r="Y1049" s="28">
        <v>8165834000</v>
      </c>
      <c r="Z1049" s="28">
        <v>1428522000</v>
      </c>
      <c r="AA1049" s="28"/>
      <c r="AB1049" s="28">
        <v>4000</v>
      </c>
      <c r="AC1049" s="28">
        <v>684428000</v>
      </c>
      <c r="AD1049" s="28">
        <v>6919537000</v>
      </c>
      <c r="AE1049" s="28">
        <v>7187977000</v>
      </c>
      <c r="AF1049" s="28">
        <v>773318000</v>
      </c>
      <c r="AG1049" s="11"/>
    </row>
    <row r="1050">
      <c r="A1050" s="7" t="s">
        <v>2774</v>
      </c>
      <c r="B1050" s="5" t="s">
        <v>10758</v>
      </c>
      <c r="C1050" s="5" t="s">
        <v>18637</v>
      </c>
      <c r="D1050" s="5"/>
      <c r="E1050" s="0" t="e">
        <f>+7 (495) 1204096
+7 (812) 6407210
+7 (812) 6407240
+7 (927) 4204444</f>
        <v>#NAME?</v>
      </c>
      <c r="F1050" s="5" t="s">
        <v>28545</v>
      </c>
      <c r="G1050" s="5"/>
      <c r="H1050" s="26">
        <v>16</v>
      </c>
      <c r="I1050" s="5" t="s">
        <v>28546</v>
      </c>
      <c r="J1050" s="5" t="s">
        <v>26459</v>
      </c>
      <c r="K1050" s="5" t="s">
        <v>344</v>
      </c>
      <c r="L1050" s="5" t="s">
        <v>28547</v>
      </c>
      <c r="M1050" s="27">
        <v>1690200</v>
      </c>
      <c r="N1050" s="5" t="s">
        <v>50800</v>
      </c>
      <c r="O1050" s="5" t="str">
        <v>7842349892</v>
      </c>
      <c r="P1050" s="27">
        <v>2948040</v>
      </c>
      <c r="Q1050" s="5" t="s">
        <v>49009</v>
      </c>
      <c r="R1050" s="5" t="s">
        <v>50801</v>
      </c>
      <c r="S1050" s="5" t="s">
        <v>49012</v>
      </c>
      <c r="T1050" s="28">
        <v>1134673000</v>
      </c>
      <c r="U1050" s="28">
        <v>11254339000</v>
      </c>
      <c r="V1050" s="28">
        <v>7161509000</v>
      </c>
      <c r="W1050" s="28">
        <v>30559245000</v>
      </c>
      <c r="X1050" s="28">
        <v>26322967000</v>
      </c>
      <c r="Y1050" s="28">
        <v>83300054000</v>
      </c>
      <c r="Z1050" s="28">
        <v>28075636000</v>
      </c>
      <c r="AA1050" s="28">
        <v>45416919000</v>
      </c>
      <c r="AB1050" s="28">
        <v>1637350000</v>
      </c>
      <c r="AC1050" s="28">
        <v>9804551000</v>
      </c>
      <c r="AD1050" s="28">
        <v>28078584000</v>
      </c>
      <c r="AE1050" s="28">
        <v>45386896000</v>
      </c>
      <c r="AF1050" s="28">
        <v>11571492000</v>
      </c>
      <c r="AG1050" s="11"/>
    </row>
    <row r="1051">
      <c r="A1051" s="7" t="s">
        <v>2775</v>
      </c>
      <c r="B1051" s="5" t="s">
        <v>10759</v>
      </c>
      <c r="C1051" s="5" t="s">
        <v>18638</v>
      </c>
      <c r="D1051" s="5" t="str">
        <v>482403566813</v>
      </c>
      <c r="E1051" s="0" t="e">
        <f>+7 (4912) 465150
+7 (49148) 31162
+7 (49148) 31265
+7 (49148) 31567</f>
        <v>#NAME?</v>
      </c>
      <c r="F1051" s="5" t="s">
        <v>28548</v>
      </c>
      <c r="G1051" s="5"/>
      <c r="H1051" s="26">
        <v>17.5</v>
      </c>
      <c r="I1051" s="5" t="s">
        <v>28549</v>
      </c>
      <c r="J1051" s="5" t="s">
        <v>25371</v>
      </c>
      <c r="K1051" s="5" t="s">
        <v>355</v>
      </c>
      <c r="L1051" s="5"/>
      <c r="M1051" s="27"/>
      <c r="N1051" s="5"/>
      <c r="O1051" s="5" t="str">
        <v>6217006680</v>
      </c>
      <c r="P1051" s="27">
        <v>82010000</v>
      </c>
      <c r="Q1051" s="5" t="s">
        <v>49009</v>
      </c>
      <c r="R1051" s="5"/>
      <c r="S1051" s="5" t="s">
        <v>49045</v>
      </c>
      <c r="T1051" s="28">
        <v>3828169000</v>
      </c>
      <c r="U1051" s="28">
        <v>86042000</v>
      </c>
      <c r="V1051" s="28">
        <v>774265000</v>
      </c>
      <c r="W1051" s="28"/>
      <c r="X1051" s="28">
        <v>198000</v>
      </c>
      <c r="Y1051" s="28">
        <v>7973449000</v>
      </c>
      <c r="Z1051" s="28">
        <v>2725136000</v>
      </c>
      <c r="AA1051" s="28">
        <v>2420832000</v>
      </c>
      <c r="AB1051" s="28">
        <v>1305704000</v>
      </c>
      <c r="AC1051" s="28">
        <v>1344666000</v>
      </c>
      <c r="AD1051" s="28">
        <v>2811798000</v>
      </c>
      <c r="AE1051" s="28">
        <v>4369966000</v>
      </c>
      <c r="AF1051" s="28">
        <v>1601000</v>
      </c>
      <c r="AG1051" s="11"/>
    </row>
    <row r="1052">
      <c r="A1052" s="7" t="s">
        <v>2776</v>
      </c>
      <c r="B1052" s="5" t="s">
        <v>10760</v>
      </c>
      <c r="C1052" s="5" t="s">
        <v>18639</v>
      </c>
      <c r="D1052" s="5" t="str">
        <v>041108063839</v>
      </c>
      <c r="E1052" s="0" t="e">
        <f>+7 (913) 6979282</f>
        <v>#NAME?</v>
      </c>
      <c r="F1052" s="5" t="s">
        <v>28550</v>
      </c>
      <c r="G1052" s="5"/>
      <c r="H1052" s="26">
        <v>2</v>
      </c>
      <c r="I1052" s="5" t="s">
        <v>28551</v>
      </c>
      <c r="J1052" s="5" t="s">
        <v>28552</v>
      </c>
      <c r="K1052" s="5" t="s">
        <v>344</v>
      </c>
      <c r="L1052" s="5"/>
      <c r="M1052" s="27"/>
      <c r="N1052" s="5" t="s">
        <v>49675</v>
      </c>
      <c r="O1052" s="5" t="str">
        <v>0400016319</v>
      </c>
      <c r="P1052" s="27">
        <v>10000</v>
      </c>
      <c r="Q1052" s="5" t="s">
        <v>49822</v>
      </c>
      <c r="R1052" s="5"/>
      <c r="S1052" s="5" t="s">
        <v>50802</v>
      </c>
      <c r="T1052" s="28"/>
      <c r="U1052" s="28"/>
      <c r="V1052" s="28"/>
      <c r="W1052" s="28"/>
      <c r="X1052" s="28">
        <v>10000</v>
      </c>
      <c r="Y1052" s="28">
        <v>10000</v>
      </c>
      <c r="Z1052" s="28"/>
      <c r="AA1052" s="28"/>
      <c r="AB1052" s="28"/>
      <c r="AC1052" s="28"/>
      <c r="AD1052" s="28">
        <v>10000</v>
      </c>
      <c r="AE1052" s="28">
        <v>8045437000</v>
      </c>
      <c r="AF1052" s="28"/>
      <c r="AG1052" s="11"/>
    </row>
    <row r="1053">
      <c r="A1053" s="7" t="s">
        <v>2777</v>
      </c>
      <c r="B1053" s="5" t="s">
        <v>10761</v>
      </c>
      <c r="C1053" s="5" t="s">
        <v>18640</v>
      </c>
      <c r="D1053" s="5" t="str">
        <v>781300434064</v>
      </c>
      <c r="E1053" s="0" t="e">
        <f>+7 (812) 3317776
+7 (999) 5343474
+7 (812) 3317777
+7 (921) 9512111</f>
        <v>#NAME?</v>
      </c>
      <c r="F1053" s="5" t="s">
        <v>28553</v>
      </c>
      <c r="G1053" s="5" t="s">
        <v>28554</v>
      </c>
      <c r="H1053" s="26">
        <v>20.5</v>
      </c>
      <c r="I1053" s="5" t="s">
        <v>28555</v>
      </c>
      <c r="J1053" s="5" t="s">
        <v>389</v>
      </c>
      <c r="K1053" s="5" t="s">
        <v>344</v>
      </c>
      <c r="L1053" s="5"/>
      <c r="M1053" s="27"/>
      <c r="N1053" s="5" t="s">
        <v>50803</v>
      </c>
      <c r="O1053" s="5" t="str">
        <v>7801214832</v>
      </c>
      <c r="P1053" s="27">
        <v>10199317</v>
      </c>
      <c r="Q1053" s="5" t="s">
        <v>49009</v>
      </c>
      <c r="R1053" s="5" t="s">
        <v>50804</v>
      </c>
      <c r="S1053" s="5" t="s">
        <v>49583</v>
      </c>
      <c r="T1053" s="28">
        <v>1265418000</v>
      </c>
      <c r="U1053" s="28"/>
      <c r="V1053" s="28">
        <v>698036000</v>
      </c>
      <c r="W1053" s="28">
        <v>38550000</v>
      </c>
      <c r="X1053" s="28">
        <v>16613000</v>
      </c>
      <c r="Y1053" s="28">
        <v>2581603000</v>
      </c>
      <c r="Z1053" s="28">
        <v>1174717000</v>
      </c>
      <c r="AA1053" s="28">
        <v>89517000</v>
      </c>
      <c r="AB1053" s="28">
        <v>1121722000</v>
      </c>
      <c r="AC1053" s="28">
        <v>1299751000</v>
      </c>
      <c r="AD1053" s="28">
        <v>1184916000</v>
      </c>
      <c r="AE1053" s="28">
        <v>5362341000</v>
      </c>
      <c r="AF1053" s="28">
        <v>-39347000</v>
      </c>
      <c r="AG1053" s="11"/>
    </row>
    <row r="1054">
      <c r="A1054" s="7" t="s">
        <v>2778</v>
      </c>
      <c r="B1054" s="5" t="s">
        <v>10762</v>
      </c>
      <c r="C1054" s="5" t="s">
        <v>18641</v>
      </c>
      <c r="D1054" s="5" t="str">
        <v>780201346432</v>
      </c>
      <c r="E1054" s="0" t="e">
        <f>+7 (3652) 673800
+7 (495) 3225983
+7 (495) 3288980
+7 (812) 3298980
+7 (812) 9350150
+7 (911) 9707020
+7 (812) 3225983
+7 (812) 3246381
+7 (812) 3288980
+7 (812) 3288990
+7 (817) 2540813
+7 (817) 2547451
+7 (817) 2548911
+7 (911) 9874015</f>
        <v>#NAME?</v>
      </c>
      <c r="F1054" s="5" t="s">
        <v>28556</v>
      </c>
      <c r="G1054" s="5" t="s">
        <v>28557</v>
      </c>
      <c r="H1054" s="26">
        <v>28.5</v>
      </c>
      <c r="I1054" s="5"/>
      <c r="J1054" s="5" t="s">
        <v>467</v>
      </c>
      <c r="K1054" s="5" t="s">
        <v>344</v>
      </c>
      <c r="L1054" s="5" t="s">
        <v>28558</v>
      </c>
      <c r="M1054" s="27">
        <v>8492370</v>
      </c>
      <c r="N1054" s="5" t="s">
        <v>50805</v>
      </c>
      <c r="O1054" s="5" t="str">
        <v>7802059185</v>
      </c>
      <c r="P1054" s="27">
        <v>10500</v>
      </c>
      <c r="Q1054" s="5" t="s">
        <v>50806</v>
      </c>
      <c r="R1054" s="5"/>
      <c r="S1054" s="5" t="s">
        <v>50807</v>
      </c>
      <c r="T1054" s="28">
        <v>7098081000</v>
      </c>
      <c r="U1054" s="28"/>
      <c r="V1054" s="28">
        <v>17152953000</v>
      </c>
      <c r="W1054" s="28"/>
      <c r="X1054" s="28">
        <v>23762536000</v>
      </c>
      <c r="Y1054" s="28">
        <v>71655027000</v>
      </c>
      <c r="Z1054" s="28">
        <v>31718655000</v>
      </c>
      <c r="AA1054" s="28"/>
      <c r="AB1054" s="28"/>
      <c r="AC1054" s="28">
        <v>39497000000</v>
      </c>
      <c r="AD1054" s="28">
        <v>31718666000</v>
      </c>
      <c r="AE1054" s="28">
        <v>129171753000</v>
      </c>
      <c r="AF1054" s="28">
        <v>7098934000</v>
      </c>
      <c r="AG1054" s="11"/>
    </row>
    <row r="1055">
      <c r="A1055" s="7" t="s">
        <v>2779</v>
      </c>
      <c r="B1055" s="5" t="s">
        <v>10763</v>
      </c>
      <c r="C1055" s="5" t="s">
        <v>18642</v>
      </c>
      <c r="D1055" s="5" t="str">
        <v>638000722486</v>
      </c>
      <c r="E1055" s="0" t="e">
        <f>+7 (473) 2281386
+7 (473) 2281387
+7 (47391) 99310
+7 (47391) 99316
+7 (910) 4126165
+7 (915) 5803568
+7 (915) 5803713
+7 (915) 5804710
+7 (915) 5805349
+7 (915) 5820311
+7 (915) 5864421
+7 (916) 5800109
+7 (918) 494965
+7 (918) 494969
+7 (918) 2757808</f>
        <v>#NAME?</v>
      </c>
      <c r="F1055" s="5"/>
      <c r="G1055" s="5"/>
      <c r="H1055" s="26">
        <v>13</v>
      </c>
      <c r="I1055" s="5" t="s">
        <v>28559</v>
      </c>
      <c r="J1055" s="5" t="s">
        <v>1143</v>
      </c>
      <c r="K1055" s="5" t="s">
        <v>344</v>
      </c>
      <c r="L1055" s="5" t="s">
        <v>28560</v>
      </c>
      <c r="M1055" s="27"/>
      <c r="N1055" s="5"/>
      <c r="O1055" s="5" t="str">
        <v>3614006881</v>
      </c>
      <c r="P1055" s="27">
        <v>49000000</v>
      </c>
      <c r="Q1055" s="5"/>
      <c r="R1055" s="5"/>
      <c r="S1055" s="5" t="s">
        <v>49029</v>
      </c>
      <c r="T1055" s="28">
        <v>45414000</v>
      </c>
      <c r="U1055" s="28"/>
      <c r="V1055" s="28">
        <v>217588000</v>
      </c>
      <c r="W1055" s="28"/>
      <c r="X1055" s="28">
        <v>268315000</v>
      </c>
      <c r="Y1055" s="28">
        <v>746748000</v>
      </c>
      <c r="Z1055" s="28">
        <v>550433000</v>
      </c>
      <c r="AA1055" s="28"/>
      <c r="AB1055" s="28"/>
      <c r="AC1055" s="28">
        <v>134179000</v>
      </c>
      <c r="AD1055" s="28">
        <v>599433000</v>
      </c>
      <c r="AE1055" s="28">
        <v>3090878000</v>
      </c>
      <c r="AF1055" s="28">
        <v>105485000</v>
      </c>
      <c r="AG1055" s="11"/>
    </row>
    <row r="1056">
      <c r="A1056" s="7" t="s">
        <v>2780</v>
      </c>
      <c r="B1056" s="5" t="s">
        <v>10764</v>
      </c>
      <c r="C1056" s="5" t="s">
        <v>18643</v>
      </c>
      <c r="D1056" s="5" t="str">
        <v>344206068109</v>
      </c>
      <c r="E1056" s="0" t="e">
        <f>+7 (8443) 410433
+7 (8443) 410451
+7 (8443) 416466
+7 (8443) 525331
+7 (8443) 525339
+7 (961) 856886</f>
        <v>#NAME?</v>
      </c>
      <c r="F1056" s="5" t="s">
        <v>28561</v>
      </c>
      <c r="G1056" s="5" t="s">
        <v>28562</v>
      </c>
      <c r="H1056" s="26">
        <v>30</v>
      </c>
      <c r="I1056" s="5"/>
      <c r="J1056" s="5" t="s">
        <v>28563</v>
      </c>
      <c r="K1056" s="5" t="s">
        <v>344</v>
      </c>
      <c r="L1056" s="5" t="s">
        <v>28564</v>
      </c>
      <c r="M1056" s="27"/>
      <c r="N1056" s="5" t="s">
        <v>50808</v>
      </c>
      <c r="O1056" s="5" t="str">
        <v>3435000467</v>
      </c>
      <c r="P1056" s="27">
        <v>3601200</v>
      </c>
      <c r="Q1056" s="5" t="s">
        <v>50809</v>
      </c>
      <c r="R1056" s="5"/>
      <c r="S1056" s="5" t="s">
        <v>50810</v>
      </c>
      <c r="T1056" s="28">
        <v>2292563000</v>
      </c>
      <c r="U1056" s="28">
        <v>61000</v>
      </c>
      <c r="V1056" s="28">
        <v>880291000</v>
      </c>
      <c r="W1056" s="28"/>
      <c r="X1056" s="28">
        <v>1997780000</v>
      </c>
      <c r="Y1056" s="28">
        <v>7592770000</v>
      </c>
      <c r="Z1056" s="28">
        <v>6446705000</v>
      </c>
      <c r="AA1056" s="28"/>
      <c r="AB1056" s="28"/>
      <c r="AC1056" s="28">
        <v>974309000</v>
      </c>
      <c r="AD1056" s="28">
        <v>6455677000</v>
      </c>
      <c r="AE1056" s="28">
        <v>7927441000</v>
      </c>
      <c r="AF1056" s="28">
        <v>1214257000</v>
      </c>
      <c r="AG1056" s="11"/>
    </row>
    <row r="1057">
      <c r="A1057" s="7" t="s">
        <v>2781</v>
      </c>
      <c r="B1057" s="5" t="s">
        <v>10765</v>
      </c>
      <c r="C1057" s="5" t="s">
        <v>18644</v>
      </c>
      <c r="D1057" s="5" t="str">
        <v>507203757508</v>
      </c>
      <c r="E1057" s="0" t="e">
        <f>+7 (495) 6637296
+7 (495) 7755505
+7 (495) 7755548
+7 (495) 7881590
+7 (495) 7899617
+7 (800) 7755505</f>
        <v>#NAME?</v>
      </c>
      <c r="F1057" s="5" t="s">
        <v>28565</v>
      </c>
      <c r="G1057" s="5" t="s">
        <v>28566</v>
      </c>
      <c r="H1057" s="26">
        <v>17</v>
      </c>
      <c r="I1057" s="5" t="s">
        <v>28567</v>
      </c>
      <c r="J1057" s="5" t="s">
        <v>28568</v>
      </c>
      <c r="K1057" s="5" t="s">
        <v>355</v>
      </c>
      <c r="L1057" s="5" t="s">
        <v>28569</v>
      </c>
      <c r="M1057" s="27">
        <v>10755454896</v>
      </c>
      <c r="N1057" s="5" t="s">
        <v>50811</v>
      </c>
      <c r="O1057" s="5" t="str">
        <v>7721546864</v>
      </c>
      <c r="P1057" s="27">
        <v>10110000</v>
      </c>
      <c r="Q1057" s="5" t="s">
        <v>50812</v>
      </c>
      <c r="R1057" s="5"/>
      <c r="S1057" s="5" t="s">
        <v>50813</v>
      </c>
      <c r="T1057" s="28">
        <v>35359202000</v>
      </c>
      <c r="U1057" s="28">
        <v>2787098000</v>
      </c>
      <c r="V1057" s="28">
        <v>64225576000</v>
      </c>
      <c r="W1057" s="28">
        <v>1659040000</v>
      </c>
      <c r="X1057" s="28">
        <v>7712694000</v>
      </c>
      <c r="Y1057" s="28">
        <v>202419571000</v>
      </c>
      <c r="Z1057" s="28">
        <v>34098840000</v>
      </c>
      <c r="AA1057" s="28"/>
      <c r="AB1057" s="28">
        <v>92465860000</v>
      </c>
      <c r="AC1057" s="28">
        <v>163961501000</v>
      </c>
      <c r="AD1057" s="28">
        <v>34108950000</v>
      </c>
      <c r="AE1057" s="28">
        <v>317212888000</v>
      </c>
      <c r="AF1057" s="28">
        <v>10112566000</v>
      </c>
      <c r="AG1057" s="11"/>
    </row>
    <row r="1058">
      <c r="A1058" s="7" t="s">
        <v>2782</v>
      </c>
      <c r="B1058" s="5" t="s">
        <v>10766</v>
      </c>
      <c r="C1058" s="5" t="s">
        <v>18645</v>
      </c>
      <c r="D1058" s="5" t="str">
        <v>773123954648</v>
      </c>
      <c r="E1058" s="0" t="e">
        <f>+7 (495) 3749176
+7 (495) 6460167</f>
        <v>#NAME?</v>
      </c>
      <c r="F1058" s="5" t="s">
        <v>28570</v>
      </c>
      <c r="G1058" s="5" t="s">
        <v>28571</v>
      </c>
      <c r="H1058" s="26">
        <v>11</v>
      </c>
      <c r="I1058" s="5" t="s">
        <v>28572</v>
      </c>
      <c r="J1058" s="5" t="s">
        <v>28573</v>
      </c>
      <c r="K1058" s="5" t="s">
        <v>344</v>
      </c>
      <c r="L1058" s="5" t="s">
        <v>28574</v>
      </c>
      <c r="M1058" s="27"/>
      <c r="N1058" s="5" t="s">
        <v>50814</v>
      </c>
      <c r="O1058" s="5" t="str">
        <v>7707770166</v>
      </c>
      <c r="P1058" s="27">
        <v>10000</v>
      </c>
      <c r="Q1058" s="5" t="s">
        <v>49059</v>
      </c>
      <c r="R1058" s="5"/>
      <c r="S1058" s="5" t="s">
        <v>49371</v>
      </c>
      <c r="T1058" s="28">
        <v>24048000</v>
      </c>
      <c r="U1058" s="28"/>
      <c r="V1058" s="28">
        <v>829267000</v>
      </c>
      <c r="W1058" s="28">
        <v>321300000</v>
      </c>
      <c r="X1058" s="28">
        <v>306345000</v>
      </c>
      <c r="Y1058" s="28">
        <v>1493490000</v>
      </c>
      <c r="Z1058" s="28">
        <v>335874000</v>
      </c>
      <c r="AA1058" s="28"/>
      <c r="AB1058" s="28"/>
      <c r="AC1058" s="28">
        <v>1150940000</v>
      </c>
      <c r="AD1058" s="28">
        <v>335884000</v>
      </c>
      <c r="AE1058" s="28">
        <v>3865879000</v>
      </c>
      <c r="AF1058" s="28">
        <v>64451000</v>
      </c>
      <c r="AG1058" s="11"/>
    </row>
    <row r="1059">
      <c r="A1059" s="7" t="s">
        <v>2783</v>
      </c>
      <c r="B1059" s="5" t="s">
        <v>10767</v>
      </c>
      <c r="C1059" s="5" t="s">
        <v>18646</v>
      </c>
      <c r="D1059" s="5" t="str">
        <v>272206552552</v>
      </c>
      <c r="E1059" s="0" t="e">
        <f>+7 (4232) 206065
+7 (4232) 206250
+7 (4232) 209400
+7 (926) 7372998</f>
        <v>#NAME?</v>
      </c>
      <c r="F1059" s="5" t="s">
        <v>28575</v>
      </c>
      <c r="G1059" s="5"/>
      <c r="H1059" s="26">
        <v>11</v>
      </c>
      <c r="I1059" s="5" t="s">
        <v>28576</v>
      </c>
      <c r="J1059" s="5" t="s">
        <v>28577</v>
      </c>
      <c r="K1059" s="5" t="s">
        <v>355</v>
      </c>
      <c r="L1059" s="5" t="s">
        <v>28578</v>
      </c>
      <c r="M1059" s="27"/>
      <c r="N1059" s="5" t="s">
        <v>50815</v>
      </c>
      <c r="O1059" s="5" t="str">
        <v>2536252444</v>
      </c>
      <c r="P1059" s="27">
        <v>100000</v>
      </c>
      <c r="Q1059" s="5" t="s">
        <v>50816</v>
      </c>
      <c r="R1059" s="5"/>
      <c r="S1059" s="5" t="s">
        <v>50817</v>
      </c>
      <c r="T1059" s="28">
        <v>2319913000</v>
      </c>
      <c r="U1059" s="28"/>
      <c r="V1059" s="28">
        <v>266320000</v>
      </c>
      <c r="W1059" s="28"/>
      <c r="X1059" s="28">
        <v>1939000</v>
      </c>
      <c r="Y1059" s="28">
        <v>3646282000</v>
      </c>
      <c r="Z1059" s="28">
        <v>385160000</v>
      </c>
      <c r="AA1059" s="28"/>
      <c r="AB1059" s="28"/>
      <c r="AC1059" s="28">
        <v>1030039000</v>
      </c>
      <c r="AD1059" s="28">
        <v>385260000</v>
      </c>
      <c r="AE1059" s="28">
        <v>3224931000</v>
      </c>
      <c r="AF1059" s="28">
        <v>6879000</v>
      </c>
      <c r="AG1059" s="11"/>
    </row>
    <row r="1060">
      <c r="A1060" s="7" t="s">
        <v>2784</v>
      </c>
      <c r="B1060" s="5" t="s">
        <v>10768</v>
      </c>
      <c r="C1060" s="5" t="s">
        <v>18647</v>
      </c>
      <c r="D1060" s="5" t="str">
        <v>773605353378</v>
      </c>
      <c r="E1060" s="0" t="e">
        <f>+7 (495) 7847117
+7 (495) 7847120
+7 (495) 7847124
+7 (495) 7847125
+7 (495) 7847134
+7 (495) 9336676
+7 (495) 9336677
+7 (495) 9372266
+7 (905) 5541175
+7 (495) 7847121
+7 (495) 7847123</f>
        <v>#NAME?</v>
      </c>
      <c r="F1060" s="5" t="s">
        <v>28579</v>
      </c>
      <c r="G1060" s="5" t="s">
        <v>28580</v>
      </c>
      <c r="H1060" s="26">
        <v>23</v>
      </c>
      <c r="I1060" s="5" t="s">
        <v>28581</v>
      </c>
      <c r="J1060" s="5" t="s">
        <v>28582</v>
      </c>
      <c r="K1060" s="5" t="s">
        <v>344</v>
      </c>
      <c r="L1060" s="5" t="s">
        <v>28583</v>
      </c>
      <c r="M1060" s="27"/>
      <c r="N1060" s="5" t="s">
        <v>50818</v>
      </c>
      <c r="O1060" s="5" t="str">
        <v>7728207613</v>
      </c>
      <c r="P1060" s="27">
        <v>2000000</v>
      </c>
      <c r="Q1060" s="5" t="s">
        <v>49009</v>
      </c>
      <c r="R1060" s="5"/>
      <c r="S1060" s="5" t="s">
        <v>49012</v>
      </c>
      <c r="T1060" s="28">
        <v>109690000</v>
      </c>
      <c r="U1060" s="28">
        <v>40000</v>
      </c>
      <c r="V1060" s="28">
        <v>133608000</v>
      </c>
      <c r="W1060" s="28">
        <v>500000000</v>
      </c>
      <c r="X1060" s="28">
        <v>528645000</v>
      </c>
      <c r="Y1060" s="28">
        <v>1875011000</v>
      </c>
      <c r="Z1060" s="28">
        <v>1457862000</v>
      </c>
      <c r="AA1060" s="28"/>
      <c r="AB1060" s="28"/>
      <c r="AC1060" s="28">
        <v>290338000</v>
      </c>
      <c r="AD1060" s="28">
        <v>1468440000</v>
      </c>
      <c r="AE1060" s="28">
        <v>5989956000</v>
      </c>
      <c r="AF1060" s="28">
        <v>664839000</v>
      </c>
      <c r="AG1060" s="11"/>
    </row>
    <row r="1061">
      <c r="A1061" s="7" t="s">
        <v>2785</v>
      </c>
      <c r="B1061" s="5" t="s">
        <v>10769</v>
      </c>
      <c r="C1061" s="5" t="s">
        <v>18648</v>
      </c>
      <c r="D1061" s="5" t="str">
        <v>772129119401</v>
      </c>
      <c r="E1061" s="0" t="e">
        <f>+7 (495) 7754441
+7 (495) 7976418
+7 (421) 2542112
+7 (495) 7973472
+7 (495) 7973473
+7 (495) 7976411
+7 (495) 9671247
+7 (831) 2163344
+7 (831) 2814201
+7 (916) 6758532</f>
        <v>#NAME?</v>
      </c>
      <c r="F1061" s="5" t="s">
        <v>28584</v>
      </c>
      <c r="G1061" s="5" t="s">
        <v>28585</v>
      </c>
      <c r="H1061" s="26">
        <v>27</v>
      </c>
      <c r="I1061" s="5"/>
      <c r="J1061" s="5" t="s">
        <v>28586</v>
      </c>
      <c r="K1061" s="5" t="s">
        <v>344</v>
      </c>
      <c r="L1061" s="5" t="s">
        <v>28587</v>
      </c>
      <c r="M1061" s="27"/>
      <c r="N1061" s="5" t="s">
        <v>50819</v>
      </c>
      <c r="O1061" s="5" t="str">
        <v>7718118019</v>
      </c>
      <c r="P1061" s="27">
        <v>4680500</v>
      </c>
      <c r="Q1061" s="5" t="s">
        <v>49535</v>
      </c>
      <c r="R1061" s="5"/>
      <c r="S1061" s="5" t="s">
        <v>50820</v>
      </c>
      <c r="T1061" s="28">
        <v>100467000</v>
      </c>
      <c r="U1061" s="28"/>
      <c r="V1061" s="28">
        <v>2023864000</v>
      </c>
      <c r="W1061" s="28">
        <v>64395000</v>
      </c>
      <c r="X1061" s="28">
        <v>62126000</v>
      </c>
      <c r="Y1061" s="28">
        <v>3448982000</v>
      </c>
      <c r="Z1061" s="28">
        <v>2543463000</v>
      </c>
      <c r="AA1061" s="28"/>
      <c r="AB1061" s="28">
        <v>138891000</v>
      </c>
      <c r="AC1061" s="28">
        <v>900604000</v>
      </c>
      <c r="AD1061" s="28">
        <v>2548378000</v>
      </c>
      <c r="AE1061" s="28">
        <v>12882254000</v>
      </c>
      <c r="AF1061" s="28">
        <v>1973536000</v>
      </c>
      <c r="AG1061" s="11"/>
    </row>
    <row r="1062">
      <c r="A1062" s="7" t="s">
        <v>2786</v>
      </c>
      <c r="B1062" s="5" t="s">
        <v>10770</v>
      </c>
      <c r="C1062" s="5" t="s">
        <v>18649</v>
      </c>
      <c r="D1062" s="5" t="str">
        <v>333866666604</v>
      </c>
      <c r="E1062" s="0" t="e">
        <f>+7 (492) 2400535
+7 (49233) 30891
+7 (915) 7777323</f>
        <v>#NAME?</v>
      </c>
      <c r="F1062" s="5" t="s">
        <v>28588</v>
      </c>
      <c r="G1062" s="5" t="s">
        <v>28589</v>
      </c>
      <c r="H1062" s="26">
        <v>9</v>
      </c>
      <c r="I1062" s="5" t="s">
        <v>28590</v>
      </c>
      <c r="J1062" s="5" t="s">
        <v>28075</v>
      </c>
      <c r="K1062" s="5" t="s">
        <v>344</v>
      </c>
      <c r="L1062" s="5" t="s">
        <v>28591</v>
      </c>
      <c r="M1062" s="27"/>
      <c r="N1062" s="5"/>
      <c r="O1062" s="5" t="str">
        <v>3328495208</v>
      </c>
      <c r="P1062" s="27">
        <v>20000</v>
      </c>
      <c r="Q1062" s="5" t="s">
        <v>49057</v>
      </c>
      <c r="R1062" s="5" t="s">
        <v>50821</v>
      </c>
      <c r="S1062" s="5" t="s">
        <v>50822</v>
      </c>
      <c r="T1062" s="28">
        <v>475585000</v>
      </c>
      <c r="U1062" s="28"/>
      <c r="V1062" s="28">
        <v>435220000</v>
      </c>
      <c r="W1062" s="28">
        <v>1330650000</v>
      </c>
      <c r="X1062" s="28">
        <v>6969000</v>
      </c>
      <c r="Y1062" s="28">
        <v>2700339000</v>
      </c>
      <c r="Z1062" s="28">
        <v>677080000</v>
      </c>
      <c r="AA1062" s="28">
        <v>603041000</v>
      </c>
      <c r="AB1062" s="28"/>
      <c r="AC1062" s="28">
        <v>1387871000</v>
      </c>
      <c r="AD1062" s="28">
        <v>677100000</v>
      </c>
      <c r="AE1062" s="28">
        <v>6820991000</v>
      </c>
      <c r="AF1062" s="28">
        <v>169207000</v>
      </c>
      <c r="AG1062" s="11"/>
    </row>
    <row r="1063">
      <c r="A1063" s="7" t="s">
        <v>2787</v>
      </c>
      <c r="B1063" s="5" t="s">
        <v>10771</v>
      </c>
      <c r="C1063" s="5" t="s">
        <v>18650</v>
      </c>
      <c r="D1063" s="5" t="str">
        <v>333800725182</v>
      </c>
      <c r="E1063" s="0" t="e">
        <f>+7 (915) 7943652</f>
        <v>#NAME?</v>
      </c>
      <c r="F1063" s="5"/>
      <c r="G1063" s="5"/>
      <c r="H1063" s="26">
        <v>7</v>
      </c>
      <c r="I1063" s="5" t="s">
        <v>28592</v>
      </c>
      <c r="J1063" s="5" t="s">
        <v>28593</v>
      </c>
      <c r="K1063" s="5" t="s">
        <v>344</v>
      </c>
      <c r="L1063" s="5" t="s">
        <v>28594</v>
      </c>
      <c r="M1063" s="27"/>
      <c r="N1063" s="5" t="s">
        <v>50823</v>
      </c>
      <c r="O1063" s="5" t="str">
        <v>6167133094</v>
      </c>
      <c r="P1063" s="27">
        <v>10000</v>
      </c>
      <c r="Q1063" s="5"/>
      <c r="R1063" s="5"/>
      <c r="S1063" s="5" t="s">
        <v>49047</v>
      </c>
      <c r="T1063" s="28"/>
      <c r="U1063" s="28"/>
      <c r="V1063" s="28">
        <v>1344334000</v>
      </c>
      <c r="W1063" s="28"/>
      <c r="X1063" s="28">
        <v>5761000</v>
      </c>
      <c r="Y1063" s="28">
        <v>1615614000</v>
      </c>
      <c r="Z1063" s="28">
        <v>249808000</v>
      </c>
      <c r="AA1063" s="28"/>
      <c r="AB1063" s="28"/>
      <c r="AC1063" s="28">
        <v>1365796000</v>
      </c>
      <c r="AD1063" s="28">
        <v>249818000</v>
      </c>
      <c r="AE1063" s="28">
        <v>5479716000</v>
      </c>
      <c r="AF1063" s="28">
        <v>94547000</v>
      </c>
      <c r="AG1063" s="11"/>
    </row>
    <row r="1064">
      <c r="A1064" s="7" t="s">
        <v>2788</v>
      </c>
      <c r="B1064" s="5" t="s">
        <v>10772</v>
      </c>
      <c r="C1064" s="5" t="s">
        <v>18651</v>
      </c>
      <c r="D1064" s="5" t="str">
        <v>500508895242</v>
      </c>
      <c r="E1064" s="0" t="e">
        <f>+7 (3432) 720088
+7 (3433) 831388
+7 (495) 3749591
+7 (495) 9407302
+7 (812) 4487252
+7 (916) 4416961
+7 (920) 6279930</f>
        <v>#NAME?</v>
      </c>
      <c r="F1064" s="5" t="s">
        <v>28595</v>
      </c>
      <c r="G1064" s="5"/>
      <c r="H1064" s="26">
        <v>13.5</v>
      </c>
      <c r="I1064" s="5" t="s">
        <v>28596</v>
      </c>
      <c r="J1064" s="5" t="s">
        <v>25512</v>
      </c>
      <c r="K1064" s="5" t="s">
        <v>344</v>
      </c>
      <c r="L1064" s="5" t="s">
        <v>28597</v>
      </c>
      <c r="M1064" s="27"/>
      <c r="N1064" s="5" t="s">
        <v>50824</v>
      </c>
      <c r="O1064" s="5" t="str">
        <v>5031088340</v>
      </c>
      <c r="P1064" s="27">
        <v>105000</v>
      </c>
      <c r="Q1064" s="5" t="s">
        <v>49009</v>
      </c>
      <c r="R1064" s="5"/>
      <c r="S1064" s="5" t="s">
        <v>49012</v>
      </c>
      <c r="T1064" s="28">
        <v>21623000</v>
      </c>
      <c r="U1064" s="28"/>
      <c r="V1064" s="28">
        <v>407541000</v>
      </c>
      <c r="W1064" s="28">
        <v>2230000</v>
      </c>
      <c r="X1064" s="28">
        <v>121411000</v>
      </c>
      <c r="Y1064" s="28">
        <v>876607000</v>
      </c>
      <c r="Z1064" s="28">
        <v>610422000</v>
      </c>
      <c r="AA1064" s="28">
        <v>12200000</v>
      </c>
      <c r="AB1064" s="28"/>
      <c r="AC1064" s="28">
        <v>251657000</v>
      </c>
      <c r="AD1064" s="28">
        <v>610527000</v>
      </c>
      <c r="AE1064" s="28">
        <v>3708845000</v>
      </c>
      <c r="AF1064" s="28">
        <v>433439000</v>
      </c>
      <c r="AG1064" s="11"/>
    </row>
    <row r="1065">
      <c r="A1065" s="7" t="s">
        <v>2789</v>
      </c>
      <c r="B1065" s="5" t="s">
        <v>10773</v>
      </c>
      <c r="C1065" s="5" t="s">
        <v>18652</v>
      </c>
      <c r="D1065" s="5" t="str">
        <v>165507871630</v>
      </c>
      <c r="E1065" s="0" t="e">
        <f>+7 (8432) 720242
+7 (8432) 970663
+7 (8432) 970668
+7 (84366) 33903
+7 (84366) 33904
+7 (84366) 33919
+7 (84366) 33929
+7 (904) 7642673
+7 (906) 3268648</f>
        <v>#NAME?</v>
      </c>
      <c r="F1065" s="5" t="s">
        <v>28598</v>
      </c>
      <c r="G1065" s="5" t="s">
        <v>28599</v>
      </c>
      <c r="H1065" s="26">
        <v>8</v>
      </c>
      <c r="I1065" s="5" t="s">
        <v>28600</v>
      </c>
      <c r="J1065" s="5" t="s">
        <v>25253</v>
      </c>
      <c r="K1065" s="5" t="s">
        <v>355</v>
      </c>
      <c r="L1065" s="5"/>
      <c r="M1065" s="27"/>
      <c r="N1065" s="5"/>
      <c r="O1065" s="5" t="str">
        <v>1655306440</v>
      </c>
      <c r="P1065" s="27">
        <v>15798500</v>
      </c>
      <c r="Q1065" s="5" t="s">
        <v>49009</v>
      </c>
      <c r="R1065" s="5"/>
      <c r="S1065" s="5" t="s">
        <v>49028</v>
      </c>
      <c r="T1065" s="28">
        <v>173389000</v>
      </c>
      <c r="U1065" s="28">
        <v>49069000</v>
      </c>
      <c r="V1065" s="28">
        <v>535878000</v>
      </c>
      <c r="W1065" s="28"/>
      <c r="X1065" s="28">
        <v>417000</v>
      </c>
      <c r="Y1065" s="28">
        <v>842006000</v>
      </c>
      <c r="Z1065" s="28">
        <v>45569000</v>
      </c>
      <c r="AA1065" s="28">
        <v>83474000</v>
      </c>
      <c r="AB1065" s="28">
        <v>40509000</v>
      </c>
      <c r="AC1065" s="28">
        <v>543627000</v>
      </c>
      <c r="AD1065" s="28">
        <v>212267000</v>
      </c>
      <c r="AE1065" s="28">
        <v>7298792000</v>
      </c>
      <c r="AF1065" s="28">
        <v>6517000</v>
      </c>
      <c r="AG1065" s="11"/>
    </row>
    <row r="1066">
      <c r="A1066" s="7" t="s">
        <v>2790</v>
      </c>
      <c r="B1066" s="5" t="s">
        <v>10774</v>
      </c>
      <c r="C1066" s="5" t="s">
        <v>18653</v>
      </c>
      <c r="D1066" s="5"/>
      <c r="E1066" s="0" t="e">
        <f>+7 (81853) 22450
+7 (81853) 63124
+7 (912) 7800433
+7 (925) 770303
+7 (818) 9803300
+7 (81853) 22411
+7 (82144) 56178</f>
        <v>#NAME?</v>
      </c>
      <c r="F1066" s="5" t="s">
        <v>28601</v>
      </c>
      <c r="G1066" s="5"/>
      <c r="H1066" s="26">
        <v>9.5</v>
      </c>
      <c r="I1066" s="5" t="s">
        <v>28602</v>
      </c>
      <c r="J1066" s="5" t="s">
        <v>28603</v>
      </c>
      <c r="K1066" s="5" t="s">
        <v>344</v>
      </c>
      <c r="L1066" s="5"/>
      <c r="M1066" s="27"/>
      <c r="N1066" s="5" t="s">
        <v>49923</v>
      </c>
      <c r="O1066" s="5" t="str">
        <v>2983009240</v>
      </c>
      <c r="P1066" s="27">
        <v>100000</v>
      </c>
      <c r="Q1066" s="5" t="s">
        <v>50825</v>
      </c>
      <c r="R1066" s="5"/>
      <c r="S1066" s="5" t="s">
        <v>50826</v>
      </c>
      <c r="T1066" s="28">
        <v>14184213000</v>
      </c>
      <c r="U1066" s="28">
        <v>10000</v>
      </c>
      <c r="V1066" s="28">
        <v>23891500000</v>
      </c>
      <c r="W1066" s="28"/>
      <c r="X1066" s="28">
        <v>31000</v>
      </c>
      <c r="Y1066" s="28">
        <v>39356546000</v>
      </c>
      <c r="Z1066" s="28">
        <v>31599835000</v>
      </c>
      <c r="AA1066" s="28"/>
      <c r="AB1066" s="28"/>
      <c r="AC1066" s="28">
        <v>1642698000</v>
      </c>
      <c r="AD1066" s="28">
        <v>31597879000</v>
      </c>
      <c r="AE1066" s="28">
        <v>7229358000</v>
      </c>
      <c r="AF1066" s="28">
        <v>-3411015000</v>
      </c>
      <c r="AG1066" s="11"/>
    </row>
    <row r="1067">
      <c r="A1067" s="7" t="s">
        <v>2791</v>
      </c>
      <c r="B1067" s="5" t="s">
        <v>10775</v>
      </c>
      <c r="C1067" s="5" t="s">
        <v>18654</v>
      </c>
      <c r="D1067" s="5" t="str">
        <v>272425675170</v>
      </c>
      <c r="E1067" s="0" t="e">
        <f>+7 (4217) 230717
+7 (4217) 230718</f>
        <v>#NAME?</v>
      </c>
      <c r="F1067" s="5"/>
      <c r="G1067" s="5"/>
      <c r="H1067" s="26">
        <v>16</v>
      </c>
      <c r="I1067" s="5" t="s">
        <v>28604</v>
      </c>
      <c r="J1067" s="5" t="s">
        <v>585</v>
      </c>
      <c r="K1067" s="5" t="s">
        <v>355</v>
      </c>
      <c r="L1067" s="5" t="s">
        <v>28605</v>
      </c>
      <c r="M1067" s="27"/>
      <c r="N1067" s="5" t="s">
        <v>49675</v>
      </c>
      <c r="O1067" s="5" t="str">
        <v>2725061340</v>
      </c>
      <c r="P1067" s="27">
        <v>10000</v>
      </c>
      <c r="Q1067" s="5" t="s">
        <v>49009</v>
      </c>
      <c r="R1067" s="5"/>
      <c r="S1067" s="5" t="s">
        <v>49028</v>
      </c>
      <c r="T1067" s="28">
        <v>12897000</v>
      </c>
      <c r="U1067" s="28"/>
      <c r="V1067" s="28">
        <v>744853000</v>
      </c>
      <c r="W1067" s="28"/>
      <c r="X1067" s="28">
        <v>84858000</v>
      </c>
      <c r="Y1067" s="28">
        <v>1161366000</v>
      </c>
      <c r="Z1067" s="28">
        <v>203516000</v>
      </c>
      <c r="AA1067" s="28"/>
      <c r="AB1067" s="28">
        <v>300000000</v>
      </c>
      <c r="AC1067" s="28">
        <v>957840000</v>
      </c>
      <c r="AD1067" s="28">
        <v>203526000</v>
      </c>
      <c r="AE1067" s="28">
        <v>3112939000</v>
      </c>
      <c r="AF1067" s="28">
        <v>53582000</v>
      </c>
      <c r="AG1067" s="11"/>
    </row>
    <row r="1068">
      <c r="A1068" s="7" t="s">
        <v>2792</v>
      </c>
      <c r="B1068" s="5" t="s">
        <v>10776</v>
      </c>
      <c r="C1068" s="5" t="s">
        <v>18655</v>
      </c>
      <c r="D1068" s="5" t="str">
        <v>027720276671</v>
      </c>
      <c r="E1068" s="0" t="e">
        <f>+7 (34668) 41893
+7 (34668) 41535
+7 (34668) 41650</f>
        <v>#NAME?</v>
      </c>
      <c r="F1068" s="5" t="s">
        <v>28606</v>
      </c>
      <c r="G1068" s="5" t="s">
        <v>28607</v>
      </c>
      <c r="H1068" s="26">
        <v>30</v>
      </c>
      <c r="I1068" s="5" t="s">
        <v>28608</v>
      </c>
      <c r="J1068" s="5" t="s">
        <v>26607</v>
      </c>
      <c r="K1068" s="5" t="s">
        <v>355</v>
      </c>
      <c r="L1068" s="5" t="s">
        <v>28609</v>
      </c>
      <c r="M1068" s="27"/>
      <c r="N1068" s="5" t="s">
        <v>50827</v>
      </c>
      <c r="O1068" s="5" t="str">
        <v>8609002880</v>
      </c>
      <c r="P1068" s="27">
        <v>13348000</v>
      </c>
      <c r="Q1068" s="5" t="s">
        <v>50828</v>
      </c>
      <c r="R1068" s="5"/>
      <c r="S1068" s="5" t="s">
        <v>49399</v>
      </c>
      <c r="T1068" s="28">
        <v>3160300000</v>
      </c>
      <c r="U1068" s="28">
        <v>1684956000</v>
      </c>
      <c r="V1068" s="28">
        <v>14983862000</v>
      </c>
      <c r="W1068" s="28"/>
      <c r="X1068" s="28">
        <v>324000</v>
      </c>
      <c r="Y1068" s="28">
        <v>20235016000</v>
      </c>
      <c r="Z1068" s="28">
        <v>18214985000</v>
      </c>
      <c r="AA1068" s="28"/>
      <c r="AB1068" s="28"/>
      <c r="AC1068" s="28">
        <v>1603201000</v>
      </c>
      <c r="AD1068" s="28">
        <v>18230336000</v>
      </c>
      <c r="AE1068" s="28">
        <v>16374302000</v>
      </c>
      <c r="AF1068" s="28">
        <v>-246910000</v>
      </c>
      <c r="AG1068" s="11"/>
    </row>
    <row r="1069">
      <c r="A1069" s="7" t="s">
        <v>2793</v>
      </c>
      <c r="B1069" s="5" t="s">
        <v>10777</v>
      </c>
      <c r="C1069" s="5" t="s">
        <v>18656</v>
      </c>
      <c r="D1069" s="5" t="str">
        <v>773387267912</v>
      </c>
      <c r="E1069" s="0" t="e">
        <f>+7 (8412) 580905
+7 (8412) 580944</f>
        <v>#NAME?</v>
      </c>
      <c r="F1069" s="5" t="s">
        <v>28610</v>
      </c>
      <c r="G1069" s="5" t="s">
        <v>28611</v>
      </c>
      <c r="H1069" s="26">
        <v>23.5</v>
      </c>
      <c r="I1069" s="5" t="s">
        <v>28612</v>
      </c>
      <c r="J1069" s="5" t="s">
        <v>25450</v>
      </c>
      <c r="K1069" s="5" t="s">
        <v>344</v>
      </c>
      <c r="L1069" s="5" t="s">
        <v>28613</v>
      </c>
      <c r="M1069" s="27">
        <v>652810565</v>
      </c>
      <c r="N1069" s="5"/>
      <c r="O1069" s="5" t="str">
        <v>5809022198</v>
      </c>
      <c r="P1069" s="27">
        <v>99169</v>
      </c>
      <c r="Q1069" s="5"/>
      <c r="R1069" s="5"/>
      <c r="S1069" s="5" t="s">
        <v>49110</v>
      </c>
      <c r="T1069" s="28">
        <v>4336159000</v>
      </c>
      <c r="U1069" s="28">
        <v>286243000</v>
      </c>
      <c r="V1069" s="28">
        <v>5213664000</v>
      </c>
      <c r="W1069" s="28">
        <v>1388000</v>
      </c>
      <c r="X1069" s="28">
        <v>1484000</v>
      </c>
      <c r="Y1069" s="28">
        <v>11857957000</v>
      </c>
      <c r="Z1069" s="28">
        <v>2719250000</v>
      </c>
      <c r="AA1069" s="28">
        <v>4289062000</v>
      </c>
      <c r="AB1069" s="28">
        <v>1900797000</v>
      </c>
      <c r="AC1069" s="28">
        <v>4678023000</v>
      </c>
      <c r="AD1069" s="28">
        <v>2882371000</v>
      </c>
      <c r="AE1069" s="28">
        <v>16258169000</v>
      </c>
      <c r="AF1069" s="28">
        <v>1576031000</v>
      </c>
      <c r="AG1069" s="11"/>
    </row>
    <row r="1070">
      <c r="A1070" s="7" t="s">
        <v>2794</v>
      </c>
      <c r="B1070" s="5" t="s">
        <v>10778</v>
      </c>
      <c r="C1070" s="5" t="s">
        <v>18657</v>
      </c>
      <c r="D1070" s="5" t="str">
        <v>772571476761</v>
      </c>
      <c r="E1070" s="0" t="e">
        <f>+7 (903) 7788445</f>
        <v>#NAME?</v>
      </c>
      <c r="F1070" s="5" t="s">
        <v>28614</v>
      </c>
      <c r="G1070" s="5" t="s">
        <v>28615</v>
      </c>
      <c r="H1070" s="26">
        <v>2.5</v>
      </c>
      <c r="I1070" s="5" t="s">
        <v>28616</v>
      </c>
      <c r="J1070" s="5" t="s">
        <v>28617</v>
      </c>
      <c r="K1070" s="5" t="s">
        <v>355</v>
      </c>
      <c r="L1070" s="5" t="s">
        <v>28618</v>
      </c>
      <c r="M1070" s="27">
        <v>156255640</v>
      </c>
      <c r="N1070" s="5" t="s">
        <v>50829</v>
      </c>
      <c r="O1070" s="5" t="str">
        <v>3323007506</v>
      </c>
      <c r="P1070" s="27">
        <v>50000</v>
      </c>
      <c r="Q1070" s="5" t="s">
        <v>50830</v>
      </c>
      <c r="R1070" s="5" t="s">
        <v>50627</v>
      </c>
      <c r="S1070" s="5" t="s">
        <v>50831</v>
      </c>
      <c r="T1070" s="28">
        <v>52491000</v>
      </c>
      <c r="U1070" s="28">
        <v>1911000</v>
      </c>
      <c r="V1070" s="28">
        <v>4332539000</v>
      </c>
      <c r="W1070" s="28">
        <v>48217000</v>
      </c>
      <c r="X1070" s="28">
        <v>502324000</v>
      </c>
      <c r="Y1070" s="28">
        <v>5004961000</v>
      </c>
      <c r="Z1070" s="28">
        <v>128894000</v>
      </c>
      <c r="AA1070" s="28"/>
      <c r="AB1070" s="28">
        <v>1136793000</v>
      </c>
      <c r="AC1070" s="28">
        <v>4740298000</v>
      </c>
      <c r="AD1070" s="28">
        <v>130823000</v>
      </c>
      <c r="AE1070" s="28">
        <v>19453085000</v>
      </c>
      <c r="AF1070" s="28">
        <v>124750000</v>
      </c>
      <c r="AG1070" s="11"/>
    </row>
    <row r="1071">
      <c r="A1071" s="7" t="s">
        <v>2795</v>
      </c>
      <c r="B1071" s="5" t="s">
        <v>10779</v>
      </c>
      <c r="C1071" s="5" t="s">
        <v>18658</v>
      </c>
      <c r="D1071" s="5" t="str">
        <v>773301679508</v>
      </c>
      <c r="E1071" s="0" t="e">
        <f>+7 (3439) 666435
+7 (346) 2379066
+7 (346) 2379135
+7 (346) 2379147
+7 (3472) 634864
+7 (381) 2711213
+7 (381) 2711918
+7 (381) 2713263
+7 (383) 2119114
+7 (383) 3420362
+7 (383) 3420554
+7 (38557) 25864
+7 (38557) 25945
+7 (38557) 26896
+7 (38557) 43663</f>
        <v>#NAME?</v>
      </c>
      <c r="F1071" s="5" t="s">
        <v>28619</v>
      </c>
      <c r="G1071" s="5" t="s">
        <v>28620</v>
      </c>
      <c r="H1071" s="26">
        <v>30</v>
      </c>
      <c r="I1071" s="5"/>
      <c r="J1071" s="5" t="s">
        <v>25231</v>
      </c>
      <c r="K1071" s="5" t="s">
        <v>344</v>
      </c>
      <c r="L1071" s="5"/>
      <c r="M1071" s="27">
        <v>12534422</v>
      </c>
      <c r="N1071" s="5" t="s">
        <v>50832</v>
      </c>
      <c r="O1071" s="5" t="str">
        <v>7713085659</v>
      </c>
      <c r="P1071" s="27">
        <v>4331860</v>
      </c>
      <c r="Q1071" s="5" t="s">
        <v>50833</v>
      </c>
      <c r="R1071" s="5"/>
      <c r="S1071" s="5" t="s">
        <v>50179</v>
      </c>
      <c r="T1071" s="28">
        <v>22223564000</v>
      </c>
      <c r="U1071" s="28">
        <v>9010548000</v>
      </c>
      <c r="V1071" s="28">
        <v>9959087000</v>
      </c>
      <c r="W1071" s="28">
        <v>1598298000</v>
      </c>
      <c r="X1071" s="28">
        <v>7497955000</v>
      </c>
      <c r="Y1071" s="28">
        <v>65539713000</v>
      </c>
      <c r="Z1071" s="28">
        <v>36923890000</v>
      </c>
      <c r="AA1071" s="28"/>
      <c r="AB1071" s="28">
        <v>8208777000</v>
      </c>
      <c r="AC1071" s="28">
        <v>27169889000</v>
      </c>
      <c r="AD1071" s="28">
        <v>38336811000</v>
      </c>
      <c r="AE1071" s="28">
        <v>117170090000</v>
      </c>
      <c r="AF1071" s="28">
        <v>6278934000</v>
      </c>
      <c r="AG1071" s="11"/>
    </row>
    <row r="1072">
      <c r="A1072" s="7" t="s">
        <v>2796</v>
      </c>
      <c r="B1072" s="5" t="s">
        <v>10780</v>
      </c>
      <c r="C1072" s="5" t="s">
        <v>18659</v>
      </c>
      <c r="D1072" s="5" t="str">
        <v>524915614730</v>
      </c>
      <c r="E1072" s="0" t="e">
        <f>+7 (8313) 330896
+7 (8313) 332108
+7 (8313) 334728
+7 (8313) 337360</f>
        <v>#NAME?</v>
      </c>
      <c r="F1072" s="5" t="s">
        <v>28621</v>
      </c>
      <c r="G1072" s="5" t="s">
        <v>28622</v>
      </c>
      <c r="H1072" s="26">
        <v>10</v>
      </c>
      <c r="I1072" s="5" t="s">
        <v>28623</v>
      </c>
      <c r="J1072" s="5" t="s">
        <v>26770</v>
      </c>
      <c r="K1072" s="5" t="s">
        <v>344</v>
      </c>
      <c r="L1072" s="5" t="s">
        <v>28624</v>
      </c>
      <c r="M1072" s="27">
        <v>384800</v>
      </c>
      <c r="N1072" s="5" t="s">
        <v>50834</v>
      </c>
      <c r="O1072" s="5" t="str">
        <v>5249124540</v>
      </c>
      <c r="P1072" s="27">
        <v>10000</v>
      </c>
      <c r="Q1072" s="5" t="s">
        <v>50835</v>
      </c>
      <c r="R1072" s="5"/>
      <c r="S1072" s="5" t="s">
        <v>50836</v>
      </c>
      <c r="T1072" s="28">
        <v>41912000</v>
      </c>
      <c r="U1072" s="28"/>
      <c r="V1072" s="28">
        <v>1586858000</v>
      </c>
      <c r="W1072" s="28">
        <v>412084000</v>
      </c>
      <c r="X1072" s="28">
        <v>25649000</v>
      </c>
      <c r="Y1072" s="28">
        <v>2474134000</v>
      </c>
      <c r="Z1072" s="28">
        <v>1728713000</v>
      </c>
      <c r="AA1072" s="28">
        <v>50900000</v>
      </c>
      <c r="AB1072" s="28"/>
      <c r="AC1072" s="28">
        <v>694511000</v>
      </c>
      <c r="AD1072" s="28">
        <v>1728723000</v>
      </c>
      <c r="AE1072" s="28">
        <v>7241388000</v>
      </c>
      <c r="AF1072" s="28">
        <v>470238000</v>
      </c>
      <c r="AG1072" s="11"/>
    </row>
    <row r="1073">
      <c r="A1073" s="7" t="s">
        <v>2797</v>
      </c>
      <c r="B1073" s="5" t="s">
        <v>10781</v>
      </c>
      <c r="C1073" s="5" t="s">
        <v>18660</v>
      </c>
      <c r="D1073" s="5" t="str">
        <v>662331958730</v>
      </c>
      <c r="E1073" s="0" t="e">
        <f>+7 (3435) 244866
+7 (3435) 245474
+7 (3435) 495201
+7 (3435) 495381
+7 (3435) 495460
+7 (3435) 969423
+7 (912) 6599800</f>
        <v>#NAME?</v>
      </c>
      <c r="F1073" s="5" t="s">
        <v>28625</v>
      </c>
      <c r="G1073" s="5" t="s">
        <v>28626</v>
      </c>
      <c r="H1073" s="26">
        <v>30</v>
      </c>
      <c r="I1073" s="5"/>
      <c r="J1073" s="5" t="s">
        <v>28627</v>
      </c>
      <c r="K1073" s="5" t="s">
        <v>380</v>
      </c>
      <c r="L1073" s="5" t="s">
        <v>28628</v>
      </c>
      <c r="M1073" s="27">
        <v>383250624</v>
      </c>
      <c r="N1073" s="5" t="s">
        <v>50837</v>
      </c>
      <c r="O1073" s="5" t="str">
        <v>6623000708</v>
      </c>
      <c r="P1073" s="27">
        <v>780105000</v>
      </c>
      <c r="Q1073" s="5" t="s">
        <v>50839</v>
      </c>
      <c r="R1073" s="5" t="s">
        <v>50840</v>
      </c>
      <c r="S1073" s="5" t="s">
        <v>49884</v>
      </c>
      <c r="T1073" s="28">
        <v>1504045000</v>
      </c>
      <c r="U1073" s="28"/>
      <c r="V1073" s="28">
        <v>3136712000</v>
      </c>
      <c r="W1073" s="28">
        <v>831849000</v>
      </c>
      <c r="X1073" s="28">
        <v>3718000</v>
      </c>
      <c r="Y1073" s="28">
        <v>6055784000</v>
      </c>
      <c r="Z1073" s="28">
        <v>1461727000</v>
      </c>
      <c r="AA1073" s="28"/>
      <c r="AB1073" s="28">
        <v>118000</v>
      </c>
      <c r="AC1073" s="28">
        <v>2975739000</v>
      </c>
      <c r="AD1073" s="28">
        <v>2457078000</v>
      </c>
      <c r="AE1073" s="28">
        <v>5978960000</v>
      </c>
      <c r="AF1073" s="28">
        <v>-705229000</v>
      </c>
      <c r="AG1073" s="11"/>
    </row>
    <row r="1074">
      <c r="A1074" s="7" t="s">
        <v>2798</v>
      </c>
      <c r="B1074" s="5" t="s">
        <v>10782</v>
      </c>
      <c r="C1074" s="5" t="s">
        <v>18661</v>
      </c>
      <c r="D1074" s="5" t="str">
        <v>110303516530</v>
      </c>
      <c r="E1074" s="0" t="e">
        <f>+7 (35139) 38141
+7 (35139) 38815
+7 (3919) 405148
+7 (905) 9638956
+7 (921) 1723782
+7 (921) 5101020
+7 (343) 3857207
+7 (3843) 910055
+7 (47241) 96197
+7 (495) 6614881
+7 (495) 6773661
+7 (495) 6773662
+7 (495) 6776135
+7 (903) 9947196
+7 (914) 2523704</f>
        <v>#NAME?</v>
      </c>
      <c r="F1074" s="5" t="s">
        <v>28629</v>
      </c>
      <c r="G1074" s="5"/>
      <c r="H1074" s="26">
        <v>31</v>
      </c>
      <c r="I1074" s="5" t="s">
        <v>28630</v>
      </c>
      <c r="J1074" s="5" t="s">
        <v>28631</v>
      </c>
      <c r="K1074" s="5" t="s">
        <v>344</v>
      </c>
      <c r="L1074" s="5"/>
      <c r="M1074" s="27"/>
      <c r="N1074" s="5" t="s">
        <v>50841</v>
      </c>
      <c r="O1074" s="5" t="str">
        <v>7717036797</v>
      </c>
      <c r="P1074" s="27">
        <v>973127497</v>
      </c>
      <c r="Q1074" s="5" t="s">
        <v>50842</v>
      </c>
      <c r="R1074" s="5"/>
      <c r="S1074" s="5" t="s">
        <v>49271</v>
      </c>
      <c r="T1074" s="28">
        <v>3706513000</v>
      </c>
      <c r="U1074" s="28"/>
      <c r="V1074" s="28">
        <v>714554000</v>
      </c>
      <c r="W1074" s="28"/>
      <c r="X1074" s="28">
        <v>1083142000</v>
      </c>
      <c r="Y1074" s="28">
        <v>6074160000</v>
      </c>
      <c r="Z1074" s="28">
        <v>249310000</v>
      </c>
      <c r="AA1074" s="28"/>
      <c r="AB1074" s="28"/>
      <c r="AC1074" s="28">
        <v>1856949000</v>
      </c>
      <c r="AD1074" s="28">
        <v>3233159000</v>
      </c>
      <c r="AE1074" s="28">
        <v>11158999000</v>
      </c>
      <c r="AF1074" s="28">
        <v>59999000</v>
      </c>
      <c r="AG1074" s="11"/>
    </row>
    <row r="1075">
      <c r="A1075" s="7" t="s">
        <v>2799</v>
      </c>
      <c r="B1075" s="5" t="s">
        <v>10783</v>
      </c>
      <c r="C1075" s="5" t="s">
        <v>18662</v>
      </c>
      <c r="D1075" s="5" t="str">
        <v>253706511680</v>
      </c>
      <c r="E1075" s="0" t="e">
        <f>+7 (924) 7352244</f>
        <v>#NAME?</v>
      </c>
      <c r="F1075" s="5"/>
      <c r="G1075" s="5"/>
      <c r="H1075" s="26">
        <v>8.5</v>
      </c>
      <c r="I1075" s="5" t="s">
        <v>28632</v>
      </c>
      <c r="J1075" s="5" t="s">
        <v>25190</v>
      </c>
      <c r="K1075" s="5" t="s">
        <v>344</v>
      </c>
      <c r="L1075" s="5" t="s">
        <v>26752</v>
      </c>
      <c r="M1075" s="27"/>
      <c r="N1075" s="5"/>
      <c r="O1075" s="5" t="str">
        <v>2543055422</v>
      </c>
      <c r="P1075" s="27">
        <v>10000</v>
      </c>
      <c r="Q1075" s="5"/>
      <c r="R1075" s="5"/>
      <c r="S1075" s="5" t="s">
        <v>49110</v>
      </c>
      <c r="T1075" s="28"/>
      <c r="U1075" s="28"/>
      <c r="V1075" s="28">
        <v>550523000</v>
      </c>
      <c r="W1075" s="28"/>
      <c r="X1075" s="28">
        <v>1077000</v>
      </c>
      <c r="Y1075" s="28">
        <v>652361000</v>
      </c>
      <c r="Z1075" s="28">
        <v>20392000</v>
      </c>
      <c r="AA1075" s="28">
        <v>140000</v>
      </c>
      <c r="AB1075" s="28"/>
      <c r="AC1075" s="28">
        <v>631819000</v>
      </c>
      <c r="AD1075" s="28">
        <v>20402000</v>
      </c>
      <c r="AE1075" s="28">
        <v>5905509000</v>
      </c>
      <c r="AF1075" s="28">
        <v>18412000</v>
      </c>
      <c r="AG1075" s="11"/>
    </row>
    <row r="1076">
      <c r="A1076" s="7" t="s">
        <v>2800</v>
      </c>
      <c r="B1076" s="5" t="s">
        <v>10784</v>
      </c>
      <c r="C1076" s="5" t="s">
        <v>18663</v>
      </c>
      <c r="D1076" s="5" t="str">
        <v>770201499055</v>
      </c>
      <c r="E1076" s="0" t="e">
        <f>+7 (424) 2460100</f>
        <v>#NAME?</v>
      </c>
      <c r="F1076" s="5"/>
      <c r="G1076" s="5" t="s">
        <v>28633</v>
      </c>
      <c r="H1076" s="26">
        <v>15.5</v>
      </c>
      <c r="I1076" s="5" t="s">
        <v>28634</v>
      </c>
      <c r="J1076" s="5" t="s">
        <v>27921</v>
      </c>
      <c r="K1076" s="5" t="s">
        <v>344</v>
      </c>
      <c r="L1076" s="5" t="s">
        <v>28635</v>
      </c>
      <c r="M1076" s="27">
        <v>867469</v>
      </c>
      <c r="N1076" s="5" t="s">
        <v>50843</v>
      </c>
      <c r="O1076" s="5" t="str">
        <v>7708639661</v>
      </c>
      <c r="P1076" s="27">
        <v>1675040000</v>
      </c>
      <c r="Q1076" s="5" t="s">
        <v>50844</v>
      </c>
      <c r="R1076" s="5"/>
      <c r="S1076" s="5" t="s">
        <v>49139</v>
      </c>
      <c r="T1076" s="28">
        <v>5227053000</v>
      </c>
      <c r="U1076" s="28">
        <v>4629886000</v>
      </c>
      <c r="V1076" s="28">
        <v>6112962000</v>
      </c>
      <c r="W1076" s="28"/>
      <c r="X1076" s="28">
        <v>2165113000</v>
      </c>
      <c r="Y1076" s="28">
        <v>20526684000</v>
      </c>
      <c r="Z1076" s="28">
        <v>10538430000</v>
      </c>
      <c r="AA1076" s="28">
        <v>3580650000</v>
      </c>
      <c r="AB1076" s="28"/>
      <c r="AC1076" s="28">
        <v>3794057000</v>
      </c>
      <c r="AD1076" s="28">
        <v>12213470000</v>
      </c>
      <c r="AE1076" s="28">
        <v>20099520000</v>
      </c>
      <c r="AF1076" s="28">
        <v>3540476000</v>
      </c>
      <c r="AG1076" s="11"/>
    </row>
    <row r="1077">
      <c r="A1077" s="7" t="s">
        <v>2801</v>
      </c>
      <c r="B1077" s="5" t="s">
        <v>10785</v>
      </c>
      <c r="C1077" s="5" t="s">
        <v>18664</v>
      </c>
      <c r="D1077" s="5" t="str">
        <v>772737094030</v>
      </c>
      <c r="E1077" s="0" t="e">
        <f>+7 (495) 7950625
+7 (495) 7750852
+7 (495) 7750867</f>
        <v>#NAME?</v>
      </c>
      <c r="F1077" s="5" t="s">
        <v>28636</v>
      </c>
      <c r="G1077" s="5" t="s">
        <v>28637</v>
      </c>
      <c r="H1077" s="26">
        <v>20</v>
      </c>
      <c r="I1077" s="5" t="s">
        <v>28638</v>
      </c>
      <c r="J1077" s="5" t="s">
        <v>25446</v>
      </c>
      <c r="K1077" s="5" t="s">
        <v>344</v>
      </c>
      <c r="L1077" s="5"/>
      <c r="M1077" s="27">
        <v>8078818</v>
      </c>
      <c r="N1077" s="5"/>
      <c r="O1077" s="5" t="str">
        <v>7702341685</v>
      </c>
      <c r="P1077" s="27">
        <v>30000</v>
      </c>
      <c r="Q1077" s="5" t="s">
        <v>50845</v>
      </c>
      <c r="R1077" s="5"/>
      <c r="S1077" s="5" t="s">
        <v>49956</v>
      </c>
      <c r="T1077" s="28">
        <v>35756000</v>
      </c>
      <c r="U1077" s="28"/>
      <c r="V1077" s="28">
        <v>710112000</v>
      </c>
      <c r="W1077" s="28"/>
      <c r="X1077" s="28">
        <v>126873000</v>
      </c>
      <c r="Y1077" s="28">
        <v>1999117000</v>
      </c>
      <c r="Z1077" s="28">
        <v>475043000</v>
      </c>
      <c r="AA1077" s="28"/>
      <c r="AB1077" s="28"/>
      <c r="AC1077" s="28">
        <v>1524044000</v>
      </c>
      <c r="AD1077" s="28">
        <v>475073000</v>
      </c>
      <c r="AE1077" s="28">
        <v>4166449000</v>
      </c>
      <c r="AF1077" s="28">
        <v>-167021000</v>
      </c>
      <c r="AG1077" s="11"/>
    </row>
    <row r="1078">
      <c r="A1078" s="7" t="s">
        <v>2802</v>
      </c>
      <c r="B1078" s="5" t="s">
        <v>10786</v>
      </c>
      <c r="C1078" s="5" t="s">
        <v>18665</v>
      </c>
      <c r="D1078" s="5" t="str">
        <v>616484628485</v>
      </c>
      <c r="E1078" s="0" t="e">
        <f>+7 (800) 5058352
+7 (383) 3543670
+7 (383) 3543671
+7 (495) 4247806
+7 (495) 5189850
+7 (495) 5635552
+7 (495) 7773611
+7 (495) 7773613
+7 (495) 7775377
+7 (800) 2005071</f>
        <v>#NAME?</v>
      </c>
      <c r="F1078" s="5" t="s">
        <v>28639</v>
      </c>
      <c r="G1078" s="5" t="s">
        <v>28640</v>
      </c>
      <c r="H1078" s="26">
        <v>25.5</v>
      </c>
      <c r="I1078" s="5" t="s">
        <v>28641</v>
      </c>
      <c r="J1078" s="5" t="s">
        <v>28075</v>
      </c>
      <c r="K1078" s="5" t="s">
        <v>344</v>
      </c>
      <c r="L1078" s="5"/>
      <c r="M1078" s="27"/>
      <c r="N1078" s="5"/>
      <c r="O1078" s="5" t="str">
        <v>7728165949</v>
      </c>
      <c r="P1078" s="27">
        <v>284830000</v>
      </c>
      <c r="Q1078" s="5" t="s">
        <v>49059</v>
      </c>
      <c r="R1078" s="5"/>
      <c r="S1078" s="5" t="s">
        <v>49066</v>
      </c>
      <c r="T1078" s="28">
        <v>1996157000</v>
      </c>
      <c r="U1078" s="28">
        <v>30223000</v>
      </c>
      <c r="V1078" s="28">
        <v>549807000</v>
      </c>
      <c r="W1078" s="28">
        <v>43452000</v>
      </c>
      <c r="X1078" s="28">
        <v>1173334000</v>
      </c>
      <c r="Y1078" s="28">
        <v>5502474000</v>
      </c>
      <c r="Z1078" s="28">
        <v>3090530000</v>
      </c>
      <c r="AA1078" s="28"/>
      <c r="AB1078" s="28">
        <v>453000000</v>
      </c>
      <c r="AC1078" s="28">
        <v>1343209000</v>
      </c>
      <c r="AD1078" s="28">
        <v>3996901000</v>
      </c>
      <c r="AE1078" s="28">
        <v>9492879000</v>
      </c>
      <c r="AF1078" s="28">
        <v>122804000</v>
      </c>
      <c r="AG1078" s="11"/>
    </row>
    <row r="1079">
      <c r="A1079" s="7" t="s">
        <v>2803</v>
      </c>
      <c r="B1079" s="5" t="s">
        <v>10787</v>
      </c>
      <c r="C1079" s="5" t="s">
        <v>17778</v>
      </c>
      <c r="D1079" s="5" t="str">
        <v>366300936461</v>
      </c>
      <c r="E1079" s="0" t="e">
        <f>+7 (495) 4298000
+7 (495) 2761521</f>
        <v>#NAME?</v>
      </c>
      <c r="F1079" s="5" t="s">
        <v>28642</v>
      </c>
      <c r="G1079" s="5"/>
      <c r="H1079" s="26">
        <v>13</v>
      </c>
      <c r="I1079" s="5" t="s">
        <v>28643</v>
      </c>
      <c r="J1079" s="5" t="s">
        <v>25559</v>
      </c>
      <c r="K1079" s="5" t="s">
        <v>344</v>
      </c>
      <c r="L1079" s="5" t="s">
        <v>28644</v>
      </c>
      <c r="M1079" s="27"/>
      <c r="N1079" s="5"/>
      <c r="O1079" s="5" t="str">
        <v>7728733327</v>
      </c>
      <c r="P1079" s="27">
        <v>10000</v>
      </c>
      <c r="Q1079" s="5" t="s">
        <v>49021</v>
      </c>
      <c r="R1079" s="5"/>
      <c r="S1079" s="5" t="s">
        <v>50131</v>
      </c>
      <c r="T1079" s="28"/>
      <c r="U1079" s="28"/>
      <c r="V1079" s="28">
        <v>252040000</v>
      </c>
      <c r="W1079" s="28"/>
      <c r="X1079" s="28">
        <v>27656000</v>
      </c>
      <c r="Y1079" s="28">
        <v>480771000</v>
      </c>
      <c r="Z1079" s="28">
        <v>109559000</v>
      </c>
      <c r="AA1079" s="28">
        <v>30000000</v>
      </c>
      <c r="AB1079" s="28"/>
      <c r="AC1079" s="28">
        <v>339293000</v>
      </c>
      <c r="AD1079" s="28">
        <v>109569000</v>
      </c>
      <c r="AE1079" s="28">
        <v>4199564000</v>
      </c>
      <c r="AF1079" s="28">
        <v>108214000</v>
      </c>
      <c r="AG1079" s="11"/>
    </row>
    <row r="1080">
      <c r="A1080" s="7" t="s">
        <v>2804</v>
      </c>
      <c r="B1080" s="5" t="s">
        <v>10788</v>
      </c>
      <c r="C1080" s="5" t="s">
        <v>18666</v>
      </c>
      <c r="D1080" s="5" t="str">
        <v>772970008959</v>
      </c>
      <c r="E1080" s="0" t="e">
        <f>+7 (916) 1483476</f>
        <v>#NAME?</v>
      </c>
      <c r="F1080" s="5"/>
      <c r="G1080" s="5"/>
      <c r="H1080" s="26">
        <v>13</v>
      </c>
      <c r="I1080" s="5" t="s">
        <v>28645</v>
      </c>
      <c r="J1080" s="5" t="s">
        <v>1073</v>
      </c>
      <c r="K1080" s="5" t="s">
        <v>355</v>
      </c>
      <c r="L1080" s="5" t="s">
        <v>28646</v>
      </c>
      <c r="M1080" s="27">
        <v>417000</v>
      </c>
      <c r="N1080" s="5"/>
      <c r="O1080" s="5" t="str">
        <v>7722701880</v>
      </c>
      <c r="P1080" s="27">
        <v>4700000</v>
      </c>
      <c r="Q1080" s="5" t="s">
        <v>49057</v>
      </c>
      <c r="R1080" s="5"/>
      <c r="S1080" s="5" t="s">
        <v>50846</v>
      </c>
      <c r="T1080" s="28">
        <v>1546000</v>
      </c>
      <c r="U1080" s="28"/>
      <c r="V1080" s="28">
        <v>1569539000</v>
      </c>
      <c r="W1080" s="28">
        <v>141376000</v>
      </c>
      <c r="X1080" s="28">
        <v>196000</v>
      </c>
      <c r="Y1080" s="28">
        <v>2116475000</v>
      </c>
      <c r="Z1080" s="28">
        <v>299441000</v>
      </c>
      <c r="AA1080" s="28">
        <v>50000000</v>
      </c>
      <c r="AB1080" s="28">
        <v>400559000</v>
      </c>
      <c r="AC1080" s="28">
        <v>1762334000</v>
      </c>
      <c r="AD1080" s="28">
        <v>304141000</v>
      </c>
      <c r="AE1080" s="28">
        <v>12530004000</v>
      </c>
      <c r="AF1080" s="28">
        <v>148572000</v>
      </c>
      <c r="AG1080" s="11"/>
    </row>
    <row r="1081">
      <c r="A1081" s="7" t="s">
        <v>2805</v>
      </c>
      <c r="B1081" s="5" t="s">
        <v>10789</v>
      </c>
      <c r="C1081" s="5" t="s">
        <v>18667</v>
      </c>
      <c r="D1081" s="5" t="str">
        <v>402911356937</v>
      </c>
      <c r="E1081" s="0" t="e">
        <f>+7 (484) 2221898
+7 (484) 2511055
+7 (484) 2536772</f>
        <v>#NAME?</v>
      </c>
      <c r="F1081" s="5" t="s">
        <v>28647</v>
      </c>
      <c r="G1081" s="5"/>
      <c r="H1081" s="26">
        <v>15</v>
      </c>
      <c r="I1081" s="5" t="s">
        <v>28648</v>
      </c>
      <c r="J1081" s="5" t="s">
        <v>26552</v>
      </c>
      <c r="K1081" s="5" t="s">
        <v>344</v>
      </c>
      <c r="L1081" s="5" t="s">
        <v>28649</v>
      </c>
      <c r="M1081" s="27"/>
      <c r="N1081" s="5" t="s">
        <v>50847</v>
      </c>
      <c r="O1081" s="5" t="str">
        <v>4027085792</v>
      </c>
      <c r="P1081" s="27">
        <v>1000000</v>
      </c>
      <c r="Q1081" s="5" t="s">
        <v>346</v>
      </c>
      <c r="R1081" s="5"/>
      <c r="S1081" s="5" t="s">
        <v>50848</v>
      </c>
      <c r="T1081" s="28">
        <v>59503000</v>
      </c>
      <c r="U1081" s="28"/>
      <c r="V1081" s="28">
        <v>339713000</v>
      </c>
      <c r="W1081" s="28"/>
      <c r="X1081" s="28">
        <v>14411000</v>
      </c>
      <c r="Y1081" s="28">
        <v>688242000</v>
      </c>
      <c r="Z1081" s="28">
        <v>329207000</v>
      </c>
      <c r="AA1081" s="28"/>
      <c r="AB1081" s="28">
        <v>128427000</v>
      </c>
      <c r="AC1081" s="28">
        <v>307270000</v>
      </c>
      <c r="AD1081" s="28">
        <v>330207000</v>
      </c>
      <c r="AE1081" s="28">
        <v>4187014000</v>
      </c>
      <c r="AF1081" s="28">
        <v>39821000</v>
      </c>
      <c r="AG1081" s="11"/>
    </row>
    <row r="1082">
      <c r="A1082" s="7" t="s">
        <v>2806</v>
      </c>
      <c r="B1082" s="5" t="s">
        <v>10790</v>
      </c>
      <c r="C1082" s="5" t="s">
        <v>18668</v>
      </c>
      <c r="D1082" s="5" t="str">
        <v>665896562064</v>
      </c>
      <c r="E1082" s="0" t="e">
        <f>+7 (495) 9336000
+7 (495) 9336010
+7 (495) 6257114</f>
        <v>#NAME?</v>
      </c>
      <c r="F1082" s="5"/>
      <c r="G1082" s="5" t="s">
        <v>28650</v>
      </c>
      <c r="H1082" s="26">
        <v>11</v>
      </c>
      <c r="I1082" s="5" t="s">
        <v>28651</v>
      </c>
      <c r="J1082" s="5" t="s">
        <v>27085</v>
      </c>
      <c r="K1082" s="5" t="s">
        <v>344</v>
      </c>
      <c r="L1082" s="5" t="s">
        <v>28652</v>
      </c>
      <c r="M1082" s="27"/>
      <c r="N1082" s="5"/>
      <c r="O1082" s="5" t="str">
        <v>7733794822</v>
      </c>
      <c r="P1082" s="27">
        <v>10000</v>
      </c>
      <c r="Q1082" s="5" t="s">
        <v>50849</v>
      </c>
      <c r="R1082" s="5"/>
      <c r="S1082" s="5" t="s">
        <v>50850</v>
      </c>
      <c r="T1082" s="28">
        <v>49855000</v>
      </c>
      <c r="U1082" s="28"/>
      <c r="V1082" s="28">
        <v>1438213000</v>
      </c>
      <c r="W1082" s="28"/>
      <c r="X1082" s="28">
        <v>164363000</v>
      </c>
      <c r="Y1082" s="28">
        <v>2485557000</v>
      </c>
      <c r="Z1082" s="28">
        <v>462431000</v>
      </c>
      <c r="AA1082" s="28"/>
      <c r="AB1082" s="28">
        <v>328570000</v>
      </c>
      <c r="AC1082" s="28">
        <v>1966639000</v>
      </c>
      <c r="AD1082" s="28">
        <v>462441000</v>
      </c>
      <c r="AE1082" s="28">
        <v>3762321000</v>
      </c>
      <c r="AF1082" s="28">
        <v>341679000</v>
      </c>
      <c r="AG1082" s="11"/>
    </row>
    <row r="1083">
      <c r="A1083" s="7" t="s">
        <v>2807</v>
      </c>
      <c r="B1083" s="5" t="s">
        <v>10791</v>
      </c>
      <c r="C1083" s="5" t="s">
        <v>18669</v>
      </c>
      <c r="D1083" s="5" t="str">
        <v>230606526332</v>
      </c>
      <c r="E1083" s="0" t="e">
        <f>+7 (988) 5842424</f>
        <v>#NAME?</v>
      </c>
      <c r="F1083" s="5" t="s">
        <v>28653</v>
      </c>
      <c r="G1083" s="5"/>
      <c r="H1083" s="26">
        <v>3</v>
      </c>
      <c r="I1083" s="5" t="s">
        <v>28654</v>
      </c>
      <c r="J1083" s="5" t="s">
        <v>25837</v>
      </c>
      <c r="K1083" s="5" t="s">
        <v>344</v>
      </c>
      <c r="L1083" s="5" t="s">
        <v>28655</v>
      </c>
      <c r="M1083" s="27">
        <v>977950</v>
      </c>
      <c r="N1083" s="5"/>
      <c r="O1083" s="5" t="str">
        <v>6161090574</v>
      </c>
      <c r="P1083" s="27">
        <v>64000</v>
      </c>
      <c r="Q1083" s="5" t="s">
        <v>694</v>
      </c>
      <c r="R1083" s="5"/>
      <c r="S1083" s="5" t="s">
        <v>50851</v>
      </c>
      <c r="T1083" s="28">
        <v>1236717000</v>
      </c>
      <c r="U1083" s="28"/>
      <c r="V1083" s="28">
        <v>1410227000</v>
      </c>
      <c r="W1083" s="28">
        <v>97591000</v>
      </c>
      <c r="X1083" s="28">
        <v>1888711000</v>
      </c>
      <c r="Y1083" s="28">
        <v>4679435000</v>
      </c>
      <c r="Z1083" s="28">
        <v>77193000</v>
      </c>
      <c r="AA1083" s="28">
        <v>3325657000</v>
      </c>
      <c r="AB1083" s="28">
        <v>3586000</v>
      </c>
      <c r="AC1083" s="28">
        <v>533760000</v>
      </c>
      <c r="AD1083" s="28">
        <v>77257000</v>
      </c>
      <c r="AE1083" s="28">
        <v>3285176000</v>
      </c>
      <c r="AF1083" s="28">
        <v>23760000</v>
      </c>
      <c r="AG1083" s="11"/>
    </row>
    <row r="1084">
      <c r="A1084" s="7" t="s">
        <v>2807</v>
      </c>
      <c r="B1084" s="5" t="s">
        <v>10792</v>
      </c>
      <c r="C1084" s="5" t="s">
        <v>18670</v>
      </c>
      <c r="D1084" s="5" t="str">
        <v>772458919611</v>
      </c>
      <c r="F1084" s="5"/>
      <c r="G1084" s="5"/>
      <c r="H1084" s="26">
        <v>8.5</v>
      </c>
      <c r="I1084" s="5" t="s">
        <v>28656</v>
      </c>
      <c r="J1084" s="5" t="s">
        <v>25429</v>
      </c>
      <c r="K1084" s="5" t="s">
        <v>344</v>
      </c>
      <c r="L1084" s="5"/>
      <c r="M1084" s="27"/>
      <c r="N1084" s="5"/>
      <c r="O1084" s="5" t="str">
        <v>7733898412</v>
      </c>
      <c r="P1084" s="27">
        <v>10000</v>
      </c>
      <c r="Q1084" s="5" t="s">
        <v>49021</v>
      </c>
      <c r="R1084" s="5"/>
      <c r="S1084" s="5" t="s">
        <v>50852</v>
      </c>
      <c r="T1084" s="28">
        <v>31000</v>
      </c>
      <c r="U1084" s="28"/>
      <c r="V1084" s="28">
        <v>1876137000</v>
      </c>
      <c r="W1084" s="28"/>
      <c r="X1084" s="28">
        <v>149869000</v>
      </c>
      <c r="Y1084" s="28">
        <v>2095462000</v>
      </c>
      <c r="Z1084" s="28">
        <v>7366000</v>
      </c>
      <c r="AA1084" s="28"/>
      <c r="AB1084" s="28"/>
      <c r="AC1084" s="28">
        <v>2088086000</v>
      </c>
      <c r="AD1084" s="28">
        <v>7376000</v>
      </c>
      <c r="AE1084" s="28">
        <v>6041416000</v>
      </c>
      <c r="AF1084" s="28">
        <v>425000</v>
      </c>
      <c r="AG1084" s="11"/>
    </row>
    <row r="1085">
      <c r="A1085" s="7" t="s">
        <v>2807</v>
      </c>
      <c r="B1085" s="5" t="s">
        <v>10793</v>
      </c>
      <c r="C1085" s="5" t="s">
        <v>18671</v>
      </c>
      <c r="D1085" s="5" t="str">
        <v>381250511496</v>
      </c>
      <c r="F1085" s="5"/>
      <c r="G1085" s="5"/>
      <c r="H1085" s="26">
        <v>8.5</v>
      </c>
      <c r="I1085" s="5" t="s">
        <v>28657</v>
      </c>
      <c r="J1085" s="5" t="s">
        <v>25512</v>
      </c>
      <c r="K1085" s="5" t="s">
        <v>344</v>
      </c>
      <c r="L1085" s="5" t="s">
        <v>28658</v>
      </c>
      <c r="M1085" s="27"/>
      <c r="N1085" s="5" t="s">
        <v>50853</v>
      </c>
      <c r="O1085" s="5" t="str">
        <v>3849037461</v>
      </c>
      <c r="P1085" s="27">
        <v>10000</v>
      </c>
      <c r="Q1085" s="5"/>
      <c r="R1085" s="5"/>
      <c r="S1085" s="5" t="s">
        <v>49496</v>
      </c>
      <c r="T1085" s="28">
        <v>3136000</v>
      </c>
      <c r="U1085" s="28"/>
      <c r="V1085" s="28">
        <v>5318642000</v>
      </c>
      <c r="W1085" s="28">
        <v>346322000</v>
      </c>
      <c r="X1085" s="28">
        <v>8861812000</v>
      </c>
      <c r="Y1085" s="28">
        <v>14558427000</v>
      </c>
      <c r="Z1085" s="28">
        <v>1348809000</v>
      </c>
      <c r="AA1085" s="28"/>
      <c r="AB1085" s="28"/>
      <c r="AC1085" s="28">
        <v>13206051000</v>
      </c>
      <c r="AD1085" s="28">
        <v>1348819000</v>
      </c>
      <c r="AE1085" s="28">
        <v>31212956000</v>
      </c>
      <c r="AF1085" s="28">
        <v>4197707000</v>
      </c>
      <c r="AG1085" s="11"/>
    </row>
    <row r="1086">
      <c r="A1086" s="7" t="s">
        <v>2808</v>
      </c>
      <c r="B1086" s="5" t="s">
        <v>10794</v>
      </c>
      <c r="C1086" s="5" t="s">
        <v>18672</v>
      </c>
      <c r="D1086" s="5" t="str">
        <v>773507750722</v>
      </c>
      <c r="E1086" s="0" t="e">
        <f>+7 (474) 2349697
+7 (495) 1531123
+7 (495) 4412847
+7 (495) 4563456
+7 (495) 5985545
+7 (495) 7107676
+7 (499) 7109696
+7 (919) 9613509
+7 (495) 7104696
+7 (800) 2002823</f>
        <v>#NAME?</v>
      </c>
      <c r="F1086" s="5" t="s">
        <v>28659</v>
      </c>
      <c r="G1086" s="5" t="s">
        <v>28660</v>
      </c>
      <c r="H1086" s="26">
        <v>27.5</v>
      </c>
      <c r="I1086" s="5"/>
      <c r="J1086" s="5" t="s">
        <v>25429</v>
      </c>
      <c r="K1086" s="5" t="s">
        <v>344</v>
      </c>
      <c r="L1086" s="5" t="s">
        <v>28661</v>
      </c>
      <c r="M1086" s="27"/>
      <c r="N1086" s="5" t="s">
        <v>50854</v>
      </c>
      <c r="O1086" s="5" t="str">
        <v>7708055105</v>
      </c>
      <c r="P1086" s="27">
        <v>44000</v>
      </c>
      <c r="Q1086" s="5" t="s">
        <v>50855</v>
      </c>
      <c r="R1086" s="5"/>
      <c r="S1086" s="5" t="s">
        <v>50856</v>
      </c>
      <c r="T1086" s="28">
        <v>395474000</v>
      </c>
      <c r="U1086" s="28"/>
      <c r="V1086" s="28">
        <v>449761000</v>
      </c>
      <c r="W1086" s="28"/>
      <c r="X1086" s="28">
        <v>272021000</v>
      </c>
      <c r="Y1086" s="28">
        <v>2257165000</v>
      </c>
      <c r="Z1086" s="28">
        <v>1506875000</v>
      </c>
      <c r="AA1086" s="28"/>
      <c r="AB1086" s="28">
        <v>414229000</v>
      </c>
      <c r="AC1086" s="28">
        <v>748455000</v>
      </c>
      <c r="AD1086" s="28">
        <v>1506921000</v>
      </c>
      <c r="AE1086" s="28">
        <v>3525316000</v>
      </c>
      <c r="AF1086" s="28">
        <v>184623000</v>
      </c>
      <c r="AG1086" s="11"/>
    </row>
    <row r="1087">
      <c r="A1087" s="7" t="s">
        <v>2809</v>
      </c>
      <c r="B1087" s="5" t="s">
        <v>10795</v>
      </c>
      <c r="C1087" s="5" t="s">
        <v>18673</v>
      </c>
      <c r="D1087" s="5" t="str">
        <v>543310728700</v>
      </c>
      <c r="E1087" s="0" t="e">
        <f>+7 (383) 2276768
+7 (383) 3359857
+7 (916) 197247
+7 (916) 2907372
+7 (383) 2276030
+7 (383) 2276762
+7 (383) 2525164
+7 (383) 2525166
+7 (383) 2525168
+7 (383) 3323710
+7 (383) 3366060</f>
        <v>#NAME?</v>
      </c>
      <c r="F1087" s="5" t="s">
        <v>28662</v>
      </c>
      <c r="G1087" s="5" t="s">
        <v>28663</v>
      </c>
      <c r="H1087" s="26">
        <v>31</v>
      </c>
      <c r="I1087" s="5"/>
      <c r="J1087" s="5" t="s">
        <v>28664</v>
      </c>
      <c r="K1087" s="5" t="s">
        <v>344</v>
      </c>
      <c r="L1087" s="5" t="s">
        <v>28665</v>
      </c>
      <c r="M1087" s="27"/>
      <c r="N1087" s="5" t="s">
        <v>50857</v>
      </c>
      <c r="O1087" s="5" t="str">
        <v>5433104584</v>
      </c>
      <c r="P1087" s="27">
        <v>250000</v>
      </c>
      <c r="Q1087" s="5" t="s">
        <v>50859</v>
      </c>
      <c r="R1087" s="5"/>
      <c r="S1087" s="5" t="s">
        <v>50234</v>
      </c>
      <c r="T1087" s="28">
        <v>4928839000</v>
      </c>
      <c r="U1087" s="28">
        <v>257596000</v>
      </c>
      <c r="V1087" s="28">
        <v>623929000</v>
      </c>
      <c r="W1087" s="28">
        <v>10000000</v>
      </c>
      <c r="X1087" s="28">
        <v>5892819000</v>
      </c>
      <c r="Y1087" s="28">
        <v>13379632000</v>
      </c>
      <c r="Z1087" s="28">
        <v>12825727000</v>
      </c>
      <c r="AA1087" s="28"/>
      <c r="AB1087" s="28"/>
      <c r="AC1087" s="28">
        <v>431007000</v>
      </c>
      <c r="AD1087" s="28">
        <v>12826040000</v>
      </c>
      <c r="AE1087" s="28">
        <v>7424718000</v>
      </c>
      <c r="AF1087" s="28">
        <v>1658614000</v>
      </c>
      <c r="AG1087" s="11"/>
    </row>
    <row r="1088">
      <c r="A1088" s="7" t="s">
        <v>2810</v>
      </c>
      <c r="B1088" s="5" t="s">
        <v>10796</v>
      </c>
      <c r="C1088" s="5" t="s">
        <v>18674</v>
      </c>
      <c r="D1088" s="5" t="str">
        <v>325300108647</v>
      </c>
      <c r="E1088" s="0" t="e">
        <f>+7 (985) 4444121
+7 (48351) 20918
+7 (48351) 25070
+7 (919) 2909052</f>
        <v>#NAME?</v>
      </c>
      <c r="F1088" s="5" t="s">
        <v>28666</v>
      </c>
      <c r="G1088" s="5"/>
      <c r="H1088" s="26">
        <v>11</v>
      </c>
      <c r="I1088" s="5" t="s">
        <v>28667</v>
      </c>
      <c r="J1088" s="5" t="s">
        <v>955</v>
      </c>
      <c r="K1088" s="5" t="s">
        <v>344</v>
      </c>
      <c r="L1088" s="5" t="s">
        <v>28668</v>
      </c>
      <c r="M1088" s="27"/>
      <c r="N1088" s="5" t="s">
        <v>50860</v>
      </c>
      <c r="O1088" s="5" t="str">
        <v>3253500987</v>
      </c>
      <c r="P1088" s="27">
        <v>25000</v>
      </c>
      <c r="Q1088" s="5" t="s">
        <v>49207</v>
      </c>
      <c r="R1088" s="5"/>
      <c r="S1088" s="5" t="s">
        <v>50861</v>
      </c>
      <c r="T1088" s="28">
        <v>3463000</v>
      </c>
      <c r="U1088" s="28"/>
      <c r="V1088" s="28">
        <v>347613000</v>
      </c>
      <c r="W1088" s="28"/>
      <c r="X1088" s="28">
        <v>387755000</v>
      </c>
      <c r="Y1088" s="28">
        <v>821294000</v>
      </c>
      <c r="Z1088" s="28">
        <v>203679000</v>
      </c>
      <c r="AA1088" s="28">
        <v>470377000</v>
      </c>
      <c r="AB1088" s="28">
        <v>150000</v>
      </c>
      <c r="AC1088" s="28">
        <v>138777000</v>
      </c>
      <c r="AD1088" s="28">
        <v>203704000</v>
      </c>
      <c r="AE1088" s="28">
        <v>6247640000</v>
      </c>
      <c r="AF1088" s="28">
        <v>17007000</v>
      </c>
      <c r="AG1088" s="11"/>
    </row>
    <row r="1089">
      <c r="A1089" s="7" t="s">
        <v>2811</v>
      </c>
      <c r="B1089" s="5" t="s">
        <v>10797</v>
      </c>
      <c r="C1089" s="5" t="s">
        <v>18675</v>
      </c>
      <c r="D1089" s="5" t="str">
        <v>132201850204</v>
      </c>
      <c r="E1089" s="0" t="e">
        <f>+7 (834) 2751500
+7 (917) 731700
+7 (927) 1900033</f>
        <v>#NAME?</v>
      </c>
      <c r="F1089" s="5" t="s">
        <v>28669</v>
      </c>
      <c r="G1089" s="5"/>
      <c r="H1089" s="26">
        <v>18</v>
      </c>
      <c r="I1089" s="5" t="s">
        <v>28670</v>
      </c>
      <c r="J1089" s="5" t="s">
        <v>25986</v>
      </c>
      <c r="K1089" s="5" t="s">
        <v>355</v>
      </c>
      <c r="L1089" s="5" t="s">
        <v>664</v>
      </c>
      <c r="M1089" s="27">
        <v>264300</v>
      </c>
      <c r="N1089" s="5"/>
      <c r="O1089" s="5" t="str">
        <v>1327158527</v>
      </c>
      <c r="P1089" s="27">
        <v>10000</v>
      </c>
      <c r="Q1089" s="5"/>
      <c r="R1089" s="5"/>
      <c r="S1089" s="5" t="s">
        <v>49110</v>
      </c>
      <c r="T1089" s="28">
        <v>32826000</v>
      </c>
      <c r="U1089" s="28"/>
      <c r="V1089" s="28">
        <v>7466754000</v>
      </c>
      <c r="W1089" s="28"/>
      <c r="X1089" s="28">
        <v>4113000</v>
      </c>
      <c r="Y1089" s="28">
        <v>7508753000</v>
      </c>
      <c r="Z1089" s="28">
        <v>25370000</v>
      </c>
      <c r="AA1089" s="28"/>
      <c r="AB1089" s="28"/>
      <c r="AC1089" s="28">
        <v>7483373000</v>
      </c>
      <c r="AD1089" s="28">
        <v>25380000</v>
      </c>
      <c r="AE1089" s="28">
        <v>14995186000</v>
      </c>
      <c r="AF1089" s="28">
        <v>3556000</v>
      </c>
      <c r="AG1089" s="11"/>
    </row>
    <row r="1090">
      <c r="A1090" s="7" t="s">
        <v>2812</v>
      </c>
      <c r="B1090" s="5" t="s">
        <v>10798</v>
      </c>
      <c r="C1090" s="5" t="s">
        <v>18676</v>
      </c>
      <c r="D1090" s="5" t="str">
        <v>771400310524</v>
      </c>
      <c r="E1090" s="0" t="e">
        <f>+7 (495) 3032780
+7 (495) 6264750
+7 (499) 3478262</f>
        <v>#NAME?</v>
      </c>
      <c r="F1090" s="5"/>
      <c r="G1090" s="5"/>
      <c r="H1090" s="26">
        <v>11</v>
      </c>
      <c r="I1090" s="5" t="s">
        <v>28671</v>
      </c>
      <c r="J1090" s="5" t="s">
        <v>25429</v>
      </c>
      <c r="K1090" s="5" t="s">
        <v>344</v>
      </c>
      <c r="L1090" s="5" t="s">
        <v>28672</v>
      </c>
      <c r="M1090" s="27"/>
      <c r="N1090" s="5" t="s">
        <v>50862</v>
      </c>
      <c r="O1090" s="5" t="str">
        <v>7704799640</v>
      </c>
      <c r="P1090" s="27">
        <v>26600000</v>
      </c>
      <c r="Q1090" s="5" t="s">
        <v>49009</v>
      </c>
      <c r="R1090" s="5"/>
      <c r="S1090" s="5" t="s">
        <v>50863</v>
      </c>
      <c r="T1090" s="28">
        <v>358050000</v>
      </c>
      <c r="U1090" s="28"/>
      <c r="V1090" s="28">
        <v>2459524000</v>
      </c>
      <c r="W1090" s="28">
        <v>35000000</v>
      </c>
      <c r="X1090" s="28">
        <v>1985759000</v>
      </c>
      <c r="Y1090" s="28">
        <v>6604432000</v>
      </c>
      <c r="Z1090" s="28">
        <v>2771301000</v>
      </c>
      <c r="AA1090" s="28"/>
      <c r="AB1090" s="28"/>
      <c r="AC1090" s="28">
        <v>3650519000</v>
      </c>
      <c r="AD1090" s="28">
        <v>2797901000</v>
      </c>
      <c r="AE1090" s="28">
        <v>7402251000</v>
      </c>
      <c r="AF1090" s="28">
        <v>1722226000</v>
      </c>
      <c r="AG1090" s="11"/>
    </row>
    <row r="1091">
      <c r="A1091" s="7" t="s">
        <v>2813</v>
      </c>
      <c r="B1091" s="5" t="s">
        <v>10799</v>
      </c>
      <c r="C1091" s="5" t="s">
        <v>18677</v>
      </c>
      <c r="D1091" s="5" t="str">
        <v>503407402376</v>
      </c>
      <c r="E1091" s="0" t="e">
        <f>+7 (495) 2581989
+7 (915) 169222</f>
        <v>#NAME?</v>
      </c>
      <c r="F1091" s="5"/>
      <c r="G1091" s="5"/>
      <c r="H1091" s="26">
        <v>18.5</v>
      </c>
      <c r="I1091" s="5" t="s">
        <v>28673</v>
      </c>
      <c r="J1091" s="5" t="s">
        <v>28108</v>
      </c>
      <c r="K1091" s="5" t="s">
        <v>344</v>
      </c>
      <c r="L1091" s="5" t="s">
        <v>28674</v>
      </c>
      <c r="M1091" s="27"/>
      <c r="N1091" s="5"/>
      <c r="O1091" s="5" t="str">
        <v>5015005970</v>
      </c>
      <c r="P1091" s="27">
        <v>100000</v>
      </c>
      <c r="Q1091" s="5" t="s">
        <v>50864</v>
      </c>
      <c r="R1091" s="5"/>
      <c r="S1091" s="5" t="s">
        <v>50865</v>
      </c>
      <c r="T1091" s="28">
        <v>82000</v>
      </c>
      <c r="U1091" s="28">
        <v>30878000</v>
      </c>
      <c r="V1091" s="28">
        <v>1937132000</v>
      </c>
      <c r="W1091" s="28">
        <v>27368537000</v>
      </c>
      <c r="X1091" s="28">
        <v>1781000</v>
      </c>
      <c r="Y1091" s="28">
        <v>29396658000</v>
      </c>
      <c r="Z1091" s="28">
        <v>403233000</v>
      </c>
      <c r="AA1091" s="28"/>
      <c r="AB1091" s="28">
        <v>28987656000</v>
      </c>
      <c r="AC1091" s="28">
        <v>28988883000</v>
      </c>
      <c r="AD1091" s="28">
        <v>403333000</v>
      </c>
      <c r="AE1091" s="28">
        <v>309710039000</v>
      </c>
      <c r="AF1091" s="28">
        <v>-192636000</v>
      </c>
      <c r="AG1091" s="11"/>
    </row>
    <row r="1092">
      <c r="A1092" s="7" t="s">
        <v>2814</v>
      </c>
      <c r="B1092" s="5" t="s">
        <v>10800</v>
      </c>
      <c r="C1092" s="5" t="s">
        <v>18678</v>
      </c>
      <c r="D1092" s="5" t="str">
        <v>773209944610</v>
      </c>
      <c r="E1092" s="0" t="e">
        <f>+7 (495) 5199880
+7 (495) 7722358
+7 (4985) 197836
+7 (925) 7722358</f>
        <v>#NAME?</v>
      </c>
      <c r="F1092" s="5" t="s">
        <v>28675</v>
      </c>
      <c r="G1092" s="5"/>
      <c r="H1092" s="26">
        <v>11.5</v>
      </c>
      <c r="I1092" s="5" t="s">
        <v>28676</v>
      </c>
      <c r="J1092" s="5" t="s">
        <v>25986</v>
      </c>
      <c r="K1092" s="5" t="s">
        <v>344</v>
      </c>
      <c r="L1092" s="5" t="s">
        <v>28677</v>
      </c>
      <c r="M1092" s="27"/>
      <c r="N1092" s="5"/>
      <c r="O1092" s="5" t="str">
        <v>5018134131</v>
      </c>
      <c r="P1092" s="27">
        <v>100000</v>
      </c>
      <c r="Q1092" s="5" t="s">
        <v>49009</v>
      </c>
      <c r="R1092" s="5"/>
      <c r="S1092" s="5" t="s">
        <v>49980</v>
      </c>
      <c r="T1092" s="28">
        <v>27378000</v>
      </c>
      <c r="U1092" s="28"/>
      <c r="V1092" s="28">
        <v>867102000</v>
      </c>
      <c r="W1092" s="28">
        <v>4000000</v>
      </c>
      <c r="X1092" s="28">
        <v>659000</v>
      </c>
      <c r="Y1092" s="28">
        <v>1350579000</v>
      </c>
      <c r="Z1092" s="28">
        <v>169432000</v>
      </c>
      <c r="AA1092" s="28">
        <v>433408000</v>
      </c>
      <c r="AB1092" s="28">
        <v>169925000</v>
      </c>
      <c r="AC1092" s="28">
        <v>741826000</v>
      </c>
      <c r="AD1092" s="28">
        <v>169532000</v>
      </c>
      <c r="AE1092" s="28">
        <v>4446771000</v>
      </c>
      <c r="AF1092" s="28">
        <v>5253000</v>
      </c>
      <c r="AG1092" s="11"/>
    </row>
    <row r="1093">
      <c r="A1093" s="7" t="s">
        <v>2815</v>
      </c>
      <c r="B1093" s="5" t="s">
        <v>10801</v>
      </c>
      <c r="C1093" s="5" t="s">
        <v>18679</v>
      </c>
      <c r="D1093" s="5" t="str">
        <v>341602013362</v>
      </c>
      <c r="E1093" s="0" t="e">
        <f>+7 (475) 2559634
+7 (844) 2598491
+7 (927) 5195015
+7 (961) 680100
+7 (969) 6534599</f>
        <v>#NAME?</v>
      </c>
      <c r="F1093" s="5" t="s">
        <v>28678</v>
      </c>
      <c r="G1093" s="5"/>
      <c r="H1093" s="26">
        <v>8.5</v>
      </c>
      <c r="I1093" s="5" t="s">
        <v>28679</v>
      </c>
      <c r="J1093" s="5" t="s">
        <v>25850</v>
      </c>
      <c r="K1093" s="5" t="s">
        <v>344</v>
      </c>
      <c r="L1093" s="5" t="s">
        <v>28680</v>
      </c>
      <c r="M1093" s="27"/>
      <c r="N1093" s="5" t="s">
        <v>50866</v>
      </c>
      <c r="O1093" s="5" t="str">
        <v>3457001760</v>
      </c>
      <c r="P1093" s="27">
        <v>10000</v>
      </c>
      <c r="Q1093" s="5" t="s">
        <v>49009</v>
      </c>
      <c r="R1093" s="5"/>
      <c r="S1093" s="5" t="s">
        <v>49028</v>
      </c>
      <c r="T1093" s="28">
        <v>128662000</v>
      </c>
      <c r="U1093" s="28"/>
      <c r="V1093" s="28">
        <v>640830000</v>
      </c>
      <c r="W1093" s="28">
        <v>216449000</v>
      </c>
      <c r="X1093" s="28">
        <v>260000</v>
      </c>
      <c r="Y1093" s="28">
        <v>1530698000</v>
      </c>
      <c r="Z1093" s="28">
        <v>141804000</v>
      </c>
      <c r="AA1093" s="28"/>
      <c r="AB1093" s="28">
        <v>1080647000</v>
      </c>
      <c r="AC1093" s="28">
        <v>1386481000</v>
      </c>
      <c r="AD1093" s="28">
        <v>141814000</v>
      </c>
      <c r="AE1093" s="28">
        <v>3246738000</v>
      </c>
      <c r="AF1093" s="28">
        <v>61602000</v>
      </c>
      <c r="AG1093" s="11"/>
    </row>
    <row r="1094">
      <c r="A1094" s="7" t="s">
        <v>2815</v>
      </c>
      <c r="B1094" s="5" t="s">
        <v>10802</v>
      </c>
      <c r="C1094" s="5" t="s">
        <v>18680</v>
      </c>
      <c r="D1094" s="5" t="str">
        <v>391101793498</v>
      </c>
      <c r="E1094" s="0" t="e">
        <f>+7 (962) 2591770</f>
        <v>#NAME?</v>
      </c>
      <c r="F1094" s="5"/>
      <c r="G1094" s="5"/>
      <c r="H1094" s="26">
        <v>18.5</v>
      </c>
      <c r="I1094" s="5" t="s">
        <v>28681</v>
      </c>
      <c r="J1094" s="5" t="s">
        <v>28682</v>
      </c>
      <c r="K1094" s="5" t="s">
        <v>355</v>
      </c>
      <c r="L1094" s="5"/>
      <c r="M1094" s="27"/>
      <c r="N1094" s="5"/>
      <c r="O1094" s="5" t="str">
        <v>3913008990</v>
      </c>
      <c r="P1094" s="27">
        <v>40000</v>
      </c>
      <c r="Q1094" s="5" t="s">
        <v>49207</v>
      </c>
      <c r="R1094" s="5"/>
      <c r="S1094" s="5" t="s">
        <v>49565</v>
      </c>
      <c r="T1094" s="28"/>
      <c r="U1094" s="28"/>
      <c r="V1094" s="28">
        <v>1633316000</v>
      </c>
      <c r="W1094" s="28"/>
      <c r="X1094" s="28">
        <v>34882000</v>
      </c>
      <c r="Y1094" s="28">
        <v>4328664000</v>
      </c>
      <c r="Z1094" s="28">
        <v>18525000</v>
      </c>
      <c r="AA1094" s="28">
        <v>294761000</v>
      </c>
      <c r="AB1094" s="28">
        <v>1070200000</v>
      </c>
      <c r="AC1094" s="28">
        <v>4014859000</v>
      </c>
      <c r="AD1094" s="28">
        <v>18565000</v>
      </c>
      <c r="AE1094" s="28">
        <v>3318075000</v>
      </c>
      <c r="AF1094" s="28">
        <v>18560000</v>
      </c>
      <c r="AG1094" s="11"/>
    </row>
    <row r="1095">
      <c r="A1095" s="7" t="s">
        <v>2816</v>
      </c>
      <c r="B1095" s="5" t="s">
        <v>10803</v>
      </c>
      <c r="C1095" s="5" t="s">
        <v>18681</v>
      </c>
      <c r="D1095" s="5" t="str">
        <v>772015247311</v>
      </c>
      <c r="E1095" s="0" t="e">
        <f>+7 (495) 2740634
+7 (916) 2014058</f>
        <v>#NAME?</v>
      </c>
      <c r="F1095" s="5" t="s">
        <v>28683</v>
      </c>
      <c r="G1095" s="5"/>
      <c r="H1095" s="26">
        <v>16</v>
      </c>
      <c r="I1095" s="5" t="s">
        <v>28684</v>
      </c>
      <c r="J1095" s="5" t="s">
        <v>364</v>
      </c>
      <c r="K1095" s="5" t="s">
        <v>344</v>
      </c>
      <c r="L1095" s="5" t="s">
        <v>28685</v>
      </c>
      <c r="M1095" s="27"/>
      <c r="N1095" s="5" t="s">
        <v>50867</v>
      </c>
      <c r="O1095" s="5" t="str">
        <v>7727600130</v>
      </c>
      <c r="P1095" s="27">
        <v>10000000</v>
      </c>
      <c r="Q1095" s="5" t="s">
        <v>50868</v>
      </c>
      <c r="R1095" s="5"/>
      <c r="S1095" s="5" t="s">
        <v>50869</v>
      </c>
      <c r="T1095" s="28">
        <v>84999000</v>
      </c>
      <c r="U1095" s="28"/>
      <c r="V1095" s="28">
        <v>1587850000</v>
      </c>
      <c r="W1095" s="28">
        <v>490026000</v>
      </c>
      <c r="X1095" s="28">
        <v>13136000</v>
      </c>
      <c r="Y1095" s="28">
        <v>3923538000</v>
      </c>
      <c r="Z1095" s="28">
        <v>294350000</v>
      </c>
      <c r="AA1095" s="28">
        <v>85942000</v>
      </c>
      <c r="AB1095" s="28">
        <v>221400000</v>
      </c>
      <c r="AC1095" s="28">
        <v>3508394000</v>
      </c>
      <c r="AD1095" s="28">
        <v>304350000</v>
      </c>
      <c r="AE1095" s="28">
        <v>3601651000</v>
      </c>
      <c r="AF1095" s="28">
        <v>99353000</v>
      </c>
      <c r="AG1095" s="11"/>
    </row>
    <row r="1096">
      <c r="A1096" s="7" t="s">
        <v>2817</v>
      </c>
      <c r="B1096" s="5" t="s">
        <v>10804</v>
      </c>
      <c r="C1096" s="5" t="s">
        <v>18682</v>
      </c>
      <c r="D1096" s="5" t="str">
        <v>501203786392</v>
      </c>
      <c r="E1096" s="0" t="e">
        <f>+7 (495) 2760681
+7 (495) 9407423
+7 (495) 9566214
+7 (495) 9998811
+7 (925) 8978487</f>
        <v>#NAME?</v>
      </c>
      <c r="F1096" s="5" t="s">
        <v>28686</v>
      </c>
      <c r="G1096" s="5" t="s">
        <v>28687</v>
      </c>
      <c r="H1096" s="26">
        <v>15</v>
      </c>
      <c r="I1096" s="5" t="s">
        <v>28688</v>
      </c>
      <c r="J1096" s="5" t="s">
        <v>364</v>
      </c>
      <c r="K1096" s="5" t="s">
        <v>344</v>
      </c>
      <c r="L1096" s="5" t="s">
        <v>28689</v>
      </c>
      <c r="M1096" s="27">
        <v>19398404</v>
      </c>
      <c r="N1096" s="5" t="s">
        <v>50870</v>
      </c>
      <c r="O1096" s="5" t="str">
        <v>7709787790</v>
      </c>
      <c r="P1096" s="27">
        <v>150000000</v>
      </c>
      <c r="Q1096" s="5" t="s">
        <v>50871</v>
      </c>
      <c r="R1096" s="5" t="s">
        <v>50872</v>
      </c>
      <c r="S1096" s="5" t="s">
        <v>50705</v>
      </c>
      <c r="T1096" s="28">
        <v>9832785000</v>
      </c>
      <c r="U1096" s="28">
        <v>25000</v>
      </c>
      <c r="V1096" s="28">
        <v>47438049000</v>
      </c>
      <c r="W1096" s="28">
        <v>465064000</v>
      </c>
      <c r="X1096" s="28">
        <v>7197492000</v>
      </c>
      <c r="Y1096" s="28">
        <v>147925236000</v>
      </c>
      <c r="Z1096" s="28">
        <v>25974742000</v>
      </c>
      <c r="AA1096" s="28"/>
      <c r="AB1096" s="28">
        <v>15134864000</v>
      </c>
      <c r="AC1096" s="28">
        <v>120933860000</v>
      </c>
      <c r="AD1096" s="28">
        <v>26124742000</v>
      </c>
      <c r="AE1096" s="28">
        <v>174384575000</v>
      </c>
      <c r="AF1096" s="28">
        <v>6667339000</v>
      </c>
      <c r="AG1096" s="11"/>
    </row>
    <row r="1097">
      <c r="A1097" s="7" t="s">
        <v>2818</v>
      </c>
      <c r="B1097" s="5" t="s">
        <v>10805</v>
      </c>
      <c r="C1097" s="5" t="s">
        <v>18683</v>
      </c>
      <c r="D1097" s="5" t="str">
        <v>321000627267</v>
      </c>
      <c r="E1097" s="0" t="e">
        <f>+7 (925) 803390</f>
        <v>#NAME?</v>
      </c>
      <c r="F1097" s="5"/>
      <c r="G1097" s="5"/>
      <c r="H1097" s="26">
        <v>5</v>
      </c>
      <c r="I1097" s="5" t="s">
        <v>28690</v>
      </c>
      <c r="J1097" s="5" t="s">
        <v>947</v>
      </c>
      <c r="K1097" s="5" t="s">
        <v>344</v>
      </c>
      <c r="L1097" s="5" t="s">
        <v>28691</v>
      </c>
      <c r="M1097" s="27"/>
      <c r="N1097" s="5"/>
      <c r="O1097" s="5" t="str">
        <v>2315476661</v>
      </c>
      <c r="P1097" s="27">
        <v>10000</v>
      </c>
      <c r="Q1097" s="5" t="s">
        <v>49059</v>
      </c>
      <c r="R1097" s="5"/>
      <c r="S1097" s="5" t="s">
        <v>49066</v>
      </c>
      <c r="T1097" s="28">
        <v>34982000</v>
      </c>
      <c r="U1097" s="28"/>
      <c r="V1097" s="28">
        <v>7174125000</v>
      </c>
      <c r="W1097" s="28"/>
      <c r="X1097" s="28">
        <v>15594000</v>
      </c>
      <c r="Y1097" s="28">
        <v>8301296000</v>
      </c>
      <c r="Z1097" s="28">
        <v>845476000</v>
      </c>
      <c r="AA1097" s="28"/>
      <c r="AB1097" s="28"/>
      <c r="AC1097" s="28">
        <v>6795146000</v>
      </c>
      <c r="AD1097" s="28">
        <v>845486000</v>
      </c>
      <c r="AE1097" s="28">
        <v>16876061000</v>
      </c>
      <c r="AF1097" s="28">
        <v>447104000</v>
      </c>
      <c r="AG1097" s="11"/>
    </row>
    <row r="1098">
      <c r="A1098" s="7" t="s">
        <v>2819</v>
      </c>
      <c r="B1098" s="5" t="s">
        <v>10806</v>
      </c>
      <c r="C1098" s="5" t="s">
        <v>18683</v>
      </c>
      <c r="D1098" s="5" t="str">
        <v>321000627267</v>
      </c>
      <c r="E1098" s="0" t="e">
        <f>+7 (495) 2760683
+7 (495) 6760683
+7 (495) 9566214</f>
        <v>#NAME?</v>
      </c>
      <c r="F1098" s="5"/>
      <c r="G1098" s="5" t="s">
        <v>28687</v>
      </c>
      <c r="H1098" s="26">
        <v>10.5</v>
      </c>
      <c r="I1098" s="5" t="s">
        <v>28690</v>
      </c>
      <c r="J1098" s="5" t="s">
        <v>364</v>
      </c>
      <c r="K1098" s="5" t="s">
        <v>344</v>
      </c>
      <c r="L1098" s="5" t="s">
        <v>28692</v>
      </c>
      <c r="M1098" s="27">
        <v>21012042</v>
      </c>
      <c r="N1098" s="5"/>
      <c r="O1098" s="5" t="str">
        <v>7710914330</v>
      </c>
      <c r="P1098" s="27">
        <v>10000</v>
      </c>
      <c r="Q1098" s="5" t="s">
        <v>49009</v>
      </c>
      <c r="R1098" s="5"/>
      <c r="S1098" s="5" t="s">
        <v>49010</v>
      </c>
      <c r="T1098" s="28">
        <v>58834000</v>
      </c>
      <c r="U1098" s="28"/>
      <c r="V1098" s="28">
        <v>5538183000</v>
      </c>
      <c r="W1098" s="28">
        <v>250000000</v>
      </c>
      <c r="X1098" s="28">
        <v>98715000</v>
      </c>
      <c r="Y1098" s="28">
        <v>12589866000</v>
      </c>
      <c r="Z1098" s="28">
        <v>1500432000</v>
      </c>
      <c r="AA1098" s="28"/>
      <c r="AB1098" s="28"/>
      <c r="AC1098" s="28">
        <v>11005730000</v>
      </c>
      <c r="AD1098" s="28">
        <v>1530010000</v>
      </c>
      <c r="AE1098" s="28">
        <v>39633268000</v>
      </c>
      <c r="AF1098" s="28">
        <v>457974000</v>
      </c>
      <c r="AG1098" s="11"/>
    </row>
    <row r="1099">
      <c r="A1099" s="7" t="s">
        <v>2820</v>
      </c>
      <c r="B1099" s="5" t="s">
        <v>10807</v>
      </c>
      <c r="C1099" s="5" t="s">
        <v>18684</v>
      </c>
      <c r="D1099" s="5"/>
      <c r="E1099" s="0" t="e">
        <f>+7 (800) 2341101
+7 (811) 5371665
+7 (81153) 47477
+7 (81153) 47480
+7 (81153) 47487
+7 (81153) 47488
+7 (81153) 71598
+7 (81153) 74094</f>
        <v>#NAME?</v>
      </c>
      <c r="F1099" s="5" t="s">
        <v>28693</v>
      </c>
      <c r="G1099" s="5"/>
      <c r="H1099" s="26">
        <v>30.5</v>
      </c>
      <c r="I1099" s="5" t="s">
        <v>28694</v>
      </c>
      <c r="J1099" s="5" t="s">
        <v>25231</v>
      </c>
      <c r="K1099" s="5" t="s">
        <v>380</v>
      </c>
      <c r="L1099" s="5"/>
      <c r="M1099" s="27">
        <v>42681745</v>
      </c>
      <c r="N1099" s="5"/>
      <c r="O1099" s="5" t="str">
        <v>6025049094</v>
      </c>
      <c r="P1099" s="27">
        <v>298944</v>
      </c>
      <c r="Q1099" s="5" t="s">
        <v>49009</v>
      </c>
      <c r="R1099" s="5"/>
      <c r="S1099" s="5" t="s">
        <v>49028</v>
      </c>
      <c r="T1099" s="28">
        <v>671490000</v>
      </c>
      <c r="U1099" s="28">
        <v>49092000</v>
      </c>
      <c r="V1099" s="28">
        <v>934032000</v>
      </c>
      <c r="W1099" s="28">
        <v>10207000</v>
      </c>
      <c r="X1099" s="28">
        <v>5351000</v>
      </c>
      <c r="Y1099" s="28">
        <v>2400753000</v>
      </c>
      <c r="Z1099" s="28">
        <v>-69378000</v>
      </c>
      <c r="AA1099" s="28">
        <v>5026000</v>
      </c>
      <c r="AB1099" s="28">
        <v>1439023000</v>
      </c>
      <c r="AC1099" s="28">
        <v>2279835000</v>
      </c>
      <c r="AD1099" s="28">
        <v>-13383000</v>
      </c>
      <c r="AE1099" s="28">
        <v>3099676000</v>
      </c>
      <c r="AF1099" s="28">
        <v>-57384000</v>
      </c>
      <c r="AG1099" s="11"/>
    </row>
    <row r="1100">
      <c r="A1100" s="7" t="s">
        <v>2821</v>
      </c>
      <c r="B1100" s="5" t="s">
        <v>10808</v>
      </c>
      <c r="C1100" s="5" t="s">
        <v>18685</v>
      </c>
      <c r="D1100" s="5" t="str">
        <v>782618096605</v>
      </c>
      <c r="E1100" s="0" t="e">
        <f>+7 (81153) 49200
+7 (81153) 49207
+7 (81153) 31585
+7 (81153) 61379
+7 (81151) 26400
+7 (81151) 26401
+7 (81151) 26402
+7 (81151) 26403
+7 (81151) 26404
+7 (81151) 26405
+7 (81151) 26406
+7 (81151) 26407
+7 (81151) 26408
+7 (81151) 26409
+7 (81153) 33360</f>
        <v>#NAME?</v>
      </c>
      <c r="F1100" s="5" t="s">
        <v>28695</v>
      </c>
      <c r="G1100" s="5"/>
      <c r="H1100" s="26">
        <v>14.5</v>
      </c>
      <c r="I1100" s="5" t="s">
        <v>28696</v>
      </c>
      <c r="J1100" s="5" t="s">
        <v>27002</v>
      </c>
      <c r="K1100" s="5" t="s">
        <v>344</v>
      </c>
      <c r="L1100" s="5"/>
      <c r="M1100" s="27">
        <v>46600</v>
      </c>
      <c r="N1100" s="5"/>
      <c r="O1100" s="5" t="str">
        <v>6002010703</v>
      </c>
      <c r="P1100" s="27">
        <v>769872400</v>
      </c>
      <c r="Q1100" s="5" t="s">
        <v>49009</v>
      </c>
      <c r="R1100" s="5"/>
      <c r="S1100" s="5" t="s">
        <v>49408</v>
      </c>
      <c r="T1100" s="28">
        <v>4890092000</v>
      </c>
      <c r="U1100" s="28"/>
      <c r="V1100" s="28">
        <v>13552837000</v>
      </c>
      <c r="W1100" s="28"/>
      <c r="X1100" s="28">
        <v>5154000</v>
      </c>
      <c r="Y1100" s="28">
        <v>21044811000</v>
      </c>
      <c r="Z1100" s="28">
        <v>16845484000</v>
      </c>
      <c r="AA1100" s="28">
        <v>792540000</v>
      </c>
      <c r="AB1100" s="28">
        <v>1202338000</v>
      </c>
      <c r="AC1100" s="28">
        <v>2636915000</v>
      </c>
      <c r="AD1100" s="28">
        <v>17615356000</v>
      </c>
      <c r="AE1100" s="28">
        <v>13717349000</v>
      </c>
      <c r="AF1100" s="28">
        <v>2998790000</v>
      </c>
      <c r="AG1100" s="11"/>
    </row>
    <row r="1101">
      <c r="A1101" s="7" t="s">
        <v>2822</v>
      </c>
      <c r="B1101" s="5" t="s">
        <v>10809</v>
      </c>
      <c r="C1101" s="5" t="s">
        <v>18686</v>
      </c>
      <c r="D1101" s="5" t="str">
        <v>550712472062</v>
      </c>
      <c r="E1101" s="0" t="e">
        <f>+7 (381) 2207105
+7 (381) 2550352
+7 (381) 2595595
+7 (38163) 24369
+7 (913) 6280666
+7 (913) 6711352
+7 (913) 9613883
+7 (913) 9681564
+7 (923) 380620
+7 (953) 3970044</f>
        <v>#NAME?</v>
      </c>
      <c r="F1101" s="5" t="s">
        <v>28697</v>
      </c>
      <c r="G1101" s="5" t="s">
        <v>28698</v>
      </c>
      <c r="H1101" s="26">
        <v>13</v>
      </c>
      <c r="I1101" s="5" t="s">
        <v>28699</v>
      </c>
      <c r="J1101" s="5" t="s">
        <v>25738</v>
      </c>
      <c r="K1101" s="5" t="s">
        <v>344</v>
      </c>
      <c r="L1101" s="5" t="s">
        <v>28700</v>
      </c>
      <c r="M1101" s="27"/>
      <c r="N1101" s="5" t="s">
        <v>50874</v>
      </c>
      <c r="O1101" s="5" t="str">
        <v>5530005476</v>
      </c>
      <c r="P1101" s="27">
        <v>10000</v>
      </c>
      <c r="Q1101" s="5" t="s">
        <v>49021</v>
      </c>
      <c r="R1101" s="5"/>
      <c r="S1101" s="5" t="s">
        <v>50875</v>
      </c>
      <c r="T1101" s="28">
        <v>61544000</v>
      </c>
      <c r="U1101" s="28"/>
      <c r="V1101" s="28">
        <v>394638000</v>
      </c>
      <c r="W1101" s="28">
        <v>122000000</v>
      </c>
      <c r="X1101" s="28">
        <v>22042000</v>
      </c>
      <c r="Y1101" s="28">
        <v>1468812000</v>
      </c>
      <c r="Z1101" s="28">
        <v>902850000</v>
      </c>
      <c r="AA1101" s="28"/>
      <c r="AB1101" s="28"/>
      <c r="AC1101" s="28">
        <v>565952000</v>
      </c>
      <c r="AD1101" s="28">
        <v>902860000</v>
      </c>
      <c r="AE1101" s="28">
        <v>3465785000</v>
      </c>
      <c r="AF1101" s="28">
        <v>241255000</v>
      </c>
      <c r="AG1101" s="11"/>
    </row>
    <row r="1102">
      <c r="A1102" s="7" t="s">
        <v>2823</v>
      </c>
      <c r="B1102" s="5" t="s">
        <v>10810</v>
      </c>
      <c r="C1102" s="5" t="s">
        <v>18687</v>
      </c>
      <c r="D1102" s="5" t="str">
        <v>860317450055</v>
      </c>
      <c r="E1102" s="0" t="e">
        <f>+7 (965) 2900925</f>
        <v>#NAME?</v>
      </c>
      <c r="F1102" s="5"/>
      <c r="G1102" s="5"/>
      <c r="H1102" s="26">
        <v>9</v>
      </c>
      <c r="I1102" s="5" t="s">
        <v>28701</v>
      </c>
      <c r="J1102" s="5" t="s">
        <v>27921</v>
      </c>
      <c r="K1102" s="5" t="s">
        <v>355</v>
      </c>
      <c r="L1102" s="5" t="s">
        <v>28702</v>
      </c>
      <c r="M1102" s="27"/>
      <c r="N1102" s="5"/>
      <c r="O1102" s="5" t="str">
        <v>5603041197</v>
      </c>
      <c r="P1102" s="27">
        <v>10000</v>
      </c>
      <c r="Q1102" s="5" t="s">
        <v>49822</v>
      </c>
      <c r="R1102" s="5" t="s">
        <v>50876</v>
      </c>
      <c r="S1102" s="5" t="s">
        <v>50877</v>
      </c>
      <c r="T1102" s="28">
        <v>361931000</v>
      </c>
      <c r="U1102" s="28"/>
      <c r="V1102" s="28">
        <v>1316909000</v>
      </c>
      <c r="W1102" s="28">
        <v>136880000</v>
      </c>
      <c r="X1102" s="28">
        <v>265167000</v>
      </c>
      <c r="Y1102" s="28">
        <v>2278539000</v>
      </c>
      <c r="Z1102" s="28">
        <v>88302000</v>
      </c>
      <c r="AA1102" s="28">
        <v>600000</v>
      </c>
      <c r="AB1102" s="28">
        <v>3439000</v>
      </c>
      <c r="AC1102" s="28">
        <v>2190533000</v>
      </c>
      <c r="AD1102" s="28">
        <v>88312000</v>
      </c>
      <c r="AE1102" s="28">
        <v>4097103000</v>
      </c>
      <c r="AF1102" s="28">
        <v>56216000</v>
      </c>
      <c r="AG1102" s="11"/>
    </row>
    <row r="1103">
      <c r="A1103" s="7" t="s">
        <v>2824</v>
      </c>
      <c r="B1103" s="5" t="s">
        <v>10811</v>
      </c>
      <c r="C1103" s="5" t="s">
        <v>18688</v>
      </c>
      <c r="D1103" s="5" t="str">
        <v>772322102910</v>
      </c>
      <c r="F1103" s="5" t="s">
        <v>28703</v>
      </c>
      <c r="G1103" s="5" t="s">
        <v>28704</v>
      </c>
      <c r="H1103" s="26">
        <v>18.5</v>
      </c>
      <c r="I1103" s="5" t="s">
        <v>28705</v>
      </c>
      <c r="J1103" s="5" t="s">
        <v>25429</v>
      </c>
      <c r="K1103" s="5" t="s">
        <v>344</v>
      </c>
      <c r="L1103" s="5" t="s">
        <v>28706</v>
      </c>
      <c r="M1103" s="27"/>
      <c r="N1103" s="5" t="s">
        <v>50878</v>
      </c>
      <c r="O1103" s="5" t="str">
        <v>7734513168</v>
      </c>
      <c r="P1103" s="27">
        <v>15000000</v>
      </c>
      <c r="Q1103" s="5" t="s">
        <v>49535</v>
      </c>
      <c r="R1103" s="5"/>
      <c r="S1103" s="5" t="s">
        <v>50879</v>
      </c>
      <c r="T1103" s="28">
        <v>430643000</v>
      </c>
      <c r="U1103" s="28"/>
      <c r="V1103" s="28">
        <v>3737990000</v>
      </c>
      <c r="W1103" s="28"/>
      <c r="X1103" s="28">
        <v>8234000</v>
      </c>
      <c r="Y1103" s="28">
        <v>7110733000</v>
      </c>
      <c r="Z1103" s="28">
        <v>2312768000</v>
      </c>
      <c r="AA1103" s="28">
        <v>1097334000</v>
      </c>
      <c r="AB1103" s="28">
        <v>159583000</v>
      </c>
      <c r="AC1103" s="28">
        <v>3674603000</v>
      </c>
      <c r="AD1103" s="28">
        <v>2327778000</v>
      </c>
      <c r="AE1103" s="28">
        <v>10611807000</v>
      </c>
      <c r="AF1103" s="28">
        <v>570550000</v>
      </c>
      <c r="AG1103" s="11"/>
    </row>
    <row r="1104">
      <c r="A1104" s="7" t="s">
        <v>2825</v>
      </c>
      <c r="B1104" s="5" t="s">
        <v>10812</v>
      </c>
      <c r="C1104" s="5" t="s">
        <v>18689</v>
      </c>
      <c r="D1104" s="5" t="str">
        <v>780705794930</v>
      </c>
      <c r="E1104" s="0" t="e">
        <f>+7 (3433) 100370
+7 (3433) 100371
+7 (48438) 60040
+7 (48438) 60065
+7 (48439) 60040
+7 (48439) 60065
+7 (48439) 96033
+7 (495) 3604330
+7 (800) 1009090
+7 (812) 3466942
+7 (8632) 756125
+7 (903) 6753272
+7 (903) 9614329
+7 (906) 414251
+7 (917) 3953722</f>
        <v>#NAME?</v>
      </c>
      <c r="F1104" s="5" t="s">
        <v>28707</v>
      </c>
      <c r="G1104" s="5" t="s">
        <v>28708</v>
      </c>
      <c r="H1104" s="26">
        <v>32</v>
      </c>
      <c r="I1104" s="5" t="s">
        <v>28709</v>
      </c>
      <c r="J1104" s="5" t="s">
        <v>445</v>
      </c>
      <c r="K1104" s="5" t="s">
        <v>380</v>
      </c>
      <c r="L1104" s="5" t="s">
        <v>1602</v>
      </c>
      <c r="M1104" s="27"/>
      <c r="N1104" s="5"/>
      <c r="O1104" s="5" t="str">
        <v>4025007580</v>
      </c>
      <c r="P1104" s="27">
        <v>261379995</v>
      </c>
      <c r="Q1104" s="5" t="s">
        <v>49021</v>
      </c>
      <c r="R1104" s="5"/>
      <c r="S1104" s="5" t="s">
        <v>50880</v>
      </c>
      <c r="T1104" s="28">
        <v>1407745000</v>
      </c>
      <c r="U1104" s="28">
        <v>1655888000</v>
      </c>
      <c r="V1104" s="28">
        <v>1051328000</v>
      </c>
      <c r="W1104" s="28">
        <v>301000000</v>
      </c>
      <c r="X1104" s="28">
        <v>10143000</v>
      </c>
      <c r="Y1104" s="28">
        <v>5559342000</v>
      </c>
      <c r="Z1104" s="28">
        <v>1468141000</v>
      </c>
      <c r="AA1104" s="28">
        <v>265240000</v>
      </c>
      <c r="AB1104" s="28">
        <v>1771980000</v>
      </c>
      <c r="AC1104" s="28">
        <v>3365386000</v>
      </c>
      <c r="AD1104" s="28">
        <v>1777985000</v>
      </c>
      <c r="AE1104" s="28">
        <v>4175905000</v>
      </c>
      <c r="AF1104" s="28">
        <v>18510000</v>
      </c>
      <c r="AG1104" s="11"/>
    </row>
    <row r="1105">
      <c r="A1105" s="7" t="s">
        <v>2826</v>
      </c>
      <c r="B1105" s="5" t="s">
        <v>10813</v>
      </c>
      <c r="C1105" s="5" t="s">
        <v>18690</v>
      </c>
      <c r="D1105" s="5" t="str">
        <v>220910570473</v>
      </c>
      <c r="E1105" s="0" t="e">
        <f>+7 (905) 845605
+7 (909) 5000600</f>
        <v>#NAME?</v>
      </c>
      <c r="F1105" s="5" t="s">
        <v>28710</v>
      </c>
      <c r="G1105" s="5"/>
      <c r="H1105" s="26">
        <v>11.5</v>
      </c>
      <c r="I1105" s="5" t="s">
        <v>28711</v>
      </c>
      <c r="J1105" s="5" t="s">
        <v>25805</v>
      </c>
      <c r="K1105" s="5" t="s">
        <v>344</v>
      </c>
      <c r="L1105" s="5" t="s">
        <v>28712</v>
      </c>
      <c r="M1105" s="27"/>
      <c r="N1105" s="5" t="s">
        <v>50881</v>
      </c>
      <c r="O1105" s="5" t="str">
        <v>0411155762</v>
      </c>
      <c r="P1105" s="27">
        <v>20000000</v>
      </c>
      <c r="Q1105" s="5"/>
      <c r="R1105" s="5"/>
      <c r="S1105" s="5" t="s">
        <v>49425</v>
      </c>
      <c r="T1105" s="28">
        <v>10747000</v>
      </c>
      <c r="U1105" s="28"/>
      <c r="V1105" s="28">
        <v>341561000</v>
      </c>
      <c r="W1105" s="28">
        <v>12650000</v>
      </c>
      <c r="X1105" s="28">
        <v>112958000</v>
      </c>
      <c r="Y1105" s="28">
        <v>477979000</v>
      </c>
      <c r="Z1105" s="28">
        <v>344356000</v>
      </c>
      <c r="AA1105" s="28"/>
      <c r="AB1105" s="28">
        <v>53631000</v>
      </c>
      <c r="AC1105" s="28">
        <v>113328000</v>
      </c>
      <c r="AD1105" s="28">
        <v>364356000</v>
      </c>
      <c r="AE1105" s="28">
        <v>3461436000</v>
      </c>
      <c r="AF1105" s="28">
        <v>82824000</v>
      </c>
      <c r="AG1105" s="11"/>
    </row>
    <row r="1106">
      <c r="A1106" s="7" t="s">
        <v>2827</v>
      </c>
      <c r="B1106" s="5" t="s">
        <v>10814</v>
      </c>
      <c r="C1106" s="5" t="s">
        <v>18691</v>
      </c>
      <c r="D1106" s="5" t="str">
        <v>770902360372</v>
      </c>
      <c r="E1106" s="0" t="e">
        <f>+7 (495) 7777756
+7 (495) 9611408</f>
        <v>#NAME?</v>
      </c>
      <c r="F1106" s="5"/>
      <c r="G1106" s="5"/>
      <c r="H1106" s="26">
        <v>30</v>
      </c>
      <c r="I1106" s="5" t="s">
        <v>28713</v>
      </c>
      <c r="J1106" s="5" t="s">
        <v>28714</v>
      </c>
      <c r="K1106" s="5" t="s">
        <v>344</v>
      </c>
      <c r="L1106" s="5" t="s">
        <v>28715</v>
      </c>
      <c r="M1106" s="27">
        <v>158738</v>
      </c>
      <c r="N1106" s="5" t="s">
        <v>50882</v>
      </c>
      <c r="O1106" s="5" t="str">
        <v>7710284310</v>
      </c>
      <c r="P1106" s="27">
        <v>3170000</v>
      </c>
      <c r="Q1106" s="5" t="s">
        <v>50884</v>
      </c>
      <c r="R1106" s="5"/>
      <c r="S1106" s="5" t="s">
        <v>49361</v>
      </c>
      <c r="T1106" s="28">
        <v>9353000</v>
      </c>
      <c r="U1106" s="28">
        <v>744900000</v>
      </c>
      <c r="V1106" s="28">
        <v>566360000</v>
      </c>
      <c r="W1106" s="28"/>
      <c r="X1106" s="28">
        <v>92488000</v>
      </c>
      <c r="Y1106" s="28">
        <v>1417480000</v>
      </c>
      <c r="Z1106" s="28">
        <v>484800000</v>
      </c>
      <c r="AA1106" s="28"/>
      <c r="AB1106" s="28"/>
      <c r="AC1106" s="28">
        <v>388149000</v>
      </c>
      <c r="AD1106" s="28">
        <v>1024171000</v>
      </c>
      <c r="AE1106" s="28">
        <v>5371092000</v>
      </c>
      <c r="AF1106" s="28">
        <v>179295000</v>
      </c>
      <c r="AG1106" s="11"/>
    </row>
    <row r="1107">
      <c r="A1107" s="7" t="s">
        <v>2828</v>
      </c>
      <c r="B1107" s="5" t="s">
        <v>10815</v>
      </c>
      <c r="C1107" s="5" t="s">
        <v>18692</v>
      </c>
      <c r="D1107" s="5" t="str">
        <v>027813910918</v>
      </c>
      <c r="F1107" s="5"/>
      <c r="G1107" s="5"/>
      <c r="H1107" s="26">
        <v>7.5</v>
      </c>
      <c r="I1107" s="5" t="s">
        <v>28716</v>
      </c>
      <c r="J1107" s="5" t="s">
        <v>373</v>
      </c>
      <c r="K1107" s="5" t="s">
        <v>344</v>
      </c>
      <c r="L1107" s="5"/>
      <c r="M1107" s="27"/>
      <c r="N1107" s="5"/>
      <c r="O1107" s="5" t="str">
        <v>0275903991</v>
      </c>
      <c r="P1107" s="27">
        <v>10000</v>
      </c>
      <c r="Q1107" s="5" t="s">
        <v>49057</v>
      </c>
      <c r="R1107" s="5"/>
      <c r="S1107" s="5" t="s">
        <v>49101</v>
      </c>
      <c r="T1107" s="28">
        <v>4077000</v>
      </c>
      <c r="U1107" s="28"/>
      <c r="V1107" s="28">
        <v>459257000</v>
      </c>
      <c r="W1107" s="28"/>
      <c r="X1107" s="28">
        <v>2891000</v>
      </c>
      <c r="Y1107" s="28">
        <v>466225000</v>
      </c>
      <c r="Z1107" s="28"/>
      <c r="AA1107" s="28">
        <v>27080000</v>
      </c>
      <c r="AB1107" s="28"/>
      <c r="AC1107" s="28">
        <v>385588000</v>
      </c>
      <c r="AD1107" s="28">
        <v>53557000</v>
      </c>
      <c r="AE1107" s="28">
        <v>5134673000</v>
      </c>
      <c r="AF1107" s="28">
        <v>57626000</v>
      </c>
      <c r="AG1107" s="11"/>
    </row>
    <row r="1108">
      <c r="A1108" s="7" t="s">
        <v>2829</v>
      </c>
      <c r="B1108" s="5" t="s">
        <v>10816</v>
      </c>
      <c r="C1108" s="5" t="s">
        <v>18693</v>
      </c>
      <c r="D1108" s="5" t="str">
        <v>780404197289</v>
      </c>
      <c r="E1108" s="0" t="e">
        <f>+7 (812) 5790322</f>
        <v>#NAME?</v>
      </c>
      <c r="F1108" s="5" t="s">
        <v>28717</v>
      </c>
      <c r="G1108" s="5"/>
      <c r="H1108" s="26">
        <v>7</v>
      </c>
      <c r="I1108" s="5" t="s">
        <v>28718</v>
      </c>
      <c r="J1108" s="5" t="s">
        <v>1046</v>
      </c>
      <c r="K1108" s="5" t="s">
        <v>344</v>
      </c>
      <c r="L1108" s="5" t="s">
        <v>28719</v>
      </c>
      <c r="M1108" s="27">
        <v>284899</v>
      </c>
      <c r="N1108" s="5"/>
      <c r="O1108" s="5" t="str">
        <v>7810396402</v>
      </c>
      <c r="P1108" s="27">
        <v>30000</v>
      </c>
      <c r="Q1108" s="5"/>
      <c r="R1108" s="5"/>
      <c r="S1108" s="5" t="s">
        <v>49121</v>
      </c>
      <c r="T1108" s="28">
        <v>132631000</v>
      </c>
      <c r="U1108" s="28"/>
      <c r="V1108" s="28">
        <v>283695000</v>
      </c>
      <c r="W1108" s="28">
        <v>319180000</v>
      </c>
      <c r="X1108" s="28">
        <v>147251000</v>
      </c>
      <c r="Y1108" s="28">
        <v>2082454000</v>
      </c>
      <c r="Z1108" s="28">
        <v>757767000</v>
      </c>
      <c r="AA1108" s="28"/>
      <c r="AB1108" s="28">
        <v>77338000</v>
      </c>
      <c r="AC1108" s="28">
        <v>1311919000</v>
      </c>
      <c r="AD1108" s="28">
        <v>757797000</v>
      </c>
      <c r="AE1108" s="28">
        <v>5653596000</v>
      </c>
      <c r="AF1108" s="28">
        <v>639773000</v>
      </c>
      <c r="AG1108" s="11"/>
    </row>
    <row r="1109">
      <c r="A1109" s="7" t="s">
        <v>2830</v>
      </c>
      <c r="B1109" s="5" t="s">
        <v>10817</v>
      </c>
      <c r="C1109" s="5" t="s">
        <v>18694</v>
      </c>
      <c r="D1109" s="5" t="str">
        <v>532004370104</v>
      </c>
      <c r="E1109" s="0" t="e">
        <f>+7 (967) 1269789
+7 (495) 6442290
+7 (495) 7489983
+7 (999) 5504944</f>
        <v>#NAME?</v>
      </c>
      <c r="F1109" s="5" t="s">
        <v>28720</v>
      </c>
      <c r="G1109" s="5" t="s">
        <v>28721</v>
      </c>
      <c r="H1109" s="26">
        <v>13</v>
      </c>
      <c r="I1109" s="5" t="s">
        <v>28722</v>
      </c>
      <c r="J1109" s="5" t="s">
        <v>585</v>
      </c>
      <c r="K1109" s="5" t="s">
        <v>344</v>
      </c>
      <c r="L1109" s="5" t="s">
        <v>28723</v>
      </c>
      <c r="M1109" s="27"/>
      <c r="N1109" s="5" t="s">
        <v>49209</v>
      </c>
      <c r="O1109" s="5" t="str">
        <v>7729644246</v>
      </c>
      <c r="P1109" s="27">
        <v>1560000</v>
      </c>
      <c r="Q1109" s="5" t="s">
        <v>50887</v>
      </c>
      <c r="R1109" s="5" t="s">
        <v>50888</v>
      </c>
      <c r="S1109" s="5" t="s">
        <v>50889</v>
      </c>
      <c r="T1109" s="28">
        <v>383114000</v>
      </c>
      <c r="U1109" s="28"/>
      <c r="V1109" s="28">
        <v>1136427000</v>
      </c>
      <c r="W1109" s="28"/>
      <c r="X1109" s="28">
        <v>2481338000</v>
      </c>
      <c r="Y1109" s="28">
        <v>4305335000</v>
      </c>
      <c r="Z1109" s="28">
        <v>1783963000</v>
      </c>
      <c r="AA1109" s="28"/>
      <c r="AB1109" s="28"/>
      <c r="AC1109" s="28">
        <v>2133836000</v>
      </c>
      <c r="AD1109" s="28">
        <v>1785523000</v>
      </c>
      <c r="AE1109" s="28">
        <v>9135703000</v>
      </c>
      <c r="AF1109" s="28">
        <v>757154000</v>
      </c>
      <c r="AG1109" s="11"/>
    </row>
    <row r="1110">
      <c r="A1110" s="7" t="s">
        <v>2830</v>
      </c>
      <c r="B1110" s="5" t="s">
        <v>10818</v>
      </c>
      <c r="C1110" s="5" t="s">
        <v>18695</v>
      </c>
      <c r="D1110" s="5" t="str">
        <v>771206419986</v>
      </c>
      <c r="E1110" s="0" t="e">
        <f>+7 (903) 1283913
+7 (495) 6452427
+7 (495) 6472034
+7 (495) 7952565
+7 (499) 4098110
+7 (903) 1397165
+7 (916) 6003960
+7 (985) 2753517</f>
        <v>#NAME?</v>
      </c>
      <c r="F1110" s="5"/>
      <c r="G1110" s="5" t="s">
        <v>28724</v>
      </c>
      <c r="H1110" s="26">
        <v>15.5</v>
      </c>
      <c r="I1110" s="5" t="s">
        <v>28725</v>
      </c>
      <c r="J1110" s="5" t="s">
        <v>25612</v>
      </c>
      <c r="K1110" s="5" t="s">
        <v>344</v>
      </c>
      <c r="L1110" s="5" t="s">
        <v>28726</v>
      </c>
      <c r="M1110" s="27"/>
      <c r="N1110" s="5"/>
      <c r="O1110" s="5" t="str">
        <v>5003070750</v>
      </c>
      <c r="P1110" s="27">
        <v>1210863800</v>
      </c>
      <c r="Q1110" s="5" t="s">
        <v>50890</v>
      </c>
      <c r="R1110" s="5" t="s">
        <v>50891</v>
      </c>
      <c r="S1110" s="5" t="s">
        <v>50892</v>
      </c>
      <c r="T1110" s="28">
        <v>1649000</v>
      </c>
      <c r="U1110" s="28"/>
      <c r="V1110" s="28">
        <v>1535225000</v>
      </c>
      <c r="W1110" s="28"/>
      <c r="X1110" s="28">
        <v>23758000</v>
      </c>
      <c r="Y1110" s="28">
        <v>3681092000</v>
      </c>
      <c r="Z1110" s="28">
        <v>440157000</v>
      </c>
      <c r="AA1110" s="28"/>
      <c r="AB1110" s="28">
        <v>1155079000</v>
      </c>
      <c r="AC1110" s="28">
        <v>2029836000</v>
      </c>
      <c r="AD1110" s="28">
        <v>1651008000</v>
      </c>
      <c r="AE1110" s="28">
        <v>8119037000</v>
      </c>
      <c r="AF1110" s="28">
        <v>123214000</v>
      </c>
      <c r="AG1110" s="11"/>
    </row>
    <row r="1111">
      <c r="A1111" s="7" t="s">
        <v>2831</v>
      </c>
      <c r="B1111" s="5" t="s">
        <v>10808</v>
      </c>
      <c r="C1111" s="5" t="s">
        <v>18696</v>
      </c>
      <c r="D1111" s="5" t="str">
        <v>602505114151</v>
      </c>
      <c r="E1111" s="0" t="e">
        <f>+7 (8112) 558886
+7 (8112) 566323
+7 (8112) 586585
+7 (8112) 678678
+7 (8112) 678755
+7 (8112) 678766
+7 (8112) 678899
+7 (81153) 23561
+7 (81153) 23562
+7 (81153) 23563
+7 (81153) 35865
+7 (81153) 35869
+7 (81153) 39313
+7 (81153) 49113
+7 (81153) 49211</f>
        <v>#NAME?</v>
      </c>
      <c r="F1111" s="5" t="s">
        <v>28727</v>
      </c>
      <c r="G1111" s="5"/>
      <c r="H1111" s="26">
        <v>29.5</v>
      </c>
      <c r="I1111" s="5"/>
      <c r="J1111" s="5" t="s">
        <v>27464</v>
      </c>
      <c r="K1111" s="5" t="s">
        <v>355</v>
      </c>
      <c r="L1111" s="5"/>
      <c r="M1111" s="27">
        <v>37556017</v>
      </c>
      <c r="N1111" s="5" t="s">
        <v>50893</v>
      </c>
      <c r="O1111" s="5" t="str">
        <v>6025009824</v>
      </c>
      <c r="P1111" s="27">
        <v>74100</v>
      </c>
      <c r="Q1111" s="5" t="s">
        <v>49009</v>
      </c>
      <c r="R1111" s="5"/>
      <c r="S1111" s="5" t="s">
        <v>50781</v>
      </c>
      <c r="T1111" s="28">
        <v>4156857000</v>
      </c>
      <c r="U1111" s="28"/>
      <c r="V1111" s="28">
        <v>3775696000</v>
      </c>
      <c r="W1111" s="28"/>
      <c r="X1111" s="28">
        <v>19849500000</v>
      </c>
      <c r="Y1111" s="28">
        <v>29643056000</v>
      </c>
      <c r="Z1111" s="28">
        <v>-560444000</v>
      </c>
      <c r="AA1111" s="28">
        <v>1642427000</v>
      </c>
      <c r="AB1111" s="28">
        <v>837836000</v>
      </c>
      <c r="AC1111" s="28">
        <v>27935509000</v>
      </c>
      <c r="AD1111" s="28">
        <v>-202380000</v>
      </c>
      <c r="AE1111" s="28">
        <v>43062707000</v>
      </c>
      <c r="AF1111" s="28">
        <v>450108000</v>
      </c>
      <c r="AG1111" s="11"/>
    </row>
    <row r="1112">
      <c r="A1112" s="7" t="s">
        <v>2832</v>
      </c>
      <c r="B1112" s="5" t="s">
        <v>10819</v>
      </c>
      <c r="C1112" s="5" t="s">
        <v>18697</v>
      </c>
      <c r="D1112" s="5" t="str">
        <v>771706765487</v>
      </c>
      <c r="E1112" s="0" t="e">
        <f>+7 (495) 6815275
+7 (495) 9833378</f>
        <v>#NAME?</v>
      </c>
      <c r="F1112" s="5" t="s">
        <v>28728</v>
      </c>
      <c r="G1112" s="5"/>
      <c r="H1112" s="26">
        <v>15.5</v>
      </c>
      <c r="I1112" s="5"/>
      <c r="J1112" s="5" t="s">
        <v>373</v>
      </c>
      <c r="K1112" s="5" t="s">
        <v>344</v>
      </c>
      <c r="L1112" s="5" t="s">
        <v>28729</v>
      </c>
      <c r="M1112" s="27">
        <v>2092359</v>
      </c>
      <c r="N1112" s="5" t="s">
        <v>50894</v>
      </c>
      <c r="O1112" s="5" t="str">
        <v>7702643686</v>
      </c>
      <c r="P1112" s="27">
        <v>30000000</v>
      </c>
      <c r="Q1112" s="5" t="s">
        <v>50895</v>
      </c>
      <c r="R1112" s="5"/>
      <c r="S1112" s="5" t="s">
        <v>50896</v>
      </c>
      <c r="T1112" s="28">
        <v>52131000</v>
      </c>
      <c r="U1112" s="28"/>
      <c r="V1112" s="28">
        <v>3826940000</v>
      </c>
      <c r="W1112" s="28">
        <v>974660000</v>
      </c>
      <c r="X1112" s="28">
        <v>29761000</v>
      </c>
      <c r="Y1112" s="28">
        <v>5319522000</v>
      </c>
      <c r="Z1112" s="28">
        <v>2349057000</v>
      </c>
      <c r="AA1112" s="28">
        <v>54620000</v>
      </c>
      <c r="AB1112" s="28">
        <v>1999714000</v>
      </c>
      <c r="AC1112" s="28">
        <v>2885683000</v>
      </c>
      <c r="AD1112" s="28">
        <v>2379207000</v>
      </c>
      <c r="AE1112" s="28">
        <v>28776288000</v>
      </c>
      <c r="AF1112" s="28">
        <v>78284000</v>
      </c>
      <c r="AG1112" s="11"/>
    </row>
    <row r="1113">
      <c r="A1113" s="7" t="s">
        <v>2833</v>
      </c>
      <c r="B1113" s="5" t="s">
        <v>10820</v>
      </c>
      <c r="C1113" s="5" t="s">
        <v>18698</v>
      </c>
      <c r="D1113" s="5"/>
      <c r="E1113" s="0" t="e">
        <f>+7 (495) 9339938
+7 (495) 2219155
+7 (495) 2808127</f>
        <v>#NAME?</v>
      </c>
      <c r="F1113" s="5"/>
      <c r="G1113" s="5" t="s">
        <v>28730</v>
      </c>
      <c r="H1113" s="26">
        <v>9.5</v>
      </c>
      <c r="I1113" s="5" t="s">
        <v>28731</v>
      </c>
      <c r="J1113" s="5" t="s">
        <v>25484</v>
      </c>
      <c r="K1113" s="5" t="s">
        <v>344</v>
      </c>
      <c r="L1113" s="5" t="s">
        <v>28732</v>
      </c>
      <c r="M1113" s="27">
        <v>2531325</v>
      </c>
      <c r="N1113" s="5"/>
      <c r="O1113" s="5" t="str">
        <v>7728853984</v>
      </c>
      <c r="P1113" s="27">
        <v>300050000</v>
      </c>
      <c r="Q1113" s="5" t="s">
        <v>49009</v>
      </c>
      <c r="R1113" s="5" t="s">
        <v>50897</v>
      </c>
      <c r="S1113" s="5" t="s">
        <v>50019</v>
      </c>
      <c r="T1113" s="28">
        <v>9444130000</v>
      </c>
      <c r="U1113" s="28">
        <v>591000000</v>
      </c>
      <c r="V1113" s="28">
        <v>523750000</v>
      </c>
      <c r="W1113" s="28"/>
      <c r="X1113" s="28">
        <v>258192000</v>
      </c>
      <c r="Y1113" s="28">
        <v>12992371000</v>
      </c>
      <c r="Z1113" s="28">
        <v>3805182000</v>
      </c>
      <c r="AA1113" s="28">
        <v>4681943000</v>
      </c>
      <c r="AB1113" s="28">
        <v>890642000</v>
      </c>
      <c r="AC1113" s="28">
        <v>1838660000</v>
      </c>
      <c r="AD1113" s="28">
        <v>4199570000</v>
      </c>
      <c r="AE1113" s="28">
        <v>3740658000</v>
      </c>
      <c r="AF1113" s="28">
        <v>1337586000</v>
      </c>
      <c r="AG1113" s="11"/>
    </row>
    <row r="1114">
      <c r="A1114" s="7" t="s">
        <v>2833</v>
      </c>
      <c r="B1114" s="5" t="s">
        <v>10821</v>
      </c>
      <c r="C1114" s="5" t="s">
        <v>18699</v>
      </c>
      <c r="D1114" s="5" t="str">
        <v>623011293603</v>
      </c>
      <c r="E1114" s="0" t="e">
        <f>+7 (8482) 270278
+7 (906) 660346</f>
        <v>#NAME?</v>
      </c>
      <c r="F1114" s="5"/>
      <c r="G1114" s="5" t="s">
        <v>28733</v>
      </c>
      <c r="H1114" s="26">
        <v>8.5</v>
      </c>
      <c r="I1114" s="5" t="s">
        <v>28734</v>
      </c>
      <c r="J1114" s="5" t="s">
        <v>27522</v>
      </c>
      <c r="K1114" s="5" t="s">
        <v>380</v>
      </c>
      <c r="L1114" s="5" t="s">
        <v>28735</v>
      </c>
      <c r="M1114" s="27">
        <v>5287</v>
      </c>
      <c r="N1114" s="5"/>
      <c r="O1114" s="5" t="str">
        <v>5031111133</v>
      </c>
      <c r="P1114" s="27">
        <v>220000</v>
      </c>
      <c r="Q1114" s="5" t="s">
        <v>49059</v>
      </c>
      <c r="R1114" s="5"/>
      <c r="S1114" s="5" t="s">
        <v>49045</v>
      </c>
      <c r="T1114" s="28">
        <v>5857000</v>
      </c>
      <c r="U1114" s="28"/>
      <c r="V1114" s="28">
        <v>766306000</v>
      </c>
      <c r="W1114" s="28">
        <v>4000000</v>
      </c>
      <c r="X1114" s="28">
        <v>45279000</v>
      </c>
      <c r="Y1114" s="28">
        <v>3698594000</v>
      </c>
      <c r="Z1114" s="28">
        <v>463504000</v>
      </c>
      <c r="AA1114" s="28">
        <v>110865000</v>
      </c>
      <c r="AB1114" s="28">
        <v>125696000</v>
      </c>
      <c r="AC1114" s="28">
        <v>3099566000</v>
      </c>
      <c r="AD1114" s="28">
        <v>463724000</v>
      </c>
      <c r="AE1114" s="28">
        <v>6857946000</v>
      </c>
      <c r="AF1114" s="28">
        <v>169096000</v>
      </c>
      <c r="AG1114" s="11"/>
    </row>
    <row r="1115">
      <c r="A1115" s="7" t="s">
        <v>2833</v>
      </c>
      <c r="B1115" s="5" t="s">
        <v>10822</v>
      </c>
      <c r="C1115" s="5" t="s">
        <v>18700</v>
      </c>
      <c r="D1115" s="5" t="str">
        <v>772902204680</v>
      </c>
      <c r="E1115" s="0" t="e">
        <f>+7 (48439) 57215
+7 (495) 6406495
+7 (916) 5932044</f>
        <v>#NAME?</v>
      </c>
      <c r="F1115" s="5" t="s">
        <v>28736</v>
      </c>
      <c r="G1115" s="5"/>
      <c r="H1115" s="26">
        <v>13</v>
      </c>
      <c r="I1115" s="5" t="s">
        <v>28737</v>
      </c>
      <c r="J1115" s="5" t="s">
        <v>28738</v>
      </c>
      <c r="K1115" s="5" t="s">
        <v>344</v>
      </c>
      <c r="L1115" s="5" t="s">
        <v>28739</v>
      </c>
      <c r="M1115" s="27">
        <v>1598001</v>
      </c>
      <c r="N1115" s="5" t="s">
        <v>50898</v>
      </c>
      <c r="O1115" s="5" t="str">
        <v>5027161766</v>
      </c>
      <c r="P1115" s="27">
        <v>25000</v>
      </c>
      <c r="Q1115" s="5" t="s">
        <v>50899</v>
      </c>
      <c r="R1115" s="5"/>
      <c r="S1115" s="5" t="s">
        <v>49012</v>
      </c>
      <c r="T1115" s="28">
        <v>958835000</v>
      </c>
      <c r="U1115" s="28">
        <v>15000</v>
      </c>
      <c r="V1115" s="28">
        <v>1144419000</v>
      </c>
      <c r="W1115" s="28"/>
      <c r="X1115" s="28">
        <v>469000</v>
      </c>
      <c r="Y1115" s="28">
        <v>4092971000</v>
      </c>
      <c r="Z1115" s="28">
        <v>1399893000</v>
      </c>
      <c r="AA1115" s="28"/>
      <c r="AB1115" s="28">
        <v>306928000</v>
      </c>
      <c r="AC1115" s="28">
        <v>1818138000</v>
      </c>
      <c r="AD1115" s="28">
        <v>1399918000</v>
      </c>
      <c r="AE1115" s="28">
        <v>11776345000</v>
      </c>
      <c r="AF1115" s="28">
        <v>528412000</v>
      </c>
      <c r="AG1115" s="11"/>
    </row>
    <row r="1116">
      <c r="A1116" s="7" t="s">
        <v>2834</v>
      </c>
      <c r="B1116" s="5" t="s">
        <v>10823</v>
      </c>
      <c r="C1116" s="5" t="s">
        <v>18701</v>
      </c>
      <c r="D1116" s="5"/>
      <c r="E1116" s="0" t="e">
        <f>+7 (8617) 276410
+7 (8617) 276523
+7 (8617) 286424
+7 (8617) 286425</f>
        <v>#NAME?</v>
      </c>
      <c r="F1116" s="5" t="s">
        <v>28740</v>
      </c>
      <c r="G1116" s="5" t="s">
        <v>28741</v>
      </c>
      <c r="H1116" s="26">
        <v>28.5</v>
      </c>
      <c r="I1116" s="5" t="s">
        <v>28742</v>
      </c>
      <c r="J1116" s="5" t="s">
        <v>26407</v>
      </c>
      <c r="K1116" s="5" t="s">
        <v>344</v>
      </c>
      <c r="L1116" s="5"/>
      <c r="M1116" s="27"/>
      <c r="N1116" s="5" t="s">
        <v>50900</v>
      </c>
      <c r="O1116" s="5" t="str">
        <v>2315076504</v>
      </c>
      <c r="P1116" s="27">
        <v>41800</v>
      </c>
      <c r="Q1116" s="5" t="s">
        <v>50901</v>
      </c>
      <c r="R1116" s="5"/>
      <c r="S1116" s="5" t="s">
        <v>50902</v>
      </c>
      <c r="T1116" s="28">
        <v>13622650000</v>
      </c>
      <c r="U1116" s="28"/>
      <c r="V1116" s="28">
        <v>872375000</v>
      </c>
      <c r="W1116" s="28"/>
      <c r="X1116" s="28">
        <v>522496000</v>
      </c>
      <c r="Y1116" s="28">
        <v>17016419000</v>
      </c>
      <c r="Z1116" s="28">
        <v>3865874000</v>
      </c>
      <c r="AA1116" s="28">
        <v>7942570000</v>
      </c>
      <c r="AB1116" s="28">
        <v>1258435000</v>
      </c>
      <c r="AC1116" s="28">
        <v>3533515000</v>
      </c>
      <c r="AD1116" s="28">
        <v>3867235000</v>
      </c>
      <c r="AE1116" s="28">
        <v>11475946000</v>
      </c>
      <c r="AF1116" s="28">
        <v>1468917000</v>
      </c>
      <c r="AG1116" s="11"/>
    </row>
    <row r="1117">
      <c r="A1117" s="7" t="s">
        <v>2835</v>
      </c>
      <c r="B1117" s="5" t="s">
        <v>10824</v>
      </c>
      <c r="C1117" s="5" t="s">
        <v>18702</v>
      </c>
      <c r="D1117" s="5" t="str">
        <v>482606014695</v>
      </c>
      <c r="E1117" s="0" t="e">
        <f>+7 (920) 3403534
+7 (493) 2338806
+7 (493) 2383742
+7 (493) 2384441
+7 (493) 2385684
+7 (493) 2386456
+7 (493) 2386611
+7 (800) 2000120</f>
        <v>#NAME?</v>
      </c>
      <c r="F1117" s="5" t="s">
        <v>28743</v>
      </c>
      <c r="G1117" s="5"/>
      <c r="H1117" s="26">
        <v>22</v>
      </c>
      <c r="I1117" s="5" t="s">
        <v>28744</v>
      </c>
      <c r="J1117" s="5" t="s">
        <v>445</v>
      </c>
      <c r="K1117" s="5" t="s">
        <v>344</v>
      </c>
      <c r="L1117" s="5" t="s">
        <v>28745</v>
      </c>
      <c r="M1117" s="27"/>
      <c r="N1117" s="5" t="s">
        <v>50903</v>
      </c>
      <c r="O1117" s="5" t="str">
        <v>3711012961</v>
      </c>
      <c r="P1117" s="27">
        <v>19500</v>
      </c>
      <c r="Q1117" s="5" t="s">
        <v>49009</v>
      </c>
      <c r="R1117" s="5"/>
      <c r="S1117" s="5" t="s">
        <v>49028</v>
      </c>
      <c r="T1117" s="28">
        <v>3908228000</v>
      </c>
      <c r="U1117" s="28"/>
      <c r="V1117" s="28">
        <v>723391000</v>
      </c>
      <c r="W1117" s="28"/>
      <c r="X1117" s="28">
        <v>520631000</v>
      </c>
      <c r="Y1117" s="28">
        <v>7001143000</v>
      </c>
      <c r="Z1117" s="28">
        <v>4625035000</v>
      </c>
      <c r="AA1117" s="28">
        <v>599939000</v>
      </c>
      <c r="AB1117" s="28">
        <v>445000</v>
      </c>
      <c r="AC1117" s="28">
        <v>1591108000</v>
      </c>
      <c r="AD1117" s="28">
        <v>4625055000</v>
      </c>
      <c r="AE1117" s="28">
        <v>15449473000</v>
      </c>
      <c r="AF1117" s="28">
        <v>1072183000</v>
      </c>
      <c r="AG1117" s="11"/>
    </row>
    <row r="1118">
      <c r="A1118" s="7" t="s">
        <v>2836</v>
      </c>
      <c r="B1118" s="5" t="s">
        <v>10825</v>
      </c>
      <c r="C1118" s="5" t="s">
        <v>18703</v>
      </c>
      <c r="D1118" s="5" t="str">
        <v>501703673291</v>
      </c>
      <c r="E1118" s="0" t="e">
        <f>+7 (482) 2789801
+7 (910) 6471921
+7 (926) 4411921
+7 (482) 2789808
+7 (800) 5510971</f>
        <v>#NAME?</v>
      </c>
      <c r="F1118" s="5" t="s">
        <v>28746</v>
      </c>
      <c r="G1118" s="5"/>
      <c r="H1118" s="26">
        <v>3.5</v>
      </c>
      <c r="I1118" s="5" t="s">
        <v>28747</v>
      </c>
      <c r="J1118" s="5" t="s">
        <v>27776</v>
      </c>
      <c r="K1118" s="5" t="s">
        <v>344</v>
      </c>
      <c r="L1118" s="5" t="s">
        <v>28748</v>
      </c>
      <c r="M1118" s="27">
        <v>2900</v>
      </c>
      <c r="N1118" s="5" t="s">
        <v>50904</v>
      </c>
      <c r="O1118" s="5" t="str">
        <v>6950232667</v>
      </c>
      <c r="P1118" s="27">
        <v>10000</v>
      </c>
      <c r="Q1118" s="5" t="s">
        <v>50906</v>
      </c>
      <c r="R1118" s="5"/>
      <c r="S1118" s="5" t="s">
        <v>49760</v>
      </c>
      <c r="T1118" s="28">
        <v>2816468000</v>
      </c>
      <c r="U1118" s="28"/>
      <c r="V1118" s="28">
        <v>438269000</v>
      </c>
      <c r="W1118" s="28"/>
      <c r="X1118" s="28">
        <v>409899000</v>
      </c>
      <c r="Y1118" s="28">
        <v>3861543000</v>
      </c>
      <c r="Z1118" s="28">
        <v>881202000</v>
      </c>
      <c r="AA1118" s="28">
        <v>618038000</v>
      </c>
      <c r="AB1118" s="28">
        <v>154970000</v>
      </c>
      <c r="AC1118" s="28">
        <v>1328071000</v>
      </c>
      <c r="AD1118" s="28">
        <v>881212000</v>
      </c>
      <c r="AE1118" s="28">
        <v>3903132000</v>
      </c>
      <c r="AF1118" s="28">
        <v>45182000</v>
      </c>
      <c r="AG1118" s="11"/>
    </row>
    <row r="1119">
      <c r="A1119" s="7" t="s">
        <v>2837</v>
      </c>
      <c r="B1119" s="5" t="s">
        <v>10826</v>
      </c>
      <c r="C1119" s="5" t="s">
        <v>18704</v>
      </c>
      <c r="D1119" s="5" t="str">
        <v>230905869708</v>
      </c>
      <c r="E1119" s="0" t="e">
        <f>+7 (908) 6777788
+7 (918) 1413535
+7 (86151) 63770
+7 (961) 5163770</f>
        <v>#NAME?</v>
      </c>
      <c r="F1119" s="5" t="s">
        <v>28749</v>
      </c>
      <c r="G1119" s="5"/>
      <c r="H1119" s="26">
        <v>14</v>
      </c>
      <c r="I1119" s="5" t="s">
        <v>28750</v>
      </c>
      <c r="J1119" s="5" t="s">
        <v>25550</v>
      </c>
      <c r="K1119" s="5" t="s">
        <v>344</v>
      </c>
      <c r="L1119" s="5" t="s">
        <v>28751</v>
      </c>
      <c r="M1119" s="27"/>
      <c r="N1119" s="5" t="s">
        <v>50907</v>
      </c>
      <c r="O1119" s="5" t="str">
        <v>2309115917</v>
      </c>
      <c r="P1119" s="27">
        <v>10000</v>
      </c>
      <c r="Q1119" s="5"/>
      <c r="R1119" s="5"/>
      <c r="S1119" s="5" t="s">
        <v>49991</v>
      </c>
      <c r="T1119" s="28">
        <v>37260000</v>
      </c>
      <c r="U1119" s="28"/>
      <c r="V1119" s="28">
        <v>1140921000</v>
      </c>
      <c r="W1119" s="28">
        <v>20476000</v>
      </c>
      <c r="X1119" s="28">
        <v>194256000</v>
      </c>
      <c r="Y1119" s="28">
        <v>2420571000</v>
      </c>
      <c r="Z1119" s="28">
        <v>1017894000</v>
      </c>
      <c r="AA1119" s="28"/>
      <c r="AB1119" s="28">
        <v>12000000</v>
      </c>
      <c r="AC1119" s="28">
        <v>1397974000</v>
      </c>
      <c r="AD1119" s="28">
        <v>1017904000</v>
      </c>
      <c r="AE1119" s="28">
        <v>4653145000</v>
      </c>
      <c r="AF1119" s="28">
        <v>624797000</v>
      </c>
      <c r="AG1119" s="11"/>
    </row>
    <row r="1120">
      <c r="A1120" s="7" t="s">
        <v>2838</v>
      </c>
      <c r="B1120" s="5" t="s">
        <v>10827</v>
      </c>
      <c r="C1120" s="5" t="s">
        <v>18705</v>
      </c>
      <c r="D1120" s="5" t="str">
        <v>781614999114</v>
      </c>
      <c r="E1120" s="0" t="e">
        <f>+7 (812) 4493183
+7 (812) 6221736
+7 (812) 6776624
+7 (812) 4120456
+7 (812) 4125715
+7 (812) 5675923
+7 (812) 6773268
+7 (921) 7500045</f>
        <v>#NAME?</v>
      </c>
      <c r="F1120" s="5" t="s">
        <v>28752</v>
      </c>
      <c r="G1120" s="5" t="s">
        <v>28753</v>
      </c>
      <c r="H1120" s="26">
        <v>19</v>
      </c>
      <c r="I1120" s="5" t="s">
        <v>28754</v>
      </c>
      <c r="J1120" s="5" t="s">
        <v>28755</v>
      </c>
      <c r="K1120" s="5" t="s">
        <v>380</v>
      </c>
      <c r="L1120" s="5"/>
      <c r="M1120" s="27"/>
      <c r="N1120" s="5" t="s">
        <v>50908</v>
      </c>
      <c r="O1120" s="5" t="str">
        <v>7838013473</v>
      </c>
      <c r="P1120" s="27">
        <v>10000</v>
      </c>
      <c r="Q1120" s="5" t="s">
        <v>50910</v>
      </c>
      <c r="R1120" s="5"/>
      <c r="S1120" s="5" t="s">
        <v>49065</v>
      </c>
      <c r="T1120" s="28">
        <v>12394484000</v>
      </c>
      <c r="U1120" s="28"/>
      <c r="V1120" s="28">
        <v>3543659000</v>
      </c>
      <c r="W1120" s="28">
        <v>18422000</v>
      </c>
      <c r="X1120" s="28">
        <v>103788000</v>
      </c>
      <c r="Y1120" s="28">
        <v>19813666000</v>
      </c>
      <c r="Z1120" s="28">
        <v>-1206414000</v>
      </c>
      <c r="AA1120" s="28">
        <v>525000000</v>
      </c>
      <c r="AB1120" s="28">
        <v>3269932000</v>
      </c>
      <c r="AC1120" s="28">
        <v>4873296000</v>
      </c>
      <c r="AD1120" s="28">
        <v>-1175404000</v>
      </c>
      <c r="AE1120" s="28">
        <v>7567327000</v>
      </c>
      <c r="AF1120" s="28">
        <v>-986615000</v>
      </c>
      <c r="AG1120" s="11"/>
    </row>
    <row r="1121">
      <c r="A1121" s="7" t="s">
        <v>2839</v>
      </c>
      <c r="B1121" s="5" t="s">
        <v>10828</v>
      </c>
      <c r="C1121" s="5" t="s">
        <v>18706</v>
      </c>
      <c r="D1121" s="5" t="str">
        <v>780218602469</v>
      </c>
      <c r="E1121" s="0" t="e">
        <f>+7 (3432) 782490
+7 (495) 2283030
+7 (495) 5803880
+7 (800) 1000373
+7 (812) 3247750
+7 (84626) 96454
+7 (861) 2149892
+7 (861) 2149893
+7 (8632) 618408
+7 (8632) 618409</f>
        <v>#NAME?</v>
      </c>
      <c r="F1121" s="5" t="s">
        <v>28756</v>
      </c>
      <c r="G1121" s="5"/>
      <c r="H1121" s="26">
        <v>18</v>
      </c>
      <c r="I1121" s="5" t="s">
        <v>28757</v>
      </c>
      <c r="J1121" s="5" t="s">
        <v>26328</v>
      </c>
      <c r="K1121" s="5" t="s">
        <v>344</v>
      </c>
      <c r="L1121" s="5" t="s">
        <v>28758</v>
      </c>
      <c r="M1121" s="27"/>
      <c r="N1121" s="5"/>
      <c r="O1121" s="5" t="str">
        <v>5051008208</v>
      </c>
      <c r="P1121" s="27">
        <v>6582384</v>
      </c>
      <c r="Q1121" s="5" t="s">
        <v>49009</v>
      </c>
      <c r="R1121" s="5"/>
      <c r="S1121" s="5" t="s">
        <v>49487</v>
      </c>
      <c r="T1121" s="28">
        <v>244755000</v>
      </c>
      <c r="U1121" s="28">
        <v>9000</v>
      </c>
      <c r="V1121" s="28">
        <v>1563109000</v>
      </c>
      <c r="W1121" s="28"/>
      <c r="X1121" s="28">
        <v>107488000</v>
      </c>
      <c r="Y1121" s="28">
        <v>5426491000</v>
      </c>
      <c r="Z1121" s="28">
        <v>3274747000</v>
      </c>
      <c r="AA1121" s="28"/>
      <c r="AB1121" s="28">
        <v>1254303000</v>
      </c>
      <c r="AC1121" s="28">
        <v>2139387000</v>
      </c>
      <c r="AD1121" s="28">
        <v>3281329000</v>
      </c>
      <c r="AE1121" s="28">
        <v>13890234000</v>
      </c>
      <c r="AF1121" s="28">
        <v>1460752000</v>
      </c>
      <c r="AG1121" s="11"/>
    </row>
    <row r="1122">
      <c r="A1122" s="7" t="s">
        <v>2840</v>
      </c>
      <c r="B1122" s="5" t="s">
        <v>10829</v>
      </c>
      <c r="C1122" s="5" t="s">
        <v>18707</v>
      </c>
      <c r="D1122" s="5" t="str">
        <v>434596934702</v>
      </c>
      <c r="E1122" s="0" t="e">
        <f>+7 (8332) 405830
+7 (495) 5542240
+7 (833) 2273529
+7 (8332) 251378
+7 (8332) 329349
+7 (8332) 329371
+7 (8332) 329412</f>
        <v>#NAME?</v>
      </c>
      <c r="F1122" s="5" t="s">
        <v>28759</v>
      </c>
      <c r="G1122" s="5" t="s">
        <v>28760</v>
      </c>
      <c r="H1122" s="26">
        <v>25</v>
      </c>
      <c r="I1122" s="5"/>
      <c r="J1122" s="5" t="s">
        <v>26243</v>
      </c>
      <c r="K1122" s="5" t="s">
        <v>344</v>
      </c>
      <c r="L1122" s="5"/>
      <c r="M1122" s="27"/>
      <c r="N1122" s="5"/>
      <c r="O1122" s="5" t="str">
        <v>4346047144</v>
      </c>
      <c r="P1122" s="27">
        <v>291100000</v>
      </c>
      <c r="Q1122" s="5" t="s">
        <v>49207</v>
      </c>
      <c r="R1122" s="5"/>
      <c r="S1122" s="5" t="s">
        <v>50911</v>
      </c>
      <c r="T1122" s="28">
        <v>1277124000</v>
      </c>
      <c r="U1122" s="28"/>
      <c r="V1122" s="28">
        <v>3758195000</v>
      </c>
      <c r="W1122" s="28">
        <v>580000000</v>
      </c>
      <c r="X1122" s="28">
        <v>182628000</v>
      </c>
      <c r="Y1122" s="28">
        <v>7374977000</v>
      </c>
      <c r="Z1122" s="28">
        <v>710456000</v>
      </c>
      <c r="AA1122" s="28"/>
      <c r="AB1122" s="28"/>
      <c r="AC1122" s="28">
        <v>3416675000</v>
      </c>
      <c r="AD1122" s="28">
        <v>3782929000</v>
      </c>
      <c r="AE1122" s="28">
        <v>6154484000</v>
      </c>
      <c r="AF1122" s="28">
        <v>921620000</v>
      </c>
      <c r="AG1122" s="11"/>
    </row>
    <row r="1123">
      <c r="A1123" s="7" t="s">
        <v>2841</v>
      </c>
      <c r="B1123" s="5" t="s">
        <v>10830</v>
      </c>
      <c r="C1123" s="5" t="s">
        <v>18708</v>
      </c>
      <c r="D1123" s="5" t="str">
        <v>233505259654</v>
      </c>
      <c r="E1123" s="0" t="e">
        <f>+7 (812) 2127381
+7 (861) 2127381
+7 (861) 2127383
+7 (861) 2127384
+7 (861) 2127386
+7 (905) 4048273
+7 (861) 2931060
+7 (861) 2931080
+7 (861) 8437255
+7 (964) 8930555</f>
        <v>#NAME?</v>
      </c>
      <c r="F1123" s="5" t="s">
        <v>28761</v>
      </c>
      <c r="G1123" s="5"/>
      <c r="H1123" s="26">
        <v>18</v>
      </c>
      <c r="I1123" s="5" t="s">
        <v>28762</v>
      </c>
      <c r="J1123" s="5" t="s">
        <v>467</v>
      </c>
      <c r="K1123" s="5" t="s">
        <v>344</v>
      </c>
      <c r="L1123" s="5" t="s">
        <v>511</v>
      </c>
      <c r="M1123" s="27">
        <v>18992397</v>
      </c>
      <c r="N1123" s="5" t="s">
        <v>50912</v>
      </c>
      <c r="O1123" s="5" t="str">
        <v>2309091952</v>
      </c>
      <c r="P1123" s="27">
        <v>10000</v>
      </c>
      <c r="Q1123" s="5" t="s">
        <v>50913</v>
      </c>
      <c r="R1123" s="5" t="s">
        <v>50914</v>
      </c>
      <c r="S1123" s="5" t="s">
        <v>50915</v>
      </c>
      <c r="T1123" s="28">
        <v>282081000</v>
      </c>
      <c r="U1123" s="28">
        <v>2946000</v>
      </c>
      <c r="V1123" s="28">
        <v>1069473000</v>
      </c>
      <c r="W1123" s="28"/>
      <c r="X1123" s="28">
        <v>447326000</v>
      </c>
      <c r="Y1123" s="28">
        <v>2326458000</v>
      </c>
      <c r="Z1123" s="28">
        <v>97446000</v>
      </c>
      <c r="AA1123" s="28"/>
      <c r="AB1123" s="28">
        <v>208000</v>
      </c>
      <c r="AC1123" s="28">
        <v>2137313000</v>
      </c>
      <c r="AD1123" s="28">
        <v>182728000</v>
      </c>
      <c r="AE1123" s="28">
        <v>4526205000</v>
      </c>
      <c r="AF1123" s="28">
        <v>10992000</v>
      </c>
      <c r="AG1123" s="11"/>
    </row>
    <row r="1124">
      <c r="A1124" s="7" t="s">
        <v>2842</v>
      </c>
      <c r="B1124" s="5" t="s">
        <v>10831</v>
      </c>
      <c r="C1124" s="5" t="s">
        <v>18709</v>
      </c>
      <c r="D1124" s="5" t="str">
        <v>330105799525</v>
      </c>
      <c r="E1124" s="0" t="e">
        <f>+7 (49244) 33322
+7 (49244) 69097
+7 (49244) 69168
+7 (49244) 69188
+7 (495) 7757155
+7 (495) 9568230
+7 (495) 9805043
+7 (495) 9805046
+7 (499) 3467023
+7 (8617) 696369
+7 (910) 6790242
+7 (985) 1005028</f>
        <v>#NAME?</v>
      </c>
      <c r="F1124" s="5" t="s">
        <v>28763</v>
      </c>
      <c r="G1124" s="5" t="s">
        <v>28764</v>
      </c>
      <c r="H1124" s="26">
        <v>20.5</v>
      </c>
      <c r="I1124" s="5" t="s">
        <v>28765</v>
      </c>
      <c r="J1124" s="5" t="s">
        <v>26243</v>
      </c>
      <c r="K1124" s="5" t="s">
        <v>344</v>
      </c>
      <c r="L1124" s="5"/>
      <c r="M1124" s="27"/>
      <c r="N1124" s="5"/>
      <c r="O1124" s="5" t="str">
        <v>3301015292</v>
      </c>
      <c r="P1124" s="27">
        <v>8813073672</v>
      </c>
      <c r="Q1124" s="5"/>
      <c r="R1124" s="5"/>
      <c r="S1124" s="5" t="s">
        <v>49029</v>
      </c>
      <c r="T1124" s="28">
        <v>276699000</v>
      </c>
      <c r="U1124" s="28">
        <v>34611000</v>
      </c>
      <c r="V1124" s="28">
        <v>2026035000</v>
      </c>
      <c r="W1124" s="28"/>
      <c r="X1124" s="28">
        <v>244282000</v>
      </c>
      <c r="Y1124" s="28">
        <v>3212084000</v>
      </c>
      <c r="Z1124" s="28">
        <v>-9283302000</v>
      </c>
      <c r="AA1124" s="28"/>
      <c r="AB1124" s="28"/>
      <c r="AC1124" s="28">
        <v>3665086000</v>
      </c>
      <c r="AD1124" s="28">
        <v>-470228000</v>
      </c>
      <c r="AE1124" s="28">
        <v>5186539000</v>
      </c>
      <c r="AF1124" s="28">
        <v>25294000</v>
      </c>
      <c r="AG1124" s="11"/>
    </row>
    <row r="1125">
      <c r="A1125" s="7" t="s">
        <v>2843</v>
      </c>
      <c r="B1125" s="5" t="s">
        <v>10832</v>
      </c>
      <c r="C1125" s="5" t="s">
        <v>18710</v>
      </c>
      <c r="D1125" s="5"/>
      <c r="E1125" s="0" t="e">
        <f>+7 (495) 9569540
+7 (495) 5043421</f>
        <v>#NAME?</v>
      </c>
      <c r="F1125" s="5"/>
      <c r="G1125" s="5" t="s">
        <v>28766</v>
      </c>
      <c r="H1125" s="26">
        <v>21</v>
      </c>
      <c r="I1125" s="5" t="s">
        <v>28767</v>
      </c>
      <c r="J1125" s="5" t="s">
        <v>26148</v>
      </c>
      <c r="K1125" s="5" t="s">
        <v>344</v>
      </c>
      <c r="L1125" s="5" t="s">
        <v>28768</v>
      </c>
      <c r="M1125" s="27"/>
      <c r="N1125" s="5"/>
      <c r="O1125" s="5" t="str">
        <v>7709366150</v>
      </c>
      <c r="P1125" s="27">
        <v>7418617500</v>
      </c>
      <c r="Q1125" s="5" t="s">
        <v>49009</v>
      </c>
      <c r="R1125" s="5" t="s">
        <v>49260</v>
      </c>
      <c r="S1125" s="5" t="s">
        <v>49010</v>
      </c>
      <c r="T1125" s="28">
        <v>8836925000</v>
      </c>
      <c r="U1125" s="28">
        <v>145016000</v>
      </c>
      <c r="V1125" s="28">
        <v>3105674000</v>
      </c>
      <c r="W1125" s="28"/>
      <c r="X1125" s="28">
        <v>335261000</v>
      </c>
      <c r="Y1125" s="28">
        <v>13504482000</v>
      </c>
      <c r="Z1125" s="28">
        <v>-3848148000</v>
      </c>
      <c r="AA1125" s="28">
        <v>7394819000</v>
      </c>
      <c r="AB1125" s="28">
        <v>835000000</v>
      </c>
      <c r="AC1125" s="28">
        <v>1015838000</v>
      </c>
      <c r="AD1125" s="28">
        <v>3570470000</v>
      </c>
      <c r="AE1125" s="28">
        <v>3779343000</v>
      </c>
      <c r="AF1125" s="28">
        <v>2132924000</v>
      </c>
      <c r="AG1125" s="11"/>
    </row>
    <row r="1126">
      <c r="A1126" s="7" t="s">
        <v>2844</v>
      </c>
      <c r="B1126" s="5" t="s">
        <v>10833</v>
      </c>
      <c r="C1126" s="5" t="s">
        <v>18711</v>
      </c>
      <c r="D1126" s="5" t="str">
        <v>390777777979</v>
      </c>
      <c r="E1126" s="0" t="e">
        <f>+7 (401) 2955165
+7 (401) 2955551
+7 (401) 2219703
+7 (401) 2319703
+7 (401) 2955601</f>
        <v>#NAME?</v>
      </c>
      <c r="F1126" s="5" t="s">
        <v>28769</v>
      </c>
      <c r="G1126" s="5" t="s">
        <v>28770</v>
      </c>
      <c r="H1126" s="26">
        <v>30.5</v>
      </c>
      <c r="I1126" s="5"/>
      <c r="J1126" s="5" t="s">
        <v>28771</v>
      </c>
      <c r="K1126" s="5" t="s">
        <v>355</v>
      </c>
      <c r="L1126" s="5" t="s">
        <v>28772</v>
      </c>
      <c r="M1126" s="27"/>
      <c r="N1126" s="5"/>
      <c r="O1126" s="5" t="str">
        <v>3903000159</v>
      </c>
      <c r="P1126" s="27">
        <v>1250000</v>
      </c>
      <c r="Q1126" s="5"/>
      <c r="R1126" s="5"/>
      <c r="S1126" s="5" t="s">
        <v>49029</v>
      </c>
      <c r="T1126" s="28">
        <v>342038000</v>
      </c>
      <c r="U1126" s="28"/>
      <c r="V1126" s="28">
        <v>161803000</v>
      </c>
      <c r="W1126" s="28"/>
      <c r="X1126" s="28">
        <v>46025000</v>
      </c>
      <c r="Y1126" s="28">
        <v>1331944000</v>
      </c>
      <c r="Z1126" s="28">
        <v>144058000</v>
      </c>
      <c r="AA1126" s="28">
        <v>536900000</v>
      </c>
      <c r="AB1126" s="28"/>
      <c r="AC1126" s="28">
        <v>605017000</v>
      </c>
      <c r="AD1126" s="28">
        <v>145496000</v>
      </c>
      <c r="AE1126" s="28">
        <v>3018164000</v>
      </c>
      <c r="AF1126" s="28">
        <v>-197454000</v>
      </c>
      <c r="AG1126" s="11"/>
    </row>
    <row r="1127">
      <c r="A1127" s="7" t="s">
        <v>2845</v>
      </c>
      <c r="B1127" s="5" t="s">
        <v>10834</v>
      </c>
      <c r="C1127" s="5" t="s">
        <v>18712</v>
      </c>
      <c r="D1127" s="5" t="str">
        <v>784000133495</v>
      </c>
      <c r="F1127" s="5"/>
      <c r="G1127" s="5"/>
      <c r="H1127" s="26">
        <v>15</v>
      </c>
      <c r="I1127" s="5" t="s">
        <v>28773</v>
      </c>
      <c r="J1127" s="5" t="s">
        <v>755</v>
      </c>
      <c r="K1127" s="5" t="s">
        <v>355</v>
      </c>
      <c r="L1127" s="5"/>
      <c r="M1127" s="27"/>
      <c r="N1127" s="5" t="s">
        <v>50916</v>
      </c>
      <c r="O1127" s="5" t="str">
        <v>7840378520</v>
      </c>
      <c r="P1127" s="27">
        <v>12000</v>
      </c>
      <c r="Q1127" s="5"/>
      <c r="R1127" s="5" t="s">
        <v>50917</v>
      </c>
      <c r="S1127" s="5" t="s">
        <v>49110</v>
      </c>
      <c r="T1127" s="28">
        <v>6800000</v>
      </c>
      <c r="U1127" s="28"/>
      <c r="V1127" s="28">
        <v>2000</v>
      </c>
      <c r="W1127" s="28"/>
      <c r="X1127" s="28">
        <v>265000</v>
      </c>
      <c r="Y1127" s="28">
        <v>8392000</v>
      </c>
      <c r="Z1127" s="28"/>
      <c r="AA1127" s="28"/>
      <c r="AB1127" s="28"/>
      <c r="AC1127" s="28"/>
      <c r="AD1127" s="28">
        <v>8392000</v>
      </c>
      <c r="AE1127" s="28">
        <v>4498000000</v>
      </c>
      <c r="AF1127" s="28">
        <v>220000000</v>
      </c>
      <c r="AG1127" s="11"/>
    </row>
    <row r="1128">
      <c r="A1128" s="7" t="s">
        <v>2846</v>
      </c>
      <c r="B1128" s="5" t="s">
        <v>10835</v>
      </c>
      <c r="C1128" s="5" t="s">
        <v>18713</v>
      </c>
      <c r="D1128" s="5" t="str">
        <v>560305316900</v>
      </c>
      <c r="E1128" s="0" t="e">
        <f>+7 (35323) 23525
+7 (35342) 73346
+7 (922) 8669086</f>
        <v>#NAME?</v>
      </c>
      <c r="F1128" s="5" t="s">
        <v>28774</v>
      </c>
      <c r="G1128" s="5" t="s">
        <v>28775</v>
      </c>
      <c r="H1128" s="26">
        <v>29.5</v>
      </c>
      <c r="I1128" s="5" t="s">
        <v>28776</v>
      </c>
      <c r="J1128" s="5" t="s">
        <v>26799</v>
      </c>
      <c r="K1128" s="5" t="s">
        <v>344</v>
      </c>
      <c r="L1128" s="5" t="s">
        <v>28777</v>
      </c>
      <c r="M1128" s="27">
        <v>8451867</v>
      </c>
      <c r="N1128" s="5"/>
      <c r="O1128" s="5" t="str">
        <v>5603007580</v>
      </c>
      <c r="P1128" s="27">
        <v>29500</v>
      </c>
      <c r="Q1128" s="5" t="s">
        <v>49207</v>
      </c>
      <c r="R1128" s="5"/>
      <c r="S1128" s="5" t="s">
        <v>50918</v>
      </c>
      <c r="T1128" s="28">
        <v>865627000</v>
      </c>
      <c r="U1128" s="28"/>
      <c r="V1128" s="28">
        <v>1078455000</v>
      </c>
      <c r="W1128" s="28">
        <v>190000000</v>
      </c>
      <c r="X1128" s="28">
        <v>85205000</v>
      </c>
      <c r="Y1128" s="28">
        <v>2438621000</v>
      </c>
      <c r="Z1128" s="28">
        <v>1253510000</v>
      </c>
      <c r="AA1128" s="28">
        <v>20000000</v>
      </c>
      <c r="AB1128" s="28">
        <v>180000</v>
      </c>
      <c r="AC1128" s="28">
        <v>643945000</v>
      </c>
      <c r="AD1128" s="28">
        <v>1253660000</v>
      </c>
      <c r="AE1128" s="28">
        <v>4023483000</v>
      </c>
      <c r="AF1128" s="28">
        <v>466576000</v>
      </c>
      <c r="AG1128" s="11"/>
    </row>
    <row r="1129">
      <c r="A1129" s="7" t="s">
        <v>2847</v>
      </c>
      <c r="B1129" s="5" t="s">
        <v>10836</v>
      </c>
      <c r="C1129" s="5" t="s">
        <v>18714</v>
      </c>
      <c r="D1129" s="5" t="str">
        <v>622200084160</v>
      </c>
      <c r="E1129" s="0" t="e">
        <f>+7 (495) 1202770
+7 (495) 1202700
+7 (495) 1202720
+7 (919) 2642969
+7 (952) 5471998
+7 (960) 1110001
+7 (495) 6526103
+7 (495) 6526104
+7 (495) 6526105
+7 (495) 6526106
+7 (495) 6526109
+7 (916) 8387130</f>
        <v>#NAME?</v>
      </c>
      <c r="F1129" s="5" t="s">
        <v>28778</v>
      </c>
      <c r="G1129" s="5" t="s">
        <v>28779</v>
      </c>
      <c r="H1129" s="26">
        <v>18</v>
      </c>
      <c r="I1129" s="5" t="s">
        <v>28780</v>
      </c>
      <c r="J1129" s="5" t="s">
        <v>25429</v>
      </c>
      <c r="K1129" s="5" t="s">
        <v>344</v>
      </c>
      <c r="L1129" s="5" t="s">
        <v>28781</v>
      </c>
      <c r="M1129" s="27"/>
      <c r="N1129" s="5" t="s">
        <v>50919</v>
      </c>
      <c r="O1129" s="5" t="str">
        <v>7721529234</v>
      </c>
      <c r="P1129" s="27">
        <v>1000000</v>
      </c>
      <c r="Q1129" s="5" t="s">
        <v>50920</v>
      </c>
      <c r="R1129" s="5"/>
      <c r="S1129" s="5" t="s">
        <v>49256</v>
      </c>
      <c r="T1129" s="28">
        <v>218836000</v>
      </c>
      <c r="U1129" s="28"/>
      <c r="V1129" s="28">
        <v>549144000</v>
      </c>
      <c r="W1129" s="28"/>
      <c r="X1129" s="28">
        <v>177281000</v>
      </c>
      <c r="Y1129" s="28">
        <v>1935105000</v>
      </c>
      <c r="Z1129" s="28">
        <v>611445000</v>
      </c>
      <c r="AA1129" s="28">
        <v>804929000</v>
      </c>
      <c r="AB1129" s="28"/>
      <c r="AC1129" s="28">
        <v>495951000</v>
      </c>
      <c r="AD1129" s="28">
        <v>611455000</v>
      </c>
      <c r="AE1129" s="28">
        <v>3518717000</v>
      </c>
      <c r="AF1129" s="28">
        <v>148106000</v>
      </c>
      <c r="AG1129" s="11"/>
    </row>
    <row r="1130">
      <c r="A1130" s="7" t="s">
        <v>2848</v>
      </c>
      <c r="B1130" s="5" t="s">
        <v>10837</v>
      </c>
      <c r="C1130" s="5" t="s">
        <v>18715</v>
      </c>
      <c r="D1130" s="5" t="str">
        <v>771609767432</v>
      </c>
      <c r="E1130" s="0" t="e">
        <f>+7 (499) 4000170
+7 (499) 4001407</f>
        <v>#NAME?</v>
      </c>
      <c r="F1130" s="5" t="s">
        <v>28782</v>
      </c>
      <c r="G1130" s="5"/>
      <c r="H1130" s="26">
        <v>11</v>
      </c>
      <c r="I1130" s="5" t="s">
        <v>28783</v>
      </c>
      <c r="J1130" s="5" t="s">
        <v>25429</v>
      </c>
      <c r="K1130" s="5" t="s">
        <v>344</v>
      </c>
      <c r="L1130" s="5"/>
      <c r="M1130" s="27"/>
      <c r="N1130" s="5" t="s">
        <v>50921</v>
      </c>
      <c r="O1130" s="5" t="str">
        <v>5029158751</v>
      </c>
      <c r="P1130" s="27">
        <v>50000</v>
      </c>
      <c r="Q1130" s="5" t="s">
        <v>49009</v>
      </c>
      <c r="R1130" s="5"/>
      <c r="S1130" s="5" t="s">
        <v>49256</v>
      </c>
      <c r="T1130" s="28">
        <v>159726000</v>
      </c>
      <c r="U1130" s="28"/>
      <c r="V1130" s="28">
        <v>591710000</v>
      </c>
      <c r="W1130" s="28"/>
      <c r="X1130" s="28">
        <v>245972000</v>
      </c>
      <c r="Y1130" s="28">
        <v>2669905000</v>
      </c>
      <c r="Z1130" s="28">
        <v>222964000</v>
      </c>
      <c r="AA1130" s="28"/>
      <c r="AB1130" s="28">
        <v>611893000</v>
      </c>
      <c r="AC1130" s="28">
        <v>2279720000</v>
      </c>
      <c r="AD1130" s="28">
        <v>223014000</v>
      </c>
      <c r="AE1130" s="28">
        <v>4544989000</v>
      </c>
      <c r="AF1130" s="28">
        <v>231497000</v>
      </c>
      <c r="AG1130" s="11"/>
    </row>
    <row r="1131">
      <c r="A1131" s="7" t="s">
        <v>2849</v>
      </c>
      <c r="B1131" s="5" t="s">
        <v>10838</v>
      </c>
      <c r="C1131" s="5" t="s">
        <v>18716</v>
      </c>
      <c r="D1131" s="5" t="str">
        <v>772347415305</v>
      </c>
      <c r="E1131" s="0" t="e">
        <f>+7 (495) 2865200
+7 (812) 3860031</f>
        <v>#NAME?</v>
      </c>
      <c r="F1131" s="5" t="s">
        <v>28784</v>
      </c>
      <c r="G1131" s="5" t="s">
        <v>28785</v>
      </c>
      <c r="H1131" s="26">
        <v>11.5</v>
      </c>
      <c r="I1131" s="5"/>
      <c r="J1131" s="5" t="s">
        <v>25414</v>
      </c>
      <c r="K1131" s="5" t="s">
        <v>355</v>
      </c>
      <c r="L1131" s="5" t="s">
        <v>28786</v>
      </c>
      <c r="M1131" s="27">
        <v>834893</v>
      </c>
      <c r="N1131" s="5" t="s">
        <v>50922</v>
      </c>
      <c r="O1131" s="5" t="str">
        <v>5036118291</v>
      </c>
      <c r="P1131" s="27">
        <v>2473382455</v>
      </c>
      <c r="Q1131" s="5" t="s">
        <v>50923</v>
      </c>
      <c r="R1131" s="5"/>
      <c r="S1131" s="5" t="s">
        <v>50924</v>
      </c>
      <c r="T1131" s="28">
        <v>85077595000</v>
      </c>
      <c r="U1131" s="28">
        <v>3000000000</v>
      </c>
      <c r="V1131" s="28">
        <v>1638341000</v>
      </c>
      <c r="W1131" s="28">
        <v>3866000000</v>
      </c>
      <c r="X1131" s="28">
        <v>7414000</v>
      </c>
      <c r="Y1131" s="28">
        <v>94568981000</v>
      </c>
      <c r="Z1131" s="28">
        <v>1711026000</v>
      </c>
      <c r="AA1131" s="28">
        <v>80057000000</v>
      </c>
      <c r="AB1131" s="28">
        <v>8641000000</v>
      </c>
      <c r="AC1131" s="28">
        <v>10276082000</v>
      </c>
      <c r="AD1131" s="28">
        <v>4206376000</v>
      </c>
      <c r="AE1131" s="28">
        <v>19321336000</v>
      </c>
      <c r="AF1131" s="28">
        <v>2701905000</v>
      </c>
      <c r="AG1131" s="11"/>
    </row>
    <row r="1132">
      <c r="A1132" s="7" t="s">
        <v>2850</v>
      </c>
      <c r="B1132" s="5" t="s">
        <v>10839</v>
      </c>
      <c r="C1132" s="5" t="s">
        <v>18717</v>
      </c>
      <c r="D1132" s="5" t="str">
        <v>420511432607</v>
      </c>
      <c r="E1132" s="0" t="e">
        <f>+7 (913) 2105017
+7 (384) 2240307
+7 (923) 4806390
+7 (933) 3000307</f>
        <v>#NAME?</v>
      </c>
      <c r="F1132" s="5" t="s">
        <v>28787</v>
      </c>
      <c r="G1132" s="5"/>
      <c r="H1132" s="26">
        <v>11.5</v>
      </c>
      <c r="I1132" s="5" t="s">
        <v>28788</v>
      </c>
      <c r="J1132" s="5" t="s">
        <v>25344</v>
      </c>
      <c r="K1132" s="5" t="s">
        <v>344</v>
      </c>
      <c r="L1132" s="5" t="s">
        <v>28789</v>
      </c>
      <c r="M1132" s="27"/>
      <c r="N1132" s="5"/>
      <c r="O1132" s="5" t="str">
        <v>2254003802</v>
      </c>
      <c r="P1132" s="27">
        <v>2000000</v>
      </c>
      <c r="Q1132" s="5" t="s">
        <v>49219</v>
      </c>
      <c r="R1132" s="5"/>
      <c r="S1132" s="5" t="s">
        <v>50925</v>
      </c>
      <c r="T1132" s="28">
        <v>362720000</v>
      </c>
      <c r="U1132" s="28">
        <v>86240000</v>
      </c>
      <c r="V1132" s="28">
        <v>440332000</v>
      </c>
      <c r="W1132" s="28">
        <v>11550000</v>
      </c>
      <c r="X1132" s="28">
        <v>259967000</v>
      </c>
      <c r="Y1132" s="28">
        <v>1396273000</v>
      </c>
      <c r="Z1132" s="28">
        <v>694044000</v>
      </c>
      <c r="AA1132" s="28"/>
      <c r="AB1132" s="28"/>
      <c r="AC1132" s="28">
        <v>545430000</v>
      </c>
      <c r="AD1132" s="28">
        <v>696044000</v>
      </c>
      <c r="AE1132" s="28">
        <v>4485159000</v>
      </c>
      <c r="AF1132" s="28">
        <v>343792000</v>
      </c>
      <c r="AG1132" s="11"/>
    </row>
    <row r="1133">
      <c r="A1133" s="7" t="s">
        <v>2851</v>
      </c>
      <c r="B1133" s="5" t="s">
        <v>10840</v>
      </c>
      <c r="C1133" s="5" t="s">
        <v>18718</v>
      </c>
      <c r="D1133" s="5" t="str">
        <v>771065001600</v>
      </c>
      <c r="E1133" s="0" t="e">
        <f>+7 (474) 2273001
+7 (474) 2370375
+7 (474) 2723000
+7 (474) 2723009
+7 (495) 6211747
+7 (495) 6211749
+7 (495) 7814849
+7 (495) 9211747
+7 (961) 6022239</f>
        <v>#NAME?</v>
      </c>
      <c r="F1133" s="5" t="s">
        <v>28790</v>
      </c>
      <c r="G1133" s="5" t="s">
        <v>28791</v>
      </c>
      <c r="H1133" s="26">
        <v>10.5</v>
      </c>
      <c r="I1133" s="5" t="s">
        <v>28792</v>
      </c>
      <c r="J1133" s="5" t="s">
        <v>28793</v>
      </c>
      <c r="K1133" s="5" t="s">
        <v>344</v>
      </c>
      <c r="L1133" s="5" t="s">
        <v>28794</v>
      </c>
      <c r="M1133" s="27"/>
      <c r="N1133" s="5"/>
      <c r="O1133" s="5" t="str">
        <v>4802024211</v>
      </c>
      <c r="P1133" s="27">
        <v>5491979000</v>
      </c>
      <c r="Q1133" s="5"/>
      <c r="R1133" s="5"/>
      <c r="S1133" s="5" t="s">
        <v>49029</v>
      </c>
      <c r="T1133" s="28">
        <v>9519682000</v>
      </c>
      <c r="U1133" s="28">
        <v>765200000</v>
      </c>
      <c r="V1133" s="28">
        <v>2474986000</v>
      </c>
      <c r="W1133" s="28">
        <v>4000000000</v>
      </c>
      <c r="X1133" s="28">
        <v>1572301000</v>
      </c>
      <c r="Y1133" s="28">
        <v>22460640000</v>
      </c>
      <c r="Z1133" s="28">
        <v>4138648000</v>
      </c>
      <c r="AA1133" s="28">
        <v>9334025000</v>
      </c>
      <c r="AB1133" s="28">
        <v>2163008000</v>
      </c>
      <c r="AC1133" s="28">
        <v>8154432000</v>
      </c>
      <c r="AD1133" s="28">
        <v>4969170000</v>
      </c>
      <c r="AE1133" s="28">
        <v>15222640000</v>
      </c>
      <c r="AF1133" s="28">
        <v>5154012000</v>
      </c>
      <c r="AG1133" s="11"/>
    </row>
    <row r="1134">
      <c r="A1134" s="7" t="s">
        <v>2852</v>
      </c>
      <c r="B1134" s="5" t="s">
        <v>10841</v>
      </c>
      <c r="C1134" s="5" t="s">
        <v>18719</v>
      </c>
      <c r="D1134" s="5" t="str">
        <v>771675125893</v>
      </c>
      <c r="E1134" s="0" t="e">
        <f>+7 (495) 7973071</f>
        <v>#NAME?</v>
      </c>
      <c r="F1134" s="5"/>
      <c r="G1134" s="5"/>
      <c r="H1134" s="26">
        <v>11</v>
      </c>
      <c r="I1134" s="5" t="s">
        <v>28795</v>
      </c>
      <c r="J1134" s="5" t="s">
        <v>364</v>
      </c>
      <c r="K1134" s="5" t="s">
        <v>355</v>
      </c>
      <c r="L1134" s="5"/>
      <c r="M1134" s="27"/>
      <c r="N1134" s="5"/>
      <c r="O1134" s="5" t="str">
        <v>7705973548</v>
      </c>
      <c r="P1134" s="27">
        <v>811000000</v>
      </c>
      <c r="Q1134" s="5" t="s">
        <v>49009</v>
      </c>
      <c r="R1134" s="5"/>
      <c r="S1134" s="5" t="s">
        <v>49010</v>
      </c>
      <c r="T1134" s="28">
        <v>1957866000</v>
      </c>
      <c r="U1134" s="28">
        <v>13099851000</v>
      </c>
      <c r="V1134" s="28">
        <v>7561852000</v>
      </c>
      <c r="W1134" s="28"/>
      <c r="X1134" s="28">
        <v>1985581000</v>
      </c>
      <c r="Y1134" s="28">
        <v>106711289000</v>
      </c>
      <c r="Z1134" s="28">
        <v>44135842000</v>
      </c>
      <c r="AA1134" s="28">
        <v>41500000000</v>
      </c>
      <c r="AB1134" s="28">
        <v>10915000</v>
      </c>
      <c r="AC1134" s="28">
        <v>1090028000</v>
      </c>
      <c r="AD1134" s="28">
        <v>44946842000</v>
      </c>
      <c r="AE1134" s="28">
        <v>7743666000</v>
      </c>
      <c r="AF1134" s="28">
        <v>1376451000</v>
      </c>
      <c r="AG1134" s="11"/>
    </row>
    <row r="1135">
      <c r="A1135" s="7" t="s">
        <v>2853</v>
      </c>
      <c r="B1135" s="5" t="s">
        <v>10842</v>
      </c>
      <c r="C1135" s="5" t="s">
        <v>18720</v>
      </c>
      <c r="D1135" s="5" t="str">
        <v>771311994294</v>
      </c>
      <c r="E1135" s="0" t="e">
        <f>+7 (499) 7058470
+7 (495) 6651696
+7 (495) 7810035
+7 (499) 9555113
+7 (812) 4269535</f>
        <v>#NAME?</v>
      </c>
      <c r="F1135" s="5"/>
      <c r="G1135" s="5" t="s">
        <v>28796</v>
      </c>
      <c r="H1135" s="26">
        <v>9</v>
      </c>
      <c r="I1135" s="5" t="s">
        <v>28797</v>
      </c>
      <c r="J1135" s="5" t="s">
        <v>599</v>
      </c>
      <c r="K1135" s="5" t="s">
        <v>344</v>
      </c>
      <c r="L1135" s="5" t="s">
        <v>28798</v>
      </c>
      <c r="M1135" s="27">
        <v>4101095</v>
      </c>
      <c r="N1135" s="5" t="s">
        <v>50926</v>
      </c>
      <c r="O1135" s="5" t="str">
        <v>7730700061</v>
      </c>
      <c r="P1135" s="27">
        <v>100000</v>
      </c>
      <c r="Q1135" s="5" t="s">
        <v>49009</v>
      </c>
      <c r="R1135" s="5"/>
      <c r="S1135" s="5" t="s">
        <v>49010</v>
      </c>
      <c r="T1135" s="28">
        <v>12295000</v>
      </c>
      <c r="U1135" s="28"/>
      <c r="V1135" s="28">
        <v>197640000</v>
      </c>
      <c r="W1135" s="28">
        <v>7000000</v>
      </c>
      <c r="X1135" s="28">
        <v>114657000</v>
      </c>
      <c r="Y1135" s="28">
        <v>530980000</v>
      </c>
      <c r="Z1135" s="28">
        <v>184783000</v>
      </c>
      <c r="AA1135" s="28">
        <v>66659000</v>
      </c>
      <c r="AB1135" s="28">
        <v>18000</v>
      </c>
      <c r="AC1135" s="28">
        <v>274090000</v>
      </c>
      <c r="AD1135" s="28">
        <v>184883000</v>
      </c>
      <c r="AE1135" s="28">
        <v>3278839000</v>
      </c>
      <c r="AF1135" s="28">
        <v>419845000</v>
      </c>
      <c r="AG1135" s="11"/>
    </row>
    <row r="1136">
      <c r="A1136" s="7" t="s">
        <v>2854</v>
      </c>
      <c r="B1136" s="5" t="s">
        <v>10843</v>
      </c>
      <c r="C1136" s="5" t="s">
        <v>18721</v>
      </c>
      <c r="D1136" s="5" t="str">
        <v>742003322205</v>
      </c>
      <c r="E1136" s="0" t="e">
        <f>+7 (912) 8988710</f>
        <v>#NAME?</v>
      </c>
      <c r="F1136" s="5"/>
      <c r="G1136" s="5" t="s">
        <v>28799</v>
      </c>
      <c r="H1136" s="26">
        <v>8</v>
      </c>
      <c r="I1136" s="5" t="s">
        <v>28800</v>
      </c>
      <c r="J1136" s="5" t="s">
        <v>25337</v>
      </c>
      <c r="K1136" s="5" t="s">
        <v>344</v>
      </c>
      <c r="L1136" s="5"/>
      <c r="M1136" s="27"/>
      <c r="N1136" s="5"/>
      <c r="O1136" s="5" t="str">
        <v>7453281232</v>
      </c>
      <c r="P1136" s="27">
        <v>10000</v>
      </c>
      <c r="Q1136" s="5" t="s">
        <v>49207</v>
      </c>
      <c r="R1136" s="5"/>
      <c r="S1136" s="5" t="s">
        <v>49532</v>
      </c>
      <c r="T1136" s="28">
        <v>13272000</v>
      </c>
      <c r="U1136" s="28"/>
      <c r="V1136" s="28">
        <v>2400749000</v>
      </c>
      <c r="W1136" s="28">
        <v>433494000</v>
      </c>
      <c r="X1136" s="28">
        <v>90147000</v>
      </c>
      <c r="Y1136" s="28">
        <v>4677021000</v>
      </c>
      <c r="Z1136" s="28">
        <v>1936888000</v>
      </c>
      <c r="AA1136" s="28">
        <v>270130000</v>
      </c>
      <c r="AB1136" s="28"/>
      <c r="AC1136" s="28">
        <v>2469993000</v>
      </c>
      <c r="AD1136" s="28">
        <v>1936898000</v>
      </c>
      <c r="AE1136" s="28">
        <v>3847008000</v>
      </c>
      <c r="AF1136" s="28">
        <v>247391000</v>
      </c>
      <c r="AG1136" s="11"/>
    </row>
    <row r="1137">
      <c r="A1137" s="7" t="s">
        <v>2855</v>
      </c>
      <c r="B1137" s="5" t="s">
        <v>10844</v>
      </c>
      <c r="C1137" s="5" t="s">
        <v>18722</v>
      </c>
      <c r="D1137" s="5" t="str">
        <v>246206479371</v>
      </c>
      <c r="E1137" s="0" t="e">
        <f>+7 (902) 9408115
+7 (950) 4261904
+7 (499) 3482001
+7 (950) 9966419</f>
        <v>#NAME?</v>
      </c>
      <c r="F1137" s="5" t="s">
        <v>28801</v>
      </c>
      <c r="G1137" s="5" t="s">
        <v>28802</v>
      </c>
      <c r="H1137" s="26">
        <v>29.5</v>
      </c>
      <c r="I1137" s="5" t="s">
        <v>28803</v>
      </c>
      <c r="J1137" s="5" t="s">
        <v>27697</v>
      </c>
      <c r="K1137" s="5" t="s">
        <v>344</v>
      </c>
      <c r="L1137" s="5" t="s">
        <v>28804</v>
      </c>
      <c r="M1137" s="27"/>
      <c r="N1137" s="5" t="s">
        <v>50927</v>
      </c>
      <c r="O1137" s="5" t="str">
        <v>2465021078</v>
      </c>
      <c r="P1137" s="27">
        <v>50000</v>
      </c>
      <c r="Q1137" s="5" t="s">
        <v>50928</v>
      </c>
      <c r="R1137" s="5"/>
      <c r="S1137" s="5" t="s">
        <v>50096</v>
      </c>
      <c r="T1137" s="28">
        <v>159527000</v>
      </c>
      <c r="U1137" s="28"/>
      <c r="V1137" s="28">
        <v>668640000</v>
      </c>
      <c r="W1137" s="28">
        <v>12270000</v>
      </c>
      <c r="X1137" s="28">
        <v>8329000</v>
      </c>
      <c r="Y1137" s="28">
        <v>1521036000</v>
      </c>
      <c r="Z1137" s="28">
        <v>593609000</v>
      </c>
      <c r="AA1137" s="28">
        <v>286100000</v>
      </c>
      <c r="AB1137" s="28">
        <v>204606000</v>
      </c>
      <c r="AC1137" s="28">
        <v>522476000</v>
      </c>
      <c r="AD1137" s="28">
        <v>593619000</v>
      </c>
      <c r="AE1137" s="28">
        <v>5069609000</v>
      </c>
      <c r="AF1137" s="28">
        <v>49152000</v>
      </c>
      <c r="AG1137" s="11"/>
    </row>
    <row r="1138">
      <c r="A1138" s="7" t="s">
        <v>2856</v>
      </c>
      <c r="B1138" s="5" t="s">
        <v>10845</v>
      </c>
      <c r="C1138" s="5" t="s">
        <v>18723</v>
      </c>
      <c r="D1138" s="5" t="str">
        <v>784805415284</v>
      </c>
      <c r="E1138" s="0" t="e">
        <f>+7 (495) 2875300
+7 (495) 2875000
+7 (495) 6875000
+7 (495) 6875300</f>
        <v>#NAME?</v>
      </c>
      <c r="F1138" s="5"/>
      <c r="G1138" s="5"/>
      <c r="H1138" s="26">
        <v>16</v>
      </c>
      <c r="I1138" s="5" t="s">
        <v>28805</v>
      </c>
      <c r="J1138" s="5" t="s">
        <v>25429</v>
      </c>
      <c r="K1138" s="5" t="s">
        <v>344</v>
      </c>
      <c r="L1138" s="5" t="s">
        <v>28806</v>
      </c>
      <c r="M1138" s="27"/>
      <c r="N1138" s="5" t="s">
        <v>50929</v>
      </c>
      <c r="O1138" s="5" t="str">
        <v>7709722633</v>
      </c>
      <c r="P1138" s="27">
        <v>602225000</v>
      </c>
      <c r="Q1138" s="5" t="s">
        <v>50930</v>
      </c>
      <c r="R1138" s="5"/>
      <c r="S1138" s="5" t="s">
        <v>50630</v>
      </c>
      <c r="T1138" s="28">
        <v>110632000</v>
      </c>
      <c r="U1138" s="28"/>
      <c r="V1138" s="28">
        <v>3334459000</v>
      </c>
      <c r="W1138" s="28">
        <v>3500000000</v>
      </c>
      <c r="X1138" s="28">
        <v>896977000</v>
      </c>
      <c r="Y1138" s="28">
        <v>8330525000</v>
      </c>
      <c r="Z1138" s="28">
        <v>5481164000</v>
      </c>
      <c r="AA1138" s="28"/>
      <c r="AB1138" s="28">
        <v>284000</v>
      </c>
      <c r="AC1138" s="28">
        <v>581483000</v>
      </c>
      <c r="AD1138" s="28">
        <v>7749042000</v>
      </c>
      <c r="AE1138" s="28">
        <v>7218248000</v>
      </c>
      <c r="AF1138" s="28">
        <v>1887213000</v>
      </c>
      <c r="AG1138" s="11"/>
    </row>
    <row r="1139">
      <c r="A1139" s="7" t="s">
        <v>2857</v>
      </c>
      <c r="B1139" s="5" t="s">
        <v>10846</v>
      </c>
      <c r="C1139" s="5" t="s">
        <v>18724</v>
      </c>
      <c r="D1139" s="5" t="str">
        <v>910201878780</v>
      </c>
      <c r="E1139" s="0" t="e">
        <f>+7 (978) 7073254</f>
        <v>#NAME?</v>
      </c>
      <c r="F1139" s="5" t="s">
        <v>28807</v>
      </c>
      <c r="G1139" s="5"/>
      <c r="H1139" s="26">
        <v>8</v>
      </c>
      <c r="I1139" s="5" t="s">
        <v>28808</v>
      </c>
      <c r="J1139" s="5" t="s">
        <v>25190</v>
      </c>
      <c r="K1139" s="5" t="s">
        <v>355</v>
      </c>
      <c r="L1139" s="5"/>
      <c r="M1139" s="27"/>
      <c r="N1139" s="5" t="s">
        <v>50931</v>
      </c>
      <c r="O1139" s="5" t="str">
        <v>9102181708</v>
      </c>
      <c r="P1139" s="27">
        <v>10000</v>
      </c>
      <c r="Q1139" s="5" t="s">
        <v>49059</v>
      </c>
      <c r="R1139" s="5"/>
      <c r="S1139" s="5" t="s">
        <v>49110</v>
      </c>
      <c r="T1139" s="28"/>
      <c r="U1139" s="28"/>
      <c r="V1139" s="28">
        <v>3821000</v>
      </c>
      <c r="W1139" s="28"/>
      <c r="X1139" s="28">
        <v>992000</v>
      </c>
      <c r="Y1139" s="28">
        <v>6718000</v>
      </c>
      <c r="Z1139" s="28"/>
      <c r="AA1139" s="28">
        <v>1999000</v>
      </c>
      <c r="AB1139" s="28"/>
      <c r="AC1139" s="28">
        <v>2955000</v>
      </c>
      <c r="AD1139" s="28">
        <v>1764000</v>
      </c>
      <c r="AE1139" s="28">
        <v>26466958000</v>
      </c>
      <c r="AF1139" s="28">
        <v>381521000</v>
      </c>
      <c r="AG1139" s="11"/>
    </row>
    <row r="1140">
      <c r="A1140" s="7" t="s">
        <v>2858</v>
      </c>
      <c r="B1140" s="5" t="s">
        <v>10847</v>
      </c>
      <c r="C1140" s="5" t="s">
        <v>18725</v>
      </c>
      <c r="D1140" s="5" t="str">
        <v>771504057330</v>
      </c>
      <c r="E1140" s="0" t="e">
        <f>+7 (495) 7284114
+7 (495) 2415719
+7 (495) 1278655
+7 (495) 1279474
+7 (495) 2416163
+7 (495) 2416229
+7 (495) 4017059
+7 (495) 7284141
+7 (495) 7284242
+7 (495) 7450945
+7 (495) 7451111
+7 (495) 7768199
+7 (495) 7851001
+7 (495) 7851111
+7 (495) 7851166</f>
        <v>#NAME?</v>
      </c>
      <c r="F1140" s="5" t="s">
        <v>28809</v>
      </c>
      <c r="G1140" s="5" t="s">
        <v>28810</v>
      </c>
      <c r="H1140" s="26">
        <v>15.5</v>
      </c>
      <c r="I1140" s="5" t="s">
        <v>28811</v>
      </c>
      <c r="J1140" s="5" t="s">
        <v>389</v>
      </c>
      <c r="K1140" s="5" t="s">
        <v>355</v>
      </c>
      <c r="L1140" s="5" t="s">
        <v>28812</v>
      </c>
      <c r="M1140" s="27"/>
      <c r="N1140" s="5" t="s">
        <v>50932</v>
      </c>
      <c r="O1140" s="5" t="str">
        <v>7714700709</v>
      </c>
      <c r="P1140" s="27">
        <v>3813887134</v>
      </c>
      <c r="Q1140" s="5" t="s">
        <v>49009</v>
      </c>
      <c r="R1140" s="5" t="s">
        <v>50933</v>
      </c>
      <c r="S1140" s="5" t="s">
        <v>50934</v>
      </c>
      <c r="T1140" s="28">
        <v>2463291000</v>
      </c>
      <c r="U1140" s="28">
        <v>2864662000</v>
      </c>
      <c r="V1140" s="28">
        <v>1130659000</v>
      </c>
      <c r="W1140" s="28">
        <v>3150000</v>
      </c>
      <c r="X1140" s="28">
        <v>251331000</v>
      </c>
      <c r="Y1140" s="28">
        <v>9106897000</v>
      </c>
      <c r="Z1140" s="28">
        <v>-1745303000</v>
      </c>
      <c r="AA1140" s="28"/>
      <c r="AB1140" s="28">
        <v>1974890000</v>
      </c>
      <c r="AC1140" s="28">
        <v>2950061000</v>
      </c>
      <c r="AD1140" s="28">
        <v>5092636000</v>
      </c>
      <c r="AE1140" s="28">
        <v>16891668000</v>
      </c>
      <c r="AF1140" s="28">
        <v>1171499000</v>
      </c>
      <c r="AG1140" s="11"/>
    </row>
    <row r="1141">
      <c r="A1141" s="7" t="s">
        <v>2859</v>
      </c>
      <c r="B1141" s="5" t="s">
        <v>10848</v>
      </c>
      <c r="C1141" s="5" t="s">
        <v>18726</v>
      </c>
      <c r="D1141" s="5" t="str">
        <v>753503269808</v>
      </c>
      <c r="F1141" s="5"/>
      <c r="G1141" s="5"/>
      <c r="H1141" s="26">
        <v>7.5</v>
      </c>
      <c r="I1141" s="5" t="s">
        <v>28813</v>
      </c>
      <c r="J1141" s="5" t="s">
        <v>678</v>
      </c>
      <c r="K1141" s="5" t="s">
        <v>344</v>
      </c>
      <c r="L1141" s="5" t="s">
        <v>28814</v>
      </c>
      <c r="M1141" s="27"/>
      <c r="N1141" s="5" t="s">
        <v>50935</v>
      </c>
      <c r="O1141" s="5" t="str">
        <v>2465135597</v>
      </c>
      <c r="P1141" s="27">
        <v>10000</v>
      </c>
      <c r="Q1141" s="5"/>
      <c r="R1141" s="5"/>
      <c r="S1141" s="5" t="s">
        <v>50936</v>
      </c>
      <c r="T1141" s="28">
        <v>9121000</v>
      </c>
      <c r="U1141" s="28"/>
      <c r="V1141" s="28">
        <v>345160000</v>
      </c>
      <c r="W1141" s="28">
        <v>39514000</v>
      </c>
      <c r="X1141" s="28">
        <v>6522000</v>
      </c>
      <c r="Y1141" s="28">
        <v>756867000</v>
      </c>
      <c r="Z1141" s="28">
        <v>54795000</v>
      </c>
      <c r="AA1141" s="28"/>
      <c r="AB1141" s="28">
        <v>91576000</v>
      </c>
      <c r="AC1141" s="28">
        <v>702062000</v>
      </c>
      <c r="AD1141" s="28">
        <v>54805000</v>
      </c>
      <c r="AE1141" s="28">
        <v>3554010000</v>
      </c>
      <c r="AF1141" s="28">
        <v>11038000</v>
      </c>
      <c r="AG1141" s="11"/>
    </row>
    <row r="1142">
      <c r="A1142" s="7" t="s">
        <v>2860</v>
      </c>
      <c r="B1142" s="5" t="s">
        <v>10849</v>
      </c>
      <c r="C1142" s="5" t="s">
        <v>18727</v>
      </c>
      <c r="D1142" s="5" t="str">
        <v>381113240903</v>
      </c>
      <c r="E1142" s="0" t="e">
        <f>+7 (950) 514831
+7 (39563) 20927
+7 (39563) 22479</f>
        <v>#NAME?</v>
      </c>
      <c r="F1142" s="5" t="s">
        <v>28815</v>
      </c>
      <c r="G1142" s="5"/>
      <c r="H1142" s="26">
        <v>4.5</v>
      </c>
      <c r="I1142" s="5" t="s">
        <v>28816</v>
      </c>
      <c r="J1142" s="5" t="s">
        <v>678</v>
      </c>
      <c r="K1142" s="5" t="s">
        <v>355</v>
      </c>
      <c r="L1142" s="5" t="s">
        <v>28817</v>
      </c>
      <c r="M1142" s="27"/>
      <c r="N1142" s="5" t="s">
        <v>50937</v>
      </c>
      <c r="O1142" s="5" t="str">
        <v>3810076028</v>
      </c>
      <c r="P1142" s="27">
        <v>10000</v>
      </c>
      <c r="Q1142" s="5" t="s">
        <v>49009</v>
      </c>
      <c r="R1142" s="5"/>
      <c r="S1142" s="5" t="s">
        <v>49012</v>
      </c>
      <c r="T1142" s="28">
        <v>17131000</v>
      </c>
      <c r="U1142" s="28"/>
      <c r="V1142" s="28">
        <v>775283000</v>
      </c>
      <c r="W1142" s="28">
        <v>77571000</v>
      </c>
      <c r="X1142" s="28">
        <v>8357000</v>
      </c>
      <c r="Y1142" s="28">
        <v>2490400000</v>
      </c>
      <c r="Z1142" s="28">
        <v>42899000</v>
      </c>
      <c r="AA1142" s="28"/>
      <c r="AB1142" s="28">
        <v>80182000</v>
      </c>
      <c r="AC1142" s="28">
        <v>2447491000</v>
      </c>
      <c r="AD1142" s="28">
        <v>42909000</v>
      </c>
      <c r="AE1142" s="28">
        <v>5896429000</v>
      </c>
      <c r="AF1142" s="28">
        <v>6610000</v>
      </c>
      <c r="AG1142" s="11"/>
    </row>
    <row r="1143">
      <c r="A1143" s="7" t="s">
        <v>2861</v>
      </c>
      <c r="B1143" s="5" t="s">
        <v>10850</v>
      </c>
      <c r="C1143" s="5" t="s">
        <v>18728</v>
      </c>
      <c r="D1143" s="5" t="str">
        <v>382003790832</v>
      </c>
      <c r="E1143" s="0" t="e">
        <f>+7 (391) 2040090</f>
        <v>#NAME?</v>
      </c>
      <c r="F1143" s="5" t="s">
        <v>28818</v>
      </c>
      <c r="G1143" s="5"/>
      <c r="H1143" s="26">
        <v>2.5</v>
      </c>
      <c r="I1143" s="5" t="s">
        <v>28819</v>
      </c>
      <c r="J1143" s="5" t="s">
        <v>678</v>
      </c>
      <c r="K1143" s="5" t="s">
        <v>344</v>
      </c>
      <c r="L1143" s="5" t="s">
        <v>28820</v>
      </c>
      <c r="M1143" s="27"/>
      <c r="N1143" s="5"/>
      <c r="O1143" s="5" t="str">
        <v>2465333542</v>
      </c>
      <c r="P1143" s="27">
        <v>10000</v>
      </c>
      <c r="Q1143" s="5"/>
      <c r="R1143" s="5"/>
      <c r="S1143" s="5" t="s">
        <v>49053</v>
      </c>
      <c r="T1143" s="28">
        <v>10268000</v>
      </c>
      <c r="U1143" s="28">
        <v>28999000</v>
      </c>
      <c r="V1143" s="28">
        <v>485114000</v>
      </c>
      <c r="W1143" s="28"/>
      <c r="X1143" s="28">
        <v>15833000</v>
      </c>
      <c r="Y1143" s="28">
        <v>962364000</v>
      </c>
      <c r="Z1143" s="28">
        <v>20543000</v>
      </c>
      <c r="AA1143" s="28">
        <v>125548000</v>
      </c>
      <c r="AB1143" s="28">
        <v>5128000</v>
      </c>
      <c r="AC1143" s="28">
        <v>816263000</v>
      </c>
      <c r="AD1143" s="28">
        <v>20553000</v>
      </c>
      <c r="AE1143" s="28">
        <v>3215683000</v>
      </c>
      <c r="AF1143" s="28">
        <v>11980000</v>
      </c>
      <c r="AG1143" s="11"/>
    </row>
    <row r="1144">
      <c r="A1144" s="7" t="s">
        <v>2862</v>
      </c>
      <c r="B1144" s="5" t="s">
        <v>10851</v>
      </c>
      <c r="C1144" s="5" t="s">
        <v>18729</v>
      </c>
      <c r="D1144" s="5" t="str">
        <v>234400081292</v>
      </c>
      <c r="E1144" s="0" t="e">
        <f>+7 (861) 4953792
+7 (86149) 51001
+7 (86149) 75000
+7 (86149) 86149</f>
        <v>#NAME?</v>
      </c>
      <c r="F1144" s="5" t="s">
        <v>28821</v>
      </c>
      <c r="G1144" s="5"/>
      <c r="H1144" s="26">
        <v>30</v>
      </c>
      <c r="I1144" s="5"/>
      <c r="J1144" s="5" t="s">
        <v>25994</v>
      </c>
      <c r="K1144" s="5" t="s">
        <v>344</v>
      </c>
      <c r="L1144" s="5" t="s">
        <v>28822</v>
      </c>
      <c r="M1144" s="27"/>
      <c r="N1144" s="5"/>
      <c r="O1144" s="5" t="str">
        <v>2344001775</v>
      </c>
      <c r="P1144" s="27">
        <v>2960784</v>
      </c>
      <c r="Q1144" s="5"/>
      <c r="R1144" s="5"/>
      <c r="S1144" s="5" t="s">
        <v>49029</v>
      </c>
      <c r="T1144" s="28">
        <v>383751000</v>
      </c>
      <c r="U1144" s="28">
        <v>208829000</v>
      </c>
      <c r="V1144" s="28">
        <v>1501729000</v>
      </c>
      <c r="W1144" s="28">
        <v>751262000</v>
      </c>
      <c r="X1144" s="28">
        <v>1305739000</v>
      </c>
      <c r="Y1144" s="28">
        <v>5054664000</v>
      </c>
      <c r="Z1144" s="28">
        <v>3811163000</v>
      </c>
      <c r="AA1144" s="28">
        <v>53096000</v>
      </c>
      <c r="AB1144" s="28">
        <v>900240000</v>
      </c>
      <c r="AC1144" s="28">
        <v>1098855000</v>
      </c>
      <c r="AD1144" s="28">
        <v>3814272000</v>
      </c>
      <c r="AE1144" s="28">
        <v>4900188000</v>
      </c>
      <c r="AF1144" s="28">
        <v>1250486000</v>
      </c>
      <c r="AG1144" s="11"/>
    </row>
    <row r="1145">
      <c r="A1145" s="7" t="s">
        <v>2863</v>
      </c>
      <c r="B1145" s="5" t="s">
        <v>10852</v>
      </c>
      <c r="C1145" s="5" t="s">
        <v>18730</v>
      </c>
      <c r="D1145" s="5" t="str">
        <v>501100539521</v>
      </c>
      <c r="E1145" s="0" t="e">
        <f>+7 (496) 4027613
+7 (903) 5455217</f>
        <v>#NAME?</v>
      </c>
      <c r="F1145" s="5" t="s">
        <v>28823</v>
      </c>
      <c r="G1145" s="5"/>
      <c r="H1145" s="26">
        <v>14.5</v>
      </c>
      <c r="I1145" s="5" t="s">
        <v>28824</v>
      </c>
      <c r="J1145" s="5" t="s">
        <v>26268</v>
      </c>
      <c r="K1145" s="5" t="s">
        <v>344</v>
      </c>
      <c r="L1145" s="5" t="s">
        <v>642</v>
      </c>
      <c r="M1145" s="27"/>
      <c r="N1145" s="5" t="s">
        <v>50938</v>
      </c>
      <c r="O1145" s="5" t="str">
        <v>5011029459</v>
      </c>
      <c r="P1145" s="27">
        <v>20000</v>
      </c>
      <c r="Q1145" s="5" t="s">
        <v>50939</v>
      </c>
      <c r="R1145" s="5"/>
      <c r="S1145" s="5" t="s">
        <v>50940</v>
      </c>
      <c r="T1145" s="28"/>
      <c r="U1145" s="28"/>
      <c r="V1145" s="28"/>
      <c r="W1145" s="28"/>
      <c r="X1145" s="28">
        <v>264000</v>
      </c>
      <c r="Y1145" s="28">
        <v>264000</v>
      </c>
      <c r="Z1145" s="28"/>
      <c r="AA1145" s="28"/>
      <c r="AB1145" s="28"/>
      <c r="AC1145" s="28"/>
      <c r="AD1145" s="28">
        <v>264000</v>
      </c>
      <c r="AE1145" s="28">
        <v>12742040000</v>
      </c>
      <c r="AF1145" s="28">
        <v>890416000</v>
      </c>
      <c r="AG1145" s="11"/>
    </row>
    <row r="1146">
      <c r="A1146" s="7" t="s">
        <v>2864</v>
      </c>
      <c r="B1146" s="5" t="s">
        <v>10853</v>
      </c>
      <c r="C1146" s="5" t="s">
        <v>18731</v>
      </c>
      <c r="D1146" s="5" t="str">
        <v>390700465720</v>
      </c>
      <c r="E1146" s="0" t="e">
        <f>+7 (401) 2354005
+7 (401) 2354036
+7 (401) 2354040
+7 (401) 2354041
+7 (401) 2354070
+7 (401) 2354170
+7 (401) 2354257
+7 (401) 2354262
+7 (401) 2354357
+7 (495) 2217158
+7 (495) 2217159
+7 (495) 2232553
+7 (495) 2233337
+7 (495) 2233338
+7 (495) 2252761</f>
        <v>#NAME?</v>
      </c>
      <c r="F1146" s="5" t="s">
        <v>28825</v>
      </c>
      <c r="G1146" s="5" t="s">
        <v>28826</v>
      </c>
      <c r="H1146" s="26">
        <v>17.5</v>
      </c>
      <c r="I1146" s="5" t="s">
        <v>28827</v>
      </c>
      <c r="J1146" s="5" t="s">
        <v>25219</v>
      </c>
      <c r="K1146" s="5" t="s">
        <v>355</v>
      </c>
      <c r="L1146" s="5" t="s">
        <v>28828</v>
      </c>
      <c r="M1146" s="27">
        <v>4923135</v>
      </c>
      <c r="N1146" s="5"/>
      <c r="O1146" s="5" t="str">
        <v>3905069220</v>
      </c>
      <c r="P1146" s="27">
        <v>31100000</v>
      </c>
      <c r="Q1146" s="5" t="s">
        <v>49009</v>
      </c>
      <c r="R1146" s="5"/>
      <c r="S1146" s="5" t="s">
        <v>49028</v>
      </c>
      <c r="T1146" s="28">
        <v>10231318000</v>
      </c>
      <c r="U1146" s="28"/>
      <c r="V1146" s="28">
        <v>893550000</v>
      </c>
      <c r="W1146" s="28"/>
      <c r="X1146" s="28">
        <v>768235000</v>
      </c>
      <c r="Y1146" s="28">
        <v>17944677000</v>
      </c>
      <c r="Z1146" s="28">
        <v>854362000</v>
      </c>
      <c r="AA1146" s="28"/>
      <c r="AB1146" s="28"/>
      <c r="AC1146" s="28">
        <v>6103870000</v>
      </c>
      <c r="AD1146" s="28">
        <v>5845244000</v>
      </c>
      <c r="AE1146" s="28">
        <v>40943503000</v>
      </c>
      <c r="AF1146" s="28">
        <v>846593000</v>
      </c>
      <c r="AG1146" s="11"/>
    </row>
    <row r="1147">
      <c r="A1147" s="7" t="s">
        <v>2865</v>
      </c>
      <c r="B1147" s="5" t="s">
        <v>10854</v>
      </c>
      <c r="C1147" s="5" t="s">
        <v>18732</v>
      </c>
      <c r="D1147" s="5" t="str">
        <v>772034380125</v>
      </c>
      <c r="E1147" s="0" t="e">
        <f>+7 (495) 6601056
+7 (49243) 21600
+7 (49243) 23195
+7 (49243) 24285
+7 (49243) 24455
+7 (49243) 24823
+7 (495) 6642567
+7 (800) 4447525
+7 (812) 6009215
+7 (910) 4062057
+7 (915) 2588890
+7 (915) 3611130
+7 (916) 6798676
+7 (918) 1142101
+7 (919) 9676093</f>
        <v>#NAME?</v>
      </c>
      <c r="F1147" s="5" t="s">
        <v>28829</v>
      </c>
      <c r="G1147" s="5" t="s">
        <v>28830</v>
      </c>
      <c r="H1147" s="26">
        <v>19</v>
      </c>
      <c r="I1147" s="5" t="s">
        <v>28831</v>
      </c>
      <c r="J1147" s="5" t="s">
        <v>28832</v>
      </c>
      <c r="K1147" s="5" t="s">
        <v>344</v>
      </c>
      <c r="L1147" s="5" t="s">
        <v>28833</v>
      </c>
      <c r="M1147" s="27"/>
      <c r="N1147" s="5"/>
      <c r="O1147" s="5" t="str">
        <v>5036059790</v>
      </c>
      <c r="P1147" s="27">
        <v>801153921</v>
      </c>
      <c r="Q1147" s="5" t="s">
        <v>49009</v>
      </c>
      <c r="R1147" s="5"/>
      <c r="S1147" s="5" t="s">
        <v>49066</v>
      </c>
      <c r="T1147" s="28">
        <v>679177000</v>
      </c>
      <c r="U1147" s="28">
        <v>284163000</v>
      </c>
      <c r="V1147" s="28">
        <v>138189000</v>
      </c>
      <c r="W1147" s="28"/>
      <c r="X1147" s="28">
        <v>591606000</v>
      </c>
      <c r="Y1147" s="28">
        <v>2277887000</v>
      </c>
      <c r="Z1147" s="28">
        <v>-395208000</v>
      </c>
      <c r="AA1147" s="28"/>
      <c r="AB1147" s="28"/>
      <c r="AC1147" s="28">
        <v>274016000</v>
      </c>
      <c r="AD1147" s="28">
        <v>1951679000</v>
      </c>
      <c r="AE1147" s="28">
        <v>3549336000</v>
      </c>
      <c r="AF1147" s="28">
        <v>475667000</v>
      </c>
      <c r="AG1147" s="11"/>
    </row>
    <row r="1148">
      <c r="A1148" s="7" t="s">
        <v>2866</v>
      </c>
      <c r="B1148" s="5" t="s">
        <v>10855</v>
      </c>
      <c r="C1148" s="5" t="s">
        <v>18733</v>
      </c>
      <c r="D1148" s="5" t="str">
        <v>504906180674</v>
      </c>
      <c r="E1148" s="0" t="e">
        <f>+7 (915) 1979063
+7 (925) 2722778
+7 (495) 6633473
+7 (499) 4886183
+7 (499) 4886236
+7 (499) 9037264
+7 (925) 8611402
+7 (961) 8107864</f>
        <v>#NAME?</v>
      </c>
      <c r="F1148" s="5" t="s">
        <v>28834</v>
      </c>
      <c r="G1148" s="5" t="s">
        <v>28835</v>
      </c>
      <c r="H1148" s="26">
        <v>16</v>
      </c>
      <c r="I1148" s="5" t="s">
        <v>28836</v>
      </c>
      <c r="J1148" s="5" t="s">
        <v>585</v>
      </c>
      <c r="K1148" s="5" t="s">
        <v>344</v>
      </c>
      <c r="L1148" s="5" t="s">
        <v>28837</v>
      </c>
      <c r="M1148" s="27"/>
      <c r="N1148" s="5" t="s">
        <v>50941</v>
      </c>
      <c r="O1148" s="5" t="str">
        <v>7715631649</v>
      </c>
      <c r="P1148" s="27">
        <v>20000</v>
      </c>
      <c r="Q1148" s="5" t="s">
        <v>50943</v>
      </c>
      <c r="R1148" s="5" t="s">
        <v>50944</v>
      </c>
      <c r="S1148" s="5" t="s">
        <v>50945</v>
      </c>
      <c r="T1148" s="28">
        <v>210307000</v>
      </c>
      <c r="U1148" s="28"/>
      <c r="V1148" s="28">
        <v>430477000</v>
      </c>
      <c r="W1148" s="28"/>
      <c r="X1148" s="28">
        <v>317024000</v>
      </c>
      <c r="Y1148" s="28">
        <v>1551288000</v>
      </c>
      <c r="Z1148" s="28">
        <v>354310000</v>
      </c>
      <c r="AA1148" s="28"/>
      <c r="AB1148" s="28"/>
      <c r="AC1148" s="28">
        <v>993401000</v>
      </c>
      <c r="AD1148" s="28">
        <v>354330000</v>
      </c>
      <c r="AE1148" s="28">
        <v>3743343000</v>
      </c>
      <c r="AF1148" s="28">
        <v>297147000</v>
      </c>
      <c r="AG1148" s="11"/>
    </row>
    <row r="1149">
      <c r="A1149" s="7" t="s">
        <v>2867</v>
      </c>
      <c r="B1149" s="5" t="s">
        <v>10856</v>
      </c>
      <c r="C1149" s="5" t="s">
        <v>18734</v>
      </c>
      <c r="D1149" s="5" t="str">
        <v>667001474956</v>
      </c>
      <c r="E1149" s="0" t="e">
        <f>+7 (499) 4907401
+7 (495) 1917401
+7 (495) 2877400
+7 (495) 2877402
+7 (495) 4449107
+7 (495) 4449227
+7 (495) 4460200
+7 (495) 4461300
+7 (495) 4486275</f>
        <v>#NAME?</v>
      </c>
      <c r="F1149" s="5" t="s">
        <v>28838</v>
      </c>
      <c r="G1149" s="5" t="s">
        <v>28839</v>
      </c>
      <c r="H1149" s="26">
        <v>30</v>
      </c>
      <c r="I1149" s="5"/>
      <c r="J1149" s="5" t="s">
        <v>755</v>
      </c>
      <c r="K1149" s="5" t="s">
        <v>344</v>
      </c>
      <c r="L1149" s="5"/>
      <c r="M1149" s="27"/>
      <c r="N1149" s="5" t="s">
        <v>50946</v>
      </c>
      <c r="O1149" s="5" t="str">
        <v>7731008209</v>
      </c>
      <c r="P1149" s="27">
        <v>403305</v>
      </c>
      <c r="Q1149" s="5" t="s">
        <v>50947</v>
      </c>
      <c r="R1149" s="5"/>
      <c r="S1149" s="5" t="s">
        <v>49139</v>
      </c>
      <c r="T1149" s="28">
        <v>1336088000</v>
      </c>
      <c r="U1149" s="28">
        <v>3063000</v>
      </c>
      <c r="V1149" s="28">
        <v>1490237000</v>
      </c>
      <c r="W1149" s="28"/>
      <c r="X1149" s="28">
        <v>522959000</v>
      </c>
      <c r="Y1149" s="28">
        <v>4367303000</v>
      </c>
      <c r="Z1149" s="28">
        <v>2486303000</v>
      </c>
      <c r="AA1149" s="28">
        <v>650000000</v>
      </c>
      <c r="AB1149" s="28"/>
      <c r="AC1149" s="28">
        <v>1101174000</v>
      </c>
      <c r="AD1149" s="28">
        <v>2487706000</v>
      </c>
      <c r="AE1149" s="28">
        <v>3143399000</v>
      </c>
      <c r="AF1149" s="28">
        <v>292244000</v>
      </c>
      <c r="AG1149" s="11"/>
    </row>
    <row r="1150">
      <c r="A1150" s="7" t="s">
        <v>2868</v>
      </c>
      <c r="B1150" s="5" t="s">
        <v>10857</v>
      </c>
      <c r="C1150" s="5" t="s">
        <v>18735</v>
      </c>
      <c r="D1150" s="5" t="str">
        <v>772445040245</v>
      </c>
      <c r="E1150" s="0" t="e">
        <f>+7 (495) 6255155
+7 (495) 7410200
+7 (495) 7410200
+7 (495) 9255155
+7 (49622) 17990</f>
        <v>#NAME?</v>
      </c>
      <c r="F1150" s="5" t="s">
        <v>28840</v>
      </c>
      <c r="G1150" s="5" t="s">
        <v>28841</v>
      </c>
      <c r="H1150" s="26">
        <v>24.5</v>
      </c>
      <c r="I1150" s="5" t="s">
        <v>28842</v>
      </c>
      <c r="J1150" s="5" t="s">
        <v>678</v>
      </c>
      <c r="K1150" s="5" t="s">
        <v>344</v>
      </c>
      <c r="L1150" s="5" t="s">
        <v>28843</v>
      </c>
      <c r="M1150" s="27"/>
      <c r="N1150" s="5" t="s">
        <v>50948</v>
      </c>
      <c r="O1150" s="5" t="str">
        <v>7705202224</v>
      </c>
      <c r="P1150" s="27">
        <v>70000000</v>
      </c>
      <c r="Q1150" s="5" t="s">
        <v>49059</v>
      </c>
      <c r="R1150" s="5"/>
      <c r="S1150" s="5" t="s">
        <v>49047</v>
      </c>
      <c r="T1150" s="28">
        <v>68587000</v>
      </c>
      <c r="U1150" s="28">
        <v>28520000</v>
      </c>
      <c r="V1150" s="28">
        <v>691353000</v>
      </c>
      <c r="W1150" s="28"/>
      <c r="X1150" s="28">
        <v>600284000</v>
      </c>
      <c r="Y1150" s="28">
        <v>2124767000</v>
      </c>
      <c r="Z1150" s="28">
        <v>1627853000</v>
      </c>
      <c r="AA1150" s="28"/>
      <c r="AB1150" s="28"/>
      <c r="AC1150" s="28">
        <v>401292000</v>
      </c>
      <c r="AD1150" s="28">
        <v>1697853000</v>
      </c>
      <c r="AE1150" s="28">
        <v>4846303000</v>
      </c>
      <c r="AF1150" s="28">
        <v>611417000</v>
      </c>
      <c r="AG1150" s="11"/>
    </row>
    <row r="1151">
      <c r="A1151" s="7" t="s">
        <v>2869</v>
      </c>
      <c r="B1151" s="5" t="s">
        <v>10858</v>
      </c>
      <c r="C1151" s="5" t="s">
        <v>18736</v>
      </c>
      <c r="D1151" s="5"/>
      <c r="E1151" s="0" t="e">
        <f>+7 (41136) 70667
+7 (41136) 71322
+7 (41136) 71685
+7 (41136) 79253
+7 (41136) 79313
+7 (41136) 79353
+7 (41136) 79365
+7 (41136) 79373
+7 (41136) 79376
+7 (41136) 79380
+7 (41136) 79383
+7 (41136) 79390
+7 (41136) 79399
+7 (41136) 79400
+7 (41136) 79402</f>
        <v>#NAME?</v>
      </c>
      <c r="F1151" s="5" t="s">
        <v>28844</v>
      </c>
      <c r="G1151" s="5" t="s">
        <v>28845</v>
      </c>
      <c r="H1151" s="26">
        <v>24</v>
      </c>
      <c r="I1151" s="5"/>
      <c r="J1151" s="5" t="s">
        <v>28287</v>
      </c>
      <c r="K1151" s="5" t="s">
        <v>344</v>
      </c>
      <c r="L1151" s="5" t="s">
        <v>28846</v>
      </c>
      <c r="M1151" s="27"/>
      <c r="N1151" s="5" t="s">
        <v>50949</v>
      </c>
      <c r="O1151" s="5" t="str">
        <v>1433015048</v>
      </c>
      <c r="P1151" s="27">
        <v>4840595930</v>
      </c>
      <c r="Q1151" s="5" t="s">
        <v>50950</v>
      </c>
      <c r="R1151" s="5"/>
      <c r="S1151" s="5" t="s">
        <v>50951</v>
      </c>
      <c r="T1151" s="28">
        <v>10718000000</v>
      </c>
      <c r="U1151" s="28">
        <v>1660108000</v>
      </c>
      <c r="V1151" s="28">
        <v>822140000</v>
      </c>
      <c r="W1151" s="28">
        <v>2277740000</v>
      </c>
      <c r="X1151" s="28">
        <v>920636000</v>
      </c>
      <c r="Y1151" s="28">
        <v>16659840000</v>
      </c>
      <c r="Z1151" s="28">
        <v>9551460000</v>
      </c>
      <c r="AA1151" s="28"/>
      <c r="AB1151" s="28"/>
      <c r="AC1151" s="28">
        <v>1917483000</v>
      </c>
      <c r="AD1151" s="28">
        <v>14634086000</v>
      </c>
      <c r="AE1151" s="28">
        <v>11395103000</v>
      </c>
      <c r="AF1151" s="28">
        <v>1507150000</v>
      </c>
      <c r="AG1151" s="11"/>
    </row>
    <row r="1152">
      <c r="A1152" s="7" t="s">
        <v>2870</v>
      </c>
      <c r="B1152" s="5" t="s">
        <v>10859</v>
      </c>
      <c r="C1152" s="5" t="s">
        <v>18737</v>
      </c>
      <c r="D1152" s="5" t="str">
        <v>780506698799</v>
      </c>
      <c r="E1152" s="0" t="e">
        <f>+7 (812) 3202300
+7 (812) 3255910
+7 (812) 6425744</f>
        <v>#NAME?</v>
      </c>
      <c r="F1152" s="5" t="s">
        <v>28847</v>
      </c>
      <c r="G1152" s="5"/>
      <c r="H1152" s="26">
        <v>11</v>
      </c>
      <c r="I1152" s="5" t="s">
        <v>28848</v>
      </c>
      <c r="J1152" s="5" t="s">
        <v>678</v>
      </c>
      <c r="K1152" s="5" t="s">
        <v>344</v>
      </c>
      <c r="L1152" s="5" t="s">
        <v>28849</v>
      </c>
      <c r="M1152" s="27"/>
      <c r="N1152" s="5"/>
      <c r="O1152" s="5" t="str">
        <v>7811508729</v>
      </c>
      <c r="P1152" s="27">
        <v>30000</v>
      </c>
      <c r="Q1152" s="5" t="s">
        <v>50952</v>
      </c>
      <c r="R1152" s="5"/>
      <c r="S1152" s="5" t="s">
        <v>50953</v>
      </c>
      <c r="T1152" s="28">
        <v>7569000</v>
      </c>
      <c r="U1152" s="28"/>
      <c r="V1152" s="28">
        <v>470789000</v>
      </c>
      <c r="W1152" s="28"/>
      <c r="X1152" s="28">
        <v>11672000</v>
      </c>
      <c r="Y1152" s="28">
        <v>1193336000</v>
      </c>
      <c r="Z1152" s="28">
        <v>556697000</v>
      </c>
      <c r="AA1152" s="28"/>
      <c r="AB1152" s="28">
        <v>285463000</v>
      </c>
      <c r="AC1152" s="28">
        <v>636609000</v>
      </c>
      <c r="AD1152" s="28">
        <v>556727000</v>
      </c>
      <c r="AE1152" s="28">
        <v>3510869000</v>
      </c>
      <c r="AF1152" s="28">
        <v>215433000</v>
      </c>
      <c r="AG1152" s="11"/>
    </row>
    <row r="1153">
      <c r="A1153" s="7" t="s">
        <v>2871</v>
      </c>
      <c r="B1153" s="5" t="s">
        <v>10860</v>
      </c>
      <c r="C1153" s="5" t="s">
        <v>18738</v>
      </c>
      <c r="D1153" s="5" t="str">
        <v>695006488524</v>
      </c>
      <c r="E1153" s="0" t="e">
        <f>+7 (495) 7442901</f>
        <v>#NAME?</v>
      </c>
      <c r="F1153" s="5"/>
      <c r="G1153" s="5"/>
      <c r="H1153" s="26">
        <v>23.5</v>
      </c>
      <c r="I1153" s="5" t="s">
        <v>28850</v>
      </c>
      <c r="J1153" s="5" t="s">
        <v>27151</v>
      </c>
      <c r="K1153" s="5" t="s">
        <v>355</v>
      </c>
      <c r="L1153" s="5" t="s">
        <v>28851</v>
      </c>
      <c r="M1153" s="27">
        <v>718488</v>
      </c>
      <c r="N1153" s="5"/>
      <c r="O1153" s="5" t="str">
        <v>7719191685</v>
      </c>
      <c r="P1153" s="27">
        <v>155008400</v>
      </c>
      <c r="Q1153" s="5"/>
      <c r="R1153" s="5"/>
      <c r="S1153" s="5" t="s">
        <v>49121</v>
      </c>
      <c r="T1153" s="28">
        <v>5432267000</v>
      </c>
      <c r="U1153" s="28"/>
      <c r="V1153" s="28">
        <v>1307560000</v>
      </c>
      <c r="W1153" s="28">
        <v>2516760000</v>
      </c>
      <c r="X1153" s="28">
        <v>448942000</v>
      </c>
      <c r="Y1153" s="28">
        <v>13323638000</v>
      </c>
      <c r="Z1153" s="28">
        <v>481503000</v>
      </c>
      <c r="AA1153" s="28">
        <v>672516000</v>
      </c>
      <c r="AB1153" s="28"/>
      <c r="AC1153" s="28">
        <v>6646486000</v>
      </c>
      <c r="AD1153" s="28">
        <v>988012000</v>
      </c>
      <c r="AE1153" s="28">
        <v>13290099000</v>
      </c>
      <c r="AF1153" s="28">
        <v>471471000</v>
      </c>
      <c r="AG1153" s="11"/>
    </row>
    <row r="1154">
      <c r="A1154" s="7" t="s">
        <v>2872</v>
      </c>
      <c r="B1154" s="5" t="s">
        <v>10861</v>
      </c>
      <c r="C1154" s="5" t="s">
        <v>18739</v>
      </c>
      <c r="D1154" s="5" t="str">
        <v>772817943602</v>
      </c>
      <c r="E1154" s="0" t="e">
        <f>+7 (3432) 48114
+7 (383) 3194192
+7 (495) 6519737
+7 (495) 6519930
+7 (495) 9801073
+7 (495) 9801074
+7 (812) 3133011
+7 (812) 3133012
+7 (861) 2568551
+7 (861) 2568552
+7 (928) 2067521</f>
        <v>#NAME?</v>
      </c>
      <c r="F1154" s="5" t="s">
        <v>28852</v>
      </c>
      <c r="G1154" s="5"/>
      <c r="H1154" s="26">
        <v>19</v>
      </c>
      <c r="I1154" s="5" t="s">
        <v>28853</v>
      </c>
      <c r="J1154" s="5" t="s">
        <v>26367</v>
      </c>
      <c r="K1154" s="5" t="s">
        <v>355</v>
      </c>
      <c r="L1154" s="5" t="s">
        <v>28854</v>
      </c>
      <c r="M1154" s="27">
        <v>20908821</v>
      </c>
      <c r="N1154" s="5" t="s">
        <v>50955</v>
      </c>
      <c r="O1154" s="5" t="str">
        <v>5024064362</v>
      </c>
      <c r="P1154" s="27">
        <v>10000000</v>
      </c>
      <c r="Q1154" s="5" t="s">
        <v>49059</v>
      </c>
      <c r="R1154" s="5"/>
      <c r="S1154" s="5" t="s">
        <v>49162</v>
      </c>
      <c r="T1154" s="28">
        <v>342108000</v>
      </c>
      <c r="U1154" s="28"/>
      <c r="V1154" s="28">
        <v>1819953000</v>
      </c>
      <c r="W1154" s="28"/>
      <c r="X1154" s="28">
        <v>26120000</v>
      </c>
      <c r="Y1154" s="28">
        <v>3596386000</v>
      </c>
      <c r="Z1154" s="28">
        <v>481523000</v>
      </c>
      <c r="AA1154" s="28">
        <v>258000000</v>
      </c>
      <c r="AB1154" s="28">
        <v>889362000</v>
      </c>
      <c r="AC1154" s="28">
        <v>2635424000</v>
      </c>
      <c r="AD1154" s="28">
        <v>491523000</v>
      </c>
      <c r="AE1154" s="28">
        <v>4821329000</v>
      </c>
      <c r="AF1154" s="28">
        <v>74480000</v>
      </c>
      <c r="AG1154" s="11"/>
    </row>
    <row r="1155">
      <c r="A1155" s="7" t="s">
        <v>2873</v>
      </c>
      <c r="B1155" s="5" t="s">
        <v>10862</v>
      </c>
      <c r="C1155" s="5" t="s">
        <v>18740</v>
      </c>
      <c r="D1155" s="5" t="str">
        <v>344105477000</v>
      </c>
      <c r="E1155" s="0" t="e">
        <f>+7 (495) 9845505
+7 (495) 1055546</f>
        <v>#NAME?</v>
      </c>
      <c r="F1155" s="5" t="s">
        <v>28855</v>
      </c>
      <c r="G1155" s="5" t="s">
        <v>28856</v>
      </c>
      <c r="H1155" s="26">
        <v>22.5</v>
      </c>
      <c r="I1155" s="5" t="s">
        <v>28857</v>
      </c>
      <c r="J1155" s="5" t="s">
        <v>26367</v>
      </c>
      <c r="K1155" s="5" t="s">
        <v>380</v>
      </c>
      <c r="L1155" s="5"/>
      <c r="M1155" s="27">
        <v>2372447</v>
      </c>
      <c r="N1155" s="5"/>
      <c r="O1155" s="5" t="str">
        <v>7730128020</v>
      </c>
      <c r="P1155" s="27">
        <v>10013203</v>
      </c>
      <c r="Q1155" s="5" t="s">
        <v>49579</v>
      </c>
      <c r="R1155" s="5"/>
      <c r="S1155" s="5" t="s">
        <v>49580</v>
      </c>
      <c r="T1155" s="28">
        <v>390512000</v>
      </c>
      <c r="U1155" s="28"/>
      <c r="V1155" s="28">
        <v>2554314000</v>
      </c>
      <c r="W1155" s="28">
        <v>358849000</v>
      </c>
      <c r="X1155" s="28">
        <v>22364000</v>
      </c>
      <c r="Y1155" s="28">
        <v>5103626000</v>
      </c>
      <c r="Z1155" s="28">
        <v>175108000</v>
      </c>
      <c r="AA1155" s="28"/>
      <c r="AB1155" s="28"/>
      <c r="AC1155" s="28">
        <v>4841510000</v>
      </c>
      <c r="AD1155" s="28">
        <v>185121000</v>
      </c>
      <c r="AE1155" s="28">
        <v>7500933000</v>
      </c>
      <c r="AF1155" s="28">
        <v>174908000</v>
      </c>
      <c r="AG1155" s="11"/>
    </row>
    <row r="1156">
      <c r="A1156" s="7" t="s">
        <v>2874</v>
      </c>
      <c r="B1156" s="5" t="s">
        <v>10863</v>
      </c>
      <c r="C1156" s="5" t="s">
        <v>18741</v>
      </c>
      <c r="D1156" s="5" t="str">
        <v>772142839494</v>
      </c>
      <c r="E1156" s="0" t="e">
        <f>+7 (401) 2951173
+7 (401) 2951222
+7 (401) 2535511
+7 (401) 4137662
+7 (40141) 37312
+7 (40141) 37447
+7 (40141) 38408
+7 (40141) 38919
+7 (495) 9845505
+7 (800) 1001892</f>
        <v>#NAME?</v>
      </c>
      <c r="F1156" s="5" t="s">
        <v>28858</v>
      </c>
      <c r="G1156" s="5" t="s">
        <v>28859</v>
      </c>
      <c r="H1156" s="26">
        <v>25.5</v>
      </c>
      <c r="I1156" s="5" t="s">
        <v>28860</v>
      </c>
      <c r="J1156" s="5" t="s">
        <v>26503</v>
      </c>
      <c r="K1156" s="5" t="s">
        <v>344</v>
      </c>
      <c r="L1156" s="5" t="s">
        <v>28861</v>
      </c>
      <c r="M1156" s="27">
        <v>4271437</v>
      </c>
      <c r="N1156" s="5"/>
      <c r="O1156" s="5" t="str">
        <v>3914010751</v>
      </c>
      <c r="P1156" s="27">
        <v>20500000</v>
      </c>
      <c r="Q1156" s="5" t="s">
        <v>49579</v>
      </c>
      <c r="R1156" s="5"/>
      <c r="S1156" s="5" t="s">
        <v>49580</v>
      </c>
      <c r="T1156" s="28">
        <v>839083000</v>
      </c>
      <c r="U1156" s="28">
        <v>13551000</v>
      </c>
      <c r="V1156" s="28">
        <v>6978120000</v>
      </c>
      <c r="W1156" s="28">
        <v>3391425000</v>
      </c>
      <c r="X1156" s="28">
        <v>21360000</v>
      </c>
      <c r="Y1156" s="28">
        <v>13465860000</v>
      </c>
      <c r="Z1156" s="28">
        <v>12771929000</v>
      </c>
      <c r="AA1156" s="28"/>
      <c r="AB1156" s="28"/>
      <c r="AC1156" s="28">
        <v>622964000</v>
      </c>
      <c r="AD1156" s="28">
        <v>12798088000</v>
      </c>
      <c r="AE1156" s="28">
        <v>4935925000</v>
      </c>
      <c r="AF1156" s="28">
        <v>944043000</v>
      </c>
      <c r="AG1156" s="11"/>
    </row>
    <row r="1157">
      <c r="A1157" s="7" t="s">
        <v>2875</v>
      </c>
      <c r="B1157" s="5" t="s">
        <v>10864</v>
      </c>
      <c r="C1157" s="5" t="s">
        <v>18742</v>
      </c>
      <c r="D1157" s="5" t="str">
        <v>774316887982</v>
      </c>
      <c r="E1157" s="0" t="e">
        <f>+7 (495) 6463546
+7 (495) 6463545
+7 (495) 7379307
+7 (49673) 79015
+7 (49673) 79307
+7 (49677) 64820
+7 (49677) 64828</f>
        <v>#NAME?</v>
      </c>
      <c r="F1157" s="5" t="s">
        <v>28862</v>
      </c>
      <c r="G1157" s="5" t="s">
        <v>28863</v>
      </c>
      <c r="H1157" s="26">
        <v>18.5</v>
      </c>
      <c r="I1157" s="5" t="s">
        <v>28864</v>
      </c>
      <c r="J1157" s="5" t="s">
        <v>28075</v>
      </c>
      <c r="K1157" s="5" t="s">
        <v>344</v>
      </c>
      <c r="L1157" s="5" t="s">
        <v>28865</v>
      </c>
      <c r="M1157" s="27"/>
      <c r="N1157" s="5"/>
      <c r="O1157" s="5" t="str">
        <v>5077016228</v>
      </c>
      <c r="P1157" s="27">
        <v>1475000001</v>
      </c>
      <c r="Q1157" s="5" t="s">
        <v>49059</v>
      </c>
      <c r="R1157" s="5"/>
      <c r="S1157" s="5" t="s">
        <v>50509</v>
      </c>
      <c r="T1157" s="28">
        <v>529165000</v>
      </c>
      <c r="U1157" s="28"/>
      <c r="V1157" s="28">
        <v>622783000</v>
      </c>
      <c r="W1157" s="28"/>
      <c r="X1157" s="28">
        <v>17267000</v>
      </c>
      <c r="Y1157" s="28">
        <v>1902868000</v>
      </c>
      <c r="Z1157" s="28">
        <v>-599117000</v>
      </c>
      <c r="AA1157" s="28">
        <v>26732000</v>
      </c>
      <c r="AB1157" s="28">
        <v>844600000</v>
      </c>
      <c r="AC1157" s="28">
        <v>999345000</v>
      </c>
      <c r="AD1157" s="28">
        <v>864536000</v>
      </c>
      <c r="AE1157" s="28">
        <v>3693287000</v>
      </c>
      <c r="AF1157" s="28">
        <v>456837000</v>
      </c>
      <c r="AG1157" s="11"/>
    </row>
    <row r="1158">
      <c r="A1158" s="7" t="s">
        <v>2876</v>
      </c>
      <c r="B1158" s="5" t="s">
        <v>10865</v>
      </c>
      <c r="C1158" s="5" t="s">
        <v>18743</v>
      </c>
      <c r="D1158" s="5" t="str">
        <v>380802972602</v>
      </c>
      <c r="E1158" s="0" t="e">
        <f>+7 (495) 5546516
+7 (495) 5546538
+7 (495) 5546566
+7 (495) 4787711</f>
        <v>#NAME?</v>
      </c>
      <c r="F1158" s="5" t="s">
        <v>28866</v>
      </c>
      <c r="G1158" s="5" t="s">
        <v>28867</v>
      </c>
      <c r="H1158" s="26">
        <v>23</v>
      </c>
      <c r="I1158" s="5" t="s">
        <v>28868</v>
      </c>
      <c r="J1158" s="5" t="s">
        <v>25332</v>
      </c>
      <c r="K1158" s="5" t="s">
        <v>344</v>
      </c>
      <c r="L1158" s="5" t="s">
        <v>28869</v>
      </c>
      <c r="M1158" s="27"/>
      <c r="N1158" s="5"/>
      <c r="O1158" s="5" t="str">
        <v>5027076599</v>
      </c>
      <c r="P1158" s="27">
        <v>10010000</v>
      </c>
      <c r="Q1158" s="5"/>
      <c r="R1158" s="5"/>
      <c r="S1158" s="5" t="s">
        <v>49053</v>
      </c>
      <c r="T1158" s="28">
        <v>112400000</v>
      </c>
      <c r="U1158" s="28">
        <v>10010000</v>
      </c>
      <c r="V1158" s="28">
        <v>2013003000</v>
      </c>
      <c r="W1158" s="28">
        <v>63837000</v>
      </c>
      <c r="X1158" s="28">
        <v>16391000</v>
      </c>
      <c r="Y1158" s="28">
        <v>2510637000</v>
      </c>
      <c r="Z1158" s="28">
        <v>360816000</v>
      </c>
      <c r="AA1158" s="28"/>
      <c r="AB1158" s="28">
        <v>40529000</v>
      </c>
      <c r="AC1158" s="28">
        <v>2011276000</v>
      </c>
      <c r="AD1158" s="28">
        <v>370826000</v>
      </c>
      <c r="AE1158" s="28">
        <v>4625898000</v>
      </c>
      <c r="AF1158" s="28">
        <v>152132000</v>
      </c>
      <c r="AG1158" s="11"/>
    </row>
    <row r="1159">
      <c r="A1159" s="7" t="s">
        <v>2877</v>
      </c>
      <c r="B1159" s="5" t="s">
        <v>10866</v>
      </c>
      <c r="C1159" s="5" t="s">
        <v>18744</v>
      </c>
      <c r="D1159" s="5" t="str">
        <v>772604205199</v>
      </c>
      <c r="E1159" s="0" t="e">
        <f>+7 (800) 3331525
+7 (495) 6607127
+7 (812) 3051441
+7 (812) 3201221
+7 (812) 3258545
+7 (812) 3277887
+7 (812) 3321221
+7 (812) 3321331</f>
        <v>#NAME?</v>
      </c>
      <c r="F1159" s="5" t="s">
        <v>28870</v>
      </c>
      <c r="G1159" s="5" t="s">
        <v>28871</v>
      </c>
      <c r="H1159" s="26">
        <v>27</v>
      </c>
      <c r="I1159" s="5" t="s">
        <v>28872</v>
      </c>
      <c r="J1159" s="5" t="s">
        <v>25231</v>
      </c>
      <c r="K1159" s="5" t="s">
        <v>344</v>
      </c>
      <c r="L1159" s="5" t="s">
        <v>28873</v>
      </c>
      <c r="M1159" s="27"/>
      <c r="N1159" s="5"/>
      <c r="O1159" s="5" t="str">
        <v>7801467537</v>
      </c>
      <c r="P1159" s="27">
        <v>2901000</v>
      </c>
      <c r="Q1159" s="5"/>
      <c r="R1159" s="5"/>
      <c r="S1159" s="5" t="s">
        <v>49029</v>
      </c>
      <c r="T1159" s="28">
        <v>1193791000</v>
      </c>
      <c r="U1159" s="28"/>
      <c r="V1159" s="28">
        <v>1056502000</v>
      </c>
      <c r="W1159" s="28"/>
      <c r="X1159" s="28">
        <v>764201000</v>
      </c>
      <c r="Y1159" s="28">
        <v>3825160000</v>
      </c>
      <c r="Z1159" s="28">
        <v>1919531000</v>
      </c>
      <c r="AA1159" s="28"/>
      <c r="AB1159" s="28"/>
      <c r="AC1159" s="28">
        <v>730157000</v>
      </c>
      <c r="AD1159" s="28">
        <v>1923152000</v>
      </c>
      <c r="AE1159" s="28">
        <v>7893585000</v>
      </c>
      <c r="AF1159" s="28">
        <v>258516000</v>
      </c>
      <c r="AG1159" s="11"/>
    </row>
    <row r="1160">
      <c r="A1160" s="7" t="s">
        <v>2877</v>
      </c>
      <c r="B1160" s="5" t="s">
        <v>10867</v>
      </c>
      <c r="C1160" s="5" t="s">
        <v>18745</v>
      </c>
      <c r="D1160" s="5" t="str">
        <v>744502888889</v>
      </c>
      <c r="E1160" s="0" t="e">
        <f>+7 (904) 8105962</f>
        <v>#NAME?</v>
      </c>
      <c r="F1160" s="5"/>
      <c r="G1160" s="5"/>
      <c r="H1160" s="26">
        <v>4.5</v>
      </c>
      <c r="I1160" s="5" t="s">
        <v>28874</v>
      </c>
      <c r="J1160" s="5" t="s">
        <v>28875</v>
      </c>
      <c r="K1160" s="5" t="s">
        <v>355</v>
      </c>
      <c r="L1160" s="5" t="s">
        <v>28876</v>
      </c>
      <c r="M1160" s="27"/>
      <c r="N1160" s="5"/>
      <c r="O1160" s="5" t="str">
        <v>7455033500</v>
      </c>
      <c r="P1160" s="27">
        <v>10000</v>
      </c>
      <c r="Q1160" s="5" t="s">
        <v>49021</v>
      </c>
      <c r="R1160" s="5"/>
      <c r="S1160" s="5" t="s">
        <v>50956</v>
      </c>
      <c r="T1160" s="28"/>
      <c r="U1160" s="28"/>
      <c r="V1160" s="28">
        <v>2023318000</v>
      </c>
      <c r="W1160" s="28"/>
      <c r="X1160" s="28">
        <v>637000</v>
      </c>
      <c r="Y1160" s="28">
        <v>2671790000</v>
      </c>
      <c r="Z1160" s="28">
        <v>15027000</v>
      </c>
      <c r="AA1160" s="28"/>
      <c r="AB1160" s="28">
        <v>1490000</v>
      </c>
      <c r="AC1160" s="28">
        <v>2656753000</v>
      </c>
      <c r="AD1160" s="28">
        <v>15037000</v>
      </c>
      <c r="AE1160" s="28">
        <v>3318297000</v>
      </c>
      <c r="AF1160" s="28">
        <v>5426000</v>
      </c>
      <c r="AG1160" s="11"/>
    </row>
    <row r="1161">
      <c r="A1161" s="7" t="s">
        <v>2878</v>
      </c>
      <c r="B1161" s="5" t="s">
        <v>10868</v>
      </c>
      <c r="C1161" s="5" t="s">
        <v>18746</v>
      </c>
      <c r="D1161" s="5" t="str">
        <v>614006831114</v>
      </c>
      <c r="E1161" s="0" t="e">
        <f>+7 (863) 2903331
+7 (863) 4236667
+7 (903) 4039042
+7 (908) 5042654
+7 (961) 4136999
+7 (961) 4146999
+7 (961) 4236667</f>
        <v>#NAME?</v>
      </c>
      <c r="F1161" s="5" t="s">
        <v>28877</v>
      </c>
      <c r="G1161" s="5" t="s">
        <v>28878</v>
      </c>
      <c r="H1161" s="26">
        <v>11.5</v>
      </c>
      <c r="I1161" s="5" t="s">
        <v>28879</v>
      </c>
      <c r="J1161" s="5" t="s">
        <v>25938</v>
      </c>
      <c r="K1161" s="5" t="s">
        <v>344</v>
      </c>
      <c r="L1161" s="5" t="s">
        <v>28880</v>
      </c>
      <c r="M1161" s="27">
        <v>201500</v>
      </c>
      <c r="N1161" s="5"/>
      <c r="O1161" s="5" t="str">
        <v>6165168648</v>
      </c>
      <c r="P1161" s="27">
        <v>40000</v>
      </c>
      <c r="Q1161" s="5" t="s">
        <v>694</v>
      </c>
      <c r="R1161" s="5"/>
      <c r="S1161" s="5" t="s">
        <v>50851</v>
      </c>
      <c r="T1161" s="28">
        <v>95220000</v>
      </c>
      <c r="U1161" s="28"/>
      <c r="V1161" s="28">
        <v>617856000</v>
      </c>
      <c r="W1161" s="28">
        <v>56178000</v>
      </c>
      <c r="X1161" s="28">
        <v>24778000</v>
      </c>
      <c r="Y1161" s="28">
        <v>1354651000</v>
      </c>
      <c r="Z1161" s="28">
        <v>337943000</v>
      </c>
      <c r="AA1161" s="28">
        <v>781456000</v>
      </c>
      <c r="AB1161" s="28">
        <v>438000</v>
      </c>
      <c r="AC1161" s="28">
        <v>147498000</v>
      </c>
      <c r="AD1161" s="28">
        <v>338023000</v>
      </c>
      <c r="AE1161" s="28">
        <v>5474733000</v>
      </c>
      <c r="AF1161" s="28">
        <v>28396000</v>
      </c>
      <c r="AG1161" s="11"/>
    </row>
    <row r="1162">
      <c r="A1162" s="7" t="s">
        <v>2879</v>
      </c>
      <c r="B1162" s="5" t="s">
        <v>10869</v>
      </c>
      <c r="C1162" s="5" t="s">
        <v>18747</v>
      </c>
      <c r="D1162" s="5" t="str">
        <v>771685205820</v>
      </c>
      <c r="E1162" s="0" t="e">
        <f>+7 (495) 2217127
+7 (495) 9333563
+7 (916) 9271990</f>
        <v>#NAME?</v>
      </c>
      <c r="F1162" s="5" t="s">
        <v>28881</v>
      </c>
      <c r="G1162" s="5" t="s">
        <v>28882</v>
      </c>
      <c r="H1162" s="26">
        <v>27</v>
      </c>
      <c r="I1162" s="5" t="s">
        <v>28883</v>
      </c>
      <c r="J1162" s="5" t="s">
        <v>26918</v>
      </c>
      <c r="K1162" s="5" t="s">
        <v>344</v>
      </c>
      <c r="L1162" s="5" t="s">
        <v>28884</v>
      </c>
      <c r="M1162" s="27"/>
      <c r="N1162" s="5" t="s">
        <v>50957</v>
      </c>
      <c r="O1162" s="5" t="str">
        <v>7716118119</v>
      </c>
      <c r="P1162" s="27">
        <v>683022964</v>
      </c>
      <c r="Q1162" s="5" t="s">
        <v>50958</v>
      </c>
      <c r="R1162" s="5"/>
      <c r="S1162" s="5" t="s">
        <v>50959</v>
      </c>
      <c r="T1162" s="28">
        <v>614041000</v>
      </c>
      <c r="U1162" s="28"/>
      <c r="V1162" s="28">
        <v>268449000</v>
      </c>
      <c r="W1162" s="28"/>
      <c r="X1162" s="28">
        <v>2308943000</v>
      </c>
      <c r="Y1162" s="28">
        <v>3509147000</v>
      </c>
      <c r="Z1162" s="28">
        <v>630814000</v>
      </c>
      <c r="AA1162" s="28"/>
      <c r="AB1162" s="28"/>
      <c r="AC1162" s="28">
        <v>358374000</v>
      </c>
      <c r="AD1162" s="28">
        <v>3150773000</v>
      </c>
      <c r="AE1162" s="28">
        <v>5429029000</v>
      </c>
      <c r="AF1162" s="28">
        <v>-428509000</v>
      </c>
      <c r="AG1162" s="11"/>
    </row>
    <row r="1163">
      <c r="A1163" s="7" t="s">
        <v>2880</v>
      </c>
      <c r="B1163" s="5" t="s">
        <v>10870</v>
      </c>
      <c r="C1163" s="5" t="s">
        <v>18748</v>
      </c>
      <c r="D1163" s="5" t="str">
        <v>272513795980</v>
      </c>
      <c r="E1163" s="0" t="e">
        <f>+7 (909) 6301878
+7 (968) 5314702</f>
        <v>#NAME?</v>
      </c>
      <c r="F1163" s="5" t="s">
        <v>28885</v>
      </c>
      <c r="G1163" s="5" t="s">
        <v>28886</v>
      </c>
      <c r="H1163" s="26">
        <v>8</v>
      </c>
      <c r="I1163" s="5" t="s">
        <v>28887</v>
      </c>
      <c r="J1163" s="5" t="s">
        <v>373</v>
      </c>
      <c r="K1163" s="5" t="s">
        <v>344</v>
      </c>
      <c r="L1163" s="5" t="s">
        <v>28888</v>
      </c>
      <c r="M1163" s="27"/>
      <c r="N1163" s="5"/>
      <c r="O1163" s="5" t="str">
        <v>7805307809</v>
      </c>
      <c r="P1163" s="27">
        <v>10000</v>
      </c>
      <c r="Q1163" s="5" t="s">
        <v>50960</v>
      </c>
      <c r="R1163" s="5"/>
      <c r="S1163" s="5" t="s">
        <v>50961</v>
      </c>
      <c r="T1163" s="28">
        <v>2257000</v>
      </c>
      <c r="U1163" s="28"/>
      <c r="V1163" s="28">
        <v>2324652000</v>
      </c>
      <c r="W1163" s="28"/>
      <c r="X1163" s="28">
        <v>5539000</v>
      </c>
      <c r="Y1163" s="28">
        <v>2973191000</v>
      </c>
      <c r="Z1163" s="28">
        <v>1407600000</v>
      </c>
      <c r="AA1163" s="28">
        <v>87000000</v>
      </c>
      <c r="AB1163" s="28">
        <v>1091510000</v>
      </c>
      <c r="AC1163" s="28">
        <v>1478342000</v>
      </c>
      <c r="AD1163" s="28">
        <v>1407610000</v>
      </c>
      <c r="AE1163" s="28">
        <v>13450180000</v>
      </c>
      <c r="AF1163" s="28">
        <v>978076000</v>
      </c>
      <c r="AG1163" s="11"/>
    </row>
    <row r="1164">
      <c r="A1164" s="7" t="s">
        <v>2881</v>
      </c>
      <c r="B1164" s="5" t="s">
        <v>10871</v>
      </c>
      <c r="C1164" s="5" t="s">
        <v>18749</v>
      </c>
      <c r="D1164" s="5" t="str">
        <v>503102071345</v>
      </c>
      <c r="E1164" s="0" t="e">
        <f>+7 (495) 1358939
+7 (495) 6385058
+7 (499) 1358939</f>
        <v>#NAME?</v>
      </c>
      <c r="F1164" s="5" t="s">
        <v>28889</v>
      </c>
      <c r="G1164" s="5" t="s">
        <v>28890</v>
      </c>
      <c r="H1164" s="26">
        <v>16.5</v>
      </c>
      <c r="I1164" s="5" t="s">
        <v>28891</v>
      </c>
      <c r="J1164" s="5" t="s">
        <v>678</v>
      </c>
      <c r="K1164" s="5" t="s">
        <v>344</v>
      </c>
      <c r="L1164" s="5" t="s">
        <v>28892</v>
      </c>
      <c r="M1164" s="27"/>
      <c r="N1164" s="5" t="s">
        <v>50962</v>
      </c>
      <c r="O1164" s="5" t="str">
        <v>7736542220</v>
      </c>
      <c r="P1164" s="27">
        <v>100500</v>
      </c>
      <c r="Q1164" s="5" t="s">
        <v>50963</v>
      </c>
      <c r="R1164" s="5"/>
      <c r="S1164" s="5" t="s">
        <v>50964</v>
      </c>
      <c r="T1164" s="28">
        <v>10004000</v>
      </c>
      <c r="U1164" s="28"/>
      <c r="V1164" s="28">
        <v>468550000</v>
      </c>
      <c r="W1164" s="28">
        <v>3000000</v>
      </c>
      <c r="X1164" s="28">
        <v>128072000</v>
      </c>
      <c r="Y1164" s="28">
        <v>661658000</v>
      </c>
      <c r="Z1164" s="28">
        <v>66624000</v>
      </c>
      <c r="AA1164" s="28"/>
      <c r="AB1164" s="28"/>
      <c r="AC1164" s="28">
        <v>587084000</v>
      </c>
      <c r="AD1164" s="28">
        <v>66725000</v>
      </c>
      <c r="AE1164" s="28">
        <v>3055952000</v>
      </c>
      <c r="AF1164" s="28">
        <v>71882000</v>
      </c>
      <c r="AG1164" s="11"/>
    </row>
    <row r="1165">
      <c r="A1165" s="7" t="s">
        <v>2882</v>
      </c>
      <c r="B1165" s="5" t="s">
        <v>10872</v>
      </c>
      <c r="C1165" s="5" t="s">
        <v>18750</v>
      </c>
      <c r="D1165" s="5" t="str">
        <v>583501176502</v>
      </c>
      <c r="E1165" s="0" t="e">
        <f>+7 (84626) 9623
+7 (84627) 90780
+7 (84627) 90790
+7 (84699) 38354</f>
        <v>#NAME?</v>
      </c>
      <c r="F1165" s="5" t="s">
        <v>28893</v>
      </c>
      <c r="G1165" s="5"/>
      <c r="H1165" s="26">
        <v>16.5</v>
      </c>
      <c r="I1165" s="5" t="s">
        <v>28894</v>
      </c>
      <c r="J1165" s="5" t="s">
        <v>25429</v>
      </c>
      <c r="K1165" s="5" t="s">
        <v>344</v>
      </c>
      <c r="L1165" s="5"/>
      <c r="M1165" s="27"/>
      <c r="N1165" s="5"/>
      <c r="O1165" s="5" t="str">
        <v>6367052981</v>
      </c>
      <c r="P1165" s="27">
        <v>10000</v>
      </c>
      <c r="Q1165" s="5" t="s">
        <v>50965</v>
      </c>
      <c r="R1165" s="5"/>
      <c r="S1165" s="5" t="s">
        <v>50966</v>
      </c>
      <c r="T1165" s="28">
        <v>733039000</v>
      </c>
      <c r="U1165" s="28"/>
      <c r="V1165" s="28">
        <v>24920275000</v>
      </c>
      <c r="W1165" s="28"/>
      <c r="X1165" s="28">
        <v>4231264000</v>
      </c>
      <c r="Y1165" s="28">
        <v>35710919000</v>
      </c>
      <c r="Z1165" s="28">
        <v>14533557000</v>
      </c>
      <c r="AA1165" s="28">
        <v>2350000000</v>
      </c>
      <c r="AB1165" s="28">
        <v>658819000</v>
      </c>
      <c r="AC1165" s="28">
        <v>18003509000</v>
      </c>
      <c r="AD1165" s="28">
        <v>14533567000</v>
      </c>
      <c r="AE1165" s="28">
        <v>48762541000</v>
      </c>
      <c r="AF1165" s="28">
        <v>3652429000</v>
      </c>
      <c r="AG1165" s="11"/>
    </row>
    <row r="1166">
      <c r="A1166" s="7" t="s">
        <v>2883</v>
      </c>
      <c r="B1166" s="5" t="s">
        <v>10873</v>
      </c>
      <c r="C1166" s="5" t="s">
        <v>18751</v>
      </c>
      <c r="D1166" s="5" t="str">
        <v>632501421390</v>
      </c>
      <c r="E1166" s="0" t="e">
        <f>+7 (846) 9779000
+7 (84699) 77919</f>
        <v>#NAME?</v>
      </c>
      <c r="F1166" s="5" t="s">
        <v>28895</v>
      </c>
      <c r="G1166" s="5"/>
      <c r="H1166" s="26">
        <v>14.5</v>
      </c>
      <c r="I1166" s="5" t="s">
        <v>28896</v>
      </c>
      <c r="J1166" s="5" t="s">
        <v>25231</v>
      </c>
      <c r="K1166" s="5" t="s">
        <v>344</v>
      </c>
      <c r="L1166" s="5" t="s">
        <v>28897</v>
      </c>
      <c r="M1166" s="27"/>
      <c r="N1166" s="5"/>
      <c r="O1166" s="5" t="str">
        <v>7313005987</v>
      </c>
      <c r="P1166" s="27">
        <v>10000</v>
      </c>
      <c r="Q1166" s="5" t="s">
        <v>49009</v>
      </c>
      <c r="R1166" s="5"/>
      <c r="S1166" s="5" t="s">
        <v>50378</v>
      </c>
      <c r="T1166" s="28">
        <v>275256000</v>
      </c>
      <c r="U1166" s="28"/>
      <c r="V1166" s="28">
        <v>857701000</v>
      </c>
      <c r="W1166" s="28"/>
      <c r="X1166" s="28">
        <v>4313000</v>
      </c>
      <c r="Y1166" s="28">
        <v>1271689000</v>
      </c>
      <c r="Z1166" s="28">
        <v>497713000</v>
      </c>
      <c r="AA1166" s="28">
        <v>23670000</v>
      </c>
      <c r="AB1166" s="28">
        <v>400000000</v>
      </c>
      <c r="AC1166" s="28">
        <v>689625000</v>
      </c>
      <c r="AD1166" s="28">
        <v>497723000</v>
      </c>
      <c r="AE1166" s="28">
        <v>3349431000</v>
      </c>
      <c r="AF1166" s="28">
        <v>120260000</v>
      </c>
      <c r="AG1166" s="11"/>
    </row>
    <row r="1167">
      <c r="A1167" s="7" t="s">
        <v>2884</v>
      </c>
      <c r="B1167" s="5" t="s">
        <v>10874</v>
      </c>
      <c r="C1167" s="5" t="s">
        <v>18752</v>
      </c>
      <c r="D1167" s="5" t="str">
        <v>243601373532</v>
      </c>
      <c r="E1167" s="0" t="e">
        <f>+7 (391) 2913025
+7 (8432) 43031
+7 (8632) 195703
+7 (902) 6110577
+7 (908) 2127270
+7 (908) 6403422
+7 (912) 3289511
+7 (913) 5935111
+7 (913) 7003636
+7 (914) 5407273
+7 (917) 3976764
+7 (923) 3005070
+7 (924) 2055386
+7 (924) 4038057
+7 (938) 1031831</f>
        <v>#NAME?</v>
      </c>
      <c r="F1167" s="5"/>
      <c r="G1167" s="5" t="s">
        <v>28898</v>
      </c>
      <c r="H1167" s="26">
        <v>8.5</v>
      </c>
      <c r="I1167" s="5" t="s">
        <v>28899</v>
      </c>
      <c r="J1167" s="5" t="s">
        <v>678</v>
      </c>
      <c r="K1167" s="5" t="s">
        <v>344</v>
      </c>
      <c r="L1167" s="5" t="s">
        <v>28900</v>
      </c>
      <c r="M1167" s="27">
        <v>9301151</v>
      </c>
      <c r="N1167" s="5"/>
      <c r="O1167" s="5" t="str">
        <v>2463257198</v>
      </c>
      <c r="P1167" s="27">
        <v>15000</v>
      </c>
      <c r="Q1167" s="5" t="s">
        <v>49207</v>
      </c>
      <c r="R1167" s="5"/>
      <c r="S1167" s="5" t="s">
        <v>49311</v>
      </c>
      <c r="T1167" s="28">
        <v>83704000</v>
      </c>
      <c r="U1167" s="28"/>
      <c r="V1167" s="28">
        <v>3045605000</v>
      </c>
      <c r="W1167" s="28"/>
      <c r="X1167" s="28">
        <v>905000</v>
      </c>
      <c r="Y1167" s="28">
        <v>3688791000</v>
      </c>
      <c r="Z1167" s="28">
        <v>208658000</v>
      </c>
      <c r="AA1167" s="28"/>
      <c r="AB1167" s="28">
        <v>211226000</v>
      </c>
      <c r="AC1167" s="28">
        <v>3394523000</v>
      </c>
      <c r="AD1167" s="28">
        <v>208673000</v>
      </c>
      <c r="AE1167" s="28">
        <v>10886162000</v>
      </c>
      <c r="AF1167" s="28">
        <v>33325000</v>
      </c>
      <c r="AG1167" s="11"/>
    </row>
    <row r="1168">
      <c r="A1168" s="7" t="s">
        <v>2885</v>
      </c>
      <c r="B1168" s="5" t="s">
        <v>10875</v>
      </c>
      <c r="C1168" s="5" t="s">
        <v>18753</v>
      </c>
      <c r="D1168" s="5" t="str">
        <v>550716310993</v>
      </c>
      <c r="E1168" s="0" t="e">
        <f>+7 (499) 6540404
+7 (8622) 965541
+7 (915) 2328818
+7 (915) 2719962
+7 (916) 9834160
+7 (925) 393117
+7 (977) 7874069</f>
        <v>#NAME?</v>
      </c>
      <c r="F1168" s="5" t="s">
        <v>28901</v>
      </c>
      <c r="G1168" s="5" t="s">
        <v>28902</v>
      </c>
      <c r="H1168" s="26">
        <v>6.5</v>
      </c>
      <c r="I1168" s="5" t="s">
        <v>28903</v>
      </c>
      <c r="J1168" s="5" t="s">
        <v>25938</v>
      </c>
      <c r="K1168" s="5" t="s">
        <v>380</v>
      </c>
      <c r="L1168" s="5"/>
      <c r="M1168" s="27"/>
      <c r="N1168" s="5"/>
      <c r="O1168" s="5" t="str">
        <v>7751024015</v>
      </c>
      <c r="P1168" s="27">
        <v>12500</v>
      </c>
      <c r="Q1168" s="5"/>
      <c r="R1168" s="5"/>
      <c r="S1168" s="5" t="s">
        <v>49029</v>
      </c>
      <c r="T1168" s="28">
        <v>468000</v>
      </c>
      <c r="U1168" s="28"/>
      <c r="V1168" s="28">
        <v>880053000</v>
      </c>
      <c r="W1168" s="28"/>
      <c r="X1168" s="28">
        <v>134969000</v>
      </c>
      <c r="Y1168" s="28">
        <v>1143396000</v>
      </c>
      <c r="Z1168" s="28">
        <v>-481266000</v>
      </c>
      <c r="AA1168" s="28">
        <v>959000</v>
      </c>
      <c r="AB1168" s="28"/>
      <c r="AC1168" s="28">
        <v>1614743000</v>
      </c>
      <c r="AD1168" s="28">
        <v>-481253000</v>
      </c>
      <c r="AE1168" s="28">
        <v>3760700000</v>
      </c>
      <c r="AF1168" s="28">
        <v>-97711000</v>
      </c>
      <c r="AG1168" s="11"/>
    </row>
    <row r="1169">
      <c r="A1169" s="7" t="s">
        <v>2886</v>
      </c>
      <c r="B1169" s="5" t="s">
        <v>10876</v>
      </c>
      <c r="C1169" s="5" t="s">
        <v>18754</v>
      </c>
      <c r="D1169" s="5" t="str">
        <v>222105635747</v>
      </c>
      <c r="E1169" s="0" t="e">
        <f>+7 (391) 2220262
+7 (495) 3804319
+7 (495) 3891757
+7 (919) 1001637</f>
        <v>#NAME?</v>
      </c>
      <c r="F1169" s="5" t="s">
        <v>28904</v>
      </c>
      <c r="G1169" s="5"/>
      <c r="H1169" s="26">
        <v>13</v>
      </c>
      <c r="I1169" s="5" t="s">
        <v>28905</v>
      </c>
      <c r="J1169" s="5" t="s">
        <v>25429</v>
      </c>
      <c r="K1169" s="5" t="s">
        <v>344</v>
      </c>
      <c r="L1169" s="5" t="s">
        <v>28906</v>
      </c>
      <c r="M1169" s="27"/>
      <c r="N1169" s="5" t="s">
        <v>50967</v>
      </c>
      <c r="O1169" s="5" t="str">
        <v>7728732370</v>
      </c>
      <c r="P1169" s="27">
        <v>10000</v>
      </c>
      <c r="Q1169" s="5" t="s">
        <v>50968</v>
      </c>
      <c r="R1169" s="5"/>
      <c r="S1169" s="5" t="s">
        <v>50969</v>
      </c>
      <c r="T1169" s="28">
        <v>3614000</v>
      </c>
      <c r="U1169" s="28"/>
      <c r="V1169" s="28">
        <v>1012701000</v>
      </c>
      <c r="W1169" s="28"/>
      <c r="X1169" s="28">
        <v>97135000</v>
      </c>
      <c r="Y1169" s="28">
        <v>1505163000</v>
      </c>
      <c r="Z1169" s="28">
        <v>435875000</v>
      </c>
      <c r="AA1169" s="28"/>
      <c r="AB1169" s="28"/>
      <c r="AC1169" s="28">
        <v>1069263000</v>
      </c>
      <c r="AD1169" s="28">
        <v>435885000</v>
      </c>
      <c r="AE1169" s="28">
        <v>6199027000</v>
      </c>
      <c r="AF1169" s="28">
        <v>239407000</v>
      </c>
      <c r="AG1169" s="11"/>
    </row>
    <row r="1170">
      <c r="A1170" s="7" t="s">
        <v>2887</v>
      </c>
      <c r="B1170" s="5" t="s">
        <v>10877</v>
      </c>
      <c r="C1170" s="5" t="s">
        <v>18637</v>
      </c>
      <c r="D1170" s="5"/>
      <c r="E1170" s="0" t="e">
        <f>+7 (495) 1233770
+7 (861) 2384106
+7 (928) 2575151</f>
        <v>#NAME?</v>
      </c>
      <c r="F1170" s="5" t="s">
        <v>28907</v>
      </c>
      <c r="G1170" s="5" t="s">
        <v>28908</v>
      </c>
      <c r="H1170" s="26">
        <v>23</v>
      </c>
      <c r="I1170" s="5" t="s">
        <v>28909</v>
      </c>
      <c r="J1170" s="5" t="s">
        <v>25199</v>
      </c>
      <c r="K1170" s="5" t="s">
        <v>380</v>
      </c>
      <c r="L1170" s="5"/>
      <c r="M1170" s="27">
        <v>2520614</v>
      </c>
      <c r="N1170" s="5" t="s">
        <v>50970</v>
      </c>
      <c r="O1170" s="5" t="str">
        <v>7743001840</v>
      </c>
      <c r="P1170" s="27">
        <v>20013310</v>
      </c>
      <c r="Q1170" s="5" t="s">
        <v>50971</v>
      </c>
      <c r="R1170" s="5" t="s">
        <v>50804</v>
      </c>
      <c r="S1170" s="5" t="s">
        <v>50972</v>
      </c>
      <c r="T1170" s="28">
        <v>4557075000</v>
      </c>
      <c r="U1170" s="28">
        <v>266798829000</v>
      </c>
      <c r="V1170" s="28">
        <v>15847803000</v>
      </c>
      <c r="W1170" s="28">
        <v>10650064000</v>
      </c>
      <c r="X1170" s="28">
        <v>1404928000</v>
      </c>
      <c r="Y1170" s="28">
        <v>308411686000</v>
      </c>
      <c r="Z1170" s="28">
        <v>63797750000</v>
      </c>
      <c r="AA1170" s="28">
        <v>119780669000</v>
      </c>
      <c r="AB1170" s="28">
        <v>18050660000</v>
      </c>
      <c r="AC1170" s="28">
        <v>30813078000</v>
      </c>
      <c r="AD1170" s="28">
        <v>157817939000</v>
      </c>
      <c r="AE1170" s="28">
        <v>48436604000</v>
      </c>
      <c r="AF1170" s="28">
        <v>-8243576000</v>
      </c>
      <c r="AG1170" s="11"/>
    </row>
    <row r="1171">
      <c r="A1171" s="7" t="s">
        <v>2888</v>
      </c>
      <c r="B1171" s="5" t="s">
        <v>10878</v>
      </c>
      <c r="C1171" s="5" t="s">
        <v>18755</v>
      </c>
      <c r="D1171" s="5" t="str">
        <v>662005947386</v>
      </c>
      <c r="E1171" s="0" t="e">
        <f>+7 (343) 2525570
+7 (343) 2879301
+7 (495) 2525570
+7 (950) 2011102
+7 (343) 3118709
+7 (912) 2391367</f>
        <v>#NAME?</v>
      </c>
      <c r="F1171" s="5" t="s">
        <v>28910</v>
      </c>
      <c r="G1171" s="5"/>
      <c r="H1171" s="26">
        <v>12</v>
      </c>
      <c r="I1171" s="5" t="s">
        <v>28911</v>
      </c>
      <c r="J1171" s="5" t="s">
        <v>25429</v>
      </c>
      <c r="K1171" s="5" t="s">
        <v>344</v>
      </c>
      <c r="L1171" s="5" t="s">
        <v>28912</v>
      </c>
      <c r="M1171" s="27"/>
      <c r="N1171" s="5" t="s">
        <v>50973</v>
      </c>
      <c r="O1171" s="5" t="str">
        <v>6672338063</v>
      </c>
      <c r="P1171" s="27">
        <v>100000</v>
      </c>
      <c r="Q1171" s="5" t="s">
        <v>50974</v>
      </c>
      <c r="R1171" s="5"/>
      <c r="S1171" s="5" t="s">
        <v>50975</v>
      </c>
      <c r="T1171" s="28">
        <v>46371000</v>
      </c>
      <c r="U1171" s="28">
        <v>90000</v>
      </c>
      <c r="V1171" s="28">
        <v>170350000</v>
      </c>
      <c r="W1171" s="28">
        <v>45903000</v>
      </c>
      <c r="X1171" s="28">
        <v>42462000</v>
      </c>
      <c r="Y1171" s="28">
        <v>488764000</v>
      </c>
      <c r="Z1171" s="28">
        <v>286369000</v>
      </c>
      <c r="AA1171" s="28"/>
      <c r="AB1171" s="28"/>
      <c r="AC1171" s="28">
        <v>193363000</v>
      </c>
      <c r="AD1171" s="28">
        <v>286469000</v>
      </c>
      <c r="AE1171" s="28">
        <v>3239655000</v>
      </c>
      <c r="AF1171" s="28">
        <v>202172000</v>
      </c>
      <c r="AG1171" s="11"/>
    </row>
    <row r="1172">
      <c r="A1172" s="7" t="s">
        <v>2889</v>
      </c>
      <c r="B1172" s="5" t="s">
        <v>10879</v>
      </c>
      <c r="C1172" s="5" t="s">
        <v>18756</v>
      </c>
      <c r="D1172" s="5" t="str">
        <v>504207328416</v>
      </c>
      <c r="E1172" s="0" t="e">
        <f>+7 (495) 9602061
+7 (495) 9602062
+7 (495) 9602063
+7 (495) 9602064</f>
        <v>#NAME?</v>
      </c>
      <c r="F1172" s="5" t="s">
        <v>28913</v>
      </c>
      <c r="G1172" s="5" t="s">
        <v>28914</v>
      </c>
      <c r="H1172" s="26">
        <v>19</v>
      </c>
      <c r="I1172" s="5" t="s">
        <v>28915</v>
      </c>
      <c r="J1172" s="5" t="s">
        <v>25850</v>
      </c>
      <c r="K1172" s="5" t="s">
        <v>344</v>
      </c>
      <c r="L1172" s="5" t="s">
        <v>28916</v>
      </c>
      <c r="M1172" s="27"/>
      <c r="N1172" s="5"/>
      <c r="O1172" s="5" t="str">
        <v>7708525142</v>
      </c>
      <c r="P1172" s="27">
        <v>2031651817</v>
      </c>
      <c r="Q1172" s="5" t="s">
        <v>49059</v>
      </c>
      <c r="R1172" s="5"/>
      <c r="S1172" s="5" t="s">
        <v>49160</v>
      </c>
      <c r="T1172" s="28">
        <v>2389119000</v>
      </c>
      <c r="U1172" s="28">
        <v>66875000</v>
      </c>
      <c r="V1172" s="28">
        <v>11096817000</v>
      </c>
      <c r="W1172" s="28"/>
      <c r="X1172" s="28">
        <v>3816655000</v>
      </c>
      <c r="Y1172" s="28">
        <v>22253358000</v>
      </c>
      <c r="Z1172" s="28">
        <v>4345807000</v>
      </c>
      <c r="AA1172" s="28">
        <v>1914229000</v>
      </c>
      <c r="AB1172" s="28">
        <v>8980525000</v>
      </c>
      <c r="AC1172" s="28">
        <v>13888882000</v>
      </c>
      <c r="AD1172" s="28">
        <v>6398452000</v>
      </c>
      <c r="AE1172" s="28">
        <v>80748574000</v>
      </c>
      <c r="AF1172" s="28">
        <v>816580000</v>
      </c>
      <c r="AG1172" s="11"/>
    </row>
    <row r="1173">
      <c r="A1173" s="7" t="s">
        <v>2890</v>
      </c>
      <c r="B1173" s="5" t="s">
        <v>10880</v>
      </c>
      <c r="C1173" s="5" t="s">
        <v>18757</v>
      </c>
      <c r="D1173" s="5" t="str">
        <v>380807221864</v>
      </c>
      <c r="E1173" s="0" t="e">
        <f>+7 (950) 999839
+7 (950) 1369513
+7 (39561) 56055
+7 (39561) 56095
+7 (39561) 56100
+7 (39561) 56101
+7 (39561) 56116
+7 (39561) 56122
+7 (39561) 56150
+7 (39561) 56156
+7 (39561) 74100
+7 (39561) 76548
+7 (800) 2343320</f>
        <v>#NAME?</v>
      </c>
      <c r="F1173" s="5" t="s">
        <v>28917</v>
      </c>
      <c r="G1173" s="5" t="s">
        <v>28918</v>
      </c>
      <c r="H1173" s="26">
        <v>17</v>
      </c>
      <c r="I1173" s="5"/>
      <c r="J1173" s="5" t="s">
        <v>26623</v>
      </c>
      <c r="K1173" s="5" t="s">
        <v>344</v>
      </c>
      <c r="L1173" s="5" t="s">
        <v>28919</v>
      </c>
      <c r="M1173" s="27"/>
      <c r="N1173" s="5" t="s">
        <v>50976</v>
      </c>
      <c r="O1173" s="5" t="str">
        <v>3802010714</v>
      </c>
      <c r="P1173" s="27">
        <v>16000000</v>
      </c>
      <c r="Q1173" s="5" t="s">
        <v>49009</v>
      </c>
      <c r="R1173" s="5"/>
      <c r="S1173" s="5" t="s">
        <v>49120</v>
      </c>
      <c r="T1173" s="28">
        <v>27027000</v>
      </c>
      <c r="U1173" s="28">
        <v>357854000</v>
      </c>
      <c r="V1173" s="28">
        <v>1601426000</v>
      </c>
      <c r="W1173" s="28"/>
      <c r="X1173" s="28">
        <v>54719000</v>
      </c>
      <c r="Y1173" s="28">
        <v>2058020000</v>
      </c>
      <c r="Z1173" s="28">
        <v>887197000</v>
      </c>
      <c r="AA1173" s="28"/>
      <c r="AB1173" s="28"/>
      <c r="AC1173" s="28">
        <v>578033000</v>
      </c>
      <c r="AD1173" s="28">
        <v>1477597000</v>
      </c>
      <c r="AE1173" s="28">
        <v>8194691000</v>
      </c>
      <c r="AF1173" s="28">
        <v>45438000</v>
      </c>
      <c r="AG1173" s="11"/>
    </row>
    <row r="1174">
      <c r="A1174" s="7" t="s">
        <v>2891</v>
      </c>
      <c r="B1174" s="5" t="s">
        <v>10881</v>
      </c>
      <c r="C1174" s="5" t="s">
        <v>18758</v>
      </c>
      <c r="D1174" s="5" t="str">
        <v>770604711145</v>
      </c>
      <c r="E1174" s="0" t="e">
        <f>+7 (985) 2316601
+7 (499) 2691572
+7 (499) 3600455
+7 (499) 3690455
+7 (499) 3691572
+7 (916) 5853927
+7 (926) 3910904</f>
        <v>#NAME?</v>
      </c>
      <c r="F1174" s="5" t="s">
        <v>28920</v>
      </c>
      <c r="G1174" s="5" t="s">
        <v>28921</v>
      </c>
      <c r="H1174" s="26">
        <v>25.5</v>
      </c>
      <c r="I1174" s="5" t="s">
        <v>28922</v>
      </c>
      <c r="J1174" s="5" t="s">
        <v>585</v>
      </c>
      <c r="K1174" s="5" t="s">
        <v>344</v>
      </c>
      <c r="L1174" s="5" t="s">
        <v>28923</v>
      </c>
      <c r="M1174" s="27">
        <v>289388</v>
      </c>
      <c r="N1174" s="5" t="s">
        <v>50977</v>
      </c>
      <c r="O1174" s="5" t="str">
        <v>7704167591</v>
      </c>
      <c r="P1174" s="27">
        <v>20000</v>
      </c>
      <c r="Q1174" s="5" t="s">
        <v>50979</v>
      </c>
      <c r="R1174" s="5"/>
      <c r="S1174" s="5" t="s">
        <v>50980</v>
      </c>
      <c r="T1174" s="28">
        <v>359172000</v>
      </c>
      <c r="U1174" s="28"/>
      <c r="V1174" s="28">
        <v>475975000</v>
      </c>
      <c r="W1174" s="28"/>
      <c r="X1174" s="28">
        <v>965528000</v>
      </c>
      <c r="Y1174" s="28">
        <v>1823777000</v>
      </c>
      <c r="Z1174" s="28">
        <v>934783000</v>
      </c>
      <c r="AA1174" s="28"/>
      <c r="AB1174" s="28">
        <v>159697000</v>
      </c>
      <c r="AC1174" s="28">
        <v>871508000</v>
      </c>
      <c r="AD1174" s="28">
        <v>934803000</v>
      </c>
      <c r="AE1174" s="28">
        <v>4457847000</v>
      </c>
      <c r="AF1174" s="28">
        <v>368678000</v>
      </c>
      <c r="AG1174" s="11"/>
    </row>
    <row r="1175">
      <c r="A1175" s="7" t="s">
        <v>2892</v>
      </c>
      <c r="B1175" s="5" t="s">
        <v>10882</v>
      </c>
      <c r="C1175" s="5" t="s">
        <v>18759</v>
      </c>
      <c r="D1175" s="5" t="str">
        <v>771005279697</v>
      </c>
      <c r="F1175" s="5" t="s">
        <v>28924</v>
      </c>
      <c r="G1175" s="5" t="s">
        <v>28925</v>
      </c>
      <c r="H1175" s="26">
        <v>8</v>
      </c>
      <c r="I1175" s="5" t="s">
        <v>28926</v>
      </c>
      <c r="J1175" s="5" t="s">
        <v>28927</v>
      </c>
      <c r="K1175" s="5" t="s">
        <v>344</v>
      </c>
      <c r="L1175" s="5" t="s">
        <v>28928</v>
      </c>
      <c r="M1175" s="27"/>
      <c r="N1175" s="5" t="s">
        <v>50981</v>
      </c>
      <c r="O1175" s="5" t="str">
        <v>7710489501</v>
      </c>
      <c r="P1175" s="27">
        <v>10000</v>
      </c>
      <c r="Q1175" s="5" t="s">
        <v>49009</v>
      </c>
      <c r="R1175" s="5"/>
      <c r="S1175" s="5" t="s">
        <v>49020</v>
      </c>
      <c r="T1175" s="28">
        <v>4363000</v>
      </c>
      <c r="U1175" s="28"/>
      <c r="V1175" s="28">
        <v>1031469000</v>
      </c>
      <c r="W1175" s="28">
        <v>67300000</v>
      </c>
      <c r="X1175" s="28">
        <v>14571000</v>
      </c>
      <c r="Y1175" s="28">
        <v>1863396000</v>
      </c>
      <c r="Z1175" s="28">
        <v>1043508000</v>
      </c>
      <c r="AA1175" s="28"/>
      <c r="AB1175" s="28">
        <v>526713000</v>
      </c>
      <c r="AC1175" s="28">
        <v>819084000</v>
      </c>
      <c r="AD1175" s="28">
        <v>1043518000</v>
      </c>
      <c r="AE1175" s="28">
        <v>8523989000</v>
      </c>
      <c r="AF1175" s="28">
        <v>286111000</v>
      </c>
      <c r="AG1175" s="11"/>
    </row>
    <row r="1176">
      <c r="A1176" s="7" t="s">
        <v>2893</v>
      </c>
      <c r="B1176" s="5" t="s">
        <v>10883</v>
      </c>
      <c r="C1176" s="5" t="s">
        <v>18760</v>
      </c>
      <c r="D1176" s="5" t="str">
        <v>771909685565</v>
      </c>
      <c r="E1176" s="0" t="e">
        <f>+7 (495) 3632268
+7 (495) 5248913
+7 (495) 3611041
+7 (495) 3632286
+7 (495) 3632289</f>
        <v>#NAME?</v>
      </c>
      <c r="F1176" s="5" t="s">
        <v>28929</v>
      </c>
      <c r="G1176" s="5" t="s">
        <v>28930</v>
      </c>
      <c r="H1176" s="26">
        <v>17.5</v>
      </c>
      <c r="I1176" s="5" t="s">
        <v>28931</v>
      </c>
      <c r="J1176" s="5" t="s">
        <v>25429</v>
      </c>
      <c r="K1176" s="5" t="s">
        <v>344</v>
      </c>
      <c r="L1176" s="5"/>
      <c r="M1176" s="27">
        <v>4947318</v>
      </c>
      <c r="N1176" s="5" t="s">
        <v>50982</v>
      </c>
      <c r="O1176" s="5" t="str">
        <v>7713569466</v>
      </c>
      <c r="P1176" s="27">
        <v>10000</v>
      </c>
      <c r="Q1176" s="5" t="s">
        <v>50983</v>
      </c>
      <c r="R1176" s="5"/>
      <c r="S1176" s="5" t="s">
        <v>49204</v>
      </c>
      <c r="T1176" s="28">
        <v>16511000</v>
      </c>
      <c r="U1176" s="28"/>
      <c r="V1176" s="28">
        <v>861823000</v>
      </c>
      <c r="W1176" s="28">
        <v>361100000</v>
      </c>
      <c r="X1176" s="28">
        <v>106458000</v>
      </c>
      <c r="Y1176" s="28">
        <v>2252997000</v>
      </c>
      <c r="Z1176" s="28">
        <v>1543695000</v>
      </c>
      <c r="AA1176" s="28">
        <v>30000000</v>
      </c>
      <c r="AB1176" s="28">
        <v>2357000</v>
      </c>
      <c r="AC1176" s="28">
        <v>678600000</v>
      </c>
      <c r="AD1176" s="28">
        <v>1544215000</v>
      </c>
      <c r="AE1176" s="28">
        <v>10489130000</v>
      </c>
      <c r="AF1176" s="28">
        <v>160666000</v>
      </c>
      <c r="AG1176" s="11"/>
    </row>
    <row r="1177">
      <c r="A1177" s="7" t="s">
        <v>2894</v>
      </c>
      <c r="B1177" s="5" t="s">
        <v>10884</v>
      </c>
      <c r="C1177" s="5" t="s">
        <v>18761</v>
      </c>
      <c r="D1177" s="5" t="str">
        <v>410118227797</v>
      </c>
      <c r="E1177" s="0" t="e">
        <f>+7 (415) 2280538
+7 (415) 2280531
+7 (415) 2280748
+7 (909) 8904090
+7 (914) 200011
+7 (914) 203434
+7 (916) 9551258
+7 (962) 2826049</f>
        <v>#NAME?</v>
      </c>
      <c r="F1177" s="5" t="s">
        <v>28932</v>
      </c>
      <c r="G1177" s="5" t="s">
        <v>28933</v>
      </c>
      <c r="H1177" s="26">
        <v>26</v>
      </c>
      <c r="I1177" s="5" t="s">
        <v>28934</v>
      </c>
      <c r="J1177" s="5" t="s">
        <v>28935</v>
      </c>
      <c r="K1177" s="5" t="s">
        <v>344</v>
      </c>
      <c r="L1177" s="5" t="s">
        <v>28936</v>
      </c>
      <c r="M1177" s="27">
        <v>1978030610</v>
      </c>
      <c r="N1177" s="5" t="s">
        <v>50984</v>
      </c>
      <c r="O1177" s="5" t="str">
        <v>4101081250</v>
      </c>
      <c r="P1177" s="27">
        <v>310000</v>
      </c>
      <c r="Q1177" s="5" t="s">
        <v>49009</v>
      </c>
      <c r="R1177" s="5" t="s">
        <v>50985</v>
      </c>
      <c r="S1177" s="5" t="s">
        <v>49045</v>
      </c>
      <c r="T1177" s="28">
        <v>1214483000</v>
      </c>
      <c r="U1177" s="28"/>
      <c r="V1177" s="28">
        <v>242608000</v>
      </c>
      <c r="W1177" s="28"/>
      <c r="X1177" s="28">
        <v>208193000</v>
      </c>
      <c r="Y1177" s="28">
        <v>2059312000</v>
      </c>
      <c r="Z1177" s="28">
        <v>1162187000</v>
      </c>
      <c r="AA1177" s="28">
        <v>576922000</v>
      </c>
      <c r="AB1177" s="28">
        <v>1480000</v>
      </c>
      <c r="AC1177" s="28">
        <v>306125000</v>
      </c>
      <c r="AD1177" s="28">
        <v>1171654000</v>
      </c>
      <c r="AE1177" s="28">
        <v>3228166000</v>
      </c>
      <c r="AF1177" s="28">
        <v>767632000</v>
      </c>
      <c r="AG1177" s="11"/>
    </row>
    <row r="1178">
      <c r="A1178" s="7" t="s">
        <v>2895</v>
      </c>
      <c r="B1178" s="5" t="s">
        <v>10885</v>
      </c>
      <c r="C1178" s="5" t="s">
        <v>18762</v>
      </c>
      <c r="D1178" s="5" t="str">
        <v>545310747792</v>
      </c>
      <c r="E1178" s="0" t="e">
        <f>+7 (812) 6556493</f>
        <v>#NAME?</v>
      </c>
      <c r="F1178" s="5" t="s">
        <v>28937</v>
      </c>
      <c r="G1178" s="5"/>
      <c r="H1178" s="26">
        <v>8</v>
      </c>
      <c r="I1178" s="5" t="s">
        <v>28938</v>
      </c>
      <c r="J1178" s="5" t="s">
        <v>678</v>
      </c>
      <c r="K1178" s="5" t="s">
        <v>344</v>
      </c>
      <c r="L1178" s="5" t="s">
        <v>28939</v>
      </c>
      <c r="M1178" s="27"/>
      <c r="N1178" s="5"/>
      <c r="O1178" s="5" t="str">
        <v>7806074427</v>
      </c>
      <c r="P1178" s="27">
        <v>10000</v>
      </c>
      <c r="Q1178" s="5" t="s">
        <v>49009</v>
      </c>
      <c r="R1178" s="5"/>
      <c r="S1178" s="5" t="s">
        <v>49010</v>
      </c>
      <c r="T1178" s="28">
        <v>99050000</v>
      </c>
      <c r="U1178" s="28"/>
      <c r="V1178" s="28">
        <v>776240000</v>
      </c>
      <c r="W1178" s="28"/>
      <c r="X1178" s="28">
        <v>16608000</v>
      </c>
      <c r="Y1178" s="28">
        <v>1904539000</v>
      </c>
      <c r="Z1178" s="28">
        <v>62414000</v>
      </c>
      <c r="AA1178" s="28"/>
      <c r="AB1178" s="28"/>
      <c r="AC1178" s="28">
        <v>1748452000</v>
      </c>
      <c r="AD1178" s="28">
        <v>62424000</v>
      </c>
      <c r="AE1178" s="28">
        <v>5874523000</v>
      </c>
      <c r="AF1178" s="28">
        <v>-589817000</v>
      </c>
      <c r="AG1178" s="11"/>
    </row>
    <row r="1179">
      <c r="A1179" s="7" t="s">
        <v>2896</v>
      </c>
      <c r="B1179" s="5" t="s">
        <v>10886</v>
      </c>
      <c r="C1179" s="5" t="s">
        <v>18763</v>
      </c>
      <c r="D1179" s="5" t="str">
        <v>740900519932</v>
      </c>
      <c r="E1179" s="0" t="e">
        <f>+7 (35149) 34122
+7 (35149) 34137
+7 (35149) 34138
+7 (35149) 34180
+7 (35149) 34221
+7 (35149) 34290</f>
        <v>#NAME?</v>
      </c>
      <c r="F1179" s="5" t="s">
        <v>28940</v>
      </c>
      <c r="G1179" s="5" t="s">
        <v>28941</v>
      </c>
      <c r="H1179" s="26">
        <v>29.5</v>
      </c>
      <c r="I1179" s="5"/>
      <c r="J1179" s="5" t="s">
        <v>26596</v>
      </c>
      <c r="K1179" s="5" t="s">
        <v>344</v>
      </c>
      <c r="L1179" s="5" t="s">
        <v>28942</v>
      </c>
      <c r="M1179" s="27"/>
      <c r="N1179" s="5" t="s">
        <v>50986</v>
      </c>
      <c r="O1179" s="5" t="str">
        <v>7409000147</v>
      </c>
      <c r="P1179" s="27">
        <v>34280</v>
      </c>
      <c r="Q1179" s="5" t="s">
        <v>49009</v>
      </c>
      <c r="R1179" s="5"/>
      <c r="S1179" s="5" t="s">
        <v>50987</v>
      </c>
      <c r="T1179" s="28">
        <v>419383000</v>
      </c>
      <c r="U1179" s="28">
        <v>60000</v>
      </c>
      <c r="V1179" s="28">
        <v>353126000</v>
      </c>
      <c r="W1179" s="28"/>
      <c r="X1179" s="28">
        <v>608072000</v>
      </c>
      <c r="Y1179" s="28">
        <v>1801146000</v>
      </c>
      <c r="Z1179" s="28">
        <v>1170403000</v>
      </c>
      <c r="AA1179" s="28"/>
      <c r="AB1179" s="28"/>
      <c r="AC1179" s="28">
        <v>201816000</v>
      </c>
      <c r="AD1179" s="28">
        <v>1599330000</v>
      </c>
      <c r="AE1179" s="28">
        <v>3300714000</v>
      </c>
      <c r="AF1179" s="28">
        <v>687209000</v>
      </c>
      <c r="AG1179" s="11"/>
    </row>
    <row r="1180">
      <c r="A1180" s="7" t="s">
        <v>2897</v>
      </c>
      <c r="B1180" s="5" t="s">
        <v>10887</v>
      </c>
      <c r="C1180" s="5" t="s">
        <v>18637</v>
      </c>
      <c r="D1180" s="5"/>
      <c r="E1180" s="0" t="e">
        <f>+7 (985) 7650606</f>
        <v>#NAME?</v>
      </c>
      <c r="F1180" s="5" t="s">
        <v>28943</v>
      </c>
      <c r="G1180" s="5"/>
      <c r="H1180" s="26">
        <v>5.5</v>
      </c>
      <c r="I1180" s="5" t="s">
        <v>28944</v>
      </c>
      <c r="J1180" s="5" t="s">
        <v>881</v>
      </c>
      <c r="K1180" s="5" t="s">
        <v>344</v>
      </c>
      <c r="L1180" s="5" t="s">
        <v>28945</v>
      </c>
      <c r="M1180" s="27"/>
      <c r="N1180" s="5" t="s">
        <v>50988</v>
      </c>
      <c r="O1180" s="5" t="str">
        <v>7714415613</v>
      </c>
      <c r="P1180" s="27">
        <v>110000</v>
      </c>
      <c r="Q1180" s="5" t="s">
        <v>50989</v>
      </c>
      <c r="R1180" s="5" t="s">
        <v>50990</v>
      </c>
      <c r="S1180" s="5" t="s">
        <v>50122</v>
      </c>
      <c r="T1180" s="28">
        <v>14079000</v>
      </c>
      <c r="U1180" s="28"/>
      <c r="V1180" s="28">
        <v>2778151000</v>
      </c>
      <c r="W1180" s="28">
        <v>429725000</v>
      </c>
      <c r="X1180" s="28">
        <v>289107000</v>
      </c>
      <c r="Y1180" s="28">
        <v>4628442000</v>
      </c>
      <c r="Z1180" s="28">
        <v>1723620000</v>
      </c>
      <c r="AA1180" s="28"/>
      <c r="AB1180" s="28">
        <v>1925000000</v>
      </c>
      <c r="AC1180" s="28">
        <v>2874712000</v>
      </c>
      <c r="AD1180" s="28">
        <v>1753730000</v>
      </c>
      <c r="AE1180" s="28">
        <v>4993898000</v>
      </c>
      <c r="AF1180" s="28">
        <v>1071164000</v>
      </c>
      <c r="AG1180" s="11"/>
    </row>
    <row r="1181">
      <c r="A1181" s="7" t="s">
        <v>2898</v>
      </c>
      <c r="B1181" s="5" t="s">
        <v>10888</v>
      </c>
      <c r="C1181" s="5" t="s">
        <v>18764</v>
      </c>
      <c r="D1181" s="5" t="str">
        <v>771313495220</v>
      </c>
      <c r="E1181" s="0" t="e">
        <f>+7 (495) 5614044
+7 (495) 5614055
+7 (495) 5614455
+7 (495) 5614500
+7 (495) 5949932</f>
        <v>#NAME?</v>
      </c>
      <c r="F1181" s="5" t="s">
        <v>28946</v>
      </c>
      <c r="G1181" s="5"/>
      <c r="H1181" s="26">
        <v>19.5</v>
      </c>
      <c r="I1181" s="5" t="s">
        <v>28947</v>
      </c>
      <c r="J1181" s="5" t="s">
        <v>26503</v>
      </c>
      <c r="K1181" s="5" t="s">
        <v>355</v>
      </c>
      <c r="L1181" s="5"/>
      <c r="M1181" s="27"/>
      <c r="N1181" s="5"/>
      <c r="O1181" s="5" t="str">
        <v>5024059130</v>
      </c>
      <c r="P1181" s="27">
        <v>80000000</v>
      </c>
      <c r="Q1181" s="5" t="s">
        <v>447</v>
      </c>
      <c r="R1181" s="5"/>
      <c r="S1181" s="5" t="s">
        <v>50991</v>
      </c>
      <c r="T1181" s="28">
        <v>505340000</v>
      </c>
      <c r="U1181" s="28"/>
      <c r="V1181" s="28">
        <v>2928004000</v>
      </c>
      <c r="W1181" s="28">
        <v>33012000</v>
      </c>
      <c r="X1181" s="28">
        <v>948000</v>
      </c>
      <c r="Y1181" s="28">
        <v>3997011000</v>
      </c>
      <c r="Z1181" s="28">
        <v>263210000</v>
      </c>
      <c r="AA1181" s="28">
        <v>277407000</v>
      </c>
      <c r="AB1181" s="28">
        <v>129222000</v>
      </c>
      <c r="AC1181" s="28">
        <v>3376394000</v>
      </c>
      <c r="AD1181" s="28">
        <v>343210000</v>
      </c>
      <c r="AE1181" s="28">
        <v>3767852000</v>
      </c>
      <c r="AF1181" s="28">
        <v>84156000</v>
      </c>
      <c r="AG1181" s="11"/>
    </row>
    <row r="1182">
      <c r="A1182" s="7" t="s">
        <v>2899</v>
      </c>
      <c r="B1182" s="5" t="s">
        <v>10889</v>
      </c>
      <c r="C1182" s="5" t="s">
        <v>18765</v>
      </c>
      <c r="D1182" s="5" t="str">
        <v>344801063074</v>
      </c>
      <c r="E1182" s="0" t="e">
        <f>+7 (844) 2476471
+7 (3472) 934315
+7 (391) 2410941
+7 (473) 2801640
+7 (473) 2801650
+7 (83141) 58668
+7 (844) 2476195
+7 (844) 2476196
+7 (844) 2476225
+7 (844) 2476321
+7 (844) 2476402
+7 (844) 2476409
+7 (844) 2476444
+7 (844) 2476456
+7 (844) 2476470</f>
        <v>#NAME?</v>
      </c>
      <c r="F1182" s="5" t="s">
        <v>28948</v>
      </c>
      <c r="G1182" s="5" t="s">
        <v>28949</v>
      </c>
      <c r="H1182" s="26">
        <v>30</v>
      </c>
      <c r="I1182" s="5"/>
      <c r="J1182" s="5" t="s">
        <v>28950</v>
      </c>
      <c r="K1182" s="5" t="s">
        <v>344</v>
      </c>
      <c r="L1182" s="5" t="s">
        <v>28951</v>
      </c>
      <c r="M1182" s="27">
        <v>3472973</v>
      </c>
      <c r="N1182" s="5"/>
      <c r="O1182" s="5" t="str">
        <v>3448004050</v>
      </c>
      <c r="P1182" s="27">
        <v>66500</v>
      </c>
      <c r="Q1182" s="5" t="s">
        <v>49009</v>
      </c>
      <c r="R1182" s="5"/>
      <c r="S1182" s="5" t="s">
        <v>49066</v>
      </c>
      <c r="T1182" s="28">
        <v>1161342000</v>
      </c>
      <c r="U1182" s="28">
        <v>99532000</v>
      </c>
      <c r="V1182" s="28">
        <v>2140145000</v>
      </c>
      <c r="W1182" s="28"/>
      <c r="X1182" s="28">
        <v>31975000</v>
      </c>
      <c r="Y1182" s="28">
        <v>4722553000</v>
      </c>
      <c r="Z1182" s="28">
        <v>2629247000</v>
      </c>
      <c r="AA1182" s="28">
        <v>1346339000</v>
      </c>
      <c r="AB1182" s="28"/>
      <c r="AC1182" s="28">
        <v>695264000</v>
      </c>
      <c r="AD1182" s="28">
        <v>2674812000</v>
      </c>
      <c r="AE1182" s="28">
        <v>5577678000</v>
      </c>
      <c r="AF1182" s="28">
        <v>574888000</v>
      </c>
      <c r="AG1182" s="11"/>
    </row>
    <row r="1183">
      <c r="A1183" s="7" t="s">
        <v>2900</v>
      </c>
      <c r="B1183" s="5" t="s">
        <v>10890</v>
      </c>
      <c r="C1183" s="5" t="s">
        <v>18766</v>
      </c>
      <c r="D1183" s="5" t="str">
        <v>312831800886</v>
      </c>
      <c r="E1183" s="0" t="e">
        <f>+7 (4725) 469407
+7 (4725) 233446
+7 (4725) 233450
+7 (4725) 469265
+7 (4725) 469268
+7 (4725) 469273
+7 (4725) 469315
+7 (4725) 469441
+7 (909) 2093013
+7 (915) 5289174</f>
        <v>#NAME?</v>
      </c>
      <c r="F1183" s="5" t="s">
        <v>28952</v>
      </c>
      <c r="G1183" s="5"/>
      <c r="H1183" s="26">
        <v>17.5</v>
      </c>
      <c r="I1183" s="5" t="s">
        <v>28953</v>
      </c>
      <c r="J1183" s="5" t="s">
        <v>28954</v>
      </c>
      <c r="K1183" s="5" t="s">
        <v>344</v>
      </c>
      <c r="L1183" s="5" t="s">
        <v>28955</v>
      </c>
      <c r="M1183" s="27">
        <v>1802584</v>
      </c>
      <c r="N1183" s="5" t="s">
        <v>50993</v>
      </c>
      <c r="O1183" s="5" t="str">
        <v>3128051734</v>
      </c>
      <c r="P1183" s="27">
        <v>81320000</v>
      </c>
      <c r="Q1183" s="5" t="s">
        <v>50994</v>
      </c>
      <c r="R1183" s="5"/>
      <c r="S1183" s="5" t="s">
        <v>50995</v>
      </c>
      <c r="T1183" s="28">
        <v>755860000</v>
      </c>
      <c r="U1183" s="28"/>
      <c r="V1183" s="28">
        <v>426134000</v>
      </c>
      <c r="W1183" s="28">
        <v>238000000</v>
      </c>
      <c r="X1183" s="28">
        <v>7411000</v>
      </c>
      <c r="Y1183" s="28">
        <v>2160583000</v>
      </c>
      <c r="Z1183" s="28">
        <v>226136000</v>
      </c>
      <c r="AA1183" s="28">
        <v>1003000000</v>
      </c>
      <c r="AB1183" s="28">
        <v>320132000</v>
      </c>
      <c r="AC1183" s="28">
        <v>829030000</v>
      </c>
      <c r="AD1183" s="28">
        <v>307456000</v>
      </c>
      <c r="AE1183" s="28">
        <v>12470271000</v>
      </c>
      <c r="AF1183" s="28">
        <v>443058000</v>
      </c>
      <c r="AG1183" s="11"/>
    </row>
    <row r="1184">
      <c r="A1184" s="7" t="s">
        <v>2901</v>
      </c>
      <c r="B1184" s="5" t="s">
        <v>10891</v>
      </c>
      <c r="C1184" s="5" t="s">
        <v>18767</v>
      </c>
      <c r="D1184" s="5" t="str">
        <v>773412603342</v>
      </c>
      <c r="E1184" s="0" t="e">
        <f>+7 (495) 6623919
+7 (495) 6638602
+7 (495) 9811345
+7 (916) 875255
+7 (925) 5894049
+7 (925) 7861169</f>
        <v>#NAME?</v>
      </c>
      <c r="F1184" s="5" t="s">
        <v>28956</v>
      </c>
      <c r="G1184" s="5"/>
      <c r="H1184" s="26">
        <v>11</v>
      </c>
      <c r="I1184" s="5"/>
      <c r="J1184" s="5" t="s">
        <v>25219</v>
      </c>
      <c r="K1184" s="5" t="s">
        <v>344</v>
      </c>
      <c r="L1184" s="5"/>
      <c r="M1184" s="27">
        <v>9501935</v>
      </c>
      <c r="N1184" s="5" t="s">
        <v>50996</v>
      </c>
      <c r="O1184" s="5" t="str">
        <v>7734443270</v>
      </c>
      <c r="P1184" s="27">
        <v>200000000</v>
      </c>
      <c r="Q1184" s="5" t="s">
        <v>49059</v>
      </c>
      <c r="R1184" s="5" t="s">
        <v>50997</v>
      </c>
      <c r="S1184" s="5" t="s">
        <v>49120</v>
      </c>
      <c r="T1184" s="28">
        <v>55198967000</v>
      </c>
      <c r="U1184" s="28">
        <v>132719000</v>
      </c>
      <c r="V1184" s="28">
        <v>2684501000</v>
      </c>
      <c r="W1184" s="28">
        <v>6264640000</v>
      </c>
      <c r="X1184" s="28">
        <v>2464944000</v>
      </c>
      <c r="Y1184" s="28">
        <v>87457672000</v>
      </c>
      <c r="Z1184" s="28">
        <v>2652579000</v>
      </c>
      <c r="AA1184" s="28">
        <v>657563000</v>
      </c>
      <c r="AB1184" s="28"/>
      <c r="AC1184" s="28">
        <v>25196270000</v>
      </c>
      <c r="AD1184" s="28">
        <v>7189678000</v>
      </c>
      <c r="AE1184" s="28">
        <v>203394800000</v>
      </c>
      <c r="AF1184" s="28">
        <v>3098599000</v>
      </c>
      <c r="AG1184" s="11"/>
    </row>
    <row r="1185">
      <c r="A1185" s="7" t="s">
        <v>2902</v>
      </c>
      <c r="B1185" s="5" t="s">
        <v>10892</v>
      </c>
      <c r="C1185" s="5" t="s">
        <v>18768</v>
      </c>
      <c r="D1185" s="5" t="str">
        <v>344400166322</v>
      </c>
      <c r="E1185" s="0" t="e">
        <f>+7 (926) 2896015</f>
        <v>#NAME?</v>
      </c>
      <c r="F1185" s="5" t="s">
        <v>28957</v>
      </c>
      <c r="G1185" s="5"/>
      <c r="H1185" s="26">
        <v>7</v>
      </c>
      <c r="I1185" s="5" t="s">
        <v>28958</v>
      </c>
      <c r="J1185" s="5" t="s">
        <v>27890</v>
      </c>
      <c r="K1185" s="5" t="s">
        <v>344</v>
      </c>
      <c r="L1185" s="5" t="s">
        <v>28959</v>
      </c>
      <c r="M1185" s="27"/>
      <c r="N1185" s="5"/>
      <c r="O1185" s="5" t="str">
        <v>9715249497</v>
      </c>
      <c r="P1185" s="27">
        <v>20000</v>
      </c>
      <c r="Q1185" s="5"/>
      <c r="R1185" s="5" t="s">
        <v>50998</v>
      </c>
      <c r="S1185" s="5" t="s">
        <v>49029</v>
      </c>
      <c r="T1185" s="28">
        <v>259147000</v>
      </c>
      <c r="U1185" s="28"/>
      <c r="V1185" s="28">
        <v>1323718000</v>
      </c>
      <c r="W1185" s="28">
        <v>2000000</v>
      </c>
      <c r="X1185" s="28">
        <v>16924000</v>
      </c>
      <c r="Y1185" s="28">
        <v>3648416000</v>
      </c>
      <c r="Z1185" s="28">
        <v>800882000</v>
      </c>
      <c r="AA1185" s="28">
        <v>1327642000</v>
      </c>
      <c r="AB1185" s="28">
        <v>204238000</v>
      </c>
      <c r="AC1185" s="28">
        <v>1518890000</v>
      </c>
      <c r="AD1185" s="28">
        <v>810783000</v>
      </c>
      <c r="AE1185" s="28">
        <v>4889566000</v>
      </c>
      <c r="AF1185" s="28">
        <v>407070000</v>
      </c>
      <c r="AG1185" s="11"/>
    </row>
    <row r="1186">
      <c r="A1186" s="7" t="s">
        <v>2903</v>
      </c>
      <c r="B1186" s="5" t="s">
        <v>10893</v>
      </c>
      <c r="C1186" s="5" t="s">
        <v>18769</v>
      </c>
      <c r="D1186" s="5" t="str">
        <v>163202876566</v>
      </c>
      <c r="F1186" s="5"/>
      <c r="G1186" s="5"/>
      <c r="H1186" s="26">
        <v>3</v>
      </c>
      <c r="I1186" s="5" t="s">
        <v>28960</v>
      </c>
      <c r="J1186" s="5" t="s">
        <v>25219</v>
      </c>
      <c r="K1186" s="5" t="s">
        <v>344</v>
      </c>
      <c r="L1186" s="5"/>
      <c r="M1186" s="27"/>
      <c r="N1186" s="5"/>
      <c r="O1186" s="5" t="str">
        <v>4703175097</v>
      </c>
      <c r="P1186" s="27">
        <v>1000000</v>
      </c>
      <c r="Q1186" s="5"/>
      <c r="R1186" s="5"/>
      <c r="S1186" s="5" t="s">
        <v>49029</v>
      </c>
      <c r="T1186" s="28">
        <v>3086644000</v>
      </c>
      <c r="U1186" s="28"/>
      <c r="V1186" s="28">
        <v>110497000</v>
      </c>
      <c r="W1186" s="28"/>
      <c r="X1186" s="28">
        <v>60089000</v>
      </c>
      <c r="Y1186" s="28">
        <v>5080789000</v>
      </c>
      <c r="Z1186" s="28">
        <v>-114699000</v>
      </c>
      <c r="AA1186" s="28">
        <v>799816000</v>
      </c>
      <c r="AB1186" s="28">
        <v>856000</v>
      </c>
      <c r="AC1186" s="28">
        <v>495426000</v>
      </c>
      <c r="AD1186" s="28">
        <v>-113699000</v>
      </c>
      <c r="AE1186" s="28">
        <v>3689376000</v>
      </c>
      <c r="AF1186" s="28">
        <v>-107767000</v>
      </c>
      <c r="AG1186" s="11"/>
    </row>
    <row r="1187">
      <c r="A1187" s="7" t="s">
        <v>2904</v>
      </c>
      <c r="B1187" s="5" t="s">
        <v>10894</v>
      </c>
      <c r="C1187" s="5" t="s">
        <v>18770</v>
      </c>
      <c r="D1187" s="5" t="str">
        <v>332900430159</v>
      </c>
      <c r="E1187" s="0" t="e">
        <f>+7 (492) 2373555
+7 (492) 2449204
+7 (492) 2779143
+7 (492) 2779146
+7 (492) 2779149
+7 (49254) 32857
+7 (49254) 36393
+7 (903) 6473319</f>
        <v>#NAME?</v>
      </c>
      <c r="F1187" s="5" t="s">
        <v>28961</v>
      </c>
      <c r="G1187" s="5" t="s">
        <v>28962</v>
      </c>
      <c r="H1187" s="26">
        <v>12</v>
      </c>
      <c r="I1187" s="5" t="s">
        <v>28963</v>
      </c>
      <c r="J1187" s="5" t="s">
        <v>28964</v>
      </c>
      <c r="K1187" s="5" t="s">
        <v>344</v>
      </c>
      <c r="L1187" s="5"/>
      <c r="M1187" s="27">
        <v>38802669</v>
      </c>
      <c r="N1187" s="5"/>
      <c r="O1187" s="5" t="str">
        <v>3308006635</v>
      </c>
      <c r="P1187" s="27">
        <v>10000</v>
      </c>
      <c r="Q1187" s="5" t="s">
        <v>49009</v>
      </c>
      <c r="R1187" s="5"/>
      <c r="S1187" s="5" t="s">
        <v>49066</v>
      </c>
      <c r="T1187" s="28">
        <v>3297863000</v>
      </c>
      <c r="U1187" s="28">
        <v>358773000</v>
      </c>
      <c r="V1187" s="28">
        <v>2310329000</v>
      </c>
      <c r="W1187" s="28"/>
      <c r="X1187" s="28">
        <v>46177000</v>
      </c>
      <c r="Y1187" s="28">
        <v>7486824000</v>
      </c>
      <c r="Z1187" s="28">
        <v>4015480000</v>
      </c>
      <c r="AA1187" s="28">
        <v>586570000</v>
      </c>
      <c r="AB1187" s="28">
        <v>933685000</v>
      </c>
      <c r="AC1187" s="28">
        <v>2819793000</v>
      </c>
      <c r="AD1187" s="28">
        <v>4015490000</v>
      </c>
      <c r="AE1187" s="28">
        <v>16841247000</v>
      </c>
      <c r="AF1187" s="28">
        <v>1136411000</v>
      </c>
      <c r="AG1187" s="11"/>
    </row>
    <row r="1188">
      <c r="A1188" s="7" t="s">
        <v>2905</v>
      </c>
      <c r="B1188" s="5" t="s">
        <v>10895</v>
      </c>
      <c r="C1188" s="5" t="s">
        <v>18771</v>
      </c>
      <c r="D1188" s="5" t="str">
        <v>332501970650</v>
      </c>
      <c r="E1188" s="0" t="e">
        <f>+7 (47236) 25551
+7 (492) 2212194
+7 (492) 2221580
+7 (492) 2326166
+7 (492) 2326584
+7 (492) 2329685
+7 (492) 2332001
+7 (492) 2335698
+7 (492) 2335892
+7 (492) 2335992
+7 (492) 2336892
+7 (492) 2353430
+7 (492) 2359879
+7 (48234) 31814
+7 (492) 2330303</f>
        <v>#NAME?</v>
      </c>
      <c r="F1188" s="5" t="s">
        <v>28965</v>
      </c>
      <c r="G1188" s="5" t="s">
        <v>28966</v>
      </c>
      <c r="H1188" s="26">
        <v>22</v>
      </c>
      <c r="I1188" s="5" t="s">
        <v>28967</v>
      </c>
      <c r="J1188" s="5" t="s">
        <v>28968</v>
      </c>
      <c r="K1188" s="5" t="s">
        <v>355</v>
      </c>
      <c r="L1188" s="5"/>
      <c r="M1188" s="27">
        <v>48423784</v>
      </c>
      <c r="N1188" s="5" t="s">
        <v>51000</v>
      </c>
      <c r="O1188" s="5" t="str">
        <v>3310003494</v>
      </c>
      <c r="P1188" s="27">
        <v>26265000</v>
      </c>
      <c r="Q1188" s="5" t="s">
        <v>51002</v>
      </c>
      <c r="R1188" s="5" t="s">
        <v>51003</v>
      </c>
      <c r="S1188" s="5" t="s">
        <v>49747</v>
      </c>
      <c r="T1188" s="28">
        <v>2265766000</v>
      </c>
      <c r="U1188" s="28">
        <v>50000000</v>
      </c>
      <c r="V1188" s="28">
        <v>2043903000</v>
      </c>
      <c r="W1188" s="28">
        <v>21095000</v>
      </c>
      <c r="X1188" s="28">
        <v>37302000</v>
      </c>
      <c r="Y1188" s="28">
        <v>4678051000</v>
      </c>
      <c r="Z1188" s="28">
        <v>113133000</v>
      </c>
      <c r="AA1188" s="28">
        <v>1672870000</v>
      </c>
      <c r="AB1188" s="28">
        <v>510221000</v>
      </c>
      <c r="AC1188" s="28">
        <v>2666920000</v>
      </c>
      <c r="AD1188" s="28">
        <v>316392000</v>
      </c>
      <c r="AE1188" s="28">
        <v>4910417000</v>
      </c>
      <c r="AF1188" s="28">
        <v>100729000</v>
      </c>
      <c r="AG1188" s="11"/>
    </row>
    <row r="1189">
      <c r="A1189" s="7" t="s">
        <v>2906</v>
      </c>
      <c r="B1189" s="5" t="s">
        <v>10896</v>
      </c>
      <c r="C1189" s="5" t="s">
        <v>18772</v>
      </c>
      <c r="D1189" s="5" t="str">
        <v>773404271189</v>
      </c>
      <c r="E1189" s="0" t="e">
        <f>+7 (3952) 488251
+7 (3952) 488276
+7 (495) 5140942</f>
        <v>#NAME?</v>
      </c>
      <c r="F1189" s="5" t="s">
        <v>28969</v>
      </c>
      <c r="G1189" s="5"/>
      <c r="H1189" s="26">
        <v>7.5</v>
      </c>
      <c r="I1189" s="5"/>
      <c r="J1189" s="5" t="s">
        <v>25283</v>
      </c>
      <c r="K1189" s="5" t="s">
        <v>344</v>
      </c>
      <c r="L1189" s="5" t="s">
        <v>28970</v>
      </c>
      <c r="M1189" s="27"/>
      <c r="N1189" s="5" t="s">
        <v>51004</v>
      </c>
      <c r="O1189" s="5" t="str">
        <v>7743113462</v>
      </c>
      <c r="P1189" s="27">
        <v>3500000</v>
      </c>
      <c r="Q1189" s="5" t="s">
        <v>51005</v>
      </c>
      <c r="R1189" s="5"/>
      <c r="S1189" s="5" t="s">
        <v>51006</v>
      </c>
      <c r="T1189" s="28">
        <v>4167000</v>
      </c>
      <c r="U1189" s="28"/>
      <c r="V1189" s="28">
        <v>501511000</v>
      </c>
      <c r="W1189" s="28">
        <v>438700000</v>
      </c>
      <c r="X1189" s="28">
        <v>9525000</v>
      </c>
      <c r="Y1189" s="28">
        <v>1137522000</v>
      </c>
      <c r="Z1189" s="28">
        <v>649240000</v>
      </c>
      <c r="AA1189" s="28"/>
      <c r="AB1189" s="28"/>
      <c r="AC1189" s="28">
        <v>483918000</v>
      </c>
      <c r="AD1189" s="28">
        <v>652915000</v>
      </c>
      <c r="AE1189" s="28">
        <v>8773336000</v>
      </c>
      <c r="AF1189" s="28">
        <v>1693812000</v>
      </c>
      <c r="AG1189" s="11"/>
    </row>
    <row r="1190">
      <c r="A1190" s="7" t="s">
        <v>2907</v>
      </c>
      <c r="B1190" s="5" t="s">
        <v>10897</v>
      </c>
      <c r="C1190" s="5" t="s">
        <v>18773</v>
      </c>
      <c r="D1190" s="5" t="str">
        <v>504228784201</v>
      </c>
      <c r="E1190" s="0" t="e">
        <f>+7 (492) 2773116
+7 (903) 8309097
+7 (916) 707059
+7 (926) 1029510
+7 (968) 9463180</f>
        <v>#NAME?</v>
      </c>
      <c r="F1190" s="5" t="s">
        <v>28971</v>
      </c>
      <c r="G1190" s="5"/>
      <c r="H1190" s="26">
        <v>8</v>
      </c>
      <c r="I1190" s="5" t="s">
        <v>28972</v>
      </c>
      <c r="J1190" s="5" t="s">
        <v>27650</v>
      </c>
      <c r="K1190" s="5" t="s">
        <v>344</v>
      </c>
      <c r="L1190" s="5" t="s">
        <v>28973</v>
      </c>
      <c r="M1190" s="27">
        <v>3484189</v>
      </c>
      <c r="N1190" s="5"/>
      <c r="O1190" s="5" t="str">
        <v>3309005200</v>
      </c>
      <c r="P1190" s="27">
        <v>5000000</v>
      </c>
      <c r="Q1190" s="5" t="s">
        <v>49319</v>
      </c>
      <c r="R1190" s="5"/>
      <c r="S1190" s="5" t="s">
        <v>49774</v>
      </c>
      <c r="T1190" s="28">
        <v>149827000</v>
      </c>
      <c r="U1190" s="28"/>
      <c r="V1190" s="28">
        <v>961717000</v>
      </c>
      <c r="W1190" s="28">
        <v>5000000</v>
      </c>
      <c r="X1190" s="28">
        <v>10590000</v>
      </c>
      <c r="Y1190" s="28">
        <v>1717027000</v>
      </c>
      <c r="Z1190" s="28">
        <v>344589000</v>
      </c>
      <c r="AA1190" s="28">
        <v>177015000</v>
      </c>
      <c r="AB1190" s="28">
        <v>108402000</v>
      </c>
      <c r="AC1190" s="28">
        <v>1129425000</v>
      </c>
      <c r="AD1190" s="28">
        <v>349589000</v>
      </c>
      <c r="AE1190" s="28">
        <v>3823425000</v>
      </c>
      <c r="AF1190" s="28">
        <v>293132000</v>
      </c>
      <c r="AG1190" s="11"/>
    </row>
    <row r="1191">
      <c r="A1191" s="7" t="s">
        <v>2908</v>
      </c>
      <c r="B1191" s="5" t="s">
        <v>10898</v>
      </c>
      <c r="C1191" s="5" t="s">
        <v>18774</v>
      </c>
      <c r="D1191" s="5" t="str">
        <v>250802522506</v>
      </c>
      <c r="E1191" s="0" t="e">
        <f>+7 (4232) 277110
+7 (4232) 277210
+7 (4232) 277264
+7 (4232) 278835
+7 (4232) 279607</f>
        <v>#NAME?</v>
      </c>
      <c r="F1191" s="5" t="s">
        <v>28974</v>
      </c>
      <c r="G1191" s="5" t="s">
        <v>28975</v>
      </c>
      <c r="H1191" s="26">
        <v>30</v>
      </c>
      <c r="I1191" s="5"/>
      <c r="J1191" s="5" t="s">
        <v>26905</v>
      </c>
      <c r="K1191" s="5" t="s">
        <v>344</v>
      </c>
      <c r="L1191" s="5"/>
      <c r="M1191" s="27">
        <v>982575</v>
      </c>
      <c r="N1191" s="5" t="s">
        <v>51007</v>
      </c>
      <c r="O1191" s="5" t="str">
        <v>2537009770</v>
      </c>
      <c r="P1191" s="27">
        <v>9980511</v>
      </c>
      <c r="Q1191" s="5" t="s">
        <v>51009</v>
      </c>
      <c r="R1191" s="5"/>
      <c r="S1191" s="5" t="s">
        <v>51010</v>
      </c>
      <c r="T1191" s="28">
        <v>2621278000</v>
      </c>
      <c r="U1191" s="28">
        <v>772860000</v>
      </c>
      <c r="V1191" s="28">
        <v>589711000</v>
      </c>
      <c r="W1191" s="28"/>
      <c r="X1191" s="28">
        <v>160845000</v>
      </c>
      <c r="Y1191" s="28">
        <v>5273225000</v>
      </c>
      <c r="Z1191" s="28">
        <v>3261628000</v>
      </c>
      <c r="AA1191" s="28">
        <v>424862000</v>
      </c>
      <c r="AB1191" s="28">
        <v>284422000</v>
      </c>
      <c r="AC1191" s="28">
        <v>839240000</v>
      </c>
      <c r="AD1191" s="28">
        <v>3357396000</v>
      </c>
      <c r="AE1191" s="28">
        <v>4146359000</v>
      </c>
      <c r="AF1191" s="28">
        <v>419765000</v>
      </c>
      <c r="AG1191" s="11"/>
    </row>
    <row r="1192">
      <c r="A1192" s="7" t="s">
        <v>2909</v>
      </c>
      <c r="B1192" s="5" t="s">
        <v>10899</v>
      </c>
      <c r="C1192" s="5" t="s">
        <v>18775</v>
      </c>
      <c r="D1192" s="5" t="str">
        <v>253700382809</v>
      </c>
      <c r="E1192" s="0" t="e">
        <f>+7 (908) 4408282
+7 (914) 4153830
+7 (4232) 300186
+7 (4232) 385712
+7 (4232) 631081
+7 (4234) 345555
+7 (4234) 345584
+7 (4234) 356960
+7 (42356) 22063</f>
        <v>#NAME?</v>
      </c>
      <c r="F1192" s="5" t="s">
        <v>28976</v>
      </c>
      <c r="G1192" s="5"/>
      <c r="H1192" s="26">
        <v>13.5</v>
      </c>
      <c r="I1192" s="5" t="s">
        <v>28977</v>
      </c>
      <c r="J1192" s="5" t="s">
        <v>26511</v>
      </c>
      <c r="K1192" s="5" t="s">
        <v>344</v>
      </c>
      <c r="L1192" s="5" t="s">
        <v>28978</v>
      </c>
      <c r="M1192" s="27"/>
      <c r="N1192" s="5" t="s">
        <v>51011</v>
      </c>
      <c r="O1192" s="5" t="str">
        <v>2536221799</v>
      </c>
      <c r="P1192" s="27">
        <v>127000</v>
      </c>
      <c r="Q1192" s="5" t="s">
        <v>49207</v>
      </c>
      <c r="R1192" s="5" t="s">
        <v>51012</v>
      </c>
      <c r="S1192" s="5" t="s">
        <v>49532</v>
      </c>
      <c r="T1192" s="28">
        <v>619764000</v>
      </c>
      <c r="U1192" s="28">
        <v>148300000</v>
      </c>
      <c r="V1192" s="28">
        <v>1409360000</v>
      </c>
      <c r="W1192" s="28">
        <v>404102000</v>
      </c>
      <c r="X1192" s="28">
        <v>29733000</v>
      </c>
      <c r="Y1192" s="28">
        <v>5067572000</v>
      </c>
      <c r="Z1192" s="28">
        <v>1035121000</v>
      </c>
      <c r="AA1192" s="28">
        <v>2576437000</v>
      </c>
      <c r="AB1192" s="28">
        <v>21368000</v>
      </c>
      <c r="AC1192" s="28">
        <v>860850000</v>
      </c>
      <c r="AD1192" s="28">
        <v>1035248000</v>
      </c>
      <c r="AE1192" s="28">
        <v>10576981000</v>
      </c>
      <c r="AF1192" s="28">
        <v>131905000</v>
      </c>
      <c r="AG1192" s="11"/>
    </row>
    <row r="1193">
      <c r="A1193" s="7" t="s">
        <v>2910</v>
      </c>
      <c r="B1193" s="5" t="s">
        <v>10900</v>
      </c>
      <c r="C1193" s="5" t="s">
        <v>18776</v>
      </c>
      <c r="D1193" s="5" t="str">
        <v>401110013580</v>
      </c>
      <c r="E1193" s="0" t="e">
        <f>+7 (484) 2224016
+7 (484) 2224017
+7 (484) 2224018
+7 (484) 2530753
+7 (484) 2598733
+7 (910) 5477747
+7 (915) 8929999</f>
        <v>#NAME?</v>
      </c>
      <c r="F1193" s="5" t="s">
        <v>28979</v>
      </c>
      <c r="G1193" s="5" t="s">
        <v>28980</v>
      </c>
      <c r="H1193" s="26">
        <v>16</v>
      </c>
      <c r="I1193" s="5" t="s">
        <v>28981</v>
      </c>
      <c r="J1193" s="5" t="s">
        <v>445</v>
      </c>
      <c r="K1193" s="5" t="s">
        <v>344</v>
      </c>
      <c r="L1193" s="5" t="s">
        <v>28982</v>
      </c>
      <c r="M1193" s="27"/>
      <c r="N1193" s="5"/>
      <c r="O1193" s="5" t="str">
        <v>4011014115</v>
      </c>
      <c r="P1193" s="27">
        <v>100000</v>
      </c>
      <c r="Q1193" s="5" t="s">
        <v>51013</v>
      </c>
      <c r="R1193" s="5"/>
      <c r="S1193" s="5" t="s">
        <v>49358</v>
      </c>
      <c r="T1193" s="28">
        <v>768196000</v>
      </c>
      <c r="U1193" s="28"/>
      <c r="V1193" s="28">
        <v>143780000</v>
      </c>
      <c r="W1193" s="28"/>
      <c r="X1193" s="28">
        <v>252593000</v>
      </c>
      <c r="Y1193" s="28">
        <v>1352651000</v>
      </c>
      <c r="Z1193" s="28">
        <v>882567000</v>
      </c>
      <c r="AA1193" s="28">
        <v>20500000</v>
      </c>
      <c r="AB1193" s="28"/>
      <c r="AC1193" s="28">
        <v>403794000</v>
      </c>
      <c r="AD1193" s="28">
        <v>882667000</v>
      </c>
      <c r="AE1193" s="28">
        <v>3871589000</v>
      </c>
      <c r="AF1193" s="28">
        <v>323323000</v>
      </c>
      <c r="AG1193" s="11"/>
    </row>
    <row r="1194">
      <c r="A1194" s="7" t="s">
        <v>2911</v>
      </c>
      <c r="B1194" s="5" t="s">
        <v>10901</v>
      </c>
      <c r="C1194" s="5" t="s">
        <v>18777</v>
      </c>
      <c r="D1194" s="5" t="str">
        <v>161201615906</v>
      </c>
      <c r="E1194" s="0" t="e">
        <f>+7 (8432) 732587
+7 (8435) 34
+7 (917) 2739056</f>
        <v>#NAME?</v>
      </c>
      <c r="F1194" s="5"/>
      <c r="G1194" s="5"/>
      <c r="H1194" s="26">
        <v>24.5</v>
      </c>
      <c r="I1194" s="5" t="s">
        <v>28983</v>
      </c>
      <c r="J1194" s="5" t="s">
        <v>25231</v>
      </c>
      <c r="K1194" s="5" t="s">
        <v>344</v>
      </c>
      <c r="L1194" s="5" t="s">
        <v>28984</v>
      </c>
      <c r="M1194" s="27"/>
      <c r="N1194" s="5"/>
      <c r="O1194" s="5" t="str">
        <v>1616025565</v>
      </c>
      <c r="P1194" s="27">
        <v>10000</v>
      </c>
      <c r="Q1194" s="5"/>
      <c r="R1194" s="5"/>
      <c r="S1194" s="5" t="s">
        <v>49029</v>
      </c>
      <c r="T1194" s="28">
        <v>74028000</v>
      </c>
      <c r="U1194" s="28">
        <v>10000000</v>
      </c>
      <c r="V1194" s="28">
        <v>513446000</v>
      </c>
      <c r="W1194" s="28">
        <v>100000000</v>
      </c>
      <c r="X1194" s="28">
        <v>182404000</v>
      </c>
      <c r="Y1194" s="28">
        <v>1126594000</v>
      </c>
      <c r="Z1194" s="28">
        <v>197862000</v>
      </c>
      <c r="AA1194" s="28">
        <v>27763000</v>
      </c>
      <c r="AB1194" s="28">
        <v>150000000</v>
      </c>
      <c r="AC1194" s="28">
        <v>719001000</v>
      </c>
      <c r="AD1194" s="28">
        <v>379672000</v>
      </c>
      <c r="AE1194" s="28">
        <v>6487843000</v>
      </c>
      <c r="AF1194" s="28">
        <v>54669000</v>
      </c>
      <c r="AG1194" s="11"/>
    </row>
    <row r="1195">
      <c r="A1195" s="7" t="s">
        <v>2912</v>
      </c>
      <c r="B1195" s="5" t="s">
        <v>10902</v>
      </c>
      <c r="C1195" s="5" t="s">
        <v>18778</v>
      </c>
      <c r="D1195" s="5" t="str">
        <v>352504287998</v>
      </c>
      <c r="E1195" s="0" t="e">
        <f>+7 (817) 2711410
+7 (817) 2711476
+7 (817) 2712374
+7 (817) 2712793
+7 (817) 2715210
+7 (817) 2719241
+7 (817) 2719328</f>
        <v>#NAME?</v>
      </c>
      <c r="F1195" s="5" t="s">
        <v>28985</v>
      </c>
      <c r="G1195" s="5" t="s">
        <v>28986</v>
      </c>
      <c r="H1195" s="26">
        <v>20.5</v>
      </c>
      <c r="I1195" s="5" t="s">
        <v>28987</v>
      </c>
      <c r="J1195" s="5" t="s">
        <v>25499</v>
      </c>
      <c r="K1195" s="5" t="s">
        <v>344</v>
      </c>
      <c r="L1195" s="5" t="s">
        <v>28988</v>
      </c>
      <c r="M1195" s="27"/>
      <c r="N1195" s="5"/>
      <c r="O1195" s="5" t="str">
        <v>3525119121</v>
      </c>
      <c r="P1195" s="27">
        <v>58694840</v>
      </c>
      <c r="Q1195" s="5"/>
      <c r="R1195" s="5"/>
      <c r="S1195" s="5" t="s">
        <v>49425</v>
      </c>
      <c r="T1195" s="28">
        <v>1599906000</v>
      </c>
      <c r="U1195" s="28"/>
      <c r="V1195" s="28">
        <v>274005000</v>
      </c>
      <c r="W1195" s="28">
        <v>282218000</v>
      </c>
      <c r="X1195" s="28">
        <v>54615000</v>
      </c>
      <c r="Y1195" s="28">
        <v>3160054000</v>
      </c>
      <c r="Z1195" s="28">
        <v>2795538000</v>
      </c>
      <c r="AA1195" s="28"/>
      <c r="AB1195" s="28">
        <v>100038000</v>
      </c>
      <c r="AC1195" s="28">
        <v>261004000</v>
      </c>
      <c r="AD1195" s="28">
        <v>2854814000</v>
      </c>
      <c r="AE1195" s="28">
        <v>7046660000</v>
      </c>
      <c r="AF1195" s="28">
        <v>459472000</v>
      </c>
      <c r="AG1195" s="11"/>
    </row>
    <row r="1196">
      <c r="A1196" s="7" t="s">
        <v>2913</v>
      </c>
      <c r="B1196" s="5" t="s">
        <v>10903</v>
      </c>
      <c r="C1196" s="5" t="s">
        <v>18779</v>
      </c>
      <c r="D1196" s="5" t="str">
        <v>250802262424</v>
      </c>
      <c r="E1196" s="0" t="e">
        <f>+7 (423) 2276372
+7 (423) 2277231
+7 (4232) 274955
+7 (4232) 277667
+7 (4232) 277785
+7 (4232) 278537
+7 (4232) 278615
+7 (4232) 278990
+7 (4232) 645706
+7 (4232) 774955
+7 (914) 3313982
+7 (914) 3314008
+7 (914) 3314793
+7 (914) 7043239
+7 (914) 9753794</f>
        <v>#NAME?</v>
      </c>
      <c r="F1196" s="5" t="s">
        <v>28989</v>
      </c>
      <c r="G1196" s="5" t="s">
        <v>28990</v>
      </c>
      <c r="H1196" s="26">
        <v>18</v>
      </c>
      <c r="I1196" s="5" t="s">
        <v>28991</v>
      </c>
      <c r="J1196" s="5" t="s">
        <v>28577</v>
      </c>
      <c r="K1196" s="5" t="s">
        <v>344</v>
      </c>
      <c r="L1196" s="5" t="s">
        <v>28992</v>
      </c>
      <c r="M1196" s="27">
        <v>8534478</v>
      </c>
      <c r="N1196" s="5"/>
      <c r="O1196" s="5" t="str">
        <v>2537073208</v>
      </c>
      <c r="P1196" s="27">
        <v>6000000</v>
      </c>
      <c r="Q1196" s="5"/>
      <c r="R1196" s="5"/>
      <c r="S1196" s="5" t="s">
        <v>51014</v>
      </c>
      <c r="T1196" s="28">
        <v>101708000</v>
      </c>
      <c r="U1196" s="28">
        <v>1116105000</v>
      </c>
      <c r="V1196" s="28">
        <v>1037983000</v>
      </c>
      <c r="W1196" s="28"/>
      <c r="X1196" s="28">
        <v>1261429000</v>
      </c>
      <c r="Y1196" s="28">
        <v>3576867000</v>
      </c>
      <c r="Z1196" s="28">
        <v>2173322000</v>
      </c>
      <c r="AA1196" s="28"/>
      <c r="AB1196" s="28"/>
      <c r="AC1196" s="28">
        <v>1375987000</v>
      </c>
      <c r="AD1196" s="28">
        <v>2179922000</v>
      </c>
      <c r="AE1196" s="28">
        <v>13319410000</v>
      </c>
      <c r="AF1196" s="28">
        <v>4905881000</v>
      </c>
      <c r="AG1196" s="11"/>
    </row>
    <row r="1197">
      <c r="A1197" s="7" t="s">
        <v>2914</v>
      </c>
      <c r="B1197" s="5" t="s">
        <v>10904</v>
      </c>
      <c r="C1197" s="5" t="s">
        <v>18780</v>
      </c>
      <c r="D1197" s="5" t="str">
        <v>666003230270</v>
      </c>
      <c r="E1197" s="0" t="e">
        <f>+7 (343) 2679182
+7 (343) 3859101
+7 (343) 2479241</f>
        <v>#NAME?</v>
      </c>
      <c r="F1197" s="5" t="s">
        <v>28993</v>
      </c>
      <c r="G1197" s="5"/>
      <c r="H1197" s="26">
        <v>11.5</v>
      </c>
      <c r="I1197" s="5" t="s">
        <v>28994</v>
      </c>
      <c r="J1197" s="5" t="s">
        <v>26394</v>
      </c>
      <c r="K1197" s="5" t="s">
        <v>344</v>
      </c>
      <c r="L1197" s="5" t="s">
        <v>28995</v>
      </c>
      <c r="M1197" s="27"/>
      <c r="N1197" s="5" t="s">
        <v>51015</v>
      </c>
      <c r="O1197" s="5" t="str">
        <v>6652032750</v>
      </c>
      <c r="P1197" s="27">
        <v>1000000</v>
      </c>
      <c r="Q1197" s="5" t="s">
        <v>49009</v>
      </c>
      <c r="R1197" s="5"/>
      <c r="S1197" s="5" t="s">
        <v>49012</v>
      </c>
      <c r="T1197" s="28">
        <v>88551000</v>
      </c>
      <c r="U1197" s="28">
        <v>314083000</v>
      </c>
      <c r="V1197" s="28">
        <v>703241000</v>
      </c>
      <c r="W1197" s="28">
        <v>9204000</v>
      </c>
      <c r="X1197" s="28">
        <v>1032089000</v>
      </c>
      <c r="Y1197" s="28">
        <v>3152026000</v>
      </c>
      <c r="Z1197" s="28">
        <v>1782085000</v>
      </c>
      <c r="AA1197" s="28"/>
      <c r="AB1197" s="28">
        <v>28184000</v>
      </c>
      <c r="AC1197" s="28">
        <v>1363487000</v>
      </c>
      <c r="AD1197" s="28">
        <v>1803385000</v>
      </c>
      <c r="AE1197" s="28">
        <v>6064916000</v>
      </c>
      <c r="AF1197" s="28">
        <v>1033439000</v>
      </c>
      <c r="AG1197" s="11"/>
    </row>
    <row r="1198">
      <c r="A1198" s="7" t="s">
        <v>2915</v>
      </c>
      <c r="B1198" s="5" t="s">
        <v>10905</v>
      </c>
      <c r="C1198" s="5" t="s">
        <v>18781</v>
      </c>
      <c r="D1198" s="5" t="str">
        <v>780414998070</v>
      </c>
      <c r="E1198" s="0" t="e">
        <f>+7 (812) 6357550
+7 (921) 5999566</f>
        <v>#NAME?</v>
      </c>
      <c r="F1198" s="5" t="s">
        <v>28996</v>
      </c>
      <c r="G1198" s="5"/>
      <c r="H1198" s="26">
        <v>11</v>
      </c>
      <c r="I1198" s="5" t="s">
        <v>28997</v>
      </c>
      <c r="J1198" s="5" t="s">
        <v>599</v>
      </c>
      <c r="K1198" s="5" t="s">
        <v>344</v>
      </c>
      <c r="L1198" s="5" t="s">
        <v>25211</v>
      </c>
      <c r="M1198" s="27"/>
      <c r="N1198" s="5" t="s">
        <v>51016</v>
      </c>
      <c r="O1198" s="5" t="str">
        <v>7842473650</v>
      </c>
      <c r="P1198" s="27">
        <v>250000</v>
      </c>
      <c r="Q1198" s="5" t="s">
        <v>49021</v>
      </c>
      <c r="R1198" s="5"/>
      <c r="S1198" s="5" t="s">
        <v>51017</v>
      </c>
      <c r="T1198" s="28">
        <v>3136000</v>
      </c>
      <c r="U1198" s="28"/>
      <c r="V1198" s="28">
        <v>492210000</v>
      </c>
      <c r="W1198" s="28"/>
      <c r="X1198" s="28">
        <v>64939000</v>
      </c>
      <c r="Y1198" s="28">
        <v>738148000</v>
      </c>
      <c r="Z1198" s="28">
        <v>187413000</v>
      </c>
      <c r="AA1198" s="28"/>
      <c r="AB1198" s="28"/>
      <c r="AC1198" s="28">
        <v>542940000</v>
      </c>
      <c r="AD1198" s="28">
        <v>187663000</v>
      </c>
      <c r="AE1198" s="28">
        <v>5127206000</v>
      </c>
      <c r="AF1198" s="28">
        <v>93118000</v>
      </c>
      <c r="AG1198" s="11"/>
    </row>
    <row r="1199">
      <c r="A1199" s="7" t="s">
        <v>2916</v>
      </c>
      <c r="B1199" s="5" t="s">
        <v>10906</v>
      </c>
      <c r="C1199" s="5" t="s">
        <v>18782</v>
      </c>
      <c r="D1199" s="5"/>
      <c r="E1199" s="0" t="e">
        <f>+7 (423) 2222364
+7 (4232) 224074
+7 (4232) 301539
+7 (4232) 302112
+7 (4232) 302828
+7 (4232) 302988
+7 (4232) 495102
+7 (4232) 495184
+7 (4232) 495189
+7 (4232) 495200
+7 (4232) 495202
+7 (4232) 495203
+7 (4232) 495209
+7 (4232) 495212
+7 (4232) 495222</f>
        <v>#NAME?</v>
      </c>
      <c r="F1199" s="5" t="s">
        <v>28998</v>
      </c>
      <c r="G1199" s="5" t="s">
        <v>28999</v>
      </c>
      <c r="H1199" s="26">
        <v>30.5</v>
      </c>
      <c r="I1199" s="5" t="s">
        <v>29000</v>
      </c>
      <c r="J1199" s="5" t="s">
        <v>29001</v>
      </c>
      <c r="K1199" s="5" t="s">
        <v>344</v>
      </c>
      <c r="L1199" s="5" t="s">
        <v>29002</v>
      </c>
      <c r="M1199" s="27">
        <v>12915064</v>
      </c>
      <c r="N1199" s="5" t="s">
        <v>51018</v>
      </c>
      <c r="O1199" s="5" t="str">
        <v>2504000204</v>
      </c>
      <c r="P1199" s="27">
        <v>247031254</v>
      </c>
      <c r="Q1199" s="5" t="s">
        <v>51020</v>
      </c>
      <c r="R1199" s="5"/>
      <c r="S1199" s="5" t="s">
        <v>50191</v>
      </c>
      <c r="T1199" s="28">
        <v>12204995000</v>
      </c>
      <c r="U1199" s="28">
        <v>34696281000</v>
      </c>
      <c r="V1199" s="28">
        <v>11864149000</v>
      </c>
      <c r="W1199" s="28">
        <v>6925643000</v>
      </c>
      <c r="X1199" s="28">
        <v>6964894000</v>
      </c>
      <c r="Y1199" s="28">
        <v>95059285000</v>
      </c>
      <c r="Z1199" s="28">
        <v>61665441000</v>
      </c>
      <c r="AA1199" s="28">
        <v>21169274000</v>
      </c>
      <c r="AB1199" s="28">
        <v>3800635000</v>
      </c>
      <c r="AC1199" s="28">
        <v>8045922000</v>
      </c>
      <c r="AD1199" s="28">
        <v>61948178000</v>
      </c>
      <c r="AE1199" s="28">
        <v>29334732000</v>
      </c>
      <c r="AF1199" s="28">
        <v>16130150000</v>
      </c>
      <c r="AG1199" s="11"/>
    </row>
    <row r="1200">
      <c r="A1200" s="7" t="s">
        <v>2917</v>
      </c>
      <c r="B1200" s="5" t="s">
        <v>10907</v>
      </c>
      <c r="C1200" s="5" t="s">
        <v>18783</v>
      </c>
      <c r="D1200" s="5" t="str">
        <v>614402040123</v>
      </c>
      <c r="E1200" s="0" t="e">
        <f>+7 (844) 2262585
+7 (844) 2292394
+7 (844) 2292536
+7 (844) 2319176
+7 (844) 2333012
+7 (844) 2500124
+7 (844) 2500125
+7 (844) 2510125
+7 (844) 2537349
+7 (844) 2550125
+7 (844) 2550134
+7 (844) 2550154
+7 (844) 2319158
+7 (844) 2319563
+7 (844) 2410028</f>
        <v>#NAME?</v>
      </c>
      <c r="F1200" s="5" t="s">
        <v>29003</v>
      </c>
      <c r="G1200" s="5" t="s">
        <v>29004</v>
      </c>
      <c r="H1200" s="26">
        <v>5</v>
      </c>
      <c r="I1200" s="5"/>
      <c r="J1200" s="5" t="s">
        <v>29005</v>
      </c>
      <c r="K1200" s="5" t="s">
        <v>344</v>
      </c>
      <c r="L1200" s="5"/>
      <c r="M1200" s="27">
        <v>377148</v>
      </c>
      <c r="N1200" s="5" t="s">
        <v>51021</v>
      </c>
      <c r="O1200" s="5" t="str">
        <v>3459076049</v>
      </c>
      <c r="P1200" s="27">
        <v>2300000000</v>
      </c>
      <c r="Q1200" s="5" t="s">
        <v>51022</v>
      </c>
      <c r="R1200" s="5"/>
      <c r="S1200" s="5" t="s">
        <v>51023</v>
      </c>
      <c r="T1200" s="28">
        <v>322011000</v>
      </c>
      <c r="U1200" s="28"/>
      <c r="V1200" s="28">
        <v>1770879000</v>
      </c>
      <c r="W1200" s="28"/>
      <c r="X1200" s="28">
        <v>131837000</v>
      </c>
      <c r="Y1200" s="28">
        <v>2793408000</v>
      </c>
      <c r="Z1200" s="28">
        <v>-2202379000</v>
      </c>
      <c r="AA1200" s="28"/>
      <c r="AB1200" s="28">
        <v>135000000</v>
      </c>
      <c r="AC1200" s="28">
        <v>1128455000</v>
      </c>
      <c r="AD1200" s="28">
        <v>246207000</v>
      </c>
      <c r="AE1200" s="28">
        <v>4039984000</v>
      </c>
      <c r="AF1200" s="28">
        <v>18580000</v>
      </c>
      <c r="AG1200" s="11"/>
    </row>
    <row r="1201">
      <c r="A1201" s="7" t="s">
        <v>2918</v>
      </c>
      <c r="B1201" s="5" t="s">
        <v>10908</v>
      </c>
      <c r="C1201" s="5" t="s">
        <v>18784</v>
      </c>
      <c r="D1201" s="5" t="str">
        <v>325706174930</v>
      </c>
      <c r="E1201" s="0" t="e">
        <f>+7 (920) 8530463</f>
        <v>#NAME?</v>
      </c>
      <c r="F1201" s="5" t="s">
        <v>29006</v>
      </c>
      <c r="G1201" s="5"/>
      <c r="H1201" s="26">
        <v>9</v>
      </c>
      <c r="I1201" s="5" t="s">
        <v>29007</v>
      </c>
      <c r="J1201" s="5" t="s">
        <v>678</v>
      </c>
      <c r="K1201" s="5" t="s">
        <v>355</v>
      </c>
      <c r="L1201" s="5" t="s">
        <v>29008</v>
      </c>
      <c r="M1201" s="27"/>
      <c r="N1201" s="5"/>
      <c r="O1201" s="5" t="str">
        <v>3257015290</v>
      </c>
      <c r="P1201" s="27">
        <v>10000</v>
      </c>
      <c r="Q1201" s="5" t="s">
        <v>49009</v>
      </c>
      <c r="R1201" s="5"/>
      <c r="S1201" s="5" t="s">
        <v>49010</v>
      </c>
      <c r="T1201" s="28">
        <v>78719000</v>
      </c>
      <c r="U1201" s="28"/>
      <c r="V1201" s="28">
        <v>395226000</v>
      </c>
      <c r="W1201" s="28">
        <v>9000000</v>
      </c>
      <c r="X1201" s="28">
        <v>4452000</v>
      </c>
      <c r="Y1201" s="28">
        <v>677785000</v>
      </c>
      <c r="Z1201" s="28">
        <v>180791000</v>
      </c>
      <c r="AA1201" s="28">
        <v>169920000</v>
      </c>
      <c r="AB1201" s="28"/>
      <c r="AC1201" s="28">
        <v>327064000</v>
      </c>
      <c r="AD1201" s="28">
        <v>180801000</v>
      </c>
      <c r="AE1201" s="28">
        <v>3482579000</v>
      </c>
      <c r="AF1201" s="28">
        <v>65503000</v>
      </c>
      <c r="AG1201" s="11"/>
    </row>
    <row r="1202">
      <c r="A1202" s="7" t="s">
        <v>2919</v>
      </c>
      <c r="B1202" s="5" t="s">
        <v>10909</v>
      </c>
      <c r="C1202" s="5" t="s">
        <v>18785</v>
      </c>
      <c r="D1202" s="5" t="str">
        <v>623010695839</v>
      </c>
      <c r="E1202" s="0" t="e">
        <f>+7 (495) 9940501</f>
        <v>#NAME?</v>
      </c>
      <c r="F1202" s="5"/>
      <c r="G1202" s="5"/>
      <c r="H1202" s="26">
        <v>15.5</v>
      </c>
      <c r="I1202" s="5" t="s">
        <v>29009</v>
      </c>
      <c r="J1202" s="5" t="s">
        <v>26251</v>
      </c>
      <c r="K1202" s="5" t="s">
        <v>344</v>
      </c>
      <c r="L1202" s="5" t="s">
        <v>29010</v>
      </c>
      <c r="M1202" s="27">
        <v>15014547</v>
      </c>
      <c r="N1202" s="5" t="s">
        <v>51024</v>
      </c>
      <c r="O1202" s="5" t="str">
        <v>5044060503</v>
      </c>
      <c r="P1202" s="27">
        <v>151000</v>
      </c>
      <c r="Q1202" s="5"/>
      <c r="R1202" s="5"/>
      <c r="S1202" s="5" t="s">
        <v>49425</v>
      </c>
      <c r="T1202" s="28">
        <v>10025000</v>
      </c>
      <c r="U1202" s="28">
        <v>5100000</v>
      </c>
      <c r="V1202" s="28">
        <v>2178819000</v>
      </c>
      <c r="W1202" s="28">
        <v>1006357000</v>
      </c>
      <c r="X1202" s="28">
        <v>12672000</v>
      </c>
      <c r="Y1202" s="28">
        <v>4169475000</v>
      </c>
      <c r="Z1202" s="28">
        <v>575597000</v>
      </c>
      <c r="AA1202" s="28">
        <v>1963760000</v>
      </c>
      <c r="AB1202" s="28">
        <v>401889000</v>
      </c>
      <c r="AC1202" s="28">
        <v>1627932000</v>
      </c>
      <c r="AD1202" s="28">
        <v>575748000</v>
      </c>
      <c r="AE1202" s="28">
        <v>9257826000</v>
      </c>
      <c r="AF1202" s="28">
        <v>76817000</v>
      </c>
      <c r="AG1202" s="11"/>
    </row>
    <row r="1203">
      <c r="A1203" s="7" t="s">
        <v>2920</v>
      </c>
      <c r="B1203" s="5" t="s">
        <v>10910</v>
      </c>
      <c r="C1203" s="5" t="s">
        <v>18786</v>
      </c>
      <c r="D1203" s="5" t="str">
        <v>772908416410</v>
      </c>
      <c r="E1203" s="0" t="e">
        <f>+7 (495) 3723071
+7 (495) 3724790
+7 (495) 3760892
+7 (495) 3761385
+7 (495) 3761390
+7 (495) 3761543
+7 (495) 3761550
+7 (495) 3768333
+7 (495) 3770141
+7 (495) 3770169
+7 (495) 7969133
+7 (499) 7969129
+7 (499) 7969133
+7 (499) 7969203
+7 (499) 7969280</f>
        <v>#NAME?</v>
      </c>
      <c r="F1203" s="5" t="s">
        <v>29011</v>
      </c>
      <c r="G1203" s="5" t="s">
        <v>29012</v>
      </c>
      <c r="H1203" s="26">
        <v>20.5</v>
      </c>
      <c r="I1203" s="5" t="s">
        <v>29013</v>
      </c>
      <c r="J1203" s="5" t="s">
        <v>755</v>
      </c>
      <c r="K1203" s="5" t="s">
        <v>344</v>
      </c>
      <c r="L1203" s="5" t="s">
        <v>29014</v>
      </c>
      <c r="M1203" s="27"/>
      <c r="N1203" s="5" t="s">
        <v>51025</v>
      </c>
      <c r="O1203" s="5" t="str">
        <v>7721247141</v>
      </c>
      <c r="P1203" s="27">
        <v>1690560000</v>
      </c>
      <c r="Q1203" s="5" t="s">
        <v>51026</v>
      </c>
      <c r="R1203" s="5"/>
      <c r="S1203" s="5" t="s">
        <v>51027</v>
      </c>
      <c r="T1203" s="28">
        <v>2359581000</v>
      </c>
      <c r="U1203" s="28"/>
      <c r="V1203" s="28">
        <v>1298108000</v>
      </c>
      <c r="W1203" s="28">
        <v>2770000000</v>
      </c>
      <c r="X1203" s="28">
        <v>4322000</v>
      </c>
      <c r="Y1203" s="28">
        <v>7076804000</v>
      </c>
      <c r="Z1203" s="28">
        <v>2678624000</v>
      </c>
      <c r="AA1203" s="28"/>
      <c r="AB1203" s="28"/>
      <c r="AC1203" s="28">
        <v>1305830000</v>
      </c>
      <c r="AD1203" s="28">
        <v>5638135000</v>
      </c>
      <c r="AE1203" s="28">
        <v>3385997000</v>
      </c>
      <c r="AF1203" s="28">
        <v>218083000</v>
      </c>
      <c r="AG1203" s="11"/>
    </row>
    <row r="1204">
      <c r="A1204" s="7" t="s">
        <v>2921</v>
      </c>
      <c r="B1204" s="5" t="s">
        <v>10911</v>
      </c>
      <c r="C1204" s="5" t="s">
        <v>18738</v>
      </c>
      <c r="D1204" s="5" t="str">
        <v>771588410407</v>
      </c>
      <c r="E1204" s="0" t="e">
        <f>+7 (495) 6873151
+7 (495) 2626603
+7 (495) 6028110
+7 (495) 6028152
+7 (495) 6028166
+7 (495) 6028184
+7 (495) 6028185
+7 (495) 6028273
+7 (495) 6028307
+7 (495) 6028499
+7 (495) 6876423
+7 (495) 6876456
+7 (495) 6876548
+7 (495) 6876555
+7 (495) 6877238</f>
        <v>#NAME?</v>
      </c>
      <c r="F1204" s="5" t="s">
        <v>29015</v>
      </c>
      <c r="G1204" s="5" t="s">
        <v>29016</v>
      </c>
      <c r="H1204" s="26">
        <v>31</v>
      </c>
      <c r="I1204" s="5"/>
      <c r="J1204" s="5" t="s">
        <v>755</v>
      </c>
      <c r="K1204" s="5" t="s">
        <v>355</v>
      </c>
      <c r="L1204" s="5"/>
      <c r="M1204" s="27"/>
      <c r="N1204" s="5" t="s">
        <v>51028</v>
      </c>
      <c r="O1204" s="5" t="str">
        <v>7717596862</v>
      </c>
      <c r="P1204" s="27">
        <v>3678841000</v>
      </c>
      <c r="Q1204" s="5" t="s">
        <v>51029</v>
      </c>
      <c r="R1204" s="5"/>
      <c r="S1204" s="5" t="s">
        <v>51030</v>
      </c>
      <c r="T1204" s="28">
        <v>4103864000</v>
      </c>
      <c r="U1204" s="28">
        <v>4900000</v>
      </c>
      <c r="V1204" s="28">
        <v>2013176000</v>
      </c>
      <c r="W1204" s="28"/>
      <c r="X1204" s="28">
        <v>56513000</v>
      </c>
      <c r="Y1204" s="28">
        <v>6906657000</v>
      </c>
      <c r="Z1204" s="28">
        <v>279986000</v>
      </c>
      <c r="AA1204" s="28"/>
      <c r="AB1204" s="28">
        <v>321927000</v>
      </c>
      <c r="AC1204" s="28">
        <v>1653197000</v>
      </c>
      <c r="AD1204" s="28">
        <v>5189890000</v>
      </c>
      <c r="AE1204" s="28">
        <v>3461560000</v>
      </c>
      <c r="AF1204" s="28">
        <v>80704000</v>
      </c>
      <c r="AG1204" s="11"/>
    </row>
    <row r="1205">
      <c r="A1205" s="7" t="s">
        <v>2922</v>
      </c>
      <c r="B1205" s="5" t="s">
        <v>10912</v>
      </c>
      <c r="C1205" s="5" t="s">
        <v>18787</v>
      </c>
      <c r="D1205" s="5" t="str">
        <v>532100378868</v>
      </c>
      <c r="E1205" s="0" t="e">
        <f>+7 (816) 2680502
+7 (816) 2680390
+7 (816) 2257271
+7 (816) 2615096
+7 (816) 2616524
+7 (816) 2643012
+7 (816) 2643013
+7 (816) 2657271
+7 (816) 2674967
+7 (816) 2674977
+7 (816) 2680410
+7 (816) 2680501
+7 (816) 2680514
+7 (816) 2680534
+7 (816) 2680540</f>
        <v>#NAME?</v>
      </c>
      <c r="F1205" s="5" t="s">
        <v>29017</v>
      </c>
      <c r="G1205" s="5" t="s">
        <v>29018</v>
      </c>
      <c r="H1205" s="26">
        <v>19.5</v>
      </c>
      <c r="I1205" s="5"/>
      <c r="J1205" s="5" t="s">
        <v>27464</v>
      </c>
      <c r="K1205" s="5" t="s">
        <v>344</v>
      </c>
      <c r="L1205" s="5" t="s">
        <v>29019</v>
      </c>
      <c r="M1205" s="27">
        <v>831465</v>
      </c>
      <c r="N1205" s="5" t="s">
        <v>51031</v>
      </c>
      <c r="O1205" s="5" t="str">
        <v>5321094384</v>
      </c>
      <c r="P1205" s="27">
        <v>100000</v>
      </c>
      <c r="Q1205" s="5" t="s">
        <v>49009</v>
      </c>
      <c r="R1205" s="5"/>
      <c r="S1205" s="5" t="s">
        <v>49200</v>
      </c>
      <c r="T1205" s="28">
        <v>706034000</v>
      </c>
      <c r="U1205" s="28"/>
      <c r="V1205" s="28">
        <v>1207205000</v>
      </c>
      <c r="W1205" s="28">
        <v>758000</v>
      </c>
      <c r="X1205" s="28">
        <v>50120000</v>
      </c>
      <c r="Y1205" s="28">
        <v>3324998000</v>
      </c>
      <c r="Z1205" s="28">
        <v>1638699000</v>
      </c>
      <c r="AA1205" s="28">
        <v>91379000</v>
      </c>
      <c r="AB1205" s="28">
        <v>440392000</v>
      </c>
      <c r="AC1205" s="28">
        <v>1541269000</v>
      </c>
      <c r="AD1205" s="28">
        <v>1638804000</v>
      </c>
      <c r="AE1205" s="28">
        <v>12136662000</v>
      </c>
      <c r="AF1205" s="28">
        <v>534718000</v>
      </c>
      <c r="AG1205" s="11"/>
    </row>
    <row r="1206">
      <c r="A1206" s="7" t="s">
        <v>2923</v>
      </c>
      <c r="B1206" s="5" t="s">
        <v>10913</v>
      </c>
      <c r="C1206" s="5" t="s">
        <v>18788</v>
      </c>
      <c r="D1206" s="5" t="str">
        <v>771309008106</v>
      </c>
      <c r="E1206" s="0" t="e">
        <f>+7 (495) 6467954</f>
        <v>#NAME?</v>
      </c>
      <c r="F1206" s="5" t="s">
        <v>29020</v>
      </c>
      <c r="G1206" s="5" t="s">
        <v>29021</v>
      </c>
      <c r="H1206" s="26">
        <v>27</v>
      </c>
      <c r="I1206" s="5"/>
      <c r="J1206" s="5" t="s">
        <v>373</v>
      </c>
      <c r="K1206" s="5" t="s">
        <v>344</v>
      </c>
      <c r="L1206" s="5" t="s">
        <v>29022</v>
      </c>
      <c r="M1206" s="27"/>
      <c r="N1206" s="5" t="s">
        <v>49923</v>
      </c>
      <c r="O1206" s="5" t="str">
        <v>9704027750</v>
      </c>
      <c r="P1206" s="27">
        <v>822637000</v>
      </c>
      <c r="Q1206" s="5" t="s">
        <v>51033</v>
      </c>
      <c r="R1206" s="5"/>
      <c r="S1206" s="5" t="s">
        <v>51034</v>
      </c>
      <c r="T1206" s="28">
        <v>571379000</v>
      </c>
      <c r="U1206" s="28">
        <v>433000</v>
      </c>
      <c r="V1206" s="28">
        <v>12977830000</v>
      </c>
      <c r="W1206" s="28"/>
      <c r="X1206" s="28">
        <v>2101456000</v>
      </c>
      <c r="Y1206" s="28">
        <v>18752079000</v>
      </c>
      <c r="Z1206" s="28">
        <v>384007000</v>
      </c>
      <c r="AA1206" s="28"/>
      <c r="AB1206" s="28">
        <v>7844689000</v>
      </c>
      <c r="AC1206" s="28">
        <v>17127572000</v>
      </c>
      <c r="AD1206" s="28">
        <v>1223257000</v>
      </c>
      <c r="AE1206" s="28">
        <v>64652077000</v>
      </c>
      <c r="AF1206" s="28">
        <v>146969000</v>
      </c>
      <c r="AG1206" s="11"/>
    </row>
    <row r="1207">
      <c r="A1207" s="7" t="s">
        <v>2924</v>
      </c>
      <c r="B1207" s="5" t="s">
        <v>10914</v>
      </c>
      <c r="C1207" s="5" t="s">
        <v>18789</v>
      </c>
      <c r="D1207" s="5" t="str">
        <v>862000146050</v>
      </c>
      <c r="E1207" s="0" t="e">
        <f>+7 (495) 9899729
+7 (495) 9849800
+7 (495) 9849801</f>
        <v>#NAME?</v>
      </c>
      <c r="F1207" s="5" t="s">
        <v>29023</v>
      </c>
      <c r="G1207" s="5"/>
      <c r="H1207" s="26">
        <v>9</v>
      </c>
      <c r="I1207" s="5" t="s">
        <v>29024</v>
      </c>
      <c r="J1207" s="5" t="s">
        <v>25295</v>
      </c>
      <c r="K1207" s="5" t="s">
        <v>380</v>
      </c>
      <c r="L1207" s="5" t="s">
        <v>29025</v>
      </c>
      <c r="M1207" s="27">
        <v>866074349</v>
      </c>
      <c r="N1207" s="5"/>
      <c r="O1207" s="5" t="str">
        <v>7704863782</v>
      </c>
      <c r="P1207" s="27">
        <v>25000500000</v>
      </c>
      <c r="Q1207" s="5" t="s">
        <v>51035</v>
      </c>
      <c r="R1207" s="5"/>
      <c r="S1207" s="5" t="s">
        <v>51036</v>
      </c>
      <c r="T1207" s="28">
        <v>88999782000</v>
      </c>
      <c r="U1207" s="28"/>
      <c r="V1207" s="28">
        <v>3272575000</v>
      </c>
      <c r="W1207" s="28">
        <v>1790000000</v>
      </c>
      <c r="X1207" s="28">
        <v>130357000</v>
      </c>
      <c r="Y1207" s="28">
        <v>96014149000</v>
      </c>
      <c r="Z1207" s="28">
        <v>22456726000</v>
      </c>
      <c r="AA1207" s="28">
        <v>36345068000</v>
      </c>
      <c r="AB1207" s="28">
        <v>6750487000</v>
      </c>
      <c r="AC1207" s="28">
        <v>8519802000</v>
      </c>
      <c r="AD1207" s="28">
        <v>47457226000</v>
      </c>
      <c r="AE1207" s="28">
        <v>25263864000</v>
      </c>
      <c r="AF1207" s="28">
        <v>9599727000</v>
      </c>
      <c r="AG1207" s="11"/>
    </row>
    <row r="1208">
      <c r="A1208" s="7" t="s">
        <v>2925</v>
      </c>
      <c r="B1208" s="5" t="s">
        <v>10915</v>
      </c>
      <c r="C1208" s="5" t="s">
        <v>18790</v>
      </c>
      <c r="D1208" s="5" t="str">
        <v>910910753776</v>
      </c>
      <c r="E1208" s="0" t="e">
        <f>+7 (345) 2602833
+7 (3652) 223470
+7 (3652) 223552
+7 (3652) 225547
+7 (3652) 248796
+7 (3652) 263598
+7 (3652) 271059
+7 (3652) 271516
+7 (3652) 274915
+7 (3652) 277779
+7 (3652) 310011
+7 (3652) 271063
+7 (3652) 274945
+7 (3652) 448192
+7 (3652) 516639</f>
        <v>#NAME?</v>
      </c>
      <c r="F1208" s="5" t="s">
        <v>29026</v>
      </c>
      <c r="G1208" s="5" t="s">
        <v>29027</v>
      </c>
      <c r="H1208" s="26">
        <v>27</v>
      </c>
      <c r="I1208" s="5" t="s">
        <v>29028</v>
      </c>
      <c r="J1208" s="5" t="s">
        <v>27944</v>
      </c>
      <c r="K1208" s="5" t="s">
        <v>344</v>
      </c>
      <c r="L1208" s="5"/>
      <c r="M1208" s="27">
        <v>78085863</v>
      </c>
      <c r="N1208" s="5" t="s">
        <v>51037</v>
      </c>
      <c r="O1208" s="5" t="str">
        <v>9102057281</v>
      </c>
      <c r="P1208" s="27">
        <v>3559286405</v>
      </c>
      <c r="Q1208" s="5" t="s">
        <v>51038</v>
      </c>
      <c r="R1208" s="5"/>
      <c r="S1208" s="5" t="s">
        <v>51039</v>
      </c>
      <c r="T1208" s="28">
        <v>7851161000</v>
      </c>
      <c r="U1208" s="28"/>
      <c r="V1208" s="28">
        <v>438847000</v>
      </c>
      <c r="W1208" s="28"/>
      <c r="X1208" s="28">
        <v>2870915000</v>
      </c>
      <c r="Y1208" s="28">
        <v>11879820000</v>
      </c>
      <c r="Z1208" s="28">
        <v>-1320558000</v>
      </c>
      <c r="AA1208" s="28">
        <v>555087000</v>
      </c>
      <c r="AB1208" s="28"/>
      <c r="AC1208" s="28">
        <v>4903605000</v>
      </c>
      <c r="AD1208" s="28">
        <v>9941183000</v>
      </c>
      <c r="AE1208" s="28">
        <v>3626217000</v>
      </c>
      <c r="AF1208" s="28">
        <v>-451202000</v>
      </c>
      <c r="AG1208" s="11"/>
    </row>
    <row r="1209">
      <c r="A1209" s="7" t="s">
        <v>2926</v>
      </c>
      <c r="B1209" s="5" t="s">
        <v>10916</v>
      </c>
      <c r="C1209" s="5" t="s">
        <v>18791</v>
      </c>
      <c r="D1209" s="5" t="str">
        <v>332710653982</v>
      </c>
      <c r="E1209" s="0" t="e">
        <f>+7 (492) 2779899</f>
        <v>#NAME?</v>
      </c>
      <c r="F1209" s="5" t="s">
        <v>29029</v>
      </c>
      <c r="G1209" s="5" t="s">
        <v>29030</v>
      </c>
      <c r="H1209" s="26">
        <v>15.5</v>
      </c>
      <c r="I1209" s="5" t="s">
        <v>29031</v>
      </c>
      <c r="J1209" s="5" t="s">
        <v>27956</v>
      </c>
      <c r="K1209" s="5" t="s">
        <v>344</v>
      </c>
      <c r="L1209" s="5"/>
      <c r="M1209" s="27"/>
      <c r="N1209" s="5" t="s">
        <v>51040</v>
      </c>
      <c r="O1209" s="5" t="str">
        <v>3328454473</v>
      </c>
      <c r="P1209" s="27">
        <v>100000</v>
      </c>
      <c r="Q1209" s="5" t="s">
        <v>49009</v>
      </c>
      <c r="R1209" s="5"/>
      <c r="S1209" s="5" t="s">
        <v>49012</v>
      </c>
      <c r="T1209" s="28">
        <v>58549000</v>
      </c>
      <c r="U1209" s="28"/>
      <c r="V1209" s="28">
        <v>116533000</v>
      </c>
      <c r="W1209" s="28"/>
      <c r="X1209" s="28">
        <v>40722000</v>
      </c>
      <c r="Y1209" s="28">
        <v>273822000</v>
      </c>
      <c r="Z1209" s="28">
        <v>97706000</v>
      </c>
      <c r="AA1209" s="28">
        <v>37000000</v>
      </c>
      <c r="AB1209" s="28">
        <v>61214000</v>
      </c>
      <c r="AC1209" s="28">
        <v>131241000</v>
      </c>
      <c r="AD1209" s="28">
        <v>97806000</v>
      </c>
      <c r="AE1209" s="28">
        <v>4318493000</v>
      </c>
      <c r="AF1209" s="28">
        <v>21675000</v>
      </c>
      <c r="AG1209" s="11"/>
    </row>
    <row r="1210">
      <c r="A1210" s="7" t="s">
        <v>2927</v>
      </c>
      <c r="B1210" s="5" t="s">
        <v>10917</v>
      </c>
      <c r="C1210" s="5" t="s">
        <v>18792</v>
      </c>
      <c r="D1210" s="5" t="str">
        <v>782503119077</v>
      </c>
      <c r="E1210" s="0" t="e">
        <f>+7 (4234) 384412
+7 (495) 9130965
+7 (812) 2341646
+7 (812) 2942297
+7 (812) 2950646
+7 (812) 3100110
+7 (812) 3150118
+7 (812) 3203453
+7 (81143) 84414
+7 (812) 2224556
+7 (812) 2741090
+7 (812) 2741091
+7 (812) 2741679
+7 (812) 2754325
+7 (812) 3050001</f>
        <v>#NAME?</v>
      </c>
      <c r="F1210" s="5" t="s">
        <v>29032</v>
      </c>
      <c r="G1210" s="5" t="s">
        <v>29033</v>
      </c>
      <c r="H1210" s="26">
        <v>30</v>
      </c>
      <c r="I1210" s="5" t="s">
        <v>29034</v>
      </c>
      <c r="J1210" s="5" t="s">
        <v>29035</v>
      </c>
      <c r="K1210" s="5" t="s">
        <v>344</v>
      </c>
      <c r="L1210" s="5"/>
      <c r="M1210" s="27">
        <v>545856716</v>
      </c>
      <c r="N1210" s="5" t="s">
        <v>51041</v>
      </c>
      <c r="O1210" s="5" t="str">
        <v>7830000426</v>
      </c>
      <c r="P1210" s="27">
        <v>87055037891</v>
      </c>
      <c r="Q1210" s="5" t="s">
        <v>51042</v>
      </c>
      <c r="R1210" s="5"/>
      <c r="S1210" s="5" t="s">
        <v>51043</v>
      </c>
      <c r="T1210" s="28">
        <v>390153267000</v>
      </c>
      <c r="U1210" s="28">
        <v>93538000</v>
      </c>
      <c r="V1210" s="28">
        <v>12478283000</v>
      </c>
      <c r="W1210" s="28"/>
      <c r="X1210" s="28">
        <v>13869262000</v>
      </c>
      <c r="Y1210" s="28">
        <v>420141951000</v>
      </c>
      <c r="Z1210" s="28">
        <v>87604182000</v>
      </c>
      <c r="AA1210" s="28"/>
      <c r="AB1210" s="28"/>
      <c r="AC1210" s="28">
        <v>22627511000</v>
      </c>
      <c r="AD1210" s="28">
        <v>371066288000</v>
      </c>
      <c r="AE1210" s="28">
        <v>39691895000</v>
      </c>
      <c r="AF1210" s="28">
        <v>1210253000</v>
      </c>
      <c r="AG1210" s="11"/>
    </row>
    <row r="1211">
      <c r="A1211" s="7" t="s">
        <v>2928</v>
      </c>
      <c r="B1211" s="5" t="s">
        <v>10918</v>
      </c>
      <c r="C1211" s="5" t="s">
        <v>18793</v>
      </c>
      <c r="D1211" s="5" t="str">
        <v>165100990658</v>
      </c>
      <c r="E1211" s="0" t="e">
        <f>+7 (843) 2316141
+7 (843) 2316226
+7 (843) 5540353
+7 (8422) 223344
+7 (8432) 27435
+7 (8432) 33613
+7 (8432) 111717
+7 (8432) 116611
+7 (8432) 116907
+7 (8432) 116908
+7 (8432) 136160
+7 (8432) 144325
+7 (843) 2643284
+7 (843) 2914809
+7 (843) 5338109</f>
        <v>#NAME?</v>
      </c>
      <c r="F1211" s="5" t="s">
        <v>29036</v>
      </c>
      <c r="G1211" s="5" t="s">
        <v>29037</v>
      </c>
      <c r="H1211" s="26">
        <v>28</v>
      </c>
      <c r="I1211" s="5" t="s">
        <v>29038</v>
      </c>
      <c r="J1211" s="5" t="s">
        <v>27944</v>
      </c>
      <c r="K1211" s="5" t="s">
        <v>344</v>
      </c>
      <c r="L1211" s="5"/>
      <c r="M1211" s="27">
        <v>35596369</v>
      </c>
      <c r="N1211" s="5" t="s">
        <v>51044</v>
      </c>
      <c r="O1211" s="5" t="str">
        <v>1653006666</v>
      </c>
      <c r="P1211" s="27">
        <v>361036847</v>
      </c>
      <c r="Q1211" s="5" t="s">
        <v>51045</v>
      </c>
      <c r="R1211" s="5"/>
      <c r="S1211" s="5" t="s">
        <v>50475</v>
      </c>
      <c r="T1211" s="28">
        <v>12714568000</v>
      </c>
      <c r="U1211" s="28"/>
      <c r="V1211" s="28">
        <v>657645000</v>
      </c>
      <c r="W1211" s="28"/>
      <c r="X1211" s="28">
        <v>59611000</v>
      </c>
      <c r="Y1211" s="28">
        <v>13717650000</v>
      </c>
      <c r="Z1211" s="28">
        <v>9436653000</v>
      </c>
      <c r="AA1211" s="28">
        <v>887586000</v>
      </c>
      <c r="AB1211" s="28">
        <v>310000000</v>
      </c>
      <c r="AC1211" s="28">
        <v>2128528000</v>
      </c>
      <c r="AD1211" s="28">
        <v>11301458000</v>
      </c>
      <c r="AE1211" s="28">
        <v>4427231000</v>
      </c>
      <c r="AF1211" s="28">
        <v>318543000</v>
      </c>
      <c r="AG1211" s="11"/>
    </row>
    <row r="1212">
      <c r="A1212" s="7" t="s">
        <v>2928</v>
      </c>
      <c r="B1212" s="5" t="s">
        <v>10919</v>
      </c>
      <c r="C1212" s="5" t="s">
        <v>18794</v>
      </c>
      <c r="D1212" s="5" t="str">
        <v>665902962909</v>
      </c>
      <c r="E1212" s="0" t="e">
        <f>+7 (343) 2121212
+7 (343) 2122930
+7 (343) 2148653
+7 (343) 2148677
+7 (343) 2157696
+7 (343) 2210151
+7 (343) 2210159
+7 (343) 2271912
+7 (343) 2290052
+7 (343) 2290072
+7 (343) 2127597
+7 (343) 2258796
+7 (343) 2274786
+7 (343) 2290053
+7 (343) 2290073</f>
        <v>#NAME?</v>
      </c>
      <c r="F1212" s="5" t="s">
        <v>29039</v>
      </c>
      <c r="G1212" s="5" t="s">
        <v>29040</v>
      </c>
      <c r="H1212" s="26">
        <v>29.5</v>
      </c>
      <c r="I1212" s="5" t="s">
        <v>29041</v>
      </c>
      <c r="J1212" s="5" t="s">
        <v>29042</v>
      </c>
      <c r="K1212" s="5" t="s">
        <v>344</v>
      </c>
      <c r="L1212" s="5"/>
      <c r="M1212" s="27">
        <v>56611338</v>
      </c>
      <c r="N1212" s="5" t="s">
        <v>51046</v>
      </c>
      <c r="O1212" s="5" t="str">
        <v>6608001915</v>
      </c>
      <c r="P1212" s="27">
        <v>1864190620</v>
      </c>
      <c r="Q1212" s="5" t="s">
        <v>51047</v>
      </c>
      <c r="R1212" s="5"/>
      <c r="S1212" s="5" t="s">
        <v>51048</v>
      </c>
      <c r="T1212" s="28">
        <v>21510927000</v>
      </c>
      <c r="U1212" s="28"/>
      <c r="V1212" s="28">
        <v>3304799000</v>
      </c>
      <c r="W1212" s="28"/>
      <c r="X1212" s="28">
        <v>427311000</v>
      </c>
      <c r="Y1212" s="28">
        <v>26200316000</v>
      </c>
      <c r="Z1212" s="28">
        <v>13565564000</v>
      </c>
      <c r="AA1212" s="28">
        <v>435993000</v>
      </c>
      <c r="AB1212" s="28">
        <v>579027000</v>
      </c>
      <c r="AC1212" s="28">
        <v>3913180000</v>
      </c>
      <c r="AD1212" s="28">
        <v>20944471000</v>
      </c>
      <c r="AE1212" s="28">
        <v>8358356000</v>
      </c>
      <c r="AF1212" s="28">
        <v>492992000</v>
      </c>
      <c r="AG1212" s="11"/>
    </row>
    <row r="1213">
      <c r="A1213" s="7" t="s">
        <v>2929</v>
      </c>
      <c r="B1213" s="5" t="s">
        <v>10920</v>
      </c>
      <c r="C1213" s="5" t="s">
        <v>18795</v>
      </c>
      <c r="D1213" s="5" t="str">
        <v>234207676710</v>
      </c>
      <c r="E1213" s="0" t="e">
        <f>+7 (800) 4440505
+7 (861) 2254872
+7 (862) 4442735
+7 (8622) 542788
+7 (8622) 544872
+7 (8622) 545728
+7 (8622) 546728
+7 (8622) 547280
+7 (8622) 548297
+7 (8622) 548719
+7 (8622) 548725
+7 (861) 2548728
+7 (862) 4440505
+7 (8622) 440505
+7 (8622) 548131</f>
        <v>#NAME?</v>
      </c>
      <c r="F1213" s="5" t="s">
        <v>29043</v>
      </c>
      <c r="G1213" s="5" t="s">
        <v>29044</v>
      </c>
      <c r="H1213" s="26">
        <v>6.5</v>
      </c>
      <c r="I1213" s="5" t="s">
        <v>29045</v>
      </c>
      <c r="J1213" s="5" t="s">
        <v>27944</v>
      </c>
      <c r="K1213" s="5" t="s">
        <v>344</v>
      </c>
      <c r="L1213" s="5"/>
      <c r="M1213" s="27">
        <v>1258838122</v>
      </c>
      <c r="N1213" s="5" t="s">
        <v>51049</v>
      </c>
      <c r="O1213" s="5" t="str">
        <v>2320242443</v>
      </c>
      <c r="P1213" s="27">
        <v>161793000</v>
      </c>
      <c r="Q1213" s="5" t="s">
        <v>51050</v>
      </c>
      <c r="R1213" s="5"/>
      <c r="S1213" s="5" t="s">
        <v>51051</v>
      </c>
      <c r="T1213" s="28">
        <v>13802995000</v>
      </c>
      <c r="U1213" s="28"/>
      <c r="V1213" s="28">
        <v>374728000</v>
      </c>
      <c r="W1213" s="28"/>
      <c r="X1213" s="28">
        <v>1605606000</v>
      </c>
      <c r="Y1213" s="28">
        <v>15972044000</v>
      </c>
      <c r="Z1213" s="28">
        <v>12881893000</v>
      </c>
      <c r="AA1213" s="28"/>
      <c r="AB1213" s="28"/>
      <c r="AC1213" s="28">
        <v>1334840000</v>
      </c>
      <c r="AD1213" s="28">
        <v>13505311000</v>
      </c>
      <c r="AE1213" s="28">
        <v>3187026000</v>
      </c>
      <c r="AF1213" s="28">
        <v>110073000</v>
      </c>
      <c r="AG1213" s="11"/>
    </row>
    <row r="1214">
      <c r="A1214" s="7" t="s">
        <v>2930</v>
      </c>
      <c r="B1214" s="5" t="s">
        <v>10921</v>
      </c>
      <c r="C1214" s="5" t="s">
        <v>18796</v>
      </c>
      <c r="D1214" s="5" t="str">
        <v>272422194534</v>
      </c>
      <c r="E1214" s="0" t="e">
        <f>+7 (421) 2306305
+7 (411) 2738064
+7 (421) 2222235
+7 (421) 2302157
+7 (421) 2305311
+7 (421) 2305823
+7 (421) 2323252
+7 (421) 2328083
+7 (421) 2378059
+7 (421) 2380987
+7 (421) 2409706
+7 (421) 2227271
+7 (421) 2302344
+7 (421) 2302438
+7 (421) 2328067</f>
        <v>#NAME?</v>
      </c>
      <c r="F1214" s="5" t="s">
        <v>29046</v>
      </c>
      <c r="G1214" s="5" t="s">
        <v>29047</v>
      </c>
      <c r="H1214" s="26">
        <v>25</v>
      </c>
      <c r="I1214" s="5" t="s">
        <v>29048</v>
      </c>
      <c r="J1214" s="5" t="s">
        <v>29042</v>
      </c>
      <c r="K1214" s="5" t="s">
        <v>344</v>
      </c>
      <c r="L1214" s="5"/>
      <c r="M1214" s="27">
        <v>147878843</v>
      </c>
      <c r="N1214" s="5" t="s">
        <v>51052</v>
      </c>
      <c r="O1214" s="5" t="str">
        <v>2700001300</v>
      </c>
      <c r="P1214" s="27">
        <v>9422484085</v>
      </c>
      <c r="Q1214" s="5" t="s">
        <v>51053</v>
      </c>
      <c r="R1214" s="5"/>
      <c r="S1214" s="5" t="s">
        <v>51054</v>
      </c>
      <c r="T1214" s="28">
        <v>18317005000</v>
      </c>
      <c r="U1214" s="28"/>
      <c r="V1214" s="28">
        <v>1121215000</v>
      </c>
      <c r="W1214" s="28"/>
      <c r="X1214" s="28">
        <v>826248000</v>
      </c>
      <c r="Y1214" s="28">
        <v>20705616000</v>
      </c>
      <c r="Z1214" s="28">
        <v>1243972000</v>
      </c>
      <c r="AA1214" s="28"/>
      <c r="AB1214" s="28"/>
      <c r="AC1214" s="28">
        <v>429781000</v>
      </c>
      <c r="AD1214" s="28">
        <v>19975353000</v>
      </c>
      <c r="AE1214" s="28">
        <v>3351324000</v>
      </c>
      <c r="AF1214" s="28">
        <v>1566000</v>
      </c>
      <c r="AG1214" s="11"/>
    </row>
    <row r="1215">
      <c r="A1215" s="7" t="s">
        <v>2931</v>
      </c>
      <c r="B1215" s="5" t="s">
        <v>10922</v>
      </c>
      <c r="C1215" s="5" t="s">
        <v>18797</v>
      </c>
      <c r="D1215" s="5" t="str">
        <v>771508538556</v>
      </c>
      <c r="E1215" s="0" t="e">
        <f>+7 (343) 2784100
+7 (495) 6459455
+7 (903) 7901433
+7 (495) 1780078
+7 (495) 6332896
+7 (495) 6607727
+7 (495) 6638893
+7 (495) 9595307
+7 (495) 9595326
+7 (495) 9595327
+7 (495) 9595367
+7 (495) 9595373
+7 (495) 9595394
+7 (495) 9595545
+7 (861) 9970011</f>
        <v>#NAME?</v>
      </c>
      <c r="F1215" s="5" t="s">
        <v>29049</v>
      </c>
      <c r="G1215" s="5" t="s">
        <v>29050</v>
      </c>
      <c r="H1215" s="26">
        <v>24</v>
      </c>
      <c r="I1215" s="5" t="s">
        <v>29051</v>
      </c>
      <c r="J1215" s="5" t="s">
        <v>678</v>
      </c>
      <c r="K1215" s="5" t="s">
        <v>344</v>
      </c>
      <c r="L1215" s="5" t="s">
        <v>29052</v>
      </c>
      <c r="M1215" s="27">
        <v>199921</v>
      </c>
      <c r="N1215" s="5" t="s">
        <v>51055</v>
      </c>
      <c r="O1215" s="5" t="str">
        <v>7705238125</v>
      </c>
      <c r="P1215" s="27">
        <v>10000</v>
      </c>
      <c r="Q1215" s="5" t="s">
        <v>51056</v>
      </c>
      <c r="R1215" s="5"/>
      <c r="S1215" s="5" t="s">
        <v>51057</v>
      </c>
      <c r="T1215" s="28">
        <v>63750000</v>
      </c>
      <c r="U1215" s="28"/>
      <c r="V1215" s="28">
        <v>1891789000</v>
      </c>
      <c r="W1215" s="28"/>
      <c r="X1215" s="28">
        <v>1170035000</v>
      </c>
      <c r="Y1215" s="28">
        <v>3755549000</v>
      </c>
      <c r="Z1215" s="28">
        <v>1470128000</v>
      </c>
      <c r="AA1215" s="28"/>
      <c r="AB1215" s="28"/>
      <c r="AC1215" s="28">
        <v>2275951000</v>
      </c>
      <c r="AD1215" s="28">
        <v>1470138000</v>
      </c>
      <c r="AE1215" s="28">
        <v>5292954000</v>
      </c>
      <c r="AF1215" s="28">
        <v>492542000</v>
      </c>
      <c r="AG1215" s="11"/>
    </row>
    <row r="1216">
      <c r="A1216" s="7" t="s">
        <v>2932</v>
      </c>
      <c r="B1216" s="5" t="s">
        <v>10923</v>
      </c>
      <c r="C1216" s="5" t="s">
        <v>18798</v>
      </c>
      <c r="D1216" s="5" t="str">
        <v>770400549303</v>
      </c>
      <c r="E1216" s="0" t="e">
        <f>+7 (495) 2239601
+7 (495) 2239612
+7 (495) 2239640
+7 (495) 7305885
+7 (495) 2239645
+7 (495) 2129000
+7 (83146) 18032
+7 (83159) 43013
+7 (985) 9289990</f>
        <v>#NAME?</v>
      </c>
      <c r="F1216" s="5" t="s">
        <v>29053</v>
      </c>
      <c r="G1216" s="5" t="s">
        <v>29054</v>
      </c>
      <c r="H1216" s="26">
        <v>19</v>
      </c>
      <c r="I1216" s="5" t="s">
        <v>29055</v>
      </c>
      <c r="J1216" s="5" t="s">
        <v>28078</v>
      </c>
      <c r="K1216" s="5" t="s">
        <v>344</v>
      </c>
      <c r="L1216" s="5"/>
      <c r="M1216" s="27">
        <v>3566145</v>
      </c>
      <c r="N1216" s="5" t="s">
        <v>51058</v>
      </c>
      <c r="O1216" s="5" t="str">
        <v>7707511820</v>
      </c>
      <c r="P1216" s="27">
        <v>1431726000</v>
      </c>
      <c r="Q1216" s="5" t="s">
        <v>49009</v>
      </c>
      <c r="R1216" s="5"/>
      <c r="S1216" s="5" t="s">
        <v>50230</v>
      </c>
      <c r="T1216" s="28">
        <v>5139724000</v>
      </c>
      <c r="U1216" s="28">
        <v>841855000</v>
      </c>
      <c r="V1216" s="28">
        <v>1002077000</v>
      </c>
      <c r="W1216" s="28">
        <v>70000000</v>
      </c>
      <c r="X1216" s="28">
        <v>135306000</v>
      </c>
      <c r="Y1216" s="28">
        <v>9783187000</v>
      </c>
      <c r="Z1216" s="28">
        <v>557331000</v>
      </c>
      <c r="AA1216" s="28">
        <v>314500000</v>
      </c>
      <c r="AB1216" s="28">
        <v>217721000</v>
      </c>
      <c r="AC1216" s="28">
        <v>2573584000</v>
      </c>
      <c r="AD1216" s="28">
        <v>2022264000</v>
      </c>
      <c r="AE1216" s="28">
        <v>5936965000</v>
      </c>
      <c r="AF1216" s="28">
        <v>376204000</v>
      </c>
      <c r="AG1216" s="11"/>
    </row>
    <row r="1217">
      <c r="A1217" s="7" t="s">
        <v>2933</v>
      </c>
      <c r="B1217" s="5" t="s">
        <v>10924</v>
      </c>
      <c r="C1217" s="5" t="s">
        <v>18799</v>
      </c>
      <c r="D1217" s="5" t="str">
        <v>773603298636</v>
      </c>
      <c r="E1217" s="0" t="e">
        <f>+7 (495) 1145045
+7 (800) 7778550</f>
        <v>#NAME?</v>
      </c>
      <c r="F1217" s="5" t="s">
        <v>29056</v>
      </c>
      <c r="G1217" s="5" t="s">
        <v>29057</v>
      </c>
      <c r="H1217" s="26">
        <v>8.5</v>
      </c>
      <c r="I1217" s="5" t="s">
        <v>29058</v>
      </c>
      <c r="J1217" s="5" t="s">
        <v>25683</v>
      </c>
      <c r="K1217" s="5" t="s">
        <v>355</v>
      </c>
      <c r="L1217" s="5"/>
      <c r="M1217" s="27">
        <v>19059454</v>
      </c>
      <c r="N1217" s="5" t="s">
        <v>51060</v>
      </c>
      <c r="O1217" s="5" t="str">
        <v>7721851829</v>
      </c>
      <c r="P1217" s="27">
        <v>141216388</v>
      </c>
      <c r="Q1217" s="5" t="s">
        <v>49009</v>
      </c>
      <c r="R1217" s="5"/>
      <c r="S1217" s="5" t="s">
        <v>51061</v>
      </c>
      <c r="T1217" s="28">
        <v>1233900000</v>
      </c>
      <c r="U1217" s="28"/>
      <c r="V1217" s="28">
        <v>258927000</v>
      </c>
      <c r="W1217" s="28"/>
      <c r="X1217" s="28">
        <v>502311000</v>
      </c>
      <c r="Y1217" s="28">
        <v>2562583000</v>
      </c>
      <c r="Z1217" s="28">
        <v>-444294000</v>
      </c>
      <c r="AA1217" s="28">
        <v>150503000</v>
      </c>
      <c r="AB1217" s="28">
        <v>21108000</v>
      </c>
      <c r="AC1217" s="28">
        <v>1322264000</v>
      </c>
      <c r="AD1217" s="28">
        <v>476228000</v>
      </c>
      <c r="AE1217" s="28">
        <v>3016298000</v>
      </c>
      <c r="AF1217" s="28">
        <v>21844000</v>
      </c>
      <c r="AG1217" s="11"/>
    </row>
    <row r="1218">
      <c r="A1218" s="7" t="s">
        <v>2934</v>
      </c>
      <c r="B1218" s="5" t="s">
        <v>10925</v>
      </c>
      <c r="C1218" s="5" t="s">
        <v>18800</v>
      </c>
      <c r="D1218" s="5" t="str">
        <v>772880431302</v>
      </c>
      <c r="E1218" s="0" t="e">
        <f>+7 (495) 7836853
+7 (499) 5838629
+7 (499) 5838626
+7 (915) 783333</f>
        <v>#NAME?</v>
      </c>
      <c r="F1218" s="5" t="s">
        <v>29059</v>
      </c>
      <c r="G1218" s="5"/>
      <c r="H1218" s="26">
        <v>5.5</v>
      </c>
      <c r="I1218" s="5" t="s">
        <v>29060</v>
      </c>
      <c r="J1218" s="5" t="s">
        <v>364</v>
      </c>
      <c r="K1218" s="5" t="s">
        <v>344</v>
      </c>
      <c r="L1218" s="5" t="s">
        <v>29061</v>
      </c>
      <c r="M1218" s="27"/>
      <c r="N1218" s="5" t="s">
        <v>51062</v>
      </c>
      <c r="O1218" s="5" t="str">
        <v>7703428441</v>
      </c>
      <c r="P1218" s="27">
        <v>100000</v>
      </c>
      <c r="Q1218" s="5" t="s">
        <v>51063</v>
      </c>
      <c r="R1218" s="5"/>
      <c r="S1218" s="5" t="s">
        <v>51064</v>
      </c>
      <c r="T1218" s="28">
        <v>71239000</v>
      </c>
      <c r="U1218" s="28"/>
      <c r="V1218" s="28">
        <v>1634487000</v>
      </c>
      <c r="W1218" s="28">
        <v>142855000</v>
      </c>
      <c r="X1218" s="28">
        <v>1352188000</v>
      </c>
      <c r="Y1218" s="28">
        <v>3656686000</v>
      </c>
      <c r="Z1218" s="28">
        <v>215082000</v>
      </c>
      <c r="AA1218" s="28">
        <v>600000</v>
      </c>
      <c r="AB1218" s="28">
        <v>35857000</v>
      </c>
      <c r="AC1218" s="28">
        <v>3430606000</v>
      </c>
      <c r="AD1218" s="28">
        <v>215182000</v>
      </c>
      <c r="AE1218" s="28">
        <v>5933811000</v>
      </c>
      <c r="AF1218" s="28">
        <v>154675000</v>
      </c>
      <c r="AG1218" s="11"/>
    </row>
    <row r="1219">
      <c r="A1219" s="7" t="s">
        <v>2935</v>
      </c>
      <c r="B1219" s="5" t="s">
        <v>10926</v>
      </c>
      <c r="C1219" s="5" t="s">
        <v>18801</v>
      </c>
      <c r="D1219" s="5" t="str">
        <v>665806987940</v>
      </c>
      <c r="E1219" s="0" t="e">
        <f>+7 (812) 3243711
+7 (812) 3243444
+7 (812) 3243446
+7 (812) 3243504
+7 (812) 3243614
+7 (812) 3243765
+7 (812) 3243771
+7 (812) 3314192
+7 (812) 3314220
+7 (812) 3314741
+7 (812) 3314748
+7 (812) 3314787
+7 (812) 3314933
+7 (812) 3315244
+7 (812) 3373444</f>
        <v>#NAME?</v>
      </c>
      <c r="F1219" s="5" t="s">
        <v>29062</v>
      </c>
      <c r="G1219" s="5" t="s">
        <v>29063</v>
      </c>
      <c r="H1219" s="26">
        <v>17</v>
      </c>
      <c r="I1219" s="5" t="s">
        <v>29064</v>
      </c>
      <c r="J1219" s="5" t="s">
        <v>27534</v>
      </c>
      <c r="K1219" s="5" t="s">
        <v>344</v>
      </c>
      <c r="L1219" s="5" t="s">
        <v>29065</v>
      </c>
      <c r="M1219" s="27">
        <v>27877767</v>
      </c>
      <c r="N1219" s="5" t="s">
        <v>51065</v>
      </c>
      <c r="O1219" s="5" t="str">
        <v>7703590927</v>
      </c>
      <c r="P1219" s="27">
        <v>1537770000</v>
      </c>
      <c r="Q1219" s="5" t="s">
        <v>51066</v>
      </c>
      <c r="R1219" s="5"/>
      <c r="S1219" s="5" t="s">
        <v>51067</v>
      </c>
      <c r="T1219" s="28">
        <v>35600871000</v>
      </c>
      <c r="U1219" s="28"/>
      <c r="V1219" s="28">
        <v>799489000</v>
      </c>
      <c r="W1219" s="28"/>
      <c r="X1219" s="28">
        <v>4850005000</v>
      </c>
      <c r="Y1219" s="28">
        <v>45269681000</v>
      </c>
      <c r="Z1219" s="28">
        <v>5260214000</v>
      </c>
      <c r="AA1219" s="28"/>
      <c r="AB1219" s="28">
        <v>14221413000</v>
      </c>
      <c r="AC1219" s="28">
        <v>22235688000</v>
      </c>
      <c r="AD1219" s="28">
        <v>16827276000</v>
      </c>
      <c r="AE1219" s="28">
        <v>17230610000</v>
      </c>
      <c r="AF1219" s="28">
        <v>4795886000</v>
      </c>
      <c r="AG1219" s="11"/>
    </row>
    <row r="1220">
      <c r="A1220" s="7" t="s">
        <v>2936</v>
      </c>
      <c r="B1220" s="5" t="s">
        <v>10927</v>
      </c>
      <c r="C1220" s="5" t="s">
        <v>18802</v>
      </c>
      <c r="D1220" s="5" t="str">
        <v>771400327221</v>
      </c>
      <c r="E1220" s="0" t="e">
        <f>+7 (3012) 213023
+7 (3012) 213689
+7 (3012) 214587
+7 (3012) 235351
+7 (3012) 212310
+7 (3012) 213421
+7 (3012) 214081
+7 (3012) 214740
+7 (3012) 215351
+7 (3012) 216949
+7 (3012) 217977
+7 (3012) 231023
+7 (3012) 231555
+7 (3012) 231777
+7 (3012) 232303</f>
        <v>#NAME?</v>
      </c>
      <c r="F1220" s="5" t="s">
        <v>29066</v>
      </c>
      <c r="G1220" s="5" t="s">
        <v>29067</v>
      </c>
      <c r="H1220" s="26">
        <v>29.5</v>
      </c>
      <c r="I1220" s="5" t="s">
        <v>29068</v>
      </c>
      <c r="J1220" s="5" t="s">
        <v>25247</v>
      </c>
      <c r="K1220" s="5" t="s">
        <v>344</v>
      </c>
      <c r="L1220" s="5"/>
      <c r="M1220" s="27">
        <v>31534548</v>
      </c>
      <c r="N1220" s="5" t="s">
        <v>51068</v>
      </c>
      <c r="O1220" s="5" t="str">
        <v>7714072839</v>
      </c>
      <c r="P1220" s="27">
        <v>4545244181</v>
      </c>
      <c r="Q1220" s="5" t="s">
        <v>51069</v>
      </c>
      <c r="R1220" s="5"/>
      <c r="S1220" s="5" t="s">
        <v>51070</v>
      </c>
      <c r="T1220" s="28">
        <v>12927875000</v>
      </c>
      <c r="U1220" s="28">
        <v>405582000</v>
      </c>
      <c r="V1220" s="28">
        <v>2585711000</v>
      </c>
      <c r="W1220" s="28"/>
      <c r="X1220" s="28">
        <v>7025052000</v>
      </c>
      <c r="Y1220" s="28">
        <v>63115798000</v>
      </c>
      <c r="Z1220" s="28">
        <v>15672777000</v>
      </c>
      <c r="AA1220" s="28">
        <v>1500000000</v>
      </c>
      <c r="AB1220" s="28">
        <v>2000000000</v>
      </c>
      <c r="AC1220" s="28">
        <v>7607338000</v>
      </c>
      <c r="AD1220" s="28">
        <v>20208913000</v>
      </c>
      <c r="AE1220" s="28">
        <v>23524862000</v>
      </c>
      <c r="AF1220" s="28">
        <v>-1354743000</v>
      </c>
      <c r="AG1220" s="11"/>
    </row>
    <row r="1221">
      <c r="A1221" s="7" t="s">
        <v>2937</v>
      </c>
      <c r="B1221" s="5" t="s">
        <v>10928</v>
      </c>
      <c r="C1221" s="5" t="s">
        <v>18803</v>
      </c>
      <c r="D1221" s="5" t="str">
        <v>770701148023</v>
      </c>
      <c r="E1221" s="0" t="e">
        <f>+7 (916) 7814995
+7 (495) 2292721
+7 (495) 5443513
+7 (495) 7302332
+7 (499) 6438200
+7 (499) 6779999
+7 (800) 5505031
+7 (917) 5285848</f>
        <v>#NAME?</v>
      </c>
      <c r="F1221" s="5" t="s">
        <v>29069</v>
      </c>
      <c r="G1221" s="5" t="s">
        <v>29070</v>
      </c>
      <c r="H1221" s="26">
        <v>10</v>
      </c>
      <c r="I1221" s="5" t="s">
        <v>29071</v>
      </c>
      <c r="J1221" s="5" t="s">
        <v>29072</v>
      </c>
      <c r="K1221" s="5" t="s">
        <v>344</v>
      </c>
      <c r="L1221" s="5"/>
      <c r="M1221" s="27"/>
      <c r="N1221" s="5" t="s">
        <v>51071</v>
      </c>
      <c r="O1221" s="5" t="str">
        <v>7717743884</v>
      </c>
      <c r="P1221" s="27">
        <v>2500300000</v>
      </c>
      <c r="Q1221" s="5" t="s">
        <v>49009</v>
      </c>
      <c r="R1221" s="5"/>
      <c r="S1221" s="5" t="s">
        <v>51072</v>
      </c>
      <c r="T1221" s="28">
        <v>3606523000</v>
      </c>
      <c r="U1221" s="28">
        <v>3000</v>
      </c>
      <c r="V1221" s="28">
        <v>120377000</v>
      </c>
      <c r="W1221" s="28"/>
      <c r="X1221" s="28">
        <v>537578000</v>
      </c>
      <c r="Y1221" s="28">
        <v>5308246000</v>
      </c>
      <c r="Z1221" s="28">
        <v>-3709562000</v>
      </c>
      <c r="AA1221" s="28">
        <v>4589000000</v>
      </c>
      <c r="AB1221" s="28">
        <v>1332915000</v>
      </c>
      <c r="AC1221" s="28">
        <v>1780799000</v>
      </c>
      <c r="AD1221" s="28">
        <v>-1182462000</v>
      </c>
      <c r="AE1221" s="28">
        <v>3368573000</v>
      </c>
      <c r="AF1221" s="28">
        <v>33060000</v>
      </c>
      <c r="AG1221" s="11"/>
    </row>
    <row r="1222">
      <c r="A1222" s="7" t="s">
        <v>2938</v>
      </c>
      <c r="B1222" s="5" t="s">
        <v>10929</v>
      </c>
      <c r="C1222" s="5" t="s">
        <v>18804</v>
      </c>
      <c r="D1222" s="5" t="str">
        <v>322300621490</v>
      </c>
      <c r="E1222" s="0" t="e">
        <f>+7 (817) 2558203
+7 (912) 2281605
+7 (817) 2558150
+7 (817) 2558151
+7 (911) 5389169</f>
        <v>#NAME?</v>
      </c>
      <c r="F1222" s="5"/>
      <c r="G1222" s="5"/>
      <c r="H1222" s="26">
        <v>19.5</v>
      </c>
      <c r="I1222" s="5" t="s">
        <v>29073</v>
      </c>
      <c r="J1222" s="5" t="s">
        <v>29074</v>
      </c>
      <c r="K1222" s="5" t="s">
        <v>344</v>
      </c>
      <c r="L1222" s="5"/>
      <c r="M1222" s="27"/>
      <c r="N1222" s="5"/>
      <c r="O1222" s="5" t="str">
        <v>3525130125</v>
      </c>
      <c r="P1222" s="27">
        <v>199435200</v>
      </c>
      <c r="Q1222" s="5"/>
      <c r="R1222" s="5"/>
      <c r="S1222" s="5" t="s">
        <v>49029</v>
      </c>
      <c r="T1222" s="28">
        <v>624222000</v>
      </c>
      <c r="U1222" s="28">
        <v>486464000</v>
      </c>
      <c r="V1222" s="28">
        <v>4902442000</v>
      </c>
      <c r="W1222" s="28"/>
      <c r="X1222" s="28">
        <v>10862000</v>
      </c>
      <c r="Y1222" s="28">
        <v>6241445000</v>
      </c>
      <c r="Z1222" s="28">
        <v>-780921000</v>
      </c>
      <c r="AA1222" s="28">
        <v>4529657000</v>
      </c>
      <c r="AB1222" s="28">
        <v>899401000</v>
      </c>
      <c r="AC1222" s="28">
        <v>1219220000</v>
      </c>
      <c r="AD1222" s="28">
        <v>470386000</v>
      </c>
      <c r="AE1222" s="28">
        <v>17107641000</v>
      </c>
      <c r="AF1222" s="28">
        <v>1880919000</v>
      </c>
      <c r="AG1222" s="11"/>
    </row>
    <row r="1223">
      <c r="A1223" s="7" t="s">
        <v>2939</v>
      </c>
      <c r="B1223" s="5" t="s">
        <v>10930</v>
      </c>
      <c r="C1223" s="5" t="s">
        <v>18805</v>
      </c>
      <c r="D1223" s="5" t="str">
        <v>245727593177</v>
      </c>
      <c r="E1223" s="0" t="e">
        <f>+7 (800) 5554416
+7 (985) 9290454
+7 (343) 3000011
+7 (343) 3333330
+7 (343) 3713111
+7 (3433) 717992
+7 (385) 2590373
+7 (499) 7051000
+7 (800) 7071000
+7 (8342) 222404
+7 (8342) 222988
+7 (844) 2979011
+7 (915) 9998078</f>
        <v>#NAME?</v>
      </c>
      <c r="F1223" s="5" t="s">
        <v>29075</v>
      </c>
      <c r="G1223" s="5" t="s">
        <v>29076</v>
      </c>
      <c r="H1223" s="26">
        <v>16</v>
      </c>
      <c r="I1223" s="5" t="s">
        <v>29077</v>
      </c>
      <c r="J1223" s="5" t="s">
        <v>29078</v>
      </c>
      <c r="K1223" s="5" t="s">
        <v>344</v>
      </c>
      <c r="L1223" s="5" t="s">
        <v>29079</v>
      </c>
      <c r="M1223" s="27"/>
      <c r="N1223" s="5" t="s">
        <v>51073</v>
      </c>
      <c r="O1223" s="5" t="str">
        <v>6674223607</v>
      </c>
      <c r="P1223" s="27">
        <v>139948481</v>
      </c>
      <c r="Q1223" s="5" t="s">
        <v>51075</v>
      </c>
      <c r="R1223" s="5" t="s">
        <v>51076</v>
      </c>
      <c r="S1223" s="5" t="s">
        <v>51077</v>
      </c>
      <c r="T1223" s="28">
        <v>515949000</v>
      </c>
      <c r="U1223" s="28">
        <v>142708000</v>
      </c>
      <c r="V1223" s="28">
        <v>916965000</v>
      </c>
      <c r="W1223" s="28">
        <v>553224000</v>
      </c>
      <c r="X1223" s="28">
        <v>45106000</v>
      </c>
      <c r="Y1223" s="28">
        <v>2638825000</v>
      </c>
      <c r="Z1223" s="28">
        <v>734278000</v>
      </c>
      <c r="AA1223" s="28">
        <v>684135000</v>
      </c>
      <c r="AB1223" s="28">
        <v>5219000</v>
      </c>
      <c r="AC1223" s="28">
        <v>665133000</v>
      </c>
      <c r="AD1223" s="28">
        <v>874226000</v>
      </c>
      <c r="AE1223" s="28">
        <v>3802203000</v>
      </c>
      <c r="AF1223" s="28">
        <v>14706000</v>
      </c>
      <c r="AG1223" s="11"/>
    </row>
    <row r="1224">
      <c r="A1224" s="7" t="s">
        <v>2940</v>
      </c>
      <c r="B1224" s="5" t="s">
        <v>10931</v>
      </c>
      <c r="C1224" s="5" t="s">
        <v>18806</v>
      </c>
      <c r="D1224" s="5" t="str">
        <v>166108117905</v>
      </c>
      <c r="E1224" s="0" t="e">
        <f>+7 (905) 254557
+7 (960) 481709
+7 (986) 7200086
+7 (8432) 960046</f>
        <v>#NAME?</v>
      </c>
      <c r="F1224" s="5"/>
      <c r="G1224" s="5"/>
      <c r="H1224" s="26">
        <v>11</v>
      </c>
      <c r="I1224" s="5" t="s">
        <v>29080</v>
      </c>
      <c r="J1224" s="5" t="s">
        <v>467</v>
      </c>
      <c r="K1224" s="5" t="s">
        <v>344</v>
      </c>
      <c r="L1224" s="5"/>
      <c r="M1224" s="27"/>
      <c r="N1224" s="5" t="s">
        <v>51078</v>
      </c>
      <c r="O1224" s="5" t="str">
        <v>1657116772</v>
      </c>
      <c r="P1224" s="27">
        <v>10000</v>
      </c>
      <c r="Q1224" s="5" t="s">
        <v>51079</v>
      </c>
      <c r="R1224" s="5"/>
      <c r="S1224" s="5" t="s">
        <v>51080</v>
      </c>
      <c r="T1224" s="28">
        <v>95401000</v>
      </c>
      <c r="U1224" s="28"/>
      <c r="V1224" s="28">
        <v>960045000</v>
      </c>
      <c r="W1224" s="28">
        <v>1030890000</v>
      </c>
      <c r="X1224" s="28">
        <v>2121050000</v>
      </c>
      <c r="Y1224" s="28">
        <v>4399379000</v>
      </c>
      <c r="Z1224" s="28">
        <v>151094000</v>
      </c>
      <c r="AA1224" s="28"/>
      <c r="AB1224" s="28">
        <v>2510431000</v>
      </c>
      <c r="AC1224" s="28">
        <v>4224887000</v>
      </c>
      <c r="AD1224" s="28">
        <v>151104000</v>
      </c>
      <c r="AE1224" s="28">
        <v>5418739000</v>
      </c>
      <c r="AF1224" s="28">
        <v>77147000</v>
      </c>
      <c r="AG1224" s="11"/>
    </row>
    <row r="1225">
      <c r="A1225" s="7" t="s">
        <v>2941</v>
      </c>
      <c r="B1225" s="5" t="s">
        <v>10932</v>
      </c>
      <c r="C1225" s="5" t="s">
        <v>18807</v>
      </c>
      <c r="D1225" s="5" t="str">
        <v>781650481166</v>
      </c>
      <c r="E1225" s="0" t="e">
        <f>+7 (495) 5393174
+7 (495) 5393175
+7 (495) 5393176
+7 (495) 5393177
+7 (495) 5393178
+7 (495) 5393179
+7 (495) 7773898</f>
        <v>#NAME?</v>
      </c>
      <c r="F1225" s="5"/>
      <c r="G1225" s="5" t="s">
        <v>29081</v>
      </c>
      <c r="H1225" s="26">
        <v>8.5</v>
      </c>
      <c r="I1225" s="5" t="s">
        <v>29082</v>
      </c>
      <c r="J1225" s="5" t="s">
        <v>502</v>
      </c>
      <c r="K1225" s="5" t="s">
        <v>344</v>
      </c>
      <c r="L1225" s="5" t="s">
        <v>29083</v>
      </c>
      <c r="M1225" s="27"/>
      <c r="N1225" s="5"/>
      <c r="O1225" s="5" t="str">
        <v>7718989383</v>
      </c>
      <c r="P1225" s="27">
        <v>65000000000</v>
      </c>
      <c r="Q1225" s="5" t="s">
        <v>51081</v>
      </c>
      <c r="R1225" s="5"/>
      <c r="S1225" s="5" t="s">
        <v>49053</v>
      </c>
      <c r="T1225" s="28">
        <v>144115000</v>
      </c>
      <c r="U1225" s="28">
        <v>213257237000</v>
      </c>
      <c r="V1225" s="28">
        <v>186529000</v>
      </c>
      <c r="W1225" s="28">
        <v>139745090000</v>
      </c>
      <c r="X1225" s="28">
        <v>113609000</v>
      </c>
      <c r="Y1225" s="28">
        <v>387822855000</v>
      </c>
      <c r="Z1225" s="28">
        <v>70314881000</v>
      </c>
      <c r="AA1225" s="28">
        <v>94898844000</v>
      </c>
      <c r="AB1225" s="28">
        <v>141710229000</v>
      </c>
      <c r="AC1225" s="28">
        <v>141750383000</v>
      </c>
      <c r="AD1225" s="28">
        <v>151170694000</v>
      </c>
      <c r="AE1225" s="28">
        <v>18436459000</v>
      </c>
      <c r="AF1225" s="28">
        <v>14039660000</v>
      </c>
      <c r="AG1225" s="11"/>
    </row>
    <row r="1226">
      <c r="A1226" s="7" t="s">
        <v>2942</v>
      </c>
      <c r="B1226" s="5" t="s">
        <v>10933</v>
      </c>
      <c r="C1226" s="5" t="s">
        <v>18808</v>
      </c>
      <c r="D1226" s="5" t="str">
        <v>645209847583</v>
      </c>
      <c r="E1226" s="0" t="e">
        <f>+7 (84593) 59230
+7 (84593) 59517
+7 (84593) 60930
+7 (906) 3184183</f>
        <v>#NAME?</v>
      </c>
      <c r="F1226" s="5" t="s">
        <v>29084</v>
      </c>
      <c r="G1226" s="5" t="s">
        <v>29085</v>
      </c>
      <c r="H1226" s="26">
        <v>10</v>
      </c>
      <c r="I1226" s="5"/>
      <c r="J1226" s="5" t="s">
        <v>29086</v>
      </c>
      <c r="K1226" s="5" t="s">
        <v>344</v>
      </c>
      <c r="L1226" s="5" t="s">
        <v>29087</v>
      </c>
      <c r="M1226" s="27">
        <v>138646</v>
      </c>
      <c r="N1226" s="5"/>
      <c r="O1226" s="5" t="str">
        <v>6441021742</v>
      </c>
      <c r="P1226" s="27">
        <v>397269045</v>
      </c>
      <c r="Q1226" s="5" t="s">
        <v>49009</v>
      </c>
      <c r="R1226" s="5" t="s">
        <v>51082</v>
      </c>
      <c r="S1226" s="5" t="s">
        <v>49066</v>
      </c>
      <c r="T1226" s="28">
        <v>761611000</v>
      </c>
      <c r="U1226" s="28">
        <v>257900000</v>
      </c>
      <c r="V1226" s="28">
        <v>1702067000</v>
      </c>
      <c r="W1226" s="28">
        <v>339000000</v>
      </c>
      <c r="X1226" s="28">
        <v>24020000</v>
      </c>
      <c r="Y1226" s="28">
        <v>3859789000</v>
      </c>
      <c r="Z1226" s="28">
        <v>1816494000</v>
      </c>
      <c r="AA1226" s="28">
        <v>4454000</v>
      </c>
      <c r="AB1226" s="28"/>
      <c r="AC1226" s="28">
        <v>680193000</v>
      </c>
      <c r="AD1226" s="28">
        <v>3149079000</v>
      </c>
      <c r="AE1226" s="28">
        <v>4072462000</v>
      </c>
      <c r="AF1226" s="28">
        <v>842942000</v>
      </c>
      <c r="AG1226" s="11"/>
    </row>
    <row r="1227">
      <c r="A1227" s="7" t="s">
        <v>2943</v>
      </c>
      <c r="B1227" s="5" t="s">
        <v>10934</v>
      </c>
      <c r="C1227" s="5" t="s">
        <v>18809</v>
      </c>
      <c r="D1227" s="5" t="str">
        <v>470412010645</v>
      </c>
      <c r="E1227" s="0" t="e">
        <f>+7 (83144) 93363
+7 (83144) 41010
+7 (83144) 41011
+7 (83144) 45393
+7 (83144) 45400
+7 (83144) 93352
+7 (83144) 93365
+7 (83144) 93406
+7 (83144) 93431
+7 (83144) 93479
+7 (83144) 93485
+7 (83144) 93494
+7 (83144) 93527
+7 (83144) 93533
+7 (83144) 93534</f>
        <v>#NAME?</v>
      </c>
      <c r="F1227" s="5" t="s">
        <v>29088</v>
      </c>
      <c r="G1227" s="5" t="s">
        <v>29089</v>
      </c>
      <c r="H1227" s="26">
        <v>29</v>
      </c>
      <c r="I1227" s="5"/>
      <c r="J1227" s="5" t="s">
        <v>26536</v>
      </c>
      <c r="K1227" s="5" t="s">
        <v>344</v>
      </c>
      <c r="L1227" s="5" t="s">
        <v>29090</v>
      </c>
      <c r="M1227" s="27">
        <v>982764</v>
      </c>
      <c r="N1227" s="5" t="s">
        <v>51083</v>
      </c>
      <c r="O1227" s="5" t="str">
        <v>5244009279</v>
      </c>
      <c r="P1227" s="27">
        <v>1121839000</v>
      </c>
      <c r="Q1227" s="5" t="s">
        <v>51085</v>
      </c>
      <c r="R1227" s="5" t="s">
        <v>51086</v>
      </c>
      <c r="S1227" s="5" t="s">
        <v>49070</v>
      </c>
      <c r="T1227" s="28">
        <v>6306738000</v>
      </c>
      <c r="U1227" s="28">
        <v>36000</v>
      </c>
      <c r="V1227" s="28">
        <v>1677691000</v>
      </c>
      <c r="W1227" s="28"/>
      <c r="X1227" s="28">
        <v>2658268000</v>
      </c>
      <c r="Y1227" s="28">
        <v>13221963000</v>
      </c>
      <c r="Z1227" s="28">
        <v>4967643000</v>
      </c>
      <c r="AA1227" s="28">
        <v>2152431000</v>
      </c>
      <c r="AB1227" s="28">
        <v>855264000</v>
      </c>
      <c r="AC1227" s="28">
        <v>2201371000</v>
      </c>
      <c r="AD1227" s="28">
        <v>7833774000</v>
      </c>
      <c r="AE1227" s="28">
        <v>13832675000</v>
      </c>
      <c r="AF1227" s="28">
        <v>2569035000</v>
      </c>
      <c r="AG1227" s="11"/>
    </row>
    <row r="1228">
      <c r="A1228" s="7" t="s">
        <v>2944</v>
      </c>
      <c r="B1228" s="5" t="s">
        <v>10935</v>
      </c>
      <c r="C1228" s="5" t="s">
        <v>18810</v>
      </c>
      <c r="D1228" s="5" t="str">
        <v>165505138530</v>
      </c>
      <c r="E1228" s="0" t="e">
        <f>+7 (8432) 41765
+7 (903) 3074684
+7 (843) 2994220
+7 (843) 2994284
+7 (966) 2601525</f>
        <v>#NAME?</v>
      </c>
      <c r="F1228" s="5"/>
      <c r="G1228" s="5"/>
      <c r="H1228" s="26">
        <v>20</v>
      </c>
      <c r="I1228" s="5" t="s">
        <v>29091</v>
      </c>
      <c r="J1228" s="5" t="s">
        <v>467</v>
      </c>
      <c r="K1228" s="5" t="s">
        <v>344</v>
      </c>
      <c r="L1228" s="5" t="s">
        <v>29092</v>
      </c>
      <c r="M1228" s="27"/>
      <c r="N1228" s="5" t="s">
        <v>51087</v>
      </c>
      <c r="O1228" s="5" t="str">
        <v>1615004844</v>
      </c>
      <c r="P1228" s="27">
        <v>2878788</v>
      </c>
      <c r="Q1228" s="5" t="s">
        <v>51088</v>
      </c>
      <c r="R1228" s="5"/>
      <c r="S1228" s="5" t="s">
        <v>51089</v>
      </c>
      <c r="T1228" s="28">
        <v>361633000</v>
      </c>
      <c r="U1228" s="28"/>
      <c r="V1228" s="28">
        <v>607330000</v>
      </c>
      <c r="W1228" s="28">
        <v>411271000</v>
      </c>
      <c r="X1228" s="28">
        <v>18513000</v>
      </c>
      <c r="Y1228" s="28">
        <v>1581156000</v>
      </c>
      <c r="Z1228" s="28">
        <v>488337000</v>
      </c>
      <c r="AA1228" s="28"/>
      <c r="AB1228" s="28">
        <v>117189000</v>
      </c>
      <c r="AC1228" s="28">
        <v>1087674000</v>
      </c>
      <c r="AD1228" s="28">
        <v>491216000</v>
      </c>
      <c r="AE1228" s="28">
        <v>5943922000</v>
      </c>
      <c r="AF1228" s="28">
        <v>65886000</v>
      </c>
      <c r="AG1228" s="11"/>
    </row>
    <row r="1229">
      <c r="A1229" s="7" t="s">
        <v>2945</v>
      </c>
      <c r="B1229" s="5" t="s">
        <v>10936</v>
      </c>
      <c r="C1229" s="5" t="s">
        <v>18811</v>
      </c>
      <c r="D1229" s="5" t="str">
        <v>770506550002</v>
      </c>
      <c r="E1229" s="0" t="e">
        <f>+7 (83143) 13002
+7 (83146) 18011
+7 (831) 4340409
+7 (831) 2960100
+7 (831) 2960101
+7 (495) 9330605
+7 (83143) 914
+7 (83143) 1441
+7 (83143) 3283
+7 (83143) 13001
+7 (83143) 33430
+7 (83143) 40415
+7 (83143) 41432
+7 (83143) 42384</f>
        <v>#NAME?</v>
      </c>
      <c r="F1229" s="5" t="s">
        <v>29093</v>
      </c>
      <c r="G1229" s="5" t="s">
        <v>29094</v>
      </c>
      <c r="H1229" s="26">
        <v>29</v>
      </c>
      <c r="I1229" s="5"/>
      <c r="J1229" s="5" t="s">
        <v>26992</v>
      </c>
      <c r="K1229" s="5" t="s">
        <v>344</v>
      </c>
      <c r="L1229" s="5"/>
      <c r="M1229" s="27"/>
      <c r="N1229" s="5" t="s">
        <v>51090</v>
      </c>
      <c r="O1229" s="5" t="str">
        <v>5260902190</v>
      </c>
      <c r="P1229" s="27">
        <v>3340478500</v>
      </c>
      <c r="Q1229" s="5" t="s">
        <v>49009</v>
      </c>
      <c r="R1229" s="5" t="s">
        <v>51091</v>
      </c>
      <c r="S1229" s="5" t="s">
        <v>49175</v>
      </c>
      <c r="T1229" s="28">
        <v>31409402000</v>
      </c>
      <c r="U1229" s="28">
        <v>222992000</v>
      </c>
      <c r="V1229" s="28">
        <v>5939312000</v>
      </c>
      <c r="W1229" s="28"/>
      <c r="X1229" s="28">
        <v>6783112000</v>
      </c>
      <c r="Y1229" s="28">
        <v>51266726000</v>
      </c>
      <c r="Z1229" s="28">
        <v>21917000000</v>
      </c>
      <c r="AA1229" s="28">
        <v>12539767000</v>
      </c>
      <c r="AB1229" s="28">
        <v>1313605000</v>
      </c>
      <c r="AC1229" s="28">
        <v>4532143000</v>
      </c>
      <c r="AD1229" s="28">
        <v>33884237000</v>
      </c>
      <c r="AE1229" s="28">
        <v>28410000000</v>
      </c>
      <c r="AF1229" s="28">
        <v>4273691000</v>
      </c>
      <c r="AG1229" s="11"/>
    </row>
    <row r="1230">
      <c r="A1230" s="7" t="s">
        <v>2946</v>
      </c>
      <c r="B1230" s="5" t="s">
        <v>10937</v>
      </c>
      <c r="C1230" s="5" t="s">
        <v>18812</v>
      </c>
      <c r="D1230" s="5" t="str">
        <v>343504678958</v>
      </c>
      <c r="E1230" s="0" t="e">
        <f>+7 (8443) 581030
+7 (8443) 582434
+7 (8443) 587623
+7 (905) 3926166
+7 (937) 6957300</f>
        <v>#NAME?</v>
      </c>
      <c r="F1230" s="5" t="s">
        <v>29095</v>
      </c>
      <c r="G1230" s="5"/>
      <c r="H1230" s="26">
        <v>8.5</v>
      </c>
      <c r="I1230" s="5" t="s">
        <v>28244</v>
      </c>
      <c r="J1230" s="5" t="s">
        <v>28245</v>
      </c>
      <c r="K1230" s="5" t="s">
        <v>344</v>
      </c>
      <c r="L1230" s="5"/>
      <c r="M1230" s="27">
        <v>3396859</v>
      </c>
      <c r="N1230" s="5" t="s">
        <v>51092</v>
      </c>
      <c r="O1230" s="5" t="str">
        <v>3435315114</v>
      </c>
      <c r="P1230" s="27">
        <v>10000</v>
      </c>
      <c r="Q1230" s="5" t="s">
        <v>51093</v>
      </c>
      <c r="R1230" s="5" t="s">
        <v>51094</v>
      </c>
      <c r="S1230" s="5" t="s">
        <v>51095</v>
      </c>
      <c r="T1230" s="28">
        <v>115918000</v>
      </c>
      <c r="U1230" s="28">
        <v>10000</v>
      </c>
      <c r="V1230" s="28">
        <v>1679710000</v>
      </c>
      <c r="W1230" s="28">
        <v>79185000</v>
      </c>
      <c r="X1230" s="28">
        <v>65083000</v>
      </c>
      <c r="Y1230" s="28">
        <v>2977200000</v>
      </c>
      <c r="Z1230" s="28">
        <v>439201000</v>
      </c>
      <c r="AA1230" s="28">
        <v>36131000</v>
      </c>
      <c r="AB1230" s="28">
        <v>26529000</v>
      </c>
      <c r="AC1230" s="28">
        <v>2408353000</v>
      </c>
      <c r="AD1230" s="28">
        <v>439211000</v>
      </c>
      <c r="AE1230" s="28">
        <v>7902569000</v>
      </c>
      <c r="AF1230" s="28">
        <v>433675000</v>
      </c>
      <c r="AG1230" s="11"/>
    </row>
    <row r="1231">
      <c r="A1231" s="7" t="s">
        <v>2947</v>
      </c>
      <c r="B1231" s="5" t="s">
        <v>10938</v>
      </c>
      <c r="C1231" s="5" t="s">
        <v>18813</v>
      </c>
      <c r="D1231" s="5" t="str">
        <v>344105429983</v>
      </c>
      <c r="E1231" s="0" t="e">
        <f>+7 (8443) 589633
+7 (961) 727979</f>
        <v>#NAME?</v>
      </c>
      <c r="F1231" s="5" t="s">
        <v>29096</v>
      </c>
      <c r="G1231" s="5" t="s">
        <v>29097</v>
      </c>
      <c r="H1231" s="26">
        <v>12</v>
      </c>
      <c r="I1231" s="5" t="s">
        <v>29098</v>
      </c>
      <c r="J1231" s="5" t="s">
        <v>28245</v>
      </c>
      <c r="K1231" s="5" t="s">
        <v>380</v>
      </c>
      <c r="L1231" s="5"/>
      <c r="M1231" s="27"/>
      <c r="N1231" s="5" t="s">
        <v>51096</v>
      </c>
      <c r="O1231" s="5" t="str">
        <v>3435107555</v>
      </c>
      <c r="P1231" s="27">
        <v>10000000</v>
      </c>
      <c r="Q1231" s="5" t="s">
        <v>51097</v>
      </c>
      <c r="R1231" s="5"/>
      <c r="S1231" s="5" t="s">
        <v>51098</v>
      </c>
      <c r="T1231" s="28">
        <v>233604000</v>
      </c>
      <c r="U1231" s="28"/>
      <c r="V1231" s="28">
        <v>1180334000</v>
      </c>
      <c r="W1231" s="28">
        <v>370443000</v>
      </c>
      <c r="X1231" s="28">
        <v>9944000</v>
      </c>
      <c r="Y1231" s="28">
        <v>2008540000</v>
      </c>
      <c r="Z1231" s="28">
        <v>3640000</v>
      </c>
      <c r="AA1231" s="28">
        <v>425728000</v>
      </c>
      <c r="AB1231" s="28">
        <v>25178000</v>
      </c>
      <c r="AC1231" s="28">
        <v>1546895000</v>
      </c>
      <c r="AD1231" s="28">
        <v>13640000</v>
      </c>
      <c r="AE1231" s="28">
        <v>3930435000</v>
      </c>
      <c r="AF1231" s="28">
        <v>11061000</v>
      </c>
      <c r="AG1231" s="11"/>
    </row>
    <row r="1232">
      <c r="A1232" s="7" t="s">
        <v>2948</v>
      </c>
      <c r="B1232" s="5" t="s">
        <v>10939</v>
      </c>
      <c r="C1232" s="5" t="s">
        <v>18814</v>
      </c>
      <c r="D1232" s="5" t="str">
        <v>166103615590</v>
      </c>
      <c r="E1232" s="0" t="e">
        <f>+7 (8435) 181443
+7 (8435) 181540
+7 (8435) 186874</f>
        <v>#NAME?</v>
      </c>
      <c r="F1232" s="5" t="s">
        <v>29099</v>
      </c>
      <c r="G1232" s="5" t="s">
        <v>29100</v>
      </c>
      <c r="H1232" s="26">
        <v>14.5</v>
      </c>
      <c r="I1232" s="5" t="s">
        <v>29101</v>
      </c>
      <c r="J1232" s="5" t="s">
        <v>1081</v>
      </c>
      <c r="K1232" s="5" t="s">
        <v>344</v>
      </c>
      <c r="L1232" s="5" t="s">
        <v>29102</v>
      </c>
      <c r="M1232" s="27">
        <v>3302447</v>
      </c>
      <c r="N1232" s="5" t="s">
        <v>49718</v>
      </c>
      <c r="O1232" s="5" t="str">
        <v>1614009744</v>
      </c>
      <c r="P1232" s="27">
        <v>60606</v>
      </c>
      <c r="Q1232" s="5" t="s">
        <v>51099</v>
      </c>
      <c r="R1232" s="5"/>
      <c r="S1232" s="5" t="s">
        <v>51100</v>
      </c>
      <c r="T1232" s="28">
        <v>3391185000</v>
      </c>
      <c r="U1232" s="28"/>
      <c r="V1232" s="28">
        <v>10719313000</v>
      </c>
      <c r="W1232" s="28">
        <v>1099249000</v>
      </c>
      <c r="X1232" s="28">
        <v>1658517000</v>
      </c>
      <c r="Y1232" s="28">
        <v>23129023000</v>
      </c>
      <c r="Z1232" s="28">
        <v>1392640000</v>
      </c>
      <c r="AA1232" s="28">
        <v>659459000</v>
      </c>
      <c r="AB1232" s="28">
        <v>191545000</v>
      </c>
      <c r="AC1232" s="28">
        <v>17265835000</v>
      </c>
      <c r="AD1232" s="28">
        <v>1392701000</v>
      </c>
      <c r="AE1232" s="28">
        <v>19310596000</v>
      </c>
      <c r="AF1232" s="28">
        <v>874149000</v>
      </c>
      <c r="AG1232" s="11"/>
    </row>
    <row r="1233">
      <c r="A1233" s="7" t="s">
        <v>2949</v>
      </c>
      <c r="B1233" s="5" t="s">
        <v>10940</v>
      </c>
      <c r="C1233" s="5" t="s">
        <v>18815</v>
      </c>
      <c r="D1233" s="5" t="str">
        <v>632301003950</v>
      </c>
      <c r="E1233" s="0" t="e">
        <f>+7 (848) 2561101
+7 (848) 2561102
+7 (8482) 207045
+7 (927) 291110
+7 (937) 1831020</f>
        <v>#NAME?</v>
      </c>
      <c r="F1233" s="5"/>
      <c r="G1233" s="5" t="s">
        <v>29103</v>
      </c>
      <c r="H1233" s="26">
        <v>12</v>
      </c>
      <c r="I1233" s="5" t="s">
        <v>29104</v>
      </c>
      <c r="J1233" s="5" t="s">
        <v>26770</v>
      </c>
      <c r="K1233" s="5" t="s">
        <v>344</v>
      </c>
      <c r="L1233" s="5" t="s">
        <v>29105</v>
      </c>
      <c r="M1233" s="27"/>
      <c r="N1233" s="5"/>
      <c r="O1233" s="5" t="str">
        <v>6324014406</v>
      </c>
      <c r="P1233" s="27">
        <v>7000000</v>
      </c>
      <c r="Q1233" s="5"/>
      <c r="R1233" s="5"/>
      <c r="S1233" s="5" t="s">
        <v>49121</v>
      </c>
      <c r="T1233" s="28">
        <v>184000</v>
      </c>
      <c r="U1233" s="28"/>
      <c r="V1233" s="28">
        <v>57540000</v>
      </c>
      <c r="W1233" s="28"/>
      <c r="X1233" s="28">
        <v>397046000</v>
      </c>
      <c r="Y1233" s="28">
        <v>717847000</v>
      </c>
      <c r="Z1233" s="28">
        <v>655607000</v>
      </c>
      <c r="AA1233" s="28"/>
      <c r="AB1233" s="28"/>
      <c r="AC1233" s="28">
        <v>55240000</v>
      </c>
      <c r="AD1233" s="28">
        <v>662607000</v>
      </c>
      <c r="AE1233" s="28">
        <v>4533663000</v>
      </c>
      <c r="AF1233" s="28">
        <v>296462000</v>
      </c>
      <c r="AG1233" s="11"/>
    </row>
    <row r="1234">
      <c r="A1234" s="7" t="s">
        <v>2950</v>
      </c>
      <c r="B1234" s="5" t="s">
        <v>10941</v>
      </c>
      <c r="C1234" s="5" t="s">
        <v>18816</v>
      </c>
      <c r="D1234" s="5" t="str">
        <v>637770915929</v>
      </c>
      <c r="E1234" s="0" t="e">
        <f>+7 (927) 6920133</f>
        <v>#NAME?</v>
      </c>
      <c r="F1234" s="5"/>
      <c r="G1234" s="5"/>
      <c r="H1234" s="26">
        <v>8</v>
      </c>
      <c r="I1234" s="5" t="s">
        <v>29106</v>
      </c>
      <c r="J1234" s="5" t="s">
        <v>27115</v>
      </c>
      <c r="K1234" s="5" t="s">
        <v>344</v>
      </c>
      <c r="L1234" s="5" t="s">
        <v>29107</v>
      </c>
      <c r="M1234" s="27">
        <v>98814020</v>
      </c>
      <c r="N1234" s="5"/>
      <c r="O1234" s="5" t="str">
        <v>6312146373</v>
      </c>
      <c r="P1234" s="27">
        <v>10000</v>
      </c>
      <c r="Q1234" s="5" t="s">
        <v>49057</v>
      </c>
      <c r="R1234" s="5"/>
      <c r="S1234" s="5" t="s">
        <v>49101</v>
      </c>
      <c r="T1234" s="28">
        <v>36938000</v>
      </c>
      <c r="U1234" s="28"/>
      <c r="V1234" s="28">
        <v>220204000</v>
      </c>
      <c r="W1234" s="28">
        <v>535000000</v>
      </c>
      <c r="X1234" s="28">
        <v>25428000</v>
      </c>
      <c r="Y1234" s="28">
        <v>964790000</v>
      </c>
      <c r="Z1234" s="28">
        <v>53414000</v>
      </c>
      <c r="AA1234" s="28"/>
      <c r="AB1234" s="28"/>
      <c r="AC1234" s="28">
        <v>911219000</v>
      </c>
      <c r="AD1234" s="28">
        <v>53424000</v>
      </c>
      <c r="AE1234" s="28">
        <v>3745010000</v>
      </c>
      <c r="AF1234" s="28">
        <v>46714000</v>
      </c>
      <c r="AG1234" s="11"/>
    </row>
    <row r="1235">
      <c r="A1235" s="7" t="s">
        <v>2951</v>
      </c>
      <c r="B1235" s="5" t="s">
        <v>10942</v>
      </c>
      <c r="C1235" s="5" t="s">
        <v>18817</v>
      </c>
      <c r="D1235" s="5" t="str">
        <v>773462807503</v>
      </c>
      <c r="E1235" s="0" t="e">
        <f>+7 (495) 9334578
+7 (495) 9358655
+7 (495) 1285445
+7 (495) 7960448
+7 (49677) 64865
+7 (903) 1237466
+7 (916) 1772024
+7 (926) 122442
+7 (926) 2056658
+7 (963) 6929243
+7 (985) 3064177</f>
        <v>#NAME?</v>
      </c>
      <c r="F1235" s="5" t="s">
        <v>29108</v>
      </c>
      <c r="G1235" s="5" t="s">
        <v>29109</v>
      </c>
      <c r="H1235" s="26">
        <v>15.5</v>
      </c>
      <c r="I1235" s="5" t="s">
        <v>29110</v>
      </c>
      <c r="J1235" s="5" t="s">
        <v>373</v>
      </c>
      <c r="K1235" s="5" t="s">
        <v>344</v>
      </c>
      <c r="L1235" s="5" t="s">
        <v>29111</v>
      </c>
      <c r="M1235" s="27"/>
      <c r="N1235" s="5" t="s">
        <v>51101</v>
      </c>
      <c r="O1235" s="5" t="str">
        <v>5043032214</v>
      </c>
      <c r="P1235" s="27">
        <v>2000000</v>
      </c>
      <c r="Q1235" s="5" t="s">
        <v>51102</v>
      </c>
      <c r="R1235" s="5"/>
      <c r="S1235" s="5" t="s">
        <v>51103</v>
      </c>
      <c r="T1235" s="28">
        <v>14403000</v>
      </c>
      <c r="U1235" s="28"/>
      <c r="V1235" s="28">
        <v>553267000</v>
      </c>
      <c r="W1235" s="28"/>
      <c r="X1235" s="28">
        <v>1885000</v>
      </c>
      <c r="Y1235" s="28">
        <v>713844000</v>
      </c>
      <c r="Z1235" s="28">
        <v>276528000</v>
      </c>
      <c r="AA1235" s="28"/>
      <c r="AB1235" s="28">
        <v>352588000</v>
      </c>
      <c r="AC1235" s="28">
        <v>420957000</v>
      </c>
      <c r="AD1235" s="28">
        <v>278528000</v>
      </c>
      <c r="AE1235" s="28">
        <v>3890318000</v>
      </c>
      <c r="AF1235" s="28">
        <v>37575000</v>
      </c>
      <c r="AG1235" s="11"/>
    </row>
    <row r="1236">
      <c r="A1236" s="7" t="s">
        <v>2952</v>
      </c>
      <c r="B1236" s="5" t="s">
        <v>10943</v>
      </c>
      <c r="C1236" s="5" t="s">
        <v>18818</v>
      </c>
      <c r="D1236" s="5" t="str">
        <v>505078089825</v>
      </c>
      <c r="E1236" s="0" t="e">
        <f>+7 (494) 2491900
+7 (494) 2491901
+7 (494) 2491919</f>
        <v>#NAME?</v>
      </c>
      <c r="F1236" s="5" t="s">
        <v>29112</v>
      </c>
      <c r="G1236" s="5" t="s">
        <v>29113</v>
      </c>
      <c r="H1236" s="26">
        <v>17.5</v>
      </c>
      <c r="I1236" s="5" t="s">
        <v>29114</v>
      </c>
      <c r="J1236" s="5" t="s">
        <v>29115</v>
      </c>
      <c r="K1236" s="5" t="s">
        <v>344</v>
      </c>
      <c r="L1236" s="5" t="s">
        <v>29116</v>
      </c>
      <c r="M1236" s="27"/>
      <c r="N1236" s="5"/>
      <c r="O1236" s="5" t="str">
        <v>4401055212</v>
      </c>
      <c r="P1236" s="27">
        <v>177195222</v>
      </c>
      <c r="Q1236" s="5"/>
      <c r="R1236" s="5"/>
      <c r="S1236" s="5" t="s">
        <v>49029</v>
      </c>
      <c r="T1236" s="28">
        <v>520664000</v>
      </c>
      <c r="U1236" s="28">
        <v>311210000</v>
      </c>
      <c r="V1236" s="28">
        <v>1463007000</v>
      </c>
      <c r="W1236" s="28"/>
      <c r="X1236" s="28">
        <v>80760000</v>
      </c>
      <c r="Y1236" s="28">
        <v>2860741000</v>
      </c>
      <c r="Z1236" s="28">
        <v>1133612000</v>
      </c>
      <c r="AA1236" s="28">
        <v>554489000</v>
      </c>
      <c r="AB1236" s="28">
        <v>399503000</v>
      </c>
      <c r="AC1236" s="28">
        <v>972682000</v>
      </c>
      <c r="AD1236" s="28">
        <v>1310807000</v>
      </c>
      <c r="AE1236" s="28">
        <v>3581567000</v>
      </c>
      <c r="AF1236" s="28">
        <v>201804000</v>
      </c>
      <c r="AG1236" s="11"/>
    </row>
    <row r="1237">
      <c r="A1237" s="7" t="s">
        <v>2953</v>
      </c>
      <c r="B1237" s="5" t="s">
        <v>10944</v>
      </c>
      <c r="C1237" s="5" t="s">
        <v>18819</v>
      </c>
      <c r="D1237" s="5" t="str">
        <v>645007121781</v>
      </c>
      <c r="E1237" s="0" t="e">
        <f>+7 (8452) 338533
+7 (8452) 338535
+7 (905) 317600
+7 (906) 3149435</f>
        <v>#NAME?</v>
      </c>
      <c r="F1237" s="5" t="s">
        <v>29117</v>
      </c>
      <c r="G1237" s="5"/>
      <c r="H1237" s="26">
        <v>11.5</v>
      </c>
      <c r="I1237" s="5" t="s">
        <v>29118</v>
      </c>
      <c r="J1237" s="5" t="s">
        <v>25805</v>
      </c>
      <c r="K1237" s="5" t="s">
        <v>344</v>
      </c>
      <c r="L1237" s="5" t="s">
        <v>29119</v>
      </c>
      <c r="M1237" s="27"/>
      <c r="N1237" s="5"/>
      <c r="O1237" s="5" t="str">
        <v>6452094333</v>
      </c>
      <c r="P1237" s="27">
        <v>10000</v>
      </c>
      <c r="Q1237" s="5"/>
      <c r="R1237" s="5"/>
      <c r="S1237" s="5" t="s">
        <v>49029</v>
      </c>
      <c r="T1237" s="28">
        <v>28803000</v>
      </c>
      <c r="U1237" s="28"/>
      <c r="V1237" s="28">
        <v>507237000</v>
      </c>
      <c r="W1237" s="28"/>
      <c r="X1237" s="28">
        <v>7800000</v>
      </c>
      <c r="Y1237" s="28">
        <v>957875000</v>
      </c>
      <c r="Z1237" s="28">
        <v>364808000</v>
      </c>
      <c r="AA1237" s="28">
        <v>20000000</v>
      </c>
      <c r="AB1237" s="28">
        <v>100000000</v>
      </c>
      <c r="AC1237" s="28">
        <v>572825000</v>
      </c>
      <c r="AD1237" s="28">
        <v>364818000</v>
      </c>
      <c r="AE1237" s="28">
        <v>4343579000</v>
      </c>
      <c r="AF1237" s="28">
        <v>145540000</v>
      </c>
      <c r="AG1237" s="11"/>
    </row>
    <row r="1238">
      <c r="A1238" s="7" t="s">
        <v>2954</v>
      </c>
      <c r="B1238" s="5" t="s">
        <v>10945</v>
      </c>
      <c r="C1238" s="5" t="s">
        <v>18820</v>
      </c>
      <c r="D1238" s="5" t="str">
        <v>380501114939</v>
      </c>
      <c r="E1238" s="0" t="e">
        <f>+7 (831) 2345678
+7 (831) 2403041
+7 (831) 2420307
+7 (831) 2430001
+7 (831) 2430031
+7 (831) 2430083
+7 (831) 2430101
+7 (831) 2430405
+7 (831) 2430414
+7 (831) 2430804
+7 (831) 2432601
+7 (831) 2434121
+7 (831) 2430123
+7 (831) 2430126
+7 (831) 2430564</f>
        <v>#NAME?</v>
      </c>
      <c r="F1238" s="5" t="s">
        <v>29120</v>
      </c>
      <c r="G1238" s="5"/>
      <c r="H1238" s="26">
        <v>16.5</v>
      </c>
      <c r="I1238" s="5"/>
      <c r="J1238" s="5" t="s">
        <v>26623</v>
      </c>
      <c r="K1238" s="5" t="s">
        <v>344</v>
      </c>
      <c r="L1238" s="5" t="s">
        <v>29121</v>
      </c>
      <c r="M1238" s="27">
        <v>5378003</v>
      </c>
      <c r="N1238" s="5" t="s">
        <v>51104</v>
      </c>
      <c r="O1238" s="5" t="str">
        <v>5256062171</v>
      </c>
      <c r="P1238" s="27">
        <v>50300000</v>
      </c>
      <c r="Q1238" s="5" t="s">
        <v>51105</v>
      </c>
      <c r="R1238" s="5"/>
      <c r="S1238" s="5" t="s">
        <v>49271</v>
      </c>
      <c r="T1238" s="28">
        <v>103644000</v>
      </c>
      <c r="U1238" s="28">
        <v>1446265000</v>
      </c>
      <c r="V1238" s="28">
        <v>2742119000</v>
      </c>
      <c r="W1238" s="28">
        <v>4806190000</v>
      </c>
      <c r="X1238" s="28">
        <v>512338000</v>
      </c>
      <c r="Y1238" s="28">
        <v>9634493000</v>
      </c>
      <c r="Z1238" s="28">
        <v>4629481000</v>
      </c>
      <c r="AA1238" s="28">
        <v>4299363000</v>
      </c>
      <c r="AB1238" s="28"/>
      <c r="AC1238" s="28">
        <v>586015000</v>
      </c>
      <c r="AD1238" s="28">
        <v>4682296000</v>
      </c>
      <c r="AE1238" s="28">
        <v>5441302000</v>
      </c>
      <c r="AF1238" s="28">
        <v>486705000</v>
      </c>
      <c r="AG1238" s="11"/>
    </row>
    <row r="1239">
      <c r="A1239" s="7" t="s">
        <v>2955</v>
      </c>
      <c r="B1239" s="5" t="s">
        <v>10946</v>
      </c>
      <c r="C1239" s="5" t="s">
        <v>18821</v>
      </c>
      <c r="D1239" s="5" t="str">
        <v>571600971300</v>
      </c>
      <c r="E1239" s="0" t="e">
        <f>+7 (831) 2161600
+7 (831) 2361866
+7 (831) 2364229
+7 (83143) 61866
+7 (83143) 64229</f>
        <v>#NAME?</v>
      </c>
      <c r="F1239" s="5" t="s">
        <v>29122</v>
      </c>
      <c r="G1239" s="5" t="s">
        <v>29123</v>
      </c>
      <c r="H1239" s="26">
        <v>29.5</v>
      </c>
      <c r="I1239" s="5"/>
      <c r="J1239" s="5" t="s">
        <v>947</v>
      </c>
      <c r="K1239" s="5" t="s">
        <v>380</v>
      </c>
      <c r="L1239" s="5"/>
      <c r="M1239" s="27">
        <v>113502184</v>
      </c>
      <c r="N1239" s="5"/>
      <c r="O1239" s="5" t="str">
        <v>5260000210</v>
      </c>
      <c r="P1239" s="27">
        <v>59200</v>
      </c>
      <c r="Q1239" s="5" t="s">
        <v>50437</v>
      </c>
      <c r="R1239" s="5" t="s">
        <v>51107</v>
      </c>
      <c r="S1239" s="5" t="s">
        <v>51108</v>
      </c>
      <c r="T1239" s="28">
        <v>456260000</v>
      </c>
      <c r="U1239" s="28">
        <v>31000</v>
      </c>
      <c r="V1239" s="28">
        <v>722074000</v>
      </c>
      <c r="W1239" s="28"/>
      <c r="X1239" s="28">
        <v>573312000</v>
      </c>
      <c r="Y1239" s="28">
        <v>6465585000</v>
      </c>
      <c r="Z1239" s="28">
        <v>-550545000</v>
      </c>
      <c r="AA1239" s="28"/>
      <c r="AB1239" s="28">
        <v>10077000</v>
      </c>
      <c r="AC1239" s="28">
        <v>7001442000</v>
      </c>
      <c r="AD1239" s="28">
        <v>-550483000</v>
      </c>
      <c r="AE1239" s="28">
        <v>5322993000</v>
      </c>
      <c r="AF1239" s="28">
        <v>-767009000</v>
      </c>
      <c r="AG1239" s="11"/>
    </row>
    <row r="1240">
      <c r="A1240" s="7" t="s">
        <v>2956</v>
      </c>
      <c r="B1240" s="5" t="s">
        <v>9959</v>
      </c>
      <c r="C1240" s="5" t="s">
        <v>17863</v>
      </c>
      <c r="D1240" s="5" t="str">
        <v>344503556807</v>
      </c>
      <c r="E1240" s="0" t="e">
        <f>+7 (844) 2379292
+7 (961) 6851001
+7 (844) 2376732
+7 (844) 2376857
+7 (844) 2378294
+7 (844) 2531709
+7 (844) 2531733
+7 (844) 2531830
+7 (844) 2531879
+7 (961) 6851003</f>
        <v>#NAME?</v>
      </c>
      <c r="F1240" s="5" t="s">
        <v>29124</v>
      </c>
      <c r="G1240" s="5" t="s">
        <v>29125</v>
      </c>
      <c r="H1240" s="26">
        <v>18.5</v>
      </c>
      <c r="I1240" s="5" t="s">
        <v>29126</v>
      </c>
      <c r="J1240" s="5" t="s">
        <v>26173</v>
      </c>
      <c r="K1240" s="5" t="s">
        <v>344</v>
      </c>
      <c r="L1240" s="5" t="s">
        <v>29127</v>
      </c>
      <c r="M1240" s="27"/>
      <c r="N1240" s="5" t="s">
        <v>51109</v>
      </c>
      <c r="O1240" s="5" t="str">
        <v>3444114929</v>
      </c>
      <c r="P1240" s="27">
        <v>10000</v>
      </c>
      <c r="Q1240" s="5" t="s">
        <v>49059</v>
      </c>
      <c r="R1240" s="5"/>
      <c r="S1240" s="5" t="s">
        <v>49062</v>
      </c>
      <c r="T1240" s="28">
        <v>107013000</v>
      </c>
      <c r="U1240" s="28">
        <v>1724000</v>
      </c>
      <c r="V1240" s="28">
        <v>334969000</v>
      </c>
      <c r="W1240" s="28">
        <v>2281000</v>
      </c>
      <c r="X1240" s="28">
        <v>26935000</v>
      </c>
      <c r="Y1240" s="28">
        <v>1258273000</v>
      </c>
      <c r="Z1240" s="28">
        <v>542903000</v>
      </c>
      <c r="AA1240" s="28"/>
      <c r="AB1240" s="28">
        <v>184559000</v>
      </c>
      <c r="AC1240" s="28">
        <v>699618000</v>
      </c>
      <c r="AD1240" s="28">
        <v>542913000</v>
      </c>
      <c r="AE1240" s="28">
        <v>3111479000</v>
      </c>
      <c r="AF1240" s="28">
        <v>315348000</v>
      </c>
      <c r="AG1240" s="11"/>
    </row>
    <row r="1241">
      <c r="A1241" s="7" t="s">
        <v>2957</v>
      </c>
      <c r="B1241" s="5" t="s">
        <v>10947</v>
      </c>
      <c r="C1241" s="5" t="s">
        <v>18822</v>
      </c>
      <c r="D1241" s="5" t="str">
        <v>500113363182</v>
      </c>
      <c r="E1241" s="0" t="e">
        <f>+7 (484) 2700700
+7 (8422) 700700
+7 (844) 2224299
+7 (844) 2230023
+7 (844) 2232208
+7 (844) 2234149
+7 (844) 2247028
+7 (844) 2262616
+7 (844) 2265262
+7 (844) 2266026
+7 (844) 2272727
+7 (844) 2300811
+7 (844) 2303050
+7 (844) 2262559
+7 (844) 2262659</f>
        <v>#NAME?</v>
      </c>
      <c r="F1241" s="5" t="s">
        <v>29128</v>
      </c>
      <c r="G1241" s="5"/>
      <c r="H1241" s="26">
        <v>18</v>
      </c>
      <c r="I1241" s="5" t="s">
        <v>29129</v>
      </c>
      <c r="J1241" s="5" t="s">
        <v>26623</v>
      </c>
      <c r="K1241" s="5" t="s">
        <v>344</v>
      </c>
      <c r="L1241" s="5"/>
      <c r="M1241" s="27">
        <v>1903029869</v>
      </c>
      <c r="N1241" s="5" t="s">
        <v>51110</v>
      </c>
      <c r="O1241" s="5" t="str">
        <v>3445071523</v>
      </c>
      <c r="P1241" s="27">
        <v>48011412</v>
      </c>
      <c r="Q1241" s="5" t="s">
        <v>51111</v>
      </c>
      <c r="R1241" s="5" t="s">
        <v>51112</v>
      </c>
      <c r="S1241" s="5" t="s">
        <v>51113</v>
      </c>
      <c r="T1241" s="28">
        <v>243715000</v>
      </c>
      <c r="U1241" s="28"/>
      <c r="V1241" s="28">
        <v>4974192000</v>
      </c>
      <c r="W1241" s="28"/>
      <c r="X1241" s="28">
        <v>379606000</v>
      </c>
      <c r="Y1241" s="28">
        <v>6113439000</v>
      </c>
      <c r="Z1241" s="28">
        <v>-5538382000</v>
      </c>
      <c r="AA1241" s="28"/>
      <c r="AB1241" s="28"/>
      <c r="AC1241" s="28">
        <v>10299242000</v>
      </c>
      <c r="AD1241" s="28">
        <v>-5485570000</v>
      </c>
      <c r="AE1241" s="28">
        <v>30397570000</v>
      </c>
      <c r="AF1241" s="28">
        <v>656651000</v>
      </c>
      <c r="AG1241" s="11"/>
    </row>
    <row r="1242">
      <c r="A1242" s="7" t="s">
        <v>2958</v>
      </c>
      <c r="B1242" s="5" t="s">
        <v>10948</v>
      </c>
      <c r="C1242" s="5" t="s">
        <v>18823</v>
      </c>
      <c r="D1242" s="5" t="str">
        <v>344103499167</v>
      </c>
      <c r="F1242" s="5" t="s">
        <v>29130</v>
      </c>
      <c r="G1242" s="5" t="s">
        <v>29131</v>
      </c>
      <c r="H1242" s="26">
        <v>14</v>
      </c>
      <c r="I1242" s="5" t="s">
        <v>29132</v>
      </c>
      <c r="J1242" s="5" t="s">
        <v>25550</v>
      </c>
      <c r="K1242" s="5" t="s">
        <v>344</v>
      </c>
      <c r="L1242" s="5" t="s">
        <v>29133</v>
      </c>
      <c r="M1242" s="27"/>
      <c r="N1242" s="5" t="s">
        <v>51114</v>
      </c>
      <c r="O1242" s="5" t="str">
        <v>3443091789</v>
      </c>
      <c r="P1242" s="27">
        <v>41000</v>
      </c>
      <c r="Q1242" s="5" t="s">
        <v>49059</v>
      </c>
      <c r="R1242" s="5"/>
      <c r="S1242" s="5" t="s">
        <v>50936</v>
      </c>
      <c r="T1242" s="28">
        <v>62833000</v>
      </c>
      <c r="U1242" s="28"/>
      <c r="V1242" s="28">
        <v>86025000</v>
      </c>
      <c r="W1242" s="28"/>
      <c r="X1242" s="28">
        <v>57336000</v>
      </c>
      <c r="Y1242" s="28">
        <v>826369000</v>
      </c>
      <c r="Z1242" s="28">
        <v>618233000</v>
      </c>
      <c r="AA1242" s="28"/>
      <c r="AB1242" s="28"/>
      <c r="AC1242" s="28">
        <v>147774000</v>
      </c>
      <c r="AD1242" s="28">
        <v>618274000</v>
      </c>
      <c r="AE1242" s="28">
        <v>4956850000</v>
      </c>
      <c r="AF1242" s="28">
        <v>219671000</v>
      </c>
      <c r="AG1242" s="11"/>
    </row>
    <row r="1243">
      <c r="A1243" s="7" t="s">
        <v>2959</v>
      </c>
      <c r="B1243" s="5" t="s">
        <v>10949</v>
      </c>
      <c r="C1243" s="5" t="s">
        <v>18824</v>
      </c>
      <c r="D1243" s="5"/>
      <c r="E1243" s="0" t="e">
        <f>+7 (495) 7852244
+7 (916) 7650445
+7 (495) 2415850
+7 (495) 7451111</f>
        <v>#NAME?</v>
      </c>
      <c r="F1243" s="5" t="s">
        <v>29134</v>
      </c>
      <c r="G1243" s="5" t="s">
        <v>29135</v>
      </c>
      <c r="H1243" s="26">
        <v>15.5</v>
      </c>
      <c r="I1243" s="5" t="s">
        <v>29136</v>
      </c>
      <c r="J1243" s="5" t="s">
        <v>389</v>
      </c>
      <c r="K1243" s="5" t="s">
        <v>344</v>
      </c>
      <c r="L1243" s="5" t="s">
        <v>29137</v>
      </c>
      <c r="M1243" s="27"/>
      <c r="N1243" s="5" t="s">
        <v>51115</v>
      </c>
      <c r="O1243" s="5" t="str">
        <v>7713628217</v>
      </c>
      <c r="P1243" s="27">
        <v>544020000</v>
      </c>
      <c r="Q1243" s="5" t="s">
        <v>49009</v>
      </c>
      <c r="R1243" s="5"/>
      <c r="S1243" s="5" t="s">
        <v>49256</v>
      </c>
      <c r="T1243" s="28">
        <v>1280095000</v>
      </c>
      <c r="U1243" s="28"/>
      <c r="V1243" s="28">
        <v>706803000</v>
      </c>
      <c r="W1243" s="28">
        <v>1025000000</v>
      </c>
      <c r="X1243" s="28">
        <v>1643255000</v>
      </c>
      <c r="Y1243" s="28">
        <v>6102002000</v>
      </c>
      <c r="Z1243" s="28">
        <v>2480697000</v>
      </c>
      <c r="AA1243" s="28"/>
      <c r="AB1243" s="28"/>
      <c r="AC1243" s="28">
        <v>767747000</v>
      </c>
      <c r="AD1243" s="28">
        <v>4476218000</v>
      </c>
      <c r="AE1243" s="28">
        <v>23710216000</v>
      </c>
      <c r="AF1243" s="28">
        <v>1229603000</v>
      </c>
      <c r="AG1243" s="11"/>
    </row>
    <row r="1244">
      <c r="A1244" s="7" t="s">
        <v>2960</v>
      </c>
      <c r="B1244" s="5" t="s">
        <v>10950</v>
      </c>
      <c r="C1244" s="5" t="s">
        <v>18825</v>
      </c>
      <c r="D1244" s="5" t="str">
        <v>623100341785</v>
      </c>
      <c r="E1244" s="0" t="e">
        <f>+7 (844) 2267976
+7 (8422) 584510
+7 (844) 2223212
+7 (844) 2263023
+7 (844) 2263024
+7 (844) 2265505
+7 (844) 2265610
+7 (844) 2267927
+7 (844) 2269707
+7 (844) 2285024
+7 (844) 2285303
+7 (844) 2265022
+7 (844) 2265023
+7 (844) 2265024
+7 (844) 2267907</f>
        <v>#NAME?</v>
      </c>
      <c r="F1244" s="5" t="s">
        <v>29138</v>
      </c>
      <c r="G1244" s="5" t="s">
        <v>29139</v>
      </c>
      <c r="H1244" s="26">
        <v>29.5</v>
      </c>
      <c r="I1244" s="5" t="s">
        <v>29140</v>
      </c>
      <c r="J1244" s="5" t="s">
        <v>26165</v>
      </c>
      <c r="K1244" s="5" t="s">
        <v>344</v>
      </c>
      <c r="L1244" s="5"/>
      <c r="M1244" s="27">
        <v>8293663</v>
      </c>
      <c r="N1244" s="5" t="s">
        <v>51116</v>
      </c>
      <c r="O1244" s="5" t="str">
        <v>3443012297</v>
      </c>
      <c r="P1244" s="27">
        <v>72617084</v>
      </c>
      <c r="Q1244" s="5" t="s">
        <v>51117</v>
      </c>
      <c r="R1244" s="5"/>
      <c r="S1244" s="5" t="s">
        <v>51118</v>
      </c>
      <c r="T1244" s="28">
        <v>383060000</v>
      </c>
      <c r="U1244" s="28">
        <v>399000</v>
      </c>
      <c r="V1244" s="28">
        <v>132287000</v>
      </c>
      <c r="W1244" s="28"/>
      <c r="X1244" s="28">
        <v>954221000</v>
      </c>
      <c r="Y1244" s="28">
        <v>2191910000</v>
      </c>
      <c r="Z1244" s="28">
        <v>1164000000</v>
      </c>
      <c r="AA1244" s="28"/>
      <c r="AB1244" s="28"/>
      <c r="AC1244" s="28">
        <v>829933000</v>
      </c>
      <c r="AD1244" s="28">
        <v>1269333000</v>
      </c>
      <c r="AE1244" s="28">
        <v>6071595000</v>
      </c>
      <c r="AF1244" s="28">
        <v>98434000</v>
      </c>
      <c r="AG1244" s="11"/>
    </row>
    <row r="1245">
      <c r="A1245" s="7" t="s">
        <v>2961</v>
      </c>
      <c r="B1245" s="5" t="s">
        <v>10951</v>
      </c>
      <c r="C1245" s="5" t="s">
        <v>18826</v>
      </c>
      <c r="D1245" s="5" t="str">
        <v>761002840702</v>
      </c>
      <c r="E1245" s="0" t="e">
        <f>+7 (4855) 267178
+7 (4855) 236593
+7 (4855) 258065
+7 (4855) 258135
+7 (4855) 258417
+7 (4855) 258430
+7 (4855) 267209</f>
        <v>#NAME?</v>
      </c>
      <c r="F1245" s="5" t="s">
        <v>29141</v>
      </c>
      <c r="G1245" s="5" t="s">
        <v>29142</v>
      </c>
      <c r="H1245" s="26">
        <v>30</v>
      </c>
      <c r="I1245" s="5"/>
      <c r="J1245" s="5" t="s">
        <v>25450</v>
      </c>
      <c r="K1245" s="5" t="s">
        <v>344</v>
      </c>
      <c r="L1245" s="5" t="s">
        <v>29143</v>
      </c>
      <c r="M1245" s="27"/>
      <c r="N1245" s="5"/>
      <c r="O1245" s="5" t="str">
        <v>7626002127</v>
      </c>
      <c r="P1245" s="27">
        <v>1263681</v>
      </c>
      <c r="Q1245" s="5" t="s">
        <v>49009</v>
      </c>
      <c r="R1245" s="5" t="s">
        <v>51119</v>
      </c>
      <c r="S1245" s="5" t="s">
        <v>49576</v>
      </c>
      <c r="T1245" s="28">
        <v>4782229000</v>
      </c>
      <c r="U1245" s="28">
        <v>49000</v>
      </c>
      <c r="V1245" s="28">
        <v>1359099000</v>
      </c>
      <c r="W1245" s="28">
        <v>5998663000</v>
      </c>
      <c r="X1245" s="28">
        <v>43458000</v>
      </c>
      <c r="Y1245" s="28">
        <v>14320426000</v>
      </c>
      <c r="Z1245" s="28">
        <v>10175587000</v>
      </c>
      <c r="AA1245" s="28">
        <v>1405574000</v>
      </c>
      <c r="AB1245" s="28">
        <v>1921667000</v>
      </c>
      <c r="AC1245" s="28">
        <v>2630280000</v>
      </c>
      <c r="AD1245" s="28">
        <v>10284425000</v>
      </c>
      <c r="AE1245" s="28">
        <v>8164584000</v>
      </c>
      <c r="AF1245" s="28">
        <v>1044227000</v>
      </c>
      <c r="AG1245" s="11"/>
    </row>
    <row r="1246">
      <c r="A1246" s="7" t="s">
        <v>2962</v>
      </c>
      <c r="B1246" s="5" t="s">
        <v>10952</v>
      </c>
      <c r="C1246" s="5" t="s">
        <v>18827</v>
      </c>
      <c r="D1246" s="5" t="str">
        <v>343503408814</v>
      </c>
      <c r="E1246" s="0" t="e">
        <f>+7 (844) 3223001
+7 (8443) 214788
+7 (8443) 215901
+7 (8443) 215904
+7 (8443) 215918
+7 (8443) 223071
+7 (8443) 225617
+7 (8443) 225620
+7 (8443) 225625
+7 (8443) 225647
+7 (8443) 225656
+7 (8443) 225675
+7 (8443) 225737
+7 (8443) 225750
+7 (8443) 225803</f>
        <v>#NAME?</v>
      </c>
      <c r="F1246" s="5" t="s">
        <v>29144</v>
      </c>
      <c r="G1246" s="5" t="s">
        <v>29145</v>
      </c>
      <c r="H1246" s="26">
        <v>20.5</v>
      </c>
      <c r="I1246" s="5"/>
      <c r="J1246" s="5" t="s">
        <v>29146</v>
      </c>
      <c r="K1246" s="5" t="s">
        <v>344</v>
      </c>
      <c r="L1246" s="5" t="s">
        <v>29147</v>
      </c>
      <c r="M1246" s="27"/>
      <c r="N1246" s="5" t="s">
        <v>51120</v>
      </c>
      <c r="O1246" s="5" t="str">
        <v>3435900563</v>
      </c>
      <c r="P1246" s="27">
        <v>469000</v>
      </c>
      <c r="Q1246" s="5" t="s">
        <v>49057</v>
      </c>
      <c r="R1246" s="5"/>
      <c r="S1246" s="5" t="s">
        <v>51121</v>
      </c>
      <c r="T1246" s="28">
        <v>3146454000</v>
      </c>
      <c r="U1246" s="28">
        <v>13847000</v>
      </c>
      <c r="V1246" s="28">
        <v>1326900000</v>
      </c>
      <c r="W1246" s="28"/>
      <c r="X1246" s="28">
        <v>2446162000</v>
      </c>
      <c r="Y1246" s="28">
        <v>8896264000</v>
      </c>
      <c r="Z1246" s="28">
        <v>3512821000</v>
      </c>
      <c r="AA1246" s="28"/>
      <c r="AB1246" s="28"/>
      <c r="AC1246" s="28">
        <v>4699804000</v>
      </c>
      <c r="AD1246" s="28">
        <v>3990720000</v>
      </c>
      <c r="AE1246" s="28">
        <v>15475570000</v>
      </c>
      <c r="AF1246" s="28">
        <v>2918993000</v>
      </c>
      <c r="AG1246" s="11"/>
    </row>
    <row r="1247">
      <c r="A1247" s="7" t="s">
        <v>2963</v>
      </c>
      <c r="B1247" s="5" t="s">
        <v>10953</v>
      </c>
      <c r="C1247" s="5" t="s">
        <v>18828</v>
      </c>
      <c r="D1247" s="5"/>
      <c r="E1247" s="0" t="e">
        <f>+7 (844) 2493470
+7 (844) 2493482
+7 (3532) 493470
+7 (3532) 493480
+7 (3532) 493482
+7 (844) 2319031
+7 (844) 2414482
+7 (844) 2414486
+7 (844) 2434243
+7 (844) 2493480
+7 (844) 2493610
+7 (961) 739993</f>
        <v>#NAME?</v>
      </c>
      <c r="F1247" s="5" t="s">
        <v>29148</v>
      </c>
      <c r="G1247" s="5" t="s">
        <v>29149</v>
      </c>
      <c r="H1247" s="26">
        <v>17.5</v>
      </c>
      <c r="I1247" s="5" t="s">
        <v>29150</v>
      </c>
      <c r="J1247" s="5" t="s">
        <v>28537</v>
      </c>
      <c r="K1247" s="5" t="s">
        <v>355</v>
      </c>
      <c r="L1247" s="5" t="s">
        <v>29151</v>
      </c>
      <c r="M1247" s="27"/>
      <c r="N1247" s="5"/>
      <c r="O1247" s="5" t="str">
        <v>3446019364</v>
      </c>
      <c r="P1247" s="27">
        <v>154723084</v>
      </c>
      <c r="Q1247" s="5" t="s">
        <v>49059</v>
      </c>
      <c r="R1247" s="5"/>
      <c r="S1247" s="5" t="s">
        <v>49029</v>
      </c>
      <c r="T1247" s="28">
        <v>327599000</v>
      </c>
      <c r="U1247" s="28">
        <v>637182000</v>
      </c>
      <c r="V1247" s="28">
        <v>1348068000</v>
      </c>
      <c r="W1247" s="28">
        <v>1234654000</v>
      </c>
      <c r="X1247" s="28">
        <v>387000</v>
      </c>
      <c r="Y1247" s="28">
        <v>3857506000</v>
      </c>
      <c r="Z1247" s="28">
        <v>2922215000</v>
      </c>
      <c r="AA1247" s="28"/>
      <c r="AB1247" s="28">
        <v>518278000</v>
      </c>
      <c r="AC1247" s="28">
        <v>779694000</v>
      </c>
      <c r="AD1247" s="28">
        <v>3076938000</v>
      </c>
      <c r="AE1247" s="28">
        <v>3129715000</v>
      </c>
      <c r="AF1247" s="28">
        <v>377471000</v>
      </c>
      <c r="AG1247" s="11"/>
    </row>
    <row r="1248">
      <c r="A1248" s="7" t="s">
        <v>2964</v>
      </c>
      <c r="B1248" s="5" t="s">
        <v>10954</v>
      </c>
      <c r="C1248" s="5" t="s">
        <v>18828</v>
      </c>
      <c r="D1248" s="5"/>
      <c r="E1248" s="0" t="e">
        <f>+7 (49644) 40701
+7 (4966) 234052
+7 (4966) 234053</f>
        <v>#NAME?</v>
      </c>
      <c r="F1248" s="5" t="s">
        <v>29152</v>
      </c>
      <c r="G1248" s="5"/>
      <c r="H1248" s="26">
        <v>16</v>
      </c>
      <c r="I1248" s="5" t="s">
        <v>29153</v>
      </c>
      <c r="J1248" s="5" t="s">
        <v>28537</v>
      </c>
      <c r="K1248" s="5" t="s">
        <v>344</v>
      </c>
      <c r="L1248" s="5" t="s">
        <v>29154</v>
      </c>
      <c r="M1248" s="27">
        <v>32186</v>
      </c>
      <c r="N1248" s="5"/>
      <c r="O1248" s="5" t="str">
        <v>5005045043</v>
      </c>
      <c r="P1248" s="27">
        <v>250000</v>
      </c>
      <c r="Q1248" s="5" t="s">
        <v>50765</v>
      </c>
      <c r="R1248" s="5"/>
      <c r="S1248" s="5" t="s">
        <v>51122</v>
      </c>
      <c r="T1248" s="28">
        <v>923696000</v>
      </c>
      <c r="U1248" s="28">
        <v>466832000</v>
      </c>
      <c r="V1248" s="28">
        <v>1238869000</v>
      </c>
      <c r="W1248" s="28"/>
      <c r="X1248" s="28">
        <v>12490000</v>
      </c>
      <c r="Y1248" s="28">
        <v>4283477000</v>
      </c>
      <c r="Z1248" s="28">
        <v>2508948000</v>
      </c>
      <c r="AA1248" s="28">
        <v>400000000</v>
      </c>
      <c r="AB1248" s="28"/>
      <c r="AC1248" s="28">
        <v>1277123000</v>
      </c>
      <c r="AD1248" s="28">
        <v>2509198000</v>
      </c>
      <c r="AE1248" s="28">
        <v>6421700000</v>
      </c>
      <c r="AF1248" s="28">
        <v>958847000</v>
      </c>
      <c r="AG1248" s="11"/>
    </row>
    <row r="1249">
      <c r="A1249" s="7" t="s">
        <v>2965</v>
      </c>
      <c r="B1249" s="5" t="s">
        <v>10955</v>
      </c>
      <c r="C1249" s="5" t="s">
        <v>18829</v>
      </c>
      <c r="D1249" s="5" t="str">
        <v>235302863462</v>
      </c>
      <c r="E1249" s="0" t="e">
        <f>+7 (487) 2821038
+7 (487) 2821042
+7 (48768) 21038
+7 (48768) 21042
+7 (48768) 22710
+7 (48768) 22711
+7 (48768) 22712
+7 (48768) 22713
+7 (48768) 22714
+7 (48768) 22715
+7 (48768) 22716
+7 (48768) 22717
+7 (48768) 22718
+7 (48768) 22719
+7 (499) 7024444</f>
        <v>#NAME?</v>
      </c>
      <c r="F1249" s="5" t="s">
        <v>29155</v>
      </c>
      <c r="G1249" s="5" t="s">
        <v>29156</v>
      </c>
      <c r="H1249" s="26">
        <v>11.5</v>
      </c>
      <c r="I1249" s="5" t="s">
        <v>29157</v>
      </c>
      <c r="J1249" s="5" t="s">
        <v>29158</v>
      </c>
      <c r="K1249" s="5" t="s">
        <v>380</v>
      </c>
      <c r="L1249" s="5"/>
      <c r="M1249" s="27">
        <v>1762403</v>
      </c>
      <c r="N1249" s="5"/>
      <c r="O1249" s="5" t="str">
        <v>7124500513</v>
      </c>
      <c r="P1249" s="27">
        <v>916657000</v>
      </c>
      <c r="Q1249" s="5"/>
      <c r="R1249" s="5" t="s">
        <v>51124</v>
      </c>
      <c r="S1249" s="5" t="s">
        <v>49029</v>
      </c>
      <c r="T1249" s="28">
        <v>5020408000</v>
      </c>
      <c r="U1249" s="28">
        <v>10000</v>
      </c>
      <c r="V1249" s="28">
        <v>122238000</v>
      </c>
      <c r="W1249" s="28">
        <v>7000</v>
      </c>
      <c r="X1249" s="28">
        <v>6238000</v>
      </c>
      <c r="Y1249" s="28">
        <v>5973614000</v>
      </c>
      <c r="Z1249" s="28">
        <v>-2680337000</v>
      </c>
      <c r="AA1249" s="28">
        <v>1660958000</v>
      </c>
      <c r="AB1249" s="28">
        <v>843250000</v>
      </c>
      <c r="AC1249" s="28">
        <v>3157596000</v>
      </c>
      <c r="AD1249" s="28">
        <v>-1763680000</v>
      </c>
      <c r="AE1249" s="28">
        <v>5327146000</v>
      </c>
      <c r="AF1249" s="28">
        <v>-581772000</v>
      </c>
      <c r="AG1249" s="11"/>
    </row>
    <row r="1250">
      <c r="A1250" s="7" t="s">
        <v>2966</v>
      </c>
      <c r="B1250" s="5" t="s">
        <v>10956</v>
      </c>
      <c r="C1250" s="5" t="s">
        <v>18830</v>
      </c>
      <c r="D1250" s="5" t="str">
        <v>352823088325</v>
      </c>
      <c r="E1250" s="0" t="e">
        <f>+7 (8142) 787465
+7 (817) 2201013
+7 (817) 2201310
+7 (817) 2231310
+7 (817) 2267739
+7 (817) 2550880
+7 (817) 2725692
+7 (817) 2752104
+7 (817) 2560411
+7 (817) 2752380
+7 (817) 2784865
+7 (817) 2787458
+7 (817) 2787461
+7 (817) 2787462
+7 (817) 2787463</f>
        <v>#NAME?</v>
      </c>
      <c r="F1250" s="5" t="s">
        <v>29159</v>
      </c>
      <c r="G1250" s="5"/>
      <c r="H1250" s="26">
        <v>30</v>
      </c>
      <c r="I1250" s="5"/>
      <c r="J1250" s="5" t="s">
        <v>28968</v>
      </c>
      <c r="K1250" s="5" t="s">
        <v>344</v>
      </c>
      <c r="L1250" s="5" t="s">
        <v>29160</v>
      </c>
      <c r="M1250" s="27">
        <v>3300243</v>
      </c>
      <c r="N1250" s="5" t="s">
        <v>51125</v>
      </c>
      <c r="O1250" s="5" t="str">
        <v>3525432983</v>
      </c>
      <c r="P1250" s="27">
        <v>1069425000</v>
      </c>
      <c r="Q1250" s="5" t="s">
        <v>51126</v>
      </c>
      <c r="R1250" s="5"/>
      <c r="S1250" s="5" t="s">
        <v>49747</v>
      </c>
      <c r="T1250" s="28">
        <v>1449951000</v>
      </c>
      <c r="U1250" s="28">
        <v>5000</v>
      </c>
      <c r="V1250" s="28">
        <v>1205543000</v>
      </c>
      <c r="W1250" s="28"/>
      <c r="X1250" s="28">
        <v>7689000</v>
      </c>
      <c r="Y1250" s="28">
        <v>2793368000</v>
      </c>
      <c r="Z1250" s="28">
        <v>112955000</v>
      </c>
      <c r="AA1250" s="28">
        <v>450000000</v>
      </c>
      <c r="AB1250" s="28">
        <v>233722000</v>
      </c>
      <c r="AC1250" s="28">
        <v>1038498000</v>
      </c>
      <c r="AD1250" s="28">
        <v>1185476000</v>
      </c>
      <c r="AE1250" s="28">
        <v>3860342000</v>
      </c>
      <c r="AF1250" s="28">
        <v>118807000</v>
      </c>
      <c r="AG1250" s="11"/>
    </row>
    <row r="1251">
      <c r="A1251" s="7" t="s">
        <v>2967</v>
      </c>
      <c r="B1251" s="5" t="s">
        <v>10957</v>
      </c>
      <c r="C1251" s="5" t="s">
        <v>18831</v>
      </c>
      <c r="D1251" s="5" t="str">
        <v>352812957005</v>
      </c>
      <c r="E1251" s="0" t="e">
        <f>+7 (800) 7005247
+7 (817) 2232358
+7 (817) 2235748
+7 (817) 2274860
+7 (817) 2282893
+7 (817) 2550716
+7 (817) 2550729
+7 (817) 2271310
+7 (817) 2276028
+7 (817) 2291691
+7 (817) 2525736
+7 (817) 2545540
+7 (817) 2545594
+7 (817) 2550711
+7 (817) 2550726</f>
        <v>#NAME?</v>
      </c>
      <c r="F1251" s="5" t="s">
        <v>29161</v>
      </c>
      <c r="G1251" s="5" t="s">
        <v>29162</v>
      </c>
      <c r="H1251" s="26">
        <v>10</v>
      </c>
      <c r="I1251" s="5"/>
      <c r="J1251" s="5" t="s">
        <v>27802</v>
      </c>
      <c r="K1251" s="5" t="s">
        <v>355</v>
      </c>
      <c r="L1251" s="5"/>
      <c r="M1251" s="27">
        <v>121253138</v>
      </c>
      <c r="N1251" s="5" t="s">
        <v>51127</v>
      </c>
      <c r="O1251" s="5" t="str">
        <v>3525372678</v>
      </c>
      <c r="P1251" s="27">
        <v>3159748571</v>
      </c>
      <c r="Q1251" s="5" t="s">
        <v>51129</v>
      </c>
      <c r="R1251" s="5"/>
      <c r="S1251" s="5" t="s">
        <v>51039</v>
      </c>
      <c r="T1251" s="28">
        <v>4551702000</v>
      </c>
      <c r="U1251" s="28">
        <v>9189000</v>
      </c>
      <c r="V1251" s="28">
        <v>420318000</v>
      </c>
      <c r="W1251" s="28">
        <v>586000</v>
      </c>
      <c r="X1251" s="28">
        <v>26662000</v>
      </c>
      <c r="Y1251" s="28">
        <v>5330811000</v>
      </c>
      <c r="Z1251" s="28">
        <v>171346000</v>
      </c>
      <c r="AA1251" s="28">
        <v>406908000</v>
      </c>
      <c r="AB1251" s="28">
        <v>175000000</v>
      </c>
      <c r="AC1251" s="28">
        <v>1202679000</v>
      </c>
      <c r="AD1251" s="28">
        <v>3389716000</v>
      </c>
      <c r="AE1251" s="28">
        <v>3984157000</v>
      </c>
      <c r="AF1251" s="28">
        <v>38514000</v>
      </c>
      <c r="AG1251" s="11"/>
    </row>
    <row r="1252">
      <c r="A1252" s="7" t="s">
        <v>2968</v>
      </c>
      <c r="B1252" s="5" t="s">
        <v>10958</v>
      </c>
      <c r="C1252" s="5" t="s">
        <v>18832</v>
      </c>
      <c r="D1252" s="5" t="str">
        <v>290110816355</v>
      </c>
      <c r="E1252" s="0" t="e">
        <f>+7 (817) 2519191
+7 (817) 2533535
+7 (921) 668022
+7 (800) 5519191
+7 (812) 2411832
+7 (817) 2536320
+7 (921) 583868
+7 (921) 628762
+7 (921) 676777
+7 (921) 1203700
+7 (921) 1204122
+7 (921) 1209300
+7 (921) 1209400
+7 (921) 1209700
+7 (921) 1234826</f>
        <v>#NAME?</v>
      </c>
      <c r="F1252" s="5" t="s">
        <v>29163</v>
      </c>
      <c r="G1252" s="5" t="s">
        <v>29164</v>
      </c>
      <c r="H1252" s="26">
        <v>12.5</v>
      </c>
      <c r="I1252" s="5" t="s">
        <v>29165</v>
      </c>
      <c r="J1252" s="5" t="s">
        <v>29166</v>
      </c>
      <c r="K1252" s="5" t="s">
        <v>344</v>
      </c>
      <c r="L1252" s="5" t="s">
        <v>29167</v>
      </c>
      <c r="M1252" s="27">
        <v>838970</v>
      </c>
      <c r="N1252" s="5" t="s">
        <v>51130</v>
      </c>
      <c r="O1252" s="5" t="str">
        <v>3525249850</v>
      </c>
      <c r="P1252" s="27">
        <v>20000000</v>
      </c>
      <c r="Q1252" s="5"/>
      <c r="R1252" s="5" t="s">
        <v>49280</v>
      </c>
      <c r="S1252" s="5" t="s">
        <v>49110</v>
      </c>
      <c r="T1252" s="28">
        <v>66802000</v>
      </c>
      <c r="U1252" s="28"/>
      <c r="V1252" s="28">
        <v>403056000</v>
      </c>
      <c r="W1252" s="28">
        <v>41658000</v>
      </c>
      <c r="X1252" s="28">
        <v>156548000</v>
      </c>
      <c r="Y1252" s="28">
        <v>1547476000</v>
      </c>
      <c r="Z1252" s="28">
        <v>936094000</v>
      </c>
      <c r="AA1252" s="28"/>
      <c r="AB1252" s="28">
        <v>90018000</v>
      </c>
      <c r="AC1252" s="28">
        <v>591380000</v>
      </c>
      <c r="AD1252" s="28">
        <v>956094000</v>
      </c>
      <c r="AE1252" s="28">
        <v>3677805000</v>
      </c>
      <c r="AF1252" s="28">
        <v>245281000</v>
      </c>
      <c r="AG1252" s="11"/>
    </row>
    <row r="1253">
      <c r="A1253" s="7" t="s">
        <v>2969</v>
      </c>
      <c r="B1253" s="5" t="s">
        <v>10959</v>
      </c>
      <c r="C1253" s="5" t="s">
        <v>18833</v>
      </c>
      <c r="D1253" s="5" t="str">
        <v>351300014373</v>
      </c>
      <c r="E1253" s="0" t="e">
        <f>+7 (817) 2243981
+7 (817) 2546175
+7 (817) 2546200
+7 (817) 2546201
+7 (817) 2546281
+7 (817) 2558010
+7 (817) 2558022
+7 (817) 2558114
+7 (817) 2558118
+7 (81745) 21411</f>
        <v>#NAME?</v>
      </c>
      <c r="F1253" s="5" t="s">
        <v>29168</v>
      </c>
      <c r="G1253" s="5" t="s">
        <v>29169</v>
      </c>
      <c r="H1253" s="26">
        <v>30</v>
      </c>
      <c r="I1253" s="5" t="s">
        <v>29170</v>
      </c>
      <c r="J1253" s="5" t="s">
        <v>25603</v>
      </c>
      <c r="K1253" s="5" t="s">
        <v>344</v>
      </c>
      <c r="L1253" s="5" t="s">
        <v>29171</v>
      </c>
      <c r="M1253" s="27">
        <v>42733632</v>
      </c>
      <c r="N1253" s="5" t="s">
        <v>51131</v>
      </c>
      <c r="O1253" s="5" t="str">
        <v>3525011978</v>
      </c>
      <c r="P1253" s="27">
        <v>116700</v>
      </c>
      <c r="Q1253" s="5" t="s">
        <v>51133</v>
      </c>
      <c r="R1253" s="5"/>
      <c r="S1253" s="5" t="s">
        <v>50589</v>
      </c>
      <c r="T1253" s="28">
        <v>1715452000</v>
      </c>
      <c r="U1253" s="28">
        <v>131061000</v>
      </c>
      <c r="V1253" s="28">
        <v>304368000</v>
      </c>
      <c r="W1253" s="28"/>
      <c r="X1253" s="28">
        <v>998869000</v>
      </c>
      <c r="Y1253" s="28">
        <v>3644558000</v>
      </c>
      <c r="Z1253" s="28">
        <v>2574714000</v>
      </c>
      <c r="AA1253" s="28"/>
      <c r="AB1253" s="28"/>
      <c r="AC1253" s="28">
        <v>811716000</v>
      </c>
      <c r="AD1253" s="28">
        <v>2595584000</v>
      </c>
      <c r="AE1253" s="28">
        <v>4946484000</v>
      </c>
      <c r="AF1253" s="28">
        <v>361257000</v>
      </c>
      <c r="AG1253" s="11"/>
    </row>
    <row r="1254">
      <c r="A1254" s="7" t="s">
        <v>2970</v>
      </c>
      <c r="B1254" s="5" t="s">
        <v>10960</v>
      </c>
      <c r="C1254" s="5" t="s">
        <v>18834</v>
      </c>
      <c r="D1254" s="5" t="str">
        <v>343520626227</v>
      </c>
      <c r="E1254" s="0" t="e">
        <f>+7 (8443) 227260
+7 (8443) 240219
+7 (8443) 240220
+7 (8443) 240224
+7 (8443) 240240
+7 (8443) 240337
+7 (8443) 240594
+7 (8443) 257518
+7 (8443) 337260</f>
        <v>#NAME?</v>
      </c>
      <c r="F1254" s="5" t="s">
        <v>29172</v>
      </c>
      <c r="G1254" s="5"/>
      <c r="H1254" s="26">
        <v>23</v>
      </c>
      <c r="I1254" s="5"/>
      <c r="J1254" s="5" t="s">
        <v>26281</v>
      </c>
      <c r="K1254" s="5" t="s">
        <v>344</v>
      </c>
      <c r="L1254" s="5" t="s">
        <v>29173</v>
      </c>
      <c r="M1254" s="27"/>
      <c r="N1254" s="5" t="s">
        <v>51134</v>
      </c>
      <c r="O1254" s="5" t="str">
        <v>3435900531</v>
      </c>
      <c r="P1254" s="27">
        <v>610542000</v>
      </c>
      <c r="Q1254" s="5" t="s">
        <v>49009</v>
      </c>
      <c r="R1254" s="5"/>
      <c r="S1254" s="5" t="s">
        <v>49884</v>
      </c>
      <c r="T1254" s="28">
        <v>1307325000</v>
      </c>
      <c r="U1254" s="28"/>
      <c r="V1254" s="28">
        <v>2436489000</v>
      </c>
      <c r="W1254" s="28"/>
      <c r="X1254" s="28">
        <v>1077420000</v>
      </c>
      <c r="Y1254" s="28">
        <v>6141749000</v>
      </c>
      <c r="Z1254" s="28">
        <v>2579243000</v>
      </c>
      <c r="AA1254" s="28">
        <v>310892000</v>
      </c>
      <c r="AB1254" s="28">
        <v>203650000</v>
      </c>
      <c r="AC1254" s="28">
        <v>2305562000</v>
      </c>
      <c r="AD1254" s="28">
        <v>3372205000</v>
      </c>
      <c r="AE1254" s="28">
        <v>9288666000</v>
      </c>
      <c r="AF1254" s="28">
        <v>1092657000</v>
      </c>
      <c r="AG1254" s="11"/>
    </row>
    <row r="1255">
      <c r="A1255" s="7" t="s">
        <v>2971</v>
      </c>
      <c r="B1255" s="5" t="s">
        <v>10961</v>
      </c>
      <c r="C1255" s="5" t="s">
        <v>18835</v>
      </c>
      <c r="D1255" s="5" t="str">
        <v>532106051379</v>
      </c>
      <c r="E1255" s="0" t="e">
        <f>+7 (816) 2944600
+7 (816) 2944601
+7 (816) 2944609
+7 (816) 2944644
+7 (816) 2944646
+7 (816) 2944741
+7 (816) 2944794
+7 (911) 6470516</f>
        <v>#NAME?</v>
      </c>
      <c r="F1255" s="5" t="s">
        <v>29174</v>
      </c>
      <c r="G1255" s="5" t="s">
        <v>29175</v>
      </c>
      <c r="H1255" s="26">
        <v>15.5</v>
      </c>
      <c r="I1255" s="5" t="s">
        <v>29176</v>
      </c>
      <c r="J1255" s="5" t="s">
        <v>29177</v>
      </c>
      <c r="K1255" s="5" t="s">
        <v>344</v>
      </c>
      <c r="L1255" s="5" t="s">
        <v>29178</v>
      </c>
      <c r="M1255" s="27"/>
      <c r="N1255" s="5" t="s">
        <v>51136</v>
      </c>
      <c r="O1255" s="5" t="str">
        <v>5321171448</v>
      </c>
      <c r="P1255" s="27">
        <v>127600</v>
      </c>
      <c r="Q1255" s="5"/>
      <c r="R1255" s="5" t="s">
        <v>51137</v>
      </c>
      <c r="S1255" s="5" t="s">
        <v>49029</v>
      </c>
      <c r="T1255" s="28">
        <v>742606000</v>
      </c>
      <c r="U1255" s="28">
        <v>50000</v>
      </c>
      <c r="V1255" s="28">
        <v>134487000</v>
      </c>
      <c r="W1255" s="28">
        <v>390000</v>
      </c>
      <c r="X1255" s="28">
        <v>700547000</v>
      </c>
      <c r="Y1255" s="28">
        <v>2578348000</v>
      </c>
      <c r="Z1255" s="28">
        <v>1186752000</v>
      </c>
      <c r="AA1255" s="28"/>
      <c r="AB1255" s="28"/>
      <c r="AC1255" s="28">
        <v>1169997000</v>
      </c>
      <c r="AD1255" s="28">
        <v>1358866000</v>
      </c>
      <c r="AE1255" s="28">
        <v>4576076000</v>
      </c>
      <c r="AF1255" s="28">
        <v>585029000</v>
      </c>
      <c r="AG1255" s="11"/>
    </row>
    <row r="1256">
      <c r="A1256" s="7" t="s">
        <v>2972</v>
      </c>
      <c r="B1256" s="5" t="s">
        <v>10962</v>
      </c>
      <c r="C1256" s="5" t="s">
        <v>18836</v>
      </c>
      <c r="D1256" s="5" t="str">
        <v>504730510990</v>
      </c>
      <c r="E1256" s="0" t="e">
        <f>+7 (495) 7820200
+7 (495) 2122118
+7 (495) 2122148
+7 (495) 2122153
+7 (495) 7459700
+7 (495) 7459702
+7 (495) 7459787
+7 (495) 7820201
+7 (495) 7820220
+7 (495) 7820221
+7 (800) 7000020</f>
        <v>#NAME?</v>
      </c>
      <c r="F1256" s="5"/>
      <c r="G1256" s="5" t="s">
        <v>29179</v>
      </c>
      <c r="H1256" s="26">
        <v>14</v>
      </c>
      <c r="I1256" s="5" t="s">
        <v>29180</v>
      </c>
      <c r="J1256" s="5" t="s">
        <v>25641</v>
      </c>
      <c r="K1256" s="5" t="s">
        <v>344</v>
      </c>
      <c r="L1256" s="5" t="s">
        <v>29181</v>
      </c>
      <c r="M1256" s="27">
        <v>4802664</v>
      </c>
      <c r="N1256" s="5"/>
      <c r="O1256" s="5" t="str">
        <v>5047105054</v>
      </c>
      <c r="P1256" s="27">
        <v>10000000</v>
      </c>
      <c r="Q1256" s="5" t="s">
        <v>49009</v>
      </c>
      <c r="R1256" s="5"/>
      <c r="S1256" s="5" t="s">
        <v>49010</v>
      </c>
      <c r="T1256" s="28">
        <v>41199000</v>
      </c>
      <c r="U1256" s="28"/>
      <c r="V1256" s="28">
        <v>626205000</v>
      </c>
      <c r="W1256" s="28">
        <v>5200000000</v>
      </c>
      <c r="X1256" s="28">
        <v>2364148000</v>
      </c>
      <c r="Y1256" s="28">
        <v>9024125000</v>
      </c>
      <c r="Z1256" s="28">
        <v>8495709000</v>
      </c>
      <c r="AA1256" s="28"/>
      <c r="AB1256" s="28"/>
      <c r="AC1256" s="28">
        <v>428030000</v>
      </c>
      <c r="AD1256" s="28">
        <v>8505709000</v>
      </c>
      <c r="AE1256" s="28">
        <v>8841810000</v>
      </c>
      <c r="AF1256" s="28">
        <v>1331411000</v>
      </c>
      <c r="AG1256" s="11"/>
    </row>
    <row r="1257">
      <c r="A1257" s="7" t="s">
        <v>2973</v>
      </c>
      <c r="B1257" s="5" t="s">
        <v>10963</v>
      </c>
      <c r="C1257" s="5" t="s">
        <v>18837</v>
      </c>
      <c r="D1257" s="5" t="str">
        <v>250209988799</v>
      </c>
      <c r="E1257" s="0" t="e">
        <f>+7 (423) 2457948
+7 (4232) 360211
+7 (902) 4857126
+7 (423) 2362787
+7 (423) 2460574
+7 (423) 2462845
+7 (4232) 362811
+7 (4232) 362831
+7 (4232) 371190
+7 (4232) 672740
+7 (902) 5223026</f>
        <v>#NAME?</v>
      </c>
      <c r="F1257" s="5" t="s">
        <v>29182</v>
      </c>
      <c r="G1257" s="5" t="s">
        <v>29183</v>
      </c>
      <c r="H1257" s="26">
        <v>30</v>
      </c>
      <c r="I1257" s="5" t="s">
        <v>29184</v>
      </c>
      <c r="J1257" s="5" t="s">
        <v>27802</v>
      </c>
      <c r="K1257" s="5" t="s">
        <v>344</v>
      </c>
      <c r="L1257" s="5"/>
      <c r="M1257" s="27">
        <v>630531053</v>
      </c>
      <c r="N1257" s="5" t="s">
        <v>51138</v>
      </c>
      <c r="O1257" s="5" t="str">
        <v>2504000684</v>
      </c>
      <c r="P1257" s="27">
        <v>1145323786</v>
      </c>
      <c r="Q1257" s="5" t="s">
        <v>51139</v>
      </c>
      <c r="R1257" s="5"/>
      <c r="S1257" s="5" t="s">
        <v>50262</v>
      </c>
      <c r="T1257" s="28">
        <v>5700979000</v>
      </c>
      <c r="U1257" s="28"/>
      <c r="V1257" s="28">
        <v>932548000</v>
      </c>
      <c r="W1257" s="28"/>
      <c r="X1257" s="28">
        <v>1231925000</v>
      </c>
      <c r="Y1257" s="28">
        <v>9000411000</v>
      </c>
      <c r="Z1257" s="28">
        <v>-1220490000</v>
      </c>
      <c r="AA1257" s="28">
        <v>126513000</v>
      </c>
      <c r="AB1257" s="28">
        <v>203366000</v>
      </c>
      <c r="AC1257" s="28">
        <v>1494195000</v>
      </c>
      <c r="AD1257" s="28">
        <v>4381106000</v>
      </c>
      <c r="AE1257" s="28">
        <v>5571064000</v>
      </c>
      <c r="AF1257" s="28">
        <v>-24007000</v>
      </c>
      <c r="AG1257" s="11"/>
    </row>
    <row r="1258">
      <c r="A1258" s="7" t="s">
        <v>2974</v>
      </c>
      <c r="B1258" s="5" t="s">
        <v>10964</v>
      </c>
      <c r="C1258" s="5" t="s">
        <v>18838</v>
      </c>
      <c r="D1258" s="5"/>
      <c r="E1258" s="0" t="e">
        <f>+7 (495) 6267766
+7 (82151) 52319
+7 (82151) 53328
+7 (82151) 53926
+7 (82151) 55344
+7 (82151) 55838
+7 (82151) 57502
+7 (82151) 57519
+7 (82151) 57560
+7 (82151) 57627
+7 (82151) 70236
+7 (82151) 70316
+7 (82151) 70960
+7 (82151) 72242
+7 (82151) 72701</f>
        <v>#NAME?</v>
      </c>
      <c r="F1258" s="5" t="s">
        <v>29185</v>
      </c>
      <c r="G1258" s="5" t="s">
        <v>29186</v>
      </c>
      <c r="H1258" s="26">
        <v>31</v>
      </c>
      <c r="I1258" s="5" t="s">
        <v>29187</v>
      </c>
      <c r="J1258" s="5" t="s">
        <v>29188</v>
      </c>
      <c r="K1258" s="5" t="s">
        <v>344</v>
      </c>
      <c r="L1258" s="5" t="s">
        <v>29189</v>
      </c>
      <c r="M1258" s="27">
        <v>3843037</v>
      </c>
      <c r="N1258" s="5" t="s">
        <v>51140</v>
      </c>
      <c r="O1258" s="5" t="str">
        <v>1103019252</v>
      </c>
      <c r="P1258" s="27">
        <v>3504808</v>
      </c>
      <c r="Q1258" s="5" t="s">
        <v>51141</v>
      </c>
      <c r="R1258" s="5"/>
      <c r="S1258" s="5" t="s">
        <v>49998</v>
      </c>
      <c r="T1258" s="28">
        <v>28881707000</v>
      </c>
      <c r="U1258" s="28">
        <v>9966272000</v>
      </c>
      <c r="V1258" s="28">
        <v>4642654000</v>
      </c>
      <c r="W1258" s="28">
        <v>15419398000</v>
      </c>
      <c r="X1258" s="28">
        <v>906657000</v>
      </c>
      <c r="Y1258" s="28">
        <v>67130823000</v>
      </c>
      <c r="Z1258" s="28">
        <v>21146657000</v>
      </c>
      <c r="AA1258" s="28">
        <v>11074000000</v>
      </c>
      <c r="AB1258" s="28">
        <v>15729471000</v>
      </c>
      <c r="AC1258" s="28">
        <v>21710932000</v>
      </c>
      <c r="AD1258" s="28">
        <v>24084770000</v>
      </c>
      <c r="AE1258" s="28">
        <v>48773729000</v>
      </c>
      <c r="AF1258" s="28">
        <v>14136617000</v>
      </c>
      <c r="AG1258" s="11"/>
    </row>
    <row r="1259">
      <c r="A1259" s="7" t="s">
        <v>2975</v>
      </c>
      <c r="B1259" s="5" t="s">
        <v>10965</v>
      </c>
      <c r="C1259" s="5" t="s">
        <v>18839</v>
      </c>
      <c r="D1259" s="5" t="str">
        <v>366501740437</v>
      </c>
      <c r="E1259" s="0" t="e">
        <f>+7 (473) 2391133
+7 (920) 4603399
+7 (472) 2500223
+7 (473) 2391143
+7 (473) 2632814
+7 (473) 2632835
+7 (473) 2632859
+7 (473) 2632973
+7 (473) 2724459
+7 (473) 2724460
+7 (473) 2724475
+7 (473) 2763088
+7 (473) 3003859
+7 (47362) 31453
+7 (47391) 99227</f>
        <v>#NAME?</v>
      </c>
      <c r="F1259" s="5" t="s">
        <v>29190</v>
      </c>
      <c r="G1259" s="5" t="s">
        <v>29191</v>
      </c>
      <c r="H1259" s="26">
        <v>24</v>
      </c>
      <c r="I1259" s="5" t="s">
        <v>29192</v>
      </c>
      <c r="J1259" s="5" t="s">
        <v>25842</v>
      </c>
      <c r="K1259" s="5" t="s">
        <v>344</v>
      </c>
      <c r="L1259" s="5" t="s">
        <v>1027</v>
      </c>
      <c r="M1259" s="27">
        <v>4105679</v>
      </c>
      <c r="N1259" s="5" t="s">
        <v>51142</v>
      </c>
      <c r="O1259" s="5" t="str">
        <v>3665025265</v>
      </c>
      <c r="P1259" s="27">
        <v>10026460</v>
      </c>
      <c r="Q1259" s="5" t="s">
        <v>51143</v>
      </c>
      <c r="R1259" s="5"/>
      <c r="S1259" s="5" t="s">
        <v>50230</v>
      </c>
      <c r="T1259" s="28">
        <v>279219000</v>
      </c>
      <c r="U1259" s="28">
        <v>28042000</v>
      </c>
      <c r="V1259" s="28">
        <v>414855000</v>
      </c>
      <c r="W1259" s="28"/>
      <c r="X1259" s="28">
        <v>43988000</v>
      </c>
      <c r="Y1259" s="28">
        <v>2573693000</v>
      </c>
      <c r="Z1259" s="28">
        <v>465099000</v>
      </c>
      <c r="AA1259" s="28"/>
      <c r="AB1259" s="28">
        <v>891250000</v>
      </c>
      <c r="AC1259" s="28">
        <v>1875835000</v>
      </c>
      <c r="AD1259" s="28">
        <v>475125000</v>
      </c>
      <c r="AE1259" s="28">
        <v>6067167000</v>
      </c>
      <c r="AF1259" s="28">
        <v>292403000</v>
      </c>
      <c r="AG1259" s="11"/>
    </row>
    <row r="1260">
      <c r="A1260" s="7" t="s">
        <v>2976</v>
      </c>
      <c r="B1260" s="5" t="s">
        <v>10966</v>
      </c>
      <c r="C1260" s="5" t="s">
        <v>18840</v>
      </c>
      <c r="D1260" s="5" t="str">
        <v>366400453524</v>
      </c>
      <c r="F1260" s="5" t="s">
        <v>29193</v>
      </c>
      <c r="G1260" s="5"/>
      <c r="H1260" s="26">
        <v>10</v>
      </c>
      <c r="I1260" s="5" t="s">
        <v>29194</v>
      </c>
      <c r="J1260" s="5" t="s">
        <v>29195</v>
      </c>
      <c r="K1260" s="5" t="s">
        <v>344</v>
      </c>
      <c r="L1260" s="5" t="s">
        <v>29196</v>
      </c>
      <c r="M1260" s="27"/>
      <c r="N1260" s="5"/>
      <c r="O1260" s="5" t="str">
        <v>3664123083</v>
      </c>
      <c r="P1260" s="27">
        <v>10000</v>
      </c>
      <c r="Q1260" s="5" t="s">
        <v>49009</v>
      </c>
      <c r="R1260" s="5"/>
      <c r="S1260" s="5" t="s">
        <v>49028</v>
      </c>
      <c r="T1260" s="28">
        <v>28510000</v>
      </c>
      <c r="U1260" s="28"/>
      <c r="V1260" s="28">
        <v>370823000</v>
      </c>
      <c r="W1260" s="28"/>
      <c r="X1260" s="28">
        <v>211764000</v>
      </c>
      <c r="Y1260" s="28">
        <v>627461000</v>
      </c>
      <c r="Z1260" s="28">
        <v>244718000</v>
      </c>
      <c r="AA1260" s="28">
        <v>243672000</v>
      </c>
      <c r="AB1260" s="28">
        <v>106864000</v>
      </c>
      <c r="AC1260" s="28">
        <v>137518000</v>
      </c>
      <c r="AD1260" s="28">
        <v>244728000</v>
      </c>
      <c r="AE1260" s="28">
        <v>4411014000</v>
      </c>
      <c r="AF1260" s="28">
        <v>126315000</v>
      </c>
      <c r="AG1260" s="11"/>
    </row>
    <row r="1261">
      <c r="A1261" s="7" t="s">
        <v>2977</v>
      </c>
      <c r="B1261" s="5" t="s">
        <v>10967</v>
      </c>
      <c r="C1261" s="5" t="s">
        <v>18841</v>
      </c>
      <c r="D1261" s="5" t="str">
        <v>366304814231</v>
      </c>
      <c r="E1261" s="0" t="e">
        <f>+7 (473) 2206636
+7 (473) 2206709
+7 (473) 2206723
+7 (473) 2206754
+7 (473) 2206815
+7 (473) 2206853
+7 (473) 2206869
+7 (473) 2206888
+7 (473) 2206889
+7 (473) 2206988
+7 (473) 2207217
+7 (473) 2490900
+7 (473) 2492360
+7 (473) 2492763
+7 (473) 2498204</f>
        <v>#NAME?</v>
      </c>
      <c r="F1261" s="5" t="s">
        <v>29197</v>
      </c>
      <c r="G1261" s="5"/>
      <c r="H1261" s="26">
        <v>30.5</v>
      </c>
      <c r="I1261" s="5"/>
      <c r="J1261" s="5" t="s">
        <v>29198</v>
      </c>
      <c r="K1261" s="5" t="s">
        <v>344</v>
      </c>
      <c r="L1261" s="5"/>
      <c r="M1261" s="27">
        <v>14585</v>
      </c>
      <c r="N1261" s="5" t="s">
        <v>50986</v>
      </c>
      <c r="O1261" s="5" t="str">
        <v>3663002167</v>
      </c>
      <c r="P1261" s="27">
        <v>8088728000</v>
      </c>
      <c r="Q1261" s="5" t="s">
        <v>49009</v>
      </c>
      <c r="R1261" s="5" t="s">
        <v>51144</v>
      </c>
      <c r="S1261" s="5" t="s">
        <v>51145</v>
      </c>
      <c r="T1261" s="28">
        <v>15810796000</v>
      </c>
      <c r="U1261" s="28"/>
      <c r="V1261" s="28">
        <v>1110880000</v>
      </c>
      <c r="W1261" s="28">
        <v>5972000</v>
      </c>
      <c r="X1261" s="28">
        <v>18765000</v>
      </c>
      <c r="Y1261" s="28">
        <v>20022317000</v>
      </c>
      <c r="Z1261" s="28">
        <v>3963081000</v>
      </c>
      <c r="AA1261" s="28"/>
      <c r="AB1261" s="28">
        <v>3170689000</v>
      </c>
      <c r="AC1261" s="28">
        <v>5282817000</v>
      </c>
      <c r="AD1261" s="28">
        <v>13770931000</v>
      </c>
      <c r="AE1261" s="28">
        <v>14439065000</v>
      </c>
      <c r="AF1261" s="28">
        <v>788515000</v>
      </c>
      <c r="AG1261" s="11"/>
    </row>
    <row r="1262">
      <c r="A1262" s="7" t="s">
        <v>2978</v>
      </c>
      <c r="B1262" s="5" t="s">
        <v>10968</v>
      </c>
      <c r="C1262" s="5" t="s">
        <v>18842</v>
      </c>
      <c r="D1262" s="5"/>
      <c r="E1262" s="0" t="e">
        <f>+7 (473) 2008042
+7 (473) 2204268
+7 (473) 2008040
+7 (473) 2356638
+7 (473) 2522326
+7 (473) 2522333
+7 (473) 2523572
+7 (473) 2524298
+7 (473) 2525464
+7 (473) 2597547
+7 (473) 2597551
+7 (473) 2597569</f>
        <v>#NAME?</v>
      </c>
      <c r="F1262" s="5" t="s">
        <v>29199</v>
      </c>
      <c r="G1262" s="5" t="s">
        <v>29200</v>
      </c>
      <c r="H1262" s="26">
        <v>26.5</v>
      </c>
      <c r="I1262" s="5" t="s">
        <v>29201</v>
      </c>
      <c r="J1262" s="5" t="s">
        <v>29202</v>
      </c>
      <c r="K1262" s="5" t="s">
        <v>344</v>
      </c>
      <c r="L1262" s="5"/>
      <c r="M1262" s="27"/>
      <c r="N1262" s="5" t="s">
        <v>51146</v>
      </c>
      <c r="O1262" s="5" t="str">
        <v>3650000412</v>
      </c>
      <c r="P1262" s="27">
        <v>8500000</v>
      </c>
      <c r="Q1262" s="5" t="s">
        <v>49009</v>
      </c>
      <c r="R1262" s="5"/>
      <c r="S1262" s="5" t="s">
        <v>49028</v>
      </c>
      <c r="T1262" s="28">
        <v>525405000</v>
      </c>
      <c r="U1262" s="28">
        <v>1401820000</v>
      </c>
      <c r="V1262" s="28">
        <v>1689122000</v>
      </c>
      <c r="W1262" s="28"/>
      <c r="X1262" s="28">
        <v>6086000</v>
      </c>
      <c r="Y1262" s="28">
        <v>4105973000</v>
      </c>
      <c r="Z1262" s="28">
        <v>2166781000</v>
      </c>
      <c r="AA1262" s="28"/>
      <c r="AB1262" s="28"/>
      <c r="AC1262" s="28">
        <v>1811171000</v>
      </c>
      <c r="AD1262" s="28">
        <v>2273033000</v>
      </c>
      <c r="AE1262" s="28">
        <v>4531461000</v>
      </c>
      <c r="AF1262" s="28">
        <v>185488000</v>
      </c>
      <c r="AG1262" s="11"/>
    </row>
    <row r="1263">
      <c r="A1263" s="7" t="s">
        <v>2979</v>
      </c>
      <c r="B1263" s="5" t="s">
        <v>10969</v>
      </c>
      <c r="C1263" s="5" t="s">
        <v>18843</v>
      </c>
      <c r="D1263" s="5" t="str">
        <v>366411897666</v>
      </c>
      <c r="E1263" s="0" t="e">
        <f>+7 (473) 2331850
+7 (473) 2331820
+7 (473) 2331830
+7 (473) 2331848
+7 (473) 2332000
+7 (473) 2332163
+7 (473) 2399651
+7 (473) 2604915
+7 (473) 2629092
+7 (919) 1836990</f>
        <v>#NAME?</v>
      </c>
      <c r="F1263" s="5"/>
      <c r="G1263" s="5" t="s">
        <v>29203</v>
      </c>
      <c r="H1263" s="26">
        <v>13</v>
      </c>
      <c r="I1263" s="5" t="s">
        <v>29204</v>
      </c>
      <c r="J1263" s="5" t="s">
        <v>29205</v>
      </c>
      <c r="K1263" s="5" t="s">
        <v>344</v>
      </c>
      <c r="L1263" s="5" t="s">
        <v>26616</v>
      </c>
      <c r="M1263" s="27"/>
      <c r="N1263" s="5" t="s">
        <v>51148</v>
      </c>
      <c r="O1263" s="5" t="str">
        <v>3662149488</v>
      </c>
      <c r="P1263" s="27">
        <v>170549580</v>
      </c>
      <c r="Q1263" s="5" t="s">
        <v>51149</v>
      </c>
      <c r="R1263" s="5"/>
      <c r="S1263" s="5" t="s">
        <v>50238</v>
      </c>
      <c r="T1263" s="28">
        <v>1114543000</v>
      </c>
      <c r="U1263" s="28"/>
      <c r="V1263" s="28">
        <v>479970000</v>
      </c>
      <c r="W1263" s="28"/>
      <c r="X1263" s="28">
        <v>1239683000</v>
      </c>
      <c r="Y1263" s="28">
        <v>4845004000</v>
      </c>
      <c r="Z1263" s="28">
        <v>-766997000</v>
      </c>
      <c r="AA1263" s="28">
        <v>700000000</v>
      </c>
      <c r="AB1263" s="28">
        <v>4281000</v>
      </c>
      <c r="AC1263" s="28">
        <v>1916012000</v>
      </c>
      <c r="AD1263" s="28">
        <v>2223608000</v>
      </c>
      <c r="AE1263" s="28">
        <v>3125769000</v>
      </c>
      <c r="AF1263" s="28">
        <v>-137518000</v>
      </c>
      <c r="AG1263" s="11"/>
    </row>
    <row r="1264">
      <c r="A1264" s="7" t="s">
        <v>2980</v>
      </c>
      <c r="B1264" s="5" t="s">
        <v>10970</v>
      </c>
      <c r="C1264" s="5" t="s">
        <v>18844</v>
      </c>
      <c r="D1264" s="5" t="str">
        <v>550902391206</v>
      </c>
      <c r="E1264" s="0" t="e">
        <f>+7 (903) 2724497
+7 (918) 1644999
+7 (918) 6263383
+7 (926) 5683673
+7 (966) 1793014
+7 (989) 2202407</f>
        <v>#NAME?</v>
      </c>
      <c r="F1264" s="5" t="s">
        <v>29206</v>
      </c>
      <c r="G1264" s="5" t="s">
        <v>29207</v>
      </c>
      <c r="H1264" s="26">
        <v>6</v>
      </c>
      <c r="I1264" s="5" t="s">
        <v>29208</v>
      </c>
      <c r="J1264" s="5" t="s">
        <v>29209</v>
      </c>
      <c r="K1264" s="5" t="s">
        <v>344</v>
      </c>
      <c r="L1264" s="5"/>
      <c r="M1264" s="27"/>
      <c r="N1264" s="5"/>
      <c r="O1264" s="5" t="str">
        <v>3663126148</v>
      </c>
      <c r="P1264" s="27">
        <v>10000</v>
      </c>
      <c r="Q1264" s="5" t="s">
        <v>49009</v>
      </c>
      <c r="R1264" s="5"/>
      <c r="S1264" s="5" t="s">
        <v>51151</v>
      </c>
      <c r="T1264" s="28">
        <v>8191387000</v>
      </c>
      <c r="U1264" s="28"/>
      <c r="V1264" s="28">
        <v>389955000</v>
      </c>
      <c r="W1264" s="28"/>
      <c r="X1264" s="28">
        <v>29819000</v>
      </c>
      <c r="Y1264" s="28">
        <v>10191885000</v>
      </c>
      <c r="Z1264" s="28">
        <v>1597070000</v>
      </c>
      <c r="AA1264" s="28">
        <v>8350000000</v>
      </c>
      <c r="AB1264" s="28"/>
      <c r="AC1264" s="28">
        <v>243315000</v>
      </c>
      <c r="AD1264" s="28">
        <v>1597080000</v>
      </c>
      <c r="AE1264" s="28">
        <v>3380450000</v>
      </c>
      <c r="AF1264" s="28">
        <v>1023406000</v>
      </c>
      <c r="AG1264" s="11"/>
    </row>
    <row r="1265">
      <c r="A1265" s="7" t="s">
        <v>2981</v>
      </c>
      <c r="B1265" s="5" t="s">
        <v>10971</v>
      </c>
      <c r="C1265" s="5" t="s">
        <v>18845</v>
      </c>
      <c r="D1265" s="5" t="str">
        <v>366500477430</v>
      </c>
      <c r="E1265" s="0" t="e">
        <f>+7 (473) 2145332
+7 (473) 2162017
+7 (473) 2425268
+7 (473) 2425339
+7 (473) 2425374
+7 (473) 2425382
+7 (473) 2675332
+7 (473) 2794733
+7 (800) 7008181</f>
        <v>#NAME?</v>
      </c>
      <c r="F1265" s="5" t="s">
        <v>29210</v>
      </c>
      <c r="G1265" s="5" t="s">
        <v>29211</v>
      </c>
      <c r="H1265" s="26">
        <v>26.5</v>
      </c>
      <c r="I1265" s="5" t="s">
        <v>29212</v>
      </c>
      <c r="J1265" s="5" t="s">
        <v>25231</v>
      </c>
      <c r="K1265" s="5" t="s">
        <v>344</v>
      </c>
      <c r="L1265" s="5"/>
      <c r="M1265" s="27"/>
      <c r="N1265" s="5"/>
      <c r="O1265" s="5" t="str">
        <v>3662009586</v>
      </c>
      <c r="P1265" s="27">
        <v>125800</v>
      </c>
      <c r="Q1265" s="5" t="s">
        <v>49009</v>
      </c>
      <c r="R1265" s="5"/>
      <c r="S1265" s="5" t="s">
        <v>49028</v>
      </c>
      <c r="T1265" s="28">
        <v>4905578000</v>
      </c>
      <c r="U1265" s="28">
        <v>1839321000</v>
      </c>
      <c r="V1265" s="28">
        <v>5142168000</v>
      </c>
      <c r="W1265" s="28">
        <v>376341000</v>
      </c>
      <c r="X1265" s="28">
        <v>464595000</v>
      </c>
      <c r="Y1265" s="28">
        <v>17532877000</v>
      </c>
      <c r="Z1265" s="28">
        <v>9026785000</v>
      </c>
      <c r="AA1265" s="28">
        <v>5633486000</v>
      </c>
      <c r="AB1265" s="28">
        <v>806545000</v>
      </c>
      <c r="AC1265" s="28">
        <v>2304486000</v>
      </c>
      <c r="AD1265" s="28">
        <v>9344076000</v>
      </c>
      <c r="AE1265" s="28">
        <v>30792389000</v>
      </c>
      <c r="AF1265" s="28">
        <v>1449061000</v>
      </c>
      <c r="AG1265" s="11"/>
    </row>
    <row r="1266">
      <c r="A1266" s="7" t="s">
        <v>2982</v>
      </c>
      <c r="B1266" s="5" t="s">
        <v>10972</v>
      </c>
      <c r="C1266" s="5" t="s">
        <v>18846</v>
      </c>
      <c r="D1266" s="5" t="str">
        <v>366403219018</v>
      </c>
      <c r="E1266" s="0" t="e">
        <f>+7 (473) 2798199
+7 (473) 2068899
+7 (473) 2202513
+7 (473) 2202538
+7 (473) 2202550
+7 (473) 2202938
+7 (473) 2239452</f>
        <v>#NAME?</v>
      </c>
      <c r="F1266" s="5" t="s">
        <v>29213</v>
      </c>
      <c r="G1266" s="5" t="s">
        <v>29214</v>
      </c>
      <c r="H1266" s="26">
        <v>25.5</v>
      </c>
      <c r="I1266" s="5"/>
      <c r="J1266" s="5" t="s">
        <v>445</v>
      </c>
      <c r="K1266" s="5" t="s">
        <v>344</v>
      </c>
      <c r="L1266" s="5"/>
      <c r="M1266" s="27"/>
      <c r="N1266" s="5" t="s">
        <v>51153</v>
      </c>
      <c r="O1266" s="5" t="str">
        <v>3663000804</v>
      </c>
      <c r="P1266" s="27">
        <v>70795000</v>
      </c>
      <c r="Q1266" s="5" t="s">
        <v>50765</v>
      </c>
      <c r="R1266" s="5"/>
      <c r="S1266" s="5" t="s">
        <v>51155</v>
      </c>
      <c r="T1266" s="28">
        <v>1010444000</v>
      </c>
      <c r="U1266" s="28">
        <v>107871000</v>
      </c>
      <c r="V1266" s="28">
        <v>1840452000</v>
      </c>
      <c r="W1266" s="28">
        <v>180000000</v>
      </c>
      <c r="X1266" s="28">
        <v>920585000</v>
      </c>
      <c r="Y1266" s="28">
        <v>6597099000</v>
      </c>
      <c r="Z1266" s="28">
        <v>2962818000</v>
      </c>
      <c r="AA1266" s="28">
        <v>1019906000</v>
      </c>
      <c r="AB1266" s="28"/>
      <c r="AC1266" s="28">
        <v>2521408000</v>
      </c>
      <c r="AD1266" s="28">
        <v>3041605000</v>
      </c>
      <c r="AE1266" s="28">
        <v>12393604000</v>
      </c>
      <c r="AF1266" s="28">
        <v>713778000</v>
      </c>
      <c r="AG1266" s="11"/>
    </row>
    <row r="1267">
      <c r="A1267" s="7" t="s">
        <v>2983</v>
      </c>
      <c r="B1267" s="5" t="s">
        <v>10973</v>
      </c>
      <c r="C1267" s="5" t="s">
        <v>18847</v>
      </c>
      <c r="D1267" s="5" t="str">
        <v>781119742940</v>
      </c>
      <c r="E1267" s="0" t="e">
        <f>+7 (495) 5425741
+7 (495) 9676929
+7 (499) 5425741
+7 (912) 8661694
+7 (981) 7949884</f>
        <v>#NAME?</v>
      </c>
      <c r="F1267" s="5" t="s">
        <v>29215</v>
      </c>
      <c r="G1267" s="5" t="s">
        <v>29216</v>
      </c>
      <c r="H1267" s="26">
        <v>6.5</v>
      </c>
      <c r="I1267" s="5"/>
      <c r="J1267" s="5" t="s">
        <v>29217</v>
      </c>
      <c r="K1267" s="5" t="s">
        <v>344</v>
      </c>
      <c r="L1267" s="5"/>
      <c r="M1267" s="27"/>
      <c r="N1267" s="5"/>
      <c r="O1267" s="5" t="str">
        <v>5005069252</v>
      </c>
      <c r="P1267" s="27">
        <v>200000000</v>
      </c>
      <c r="Q1267" s="5" t="s">
        <v>49059</v>
      </c>
      <c r="R1267" s="5"/>
      <c r="S1267" s="5" t="s">
        <v>49066</v>
      </c>
      <c r="T1267" s="28">
        <v>574146000</v>
      </c>
      <c r="U1267" s="28"/>
      <c r="V1267" s="28">
        <v>225881000</v>
      </c>
      <c r="W1267" s="28"/>
      <c r="X1267" s="28">
        <v>39199000</v>
      </c>
      <c r="Y1267" s="28">
        <v>1764573000</v>
      </c>
      <c r="Z1267" s="28">
        <v>26973000</v>
      </c>
      <c r="AA1267" s="28">
        <v>723731000</v>
      </c>
      <c r="AB1267" s="28">
        <v>17411000</v>
      </c>
      <c r="AC1267" s="28">
        <v>806603000</v>
      </c>
      <c r="AD1267" s="28">
        <v>226973000</v>
      </c>
      <c r="AE1267" s="28">
        <v>3483761000</v>
      </c>
      <c r="AF1267" s="28">
        <v>1010000</v>
      </c>
      <c r="AG1267" s="11"/>
    </row>
    <row r="1268">
      <c r="A1268" s="7" t="s">
        <v>2984</v>
      </c>
      <c r="B1268" s="5" t="s">
        <v>10974</v>
      </c>
      <c r="C1268" s="5" t="s">
        <v>18848</v>
      </c>
      <c r="D1268" s="5" t="str">
        <v>772616873539</v>
      </c>
      <c r="E1268" s="0" t="e">
        <f>+7 (843) 2789017
+7 (843) 2789068</f>
        <v>#NAME?</v>
      </c>
      <c r="F1268" s="5"/>
      <c r="G1268" s="5"/>
      <c r="H1268" s="26">
        <v>19</v>
      </c>
      <c r="I1268" s="5" t="s">
        <v>29218</v>
      </c>
      <c r="J1268" s="5" t="s">
        <v>27906</v>
      </c>
      <c r="K1268" s="5" t="s">
        <v>344</v>
      </c>
      <c r="L1268" s="5" t="s">
        <v>29219</v>
      </c>
      <c r="M1268" s="27"/>
      <c r="N1268" s="5"/>
      <c r="O1268" s="5" t="str">
        <v>1659051506</v>
      </c>
      <c r="P1268" s="27">
        <v>1429488000</v>
      </c>
      <c r="Q1268" s="5"/>
      <c r="R1268" s="5"/>
      <c r="S1268" s="5" t="s">
        <v>49029</v>
      </c>
      <c r="T1268" s="28">
        <v>1511171000</v>
      </c>
      <c r="U1268" s="28"/>
      <c r="V1268" s="28">
        <v>339644000</v>
      </c>
      <c r="W1268" s="28"/>
      <c r="X1268" s="28">
        <v>156904000</v>
      </c>
      <c r="Y1268" s="28">
        <v>4967963000</v>
      </c>
      <c r="Z1268" s="28">
        <v>2657096000</v>
      </c>
      <c r="AA1268" s="28"/>
      <c r="AB1268" s="28">
        <v>16397000</v>
      </c>
      <c r="AC1268" s="28">
        <v>633343000</v>
      </c>
      <c r="AD1268" s="28">
        <v>4228664000</v>
      </c>
      <c r="AE1268" s="28">
        <v>3736238000</v>
      </c>
      <c r="AF1268" s="28">
        <v>1357720000</v>
      </c>
      <c r="AG1268" s="11"/>
    </row>
    <row r="1269">
      <c r="A1269" s="7" t="s">
        <v>2985</v>
      </c>
      <c r="B1269" s="5" t="s">
        <v>10975</v>
      </c>
      <c r="C1269" s="5" t="s">
        <v>18849</v>
      </c>
      <c r="D1269" s="5" t="str">
        <v>272511154903</v>
      </c>
      <c r="E1269" s="0" t="e">
        <f>+7 (421) 2372228
+7 (421) 2260653
+7 (421) 2260657
+7 (421) 2335653
+7 (421) 2335656</f>
        <v>#NAME?</v>
      </c>
      <c r="F1269" s="5"/>
      <c r="G1269" s="5" t="s">
        <v>29220</v>
      </c>
      <c r="H1269" s="26">
        <v>52</v>
      </c>
      <c r="I1269" s="5" t="s">
        <v>29221</v>
      </c>
      <c r="J1269" s="5" t="s">
        <v>25779</v>
      </c>
      <c r="K1269" s="5" t="s">
        <v>344</v>
      </c>
      <c r="L1269" s="5" t="s">
        <v>29222</v>
      </c>
      <c r="M1269" s="27">
        <v>11641908</v>
      </c>
      <c r="N1269" s="5"/>
      <c r="O1269" s="5" t="str">
        <v>2708000587</v>
      </c>
      <c r="P1269" s="27">
        <v>368000</v>
      </c>
      <c r="Q1269" s="5"/>
      <c r="R1269" s="5" t="s">
        <v>51156</v>
      </c>
      <c r="S1269" s="5" t="s">
        <v>49496</v>
      </c>
      <c r="T1269" s="28">
        <v>753717000</v>
      </c>
      <c r="U1269" s="28">
        <v>17000</v>
      </c>
      <c r="V1269" s="28">
        <v>146930000</v>
      </c>
      <c r="W1269" s="28">
        <v>324000000</v>
      </c>
      <c r="X1269" s="28">
        <v>372773000</v>
      </c>
      <c r="Y1269" s="28">
        <v>4591608000</v>
      </c>
      <c r="Z1269" s="28">
        <v>4466678000</v>
      </c>
      <c r="AA1269" s="28"/>
      <c r="AB1269" s="28"/>
      <c r="AC1269" s="28">
        <v>41192000</v>
      </c>
      <c r="AD1269" s="28">
        <v>4467831000</v>
      </c>
      <c r="AE1269" s="28">
        <v>3364679000</v>
      </c>
      <c r="AF1269" s="28">
        <v>532893000</v>
      </c>
      <c r="AG1269" s="11"/>
    </row>
    <row r="1270">
      <c r="A1270" s="7" t="s">
        <v>2986</v>
      </c>
      <c r="B1270" s="5" t="s">
        <v>10976</v>
      </c>
      <c r="C1270" s="5" t="s">
        <v>18850</v>
      </c>
      <c r="D1270" s="5" t="str">
        <v>772132608434</v>
      </c>
      <c r="E1270" s="0" t="e">
        <f>+7 (903) 6190253
+7 (903) 6193660</f>
        <v>#NAME?</v>
      </c>
      <c r="F1270" s="5" t="s">
        <v>29223</v>
      </c>
      <c r="G1270" s="5"/>
      <c r="H1270" s="26">
        <v>6.5</v>
      </c>
      <c r="I1270" s="5" t="s">
        <v>29224</v>
      </c>
      <c r="J1270" s="5" t="s">
        <v>27115</v>
      </c>
      <c r="K1270" s="5" t="s">
        <v>344</v>
      </c>
      <c r="L1270" s="5" t="s">
        <v>29225</v>
      </c>
      <c r="M1270" s="27"/>
      <c r="N1270" s="5" t="s">
        <v>51157</v>
      </c>
      <c r="O1270" s="5" t="str">
        <v>5031121276</v>
      </c>
      <c r="P1270" s="27">
        <v>10000</v>
      </c>
      <c r="Q1270" s="5" t="s">
        <v>51158</v>
      </c>
      <c r="R1270" s="5"/>
      <c r="S1270" s="5" t="s">
        <v>51159</v>
      </c>
      <c r="T1270" s="28">
        <v>3075000</v>
      </c>
      <c r="U1270" s="28"/>
      <c r="V1270" s="28">
        <v>146212000</v>
      </c>
      <c r="W1270" s="28"/>
      <c r="X1270" s="28">
        <v>199368000</v>
      </c>
      <c r="Y1270" s="28">
        <v>517561000</v>
      </c>
      <c r="Z1270" s="28">
        <v>282740000</v>
      </c>
      <c r="AA1270" s="28">
        <v>91346000</v>
      </c>
      <c r="AB1270" s="28">
        <v>1802000</v>
      </c>
      <c r="AC1270" s="28">
        <v>143466000</v>
      </c>
      <c r="AD1270" s="28">
        <v>282750000</v>
      </c>
      <c r="AE1270" s="28">
        <v>3841701000</v>
      </c>
      <c r="AF1270" s="28">
        <v>320255000</v>
      </c>
      <c r="AG1270" s="11"/>
    </row>
    <row r="1271">
      <c r="A1271" s="7" t="s">
        <v>2986</v>
      </c>
      <c r="B1271" s="5" t="s">
        <v>10977</v>
      </c>
      <c r="C1271" s="5" t="s">
        <v>18851</v>
      </c>
      <c r="D1271" s="5" t="str">
        <v>170102901467</v>
      </c>
      <c r="E1271" s="0" t="e">
        <f>+7 (394) 2222232
+7 (394) 2256646
+7 (394) 2259333
+7 (394) 2291552
+7 (906) 9991813
+7 (913) 3413621
+7 (394) 2212191
+7 (394) 2222191
+7 (394) 2241130
+7 (394) 2253462
+7 (394) 2253933
+7 (394) 2253936
+7 (394) 2256601
+7 (394) 2256628
+7 (913) 4472055</f>
        <v>#NAME?</v>
      </c>
      <c r="F1271" s="5" t="s">
        <v>29226</v>
      </c>
      <c r="G1271" s="5" t="s">
        <v>29227</v>
      </c>
      <c r="H1271" s="26">
        <v>24</v>
      </c>
      <c r="I1271" s="5" t="s">
        <v>29228</v>
      </c>
      <c r="J1271" s="5" t="s">
        <v>25304</v>
      </c>
      <c r="K1271" s="5" t="s">
        <v>344</v>
      </c>
      <c r="L1271" s="5"/>
      <c r="M1271" s="27"/>
      <c r="N1271" s="5" t="s">
        <v>51160</v>
      </c>
      <c r="O1271" s="5" t="str">
        <v>1701011524</v>
      </c>
      <c r="P1271" s="27">
        <v>20000</v>
      </c>
      <c r="Q1271" s="5" t="s">
        <v>51161</v>
      </c>
      <c r="R1271" s="5"/>
      <c r="S1271" s="5" t="s">
        <v>51162</v>
      </c>
      <c r="T1271" s="28">
        <v>737284000</v>
      </c>
      <c r="U1271" s="28"/>
      <c r="V1271" s="28">
        <v>641527000</v>
      </c>
      <c r="W1271" s="28">
        <v>100000000</v>
      </c>
      <c r="X1271" s="28">
        <v>1051386000</v>
      </c>
      <c r="Y1271" s="28">
        <v>3539154000</v>
      </c>
      <c r="Z1271" s="28">
        <v>1049104000</v>
      </c>
      <c r="AA1271" s="28">
        <v>9993000</v>
      </c>
      <c r="AB1271" s="28">
        <v>86660000</v>
      </c>
      <c r="AC1271" s="28">
        <v>1967195000</v>
      </c>
      <c r="AD1271" s="28">
        <v>1072845000</v>
      </c>
      <c r="AE1271" s="28">
        <v>3308210000</v>
      </c>
      <c r="AF1271" s="28">
        <v>74141000</v>
      </c>
      <c r="AG1271" s="11"/>
    </row>
    <row r="1272">
      <c r="A1272" s="7" t="s">
        <v>2987</v>
      </c>
      <c r="B1272" s="5" t="s">
        <v>10978</v>
      </c>
      <c r="C1272" s="5" t="s">
        <v>18852</v>
      </c>
      <c r="D1272" s="5" t="str">
        <v>501703223990</v>
      </c>
      <c r="E1272" s="0" t="e">
        <f>+7 (495) 2230431
+7 (3433) 129001
+7 (383) 2303016
+7 (383) 2303090
+7 (495) 3639903
+7 (495) 7399801
+7 (495) 7399810
+7 (495) 9138726
+7 (495) 9950251
+7 (800) 7003580
+7 (812) 2440111
+7 (861) 2011212</f>
        <v>#NAME?</v>
      </c>
      <c r="F1272" s="5" t="s">
        <v>29229</v>
      </c>
      <c r="G1272" s="5" t="s">
        <v>29230</v>
      </c>
      <c r="H1272" s="26">
        <v>15.5</v>
      </c>
      <c r="I1272" s="5" t="s">
        <v>29231</v>
      </c>
      <c r="J1272" s="5" t="s">
        <v>26511</v>
      </c>
      <c r="K1272" s="5" t="s">
        <v>344</v>
      </c>
      <c r="L1272" s="5" t="s">
        <v>29232</v>
      </c>
      <c r="M1272" s="27">
        <v>12546690</v>
      </c>
      <c r="N1272" s="5" t="s">
        <v>51163</v>
      </c>
      <c r="O1272" s="5" t="str">
        <v>5044062003</v>
      </c>
      <c r="P1272" s="27">
        <v>15000000</v>
      </c>
      <c r="Q1272" s="5" t="s">
        <v>51164</v>
      </c>
      <c r="R1272" s="5"/>
      <c r="S1272" s="5" t="s">
        <v>49175</v>
      </c>
      <c r="T1272" s="28">
        <v>3366397000</v>
      </c>
      <c r="U1272" s="28">
        <v>2000</v>
      </c>
      <c r="V1272" s="28">
        <v>1966921000</v>
      </c>
      <c r="W1272" s="28">
        <v>214000</v>
      </c>
      <c r="X1272" s="28">
        <v>26798000</v>
      </c>
      <c r="Y1272" s="28">
        <v>8157044000</v>
      </c>
      <c r="Z1272" s="28">
        <v>47211000</v>
      </c>
      <c r="AA1272" s="28"/>
      <c r="AB1272" s="28">
        <v>216823000</v>
      </c>
      <c r="AC1272" s="28">
        <v>4110243000</v>
      </c>
      <c r="AD1272" s="28">
        <v>1808654000</v>
      </c>
      <c r="AE1272" s="28">
        <v>31762581000</v>
      </c>
      <c r="AF1272" s="28">
        <v>928152000</v>
      </c>
      <c r="AG1272" s="11"/>
    </row>
    <row r="1273">
      <c r="A1273" s="7" t="s">
        <v>2988</v>
      </c>
      <c r="B1273" s="5" t="s">
        <v>10979</v>
      </c>
      <c r="C1273" s="5" t="s">
        <v>18853</v>
      </c>
      <c r="D1273" s="5" t="str">
        <v>165906938678</v>
      </c>
      <c r="E1273" s="0" t="e">
        <f>+7 (3412) 326570
+7 (929) 7228622
+7 (8435) 671190
+7 (8435) 671192
+7 (8435) 671990
+7 (8553) 319165
+7 (8553) 319175</f>
        <v>#NAME?</v>
      </c>
      <c r="F1273" s="5" t="s">
        <v>29233</v>
      </c>
      <c r="G1273" s="5" t="s">
        <v>29234</v>
      </c>
      <c r="H1273" s="26">
        <v>18.5</v>
      </c>
      <c r="I1273" s="5" t="s">
        <v>29235</v>
      </c>
      <c r="J1273" s="5" t="s">
        <v>25670</v>
      </c>
      <c r="K1273" s="5" t="s">
        <v>355</v>
      </c>
      <c r="L1273" s="5" t="s">
        <v>29236</v>
      </c>
      <c r="M1273" s="27">
        <v>5363810</v>
      </c>
      <c r="N1273" s="5" t="s">
        <v>51165</v>
      </c>
      <c r="O1273" s="5" t="str">
        <v>1644031715</v>
      </c>
      <c r="P1273" s="27">
        <v>70000000</v>
      </c>
      <c r="Q1273" s="5" t="s">
        <v>51166</v>
      </c>
      <c r="R1273" s="5"/>
      <c r="S1273" s="5" t="s">
        <v>50119</v>
      </c>
      <c r="T1273" s="28">
        <v>100569000</v>
      </c>
      <c r="U1273" s="28">
        <v>18432279000</v>
      </c>
      <c r="V1273" s="28">
        <v>1697733000</v>
      </c>
      <c r="W1273" s="28">
        <v>2453984000</v>
      </c>
      <c r="X1273" s="28">
        <v>155860000</v>
      </c>
      <c r="Y1273" s="28">
        <v>23535659000</v>
      </c>
      <c r="Z1273" s="28">
        <v>3921653000</v>
      </c>
      <c r="AA1273" s="28">
        <v>11526979000</v>
      </c>
      <c r="AB1273" s="28">
        <v>5440653000</v>
      </c>
      <c r="AC1273" s="28">
        <v>7703568000</v>
      </c>
      <c r="AD1273" s="28">
        <v>3991653000</v>
      </c>
      <c r="AE1273" s="28">
        <v>3680163000</v>
      </c>
      <c r="AF1273" s="28">
        <v>1104382000</v>
      </c>
      <c r="AG1273" s="11"/>
    </row>
    <row r="1274">
      <c r="A1274" s="7" t="s">
        <v>2989</v>
      </c>
      <c r="B1274" s="5" t="s">
        <v>10980</v>
      </c>
      <c r="C1274" s="5" t="s">
        <v>18854</v>
      </c>
      <c r="D1274" s="5" t="str">
        <v>182104173206</v>
      </c>
      <c r="E1274" s="0" t="e">
        <f>+7 (919) 9005818
+7 (34130) 50044
+7 (34130) 50222
+7 (34130) 50364
+7 (922) 5147496</f>
        <v>#NAME?</v>
      </c>
      <c r="F1274" s="5" t="s">
        <v>29237</v>
      </c>
      <c r="G1274" s="5" t="s">
        <v>29238</v>
      </c>
      <c r="H1274" s="26">
        <v>21</v>
      </c>
      <c r="I1274" s="5" t="s">
        <v>29239</v>
      </c>
      <c r="J1274" s="5" t="s">
        <v>27291</v>
      </c>
      <c r="K1274" s="5" t="s">
        <v>344</v>
      </c>
      <c r="L1274" s="5" t="s">
        <v>29240</v>
      </c>
      <c r="M1274" s="27">
        <v>1558183</v>
      </c>
      <c r="N1274" s="5" t="s">
        <v>51167</v>
      </c>
      <c r="O1274" s="5" t="str">
        <v>1831081018</v>
      </c>
      <c r="P1274" s="27">
        <v>10000</v>
      </c>
      <c r="Q1274" s="5" t="s">
        <v>49057</v>
      </c>
      <c r="R1274" s="5"/>
      <c r="S1274" s="5" t="s">
        <v>49450</v>
      </c>
      <c r="T1274" s="28">
        <v>2255088000</v>
      </c>
      <c r="U1274" s="28">
        <v>9000000</v>
      </c>
      <c r="V1274" s="28">
        <v>818669000</v>
      </c>
      <c r="W1274" s="28"/>
      <c r="X1274" s="28">
        <v>105551000</v>
      </c>
      <c r="Y1274" s="28">
        <v>3207362000</v>
      </c>
      <c r="Z1274" s="28">
        <v>2366444000</v>
      </c>
      <c r="AA1274" s="28">
        <v>340822000</v>
      </c>
      <c r="AB1274" s="28"/>
      <c r="AC1274" s="28">
        <v>476056000</v>
      </c>
      <c r="AD1274" s="28">
        <v>2390484000</v>
      </c>
      <c r="AE1274" s="28">
        <v>3081485000</v>
      </c>
      <c r="AF1274" s="28">
        <v>436468000</v>
      </c>
      <c r="AG1274" s="11"/>
    </row>
    <row r="1275">
      <c r="A1275" s="7" t="s">
        <v>2990</v>
      </c>
      <c r="B1275" s="5" t="s">
        <v>10981</v>
      </c>
      <c r="C1275" s="5" t="s">
        <v>18855</v>
      </c>
      <c r="D1275" s="5" t="str">
        <v>165917695402</v>
      </c>
      <c r="E1275" s="0" t="e">
        <f>+7 (8432) 217247
+7 (8432) 220422
+7 (987) 2979610</f>
        <v>#NAME?</v>
      </c>
      <c r="F1275" s="5" t="s">
        <v>29241</v>
      </c>
      <c r="G1275" s="5"/>
      <c r="H1275" s="26">
        <v>10</v>
      </c>
      <c r="I1275" s="5" t="s">
        <v>29242</v>
      </c>
      <c r="J1275" s="5" t="s">
        <v>364</v>
      </c>
      <c r="K1275" s="5" t="s">
        <v>344</v>
      </c>
      <c r="L1275" s="5" t="s">
        <v>29243</v>
      </c>
      <c r="M1275" s="27">
        <v>2500021</v>
      </c>
      <c r="N1275" s="5" t="s">
        <v>51168</v>
      </c>
      <c r="O1275" s="5" t="str">
        <v>1656068766</v>
      </c>
      <c r="P1275" s="27">
        <v>10000</v>
      </c>
      <c r="Q1275" s="5" t="s">
        <v>51169</v>
      </c>
      <c r="R1275" s="5"/>
      <c r="S1275" s="5" t="s">
        <v>51170</v>
      </c>
      <c r="T1275" s="28">
        <v>43246000</v>
      </c>
      <c r="U1275" s="28"/>
      <c r="V1275" s="28">
        <v>438168000</v>
      </c>
      <c r="W1275" s="28">
        <v>127021000</v>
      </c>
      <c r="X1275" s="28">
        <v>251511000</v>
      </c>
      <c r="Y1275" s="28">
        <v>1069205000</v>
      </c>
      <c r="Z1275" s="28">
        <v>472806000</v>
      </c>
      <c r="AA1275" s="28"/>
      <c r="AB1275" s="28">
        <v>41672000</v>
      </c>
      <c r="AC1275" s="28">
        <v>585122000</v>
      </c>
      <c r="AD1275" s="28">
        <v>472816000</v>
      </c>
      <c r="AE1275" s="28">
        <v>4429492000</v>
      </c>
      <c r="AF1275" s="28">
        <v>269393000</v>
      </c>
      <c r="AG1275" s="11"/>
    </row>
    <row r="1276">
      <c r="A1276" s="7" t="s">
        <v>2991</v>
      </c>
      <c r="B1276" s="5" t="s">
        <v>10982</v>
      </c>
      <c r="C1276" s="5" t="s">
        <v>18856</v>
      </c>
      <c r="D1276" s="5" t="str">
        <v>234907546121</v>
      </c>
      <c r="E1276" s="0" t="e">
        <f>+7 (861) 4640669
+7 (86146) 21066</f>
        <v>#NAME?</v>
      </c>
      <c r="F1276" s="5"/>
      <c r="G1276" s="5"/>
      <c r="H1276" s="26">
        <v>10</v>
      </c>
      <c r="I1276" s="5" t="s">
        <v>29244</v>
      </c>
      <c r="J1276" s="5" t="s">
        <v>25327</v>
      </c>
      <c r="K1276" s="5" t="s">
        <v>344</v>
      </c>
      <c r="L1276" s="5" t="s">
        <v>29245</v>
      </c>
      <c r="M1276" s="27">
        <v>150000</v>
      </c>
      <c r="N1276" s="5"/>
      <c r="O1276" s="5" t="str">
        <v>2312202038</v>
      </c>
      <c r="P1276" s="27">
        <v>10000</v>
      </c>
      <c r="Q1276" s="5" t="s">
        <v>49057</v>
      </c>
      <c r="R1276" s="5"/>
      <c r="S1276" s="5" t="s">
        <v>51171</v>
      </c>
      <c r="T1276" s="28"/>
      <c r="U1276" s="28"/>
      <c r="V1276" s="28">
        <v>2249299000</v>
      </c>
      <c r="W1276" s="28"/>
      <c r="X1276" s="28">
        <v>11682000</v>
      </c>
      <c r="Y1276" s="28">
        <v>3748344000</v>
      </c>
      <c r="Z1276" s="28">
        <v>335376000</v>
      </c>
      <c r="AA1276" s="28"/>
      <c r="AB1276" s="28"/>
      <c r="AC1276" s="28">
        <v>3412958000</v>
      </c>
      <c r="AD1276" s="28">
        <v>335386000</v>
      </c>
      <c r="AE1276" s="28">
        <v>8696848000</v>
      </c>
      <c r="AF1276" s="28">
        <v>172399000</v>
      </c>
      <c r="AG1276" s="11"/>
    </row>
    <row r="1277">
      <c r="A1277" s="7" t="s">
        <v>2992</v>
      </c>
      <c r="B1277" s="5" t="s">
        <v>10983</v>
      </c>
      <c r="C1277" s="5" t="s">
        <v>18857</v>
      </c>
      <c r="D1277" s="5"/>
      <c r="E1277" s="0" t="e">
        <f>+7 (421) 2227364
+7 (421) 2227285
+7 (42138) 47699
+7 (4232) 499389</f>
        <v>#NAME?</v>
      </c>
      <c r="F1277" s="5" t="s">
        <v>29246</v>
      </c>
      <c r="G1277" s="5"/>
      <c r="H1277" s="26">
        <v>27.5</v>
      </c>
      <c r="I1277" s="5" t="s">
        <v>29247</v>
      </c>
      <c r="J1277" s="5" t="s">
        <v>26424</v>
      </c>
      <c r="K1277" s="5" t="s">
        <v>380</v>
      </c>
      <c r="L1277" s="5"/>
      <c r="M1277" s="27"/>
      <c r="N1277" s="5"/>
      <c r="O1277" s="5" t="str">
        <v>2721023255</v>
      </c>
      <c r="P1277" s="27">
        <v>165048265</v>
      </c>
      <c r="Q1277" s="5" t="s">
        <v>49009</v>
      </c>
      <c r="R1277" s="5" t="s">
        <v>51172</v>
      </c>
      <c r="S1277" s="5" t="s">
        <v>49066</v>
      </c>
      <c r="T1277" s="28">
        <v>8064400000</v>
      </c>
      <c r="U1277" s="28">
        <v>91984000</v>
      </c>
      <c r="V1277" s="28">
        <v>5089648000</v>
      </c>
      <c r="W1277" s="28"/>
      <c r="X1277" s="28">
        <v>3369000</v>
      </c>
      <c r="Y1277" s="28">
        <v>21915050000</v>
      </c>
      <c r="Z1277" s="28">
        <v>-4385303000</v>
      </c>
      <c r="AA1277" s="28">
        <v>6340559000</v>
      </c>
      <c r="AB1277" s="28">
        <v>477344000</v>
      </c>
      <c r="AC1277" s="28">
        <v>8527204000</v>
      </c>
      <c r="AD1277" s="28">
        <v>5041860000</v>
      </c>
      <c r="AE1277" s="28">
        <v>9655494000</v>
      </c>
      <c r="AF1277" s="28">
        <v>1629420000</v>
      </c>
      <c r="AG1277" s="11"/>
    </row>
    <row r="1278">
      <c r="A1278" s="7" t="s">
        <v>2993</v>
      </c>
      <c r="B1278" s="5" t="s">
        <v>10984</v>
      </c>
      <c r="C1278" s="5" t="s">
        <v>18858</v>
      </c>
      <c r="D1278" s="5" t="str">
        <v>772601927742</v>
      </c>
      <c r="E1278" s="0" t="e">
        <f>+7 (812) 3330355
+7 (495) 9564584
+7 (919) 7256548
+7 (919) 7845316</f>
        <v>#NAME?</v>
      </c>
      <c r="F1278" s="5" t="s">
        <v>29248</v>
      </c>
      <c r="G1278" s="5" t="s">
        <v>29216</v>
      </c>
      <c r="H1278" s="26">
        <v>17.5</v>
      </c>
      <c r="I1278" s="5"/>
      <c r="J1278" s="5" t="s">
        <v>29249</v>
      </c>
      <c r="K1278" s="5" t="s">
        <v>344</v>
      </c>
      <c r="L1278" s="5" t="s">
        <v>29250</v>
      </c>
      <c r="M1278" s="27"/>
      <c r="N1278" s="5" t="s">
        <v>51173</v>
      </c>
      <c r="O1278" s="5" t="str">
        <v>7733550199</v>
      </c>
      <c r="P1278" s="27">
        <v>12500000</v>
      </c>
      <c r="Q1278" s="5" t="s">
        <v>49009</v>
      </c>
      <c r="R1278" s="5" t="s">
        <v>51174</v>
      </c>
      <c r="S1278" s="5" t="s">
        <v>49045</v>
      </c>
      <c r="T1278" s="28">
        <v>16247000</v>
      </c>
      <c r="U1278" s="28">
        <v>208850000</v>
      </c>
      <c r="V1278" s="28">
        <v>1570464000</v>
      </c>
      <c r="W1278" s="28"/>
      <c r="X1278" s="28">
        <v>26414000</v>
      </c>
      <c r="Y1278" s="28">
        <v>2030964000</v>
      </c>
      <c r="Z1278" s="28">
        <v>1106385000</v>
      </c>
      <c r="AA1278" s="28">
        <v>469000000</v>
      </c>
      <c r="AB1278" s="28">
        <v>71200000</v>
      </c>
      <c r="AC1278" s="28">
        <v>441260000</v>
      </c>
      <c r="AD1278" s="28">
        <v>1119786000</v>
      </c>
      <c r="AE1278" s="28">
        <v>3072142000</v>
      </c>
      <c r="AF1278" s="28">
        <v>123723000</v>
      </c>
      <c r="AG1278" s="11"/>
    </row>
    <row r="1279">
      <c r="A1279" s="7" t="s">
        <v>2994</v>
      </c>
      <c r="B1279" s="5" t="s">
        <v>10985</v>
      </c>
      <c r="C1279" s="5" t="s">
        <v>18859</v>
      </c>
      <c r="D1279" s="5" t="str">
        <v>591703660250</v>
      </c>
      <c r="E1279" s="0" t="e">
        <f>+7 (923) 3054942</f>
        <v>#NAME?</v>
      </c>
      <c r="F1279" s="5"/>
      <c r="G1279" s="5"/>
      <c r="H1279" s="26">
        <v>5.5</v>
      </c>
      <c r="I1279" s="5" t="s">
        <v>29251</v>
      </c>
      <c r="J1279" s="5" t="s">
        <v>25738</v>
      </c>
      <c r="K1279" s="5" t="s">
        <v>355</v>
      </c>
      <c r="L1279" s="5" t="s">
        <v>29252</v>
      </c>
      <c r="M1279" s="27">
        <v>527048</v>
      </c>
      <c r="N1279" s="5"/>
      <c r="O1279" s="5" t="str">
        <v>5262351728</v>
      </c>
      <c r="P1279" s="27">
        <v>500000</v>
      </c>
      <c r="Q1279" s="5" t="s">
        <v>49009</v>
      </c>
      <c r="R1279" s="5"/>
      <c r="S1279" s="5" t="s">
        <v>49045</v>
      </c>
      <c r="T1279" s="28">
        <v>42235000</v>
      </c>
      <c r="U1279" s="28"/>
      <c r="V1279" s="28">
        <v>852662000</v>
      </c>
      <c r="W1279" s="28">
        <v>104900000</v>
      </c>
      <c r="X1279" s="28">
        <v>111209000</v>
      </c>
      <c r="Y1279" s="28">
        <v>3126360000</v>
      </c>
      <c r="Z1279" s="28">
        <v>38359000</v>
      </c>
      <c r="AA1279" s="28"/>
      <c r="AB1279" s="28"/>
      <c r="AC1279" s="28">
        <v>3087501000</v>
      </c>
      <c r="AD1279" s="28">
        <v>38859000</v>
      </c>
      <c r="AE1279" s="28">
        <v>8399376000</v>
      </c>
      <c r="AF1279" s="28">
        <v>142140000</v>
      </c>
      <c r="AG1279" s="11"/>
    </row>
    <row r="1280">
      <c r="A1280" s="7" t="s">
        <v>2995</v>
      </c>
      <c r="B1280" s="5" t="s">
        <v>10986</v>
      </c>
      <c r="C1280" s="5" t="s">
        <v>18860</v>
      </c>
      <c r="D1280" s="5" t="str">
        <v>242201099026</v>
      </c>
      <c r="E1280" s="0" t="e">
        <f>+7 (928) 754448</f>
        <v>#NAME?</v>
      </c>
      <c r="F1280" s="5"/>
      <c r="G1280" s="5"/>
      <c r="H1280" s="26">
        <v>5.5</v>
      </c>
      <c r="I1280" s="5" t="s">
        <v>29253</v>
      </c>
      <c r="J1280" s="5" t="s">
        <v>25738</v>
      </c>
      <c r="K1280" s="5" t="s">
        <v>344</v>
      </c>
      <c r="L1280" s="5" t="s">
        <v>29254</v>
      </c>
      <c r="M1280" s="27">
        <v>2552514</v>
      </c>
      <c r="N1280" s="5" t="s">
        <v>51175</v>
      </c>
      <c r="O1280" s="5" t="str">
        <v>6166105231</v>
      </c>
      <c r="P1280" s="27">
        <v>200000</v>
      </c>
      <c r="Q1280" s="5"/>
      <c r="R1280" s="5"/>
      <c r="S1280" s="5" t="s">
        <v>49110</v>
      </c>
      <c r="T1280" s="28">
        <v>143001000</v>
      </c>
      <c r="U1280" s="28"/>
      <c r="V1280" s="28">
        <v>99281000</v>
      </c>
      <c r="W1280" s="28">
        <v>486329000</v>
      </c>
      <c r="X1280" s="28">
        <v>214327000</v>
      </c>
      <c r="Y1280" s="28">
        <v>2849639000</v>
      </c>
      <c r="Z1280" s="28">
        <v>129317000</v>
      </c>
      <c r="AA1280" s="28"/>
      <c r="AB1280" s="28">
        <v>10471000</v>
      </c>
      <c r="AC1280" s="28">
        <v>2689280000</v>
      </c>
      <c r="AD1280" s="28">
        <v>129517000</v>
      </c>
      <c r="AE1280" s="28">
        <v>7988464000</v>
      </c>
      <c r="AF1280" s="28">
        <v>318948000</v>
      </c>
      <c r="AG1280" s="11"/>
    </row>
    <row r="1281">
      <c r="A1281" s="7" t="s">
        <v>2996</v>
      </c>
      <c r="B1281" s="5" t="s">
        <v>10987</v>
      </c>
      <c r="C1281" s="5" t="s">
        <v>18861</v>
      </c>
      <c r="D1281" s="5" t="str">
        <v>695204648145</v>
      </c>
      <c r="E1281" s="0" t="e">
        <f>+7 (923) 3054942</f>
        <v>#NAME?</v>
      </c>
      <c r="F1281" s="5"/>
      <c r="G1281" s="5"/>
      <c r="H1281" s="26">
        <v>5</v>
      </c>
      <c r="I1281" s="5" t="s">
        <v>29255</v>
      </c>
      <c r="J1281" s="5" t="s">
        <v>25738</v>
      </c>
      <c r="K1281" s="5" t="s">
        <v>355</v>
      </c>
      <c r="L1281" s="5" t="s">
        <v>29256</v>
      </c>
      <c r="M1281" s="27">
        <v>8010044</v>
      </c>
      <c r="N1281" s="5"/>
      <c r="O1281" s="5" t="str">
        <v>7604336782</v>
      </c>
      <c r="P1281" s="27">
        <v>1000000</v>
      </c>
      <c r="Q1281" s="5" t="s">
        <v>49009</v>
      </c>
      <c r="R1281" s="5"/>
      <c r="S1281" s="5" t="s">
        <v>49045</v>
      </c>
      <c r="T1281" s="28">
        <v>1478315000</v>
      </c>
      <c r="U1281" s="28"/>
      <c r="V1281" s="28">
        <v>329263000</v>
      </c>
      <c r="W1281" s="28">
        <v>517595000</v>
      </c>
      <c r="X1281" s="28">
        <v>327633000</v>
      </c>
      <c r="Y1281" s="28">
        <v>5465122000</v>
      </c>
      <c r="Z1281" s="28">
        <v>10789000</v>
      </c>
      <c r="AA1281" s="28"/>
      <c r="AB1281" s="28"/>
      <c r="AC1281" s="28">
        <v>3762679000</v>
      </c>
      <c r="AD1281" s="28">
        <v>11789000</v>
      </c>
      <c r="AE1281" s="28">
        <v>13003340000</v>
      </c>
      <c r="AF1281" s="28">
        <v>253268000</v>
      </c>
      <c r="AG1281" s="11"/>
    </row>
    <row r="1282">
      <c r="A1282" s="7" t="s">
        <v>2997</v>
      </c>
      <c r="B1282" s="5" t="s">
        <v>10988</v>
      </c>
      <c r="C1282" s="5" t="s">
        <v>18862</v>
      </c>
      <c r="D1282" s="5" t="str">
        <v>540208213575</v>
      </c>
      <c r="E1282" s="0" t="e">
        <f>+7 (383) 2125611
+7 (383) 2125612
+7 (3843) 993093
+7 (391) 2233800
+7 (41136) 37557
+7 (413) 2607505
+7 (415) 2259439
+7 (415) 2304442
+7 (914) 8549991</f>
        <v>#NAME?</v>
      </c>
      <c r="F1282" s="5" t="s">
        <v>29257</v>
      </c>
      <c r="G1282" s="5" t="s">
        <v>29258</v>
      </c>
      <c r="H1282" s="26">
        <v>24.5</v>
      </c>
      <c r="I1282" s="5" t="s">
        <v>29259</v>
      </c>
      <c r="J1282" s="5" t="s">
        <v>25612</v>
      </c>
      <c r="K1282" s="5" t="s">
        <v>344</v>
      </c>
      <c r="L1282" s="5" t="s">
        <v>29260</v>
      </c>
      <c r="M1282" s="27">
        <v>14463902</v>
      </c>
      <c r="N1282" s="5" t="s">
        <v>51176</v>
      </c>
      <c r="O1282" s="5" t="str">
        <v>5404151283</v>
      </c>
      <c r="P1282" s="27">
        <v>2252200000</v>
      </c>
      <c r="Q1282" s="5" t="s">
        <v>51177</v>
      </c>
      <c r="R1282" s="5"/>
      <c r="S1282" s="5" t="s">
        <v>50602</v>
      </c>
      <c r="T1282" s="28">
        <v>2239513000</v>
      </c>
      <c r="U1282" s="28"/>
      <c r="V1282" s="28">
        <v>3426683000</v>
      </c>
      <c r="W1282" s="28"/>
      <c r="X1282" s="28">
        <v>1843104000</v>
      </c>
      <c r="Y1282" s="28">
        <v>17165903000</v>
      </c>
      <c r="Z1282" s="28">
        <v>11542547000</v>
      </c>
      <c r="AA1282" s="28"/>
      <c r="AB1282" s="28">
        <v>378762000</v>
      </c>
      <c r="AC1282" s="28">
        <v>3033710000</v>
      </c>
      <c r="AD1282" s="28">
        <v>13801874000</v>
      </c>
      <c r="AE1282" s="28">
        <v>32573148000</v>
      </c>
      <c r="AF1282" s="28">
        <v>2174361000</v>
      </c>
      <c r="AG1282" s="11"/>
    </row>
    <row r="1283">
      <c r="A1283" s="7" t="s">
        <v>2998</v>
      </c>
      <c r="B1283" s="5" t="s">
        <v>10989</v>
      </c>
      <c r="C1283" s="5" t="s">
        <v>18863</v>
      </c>
      <c r="D1283" s="5" t="str">
        <v>360300116411</v>
      </c>
      <c r="E1283" s="0" t="e">
        <f>+7 (495) 2583804
+7 (42366) 65385</f>
        <v>#NAME?</v>
      </c>
      <c r="F1283" s="5" t="s">
        <v>29261</v>
      </c>
      <c r="G1283" s="5" t="s">
        <v>29262</v>
      </c>
      <c r="H1283" s="26">
        <v>24.5</v>
      </c>
      <c r="I1283" s="5" t="s">
        <v>29263</v>
      </c>
      <c r="J1283" s="5" t="s">
        <v>26905</v>
      </c>
      <c r="K1283" s="5" t="s">
        <v>344</v>
      </c>
      <c r="L1283" s="5" t="s">
        <v>29264</v>
      </c>
      <c r="M1283" s="27"/>
      <c r="N1283" s="5"/>
      <c r="O1283" s="5" t="str">
        <v>2508042886</v>
      </c>
      <c r="P1283" s="27">
        <v>32243631</v>
      </c>
      <c r="Q1283" s="5" t="s">
        <v>51178</v>
      </c>
      <c r="R1283" s="5" t="s">
        <v>51179</v>
      </c>
      <c r="S1283" s="5" t="s">
        <v>50378</v>
      </c>
      <c r="T1283" s="28">
        <v>919235000</v>
      </c>
      <c r="U1283" s="28"/>
      <c r="V1283" s="28">
        <v>193829000</v>
      </c>
      <c r="W1283" s="28">
        <v>1030000</v>
      </c>
      <c r="X1283" s="28">
        <v>9127684000</v>
      </c>
      <c r="Y1283" s="28">
        <v>10486092000</v>
      </c>
      <c r="Z1283" s="28">
        <v>9329910000</v>
      </c>
      <c r="AA1283" s="28"/>
      <c r="AB1283" s="28"/>
      <c r="AC1283" s="28">
        <v>982904000</v>
      </c>
      <c r="AD1283" s="28">
        <v>9362420000</v>
      </c>
      <c r="AE1283" s="28">
        <v>3775010000</v>
      </c>
      <c r="AF1283" s="28">
        <v>1891542000</v>
      </c>
      <c r="AG1283" s="11"/>
    </row>
    <row r="1284">
      <c r="A1284" s="7" t="s">
        <v>2999</v>
      </c>
      <c r="B1284" s="5" t="s">
        <v>10990</v>
      </c>
      <c r="C1284" s="5" t="s">
        <v>18864</v>
      </c>
      <c r="D1284" s="5" t="str">
        <v>710600483179</v>
      </c>
      <c r="E1284" s="0" t="e">
        <f>+7 (487) 2701899
+7 (920) 7881528
+7 (487) 2561330
+7 (487) 2701893
+7 (910) 9424995</f>
        <v>#NAME?</v>
      </c>
      <c r="F1284" s="5" t="s">
        <v>29265</v>
      </c>
      <c r="G1284" s="5" t="s">
        <v>29266</v>
      </c>
      <c r="H1284" s="26">
        <v>18.5</v>
      </c>
      <c r="I1284" s="5" t="s">
        <v>29267</v>
      </c>
      <c r="J1284" s="5" t="s">
        <v>29268</v>
      </c>
      <c r="K1284" s="5" t="s">
        <v>344</v>
      </c>
      <c r="L1284" s="5"/>
      <c r="M1284" s="27"/>
      <c r="N1284" s="5" t="s">
        <v>51180</v>
      </c>
      <c r="O1284" s="5" t="str">
        <v>7130024372</v>
      </c>
      <c r="P1284" s="27">
        <v>24016282</v>
      </c>
      <c r="Q1284" s="5" t="s">
        <v>51181</v>
      </c>
      <c r="R1284" s="5" t="s">
        <v>51182</v>
      </c>
      <c r="S1284" s="5" t="s">
        <v>51183</v>
      </c>
      <c r="T1284" s="28">
        <v>702187000</v>
      </c>
      <c r="U1284" s="28">
        <v>9401000</v>
      </c>
      <c r="V1284" s="28">
        <v>238534000</v>
      </c>
      <c r="W1284" s="28"/>
      <c r="X1284" s="28">
        <v>20600000</v>
      </c>
      <c r="Y1284" s="28">
        <v>1057444000</v>
      </c>
      <c r="Z1284" s="28">
        <v>429501000</v>
      </c>
      <c r="AA1284" s="28">
        <v>155050000</v>
      </c>
      <c r="AB1284" s="28">
        <v>195000</v>
      </c>
      <c r="AC1284" s="28">
        <v>350319000</v>
      </c>
      <c r="AD1284" s="28">
        <v>453517000</v>
      </c>
      <c r="AE1284" s="28">
        <v>3035533000</v>
      </c>
      <c r="AF1284" s="28">
        <v>499321000</v>
      </c>
      <c r="AG1284" s="11"/>
    </row>
    <row r="1285">
      <c r="A1285" s="7" t="s">
        <v>3000</v>
      </c>
      <c r="B1285" s="5" t="s">
        <v>10991</v>
      </c>
      <c r="C1285" s="5" t="s">
        <v>18865</v>
      </c>
      <c r="D1285" s="5" t="str">
        <v>253605464850</v>
      </c>
      <c r="E1285" s="0" t="e">
        <f>+7 (924) 5901111
+7 (4232) 468693
+7 (4232) 468694
+7 (4232) 648476
+7 (4232) 648478</f>
        <v>#NAME?</v>
      </c>
      <c r="F1285" s="5" t="s">
        <v>29269</v>
      </c>
      <c r="G1285" s="5" t="s">
        <v>29270</v>
      </c>
      <c r="H1285" s="26">
        <v>19</v>
      </c>
      <c r="I1285" s="5" t="s">
        <v>29271</v>
      </c>
      <c r="J1285" s="5" t="s">
        <v>373</v>
      </c>
      <c r="K1285" s="5" t="s">
        <v>344</v>
      </c>
      <c r="L1285" s="5" t="s">
        <v>29272</v>
      </c>
      <c r="M1285" s="27"/>
      <c r="N1285" s="5" t="s">
        <v>51184</v>
      </c>
      <c r="O1285" s="5" t="str">
        <v>2538082100</v>
      </c>
      <c r="P1285" s="27">
        <v>10000000</v>
      </c>
      <c r="Q1285" s="5" t="s">
        <v>49009</v>
      </c>
      <c r="R1285" s="5"/>
      <c r="S1285" s="5" t="s">
        <v>49361</v>
      </c>
      <c r="T1285" s="28">
        <v>61859000</v>
      </c>
      <c r="U1285" s="28"/>
      <c r="V1285" s="28">
        <v>619286000</v>
      </c>
      <c r="W1285" s="28">
        <v>1108137000</v>
      </c>
      <c r="X1285" s="28">
        <v>9588000</v>
      </c>
      <c r="Y1285" s="28">
        <v>2295262000</v>
      </c>
      <c r="Z1285" s="28">
        <v>2116876000</v>
      </c>
      <c r="AA1285" s="28">
        <v>4936000</v>
      </c>
      <c r="AB1285" s="28"/>
      <c r="AC1285" s="28">
        <v>142314000</v>
      </c>
      <c r="AD1285" s="28">
        <v>2126876000</v>
      </c>
      <c r="AE1285" s="28">
        <v>3372867000</v>
      </c>
      <c r="AF1285" s="28">
        <v>848444000</v>
      </c>
      <c r="AG1285" s="11"/>
    </row>
    <row r="1286">
      <c r="A1286" s="7" t="s">
        <v>3001</v>
      </c>
      <c r="B1286" s="5" t="s">
        <v>10992</v>
      </c>
      <c r="C1286" s="5" t="s">
        <v>18866</v>
      </c>
      <c r="D1286" s="5"/>
      <c r="E1286" s="0" t="e">
        <f>+7 (4236) 660553
+7 (42366) 63100
+7 (42366) 63114
+7 (42366) 64426
+7 (42366) 65146
+7 (42366) 65153
+7 (42366) 65200
+7 (42366) 65203
+7 (42366) 65206
+7 (42366) 65214
+7 (42366) 65273
+7 (42366) 65318
+7 (42366) 65326
+7 (42366) 65332
+7 (42366) 65381</f>
        <v>#NAME?</v>
      </c>
      <c r="F1286" s="5" t="s">
        <v>29273</v>
      </c>
      <c r="G1286" s="5"/>
      <c r="H1286" s="26">
        <v>30.5</v>
      </c>
      <c r="I1286" s="5"/>
      <c r="J1286" s="5" t="s">
        <v>26905</v>
      </c>
      <c r="K1286" s="5" t="s">
        <v>344</v>
      </c>
      <c r="L1286" s="5" t="s">
        <v>29274</v>
      </c>
      <c r="M1286" s="27">
        <v>2472303</v>
      </c>
      <c r="N1286" s="5" t="s">
        <v>51185</v>
      </c>
      <c r="O1286" s="5" t="str">
        <v>2508001544</v>
      </c>
      <c r="P1286" s="27">
        <v>623605000</v>
      </c>
      <c r="Q1286" s="5" t="s">
        <v>51186</v>
      </c>
      <c r="R1286" s="5" t="s">
        <v>51187</v>
      </c>
      <c r="S1286" s="5" t="s">
        <v>51188</v>
      </c>
      <c r="T1286" s="28">
        <v>36419541000</v>
      </c>
      <c r="U1286" s="28">
        <v>1025031000</v>
      </c>
      <c r="V1286" s="28">
        <v>868625000</v>
      </c>
      <c r="W1286" s="28">
        <v>24230000</v>
      </c>
      <c r="X1286" s="28">
        <v>5988866000</v>
      </c>
      <c r="Y1286" s="28">
        <v>46899631000</v>
      </c>
      <c r="Z1286" s="28">
        <v>17734609000</v>
      </c>
      <c r="AA1286" s="28"/>
      <c r="AB1286" s="28"/>
      <c r="AC1286" s="28">
        <v>7246575000</v>
      </c>
      <c r="AD1286" s="28">
        <v>34638724000</v>
      </c>
      <c r="AE1286" s="28">
        <v>25324191000</v>
      </c>
      <c r="AF1286" s="28">
        <v>13751334000</v>
      </c>
      <c r="AG1286" s="11"/>
    </row>
    <row r="1287">
      <c r="A1287" s="7" t="s">
        <v>3002</v>
      </c>
      <c r="B1287" s="5" t="s">
        <v>10993</v>
      </c>
      <c r="C1287" s="5" t="s">
        <v>18867</v>
      </c>
      <c r="D1287" s="5" t="str">
        <v>772986495553</v>
      </c>
      <c r="E1287" s="0" t="e">
        <f>+7 (495) 3204575
+7 (910) 4141443</f>
        <v>#NAME?</v>
      </c>
      <c r="F1287" s="5" t="s">
        <v>29275</v>
      </c>
      <c r="G1287" s="5"/>
      <c r="H1287" s="26">
        <v>6</v>
      </c>
      <c r="I1287" s="5" t="s">
        <v>29276</v>
      </c>
      <c r="J1287" s="5" t="s">
        <v>26325</v>
      </c>
      <c r="K1287" s="5" t="s">
        <v>380</v>
      </c>
      <c r="L1287" s="5" t="s">
        <v>29277</v>
      </c>
      <c r="M1287" s="27">
        <v>6240760</v>
      </c>
      <c r="N1287" s="5" t="s">
        <v>49403</v>
      </c>
      <c r="O1287" s="5" t="str">
        <v>9705096153</v>
      </c>
      <c r="P1287" s="27">
        <v>10000</v>
      </c>
      <c r="Q1287" s="5" t="s">
        <v>49009</v>
      </c>
      <c r="R1287" s="5"/>
      <c r="S1287" s="5" t="s">
        <v>49180</v>
      </c>
      <c r="T1287" s="28">
        <v>1093719000</v>
      </c>
      <c r="U1287" s="28"/>
      <c r="V1287" s="28">
        <v>724936000</v>
      </c>
      <c r="W1287" s="28"/>
      <c r="X1287" s="28">
        <v>3731000</v>
      </c>
      <c r="Y1287" s="28">
        <v>1963794000</v>
      </c>
      <c r="Z1287" s="28">
        <v>312456000</v>
      </c>
      <c r="AA1287" s="28"/>
      <c r="AB1287" s="28">
        <v>99000000</v>
      </c>
      <c r="AC1287" s="28">
        <v>1079855000</v>
      </c>
      <c r="AD1287" s="28">
        <v>312466000</v>
      </c>
      <c r="AE1287" s="28">
        <v>4644341000</v>
      </c>
      <c r="AF1287" s="28">
        <v>122561000</v>
      </c>
      <c r="AG1287" s="11"/>
    </row>
    <row r="1288">
      <c r="A1288" s="7" t="s">
        <v>3003</v>
      </c>
      <c r="B1288" s="5" t="s">
        <v>10994</v>
      </c>
      <c r="C1288" s="5" t="s">
        <v>18868</v>
      </c>
      <c r="D1288" s="5"/>
      <c r="E1288" s="0" t="e">
        <f>+7 (3412) 319399
+7 (3412) 319400
+7 (3412) 319630
+7 (3412) 570809
+7 (3412) 941200
+7 (3412) 941202
+7 (3412) 941207
+7 (3412) 941317
+7 (3412) 941318
+7 (3412) 941367
+7 (3412) 941370
+7 (3412) 941382
+7 (3412) 949717
+7 (3412) 949727
+7 (3412) 949737</f>
        <v>#NAME?</v>
      </c>
      <c r="F1288" s="5" t="s">
        <v>29278</v>
      </c>
      <c r="G1288" s="5"/>
      <c r="H1288" s="26">
        <v>12</v>
      </c>
      <c r="I1288" s="5" t="s">
        <v>29279</v>
      </c>
      <c r="J1288" s="5" t="s">
        <v>25371</v>
      </c>
      <c r="K1288" s="5" t="s">
        <v>380</v>
      </c>
      <c r="L1288" s="5" t="s">
        <v>726</v>
      </c>
      <c r="M1288" s="27">
        <v>342003</v>
      </c>
      <c r="N1288" s="5"/>
      <c r="O1288" s="5" t="str">
        <v>1841017491</v>
      </c>
      <c r="P1288" s="27">
        <v>645300000</v>
      </c>
      <c r="Q1288" s="5"/>
      <c r="R1288" s="5" t="s">
        <v>51190</v>
      </c>
      <c r="S1288" s="5" t="s">
        <v>49029</v>
      </c>
      <c r="T1288" s="28">
        <v>3619990000</v>
      </c>
      <c r="U1288" s="28"/>
      <c r="V1288" s="28">
        <v>703341000</v>
      </c>
      <c r="W1288" s="28">
        <v>2424450000</v>
      </c>
      <c r="X1288" s="28">
        <v>33395000</v>
      </c>
      <c r="Y1288" s="28">
        <v>8984471000</v>
      </c>
      <c r="Z1288" s="28">
        <v>1322954000</v>
      </c>
      <c r="AA1288" s="28">
        <v>2550355000</v>
      </c>
      <c r="AB1288" s="28">
        <v>2795492000</v>
      </c>
      <c r="AC1288" s="28">
        <v>4044859000</v>
      </c>
      <c r="AD1288" s="28">
        <v>2298452000</v>
      </c>
      <c r="AE1288" s="28">
        <v>6681425000</v>
      </c>
      <c r="AF1288" s="28">
        <v>-296983000</v>
      </c>
      <c r="AG1288" s="11"/>
    </row>
    <row r="1289">
      <c r="A1289" s="7" t="s">
        <v>3004</v>
      </c>
      <c r="B1289" s="5" t="s">
        <v>10995</v>
      </c>
      <c r="C1289" s="5" t="s">
        <v>18869</v>
      </c>
      <c r="D1289" s="5" t="str">
        <v>772733662027</v>
      </c>
      <c r="E1289" s="0" t="e">
        <f>+7 (495) 3831428
+7 (495) 3832040
+7 (495) 3832915
+7 (495) 3845122
+7 (495) 3848487
+7 (495) 3851218
+7 (495) 3851236
+7 (495) 3851976
+7 (495) 3852331
+7 (495) 3852337
+7 (495) 7293335</f>
        <v>#NAME?</v>
      </c>
      <c r="F1289" s="5" t="s">
        <v>29280</v>
      </c>
      <c r="G1289" s="5" t="s">
        <v>29281</v>
      </c>
      <c r="H1289" s="26">
        <v>23.5</v>
      </c>
      <c r="I1289" s="5" t="s">
        <v>29282</v>
      </c>
      <c r="J1289" s="5" t="s">
        <v>25788</v>
      </c>
      <c r="K1289" s="5" t="s">
        <v>344</v>
      </c>
      <c r="L1289" s="5" t="s">
        <v>29283</v>
      </c>
      <c r="M1289" s="27"/>
      <c r="N1289" s="5" t="s">
        <v>51191</v>
      </c>
      <c r="O1289" s="5" t="str">
        <v>7729385320</v>
      </c>
      <c r="P1289" s="27">
        <v>5413000</v>
      </c>
      <c r="Q1289" s="5" t="s">
        <v>49021</v>
      </c>
      <c r="R1289" s="5"/>
      <c r="S1289" s="5" t="s">
        <v>51192</v>
      </c>
      <c r="T1289" s="28">
        <v>179567000</v>
      </c>
      <c r="U1289" s="28"/>
      <c r="V1289" s="28">
        <v>393466000</v>
      </c>
      <c r="W1289" s="28"/>
      <c r="X1289" s="28">
        <v>6853000</v>
      </c>
      <c r="Y1289" s="28">
        <v>671917000</v>
      </c>
      <c r="Z1289" s="28">
        <v>205807000</v>
      </c>
      <c r="AA1289" s="28">
        <v>42200000</v>
      </c>
      <c r="AB1289" s="28">
        <v>93185000</v>
      </c>
      <c r="AC1289" s="28">
        <v>335756000</v>
      </c>
      <c r="AD1289" s="28">
        <v>212032000</v>
      </c>
      <c r="AE1289" s="28">
        <v>3213809000</v>
      </c>
      <c r="AF1289" s="28">
        <v>167182000</v>
      </c>
      <c r="AG1289" s="11"/>
    </row>
    <row r="1290">
      <c r="A1290" s="7" t="s">
        <v>3005</v>
      </c>
      <c r="B1290" s="5" t="s">
        <v>10905</v>
      </c>
      <c r="C1290" s="5" t="s">
        <v>18870</v>
      </c>
      <c r="D1290" s="5" t="str">
        <v>781618363954</v>
      </c>
      <c r="E1290" s="0" t="e">
        <f>+7 (812) 2740625
+7 (812) 2744186
+7 (812) 2745220
+7 (812) 2745420
+7 (812) 4486769
+7 (812) 6481960
+7 (812) 7183511
+7 (812) 7183513
+7 (921) 9651642</f>
        <v>#NAME?</v>
      </c>
      <c r="F1290" s="5" t="s">
        <v>29284</v>
      </c>
      <c r="G1290" s="5" t="s">
        <v>29285</v>
      </c>
      <c r="H1290" s="26">
        <v>29.5</v>
      </c>
      <c r="I1290" s="5" t="s">
        <v>29286</v>
      </c>
      <c r="J1290" s="5" t="s">
        <v>28451</v>
      </c>
      <c r="K1290" s="5" t="s">
        <v>344</v>
      </c>
      <c r="L1290" s="5" t="s">
        <v>29287</v>
      </c>
      <c r="M1290" s="27">
        <v>48196</v>
      </c>
      <c r="N1290" s="5" t="s">
        <v>51193</v>
      </c>
      <c r="O1290" s="5" t="str">
        <v>7815012515</v>
      </c>
      <c r="P1290" s="27">
        <v>46872000</v>
      </c>
      <c r="Q1290" s="5" t="s">
        <v>49021</v>
      </c>
      <c r="R1290" s="5"/>
      <c r="S1290" s="5" t="s">
        <v>51194</v>
      </c>
      <c r="T1290" s="28">
        <v>558053000</v>
      </c>
      <c r="U1290" s="28"/>
      <c r="V1290" s="28">
        <v>1122835000</v>
      </c>
      <c r="W1290" s="28">
        <v>7390000</v>
      </c>
      <c r="X1290" s="28">
        <v>108982000</v>
      </c>
      <c r="Y1290" s="28">
        <v>1843586000</v>
      </c>
      <c r="Z1290" s="28">
        <v>1124655000</v>
      </c>
      <c r="AA1290" s="28"/>
      <c r="AB1290" s="28">
        <v>490000</v>
      </c>
      <c r="AC1290" s="28">
        <v>657831000</v>
      </c>
      <c r="AD1290" s="28">
        <v>1171562000</v>
      </c>
      <c r="AE1290" s="28">
        <v>5029880000</v>
      </c>
      <c r="AF1290" s="28">
        <v>73568000</v>
      </c>
      <c r="AG1290" s="11"/>
    </row>
    <row r="1291">
      <c r="A1291" s="7" t="s">
        <v>3005</v>
      </c>
      <c r="B1291" s="5" t="s">
        <v>10996</v>
      </c>
      <c r="C1291" s="5" t="s">
        <v>18871</v>
      </c>
      <c r="D1291" s="5" t="str">
        <v>781118914402</v>
      </c>
      <c r="E1291" s="0" t="e">
        <f>+7 (812) 7019580
+7 (921) 9411255</f>
        <v>#NAME?</v>
      </c>
      <c r="F1291" s="5"/>
      <c r="G1291" s="5"/>
      <c r="H1291" s="26">
        <v>12</v>
      </c>
      <c r="I1291" s="5" t="s">
        <v>29288</v>
      </c>
      <c r="J1291" s="5" t="s">
        <v>25938</v>
      </c>
      <c r="K1291" s="5" t="s">
        <v>344</v>
      </c>
      <c r="L1291" s="5" t="s">
        <v>29289</v>
      </c>
      <c r="M1291" s="27"/>
      <c r="N1291" s="5"/>
      <c r="O1291" s="5" t="str">
        <v>7816510746</v>
      </c>
      <c r="P1291" s="27">
        <v>11000</v>
      </c>
      <c r="Q1291" s="5" t="s">
        <v>49009</v>
      </c>
      <c r="R1291" s="5"/>
      <c r="S1291" s="5" t="s">
        <v>49010</v>
      </c>
      <c r="T1291" s="28">
        <v>1602000</v>
      </c>
      <c r="U1291" s="28"/>
      <c r="V1291" s="28">
        <v>1524536000</v>
      </c>
      <c r="W1291" s="28"/>
      <c r="X1291" s="28">
        <v>301522000</v>
      </c>
      <c r="Y1291" s="28">
        <v>2335624000</v>
      </c>
      <c r="Z1291" s="28">
        <v>484247000</v>
      </c>
      <c r="AA1291" s="28"/>
      <c r="AB1291" s="28"/>
      <c r="AC1291" s="28">
        <v>1851366000</v>
      </c>
      <c r="AD1291" s="28">
        <v>484258000</v>
      </c>
      <c r="AE1291" s="28">
        <v>12159277000</v>
      </c>
      <c r="AF1291" s="28">
        <v>59796000</v>
      </c>
      <c r="AG1291" s="11"/>
    </row>
    <row r="1292">
      <c r="A1292" s="7" t="s">
        <v>3006</v>
      </c>
      <c r="B1292" s="5" t="s">
        <v>10997</v>
      </c>
      <c r="C1292" s="5" t="s">
        <v>18872</v>
      </c>
      <c r="D1292" s="5"/>
      <c r="E1292" s="0" t="e">
        <f>+7 (499) 6438331
+7 (863) 6239358
+7 (8636) 231876
+7 (8636) 236598
+7 (8636) 237648</f>
        <v>#NAME?</v>
      </c>
      <c r="F1292" s="5"/>
      <c r="G1292" s="5"/>
      <c r="H1292" s="26">
        <v>11</v>
      </c>
      <c r="I1292" s="5" t="s">
        <v>29290</v>
      </c>
      <c r="J1292" s="5" t="s">
        <v>29291</v>
      </c>
      <c r="K1292" s="5" t="s">
        <v>344</v>
      </c>
      <c r="L1292" s="5" t="s">
        <v>29292</v>
      </c>
      <c r="M1292" s="27"/>
      <c r="N1292" s="5"/>
      <c r="O1292" s="5" t="str">
        <v>6155063340</v>
      </c>
      <c r="P1292" s="27">
        <v>750000000</v>
      </c>
      <c r="Q1292" s="5" t="s">
        <v>49009</v>
      </c>
      <c r="R1292" s="5"/>
      <c r="S1292" s="5" t="s">
        <v>49066</v>
      </c>
      <c r="T1292" s="28">
        <v>6745848000</v>
      </c>
      <c r="U1292" s="28">
        <v>171143000</v>
      </c>
      <c r="V1292" s="28">
        <v>1218950000</v>
      </c>
      <c r="W1292" s="28"/>
      <c r="X1292" s="28">
        <v>4673000</v>
      </c>
      <c r="Y1292" s="28">
        <v>9428710000</v>
      </c>
      <c r="Z1292" s="28">
        <v>262950000</v>
      </c>
      <c r="AA1292" s="28">
        <v>5622085000</v>
      </c>
      <c r="AB1292" s="28">
        <v>9895000</v>
      </c>
      <c r="AC1292" s="28">
        <v>373948000</v>
      </c>
      <c r="AD1292" s="28">
        <v>2946722000</v>
      </c>
      <c r="AE1292" s="28">
        <v>9453378000</v>
      </c>
      <c r="AF1292" s="28">
        <v>242325000</v>
      </c>
      <c r="AG1292" s="11"/>
    </row>
    <row r="1293">
      <c r="A1293" s="7" t="s">
        <v>3007</v>
      </c>
      <c r="B1293" s="5" t="s">
        <v>10998</v>
      </c>
      <c r="C1293" s="5" t="s">
        <v>18873</v>
      </c>
      <c r="D1293" s="5" t="str">
        <v>352808537375</v>
      </c>
      <c r="E1293" s="0" t="e">
        <f>+7 (906) 2922185
+7 (81755) 41500</f>
        <v>#NAME?</v>
      </c>
      <c r="F1293" s="5" t="s">
        <v>29293</v>
      </c>
      <c r="G1293" s="5" t="s">
        <v>29294</v>
      </c>
      <c r="H1293" s="26">
        <v>6</v>
      </c>
      <c r="I1293" s="5" t="s">
        <v>29295</v>
      </c>
      <c r="J1293" s="5" t="s">
        <v>29296</v>
      </c>
      <c r="K1293" s="5" t="s">
        <v>344</v>
      </c>
      <c r="L1293" s="5" t="s">
        <v>29297</v>
      </c>
      <c r="M1293" s="27"/>
      <c r="N1293" s="5" t="s">
        <v>51195</v>
      </c>
      <c r="O1293" s="5" t="str">
        <v>3525392360</v>
      </c>
      <c r="P1293" s="27">
        <v>100000</v>
      </c>
      <c r="Q1293" s="5"/>
      <c r="R1293" s="5"/>
      <c r="S1293" s="5" t="s">
        <v>49110</v>
      </c>
      <c r="T1293" s="28">
        <v>1115878000</v>
      </c>
      <c r="U1293" s="28"/>
      <c r="V1293" s="28">
        <v>117674000</v>
      </c>
      <c r="W1293" s="28">
        <v>660000000</v>
      </c>
      <c r="X1293" s="28">
        <v>91530000</v>
      </c>
      <c r="Y1293" s="28">
        <v>2593921000</v>
      </c>
      <c r="Z1293" s="28">
        <v>1145941000</v>
      </c>
      <c r="AA1293" s="28">
        <v>67641000</v>
      </c>
      <c r="AB1293" s="28">
        <v>29389000</v>
      </c>
      <c r="AC1293" s="28">
        <v>443066000</v>
      </c>
      <c r="AD1293" s="28">
        <v>1146041000</v>
      </c>
      <c r="AE1293" s="28">
        <v>3975056000</v>
      </c>
      <c r="AF1293" s="28">
        <v>474114000</v>
      </c>
      <c r="AG1293" s="11"/>
    </row>
    <row r="1294">
      <c r="A1294" s="7" t="s">
        <v>3008</v>
      </c>
      <c r="B1294" s="5" t="s">
        <v>10999</v>
      </c>
      <c r="C1294" s="5" t="s">
        <v>18874</v>
      </c>
      <c r="D1294" s="5" t="str">
        <v>541024192302</v>
      </c>
      <c r="E1294" s="0" t="e">
        <f>+7 (844) 2934122
+7 (800) 7002968
+7 (844) 2392697
+7 (844) 2481422
+7 (844) 2481437
+7 (844) 2562088
+7 (84468) 31296
+7 (84473) 91547
+7 (84479) 54431</f>
        <v>#NAME?</v>
      </c>
      <c r="F1294" s="5" t="s">
        <v>29298</v>
      </c>
      <c r="G1294" s="5" t="s">
        <v>29299</v>
      </c>
      <c r="H1294" s="26">
        <v>27.5</v>
      </c>
      <c r="I1294" s="5"/>
      <c r="J1294" s="5" t="s">
        <v>27802</v>
      </c>
      <c r="K1294" s="5" t="s">
        <v>355</v>
      </c>
      <c r="L1294" s="5"/>
      <c r="M1294" s="27">
        <v>29625292</v>
      </c>
      <c r="N1294" s="5" t="s">
        <v>51196</v>
      </c>
      <c r="O1294" s="5" t="str">
        <v>3443029580</v>
      </c>
      <c r="P1294" s="27">
        <v>105079584</v>
      </c>
      <c r="Q1294" s="5" t="s">
        <v>51198</v>
      </c>
      <c r="R1294" s="5"/>
      <c r="S1294" s="5" t="s">
        <v>51199</v>
      </c>
      <c r="T1294" s="28">
        <v>8005030000</v>
      </c>
      <c r="U1294" s="28">
        <v>23004000</v>
      </c>
      <c r="V1294" s="28">
        <v>885676000</v>
      </c>
      <c r="W1294" s="28"/>
      <c r="X1294" s="28">
        <v>78751000</v>
      </c>
      <c r="Y1294" s="28">
        <v>9307671000</v>
      </c>
      <c r="Z1294" s="28">
        <v>3208341000</v>
      </c>
      <c r="AA1294" s="28"/>
      <c r="AB1294" s="28">
        <v>138607000</v>
      </c>
      <c r="AC1294" s="28">
        <v>822040000</v>
      </c>
      <c r="AD1294" s="28">
        <v>7685257000</v>
      </c>
      <c r="AE1294" s="28">
        <v>4330879000</v>
      </c>
      <c r="AF1294" s="28">
        <v>182582000</v>
      </c>
      <c r="AG1294" s="11"/>
    </row>
    <row r="1295">
      <c r="A1295" s="7" t="s">
        <v>3009</v>
      </c>
      <c r="B1295" s="5" t="s">
        <v>11000</v>
      </c>
      <c r="C1295" s="5" t="s">
        <v>18875</v>
      </c>
      <c r="D1295" s="5"/>
      <c r="E1295" s="0" t="e">
        <f>+7 (42366) 60348
+7 (42366) 60553
+7 (42366) 65033
+7 (42366) 65269
+7 (42366) 65305
+7 (42366) 65354
+7 (42366) 65362
+7 (42366) 65399
+7 (42366) 65430
+7 (42366) 65550
+7 (42366) 65589
+7 (42366) 65660
+7 (42366) 65691
+7 (42366) 65764
+7 (42366) 65900</f>
        <v>#NAME?</v>
      </c>
      <c r="F1295" s="5" t="s">
        <v>29300</v>
      </c>
      <c r="G1295" s="5"/>
      <c r="H1295" s="26">
        <v>18.5</v>
      </c>
      <c r="I1295" s="5" t="s">
        <v>29301</v>
      </c>
      <c r="J1295" s="5" t="s">
        <v>26905</v>
      </c>
      <c r="K1295" s="5" t="s">
        <v>344</v>
      </c>
      <c r="L1295" s="5"/>
      <c r="M1295" s="27">
        <v>20794906</v>
      </c>
      <c r="N1295" s="5" t="s">
        <v>51200</v>
      </c>
      <c r="O1295" s="5" t="str">
        <v>2508064833</v>
      </c>
      <c r="P1295" s="27">
        <v>397992000</v>
      </c>
      <c r="Q1295" s="5" t="s">
        <v>51201</v>
      </c>
      <c r="R1295" s="5" t="s">
        <v>51202</v>
      </c>
      <c r="S1295" s="5" t="s">
        <v>51203</v>
      </c>
      <c r="T1295" s="28">
        <v>6110341000</v>
      </c>
      <c r="U1295" s="28">
        <v>14005918000</v>
      </c>
      <c r="V1295" s="28">
        <v>44121145000</v>
      </c>
      <c r="W1295" s="28">
        <v>2000000000</v>
      </c>
      <c r="X1295" s="28">
        <v>11076628000</v>
      </c>
      <c r="Y1295" s="28">
        <v>79289745000</v>
      </c>
      <c r="Z1295" s="28">
        <v>46698278000</v>
      </c>
      <c r="AA1295" s="28">
        <v>27500000000</v>
      </c>
      <c r="AB1295" s="28">
        <v>309288000</v>
      </c>
      <c r="AC1295" s="28">
        <v>3289290000</v>
      </c>
      <c r="AD1295" s="28">
        <v>47096270000</v>
      </c>
      <c r="AE1295" s="28">
        <v>30649049000</v>
      </c>
      <c r="AF1295" s="28">
        <v>14653117000</v>
      </c>
      <c r="AG1295" s="11"/>
    </row>
    <row r="1296">
      <c r="A1296" s="7" t="s">
        <v>3010</v>
      </c>
      <c r="B1296" s="5" t="s">
        <v>11001</v>
      </c>
      <c r="C1296" s="5" t="s">
        <v>18876</v>
      </c>
      <c r="D1296" s="5" t="str">
        <v>623405106105</v>
      </c>
      <c r="E1296" s="0" t="e">
        <f>+7 (383) 2034090
+7 (383) 2644274
+7 (383) 2644291
+7 (383) 2644292
+7 (383) 2644297
+7 (383) 2644307
+7 (383) 2644308
+7 (383) 2644313
+7 (38351) 24007
+7 (38351) 25170
+7 (965) 9995339</f>
        <v>#NAME?</v>
      </c>
      <c r="F1296" s="5" t="s">
        <v>29302</v>
      </c>
      <c r="G1296" s="5" t="s">
        <v>29303</v>
      </c>
      <c r="H1296" s="26">
        <v>17</v>
      </c>
      <c r="I1296" s="5" t="s">
        <v>29304</v>
      </c>
      <c r="J1296" s="5" t="s">
        <v>555</v>
      </c>
      <c r="K1296" s="5" t="s">
        <v>355</v>
      </c>
      <c r="L1296" s="5"/>
      <c r="M1296" s="27">
        <v>65543611</v>
      </c>
      <c r="N1296" s="5"/>
      <c r="O1296" s="5" t="str">
        <v>5425000422</v>
      </c>
      <c r="P1296" s="27">
        <v>273580865</v>
      </c>
      <c r="Q1296" s="5" t="s">
        <v>49579</v>
      </c>
      <c r="R1296" s="5" t="s">
        <v>51204</v>
      </c>
      <c r="S1296" s="5" t="s">
        <v>51205</v>
      </c>
      <c r="T1296" s="28">
        <v>13462587000</v>
      </c>
      <c r="U1296" s="28"/>
      <c r="V1296" s="28">
        <v>2145559000</v>
      </c>
      <c r="W1296" s="28"/>
      <c r="X1296" s="28">
        <v>853000</v>
      </c>
      <c r="Y1296" s="28">
        <v>17261467000</v>
      </c>
      <c r="Z1296" s="28">
        <v>-2214056000</v>
      </c>
      <c r="AA1296" s="28">
        <v>7005149000</v>
      </c>
      <c r="AB1296" s="28">
        <v>157850000</v>
      </c>
      <c r="AC1296" s="28">
        <v>7734294000</v>
      </c>
      <c r="AD1296" s="28">
        <v>995169000</v>
      </c>
      <c r="AE1296" s="28">
        <v>12387734000</v>
      </c>
      <c r="AF1296" s="28">
        <v>91685000</v>
      </c>
      <c r="AG1296" s="11"/>
    </row>
    <row r="1297">
      <c r="A1297" s="7" t="s">
        <v>3011</v>
      </c>
      <c r="B1297" s="5" t="s">
        <v>11002</v>
      </c>
      <c r="C1297" s="5" t="s">
        <v>18877</v>
      </c>
      <c r="D1297" s="5" t="str">
        <v>772578302193</v>
      </c>
      <c r="E1297" s="0" t="e">
        <f>+7 (495) 6413166
+7 (495) 6413167</f>
        <v>#NAME?</v>
      </c>
      <c r="F1297" s="5"/>
      <c r="G1297" s="5" t="s">
        <v>29305</v>
      </c>
      <c r="H1297" s="26">
        <v>14</v>
      </c>
      <c r="I1297" s="5" t="s">
        <v>29306</v>
      </c>
      <c r="J1297" s="5" t="s">
        <v>678</v>
      </c>
      <c r="K1297" s="5" t="s">
        <v>344</v>
      </c>
      <c r="L1297" s="5"/>
      <c r="M1297" s="27"/>
      <c r="N1297" s="5"/>
      <c r="O1297" s="5" t="str">
        <v>7705865599</v>
      </c>
      <c r="P1297" s="27">
        <v>5056000</v>
      </c>
      <c r="Q1297" s="5"/>
      <c r="R1297" s="5"/>
      <c r="S1297" s="5" t="s">
        <v>49110</v>
      </c>
      <c r="T1297" s="28">
        <v>3591000</v>
      </c>
      <c r="U1297" s="28">
        <v>666000000</v>
      </c>
      <c r="V1297" s="28">
        <v>1718421000</v>
      </c>
      <c r="W1297" s="28"/>
      <c r="X1297" s="28">
        <v>33957000</v>
      </c>
      <c r="Y1297" s="28">
        <v>3334298000</v>
      </c>
      <c r="Z1297" s="28">
        <v>830310000</v>
      </c>
      <c r="AA1297" s="28"/>
      <c r="AB1297" s="28"/>
      <c r="AC1297" s="28">
        <v>2487017000</v>
      </c>
      <c r="AD1297" s="28">
        <v>835366000</v>
      </c>
      <c r="AE1297" s="28">
        <v>7653319000</v>
      </c>
      <c r="AF1297" s="28">
        <v>115947000</v>
      </c>
      <c r="AG1297" s="11"/>
    </row>
    <row r="1298">
      <c r="A1298" s="7" t="s">
        <v>3012</v>
      </c>
      <c r="B1298" s="5" t="s">
        <v>11003</v>
      </c>
      <c r="C1298" s="5" t="s">
        <v>18878</v>
      </c>
      <c r="D1298" s="5" t="str">
        <v>165015799643</v>
      </c>
      <c r="E1298" s="0" t="e">
        <f>+7 (855) 2350960
+7 (855) 2399971
+7 (855) 2442832
+7 (855) 2451145</f>
        <v>#NAME?</v>
      </c>
      <c r="F1298" s="5" t="s">
        <v>29307</v>
      </c>
      <c r="G1298" s="5"/>
      <c r="H1298" s="26">
        <v>12.5</v>
      </c>
      <c r="I1298" s="5" t="s">
        <v>29308</v>
      </c>
      <c r="J1298" s="5" t="s">
        <v>26552</v>
      </c>
      <c r="K1298" s="5" t="s">
        <v>344</v>
      </c>
      <c r="L1298" s="5" t="s">
        <v>29309</v>
      </c>
      <c r="M1298" s="27"/>
      <c r="N1298" s="5"/>
      <c r="O1298" s="5" t="str">
        <v>1650212290</v>
      </c>
      <c r="P1298" s="27">
        <v>200000</v>
      </c>
      <c r="Q1298" s="5" t="s">
        <v>49059</v>
      </c>
      <c r="R1298" s="5"/>
      <c r="S1298" s="5" t="s">
        <v>49010</v>
      </c>
      <c r="T1298" s="28">
        <v>12130000</v>
      </c>
      <c r="U1298" s="28"/>
      <c r="V1298" s="28">
        <v>531440000</v>
      </c>
      <c r="W1298" s="28">
        <v>414000</v>
      </c>
      <c r="X1298" s="28">
        <v>850000</v>
      </c>
      <c r="Y1298" s="28">
        <v>881500000</v>
      </c>
      <c r="Z1298" s="28">
        <v>113095000</v>
      </c>
      <c r="AA1298" s="28">
        <v>441632000</v>
      </c>
      <c r="AB1298" s="28">
        <v>67415000</v>
      </c>
      <c r="AC1298" s="28">
        <v>323953000</v>
      </c>
      <c r="AD1298" s="28">
        <v>113105000</v>
      </c>
      <c r="AE1298" s="28">
        <v>3375641000</v>
      </c>
      <c r="AF1298" s="28">
        <v>27624000</v>
      </c>
      <c r="AG1298" s="11"/>
    </row>
    <row r="1299">
      <c r="A1299" s="7" t="s">
        <v>3013</v>
      </c>
      <c r="B1299" s="5" t="s">
        <v>11004</v>
      </c>
      <c r="C1299" s="5" t="s">
        <v>18879</v>
      </c>
      <c r="D1299" s="5" t="str">
        <v>595787930557</v>
      </c>
      <c r="E1299" s="0" t="e">
        <f>+7 (495) 6915892
+7 (495) 6916539
+7 (495) 6916661
+7 (495) 6916765
+7 (495) 6917098
+7 (495) 6917413</f>
        <v>#NAME?</v>
      </c>
      <c r="F1299" s="5"/>
      <c r="G1299" s="5"/>
      <c r="H1299" s="26">
        <v>20</v>
      </c>
      <c r="I1299" s="5" t="s">
        <v>29310</v>
      </c>
      <c r="J1299" s="5" t="s">
        <v>25712</v>
      </c>
      <c r="K1299" s="5" t="s">
        <v>344</v>
      </c>
      <c r="L1299" s="5" t="s">
        <v>29311</v>
      </c>
      <c r="M1299" s="27">
        <v>928515</v>
      </c>
      <c r="N1299" s="5"/>
      <c r="O1299" s="5" t="str">
        <v>7705486752</v>
      </c>
      <c r="P1299" s="27">
        <v>1228510000</v>
      </c>
      <c r="Q1299" s="5" t="s">
        <v>49009</v>
      </c>
      <c r="R1299" s="5"/>
      <c r="S1299" s="5" t="s">
        <v>49010</v>
      </c>
      <c r="T1299" s="28">
        <v>22629852000</v>
      </c>
      <c r="U1299" s="28">
        <v>1338342000</v>
      </c>
      <c r="V1299" s="28">
        <v>1409784000</v>
      </c>
      <c r="W1299" s="28">
        <v>40054000</v>
      </c>
      <c r="X1299" s="28">
        <v>822893000</v>
      </c>
      <c r="Y1299" s="28">
        <v>28942059000</v>
      </c>
      <c r="Z1299" s="28">
        <v>3284213000</v>
      </c>
      <c r="AA1299" s="28">
        <v>20544706000</v>
      </c>
      <c r="AB1299" s="28">
        <v>1867673000</v>
      </c>
      <c r="AC1299" s="28">
        <v>2750144000</v>
      </c>
      <c r="AD1299" s="28">
        <v>4512723000</v>
      </c>
      <c r="AE1299" s="28">
        <v>9971954000</v>
      </c>
      <c r="AF1299" s="28">
        <v>1435963000</v>
      </c>
      <c r="AG1299" s="11"/>
    </row>
    <row r="1300">
      <c r="A1300" s="7" t="s">
        <v>3014</v>
      </c>
      <c r="B1300" s="5" t="s">
        <v>11005</v>
      </c>
      <c r="C1300" s="5" t="s">
        <v>18880</v>
      </c>
      <c r="D1300" s="5" t="str">
        <v>861004711254</v>
      </c>
      <c r="E1300" s="0" t="e">
        <f>+7 (495) 6496757
+7 (495) 9523202
+7 (968) 8622576</f>
        <v>#NAME?</v>
      </c>
      <c r="F1300" s="5" t="s">
        <v>29312</v>
      </c>
      <c r="G1300" s="5" t="s">
        <v>29313</v>
      </c>
      <c r="H1300" s="26">
        <v>11</v>
      </c>
      <c r="I1300" s="5" t="s">
        <v>29314</v>
      </c>
      <c r="J1300" s="5" t="s">
        <v>26918</v>
      </c>
      <c r="K1300" s="5" t="s">
        <v>380</v>
      </c>
      <c r="L1300" s="5" t="s">
        <v>29315</v>
      </c>
      <c r="M1300" s="27">
        <v>1236649072</v>
      </c>
      <c r="N1300" s="5" t="s">
        <v>51206</v>
      </c>
      <c r="O1300" s="5" t="str">
        <v>7710901757</v>
      </c>
      <c r="P1300" s="27">
        <v>610000</v>
      </c>
      <c r="Q1300" s="5" t="s">
        <v>51207</v>
      </c>
      <c r="R1300" s="5" t="s">
        <v>51208</v>
      </c>
      <c r="S1300" s="5" t="s">
        <v>50902</v>
      </c>
      <c r="T1300" s="28">
        <v>2087382000</v>
      </c>
      <c r="U1300" s="28">
        <v>212319000</v>
      </c>
      <c r="V1300" s="28">
        <v>2897805000</v>
      </c>
      <c r="W1300" s="28">
        <v>216883000</v>
      </c>
      <c r="X1300" s="28">
        <v>272000</v>
      </c>
      <c r="Y1300" s="28">
        <v>9175279000</v>
      </c>
      <c r="Z1300" s="28">
        <v>744839000</v>
      </c>
      <c r="AA1300" s="28">
        <v>3573579000</v>
      </c>
      <c r="AB1300" s="28">
        <v>4905000</v>
      </c>
      <c r="AC1300" s="28">
        <v>3662490000</v>
      </c>
      <c r="AD1300" s="28">
        <v>1251841000</v>
      </c>
      <c r="AE1300" s="28">
        <v>3832273000</v>
      </c>
      <c r="AF1300" s="28">
        <v>-590771000</v>
      </c>
      <c r="AG1300" s="11"/>
    </row>
    <row r="1301">
      <c r="A1301" s="7" t="s">
        <v>3015</v>
      </c>
      <c r="B1301" s="5" t="s">
        <v>11006</v>
      </c>
      <c r="C1301" s="5" t="s">
        <v>18881</v>
      </c>
      <c r="D1301" s="5" t="str">
        <v>503221995201</v>
      </c>
      <c r="E1301" s="0" t="e">
        <f>+7 (3473) 290173
+7 (3473) 290174
+7 (3473) 290190
+7 (3473) 298921
+7 (987) 5992205</f>
        <v>#NAME?</v>
      </c>
      <c r="F1301" s="5" t="s">
        <v>29316</v>
      </c>
      <c r="G1301" s="5" t="s">
        <v>29317</v>
      </c>
      <c r="H1301" s="26">
        <v>25</v>
      </c>
      <c r="I1301" s="5" t="s">
        <v>29318</v>
      </c>
      <c r="J1301" s="5" t="s">
        <v>27712</v>
      </c>
      <c r="K1301" s="5" t="s">
        <v>355</v>
      </c>
      <c r="L1301" s="5" t="s">
        <v>29319</v>
      </c>
      <c r="M1301" s="27">
        <v>12468207</v>
      </c>
      <c r="N1301" s="5" t="s">
        <v>51209</v>
      </c>
      <c r="O1301" s="5" t="str">
        <v>0268021822</v>
      </c>
      <c r="P1301" s="27">
        <v>69765300</v>
      </c>
      <c r="Q1301" s="5" t="s">
        <v>51210</v>
      </c>
      <c r="R1301" s="5"/>
      <c r="S1301" s="5" t="s">
        <v>50081</v>
      </c>
      <c r="T1301" s="28">
        <v>484877000</v>
      </c>
      <c r="U1301" s="28">
        <v>34000</v>
      </c>
      <c r="V1301" s="28">
        <v>600430000</v>
      </c>
      <c r="W1301" s="28"/>
      <c r="X1301" s="28">
        <v>106269000</v>
      </c>
      <c r="Y1301" s="28">
        <v>2070701000</v>
      </c>
      <c r="Z1301" s="28">
        <v>968167000</v>
      </c>
      <c r="AA1301" s="28"/>
      <c r="AB1301" s="28">
        <v>748549000</v>
      </c>
      <c r="AC1301" s="28">
        <v>934797000</v>
      </c>
      <c r="AD1301" s="28">
        <v>1041529000</v>
      </c>
      <c r="AE1301" s="28">
        <v>5700231000</v>
      </c>
      <c r="AF1301" s="28">
        <v>475513000</v>
      </c>
      <c r="AG1301" s="11"/>
    </row>
    <row r="1302">
      <c r="A1302" s="7" t="s">
        <v>3016</v>
      </c>
      <c r="B1302" s="5" t="s">
        <v>11007</v>
      </c>
      <c r="C1302" s="5" t="s">
        <v>18882</v>
      </c>
      <c r="D1302" s="5" t="str">
        <v>482613150900</v>
      </c>
      <c r="E1302" s="0" t="e">
        <f>+7 (903) 5011466
+7 (903) 6602010
+7 (916) 2493200
+7 (968) 3301121
+7 (991) 5928688</f>
        <v>#NAME?</v>
      </c>
      <c r="F1302" s="5" t="s">
        <v>29320</v>
      </c>
      <c r="G1302" s="5" t="s">
        <v>29321</v>
      </c>
      <c r="H1302" s="26">
        <v>7.5</v>
      </c>
      <c r="I1302" s="5" t="s">
        <v>29322</v>
      </c>
      <c r="J1302" s="5" t="s">
        <v>28738</v>
      </c>
      <c r="K1302" s="5" t="s">
        <v>344</v>
      </c>
      <c r="L1302" s="5" t="s">
        <v>29323</v>
      </c>
      <c r="M1302" s="27"/>
      <c r="N1302" s="5"/>
      <c r="O1302" s="5" t="str">
        <v>7736249600</v>
      </c>
      <c r="P1302" s="27">
        <v>10000</v>
      </c>
      <c r="Q1302" s="5" t="s">
        <v>49009</v>
      </c>
      <c r="R1302" s="5"/>
      <c r="S1302" s="5" t="s">
        <v>49010</v>
      </c>
      <c r="T1302" s="28">
        <v>3790000</v>
      </c>
      <c r="U1302" s="28"/>
      <c r="V1302" s="28">
        <v>2953190000</v>
      </c>
      <c r="W1302" s="28">
        <v>182950000</v>
      </c>
      <c r="X1302" s="28">
        <v>13782000</v>
      </c>
      <c r="Y1302" s="28">
        <v>5489892000</v>
      </c>
      <c r="Z1302" s="28">
        <v>1747306000</v>
      </c>
      <c r="AA1302" s="28"/>
      <c r="AB1302" s="28"/>
      <c r="AC1302" s="28">
        <v>3172837000</v>
      </c>
      <c r="AD1302" s="28">
        <v>1747316000</v>
      </c>
      <c r="AE1302" s="28">
        <v>10574293000</v>
      </c>
      <c r="AF1302" s="28">
        <v>1145962000</v>
      </c>
      <c r="AG1302" s="11"/>
    </row>
    <row r="1303">
      <c r="A1303" s="7" t="s">
        <v>3017</v>
      </c>
      <c r="B1303" s="5" t="s">
        <v>10755</v>
      </c>
      <c r="C1303" s="5" t="s">
        <v>18883</v>
      </c>
      <c r="D1303" s="5" t="str">
        <v>614100627878</v>
      </c>
      <c r="E1303" s="0" t="e">
        <f>+7 (39557) 72610
+7 (483) 2602256
+7 (483) 2603949
+7 (39557) 55733
+7 (39557) 55736
+7 (483) 2602222
+7 (483) 2630226
+7 (495) 2604050
+7 (499) 2604000
+7 (499) 2604050
+7 (499) 2622846
+7 (817) 2792223
+7 (81837) 62643
+7 (950) 899294</f>
        <v>#NAME?</v>
      </c>
      <c r="F1303" s="5" t="s">
        <v>29324</v>
      </c>
      <c r="G1303" s="5" t="s">
        <v>29325</v>
      </c>
      <c r="H1303" s="26">
        <v>12</v>
      </c>
      <c r="I1303" s="5"/>
      <c r="J1303" s="5" t="s">
        <v>27397</v>
      </c>
      <c r="K1303" s="5" t="s">
        <v>344</v>
      </c>
      <c r="L1303" s="5"/>
      <c r="M1303" s="27">
        <v>691310199</v>
      </c>
      <c r="N1303" s="5" t="s">
        <v>51211</v>
      </c>
      <c r="O1303" s="5" t="str">
        <v>7708737490</v>
      </c>
      <c r="P1303" s="27">
        <v>14734119179</v>
      </c>
      <c r="Q1303" s="5" t="s">
        <v>51212</v>
      </c>
      <c r="R1303" s="5" t="s">
        <v>51213</v>
      </c>
      <c r="S1303" s="5" t="s">
        <v>51214</v>
      </c>
      <c r="T1303" s="28">
        <v>13483195000</v>
      </c>
      <c r="U1303" s="28"/>
      <c r="V1303" s="28">
        <v>3226403000</v>
      </c>
      <c r="W1303" s="28"/>
      <c r="X1303" s="28">
        <v>659569000</v>
      </c>
      <c r="Y1303" s="28">
        <v>21066421000</v>
      </c>
      <c r="Z1303" s="28">
        <v>-56049000</v>
      </c>
      <c r="AA1303" s="28"/>
      <c r="AB1303" s="28"/>
      <c r="AC1303" s="28">
        <v>5796131000</v>
      </c>
      <c r="AD1303" s="28">
        <v>15187457000</v>
      </c>
      <c r="AE1303" s="28">
        <v>28593579000</v>
      </c>
      <c r="AF1303" s="28">
        <v>54245000</v>
      </c>
      <c r="AG1303" s="11"/>
    </row>
    <row r="1304">
      <c r="A1304" s="7" t="s">
        <v>3018</v>
      </c>
      <c r="B1304" s="5" t="s">
        <v>11008</v>
      </c>
      <c r="C1304" s="5" t="s">
        <v>18884</v>
      </c>
      <c r="D1304" s="5" t="str">
        <v>503810794400</v>
      </c>
      <c r="E1304" s="0" t="e">
        <f>+7 (3022) 242239
+7 (34385) 92222
+7 (345) 2527005
+7 (345) 2527257
+7 (3952) 635509
+7 (4712) 552222
+7 (4725) 412301
+7 (47391) 73256
+7 (485) 2495397
+7 (485) 2792224
+7 (812) 4573544
+7 (815) 2484444
+7 (81858) 25353
+7 (81858) 25385
+7 (8202) 672222</f>
        <v>#NAME?</v>
      </c>
      <c r="F1304" s="5" t="s">
        <v>29326</v>
      </c>
      <c r="G1304" s="5"/>
      <c r="H1304" s="26">
        <v>12</v>
      </c>
      <c r="I1304" s="5"/>
      <c r="J1304" s="5" t="s">
        <v>26148</v>
      </c>
      <c r="K1304" s="5" t="s">
        <v>355</v>
      </c>
      <c r="L1304" s="5" t="s">
        <v>29327</v>
      </c>
      <c r="M1304" s="27">
        <v>100299285</v>
      </c>
      <c r="N1304" s="5" t="s">
        <v>51215</v>
      </c>
      <c r="O1304" s="5" t="str">
        <v>7708737517</v>
      </c>
      <c r="P1304" s="27">
        <v>8959972352</v>
      </c>
      <c r="Q1304" s="5" t="s">
        <v>51216</v>
      </c>
      <c r="R1304" s="5"/>
      <c r="S1304" s="5" t="s">
        <v>51217</v>
      </c>
      <c r="T1304" s="28">
        <v>7006811000</v>
      </c>
      <c r="U1304" s="28"/>
      <c r="V1304" s="28">
        <v>4355454000</v>
      </c>
      <c r="W1304" s="28"/>
      <c r="X1304" s="28">
        <v>9535000</v>
      </c>
      <c r="Y1304" s="28">
        <v>11494639000</v>
      </c>
      <c r="Z1304" s="28">
        <v>694195000</v>
      </c>
      <c r="AA1304" s="28"/>
      <c r="AB1304" s="28"/>
      <c r="AC1304" s="28">
        <v>1236417000</v>
      </c>
      <c r="AD1304" s="28">
        <v>10058369000</v>
      </c>
      <c r="AE1304" s="28">
        <v>4804388000</v>
      </c>
      <c r="AF1304" s="28">
        <v>391242000</v>
      </c>
      <c r="AG1304" s="11"/>
    </row>
    <row r="1305">
      <c r="A1305" s="7" t="s">
        <v>3019</v>
      </c>
      <c r="B1305" s="5" t="s">
        <v>11009</v>
      </c>
      <c r="C1305" s="5" t="s">
        <v>18885</v>
      </c>
      <c r="D1305" s="5" t="str">
        <v>683307013740</v>
      </c>
      <c r="E1305" s="0" t="e">
        <f>+7 (473) 2277190
+7 (473) 2277609
+7 (473) 2278845
+7 (473) 2795590
+7 (475) 2444959
+7 (495) 2620721
+7 (495) 2624847
+7 (495) 5040364
+7 (495) 6730903
+7 (495) 9170770
+7 (495) 9180770
+7 (499) 5502890
+7 (499) 5502891
+7 (499) 5502896</f>
        <v>#NAME?</v>
      </c>
      <c r="F1305" s="5" t="s">
        <v>29328</v>
      </c>
      <c r="G1305" s="5" t="s">
        <v>29329</v>
      </c>
      <c r="H1305" s="26">
        <v>15</v>
      </c>
      <c r="I1305" s="5"/>
      <c r="J1305" s="5" t="s">
        <v>29330</v>
      </c>
      <c r="K1305" s="5" t="s">
        <v>344</v>
      </c>
      <c r="L1305" s="5"/>
      <c r="M1305" s="27">
        <v>176187755</v>
      </c>
      <c r="N1305" s="5" t="s">
        <v>51218</v>
      </c>
      <c r="O1305" s="5" t="str">
        <v>7722648033</v>
      </c>
      <c r="P1305" s="27">
        <v>4073725501</v>
      </c>
      <c r="Q1305" s="5" t="s">
        <v>51219</v>
      </c>
      <c r="R1305" s="5"/>
      <c r="S1305" s="5" t="s">
        <v>51048</v>
      </c>
      <c r="T1305" s="28">
        <v>2455522000</v>
      </c>
      <c r="U1305" s="28"/>
      <c r="V1305" s="28">
        <v>2485140000</v>
      </c>
      <c r="W1305" s="28"/>
      <c r="X1305" s="28">
        <v>1215086000</v>
      </c>
      <c r="Y1305" s="28">
        <v>8102162000</v>
      </c>
      <c r="Z1305" s="28">
        <v>-165555000</v>
      </c>
      <c r="AA1305" s="28"/>
      <c r="AB1305" s="28"/>
      <c r="AC1305" s="28">
        <v>3788710000</v>
      </c>
      <c r="AD1305" s="28">
        <v>4204295000</v>
      </c>
      <c r="AE1305" s="28">
        <v>11494150000</v>
      </c>
      <c r="AF1305" s="28">
        <v>64227000</v>
      </c>
      <c r="AG1305" s="11"/>
    </row>
    <row r="1306">
      <c r="A1306" s="7" t="s">
        <v>3020</v>
      </c>
      <c r="B1306" s="5" t="s">
        <v>11010</v>
      </c>
      <c r="C1306" s="5" t="s">
        <v>18886</v>
      </c>
      <c r="D1306" s="5" t="str">
        <v>662310451107</v>
      </c>
      <c r="E1306" s="0" t="e">
        <f>+7 (3435) 377345</f>
        <v>#NAME?</v>
      </c>
      <c r="F1306" s="5" t="s">
        <v>29331</v>
      </c>
      <c r="G1306" s="5" t="s">
        <v>29332</v>
      </c>
      <c r="H1306" s="26">
        <v>8.5</v>
      </c>
      <c r="I1306" s="5" t="s">
        <v>29333</v>
      </c>
      <c r="J1306" s="5" t="s">
        <v>28875</v>
      </c>
      <c r="K1306" s="5" t="s">
        <v>344</v>
      </c>
      <c r="L1306" s="5" t="s">
        <v>29334</v>
      </c>
      <c r="M1306" s="27">
        <v>750000</v>
      </c>
      <c r="N1306" s="5" t="s">
        <v>51220</v>
      </c>
      <c r="O1306" s="5" t="str">
        <v>6623105154</v>
      </c>
      <c r="P1306" s="27">
        <v>10000</v>
      </c>
      <c r="Q1306" s="5"/>
      <c r="R1306" s="5"/>
      <c r="S1306" s="5" t="s">
        <v>49425</v>
      </c>
      <c r="T1306" s="28">
        <v>213157000</v>
      </c>
      <c r="U1306" s="28"/>
      <c r="V1306" s="28">
        <v>523292000</v>
      </c>
      <c r="W1306" s="28"/>
      <c r="X1306" s="28">
        <v>2748000</v>
      </c>
      <c r="Y1306" s="28">
        <v>1562692000</v>
      </c>
      <c r="Z1306" s="28">
        <v>1057634000</v>
      </c>
      <c r="AA1306" s="28"/>
      <c r="AB1306" s="28"/>
      <c r="AC1306" s="28">
        <v>322896000</v>
      </c>
      <c r="AD1306" s="28">
        <v>1057644000</v>
      </c>
      <c r="AE1306" s="28">
        <v>8053992000</v>
      </c>
      <c r="AF1306" s="28">
        <v>215365000</v>
      </c>
      <c r="AG1306" s="11"/>
    </row>
    <row r="1307">
      <c r="A1307" s="7" t="s">
        <v>3021</v>
      </c>
      <c r="B1307" s="5" t="s">
        <v>11011</v>
      </c>
      <c r="C1307" s="5" t="s">
        <v>18887</v>
      </c>
      <c r="D1307" s="5" t="str">
        <v>311601288421</v>
      </c>
      <c r="E1307" s="0" t="e">
        <f>+7 (343) 3450327
+7 (81153) 49200
+7 (81153) 62045
+7 (812) 4382001
+7 (921) 5043087</f>
        <v>#NAME?</v>
      </c>
      <c r="F1307" s="5" t="s">
        <v>29335</v>
      </c>
      <c r="G1307" s="5"/>
      <c r="H1307" s="26">
        <v>7.5</v>
      </c>
      <c r="I1307" s="5" t="s">
        <v>29336</v>
      </c>
      <c r="J1307" s="5" t="s">
        <v>25371</v>
      </c>
      <c r="K1307" s="5" t="s">
        <v>344</v>
      </c>
      <c r="L1307" s="5" t="s">
        <v>29337</v>
      </c>
      <c r="M1307" s="27"/>
      <c r="N1307" s="5"/>
      <c r="O1307" s="5" t="str">
        <v>6025047097</v>
      </c>
      <c r="P1307" s="27">
        <v>881198197</v>
      </c>
      <c r="Q1307" s="5" t="s">
        <v>49009</v>
      </c>
      <c r="R1307" s="5"/>
      <c r="S1307" s="5" t="s">
        <v>49010</v>
      </c>
      <c r="T1307" s="28">
        <v>9770540000</v>
      </c>
      <c r="U1307" s="28"/>
      <c r="V1307" s="28">
        <v>17524276000</v>
      </c>
      <c r="W1307" s="28">
        <v>34000</v>
      </c>
      <c r="X1307" s="28">
        <v>46419000</v>
      </c>
      <c r="Y1307" s="28">
        <v>38116776000</v>
      </c>
      <c r="Z1307" s="28">
        <v>18293949000</v>
      </c>
      <c r="AA1307" s="28">
        <v>15169658000</v>
      </c>
      <c r="AB1307" s="28">
        <v>1805000000</v>
      </c>
      <c r="AC1307" s="28">
        <v>3753229000</v>
      </c>
      <c r="AD1307" s="28">
        <v>19175147000</v>
      </c>
      <c r="AE1307" s="28">
        <v>23087245000</v>
      </c>
      <c r="AF1307" s="28">
        <v>6489173000</v>
      </c>
      <c r="AG1307" s="11"/>
    </row>
    <row r="1308">
      <c r="A1308" s="7" t="s">
        <v>3022</v>
      </c>
      <c r="B1308" s="5" t="s">
        <v>11012</v>
      </c>
      <c r="C1308" s="5" t="s">
        <v>18888</v>
      </c>
      <c r="D1308" s="5" t="str">
        <v>771301959822</v>
      </c>
      <c r="E1308" s="0" t="e">
        <f>+7 (499) 1100585
+7 (916) 1501477</f>
        <v>#NAME?</v>
      </c>
      <c r="F1308" s="5" t="s">
        <v>29338</v>
      </c>
      <c r="G1308" s="5" t="s">
        <v>29339</v>
      </c>
      <c r="H1308" s="26">
        <v>5</v>
      </c>
      <c r="I1308" s="5" t="s">
        <v>29340</v>
      </c>
      <c r="J1308" s="5" t="s">
        <v>445</v>
      </c>
      <c r="K1308" s="5" t="s">
        <v>344</v>
      </c>
      <c r="L1308" s="5" t="s">
        <v>29341</v>
      </c>
      <c r="M1308" s="27">
        <v>924687</v>
      </c>
      <c r="N1308" s="5"/>
      <c r="O1308" s="5" t="str">
        <v>5501186901</v>
      </c>
      <c r="P1308" s="27">
        <v>50000000</v>
      </c>
      <c r="Q1308" s="5"/>
      <c r="R1308" s="5"/>
      <c r="S1308" s="5" t="s">
        <v>49125</v>
      </c>
      <c r="T1308" s="28">
        <v>1165275000</v>
      </c>
      <c r="U1308" s="28"/>
      <c r="V1308" s="28">
        <v>427728000</v>
      </c>
      <c r="W1308" s="28"/>
      <c r="X1308" s="28">
        <v>275216000</v>
      </c>
      <c r="Y1308" s="28">
        <v>2331518000</v>
      </c>
      <c r="Z1308" s="28">
        <v>631325000</v>
      </c>
      <c r="AA1308" s="28"/>
      <c r="AB1308" s="28">
        <v>199980000</v>
      </c>
      <c r="AC1308" s="28">
        <v>612171000</v>
      </c>
      <c r="AD1308" s="28">
        <v>1546977000</v>
      </c>
      <c r="AE1308" s="28">
        <v>4054892000</v>
      </c>
      <c r="AF1308" s="28">
        <v>585071000</v>
      </c>
      <c r="AG1308" s="11"/>
    </row>
    <row r="1309">
      <c r="A1309" s="7" t="s">
        <v>3023</v>
      </c>
      <c r="B1309" s="5" t="s">
        <v>11013</v>
      </c>
      <c r="C1309" s="5" t="s">
        <v>18889</v>
      </c>
      <c r="D1309" s="5" t="str">
        <v>773378089004</v>
      </c>
      <c r="E1309" s="0" t="e">
        <f>+7 (495) 7894591</f>
        <v>#NAME?</v>
      </c>
      <c r="F1309" s="5" t="s">
        <v>29342</v>
      </c>
      <c r="G1309" s="5"/>
      <c r="H1309" s="26">
        <v>12</v>
      </c>
      <c r="I1309" s="5"/>
      <c r="J1309" s="5" t="s">
        <v>364</v>
      </c>
      <c r="K1309" s="5" t="s">
        <v>355</v>
      </c>
      <c r="L1309" s="5" t="s">
        <v>29343</v>
      </c>
      <c r="M1309" s="27">
        <v>48787457</v>
      </c>
      <c r="N1309" s="5" t="s">
        <v>51222</v>
      </c>
      <c r="O1309" s="5" t="str">
        <v>7710885368</v>
      </c>
      <c r="P1309" s="27">
        <v>4000000</v>
      </c>
      <c r="Q1309" s="5" t="s">
        <v>51223</v>
      </c>
      <c r="R1309" s="5"/>
      <c r="S1309" s="5" t="s">
        <v>51224</v>
      </c>
      <c r="T1309" s="28">
        <v>151846000</v>
      </c>
      <c r="U1309" s="28">
        <v>280154000</v>
      </c>
      <c r="V1309" s="28">
        <v>9875938000</v>
      </c>
      <c r="W1309" s="28">
        <v>20825000</v>
      </c>
      <c r="X1309" s="28">
        <v>538004000</v>
      </c>
      <c r="Y1309" s="28">
        <v>13872657000</v>
      </c>
      <c r="Z1309" s="28">
        <v>217544000</v>
      </c>
      <c r="AA1309" s="28">
        <v>24000000</v>
      </c>
      <c r="AB1309" s="28"/>
      <c r="AC1309" s="28">
        <v>13622566000</v>
      </c>
      <c r="AD1309" s="28">
        <v>222748000</v>
      </c>
      <c r="AE1309" s="28">
        <v>6359993000</v>
      </c>
      <c r="AF1309" s="28">
        <v>63290000</v>
      </c>
      <c r="AG1309" s="11"/>
    </row>
    <row r="1310">
      <c r="A1310" s="7" t="s">
        <v>3024</v>
      </c>
      <c r="B1310" s="5" t="s">
        <v>11014</v>
      </c>
      <c r="C1310" s="5" t="s">
        <v>18890</v>
      </c>
      <c r="D1310" s="5" t="str">
        <v>782021310208</v>
      </c>
      <c r="E1310" s="0" t="e">
        <f>+7 (926) 5229272
+7 (926) 9172411
+7 (499) 3903434
+7 (909) 6978907</f>
        <v>#NAME?</v>
      </c>
      <c r="F1310" s="5" t="s">
        <v>29344</v>
      </c>
      <c r="G1310" s="5" t="s">
        <v>29345</v>
      </c>
      <c r="H1310" s="26">
        <v>3</v>
      </c>
      <c r="I1310" s="5" t="s">
        <v>28630</v>
      </c>
      <c r="J1310" s="5" t="s">
        <v>364</v>
      </c>
      <c r="K1310" s="5"/>
      <c r="L1310" s="5"/>
      <c r="M1310" s="27">
        <v>76675788</v>
      </c>
      <c r="N1310" s="5" t="s">
        <v>51225</v>
      </c>
      <c r="O1310" s="5" t="str">
        <v>9704016606</v>
      </c>
      <c r="P1310" s="27"/>
      <c r="Q1310" s="5" t="s">
        <v>51226</v>
      </c>
      <c r="R1310" s="5"/>
      <c r="S1310" s="5" t="s">
        <v>51227</v>
      </c>
      <c r="T1310" s="28">
        <v>740972000</v>
      </c>
      <c r="U1310" s="28">
        <v>10754042000</v>
      </c>
      <c r="V1310" s="28">
        <v>177194666000</v>
      </c>
      <c r="W1310" s="28">
        <v>114500000</v>
      </c>
      <c r="X1310" s="28">
        <v>43069626000</v>
      </c>
      <c r="Y1310" s="28">
        <v>241616974000</v>
      </c>
      <c r="Z1310" s="28">
        <v>4799510000</v>
      </c>
      <c r="AA1310" s="28">
        <v>49859319000</v>
      </c>
      <c r="AB1310" s="28">
        <v>11071982000</v>
      </c>
      <c r="AC1310" s="28">
        <v>186690063000</v>
      </c>
      <c r="AD1310" s="28">
        <v>4799510000</v>
      </c>
      <c r="AE1310" s="28">
        <v>51797521000</v>
      </c>
      <c r="AF1310" s="28">
        <v>-4638217000</v>
      </c>
      <c r="AG1310" s="11"/>
    </row>
    <row r="1311">
      <c r="A1311" s="7" t="s">
        <v>3025</v>
      </c>
      <c r="B1311" s="5" t="s">
        <v>11015</v>
      </c>
      <c r="C1311" s="5" t="s">
        <v>18891</v>
      </c>
      <c r="D1311" s="5" t="str">
        <v>310259810102</v>
      </c>
      <c r="E1311" s="0" t="e">
        <f>+7 (903) 7611566
+7 (926) 882045</f>
        <v>#NAME?</v>
      </c>
      <c r="F1311" s="5" t="s">
        <v>29346</v>
      </c>
      <c r="G1311" s="5"/>
      <c r="H1311" s="26">
        <v>8</v>
      </c>
      <c r="I1311" s="5" t="s">
        <v>29347</v>
      </c>
      <c r="J1311" s="5" t="s">
        <v>373</v>
      </c>
      <c r="K1311" s="5" t="s">
        <v>344</v>
      </c>
      <c r="L1311" s="5" t="s">
        <v>29348</v>
      </c>
      <c r="M1311" s="27">
        <v>733800</v>
      </c>
      <c r="N1311" s="5"/>
      <c r="O1311" s="5" t="str">
        <v>7724949678</v>
      </c>
      <c r="P1311" s="27">
        <v>10000</v>
      </c>
      <c r="Q1311" s="5" t="s">
        <v>49057</v>
      </c>
      <c r="R1311" s="5"/>
      <c r="S1311" s="5" t="s">
        <v>51228</v>
      </c>
      <c r="T1311" s="28">
        <v>1111000</v>
      </c>
      <c r="U1311" s="28">
        <v>15000</v>
      </c>
      <c r="V1311" s="28">
        <v>445475000</v>
      </c>
      <c r="W1311" s="28">
        <v>3070000</v>
      </c>
      <c r="X1311" s="28">
        <v>8129000</v>
      </c>
      <c r="Y1311" s="28">
        <v>617194000</v>
      </c>
      <c r="Z1311" s="28">
        <v>243194000</v>
      </c>
      <c r="AA1311" s="28">
        <v>158295000</v>
      </c>
      <c r="AB1311" s="28">
        <v>1883000</v>
      </c>
      <c r="AC1311" s="28">
        <v>215690000</v>
      </c>
      <c r="AD1311" s="28">
        <v>243204000</v>
      </c>
      <c r="AE1311" s="28">
        <v>9080603000</v>
      </c>
      <c r="AF1311" s="28">
        <v>62788000</v>
      </c>
      <c r="AG1311" s="11"/>
    </row>
    <row r="1312">
      <c r="A1312" s="7" t="s">
        <v>3026</v>
      </c>
      <c r="B1312" s="5" t="s">
        <v>11016</v>
      </c>
      <c r="C1312" s="5" t="s">
        <v>18892</v>
      </c>
      <c r="D1312" s="5" t="str">
        <v>773323593124</v>
      </c>
      <c r="E1312" s="0" t="e">
        <f>+7 (495) 6680977
+7 (910) 5646427</f>
        <v>#NAME?</v>
      </c>
      <c r="F1312" s="5"/>
      <c r="G1312" s="5" t="s">
        <v>29349</v>
      </c>
      <c r="H1312" s="26">
        <v>16</v>
      </c>
      <c r="I1312" s="5" t="s">
        <v>29350</v>
      </c>
      <c r="J1312" s="5" t="s">
        <v>1073</v>
      </c>
      <c r="K1312" s="5" t="s">
        <v>344</v>
      </c>
      <c r="L1312" s="5" t="s">
        <v>29351</v>
      </c>
      <c r="M1312" s="27"/>
      <c r="N1312" s="5" t="s">
        <v>51229</v>
      </c>
      <c r="O1312" s="5" t="str">
        <v>7735525399</v>
      </c>
      <c r="P1312" s="27">
        <v>30000</v>
      </c>
      <c r="Q1312" s="5" t="s">
        <v>49579</v>
      </c>
      <c r="R1312" s="5"/>
      <c r="S1312" s="5" t="s">
        <v>51230</v>
      </c>
      <c r="T1312" s="28">
        <v>18219000</v>
      </c>
      <c r="U1312" s="28">
        <v>15000</v>
      </c>
      <c r="V1312" s="28">
        <v>651009000</v>
      </c>
      <c r="W1312" s="28">
        <v>767000</v>
      </c>
      <c r="X1312" s="28">
        <v>172272000</v>
      </c>
      <c r="Y1312" s="28">
        <v>1069078000</v>
      </c>
      <c r="Z1312" s="28">
        <v>437328000</v>
      </c>
      <c r="AA1312" s="28">
        <v>183456000</v>
      </c>
      <c r="AB1312" s="28">
        <v>100293000</v>
      </c>
      <c r="AC1312" s="28">
        <v>448141000</v>
      </c>
      <c r="AD1312" s="28">
        <v>437358000</v>
      </c>
      <c r="AE1312" s="28">
        <v>15724173000</v>
      </c>
      <c r="AF1312" s="28">
        <v>82374000</v>
      </c>
      <c r="AG1312" s="11"/>
    </row>
    <row r="1313">
      <c r="A1313" s="7" t="s">
        <v>3027</v>
      </c>
      <c r="B1313" s="5" t="s">
        <v>11017</v>
      </c>
      <c r="C1313" s="5" t="s">
        <v>18893</v>
      </c>
      <c r="D1313" s="5" t="str">
        <v>781122677313</v>
      </c>
      <c r="E1313" s="0" t="e">
        <f>+7 (919) 1002440
+7 (926) 9743498</f>
        <v>#NAME?</v>
      </c>
      <c r="F1313" s="5" t="s">
        <v>29352</v>
      </c>
      <c r="G1313" s="5"/>
      <c r="H1313" s="26">
        <v>4.5</v>
      </c>
      <c r="I1313" s="5" t="s">
        <v>29353</v>
      </c>
      <c r="J1313" s="5" t="s">
        <v>27712</v>
      </c>
      <c r="K1313" s="5" t="s">
        <v>344</v>
      </c>
      <c r="L1313" s="5"/>
      <c r="M1313" s="27"/>
      <c r="N1313" s="5"/>
      <c r="O1313" s="5" t="str">
        <v>7708333507</v>
      </c>
      <c r="P1313" s="27">
        <v>10000</v>
      </c>
      <c r="Q1313" s="5" t="s">
        <v>51231</v>
      </c>
      <c r="R1313" s="5"/>
      <c r="S1313" s="5" t="s">
        <v>51232</v>
      </c>
      <c r="T1313" s="28">
        <v>18961000</v>
      </c>
      <c r="U1313" s="28"/>
      <c r="V1313" s="28">
        <v>1073280000</v>
      </c>
      <c r="W1313" s="28"/>
      <c r="X1313" s="28">
        <v>465422000</v>
      </c>
      <c r="Y1313" s="28">
        <v>2819433000</v>
      </c>
      <c r="Z1313" s="28">
        <v>1852271000</v>
      </c>
      <c r="AA1313" s="28"/>
      <c r="AB1313" s="28"/>
      <c r="AC1313" s="28">
        <v>869994000</v>
      </c>
      <c r="AD1313" s="28">
        <v>1854481000</v>
      </c>
      <c r="AE1313" s="28">
        <v>3975283000</v>
      </c>
      <c r="AF1313" s="28">
        <v>1853560000</v>
      </c>
      <c r="AG1313" s="11"/>
    </row>
    <row r="1314">
      <c r="A1314" s="7" t="s">
        <v>3028</v>
      </c>
      <c r="B1314" s="5" t="s">
        <v>11018</v>
      </c>
      <c r="C1314" s="5" t="s">
        <v>18894</v>
      </c>
      <c r="D1314" s="5" t="str">
        <v>632130705032</v>
      </c>
      <c r="E1314" s="0" t="e">
        <f>+7 (495) 3636792
+7 (495) 9810696
+7 (495) 3636797
+7 (495) 3636798
+7 (495) 7875992
+7 (495) 9810606
+7 (800) 5555250
+7 (83145) 95480
+7 (83145) 95482
+7 (8482) 530370
+7 (8482) 669630
+7 (906) 3552516
+7 (960) 8434071</f>
        <v>#NAME?</v>
      </c>
      <c r="F1314" s="5"/>
      <c r="G1314" s="5" t="s">
        <v>29354</v>
      </c>
      <c r="H1314" s="26">
        <v>15</v>
      </c>
      <c r="I1314" s="5" t="s">
        <v>29355</v>
      </c>
      <c r="J1314" s="5" t="s">
        <v>25550</v>
      </c>
      <c r="K1314" s="5" t="s">
        <v>344</v>
      </c>
      <c r="L1314" s="5" t="s">
        <v>29356</v>
      </c>
      <c r="M1314" s="27"/>
      <c r="N1314" s="5"/>
      <c r="O1314" s="5" t="str">
        <v>5036090350</v>
      </c>
      <c r="P1314" s="27">
        <v>1188575073</v>
      </c>
      <c r="Q1314" s="5" t="s">
        <v>49009</v>
      </c>
      <c r="R1314" s="5"/>
      <c r="S1314" s="5" t="s">
        <v>49884</v>
      </c>
      <c r="T1314" s="28">
        <v>2471000</v>
      </c>
      <c r="U1314" s="28"/>
      <c r="V1314" s="28">
        <v>617340000</v>
      </c>
      <c r="W1314" s="28">
        <v>4052352000</v>
      </c>
      <c r="X1314" s="28">
        <v>1022781000</v>
      </c>
      <c r="Y1314" s="28">
        <v>7024216000</v>
      </c>
      <c r="Z1314" s="28">
        <v>2958814000</v>
      </c>
      <c r="AA1314" s="28"/>
      <c r="AB1314" s="28"/>
      <c r="AC1314" s="28">
        <v>1283228000</v>
      </c>
      <c r="AD1314" s="28">
        <v>5740988000</v>
      </c>
      <c r="AE1314" s="28">
        <v>4708695000</v>
      </c>
      <c r="AF1314" s="28">
        <v>-776920000</v>
      </c>
      <c r="AG1314" s="11"/>
    </row>
    <row r="1315">
      <c r="A1315" s="7" t="s">
        <v>3029</v>
      </c>
      <c r="B1315" s="5" t="s">
        <v>11019</v>
      </c>
      <c r="C1315" s="5" t="s">
        <v>18895</v>
      </c>
      <c r="D1315" s="5" t="str">
        <v>470400108149</v>
      </c>
      <c r="E1315" s="0" t="e">
        <f>+7 (921) 9884715</f>
        <v>#NAME?</v>
      </c>
      <c r="F1315" s="5" t="s">
        <v>29357</v>
      </c>
      <c r="G1315" s="5"/>
      <c r="H1315" s="26">
        <v>7.5</v>
      </c>
      <c r="I1315" s="5" t="s">
        <v>29358</v>
      </c>
      <c r="J1315" s="5" t="s">
        <v>364</v>
      </c>
      <c r="K1315" s="5" t="s">
        <v>355</v>
      </c>
      <c r="L1315" s="5"/>
      <c r="M1315" s="27">
        <v>2382210508</v>
      </c>
      <c r="N1315" s="5"/>
      <c r="O1315" s="5" t="str">
        <v>7733252428</v>
      </c>
      <c r="P1315" s="27">
        <v>100000</v>
      </c>
      <c r="Q1315" s="5" t="s">
        <v>51233</v>
      </c>
      <c r="R1315" s="5"/>
      <c r="S1315" s="5" t="s">
        <v>49496</v>
      </c>
      <c r="T1315" s="28"/>
      <c r="U1315" s="28"/>
      <c r="V1315" s="28">
        <v>21894701000</v>
      </c>
      <c r="W1315" s="28">
        <v>126700000</v>
      </c>
      <c r="X1315" s="28">
        <v>4582000</v>
      </c>
      <c r="Y1315" s="28">
        <v>22167491000</v>
      </c>
      <c r="Z1315" s="28">
        <v>321345000</v>
      </c>
      <c r="AA1315" s="28"/>
      <c r="AB1315" s="28"/>
      <c r="AC1315" s="28">
        <v>21845945000</v>
      </c>
      <c r="AD1315" s="28">
        <v>321445000</v>
      </c>
      <c r="AE1315" s="28">
        <v>8036691000</v>
      </c>
      <c r="AF1315" s="28">
        <v>7099000</v>
      </c>
      <c r="AG1315" s="11"/>
    </row>
    <row r="1316">
      <c r="A1316" s="7" t="s">
        <v>3030</v>
      </c>
      <c r="B1316" s="5" t="s">
        <v>11020</v>
      </c>
      <c r="C1316" s="5" t="s">
        <v>18896</v>
      </c>
      <c r="D1316" s="5" t="str">
        <v>616104527910</v>
      </c>
      <c r="E1316" s="0" t="e">
        <f>+7 (800) 5056432
+7 (800) 5056532
+7 (863) 3001469
+7 (863) 3001489
+7 (8632) 60462
+7 (8632) 108777
+7 (8632) 431302
+7 (8632) 432379
+7 (8632) 517892
+7 (8632) 548956
+7 (8632) 586989
+7 (8632) 961822
+7 (86386) 33001
+7 (918) 2961822
+7 (928) 1915551</f>
        <v>#NAME?</v>
      </c>
      <c r="F1316" s="5" t="s">
        <v>29359</v>
      </c>
      <c r="G1316" s="5"/>
      <c r="H1316" s="26">
        <v>9</v>
      </c>
      <c r="I1316" s="5" t="s">
        <v>29360</v>
      </c>
      <c r="J1316" s="5" t="s">
        <v>26125</v>
      </c>
      <c r="K1316" s="5" t="s">
        <v>344</v>
      </c>
      <c r="L1316" s="5" t="s">
        <v>29361</v>
      </c>
      <c r="M1316" s="27">
        <v>346167</v>
      </c>
      <c r="N1316" s="5" t="s">
        <v>51234</v>
      </c>
      <c r="O1316" s="5" t="str">
        <v>6166090384</v>
      </c>
      <c r="P1316" s="27">
        <v>10000</v>
      </c>
      <c r="Q1316" s="5" t="s">
        <v>49009</v>
      </c>
      <c r="R1316" s="5"/>
      <c r="S1316" s="5" t="s">
        <v>49504</v>
      </c>
      <c r="T1316" s="28">
        <v>100965000</v>
      </c>
      <c r="U1316" s="28"/>
      <c r="V1316" s="28">
        <v>269590000</v>
      </c>
      <c r="W1316" s="28"/>
      <c r="X1316" s="28">
        <v>68454000</v>
      </c>
      <c r="Y1316" s="28">
        <v>539825000</v>
      </c>
      <c r="Z1316" s="28">
        <v>167674000</v>
      </c>
      <c r="AA1316" s="28"/>
      <c r="AB1316" s="28">
        <v>21353000</v>
      </c>
      <c r="AC1316" s="28">
        <v>370210000</v>
      </c>
      <c r="AD1316" s="28">
        <v>167684000</v>
      </c>
      <c r="AE1316" s="28">
        <v>9600115000</v>
      </c>
      <c r="AF1316" s="28">
        <v>47342000</v>
      </c>
      <c r="AG1316" s="11"/>
    </row>
    <row r="1317">
      <c r="A1317" s="7" t="s">
        <v>3031</v>
      </c>
      <c r="B1317" s="5" t="s">
        <v>11021</v>
      </c>
      <c r="C1317" s="5" t="s">
        <v>18897</v>
      </c>
      <c r="D1317" s="5" t="str">
        <v>781709128605</v>
      </c>
      <c r="E1317" s="0" t="e">
        <f>+7 (812) 4499020
+7 (812) 6408892
+7 (812) 9153067</f>
        <v>#NAME?</v>
      </c>
      <c r="F1317" s="5" t="s">
        <v>29362</v>
      </c>
      <c r="G1317" s="5" t="s">
        <v>29363</v>
      </c>
      <c r="H1317" s="26">
        <v>6.5</v>
      </c>
      <c r="I1317" s="5" t="s">
        <v>29364</v>
      </c>
      <c r="J1317" s="5" t="s">
        <v>29365</v>
      </c>
      <c r="K1317" s="5" t="s">
        <v>344</v>
      </c>
      <c r="L1317" s="5" t="s">
        <v>29366</v>
      </c>
      <c r="M1317" s="27"/>
      <c r="N1317" s="5"/>
      <c r="O1317" s="5" t="str">
        <v>7816340170</v>
      </c>
      <c r="P1317" s="27">
        <v>1042753</v>
      </c>
      <c r="Q1317" s="5" t="s">
        <v>51235</v>
      </c>
      <c r="R1317" s="5"/>
      <c r="S1317" s="5" t="s">
        <v>51236</v>
      </c>
      <c r="T1317" s="28">
        <v>21133000</v>
      </c>
      <c r="U1317" s="28">
        <v>90000</v>
      </c>
      <c r="V1317" s="28">
        <v>1119527000</v>
      </c>
      <c r="W1317" s="28">
        <v>11751000</v>
      </c>
      <c r="X1317" s="28">
        <v>114221000</v>
      </c>
      <c r="Y1317" s="28">
        <v>2633077000</v>
      </c>
      <c r="Z1317" s="28">
        <v>1509027000</v>
      </c>
      <c r="AA1317" s="28">
        <v>451932000</v>
      </c>
      <c r="AB1317" s="28">
        <v>16205000</v>
      </c>
      <c r="AC1317" s="28">
        <v>648496000</v>
      </c>
      <c r="AD1317" s="28">
        <v>1510070000</v>
      </c>
      <c r="AE1317" s="28">
        <v>5252980000</v>
      </c>
      <c r="AF1317" s="28">
        <v>531318000</v>
      </c>
      <c r="AG1317" s="11"/>
    </row>
    <row r="1318">
      <c r="A1318" s="7" t="s">
        <v>3032</v>
      </c>
      <c r="B1318" s="5" t="s">
        <v>11022</v>
      </c>
      <c r="C1318" s="5" t="s">
        <v>18898</v>
      </c>
      <c r="D1318" s="5" t="str">
        <v>631219714980</v>
      </c>
      <c r="E1318" s="0" t="e">
        <f>+7 (495) 7023020
+7 (495) 7023910
+7 (495) 1364310
+7 (495) 1398190</f>
        <v>#NAME?</v>
      </c>
      <c r="F1318" s="5" t="s">
        <v>29367</v>
      </c>
      <c r="G1318" s="5" t="s">
        <v>29368</v>
      </c>
      <c r="H1318" s="26">
        <v>26.5</v>
      </c>
      <c r="I1318" s="5" t="s">
        <v>29369</v>
      </c>
      <c r="J1318" s="5" t="s">
        <v>955</v>
      </c>
      <c r="K1318" s="5" t="s">
        <v>344</v>
      </c>
      <c r="L1318" s="5" t="s">
        <v>29370</v>
      </c>
      <c r="M1318" s="27"/>
      <c r="N1318" s="5" t="s">
        <v>51237</v>
      </c>
      <c r="O1318" s="5" t="str">
        <v>7723124579</v>
      </c>
      <c r="P1318" s="27">
        <v>45000000</v>
      </c>
      <c r="Q1318" s="5" t="s">
        <v>51238</v>
      </c>
      <c r="R1318" s="5"/>
      <c r="S1318" s="5" t="s">
        <v>51239</v>
      </c>
      <c r="T1318" s="28">
        <v>134676000</v>
      </c>
      <c r="U1318" s="28">
        <v>16907000</v>
      </c>
      <c r="V1318" s="28">
        <v>1386611000</v>
      </c>
      <c r="W1318" s="28">
        <v>40053000</v>
      </c>
      <c r="X1318" s="28">
        <v>116909000</v>
      </c>
      <c r="Y1318" s="28">
        <v>2450306000</v>
      </c>
      <c r="Z1318" s="28">
        <v>161950000</v>
      </c>
      <c r="AA1318" s="28"/>
      <c r="AB1318" s="28">
        <v>488575000</v>
      </c>
      <c r="AC1318" s="28">
        <v>1391577000</v>
      </c>
      <c r="AD1318" s="28">
        <v>995388000</v>
      </c>
      <c r="AE1318" s="28">
        <v>9446159000</v>
      </c>
      <c r="AF1318" s="28">
        <v>49548000</v>
      </c>
      <c r="AG1318" s="11"/>
    </row>
    <row r="1319">
      <c r="A1319" s="7" t="s">
        <v>3033</v>
      </c>
      <c r="B1319" s="5" t="s">
        <v>11023</v>
      </c>
      <c r="C1319" s="5" t="s">
        <v>18899</v>
      </c>
      <c r="D1319" s="5" t="str">
        <v>164509345207</v>
      </c>
      <c r="E1319" s="0" t="e">
        <f>+7 (917) 2508257
+7 (495) 2042915
+7 (987) 2628698</f>
        <v>#NAME?</v>
      </c>
      <c r="F1319" s="5"/>
      <c r="G1319" s="5" t="s">
        <v>29371</v>
      </c>
      <c r="H1319" s="26">
        <v>13</v>
      </c>
      <c r="I1319" s="5" t="s">
        <v>29372</v>
      </c>
      <c r="J1319" s="5" t="s">
        <v>955</v>
      </c>
      <c r="K1319" s="5" t="s">
        <v>344</v>
      </c>
      <c r="L1319" s="5" t="s">
        <v>711</v>
      </c>
      <c r="M1319" s="27"/>
      <c r="N1319" s="5" t="s">
        <v>51240</v>
      </c>
      <c r="O1319" s="5" t="str">
        <v>1659101997</v>
      </c>
      <c r="P1319" s="27">
        <v>12000</v>
      </c>
      <c r="Q1319" s="5"/>
      <c r="R1319" s="5"/>
      <c r="S1319" s="5" t="s">
        <v>49110</v>
      </c>
      <c r="T1319" s="28">
        <v>21873000</v>
      </c>
      <c r="U1319" s="28"/>
      <c r="V1319" s="28">
        <v>260525000</v>
      </c>
      <c r="W1319" s="28"/>
      <c r="X1319" s="28">
        <v>186592000</v>
      </c>
      <c r="Y1319" s="28">
        <v>705133000</v>
      </c>
      <c r="Z1319" s="28">
        <v>569223000</v>
      </c>
      <c r="AA1319" s="28"/>
      <c r="AB1319" s="28"/>
      <c r="AC1319" s="28">
        <v>135413000</v>
      </c>
      <c r="AD1319" s="28">
        <v>569235000</v>
      </c>
      <c r="AE1319" s="28">
        <v>6253721000</v>
      </c>
      <c r="AF1319" s="28">
        <v>105803000</v>
      </c>
      <c r="AG1319" s="11"/>
    </row>
    <row r="1320">
      <c r="A1320" s="7" t="s">
        <v>3033</v>
      </c>
      <c r="B1320" s="5" t="s">
        <v>11024</v>
      </c>
      <c r="C1320" s="5" t="s">
        <v>18900</v>
      </c>
      <c r="D1320" s="5" t="str">
        <v>422003132002</v>
      </c>
      <c r="E1320" s="0" t="e">
        <f>+7 (385) 2290010</f>
        <v>#NAME?</v>
      </c>
      <c r="F1320" s="5" t="s">
        <v>29373</v>
      </c>
      <c r="G1320" s="5"/>
      <c r="H1320" s="26">
        <v>8</v>
      </c>
      <c r="I1320" s="5" t="s">
        <v>29374</v>
      </c>
      <c r="J1320" s="5" t="s">
        <v>28875</v>
      </c>
      <c r="K1320" s="5" t="s">
        <v>355</v>
      </c>
      <c r="L1320" s="5" t="s">
        <v>29375</v>
      </c>
      <c r="M1320" s="27">
        <v>204169</v>
      </c>
      <c r="N1320" s="5"/>
      <c r="O1320" s="5" t="str">
        <v>2222834427</v>
      </c>
      <c r="P1320" s="27">
        <v>10000</v>
      </c>
      <c r="Q1320" s="5"/>
      <c r="R1320" s="5"/>
      <c r="S1320" s="5" t="s">
        <v>49110</v>
      </c>
      <c r="T1320" s="28">
        <v>264859000</v>
      </c>
      <c r="U1320" s="28"/>
      <c r="V1320" s="28">
        <v>193260000</v>
      </c>
      <c r="W1320" s="28"/>
      <c r="X1320" s="28">
        <v>21317000</v>
      </c>
      <c r="Y1320" s="28">
        <v>715267000</v>
      </c>
      <c r="Z1320" s="28">
        <v>-104138000</v>
      </c>
      <c r="AA1320" s="28"/>
      <c r="AB1320" s="28">
        <v>76650000</v>
      </c>
      <c r="AC1320" s="28">
        <v>654897000</v>
      </c>
      <c r="AD1320" s="28">
        <v>-104128000</v>
      </c>
      <c r="AE1320" s="28">
        <v>3078938000</v>
      </c>
      <c r="AF1320" s="28">
        <v>-171897000</v>
      </c>
      <c r="AG1320" s="11"/>
    </row>
    <row r="1321">
      <c r="A1321" s="7" t="s">
        <v>3033</v>
      </c>
      <c r="B1321" s="5" t="s">
        <v>11025</v>
      </c>
      <c r="C1321" s="5" t="s">
        <v>18901</v>
      </c>
      <c r="D1321" s="5"/>
      <c r="E1321" s="0" t="e">
        <f>+7 (384) 2485485
+7 (384) 2751765
+7 (384) 2752752
+7 (384) 2755843
+7 (384) 2756068
+7 (384) 2756078
+7 (384) 2756095</f>
        <v>#NAME?</v>
      </c>
      <c r="F1321" s="5" t="s">
        <v>29376</v>
      </c>
      <c r="G1321" s="5" t="s">
        <v>29377</v>
      </c>
      <c r="H1321" s="26">
        <v>7.5</v>
      </c>
      <c r="I1321" s="5" t="s">
        <v>29378</v>
      </c>
      <c r="J1321" s="5" t="s">
        <v>28875</v>
      </c>
      <c r="K1321" s="5" t="s">
        <v>355</v>
      </c>
      <c r="L1321" s="5" t="s">
        <v>29379</v>
      </c>
      <c r="M1321" s="27"/>
      <c r="N1321" s="5"/>
      <c r="O1321" s="5" t="str">
        <v>4250010457</v>
      </c>
      <c r="P1321" s="27">
        <v>10000</v>
      </c>
      <c r="Q1321" s="5"/>
      <c r="R1321" s="5"/>
      <c r="S1321" s="5" t="s">
        <v>49121</v>
      </c>
      <c r="T1321" s="28">
        <v>313694000</v>
      </c>
      <c r="U1321" s="28"/>
      <c r="V1321" s="28">
        <v>236702000</v>
      </c>
      <c r="W1321" s="28">
        <v>320000</v>
      </c>
      <c r="X1321" s="28">
        <v>13122000</v>
      </c>
      <c r="Y1321" s="28">
        <v>908442000</v>
      </c>
      <c r="Z1321" s="28">
        <v>187748000</v>
      </c>
      <c r="AA1321" s="28"/>
      <c r="AB1321" s="28">
        <v>3628000</v>
      </c>
      <c r="AC1321" s="28">
        <v>347820000</v>
      </c>
      <c r="AD1321" s="28">
        <v>187758000</v>
      </c>
      <c r="AE1321" s="28">
        <v>3607942000</v>
      </c>
      <c r="AF1321" s="28">
        <v>14327000</v>
      </c>
      <c r="AG1321" s="11"/>
    </row>
    <row r="1322">
      <c r="A1322" s="7" t="s">
        <v>3033</v>
      </c>
      <c r="B1322" s="5" t="s">
        <v>11026</v>
      </c>
      <c r="C1322" s="5" t="s">
        <v>18902</v>
      </c>
      <c r="D1322" s="5" t="str">
        <v>741702399375</v>
      </c>
      <c r="E1322" s="0" t="e">
        <f>+7 (391) 2584455
+7 (391) 2669691
+7 (391) 2684050
+7 (391) 2684268
+7 (391) 2685838
+7 (391) 2685843
+7 (962) 750533</f>
        <v>#NAME?</v>
      </c>
      <c r="F1322" s="5"/>
      <c r="G1322" s="5" t="s">
        <v>29380</v>
      </c>
      <c r="H1322" s="26">
        <v>14.5</v>
      </c>
      <c r="I1322" s="5" t="s">
        <v>29381</v>
      </c>
      <c r="J1322" s="5" t="s">
        <v>28875</v>
      </c>
      <c r="K1322" s="5" t="s">
        <v>344</v>
      </c>
      <c r="L1322" s="5" t="s">
        <v>29382</v>
      </c>
      <c r="M1322" s="27"/>
      <c r="N1322" s="5"/>
      <c r="O1322" s="5" t="str">
        <v>4217164851</v>
      </c>
      <c r="P1322" s="27">
        <v>1000000</v>
      </c>
      <c r="Q1322" s="5"/>
      <c r="R1322" s="5"/>
      <c r="S1322" s="5" t="s">
        <v>49195</v>
      </c>
      <c r="T1322" s="28">
        <v>399679000</v>
      </c>
      <c r="U1322" s="28"/>
      <c r="V1322" s="28">
        <v>482230000</v>
      </c>
      <c r="W1322" s="28">
        <v>6900000</v>
      </c>
      <c r="X1322" s="28">
        <v>24698000</v>
      </c>
      <c r="Y1322" s="28">
        <v>1357885000</v>
      </c>
      <c r="Z1322" s="28">
        <v>160385000</v>
      </c>
      <c r="AA1322" s="28"/>
      <c r="AB1322" s="28">
        <v>1559000</v>
      </c>
      <c r="AC1322" s="28">
        <v>728540000</v>
      </c>
      <c r="AD1322" s="28">
        <v>161385000</v>
      </c>
      <c r="AE1322" s="28">
        <v>6651325000</v>
      </c>
      <c r="AF1322" s="28">
        <v>121383000</v>
      </c>
      <c r="AG1322" s="11"/>
    </row>
    <row r="1323">
      <c r="A1323" s="7" t="s">
        <v>3034</v>
      </c>
      <c r="B1323" s="5" t="s">
        <v>11027</v>
      </c>
      <c r="C1323" s="5" t="s">
        <v>18903</v>
      </c>
      <c r="D1323" s="5" t="str">
        <v>402403796608</v>
      </c>
      <c r="E1323" s="0" t="e">
        <f>+7 (483) 2590370
+7 (910) 2341342
+7 (910) 3352665
+7 (960) 5553515</f>
        <v>#NAME?</v>
      </c>
      <c r="F1323" s="5" t="s">
        <v>29383</v>
      </c>
      <c r="G1323" s="5"/>
      <c r="H1323" s="26">
        <v>8.5</v>
      </c>
      <c r="I1323" s="5" t="s">
        <v>29384</v>
      </c>
      <c r="J1323" s="5" t="s">
        <v>28875</v>
      </c>
      <c r="K1323" s="5" t="s">
        <v>344</v>
      </c>
      <c r="L1323" s="5" t="s">
        <v>29385</v>
      </c>
      <c r="M1323" s="27"/>
      <c r="N1323" s="5"/>
      <c r="O1323" s="5" t="str">
        <v>3257021992</v>
      </c>
      <c r="P1323" s="27">
        <v>10000</v>
      </c>
      <c r="Q1323" s="5" t="s">
        <v>49009</v>
      </c>
      <c r="R1323" s="5"/>
      <c r="S1323" s="5" t="s">
        <v>49010</v>
      </c>
      <c r="T1323" s="28">
        <v>1538000</v>
      </c>
      <c r="U1323" s="28"/>
      <c r="V1323" s="28">
        <v>93173000</v>
      </c>
      <c r="W1323" s="28"/>
      <c r="X1323" s="28">
        <v>12104000</v>
      </c>
      <c r="Y1323" s="28">
        <v>247061000</v>
      </c>
      <c r="Z1323" s="28">
        <v>95429000</v>
      </c>
      <c r="AA1323" s="28">
        <v>89253000</v>
      </c>
      <c r="AB1323" s="28">
        <v>1196000</v>
      </c>
      <c r="AC1323" s="28">
        <v>62369000</v>
      </c>
      <c r="AD1323" s="28">
        <v>95439000</v>
      </c>
      <c r="AE1323" s="28">
        <v>3201562000</v>
      </c>
      <c r="AF1323" s="28">
        <v>24162000</v>
      </c>
      <c r="AG1323" s="11"/>
    </row>
    <row r="1324">
      <c r="A1324" s="7" t="s">
        <v>3035</v>
      </c>
      <c r="B1324" s="5" t="s">
        <v>11028</v>
      </c>
      <c r="C1324" s="5" t="s">
        <v>18904</v>
      </c>
      <c r="D1324" s="5" t="str">
        <v>771705744653</v>
      </c>
      <c r="E1324" s="0" t="e">
        <f>+7 (901) 5333019
+7 (499) 6505476</f>
        <v>#NAME?</v>
      </c>
      <c r="F1324" s="5" t="s">
        <v>29386</v>
      </c>
      <c r="G1324" s="5"/>
      <c r="H1324" s="26">
        <v>10.5</v>
      </c>
      <c r="I1324" s="5" t="s">
        <v>29387</v>
      </c>
      <c r="J1324" s="5" t="s">
        <v>29388</v>
      </c>
      <c r="K1324" s="5" t="s">
        <v>344</v>
      </c>
      <c r="L1324" s="5" t="s">
        <v>29389</v>
      </c>
      <c r="M1324" s="27"/>
      <c r="N1324" s="5" t="s">
        <v>51241</v>
      </c>
      <c r="O1324" s="5" t="str">
        <v>7721762784</v>
      </c>
      <c r="P1324" s="27">
        <v>300000</v>
      </c>
      <c r="Q1324" s="5" t="s">
        <v>49021</v>
      </c>
      <c r="R1324" s="5"/>
      <c r="S1324" s="5" t="s">
        <v>51242</v>
      </c>
      <c r="T1324" s="28">
        <v>435859000</v>
      </c>
      <c r="U1324" s="28"/>
      <c r="V1324" s="28">
        <v>258797000</v>
      </c>
      <c r="W1324" s="28">
        <v>3200000</v>
      </c>
      <c r="X1324" s="28">
        <v>19286000</v>
      </c>
      <c r="Y1324" s="28">
        <v>1067311000</v>
      </c>
      <c r="Z1324" s="28">
        <v>206001000</v>
      </c>
      <c r="AA1324" s="28"/>
      <c r="AB1324" s="28">
        <v>381051000</v>
      </c>
      <c r="AC1324" s="28">
        <v>498081000</v>
      </c>
      <c r="AD1324" s="28">
        <v>292347000</v>
      </c>
      <c r="AE1324" s="28">
        <v>4123825000</v>
      </c>
      <c r="AF1324" s="28">
        <v>63557000</v>
      </c>
      <c r="AG1324" s="11"/>
    </row>
    <row r="1325">
      <c r="A1325" s="7" t="s">
        <v>3036</v>
      </c>
      <c r="B1325" s="5" t="s">
        <v>11029</v>
      </c>
      <c r="C1325" s="5" t="s">
        <v>18905</v>
      </c>
      <c r="D1325" s="5"/>
      <c r="E1325" s="0" t="e">
        <f>+7 (495) 7883101
+7 (495) 7884688
+7 (495) 7884588</f>
        <v>#NAME?</v>
      </c>
      <c r="F1325" s="5"/>
      <c r="G1325" s="5"/>
      <c r="H1325" s="26">
        <v>5</v>
      </c>
      <c r="I1325" s="5" t="s">
        <v>29390</v>
      </c>
      <c r="J1325" s="5" t="s">
        <v>27640</v>
      </c>
      <c r="K1325" s="5" t="s">
        <v>344</v>
      </c>
      <c r="L1325" s="5" t="s">
        <v>29391</v>
      </c>
      <c r="M1325" s="27"/>
      <c r="N1325" s="5"/>
      <c r="O1325" s="5" t="str">
        <v>7703445912</v>
      </c>
      <c r="P1325" s="27">
        <v>373300000</v>
      </c>
      <c r="Q1325" s="5" t="s">
        <v>51243</v>
      </c>
      <c r="R1325" s="5"/>
      <c r="S1325" s="5" t="s">
        <v>50378</v>
      </c>
      <c r="T1325" s="28">
        <v>15795138000</v>
      </c>
      <c r="U1325" s="28"/>
      <c r="V1325" s="28">
        <v>651993000</v>
      </c>
      <c r="W1325" s="28"/>
      <c r="X1325" s="28">
        <v>4975523000</v>
      </c>
      <c r="Y1325" s="28">
        <v>21964511000</v>
      </c>
      <c r="Z1325" s="28">
        <v>4017839000</v>
      </c>
      <c r="AA1325" s="28">
        <v>13353633000</v>
      </c>
      <c r="AB1325" s="28"/>
      <c r="AC1325" s="28">
        <v>672216000</v>
      </c>
      <c r="AD1325" s="28">
        <v>7750839000</v>
      </c>
      <c r="AE1325" s="28">
        <v>5798501000</v>
      </c>
      <c r="AF1325" s="28">
        <v>1766300000</v>
      </c>
      <c r="AG1325" s="11"/>
    </row>
    <row r="1326">
      <c r="A1326" s="7" t="s">
        <v>3037</v>
      </c>
      <c r="B1326" s="5" t="s">
        <v>11030</v>
      </c>
      <c r="C1326" s="5" t="s">
        <v>18906</v>
      </c>
      <c r="D1326" s="5" t="str">
        <v>421702526537</v>
      </c>
      <c r="E1326" s="0" t="e">
        <f>+7 (384) 3749075
+7 (3843) 596743
+7 (3843) 791096</f>
        <v>#NAME?</v>
      </c>
      <c r="F1326" s="5"/>
      <c r="G1326" s="5"/>
      <c r="H1326" s="26">
        <v>12.5</v>
      </c>
      <c r="I1326" s="5" t="s">
        <v>29392</v>
      </c>
      <c r="J1326" s="5" t="s">
        <v>28875</v>
      </c>
      <c r="K1326" s="5" t="s">
        <v>344</v>
      </c>
      <c r="L1326" s="5" t="s">
        <v>29393</v>
      </c>
      <c r="M1326" s="27"/>
      <c r="N1326" s="5"/>
      <c r="O1326" s="5" t="str">
        <v>4217126359</v>
      </c>
      <c r="P1326" s="27">
        <v>10000</v>
      </c>
      <c r="Q1326" s="5"/>
      <c r="R1326" s="5"/>
      <c r="S1326" s="5" t="s">
        <v>49123</v>
      </c>
      <c r="T1326" s="28">
        <v>1236389000</v>
      </c>
      <c r="U1326" s="28">
        <v>402708000</v>
      </c>
      <c r="V1326" s="28">
        <v>10840135000</v>
      </c>
      <c r="W1326" s="28"/>
      <c r="X1326" s="28">
        <v>839000</v>
      </c>
      <c r="Y1326" s="28">
        <v>21654941000</v>
      </c>
      <c r="Z1326" s="28">
        <v>8119576000</v>
      </c>
      <c r="AA1326" s="28"/>
      <c r="AB1326" s="28">
        <v>7049587000</v>
      </c>
      <c r="AC1326" s="28">
        <v>12429078000</v>
      </c>
      <c r="AD1326" s="28">
        <v>8119586000</v>
      </c>
      <c r="AE1326" s="28">
        <v>66988575000</v>
      </c>
      <c r="AF1326" s="28">
        <v>734288000</v>
      </c>
      <c r="AG1326" s="11"/>
    </row>
    <row r="1327">
      <c r="A1327" s="7" t="s">
        <v>3038</v>
      </c>
      <c r="B1327" s="5" t="s">
        <v>11031</v>
      </c>
      <c r="C1327" s="5" t="s">
        <v>18907</v>
      </c>
      <c r="D1327" s="5" t="str">
        <v>312806339816</v>
      </c>
      <c r="E1327" s="0" t="e">
        <f>+7 (987) 5527222
+7 (4912) 950810
+7 (4912) 991005
+7 (492) 2326419
+7 (492) 2420006
+7 (831) 2820808
+7 (910) 1064168
+7 (910) 6382171
+7 (919) 9899935
+7 (961) 2575959
+7 (987) 5440202</f>
        <v>#NAME?</v>
      </c>
      <c r="F1327" s="5" t="s">
        <v>29394</v>
      </c>
      <c r="G1327" s="5"/>
      <c r="H1327" s="26">
        <v>14</v>
      </c>
      <c r="I1327" s="5" t="s">
        <v>29395</v>
      </c>
      <c r="J1327" s="5" t="s">
        <v>28875</v>
      </c>
      <c r="K1327" s="5" t="s">
        <v>380</v>
      </c>
      <c r="L1327" s="5"/>
      <c r="M1327" s="27"/>
      <c r="N1327" s="5"/>
      <c r="O1327" s="5" t="str">
        <v>5248027670</v>
      </c>
      <c r="P1327" s="27">
        <v>10000</v>
      </c>
      <c r="Q1327" s="5"/>
      <c r="R1327" s="5"/>
      <c r="S1327" s="5" t="s">
        <v>49110</v>
      </c>
      <c r="T1327" s="28">
        <v>184942000</v>
      </c>
      <c r="U1327" s="28"/>
      <c r="V1327" s="28">
        <v>63809000</v>
      </c>
      <c r="W1327" s="28"/>
      <c r="X1327" s="28">
        <v>3929000</v>
      </c>
      <c r="Y1327" s="28">
        <v>577523000</v>
      </c>
      <c r="Z1327" s="28">
        <v>-124911000</v>
      </c>
      <c r="AA1327" s="28"/>
      <c r="AB1327" s="28"/>
      <c r="AC1327" s="28">
        <v>489010000</v>
      </c>
      <c r="AD1327" s="28">
        <v>-124901000</v>
      </c>
      <c r="AE1327" s="28">
        <v>4053029000</v>
      </c>
      <c r="AF1327" s="28">
        <v>-101758000</v>
      </c>
      <c r="AG1327" s="11"/>
    </row>
    <row r="1328">
      <c r="A1328" s="7" t="s">
        <v>3039</v>
      </c>
      <c r="B1328" s="5" t="s">
        <v>11032</v>
      </c>
      <c r="C1328" s="5" t="s">
        <v>18908</v>
      </c>
      <c r="D1328" s="5" t="str">
        <v>544609461565</v>
      </c>
      <c r="E1328" s="0" t="e">
        <f>+7 (383) 2301491
+7 (961) 2266363</f>
        <v>#NAME?</v>
      </c>
      <c r="F1328" s="5" t="s">
        <v>29396</v>
      </c>
      <c r="G1328" s="5"/>
      <c r="H1328" s="26">
        <v>13.5</v>
      </c>
      <c r="I1328" s="5" t="s">
        <v>29397</v>
      </c>
      <c r="J1328" s="5" t="s">
        <v>28875</v>
      </c>
      <c r="K1328" s="5" t="s">
        <v>355</v>
      </c>
      <c r="L1328" s="5" t="s">
        <v>29398</v>
      </c>
      <c r="M1328" s="27"/>
      <c r="N1328" s="5"/>
      <c r="O1328" s="5" t="str">
        <v>5404401952</v>
      </c>
      <c r="P1328" s="27">
        <v>53575870</v>
      </c>
      <c r="Q1328" s="5" t="s">
        <v>49059</v>
      </c>
      <c r="R1328" s="5"/>
      <c r="S1328" s="5" t="s">
        <v>51244</v>
      </c>
      <c r="T1328" s="28">
        <v>289144000</v>
      </c>
      <c r="U1328" s="28"/>
      <c r="V1328" s="28">
        <v>301465000</v>
      </c>
      <c r="W1328" s="28"/>
      <c r="X1328" s="28">
        <v>4872000</v>
      </c>
      <c r="Y1328" s="28">
        <v>804682000</v>
      </c>
      <c r="Z1328" s="28">
        <v>382472000</v>
      </c>
      <c r="AA1328" s="28"/>
      <c r="AB1328" s="28"/>
      <c r="AC1328" s="28">
        <v>124460000</v>
      </c>
      <c r="AD1328" s="28">
        <v>436048000</v>
      </c>
      <c r="AE1328" s="28">
        <v>3764418000</v>
      </c>
      <c r="AF1328" s="28">
        <v>-115492000</v>
      </c>
      <c r="AG1328" s="11"/>
    </row>
    <row r="1329">
      <c r="A1329" s="7" t="s">
        <v>3040</v>
      </c>
      <c r="B1329" s="5" t="s">
        <v>11033</v>
      </c>
      <c r="C1329" s="5" t="s">
        <v>18909</v>
      </c>
      <c r="D1329" s="5" t="str">
        <v>667406125400</v>
      </c>
      <c r="E1329" s="0" t="e">
        <f>+7 (343) 2554087
+7 (343) 3727140
+7 (343) 3727142
+7 (3432) 289196
+7 (3432) 789196</f>
        <v>#NAME?</v>
      </c>
      <c r="F1329" s="5" t="s">
        <v>29399</v>
      </c>
      <c r="G1329" s="5"/>
      <c r="H1329" s="26">
        <v>13.5</v>
      </c>
      <c r="I1329" s="5" t="s">
        <v>29400</v>
      </c>
      <c r="J1329" s="5" t="s">
        <v>28875</v>
      </c>
      <c r="K1329" s="5" t="s">
        <v>344</v>
      </c>
      <c r="L1329" s="5" t="s">
        <v>29401</v>
      </c>
      <c r="M1329" s="27">
        <v>190037</v>
      </c>
      <c r="N1329" s="5" t="s">
        <v>50986</v>
      </c>
      <c r="O1329" s="5" t="str">
        <v>6674342481</v>
      </c>
      <c r="P1329" s="27">
        <v>443838492</v>
      </c>
      <c r="Q1329" s="5"/>
      <c r="R1329" s="5"/>
      <c r="S1329" s="5" t="s">
        <v>49110</v>
      </c>
      <c r="T1329" s="28">
        <v>793047000</v>
      </c>
      <c r="U1329" s="28"/>
      <c r="V1329" s="28">
        <v>808438000</v>
      </c>
      <c r="W1329" s="28"/>
      <c r="X1329" s="28">
        <v>14233000</v>
      </c>
      <c r="Y1329" s="28">
        <v>1983420000</v>
      </c>
      <c r="Z1329" s="28">
        <v>687096000</v>
      </c>
      <c r="AA1329" s="28"/>
      <c r="AB1329" s="28"/>
      <c r="AC1329" s="28">
        <v>303878000</v>
      </c>
      <c r="AD1329" s="28">
        <v>1130934000</v>
      </c>
      <c r="AE1329" s="28">
        <v>9573299000</v>
      </c>
      <c r="AF1329" s="28">
        <v>-13779000</v>
      </c>
      <c r="AG1329" s="11"/>
    </row>
    <row r="1330">
      <c r="A1330" s="7" t="s">
        <v>3041</v>
      </c>
      <c r="B1330" s="5" t="s">
        <v>11034</v>
      </c>
      <c r="C1330" s="5" t="s">
        <v>18910</v>
      </c>
      <c r="D1330" s="5" t="str">
        <v>482413005158</v>
      </c>
      <c r="E1330" s="0" t="e">
        <f>+7 (495) 2344949
+7 (499) 2344949</f>
        <v>#NAME?</v>
      </c>
      <c r="F1330" s="5"/>
      <c r="G1330" s="5"/>
      <c r="H1330" s="26">
        <v>13.5</v>
      </c>
      <c r="I1330" s="5" t="s">
        <v>29402</v>
      </c>
      <c r="J1330" s="5" t="s">
        <v>28875</v>
      </c>
      <c r="K1330" s="5" t="s">
        <v>355</v>
      </c>
      <c r="L1330" s="5" t="s">
        <v>29403</v>
      </c>
      <c r="M1330" s="27"/>
      <c r="N1330" s="5"/>
      <c r="O1330" s="5" t="str">
        <v>5029129990</v>
      </c>
      <c r="P1330" s="27">
        <v>350000</v>
      </c>
      <c r="Q1330" s="5" t="s">
        <v>49009</v>
      </c>
      <c r="R1330" s="5"/>
      <c r="S1330" s="5" t="s">
        <v>49010</v>
      </c>
      <c r="T1330" s="28">
        <v>752413000</v>
      </c>
      <c r="U1330" s="28"/>
      <c r="V1330" s="28">
        <v>546060000</v>
      </c>
      <c r="W1330" s="28"/>
      <c r="X1330" s="28">
        <v>10269000</v>
      </c>
      <c r="Y1330" s="28">
        <v>1917739000</v>
      </c>
      <c r="Z1330" s="28">
        <v>656500000</v>
      </c>
      <c r="AA1330" s="28"/>
      <c r="AB1330" s="28"/>
      <c r="AC1330" s="28">
        <v>890052000</v>
      </c>
      <c r="AD1330" s="28">
        <v>656850000</v>
      </c>
      <c r="AE1330" s="28">
        <v>12457405000</v>
      </c>
      <c r="AF1330" s="28">
        <v>-46139000</v>
      </c>
      <c r="AG1330" s="11"/>
    </row>
    <row r="1331">
      <c r="A1331" s="7" t="s">
        <v>3042</v>
      </c>
      <c r="B1331" s="5" t="s">
        <v>11035</v>
      </c>
      <c r="C1331" s="5" t="s">
        <v>18911</v>
      </c>
      <c r="D1331" s="5" t="str">
        <v>662700655900</v>
      </c>
      <c r="E1331" s="0" t="e">
        <f>+7 (343) 2537507
+7 (343) 2789176
+7 (3432) 171033
+7 (3432) 171533
+7 (3432) 171534
+7 (3432) 171547
+7 (3432) 531344
+7 (3432) 535088
+7 (3432) 553818
+7 (3433) 728547</f>
        <v>#NAME?</v>
      </c>
      <c r="F1331" s="5" t="s">
        <v>29404</v>
      </c>
      <c r="G1331" s="5" t="s">
        <v>29405</v>
      </c>
      <c r="H1331" s="26">
        <v>16.5</v>
      </c>
      <c r="I1331" s="5" t="s">
        <v>29406</v>
      </c>
      <c r="J1331" s="5" t="s">
        <v>955</v>
      </c>
      <c r="K1331" s="5" t="s">
        <v>344</v>
      </c>
      <c r="L1331" s="5" t="s">
        <v>29407</v>
      </c>
      <c r="M1331" s="27"/>
      <c r="N1331" s="5"/>
      <c r="O1331" s="5" t="str">
        <v>7705741770</v>
      </c>
      <c r="P1331" s="27">
        <v>1213410000</v>
      </c>
      <c r="Q1331" s="5" t="s">
        <v>49009</v>
      </c>
      <c r="R1331" s="5" t="s">
        <v>51245</v>
      </c>
      <c r="S1331" s="5" t="s">
        <v>49045</v>
      </c>
      <c r="T1331" s="28">
        <v>3976198000</v>
      </c>
      <c r="U1331" s="28">
        <v>1124481000</v>
      </c>
      <c r="V1331" s="28">
        <v>6410400000</v>
      </c>
      <c r="W1331" s="28"/>
      <c r="X1331" s="28">
        <v>661000</v>
      </c>
      <c r="Y1331" s="28">
        <v>13132737000</v>
      </c>
      <c r="Z1331" s="28">
        <v>4571770000</v>
      </c>
      <c r="AA1331" s="28"/>
      <c r="AB1331" s="28">
        <v>337612000</v>
      </c>
      <c r="AC1331" s="28">
        <v>6612145000</v>
      </c>
      <c r="AD1331" s="28">
        <v>5785180000</v>
      </c>
      <c r="AE1331" s="28">
        <v>107622772000</v>
      </c>
      <c r="AF1331" s="28">
        <v>520231000</v>
      </c>
      <c r="AG1331" s="11"/>
    </row>
    <row r="1332">
      <c r="A1332" s="7" t="s">
        <v>3043</v>
      </c>
      <c r="B1332" s="5" t="s">
        <v>11036</v>
      </c>
      <c r="C1332" s="5" t="s">
        <v>18912</v>
      </c>
      <c r="D1332" s="5" t="str">
        <v>575204793130</v>
      </c>
      <c r="E1332" s="0" t="e">
        <f>+7 (474) 2408716
+7 (474) 2408743
+7 (474) 2419127
+7 (474) 2703923
+7 (474) 2703924
+7 (474) 2703925
+7 (474) 2703926
+7 (474) 2703927
+7 (474) 2703928
+7 (474) 2703929
+7 (474) 2778327
+7 (47466) 54501
+7 (960) 1499616
+7 (961) 6041267</f>
        <v>#NAME?</v>
      </c>
      <c r="F1332" s="5" t="s">
        <v>29408</v>
      </c>
      <c r="G1332" s="5"/>
      <c r="H1332" s="26">
        <v>30.5</v>
      </c>
      <c r="I1332" s="5"/>
      <c r="J1332" s="5" t="s">
        <v>28875</v>
      </c>
      <c r="K1332" s="5" t="s">
        <v>344</v>
      </c>
      <c r="L1332" s="5" t="s">
        <v>29409</v>
      </c>
      <c r="M1332" s="27"/>
      <c r="N1332" s="5"/>
      <c r="O1332" s="5" t="str">
        <v>4826000428</v>
      </c>
      <c r="P1332" s="27">
        <v>4851280</v>
      </c>
      <c r="Q1332" s="5"/>
      <c r="R1332" s="5"/>
      <c r="S1332" s="5" t="s">
        <v>49195</v>
      </c>
      <c r="T1332" s="28">
        <v>288705000</v>
      </c>
      <c r="U1332" s="28"/>
      <c r="V1332" s="28">
        <v>682064000</v>
      </c>
      <c r="W1332" s="28"/>
      <c r="X1332" s="28">
        <v>2304000</v>
      </c>
      <c r="Y1332" s="28">
        <v>1359206000</v>
      </c>
      <c r="Z1332" s="28">
        <v>857456000</v>
      </c>
      <c r="AA1332" s="28"/>
      <c r="AB1332" s="28"/>
      <c r="AC1332" s="28">
        <v>229844000</v>
      </c>
      <c r="AD1332" s="28">
        <v>863520000</v>
      </c>
      <c r="AE1332" s="28">
        <v>5983712000</v>
      </c>
      <c r="AF1332" s="28">
        <v>11431000</v>
      </c>
      <c r="AG1332" s="11"/>
    </row>
    <row r="1333">
      <c r="A1333" s="7" t="s">
        <v>3044</v>
      </c>
      <c r="B1333" s="5" t="s">
        <v>11037</v>
      </c>
      <c r="C1333" s="5" t="s">
        <v>18913</v>
      </c>
      <c r="D1333" s="5" t="str">
        <v>165710245894</v>
      </c>
      <c r="E1333" s="0" t="e">
        <f>+7 (843) 2973886
+7 (8432) 648079
+7 (8435) 370389
+7 (987) 2908915</f>
        <v>#NAME?</v>
      </c>
      <c r="F1333" s="5"/>
      <c r="G1333" s="5" t="s">
        <v>29410</v>
      </c>
      <c r="H1333" s="26">
        <v>15</v>
      </c>
      <c r="I1333" s="5" t="s">
        <v>29411</v>
      </c>
      <c r="J1333" s="5" t="s">
        <v>947</v>
      </c>
      <c r="K1333" s="5" t="s">
        <v>344</v>
      </c>
      <c r="L1333" s="5" t="s">
        <v>915</v>
      </c>
      <c r="M1333" s="27"/>
      <c r="N1333" s="5" t="s">
        <v>51246</v>
      </c>
      <c r="O1333" s="5" t="str">
        <v>1661020897</v>
      </c>
      <c r="P1333" s="27">
        <v>50000</v>
      </c>
      <c r="Q1333" s="5" t="s">
        <v>51247</v>
      </c>
      <c r="R1333" s="5"/>
      <c r="S1333" s="5" t="s">
        <v>51248</v>
      </c>
      <c r="T1333" s="28">
        <v>63741000</v>
      </c>
      <c r="U1333" s="28"/>
      <c r="V1333" s="28">
        <v>426770000</v>
      </c>
      <c r="W1333" s="28">
        <v>113880000</v>
      </c>
      <c r="X1333" s="28">
        <v>828106000</v>
      </c>
      <c r="Y1333" s="28">
        <v>2089574000</v>
      </c>
      <c r="Z1333" s="28">
        <v>132159000</v>
      </c>
      <c r="AA1333" s="28">
        <v>215004000</v>
      </c>
      <c r="AB1333" s="28">
        <v>345364000</v>
      </c>
      <c r="AC1333" s="28">
        <v>1740882000</v>
      </c>
      <c r="AD1333" s="28">
        <v>132209000</v>
      </c>
      <c r="AE1333" s="28">
        <v>5360910000</v>
      </c>
      <c r="AF1333" s="28">
        <v>113911000</v>
      </c>
      <c r="AG1333" s="11"/>
    </row>
    <row r="1334">
      <c r="A1334" s="7" t="s">
        <v>3045</v>
      </c>
      <c r="B1334" s="5" t="s">
        <v>11038</v>
      </c>
      <c r="C1334" s="5" t="s">
        <v>18914</v>
      </c>
      <c r="D1334" s="5"/>
      <c r="E1334" s="0" t="e">
        <f>+7 (421) 2919098
+7 (495) 2873132
+7 (495) 6873132</f>
        <v>#NAME?</v>
      </c>
      <c r="F1334" s="5"/>
      <c r="G1334" s="5"/>
      <c r="H1334" s="26">
        <v>6</v>
      </c>
      <c r="I1334" s="5"/>
      <c r="J1334" s="5" t="s">
        <v>26905</v>
      </c>
      <c r="K1334" s="5" t="s">
        <v>344</v>
      </c>
      <c r="L1334" s="5"/>
      <c r="M1334" s="27">
        <v>14325326</v>
      </c>
      <c r="N1334" s="5"/>
      <c r="O1334" s="5" t="str">
        <v>2709015787</v>
      </c>
      <c r="P1334" s="27">
        <v>3000100000</v>
      </c>
      <c r="Q1334" s="5" t="s">
        <v>51249</v>
      </c>
      <c r="R1334" s="5"/>
      <c r="S1334" s="5" t="s">
        <v>49743</v>
      </c>
      <c r="T1334" s="28">
        <v>37598322000</v>
      </c>
      <c r="U1334" s="28">
        <v>10000</v>
      </c>
      <c r="V1334" s="28">
        <v>1625069000</v>
      </c>
      <c r="W1334" s="28"/>
      <c r="X1334" s="28">
        <v>4277353000</v>
      </c>
      <c r="Y1334" s="28">
        <v>44038582000</v>
      </c>
      <c r="Z1334" s="28">
        <v>4698117000</v>
      </c>
      <c r="AA1334" s="28">
        <v>30628088000</v>
      </c>
      <c r="AB1334" s="28">
        <v>3567084000</v>
      </c>
      <c r="AC1334" s="28">
        <v>5051049000</v>
      </c>
      <c r="AD1334" s="28">
        <v>7727081000</v>
      </c>
      <c r="AE1334" s="28">
        <v>12260656000</v>
      </c>
      <c r="AF1334" s="28">
        <v>6397875000</v>
      </c>
      <c r="AG1334" s="11"/>
    </row>
    <row r="1335">
      <c r="A1335" s="7" t="s">
        <v>3046</v>
      </c>
      <c r="B1335" s="5" t="s">
        <v>11039</v>
      </c>
      <c r="C1335" s="5" t="s">
        <v>18915</v>
      </c>
      <c r="D1335" s="5" t="str">
        <v>773389899843</v>
      </c>
      <c r="E1335" s="0" t="e">
        <f>+7 (3432) 789100
+7 (3432) 789101
+7 (483) 2320448
+7 (483) 2320449
+7 (49232) 24202
+7 (49232) 24631
+7 (495) 6171599
+7 (495) 6171799
+7 (495) 6205803
+7 (812) 3139486
+7 (812) 3139487
+7 (83143) 48796
+7 (83143) 49121
+7 (8422) 524637
+7 (8422) 526262</f>
        <v>#NAME?</v>
      </c>
      <c r="F1335" s="5" t="s">
        <v>29412</v>
      </c>
      <c r="G1335" s="5" t="s">
        <v>29413</v>
      </c>
      <c r="H1335" s="26">
        <v>16.5</v>
      </c>
      <c r="I1335" s="5"/>
      <c r="J1335" s="5" t="s">
        <v>25190</v>
      </c>
      <c r="K1335" s="5" t="s">
        <v>344</v>
      </c>
      <c r="L1335" s="5" t="s">
        <v>29414</v>
      </c>
      <c r="M1335" s="27"/>
      <c r="N1335" s="5"/>
      <c r="O1335" s="5" t="str">
        <v>7714659391</v>
      </c>
      <c r="P1335" s="27">
        <v>11000000</v>
      </c>
      <c r="Q1335" s="5" t="s">
        <v>49009</v>
      </c>
      <c r="R1335" s="5" t="s">
        <v>51250</v>
      </c>
      <c r="S1335" s="5" t="s">
        <v>49045</v>
      </c>
      <c r="T1335" s="28">
        <v>1563815000</v>
      </c>
      <c r="U1335" s="28"/>
      <c r="V1335" s="28">
        <v>268761000</v>
      </c>
      <c r="W1335" s="28"/>
      <c r="X1335" s="28">
        <v>8911000</v>
      </c>
      <c r="Y1335" s="28">
        <v>3755202000</v>
      </c>
      <c r="Z1335" s="28">
        <v>3233095000</v>
      </c>
      <c r="AA1335" s="28"/>
      <c r="AB1335" s="28">
        <v>153908000</v>
      </c>
      <c r="AC1335" s="28">
        <v>466358000</v>
      </c>
      <c r="AD1335" s="28">
        <v>3244715000</v>
      </c>
      <c r="AE1335" s="28">
        <v>4078721000</v>
      </c>
      <c r="AF1335" s="28">
        <v>944020000</v>
      </c>
      <c r="AG1335" s="11"/>
    </row>
    <row r="1336">
      <c r="A1336" s="7" t="s">
        <v>3047</v>
      </c>
      <c r="B1336" s="5" t="s">
        <v>11040</v>
      </c>
      <c r="C1336" s="5" t="s">
        <v>18916</v>
      </c>
      <c r="D1336" s="5" t="str">
        <v>272292885390</v>
      </c>
      <c r="E1336" s="0" t="e">
        <f>+7 (962) 2219509</f>
        <v>#NAME?</v>
      </c>
      <c r="F1336" s="5" t="s">
        <v>29415</v>
      </c>
      <c r="G1336" s="5"/>
      <c r="H1336" s="26">
        <v>2</v>
      </c>
      <c r="I1336" s="5" t="s">
        <v>29416</v>
      </c>
      <c r="J1336" s="5" t="s">
        <v>29417</v>
      </c>
      <c r="K1336" s="5" t="s">
        <v>355</v>
      </c>
      <c r="L1336" s="5"/>
      <c r="M1336" s="27"/>
      <c r="N1336" s="5" t="s">
        <v>51251</v>
      </c>
      <c r="O1336" s="5" t="str">
        <v>2722133885</v>
      </c>
      <c r="P1336" s="27">
        <v>10000</v>
      </c>
      <c r="Q1336" s="5"/>
      <c r="R1336" s="5"/>
      <c r="S1336" s="5" t="s">
        <v>49991</v>
      </c>
      <c r="T1336" s="28"/>
      <c r="U1336" s="28">
        <v>925000000</v>
      </c>
      <c r="V1336" s="28"/>
      <c r="W1336" s="28"/>
      <c r="X1336" s="28"/>
      <c r="Y1336" s="28">
        <v>925000000</v>
      </c>
      <c r="Z1336" s="28"/>
      <c r="AA1336" s="28">
        <v>545000000</v>
      </c>
      <c r="AB1336" s="28">
        <v>380000000</v>
      </c>
      <c r="AC1336" s="28">
        <v>380000000</v>
      </c>
      <c r="AD1336" s="28"/>
      <c r="AE1336" s="28">
        <v>8079505000</v>
      </c>
      <c r="AF1336" s="28">
        <v>8079505000</v>
      </c>
      <c r="AG1336" s="11"/>
    </row>
    <row r="1337">
      <c r="A1337" s="7" t="s">
        <v>3048</v>
      </c>
      <c r="B1337" s="5" t="s">
        <v>11041</v>
      </c>
      <c r="C1337" s="5" t="s">
        <v>18917</v>
      </c>
      <c r="D1337" s="5" t="str">
        <v>330502497810</v>
      </c>
      <c r="E1337" s="0" t="e">
        <f>+7 (800) 3331425
+7 (831) 575426
+7 (831) 2415477
+7 (831) 2417547
+7 (910) 575426</f>
        <v>#NAME?</v>
      </c>
      <c r="F1337" s="5" t="s">
        <v>29418</v>
      </c>
      <c r="G1337" s="5" t="s">
        <v>29419</v>
      </c>
      <c r="H1337" s="26">
        <v>12.5</v>
      </c>
      <c r="I1337" s="5" t="s">
        <v>29420</v>
      </c>
      <c r="J1337" s="5" t="s">
        <v>29421</v>
      </c>
      <c r="K1337" s="5" t="s">
        <v>344</v>
      </c>
      <c r="L1337" s="5" t="s">
        <v>29422</v>
      </c>
      <c r="M1337" s="27"/>
      <c r="N1337" s="5"/>
      <c r="O1337" s="5" t="str">
        <v>5259088756</v>
      </c>
      <c r="P1337" s="27">
        <v>120000</v>
      </c>
      <c r="Q1337" s="5" t="s">
        <v>49009</v>
      </c>
      <c r="R1337" s="5"/>
      <c r="S1337" s="5" t="s">
        <v>49781</v>
      </c>
      <c r="T1337" s="28">
        <v>145474000</v>
      </c>
      <c r="U1337" s="28"/>
      <c r="V1337" s="28">
        <v>506012000</v>
      </c>
      <c r="W1337" s="28"/>
      <c r="X1337" s="28">
        <v>493562000</v>
      </c>
      <c r="Y1337" s="28">
        <v>1379087000</v>
      </c>
      <c r="Z1337" s="28">
        <v>464670000</v>
      </c>
      <c r="AA1337" s="28">
        <v>550560000</v>
      </c>
      <c r="AB1337" s="28"/>
      <c r="AC1337" s="28">
        <v>286766000</v>
      </c>
      <c r="AD1337" s="28">
        <v>464790000</v>
      </c>
      <c r="AE1337" s="28">
        <v>4214041000</v>
      </c>
      <c r="AF1337" s="28">
        <v>242594000</v>
      </c>
      <c r="AG1337" s="11"/>
    </row>
    <row r="1338">
      <c r="A1338" s="7" t="s">
        <v>3049</v>
      </c>
      <c r="B1338" s="5" t="s">
        <v>11042</v>
      </c>
      <c r="C1338" s="5" t="s">
        <v>18918</v>
      </c>
      <c r="D1338" s="5" t="str">
        <v>632139499680</v>
      </c>
      <c r="E1338" s="0" t="e">
        <f>+7 (842) 2522480</f>
        <v>#NAME?</v>
      </c>
      <c r="F1338" s="5"/>
      <c r="G1338" s="5"/>
      <c r="H1338" s="26">
        <v>14.5</v>
      </c>
      <c r="I1338" s="5" t="s">
        <v>29423</v>
      </c>
      <c r="J1338" s="5" t="s">
        <v>28875</v>
      </c>
      <c r="K1338" s="5" t="s">
        <v>344</v>
      </c>
      <c r="L1338" s="5" t="s">
        <v>29424</v>
      </c>
      <c r="M1338" s="27">
        <v>67649</v>
      </c>
      <c r="N1338" s="5" t="s">
        <v>51252</v>
      </c>
      <c r="O1338" s="5" t="str">
        <v>7326032650</v>
      </c>
      <c r="P1338" s="27">
        <v>10000</v>
      </c>
      <c r="Q1338" s="5" t="s">
        <v>49207</v>
      </c>
      <c r="R1338" s="5"/>
      <c r="S1338" s="5" t="s">
        <v>51253</v>
      </c>
      <c r="T1338" s="28"/>
      <c r="U1338" s="28">
        <v>103253000</v>
      </c>
      <c r="V1338" s="28">
        <v>2082641000</v>
      </c>
      <c r="W1338" s="28"/>
      <c r="X1338" s="28">
        <v>828057000</v>
      </c>
      <c r="Y1338" s="28">
        <v>3017819000</v>
      </c>
      <c r="Z1338" s="28">
        <v>103169000</v>
      </c>
      <c r="AA1338" s="28"/>
      <c r="AB1338" s="28">
        <v>400000</v>
      </c>
      <c r="AC1338" s="28">
        <v>2895804000</v>
      </c>
      <c r="AD1338" s="28">
        <v>107014000</v>
      </c>
      <c r="AE1338" s="28">
        <v>16734067000</v>
      </c>
      <c r="AF1338" s="28">
        <v>137651000</v>
      </c>
      <c r="AG1338" s="11"/>
    </row>
    <row r="1339">
      <c r="A1339" s="7" t="s">
        <v>3050</v>
      </c>
      <c r="B1339" s="5" t="s">
        <v>11043</v>
      </c>
      <c r="C1339" s="5" t="s">
        <v>18919</v>
      </c>
      <c r="D1339" s="5" t="str">
        <v>663903254020</v>
      </c>
      <c r="E1339" s="0" t="e">
        <f>+7 (343) 3122939
+7 (903) 3333797
+7 (922) 1399221
+7 (929) 545570</f>
        <v>#NAME?</v>
      </c>
      <c r="F1339" s="5" t="s">
        <v>29425</v>
      </c>
      <c r="G1339" s="5" t="s">
        <v>29426</v>
      </c>
      <c r="H1339" s="26">
        <v>6.5</v>
      </c>
      <c r="I1339" s="5" t="s">
        <v>29427</v>
      </c>
      <c r="J1339" s="5" t="s">
        <v>29428</v>
      </c>
      <c r="K1339" s="5" t="s">
        <v>344</v>
      </c>
      <c r="L1339" s="5" t="s">
        <v>29429</v>
      </c>
      <c r="M1339" s="27">
        <v>51926</v>
      </c>
      <c r="N1339" s="5" t="s">
        <v>51254</v>
      </c>
      <c r="O1339" s="5" t="str">
        <v>6678075491</v>
      </c>
      <c r="P1339" s="27">
        <v>10000</v>
      </c>
      <c r="Q1339" s="5" t="s">
        <v>49009</v>
      </c>
      <c r="R1339" s="5"/>
      <c r="S1339" s="5" t="s">
        <v>49200</v>
      </c>
      <c r="T1339" s="28"/>
      <c r="U1339" s="28"/>
      <c r="V1339" s="28">
        <v>27102000</v>
      </c>
      <c r="W1339" s="28"/>
      <c r="X1339" s="28">
        <v>201000</v>
      </c>
      <c r="Y1339" s="28">
        <v>33335000</v>
      </c>
      <c r="Z1339" s="28">
        <v>9142000</v>
      </c>
      <c r="AA1339" s="28"/>
      <c r="AB1339" s="28"/>
      <c r="AC1339" s="28">
        <v>24183000</v>
      </c>
      <c r="AD1339" s="28">
        <v>9152000</v>
      </c>
      <c r="AE1339" s="28">
        <v>5611809000</v>
      </c>
      <c r="AF1339" s="28">
        <v>67557000</v>
      </c>
      <c r="AG1339" s="11"/>
    </row>
    <row r="1340">
      <c r="A1340" s="7" t="s">
        <v>3051</v>
      </c>
      <c r="B1340" s="5" t="s">
        <v>11044</v>
      </c>
      <c r="C1340" s="5" t="s">
        <v>18920</v>
      </c>
      <c r="D1340" s="5" t="str">
        <v>245802163391</v>
      </c>
      <c r="E1340" s="0" t="e">
        <f>+7 (908) 2115862
+7 (391) 2198889</f>
        <v>#NAME?</v>
      </c>
      <c r="F1340" s="5" t="s">
        <v>29430</v>
      </c>
      <c r="G1340" s="5"/>
      <c r="H1340" s="26">
        <v>13</v>
      </c>
      <c r="I1340" s="5" t="s">
        <v>29431</v>
      </c>
      <c r="J1340" s="5" t="s">
        <v>29432</v>
      </c>
      <c r="K1340" s="5" t="s">
        <v>355</v>
      </c>
      <c r="L1340" s="5" t="s">
        <v>29433</v>
      </c>
      <c r="M1340" s="27">
        <v>5825584</v>
      </c>
      <c r="N1340" s="5" t="s">
        <v>51255</v>
      </c>
      <c r="O1340" s="5" t="str">
        <v>5321140070</v>
      </c>
      <c r="P1340" s="27">
        <v>1420000</v>
      </c>
      <c r="Q1340" s="5" t="s">
        <v>51256</v>
      </c>
      <c r="R1340" s="5"/>
      <c r="S1340" s="5" t="s">
        <v>51257</v>
      </c>
      <c r="T1340" s="28">
        <v>290251000</v>
      </c>
      <c r="U1340" s="28"/>
      <c r="V1340" s="28">
        <v>1337977000</v>
      </c>
      <c r="W1340" s="28">
        <v>2030000</v>
      </c>
      <c r="X1340" s="28">
        <v>42267000</v>
      </c>
      <c r="Y1340" s="28">
        <v>1887317000</v>
      </c>
      <c r="Z1340" s="28">
        <v>246073000</v>
      </c>
      <c r="AA1340" s="28"/>
      <c r="AB1340" s="28">
        <v>10832000</v>
      </c>
      <c r="AC1340" s="28">
        <v>1447281000</v>
      </c>
      <c r="AD1340" s="28">
        <v>247493000</v>
      </c>
      <c r="AE1340" s="28">
        <v>4013091000</v>
      </c>
      <c r="AF1340" s="28">
        <v>57460000</v>
      </c>
      <c r="AG1340" s="11"/>
    </row>
    <row r="1341">
      <c r="A1341" s="7" t="s">
        <v>3052</v>
      </c>
      <c r="B1341" s="5" t="s">
        <v>11045</v>
      </c>
      <c r="C1341" s="5" t="s">
        <v>18921</v>
      </c>
      <c r="D1341" s="5" t="str">
        <v>500601720060</v>
      </c>
      <c r="E1341" s="0" t="e">
        <f>+7 (495) 5982092
+7 (495) 5982120</f>
        <v>#NAME?</v>
      </c>
      <c r="F1341" s="5"/>
      <c r="G1341" s="5" t="s">
        <v>29434</v>
      </c>
      <c r="H1341" s="26">
        <v>30</v>
      </c>
      <c r="I1341" s="5" t="s">
        <v>29435</v>
      </c>
      <c r="J1341" s="5" t="s">
        <v>364</v>
      </c>
      <c r="K1341" s="5" t="s">
        <v>344</v>
      </c>
      <c r="L1341" s="5"/>
      <c r="M1341" s="27"/>
      <c r="N1341" s="5"/>
      <c r="O1341" s="5" t="str">
        <v>5032313446</v>
      </c>
      <c r="P1341" s="27">
        <v>10000</v>
      </c>
      <c r="Q1341" s="5" t="s">
        <v>49059</v>
      </c>
      <c r="R1341" s="5"/>
      <c r="S1341" s="5" t="s">
        <v>49045</v>
      </c>
      <c r="T1341" s="28">
        <v>91017000</v>
      </c>
      <c r="U1341" s="28"/>
      <c r="V1341" s="28">
        <v>3153051000</v>
      </c>
      <c r="W1341" s="28">
        <v>82044000</v>
      </c>
      <c r="X1341" s="28">
        <v>215751000</v>
      </c>
      <c r="Y1341" s="28">
        <v>3790847000</v>
      </c>
      <c r="Z1341" s="28">
        <v>77470000</v>
      </c>
      <c r="AA1341" s="28">
        <v>111292000</v>
      </c>
      <c r="AB1341" s="28">
        <v>213662000</v>
      </c>
      <c r="AC1341" s="28">
        <v>3592941000</v>
      </c>
      <c r="AD1341" s="28">
        <v>77482000</v>
      </c>
      <c r="AE1341" s="28">
        <v>7916360000</v>
      </c>
      <c r="AF1341" s="28">
        <v>4601000</v>
      </c>
      <c r="AG1341" s="11"/>
    </row>
    <row r="1342">
      <c r="A1342" s="7" t="s">
        <v>3053</v>
      </c>
      <c r="B1342" s="5" t="s">
        <v>11046</v>
      </c>
      <c r="C1342" s="5" t="s">
        <v>18922</v>
      </c>
      <c r="D1342" s="5" t="str">
        <v>781609875145</v>
      </c>
      <c r="E1342" s="0" t="e">
        <f>+7 (812) 3292224
+7 (812) 3292227
+7 (812) 3292220
+7 (812) 3292223
+7 (812) 3292226
+7 (812) 3292228
+7 (812) 3292562
+7 (812) 3315460
+7 (911) 8378589</f>
        <v>#NAME?</v>
      </c>
      <c r="F1342" s="5" t="s">
        <v>29436</v>
      </c>
      <c r="G1342" s="5" t="s">
        <v>29437</v>
      </c>
      <c r="H1342" s="26">
        <v>26.5</v>
      </c>
      <c r="I1342" s="5"/>
      <c r="J1342" s="5" t="s">
        <v>25910</v>
      </c>
      <c r="K1342" s="5" t="s">
        <v>355</v>
      </c>
      <c r="L1342" s="5" t="s">
        <v>29438</v>
      </c>
      <c r="M1342" s="27">
        <v>3563253</v>
      </c>
      <c r="N1342" s="5"/>
      <c r="O1342" s="5" t="str">
        <v>4703006839</v>
      </c>
      <c r="P1342" s="27">
        <v>50600</v>
      </c>
      <c r="Q1342" s="5" t="s">
        <v>49009</v>
      </c>
      <c r="R1342" s="5"/>
      <c r="S1342" s="5" t="s">
        <v>49066</v>
      </c>
      <c r="T1342" s="28">
        <v>9330230000</v>
      </c>
      <c r="U1342" s="28">
        <v>42009000</v>
      </c>
      <c r="V1342" s="28">
        <v>843483000</v>
      </c>
      <c r="W1342" s="28"/>
      <c r="X1342" s="28">
        <v>72920000</v>
      </c>
      <c r="Y1342" s="28">
        <v>11759235000</v>
      </c>
      <c r="Z1342" s="28">
        <v>2027437000</v>
      </c>
      <c r="AA1342" s="28">
        <v>7897241000</v>
      </c>
      <c r="AB1342" s="28">
        <v>1307940000</v>
      </c>
      <c r="AC1342" s="28">
        <v>1660822000</v>
      </c>
      <c r="AD1342" s="28">
        <v>2197335000</v>
      </c>
      <c r="AE1342" s="28">
        <v>3950799000</v>
      </c>
      <c r="AF1342" s="28">
        <v>214670000</v>
      </c>
      <c r="AG1342" s="11"/>
    </row>
    <row r="1343">
      <c r="A1343" s="7" t="s">
        <v>3054</v>
      </c>
      <c r="B1343" s="5" t="s">
        <v>11047</v>
      </c>
      <c r="C1343" s="5" t="s">
        <v>18923</v>
      </c>
      <c r="D1343" s="5" t="str">
        <v>503115819388</v>
      </c>
      <c r="E1343" s="0" t="e">
        <f>+7 (3422) 103103
+7 (343) 3100405
+7 (343) 3442001
+7 (3472) 534303
+7 (391) 2591115
+7 (391) 2636399
+7 (39170) 31495
+7 (39178) 31006
+7 (401) 2377990
+7 (401) 2990505
+7 (3422) 590900
+7 (3472) 263055
+7 (3952) 258080
+7 (401) 2278600
+7 (401) 2310010</f>
        <v>#NAME?</v>
      </c>
      <c r="F1343" s="5" t="s">
        <v>29439</v>
      </c>
      <c r="G1343" s="5" t="s">
        <v>29440</v>
      </c>
      <c r="H1343" s="26">
        <v>29.5</v>
      </c>
      <c r="I1343" s="5" t="s">
        <v>29441</v>
      </c>
      <c r="J1343" s="5" t="s">
        <v>29442</v>
      </c>
      <c r="K1343" s="5" t="s">
        <v>344</v>
      </c>
      <c r="L1343" s="5"/>
      <c r="M1343" s="27">
        <v>4118954012</v>
      </c>
      <c r="N1343" s="5" t="s">
        <v>51258</v>
      </c>
      <c r="O1343" s="5" t="str">
        <v>7713076301</v>
      </c>
      <c r="P1343" s="27">
        <v>288538</v>
      </c>
      <c r="Q1343" s="5" t="s">
        <v>51259</v>
      </c>
      <c r="R1343" s="5" t="s">
        <v>51260</v>
      </c>
      <c r="S1343" s="5" t="s">
        <v>51261</v>
      </c>
      <c r="T1343" s="28">
        <v>304875810000</v>
      </c>
      <c r="U1343" s="28">
        <v>26247392000</v>
      </c>
      <c r="V1343" s="28">
        <v>21579762000</v>
      </c>
      <c r="W1343" s="28"/>
      <c r="X1343" s="28">
        <v>8233220000</v>
      </c>
      <c r="Y1343" s="28">
        <v>406497115000</v>
      </c>
      <c r="Z1343" s="28">
        <v>24341182000</v>
      </c>
      <c r="AA1343" s="28">
        <v>141436839000</v>
      </c>
      <c r="AB1343" s="28">
        <v>4430348000</v>
      </c>
      <c r="AC1343" s="28">
        <v>100107944000</v>
      </c>
      <c r="AD1343" s="28">
        <v>42970386000</v>
      </c>
      <c r="AE1343" s="28">
        <v>279983160000</v>
      </c>
      <c r="AF1343" s="28">
        <v>1624596000</v>
      </c>
      <c r="AG1343" s="11"/>
    </row>
    <row r="1344">
      <c r="A1344" s="7" t="s">
        <v>3055</v>
      </c>
      <c r="B1344" s="5" t="s">
        <v>11048</v>
      </c>
      <c r="C1344" s="5" t="s">
        <v>18924</v>
      </c>
      <c r="D1344" s="5" t="str">
        <v>190200302143</v>
      </c>
      <c r="E1344" s="0" t="e">
        <f>+7 (3952) 243562
+7 (39561) 51193
+7 (39561) 52349
+7 (39561) 57091
+7 (39561) 57120
+7 (39561) 57140
+7 (39561) 57176
+7 (39561) 57393
+7 (39561) 57430
+7 (39561) 74263
+7 (41145) 34509
+7 (495) 2878840</f>
        <v>#NAME?</v>
      </c>
      <c r="F1344" s="5" t="s">
        <v>29443</v>
      </c>
      <c r="G1344" s="5" t="s">
        <v>29444</v>
      </c>
      <c r="H1344" s="26">
        <v>21.5</v>
      </c>
      <c r="I1344" s="5" t="s">
        <v>29445</v>
      </c>
      <c r="J1344" s="5" t="s">
        <v>26499</v>
      </c>
      <c r="K1344" s="5" t="s">
        <v>355</v>
      </c>
      <c r="L1344" s="5" t="s">
        <v>29446</v>
      </c>
      <c r="M1344" s="27">
        <v>22812167</v>
      </c>
      <c r="N1344" s="5"/>
      <c r="O1344" s="5" t="str">
        <v>3802008553</v>
      </c>
      <c r="P1344" s="27">
        <v>109968</v>
      </c>
      <c r="Q1344" s="5" t="s">
        <v>49579</v>
      </c>
      <c r="R1344" s="5"/>
      <c r="S1344" s="5" t="s">
        <v>51262</v>
      </c>
      <c r="T1344" s="28">
        <v>7773388000</v>
      </c>
      <c r="U1344" s="28">
        <v>1642691000</v>
      </c>
      <c r="V1344" s="28">
        <v>9746744000</v>
      </c>
      <c r="W1344" s="28">
        <v>2313093000</v>
      </c>
      <c r="X1344" s="28">
        <v>45324000</v>
      </c>
      <c r="Y1344" s="28">
        <v>38857618000</v>
      </c>
      <c r="Z1344" s="28">
        <v>7494845000</v>
      </c>
      <c r="AA1344" s="28">
        <v>14988733000</v>
      </c>
      <c r="AB1344" s="28">
        <v>5500157000</v>
      </c>
      <c r="AC1344" s="28">
        <v>9238204000</v>
      </c>
      <c r="AD1344" s="28">
        <v>9407553000</v>
      </c>
      <c r="AE1344" s="28">
        <v>13664303000</v>
      </c>
      <c r="AF1344" s="28">
        <v>-1697023000</v>
      </c>
      <c r="AG1344" s="11"/>
    </row>
    <row r="1345">
      <c r="A1345" s="7" t="s">
        <v>3056</v>
      </c>
      <c r="B1345" s="5" t="s">
        <v>11049</v>
      </c>
      <c r="C1345" s="5" t="s">
        <v>18925</v>
      </c>
      <c r="D1345" s="5" t="str">
        <v>032609715921</v>
      </c>
      <c r="E1345" s="0" t="e">
        <f>+7 (923) 2977155
+7 (3022) 355551
+7 (3953) 259114
+7 (3953) 259115
+7 (3953) 259116
+7 (4232) 981048
+7 (962) 742471
+7 (962) 745058</f>
        <v>#NAME?</v>
      </c>
      <c r="F1345" s="5" t="s">
        <v>29447</v>
      </c>
      <c r="G1345" s="5"/>
      <c r="H1345" s="26">
        <v>11</v>
      </c>
      <c r="I1345" s="5" t="s">
        <v>29448</v>
      </c>
      <c r="J1345" s="5" t="s">
        <v>599</v>
      </c>
      <c r="K1345" s="5" t="s">
        <v>344</v>
      </c>
      <c r="L1345" s="5" t="s">
        <v>29449</v>
      </c>
      <c r="M1345" s="27">
        <v>7472157</v>
      </c>
      <c r="N1345" s="5" t="s">
        <v>51263</v>
      </c>
      <c r="O1345" s="5" t="str">
        <v>2460234354</v>
      </c>
      <c r="P1345" s="27">
        <v>3500000</v>
      </c>
      <c r="Q1345" s="5" t="s">
        <v>51264</v>
      </c>
      <c r="R1345" s="5" t="s">
        <v>51265</v>
      </c>
      <c r="S1345" s="5" t="s">
        <v>49361</v>
      </c>
      <c r="T1345" s="28">
        <v>452931000</v>
      </c>
      <c r="U1345" s="28">
        <v>41000</v>
      </c>
      <c r="V1345" s="28">
        <v>1166491000</v>
      </c>
      <c r="W1345" s="28">
        <v>24591000</v>
      </c>
      <c r="X1345" s="28">
        <v>40701000</v>
      </c>
      <c r="Y1345" s="28">
        <v>1813522000</v>
      </c>
      <c r="Z1345" s="28">
        <v>712057000</v>
      </c>
      <c r="AA1345" s="28"/>
      <c r="AB1345" s="28">
        <v>233571000</v>
      </c>
      <c r="AC1345" s="28">
        <v>939572000</v>
      </c>
      <c r="AD1345" s="28">
        <v>749345000</v>
      </c>
      <c r="AE1345" s="28">
        <v>13152294000</v>
      </c>
      <c r="AF1345" s="28">
        <v>354298000</v>
      </c>
      <c r="AG1345" s="11"/>
    </row>
    <row r="1346">
      <c r="A1346" s="7" t="s">
        <v>3057</v>
      </c>
      <c r="B1346" s="5" t="s">
        <v>11050</v>
      </c>
      <c r="C1346" s="5" t="s">
        <v>18926</v>
      </c>
      <c r="D1346" s="5" t="str">
        <v>780518865236</v>
      </c>
      <c r="E1346" s="0" t="e">
        <f>+7 (800) 7755221</f>
        <v>#NAME?</v>
      </c>
      <c r="F1346" s="5" t="s">
        <v>29450</v>
      </c>
      <c r="G1346" s="5"/>
      <c r="H1346" s="26">
        <v>9.5</v>
      </c>
      <c r="I1346" s="5" t="s">
        <v>29451</v>
      </c>
      <c r="J1346" s="5" t="s">
        <v>25550</v>
      </c>
      <c r="K1346" s="5" t="s">
        <v>344</v>
      </c>
      <c r="L1346" s="5" t="s">
        <v>29452</v>
      </c>
      <c r="M1346" s="27">
        <v>7232815</v>
      </c>
      <c r="N1346" s="5" t="s">
        <v>51266</v>
      </c>
      <c r="O1346" s="5" t="str">
        <v>7843316441</v>
      </c>
      <c r="P1346" s="27">
        <v>2000000</v>
      </c>
      <c r="Q1346" s="5" t="s">
        <v>49134</v>
      </c>
      <c r="R1346" s="5"/>
      <c r="S1346" s="5" t="s">
        <v>51267</v>
      </c>
      <c r="T1346" s="28">
        <v>236973000</v>
      </c>
      <c r="U1346" s="28">
        <v>1600000</v>
      </c>
      <c r="V1346" s="28">
        <v>2626205000</v>
      </c>
      <c r="W1346" s="28">
        <v>17031000</v>
      </c>
      <c r="X1346" s="28">
        <v>7675000</v>
      </c>
      <c r="Y1346" s="28">
        <v>3624196000</v>
      </c>
      <c r="Z1346" s="28">
        <v>553851000</v>
      </c>
      <c r="AA1346" s="28">
        <v>69149000</v>
      </c>
      <c r="AB1346" s="28">
        <v>6040000</v>
      </c>
      <c r="AC1346" s="28">
        <v>2956603000</v>
      </c>
      <c r="AD1346" s="28">
        <v>555851000</v>
      </c>
      <c r="AE1346" s="28">
        <v>4099271000</v>
      </c>
      <c r="AF1346" s="28">
        <v>426131000</v>
      </c>
      <c r="AG1346" s="11"/>
    </row>
    <row r="1347">
      <c r="A1347" s="7" t="s">
        <v>3058</v>
      </c>
      <c r="B1347" s="5" t="s">
        <v>11051</v>
      </c>
      <c r="C1347" s="5" t="s">
        <v>18927</v>
      </c>
      <c r="D1347" s="5" t="str">
        <v>774309323872</v>
      </c>
      <c r="E1347" s="0" t="e">
        <f>+7 (916) 4775519
+7 (416) 2222641
+7 (495) 9670526
+7 (495) 9670527</f>
        <v>#NAME?</v>
      </c>
      <c r="F1347" s="5" t="s">
        <v>29453</v>
      </c>
      <c r="G1347" s="5"/>
      <c r="H1347" s="26">
        <v>16</v>
      </c>
      <c r="I1347" s="5"/>
      <c r="J1347" s="5" t="s">
        <v>26623</v>
      </c>
      <c r="K1347" s="5" t="s">
        <v>344</v>
      </c>
      <c r="L1347" s="5" t="s">
        <v>29454</v>
      </c>
      <c r="M1347" s="27"/>
      <c r="N1347" s="5" t="s">
        <v>51268</v>
      </c>
      <c r="O1347" s="5" t="str">
        <v>7728615980</v>
      </c>
      <c r="P1347" s="27">
        <v>1916503750</v>
      </c>
      <c r="Q1347" s="5" t="s">
        <v>51269</v>
      </c>
      <c r="R1347" s="5"/>
      <c r="S1347" s="5" t="s">
        <v>50951</v>
      </c>
      <c r="T1347" s="28">
        <v>203699000</v>
      </c>
      <c r="U1347" s="28">
        <v>314510000</v>
      </c>
      <c r="V1347" s="28">
        <v>1900621000</v>
      </c>
      <c r="W1347" s="28"/>
      <c r="X1347" s="28">
        <v>3324039000</v>
      </c>
      <c r="Y1347" s="28">
        <v>6356209000</v>
      </c>
      <c r="Z1347" s="28">
        <v>3570496000</v>
      </c>
      <c r="AA1347" s="28">
        <v>901000</v>
      </c>
      <c r="AB1347" s="28">
        <v>314000</v>
      </c>
      <c r="AC1347" s="28">
        <v>2093425000</v>
      </c>
      <c r="AD1347" s="28">
        <v>4261883000</v>
      </c>
      <c r="AE1347" s="28">
        <v>17941683000</v>
      </c>
      <c r="AF1347" s="28">
        <v>1306023000</v>
      </c>
      <c r="AG1347" s="11"/>
    </row>
    <row r="1348">
      <c r="A1348" s="7" t="s">
        <v>3059</v>
      </c>
      <c r="B1348" s="5" t="s">
        <v>11052</v>
      </c>
      <c r="C1348" s="5" t="s">
        <v>18928</v>
      </c>
      <c r="D1348" s="5" t="str">
        <v>600201387280</v>
      </c>
      <c r="E1348" s="0" t="e">
        <f>+7 (345) 2540556
+7 (381) 2543600
+7 (4232) 725143
+7 (485) 2670704
+7 (492) 2778050
+7 (493) 2353430
+7 (495) 1422896
+7 (800) 2502441
+7 (812) 3093400
+7 (812) 9813288
+7 (902) 2033703
+7 (902) 4789757
+7 (902) 6499564
+7 (902) 6572440
+7 (903) 6584149</f>
        <v>#NAME?</v>
      </c>
      <c r="F1348" s="5" t="s">
        <v>29455</v>
      </c>
      <c r="G1348" s="5"/>
      <c r="H1348" s="26">
        <v>14</v>
      </c>
      <c r="I1348" s="5" t="s">
        <v>29456</v>
      </c>
      <c r="J1348" s="5" t="s">
        <v>28586</v>
      </c>
      <c r="K1348" s="5" t="s">
        <v>344</v>
      </c>
      <c r="L1348" s="5" t="s">
        <v>29457</v>
      </c>
      <c r="M1348" s="27"/>
      <c r="N1348" s="5"/>
      <c r="O1348" s="5" t="str">
        <v>7814433768</v>
      </c>
      <c r="P1348" s="27">
        <v>1000000</v>
      </c>
      <c r="Q1348" s="5"/>
      <c r="R1348" s="5"/>
      <c r="S1348" s="5" t="s">
        <v>49110</v>
      </c>
      <c r="T1348" s="28">
        <v>17395000</v>
      </c>
      <c r="U1348" s="28"/>
      <c r="V1348" s="28">
        <v>316491000</v>
      </c>
      <c r="W1348" s="28">
        <v>239000000</v>
      </c>
      <c r="X1348" s="28">
        <v>36822000</v>
      </c>
      <c r="Y1348" s="28">
        <v>667468000</v>
      </c>
      <c r="Z1348" s="28">
        <v>436725000</v>
      </c>
      <c r="AA1348" s="28"/>
      <c r="AB1348" s="28"/>
      <c r="AC1348" s="28">
        <v>229134000</v>
      </c>
      <c r="AD1348" s="28">
        <v>437725000</v>
      </c>
      <c r="AE1348" s="28">
        <v>3740037000</v>
      </c>
      <c r="AF1348" s="28">
        <v>506355000</v>
      </c>
      <c r="AG1348" s="11"/>
    </row>
    <row r="1349">
      <c r="A1349" s="7" t="s">
        <v>3060</v>
      </c>
      <c r="B1349" s="5" t="s">
        <v>11053</v>
      </c>
      <c r="C1349" s="5" t="s">
        <v>18929</v>
      </c>
      <c r="D1349" s="5" t="str">
        <v>301700431130</v>
      </c>
      <c r="E1349" s="0" t="e">
        <f>+7 (800) 3330452
+7 (495) 6460943
+7 (512) 8937134
+7 (800) 2223322
+7 (937) 1340576</f>
        <v>#NAME?</v>
      </c>
      <c r="F1349" s="5"/>
      <c r="G1349" s="5"/>
      <c r="H1349" s="26">
        <v>10</v>
      </c>
      <c r="I1349" s="5"/>
      <c r="J1349" s="5" t="s">
        <v>881</v>
      </c>
      <c r="K1349" s="5" t="s">
        <v>380</v>
      </c>
      <c r="L1349" s="5"/>
      <c r="M1349" s="27">
        <v>105948250</v>
      </c>
      <c r="N1349" s="5" t="s">
        <v>51270</v>
      </c>
      <c r="O1349" s="5" t="str">
        <v>9731084450</v>
      </c>
      <c r="P1349" s="27">
        <v>100000</v>
      </c>
      <c r="Q1349" s="5" t="s">
        <v>49217</v>
      </c>
      <c r="R1349" s="5" t="s">
        <v>51271</v>
      </c>
      <c r="S1349" s="5" t="s">
        <v>51272</v>
      </c>
      <c r="T1349" s="28">
        <v>34801000</v>
      </c>
      <c r="U1349" s="28"/>
      <c r="V1349" s="28">
        <v>223902000</v>
      </c>
      <c r="W1349" s="28">
        <v>279786000</v>
      </c>
      <c r="X1349" s="28">
        <v>15869000</v>
      </c>
      <c r="Y1349" s="28">
        <v>1042989000</v>
      </c>
      <c r="Z1349" s="28">
        <v>-117566000</v>
      </c>
      <c r="AA1349" s="28"/>
      <c r="AB1349" s="28"/>
      <c r="AC1349" s="28">
        <v>1121537000</v>
      </c>
      <c r="AD1349" s="28">
        <v>-117466000</v>
      </c>
      <c r="AE1349" s="28">
        <v>3729097000</v>
      </c>
      <c r="AF1349" s="28">
        <v>13242000</v>
      </c>
      <c r="AG1349" s="11"/>
    </row>
    <row r="1350">
      <c r="A1350" s="7" t="s">
        <v>3061</v>
      </c>
      <c r="B1350" s="5" t="s">
        <v>11054</v>
      </c>
      <c r="C1350" s="5" t="s">
        <v>18930</v>
      </c>
      <c r="D1350" s="5"/>
      <c r="E1350" s="0" t="e">
        <f>+7 (481) 2339862
+7 (48131) 27513
+7 (48131) 28141
+7 (495) 7896530</f>
        <v>#NAME?</v>
      </c>
      <c r="F1350" s="5" t="s">
        <v>29458</v>
      </c>
      <c r="G1350" s="5"/>
      <c r="H1350" s="26">
        <v>16.5</v>
      </c>
      <c r="I1350" s="5" t="s">
        <v>29459</v>
      </c>
      <c r="J1350" s="5" t="s">
        <v>25321</v>
      </c>
      <c r="K1350" s="5" t="s">
        <v>344</v>
      </c>
      <c r="L1350" s="5" t="s">
        <v>29460</v>
      </c>
      <c r="M1350" s="27"/>
      <c r="N1350" s="5"/>
      <c r="O1350" s="5" t="str">
        <v>6722019516</v>
      </c>
      <c r="P1350" s="27">
        <v>10000</v>
      </c>
      <c r="Q1350" s="5" t="s">
        <v>49324</v>
      </c>
      <c r="R1350" s="5"/>
      <c r="S1350" s="5" t="s">
        <v>50562</v>
      </c>
      <c r="T1350" s="28">
        <v>865700000</v>
      </c>
      <c r="U1350" s="28">
        <v>100000000</v>
      </c>
      <c r="V1350" s="28">
        <v>668953000</v>
      </c>
      <c r="W1350" s="28"/>
      <c r="X1350" s="28">
        <v>383557000</v>
      </c>
      <c r="Y1350" s="28">
        <v>2269922000</v>
      </c>
      <c r="Z1350" s="28">
        <v>1904709000</v>
      </c>
      <c r="AA1350" s="28"/>
      <c r="AB1350" s="28"/>
      <c r="AC1350" s="28">
        <v>308306000</v>
      </c>
      <c r="AD1350" s="28">
        <v>1904719000</v>
      </c>
      <c r="AE1350" s="28">
        <v>4726532000</v>
      </c>
      <c r="AF1350" s="28">
        <v>1246286000</v>
      </c>
      <c r="AG1350" s="11"/>
    </row>
    <row r="1351">
      <c r="A1351" s="7" t="s">
        <v>3062</v>
      </c>
      <c r="B1351" s="5" t="s">
        <v>11055</v>
      </c>
      <c r="C1351" s="5" t="s">
        <v>18931</v>
      </c>
      <c r="D1351" s="5" t="str">
        <v>432402512958</v>
      </c>
      <c r="E1351" s="0" t="e">
        <f>+7 (8332) 415104
+7 (8332) 526402
+7 (8332) 565402
+7 (8332) 312858
+7 (8332) 312738
+7 (8332) 546434
+7 (8332) 562011
+7 (8332) 564037
+7 (8332) 564039
+7 (8332) 564083
+7 (8332) 565920
+7 (8332) 566402
+7 (8332) 566422
+7 (8332) 566434
+7 (8332) 566435</f>
        <v>#NAME?</v>
      </c>
      <c r="F1351" s="5" t="s">
        <v>29461</v>
      </c>
      <c r="G1351" s="5" t="s">
        <v>29462</v>
      </c>
      <c r="H1351" s="26">
        <v>13.5</v>
      </c>
      <c r="I1351" s="5" t="s">
        <v>29463</v>
      </c>
      <c r="J1351" s="5" t="s">
        <v>25603</v>
      </c>
      <c r="K1351" s="5" t="s">
        <v>344</v>
      </c>
      <c r="L1351" s="5"/>
      <c r="M1351" s="27">
        <v>81080302</v>
      </c>
      <c r="N1351" s="5" t="s">
        <v>51273</v>
      </c>
      <c r="O1351" s="5" t="str">
        <v>4345502070</v>
      </c>
      <c r="P1351" s="27">
        <v>649702750</v>
      </c>
      <c r="Q1351" s="5" t="s">
        <v>51274</v>
      </c>
      <c r="R1351" s="5" t="s">
        <v>51275</v>
      </c>
      <c r="S1351" s="5" t="s">
        <v>51276</v>
      </c>
      <c r="T1351" s="28">
        <v>1603849000</v>
      </c>
      <c r="U1351" s="28">
        <v>1124000</v>
      </c>
      <c r="V1351" s="28">
        <v>419460000</v>
      </c>
      <c r="W1351" s="28">
        <v>300000000</v>
      </c>
      <c r="X1351" s="28">
        <v>259199000</v>
      </c>
      <c r="Y1351" s="28">
        <v>3353719000</v>
      </c>
      <c r="Z1351" s="28">
        <v>566034000</v>
      </c>
      <c r="AA1351" s="28">
        <v>67379000</v>
      </c>
      <c r="AB1351" s="28">
        <v>322404000</v>
      </c>
      <c r="AC1351" s="28">
        <v>1772281000</v>
      </c>
      <c r="AD1351" s="28">
        <v>1216651000</v>
      </c>
      <c r="AE1351" s="28">
        <v>6853791000</v>
      </c>
      <c r="AF1351" s="28">
        <v>133427000</v>
      </c>
      <c r="AG1351" s="11"/>
    </row>
    <row r="1352">
      <c r="A1352" s="7" t="s">
        <v>3063</v>
      </c>
      <c r="B1352" s="5" t="s">
        <v>11056</v>
      </c>
      <c r="C1352" s="5" t="s">
        <v>18932</v>
      </c>
      <c r="D1352" s="5" t="str">
        <v>432903873659</v>
      </c>
      <c r="E1352" s="0" t="e">
        <f>+7 (8332) 653147
+7 (8332) 317217
+7 (8332) 317477
+7 (8332) 713800
+7 (8332) 713838
+7 (8332) 713888</f>
        <v>#NAME?</v>
      </c>
      <c r="F1352" s="5" t="s">
        <v>29464</v>
      </c>
      <c r="G1352" s="5"/>
      <c r="H1352" s="26">
        <v>17</v>
      </c>
      <c r="I1352" s="5" t="s">
        <v>29465</v>
      </c>
      <c r="J1352" s="5" t="s">
        <v>29296</v>
      </c>
      <c r="K1352" s="5" t="s">
        <v>355</v>
      </c>
      <c r="L1352" s="5" t="s">
        <v>29466</v>
      </c>
      <c r="M1352" s="27">
        <v>92060</v>
      </c>
      <c r="N1352" s="5" t="s">
        <v>51277</v>
      </c>
      <c r="O1352" s="5" t="str">
        <v>4345128104</v>
      </c>
      <c r="P1352" s="27">
        <v>99418860</v>
      </c>
      <c r="Q1352" s="5" t="s">
        <v>49324</v>
      </c>
      <c r="R1352" s="5"/>
      <c r="S1352" s="5" t="s">
        <v>51278</v>
      </c>
      <c r="T1352" s="28">
        <v>7160296000</v>
      </c>
      <c r="U1352" s="28"/>
      <c r="V1352" s="28">
        <v>831612000</v>
      </c>
      <c r="W1352" s="28">
        <v>1134432000</v>
      </c>
      <c r="X1352" s="28">
        <v>80958000</v>
      </c>
      <c r="Y1352" s="28">
        <v>10833653000</v>
      </c>
      <c r="Z1352" s="28">
        <v>1106721000</v>
      </c>
      <c r="AA1352" s="28">
        <v>5076936000</v>
      </c>
      <c r="AB1352" s="28">
        <v>1861400000</v>
      </c>
      <c r="AC1352" s="28">
        <v>3789504000</v>
      </c>
      <c r="AD1352" s="28">
        <v>1211111000</v>
      </c>
      <c r="AE1352" s="28">
        <v>9713981000</v>
      </c>
      <c r="AF1352" s="28">
        <v>751106000</v>
      </c>
      <c r="AG1352" s="11"/>
    </row>
    <row r="1353">
      <c r="A1353" s="7" t="s">
        <v>3064</v>
      </c>
      <c r="B1353" s="5" t="s">
        <v>11057</v>
      </c>
      <c r="C1353" s="5" t="s">
        <v>18933</v>
      </c>
      <c r="D1353" s="5" t="str">
        <v>672216349208</v>
      </c>
      <c r="E1353" s="0" t="e">
        <f>+7 (48135) 48137
+7 (48135) 60179
+7 (48135) 60242
+7 (48135) 60243
+7 (48135) 60244
+7 (48135) 60246
+7 (48135) 60247
+7 (48135) 60249
+7 (48135) 60250
+7 (48135) 60251
+7 (48135) 60323</f>
        <v>#NAME?</v>
      </c>
      <c r="F1353" s="5" t="s">
        <v>29467</v>
      </c>
      <c r="G1353" s="5"/>
      <c r="H1353" s="26">
        <v>30.5</v>
      </c>
      <c r="I1353" s="5"/>
      <c r="J1353" s="5" t="s">
        <v>25231</v>
      </c>
      <c r="K1353" s="5" t="s">
        <v>355</v>
      </c>
      <c r="L1353" s="5"/>
      <c r="M1353" s="27">
        <v>6115137</v>
      </c>
      <c r="N1353" s="5"/>
      <c r="O1353" s="5" t="str">
        <v>6723000740</v>
      </c>
      <c r="P1353" s="27">
        <v>10976000</v>
      </c>
      <c r="Q1353" s="5" t="s">
        <v>49009</v>
      </c>
      <c r="R1353" s="5"/>
      <c r="S1353" s="5" t="s">
        <v>49045</v>
      </c>
      <c r="T1353" s="28">
        <v>1155221000</v>
      </c>
      <c r="U1353" s="28"/>
      <c r="V1353" s="28">
        <v>1594027000</v>
      </c>
      <c r="W1353" s="28"/>
      <c r="X1353" s="28">
        <v>51031000</v>
      </c>
      <c r="Y1353" s="28">
        <v>3048513000</v>
      </c>
      <c r="Z1353" s="28">
        <v>67414000</v>
      </c>
      <c r="AA1353" s="28">
        <v>333333000</v>
      </c>
      <c r="AB1353" s="28">
        <v>101132000</v>
      </c>
      <c r="AC1353" s="28">
        <v>2608378000</v>
      </c>
      <c r="AD1353" s="28">
        <v>236716000</v>
      </c>
      <c r="AE1353" s="28">
        <v>7771089000</v>
      </c>
      <c r="AF1353" s="28">
        <v>20891000</v>
      </c>
      <c r="AG1353" s="11"/>
    </row>
    <row r="1354">
      <c r="A1354" s="7" t="s">
        <v>3065</v>
      </c>
      <c r="B1354" s="5" t="s">
        <v>11058</v>
      </c>
      <c r="C1354" s="5" t="s">
        <v>18934</v>
      </c>
      <c r="D1354" s="5" t="str">
        <v>781617871948</v>
      </c>
      <c r="E1354" s="0" t="e">
        <f>+7 (495) 6761550
+7 (812) 1688533
+7 (812) 6772050
+7 (812) 6772051</f>
        <v>#NAME?</v>
      </c>
      <c r="F1354" s="5" t="s">
        <v>29468</v>
      </c>
      <c r="G1354" s="5" t="s">
        <v>29469</v>
      </c>
      <c r="H1354" s="26">
        <v>19</v>
      </c>
      <c r="I1354" s="5" t="s">
        <v>29470</v>
      </c>
      <c r="J1354" s="5" t="s">
        <v>26256</v>
      </c>
      <c r="K1354" s="5" t="s">
        <v>344</v>
      </c>
      <c r="L1354" s="5" t="s">
        <v>29471</v>
      </c>
      <c r="M1354" s="27"/>
      <c r="N1354" s="5" t="s">
        <v>51279</v>
      </c>
      <c r="O1354" s="5" t="str">
        <v>7838017968</v>
      </c>
      <c r="P1354" s="27">
        <v>200000</v>
      </c>
      <c r="Q1354" s="5" t="s">
        <v>51280</v>
      </c>
      <c r="R1354" s="5"/>
      <c r="S1354" s="5" t="s">
        <v>49204</v>
      </c>
      <c r="T1354" s="28">
        <v>168997000</v>
      </c>
      <c r="U1354" s="28">
        <v>102794000</v>
      </c>
      <c r="V1354" s="28">
        <v>11788212000</v>
      </c>
      <c r="W1354" s="28">
        <v>1602649000</v>
      </c>
      <c r="X1354" s="28">
        <v>3078554000</v>
      </c>
      <c r="Y1354" s="28">
        <v>24614660000</v>
      </c>
      <c r="Z1354" s="28">
        <v>11159812000</v>
      </c>
      <c r="AA1354" s="28">
        <v>1200000000</v>
      </c>
      <c r="AB1354" s="28"/>
      <c r="AC1354" s="28">
        <v>11997912000</v>
      </c>
      <c r="AD1354" s="28">
        <v>11160042000</v>
      </c>
      <c r="AE1354" s="28">
        <v>15552163000</v>
      </c>
      <c r="AF1354" s="28">
        <v>4800443000</v>
      </c>
      <c r="AG1354" s="11"/>
    </row>
    <row r="1355">
      <c r="A1355" s="7" t="s">
        <v>3066</v>
      </c>
      <c r="B1355" s="5" t="s">
        <v>11059</v>
      </c>
      <c r="C1355" s="5" t="s">
        <v>18935</v>
      </c>
      <c r="D1355" s="5" t="str">
        <v>772401396068</v>
      </c>
      <c r="E1355" s="0" t="e">
        <f>+7 (495) 3747614</f>
        <v>#NAME?</v>
      </c>
      <c r="F1355" s="5"/>
      <c r="G1355" s="5"/>
      <c r="H1355" s="26">
        <v>12.5</v>
      </c>
      <c r="I1355" s="5" t="s">
        <v>29472</v>
      </c>
      <c r="J1355" s="5" t="s">
        <v>373</v>
      </c>
      <c r="K1355" s="5" t="s">
        <v>344</v>
      </c>
      <c r="L1355" s="5" t="s">
        <v>29473</v>
      </c>
      <c r="M1355" s="27">
        <v>13326388</v>
      </c>
      <c r="N1355" s="5"/>
      <c r="O1355" s="5" t="str">
        <v>7702739814</v>
      </c>
      <c r="P1355" s="27">
        <v>1004016</v>
      </c>
      <c r="Q1355" s="5" t="s">
        <v>49021</v>
      </c>
      <c r="R1355" s="5" t="s">
        <v>51281</v>
      </c>
      <c r="S1355" s="5" t="s">
        <v>51282</v>
      </c>
      <c r="T1355" s="28">
        <v>1965000</v>
      </c>
      <c r="U1355" s="28">
        <v>6784000</v>
      </c>
      <c r="V1355" s="28">
        <v>178061000</v>
      </c>
      <c r="W1355" s="28">
        <v>900000</v>
      </c>
      <c r="X1355" s="28">
        <v>2891000</v>
      </c>
      <c r="Y1355" s="28">
        <v>192054000</v>
      </c>
      <c r="Z1355" s="28">
        <v>133192000</v>
      </c>
      <c r="AA1355" s="28"/>
      <c r="AB1355" s="28"/>
      <c r="AC1355" s="28">
        <v>56564000</v>
      </c>
      <c r="AD1355" s="28">
        <v>134196000</v>
      </c>
      <c r="AE1355" s="28">
        <v>14947663000</v>
      </c>
      <c r="AF1355" s="28">
        <v>-4008000</v>
      </c>
      <c r="AG1355" s="11"/>
    </row>
    <row r="1356">
      <c r="A1356" s="7" t="s">
        <v>3067</v>
      </c>
      <c r="B1356" s="5" t="s">
        <v>11060</v>
      </c>
      <c r="C1356" s="5" t="s">
        <v>18936</v>
      </c>
      <c r="D1356" s="5" t="str">
        <v>891000003228</v>
      </c>
      <c r="E1356" s="0" t="e">
        <f>+7 (909) 1955000
+7 (349) 2278067
+7 (3494) 923338
+7 (3494) 923340
+7 (3494) 923378
+7 (3494) 923380</f>
        <v>#NAME?</v>
      </c>
      <c r="F1356" s="5" t="s">
        <v>29474</v>
      </c>
      <c r="G1356" s="5"/>
      <c r="H1356" s="26">
        <v>20</v>
      </c>
      <c r="I1356" s="5" t="s">
        <v>29475</v>
      </c>
      <c r="J1356" s="5" t="s">
        <v>29476</v>
      </c>
      <c r="K1356" s="5" t="s">
        <v>380</v>
      </c>
      <c r="L1356" s="5" t="s">
        <v>29477</v>
      </c>
      <c r="M1356" s="27">
        <v>359177</v>
      </c>
      <c r="N1356" s="5" t="s">
        <v>50138</v>
      </c>
      <c r="O1356" s="5" t="str">
        <v>8904040795</v>
      </c>
      <c r="P1356" s="27">
        <v>10000</v>
      </c>
      <c r="Q1356" s="5" t="s">
        <v>51284</v>
      </c>
      <c r="R1356" s="5"/>
      <c r="S1356" s="5" t="s">
        <v>49162</v>
      </c>
      <c r="T1356" s="28">
        <v>1087651000</v>
      </c>
      <c r="U1356" s="28">
        <v>165000000</v>
      </c>
      <c r="V1356" s="28">
        <v>1136586000</v>
      </c>
      <c r="W1356" s="28">
        <v>8350000</v>
      </c>
      <c r="X1356" s="28">
        <v>56887000</v>
      </c>
      <c r="Y1356" s="28">
        <v>4573833000</v>
      </c>
      <c r="Z1356" s="28">
        <v>801863000</v>
      </c>
      <c r="AA1356" s="28"/>
      <c r="AB1356" s="28">
        <v>141082000</v>
      </c>
      <c r="AC1356" s="28">
        <v>3321897000</v>
      </c>
      <c r="AD1356" s="28">
        <v>801873000</v>
      </c>
      <c r="AE1356" s="28">
        <v>6166455000</v>
      </c>
      <c r="AF1356" s="28">
        <v>64994000</v>
      </c>
      <c r="AG1356" s="11"/>
    </row>
    <row r="1357">
      <c r="A1357" s="7" t="s">
        <v>3068</v>
      </c>
      <c r="B1357" s="5" t="s">
        <v>11061</v>
      </c>
      <c r="C1357" s="5" t="s">
        <v>18937</v>
      </c>
      <c r="D1357" s="5" t="str">
        <v>222505489106</v>
      </c>
      <c r="E1357" s="0" t="e">
        <f>+7 (383) 3610110
+7 (906) 9077682
+7 (951) 3773988
+7 (960) 9615893
+7 (960) 9685839
+7 (383) 3630146
+7 (383) 3630151
+7 (960) 9685893</f>
        <v>#NAME?</v>
      </c>
      <c r="F1357" s="5" t="s">
        <v>29478</v>
      </c>
      <c r="G1357" s="5" t="s">
        <v>29479</v>
      </c>
      <c r="H1357" s="26">
        <v>9</v>
      </c>
      <c r="I1357" s="5" t="s">
        <v>29480</v>
      </c>
      <c r="J1357" s="5" t="s">
        <v>29481</v>
      </c>
      <c r="K1357" s="5" t="s">
        <v>344</v>
      </c>
      <c r="L1357" s="5" t="s">
        <v>29482</v>
      </c>
      <c r="M1357" s="27"/>
      <c r="N1357" s="5" t="s">
        <v>51285</v>
      </c>
      <c r="O1357" s="5" t="str">
        <v>5406773716</v>
      </c>
      <c r="P1357" s="27">
        <v>10000</v>
      </c>
      <c r="Q1357" s="5" t="s">
        <v>51286</v>
      </c>
      <c r="R1357" s="5"/>
      <c r="S1357" s="5" t="s">
        <v>51287</v>
      </c>
      <c r="T1357" s="28">
        <v>2243737000</v>
      </c>
      <c r="U1357" s="28"/>
      <c r="V1357" s="28">
        <v>1068979000</v>
      </c>
      <c r="W1357" s="28">
        <v>141450000</v>
      </c>
      <c r="X1357" s="28">
        <v>66290000</v>
      </c>
      <c r="Y1357" s="28">
        <v>4101418000</v>
      </c>
      <c r="Z1357" s="28">
        <v>1085542000</v>
      </c>
      <c r="AA1357" s="28">
        <v>291579000</v>
      </c>
      <c r="AB1357" s="28">
        <v>226871000</v>
      </c>
      <c r="AC1357" s="28">
        <v>2043598000</v>
      </c>
      <c r="AD1357" s="28">
        <v>1085552000</v>
      </c>
      <c r="AE1357" s="28">
        <v>9304913000</v>
      </c>
      <c r="AF1357" s="28">
        <v>652378000</v>
      </c>
      <c r="AG1357" s="11"/>
    </row>
    <row r="1358">
      <c r="A1358" s="7" t="s">
        <v>3069</v>
      </c>
      <c r="B1358" s="5" t="s">
        <v>11062</v>
      </c>
      <c r="C1358" s="5" t="s">
        <v>18938</v>
      </c>
      <c r="D1358" s="5" t="str">
        <v>502411547397</v>
      </c>
      <c r="E1358" s="0" t="e">
        <f>+7 (920) 4099086
+7 (473) 2262926
+7 (473) 2263445
+7 (473) 2263604
+7 (473) 2264501
+7 (473) 2264907
+7 (473) 2376858
+7 (495) 3344641</f>
        <v>#NAME?</v>
      </c>
      <c r="F1358" s="5" t="s">
        <v>29483</v>
      </c>
      <c r="G1358" s="5" t="s">
        <v>29484</v>
      </c>
      <c r="H1358" s="26">
        <v>26</v>
      </c>
      <c r="I1358" s="5" t="s">
        <v>29485</v>
      </c>
      <c r="J1358" s="5" t="s">
        <v>29486</v>
      </c>
      <c r="K1358" s="5" t="s">
        <v>344</v>
      </c>
      <c r="L1358" s="5"/>
      <c r="M1358" s="27"/>
      <c r="N1358" s="5" t="s">
        <v>51288</v>
      </c>
      <c r="O1358" s="5" t="str">
        <v>3661001457</v>
      </c>
      <c r="P1358" s="27">
        <v>12120900</v>
      </c>
      <c r="Q1358" s="5" t="s">
        <v>51289</v>
      </c>
      <c r="R1358" s="5"/>
      <c r="S1358" s="5" t="s">
        <v>51290</v>
      </c>
      <c r="T1358" s="28">
        <v>391153000</v>
      </c>
      <c r="U1358" s="28">
        <v>600000</v>
      </c>
      <c r="V1358" s="28">
        <v>2910709000</v>
      </c>
      <c r="W1358" s="28"/>
      <c r="X1358" s="28">
        <v>199755000</v>
      </c>
      <c r="Y1358" s="28">
        <v>3556435000</v>
      </c>
      <c r="Z1358" s="28">
        <v>1351783000</v>
      </c>
      <c r="AA1358" s="28"/>
      <c r="AB1358" s="28"/>
      <c r="AC1358" s="28">
        <v>2095429000</v>
      </c>
      <c r="AD1358" s="28">
        <v>1447636000</v>
      </c>
      <c r="AE1358" s="28">
        <v>3658779000</v>
      </c>
      <c r="AF1358" s="28">
        <v>30104000</v>
      </c>
      <c r="AG1358" s="11"/>
    </row>
    <row r="1359">
      <c r="A1359" s="7" t="s">
        <v>3070</v>
      </c>
      <c r="B1359" s="5" t="s">
        <v>11063</v>
      </c>
      <c r="C1359" s="5" t="s">
        <v>18939</v>
      </c>
      <c r="D1359" s="5" t="str">
        <v>770304247733</v>
      </c>
      <c r="E1359" s="0" t="e">
        <f>+7 (495) 8173311
+7 (34675) 29115
+7 (34675) 29165
+7 (34675) 29274
+7 (3499) 598340
+7 (484) 2760002
+7 (495) 7191832</f>
        <v>#NAME?</v>
      </c>
      <c r="F1359" s="5" t="s">
        <v>29487</v>
      </c>
      <c r="G1359" s="5" t="s">
        <v>29488</v>
      </c>
      <c r="H1359" s="26">
        <v>28</v>
      </c>
      <c r="I1359" s="5" t="s">
        <v>29489</v>
      </c>
      <c r="J1359" s="5" t="s">
        <v>25454</v>
      </c>
      <c r="K1359" s="5" t="s">
        <v>344</v>
      </c>
      <c r="L1359" s="5"/>
      <c r="M1359" s="27">
        <v>190733</v>
      </c>
      <c r="N1359" s="5" t="s">
        <v>51291</v>
      </c>
      <c r="O1359" s="5" t="str">
        <v>7736046504</v>
      </c>
      <c r="P1359" s="27">
        <v>61540329508</v>
      </c>
      <c r="Q1359" s="5" t="s">
        <v>51292</v>
      </c>
      <c r="R1359" s="5" t="s">
        <v>51293</v>
      </c>
      <c r="S1359" s="5" t="s">
        <v>51294</v>
      </c>
      <c r="T1359" s="28">
        <v>52866645000</v>
      </c>
      <c r="U1359" s="28"/>
      <c r="V1359" s="28">
        <v>14268534000</v>
      </c>
      <c r="W1359" s="28"/>
      <c r="X1359" s="28">
        <v>12312000</v>
      </c>
      <c r="Y1359" s="28">
        <v>123919657000</v>
      </c>
      <c r="Z1359" s="28">
        <v>2457324000</v>
      </c>
      <c r="AA1359" s="28"/>
      <c r="AB1359" s="28">
        <v>2881023000</v>
      </c>
      <c r="AC1359" s="28">
        <v>12191764000</v>
      </c>
      <c r="AD1359" s="28">
        <v>87411930000</v>
      </c>
      <c r="AE1359" s="28">
        <v>29133488000</v>
      </c>
      <c r="AF1359" s="28">
        <v>1454973000</v>
      </c>
      <c r="AG1359" s="11"/>
    </row>
    <row r="1360">
      <c r="A1360" s="7" t="s">
        <v>3071</v>
      </c>
      <c r="B1360" s="5" t="s">
        <v>11064</v>
      </c>
      <c r="C1360" s="5" t="s">
        <v>18940</v>
      </c>
      <c r="D1360" s="5" t="str">
        <v>772825966360</v>
      </c>
      <c r="E1360" s="0" t="e">
        <f>+7 (499) 5804114
+7 (499) 2467303
+7 (499) 5804140
+7 (499) 5804176
+7 (499) 7664444</f>
        <v>#NAME?</v>
      </c>
      <c r="F1360" s="5" t="s">
        <v>29490</v>
      </c>
      <c r="G1360" s="5" t="s">
        <v>29491</v>
      </c>
      <c r="H1360" s="26">
        <v>29.5</v>
      </c>
      <c r="I1360" s="5" t="s">
        <v>29492</v>
      </c>
      <c r="J1360" s="5" t="s">
        <v>25443</v>
      </c>
      <c r="K1360" s="5" t="s">
        <v>355</v>
      </c>
      <c r="L1360" s="5"/>
      <c r="M1360" s="27">
        <v>748918646</v>
      </c>
      <c r="N1360" s="5" t="s">
        <v>51295</v>
      </c>
      <c r="O1360" s="5" t="str">
        <v>7704028125</v>
      </c>
      <c r="P1360" s="27">
        <v>1558970</v>
      </c>
      <c r="Q1360" s="5" t="s">
        <v>51296</v>
      </c>
      <c r="R1360" s="5"/>
      <c r="S1360" s="5" t="s">
        <v>51297</v>
      </c>
      <c r="T1360" s="28">
        <v>2080545000</v>
      </c>
      <c r="U1360" s="28">
        <v>102123000</v>
      </c>
      <c r="V1360" s="28">
        <v>15928725000</v>
      </c>
      <c r="W1360" s="28"/>
      <c r="X1360" s="28">
        <v>980713000</v>
      </c>
      <c r="Y1360" s="28">
        <v>24164856000</v>
      </c>
      <c r="Z1360" s="28">
        <v>1075827000</v>
      </c>
      <c r="AA1360" s="28"/>
      <c r="AB1360" s="28">
        <v>1658350000</v>
      </c>
      <c r="AC1360" s="28">
        <v>22235092000</v>
      </c>
      <c r="AD1360" s="28">
        <v>1108800000</v>
      </c>
      <c r="AE1360" s="28">
        <v>28246521000</v>
      </c>
      <c r="AF1360" s="28">
        <v>2642536000</v>
      </c>
      <c r="AG1360" s="11"/>
    </row>
    <row r="1361">
      <c r="A1361" s="7" t="s">
        <v>3072</v>
      </c>
      <c r="B1361" s="5" t="s">
        <v>11065</v>
      </c>
      <c r="C1361" s="5" t="s">
        <v>18941</v>
      </c>
      <c r="D1361" s="5" t="str">
        <v>183107928087</v>
      </c>
      <c r="E1361" s="0" t="e">
        <f>+7 (3494) 210777
+7 (3494) 944254
+7 (495) 7820971
+7 (495) 7820974
+7 (499) 5803429
+7 (499) 5803580
+7 (861) 2511475</f>
        <v>#NAME?</v>
      </c>
      <c r="F1361" s="5" t="s">
        <v>29493</v>
      </c>
      <c r="G1361" s="5" t="s">
        <v>29494</v>
      </c>
      <c r="H1361" s="26">
        <v>26</v>
      </c>
      <c r="I1361" s="5" t="s">
        <v>29495</v>
      </c>
      <c r="J1361" s="5" t="s">
        <v>27921</v>
      </c>
      <c r="K1361" s="5" t="s">
        <v>355</v>
      </c>
      <c r="L1361" s="5" t="s">
        <v>29496</v>
      </c>
      <c r="M1361" s="27">
        <v>516195015</v>
      </c>
      <c r="N1361" s="5" t="s">
        <v>51298</v>
      </c>
      <c r="O1361" s="5" t="str">
        <v>5003026493</v>
      </c>
      <c r="P1361" s="27">
        <v>2073433556</v>
      </c>
      <c r="Q1361" s="5" t="s">
        <v>51299</v>
      </c>
      <c r="R1361" s="5" t="s">
        <v>51300</v>
      </c>
      <c r="S1361" s="5" t="s">
        <v>51036</v>
      </c>
      <c r="T1361" s="28">
        <v>35315470000</v>
      </c>
      <c r="U1361" s="28">
        <v>2550762000</v>
      </c>
      <c r="V1361" s="28">
        <v>52971995000</v>
      </c>
      <c r="W1361" s="28">
        <v>574000</v>
      </c>
      <c r="X1361" s="28">
        <v>20673357000</v>
      </c>
      <c r="Y1361" s="28">
        <v>128660926000</v>
      </c>
      <c r="Z1361" s="28">
        <v>4019776000</v>
      </c>
      <c r="AA1361" s="28">
        <v>5897643000</v>
      </c>
      <c r="AB1361" s="28">
        <v>11933249000</v>
      </c>
      <c r="AC1361" s="28">
        <v>83088715000</v>
      </c>
      <c r="AD1361" s="28">
        <v>25885628000</v>
      </c>
      <c r="AE1361" s="28">
        <v>123826095000</v>
      </c>
      <c r="AF1361" s="28">
        <v>11725012000</v>
      </c>
      <c r="AG1361" s="11"/>
    </row>
    <row r="1362">
      <c r="A1362" s="7" t="s">
        <v>3073</v>
      </c>
      <c r="B1362" s="5" t="s">
        <v>11066</v>
      </c>
      <c r="C1362" s="5" t="s">
        <v>18942</v>
      </c>
      <c r="D1362" s="5" t="str">
        <v>470201856478</v>
      </c>
      <c r="E1362" s="0" t="e">
        <f>+7 (34241) 72823
+7 (495) 9151082
+7 (495) 9151108
+7 (495) 9151111
+7 (495) 9151114
+7 (495) 9151115
+7 (495) 9151138
+7 (495) 9151210
+7 (495) 9151219
+7 (495) 9151518
+7 (495) 9157643
+7 (495) 9157646
+7 (812) 4587700
+7 (812) 4587731</f>
        <v>#NAME?</v>
      </c>
      <c r="F1362" s="5" t="s">
        <v>29497</v>
      </c>
      <c r="G1362" s="5" t="s">
        <v>29498</v>
      </c>
      <c r="H1362" s="26">
        <v>30.5</v>
      </c>
      <c r="I1362" s="5"/>
      <c r="J1362" s="5" t="s">
        <v>29499</v>
      </c>
      <c r="K1362" s="5" t="s">
        <v>344</v>
      </c>
      <c r="L1362" s="5" t="s">
        <v>29500</v>
      </c>
      <c r="M1362" s="27">
        <v>291245</v>
      </c>
      <c r="N1362" s="5" t="s">
        <v>51301</v>
      </c>
      <c r="O1362" s="5" t="str">
        <v>7709014944</v>
      </c>
      <c r="P1362" s="27">
        <v>1881629000</v>
      </c>
      <c r="Q1362" s="5" t="s">
        <v>51303</v>
      </c>
      <c r="R1362" s="5"/>
      <c r="S1362" s="5" t="s">
        <v>51304</v>
      </c>
      <c r="T1362" s="28">
        <v>1182783000</v>
      </c>
      <c r="U1362" s="28">
        <v>352073000</v>
      </c>
      <c r="V1362" s="28">
        <v>1342956000</v>
      </c>
      <c r="W1362" s="28">
        <v>358481000</v>
      </c>
      <c r="X1362" s="28">
        <v>348000</v>
      </c>
      <c r="Y1362" s="28">
        <v>4836640000</v>
      </c>
      <c r="Z1362" s="28">
        <v>2168511000</v>
      </c>
      <c r="AA1362" s="28"/>
      <c r="AB1362" s="28"/>
      <c r="AC1362" s="28">
        <v>573130000</v>
      </c>
      <c r="AD1362" s="28">
        <v>4144221000</v>
      </c>
      <c r="AE1362" s="28">
        <v>6110958000</v>
      </c>
      <c r="AF1362" s="28">
        <v>386889000</v>
      </c>
      <c r="AG1362" s="11"/>
    </row>
    <row r="1363">
      <c r="A1363" s="7" t="s">
        <v>3074</v>
      </c>
      <c r="B1363" s="5" t="s">
        <v>11067</v>
      </c>
      <c r="C1363" s="5" t="s">
        <v>18943</v>
      </c>
      <c r="D1363" s="5" t="str">
        <v>772972220559</v>
      </c>
      <c r="E1363" s="0" t="e">
        <f>+7 (4986) 574250
+7 (4986) 579058
+7 (495) 3559206
+7 (495) 3933263
+7 (4986) 574620
+7 (8216) 736366
+7 (8216) 751755</f>
        <v>#NAME?</v>
      </c>
      <c r="F1363" s="5" t="s">
        <v>29501</v>
      </c>
      <c r="G1363" s="5" t="s">
        <v>29502</v>
      </c>
      <c r="H1363" s="26">
        <v>29.5</v>
      </c>
      <c r="I1363" s="5" t="s">
        <v>29503</v>
      </c>
      <c r="J1363" s="5" t="s">
        <v>755</v>
      </c>
      <c r="K1363" s="5" t="s">
        <v>344</v>
      </c>
      <c r="L1363" s="5" t="s">
        <v>29504</v>
      </c>
      <c r="M1363" s="27"/>
      <c r="N1363" s="5" t="s">
        <v>51305</v>
      </c>
      <c r="O1363" s="5" t="str">
        <v>5003028155</v>
      </c>
      <c r="P1363" s="27">
        <v>1372829061</v>
      </c>
      <c r="Q1363" s="5" t="s">
        <v>51307</v>
      </c>
      <c r="R1363" s="5" t="s">
        <v>51308</v>
      </c>
      <c r="S1363" s="5" t="s">
        <v>51309</v>
      </c>
      <c r="T1363" s="28">
        <v>4481860000</v>
      </c>
      <c r="U1363" s="28">
        <v>2588000</v>
      </c>
      <c r="V1363" s="28">
        <v>5930499000</v>
      </c>
      <c r="W1363" s="28"/>
      <c r="X1363" s="28">
        <v>25800000</v>
      </c>
      <c r="Y1363" s="28">
        <v>12917141000</v>
      </c>
      <c r="Z1363" s="28">
        <v>-939361000</v>
      </c>
      <c r="AA1363" s="28"/>
      <c r="AB1363" s="28"/>
      <c r="AC1363" s="28">
        <v>5776470000</v>
      </c>
      <c r="AD1363" s="28">
        <v>6347414000</v>
      </c>
      <c r="AE1363" s="28">
        <v>13072007000</v>
      </c>
      <c r="AF1363" s="28">
        <v>1041582000</v>
      </c>
      <c r="AG1363" s="11"/>
    </row>
    <row r="1364">
      <c r="A1364" s="7" t="s">
        <v>3075</v>
      </c>
      <c r="B1364" s="5" t="s">
        <v>11068</v>
      </c>
      <c r="C1364" s="5" t="s">
        <v>18944</v>
      </c>
      <c r="D1364" s="5" t="str">
        <v>771207123036</v>
      </c>
      <c r="E1364" s="0" t="e">
        <f>+7 (495) 3559839
+7 (346) 2520128
+7 (34675) 21104
+7 (382) 2660830
+7 (382) 2660831
+7 (382) 2660832
+7 (495) 4319787
+7 (495) 4329739
+7 (495) 6315242
+7 (495) 7820784
+7 (495) 7820791</f>
        <v>#NAME?</v>
      </c>
      <c r="F1364" s="5"/>
      <c r="G1364" s="5"/>
      <c r="H1364" s="26">
        <v>29.5</v>
      </c>
      <c r="I1364" s="5" t="s">
        <v>29505</v>
      </c>
      <c r="J1364" s="5" t="s">
        <v>29506</v>
      </c>
      <c r="K1364" s="5" t="s">
        <v>344</v>
      </c>
      <c r="L1364" s="5" t="s">
        <v>29507</v>
      </c>
      <c r="M1364" s="27"/>
      <c r="N1364" s="5" t="s">
        <v>51310</v>
      </c>
      <c r="O1364" s="5" t="str">
        <v>7740000051</v>
      </c>
      <c r="P1364" s="27">
        <v>26745000</v>
      </c>
      <c r="Q1364" s="5" t="s">
        <v>51312</v>
      </c>
      <c r="R1364" s="5"/>
      <c r="S1364" s="5" t="s">
        <v>50951</v>
      </c>
      <c r="T1364" s="28">
        <v>445969000</v>
      </c>
      <c r="U1364" s="28"/>
      <c r="V1364" s="28">
        <v>1113178000</v>
      </c>
      <c r="W1364" s="28"/>
      <c r="X1364" s="28">
        <v>67116000</v>
      </c>
      <c r="Y1364" s="28">
        <v>1877578000</v>
      </c>
      <c r="Z1364" s="28">
        <v>498279000</v>
      </c>
      <c r="AA1364" s="28"/>
      <c r="AB1364" s="28"/>
      <c r="AC1364" s="28">
        <v>1173625000</v>
      </c>
      <c r="AD1364" s="28">
        <v>529036000</v>
      </c>
      <c r="AE1364" s="28">
        <v>5488871000</v>
      </c>
      <c r="AF1364" s="28">
        <v>91390000</v>
      </c>
      <c r="AG1364" s="11"/>
    </row>
    <row r="1365">
      <c r="A1365" s="7" t="s">
        <v>3076</v>
      </c>
      <c r="B1365" s="5" t="s">
        <v>11069</v>
      </c>
      <c r="C1365" s="5" t="s">
        <v>18945</v>
      </c>
      <c r="D1365" s="5" t="str">
        <v>890504910488</v>
      </c>
      <c r="E1365" s="0" t="e">
        <f>+7 (3494) 240584
+7 (495) 7192554
+7 (495) 7193545
+7 (495) 7193755
+7 (495) 7195955
+7 (82146) 21969</f>
        <v>#NAME?</v>
      </c>
      <c r="F1365" s="5" t="s">
        <v>29508</v>
      </c>
      <c r="G1365" s="5"/>
      <c r="H1365" s="26">
        <v>29.5</v>
      </c>
      <c r="I1365" s="5" t="s">
        <v>29509</v>
      </c>
      <c r="J1365" s="5" t="s">
        <v>27921</v>
      </c>
      <c r="K1365" s="5" t="s">
        <v>355</v>
      </c>
      <c r="L1365" s="5" t="s">
        <v>29510</v>
      </c>
      <c r="M1365" s="27"/>
      <c r="N1365" s="5" t="s">
        <v>51313</v>
      </c>
      <c r="O1365" s="5" t="str">
        <v>5003028148</v>
      </c>
      <c r="P1365" s="27">
        <v>59410000</v>
      </c>
      <c r="Q1365" s="5" t="s">
        <v>51315</v>
      </c>
      <c r="R1365" s="5"/>
      <c r="S1365" s="5" t="s">
        <v>51316</v>
      </c>
      <c r="T1365" s="28">
        <v>1920145000</v>
      </c>
      <c r="U1365" s="28"/>
      <c r="V1365" s="28">
        <v>1882582000</v>
      </c>
      <c r="W1365" s="28"/>
      <c r="X1365" s="28">
        <v>1336000</v>
      </c>
      <c r="Y1365" s="28">
        <v>4084293000</v>
      </c>
      <c r="Z1365" s="28">
        <v>1868925000</v>
      </c>
      <c r="AA1365" s="28"/>
      <c r="AB1365" s="28"/>
      <c r="AC1365" s="28">
        <v>1325772000</v>
      </c>
      <c r="AD1365" s="28">
        <v>2454244000</v>
      </c>
      <c r="AE1365" s="28">
        <v>5253268000</v>
      </c>
      <c r="AF1365" s="28">
        <v>477650000</v>
      </c>
      <c r="AG1365" s="11"/>
    </row>
    <row r="1366">
      <c r="A1366" s="7" t="s">
        <v>3077</v>
      </c>
      <c r="B1366" s="5" t="s">
        <v>11070</v>
      </c>
      <c r="C1366" s="5" t="s">
        <v>18946</v>
      </c>
      <c r="D1366" s="5" t="str">
        <v>312304434311</v>
      </c>
      <c r="E1366" s="0" t="e">
        <f>+7 (472) 2316284
+7 (47236) 63737
+7 (47244) 52154
+7 (472) 2235151
+7 (472) 2251225
+7 (472) 2340083
+7 (472) 2340282
+7 (472) 2340858
+7 (472) 2340920
+7 (472) 2341788
+7 (472) 2343113
+7 (472) 2575738
+7 (47236) 31467
+7 (47244) 52164
+7 (47244) 52364</f>
        <v>#NAME?</v>
      </c>
      <c r="F1366" s="5" t="s">
        <v>29511</v>
      </c>
      <c r="G1366" s="5" t="s">
        <v>29512</v>
      </c>
      <c r="H1366" s="26">
        <v>30</v>
      </c>
      <c r="I1366" s="5"/>
      <c r="J1366" s="5" t="s">
        <v>29513</v>
      </c>
      <c r="K1366" s="5" t="s">
        <v>344</v>
      </c>
      <c r="L1366" s="5" t="s">
        <v>29514</v>
      </c>
      <c r="M1366" s="27">
        <v>4907881</v>
      </c>
      <c r="N1366" s="5" t="s">
        <v>51317</v>
      </c>
      <c r="O1366" s="5" t="str">
        <v>3124010222</v>
      </c>
      <c r="P1366" s="27">
        <v>80300</v>
      </c>
      <c r="Q1366" s="5" t="s">
        <v>51319</v>
      </c>
      <c r="R1366" s="5"/>
      <c r="S1366" s="5" t="s">
        <v>50191</v>
      </c>
      <c r="T1366" s="28">
        <v>8508210000</v>
      </c>
      <c r="U1366" s="28">
        <v>193000</v>
      </c>
      <c r="V1366" s="28">
        <v>344909000</v>
      </c>
      <c r="W1366" s="28">
        <v>119511000</v>
      </c>
      <c r="X1366" s="28">
        <v>881000</v>
      </c>
      <c r="Y1366" s="28">
        <v>9265395000</v>
      </c>
      <c r="Z1366" s="28">
        <v>3350417000</v>
      </c>
      <c r="AA1366" s="28"/>
      <c r="AB1366" s="28">
        <v>396354000</v>
      </c>
      <c r="AC1366" s="28">
        <v>1248213000</v>
      </c>
      <c r="AD1366" s="28">
        <v>6952697000</v>
      </c>
      <c r="AE1366" s="28">
        <v>3571198000</v>
      </c>
      <c r="AF1366" s="28">
        <v>49218000</v>
      </c>
      <c r="AG1366" s="11"/>
    </row>
    <row r="1367">
      <c r="A1367" s="7" t="s">
        <v>3078</v>
      </c>
      <c r="B1367" s="5" t="s">
        <v>11071</v>
      </c>
      <c r="C1367" s="5" t="s">
        <v>18947</v>
      </c>
      <c r="D1367" s="5" t="str">
        <v>332602033357</v>
      </c>
      <c r="E1367" s="0" t="e">
        <f>+7 (492) 2422307
+7 (492) 2447247
+7 (492) 2234794
+7 (492) 2331117
+7 (492) 2331735
+7 (492) 2333569
+7 (492) 2333808
+7 (492) 2354033
+7 (492) 2361187
+7 (492) 2361278
+7 (492) 2423314
+7 (492) 2447242
+7 (492) 2530523
+7 (492) 2531354
+7 (492) 2533469</f>
        <v>#NAME?</v>
      </c>
      <c r="F1367" s="5" t="s">
        <v>29515</v>
      </c>
      <c r="G1367" s="5" t="s">
        <v>29516</v>
      </c>
      <c r="H1367" s="26">
        <v>29.5</v>
      </c>
      <c r="I1367" s="5"/>
      <c r="J1367" s="5" t="s">
        <v>29513</v>
      </c>
      <c r="K1367" s="5" t="s">
        <v>344</v>
      </c>
      <c r="L1367" s="5" t="s">
        <v>29517</v>
      </c>
      <c r="M1367" s="27">
        <v>48671</v>
      </c>
      <c r="N1367" s="5" t="s">
        <v>51320</v>
      </c>
      <c r="O1367" s="5" t="str">
        <v>3328101380</v>
      </c>
      <c r="P1367" s="27">
        <v>45000</v>
      </c>
      <c r="Q1367" s="5" t="s">
        <v>51322</v>
      </c>
      <c r="R1367" s="5"/>
      <c r="S1367" s="5" t="s">
        <v>51118</v>
      </c>
      <c r="T1367" s="28">
        <v>6602794000</v>
      </c>
      <c r="U1367" s="28">
        <v>70004000</v>
      </c>
      <c r="V1367" s="28">
        <v>848472000</v>
      </c>
      <c r="W1367" s="28">
        <v>202014000</v>
      </c>
      <c r="X1367" s="28">
        <v>11903000</v>
      </c>
      <c r="Y1367" s="28">
        <v>8156481000</v>
      </c>
      <c r="Z1367" s="28">
        <v>3366049000</v>
      </c>
      <c r="AA1367" s="28">
        <v>759905000</v>
      </c>
      <c r="AB1367" s="28"/>
      <c r="AC1367" s="28">
        <v>1229483000</v>
      </c>
      <c r="AD1367" s="28">
        <v>5267189000</v>
      </c>
      <c r="AE1367" s="28">
        <v>3493483000</v>
      </c>
      <c r="AF1367" s="28">
        <v>201472000</v>
      </c>
      <c r="AG1367" s="11"/>
    </row>
    <row r="1368">
      <c r="A1368" s="7" t="s">
        <v>3079</v>
      </c>
      <c r="B1368" s="5" t="s">
        <v>11072</v>
      </c>
      <c r="C1368" s="5" t="s">
        <v>18948</v>
      </c>
      <c r="D1368" s="5" t="str">
        <v>344104661694</v>
      </c>
      <c r="E1368" s="0" t="e">
        <f>+7 (844) 2256964
+7 (844) 2492981
+7 (8443) 256900
+7 (84457) 44626
+7 (844) 2242066
+7 (844) 2242073
+7 (844) 2248900
+7 (844) 2492982
+7 (844) 2492989
+7 (84442) 40771
+7 (84452) 51676
+7 (84457) 43584
+7 (84465) 24480
+7 (84468) 52636
+7 (84472) 31845</f>
        <v>#NAME?</v>
      </c>
      <c r="F1368" s="5" t="s">
        <v>29518</v>
      </c>
      <c r="G1368" s="5" t="s">
        <v>29519</v>
      </c>
      <c r="H1368" s="26">
        <v>30.5</v>
      </c>
      <c r="I1368" s="5" t="s">
        <v>29520</v>
      </c>
      <c r="J1368" s="5" t="s">
        <v>29513</v>
      </c>
      <c r="K1368" s="5" t="s">
        <v>355</v>
      </c>
      <c r="L1368" s="5"/>
      <c r="M1368" s="27"/>
      <c r="N1368" s="5" t="s">
        <v>51323</v>
      </c>
      <c r="O1368" s="5" t="str">
        <v>3455052505</v>
      </c>
      <c r="P1368" s="27">
        <v>85496</v>
      </c>
      <c r="Q1368" s="5" t="s">
        <v>51325</v>
      </c>
      <c r="R1368" s="5"/>
      <c r="S1368" s="5" t="s">
        <v>51326</v>
      </c>
      <c r="T1368" s="28">
        <v>12970714000</v>
      </c>
      <c r="U1368" s="28">
        <v>33000</v>
      </c>
      <c r="V1368" s="28">
        <v>1330102000</v>
      </c>
      <c r="W1368" s="28">
        <v>511805000</v>
      </c>
      <c r="X1368" s="28">
        <v>2205000</v>
      </c>
      <c r="Y1368" s="28">
        <v>15313935000</v>
      </c>
      <c r="Z1368" s="28">
        <v>4201766000</v>
      </c>
      <c r="AA1368" s="28">
        <v>128158000</v>
      </c>
      <c r="AB1368" s="28">
        <v>584175000</v>
      </c>
      <c r="AC1368" s="28">
        <v>1916468000</v>
      </c>
      <c r="AD1368" s="28">
        <v>6490675000</v>
      </c>
      <c r="AE1368" s="28">
        <v>4852937000</v>
      </c>
      <c r="AF1368" s="28">
        <v>-5591000</v>
      </c>
      <c r="AG1368" s="11"/>
    </row>
    <row r="1369">
      <c r="A1369" s="7" t="s">
        <v>3080</v>
      </c>
      <c r="B1369" s="5" t="s">
        <v>11073</v>
      </c>
      <c r="C1369" s="5" t="s">
        <v>18949</v>
      </c>
      <c r="D1369" s="5" t="str">
        <v>290400157182</v>
      </c>
      <c r="E1369" s="0" t="e">
        <f>+7 (473) 2779960
+7 (473) 2030404
+7 (473) 2412248
+7 (473) 2502616
+7 (473) 2551740
+7 (473) 2634739
+7 (473) 2686306
+7 (473) 2712048
+7 (473) 2766465
+7 (473) 2766686
+7 (473) 2769960
+7 (473) 2769964
+7 (473) 2778604
+7 (47354) 67749
+7 (47376) 40047</f>
        <v>#NAME?</v>
      </c>
      <c r="F1369" s="5" t="s">
        <v>29521</v>
      </c>
      <c r="G1369" s="5" t="s">
        <v>29522</v>
      </c>
      <c r="H1369" s="26">
        <v>24.5</v>
      </c>
      <c r="I1369" s="5" t="s">
        <v>29523</v>
      </c>
      <c r="J1369" s="5" t="s">
        <v>29513</v>
      </c>
      <c r="K1369" s="5" t="s">
        <v>344</v>
      </c>
      <c r="L1369" s="5" t="s">
        <v>29524</v>
      </c>
      <c r="M1369" s="27"/>
      <c r="N1369" s="5" t="s">
        <v>51327</v>
      </c>
      <c r="O1369" s="5" t="str">
        <v>3664000885</v>
      </c>
      <c r="P1369" s="27">
        <v>110900</v>
      </c>
      <c r="Q1369" s="5" t="s">
        <v>51329</v>
      </c>
      <c r="R1369" s="5"/>
      <c r="S1369" s="5" t="s">
        <v>51039</v>
      </c>
      <c r="T1369" s="28">
        <v>7661892000</v>
      </c>
      <c r="U1369" s="28">
        <v>841000</v>
      </c>
      <c r="V1369" s="28">
        <v>991774000</v>
      </c>
      <c r="W1369" s="28">
        <v>41918000</v>
      </c>
      <c r="X1369" s="28">
        <v>3302000</v>
      </c>
      <c r="Y1369" s="28">
        <v>9110581000</v>
      </c>
      <c r="Z1369" s="28">
        <v>4504809000</v>
      </c>
      <c r="AA1369" s="28"/>
      <c r="AB1369" s="28">
        <v>420736000</v>
      </c>
      <c r="AC1369" s="28">
        <v>2379365000</v>
      </c>
      <c r="AD1369" s="28">
        <v>6483998000</v>
      </c>
      <c r="AE1369" s="28">
        <v>5483265000</v>
      </c>
      <c r="AF1369" s="28">
        <v>232789000</v>
      </c>
      <c r="AG1369" s="11"/>
    </row>
    <row r="1370">
      <c r="A1370" s="7" t="s">
        <v>3081</v>
      </c>
      <c r="B1370" s="5" t="s">
        <v>11074</v>
      </c>
      <c r="C1370" s="5" t="s">
        <v>18950</v>
      </c>
      <c r="D1370" s="5" t="str">
        <v>745303800923</v>
      </c>
      <c r="E1370" s="0" t="e">
        <f>+7 (421) 2560648
+7 (421) 2561542
+7 (421) 2417446
+7 (421) 2340648
+7 (421) 2341540
+7 (421) 2417401
+7 (421) 2417425
+7 (42153) 34782</f>
        <v>#NAME?</v>
      </c>
      <c r="F1370" s="5" t="s">
        <v>29525</v>
      </c>
      <c r="G1370" s="5" t="s">
        <v>29526</v>
      </c>
      <c r="H1370" s="26">
        <v>28.5</v>
      </c>
      <c r="I1370" s="5"/>
      <c r="J1370" s="5" t="s">
        <v>29513</v>
      </c>
      <c r="K1370" s="5" t="s">
        <v>344</v>
      </c>
      <c r="L1370" s="5"/>
      <c r="M1370" s="27">
        <v>1073578</v>
      </c>
      <c r="N1370" s="5" t="s">
        <v>51330</v>
      </c>
      <c r="O1370" s="5" t="str">
        <v>2722010548</v>
      </c>
      <c r="P1370" s="27">
        <v>10866720</v>
      </c>
      <c r="Q1370" s="5" t="s">
        <v>51332</v>
      </c>
      <c r="R1370" s="5"/>
      <c r="S1370" s="5" t="s">
        <v>49756</v>
      </c>
      <c r="T1370" s="28">
        <v>12623113000</v>
      </c>
      <c r="U1370" s="28">
        <v>10000</v>
      </c>
      <c r="V1370" s="28">
        <v>1935386000</v>
      </c>
      <c r="W1370" s="28">
        <v>1141811000</v>
      </c>
      <c r="X1370" s="28">
        <v>514497000</v>
      </c>
      <c r="Y1370" s="28">
        <v>18108532000</v>
      </c>
      <c r="Z1370" s="28">
        <v>2311737000</v>
      </c>
      <c r="AA1370" s="28"/>
      <c r="AB1370" s="28">
        <v>1579293000</v>
      </c>
      <c r="AC1370" s="28">
        <v>4057663000</v>
      </c>
      <c r="AD1370" s="28">
        <v>3320050000</v>
      </c>
      <c r="AE1370" s="28">
        <v>6900832000</v>
      </c>
      <c r="AF1370" s="28">
        <v>209657000</v>
      </c>
      <c r="AG1370" s="11"/>
    </row>
    <row r="1371">
      <c r="A1371" s="7" t="s">
        <v>3082</v>
      </c>
      <c r="B1371" s="5" t="s">
        <v>11075</v>
      </c>
      <c r="C1371" s="5" t="s">
        <v>18951</v>
      </c>
      <c r="D1371" s="5" t="str">
        <v>910403751642</v>
      </c>
      <c r="E1371" s="0" t="e">
        <f>+7 (861) 2793113
+7 (86130) 51842
+7 (86130) 70204
+7 (86141) 34261
+7 (86162) 64908
+7 (86166) 24764
+7 (86195) 32393
+7 (86196) 53909
+7 (958) 6070777
+7 (861) 2544662
+7 (861) 2793304
+7 (861) 2796582
+7 (86143) 21864
+7 (8617) 614384</f>
        <v>#NAME?</v>
      </c>
      <c r="F1371" s="5" t="s">
        <v>29527</v>
      </c>
      <c r="G1371" s="5" t="s">
        <v>29528</v>
      </c>
      <c r="H1371" s="26">
        <v>26.5</v>
      </c>
      <c r="I1371" s="5"/>
      <c r="J1371" s="5" t="s">
        <v>29513</v>
      </c>
      <c r="K1371" s="5" t="s">
        <v>355</v>
      </c>
      <c r="L1371" s="5"/>
      <c r="M1371" s="27">
        <v>163664834</v>
      </c>
      <c r="N1371" s="5" t="s">
        <v>51333</v>
      </c>
      <c r="O1371" s="5" t="str">
        <v>2308021656</v>
      </c>
      <c r="P1371" s="27">
        <v>82827</v>
      </c>
      <c r="Q1371" s="5" t="s">
        <v>51335</v>
      </c>
      <c r="R1371" s="5"/>
      <c r="S1371" s="5" t="s">
        <v>50475</v>
      </c>
      <c r="T1371" s="28">
        <v>14190360000</v>
      </c>
      <c r="U1371" s="28">
        <v>12693000</v>
      </c>
      <c r="V1371" s="28">
        <v>1353881000</v>
      </c>
      <c r="W1371" s="28">
        <v>2077500000</v>
      </c>
      <c r="X1371" s="28">
        <v>510185000</v>
      </c>
      <c r="Y1371" s="28">
        <v>19768592000</v>
      </c>
      <c r="Z1371" s="28">
        <v>1438802000</v>
      </c>
      <c r="AA1371" s="28">
        <v>11000000</v>
      </c>
      <c r="AB1371" s="28">
        <v>1367719000</v>
      </c>
      <c r="AC1371" s="28">
        <v>8530863000</v>
      </c>
      <c r="AD1371" s="28">
        <v>2383282000</v>
      </c>
      <c r="AE1371" s="28">
        <v>7778381000</v>
      </c>
      <c r="AF1371" s="28">
        <v>323957000</v>
      </c>
      <c r="AG1371" s="11"/>
    </row>
    <row r="1372">
      <c r="A1372" s="7" t="s">
        <v>3083</v>
      </c>
      <c r="B1372" s="5" t="s">
        <v>11076</v>
      </c>
      <c r="C1372" s="5" t="s">
        <v>18952</v>
      </c>
      <c r="D1372" s="5" t="str">
        <v>470504831360</v>
      </c>
      <c r="E1372" s="0" t="e">
        <f>+7 (800) 3024004
+7 (812) 4587334
+7 (812) 1031946
+7 (812) 1031950
+7 (812) 2744630
+7 (812) 2795451
+7 (812) 4054002
+7 (812) 4054003
+7 (812) 4054005
+7 (812) 4054009
+7 (812) 4054015
+7 (812) 4054017
+7 (812) 4054080
+7 (81361) 42207
+7 (81361) 42246</f>
        <v>#NAME?</v>
      </c>
      <c r="F1372" s="5" t="s">
        <v>29529</v>
      </c>
      <c r="G1372" s="5" t="s">
        <v>29530</v>
      </c>
      <c r="H1372" s="26">
        <v>29</v>
      </c>
      <c r="I1372" s="5"/>
      <c r="J1372" s="5" t="s">
        <v>29513</v>
      </c>
      <c r="K1372" s="5" t="s">
        <v>344</v>
      </c>
      <c r="L1372" s="5"/>
      <c r="M1372" s="27">
        <v>7867452</v>
      </c>
      <c r="N1372" s="5" t="s">
        <v>51336</v>
      </c>
      <c r="O1372" s="5" t="str">
        <v>4700000109</v>
      </c>
      <c r="P1372" s="27">
        <v>276836000</v>
      </c>
      <c r="Q1372" s="5" t="s">
        <v>51338</v>
      </c>
      <c r="R1372" s="5"/>
      <c r="S1372" s="5" t="s">
        <v>51118</v>
      </c>
      <c r="T1372" s="28">
        <v>15369670000</v>
      </c>
      <c r="U1372" s="28">
        <v>76501000</v>
      </c>
      <c r="V1372" s="28">
        <v>864022000</v>
      </c>
      <c r="W1372" s="28">
        <v>1671000000</v>
      </c>
      <c r="X1372" s="28">
        <v>1436550000</v>
      </c>
      <c r="Y1372" s="28">
        <v>20501281000</v>
      </c>
      <c r="Z1372" s="28">
        <v>5776942000</v>
      </c>
      <c r="AA1372" s="28">
        <v>1058965000</v>
      </c>
      <c r="AB1372" s="28">
        <v>745688000</v>
      </c>
      <c r="AC1372" s="28">
        <v>2759237000</v>
      </c>
      <c r="AD1372" s="28">
        <v>10151908000</v>
      </c>
      <c r="AE1372" s="28">
        <v>4721171000</v>
      </c>
      <c r="AF1372" s="28">
        <v>492177000</v>
      </c>
      <c r="AG1372" s="11"/>
    </row>
    <row r="1373">
      <c r="A1373" s="7" t="s">
        <v>3084</v>
      </c>
      <c r="B1373" s="5" t="s">
        <v>11077</v>
      </c>
      <c r="C1373" s="5" t="s">
        <v>18953</v>
      </c>
      <c r="D1373" s="5" t="str">
        <v>481700351456</v>
      </c>
      <c r="E1373" s="0" t="e">
        <f>+7 (474) 2224436
+7 (474) 2238435
+7 (474) 2505740
+7 (47474) 29540
+7 (47476) 21195</f>
        <v>#NAME?</v>
      </c>
      <c r="F1373" s="5" t="s">
        <v>29531</v>
      </c>
      <c r="G1373" s="5" t="s">
        <v>29532</v>
      </c>
      <c r="H1373" s="26">
        <v>29.5</v>
      </c>
      <c r="I1373" s="5"/>
      <c r="J1373" s="5" t="s">
        <v>29513</v>
      </c>
      <c r="K1373" s="5" t="s">
        <v>344</v>
      </c>
      <c r="L1373" s="5"/>
      <c r="M1373" s="27">
        <v>734237</v>
      </c>
      <c r="N1373" s="5" t="s">
        <v>51339</v>
      </c>
      <c r="O1373" s="5" t="str">
        <v>4824003938</v>
      </c>
      <c r="P1373" s="27">
        <v>178482000</v>
      </c>
      <c r="Q1373" s="5" t="s">
        <v>51341</v>
      </c>
      <c r="R1373" s="5"/>
      <c r="S1373" s="5" t="s">
        <v>51342</v>
      </c>
      <c r="T1373" s="28">
        <v>6384433000</v>
      </c>
      <c r="U1373" s="28">
        <v>73000</v>
      </c>
      <c r="V1373" s="28">
        <v>596724000</v>
      </c>
      <c r="W1373" s="28">
        <v>323015000</v>
      </c>
      <c r="X1373" s="28">
        <v>4884000</v>
      </c>
      <c r="Y1373" s="28">
        <v>7700771000</v>
      </c>
      <c r="Z1373" s="28">
        <v>1403528000</v>
      </c>
      <c r="AA1373" s="28">
        <v>4413000</v>
      </c>
      <c r="AB1373" s="28">
        <v>107070000</v>
      </c>
      <c r="AC1373" s="28">
        <v>1085035000</v>
      </c>
      <c r="AD1373" s="28">
        <v>4900340000</v>
      </c>
      <c r="AE1373" s="28">
        <v>3602889000</v>
      </c>
      <c r="AF1373" s="28">
        <v>109692000</v>
      </c>
      <c r="AG1373" s="11"/>
    </row>
    <row r="1374">
      <c r="A1374" s="7" t="s">
        <v>3085</v>
      </c>
      <c r="B1374" s="5" t="s">
        <v>11078</v>
      </c>
      <c r="C1374" s="5" t="s">
        <v>18954</v>
      </c>
      <c r="D1374" s="5" t="str">
        <v>440101106610</v>
      </c>
      <c r="E1374" s="0" t="e">
        <f>+7 (495) 7193001
+7 (83159) 27597
+7 (831) 2595923
+7 (831) 4160984
+7 (83141) 60841
+7 (83146) 94801
+7 (83146) 94808
+7 (83146) 94851
+7 (83146) 94859
+7 (83146) 94879
+7 (83146) 94888
+7 (83147) 70883
+7 (83149) 55168
+7 (83149) 64951
+7 (83159) 27510</f>
        <v>#NAME?</v>
      </c>
      <c r="F1374" s="5" t="s">
        <v>29533</v>
      </c>
      <c r="G1374" s="5" t="s">
        <v>29534</v>
      </c>
      <c r="H1374" s="26">
        <v>29</v>
      </c>
      <c r="I1374" s="5" t="s">
        <v>29535</v>
      </c>
      <c r="J1374" s="5" t="s">
        <v>29513</v>
      </c>
      <c r="K1374" s="5" t="s">
        <v>355</v>
      </c>
      <c r="L1374" s="5"/>
      <c r="M1374" s="27">
        <v>30521187</v>
      </c>
      <c r="N1374" s="5" t="s">
        <v>51343</v>
      </c>
      <c r="O1374" s="5" t="str">
        <v>5262390050</v>
      </c>
      <c r="P1374" s="27">
        <v>325772</v>
      </c>
      <c r="Q1374" s="5" t="s">
        <v>51345</v>
      </c>
      <c r="R1374" s="5" t="s">
        <v>51346</v>
      </c>
      <c r="S1374" s="5" t="s">
        <v>51067</v>
      </c>
      <c r="T1374" s="28">
        <v>14532106000</v>
      </c>
      <c r="U1374" s="28">
        <v>20000</v>
      </c>
      <c r="V1374" s="28">
        <v>1110648000</v>
      </c>
      <c r="W1374" s="28">
        <v>1414100000</v>
      </c>
      <c r="X1374" s="28">
        <v>1600816000</v>
      </c>
      <c r="Y1374" s="28">
        <v>20995883000</v>
      </c>
      <c r="Z1374" s="28">
        <v>7397668000</v>
      </c>
      <c r="AA1374" s="28"/>
      <c r="AB1374" s="28">
        <v>1489793000</v>
      </c>
      <c r="AC1374" s="28">
        <v>6134624000</v>
      </c>
      <c r="AD1374" s="28">
        <v>13578236000</v>
      </c>
      <c r="AE1374" s="28">
        <v>6023008000</v>
      </c>
      <c r="AF1374" s="28">
        <v>246311000</v>
      </c>
      <c r="AG1374" s="11"/>
    </row>
    <row r="1375">
      <c r="A1375" s="7" t="s">
        <v>3086</v>
      </c>
      <c r="B1375" s="5" t="s">
        <v>11079</v>
      </c>
      <c r="C1375" s="5" t="s">
        <v>18955</v>
      </c>
      <c r="D1375" s="5" t="str">
        <v>561000487606</v>
      </c>
      <c r="E1375" s="0" t="e">
        <f>+7 (3532) 241275
+7 (3532) 341272
+7 (35323) 41240
+7 (35323) 41350
+7 (35323) 41402
+7 (35323) 41502
+7 (35323) 41602
+7 (35333) 62063
+7 (35337) 22201
+7 (35349) 22875
+7 (35362) 65352
+7 (35365) 21516</f>
        <v>#NAME?</v>
      </c>
      <c r="F1375" s="5" t="s">
        <v>29536</v>
      </c>
      <c r="G1375" s="5" t="s">
        <v>29537</v>
      </c>
      <c r="H1375" s="26">
        <v>27</v>
      </c>
      <c r="I1375" s="5"/>
      <c r="J1375" s="5" t="s">
        <v>29513</v>
      </c>
      <c r="K1375" s="5" t="s">
        <v>355</v>
      </c>
      <c r="L1375" s="5"/>
      <c r="M1375" s="27"/>
      <c r="N1375" s="5" t="s">
        <v>51347</v>
      </c>
      <c r="O1375" s="5" t="str">
        <v>5610010369</v>
      </c>
      <c r="P1375" s="27">
        <v>76795</v>
      </c>
      <c r="Q1375" s="5" t="s">
        <v>51349</v>
      </c>
      <c r="R1375" s="5"/>
      <c r="S1375" s="5" t="s">
        <v>51350</v>
      </c>
      <c r="T1375" s="28">
        <v>11334755000</v>
      </c>
      <c r="U1375" s="28"/>
      <c r="V1375" s="28">
        <v>721458000</v>
      </c>
      <c r="W1375" s="28">
        <v>189244000</v>
      </c>
      <c r="X1375" s="28">
        <v>970000</v>
      </c>
      <c r="Y1375" s="28">
        <v>12776659000</v>
      </c>
      <c r="Z1375" s="28">
        <v>5934821000</v>
      </c>
      <c r="AA1375" s="28"/>
      <c r="AB1375" s="28">
        <v>454868000</v>
      </c>
      <c r="AC1375" s="28">
        <v>2048032000</v>
      </c>
      <c r="AD1375" s="28">
        <v>8658346000</v>
      </c>
      <c r="AE1375" s="28">
        <v>4177540000</v>
      </c>
      <c r="AF1375" s="28">
        <v>-78729000</v>
      </c>
      <c r="AG1375" s="11"/>
    </row>
    <row r="1376">
      <c r="A1376" s="7" t="s">
        <v>3087</v>
      </c>
      <c r="B1376" s="5" t="s">
        <v>11080</v>
      </c>
      <c r="C1376" s="5" t="s">
        <v>18956</v>
      </c>
      <c r="D1376" s="5" t="str">
        <v>590208042949</v>
      </c>
      <c r="E1376" s="0" t="e">
        <f>+7 (3422) 121115
+7 (3422) 122337
+7 (3422) 123400
+7 (3422) 181100
+7 (3422) 181105
+7 (3422) 181112
+7 (3422) 181115
+7 (3422) 181121
+7 (3422) 181145
+7 (3422) 181183
+7 (3422) 231537
+7 (3422) 806244
+7 (3422) 962104
+7 (3422) 962880
+7 (3422) 963404</f>
        <v>#NAME?</v>
      </c>
      <c r="F1376" s="5" t="s">
        <v>29538</v>
      </c>
      <c r="G1376" s="5" t="s">
        <v>29539</v>
      </c>
      <c r="H1376" s="26">
        <v>31.5</v>
      </c>
      <c r="I1376" s="5"/>
      <c r="J1376" s="5" t="s">
        <v>29513</v>
      </c>
      <c r="K1376" s="5" t="s">
        <v>355</v>
      </c>
      <c r="L1376" s="5" t="s">
        <v>29540</v>
      </c>
      <c r="M1376" s="27">
        <v>840815</v>
      </c>
      <c r="N1376" s="5" t="s">
        <v>51351</v>
      </c>
      <c r="O1376" s="5" t="str">
        <v>5902183841</v>
      </c>
      <c r="P1376" s="27">
        <v>452876000</v>
      </c>
      <c r="Q1376" s="5" t="s">
        <v>51353</v>
      </c>
      <c r="R1376" s="5"/>
      <c r="S1376" s="5" t="s">
        <v>50475</v>
      </c>
      <c r="T1376" s="28">
        <v>18389935000</v>
      </c>
      <c r="U1376" s="28">
        <v>811496000</v>
      </c>
      <c r="V1376" s="28">
        <v>1115091000</v>
      </c>
      <c r="W1376" s="28">
        <v>537847000</v>
      </c>
      <c r="X1376" s="28">
        <v>48768000</v>
      </c>
      <c r="Y1376" s="28">
        <v>21582035000</v>
      </c>
      <c r="Z1376" s="28">
        <v>5088418000</v>
      </c>
      <c r="AA1376" s="28">
        <v>397978000</v>
      </c>
      <c r="AB1376" s="28">
        <v>6404405000</v>
      </c>
      <c r="AC1376" s="28">
        <v>8343916000</v>
      </c>
      <c r="AD1376" s="28">
        <v>9157460000</v>
      </c>
      <c r="AE1376" s="28">
        <v>4414762000</v>
      </c>
      <c r="AF1376" s="28">
        <v>17045000</v>
      </c>
      <c r="AG1376" s="11"/>
    </row>
    <row r="1377">
      <c r="A1377" s="7" t="s">
        <v>3088</v>
      </c>
      <c r="B1377" s="5" t="s">
        <v>11081</v>
      </c>
      <c r="C1377" s="5" t="s">
        <v>18957</v>
      </c>
      <c r="D1377" s="5" t="str">
        <v>616865040558</v>
      </c>
      <c r="E1377" s="0" t="e">
        <f>+7 (812) 4263337
+7 (632) 2635747
+7 (8632) 186782
+7 (8632) 635339
+7 (8632) 637360</f>
        <v>#NAME?</v>
      </c>
      <c r="F1377" s="5" t="s">
        <v>29541</v>
      </c>
      <c r="G1377" s="5"/>
      <c r="H1377" s="26">
        <v>20.5</v>
      </c>
      <c r="I1377" s="5" t="s">
        <v>29542</v>
      </c>
      <c r="J1377" s="5" t="s">
        <v>29513</v>
      </c>
      <c r="K1377" s="5" t="s">
        <v>344</v>
      </c>
      <c r="L1377" s="5"/>
      <c r="M1377" s="27"/>
      <c r="N1377" s="5" t="s">
        <v>51354</v>
      </c>
      <c r="O1377" s="5" t="str">
        <v>6163000368</v>
      </c>
      <c r="P1377" s="27">
        <v>284216000</v>
      </c>
      <c r="Q1377" s="5" t="s">
        <v>51355</v>
      </c>
      <c r="R1377" s="5"/>
      <c r="S1377" s="5" t="s">
        <v>51356</v>
      </c>
      <c r="T1377" s="28">
        <v>28180141000</v>
      </c>
      <c r="U1377" s="28">
        <v>258000</v>
      </c>
      <c r="V1377" s="28">
        <v>1797949000</v>
      </c>
      <c r="W1377" s="28">
        <v>159349000</v>
      </c>
      <c r="X1377" s="28">
        <v>4057000</v>
      </c>
      <c r="Y1377" s="28">
        <v>32871563000</v>
      </c>
      <c r="Z1377" s="28">
        <v>14755306000</v>
      </c>
      <c r="AA1377" s="28">
        <v>271549000</v>
      </c>
      <c r="AB1377" s="28">
        <v>2931491000</v>
      </c>
      <c r="AC1377" s="28">
        <v>6509814000</v>
      </c>
      <c r="AD1377" s="28">
        <v>21198111000</v>
      </c>
      <c r="AE1377" s="28">
        <v>9963165000</v>
      </c>
      <c r="AF1377" s="28">
        <v>1061064000</v>
      </c>
      <c r="AG1377" s="11"/>
    </row>
    <row r="1378">
      <c r="A1378" s="7" t="s">
        <v>3089</v>
      </c>
      <c r="B1378" s="5" t="s">
        <v>11082</v>
      </c>
      <c r="C1378" s="5" t="s">
        <v>18958</v>
      </c>
      <c r="D1378" s="5"/>
      <c r="E1378" s="0" t="e">
        <f>+7 (345) 2289350
+7 (345) 2211108
+7 (345) 2224040
+7 (345) 2274040
+7 (345) 2286695
+7 (345) 2286741
+7 (345) 2289149
+7 (345) 2393979
+7 (345) 2550074
+7 (345) 2631681
+7 (345) 2631898
+7 (345) 2723145
+7 (34546) 25435
+7 (34551) 27710
+7 (3456) 275852</f>
        <v>#NAME?</v>
      </c>
      <c r="F1378" s="5" t="s">
        <v>29543</v>
      </c>
      <c r="G1378" s="5"/>
      <c r="H1378" s="26">
        <v>27.5</v>
      </c>
      <c r="I1378" s="5"/>
      <c r="J1378" s="5" t="s">
        <v>29513</v>
      </c>
      <c r="K1378" s="5" t="s">
        <v>344</v>
      </c>
      <c r="L1378" s="5"/>
      <c r="M1378" s="27">
        <v>12776243</v>
      </c>
      <c r="N1378" s="5" t="s">
        <v>51357</v>
      </c>
      <c r="O1378" s="5" t="str">
        <v>7203058440</v>
      </c>
      <c r="P1378" s="27">
        <v>74754960</v>
      </c>
      <c r="Q1378" s="5" t="s">
        <v>51359</v>
      </c>
      <c r="R1378" s="5"/>
      <c r="S1378" s="5" t="s">
        <v>51350</v>
      </c>
      <c r="T1378" s="28">
        <v>21875045000</v>
      </c>
      <c r="U1378" s="28">
        <v>17921000</v>
      </c>
      <c r="V1378" s="28">
        <v>1614864000</v>
      </c>
      <c r="W1378" s="28">
        <v>2367142000</v>
      </c>
      <c r="X1378" s="28">
        <v>8152000</v>
      </c>
      <c r="Y1378" s="28">
        <v>26286522000</v>
      </c>
      <c r="Z1378" s="28">
        <v>1014776000</v>
      </c>
      <c r="AA1378" s="28"/>
      <c r="AB1378" s="28">
        <v>830467000</v>
      </c>
      <c r="AC1378" s="28">
        <v>1737477000</v>
      </c>
      <c r="AD1378" s="28">
        <v>22756051000</v>
      </c>
      <c r="AE1378" s="28">
        <v>3672834000</v>
      </c>
      <c r="AF1378" s="28">
        <v>463852000</v>
      </c>
      <c r="AG1378" s="11"/>
    </row>
    <row r="1379">
      <c r="A1379" s="7" t="s">
        <v>3090</v>
      </c>
      <c r="B1379" s="5" t="s">
        <v>11083</v>
      </c>
      <c r="C1379" s="5" t="s">
        <v>18959</v>
      </c>
      <c r="D1379" s="5" t="str">
        <v>263100720097</v>
      </c>
      <c r="E1379" s="0" t="e">
        <f>+7 (8652) 951688
+7 (8652) 263961
+7 (8652) 563377
+7 (8652) 566777
+7 (8652) 945221
+7 (8652) 955125
+7 (86549) 51638
+7 (8652) 563677
+7 (8652) 942009
+7 (8652) 951628
+7 (8652) 951718
+7 (8652) 951722
+7 (8652) 951759
+7 (8652) 951789</f>
        <v>#NAME?</v>
      </c>
      <c r="F1379" s="5" t="s">
        <v>29544</v>
      </c>
      <c r="G1379" s="5" t="s">
        <v>29545</v>
      </c>
      <c r="H1379" s="26">
        <v>29</v>
      </c>
      <c r="I1379" s="5"/>
      <c r="J1379" s="5" t="s">
        <v>29513</v>
      </c>
      <c r="K1379" s="5" t="s">
        <v>355</v>
      </c>
      <c r="L1379" s="5" t="s">
        <v>29546</v>
      </c>
      <c r="M1379" s="27">
        <v>31142427</v>
      </c>
      <c r="N1379" s="5" t="s">
        <v>51360</v>
      </c>
      <c r="O1379" s="5" t="str">
        <v>2635014240</v>
      </c>
      <c r="P1379" s="27">
        <v>650195</v>
      </c>
      <c r="Q1379" s="5" t="s">
        <v>51361</v>
      </c>
      <c r="R1379" s="5"/>
      <c r="S1379" s="5" t="s">
        <v>51362</v>
      </c>
      <c r="T1379" s="28">
        <v>6185401000</v>
      </c>
      <c r="U1379" s="28">
        <v>2526000</v>
      </c>
      <c r="V1379" s="28">
        <v>1247755000</v>
      </c>
      <c r="W1379" s="28">
        <v>84486000</v>
      </c>
      <c r="X1379" s="28">
        <v>635000</v>
      </c>
      <c r="Y1379" s="28">
        <v>8493442000</v>
      </c>
      <c r="Z1379" s="28">
        <v>-493870000</v>
      </c>
      <c r="AA1379" s="28">
        <v>9900000</v>
      </c>
      <c r="AB1379" s="28">
        <v>84578000</v>
      </c>
      <c r="AC1379" s="28">
        <v>1813289000</v>
      </c>
      <c r="AD1379" s="28">
        <v>788431000</v>
      </c>
      <c r="AE1379" s="28">
        <v>4983805000</v>
      </c>
      <c r="AF1379" s="28">
        <v>167626000</v>
      </c>
      <c r="AG1379" s="11"/>
    </row>
    <row r="1380">
      <c r="A1380" s="7" t="s">
        <v>3091</v>
      </c>
      <c r="B1380" s="5" t="s">
        <v>11084</v>
      </c>
      <c r="C1380" s="5" t="s">
        <v>18960</v>
      </c>
      <c r="D1380" s="5" t="str">
        <v>502770601079</v>
      </c>
      <c r="E1380" s="0" t="e">
        <f>+7 (48234) 21144
+7 (48235) 53762
+7 (48266) 51273
+7 (48266) 52392
+7 (8482) 232913
+7 (482) 2522758
+7 (482) 2553497
+7 (482) 2553540
+7 (482) 2560437
+7 (482) 2700823
+7 (48233) 53883</f>
        <v>#NAME?</v>
      </c>
      <c r="F1380" s="5" t="s">
        <v>29547</v>
      </c>
      <c r="G1380" s="5" t="s">
        <v>29548</v>
      </c>
      <c r="H1380" s="26">
        <v>29.5</v>
      </c>
      <c r="I1380" s="5"/>
      <c r="J1380" s="5" t="s">
        <v>29513</v>
      </c>
      <c r="K1380" s="5" t="s">
        <v>344</v>
      </c>
      <c r="L1380" s="5"/>
      <c r="M1380" s="27">
        <v>9288173</v>
      </c>
      <c r="N1380" s="5" t="s">
        <v>51363</v>
      </c>
      <c r="O1380" s="5" t="str">
        <v>6900000364</v>
      </c>
      <c r="P1380" s="27">
        <v>44600</v>
      </c>
      <c r="Q1380" s="5" t="s">
        <v>51365</v>
      </c>
      <c r="R1380" s="5"/>
      <c r="S1380" s="5" t="s">
        <v>51342</v>
      </c>
      <c r="T1380" s="28">
        <v>9153793000</v>
      </c>
      <c r="U1380" s="28">
        <v>25000</v>
      </c>
      <c r="V1380" s="28">
        <v>769248000</v>
      </c>
      <c r="W1380" s="28">
        <v>238188000</v>
      </c>
      <c r="X1380" s="28">
        <v>152755000</v>
      </c>
      <c r="Y1380" s="28">
        <v>10767672000</v>
      </c>
      <c r="Z1380" s="28">
        <v>3022402000</v>
      </c>
      <c r="AA1380" s="28">
        <v>44433000</v>
      </c>
      <c r="AB1380" s="28">
        <v>349494000</v>
      </c>
      <c r="AC1380" s="28">
        <v>1827233000</v>
      </c>
      <c r="AD1380" s="28">
        <v>5493944000</v>
      </c>
      <c r="AE1380" s="28">
        <v>3228484000</v>
      </c>
      <c r="AF1380" s="28">
        <v>245114000</v>
      </c>
      <c r="AG1380" s="11"/>
    </row>
    <row r="1381">
      <c r="A1381" s="7" t="s">
        <v>3092</v>
      </c>
      <c r="B1381" s="5" t="s">
        <v>11085</v>
      </c>
      <c r="C1381" s="5" t="s">
        <v>18961</v>
      </c>
      <c r="D1381" s="5" t="str">
        <v>702002178553</v>
      </c>
      <c r="E1381" s="0" t="e">
        <f>+7 (382) 2406551
+7 (382) 2901356
+7 (382) 2901357
+7 (382) 2901359
+7 (382) 2902025
+7 (383) 2272873
+7 (383) 3250744
+7 (383) 3250754
+7 (383) 3250773
+7 (382) 2320816
+7 (382) 2320836
+7 (382) 2406031
+7 (382) 2901300
+7 (383) 2016290
+7 (383) 2273855</f>
        <v>#NAME?</v>
      </c>
      <c r="F1381" s="5" t="s">
        <v>29549</v>
      </c>
      <c r="G1381" s="5" t="s">
        <v>29550</v>
      </c>
      <c r="H1381" s="26">
        <v>22.5</v>
      </c>
      <c r="I1381" s="5" t="s">
        <v>29551</v>
      </c>
      <c r="J1381" s="5" t="s">
        <v>29513</v>
      </c>
      <c r="K1381" s="5" t="s">
        <v>344</v>
      </c>
      <c r="L1381" s="5"/>
      <c r="M1381" s="27">
        <v>14534074</v>
      </c>
      <c r="N1381" s="5" t="s">
        <v>51366</v>
      </c>
      <c r="O1381" s="5" t="str">
        <v>7017203428</v>
      </c>
      <c r="P1381" s="27">
        <v>5269478127</v>
      </c>
      <c r="Q1381" s="5" t="s">
        <v>51368</v>
      </c>
      <c r="R1381" s="5" t="s">
        <v>51369</v>
      </c>
      <c r="S1381" s="5" t="s">
        <v>51370</v>
      </c>
      <c r="T1381" s="28">
        <v>11998574000</v>
      </c>
      <c r="U1381" s="28">
        <v>96370000</v>
      </c>
      <c r="V1381" s="28">
        <v>844283000</v>
      </c>
      <c r="W1381" s="28">
        <v>2328099000</v>
      </c>
      <c r="X1381" s="28">
        <v>99056000</v>
      </c>
      <c r="Y1381" s="28">
        <v>15860281000</v>
      </c>
      <c r="Z1381" s="28">
        <v>447419000</v>
      </c>
      <c r="AA1381" s="28">
        <v>2655071000</v>
      </c>
      <c r="AB1381" s="28"/>
      <c r="AC1381" s="28">
        <v>1625493000</v>
      </c>
      <c r="AD1381" s="28">
        <v>7944999000</v>
      </c>
      <c r="AE1381" s="28">
        <v>3061124000</v>
      </c>
      <c r="AF1381" s="28">
        <v>-19989000</v>
      </c>
      <c r="AG1381" s="11"/>
    </row>
    <row r="1382">
      <c r="A1382" s="7" t="s">
        <v>3093</v>
      </c>
      <c r="B1382" s="5" t="s">
        <v>11086</v>
      </c>
      <c r="C1382" s="5" t="s">
        <v>18962</v>
      </c>
      <c r="D1382" s="5" t="str">
        <v>644000691861</v>
      </c>
      <c r="E1382" s="0" t="e">
        <f>+7 (800) 6008004
+7 (487) 2230421
+7 (487) 2258010
+7 (487) 2307879
+7 (487) 2331011
+7 (487) 2367473
+7 (48731) 57682
+7 (48741) 60750
+7 (48761) 21340
+7 (48761) 65990
+7 (48763) 43450</f>
        <v>#NAME?</v>
      </c>
      <c r="F1382" s="5" t="s">
        <v>29552</v>
      </c>
      <c r="G1382" s="5" t="s">
        <v>29553</v>
      </c>
      <c r="H1382" s="26">
        <v>29.5</v>
      </c>
      <c r="I1382" s="5"/>
      <c r="J1382" s="5" t="s">
        <v>29513</v>
      </c>
      <c r="K1382" s="5" t="s">
        <v>355</v>
      </c>
      <c r="L1382" s="5" t="s">
        <v>29554</v>
      </c>
      <c r="M1382" s="27"/>
      <c r="N1382" s="5" t="s">
        <v>51371</v>
      </c>
      <c r="O1382" s="5" t="str">
        <v>7107029245</v>
      </c>
      <c r="P1382" s="27">
        <v>158600</v>
      </c>
      <c r="Q1382" s="5" t="s">
        <v>51372</v>
      </c>
      <c r="R1382" s="5"/>
      <c r="S1382" s="5" t="s">
        <v>51373</v>
      </c>
      <c r="T1382" s="28">
        <v>7622720000</v>
      </c>
      <c r="U1382" s="28">
        <v>28000</v>
      </c>
      <c r="V1382" s="28">
        <v>959958000</v>
      </c>
      <c r="W1382" s="28">
        <v>589455000</v>
      </c>
      <c r="X1382" s="28">
        <v>378243000</v>
      </c>
      <c r="Y1382" s="28">
        <v>10177062000</v>
      </c>
      <c r="Z1382" s="28">
        <v>2873153000</v>
      </c>
      <c r="AA1382" s="28">
        <v>305728000</v>
      </c>
      <c r="AB1382" s="28">
        <v>654794000</v>
      </c>
      <c r="AC1382" s="28">
        <v>3233288000</v>
      </c>
      <c r="AD1382" s="28">
        <v>4102864000</v>
      </c>
      <c r="AE1382" s="28">
        <v>4501834000</v>
      </c>
      <c r="AF1382" s="28">
        <v>175168000</v>
      </c>
      <c r="AG1382" s="11"/>
    </row>
    <row r="1383">
      <c r="A1383" s="7" t="s">
        <v>3094</v>
      </c>
      <c r="B1383" s="5" t="s">
        <v>11087</v>
      </c>
      <c r="C1383" s="5" t="s">
        <v>18963</v>
      </c>
      <c r="D1383" s="5"/>
      <c r="E1383" s="0" t="e">
        <f>+7 (347) 2733729
+7 (3472) 228345
+7 (34787) 34401</f>
        <v>#NAME?</v>
      </c>
      <c r="F1383" s="5" t="s">
        <v>29555</v>
      </c>
      <c r="G1383" s="5" t="s">
        <v>29556</v>
      </c>
      <c r="H1383" s="26">
        <v>31.5</v>
      </c>
      <c r="I1383" s="5" t="s">
        <v>29557</v>
      </c>
      <c r="J1383" s="5" t="s">
        <v>29513</v>
      </c>
      <c r="K1383" s="5" t="s">
        <v>355</v>
      </c>
      <c r="L1383" s="5"/>
      <c r="M1383" s="27">
        <v>4307655</v>
      </c>
      <c r="N1383" s="5" t="s">
        <v>51374</v>
      </c>
      <c r="O1383" s="5" t="str">
        <v>0278030985</v>
      </c>
      <c r="P1383" s="27">
        <v>3511000</v>
      </c>
      <c r="Q1383" s="5" t="s">
        <v>51376</v>
      </c>
      <c r="R1383" s="5"/>
      <c r="S1383" s="5" t="s">
        <v>51118</v>
      </c>
      <c r="T1383" s="28">
        <v>26329634000</v>
      </c>
      <c r="U1383" s="28"/>
      <c r="V1383" s="28">
        <v>1353335000</v>
      </c>
      <c r="W1383" s="28">
        <v>12247000</v>
      </c>
      <c r="X1383" s="28">
        <v>198470000</v>
      </c>
      <c r="Y1383" s="28">
        <v>29432257000</v>
      </c>
      <c r="Z1383" s="28">
        <v>10304304000</v>
      </c>
      <c r="AA1383" s="28">
        <v>8334377000</v>
      </c>
      <c r="AB1383" s="28"/>
      <c r="AC1383" s="28">
        <v>3959524000</v>
      </c>
      <c r="AD1383" s="28">
        <v>13509456000</v>
      </c>
      <c r="AE1383" s="28">
        <v>11459034000</v>
      </c>
      <c r="AF1383" s="28">
        <v>267272000</v>
      </c>
      <c r="AG1383" s="11"/>
    </row>
    <row r="1384">
      <c r="A1384" s="7" t="s">
        <v>3095</v>
      </c>
      <c r="B1384" s="5" t="s">
        <v>11088</v>
      </c>
      <c r="C1384" s="5" t="s">
        <v>18964</v>
      </c>
      <c r="D1384" s="5"/>
      <c r="E1384" s="0" t="e">
        <f>+7 (812) 4496601
+7 (812) 6095210</f>
        <v>#NAME?</v>
      </c>
      <c r="F1384" s="5" t="s">
        <v>29558</v>
      </c>
      <c r="G1384" s="5" t="s">
        <v>29559</v>
      </c>
      <c r="H1384" s="26">
        <v>18.5</v>
      </c>
      <c r="I1384" s="5"/>
      <c r="J1384" s="5" t="s">
        <v>29513</v>
      </c>
      <c r="K1384" s="5" t="s">
        <v>344</v>
      </c>
      <c r="L1384" s="5"/>
      <c r="M1384" s="27">
        <v>17165017</v>
      </c>
      <c r="N1384" s="5" t="s">
        <v>51377</v>
      </c>
      <c r="O1384" s="5" t="str">
        <v>7838306818</v>
      </c>
      <c r="P1384" s="27">
        <v>309980046000</v>
      </c>
      <c r="Q1384" s="5" t="s">
        <v>51378</v>
      </c>
      <c r="R1384" s="5" t="s">
        <v>51379</v>
      </c>
      <c r="S1384" s="5" t="s">
        <v>49271</v>
      </c>
      <c r="T1384" s="28">
        <v>147864680000</v>
      </c>
      <c r="U1384" s="28">
        <v>72935555000</v>
      </c>
      <c r="V1384" s="28">
        <v>269814837000</v>
      </c>
      <c r="W1384" s="28">
        <v>3466835000</v>
      </c>
      <c r="X1384" s="28">
        <v>246475000</v>
      </c>
      <c r="Y1384" s="28">
        <v>499534921000</v>
      </c>
      <c r="Z1384" s="28">
        <v>53364615000</v>
      </c>
      <c r="AA1384" s="28">
        <v>30126268000</v>
      </c>
      <c r="AB1384" s="28">
        <v>5460299000</v>
      </c>
      <c r="AC1384" s="28">
        <v>15238543000</v>
      </c>
      <c r="AD1384" s="28">
        <v>370815740000</v>
      </c>
      <c r="AE1384" s="28">
        <v>13171999000</v>
      </c>
      <c r="AF1384" s="28">
        <v>1232917000</v>
      </c>
      <c r="AG1384" s="11"/>
    </row>
    <row r="1385">
      <c r="A1385" s="7" t="s">
        <v>3096</v>
      </c>
      <c r="B1385" s="5" t="s">
        <v>11089</v>
      </c>
      <c r="C1385" s="5" t="s">
        <v>18965</v>
      </c>
      <c r="D1385" s="5" t="str">
        <v>470301095890</v>
      </c>
      <c r="E1385" s="0" t="e">
        <f>+7 (495) 7777997
+7 (812) 3324636
+7 (812) 6110742
+7 (812) 6770977</f>
        <v>#NAME?</v>
      </c>
      <c r="F1385" s="5" t="s">
        <v>29560</v>
      </c>
      <c r="G1385" s="5"/>
      <c r="H1385" s="26">
        <v>14</v>
      </c>
      <c r="I1385" s="5" t="s">
        <v>29561</v>
      </c>
      <c r="J1385" s="5" t="s">
        <v>25327</v>
      </c>
      <c r="K1385" s="5" t="s">
        <v>344</v>
      </c>
      <c r="L1385" s="5" t="s">
        <v>29562</v>
      </c>
      <c r="M1385" s="27">
        <v>78042</v>
      </c>
      <c r="N1385" s="5" t="s">
        <v>51380</v>
      </c>
      <c r="O1385" s="5" t="str">
        <v>1515919573</v>
      </c>
      <c r="P1385" s="27">
        <v>1466900789</v>
      </c>
      <c r="Q1385" s="5" t="s">
        <v>51381</v>
      </c>
      <c r="R1385" s="5"/>
      <c r="S1385" s="5" t="s">
        <v>51382</v>
      </c>
      <c r="T1385" s="28">
        <v>451590000</v>
      </c>
      <c r="U1385" s="28"/>
      <c r="V1385" s="28">
        <v>9698861000</v>
      </c>
      <c r="W1385" s="28">
        <v>1950823000</v>
      </c>
      <c r="X1385" s="28"/>
      <c r="Y1385" s="28">
        <v>20002685000</v>
      </c>
      <c r="Z1385" s="28">
        <v>1718694000</v>
      </c>
      <c r="AA1385" s="28">
        <v>374580000</v>
      </c>
      <c r="AB1385" s="28">
        <v>68064000</v>
      </c>
      <c r="AC1385" s="28">
        <v>16073051000</v>
      </c>
      <c r="AD1385" s="28">
        <v>3552869000</v>
      </c>
      <c r="AE1385" s="28">
        <v>155952629000</v>
      </c>
      <c r="AF1385" s="28">
        <v>675441000</v>
      </c>
      <c r="AG1385" s="11"/>
    </row>
    <row r="1386">
      <c r="A1386" s="7" t="s">
        <v>3097</v>
      </c>
      <c r="B1386" s="5" t="s">
        <v>11090</v>
      </c>
      <c r="C1386" s="5" t="s">
        <v>18966</v>
      </c>
      <c r="D1386" s="5" t="str">
        <v>772578070979</v>
      </c>
      <c r="E1386" s="0" t="e">
        <f>+7 (401) 2929450
+7 (401) 2929459
+7 (812) 4551914
+7 (401) 2229407
+7 (401) 2229446
+7 (812) 6770977</f>
        <v>#NAME?</v>
      </c>
      <c r="F1386" s="5" t="s">
        <v>29563</v>
      </c>
      <c r="G1386" s="5" t="s">
        <v>29564</v>
      </c>
      <c r="H1386" s="26">
        <v>30.5</v>
      </c>
      <c r="I1386" s="5" t="s">
        <v>29565</v>
      </c>
      <c r="J1386" s="5" t="s">
        <v>373</v>
      </c>
      <c r="K1386" s="5" t="s">
        <v>344</v>
      </c>
      <c r="L1386" s="5"/>
      <c r="M1386" s="27"/>
      <c r="N1386" s="5" t="s">
        <v>51383</v>
      </c>
      <c r="O1386" s="5" t="str">
        <v>3906229324</v>
      </c>
      <c r="P1386" s="27">
        <v>28591319001</v>
      </c>
      <c r="Q1386" s="5" t="s">
        <v>51384</v>
      </c>
      <c r="R1386" s="5"/>
      <c r="S1386" s="5" t="s">
        <v>51385</v>
      </c>
      <c r="T1386" s="28">
        <v>1136381000</v>
      </c>
      <c r="U1386" s="28">
        <v>38289038000</v>
      </c>
      <c r="V1386" s="28">
        <v>9901966000</v>
      </c>
      <c r="W1386" s="28">
        <v>12172661000</v>
      </c>
      <c r="X1386" s="28">
        <v>96537000</v>
      </c>
      <c r="Y1386" s="28">
        <v>64479858000</v>
      </c>
      <c r="Z1386" s="28">
        <v>1281417000</v>
      </c>
      <c r="AA1386" s="28"/>
      <c r="AB1386" s="28"/>
      <c r="AC1386" s="28">
        <v>15664121000</v>
      </c>
      <c r="AD1386" s="28">
        <v>46784918000</v>
      </c>
      <c r="AE1386" s="28">
        <v>285401115000</v>
      </c>
      <c r="AF1386" s="28">
        <v>2145236000</v>
      </c>
      <c r="AG1386" s="11"/>
    </row>
    <row r="1387">
      <c r="A1387" s="7" t="s">
        <v>3098</v>
      </c>
      <c r="B1387" s="5" t="s">
        <v>11091</v>
      </c>
      <c r="C1387" s="5" t="s">
        <v>18967</v>
      </c>
      <c r="D1387" s="5" t="str">
        <v>026204493686</v>
      </c>
      <c r="E1387" s="0" t="e">
        <f>+7 (8332) 643989
+7 (812) 9220727
+7 (833) 2623989
+7 (8332) 624109
+7 (8332) 648879</f>
        <v>#NAME?</v>
      </c>
      <c r="F1387" s="5" t="s">
        <v>29566</v>
      </c>
      <c r="G1387" s="5"/>
      <c r="H1387" s="26">
        <v>32</v>
      </c>
      <c r="I1387" s="5" t="s">
        <v>29567</v>
      </c>
      <c r="J1387" s="5" t="s">
        <v>29568</v>
      </c>
      <c r="K1387" s="5" t="s">
        <v>344</v>
      </c>
      <c r="L1387" s="5" t="s">
        <v>29569</v>
      </c>
      <c r="M1387" s="27"/>
      <c r="N1387" s="5"/>
      <c r="O1387" s="5" t="str">
        <v>4345083100</v>
      </c>
      <c r="P1387" s="27">
        <v>3764406000</v>
      </c>
      <c r="Q1387" s="5" t="s">
        <v>51386</v>
      </c>
      <c r="R1387" s="5"/>
      <c r="S1387" s="5" t="s">
        <v>51387</v>
      </c>
      <c r="T1387" s="28">
        <v>3044022000</v>
      </c>
      <c r="U1387" s="28"/>
      <c r="V1387" s="28">
        <v>3867838000</v>
      </c>
      <c r="W1387" s="28">
        <v>2907129000</v>
      </c>
      <c r="X1387" s="28"/>
      <c r="Y1387" s="28">
        <v>10373913000</v>
      </c>
      <c r="Z1387" s="28">
        <v>151988000</v>
      </c>
      <c r="AA1387" s="28"/>
      <c r="AB1387" s="28"/>
      <c r="AC1387" s="28">
        <v>6314907000</v>
      </c>
      <c r="AD1387" s="28">
        <v>3966966000</v>
      </c>
      <c r="AE1387" s="28">
        <v>13059608000</v>
      </c>
      <c r="AF1387" s="28">
        <v>94597000</v>
      </c>
      <c r="AG1387" s="11"/>
    </row>
    <row r="1388">
      <c r="A1388" s="7" t="s">
        <v>3099</v>
      </c>
      <c r="B1388" s="5" t="s">
        <v>11092</v>
      </c>
      <c r="C1388" s="5" t="s">
        <v>18968</v>
      </c>
      <c r="D1388" s="5" t="str">
        <v>301506654696</v>
      </c>
      <c r="E1388" s="0" t="e">
        <f>+7 (851) 2230508
+7 (851) 2230926
+7 (851) 2314184
+7 (851) 2316351
+7 (85146) 71048
+7 (85146) 71075
+7 (85146) 71083
+7 (85146) 71088
+7 (85146) 71090
+7 (85146) 71248
+7 (85146) 72069
+7 (85146) 72085</f>
        <v>#NAME?</v>
      </c>
      <c r="F1388" s="5" t="s">
        <v>29570</v>
      </c>
      <c r="G1388" s="5" t="s">
        <v>29571</v>
      </c>
      <c r="H1388" s="26">
        <v>23.5</v>
      </c>
      <c r="I1388" s="5" t="s">
        <v>29572</v>
      </c>
      <c r="J1388" s="5" t="s">
        <v>27129</v>
      </c>
      <c r="K1388" s="5" t="s">
        <v>355</v>
      </c>
      <c r="L1388" s="5"/>
      <c r="M1388" s="27"/>
      <c r="N1388" s="5" t="s">
        <v>51388</v>
      </c>
      <c r="O1388" s="5" t="str">
        <v>3006006420</v>
      </c>
      <c r="P1388" s="27">
        <v>6467396218</v>
      </c>
      <c r="Q1388" s="5" t="s">
        <v>51389</v>
      </c>
      <c r="R1388" s="5"/>
      <c r="S1388" s="5" t="s">
        <v>51390</v>
      </c>
      <c r="T1388" s="28">
        <v>13749168000</v>
      </c>
      <c r="U1388" s="28">
        <v>522000</v>
      </c>
      <c r="V1388" s="28">
        <v>22174983000</v>
      </c>
      <c r="W1388" s="28"/>
      <c r="X1388" s="28">
        <v>1594000</v>
      </c>
      <c r="Y1388" s="28">
        <v>38534251000</v>
      </c>
      <c r="Z1388" s="28">
        <v>9910134000</v>
      </c>
      <c r="AA1388" s="28"/>
      <c r="AB1388" s="28"/>
      <c r="AC1388" s="28">
        <v>18311161000</v>
      </c>
      <c r="AD1388" s="28">
        <v>18016438000</v>
      </c>
      <c r="AE1388" s="28">
        <v>126528684000</v>
      </c>
      <c r="AF1388" s="28">
        <v>3052504000</v>
      </c>
      <c r="AG1388" s="11"/>
    </row>
    <row r="1389">
      <c r="A1389" s="7" t="s">
        <v>3100</v>
      </c>
      <c r="B1389" s="5" t="s">
        <v>11093</v>
      </c>
      <c r="C1389" s="5" t="s">
        <v>18969</v>
      </c>
      <c r="D1389" s="5" t="str">
        <v>381103657913</v>
      </c>
      <c r="E1389" s="0" t="e">
        <f>+7 (395) 2426420
+7 (3952) 243638
+7 (3952) 243660
+7 (3952) 243673
+7 (3952) 255959
+7 (3952) 258168
+7 (3952) 258171
+7 (3952) 783907
+7 (39551) 32079
+7 (39562) 41447
+7 (39562) 41596
+7 (39562) 41628
+7 (39562) 41858</f>
        <v>#NAME?</v>
      </c>
      <c r="F1389" s="5" t="s">
        <v>29573</v>
      </c>
      <c r="G1389" s="5"/>
      <c r="H1389" s="26">
        <v>22.5</v>
      </c>
      <c r="I1389" s="5" t="s">
        <v>29574</v>
      </c>
      <c r="J1389" s="5" t="s">
        <v>27129</v>
      </c>
      <c r="K1389" s="5" t="s">
        <v>344</v>
      </c>
      <c r="L1389" s="5"/>
      <c r="M1389" s="27"/>
      <c r="N1389" s="5" t="s">
        <v>51391</v>
      </c>
      <c r="O1389" s="5" t="str">
        <v>3812100646</v>
      </c>
      <c r="P1389" s="27">
        <v>5077643042</v>
      </c>
      <c r="Q1389" s="5" t="s">
        <v>51392</v>
      </c>
      <c r="R1389" s="5"/>
      <c r="S1389" s="5" t="s">
        <v>51145</v>
      </c>
      <c r="T1389" s="28">
        <v>3607790000</v>
      </c>
      <c r="U1389" s="28"/>
      <c r="V1389" s="28">
        <v>5361042000</v>
      </c>
      <c r="W1389" s="28"/>
      <c r="X1389" s="28">
        <v>5423000</v>
      </c>
      <c r="Y1389" s="28">
        <v>10047504000</v>
      </c>
      <c r="Z1389" s="28">
        <v>-82136000</v>
      </c>
      <c r="AA1389" s="28"/>
      <c r="AB1389" s="28">
        <v>782194000</v>
      </c>
      <c r="AC1389" s="28">
        <v>3414926000</v>
      </c>
      <c r="AD1389" s="28">
        <v>6335655000</v>
      </c>
      <c r="AE1389" s="28">
        <v>6409269000</v>
      </c>
      <c r="AF1389" s="28">
        <v>625499000</v>
      </c>
      <c r="AG1389" s="11"/>
    </row>
    <row r="1390">
      <c r="A1390" s="7" t="s">
        <v>3101</v>
      </c>
      <c r="B1390" s="5" t="s">
        <v>11094</v>
      </c>
      <c r="C1390" s="5" t="s">
        <v>18306</v>
      </c>
      <c r="D1390" s="5" t="str">
        <v>231102549205</v>
      </c>
      <c r="E1390" s="0" t="e">
        <f>+7 (82142) 99692
+7 (861) 2004900
+7 (861) 2131519
+7 (861) 2161261
+7 (861) 2541371
+7 (861) 2545538</f>
        <v>#NAME?</v>
      </c>
      <c r="F1390" s="5" t="s">
        <v>29575</v>
      </c>
      <c r="G1390" s="5" t="s">
        <v>29576</v>
      </c>
      <c r="H1390" s="26">
        <v>29.5</v>
      </c>
      <c r="I1390" s="5" t="s">
        <v>29577</v>
      </c>
      <c r="J1390" s="5" t="s">
        <v>27129</v>
      </c>
      <c r="K1390" s="5" t="s">
        <v>355</v>
      </c>
      <c r="L1390" s="5" t="s">
        <v>29578</v>
      </c>
      <c r="M1390" s="27"/>
      <c r="N1390" s="5"/>
      <c r="O1390" s="5" t="str">
        <v>2308065678</v>
      </c>
      <c r="P1390" s="27">
        <v>1176616000</v>
      </c>
      <c r="Q1390" s="5" t="s">
        <v>51393</v>
      </c>
      <c r="R1390" s="5" t="s">
        <v>51394</v>
      </c>
      <c r="S1390" s="5" t="s">
        <v>51304</v>
      </c>
      <c r="T1390" s="28">
        <v>17687237000</v>
      </c>
      <c r="U1390" s="28">
        <v>10000</v>
      </c>
      <c r="V1390" s="28">
        <v>5909837000</v>
      </c>
      <c r="W1390" s="28"/>
      <c r="X1390" s="28"/>
      <c r="Y1390" s="28">
        <v>44242827000</v>
      </c>
      <c r="Z1390" s="28">
        <v>2223543000</v>
      </c>
      <c r="AA1390" s="28">
        <v>11449170000</v>
      </c>
      <c r="AB1390" s="28"/>
      <c r="AC1390" s="28">
        <v>6995895000</v>
      </c>
      <c r="AD1390" s="28">
        <v>15246317000</v>
      </c>
      <c r="AE1390" s="28">
        <v>29048660000</v>
      </c>
      <c r="AF1390" s="28">
        <v>-11658974000</v>
      </c>
      <c r="AG1390" s="11"/>
    </row>
    <row r="1391">
      <c r="A1391" s="7" t="s">
        <v>3102</v>
      </c>
      <c r="B1391" s="5" t="s">
        <v>11095</v>
      </c>
      <c r="C1391" s="5" t="s">
        <v>18970</v>
      </c>
      <c r="D1391" s="5" t="str">
        <v>260700780367</v>
      </c>
      <c r="E1391" s="0" t="e">
        <f>+7 (3499) 537512
+7 (3499) 561164
+7 (3499) 561315
+7 (3499) 561316
+7 (3499) 561853
+7 (3499) 562108
+7 (3499) 564238
+7 (3499) 564445
+7 (3499) 564544
+7 (3499) 564711
+7 (3499) 565143
+7 (3499) 565319
+7 (3499) 565374
+7 (3499) 565398
+7 (3499) 565489</f>
        <v>#NAME?</v>
      </c>
      <c r="F1391" s="5" t="s">
        <v>29579</v>
      </c>
      <c r="G1391" s="5"/>
      <c r="H1391" s="26">
        <v>23.5</v>
      </c>
      <c r="I1391" s="5" t="s">
        <v>29580</v>
      </c>
      <c r="J1391" s="5" t="s">
        <v>27129</v>
      </c>
      <c r="K1391" s="5" t="s">
        <v>355</v>
      </c>
      <c r="L1391" s="5" t="s">
        <v>29581</v>
      </c>
      <c r="M1391" s="27">
        <v>37786783</v>
      </c>
      <c r="N1391" s="5" t="s">
        <v>51395</v>
      </c>
      <c r="O1391" s="5" t="str">
        <v>8903019871</v>
      </c>
      <c r="P1391" s="27">
        <v>5950956180</v>
      </c>
      <c r="Q1391" s="5" t="s">
        <v>51396</v>
      </c>
      <c r="R1391" s="5" t="s">
        <v>51397</v>
      </c>
      <c r="S1391" s="5" t="s">
        <v>51398</v>
      </c>
      <c r="T1391" s="28">
        <v>40332101000</v>
      </c>
      <c r="U1391" s="28">
        <v>3221087000</v>
      </c>
      <c r="V1391" s="28">
        <v>30919232000</v>
      </c>
      <c r="W1391" s="28"/>
      <c r="X1391" s="28">
        <v>3000</v>
      </c>
      <c r="Y1391" s="28">
        <v>83994737000</v>
      </c>
      <c r="Z1391" s="28">
        <v>23265858000</v>
      </c>
      <c r="AA1391" s="28"/>
      <c r="AB1391" s="28"/>
      <c r="AC1391" s="28">
        <v>46207328000</v>
      </c>
      <c r="AD1391" s="28">
        <v>30110077000</v>
      </c>
      <c r="AE1391" s="28">
        <v>225195285000</v>
      </c>
      <c r="AF1391" s="28">
        <v>-7415613000</v>
      </c>
      <c r="AG1391" s="11"/>
    </row>
    <row r="1392">
      <c r="A1392" s="7" t="s">
        <v>3103</v>
      </c>
      <c r="B1392" s="5" t="s">
        <v>11096</v>
      </c>
      <c r="C1392" s="5" t="s">
        <v>18971</v>
      </c>
      <c r="D1392" s="5" t="str">
        <v>890305538811</v>
      </c>
      <c r="E1392" s="0" t="e">
        <f>+7 (349) 6468514
+7 (3496) 353595
+7 (3496) 360699
+7 (3496) 360755
+7 (3496) 363000
+7 (3496) 363043
+7 (3496) 363148
+7 (3496) 363352
+7 (3496) 363354
+7 (3496) 363355
+7 (3496) 363356
+7 (3496) 363358
+7 (3496) 363364
+7 (3496) 363368
+7 (3496) 363443</f>
        <v>#NAME?</v>
      </c>
      <c r="F1392" s="5" t="s">
        <v>29582</v>
      </c>
      <c r="G1392" s="5"/>
      <c r="H1392" s="26">
        <v>23.5</v>
      </c>
      <c r="I1392" s="5" t="s">
        <v>29583</v>
      </c>
      <c r="J1392" s="5" t="s">
        <v>27129</v>
      </c>
      <c r="K1392" s="5" t="s">
        <v>344</v>
      </c>
      <c r="L1392" s="5" t="s">
        <v>29584</v>
      </c>
      <c r="M1392" s="27"/>
      <c r="N1392" s="5" t="s">
        <v>51399</v>
      </c>
      <c r="O1392" s="5" t="str">
        <v>8905026850</v>
      </c>
      <c r="P1392" s="27">
        <v>2820761638</v>
      </c>
      <c r="Q1392" s="5" t="s">
        <v>51400</v>
      </c>
      <c r="R1392" s="5"/>
      <c r="S1392" s="5" t="s">
        <v>51401</v>
      </c>
      <c r="T1392" s="28">
        <v>24724151000</v>
      </c>
      <c r="U1392" s="28">
        <v>13608585000</v>
      </c>
      <c r="V1392" s="28">
        <v>21892968000</v>
      </c>
      <c r="W1392" s="28"/>
      <c r="X1392" s="28">
        <v>470000</v>
      </c>
      <c r="Y1392" s="28">
        <v>67694073000</v>
      </c>
      <c r="Z1392" s="28">
        <v>36097698000</v>
      </c>
      <c r="AA1392" s="28">
        <v>501343000</v>
      </c>
      <c r="AB1392" s="28"/>
      <c r="AC1392" s="28">
        <v>19090342000</v>
      </c>
      <c r="AD1392" s="28">
        <v>39389727000</v>
      </c>
      <c r="AE1392" s="28">
        <v>108980271000</v>
      </c>
      <c r="AF1392" s="28">
        <v>3057607000</v>
      </c>
      <c r="AG1392" s="11"/>
    </row>
    <row r="1393">
      <c r="A1393" s="7" t="s">
        <v>3104</v>
      </c>
      <c r="B1393" s="5" t="s">
        <v>11097</v>
      </c>
      <c r="C1393" s="5" t="s">
        <v>18972</v>
      </c>
      <c r="D1393" s="5" t="str">
        <v>890404265548</v>
      </c>
      <c r="E1393" s="0" t="e">
        <f>+7 (35324) 47815
+7 (353) 2330097
+7 (35323) 12589
+7 (35323) 30477
+7 (35323) 32002
+7 (35327) 26049
+7 (35327) 26074
+7 (35327) 30009
+7 (35327) 30030
+7 (35327) 30059
+7 (35327) 30060
+7 (35327) 30098
+7 (35327) 30117
+7 (35327) 30327
+7 (35327) 30361</f>
        <v>#NAME?</v>
      </c>
      <c r="F1393" s="5" t="s">
        <v>29585</v>
      </c>
      <c r="G1393" s="5" t="s">
        <v>29586</v>
      </c>
      <c r="H1393" s="26">
        <v>23.5</v>
      </c>
      <c r="I1393" s="5" t="s">
        <v>29587</v>
      </c>
      <c r="J1393" s="5" t="s">
        <v>27129</v>
      </c>
      <c r="K1393" s="5" t="s">
        <v>344</v>
      </c>
      <c r="L1393" s="5" t="s">
        <v>29588</v>
      </c>
      <c r="M1393" s="27">
        <v>4329801</v>
      </c>
      <c r="N1393" s="5" t="s">
        <v>51402</v>
      </c>
      <c r="O1393" s="5" t="str">
        <v>5610058025</v>
      </c>
      <c r="P1393" s="27">
        <v>4898316330</v>
      </c>
      <c r="Q1393" s="5" t="s">
        <v>51403</v>
      </c>
      <c r="R1393" s="5"/>
      <c r="S1393" s="5" t="s">
        <v>51390</v>
      </c>
      <c r="T1393" s="28">
        <v>19270747000</v>
      </c>
      <c r="U1393" s="28">
        <v>30947777000</v>
      </c>
      <c r="V1393" s="28">
        <v>15878186000</v>
      </c>
      <c r="W1393" s="28"/>
      <c r="X1393" s="28">
        <v>505000</v>
      </c>
      <c r="Y1393" s="28">
        <v>70406858000</v>
      </c>
      <c r="Z1393" s="28">
        <v>39512651000</v>
      </c>
      <c r="AA1393" s="28"/>
      <c r="AB1393" s="28"/>
      <c r="AC1393" s="28">
        <v>13787333000</v>
      </c>
      <c r="AD1393" s="28">
        <v>53608843000</v>
      </c>
      <c r="AE1393" s="28">
        <v>123634993000</v>
      </c>
      <c r="AF1393" s="28">
        <v>9453710000</v>
      </c>
      <c r="AG1393" s="11"/>
    </row>
    <row r="1394">
      <c r="A1394" s="7" t="s">
        <v>3105</v>
      </c>
      <c r="B1394" s="5" t="s">
        <v>11098</v>
      </c>
      <c r="C1394" s="5" t="s">
        <v>18973</v>
      </c>
      <c r="D1394" s="5" t="str">
        <v>782510426086</v>
      </c>
      <c r="E1394" s="0" t="e">
        <f>+7 (382) 2401718
+7 (382) 2513314
+7 (382) 2612002
+7 (382) 2612009
+7 (382) 2612101
+7 (382) 2612193
+7 (382) 2612220
+7 (382) 2612867</f>
        <v>#NAME?</v>
      </c>
      <c r="F1394" s="5"/>
      <c r="G1394" s="5" t="s">
        <v>29589</v>
      </c>
      <c r="H1394" s="26">
        <v>24.5</v>
      </c>
      <c r="I1394" s="5"/>
      <c r="J1394" s="5" t="s">
        <v>27129</v>
      </c>
      <c r="K1394" s="5" t="s">
        <v>344</v>
      </c>
      <c r="L1394" s="5" t="s">
        <v>29590</v>
      </c>
      <c r="M1394" s="27">
        <v>10997556</v>
      </c>
      <c r="N1394" s="5"/>
      <c r="O1394" s="5" t="str">
        <v>7019035722</v>
      </c>
      <c r="P1394" s="27">
        <v>100000</v>
      </c>
      <c r="Q1394" s="5" t="s">
        <v>51404</v>
      </c>
      <c r="R1394" s="5"/>
      <c r="S1394" s="5" t="s">
        <v>51405</v>
      </c>
      <c r="T1394" s="28">
        <v>92369197000</v>
      </c>
      <c r="U1394" s="28">
        <v>87000</v>
      </c>
      <c r="V1394" s="28">
        <v>10718681000</v>
      </c>
      <c r="W1394" s="28"/>
      <c r="X1394" s="28">
        <v>115000</v>
      </c>
      <c r="Y1394" s="28">
        <v>109530472000</v>
      </c>
      <c r="Z1394" s="28">
        <v>74224413000</v>
      </c>
      <c r="AA1394" s="28"/>
      <c r="AB1394" s="28">
        <v>3632149000</v>
      </c>
      <c r="AC1394" s="28">
        <v>12327740000</v>
      </c>
      <c r="AD1394" s="28">
        <v>74224528000</v>
      </c>
      <c r="AE1394" s="28">
        <v>49360102000</v>
      </c>
      <c r="AF1394" s="28">
        <v>4171922000</v>
      </c>
      <c r="AG1394" s="11"/>
    </row>
    <row r="1395">
      <c r="A1395" s="7" t="s">
        <v>3106</v>
      </c>
      <c r="B1395" s="5" t="s">
        <v>11099</v>
      </c>
      <c r="C1395" s="5" t="s">
        <v>18974</v>
      </c>
      <c r="D1395" s="5" t="str">
        <v>890300324485</v>
      </c>
      <c r="E1395" s="0" t="e">
        <f>+7 (3494) 220716
+7 (349) 2223532
+7 (349) 2240449
+7 (349) 2248111
+7 (349) 2248127
+7 (349) 2248399
+7 (3494) 220449
+7 (3494) 220777
+7 (3494) 232318
+7 (3494) 232377
+7 (3494) 232383
+7 (3494) 923655
+7 (3494) 931646
+7 (3494) 940092
+7 (3494) 940603</f>
        <v>#NAME?</v>
      </c>
      <c r="F1395" s="5" t="s">
        <v>29591</v>
      </c>
      <c r="G1395" s="5"/>
      <c r="H1395" s="26">
        <v>23.5</v>
      </c>
      <c r="I1395" s="5" t="s">
        <v>29592</v>
      </c>
      <c r="J1395" s="5" t="s">
        <v>27129</v>
      </c>
      <c r="K1395" s="5" t="s">
        <v>344</v>
      </c>
      <c r="L1395" s="5" t="s">
        <v>29593</v>
      </c>
      <c r="M1395" s="27">
        <v>8762955</v>
      </c>
      <c r="N1395" s="5" t="s">
        <v>51406</v>
      </c>
      <c r="O1395" s="5" t="str">
        <v>8904034784</v>
      </c>
      <c r="P1395" s="27">
        <v>12659049158</v>
      </c>
      <c r="Q1395" s="5" t="s">
        <v>51407</v>
      </c>
      <c r="R1395" s="5" t="s">
        <v>51408</v>
      </c>
      <c r="S1395" s="5" t="s">
        <v>49660</v>
      </c>
      <c r="T1395" s="28">
        <v>74494996000</v>
      </c>
      <c r="U1395" s="28">
        <v>1305415000</v>
      </c>
      <c r="V1395" s="28">
        <v>194718839000</v>
      </c>
      <c r="W1395" s="28"/>
      <c r="X1395" s="28">
        <v>1395000</v>
      </c>
      <c r="Y1395" s="28">
        <v>280744098000</v>
      </c>
      <c r="Z1395" s="28">
        <v>116447861000</v>
      </c>
      <c r="AA1395" s="28"/>
      <c r="AB1395" s="28"/>
      <c r="AC1395" s="28">
        <v>112273892000</v>
      </c>
      <c r="AD1395" s="28">
        <v>132991411000</v>
      </c>
      <c r="AE1395" s="28">
        <v>600337391000</v>
      </c>
      <c r="AF1395" s="28">
        <v>81434757000</v>
      </c>
      <c r="AG1395" s="11"/>
    </row>
    <row r="1396">
      <c r="A1396" s="7" t="s">
        <v>3107</v>
      </c>
      <c r="B1396" s="5" t="s">
        <v>11100</v>
      </c>
      <c r="C1396" s="5" t="s">
        <v>18975</v>
      </c>
      <c r="D1396" s="5" t="str">
        <v>890505894849</v>
      </c>
      <c r="E1396" s="0" t="e">
        <f>+7 (424) 2497270
+7 (424) 2493376
+7 (495) 8171332
+7 (495) 8171374</f>
        <v>#NAME?</v>
      </c>
      <c r="F1396" s="5" t="s">
        <v>29594</v>
      </c>
      <c r="G1396" s="5"/>
      <c r="H1396" s="26">
        <v>14.5</v>
      </c>
      <c r="I1396" s="5" t="s">
        <v>29595</v>
      </c>
      <c r="J1396" s="5" t="s">
        <v>27129</v>
      </c>
      <c r="K1396" s="5" t="s">
        <v>355</v>
      </c>
      <c r="L1396" s="5" t="s">
        <v>29596</v>
      </c>
      <c r="M1396" s="27"/>
      <c r="N1396" s="5" t="s">
        <v>51409</v>
      </c>
      <c r="O1396" s="5" t="str">
        <v>7725646034</v>
      </c>
      <c r="P1396" s="27">
        <v>4027433805</v>
      </c>
      <c r="Q1396" s="5" t="s">
        <v>51410</v>
      </c>
      <c r="R1396" s="5"/>
      <c r="S1396" s="5" t="s">
        <v>49070</v>
      </c>
      <c r="T1396" s="28">
        <v>3319336000</v>
      </c>
      <c r="U1396" s="28"/>
      <c r="V1396" s="28">
        <v>2095870000</v>
      </c>
      <c r="W1396" s="28"/>
      <c r="X1396" s="28">
        <v>1060000</v>
      </c>
      <c r="Y1396" s="28">
        <v>6214170000</v>
      </c>
      <c r="Z1396" s="28">
        <v>653095000</v>
      </c>
      <c r="AA1396" s="28"/>
      <c r="AB1396" s="28"/>
      <c r="AC1396" s="28">
        <v>1236652000</v>
      </c>
      <c r="AD1396" s="28">
        <v>4715007000</v>
      </c>
      <c r="AE1396" s="28">
        <v>5606098000</v>
      </c>
      <c r="AF1396" s="28">
        <v>286812000</v>
      </c>
      <c r="AG1396" s="11"/>
    </row>
    <row r="1397">
      <c r="A1397" s="7" t="s">
        <v>3108</v>
      </c>
      <c r="B1397" s="5" t="s">
        <v>11101</v>
      </c>
      <c r="C1397" s="5" t="s">
        <v>18976</v>
      </c>
      <c r="D1397" s="5" t="str">
        <v>340700454500</v>
      </c>
      <c r="E1397" s="0" t="e">
        <f>+7 (3494) 965001
+7 (3494) 965005
+7 (3494) 965041
+7 (3494) 965043
+7 (3494) 965069
+7 (3494) 965841
+7 (3494) 965844
+7 (3494) 966020
+7 (3494) 966060
+7 (3494) 966088
+7 (3494) 966151
+7 (3494) 966216
+7 (3494) 966488
+7 (3494) 966496
+7 (3494) 966531</f>
        <v>#NAME?</v>
      </c>
      <c r="F1397" s="5" t="s">
        <v>29597</v>
      </c>
      <c r="G1397" s="5" t="s">
        <v>29598</v>
      </c>
      <c r="H1397" s="26">
        <v>23.5</v>
      </c>
      <c r="I1397" s="5" t="s">
        <v>29599</v>
      </c>
      <c r="J1397" s="5" t="s">
        <v>27129</v>
      </c>
      <c r="K1397" s="5" t="s">
        <v>344</v>
      </c>
      <c r="L1397" s="5"/>
      <c r="M1397" s="27">
        <v>260000</v>
      </c>
      <c r="N1397" s="5" t="s">
        <v>51411</v>
      </c>
      <c r="O1397" s="5" t="str">
        <v>8904034777</v>
      </c>
      <c r="P1397" s="27">
        <v>6437205663</v>
      </c>
      <c r="Q1397" s="5" t="s">
        <v>51412</v>
      </c>
      <c r="R1397" s="5" t="s">
        <v>51413</v>
      </c>
      <c r="S1397" s="5" t="s">
        <v>49660</v>
      </c>
      <c r="T1397" s="28">
        <v>31469682000</v>
      </c>
      <c r="U1397" s="28">
        <v>33791000</v>
      </c>
      <c r="V1397" s="28">
        <v>67086629000</v>
      </c>
      <c r="W1397" s="28"/>
      <c r="X1397" s="28">
        <v>2660000</v>
      </c>
      <c r="Y1397" s="28">
        <v>104184129000</v>
      </c>
      <c r="Z1397" s="28">
        <v>29188357000</v>
      </c>
      <c r="AA1397" s="28"/>
      <c r="AB1397" s="28"/>
      <c r="AC1397" s="28">
        <v>58041053000</v>
      </c>
      <c r="AD1397" s="28">
        <v>37669646000</v>
      </c>
      <c r="AE1397" s="28">
        <v>382554365000</v>
      </c>
      <c r="AF1397" s="28">
        <v>3829087000</v>
      </c>
      <c r="AG1397" s="11"/>
    </row>
    <row r="1398">
      <c r="A1398" s="7" t="s">
        <v>3109</v>
      </c>
      <c r="B1398" s="5" t="s">
        <v>11102</v>
      </c>
      <c r="C1398" s="5" t="s">
        <v>18977</v>
      </c>
      <c r="D1398" s="5" t="str">
        <v>772906592096</v>
      </c>
      <c r="E1398" s="0" t="e">
        <f>+7 (495) 2760051
+7 (812) 4551700</f>
        <v>#NAME?</v>
      </c>
      <c r="F1398" s="5" t="s">
        <v>29600</v>
      </c>
      <c r="G1398" s="5" t="s">
        <v>29601</v>
      </c>
      <c r="H1398" s="26">
        <v>15.5</v>
      </c>
      <c r="I1398" s="5" t="s">
        <v>29602</v>
      </c>
      <c r="J1398" s="5" t="s">
        <v>947</v>
      </c>
      <c r="K1398" s="5" t="s">
        <v>344</v>
      </c>
      <c r="L1398" s="5"/>
      <c r="M1398" s="27">
        <v>11445669</v>
      </c>
      <c r="N1398" s="5" t="s">
        <v>51414</v>
      </c>
      <c r="O1398" s="5" t="str">
        <v>7810483334</v>
      </c>
      <c r="P1398" s="27">
        <v>186417000</v>
      </c>
      <c r="Q1398" s="5" t="s">
        <v>51415</v>
      </c>
      <c r="R1398" s="5"/>
      <c r="S1398" s="5" t="s">
        <v>51416</v>
      </c>
      <c r="T1398" s="28">
        <v>30050852000</v>
      </c>
      <c r="U1398" s="28"/>
      <c r="V1398" s="28">
        <v>340240324000</v>
      </c>
      <c r="W1398" s="28"/>
      <c r="X1398" s="28">
        <v>949000</v>
      </c>
      <c r="Y1398" s="28">
        <v>440282472000</v>
      </c>
      <c r="Z1398" s="28">
        <v>3936146000</v>
      </c>
      <c r="AA1398" s="28"/>
      <c r="AB1398" s="28">
        <v>114162384000</v>
      </c>
      <c r="AC1398" s="28">
        <v>361496764000</v>
      </c>
      <c r="AD1398" s="28">
        <v>7456070000</v>
      </c>
      <c r="AE1398" s="28">
        <v>154565387000</v>
      </c>
      <c r="AF1398" s="28">
        <v>977107000</v>
      </c>
      <c r="AG1398" s="11"/>
    </row>
    <row r="1399">
      <c r="A1399" s="7" t="s">
        <v>3110</v>
      </c>
      <c r="B1399" s="5" t="s">
        <v>11103</v>
      </c>
      <c r="C1399" s="5" t="s">
        <v>18978</v>
      </c>
      <c r="D1399" s="5" t="str">
        <v>774393281628</v>
      </c>
      <c r="E1399" s="0" t="e">
        <f>+7 (812) 6000173</f>
        <v>#NAME?</v>
      </c>
      <c r="F1399" s="5" t="s">
        <v>29603</v>
      </c>
      <c r="G1399" s="5" t="s">
        <v>29604</v>
      </c>
      <c r="H1399" s="26">
        <v>23.5</v>
      </c>
      <c r="I1399" s="5" t="s">
        <v>29605</v>
      </c>
      <c r="J1399" s="5" t="s">
        <v>947</v>
      </c>
      <c r="K1399" s="5" t="s">
        <v>344</v>
      </c>
      <c r="L1399" s="5"/>
      <c r="M1399" s="27">
        <v>115289992</v>
      </c>
      <c r="N1399" s="5" t="s">
        <v>51417</v>
      </c>
      <c r="O1399" s="5" t="str">
        <v>7810170130</v>
      </c>
      <c r="P1399" s="27">
        <v>39024356</v>
      </c>
      <c r="Q1399" s="5" t="s">
        <v>51418</v>
      </c>
      <c r="R1399" s="5"/>
      <c r="S1399" s="5" t="s">
        <v>50191</v>
      </c>
      <c r="T1399" s="28">
        <v>86782000</v>
      </c>
      <c r="U1399" s="28">
        <v>11290000</v>
      </c>
      <c r="V1399" s="28">
        <v>35846986000</v>
      </c>
      <c r="W1399" s="28"/>
      <c r="X1399" s="28">
        <v>9572568000</v>
      </c>
      <c r="Y1399" s="28">
        <v>139211721000</v>
      </c>
      <c r="Z1399" s="28">
        <v>22527321000</v>
      </c>
      <c r="AA1399" s="28">
        <v>9996658000</v>
      </c>
      <c r="AB1399" s="28"/>
      <c r="AC1399" s="28">
        <v>106608325000</v>
      </c>
      <c r="AD1399" s="28">
        <v>22569900000</v>
      </c>
      <c r="AE1399" s="28">
        <v>26560652000</v>
      </c>
      <c r="AF1399" s="28">
        <v>2703097000</v>
      </c>
      <c r="AG1399" s="11"/>
    </row>
    <row r="1400">
      <c r="A1400" s="7" t="s">
        <v>3111</v>
      </c>
      <c r="B1400" s="5" t="s">
        <v>11104</v>
      </c>
      <c r="C1400" s="5" t="s">
        <v>18979</v>
      </c>
      <c r="D1400" s="5" t="str">
        <v>366217639368</v>
      </c>
      <c r="E1400" s="0" t="e">
        <f>+7 (495) 2287951
+7 (495) 3559803
+7 (495) 7193288
+7 (499) 5801000
+7 (499) 5801032
+7 (499) 5801051</f>
        <v>#NAME?</v>
      </c>
      <c r="F1400" s="5" t="s">
        <v>29606</v>
      </c>
      <c r="G1400" s="5"/>
      <c r="H1400" s="26">
        <v>24.5</v>
      </c>
      <c r="I1400" s="5" t="s">
        <v>29607</v>
      </c>
      <c r="J1400" s="5" t="s">
        <v>25199</v>
      </c>
      <c r="K1400" s="5" t="s">
        <v>344</v>
      </c>
      <c r="L1400" s="5" t="s">
        <v>29608</v>
      </c>
      <c r="M1400" s="27"/>
      <c r="N1400" s="5" t="s">
        <v>51419</v>
      </c>
      <c r="O1400" s="5" t="str">
        <v>7727696104</v>
      </c>
      <c r="P1400" s="27">
        <v>305000000</v>
      </c>
      <c r="Q1400" s="5" t="s">
        <v>51420</v>
      </c>
      <c r="R1400" s="5"/>
      <c r="S1400" s="5" t="s">
        <v>49271</v>
      </c>
      <c r="T1400" s="28">
        <v>1926886000</v>
      </c>
      <c r="U1400" s="28"/>
      <c r="V1400" s="28">
        <v>9244311000</v>
      </c>
      <c r="W1400" s="28"/>
      <c r="X1400" s="28">
        <v>917000</v>
      </c>
      <c r="Y1400" s="28">
        <v>12511172000</v>
      </c>
      <c r="Z1400" s="28">
        <v>1183482000</v>
      </c>
      <c r="AA1400" s="28"/>
      <c r="AB1400" s="28"/>
      <c r="AC1400" s="28">
        <v>10020520000</v>
      </c>
      <c r="AD1400" s="28">
        <v>2209613000</v>
      </c>
      <c r="AE1400" s="28">
        <v>19056896000</v>
      </c>
      <c r="AF1400" s="28">
        <v>555446000</v>
      </c>
      <c r="AG1400" s="11"/>
    </row>
    <row r="1401">
      <c r="A1401" s="7" t="s">
        <v>3112</v>
      </c>
      <c r="B1401" s="5" t="s">
        <v>11105</v>
      </c>
      <c r="C1401" s="5" t="s">
        <v>18980</v>
      </c>
      <c r="D1401" s="5" t="str">
        <v>503602814937</v>
      </c>
      <c r="E1401" s="0" t="e">
        <f>+7 (812) 6096973
+7 (909) 374224
+7 (495) 7194691
+7 (495) 7194692
+7 (812) 6097638</f>
        <v>#NAME?</v>
      </c>
      <c r="F1401" s="5" t="s">
        <v>29609</v>
      </c>
      <c r="G1401" s="5" t="s">
        <v>29610</v>
      </c>
      <c r="H1401" s="26">
        <v>15</v>
      </c>
      <c r="I1401" s="5" t="s">
        <v>29611</v>
      </c>
      <c r="J1401" s="5" t="s">
        <v>28108</v>
      </c>
      <c r="K1401" s="5" t="s">
        <v>344</v>
      </c>
      <c r="L1401" s="5"/>
      <c r="M1401" s="27"/>
      <c r="N1401" s="5"/>
      <c r="O1401" s="5" t="str">
        <v>7726588547</v>
      </c>
      <c r="P1401" s="27">
        <v>243343644836</v>
      </c>
      <c r="Q1401" s="5" t="s">
        <v>49021</v>
      </c>
      <c r="R1401" s="5"/>
      <c r="S1401" s="5" t="s">
        <v>51421</v>
      </c>
      <c r="T1401" s="28">
        <v>55609000</v>
      </c>
      <c r="U1401" s="28">
        <v>1265175067000</v>
      </c>
      <c r="V1401" s="28">
        <v>492261421000</v>
      </c>
      <c r="W1401" s="28">
        <v>112995615000</v>
      </c>
      <c r="X1401" s="28">
        <v>109627536000</v>
      </c>
      <c r="Y1401" s="28">
        <v>1988525307000</v>
      </c>
      <c r="Z1401" s="28">
        <v>201525711000</v>
      </c>
      <c r="AA1401" s="28">
        <v>423520876000</v>
      </c>
      <c r="AB1401" s="28">
        <v>37707470000</v>
      </c>
      <c r="AC1401" s="28">
        <v>136500712000</v>
      </c>
      <c r="AD1401" s="28">
        <v>1413193145000</v>
      </c>
      <c r="AE1401" s="28">
        <v>324195023000</v>
      </c>
      <c r="AF1401" s="28">
        <v>-12336264000</v>
      </c>
      <c r="AG1401" s="11"/>
    </row>
    <row r="1402">
      <c r="A1402" s="7" t="s">
        <v>3113</v>
      </c>
      <c r="B1402" s="5" t="s">
        <v>11106</v>
      </c>
      <c r="C1402" s="5" t="s">
        <v>18981</v>
      </c>
      <c r="D1402" s="5" t="str">
        <v>772879095085</v>
      </c>
      <c r="E1402" s="0" t="e">
        <f>+7 (495) 6315650
+7 (812) 6130449
+7 (401) 2351195
+7 (401) 2575187
+7 (495) 1336430
+7 (495) 4119051
+7 (495) 7820635
+7 (499) 1336260
+7 (812) 6130067
+7 (8202) 533592</f>
        <v>#NAME?</v>
      </c>
      <c r="F1402" s="5" t="s">
        <v>29612</v>
      </c>
      <c r="G1402" s="5" t="s">
        <v>29586</v>
      </c>
      <c r="H1402" s="26">
        <v>23.5</v>
      </c>
      <c r="I1402" s="5" t="s">
        <v>29613</v>
      </c>
      <c r="J1402" s="5" t="s">
        <v>29614</v>
      </c>
      <c r="K1402" s="5" t="s">
        <v>355</v>
      </c>
      <c r="L1402" s="5"/>
      <c r="M1402" s="27">
        <v>29363530</v>
      </c>
      <c r="N1402" s="5"/>
      <c r="O1402" s="5" t="str">
        <v>7740000044</v>
      </c>
      <c r="P1402" s="27">
        <v>2345613944</v>
      </c>
      <c r="Q1402" s="5" t="s">
        <v>51422</v>
      </c>
      <c r="R1402" s="5"/>
      <c r="S1402" s="5" t="s">
        <v>51423</v>
      </c>
      <c r="T1402" s="28">
        <v>1766463000</v>
      </c>
      <c r="U1402" s="28">
        <v>2912102000</v>
      </c>
      <c r="V1402" s="28">
        <v>151123997000</v>
      </c>
      <c r="W1402" s="28"/>
      <c r="X1402" s="28">
        <v>170612000</v>
      </c>
      <c r="Y1402" s="28">
        <v>156191437000</v>
      </c>
      <c r="Z1402" s="28">
        <v>-17959946000</v>
      </c>
      <c r="AA1402" s="28"/>
      <c r="AB1402" s="28">
        <v>1000</v>
      </c>
      <c r="AC1402" s="28">
        <v>146256369000</v>
      </c>
      <c r="AD1402" s="28">
        <v>4558719000</v>
      </c>
      <c r="AE1402" s="28">
        <v>6710573000</v>
      </c>
      <c r="AF1402" s="28">
        <v>1705343000</v>
      </c>
      <c r="AG1402" s="11"/>
    </row>
    <row r="1403">
      <c r="A1403" s="7" t="s">
        <v>3114</v>
      </c>
      <c r="B1403" s="5" t="s">
        <v>11107</v>
      </c>
      <c r="C1403" s="5" t="s">
        <v>18982</v>
      </c>
      <c r="D1403" s="5" t="str">
        <v>301500835664</v>
      </c>
      <c r="E1403" s="0" t="e">
        <f>+7 (851) 2392597
+7 (851) 2306502
+7 (851) 2390273
+7 (851) 2394597
+7 (851) 2394960
+7 (851) 2394962
+7 (851) 2394963
+7 (851) 2394964
+7 (851) 2395654
+7 (851) 2395658
+7 (851) 2395659
+7 (851) 2444203
+7 (851) 2444205
+7 (851) 2482100
+7 (851) 2482101</f>
        <v>#NAME?</v>
      </c>
      <c r="F1403" s="5" t="s">
        <v>29615</v>
      </c>
      <c r="G1403" s="5" t="s">
        <v>29616</v>
      </c>
      <c r="H1403" s="26">
        <v>17.5</v>
      </c>
      <c r="I1403" s="5" t="s">
        <v>29617</v>
      </c>
      <c r="J1403" s="5" t="s">
        <v>373</v>
      </c>
      <c r="K1403" s="5" t="s">
        <v>380</v>
      </c>
      <c r="L1403" s="5"/>
      <c r="M1403" s="27"/>
      <c r="N1403" s="5" t="s">
        <v>51424</v>
      </c>
      <c r="O1403" s="5" t="str">
        <v>3015108355</v>
      </c>
      <c r="P1403" s="27">
        <v>10000</v>
      </c>
      <c r="Q1403" s="5" t="s">
        <v>51425</v>
      </c>
      <c r="R1403" s="5"/>
      <c r="S1403" s="5" t="s">
        <v>51113</v>
      </c>
      <c r="T1403" s="28">
        <v>51984000</v>
      </c>
      <c r="U1403" s="28"/>
      <c r="V1403" s="28">
        <v>1498484000</v>
      </c>
      <c r="W1403" s="28"/>
      <c r="X1403" s="28">
        <v>9063000</v>
      </c>
      <c r="Y1403" s="28">
        <v>2072603000</v>
      </c>
      <c r="Z1403" s="28">
        <v>-4207077000</v>
      </c>
      <c r="AA1403" s="28"/>
      <c r="AB1403" s="28"/>
      <c r="AC1403" s="28">
        <v>6274908000</v>
      </c>
      <c r="AD1403" s="28">
        <v>-4207067000</v>
      </c>
      <c r="AE1403" s="28">
        <v>9695598000</v>
      </c>
      <c r="AF1403" s="28">
        <v>-352738000</v>
      </c>
      <c r="AG1403" s="11"/>
    </row>
    <row r="1404">
      <c r="A1404" s="7" t="s">
        <v>3115</v>
      </c>
      <c r="B1404" s="5" t="s">
        <v>11108</v>
      </c>
      <c r="C1404" s="5" t="s">
        <v>18946</v>
      </c>
      <c r="D1404" s="5" t="str">
        <v>312304434311</v>
      </c>
      <c r="E1404" s="0" t="e">
        <f>+7 (472) 2306580
+7 (472) 2306598
+7 (472) 2376552
+7 (47232) 54780
+7 (47246) 50759
+7 (47246) 51759
+7 (472) 2306230
+7 (472) 2306520
+7 (472) 2306550
+7 (472) 2306551
+7 (472) 2306553
+7 (472) 2306565
+7 (472) 2306596
+7 (472) 2356030
+7 (47231) 56941</f>
        <v>#NAME?</v>
      </c>
      <c r="F1404" s="5" t="s">
        <v>29618</v>
      </c>
      <c r="G1404" s="5"/>
      <c r="H1404" s="26">
        <v>24</v>
      </c>
      <c r="I1404" s="5" t="s">
        <v>29617</v>
      </c>
      <c r="J1404" s="5" t="s">
        <v>373</v>
      </c>
      <c r="K1404" s="5" t="s">
        <v>344</v>
      </c>
      <c r="L1404" s="5" t="s">
        <v>29619</v>
      </c>
      <c r="M1404" s="27"/>
      <c r="N1404" s="5" t="s">
        <v>51426</v>
      </c>
      <c r="O1404" s="5" t="str">
        <v>3123050159</v>
      </c>
      <c r="P1404" s="27">
        <v>10000</v>
      </c>
      <c r="Q1404" s="5" t="s">
        <v>51427</v>
      </c>
      <c r="R1404" s="5"/>
      <c r="S1404" s="5" t="s">
        <v>49271</v>
      </c>
      <c r="T1404" s="28">
        <v>199247000</v>
      </c>
      <c r="U1404" s="28">
        <v>280000</v>
      </c>
      <c r="V1404" s="28">
        <v>2015416000</v>
      </c>
      <c r="W1404" s="28">
        <v>2505194000</v>
      </c>
      <c r="X1404" s="28">
        <v>69967000</v>
      </c>
      <c r="Y1404" s="28">
        <v>5284159000</v>
      </c>
      <c r="Z1404" s="28">
        <v>702597000</v>
      </c>
      <c r="AA1404" s="28"/>
      <c r="AB1404" s="28"/>
      <c r="AC1404" s="28">
        <v>4241988000</v>
      </c>
      <c r="AD1404" s="28">
        <v>942142000</v>
      </c>
      <c r="AE1404" s="28">
        <v>34987772000</v>
      </c>
      <c r="AF1404" s="28">
        <v>239247000</v>
      </c>
      <c r="AG1404" s="11"/>
    </row>
    <row r="1405">
      <c r="A1405" s="7" t="s">
        <v>3116</v>
      </c>
      <c r="B1405" s="5" t="s">
        <v>11109</v>
      </c>
      <c r="C1405" s="5" t="s">
        <v>18983</v>
      </c>
      <c r="D1405" s="5" t="str">
        <v>780601319916</v>
      </c>
      <c r="E1405" s="0" t="e">
        <f>+7 (483) 2555084
+7 (483) 2680913
+7 (483) 2680955
+7 (483) 2742313
+7 (483) 2742613
+7 (483) 2742772
+7 (483) 2742814
+7 (483) 2742819
+7 (483) 2743198
+7 (483) 2410550
+7 (483) 2680930
+7 (483) 2680973
+7 (483) 2680990
+7 (483) 2690990
+7 (483) 2722813</f>
        <v>#NAME?</v>
      </c>
      <c r="F1405" s="5" t="s">
        <v>29620</v>
      </c>
      <c r="G1405" s="5"/>
      <c r="H1405" s="26">
        <v>23.5</v>
      </c>
      <c r="I1405" s="5" t="s">
        <v>29621</v>
      </c>
      <c r="J1405" s="5" t="s">
        <v>373</v>
      </c>
      <c r="K1405" s="5" t="s">
        <v>380</v>
      </c>
      <c r="L1405" s="5"/>
      <c r="M1405" s="27">
        <v>22211007</v>
      </c>
      <c r="N1405" s="5" t="s">
        <v>51428</v>
      </c>
      <c r="O1405" s="5" t="str">
        <v>3201005558</v>
      </c>
      <c r="P1405" s="27">
        <v>10000</v>
      </c>
      <c r="Q1405" s="5" t="s">
        <v>51429</v>
      </c>
      <c r="R1405" s="5"/>
      <c r="S1405" s="5" t="s">
        <v>51430</v>
      </c>
      <c r="T1405" s="28">
        <v>52153000</v>
      </c>
      <c r="U1405" s="28">
        <v>7414000</v>
      </c>
      <c r="V1405" s="28">
        <v>4866022000</v>
      </c>
      <c r="W1405" s="28"/>
      <c r="X1405" s="28">
        <v>2096000</v>
      </c>
      <c r="Y1405" s="28">
        <v>5238354000</v>
      </c>
      <c r="Z1405" s="28">
        <v>-782236000</v>
      </c>
      <c r="AA1405" s="28"/>
      <c r="AB1405" s="28"/>
      <c r="AC1405" s="28">
        <v>5860440000</v>
      </c>
      <c r="AD1405" s="28">
        <v>-782226000</v>
      </c>
      <c r="AE1405" s="28">
        <v>11354370000</v>
      </c>
      <c r="AF1405" s="28">
        <v>-29794000</v>
      </c>
      <c r="AG1405" s="11"/>
    </row>
    <row r="1406">
      <c r="A1406" s="7" t="s">
        <v>3117</v>
      </c>
      <c r="B1406" s="5" t="s">
        <v>11110</v>
      </c>
      <c r="C1406" s="5" t="s">
        <v>18984</v>
      </c>
      <c r="D1406" s="5" t="str">
        <v>532201908448</v>
      </c>
      <c r="E1406" s="0" t="e">
        <f>+7 (816) 2183030
+7 (816) 2183090
+7 (816) 2983013
+7 (816) 2983014
+7 (816) 2983025
+7 (816) 2983030
+7 (816) 2983035
+7 (816) 2983036
+7 (816) 2983038
+7 (816) 2983081
+7 (816) 2983089
+7 (816) 2983090</f>
        <v>#NAME?</v>
      </c>
      <c r="F1406" s="5" t="s">
        <v>29622</v>
      </c>
      <c r="G1406" s="5" t="s">
        <v>29623</v>
      </c>
      <c r="H1406" s="26">
        <v>23</v>
      </c>
      <c r="I1406" s="5" t="s">
        <v>29617</v>
      </c>
      <c r="J1406" s="5" t="s">
        <v>373</v>
      </c>
      <c r="K1406" s="5" t="s">
        <v>344</v>
      </c>
      <c r="L1406" s="5" t="s">
        <v>29624</v>
      </c>
      <c r="M1406" s="27"/>
      <c r="N1406" s="5" t="s">
        <v>51431</v>
      </c>
      <c r="O1406" s="5" t="str">
        <v>5321073497</v>
      </c>
      <c r="P1406" s="27">
        <v>10000</v>
      </c>
      <c r="Q1406" s="5" t="s">
        <v>51432</v>
      </c>
      <c r="R1406" s="5"/>
      <c r="S1406" s="5" t="s">
        <v>51433</v>
      </c>
      <c r="T1406" s="28">
        <v>56914000</v>
      </c>
      <c r="U1406" s="28"/>
      <c r="V1406" s="28">
        <v>2323104000</v>
      </c>
      <c r="W1406" s="28">
        <v>241760000</v>
      </c>
      <c r="X1406" s="28">
        <v>4022000</v>
      </c>
      <c r="Y1406" s="28">
        <v>2661049000</v>
      </c>
      <c r="Z1406" s="28">
        <v>212308000</v>
      </c>
      <c r="AA1406" s="28"/>
      <c r="AB1406" s="28"/>
      <c r="AC1406" s="28">
        <v>2361782000</v>
      </c>
      <c r="AD1406" s="28">
        <v>212318000</v>
      </c>
      <c r="AE1406" s="28">
        <v>22066952000</v>
      </c>
      <c r="AF1406" s="28">
        <v>74055000</v>
      </c>
      <c r="AG1406" s="11"/>
    </row>
    <row r="1407">
      <c r="A1407" s="7" t="s">
        <v>3118</v>
      </c>
      <c r="B1407" s="5" t="s">
        <v>11111</v>
      </c>
      <c r="C1407" s="5" t="s">
        <v>18985</v>
      </c>
      <c r="D1407" s="5" t="str">
        <v>150302123821</v>
      </c>
      <c r="E1407" s="0" t="e">
        <f>+7 (867) 2402222
+7 (867) 2402430
+7 (867) 2402484
+7 (867) 2403084
+7 (867) 2403483
+7 (867) 2404040
+7 (867) 2404050
+7 (867) 2404856
+7 (867) 2408405
+7 (867) 2408408
+7 (867) 2383218
+7 (867) 2404545
+7 (867) 2404830
+7 (867) 2405430
+7 (867) 2408400</f>
        <v>#NAME?</v>
      </c>
      <c r="F1407" s="5" t="s">
        <v>29625</v>
      </c>
      <c r="G1407" s="5"/>
      <c r="H1407" s="26">
        <v>6.5</v>
      </c>
      <c r="I1407" s="5" t="s">
        <v>29617</v>
      </c>
      <c r="J1407" s="5" t="s">
        <v>29626</v>
      </c>
      <c r="K1407" s="5" t="s">
        <v>380</v>
      </c>
      <c r="L1407" s="5"/>
      <c r="M1407" s="27"/>
      <c r="N1407" s="5" t="s">
        <v>51434</v>
      </c>
      <c r="O1407" s="5" t="str">
        <v>1513061265</v>
      </c>
      <c r="P1407" s="27">
        <v>10000</v>
      </c>
      <c r="Q1407" s="5" t="s">
        <v>51435</v>
      </c>
      <c r="R1407" s="5"/>
      <c r="S1407" s="5" t="s">
        <v>50205</v>
      </c>
      <c r="T1407" s="28">
        <v>41691000</v>
      </c>
      <c r="U1407" s="28"/>
      <c r="V1407" s="28">
        <v>4057115000</v>
      </c>
      <c r="W1407" s="28">
        <v>167000</v>
      </c>
      <c r="X1407" s="28">
        <v>33115000</v>
      </c>
      <c r="Y1407" s="28">
        <v>5519899000</v>
      </c>
      <c r="Z1407" s="28">
        <v>-14174627000</v>
      </c>
      <c r="AA1407" s="28"/>
      <c r="AB1407" s="28"/>
      <c r="AC1407" s="28">
        <v>19694136000</v>
      </c>
      <c r="AD1407" s="28">
        <v>-14174617000</v>
      </c>
      <c r="AE1407" s="28">
        <v>6229453000</v>
      </c>
      <c r="AF1407" s="28">
        <v>-2264021000</v>
      </c>
      <c r="AG1407" s="11"/>
    </row>
    <row r="1408">
      <c r="A1408" s="7" t="s">
        <v>3119</v>
      </c>
      <c r="B1408" s="5" t="s">
        <v>11112</v>
      </c>
      <c r="C1408" s="5" t="s">
        <v>18947</v>
      </c>
      <c r="D1408" s="5" t="str">
        <v>332602033357</v>
      </c>
      <c r="E1408" s="0" t="e">
        <f>+7 (492) 2302069
+7 (492) 2325841
+7 (492) 2329645
+7 (492) 2336692
+7 (492) 2337456
+7 (492) 2365621
+7 (492) 2366253
+7 (492) 2401016
+7 (492) 2238080
+7 (492) 2330022
+7 (492) 2330028
+7 (492) 2331794
+7 (492) 2353214
+7 (492) 2402012
+7 (492) 2402019</f>
        <v>#NAME?</v>
      </c>
      <c r="F1408" s="5" t="s">
        <v>29627</v>
      </c>
      <c r="G1408" s="5"/>
      <c r="H1408" s="26">
        <v>23.5</v>
      </c>
      <c r="I1408" s="5" t="s">
        <v>29617</v>
      </c>
      <c r="J1408" s="5" t="s">
        <v>29628</v>
      </c>
      <c r="K1408" s="5" t="s">
        <v>355</v>
      </c>
      <c r="L1408" s="5"/>
      <c r="M1408" s="27"/>
      <c r="N1408" s="5" t="s">
        <v>51436</v>
      </c>
      <c r="O1408" s="5" t="str">
        <v>3328415442</v>
      </c>
      <c r="P1408" s="27">
        <v>10000</v>
      </c>
      <c r="Q1408" s="5" t="s">
        <v>51437</v>
      </c>
      <c r="R1408" s="5"/>
      <c r="S1408" s="5" t="s">
        <v>51438</v>
      </c>
      <c r="T1408" s="28">
        <v>49555000</v>
      </c>
      <c r="U1408" s="28"/>
      <c r="V1408" s="28">
        <v>2773917000</v>
      </c>
      <c r="W1408" s="28"/>
      <c r="X1408" s="28">
        <v>102055000</v>
      </c>
      <c r="Y1408" s="28">
        <v>3358302000</v>
      </c>
      <c r="Z1408" s="28">
        <v>-1074120000</v>
      </c>
      <c r="AA1408" s="28"/>
      <c r="AB1408" s="28"/>
      <c r="AC1408" s="28">
        <v>4339249000</v>
      </c>
      <c r="AD1408" s="28">
        <v>-1074110000</v>
      </c>
      <c r="AE1408" s="28">
        <v>16826424000</v>
      </c>
      <c r="AF1408" s="28">
        <v>-155990000</v>
      </c>
      <c r="AG1408" s="11"/>
    </row>
    <row r="1409">
      <c r="A1409" s="7" t="s">
        <v>3120</v>
      </c>
      <c r="B1409" s="5" t="s">
        <v>11113</v>
      </c>
      <c r="C1409" s="5" t="s">
        <v>18986</v>
      </c>
      <c r="D1409" s="5" t="str">
        <v>780601115937</v>
      </c>
      <c r="E1409" s="0" t="e">
        <f>+7 (495) 6663550
+7 (495) 6666325
+7 (495) 9949210
+7 (844) 2251276
+7 (844) 2309677
+7 (844) 2340434
+7 (844) 2354303
+7 (844) 2366331
+7 (844) 2371546
+7 (844) 2372512
+7 (844) 2536598
+7 (844) 2960646
+7 (844) 2699169
+7 (844) 2939169
+7 (844) 2960169</f>
        <v>#NAME?</v>
      </c>
      <c r="F1409" s="5" t="s">
        <v>29629</v>
      </c>
      <c r="G1409" s="5"/>
      <c r="H1409" s="26">
        <v>23</v>
      </c>
      <c r="I1409" s="5" t="s">
        <v>29630</v>
      </c>
      <c r="J1409" s="5" t="s">
        <v>29631</v>
      </c>
      <c r="K1409" s="5" t="s">
        <v>344</v>
      </c>
      <c r="L1409" s="5" t="s">
        <v>29632</v>
      </c>
      <c r="M1409" s="27">
        <v>12511978</v>
      </c>
      <c r="N1409" s="5" t="s">
        <v>51439</v>
      </c>
      <c r="O1409" s="5" t="str">
        <v>3445045202</v>
      </c>
      <c r="P1409" s="27">
        <v>10000</v>
      </c>
      <c r="Q1409" s="5" t="s">
        <v>51440</v>
      </c>
      <c r="R1409" s="5"/>
      <c r="S1409" s="5" t="s">
        <v>51438</v>
      </c>
      <c r="T1409" s="28">
        <v>277945000</v>
      </c>
      <c r="U1409" s="28">
        <v>8430000</v>
      </c>
      <c r="V1409" s="28">
        <v>3678690000</v>
      </c>
      <c r="W1409" s="28">
        <v>2425000000</v>
      </c>
      <c r="X1409" s="28">
        <v>91743000</v>
      </c>
      <c r="Y1409" s="28">
        <v>6619078000</v>
      </c>
      <c r="Z1409" s="28">
        <v>619754000</v>
      </c>
      <c r="AA1409" s="28"/>
      <c r="AB1409" s="28"/>
      <c r="AC1409" s="28">
        <v>5905051000</v>
      </c>
      <c r="AD1409" s="28">
        <v>619764000</v>
      </c>
      <c r="AE1409" s="28">
        <v>34651429000</v>
      </c>
      <c r="AF1409" s="28">
        <v>455327000</v>
      </c>
      <c r="AG1409" s="11"/>
    </row>
    <row r="1410">
      <c r="A1410" s="7" t="s">
        <v>3121</v>
      </c>
      <c r="B1410" s="5" t="s">
        <v>11114</v>
      </c>
      <c r="C1410" s="5" t="s">
        <v>18987</v>
      </c>
      <c r="D1410" s="5" t="str">
        <v>263205391481</v>
      </c>
      <c r="E1410" s="0" t="e">
        <f>+7 (800) 2223410
+7 (817) 2510100
+7 (817) 2570100
+7 (817) 2570108
+7 (817) 2570113
+7 (817) 2570125
+7 (817) 2570144
+7 (817) 2570151
+7 (817) 2570156
+7 (817) 2570158
+7 (817) 2570159
+7 (817) 2570162
+7 (817) 2570186
+7 (817) 2570190
+7 (817) 2728830</f>
        <v>#NAME?</v>
      </c>
      <c r="F1410" s="5" t="s">
        <v>29633</v>
      </c>
      <c r="G1410" s="5" t="s">
        <v>29634</v>
      </c>
      <c r="H1410" s="26">
        <v>22.5</v>
      </c>
      <c r="I1410" s="5" t="s">
        <v>29617</v>
      </c>
      <c r="J1410" s="5" t="s">
        <v>373</v>
      </c>
      <c r="K1410" s="5" t="s">
        <v>344</v>
      </c>
      <c r="L1410" s="5" t="s">
        <v>29635</v>
      </c>
      <c r="M1410" s="27"/>
      <c r="N1410" s="5" t="s">
        <v>51441</v>
      </c>
      <c r="O1410" s="5" t="str">
        <v>3525104171</v>
      </c>
      <c r="P1410" s="27">
        <v>10000</v>
      </c>
      <c r="Q1410" s="5" t="s">
        <v>51442</v>
      </c>
      <c r="R1410" s="5"/>
      <c r="S1410" s="5" t="s">
        <v>51430</v>
      </c>
      <c r="T1410" s="28">
        <v>97690000</v>
      </c>
      <c r="U1410" s="28">
        <v>5131000</v>
      </c>
      <c r="V1410" s="28">
        <v>1767713000</v>
      </c>
      <c r="W1410" s="28">
        <v>1855916000</v>
      </c>
      <c r="X1410" s="28">
        <v>809000</v>
      </c>
      <c r="Y1410" s="28">
        <v>3767793000</v>
      </c>
      <c r="Z1410" s="28">
        <v>583355000</v>
      </c>
      <c r="AA1410" s="28"/>
      <c r="AB1410" s="28"/>
      <c r="AC1410" s="28">
        <v>3176375000</v>
      </c>
      <c r="AD1410" s="28">
        <v>583453000</v>
      </c>
      <c r="AE1410" s="28">
        <v>24584663000</v>
      </c>
      <c r="AF1410" s="28">
        <v>342680000</v>
      </c>
      <c r="AG1410" s="11"/>
    </row>
    <row r="1411">
      <c r="A1411" s="7" t="s">
        <v>3122</v>
      </c>
      <c r="B1411" s="5" t="s">
        <v>11115</v>
      </c>
      <c r="C1411" s="5" t="s">
        <v>18949</v>
      </c>
      <c r="D1411" s="5" t="str">
        <v>290400157182</v>
      </c>
      <c r="E1411" s="0" t="e">
        <f>+7 (473) 2543408
+7 (473) 2243489
+7 (473) 2348489
+7 (473) 2502620
+7 (473) 2542418
+7 (473) 2543417
+7 (473) 2543498
+7 (473) 2543400
+7 (473) 2543402
+7 (473) 2543419
+7 (473) 2543431
+7 (473) 2543476
+7 (473) 2543477
+7 (473) 2543492
+7 (473) 2545418</f>
        <v>#NAME?</v>
      </c>
      <c r="F1411" s="5" t="s">
        <v>29636</v>
      </c>
      <c r="G1411" s="5"/>
      <c r="H1411" s="26">
        <v>23.5</v>
      </c>
      <c r="I1411" s="5" t="s">
        <v>29617</v>
      </c>
      <c r="J1411" s="5" t="s">
        <v>373</v>
      </c>
      <c r="K1411" s="5" t="s">
        <v>344</v>
      </c>
      <c r="L1411" s="5" t="s">
        <v>29637</v>
      </c>
      <c r="M1411" s="27">
        <v>6000</v>
      </c>
      <c r="N1411" s="5" t="s">
        <v>51443</v>
      </c>
      <c r="O1411" s="5" t="str">
        <v>3650004897</v>
      </c>
      <c r="P1411" s="27">
        <v>10000</v>
      </c>
      <c r="Q1411" s="5" t="s">
        <v>51444</v>
      </c>
      <c r="R1411" s="5"/>
      <c r="S1411" s="5" t="s">
        <v>51445</v>
      </c>
      <c r="T1411" s="28">
        <v>145685000</v>
      </c>
      <c r="U1411" s="28">
        <v>10634000</v>
      </c>
      <c r="V1411" s="28">
        <v>4692823000</v>
      </c>
      <c r="W1411" s="28">
        <v>371565000</v>
      </c>
      <c r="X1411" s="28">
        <v>5381000</v>
      </c>
      <c r="Y1411" s="28">
        <v>5393584000</v>
      </c>
      <c r="Z1411" s="28">
        <v>402178000</v>
      </c>
      <c r="AA1411" s="28"/>
      <c r="AB1411" s="28"/>
      <c r="AC1411" s="28">
        <v>4979995000</v>
      </c>
      <c r="AD1411" s="28">
        <v>402188000</v>
      </c>
      <c r="AE1411" s="28">
        <v>28350663000</v>
      </c>
      <c r="AF1411" s="28">
        <v>142117000</v>
      </c>
      <c r="AG1411" s="11"/>
    </row>
    <row r="1412">
      <c r="A1412" s="7" t="s">
        <v>3123</v>
      </c>
      <c r="B1412" s="5" t="s">
        <v>11116</v>
      </c>
      <c r="C1412" s="5" t="s">
        <v>18988</v>
      </c>
      <c r="D1412" s="5" t="str">
        <v>200502428807</v>
      </c>
      <c r="E1412" s="0" t="e">
        <f>+7 (871) 2223130
+7 (871) 2232422
+7 (871) 2244957
+7 (871) 2275447
+7 (871) 2285450
+7 (871) 2290012
+7 (871) 2295440
+7 (871) 2295449
+7 (87145) 22315
+7 (928) 10011
+7 (871) 2225447
+7 (871) 2295448
+7 (871) 2295450
+7 (871) 2295457
+7 (871) 2295474</f>
        <v>#NAME?</v>
      </c>
      <c r="F1412" s="5" t="s">
        <v>29638</v>
      </c>
      <c r="G1412" s="5" t="s">
        <v>29639</v>
      </c>
      <c r="H1412" s="26">
        <v>19</v>
      </c>
      <c r="I1412" s="5" t="s">
        <v>29617</v>
      </c>
      <c r="J1412" s="5" t="s">
        <v>29626</v>
      </c>
      <c r="K1412" s="5" t="s">
        <v>380</v>
      </c>
      <c r="L1412" s="5"/>
      <c r="M1412" s="27">
        <v>5090154</v>
      </c>
      <c r="N1412" s="5" t="s">
        <v>51446</v>
      </c>
      <c r="O1412" s="5" t="str">
        <v>2013006003</v>
      </c>
      <c r="P1412" s="27">
        <v>10000</v>
      </c>
      <c r="Q1412" s="5" t="s">
        <v>51447</v>
      </c>
      <c r="R1412" s="5"/>
      <c r="S1412" s="5" t="s">
        <v>50205</v>
      </c>
      <c r="T1412" s="28">
        <v>205547000</v>
      </c>
      <c r="U1412" s="28"/>
      <c r="V1412" s="28">
        <v>8009766000</v>
      </c>
      <c r="W1412" s="28"/>
      <c r="X1412" s="28">
        <v>130121000</v>
      </c>
      <c r="Y1412" s="28">
        <v>10803238000</v>
      </c>
      <c r="Z1412" s="28">
        <v>-109080117000</v>
      </c>
      <c r="AA1412" s="28"/>
      <c r="AB1412" s="28"/>
      <c r="AC1412" s="28">
        <v>119810650000</v>
      </c>
      <c r="AD1412" s="28">
        <v>-109080107000</v>
      </c>
      <c r="AE1412" s="28">
        <v>14183963000</v>
      </c>
      <c r="AF1412" s="28">
        <v>-6556229000</v>
      </c>
      <c r="AG1412" s="11"/>
    </row>
    <row r="1413">
      <c r="A1413" s="7" t="s">
        <v>3124</v>
      </c>
      <c r="B1413" s="5" t="s">
        <v>11074</v>
      </c>
      <c r="C1413" s="5" t="s">
        <v>18950</v>
      </c>
      <c r="D1413" s="5" t="str">
        <v>745303800923</v>
      </c>
      <c r="E1413" s="0" t="e">
        <f>+7 (415) 2419191
+7 (421) 2419999
+7 (421) 2494808
+7 (4232) 100101
+7 (424) 2494808
+7 (415) 2258038
+7 (415) 2258040
+7 (421) 2417401
+7 (421) 2419191</f>
        <v>#NAME?</v>
      </c>
      <c r="F1413" s="5" t="s">
        <v>29640</v>
      </c>
      <c r="G1413" s="5" t="s">
        <v>29641</v>
      </c>
      <c r="H1413" s="26">
        <v>8</v>
      </c>
      <c r="I1413" s="5" t="s">
        <v>29642</v>
      </c>
      <c r="J1413" s="5" t="s">
        <v>373</v>
      </c>
      <c r="K1413" s="5" t="s">
        <v>344</v>
      </c>
      <c r="L1413" s="5" t="s">
        <v>29643</v>
      </c>
      <c r="M1413" s="27"/>
      <c r="N1413" s="5" t="s">
        <v>51448</v>
      </c>
      <c r="O1413" s="5" t="str">
        <v>2722038529</v>
      </c>
      <c r="P1413" s="27">
        <v>56010000</v>
      </c>
      <c r="Q1413" s="5" t="s">
        <v>51449</v>
      </c>
      <c r="R1413" s="5"/>
      <c r="S1413" s="5" t="s">
        <v>51433</v>
      </c>
      <c r="T1413" s="28">
        <v>31203000</v>
      </c>
      <c r="U1413" s="28"/>
      <c r="V1413" s="28">
        <v>683225000</v>
      </c>
      <c r="W1413" s="28">
        <v>1607680000</v>
      </c>
      <c r="X1413" s="28"/>
      <c r="Y1413" s="28">
        <v>2356121000</v>
      </c>
      <c r="Z1413" s="28">
        <v>124961000</v>
      </c>
      <c r="AA1413" s="28"/>
      <c r="AB1413" s="28"/>
      <c r="AC1413" s="28">
        <v>2162722000</v>
      </c>
      <c r="AD1413" s="28">
        <v>180971000</v>
      </c>
      <c r="AE1413" s="28">
        <v>17610086000</v>
      </c>
      <c r="AF1413" s="28">
        <v>82056000</v>
      </c>
      <c r="AG1413" s="11"/>
    </row>
    <row r="1414">
      <c r="A1414" s="7" t="s">
        <v>3125</v>
      </c>
      <c r="B1414" s="5" t="s">
        <v>11117</v>
      </c>
      <c r="C1414" s="5" t="s">
        <v>18989</v>
      </c>
      <c r="D1414" s="5" t="str">
        <v>370251301486</v>
      </c>
      <c r="E1414" s="0" t="e">
        <f>+7 (493) 2303789
+7 (493) 2324997
+7 (493) 2325093
+7 (493) 2325802
+7 (493) 2325862
+7 (493) 2357504
+7 (493) 2357582
+7 (493) 2357594
+7 (493) 2377514</f>
        <v>#NAME?</v>
      </c>
      <c r="F1414" s="5" t="s">
        <v>29644</v>
      </c>
      <c r="G1414" s="5"/>
      <c r="H1414" s="26">
        <v>22.5</v>
      </c>
      <c r="I1414" s="5" t="s">
        <v>29617</v>
      </c>
      <c r="J1414" s="5" t="s">
        <v>373</v>
      </c>
      <c r="K1414" s="5" t="s">
        <v>344</v>
      </c>
      <c r="L1414" s="5"/>
      <c r="M1414" s="27"/>
      <c r="N1414" s="5" t="s">
        <v>51450</v>
      </c>
      <c r="O1414" s="5" t="str">
        <v>3702232505</v>
      </c>
      <c r="P1414" s="27">
        <v>10000</v>
      </c>
      <c r="Q1414" s="5" t="s">
        <v>51451</v>
      </c>
      <c r="R1414" s="5"/>
      <c r="S1414" s="5" t="s">
        <v>51430</v>
      </c>
      <c r="T1414" s="28">
        <v>173219000</v>
      </c>
      <c r="U1414" s="28">
        <v>280000</v>
      </c>
      <c r="V1414" s="28">
        <v>1731536000</v>
      </c>
      <c r="W1414" s="28">
        <v>660304000</v>
      </c>
      <c r="X1414" s="28">
        <v>31334000</v>
      </c>
      <c r="Y1414" s="28">
        <v>2694732000</v>
      </c>
      <c r="Z1414" s="28">
        <v>745156000</v>
      </c>
      <c r="AA1414" s="28"/>
      <c r="AB1414" s="28"/>
      <c r="AC1414" s="28">
        <v>1880514000</v>
      </c>
      <c r="AD1414" s="28">
        <v>745166000</v>
      </c>
      <c r="AE1414" s="28">
        <v>10391966000</v>
      </c>
      <c r="AF1414" s="28">
        <v>2928000</v>
      </c>
      <c r="AG1414" s="11"/>
    </row>
    <row r="1415">
      <c r="A1415" s="7" t="s">
        <v>3126</v>
      </c>
      <c r="B1415" s="5" t="s">
        <v>11118</v>
      </c>
      <c r="C1415" s="5" t="s">
        <v>18990</v>
      </c>
      <c r="D1415" s="5" t="str">
        <v>183100957018</v>
      </c>
      <c r="E1415" s="0" t="e">
        <f>+7 (3412) 628785
+7 (3412) 490108
+7 (3412) 490123
+7 (3412) 490130
+7 (3412) 490144
+7 (3412) 490190</f>
        <v>#NAME?</v>
      </c>
      <c r="F1415" s="5" t="s">
        <v>29645</v>
      </c>
      <c r="G1415" s="5" t="s">
        <v>29646</v>
      </c>
      <c r="H1415" s="26">
        <v>24</v>
      </c>
      <c r="I1415" s="5" t="s">
        <v>29647</v>
      </c>
      <c r="J1415" s="5" t="s">
        <v>373</v>
      </c>
      <c r="K1415" s="5" t="s">
        <v>344</v>
      </c>
      <c r="L1415" s="5" t="s">
        <v>29648</v>
      </c>
      <c r="M1415" s="27"/>
      <c r="N1415" s="5" t="s">
        <v>51452</v>
      </c>
      <c r="O1415" s="5" t="str">
        <v>1834021673</v>
      </c>
      <c r="P1415" s="27">
        <v>50000</v>
      </c>
      <c r="Q1415" s="5" t="s">
        <v>51453</v>
      </c>
      <c r="R1415" s="5"/>
      <c r="S1415" s="5" t="s">
        <v>50205</v>
      </c>
      <c r="T1415" s="28">
        <v>101601000</v>
      </c>
      <c r="U1415" s="28">
        <v>166000</v>
      </c>
      <c r="V1415" s="28">
        <v>2060464000</v>
      </c>
      <c r="W1415" s="28">
        <v>629158000</v>
      </c>
      <c r="X1415" s="28">
        <v>8947000</v>
      </c>
      <c r="Y1415" s="28">
        <v>2812170000</v>
      </c>
      <c r="Z1415" s="28">
        <v>622703000</v>
      </c>
      <c r="AA1415" s="28"/>
      <c r="AB1415" s="28"/>
      <c r="AC1415" s="28">
        <v>2176973000</v>
      </c>
      <c r="AD1415" s="28">
        <v>622753000</v>
      </c>
      <c r="AE1415" s="28">
        <v>11921054000</v>
      </c>
      <c r="AF1415" s="28">
        <v>103619000</v>
      </c>
      <c r="AG1415" s="11"/>
    </row>
    <row r="1416">
      <c r="A1416" s="7" t="s">
        <v>3127</v>
      </c>
      <c r="B1416" s="5" t="s">
        <v>11119</v>
      </c>
      <c r="C1416" s="5" t="s">
        <v>18991</v>
      </c>
      <c r="D1416" s="5" t="str">
        <v>431203143454</v>
      </c>
      <c r="E1416" s="0" t="e">
        <f>+7 (8362) 678967
+7 (8362) 680396
+7 (8362) 685841
+7 (8362) 412914
+7 (8362) 564043
+7 (8362) 564091
+7 (8362) 564181
+7 (8362) 564404
+7 (8362) 630396
+7 (8362) 630696
+7 (8362) 638055
+7 (8362) 658581
+7 (8362) 688507
+7 (8362) 688516
+7 (8362) 688521</f>
        <v>#NAME?</v>
      </c>
      <c r="F1416" s="5" t="s">
        <v>29649</v>
      </c>
      <c r="G1416" s="5"/>
      <c r="H1416" s="26">
        <v>22.5</v>
      </c>
      <c r="I1416" s="5" t="s">
        <v>29650</v>
      </c>
      <c r="J1416" s="5" t="s">
        <v>29631</v>
      </c>
      <c r="K1416" s="5" t="s">
        <v>344</v>
      </c>
      <c r="L1416" s="5" t="s">
        <v>29651</v>
      </c>
      <c r="M1416" s="27"/>
      <c r="N1416" s="5" t="s">
        <v>51454</v>
      </c>
      <c r="O1416" s="5" t="str">
        <v>1215068716</v>
      </c>
      <c r="P1416" s="27">
        <v>10000</v>
      </c>
      <c r="Q1416" s="5" t="s">
        <v>51455</v>
      </c>
      <c r="R1416" s="5"/>
      <c r="S1416" s="5" t="s">
        <v>51456</v>
      </c>
      <c r="T1416" s="28">
        <v>88497000</v>
      </c>
      <c r="U1416" s="28">
        <v>1356000</v>
      </c>
      <c r="V1416" s="28">
        <v>756178000</v>
      </c>
      <c r="W1416" s="28">
        <v>286342000</v>
      </c>
      <c r="X1416" s="28">
        <v>7690000</v>
      </c>
      <c r="Y1416" s="28">
        <v>1178945000</v>
      </c>
      <c r="Z1416" s="28">
        <v>187227000</v>
      </c>
      <c r="AA1416" s="28"/>
      <c r="AB1416" s="28"/>
      <c r="AC1416" s="28">
        <v>971520000</v>
      </c>
      <c r="AD1416" s="28">
        <v>187237000</v>
      </c>
      <c r="AE1416" s="28">
        <v>6234661000</v>
      </c>
      <c r="AF1416" s="28">
        <v>2393000</v>
      </c>
      <c r="AG1416" s="11"/>
    </row>
    <row r="1417">
      <c r="A1417" s="7" t="s">
        <v>3128</v>
      </c>
      <c r="B1417" s="5" t="s">
        <v>11120</v>
      </c>
      <c r="C1417" s="5" t="s">
        <v>18992</v>
      </c>
      <c r="D1417" s="5" t="str">
        <v>165916085683</v>
      </c>
      <c r="E1417" s="0" t="e">
        <f>+7 (8342) 350790
+7 (8422) 350725
+7 (8422) 350790
+7 (8432) 50700
+7 (8432) 330725
+7 (8432) 340790
+7 (8432) 350070
+7 (8432) 350079
+7 (8432) 350100
+7 (8432) 350190
+7 (8432) 350290
+7 (8432) 340700
+7 (8432) 350701
+7 (8432) 350702
+7 (8432) 350704</f>
        <v>#NAME?</v>
      </c>
      <c r="F1417" s="5" t="s">
        <v>29652</v>
      </c>
      <c r="G1417" s="5"/>
      <c r="H1417" s="26">
        <v>25.5</v>
      </c>
      <c r="I1417" s="5"/>
      <c r="J1417" s="5" t="s">
        <v>373</v>
      </c>
      <c r="K1417" s="5" t="s">
        <v>344</v>
      </c>
      <c r="L1417" s="5" t="s">
        <v>29653</v>
      </c>
      <c r="M1417" s="27">
        <v>4019049</v>
      </c>
      <c r="N1417" s="5" t="s">
        <v>51457</v>
      </c>
      <c r="O1417" s="5" t="str">
        <v>1660031631</v>
      </c>
      <c r="P1417" s="27">
        <v>90000</v>
      </c>
      <c r="Q1417" s="5" t="s">
        <v>51458</v>
      </c>
      <c r="R1417" s="5"/>
      <c r="S1417" s="5" t="s">
        <v>50205</v>
      </c>
      <c r="T1417" s="28">
        <v>179100000</v>
      </c>
      <c r="U1417" s="28">
        <v>1168000</v>
      </c>
      <c r="V1417" s="28">
        <v>3626366000</v>
      </c>
      <c r="W1417" s="28">
        <v>877000000</v>
      </c>
      <c r="X1417" s="28">
        <v>7694435000</v>
      </c>
      <c r="Y1417" s="28">
        <v>12737013000</v>
      </c>
      <c r="Z1417" s="28">
        <v>1684219000</v>
      </c>
      <c r="AA1417" s="28"/>
      <c r="AB1417" s="28"/>
      <c r="AC1417" s="28">
        <v>11015000000</v>
      </c>
      <c r="AD1417" s="28">
        <v>1686780000</v>
      </c>
      <c r="AE1417" s="28">
        <v>89304590000</v>
      </c>
      <c r="AF1417" s="28">
        <v>736925000</v>
      </c>
      <c r="AG1417" s="11"/>
    </row>
    <row r="1418">
      <c r="A1418" s="7" t="s">
        <v>3129</v>
      </c>
      <c r="B1418" s="5" t="s">
        <v>11121</v>
      </c>
      <c r="C1418" s="5" t="s">
        <v>18993</v>
      </c>
      <c r="D1418" s="5" t="str">
        <v>550510576870</v>
      </c>
      <c r="E1418" s="0" t="e">
        <f>+7 (484) 2210316
+7 (484) 2502614
+7 (484) 2502822
+7 (484) 2210612
+7 (484) 2210617
+7 (484) 2210618
+7 (484) 2210619
+7 (484) 2210620
+7 (484) 2210621
+7 (484) 2210623
+7 (484) 2210625
+7 (484) 2210627
+7 (484) 2210630
+7 (484) 2225311
+7 (484) 2523033</f>
        <v>#NAME?</v>
      </c>
      <c r="F1418" s="5" t="s">
        <v>29654</v>
      </c>
      <c r="G1418" s="5"/>
      <c r="H1418" s="26">
        <v>23</v>
      </c>
      <c r="I1418" s="5" t="s">
        <v>29655</v>
      </c>
      <c r="J1418" s="5" t="s">
        <v>29626</v>
      </c>
      <c r="K1418" s="5" t="s">
        <v>344</v>
      </c>
      <c r="L1418" s="5"/>
      <c r="M1418" s="27">
        <v>12585745</v>
      </c>
      <c r="N1418" s="5" t="s">
        <v>51459</v>
      </c>
      <c r="O1418" s="5" t="str">
        <v>4029019805</v>
      </c>
      <c r="P1418" s="27">
        <v>10000</v>
      </c>
      <c r="Q1418" s="5" t="s">
        <v>51460</v>
      </c>
      <c r="R1418" s="5"/>
      <c r="S1418" s="5" t="s">
        <v>51430</v>
      </c>
      <c r="T1418" s="28">
        <v>92920000</v>
      </c>
      <c r="U1418" s="28"/>
      <c r="V1418" s="28">
        <v>2440694000</v>
      </c>
      <c r="W1418" s="28">
        <v>277323000</v>
      </c>
      <c r="X1418" s="28">
        <v>7519000</v>
      </c>
      <c r="Y1418" s="28">
        <v>2862142000</v>
      </c>
      <c r="Z1418" s="28">
        <v>91673000</v>
      </c>
      <c r="AA1418" s="28"/>
      <c r="AB1418" s="28"/>
      <c r="AC1418" s="28">
        <v>2721210000</v>
      </c>
      <c r="AD1418" s="28">
        <v>91683000</v>
      </c>
      <c r="AE1418" s="28">
        <v>12838447000</v>
      </c>
      <c r="AF1418" s="28">
        <v>267000</v>
      </c>
      <c r="AG1418" s="11"/>
    </row>
    <row r="1419">
      <c r="A1419" s="7" t="s">
        <v>3130</v>
      </c>
      <c r="B1419" s="5" t="s">
        <v>11122</v>
      </c>
      <c r="C1419" s="5" t="s">
        <v>18994</v>
      </c>
      <c r="D1419" s="5" t="str">
        <v>420507550527</v>
      </c>
      <c r="E1419" s="0" t="e">
        <f>+7 (384) 2365552
+7 (384) 2440055
+7 (384) 2450043
+7 (384) 2450020
+7 (384) 2450023
+7 (384) 2450038
+7 (384) 2450039
+7 (384) 2574220
+7 (384) 2574295
+7 (384) 2574355</f>
        <v>#NAME?</v>
      </c>
      <c r="F1419" s="5" t="s">
        <v>29656</v>
      </c>
      <c r="G1419" s="5"/>
      <c r="H1419" s="26">
        <v>23</v>
      </c>
      <c r="I1419" s="5" t="s">
        <v>29617</v>
      </c>
      <c r="J1419" s="5" t="s">
        <v>373</v>
      </c>
      <c r="K1419" s="5" t="s">
        <v>344</v>
      </c>
      <c r="L1419" s="5" t="s">
        <v>29657</v>
      </c>
      <c r="M1419" s="27"/>
      <c r="N1419" s="5" t="s">
        <v>51461</v>
      </c>
      <c r="O1419" s="5" t="str">
        <v>4207059960</v>
      </c>
      <c r="P1419" s="27">
        <v>10000</v>
      </c>
      <c r="Q1419" s="5" t="s">
        <v>51462</v>
      </c>
      <c r="R1419" s="5"/>
      <c r="S1419" s="5" t="s">
        <v>49139</v>
      </c>
      <c r="T1419" s="28">
        <v>23578000</v>
      </c>
      <c r="U1419" s="28"/>
      <c r="V1419" s="28">
        <v>1272757000</v>
      </c>
      <c r="W1419" s="28">
        <v>2175355000</v>
      </c>
      <c r="X1419" s="28">
        <v>1219000</v>
      </c>
      <c r="Y1419" s="28">
        <v>3781983000</v>
      </c>
      <c r="Z1419" s="28">
        <v>1854927000</v>
      </c>
      <c r="AA1419" s="28"/>
      <c r="AB1419" s="28"/>
      <c r="AC1419" s="28">
        <v>1923595000</v>
      </c>
      <c r="AD1419" s="28">
        <v>1854937000</v>
      </c>
      <c r="AE1419" s="28">
        <v>17884022000</v>
      </c>
      <c r="AF1419" s="28">
        <v>776717000</v>
      </c>
      <c r="AG1419" s="11"/>
    </row>
    <row r="1420">
      <c r="A1420" s="7" t="s">
        <v>3131</v>
      </c>
      <c r="B1420" s="5" t="s">
        <v>11123</v>
      </c>
      <c r="C1420" s="5" t="s">
        <v>18995</v>
      </c>
      <c r="D1420" s="5" t="str">
        <v>631903404932</v>
      </c>
      <c r="E1420" s="0" t="e">
        <f>+7 (8332) 349448
+7 (8332) 350203
+7 (8332) 350538
+7 (8332) 350712
+7 (8332) 350962
+7 (8332) 351142
+7 (8332) 353504
+7 (8332) 359393
+7 (8332) 359400
+7 (8332) 359403
+7 (8332) 359410
+7 (8332) 359413
+7 (8332) 359421
+7 (8332) 359424
+7 (8332) 359430</f>
        <v>#NAME?</v>
      </c>
      <c r="F1420" s="5" t="s">
        <v>29658</v>
      </c>
      <c r="G1420" s="5" t="s">
        <v>29659</v>
      </c>
      <c r="H1420" s="26">
        <v>23</v>
      </c>
      <c r="I1420" s="5" t="s">
        <v>29660</v>
      </c>
      <c r="J1420" s="5" t="s">
        <v>29631</v>
      </c>
      <c r="K1420" s="5" t="s">
        <v>344</v>
      </c>
      <c r="L1420" s="5" t="s">
        <v>29661</v>
      </c>
      <c r="M1420" s="27">
        <v>192000000</v>
      </c>
      <c r="N1420" s="5" t="s">
        <v>51463</v>
      </c>
      <c r="O1420" s="5" t="str">
        <v>4345010511</v>
      </c>
      <c r="P1420" s="27">
        <v>10000</v>
      </c>
      <c r="Q1420" s="5" t="s">
        <v>51464</v>
      </c>
      <c r="R1420" s="5"/>
      <c r="S1420" s="5" t="s">
        <v>51465</v>
      </c>
      <c r="T1420" s="28">
        <v>82943000</v>
      </c>
      <c r="U1420" s="28">
        <v>1329000</v>
      </c>
      <c r="V1420" s="28">
        <v>761741000</v>
      </c>
      <c r="W1420" s="28">
        <v>1174000000</v>
      </c>
      <c r="X1420" s="28">
        <v>460977000</v>
      </c>
      <c r="Y1420" s="28">
        <v>2547223000</v>
      </c>
      <c r="Z1420" s="28">
        <v>453549000</v>
      </c>
      <c r="AA1420" s="28"/>
      <c r="AB1420" s="28"/>
      <c r="AC1420" s="28">
        <v>2052055000</v>
      </c>
      <c r="AD1420" s="28">
        <v>453559000</v>
      </c>
      <c r="AE1420" s="28">
        <v>17278858000</v>
      </c>
      <c r="AF1420" s="28">
        <v>199441000</v>
      </c>
      <c r="AG1420" s="11"/>
    </row>
    <row r="1421">
      <c r="A1421" s="7" t="s">
        <v>3132</v>
      </c>
      <c r="B1421" s="5" t="s">
        <v>11124</v>
      </c>
      <c r="C1421" s="5" t="s">
        <v>18951</v>
      </c>
      <c r="D1421" s="5" t="str">
        <v>910403751642</v>
      </c>
      <c r="E1421" s="0" t="e">
        <f>+7 (495) 2792607
+7 (861) 2067077
+7 (861) 2128428
+7 (861) 2128439
+7 (861) 2128450
+7 (861) 2265487
+7 (861) 2351123
+7 (861) 2501835
+7 (861) 2595654
+7 (861) 2672530
+7 (861) 2712691
+7 (861) 2722530
+7 (861) 1792513
+7 (861) 2128425
+7 (861) 2702265</f>
        <v>#NAME?</v>
      </c>
      <c r="F1421" s="5" t="s">
        <v>29662</v>
      </c>
      <c r="G1421" s="5"/>
      <c r="H1421" s="26">
        <v>23</v>
      </c>
      <c r="I1421" s="5" t="s">
        <v>29663</v>
      </c>
      <c r="J1421" s="5" t="s">
        <v>29631</v>
      </c>
      <c r="K1421" s="5" t="s">
        <v>355</v>
      </c>
      <c r="L1421" s="5"/>
      <c r="M1421" s="27">
        <v>180075342</v>
      </c>
      <c r="N1421" s="5" t="s">
        <v>51466</v>
      </c>
      <c r="O1421" s="5" t="str">
        <v>2308070396</v>
      </c>
      <c r="P1421" s="27">
        <v>10000</v>
      </c>
      <c r="Q1421" s="5" t="s">
        <v>51467</v>
      </c>
      <c r="R1421" s="5"/>
      <c r="S1421" s="5" t="s">
        <v>51438</v>
      </c>
      <c r="T1421" s="28">
        <v>555126000</v>
      </c>
      <c r="U1421" s="28"/>
      <c r="V1421" s="28">
        <v>3655270000</v>
      </c>
      <c r="W1421" s="28">
        <v>4990000000</v>
      </c>
      <c r="X1421" s="28">
        <v>1764291000</v>
      </c>
      <c r="Y1421" s="28">
        <v>11883544000</v>
      </c>
      <c r="Z1421" s="28">
        <v>88436000</v>
      </c>
      <c r="AA1421" s="28"/>
      <c r="AB1421" s="28"/>
      <c r="AC1421" s="28">
        <v>11709073000</v>
      </c>
      <c r="AD1421" s="28">
        <v>88446000</v>
      </c>
      <c r="AE1421" s="28">
        <v>55404165000</v>
      </c>
      <c r="AF1421" s="28">
        <v>225621000</v>
      </c>
      <c r="AG1421" s="11"/>
    </row>
    <row r="1422">
      <c r="A1422" s="7" t="s">
        <v>3133</v>
      </c>
      <c r="B1422" s="5" t="s">
        <v>11125</v>
      </c>
      <c r="C1422" s="5" t="s">
        <v>18996</v>
      </c>
      <c r="D1422" s="5" t="str">
        <v>770304962638</v>
      </c>
      <c r="E1422" s="0" t="e">
        <f>+7 (3522) 417729
+7 (3522) 417817
+7 (3522) 467229
+7 (3522) 498206
+7 (3522) 498213
+7 (3522) 498230
+7 (3522) 498237
+7 (3522) 498243
+7 (3522) 498249
+7 (3522) 498254
+7 (3522) 498296
+7 (3522) 498297</f>
        <v>#NAME?</v>
      </c>
      <c r="F1422" s="5" t="s">
        <v>29664</v>
      </c>
      <c r="G1422" s="5" t="s">
        <v>29665</v>
      </c>
      <c r="H1422" s="26">
        <v>22.5</v>
      </c>
      <c r="I1422" s="5" t="s">
        <v>29617</v>
      </c>
      <c r="J1422" s="5" t="s">
        <v>373</v>
      </c>
      <c r="K1422" s="5" t="s">
        <v>344</v>
      </c>
      <c r="L1422" s="5" t="s">
        <v>29666</v>
      </c>
      <c r="M1422" s="27"/>
      <c r="N1422" s="5" t="s">
        <v>51468</v>
      </c>
      <c r="O1422" s="5" t="str">
        <v>4501090309</v>
      </c>
      <c r="P1422" s="27">
        <v>10000</v>
      </c>
      <c r="Q1422" s="5" t="s">
        <v>51469</v>
      </c>
      <c r="R1422" s="5"/>
      <c r="S1422" s="5" t="s">
        <v>50951</v>
      </c>
      <c r="T1422" s="28">
        <v>102896000</v>
      </c>
      <c r="U1422" s="28"/>
      <c r="V1422" s="28">
        <v>2321910000</v>
      </c>
      <c r="W1422" s="28">
        <v>457878000</v>
      </c>
      <c r="X1422" s="28">
        <v>6066000</v>
      </c>
      <c r="Y1422" s="28">
        <v>2954871000</v>
      </c>
      <c r="Z1422" s="28">
        <v>447059000</v>
      </c>
      <c r="AA1422" s="28"/>
      <c r="AB1422" s="28"/>
      <c r="AC1422" s="28">
        <v>2505878000</v>
      </c>
      <c r="AD1422" s="28">
        <v>447069000</v>
      </c>
      <c r="AE1422" s="28">
        <v>19903313000</v>
      </c>
      <c r="AF1422" s="28">
        <v>208609000</v>
      </c>
      <c r="AG1422" s="11"/>
    </row>
    <row r="1423">
      <c r="A1423" s="7" t="s">
        <v>3134</v>
      </c>
      <c r="B1423" s="5" t="s">
        <v>11126</v>
      </c>
      <c r="C1423" s="5" t="s">
        <v>18997</v>
      </c>
      <c r="D1423" s="5" t="str">
        <v>575300417120</v>
      </c>
      <c r="E1423" s="0" t="e">
        <f>+7 (4712) 375251
+7 (4712) 390301
+7 (4712) 514970
+7 (4712) 733251
+7 (4712) 733569
+7 (4712) 735221
+7 (4712) 510570
+7 (4712) 700828
+7 (4712) 735200
+7 (4712) 735201
+7 (4712) 735205
+7 (4712) 735206
+7 (4712) 735220
+7 (4712) 735222
+7 (4712) 735224</f>
        <v>#NAME?</v>
      </c>
      <c r="F1423" s="5" t="s">
        <v>29667</v>
      </c>
      <c r="G1423" s="5"/>
      <c r="H1423" s="26">
        <v>22.5</v>
      </c>
      <c r="I1423" s="5" t="s">
        <v>29668</v>
      </c>
      <c r="J1423" s="5" t="s">
        <v>29628</v>
      </c>
      <c r="K1423" s="5" t="s">
        <v>344</v>
      </c>
      <c r="L1423" s="5" t="s">
        <v>29669</v>
      </c>
      <c r="M1423" s="27">
        <v>2816562</v>
      </c>
      <c r="N1423" s="5" t="s">
        <v>51470</v>
      </c>
      <c r="O1423" s="5" t="str">
        <v>4629051286</v>
      </c>
      <c r="P1423" s="27">
        <v>10000</v>
      </c>
      <c r="Q1423" s="5" t="s">
        <v>51471</v>
      </c>
      <c r="R1423" s="5"/>
      <c r="S1423" s="5" t="s">
        <v>51472</v>
      </c>
      <c r="T1423" s="28">
        <v>40585000</v>
      </c>
      <c r="U1423" s="28"/>
      <c r="V1423" s="28">
        <v>1700911000</v>
      </c>
      <c r="W1423" s="28">
        <v>556333000</v>
      </c>
      <c r="X1423" s="28">
        <v>766000</v>
      </c>
      <c r="Y1423" s="28">
        <v>2317714000</v>
      </c>
      <c r="Z1423" s="28">
        <v>73192000</v>
      </c>
      <c r="AA1423" s="28"/>
      <c r="AB1423" s="28"/>
      <c r="AC1423" s="28">
        <v>2230480000</v>
      </c>
      <c r="AD1423" s="28">
        <v>73202000</v>
      </c>
      <c r="AE1423" s="28">
        <v>12993700000</v>
      </c>
      <c r="AF1423" s="28">
        <v>3671000</v>
      </c>
      <c r="AG1423" s="11"/>
    </row>
    <row r="1424">
      <c r="A1424" s="7" t="s">
        <v>3135</v>
      </c>
      <c r="B1424" s="5" t="s">
        <v>11127</v>
      </c>
      <c r="C1424" s="5" t="s">
        <v>18953</v>
      </c>
      <c r="D1424" s="5" t="str">
        <v>481700351456</v>
      </c>
      <c r="E1424" s="0" t="e">
        <f>+7 (424) 2420290
+7 (474) 2252525
+7 (474) 2368208
+7 (474) 2381758
+7 (474) 2420240
+7 (474) 2420328
+7 (474) 2420490
+7 (474) 2474222
+7 (424) 2420230
+7 (474) 2400230
+7 (474) 2420036
+7 (474) 2420227
+7 (474) 2420249
+7 (474) 2420257
+7 (474) 2420320</f>
        <v>#NAME?</v>
      </c>
      <c r="F1424" s="5" t="s">
        <v>29670</v>
      </c>
      <c r="G1424" s="5" t="s">
        <v>29671</v>
      </c>
      <c r="H1424" s="26">
        <v>23</v>
      </c>
      <c r="I1424" s="5" t="s">
        <v>29672</v>
      </c>
      <c r="J1424" s="5" t="s">
        <v>373</v>
      </c>
      <c r="K1424" s="5" t="s">
        <v>344</v>
      </c>
      <c r="L1424" s="5" t="s">
        <v>29673</v>
      </c>
      <c r="M1424" s="27"/>
      <c r="N1424" s="5" t="s">
        <v>51473</v>
      </c>
      <c r="O1424" s="5" t="str">
        <v>4825024049</v>
      </c>
      <c r="P1424" s="27">
        <v>200421000</v>
      </c>
      <c r="Q1424" s="5" t="s">
        <v>51474</v>
      </c>
      <c r="R1424" s="5"/>
      <c r="S1424" s="5" t="s">
        <v>49271</v>
      </c>
      <c r="T1424" s="28">
        <v>133281000</v>
      </c>
      <c r="U1424" s="28"/>
      <c r="V1424" s="28">
        <v>1885733000</v>
      </c>
      <c r="W1424" s="28">
        <v>1571157000</v>
      </c>
      <c r="X1424" s="28">
        <v>7398000</v>
      </c>
      <c r="Y1424" s="28">
        <v>3670382000</v>
      </c>
      <c r="Z1424" s="28">
        <v>950505000</v>
      </c>
      <c r="AA1424" s="28"/>
      <c r="AB1424" s="28"/>
      <c r="AC1424" s="28">
        <v>2509381000</v>
      </c>
      <c r="AD1424" s="28">
        <v>1150926000</v>
      </c>
      <c r="AE1424" s="28">
        <v>15718344000</v>
      </c>
      <c r="AF1424" s="28">
        <v>398118000</v>
      </c>
      <c r="AG1424" s="11"/>
    </row>
    <row r="1425">
      <c r="A1425" s="7" t="s">
        <v>3136</v>
      </c>
      <c r="B1425" s="5" t="s">
        <v>11128</v>
      </c>
      <c r="C1425" s="5" t="s">
        <v>18998</v>
      </c>
      <c r="D1425" s="5" t="str">
        <v>231104395046</v>
      </c>
      <c r="E1425" s="0" t="e">
        <f>+7 (877) 2522369
+7 (877) 2523665
+7 (877) 2524163
+7 (877) 2525869
+7 (877) 2526312
+7 (877) 2526335
+7 (877) 2526336
+7 (877) 2526338
+7 (877) 2526339
+7 (877) 2533530
+7 (877) 2562365
+7 (877) 2593230
+7 (877) 2270185
+7 (877) 2271043
+7 (877) 2570185</f>
        <v>#NAME?</v>
      </c>
      <c r="F1425" s="5" t="s">
        <v>29674</v>
      </c>
      <c r="G1425" s="5" t="s">
        <v>29675</v>
      </c>
      <c r="H1425" s="26">
        <v>23.5</v>
      </c>
      <c r="I1425" s="5" t="s">
        <v>29676</v>
      </c>
      <c r="J1425" s="5" t="s">
        <v>373</v>
      </c>
      <c r="K1425" s="5" t="s">
        <v>380</v>
      </c>
      <c r="L1425" s="5"/>
      <c r="M1425" s="27"/>
      <c r="N1425" s="5" t="s">
        <v>51475</v>
      </c>
      <c r="O1425" s="5" t="str">
        <v>0105030468</v>
      </c>
      <c r="P1425" s="27">
        <v>10000</v>
      </c>
      <c r="Q1425" s="5" t="s">
        <v>49009</v>
      </c>
      <c r="R1425" s="5"/>
      <c r="S1425" s="5" t="s">
        <v>50290</v>
      </c>
      <c r="T1425" s="28">
        <v>49048000</v>
      </c>
      <c r="U1425" s="28">
        <v>5745000</v>
      </c>
      <c r="V1425" s="28">
        <v>584768000</v>
      </c>
      <c r="W1425" s="28">
        <v>5746000</v>
      </c>
      <c r="X1425" s="28">
        <v>150000</v>
      </c>
      <c r="Y1425" s="28">
        <v>964529000</v>
      </c>
      <c r="Z1425" s="28">
        <v>-3180255000</v>
      </c>
      <c r="AA1425" s="28"/>
      <c r="AB1425" s="28"/>
      <c r="AC1425" s="28">
        <v>4137675000</v>
      </c>
      <c r="AD1425" s="28">
        <v>-3175152000</v>
      </c>
      <c r="AE1425" s="28">
        <v>3933328000</v>
      </c>
      <c r="AF1425" s="28">
        <v>-97707000</v>
      </c>
      <c r="AG1425" s="11"/>
    </row>
    <row r="1426">
      <c r="A1426" s="7" t="s">
        <v>3137</v>
      </c>
      <c r="B1426" s="5" t="s">
        <v>11129</v>
      </c>
      <c r="C1426" s="5" t="s">
        <v>18999</v>
      </c>
      <c r="D1426" s="5" t="str">
        <v>056202378415</v>
      </c>
      <c r="E1426" s="0" t="e">
        <f>+7 (800) 1005900
+7 (800) 2009804
+7 (872) 2510426
+7 (872) 2556655
+7 (872) 2565577
+7 (872) 2569632
+7 (872) 2635211
+7 (872) 2637467
+7 (872) 2647896
+7 (872) 2651144
+7 (872) 2656565
+7 (800) 1005990
+7 (872) 2515663
+7 (872) 2520094
+7 (872) 2561832</f>
        <v>#NAME?</v>
      </c>
      <c r="F1426" s="5" t="s">
        <v>29677</v>
      </c>
      <c r="G1426" s="5" t="s">
        <v>29678</v>
      </c>
      <c r="H1426" s="26">
        <v>6.5</v>
      </c>
      <c r="I1426" s="5" t="s">
        <v>29617</v>
      </c>
      <c r="J1426" s="5" t="s">
        <v>29626</v>
      </c>
      <c r="K1426" s="5" t="s">
        <v>355</v>
      </c>
      <c r="L1426" s="5"/>
      <c r="M1426" s="27">
        <v>72807659</v>
      </c>
      <c r="N1426" s="5" t="s">
        <v>51476</v>
      </c>
      <c r="O1426" s="5" t="str">
        <v>0571008854</v>
      </c>
      <c r="P1426" s="27">
        <v>10000</v>
      </c>
      <c r="Q1426" s="5" t="s">
        <v>51477</v>
      </c>
      <c r="R1426" s="5"/>
      <c r="S1426" s="5" t="s">
        <v>50205</v>
      </c>
      <c r="T1426" s="28">
        <v>311146000</v>
      </c>
      <c r="U1426" s="28"/>
      <c r="V1426" s="28">
        <v>9930042000</v>
      </c>
      <c r="W1426" s="28"/>
      <c r="X1426" s="28">
        <v>185546000</v>
      </c>
      <c r="Y1426" s="28">
        <v>14297763000</v>
      </c>
      <c r="Z1426" s="28">
        <v>-59244232000</v>
      </c>
      <c r="AA1426" s="28"/>
      <c r="AB1426" s="28"/>
      <c r="AC1426" s="28">
        <v>73526517000</v>
      </c>
      <c r="AD1426" s="28">
        <v>-59244222000</v>
      </c>
      <c r="AE1426" s="28">
        <v>14199162000</v>
      </c>
      <c r="AF1426" s="28">
        <v>-14256936000</v>
      </c>
      <c r="AG1426" s="11"/>
    </row>
    <row r="1427">
      <c r="A1427" s="7" t="s">
        <v>3138</v>
      </c>
      <c r="B1427" s="5" t="s">
        <v>11130</v>
      </c>
      <c r="C1427" s="5" t="s">
        <v>19000</v>
      </c>
      <c r="D1427" s="5" t="str">
        <v>100114237800</v>
      </c>
      <c r="E1427" s="0" t="e">
        <f>+7 (495) 4958172
+7 (495) 4999258
+7 (495) 5542164
+7 (495) 6609554
+7 (495) 6982547
+7 (495) 8171212
+7 (495) 2549835
+7 (495) 3579621
+7 (495) 5103192
+7 (495) 5292596
+7 (495) 5833212
+7 (495) 6603009
+7 (495) 6621530
+7 (495) 8122858
+7 (495) 8171272</f>
        <v>#NAME?</v>
      </c>
      <c r="F1427" s="5" t="s">
        <v>29679</v>
      </c>
      <c r="G1427" s="5"/>
      <c r="H1427" s="26">
        <v>22.5</v>
      </c>
      <c r="I1427" s="5" t="s">
        <v>29617</v>
      </c>
      <c r="J1427" s="5" t="s">
        <v>29631</v>
      </c>
      <c r="K1427" s="5" t="s">
        <v>344</v>
      </c>
      <c r="L1427" s="5" t="s">
        <v>29680</v>
      </c>
      <c r="M1427" s="27">
        <v>497208</v>
      </c>
      <c r="N1427" s="5" t="s">
        <v>51478</v>
      </c>
      <c r="O1427" s="5" t="str">
        <v>5009033419</v>
      </c>
      <c r="P1427" s="27">
        <v>10000</v>
      </c>
      <c r="Q1427" s="5" t="s">
        <v>51479</v>
      </c>
      <c r="R1427" s="5"/>
      <c r="S1427" s="5" t="s">
        <v>51480</v>
      </c>
      <c r="T1427" s="28">
        <v>491056000</v>
      </c>
      <c r="U1427" s="28">
        <v>60888000</v>
      </c>
      <c r="V1427" s="28">
        <v>18087192000</v>
      </c>
      <c r="W1427" s="28">
        <v>11222137000</v>
      </c>
      <c r="X1427" s="28">
        <v>13779000</v>
      </c>
      <c r="Y1427" s="28">
        <v>30121924000</v>
      </c>
      <c r="Z1427" s="28">
        <v>3529840000</v>
      </c>
      <c r="AA1427" s="28"/>
      <c r="AB1427" s="28"/>
      <c r="AC1427" s="28">
        <v>26413226000</v>
      </c>
      <c r="AD1427" s="28">
        <v>3529850000</v>
      </c>
      <c r="AE1427" s="28">
        <v>134453222000</v>
      </c>
      <c r="AF1427" s="28">
        <v>1510810000</v>
      </c>
      <c r="AG1427" s="11"/>
    </row>
    <row r="1428">
      <c r="A1428" s="7" t="s">
        <v>3139</v>
      </c>
      <c r="B1428" s="5" t="s">
        <v>11131</v>
      </c>
      <c r="C1428" s="5" t="s">
        <v>19001</v>
      </c>
      <c r="D1428" s="5" t="str">
        <v>071409385444</v>
      </c>
      <c r="E1428" s="0" t="e">
        <f>+7 (800) 1000904
+7 (866) 2403573
+7 (866) 2403734
+7 (866) 2405274
+7 (866) 2408345
+7 (866) 2420000
+7 (866) 2422548
+7 (866) 2422558
+7 (866) 2422596
+7 (866) 2422859
+7 (866) 2423152
+7 (866) 2423253
+7 (866) 2423273
+7 (866) 2423432
+7 (866) 2403124</f>
        <v>#NAME?</v>
      </c>
      <c r="F1428" s="5" t="s">
        <v>29681</v>
      </c>
      <c r="G1428" s="5" t="s">
        <v>29682</v>
      </c>
      <c r="H1428" s="26">
        <v>6.5</v>
      </c>
      <c r="I1428" s="5" t="s">
        <v>29617</v>
      </c>
      <c r="J1428" s="5" t="s">
        <v>29513</v>
      </c>
      <c r="K1428" s="5" t="s">
        <v>380</v>
      </c>
      <c r="L1428" s="5"/>
      <c r="M1428" s="27">
        <v>77695173</v>
      </c>
      <c r="N1428" s="5" t="s">
        <v>51481</v>
      </c>
      <c r="O1428" s="5" t="str">
        <v>0726016152</v>
      </c>
      <c r="P1428" s="27">
        <v>10000</v>
      </c>
      <c r="Q1428" s="5" t="s">
        <v>51482</v>
      </c>
      <c r="R1428" s="5"/>
      <c r="S1428" s="5" t="s">
        <v>51483</v>
      </c>
      <c r="T1428" s="28">
        <v>205811000</v>
      </c>
      <c r="U1428" s="28"/>
      <c r="V1428" s="28">
        <v>5357289000</v>
      </c>
      <c r="W1428" s="28"/>
      <c r="X1428" s="28">
        <v>8104000</v>
      </c>
      <c r="Y1428" s="28">
        <v>7473873000</v>
      </c>
      <c r="Z1428" s="28">
        <v>-19755349000</v>
      </c>
      <c r="AA1428" s="28"/>
      <c r="AB1428" s="28"/>
      <c r="AC1428" s="28">
        <v>27216843000</v>
      </c>
      <c r="AD1428" s="28">
        <v>-19755339000</v>
      </c>
      <c r="AE1428" s="28">
        <v>6835965000</v>
      </c>
      <c r="AF1428" s="28">
        <v>-4319483000</v>
      </c>
      <c r="AG1428" s="11"/>
    </row>
    <row r="1429">
      <c r="A1429" s="7" t="s">
        <v>3140</v>
      </c>
      <c r="B1429" s="5" t="s">
        <v>11132</v>
      </c>
      <c r="C1429" s="5" t="s">
        <v>18954</v>
      </c>
      <c r="D1429" s="5" t="str">
        <v>440101106610</v>
      </c>
      <c r="E1429" s="0" t="e">
        <f>+7 (831) 2001170
+7 (831) 2430986
+7 (831) 2826210
+7 (83141) 30830
+7 (83141) 60724
+7 (83141) 60725
+7 (83141) 60733
+7 (83141) 60736
+7 (831) 2160790
+7 (83141) 60705
+7 (83141) 60716
+7 (83141) 60726
+7 (83141) 60732
+7 (83141) 60742
+7 (83141) 60744</f>
        <v>#NAME?</v>
      </c>
      <c r="F1429" s="5" t="s">
        <v>29683</v>
      </c>
      <c r="G1429" s="5" t="s">
        <v>29684</v>
      </c>
      <c r="H1429" s="26">
        <v>25</v>
      </c>
      <c r="I1429" s="5"/>
      <c r="J1429" s="5" t="s">
        <v>373</v>
      </c>
      <c r="K1429" s="5" t="s">
        <v>344</v>
      </c>
      <c r="L1429" s="5" t="s">
        <v>29685</v>
      </c>
      <c r="M1429" s="27">
        <v>34468711</v>
      </c>
      <c r="N1429" s="5" t="s">
        <v>51484</v>
      </c>
      <c r="O1429" s="5" t="str">
        <v>5260070633</v>
      </c>
      <c r="P1429" s="27">
        <v>772200</v>
      </c>
      <c r="Q1429" s="5" t="s">
        <v>51485</v>
      </c>
      <c r="R1429" s="5" t="s">
        <v>51486</v>
      </c>
      <c r="S1429" s="5" t="s">
        <v>49271</v>
      </c>
      <c r="T1429" s="28">
        <v>455253000</v>
      </c>
      <c r="U1429" s="28">
        <v>1591000</v>
      </c>
      <c r="V1429" s="28">
        <v>3376382000</v>
      </c>
      <c r="W1429" s="28">
        <v>735650000</v>
      </c>
      <c r="X1429" s="28">
        <v>3328897000</v>
      </c>
      <c r="Y1429" s="28">
        <v>8230162000</v>
      </c>
      <c r="Z1429" s="28">
        <v>1177930000</v>
      </c>
      <c r="AA1429" s="28"/>
      <c r="AB1429" s="28"/>
      <c r="AC1429" s="28">
        <v>6980767000</v>
      </c>
      <c r="AD1429" s="28">
        <v>1178818000</v>
      </c>
      <c r="AE1429" s="28">
        <v>42377027000</v>
      </c>
      <c r="AF1429" s="28">
        <v>344759000</v>
      </c>
      <c r="AG1429" s="11"/>
    </row>
    <row r="1430">
      <c r="A1430" s="7" t="s">
        <v>3141</v>
      </c>
      <c r="B1430" s="5" t="s">
        <v>11133</v>
      </c>
      <c r="C1430" s="5" t="s">
        <v>19002</v>
      </c>
      <c r="D1430" s="5" t="str">
        <v>701710169041</v>
      </c>
      <c r="E1430" s="0" t="e">
        <f>+7 (382) 2602307
+7 (382) 2610990
+7 (383) 2138656
+7 (383) 2149701
+7 (383) 2419704
+7 (383) 2419709
+7 (383) 2419724
+7 (383) 2419782
+7 (383) 2610900
+7 (382) 2419701
+7 (383) 2419727
+7 (383) 2419728
+7 (383) 2419784
+7 (383) 2419802
+7 (383) 2419827</f>
        <v>#NAME?</v>
      </c>
      <c r="F1430" s="5" t="s">
        <v>29686</v>
      </c>
      <c r="G1430" s="5" t="s">
        <v>29687</v>
      </c>
      <c r="H1430" s="26">
        <v>23</v>
      </c>
      <c r="I1430" s="5" t="s">
        <v>29617</v>
      </c>
      <c r="J1430" s="5" t="s">
        <v>373</v>
      </c>
      <c r="K1430" s="5" t="s">
        <v>344</v>
      </c>
      <c r="L1430" s="5" t="s">
        <v>29688</v>
      </c>
      <c r="M1430" s="27">
        <v>365531</v>
      </c>
      <c r="N1430" s="5" t="s">
        <v>51487</v>
      </c>
      <c r="O1430" s="5" t="str">
        <v>5407208153</v>
      </c>
      <c r="P1430" s="27">
        <v>10000</v>
      </c>
      <c r="Q1430" s="5" t="s">
        <v>51488</v>
      </c>
      <c r="R1430" s="5"/>
      <c r="S1430" s="5" t="s">
        <v>50602</v>
      </c>
      <c r="T1430" s="28">
        <v>75214000</v>
      </c>
      <c r="U1430" s="28"/>
      <c r="V1430" s="28">
        <v>3031262000</v>
      </c>
      <c r="W1430" s="28">
        <v>3024119000</v>
      </c>
      <c r="X1430" s="28">
        <v>30296000</v>
      </c>
      <c r="Y1430" s="28">
        <v>6350614000</v>
      </c>
      <c r="Z1430" s="28">
        <v>1563374000</v>
      </c>
      <c r="AA1430" s="28"/>
      <c r="AB1430" s="28"/>
      <c r="AC1430" s="28">
        <v>4775805000</v>
      </c>
      <c r="AD1430" s="28">
        <v>1563384000</v>
      </c>
      <c r="AE1430" s="28">
        <v>22488334000</v>
      </c>
      <c r="AF1430" s="28">
        <v>975031000</v>
      </c>
      <c r="AG1430" s="11"/>
    </row>
    <row r="1431">
      <c r="A1431" s="7" t="s">
        <v>3142</v>
      </c>
      <c r="B1431" s="5" t="s">
        <v>11134</v>
      </c>
      <c r="C1431" s="5" t="s">
        <v>19003</v>
      </c>
      <c r="D1431" s="5" t="str">
        <v>551501126509</v>
      </c>
      <c r="E1431" s="0" t="e">
        <f>+7 (381) 2332651
+7 (381) 2661001
+7 (381) 2699720
+7 (913) 9692028
+7 (381) 2332607
+7 (381) 2332608
+7 (381) 2606237
+7 (381) 2655845
+7 (381) 2656622
+7 (381) 2656827
+7 (381) 2657791
+7 (381) 2657898
+7 (381) 2659720
+7 (381) 2694597
+7 (381) 2696584</f>
        <v>#NAME?</v>
      </c>
      <c r="F1431" s="5" t="s">
        <v>29689</v>
      </c>
      <c r="G1431" s="5"/>
      <c r="H1431" s="26">
        <v>19</v>
      </c>
      <c r="I1431" s="5" t="s">
        <v>29617</v>
      </c>
      <c r="J1431" s="5" t="s">
        <v>373</v>
      </c>
      <c r="K1431" s="5" t="s">
        <v>344</v>
      </c>
      <c r="L1431" s="5"/>
      <c r="M1431" s="27">
        <v>11576797</v>
      </c>
      <c r="N1431" s="5" t="s">
        <v>51489</v>
      </c>
      <c r="O1431" s="5" t="str">
        <v>5501174543</v>
      </c>
      <c r="P1431" s="27">
        <v>10000</v>
      </c>
      <c r="Q1431" s="5" t="s">
        <v>51490</v>
      </c>
      <c r="R1431" s="5" t="s">
        <v>51491</v>
      </c>
      <c r="S1431" s="5" t="s">
        <v>51430</v>
      </c>
      <c r="T1431" s="28">
        <v>34835000</v>
      </c>
      <c r="U1431" s="28"/>
      <c r="V1431" s="28">
        <v>1419738000</v>
      </c>
      <c r="W1431" s="28">
        <v>955774000</v>
      </c>
      <c r="X1431" s="28">
        <v>38000</v>
      </c>
      <c r="Y1431" s="28">
        <v>2506433000</v>
      </c>
      <c r="Z1431" s="28">
        <v>359783000</v>
      </c>
      <c r="AA1431" s="28"/>
      <c r="AB1431" s="28"/>
      <c r="AC1431" s="28">
        <v>2131415000</v>
      </c>
      <c r="AD1431" s="28">
        <v>359794000</v>
      </c>
      <c r="AE1431" s="28">
        <v>9511253000</v>
      </c>
      <c r="AF1431" s="28">
        <v>59684000</v>
      </c>
      <c r="AG1431" s="11"/>
    </row>
    <row r="1432">
      <c r="A1432" s="7" t="s">
        <v>3143</v>
      </c>
      <c r="B1432" s="5" t="s">
        <v>11135</v>
      </c>
      <c r="C1432" s="5" t="s">
        <v>19004</v>
      </c>
      <c r="D1432" s="5" t="str">
        <v>132801745603</v>
      </c>
      <c r="E1432" s="0" t="e">
        <f>+7 (4862) 201253
+7 (4862) 412140
+7 (4862) 416031
+7 (4862) 423100
+7 (4862) 431199
+7 (4862) 432021
+7 (4862) 413566
+7 (4862) 422100
+7 (4862) 431993
+7 (4862) 431996
+7 (4862) 431997
+7 (4862) 431999
+7 (4862) 432040
+7 (4862) 432101
+7 (4862) 432103</f>
        <v>#NAME?</v>
      </c>
      <c r="F1432" s="5" t="s">
        <v>29690</v>
      </c>
      <c r="G1432" s="5"/>
      <c r="H1432" s="26">
        <v>22</v>
      </c>
      <c r="I1432" s="5" t="s">
        <v>29617</v>
      </c>
      <c r="J1432" s="5" t="s">
        <v>373</v>
      </c>
      <c r="K1432" s="5" t="s">
        <v>344</v>
      </c>
      <c r="L1432" s="5"/>
      <c r="M1432" s="27">
        <v>249318</v>
      </c>
      <c r="N1432" s="5" t="s">
        <v>51492</v>
      </c>
      <c r="O1432" s="5" t="str">
        <v>5753028484</v>
      </c>
      <c r="P1432" s="27">
        <v>10000</v>
      </c>
      <c r="Q1432" s="5" t="s">
        <v>51493</v>
      </c>
      <c r="R1432" s="5"/>
      <c r="S1432" s="5" t="s">
        <v>51494</v>
      </c>
      <c r="T1432" s="28">
        <v>31369000</v>
      </c>
      <c r="U1432" s="28">
        <v>280000</v>
      </c>
      <c r="V1432" s="28">
        <v>1498802000</v>
      </c>
      <c r="W1432" s="28"/>
      <c r="X1432" s="28">
        <v>1898000</v>
      </c>
      <c r="Y1432" s="28">
        <v>1550960000</v>
      </c>
      <c r="Z1432" s="28">
        <v>-471106000</v>
      </c>
      <c r="AA1432" s="28"/>
      <c r="AB1432" s="28"/>
      <c r="AC1432" s="28">
        <v>2004169000</v>
      </c>
      <c r="AD1432" s="28">
        <v>-471096000</v>
      </c>
      <c r="AE1432" s="28">
        <v>9863514000</v>
      </c>
      <c r="AF1432" s="28">
        <v>68054000</v>
      </c>
      <c r="AG1432" s="11"/>
    </row>
    <row r="1433">
      <c r="A1433" s="7" t="s">
        <v>3144</v>
      </c>
      <c r="B1433" s="5" t="s">
        <v>11136</v>
      </c>
      <c r="C1433" s="5" t="s">
        <v>18955</v>
      </c>
      <c r="D1433" s="5" t="str">
        <v>561000487606</v>
      </c>
      <c r="E1433" s="0" t="e">
        <f>+7 (343) 2980230
+7 (343) 3980230
+7 (35323) 80230
+7 (35323) 80290
+7 (35327) 72464
+7 (35329) 20290
+7 (35329) 80030
+7 (35329) 80206
+7 (35329) 80220
+7 (353) 2368822
+7 (35324) 44009
+7 (35327) 61337
+7 (35329) 80203
+7 (35329) 80226
+7 (35329) 80234</f>
        <v>#NAME?</v>
      </c>
      <c r="F1433" s="5" t="s">
        <v>29691</v>
      </c>
      <c r="G1433" s="5" t="s">
        <v>29692</v>
      </c>
      <c r="H1433" s="26">
        <v>22.5</v>
      </c>
      <c r="I1433" s="5" t="s">
        <v>29617</v>
      </c>
      <c r="J1433" s="5" t="s">
        <v>373</v>
      </c>
      <c r="K1433" s="5" t="s">
        <v>344</v>
      </c>
      <c r="L1433" s="5"/>
      <c r="M1433" s="27"/>
      <c r="N1433" s="5" t="s">
        <v>51495</v>
      </c>
      <c r="O1433" s="5" t="str">
        <v>5609032431</v>
      </c>
      <c r="P1433" s="27">
        <v>10000</v>
      </c>
      <c r="Q1433" s="5" t="s">
        <v>51496</v>
      </c>
      <c r="R1433" s="5"/>
      <c r="S1433" s="5" t="s">
        <v>50205</v>
      </c>
      <c r="T1433" s="28">
        <v>73953000</v>
      </c>
      <c r="U1433" s="28">
        <v>6767000</v>
      </c>
      <c r="V1433" s="28">
        <v>4306360000</v>
      </c>
      <c r="W1433" s="28"/>
      <c r="X1433" s="28">
        <v>405170000</v>
      </c>
      <c r="Y1433" s="28">
        <v>4944759000</v>
      </c>
      <c r="Z1433" s="28">
        <v>49617000</v>
      </c>
      <c r="AA1433" s="28"/>
      <c r="AB1433" s="28"/>
      <c r="AC1433" s="28">
        <v>4846835000</v>
      </c>
      <c r="AD1433" s="28">
        <v>49627000</v>
      </c>
      <c r="AE1433" s="28">
        <v>27516302000</v>
      </c>
      <c r="AF1433" s="28">
        <v>439993000</v>
      </c>
      <c r="AG1433" s="11"/>
    </row>
    <row r="1434">
      <c r="A1434" s="7" t="s">
        <v>3145</v>
      </c>
      <c r="B1434" s="5" t="s">
        <v>11137</v>
      </c>
      <c r="C1434" s="5" t="s">
        <v>19005</v>
      </c>
      <c r="D1434" s="5" t="str">
        <v>583401528180</v>
      </c>
      <c r="E1434" s="0" t="e">
        <f>+7 (8412) 207310
+7 (8412) 220904
+7 (8412) 231791
+7 (8412) 355041
+7 (8412) 400928
+7 (8412) 456232
+7 (8412) 490606
+7 (8412) 490783
+7 (831) 2490928
+7 (8412) 470963
+7 (8412) 480763
+7 (8412) 490411
+7 (8412) 490763
+7 (8412) 490771
+7 (8412) 490900</f>
        <v>#NAME?</v>
      </c>
      <c r="F1434" s="5" t="s">
        <v>29693</v>
      </c>
      <c r="G1434" s="5" t="s">
        <v>29694</v>
      </c>
      <c r="H1434" s="26">
        <v>23.5</v>
      </c>
      <c r="I1434" s="5" t="s">
        <v>29695</v>
      </c>
      <c r="J1434" s="5" t="s">
        <v>29631</v>
      </c>
      <c r="K1434" s="5" t="s">
        <v>344</v>
      </c>
      <c r="L1434" s="5"/>
      <c r="M1434" s="27"/>
      <c r="N1434" s="5" t="s">
        <v>51497</v>
      </c>
      <c r="O1434" s="5" t="str">
        <v>5834019424</v>
      </c>
      <c r="P1434" s="27">
        <v>10000</v>
      </c>
      <c r="Q1434" s="5" t="s">
        <v>51498</v>
      </c>
      <c r="R1434" s="5"/>
      <c r="S1434" s="5" t="s">
        <v>51472</v>
      </c>
      <c r="T1434" s="28">
        <v>59653000</v>
      </c>
      <c r="U1434" s="28">
        <v>3070000</v>
      </c>
      <c r="V1434" s="28">
        <v>1185996000</v>
      </c>
      <c r="W1434" s="28"/>
      <c r="X1434" s="28">
        <v>22678000</v>
      </c>
      <c r="Y1434" s="28">
        <v>1432738000</v>
      </c>
      <c r="Z1434" s="28">
        <v>-475268000</v>
      </c>
      <c r="AA1434" s="28"/>
      <c r="AB1434" s="28"/>
      <c r="AC1434" s="28">
        <v>1885861000</v>
      </c>
      <c r="AD1434" s="28">
        <v>-475258000</v>
      </c>
      <c r="AE1434" s="28">
        <v>12770069000</v>
      </c>
      <c r="AF1434" s="28">
        <v>155746000</v>
      </c>
      <c r="AG1434" s="11"/>
    </row>
    <row r="1435">
      <c r="A1435" s="7" t="s">
        <v>3146</v>
      </c>
      <c r="B1435" s="5" t="s">
        <v>11138</v>
      </c>
      <c r="C1435" s="5" t="s">
        <v>18956</v>
      </c>
      <c r="D1435" s="5" t="str">
        <v>590208042949</v>
      </c>
      <c r="E1435" s="0" t="e">
        <f>+7 (3422) 205220
+7 (3422) 108164
+7 (3422) 108235
+7 (3422) 121187
+7 (3422) 206211
+7 (3422) 206222
+7 (3422) 206223
+7 (3422) 206224
+7 (3422) 206230
+7 (3422) 206231
+7 (3422) 206232
+7 (3422) 206239
+7 (3422) 206246
+7 (3422) 206257
+7 (3422) 206259</f>
        <v>#NAME?</v>
      </c>
      <c r="F1435" s="5" t="s">
        <v>29696</v>
      </c>
      <c r="G1435" s="5" t="s">
        <v>29697</v>
      </c>
      <c r="H1435" s="26">
        <v>21.5</v>
      </c>
      <c r="I1435" s="5" t="s">
        <v>29698</v>
      </c>
      <c r="J1435" s="5" t="s">
        <v>373</v>
      </c>
      <c r="K1435" s="5" t="s">
        <v>344</v>
      </c>
      <c r="L1435" s="5"/>
      <c r="M1435" s="27">
        <v>31218</v>
      </c>
      <c r="N1435" s="5" t="s">
        <v>51499</v>
      </c>
      <c r="O1435" s="5" t="str">
        <v>5948022406</v>
      </c>
      <c r="P1435" s="27">
        <v>10000</v>
      </c>
      <c r="Q1435" s="5" t="s">
        <v>51500</v>
      </c>
      <c r="R1435" s="5"/>
      <c r="S1435" s="5" t="s">
        <v>49271</v>
      </c>
      <c r="T1435" s="28">
        <v>335354000</v>
      </c>
      <c r="U1435" s="28"/>
      <c r="V1435" s="28">
        <v>3194905000</v>
      </c>
      <c r="W1435" s="28"/>
      <c r="X1435" s="28">
        <v>77521000</v>
      </c>
      <c r="Y1435" s="28">
        <v>3795180000</v>
      </c>
      <c r="Z1435" s="28">
        <v>-1035558000</v>
      </c>
      <c r="AA1435" s="28"/>
      <c r="AB1435" s="28"/>
      <c r="AC1435" s="28">
        <v>4759707000</v>
      </c>
      <c r="AD1435" s="28">
        <v>-1035548000</v>
      </c>
      <c r="AE1435" s="28">
        <v>22690376000</v>
      </c>
      <c r="AF1435" s="28">
        <v>3460000</v>
      </c>
      <c r="AG1435" s="11"/>
    </row>
    <row r="1436">
      <c r="A1436" s="7" t="s">
        <v>3147</v>
      </c>
      <c r="B1436" s="5" t="s">
        <v>11139</v>
      </c>
      <c r="C1436" s="5" t="s">
        <v>19006</v>
      </c>
      <c r="D1436" s="5" t="str">
        <v>470700234017</v>
      </c>
      <c r="E1436" s="0" t="e">
        <f>+7 (811) 2565580
+7 (811) 2595000
+7 (8112) 664077
+7 (811) 2152994
+7 (811) 2465580
+7 (811) 2595015
+7 (811) 2740545
+7 (8112) 566593
+7 (8112) 595013
+7 (8112) 595020
+7 (8112) 595038
+7 (8112) 595050</f>
        <v>#NAME?</v>
      </c>
      <c r="F1436" s="5" t="s">
        <v>29699</v>
      </c>
      <c r="G1436" s="5" t="s">
        <v>29700</v>
      </c>
      <c r="H1436" s="26">
        <v>23</v>
      </c>
      <c r="I1436" s="5" t="s">
        <v>29701</v>
      </c>
      <c r="J1436" s="5" t="s">
        <v>373</v>
      </c>
      <c r="K1436" s="5" t="s">
        <v>344</v>
      </c>
      <c r="L1436" s="5"/>
      <c r="M1436" s="27"/>
      <c r="N1436" s="5" t="s">
        <v>51501</v>
      </c>
      <c r="O1436" s="5" t="str">
        <v>6027059228</v>
      </c>
      <c r="P1436" s="27">
        <v>10000</v>
      </c>
      <c r="Q1436" s="5" t="s">
        <v>51502</v>
      </c>
      <c r="R1436" s="5"/>
      <c r="S1436" s="5" t="s">
        <v>49139</v>
      </c>
      <c r="T1436" s="28">
        <v>58589000</v>
      </c>
      <c r="U1436" s="28">
        <v>27284000</v>
      </c>
      <c r="V1436" s="28">
        <v>1237185000</v>
      </c>
      <c r="W1436" s="28"/>
      <c r="X1436" s="28">
        <v>4200000</v>
      </c>
      <c r="Y1436" s="28">
        <v>1361169000</v>
      </c>
      <c r="Z1436" s="28">
        <v>99686000</v>
      </c>
      <c r="AA1436" s="28"/>
      <c r="AB1436" s="28"/>
      <c r="AC1436" s="28">
        <v>1218921000</v>
      </c>
      <c r="AD1436" s="28">
        <v>99696000</v>
      </c>
      <c r="AE1436" s="28">
        <v>4419824000</v>
      </c>
      <c r="AF1436" s="28">
        <v>3720000</v>
      </c>
      <c r="AG1436" s="11"/>
    </row>
    <row r="1437">
      <c r="A1437" s="7" t="s">
        <v>3148</v>
      </c>
      <c r="B1437" s="5" t="s">
        <v>11140</v>
      </c>
      <c r="C1437" s="5" t="s">
        <v>18957</v>
      </c>
      <c r="D1437" s="5" t="str">
        <v>616865040558</v>
      </c>
      <c r="E1437" s="0" t="e">
        <f>+7 (495) 2497649
+7 (499) 2497649
+7 (8362) 497667
+7 (8362) 497669
+7 (8362) 497816
+7 (861) 2497649
+7 (861) 2497816
+7 (8622) 497649
+7 (8622) 497816
+7 (8632) 294630
+7 (8632) 406776
+7 (8632) 407644
+7 (861) 2497668
+7 (863) 3091090
+7 (8632) 407667</f>
        <v>#NAME?</v>
      </c>
      <c r="F1437" s="5" t="s">
        <v>29702</v>
      </c>
      <c r="G1437" s="5" t="s">
        <v>29703</v>
      </c>
      <c r="H1437" s="26">
        <v>23.5</v>
      </c>
      <c r="I1437" s="5" t="s">
        <v>29704</v>
      </c>
      <c r="J1437" s="5" t="s">
        <v>373</v>
      </c>
      <c r="K1437" s="5" t="s">
        <v>344</v>
      </c>
      <c r="L1437" s="5"/>
      <c r="M1437" s="27">
        <v>2054177</v>
      </c>
      <c r="N1437" s="5" t="s">
        <v>51503</v>
      </c>
      <c r="O1437" s="5" t="str">
        <v>6167049710</v>
      </c>
      <c r="P1437" s="27">
        <v>10000</v>
      </c>
      <c r="Q1437" s="5" t="s">
        <v>51504</v>
      </c>
      <c r="R1437" s="5"/>
      <c r="S1437" s="5" t="s">
        <v>51505</v>
      </c>
      <c r="T1437" s="28">
        <v>283582000</v>
      </c>
      <c r="U1437" s="28">
        <v>12605000</v>
      </c>
      <c r="V1437" s="28">
        <v>6860531000</v>
      </c>
      <c r="W1437" s="28"/>
      <c r="X1437" s="28">
        <v>6669000</v>
      </c>
      <c r="Y1437" s="28">
        <v>7449514000</v>
      </c>
      <c r="Z1437" s="28">
        <v>-1876889000</v>
      </c>
      <c r="AA1437" s="28"/>
      <c r="AB1437" s="28"/>
      <c r="AC1437" s="28">
        <v>8916737000</v>
      </c>
      <c r="AD1437" s="28">
        <v>-1876879000</v>
      </c>
      <c r="AE1437" s="28">
        <v>51843957000</v>
      </c>
      <c r="AF1437" s="28">
        <v>34150000</v>
      </c>
      <c r="AG1437" s="11"/>
    </row>
    <row r="1438">
      <c r="A1438" s="7" t="s">
        <v>3149</v>
      </c>
      <c r="B1438" s="5" t="s">
        <v>11141</v>
      </c>
      <c r="C1438" s="5" t="s">
        <v>19007</v>
      </c>
      <c r="D1438" s="5" t="str">
        <v>622805944050</v>
      </c>
      <c r="E1438" s="0" t="e">
        <f>+7 (421) 2290231
+7 (481) 2290231
+7 (481) 2290383
+7 (4912) 220205
+7 (4912) 280390
+7 (4912) 290029
+7 (4912) 290129
+7 (4912) 290171
+7 (4912) 290208
+7 (4912) 218136
+7 (4912) 230231
+7 (4912) 230291
+7 (4912) 289735
+7 (4912) 290205
+7 (4912) 290223</f>
        <v>#NAME?</v>
      </c>
      <c r="F1438" s="5" t="s">
        <v>29705</v>
      </c>
      <c r="G1438" s="5" t="s">
        <v>29706</v>
      </c>
      <c r="H1438" s="26">
        <v>23</v>
      </c>
      <c r="I1438" s="5" t="s">
        <v>29707</v>
      </c>
      <c r="J1438" s="5" t="s">
        <v>373</v>
      </c>
      <c r="K1438" s="5" t="s">
        <v>344</v>
      </c>
      <c r="L1438" s="5" t="s">
        <v>29708</v>
      </c>
      <c r="M1438" s="27"/>
      <c r="N1438" s="5" t="s">
        <v>51506</v>
      </c>
      <c r="O1438" s="5" t="str">
        <v>6231044292</v>
      </c>
      <c r="P1438" s="27">
        <v>10000</v>
      </c>
      <c r="Q1438" s="5" t="s">
        <v>51507</v>
      </c>
      <c r="R1438" s="5"/>
      <c r="S1438" s="5" t="s">
        <v>51430</v>
      </c>
      <c r="T1438" s="28">
        <v>107233000</v>
      </c>
      <c r="U1438" s="28"/>
      <c r="V1438" s="28">
        <v>1261615000</v>
      </c>
      <c r="W1438" s="28">
        <v>1197000000</v>
      </c>
      <c r="X1438" s="28">
        <v>650840000</v>
      </c>
      <c r="Y1438" s="28">
        <v>3241347000</v>
      </c>
      <c r="Z1438" s="28">
        <v>405000000</v>
      </c>
      <c r="AA1438" s="28"/>
      <c r="AB1438" s="28"/>
      <c r="AC1438" s="28">
        <v>2808926000</v>
      </c>
      <c r="AD1438" s="28">
        <v>405010000</v>
      </c>
      <c r="AE1438" s="28">
        <v>13732991000</v>
      </c>
      <c r="AF1438" s="28">
        <v>216157000</v>
      </c>
      <c r="AG1438" s="11"/>
    </row>
    <row r="1439">
      <c r="A1439" s="7" t="s">
        <v>3150</v>
      </c>
      <c r="B1439" s="5" t="s">
        <v>11142</v>
      </c>
      <c r="C1439" s="5" t="s">
        <v>19008</v>
      </c>
      <c r="D1439" s="5" t="str">
        <v>781623688700</v>
      </c>
      <c r="E1439" s="0" t="e">
        <f>+7 (846) 2002015
+7 (846) 2123246
+7 (846) 2123955
+7 (84622) 41968
+7 (84622) 54112
+7 (84622) 85500
+7 (84624) 21212
+7 (84626) 51245
+7 (84631) 3216
+7 (800) 7751181
+7 (846) 2123200
+7 (846) 2123212
+7 (84627) 4286
+7 (84631) 3206
+7 (84631) 3208</f>
        <v>#NAME?</v>
      </c>
      <c r="F1439" s="5" t="s">
        <v>29709</v>
      </c>
      <c r="G1439" s="5" t="s">
        <v>29710</v>
      </c>
      <c r="H1439" s="26">
        <v>22</v>
      </c>
      <c r="I1439" s="5" t="s">
        <v>29711</v>
      </c>
      <c r="J1439" s="5" t="s">
        <v>29712</v>
      </c>
      <c r="K1439" s="5" t="s">
        <v>344</v>
      </c>
      <c r="L1439" s="5"/>
      <c r="M1439" s="27">
        <v>35380438</v>
      </c>
      <c r="N1439" s="5" t="s">
        <v>51508</v>
      </c>
      <c r="O1439" s="5" t="str">
        <v>6310000026</v>
      </c>
      <c r="P1439" s="27">
        <v>10000</v>
      </c>
      <c r="Q1439" s="5" t="s">
        <v>51509</v>
      </c>
      <c r="R1439" s="5"/>
      <c r="S1439" s="5" t="s">
        <v>51438</v>
      </c>
      <c r="T1439" s="28">
        <v>292550000</v>
      </c>
      <c r="U1439" s="28">
        <v>86127000</v>
      </c>
      <c r="V1439" s="28">
        <v>4565827000</v>
      </c>
      <c r="W1439" s="28"/>
      <c r="X1439" s="28">
        <v>1887370000</v>
      </c>
      <c r="Y1439" s="28">
        <v>7196050000</v>
      </c>
      <c r="Z1439" s="28">
        <v>-1242087000</v>
      </c>
      <c r="AA1439" s="28"/>
      <c r="AB1439" s="28"/>
      <c r="AC1439" s="28">
        <v>8284592000</v>
      </c>
      <c r="AD1439" s="28">
        <v>-1242077000</v>
      </c>
      <c r="AE1439" s="28">
        <v>56809062000</v>
      </c>
      <c r="AF1439" s="28">
        <v>147997000</v>
      </c>
      <c r="AG1439" s="11"/>
    </row>
    <row r="1440">
      <c r="A1440" s="7" t="s">
        <v>3151</v>
      </c>
      <c r="B1440" s="5" t="s">
        <v>11143</v>
      </c>
      <c r="C1440" s="5" t="s">
        <v>19009</v>
      </c>
      <c r="D1440" s="5" t="str">
        <v>780151028544</v>
      </c>
      <c r="E1440" s="0" t="e">
        <f>+7 (401) 2929503
+7 (401) 2993813
+7 (401) 2993877
+7 (401) 2993980
+7 (401) 2994834
+7 (401) 2999890
+7 (812) 2951401
+7 (812) 3245152
+7 (812) 3245182
+7 (812) 3245188
+7 (401) 2993800
+7 (401) 2993842
+7 (401) 2993844
+7 (812) 3244519
+7 (812) 3244791</f>
        <v>#NAME?</v>
      </c>
      <c r="F1440" s="5" t="s">
        <v>29713</v>
      </c>
      <c r="G1440" s="5" t="s">
        <v>29714</v>
      </c>
      <c r="H1440" s="26">
        <v>19</v>
      </c>
      <c r="I1440" s="5" t="s">
        <v>29617</v>
      </c>
      <c r="J1440" s="5" t="s">
        <v>373</v>
      </c>
      <c r="K1440" s="5" t="s">
        <v>344</v>
      </c>
      <c r="L1440" s="5" t="s">
        <v>29715</v>
      </c>
      <c r="M1440" s="27">
        <v>2194779</v>
      </c>
      <c r="N1440" s="5" t="s">
        <v>51510</v>
      </c>
      <c r="O1440" s="5" t="str">
        <v>7838056212</v>
      </c>
      <c r="P1440" s="27">
        <v>10000</v>
      </c>
      <c r="Q1440" s="5" t="s">
        <v>51511</v>
      </c>
      <c r="R1440" s="5"/>
      <c r="S1440" s="5" t="s">
        <v>51512</v>
      </c>
      <c r="T1440" s="28">
        <v>592051000</v>
      </c>
      <c r="U1440" s="28">
        <v>173249000</v>
      </c>
      <c r="V1440" s="28">
        <v>8570398000</v>
      </c>
      <c r="W1440" s="28">
        <v>14307624000</v>
      </c>
      <c r="X1440" s="28">
        <v>1522000</v>
      </c>
      <c r="Y1440" s="28">
        <v>24138654000</v>
      </c>
      <c r="Z1440" s="28">
        <v>5157795000</v>
      </c>
      <c r="AA1440" s="28"/>
      <c r="AB1440" s="28"/>
      <c r="AC1440" s="28">
        <v>18866144000</v>
      </c>
      <c r="AD1440" s="28">
        <v>5157805000</v>
      </c>
      <c r="AE1440" s="28">
        <v>122487287000</v>
      </c>
      <c r="AF1440" s="28">
        <v>1811862000</v>
      </c>
      <c r="AG1440" s="11"/>
    </row>
    <row r="1441">
      <c r="A1441" s="7" t="s">
        <v>3152</v>
      </c>
      <c r="B1441" s="5" t="s">
        <v>11144</v>
      </c>
      <c r="C1441" s="5" t="s">
        <v>19010</v>
      </c>
      <c r="D1441" s="5" t="str">
        <v>583700941204</v>
      </c>
      <c r="E1441" s="0" t="e">
        <f>+7 (3422) 280206
+7 (8342) 222326
+7 (8342) 222525
+7 (8342) 222626
+7 (8342) 225511
+7 (8342) 226547
+7 (8342) 232125
+7 (8342) 242456
+7 (8342) 246743
+7 (8342) 246790
+7 (8342) 260534
+7 (8342) 280208
+7 (8342) 280216
+7 (834) 8280206
+7 (8342) 280205</f>
        <v>#NAME?</v>
      </c>
      <c r="F1441" s="5" t="s">
        <v>29716</v>
      </c>
      <c r="G1441" s="5" t="s">
        <v>29717</v>
      </c>
      <c r="H1441" s="26">
        <v>22</v>
      </c>
      <c r="I1441" s="5" t="s">
        <v>29718</v>
      </c>
      <c r="J1441" s="5" t="s">
        <v>373</v>
      </c>
      <c r="K1441" s="5" t="s">
        <v>344</v>
      </c>
      <c r="L1441" s="5" t="s">
        <v>29719</v>
      </c>
      <c r="M1441" s="27">
        <v>142814</v>
      </c>
      <c r="N1441" s="5" t="s">
        <v>51513</v>
      </c>
      <c r="O1441" s="5" t="str">
        <v>1300003220</v>
      </c>
      <c r="P1441" s="27">
        <v>10000</v>
      </c>
      <c r="Q1441" s="5" t="s">
        <v>51514</v>
      </c>
      <c r="R1441" s="5"/>
      <c r="S1441" s="5" t="s">
        <v>50205</v>
      </c>
      <c r="T1441" s="28">
        <v>177744000</v>
      </c>
      <c r="U1441" s="28">
        <v>754000</v>
      </c>
      <c r="V1441" s="28">
        <v>566456000</v>
      </c>
      <c r="W1441" s="28">
        <v>707000000</v>
      </c>
      <c r="X1441" s="28">
        <v>234805000</v>
      </c>
      <c r="Y1441" s="28">
        <v>1735559000</v>
      </c>
      <c r="Z1441" s="28">
        <v>138325000</v>
      </c>
      <c r="AA1441" s="28"/>
      <c r="AB1441" s="28"/>
      <c r="AC1441" s="28">
        <v>1581506000</v>
      </c>
      <c r="AD1441" s="28">
        <v>138335000</v>
      </c>
      <c r="AE1441" s="28">
        <v>9739837000</v>
      </c>
      <c r="AF1441" s="28">
        <v>25891000</v>
      </c>
      <c r="AG1441" s="11"/>
    </row>
    <row r="1442">
      <c r="A1442" s="7" t="s">
        <v>3153</v>
      </c>
      <c r="B1442" s="5" t="s">
        <v>11145</v>
      </c>
      <c r="C1442" s="5" t="s">
        <v>19011</v>
      </c>
      <c r="D1442" s="5" t="str">
        <v>500344570764</v>
      </c>
      <c r="E1442" s="0" t="e">
        <f>+7 (845) 2446318
+7 (845) 2456281
+7 (845) 2456286
+7 (812) 6095555
+7 (8422) 470050
+7 (8452) 235684
+7 (8452) 256365
+7 (8452) 261351
+7 (8452) 265689
+7 (8452) 402635
+7 (8452) 409981
+7 (8452) 414152
+7 (8452) 426268
+7 (8452) 439467
+7 (8422) 456262</f>
        <v>#NAME?</v>
      </c>
      <c r="F1442" s="5" t="s">
        <v>29720</v>
      </c>
      <c r="G1442" s="5"/>
      <c r="H1442" s="26">
        <v>19.5</v>
      </c>
      <c r="I1442" s="5" t="s">
        <v>29721</v>
      </c>
      <c r="J1442" s="5" t="s">
        <v>29631</v>
      </c>
      <c r="K1442" s="5" t="s">
        <v>344</v>
      </c>
      <c r="L1442" s="5"/>
      <c r="M1442" s="27">
        <v>15600236</v>
      </c>
      <c r="N1442" s="5" t="s">
        <v>51515</v>
      </c>
      <c r="O1442" s="5" t="str">
        <v>6450068585</v>
      </c>
      <c r="P1442" s="27">
        <v>10000</v>
      </c>
      <c r="Q1442" s="5" t="s">
        <v>51516</v>
      </c>
      <c r="R1442" s="5"/>
      <c r="S1442" s="5" t="s">
        <v>51438</v>
      </c>
      <c r="T1442" s="28">
        <v>194474000</v>
      </c>
      <c r="U1442" s="28"/>
      <c r="V1442" s="28">
        <v>5222242000</v>
      </c>
      <c r="W1442" s="28"/>
      <c r="X1442" s="28">
        <v>17680000</v>
      </c>
      <c r="Y1442" s="28">
        <v>5835936000</v>
      </c>
      <c r="Z1442" s="28">
        <v>-1858732000</v>
      </c>
      <c r="AA1442" s="28"/>
      <c r="AB1442" s="28"/>
      <c r="AC1442" s="28">
        <v>6971606000</v>
      </c>
      <c r="AD1442" s="28">
        <v>-1858722000</v>
      </c>
      <c r="AE1442" s="28">
        <v>27033771000</v>
      </c>
      <c r="AF1442" s="28">
        <v>1312000</v>
      </c>
      <c r="AG1442" s="11"/>
    </row>
    <row r="1443">
      <c r="A1443" s="7" t="s">
        <v>3154</v>
      </c>
      <c r="B1443" s="5" t="s">
        <v>11143</v>
      </c>
      <c r="C1443" s="5" t="s">
        <v>19012</v>
      </c>
      <c r="D1443" s="5" t="str">
        <v>550700762377</v>
      </c>
      <c r="E1443" s="0" t="e">
        <f>+7 (345) 2226036
+7 (345) 2229946
+7 (345) 2275947
+7 (345) 2286039
+7 (345) 2289350
+7 (345) 2625013
+7 (345) 2226899
+7 (345) 2226941
+7 (345) 2289037
+7 (345) 2289061
+7 (345) 2442630
+7 (345) 2461608
+7 (345) 2631700
+7 (34535) 39355
+7 (346) 2442618</f>
        <v>#NAME?</v>
      </c>
      <c r="F1443" s="5" t="s">
        <v>29722</v>
      </c>
      <c r="G1443" s="5"/>
      <c r="H1443" s="26">
        <v>19</v>
      </c>
      <c r="I1443" s="5" t="s">
        <v>29617</v>
      </c>
      <c r="J1443" s="5" t="s">
        <v>373</v>
      </c>
      <c r="K1443" s="5" t="s">
        <v>344</v>
      </c>
      <c r="L1443" s="5"/>
      <c r="M1443" s="27">
        <v>764921</v>
      </c>
      <c r="N1443" s="5" t="s">
        <v>51517</v>
      </c>
      <c r="O1443" s="5" t="str">
        <v>7838042298</v>
      </c>
      <c r="P1443" s="27">
        <v>10000</v>
      </c>
      <c r="Q1443" s="5" t="s">
        <v>51518</v>
      </c>
      <c r="R1443" s="5"/>
      <c r="S1443" s="5" t="s">
        <v>51483</v>
      </c>
      <c r="T1443" s="28">
        <v>72631000</v>
      </c>
      <c r="U1443" s="28">
        <v>504000</v>
      </c>
      <c r="V1443" s="28">
        <v>3547428000</v>
      </c>
      <c r="W1443" s="28">
        <v>2404940000</v>
      </c>
      <c r="X1443" s="28">
        <v>385000</v>
      </c>
      <c r="Y1443" s="28">
        <v>6098847000</v>
      </c>
      <c r="Z1443" s="28">
        <v>348672000</v>
      </c>
      <c r="AA1443" s="28"/>
      <c r="AB1443" s="28"/>
      <c r="AC1443" s="28">
        <v>5716145000</v>
      </c>
      <c r="AD1443" s="28">
        <v>348685000</v>
      </c>
      <c r="AE1443" s="28">
        <v>27624507000</v>
      </c>
      <c r="AF1443" s="28">
        <v>108269000</v>
      </c>
      <c r="AG1443" s="11"/>
    </row>
    <row r="1444">
      <c r="A1444" s="7" t="s">
        <v>3155</v>
      </c>
      <c r="B1444" s="5" t="s">
        <v>11146</v>
      </c>
      <c r="C1444" s="5" t="s">
        <v>19013</v>
      </c>
      <c r="D1444" s="5" t="str">
        <v>673103087803</v>
      </c>
      <c r="E1444" s="0" t="e">
        <f>+7 (481) 2233433
+7 (481) 2389477
+7 (481) 2705049
+7 (481) 2380890
+7 (481) 2380895
+7 (481) 2381563
+7 (481) 2385271
+7 (481) 2389224
+7 (481) 2389404
+7 (481) 2389744
+7 (481) 2647117
+7 (481) 2683277
+7 (481) 2683402
+7 (481) 2683482
+7 (481) 2705230</f>
        <v>#NAME?</v>
      </c>
      <c r="F1444" s="5" t="s">
        <v>29723</v>
      </c>
      <c r="G1444" s="5" t="s">
        <v>29724</v>
      </c>
      <c r="H1444" s="26">
        <v>23</v>
      </c>
      <c r="I1444" s="5" t="s">
        <v>29725</v>
      </c>
      <c r="J1444" s="5" t="s">
        <v>373</v>
      </c>
      <c r="K1444" s="5" t="s">
        <v>344</v>
      </c>
      <c r="L1444" s="5"/>
      <c r="M1444" s="27">
        <v>154490</v>
      </c>
      <c r="N1444" s="5" t="s">
        <v>51519</v>
      </c>
      <c r="O1444" s="5" t="str">
        <v>6731035426</v>
      </c>
      <c r="P1444" s="27">
        <v>10000</v>
      </c>
      <c r="Q1444" s="5" t="s">
        <v>51520</v>
      </c>
      <c r="R1444" s="5"/>
      <c r="S1444" s="5" t="s">
        <v>49271</v>
      </c>
      <c r="T1444" s="28">
        <v>36116000</v>
      </c>
      <c r="U1444" s="28">
        <v>5990000</v>
      </c>
      <c r="V1444" s="28">
        <v>2485616000</v>
      </c>
      <c r="W1444" s="28"/>
      <c r="X1444" s="28">
        <v>511828000</v>
      </c>
      <c r="Y1444" s="28">
        <v>3079786000</v>
      </c>
      <c r="Z1444" s="28">
        <v>10328000</v>
      </c>
      <c r="AA1444" s="28"/>
      <c r="AB1444" s="28"/>
      <c r="AC1444" s="28">
        <v>3028754000</v>
      </c>
      <c r="AD1444" s="28">
        <v>10338000</v>
      </c>
      <c r="AE1444" s="28">
        <v>9538413000</v>
      </c>
      <c r="AF1444" s="28">
        <v>64240000</v>
      </c>
      <c r="AG1444" s="11"/>
    </row>
    <row r="1445">
      <c r="A1445" s="7" t="s">
        <v>3156</v>
      </c>
      <c r="B1445" s="5" t="s">
        <v>11147</v>
      </c>
      <c r="C1445" s="5" t="s">
        <v>18959</v>
      </c>
      <c r="D1445" s="5" t="str">
        <v>263100720097</v>
      </c>
      <c r="E1445" s="0" t="e">
        <f>+7 (8652) 228294
+7 (8652) 232816
+7 (8652) 237080
+7 (8652) 238218
+7 (800) 2001026
+7 (865) 3851985
+7 (865) 3851987
+7 (8652) 238082
+7 (8652) 238100
+7 (8652) 238125
+7 (8652) 238161
+7 (8652) 238164
+7 (8652) 238172
+7 (8652) 238180
+7 (8652) 238198</f>
        <v>#NAME?</v>
      </c>
      <c r="F1445" s="5" t="s">
        <v>29726</v>
      </c>
      <c r="G1445" s="5" t="s">
        <v>29727</v>
      </c>
      <c r="H1445" s="26">
        <v>23.5</v>
      </c>
      <c r="I1445" s="5" t="s">
        <v>29617</v>
      </c>
      <c r="J1445" s="5" t="s">
        <v>29631</v>
      </c>
      <c r="K1445" s="5" t="s">
        <v>380</v>
      </c>
      <c r="L1445" s="5"/>
      <c r="M1445" s="27">
        <v>7802868</v>
      </c>
      <c r="N1445" s="5" t="s">
        <v>51521</v>
      </c>
      <c r="O1445" s="5" t="str">
        <v>2635048440</v>
      </c>
      <c r="P1445" s="27">
        <v>10000</v>
      </c>
      <c r="Q1445" s="5" t="s">
        <v>51522</v>
      </c>
      <c r="R1445" s="5" t="s">
        <v>51523</v>
      </c>
      <c r="S1445" s="5" t="s">
        <v>51524</v>
      </c>
      <c r="T1445" s="28">
        <v>167657000</v>
      </c>
      <c r="U1445" s="28">
        <v>16434000</v>
      </c>
      <c r="V1445" s="28">
        <v>4979618000</v>
      </c>
      <c r="W1445" s="28"/>
      <c r="X1445" s="28">
        <v>19728000</v>
      </c>
      <c r="Y1445" s="28">
        <v>6001096000</v>
      </c>
      <c r="Z1445" s="28">
        <v>-6999724000</v>
      </c>
      <c r="AA1445" s="28"/>
      <c r="AB1445" s="28"/>
      <c r="AC1445" s="28">
        <v>12992347000</v>
      </c>
      <c r="AD1445" s="28">
        <v>-6999413000</v>
      </c>
      <c r="AE1445" s="28">
        <v>41334487000</v>
      </c>
      <c r="AF1445" s="28">
        <v>-1081150000</v>
      </c>
      <c r="AG1445" s="11"/>
    </row>
    <row r="1446">
      <c r="A1446" s="7" t="s">
        <v>3157</v>
      </c>
      <c r="B1446" s="5" t="s">
        <v>11148</v>
      </c>
      <c r="C1446" s="5" t="s">
        <v>19014</v>
      </c>
      <c r="D1446" s="5" t="str">
        <v>231202916635</v>
      </c>
      <c r="E1446" s="0" t="e">
        <f>+7 (474) 2729804
+7 (475) 2429804
+7 (475) 2480273
+7 (475) 2486208
+7 (475) 2710832
+7 (475) 2716032
+7 (475) 2470258
+7 (475) 2708032
+7 (475) 2710062
+7 (475) 2711430
+7 (475) 2712210
+7 (475) 2718023
+7 (475) 2718040
+7 (475) 2718132
+7 (475) 2718145</f>
        <v>#NAME?</v>
      </c>
      <c r="F1446" s="5" t="s">
        <v>29728</v>
      </c>
      <c r="G1446" s="5"/>
      <c r="H1446" s="26">
        <v>23</v>
      </c>
      <c r="I1446" s="5" t="s">
        <v>29617</v>
      </c>
      <c r="J1446" s="5" t="s">
        <v>373</v>
      </c>
      <c r="K1446" s="5" t="s">
        <v>344</v>
      </c>
      <c r="L1446" s="5"/>
      <c r="M1446" s="27">
        <v>42000</v>
      </c>
      <c r="N1446" s="5" t="s">
        <v>51525</v>
      </c>
      <c r="O1446" s="5" t="str">
        <v>6831020409</v>
      </c>
      <c r="P1446" s="27">
        <v>10000</v>
      </c>
      <c r="Q1446" s="5" t="s">
        <v>51526</v>
      </c>
      <c r="R1446" s="5" t="s">
        <v>51527</v>
      </c>
      <c r="S1446" s="5" t="s">
        <v>51113</v>
      </c>
      <c r="T1446" s="28">
        <v>91956000</v>
      </c>
      <c r="U1446" s="28">
        <v>1175000</v>
      </c>
      <c r="V1446" s="28">
        <v>2470369000</v>
      </c>
      <c r="W1446" s="28"/>
      <c r="X1446" s="28">
        <v>9233000</v>
      </c>
      <c r="Y1446" s="28">
        <v>2670027000</v>
      </c>
      <c r="Z1446" s="28">
        <v>-157251000</v>
      </c>
      <c r="AA1446" s="28"/>
      <c r="AB1446" s="28"/>
      <c r="AC1446" s="28">
        <v>2774104000</v>
      </c>
      <c r="AD1446" s="28">
        <v>-157241000</v>
      </c>
      <c r="AE1446" s="28">
        <v>11220681000</v>
      </c>
      <c r="AF1446" s="28">
        <v>78157000</v>
      </c>
      <c r="AG1446" s="11"/>
    </row>
    <row r="1447">
      <c r="A1447" s="7" t="s">
        <v>3158</v>
      </c>
      <c r="B1447" s="5" t="s">
        <v>11149</v>
      </c>
      <c r="C1447" s="5" t="s">
        <v>18960</v>
      </c>
      <c r="D1447" s="5" t="str">
        <v>502770601079</v>
      </c>
      <c r="E1447" s="0" t="e">
        <f>+7 (482) 2303530
+7 (482) 2311494
+7 (482) 2323742
+7 (482) 2333035
+7 (482) 2333430
+7 (482) 2333522
+7 (482) 2333536
+7 (482) 2333538
+7 (482) 2333555
+7 (482) 2333560
+7 (482) 2320604
+7 (482) 2323743
+7 (482) 2333512
+7 (482) 2333529
+7 (482) 2333540</f>
        <v>#NAME?</v>
      </c>
      <c r="F1447" s="5" t="s">
        <v>29729</v>
      </c>
      <c r="G1447" s="5" t="s">
        <v>29730</v>
      </c>
      <c r="H1447" s="26">
        <v>23</v>
      </c>
      <c r="I1447" s="5" t="s">
        <v>29731</v>
      </c>
      <c r="J1447" s="5" t="s">
        <v>29712</v>
      </c>
      <c r="K1447" s="5" t="s">
        <v>380</v>
      </c>
      <c r="L1447" s="5"/>
      <c r="M1447" s="27"/>
      <c r="N1447" s="5" t="s">
        <v>51528</v>
      </c>
      <c r="O1447" s="5" t="str">
        <v>6905062685</v>
      </c>
      <c r="P1447" s="27">
        <v>10000</v>
      </c>
      <c r="Q1447" s="5" t="s">
        <v>51529</v>
      </c>
      <c r="R1447" s="5" t="s">
        <v>51530</v>
      </c>
      <c r="S1447" s="5" t="s">
        <v>51438</v>
      </c>
      <c r="T1447" s="28">
        <v>120960000</v>
      </c>
      <c r="U1447" s="28">
        <v>2889000</v>
      </c>
      <c r="V1447" s="28">
        <v>4233622000</v>
      </c>
      <c r="W1447" s="28"/>
      <c r="X1447" s="28">
        <v>293961000</v>
      </c>
      <c r="Y1447" s="28">
        <v>7824401000</v>
      </c>
      <c r="Z1447" s="28">
        <v>-12425031000</v>
      </c>
      <c r="AA1447" s="28"/>
      <c r="AB1447" s="28"/>
      <c r="AC1447" s="28">
        <v>20129181000</v>
      </c>
      <c r="AD1447" s="28">
        <v>-12425021000</v>
      </c>
      <c r="AE1447" s="28">
        <v>15206762000</v>
      </c>
      <c r="AF1447" s="28">
        <v>-4757350000</v>
      </c>
      <c r="AG1447" s="11"/>
    </row>
    <row r="1448">
      <c r="A1448" s="7" t="s">
        <v>3159</v>
      </c>
      <c r="B1448" s="5" t="s">
        <v>11150</v>
      </c>
      <c r="C1448" s="5" t="s">
        <v>18962</v>
      </c>
      <c r="D1448" s="5" t="str">
        <v>644000691861</v>
      </c>
      <c r="E1448" s="0" t="e">
        <f>+7 (487) 2323531
+7 (487) 2324941
+7 (487) 2326919
+7 (487) 2327344
+7 (487) 2327499
+7 (487) 2327814
+7 (487) 2307201
+7 (487) 2317831
+7 (487) 2326208
+7 (487) 2326209
+7 (487) 2326212
+7 (487) 2326219
+7 (487) 2326220
+7 (487) 2326222
+7 (487) 2326226</f>
        <v>#NAME?</v>
      </c>
      <c r="F1448" s="5" t="s">
        <v>29732</v>
      </c>
      <c r="G1448" s="5"/>
      <c r="H1448" s="26">
        <v>23</v>
      </c>
      <c r="I1448" s="5" t="s">
        <v>29617</v>
      </c>
      <c r="J1448" s="5" t="s">
        <v>373</v>
      </c>
      <c r="K1448" s="5" t="s">
        <v>344</v>
      </c>
      <c r="L1448" s="5" t="s">
        <v>29733</v>
      </c>
      <c r="M1448" s="27"/>
      <c r="N1448" s="5" t="s">
        <v>51531</v>
      </c>
      <c r="O1448" s="5" t="str">
        <v>7107049989</v>
      </c>
      <c r="P1448" s="27">
        <v>10000</v>
      </c>
      <c r="Q1448" s="5" t="s">
        <v>51532</v>
      </c>
      <c r="R1448" s="5"/>
      <c r="S1448" s="5" t="s">
        <v>50205</v>
      </c>
      <c r="T1448" s="28">
        <v>129610000</v>
      </c>
      <c r="U1448" s="28"/>
      <c r="V1448" s="28">
        <v>2616097000</v>
      </c>
      <c r="W1448" s="28">
        <v>819458000</v>
      </c>
      <c r="X1448" s="28">
        <v>65786000</v>
      </c>
      <c r="Y1448" s="28">
        <v>3878068000</v>
      </c>
      <c r="Z1448" s="28">
        <v>438643000</v>
      </c>
      <c r="AA1448" s="28"/>
      <c r="AB1448" s="28"/>
      <c r="AC1448" s="28">
        <v>3431237000</v>
      </c>
      <c r="AD1448" s="28">
        <v>438653000</v>
      </c>
      <c r="AE1448" s="28">
        <v>33995404000</v>
      </c>
      <c r="AF1448" s="28">
        <v>370472000</v>
      </c>
      <c r="AG1448" s="11"/>
    </row>
    <row r="1449">
      <c r="A1449" s="7" t="s">
        <v>3160</v>
      </c>
      <c r="B1449" s="5" t="s">
        <v>11151</v>
      </c>
      <c r="C1449" s="5" t="s">
        <v>19015</v>
      </c>
      <c r="D1449" s="5" t="str">
        <v>500303578034</v>
      </c>
      <c r="E1449" s="0" t="e">
        <f>+7 (8422) 418430
+7 (8422) 427030
+7 (8422) 427230
+7 (8422) 427341
+7 (8422) 427425
+7 (8422) 417430
+7 (8422) 424730
+7 (8422) 427405
+7 (8422) 427406
+7 (8422) 427420
+7 (8422) 427431
+7 (8422) 427432
+7 (8422) 427439
+7 (8422) 427455
+7 (8422) 427474</f>
        <v>#NAME?</v>
      </c>
      <c r="F1449" s="5" t="s">
        <v>29734</v>
      </c>
      <c r="G1449" s="5" t="s">
        <v>29735</v>
      </c>
      <c r="H1449" s="26">
        <v>22.5</v>
      </c>
      <c r="I1449" s="5" t="s">
        <v>29736</v>
      </c>
      <c r="J1449" s="5" t="s">
        <v>29626</v>
      </c>
      <c r="K1449" s="5" t="s">
        <v>344</v>
      </c>
      <c r="L1449" s="5"/>
      <c r="M1449" s="27">
        <v>1102419</v>
      </c>
      <c r="N1449" s="5" t="s">
        <v>51533</v>
      </c>
      <c r="O1449" s="5" t="str">
        <v>7303026219</v>
      </c>
      <c r="P1449" s="27">
        <v>10000</v>
      </c>
      <c r="Q1449" s="5" t="s">
        <v>51534</v>
      </c>
      <c r="R1449" s="5"/>
      <c r="S1449" s="5" t="s">
        <v>51535</v>
      </c>
      <c r="T1449" s="28">
        <v>52078000</v>
      </c>
      <c r="U1449" s="28">
        <v>280000</v>
      </c>
      <c r="V1449" s="28">
        <v>3931224000</v>
      </c>
      <c r="W1449" s="28"/>
      <c r="X1449" s="28">
        <v>10013000</v>
      </c>
      <c r="Y1449" s="28">
        <v>4056241000</v>
      </c>
      <c r="Z1449" s="28">
        <v>-73423000</v>
      </c>
      <c r="AA1449" s="28"/>
      <c r="AB1449" s="28"/>
      <c r="AC1449" s="28">
        <v>4103709000</v>
      </c>
      <c r="AD1449" s="28">
        <v>-73413000</v>
      </c>
      <c r="AE1449" s="28">
        <v>12103965000</v>
      </c>
      <c r="AF1449" s="28">
        <v>33070000</v>
      </c>
      <c r="AG1449" s="11"/>
    </row>
    <row r="1450">
      <c r="A1450" s="7" t="s">
        <v>3161</v>
      </c>
      <c r="B1450" s="5" t="s">
        <v>11087</v>
      </c>
      <c r="C1450" s="5" t="s">
        <v>19016</v>
      </c>
      <c r="D1450" s="5" t="str">
        <v>027406514316</v>
      </c>
      <c r="E1450" s="0" t="e">
        <f>+7 (3472) 297102
+7 (3472) 593838
+7 (3472) 733529
+7 (3472) 792540
+7 (3472) 799227
+7 (3472) 799354
+7 (3472) 799512
+7 (3472) 799514
+7 (3472) 799515
+7 (347) 2799501
+7 (3472) 146341
+7 (3472) 165415
+7 (3472) 254821
+7 (3472) 299022
+7 (3472) 799511</f>
        <v>#NAME?</v>
      </c>
      <c r="F1450" s="5" t="s">
        <v>29737</v>
      </c>
      <c r="G1450" s="5" t="s">
        <v>29738</v>
      </c>
      <c r="H1450" s="26">
        <v>25</v>
      </c>
      <c r="I1450" s="5" t="s">
        <v>29739</v>
      </c>
      <c r="J1450" s="5" t="s">
        <v>373</v>
      </c>
      <c r="K1450" s="5" t="s">
        <v>344</v>
      </c>
      <c r="L1450" s="5"/>
      <c r="M1450" s="27">
        <v>4238089</v>
      </c>
      <c r="N1450" s="5" t="s">
        <v>51536</v>
      </c>
      <c r="O1450" s="5" t="str">
        <v>0276046524</v>
      </c>
      <c r="P1450" s="27">
        <v>5000000</v>
      </c>
      <c r="Q1450" s="5" t="s">
        <v>51537</v>
      </c>
      <c r="R1450" s="5"/>
      <c r="S1450" s="5" t="s">
        <v>50262</v>
      </c>
      <c r="T1450" s="28">
        <v>479253000</v>
      </c>
      <c r="U1450" s="28">
        <v>26571000</v>
      </c>
      <c r="V1450" s="28">
        <v>4088840000</v>
      </c>
      <c r="W1450" s="28">
        <v>2463918000</v>
      </c>
      <c r="X1450" s="28">
        <v>11349000</v>
      </c>
      <c r="Y1450" s="28">
        <v>7593039000</v>
      </c>
      <c r="Z1450" s="28">
        <v>877601000</v>
      </c>
      <c r="AA1450" s="28"/>
      <c r="AB1450" s="28"/>
      <c r="AC1450" s="28">
        <v>6592601000</v>
      </c>
      <c r="AD1450" s="28">
        <v>882601000</v>
      </c>
      <c r="AE1450" s="28">
        <v>51373893000</v>
      </c>
      <c r="AF1450" s="28">
        <v>51368000</v>
      </c>
      <c r="AG1450" s="11"/>
    </row>
    <row r="1451">
      <c r="A1451" s="7" t="s">
        <v>3162</v>
      </c>
      <c r="B1451" s="5" t="s">
        <v>11152</v>
      </c>
      <c r="C1451" s="5" t="s">
        <v>19017</v>
      </c>
      <c r="D1451" s="5" t="str">
        <v>110100796000</v>
      </c>
      <c r="E1451" s="0" t="e">
        <f>+7 (8216) 730333
+7 (8216) 770300
+7 (921) 801222
+7 (821) 4747474
+7 (8216) 739547
+7 (8216) 747476
+7 (8216) 770333
+7 (8216) 770335</f>
        <v>#NAME?</v>
      </c>
      <c r="F1451" s="5" t="s">
        <v>29740</v>
      </c>
      <c r="G1451" s="5" t="s">
        <v>29741</v>
      </c>
      <c r="H1451" s="26">
        <v>21.5</v>
      </c>
      <c r="I1451" s="5" t="s">
        <v>29617</v>
      </c>
      <c r="J1451" s="5" t="s">
        <v>29631</v>
      </c>
      <c r="K1451" s="5" t="s">
        <v>344</v>
      </c>
      <c r="L1451" s="5" t="s">
        <v>29742</v>
      </c>
      <c r="M1451" s="27"/>
      <c r="N1451" s="5" t="s">
        <v>51538</v>
      </c>
      <c r="O1451" s="5" t="str">
        <v>1102025359</v>
      </c>
      <c r="P1451" s="27">
        <v>10000</v>
      </c>
      <c r="Q1451" s="5" t="s">
        <v>51539</v>
      </c>
      <c r="R1451" s="5"/>
      <c r="S1451" s="5" t="s">
        <v>49660</v>
      </c>
      <c r="T1451" s="28">
        <v>89490000</v>
      </c>
      <c r="U1451" s="28">
        <v>1785000</v>
      </c>
      <c r="V1451" s="28">
        <v>3394051000</v>
      </c>
      <c r="W1451" s="28">
        <v>2793792000</v>
      </c>
      <c r="X1451" s="28">
        <v>474000</v>
      </c>
      <c r="Y1451" s="28">
        <v>6927177000</v>
      </c>
      <c r="Z1451" s="28">
        <v>1220540000</v>
      </c>
      <c r="AA1451" s="28"/>
      <c r="AB1451" s="28"/>
      <c r="AC1451" s="28">
        <v>4091518000</v>
      </c>
      <c r="AD1451" s="28">
        <v>1220550000</v>
      </c>
      <c r="AE1451" s="28">
        <v>23536328000</v>
      </c>
      <c r="AF1451" s="28">
        <v>496526000</v>
      </c>
      <c r="AG1451" s="11"/>
    </row>
    <row r="1452">
      <c r="A1452" s="7" t="s">
        <v>3163</v>
      </c>
      <c r="B1452" s="5" t="s">
        <v>11153</v>
      </c>
      <c r="C1452" s="5" t="s">
        <v>19018</v>
      </c>
      <c r="D1452" s="5" t="str">
        <v>212904179692</v>
      </c>
      <c r="E1452" s="0" t="e">
        <f>+7 (8352) 300008
+7 (8352) 541363
+7 (8352) 544230
+7 (8352) 545238
+7 (8352) 511399
+7 (8352) 522640
+7 (8352) 540772
+7 (8352) 541369
+7 (8352) 544234
+7 (8352) 544238
+7 (8352) 545106
+7 (8352) 545630
+7 (8352) 546208
+7 (8352) 546501
+7 (8352) 546570</f>
        <v>#NAME?</v>
      </c>
      <c r="F1452" s="5" t="s">
        <v>29743</v>
      </c>
      <c r="G1452" s="5" t="s">
        <v>29744</v>
      </c>
      <c r="H1452" s="26">
        <v>22.5</v>
      </c>
      <c r="I1452" s="5" t="s">
        <v>29617</v>
      </c>
      <c r="J1452" s="5" t="s">
        <v>373</v>
      </c>
      <c r="K1452" s="5" t="s">
        <v>344</v>
      </c>
      <c r="L1452" s="5"/>
      <c r="M1452" s="27">
        <v>82246</v>
      </c>
      <c r="N1452" s="5" t="s">
        <v>51540</v>
      </c>
      <c r="O1452" s="5" t="str">
        <v>2126003807</v>
      </c>
      <c r="P1452" s="27">
        <v>10000</v>
      </c>
      <c r="Q1452" s="5" t="s">
        <v>51541</v>
      </c>
      <c r="R1452" s="5"/>
      <c r="S1452" s="5" t="s">
        <v>49139</v>
      </c>
      <c r="T1452" s="28">
        <v>65152000</v>
      </c>
      <c r="U1452" s="28">
        <v>4000</v>
      </c>
      <c r="V1452" s="28">
        <v>690608000</v>
      </c>
      <c r="W1452" s="28">
        <v>865539000</v>
      </c>
      <c r="X1452" s="28">
        <v>11470000</v>
      </c>
      <c r="Y1452" s="28">
        <v>1873674000</v>
      </c>
      <c r="Z1452" s="28">
        <v>103674000</v>
      </c>
      <c r="AA1452" s="28"/>
      <c r="AB1452" s="28"/>
      <c r="AC1452" s="28">
        <v>1763224000</v>
      </c>
      <c r="AD1452" s="28">
        <v>103684000</v>
      </c>
      <c r="AE1452" s="28">
        <v>10461379000</v>
      </c>
      <c r="AF1452" s="28">
        <v>209410000</v>
      </c>
      <c r="AG1452" s="11"/>
    </row>
    <row r="1453">
      <c r="A1453" s="7" t="s">
        <v>3164</v>
      </c>
      <c r="B1453" s="5" t="s">
        <v>11154</v>
      </c>
      <c r="C1453" s="5" t="s">
        <v>19019</v>
      </c>
      <c r="D1453" s="5" t="str">
        <v>667414999867</v>
      </c>
      <c r="E1453" s="0" t="e">
        <f>+7 (812) 6095555
+7 (878) 2244327
+7 (878) 2260503
+7 (878) 2272427
+7 (878) 2274326
+7 (878) 2274387
+7 (878) 2274727
+7 (87870) 53949
+7 (878) 2264449
+7 (87870) 52121
+7 (87872) 74327
+7 (928) 6596104</f>
        <v>#NAME?</v>
      </c>
      <c r="F1453" s="5" t="s">
        <v>29745</v>
      </c>
      <c r="G1453" s="5"/>
      <c r="H1453" s="26">
        <v>6.5</v>
      </c>
      <c r="I1453" s="5" t="s">
        <v>29617</v>
      </c>
      <c r="J1453" s="5" t="s">
        <v>29626</v>
      </c>
      <c r="K1453" s="5" t="s">
        <v>380</v>
      </c>
      <c r="L1453" s="5"/>
      <c r="M1453" s="27"/>
      <c r="N1453" s="5" t="s">
        <v>51542</v>
      </c>
      <c r="O1453" s="5" t="str">
        <v>0917030800</v>
      </c>
      <c r="P1453" s="27">
        <v>10000</v>
      </c>
      <c r="Q1453" s="5" t="s">
        <v>51543</v>
      </c>
      <c r="R1453" s="5"/>
      <c r="S1453" s="5" t="s">
        <v>50096</v>
      </c>
      <c r="T1453" s="28">
        <v>39441000</v>
      </c>
      <c r="U1453" s="28"/>
      <c r="V1453" s="28">
        <v>1340447000</v>
      </c>
      <c r="W1453" s="28"/>
      <c r="X1453" s="28">
        <v>95000</v>
      </c>
      <c r="Y1453" s="28">
        <v>1574640000</v>
      </c>
      <c r="Z1453" s="28">
        <v>-2283018000</v>
      </c>
      <c r="AA1453" s="28"/>
      <c r="AB1453" s="28"/>
      <c r="AC1453" s="28">
        <v>3857648000</v>
      </c>
      <c r="AD1453" s="28">
        <v>-2283008000</v>
      </c>
      <c r="AE1453" s="28">
        <v>4109315000</v>
      </c>
      <c r="AF1453" s="28">
        <v>-339070000</v>
      </c>
      <c r="AG1453" s="11"/>
    </row>
    <row r="1454">
      <c r="A1454" s="7" t="s">
        <v>3165</v>
      </c>
      <c r="B1454" s="5" t="s">
        <v>11155</v>
      </c>
      <c r="C1454" s="5" t="s">
        <v>19020</v>
      </c>
      <c r="D1454" s="5" t="str">
        <v>503404938602</v>
      </c>
      <c r="E1454" s="0" t="e">
        <f>+7 (485) 2208733
+7 (485) 2593322
+7 (485) 2662104
+7 (485) 2791878
+7 (485) 2701014
+7 (485) 2721014
+7 (485) 2797802
+7 (485) 2797805
+7 (485) 2797812
+7 (485) 2797814
+7 (485) 2797822
+7 (485) 2797823
+7 (485) 2797830
+7 (485) 2797831
+7 (485) 2797837</f>
        <v>#NAME?</v>
      </c>
      <c r="F1454" s="5" t="s">
        <v>29746</v>
      </c>
      <c r="G1454" s="5"/>
      <c r="H1454" s="26">
        <v>23</v>
      </c>
      <c r="I1454" s="5" t="s">
        <v>29747</v>
      </c>
      <c r="J1454" s="5" t="s">
        <v>29631</v>
      </c>
      <c r="K1454" s="5" t="s">
        <v>344</v>
      </c>
      <c r="L1454" s="5"/>
      <c r="M1454" s="27"/>
      <c r="N1454" s="5" t="s">
        <v>51544</v>
      </c>
      <c r="O1454" s="5" t="str">
        <v>7604049153</v>
      </c>
      <c r="P1454" s="27">
        <v>42610000</v>
      </c>
      <c r="Q1454" s="5" t="s">
        <v>51545</v>
      </c>
      <c r="R1454" s="5" t="s">
        <v>51546</v>
      </c>
      <c r="S1454" s="5" t="s">
        <v>49660</v>
      </c>
      <c r="T1454" s="28">
        <v>339134000</v>
      </c>
      <c r="U1454" s="28">
        <v>13928000</v>
      </c>
      <c r="V1454" s="28">
        <v>7849777000</v>
      </c>
      <c r="W1454" s="28"/>
      <c r="X1454" s="28">
        <v>10894000</v>
      </c>
      <c r="Y1454" s="28">
        <v>8300787000</v>
      </c>
      <c r="Z1454" s="28">
        <v>536325000</v>
      </c>
      <c r="AA1454" s="28"/>
      <c r="AB1454" s="28"/>
      <c r="AC1454" s="28">
        <v>5233713000</v>
      </c>
      <c r="AD1454" s="28">
        <v>578935000</v>
      </c>
      <c r="AE1454" s="28">
        <v>19765688000</v>
      </c>
      <c r="AF1454" s="28">
        <v>137608000</v>
      </c>
      <c r="AG1454" s="11"/>
    </row>
    <row r="1455">
      <c r="A1455" s="7" t="s">
        <v>3166</v>
      </c>
      <c r="B1455" s="5" t="s">
        <v>11156</v>
      </c>
      <c r="C1455" s="5" t="s">
        <v>19021</v>
      </c>
      <c r="D1455" s="5" t="str">
        <v>780601327233</v>
      </c>
      <c r="E1455" s="0" t="e">
        <f>+7 (495) 6663250
+7 (861) 2792691
+7 (495) 7195210
+7 (495) 7195319
+7 (495) 7195411
+7 (812) 6095259
+7 (812) 6095668
+7 (844) 2969330</f>
        <v>#NAME?</v>
      </c>
      <c r="F1455" s="5" t="s">
        <v>29748</v>
      </c>
      <c r="G1455" s="5" t="s">
        <v>29749</v>
      </c>
      <c r="H1455" s="26">
        <v>26</v>
      </c>
      <c r="I1455" s="5" t="s">
        <v>29750</v>
      </c>
      <c r="J1455" s="5" t="s">
        <v>373</v>
      </c>
      <c r="K1455" s="5" t="s">
        <v>355</v>
      </c>
      <c r="L1455" s="5"/>
      <c r="M1455" s="27">
        <v>98562003</v>
      </c>
      <c r="N1455" s="5" t="s">
        <v>51547</v>
      </c>
      <c r="O1455" s="5" t="str">
        <v>5003021311</v>
      </c>
      <c r="P1455" s="27">
        <v>45425043600</v>
      </c>
      <c r="Q1455" s="5" t="s">
        <v>51548</v>
      </c>
      <c r="R1455" s="5" t="s">
        <v>51379</v>
      </c>
      <c r="S1455" s="5" t="s">
        <v>51549</v>
      </c>
      <c r="T1455" s="28">
        <v>152209305000</v>
      </c>
      <c r="U1455" s="28">
        <v>398731356000</v>
      </c>
      <c r="V1455" s="28">
        <v>453622022000</v>
      </c>
      <c r="W1455" s="28">
        <v>116577018000</v>
      </c>
      <c r="X1455" s="28">
        <v>693000</v>
      </c>
      <c r="Y1455" s="28">
        <v>1266622884000</v>
      </c>
      <c r="Z1455" s="28">
        <v>-161426714000</v>
      </c>
      <c r="AA1455" s="28">
        <v>120000000000</v>
      </c>
      <c r="AB1455" s="28">
        <v>97310634000</v>
      </c>
      <c r="AC1455" s="28">
        <v>356124179000</v>
      </c>
      <c r="AD1455" s="28">
        <v>749602560000</v>
      </c>
      <c r="AE1455" s="28">
        <v>1089621224000</v>
      </c>
      <c r="AF1455" s="28">
        <v>-28013728000</v>
      </c>
      <c r="AG1455" s="11"/>
    </row>
    <row r="1456">
      <c r="A1456" s="7" t="s">
        <v>3167</v>
      </c>
      <c r="B1456" s="5" t="s">
        <v>11157</v>
      </c>
      <c r="C1456" s="5" t="s">
        <v>19022</v>
      </c>
      <c r="D1456" s="5" t="str">
        <v>700702864071</v>
      </c>
      <c r="E1456" s="0" t="e">
        <f>+7 (382) 2703070
+7 (382) 2730013</f>
        <v>#NAME?</v>
      </c>
      <c r="F1456" s="5" t="s">
        <v>29751</v>
      </c>
      <c r="G1456" s="5"/>
      <c r="H1456" s="26">
        <v>16.5</v>
      </c>
      <c r="I1456" s="5" t="s">
        <v>29752</v>
      </c>
      <c r="J1456" s="5" t="s">
        <v>25495</v>
      </c>
      <c r="K1456" s="5" t="s">
        <v>344</v>
      </c>
      <c r="L1456" s="5" t="s">
        <v>29753</v>
      </c>
      <c r="M1456" s="27"/>
      <c r="N1456" s="5" t="s">
        <v>51550</v>
      </c>
      <c r="O1456" s="5" t="str">
        <v>7017156263</v>
      </c>
      <c r="P1456" s="27">
        <v>1810806000</v>
      </c>
      <c r="Q1456" s="5" t="s">
        <v>51551</v>
      </c>
      <c r="R1456" s="5"/>
      <c r="S1456" s="5" t="s">
        <v>51552</v>
      </c>
      <c r="T1456" s="28">
        <v>4081456000</v>
      </c>
      <c r="U1456" s="28"/>
      <c r="V1456" s="28">
        <v>7792031000</v>
      </c>
      <c r="W1456" s="28"/>
      <c r="X1456" s="28">
        <v>267000</v>
      </c>
      <c r="Y1456" s="28">
        <v>12655731000</v>
      </c>
      <c r="Z1456" s="28">
        <v>8918734000</v>
      </c>
      <c r="AA1456" s="28"/>
      <c r="AB1456" s="28"/>
      <c r="AC1456" s="28">
        <v>1592592000</v>
      </c>
      <c r="AD1456" s="28">
        <v>10758078000</v>
      </c>
      <c r="AE1456" s="28">
        <v>11613235000</v>
      </c>
      <c r="AF1456" s="28">
        <v>3242802000</v>
      </c>
      <c r="AG1456" s="11"/>
    </row>
    <row r="1457">
      <c r="A1457" s="7" t="s">
        <v>3168</v>
      </c>
      <c r="B1457" s="5" t="s">
        <v>11158</v>
      </c>
      <c r="C1457" s="5" t="s">
        <v>19023</v>
      </c>
      <c r="D1457" s="5" t="str">
        <v>772728896809</v>
      </c>
      <c r="E1457" s="0" t="e">
        <f>+7 (345) 2679200
+7 (391) 2279539
+7 (391) 2568030
+7 (495) 9662550
+7 (495) 9662551
+7 (846) 3792684</f>
        <v>#NAME?</v>
      </c>
      <c r="F1457" s="5" t="s">
        <v>29754</v>
      </c>
      <c r="G1457" s="5" t="s">
        <v>29755</v>
      </c>
      <c r="H1457" s="26">
        <v>22</v>
      </c>
      <c r="I1457" s="5" t="s">
        <v>29756</v>
      </c>
      <c r="J1457" s="5" t="s">
        <v>461</v>
      </c>
      <c r="K1457" s="5" t="s">
        <v>344</v>
      </c>
      <c r="L1457" s="5" t="s">
        <v>29757</v>
      </c>
      <c r="M1457" s="27"/>
      <c r="N1457" s="5" t="s">
        <v>51553</v>
      </c>
      <c r="O1457" s="5" t="str">
        <v>2466091092</v>
      </c>
      <c r="P1457" s="27">
        <v>100000</v>
      </c>
      <c r="Q1457" s="5" t="s">
        <v>51554</v>
      </c>
      <c r="R1457" s="5"/>
      <c r="S1457" s="5" t="s">
        <v>51430</v>
      </c>
      <c r="T1457" s="28">
        <v>357129000</v>
      </c>
      <c r="U1457" s="28"/>
      <c r="V1457" s="28">
        <v>9999111000</v>
      </c>
      <c r="W1457" s="28">
        <v>726802000</v>
      </c>
      <c r="X1457" s="28">
        <v>600304000</v>
      </c>
      <c r="Y1457" s="28">
        <v>15335239000</v>
      </c>
      <c r="Z1457" s="28">
        <v>910786000</v>
      </c>
      <c r="AA1457" s="28"/>
      <c r="AB1457" s="28">
        <v>1559000</v>
      </c>
      <c r="AC1457" s="28">
        <v>14109876000</v>
      </c>
      <c r="AD1457" s="28">
        <v>910886000</v>
      </c>
      <c r="AE1457" s="28">
        <v>7963248000</v>
      </c>
      <c r="AF1457" s="28">
        <v>593337000</v>
      </c>
      <c r="AG1457" s="11"/>
    </row>
    <row r="1458">
      <c r="A1458" s="7" t="s">
        <v>3169</v>
      </c>
      <c r="B1458" s="5" t="s">
        <v>11068</v>
      </c>
      <c r="C1458" s="5" t="s">
        <v>19024</v>
      </c>
      <c r="D1458" s="5" t="str">
        <v>890301917760</v>
      </c>
      <c r="E1458" s="0" t="e">
        <f>+7 (958) 4585290
+7 (3494) 924810
+7 (48236) 21797
+7 (48236) 32835
+7 (49646) 12097
+7 (8216) 760277</f>
        <v>#NAME?</v>
      </c>
      <c r="F1458" s="5" t="s">
        <v>29758</v>
      </c>
      <c r="G1458" s="5"/>
      <c r="H1458" s="26">
        <v>15</v>
      </c>
      <c r="I1458" s="5" t="s">
        <v>29759</v>
      </c>
      <c r="J1458" s="5" t="s">
        <v>27806</v>
      </c>
      <c r="K1458" s="5" t="s">
        <v>344</v>
      </c>
      <c r="L1458" s="5"/>
      <c r="M1458" s="27">
        <v>47284</v>
      </c>
      <c r="N1458" s="5" t="s">
        <v>51555</v>
      </c>
      <c r="O1458" s="5" t="str">
        <v>7709769582</v>
      </c>
      <c r="P1458" s="27">
        <v>4696956000</v>
      </c>
      <c r="Q1458" s="5" t="s">
        <v>51557</v>
      </c>
      <c r="R1458" s="5"/>
      <c r="S1458" s="5" t="s">
        <v>51309</v>
      </c>
      <c r="T1458" s="28">
        <v>7417809000</v>
      </c>
      <c r="U1458" s="28">
        <v>2230000</v>
      </c>
      <c r="V1458" s="28">
        <v>24945547000</v>
      </c>
      <c r="W1458" s="28"/>
      <c r="X1458" s="28">
        <v>730000</v>
      </c>
      <c r="Y1458" s="28">
        <v>39986816000</v>
      </c>
      <c r="Z1458" s="28">
        <v>2219285000</v>
      </c>
      <c r="AA1458" s="28">
        <v>1008732000</v>
      </c>
      <c r="AB1458" s="28"/>
      <c r="AC1458" s="28">
        <v>22336822000</v>
      </c>
      <c r="AD1458" s="28">
        <v>15186349000</v>
      </c>
      <c r="AE1458" s="28">
        <v>61032348000</v>
      </c>
      <c r="AF1458" s="28">
        <v>648423000</v>
      </c>
      <c r="AG1458" s="11"/>
    </row>
    <row r="1459">
      <c r="A1459" s="7" t="s">
        <v>3170</v>
      </c>
      <c r="B1459" s="5" t="s">
        <v>10083</v>
      </c>
      <c r="C1459" s="5" t="s">
        <v>19025</v>
      </c>
      <c r="D1459" s="5"/>
      <c r="E1459" s="0" t="e">
        <f>+7 (3472) 353917
+7 (3476) 392187
+7 (3476) 392330
+7 (34763) 91257
+7 (3472) 351388
+7 (3472) 353164
+7 (3472) 353183
+7 (3472) 392103
+7 (3472) 392109
+7 (3476) 353183
+7 (3476) 360405
+7 (3476) 391644
+7 (34763) 52899
+7 (34763) 91381
+7 (34763) 91412</f>
        <v>#NAME?</v>
      </c>
      <c r="F1459" s="5" t="s">
        <v>29760</v>
      </c>
      <c r="G1459" s="5" t="s">
        <v>29761</v>
      </c>
      <c r="H1459" s="26">
        <v>29</v>
      </c>
      <c r="I1459" s="5" t="s">
        <v>29762</v>
      </c>
      <c r="J1459" s="5" t="s">
        <v>555</v>
      </c>
      <c r="K1459" s="5" t="s">
        <v>344</v>
      </c>
      <c r="L1459" s="5" t="s">
        <v>29763</v>
      </c>
      <c r="M1459" s="27">
        <v>71875788</v>
      </c>
      <c r="N1459" s="5" t="s">
        <v>51558</v>
      </c>
      <c r="O1459" s="5" t="str">
        <v>0266048970</v>
      </c>
      <c r="P1459" s="27">
        <v>44616550851</v>
      </c>
      <c r="Q1459" s="5" t="s">
        <v>51559</v>
      </c>
      <c r="R1459" s="5"/>
      <c r="S1459" s="5" t="s">
        <v>51382</v>
      </c>
      <c r="T1459" s="28">
        <v>137543866000</v>
      </c>
      <c r="U1459" s="28">
        <v>6957868000</v>
      </c>
      <c r="V1459" s="28">
        <v>52886970000</v>
      </c>
      <c r="W1459" s="28">
        <v>17825000</v>
      </c>
      <c r="X1459" s="28">
        <v>399705000</v>
      </c>
      <c r="Y1459" s="28">
        <v>227945094000</v>
      </c>
      <c r="Z1459" s="28">
        <v>130361215000</v>
      </c>
      <c r="AA1459" s="28"/>
      <c r="AB1459" s="28">
        <v>2825074000</v>
      </c>
      <c r="AC1459" s="28">
        <v>39803066000</v>
      </c>
      <c r="AD1459" s="28">
        <v>179159113000</v>
      </c>
      <c r="AE1459" s="28">
        <v>265916329000</v>
      </c>
      <c r="AF1459" s="28">
        <v>56235921000</v>
      </c>
      <c r="AG1459" s="11"/>
    </row>
    <row r="1460">
      <c r="A1460" s="7" t="s">
        <v>3171</v>
      </c>
      <c r="B1460" s="5" t="s">
        <v>11159</v>
      </c>
      <c r="C1460" s="5" t="s">
        <v>19026</v>
      </c>
      <c r="D1460" s="5" t="str">
        <v>860219672564</v>
      </c>
      <c r="E1460" s="0" t="e">
        <f>+7 (346) 2752678
+7 (346) 2752840
+7 (346) 2240016
+7 (346) 2283967
+7 (346) 2284170
+7 (346) 2284171
+7 (346) 2319523
+7 (346) 2752510
+7 (346) 2752671
+7 (346) 2752765
+7 (346) 2752810
+7 (346) 2753112
+7 (346) 2754810
+7 (346) 2954519
+7 (346) 2954683</f>
        <v>#NAME?</v>
      </c>
      <c r="F1460" s="5" t="s">
        <v>29764</v>
      </c>
      <c r="G1460" s="5"/>
      <c r="H1460" s="26">
        <v>16</v>
      </c>
      <c r="I1460" s="5" t="s">
        <v>29765</v>
      </c>
      <c r="J1460" s="5" t="s">
        <v>555</v>
      </c>
      <c r="K1460" s="5" t="s">
        <v>344</v>
      </c>
      <c r="L1460" s="5"/>
      <c r="M1460" s="27">
        <v>21084129</v>
      </c>
      <c r="N1460" s="5" t="s">
        <v>51560</v>
      </c>
      <c r="O1460" s="5" t="str">
        <v>1102054991</v>
      </c>
      <c r="P1460" s="27">
        <v>456721013758</v>
      </c>
      <c r="Q1460" s="5" t="s">
        <v>51561</v>
      </c>
      <c r="R1460" s="5" t="s">
        <v>51397</v>
      </c>
      <c r="S1460" s="5" t="s">
        <v>51036</v>
      </c>
      <c r="T1460" s="28">
        <v>55508597000</v>
      </c>
      <c r="U1460" s="28">
        <v>644624105000</v>
      </c>
      <c r="V1460" s="28">
        <v>45018767000</v>
      </c>
      <c r="W1460" s="28"/>
      <c r="X1460" s="28">
        <v>120667563000</v>
      </c>
      <c r="Y1460" s="28">
        <v>884201512000</v>
      </c>
      <c r="Z1460" s="28">
        <v>40722279000</v>
      </c>
      <c r="AA1460" s="28">
        <v>190000000000</v>
      </c>
      <c r="AB1460" s="28">
        <v>47109000</v>
      </c>
      <c r="AC1460" s="28">
        <v>48852937000</v>
      </c>
      <c r="AD1460" s="28">
        <v>631694791000</v>
      </c>
      <c r="AE1460" s="28">
        <v>213828925000</v>
      </c>
      <c r="AF1460" s="28">
        <v>12018556000</v>
      </c>
      <c r="AG1460" s="11"/>
    </row>
    <row r="1461">
      <c r="A1461" s="7" t="s">
        <v>3172</v>
      </c>
      <c r="B1461" s="5" t="s">
        <v>11160</v>
      </c>
      <c r="C1461" s="5" t="s">
        <v>19027</v>
      </c>
      <c r="D1461" s="5" t="str">
        <v>772129523830</v>
      </c>
      <c r="E1461" s="0" t="e">
        <f>+7 (34675) 24670
+7 (3499) 530520
+7 (495) 7191027
+7 (495) 7193843
+7 (495) 7193983
+7 (495) 7194195</f>
        <v>#NAME?</v>
      </c>
      <c r="F1461" s="5" t="s">
        <v>29766</v>
      </c>
      <c r="G1461" s="5"/>
      <c r="H1461" s="26">
        <v>25</v>
      </c>
      <c r="I1461" s="5" t="s">
        <v>29767</v>
      </c>
      <c r="J1461" s="5" t="s">
        <v>585</v>
      </c>
      <c r="K1461" s="5" t="s">
        <v>380</v>
      </c>
      <c r="L1461" s="5"/>
      <c r="M1461" s="27"/>
      <c r="N1461" s="5" t="s">
        <v>51562</v>
      </c>
      <c r="O1461" s="5" t="str">
        <v>7702211710</v>
      </c>
      <c r="P1461" s="27">
        <v>40010000</v>
      </c>
      <c r="Q1461" s="5" t="s">
        <v>51564</v>
      </c>
      <c r="R1461" s="5"/>
      <c r="S1461" s="5" t="s">
        <v>51565</v>
      </c>
      <c r="T1461" s="28">
        <v>434435000</v>
      </c>
      <c r="U1461" s="28">
        <v>215181000</v>
      </c>
      <c r="V1461" s="28">
        <v>804700000</v>
      </c>
      <c r="W1461" s="28">
        <v>441089000</v>
      </c>
      <c r="X1461" s="28">
        <v>12694000</v>
      </c>
      <c r="Y1461" s="28">
        <v>2964111000</v>
      </c>
      <c r="Z1461" s="28">
        <v>210366000</v>
      </c>
      <c r="AA1461" s="28"/>
      <c r="AB1461" s="28"/>
      <c r="AC1461" s="28">
        <v>2289327000</v>
      </c>
      <c r="AD1461" s="28">
        <v>471378000</v>
      </c>
      <c r="AE1461" s="28">
        <v>10242079000</v>
      </c>
      <c r="AF1461" s="28">
        <v>-138278000</v>
      </c>
      <c r="AG1461" s="11"/>
    </row>
    <row r="1462">
      <c r="A1462" s="7" t="s">
        <v>3173</v>
      </c>
      <c r="B1462" s="5" t="s">
        <v>11161</v>
      </c>
      <c r="C1462" s="5" t="s">
        <v>19028</v>
      </c>
      <c r="D1462" s="5" t="str">
        <v>110802622799</v>
      </c>
      <c r="E1462" s="0" t="e">
        <f>+7 (3494) 220839
+7 (3494) 996615
+7 (3494) 928830
+7 (812) 6096808</f>
        <v>#NAME?</v>
      </c>
      <c r="F1462" s="5" t="s">
        <v>29768</v>
      </c>
      <c r="G1462" s="5"/>
      <c r="H1462" s="26">
        <v>16</v>
      </c>
      <c r="I1462" s="5" t="s">
        <v>29769</v>
      </c>
      <c r="J1462" s="5" t="s">
        <v>26799</v>
      </c>
      <c r="K1462" s="5" t="s">
        <v>355</v>
      </c>
      <c r="L1462" s="5"/>
      <c r="M1462" s="27">
        <v>47602862</v>
      </c>
      <c r="N1462" s="5" t="s">
        <v>51566</v>
      </c>
      <c r="O1462" s="5" t="str">
        <v>8904051130</v>
      </c>
      <c r="P1462" s="27">
        <v>1255214710</v>
      </c>
      <c r="Q1462" s="5" t="s">
        <v>51568</v>
      </c>
      <c r="R1462" s="5"/>
      <c r="S1462" s="5" t="s">
        <v>51565</v>
      </c>
      <c r="T1462" s="28">
        <v>5593744000</v>
      </c>
      <c r="U1462" s="28"/>
      <c r="V1462" s="28">
        <v>6540231000</v>
      </c>
      <c r="W1462" s="28"/>
      <c r="X1462" s="28">
        <v>1757662000</v>
      </c>
      <c r="Y1462" s="28">
        <v>16712142000</v>
      </c>
      <c r="Z1462" s="28">
        <v>4187753000</v>
      </c>
      <c r="AA1462" s="28"/>
      <c r="AB1462" s="28">
        <v>501636000</v>
      </c>
      <c r="AC1462" s="28">
        <v>9505854000</v>
      </c>
      <c r="AD1462" s="28">
        <v>6074018000</v>
      </c>
      <c r="AE1462" s="28">
        <v>20623849000</v>
      </c>
      <c r="AF1462" s="28">
        <v>1343032000</v>
      </c>
      <c r="AG1462" s="11"/>
    </row>
    <row r="1463">
      <c r="A1463" s="7" t="s">
        <v>3174</v>
      </c>
      <c r="B1463" s="5" t="s">
        <v>11162</v>
      </c>
      <c r="C1463" s="5" t="s">
        <v>19029</v>
      </c>
      <c r="D1463" s="5" t="str">
        <v>645500702471</v>
      </c>
      <c r="E1463" s="0" t="e">
        <f>+7 (495) 4652940
+7 (812) 5877997</f>
        <v>#NAME?</v>
      </c>
      <c r="F1463" s="5" t="s">
        <v>29770</v>
      </c>
      <c r="G1463" s="5" t="s">
        <v>29771</v>
      </c>
      <c r="H1463" s="26">
        <v>23</v>
      </c>
      <c r="I1463" s="5" t="s">
        <v>29772</v>
      </c>
      <c r="J1463" s="5" t="s">
        <v>1013</v>
      </c>
      <c r="K1463" s="5" t="s">
        <v>355</v>
      </c>
      <c r="L1463" s="5"/>
      <c r="M1463" s="27">
        <v>674435</v>
      </c>
      <c r="N1463" s="5" t="s">
        <v>51569</v>
      </c>
      <c r="O1463" s="5" t="str">
        <v>0560022871</v>
      </c>
      <c r="P1463" s="27">
        <v>8080752371</v>
      </c>
      <c r="Q1463" s="5" t="s">
        <v>51571</v>
      </c>
      <c r="R1463" s="5" t="s">
        <v>51572</v>
      </c>
      <c r="S1463" s="5" t="s">
        <v>51309</v>
      </c>
      <c r="T1463" s="28">
        <v>4437423000</v>
      </c>
      <c r="U1463" s="28">
        <v>7738677000</v>
      </c>
      <c r="V1463" s="28">
        <v>39602547000</v>
      </c>
      <c r="W1463" s="28"/>
      <c r="X1463" s="28">
        <v>384507000</v>
      </c>
      <c r="Y1463" s="28">
        <v>55218038000</v>
      </c>
      <c r="Z1463" s="28">
        <v>-1406388000</v>
      </c>
      <c r="AA1463" s="28"/>
      <c r="AB1463" s="28"/>
      <c r="AC1463" s="28">
        <v>40971964000</v>
      </c>
      <c r="AD1463" s="28">
        <v>12199402000</v>
      </c>
      <c r="AE1463" s="28">
        <v>34538175000</v>
      </c>
      <c r="AF1463" s="28">
        <v>1045010000</v>
      </c>
      <c r="AG1463" s="11"/>
    </row>
    <row r="1464">
      <c r="A1464" s="7" t="s">
        <v>3175</v>
      </c>
      <c r="B1464" s="5" t="s">
        <v>11143</v>
      </c>
      <c r="C1464" s="5" t="s">
        <v>19030</v>
      </c>
      <c r="D1464" s="5" t="str">
        <v>860221318345</v>
      </c>
      <c r="E1464" s="0" t="e">
        <f>+7 (495) 9357285
+7 (495) 9357284</f>
        <v>#NAME?</v>
      </c>
      <c r="F1464" s="5" t="s">
        <v>29773</v>
      </c>
      <c r="G1464" s="5" t="s">
        <v>29774</v>
      </c>
      <c r="H1464" s="26">
        <v>24.5</v>
      </c>
      <c r="I1464" s="5" t="s">
        <v>29775</v>
      </c>
      <c r="J1464" s="5" t="s">
        <v>29776</v>
      </c>
      <c r="K1464" s="5" t="s">
        <v>344</v>
      </c>
      <c r="L1464" s="5"/>
      <c r="M1464" s="27"/>
      <c r="N1464" s="5"/>
      <c r="O1464" s="5" t="str">
        <v>7728173890</v>
      </c>
      <c r="P1464" s="27">
        <v>121530000</v>
      </c>
      <c r="Q1464" s="5" t="s">
        <v>51573</v>
      </c>
      <c r="R1464" s="5"/>
      <c r="S1464" s="5" t="s">
        <v>51574</v>
      </c>
      <c r="T1464" s="28">
        <v>808142000</v>
      </c>
      <c r="U1464" s="28"/>
      <c r="V1464" s="28">
        <v>4853942000</v>
      </c>
      <c r="W1464" s="28"/>
      <c r="X1464" s="28">
        <v>177000</v>
      </c>
      <c r="Y1464" s="28">
        <v>6822743000</v>
      </c>
      <c r="Z1464" s="28">
        <v>-3689932000</v>
      </c>
      <c r="AA1464" s="28">
        <v>965571000</v>
      </c>
      <c r="AB1464" s="28">
        <v>27980000</v>
      </c>
      <c r="AC1464" s="28">
        <v>3863666000</v>
      </c>
      <c r="AD1464" s="28">
        <v>1940395000</v>
      </c>
      <c r="AE1464" s="28">
        <v>8077941000</v>
      </c>
      <c r="AF1464" s="28">
        <v>379879000</v>
      </c>
      <c r="AG1464" s="11"/>
    </row>
    <row r="1465">
      <c r="A1465" s="7" t="s">
        <v>3176</v>
      </c>
      <c r="B1465" s="5" t="s">
        <v>11163</v>
      </c>
      <c r="C1465" s="5" t="s">
        <v>19031</v>
      </c>
      <c r="D1465" s="5" t="str">
        <v>500344698362</v>
      </c>
      <c r="F1465" s="5"/>
      <c r="G1465" s="5"/>
      <c r="H1465" s="26">
        <v>1</v>
      </c>
      <c r="I1465" s="5" t="s">
        <v>29777</v>
      </c>
      <c r="J1465" s="5" t="s">
        <v>26918</v>
      </c>
      <c r="K1465" s="5" t="s">
        <v>344</v>
      </c>
      <c r="L1465" s="5"/>
      <c r="M1465" s="27"/>
      <c r="N1465" s="5"/>
      <c r="O1465" s="5" t="str">
        <v>7810946430</v>
      </c>
      <c r="P1465" s="27">
        <v>5710000000</v>
      </c>
      <c r="Q1465" s="5" t="s">
        <v>51575</v>
      </c>
      <c r="R1465" s="5"/>
      <c r="S1465" s="5" t="s">
        <v>51576</v>
      </c>
      <c r="T1465" s="28">
        <v>284241000</v>
      </c>
      <c r="U1465" s="28">
        <v>5700750000</v>
      </c>
      <c r="V1465" s="28">
        <v>3581498000</v>
      </c>
      <c r="W1465" s="28"/>
      <c r="X1465" s="28">
        <v>1872409000</v>
      </c>
      <c r="Y1465" s="28">
        <v>11620290000</v>
      </c>
      <c r="Z1465" s="28">
        <v>884227000</v>
      </c>
      <c r="AA1465" s="28"/>
      <c r="AB1465" s="28"/>
      <c r="AC1465" s="28">
        <v>4981167000</v>
      </c>
      <c r="AD1465" s="28">
        <v>6594227000</v>
      </c>
      <c r="AE1465" s="28">
        <v>7323782000</v>
      </c>
      <c r="AF1465" s="28">
        <v>884227000</v>
      </c>
      <c r="AG1465" s="11"/>
    </row>
    <row r="1466">
      <c r="A1466" s="7" t="s">
        <v>3177</v>
      </c>
      <c r="B1466" s="5" t="s">
        <v>11160</v>
      </c>
      <c r="C1466" s="5" t="s">
        <v>19032</v>
      </c>
      <c r="D1466" s="5" t="str">
        <v>773175240644</v>
      </c>
      <c r="E1466" s="0" t="e">
        <f>+7 (48431) 54088
+7 (48431) 54113
+7 (495) 4284003
+7 (495) 4284040
+7 (495) 7193031
+7 (495) 8170113
+7 (495) 8171710
+7 (495) 8171712
+7 (345) 2282207
+7 (3494) 923321
+7 (495) 7193010
+7 (495) 7193020
+7 (495) 7194444
+7 (495) 7194840
+7 (8632) 658067</f>
        <v>#NAME?</v>
      </c>
      <c r="F1466" s="5" t="s">
        <v>29778</v>
      </c>
      <c r="G1466" s="5" t="s">
        <v>29779</v>
      </c>
      <c r="H1466" s="26">
        <v>23.5</v>
      </c>
      <c r="I1466" s="5" t="s">
        <v>29780</v>
      </c>
      <c r="J1466" s="5" t="s">
        <v>27783</v>
      </c>
      <c r="K1466" s="5" t="s">
        <v>344</v>
      </c>
      <c r="L1466" s="5"/>
      <c r="M1466" s="27">
        <v>930221</v>
      </c>
      <c r="N1466" s="5" t="s">
        <v>51577</v>
      </c>
      <c r="O1466" s="5" t="str">
        <v>7740000020</v>
      </c>
      <c r="P1466" s="27">
        <v>1796292894</v>
      </c>
      <c r="Q1466" s="5" t="s">
        <v>51578</v>
      </c>
      <c r="R1466" s="5"/>
      <c r="S1466" s="5" t="s">
        <v>49271</v>
      </c>
      <c r="T1466" s="28">
        <v>3514351000</v>
      </c>
      <c r="U1466" s="28"/>
      <c r="V1466" s="28">
        <v>2303675000</v>
      </c>
      <c r="W1466" s="28"/>
      <c r="X1466" s="28">
        <v>418000</v>
      </c>
      <c r="Y1466" s="28">
        <v>6403477000</v>
      </c>
      <c r="Z1466" s="28">
        <v>1735691000</v>
      </c>
      <c r="AA1466" s="28"/>
      <c r="AB1466" s="28"/>
      <c r="AC1466" s="28">
        <v>2533745000</v>
      </c>
      <c r="AD1466" s="28">
        <v>3668343000</v>
      </c>
      <c r="AE1466" s="28">
        <v>5838098000</v>
      </c>
      <c r="AF1466" s="28">
        <v>180958000</v>
      </c>
      <c r="AG1466" s="11"/>
    </row>
    <row r="1467">
      <c r="A1467" s="7" t="s">
        <v>3178</v>
      </c>
      <c r="B1467" s="5" t="s">
        <v>11164</v>
      </c>
      <c r="C1467" s="5" t="s">
        <v>19033</v>
      </c>
      <c r="D1467" s="5" t="str">
        <v>510302460371</v>
      </c>
      <c r="E1467" s="0" t="e">
        <f>+7 (817) 2777755
+7 (8202) 282874
+7 (8202) 777700
+7 (817) 2777711
+7 (81743) 21004
+7 (81743) 21078
+7 (81743) 21114
+7 (81743) 21221
+7 (81743) 21308
+7 (81743) 21767
+7 (81743) 22574
+7 (8202) 202874
+7 (8202) 202889
+7 (8202) 518035
+7 (8202) 777710</f>
        <v>#NAME?</v>
      </c>
      <c r="F1467" s="5" t="s">
        <v>29781</v>
      </c>
      <c r="G1467" s="5" t="s">
        <v>29782</v>
      </c>
      <c r="H1467" s="26">
        <v>22.5</v>
      </c>
      <c r="I1467" s="5" t="s">
        <v>29783</v>
      </c>
      <c r="J1467" s="5" t="s">
        <v>27642</v>
      </c>
      <c r="K1467" s="5" t="s">
        <v>344</v>
      </c>
      <c r="L1467" s="5" t="s">
        <v>29784</v>
      </c>
      <c r="M1467" s="27">
        <v>446395</v>
      </c>
      <c r="N1467" s="5" t="s">
        <v>51579</v>
      </c>
      <c r="O1467" s="5" t="str">
        <v>3523011161</v>
      </c>
      <c r="P1467" s="27">
        <v>100000</v>
      </c>
      <c r="Q1467" s="5" t="s">
        <v>51580</v>
      </c>
      <c r="R1467" s="5"/>
      <c r="S1467" s="5" t="s">
        <v>49747</v>
      </c>
      <c r="T1467" s="28">
        <v>980714000</v>
      </c>
      <c r="U1467" s="28">
        <v>50000</v>
      </c>
      <c r="V1467" s="28">
        <v>1173186000</v>
      </c>
      <c r="W1467" s="28">
        <v>230107000</v>
      </c>
      <c r="X1467" s="28">
        <v>12442000</v>
      </c>
      <c r="Y1467" s="28">
        <v>3807872000</v>
      </c>
      <c r="Z1467" s="28">
        <v>594765000</v>
      </c>
      <c r="AA1467" s="28">
        <v>719201000</v>
      </c>
      <c r="AB1467" s="28">
        <v>184975000</v>
      </c>
      <c r="AC1467" s="28">
        <v>1877291000</v>
      </c>
      <c r="AD1467" s="28">
        <v>594865000</v>
      </c>
      <c r="AE1467" s="28">
        <v>4084883000</v>
      </c>
      <c r="AF1467" s="28">
        <v>264227000</v>
      </c>
      <c r="AG1467" s="11"/>
    </row>
    <row r="1468">
      <c r="A1468" s="7" t="s">
        <v>3179</v>
      </c>
      <c r="B1468" s="5" t="s">
        <v>11165</v>
      </c>
      <c r="C1468" s="5" t="s">
        <v>19034</v>
      </c>
      <c r="D1468" s="5" t="str">
        <v>560901744991</v>
      </c>
      <c r="E1468" s="0" t="e">
        <f>+7 (495) 4519236
+7 (495) 4950145
+7 (495) 5358499
+7 (495) 5405425
+7 (495) 5408422
+7 (495) 5408485
+7 (495) 5408825
+7 (495) 5423656
+7 (495) 5426685
+7 (495) 5485795
+7 (495) 5557500
+7 (495) 7575995
+7 (495) 7750919
+7 (495) 7759090
+7 (495) 9654122</f>
        <v>#NAME?</v>
      </c>
      <c r="F1468" s="5" t="s">
        <v>29785</v>
      </c>
      <c r="G1468" s="5"/>
      <c r="H1468" s="26">
        <v>5.5</v>
      </c>
      <c r="I1468" s="5" t="s">
        <v>29786</v>
      </c>
      <c r="J1468" s="5" t="s">
        <v>26435</v>
      </c>
      <c r="K1468" s="5" t="s">
        <v>355</v>
      </c>
      <c r="L1468" s="5"/>
      <c r="M1468" s="27">
        <v>187704643</v>
      </c>
      <c r="N1468" s="5" t="s">
        <v>51581</v>
      </c>
      <c r="O1468" s="5" t="str">
        <v>5007101649</v>
      </c>
      <c r="P1468" s="27">
        <v>1020000</v>
      </c>
      <c r="Q1468" s="5" t="s">
        <v>51583</v>
      </c>
      <c r="R1468" s="5"/>
      <c r="S1468" s="5" t="s">
        <v>49032</v>
      </c>
      <c r="T1468" s="28">
        <v>466697000</v>
      </c>
      <c r="U1468" s="28"/>
      <c r="V1468" s="28">
        <v>3157840000</v>
      </c>
      <c r="W1468" s="28">
        <v>251783000</v>
      </c>
      <c r="X1468" s="28">
        <v>99000</v>
      </c>
      <c r="Y1468" s="28">
        <v>8877020000</v>
      </c>
      <c r="Z1468" s="28">
        <v>-818963000</v>
      </c>
      <c r="AA1468" s="28">
        <v>4156754000</v>
      </c>
      <c r="AB1468" s="28">
        <v>1248254000</v>
      </c>
      <c r="AC1468" s="28">
        <v>4615366000</v>
      </c>
      <c r="AD1468" s="28">
        <v>-753063000</v>
      </c>
      <c r="AE1468" s="28">
        <v>12090316000</v>
      </c>
      <c r="AF1468" s="28">
        <v>-320769000</v>
      </c>
      <c r="AG1468" s="11"/>
    </row>
    <row r="1469">
      <c r="A1469" s="7" t="s">
        <v>3180</v>
      </c>
      <c r="B1469" s="5" t="s">
        <v>11166</v>
      </c>
      <c r="C1469" s="5" t="s">
        <v>19035</v>
      </c>
      <c r="D1469" s="5" t="str">
        <v>450203597307</v>
      </c>
      <c r="E1469" s="0" t="e">
        <f>+7 (844) 2960349</f>
        <v>#NAME?</v>
      </c>
      <c r="F1469" s="5" t="s">
        <v>29787</v>
      </c>
      <c r="G1469" s="5"/>
      <c r="H1469" s="26">
        <v>23.5</v>
      </c>
      <c r="I1469" s="5" t="s">
        <v>29788</v>
      </c>
      <c r="J1469" s="5" t="s">
        <v>29789</v>
      </c>
      <c r="K1469" s="5" t="s">
        <v>355</v>
      </c>
      <c r="L1469" s="5"/>
      <c r="M1469" s="27"/>
      <c r="N1469" s="5" t="s">
        <v>51584</v>
      </c>
      <c r="O1469" s="5" t="str">
        <v>3445042160</v>
      </c>
      <c r="P1469" s="27">
        <v>2102557000</v>
      </c>
      <c r="Q1469" s="5" t="s">
        <v>51585</v>
      </c>
      <c r="R1469" s="5"/>
      <c r="S1469" s="5" t="s">
        <v>50995</v>
      </c>
      <c r="T1469" s="28">
        <v>6645091000</v>
      </c>
      <c r="U1469" s="28"/>
      <c r="V1469" s="28">
        <v>7414425000</v>
      </c>
      <c r="W1469" s="28"/>
      <c r="X1469" s="28">
        <v>570000</v>
      </c>
      <c r="Y1469" s="28">
        <v>15519332000</v>
      </c>
      <c r="Z1469" s="28">
        <v>5068889000</v>
      </c>
      <c r="AA1469" s="28"/>
      <c r="AB1469" s="28"/>
      <c r="AC1469" s="28">
        <v>6612900000</v>
      </c>
      <c r="AD1469" s="28">
        <v>7626927000</v>
      </c>
      <c r="AE1469" s="28">
        <v>37514704000</v>
      </c>
      <c r="AF1469" s="28">
        <v>-18829000</v>
      </c>
      <c r="AG1469" s="11"/>
    </row>
    <row r="1470">
      <c r="A1470" s="7" t="s">
        <v>3181</v>
      </c>
      <c r="B1470" s="5" t="s">
        <v>11167</v>
      </c>
      <c r="C1470" s="5" t="s">
        <v>19036</v>
      </c>
      <c r="D1470" s="5" t="str">
        <v>110700570870</v>
      </c>
      <c r="E1470" s="0" t="e">
        <f>+7 (343) 2872569
+7 (343) 2265135
+7 (343) 2355622
+7 (343) 2355735
+7 (343) 3597041
+7 (343) 3597113
+7 (343) 3597501
+7 (343) 3597502
+7 (343) 3597503
+7 (343) 3597512
+7 (343) 3597530
+7 (343) 3597542
+7 (343) 3597622
+7 (343) 3597701
+7 (343) 3597745</f>
        <v>#NAME?</v>
      </c>
      <c r="F1470" s="5" t="s">
        <v>29790</v>
      </c>
      <c r="G1470" s="5"/>
      <c r="H1470" s="26">
        <v>23.5</v>
      </c>
      <c r="I1470" s="5" t="s">
        <v>29791</v>
      </c>
      <c r="J1470" s="5" t="s">
        <v>29789</v>
      </c>
      <c r="K1470" s="5" t="s">
        <v>344</v>
      </c>
      <c r="L1470" s="5"/>
      <c r="M1470" s="27">
        <v>63044767</v>
      </c>
      <c r="N1470" s="5" t="s">
        <v>51586</v>
      </c>
      <c r="O1470" s="5" t="str">
        <v>6608007434</v>
      </c>
      <c r="P1470" s="27">
        <v>5579822000</v>
      </c>
      <c r="Q1470" s="5" t="s">
        <v>51587</v>
      </c>
      <c r="R1470" s="5"/>
      <c r="S1470" s="5" t="s">
        <v>51390</v>
      </c>
      <c r="T1470" s="28">
        <v>11051810000</v>
      </c>
      <c r="U1470" s="28">
        <v>33631000</v>
      </c>
      <c r="V1470" s="28">
        <v>8850492000</v>
      </c>
      <c r="W1470" s="28"/>
      <c r="X1470" s="28">
        <v>220000</v>
      </c>
      <c r="Y1470" s="28">
        <v>23783844000</v>
      </c>
      <c r="Z1470" s="28">
        <v>7591287000</v>
      </c>
      <c r="AA1470" s="28"/>
      <c r="AB1470" s="28"/>
      <c r="AC1470" s="28">
        <v>7683613000</v>
      </c>
      <c r="AD1470" s="28">
        <v>14008646000</v>
      </c>
      <c r="AE1470" s="28">
        <v>37001467000</v>
      </c>
      <c r="AF1470" s="28">
        <v>1104103000</v>
      </c>
      <c r="AG1470" s="11"/>
    </row>
    <row r="1471">
      <c r="A1471" s="7" t="s">
        <v>3182</v>
      </c>
      <c r="B1471" s="5" t="s">
        <v>11168</v>
      </c>
      <c r="C1471" s="5" t="s">
        <v>19037</v>
      </c>
      <c r="D1471" s="5" t="str">
        <v>022900541295</v>
      </c>
      <c r="E1471" s="0" t="e">
        <f>+7 (843) 2731751
+7 (843) 2731983
+7 (8432) 645702
+7 (812) 6094713
+7 (8432) 294371
+7 (8432) 356456
+7 (8432) 535643
+7 (8432) 554654
+7 (8432) 646545
+7 (8432) 654543
+7 (8432) 654564
+7 (8432) 654566
+7 (8432) 657454
+7 (8432) 213230
+7 (8432) 294271</f>
        <v>#NAME?</v>
      </c>
      <c r="F1471" s="5" t="s">
        <v>29792</v>
      </c>
      <c r="G1471" s="5"/>
      <c r="H1471" s="26">
        <v>29</v>
      </c>
      <c r="I1471" s="5" t="s">
        <v>29793</v>
      </c>
      <c r="J1471" s="5" t="s">
        <v>29789</v>
      </c>
      <c r="K1471" s="5" t="s">
        <v>344</v>
      </c>
      <c r="L1471" s="5"/>
      <c r="M1471" s="27">
        <v>8783643</v>
      </c>
      <c r="N1471" s="5" t="s">
        <v>51588</v>
      </c>
      <c r="O1471" s="5" t="str">
        <v>1600000036</v>
      </c>
      <c r="P1471" s="27">
        <v>5270494000</v>
      </c>
      <c r="Q1471" s="5" t="s">
        <v>51589</v>
      </c>
      <c r="R1471" s="5"/>
      <c r="S1471" s="5" t="s">
        <v>51590</v>
      </c>
      <c r="T1471" s="28">
        <v>46719102000</v>
      </c>
      <c r="U1471" s="28">
        <v>535114000</v>
      </c>
      <c r="V1471" s="28">
        <v>10932504000</v>
      </c>
      <c r="W1471" s="28"/>
      <c r="X1471" s="28">
        <v>6191000</v>
      </c>
      <c r="Y1471" s="28">
        <v>60242924000</v>
      </c>
      <c r="Z1471" s="28">
        <v>32422793000</v>
      </c>
      <c r="AA1471" s="28">
        <v>1209498000</v>
      </c>
      <c r="AB1471" s="28"/>
      <c r="AC1471" s="28">
        <v>8791740000</v>
      </c>
      <c r="AD1471" s="28">
        <v>43346365000</v>
      </c>
      <c r="AE1471" s="28">
        <v>40380550000</v>
      </c>
      <c r="AF1471" s="28">
        <v>802362000</v>
      </c>
      <c r="AG1471" s="11"/>
    </row>
    <row r="1472">
      <c r="A1472" s="7" t="s">
        <v>3183</v>
      </c>
      <c r="B1472" s="5" t="s">
        <v>11169</v>
      </c>
      <c r="C1472" s="5" t="s">
        <v>19038</v>
      </c>
      <c r="D1472" s="5" t="str">
        <v>423005988633</v>
      </c>
      <c r="E1472" s="0" t="e">
        <f>+7 (861) 2131982
+7 (861) 2131045
+7 (861) 2131300
+7 (861) 2131534
+7 (861) 2131582
+7 (861) 2131902
+7 (861) 2131906
+7 (861) 2241371
+7 (861) 2246414
+7 (861) 2625684
+7 (86157) 52492</f>
        <v>#NAME?</v>
      </c>
      <c r="F1472" s="5" t="s">
        <v>29794</v>
      </c>
      <c r="G1472" s="5"/>
      <c r="H1472" s="26">
        <v>16</v>
      </c>
      <c r="I1472" s="5" t="s">
        <v>29795</v>
      </c>
      <c r="J1472" s="5" t="s">
        <v>29796</v>
      </c>
      <c r="K1472" s="5" t="s">
        <v>344</v>
      </c>
      <c r="L1472" s="5"/>
      <c r="M1472" s="27">
        <v>337042</v>
      </c>
      <c r="N1472" s="5" t="s">
        <v>51591</v>
      </c>
      <c r="O1472" s="5" t="str">
        <v>2308128945</v>
      </c>
      <c r="P1472" s="27">
        <v>626901869</v>
      </c>
      <c r="Q1472" s="5" t="s">
        <v>51592</v>
      </c>
      <c r="R1472" s="5" t="s">
        <v>51260</v>
      </c>
      <c r="S1472" s="5" t="s">
        <v>51593</v>
      </c>
      <c r="T1472" s="28">
        <v>7837576000</v>
      </c>
      <c r="U1472" s="28">
        <v>349995000</v>
      </c>
      <c r="V1472" s="28">
        <v>10324371000</v>
      </c>
      <c r="W1472" s="28"/>
      <c r="X1472" s="28">
        <v>1534000</v>
      </c>
      <c r="Y1472" s="28">
        <v>19910216000</v>
      </c>
      <c r="Z1472" s="28">
        <v>7305516000</v>
      </c>
      <c r="AA1472" s="28"/>
      <c r="AB1472" s="28"/>
      <c r="AC1472" s="28">
        <v>9547059000</v>
      </c>
      <c r="AD1472" s="28">
        <v>9351684000</v>
      </c>
      <c r="AE1472" s="28">
        <v>68684123000</v>
      </c>
      <c r="AF1472" s="28">
        <v>1115113000</v>
      </c>
      <c r="AG1472" s="11"/>
    </row>
    <row r="1473">
      <c r="A1473" s="7" t="s">
        <v>3184</v>
      </c>
      <c r="B1473" s="5" t="s">
        <v>11170</v>
      </c>
      <c r="C1473" s="5" t="s">
        <v>19039</v>
      </c>
      <c r="D1473" s="5" t="str">
        <v>263603853424</v>
      </c>
      <c r="E1473" s="0" t="e">
        <f>+7 (872) 2672247
+7 (872) 2681821
+7 (495) 3316422
+7 (872) 2519311
+7 (872) 2519954
+7 (872) 2623605
+7 (872) 2623633</f>
        <v>#NAME?</v>
      </c>
      <c r="F1473" s="5" t="s">
        <v>29797</v>
      </c>
      <c r="G1473" s="5" t="s">
        <v>29586</v>
      </c>
      <c r="H1473" s="26">
        <v>30</v>
      </c>
      <c r="I1473" s="5" t="s">
        <v>29798</v>
      </c>
      <c r="J1473" s="5" t="s">
        <v>29796</v>
      </c>
      <c r="K1473" s="5" t="s">
        <v>344</v>
      </c>
      <c r="L1473" s="5"/>
      <c r="M1473" s="27"/>
      <c r="N1473" s="5" t="s">
        <v>51594</v>
      </c>
      <c r="O1473" s="5" t="str">
        <v>0500000136</v>
      </c>
      <c r="P1473" s="27">
        <v>414586000</v>
      </c>
      <c r="Q1473" s="5" t="s">
        <v>51595</v>
      </c>
      <c r="R1473" s="5"/>
      <c r="S1473" s="5" t="s">
        <v>51596</v>
      </c>
      <c r="T1473" s="28">
        <v>4636657000</v>
      </c>
      <c r="U1473" s="28">
        <v>15019000</v>
      </c>
      <c r="V1473" s="28">
        <v>2052930000</v>
      </c>
      <c r="W1473" s="28"/>
      <c r="X1473" s="28">
        <v>584000</v>
      </c>
      <c r="Y1473" s="28">
        <v>7190189000</v>
      </c>
      <c r="Z1473" s="28">
        <v>4262004000</v>
      </c>
      <c r="AA1473" s="28"/>
      <c r="AB1473" s="28"/>
      <c r="AC1473" s="28">
        <v>1395124000</v>
      </c>
      <c r="AD1473" s="28">
        <v>5258778000</v>
      </c>
      <c r="AE1473" s="28">
        <v>8245967000</v>
      </c>
      <c r="AF1473" s="28">
        <v>30577000</v>
      </c>
      <c r="AG1473" s="11"/>
    </row>
    <row r="1474">
      <c r="A1474" s="7" t="s">
        <v>3185</v>
      </c>
      <c r="B1474" s="5" t="s">
        <v>11171</v>
      </c>
      <c r="C1474" s="5" t="s">
        <v>19040</v>
      </c>
      <c r="D1474" s="5" t="str">
        <v>594701071738</v>
      </c>
      <c r="E1474" s="0" t="e">
        <f>+7 (84622) 51245
+7 (84626) 31245
+7 (84626) 51245
+7 (846) 2123810
+7 (846) 2123812
+7 (84624) 10463
+7 (84624) 21261
+7 (84695) 51959</f>
        <v>#NAME?</v>
      </c>
      <c r="F1474" s="5" t="s">
        <v>29799</v>
      </c>
      <c r="G1474" s="5"/>
      <c r="H1474" s="26">
        <v>23.5</v>
      </c>
      <c r="I1474" s="5" t="s">
        <v>29800</v>
      </c>
      <c r="J1474" s="5" t="s">
        <v>29796</v>
      </c>
      <c r="K1474" s="5" t="s">
        <v>344</v>
      </c>
      <c r="L1474" s="5"/>
      <c r="M1474" s="27">
        <v>145941451</v>
      </c>
      <c r="N1474" s="5" t="s">
        <v>51597</v>
      </c>
      <c r="O1474" s="5" t="str">
        <v>6315000291</v>
      </c>
      <c r="P1474" s="27">
        <v>1510917000</v>
      </c>
      <c r="Q1474" s="5" t="s">
        <v>51598</v>
      </c>
      <c r="R1474" s="5" t="s">
        <v>51413</v>
      </c>
      <c r="S1474" s="5" t="s">
        <v>51599</v>
      </c>
      <c r="T1474" s="28">
        <v>9464191000</v>
      </c>
      <c r="U1474" s="28"/>
      <c r="V1474" s="28">
        <v>6736854000</v>
      </c>
      <c r="W1474" s="28"/>
      <c r="X1474" s="28">
        <v>846000</v>
      </c>
      <c r="Y1474" s="28">
        <v>17038033000</v>
      </c>
      <c r="Z1474" s="28">
        <v>7061490000</v>
      </c>
      <c r="AA1474" s="28"/>
      <c r="AB1474" s="28"/>
      <c r="AC1474" s="28">
        <v>5079641000</v>
      </c>
      <c r="AD1474" s="28">
        <v>10374045000</v>
      </c>
      <c r="AE1474" s="28">
        <v>30287972000</v>
      </c>
      <c r="AF1474" s="28">
        <v>279499000</v>
      </c>
      <c r="AG1474" s="11"/>
    </row>
    <row r="1475">
      <c r="A1475" s="7" t="s">
        <v>3186</v>
      </c>
      <c r="B1475" s="5" t="s">
        <v>11172</v>
      </c>
      <c r="C1475" s="5" t="s">
        <v>19041</v>
      </c>
      <c r="D1475" s="5" t="str">
        <v>782021014343</v>
      </c>
      <c r="E1475" s="0" t="e">
        <f>+7 (812) 4451200
+7 (48251) 47204
+7 (48251) 92640
+7 (401) 2575000
+7 (812) 3244205
+7 (812) 3261312
+7 (812) 4451032
+7 (812) 4551032
+7 (812) 4551200
+7 (812) 4551347
+7 (81666) 20964</f>
        <v>#NAME?</v>
      </c>
      <c r="F1475" s="5" t="s">
        <v>29801</v>
      </c>
      <c r="G1475" s="5" t="s">
        <v>29802</v>
      </c>
      <c r="H1475" s="26">
        <v>23.5</v>
      </c>
      <c r="I1475" s="5" t="s">
        <v>29803</v>
      </c>
      <c r="J1475" s="5" t="s">
        <v>29789</v>
      </c>
      <c r="K1475" s="5" t="s">
        <v>344</v>
      </c>
      <c r="L1475" s="5"/>
      <c r="M1475" s="27"/>
      <c r="N1475" s="5" t="s">
        <v>51600</v>
      </c>
      <c r="O1475" s="5" t="str">
        <v>7805018099</v>
      </c>
      <c r="P1475" s="27">
        <v>20736064650</v>
      </c>
      <c r="Q1475" s="5" t="s">
        <v>51601</v>
      </c>
      <c r="R1475" s="5"/>
      <c r="S1475" s="5" t="s">
        <v>51602</v>
      </c>
      <c r="T1475" s="28">
        <v>32853325000</v>
      </c>
      <c r="U1475" s="28">
        <v>433634000</v>
      </c>
      <c r="V1475" s="28">
        <v>27226694000</v>
      </c>
      <c r="W1475" s="28"/>
      <c r="X1475" s="28">
        <v>311000</v>
      </c>
      <c r="Y1475" s="28">
        <v>85373545000</v>
      </c>
      <c r="Z1475" s="28">
        <v>37631608000</v>
      </c>
      <c r="AA1475" s="28"/>
      <c r="AB1475" s="28"/>
      <c r="AC1475" s="28">
        <v>18773107000</v>
      </c>
      <c r="AD1475" s="28">
        <v>62498004000</v>
      </c>
      <c r="AE1475" s="28">
        <v>98329910000</v>
      </c>
      <c r="AF1475" s="28">
        <v>3534524000</v>
      </c>
      <c r="AG1475" s="11"/>
    </row>
    <row r="1476">
      <c r="A1476" s="7" t="s">
        <v>3187</v>
      </c>
      <c r="B1476" s="5" t="s">
        <v>11173</v>
      </c>
      <c r="C1476" s="5" t="s">
        <v>19042</v>
      </c>
      <c r="D1476" s="5" t="str">
        <v>027718144075</v>
      </c>
      <c r="E1476" s="0" t="e">
        <f>+7 (8452) 306600
+7 (8452) 306739
+7 (8452) 306771
+7 (8452) 307302
+7 (8452) 307303
+7 (8452) 307680
+7 (8452) 307899
+7 (8452) 307930
+7 (8452) 373289
+7 (8452) 373890</f>
        <v>#NAME?</v>
      </c>
      <c r="F1476" s="5" t="s">
        <v>29804</v>
      </c>
      <c r="G1476" s="5" t="s">
        <v>29805</v>
      </c>
      <c r="H1476" s="26">
        <v>23.5</v>
      </c>
      <c r="I1476" s="5" t="s">
        <v>29806</v>
      </c>
      <c r="J1476" s="5" t="s">
        <v>29789</v>
      </c>
      <c r="K1476" s="5" t="s">
        <v>344</v>
      </c>
      <c r="L1476" s="5"/>
      <c r="M1476" s="27">
        <v>8900402</v>
      </c>
      <c r="N1476" s="5" t="s">
        <v>50648</v>
      </c>
      <c r="O1476" s="5" t="str">
        <v>6453010110</v>
      </c>
      <c r="P1476" s="27">
        <v>3892826000</v>
      </c>
      <c r="Q1476" s="5" t="s">
        <v>51603</v>
      </c>
      <c r="R1476" s="5" t="s">
        <v>51413</v>
      </c>
      <c r="S1476" s="5" t="s">
        <v>50995</v>
      </c>
      <c r="T1476" s="28">
        <v>14183220000</v>
      </c>
      <c r="U1476" s="28">
        <v>30000000</v>
      </c>
      <c r="V1476" s="28">
        <v>9143643000</v>
      </c>
      <c r="W1476" s="28"/>
      <c r="X1476" s="28">
        <v>75000</v>
      </c>
      <c r="Y1476" s="28">
        <v>24787105000</v>
      </c>
      <c r="Z1476" s="28">
        <v>11760380000</v>
      </c>
      <c r="AA1476" s="28"/>
      <c r="AB1476" s="28"/>
      <c r="AC1476" s="28">
        <v>5523614000</v>
      </c>
      <c r="AD1476" s="28">
        <v>17930578000</v>
      </c>
      <c r="AE1476" s="28">
        <v>30957949000</v>
      </c>
      <c r="AF1476" s="28">
        <v>269981000</v>
      </c>
      <c r="AG1476" s="11"/>
    </row>
    <row r="1477">
      <c r="A1477" s="7" t="s">
        <v>3188</v>
      </c>
      <c r="B1477" s="5" t="s">
        <v>11174</v>
      </c>
      <c r="C1477" s="5" t="s">
        <v>19043</v>
      </c>
      <c r="D1477" s="5" t="str">
        <v>260700536802</v>
      </c>
      <c r="E1477" s="0" t="e">
        <f>+7 (86545) 24746
+7 (4912) 701483
+7 (8652) 229036
+7 (8652) 229039
+7 (8652) 229072
+7 (8652) 229454
+7 (8652) 229936
+7 (8652) 229937</f>
        <v>#NAME?</v>
      </c>
      <c r="F1477" s="5" t="s">
        <v>29807</v>
      </c>
      <c r="G1477" s="5" t="s">
        <v>29808</v>
      </c>
      <c r="H1477" s="26">
        <v>23.5</v>
      </c>
      <c r="I1477" s="5" t="s">
        <v>29809</v>
      </c>
      <c r="J1477" s="5" t="s">
        <v>29789</v>
      </c>
      <c r="K1477" s="5" t="s">
        <v>344</v>
      </c>
      <c r="L1477" s="5" t="s">
        <v>29810</v>
      </c>
      <c r="M1477" s="27">
        <v>1999730</v>
      </c>
      <c r="N1477" s="5" t="s">
        <v>51604</v>
      </c>
      <c r="O1477" s="5" t="str">
        <v>2636032629</v>
      </c>
      <c r="P1477" s="27">
        <v>3381323297</v>
      </c>
      <c r="Q1477" s="5" t="s">
        <v>51605</v>
      </c>
      <c r="R1477" s="5"/>
      <c r="S1477" s="5" t="s">
        <v>50995</v>
      </c>
      <c r="T1477" s="28">
        <v>10937170000</v>
      </c>
      <c r="U1477" s="28"/>
      <c r="V1477" s="28">
        <v>9604704000</v>
      </c>
      <c r="W1477" s="28"/>
      <c r="X1477" s="28">
        <v>4702000</v>
      </c>
      <c r="Y1477" s="28">
        <v>23279149000</v>
      </c>
      <c r="Z1477" s="28">
        <v>9704074000</v>
      </c>
      <c r="AA1477" s="28"/>
      <c r="AB1477" s="28"/>
      <c r="AC1477" s="28">
        <v>6937386000</v>
      </c>
      <c r="AD1477" s="28">
        <v>14495032000</v>
      </c>
      <c r="AE1477" s="28">
        <v>37474477000</v>
      </c>
      <c r="AF1477" s="28">
        <v>1067508000</v>
      </c>
      <c r="AG1477" s="11"/>
    </row>
    <row r="1478">
      <c r="A1478" s="7" t="s">
        <v>3189</v>
      </c>
      <c r="B1478" s="5" t="s">
        <v>11175</v>
      </c>
      <c r="C1478" s="5" t="s">
        <v>19044</v>
      </c>
      <c r="D1478" s="5" t="str">
        <v>890403603427</v>
      </c>
      <c r="E1478" s="0" t="e">
        <f>+7 (346) 2437511
+7 (346) 2442270
+7 (34531) 25208
+7 (346) 2282810
+7 (346) 2283768
+7 (346) 2283810
+7 (346) 2750022
+7 (346) 2750069
+7 (346) 2750108
+7 (346) 2750143
+7 (346) 2750144
+7 (346) 2750177
+7 (346) 2750192
+7 (346) 2750218
+7 (346) 2750224</f>
        <v>#NAME?</v>
      </c>
      <c r="F1478" s="5" t="s">
        <v>29811</v>
      </c>
      <c r="G1478" s="5"/>
      <c r="H1478" s="26">
        <v>23.5</v>
      </c>
      <c r="I1478" s="5" t="s">
        <v>29812</v>
      </c>
      <c r="J1478" s="5" t="s">
        <v>29789</v>
      </c>
      <c r="K1478" s="5" t="s">
        <v>344</v>
      </c>
      <c r="L1478" s="5"/>
      <c r="M1478" s="27">
        <v>162029</v>
      </c>
      <c r="N1478" s="5" t="s">
        <v>51606</v>
      </c>
      <c r="O1478" s="5" t="str">
        <v>8617002073</v>
      </c>
      <c r="P1478" s="27">
        <v>9723524824</v>
      </c>
      <c r="Q1478" s="5" t="s">
        <v>51607</v>
      </c>
      <c r="R1478" s="5" t="s">
        <v>51413</v>
      </c>
      <c r="S1478" s="5" t="s">
        <v>51608</v>
      </c>
      <c r="T1478" s="28">
        <v>27747763000</v>
      </c>
      <c r="U1478" s="28">
        <v>1670890000</v>
      </c>
      <c r="V1478" s="28">
        <v>31436510000</v>
      </c>
      <c r="W1478" s="28"/>
      <c r="X1478" s="28">
        <v>826000</v>
      </c>
      <c r="Y1478" s="28">
        <v>66323370000</v>
      </c>
      <c r="Z1478" s="28">
        <v>27667089000</v>
      </c>
      <c r="AA1478" s="28"/>
      <c r="AB1478" s="28"/>
      <c r="AC1478" s="28">
        <v>20929140000</v>
      </c>
      <c r="AD1478" s="28">
        <v>40798343000</v>
      </c>
      <c r="AE1478" s="28">
        <v>109596216000</v>
      </c>
      <c r="AF1478" s="28">
        <v>907824000</v>
      </c>
      <c r="AG1478" s="11"/>
    </row>
    <row r="1479">
      <c r="A1479" s="7" t="s">
        <v>3190</v>
      </c>
      <c r="B1479" s="5" t="s">
        <v>11176</v>
      </c>
      <c r="C1479" s="5" t="s">
        <v>19045</v>
      </c>
      <c r="D1479" s="5" t="str">
        <v>700100081098</v>
      </c>
      <c r="E1479" s="0" t="e">
        <f>+7 (382) 2273184
+7 (382) 2603063
+7 (382) 2603217
+7 (382) 2611510
+7 (382) 2273322
+7 (382) 2528013
+7 (382) 2603209
+7 (382) 2603274
+7 (382) 2611524
+7 (382) 2643257
+7 (382) 2644593
+7 (382) 2724940
+7 (382) 2771580
+7 (382) 2779808
+7 (382) 2786217</f>
        <v>#NAME?</v>
      </c>
      <c r="F1479" s="5" t="s">
        <v>29813</v>
      </c>
      <c r="G1479" s="5" t="s">
        <v>29814</v>
      </c>
      <c r="H1479" s="26">
        <v>29.5</v>
      </c>
      <c r="I1479" s="5" t="s">
        <v>29815</v>
      </c>
      <c r="J1479" s="5" t="s">
        <v>29789</v>
      </c>
      <c r="K1479" s="5" t="s">
        <v>344</v>
      </c>
      <c r="L1479" s="5"/>
      <c r="M1479" s="27">
        <v>55000</v>
      </c>
      <c r="N1479" s="5" t="s">
        <v>51609</v>
      </c>
      <c r="O1479" s="5" t="str">
        <v>7017005289</v>
      </c>
      <c r="P1479" s="27">
        <v>36470388335</v>
      </c>
      <c r="Q1479" s="5" t="s">
        <v>51610</v>
      </c>
      <c r="R1479" s="5"/>
      <c r="S1479" s="5" t="s">
        <v>51611</v>
      </c>
      <c r="T1479" s="28">
        <v>47144258000</v>
      </c>
      <c r="U1479" s="28">
        <v>2000000000</v>
      </c>
      <c r="V1479" s="28">
        <v>25597606000</v>
      </c>
      <c r="W1479" s="28"/>
      <c r="X1479" s="28">
        <v>435000</v>
      </c>
      <c r="Y1479" s="28">
        <v>78866420000</v>
      </c>
      <c r="Z1479" s="28">
        <v>18423918000</v>
      </c>
      <c r="AA1479" s="28"/>
      <c r="AB1479" s="28"/>
      <c r="AC1479" s="28">
        <v>15654167000</v>
      </c>
      <c r="AD1479" s="28">
        <v>58435498000</v>
      </c>
      <c r="AE1479" s="28">
        <v>108216699000</v>
      </c>
      <c r="AF1479" s="28">
        <v>-705806000</v>
      </c>
      <c r="AG1479" s="11"/>
    </row>
    <row r="1480">
      <c r="A1480" s="7" t="s">
        <v>3191</v>
      </c>
      <c r="B1480" s="5" t="s">
        <v>11177</v>
      </c>
      <c r="C1480" s="5" t="s">
        <v>19046</v>
      </c>
      <c r="D1480" s="5" t="str">
        <v>592000598032</v>
      </c>
      <c r="E1480" s="0" t="e">
        <f>+7 (347) 2372888
+7 (3472) 372930
+7 (3472) 375080
+7 (3472) 375680
+7 (3472) 700480
+7 (34765) 21680
+7 (34786) 79688
+7 (34787) 63127</f>
        <v>#NAME?</v>
      </c>
      <c r="F1480" s="5" t="s">
        <v>29816</v>
      </c>
      <c r="G1480" s="5" t="s">
        <v>29586</v>
      </c>
      <c r="H1480" s="26">
        <v>29.5</v>
      </c>
      <c r="I1480" s="5" t="s">
        <v>29817</v>
      </c>
      <c r="J1480" s="5" t="s">
        <v>29789</v>
      </c>
      <c r="K1480" s="5" t="s">
        <v>355</v>
      </c>
      <c r="L1480" s="5"/>
      <c r="M1480" s="27">
        <v>700000</v>
      </c>
      <c r="N1480" s="5" t="s">
        <v>51612</v>
      </c>
      <c r="O1480" s="5" t="str">
        <v>0276053659</v>
      </c>
      <c r="P1480" s="27">
        <v>3095720000</v>
      </c>
      <c r="Q1480" s="5" t="s">
        <v>51613</v>
      </c>
      <c r="R1480" s="5"/>
      <c r="S1480" s="5" t="s">
        <v>51614</v>
      </c>
      <c r="T1480" s="28">
        <v>13311800000</v>
      </c>
      <c r="U1480" s="28"/>
      <c r="V1480" s="28">
        <v>5173011000</v>
      </c>
      <c r="W1480" s="28"/>
      <c r="X1480" s="28">
        <v>1596000</v>
      </c>
      <c r="Y1480" s="28">
        <v>19919654000</v>
      </c>
      <c r="Z1480" s="28">
        <v>9141729000</v>
      </c>
      <c r="AA1480" s="28"/>
      <c r="AB1480" s="28"/>
      <c r="AC1480" s="28">
        <v>5050323000</v>
      </c>
      <c r="AD1480" s="28">
        <v>13186794000</v>
      </c>
      <c r="AE1480" s="28">
        <v>27335884000</v>
      </c>
      <c r="AF1480" s="28">
        <v>96448000</v>
      </c>
      <c r="AG1480" s="11"/>
    </row>
    <row r="1481">
      <c r="A1481" s="7" t="s">
        <v>3192</v>
      </c>
      <c r="B1481" s="5" t="s">
        <v>11178</v>
      </c>
      <c r="C1481" s="5" t="s">
        <v>19047</v>
      </c>
      <c r="D1481" s="5" t="str">
        <v>260700453514</v>
      </c>
      <c r="E1481" s="0" t="e">
        <f>+7 (81751) 21508
+7 (81751) 21669
+7 (81837) 55210
+7 (81859) 63310
+7 (8202) 291508
+7 (821) 1662879
+7 (8212) 772510
+7 (82142) 99027
+7 (82146) 22168
+7 (82147) 60910
+7 (82151) 31762
+7 (82151) 36987
+7 (8216) 736988
+7 (8216) 746966
+7 (8216) 760056</f>
        <v>#NAME?</v>
      </c>
      <c r="F1481" s="5" t="s">
        <v>29818</v>
      </c>
      <c r="G1481" s="5"/>
      <c r="H1481" s="26">
        <v>23.5</v>
      </c>
      <c r="I1481" s="5" t="s">
        <v>29819</v>
      </c>
      <c r="J1481" s="5" t="s">
        <v>29789</v>
      </c>
      <c r="K1481" s="5" t="s">
        <v>344</v>
      </c>
      <c r="L1481" s="5"/>
      <c r="M1481" s="27">
        <v>79960</v>
      </c>
      <c r="N1481" s="5" t="s">
        <v>51615</v>
      </c>
      <c r="O1481" s="5" t="str">
        <v>1102024468</v>
      </c>
      <c r="P1481" s="27">
        <v>5866846817</v>
      </c>
      <c r="Q1481" s="5" t="s">
        <v>51616</v>
      </c>
      <c r="R1481" s="5" t="s">
        <v>51408</v>
      </c>
      <c r="S1481" s="5" t="s">
        <v>51617</v>
      </c>
      <c r="T1481" s="28">
        <v>23026708000</v>
      </c>
      <c r="U1481" s="28"/>
      <c r="V1481" s="28">
        <v>50175308000</v>
      </c>
      <c r="W1481" s="28"/>
      <c r="X1481" s="28">
        <v>12000</v>
      </c>
      <c r="Y1481" s="28">
        <v>88425313000</v>
      </c>
      <c r="Z1481" s="28">
        <v>24895105000</v>
      </c>
      <c r="AA1481" s="28"/>
      <c r="AB1481" s="28"/>
      <c r="AC1481" s="28">
        <v>53191520000</v>
      </c>
      <c r="AD1481" s="28">
        <v>31642113000</v>
      </c>
      <c r="AE1481" s="28">
        <v>274806842000</v>
      </c>
      <c r="AF1481" s="28">
        <v>6032684000</v>
      </c>
      <c r="AG1481" s="11"/>
    </row>
    <row r="1482">
      <c r="A1482" s="7" t="s">
        <v>3193</v>
      </c>
      <c r="B1482" s="5" t="s">
        <v>11179</v>
      </c>
      <c r="C1482" s="5" t="s">
        <v>19048</v>
      </c>
      <c r="D1482" s="5" t="str">
        <v>562801467321</v>
      </c>
      <c r="E1482" s="0" t="e">
        <f>+7 (34145) 52616
+7 (34241) 33683
+7 (34241) 33686
+7 (34241) 62864
+7 (34241) 76000
+7 (34241) 76026
+7 (34241) 76057
+7 (34241) 76117
+7 (34241) 76130
+7 (34241) 76234
+7 (34241) 76268
+7 (34241) 76287
+7 (34241) 76310
+7 (34241) 76320
+7 (34241) 76356</f>
        <v>#NAME?</v>
      </c>
      <c r="F1482" s="5" t="s">
        <v>29820</v>
      </c>
      <c r="G1482" s="5" t="s">
        <v>29821</v>
      </c>
      <c r="H1482" s="26">
        <v>29.5</v>
      </c>
      <c r="I1482" s="5" t="s">
        <v>29822</v>
      </c>
      <c r="J1482" s="5" t="s">
        <v>29796</v>
      </c>
      <c r="K1482" s="5" t="s">
        <v>344</v>
      </c>
      <c r="L1482" s="5"/>
      <c r="M1482" s="27">
        <v>19902</v>
      </c>
      <c r="N1482" s="5" t="s">
        <v>51618</v>
      </c>
      <c r="O1482" s="5" t="str">
        <v>5920000593</v>
      </c>
      <c r="P1482" s="27">
        <v>3219201000</v>
      </c>
      <c r="Q1482" s="5" t="s">
        <v>51619</v>
      </c>
      <c r="R1482" s="5" t="s">
        <v>51620</v>
      </c>
      <c r="S1482" s="5" t="s">
        <v>51621</v>
      </c>
      <c r="T1482" s="28">
        <v>19932866000</v>
      </c>
      <c r="U1482" s="28"/>
      <c r="V1482" s="28">
        <v>19706493000</v>
      </c>
      <c r="W1482" s="28"/>
      <c r="X1482" s="28">
        <v>26000</v>
      </c>
      <c r="Y1482" s="28">
        <v>42878454000</v>
      </c>
      <c r="Z1482" s="28">
        <v>19184375000</v>
      </c>
      <c r="AA1482" s="28"/>
      <c r="AB1482" s="28"/>
      <c r="AC1482" s="28">
        <v>15346063000</v>
      </c>
      <c r="AD1482" s="28">
        <v>23923220000</v>
      </c>
      <c r="AE1482" s="28">
        <v>83105725000</v>
      </c>
      <c r="AF1482" s="28">
        <v>1306724000</v>
      </c>
      <c r="AG1482" s="11"/>
    </row>
    <row r="1483">
      <c r="A1483" s="7" t="s">
        <v>3194</v>
      </c>
      <c r="B1483" s="5" t="s">
        <v>11180</v>
      </c>
      <c r="C1483" s="5" t="s">
        <v>19049</v>
      </c>
      <c r="D1483" s="5" t="str">
        <v>665907018941</v>
      </c>
      <c r="E1483" s="0" t="e">
        <f>+7 (345) 2515268
+7 (34670) 36264
+7 (34670) 46161
+7 (346) 7522210
+7 (34670) 36219
+7 (34670) 36270
+7 (34670) 37270
+7 (34670) 46216
+7 (34670) 46270
+7 (34670) 47270
+7 (34670) 47385
+7 (34670) 47398
+7 (34670) 48216
+7 (34670) 48270
+7 (34670) 48360</f>
        <v>#NAME?</v>
      </c>
      <c r="F1483" s="5" t="s">
        <v>29823</v>
      </c>
      <c r="G1483" s="5"/>
      <c r="H1483" s="26">
        <v>29</v>
      </c>
      <c r="I1483" s="5" t="s">
        <v>29824</v>
      </c>
      <c r="J1483" s="5" t="s">
        <v>29789</v>
      </c>
      <c r="K1483" s="5" t="s">
        <v>344</v>
      </c>
      <c r="L1483" s="5" t="s">
        <v>29825</v>
      </c>
      <c r="M1483" s="27">
        <v>7894137</v>
      </c>
      <c r="N1483" s="5" t="s">
        <v>51622</v>
      </c>
      <c r="O1483" s="5" t="str">
        <v>8622000931</v>
      </c>
      <c r="P1483" s="27">
        <v>24771850363</v>
      </c>
      <c r="Q1483" s="5" t="s">
        <v>51623</v>
      </c>
      <c r="R1483" s="5" t="s">
        <v>51624</v>
      </c>
      <c r="S1483" s="5" t="s">
        <v>49288</v>
      </c>
      <c r="T1483" s="28">
        <v>105525891000</v>
      </c>
      <c r="U1483" s="28">
        <v>233561000</v>
      </c>
      <c r="V1483" s="28">
        <v>83314535000</v>
      </c>
      <c r="W1483" s="28"/>
      <c r="X1483" s="28">
        <v>847000</v>
      </c>
      <c r="Y1483" s="28">
        <v>224913050000</v>
      </c>
      <c r="Z1483" s="28">
        <v>103046180000</v>
      </c>
      <c r="AA1483" s="28"/>
      <c r="AB1483" s="28"/>
      <c r="AC1483" s="28">
        <v>74932791000</v>
      </c>
      <c r="AD1483" s="28">
        <v>131566526000</v>
      </c>
      <c r="AE1483" s="28">
        <v>400744895000</v>
      </c>
      <c r="AF1483" s="28">
        <v>11802686000</v>
      </c>
      <c r="AG1483" s="11"/>
    </row>
    <row r="1484">
      <c r="A1484" s="7" t="s">
        <v>3195</v>
      </c>
      <c r="B1484" s="5" t="s">
        <v>11181</v>
      </c>
      <c r="C1484" s="5" t="s">
        <v>19050</v>
      </c>
      <c r="D1484" s="5" t="str">
        <v>780413426697</v>
      </c>
      <c r="E1484" s="0" t="e">
        <f>+7 (49453) 78000
+7 (49453) 78005
+7 (49453) 78015
+7 (49453) 78028
+7 (49453) 78029
+7 (49453) 78030
+7 (49453) 78100
+7 (49453) 78119
+7 (49453) 78135
+7 (49453) 78200
+7 (49453) 78430
+7 (49453) 78445
+7 (49453) 78457
+7 (49453) 78489
+7 (49453) 78516</f>
        <v>#NAME?</v>
      </c>
      <c r="F1484" s="5" t="s">
        <v>29826</v>
      </c>
      <c r="G1484" s="5" t="s">
        <v>29827</v>
      </c>
      <c r="H1484" s="26">
        <v>29.5</v>
      </c>
      <c r="I1484" s="5" t="s">
        <v>29828</v>
      </c>
      <c r="J1484" s="5" t="s">
        <v>27977</v>
      </c>
      <c r="K1484" s="5" t="s">
        <v>344</v>
      </c>
      <c r="L1484" s="5"/>
      <c r="M1484" s="27">
        <v>11219720</v>
      </c>
      <c r="N1484" s="5" t="s">
        <v>51625</v>
      </c>
      <c r="O1484" s="5" t="str">
        <v>4401008660</v>
      </c>
      <c r="P1484" s="27">
        <v>10220548420</v>
      </c>
      <c r="Q1484" s="5" t="s">
        <v>51626</v>
      </c>
      <c r="R1484" s="5"/>
      <c r="S1484" s="5" t="s">
        <v>51627</v>
      </c>
      <c r="T1484" s="28">
        <v>10375479000</v>
      </c>
      <c r="U1484" s="28">
        <v>10000</v>
      </c>
      <c r="V1484" s="28">
        <v>4168643000</v>
      </c>
      <c r="W1484" s="28">
        <v>3325053000</v>
      </c>
      <c r="X1484" s="28">
        <v>393000</v>
      </c>
      <c r="Y1484" s="28">
        <v>21870444000</v>
      </c>
      <c r="Z1484" s="28">
        <v>9241359000</v>
      </c>
      <c r="AA1484" s="28"/>
      <c r="AB1484" s="28"/>
      <c r="AC1484" s="28">
        <v>872128000</v>
      </c>
      <c r="AD1484" s="28">
        <v>19972934000</v>
      </c>
      <c r="AE1484" s="28">
        <v>16259484000</v>
      </c>
      <c r="AF1484" s="28">
        <v>1422125000</v>
      </c>
      <c r="AG1484" s="11"/>
    </row>
    <row r="1485">
      <c r="A1485" s="7" t="s">
        <v>3196</v>
      </c>
      <c r="B1485" s="5" t="s">
        <v>11182</v>
      </c>
      <c r="C1485" s="5" t="s">
        <v>19051</v>
      </c>
      <c r="D1485" s="5" t="str">
        <v>770970305250</v>
      </c>
      <c r="E1485" s="0" t="e">
        <f>+7 (499) 5803815
+7 (812) 4551454
+7 (812) 6096227
+7 (495) 4325744
+7 (495) 5803855
+7 (495) 7820618
+7 (499) 5813955
+7 (812) 6096222
+7 (812) 6096299</f>
        <v>#NAME?</v>
      </c>
      <c r="F1485" s="5" t="s">
        <v>29829</v>
      </c>
      <c r="G1485" s="5" t="s">
        <v>29830</v>
      </c>
      <c r="H1485" s="26">
        <v>28.5</v>
      </c>
      <c r="I1485" s="5" t="s">
        <v>29831</v>
      </c>
      <c r="J1485" s="5" t="s">
        <v>28226</v>
      </c>
      <c r="K1485" s="5" t="s">
        <v>344</v>
      </c>
      <c r="L1485" s="5"/>
      <c r="M1485" s="27">
        <v>78262183</v>
      </c>
      <c r="N1485" s="5" t="s">
        <v>51628</v>
      </c>
      <c r="O1485" s="5" t="str">
        <v>7740000037</v>
      </c>
      <c r="P1485" s="27">
        <v>21112804817</v>
      </c>
      <c r="Q1485" s="5" t="s">
        <v>51629</v>
      </c>
      <c r="R1485" s="5"/>
      <c r="S1485" s="5" t="s">
        <v>50191</v>
      </c>
      <c r="T1485" s="28">
        <v>22682262000</v>
      </c>
      <c r="U1485" s="28"/>
      <c r="V1485" s="28">
        <v>6823073000</v>
      </c>
      <c r="W1485" s="28"/>
      <c r="X1485" s="28">
        <v>186453000</v>
      </c>
      <c r="Y1485" s="28">
        <v>34133664000</v>
      </c>
      <c r="Z1485" s="28">
        <v>1022217000</v>
      </c>
      <c r="AA1485" s="28"/>
      <c r="AB1485" s="28"/>
      <c r="AC1485" s="28">
        <v>1605558000</v>
      </c>
      <c r="AD1485" s="28">
        <v>27780586000</v>
      </c>
      <c r="AE1485" s="28">
        <v>8479937000</v>
      </c>
      <c r="AF1485" s="28">
        <v>-315555000</v>
      </c>
      <c r="AG1485" s="11"/>
    </row>
    <row r="1486">
      <c r="A1486" s="7" t="s">
        <v>3197</v>
      </c>
      <c r="B1486" s="5" t="s">
        <v>11183</v>
      </c>
      <c r="C1486" s="5" t="s">
        <v>19052</v>
      </c>
      <c r="D1486" s="5" t="str">
        <v>890100569706</v>
      </c>
      <c r="E1486" s="0" t="e">
        <f>+7 (495) 1280404</f>
        <v>#NAME?</v>
      </c>
      <c r="F1486" s="5"/>
      <c r="G1486" s="5" t="s">
        <v>29832</v>
      </c>
      <c r="H1486" s="26">
        <v>4</v>
      </c>
      <c r="I1486" s="5"/>
      <c r="J1486" s="5" t="s">
        <v>26799</v>
      </c>
      <c r="K1486" s="5" t="s">
        <v>344</v>
      </c>
      <c r="L1486" s="5" t="s">
        <v>29833</v>
      </c>
      <c r="M1486" s="27"/>
      <c r="N1486" s="5"/>
      <c r="O1486" s="5" t="str">
        <v>7730250045</v>
      </c>
      <c r="P1486" s="27">
        <v>100000</v>
      </c>
      <c r="Q1486" s="5"/>
      <c r="R1486" s="5"/>
      <c r="S1486" s="5" t="s">
        <v>49121</v>
      </c>
      <c r="T1486" s="28">
        <v>999838000</v>
      </c>
      <c r="U1486" s="28"/>
      <c r="V1486" s="28">
        <v>9792463000</v>
      </c>
      <c r="W1486" s="28">
        <v>1000000</v>
      </c>
      <c r="X1486" s="28">
        <v>4265860000</v>
      </c>
      <c r="Y1486" s="28">
        <v>16129648000</v>
      </c>
      <c r="Z1486" s="28">
        <v>4399524000</v>
      </c>
      <c r="AA1486" s="28"/>
      <c r="AB1486" s="28"/>
      <c r="AC1486" s="28">
        <v>11641317000</v>
      </c>
      <c r="AD1486" s="28">
        <v>4399629000</v>
      </c>
      <c r="AE1486" s="28">
        <v>29367834000</v>
      </c>
      <c r="AF1486" s="28">
        <v>4399492000</v>
      </c>
      <c r="AG1486" s="11"/>
    </row>
    <row r="1487">
      <c r="A1487" s="7" t="s">
        <v>3198</v>
      </c>
      <c r="B1487" s="5" t="s">
        <v>11184</v>
      </c>
      <c r="C1487" s="5" t="s">
        <v>19053</v>
      </c>
      <c r="D1487" s="5" t="str">
        <v>501804579344</v>
      </c>
      <c r="E1487" s="0" t="e">
        <f>+7 (499) 5036333
+7 (812) 3466710
+7 (812) 3467650
+7 (812) 6461414
+7 (812) 6461415
+7 (812) 6461557
+7 (812) 6461822</f>
        <v>#NAME?</v>
      </c>
      <c r="F1487" s="5" t="s">
        <v>29834</v>
      </c>
      <c r="G1487" s="5"/>
      <c r="H1487" s="26">
        <v>24</v>
      </c>
      <c r="I1487" s="5" t="s">
        <v>29835</v>
      </c>
      <c r="J1487" s="5" t="s">
        <v>373</v>
      </c>
      <c r="K1487" s="5" t="s">
        <v>344</v>
      </c>
      <c r="L1487" s="5" t="s">
        <v>29836</v>
      </c>
      <c r="M1487" s="27">
        <v>4912713</v>
      </c>
      <c r="N1487" s="5" t="s">
        <v>51630</v>
      </c>
      <c r="O1487" s="5" t="str">
        <v>7706193766</v>
      </c>
      <c r="P1487" s="27">
        <v>1871583000</v>
      </c>
      <c r="Q1487" s="5" t="s">
        <v>51631</v>
      </c>
      <c r="R1487" s="5"/>
      <c r="S1487" s="5" t="s">
        <v>50191</v>
      </c>
      <c r="T1487" s="28">
        <v>10376093000</v>
      </c>
      <c r="U1487" s="28">
        <v>39512760000</v>
      </c>
      <c r="V1487" s="28">
        <v>1260198684000</v>
      </c>
      <c r="W1487" s="28">
        <v>1838727000</v>
      </c>
      <c r="X1487" s="28">
        <v>3631134000</v>
      </c>
      <c r="Y1487" s="28">
        <v>1318798332000</v>
      </c>
      <c r="Z1487" s="28">
        <v>95096314000</v>
      </c>
      <c r="AA1487" s="28">
        <v>18882645000</v>
      </c>
      <c r="AB1487" s="28">
        <v>1881198000</v>
      </c>
      <c r="AC1487" s="28">
        <v>1182612945000</v>
      </c>
      <c r="AD1487" s="28">
        <v>104164154000</v>
      </c>
      <c r="AE1487" s="28">
        <v>29680667000</v>
      </c>
      <c r="AF1487" s="28">
        <v>3245231000</v>
      </c>
      <c r="AG1487" s="11"/>
    </row>
    <row r="1488">
      <c r="A1488" s="7" t="s">
        <v>3199</v>
      </c>
      <c r="B1488" s="5" t="s">
        <v>11185</v>
      </c>
      <c r="C1488" s="5" t="s">
        <v>19054</v>
      </c>
      <c r="D1488" s="5" t="str">
        <v>032621014030</v>
      </c>
      <c r="E1488" s="0" t="e">
        <f>+7 (3499) 529505
+7 (3499) 560600
+7 (3499) 566970
+7 (3499) 590500
+7 (495) 2232424
+7 (346) 2362484
+7 (346) 2362492
+7 (3472) 655579
+7 (3494) 940156
+7 (3499) 513868
+7 (3499) 560470
+7 (3499) 560500
+7 (3499) 560783
+7 (495) 1316680
+7 (495) 4284570</f>
        <v>#NAME?</v>
      </c>
      <c r="F1488" s="5" t="s">
        <v>29837</v>
      </c>
      <c r="G1488" s="5" t="s">
        <v>29838</v>
      </c>
      <c r="H1488" s="26">
        <v>24.5</v>
      </c>
      <c r="I1488" s="5" t="s">
        <v>29839</v>
      </c>
      <c r="J1488" s="5" t="s">
        <v>29840</v>
      </c>
      <c r="K1488" s="5" t="s">
        <v>344</v>
      </c>
      <c r="L1488" s="5"/>
      <c r="M1488" s="27">
        <v>7741950</v>
      </c>
      <c r="N1488" s="5" t="s">
        <v>51632</v>
      </c>
      <c r="O1488" s="5" t="str">
        <v>7736186950</v>
      </c>
      <c r="P1488" s="27">
        <v>1050000</v>
      </c>
      <c r="Q1488" s="5" t="s">
        <v>51633</v>
      </c>
      <c r="R1488" s="5" t="s">
        <v>51408</v>
      </c>
      <c r="S1488" s="5" t="s">
        <v>49288</v>
      </c>
      <c r="T1488" s="28">
        <v>10903409000</v>
      </c>
      <c r="U1488" s="28">
        <v>37500000</v>
      </c>
      <c r="V1488" s="28">
        <v>8473986000</v>
      </c>
      <c r="W1488" s="28"/>
      <c r="X1488" s="28"/>
      <c r="Y1488" s="28">
        <v>25071383000</v>
      </c>
      <c r="Z1488" s="28">
        <v>280184000</v>
      </c>
      <c r="AA1488" s="28"/>
      <c r="AB1488" s="28"/>
      <c r="AC1488" s="28">
        <v>7461270000</v>
      </c>
      <c r="AD1488" s="28">
        <v>9507955000</v>
      </c>
      <c r="AE1488" s="28">
        <v>33480863000</v>
      </c>
      <c r="AF1488" s="28">
        <v>809386000</v>
      </c>
      <c r="AG1488" s="11"/>
    </row>
    <row r="1489">
      <c r="A1489" s="7" t="s">
        <v>3200</v>
      </c>
      <c r="B1489" s="5" t="s">
        <v>11186</v>
      </c>
      <c r="C1489" s="5" t="s">
        <v>18319</v>
      </c>
      <c r="D1489" s="5" t="str">
        <v>720406118862</v>
      </c>
      <c r="E1489" s="0" t="e">
        <f>+7 (3412) 946808
+7 (3412) 946851
+7 (34241) 76066
+7 (34241) 76915
+7 (3432) 872326
+7 (3432) 872327
+7 (345) 2273554
+7 (345) 2540974
+7 (346) 2750361
+7 (346) 2750885
+7 (346) 2752104
+7 (346) 2752328
+7 (34675) 22060
+7 (34675) 22410
+7 (3472) 371096</f>
        <v>#NAME?</v>
      </c>
      <c r="F1489" s="5" t="s">
        <v>29841</v>
      </c>
      <c r="G1489" s="5"/>
      <c r="H1489" s="26">
        <v>13.5</v>
      </c>
      <c r="I1489" s="5"/>
      <c r="J1489" s="5" t="s">
        <v>373</v>
      </c>
      <c r="K1489" s="5" t="s">
        <v>344</v>
      </c>
      <c r="L1489" s="5" t="s">
        <v>29842</v>
      </c>
      <c r="M1489" s="27"/>
      <c r="N1489" s="5"/>
      <c r="O1489" s="5" t="str">
        <v>8901023181</v>
      </c>
      <c r="P1489" s="27">
        <v>40000000</v>
      </c>
      <c r="Q1489" s="5"/>
      <c r="R1489" s="5"/>
      <c r="S1489" s="5" t="s">
        <v>49121</v>
      </c>
      <c r="T1489" s="28">
        <v>8593000</v>
      </c>
      <c r="U1489" s="28"/>
      <c r="V1489" s="28">
        <v>15215226000</v>
      </c>
      <c r="W1489" s="28"/>
      <c r="X1489" s="28">
        <v>51010008000</v>
      </c>
      <c r="Y1489" s="28">
        <v>66236219000</v>
      </c>
      <c r="Z1489" s="28">
        <v>22405941000</v>
      </c>
      <c r="AA1489" s="28"/>
      <c r="AB1489" s="28"/>
      <c r="AC1489" s="28">
        <v>43786810000</v>
      </c>
      <c r="AD1489" s="28">
        <v>22447941000</v>
      </c>
      <c r="AE1489" s="28">
        <v>39251894000</v>
      </c>
      <c r="AF1489" s="28">
        <v>7347075000</v>
      </c>
      <c r="AG1489" s="11"/>
    </row>
    <row r="1490">
      <c r="A1490" s="7" t="s">
        <v>3201</v>
      </c>
      <c r="B1490" s="5" t="s">
        <v>11187</v>
      </c>
      <c r="C1490" s="5" t="s">
        <v>19055</v>
      </c>
      <c r="D1490" s="5" t="str">
        <v>590311577225</v>
      </c>
      <c r="E1490" s="0" t="e">
        <f>+7 (495) 5424407
+7 (495) 5424409
+7 (495) 9093366
+7 (926) 6634910</f>
        <v>#NAME?</v>
      </c>
      <c r="F1490" s="5" t="s">
        <v>29843</v>
      </c>
      <c r="G1490" s="5"/>
      <c r="H1490" s="26">
        <v>15.5</v>
      </c>
      <c r="I1490" s="5"/>
      <c r="J1490" s="5" t="s">
        <v>373</v>
      </c>
      <c r="K1490" s="5" t="s">
        <v>344</v>
      </c>
      <c r="L1490" s="5" t="s">
        <v>29844</v>
      </c>
      <c r="M1490" s="27"/>
      <c r="N1490" s="5"/>
      <c r="O1490" s="5" t="str">
        <v>8912002521</v>
      </c>
      <c r="P1490" s="27">
        <v>14000000</v>
      </c>
      <c r="Q1490" s="5"/>
      <c r="R1490" s="5"/>
      <c r="S1490" s="5" t="s">
        <v>49121</v>
      </c>
      <c r="T1490" s="28">
        <v>9996000</v>
      </c>
      <c r="U1490" s="28"/>
      <c r="V1490" s="28">
        <v>21159642000</v>
      </c>
      <c r="W1490" s="28"/>
      <c r="X1490" s="28">
        <v>72450748000</v>
      </c>
      <c r="Y1490" s="28">
        <v>93620720000</v>
      </c>
      <c r="Z1490" s="28">
        <v>33784857000</v>
      </c>
      <c r="AA1490" s="28"/>
      <c r="AB1490" s="28"/>
      <c r="AC1490" s="28">
        <v>59820104000</v>
      </c>
      <c r="AD1490" s="28">
        <v>33799557000</v>
      </c>
      <c r="AE1490" s="28">
        <v>55220547000</v>
      </c>
      <c r="AF1490" s="28">
        <v>12606518000</v>
      </c>
      <c r="AG1490" s="11"/>
    </row>
    <row r="1491">
      <c r="A1491" s="7" t="s">
        <v>3202</v>
      </c>
      <c r="B1491" s="5" t="s">
        <v>11188</v>
      </c>
      <c r="C1491" s="5" t="s">
        <v>19056</v>
      </c>
      <c r="D1491" s="5" t="str">
        <v>780218145149</v>
      </c>
      <c r="E1491" s="0" t="e">
        <f>+7 (495) 6315003
+7 (495) 6315676
+7 (495) 6315949
+7 (495) 7182975
+7 (495) 7182985
+7 (495) 7182995
+7 (495) 7182997
+7 (495) 7185373
+7 (495) 7187091
+7 (495) 7187671
+7 (495) 7191080
+7 (495) 7191388
+7 (495) 7192638
+7 (495) 7193521
+7 (495) 7193762</f>
        <v>#NAME?</v>
      </c>
      <c r="F1491" s="5" t="s">
        <v>29845</v>
      </c>
      <c r="G1491" s="5" t="s">
        <v>29846</v>
      </c>
      <c r="H1491" s="26">
        <v>25.5</v>
      </c>
      <c r="I1491" s="5" t="s">
        <v>29847</v>
      </c>
      <c r="J1491" s="5" t="s">
        <v>29848</v>
      </c>
      <c r="K1491" s="5"/>
      <c r="L1491" s="5"/>
      <c r="M1491" s="27"/>
      <c r="N1491" s="5"/>
      <c r="O1491" s="5" t="str">
        <v>7728159705</v>
      </c>
      <c r="P1491" s="27"/>
      <c r="Q1491" s="5" t="s">
        <v>51634</v>
      </c>
      <c r="R1491" s="5"/>
      <c r="S1491" s="5" t="s">
        <v>51188</v>
      </c>
      <c r="T1491" s="28">
        <v>1596228000</v>
      </c>
      <c r="U1491" s="28"/>
      <c r="V1491" s="28">
        <v>393406000</v>
      </c>
      <c r="W1491" s="28">
        <v>112137000</v>
      </c>
      <c r="X1491" s="28">
        <v>1974000</v>
      </c>
      <c r="Y1491" s="28">
        <v>2707757000</v>
      </c>
      <c r="Z1491" s="28">
        <v>-4485754000</v>
      </c>
      <c r="AA1491" s="28"/>
      <c r="AB1491" s="28"/>
      <c r="AC1491" s="28">
        <v>529678000</v>
      </c>
      <c r="AD1491" s="28">
        <v>2178079000</v>
      </c>
      <c r="AE1491" s="28">
        <v>4580988000</v>
      </c>
      <c r="AF1491" s="28">
        <v>-485141000</v>
      </c>
      <c r="AG1491" s="11"/>
    </row>
    <row r="1492">
      <c r="A1492" s="7" t="s">
        <v>3203</v>
      </c>
      <c r="B1492" s="5" t="s">
        <v>11189</v>
      </c>
      <c r="C1492" s="5" t="s">
        <v>19057</v>
      </c>
      <c r="D1492" s="5" t="str">
        <v>782506133697</v>
      </c>
      <c r="E1492" s="0" t="e">
        <f>+7 (495) 7193937
+7 (481) 2705549
+7 (3494) 997016
+7 (3494) 997079
+7 (3494) 997130
+7 (421) 2735952
+7 (495) 3808677
+7 (495) 6315100
+7 (495) 7191077
+7 (495) 7191494
+7 (495) 7192505
+7 (495) 7192601
+7 (495) 7193001
+7 (495) 7193483
+7 (495) 7194487</f>
        <v>#NAME?</v>
      </c>
      <c r="F1492" s="5" t="s">
        <v>29849</v>
      </c>
      <c r="G1492" s="5" t="s">
        <v>29586</v>
      </c>
      <c r="H1492" s="26">
        <v>30</v>
      </c>
      <c r="I1492" s="5"/>
      <c r="J1492" s="5" t="s">
        <v>373</v>
      </c>
      <c r="K1492" s="5" t="s">
        <v>344</v>
      </c>
      <c r="L1492" s="5"/>
      <c r="M1492" s="27">
        <v>1281140135</v>
      </c>
      <c r="N1492" s="5" t="s">
        <v>51635</v>
      </c>
      <c r="O1492" s="5" t="str">
        <v>7736050003</v>
      </c>
      <c r="P1492" s="27">
        <v>118367564500</v>
      </c>
      <c r="Q1492" s="5" t="s">
        <v>51636</v>
      </c>
      <c r="R1492" s="5"/>
      <c r="S1492" s="5" t="s">
        <v>51637</v>
      </c>
      <c r="T1492" s="28">
        <v>14264684443000</v>
      </c>
      <c r="U1492" s="28">
        <v>4415459661000</v>
      </c>
      <c r="V1492" s="28">
        <v>2899224596000</v>
      </c>
      <c r="W1492" s="28">
        <v>199321909000</v>
      </c>
      <c r="X1492" s="28">
        <v>247470110000</v>
      </c>
      <c r="Y1492" s="28">
        <v>24033801131000</v>
      </c>
      <c r="Z1492" s="28">
        <v>16426983014000</v>
      </c>
      <c r="AA1492" s="28">
        <v>2510047004000</v>
      </c>
      <c r="AB1492" s="28">
        <v>979886132000</v>
      </c>
      <c r="AC1492" s="28">
        <v>2269921261000</v>
      </c>
      <c r="AD1492" s="28">
        <v>16732810395000</v>
      </c>
      <c r="AE1492" s="28">
        <v>7979026948000</v>
      </c>
      <c r="AF1492" s="28">
        <v>747246272000</v>
      </c>
      <c r="AG1492" s="11"/>
    </row>
    <row r="1493">
      <c r="A1493" s="7" t="s">
        <v>3204</v>
      </c>
      <c r="B1493" s="5" t="s">
        <v>11190</v>
      </c>
      <c r="C1493" s="5" t="s">
        <v>19058</v>
      </c>
      <c r="D1493" s="5" t="str">
        <v>344814583338</v>
      </c>
      <c r="E1493" s="0" t="e">
        <f>+7 (916) 32381
+7 (985) 7402369
+7 (495) 2311234
+7 (495) 7191396
+7 (495) 7191398</f>
        <v>#NAME?</v>
      </c>
      <c r="F1493" s="5" t="s">
        <v>29850</v>
      </c>
      <c r="G1493" s="5"/>
      <c r="H1493" s="26">
        <v>18</v>
      </c>
      <c r="I1493" s="5" t="s">
        <v>29851</v>
      </c>
      <c r="J1493" s="5" t="s">
        <v>25670</v>
      </c>
      <c r="K1493" s="5" t="s">
        <v>380</v>
      </c>
      <c r="L1493" s="5"/>
      <c r="M1493" s="27">
        <v>69532180</v>
      </c>
      <c r="N1493" s="5" t="s">
        <v>51638</v>
      </c>
      <c r="O1493" s="5" t="str">
        <v>7728533208</v>
      </c>
      <c r="P1493" s="27">
        <v>3000000</v>
      </c>
      <c r="Q1493" s="5" t="s">
        <v>51640</v>
      </c>
      <c r="R1493" s="5"/>
      <c r="S1493" s="5" t="s">
        <v>50589</v>
      </c>
      <c r="T1493" s="28">
        <v>369074000</v>
      </c>
      <c r="U1493" s="28">
        <v>15500000</v>
      </c>
      <c r="V1493" s="28">
        <v>7797428000</v>
      </c>
      <c r="W1493" s="28"/>
      <c r="X1493" s="28">
        <v>764387000</v>
      </c>
      <c r="Y1493" s="28">
        <v>168605210000</v>
      </c>
      <c r="Z1493" s="28">
        <v>3832702000</v>
      </c>
      <c r="AA1493" s="28">
        <v>77824247000</v>
      </c>
      <c r="AB1493" s="28">
        <v>46392847000</v>
      </c>
      <c r="AC1493" s="28">
        <v>59045891000</v>
      </c>
      <c r="AD1493" s="28">
        <v>3835918000</v>
      </c>
      <c r="AE1493" s="28">
        <v>17275746000</v>
      </c>
      <c r="AF1493" s="28">
        <v>3701269000</v>
      </c>
      <c r="AG1493" s="11"/>
    </row>
    <row r="1494">
      <c r="A1494" s="7" t="s">
        <v>3205</v>
      </c>
      <c r="B1494" s="5" t="s">
        <v>11191</v>
      </c>
      <c r="C1494" s="5" t="s">
        <v>19059</v>
      </c>
      <c r="D1494" s="5" t="str">
        <v>772803241226</v>
      </c>
      <c r="E1494" s="0" t="e">
        <f>+7 (495) 7191398
+7 (967) 2292105</f>
        <v>#NAME?</v>
      </c>
      <c r="F1494" s="5" t="s">
        <v>29852</v>
      </c>
      <c r="G1494" s="5"/>
      <c r="H1494" s="26">
        <v>19.5</v>
      </c>
      <c r="I1494" s="5"/>
      <c r="J1494" s="5" t="s">
        <v>29853</v>
      </c>
      <c r="K1494" s="5" t="s">
        <v>380</v>
      </c>
      <c r="L1494" s="5" t="s">
        <v>29854</v>
      </c>
      <c r="M1494" s="27"/>
      <c r="N1494" s="5" t="s">
        <v>51641</v>
      </c>
      <c r="O1494" s="5" t="str">
        <v>7728294503</v>
      </c>
      <c r="P1494" s="27">
        <v>1300000000</v>
      </c>
      <c r="Q1494" s="5" t="s">
        <v>51642</v>
      </c>
      <c r="R1494" s="5"/>
      <c r="S1494" s="5" t="s">
        <v>51643</v>
      </c>
      <c r="T1494" s="28">
        <v>127836000</v>
      </c>
      <c r="U1494" s="28">
        <v>4173969000</v>
      </c>
      <c r="V1494" s="28">
        <v>731646000</v>
      </c>
      <c r="W1494" s="28">
        <v>110541000</v>
      </c>
      <c r="X1494" s="28">
        <v>3085559000</v>
      </c>
      <c r="Y1494" s="28">
        <v>89946578000</v>
      </c>
      <c r="Z1494" s="28">
        <v>4570094000</v>
      </c>
      <c r="AA1494" s="28">
        <v>41037997000</v>
      </c>
      <c r="AB1494" s="28">
        <v>22164033000</v>
      </c>
      <c r="AC1494" s="28">
        <v>30500391000</v>
      </c>
      <c r="AD1494" s="28">
        <v>6065094000</v>
      </c>
      <c r="AE1494" s="28">
        <v>7858610000</v>
      </c>
      <c r="AF1494" s="28">
        <v>4249872000</v>
      </c>
      <c r="AG1494" s="11"/>
    </row>
    <row r="1495">
      <c r="A1495" s="7" t="s">
        <v>3206</v>
      </c>
      <c r="B1495" s="5" t="s">
        <v>11192</v>
      </c>
      <c r="C1495" s="5" t="s">
        <v>19059</v>
      </c>
      <c r="D1495" s="5" t="str">
        <v>772803241226</v>
      </c>
      <c r="E1495" s="0" t="e">
        <f>+7 (495) 7191398</f>
        <v>#NAME?</v>
      </c>
      <c r="F1495" s="5" t="s">
        <v>29855</v>
      </c>
      <c r="G1495" s="5"/>
      <c r="H1495" s="26">
        <v>17.5</v>
      </c>
      <c r="I1495" s="5" t="s">
        <v>29856</v>
      </c>
      <c r="J1495" s="5" t="s">
        <v>25670</v>
      </c>
      <c r="K1495" s="5" t="s">
        <v>380</v>
      </c>
      <c r="L1495" s="5" t="s">
        <v>29857</v>
      </c>
      <c r="M1495" s="27">
        <v>2370516</v>
      </c>
      <c r="N1495" s="5" t="s">
        <v>51644</v>
      </c>
      <c r="O1495" s="5" t="str">
        <v>7728559291</v>
      </c>
      <c r="P1495" s="27">
        <v>640000000</v>
      </c>
      <c r="Q1495" s="5" t="s">
        <v>51645</v>
      </c>
      <c r="R1495" s="5"/>
      <c r="S1495" s="5" t="s">
        <v>51646</v>
      </c>
      <c r="T1495" s="28"/>
      <c r="U1495" s="28">
        <v>1980000</v>
      </c>
      <c r="V1495" s="28">
        <v>449029000</v>
      </c>
      <c r="W1495" s="28"/>
      <c r="X1495" s="28">
        <v>5421018000</v>
      </c>
      <c r="Y1495" s="28">
        <v>69356186000</v>
      </c>
      <c r="Z1495" s="28">
        <v>-717269000</v>
      </c>
      <c r="AA1495" s="28">
        <v>50133777000</v>
      </c>
      <c r="AB1495" s="28">
        <v>6242372000</v>
      </c>
      <c r="AC1495" s="28">
        <v>7714239000</v>
      </c>
      <c r="AD1495" s="28">
        <v>-77269000</v>
      </c>
      <c r="AE1495" s="28">
        <v>6533239000</v>
      </c>
      <c r="AF1495" s="28">
        <v>-2988282000</v>
      </c>
      <c r="AG1495" s="11"/>
    </row>
    <row r="1496">
      <c r="A1496" s="7" t="s">
        <v>3207</v>
      </c>
      <c r="B1496" s="5" t="s">
        <v>11193</v>
      </c>
      <c r="C1496" s="5" t="s">
        <v>19060</v>
      </c>
      <c r="D1496" s="5" t="str">
        <v>561006211315</v>
      </c>
      <c r="E1496" s="0" t="e">
        <f>+7 (349) 2272975
+7 (3496) 370052
+7 (3496) 370126
+7 (3496) 372089
+7 (3496) 372141
+7 (495) 1236022
+7 (499) 1236022
+7 (834) 9372089
+7 (834) 9372141</f>
        <v>#NAME?</v>
      </c>
      <c r="F1496" s="5" t="s">
        <v>29858</v>
      </c>
      <c r="G1496" s="5"/>
      <c r="H1496" s="26">
        <v>19</v>
      </c>
      <c r="I1496" s="5" t="s">
        <v>29859</v>
      </c>
      <c r="J1496" s="5" t="s">
        <v>29860</v>
      </c>
      <c r="K1496" s="5" t="s">
        <v>344</v>
      </c>
      <c r="L1496" s="5" t="s">
        <v>29861</v>
      </c>
      <c r="M1496" s="27"/>
      <c r="N1496" s="5" t="s">
        <v>51647</v>
      </c>
      <c r="O1496" s="5" t="str">
        <v>8905032518</v>
      </c>
      <c r="P1496" s="27">
        <v>2963199072</v>
      </c>
      <c r="Q1496" s="5"/>
      <c r="R1496" s="5"/>
      <c r="S1496" s="5" t="s">
        <v>49047</v>
      </c>
      <c r="T1496" s="28">
        <v>6185898000</v>
      </c>
      <c r="U1496" s="28">
        <v>165085000</v>
      </c>
      <c r="V1496" s="28">
        <v>2105956000</v>
      </c>
      <c r="W1496" s="28">
        <v>1161784000</v>
      </c>
      <c r="X1496" s="28"/>
      <c r="Y1496" s="28">
        <v>12309735000</v>
      </c>
      <c r="Z1496" s="28">
        <v>682700000</v>
      </c>
      <c r="AA1496" s="28">
        <v>3469026000</v>
      </c>
      <c r="AB1496" s="28"/>
      <c r="AC1496" s="28">
        <v>4635223000</v>
      </c>
      <c r="AD1496" s="28">
        <v>3668274000</v>
      </c>
      <c r="AE1496" s="28">
        <v>12728720000</v>
      </c>
      <c r="AF1496" s="28">
        <v>39916000</v>
      </c>
      <c r="AG1496" s="11"/>
    </row>
    <row r="1497">
      <c r="A1497" s="7" t="s">
        <v>3208</v>
      </c>
      <c r="B1497" s="5" t="s">
        <v>11194</v>
      </c>
      <c r="C1497" s="5" t="s">
        <v>19061</v>
      </c>
      <c r="D1497" s="5" t="str">
        <v>701706252762</v>
      </c>
      <c r="E1497" s="0" t="e">
        <f>+7 (812) 3136924
+7 (812) 4494970</f>
        <v>#NAME?</v>
      </c>
      <c r="F1497" s="5" t="s">
        <v>29862</v>
      </c>
      <c r="G1497" s="5"/>
      <c r="H1497" s="26">
        <v>15.5</v>
      </c>
      <c r="I1497" s="5" t="s">
        <v>29863</v>
      </c>
      <c r="J1497" s="5" t="s">
        <v>27806</v>
      </c>
      <c r="K1497" s="5" t="s">
        <v>344</v>
      </c>
      <c r="L1497" s="5" t="s">
        <v>29864</v>
      </c>
      <c r="M1497" s="27"/>
      <c r="N1497" s="5"/>
      <c r="O1497" s="5" t="str">
        <v>7838395487</v>
      </c>
      <c r="P1497" s="27">
        <v>1217000</v>
      </c>
      <c r="Q1497" s="5" t="s">
        <v>51650</v>
      </c>
      <c r="R1497" s="5"/>
      <c r="S1497" s="5" t="s">
        <v>50119</v>
      </c>
      <c r="T1497" s="28">
        <v>3587513000</v>
      </c>
      <c r="U1497" s="28"/>
      <c r="V1497" s="28">
        <v>6216968000</v>
      </c>
      <c r="W1497" s="28">
        <v>1449278000</v>
      </c>
      <c r="X1497" s="28">
        <v>172000</v>
      </c>
      <c r="Y1497" s="28">
        <v>15572756000</v>
      </c>
      <c r="Z1497" s="28">
        <v>3955022000</v>
      </c>
      <c r="AA1497" s="28">
        <v>3749073000</v>
      </c>
      <c r="AB1497" s="28">
        <v>1673979000</v>
      </c>
      <c r="AC1497" s="28">
        <v>6849767000</v>
      </c>
      <c r="AD1497" s="28">
        <v>4390022000</v>
      </c>
      <c r="AE1497" s="28">
        <v>13019976000</v>
      </c>
      <c r="AF1497" s="28">
        <v>880593000</v>
      </c>
      <c r="AG1497" s="11"/>
    </row>
    <row r="1498">
      <c r="A1498" s="7" t="s">
        <v>3209</v>
      </c>
      <c r="B1498" s="5" t="s">
        <v>11195</v>
      </c>
      <c r="C1498" s="5" t="s">
        <v>19062</v>
      </c>
      <c r="D1498" s="5"/>
      <c r="E1498" s="0" t="e">
        <f>+7 (922) 602565
+7 (349) 2271567
+7 (3496) 330813
+7 (3496) 371162
+7 (3496) 371163
+7 (3496) 371415
+7 (3496) 371435
+7 (3496) 371439
+7 (3496) 371620
+7 (3496) 371678
+7 (3496) 371992
+7 (3496) 372201</f>
        <v>#NAME?</v>
      </c>
      <c r="F1498" s="5" t="s">
        <v>29865</v>
      </c>
      <c r="G1498" s="5"/>
      <c r="H1498" s="26">
        <v>19</v>
      </c>
      <c r="I1498" s="5" t="s">
        <v>29866</v>
      </c>
      <c r="J1498" s="5" t="s">
        <v>27802</v>
      </c>
      <c r="K1498" s="5" t="s">
        <v>344</v>
      </c>
      <c r="L1498" s="5"/>
      <c r="M1498" s="27">
        <v>759071</v>
      </c>
      <c r="N1498" s="5" t="s">
        <v>51651</v>
      </c>
      <c r="O1498" s="5" t="str">
        <v>8905032490</v>
      </c>
      <c r="P1498" s="27">
        <v>213673000</v>
      </c>
      <c r="Q1498" s="5" t="s">
        <v>51653</v>
      </c>
      <c r="R1498" s="5"/>
      <c r="S1498" s="5" t="s">
        <v>49032</v>
      </c>
      <c r="T1498" s="28">
        <v>756966000</v>
      </c>
      <c r="U1498" s="28"/>
      <c r="V1498" s="28">
        <v>1675959000</v>
      </c>
      <c r="W1498" s="28">
        <v>419053000</v>
      </c>
      <c r="X1498" s="28">
        <v>38000</v>
      </c>
      <c r="Y1498" s="28">
        <v>3282186000</v>
      </c>
      <c r="Z1498" s="28">
        <v>127995000</v>
      </c>
      <c r="AA1498" s="28">
        <v>98956000</v>
      </c>
      <c r="AB1498" s="28"/>
      <c r="AC1498" s="28">
        <v>2702295000</v>
      </c>
      <c r="AD1498" s="28">
        <v>345481000</v>
      </c>
      <c r="AE1498" s="28">
        <v>10450376000</v>
      </c>
      <c r="AF1498" s="28">
        <v>8309000</v>
      </c>
      <c r="AG1498" s="11"/>
    </row>
    <row r="1499">
      <c r="A1499" s="7" t="s">
        <v>3210</v>
      </c>
      <c r="B1499" s="5" t="s">
        <v>11196</v>
      </c>
      <c r="C1499" s="5" t="s">
        <v>19063</v>
      </c>
      <c r="D1499" s="5" t="str">
        <v>500801724601</v>
      </c>
      <c r="E1499" s="0" t="e">
        <f>+7 (3496) 330808
+7 (3496) 372090
+7 (3496) 372813
+7 (3496) 372832
+7 (3496) 372958
+7 (3496) 372999</f>
        <v>#NAME?</v>
      </c>
      <c r="F1499" s="5"/>
      <c r="G1499" s="5"/>
      <c r="H1499" s="26">
        <v>19</v>
      </c>
      <c r="I1499" s="5" t="s">
        <v>29867</v>
      </c>
      <c r="J1499" s="5" t="s">
        <v>570</v>
      </c>
      <c r="K1499" s="5" t="s">
        <v>344</v>
      </c>
      <c r="L1499" s="5" t="s">
        <v>29868</v>
      </c>
      <c r="M1499" s="27"/>
      <c r="N1499" s="5" t="s">
        <v>51654</v>
      </c>
      <c r="O1499" s="5" t="str">
        <v>8905032469</v>
      </c>
      <c r="P1499" s="27">
        <v>161485000</v>
      </c>
      <c r="Q1499" s="5" t="s">
        <v>51656</v>
      </c>
      <c r="R1499" s="5"/>
      <c r="S1499" s="5" t="s">
        <v>51657</v>
      </c>
      <c r="T1499" s="28">
        <v>482933000</v>
      </c>
      <c r="U1499" s="28"/>
      <c r="V1499" s="28">
        <v>1101244000</v>
      </c>
      <c r="W1499" s="28">
        <v>234589000</v>
      </c>
      <c r="X1499" s="28">
        <v>97000</v>
      </c>
      <c r="Y1499" s="28">
        <v>2167264000</v>
      </c>
      <c r="Z1499" s="28">
        <v>349742000</v>
      </c>
      <c r="AA1499" s="28"/>
      <c r="AB1499" s="28"/>
      <c r="AC1499" s="28">
        <v>1558673000</v>
      </c>
      <c r="AD1499" s="28">
        <v>511242000</v>
      </c>
      <c r="AE1499" s="28">
        <v>4791252000</v>
      </c>
      <c r="AF1499" s="28">
        <v>196509000</v>
      </c>
      <c r="AG1499" s="11"/>
    </row>
    <row r="1500">
      <c r="A1500" s="7" t="s">
        <v>3211</v>
      </c>
      <c r="B1500" s="5" t="s">
        <v>11197</v>
      </c>
      <c r="C1500" s="5" t="s">
        <v>19064</v>
      </c>
      <c r="D1500" s="5" t="str">
        <v>183303442977</v>
      </c>
      <c r="E1500" s="0" t="e">
        <f>+7 (382) 2310805
+7 (382) 2310830
+7 (382) 2424857
+7 (382) 2550323
+7 (382) 2585234</f>
        <v>#NAME?</v>
      </c>
      <c r="F1500" s="5" t="s">
        <v>29869</v>
      </c>
      <c r="G1500" s="5" t="s">
        <v>29870</v>
      </c>
      <c r="H1500" s="26">
        <v>17.5</v>
      </c>
      <c r="I1500" s="5" t="s">
        <v>29871</v>
      </c>
      <c r="J1500" s="5" t="s">
        <v>26607</v>
      </c>
      <c r="K1500" s="5" t="s">
        <v>344</v>
      </c>
      <c r="L1500" s="5" t="s">
        <v>29872</v>
      </c>
      <c r="M1500" s="27">
        <v>55994954</v>
      </c>
      <c r="N1500" s="5" t="s">
        <v>51658</v>
      </c>
      <c r="O1500" s="5" t="str">
        <v>7017126251</v>
      </c>
      <c r="P1500" s="27">
        <v>5425784650</v>
      </c>
      <c r="Q1500" s="5" t="s">
        <v>51659</v>
      </c>
      <c r="R1500" s="5" t="s">
        <v>51660</v>
      </c>
      <c r="S1500" s="5" t="s">
        <v>49180</v>
      </c>
      <c r="T1500" s="28">
        <v>36823701000</v>
      </c>
      <c r="U1500" s="28"/>
      <c r="V1500" s="28">
        <v>2342844000</v>
      </c>
      <c r="W1500" s="28"/>
      <c r="X1500" s="28">
        <v>5473001000</v>
      </c>
      <c r="Y1500" s="28">
        <v>49280944000</v>
      </c>
      <c r="Z1500" s="28">
        <v>5839292000</v>
      </c>
      <c r="AA1500" s="28"/>
      <c r="AB1500" s="28"/>
      <c r="AC1500" s="28">
        <v>4688172000</v>
      </c>
      <c r="AD1500" s="28">
        <v>36721718000</v>
      </c>
      <c r="AE1500" s="28">
        <v>43116634000</v>
      </c>
      <c r="AF1500" s="28">
        <v>1134190000</v>
      </c>
      <c r="AG1500" s="11"/>
    </row>
    <row r="1501">
      <c r="A1501" s="7" t="s">
        <v>3212</v>
      </c>
      <c r="B1501" s="5" t="s">
        <v>11198</v>
      </c>
      <c r="C1501" s="5" t="s">
        <v>19065</v>
      </c>
      <c r="D1501" s="5" t="str">
        <v>701703371659</v>
      </c>
      <c r="E1501" s="0" t="e">
        <f>+7 (345) 2539027
+7 (345) 2521090</f>
        <v>#NAME?</v>
      </c>
      <c r="F1501" s="5" t="s">
        <v>29873</v>
      </c>
      <c r="G1501" s="5"/>
      <c r="H1501" s="26">
        <v>13</v>
      </c>
      <c r="I1501" s="5" t="s">
        <v>29874</v>
      </c>
      <c r="J1501" s="5" t="s">
        <v>27921</v>
      </c>
      <c r="K1501" s="5" t="s">
        <v>355</v>
      </c>
      <c r="L1501" s="5" t="s">
        <v>29875</v>
      </c>
      <c r="M1501" s="27">
        <v>3642264</v>
      </c>
      <c r="N1501" s="5"/>
      <c r="O1501" s="5" t="str">
        <v>7728720448</v>
      </c>
      <c r="P1501" s="27">
        <v>1005587150</v>
      </c>
      <c r="Q1501" s="5" t="s">
        <v>51662</v>
      </c>
      <c r="R1501" s="5"/>
      <c r="S1501" s="5" t="s">
        <v>49358</v>
      </c>
      <c r="T1501" s="28">
        <v>228257691000</v>
      </c>
      <c r="U1501" s="28"/>
      <c r="V1501" s="28">
        <v>32842867000</v>
      </c>
      <c r="W1501" s="28">
        <v>3943518000</v>
      </c>
      <c r="X1501" s="28">
        <v>97205000</v>
      </c>
      <c r="Y1501" s="28">
        <v>283390839000</v>
      </c>
      <c r="Z1501" s="28">
        <v>58918497000</v>
      </c>
      <c r="AA1501" s="28">
        <v>122287138000</v>
      </c>
      <c r="AB1501" s="28"/>
      <c r="AC1501" s="28">
        <v>58411959000</v>
      </c>
      <c r="AD1501" s="28">
        <v>89499307000</v>
      </c>
      <c r="AE1501" s="28">
        <v>237784380000</v>
      </c>
      <c r="AF1501" s="28">
        <v>25218783000</v>
      </c>
      <c r="AG1501" s="11"/>
    </row>
    <row r="1502">
      <c r="A1502" s="7" t="s">
        <v>3213</v>
      </c>
      <c r="B1502" s="5" t="s">
        <v>11199</v>
      </c>
      <c r="C1502" s="5" t="s">
        <v>19062</v>
      </c>
      <c r="D1502" s="5"/>
      <c r="E1502" s="0" t="e">
        <f>+7 (3496) 330828
+7 (3496) 372052
+7 (3496) 372836
+7 (3496) 372846</f>
        <v>#NAME?</v>
      </c>
      <c r="F1502" s="5" t="s">
        <v>29876</v>
      </c>
      <c r="G1502" s="5" t="s">
        <v>29877</v>
      </c>
      <c r="H1502" s="26">
        <v>29</v>
      </c>
      <c r="I1502" s="5" t="s">
        <v>29878</v>
      </c>
      <c r="J1502" s="5" t="s">
        <v>27806</v>
      </c>
      <c r="K1502" s="5" t="s">
        <v>344</v>
      </c>
      <c r="L1502" s="5"/>
      <c r="M1502" s="27"/>
      <c r="N1502" s="5" t="s">
        <v>51663</v>
      </c>
      <c r="O1502" s="5" t="str">
        <v>8905062456</v>
      </c>
      <c r="P1502" s="27">
        <v>29309760</v>
      </c>
      <c r="Q1502" s="5" t="s">
        <v>51665</v>
      </c>
      <c r="R1502" s="5"/>
      <c r="S1502" s="5" t="s">
        <v>50951</v>
      </c>
      <c r="T1502" s="28">
        <v>1790144000</v>
      </c>
      <c r="U1502" s="28"/>
      <c r="V1502" s="28">
        <v>2491582000</v>
      </c>
      <c r="W1502" s="28">
        <v>190250000</v>
      </c>
      <c r="X1502" s="28">
        <v>68000</v>
      </c>
      <c r="Y1502" s="28">
        <v>4936234000</v>
      </c>
      <c r="Z1502" s="28">
        <v>1355699000</v>
      </c>
      <c r="AA1502" s="28">
        <v>831916000</v>
      </c>
      <c r="AB1502" s="28"/>
      <c r="AC1502" s="28">
        <v>2628215000</v>
      </c>
      <c r="AD1502" s="28">
        <v>1385009000</v>
      </c>
      <c r="AE1502" s="28">
        <v>9142696000</v>
      </c>
      <c r="AF1502" s="28">
        <v>612546000</v>
      </c>
      <c r="AG1502" s="11"/>
    </row>
    <row r="1503">
      <c r="A1503" s="7" t="s">
        <v>3214</v>
      </c>
      <c r="B1503" s="5" t="s">
        <v>11200</v>
      </c>
      <c r="C1503" s="5" t="s">
        <v>19066</v>
      </c>
      <c r="D1503" s="5" t="str">
        <v>860506108143</v>
      </c>
      <c r="E1503" s="0" t="e">
        <f>+7 (349) 2276368
+7 (3496) 371536
+7 (349) 2252208
+7 (349) 2276020
+7 (34938) 63319
+7 (34938) 66000
+7 (3496) 370771
+7 (3496) 376020
+7 (3496) 376222
+7 (3496) 376368
+7 (3496) 376513
+7 (3496) 377259
+7 (3496) 476020
+7 (3496) 476368</f>
        <v>#NAME?</v>
      </c>
      <c r="F1503" s="5" t="s">
        <v>29879</v>
      </c>
      <c r="G1503" s="5" t="s">
        <v>29880</v>
      </c>
      <c r="H1503" s="26">
        <v>29</v>
      </c>
      <c r="I1503" s="5"/>
      <c r="J1503" s="5" t="s">
        <v>26607</v>
      </c>
      <c r="K1503" s="5" t="s">
        <v>355</v>
      </c>
      <c r="L1503" s="5" t="s">
        <v>29881</v>
      </c>
      <c r="M1503" s="27">
        <v>36137467</v>
      </c>
      <c r="N1503" s="5" t="s">
        <v>51666</v>
      </c>
      <c r="O1503" s="5" t="str">
        <v>8905000428</v>
      </c>
      <c r="P1503" s="27">
        <v>7537988460</v>
      </c>
      <c r="Q1503" s="5" t="s">
        <v>51667</v>
      </c>
      <c r="R1503" s="5" t="s">
        <v>51204</v>
      </c>
      <c r="S1503" s="5" t="s">
        <v>51668</v>
      </c>
      <c r="T1503" s="28">
        <v>247578076000</v>
      </c>
      <c r="U1503" s="28">
        <v>8737799000</v>
      </c>
      <c r="V1503" s="28">
        <v>25270867000</v>
      </c>
      <c r="W1503" s="28">
        <v>801999000</v>
      </c>
      <c r="X1503" s="28">
        <v>99818000</v>
      </c>
      <c r="Y1503" s="28">
        <v>308996741000</v>
      </c>
      <c r="Z1503" s="28">
        <v>121639074000</v>
      </c>
      <c r="AA1503" s="28">
        <v>17213277000</v>
      </c>
      <c r="AB1503" s="28"/>
      <c r="AC1503" s="28">
        <v>58667251000</v>
      </c>
      <c r="AD1503" s="28">
        <v>196622390000</v>
      </c>
      <c r="AE1503" s="28">
        <v>343995623000</v>
      </c>
      <c r="AF1503" s="28">
        <v>12467045000</v>
      </c>
      <c r="AG1503" s="11"/>
    </row>
    <row r="1504">
      <c r="A1504" s="7" t="s">
        <v>3215</v>
      </c>
      <c r="B1504" s="5" t="s">
        <v>11201</v>
      </c>
      <c r="C1504" s="5" t="s">
        <v>19067</v>
      </c>
      <c r="D1504" s="5" t="str">
        <v>890601545008</v>
      </c>
      <c r="E1504" s="0" t="e">
        <f>+7 (353) 2772475
+7 (353) 2779117
+7 (353) 2913747</f>
        <v>#NAME?</v>
      </c>
      <c r="F1504" s="5"/>
      <c r="G1504" s="5"/>
      <c r="H1504" s="26">
        <v>29</v>
      </c>
      <c r="I1504" s="5" t="s">
        <v>29882</v>
      </c>
      <c r="J1504" s="5" t="s">
        <v>26607</v>
      </c>
      <c r="K1504" s="5" t="s">
        <v>355</v>
      </c>
      <c r="L1504" s="5" t="s">
        <v>29883</v>
      </c>
      <c r="M1504" s="27">
        <v>29694635</v>
      </c>
      <c r="N1504" s="5"/>
      <c r="O1504" s="5" t="str">
        <v>5610218014</v>
      </c>
      <c r="P1504" s="27">
        <v>164407400</v>
      </c>
      <c r="Q1504" s="5" t="s">
        <v>49009</v>
      </c>
      <c r="R1504" s="5"/>
      <c r="S1504" s="5" t="s">
        <v>49358</v>
      </c>
      <c r="T1504" s="28">
        <v>74231746000</v>
      </c>
      <c r="U1504" s="28"/>
      <c r="V1504" s="28">
        <v>6708250000</v>
      </c>
      <c r="W1504" s="28">
        <v>6602744000</v>
      </c>
      <c r="X1504" s="28">
        <v>98817000</v>
      </c>
      <c r="Y1504" s="28">
        <v>96134077000</v>
      </c>
      <c r="Z1504" s="28">
        <v>7411950000</v>
      </c>
      <c r="AA1504" s="28">
        <v>76742978000</v>
      </c>
      <c r="AB1504" s="28"/>
      <c r="AC1504" s="28">
        <v>8545877000</v>
      </c>
      <c r="AD1504" s="28">
        <v>7576357000</v>
      </c>
      <c r="AE1504" s="28">
        <v>84727154000</v>
      </c>
      <c r="AF1504" s="28">
        <v>-3747447000</v>
      </c>
      <c r="AG1504" s="11"/>
    </row>
    <row r="1505">
      <c r="A1505" s="7" t="s">
        <v>3216</v>
      </c>
      <c r="B1505" s="5" t="s">
        <v>11202</v>
      </c>
      <c r="C1505" s="5" t="s">
        <v>19068</v>
      </c>
      <c r="D1505" s="5" t="str">
        <v>830100119603</v>
      </c>
      <c r="E1505" s="0" t="e">
        <f>+7 (345) 2354804
+7 (345) 2354844
+7 (345) 2354800
+7 (345) 2354881
+7 (345) 2354999
+7 (345) 2357844
+7 (345) 2394167
+7 (345) 2925201
+7 (3467) 194167
+7 (3467) 354800
+7 (3467) 354802
+7 (3467) 354844
+7 (3467) 354850
+7 (3467) 357844</f>
        <v>#NAME?</v>
      </c>
      <c r="F1505" s="5" t="s">
        <v>29884</v>
      </c>
      <c r="G1505" s="5" t="s">
        <v>29885</v>
      </c>
      <c r="H1505" s="26">
        <v>18</v>
      </c>
      <c r="I1505" s="5" t="s">
        <v>29886</v>
      </c>
      <c r="J1505" s="5" t="s">
        <v>26607</v>
      </c>
      <c r="K1505" s="5" t="s">
        <v>344</v>
      </c>
      <c r="L1505" s="5" t="s">
        <v>29887</v>
      </c>
      <c r="M1505" s="27">
        <v>409545133</v>
      </c>
      <c r="N1505" s="5" t="s">
        <v>51669</v>
      </c>
      <c r="O1505" s="5" t="str">
        <v>8618006063</v>
      </c>
      <c r="P1505" s="27">
        <v>15942787</v>
      </c>
      <c r="Q1505" s="5" t="s">
        <v>51670</v>
      </c>
      <c r="R1505" s="5"/>
      <c r="S1505" s="5" t="s">
        <v>51671</v>
      </c>
      <c r="T1505" s="28">
        <v>236918137000</v>
      </c>
      <c r="U1505" s="28">
        <v>6350586000</v>
      </c>
      <c r="V1505" s="28">
        <v>36427310000</v>
      </c>
      <c r="W1505" s="28">
        <v>1106003000</v>
      </c>
      <c r="X1505" s="28">
        <v>96652000</v>
      </c>
      <c r="Y1505" s="28">
        <v>302889216000</v>
      </c>
      <c r="Z1505" s="28">
        <v>191389961000</v>
      </c>
      <c r="AA1505" s="28"/>
      <c r="AB1505" s="28"/>
      <c r="AC1505" s="28">
        <v>46881328000</v>
      </c>
      <c r="AD1505" s="28">
        <v>234488863000</v>
      </c>
      <c r="AE1505" s="28">
        <v>413664239000</v>
      </c>
      <c r="AF1505" s="28">
        <v>79149057000</v>
      </c>
      <c r="AG1505" s="11"/>
    </row>
    <row r="1506">
      <c r="A1506" s="7" t="s">
        <v>3217</v>
      </c>
      <c r="B1506" s="5" t="s">
        <v>11203</v>
      </c>
      <c r="C1506" s="5" t="s">
        <v>19069</v>
      </c>
      <c r="D1506" s="5" t="str">
        <v>270315146363</v>
      </c>
      <c r="E1506" s="0" t="e">
        <f>+7 (3496) 370071
+7 (381) 2270370
+7 (381) 2900712
+7 (382) 2310820
+7 (382) 2310870
+7 (495) 5140368
+7 (495) 5140369
+7 (495) 9335483
+7 (812) 4482401</f>
        <v>#NAME?</v>
      </c>
      <c r="F1506" s="5" t="s">
        <v>29888</v>
      </c>
      <c r="G1506" s="5"/>
      <c r="H1506" s="26">
        <v>15</v>
      </c>
      <c r="I1506" s="5" t="s">
        <v>29889</v>
      </c>
      <c r="J1506" s="5" t="s">
        <v>881</v>
      </c>
      <c r="K1506" s="5" t="s">
        <v>344</v>
      </c>
      <c r="L1506" s="5" t="s">
        <v>29890</v>
      </c>
      <c r="M1506" s="27"/>
      <c r="N1506" s="5" t="s">
        <v>51672</v>
      </c>
      <c r="O1506" s="5" t="str">
        <v>7728654530</v>
      </c>
      <c r="P1506" s="27">
        <v>10000000</v>
      </c>
      <c r="Q1506" s="5"/>
      <c r="R1506" s="5"/>
      <c r="S1506" s="5" t="s">
        <v>49110</v>
      </c>
      <c r="T1506" s="28">
        <v>1288816000</v>
      </c>
      <c r="U1506" s="28"/>
      <c r="V1506" s="28">
        <v>4234926000</v>
      </c>
      <c r="W1506" s="28">
        <v>1239959000</v>
      </c>
      <c r="X1506" s="28">
        <v>203000</v>
      </c>
      <c r="Y1506" s="28">
        <v>7364957000</v>
      </c>
      <c r="Z1506" s="28">
        <v>1502260000</v>
      </c>
      <c r="AA1506" s="28"/>
      <c r="AB1506" s="28"/>
      <c r="AC1506" s="28">
        <v>5302524000</v>
      </c>
      <c r="AD1506" s="28">
        <v>1512260000</v>
      </c>
      <c r="AE1506" s="28">
        <v>17797915000</v>
      </c>
      <c r="AF1506" s="28">
        <v>771595000</v>
      </c>
      <c r="AG1506" s="11"/>
    </row>
    <row r="1507">
      <c r="A1507" s="7" t="s">
        <v>3218</v>
      </c>
      <c r="B1507" s="5" t="s">
        <v>11204</v>
      </c>
      <c r="C1507" s="5" t="s">
        <v>19070</v>
      </c>
      <c r="D1507" s="5" t="str">
        <v>525003899695</v>
      </c>
      <c r="E1507" s="0" t="e">
        <f>+7 (495) 2130436
+7 (913) 6300378
+7 (950) 9553262
+7 (495) 7772601
+7 (919) 7861361</f>
        <v>#NAME?</v>
      </c>
      <c r="F1507" s="5"/>
      <c r="G1507" s="5"/>
      <c r="H1507" s="26">
        <v>6</v>
      </c>
      <c r="I1507" s="5" t="s">
        <v>29891</v>
      </c>
      <c r="J1507" s="5" t="s">
        <v>27802</v>
      </c>
      <c r="K1507" s="5" t="s">
        <v>344</v>
      </c>
      <c r="L1507" s="5"/>
      <c r="M1507" s="27">
        <v>35610378</v>
      </c>
      <c r="N1507" s="5" t="s">
        <v>51674</v>
      </c>
      <c r="O1507" s="5" t="str">
        <v>7727306280</v>
      </c>
      <c r="P1507" s="27">
        <v>10000</v>
      </c>
      <c r="Q1507" s="5"/>
      <c r="R1507" s="5"/>
      <c r="S1507" s="5" t="s">
        <v>49125</v>
      </c>
      <c r="T1507" s="28">
        <v>2189475000</v>
      </c>
      <c r="U1507" s="28"/>
      <c r="V1507" s="28">
        <v>6876988000</v>
      </c>
      <c r="W1507" s="28">
        <v>769519000</v>
      </c>
      <c r="X1507" s="28">
        <v>1387000</v>
      </c>
      <c r="Y1507" s="28">
        <v>12023131000</v>
      </c>
      <c r="Z1507" s="28">
        <v>-609731000</v>
      </c>
      <c r="AA1507" s="28">
        <v>618156000</v>
      </c>
      <c r="AB1507" s="28"/>
      <c r="AC1507" s="28">
        <v>8039477000</v>
      </c>
      <c r="AD1507" s="28">
        <v>-609721000</v>
      </c>
      <c r="AE1507" s="28">
        <v>8339993000</v>
      </c>
      <c r="AF1507" s="28">
        <v>18773000</v>
      </c>
      <c r="AG1507" s="11"/>
    </row>
    <row r="1508">
      <c r="A1508" s="7" t="s">
        <v>3219</v>
      </c>
      <c r="B1508" s="5" t="s">
        <v>11205</v>
      </c>
      <c r="C1508" s="5" t="s">
        <v>19071</v>
      </c>
      <c r="D1508" s="5" t="str">
        <v>183469757178</v>
      </c>
      <c r="E1508" s="0" t="e">
        <f>+7 (345) 2529164
+7 (3496) 377771
+7 (499) 3947053</f>
        <v>#NAME?</v>
      </c>
      <c r="F1508" s="5" t="s">
        <v>29892</v>
      </c>
      <c r="G1508" s="5" t="s">
        <v>29893</v>
      </c>
      <c r="H1508" s="26">
        <v>11.5</v>
      </c>
      <c r="I1508" s="5" t="s">
        <v>29894</v>
      </c>
      <c r="J1508" s="5" t="s">
        <v>26607</v>
      </c>
      <c r="K1508" s="5" t="s">
        <v>344</v>
      </c>
      <c r="L1508" s="5" t="s">
        <v>29895</v>
      </c>
      <c r="M1508" s="27"/>
      <c r="N1508" s="5"/>
      <c r="O1508" s="5" t="str">
        <v>8901001822</v>
      </c>
      <c r="P1508" s="27">
        <v>114550000</v>
      </c>
      <c r="Q1508" s="5" t="s">
        <v>49009</v>
      </c>
      <c r="R1508" s="5"/>
      <c r="S1508" s="5" t="s">
        <v>49045</v>
      </c>
      <c r="T1508" s="28">
        <v>433256821000</v>
      </c>
      <c r="U1508" s="28"/>
      <c r="V1508" s="28">
        <v>72852684000</v>
      </c>
      <c r="W1508" s="28">
        <v>3007333000</v>
      </c>
      <c r="X1508" s="28">
        <v>96344000</v>
      </c>
      <c r="Y1508" s="28">
        <v>521905452000</v>
      </c>
      <c r="Z1508" s="28">
        <v>301205881000</v>
      </c>
      <c r="AA1508" s="28">
        <v>71535783000</v>
      </c>
      <c r="AB1508" s="28"/>
      <c r="AC1508" s="28">
        <v>36460070000</v>
      </c>
      <c r="AD1508" s="28">
        <v>307519054000</v>
      </c>
      <c r="AE1508" s="28">
        <v>376564644000</v>
      </c>
      <c r="AF1508" s="28">
        <v>66652739000</v>
      </c>
      <c r="AG1508" s="11"/>
    </row>
    <row r="1509">
      <c r="A1509" s="7" t="s">
        <v>3220</v>
      </c>
      <c r="B1509" s="5" t="s">
        <v>11160</v>
      </c>
      <c r="C1509" s="5" t="s">
        <v>19072</v>
      </c>
      <c r="D1509" s="5" t="str">
        <v>500403875577</v>
      </c>
      <c r="E1509" s="0" t="e">
        <f>+7 (499) 5801955
+7 (495) 7198405
+7 (346) 2752303
+7 (346) 2752316
+7 (346) 2752318
+7 (346) 2954526
+7 (346) 2955895
+7 (3494) 924758
+7 (34992) 53413
+7 (34992) 53425
+7 (34992) 53433
+7 (499) 5804464
+7 (8216) 791940</f>
        <v>#NAME?</v>
      </c>
      <c r="F1509" s="5" t="s">
        <v>29896</v>
      </c>
      <c r="G1509" s="5" t="s">
        <v>29897</v>
      </c>
      <c r="H1509" s="26">
        <v>20.5</v>
      </c>
      <c r="I1509" s="5" t="s">
        <v>29898</v>
      </c>
      <c r="J1509" s="5" t="s">
        <v>26325</v>
      </c>
      <c r="K1509" s="5" t="s">
        <v>355</v>
      </c>
      <c r="L1509" s="5"/>
      <c r="M1509" s="27">
        <v>151290831</v>
      </c>
      <c r="N1509" s="5" t="s">
        <v>51676</v>
      </c>
      <c r="O1509" s="5" t="str">
        <v>7728262893</v>
      </c>
      <c r="P1509" s="27">
        <v>13965118103</v>
      </c>
      <c r="Q1509" s="5" t="s">
        <v>51677</v>
      </c>
      <c r="R1509" s="5"/>
      <c r="S1509" s="5" t="s">
        <v>51430</v>
      </c>
      <c r="T1509" s="28">
        <v>59733320000</v>
      </c>
      <c r="U1509" s="28">
        <v>696250000</v>
      </c>
      <c r="V1509" s="28">
        <v>22829998000</v>
      </c>
      <c r="W1509" s="28"/>
      <c r="X1509" s="28">
        <v>593000</v>
      </c>
      <c r="Y1509" s="28">
        <v>89388763000</v>
      </c>
      <c r="Z1509" s="28">
        <v>27383134000</v>
      </c>
      <c r="AA1509" s="28"/>
      <c r="AB1509" s="28"/>
      <c r="AC1509" s="28">
        <v>24947215000</v>
      </c>
      <c r="AD1509" s="28">
        <v>42566674000</v>
      </c>
      <c r="AE1509" s="28">
        <v>80549469000</v>
      </c>
      <c r="AF1509" s="28">
        <v>478359000</v>
      </c>
      <c r="AG1509" s="11"/>
    </row>
    <row r="1510">
      <c r="A1510" s="7" t="s">
        <v>3221</v>
      </c>
      <c r="B1510" s="5" t="s">
        <v>11206</v>
      </c>
      <c r="C1510" s="5" t="s">
        <v>19073</v>
      </c>
      <c r="D1510" s="5" t="str">
        <v>643800844586</v>
      </c>
      <c r="E1510" s="0" t="e">
        <f>+7 (800) 2349181
+7 (8452) 283563
+7 (8452) 286141
+7 (8452) 286148
+7 (8452) 286227
+7 (8452) 286230
+7 (8452) 286399
+7 (8452) 674647
+7 (84537) 78050
+7 (84537) 78080
+7 (84537) 78490
+7 (84537) 78860</f>
        <v>#NAME?</v>
      </c>
      <c r="F1510" s="5" t="s">
        <v>29899</v>
      </c>
      <c r="G1510" s="5" t="s">
        <v>29900</v>
      </c>
      <c r="H1510" s="26">
        <v>16</v>
      </c>
      <c r="I1510" s="5" t="s">
        <v>29901</v>
      </c>
      <c r="J1510" s="5" t="s">
        <v>29902</v>
      </c>
      <c r="K1510" s="5" t="s">
        <v>344</v>
      </c>
      <c r="L1510" s="5" t="s">
        <v>29903</v>
      </c>
      <c r="M1510" s="27"/>
      <c r="N1510" s="5" t="s">
        <v>51678</v>
      </c>
      <c r="O1510" s="5" t="str">
        <v>6450925261</v>
      </c>
      <c r="P1510" s="27">
        <v>100000</v>
      </c>
      <c r="Q1510" s="5" t="s">
        <v>49009</v>
      </c>
      <c r="R1510" s="5"/>
      <c r="S1510" s="5" t="s">
        <v>49956</v>
      </c>
      <c r="T1510" s="28">
        <v>278678000</v>
      </c>
      <c r="U1510" s="28"/>
      <c r="V1510" s="28">
        <v>295472000</v>
      </c>
      <c r="W1510" s="28"/>
      <c r="X1510" s="28">
        <v>880264000</v>
      </c>
      <c r="Y1510" s="28">
        <v>2265490000</v>
      </c>
      <c r="Z1510" s="28">
        <v>1378824000</v>
      </c>
      <c r="AA1510" s="28"/>
      <c r="AB1510" s="28"/>
      <c r="AC1510" s="28">
        <v>858492000</v>
      </c>
      <c r="AD1510" s="28">
        <v>1378924000</v>
      </c>
      <c r="AE1510" s="28">
        <v>4971139000</v>
      </c>
      <c r="AF1510" s="28">
        <v>1176046000</v>
      </c>
      <c r="AG1510" s="11"/>
    </row>
    <row r="1511">
      <c r="A1511" s="7" t="s">
        <v>3222</v>
      </c>
      <c r="B1511" s="5" t="s">
        <v>11207</v>
      </c>
      <c r="C1511" s="5" t="s">
        <v>19074</v>
      </c>
      <c r="D1511" s="5" t="str">
        <v>246601246057</v>
      </c>
      <c r="E1511" s="0" t="e">
        <f>+7 (8622) 2020</f>
        <v>#NAME?</v>
      </c>
      <c r="F1511" s="5"/>
      <c r="G1511" s="5"/>
      <c r="H1511" s="26">
        <v>18.5</v>
      </c>
      <c r="I1511" s="5" t="s">
        <v>29904</v>
      </c>
      <c r="J1511" s="5" t="s">
        <v>364</v>
      </c>
      <c r="K1511" s="5" t="s">
        <v>344</v>
      </c>
      <c r="L1511" s="5" t="s">
        <v>29905</v>
      </c>
      <c r="M1511" s="27"/>
      <c r="N1511" s="5" t="s">
        <v>51679</v>
      </c>
      <c r="O1511" s="5" t="str">
        <v>2317039762</v>
      </c>
      <c r="P1511" s="27">
        <v>40000</v>
      </c>
      <c r="Q1511" s="5" t="s">
        <v>51680</v>
      </c>
      <c r="R1511" s="5"/>
      <c r="S1511" s="5" t="s">
        <v>51681</v>
      </c>
      <c r="T1511" s="28">
        <v>237767000</v>
      </c>
      <c r="U1511" s="28"/>
      <c r="V1511" s="28">
        <v>1424455000</v>
      </c>
      <c r="W1511" s="28">
        <v>118766000</v>
      </c>
      <c r="X1511" s="28">
        <v>778352000</v>
      </c>
      <c r="Y1511" s="28">
        <v>2561757000</v>
      </c>
      <c r="Z1511" s="28">
        <v>188774000</v>
      </c>
      <c r="AA1511" s="28">
        <v>34350000</v>
      </c>
      <c r="AB1511" s="28">
        <v>11695000</v>
      </c>
      <c r="AC1511" s="28">
        <v>2190791000</v>
      </c>
      <c r="AD1511" s="28">
        <v>188814000</v>
      </c>
      <c r="AE1511" s="28">
        <v>7059350000</v>
      </c>
      <c r="AF1511" s="28">
        <v>118620000</v>
      </c>
      <c r="AG1511" s="11"/>
    </row>
    <row r="1512">
      <c r="A1512" s="7" t="s">
        <v>3223</v>
      </c>
      <c r="B1512" s="5" t="s">
        <v>11208</v>
      </c>
      <c r="C1512" s="5" t="s">
        <v>19075</v>
      </c>
      <c r="D1512" s="5" t="str">
        <v>325502866139</v>
      </c>
      <c r="E1512" s="0" t="e">
        <f>+7 (910) 5558122
+7 (487) 2231393
+7 (487) 2231586
+7 (487) 2231647
+7 (487) 2231767
+7 (487) 2231808
+7 (487) 2232408
+7 (487) 2232410
+7 (487) 2233088
+7 (487) 2233219
+7 (487) 2350529
+7 (487) 2378209
+7 (487) 2740010</f>
        <v>#NAME?</v>
      </c>
      <c r="F1512" s="5" t="s">
        <v>29906</v>
      </c>
      <c r="G1512" s="5"/>
      <c r="H1512" s="26">
        <v>29.5</v>
      </c>
      <c r="I1512" s="5"/>
      <c r="J1512" s="5" t="s">
        <v>26363</v>
      </c>
      <c r="K1512" s="5" t="s">
        <v>344</v>
      </c>
      <c r="L1512" s="5"/>
      <c r="M1512" s="27">
        <v>45270425</v>
      </c>
      <c r="N1512" s="5" t="s">
        <v>51682</v>
      </c>
      <c r="O1512" s="5" t="str">
        <v>7107003737</v>
      </c>
      <c r="P1512" s="27">
        <v>29268450</v>
      </c>
      <c r="Q1512" s="5" t="s">
        <v>51683</v>
      </c>
      <c r="R1512" s="5" t="s">
        <v>51684</v>
      </c>
      <c r="S1512" s="5" t="s">
        <v>50538</v>
      </c>
      <c r="T1512" s="28">
        <v>662760000</v>
      </c>
      <c r="U1512" s="28"/>
      <c r="V1512" s="28">
        <v>1997978000</v>
      </c>
      <c r="W1512" s="28"/>
      <c r="X1512" s="28">
        <v>14149000</v>
      </c>
      <c r="Y1512" s="28">
        <v>3263400000</v>
      </c>
      <c r="Z1512" s="28">
        <v>1779544000</v>
      </c>
      <c r="AA1512" s="28"/>
      <c r="AB1512" s="28">
        <v>171425000</v>
      </c>
      <c r="AC1512" s="28">
        <v>1144567000</v>
      </c>
      <c r="AD1512" s="28">
        <v>2072805000</v>
      </c>
      <c r="AE1512" s="28">
        <v>3579447000</v>
      </c>
      <c r="AF1512" s="28">
        <v>308015000</v>
      </c>
      <c r="AG1512" s="11"/>
    </row>
    <row r="1513">
      <c r="A1513" s="7" t="s">
        <v>3224</v>
      </c>
      <c r="B1513" s="5" t="s">
        <v>11209</v>
      </c>
      <c r="C1513" s="5" t="s">
        <v>19076</v>
      </c>
      <c r="D1513" s="5" t="str">
        <v>525627651092</v>
      </c>
      <c r="E1513" s="0" t="e">
        <f>+7 (495) 9353162
+7 (812) 2441415
+7 (812) 2444050</f>
        <v>#NAME?</v>
      </c>
      <c r="F1513" s="5" t="s">
        <v>29907</v>
      </c>
      <c r="G1513" s="5" t="s">
        <v>29908</v>
      </c>
      <c r="H1513" s="26">
        <v>16</v>
      </c>
      <c r="I1513" s="5"/>
      <c r="J1513" s="5" t="s">
        <v>947</v>
      </c>
      <c r="K1513" s="5" t="s">
        <v>344</v>
      </c>
      <c r="L1513" s="5" t="s">
        <v>29909</v>
      </c>
      <c r="M1513" s="27">
        <v>5007795</v>
      </c>
      <c r="N1513" s="5"/>
      <c r="O1513" s="5" t="str">
        <v>7729574863</v>
      </c>
      <c r="P1513" s="27">
        <v>100000</v>
      </c>
      <c r="Q1513" s="5" t="s">
        <v>51685</v>
      </c>
      <c r="R1513" s="5"/>
      <c r="S1513" s="5" t="s">
        <v>51686</v>
      </c>
      <c r="T1513" s="28">
        <v>1455976000</v>
      </c>
      <c r="U1513" s="28"/>
      <c r="V1513" s="28">
        <v>26835074000</v>
      </c>
      <c r="W1513" s="28">
        <v>122817000</v>
      </c>
      <c r="X1513" s="28">
        <v>4112450000</v>
      </c>
      <c r="Y1513" s="28">
        <v>37597078000</v>
      </c>
      <c r="Z1513" s="28">
        <v>950854000</v>
      </c>
      <c r="AA1513" s="28">
        <v>274622000</v>
      </c>
      <c r="AB1513" s="28">
        <v>9975000</v>
      </c>
      <c r="AC1513" s="28">
        <v>35557151000</v>
      </c>
      <c r="AD1513" s="28">
        <v>1635844000</v>
      </c>
      <c r="AE1513" s="28">
        <v>15127149000</v>
      </c>
      <c r="AF1513" s="28">
        <v>104179000</v>
      </c>
      <c r="AG1513" s="11"/>
    </row>
    <row r="1514">
      <c r="A1514" s="7" t="s">
        <v>3225</v>
      </c>
      <c r="B1514" s="5" t="s">
        <v>11210</v>
      </c>
      <c r="C1514" s="5" t="s">
        <v>19077</v>
      </c>
      <c r="D1514" s="5" t="str">
        <v>773608049810</v>
      </c>
      <c r="E1514" s="0" t="e">
        <f>+7 (812) 6650808</f>
        <v>#NAME?</v>
      </c>
      <c r="F1514" s="5" t="s">
        <v>29910</v>
      </c>
      <c r="G1514" s="5" t="s">
        <v>29911</v>
      </c>
      <c r="H1514" s="26">
        <v>4.5</v>
      </c>
      <c r="I1514" s="5"/>
      <c r="J1514" s="5" t="s">
        <v>27182</v>
      </c>
      <c r="K1514" s="5" t="s">
        <v>344</v>
      </c>
      <c r="L1514" s="5"/>
      <c r="M1514" s="27">
        <v>627731060</v>
      </c>
      <c r="N1514" s="5" t="s">
        <v>51687</v>
      </c>
      <c r="O1514" s="5" t="str">
        <v>7842155505</v>
      </c>
      <c r="P1514" s="27">
        <v>101994847000</v>
      </c>
      <c r="Q1514" s="5" t="s">
        <v>51688</v>
      </c>
      <c r="R1514" s="5"/>
      <c r="S1514" s="5" t="s">
        <v>51036</v>
      </c>
      <c r="T1514" s="28">
        <v>15678905000</v>
      </c>
      <c r="U1514" s="28">
        <v>190011325000</v>
      </c>
      <c r="V1514" s="28">
        <v>760816454000</v>
      </c>
      <c r="W1514" s="28">
        <v>10127908000</v>
      </c>
      <c r="X1514" s="28">
        <v>37262029000</v>
      </c>
      <c r="Y1514" s="28">
        <v>1071060929000</v>
      </c>
      <c r="Z1514" s="28">
        <v>-155753932000</v>
      </c>
      <c r="AA1514" s="28">
        <v>233961209000</v>
      </c>
      <c r="AB1514" s="28">
        <v>67764617000</v>
      </c>
      <c r="AC1514" s="28">
        <v>710154750000</v>
      </c>
      <c r="AD1514" s="28">
        <v>111237979000</v>
      </c>
      <c r="AE1514" s="28">
        <v>1180018034000</v>
      </c>
      <c r="AF1514" s="28">
        <v>-77638651000</v>
      </c>
      <c r="AG1514" s="11"/>
    </row>
    <row r="1515">
      <c r="A1515" s="7" t="s">
        <v>3226</v>
      </c>
      <c r="B1515" s="5" t="s">
        <v>11211</v>
      </c>
      <c r="C1515" s="5" t="s">
        <v>19078</v>
      </c>
      <c r="D1515" s="5" t="str">
        <v>772825641764</v>
      </c>
      <c r="F1515" s="5"/>
      <c r="G1515" s="5"/>
      <c r="H1515" s="26">
        <v>6</v>
      </c>
      <c r="I1515" s="5" t="s">
        <v>29912</v>
      </c>
      <c r="J1515" s="5" t="s">
        <v>29913</v>
      </c>
      <c r="K1515" s="5" t="s">
        <v>344</v>
      </c>
      <c r="L1515" s="5"/>
      <c r="M1515" s="27">
        <v>220000</v>
      </c>
      <c r="N1515" s="5"/>
      <c r="O1515" s="5" t="str">
        <v>9705084422</v>
      </c>
      <c r="P1515" s="27">
        <v>16000000</v>
      </c>
      <c r="Q1515" s="5" t="s">
        <v>49057</v>
      </c>
      <c r="R1515" s="5"/>
      <c r="S1515" s="5" t="s">
        <v>49452</v>
      </c>
      <c r="T1515" s="28"/>
      <c r="U1515" s="28"/>
      <c r="V1515" s="28">
        <v>306944000</v>
      </c>
      <c r="W1515" s="28"/>
      <c r="X1515" s="28">
        <v>35316000</v>
      </c>
      <c r="Y1515" s="28">
        <v>350619000</v>
      </c>
      <c r="Z1515" s="28">
        <v>86829000</v>
      </c>
      <c r="AA1515" s="28"/>
      <c r="AB1515" s="28"/>
      <c r="AC1515" s="28">
        <v>247790000</v>
      </c>
      <c r="AD1515" s="28">
        <v>102829000</v>
      </c>
      <c r="AE1515" s="28">
        <v>4603022000</v>
      </c>
      <c r="AF1515" s="28">
        <v>78826000</v>
      </c>
      <c r="AG1515" s="11"/>
    </row>
    <row r="1516">
      <c r="A1516" s="7" t="s">
        <v>3227</v>
      </c>
      <c r="B1516" s="5" t="s">
        <v>11212</v>
      </c>
      <c r="C1516" s="5" t="s">
        <v>19079</v>
      </c>
      <c r="D1516" s="5" t="str">
        <v>661700800591</v>
      </c>
      <c r="E1516" s="0" t="e">
        <f>+7 (343) 2669684
+7 (343) 2669948
+7 (343) 2723679
+7 (343) 2669450
+7 (343) 2669470
+7 (343) 2669478
+7 (343) 2669479
+7 (343) 2669480
+7 (343) 2669482
+7 (343) 2669483
+7 (343) 2669484
+7 (343) 2669490
+7 (343) 2669496
+7 (343) 2669497
+7 (343) 2723677</f>
        <v>#NAME?</v>
      </c>
      <c r="F1516" s="5" t="s">
        <v>29914</v>
      </c>
      <c r="G1516" s="5"/>
      <c r="H1516" s="26">
        <v>28</v>
      </c>
      <c r="I1516" s="5"/>
      <c r="J1516" s="5" t="s">
        <v>29513</v>
      </c>
      <c r="K1516" s="5" t="s">
        <v>344</v>
      </c>
      <c r="L1516" s="5" t="s">
        <v>29915</v>
      </c>
      <c r="M1516" s="27">
        <v>70488458</v>
      </c>
      <c r="N1516" s="5" t="s">
        <v>51689</v>
      </c>
      <c r="O1516" s="5" t="str">
        <v>6612001379</v>
      </c>
      <c r="P1516" s="27">
        <v>3251000</v>
      </c>
      <c r="Q1516" s="5" t="s">
        <v>51691</v>
      </c>
      <c r="R1516" s="5" t="s">
        <v>51692</v>
      </c>
      <c r="S1516" s="5" t="s">
        <v>49271</v>
      </c>
      <c r="T1516" s="28">
        <v>6432076000</v>
      </c>
      <c r="U1516" s="28">
        <v>830000</v>
      </c>
      <c r="V1516" s="28">
        <v>3145115000</v>
      </c>
      <c r="W1516" s="28"/>
      <c r="X1516" s="28">
        <v>201450000</v>
      </c>
      <c r="Y1516" s="28">
        <v>10622593000</v>
      </c>
      <c r="Z1516" s="28">
        <v>4330701000</v>
      </c>
      <c r="AA1516" s="28">
        <v>3802836000</v>
      </c>
      <c r="AB1516" s="28">
        <v>301103000</v>
      </c>
      <c r="AC1516" s="28">
        <v>1376892000</v>
      </c>
      <c r="AD1516" s="28">
        <v>4334176000</v>
      </c>
      <c r="AE1516" s="28">
        <v>4900872000</v>
      </c>
      <c r="AF1516" s="28">
        <v>548420000</v>
      </c>
      <c r="AG1516" s="11"/>
    </row>
    <row r="1517">
      <c r="A1517" s="7" t="s">
        <v>3228</v>
      </c>
      <c r="B1517" s="5" t="s">
        <v>11213</v>
      </c>
      <c r="C1517" s="5" t="s">
        <v>19080</v>
      </c>
      <c r="D1517" s="5" t="str">
        <v>770502717331</v>
      </c>
      <c r="E1517" s="0" t="e">
        <f>+7 (34678) 24575
+7 (3499) 515261
+7 (495) 4284090
+7 (495) 4284095
+7 (495) 6607155</f>
        <v>#NAME?</v>
      </c>
      <c r="F1517" s="5" t="s">
        <v>29916</v>
      </c>
      <c r="G1517" s="5" t="s">
        <v>29917</v>
      </c>
      <c r="H1517" s="26">
        <v>16.5</v>
      </c>
      <c r="I1517" s="5"/>
      <c r="J1517" s="5" t="s">
        <v>26623</v>
      </c>
      <c r="K1517" s="5" t="s">
        <v>344</v>
      </c>
      <c r="L1517" s="5" t="s">
        <v>29918</v>
      </c>
      <c r="M1517" s="27">
        <v>1420206</v>
      </c>
      <c r="N1517" s="5" t="s">
        <v>51693</v>
      </c>
      <c r="O1517" s="5" t="str">
        <v>7705750968</v>
      </c>
      <c r="P1517" s="27">
        <v>4301075600</v>
      </c>
      <c r="Q1517" s="5" t="s">
        <v>51694</v>
      </c>
      <c r="R1517" s="5"/>
      <c r="S1517" s="5" t="s">
        <v>49139</v>
      </c>
      <c r="T1517" s="28">
        <v>223750000</v>
      </c>
      <c r="U1517" s="28">
        <v>5700000000</v>
      </c>
      <c r="V1517" s="28">
        <v>2606255000</v>
      </c>
      <c r="W1517" s="28">
        <v>7197818000</v>
      </c>
      <c r="X1517" s="28">
        <v>567000</v>
      </c>
      <c r="Y1517" s="28">
        <v>16060542000</v>
      </c>
      <c r="Z1517" s="28">
        <v>3842241000</v>
      </c>
      <c r="AA1517" s="28"/>
      <c r="AB1517" s="28"/>
      <c r="AC1517" s="28">
        <v>5461163000</v>
      </c>
      <c r="AD1517" s="28">
        <v>10466948000</v>
      </c>
      <c r="AE1517" s="28">
        <v>87055975000</v>
      </c>
      <c r="AF1517" s="28">
        <v>3238619000</v>
      </c>
      <c r="AG1517" s="11"/>
    </row>
    <row r="1518">
      <c r="A1518" s="7" t="s">
        <v>3229</v>
      </c>
      <c r="B1518" s="5" t="s">
        <v>11214</v>
      </c>
      <c r="C1518" s="5" t="s">
        <v>19081</v>
      </c>
      <c r="D1518" s="5" t="str">
        <v>344605679734</v>
      </c>
      <c r="E1518" s="0" t="e">
        <f>+7 (495) 2590610
+7 (495) 7816739
+7 (495) 7816740
+7 (495) 9110907
+7 (499) 7649263</f>
        <v>#NAME?</v>
      </c>
      <c r="F1518" s="5" t="s">
        <v>29919</v>
      </c>
      <c r="G1518" s="5" t="s">
        <v>29920</v>
      </c>
      <c r="H1518" s="26">
        <v>31</v>
      </c>
      <c r="I1518" s="5"/>
      <c r="J1518" s="5" t="s">
        <v>897</v>
      </c>
      <c r="K1518" s="5" t="s">
        <v>344</v>
      </c>
      <c r="L1518" s="5"/>
      <c r="M1518" s="27"/>
      <c r="N1518" s="5" t="s">
        <v>51695</v>
      </c>
      <c r="O1518" s="5" t="str">
        <v>7709105630</v>
      </c>
      <c r="P1518" s="27">
        <v>34704800</v>
      </c>
      <c r="Q1518" s="5" t="s">
        <v>51696</v>
      </c>
      <c r="R1518" s="5"/>
      <c r="S1518" s="5" t="s">
        <v>51697</v>
      </c>
      <c r="T1518" s="28">
        <v>466764000</v>
      </c>
      <c r="U1518" s="28">
        <v>120000</v>
      </c>
      <c r="V1518" s="28">
        <v>1674040000</v>
      </c>
      <c r="W1518" s="28">
        <v>588617000</v>
      </c>
      <c r="X1518" s="28">
        <v>331071000</v>
      </c>
      <c r="Y1518" s="28">
        <v>6054994000</v>
      </c>
      <c r="Z1518" s="28">
        <v>3732481000</v>
      </c>
      <c r="AA1518" s="28"/>
      <c r="AB1518" s="28">
        <v>569123000</v>
      </c>
      <c r="AC1518" s="28">
        <v>1802373000</v>
      </c>
      <c r="AD1518" s="28">
        <v>3772454000</v>
      </c>
      <c r="AE1518" s="28">
        <v>3718341000</v>
      </c>
      <c r="AF1518" s="28">
        <v>171476000</v>
      </c>
      <c r="AG1518" s="11"/>
    </row>
    <row r="1519">
      <c r="A1519" s="7" t="s">
        <v>3230</v>
      </c>
      <c r="B1519" s="5" t="s">
        <v>11215</v>
      </c>
      <c r="C1519" s="5" t="s">
        <v>19082</v>
      </c>
      <c r="D1519" s="5" t="str">
        <v>860212005882</v>
      </c>
      <c r="E1519" s="0" t="e">
        <f>+7 (34376) 33371
+7 (345) 2261123
+7 (345) 2275946
+7 (345) 2288703
+7 (345) 2582291
+7 (345) 2229891
+7 (345) 2461741
+7 (345) 2590901
+7 (345) 2590903
+7 (345) 2590904
+7 (345) 2590905
+7 (345) 2590906
+7 (345) 2590909
+7 (345) 2595901
+7 (345) 2791881</f>
        <v>#NAME?</v>
      </c>
      <c r="F1519" s="5" t="s">
        <v>29921</v>
      </c>
      <c r="G1519" s="5"/>
      <c r="H1519" s="26">
        <v>17.5</v>
      </c>
      <c r="I1519" s="5"/>
      <c r="J1519" s="5" t="s">
        <v>26623</v>
      </c>
      <c r="K1519" s="5" t="s">
        <v>344</v>
      </c>
      <c r="L1519" s="5" t="s">
        <v>29922</v>
      </c>
      <c r="M1519" s="27">
        <v>6372511</v>
      </c>
      <c r="N1519" s="5" t="s">
        <v>51698</v>
      </c>
      <c r="O1519" s="5" t="str">
        <v>8602067215</v>
      </c>
      <c r="P1519" s="27">
        <v>1516513789</v>
      </c>
      <c r="Q1519" s="5" t="s">
        <v>51699</v>
      </c>
      <c r="R1519" s="5"/>
      <c r="S1519" s="5" t="s">
        <v>51027</v>
      </c>
      <c r="T1519" s="28">
        <v>1109646000</v>
      </c>
      <c r="U1519" s="28">
        <v>884430000</v>
      </c>
      <c r="V1519" s="28">
        <v>3161630000</v>
      </c>
      <c r="W1519" s="28">
        <v>6324147000</v>
      </c>
      <c r="X1519" s="28">
        <v>46607000</v>
      </c>
      <c r="Y1519" s="28">
        <v>12429801000</v>
      </c>
      <c r="Z1519" s="28">
        <v>1163321000</v>
      </c>
      <c r="AA1519" s="28"/>
      <c r="AB1519" s="28">
        <v>1289000</v>
      </c>
      <c r="AC1519" s="28">
        <v>7085900000</v>
      </c>
      <c r="AD1519" s="28">
        <v>4196349000</v>
      </c>
      <c r="AE1519" s="28">
        <v>47288858000</v>
      </c>
      <c r="AF1519" s="28">
        <v>1539050000</v>
      </c>
      <c r="AG1519" s="11"/>
    </row>
    <row r="1520">
      <c r="A1520" s="7" t="s">
        <v>3231</v>
      </c>
      <c r="B1520" s="5" t="s">
        <v>11216</v>
      </c>
      <c r="C1520" s="5" t="s">
        <v>18866</v>
      </c>
      <c r="D1520" s="5"/>
      <c r="E1520" s="0" t="e">
        <f>+7 (34362) 64223
+7 (353) 6222030
+7 (353) 6230762
+7 (353) 6242030
+7 (35362) 30763
+7 (35362) 34516
+7 (35362) 40588
+7 (35362) 40630
+7 (35362) 41416
+7 (35362) 42061
+7 (35362) 42062
+7 (35362) 42064
+7 (35362) 43009
+7 (35362) 45620
+7 (35362) 64030</f>
        <v>#NAME?</v>
      </c>
      <c r="F1520" s="5" t="s">
        <v>29923</v>
      </c>
      <c r="G1520" s="5" t="s">
        <v>29924</v>
      </c>
      <c r="H1520" s="26">
        <v>27</v>
      </c>
      <c r="I1520" s="5" t="s">
        <v>29925</v>
      </c>
      <c r="J1520" s="5" t="s">
        <v>27791</v>
      </c>
      <c r="K1520" s="5" t="s">
        <v>344</v>
      </c>
      <c r="L1520" s="5" t="s">
        <v>29926</v>
      </c>
      <c r="M1520" s="27">
        <v>13656892</v>
      </c>
      <c r="N1520" s="5" t="s">
        <v>51700</v>
      </c>
      <c r="O1520" s="5" t="str">
        <v>5604000700</v>
      </c>
      <c r="P1520" s="27">
        <v>308849</v>
      </c>
      <c r="Q1520" s="5" t="s">
        <v>51701</v>
      </c>
      <c r="R1520" s="5"/>
      <c r="S1520" s="5" t="s">
        <v>51423</v>
      </c>
      <c r="T1520" s="28">
        <v>40430500000</v>
      </c>
      <c r="U1520" s="28">
        <v>5932000</v>
      </c>
      <c r="V1520" s="28">
        <v>6879586000</v>
      </c>
      <c r="W1520" s="28"/>
      <c r="X1520" s="28">
        <v>46020000</v>
      </c>
      <c r="Y1520" s="28">
        <v>54318104000</v>
      </c>
      <c r="Z1520" s="28">
        <v>33813855000</v>
      </c>
      <c r="AA1520" s="28">
        <v>8000000000</v>
      </c>
      <c r="AB1520" s="28">
        <v>7025693000</v>
      </c>
      <c r="AC1520" s="28">
        <v>11409501000</v>
      </c>
      <c r="AD1520" s="28">
        <v>33814179000</v>
      </c>
      <c r="AE1520" s="28">
        <v>41334374000</v>
      </c>
      <c r="AF1520" s="28">
        <v>2177231000</v>
      </c>
      <c r="AG1520" s="11"/>
    </row>
    <row r="1521">
      <c r="A1521" s="7" t="s">
        <v>3232</v>
      </c>
      <c r="B1521" s="5" t="s">
        <v>11215</v>
      </c>
      <c r="C1521" s="5" t="s">
        <v>19083</v>
      </c>
      <c r="D1521" s="5"/>
      <c r="E1521" s="0" t="e">
        <f>+7 (4232) 444422
+7 (483) 2415752
+7 (483) 2444333
+7 (483) 2444423
+7 (483) 2444477
+7 (483) 2515133
+7 (483) 2644216
+7 (346) 2776714
+7 (483) 2444411
+7 (483) 2444422
+7 (483) 2444433
+7 (483) 2606307
+7 (483) 2606310
+7 (483) 2606329
+7 (483) 2606350</f>
        <v>#NAME?</v>
      </c>
      <c r="F1521" s="5" t="s">
        <v>29927</v>
      </c>
      <c r="G1521" s="5"/>
      <c r="H1521" s="26">
        <v>12.5</v>
      </c>
      <c r="I1521" s="5" t="s">
        <v>29928</v>
      </c>
      <c r="J1521" s="5" t="s">
        <v>26623</v>
      </c>
      <c r="K1521" s="5" t="s">
        <v>344</v>
      </c>
      <c r="L1521" s="5" t="s">
        <v>29929</v>
      </c>
      <c r="M1521" s="27">
        <v>7002699</v>
      </c>
      <c r="N1521" s="5" t="s">
        <v>51702</v>
      </c>
      <c r="O1521" s="5" t="str">
        <v>8602173527</v>
      </c>
      <c r="P1521" s="27">
        <v>136261450</v>
      </c>
      <c r="Q1521" s="5" t="s">
        <v>51703</v>
      </c>
      <c r="R1521" s="5"/>
      <c r="S1521" s="5" t="s">
        <v>49271</v>
      </c>
      <c r="T1521" s="28">
        <v>293856000</v>
      </c>
      <c r="U1521" s="28">
        <v>2000</v>
      </c>
      <c r="V1521" s="28">
        <v>586632000</v>
      </c>
      <c r="W1521" s="28">
        <v>1000000000</v>
      </c>
      <c r="X1521" s="28">
        <v>54795000</v>
      </c>
      <c r="Y1521" s="28">
        <v>2355822000</v>
      </c>
      <c r="Z1521" s="28">
        <v>268138000</v>
      </c>
      <c r="AA1521" s="28"/>
      <c r="AB1521" s="28">
        <v>50000</v>
      </c>
      <c r="AC1521" s="28">
        <v>1718878000</v>
      </c>
      <c r="AD1521" s="28">
        <v>411212000</v>
      </c>
      <c r="AE1521" s="28">
        <v>18309090000</v>
      </c>
      <c r="AF1521" s="28">
        <v>136467000</v>
      </c>
      <c r="AG1521" s="11"/>
    </row>
    <row r="1522">
      <c r="A1522" s="7" t="s">
        <v>3233</v>
      </c>
      <c r="B1522" s="5" t="s">
        <v>11217</v>
      </c>
      <c r="C1522" s="5" t="s">
        <v>19084</v>
      </c>
      <c r="D1522" s="5" t="str">
        <v>770500283696</v>
      </c>
      <c r="E1522" s="0" t="e">
        <f>+7 (495) 2580811
+7 (495) 2587525
+7 (903) 7901291
+7 (495) 2587526
+7 (985) 7673232</f>
        <v>#NAME?</v>
      </c>
      <c r="F1522" s="5" t="s">
        <v>29930</v>
      </c>
      <c r="G1522" s="5" t="s">
        <v>29931</v>
      </c>
      <c r="H1522" s="26">
        <v>22.5</v>
      </c>
      <c r="I1522" s="5"/>
      <c r="J1522" s="5" t="s">
        <v>25327</v>
      </c>
      <c r="K1522" s="5" t="s">
        <v>344</v>
      </c>
      <c r="L1522" s="5" t="s">
        <v>29932</v>
      </c>
      <c r="M1522" s="27">
        <v>3111312</v>
      </c>
      <c r="N1522" s="5"/>
      <c r="O1522" s="5" t="str">
        <v>7703248907</v>
      </c>
      <c r="P1522" s="27">
        <v>300000</v>
      </c>
      <c r="Q1522" s="5" t="s">
        <v>49021</v>
      </c>
      <c r="R1522" s="5"/>
      <c r="S1522" s="5" t="s">
        <v>51704</v>
      </c>
      <c r="T1522" s="28">
        <v>21139000</v>
      </c>
      <c r="U1522" s="28">
        <v>45049000</v>
      </c>
      <c r="V1522" s="28">
        <v>1132626000</v>
      </c>
      <c r="W1522" s="28"/>
      <c r="X1522" s="28">
        <v>588327000</v>
      </c>
      <c r="Y1522" s="28">
        <v>1932709000</v>
      </c>
      <c r="Z1522" s="28">
        <v>1809544000</v>
      </c>
      <c r="AA1522" s="28"/>
      <c r="AB1522" s="28">
        <v>60212000</v>
      </c>
      <c r="AC1522" s="28">
        <v>122850000</v>
      </c>
      <c r="AD1522" s="28">
        <v>1809859000</v>
      </c>
      <c r="AE1522" s="28">
        <v>19553357000</v>
      </c>
      <c r="AF1522" s="28">
        <v>448886000</v>
      </c>
      <c r="AG1522" s="11"/>
    </row>
    <row r="1523">
      <c r="A1523" s="7" t="s">
        <v>3234</v>
      </c>
      <c r="B1523" s="5" t="s">
        <v>11218</v>
      </c>
      <c r="C1523" s="5" t="s">
        <v>19085</v>
      </c>
      <c r="D1523" s="5" t="str">
        <v>781417274863</v>
      </c>
      <c r="E1523" s="0" t="e">
        <f>+7 (812) 3111049
+7 (812) 6304748
+7 (964) 3270864</f>
        <v>#NAME?</v>
      </c>
      <c r="F1523" s="5" t="s">
        <v>29933</v>
      </c>
      <c r="G1523" s="5" t="s">
        <v>29934</v>
      </c>
      <c r="H1523" s="26">
        <v>22.5</v>
      </c>
      <c r="I1523" s="5" t="s">
        <v>29935</v>
      </c>
      <c r="J1523" s="5" t="s">
        <v>25253</v>
      </c>
      <c r="K1523" s="5" t="s">
        <v>344</v>
      </c>
      <c r="L1523" s="5"/>
      <c r="M1523" s="27"/>
      <c r="N1523" s="5" t="s">
        <v>51705</v>
      </c>
      <c r="O1523" s="5" t="str">
        <v>7825438599</v>
      </c>
      <c r="P1523" s="27">
        <v>1000000</v>
      </c>
      <c r="Q1523" s="5"/>
      <c r="R1523" s="5" t="s">
        <v>51706</v>
      </c>
      <c r="S1523" s="5" t="s">
        <v>51707</v>
      </c>
      <c r="T1523" s="28">
        <v>45115000</v>
      </c>
      <c r="U1523" s="28">
        <v>151818000</v>
      </c>
      <c r="V1523" s="28">
        <v>744745000</v>
      </c>
      <c r="W1523" s="28"/>
      <c r="X1523" s="28">
        <v>22688000</v>
      </c>
      <c r="Y1523" s="28">
        <v>1248683000</v>
      </c>
      <c r="Z1523" s="28">
        <v>19011000</v>
      </c>
      <c r="AA1523" s="28"/>
      <c r="AB1523" s="28">
        <v>932300000</v>
      </c>
      <c r="AC1523" s="28">
        <v>1186299000</v>
      </c>
      <c r="AD1523" s="28">
        <v>20011000</v>
      </c>
      <c r="AE1523" s="28">
        <v>9499070000</v>
      </c>
      <c r="AF1523" s="28">
        <v>1742000</v>
      </c>
      <c r="AG1523" s="11"/>
    </row>
    <row r="1524">
      <c r="A1524" s="7" t="s">
        <v>3234</v>
      </c>
      <c r="B1524" s="5" t="s">
        <v>11219</v>
      </c>
      <c r="C1524" s="5" t="s">
        <v>19085</v>
      </c>
      <c r="D1524" s="5" t="str">
        <v>781417274863</v>
      </c>
      <c r="E1524" s="0" t="e">
        <f>+7 (81371) 22954
+7 (81371) 30529
+7 (81371) 64787
+7 (81371) 64864
+7 (81371) 64871
+7 (81371) 64878
+7 (81371) 64888
+7 (8432) 228401
+7 (913) 7164848</f>
        <v>#NAME?</v>
      </c>
      <c r="F1524" s="5" t="s">
        <v>29936</v>
      </c>
      <c r="G1524" s="5"/>
      <c r="H1524" s="26">
        <v>17</v>
      </c>
      <c r="I1524" s="5" t="s">
        <v>29937</v>
      </c>
      <c r="J1524" s="5" t="s">
        <v>25499</v>
      </c>
      <c r="K1524" s="5" t="s">
        <v>344</v>
      </c>
      <c r="L1524" s="5"/>
      <c r="M1524" s="27"/>
      <c r="N1524" s="5"/>
      <c r="O1524" s="5" t="str">
        <v>4705032062</v>
      </c>
      <c r="P1524" s="27">
        <v>58782161</v>
      </c>
      <c r="Q1524" s="5"/>
      <c r="R1524" s="5"/>
      <c r="S1524" s="5" t="s">
        <v>49425</v>
      </c>
      <c r="T1524" s="28">
        <v>1982864000</v>
      </c>
      <c r="U1524" s="28">
        <v>791553000</v>
      </c>
      <c r="V1524" s="28">
        <v>563738000</v>
      </c>
      <c r="W1524" s="28">
        <v>150000</v>
      </c>
      <c r="X1524" s="28">
        <v>67677000</v>
      </c>
      <c r="Y1524" s="28">
        <v>4750564000</v>
      </c>
      <c r="Z1524" s="28">
        <v>-535960000</v>
      </c>
      <c r="AA1524" s="28">
        <v>850148000</v>
      </c>
      <c r="AB1524" s="28">
        <v>1331403000</v>
      </c>
      <c r="AC1524" s="28">
        <v>1920044000</v>
      </c>
      <c r="AD1524" s="28">
        <v>1950151000</v>
      </c>
      <c r="AE1524" s="28">
        <v>7380082000</v>
      </c>
      <c r="AF1524" s="28">
        <v>53820000</v>
      </c>
      <c r="AG1524" s="11"/>
    </row>
    <row r="1525">
      <c r="A1525" s="7" t="s">
        <v>3234</v>
      </c>
      <c r="B1525" s="5" t="s">
        <v>11220</v>
      </c>
      <c r="C1525" s="5" t="s">
        <v>19086</v>
      </c>
      <c r="D1525" s="5" t="str">
        <v>110106995098</v>
      </c>
      <c r="E1525" s="0" t="e">
        <f>+7 (904) 2098886
+7 (8212) 246267
+7 (8212) 565001
+7 (904) 2702629</f>
        <v>#NAME?</v>
      </c>
      <c r="F1525" s="5" t="s">
        <v>29938</v>
      </c>
      <c r="G1525" s="5"/>
      <c r="H1525" s="26">
        <v>14.5</v>
      </c>
      <c r="I1525" s="5" t="s">
        <v>29939</v>
      </c>
      <c r="J1525" s="5" t="s">
        <v>29940</v>
      </c>
      <c r="K1525" s="5" t="s">
        <v>380</v>
      </c>
      <c r="L1525" s="5"/>
      <c r="M1525" s="27"/>
      <c r="N1525" s="5" t="s">
        <v>51708</v>
      </c>
      <c r="O1525" s="5" t="str">
        <v>1101138180</v>
      </c>
      <c r="P1525" s="27">
        <v>20000</v>
      </c>
      <c r="Q1525" s="5"/>
      <c r="R1525" s="5"/>
      <c r="S1525" s="5" t="s">
        <v>49110</v>
      </c>
      <c r="T1525" s="28"/>
      <c r="U1525" s="28"/>
      <c r="V1525" s="28">
        <v>24912164000</v>
      </c>
      <c r="W1525" s="28"/>
      <c r="X1525" s="28">
        <v>5261627000</v>
      </c>
      <c r="Y1525" s="28">
        <v>42433632000</v>
      </c>
      <c r="Z1525" s="28"/>
      <c r="AA1525" s="28"/>
      <c r="AB1525" s="28"/>
      <c r="AC1525" s="28">
        <v>12526091000</v>
      </c>
      <c r="AD1525" s="28">
        <v>29907541000</v>
      </c>
      <c r="AE1525" s="28">
        <v>11604528000</v>
      </c>
      <c r="AF1525" s="28">
        <v>-1096835000</v>
      </c>
      <c r="AG1525" s="11"/>
    </row>
    <row r="1526">
      <c r="A1526" s="7" t="s">
        <v>3235</v>
      </c>
      <c r="B1526" s="5" t="s">
        <v>11221</v>
      </c>
      <c r="C1526" s="5" t="s">
        <v>19087</v>
      </c>
      <c r="D1526" s="5" t="str">
        <v>616700692551</v>
      </c>
      <c r="E1526" s="0" t="e">
        <f>+7 (863) 3114401
+7 (989) 5114401
+7 (495) 2303118
+7 (863) 3114402
+7 (863) 3114403
+7 (8632) 100071
+7 (8632) 105101
+7 (8632) 449045
+7 (906) 1833670</f>
        <v>#NAME?</v>
      </c>
      <c r="F1526" s="5" t="s">
        <v>29941</v>
      </c>
      <c r="G1526" s="5"/>
      <c r="H1526" s="26">
        <v>25.5</v>
      </c>
      <c r="I1526" s="5" t="s">
        <v>29942</v>
      </c>
      <c r="J1526" s="5" t="s">
        <v>364</v>
      </c>
      <c r="K1526" s="5" t="s">
        <v>344</v>
      </c>
      <c r="L1526" s="5" t="s">
        <v>29943</v>
      </c>
      <c r="M1526" s="27"/>
      <c r="N1526" s="5"/>
      <c r="O1526" s="5" t="str">
        <v>6167041823</v>
      </c>
      <c r="P1526" s="27">
        <v>400000000</v>
      </c>
      <c r="Q1526" s="5" t="s">
        <v>49009</v>
      </c>
      <c r="R1526" s="5" t="s">
        <v>51709</v>
      </c>
      <c r="S1526" s="5" t="s">
        <v>49358</v>
      </c>
      <c r="T1526" s="28">
        <v>1170000</v>
      </c>
      <c r="U1526" s="28">
        <v>446386000</v>
      </c>
      <c r="V1526" s="28">
        <v>1695438000</v>
      </c>
      <c r="W1526" s="28"/>
      <c r="X1526" s="28">
        <v>41672000</v>
      </c>
      <c r="Y1526" s="28">
        <v>7549013000</v>
      </c>
      <c r="Z1526" s="28">
        <v>452700000</v>
      </c>
      <c r="AA1526" s="28">
        <v>4766378000</v>
      </c>
      <c r="AB1526" s="28"/>
      <c r="AC1526" s="28">
        <v>1890057000</v>
      </c>
      <c r="AD1526" s="28">
        <v>892578000</v>
      </c>
      <c r="AE1526" s="28">
        <v>5809876000</v>
      </c>
      <c r="AF1526" s="28">
        <v>201322000</v>
      </c>
      <c r="AG1526" s="11"/>
    </row>
    <row r="1527">
      <c r="A1527" s="7" t="s">
        <v>3236</v>
      </c>
      <c r="B1527" s="5" t="s">
        <v>11222</v>
      </c>
      <c r="C1527" s="5" t="s">
        <v>19088</v>
      </c>
      <c r="D1527" s="5" t="str">
        <v>380109554373</v>
      </c>
      <c r="E1527" s="0" t="e">
        <f>+7 (3012) 230231
+7 (343) 2876356
+7 (343) 3821073
+7 (343) 3853097
+7 (34370) 74833
+7 (34384) 44650
+7 (3472) 163851
+7 (3472) 460509
+7 (3472) 680210
+7 (3472) 687910
+7 (3472) 865871
+7 (3472) 959841
+7 (381) 2215047
+7 (381) 2919918
+7 (381) 2919925</f>
        <v>#NAME?</v>
      </c>
      <c r="F1527" s="5" t="s">
        <v>29944</v>
      </c>
      <c r="G1527" s="5" t="s">
        <v>29945</v>
      </c>
      <c r="H1527" s="26">
        <v>2</v>
      </c>
      <c r="I1527" s="5" t="s">
        <v>29946</v>
      </c>
      <c r="J1527" s="5" t="s">
        <v>25738</v>
      </c>
      <c r="K1527" s="5" t="s">
        <v>344</v>
      </c>
      <c r="L1527" s="5"/>
      <c r="M1527" s="27">
        <v>1161875</v>
      </c>
      <c r="N1527" s="5"/>
      <c r="O1527" s="5" t="str">
        <v>9704040359</v>
      </c>
      <c r="P1527" s="27">
        <v>1000000</v>
      </c>
      <c r="Q1527" s="5"/>
      <c r="R1527" s="5"/>
      <c r="S1527" s="5" t="s">
        <v>49121</v>
      </c>
      <c r="T1527" s="28">
        <v>3344566000</v>
      </c>
      <c r="U1527" s="28"/>
      <c r="V1527" s="28">
        <v>2194045000</v>
      </c>
      <c r="W1527" s="28">
        <v>208000</v>
      </c>
      <c r="X1527" s="28">
        <v>357710000</v>
      </c>
      <c r="Y1527" s="28">
        <v>8138412000</v>
      </c>
      <c r="Z1527" s="28">
        <v>586796000</v>
      </c>
      <c r="AA1527" s="28"/>
      <c r="AB1527" s="28"/>
      <c r="AC1527" s="28">
        <v>4304822000</v>
      </c>
      <c r="AD1527" s="28">
        <v>587796000</v>
      </c>
      <c r="AE1527" s="28">
        <v>16330185000</v>
      </c>
      <c r="AF1527" s="28">
        <v>587744000</v>
      </c>
      <c r="AG1527" s="11"/>
    </row>
    <row r="1528">
      <c r="A1528" s="7" t="s">
        <v>3237</v>
      </c>
      <c r="B1528" s="5" t="s">
        <v>11223</v>
      </c>
      <c r="C1528" s="5" t="s">
        <v>19089</v>
      </c>
      <c r="D1528" s="5" t="str">
        <v>502478624704</v>
      </c>
      <c r="E1528" s="0" t="e">
        <f>+7 (495) 7556565
+7 (495) 6974707
+7 (495) 1081150
+7 (495) 2234522
+7 (495) 2334585
+7 (495) 7758825
+7 (495) 9158340
+7 (495) 9158455
+7 (495) 9165616
+7 (499) 6432879
+7 (499) 6432904
+7 (800) 2003299
+7 (910) 4329253
+7 (915) 1962082
+7 (915) 4502688</f>
        <v>#NAME?</v>
      </c>
      <c r="F1528" s="5"/>
      <c r="G1528" s="5"/>
      <c r="H1528" s="26">
        <v>19</v>
      </c>
      <c r="I1528" s="5" t="s">
        <v>29947</v>
      </c>
      <c r="J1528" s="5" t="s">
        <v>26308</v>
      </c>
      <c r="K1528" s="5" t="s">
        <v>355</v>
      </c>
      <c r="L1528" s="5" t="s">
        <v>29948</v>
      </c>
      <c r="M1528" s="27">
        <v>3015466</v>
      </c>
      <c r="N1528" s="5"/>
      <c r="O1528" s="5" t="str">
        <v>7704520601</v>
      </c>
      <c r="P1528" s="27">
        <v>24000000</v>
      </c>
      <c r="Q1528" s="5" t="s">
        <v>49021</v>
      </c>
      <c r="R1528" s="5" t="s">
        <v>51711</v>
      </c>
      <c r="S1528" s="5" t="s">
        <v>51712</v>
      </c>
      <c r="T1528" s="28">
        <v>1737515000</v>
      </c>
      <c r="U1528" s="28">
        <v>181466000</v>
      </c>
      <c r="V1528" s="28">
        <v>2118502000</v>
      </c>
      <c r="W1528" s="28">
        <v>152043000</v>
      </c>
      <c r="X1528" s="28">
        <v>34256000</v>
      </c>
      <c r="Y1528" s="28">
        <v>5195421000</v>
      </c>
      <c r="Z1528" s="28">
        <v>412008000</v>
      </c>
      <c r="AA1528" s="28">
        <v>365000000</v>
      </c>
      <c r="AB1528" s="28">
        <v>761894000</v>
      </c>
      <c r="AC1528" s="28">
        <v>3819500000</v>
      </c>
      <c r="AD1528" s="28">
        <v>473367000</v>
      </c>
      <c r="AE1528" s="28">
        <v>7454171000</v>
      </c>
      <c r="AF1528" s="28">
        <v>69804000</v>
      </c>
      <c r="AG1528" s="11"/>
    </row>
    <row r="1529">
      <c r="A1529" s="7" t="s">
        <v>3238</v>
      </c>
      <c r="B1529" s="5" t="s">
        <v>11224</v>
      </c>
      <c r="C1529" s="5" t="s">
        <v>19090</v>
      </c>
      <c r="D1529" s="5" t="str">
        <v>772455423430</v>
      </c>
      <c r="E1529" s="0" t="e">
        <f>+7 (495) 7847788
+7 (495) 9135326
+7 (916) 5424021
+7 (3432) 163846
+7 (3432) 163847</f>
        <v>#NAME?</v>
      </c>
      <c r="F1529" s="5"/>
      <c r="G1529" s="5"/>
      <c r="H1529" s="26">
        <v>10.5</v>
      </c>
      <c r="I1529" s="5"/>
      <c r="J1529" s="5" t="s">
        <v>829</v>
      </c>
      <c r="K1529" s="5" t="s">
        <v>355</v>
      </c>
      <c r="L1529" s="5" t="s">
        <v>29949</v>
      </c>
      <c r="M1529" s="27"/>
      <c r="N1529" s="5"/>
      <c r="O1529" s="5" t="str">
        <v>7722789813</v>
      </c>
      <c r="P1529" s="27">
        <v>200000</v>
      </c>
      <c r="Q1529" s="5" t="s">
        <v>49021</v>
      </c>
      <c r="R1529" s="5"/>
      <c r="S1529" s="5" t="s">
        <v>51713</v>
      </c>
      <c r="T1529" s="28">
        <v>315661000</v>
      </c>
      <c r="U1529" s="28"/>
      <c r="V1529" s="28">
        <v>1147179000</v>
      </c>
      <c r="W1529" s="28"/>
      <c r="X1529" s="28">
        <v>18671000</v>
      </c>
      <c r="Y1529" s="28">
        <v>2462451000</v>
      </c>
      <c r="Z1529" s="28">
        <v>666237000</v>
      </c>
      <c r="AA1529" s="28">
        <v>185387000</v>
      </c>
      <c r="AB1529" s="28">
        <v>312532000</v>
      </c>
      <c r="AC1529" s="28">
        <v>1258259000</v>
      </c>
      <c r="AD1529" s="28">
        <v>666437000</v>
      </c>
      <c r="AE1529" s="28">
        <v>3796677000</v>
      </c>
      <c r="AF1529" s="28">
        <v>86945000</v>
      </c>
      <c r="AG1529" s="11"/>
    </row>
    <row r="1530">
      <c r="A1530" s="7" t="s">
        <v>3239</v>
      </c>
      <c r="B1530" s="5" t="s">
        <v>11225</v>
      </c>
      <c r="C1530" s="5" t="s">
        <v>19091</v>
      </c>
      <c r="D1530" s="5" t="str">
        <v>525406596750</v>
      </c>
      <c r="E1530" s="0" t="e">
        <f>+7 (831) 4343916
+7 (831) 2343898
+7 (831) 4343898
+7 (83143) 13811
+7 (83143) 43811</f>
        <v>#NAME?</v>
      </c>
      <c r="F1530" s="5" t="s">
        <v>29950</v>
      </c>
      <c r="G1530" s="5" t="s">
        <v>29951</v>
      </c>
      <c r="H1530" s="26">
        <v>23.5</v>
      </c>
      <c r="I1530" s="5"/>
      <c r="J1530" s="5" t="s">
        <v>28306</v>
      </c>
      <c r="K1530" s="5" t="s">
        <v>344</v>
      </c>
      <c r="L1530" s="5" t="s">
        <v>29952</v>
      </c>
      <c r="M1530" s="27"/>
      <c r="N1530" s="5"/>
      <c r="O1530" s="5" t="str">
        <v>5217003285</v>
      </c>
      <c r="P1530" s="27">
        <v>28400</v>
      </c>
      <c r="Q1530" s="5" t="s">
        <v>49009</v>
      </c>
      <c r="R1530" s="5"/>
      <c r="S1530" s="5" t="s">
        <v>49045</v>
      </c>
      <c r="T1530" s="28">
        <v>199133000</v>
      </c>
      <c r="U1530" s="28">
        <v>13243000</v>
      </c>
      <c r="V1530" s="28">
        <v>204997000</v>
      </c>
      <c r="W1530" s="28">
        <v>384821000</v>
      </c>
      <c r="X1530" s="28">
        <v>20393000</v>
      </c>
      <c r="Y1530" s="28">
        <v>1089253000</v>
      </c>
      <c r="Z1530" s="28">
        <v>519253000</v>
      </c>
      <c r="AA1530" s="28">
        <v>184690000</v>
      </c>
      <c r="AB1530" s="28">
        <v>15374000</v>
      </c>
      <c r="AC1530" s="28">
        <v>385282000</v>
      </c>
      <c r="AD1530" s="28">
        <v>519281000</v>
      </c>
      <c r="AE1530" s="28">
        <v>3273886000</v>
      </c>
      <c r="AF1530" s="28">
        <v>206505000</v>
      </c>
      <c r="AG1530" s="11"/>
    </row>
    <row r="1531">
      <c r="A1531" s="7" t="s">
        <v>3240</v>
      </c>
      <c r="B1531" s="5" t="s">
        <v>11226</v>
      </c>
      <c r="C1531" s="5" t="s">
        <v>18824</v>
      </c>
      <c r="D1531" s="5"/>
      <c r="E1531" s="0" t="e">
        <f>+7 (495) 7852244
+7 (916) 7650445</f>
        <v>#NAME?</v>
      </c>
      <c r="F1531" s="5" t="s">
        <v>29953</v>
      </c>
      <c r="G1531" s="5" t="s">
        <v>29954</v>
      </c>
      <c r="H1531" s="26">
        <v>16.5</v>
      </c>
      <c r="I1531" s="5" t="s">
        <v>29955</v>
      </c>
      <c r="J1531" s="5" t="s">
        <v>389</v>
      </c>
      <c r="K1531" s="5" t="s">
        <v>344</v>
      </c>
      <c r="L1531" s="5" t="s">
        <v>29956</v>
      </c>
      <c r="M1531" s="27">
        <v>2465000</v>
      </c>
      <c r="N1531" s="5" t="s">
        <v>51714</v>
      </c>
      <c r="O1531" s="5" t="str">
        <v>7743601124</v>
      </c>
      <c r="P1531" s="27">
        <v>116427961</v>
      </c>
      <c r="Q1531" s="5" t="s">
        <v>51715</v>
      </c>
      <c r="R1531" s="5"/>
      <c r="S1531" s="5" t="s">
        <v>49173</v>
      </c>
      <c r="T1531" s="28">
        <v>733940000</v>
      </c>
      <c r="U1531" s="28"/>
      <c r="V1531" s="28">
        <v>112694000</v>
      </c>
      <c r="W1531" s="28">
        <v>799500000</v>
      </c>
      <c r="X1531" s="28">
        <v>224195000</v>
      </c>
      <c r="Y1531" s="28">
        <v>2106556000</v>
      </c>
      <c r="Z1531" s="28">
        <v>760890000</v>
      </c>
      <c r="AA1531" s="28"/>
      <c r="AB1531" s="28"/>
      <c r="AC1531" s="28">
        <v>108431000</v>
      </c>
      <c r="AD1531" s="28">
        <v>1958024000</v>
      </c>
      <c r="AE1531" s="28">
        <v>4501490000</v>
      </c>
      <c r="AF1531" s="28">
        <v>317409000</v>
      </c>
      <c r="AG1531" s="11"/>
    </row>
    <row r="1532">
      <c r="A1532" s="7" t="s">
        <v>3241</v>
      </c>
      <c r="B1532" s="5" t="s">
        <v>11227</v>
      </c>
      <c r="C1532" s="5" t="s">
        <v>19092</v>
      </c>
      <c r="D1532" s="5" t="str">
        <v>330104451622</v>
      </c>
      <c r="E1532" s="0" t="e">
        <f>+7 (495) 9899570</f>
        <v>#NAME?</v>
      </c>
      <c r="F1532" s="5"/>
      <c r="G1532" s="5"/>
      <c r="H1532" s="26">
        <v>7.5</v>
      </c>
      <c r="I1532" s="5" t="s">
        <v>29957</v>
      </c>
      <c r="J1532" s="5" t="s">
        <v>397</v>
      </c>
      <c r="K1532" s="5" t="s">
        <v>344</v>
      </c>
      <c r="L1532" s="5" t="s">
        <v>29958</v>
      </c>
      <c r="M1532" s="27">
        <v>1270908</v>
      </c>
      <c r="N1532" s="5"/>
      <c r="O1532" s="5" t="str">
        <v>7706428030</v>
      </c>
      <c r="P1532" s="27">
        <v>10000</v>
      </c>
      <c r="Q1532" s="5" t="s">
        <v>51716</v>
      </c>
      <c r="R1532" s="5"/>
      <c r="S1532" s="5" t="s">
        <v>49047</v>
      </c>
      <c r="T1532" s="28">
        <v>30084000</v>
      </c>
      <c r="U1532" s="28"/>
      <c r="V1532" s="28">
        <v>298940000</v>
      </c>
      <c r="W1532" s="28"/>
      <c r="X1532" s="28">
        <v>20129000</v>
      </c>
      <c r="Y1532" s="28">
        <v>707245000</v>
      </c>
      <c r="Z1532" s="28">
        <v>147693000</v>
      </c>
      <c r="AA1532" s="28"/>
      <c r="AB1532" s="28">
        <v>100955000</v>
      </c>
      <c r="AC1532" s="28">
        <v>541650000</v>
      </c>
      <c r="AD1532" s="28">
        <v>147703000</v>
      </c>
      <c r="AE1532" s="28">
        <v>4147303000</v>
      </c>
      <c r="AF1532" s="28">
        <v>132497000</v>
      </c>
      <c r="AG1532" s="11"/>
    </row>
    <row r="1533">
      <c r="A1533" s="7" t="s">
        <v>3242</v>
      </c>
      <c r="B1533" s="5" t="s">
        <v>11228</v>
      </c>
      <c r="C1533" s="5" t="s">
        <v>19093</v>
      </c>
      <c r="D1533" s="5" t="str">
        <v>501603503190</v>
      </c>
      <c r="E1533" s="0" t="e">
        <f>+7 (3422) 330309
+7 (383) 3730703
+7 (473) 2027457
+7 (4862) 458815
+7 (495) 3008796
+7 (495) 3511969
+7 (495) 7372566
+7 (495) 7983701
+7 (812) 4949004
+7 (8362) 745056
+7 (495) 7450565
+7 (495) 7800382
+7 (495) 7893801
+7 (495) 7893802
+7 (861) 2317335</f>
        <v>#NAME?</v>
      </c>
      <c r="F1533" s="5" t="s">
        <v>29959</v>
      </c>
      <c r="G1533" s="5" t="s">
        <v>29960</v>
      </c>
      <c r="H1533" s="26">
        <v>28.5</v>
      </c>
      <c r="I1533" s="5"/>
      <c r="J1533" s="5" t="s">
        <v>25429</v>
      </c>
      <c r="K1533" s="5" t="s">
        <v>344</v>
      </c>
      <c r="L1533" s="5" t="s">
        <v>29961</v>
      </c>
      <c r="M1533" s="27"/>
      <c r="N1533" s="5" t="s">
        <v>51717</v>
      </c>
      <c r="O1533" s="5" t="str">
        <v>7716017505</v>
      </c>
      <c r="P1533" s="27">
        <v>200000</v>
      </c>
      <c r="Q1533" s="5" t="s">
        <v>51718</v>
      </c>
      <c r="R1533" s="5"/>
      <c r="S1533" s="5" t="s">
        <v>51719</v>
      </c>
      <c r="T1533" s="28">
        <v>15930000</v>
      </c>
      <c r="U1533" s="28"/>
      <c r="V1533" s="28">
        <v>3886675000</v>
      </c>
      <c r="W1533" s="28">
        <v>1009000000</v>
      </c>
      <c r="X1533" s="28">
        <v>2387071000</v>
      </c>
      <c r="Y1533" s="28">
        <v>8311764000</v>
      </c>
      <c r="Z1533" s="28">
        <v>8251035000</v>
      </c>
      <c r="AA1533" s="28"/>
      <c r="AB1533" s="28"/>
      <c r="AC1533" s="28">
        <v>60529000</v>
      </c>
      <c r="AD1533" s="28">
        <v>8251235000</v>
      </c>
      <c r="AE1533" s="28">
        <v>6289927000</v>
      </c>
      <c r="AF1533" s="28">
        <v>539345000</v>
      </c>
      <c r="AG1533" s="11"/>
    </row>
    <row r="1534">
      <c r="A1534" s="7" t="s">
        <v>3243</v>
      </c>
      <c r="B1534" s="5" t="s">
        <v>11229</v>
      </c>
      <c r="C1534" s="5" t="s">
        <v>19094</v>
      </c>
      <c r="D1534" s="5" t="str">
        <v>780153423980</v>
      </c>
      <c r="E1534" s="0" t="e">
        <f>+7 (812) 6002060
+7 (921) 9976181</f>
        <v>#NAME?</v>
      </c>
      <c r="F1534" s="5" t="s">
        <v>29962</v>
      </c>
      <c r="G1534" s="5" t="s">
        <v>29963</v>
      </c>
      <c r="H1534" s="26">
        <v>3</v>
      </c>
      <c r="I1534" s="5" t="s">
        <v>29964</v>
      </c>
      <c r="J1534" s="5" t="s">
        <v>678</v>
      </c>
      <c r="K1534" s="5" t="s">
        <v>344</v>
      </c>
      <c r="L1534" s="5" t="s">
        <v>29965</v>
      </c>
      <c r="M1534" s="27"/>
      <c r="N1534" s="5" t="s">
        <v>51720</v>
      </c>
      <c r="O1534" s="5" t="str">
        <v>7814772009</v>
      </c>
      <c r="P1534" s="27">
        <v>20000000</v>
      </c>
      <c r="Q1534" s="5"/>
      <c r="R1534" s="5"/>
      <c r="S1534" s="5" t="s">
        <v>50936</v>
      </c>
      <c r="T1534" s="28">
        <v>22964000</v>
      </c>
      <c r="U1534" s="28"/>
      <c r="V1534" s="28">
        <v>35593000</v>
      </c>
      <c r="W1534" s="28"/>
      <c r="X1534" s="28">
        <v>304368000</v>
      </c>
      <c r="Y1534" s="28">
        <v>530777000</v>
      </c>
      <c r="Z1534" s="28">
        <v>284043000</v>
      </c>
      <c r="AA1534" s="28">
        <v>5895000</v>
      </c>
      <c r="AB1534" s="28"/>
      <c r="AC1534" s="28">
        <v>207845000</v>
      </c>
      <c r="AD1534" s="28">
        <v>307043000</v>
      </c>
      <c r="AE1534" s="28">
        <v>3425975000</v>
      </c>
      <c r="AF1534" s="28">
        <v>122238000</v>
      </c>
      <c r="AG1534" s="11"/>
    </row>
    <row r="1535">
      <c r="A1535" s="7" t="s">
        <v>3243</v>
      </c>
      <c r="B1535" s="5" t="s">
        <v>11230</v>
      </c>
      <c r="C1535" s="5" t="s">
        <v>19095</v>
      </c>
      <c r="D1535" s="5" t="str">
        <v>771401237549</v>
      </c>
      <c r="E1535" s="0" t="e">
        <f>+7 (905) 7848400</f>
        <v>#NAME?</v>
      </c>
      <c r="F1535" s="5"/>
      <c r="G1535" s="5"/>
      <c r="H1535" s="26">
        <v>7</v>
      </c>
      <c r="I1535" s="5" t="s">
        <v>29966</v>
      </c>
      <c r="J1535" s="5" t="s">
        <v>29967</v>
      </c>
      <c r="K1535" s="5" t="s">
        <v>344</v>
      </c>
      <c r="L1535" s="5" t="s">
        <v>29968</v>
      </c>
      <c r="M1535" s="27"/>
      <c r="N1535" s="5"/>
      <c r="O1535" s="5" t="str">
        <v>7707363308</v>
      </c>
      <c r="P1535" s="27">
        <v>10000</v>
      </c>
      <c r="Q1535" s="5" t="s">
        <v>49021</v>
      </c>
      <c r="R1535" s="5"/>
      <c r="S1535" s="5" t="s">
        <v>50485</v>
      </c>
      <c r="T1535" s="28">
        <v>145000</v>
      </c>
      <c r="U1535" s="28"/>
      <c r="V1535" s="28">
        <v>7975054000</v>
      </c>
      <c r="W1535" s="28">
        <v>24025000</v>
      </c>
      <c r="X1535" s="28">
        <v>160000</v>
      </c>
      <c r="Y1535" s="28">
        <v>8011701000</v>
      </c>
      <c r="Z1535" s="28">
        <v>2351737000</v>
      </c>
      <c r="AA1535" s="28"/>
      <c r="AB1535" s="28"/>
      <c r="AC1535" s="28">
        <v>5659954000</v>
      </c>
      <c r="AD1535" s="28">
        <v>2351747000</v>
      </c>
      <c r="AE1535" s="28">
        <v>7601181000</v>
      </c>
      <c r="AF1535" s="28">
        <v>82348000</v>
      </c>
      <c r="AG1535" s="11"/>
    </row>
    <row r="1536">
      <c r="A1536" s="7" t="s">
        <v>3244</v>
      </c>
      <c r="B1536" s="5" t="s">
        <v>11231</v>
      </c>
      <c r="C1536" s="5"/>
      <c r="D1536" s="5"/>
      <c r="E1536" s="0" t="e">
        <f>+7 (978) 5756175
+7 (800) 4440842
+7 (800) 4447542
+7 (800) 4447548
+7 (800) 5505271
+7 (985) 1407904</f>
        <v>#NAME?</v>
      </c>
      <c r="F1536" s="5" t="s">
        <v>29969</v>
      </c>
      <c r="G1536" s="5" t="s">
        <v>29970</v>
      </c>
      <c r="H1536" s="26">
        <v>27</v>
      </c>
      <c r="I1536" s="5"/>
      <c r="J1536" s="5" t="s">
        <v>29971</v>
      </c>
      <c r="K1536" s="5" t="s">
        <v>380</v>
      </c>
      <c r="L1536" s="5"/>
      <c r="M1536" s="27">
        <v>2137542</v>
      </c>
      <c r="N1536" s="5" t="s">
        <v>51721</v>
      </c>
      <c r="O1536" s="5" t="str">
        <v>9103007830</v>
      </c>
      <c r="P1536" s="27">
        <v>19943075548</v>
      </c>
      <c r="Q1536" s="5" t="s">
        <v>51722</v>
      </c>
      <c r="R1536" s="5"/>
      <c r="S1536" s="5" t="s">
        <v>49032</v>
      </c>
      <c r="T1536" s="28">
        <v>12732878000</v>
      </c>
      <c r="U1536" s="28">
        <v>734247000</v>
      </c>
      <c r="V1536" s="28">
        <v>1755266000</v>
      </c>
      <c r="W1536" s="28">
        <v>11605000</v>
      </c>
      <c r="X1536" s="28">
        <v>846565000</v>
      </c>
      <c r="Y1536" s="28">
        <v>18069311000</v>
      </c>
      <c r="Z1536" s="28">
        <v>-9506923000</v>
      </c>
      <c r="AA1536" s="28"/>
      <c r="AB1536" s="28"/>
      <c r="AC1536" s="28">
        <v>840748000</v>
      </c>
      <c r="AD1536" s="28">
        <v>14509390000</v>
      </c>
      <c r="AE1536" s="28">
        <v>4520272000</v>
      </c>
      <c r="AF1536" s="28">
        <v>-953508000</v>
      </c>
      <c r="AG1536" s="11"/>
    </row>
    <row r="1537">
      <c r="A1537" s="7" t="s">
        <v>3245</v>
      </c>
      <c r="B1537" s="5" t="s">
        <v>11232</v>
      </c>
      <c r="C1537" s="5" t="s">
        <v>19096</v>
      </c>
      <c r="D1537" s="5" t="str">
        <v>402811359204</v>
      </c>
      <c r="E1537" s="0" t="e">
        <f>+7 (495) 2212964
+7 (916) 2269626
+7 (916) 9906050
+7 (926) 6559141</f>
        <v>#NAME?</v>
      </c>
      <c r="F1537" s="5" t="s">
        <v>29972</v>
      </c>
      <c r="G1537" s="5"/>
      <c r="H1537" s="26">
        <v>13.5</v>
      </c>
      <c r="I1537" s="5" t="s">
        <v>29973</v>
      </c>
      <c r="J1537" s="5" t="s">
        <v>955</v>
      </c>
      <c r="K1537" s="5" t="s">
        <v>344</v>
      </c>
      <c r="L1537" s="5" t="s">
        <v>29974</v>
      </c>
      <c r="M1537" s="27"/>
      <c r="N1537" s="5"/>
      <c r="O1537" s="5" t="str">
        <v>5029127457</v>
      </c>
      <c r="P1537" s="27">
        <v>500000</v>
      </c>
      <c r="Q1537" s="5" t="s">
        <v>49207</v>
      </c>
      <c r="R1537" s="5"/>
      <c r="S1537" s="5" t="s">
        <v>49565</v>
      </c>
      <c r="T1537" s="28">
        <v>41353000</v>
      </c>
      <c r="U1537" s="28"/>
      <c r="V1537" s="28">
        <v>310406000</v>
      </c>
      <c r="W1537" s="28"/>
      <c r="X1537" s="28">
        <v>65702000</v>
      </c>
      <c r="Y1537" s="28">
        <v>563419000</v>
      </c>
      <c r="Z1537" s="28">
        <v>329542000</v>
      </c>
      <c r="AA1537" s="28"/>
      <c r="AB1537" s="28"/>
      <c r="AC1537" s="28">
        <v>233311000</v>
      </c>
      <c r="AD1537" s="28">
        <v>330042000</v>
      </c>
      <c r="AE1537" s="28">
        <v>3573893000</v>
      </c>
      <c r="AF1537" s="28">
        <v>761098000</v>
      </c>
      <c r="AG1537" s="11"/>
    </row>
    <row r="1538">
      <c r="A1538" s="7" t="s">
        <v>3246</v>
      </c>
      <c r="B1538" s="5" t="s">
        <v>11233</v>
      </c>
      <c r="C1538" s="5" t="s">
        <v>19097</v>
      </c>
      <c r="D1538" s="5" t="str">
        <v>644801837417</v>
      </c>
      <c r="E1538" s="0" t="e">
        <f>+7 (484) 2922185
+7 (499) 1103132
+7 (499) 1103142</f>
        <v>#NAME?</v>
      </c>
      <c r="F1538" s="5"/>
      <c r="G1538" s="5" t="s">
        <v>29975</v>
      </c>
      <c r="H1538" s="26">
        <v>8.5</v>
      </c>
      <c r="I1538" s="5" t="s">
        <v>29976</v>
      </c>
      <c r="J1538" s="5" t="s">
        <v>29977</v>
      </c>
      <c r="K1538" s="5" t="s">
        <v>355</v>
      </c>
      <c r="L1538" s="5" t="s">
        <v>29978</v>
      </c>
      <c r="M1538" s="27"/>
      <c r="N1538" s="5"/>
      <c r="O1538" s="5" t="str">
        <v>7730713504</v>
      </c>
      <c r="P1538" s="27">
        <v>1000000</v>
      </c>
      <c r="Q1538" s="5" t="s">
        <v>49207</v>
      </c>
      <c r="R1538" s="5"/>
      <c r="S1538" s="5" t="s">
        <v>49565</v>
      </c>
      <c r="T1538" s="28"/>
      <c r="U1538" s="28"/>
      <c r="V1538" s="28">
        <v>223206000</v>
      </c>
      <c r="W1538" s="28"/>
      <c r="X1538" s="28">
        <v>171032000</v>
      </c>
      <c r="Y1538" s="28">
        <v>1697379000</v>
      </c>
      <c r="Z1538" s="28">
        <v>553891000</v>
      </c>
      <c r="AA1538" s="28">
        <v>11480000</v>
      </c>
      <c r="AB1538" s="28"/>
      <c r="AC1538" s="28">
        <v>1035535000</v>
      </c>
      <c r="AD1538" s="28">
        <v>554891000</v>
      </c>
      <c r="AE1538" s="28">
        <v>3685554000</v>
      </c>
      <c r="AF1538" s="28">
        <v>224772000</v>
      </c>
      <c r="AG1538" s="11"/>
    </row>
    <row r="1539">
      <c r="A1539" s="7" t="s">
        <v>3247</v>
      </c>
      <c r="B1539" s="5" t="s">
        <v>11234</v>
      </c>
      <c r="C1539" s="5" t="s">
        <v>19098</v>
      </c>
      <c r="D1539" s="5" t="str">
        <v>526202285860</v>
      </c>
      <c r="E1539" s="0" t="e">
        <f>+7 (831) 2746924
+7 (83147) 33410
+7 (83154) 23558
+7 (83154) 23929
+7 (83161) 37639
+7 (83161) 37735</f>
        <v>#NAME?</v>
      </c>
      <c r="F1539" s="5" t="s">
        <v>29979</v>
      </c>
      <c r="G1539" s="5" t="s">
        <v>29980</v>
      </c>
      <c r="H1539" s="26">
        <v>27.5</v>
      </c>
      <c r="I1539" s="5" t="s">
        <v>29981</v>
      </c>
      <c r="J1539" s="5" t="s">
        <v>1059</v>
      </c>
      <c r="K1539" s="5" t="s">
        <v>344</v>
      </c>
      <c r="L1539" s="5"/>
      <c r="M1539" s="27">
        <v>29836545</v>
      </c>
      <c r="N1539" s="5" t="s">
        <v>51723</v>
      </c>
      <c r="O1539" s="5" t="str">
        <v>5257015978</v>
      </c>
      <c r="P1539" s="27">
        <v>10000000</v>
      </c>
      <c r="Q1539" s="5" t="s">
        <v>49021</v>
      </c>
      <c r="R1539" s="5"/>
      <c r="S1539" s="5" t="s">
        <v>51724</v>
      </c>
      <c r="T1539" s="28">
        <v>107829000</v>
      </c>
      <c r="U1539" s="28"/>
      <c r="V1539" s="28">
        <v>2261033000</v>
      </c>
      <c r="W1539" s="28">
        <v>8143319000</v>
      </c>
      <c r="X1539" s="28">
        <v>23617000</v>
      </c>
      <c r="Y1539" s="28">
        <v>11529092000</v>
      </c>
      <c r="Z1539" s="28">
        <v>161390000</v>
      </c>
      <c r="AA1539" s="28">
        <v>1293333000</v>
      </c>
      <c r="AB1539" s="28"/>
      <c r="AC1539" s="28">
        <v>10064363000</v>
      </c>
      <c r="AD1539" s="28">
        <v>171395000</v>
      </c>
      <c r="AE1539" s="28">
        <v>7566136000</v>
      </c>
      <c r="AF1539" s="28">
        <v>9796000</v>
      </c>
      <c r="AG1539" s="11"/>
    </row>
    <row r="1540">
      <c r="A1540" s="7" t="s">
        <v>3248</v>
      </c>
      <c r="B1540" s="5" t="s">
        <v>11235</v>
      </c>
      <c r="C1540" s="5" t="s">
        <v>19099</v>
      </c>
      <c r="D1540" s="5" t="str">
        <v>246310966188</v>
      </c>
      <c r="E1540" s="0" t="e">
        <f>+7 (904) 8951341</f>
        <v>#NAME?</v>
      </c>
      <c r="F1540" s="5" t="s">
        <v>29982</v>
      </c>
      <c r="G1540" s="5"/>
      <c r="H1540" s="26">
        <v>10.5</v>
      </c>
      <c r="I1540" s="5" t="s">
        <v>29983</v>
      </c>
      <c r="J1540" s="5" t="s">
        <v>373</v>
      </c>
      <c r="K1540" s="5" t="s">
        <v>344</v>
      </c>
      <c r="L1540" s="5" t="s">
        <v>29984</v>
      </c>
      <c r="M1540" s="27"/>
      <c r="N1540" s="5" t="s">
        <v>51725</v>
      </c>
      <c r="O1540" s="5" t="str">
        <v>2463238244</v>
      </c>
      <c r="P1540" s="27">
        <v>10000</v>
      </c>
      <c r="Q1540" s="5" t="s">
        <v>51726</v>
      </c>
      <c r="R1540" s="5"/>
      <c r="S1540" s="5" t="s">
        <v>50001</v>
      </c>
      <c r="T1540" s="28">
        <v>80525000</v>
      </c>
      <c r="U1540" s="28"/>
      <c r="V1540" s="28">
        <v>164229000</v>
      </c>
      <c r="W1540" s="28"/>
      <c r="X1540" s="28">
        <v>939000</v>
      </c>
      <c r="Y1540" s="28">
        <v>423351000</v>
      </c>
      <c r="Z1540" s="28">
        <v>210595000</v>
      </c>
      <c r="AA1540" s="28">
        <v>55598000</v>
      </c>
      <c r="AB1540" s="28">
        <v>60539000</v>
      </c>
      <c r="AC1540" s="28">
        <v>143735000</v>
      </c>
      <c r="AD1540" s="28">
        <v>210605000</v>
      </c>
      <c r="AE1540" s="28">
        <v>3493670000</v>
      </c>
      <c r="AF1540" s="28">
        <v>63568000</v>
      </c>
      <c r="AG1540" s="11"/>
    </row>
    <row r="1541">
      <c r="A1541" s="7" t="s">
        <v>3249</v>
      </c>
      <c r="B1541" s="5" t="s">
        <v>11236</v>
      </c>
      <c r="C1541" s="5" t="s">
        <v>19100</v>
      </c>
      <c r="D1541" s="5" t="str">
        <v>784810641095</v>
      </c>
      <c r="E1541" s="0" t="e">
        <f>+7 (495) 5407450</f>
        <v>#NAME?</v>
      </c>
      <c r="F1541" s="5" t="s">
        <v>29985</v>
      </c>
      <c r="G1541" s="5" t="s">
        <v>29986</v>
      </c>
      <c r="H1541" s="26">
        <v>8.5</v>
      </c>
      <c r="I1541" s="5" t="s">
        <v>29987</v>
      </c>
      <c r="J1541" s="5" t="s">
        <v>364</v>
      </c>
      <c r="K1541" s="5" t="s">
        <v>380</v>
      </c>
      <c r="L1541" s="5"/>
      <c r="M1541" s="27">
        <v>160853534</v>
      </c>
      <c r="N1541" s="5" t="s">
        <v>51727</v>
      </c>
      <c r="O1541" s="5" t="str">
        <v>8904075460</v>
      </c>
      <c r="P1541" s="27">
        <v>10000</v>
      </c>
      <c r="Q1541" s="5" t="s">
        <v>51728</v>
      </c>
      <c r="R1541" s="5" t="s">
        <v>51729</v>
      </c>
      <c r="S1541" s="5" t="s">
        <v>51036</v>
      </c>
      <c r="T1541" s="28">
        <v>1005268000</v>
      </c>
      <c r="U1541" s="28"/>
      <c r="V1541" s="28">
        <v>8276641000</v>
      </c>
      <c r="W1541" s="28"/>
      <c r="X1541" s="28">
        <v>28189000</v>
      </c>
      <c r="Y1541" s="28">
        <v>17401049000</v>
      </c>
      <c r="Z1541" s="28">
        <v>-11677157000</v>
      </c>
      <c r="AA1541" s="28"/>
      <c r="AB1541" s="28"/>
      <c r="AC1541" s="28">
        <v>28410109000</v>
      </c>
      <c r="AD1541" s="28">
        <v>-11677147000</v>
      </c>
      <c r="AE1541" s="28">
        <v>42558749000</v>
      </c>
      <c r="AF1541" s="28">
        <v>-2249375000</v>
      </c>
      <c r="AG1541" s="11"/>
    </row>
    <row r="1542">
      <c r="A1542" s="7" t="s">
        <v>3250</v>
      </c>
      <c r="B1542" s="5" t="s">
        <v>11237</v>
      </c>
      <c r="C1542" s="5" t="s">
        <v>19101</v>
      </c>
      <c r="D1542" s="5" t="str">
        <v>752703809350</v>
      </c>
      <c r="E1542" s="0" t="e">
        <f>+7 (915) 4154102</f>
        <v>#NAME?</v>
      </c>
      <c r="F1542" s="5" t="s">
        <v>29988</v>
      </c>
      <c r="G1542" s="5" t="s">
        <v>29989</v>
      </c>
      <c r="H1542" s="26">
        <v>5.5</v>
      </c>
      <c r="I1542" s="5" t="s">
        <v>29990</v>
      </c>
      <c r="J1542" s="5" t="s">
        <v>25530</v>
      </c>
      <c r="K1542" s="5" t="s">
        <v>344</v>
      </c>
      <c r="L1542" s="5" t="s">
        <v>29991</v>
      </c>
      <c r="M1542" s="27"/>
      <c r="N1542" s="5"/>
      <c r="O1542" s="5" t="str">
        <v>7731384676</v>
      </c>
      <c r="P1542" s="27">
        <v>10000000</v>
      </c>
      <c r="Q1542" s="5" t="s">
        <v>49021</v>
      </c>
      <c r="R1542" s="5"/>
      <c r="S1542" s="5" t="s">
        <v>51713</v>
      </c>
      <c r="T1542" s="28">
        <v>89766000</v>
      </c>
      <c r="U1542" s="28"/>
      <c r="V1542" s="28">
        <v>719801000</v>
      </c>
      <c r="W1542" s="28"/>
      <c r="X1542" s="28">
        <v>212802000</v>
      </c>
      <c r="Y1542" s="28">
        <v>2349623000</v>
      </c>
      <c r="Z1542" s="28">
        <v>1578293000</v>
      </c>
      <c r="AA1542" s="28"/>
      <c r="AB1542" s="28">
        <v>1467000</v>
      </c>
      <c r="AC1542" s="28">
        <v>759869000</v>
      </c>
      <c r="AD1542" s="28">
        <v>1588293000</v>
      </c>
      <c r="AE1542" s="28">
        <v>6159359000</v>
      </c>
      <c r="AF1542" s="28">
        <v>809451000</v>
      </c>
      <c r="AG1542" s="11"/>
    </row>
    <row r="1543">
      <c r="A1543" s="7" t="s">
        <v>3251</v>
      </c>
      <c r="B1543" s="5" t="s">
        <v>11238</v>
      </c>
      <c r="C1543" s="5" t="s">
        <v>19102</v>
      </c>
      <c r="D1543" s="5" t="str">
        <v>772010345682</v>
      </c>
      <c r="E1543" s="0" t="e">
        <f>+7 (499) 1289601
+7 (495) 1289405
+7 (495) 7855500
+7 (499) 1289240
+7 (499) 1289405
+7 (499) 5016240
+7 (499) 5048807
+7 (499) 5088807
+7 (800) 5503345
+7 (812) 2510022
+7 (915) 1635910
+7 (966) 1089586</f>
        <v>#NAME?</v>
      </c>
      <c r="F1543" s="5" t="s">
        <v>29992</v>
      </c>
      <c r="G1543" s="5"/>
      <c r="H1543" s="26">
        <v>14</v>
      </c>
      <c r="I1543" s="5"/>
      <c r="J1543" s="5" t="s">
        <v>28593</v>
      </c>
      <c r="K1543" s="5" t="s">
        <v>344</v>
      </c>
      <c r="L1543" s="5" t="s">
        <v>29993</v>
      </c>
      <c r="M1543" s="27"/>
      <c r="N1543" s="5" t="s">
        <v>51730</v>
      </c>
      <c r="O1543" s="5" t="str">
        <v>7728700152</v>
      </c>
      <c r="P1543" s="27">
        <v>100000</v>
      </c>
      <c r="Q1543" s="5" t="s">
        <v>49009</v>
      </c>
      <c r="R1543" s="5"/>
      <c r="S1543" s="5" t="s">
        <v>49487</v>
      </c>
      <c r="T1543" s="28">
        <v>143183000</v>
      </c>
      <c r="U1543" s="28"/>
      <c r="V1543" s="28">
        <v>340662000</v>
      </c>
      <c r="W1543" s="28">
        <v>9800000</v>
      </c>
      <c r="X1543" s="28">
        <v>5420000</v>
      </c>
      <c r="Y1543" s="28">
        <v>1563588000</v>
      </c>
      <c r="Z1543" s="28">
        <v>759007000</v>
      </c>
      <c r="AA1543" s="28"/>
      <c r="AB1543" s="28">
        <v>130756000</v>
      </c>
      <c r="AC1543" s="28">
        <v>645226000</v>
      </c>
      <c r="AD1543" s="28">
        <v>759122000</v>
      </c>
      <c r="AE1543" s="28">
        <v>4193569000</v>
      </c>
      <c r="AF1543" s="28">
        <v>295188000</v>
      </c>
      <c r="AG1543" s="11"/>
    </row>
    <row r="1544">
      <c r="A1544" s="7" t="s">
        <v>3252</v>
      </c>
      <c r="B1544" s="5" t="s">
        <v>11239</v>
      </c>
      <c r="C1544" s="5" t="s">
        <v>19103</v>
      </c>
      <c r="D1544" s="5" t="str">
        <v>261500693729</v>
      </c>
      <c r="E1544" s="0" t="e">
        <f>+7 (865) 2330440
+7 (865) 2330374
+7 (8652) 330384
+7 (8652) 330472
+7 (86541) 23963
+7 (86541) 65975
+7 (962) 4490586</f>
        <v>#NAME?</v>
      </c>
      <c r="F1544" s="5" t="s">
        <v>26068</v>
      </c>
      <c r="G1544" s="5"/>
      <c r="H1544" s="26">
        <v>19</v>
      </c>
      <c r="I1544" s="5" t="s">
        <v>29994</v>
      </c>
      <c r="J1544" s="5" t="s">
        <v>25371</v>
      </c>
      <c r="K1544" s="5" t="s">
        <v>344</v>
      </c>
      <c r="L1544" s="5" t="s">
        <v>29995</v>
      </c>
      <c r="M1544" s="27"/>
      <c r="N1544" s="5" t="s">
        <v>51731</v>
      </c>
      <c r="O1544" s="5" t="str">
        <v>2611007356</v>
      </c>
      <c r="P1544" s="27">
        <v>106989159</v>
      </c>
      <c r="Q1544" s="5" t="s">
        <v>49009</v>
      </c>
      <c r="R1544" s="5" t="s">
        <v>51732</v>
      </c>
      <c r="S1544" s="5" t="s">
        <v>49028</v>
      </c>
      <c r="T1544" s="28">
        <v>4307563000</v>
      </c>
      <c r="U1544" s="28">
        <v>9771439000</v>
      </c>
      <c r="V1544" s="28">
        <v>3383904000</v>
      </c>
      <c r="W1544" s="28">
        <v>566000000</v>
      </c>
      <c r="X1544" s="28">
        <v>201409000</v>
      </c>
      <c r="Y1544" s="28">
        <v>20186627000</v>
      </c>
      <c r="Z1544" s="28">
        <v>12762338000</v>
      </c>
      <c r="AA1544" s="28">
        <v>2724864000</v>
      </c>
      <c r="AB1544" s="28">
        <v>2617288000</v>
      </c>
      <c r="AC1544" s="28">
        <v>4538282000</v>
      </c>
      <c r="AD1544" s="28">
        <v>12902938000</v>
      </c>
      <c r="AE1544" s="28">
        <v>6238901000</v>
      </c>
      <c r="AF1544" s="28">
        <v>1273511000</v>
      </c>
      <c r="AG1544" s="11"/>
    </row>
    <row r="1545">
      <c r="A1545" s="7" t="s">
        <v>3253</v>
      </c>
      <c r="B1545" s="5" t="s">
        <v>11240</v>
      </c>
      <c r="C1545" s="5" t="s">
        <v>19104</v>
      </c>
      <c r="D1545" s="5" t="str">
        <v>472000141755</v>
      </c>
      <c r="E1545" s="0" t="e">
        <f>+7 (495) 9123100
+7 (495) 5445090
+7 (495) 6212074
+7 (495) 9123308</f>
        <v>#NAME?</v>
      </c>
      <c r="F1545" s="5" t="s">
        <v>29996</v>
      </c>
      <c r="G1545" s="5" t="s">
        <v>25226</v>
      </c>
      <c r="H1545" s="26">
        <v>24.5</v>
      </c>
      <c r="I1545" s="5"/>
      <c r="J1545" s="5" t="s">
        <v>364</v>
      </c>
      <c r="K1545" s="5" t="s">
        <v>355</v>
      </c>
      <c r="L1545" s="5"/>
      <c r="M1545" s="27">
        <v>1396778</v>
      </c>
      <c r="N1545" s="5" t="s">
        <v>51733</v>
      </c>
      <c r="O1545" s="5" t="str">
        <v>7709261816</v>
      </c>
      <c r="P1545" s="27">
        <v>315913000</v>
      </c>
      <c r="Q1545" s="5" t="s">
        <v>49528</v>
      </c>
      <c r="R1545" s="5"/>
      <c r="S1545" s="5" t="s">
        <v>51734</v>
      </c>
      <c r="T1545" s="28">
        <v>41919000</v>
      </c>
      <c r="U1545" s="28">
        <v>1554897000</v>
      </c>
      <c r="V1545" s="28">
        <v>7433499000</v>
      </c>
      <c r="W1545" s="28">
        <v>208436000</v>
      </c>
      <c r="X1545" s="28">
        <v>332114000</v>
      </c>
      <c r="Y1545" s="28">
        <v>10278439000</v>
      </c>
      <c r="Z1545" s="28">
        <v>731955000</v>
      </c>
      <c r="AA1545" s="28">
        <v>3847592000</v>
      </c>
      <c r="AB1545" s="28">
        <v>50700000</v>
      </c>
      <c r="AC1545" s="28">
        <v>5358968000</v>
      </c>
      <c r="AD1545" s="28">
        <v>1063664000</v>
      </c>
      <c r="AE1545" s="28">
        <v>6726699000</v>
      </c>
      <c r="AF1545" s="28">
        <v>-815219000</v>
      </c>
      <c r="AG1545" s="11"/>
    </row>
    <row r="1546">
      <c r="A1546" s="7" t="s">
        <v>3254</v>
      </c>
      <c r="B1546" s="5" t="s">
        <v>11241</v>
      </c>
      <c r="C1546" s="5" t="s">
        <v>19105</v>
      </c>
      <c r="D1546" s="5" t="str">
        <v>490906848373</v>
      </c>
      <c r="E1546" s="0" t="e">
        <f>+7 (413) 2222233
+7 (413) 2297006
+7 (413) 2299445
+7 (413) 2299634
+7 (41345) 22096
+7 (41345) 22196</f>
        <v>#NAME?</v>
      </c>
      <c r="F1546" s="5" t="s">
        <v>29997</v>
      </c>
      <c r="G1546" s="5" t="s">
        <v>29998</v>
      </c>
      <c r="H1546" s="26">
        <v>26</v>
      </c>
      <c r="I1546" s="5" t="s">
        <v>29999</v>
      </c>
      <c r="J1546" s="5" t="s">
        <v>26499</v>
      </c>
      <c r="K1546" s="5" t="s">
        <v>355</v>
      </c>
      <c r="L1546" s="5" t="s">
        <v>30000</v>
      </c>
      <c r="M1546" s="27">
        <v>143000</v>
      </c>
      <c r="N1546" s="5"/>
      <c r="O1546" s="5" t="str">
        <v>4905006253</v>
      </c>
      <c r="P1546" s="27">
        <v>118730140</v>
      </c>
      <c r="Q1546" s="5" t="s">
        <v>49207</v>
      </c>
      <c r="R1546" s="5"/>
      <c r="S1546" s="5" t="s">
        <v>50032</v>
      </c>
      <c r="T1546" s="28">
        <v>2998647000</v>
      </c>
      <c r="U1546" s="28">
        <v>3531983000</v>
      </c>
      <c r="V1546" s="28">
        <v>2426498000</v>
      </c>
      <c r="W1546" s="28">
        <v>330000000</v>
      </c>
      <c r="X1546" s="28">
        <v>588000</v>
      </c>
      <c r="Y1546" s="28">
        <v>13472373000</v>
      </c>
      <c r="Z1546" s="28">
        <v>10547823000</v>
      </c>
      <c r="AA1546" s="28"/>
      <c r="AB1546" s="28"/>
      <c r="AC1546" s="28">
        <v>2389932000</v>
      </c>
      <c r="AD1546" s="28">
        <v>10694523000</v>
      </c>
      <c r="AE1546" s="28">
        <v>11682672000</v>
      </c>
      <c r="AF1546" s="28">
        <v>179957000</v>
      </c>
      <c r="AG1546" s="11"/>
    </row>
    <row r="1547">
      <c r="A1547" s="7" t="s">
        <v>3255</v>
      </c>
      <c r="B1547" s="5" t="s">
        <v>11242</v>
      </c>
      <c r="C1547" s="5" t="s">
        <v>19106</v>
      </c>
      <c r="D1547" s="5" t="str">
        <v>770102633341</v>
      </c>
      <c r="E1547" s="0" t="e">
        <f>+7 (495) 7872023
+7 (495) 7872012
+7 (495) 7872020
+7 (495) 7872029</f>
        <v>#NAME?</v>
      </c>
      <c r="F1547" s="5"/>
      <c r="G1547" s="5"/>
      <c r="H1547" s="26">
        <v>22</v>
      </c>
      <c r="I1547" s="5" t="s">
        <v>30001</v>
      </c>
      <c r="J1547" s="5" t="s">
        <v>28323</v>
      </c>
      <c r="K1547" s="5" t="s">
        <v>344</v>
      </c>
      <c r="L1547" s="5" t="s">
        <v>30002</v>
      </c>
      <c r="M1547" s="27"/>
      <c r="N1547" s="5" t="s">
        <v>51735</v>
      </c>
      <c r="O1547" s="5" t="str">
        <v>7719217750</v>
      </c>
      <c r="P1547" s="27">
        <v>294554623</v>
      </c>
      <c r="Q1547" s="5" t="s">
        <v>51736</v>
      </c>
      <c r="R1547" s="5" t="s">
        <v>51737</v>
      </c>
      <c r="S1547" s="5" t="s">
        <v>51738</v>
      </c>
      <c r="T1547" s="28">
        <v>102230000</v>
      </c>
      <c r="U1547" s="28"/>
      <c r="V1547" s="28">
        <v>790103000</v>
      </c>
      <c r="W1547" s="28">
        <v>550000000</v>
      </c>
      <c r="X1547" s="28">
        <v>47320000</v>
      </c>
      <c r="Y1547" s="28">
        <v>1863527000</v>
      </c>
      <c r="Z1547" s="28">
        <v>955426000</v>
      </c>
      <c r="AA1547" s="28"/>
      <c r="AB1547" s="28"/>
      <c r="AC1547" s="28">
        <v>595447000</v>
      </c>
      <c r="AD1547" s="28">
        <v>1249981000</v>
      </c>
      <c r="AE1547" s="28">
        <v>3330558000</v>
      </c>
      <c r="AF1547" s="28">
        <v>-740064000</v>
      </c>
      <c r="AG1547" s="11"/>
    </row>
    <row r="1548">
      <c r="A1548" s="7" t="s">
        <v>3256</v>
      </c>
      <c r="B1548" s="5" t="s">
        <v>11243</v>
      </c>
      <c r="C1548" s="5" t="s">
        <v>19106</v>
      </c>
      <c r="D1548" s="5" t="str">
        <v>770102633341</v>
      </c>
      <c r="E1548" s="0" t="e">
        <f>+7 (495) 9375765
+7 (495) 9375768
+7 (495) 7872020
+7 (495) 9375463
+7 (495) 9375763
+7 (495) 9375773
+7 (910) 4401568</f>
        <v>#NAME?</v>
      </c>
      <c r="F1548" s="5" t="s">
        <v>30003</v>
      </c>
      <c r="G1548" s="5" t="s">
        <v>30004</v>
      </c>
      <c r="H1548" s="26">
        <v>20.5</v>
      </c>
      <c r="I1548" s="5" t="s">
        <v>30005</v>
      </c>
      <c r="J1548" s="5" t="s">
        <v>25842</v>
      </c>
      <c r="K1548" s="5" t="s">
        <v>344</v>
      </c>
      <c r="L1548" s="5" t="s">
        <v>30006</v>
      </c>
      <c r="M1548" s="27">
        <v>124833</v>
      </c>
      <c r="N1548" s="5"/>
      <c r="O1548" s="5" t="str">
        <v>7701317584</v>
      </c>
      <c r="P1548" s="27">
        <v>245017000</v>
      </c>
      <c r="Q1548" s="5" t="s">
        <v>49059</v>
      </c>
      <c r="R1548" s="5" t="s">
        <v>51739</v>
      </c>
      <c r="S1548" s="5" t="s">
        <v>49576</v>
      </c>
      <c r="T1548" s="28">
        <v>283048000</v>
      </c>
      <c r="U1548" s="28"/>
      <c r="V1548" s="28">
        <v>289698000</v>
      </c>
      <c r="W1548" s="28">
        <v>240000000</v>
      </c>
      <c r="X1548" s="28">
        <v>1053748000</v>
      </c>
      <c r="Y1548" s="28">
        <v>3579217000</v>
      </c>
      <c r="Z1548" s="28">
        <v>1079196000</v>
      </c>
      <c r="AA1548" s="28"/>
      <c r="AB1548" s="28"/>
      <c r="AC1548" s="28">
        <v>2206760000</v>
      </c>
      <c r="AD1548" s="28">
        <v>1360965000</v>
      </c>
      <c r="AE1548" s="28">
        <v>4871405000</v>
      </c>
      <c r="AF1548" s="28">
        <v>404615000</v>
      </c>
      <c r="AG1548" s="11"/>
    </row>
    <row r="1549">
      <c r="A1549" s="7" t="s">
        <v>3257</v>
      </c>
      <c r="B1549" s="5" t="s">
        <v>11244</v>
      </c>
      <c r="C1549" s="5" t="s">
        <v>19107</v>
      </c>
      <c r="D1549" s="5" t="str">
        <v>772821336520</v>
      </c>
      <c r="E1549" s="0" t="e">
        <f>+7 (495) 3633950
+7 (495) 9871555
+7 (495) 9871880
+7 (495) 9871556
+7 (800) 5555980</f>
        <v>#NAME?</v>
      </c>
      <c r="F1549" s="5"/>
      <c r="G1549" s="5" t="s">
        <v>30007</v>
      </c>
      <c r="H1549" s="26">
        <v>4.5</v>
      </c>
      <c r="I1549" s="5" t="s">
        <v>30008</v>
      </c>
      <c r="J1549" s="5" t="s">
        <v>26159</v>
      </c>
      <c r="K1549" s="5" t="s">
        <v>344</v>
      </c>
      <c r="L1549" s="5"/>
      <c r="M1549" s="27"/>
      <c r="N1549" s="5"/>
      <c r="O1549" s="5" t="str">
        <v>7706460475</v>
      </c>
      <c r="P1549" s="27">
        <v>477000000</v>
      </c>
      <c r="Q1549" s="5" t="s">
        <v>49009</v>
      </c>
      <c r="R1549" s="5"/>
      <c r="S1549" s="5" t="s">
        <v>49010</v>
      </c>
      <c r="T1549" s="28">
        <v>441624000</v>
      </c>
      <c r="U1549" s="28"/>
      <c r="V1549" s="28">
        <v>577336000</v>
      </c>
      <c r="W1549" s="28"/>
      <c r="X1549" s="28">
        <v>244930000</v>
      </c>
      <c r="Y1549" s="28">
        <v>1450335000</v>
      </c>
      <c r="Z1549" s="28">
        <v>92563000</v>
      </c>
      <c r="AA1549" s="28"/>
      <c r="AB1549" s="28"/>
      <c r="AC1549" s="28">
        <v>578670000</v>
      </c>
      <c r="AD1549" s="28">
        <v>569563000</v>
      </c>
      <c r="AE1549" s="28">
        <v>3854873000</v>
      </c>
      <c r="AF1549" s="28">
        <v>-9101000</v>
      </c>
      <c r="AG1549" s="11"/>
    </row>
    <row r="1550">
      <c r="A1550" s="7" t="s">
        <v>3258</v>
      </c>
      <c r="B1550" s="5" t="s">
        <v>11245</v>
      </c>
      <c r="C1550" s="5" t="s">
        <v>19108</v>
      </c>
      <c r="D1550" s="5" t="str">
        <v>773206059977</v>
      </c>
      <c r="E1550" s="0" t="e">
        <f>+7 (3472) 521681
+7 (383) 2105164
+7 (383) 2300324
+7 (383) 2918339
+7 (391) 2784985
+7 (421) 2730449
+7 (421) 2760337
+7 (4725) 378226
+7 (4725) 378227
+7 (473) 2614712
+7 (495) 5648687
+7 (495) 5648691
+7 (495) 5648693
+7 (495) 5648694
+7 (495) 5648695</f>
        <v>#NAME?</v>
      </c>
      <c r="F1550" s="5" t="s">
        <v>30009</v>
      </c>
      <c r="G1550" s="5"/>
      <c r="H1550" s="26">
        <v>24.5</v>
      </c>
      <c r="I1550" s="5" t="s">
        <v>30010</v>
      </c>
      <c r="J1550" s="5" t="s">
        <v>25366</v>
      </c>
      <c r="K1550" s="5" t="s">
        <v>344</v>
      </c>
      <c r="L1550" s="5" t="s">
        <v>30011</v>
      </c>
      <c r="M1550" s="27"/>
      <c r="N1550" s="5" t="s">
        <v>51740</v>
      </c>
      <c r="O1550" s="5" t="str">
        <v>7714132189</v>
      </c>
      <c r="P1550" s="27">
        <v>8933220</v>
      </c>
      <c r="Q1550" s="5" t="s">
        <v>49009</v>
      </c>
      <c r="R1550" s="5" t="s">
        <v>51742</v>
      </c>
      <c r="S1550" s="5" t="s">
        <v>49066</v>
      </c>
      <c r="T1550" s="28">
        <v>2088621000</v>
      </c>
      <c r="U1550" s="28">
        <v>403076000</v>
      </c>
      <c r="V1550" s="28">
        <v>562312000</v>
      </c>
      <c r="W1550" s="28">
        <v>68663000</v>
      </c>
      <c r="X1550" s="28">
        <v>47731000</v>
      </c>
      <c r="Y1550" s="28">
        <v>4542092000</v>
      </c>
      <c r="Z1550" s="28">
        <v>2064596000</v>
      </c>
      <c r="AA1550" s="28">
        <v>1381803000</v>
      </c>
      <c r="AB1550" s="28">
        <v>476184000</v>
      </c>
      <c r="AC1550" s="28">
        <v>942134000</v>
      </c>
      <c r="AD1550" s="28">
        <v>2074194000</v>
      </c>
      <c r="AE1550" s="28">
        <v>6250327000</v>
      </c>
      <c r="AF1550" s="28">
        <v>534915000</v>
      </c>
      <c r="AG1550" s="11"/>
    </row>
    <row r="1551">
      <c r="A1551" s="7" t="s">
        <v>3259</v>
      </c>
      <c r="B1551" s="5" t="s">
        <v>11246</v>
      </c>
      <c r="C1551" s="5" t="s">
        <v>19109</v>
      </c>
      <c r="D1551" s="5" t="str">
        <v>616204807734</v>
      </c>
      <c r="E1551" s="0" t="e">
        <f>+7 (8632) 559947
+7 (928) 7607002</f>
        <v>#NAME?</v>
      </c>
      <c r="F1551" s="5" t="s">
        <v>30012</v>
      </c>
      <c r="G1551" s="5"/>
      <c r="H1551" s="26">
        <v>7.5</v>
      </c>
      <c r="I1551" s="5" t="s">
        <v>30013</v>
      </c>
      <c r="J1551" s="5" t="s">
        <v>25837</v>
      </c>
      <c r="K1551" s="5" t="s">
        <v>344</v>
      </c>
      <c r="L1551" s="5" t="s">
        <v>30014</v>
      </c>
      <c r="M1551" s="27"/>
      <c r="N1551" s="5"/>
      <c r="O1551" s="5" t="str">
        <v>6164103711</v>
      </c>
      <c r="P1551" s="27">
        <v>10000</v>
      </c>
      <c r="Q1551" s="5"/>
      <c r="R1551" s="5"/>
      <c r="S1551" s="5" t="s">
        <v>49029</v>
      </c>
      <c r="T1551" s="28">
        <v>40973000</v>
      </c>
      <c r="U1551" s="28"/>
      <c r="V1551" s="28">
        <v>427151000</v>
      </c>
      <c r="W1551" s="28"/>
      <c r="X1551" s="28">
        <v>107680000</v>
      </c>
      <c r="Y1551" s="28">
        <v>681180000</v>
      </c>
      <c r="Z1551" s="28">
        <v>355333000</v>
      </c>
      <c r="AA1551" s="28"/>
      <c r="AB1551" s="28"/>
      <c r="AC1551" s="28">
        <v>317214000</v>
      </c>
      <c r="AD1551" s="28">
        <v>355343000</v>
      </c>
      <c r="AE1551" s="28">
        <v>6150350000</v>
      </c>
      <c r="AF1551" s="28">
        <v>336808000</v>
      </c>
      <c r="AG1551" s="11"/>
    </row>
    <row r="1552">
      <c r="A1552" s="7" t="s">
        <v>3260</v>
      </c>
      <c r="B1552" s="5" t="s">
        <v>11247</v>
      </c>
      <c r="C1552" s="5" t="s">
        <v>19110</v>
      </c>
      <c r="D1552" s="5" t="str">
        <v>781419882627</v>
      </c>
      <c r="E1552" s="0" t="e">
        <f>+7 (931) 3416406</f>
        <v>#NAME?</v>
      </c>
      <c r="F1552" s="5" t="s">
        <v>30015</v>
      </c>
      <c r="G1552" s="5"/>
      <c r="H1552" s="26">
        <v>13</v>
      </c>
      <c r="I1552" s="5" t="s">
        <v>30016</v>
      </c>
      <c r="J1552" s="5" t="s">
        <v>27182</v>
      </c>
      <c r="K1552" s="5" t="s">
        <v>344</v>
      </c>
      <c r="L1552" s="5" t="s">
        <v>30017</v>
      </c>
      <c r="M1552" s="27"/>
      <c r="N1552" s="5"/>
      <c r="O1552" s="5" t="str">
        <v>4703115348</v>
      </c>
      <c r="P1552" s="27">
        <v>10000</v>
      </c>
      <c r="Q1552" s="5" t="s">
        <v>49009</v>
      </c>
      <c r="R1552" s="5" t="s">
        <v>51743</v>
      </c>
      <c r="S1552" s="5" t="s">
        <v>49010</v>
      </c>
      <c r="T1552" s="28">
        <v>482000</v>
      </c>
      <c r="U1552" s="28"/>
      <c r="V1552" s="28">
        <v>365127000</v>
      </c>
      <c r="W1552" s="28"/>
      <c r="X1552" s="28">
        <v>662830000</v>
      </c>
      <c r="Y1552" s="28">
        <v>1039556000</v>
      </c>
      <c r="Z1552" s="28">
        <v>544699000</v>
      </c>
      <c r="AA1552" s="28"/>
      <c r="AB1552" s="28"/>
      <c r="AC1552" s="28">
        <v>494847000</v>
      </c>
      <c r="AD1552" s="28">
        <v>544709000</v>
      </c>
      <c r="AE1552" s="28">
        <v>3301198000</v>
      </c>
      <c r="AF1552" s="28">
        <v>157159000</v>
      </c>
      <c r="AG1552" s="11"/>
    </row>
    <row r="1553">
      <c r="A1553" s="7" t="s">
        <v>3261</v>
      </c>
      <c r="B1553" s="5" t="s">
        <v>11248</v>
      </c>
      <c r="C1553" s="5" t="s">
        <v>19111</v>
      </c>
      <c r="D1553" s="5" t="str">
        <v>026905101295</v>
      </c>
      <c r="E1553" s="0" t="e">
        <f>+7 (3472) 168485
+7 (937) 8550303
+7 (3472) 237010
+7 (3472) 237035
+7 (3472) 237038
+7 (3472) 237049
+7 (3472) 237065
+7 (3472) 237071
+7 (3472) 237080
+7 (3472) 824413
+7 (3472) 920633</f>
        <v>#NAME?</v>
      </c>
      <c r="F1553" s="5" t="s">
        <v>30018</v>
      </c>
      <c r="G1553" s="5" t="s">
        <v>30019</v>
      </c>
      <c r="H1553" s="26">
        <v>16.5</v>
      </c>
      <c r="I1553" s="5" t="s">
        <v>30020</v>
      </c>
      <c r="J1553" s="5" t="s">
        <v>364</v>
      </c>
      <c r="K1553" s="5" t="s">
        <v>355</v>
      </c>
      <c r="L1553" s="5" t="s">
        <v>30021</v>
      </c>
      <c r="M1553" s="27">
        <v>1882213</v>
      </c>
      <c r="N1553" s="5" t="s">
        <v>50353</v>
      </c>
      <c r="O1553" s="5" t="str">
        <v>0278122890</v>
      </c>
      <c r="P1553" s="27">
        <v>36179000</v>
      </c>
      <c r="Q1553" s="5" t="s">
        <v>51744</v>
      </c>
      <c r="R1553" s="5"/>
      <c r="S1553" s="5" t="s">
        <v>51745</v>
      </c>
      <c r="T1553" s="28">
        <v>70452000</v>
      </c>
      <c r="U1553" s="28">
        <v>50000</v>
      </c>
      <c r="V1553" s="28">
        <v>653300000</v>
      </c>
      <c r="W1553" s="28">
        <v>312570000</v>
      </c>
      <c r="X1553" s="28">
        <v>23939000</v>
      </c>
      <c r="Y1553" s="28">
        <v>1187734000</v>
      </c>
      <c r="Z1553" s="28">
        <v>21354000</v>
      </c>
      <c r="AA1553" s="28"/>
      <c r="AB1553" s="28">
        <v>2685000</v>
      </c>
      <c r="AC1553" s="28">
        <v>1092416000</v>
      </c>
      <c r="AD1553" s="28">
        <v>57719000</v>
      </c>
      <c r="AE1553" s="28">
        <v>4445480000</v>
      </c>
      <c r="AF1553" s="28">
        <v>3960000</v>
      </c>
      <c r="AG1553" s="11"/>
    </row>
    <row r="1554">
      <c r="A1554" s="7" t="s">
        <v>3262</v>
      </c>
      <c r="B1554" s="5" t="s">
        <v>11249</v>
      </c>
      <c r="C1554" s="5" t="s">
        <v>19112</v>
      </c>
      <c r="D1554" s="5" t="str">
        <v>780221120031</v>
      </c>
      <c r="E1554" s="0" t="e">
        <f>+7 (812) 3185235
+7 (812) 3375310
+7 (812) 3375311
+7 (812) 3375313
+7 (812) 6002240</f>
        <v>#NAME?</v>
      </c>
      <c r="F1554" s="5" t="s">
        <v>30022</v>
      </c>
      <c r="G1554" s="5" t="s">
        <v>30023</v>
      </c>
      <c r="H1554" s="26">
        <v>24</v>
      </c>
      <c r="I1554" s="5" t="s">
        <v>30024</v>
      </c>
      <c r="J1554" s="5" t="s">
        <v>30025</v>
      </c>
      <c r="K1554" s="5" t="s">
        <v>380</v>
      </c>
      <c r="L1554" s="5"/>
      <c r="M1554" s="27">
        <v>178702060</v>
      </c>
      <c r="N1554" s="5" t="s">
        <v>51746</v>
      </c>
      <c r="O1554" s="5" t="str">
        <v>7811077889</v>
      </c>
      <c r="P1554" s="27">
        <v>10000</v>
      </c>
      <c r="Q1554" s="5" t="s">
        <v>51747</v>
      </c>
      <c r="R1554" s="5" t="s">
        <v>51748</v>
      </c>
      <c r="S1554" s="5" t="s">
        <v>51749</v>
      </c>
      <c r="T1554" s="28">
        <v>248189000</v>
      </c>
      <c r="U1554" s="28"/>
      <c r="V1554" s="28">
        <v>12348617000</v>
      </c>
      <c r="W1554" s="28">
        <v>341872000</v>
      </c>
      <c r="X1554" s="28">
        <v>496918000</v>
      </c>
      <c r="Y1554" s="28">
        <v>15690958000</v>
      </c>
      <c r="Z1554" s="28">
        <v>2026296000</v>
      </c>
      <c r="AA1554" s="28">
        <v>288194000</v>
      </c>
      <c r="AB1554" s="28">
        <v>41116000</v>
      </c>
      <c r="AC1554" s="28">
        <v>13141821000</v>
      </c>
      <c r="AD1554" s="28">
        <v>2026306000</v>
      </c>
      <c r="AE1554" s="28">
        <v>6659934000</v>
      </c>
      <c r="AF1554" s="28">
        <v>190173000</v>
      </c>
      <c r="AG1554" s="11"/>
    </row>
    <row r="1555">
      <c r="A1555" s="7" t="s">
        <v>3263</v>
      </c>
      <c r="B1555" s="5" t="s">
        <v>11250</v>
      </c>
      <c r="C1555" s="5" t="s">
        <v>19113</v>
      </c>
      <c r="D1555" s="5" t="str">
        <v>773383068602</v>
      </c>
      <c r="E1555" s="0" t="e">
        <f>+7 (495) 9330135
+7 (495) 9330136
+7 (495) 9372385
+7 (495) 9372393
+7 (499) 5500054</f>
        <v>#NAME?</v>
      </c>
      <c r="F1555" s="5" t="s">
        <v>30026</v>
      </c>
      <c r="G1555" s="5" t="s">
        <v>30027</v>
      </c>
      <c r="H1555" s="26">
        <v>12.5</v>
      </c>
      <c r="I1555" s="5" t="s">
        <v>30028</v>
      </c>
      <c r="J1555" s="5" t="s">
        <v>27983</v>
      </c>
      <c r="K1555" s="5" t="s">
        <v>344</v>
      </c>
      <c r="L1555" s="5" t="s">
        <v>30029</v>
      </c>
      <c r="M1555" s="27"/>
      <c r="N1555" s="5"/>
      <c r="O1555" s="5" t="str">
        <v>7718813164</v>
      </c>
      <c r="P1555" s="27">
        <v>60000000</v>
      </c>
      <c r="Q1555" s="5" t="s">
        <v>49009</v>
      </c>
      <c r="R1555" s="5"/>
      <c r="S1555" s="5" t="s">
        <v>49010</v>
      </c>
      <c r="T1555" s="28">
        <v>430769000</v>
      </c>
      <c r="U1555" s="28"/>
      <c r="V1555" s="28">
        <v>562812000</v>
      </c>
      <c r="W1555" s="28"/>
      <c r="X1555" s="28">
        <v>120774000</v>
      </c>
      <c r="Y1555" s="28">
        <v>2431909000</v>
      </c>
      <c r="Z1555" s="28">
        <v>1140736000</v>
      </c>
      <c r="AA1555" s="28"/>
      <c r="AB1555" s="28">
        <v>1307000</v>
      </c>
      <c r="AC1555" s="28">
        <v>943228000</v>
      </c>
      <c r="AD1555" s="28">
        <v>1200736000</v>
      </c>
      <c r="AE1555" s="28">
        <v>5284074000</v>
      </c>
      <c r="AF1555" s="28">
        <v>221989000</v>
      </c>
      <c r="AG1555" s="11"/>
    </row>
    <row r="1556">
      <c r="A1556" s="7" t="s">
        <v>3264</v>
      </c>
      <c r="B1556" s="5" t="s">
        <v>11251</v>
      </c>
      <c r="C1556" s="5" t="s">
        <v>19114</v>
      </c>
      <c r="D1556" s="5" t="str">
        <v>781711421953</v>
      </c>
      <c r="E1556" s="0" t="e">
        <f>+7 (812) 6400996
+7 (911) 2405014</f>
        <v>#NAME?</v>
      </c>
      <c r="F1556" s="5" t="s">
        <v>30030</v>
      </c>
      <c r="G1556" s="5"/>
      <c r="H1556" s="26">
        <v>12</v>
      </c>
      <c r="I1556" s="5" t="s">
        <v>30031</v>
      </c>
      <c r="J1556" s="5" t="s">
        <v>710</v>
      </c>
      <c r="K1556" s="5" t="s">
        <v>344</v>
      </c>
      <c r="L1556" s="5" t="s">
        <v>30032</v>
      </c>
      <c r="M1556" s="27">
        <v>301624143</v>
      </c>
      <c r="N1556" s="5" t="s">
        <v>51750</v>
      </c>
      <c r="O1556" s="5" t="str">
        <v>7813492792</v>
      </c>
      <c r="P1556" s="27">
        <v>1000000</v>
      </c>
      <c r="Q1556" s="5" t="s">
        <v>51751</v>
      </c>
      <c r="R1556" s="5" t="s">
        <v>51752</v>
      </c>
      <c r="S1556" s="5" t="s">
        <v>51753</v>
      </c>
      <c r="T1556" s="28">
        <v>293809000</v>
      </c>
      <c r="U1556" s="28"/>
      <c r="V1556" s="28">
        <v>2364174000</v>
      </c>
      <c r="W1556" s="28">
        <v>54440000</v>
      </c>
      <c r="X1556" s="28">
        <v>334887000</v>
      </c>
      <c r="Y1556" s="28">
        <v>4141687000</v>
      </c>
      <c r="Z1556" s="28">
        <v>257866000</v>
      </c>
      <c r="AA1556" s="28">
        <v>156401000</v>
      </c>
      <c r="AB1556" s="28">
        <v>175795000</v>
      </c>
      <c r="AC1556" s="28">
        <v>3544032000</v>
      </c>
      <c r="AD1556" s="28">
        <v>300441000</v>
      </c>
      <c r="AE1556" s="28">
        <v>5539745000</v>
      </c>
      <c r="AF1556" s="28">
        <v>204846000</v>
      </c>
      <c r="AG1556" s="11"/>
    </row>
    <row r="1557">
      <c r="A1557" s="7" t="s">
        <v>3265</v>
      </c>
      <c r="B1557" s="5" t="s">
        <v>11252</v>
      </c>
      <c r="C1557" s="5" t="s">
        <v>19115</v>
      </c>
      <c r="D1557" s="5" t="str">
        <v>027718139004</v>
      </c>
      <c r="E1557" s="0" t="e">
        <f>+7 (35323) 5820</f>
        <v>#NAME?</v>
      </c>
      <c r="F1557" s="5"/>
      <c r="G1557" s="5"/>
      <c r="H1557" s="26">
        <v>13</v>
      </c>
      <c r="I1557" s="5" t="s">
        <v>30033</v>
      </c>
      <c r="J1557" s="5" t="s">
        <v>26607</v>
      </c>
      <c r="K1557" s="5" t="s">
        <v>344</v>
      </c>
      <c r="L1557" s="5" t="s">
        <v>30034</v>
      </c>
      <c r="M1557" s="27"/>
      <c r="N1557" s="5"/>
      <c r="O1557" s="5" t="str">
        <v>5638056740</v>
      </c>
      <c r="P1557" s="27">
        <v>2450658015</v>
      </c>
      <c r="Q1557" s="5" t="s">
        <v>49009</v>
      </c>
      <c r="R1557" s="5"/>
      <c r="S1557" s="5" t="s">
        <v>49010</v>
      </c>
      <c r="T1557" s="28">
        <v>5794487000</v>
      </c>
      <c r="U1557" s="28"/>
      <c r="V1557" s="28">
        <v>7198080000</v>
      </c>
      <c r="W1557" s="28"/>
      <c r="X1557" s="28">
        <v>244000</v>
      </c>
      <c r="Y1557" s="28">
        <v>13430135000</v>
      </c>
      <c r="Z1557" s="28">
        <v>8918191000</v>
      </c>
      <c r="AA1557" s="28"/>
      <c r="AB1557" s="28"/>
      <c r="AC1557" s="28">
        <v>1268875000</v>
      </c>
      <c r="AD1557" s="28">
        <v>11368849000</v>
      </c>
      <c r="AE1557" s="28">
        <v>11957537000</v>
      </c>
      <c r="AF1557" s="28">
        <v>349457000</v>
      </c>
      <c r="AG1557" s="11"/>
    </row>
    <row r="1558">
      <c r="A1558" s="7" t="s">
        <v>3266</v>
      </c>
      <c r="B1558" s="5" t="s">
        <v>11253</v>
      </c>
      <c r="C1558" s="5" t="s">
        <v>19116</v>
      </c>
      <c r="D1558" s="5"/>
      <c r="E1558" s="0" t="e">
        <f>+7 (4712) 471437
+7 (47134) 32617
+7 (47143) 34486
+7 (919) 2899280</f>
        <v>#NAME?</v>
      </c>
      <c r="F1558" s="5" t="s">
        <v>30035</v>
      </c>
      <c r="G1558" s="5"/>
      <c r="H1558" s="26">
        <v>20</v>
      </c>
      <c r="I1558" s="5" t="s">
        <v>30036</v>
      </c>
      <c r="J1558" s="5" t="s">
        <v>725</v>
      </c>
      <c r="K1558" s="5" t="s">
        <v>355</v>
      </c>
      <c r="L1558" s="5" t="s">
        <v>30037</v>
      </c>
      <c r="M1558" s="27"/>
      <c r="N1558" s="5"/>
      <c r="O1558" s="5" t="str">
        <v>4623005325</v>
      </c>
      <c r="P1558" s="27">
        <v>817270829</v>
      </c>
      <c r="Q1558" s="5" t="s">
        <v>51754</v>
      </c>
      <c r="R1558" s="5"/>
      <c r="S1558" s="5" t="s">
        <v>51755</v>
      </c>
      <c r="T1558" s="28">
        <v>2096621000</v>
      </c>
      <c r="U1558" s="28"/>
      <c r="V1558" s="28">
        <v>7403855000</v>
      </c>
      <c r="W1558" s="28"/>
      <c r="X1558" s="28">
        <v>743000</v>
      </c>
      <c r="Y1558" s="28">
        <v>10584868000</v>
      </c>
      <c r="Z1558" s="28">
        <v>7589177000</v>
      </c>
      <c r="AA1558" s="28">
        <v>116749000</v>
      </c>
      <c r="AB1558" s="28">
        <v>800000000</v>
      </c>
      <c r="AC1558" s="28">
        <v>2061661000</v>
      </c>
      <c r="AD1558" s="28">
        <v>8406458000</v>
      </c>
      <c r="AE1558" s="28">
        <v>4501749000</v>
      </c>
      <c r="AF1558" s="28">
        <v>513333000</v>
      </c>
      <c r="AG1558" s="11"/>
    </row>
    <row r="1559">
      <c r="A1559" s="7" t="s">
        <v>3267</v>
      </c>
      <c r="B1559" s="5" t="s">
        <v>11254</v>
      </c>
      <c r="C1559" s="5" t="s">
        <v>19117</v>
      </c>
      <c r="D1559" s="5" t="str">
        <v>272105276634</v>
      </c>
      <c r="E1559" s="0" t="e">
        <f>+7 (495) 7753053
+7 (495) 9338291
+7 (495) 5102695
+7 (495) 7752977
+7 (495) 7753050
+7 (495) 9938294</f>
        <v>#NAME?</v>
      </c>
      <c r="F1559" s="5" t="s">
        <v>30038</v>
      </c>
      <c r="G1559" s="5"/>
      <c r="H1559" s="26">
        <v>21</v>
      </c>
      <c r="I1559" s="5" t="s">
        <v>30039</v>
      </c>
      <c r="J1559" s="5" t="s">
        <v>26503</v>
      </c>
      <c r="K1559" s="5" t="s">
        <v>344</v>
      </c>
      <c r="L1559" s="5" t="s">
        <v>30040</v>
      </c>
      <c r="M1559" s="27"/>
      <c r="N1559" s="5"/>
      <c r="O1559" s="5" t="str">
        <v>5006008213</v>
      </c>
      <c r="P1559" s="27">
        <v>100000000</v>
      </c>
      <c r="Q1559" s="5" t="s">
        <v>51756</v>
      </c>
      <c r="R1559" s="5"/>
      <c r="S1559" s="5" t="s">
        <v>49180</v>
      </c>
      <c r="T1559" s="28">
        <v>1319469000</v>
      </c>
      <c r="U1559" s="28"/>
      <c r="V1559" s="28">
        <v>9730590000</v>
      </c>
      <c r="W1559" s="28"/>
      <c r="X1559" s="28">
        <v>2746785000</v>
      </c>
      <c r="Y1559" s="28">
        <v>15234105000</v>
      </c>
      <c r="Z1559" s="28">
        <v>554898000</v>
      </c>
      <c r="AA1559" s="28">
        <v>4208300000</v>
      </c>
      <c r="AB1559" s="28">
        <v>2734644000</v>
      </c>
      <c r="AC1559" s="28">
        <v>8923302000</v>
      </c>
      <c r="AD1559" s="28">
        <v>654898000</v>
      </c>
      <c r="AE1559" s="28">
        <v>12363580000</v>
      </c>
      <c r="AF1559" s="28">
        <v>790208000</v>
      </c>
      <c r="AG1559" s="11"/>
    </row>
    <row r="1560">
      <c r="A1560" s="7" t="s">
        <v>3268</v>
      </c>
      <c r="B1560" s="5" t="s">
        <v>11255</v>
      </c>
      <c r="C1560" s="5" t="s">
        <v>19118</v>
      </c>
      <c r="D1560" s="5" t="str">
        <v>244309580429</v>
      </c>
      <c r="E1560" s="0" t="e">
        <f>+7 (391) 2500161
+7 (391) 2546554
+7 (391) 2695715
+7 (391) 2954112</f>
        <v>#NAME?</v>
      </c>
      <c r="F1560" s="5" t="s">
        <v>30041</v>
      </c>
      <c r="G1560" s="5"/>
      <c r="H1560" s="26">
        <v>10</v>
      </c>
      <c r="I1560" s="5" t="s">
        <v>30042</v>
      </c>
      <c r="J1560" s="5" t="s">
        <v>30025</v>
      </c>
      <c r="K1560" s="5" t="s">
        <v>344</v>
      </c>
      <c r="L1560" s="5" t="s">
        <v>30043</v>
      </c>
      <c r="M1560" s="27"/>
      <c r="N1560" s="5" t="s">
        <v>51757</v>
      </c>
      <c r="O1560" s="5" t="str">
        <v>2464250942</v>
      </c>
      <c r="P1560" s="27">
        <v>10000</v>
      </c>
      <c r="Q1560" s="5" t="s">
        <v>51758</v>
      </c>
      <c r="R1560" s="5"/>
      <c r="S1560" s="5" t="s">
        <v>51759</v>
      </c>
      <c r="T1560" s="28">
        <v>1067877000</v>
      </c>
      <c r="U1560" s="28"/>
      <c r="V1560" s="28">
        <v>4861858000</v>
      </c>
      <c r="W1560" s="28"/>
      <c r="X1560" s="28">
        <v>19669000</v>
      </c>
      <c r="Y1560" s="28">
        <v>10666242000</v>
      </c>
      <c r="Z1560" s="28">
        <v>167030000</v>
      </c>
      <c r="AA1560" s="28">
        <v>57437000</v>
      </c>
      <c r="AB1560" s="28">
        <v>1434383000</v>
      </c>
      <c r="AC1560" s="28">
        <v>9581062000</v>
      </c>
      <c r="AD1560" s="28">
        <v>167040000</v>
      </c>
      <c r="AE1560" s="28">
        <v>9291589000</v>
      </c>
      <c r="AF1560" s="28">
        <v>78745000</v>
      </c>
      <c r="AG1560" s="11"/>
    </row>
    <row r="1561">
      <c r="A1561" s="7" t="s">
        <v>3269</v>
      </c>
      <c r="B1561" s="5" t="s">
        <v>11256</v>
      </c>
      <c r="C1561" s="5" t="s">
        <v>19119</v>
      </c>
      <c r="D1561" s="5" t="str">
        <v>502004902102</v>
      </c>
      <c r="E1561" s="0" t="e">
        <f>+7 (495) 2280854
+7 (495) 7294401
+7 (967) 611530</f>
        <v>#NAME?</v>
      </c>
      <c r="F1561" s="5" t="s">
        <v>30044</v>
      </c>
      <c r="G1561" s="5" t="s">
        <v>30045</v>
      </c>
      <c r="H1561" s="26">
        <v>9</v>
      </c>
      <c r="I1561" s="5" t="s">
        <v>30046</v>
      </c>
      <c r="J1561" s="5" t="s">
        <v>364</v>
      </c>
      <c r="K1561" s="5" t="s">
        <v>344</v>
      </c>
      <c r="L1561" s="5" t="s">
        <v>30047</v>
      </c>
      <c r="M1561" s="27"/>
      <c r="N1561" s="5" t="s">
        <v>51760</v>
      </c>
      <c r="O1561" s="5" t="str">
        <v>7722831864</v>
      </c>
      <c r="P1561" s="27">
        <v>5000000</v>
      </c>
      <c r="Q1561" s="5" t="s">
        <v>51761</v>
      </c>
      <c r="R1561" s="5"/>
      <c r="S1561" s="5" t="s">
        <v>51762</v>
      </c>
      <c r="T1561" s="28">
        <v>159031000</v>
      </c>
      <c r="U1561" s="28">
        <v>850000</v>
      </c>
      <c r="V1561" s="28">
        <v>1723640000</v>
      </c>
      <c r="W1561" s="28">
        <v>258070000</v>
      </c>
      <c r="X1561" s="28">
        <v>959087000</v>
      </c>
      <c r="Y1561" s="28">
        <v>3241370000</v>
      </c>
      <c r="Z1561" s="28">
        <v>1013075000</v>
      </c>
      <c r="AA1561" s="28"/>
      <c r="AB1561" s="28">
        <v>48848000</v>
      </c>
      <c r="AC1561" s="28">
        <v>2201914000</v>
      </c>
      <c r="AD1561" s="28">
        <v>1018075000</v>
      </c>
      <c r="AE1561" s="28">
        <v>5420151000</v>
      </c>
      <c r="AF1561" s="28">
        <v>631670000</v>
      </c>
      <c r="AG1561" s="11"/>
    </row>
    <row r="1562">
      <c r="A1562" s="7" t="s">
        <v>3270</v>
      </c>
      <c r="B1562" s="5" t="s">
        <v>11257</v>
      </c>
      <c r="C1562" s="5" t="s">
        <v>19120</v>
      </c>
      <c r="D1562" s="5" t="str">
        <v>722514087245</v>
      </c>
      <c r="E1562" s="0" t="e">
        <f>+7 (345) 2532501
+7 (345) 2292719
+7 (345) 2292727
+7 (345) 2321573
+7 (345) 2532500
+7 (495) 5891210</f>
        <v>#NAME?</v>
      </c>
      <c r="F1562" s="5" t="s">
        <v>30048</v>
      </c>
      <c r="G1562" s="5" t="s">
        <v>30049</v>
      </c>
      <c r="H1562" s="26">
        <v>15</v>
      </c>
      <c r="I1562" s="5"/>
      <c r="J1562" s="5" t="s">
        <v>27806</v>
      </c>
      <c r="K1562" s="5" t="s">
        <v>355</v>
      </c>
      <c r="L1562" s="5"/>
      <c r="M1562" s="27">
        <v>13203666</v>
      </c>
      <c r="N1562" s="5" t="s">
        <v>51763</v>
      </c>
      <c r="O1562" s="5" t="str">
        <v>7203215460</v>
      </c>
      <c r="P1562" s="27">
        <v>13854002967</v>
      </c>
      <c r="Q1562" s="5" t="s">
        <v>51764</v>
      </c>
      <c r="R1562" s="5" t="s">
        <v>51765</v>
      </c>
      <c r="S1562" s="5" t="s">
        <v>51766</v>
      </c>
      <c r="T1562" s="28">
        <v>2519263000</v>
      </c>
      <c r="U1562" s="28">
        <v>14584150000</v>
      </c>
      <c r="V1562" s="28">
        <v>14643197000</v>
      </c>
      <c r="W1562" s="28">
        <v>60180000</v>
      </c>
      <c r="X1562" s="28">
        <v>112579000</v>
      </c>
      <c r="Y1562" s="28">
        <v>34585246000</v>
      </c>
      <c r="Z1562" s="28">
        <v>-3179475000</v>
      </c>
      <c r="AA1562" s="28">
        <v>646540000</v>
      </c>
      <c r="AB1562" s="28">
        <v>405555000</v>
      </c>
      <c r="AC1562" s="28">
        <v>3316628000</v>
      </c>
      <c r="AD1562" s="28">
        <v>30361552000</v>
      </c>
      <c r="AE1562" s="28">
        <v>9505162000</v>
      </c>
      <c r="AF1562" s="28">
        <v>-2873126000</v>
      </c>
      <c r="AG1562" s="11"/>
    </row>
    <row r="1563">
      <c r="A1563" s="7" t="s">
        <v>3271</v>
      </c>
      <c r="B1563" s="5" t="s">
        <v>11258</v>
      </c>
      <c r="C1563" s="5" t="s">
        <v>19121</v>
      </c>
      <c r="D1563" s="5" t="str">
        <v>771412108016</v>
      </c>
      <c r="E1563" s="0" t="e">
        <f>+7 (495) 7056375
+7 (495) 7058066
+7 (499) 1570192
+7 (499) 1570446
+7 (499) 1570996
+7 (499) 1588471
+7 (499) 1588546
+7 (499) 7298031</f>
        <v>#NAME?</v>
      </c>
      <c r="F1563" s="5" t="s">
        <v>30050</v>
      </c>
      <c r="G1563" s="5"/>
      <c r="H1563" s="26">
        <v>29.5</v>
      </c>
      <c r="I1563" s="5" t="s">
        <v>30051</v>
      </c>
      <c r="J1563" s="5" t="s">
        <v>467</v>
      </c>
      <c r="K1563" s="5" t="s">
        <v>344</v>
      </c>
      <c r="L1563" s="5" t="s">
        <v>30052</v>
      </c>
      <c r="M1563" s="27"/>
      <c r="N1563" s="5" t="s">
        <v>51767</v>
      </c>
      <c r="O1563" s="5" t="str">
        <v>7714969940</v>
      </c>
      <c r="P1563" s="27">
        <v>25000</v>
      </c>
      <c r="Q1563" s="5" t="s">
        <v>51768</v>
      </c>
      <c r="R1563" s="5"/>
      <c r="S1563" s="5" t="s">
        <v>51769</v>
      </c>
      <c r="T1563" s="28">
        <v>116411000</v>
      </c>
      <c r="U1563" s="28">
        <v>407950000</v>
      </c>
      <c r="V1563" s="28">
        <v>1486487000</v>
      </c>
      <c r="W1563" s="28"/>
      <c r="X1563" s="28">
        <v>2944510000</v>
      </c>
      <c r="Y1563" s="28">
        <v>5197175000</v>
      </c>
      <c r="Z1563" s="28">
        <v>768443000</v>
      </c>
      <c r="AA1563" s="28"/>
      <c r="AB1563" s="28"/>
      <c r="AC1563" s="28">
        <v>4422699000</v>
      </c>
      <c r="AD1563" s="28">
        <v>770384000</v>
      </c>
      <c r="AE1563" s="28">
        <v>6797215000</v>
      </c>
      <c r="AF1563" s="28">
        <v>786224000</v>
      </c>
      <c r="AG1563" s="11"/>
    </row>
    <row r="1564">
      <c r="A1564" s="7" t="s">
        <v>3272</v>
      </c>
      <c r="B1564" s="5" t="s">
        <v>11259</v>
      </c>
      <c r="C1564" s="5" t="s">
        <v>19122</v>
      </c>
      <c r="D1564" s="5" t="str">
        <v>540960442848</v>
      </c>
      <c r="E1564" s="0" t="e">
        <f>+7 (383) 3382270
+7 (383) 2049104
+7 (383) 2049114
+7 (383) 2049125
+7 (383) 2360927
+7 (383) 3361006
+7 (383) 3383132
+7 (383) 3383148
+7 (383) 3470703</f>
        <v>#NAME?</v>
      </c>
      <c r="F1564" s="5" t="s">
        <v>30053</v>
      </c>
      <c r="G1564" s="5" t="s">
        <v>30054</v>
      </c>
      <c r="H1564" s="26">
        <v>24.5</v>
      </c>
      <c r="I1564" s="5" t="s">
        <v>30055</v>
      </c>
      <c r="J1564" s="5" t="s">
        <v>28004</v>
      </c>
      <c r="K1564" s="5" t="s">
        <v>344</v>
      </c>
      <c r="L1564" s="5" t="s">
        <v>30056</v>
      </c>
      <c r="M1564" s="27">
        <v>366284</v>
      </c>
      <c r="N1564" s="5"/>
      <c r="O1564" s="5" t="str">
        <v>5408156204</v>
      </c>
      <c r="P1564" s="27">
        <v>44660</v>
      </c>
      <c r="Q1564" s="5" t="s">
        <v>49324</v>
      </c>
      <c r="R1564" s="5"/>
      <c r="S1564" s="5" t="s">
        <v>50562</v>
      </c>
      <c r="T1564" s="28">
        <v>772318000</v>
      </c>
      <c r="U1564" s="28"/>
      <c r="V1564" s="28">
        <v>516592000</v>
      </c>
      <c r="W1564" s="28"/>
      <c r="X1564" s="28">
        <v>729328000</v>
      </c>
      <c r="Y1564" s="28">
        <v>2748456000</v>
      </c>
      <c r="Z1564" s="28">
        <v>2259899000</v>
      </c>
      <c r="AA1564" s="28">
        <v>220000000</v>
      </c>
      <c r="AB1564" s="28">
        <v>112608000</v>
      </c>
      <c r="AC1564" s="28">
        <v>440195000</v>
      </c>
      <c r="AD1564" s="28">
        <v>2062211000</v>
      </c>
      <c r="AE1564" s="28">
        <v>4185940000</v>
      </c>
      <c r="AF1564" s="28">
        <v>630163000</v>
      </c>
      <c r="AG1564" s="11"/>
    </row>
    <row r="1565">
      <c r="A1565" s="7" t="s">
        <v>3273</v>
      </c>
      <c r="B1565" s="5" t="s">
        <v>11260</v>
      </c>
      <c r="C1565" s="5" t="s">
        <v>19123</v>
      </c>
      <c r="D1565" s="5" t="str">
        <v>781123673417</v>
      </c>
      <c r="E1565" s="0" t="e">
        <f>+7 (812) 3208881
+7 (921) 7573884</f>
        <v>#NAME?</v>
      </c>
      <c r="F1565" s="5"/>
      <c r="G1565" s="5" t="s">
        <v>30057</v>
      </c>
      <c r="H1565" s="26">
        <v>21.5</v>
      </c>
      <c r="I1565" s="5" t="s">
        <v>30058</v>
      </c>
      <c r="J1565" s="5" t="s">
        <v>26637</v>
      </c>
      <c r="K1565" s="5" t="s">
        <v>344</v>
      </c>
      <c r="L1565" s="5" t="s">
        <v>30059</v>
      </c>
      <c r="M1565" s="27"/>
      <c r="N1565" s="5"/>
      <c r="O1565" s="5" t="str">
        <v>7810235290</v>
      </c>
      <c r="P1565" s="27">
        <v>10000</v>
      </c>
      <c r="Q1565" s="5"/>
      <c r="R1565" s="5"/>
      <c r="S1565" s="5" t="s">
        <v>49029</v>
      </c>
      <c r="T1565" s="28">
        <v>93408000</v>
      </c>
      <c r="U1565" s="28"/>
      <c r="V1565" s="28">
        <v>51604000</v>
      </c>
      <c r="W1565" s="28"/>
      <c r="X1565" s="28">
        <v>809000</v>
      </c>
      <c r="Y1565" s="28">
        <v>371651000</v>
      </c>
      <c r="Z1565" s="28">
        <v>202954000</v>
      </c>
      <c r="AA1565" s="28"/>
      <c r="AB1565" s="28"/>
      <c r="AC1565" s="28">
        <v>159404000</v>
      </c>
      <c r="AD1565" s="28">
        <v>202964000</v>
      </c>
      <c r="AE1565" s="28">
        <v>3361622000</v>
      </c>
      <c r="AF1565" s="28">
        <v>107916000</v>
      </c>
      <c r="AG1565" s="11"/>
    </row>
    <row r="1566">
      <c r="A1566" s="7" t="s">
        <v>3274</v>
      </c>
      <c r="B1566" s="5" t="s">
        <v>11261</v>
      </c>
      <c r="C1566" s="5" t="s">
        <v>19124</v>
      </c>
      <c r="D1566" s="5" t="str">
        <v>615424395107</v>
      </c>
      <c r="E1566" s="0" t="e">
        <f>+7 (495) 9357621</f>
        <v>#NAME?</v>
      </c>
      <c r="F1566" s="5" t="s">
        <v>30060</v>
      </c>
      <c r="G1566" s="5"/>
      <c r="H1566" s="26">
        <v>7.5</v>
      </c>
      <c r="I1566" s="5" t="s">
        <v>30061</v>
      </c>
      <c r="J1566" s="5" t="s">
        <v>25195</v>
      </c>
      <c r="K1566" s="5" t="s">
        <v>355</v>
      </c>
      <c r="L1566" s="5" t="s">
        <v>30062</v>
      </c>
      <c r="M1566" s="27"/>
      <c r="N1566" s="5"/>
      <c r="O1566" s="5" t="str">
        <v>7729482411</v>
      </c>
      <c r="P1566" s="27">
        <v>753916700</v>
      </c>
      <c r="Q1566" s="5" t="s">
        <v>49009</v>
      </c>
      <c r="R1566" s="5"/>
      <c r="S1566" s="5" t="s">
        <v>49371</v>
      </c>
      <c r="T1566" s="28">
        <v>1498908000</v>
      </c>
      <c r="U1566" s="28"/>
      <c r="V1566" s="28">
        <v>276463000</v>
      </c>
      <c r="W1566" s="28"/>
      <c r="X1566" s="28">
        <v>189083000</v>
      </c>
      <c r="Y1566" s="28">
        <v>3138698000</v>
      </c>
      <c r="Z1566" s="28">
        <v>118418000</v>
      </c>
      <c r="AA1566" s="28"/>
      <c r="AB1566" s="28"/>
      <c r="AC1566" s="28">
        <v>1186384000</v>
      </c>
      <c r="AD1566" s="28">
        <v>875329000</v>
      </c>
      <c r="AE1566" s="28">
        <v>4020431000</v>
      </c>
      <c r="AF1566" s="28">
        <v>283136000</v>
      </c>
      <c r="AG1566" s="11"/>
    </row>
    <row r="1567">
      <c r="A1567" s="7" t="s">
        <v>3275</v>
      </c>
      <c r="B1567" s="5" t="s">
        <v>11262</v>
      </c>
      <c r="C1567" s="5" t="s">
        <v>19125</v>
      </c>
      <c r="D1567" s="5" t="str">
        <v>770204713652</v>
      </c>
      <c r="E1567" s="0" t="e">
        <f>+7 (800) 5502600</f>
        <v>#NAME?</v>
      </c>
      <c r="F1567" s="5" t="s">
        <v>30063</v>
      </c>
      <c r="G1567" s="5" t="s">
        <v>30064</v>
      </c>
      <c r="H1567" s="26">
        <v>1</v>
      </c>
      <c r="I1567" s="5" t="s">
        <v>30065</v>
      </c>
      <c r="J1567" s="5" t="s">
        <v>25850</v>
      </c>
      <c r="K1567" s="5" t="s">
        <v>344</v>
      </c>
      <c r="L1567" s="5"/>
      <c r="M1567" s="27"/>
      <c r="N1567" s="5"/>
      <c r="O1567" s="5" t="str">
        <v>9701192554</v>
      </c>
      <c r="P1567" s="27">
        <v>50000000</v>
      </c>
      <c r="Q1567" s="5"/>
      <c r="R1567" s="5"/>
      <c r="S1567" s="5" t="s">
        <v>49029</v>
      </c>
      <c r="T1567" s="28">
        <v>30995000</v>
      </c>
      <c r="U1567" s="28"/>
      <c r="V1567" s="28">
        <v>2662605000</v>
      </c>
      <c r="W1567" s="28">
        <v>77870000</v>
      </c>
      <c r="X1567" s="28">
        <v>3069000</v>
      </c>
      <c r="Y1567" s="28">
        <v>3173706000</v>
      </c>
      <c r="Z1567" s="28">
        <v>83250000</v>
      </c>
      <c r="AA1567" s="28"/>
      <c r="AB1567" s="28">
        <v>2156093000</v>
      </c>
      <c r="AC1567" s="28">
        <v>3020299000</v>
      </c>
      <c r="AD1567" s="28">
        <v>133250000</v>
      </c>
      <c r="AE1567" s="28">
        <v>7243988000</v>
      </c>
      <c r="AF1567" s="28">
        <v>83250000</v>
      </c>
      <c r="AG1567" s="11"/>
    </row>
    <row r="1568">
      <c r="A1568" s="7" t="s">
        <v>3276</v>
      </c>
      <c r="B1568" s="5" t="s">
        <v>11263</v>
      </c>
      <c r="C1568" s="5" t="s">
        <v>19126</v>
      </c>
      <c r="D1568" s="5" t="str">
        <v>010101438100</v>
      </c>
      <c r="E1568" s="0" t="e">
        <f>+7 (918) 4259858</f>
        <v>#NAME?</v>
      </c>
      <c r="F1568" s="5" t="s">
        <v>30066</v>
      </c>
      <c r="G1568" s="5"/>
      <c r="H1568" s="26">
        <v>30.5</v>
      </c>
      <c r="I1568" s="5" t="s">
        <v>30067</v>
      </c>
      <c r="J1568" s="5" t="s">
        <v>30068</v>
      </c>
      <c r="K1568" s="5" t="s">
        <v>344</v>
      </c>
      <c r="L1568" s="5" t="s">
        <v>30069</v>
      </c>
      <c r="M1568" s="27"/>
      <c r="N1568" s="5"/>
      <c r="O1568" s="5" t="str">
        <v>0101000776</v>
      </c>
      <c r="P1568" s="27">
        <v>14919</v>
      </c>
      <c r="Q1568" s="5"/>
      <c r="R1568" s="5"/>
      <c r="S1568" s="5" t="s">
        <v>49425</v>
      </c>
      <c r="T1568" s="28">
        <v>734646000</v>
      </c>
      <c r="U1568" s="28"/>
      <c r="V1568" s="28">
        <v>538135000</v>
      </c>
      <c r="W1568" s="28">
        <v>30000000</v>
      </c>
      <c r="X1568" s="28">
        <v>8319000</v>
      </c>
      <c r="Y1568" s="28">
        <v>1691385000</v>
      </c>
      <c r="Z1568" s="28">
        <v>888622000</v>
      </c>
      <c r="AA1568" s="28">
        <v>68229000</v>
      </c>
      <c r="AB1568" s="28">
        <v>450476000</v>
      </c>
      <c r="AC1568" s="28">
        <v>655503000</v>
      </c>
      <c r="AD1568" s="28">
        <v>895274000</v>
      </c>
      <c r="AE1568" s="28">
        <v>3462366000</v>
      </c>
      <c r="AF1568" s="28">
        <v>158592000</v>
      </c>
      <c r="AG1568" s="11"/>
    </row>
    <row r="1569">
      <c r="A1569" s="7" t="s">
        <v>3277</v>
      </c>
      <c r="B1569" s="5" t="s">
        <v>11264</v>
      </c>
      <c r="C1569" s="5" t="s">
        <v>19127</v>
      </c>
      <c r="D1569" s="5"/>
      <c r="E1569" s="0" t="e">
        <f>+7 (495) 7300218
+7 (495) 7300225
+7 (495) 7300233
+7 (495) 7300234</f>
        <v>#NAME?</v>
      </c>
      <c r="F1569" s="5" t="s">
        <v>30070</v>
      </c>
      <c r="G1569" s="5" t="s">
        <v>30071</v>
      </c>
      <c r="H1569" s="26">
        <v>30</v>
      </c>
      <c r="I1569" s="5" t="s">
        <v>30072</v>
      </c>
      <c r="J1569" s="5" t="s">
        <v>25612</v>
      </c>
      <c r="K1569" s="5" t="s">
        <v>355</v>
      </c>
      <c r="L1569" s="5"/>
      <c r="M1569" s="27">
        <v>214454414</v>
      </c>
      <c r="N1569" s="5" t="s">
        <v>51770</v>
      </c>
      <c r="O1569" s="5" t="str">
        <v>7733015025</v>
      </c>
      <c r="P1569" s="27">
        <v>317000000</v>
      </c>
      <c r="Q1569" s="5" t="s">
        <v>51771</v>
      </c>
      <c r="R1569" s="5"/>
      <c r="S1569" s="5" t="s">
        <v>51772</v>
      </c>
      <c r="T1569" s="28">
        <v>156182000</v>
      </c>
      <c r="U1569" s="28">
        <v>11774093000</v>
      </c>
      <c r="V1569" s="28">
        <v>6490771000</v>
      </c>
      <c r="W1569" s="28">
        <v>234958000</v>
      </c>
      <c r="X1569" s="28">
        <v>2014784000</v>
      </c>
      <c r="Y1569" s="28">
        <v>21645657000</v>
      </c>
      <c r="Z1569" s="28">
        <v>1448095000</v>
      </c>
      <c r="AA1569" s="28">
        <v>11344912000</v>
      </c>
      <c r="AB1569" s="28">
        <v>726173000</v>
      </c>
      <c r="AC1569" s="28">
        <v>7490872000</v>
      </c>
      <c r="AD1569" s="28">
        <v>2489511000</v>
      </c>
      <c r="AE1569" s="28">
        <v>5720715000</v>
      </c>
      <c r="AF1569" s="28">
        <v>189214000</v>
      </c>
      <c r="AG1569" s="11"/>
    </row>
    <row r="1570">
      <c r="A1570" s="7" t="s">
        <v>3278</v>
      </c>
      <c r="B1570" s="5" t="s">
        <v>11265</v>
      </c>
      <c r="C1570" s="5" t="s">
        <v>19128</v>
      </c>
      <c r="D1570" s="5" t="str">
        <v>121517780643</v>
      </c>
      <c r="E1570" s="0" t="e">
        <f>+7 (495) 9885208
+7 (39042) 32516
+7 (41658) 31527
+7 (41658) 32196
+7 (495) 9885209
+7 (83161) 79696
+7 (8352) 733931
+7 (846) 3333690</f>
        <v>#NAME?</v>
      </c>
      <c r="F1570" s="5" t="s">
        <v>30073</v>
      </c>
      <c r="G1570" s="5" t="s">
        <v>30074</v>
      </c>
      <c r="H1570" s="26">
        <v>20</v>
      </c>
      <c r="I1570" s="5" t="s">
        <v>30075</v>
      </c>
      <c r="J1570" s="5" t="s">
        <v>897</v>
      </c>
      <c r="K1570" s="5" t="s">
        <v>344</v>
      </c>
      <c r="L1570" s="5"/>
      <c r="M1570" s="27">
        <v>6147241</v>
      </c>
      <c r="N1570" s="5" t="s">
        <v>51773</v>
      </c>
      <c r="O1570" s="5" t="str">
        <v>6345012488</v>
      </c>
      <c r="P1570" s="27">
        <v>535040</v>
      </c>
      <c r="Q1570" s="5" t="s">
        <v>51774</v>
      </c>
      <c r="R1570" s="5"/>
      <c r="S1570" s="5" t="s">
        <v>51775</v>
      </c>
      <c r="T1570" s="28">
        <v>597666000</v>
      </c>
      <c r="U1570" s="28"/>
      <c r="V1570" s="28">
        <v>1724852000</v>
      </c>
      <c r="W1570" s="28"/>
      <c r="X1570" s="28">
        <v>2018947000</v>
      </c>
      <c r="Y1570" s="28">
        <v>7711330000</v>
      </c>
      <c r="Z1570" s="28">
        <v>847696000</v>
      </c>
      <c r="AA1570" s="28">
        <v>24014000</v>
      </c>
      <c r="AB1570" s="28"/>
      <c r="AC1570" s="28">
        <v>5446089000</v>
      </c>
      <c r="AD1570" s="28">
        <v>866526000</v>
      </c>
      <c r="AE1570" s="28">
        <v>8764242000</v>
      </c>
      <c r="AF1570" s="28">
        <v>-44463000</v>
      </c>
      <c r="AG1570" s="11"/>
    </row>
    <row r="1571">
      <c r="A1571" s="7" t="s">
        <v>3279</v>
      </c>
      <c r="B1571" s="5" t="s">
        <v>11266</v>
      </c>
      <c r="C1571" s="5" t="s">
        <v>19129</v>
      </c>
      <c r="D1571" s="5" t="str">
        <v>651100033793</v>
      </c>
      <c r="E1571" s="0" t="e">
        <f>+7 (424) 2456301
+7 (424) 2456303
+7 (424) 2456311
+7 (424) 2722937
+7 (42454) 42064
+7 (42454) 42171
+7 (42454) 42172
+7 (42454) 42240
+7 (42454) 42468
+7 (42454) 42737
+7 (42454) 42800
+7 (84242) 42064
+7 (84242) 42240
+7 (963) 2890316</f>
        <v>#NAME?</v>
      </c>
      <c r="F1571" s="5" t="s">
        <v>30076</v>
      </c>
      <c r="G1571" s="5" t="s">
        <v>30077</v>
      </c>
      <c r="H1571" s="26">
        <v>32</v>
      </c>
      <c r="I1571" s="5"/>
      <c r="J1571" s="5" t="s">
        <v>467</v>
      </c>
      <c r="K1571" s="5" t="s">
        <v>344</v>
      </c>
      <c r="L1571" s="5" t="s">
        <v>30078</v>
      </c>
      <c r="M1571" s="27"/>
      <c r="N1571" s="5" t="s">
        <v>51776</v>
      </c>
      <c r="O1571" s="5" t="str">
        <v>6511000731</v>
      </c>
      <c r="P1571" s="27">
        <v>2100035000</v>
      </c>
      <c r="Q1571" s="5" t="s">
        <v>51777</v>
      </c>
      <c r="R1571" s="5"/>
      <c r="S1571" s="5" t="s">
        <v>50556</v>
      </c>
      <c r="T1571" s="28">
        <v>4859037000</v>
      </c>
      <c r="U1571" s="28">
        <v>331129000</v>
      </c>
      <c r="V1571" s="28">
        <v>1912539000</v>
      </c>
      <c r="W1571" s="28">
        <v>555000</v>
      </c>
      <c r="X1571" s="28">
        <v>904902000</v>
      </c>
      <c r="Y1571" s="28">
        <v>9010885000</v>
      </c>
      <c r="Z1571" s="28">
        <v>3910049000</v>
      </c>
      <c r="AA1571" s="28"/>
      <c r="AB1571" s="28"/>
      <c r="AC1571" s="28">
        <v>2044336000</v>
      </c>
      <c r="AD1571" s="28">
        <v>6325089000</v>
      </c>
      <c r="AE1571" s="28">
        <v>6520520000</v>
      </c>
      <c r="AF1571" s="28">
        <v>316552000</v>
      </c>
      <c r="AG1571" s="11"/>
    </row>
    <row r="1572">
      <c r="A1572" s="7" t="s">
        <v>3280</v>
      </c>
      <c r="B1572" s="5" t="s">
        <v>11267</v>
      </c>
      <c r="C1572" s="5" t="s">
        <v>19130</v>
      </c>
      <c r="D1572" s="5" t="str">
        <v>781609254370</v>
      </c>
      <c r="E1572" s="0" t="e">
        <f>+7 (495) 7267108
+7 (499) 6854395
+7 (812) 3278376
+7 (812) 6678801
+7 (812) 9513979</f>
        <v>#NAME?</v>
      </c>
      <c r="F1572" s="5" t="s">
        <v>30079</v>
      </c>
      <c r="G1572" s="5" t="s">
        <v>30080</v>
      </c>
      <c r="H1572" s="26">
        <v>26.5</v>
      </c>
      <c r="I1572" s="5"/>
      <c r="J1572" s="5" t="s">
        <v>25670</v>
      </c>
      <c r="K1572" s="5" t="s">
        <v>344</v>
      </c>
      <c r="L1572" s="5" t="s">
        <v>30081</v>
      </c>
      <c r="M1572" s="27">
        <v>141140</v>
      </c>
      <c r="N1572" s="5"/>
      <c r="O1572" s="5" t="str">
        <v>7804059818</v>
      </c>
      <c r="P1572" s="27">
        <v>953000000</v>
      </c>
      <c r="Q1572" s="5" t="s">
        <v>51778</v>
      </c>
      <c r="R1572" s="5"/>
      <c r="S1572" s="5" t="s">
        <v>49180</v>
      </c>
      <c r="T1572" s="28">
        <v>267573000</v>
      </c>
      <c r="U1572" s="28">
        <v>583711000</v>
      </c>
      <c r="V1572" s="28">
        <v>43855077000</v>
      </c>
      <c r="W1572" s="28">
        <v>175197000</v>
      </c>
      <c r="X1572" s="28">
        <v>508299000</v>
      </c>
      <c r="Y1572" s="28">
        <v>67235843000</v>
      </c>
      <c r="Z1572" s="28">
        <v>145663000</v>
      </c>
      <c r="AA1572" s="28">
        <v>39064778000</v>
      </c>
      <c r="AB1572" s="28">
        <v>12882860000</v>
      </c>
      <c r="AC1572" s="28">
        <v>13757800000</v>
      </c>
      <c r="AD1572" s="28">
        <v>1136300000</v>
      </c>
      <c r="AE1572" s="28">
        <v>7625776000</v>
      </c>
      <c r="AF1572" s="28">
        <v>111192000</v>
      </c>
      <c r="AG1572" s="11"/>
    </row>
    <row r="1573">
      <c r="A1573" s="7" t="s">
        <v>3281</v>
      </c>
      <c r="B1573" s="5" t="s">
        <v>11268</v>
      </c>
      <c r="C1573" s="5" t="s">
        <v>19131</v>
      </c>
      <c r="D1573" s="5" t="str">
        <v>780526478311</v>
      </c>
      <c r="E1573" s="0" t="e">
        <f>+7 (812) 3800888
+7 (921) 7544345
+7 (812) 3431455
+7 (911) 9227801</f>
        <v>#NAME?</v>
      </c>
      <c r="F1573" s="5" t="s">
        <v>30082</v>
      </c>
      <c r="G1573" s="5"/>
      <c r="H1573" s="26">
        <v>23.5</v>
      </c>
      <c r="I1573" s="5" t="s">
        <v>30083</v>
      </c>
      <c r="J1573" s="5" t="s">
        <v>25424</v>
      </c>
      <c r="K1573" s="5" t="s">
        <v>344</v>
      </c>
      <c r="L1573" s="5" t="s">
        <v>30084</v>
      </c>
      <c r="M1573" s="27"/>
      <c r="N1573" s="5" t="s">
        <v>51779</v>
      </c>
      <c r="O1573" s="5" t="str">
        <v>7813122311</v>
      </c>
      <c r="P1573" s="27">
        <v>20200000</v>
      </c>
      <c r="Q1573" s="5" t="s">
        <v>49009</v>
      </c>
      <c r="R1573" s="5"/>
      <c r="S1573" s="5" t="s">
        <v>51780</v>
      </c>
      <c r="T1573" s="28">
        <v>139743000</v>
      </c>
      <c r="U1573" s="28"/>
      <c r="V1573" s="28">
        <v>799048000</v>
      </c>
      <c r="W1573" s="28"/>
      <c r="X1573" s="28">
        <v>3601000</v>
      </c>
      <c r="Y1573" s="28">
        <v>2027886000</v>
      </c>
      <c r="Z1573" s="28">
        <v>384137000</v>
      </c>
      <c r="AA1573" s="28"/>
      <c r="AB1573" s="28">
        <v>211266000</v>
      </c>
      <c r="AC1573" s="28">
        <v>1560942000</v>
      </c>
      <c r="AD1573" s="28">
        <v>404337000</v>
      </c>
      <c r="AE1573" s="28">
        <v>5955790000</v>
      </c>
      <c r="AF1573" s="28">
        <v>226311000</v>
      </c>
      <c r="AG1573" s="11"/>
    </row>
    <row r="1574">
      <c r="A1574" s="7" t="s">
        <v>3282</v>
      </c>
      <c r="B1574" s="5" t="s">
        <v>11269</v>
      </c>
      <c r="C1574" s="5" t="s">
        <v>19132</v>
      </c>
      <c r="D1574" s="5" t="str">
        <v>774330713057</v>
      </c>
      <c r="E1574" s="0" t="e">
        <f>+7 (485) 2585465
+7 (491) 2975560
+7 (492) 2376866
+7 (495) 2218500
+7 (495) 6601400
+7 (482) 2747889
+7 (482) 2747897
+7 (482) 2747898
+7 (495) 2218507
+7 (495) 2237500
+7 (495) 2237501
+7 (495) 2237502
+7 (495) 5132540
+7 (495) 5257170
+7 (495) 5257171</f>
        <v>#NAME?</v>
      </c>
      <c r="F1574" s="5" t="s">
        <v>30085</v>
      </c>
      <c r="G1574" s="5" t="s">
        <v>30086</v>
      </c>
      <c r="H1574" s="26">
        <v>18.5</v>
      </c>
      <c r="I1574" s="5" t="s">
        <v>30087</v>
      </c>
      <c r="J1574" s="5" t="s">
        <v>27855</v>
      </c>
      <c r="K1574" s="5" t="s">
        <v>355</v>
      </c>
      <c r="L1574" s="5" t="s">
        <v>30088</v>
      </c>
      <c r="M1574" s="27">
        <v>141171404</v>
      </c>
      <c r="N1574" s="5" t="s">
        <v>51781</v>
      </c>
      <c r="O1574" s="5" t="str">
        <v>7743543761</v>
      </c>
      <c r="P1574" s="27">
        <v>5837848375</v>
      </c>
      <c r="Q1574" s="5" t="s">
        <v>49009</v>
      </c>
      <c r="R1574" s="5"/>
      <c r="S1574" s="5" t="s">
        <v>51782</v>
      </c>
      <c r="T1574" s="28">
        <v>61497185000</v>
      </c>
      <c r="U1574" s="28">
        <v>4074261000</v>
      </c>
      <c r="V1574" s="28">
        <v>3542013000</v>
      </c>
      <c r="W1574" s="28">
        <v>10117395000</v>
      </c>
      <c r="X1574" s="28">
        <v>3300140000</v>
      </c>
      <c r="Y1574" s="28">
        <v>96718463000</v>
      </c>
      <c r="Z1574" s="28">
        <v>27770221000</v>
      </c>
      <c r="AA1574" s="28">
        <v>21503483000</v>
      </c>
      <c r="AB1574" s="28">
        <v>12345957000</v>
      </c>
      <c r="AC1574" s="28">
        <v>28973031000</v>
      </c>
      <c r="AD1574" s="28">
        <v>36572532000</v>
      </c>
      <c r="AE1574" s="28">
        <v>135856153000</v>
      </c>
      <c r="AF1574" s="28">
        <v>4085401000</v>
      </c>
      <c r="AG1574" s="11"/>
    </row>
    <row r="1575">
      <c r="A1575" s="7" t="s">
        <v>3283</v>
      </c>
      <c r="B1575" s="5" t="s">
        <v>11270</v>
      </c>
      <c r="C1575" s="5" t="s">
        <v>19133</v>
      </c>
      <c r="D1575" s="5" t="str">
        <v>550510693799</v>
      </c>
      <c r="E1575" s="0" t="e">
        <f>+7 (495) 9508650
+7 (495) 9508651</f>
        <v>#NAME?</v>
      </c>
      <c r="F1575" s="5" t="s">
        <v>30089</v>
      </c>
      <c r="G1575" s="5" t="s">
        <v>30090</v>
      </c>
      <c r="H1575" s="26">
        <v>28.5</v>
      </c>
      <c r="I1575" s="5" t="s">
        <v>30091</v>
      </c>
      <c r="J1575" s="5" t="s">
        <v>26256</v>
      </c>
      <c r="K1575" s="5" t="s">
        <v>344</v>
      </c>
      <c r="L1575" s="5"/>
      <c r="M1575" s="27">
        <v>1702278</v>
      </c>
      <c r="N1575" s="5" t="s">
        <v>51783</v>
      </c>
      <c r="O1575" s="5" t="str">
        <v>7710022410</v>
      </c>
      <c r="P1575" s="27">
        <v>5737</v>
      </c>
      <c r="Q1575" s="5" t="s">
        <v>51785</v>
      </c>
      <c r="R1575" s="5"/>
      <c r="S1575" s="5" t="s">
        <v>50924</v>
      </c>
      <c r="T1575" s="28">
        <v>3991627000</v>
      </c>
      <c r="U1575" s="28"/>
      <c r="V1575" s="28">
        <v>3727321000</v>
      </c>
      <c r="W1575" s="28"/>
      <c r="X1575" s="28">
        <v>112210000</v>
      </c>
      <c r="Y1575" s="28">
        <v>11454123000</v>
      </c>
      <c r="Z1575" s="28">
        <v>7672858000</v>
      </c>
      <c r="AA1575" s="28"/>
      <c r="AB1575" s="28"/>
      <c r="AC1575" s="28">
        <v>2954461000</v>
      </c>
      <c r="AD1575" s="28">
        <v>7672865000</v>
      </c>
      <c r="AE1575" s="28">
        <v>13983419000</v>
      </c>
      <c r="AF1575" s="28">
        <v>66651000</v>
      </c>
      <c r="AG1575" s="11"/>
    </row>
    <row r="1576">
      <c r="A1576" s="7" t="s">
        <v>3284</v>
      </c>
      <c r="B1576" s="5" t="s">
        <v>11271</v>
      </c>
      <c r="C1576" s="5" t="s">
        <v>19127</v>
      </c>
      <c r="D1576" s="5"/>
      <c r="E1576" s="0" t="e">
        <f>+7 (345) 2277530
+7 (345) 2257513
+7 (345) 2257530
+7 (345) 2463013
+7 (345) 2463159
+7 (345) 2463533
+7 (345) 2463658
+7 (345) 2463680
+7 (345) 2463998
+7 (345) 2465680</f>
        <v>#NAME?</v>
      </c>
      <c r="F1576" s="5" t="s">
        <v>30092</v>
      </c>
      <c r="G1576" s="5" t="s">
        <v>30093</v>
      </c>
      <c r="H1576" s="26">
        <v>29</v>
      </c>
      <c r="I1576" s="5" t="s">
        <v>30094</v>
      </c>
      <c r="J1576" s="5" t="s">
        <v>461</v>
      </c>
      <c r="K1576" s="5" t="s">
        <v>344</v>
      </c>
      <c r="L1576" s="5"/>
      <c r="M1576" s="27">
        <v>40555</v>
      </c>
      <c r="N1576" s="5" t="s">
        <v>51786</v>
      </c>
      <c r="O1576" s="5" t="str">
        <v>7202017289</v>
      </c>
      <c r="P1576" s="27">
        <v>50100</v>
      </c>
      <c r="Q1576" s="5" t="s">
        <v>51787</v>
      </c>
      <c r="R1576" s="5"/>
      <c r="S1576" s="5" t="s">
        <v>51681</v>
      </c>
      <c r="T1576" s="28">
        <v>265650000</v>
      </c>
      <c r="U1576" s="28">
        <v>10000</v>
      </c>
      <c r="V1576" s="28">
        <v>1002898000</v>
      </c>
      <c r="W1576" s="28">
        <v>892589000</v>
      </c>
      <c r="X1576" s="28">
        <v>1105177000</v>
      </c>
      <c r="Y1576" s="28">
        <v>3529727000</v>
      </c>
      <c r="Z1576" s="28">
        <v>2215110000</v>
      </c>
      <c r="AA1576" s="28"/>
      <c r="AB1576" s="28"/>
      <c r="AC1576" s="28">
        <v>748813000</v>
      </c>
      <c r="AD1576" s="28">
        <v>2673160000</v>
      </c>
      <c r="AE1576" s="28">
        <v>3502716000</v>
      </c>
      <c r="AF1576" s="28">
        <v>294095000</v>
      </c>
      <c r="AG1576" s="11"/>
    </row>
    <row r="1577">
      <c r="A1577" s="7" t="s">
        <v>3285</v>
      </c>
      <c r="B1577" s="5" t="s">
        <v>11272</v>
      </c>
      <c r="C1577" s="5" t="s">
        <v>19134</v>
      </c>
      <c r="D1577" s="5" t="str">
        <v>741514836015</v>
      </c>
      <c r="E1577" s="0" t="e">
        <f>+7 (351) 2475836
+7 (3513) 543424
+7 (951) 3240711
+7 (3513) 240711
+7 (3513) 241311
+7 (3513) 543421
+7 (909) 909696</f>
        <v>#NAME?</v>
      </c>
      <c r="F1577" s="5" t="s">
        <v>30095</v>
      </c>
      <c r="G1577" s="5" t="s">
        <v>30096</v>
      </c>
      <c r="H1577" s="26">
        <v>12.5</v>
      </c>
      <c r="I1577" s="5" t="s">
        <v>30097</v>
      </c>
      <c r="J1577" s="5" t="s">
        <v>397</v>
      </c>
      <c r="K1577" s="5" t="s">
        <v>344</v>
      </c>
      <c r="L1577" s="5" t="s">
        <v>30098</v>
      </c>
      <c r="M1577" s="27">
        <v>13399055</v>
      </c>
      <c r="N1577" s="5" t="s">
        <v>51788</v>
      </c>
      <c r="O1577" s="5" t="str">
        <v>7415069926</v>
      </c>
      <c r="P1577" s="27">
        <v>20000</v>
      </c>
      <c r="Q1577" s="5" t="s">
        <v>51789</v>
      </c>
      <c r="R1577" s="5"/>
      <c r="S1577" s="5" t="s">
        <v>51790</v>
      </c>
      <c r="T1577" s="28">
        <v>18860000</v>
      </c>
      <c r="U1577" s="28"/>
      <c r="V1577" s="28">
        <v>527649000</v>
      </c>
      <c r="W1577" s="28">
        <v>45000000</v>
      </c>
      <c r="X1577" s="28">
        <v>15758000</v>
      </c>
      <c r="Y1577" s="28">
        <v>1526291000</v>
      </c>
      <c r="Z1577" s="28">
        <v>579739000</v>
      </c>
      <c r="AA1577" s="28"/>
      <c r="AB1577" s="28">
        <v>622380000</v>
      </c>
      <c r="AC1577" s="28">
        <v>940125000</v>
      </c>
      <c r="AD1577" s="28">
        <v>579759000</v>
      </c>
      <c r="AE1577" s="28">
        <v>5360253000</v>
      </c>
      <c r="AF1577" s="28">
        <v>483298000</v>
      </c>
      <c r="AG1577" s="11"/>
    </row>
    <row r="1578">
      <c r="A1578" s="7" t="s">
        <v>3286</v>
      </c>
      <c r="B1578" s="5" t="s">
        <v>11273</v>
      </c>
      <c r="C1578" s="5" t="s">
        <v>19135</v>
      </c>
      <c r="D1578" s="5" t="str">
        <v>235100951282</v>
      </c>
      <c r="E1578" s="0" t="e">
        <f>+7 (86160) 29233
+7 (86160) 29242
+7 (86160) 29257
+7 (86160) 29312
+7 (918) 1201885</f>
        <v>#NAME?</v>
      </c>
      <c r="F1578" s="5" t="s">
        <v>30099</v>
      </c>
      <c r="G1578" s="5" t="s">
        <v>30100</v>
      </c>
      <c r="H1578" s="26">
        <v>9</v>
      </c>
      <c r="I1578" s="5" t="s">
        <v>30101</v>
      </c>
      <c r="J1578" s="5" t="s">
        <v>25994</v>
      </c>
      <c r="K1578" s="5" t="s">
        <v>344</v>
      </c>
      <c r="L1578" s="5" t="s">
        <v>30102</v>
      </c>
      <c r="M1578" s="27"/>
      <c r="N1578" s="5"/>
      <c r="O1578" s="5" t="str">
        <v>2364009860</v>
      </c>
      <c r="P1578" s="27">
        <v>10000</v>
      </c>
      <c r="Q1578" s="5"/>
      <c r="R1578" s="5"/>
      <c r="S1578" s="5" t="s">
        <v>49029</v>
      </c>
      <c r="T1578" s="28">
        <v>1198783000</v>
      </c>
      <c r="U1578" s="28"/>
      <c r="V1578" s="28">
        <v>1108833000</v>
      </c>
      <c r="W1578" s="28"/>
      <c r="X1578" s="28">
        <v>24711000</v>
      </c>
      <c r="Y1578" s="28">
        <v>3013439000</v>
      </c>
      <c r="Z1578" s="28">
        <v>363850000</v>
      </c>
      <c r="AA1578" s="28">
        <v>1267213000</v>
      </c>
      <c r="AB1578" s="28">
        <v>776118000</v>
      </c>
      <c r="AC1578" s="28">
        <v>1342083000</v>
      </c>
      <c r="AD1578" s="28">
        <v>363862000</v>
      </c>
      <c r="AE1578" s="28">
        <v>3113017000</v>
      </c>
      <c r="AF1578" s="28">
        <v>217434000</v>
      </c>
      <c r="AG1578" s="11"/>
    </row>
    <row r="1579">
      <c r="A1579" s="7" t="s">
        <v>3287</v>
      </c>
      <c r="B1579" s="5" t="s">
        <v>11274</v>
      </c>
      <c r="C1579" s="5" t="s">
        <v>19136</v>
      </c>
      <c r="D1579" s="5" t="str">
        <v>504902739760</v>
      </c>
      <c r="E1579" s="0" t="e">
        <f>+7 (8412) 495449
+7 (967) 7029971
+7 (8412) 677251
+7 (8412) 677252
+7 (8412) 677255</f>
        <v>#NAME?</v>
      </c>
      <c r="F1579" s="5" t="s">
        <v>30103</v>
      </c>
      <c r="G1579" s="5"/>
      <c r="H1579" s="26">
        <v>17</v>
      </c>
      <c r="I1579" s="5" t="s">
        <v>30104</v>
      </c>
      <c r="J1579" s="5" t="s">
        <v>26367</v>
      </c>
      <c r="K1579" s="5" t="s">
        <v>344</v>
      </c>
      <c r="L1579" s="5" t="s">
        <v>30105</v>
      </c>
      <c r="M1579" s="27">
        <v>79238</v>
      </c>
      <c r="N1579" s="5" t="s">
        <v>50491</v>
      </c>
      <c r="O1579" s="5" t="str">
        <v>5835063970</v>
      </c>
      <c r="P1579" s="27">
        <v>12810000</v>
      </c>
      <c r="Q1579" s="5" t="s">
        <v>49021</v>
      </c>
      <c r="R1579" s="5" t="s">
        <v>51791</v>
      </c>
      <c r="S1579" s="5" t="s">
        <v>51792</v>
      </c>
      <c r="T1579" s="28">
        <v>438851000</v>
      </c>
      <c r="U1579" s="28">
        <v>14900000</v>
      </c>
      <c r="V1579" s="28">
        <v>15214700000</v>
      </c>
      <c r="W1579" s="28">
        <v>102018000</v>
      </c>
      <c r="X1579" s="28">
        <v>21428000</v>
      </c>
      <c r="Y1579" s="28">
        <v>20405444000</v>
      </c>
      <c r="Z1579" s="28">
        <v>827376000</v>
      </c>
      <c r="AA1579" s="28">
        <v>208672000</v>
      </c>
      <c r="AB1579" s="28">
        <v>4584000000</v>
      </c>
      <c r="AC1579" s="28">
        <v>19208656000</v>
      </c>
      <c r="AD1579" s="28">
        <v>988116000</v>
      </c>
      <c r="AE1579" s="28">
        <v>31147753000</v>
      </c>
      <c r="AF1579" s="28">
        <v>327896000</v>
      </c>
      <c r="AG1579" s="11"/>
    </row>
    <row r="1580">
      <c r="A1580" s="7" t="s">
        <v>3288</v>
      </c>
      <c r="B1580" s="5" t="s">
        <v>11275</v>
      </c>
      <c r="C1580" s="5" t="s">
        <v>19137</v>
      </c>
      <c r="D1580" s="5" t="str">
        <v>503111146692</v>
      </c>
      <c r="E1580" s="0" t="e">
        <f>+7 (495) 2340003
+7 (499) 4004479
+7 (499) 4005774</f>
        <v>#NAME?</v>
      </c>
      <c r="F1580" s="5" t="s">
        <v>30106</v>
      </c>
      <c r="G1580" s="5" t="s">
        <v>30107</v>
      </c>
      <c r="H1580" s="26">
        <v>14.5</v>
      </c>
      <c r="I1580" s="5"/>
      <c r="J1580" s="5" t="s">
        <v>30108</v>
      </c>
      <c r="K1580" s="5" t="s">
        <v>344</v>
      </c>
      <c r="L1580" s="5" t="s">
        <v>30109</v>
      </c>
      <c r="M1580" s="27"/>
      <c r="N1580" s="5" t="s">
        <v>51793</v>
      </c>
      <c r="O1580" s="5" t="str">
        <v>7709797580</v>
      </c>
      <c r="P1580" s="27">
        <v>50000</v>
      </c>
      <c r="Q1580" s="5" t="s">
        <v>51794</v>
      </c>
      <c r="R1580" s="5"/>
      <c r="S1580" s="5" t="s">
        <v>51795</v>
      </c>
      <c r="T1580" s="28">
        <v>151210000</v>
      </c>
      <c r="U1580" s="28">
        <v>199692000</v>
      </c>
      <c r="V1580" s="28">
        <v>458977000</v>
      </c>
      <c r="W1580" s="28">
        <v>50000000</v>
      </c>
      <c r="X1580" s="28">
        <v>103908000</v>
      </c>
      <c r="Y1580" s="28">
        <v>1153527000</v>
      </c>
      <c r="Z1580" s="28">
        <v>604083000</v>
      </c>
      <c r="AA1580" s="28"/>
      <c r="AB1580" s="28">
        <v>13204000</v>
      </c>
      <c r="AC1580" s="28">
        <v>474221000</v>
      </c>
      <c r="AD1580" s="28">
        <v>604136000</v>
      </c>
      <c r="AE1580" s="28">
        <v>3626534000</v>
      </c>
      <c r="AF1580" s="28">
        <v>125395000</v>
      </c>
      <c r="AG1580" s="11"/>
    </row>
    <row r="1581">
      <c r="A1581" s="7" t="s">
        <v>3289</v>
      </c>
      <c r="B1581" s="5" t="s">
        <v>11276</v>
      </c>
      <c r="C1581" s="5" t="s">
        <v>19138</v>
      </c>
      <c r="D1581" s="5" t="str">
        <v>503218155756</v>
      </c>
      <c r="E1581" s="0" t="e">
        <f>+7 (401) 2570257
+7 (401) 2570259
+7 (401) 2570266
+7 (401) 2570277
+7 (401) 2676221
+7 (401) 2718292
+7 (40161) 35625
+7 (909) 7988464
+7 (910) 4122305
+7 (921) 1031445</f>
        <v>#NAME?</v>
      </c>
      <c r="F1581" s="5" t="s">
        <v>30110</v>
      </c>
      <c r="G1581" s="5" t="s">
        <v>30111</v>
      </c>
      <c r="H1581" s="26">
        <v>16.5</v>
      </c>
      <c r="I1581" s="5" t="s">
        <v>30112</v>
      </c>
      <c r="J1581" s="5" t="s">
        <v>25788</v>
      </c>
      <c r="K1581" s="5" t="s">
        <v>380</v>
      </c>
      <c r="L1581" s="5"/>
      <c r="M1581" s="27"/>
      <c r="N1581" s="5"/>
      <c r="O1581" s="5" t="str">
        <v>3915452150</v>
      </c>
      <c r="P1581" s="27">
        <v>22000000</v>
      </c>
      <c r="Q1581" s="5" t="s">
        <v>49059</v>
      </c>
      <c r="R1581" s="5"/>
      <c r="S1581" s="5" t="s">
        <v>50104</v>
      </c>
      <c r="T1581" s="28">
        <v>3050190000</v>
      </c>
      <c r="U1581" s="28"/>
      <c r="V1581" s="28">
        <v>668756000</v>
      </c>
      <c r="W1581" s="28"/>
      <c r="X1581" s="28">
        <v>5919000</v>
      </c>
      <c r="Y1581" s="28">
        <v>4210420000</v>
      </c>
      <c r="Z1581" s="28">
        <v>-510551000</v>
      </c>
      <c r="AA1581" s="28">
        <v>1510177000</v>
      </c>
      <c r="AB1581" s="28">
        <v>1101039000</v>
      </c>
      <c r="AC1581" s="28">
        <v>2416661000</v>
      </c>
      <c r="AD1581" s="28">
        <v>51849000</v>
      </c>
      <c r="AE1581" s="28">
        <v>3476421000</v>
      </c>
      <c r="AF1581" s="28">
        <v>-124464000</v>
      </c>
      <c r="AG1581" s="11"/>
    </row>
    <row r="1582">
      <c r="A1582" s="7" t="s">
        <v>3290</v>
      </c>
      <c r="B1582" s="5" t="s">
        <v>11277</v>
      </c>
      <c r="C1582" s="5" t="s">
        <v>19139</v>
      </c>
      <c r="D1582" s="5" t="str">
        <v>561001014923</v>
      </c>
      <c r="E1582" s="0" t="e">
        <f>+7 (35324) 33779
+7 (922) 8775006
+7 (35324) 33077
+7 (35324) 33799</f>
        <v>#NAME?</v>
      </c>
      <c r="F1582" s="5" t="s">
        <v>30113</v>
      </c>
      <c r="G1582" s="5"/>
      <c r="H1582" s="26">
        <v>8</v>
      </c>
      <c r="I1582" s="5" t="s">
        <v>30114</v>
      </c>
      <c r="J1582" s="5" t="s">
        <v>30115</v>
      </c>
      <c r="K1582" s="5" t="s">
        <v>344</v>
      </c>
      <c r="L1582" s="5" t="s">
        <v>30116</v>
      </c>
      <c r="M1582" s="27"/>
      <c r="N1582" s="5" t="s">
        <v>51796</v>
      </c>
      <c r="O1582" s="5" t="str">
        <v>5612088057</v>
      </c>
      <c r="P1582" s="27">
        <v>77000000</v>
      </c>
      <c r="Q1582" s="5" t="s">
        <v>51797</v>
      </c>
      <c r="R1582" s="5"/>
      <c r="S1582" s="5" t="s">
        <v>51798</v>
      </c>
      <c r="T1582" s="28">
        <v>556277000</v>
      </c>
      <c r="U1582" s="28">
        <v>294350000</v>
      </c>
      <c r="V1582" s="28">
        <v>3624081000</v>
      </c>
      <c r="W1582" s="28">
        <v>209315000</v>
      </c>
      <c r="X1582" s="28">
        <v>58159000</v>
      </c>
      <c r="Y1582" s="28">
        <v>6769420000</v>
      </c>
      <c r="Z1582" s="28">
        <v>2052671000</v>
      </c>
      <c r="AA1582" s="28">
        <v>483374000</v>
      </c>
      <c r="AB1582" s="28">
        <v>899442000</v>
      </c>
      <c r="AC1582" s="28">
        <v>3706451000</v>
      </c>
      <c r="AD1582" s="28">
        <v>2129671000</v>
      </c>
      <c r="AE1582" s="28">
        <v>14703161000</v>
      </c>
      <c r="AF1582" s="28">
        <v>423958000</v>
      </c>
      <c r="AG1582" s="11"/>
    </row>
    <row r="1583">
      <c r="A1583" s="7" t="s">
        <v>3291</v>
      </c>
      <c r="B1583" s="5" t="s">
        <v>11278</v>
      </c>
      <c r="C1583" s="5" t="s">
        <v>19140</v>
      </c>
      <c r="D1583" s="5" t="str">
        <v>251133750347</v>
      </c>
      <c r="E1583" s="0" t="e">
        <f>+7 (863) 3330545
+7 (931) 2880595
+7 (812) 3894545
+7 (812) 9610961
+7 (929) 6390832
+7 (999) 446560</f>
        <v>#NAME?</v>
      </c>
      <c r="F1583" s="5" t="s">
        <v>30117</v>
      </c>
      <c r="G1583" s="5" t="s">
        <v>30118</v>
      </c>
      <c r="H1583" s="26">
        <v>9</v>
      </c>
      <c r="I1583" s="5" t="s">
        <v>30119</v>
      </c>
      <c r="J1583" s="5" t="s">
        <v>397</v>
      </c>
      <c r="K1583" s="5" t="s">
        <v>344</v>
      </c>
      <c r="L1583" s="5" t="s">
        <v>30120</v>
      </c>
      <c r="M1583" s="27">
        <v>9978951</v>
      </c>
      <c r="N1583" s="5" t="s">
        <v>51799</v>
      </c>
      <c r="O1583" s="5" t="str">
        <v>7805651287</v>
      </c>
      <c r="P1583" s="27">
        <v>100000</v>
      </c>
      <c r="Q1583" s="5" t="s">
        <v>49414</v>
      </c>
      <c r="R1583" s="5" t="s">
        <v>51800</v>
      </c>
      <c r="S1583" s="5" t="s">
        <v>51801</v>
      </c>
      <c r="T1583" s="28">
        <v>146094000</v>
      </c>
      <c r="U1583" s="28"/>
      <c r="V1583" s="28">
        <v>263221000</v>
      </c>
      <c r="W1583" s="28">
        <v>3583000</v>
      </c>
      <c r="X1583" s="28">
        <v>23643000</v>
      </c>
      <c r="Y1583" s="28">
        <v>953656000</v>
      </c>
      <c r="Z1583" s="28">
        <v>176864000</v>
      </c>
      <c r="AA1583" s="28"/>
      <c r="AB1583" s="28">
        <v>161941000</v>
      </c>
      <c r="AC1583" s="28">
        <v>761007000</v>
      </c>
      <c r="AD1583" s="28">
        <v>176964000</v>
      </c>
      <c r="AE1583" s="28">
        <v>4709471000</v>
      </c>
      <c r="AF1583" s="28">
        <v>150709000</v>
      </c>
      <c r="AG1583" s="11"/>
    </row>
    <row r="1584">
      <c r="A1584" s="7" t="s">
        <v>3292</v>
      </c>
      <c r="B1584" s="5" t="s">
        <v>11279</v>
      </c>
      <c r="C1584" s="5" t="s">
        <v>19141</v>
      </c>
      <c r="D1584" s="5" t="str">
        <v>780408164502</v>
      </c>
      <c r="E1584" s="0" t="e">
        <f>+7 (812) 5757797</f>
        <v>#NAME?</v>
      </c>
      <c r="F1584" s="5" t="s">
        <v>30121</v>
      </c>
      <c r="G1584" s="5" t="s">
        <v>30122</v>
      </c>
      <c r="H1584" s="26">
        <v>16</v>
      </c>
      <c r="I1584" s="5" t="s">
        <v>30123</v>
      </c>
      <c r="J1584" s="5" t="s">
        <v>364</v>
      </c>
      <c r="K1584" s="5" t="s">
        <v>344</v>
      </c>
      <c r="L1584" s="5" t="s">
        <v>30124</v>
      </c>
      <c r="M1584" s="27">
        <v>1141714</v>
      </c>
      <c r="N1584" s="5" t="s">
        <v>51802</v>
      </c>
      <c r="O1584" s="5" t="str">
        <v>7814366367</v>
      </c>
      <c r="P1584" s="27">
        <v>57281000</v>
      </c>
      <c r="Q1584" s="5" t="s">
        <v>51803</v>
      </c>
      <c r="R1584" s="5" t="s">
        <v>51804</v>
      </c>
      <c r="S1584" s="5" t="s">
        <v>49227</v>
      </c>
      <c r="T1584" s="28">
        <v>104385000</v>
      </c>
      <c r="U1584" s="28"/>
      <c r="V1584" s="28">
        <v>4206860000</v>
      </c>
      <c r="W1584" s="28">
        <v>2026456000</v>
      </c>
      <c r="X1584" s="28">
        <v>174000</v>
      </c>
      <c r="Y1584" s="28">
        <v>6854306000</v>
      </c>
      <c r="Z1584" s="28">
        <v>1894997000</v>
      </c>
      <c r="AA1584" s="28"/>
      <c r="AB1584" s="28">
        <v>137999000</v>
      </c>
      <c r="AC1584" s="28">
        <v>4887225000</v>
      </c>
      <c r="AD1584" s="28">
        <v>1952278000</v>
      </c>
      <c r="AE1584" s="28">
        <v>6306612000</v>
      </c>
      <c r="AF1584" s="28">
        <v>45946000</v>
      </c>
      <c r="AG1584" s="11"/>
    </row>
    <row r="1585">
      <c r="A1585" s="7" t="s">
        <v>3293</v>
      </c>
      <c r="B1585" s="5" t="s">
        <v>11280</v>
      </c>
      <c r="C1585" s="5" t="s">
        <v>19142</v>
      </c>
      <c r="D1585" s="5" t="str">
        <v>780209916701</v>
      </c>
      <c r="E1585" s="0" t="e">
        <f>+7 (812) 2252909
+7 (812) 2254076
+7 (812) 6778920
+7 (812) 6778933</f>
        <v>#NAME?</v>
      </c>
      <c r="F1585" s="5" t="s">
        <v>30125</v>
      </c>
      <c r="G1585" s="5" t="s">
        <v>30126</v>
      </c>
      <c r="H1585" s="26">
        <v>11.5</v>
      </c>
      <c r="I1585" s="5" t="s">
        <v>30127</v>
      </c>
      <c r="J1585" s="5" t="s">
        <v>27695</v>
      </c>
      <c r="K1585" s="5" t="s">
        <v>344</v>
      </c>
      <c r="L1585" s="5"/>
      <c r="M1585" s="27"/>
      <c r="N1585" s="5"/>
      <c r="O1585" s="5" t="str">
        <v>7806458984</v>
      </c>
      <c r="P1585" s="27">
        <v>500000000</v>
      </c>
      <c r="Q1585" s="5" t="s">
        <v>49009</v>
      </c>
      <c r="R1585" s="5" t="s">
        <v>51805</v>
      </c>
      <c r="S1585" s="5" t="s">
        <v>49200</v>
      </c>
      <c r="T1585" s="28">
        <v>2574796000</v>
      </c>
      <c r="U1585" s="28">
        <v>154780000</v>
      </c>
      <c r="V1585" s="28">
        <v>562911000</v>
      </c>
      <c r="W1585" s="28"/>
      <c r="X1585" s="28">
        <v>9019000</v>
      </c>
      <c r="Y1585" s="28">
        <v>3797450000</v>
      </c>
      <c r="Z1585" s="28">
        <v>479474000</v>
      </c>
      <c r="AA1585" s="28">
        <v>710089000</v>
      </c>
      <c r="AB1585" s="28">
        <v>861811000</v>
      </c>
      <c r="AC1585" s="28">
        <v>1700898000</v>
      </c>
      <c r="AD1585" s="28">
        <v>711188000</v>
      </c>
      <c r="AE1585" s="28">
        <v>5525573000</v>
      </c>
      <c r="AF1585" s="28">
        <v>18414000</v>
      </c>
      <c r="AG1585" s="11"/>
    </row>
    <row r="1586">
      <c r="A1586" s="7" t="s">
        <v>3294</v>
      </c>
      <c r="B1586" s="5" t="s">
        <v>11281</v>
      </c>
      <c r="C1586" s="5" t="s">
        <v>19143</v>
      </c>
      <c r="D1586" s="5" t="str">
        <v>680701449546</v>
      </c>
      <c r="E1586" s="0" t="e">
        <f>+7 (495) 45004</f>
        <v>#NAME?</v>
      </c>
      <c r="F1586" s="5" t="s">
        <v>30128</v>
      </c>
      <c r="G1586" s="5" t="s">
        <v>30129</v>
      </c>
      <c r="H1586" s="26">
        <v>28.5</v>
      </c>
      <c r="I1586" s="5"/>
      <c r="J1586" s="5" t="s">
        <v>364</v>
      </c>
      <c r="K1586" s="5" t="s">
        <v>344</v>
      </c>
      <c r="L1586" s="5"/>
      <c r="M1586" s="27">
        <v>828861899</v>
      </c>
      <c r="N1586" s="5" t="s">
        <v>51806</v>
      </c>
      <c r="O1586" s="5" t="str">
        <v>5012000639</v>
      </c>
      <c r="P1586" s="27">
        <v>7400400</v>
      </c>
      <c r="Q1586" s="5" t="s">
        <v>51807</v>
      </c>
      <c r="R1586" s="5" t="s">
        <v>51808</v>
      </c>
      <c r="S1586" s="5" t="s">
        <v>51809</v>
      </c>
      <c r="T1586" s="28">
        <v>683401000</v>
      </c>
      <c r="U1586" s="28">
        <v>99000</v>
      </c>
      <c r="V1586" s="28">
        <v>56853996000</v>
      </c>
      <c r="W1586" s="28">
        <v>5190603000</v>
      </c>
      <c r="X1586" s="28">
        <v>12313658000</v>
      </c>
      <c r="Y1586" s="28">
        <v>106023877000</v>
      </c>
      <c r="Z1586" s="28">
        <v>6821920000</v>
      </c>
      <c r="AA1586" s="28">
        <v>1500000000</v>
      </c>
      <c r="AB1586" s="28">
        <v>1935519000</v>
      </c>
      <c r="AC1586" s="28">
        <v>97683069000</v>
      </c>
      <c r="AD1586" s="28">
        <v>6832156000</v>
      </c>
      <c r="AE1586" s="28">
        <v>78758447000</v>
      </c>
      <c r="AF1586" s="28">
        <v>2480791000</v>
      </c>
      <c r="AG1586" s="11"/>
    </row>
    <row r="1587">
      <c r="A1587" s="7" t="s">
        <v>3295</v>
      </c>
      <c r="B1587" s="5" t="s">
        <v>11282</v>
      </c>
      <c r="C1587" s="5" t="s">
        <v>19144</v>
      </c>
      <c r="D1587" s="5" t="str">
        <v>504001994638</v>
      </c>
      <c r="E1587" s="0" t="e">
        <f>+7 (925) 7789666
+7 (977) 5008790
+7 (800) 5003333</f>
        <v>#NAME?</v>
      </c>
      <c r="F1587" s="5" t="s">
        <v>30130</v>
      </c>
      <c r="G1587" s="5"/>
      <c r="H1587" s="26">
        <v>1</v>
      </c>
      <c r="I1587" s="5" t="s">
        <v>30131</v>
      </c>
      <c r="J1587" s="5" t="s">
        <v>881</v>
      </c>
      <c r="K1587" s="5" t="s">
        <v>344</v>
      </c>
      <c r="L1587" s="5"/>
      <c r="M1587" s="27"/>
      <c r="N1587" s="5"/>
      <c r="O1587" s="5" t="str">
        <v>9703073496</v>
      </c>
      <c r="P1587" s="27">
        <v>100000</v>
      </c>
      <c r="Q1587" s="5"/>
      <c r="R1587" s="5"/>
      <c r="S1587" s="5" t="s">
        <v>49121</v>
      </c>
      <c r="T1587" s="28">
        <v>385925000</v>
      </c>
      <c r="U1587" s="28">
        <v>13091566000</v>
      </c>
      <c r="V1587" s="28">
        <v>2350747000</v>
      </c>
      <c r="W1587" s="28"/>
      <c r="X1587" s="28">
        <v>318614000</v>
      </c>
      <c r="Y1587" s="28">
        <v>49735535000</v>
      </c>
      <c r="Z1587" s="28">
        <v>38027949000</v>
      </c>
      <c r="AA1587" s="28"/>
      <c r="AB1587" s="28">
        <v>3000</v>
      </c>
      <c r="AC1587" s="28">
        <v>11688871000</v>
      </c>
      <c r="AD1587" s="28">
        <v>38028049000</v>
      </c>
      <c r="AE1587" s="28">
        <v>49987485000</v>
      </c>
      <c r="AF1587" s="28">
        <v>38027949000</v>
      </c>
      <c r="AG1587" s="11"/>
    </row>
    <row r="1588">
      <c r="A1588" s="7" t="s">
        <v>3296</v>
      </c>
      <c r="B1588" s="5" t="s">
        <v>11283</v>
      </c>
      <c r="C1588" s="5" t="s">
        <v>19145</v>
      </c>
      <c r="D1588" s="5" t="str">
        <v>602709647983</v>
      </c>
      <c r="E1588" s="0" t="e">
        <f>+7 (800) 2222405
+7 (8112) 233656
+7 (8112) 233665
+7 (8112) 234567
+7 (8112) 291344
+7 (8112) 294284
+7 (8112) 465789
+7 (8112) 566323
+7 (8112) 567877
+7 (8112) 567888
+7 (8112) 567899
+7 (8112) 568255
+7 (8112) 568544
+7 (8112) 584596
+7 (8112) 586422</f>
        <v>#NAME?</v>
      </c>
      <c r="F1588" s="5" t="s">
        <v>30132</v>
      </c>
      <c r="G1588" s="5" t="s">
        <v>30133</v>
      </c>
      <c r="H1588" s="26">
        <v>6.5</v>
      </c>
      <c r="I1588" s="5" t="s">
        <v>30134</v>
      </c>
      <c r="J1588" s="5" t="s">
        <v>25759</v>
      </c>
      <c r="K1588" s="5" t="s">
        <v>344</v>
      </c>
      <c r="L1588" s="5" t="s">
        <v>30135</v>
      </c>
      <c r="M1588" s="27"/>
      <c r="N1588" s="5" t="s">
        <v>51811</v>
      </c>
      <c r="O1588" s="5" t="str">
        <v>6027173812</v>
      </c>
      <c r="P1588" s="27">
        <v>10000</v>
      </c>
      <c r="Q1588" s="5" t="s">
        <v>51812</v>
      </c>
      <c r="R1588" s="5"/>
      <c r="S1588" s="5" t="s">
        <v>51813</v>
      </c>
      <c r="T1588" s="28">
        <v>41886000</v>
      </c>
      <c r="U1588" s="28">
        <v>38392000</v>
      </c>
      <c r="V1588" s="28">
        <v>202832000</v>
      </c>
      <c r="W1588" s="28">
        <v>26031000</v>
      </c>
      <c r="X1588" s="28">
        <v>18273000</v>
      </c>
      <c r="Y1588" s="28">
        <v>412700000</v>
      </c>
      <c r="Z1588" s="28">
        <v>266280000</v>
      </c>
      <c r="AA1588" s="28"/>
      <c r="AB1588" s="28">
        <v>14611000</v>
      </c>
      <c r="AC1588" s="28">
        <v>138011000</v>
      </c>
      <c r="AD1588" s="28">
        <v>266290000</v>
      </c>
      <c r="AE1588" s="28">
        <v>3967913000</v>
      </c>
      <c r="AF1588" s="28">
        <v>71697000</v>
      </c>
      <c r="AG1588" s="11"/>
    </row>
    <row r="1589">
      <c r="A1589" s="7" t="s">
        <v>3297</v>
      </c>
      <c r="B1589" s="5" t="s">
        <v>11284</v>
      </c>
      <c r="C1589" s="5" t="s">
        <v>19146</v>
      </c>
      <c r="D1589" s="5" t="str">
        <v>781908192355</v>
      </c>
      <c r="F1589" s="5"/>
      <c r="G1589" s="5"/>
      <c r="H1589" s="26">
        <v>3.5</v>
      </c>
      <c r="I1589" s="5" t="s">
        <v>30136</v>
      </c>
      <c r="J1589" s="5" t="s">
        <v>821</v>
      </c>
      <c r="K1589" s="5" t="s">
        <v>344</v>
      </c>
      <c r="L1589" s="5" t="s">
        <v>30137</v>
      </c>
      <c r="M1589" s="27"/>
      <c r="N1589" s="5"/>
      <c r="O1589" s="5" t="str">
        <v>7806565111</v>
      </c>
      <c r="P1589" s="27">
        <v>253744489</v>
      </c>
      <c r="Q1589" s="5" t="s">
        <v>49822</v>
      </c>
      <c r="R1589" s="5"/>
      <c r="S1589" s="5" t="s">
        <v>51814</v>
      </c>
      <c r="T1589" s="28">
        <v>809342000</v>
      </c>
      <c r="U1589" s="28"/>
      <c r="V1589" s="28">
        <v>464012000</v>
      </c>
      <c r="W1589" s="28">
        <v>26100000</v>
      </c>
      <c r="X1589" s="28">
        <v>90911000</v>
      </c>
      <c r="Y1589" s="28">
        <v>2685019000</v>
      </c>
      <c r="Z1589" s="28">
        <v>302162000</v>
      </c>
      <c r="AA1589" s="28">
        <v>279660000</v>
      </c>
      <c r="AB1589" s="28">
        <v>309478000</v>
      </c>
      <c r="AC1589" s="28">
        <v>873017000</v>
      </c>
      <c r="AD1589" s="28">
        <v>1266038000</v>
      </c>
      <c r="AE1589" s="28">
        <v>7134782000</v>
      </c>
      <c r="AF1589" s="28">
        <v>162554000</v>
      </c>
      <c r="AG1589" s="11"/>
    </row>
    <row r="1590">
      <c r="A1590" s="7" t="s">
        <v>3298</v>
      </c>
      <c r="B1590" s="5" t="s">
        <v>11285</v>
      </c>
      <c r="C1590" s="5" t="s">
        <v>19147</v>
      </c>
      <c r="D1590" s="5" t="str">
        <v>745602270914</v>
      </c>
      <c r="E1590" s="0" t="e">
        <f>+7 (495) 1055451
+7 (495) 6255451
+7 (495) 9255450
+7 (495) 9255451
+7 (495) 9255453</f>
        <v>#NAME?</v>
      </c>
      <c r="F1590" s="5" t="s">
        <v>30138</v>
      </c>
      <c r="G1590" s="5" t="s">
        <v>30139</v>
      </c>
      <c r="H1590" s="26">
        <v>19</v>
      </c>
      <c r="I1590" s="5" t="s">
        <v>30140</v>
      </c>
      <c r="J1590" s="5" t="s">
        <v>26325</v>
      </c>
      <c r="K1590" s="5" t="s">
        <v>344</v>
      </c>
      <c r="L1590" s="5" t="s">
        <v>30141</v>
      </c>
      <c r="M1590" s="27">
        <v>404187</v>
      </c>
      <c r="N1590" s="5" t="s">
        <v>51815</v>
      </c>
      <c r="O1590" s="5" t="str">
        <v>7729507377</v>
      </c>
      <c r="P1590" s="27">
        <v>30000</v>
      </c>
      <c r="Q1590" s="5" t="s">
        <v>51816</v>
      </c>
      <c r="R1590" s="5"/>
      <c r="S1590" s="5" t="s">
        <v>51817</v>
      </c>
      <c r="T1590" s="28">
        <v>12538000</v>
      </c>
      <c r="U1590" s="28"/>
      <c r="V1590" s="28">
        <v>3386327000</v>
      </c>
      <c r="W1590" s="28"/>
      <c r="X1590" s="28">
        <v>686927000</v>
      </c>
      <c r="Y1590" s="28">
        <v>4953257000</v>
      </c>
      <c r="Z1590" s="28">
        <v>3805939000</v>
      </c>
      <c r="AA1590" s="28"/>
      <c r="AB1590" s="28">
        <v>201765000</v>
      </c>
      <c r="AC1590" s="28">
        <v>1137850000</v>
      </c>
      <c r="AD1590" s="28">
        <v>3805969000</v>
      </c>
      <c r="AE1590" s="28">
        <v>38954548000</v>
      </c>
      <c r="AF1590" s="28">
        <v>8750237000</v>
      </c>
      <c r="AG1590" s="11"/>
    </row>
    <row r="1591">
      <c r="A1591" s="7" t="s">
        <v>3299</v>
      </c>
      <c r="B1591" s="5" t="s">
        <v>11286</v>
      </c>
      <c r="C1591" s="5" t="s">
        <v>19148</v>
      </c>
      <c r="D1591" s="5" t="str">
        <v>711400942067</v>
      </c>
      <c r="E1591" s="0" t="e">
        <f>+7 (495) 1815296
+7 (495) 2553894
+7 (495) 3246181
+7 (495) 9373158
+7 (499) 7536333</f>
        <v>#NAME?</v>
      </c>
      <c r="F1591" s="5" t="s">
        <v>30142</v>
      </c>
      <c r="G1591" s="5" t="s">
        <v>30143</v>
      </c>
      <c r="H1591" s="26">
        <v>6.5</v>
      </c>
      <c r="I1591" s="5"/>
      <c r="J1591" s="5" t="s">
        <v>27182</v>
      </c>
      <c r="K1591" s="5" t="s">
        <v>355</v>
      </c>
      <c r="L1591" s="5" t="s">
        <v>30144</v>
      </c>
      <c r="M1591" s="27">
        <v>5000000</v>
      </c>
      <c r="N1591" s="5"/>
      <c r="O1591" s="5" t="str">
        <v>9715264590</v>
      </c>
      <c r="P1591" s="27">
        <v>3500000000</v>
      </c>
      <c r="Q1591" s="5" t="s">
        <v>49009</v>
      </c>
      <c r="R1591" s="5"/>
      <c r="S1591" s="5" t="s">
        <v>51818</v>
      </c>
      <c r="T1591" s="28">
        <v>167533000</v>
      </c>
      <c r="U1591" s="28">
        <v>6023016000</v>
      </c>
      <c r="V1591" s="28">
        <v>4517404000</v>
      </c>
      <c r="W1591" s="28">
        <v>1551455000</v>
      </c>
      <c r="X1591" s="28">
        <v>150417000</v>
      </c>
      <c r="Y1591" s="28">
        <v>12858400000</v>
      </c>
      <c r="Z1591" s="28">
        <v>3773052000</v>
      </c>
      <c r="AA1591" s="28">
        <v>3108621000</v>
      </c>
      <c r="AB1591" s="28">
        <v>1241966000</v>
      </c>
      <c r="AC1591" s="28">
        <v>5706182000</v>
      </c>
      <c r="AD1591" s="28">
        <v>3773340000</v>
      </c>
      <c r="AE1591" s="28">
        <v>7474993000</v>
      </c>
      <c r="AF1591" s="28">
        <v>280203000</v>
      </c>
      <c r="AG1591" s="11"/>
    </row>
    <row r="1592">
      <c r="A1592" s="7" t="s">
        <v>3300</v>
      </c>
      <c r="B1592" s="5" t="s">
        <v>11287</v>
      </c>
      <c r="C1592" s="5" t="s">
        <v>19149</v>
      </c>
      <c r="D1592" s="5" t="str">
        <v>773119207139</v>
      </c>
      <c r="F1592" s="5"/>
      <c r="G1592" s="5"/>
      <c r="H1592" s="26">
        <v>6</v>
      </c>
      <c r="I1592" s="5" t="s">
        <v>30145</v>
      </c>
      <c r="J1592" s="5" t="s">
        <v>25262</v>
      </c>
      <c r="K1592" s="5" t="s">
        <v>355</v>
      </c>
      <c r="L1592" s="5" t="s">
        <v>30146</v>
      </c>
      <c r="M1592" s="27"/>
      <c r="N1592" s="5" t="s">
        <v>51819</v>
      </c>
      <c r="O1592" s="5" t="str">
        <v>9721040180</v>
      </c>
      <c r="P1592" s="27">
        <v>10000</v>
      </c>
      <c r="Q1592" s="5" t="s">
        <v>51820</v>
      </c>
      <c r="R1592" s="5"/>
      <c r="S1592" s="5" t="s">
        <v>49047</v>
      </c>
      <c r="T1592" s="28">
        <v>15643000</v>
      </c>
      <c r="U1592" s="28"/>
      <c r="V1592" s="28">
        <v>2124124000</v>
      </c>
      <c r="W1592" s="28">
        <v>1107000000</v>
      </c>
      <c r="X1592" s="28">
        <v>12000</v>
      </c>
      <c r="Y1592" s="28">
        <v>4415415000</v>
      </c>
      <c r="Z1592" s="28">
        <v>36691000</v>
      </c>
      <c r="AA1592" s="28"/>
      <c r="AB1592" s="28">
        <v>144860000</v>
      </c>
      <c r="AC1592" s="28">
        <v>4378714000</v>
      </c>
      <c r="AD1592" s="28">
        <v>36701000</v>
      </c>
      <c r="AE1592" s="28">
        <v>6422216000</v>
      </c>
      <c r="AF1592" s="28">
        <v>166535000</v>
      </c>
      <c r="AG1592" s="11"/>
    </row>
    <row r="1593">
      <c r="A1593" s="7" t="s">
        <v>3301</v>
      </c>
      <c r="B1593" s="5" t="s">
        <v>11288</v>
      </c>
      <c r="C1593" s="5" t="s">
        <v>19150</v>
      </c>
      <c r="D1593" s="5" t="str">
        <v>744800399450</v>
      </c>
      <c r="E1593" s="0" t="e">
        <f>+7 (35327) 92990
+7 (351) 7500062
+7 (3512) 161313
+7 (3512) 161333
+7 (3512) 161735
+7 (3512) 370800
+7 (3512) 600062
+7 (3512) 631746
+7 (3512) 633223
+7 (3512) 639213
+7 (3517) 213283
+7 (3519) 633233</f>
        <v>#NAME?</v>
      </c>
      <c r="F1593" s="5" t="s">
        <v>30147</v>
      </c>
      <c r="G1593" s="5" t="s">
        <v>30148</v>
      </c>
      <c r="H1593" s="26">
        <v>23.5</v>
      </c>
      <c r="I1593" s="5"/>
      <c r="J1593" s="5" t="s">
        <v>25231</v>
      </c>
      <c r="K1593" s="5" t="s">
        <v>344</v>
      </c>
      <c r="L1593" s="5" t="s">
        <v>30149</v>
      </c>
      <c r="M1593" s="27"/>
      <c r="N1593" s="5" t="s">
        <v>51821</v>
      </c>
      <c r="O1593" s="5" t="str">
        <v>7448025642</v>
      </c>
      <c r="P1593" s="27">
        <v>90487000</v>
      </c>
      <c r="Q1593" s="5" t="s">
        <v>51822</v>
      </c>
      <c r="R1593" s="5" t="s">
        <v>51823</v>
      </c>
      <c r="S1593" s="5" t="s">
        <v>51824</v>
      </c>
      <c r="T1593" s="28">
        <v>1360972000</v>
      </c>
      <c r="U1593" s="28">
        <v>5708000</v>
      </c>
      <c r="V1593" s="28">
        <v>1835383000</v>
      </c>
      <c r="W1593" s="28"/>
      <c r="X1593" s="28">
        <v>1630168000</v>
      </c>
      <c r="Y1593" s="28">
        <v>6208444000</v>
      </c>
      <c r="Z1593" s="28">
        <v>2825957000</v>
      </c>
      <c r="AA1593" s="28">
        <v>261986000</v>
      </c>
      <c r="AB1593" s="28">
        <v>2517060000</v>
      </c>
      <c r="AC1593" s="28">
        <v>2943838000</v>
      </c>
      <c r="AD1593" s="28">
        <v>2920071000</v>
      </c>
      <c r="AE1593" s="28">
        <v>11363384000</v>
      </c>
      <c r="AF1593" s="28">
        <v>554750000</v>
      </c>
      <c r="AG1593" s="11"/>
    </row>
    <row r="1594">
      <c r="A1594" s="7" t="s">
        <v>3302</v>
      </c>
      <c r="B1594" s="5" t="s">
        <v>11289</v>
      </c>
      <c r="C1594" s="5" t="s">
        <v>19151</v>
      </c>
      <c r="D1594" s="5" t="str">
        <v>773608174835</v>
      </c>
      <c r="E1594" s="0" t="e">
        <f>+7 (495) 1068338
+7 (495) 1278125
+7 (495) 2873230
+7 (495) 9416262
+7 (495) 9671313
+7 (495) 9676795
+7 (800) 7752411
+7 (812) 5616844</f>
        <v>#NAME?</v>
      </c>
      <c r="F1594" s="5" t="s">
        <v>30150</v>
      </c>
      <c r="G1594" s="5" t="s">
        <v>30151</v>
      </c>
      <c r="H1594" s="26">
        <v>8</v>
      </c>
      <c r="I1594" s="5" t="s">
        <v>30152</v>
      </c>
      <c r="J1594" s="5" t="s">
        <v>502</v>
      </c>
      <c r="K1594" s="5" t="s">
        <v>344</v>
      </c>
      <c r="L1594" s="5"/>
      <c r="M1594" s="27">
        <v>620381</v>
      </c>
      <c r="N1594" s="5"/>
      <c r="O1594" s="5" t="str">
        <v>9731004688</v>
      </c>
      <c r="P1594" s="27">
        <v>1539483950</v>
      </c>
      <c r="Q1594" s="5" t="s">
        <v>49021</v>
      </c>
      <c r="R1594" s="5"/>
      <c r="S1594" s="5" t="s">
        <v>51825</v>
      </c>
      <c r="T1594" s="28">
        <v>179174000</v>
      </c>
      <c r="U1594" s="28">
        <v>82579932000</v>
      </c>
      <c r="V1594" s="28">
        <v>21941490000</v>
      </c>
      <c r="W1594" s="28">
        <v>2552469000</v>
      </c>
      <c r="X1594" s="28">
        <v>2952146000</v>
      </c>
      <c r="Y1594" s="28">
        <v>111564026000</v>
      </c>
      <c r="Z1594" s="28">
        <v>2729269000</v>
      </c>
      <c r="AA1594" s="28">
        <v>84378766000</v>
      </c>
      <c r="AB1594" s="28">
        <v>17112183000</v>
      </c>
      <c r="AC1594" s="28">
        <v>17770266000</v>
      </c>
      <c r="AD1594" s="28">
        <v>9413406000</v>
      </c>
      <c r="AE1594" s="28">
        <v>3209771000</v>
      </c>
      <c r="AF1594" s="28">
        <v>7475995000</v>
      </c>
      <c r="AG1594" s="11"/>
    </row>
    <row r="1595">
      <c r="A1595" s="7" t="s">
        <v>3303</v>
      </c>
      <c r="B1595" s="5" t="s">
        <v>11290</v>
      </c>
      <c r="C1595" s="5" t="s">
        <v>19152</v>
      </c>
      <c r="D1595" s="5" t="str">
        <v>230500596001</v>
      </c>
      <c r="E1595" s="0" t="e">
        <f>+7 (861) 2040738
+7 (861) 2041076
+7 (861) 2277227
+7 (861) 2277712
+7 (861) 2278484
+7 (861) 2278877
+7 (861) 2585258
+7 (861) 2661919
+7 (8617) 210508
+7 (8622) 548938
+7 (863) 3100930
+7 (8632) 880045
+7 (8652) 556579
+7 (879) 2230454
+7 (879) 2255570</f>
        <v>#NAME?</v>
      </c>
      <c r="F1595" s="5" t="s">
        <v>30153</v>
      </c>
      <c r="G1595" s="5" t="s">
        <v>30154</v>
      </c>
      <c r="H1595" s="26">
        <v>25.5</v>
      </c>
      <c r="I1595" s="5" t="s">
        <v>30155</v>
      </c>
      <c r="J1595" s="5" t="s">
        <v>26148</v>
      </c>
      <c r="K1595" s="5" t="s">
        <v>344</v>
      </c>
      <c r="L1595" s="5" t="s">
        <v>30156</v>
      </c>
      <c r="M1595" s="27">
        <v>968984700</v>
      </c>
      <c r="N1595" s="5" t="s">
        <v>51826</v>
      </c>
      <c r="O1595" s="5" t="str">
        <v>2305002817</v>
      </c>
      <c r="P1595" s="27">
        <v>105316454</v>
      </c>
      <c r="Q1595" s="5" t="s">
        <v>51827</v>
      </c>
      <c r="R1595" s="5" t="s">
        <v>51828</v>
      </c>
      <c r="S1595" s="5" t="s">
        <v>51829</v>
      </c>
      <c r="T1595" s="28">
        <v>8608650000</v>
      </c>
      <c r="U1595" s="28">
        <v>20940399000</v>
      </c>
      <c r="V1595" s="28">
        <v>10737013000</v>
      </c>
      <c r="W1595" s="28">
        <v>3923359000</v>
      </c>
      <c r="X1595" s="28">
        <v>109303000</v>
      </c>
      <c r="Y1595" s="28">
        <v>45818695000</v>
      </c>
      <c r="Z1595" s="28">
        <v>6723115000</v>
      </c>
      <c r="AA1595" s="28">
        <v>20101485000</v>
      </c>
      <c r="AB1595" s="28">
        <v>16084536000</v>
      </c>
      <c r="AC1595" s="28">
        <v>18571897000</v>
      </c>
      <c r="AD1595" s="28">
        <v>6838963000</v>
      </c>
      <c r="AE1595" s="28">
        <v>9970009000</v>
      </c>
      <c r="AF1595" s="28">
        <v>7351220000</v>
      </c>
      <c r="AG1595" s="11"/>
    </row>
    <row r="1596">
      <c r="A1596" s="7" t="s">
        <v>3304</v>
      </c>
      <c r="B1596" s="5" t="s">
        <v>11291</v>
      </c>
      <c r="C1596" s="5" t="s">
        <v>19153</v>
      </c>
      <c r="D1596" s="5" t="str">
        <v>470400545082</v>
      </c>
      <c r="E1596" s="0" t="e">
        <f>+7 (963) 3297434
+7 (345) 2327396
+7 (346) 2225172
+7 (346) 2327396
+7 (346) 7127396
+7 (3467) 327393
+7 (3467) 327396
+7 (3467) 327402
+7 (3467) 327403
+7 (34671) 27393</f>
        <v>#NAME?</v>
      </c>
      <c r="F1596" s="5" t="s">
        <v>30157</v>
      </c>
      <c r="G1596" s="5"/>
      <c r="H1596" s="26">
        <v>8</v>
      </c>
      <c r="I1596" s="5"/>
      <c r="J1596" s="5" t="s">
        <v>25603</v>
      </c>
      <c r="K1596" s="5" t="s">
        <v>344</v>
      </c>
      <c r="L1596" s="5"/>
      <c r="M1596" s="27">
        <v>28171383</v>
      </c>
      <c r="N1596" s="5" t="s">
        <v>51830</v>
      </c>
      <c r="O1596" s="5" t="str">
        <v>8602257512</v>
      </c>
      <c r="P1596" s="27">
        <v>3352579141</v>
      </c>
      <c r="Q1596" s="5" t="s">
        <v>51831</v>
      </c>
      <c r="R1596" s="5"/>
      <c r="S1596" s="5" t="s">
        <v>51832</v>
      </c>
      <c r="T1596" s="28">
        <v>3556782000</v>
      </c>
      <c r="U1596" s="28"/>
      <c r="V1596" s="28">
        <v>767779000</v>
      </c>
      <c r="W1596" s="28"/>
      <c r="X1596" s="28">
        <v>343591000</v>
      </c>
      <c r="Y1596" s="28">
        <v>6020427000</v>
      </c>
      <c r="Z1596" s="28">
        <v>456071000</v>
      </c>
      <c r="AA1596" s="28">
        <v>187187000</v>
      </c>
      <c r="AB1596" s="28">
        <v>461566000</v>
      </c>
      <c r="AC1596" s="28">
        <v>1740494000</v>
      </c>
      <c r="AD1596" s="28">
        <v>3852062000</v>
      </c>
      <c r="AE1596" s="28">
        <v>7193917000</v>
      </c>
      <c r="AF1596" s="28">
        <v>63834000</v>
      </c>
      <c r="AG1596" s="11"/>
    </row>
    <row r="1597">
      <c r="A1597" s="7" t="s">
        <v>3305</v>
      </c>
      <c r="B1597" s="5" t="s">
        <v>11292</v>
      </c>
      <c r="C1597" s="5" t="s">
        <v>19154</v>
      </c>
      <c r="D1597" s="5" t="str">
        <v>190101892773</v>
      </c>
      <c r="E1597" s="0" t="e">
        <f>+7 (495) 1364018
+7 (495) 3638990
+7 (499) 4060320</f>
        <v>#NAME?</v>
      </c>
      <c r="F1597" s="5" t="s">
        <v>30158</v>
      </c>
      <c r="G1597" s="5" t="s">
        <v>30159</v>
      </c>
      <c r="H1597" s="26">
        <v>8.5</v>
      </c>
      <c r="I1597" s="5" t="s">
        <v>30160</v>
      </c>
      <c r="J1597" s="5" t="s">
        <v>25295</v>
      </c>
      <c r="K1597" s="5" t="s">
        <v>355</v>
      </c>
      <c r="L1597" s="5" t="s">
        <v>30161</v>
      </c>
      <c r="M1597" s="27">
        <v>9216902</v>
      </c>
      <c r="N1597" s="5" t="s">
        <v>51833</v>
      </c>
      <c r="O1597" s="5" t="str">
        <v>2464264800</v>
      </c>
      <c r="P1597" s="27">
        <v>5000000</v>
      </c>
      <c r="Q1597" s="5" t="s">
        <v>51834</v>
      </c>
      <c r="R1597" s="5" t="s">
        <v>51835</v>
      </c>
      <c r="S1597" s="5" t="s">
        <v>51836</v>
      </c>
      <c r="T1597" s="28">
        <v>52926000</v>
      </c>
      <c r="U1597" s="28">
        <v>9000</v>
      </c>
      <c r="V1597" s="28">
        <v>1345013000</v>
      </c>
      <c r="W1597" s="28">
        <v>154695000</v>
      </c>
      <c r="X1597" s="28">
        <v>127117000</v>
      </c>
      <c r="Y1597" s="28">
        <v>4476446000</v>
      </c>
      <c r="Z1597" s="28">
        <v>270397000</v>
      </c>
      <c r="AA1597" s="28"/>
      <c r="AB1597" s="28"/>
      <c r="AC1597" s="28">
        <v>3788005000</v>
      </c>
      <c r="AD1597" s="28">
        <v>275397000</v>
      </c>
      <c r="AE1597" s="28">
        <v>5496336000</v>
      </c>
      <c r="AF1597" s="28">
        <v>59369000</v>
      </c>
      <c r="AG1597" s="11"/>
    </row>
    <row r="1598">
      <c r="A1598" s="7" t="s">
        <v>3306</v>
      </c>
      <c r="B1598" s="5" t="s">
        <v>11293</v>
      </c>
      <c r="C1598" s="5" t="s">
        <v>19155</v>
      </c>
      <c r="D1598" s="5" t="str">
        <v>770770559627</v>
      </c>
      <c r="E1598" s="0" t="e">
        <f>+7 (3472) 865227
+7 (3472) 996799
+7 (960) 8006799
+7 (985) 9286512</f>
        <v>#NAME?</v>
      </c>
      <c r="F1598" s="5"/>
      <c r="G1598" s="5" t="s">
        <v>30162</v>
      </c>
      <c r="H1598" s="26">
        <v>7</v>
      </c>
      <c r="I1598" s="5" t="s">
        <v>30163</v>
      </c>
      <c r="J1598" s="5" t="s">
        <v>26799</v>
      </c>
      <c r="K1598" s="5" t="s">
        <v>355</v>
      </c>
      <c r="L1598" s="5" t="s">
        <v>30164</v>
      </c>
      <c r="M1598" s="27"/>
      <c r="N1598" s="5" t="s">
        <v>51837</v>
      </c>
      <c r="O1598" s="5" t="str">
        <v>0273905626</v>
      </c>
      <c r="P1598" s="27">
        <v>41667</v>
      </c>
      <c r="Q1598" s="5" t="s">
        <v>49021</v>
      </c>
      <c r="R1598" s="5"/>
      <c r="S1598" s="5" t="s">
        <v>51838</v>
      </c>
      <c r="T1598" s="28">
        <v>268649000</v>
      </c>
      <c r="U1598" s="28">
        <v>10000</v>
      </c>
      <c r="V1598" s="28">
        <v>520703000</v>
      </c>
      <c r="W1598" s="28">
        <v>768617000</v>
      </c>
      <c r="X1598" s="28">
        <v>752686000</v>
      </c>
      <c r="Y1598" s="28">
        <v>3111452000</v>
      </c>
      <c r="Z1598" s="28">
        <v>255501000</v>
      </c>
      <c r="AA1598" s="28">
        <v>284600000</v>
      </c>
      <c r="AB1598" s="28">
        <v>32078000</v>
      </c>
      <c r="AC1598" s="28">
        <v>1714095000</v>
      </c>
      <c r="AD1598" s="28">
        <v>962355000</v>
      </c>
      <c r="AE1598" s="28">
        <v>3667104000</v>
      </c>
      <c r="AF1598" s="28">
        <v>243818000</v>
      </c>
      <c r="AG1598" s="11"/>
    </row>
    <row r="1599">
      <c r="A1599" s="7" t="s">
        <v>3307</v>
      </c>
      <c r="B1599" s="5" t="s">
        <v>11294</v>
      </c>
      <c r="C1599" s="5" t="s">
        <v>19156</v>
      </c>
      <c r="D1599" s="5" t="str">
        <v>525612231426</v>
      </c>
      <c r="E1599" s="0" t="e">
        <f>+7 (831) 2456398
+7 (831) 2990547
+7 (910) 587233
+7 (926) 2396628
+7 (926) 2396629
+7 (951) 9065729
+7 (831) 2908080</f>
        <v>#NAME?</v>
      </c>
      <c r="F1599" s="5" t="s">
        <v>30165</v>
      </c>
      <c r="G1599" s="5" t="s">
        <v>30166</v>
      </c>
      <c r="H1599" s="26">
        <v>3</v>
      </c>
      <c r="I1599" s="5"/>
      <c r="J1599" s="5" t="s">
        <v>25674</v>
      </c>
      <c r="K1599" s="5" t="s">
        <v>344</v>
      </c>
      <c r="L1599" s="5"/>
      <c r="M1599" s="27">
        <v>198138260</v>
      </c>
      <c r="N1599" s="5" t="s">
        <v>51839</v>
      </c>
      <c r="O1599" s="5" t="str">
        <v>5256197404</v>
      </c>
      <c r="P1599" s="27">
        <v>10000000</v>
      </c>
      <c r="Q1599" s="5" t="s">
        <v>51840</v>
      </c>
      <c r="R1599" s="5" t="s">
        <v>51841</v>
      </c>
      <c r="S1599" s="5" t="s">
        <v>51842</v>
      </c>
      <c r="T1599" s="28">
        <v>842894000</v>
      </c>
      <c r="U1599" s="28"/>
      <c r="V1599" s="28">
        <v>7293913000</v>
      </c>
      <c r="W1599" s="28"/>
      <c r="X1599" s="28">
        <v>12668717000</v>
      </c>
      <c r="Y1599" s="28">
        <v>24148748000</v>
      </c>
      <c r="Z1599" s="28">
        <v>2927753000</v>
      </c>
      <c r="AA1599" s="28"/>
      <c r="AB1599" s="28">
        <v>4000000000</v>
      </c>
      <c r="AC1599" s="28">
        <v>20662863000</v>
      </c>
      <c r="AD1599" s="28">
        <v>2937753000</v>
      </c>
      <c r="AE1599" s="28">
        <v>144121286000</v>
      </c>
      <c r="AF1599" s="28">
        <v>8938503000</v>
      </c>
      <c r="AG1599" s="11"/>
    </row>
    <row r="1600">
      <c r="A1600" s="7" t="s">
        <v>3308</v>
      </c>
      <c r="B1600" s="5" t="s">
        <v>11295</v>
      </c>
      <c r="C1600" s="5" t="s">
        <v>19157</v>
      </c>
      <c r="D1600" s="5" t="str">
        <v>631217655200</v>
      </c>
      <c r="E1600" s="0" t="e">
        <f>+7 (915) 2394762
+7 (495) 2349200
+7 (495) 2874986
+7 (925) 6439943
+7 (977) 7284890</f>
        <v>#NAME?</v>
      </c>
      <c r="F1600" s="5" t="s">
        <v>30167</v>
      </c>
      <c r="G1600" s="5" t="s">
        <v>30168</v>
      </c>
      <c r="H1600" s="26">
        <v>6.5</v>
      </c>
      <c r="I1600" s="5" t="s">
        <v>30169</v>
      </c>
      <c r="J1600" s="5" t="s">
        <v>30170</v>
      </c>
      <c r="K1600" s="5" t="s">
        <v>344</v>
      </c>
      <c r="L1600" s="5" t="s">
        <v>30171</v>
      </c>
      <c r="M1600" s="27"/>
      <c r="N1600" s="5" t="s">
        <v>51843</v>
      </c>
      <c r="O1600" s="5" t="str">
        <v>9729022231</v>
      </c>
      <c r="P1600" s="27">
        <v>100000</v>
      </c>
      <c r="Q1600" s="5" t="s">
        <v>51844</v>
      </c>
      <c r="R1600" s="5"/>
      <c r="S1600" s="5" t="s">
        <v>51845</v>
      </c>
      <c r="T1600" s="28">
        <v>454900000</v>
      </c>
      <c r="U1600" s="28"/>
      <c r="V1600" s="28">
        <v>1049632000</v>
      </c>
      <c r="W1600" s="28">
        <v>94769000</v>
      </c>
      <c r="X1600" s="28">
        <v>327823000</v>
      </c>
      <c r="Y1600" s="28">
        <v>1964782000</v>
      </c>
      <c r="Z1600" s="28">
        <v>806824000</v>
      </c>
      <c r="AA1600" s="28"/>
      <c r="AB1600" s="28">
        <v>119552000</v>
      </c>
      <c r="AC1600" s="28">
        <v>901127000</v>
      </c>
      <c r="AD1600" s="28">
        <v>814440000</v>
      </c>
      <c r="AE1600" s="28">
        <v>5161424000</v>
      </c>
      <c r="AF1600" s="28">
        <v>627315000</v>
      </c>
      <c r="AG1600" s="11"/>
    </row>
    <row r="1601">
      <c r="A1601" s="7" t="s">
        <v>3309</v>
      </c>
      <c r="B1601" s="5" t="s">
        <v>11296</v>
      </c>
      <c r="C1601" s="5" t="s">
        <v>19158</v>
      </c>
      <c r="D1601" s="5" t="str">
        <v>771920416799</v>
      </c>
      <c r="E1601" s="0" t="e">
        <f>+7 (495) 2580021
+7 (84630) 2223</f>
        <v>#NAME?</v>
      </c>
      <c r="F1601" s="5" t="s">
        <v>30172</v>
      </c>
      <c r="G1601" s="5" t="s">
        <v>30173</v>
      </c>
      <c r="H1601" s="26">
        <v>21.5</v>
      </c>
      <c r="I1601" s="5" t="s">
        <v>30174</v>
      </c>
      <c r="J1601" s="5" t="s">
        <v>30175</v>
      </c>
      <c r="K1601" s="5" t="s">
        <v>344</v>
      </c>
      <c r="L1601" s="5" t="s">
        <v>30176</v>
      </c>
      <c r="M1601" s="27"/>
      <c r="N1601" s="5" t="s">
        <v>51846</v>
      </c>
      <c r="O1601" s="5" t="str">
        <v>7702325027</v>
      </c>
      <c r="P1601" s="27">
        <v>3100000</v>
      </c>
      <c r="Q1601" s="5" t="s">
        <v>51847</v>
      </c>
      <c r="R1601" s="5"/>
      <c r="S1601" s="5" t="s">
        <v>51848</v>
      </c>
      <c r="T1601" s="28">
        <v>54305000</v>
      </c>
      <c r="U1601" s="28"/>
      <c r="V1601" s="28">
        <v>896672000</v>
      </c>
      <c r="W1601" s="28"/>
      <c r="X1601" s="28">
        <v>63006000</v>
      </c>
      <c r="Y1601" s="28">
        <v>2056005000</v>
      </c>
      <c r="Z1601" s="28">
        <v>808602000</v>
      </c>
      <c r="AA1601" s="28">
        <v>192400000</v>
      </c>
      <c r="AB1601" s="28"/>
      <c r="AC1601" s="28">
        <v>1013093000</v>
      </c>
      <c r="AD1601" s="28">
        <v>850154000</v>
      </c>
      <c r="AE1601" s="28">
        <v>4304742000</v>
      </c>
      <c r="AF1601" s="28">
        <v>435083000</v>
      </c>
      <c r="AG1601" s="11"/>
    </row>
    <row r="1602">
      <c r="A1602" s="7" t="s">
        <v>3310</v>
      </c>
      <c r="B1602" s="5" t="s">
        <v>11297</v>
      </c>
      <c r="C1602" s="5" t="s">
        <v>19159</v>
      </c>
      <c r="D1602" s="5" t="str">
        <v>292200007994</v>
      </c>
      <c r="E1602" s="0" t="e">
        <f>+7 (81855) 61224
+7 (818) 2229629
+7 (818) 2251436
+7 (921) 4149812
+7 (81855) 51434
+7 (81855) 51436
+7 (81855) 51470
+7 (81855) 51717
+7 (81855) 77265
+7 (921) 711030
+7 (921) 4874474</f>
        <v>#NAME?</v>
      </c>
      <c r="F1602" s="5" t="s">
        <v>30177</v>
      </c>
      <c r="G1602" s="5" t="s">
        <v>30178</v>
      </c>
      <c r="H1602" s="26">
        <v>11.5</v>
      </c>
      <c r="I1602" s="5" t="s">
        <v>30179</v>
      </c>
      <c r="J1602" s="5" t="s">
        <v>27291</v>
      </c>
      <c r="K1602" s="5" t="s">
        <v>380</v>
      </c>
      <c r="L1602" s="5"/>
      <c r="M1602" s="27">
        <v>1881370485</v>
      </c>
      <c r="N1602" s="5" t="s">
        <v>51849</v>
      </c>
      <c r="O1602" s="5" t="str">
        <v>2922008546</v>
      </c>
      <c r="P1602" s="27">
        <v>2939396500</v>
      </c>
      <c r="Q1602" s="5" t="s">
        <v>51851</v>
      </c>
      <c r="R1602" s="5" t="s">
        <v>51852</v>
      </c>
      <c r="S1602" s="5" t="s">
        <v>50234</v>
      </c>
      <c r="T1602" s="28">
        <v>45228098000</v>
      </c>
      <c r="U1602" s="28"/>
      <c r="V1602" s="28">
        <v>2239257000</v>
      </c>
      <c r="W1602" s="28">
        <v>500461000</v>
      </c>
      <c r="X1602" s="28">
        <v>19139000</v>
      </c>
      <c r="Y1602" s="28">
        <v>55954015000</v>
      </c>
      <c r="Z1602" s="28">
        <v>-3657683000</v>
      </c>
      <c r="AA1602" s="28">
        <v>36474516000</v>
      </c>
      <c r="AB1602" s="28">
        <v>3346142000</v>
      </c>
      <c r="AC1602" s="28">
        <v>9289058000</v>
      </c>
      <c r="AD1602" s="28">
        <v>6797556000</v>
      </c>
      <c r="AE1602" s="28">
        <v>24372282000</v>
      </c>
      <c r="AF1602" s="28">
        <v>-1406558000</v>
      </c>
      <c r="AG1602" s="11"/>
    </row>
    <row r="1603">
      <c r="A1603" s="7" t="s">
        <v>3311</v>
      </c>
      <c r="B1603" s="5" t="s">
        <v>11298</v>
      </c>
      <c r="C1603" s="5" t="s">
        <v>19160</v>
      </c>
      <c r="D1603" s="5" t="str">
        <v>710400359907</v>
      </c>
      <c r="E1603" s="0" t="e">
        <f>+7 (487) 2249600
+7 (487) 2314314
+7 (487) 2317272
+7 (487) 2317517
+7 (487) 2335544
+7 (846) 2070307</f>
        <v>#NAME?</v>
      </c>
      <c r="F1603" s="5" t="s">
        <v>30180</v>
      </c>
      <c r="G1603" s="5"/>
      <c r="H1603" s="26">
        <v>14.5</v>
      </c>
      <c r="I1603" s="5" t="s">
        <v>30181</v>
      </c>
      <c r="J1603" s="5" t="s">
        <v>1123</v>
      </c>
      <c r="K1603" s="5" t="s">
        <v>344</v>
      </c>
      <c r="L1603" s="5" t="s">
        <v>30182</v>
      </c>
      <c r="M1603" s="27">
        <v>489873395</v>
      </c>
      <c r="N1603" s="5" t="s">
        <v>51853</v>
      </c>
      <c r="O1603" s="5" t="str">
        <v>7107509788</v>
      </c>
      <c r="P1603" s="27">
        <v>10000</v>
      </c>
      <c r="Q1603" s="5" t="s">
        <v>51854</v>
      </c>
      <c r="R1603" s="5"/>
      <c r="S1603" s="5" t="s">
        <v>49047</v>
      </c>
      <c r="T1603" s="28">
        <v>19246000</v>
      </c>
      <c r="U1603" s="28"/>
      <c r="V1603" s="28">
        <v>969057000</v>
      </c>
      <c r="W1603" s="28"/>
      <c r="X1603" s="28">
        <v>1120587000</v>
      </c>
      <c r="Y1603" s="28">
        <v>2894559000</v>
      </c>
      <c r="Z1603" s="28">
        <v>2599629000</v>
      </c>
      <c r="AA1603" s="28"/>
      <c r="AB1603" s="28"/>
      <c r="AC1603" s="28">
        <v>294920000</v>
      </c>
      <c r="AD1603" s="28">
        <v>2599639000</v>
      </c>
      <c r="AE1603" s="28">
        <v>8971240000</v>
      </c>
      <c r="AF1603" s="28">
        <v>519216000</v>
      </c>
      <c r="AG1603" s="11"/>
    </row>
    <row r="1604">
      <c r="A1604" s="7" t="s">
        <v>3312</v>
      </c>
      <c r="B1604" s="5" t="s">
        <v>11299</v>
      </c>
      <c r="C1604" s="5" t="s">
        <v>19161</v>
      </c>
      <c r="D1604" s="5" t="str">
        <v>781412509800</v>
      </c>
      <c r="E1604" s="0" t="e">
        <f>+7 (812) 3423333
+7 (812) 3430583
+7 (800) 3250101
+7 (800) 3330525
+7 (800) 3800525
+7 (812) 2453461
+7 (812) 3037275
+7 (812) 3059023
+7 (812) 3482125
+7 (812) 3482316
+7 (812) 3493520
+7 (812) 3800513
+7 (812) 3800529
+7 (812) 3863697
+7 (812) 4490190</f>
        <v>#NAME?</v>
      </c>
      <c r="F1604" s="5" t="s">
        <v>30183</v>
      </c>
      <c r="G1604" s="5" t="s">
        <v>30184</v>
      </c>
      <c r="H1604" s="26">
        <v>22</v>
      </c>
      <c r="I1604" s="5"/>
      <c r="J1604" s="5" t="s">
        <v>30185</v>
      </c>
      <c r="K1604" s="5" t="s">
        <v>344</v>
      </c>
      <c r="L1604" s="5" t="s">
        <v>30186</v>
      </c>
      <c r="M1604" s="27"/>
      <c r="N1604" s="5"/>
      <c r="O1604" s="5" t="str">
        <v>7814116230</v>
      </c>
      <c r="P1604" s="27">
        <v>2113200000</v>
      </c>
      <c r="Q1604" s="5" t="s">
        <v>49009</v>
      </c>
      <c r="R1604" s="5"/>
      <c r="S1604" s="5" t="s">
        <v>49093</v>
      </c>
      <c r="T1604" s="28">
        <v>2744764000</v>
      </c>
      <c r="U1604" s="28">
        <v>37675422000</v>
      </c>
      <c r="V1604" s="28">
        <v>3535394000</v>
      </c>
      <c r="W1604" s="28"/>
      <c r="X1604" s="28">
        <v>1635152000</v>
      </c>
      <c r="Y1604" s="28">
        <v>46631149000</v>
      </c>
      <c r="Z1604" s="28">
        <v>15853290000</v>
      </c>
      <c r="AA1604" s="28">
        <v>12526968000</v>
      </c>
      <c r="AB1604" s="28">
        <v>11689747000</v>
      </c>
      <c r="AC1604" s="28">
        <v>13773318000</v>
      </c>
      <c r="AD1604" s="28">
        <v>18072150000</v>
      </c>
      <c r="AE1604" s="28">
        <v>7831589000</v>
      </c>
      <c r="AF1604" s="28">
        <v>3461193000</v>
      </c>
      <c r="AG1604" s="11"/>
    </row>
    <row r="1605">
      <c r="A1605" s="7" t="s">
        <v>3313</v>
      </c>
      <c r="B1605" s="5" t="s">
        <v>11300</v>
      </c>
      <c r="C1605" s="5" t="s">
        <v>19162</v>
      </c>
      <c r="D1605" s="5" t="str">
        <v>253601118610</v>
      </c>
      <c r="E1605" s="0" t="e">
        <f>+7 (902) 5550000</f>
        <v>#NAME?</v>
      </c>
      <c r="F1605" s="5" t="s">
        <v>30187</v>
      </c>
      <c r="G1605" s="5" t="s">
        <v>30188</v>
      </c>
      <c r="H1605" s="26">
        <v>6</v>
      </c>
      <c r="I1605" s="5" t="s">
        <v>30189</v>
      </c>
      <c r="J1605" s="5" t="s">
        <v>25559</v>
      </c>
      <c r="K1605" s="5" t="s">
        <v>344</v>
      </c>
      <c r="L1605" s="5" t="s">
        <v>30190</v>
      </c>
      <c r="M1605" s="27"/>
      <c r="N1605" s="5" t="s">
        <v>51856</v>
      </c>
      <c r="O1605" s="5" t="str">
        <v>2543107078</v>
      </c>
      <c r="P1605" s="27">
        <v>247180130</v>
      </c>
      <c r="Q1605" s="5" t="s">
        <v>49009</v>
      </c>
      <c r="R1605" s="5" t="s">
        <v>51857</v>
      </c>
      <c r="S1605" s="5" t="s">
        <v>51072</v>
      </c>
      <c r="T1605" s="28">
        <v>20492000</v>
      </c>
      <c r="U1605" s="28"/>
      <c r="V1605" s="28">
        <v>1432685000</v>
      </c>
      <c r="W1605" s="28"/>
      <c r="X1605" s="28">
        <v>37685000</v>
      </c>
      <c r="Y1605" s="28">
        <v>1750943000</v>
      </c>
      <c r="Z1605" s="28">
        <v>411222000</v>
      </c>
      <c r="AA1605" s="28"/>
      <c r="AB1605" s="28">
        <v>201036000</v>
      </c>
      <c r="AC1605" s="28">
        <v>1092541000</v>
      </c>
      <c r="AD1605" s="28">
        <v>658402000</v>
      </c>
      <c r="AE1605" s="28">
        <v>5869908000</v>
      </c>
      <c r="AF1605" s="28">
        <v>182096000</v>
      </c>
      <c r="AG1605" s="11"/>
    </row>
    <row r="1606">
      <c r="A1606" s="7" t="s">
        <v>3314</v>
      </c>
      <c r="B1606" s="5" t="s">
        <v>11301</v>
      </c>
      <c r="C1606" s="5" t="s">
        <v>18868</v>
      </c>
      <c r="D1606" s="5"/>
      <c r="E1606" s="0" t="e">
        <f>+7 (912) 4600661
+7 (34141) 37572
+7 (34141) 38120
+7 (34141) 38523
+7 (34141) 38530
+7 (34141) 38533
+7 (34141) 40742
+7 (34141) 47787
+7 (34141) 48989
+7 (34141) 51058
+7 (34141) 51160
+7 (34141) 51165
+7 (34141) 58898
+7 (34141) 71668</f>
        <v>#NAME?</v>
      </c>
      <c r="F1606" s="5" t="s">
        <v>30191</v>
      </c>
      <c r="G1606" s="5"/>
      <c r="H1606" s="26">
        <v>20.5</v>
      </c>
      <c r="I1606" s="5" t="s">
        <v>30192</v>
      </c>
      <c r="J1606" s="5" t="s">
        <v>27266</v>
      </c>
      <c r="K1606" s="5" t="s">
        <v>344</v>
      </c>
      <c r="L1606" s="5" t="s">
        <v>30193</v>
      </c>
      <c r="M1606" s="27"/>
      <c r="N1606" s="5" t="s">
        <v>51858</v>
      </c>
      <c r="O1606" s="5" t="str">
        <v>1829013726</v>
      </c>
      <c r="P1606" s="27">
        <v>61802000</v>
      </c>
      <c r="Q1606" s="5" t="s">
        <v>51859</v>
      </c>
      <c r="R1606" s="5"/>
      <c r="S1606" s="5" t="s">
        <v>51860</v>
      </c>
      <c r="T1606" s="28">
        <v>314202000</v>
      </c>
      <c r="U1606" s="28"/>
      <c r="V1606" s="28">
        <v>2249669000</v>
      </c>
      <c r="W1606" s="28">
        <v>1799830000</v>
      </c>
      <c r="X1606" s="28">
        <v>7591000</v>
      </c>
      <c r="Y1606" s="28">
        <v>5326262000</v>
      </c>
      <c r="Z1606" s="28">
        <v>246214000</v>
      </c>
      <c r="AA1606" s="28">
        <v>1128382000</v>
      </c>
      <c r="AB1606" s="28">
        <v>2674255000</v>
      </c>
      <c r="AC1606" s="28">
        <v>3860971000</v>
      </c>
      <c r="AD1606" s="28">
        <v>308016000</v>
      </c>
      <c r="AE1606" s="28">
        <v>6508303000</v>
      </c>
      <c r="AF1606" s="28">
        <v>125120000</v>
      </c>
      <c r="AG1606" s="11"/>
    </row>
    <row r="1607">
      <c r="A1607" s="7" t="s">
        <v>3315</v>
      </c>
      <c r="B1607" s="5" t="s">
        <v>11302</v>
      </c>
      <c r="C1607" s="5" t="s">
        <v>19163</v>
      </c>
      <c r="D1607" s="5" t="str">
        <v>370200029539</v>
      </c>
      <c r="E1607" s="0" t="e">
        <f>+7 (844) 2243695
+7 (937) 5503565
+7 (844) 2781753
+7 (927) 5300114
+7 (960) 8748811
+7 (961) 6721661
+7 (961) 6854488</f>
        <v>#NAME?</v>
      </c>
      <c r="F1607" s="5" t="s">
        <v>30194</v>
      </c>
      <c r="G1607" s="5" t="s">
        <v>30195</v>
      </c>
      <c r="H1607" s="26">
        <v>10</v>
      </c>
      <c r="I1607" s="5" t="s">
        <v>30196</v>
      </c>
      <c r="J1607" s="5" t="s">
        <v>955</v>
      </c>
      <c r="K1607" s="5" t="s">
        <v>344</v>
      </c>
      <c r="L1607" s="5" t="s">
        <v>30197</v>
      </c>
      <c r="M1607" s="27">
        <v>14200786</v>
      </c>
      <c r="N1607" s="5"/>
      <c r="O1607" s="5" t="str">
        <v>6829089548</v>
      </c>
      <c r="P1607" s="27">
        <v>725000</v>
      </c>
      <c r="Q1607" s="5" t="s">
        <v>51861</v>
      </c>
      <c r="R1607" s="5"/>
      <c r="S1607" s="5" t="s">
        <v>51862</v>
      </c>
      <c r="T1607" s="28">
        <v>139487000</v>
      </c>
      <c r="U1607" s="28">
        <v>240000</v>
      </c>
      <c r="V1607" s="28">
        <v>156091000</v>
      </c>
      <c r="W1607" s="28">
        <v>3342000</v>
      </c>
      <c r="X1607" s="28">
        <v>1596000</v>
      </c>
      <c r="Y1607" s="28">
        <v>436312000</v>
      </c>
      <c r="Z1607" s="28">
        <v>164199000</v>
      </c>
      <c r="AA1607" s="28">
        <v>15000000</v>
      </c>
      <c r="AB1607" s="28">
        <v>57708000</v>
      </c>
      <c r="AC1607" s="28">
        <v>191779000</v>
      </c>
      <c r="AD1607" s="28">
        <v>164924000</v>
      </c>
      <c r="AE1607" s="28">
        <v>3193182000</v>
      </c>
      <c r="AF1607" s="28">
        <v>33117000</v>
      </c>
      <c r="AG1607" s="11"/>
    </row>
    <row r="1608">
      <c r="A1608" s="7" t="s">
        <v>3316</v>
      </c>
      <c r="B1608" s="5" t="s">
        <v>11303</v>
      </c>
      <c r="C1608" s="5" t="s">
        <v>19164</v>
      </c>
      <c r="D1608" s="5" t="str">
        <v>502986294261</v>
      </c>
      <c r="E1608" s="0" t="e">
        <f>+7 (3472) 395619
+7 (34763) 93587
+7 (34763) 95873</f>
        <v>#NAME?</v>
      </c>
      <c r="F1608" s="5" t="s">
        <v>30198</v>
      </c>
      <c r="G1608" s="5"/>
      <c r="H1608" s="26">
        <v>18.5</v>
      </c>
      <c r="I1608" s="5" t="s">
        <v>30199</v>
      </c>
      <c r="J1608" s="5" t="s">
        <v>623</v>
      </c>
      <c r="K1608" s="5" t="s">
        <v>344</v>
      </c>
      <c r="L1608" s="5" t="s">
        <v>30200</v>
      </c>
      <c r="M1608" s="27">
        <v>127550952</v>
      </c>
      <c r="N1608" s="5" t="s">
        <v>51863</v>
      </c>
      <c r="O1608" s="5" t="str">
        <v>0266023912</v>
      </c>
      <c r="P1608" s="27">
        <v>500000</v>
      </c>
      <c r="Q1608" s="5" t="s">
        <v>51864</v>
      </c>
      <c r="R1608" s="5" t="s">
        <v>51865</v>
      </c>
      <c r="S1608" s="5" t="s">
        <v>51866</v>
      </c>
      <c r="T1608" s="28">
        <v>276121000</v>
      </c>
      <c r="U1608" s="28"/>
      <c r="V1608" s="28">
        <v>5136315000</v>
      </c>
      <c r="W1608" s="28"/>
      <c r="X1608" s="28">
        <v>605208000</v>
      </c>
      <c r="Y1608" s="28">
        <v>6577520000</v>
      </c>
      <c r="Z1608" s="28">
        <v>995609000</v>
      </c>
      <c r="AA1608" s="28"/>
      <c r="AB1608" s="28"/>
      <c r="AC1608" s="28">
        <v>5044043000</v>
      </c>
      <c r="AD1608" s="28">
        <v>996109000</v>
      </c>
      <c r="AE1608" s="28">
        <v>8336585000</v>
      </c>
      <c r="AF1608" s="28">
        <v>767004000</v>
      </c>
      <c r="AG1608" s="11"/>
    </row>
    <row r="1609">
      <c r="A1609" s="7" t="s">
        <v>3317</v>
      </c>
      <c r="B1609" s="5" t="s">
        <v>11304</v>
      </c>
      <c r="C1609" s="5" t="s">
        <v>19165</v>
      </c>
      <c r="D1609" s="5" t="str">
        <v>773471544201</v>
      </c>
      <c r="E1609" s="0" t="e">
        <f>+7 (495) 7258047</f>
        <v>#NAME?</v>
      </c>
      <c r="F1609" s="5" t="s">
        <v>30201</v>
      </c>
      <c r="G1609" s="5"/>
      <c r="H1609" s="26">
        <v>9</v>
      </c>
      <c r="I1609" s="5" t="s">
        <v>30202</v>
      </c>
      <c r="J1609" s="5" t="s">
        <v>364</v>
      </c>
      <c r="K1609" s="5" t="s">
        <v>344</v>
      </c>
      <c r="L1609" s="5" t="s">
        <v>30203</v>
      </c>
      <c r="M1609" s="27">
        <v>122192</v>
      </c>
      <c r="N1609" s="5" t="s">
        <v>51867</v>
      </c>
      <c r="O1609" s="5" t="str">
        <v>7743912930</v>
      </c>
      <c r="P1609" s="27">
        <v>10000</v>
      </c>
      <c r="Q1609" s="5" t="s">
        <v>51869</v>
      </c>
      <c r="R1609" s="5"/>
      <c r="S1609" s="5" t="s">
        <v>51870</v>
      </c>
      <c r="T1609" s="28">
        <v>339189000</v>
      </c>
      <c r="U1609" s="28"/>
      <c r="V1609" s="28">
        <v>5729756000</v>
      </c>
      <c r="W1609" s="28">
        <v>57500000</v>
      </c>
      <c r="X1609" s="28">
        <v>59185000</v>
      </c>
      <c r="Y1609" s="28">
        <v>8949072000</v>
      </c>
      <c r="Z1609" s="28">
        <v>67626000</v>
      </c>
      <c r="AA1609" s="28">
        <v>410000000</v>
      </c>
      <c r="AB1609" s="28">
        <v>315000000</v>
      </c>
      <c r="AC1609" s="28">
        <v>8087083000</v>
      </c>
      <c r="AD1609" s="28">
        <v>67636000</v>
      </c>
      <c r="AE1609" s="28">
        <v>4034715000</v>
      </c>
      <c r="AF1609" s="28">
        <v>41125000</v>
      </c>
      <c r="AG1609" s="11"/>
    </row>
    <row r="1610">
      <c r="A1610" s="7" t="s">
        <v>3318</v>
      </c>
      <c r="B1610" s="5" t="s">
        <v>11305</v>
      </c>
      <c r="C1610" s="5" t="s">
        <v>19166</v>
      </c>
      <c r="D1610" s="5" t="str">
        <v>772745418344</v>
      </c>
      <c r="E1610" s="0" t="e">
        <f>+7 (495) 1508002
+7 (495) 6638254
+7 (800) 5001357
+7 (800) 5007002</f>
        <v>#NAME?</v>
      </c>
      <c r="F1610" s="5" t="s">
        <v>30204</v>
      </c>
      <c r="G1610" s="5"/>
      <c r="H1610" s="26">
        <v>8</v>
      </c>
      <c r="I1610" s="5" t="s">
        <v>30205</v>
      </c>
      <c r="J1610" s="5" t="s">
        <v>397</v>
      </c>
      <c r="K1610" s="5" t="s">
        <v>344</v>
      </c>
      <c r="L1610" s="5" t="s">
        <v>30206</v>
      </c>
      <c r="M1610" s="27">
        <v>24790035</v>
      </c>
      <c r="N1610" s="5" t="s">
        <v>51871</v>
      </c>
      <c r="O1610" s="5" t="str">
        <v>7715471138</v>
      </c>
      <c r="P1610" s="27">
        <v>50000</v>
      </c>
      <c r="Q1610" s="5" t="s">
        <v>51872</v>
      </c>
      <c r="R1610" s="5"/>
      <c r="S1610" s="5" t="s">
        <v>51873</v>
      </c>
      <c r="T1610" s="28">
        <v>8966000</v>
      </c>
      <c r="U1610" s="28"/>
      <c r="V1610" s="28">
        <v>826343000</v>
      </c>
      <c r="W1610" s="28"/>
      <c r="X1610" s="28">
        <v>40886000</v>
      </c>
      <c r="Y1610" s="28">
        <v>1390356000</v>
      </c>
      <c r="Z1610" s="28">
        <v>262591000</v>
      </c>
      <c r="AA1610" s="28">
        <v>179000000</v>
      </c>
      <c r="AB1610" s="28"/>
      <c r="AC1610" s="28">
        <v>945747000</v>
      </c>
      <c r="AD1610" s="28">
        <v>262641000</v>
      </c>
      <c r="AE1610" s="28">
        <v>4785911000</v>
      </c>
      <c r="AF1610" s="28">
        <v>397489000</v>
      </c>
      <c r="AG1610" s="11"/>
    </row>
    <row r="1611">
      <c r="A1611" s="7" t="s">
        <v>3319</v>
      </c>
      <c r="B1611" s="5" t="s">
        <v>11306</v>
      </c>
      <c r="C1611" s="5" t="s">
        <v>19167</v>
      </c>
      <c r="D1611" s="5" t="str">
        <v>773120466642</v>
      </c>
      <c r="E1611" s="0" t="e">
        <f>+7 (495) 2800560
+7 (495) 2800561
+7 (495) 2800563
+7 (495) 2800564
+7 (495) 6800560
+7 (499) 2720521</f>
        <v>#NAME?</v>
      </c>
      <c r="F1611" s="5" t="s">
        <v>30207</v>
      </c>
      <c r="G1611" s="5" t="s">
        <v>30208</v>
      </c>
      <c r="H1611" s="26">
        <v>15.5</v>
      </c>
      <c r="I1611" s="5" t="s">
        <v>30209</v>
      </c>
      <c r="J1611" s="5" t="s">
        <v>30210</v>
      </c>
      <c r="K1611" s="5" t="s">
        <v>355</v>
      </c>
      <c r="L1611" s="5"/>
      <c r="M1611" s="27">
        <v>8073622</v>
      </c>
      <c r="N1611" s="5"/>
      <c r="O1611" s="5" t="str">
        <v>7726581132</v>
      </c>
      <c r="P1611" s="27">
        <v>100100000</v>
      </c>
      <c r="Q1611" s="5" t="s">
        <v>49059</v>
      </c>
      <c r="R1611" s="5"/>
      <c r="S1611" s="5" t="s">
        <v>49010</v>
      </c>
      <c r="T1611" s="28">
        <v>4287000</v>
      </c>
      <c r="U1611" s="28">
        <v>509044000</v>
      </c>
      <c r="V1611" s="28">
        <v>629449000</v>
      </c>
      <c r="W1611" s="28"/>
      <c r="X1611" s="28">
        <v>1715203000</v>
      </c>
      <c r="Y1611" s="28">
        <v>20870361000</v>
      </c>
      <c r="Z1611" s="28">
        <v>-927407000</v>
      </c>
      <c r="AA1611" s="28">
        <v>10898002000</v>
      </c>
      <c r="AB1611" s="28">
        <v>2466152000</v>
      </c>
      <c r="AC1611" s="28">
        <v>3496617000</v>
      </c>
      <c r="AD1611" s="28">
        <v>-417381000</v>
      </c>
      <c r="AE1611" s="28">
        <v>3538884000</v>
      </c>
      <c r="AF1611" s="28">
        <v>533428000</v>
      </c>
      <c r="AG1611" s="11"/>
    </row>
    <row r="1612">
      <c r="A1612" s="7" t="s">
        <v>3320</v>
      </c>
      <c r="B1612" s="5" t="s">
        <v>11307</v>
      </c>
      <c r="C1612" s="5" t="s">
        <v>19168</v>
      </c>
      <c r="D1612" s="5" t="str">
        <v>301727364346</v>
      </c>
      <c r="E1612" s="0" t="e">
        <f>+7 (495) 4279810
+7 (495) 6410352</f>
        <v>#NAME?</v>
      </c>
      <c r="F1612" s="5" t="s">
        <v>30211</v>
      </c>
      <c r="G1612" s="5"/>
      <c r="H1612" s="26">
        <v>12.5</v>
      </c>
      <c r="I1612" s="5" t="s">
        <v>30212</v>
      </c>
      <c r="J1612" s="5" t="s">
        <v>585</v>
      </c>
      <c r="K1612" s="5" t="s">
        <v>344</v>
      </c>
      <c r="L1612" s="5" t="s">
        <v>30213</v>
      </c>
      <c r="M1612" s="27">
        <v>4152881</v>
      </c>
      <c r="N1612" s="5" t="s">
        <v>51874</v>
      </c>
      <c r="O1612" s="5" t="str">
        <v>7728751238</v>
      </c>
      <c r="P1612" s="27">
        <v>1000000</v>
      </c>
      <c r="Q1612" s="5" t="s">
        <v>51875</v>
      </c>
      <c r="R1612" s="5"/>
      <c r="S1612" s="5" t="s">
        <v>51876</v>
      </c>
      <c r="T1612" s="28">
        <v>15567000</v>
      </c>
      <c r="U1612" s="28"/>
      <c r="V1612" s="28">
        <v>6148584000</v>
      </c>
      <c r="W1612" s="28">
        <v>810849000</v>
      </c>
      <c r="X1612" s="28">
        <v>182828000</v>
      </c>
      <c r="Y1612" s="28">
        <v>7303556000</v>
      </c>
      <c r="Z1612" s="28">
        <v>2577790000</v>
      </c>
      <c r="AA1612" s="28"/>
      <c r="AB1612" s="28"/>
      <c r="AC1612" s="28">
        <v>4719646000</v>
      </c>
      <c r="AD1612" s="28">
        <v>2578790000</v>
      </c>
      <c r="AE1612" s="28">
        <v>6314824000</v>
      </c>
      <c r="AF1612" s="28">
        <v>618030000</v>
      </c>
      <c r="AG1612" s="11"/>
    </row>
    <row r="1613">
      <c r="A1613" s="7" t="s">
        <v>3321</v>
      </c>
      <c r="B1613" s="5" t="s">
        <v>11308</v>
      </c>
      <c r="C1613" s="5" t="s">
        <v>19169</v>
      </c>
      <c r="D1613" s="5" t="str">
        <v>540410445740</v>
      </c>
      <c r="E1613" s="0" t="e">
        <f>+7 (383) 2244507
+7 (383) 2247521
+7 (383) 3636134
+7 (383) 3636150
+7 (383) 3636152
+7 (383) 3636155
+7 (383) 3639090
+7 (383) 3639261</f>
        <v>#NAME?</v>
      </c>
      <c r="F1613" s="5" t="s">
        <v>30214</v>
      </c>
      <c r="G1613" s="5"/>
      <c r="H1613" s="26">
        <v>28</v>
      </c>
      <c r="I1613" s="5"/>
      <c r="J1613" s="5" t="s">
        <v>991</v>
      </c>
      <c r="K1613" s="5" t="s">
        <v>344</v>
      </c>
      <c r="L1613" s="5" t="s">
        <v>30215</v>
      </c>
      <c r="M1613" s="27"/>
      <c r="N1613" s="5" t="s">
        <v>51877</v>
      </c>
      <c r="O1613" s="5" t="str">
        <v>5406109142</v>
      </c>
      <c r="P1613" s="27">
        <v>73340000</v>
      </c>
      <c r="Q1613" s="5" t="s">
        <v>49009</v>
      </c>
      <c r="R1613" s="5"/>
      <c r="S1613" s="5" t="s">
        <v>49045</v>
      </c>
      <c r="T1613" s="28">
        <v>1141419000</v>
      </c>
      <c r="U1613" s="28">
        <v>54502000</v>
      </c>
      <c r="V1613" s="28">
        <v>489654000</v>
      </c>
      <c r="W1613" s="28">
        <v>125595000</v>
      </c>
      <c r="X1613" s="28">
        <v>594201000</v>
      </c>
      <c r="Y1613" s="28">
        <v>3044530000</v>
      </c>
      <c r="Z1613" s="28">
        <v>2376343000</v>
      </c>
      <c r="AA1613" s="28">
        <v>136700000</v>
      </c>
      <c r="AB1613" s="28"/>
      <c r="AC1613" s="28">
        <v>379932000</v>
      </c>
      <c r="AD1613" s="28">
        <v>2502462000</v>
      </c>
      <c r="AE1613" s="28">
        <v>3153150000</v>
      </c>
      <c r="AF1613" s="28">
        <v>655667000</v>
      </c>
      <c r="AG1613" s="11"/>
    </row>
    <row r="1614">
      <c r="A1614" s="7" t="s">
        <v>3322</v>
      </c>
      <c r="B1614" s="5" t="s">
        <v>11309</v>
      </c>
      <c r="C1614" s="5" t="s">
        <v>19170</v>
      </c>
      <c r="D1614" s="5" t="str">
        <v>504002047559</v>
      </c>
      <c r="E1614" s="0" t="e">
        <f>+7 (495) 7753405</f>
        <v>#NAME?</v>
      </c>
      <c r="F1614" s="5" t="s">
        <v>30216</v>
      </c>
      <c r="G1614" s="5"/>
      <c r="H1614" s="26">
        <v>16</v>
      </c>
      <c r="I1614" s="5" t="s">
        <v>30217</v>
      </c>
      <c r="J1614" s="5" t="s">
        <v>30218</v>
      </c>
      <c r="K1614" s="5" t="s">
        <v>344</v>
      </c>
      <c r="L1614" s="5" t="s">
        <v>30219</v>
      </c>
      <c r="M1614" s="27"/>
      <c r="N1614" s="5" t="s">
        <v>51878</v>
      </c>
      <c r="O1614" s="5" t="str">
        <v>7713606686</v>
      </c>
      <c r="P1614" s="27">
        <v>10000</v>
      </c>
      <c r="Q1614" s="5" t="s">
        <v>49009</v>
      </c>
      <c r="R1614" s="5"/>
      <c r="S1614" s="5" t="s">
        <v>49010</v>
      </c>
      <c r="T1614" s="28">
        <v>70203000</v>
      </c>
      <c r="U1614" s="28"/>
      <c r="V1614" s="28">
        <v>252808000</v>
      </c>
      <c r="W1614" s="28">
        <v>36010000</v>
      </c>
      <c r="X1614" s="28">
        <v>29829000</v>
      </c>
      <c r="Y1614" s="28">
        <v>923895000</v>
      </c>
      <c r="Z1614" s="28">
        <v>852798000</v>
      </c>
      <c r="AA1614" s="28">
        <v>17460000</v>
      </c>
      <c r="AB1614" s="28">
        <v>2731000</v>
      </c>
      <c r="AC1614" s="28">
        <v>51611000</v>
      </c>
      <c r="AD1614" s="28">
        <v>852808000</v>
      </c>
      <c r="AE1614" s="28">
        <v>3611090000</v>
      </c>
      <c r="AF1614" s="28">
        <v>90972000</v>
      </c>
      <c r="AG1614" s="11"/>
    </row>
    <row r="1615">
      <c r="A1615" s="7" t="s">
        <v>3323</v>
      </c>
      <c r="B1615" s="5" t="s">
        <v>11310</v>
      </c>
      <c r="C1615" s="5" t="s">
        <v>19171</v>
      </c>
      <c r="D1615" s="5" t="str">
        <v>471404171136</v>
      </c>
      <c r="E1615" s="0" t="e">
        <f>+7 (812) 3369791
+7 (495) 1044681
+7 (495) 9267777
+7 (812) 3369790
+7 (812) 3850179
+7 (812) 3856492
+7 (812) 6172859
+7 (812) 6174977
+7 (812) 6175126
+7 (812) 6176932
+7 (812) 6230034</f>
        <v>#NAME?</v>
      </c>
      <c r="F1615" s="5" t="s">
        <v>30220</v>
      </c>
      <c r="G1615" s="5" t="s">
        <v>30221</v>
      </c>
      <c r="H1615" s="26">
        <v>16</v>
      </c>
      <c r="I1615" s="5" t="s">
        <v>30222</v>
      </c>
      <c r="J1615" s="5" t="s">
        <v>27182</v>
      </c>
      <c r="K1615" s="5" t="s">
        <v>344</v>
      </c>
      <c r="L1615" s="5" t="s">
        <v>30223</v>
      </c>
      <c r="M1615" s="27">
        <v>106601449</v>
      </c>
      <c r="N1615" s="5" t="s">
        <v>51879</v>
      </c>
      <c r="O1615" s="5" t="str">
        <v>7839347260</v>
      </c>
      <c r="P1615" s="27">
        <v>1500000000</v>
      </c>
      <c r="Q1615" s="5" t="s">
        <v>51880</v>
      </c>
      <c r="R1615" s="5"/>
      <c r="S1615" s="5" t="s">
        <v>51881</v>
      </c>
      <c r="T1615" s="28">
        <v>508716000</v>
      </c>
      <c r="U1615" s="28">
        <v>507135000</v>
      </c>
      <c r="V1615" s="28">
        <v>23277085000</v>
      </c>
      <c r="W1615" s="28"/>
      <c r="X1615" s="28">
        <v>2365365000</v>
      </c>
      <c r="Y1615" s="28">
        <v>46430925000</v>
      </c>
      <c r="Z1615" s="28">
        <v>10548744000</v>
      </c>
      <c r="AA1615" s="28">
        <v>2651696000</v>
      </c>
      <c r="AB1615" s="28">
        <v>21674079000</v>
      </c>
      <c r="AC1615" s="28">
        <v>27355068000</v>
      </c>
      <c r="AD1615" s="28">
        <v>12048744000</v>
      </c>
      <c r="AE1615" s="28">
        <v>19952814000</v>
      </c>
      <c r="AF1615" s="28">
        <v>4661606000</v>
      </c>
      <c r="AG1615" s="11"/>
    </row>
    <row r="1616">
      <c r="A1616" s="7" t="s">
        <v>3324</v>
      </c>
      <c r="B1616" s="5" t="s">
        <v>11311</v>
      </c>
      <c r="C1616" s="5" t="s">
        <v>19172</v>
      </c>
      <c r="D1616" s="5" t="str">
        <v>501850535729</v>
      </c>
      <c r="E1616" s="0" t="e">
        <f>+7 (495) 2363116
+7 (495) 6265911
+7 (495) 6372169
+7 (495) 6372748
+7 (495) 6372964
+7 (495) 6373171
+7 (495) 6373625
+7 (495) 6523276
+7 (495) 6903575
+7 (495) 6950356
+7 (495) 6952118
+7 (495) 6952130
+7 (495) 7703207
+7 (499) 2409682
+7 (800) 2001801</f>
        <v>#NAME?</v>
      </c>
      <c r="F1616" s="5" t="s">
        <v>30224</v>
      </c>
      <c r="G1616" s="5" t="s">
        <v>30225</v>
      </c>
      <c r="H1616" s="26">
        <v>28.5</v>
      </c>
      <c r="I1616" s="5"/>
      <c r="J1616" s="5" t="s">
        <v>25484</v>
      </c>
      <c r="K1616" s="5" t="s">
        <v>344</v>
      </c>
      <c r="L1616" s="5"/>
      <c r="M1616" s="27">
        <v>91661611</v>
      </c>
      <c r="N1616" s="5" t="s">
        <v>51882</v>
      </c>
      <c r="O1616" s="5" t="str">
        <v>7704010978</v>
      </c>
      <c r="P1616" s="27">
        <v>1000000000</v>
      </c>
      <c r="Q1616" s="5" t="s">
        <v>51883</v>
      </c>
      <c r="R1616" s="5"/>
      <c r="S1616" s="5" t="s">
        <v>51884</v>
      </c>
      <c r="T1616" s="28">
        <v>54012816000</v>
      </c>
      <c r="U1616" s="28">
        <v>1301000</v>
      </c>
      <c r="V1616" s="28">
        <v>1402973000</v>
      </c>
      <c r="W1616" s="28"/>
      <c r="X1616" s="28">
        <v>8364810000</v>
      </c>
      <c r="Y1616" s="28">
        <v>64305804000</v>
      </c>
      <c r="Z1616" s="28">
        <v>52097825000</v>
      </c>
      <c r="AA1616" s="28"/>
      <c r="AB1616" s="28"/>
      <c r="AC1616" s="28">
        <v>3069859000</v>
      </c>
      <c r="AD1616" s="28">
        <v>54985697000</v>
      </c>
      <c r="AE1616" s="28">
        <v>12220237000</v>
      </c>
      <c r="AF1616" s="28">
        <v>587338000</v>
      </c>
      <c r="AG1616" s="11"/>
    </row>
    <row r="1617">
      <c r="A1617" s="7" t="s">
        <v>3325</v>
      </c>
      <c r="B1617" s="5" t="s">
        <v>11312</v>
      </c>
      <c r="C1617" s="5" t="s">
        <v>19173</v>
      </c>
      <c r="D1617" s="5" t="str">
        <v>780226388610</v>
      </c>
      <c r="E1617" s="0" t="e">
        <f>+7 (911) 7337289</f>
        <v>#NAME?</v>
      </c>
      <c r="F1617" s="5" t="s">
        <v>30226</v>
      </c>
      <c r="G1617" s="5"/>
      <c r="H1617" s="26">
        <v>11</v>
      </c>
      <c r="I1617" s="5" t="s">
        <v>30227</v>
      </c>
      <c r="J1617" s="5" t="s">
        <v>364</v>
      </c>
      <c r="K1617" s="5" t="s">
        <v>344</v>
      </c>
      <c r="L1617" s="5"/>
      <c r="M1617" s="27"/>
      <c r="N1617" s="5"/>
      <c r="O1617" s="5" t="str">
        <v>7838470945</v>
      </c>
      <c r="P1617" s="27">
        <v>100000</v>
      </c>
      <c r="Q1617" s="5" t="s">
        <v>51885</v>
      </c>
      <c r="R1617" s="5" t="s">
        <v>51886</v>
      </c>
      <c r="S1617" s="5" t="s">
        <v>51887</v>
      </c>
      <c r="T1617" s="28">
        <v>375000</v>
      </c>
      <c r="U1617" s="28"/>
      <c r="V1617" s="28">
        <v>637313000</v>
      </c>
      <c r="W1617" s="28">
        <v>1850000</v>
      </c>
      <c r="X1617" s="28">
        <v>3073000</v>
      </c>
      <c r="Y1617" s="28">
        <v>1683028000</v>
      </c>
      <c r="Z1617" s="28">
        <v>110206000</v>
      </c>
      <c r="AA1617" s="28"/>
      <c r="AB1617" s="28"/>
      <c r="AC1617" s="28">
        <v>1570876000</v>
      </c>
      <c r="AD1617" s="28">
        <v>110219000</v>
      </c>
      <c r="AE1617" s="28">
        <v>3558085000</v>
      </c>
      <c r="AF1617" s="28">
        <v>106521000</v>
      </c>
      <c r="AG1617" s="11"/>
    </row>
    <row r="1618">
      <c r="A1618" s="7" t="s">
        <v>3326</v>
      </c>
      <c r="B1618" s="5" t="s">
        <v>11313</v>
      </c>
      <c r="C1618" s="5" t="s">
        <v>19174</v>
      </c>
      <c r="D1618" s="5" t="str">
        <v>420528883862</v>
      </c>
      <c r="E1618" s="0" t="e">
        <f>+7 (926) 2819383
+7 (38456) 31942
+7 (38456) 33200
+7 (38456) 33941
+7 (38456) 93137
+7 (495) 7952538
+7 (495) 7952542</f>
        <v>#NAME?</v>
      </c>
      <c r="F1618" s="5" t="s">
        <v>30228</v>
      </c>
      <c r="G1618" s="5"/>
      <c r="H1618" s="26">
        <v>16.5</v>
      </c>
      <c r="I1618" s="5" t="s">
        <v>30229</v>
      </c>
      <c r="J1618" s="5" t="s">
        <v>26623</v>
      </c>
      <c r="K1618" s="5" t="s">
        <v>344</v>
      </c>
      <c r="L1618" s="5" t="s">
        <v>30230</v>
      </c>
      <c r="M1618" s="27"/>
      <c r="N1618" s="5" t="s">
        <v>50288</v>
      </c>
      <c r="O1618" s="5" t="str">
        <v>7725571452</v>
      </c>
      <c r="P1618" s="27">
        <v>1000000</v>
      </c>
      <c r="Q1618" s="5" t="s">
        <v>51888</v>
      </c>
      <c r="R1618" s="5" t="s">
        <v>51889</v>
      </c>
      <c r="S1618" s="5" t="s">
        <v>49162</v>
      </c>
      <c r="T1618" s="28">
        <v>5323000</v>
      </c>
      <c r="U1618" s="28"/>
      <c r="V1618" s="28">
        <v>576976000</v>
      </c>
      <c r="W1618" s="28">
        <v>25572000</v>
      </c>
      <c r="X1618" s="28">
        <v>5000</v>
      </c>
      <c r="Y1618" s="28">
        <v>609711000</v>
      </c>
      <c r="Z1618" s="28">
        <v>76888000</v>
      </c>
      <c r="AA1618" s="28"/>
      <c r="AB1618" s="28">
        <v>55000</v>
      </c>
      <c r="AC1618" s="28">
        <v>530442000</v>
      </c>
      <c r="AD1618" s="28">
        <v>77888000</v>
      </c>
      <c r="AE1618" s="28">
        <v>8239221000</v>
      </c>
      <c r="AF1618" s="28">
        <v>69950000</v>
      </c>
      <c r="AG1618" s="11"/>
    </row>
    <row r="1619">
      <c r="A1619" s="7" t="s">
        <v>3327</v>
      </c>
      <c r="B1619" s="5" t="s">
        <v>11314</v>
      </c>
      <c r="C1619" s="5" t="s">
        <v>19175</v>
      </c>
      <c r="D1619" s="5" t="str">
        <v>381205005917</v>
      </c>
      <c r="E1619" s="0" t="e">
        <f>+7 (495) 7778980
+7 (495) 7778900
+7 (495) 7779851</f>
        <v>#NAME?</v>
      </c>
      <c r="F1619" s="5" t="s">
        <v>30231</v>
      </c>
      <c r="G1619" s="5" t="s">
        <v>30232</v>
      </c>
      <c r="H1619" s="26">
        <v>27.5</v>
      </c>
      <c r="I1619" s="5"/>
      <c r="J1619" s="5" t="s">
        <v>25429</v>
      </c>
      <c r="K1619" s="5" t="s">
        <v>344</v>
      </c>
      <c r="L1619" s="5" t="s">
        <v>30233</v>
      </c>
      <c r="M1619" s="27">
        <v>20730572</v>
      </c>
      <c r="N1619" s="5" t="s">
        <v>51890</v>
      </c>
      <c r="O1619" s="5" t="str">
        <v>7703129836</v>
      </c>
      <c r="P1619" s="27">
        <v>1355283000</v>
      </c>
      <c r="Q1619" s="5" t="s">
        <v>51891</v>
      </c>
      <c r="R1619" s="5"/>
      <c r="S1619" s="5" t="s">
        <v>49857</v>
      </c>
      <c r="T1619" s="28">
        <v>521762000</v>
      </c>
      <c r="U1619" s="28"/>
      <c r="V1619" s="28">
        <v>5292251000</v>
      </c>
      <c r="W1619" s="28"/>
      <c r="X1619" s="28">
        <v>1603642000</v>
      </c>
      <c r="Y1619" s="28">
        <v>14835402000</v>
      </c>
      <c r="Z1619" s="28">
        <v>5860456000</v>
      </c>
      <c r="AA1619" s="28"/>
      <c r="AB1619" s="28">
        <v>146816000</v>
      </c>
      <c r="AC1619" s="28">
        <v>4385709000</v>
      </c>
      <c r="AD1619" s="28">
        <v>10105027000</v>
      </c>
      <c r="AE1619" s="28">
        <v>18521999000</v>
      </c>
      <c r="AF1619" s="28">
        <v>7286478000</v>
      </c>
      <c r="AG1619" s="11"/>
    </row>
    <row r="1620">
      <c r="A1620" s="7" t="s">
        <v>3328</v>
      </c>
      <c r="B1620" s="5" t="s">
        <v>11315</v>
      </c>
      <c r="C1620" s="5" t="s">
        <v>19176</v>
      </c>
      <c r="D1620" s="5" t="str">
        <v>540315415135</v>
      </c>
      <c r="E1620" s="0" t="e">
        <f>+7 (495) 7778950
+7 (495) 7779850
+7 (495) 7779851
+7 (495) 9692165
+7 (800) 2000775
+7 (800) 3334694
+7 (800) 5555175
+7 (985) 9047787</f>
        <v>#NAME?</v>
      </c>
      <c r="F1620" s="5" t="s">
        <v>30234</v>
      </c>
      <c r="G1620" s="5" t="s">
        <v>30232</v>
      </c>
      <c r="H1620" s="26">
        <v>29.5</v>
      </c>
      <c r="I1620" s="5"/>
      <c r="J1620" s="5" t="s">
        <v>25429</v>
      </c>
      <c r="K1620" s="5" t="s">
        <v>344</v>
      </c>
      <c r="L1620" s="5"/>
      <c r="M1620" s="27"/>
      <c r="N1620" s="5"/>
      <c r="O1620" s="5" t="str">
        <v>7703105112</v>
      </c>
      <c r="P1620" s="27">
        <v>50000</v>
      </c>
      <c r="Q1620" s="5" t="s">
        <v>49009</v>
      </c>
      <c r="R1620" s="5"/>
      <c r="S1620" s="5" t="s">
        <v>49010</v>
      </c>
      <c r="T1620" s="28">
        <v>538058000</v>
      </c>
      <c r="U1620" s="28"/>
      <c r="V1620" s="28">
        <v>6158510000</v>
      </c>
      <c r="W1620" s="28"/>
      <c r="X1620" s="28">
        <v>1901641000</v>
      </c>
      <c r="Y1620" s="28">
        <v>12339682000</v>
      </c>
      <c r="Z1620" s="28">
        <v>6122312000</v>
      </c>
      <c r="AA1620" s="28"/>
      <c r="AB1620" s="28">
        <v>1584000</v>
      </c>
      <c r="AC1620" s="28">
        <v>2683407000</v>
      </c>
      <c r="AD1620" s="28">
        <v>9322551000</v>
      </c>
      <c r="AE1620" s="28">
        <v>26305858000</v>
      </c>
      <c r="AF1620" s="28">
        <v>3398819000</v>
      </c>
      <c r="AG1620" s="11"/>
    </row>
    <row r="1621">
      <c r="A1621" s="7" t="s">
        <v>3329</v>
      </c>
      <c r="B1621" s="5" t="s">
        <v>11316</v>
      </c>
      <c r="C1621" s="5" t="s">
        <v>19177</v>
      </c>
      <c r="D1621" s="5" t="str">
        <v>503810624920</v>
      </c>
      <c r="E1621" s="0" t="e">
        <f>+7 (903) 143799</f>
        <v>#NAME?</v>
      </c>
      <c r="F1621" s="5"/>
      <c r="G1621" s="5" t="s">
        <v>30235</v>
      </c>
      <c r="H1621" s="26">
        <v>5.5</v>
      </c>
      <c r="I1621" s="5" t="s">
        <v>30236</v>
      </c>
      <c r="J1621" s="5" t="s">
        <v>678</v>
      </c>
      <c r="K1621" s="5" t="s">
        <v>344</v>
      </c>
      <c r="L1621" s="5" t="s">
        <v>30237</v>
      </c>
      <c r="M1621" s="27"/>
      <c r="N1621" s="5"/>
      <c r="O1621" s="5" t="str">
        <v>5038129940</v>
      </c>
      <c r="P1621" s="27">
        <v>10000</v>
      </c>
      <c r="Q1621" s="5"/>
      <c r="R1621" s="5"/>
      <c r="S1621" s="5" t="s">
        <v>49029</v>
      </c>
      <c r="T1621" s="28"/>
      <c r="U1621" s="28"/>
      <c r="V1621" s="28">
        <v>141470000</v>
      </c>
      <c r="W1621" s="28"/>
      <c r="X1621" s="28">
        <v>1113472000</v>
      </c>
      <c r="Y1621" s="28">
        <v>1427420000</v>
      </c>
      <c r="Z1621" s="28">
        <v>322129000</v>
      </c>
      <c r="AA1621" s="28">
        <v>246885000</v>
      </c>
      <c r="AB1621" s="28"/>
      <c r="AC1621" s="28">
        <v>858396000</v>
      </c>
      <c r="AD1621" s="28">
        <v>322139000</v>
      </c>
      <c r="AE1621" s="28">
        <v>4076082000</v>
      </c>
      <c r="AF1621" s="28">
        <v>207465000</v>
      </c>
      <c r="AG1621" s="11"/>
    </row>
    <row r="1622">
      <c r="A1622" s="7" t="s">
        <v>3330</v>
      </c>
      <c r="B1622" s="5" t="s">
        <v>11317</v>
      </c>
      <c r="C1622" s="5" t="s">
        <v>19178</v>
      </c>
      <c r="D1622" s="5" t="str">
        <v>540517237510</v>
      </c>
      <c r="E1622" s="0" t="e">
        <f>+7 (903) 7980204
+7 (3422) 46848
+7 (345) 2694581
+7 (473) 2284248
+7 (495) 3631111
+7 (8202) 244509
+7 (8632) 689047
+7 (912) 2597180
+7 (962) 8670707</f>
        <v>#NAME?</v>
      </c>
      <c r="F1622" s="5" t="s">
        <v>30238</v>
      </c>
      <c r="G1622" s="5" t="s">
        <v>30239</v>
      </c>
      <c r="H1622" s="26">
        <v>15.5</v>
      </c>
      <c r="I1622" s="5" t="s">
        <v>30240</v>
      </c>
      <c r="J1622" s="5" t="s">
        <v>785</v>
      </c>
      <c r="K1622" s="5" t="s">
        <v>344</v>
      </c>
      <c r="L1622" s="5"/>
      <c r="M1622" s="27"/>
      <c r="N1622" s="5" t="s">
        <v>51892</v>
      </c>
      <c r="O1622" s="5" t="str">
        <v>7709762467</v>
      </c>
      <c r="P1622" s="27">
        <v>100000</v>
      </c>
      <c r="Q1622" s="5" t="s">
        <v>51893</v>
      </c>
      <c r="R1622" s="5"/>
      <c r="S1622" s="5" t="s">
        <v>51894</v>
      </c>
      <c r="T1622" s="28">
        <v>14310000</v>
      </c>
      <c r="U1622" s="28">
        <v>322160000</v>
      </c>
      <c r="V1622" s="28">
        <v>2275648000</v>
      </c>
      <c r="W1622" s="28">
        <v>332750000</v>
      </c>
      <c r="X1622" s="28">
        <v>90210000</v>
      </c>
      <c r="Y1622" s="28">
        <v>3090351000</v>
      </c>
      <c r="Z1622" s="28">
        <v>-1888380000</v>
      </c>
      <c r="AA1622" s="28">
        <v>3560235000</v>
      </c>
      <c r="AB1622" s="28"/>
      <c r="AC1622" s="28">
        <v>1399525000</v>
      </c>
      <c r="AD1622" s="28">
        <v>-1888280000</v>
      </c>
      <c r="AE1622" s="28">
        <v>3174555000</v>
      </c>
      <c r="AF1622" s="28">
        <v>103789000</v>
      </c>
      <c r="AG1622" s="11"/>
    </row>
    <row r="1623">
      <c r="A1623" s="7" t="s">
        <v>3331</v>
      </c>
      <c r="B1623" s="5" t="s">
        <v>11318</v>
      </c>
      <c r="C1623" s="5" t="s">
        <v>19179</v>
      </c>
      <c r="D1623" s="5" t="str">
        <v>690139799343</v>
      </c>
      <c r="E1623" s="0" t="e">
        <f>+7 (3433) 124747
+7 (495) 9818525
+7 (800) 3505295
+7 (800) 3505832
+7 (903) 7146360
+7 (906) 8040888
+7 (906) 8043888
+7 (909) 9651886
+7 (910) 4427878
+7 (910) 4470081
+7 (910) 4472404
+7 (910) 4679303
+7 (915) 1493777
+7 (915) 1952447
+7 (915) 2243777</f>
        <v>#NAME?</v>
      </c>
      <c r="F1623" s="5"/>
      <c r="G1623" s="5" t="s">
        <v>30241</v>
      </c>
      <c r="H1623" s="26">
        <v>19</v>
      </c>
      <c r="I1623" s="5" t="s">
        <v>30242</v>
      </c>
      <c r="J1623" s="5" t="s">
        <v>25747</v>
      </c>
      <c r="K1623" s="5" t="s">
        <v>344</v>
      </c>
      <c r="L1623" s="5" t="s">
        <v>30243</v>
      </c>
      <c r="M1623" s="27">
        <v>12101087</v>
      </c>
      <c r="N1623" s="5" t="s">
        <v>51895</v>
      </c>
      <c r="O1623" s="5" t="str">
        <v>3250053353</v>
      </c>
      <c r="P1623" s="27">
        <v>2191400</v>
      </c>
      <c r="Q1623" s="5" t="s">
        <v>51896</v>
      </c>
      <c r="R1623" s="5" t="s">
        <v>51897</v>
      </c>
      <c r="S1623" s="5" t="s">
        <v>51898</v>
      </c>
      <c r="T1623" s="28">
        <v>7263000</v>
      </c>
      <c r="U1623" s="28">
        <v>100000</v>
      </c>
      <c r="V1623" s="28">
        <v>3070291000</v>
      </c>
      <c r="W1623" s="28">
        <v>6547000</v>
      </c>
      <c r="X1623" s="28">
        <v>64489000</v>
      </c>
      <c r="Y1623" s="28">
        <v>5346420000</v>
      </c>
      <c r="Z1623" s="28">
        <v>850538000</v>
      </c>
      <c r="AA1623" s="28">
        <v>1562803000</v>
      </c>
      <c r="AB1623" s="28">
        <v>1109818000</v>
      </c>
      <c r="AC1623" s="28">
        <v>2360633000</v>
      </c>
      <c r="AD1623" s="28">
        <v>1422984000</v>
      </c>
      <c r="AE1623" s="28">
        <v>11211954000</v>
      </c>
      <c r="AF1623" s="28">
        <v>521658000</v>
      </c>
      <c r="AG1623" s="11"/>
    </row>
    <row r="1624">
      <c r="A1624" s="7" t="s">
        <v>3332</v>
      </c>
      <c r="B1624" s="5" t="s">
        <v>11319</v>
      </c>
      <c r="C1624" s="5" t="s">
        <v>19180</v>
      </c>
      <c r="D1624" s="5" t="str">
        <v>772338434598</v>
      </c>
      <c r="E1624" s="0" t="e">
        <f>+7 (3432) 535959
+7 (495) 7396202
+7 (495) 7396217
+7 (49650) 101
+7 (812) 7022634
+7 (8632) 17576
+7 (8632) 17706
+7 (8632) 17766
+7 (903) 4853232
+7 (905) 5990931
+7 (905) 5990999
+7 (921) 9170600
+7 (985) 9204440</f>
        <v>#NAME?</v>
      </c>
      <c r="F1624" s="5" t="s">
        <v>30244</v>
      </c>
      <c r="G1624" s="5" t="s">
        <v>30245</v>
      </c>
      <c r="H1624" s="26">
        <v>14.5</v>
      </c>
      <c r="I1624" s="5" t="s">
        <v>30246</v>
      </c>
      <c r="J1624" s="5" t="s">
        <v>1143</v>
      </c>
      <c r="K1624" s="5" t="s">
        <v>344</v>
      </c>
      <c r="L1624" s="5" t="s">
        <v>30247</v>
      </c>
      <c r="M1624" s="27"/>
      <c r="N1624" s="5" t="s">
        <v>51899</v>
      </c>
      <c r="O1624" s="5" t="str">
        <v>7735543687</v>
      </c>
      <c r="P1624" s="27">
        <v>11000</v>
      </c>
      <c r="Q1624" s="5" t="s">
        <v>49021</v>
      </c>
      <c r="R1624" s="5"/>
      <c r="S1624" s="5" t="s">
        <v>51900</v>
      </c>
      <c r="T1624" s="28">
        <v>41592000</v>
      </c>
      <c r="U1624" s="28"/>
      <c r="V1624" s="28">
        <v>677313000</v>
      </c>
      <c r="W1624" s="28"/>
      <c r="X1624" s="28">
        <v>6141000</v>
      </c>
      <c r="Y1624" s="28">
        <v>2606219000</v>
      </c>
      <c r="Z1624" s="28">
        <v>49181000</v>
      </c>
      <c r="AA1624" s="28">
        <v>1830300000</v>
      </c>
      <c r="AB1624" s="28">
        <v>16178000</v>
      </c>
      <c r="AC1624" s="28">
        <v>726168000</v>
      </c>
      <c r="AD1624" s="28">
        <v>49192000</v>
      </c>
      <c r="AE1624" s="28">
        <v>3311486000</v>
      </c>
      <c r="AF1624" s="28">
        <v>48309000</v>
      </c>
      <c r="AG1624" s="11"/>
    </row>
    <row r="1625">
      <c r="A1625" s="7" t="s">
        <v>3333</v>
      </c>
      <c r="B1625" s="5" t="s">
        <v>11320</v>
      </c>
      <c r="C1625" s="5" t="s">
        <v>19181</v>
      </c>
      <c r="D1625" s="5" t="str">
        <v>771914457740</v>
      </c>
      <c r="E1625" s="0" t="e">
        <f>+7 (985) 9919505</f>
        <v>#NAME?</v>
      </c>
      <c r="F1625" s="5"/>
      <c r="G1625" s="5"/>
      <c r="H1625" s="26">
        <v>8.5</v>
      </c>
      <c r="I1625" s="5" t="s">
        <v>30248</v>
      </c>
      <c r="J1625" s="5" t="s">
        <v>373</v>
      </c>
      <c r="K1625" s="5" t="s">
        <v>344</v>
      </c>
      <c r="L1625" s="5"/>
      <c r="M1625" s="27"/>
      <c r="N1625" s="5"/>
      <c r="O1625" s="5" t="str">
        <v>7704868935</v>
      </c>
      <c r="P1625" s="27">
        <v>10000</v>
      </c>
      <c r="Q1625" s="5" t="s">
        <v>49319</v>
      </c>
      <c r="R1625" s="5"/>
      <c r="S1625" s="5" t="s">
        <v>49774</v>
      </c>
      <c r="T1625" s="28">
        <v>209000</v>
      </c>
      <c r="U1625" s="28"/>
      <c r="V1625" s="28">
        <v>1666290000</v>
      </c>
      <c r="W1625" s="28"/>
      <c r="X1625" s="28">
        <v>1931000</v>
      </c>
      <c r="Y1625" s="28">
        <v>2630698000</v>
      </c>
      <c r="Z1625" s="28">
        <v>270651000</v>
      </c>
      <c r="AA1625" s="28"/>
      <c r="AB1625" s="28">
        <v>49162000</v>
      </c>
      <c r="AC1625" s="28">
        <v>2326412000</v>
      </c>
      <c r="AD1625" s="28">
        <v>270661000</v>
      </c>
      <c r="AE1625" s="28">
        <v>5320908000</v>
      </c>
      <c r="AF1625" s="28">
        <v>28520000</v>
      </c>
      <c r="AG1625" s="11"/>
    </row>
    <row r="1626">
      <c r="A1626" s="7" t="s">
        <v>3334</v>
      </c>
      <c r="B1626" s="5" t="s">
        <v>11321</v>
      </c>
      <c r="C1626" s="5" t="s">
        <v>19182</v>
      </c>
      <c r="D1626" s="5" t="str">
        <v>500901835023</v>
      </c>
      <c r="E1626" s="0" t="e">
        <f>+7 (495) 6442977
+7 (495) 6442978</f>
        <v>#NAME?</v>
      </c>
      <c r="F1626" s="5"/>
      <c r="G1626" s="5" t="s">
        <v>30249</v>
      </c>
      <c r="H1626" s="26">
        <v>12</v>
      </c>
      <c r="I1626" s="5" t="s">
        <v>30250</v>
      </c>
      <c r="J1626" s="5" t="s">
        <v>27697</v>
      </c>
      <c r="K1626" s="5" t="s">
        <v>344</v>
      </c>
      <c r="L1626" s="5"/>
      <c r="M1626" s="27"/>
      <c r="N1626" s="5"/>
      <c r="O1626" s="5" t="str">
        <v>7734646880</v>
      </c>
      <c r="P1626" s="27">
        <v>10000</v>
      </c>
      <c r="Q1626" s="5" t="s">
        <v>49009</v>
      </c>
      <c r="R1626" s="5"/>
      <c r="S1626" s="5" t="s">
        <v>49010</v>
      </c>
      <c r="T1626" s="28"/>
      <c r="U1626" s="28">
        <v>1480539000</v>
      </c>
      <c r="V1626" s="28">
        <v>974449000</v>
      </c>
      <c r="W1626" s="28"/>
      <c r="X1626" s="28">
        <v>41000</v>
      </c>
      <c r="Y1626" s="28">
        <v>3173300000</v>
      </c>
      <c r="Z1626" s="28">
        <v>-411492000</v>
      </c>
      <c r="AA1626" s="28"/>
      <c r="AB1626" s="28">
        <v>3025934000</v>
      </c>
      <c r="AC1626" s="28">
        <v>3584782000</v>
      </c>
      <c r="AD1626" s="28">
        <v>-411482000</v>
      </c>
      <c r="AE1626" s="28">
        <v>11712530000</v>
      </c>
      <c r="AF1626" s="28">
        <v>152731000</v>
      </c>
      <c r="AG1626" s="11"/>
    </row>
    <row r="1627">
      <c r="A1627" s="7" t="s">
        <v>3335</v>
      </c>
      <c r="B1627" s="5" t="s">
        <v>11322</v>
      </c>
      <c r="C1627" s="5" t="s">
        <v>19183</v>
      </c>
      <c r="D1627" s="5" t="str">
        <v>671304648300</v>
      </c>
      <c r="E1627" s="0" t="e">
        <f>+7 (495) 9567937
+7 (499) 7071616
+7 (499) 7071152
+7 (499) 7071646</f>
        <v>#NAME?</v>
      </c>
      <c r="F1627" s="5" t="s">
        <v>30251</v>
      </c>
      <c r="G1627" s="5" t="s">
        <v>30252</v>
      </c>
      <c r="H1627" s="26">
        <v>12</v>
      </c>
      <c r="I1627" s="5" t="s">
        <v>30253</v>
      </c>
      <c r="J1627" s="5" t="s">
        <v>25429</v>
      </c>
      <c r="K1627" s="5" t="s">
        <v>344</v>
      </c>
      <c r="L1627" s="5" t="s">
        <v>30254</v>
      </c>
      <c r="M1627" s="27"/>
      <c r="N1627" s="5" t="s">
        <v>51901</v>
      </c>
      <c r="O1627" s="5" t="str">
        <v>7730637758</v>
      </c>
      <c r="P1627" s="27">
        <v>33000</v>
      </c>
      <c r="Q1627" s="5" t="s">
        <v>51902</v>
      </c>
      <c r="R1627" s="5"/>
      <c r="S1627" s="5" t="s">
        <v>51903</v>
      </c>
      <c r="T1627" s="28">
        <v>127331000</v>
      </c>
      <c r="U1627" s="28">
        <v>255900000</v>
      </c>
      <c r="V1627" s="28">
        <v>1632782000</v>
      </c>
      <c r="W1627" s="28">
        <v>20500000</v>
      </c>
      <c r="X1627" s="28">
        <v>358585000</v>
      </c>
      <c r="Y1627" s="28">
        <v>3991984000</v>
      </c>
      <c r="Z1627" s="28">
        <v>2428952000</v>
      </c>
      <c r="AA1627" s="28"/>
      <c r="AB1627" s="28">
        <v>845476000</v>
      </c>
      <c r="AC1627" s="28">
        <v>1536328000</v>
      </c>
      <c r="AD1627" s="28">
        <v>2433560000</v>
      </c>
      <c r="AE1627" s="28">
        <v>5472546000</v>
      </c>
      <c r="AF1627" s="28">
        <v>685754000</v>
      </c>
      <c r="AG1627" s="11"/>
    </row>
    <row r="1628">
      <c r="A1628" s="7" t="s">
        <v>3336</v>
      </c>
      <c r="B1628" s="5" t="s">
        <v>11323</v>
      </c>
      <c r="C1628" s="5" t="s">
        <v>19184</v>
      </c>
      <c r="D1628" s="5" t="str">
        <v>701703759642</v>
      </c>
      <c r="E1628" s="0" t="e">
        <f>+7 (382) 2264891
+7 (382) 2443945
+7 (382) 2444022
+7 (382) 2446466
+7 (382) 2900400</f>
        <v>#NAME?</v>
      </c>
      <c r="F1628" s="5"/>
      <c r="G1628" s="5" t="s">
        <v>30255</v>
      </c>
      <c r="H1628" s="26">
        <v>12</v>
      </c>
      <c r="I1628" s="5" t="s">
        <v>30256</v>
      </c>
      <c r="J1628" s="5" t="s">
        <v>25738</v>
      </c>
      <c r="K1628" s="5" t="s">
        <v>344</v>
      </c>
      <c r="L1628" s="5" t="s">
        <v>30257</v>
      </c>
      <c r="M1628" s="27"/>
      <c r="N1628" s="5"/>
      <c r="O1628" s="5" t="str">
        <v>7017276810</v>
      </c>
      <c r="P1628" s="27">
        <v>1000000</v>
      </c>
      <c r="Q1628" s="5" t="s">
        <v>49009</v>
      </c>
      <c r="R1628" s="5"/>
      <c r="S1628" s="5" t="s">
        <v>49066</v>
      </c>
      <c r="T1628" s="28">
        <v>1642119000</v>
      </c>
      <c r="U1628" s="28">
        <v>116197000</v>
      </c>
      <c r="V1628" s="28">
        <v>176450000</v>
      </c>
      <c r="W1628" s="28">
        <v>499000000</v>
      </c>
      <c r="X1628" s="28">
        <v>160586000</v>
      </c>
      <c r="Y1628" s="28">
        <v>3377340000</v>
      </c>
      <c r="Z1628" s="28">
        <v>559228000</v>
      </c>
      <c r="AA1628" s="28">
        <v>60000000</v>
      </c>
      <c r="AB1628" s="28">
        <v>287000</v>
      </c>
      <c r="AC1628" s="28">
        <v>943944000</v>
      </c>
      <c r="AD1628" s="28">
        <v>560228000</v>
      </c>
      <c r="AE1628" s="28">
        <v>5880974000</v>
      </c>
      <c r="AF1628" s="28">
        <v>44855000</v>
      </c>
      <c r="AG1628" s="11"/>
    </row>
    <row r="1629">
      <c r="A1629" s="7" t="s">
        <v>3337</v>
      </c>
      <c r="B1629" s="5" t="s">
        <v>11324</v>
      </c>
      <c r="C1629" s="5" t="s">
        <v>19185</v>
      </c>
      <c r="D1629" s="5" t="str">
        <v>772911645441</v>
      </c>
      <c r="E1629" s="0" t="e">
        <f>+7 (495) 6204683
+7 (495) 6654633
+7 (495) 7800011
+7 (909) 9025745</f>
        <v>#NAME?</v>
      </c>
      <c r="F1629" s="5" t="s">
        <v>30258</v>
      </c>
      <c r="G1629" s="5" t="s">
        <v>30259</v>
      </c>
      <c r="H1629" s="26">
        <v>16.5</v>
      </c>
      <c r="I1629" s="5" t="s">
        <v>30260</v>
      </c>
      <c r="J1629" s="5" t="s">
        <v>25312</v>
      </c>
      <c r="K1629" s="5" t="s">
        <v>344</v>
      </c>
      <c r="L1629" s="5" t="s">
        <v>30261</v>
      </c>
      <c r="M1629" s="27"/>
      <c r="N1629" s="5"/>
      <c r="O1629" s="5" t="str">
        <v>7702616629</v>
      </c>
      <c r="P1629" s="27">
        <v>1000000</v>
      </c>
      <c r="Q1629" s="5"/>
      <c r="R1629" s="5"/>
      <c r="S1629" s="5" t="s">
        <v>49110</v>
      </c>
      <c r="T1629" s="28">
        <v>23106000</v>
      </c>
      <c r="U1629" s="28">
        <v>45000</v>
      </c>
      <c r="V1629" s="28">
        <v>576071000</v>
      </c>
      <c r="W1629" s="28"/>
      <c r="X1629" s="28">
        <v>4828000</v>
      </c>
      <c r="Y1629" s="28">
        <v>957965000</v>
      </c>
      <c r="Z1629" s="28">
        <v>452322000</v>
      </c>
      <c r="AA1629" s="28"/>
      <c r="AB1629" s="28">
        <v>105482000</v>
      </c>
      <c r="AC1629" s="28">
        <v>473369000</v>
      </c>
      <c r="AD1629" s="28">
        <v>453322000</v>
      </c>
      <c r="AE1629" s="28">
        <v>3242667000</v>
      </c>
      <c r="AF1629" s="28">
        <v>184085000</v>
      </c>
      <c r="AG1629" s="11"/>
    </row>
    <row r="1630">
      <c r="A1630" s="7" t="s">
        <v>3338</v>
      </c>
      <c r="B1630" s="5" t="s">
        <v>11325</v>
      </c>
      <c r="C1630" s="5" t="s">
        <v>19186</v>
      </c>
      <c r="D1630" s="5" t="str">
        <v>772134524324</v>
      </c>
      <c r="E1630" s="0" t="e">
        <f>+7 (495) 6600643
+7 (965) 2562239</f>
        <v>#NAME?</v>
      </c>
      <c r="F1630" s="5"/>
      <c r="G1630" s="5"/>
      <c r="H1630" s="26">
        <v>12</v>
      </c>
      <c r="I1630" s="5" t="s">
        <v>30262</v>
      </c>
      <c r="J1630" s="5" t="s">
        <v>364</v>
      </c>
      <c r="K1630" s="5" t="s">
        <v>344</v>
      </c>
      <c r="L1630" s="5" t="s">
        <v>30263</v>
      </c>
      <c r="M1630" s="27">
        <v>10839934</v>
      </c>
      <c r="N1630" s="5"/>
      <c r="O1630" s="5" t="str">
        <v>7722739668</v>
      </c>
      <c r="P1630" s="27">
        <v>250000</v>
      </c>
      <c r="Q1630" s="5" t="s">
        <v>50809</v>
      </c>
      <c r="R1630" s="5" t="s">
        <v>51904</v>
      </c>
      <c r="S1630" s="5" t="s">
        <v>51905</v>
      </c>
      <c r="T1630" s="28">
        <v>26859000</v>
      </c>
      <c r="U1630" s="28"/>
      <c r="V1630" s="28">
        <v>31741642000</v>
      </c>
      <c r="W1630" s="28"/>
      <c r="X1630" s="28">
        <v>6454508000</v>
      </c>
      <c r="Y1630" s="28">
        <v>40732014000</v>
      </c>
      <c r="Z1630" s="28">
        <v>4891548000</v>
      </c>
      <c r="AA1630" s="28">
        <v>8947808000</v>
      </c>
      <c r="AB1630" s="28">
        <v>1405698000</v>
      </c>
      <c r="AC1630" s="28">
        <v>26588196000</v>
      </c>
      <c r="AD1630" s="28">
        <v>4891798000</v>
      </c>
      <c r="AE1630" s="28">
        <v>45110835000</v>
      </c>
      <c r="AF1630" s="28">
        <v>4032025000</v>
      </c>
      <c r="AG1630" s="11"/>
    </row>
    <row r="1631">
      <c r="A1631" s="7" t="s">
        <v>3339</v>
      </c>
      <c r="B1631" s="5" t="s">
        <v>11326</v>
      </c>
      <c r="C1631" s="5" t="s">
        <v>19187</v>
      </c>
      <c r="D1631" s="5" t="str">
        <v>235004233874</v>
      </c>
      <c r="E1631" s="0" t="e">
        <f>+7 (495) 7886840
+7 (495) 5439768
+7 (495) 5439769
+7 (49651) 64721
+7 (499) 3475477
+7 (903) 2266878
+7 (909) 9825122</f>
        <v>#NAME?</v>
      </c>
      <c r="F1631" s="5"/>
      <c r="G1631" s="5"/>
      <c r="H1631" s="26">
        <v>10</v>
      </c>
      <c r="I1631" s="5" t="s">
        <v>30264</v>
      </c>
      <c r="J1631" s="5" t="s">
        <v>533</v>
      </c>
      <c r="K1631" s="5" t="s">
        <v>380</v>
      </c>
      <c r="L1631" s="5"/>
      <c r="M1631" s="27">
        <v>472540</v>
      </c>
      <c r="N1631" s="5" t="s">
        <v>49350</v>
      </c>
      <c r="O1631" s="5" t="str">
        <v>7731447380</v>
      </c>
      <c r="P1631" s="27">
        <v>11000000</v>
      </c>
      <c r="Q1631" s="5" t="s">
        <v>51906</v>
      </c>
      <c r="R1631" s="5"/>
      <c r="S1631" s="5" t="s">
        <v>51907</v>
      </c>
      <c r="T1631" s="28">
        <v>1016523000</v>
      </c>
      <c r="U1631" s="28">
        <v>111686000</v>
      </c>
      <c r="V1631" s="28">
        <v>2610050000</v>
      </c>
      <c r="W1631" s="28">
        <v>139200000</v>
      </c>
      <c r="X1631" s="28">
        <v>80552000</v>
      </c>
      <c r="Y1631" s="28">
        <v>5350241000</v>
      </c>
      <c r="Z1631" s="28">
        <v>-8414000</v>
      </c>
      <c r="AA1631" s="28">
        <v>1964434000</v>
      </c>
      <c r="AB1631" s="28">
        <v>530334000</v>
      </c>
      <c r="AC1631" s="28">
        <v>2395537000</v>
      </c>
      <c r="AD1631" s="28">
        <v>365586000</v>
      </c>
      <c r="AE1631" s="28">
        <v>7533168000</v>
      </c>
      <c r="AF1631" s="28">
        <v>-121880000</v>
      </c>
      <c r="AG1631" s="11"/>
    </row>
    <row r="1632">
      <c r="A1632" s="7" t="s">
        <v>3340</v>
      </c>
      <c r="B1632" s="5" t="s">
        <v>11327</v>
      </c>
      <c r="C1632" s="5" t="s">
        <v>19188</v>
      </c>
      <c r="D1632" s="5" t="str">
        <v>165906518507</v>
      </c>
      <c r="E1632" s="0" t="e">
        <f>+7 (8432) 170101</f>
        <v>#NAME?</v>
      </c>
      <c r="F1632" s="5"/>
      <c r="G1632" s="5" t="s">
        <v>30265</v>
      </c>
      <c r="H1632" s="26">
        <v>6.5</v>
      </c>
      <c r="I1632" s="5" t="s">
        <v>30266</v>
      </c>
      <c r="J1632" s="5" t="s">
        <v>27151</v>
      </c>
      <c r="K1632" s="5" t="s">
        <v>344</v>
      </c>
      <c r="L1632" s="5"/>
      <c r="M1632" s="27">
        <v>150000</v>
      </c>
      <c r="N1632" s="5"/>
      <c r="O1632" s="5" t="str">
        <v>1656093931</v>
      </c>
      <c r="P1632" s="27">
        <v>300000</v>
      </c>
      <c r="Q1632" s="5" t="s">
        <v>49009</v>
      </c>
      <c r="R1632" s="5"/>
      <c r="S1632" s="5" t="s">
        <v>49093</v>
      </c>
      <c r="T1632" s="28">
        <v>293000</v>
      </c>
      <c r="U1632" s="28"/>
      <c r="V1632" s="28">
        <v>261421000</v>
      </c>
      <c r="W1632" s="28">
        <v>3000000</v>
      </c>
      <c r="X1632" s="28">
        <v>50815000</v>
      </c>
      <c r="Y1632" s="28">
        <v>743319000</v>
      </c>
      <c r="Z1632" s="28">
        <v>84523000</v>
      </c>
      <c r="AA1632" s="28"/>
      <c r="AB1632" s="28"/>
      <c r="AC1632" s="28">
        <v>688996000</v>
      </c>
      <c r="AD1632" s="28">
        <v>54323000</v>
      </c>
      <c r="AE1632" s="28">
        <v>3196969000</v>
      </c>
      <c r="AF1632" s="28">
        <v>56690000</v>
      </c>
      <c r="AG1632" s="11"/>
    </row>
    <row r="1633">
      <c r="A1633" s="7" t="s">
        <v>3341</v>
      </c>
      <c r="B1633" s="5" t="s">
        <v>11328</v>
      </c>
      <c r="C1633" s="5" t="s">
        <v>19189</v>
      </c>
      <c r="D1633" s="5" t="str">
        <v>616708702258</v>
      </c>
      <c r="F1633" s="5"/>
      <c r="G1633" s="5"/>
      <c r="H1633" s="26">
        <v>3.5</v>
      </c>
      <c r="I1633" s="5" t="s">
        <v>30267</v>
      </c>
      <c r="J1633" s="5" t="s">
        <v>25938</v>
      </c>
      <c r="K1633" s="5" t="s">
        <v>344</v>
      </c>
      <c r="L1633" s="5" t="s">
        <v>30268</v>
      </c>
      <c r="M1633" s="27"/>
      <c r="N1633" s="5"/>
      <c r="O1633" s="5" t="str">
        <v>7727432052</v>
      </c>
      <c r="P1633" s="27">
        <v>100000</v>
      </c>
      <c r="Q1633" s="5" t="s">
        <v>49207</v>
      </c>
      <c r="R1633" s="5"/>
      <c r="S1633" s="5" t="s">
        <v>50911</v>
      </c>
      <c r="T1633" s="28"/>
      <c r="U1633" s="28"/>
      <c r="V1633" s="28">
        <v>1397310000</v>
      </c>
      <c r="W1633" s="28"/>
      <c r="X1633" s="28">
        <v>4177000</v>
      </c>
      <c r="Y1633" s="28">
        <v>1426382000</v>
      </c>
      <c r="Z1633" s="28">
        <v>253775000</v>
      </c>
      <c r="AA1633" s="28">
        <v>19000</v>
      </c>
      <c r="AB1633" s="28"/>
      <c r="AC1633" s="28">
        <v>1172489000</v>
      </c>
      <c r="AD1633" s="28">
        <v>253875000</v>
      </c>
      <c r="AE1633" s="28">
        <v>3850827000</v>
      </c>
      <c r="AF1633" s="28">
        <v>174585000</v>
      </c>
      <c r="AG1633" s="11"/>
    </row>
    <row r="1634">
      <c r="A1634" s="7" t="s">
        <v>3341</v>
      </c>
      <c r="B1634" s="5" t="s">
        <v>11329</v>
      </c>
      <c r="C1634" s="5" t="s">
        <v>19190</v>
      </c>
      <c r="D1634" s="5" t="str">
        <v>732702384600</v>
      </c>
      <c r="E1634" s="0" t="e">
        <f>+7 (842) 2376210
+7 (842) 2376747
+7 (8422) 360042
+7 (8422) 360234
+7 (8422) 370116
+7 (84255) 72016
+7 (84255) 72218
+7 (84255) 72246
+7 (84255) 72844
+7 (84255) 72988
+7 (84255) 73186
+7 (84255) 74014</f>
        <v>#NAME?</v>
      </c>
      <c r="F1634" s="5"/>
      <c r="G1634" s="5"/>
      <c r="H1634" s="26">
        <v>26</v>
      </c>
      <c r="I1634" s="5" t="s">
        <v>30269</v>
      </c>
      <c r="J1634" s="5" t="s">
        <v>25287</v>
      </c>
      <c r="K1634" s="5" t="s">
        <v>344</v>
      </c>
      <c r="L1634" s="5" t="s">
        <v>30270</v>
      </c>
      <c r="M1634" s="27"/>
      <c r="N1634" s="5"/>
      <c r="O1634" s="5" t="str">
        <v>7326012526</v>
      </c>
      <c r="P1634" s="27">
        <v>10000</v>
      </c>
      <c r="Q1634" s="5" t="s">
        <v>49059</v>
      </c>
      <c r="R1634" s="5"/>
      <c r="S1634" s="5" t="s">
        <v>49028</v>
      </c>
      <c r="T1634" s="28">
        <v>1100927000</v>
      </c>
      <c r="U1634" s="28"/>
      <c r="V1634" s="28">
        <v>445415000</v>
      </c>
      <c r="W1634" s="28"/>
      <c r="X1634" s="28">
        <v>18000</v>
      </c>
      <c r="Y1634" s="28">
        <v>1922186000</v>
      </c>
      <c r="Z1634" s="28">
        <v>500922000</v>
      </c>
      <c r="AA1634" s="28"/>
      <c r="AB1634" s="28">
        <v>788824000</v>
      </c>
      <c r="AC1634" s="28">
        <v>1349948000</v>
      </c>
      <c r="AD1634" s="28">
        <v>500932000</v>
      </c>
      <c r="AE1634" s="28">
        <v>4628063000</v>
      </c>
      <c r="AF1634" s="28">
        <v>214905000</v>
      </c>
      <c r="AG1634" s="11"/>
    </row>
    <row r="1635">
      <c r="A1635" s="7" t="s">
        <v>3342</v>
      </c>
      <c r="B1635" s="5" t="s">
        <v>11330</v>
      </c>
      <c r="C1635" s="5" t="s">
        <v>19191</v>
      </c>
      <c r="D1635" s="5" t="str">
        <v>773704457314</v>
      </c>
      <c r="E1635" s="0" t="e">
        <f>+7 (495) 6946576</f>
        <v>#NAME?</v>
      </c>
      <c r="F1635" s="5" t="s">
        <v>30271</v>
      </c>
      <c r="G1635" s="5"/>
      <c r="H1635" s="26">
        <v>21</v>
      </c>
      <c r="I1635" s="5" t="s">
        <v>30272</v>
      </c>
      <c r="J1635" s="5" t="s">
        <v>28465</v>
      </c>
      <c r="K1635" s="5" t="s">
        <v>355</v>
      </c>
      <c r="L1635" s="5" t="s">
        <v>30273</v>
      </c>
      <c r="M1635" s="27"/>
      <c r="N1635" s="5"/>
      <c r="O1635" s="5" t="str">
        <v>7710423483</v>
      </c>
      <c r="P1635" s="27">
        <v>10000</v>
      </c>
      <c r="Q1635" s="5"/>
      <c r="R1635" s="5" t="s">
        <v>51908</v>
      </c>
      <c r="S1635" s="5" t="s">
        <v>49110</v>
      </c>
      <c r="T1635" s="28">
        <v>1622344000</v>
      </c>
      <c r="U1635" s="28">
        <v>1000000</v>
      </c>
      <c r="V1635" s="28">
        <v>236462000</v>
      </c>
      <c r="W1635" s="28">
        <v>38000000</v>
      </c>
      <c r="X1635" s="28">
        <v>120893000</v>
      </c>
      <c r="Y1635" s="28">
        <v>4315984000</v>
      </c>
      <c r="Z1635" s="28">
        <v>621702000</v>
      </c>
      <c r="AA1635" s="28"/>
      <c r="AB1635" s="28">
        <v>286569000</v>
      </c>
      <c r="AC1635" s="28">
        <v>1776499000</v>
      </c>
      <c r="AD1635" s="28">
        <v>621712000</v>
      </c>
      <c r="AE1635" s="28">
        <v>5311821000</v>
      </c>
      <c r="AF1635" s="28">
        <v>72849000</v>
      </c>
      <c r="AG1635" s="11"/>
    </row>
    <row r="1636">
      <c r="A1636" s="7" t="s">
        <v>3343</v>
      </c>
      <c r="B1636" s="5" t="s">
        <v>11331</v>
      </c>
      <c r="C1636" s="5" t="s">
        <v>19192</v>
      </c>
      <c r="D1636" s="5" t="str">
        <v>773706219481</v>
      </c>
      <c r="E1636" s="0" t="e">
        <f>+7 (495) 5140433
+7 (495) 7213705
+7 (495) 7838099
+7 (495) 7213703
+7 (495) 7213734
+7 (495) 7755079
+7 (495) 7838098</f>
        <v>#NAME?</v>
      </c>
      <c r="F1636" s="5" t="s">
        <v>30274</v>
      </c>
      <c r="G1636" s="5" t="s">
        <v>30275</v>
      </c>
      <c r="H1636" s="26">
        <v>26</v>
      </c>
      <c r="I1636" s="5" t="s">
        <v>30276</v>
      </c>
      <c r="J1636" s="5" t="s">
        <v>30277</v>
      </c>
      <c r="K1636" s="5" t="s">
        <v>344</v>
      </c>
      <c r="L1636" s="5" t="s">
        <v>30278</v>
      </c>
      <c r="M1636" s="27"/>
      <c r="N1636" s="5" t="s">
        <v>51909</v>
      </c>
      <c r="O1636" s="5" t="str">
        <v>7712096009</v>
      </c>
      <c r="P1636" s="27">
        <v>54000000</v>
      </c>
      <c r="Q1636" s="5" t="s">
        <v>49021</v>
      </c>
      <c r="R1636" s="5"/>
      <c r="S1636" s="5" t="s">
        <v>51910</v>
      </c>
      <c r="T1636" s="28">
        <v>533294000</v>
      </c>
      <c r="U1636" s="28">
        <v>115100000</v>
      </c>
      <c r="V1636" s="28">
        <v>282160000</v>
      </c>
      <c r="W1636" s="28">
        <v>114203000</v>
      </c>
      <c r="X1636" s="28">
        <v>48728000</v>
      </c>
      <c r="Y1636" s="28">
        <v>3486854000</v>
      </c>
      <c r="Z1636" s="28">
        <v>1562910000</v>
      </c>
      <c r="AA1636" s="28"/>
      <c r="AB1636" s="28">
        <v>957370000</v>
      </c>
      <c r="AC1636" s="28">
        <v>1632800000</v>
      </c>
      <c r="AD1636" s="28">
        <v>1616910000</v>
      </c>
      <c r="AE1636" s="28">
        <v>4809241000</v>
      </c>
      <c r="AF1636" s="28">
        <v>166354000</v>
      </c>
      <c r="AG1636" s="11"/>
    </row>
    <row r="1637">
      <c r="A1637" s="7" t="s">
        <v>3344</v>
      </c>
      <c r="B1637" s="5" t="s">
        <v>11332</v>
      </c>
      <c r="C1637" s="5" t="s">
        <v>19193</v>
      </c>
      <c r="D1637" s="5" t="str">
        <v>781318031605</v>
      </c>
      <c r="E1637" s="0" t="e">
        <f>+7 (812) 4180800
+7 (812) 4180815
+7 (812) 4180840
+7 (812) 4180843
+7 (812) 4180970
+7 (812) 4180973</f>
        <v>#NAME?</v>
      </c>
      <c r="F1637" s="5" t="s">
        <v>30279</v>
      </c>
      <c r="G1637" s="5" t="s">
        <v>30280</v>
      </c>
      <c r="H1637" s="26">
        <v>14.5</v>
      </c>
      <c r="I1637" s="5" t="s">
        <v>30281</v>
      </c>
      <c r="J1637" s="5" t="s">
        <v>599</v>
      </c>
      <c r="K1637" s="5" t="s">
        <v>344</v>
      </c>
      <c r="L1637" s="5" t="s">
        <v>30282</v>
      </c>
      <c r="M1637" s="27"/>
      <c r="N1637" s="5"/>
      <c r="O1637" s="5" t="str">
        <v>7805464287</v>
      </c>
      <c r="P1637" s="27">
        <v>84642757</v>
      </c>
      <c r="Q1637" s="5" t="s">
        <v>49009</v>
      </c>
      <c r="R1637" s="5"/>
      <c r="S1637" s="5" t="s">
        <v>49010</v>
      </c>
      <c r="T1637" s="28">
        <v>421080000</v>
      </c>
      <c r="U1637" s="28"/>
      <c r="V1637" s="28">
        <v>797465000</v>
      </c>
      <c r="W1637" s="28"/>
      <c r="X1637" s="28">
        <v>2856062000</v>
      </c>
      <c r="Y1637" s="28">
        <v>4246464000</v>
      </c>
      <c r="Z1637" s="28">
        <v>3205894000</v>
      </c>
      <c r="AA1637" s="28"/>
      <c r="AB1637" s="28"/>
      <c r="AC1637" s="28">
        <v>653903000</v>
      </c>
      <c r="AD1637" s="28">
        <v>3290826000</v>
      </c>
      <c r="AE1637" s="28">
        <v>8387816000</v>
      </c>
      <c r="AF1637" s="28">
        <v>292814000</v>
      </c>
      <c r="AG1637" s="11"/>
    </row>
    <row r="1638">
      <c r="A1638" s="7" t="s">
        <v>3345</v>
      </c>
      <c r="B1638" s="5" t="s">
        <v>11333</v>
      </c>
      <c r="C1638" s="5" t="s">
        <v>19194</v>
      </c>
      <c r="D1638" s="5" t="str">
        <v>613501991103</v>
      </c>
      <c r="E1638" s="0" t="e">
        <f>+7 (928) 1931296
+7 (495) 8788282
+7 (800) 5008282
+7 (863) 2618902
+7 (863) 3335391
+7 (8632) 227445
+7 (8632) 618901
+7 (8632) 688826</f>
        <v>#NAME?</v>
      </c>
      <c r="F1638" s="5" t="s">
        <v>30283</v>
      </c>
      <c r="G1638" s="5" t="s">
        <v>30284</v>
      </c>
      <c r="H1638" s="26">
        <v>28</v>
      </c>
      <c r="I1638" s="5"/>
      <c r="J1638" s="5" t="s">
        <v>30285</v>
      </c>
      <c r="K1638" s="5" t="s">
        <v>355</v>
      </c>
      <c r="L1638" s="5" t="s">
        <v>30286</v>
      </c>
      <c r="M1638" s="27">
        <v>6158941</v>
      </c>
      <c r="N1638" s="5"/>
      <c r="O1638" s="5" t="str">
        <v>6166019871</v>
      </c>
      <c r="P1638" s="27">
        <v>40000</v>
      </c>
      <c r="Q1638" s="5" t="s">
        <v>49009</v>
      </c>
      <c r="R1638" s="5"/>
      <c r="S1638" s="5" t="s">
        <v>51911</v>
      </c>
      <c r="T1638" s="28">
        <v>11937454000</v>
      </c>
      <c r="U1638" s="28">
        <v>117958000</v>
      </c>
      <c r="V1638" s="28">
        <v>6495424000</v>
      </c>
      <c r="W1638" s="28">
        <v>1698000</v>
      </c>
      <c r="X1638" s="28">
        <v>472737000</v>
      </c>
      <c r="Y1638" s="28">
        <v>23338677000</v>
      </c>
      <c r="Z1638" s="28">
        <v>2421524000</v>
      </c>
      <c r="AA1638" s="28"/>
      <c r="AB1638" s="28">
        <v>2936397000</v>
      </c>
      <c r="AC1638" s="28">
        <v>6557878000</v>
      </c>
      <c r="AD1638" s="28">
        <v>2422338000</v>
      </c>
      <c r="AE1638" s="28">
        <v>20819005000</v>
      </c>
      <c r="AF1638" s="28">
        <v>-768529000</v>
      </c>
      <c r="AG1638" s="11"/>
    </row>
    <row r="1639">
      <c r="A1639" s="7" t="s">
        <v>3346</v>
      </c>
      <c r="B1639" s="5" t="s">
        <v>11334</v>
      </c>
      <c r="C1639" s="5" t="s">
        <v>19195</v>
      </c>
      <c r="D1639" s="5"/>
      <c r="E1639" s="0" t="e">
        <f>+7 (495) 2583234
+7 (495) 6406678</f>
        <v>#NAME?</v>
      </c>
      <c r="F1639" s="5"/>
      <c r="G1639" s="5" t="s">
        <v>30287</v>
      </c>
      <c r="H1639" s="26">
        <v>4.5</v>
      </c>
      <c r="I1639" s="5" t="s">
        <v>30288</v>
      </c>
      <c r="J1639" s="5" t="s">
        <v>881</v>
      </c>
      <c r="K1639" s="5" t="s">
        <v>344</v>
      </c>
      <c r="L1639" s="5" t="s">
        <v>30289</v>
      </c>
      <c r="M1639" s="27"/>
      <c r="N1639" s="5" t="s">
        <v>51912</v>
      </c>
      <c r="O1639" s="5" t="str">
        <v>9729274905</v>
      </c>
      <c r="P1639" s="27">
        <v>100000</v>
      </c>
      <c r="Q1639" s="5" t="s">
        <v>51913</v>
      </c>
      <c r="R1639" s="5"/>
      <c r="S1639" s="5" t="s">
        <v>51914</v>
      </c>
      <c r="T1639" s="28">
        <v>209705000</v>
      </c>
      <c r="U1639" s="28"/>
      <c r="V1639" s="28">
        <v>590577000</v>
      </c>
      <c r="W1639" s="28"/>
      <c r="X1639" s="28">
        <v>806498000</v>
      </c>
      <c r="Y1639" s="28">
        <v>1609505000</v>
      </c>
      <c r="Z1639" s="28">
        <v>719381000</v>
      </c>
      <c r="AA1639" s="28"/>
      <c r="AB1639" s="28"/>
      <c r="AC1639" s="28">
        <v>796725000</v>
      </c>
      <c r="AD1639" s="28">
        <v>719481000</v>
      </c>
      <c r="AE1639" s="28">
        <v>3749048000</v>
      </c>
      <c r="AF1639" s="28">
        <v>451508000</v>
      </c>
      <c r="AG1639" s="11"/>
    </row>
    <row r="1640">
      <c r="A1640" s="7" t="s">
        <v>3347</v>
      </c>
      <c r="B1640" s="5" t="s">
        <v>11335</v>
      </c>
      <c r="C1640" s="5" t="s">
        <v>19196</v>
      </c>
      <c r="D1640" s="5" t="str">
        <v>503008313117</v>
      </c>
      <c r="E1640" s="0" t="e">
        <f>+7 (800) 5509208
+7 (903) 2334491
+7 (938) 6501220</f>
        <v>#NAME?</v>
      </c>
      <c r="F1640" s="5" t="s">
        <v>30290</v>
      </c>
      <c r="G1640" s="5" t="s">
        <v>30291</v>
      </c>
      <c r="H1640" s="26">
        <v>6.5</v>
      </c>
      <c r="I1640" s="5" t="s">
        <v>30292</v>
      </c>
      <c r="J1640" s="5" t="s">
        <v>533</v>
      </c>
      <c r="K1640" s="5" t="s">
        <v>344</v>
      </c>
      <c r="L1640" s="5" t="s">
        <v>30293</v>
      </c>
      <c r="M1640" s="27">
        <v>1510344</v>
      </c>
      <c r="N1640" s="5"/>
      <c r="O1640" s="5" t="str">
        <v>7727297766</v>
      </c>
      <c r="P1640" s="27">
        <v>5000000</v>
      </c>
      <c r="Q1640" s="5" t="s">
        <v>49021</v>
      </c>
      <c r="R1640" s="5"/>
      <c r="S1640" s="5" t="s">
        <v>51916</v>
      </c>
      <c r="T1640" s="28">
        <v>417703000</v>
      </c>
      <c r="U1640" s="28"/>
      <c r="V1640" s="28">
        <v>1114100000</v>
      </c>
      <c r="W1640" s="28">
        <v>132500000</v>
      </c>
      <c r="X1640" s="28">
        <v>21493000</v>
      </c>
      <c r="Y1640" s="28">
        <v>3133295000</v>
      </c>
      <c r="Z1640" s="28">
        <v>410382000</v>
      </c>
      <c r="AA1640" s="28">
        <v>483401000</v>
      </c>
      <c r="AB1640" s="28">
        <v>6382000</v>
      </c>
      <c r="AC1640" s="28">
        <v>2090060000</v>
      </c>
      <c r="AD1640" s="28">
        <v>415382000</v>
      </c>
      <c r="AE1640" s="28">
        <v>7592629000</v>
      </c>
      <c r="AF1640" s="28">
        <v>84634000</v>
      </c>
      <c r="AG1640" s="11"/>
    </row>
    <row r="1641">
      <c r="A1641" s="7" t="s">
        <v>3348</v>
      </c>
      <c r="B1641" s="5" t="s">
        <v>11336</v>
      </c>
      <c r="C1641" s="5" t="s">
        <v>19197</v>
      </c>
      <c r="D1641" s="5" t="str">
        <v>523200250634</v>
      </c>
      <c r="E1641" s="0" t="e">
        <f>+7 (47391) 28546
+7 (472) 9144944
+7 (47391) 28545
+7 (47391) 28549
+7 (47391) 44118
+7 (47391) 44944</f>
        <v>#NAME?</v>
      </c>
      <c r="F1641" s="5" t="s">
        <v>30294</v>
      </c>
      <c r="G1641" s="5"/>
      <c r="H1641" s="26">
        <v>24.5</v>
      </c>
      <c r="I1641" s="5" t="s">
        <v>30295</v>
      </c>
      <c r="J1641" s="5" t="s">
        <v>27917</v>
      </c>
      <c r="K1641" s="5" t="s">
        <v>344</v>
      </c>
      <c r="L1641" s="5" t="s">
        <v>30296</v>
      </c>
      <c r="M1641" s="27"/>
      <c r="N1641" s="5"/>
      <c r="O1641" s="5" t="str">
        <v>3614003249</v>
      </c>
      <c r="P1641" s="27">
        <v>40302520</v>
      </c>
      <c r="Q1641" s="5"/>
      <c r="R1641" s="5"/>
      <c r="S1641" s="5" t="s">
        <v>49029</v>
      </c>
      <c r="T1641" s="28">
        <v>278358000</v>
      </c>
      <c r="U1641" s="28"/>
      <c r="V1641" s="28">
        <v>269916000</v>
      </c>
      <c r="W1641" s="28"/>
      <c r="X1641" s="28">
        <v>1703718000</v>
      </c>
      <c r="Y1641" s="28">
        <v>2580660000</v>
      </c>
      <c r="Z1641" s="28">
        <v>912165000</v>
      </c>
      <c r="AA1641" s="28">
        <v>107948000</v>
      </c>
      <c r="AB1641" s="28">
        <v>1300210000</v>
      </c>
      <c r="AC1641" s="28">
        <v>1459915000</v>
      </c>
      <c r="AD1641" s="28">
        <v>997858000</v>
      </c>
      <c r="AE1641" s="28">
        <v>4492384000</v>
      </c>
      <c r="AF1641" s="28">
        <v>378890000</v>
      </c>
      <c r="AG1641" s="11"/>
    </row>
    <row r="1642">
      <c r="A1642" s="7" t="s">
        <v>3349</v>
      </c>
      <c r="B1642" s="5" t="s">
        <v>11337</v>
      </c>
      <c r="C1642" s="5" t="s">
        <v>19198</v>
      </c>
      <c r="D1642" s="5" t="str">
        <v>253805620377</v>
      </c>
      <c r="E1642" s="0" t="e">
        <f>+7 (908) 4468880
+7 (423) 7325652
+7 (42373) 22410
+7 (42373) 30352
+7 (42373) 30355
+7 (42373) 31951
+7 (42373) 32410
+7 (42373) 33253
+7 (42373) 37626
+7 (42373) 91024</f>
        <v>#NAME?</v>
      </c>
      <c r="F1642" s="5" t="s">
        <v>30297</v>
      </c>
      <c r="G1642" s="5" t="s">
        <v>30298</v>
      </c>
      <c r="H1642" s="26">
        <v>21.5</v>
      </c>
      <c r="I1642" s="5"/>
      <c r="J1642" s="5" t="s">
        <v>30299</v>
      </c>
      <c r="K1642" s="5" t="s">
        <v>355</v>
      </c>
      <c r="L1642" s="5"/>
      <c r="M1642" s="27">
        <v>21988183</v>
      </c>
      <c r="N1642" s="5" t="s">
        <v>51917</v>
      </c>
      <c r="O1642" s="5" t="str">
        <v>2505008358</v>
      </c>
      <c r="P1642" s="27">
        <v>630000000</v>
      </c>
      <c r="Q1642" s="5"/>
      <c r="R1642" s="5" t="s">
        <v>51919</v>
      </c>
      <c r="S1642" s="5" t="s">
        <v>51920</v>
      </c>
      <c r="T1642" s="28">
        <v>2674942000</v>
      </c>
      <c r="U1642" s="28">
        <v>166119000</v>
      </c>
      <c r="V1642" s="28">
        <v>6887063000</v>
      </c>
      <c r="W1642" s="28">
        <v>243921000</v>
      </c>
      <c r="X1642" s="28">
        <v>18718000</v>
      </c>
      <c r="Y1642" s="28">
        <v>11998104000</v>
      </c>
      <c r="Z1642" s="28">
        <v>-2123611000</v>
      </c>
      <c r="AA1642" s="28">
        <v>11592822000</v>
      </c>
      <c r="AB1642" s="28">
        <v>87000000</v>
      </c>
      <c r="AC1642" s="28">
        <v>865951000</v>
      </c>
      <c r="AD1642" s="28">
        <v>-907049000</v>
      </c>
      <c r="AE1642" s="28">
        <v>3658400000</v>
      </c>
      <c r="AF1642" s="28">
        <v>101076000</v>
      </c>
      <c r="AG1642" s="11"/>
    </row>
    <row r="1643">
      <c r="A1643" s="7" t="s">
        <v>3350</v>
      </c>
      <c r="B1643" s="5" t="s">
        <v>11338</v>
      </c>
      <c r="C1643" s="5" t="s">
        <v>19127</v>
      </c>
      <c r="D1643" s="5"/>
      <c r="E1643" s="0" t="e">
        <f>+7 (345) 2420620
+7 (345) 2430103
+7 (345) 2432213
+7 (345) 2432223
+7 (345) 2434233
+7 (345) 2434867
+7 (345) 2439297
+7 (345) 2439910
+7 (345) 2791930
+7 (903) 7817307</f>
        <v>#NAME?</v>
      </c>
      <c r="F1643" s="5" t="s">
        <v>30300</v>
      </c>
      <c r="G1643" s="5" t="s">
        <v>30301</v>
      </c>
      <c r="H1643" s="26">
        <v>23</v>
      </c>
      <c r="I1643" s="5"/>
      <c r="J1643" s="5" t="s">
        <v>30302</v>
      </c>
      <c r="K1643" s="5" t="s">
        <v>355</v>
      </c>
      <c r="L1643" s="5" t="s">
        <v>30303</v>
      </c>
      <c r="M1643" s="27">
        <v>166489084</v>
      </c>
      <c r="N1643" s="5" t="s">
        <v>51921</v>
      </c>
      <c r="O1643" s="5" t="str">
        <v>7204002810</v>
      </c>
      <c r="P1643" s="27">
        <v>3665711</v>
      </c>
      <c r="Q1643" s="5" t="s">
        <v>51922</v>
      </c>
      <c r="R1643" s="5"/>
      <c r="S1643" s="5" t="s">
        <v>49428</v>
      </c>
      <c r="T1643" s="28">
        <v>604318000</v>
      </c>
      <c r="U1643" s="28">
        <v>4042089000</v>
      </c>
      <c r="V1643" s="28">
        <v>6435744000</v>
      </c>
      <c r="W1643" s="28">
        <v>194872000</v>
      </c>
      <c r="X1643" s="28">
        <v>1031767000</v>
      </c>
      <c r="Y1643" s="28">
        <v>14853111000</v>
      </c>
      <c r="Z1643" s="28">
        <v>581422000</v>
      </c>
      <c r="AA1643" s="28">
        <v>6606883000</v>
      </c>
      <c r="AB1643" s="28">
        <v>1270796000</v>
      </c>
      <c r="AC1643" s="28">
        <v>7314100000</v>
      </c>
      <c r="AD1643" s="28">
        <v>829962000</v>
      </c>
      <c r="AE1643" s="28">
        <v>12577924000</v>
      </c>
      <c r="AF1643" s="28">
        <v>88693000</v>
      </c>
      <c r="AG1643" s="11"/>
    </row>
    <row r="1644">
      <c r="A1644" s="7" t="s">
        <v>3351</v>
      </c>
      <c r="B1644" s="5" t="s">
        <v>11339</v>
      </c>
      <c r="C1644" s="5" t="s">
        <v>19199</v>
      </c>
      <c r="D1644" s="5" t="str">
        <v>027800278307</v>
      </c>
      <c r="E1644" s="0" t="e">
        <f>+7 (495) 2358744
+7 (495) 2359984
+7 (495) 9130224
+7 (495) 9130715
+7 (495) 9131961
+7 (495) 9131963</f>
        <v>#NAME?</v>
      </c>
      <c r="F1644" s="5" t="s">
        <v>30304</v>
      </c>
      <c r="G1644" s="5" t="s">
        <v>30305</v>
      </c>
      <c r="H1644" s="26">
        <v>31.5</v>
      </c>
      <c r="I1644" s="5"/>
      <c r="J1644" s="5" t="s">
        <v>881</v>
      </c>
      <c r="K1644" s="5" t="s">
        <v>344</v>
      </c>
      <c r="L1644" s="5" t="s">
        <v>30306</v>
      </c>
      <c r="M1644" s="27"/>
      <c r="N1644" s="5" t="s">
        <v>51923</v>
      </c>
      <c r="O1644" s="5" t="str">
        <v>7733284010</v>
      </c>
      <c r="P1644" s="27">
        <v>901345000</v>
      </c>
      <c r="Q1644" s="5" t="s">
        <v>51924</v>
      </c>
      <c r="R1644" s="5"/>
      <c r="S1644" s="5" t="s">
        <v>51925</v>
      </c>
      <c r="T1644" s="28">
        <v>1232442000</v>
      </c>
      <c r="U1644" s="28"/>
      <c r="V1644" s="28">
        <v>128933000</v>
      </c>
      <c r="W1644" s="28"/>
      <c r="X1644" s="28">
        <v>3104383000</v>
      </c>
      <c r="Y1644" s="28">
        <v>5066288000</v>
      </c>
      <c r="Z1644" s="28">
        <v>1229794000</v>
      </c>
      <c r="AA1644" s="28"/>
      <c r="AB1644" s="28"/>
      <c r="AC1644" s="28">
        <v>2832582000</v>
      </c>
      <c r="AD1644" s="28">
        <v>2176206000</v>
      </c>
      <c r="AE1644" s="28">
        <v>12523245000</v>
      </c>
      <c r="AF1644" s="28">
        <v>602526000</v>
      </c>
      <c r="AG1644" s="11"/>
    </row>
    <row r="1645">
      <c r="A1645" s="7" t="s">
        <v>3352</v>
      </c>
      <c r="B1645" s="5" t="s">
        <v>11340</v>
      </c>
      <c r="C1645" s="5" t="s">
        <v>19200</v>
      </c>
      <c r="D1645" s="5" t="str">
        <v>132602210748</v>
      </c>
      <c r="E1645" s="0" t="e">
        <f>+7 (928) 1796213
+7 (34763) 54235
+7 (4862) 440349
+7 (487) 2702783
+7 (492) 2213732
+7 (495) 7777997
+7 (812) 2448080
+7 (844) 2261510
+7 (861) 2592009
+7 (861) 2748740
+7 (861) 2748741
+7 (8632) 618568
+7 (916) 3560799
+7 (930) 7215552</f>
        <v>#NAME?</v>
      </c>
      <c r="F1645" s="5" t="s">
        <v>30307</v>
      </c>
      <c r="G1645" s="5" t="s">
        <v>30308</v>
      </c>
      <c r="H1645" s="26">
        <v>9</v>
      </c>
      <c r="I1645" s="5" t="s">
        <v>30309</v>
      </c>
      <c r="J1645" s="5" t="s">
        <v>27115</v>
      </c>
      <c r="K1645" s="5" t="s">
        <v>344</v>
      </c>
      <c r="L1645" s="5"/>
      <c r="M1645" s="27">
        <v>457010297</v>
      </c>
      <c r="N1645" s="5" t="s">
        <v>51926</v>
      </c>
      <c r="O1645" s="5" t="str">
        <v>6164317329</v>
      </c>
      <c r="P1645" s="27">
        <v>14879357144</v>
      </c>
      <c r="Q1645" s="5" t="s">
        <v>51927</v>
      </c>
      <c r="R1645" s="5"/>
      <c r="S1645" s="5" t="s">
        <v>51382</v>
      </c>
      <c r="T1645" s="28">
        <v>12648113000</v>
      </c>
      <c r="U1645" s="28">
        <v>250443000</v>
      </c>
      <c r="V1645" s="28">
        <v>837589000</v>
      </c>
      <c r="W1645" s="28">
        <v>945245000</v>
      </c>
      <c r="X1645" s="28">
        <v>590431000</v>
      </c>
      <c r="Y1645" s="28">
        <v>21368629000</v>
      </c>
      <c r="Z1645" s="28">
        <v>-2102190000</v>
      </c>
      <c r="AA1645" s="28"/>
      <c r="AB1645" s="28"/>
      <c r="AC1645" s="28">
        <v>7181591000</v>
      </c>
      <c r="AD1645" s="28">
        <v>12797508000</v>
      </c>
      <c r="AE1645" s="28">
        <v>89395564000</v>
      </c>
      <c r="AF1645" s="28">
        <v>2075950000</v>
      </c>
      <c r="AG1645" s="11"/>
    </row>
    <row r="1646">
      <c r="A1646" s="7" t="s">
        <v>3353</v>
      </c>
      <c r="B1646" s="5" t="s">
        <v>11341</v>
      </c>
      <c r="C1646" s="5" t="s">
        <v>19201</v>
      </c>
      <c r="D1646" s="5" t="str">
        <v>110504532839</v>
      </c>
      <c r="E1646" s="0" t="e">
        <f>+7 (495) 1394960</f>
        <v>#NAME?</v>
      </c>
      <c r="F1646" s="5" t="s">
        <v>30310</v>
      </c>
      <c r="G1646" s="5" t="s">
        <v>30311</v>
      </c>
      <c r="H1646" s="26">
        <v>8</v>
      </c>
      <c r="I1646" s="5" t="s">
        <v>30312</v>
      </c>
      <c r="J1646" s="5" t="s">
        <v>25612</v>
      </c>
      <c r="K1646" s="5" t="s">
        <v>344</v>
      </c>
      <c r="L1646" s="5" t="s">
        <v>30313</v>
      </c>
      <c r="M1646" s="27"/>
      <c r="N1646" s="5"/>
      <c r="O1646" s="5" t="str">
        <v>7730155419</v>
      </c>
      <c r="P1646" s="27">
        <v>20000</v>
      </c>
      <c r="Q1646" s="5"/>
      <c r="R1646" s="5"/>
      <c r="S1646" s="5" t="s">
        <v>49496</v>
      </c>
      <c r="T1646" s="28">
        <v>1552369000</v>
      </c>
      <c r="U1646" s="28">
        <v>300408000</v>
      </c>
      <c r="V1646" s="28">
        <v>1381572000</v>
      </c>
      <c r="W1646" s="28">
        <v>30900000</v>
      </c>
      <c r="X1646" s="28">
        <v>163623000</v>
      </c>
      <c r="Y1646" s="28">
        <v>4286603000</v>
      </c>
      <c r="Z1646" s="28">
        <v>937523000</v>
      </c>
      <c r="AA1646" s="28">
        <v>60031000</v>
      </c>
      <c r="AB1646" s="28"/>
      <c r="AC1646" s="28">
        <v>1984438000</v>
      </c>
      <c r="AD1646" s="28">
        <v>950321000</v>
      </c>
      <c r="AE1646" s="28">
        <v>4187781000</v>
      </c>
      <c r="AF1646" s="28">
        <v>885564000</v>
      </c>
      <c r="AG1646" s="11"/>
    </row>
    <row r="1647">
      <c r="A1647" s="7" t="s">
        <v>3354</v>
      </c>
      <c r="B1647" s="5" t="s">
        <v>11342</v>
      </c>
      <c r="C1647" s="5" t="s">
        <v>19202</v>
      </c>
      <c r="D1647" s="5" t="str">
        <v>590800075292</v>
      </c>
      <c r="E1647" s="0" t="e">
        <f>+7 (3422) 514260
+7 (3422) 514262
+7 (3422) 514265
+7 (3422) 514802
+7 (3422) 530119
+7 (922) 3595120</f>
        <v>#NAME?</v>
      </c>
      <c r="F1647" s="5" t="s">
        <v>30314</v>
      </c>
      <c r="G1647" s="5" t="s">
        <v>30315</v>
      </c>
      <c r="H1647" s="26">
        <v>16</v>
      </c>
      <c r="I1647" s="5" t="s">
        <v>30316</v>
      </c>
      <c r="J1647" s="5" t="s">
        <v>25429</v>
      </c>
      <c r="K1647" s="5" t="s">
        <v>344</v>
      </c>
      <c r="L1647" s="5" t="s">
        <v>30317</v>
      </c>
      <c r="M1647" s="27">
        <v>40485120</v>
      </c>
      <c r="N1647" s="5" t="s">
        <v>51928</v>
      </c>
      <c r="O1647" s="5" t="str">
        <v>5908035470</v>
      </c>
      <c r="P1647" s="27">
        <v>200000</v>
      </c>
      <c r="Q1647" s="5" t="s">
        <v>51929</v>
      </c>
      <c r="R1647" s="5"/>
      <c r="S1647" s="5" t="s">
        <v>51930</v>
      </c>
      <c r="T1647" s="28">
        <v>89410000</v>
      </c>
      <c r="U1647" s="28">
        <v>920895000</v>
      </c>
      <c r="V1647" s="28">
        <v>5335774000</v>
      </c>
      <c r="W1647" s="28"/>
      <c r="X1647" s="28">
        <v>79059000</v>
      </c>
      <c r="Y1647" s="28">
        <v>12539891000</v>
      </c>
      <c r="Z1647" s="28">
        <v>1636796000</v>
      </c>
      <c r="AA1647" s="28">
        <v>1870000</v>
      </c>
      <c r="AB1647" s="28">
        <v>4452075000</v>
      </c>
      <c r="AC1647" s="28">
        <v>10901025000</v>
      </c>
      <c r="AD1647" s="28">
        <v>1636996000</v>
      </c>
      <c r="AE1647" s="28">
        <v>17414894000</v>
      </c>
      <c r="AF1647" s="28">
        <v>198986000</v>
      </c>
      <c r="AG1647" s="11"/>
    </row>
    <row r="1648">
      <c r="A1648" s="7" t="s">
        <v>3355</v>
      </c>
      <c r="B1648" s="5" t="s">
        <v>11343</v>
      </c>
      <c r="C1648" s="5" t="s">
        <v>19203</v>
      </c>
      <c r="D1648" s="5" t="str">
        <v>781105525180</v>
      </c>
      <c r="E1648" s="0" t="e">
        <f>+7 (3422) 201017
+7 (3422) 201072
+7 (3422) 201094
+7 (3422) 208413
+7 (3422) 208452
+7 (3422) 208476
+7 (3422) 208492
+7 (3422) 208498
+7 (3422) 208512
+7 (3422) 208530
+7 (3422) 208555
+7 (3422) 208579
+7 (3422) 208588
+7 (3422) 208597
+7 (3422) 278008</f>
        <v>#NAME?</v>
      </c>
      <c r="F1648" s="5" t="s">
        <v>30318</v>
      </c>
      <c r="G1648" s="5" t="s">
        <v>30319</v>
      </c>
      <c r="H1648" s="26">
        <v>16.5</v>
      </c>
      <c r="I1648" s="5"/>
      <c r="J1648" s="5" t="s">
        <v>30320</v>
      </c>
      <c r="K1648" s="5" t="s">
        <v>344</v>
      </c>
      <c r="L1648" s="5" t="s">
        <v>30321</v>
      </c>
      <c r="M1648" s="27">
        <v>3882675</v>
      </c>
      <c r="N1648" s="5" t="s">
        <v>51931</v>
      </c>
      <c r="O1648" s="5" t="str">
        <v>7813252159</v>
      </c>
      <c r="P1648" s="27">
        <v>44213860000</v>
      </c>
      <c r="Q1648" s="5" t="s">
        <v>51932</v>
      </c>
      <c r="R1648" s="5" t="s">
        <v>51933</v>
      </c>
      <c r="S1648" s="5" t="s">
        <v>51934</v>
      </c>
      <c r="T1648" s="28">
        <v>33354561000</v>
      </c>
      <c r="U1648" s="28">
        <v>645540000</v>
      </c>
      <c r="V1648" s="28">
        <v>3345364000</v>
      </c>
      <c r="W1648" s="28">
        <v>26060000000</v>
      </c>
      <c r="X1648" s="28">
        <v>6760955000</v>
      </c>
      <c r="Y1648" s="28">
        <v>85810680000</v>
      </c>
      <c r="Z1648" s="28">
        <v>29733150000</v>
      </c>
      <c r="AA1648" s="28"/>
      <c r="AB1648" s="28"/>
      <c r="AC1648" s="28">
        <v>5000595000</v>
      </c>
      <c r="AD1648" s="28">
        <v>75970955000</v>
      </c>
      <c r="AE1648" s="28">
        <v>53944629000</v>
      </c>
      <c r="AF1648" s="28">
        <v>8875027000</v>
      </c>
      <c r="AG1648" s="11"/>
    </row>
    <row r="1649">
      <c r="A1649" s="7" t="s">
        <v>3356</v>
      </c>
      <c r="B1649" s="5" t="s">
        <v>11344</v>
      </c>
      <c r="C1649" s="5" t="s">
        <v>19204</v>
      </c>
      <c r="D1649" s="5"/>
      <c r="E1649" s="0" t="e">
        <f>+7 (41147) 97000
+7 (41147) 97013
+7 (41147) 97110</f>
        <v>#NAME?</v>
      </c>
      <c r="F1649" s="5"/>
      <c r="G1649" s="5"/>
      <c r="H1649" s="26">
        <v>19.5</v>
      </c>
      <c r="I1649" s="5"/>
      <c r="J1649" s="5" t="s">
        <v>29188</v>
      </c>
      <c r="K1649" s="5" t="s">
        <v>344</v>
      </c>
      <c r="L1649" s="5"/>
      <c r="M1649" s="27">
        <v>51705835</v>
      </c>
      <c r="N1649" s="5" t="s">
        <v>51935</v>
      </c>
      <c r="O1649" s="5" t="str">
        <v>1434028995</v>
      </c>
      <c r="P1649" s="27">
        <v>4798133873</v>
      </c>
      <c r="Q1649" s="5" t="s">
        <v>51936</v>
      </c>
      <c r="R1649" s="5"/>
      <c r="S1649" s="5" t="s">
        <v>51937</v>
      </c>
      <c r="T1649" s="28">
        <v>27683884000</v>
      </c>
      <c r="U1649" s="28">
        <v>5096985000</v>
      </c>
      <c r="V1649" s="28">
        <v>8832358000</v>
      </c>
      <c r="W1649" s="28"/>
      <c r="X1649" s="28">
        <v>12596492000</v>
      </c>
      <c r="Y1649" s="28">
        <v>61814601000</v>
      </c>
      <c r="Z1649" s="28">
        <v>25116496000</v>
      </c>
      <c r="AA1649" s="28">
        <v>21523155000</v>
      </c>
      <c r="AB1649" s="28">
        <v>3000211000</v>
      </c>
      <c r="AC1649" s="28">
        <v>7326844000</v>
      </c>
      <c r="AD1649" s="28">
        <v>30197712000</v>
      </c>
      <c r="AE1649" s="28">
        <v>41558534000</v>
      </c>
      <c r="AF1649" s="28">
        <v>11784158000</v>
      </c>
      <c r="AG1649" s="11"/>
    </row>
    <row r="1650">
      <c r="A1650" s="7" t="s">
        <v>3357</v>
      </c>
      <c r="B1650" s="5" t="s">
        <v>11344</v>
      </c>
      <c r="C1650" s="5" t="s">
        <v>19204</v>
      </c>
      <c r="D1650" s="5"/>
      <c r="E1650" s="0" t="e">
        <f>+7 (411) 4740313
+7 (41147) 97140</f>
        <v>#NAME?</v>
      </c>
      <c r="F1650" s="5"/>
      <c r="G1650" s="5"/>
      <c r="H1650" s="26">
        <v>18.5</v>
      </c>
      <c r="I1650" s="5"/>
      <c r="J1650" s="5" t="s">
        <v>29188</v>
      </c>
      <c r="K1650" s="5" t="s">
        <v>344</v>
      </c>
      <c r="L1650" s="5"/>
      <c r="M1650" s="27">
        <v>54934520</v>
      </c>
      <c r="N1650" s="5" t="s">
        <v>51938</v>
      </c>
      <c r="O1650" s="5" t="str">
        <v>7704531762</v>
      </c>
      <c r="P1650" s="27">
        <v>991327140</v>
      </c>
      <c r="Q1650" s="5" t="s">
        <v>51939</v>
      </c>
      <c r="R1650" s="5"/>
      <c r="S1650" s="5" t="s">
        <v>51940</v>
      </c>
      <c r="T1650" s="28">
        <v>52522478000</v>
      </c>
      <c r="U1650" s="28"/>
      <c r="V1650" s="28">
        <v>5823978000</v>
      </c>
      <c r="W1650" s="28"/>
      <c r="X1650" s="28">
        <v>11286140000</v>
      </c>
      <c r="Y1650" s="28">
        <v>81063358000</v>
      </c>
      <c r="Z1650" s="28">
        <v>21815999000</v>
      </c>
      <c r="AA1650" s="28">
        <v>43385441000</v>
      </c>
      <c r="AB1650" s="28">
        <v>2723413000</v>
      </c>
      <c r="AC1650" s="28">
        <v>7971516000</v>
      </c>
      <c r="AD1650" s="28">
        <v>23034188000</v>
      </c>
      <c r="AE1650" s="28">
        <v>45917950000</v>
      </c>
      <c r="AF1650" s="28">
        <v>13432858000</v>
      </c>
      <c r="AG1650" s="11"/>
    </row>
    <row r="1651">
      <c r="A1651" s="7" t="s">
        <v>3358</v>
      </c>
      <c r="B1651" s="5" t="s">
        <v>11345</v>
      </c>
      <c r="C1651" s="5" t="s">
        <v>19205</v>
      </c>
      <c r="D1651" s="5" t="str">
        <v>643690443490</v>
      </c>
      <c r="E1651" s="0" t="e">
        <f>+7 (8452) 447017
+7 (8452) 447072
+7 (8452) 456631
+7 (8452) 456641</f>
        <v>#NAME?</v>
      </c>
      <c r="F1651" s="5" t="s">
        <v>30322</v>
      </c>
      <c r="G1651" s="5" t="s">
        <v>30323</v>
      </c>
      <c r="H1651" s="26">
        <v>10.5</v>
      </c>
      <c r="I1651" s="5" t="s">
        <v>30324</v>
      </c>
      <c r="J1651" s="5" t="s">
        <v>25837</v>
      </c>
      <c r="K1651" s="5" t="s">
        <v>344</v>
      </c>
      <c r="L1651" s="5" t="s">
        <v>30325</v>
      </c>
      <c r="M1651" s="27"/>
      <c r="N1651" s="5"/>
      <c r="O1651" s="5" t="str">
        <v>6453123072</v>
      </c>
      <c r="P1651" s="27">
        <v>1540000</v>
      </c>
      <c r="Q1651" s="5"/>
      <c r="R1651" s="5"/>
      <c r="S1651" s="5" t="s">
        <v>49029</v>
      </c>
      <c r="T1651" s="28">
        <v>251576000</v>
      </c>
      <c r="U1651" s="28">
        <v>148545000</v>
      </c>
      <c r="V1651" s="28">
        <v>719399000</v>
      </c>
      <c r="W1651" s="28">
        <v>68000000</v>
      </c>
      <c r="X1651" s="28">
        <v>5040000</v>
      </c>
      <c r="Y1651" s="28">
        <v>1683715000</v>
      </c>
      <c r="Z1651" s="28">
        <v>944417000</v>
      </c>
      <c r="AA1651" s="28">
        <v>470022000</v>
      </c>
      <c r="AB1651" s="28">
        <v>48015000</v>
      </c>
      <c r="AC1651" s="28">
        <v>265167000</v>
      </c>
      <c r="AD1651" s="28">
        <v>945957000</v>
      </c>
      <c r="AE1651" s="28">
        <v>5036262000</v>
      </c>
      <c r="AF1651" s="28">
        <v>91611000</v>
      </c>
      <c r="AG1651" s="11"/>
    </row>
    <row r="1652">
      <c r="A1652" s="7" t="s">
        <v>3359</v>
      </c>
      <c r="B1652" s="5" t="s">
        <v>11346</v>
      </c>
      <c r="C1652" s="5" t="s">
        <v>19206</v>
      </c>
      <c r="D1652" s="5" t="str">
        <v>772380212694</v>
      </c>
      <c r="E1652" s="0" t="e">
        <f>+7 (495) 6210160
+7 (495) 9210160
+7 (495) 9210190</f>
        <v>#NAME?</v>
      </c>
      <c r="F1652" s="5" t="s">
        <v>30326</v>
      </c>
      <c r="G1652" s="5" t="s">
        <v>30327</v>
      </c>
      <c r="H1652" s="26">
        <v>20.5</v>
      </c>
      <c r="I1652" s="5" t="s">
        <v>30328</v>
      </c>
      <c r="J1652" s="5" t="s">
        <v>27522</v>
      </c>
      <c r="K1652" s="5" t="s">
        <v>344</v>
      </c>
      <c r="L1652" s="5" t="s">
        <v>30329</v>
      </c>
      <c r="M1652" s="27"/>
      <c r="N1652" s="5"/>
      <c r="O1652" s="5" t="str">
        <v>7705460169</v>
      </c>
      <c r="P1652" s="27">
        <v>7000000</v>
      </c>
      <c r="Q1652" s="5" t="s">
        <v>49009</v>
      </c>
      <c r="R1652" s="5"/>
      <c r="S1652" s="5" t="s">
        <v>49010</v>
      </c>
      <c r="T1652" s="28">
        <v>11817000</v>
      </c>
      <c r="U1652" s="28">
        <v>554896000</v>
      </c>
      <c r="V1652" s="28">
        <v>3386831000</v>
      </c>
      <c r="W1652" s="28"/>
      <c r="X1652" s="28">
        <v>9607000</v>
      </c>
      <c r="Y1652" s="28">
        <v>5961916000</v>
      </c>
      <c r="Z1652" s="28">
        <v>4129038000</v>
      </c>
      <c r="AA1652" s="28">
        <v>477000000</v>
      </c>
      <c r="AB1652" s="28"/>
      <c r="AC1652" s="28">
        <v>1347828000</v>
      </c>
      <c r="AD1652" s="28">
        <v>4137088000</v>
      </c>
      <c r="AE1652" s="28">
        <v>6206303000</v>
      </c>
      <c r="AF1652" s="28">
        <v>3460037000</v>
      </c>
      <c r="AG1652" s="11"/>
    </row>
    <row r="1653">
      <c r="A1653" s="7" t="s">
        <v>3360</v>
      </c>
      <c r="B1653" s="5" t="s">
        <v>11347</v>
      </c>
      <c r="C1653" s="5" t="s">
        <v>19207</v>
      </c>
      <c r="D1653" s="5" t="str">
        <v>164408303916</v>
      </c>
      <c r="E1653" s="0" t="e">
        <f>+7 (8553) 312799
+7 (8553) 312834</f>
        <v>#NAME?</v>
      </c>
      <c r="F1653" s="5" t="s">
        <v>30330</v>
      </c>
      <c r="G1653" s="5" t="s">
        <v>30331</v>
      </c>
      <c r="H1653" s="26">
        <v>8.5</v>
      </c>
      <c r="I1653" s="5" t="s">
        <v>30332</v>
      </c>
      <c r="J1653" s="5" t="s">
        <v>28226</v>
      </c>
      <c r="K1653" s="5" t="s">
        <v>344</v>
      </c>
      <c r="L1653" s="5"/>
      <c r="M1653" s="27"/>
      <c r="N1653" s="5"/>
      <c r="O1653" s="5" t="str">
        <v>1650289328</v>
      </c>
      <c r="P1653" s="27">
        <v>10000</v>
      </c>
      <c r="Q1653" s="5"/>
      <c r="R1653" s="5"/>
      <c r="S1653" s="5" t="s">
        <v>49121</v>
      </c>
      <c r="T1653" s="28">
        <v>879507000</v>
      </c>
      <c r="U1653" s="28"/>
      <c r="V1653" s="28">
        <v>872082000</v>
      </c>
      <c r="W1653" s="28">
        <v>31600000</v>
      </c>
      <c r="X1653" s="28">
        <v>2630297000</v>
      </c>
      <c r="Y1653" s="28">
        <v>4788183000</v>
      </c>
      <c r="Z1653" s="28">
        <v>2477858000</v>
      </c>
      <c r="AA1653" s="28"/>
      <c r="AB1653" s="28"/>
      <c r="AC1653" s="28">
        <v>2254630000</v>
      </c>
      <c r="AD1653" s="28">
        <v>2477868000</v>
      </c>
      <c r="AE1653" s="28">
        <v>4255526000</v>
      </c>
      <c r="AF1653" s="28">
        <v>980237000</v>
      </c>
      <c r="AG1653" s="11"/>
    </row>
    <row r="1654">
      <c r="A1654" s="7" t="s">
        <v>3361</v>
      </c>
      <c r="B1654" s="5" t="s">
        <v>11348</v>
      </c>
      <c r="C1654" s="5" t="s">
        <v>19208</v>
      </c>
      <c r="D1654" s="5" t="str">
        <v>502603530630</v>
      </c>
      <c r="E1654" s="0" t="e">
        <f>+7 (905) 5293058</f>
        <v>#NAME?</v>
      </c>
      <c r="F1654" s="5" t="s">
        <v>30333</v>
      </c>
      <c r="G1654" s="5"/>
      <c r="H1654" s="26">
        <v>4.5</v>
      </c>
      <c r="I1654" s="5" t="s">
        <v>30334</v>
      </c>
      <c r="J1654" s="5" t="s">
        <v>693</v>
      </c>
      <c r="K1654" s="5" t="s">
        <v>344</v>
      </c>
      <c r="L1654" s="5" t="s">
        <v>30335</v>
      </c>
      <c r="M1654" s="27"/>
      <c r="N1654" s="5"/>
      <c r="O1654" s="5" t="str">
        <v>9705122389</v>
      </c>
      <c r="P1654" s="27">
        <v>10000</v>
      </c>
      <c r="Q1654" s="5" t="s">
        <v>49009</v>
      </c>
      <c r="R1654" s="5"/>
      <c r="S1654" s="5" t="s">
        <v>49010</v>
      </c>
      <c r="T1654" s="28">
        <v>25885000</v>
      </c>
      <c r="U1654" s="28"/>
      <c r="V1654" s="28">
        <v>213826000</v>
      </c>
      <c r="W1654" s="28"/>
      <c r="X1654" s="28">
        <v>10363000</v>
      </c>
      <c r="Y1654" s="28">
        <v>797405000</v>
      </c>
      <c r="Z1654" s="28">
        <v>586485000</v>
      </c>
      <c r="AA1654" s="28"/>
      <c r="AB1654" s="28"/>
      <c r="AC1654" s="28">
        <v>210907000</v>
      </c>
      <c r="AD1654" s="28">
        <v>586495000</v>
      </c>
      <c r="AE1654" s="28">
        <v>3879949000</v>
      </c>
      <c r="AF1654" s="28">
        <v>231213000</v>
      </c>
      <c r="AG1654" s="11"/>
    </row>
    <row r="1655">
      <c r="A1655" s="7" t="s">
        <v>3362</v>
      </c>
      <c r="B1655" s="5" t="s">
        <v>11349</v>
      </c>
      <c r="C1655" s="5" t="s">
        <v>19209</v>
      </c>
      <c r="D1655" s="5" t="str">
        <v>770500865616</v>
      </c>
      <c r="E1655" s="0" t="e">
        <f>+7 (871) 2292660
+7 (904) 8747777
+7 (928) 6111
+7 (928) 7494746
+7 (967) 7755522</f>
        <v>#NAME?</v>
      </c>
      <c r="F1655" s="5" t="s">
        <v>30336</v>
      </c>
      <c r="G1655" s="5"/>
      <c r="H1655" s="26">
        <v>15.5</v>
      </c>
      <c r="I1655" s="5" t="s">
        <v>30337</v>
      </c>
      <c r="J1655" s="5" t="s">
        <v>364</v>
      </c>
      <c r="K1655" s="5" t="s">
        <v>344</v>
      </c>
      <c r="L1655" s="5" t="s">
        <v>30338</v>
      </c>
      <c r="M1655" s="27">
        <v>169374786</v>
      </c>
      <c r="N1655" s="5" t="s">
        <v>51941</v>
      </c>
      <c r="O1655" s="5" t="str">
        <v>2015041780</v>
      </c>
      <c r="P1655" s="27">
        <v>80965000</v>
      </c>
      <c r="Q1655" s="5" t="s">
        <v>51942</v>
      </c>
      <c r="R1655" s="5"/>
      <c r="S1655" s="5" t="s">
        <v>51943</v>
      </c>
      <c r="T1655" s="28">
        <v>243519000</v>
      </c>
      <c r="U1655" s="28"/>
      <c r="V1655" s="28">
        <v>2485919000</v>
      </c>
      <c r="W1655" s="28">
        <v>52630000</v>
      </c>
      <c r="X1655" s="28">
        <v>1961621000</v>
      </c>
      <c r="Y1655" s="28">
        <v>8511047000</v>
      </c>
      <c r="Z1655" s="28">
        <v>56065000</v>
      </c>
      <c r="AA1655" s="28"/>
      <c r="AB1655" s="28"/>
      <c r="AC1655" s="28">
        <v>8347448000</v>
      </c>
      <c r="AD1655" s="28">
        <v>153230000</v>
      </c>
      <c r="AE1655" s="28">
        <v>4329242000</v>
      </c>
      <c r="AF1655" s="28">
        <v>20310000</v>
      </c>
      <c r="AG1655" s="11"/>
    </row>
    <row r="1656">
      <c r="A1656" s="7" t="s">
        <v>3363</v>
      </c>
      <c r="B1656" s="5" t="s">
        <v>11350</v>
      </c>
      <c r="C1656" s="5" t="s">
        <v>19210</v>
      </c>
      <c r="D1656" s="5" t="str">
        <v>540507458196</v>
      </c>
      <c r="E1656" s="0" t="e">
        <f>+7 (383) 2044514
+7 (383) 2092124
+7 (383) 2095320
+7 (383) 2101433
+7 (383) 2103355
+7 (383) 2103566
+7 (383) 2320000
+7 (383) 2328564
+7 (383) 2013655
+7 (383) 2101728
+7 (383) 2103388
+7 (383) 2103635
+7 (383) 2103665
+7 (383) 2103814
+7 (383) 2233609</f>
        <v>#NAME?</v>
      </c>
      <c r="F1656" s="5" t="s">
        <v>30339</v>
      </c>
      <c r="G1656" s="5"/>
      <c r="H1656" s="26">
        <v>27</v>
      </c>
      <c r="I1656" s="5" t="s">
        <v>30340</v>
      </c>
      <c r="J1656" s="5" t="s">
        <v>29042</v>
      </c>
      <c r="K1656" s="5" t="s">
        <v>344</v>
      </c>
      <c r="L1656" s="5"/>
      <c r="M1656" s="27">
        <v>359875590</v>
      </c>
      <c r="N1656" s="5" t="s">
        <v>51944</v>
      </c>
      <c r="O1656" s="5" t="str">
        <v>5411100875</v>
      </c>
      <c r="P1656" s="27">
        <v>1445374266</v>
      </c>
      <c r="Q1656" s="5" t="s">
        <v>51945</v>
      </c>
      <c r="R1656" s="5"/>
      <c r="S1656" s="5" t="s">
        <v>49271</v>
      </c>
      <c r="T1656" s="28">
        <v>13262276000</v>
      </c>
      <c r="U1656" s="28">
        <v>100000</v>
      </c>
      <c r="V1656" s="28">
        <v>1634150000</v>
      </c>
      <c r="W1656" s="28"/>
      <c r="X1656" s="28">
        <v>1992181000</v>
      </c>
      <c r="Y1656" s="28">
        <v>19598494000</v>
      </c>
      <c r="Z1656" s="28">
        <v>9578800000</v>
      </c>
      <c r="AA1656" s="28"/>
      <c r="AB1656" s="28"/>
      <c r="AC1656" s="28">
        <v>1194740000</v>
      </c>
      <c r="AD1656" s="28">
        <v>18130575000</v>
      </c>
      <c r="AE1656" s="28">
        <v>7872866000</v>
      </c>
      <c r="AF1656" s="28">
        <v>1951605000</v>
      </c>
      <c r="AG1656" s="11"/>
    </row>
    <row r="1657">
      <c r="A1657" s="7" t="s">
        <v>3364</v>
      </c>
      <c r="B1657" s="5" t="s">
        <v>11351</v>
      </c>
      <c r="C1657" s="5" t="s">
        <v>19211</v>
      </c>
      <c r="D1657" s="5" t="str">
        <v>550204263412</v>
      </c>
      <c r="E1657" s="0" t="e">
        <f>+7 (923) 5330638
+7 (926) 8441468</f>
        <v>#NAME?</v>
      </c>
      <c r="F1657" s="5" t="s">
        <v>30341</v>
      </c>
      <c r="G1657" s="5"/>
      <c r="H1657" s="26">
        <v>4.5</v>
      </c>
      <c r="I1657" s="5" t="s">
        <v>30342</v>
      </c>
      <c r="J1657" s="5" t="s">
        <v>373</v>
      </c>
      <c r="K1657" s="5" t="s">
        <v>344</v>
      </c>
      <c r="L1657" s="5" t="s">
        <v>30343</v>
      </c>
      <c r="M1657" s="27"/>
      <c r="N1657" s="5" t="s">
        <v>50738</v>
      </c>
      <c r="O1657" s="5" t="str">
        <v>7313012575</v>
      </c>
      <c r="P1657" s="27">
        <v>1000000</v>
      </c>
      <c r="Q1657" s="5" t="s">
        <v>49057</v>
      </c>
      <c r="R1657" s="5"/>
      <c r="S1657" s="5" t="s">
        <v>51946</v>
      </c>
      <c r="T1657" s="28">
        <v>15864000</v>
      </c>
      <c r="U1657" s="28"/>
      <c r="V1657" s="28">
        <v>495775000</v>
      </c>
      <c r="W1657" s="28"/>
      <c r="X1657" s="28">
        <v>19520000</v>
      </c>
      <c r="Y1657" s="28">
        <v>593147000</v>
      </c>
      <c r="Z1657" s="28">
        <v>44776000</v>
      </c>
      <c r="AA1657" s="28"/>
      <c r="AB1657" s="28">
        <v>81299000</v>
      </c>
      <c r="AC1657" s="28">
        <v>546612000</v>
      </c>
      <c r="AD1657" s="28">
        <v>45776000</v>
      </c>
      <c r="AE1657" s="28">
        <v>5650843000</v>
      </c>
      <c r="AF1657" s="28">
        <v>96227000</v>
      </c>
      <c r="AG1657" s="11"/>
    </row>
    <row r="1658">
      <c r="A1658" s="7" t="s">
        <v>3365</v>
      </c>
      <c r="B1658" s="5" t="s">
        <v>11352</v>
      </c>
      <c r="C1658" s="5" t="s">
        <v>18553</v>
      </c>
      <c r="D1658" s="5"/>
      <c r="E1658" s="0" t="e">
        <f>+7 (39141) 22213
+7 (3412) 2213
+7 (391) 2872068
+7 (950) 9790693</f>
        <v>#NAME?</v>
      </c>
      <c r="F1658" s="5" t="s">
        <v>30344</v>
      </c>
      <c r="G1658" s="5"/>
      <c r="H1658" s="26">
        <v>29.5</v>
      </c>
      <c r="I1658" s="5" t="s">
        <v>30345</v>
      </c>
      <c r="J1658" s="5" t="s">
        <v>30299</v>
      </c>
      <c r="K1658" s="5" t="s">
        <v>344</v>
      </c>
      <c r="L1658" s="5" t="s">
        <v>30346</v>
      </c>
      <c r="M1658" s="27"/>
      <c r="N1658" s="5" t="s">
        <v>51947</v>
      </c>
      <c r="O1658" s="5" t="str">
        <v>2426000250</v>
      </c>
      <c r="P1658" s="27">
        <v>539900</v>
      </c>
      <c r="Q1658" s="5"/>
      <c r="R1658" s="5"/>
      <c r="S1658" s="5" t="s">
        <v>49125</v>
      </c>
      <c r="T1658" s="28">
        <v>3760016000</v>
      </c>
      <c r="U1658" s="28">
        <v>730000</v>
      </c>
      <c r="V1658" s="28">
        <v>436331000</v>
      </c>
      <c r="W1658" s="28"/>
      <c r="X1658" s="28">
        <v>7281000</v>
      </c>
      <c r="Y1658" s="28">
        <v>9215038000</v>
      </c>
      <c r="Z1658" s="28">
        <v>6581116000</v>
      </c>
      <c r="AA1658" s="28"/>
      <c r="AB1658" s="28"/>
      <c r="AC1658" s="28">
        <v>988737000</v>
      </c>
      <c r="AD1658" s="28">
        <v>6749485000</v>
      </c>
      <c r="AE1658" s="28">
        <v>8794941000</v>
      </c>
      <c r="AF1658" s="28">
        <v>444662000</v>
      </c>
      <c r="AG1658" s="11"/>
    </row>
    <row r="1659">
      <c r="A1659" s="7" t="s">
        <v>3366</v>
      </c>
      <c r="B1659" s="5" t="s">
        <v>11353</v>
      </c>
      <c r="C1659" s="5" t="s">
        <v>19212</v>
      </c>
      <c r="D1659" s="5" t="str">
        <v>770602340008</v>
      </c>
      <c r="E1659" s="0" t="e">
        <f>+7 (495) 9379736
+7 (800) 7000515
+7 (495) 1506414
+7 (495) 9379735
+7 (495) 9379737
+7 (495) 9379738
+7 (499) 2410300
+7 (800) 5006861
+7 (800) 5006892</f>
        <v>#NAME?</v>
      </c>
      <c r="F1659" s="5"/>
      <c r="G1659" s="5" t="s">
        <v>30347</v>
      </c>
      <c r="H1659" s="26">
        <v>14</v>
      </c>
      <c r="I1659" s="5" t="s">
        <v>30348</v>
      </c>
      <c r="J1659" s="5" t="s">
        <v>25530</v>
      </c>
      <c r="K1659" s="5" t="s">
        <v>344</v>
      </c>
      <c r="L1659" s="5"/>
      <c r="M1659" s="27"/>
      <c r="N1659" s="5"/>
      <c r="O1659" s="5" t="str">
        <v>7704722037</v>
      </c>
      <c r="P1659" s="27">
        <v>2288845868</v>
      </c>
      <c r="Q1659" s="5" t="s">
        <v>49009</v>
      </c>
      <c r="R1659" s="5"/>
      <c r="S1659" s="5" t="s">
        <v>49066</v>
      </c>
      <c r="T1659" s="28">
        <v>411415000</v>
      </c>
      <c r="U1659" s="28"/>
      <c r="V1659" s="28">
        <v>3635018000</v>
      </c>
      <c r="W1659" s="28"/>
      <c r="X1659" s="28">
        <v>1249899000</v>
      </c>
      <c r="Y1659" s="28">
        <v>8604283000</v>
      </c>
      <c r="Z1659" s="28">
        <v>-392402000</v>
      </c>
      <c r="AA1659" s="28"/>
      <c r="AB1659" s="28">
        <v>34485000</v>
      </c>
      <c r="AC1659" s="28">
        <v>6293915000</v>
      </c>
      <c r="AD1659" s="28">
        <v>1896444000</v>
      </c>
      <c r="AE1659" s="28">
        <v>32958564000</v>
      </c>
      <c r="AF1659" s="28">
        <v>611115000</v>
      </c>
      <c r="AG1659" s="11"/>
    </row>
    <row r="1660">
      <c r="A1660" s="7" t="s">
        <v>3367</v>
      </c>
      <c r="B1660" s="5" t="s">
        <v>11354</v>
      </c>
      <c r="C1660" s="5" t="s">
        <v>19213</v>
      </c>
      <c r="D1660" s="5" t="str">
        <v>661903764490</v>
      </c>
      <c r="E1660" s="0" t="e">
        <f>+7 (391) 2749795</f>
        <v>#NAME?</v>
      </c>
      <c r="F1660" s="5" t="s">
        <v>30349</v>
      </c>
      <c r="G1660" s="5" t="s">
        <v>30350</v>
      </c>
      <c r="H1660" s="26">
        <v>7.5</v>
      </c>
      <c r="I1660" s="5"/>
      <c r="J1660" s="5" t="s">
        <v>364</v>
      </c>
      <c r="K1660" s="5" t="s">
        <v>380</v>
      </c>
      <c r="L1660" s="5"/>
      <c r="M1660" s="27">
        <v>387791011</v>
      </c>
      <c r="N1660" s="5"/>
      <c r="O1660" s="5" t="str">
        <v>2460122650</v>
      </c>
      <c r="P1660" s="27">
        <v>10000</v>
      </c>
      <c r="Q1660" s="5" t="s">
        <v>49059</v>
      </c>
      <c r="R1660" s="5" t="s">
        <v>51948</v>
      </c>
      <c r="S1660" s="5" t="s">
        <v>49093</v>
      </c>
      <c r="T1660" s="28">
        <v>213058000</v>
      </c>
      <c r="U1660" s="28"/>
      <c r="V1660" s="28">
        <v>20643486000</v>
      </c>
      <c r="W1660" s="28">
        <v>2173914000</v>
      </c>
      <c r="X1660" s="28">
        <v>129498000</v>
      </c>
      <c r="Y1660" s="28">
        <v>25640275000</v>
      </c>
      <c r="Z1660" s="28">
        <v>529837000</v>
      </c>
      <c r="AA1660" s="28">
        <v>495400000</v>
      </c>
      <c r="AB1660" s="28">
        <v>14968000</v>
      </c>
      <c r="AC1660" s="28">
        <v>24603454000</v>
      </c>
      <c r="AD1660" s="28">
        <v>529847000</v>
      </c>
      <c r="AE1660" s="28">
        <v>21853387000</v>
      </c>
      <c r="AF1660" s="28">
        <v>2231110000</v>
      </c>
      <c r="AG1660" s="11"/>
    </row>
    <row r="1661">
      <c r="A1661" s="7" t="s">
        <v>3368</v>
      </c>
      <c r="B1661" s="5" t="s">
        <v>11355</v>
      </c>
      <c r="C1661" s="5" t="s">
        <v>19214</v>
      </c>
      <c r="D1661" s="5" t="str">
        <v>721000749428</v>
      </c>
      <c r="E1661" s="0" t="e">
        <f>+7 (346) 7374818
+7 (3467) 374832
+7 (3467) 375203
+7 (3467) 375294
+7 (932) 3221021</f>
        <v>#NAME?</v>
      </c>
      <c r="F1661" s="5" t="s">
        <v>30351</v>
      </c>
      <c r="G1661" s="5" t="s">
        <v>30352</v>
      </c>
      <c r="H1661" s="26">
        <v>8</v>
      </c>
      <c r="I1661" s="5" t="s">
        <v>30353</v>
      </c>
      <c r="J1661" s="5" t="s">
        <v>30354</v>
      </c>
      <c r="K1661" s="5" t="s">
        <v>355</v>
      </c>
      <c r="L1661" s="5" t="s">
        <v>30355</v>
      </c>
      <c r="M1661" s="27">
        <v>838106865</v>
      </c>
      <c r="N1661" s="5" t="s">
        <v>51949</v>
      </c>
      <c r="O1661" s="5" t="str">
        <v>8618002005</v>
      </c>
      <c r="P1661" s="27">
        <v>200000</v>
      </c>
      <c r="Q1661" s="5" t="s">
        <v>51951</v>
      </c>
      <c r="R1661" s="5" t="s">
        <v>51952</v>
      </c>
      <c r="S1661" s="5" t="s">
        <v>51953</v>
      </c>
      <c r="T1661" s="28">
        <v>1090437000</v>
      </c>
      <c r="U1661" s="28"/>
      <c r="V1661" s="28">
        <v>357279000</v>
      </c>
      <c r="W1661" s="28"/>
      <c r="X1661" s="28">
        <v>4856000</v>
      </c>
      <c r="Y1661" s="28">
        <v>5529737000</v>
      </c>
      <c r="Z1661" s="28">
        <v>893048000</v>
      </c>
      <c r="AA1661" s="28">
        <v>524959000</v>
      </c>
      <c r="AB1661" s="28">
        <v>64380000</v>
      </c>
      <c r="AC1661" s="28">
        <v>3029065000</v>
      </c>
      <c r="AD1661" s="28">
        <v>893248000</v>
      </c>
      <c r="AE1661" s="28">
        <v>3637806000</v>
      </c>
      <c r="AF1661" s="28">
        <v>25729000</v>
      </c>
      <c r="AG1661" s="11"/>
    </row>
    <row r="1662">
      <c r="A1662" s="7" t="s">
        <v>3368</v>
      </c>
      <c r="B1662" s="5" t="s">
        <v>11356</v>
      </c>
      <c r="C1662" s="5" t="s">
        <v>19215</v>
      </c>
      <c r="D1662" s="5" t="str">
        <v>222209397945</v>
      </c>
      <c r="E1662" s="0" t="e">
        <f>+7 (385) 2455154
+7 (38553) 20981
+7 (38553) 21102
+7 (38553) 21274
+7 (38553) 22574
+7 (38553) 22594
+7 (38553) 22774</f>
        <v>#NAME?</v>
      </c>
      <c r="F1662" s="5"/>
      <c r="G1662" s="5"/>
      <c r="H1662" s="26">
        <v>16.5</v>
      </c>
      <c r="I1662" s="5" t="s">
        <v>30356</v>
      </c>
      <c r="J1662" s="5" t="s">
        <v>25986</v>
      </c>
      <c r="K1662" s="5" t="s">
        <v>344</v>
      </c>
      <c r="L1662" s="5" t="s">
        <v>30357</v>
      </c>
      <c r="M1662" s="27"/>
      <c r="N1662" s="5" t="s">
        <v>51954</v>
      </c>
      <c r="O1662" s="5" t="str">
        <v>2222057844</v>
      </c>
      <c r="P1662" s="27">
        <v>10000</v>
      </c>
      <c r="Q1662" s="5" t="s">
        <v>49579</v>
      </c>
      <c r="R1662" s="5"/>
      <c r="S1662" s="5" t="s">
        <v>51955</v>
      </c>
      <c r="T1662" s="28">
        <v>29186000</v>
      </c>
      <c r="U1662" s="28"/>
      <c r="V1662" s="28">
        <v>147395000</v>
      </c>
      <c r="W1662" s="28"/>
      <c r="X1662" s="28">
        <v>51183000</v>
      </c>
      <c r="Y1662" s="28">
        <v>338965000</v>
      </c>
      <c r="Z1662" s="28">
        <v>135629000</v>
      </c>
      <c r="AA1662" s="28">
        <v>108591000</v>
      </c>
      <c r="AB1662" s="28"/>
      <c r="AC1662" s="28">
        <v>94735000</v>
      </c>
      <c r="AD1662" s="28">
        <v>135639000</v>
      </c>
      <c r="AE1662" s="28">
        <v>4440462000</v>
      </c>
      <c r="AF1662" s="28">
        <v>51609000</v>
      </c>
      <c r="AG1662" s="11"/>
    </row>
    <row r="1663">
      <c r="A1663" s="7" t="s">
        <v>3368</v>
      </c>
      <c r="B1663" s="5" t="s">
        <v>11357</v>
      </c>
      <c r="C1663" s="5" t="s">
        <v>19216</v>
      </c>
      <c r="D1663" s="5" t="str">
        <v>665807280159</v>
      </c>
      <c r="E1663" s="0" t="e">
        <f>+7 (343) 2372903
+7 (343) 3505029
+7 (343) 3505301
+7 (3432) 697466
+7 (3433) 697466
+7 (3433) 805029</f>
        <v>#NAME?</v>
      </c>
      <c r="F1663" s="5" t="s">
        <v>30358</v>
      </c>
      <c r="G1663" s="5" t="s">
        <v>30359</v>
      </c>
      <c r="H1663" s="26">
        <v>31.5</v>
      </c>
      <c r="I1663" s="5" t="s">
        <v>30360</v>
      </c>
      <c r="J1663" s="5" t="s">
        <v>30361</v>
      </c>
      <c r="K1663" s="5" t="s">
        <v>344</v>
      </c>
      <c r="L1663" s="5" t="s">
        <v>30362</v>
      </c>
      <c r="M1663" s="27"/>
      <c r="N1663" s="5" t="s">
        <v>51956</v>
      </c>
      <c r="O1663" s="5" t="str">
        <v>6662001293</v>
      </c>
      <c r="P1663" s="27">
        <v>3200000</v>
      </c>
      <c r="Q1663" s="5" t="s">
        <v>51957</v>
      </c>
      <c r="R1663" s="5"/>
      <c r="S1663" s="5" t="s">
        <v>51958</v>
      </c>
      <c r="T1663" s="28">
        <v>433989000</v>
      </c>
      <c r="U1663" s="28">
        <v>99421000</v>
      </c>
      <c r="V1663" s="28">
        <v>1274981000</v>
      </c>
      <c r="W1663" s="28"/>
      <c r="X1663" s="28">
        <v>114815000</v>
      </c>
      <c r="Y1663" s="28">
        <v>2041237000</v>
      </c>
      <c r="Z1663" s="28">
        <v>1645706000</v>
      </c>
      <c r="AA1663" s="28"/>
      <c r="AB1663" s="28"/>
      <c r="AC1663" s="28">
        <v>398443000</v>
      </c>
      <c r="AD1663" s="28">
        <v>1642794000</v>
      </c>
      <c r="AE1663" s="28">
        <v>4489676000</v>
      </c>
      <c r="AF1663" s="28">
        <v>703786000</v>
      </c>
      <c r="AG1663" s="11"/>
    </row>
    <row r="1664">
      <c r="A1664" s="7" t="s">
        <v>3369</v>
      </c>
      <c r="B1664" s="5" t="s">
        <v>11358</v>
      </c>
      <c r="C1664" s="5" t="s">
        <v>19217</v>
      </c>
      <c r="D1664" s="5" t="str">
        <v>781019752670</v>
      </c>
      <c r="E1664" s="0" t="e">
        <f>+7 (495) 6237918
+7 (495) 6629469
+7 (495) 6629493
+7 (499) 9170385
+7 (812) 4494781</f>
        <v>#NAME?</v>
      </c>
      <c r="F1664" s="5" t="s">
        <v>30363</v>
      </c>
      <c r="G1664" s="5"/>
      <c r="H1664" s="26">
        <v>16</v>
      </c>
      <c r="I1664" s="5" t="s">
        <v>30364</v>
      </c>
      <c r="J1664" s="5" t="s">
        <v>890</v>
      </c>
      <c r="K1664" s="5" t="s">
        <v>355</v>
      </c>
      <c r="L1664" s="5"/>
      <c r="M1664" s="27">
        <v>726833208</v>
      </c>
      <c r="N1664" s="5" t="s">
        <v>51959</v>
      </c>
      <c r="O1664" s="5" t="str">
        <v>7703619541</v>
      </c>
      <c r="P1664" s="27">
        <v>4320000</v>
      </c>
      <c r="Q1664" s="5" t="s">
        <v>51960</v>
      </c>
      <c r="R1664" s="5" t="s">
        <v>51961</v>
      </c>
      <c r="S1664" s="5" t="s">
        <v>51962</v>
      </c>
      <c r="T1664" s="28">
        <v>109365000</v>
      </c>
      <c r="U1664" s="28">
        <v>50000</v>
      </c>
      <c r="V1664" s="28">
        <v>26541862000</v>
      </c>
      <c r="W1664" s="28">
        <v>2170977000</v>
      </c>
      <c r="X1664" s="28">
        <v>376425000</v>
      </c>
      <c r="Y1664" s="28">
        <v>33115219000</v>
      </c>
      <c r="Z1664" s="28">
        <v>104221000</v>
      </c>
      <c r="AA1664" s="28"/>
      <c r="AB1664" s="28"/>
      <c r="AC1664" s="28">
        <v>28036482000</v>
      </c>
      <c r="AD1664" s="28">
        <v>5045023000</v>
      </c>
      <c r="AE1664" s="28">
        <v>16986486000</v>
      </c>
      <c r="AF1664" s="28">
        <v>291000</v>
      </c>
      <c r="AG1664" s="11"/>
    </row>
    <row r="1665">
      <c r="A1665" s="7" t="s">
        <v>3370</v>
      </c>
      <c r="B1665" s="5" t="s">
        <v>11359</v>
      </c>
      <c r="C1665" s="5" t="s">
        <v>19218</v>
      </c>
      <c r="D1665" s="5" t="str">
        <v>772773032744</v>
      </c>
      <c r="E1665" s="0" t="e">
        <f>+7 (912) 6378886
+7 (343) 3449549
+7 (343) 3449567
+7 (343) 3449921
+7 (384) 2452364
+7 (391) 2906041</f>
        <v>#NAME?</v>
      </c>
      <c r="F1665" s="5" t="s">
        <v>30365</v>
      </c>
      <c r="G1665" s="5" t="s">
        <v>30366</v>
      </c>
      <c r="H1665" s="26">
        <v>13.5</v>
      </c>
      <c r="I1665" s="5" t="s">
        <v>30367</v>
      </c>
      <c r="J1665" s="5" t="s">
        <v>25446</v>
      </c>
      <c r="K1665" s="5" t="s">
        <v>344</v>
      </c>
      <c r="L1665" s="5" t="s">
        <v>30368</v>
      </c>
      <c r="M1665" s="27"/>
      <c r="N1665" s="5" t="s">
        <v>51963</v>
      </c>
      <c r="O1665" s="5" t="str">
        <v>6671293363</v>
      </c>
      <c r="P1665" s="27">
        <v>50000</v>
      </c>
      <c r="Q1665" s="5" t="s">
        <v>51964</v>
      </c>
      <c r="R1665" s="5"/>
      <c r="S1665" s="5" t="s">
        <v>51914</v>
      </c>
      <c r="T1665" s="28">
        <v>99392000</v>
      </c>
      <c r="U1665" s="28"/>
      <c r="V1665" s="28">
        <v>1173719000</v>
      </c>
      <c r="W1665" s="28">
        <v>32305000</v>
      </c>
      <c r="X1665" s="28">
        <v>853299000</v>
      </c>
      <c r="Y1665" s="28">
        <v>3053023000</v>
      </c>
      <c r="Z1665" s="28">
        <v>1042725000</v>
      </c>
      <c r="AA1665" s="28">
        <v>193221000</v>
      </c>
      <c r="AB1665" s="28">
        <v>62330000</v>
      </c>
      <c r="AC1665" s="28">
        <v>1735737000</v>
      </c>
      <c r="AD1665" s="28">
        <v>1042775000</v>
      </c>
      <c r="AE1665" s="28">
        <v>6058906000</v>
      </c>
      <c r="AF1665" s="28">
        <v>243607000</v>
      </c>
      <c r="AG1665" s="11"/>
    </row>
    <row r="1666">
      <c r="A1666" s="7" t="s">
        <v>3371</v>
      </c>
      <c r="B1666" s="5" t="s">
        <v>11360</v>
      </c>
      <c r="C1666" s="5" t="s">
        <v>19219</v>
      </c>
      <c r="D1666" s="5" t="str">
        <v>421707602301</v>
      </c>
      <c r="E1666" s="0" t="e">
        <f>+7 (385) 2457896
+7 (385) 2554878
+7 (388) 2222810
+7 (388) 2228108
+7 (388) 2228201
+7 (903) 9197834
+7 (3854) 328867
+7 (388) 2222801
+7 (388) 2228101
+7 (388) 2228102
+7 (388) 2228103
+7 (388) 2228104
+7 (388) 2251113
+7 (903) 9199834
+7 (923) 6437570</f>
        <v>#NAME?</v>
      </c>
      <c r="F1666" s="5" t="s">
        <v>30369</v>
      </c>
      <c r="G1666" s="5" t="s">
        <v>30370</v>
      </c>
      <c r="H1666" s="26">
        <v>13.5</v>
      </c>
      <c r="I1666" s="5" t="s">
        <v>30371</v>
      </c>
      <c r="J1666" s="5" t="s">
        <v>27115</v>
      </c>
      <c r="K1666" s="5" t="s">
        <v>344</v>
      </c>
      <c r="L1666" s="5"/>
      <c r="M1666" s="27">
        <v>5000000</v>
      </c>
      <c r="N1666" s="5" t="s">
        <v>51965</v>
      </c>
      <c r="O1666" s="5" t="str">
        <v>0411145965</v>
      </c>
      <c r="P1666" s="27">
        <v>5654000</v>
      </c>
      <c r="Q1666" s="5" t="s">
        <v>51966</v>
      </c>
      <c r="R1666" s="5"/>
      <c r="S1666" s="5" t="s">
        <v>49504</v>
      </c>
      <c r="T1666" s="28">
        <v>32644000</v>
      </c>
      <c r="U1666" s="28"/>
      <c r="V1666" s="28">
        <v>298979000</v>
      </c>
      <c r="W1666" s="28"/>
      <c r="X1666" s="28">
        <v>37647000</v>
      </c>
      <c r="Y1666" s="28">
        <v>571028000</v>
      </c>
      <c r="Z1666" s="28">
        <v>421348000</v>
      </c>
      <c r="AA1666" s="28"/>
      <c r="AB1666" s="28"/>
      <c r="AC1666" s="28">
        <v>143159000</v>
      </c>
      <c r="AD1666" s="28">
        <v>427002000</v>
      </c>
      <c r="AE1666" s="28">
        <v>4780198000</v>
      </c>
      <c r="AF1666" s="28">
        <v>317375000</v>
      </c>
      <c r="AG1666" s="11"/>
    </row>
    <row r="1667">
      <c r="A1667" s="7" t="s">
        <v>3372</v>
      </c>
      <c r="B1667" s="5" t="s">
        <v>11361</v>
      </c>
      <c r="C1667" s="5" t="s">
        <v>19220</v>
      </c>
      <c r="D1667" s="5" t="str">
        <v>560705793382</v>
      </c>
      <c r="E1667" s="0" t="e">
        <f>+7 (932) 8480881
+7 (34269) 22028
+7 (34269) 37118
+7 (34269) 37235
+7 (34269) 37304
+7 (34269) 37355
+7 (34269) 37380
+7 (34269) 41133
+7 (34269) 42028
+7 (34269) 42541</f>
        <v>#NAME?</v>
      </c>
      <c r="F1667" s="5" t="s">
        <v>30372</v>
      </c>
      <c r="G1667" s="5" t="s">
        <v>30373</v>
      </c>
      <c r="H1667" s="26">
        <v>30.5</v>
      </c>
      <c r="I1667" s="5" t="s">
        <v>30374</v>
      </c>
      <c r="J1667" s="5" t="s">
        <v>26407</v>
      </c>
      <c r="K1667" s="5" t="s">
        <v>344</v>
      </c>
      <c r="L1667" s="5" t="s">
        <v>30375</v>
      </c>
      <c r="M1667" s="27">
        <v>82379143</v>
      </c>
      <c r="N1667" s="5" t="s">
        <v>51967</v>
      </c>
      <c r="O1667" s="5" t="str">
        <v>5918218070</v>
      </c>
      <c r="P1667" s="27">
        <v>77505</v>
      </c>
      <c r="Q1667" s="5" t="s">
        <v>49059</v>
      </c>
      <c r="R1667" s="5" t="s">
        <v>51413</v>
      </c>
      <c r="S1667" s="5" t="s">
        <v>50019</v>
      </c>
      <c r="T1667" s="28">
        <v>4504423000</v>
      </c>
      <c r="U1667" s="28">
        <v>4414000</v>
      </c>
      <c r="V1667" s="28">
        <v>415403000</v>
      </c>
      <c r="W1667" s="28"/>
      <c r="X1667" s="28">
        <v>446408000</v>
      </c>
      <c r="Y1667" s="28">
        <v>7025064000</v>
      </c>
      <c r="Z1667" s="28">
        <v>2972254000</v>
      </c>
      <c r="AA1667" s="28"/>
      <c r="AB1667" s="28"/>
      <c r="AC1667" s="28">
        <v>1607719000</v>
      </c>
      <c r="AD1667" s="28">
        <v>3142159000</v>
      </c>
      <c r="AE1667" s="28">
        <v>9447699000</v>
      </c>
      <c r="AF1667" s="28">
        <v>1632416000</v>
      </c>
      <c r="AG1667" s="11"/>
    </row>
    <row r="1668">
      <c r="A1668" s="7" t="s">
        <v>3373</v>
      </c>
      <c r="B1668" s="5" t="s">
        <v>11362</v>
      </c>
      <c r="C1668" s="5" t="s">
        <v>19221</v>
      </c>
      <c r="D1668" s="5" t="str">
        <v>280102481500</v>
      </c>
      <c r="E1668" s="0" t="e">
        <f>+7 (42436) 61003
+7 (42436) 61011
+7 (42436) 61013
+7 (42436) 61556
+7 (42436) 61715
+7 (42436) 65274
+7 (42436) 65277
+7 (42436) 65287
+7 (42436) 65679
+7 (42436) 94327
+7 (42452) 43033</f>
        <v>#NAME?</v>
      </c>
      <c r="F1668" s="5" t="s">
        <v>30376</v>
      </c>
      <c r="G1668" s="5"/>
      <c r="H1668" s="26">
        <v>21</v>
      </c>
      <c r="I1668" s="5" t="s">
        <v>30377</v>
      </c>
      <c r="J1668" s="5" t="s">
        <v>26939</v>
      </c>
      <c r="K1668" s="5" t="s">
        <v>344</v>
      </c>
      <c r="L1668" s="5"/>
      <c r="M1668" s="27">
        <v>23877808</v>
      </c>
      <c r="N1668" s="5" t="s">
        <v>51968</v>
      </c>
      <c r="O1668" s="5" t="str">
        <v>6505009711</v>
      </c>
      <c r="P1668" s="27">
        <v>420410000</v>
      </c>
      <c r="Q1668" s="5" t="s">
        <v>51969</v>
      </c>
      <c r="R1668" s="5"/>
      <c r="S1668" s="5" t="s">
        <v>49227</v>
      </c>
      <c r="T1668" s="28">
        <v>2347671000</v>
      </c>
      <c r="U1668" s="28"/>
      <c r="V1668" s="28">
        <v>954772000</v>
      </c>
      <c r="W1668" s="28">
        <v>1578351000</v>
      </c>
      <c r="X1668" s="28">
        <v>80299000</v>
      </c>
      <c r="Y1668" s="28">
        <v>6767053000</v>
      </c>
      <c r="Z1668" s="28">
        <v>3193626000</v>
      </c>
      <c r="AA1668" s="28">
        <v>1514165000</v>
      </c>
      <c r="AB1668" s="28">
        <v>92000</v>
      </c>
      <c r="AC1668" s="28">
        <v>1377801000</v>
      </c>
      <c r="AD1668" s="28">
        <v>3614036000</v>
      </c>
      <c r="AE1668" s="28">
        <v>8887806000</v>
      </c>
      <c r="AF1668" s="28">
        <v>179859000</v>
      </c>
      <c r="AG1668" s="11"/>
    </row>
    <row r="1669">
      <c r="A1669" s="7" t="s">
        <v>3374</v>
      </c>
      <c r="B1669" s="5" t="s">
        <v>11363</v>
      </c>
      <c r="C1669" s="5" t="s">
        <v>19222</v>
      </c>
      <c r="D1669" s="5" t="str">
        <v>502100081748</v>
      </c>
      <c r="F1669" s="5"/>
      <c r="G1669" s="5"/>
      <c r="H1669" s="26">
        <v>5.5</v>
      </c>
      <c r="I1669" s="5" t="s">
        <v>30378</v>
      </c>
      <c r="J1669" s="5" t="s">
        <v>25332</v>
      </c>
      <c r="K1669" s="5" t="s">
        <v>344</v>
      </c>
      <c r="L1669" s="5" t="s">
        <v>30379</v>
      </c>
      <c r="M1669" s="27"/>
      <c r="N1669" s="5" t="s">
        <v>51970</v>
      </c>
      <c r="O1669" s="5" t="str">
        <v>9721049400</v>
      </c>
      <c r="P1669" s="27">
        <v>10000000</v>
      </c>
      <c r="Q1669" s="5" t="s">
        <v>49059</v>
      </c>
      <c r="R1669" s="5"/>
      <c r="S1669" s="5" t="s">
        <v>49371</v>
      </c>
      <c r="T1669" s="28">
        <v>816000</v>
      </c>
      <c r="U1669" s="28"/>
      <c r="V1669" s="28">
        <v>736583000</v>
      </c>
      <c r="W1669" s="28"/>
      <c r="X1669" s="28">
        <v>24113000</v>
      </c>
      <c r="Y1669" s="28">
        <v>1282497000</v>
      </c>
      <c r="Z1669" s="28">
        <v>109844000</v>
      </c>
      <c r="AA1669" s="28"/>
      <c r="AB1669" s="28">
        <v>394254000</v>
      </c>
      <c r="AC1669" s="28">
        <v>1144141000</v>
      </c>
      <c r="AD1669" s="28">
        <v>138356000</v>
      </c>
      <c r="AE1669" s="28">
        <v>3578886000</v>
      </c>
      <c r="AF1669" s="28">
        <v>25492000</v>
      </c>
      <c r="AG1669" s="11"/>
    </row>
    <row r="1670">
      <c r="A1670" s="7" t="s">
        <v>579</v>
      </c>
      <c r="B1670" s="5" t="s">
        <v>580</v>
      </c>
      <c r="C1670" s="5" t="s">
        <v>581</v>
      </c>
      <c r="D1670" s="5" t="str">
        <v>732701081401</v>
      </c>
      <c r="E1670" s="0" t="e">
        <f>+7 (473) 2584265
+7 (800) 2222811
+7 (8422) 249242
+7 (8422) 334554
+7 (8422) 335335
+7 (8422) 335455
+7 (8422) 665445
+7 (844) 2277677
+7 (844) 2335445
+7 (902) 51033
+7 (903) 3800325
+7 (920) 51033
+7 (8422) 214363
+7 (844) 2249249
+7 (903) 3380325</f>
        <v>#NAME?</v>
      </c>
      <c r="F1670" s="5" t="s">
        <v>583</v>
      </c>
      <c r="G1670" s="5"/>
      <c r="H1670" s="26">
        <v>11.5</v>
      </c>
      <c r="I1670" s="5" t="s">
        <v>584</v>
      </c>
      <c r="J1670" s="5" t="s">
        <v>585</v>
      </c>
      <c r="K1670" s="5" t="s">
        <v>344</v>
      </c>
      <c r="L1670" s="5" t="s">
        <v>586</v>
      </c>
      <c r="M1670" s="27">
        <v>515462</v>
      </c>
      <c r="N1670" s="5" t="s">
        <v>51971</v>
      </c>
      <c r="O1670" s="5" t="str">
        <v>7325107253</v>
      </c>
      <c r="P1670" s="27">
        <v>10000</v>
      </c>
      <c r="Q1670" s="5" t="s">
        <v>51973</v>
      </c>
      <c r="R1670" s="5" t="s">
        <v>51974</v>
      </c>
      <c r="S1670" s="5" t="s">
        <v>51975</v>
      </c>
      <c r="T1670" s="28">
        <v>4874000</v>
      </c>
      <c r="U1670" s="28"/>
      <c r="V1670" s="28">
        <v>225749000</v>
      </c>
      <c r="W1670" s="28">
        <v>465450000</v>
      </c>
      <c r="X1670" s="28">
        <v>32072000</v>
      </c>
      <c r="Y1670" s="28">
        <v>917345000</v>
      </c>
      <c r="Z1670" s="28">
        <v>217873000</v>
      </c>
      <c r="AA1670" s="28">
        <v>268256000</v>
      </c>
      <c r="AB1670" s="28">
        <v>2229000</v>
      </c>
      <c r="AC1670" s="28">
        <v>430331000</v>
      </c>
      <c r="AD1670" s="28">
        <v>217883000</v>
      </c>
      <c r="AE1670" s="28">
        <v>3364686000</v>
      </c>
      <c r="AF1670" s="28">
        <v>155169000</v>
      </c>
      <c r="AG1670" s="11"/>
    </row>
    <row r="1671">
      <c r="A1671" s="7" t="s">
        <v>3375</v>
      </c>
      <c r="B1671" s="5" t="s">
        <v>11364</v>
      </c>
      <c r="C1671" s="5" t="s">
        <v>19223</v>
      </c>
      <c r="D1671" s="5" t="str">
        <v>772166286062</v>
      </c>
      <c r="E1671" s="0" t="e">
        <f>+7 (495) 9173752
+7 (985) 7637239</f>
        <v>#NAME?</v>
      </c>
      <c r="F1671" s="5" t="s">
        <v>30380</v>
      </c>
      <c r="G1671" s="5" t="s">
        <v>30381</v>
      </c>
      <c r="H1671" s="26">
        <v>10.5</v>
      </c>
      <c r="I1671" s="5"/>
      <c r="J1671" s="5" t="s">
        <v>364</v>
      </c>
      <c r="K1671" s="5" t="s">
        <v>344</v>
      </c>
      <c r="L1671" s="5" t="s">
        <v>30382</v>
      </c>
      <c r="M1671" s="27">
        <v>67684187</v>
      </c>
      <c r="N1671" s="5" t="s">
        <v>51976</v>
      </c>
      <c r="O1671" s="5" t="str">
        <v>7715929481</v>
      </c>
      <c r="P1671" s="27">
        <v>3000000</v>
      </c>
      <c r="Q1671" s="5" t="s">
        <v>50437</v>
      </c>
      <c r="R1671" s="5" t="s">
        <v>51977</v>
      </c>
      <c r="S1671" s="5" t="s">
        <v>51978</v>
      </c>
      <c r="T1671" s="28">
        <v>167339000</v>
      </c>
      <c r="U1671" s="28"/>
      <c r="V1671" s="28">
        <v>1368633000</v>
      </c>
      <c r="W1671" s="28">
        <v>46239000</v>
      </c>
      <c r="X1671" s="28">
        <v>194633000</v>
      </c>
      <c r="Y1671" s="28">
        <v>2693192000</v>
      </c>
      <c r="Z1671" s="28">
        <v>42850000</v>
      </c>
      <c r="AA1671" s="28"/>
      <c r="AB1671" s="28">
        <v>31596000</v>
      </c>
      <c r="AC1671" s="28">
        <v>2636391000</v>
      </c>
      <c r="AD1671" s="28">
        <v>45850000</v>
      </c>
      <c r="AE1671" s="28">
        <v>7117272000</v>
      </c>
      <c r="AF1671" s="28">
        <v>38495000</v>
      </c>
      <c r="AG1671" s="11"/>
    </row>
    <row r="1672">
      <c r="A1672" s="7" t="s">
        <v>3376</v>
      </c>
      <c r="B1672" s="5" t="s">
        <v>11365</v>
      </c>
      <c r="C1672" s="5" t="s">
        <v>19224</v>
      </c>
      <c r="D1672" s="5" t="str">
        <v>524800795007</v>
      </c>
      <c r="E1672" s="0" t="e">
        <f>+7 (831) 6124558
+7 (831) 6124647
+7 (83161) 90263
+7 (83161) 90584
+7 (83161) 90647
+7 (83161) 90654
+7 (83161) 90746
+7 (83161) 90754
+7 (83161) 90854
+7 (83161) 99335
+7 (83161) 99605</f>
        <v>#NAME?</v>
      </c>
      <c r="F1672" s="5" t="s">
        <v>30383</v>
      </c>
      <c r="G1672" s="5" t="s">
        <v>30384</v>
      </c>
      <c r="H1672" s="26">
        <v>30.5</v>
      </c>
      <c r="I1672" s="5"/>
      <c r="J1672" s="5" t="s">
        <v>25231</v>
      </c>
      <c r="K1672" s="5" t="s">
        <v>344</v>
      </c>
      <c r="L1672" s="5" t="s">
        <v>30385</v>
      </c>
      <c r="M1672" s="27"/>
      <c r="N1672" s="5" t="s">
        <v>51979</v>
      </c>
      <c r="O1672" s="5" t="str">
        <v>5248002228</v>
      </c>
      <c r="P1672" s="27">
        <v>1990</v>
      </c>
      <c r="Q1672" s="5" t="s">
        <v>49059</v>
      </c>
      <c r="R1672" s="5"/>
      <c r="S1672" s="5" t="s">
        <v>49425</v>
      </c>
      <c r="T1672" s="28">
        <v>449273000</v>
      </c>
      <c r="U1672" s="28"/>
      <c r="V1672" s="28">
        <v>86986000</v>
      </c>
      <c r="W1672" s="28">
        <v>1529030000</v>
      </c>
      <c r="X1672" s="28">
        <v>8192000</v>
      </c>
      <c r="Y1672" s="28">
        <v>2261623000</v>
      </c>
      <c r="Z1672" s="28">
        <v>2203708000</v>
      </c>
      <c r="AA1672" s="28"/>
      <c r="AB1672" s="28"/>
      <c r="AC1672" s="28">
        <v>57906000</v>
      </c>
      <c r="AD1672" s="28">
        <v>2203710000</v>
      </c>
      <c r="AE1672" s="28">
        <v>3759971000</v>
      </c>
      <c r="AF1672" s="28">
        <v>291829000</v>
      </c>
      <c r="AG1672" s="11"/>
    </row>
    <row r="1673">
      <c r="A1673" s="7" t="s">
        <v>3377</v>
      </c>
      <c r="B1673" s="5" t="s">
        <v>11366</v>
      </c>
      <c r="C1673" s="5" t="s">
        <v>19225</v>
      </c>
      <c r="D1673" s="5" t="str">
        <v>772974625543</v>
      </c>
      <c r="E1673" s="0" t="e">
        <f>+7 (495) 2230200
+7 (495) 5043449
+7 (495) 5043477
+7 (495) 5043478
+7 (495) 5043487
+7 (495) 9376907
+7 (800) 7001911
+7 (800) 7003487
+7 (903) 7460196</f>
        <v>#NAME?</v>
      </c>
      <c r="F1673" s="5" t="s">
        <v>30386</v>
      </c>
      <c r="G1673" s="5" t="s">
        <v>30387</v>
      </c>
      <c r="H1673" s="26">
        <v>20.5</v>
      </c>
      <c r="I1673" s="5" t="s">
        <v>30388</v>
      </c>
      <c r="J1673" s="5" t="s">
        <v>25853</v>
      </c>
      <c r="K1673" s="5" t="s">
        <v>380</v>
      </c>
      <c r="L1673" s="5"/>
      <c r="M1673" s="27">
        <v>410460</v>
      </c>
      <c r="N1673" s="5" t="s">
        <v>51980</v>
      </c>
      <c r="O1673" s="5" t="str">
        <v>7705466989</v>
      </c>
      <c r="P1673" s="27">
        <v>310000000</v>
      </c>
      <c r="Q1673" s="5" t="s">
        <v>49021</v>
      </c>
      <c r="R1673" s="5"/>
      <c r="S1673" s="5" t="s">
        <v>51981</v>
      </c>
      <c r="T1673" s="28">
        <v>27884807000</v>
      </c>
      <c r="U1673" s="28">
        <v>3849375000</v>
      </c>
      <c r="V1673" s="28">
        <v>4878298000</v>
      </c>
      <c r="W1673" s="28">
        <v>550846000</v>
      </c>
      <c r="X1673" s="28">
        <v>1584614000</v>
      </c>
      <c r="Y1673" s="28">
        <v>48099843000</v>
      </c>
      <c r="Z1673" s="28">
        <v>4119610000</v>
      </c>
      <c r="AA1673" s="28"/>
      <c r="AB1673" s="28">
        <v>11223994000</v>
      </c>
      <c r="AC1673" s="28">
        <v>20989274000</v>
      </c>
      <c r="AD1673" s="28">
        <v>4429610000</v>
      </c>
      <c r="AE1673" s="28">
        <v>77839101000</v>
      </c>
      <c r="AF1673" s="28">
        <v>-952949000</v>
      </c>
      <c r="AG1673" s="11"/>
    </row>
    <row r="1674">
      <c r="A1674" s="7" t="s">
        <v>3378</v>
      </c>
      <c r="B1674" s="5" t="s">
        <v>11367</v>
      </c>
      <c r="C1674" s="5" t="s">
        <v>19226</v>
      </c>
      <c r="D1674" s="5" t="str">
        <v>667105613202</v>
      </c>
      <c r="E1674" s="0" t="e">
        <f>+7 (343) 2575379
+7 (343) 2512851
+7 (343) 2707594
+7 (343) 2715783
+7 (3432) 573606
+7 (3433) 707594
+7 (3433) 715783
+7 (950) 5556150</f>
        <v>#NAME?</v>
      </c>
      <c r="F1674" s="5" t="s">
        <v>30389</v>
      </c>
      <c r="G1674" s="5" t="s">
        <v>30390</v>
      </c>
      <c r="H1674" s="26">
        <v>29.5</v>
      </c>
      <c r="I1674" s="5" t="s">
        <v>30391</v>
      </c>
      <c r="J1674" s="5" t="s">
        <v>27776</v>
      </c>
      <c r="K1674" s="5" t="s">
        <v>344</v>
      </c>
      <c r="L1674" s="5"/>
      <c r="M1674" s="27">
        <v>80279452</v>
      </c>
      <c r="N1674" s="5" t="s">
        <v>51982</v>
      </c>
      <c r="O1674" s="5" t="str">
        <v>6608002732</v>
      </c>
      <c r="P1674" s="27">
        <v>214119208</v>
      </c>
      <c r="Q1674" s="5" t="s">
        <v>51983</v>
      </c>
      <c r="R1674" s="5"/>
      <c r="S1674" s="5" t="s">
        <v>51984</v>
      </c>
      <c r="T1674" s="28">
        <v>1817450000</v>
      </c>
      <c r="U1674" s="28">
        <v>1124000</v>
      </c>
      <c r="V1674" s="28">
        <v>146428000</v>
      </c>
      <c r="W1674" s="28"/>
      <c r="X1674" s="28">
        <v>17089000</v>
      </c>
      <c r="Y1674" s="28">
        <v>2781380000</v>
      </c>
      <c r="Z1674" s="28">
        <v>-617181000</v>
      </c>
      <c r="AA1674" s="28">
        <v>269150000</v>
      </c>
      <c r="AB1674" s="28">
        <v>44850000</v>
      </c>
      <c r="AC1674" s="28">
        <v>955283000</v>
      </c>
      <c r="AD1674" s="28">
        <v>953586000</v>
      </c>
      <c r="AE1674" s="28">
        <v>4641254000</v>
      </c>
      <c r="AF1674" s="28">
        <v>-237032000</v>
      </c>
      <c r="AG1674" s="11"/>
    </row>
    <row r="1675">
      <c r="A1675" s="7" t="s">
        <v>3379</v>
      </c>
      <c r="B1675" s="5" t="s">
        <v>11368</v>
      </c>
      <c r="C1675" s="5" t="s">
        <v>19227</v>
      </c>
      <c r="D1675" s="5" t="str">
        <v>860309710581</v>
      </c>
      <c r="E1675" s="0" t="e">
        <f>+7 (346) 2247897
+7 (3463) 247839
+7 (3463) 255654
+7 (3466) 247838
+7 (3466) 247939
+7 (3466) 248939
+7 (3466) 249819
+7 (3466) 277839
+7 (3466) 244225
+7 (3466) 247897
+7 (3466) 247907
+7 (3466) 248784
+7 (3466) 249816
+7 (3466) 260778
+7 (3466) 260885</f>
        <v>#NAME?</v>
      </c>
      <c r="F1675" s="5" t="s">
        <v>30392</v>
      </c>
      <c r="G1675" s="5" t="s">
        <v>30393</v>
      </c>
      <c r="H1675" s="26">
        <v>27</v>
      </c>
      <c r="I1675" s="5"/>
      <c r="J1675" s="5" t="s">
        <v>29005</v>
      </c>
      <c r="K1675" s="5" t="s">
        <v>344</v>
      </c>
      <c r="L1675" s="5" t="s">
        <v>30394</v>
      </c>
      <c r="M1675" s="27">
        <v>10200547</v>
      </c>
      <c r="N1675" s="5" t="s">
        <v>51985</v>
      </c>
      <c r="O1675" s="5" t="str">
        <v>8603004190</v>
      </c>
      <c r="P1675" s="27">
        <v>720454579</v>
      </c>
      <c r="Q1675" s="5" t="s">
        <v>51987</v>
      </c>
      <c r="R1675" s="5"/>
      <c r="S1675" s="5" t="s">
        <v>51988</v>
      </c>
      <c r="T1675" s="28">
        <v>13686422000</v>
      </c>
      <c r="U1675" s="28">
        <v>77643000</v>
      </c>
      <c r="V1675" s="28">
        <v>1648388000</v>
      </c>
      <c r="W1675" s="28">
        <v>324000000</v>
      </c>
      <c r="X1675" s="28">
        <v>40512000</v>
      </c>
      <c r="Y1675" s="28">
        <v>16371377000</v>
      </c>
      <c r="Z1675" s="28">
        <v>5131567000</v>
      </c>
      <c r="AA1675" s="28">
        <v>1281000000</v>
      </c>
      <c r="AB1675" s="28">
        <v>768036000</v>
      </c>
      <c r="AC1675" s="28">
        <v>2880050000</v>
      </c>
      <c r="AD1675" s="28">
        <v>8394283000</v>
      </c>
      <c r="AE1675" s="28">
        <v>6497829000</v>
      </c>
      <c r="AF1675" s="28">
        <v>820802000</v>
      </c>
      <c r="AG1675" s="11"/>
    </row>
    <row r="1676">
      <c r="A1676" s="7" t="s">
        <v>3380</v>
      </c>
      <c r="B1676" s="5" t="s">
        <v>11369</v>
      </c>
      <c r="C1676" s="5" t="s">
        <v>19228</v>
      </c>
      <c r="D1676" s="5" t="str">
        <v>631301033399</v>
      </c>
      <c r="E1676" s="0" t="e">
        <f>+7 (345) 2270927
+7 (345) 2799145
+7 (383) 2554677
+7 (383) 2590045
+7 (383) 3280962
+7 (3952) 289008
+7 (343) 2109040
+7 (3652) 605251
+7 (391) 2526857
+7 (401) 2579905
+7 (401) 2579921
+7 (413) 2605613
+7 (41531) 61545
+7 (41531) 73876
+7 (421) 2418443</f>
        <v>#NAME?</v>
      </c>
      <c r="F1676" s="5" t="s">
        <v>30395</v>
      </c>
      <c r="G1676" s="5"/>
      <c r="H1676" s="26">
        <v>26</v>
      </c>
      <c r="I1676" s="5" t="s">
        <v>28630</v>
      </c>
      <c r="J1676" s="5" t="s">
        <v>30396</v>
      </c>
      <c r="K1676" s="5" t="s">
        <v>344</v>
      </c>
      <c r="L1676" s="5"/>
      <c r="M1676" s="27">
        <v>1954440269</v>
      </c>
      <c r="N1676" s="5" t="s">
        <v>51989</v>
      </c>
      <c r="O1676" s="5" t="str">
        <v>7734135124</v>
      </c>
      <c r="P1676" s="27">
        <v>15828670742</v>
      </c>
      <c r="Q1676" s="5" t="s">
        <v>51990</v>
      </c>
      <c r="R1676" s="5"/>
      <c r="S1676" s="5" t="s">
        <v>50475</v>
      </c>
      <c r="T1676" s="28">
        <v>99781239000</v>
      </c>
      <c r="U1676" s="28">
        <v>345704000</v>
      </c>
      <c r="V1676" s="28">
        <v>7517688000</v>
      </c>
      <c r="W1676" s="28"/>
      <c r="X1676" s="28">
        <v>8091578000</v>
      </c>
      <c r="Y1676" s="28">
        <v>139660308000</v>
      </c>
      <c r="Z1676" s="28">
        <v>111485231000</v>
      </c>
      <c r="AA1676" s="28"/>
      <c r="AB1676" s="28"/>
      <c r="AC1676" s="28">
        <v>9784036000</v>
      </c>
      <c r="AD1676" s="28">
        <v>128587017000</v>
      </c>
      <c r="AE1676" s="28">
        <v>51510164000</v>
      </c>
      <c r="AF1676" s="28">
        <v>-25457237000</v>
      </c>
      <c r="AG1676" s="11"/>
    </row>
    <row r="1677">
      <c r="A1677" s="7" t="s">
        <v>3381</v>
      </c>
      <c r="B1677" s="5" t="s">
        <v>11370</v>
      </c>
      <c r="C1677" s="5" t="s">
        <v>19229</v>
      </c>
      <c r="D1677" s="5" t="str">
        <v>770172038709</v>
      </c>
      <c r="E1677" s="0" t="e">
        <f>+7 (495) 6625010
+7 (495) 6625011
+7 (495) 6625016
+7 (812) 6066650</f>
        <v>#NAME?</v>
      </c>
      <c r="F1677" s="5"/>
      <c r="G1677" s="5"/>
      <c r="H1677" s="26">
        <v>11.5</v>
      </c>
      <c r="I1677" s="5" t="s">
        <v>30397</v>
      </c>
      <c r="J1677" s="5" t="s">
        <v>26581</v>
      </c>
      <c r="K1677" s="5" t="s">
        <v>344</v>
      </c>
      <c r="L1677" s="5" t="s">
        <v>30398</v>
      </c>
      <c r="M1677" s="27"/>
      <c r="N1677" s="5"/>
      <c r="O1677" s="5" t="str">
        <v>7714843055</v>
      </c>
      <c r="P1677" s="27">
        <v>90000000</v>
      </c>
      <c r="Q1677" s="5" t="s">
        <v>49009</v>
      </c>
      <c r="R1677" s="5"/>
      <c r="S1677" s="5" t="s">
        <v>49010</v>
      </c>
      <c r="T1677" s="28">
        <v>188500000</v>
      </c>
      <c r="U1677" s="28"/>
      <c r="V1677" s="28">
        <v>548067000</v>
      </c>
      <c r="W1677" s="28">
        <v>146000000</v>
      </c>
      <c r="X1677" s="28">
        <v>37552000</v>
      </c>
      <c r="Y1677" s="28">
        <v>1355073000</v>
      </c>
      <c r="Z1677" s="28">
        <v>570043000</v>
      </c>
      <c r="AA1677" s="28">
        <v>60000000</v>
      </c>
      <c r="AB1677" s="28">
        <v>149811000</v>
      </c>
      <c r="AC1677" s="28">
        <v>476483000</v>
      </c>
      <c r="AD1677" s="28">
        <v>660043000</v>
      </c>
      <c r="AE1677" s="28">
        <v>3155152000</v>
      </c>
      <c r="AF1677" s="28">
        <v>544776000</v>
      </c>
      <c r="AG1677" s="11"/>
    </row>
    <row r="1678">
      <c r="A1678" s="7" t="s">
        <v>3382</v>
      </c>
      <c r="B1678" s="5" t="s">
        <v>11371</v>
      </c>
      <c r="C1678" s="5" t="s">
        <v>19230</v>
      </c>
      <c r="D1678" s="5" t="str">
        <v>161400733020</v>
      </c>
      <c r="F1678" s="5" t="s">
        <v>30399</v>
      </c>
      <c r="G1678" s="5"/>
      <c r="H1678" s="26">
        <v>6</v>
      </c>
      <c r="I1678" s="5" t="s">
        <v>30400</v>
      </c>
      <c r="J1678" s="5" t="s">
        <v>26526</v>
      </c>
      <c r="K1678" s="5" t="s">
        <v>344</v>
      </c>
      <c r="L1678" s="5"/>
      <c r="M1678" s="27"/>
      <c r="N1678" s="5" t="s">
        <v>51991</v>
      </c>
      <c r="O1678" s="5" t="str">
        <v>1617006212</v>
      </c>
      <c r="P1678" s="27">
        <v>335660000</v>
      </c>
      <c r="Q1678" s="5"/>
      <c r="R1678" s="5"/>
      <c r="S1678" s="5" t="s">
        <v>49162</v>
      </c>
      <c r="T1678" s="28">
        <v>281956000</v>
      </c>
      <c r="U1678" s="28">
        <v>705658000</v>
      </c>
      <c r="V1678" s="28">
        <v>957510000</v>
      </c>
      <c r="W1678" s="28">
        <v>16500000</v>
      </c>
      <c r="X1678" s="28">
        <v>459000</v>
      </c>
      <c r="Y1678" s="28">
        <v>2677428000</v>
      </c>
      <c r="Z1678" s="28">
        <v>287224000</v>
      </c>
      <c r="AA1678" s="28"/>
      <c r="AB1678" s="28">
        <v>812453000</v>
      </c>
      <c r="AC1678" s="28">
        <v>1982197000</v>
      </c>
      <c r="AD1678" s="28">
        <v>651874000</v>
      </c>
      <c r="AE1678" s="28">
        <v>4082363000</v>
      </c>
      <c r="AF1678" s="28">
        <v>28125000</v>
      </c>
      <c r="AG1678" s="11"/>
    </row>
    <row r="1679">
      <c r="A1679" s="7" t="s">
        <v>3383</v>
      </c>
      <c r="B1679" s="5" t="s">
        <v>11372</v>
      </c>
      <c r="C1679" s="5" t="s">
        <v>19231</v>
      </c>
      <c r="D1679" s="5" t="str">
        <v>780160812900</v>
      </c>
      <c r="E1679" s="0" t="e">
        <f>+7 (812) 6550310
+7 (812) 6550600
+7 (812) 6550601
+7 (812) 6550606
+7 (812) 6550611
+7 (812) 6550624
+7 (812) 7025432</f>
        <v>#NAME?</v>
      </c>
      <c r="F1679" s="5" t="s">
        <v>30401</v>
      </c>
      <c r="G1679" s="5"/>
      <c r="H1679" s="26">
        <v>16</v>
      </c>
      <c r="I1679" s="5"/>
      <c r="J1679" s="5" t="s">
        <v>27070</v>
      </c>
      <c r="K1679" s="5" t="s">
        <v>344</v>
      </c>
      <c r="L1679" s="5" t="s">
        <v>30402</v>
      </c>
      <c r="M1679" s="27"/>
      <c r="N1679" s="5"/>
      <c r="O1679" s="5" t="str">
        <v>4703099079</v>
      </c>
      <c r="P1679" s="27">
        <v>90700</v>
      </c>
      <c r="Q1679" s="5"/>
      <c r="R1679" s="5" t="s">
        <v>51992</v>
      </c>
      <c r="S1679" s="5" t="s">
        <v>49029</v>
      </c>
      <c r="T1679" s="28">
        <v>1711831000</v>
      </c>
      <c r="U1679" s="28"/>
      <c r="V1679" s="28">
        <v>568362000</v>
      </c>
      <c r="W1679" s="28"/>
      <c r="X1679" s="28">
        <v>109091000</v>
      </c>
      <c r="Y1679" s="28">
        <v>2832594000</v>
      </c>
      <c r="Z1679" s="28">
        <v>-110535000</v>
      </c>
      <c r="AA1679" s="28">
        <v>147284000</v>
      </c>
      <c r="AB1679" s="28"/>
      <c r="AC1679" s="28">
        <v>643986000</v>
      </c>
      <c r="AD1679" s="28">
        <v>493459000</v>
      </c>
      <c r="AE1679" s="28">
        <v>4598993000</v>
      </c>
      <c r="AF1679" s="28">
        <v>368447000</v>
      </c>
      <c r="AG1679" s="11"/>
    </row>
    <row r="1680">
      <c r="A1680" s="7" t="s">
        <v>3384</v>
      </c>
      <c r="B1680" s="5" t="s">
        <v>11373</v>
      </c>
      <c r="C1680" s="5" t="s">
        <v>19232</v>
      </c>
      <c r="D1680" s="5" t="str">
        <v>463202621460</v>
      </c>
      <c r="E1680" s="0" t="e">
        <f>+7 (910) 3156595
+7 (47148) 79680
+7 (47148) 79717</f>
        <v>#NAME?</v>
      </c>
      <c r="F1680" s="5" t="s">
        <v>30403</v>
      </c>
      <c r="G1680" s="5" t="s">
        <v>30404</v>
      </c>
      <c r="H1680" s="26">
        <v>22</v>
      </c>
      <c r="I1680" s="5"/>
      <c r="J1680" s="5" t="s">
        <v>27070</v>
      </c>
      <c r="K1680" s="5" t="s">
        <v>355</v>
      </c>
      <c r="L1680" s="5" t="s">
        <v>30405</v>
      </c>
      <c r="M1680" s="27"/>
      <c r="N1680" s="5"/>
      <c r="O1680" s="5" t="str">
        <v>4633000037</v>
      </c>
      <c r="P1680" s="27">
        <v>40300</v>
      </c>
      <c r="Q1680" s="5" t="s">
        <v>51993</v>
      </c>
      <c r="R1680" s="5"/>
      <c r="S1680" s="5" t="s">
        <v>51994</v>
      </c>
      <c r="T1680" s="28">
        <v>974695000</v>
      </c>
      <c r="U1680" s="28">
        <v>975688000</v>
      </c>
      <c r="V1680" s="28">
        <v>3712066000</v>
      </c>
      <c r="W1680" s="28">
        <v>85449000</v>
      </c>
      <c r="X1680" s="28">
        <v>195550000</v>
      </c>
      <c r="Y1680" s="28">
        <v>6781613000</v>
      </c>
      <c r="Z1680" s="28">
        <v>1117192000</v>
      </c>
      <c r="AA1680" s="28">
        <v>2509227000</v>
      </c>
      <c r="AB1680" s="28">
        <v>283318000</v>
      </c>
      <c r="AC1680" s="28">
        <v>2962722000</v>
      </c>
      <c r="AD1680" s="28">
        <v>1117264000</v>
      </c>
      <c r="AE1680" s="28">
        <v>12615431000</v>
      </c>
      <c r="AF1680" s="28">
        <v>157185000</v>
      </c>
      <c r="AG1680" s="11"/>
    </row>
    <row r="1681">
      <c r="A1681" s="7" t="s">
        <v>3385</v>
      </c>
      <c r="B1681" s="5" t="s">
        <v>11374</v>
      </c>
      <c r="C1681" s="5" t="s">
        <v>19233</v>
      </c>
      <c r="D1681" s="5" t="str">
        <v>463300355908</v>
      </c>
      <c r="E1681" s="0" t="e">
        <f>+7 (47148) 79719
+7 (47148) 79721
+7 (47148) 79725
+7 (47148) 35807
+7 (47148) 35935
+7 (47148) 39360
+7 (47148) 48748
+7 (47148) 51076
+7 (47148) 51221
+7 (47148) 51223
+7 (47148) 51271
+7 (47148) 79612</f>
        <v>#NAME?</v>
      </c>
      <c r="F1681" s="5" t="s">
        <v>30406</v>
      </c>
      <c r="G1681" s="5"/>
      <c r="H1681" s="26">
        <v>31</v>
      </c>
      <c r="I1681" s="5"/>
      <c r="J1681" s="5" t="s">
        <v>30108</v>
      </c>
      <c r="K1681" s="5" t="s">
        <v>344</v>
      </c>
      <c r="L1681" s="5"/>
      <c r="M1681" s="27"/>
      <c r="N1681" s="5"/>
      <c r="O1681" s="5" t="str">
        <v>4633000171</v>
      </c>
      <c r="P1681" s="27">
        <v>2910000</v>
      </c>
      <c r="Q1681" s="5" t="s">
        <v>49207</v>
      </c>
      <c r="R1681" s="5"/>
      <c r="S1681" s="5" t="s">
        <v>50911</v>
      </c>
      <c r="T1681" s="28">
        <v>584397000</v>
      </c>
      <c r="U1681" s="28">
        <v>100000</v>
      </c>
      <c r="V1681" s="28">
        <v>475413000</v>
      </c>
      <c r="W1681" s="28"/>
      <c r="X1681" s="28">
        <v>34753000</v>
      </c>
      <c r="Y1681" s="28">
        <v>1338788000</v>
      </c>
      <c r="Z1681" s="28">
        <v>503920000</v>
      </c>
      <c r="AA1681" s="28">
        <v>283240000</v>
      </c>
      <c r="AB1681" s="28">
        <v>2633000</v>
      </c>
      <c r="AC1681" s="28">
        <v>326004000</v>
      </c>
      <c r="AD1681" s="28">
        <v>563521000</v>
      </c>
      <c r="AE1681" s="28">
        <v>3193817000</v>
      </c>
      <c r="AF1681" s="28">
        <v>98410000</v>
      </c>
      <c r="AG1681" s="11"/>
    </row>
    <row r="1682">
      <c r="A1682" s="7" t="s">
        <v>3386</v>
      </c>
      <c r="B1682" s="5" t="s">
        <v>11375</v>
      </c>
      <c r="C1682" s="5" t="s">
        <v>19234</v>
      </c>
      <c r="D1682" s="5" t="str">
        <v>463307601408</v>
      </c>
      <c r="E1682" s="0" t="e">
        <f>+7 (48762) 21153
+7 (48762) 21196</f>
        <v>#NAME?</v>
      </c>
      <c r="F1682" s="5"/>
      <c r="G1682" s="5"/>
      <c r="H1682" s="26">
        <v>15.5</v>
      </c>
      <c r="I1682" s="5"/>
      <c r="J1682" s="5" t="s">
        <v>27070</v>
      </c>
      <c r="K1682" s="5" t="s">
        <v>344</v>
      </c>
      <c r="L1682" s="5" t="s">
        <v>30407</v>
      </c>
      <c r="M1682" s="27"/>
      <c r="N1682" s="5" t="s">
        <v>51995</v>
      </c>
      <c r="O1682" s="5" t="str">
        <v>7116146114</v>
      </c>
      <c r="P1682" s="27">
        <v>100000</v>
      </c>
      <c r="Q1682" s="5" t="s">
        <v>49009</v>
      </c>
      <c r="R1682" s="5"/>
      <c r="S1682" s="5" t="s">
        <v>49028</v>
      </c>
      <c r="T1682" s="28">
        <v>1003587000</v>
      </c>
      <c r="U1682" s="28">
        <v>3716374000</v>
      </c>
      <c r="V1682" s="28">
        <v>1354241000</v>
      </c>
      <c r="W1682" s="28">
        <v>31000000</v>
      </c>
      <c r="X1682" s="28">
        <v>5431000</v>
      </c>
      <c r="Y1682" s="28">
        <v>6497031000</v>
      </c>
      <c r="Z1682" s="28">
        <v>2547207000</v>
      </c>
      <c r="AA1682" s="28">
        <v>2804118000</v>
      </c>
      <c r="AB1682" s="28">
        <v>26928000</v>
      </c>
      <c r="AC1682" s="28">
        <v>870941000</v>
      </c>
      <c r="AD1682" s="28">
        <v>2547307000</v>
      </c>
      <c r="AE1682" s="28">
        <v>6036725000</v>
      </c>
      <c r="AF1682" s="28">
        <v>695769000</v>
      </c>
      <c r="AG1682" s="11"/>
    </row>
    <row r="1683">
      <c r="A1683" s="7" t="s">
        <v>3387</v>
      </c>
      <c r="B1683" s="5" t="s">
        <v>11376</v>
      </c>
      <c r="C1683" s="5" t="s">
        <v>19235</v>
      </c>
      <c r="D1683" s="5" t="str">
        <v>540812155470</v>
      </c>
      <c r="E1683" s="0" t="e">
        <f>+7 (383) 3493459
+7 (383) 2286007
+7 (383) 3630407
+7 (383) 3630650
+7 (913) 9857695</f>
        <v>#NAME?</v>
      </c>
      <c r="F1683" s="5" t="s">
        <v>30408</v>
      </c>
      <c r="G1683" s="5"/>
      <c r="H1683" s="26">
        <v>16.5</v>
      </c>
      <c r="I1683" s="5" t="s">
        <v>30409</v>
      </c>
      <c r="J1683" s="5" t="s">
        <v>27070</v>
      </c>
      <c r="K1683" s="5" t="s">
        <v>344</v>
      </c>
      <c r="L1683" s="5" t="s">
        <v>30410</v>
      </c>
      <c r="M1683" s="27"/>
      <c r="N1683" s="5" t="s">
        <v>51996</v>
      </c>
      <c r="O1683" s="5" t="str">
        <v>5402468510</v>
      </c>
      <c r="P1683" s="27">
        <v>15000000</v>
      </c>
      <c r="Q1683" s="5" t="s">
        <v>49059</v>
      </c>
      <c r="R1683" s="5"/>
      <c r="S1683" s="5" t="s">
        <v>49504</v>
      </c>
      <c r="T1683" s="28">
        <v>195790000</v>
      </c>
      <c r="U1683" s="28"/>
      <c r="V1683" s="28">
        <v>657045000</v>
      </c>
      <c r="W1683" s="28">
        <v>319389000</v>
      </c>
      <c r="X1683" s="28">
        <v>3412000</v>
      </c>
      <c r="Y1683" s="28">
        <v>1377842000</v>
      </c>
      <c r="Z1683" s="28">
        <v>530438000</v>
      </c>
      <c r="AA1683" s="28">
        <v>174896000</v>
      </c>
      <c r="AB1683" s="28">
        <v>4714000</v>
      </c>
      <c r="AC1683" s="28">
        <v>390723000</v>
      </c>
      <c r="AD1683" s="28">
        <v>545438000</v>
      </c>
      <c r="AE1683" s="28">
        <v>3463029000</v>
      </c>
      <c r="AF1683" s="28">
        <v>107819000</v>
      </c>
      <c r="AG1683" s="11"/>
    </row>
    <row r="1684">
      <c r="A1684" s="7" t="s">
        <v>3388</v>
      </c>
      <c r="B1684" s="5" t="s">
        <v>11377</v>
      </c>
      <c r="C1684" s="5" t="s">
        <v>19236</v>
      </c>
      <c r="D1684" s="5" t="str">
        <v>310201388010</v>
      </c>
      <c r="E1684" s="0" t="e">
        <f>+7 (472) 2211349
+7 (472) 2213946
+7 (472) 2215238
+7 (472) 2273617
+7 (472) 2278435</f>
        <v>#NAME?</v>
      </c>
      <c r="F1684" s="5" t="s">
        <v>30411</v>
      </c>
      <c r="G1684" s="5"/>
      <c r="H1684" s="26">
        <v>23.5</v>
      </c>
      <c r="I1684" s="5" t="s">
        <v>30412</v>
      </c>
      <c r="J1684" s="5" t="s">
        <v>27070</v>
      </c>
      <c r="K1684" s="5" t="s">
        <v>344</v>
      </c>
      <c r="L1684" s="5" t="s">
        <v>30413</v>
      </c>
      <c r="M1684" s="27"/>
      <c r="N1684" s="5"/>
      <c r="O1684" s="5" t="str">
        <v>3123053713</v>
      </c>
      <c r="P1684" s="27">
        <v>2000000</v>
      </c>
      <c r="Q1684" s="5" t="s">
        <v>49324</v>
      </c>
      <c r="R1684" s="5"/>
      <c r="S1684" s="5" t="s">
        <v>51997</v>
      </c>
      <c r="T1684" s="28">
        <v>687299000</v>
      </c>
      <c r="U1684" s="28">
        <v>8000</v>
      </c>
      <c r="V1684" s="28">
        <v>230942000</v>
      </c>
      <c r="W1684" s="28">
        <v>311782000</v>
      </c>
      <c r="X1684" s="28">
        <v>204708000</v>
      </c>
      <c r="Y1684" s="28">
        <v>2223000000</v>
      </c>
      <c r="Z1684" s="28">
        <v>1460975000</v>
      </c>
      <c r="AA1684" s="28">
        <v>300000000</v>
      </c>
      <c r="AB1684" s="28"/>
      <c r="AC1684" s="28">
        <v>434289000</v>
      </c>
      <c r="AD1684" s="28">
        <v>1462975000</v>
      </c>
      <c r="AE1684" s="28">
        <v>3017995000</v>
      </c>
      <c r="AF1684" s="28">
        <v>268704000</v>
      </c>
      <c r="AG1684" s="11"/>
    </row>
    <row r="1685">
      <c r="A1685" s="7" t="s">
        <v>3389</v>
      </c>
      <c r="B1685" s="5" t="s">
        <v>11378</v>
      </c>
      <c r="C1685" s="5" t="s">
        <v>19237</v>
      </c>
      <c r="D1685" s="5" t="str">
        <v>772808040308</v>
      </c>
      <c r="E1685" s="0" t="e">
        <f>+7 (495) 7558334
+7 (495) 7758374
+7 (495) 7759334
+7 (910) 4803312
+7 (495) 7758334
+7 (495) 7758394</f>
        <v>#NAME?</v>
      </c>
      <c r="F1685" s="5" t="s">
        <v>30414</v>
      </c>
      <c r="G1685" s="5" t="s">
        <v>30415</v>
      </c>
      <c r="H1685" s="26">
        <v>6.5</v>
      </c>
      <c r="I1685" s="5"/>
      <c r="J1685" s="5" t="s">
        <v>467</v>
      </c>
      <c r="K1685" s="5" t="s">
        <v>344</v>
      </c>
      <c r="L1685" s="5" t="s">
        <v>30416</v>
      </c>
      <c r="M1685" s="27"/>
      <c r="N1685" s="5" t="s">
        <v>51998</v>
      </c>
      <c r="O1685" s="5" t="str">
        <v>7743165076</v>
      </c>
      <c r="P1685" s="27">
        <v>35000</v>
      </c>
      <c r="Q1685" s="5" t="s">
        <v>51999</v>
      </c>
      <c r="R1685" s="5"/>
      <c r="S1685" s="5" t="s">
        <v>52000</v>
      </c>
      <c r="T1685" s="28">
        <v>26088000</v>
      </c>
      <c r="U1685" s="28">
        <v>11931000</v>
      </c>
      <c r="V1685" s="28">
        <v>54528000</v>
      </c>
      <c r="W1685" s="28">
        <v>16538000</v>
      </c>
      <c r="X1685" s="28">
        <v>51055000</v>
      </c>
      <c r="Y1685" s="28">
        <v>533715000</v>
      </c>
      <c r="Z1685" s="28">
        <v>13749000</v>
      </c>
      <c r="AA1685" s="28">
        <v>423282000</v>
      </c>
      <c r="AB1685" s="28">
        <v>9962000</v>
      </c>
      <c r="AC1685" s="28">
        <v>64509000</v>
      </c>
      <c r="AD1685" s="28">
        <v>13788000</v>
      </c>
      <c r="AE1685" s="28">
        <v>3772750000</v>
      </c>
      <c r="AF1685" s="28">
        <v>12928000</v>
      </c>
      <c r="AG1685" s="11"/>
    </row>
    <row r="1686">
      <c r="A1686" s="7" t="s">
        <v>3390</v>
      </c>
      <c r="B1686" s="5" t="s">
        <v>11379</v>
      </c>
      <c r="C1686" s="5" t="s">
        <v>19238</v>
      </c>
      <c r="D1686" s="5" t="str">
        <v>772901457181</v>
      </c>
      <c r="E1686" s="0" t="e">
        <f>+7 (495) 5105846
+7 (916) 8116855</f>
        <v>#NAME?</v>
      </c>
      <c r="F1686" s="5"/>
      <c r="G1686" s="5"/>
      <c r="H1686" s="26">
        <v>18</v>
      </c>
      <c r="I1686" s="5" t="s">
        <v>30417</v>
      </c>
      <c r="J1686" s="5" t="s">
        <v>364</v>
      </c>
      <c r="K1686" s="5" t="s">
        <v>344</v>
      </c>
      <c r="L1686" s="5"/>
      <c r="M1686" s="27">
        <v>213324812</v>
      </c>
      <c r="N1686" s="5" t="s">
        <v>52001</v>
      </c>
      <c r="O1686" s="5" t="str">
        <v>7704539433</v>
      </c>
      <c r="P1686" s="27">
        <v>10000</v>
      </c>
      <c r="Q1686" s="5" t="s">
        <v>52003</v>
      </c>
      <c r="R1686" s="5" t="s">
        <v>52004</v>
      </c>
      <c r="S1686" s="5" t="s">
        <v>52005</v>
      </c>
      <c r="T1686" s="28">
        <v>1103703000</v>
      </c>
      <c r="U1686" s="28"/>
      <c r="V1686" s="28">
        <v>22191354000</v>
      </c>
      <c r="W1686" s="28"/>
      <c r="X1686" s="28">
        <v>8329276000</v>
      </c>
      <c r="Y1686" s="28">
        <v>58777994000</v>
      </c>
      <c r="Z1686" s="28">
        <v>2736317000</v>
      </c>
      <c r="AA1686" s="28"/>
      <c r="AB1686" s="28"/>
      <c r="AC1686" s="28">
        <v>53386685000</v>
      </c>
      <c r="AD1686" s="28">
        <v>3555240000</v>
      </c>
      <c r="AE1686" s="28">
        <v>48084147000</v>
      </c>
      <c r="AF1686" s="28">
        <v>36413000</v>
      </c>
      <c r="AG1686" s="11"/>
    </row>
    <row r="1687">
      <c r="A1687" s="7" t="s">
        <v>3391</v>
      </c>
      <c r="B1687" s="5" t="s">
        <v>11380</v>
      </c>
      <c r="C1687" s="5" t="s">
        <v>19239</v>
      </c>
      <c r="D1687" s="5" t="str">
        <v>772911725841</v>
      </c>
      <c r="E1687" s="0" t="e">
        <f>+7 (495) 2212800</f>
        <v>#NAME?</v>
      </c>
      <c r="F1687" s="5" t="s">
        <v>30418</v>
      </c>
      <c r="G1687" s="5" t="s">
        <v>30419</v>
      </c>
      <c r="H1687" s="26">
        <v>17.5</v>
      </c>
      <c r="I1687" s="5" t="s">
        <v>30420</v>
      </c>
      <c r="J1687" s="5" t="s">
        <v>30421</v>
      </c>
      <c r="K1687" s="5" t="s">
        <v>344</v>
      </c>
      <c r="L1687" s="5" t="s">
        <v>30422</v>
      </c>
      <c r="M1687" s="27"/>
      <c r="N1687" s="5" t="s">
        <v>52006</v>
      </c>
      <c r="O1687" s="5" t="str">
        <v>5504106647</v>
      </c>
      <c r="P1687" s="27">
        <v>10000000</v>
      </c>
      <c r="Q1687" s="5" t="s">
        <v>52007</v>
      </c>
      <c r="R1687" s="5"/>
      <c r="S1687" s="5" t="s">
        <v>52008</v>
      </c>
      <c r="T1687" s="28">
        <v>8129000</v>
      </c>
      <c r="U1687" s="28">
        <v>20129000</v>
      </c>
      <c r="V1687" s="28">
        <v>1770636000</v>
      </c>
      <c r="W1687" s="28"/>
      <c r="X1687" s="28">
        <v>127760000</v>
      </c>
      <c r="Y1687" s="28">
        <v>1935297000</v>
      </c>
      <c r="Z1687" s="28">
        <v>302793000</v>
      </c>
      <c r="AA1687" s="28"/>
      <c r="AB1687" s="28">
        <v>807259000</v>
      </c>
      <c r="AC1687" s="28">
        <v>1620721000</v>
      </c>
      <c r="AD1687" s="28">
        <v>312793000</v>
      </c>
      <c r="AE1687" s="28">
        <v>4631388000</v>
      </c>
      <c r="AF1687" s="28">
        <v>461160000</v>
      </c>
      <c r="AG1687" s="11"/>
    </row>
    <row r="1688">
      <c r="A1688" s="7" t="s">
        <v>3392</v>
      </c>
      <c r="B1688" s="5" t="s">
        <v>11381</v>
      </c>
      <c r="C1688" s="5" t="s">
        <v>19240</v>
      </c>
      <c r="D1688" s="5" t="str">
        <v>772806364674</v>
      </c>
      <c r="E1688" s="0" t="e">
        <f>+7 (495) 9661456
+7 (495) 9804381</f>
        <v>#NAME?</v>
      </c>
      <c r="F1688" s="5" t="s">
        <v>30423</v>
      </c>
      <c r="G1688" s="5" t="s">
        <v>30424</v>
      </c>
      <c r="H1688" s="26">
        <v>6</v>
      </c>
      <c r="I1688" s="5" t="s">
        <v>30425</v>
      </c>
      <c r="J1688" s="5" t="s">
        <v>502</v>
      </c>
      <c r="K1688" s="5" t="s">
        <v>344</v>
      </c>
      <c r="L1688" s="5" t="s">
        <v>30426</v>
      </c>
      <c r="M1688" s="27"/>
      <c r="N1688" s="5"/>
      <c r="O1688" s="5" t="str">
        <v>7727309299</v>
      </c>
      <c r="P1688" s="27">
        <v>350010000</v>
      </c>
      <c r="Q1688" s="5"/>
      <c r="R1688" s="5"/>
      <c r="S1688" s="5" t="s">
        <v>52009</v>
      </c>
      <c r="T1688" s="28">
        <v>356877000</v>
      </c>
      <c r="U1688" s="28">
        <v>689000000</v>
      </c>
      <c r="V1688" s="28">
        <v>949356000</v>
      </c>
      <c r="W1688" s="28">
        <v>327423000</v>
      </c>
      <c r="X1688" s="28">
        <v>1897223000</v>
      </c>
      <c r="Y1688" s="28">
        <v>4270835000</v>
      </c>
      <c r="Z1688" s="28">
        <v>3090838000</v>
      </c>
      <c r="AA1688" s="28"/>
      <c r="AB1688" s="28"/>
      <c r="AC1688" s="28">
        <v>645927000</v>
      </c>
      <c r="AD1688" s="28">
        <v>3442211000</v>
      </c>
      <c r="AE1688" s="28">
        <v>4379249000</v>
      </c>
      <c r="AF1688" s="28">
        <v>2361553000</v>
      </c>
      <c r="AG1688" s="11"/>
    </row>
    <row r="1689">
      <c r="A1689" s="7" t="s">
        <v>3393</v>
      </c>
      <c r="B1689" s="5" t="s">
        <v>11382</v>
      </c>
      <c r="C1689" s="5" t="s">
        <v>19241</v>
      </c>
      <c r="D1689" s="5" t="str">
        <v>772855728733</v>
      </c>
      <c r="F1689" s="5"/>
      <c r="G1689" s="5"/>
      <c r="H1689" s="26">
        <v>18</v>
      </c>
      <c r="I1689" s="5" t="s">
        <v>30427</v>
      </c>
      <c r="J1689" s="5" t="s">
        <v>30428</v>
      </c>
      <c r="K1689" s="5" t="s">
        <v>355</v>
      </c>
      <c r="L1689" s="5" t="s">
        <v>30429</v>
      </c>
      <c r="M1689" s="27"/>
      <c r="N1689" s="5" t="s">
        <v>52010</v>
      </c>
      <c r="O1689" s="5" t="str">
        <v>7727529865</v>
      </c>
      <c r="P1689" s="27">
        <v>10000</v>
      </c>
      <c r="Q1689" s="5"/>
      <c r="R1689" s="5"/>
      <c r="S1689" s="5" t="s">
        <v>49110</v>
      </c>
      <c r="T1689" s="28">
        <v>48000</v>
      </c>
      <c r="U1689" s="28"/>
      <c r="V1689" s="28">
        <v>5098878000</v>
      </c>
      <c r="W1689" s="28"/>
      <c r="X1689" s="28">
        <v>66697000</v>
      </c>
      <c r="Y1689" s="28">
        <v>5290540000</v>
      </c>
      <c r="Z1689" s="28">
        <v>767087000</v>
      </c>
      <c r="AA1689" s="28">
        <v>4220761000</v>
      </c>
      <c r="AB1689" s="28">
        <v>279070000</v>
      </c>
      <c r="AC1689" s="28">
        <v>302125000</v>
      </c>
      <c r="AD1689" s="28">
        <v>767098000</v>
      </c>
      <c r="AE1689" s="28">
        <v>5632977000</v>
      </c>
      <c r="AF1689" s="28">
        <v>51393000</v>
      </c>
      <c r="AG1689" s="11"/>
    </row>
    <row r="1690">
      <c r="A1690" s="7" t="s">
        <v>3394</v>
      </c>
      <c r="B1690" s="5" t="s">
        <v>11383</v>
      </c>
      <c r="C1690" s="5" t="s">
        <v>19242</v>
      </c>
      <c r="D1690" s="5" t="str">
        <v>501707327655</v>
      </c>
      <c r="E1690" s="0" t="e">
        <f>+7 (916) 6760637
+7 (495) 7899505
+7 (495) 7899525</f>
        <v>#NAME?</v>
      </c>
      <c r="F1690" s="5" t="s">
        <v>30430</v>
      </c>
      <c r="G1690" s="5" t="s">
        <v>30431</v>
      </c>
      <c r="H1690" s="26">
        <v>13</v>
      </c>
      <c r="I1690" s="5" t="s">
        <v>30432</v>
      </c>
      <c r="J1690" s="5" t="s">
        <v>30433</v>
      </c>
      <c r="K1690" s="5" t="s">
        <v>344</v>
      </c>
      <c r="L1690" s="5" t="s">
        <v>30434</v>
      </c>
      <c r="M1690" s="27"/>
      <c r="N1690" s="5" t="s">
        <v>52011</v>
      </c>
      <c r="O1690" s="5" t="str">
        <v>7727712331</v>
      </c>
      <c r="P1690" s="27">
        <v>150000000</v>
      </c>
      <c r="Q1690" s="5" t="s">
        <v>52012</v>
      </c>
      <c r="R1690" s="5"/>
      <c r="S1690" s="5" t="s">
        <v>51937</v>
      </c>
      <c r="T1690" s="28">
        <v>59822000</v>
      </c>
      <c r="U1690" s="28"/>
      <c r="V1690" s="28">
        <v>14374324000</v>
      </c>
      <c r="W1690" s="28">
        <v>154193610000</v>
      </c>
      <c r="X1690" s="28">
        <v>6279383000</v>
      </c>
      <c r="Y1690" s="28">
        <v>175681350000</v>
      </c>
      <c r="Z1690" s="28">
        <v>861568000</v>
      </c>
      <c r="AA1690" s="28">
        <v>191850000</v>
      </c>
      <c r="AB1690" s="28">
        <v>171692188000</v>
      </c>
      <c r="AC1690" s="28">
        <v>172939487000</v>
      </c>
      <c r="AD1690" s="28">
        <v>2519068000</v>
      </c>
      <c r="AE1690" s="28">
        <v>15089380000</v>
      </c>
      <c r="AF1690" s="28">
        <v>-776478000</v>
      </c>
      <c r="AG1690" s="11"/>
    </row>
    <row r="1691">
      <c r="A1691" s="7" t="s">
        <v>3395</v>
      </c>
      <c r="B1691" s="5" t="s">
        <v>11384</v>
      </c>
      <c r="C1691" s="5" t="s">
        <v>19243</v>
      </c>
      <c r="D1691" s="5" t="str">
        <v>480201934490</v>
      </c>
      <c r="E1691" s="0" t="e">
        <f>+7 (47461) 20317
+7 (47461) 20361</f>
        <v>#NAME?</v>
      </c>
      <c r="F1691" s="5" t="s">
        <v>30435</v>
      </c>
      <c r="G1691" s="5" t="s">
        <v>30436</v>
      </c>
      <c r="H1691" s="26">
        <v>25.5</v>
      </c>
      <c r="I1691" s="5"/>
      <c r="J1691" s="5" t="s">
        <v>30437</v>
      </c>
      <c r="K1691" s="5" t="s">
        <v>355</v>
      </c>
      <c r="L1691" s="5" t="s">
        <v>30438</v>
      </c>
      <c r="M1691" s="27"/>
      <c r="N1691" s="5" t="s">
        <v>52013</v>
      </c>
      <c r="O1691" s="5" t="str">
        <v>4802000676</v>
      </c>
      <c r="P1691" s="27">
        <v>1275000</v>
      </c>
      <c r="Q1691" s="5" t="s">
        <v>52014</v>
      </c>
      <c r="R1691" s="5" t="s">
        <v>52015</v>
      </c>
      <c r="S1691" s="5" t="s">
        <v>52016</v>
      </c>
      <c r="T1691" s="28">
        <v>19060000</v>
      </c>
      <c r="U1691" s="28">
        <v>9025000</v>
      </c>
      <c r="V1691" s="28">
        <v>851683000</v>
      </c>
      <c r="W1691" s="28"/>
      <c r="X1691" s="28">
        <v>543881000</v>
      </c>
      <c r="Y1691" s="28">
        <v>2289405000</v>
      </c>
      <c r="Z1691" s="28">
        <v>176222000</v>
      </c>
      <c r="AA1691" s="28"/>
      <c r="AB1691" s="28"/>
      <c r="AC1691" s="28">
        <v>2089425000</v>
      </c>
      <c r="AD1691" s="28">
        <v>195497000</v>
      </c>
      <c r="AE1691" s="28">
        <v>7526262000</v>
      </c>
      <c r="AF1691" s="28">
        <v>-1437000</v>
      </c>
      <c r="AG1691" s="11"/>
    </row>
    <row r="1692">
      <c r="A1692" s="7" t="s">
        <v>3396</v>
      </c>
      <c r="B1692" s="5" t="s">
        <v>11385</v>
      </c>
      <c r="C1692" s="5" t="s">
        <v>19244</v>
      </c>
      <c r="D1692" s="5" t="str">
        <v>860304419107</v>
      </c>
      <c r="E1692" s="0" t="e">
        <f>+7 (495) 7773110
+7 (495) 9611324</f>
        <v>#NAME?</v>
      </c>
      <c r="F1692" s="5" t="s">
        <v>30439</v>
      </c>
      <c r="G1692" s="5"/>
      <c r="H1692" s="26">
        <v>15.5</v>
      </c>
      <c r="I1692" s="5" t="s">
        <v>29891</v>
      </c>
      <c r="J1692" s="5" t="s">
        <v>30354</v>
      </c>
      <c r="K1692" s="5" t="s">
        <v>344</v>
      </c>
      <c r="L1692" s="5"/>
      <c r="M1692" s="27"/>
      <c r="N1692" s="5"/>
      <c r="O1692" s="5" t="str">
        <v>7728639370</v>
      </c>
      <c r="P1692" s="27">
        <v>10000</v>
      </c>
      <c r="Q1692" s="5" t="s">
        <v>49009</v>
      </c>
      <c r="R1692" s="5"/>
      <c r="S1692" s="5" t="s">
        <v>49045</v>
      </c>
      <c r="T1692" s="28">
        <v>367423000</v>
      </c>
      <c r="U1692" s="28"/>
      <c r="V1692" s="28">
        <v>10558626000</v>
      </c>
      <c r="W1692" s="28">
        <v>817745000</v>
      </c>
      <c r="X1692" s="28">
        <v>309000</v>
      </c>
      <c r="Y1692" s="28">
        <v>18177693000</v>
      </c>
      <c r="Z1692" s="28">
        <v>1001886000</v>
      </c>
      <c r="AA1692" s="28"/>
      <c r="AB1692" s="28"/>
      <c r="AC1692" s="28">
        <v>16760279000</v>
      </c>
      <c r="AD1692" s="28">
        <v>1001896000</v>
      </c>
      <c r="AE1692" s="28">
        <v>30541173000</v>
      </c>
      <c r="AF1692" s="28">
        <v>636673000</v>
      </c>
      <c r="AG1692" s="11"/>
    </row>
    <row r="1693">
      <c r="A1693" s="7" t="s">
        <v>3397</v>
      </c>
      <c r="B1693" s="5" t="s">
        <v>11386</v>
      </c>
      <c r="C1693" s="5" t="s">
        <v>19245</v>
      </c>
      <c r="D1693" s="5" t="str">
        <v>380200498978</v>
      </c>
      <c r="E1693" s="0" t="e">
        <f>+7 (395) 6174264
+7 (39561) 51968
+7 (39561) 52922
+7 (39561) 56342
+7 (39561) 56343
+7 (39561) 56344
+7 (950) 1139399</f>
        <v>#NAME?</v>
      </c>
      <c r="F1693" s="5" t="s">
        <v>30440</v>
      </c>
      <c r="G1693" s="5"/>
      <c r="H1693" s="26">
        <v>20.5</v>
      </c>
      <c r="I1693" s="5"/>
      <c r="J1693" s="5" t="s">
        <v>26499</v>
      </c>
      <c r="K1693" s="5" t="s">
        <v>355</v>
      </c>
      <c r="L1693" s="5" t="s">
        <v>30441</v>
      </c>
      <c r="M1693" s="27"/>
      <c r="N1693" s="5"/>
      <c r="O1693" s="5" t="str">
        <v>3802008962</v>
      </c>
      <c r="P1693" s="27">
        <v>164000</v>
      </c>
      <c r="Q1693" s="5" t="s">
        <v>49009</v>
      </c>
      <c r="R1693" s="5"/>
      <c r="S1693" s="5" t="s">
        <v>49010</v>
      </c>
      <c r="T1693" s="28">
        <v>836011000</v>
      </c>
      <c r="U1693" s="28">
        <v>25112000</v>
      </c>
      <c r="V1693" s="28">
        <v>417216000</v>
      </c>
      <c r="W1693" s="28"/>
      <c r="X1693" s="28">
        <v>60131000</v>
      </c>
      <c r="Y1693" s="28">
        <v>2980773000</v>
      </c>
      <c r="Z1693" s="28">
        <v>2067578000</v>
      </c>
      <c r="AA1693" s="28"/>
      <c r="AB1693" s="28">
        <v>797626000</v>
      </c>
      <c r="AC1693" s="28">
        <v>847759000</v>
      </c>
      <c r="AD1693" s="28">
        <v>2068601000</v>
      </c>
      <c r="AE1693" s="28">
        <v>3122339000</v>
      </c>
      <c r="AF1693" s="28">
        <v>91485000</v>
      </c>
      <c r="AG1693" s="11"/>
    </row>
    <row r="1694">
      <c r="A1694" s="7" t="s">
        <v>3398</v>
      </c>
      <c r="B1694" s="5" t="s">
        <v>11387</v>
      </c>
      <c r="C1694" s="5" t="s">
        <v>19246</v>
      </c>
      <c r="D1694" s="5" t="str">
        <v>771206709420</v>
      </c>
      <c r="E1694" s="0" t="e">
        <f>+7 (499) 9754195
+7 (495) 9751051
+7 (495) 9751595
+7 (495) 9752014
+7 (499) 9751051
+7 (499) 9751595</f>
        <v>#NAME?</v>
      </c>
      <c r="F1694" s="5" t="s">
        <v>30442</v>
      </c>
      <c r="G1694" s="5" t="s">
        <v>30443</v>
      </c>
      <c r="H1694" s="26">
        <v>29</v>
      </c>
      <c r="I1694" s="5"/>
      <c r="J1694" s="5" t="s">
        <v>25612</v>
      </c>
      <c r="K1694" s="5" t="s">
        <v>344</v>
      </c>
      <c r="L1694" s="5" t="s">
        <v>30444</v>
      </c>
      <c r="M1694" s="27">
        <v>4859821</v>
      </c>
      <c r="N1694" s="5" t="s">
        <v>52017</v>
      </c>
      <c r="O1694" s="5" t="str">
        <v>7727033837</v>
      </c>
      <c r="P1694" s="27">
        <v>4960000</v>
      </c>
      <c r="Q1694" s="5" t="s">
        <v>52018</v>
      </c>
      <c r="R1694" s="5"/>
      <c r="S1694" s="5" t="s">
        <v>52019</v>
      </c>
      <c r="T1694" s="28">
        <v>354209000</v>
      </c>
      <c r="U1694" s="28">
        <v>755602000</v>
      </c>
      <c r="V1694" s="28">
        <v>6325353000</v>
      </c>
      <c r="W1694" s="28">
        <v>505716000</v>
      </c>
      <c r="X1694" s="28">
        <v>710487000</v>
      </c>
      <c r="Y1694" s="28">
        <v>14710204000</v>
      </c>
      <c r="Z1694" s="28">
        <v>12160222000</v>
      </c>
      <c r="AA1694" s="28"/>
      <c r="AB1694" s="28"/>
      <c r="AC1694" s="28">
        <v>2373396000</v>
      </c>
      <c r="AD1694" s="28">
        <v>12165430000</v>
      </c>
      <c r="AE1694" s="28">
        <v>15250868000</v>
      </c>
      <c r="AF1694" s="28">
        <v>3112251000</v>
      </c>
      <c r="AG1694" s="11"/>
    </row>
    <row r="1695">
      <c r="A1695" s="7" t="s">
        <v>3399</v>
      </c>
      <c r="B1695" s="5" t="s">
        <v>11388</v>
      </c>
      <c r="C1695" s="5" t="s">
        <v>19247</v>
      </c>
      <c r="D1695" s="5" t="str">
        <v>740200045660</v>
      </c>
      <c r="E1695" s="0" t="e">
        <f>+7 (342) 2405120
+7 (910) 4905485
+7 (34377) 21598
+7 (3955) 573260
+7 (915) 7342749</f>
        <v>#NAME?</v>
      </c>
      <c r="F1695" s="5" t="s">
        <v>30445</v>
      </c>
      <c r="G1695" s="5" t="s">
        <v>30446</v>
      </c>
      <c r="H1695" s="26">
        <v>20.5</v>
      </c>
      <c r="I1695" s="5" t="s">
        <v>30447</v>
      </c>
      <c r="J1695" s="5" t="s">
        <v>28057</v>
      </c>
      <c r="K1695" s="5" t="s">
        <v>344</v>
      </c>
      <c r="L1695" s="5" t="s">
        <v>30448</v>
      </c>
      <c r="M1695" s="27">
        <v>4515</v>
      </c>
      <c r="N1695" s="5" t="s">
        <v>52020</v>
      </c>
      <c r="O1695" s="5" t="str">
        <v>5905221661</v>
      </c>
      <c r="P1695" s="27">
        <v>63151837</v>
      </c>
      <c r="Q1695" s="5" t="s">
        <v>49009</v>
      </c>
      <c r="R1695" s="5" t="s">
        <v>52021</v>
      </c>
      <c r="S1695" s="5" t="s">
        <v>49884</v>
      </c>
      <c r="T1695" s="28">
        <v>1506830000</v>
      </c>
      <c r="U1695" s="28">
        <v>95000</v>
      </c>
      <c r="V1695" s="28">
        <v>1140209000</v>
      </c>
      <c r="W1695" s="28">
        <v>48751000</v>
      </c>
      <c r="X1695" s="28">
        <v>3076481000</v>
      </c>
      <c r="Y1695" s="28">
        <v>6594030000</v>
      </c>
      <c r="Z1695" s="28">
        <v>4794915000</v>
      </c>
      <c r="AA1695" s="28"/>
      <c r="AB1695" s="28"/>
      <c r="AC1695" s="28">
        <v>1480942000</v>
      </c>
      <c r="AD1695" s="28">
        <v>4858066000</v>
      </c>
      <c r="AE1695" s="28">
        <v>13137137000</v>
      </c>
      <c r="AF1695" s="28">
        <v>2401324000</v>
      </c>
      <c r="AG1695" s="11"/>
    </row>
    <row r="1696">
      <c r="A1696" s="7" t="s">
        <v>3400</v>
      </c>
      <c r="B1696" s="5" t="s">
        <v>11389</v>
      </c>
      <c r="C1696" s="5" t="s">
        <v>19248</v>
      </c>
      <c r="D1696" s="5" t="str">
        <v>772808746238</v>
      </c>
      <c r="E1696" s="0" t="e">
        <f>+7 (495) 1028803
+7 (495) 7805830</f>
        <v>#NAME?</v>
      </c>
      <c r="F1696" s="5" t="s">
        <v>30271</v>
      </c>
      <c r="G1696" s="5" t="s">
        <v>30449</v>
      </c>
      <c r="H1696" s="26">
        <v>20</v>
      </c>
      <c r="I1696" s="5" t="s">
        <v>30272</v>
      </c>
      <c r="J1696" s="5" t="s">
        <v>28465</v>
      </c>
      <c r="K1696" s="5" t="s">
        <v>355</v>
      </c>
      <c r="L1696" s="5" t="s">
        <v>30450</v>
      </c>
      <c r="M1696" s="27"/>
      <c r="N1696" s="5"/>
      <c r="O1696" s="5" t="str">
        <v>7706293136</v>
      </c>
      <c r="P1696" s="27">
        <v>10000</v>
      </c>
      <c r="Q1696" s="5"/>
      <c r="R1696" s="5" t="s">
        <v>51908</v>
      </c>
      <c r="S1696" s="5" t="s">
        <v>49110</v>
      </c>
      <c r="T1696" s="28">
        <v>1463015000</v>
      </c>
      <c r="U1696" s="28"/>
      <c r="V1696" s="28">
        <v>170130000</v>
      </c>
      <c r="W1696" s="28">
        <v>18000000</v>
      </c>
      <c r="X1696" s="28">
        <v>112150000</v>
      </c>
      <c r="Y1696" s="28">
        <v>4159899000</v>
      </c>
      <c r="Z1696" s="28">
        <v>668314000</v>
      </c>
      <c r="AA1696" s="28"/>
      <c r="AB1696" s="28">
        <v>217303000</v>
      </c>
      <c r="AC1696" s="28">
        <v>1800925000</v>
      </c>
      <c r="AD1696" s="28">
        <v>668324000</v>
      </c>
      <c r="AE1696" s="28">
        <v>5316023000</v>
      </c>
      <c r="AF1696" s="28">
        <v>110155000</v>
      </c>
      <c r="AG1696" s="11"/>
    </row>
    <row r="1697">
      <c r="A1697" s="7" t="s">
        <v>3401</v>
      </c>
      <c r="B1697" s="5" t="s">
        <v>11390</v>
      </c>
      <c r="C1697" s="5" t="s">
        <v>19249</v>
      </c>
      <c r="D1697" s="5" t="str">
        <v>780408369309</v>
      </c>
      <c r="E1697" s="0" t="e">
        <f>+7 (812) 6056091
+7 (812) 6056162
+7 (812) 6470638
+7 (965) 904974</f>
        <v>#NAME?</v>
      </c>
      <c r="F1697" s="5" t="s">
        <v>30451</v>
      </c>
      <c r="G1697" s="5"/>
      <c r="H1697" s="26">
        <v>11.5</v>
      </c>
      <c r="I1697" s="5" t="s">
        <v>30452</v>
      </c>
      <c r="J1697" s="5" t="s">
        <v>30453</v>
      </c>
      <c r="K1697" s="5" t="s">
        <v>344</v>
      </c>
      <c r="L1697" s="5" t="s">
        <v>30454</v>
      </c>
      <c r="M1697" s="27"/>
      <c r="N1697" s="5"/>
      <c r="O1697" s="5" t="str">
        <v>7802756958</v>
      </c>
      <c r="P1697" s="27">
        <v>50000</v>
      </c>
      <c r="Q1697" s="5"/>
      <c r="R1697" s="5"/>
      <c r="S1697" s="5" t="s">
        <v>49029</v>
      </c>
      <c r="T1697" s="28">
        <v>74971000</v>
      </c>
      <c r="U1697" s="28"/>
      <c r="V1697" s="28">
        <v>1343806000</v>
      </c>
      <c r="W1697" s="28">
        <v>256000000</v>
      </c>
      <c r="X1697" s="28">
        <v>30127000</v>
      </c>
      <c r="Y1697" s="28">
        <v>2338272000</v>
      </c>
      <c r="Z1697" s="28">
        <v>416465000</v>
      </c>
      <c r="AA1697" s="28"/>
      <c r="AB1697" s="28">
        <v>588888000</v>
      </c>
      <c r="AC1697" s="28">
        <v>1921757000</v>
      </c>
      <c r="AD1697" s="28">
        <v>416515000</v>
      </c>
      <c r="AE1697" s="28">
        <v>5130171000</v>
      </c>
      <c r="AF1697" s="28">
        <v>74364000</v>
      </c>
      <c r="AG1697" s="11"/>
    </row>
    <row r="1698">
      <c r="A1698" s="7" t="s">
        <v>3402</v>
      </c>
      <c r="B1698" s="5" t="s">
        <v>11391</v>
      </c>
      <c r="C1698" s="5" t="s">
        <v>19250</v>
      </c>
      <c r="D1698" s="5" t="str">
        <v>402905969413</v>
      </c>
      <c r="E1698" s="0" t="e">
        <f>+7 (473) 2622452
+7 (484) 3996155
+7 (48432) 49016
+7 (48438) 69350
+7 (48438) 69359
+7 (495) 7483838
+7 (812) 3206333
+7 (83170) 61925
+7 (8432) 42270
+7 (915) 8937962
+7 (960) 1359895
+7 (961) 2721339
+7 (962) 5093596
+7 (965) 6032083</f>
        <v>#NAME?</v>
      </c>
      <c r="F1698" s="5"/>
      <c r="G1698" s="5" t="s">
        <v>30455</v>
      </c>
      <c r="H1698" s="26">
        <v>15</v>
      </c>
      <c r="I1698" s="5" t="s">
        <v>30456</v>
      </c>
      <c r="J1698" s="5" t="s">
        <v>445</v>
      </c>
      <c r="K1698" s="5" t="s">
        <v>344</v>
      </c>
      <c r="L1698" s="5" t="s">
        <v>30457</v>
      </c>
      <c r="M1698" s="27">
        <v>3694449</v>
      </c>
      <c r="N1698" s="5"/>
      <c r="O1698" s="5" t="str">
        <v>4007013327</v>
      </c>
      <c r="P1698" s="27">
        <v>50000</v>
      </c>
      <c r="Q1698" s="5"/>
      <c r="R1698" s="5"/>
      <c r="S1698" s="5" t="s">
        <v>49029</v>
      </c>
      <c r="T1698" s="28">
        <v>4043358000</v>
      </c>
      <c r="U1698" s="28"/>
      <c r="V1698" s="28">
        <v>2005426000</v>
      </c>
      <c r="W1698" s="28">
        <v>4841400000</v>
      </c>
      <c r="X1698" s="28">
        <v>43447000</v>
      </c>
      <c r="Y1698" s="28">
        <v>13102956000</v>
      </c>
      <c r="Z1698" s="28">
        <v>7265195000</v>
      </c>
      <c r="AA1698" s="28"/>
      <c r="AB1698" s="28">
        <v>1860262000</v>
      </c>
      <c r="AC1698" s="28">
        <v>5752340000</v>
      </c>
      <c r="AD1698" s="28">
        <v>7265245000</v>
      </c>
      <c r="AE1698" s="28">
        <v>13131250000</v>
      </c>
      <c r="AF1698" s="28">
        <v>6554655000</v>
      </c>
      <c r="AG1698" s="11"/>
    </row>
    <row r="1699">
      <c r="A1699" s="7" t="s">
        <v>3403</v>
      </c>
      <c r="B1699" s="5" t="s">
        <v>11392</v>
      </c>
      <c r="C1699" s="5" t="s">
        <v>19251</v>
      </c>
      <c r="D1699" s="5" t="str">
        <v>366303429029</v>
      </c>
      <c r="E1699" s="0" t="e">
        <f>+7 (495) 6458057
+7 (495) 6199744
+7 (495) 7875369
+7 (800) 7755453</f>
        <v>#NAME?</v>
      </c>
      <c r="F1699" s="5" t="s">
        <v>30458</v>
      </c>
      <c r="G1699" s="5" t="s">
        <v>30459</v>
      </c>
      <c r="H1699" s="26">
        <v>21</v>
      </c>
      <c r="I1699" s="5"/>
      <c r="J1699" s="5" t="s">
        <v>30460</v>
      </c>
      <c r="K1699" s="5" t="s">
        <v>344</v>
      </c>
      <c r="L1699" s="5"/>
      <c r="M1699" s="27">
        <v>86517666</v>
      </c>
      <c r="N1699" s="5" t="s">
        <v>52022</v>
      </c>
      <c r="O1699" s="5" t="str">
        <v>7705445700</v>
      </c>
      <c r="P1699" s="27">
        <v>5000000</v>
      </c>
      <c r="Q1699" s="5" t="s">
        <v>52023</v>
      </c>
      <c r="R1699" s="5"/>
      <c r="S1699" s="5" t="s">
        <v>52024</v>
      </c>
      <c r="T1699" s="28">
        <v>9182956000</v>
      </c>
      <c r="U1699" s="28">
        <v>10540000</v>
      </c>
      <c r="V1699" s="28">
        <v>1828790000</v>
      </c>
      <c r="W1699" s="28"/>
      <c r="X1699" s="28">
        <v>2619627000</v>
      </c>
      <c r="Y1699" s="28">
        <v>15296415000</v>
      </c>
      <c r="Z1699" s="28">
        <v>3745569000</v>
      </c>
      <c r="AA1699" s="28"/>
      <c r="AB1699" s="28"/>
      <c r="AC1699" s="28">
        <v>3031703000</v>
      </c>
      <c r="AD1699" s="28">
        <v>4272354000</v>
      </c>
      <c r="AE1699" s="28">
        <v>19901286000</v>
      </c>
      <c r="AF1699" s="28">
        <v>3729195000</v>
      </c>
      <c r="AG1699" s="11"/>
    </row>
    <row r="1700">
      <c r="A1700" s="7" t="s">
        <v>3404</v>
      </c>
      <c r="B1700" s="5" t="s">
        <v>11393</v>
      </c>
      <c r="C1700" s="5" t="s">
        <v>19252</v>
      </c>
      <c r="D1700" s="5" t="str">
        <v>231708618168</v>
      </c>
      <c r="E1700" s="0" t="e">
        <f>+7 (988) 2489379</f>
        <v>#NAME?</v>
      </c>
      <c r="F1700" s="5" t="s">
        <v>30461</v>
      </c>
      <c r="G1700" s="5" t="s">
        <v>30462</v>
      </c>
      <c r="H1700" s="26">
        <v>26</v>
      </c>
      <c r="I1700" s="5" t="s">
        <v>30463</v>
      </c>
      <c r="J1700" s="5" t="s">
        <v>26383</v>
      </c>
      <c r="K1700" s="5" t="s">
        <v>355</v>
      </c>
      <c r="L1700" s="5" t="s">
        <v>30464</v>
      </c>
      <c r="M1700" s="27">
        <v>502000</v>
      </c>
      <c r="N1700" s="5"/>
      <c r="O1700" s="5" t="str">
        <v>2311046562</v>
      </c>
      <c r="P1700" s="27">
        <v>20017000</v>
      </c>
      <c r="Q1700" s="5" t="s">
        <v>49324</v>
      </c>
      <c r="R1700" s="5" t="s">
        <v>52025</v>
      </c>
      <c r="S1700" s="5" t="s">
        <v>52026</v>
      </c>
      <c r="T1700" s="28">
        <v>426723000</v>
      </c>
      <c r="U1700" s="28"/>
      <c r="V1700" s="28">
        <v>1655508000</v>
      </c>
      <c r="W1700" s="28"/>
      <c r="X1700" s="28">
        <v>9001000</v>
      </c>
      <c r="Y1700" s="28">
        <v>3329251000</v>
      </c>
      <c r="Z1700" s="28">
        <v>419279000</v>
      </c>
      <c r="AA1700" s="28">
        <v>1672940000</v>
      </c>
      <c r="AB1700" s="28"/>
      <c r="AC1700" s="28">
        <v>1057656000</v>
      </c>
      <c r="AD1700" s="28">
        <v>439296000</v>
      </c>
      <c r="AE1700" s="28">
        <v>4546786000</v>
      </c>
      <c r="AF1700" s="28">
        <v>98289000</v>
      </c>
      <c r="AG1700" s="11"/>
    </row>
    <row r="1701">
      <c r="A1701" s="7" t="s">
        <v>3405</v>
      </c>
      <c r="B1701" s="5" t="s">
        <v>11394</v>
      </c>
      <c r="C1701" s="5" t="s">
        <v>19253</v>
      </c>
      <c r="D1701" s="5" t="str">
        <v>772813942100</v>
      </c>
      <c r="E1701" s="0" t="e">
        <f>+7 (903) 3456644</f>
        <v>#NAME?</v>
      </c>
      <c r="F1701" s="5" t="s">
        <v>30465</v>
      </c>
      <c r="G1701" s="5"/>
      <c r="H1701" s="26">
        <v>6.5</v>
      </c>
      <c r="I1701" s="5" t="s">
        <v>30466</v>
      </c>
      <c r="J1701" s="5" t="s">
        <v>26918</v>
      </c>
      <c r="K1701" s="5" t="s">
        <v>344</v>
      </c>
      <c r="L1701" s="5" t="s">
        <v>30467</v>
      </c>
      <c r="M1701" s="27"/>
      <c r="N1701" s="5" t="s">
        <v>52027</v>
      </c>
      <c r="O1701" s="5" t="str">
        <v>7733298398</v>
      </c>
      <c r="P1701" s="27">
        <v>1000000</v>
      </c>
      <c r="Q1701" s="5" t="s">
        <v>50611</v>
      </c>
      <c r="R1701" s="5"/>
      <c r="S1701" s="5" t="s">
        <v>52028</v>
      </c>
      <c r="T1701" s="28">
        <v>9605000</v>
      </c>
      <c r="U1701" s="28"/>
      <c r="V1701" s="28">
        <v>1603482000</v>
      </c>
      <c r="W1701" s="28">
        <v>1333650000</v>
      </c>
      <c r="X1701" s="28">
        <v>21515000</v>
      </c>
      <c r="Y1701" s="28">
        <v>4348979000</v>
      </c>
      <c r="Z1701" s="28">
        <v>68143000</v>
      </c>
      <c r="AA1701" s="28"/>
      <c r="AB1701" s="28"/>
      <c r="AC1701" s="28">
        <v>4279836000</v>
      </c>
      <c r="AD1701" s="28">
        <v>69143000</v>
      </c>
      <c r="AE1701" s="28">
        <v>4459969000</v>
      </c>
      <c r="AF1701" s="28">
        <v>68143000</v>
      </c>
      <c r="AG1701" s="11"/>
    </row>
    <row r="1702">
      <c r="A1702" s="7" t="s">
        <v>3406</v>
      </c>
      <c r="B1702" s="5" t="s">
        <v>11395</v>
      </c>
      <c r="C1702" s="5" t="s">
        <v>19254</v>
      </c>
      <c r="D1702" s="5" t="str">
        <v>165806973975</v>
      </c>
      <c r="E1702" s="0" t="e">
        <f>+7 (843) 5703946
+7 (843) 5703947
+7 (8432) 217000
+7 (8432) 217001
+7 (8432) 218000
+7 (916) 254823</f>
        <v>#NAME?</v>
      </c>
      <c r="F1702" s="5"/>
      <c r="G1702" s="5" t="s">
        <v>30468</v>
      </c>
      <c r="H1702" s="26">
        <v>17</v>
      </c>
      <c r="I1702" s="5" t="s">
        <v>30469</v>
      </c>
      <c r="J1702" s="5" t="s">
        <v>30470</v>
      </c>
      <c r="K1702" s="5" t="s">
        <v>344</v>
      </c>
      <c r="L1702" s="5"/>
      <c r="M1702" s="27"/>
      <c r="N1702" s="5" t="s">
        <v>52029</v>
      </c>
      <c r="O1702" s="5" t="str">
        <v>1655107067</v>
      </c>
      <c r="P1702" s="27">
        <v>40000000</v>
      </c>
      <c r="Q1702" s="5" t="s">
        <v>52030</v>
      </c>
      <c r="R1702" s="5"/>
      <c r="S1702" s="5" t="s">
        <v>52031</v>
      </c>
      <c r="T1702" s="28">
        <v>966586000</v>
      </c>
      <c r="U1702" s="28">
        <v>1207000</v>
      </c>
      <c r="V1702" s="28">
        <v>1227618000</v>
      </c>
      <c r="W1702" s="28">
        <v>106188000</v>
      </c>
      <c r="X1702" s="28">
        <v>156888000</v>
      </c>
      <c r="Y1702" s="28">
        <v>4664567000</v>
      </c>
      <c r="Z1702" s="28">
        <v>3063569000</v>
      </c>
      <c r="AA1702" s="28"/>
      <c r="AB1702" s="28">
        <v>201715000</v>
      </c>
      <c r="AC1702" s="28">
        <v>1533020000</v>
      </c>
      <c r="AD1702" s="28">
        <v>3103569000</v>
      </c>
      <c r="AE1702" s="28">
        <v>3338296000</v>
      </c>
      <c r="AF1702" s="28">
        <v>95640000</v>
      </c>
      <c r="AG1702" s="11"/>
    </row>
    <row r="1703">
      <c r="A1703" s="7" t="s">
        <v>3407</v>
      </c>
      <c r="B1703" s="5" t="s">
        <v>11396</v>
      </c>
      <c r="C1703" s="5" t="s">
        <v>19255</v>
      </c>
      <c r="D1703" s="5" t="str">
        <v>221101321970</v>
      </c>
      <c r="E1703" s="0" t="e">
        <f>+7 (383) 2408001
+7 (383) 2408002
+7 (383) 3140205
+7 (383) 3463996
+7 (383) 3633637</f>
        <v>#NAME?</v>
      </c>
      <c r="F1703" s="5" t="s">
        <v>30471</v>
      </c>
      <c r="G1703" s="5" t="s">
        <v>30472</v>
      </c>
      <c r="H1703" s="26">
        <v>17</v>
      </c>
      <c r="I1703" s="5" t="s">
        <v>30473</v>
      </c>
      <c r="J1703" s="5" t="s">
        <v>27855</v>
      </c>
      <c r="K1703" s="5" t="s">
        <v>344</v>
      </c>
      <c r="L1703" s="5" t="s">
        <v>30474</v>
      </c>
      <c r="M1703" s="27"/>
      <c r="N1703" s="5"/>
      <c r="O1703" s="5" t="str">
        <v>5405314830</v>
      </c>
      <c r="P1703" s="27">
        <v>2000000</v>
      </c>
      <c r="Q1703" s="5" t="s">
        <v>49009</v>
      </c>
      <c r="R1703" s="5"/>
      <c r="S1703" s="5" t="s">
        <v>49066</v>
      </c>
      <c r="T1703" s="28">
        <v>23265000</v>
      </c>
      <c r="U1703" s="28"/>
      <c r="V1703" s="28">
        <v>106477000</v>
      </c>
      <c r="W1703" s="28"/>
      <c r="X1703" s="28">
        <v>69321000</v>
      </c>
      <c r="Y1703" s="28">
        <v>1343254000</v>
      </c>
      <c r="Z1703" s="28">
        <v>174135000</v>
      </c>
      <c r="AA1703" s="28"/>
      <c r="AB1703" s="28"/>
      <c r="AC1703" s="28">
        <v>1166747000</v>
      </c>
      <c r="AD1703" s="28">
        <v>176135000</v>
      </c>
      <c r="AE1703" s="28">
        <v>3967187000</v>
      </c>
      <c r="AF1703" s="28">
        <v>14433000</v>
      </c>
      <c r="AG1703" s="11"/>
    </row>
    <row r="1704">
      <c r="A1704" s="7" t="s">
        <v>3408</v>
      </c>
      <c r="B1704" s="5" t="s">
        <v>11397</v>
      </c>
      <c r="C1704" s="5" t="s">
        <v>19256</v>
      </c>
      <c r="D1704" s="5" t="str">
        <v>745000466613</v>
      </c>
      <c r="E1704" s="0" t="e">
        <f>+7 (951) 2533865</f>
        <v>#NAME?</v>
      </c>
      <c r="F1704" s="5" t="s">
        <v>30475</v>
      </c>
      <c r="G1704" s="5" t="s">
        <v>30476</v>
      </c>
      <c r="H1704" s="26">
        <v>13</v>
      </c>
      <c r="I1704" s="5" t="s">
        <v>30477</v>
      </c>
      <c r="J1704" s="5" t="s">
        <v>28950</v>
      </c>
      <c r="K1704" s="5" t="s">
        <v>344</v>
      </c>
      <c r="L1704" s="5" t="s">
        <v>30478</v>
      </c>
      <c r="M1704" s="27">
        <v>65960</v>
      </c>
      <c r="N1704" s="5"/>
      <c r="O1704" s="5" t="str">
        <v>7404054220</v>
      </c>
      <c r="P1704" s="27">
        <v>50000000</v>
      </c>
      <c r="Q1704" s="5" t="s">
        <v>49207</v>
      </c>
      <c r="R1704" s="5"/>
      <c r="S1704" s="5" t="s">
        <v>50911</v>
      </c>
      <c r="T1704" s="28">
        <v>1867678000</v>
      </c>
      <c r="U1704" s="28"/>
      <c r="V1704" s="28">
        <v>229770000</v>
      </c>
      <c r="W1704" s="28">
        <v>393000000</v>
      </c>
      <c r="X1704" s="28">
        <v>231006000</v>
      </c>
      <c r="Y1704" s="28">
        <v>3508909000</v>
      </c>
      <c r="Z1704" s="28">
        <v>1149463000</v>
      </c>
      <c r="AA1704" s="28">
        <v>2047758000</v>
      </c>
      <c r="AB1704" s="28">
        <v>5559000</v>
      </c>
      <c r="AC1704" s="28">
        <v>210040000</v>
      </c>
      <c r="AD1704" s="28">
        <v>1199463000</v>
      </c>
      <c r="AE1704" s="28">
        <v>3024948000</v>
      </c>
      <c r="AF1704" s="28">
        <v>918612000</v>
      </c>
      <c r="AG1704" s="11"/>
    </row>
    <row r="1705">
      <c r="A1705" s="7" t="s">
        <v>3409</v>
      </c>
      <c r="B1705" s="5" t="s">
        <v>11398</v>
      </c>
      <c r="C1705" s="5" t="s">
        <v>19257</v>
      </c>
      <c r="D1705" s="5" t="str">
        <v>521202351056</v>
      </c>
      <c r="E1705" s="0" t="e">
        <f>+7 (910) 1381936
+7 (83143) 52501
+7 (83143) 52502
+7 (83143) 52504
+7 (83163) 21409
+7 (83163) 21964
+7 (910) 7900138</f>
        <v>#NAME?</v>
      </c>
      <c r="F1705" s="5" t="s">
        <v>30479</v>
      </c>
      <c r="G1705" s="5" t="s">
        <v>30480</v>
      </c>
      <c r="H1705" s="26">
        <v>26.5</v>
      </c>
      <c r="I1705" s="5" t="s">
        <v>30481</v>
      </c>
      <c r="J1705" s="5" t="s">
        <v>364</v>
      </c>
      <c r="K1705" s="5" t="s">
        <v>344</v>
      </c>
      <c r="L1705" s="5"/>
      <c r="M1705" s="27">
        <v>3308596</v>
      </c>
      <c r="N1705" s="5" t="s">
        <v>52032</v>
      </c>
      <c r="O1705" s="5" t="str">
        <v>5212004711</v>
      </c>
      <c r="P1705" s="27">
        <v>2507950</v>
      </c>
      <c r="Q1705" s="5" t="s">
        <v>52033</v>
      </c>
      <c r="R1705" s="5"/>
      <c r="S1705" s="5" t="s">
        <v>52034</v>
      </c>
      <c r="T1705" s="28">
        <v>699619000</v>
      </c>
      <c r="U1705" s="28"/>
      <c r="V1705" s="28">
        <v>481767000</v>
      </c>
      <c r="W1705" s="28"/>
      <c r="X1705" s="28">
        <v>270952000</v>
      </c>
      <c r="Y1705" s="28">
        <v>1690038000</v>
      </c>
      <c r="Z1705" s="28">
        <v>389989000</v>
      </c>
      <c r="AA1705" s="28"/>
      <c r="AB1705" s="28">
        <v>28916000</v>
      </c>
      <c r="AC1705" s="28">
        <v>1086341000</v>
      </c>
      <c r="AD1705" s="28">
        <v>392497000</v>
      </c>
      <c r="AE1705" s="28">
        <v>3504233000</v>
      </c>
      <c r="AF1705" s="28">
        <v>67601000</v>
      </c>
      <c r="AG1705" s="11"/>
    </row>
    <row r="1706">
      <c r="A1706" s="7" t="s">
        <v>3410</v>
      </c>
      <c r="B1706" s="5" t="s">
        <v>11399</v>
      </c>
      <c r="C1706" s="5" t="s">
        <v>19258</v>
      </c>
      <c r="D1706" s="5" t="str">
        <v>773603015937</v>
      </c>
      <c r="E1706" s="0" t="e">
        <f>+7 (903) 7234133
+7 (812) 3329791</f>
        <v>#NAME?</v>
      </c>
      <c r="F1706" s="5" t="s">
        <v>30482</v>
      </c>
      <c r="G1706" s="5" t="s">
        <v>30483</v>
      </c>
      <c r="H1706" s="26">
        <v>4.5</v>
      </c>
      <c r="I1706" s="5" t="s">
        <v>30484</v>
      </c>
      <c r="J1706" s="5" t="s">
        <v>25837</v>
      </c>
      <c r="K1706" s="5" t="s">
        <v>344</v>
      </c>
      <c r="L1706" s="5" t="s">
        <v>30485</v>
      </c>
      <c r="M1706" s="27"/>
      <c r="N1706" s="5" t="s">
        <v>52035</v>
      </c>
      <c r="O1706" s="5" t="str">
        <v>7734416982</v>
      </c>
      <c r="P1706" s="27">
        <v>3000000</v>
      </c>
      <c r="Q1706" s="5" t="s">
        <v>52036</v>
      </c>
      <c r="R1706" s="5"/>
      <c r="S1706" s="5" t="s">
        <v>50538</v>
      </c>
      <c r="T1706" s="28">
        <v>4628000</v>
      </c>
      <c r="U1706" s="28"/>
      <c r="V1706" s="28">
        <v>362640000</v>
      </c>
      <c r="W1706" s="28">
        <v>189800000</v>
      </c>
      <c r="X1706" s="28">
        <v>2475000</v>
      </c>
      <c r="Y1706" s="28">
        <v>869554000</v>
      </c>
      <c r="Z1706" s="28">
        <v>174393000</v>
      </c>
      <c r="AA1706" s="28">
        <v>579500000</v>
      </c>
      <c r="AB1706" s="28">
        <v>69565000</v>
      </c>
      <c r="AC1706" s="28">
        <v>112661000</v>
      </c>
      <c r="AD1706" s="28">
        <v>177393000</v>
      </c>
      <c r="AE1706" s="28">
        <v>5843507000</v>
      </c>
      <c r="AF1706" s="28">
        <v>172425000</v>
      </c>
      <c r="AG1706" s="11"/>
    </row>
    <row r="1707">
      <c r="A1707" s="7" t="s">
        <v>3411</v>
      </c>
      <c r="B1707" s="5" t="s">
        <v>11400</v>
      </c>
      <c r="C1707" s="5" t="s">
        <v>19259</v>
      </c>
      <c r="D1707" s="5" t="str">
        <v>231126935601</v>
      </c>
      <c r="E1707" s="0" t="e">
        <f>+7 (918) 1606020
+7 (918) 9794281</f>
        <v>#NAME?</v>
      </c>
      <c r="F1707" s="5" t="s">
        <v>30486</v>
      </c>
      <c r="G1707" s="5" t="s">
        <v>30487</v>
      </c>
      <c r="H1707" s="26">
        <v>6.5</v>
      </c>
      <c r="I1707" s="5" t="s">
        <v>30488</v>
      </c>
      <c r="J1707" s="5" t="s">
        <v>364</v>
      </c>
      <c r="K1707" s="5" t="s">
        <v>344</v>
      </c>
      <c r="L1707" s="5" t="s">
        <v>30489</v>
      </c>
      <c r="M1707" s="27"/>
      <c r="N1707" s="5" t="s">
        <v>52037</v>
      </c>
      <c r="O1707" s="5" t="str">
        <v>2312246941</v>
      </c>
      <c r="P1707" s="27">
        <v>12500</v>
      </c>
      <c r="Q1707" s="5" t="s">
        <v>52038</v>
      </c>
      <c r="R1707" s="5" t="s">
        <v>50037</v>
      </c>
      <c r="S1707" s="5" t="s">
        <v>52039</v>
      </c>
      <c r="T1707" s="28">
        <v>165267000</v>
      </c>
      <c r="U1707" s="28"/>
      <c r="V1707" s="28">
        <v>1562606000</v>
      </c>
      <c r="W1707" s="28">
        <v>522915000</v>
      </c>
      <c r="X1707" s="28">
        <v>2116000</v>
      </c>
      <c r="Y1707" s="28">
        <v>3383223000</v>
      </c>
      <c r="Z1707" s="28">
        <v>705651000</v>
      </c>
      <c r="AA1707" s="28"/>
      <c r="AB1707" s="28">
        <v>5392000</v>
      </c>
      <c r="AC1707" s="28">
        <v>2607103000</v>
      </c>
      <c r="AD1707" s="28">
        <v>705664000</v>
      </c>
      <c r="AE1707" s="28">
        <v>8270523000</v>
      </c>
      <c r="AF1707" s="28">
        <v>262825000</v>
      </c>
      <c r="AG1707" s="11"/>
    </row>
    <row r="1708">
      <c r="A1708" s="7" t="s">
        <v>3412</v>
      </c>
      <c r="B1708" s="5" t="s">
        <v>11401</v>
      </c>
      <c r="C1708" s="5" t="s">
        <v>19260</v>
      </c>
      <c r="D1708" s="5" t="str">
        <v>504212221387</v>
      </c>
      <c r="E1708" s="0" t="e">
        <f>+7 (914) 5388900
+7 (416) 2355350
+7 (416) 2365746
+7 (416) 2470136
+7 (416) 2477820
+7 (416) 2477902</f>
        <v>#NAME?</v>
      </c>
      <c r="F1708" s="5" t="s">
        <v>30490</v>
      </c>
      <c r="G1708" s="5"/>
      <c r="H1708" s="26">
        <v>10</v>
      </c>
      <c r="I1708" s="5" t="s">
        <v>30491</v>
      </c>
      <c r="J1708" s="5" t="s">
        <v>25738</v>
      </c>
      <c r="K1708" s="5" t="s">
        <v>344</v>
      </c>
      <c r="L1708" s="5" t="s">
        <v>30492</v>
      </c>
      <c r="M1708" s="27">
        <v>15000</v>
      </c>
      <c r="N1708" s="5"/>
      <c r="O1708" s="5" t="str">
        <v>2801183342</v>
      </c>
      <c r="P1708" s="27">
        <v>10000000</v>
      </c>
      <c r="Q1708" s="5" t="s">
        <v>49414</v>
      </c>
      <c r="R1708" s="5"/>
      <c r="S1708" s="5" t="s">
        <v>52040</v>
      </c>
      <c r="T1708" s="28">
        <v>285358000</v>
      </c>
      <c r="U1708" s="28"/>
      <c r="V1708" s="28">
        <v>8235000</v>
      </c>
      <c r="W1708" s="28">
        <v>66666000</v>
      </c>
      <c r="X1708" s="28">
        <v>56993000</v>
      </c>
      <c r="Y1708" s="28">
        <v>490689000</v>
      </c>
      <c r="Z1708" s="28">
        <v>237953000</v>
      </c>
      <c r="AA1708" s="28">
        <v>25500000</v>
      </c>
      <c r="AB1708" s="28">
        <v>37000000</v>
      </c>
      <c r="AC1708" s="28">
        <v>216695000</v>
      </c>
      <c r="AD1708" s="28">
        <v>247953000</v>
      </c>
      <c r="AE1708" s="28">
        <v>4042691000</v>
      </c>
      <c r="AF1708" s="28">
        <v>96977000</v>
      </c>
      <c r="AG1708" s="11"/>
    </row>
    <row r="1709">
      <c r="A1709" s="7" t="s">
        <v>3413</v>
      </c>
      <c r="B1709" s="5" t="s">
        <v>11402</v>
      </c>
      <c r="C1709" s="5" t="s">
        <v>19261</v>
      </c>
      <c r="D1709" s="5" t="str">
        <v>662516045821</v>
      </c>
      <c r="E1709" s="0" t="e">
        <f>+7 (3433) 792159
+7 (343) 3381027
+7 (343) 3792158
+7 (34365) 43223</f>
        <v>#NAME?</v>
      </c>
      <c r="F1709" s="5" t="s">
        <v>30493</v>
      </c>
      <c r="G1709" s="5" t="s">
        <v>30494</v>
      </c>
      <c r="H1709" s="26">
        <v>8</v>
      </c>
      <c r="I1709" s="5" t="s">
        <v>30495</v>
      </c>
      <c r="J1709" s="5" t="s">
        <v>28004</v>
      </c>
      <c r="K1709" s="5" t="s">
        <v>344</v>
      </c>
      <c r="L1709" s="5" t="s">
        <v>30496</v>
      </c>
      <c r="M1709" s="27"/>
      <c r="N1709" s="5" t="s">
        <v>52041</v>
      </c>
      <c r="O1709" s="5" t="str">
        <v>6685084240</v>
      </c>
      <c r="P1709" s="27">
        <v>250000</v>
      </c>
      <c r="Q1709" s="5" t="s">
        <v>49021</v>
      </c>
      <c r="R1709" s="5"/>
      <c r="S1709" s="5" t="s">
        <v>52042</v>
      </c>
      <c r="T1709" s="28">
        <v>161403000</v>
      </c>
      <c r="U1709" s="28">
        <v>174322000</v>
      </c>
      <c r="V1709" s="28">
        <v>1069249000</v>
      </c>
      <c r="W1709" s="28">
        <v>17164000</v>
      </c>
      <c r="X1709" s="28">
        <v>391041000</v>
      </c>
      <c r="Y1709" s="28">
        <v>2479244000</v>
      </c>
      <c r="Z1709" s="28">
        <v>1688915000</v>
      </c>
      <c r="AA1709" s="28"/>
      <c r="AB1709" s="28"/>
      <c r="AC1709" s="28">
        <v>777518000</v>
      </c>
      <c r="AD1709" s="28">
        <v>1689165000</v>
      </c>
      <c r="AE1709" s="28">
        <v>3338250000</v>
      </c>
      <c r="AF1709" s="28">
        <v>269538000</v>
      </c>
      <c r="AG1709" s="11"/>
    </row>
    <row r="1710">
      <c r="A1710" s="7" t="s">
        <v>3414</v>
      </c>
      <c r="B1710" s="5" t="s">
        <v>11403</v>
      </c>
      <c r="C1710" s="5" t="s">
        <v>19262</v>
      </c>
      <c r="D1710" s="5" t="str">
        <v>165801444417</v>
      </c>
      <c r="E1710" s="0" t="e">
        <f>+7 (843) 2679334
+7 (8432) 350322
+7 (8432) 679030
+7 (987) 2685965
+7 (8432) 677677
+7 (8432) 679322
+7 (987) 2972003</f>
        <v>#NAME?</v>
      </c>
      <c r="F1710" s="5" t="s">
        <v>30497</v>
      </c>
      <c r="G1710" s="5" t="s">
        <v>30498</v>
      </c>
      <c r="H1710" s="26">
        <v>24.5</v>
      </c>
      <c r="I1710" s="5" t="s">
        <v>30499</v>
      </c>
      <c r="J1710" s="5" t="s">
        <v>364</v>
      </c>
      <c r="K1710" s="5" t="s">
        <v>344</v>
      </c>
      <c r="L1710" s="5" t="s">
        <v>30500</v>
      </c>
      <c r="M1710" s="27">
        <v>426074</v>
      </c>
      <c r="N1710" s="5" t="s">
        <v>52043</v>
      </c>
      <c r="O1710" s="5" t="str">
        <v>1619001876</v>
      </c>
      <c r="P1710" s="27">
        <v>1200000</v>
      </c>
      <c r="Q1710" s="5" t="s">
        <v>52044</v>
      </c>
      <c r="R1710" s="5"/>
      <c r="S1710" s="5" t="s">
        <v>52045</v>
      </c>
      <c r="T1710" s="28">
        <v>244023000</v>
      </c>
      <c r="U1710" s="28">
        <v>147857000</v>
      </c>
      <c r="V1710" s="28">
        <v>119689000</v>
      </c>
      <c r="W1710" s="28">
        <v>145893000</v>
      </c>
      <c r="X1710" s="28">
        <v>537755000</v>
      </c>
      <c r="Y1710" s="28">
        <v>3807579000</v>
      </c>
      <c r="Z1710" s="28">
        <v>962498000</v>
      </c>
      <c r="AA1710" s="28">
        <v>1665876000</v>
      </c>
      <c r="AB1710" s="28">
        <v>14484000</v>
      </c>
      <c r="AC1710" s="28">
        <v>1155671000</v>
      </c>
      <c r="AD1710" s="28">
        <v>963698000</v>
      </c>
      <c r="AE1710" s="28">
        <v>6199251000</v>
      </c>
      <c r="AF1710" s="28">
        <v>108184000</v>
      </c>
      <c r="AG1710" s="11"/>
    </row>
    <row r="1711">
      <c r="A1711" s="7" t="s">
        <v>3415</v>
      </c>
      <c r="B1711" s="5" t="s">
        <v>11404</v>
      </c>
      <c r="C1711" s="5" t="s">
        <v>19263</v>
      </c>
      <c r="D1711" s="5" t="str">
        <v>760708464102</v>
      </c>
      <c r="E1711" s="0" t="e">
        <f>+7 (485) 2206011
+7 (485) 2206333
+7 (485) 2206388
+7 (485) 2206399</f>
        <v>#NAME?</v>
      </c>
      <c r="F1711" s="5"/>
      <c r="G1711" s="5"/>
      <c r="H1711" s="26">
        <v>20</v>
      </c>
      <c r="I1711" s="5" t="s">
        <v>30501</v>
      </c>
      <c r="J1711" s="5" t="s">
        <v>25327</v>
      </c>
      <c r="K1711" s="5" t="s">
        <v>344</v>
      </c>
      <c r="L1711" s="5" t="s">
        <v>30502</v>
      </c>
      <c r="M1711" s="27"/>
      <c r="N1711" s="5"/>
      <c r="O1711" s="5" t="str">
        <v>7627023842</v>
      </c>
      <c r="P1711" s="27">
        <v>10000</v>
      </c>
      <c r="Q1711" s="5" t="s">
        <v>49057</v>
      </c>
      <c r="R1711" s="5"/>
      <c r="S1711" s="5" t="s">
        <v>49452</v>
      </c>
      <c r="T1711" s="28">
        <v>5515000</v>
      </c>
      <c r="U1711" s="28"/>
      <c r="V1711" s="28">
        <v>176877000</v>
      </c>
      <c r="W1711" s="28"/>
      <c r="X1711" s="28">
        <v>28493000</v>
      </c>
      <c r="Y1711" s="28">
        <v>213219000</v>
      </c>
      <c r="Z1711" s="28">
        <v>101187000</v>
      </c>
      <c r="AA1711" s="28"/>
      <c r="AB1711" s="28"/>
      <c r="AC1711" s="28">
        <v>111855000</v>
      </c>
      <c r="AD1711" s="28">
        <v>101197000</v>
      </c>
      <c r="AE1711" s="28">
        <v>5091906000</v>
      </c>
      <c r="AF1711" s="28">
        <v>20901000</v>
      </c>
      <c r="AG1711" s="11"/>
    </row>
    <row r="1712">
      <c r="A1712" s="7" t="s">
        <v>3416</v>
      </c>
      <c r="B1712" s="5" t="s">
        <v>11405</v>
      </c>
      <c r="C1712" s="5" t="s">
        <v>19264</v>
      </c>
      <c r="D1712" s="5" t="str">
        <v>772436692491</v>
      </c>
      <c r="E1712" s="0" t="e">
        <f>+7 (977) 7578746</f>
        <v>#NAME?</v>
      </c>
      <c r="F1712" s="5" t="s">
        <v>30503</v>
      </c>
      <c r="G1712" s="5"/>
      <c r="H1712" s="26">
        <v>0.5</v>
      </c>
      <c r="I1712" s="5" t="s">
        <v>30504</v>
      </c>
      <c r="J1712" s="5" t="s">
        <v>25837</v>
      </c>
      <c r="K1712" s="5" t="s">
        <v>344</v>
      </c>
      <c r="L1712" s="5"/>
      <c r="M1712" s="27"/>
      <c r="N1712" s="5"/>
      <c r="O1712" s="5" t="str">
        <v>7708406392</v>
      </c>
      <c r="P1712" s="27">
        <v>10000</v>
      </c>
      <c r="Q1712" s="5"/>
      <c r="R1712" s="5"/>
      <c r="S1712" s="5" t="s">
        <v>49029</v>
      </c>
      <c r="T1712" s="28">
        <v>43461000</v>
      </c>
      <c r="U1712" s="28"/>
      <c r="V1712" s="28">
        <v>43786399000</v>
      </c>
      <c r="W1712" s="28"/>
      <c r="X1712" s="28">
        <v>2137434000</v>
      </c>
      <c r="Y1712" s="28">
        <v>46732913000</v>
      </c>
      <c r="Z1712" s="28">
        <v>200274000</v>
      </c>
      <c r="AA1712" s="28"/>
      <c r="AB1712" s="28"/>
      <c r="AC1712" s="28">
        <v>45760680000</v>
      </c>
      <c r="AD1712" s="28">
        <v>200284000</v>
      </c>
      <c r="AE1712" s="28">
        <v>61953405000</v>
      </c>
      <c r="AF1712" s="28">
        <v>200274000</v>
      </c>
      <c r="AG1712" s="11"/>
    </row>
    <row r="1713">
      <c r="A1713" s="7" t="s">
        <v>3417</v>
      </c>
      <c r="B1713" s="5" t="s">
        <v>11406</v>
      </c>
      <c r="C1713" s="5" t="s">
        <v>19265</v>
      </c>
      <c r="D1713" s="5" t="str">
        <v>611600129280</v>
      </c>
      <c r="E1713" s="0" t="e">
        <f>+7 (8632) 17517
+7 (8632) 754273
+7 (86352) 26773
+7 (928) 1113415
+7 (928) 7720000</f>
        <v>#NAME?</v>
      </c>
      <c r="F1713" s="5" t="s">
        <v>30505</v>
      </c>
      <c r="G1713" s="5" t="s">
        <v>30506</v>
      </c>
      <c r="H1713" s="26">
        <v>15</v>
      </c>
      <c r="I1713" s="5" t="s">
        <v>30507</v>
      </c>
      <c r="J1713" s="5" t="s">
        <v>25837</v>
      </c>
      <c r="K1713" s="5" t="s">
        <v>344</v>
      </c>
      <c r="L1713" s="5" t="s">
        <v>30508</v>
      </c>
      <c r="M1713" s="27">
        <v>184574</v>
      </c>
      <c r="N1713" s="5"/>
      <c r="O1713" s="5" t="str">
        <v>6125026990</v>
      </c>
      <c r="P1713" s="27">
        <v>1000000</v>
      </c>
      <c r="Q1713" s="5"/>
      <c r="R1713" s="5"/>
      <c r="S1713" s="5" t="s">
        <v>49029</v>
      </c>
      <c r="T1713" s="28">
        <v>76781000</v>
      </c>
      <c r="U1713" s="28"/>
      <c r="V1713" s="28">
        <v>3685819000</v>
      </c>
      <c r="W1713" s="28">
        <v>37125000</v>
      </c>
      <c r="X1713" s="28">
        <v>149000</v>
      </c>
      <c r="Y1713" s="28">
        <v>4469478000</v>
      </c>
      <c r="Z1713" s="28">
        <v>1444743000</v>
      </c>
      <c r="AA1713" s="28"/>
      <c r="AB1713" s="28">
        <v>1999493000</v>
      </c>
      <c r="AC1713" s="28">
        <v>2914110000</v>
      </c>
      <c r="AD1713" s="28">
        <v>1445743000</v>
      </c>
      <c r="AE1713" s="28">
        <v>17389636000</v>
      </c>
      <c r="AF1713" s="28">
        <v>649844000</v>
      </c>
      <c r="AG1713" s="11"/>
    </row>
    <row r="1714">
      <c r="A1714" s="7" t="s">
        <v>3418</v>
      </c>
      <c r="B1714" s="5" t="s">
        <v>11407</v>
      </c>
      <c r="C1714" s="5" t="s">
        <v>19266</v>
      </c>
      <c r="D1714" s="5" t="str">
        <v>366217676105</v>
      </c>
      <c r="E1714" s="0" t="e">
        <f>+7 (919) 1300147
+7 (495) 7898941
+7 (920) 7201114
+7 (920) 7250115</f>
        <v>#NAME?</v>
      </c>
      <c r="F1714" s="5" t="s">
        <v>30509</v>
      </c>
      <c r="G1714" s="5" t="s">
        <v>30510</v>
      </c>
      <c r="H1714" s="26">
        <v>8</v>
      </c>
      <c r="I1714" s="5" t="s">
        <v>30511</v>
      </c>
      <c r="J1714" s="5" t="s">
        <v>25837</v>
      </c>
      <c r="K1714" s="5" t="s">
        <v>355</v>
      </c>
      <c r="L1714" s="5" t="s">
        <v>30512</v>
      </c>
      <c r="M1714" s="27"/>
      <c r="N1714" s="5"/>
      <c r="O1714" s="5" t="str">
        <v>7704316187</v>
      </c>
      <c r="P1714" s="27">
        <v>40000000</v>
      </c>
      <c r="Q1714" s="5"/>
      <c r="R1714" s="5"/>
      <c r="S1714" s="5" t="s">
        <v>49029</v>
      </c>
      <c r="T1714" s="28">
        <v>48469000</v>
      </c>
      <c r="U1714" s="28">
        <v>766564000</v>
      </c>
      <c r="V1714" s="28">
        <v>1498397000</v>
      </c>
      <c r="W1714" s="28"/>
      <c r="X1714" s="28">
        <v>539007000</v>
      </c>
      <c r="Y1714" s="28">
        <v>3297898000</v>
      </c>
      <c r="Z1714" s="28">
        <v>79704000</v>
      </c>
      <c r="AA1714" s="28">
        <v>627173000</v>
      </c>
      <c r="AB1714" s="28">
        <v>507588000</v>
      </c>
      <c r="AC1714" s="28">
        <v>2496883000</v>
      </c>
      <c r="AD1714" s="28">
        <v>119704000</v>
      </c>
      <c r="AE1714" s="28">
        <v>5561644000</v>
      </c>
      <c r="AF1714" s="28">
        <v>-31938000</v>
      </c>
      <c r="AG1714" s="11"/>
    </row>
    <row r="1715">
      <c r="A1715" s="7" t="s">
        <v>3419</v>
      </c>
      <c r="B1715" s="5" t="s">
        <v>11408</v>
      </c>
      <c r="C1715" s="5" t="s">
        <v>19267</v>
      </c>
      <c r="D1715" s="5" t="str">
        <v>772002165654</v>
      </c>
      <c r="E1715" s="0" t="e">
        <f>+7 (495) 7898941</f>
        <v>#NAME?</v>
      </c>
      <c r="F1715" s="5"/>
      <c r="G1715" s="5"/>
      <c r="H1715" s="26">
        <v>16.5</v>
      </c>
      <c r="I1715" s="5" t="s">
        <v>30513</v>
      </c>
      <c r="J1715" s="5" t="s">
        <v>25837</v>
      </c>
      <c r="K1715" s="5" t="s">
        <v>344</v>
      </c>
      <c r="L1715" s="5" t="s">
        <v>30514</v>
      </c>
      <c r="M1715" s="27"/>
      <c r="N1715" s="5"/>
      <c r="O1715" s="5" t="str">
        <v>7705742540</v>
      </c>
      <c r="P1715" s="27">
        <v>320010000</v>
      </c>
      <c r="Q1715" s="5" t="s">
        <v>49059</v>
      </c>
      <c r="R1715" s="5"/>
      <c r="S1715" s="5" t="s">
        <v>49425</v>
      </c>
      <c r="T1715" s="28">
        <v>44158000</v>
      </c>
      <c r="U1715" s="28"/>
      <c r="V1715" s="28">
        <v>2118639000</v>
      </c>
      <c r="W1715" s="28"/>
      <c r="X1715" s="28">
        <v>1048563000</v>
      </c>
      <c r="Y1715" s="28">
        <v>4794186000</v>
      </c>
      <c r="Z1715" s="28">
        <v>3109368000</v>
      </c>
      <c r="AA1715" s="28">
        <v>162300000</v>
      </c>
      <c r="AB1715" s="28">
        <v>475012000</v>
      </c>
      <c r="AC1715" s="28">
        <v>1179340000</v>
      </c>
      <c r="AD1715" s="28">
        <v>3429378000</v>
      </c>
      <c r="AE1715" s="28">
        <v>6900083000</v>
      </c>
      <c r="AF1715" s="28">
        <v>1209971000</v>
      </c>
      <c r="AG1715" s="11"/>
    </row>
    <row r="1716">
      <c r="A1716" s="7" t="s">
        <v>3420</v>
      </c>
      <c r="B1716" s="5" t="s">
        <v>11409</v>
      </c>
      <c r="C1716" s="5" t="s">
        <v>19268</v>
      </c>
      <c r="D1716" s="5" t="str">
        <v>463235395337</v>
      </c>
      <c r="E1716" s="0" t="e">
        <f>+7 (4712) 222054
+7 (915) 5183777</f>
        <v>#NAME?</v>
      </c>
      <c r="F1716" s="5" t="s">
        <v>30515</v>
      </c>
      <c r="G1716" s="5" t="s">
        <v>30516</v>
      </c>
      <c r="H1716" s="26">
        <v>8</v>
      </c>
      <c r="I1716" s="5" t="s">
        <v>30517</v>
      </c>
      <c r="J1716" s="5" t="s">
        <v>29209</v>
      </c>
      <c r="K1716" s="5" t="s">
        <v>344</v>
      </c>
      <c r="L1716" s="5"/>
      <c r="M1716" s="27">
        <v>236214</v>
      </c>
      <c r="N1716" s="5"/>
      <c r="O1716" s="5" t="str">
        <v>4611013515</v>
      </c>
      <c r="P1716" s="27">
        <v>76000000</v>
      </c>
      <c r="Q1716" s="5" t="s">
        <v>49009</v>
      </c>
      <c r="R1716" s="5"/>
      <c r="S1716" s="5" t="s">
        <v>49066</v>
      </c>
      <c r="T1716" s="28">
        <v>6654437000</v>
      </c>
      <c r="U1716" s="28"/>
      <c r="V1716" s="28">
        <v>462474000</v>
      </c>
      <c r="W1716" s="28"/>
      <c r="X1716" s="28">
        <v>374807000</v>
      </c>
      <c r="Y1716" s="28">
        <v>8358587000</v>
      </c>
      <c r="Z1716" s="28">
        <v>-51032000</v>
      </c>
      <c r="AA1716" s="28">
        <v>6489312000</v>
      </c>
      <c r="AB1716" s="28">
        <v>1385638000</v>
      </c>
      <c r="AC1716" s="28">
        <v>1835046000</v>
      </c>
      <c r="AD1716" s="28">
        <v>24968000</v>
      </c>
      <c r="AE1716" s="28">
        <v>4627372000</v>
      </c>
      <c r="AF1716" s="28">
        <v>359313000</v>
      </c>
      <c r="AG1716" s="11"/>
    </row>
    <row r="1717">
      <c r="A1717" s="7" t="s">
        <v>3421</v>
      </c>
      <c r="B1717" s="5" t="s">
        <v>11410</v>
      </c>
      <c r="C1717" s="5" t="s">
        <v>19269</v>
      </c>
      <c r="D1717" s="5" t="str">
        <v>500708565594</v>
      </c>
      <c r="E1717" s="0" t="e">
        <f>+7 (48431) 56011
+7 (48431) 56000
+7 (48431) 56010
+7 (48431) 56020
+7 (48431) 56025
+7 (48431) 56034
+7 (48431) 56060</f>
        <v>#NAME?</v>
      </c>
      <c r="F1717" s="5"/>
      <c r="G1717" s="5" t="s">
        <v>30518</v>
      </c>
      <c r="H1717" s="26">
        <v>17.5</v>
      </c>
      <c r="I1717" s="5" t="s">
        <v>30519</v>
      </c>
      <c r="J1717" s="5" t="s">
        <v>30520</v>
      </c>
      <c r="K1717" s="5" t="s">
        <v>344</v>
      </c>
      <c r="L1717" s="5" t="s">
        <v>30521</v>
      </c>
      <c r="M1717" s="27"/>
      <c r="N1717" s="5"/>
      <c r="O1717" s="5" t="str">
        <v>5007048378</v>
      </c>
      <c r="P1717" s="27">
        <v>20000000</v>
      </c>
      <c r="Q1717" s="5" t="s">
        <v>49059</v>
      </c>
      <c r="R1717" s="5"/>
      <c r="S1717" s="5" t="s">
        <v>49066</v>
      </c>
      <c r="T1717" s="28">
        <v>225301000</v>
      </c>
      <c r="U1717" s="28"/>
      <c r="V1717" s="28">
        <v>766321000</v>
      </c>
      <c r="W1717" s="28"/>
      <c r="X1717" s="28">
        <v>307690000</v>
      </c>
      <c r="Y1717" s="28">
        <v>2334760000</v>
      </c>
      <c r="Z1717" s="28">
        <v>779876000</v>
      </c>
      <c r="AA1717" s="28"/>
      <c r="AB1717" s="28"/>
      <c r="AC1717" s="28">
        <v>1357007000</v>
      </c>
      <c r="AD1717" s="28">
        <v>799876000</v>
      </c>
      <c r="AE1717" s="28">
        <v>4498510000</v>
      </c>
      <c r="AF1717" s="28">
        <v>125996000</v>
      </c>
      <c r="AG1717" s="11"/>
    </row>
    <row r="1718">
      <c r="A1718" s="7" t="s">
        <v>3422</v>
      </c>
      <c r="B1718" s="5" t="s">
        <v>11411</v>
      </c>
      <c r="C1718" s="5" t="s">
        <v>19270</v>
      </c>
      <c r="D1718" s="5"/>
      <c r="E1718" s="0" t="e">
        <f>+7 (86191) 31045
+7 (918) 3400309</f>
        <v>#NAME?</v>
      </c>
      <c r="F1718" s="5" t="s">
        <v>30522</v>
      </c>
      <c r="G1718" s="5" t="s">
        <v>30523</v>
      </c>
      <c r="H1718" s="26">
        <v>20.5</v>
      </c>
      <c r="I1718" s="5" t="s">
        <v>30524</v>
      </c>
      <c r="J1718" s="5" t="s">
        <v>27890</v>
      </c>
      <c r="K1718" s="5" t="s">
        <v>344</v>
      </c>
      <c r="L1718" s="5" t="s">
        <v>30525</v>
      </c>
      <c r="M1718" s="27">
        <v>66048</v>
      </c>
      <c r="N1718" s="5"/>
      <c r="O1718" s="5" t="str">
        <v>2346012170</v>
      </c>
      <c r="P1718" s="27">
        <v>125426883</v>
      </c>
      <c r="Q1718" s="5" t="s">
        <v>49324</v>
      </c>
      <c r="R1718" s="5"/>
      <c r="S1718" s="5" t="s">
        <v>52047</v>
      </c>
      <c r="T1718" s="28">
        <v>885974000</v>
      </c>
      <c r="U1718" s="28">
        <v>4811000</v>
      </c>
      <c r="V1718" s="28">
        <v>1287686000</v>
      </c>
      <c r="W1718" s="28"/>
      <c r="X1718" s="28">
        <v>291000</v>
      </c>
      <c r="Y1718" s="28">
        <v>4295775000</v>
      </c>
      <c r="Z1718" s="28">
        <v>1601226000</v>
      </c>
      <c r="AA1718" s="28">
        <v>145971000</v>
      </c>
      <c r="AB1718" s="28">
        <v>1808929000</v>
      </c>
      <c r="AC1718" s="28">
        <v>2407114000</v>
      </c>
      <c r="AD1718" s="28">
        <v>1726653000</v>
      </c>
      <c r="AE1718" s="28">
        <v>3985109000</v>
      </c>
      <c r="AF1718" s="28">
        <v>506864000</v>
      </c>
      <c r="AG1718" s="11"/>
    </row>
    <row r="1719">
      <c r="A1719" s="7" t="s">
        <v>3423</v>
      </c>
      <c r="B1719" s="5" t="s">
        <v>10407</v>
      </c>
      <c r="C1719" s="5" t="s">
        <v>19271</v>
      </c>
      <c r="D1719" s="5" t="str">
        <v>771915073962</v>
      </c>
      <c r="E1719" s="0" t="e">
        <f>+7 (3823) 522411
+7 (3823) 527163
+7 (3823) 562411
+7 (3823) 565515
+7 (3823) 569999
+7 (3823) 771122
+7 (499) 9496919
+7 (903) 7840747
+7 (911) 141078
+7 (34141) 96346
+7 (3823) 524546
+7 (495) 9534679
+7 (499) 4944919
+7 (499) 9492999
+7 (831) 2832050</f>
        <v>#NAME?</v>
      </c>
      <c r="F1719" s="5" t="s">
        <v>30526</v>
      </c>
      <c r="G1719" s="5" t="s">
        <v>30527</v>
      </c>
      <c r="H1719" s="26">
        <v>13</v>
      </c>
      <c r="I1719" s="5" t="s">
        <v>30528</v>
      </c>
      <c r="J1719" s="5" t="s">
        <v>881</v>
      </c>
      <c r="K1719" s="5" t="s">
        <v>344</v>
      </c>
      <c r="L1719" s="5" t="s">
        <v>30529</v>
      </c>
      <c r="M1719" s="27"/>
      <c r="N1719" s="5" t="s">
        <v>52048</v>
      </c>
      <c r="O1719" s="5" t="str">
        <v>7706729736</v>
      </c>
      <c r="P1719" s="27">
        <v>4827641315</v>
      </c>
      <c r="Q1719" s="5" t="s">
        <v>52050</v>
      </c>
      <c r="R1719" s="5"/>
      <c r="S1719" s="5" t="s">
        <v>52051</v>
      </c>
      <c r="T1719" s="28">
        <v>3672310000</v>
      </c>
      <c r="U1719" s="28">
        <v>110500000</v>
      </c>
      <c r="V1719" s="28">
        <v>5841124000</v>
      </c>
      <c r="W1719" s="28">
        <v>253000000</v>
      </c>
      <c r="X1719" s="28">
        <v>261208000</v>
      </c>
      <c r="Y1719" s="28">
        <v>14871441000</v>
      </c>
      <c r="Z1719" s="28">
        <v>2910963000</v>
      </c>
      <c r="AA1719" s="28"/>
      <c r="AB1719" s="28">
        <v>2518144000</v>
      </c>
      <c r="AC1719" s="28">
        <v>6485850000</v>
      </c>
      <c r="AD1719" s="28">
        <v>8142487000</v>
      </c>
      <c r="AE1719" s="28">
        <v>18122095000</v>
      </c>
      <c r="AF1719" s="28">
        <v>611889000</v>
      </c>
      <c r="AG1719" s="11"/>
    </row>
    <row r="1720">
      <c r="A1720" s="7" t="s">
        <v>3424</v>
      </c>
      <c r="B1720" s="5" t="s">
        <v>11412</v>
      </c>
      <c r="C1720" s="5" t="s">
        <v>19272</v>
      </c>
      <c r="D1720" s="5" t="str">
        <v>420513804554</v>
      </c>
      <c r="E1720" s="0" t="e">
        <f>+7 (495) 7716505
+7 (499) 6192882
+7 (499) 6196324
+7 (499) 6198313
+7 (499) 6198363
+7 (909) 6596536</f>
        <v>#NAME?</v>
      </c>
      <c r="F1720" s="5"/>
      <c r="G1720" s="5" t="s">
        <v>30530</v>
      </c>
      <c r="H1720" s="26">
        <v>16.5</v>
      </c>
      <c r="I1720" s="5" t="s">
        <v>30531</v>
      </c>
      <c r="J1720" s="5" t="s">
        <v>25429</v>
      </c>
      <c r="K1720" s="5" t="s">
        <v>355</v>
      </c>
      <c r="L1720" s="5"/>
      <c r="M1720" s="27"/>
      <c r="N1720" s="5"/>
      <c r="O1720" s="5" t="str">
        <v>7726548343</v>
      </c>
      <c r="P1720" s="27">
        <v>10000</v>
      </c>
      <c r="Q1720" s="5" t="s">
        <v>49009</v>
      </c>
      <c r="R1720" s="5"/>
      <c r="S1720" s="5" t="s">
        <v>49045</v>
      </c>
      <c r="T1720" s="28">
        <v>623000</v>
      </c>
      <c r="U1720" s="28"/>
      <c r="V1720" s="28">
        <v>1953427000</v>
      </c>
      <c r="W1720" s="28"/>
      <c r="X1720" s="28">
        <v>303000</v>
      </c>
      <c r="Y1720" s="28">
        <v>3225602000</v>
      </c>
      <c r="Z1720" s="28">
        <v>-1567164000</v>
      </c>
      <c r="AA1720" s="28"/>
      <c r="AB1720" s="28"/>
      <c r="AC1720" s="28">
        <v>4792109000</v>
      </c>
      <c r="AD1720" s="28">
        <v>-1567154000</v>
      </c>
      <c r="AE1720" s="28">
        <v>3801230000</v>
      </c>
      <c r="AF1720" s="28">
        <v>-695148000</v>
      </c>
      <c r="AG1720" s="11"/>
    </row>
    <row r="1721">
      <c r="A1721" s="7" t="s">
        <v>3425</v>
      </c>
      <c r="B1721" s="5" t="s">
        <v>11413</v>
      </c>
      <c r="C1721" s="5" t="s">
        <v>19273</v>
      </c>
      <c r="D1721" s="5" t="str">
        <v>540542996824</v>
      </c>
      <c r="E1721" s="0" t="e">
        <f>+7 (383) 3731949
+7 (3843) 770907</f>
        <v>#NAME?</v>
      </c>
      <c r="F1721" s="5" t="s">
        <v>30532</v>
      </c>
      <c r="G1721" s="5"/>
      <c r="H1721" s="26">
        <v>10.5</v>
      </c>
      <c r="I1721" s="5" t="s">
        <v>30533</v>
      </c>
      <c r="J1721" s="5" t="s">
        <v>25550</v>
      </c>
      <c r="K1721" s="5" t="s">
        <v>344</v>
      </c>
      <c r="L1721" s="5" t="s">
        <v>30534</v>
      </c>
      <c r="M1721" s="27">
        <v>65395687</v>
      </c>
      <c r="N1721" s="5"/>
      <c r="O1721" s="5" t="str">
        <v>5401359124</v>
      </c>
      <c r="P1721" s="27">
        <v>247000</v>
      </c>
      <c r="Q1721" s="5" t="s">
        <v>52052</v>
      </c>
      <c r="R1721" s="5"/>
      <c r="S1721" s="5" t="s">
        <v>52053</v>
      </c>
      <c r="T1721" s="28">
        <v>902038000</v>
      </c>
      <c r="U1721" s="28"/>
      <c r="V1721" s="28">
        <v>7964049000</v>
      </c>
      <c r="W1721" s="28">
        <v>1000000000</v>
      </c>
      <c r="X1721" s="28">
        <v>208975000</v>
      </c>
      <c r="Y1721" s="28">
        <v>30158418000</v>
      </c>
      <c r="Z1721" s="28">
        <v>1813148000</v>
      </c>
      <c r="AA1721" s="28"/>
      <c r="AB1721" s="28">
        <v>880000000</v>
      </c>
      <c r="AC1721" s="28">
        <v>28345023000</v>
      </c>
      <c r="AD1721" s="28">
        <v>1813395000</v>
      </c>
      <c r="AE1721" s="28">
        <v>47411502000</v>
      </c>
      <c r="AF1721" s="28">
        <v>2516990000</v>
      </c>
      <c r="AG1721" s="11"/>
    </row>
    <row r="1722">
      <c r="A1722" s="7" t="s">
        <v>3426</v>
      </c>
      <c r="B1722" s="5" t="s">
        <v>11414</v>
      </c>
      <c r="C1722" s="5" t="s">
        <v>19274</v>
      </c>
      <c r="D1722" s="5" t="str">
        <v>773702948035</v>
      </c>
      <c r="E1722" s="0" t="e">
        <f>+7 (495) 2312244
+7 (495) 2313686</f>
        <v>#NAME?</v>
      </c>
      <c r="F1722" s="5"/>
      <c r="G1722" s="5" t="s">
        <v>30535</v>
      </c>
      <c r="H1722" s="26">
        <v>8.5</v>
      </c>
      <c r="I1722" s="5" t="s">
        <v>30536</v>
      </c>
      <c r="J1722" s="5" t="s">
        <v>25938</v>
      </c>
      <c r="K1722" s="5" t="s">
        <v>344</v>
      </c>
      <c r="L1722" s="5" t="s">
        <v>30537</v>
      </c>
      <c r="M1722" s="27"/>
      <c r="N1722" s="5"/>
      <c r="O1722" s="5" t="str">
        <v>7719894695</v>
      </c>
      <c r="P1722" s="27">
        <v>310000</v>
      </c>
      <c r="Q1722" s="5" t="s">
        <v>52054</v>
      </c>
      <c r="R1722" s="5"/>
      <c r="S1722" s="5" t="s">
        <v>52055</v>
      </c>
      <c r="T1722" s="28">
        <v>349762000</v>
      </c>
      <c r="U1722" s="28"/>
      <c r="V1722" s="28">
        <v>1201525000</v>
      </c>
      <c r="W1722" s="28"/>
      <c r="X1722" s="28">
        <v>21814000</v>
      </c>
      <c r="Y1722" s="28">
        <v>2730212000</v>
      </c>
      <c r="Z1722" s="28">
        <v>1683895000</v>
      </c>
      <c r="AA1722" s="28"/>
      <c r="AB1722" s="28">
        <v>245203000</v>
      </c>
      <c r="AC1722" s="28">
        <v>943066000</v>
      </c>
      <c r="AD1722" s="28">
        <v>1684251000</v>
      </c>
      <c r="AE1722" s="28">
        <v>11173131000</v>
      </c>
      <c r="AF1722" s="28">
        <v>456406000</v>
      </c>
      <c r="AG1722" s="11"/>
    </row>
    <row r="1723">
      <c r="A1723" s="7" t="s">
        <v>3427</v>
      </c>
      <c r="B1723" s="5" t="s">
        <v>11415</v>
      </c>
      <c r="C1723" s="5" t="s">
        <v>19275</v>
      </c>
      <c r="D1723" s="5" t="str">
        <v>616710427217</v>
      </c>
      <c r="E1723" s="0" t="e">
        <f>+7 (928) 2298829
+7 (8617) 309300
+7 (863) 3030077
+7 (928) 2293007</f>
        <v>#NAME?</v>
      </c>
      <c r="F1723" s="5" t="s">
        <v>30538</v>
      </c>
      <c r="G1723" s="5"/>
      <c r="H1723" s="26">
        <v>7</v>
      </c>
      <c r="I1723" s="5" t="s">
        <v>30539</v>
      </c>
      <c r="J1723" s="5" t="s">
        <v>397</v>
      </c>
      <c r="K1723" s="5" t="s">
        <v>344</v>
      </c>
      <c r="L1723" s="5" t="s">
        <v>1621</v>
      </c>
      <c r="M1723" s="27"/>
      <c r="N1723" s="5" t="s">
        <v>52056</v>
      </c>
      <c r="O1723" s="5" t="str">
        <v>6102064928</v>
      </c>
      <c r="P1723" s="27">
        <v>10000</v>
      </c>
      <c r="Q1723" s="5" t="s">
        <v>52057</v>
      </c>
      <c r="R1723" s="5"/>
      <c r="S1723" s="5" t="s">
        <v>52058</v>
      </c>
      <c r="T1723" s="28">
        <v>100180000</v>
      </c>
      <c r="U1723" s="28">
        <v>55789000</v>
      </c>
      <c r="V1723" s="28">
        <v>440297000</v>
      </c>
      <c r="W1723" s="28">
        <v>30827000</v>
      </c>
      <c r="X1723" s="28">
        <v>88274000</v>
      </c>
      <c r="Y1723" s="28">
        <v>1347871000</v>
      </c>
      <c r="Z1723" s="28">
        <v>472473000</v>
      </c>
      <c r="AA1723" s="28"/>
      <c r="AB1723" s="28">
        <v>513360000</v>
      </c>
      <c r="AC1723" s="28">
        <v>812320000</v>
      </c>
      <c r="AD1723" s="28">
        <v>484483000</v>
      </c>
      <c r="AE1723" s="28">
        <v>3189200000</v>
      </c>
      <c r="AF1723" s="28">
        <v>150919000</v>
      </c>
      <c r="AG1723" s="11"/>
    </row>
    <row r="1724">
      <c r="A1724" s="7" t="s">
        <v>3428</v>
      </c>
      <c r="B1724" s="5" t="s">
        <v>11416</v>
      </c>
      <c r="C1724" s="5" t="s">
        <v>19276</v>
      </c>
      <c r="D1724" s="5" t="str">
        <v>784809069941</v>
      </c>
      <c r="E1724" s="0" t="e">
        <f>+7 (495) 2295653
+7 (800) 2509045</f>
        <v>#NAME?</v>
      </c>
      <c r="F1724" s="5"/>
      <c r="G1724" s="5" t="s">
        <v>30540</v>
      </c>
      <c r="H1724" s="26">
        <v>12</v>
      </c>
      <c r="I1724" s="5" t="s">
        <v>30541</v>
      </c>
      <c r="J1724" s="5" t="s">
        <v>1026</v>
      </c>
      <c r="K1724" s="5" t="s">
        <v>344</v>
      </c>
      <c r="L1724" s="5" t="s">
        <v>30542</v>
      </c>
      <c r="M1724" s="27">
        <v>674475</v>
      </c>
      <c r="N1724" s="5" t="s">
        <v>52059</v>
      </c>
      <c r="O1724" s="5" t="str">
        <v>7733765116</v>
      </c>
      <c r="P1724" s="27">
        <v>10000</v>
      </c>
      <c r="Q1724" s="5" t="s">
        <v>49009</v>
      </c>
      <c r="R1724" s="5"/>
      <c r="S1724" s="5" t="s">
        <v>52060</v>
      </c>
      <c r="T1724" s="28">
        <v>3419000</v>
      </c>
      <c r="U1724" s="28"/>
      <c r="V1724" s="28">
        <v>902321000</v>
      </c>
      <c r="W1724" s="28"/>
      <c r="X1724" s="28">
        <v>15147000</v>
      </c>
      <c r="Y1724" s="28">
        <v>1196047000</v>
      </c>
      <c r="Z1724" s="28">
        <v>96435000</v>
      </c>
      <c r="AA1724" s="28"/>
      <c r="AB1724" s="28">
        <v>127943000</v>
      </c>
      <c r="AC1724" s="28">
        <v>1099602000</v>
      </c>
      <c r="AD1724" s="28">
        <v>96445000</v>
      </c>
      <c r="AE1724" s="28">
        <v>5035753000</v>
      </c>
      <c r="AF1724" s="28">
        <v>21273000</v>
      </c>
      <c r="AG1724" s="11"/>
    </row>
    <row r="1725">
      <c r="A1725" s="7" t="s">
        <v>3429</v>
      </c>
      <c r="B1725" s="5" t="s">
        <v>11417</v>
      </c>
      <c r="C1725" s="5" t="s">
        <v>19277</v>
      </c>
      <c r="D1725" s="5" t="str">
        <v>166003326860</v>
      </c>
      <c r="E1725" s="0" t="e">
        <f>+7 (843) 2646668
+7 (8432) 646688</f>
        <v>#NAME?</v>
      </c>
      <c r="F1725" s="5" t="s">
        <v>30543</v>
      </c>
      <c r="G1725" s="5" t="s">
        <v>30544</v>
      </c>
      <c r="H1725" s="26">
        <v>25.5</v>
      </c>
      <c r="I1725" s="5"/>
      <c r="J1725" s="5" t="s">
        <v>26607</v>
      </c>
      <c r="K1725" s="5" t="s">
        <v>355</v>
      </c>
      <c r="L1725" s="5" t="s">
        <v>30545</v>
      </c>
      <c r="M1725" s="27"/>
      <c r="N1725" s="5"/>
      <c r="O1725" s="5" t="str">
        <v>1640001692</v>
      </c>
      <c r="P1725" s="27">
        <v>58884000</v>
      </c>
      <c r="Q1725" s="5" t="s">
        <v>49021</v>
      </c>
      <c r="R1725" s="5"/>
      <c r="S1725" s="5" t="s">
        <v>52061</v>
      </c>
      <c r="T1725" s="28">
        <v>1533382000</v>
      </c>
      <c r="U1725" s="28">
        <v>618485000</v>
      </c>
      <c r="V1725" s="28">
        <v>195255000</v>
      </c>
      <c r="W1725" s="28">
        <v>266127000</v>
      </c>
      <c r="X1725" s="28">
        <v>327724000</v>
      </c>
      <c r="Y1725" s="28">
        <v>3067667000</v>
      </c>
      <c r="Z1725" s="28">
        <v>2459357000</v>
      </c>
      <c r="AA1725" s="28"/>
      <c r="AB1725" s="28"/>
      <c r="AC1725" s="28">
        <v>407526000</v>
      </c>
      <c r="AD1725" s="28">
        <v>2521185000</v>
      </c>
      <c r="AE1725" s="28">
        <v>4198047000</v>
      </c>
      <c r="AF1725" s="28">
        <v>-120040000</v>
      </c>
      <c r="AG1725" s="11"/>
    </row>
    <row r="1726">
      <c r="A1726" s="7" t="s">
        <v>3430</v>
      </c>
      <c r="B1726" s="5" t="s">
        <v>11418</v>
      </c>
      <c r="C1726" s="5" t="s">
        <v>19278</v>
      </c>
      <c r="D1726" s="5" t="str">
        <v>251702100781</v>
      </c>
      <c r="E1726" s="0" t="e">
        <f>+7 (4232) 469030
+7 (42359) 22397
+7 (42359) 27145
+7 (42359) 27146
+7 (42359) 27175
+7 (42359) 27323
+7 (42359) 27455</f>
        <v>#NAME?</v>
      </c>
      <c r="F1726" s="5" t="s">
        <v>30546</v>
      </c>
      <c r="G1726" s="5" t="s">
        <v>30547</v>
      </c>
      <c r="H1726" s="26">
        <v>27.5</v>
      </c>
      <c r="I1726" s="5" t="s">
        <v>30548</v>
      </c>
      <c r="J1726" s="5" t="s">
        <v>30549</v>
      </c>
      <c r="K1726" s="5" t="s">
        <v>344</v>
      </c>
      <c r="L1726" s="5" t="s">
        <v>30550</v>
      </c>
      <c r="M1726" s="27"/>
      <c r="N1726" s="5" t="s">
        <v>52062</v>
      </c>
      <c r="O1726" s="5" t="str">
        <v>2517005270</v>
      </c>
      <c r="P1726" s="27">
        <v>720000000</v>
      </c>
      <c r="Q1726" s="5"/>
      <c r="R1726" s="5"/>
      <c r="S1726" s="5" t="s">
        <v>49425</v>
      </c>
      <c r="T1726" s="28">
        <v>1555960000</v>
      </c>
      <c r="U1726" s="28">
        <v>192105000</v>
      </c>
      <c r="V1726" s="28">
        <v>192341000</v>
      </c>
      <c r="W1726" s="28"/>
      <c r="X1726" s="28">
        <v>512524000</v>
      </c>
      <c r="Y1726" s="28">
        <v>3825700000</v>
      </c>
      <c r="Z1726" s="28">
        <v>305018000</v>
      </c>
      <c r="AA1726" s="28"/>
      <c r="AB1726" s="28"/>
      <c r="AC1726" s="28">
        <v>229107000</v>
      </c>
      <c r="AD1726" s="28">
        <v>3520570000</v>
      </c>
      <c r="AE1726" s="28">
        <v>3849314000</v>
      </c>
      <c r="AF1726" s="28">
        <v>297152000</v>
      </c>
      <c r="AG1726" s="11"/>
    </row>
    <row r="1727">
      <c r="A1727" s="7" t="s">
        <v>3431</v>
      </c>
      <c r="B1727" s="5" t="s">
        <v>11419</v>
      </c>
      <c r="C1727" s="5" t="s">
        <v>17704</v>
      </c>
      <c r="D1727" s="5" t="str">
        <v>753300123909</v>
      </c>
      <c r="E1727" s="0" t="e">
        <f>+7 (3022) 218807
+7 (3022) 219800
+7 (3022) 219828
+7 (3022) 238393
+7 (3022) 353995
+7 (3022) 354343
+7 (800) 7001943</f>
        <v>#NAME?</v>
      </c>
      <c r="F1727" s="5" t="s">
        <v>30551</v>
      </c>
      <c r="G1727" s="5"/>
      <c r="H1727" s="26">
        <v>18</v>
      </c>
      <c r="I1727" s="5" t="s">
        <v>30552</v>
      </c>
      <c r="J1727" s="5" t="s">
        <v>27791</v>
      </c>
      <c r="K1727" s="5" t="s">
        <v>344</v>
      </c>
      <c r="L1727" s="5" t="s">
        <v>30553</v>
      </c>
      <c r="M1727" s="27">
        <v>26591654</v>
      </c>
      <c r="N1727" s="5" t="s">
        <v>52063</v>
      </c>
      <c r="O1727" s="5" t="str">
        <v>7701568891</v>
      </c>
      <c r="P1727" s="27">
        <v>29194578380</v>
      </c>
      <c r="Q1727" s="5" t="s">
        <v>49009</v>
      </c>
      <c r="R1727" s="5"/>
      <c r="S1727" s="5" t="s">
        <v>49576</v>
      </c>
      <c r="T1727" s="28">
        <v>67402961000</v>
      </c>
      <c r="U1727" s="28">
        <v>347542000</v>
      </c>
      <c r="V1727" s="28">
        <v>8774394000</v>
      </c>
      <c r="W1727" s="28">
        <v>97139604000</v>
      </c>
      <c r="X1727" s="28">
        <v>7023335000</v>
      </c>
      <c r="Y1727" s="28">
        <v>208083477000</v>
      </c>
      <c r="Z1727" s="28">
        <v>161387632000</v>
      </c>
      <c r="AA1727" s="28"/>
      <c r="AB1727" s="28"/>
      <c r="AC1727" s="28">
        <v>5823804000</v>
      </c>
      <c r="AD1727" s="28">
        <v>197138675000</v>
      </c>
      <c r="AE1727" s="28">
        <v>89633516000</v>
      </c>
      <c r="AF1727" s="28">
        <v>54902093000</v>
      </c>
      <c r="AG1727" s="11"/>
    </row>
    <row r="1728">
      <c r="A1728" s="7" t="s">
        <v>3432</v>
      </c>
      <c r="B1728" s="5" t="s">
        <v>11420</v>
      </c>
      <c r="C1728" s="5" t="s">
        <v>19279</v>
      </c>
      <c r="D1728" s="5" t="str">
        <v>201500029703</v>
      </c>
      <c r="E1728" s="0" t="e">
        <f>+7 (871) 2224650
+7 (871) 2332711
+7 (928) 2902217
+7 (928) 9333334</f>
        <v>#NAME?</v>
      </c>
      <c r="F1728" s="5" t="s">
        <v>30554</v>
      </c>
      <c r="G1728" s="5"/>
      <c r="H1728" s="26">
        <v>14.5</v>
      </c>
      <c r="I1728" s="5" t="s">
        <v>30555</v>
      </c>
      <c r="J1728" s="5" t="s">
        <v>364</v>
      </c>
      <c r="K1728" s="5" t="s">
        <v>344</v>
      </c>
      <c r="L1728" s="5" t="s">
        <v>30556</v>
      </c>
      <c r="M1728" s="27">
        <v>13915807</v>
      </c>
      <c r="N1728" s="5" t="s">
        <v>52064</v>
      </c>
      <c r="O1728" s="5" t="str">
        <v>2014259840</v>
      </c>
      <c r="P1728" s="27">
        <v>80684567</v>
      </c>
      <c r="Q1728" s="5" t="s">
        <v>52065</v>
      </c>
      <c r="R1728" s="5"/>
      <c r="S1728" s="5" t="s">
        <v>52066</v>
      </c>
      <c r="T1728" s="28">
        <v>216152000</v>
      </c>
      <c r="U1728" s="28"/>
      <c r="V1728" s="28">
        <v>3218249000</v>
      </c>
      <c r="W1728" s="28">
        <v>1028625000</v>
      </c>
      <c r="X1728" s="28">
        <v>670619000</v>
      </c>
      <c r="Y1728" s="28">
        <v>6491997000</v>
      </c>
      <c r="Z1728" s="28">
        <v>386250000</v>
      </c>
      <c r="AA1728" s="28"/>
      <c r="AB1728" s="28">
        <v>989212000</v>
      </c>
      <c r="AC1728" s="28">
        <v>6024782000</v>
      </c>
      <c r="AD1728" s="28">
        <v>2889834000</v>
      </c>
      <c r="AE1728" s="28">
        <v>3386957000</v>
      </c>
      <c r="AF1728" s="28">
        <v>56357000</v>
      </c>
      <c r="AG1728" s="11"/>
    </row>
    <row r="1729">
      <c r="A1729" s="7" t="s">
        <v>3433</v>
      </c>
      <c r="B1729" s="5" t="s">
        <v>11421</v>
      </c>
      <c r="C1729" s="5" t="s">
        <v>19280</v>
      </c>
      <c r="D1729" s="5" t="str">
        <v>272404748109</v>
      </c>
      <c r="E1729" s="0" t="e">
        <f>+7 (421) 2339393
+7 (421) 2911555
+7 (421) 2917017</f>
        <v>#NAME?</v>
      </c>
      <c r="F1729" s="5"/>
      <c r="G1729" s="5"/>
      <c r="H1729" s="26">
        <v>8.5</v>
      </c>
      <c r="I1729" s="5" t="s">
        <v>30557</v>
      </c>
      <c r="J1729" s="5" t="s">
        <v>26552</v>
      </c>
      <c r="K1729" s="5" t="s">
        <v>344</v>
      </c>
      <c r="L1729" s="5"/>
      <c r="M1729" s="27">
        <v>1085415</v>
      </c>
      <c r="N1729" s="5" t="s">
        <v>52067</v>
      </c>
      <c r="O1729" s="5" t="str">
        <v>2724193270</v>
      </c>
      <c r="P1729" s="27">
        <v>10000</v>
      </c>
      <c r="Q1729" s="5"/>
      <c r="R1729" s="5"/>
      <c r="S1729" s="5" t="s">
        <v>49110</v>
      </c>
      <c r="T1729" s="28">
        <v>328086000</v>
      </c>
      <c r="U1729" s="28"/>
      <c r="V1729" s="28">
        <v>539437000</v>
      </c>
      <c r="W1729" s="28">
        <v>4300000</v>
      </c>
      <c r="X1729" s="28">
        <v>11280000</v>
      </c>
      <c r="Y1729" s="28">
        <v>1844061000</v>
      </c>
      <c r="Z1729" s="28">
        <v>121441000</v>
      </c>
      <c r="AA1729" s="28">
        <v>940362000</v>
      </c>
      <c r="AB1729" s="28">
        <v>487330000</v>
      </c>
      <c r="AC1729" s="28">
        <v>748883000</v>
      </c>
      <c r="AD1729" s="28">
        <v>121451000</v>
      </c>
      <c r="AE1729" s="28">
        <v>3750309000</v>
      </c>
      <c r="AF1729" s="28">
        <v>6881000</v>
      </c>
      <c r="AG1729" s="11"/>
    </row>
    <row r="1730">
      <c r="A1730" s="7" t="s">
        <v>3434</v>
      </c>
      <c r="B1730" s="5" t="s">
        <v>11422</v>
      </c>
      <c r="C1730" s="5" t="s">
        <v>19281</v>
      </c>
      <c r="D1730" s="5" t="str">
        <v>470314527033</v>
      </c>
      <c r="E1730" s="0" t="e">
        <f>+7 (495) 9819510
+7 (495) 9099091
+7 (495) 9099092
+7 (495) 9374901
+7 (495) 9374902</f>
        <v>#NAME?</v>
      </c>
      <c r="F1730" s="5" t="s">
        <v>30558</v>
      </c>
      <c r="G1730" s="5" t="s">
        <v>30559</v>
      </c>
      <c r="H1730" s="26">
        <v>19</v>
      </c>
      <c r="I1730" s="5" t="s">
        <v>30560</v>
      </c>
      <c r="J1730" s="5" t="s">
        <v>1123</v>
      </c>
      <c r="K1730" s="5" t="s">
        <v>344</v>
      </c>
      <c r="L1730" s="5" t="s">
        <v>30561</v>
      </c>
      <c r="M1730" s="27"/>
      <c r="N1730" s="5"/>
      <c r="O1730" s="5" t="str">
        <v>7724502632</v>
      </c>
      <c r="P1730" s="27">
        <v>14407000</v>
      </c>
      <c r="Q1730" s="5" t="s">
        <v>49009</v>
      </c>
      <c r="R1730" s="5"/>
      <c r="S1730" s="5" t="s">
        <v>49010</v>
      </c>
      <c r="T1730" s="28">
        <v>7685000</v>
      </c>
      <c r="U1730" s="28"/>
      <c r="V1730" s="28">
        <v>300954000</v>
      </c>
      <c r="W1730" s="28"/>
      <c r="X1730" s="28">
        <v>1113802000</v>
      </c>
      <c r="Y1730" s="28">
        <v>1651146000</v>
      </c>
      <c r="Z1730" s="28">
        <v>1118694000</v>
      </c>
      <c r="AA1730" s="28"/>
      <c r="AB1730" s="28">
        <v>192688000</v>
      </c>
      <c r="AC1730" s="28">
        <v>513939000</v>
      </c>
      <c r="AD1730" s="28">
        <v>1133557000</v>
      </c>
      <c r="AE1730" s="28">
        <v>4264682000</v>
      </c>
      <c r="AF1730" s="28">
        <v>52319000</v>
      </c>
      <c r="AG1730" s="11"/>
    </row>
    <row r="1731">
      <c r="A1731" s="7" t="s">
        <v>3435</v>
      </c>
      <c r="B1731" s="5" t="s">
        <v>11423</v>
      </c>
      <c r="C1731" s="5" t="s">
        <v>19282</v>
      </c>
      <c r="D1731" s="5" t="str">
        <v>505101305139</v>
      </c>
      <c r="E1731" s="0" t="e">
        <f>+7 (495) 5891968
+7 (495) 5891969</f>
        <v>#NAME?</v>
      </c>
      <c r="F1731" s="5" t="s">
        <v>30562</v>
      </c>
      <c r="G1731" s="5"/>
      <c r="H1731" s="26">
        <v>8.5</v>
      </c>
      <c r="I1731" s="5" t="s">
        <v>30563</v>
      </c>
      <c r="J1731" s="5" t="s">
        <v>25889</v>
      </c>
      <c r="K1731" s="5" t="s">
        <v>344</v>
      </c>
      <c r="L1731" s="5" t="s">
        <v>30564</v>
      </c>
      <c r="M1731" s="27">
        <v>815507</v>
      </c>
      <c r="N1731" s="5" t="s">
        <v>52068</v>
      </c>
      <c r="O1731" s="5" t="str">
        <v>7709963597</v>
      </c>
      <c r="P1731" s="27">
        <v>51000000</v>
      </c>
      <c r="Q1731" s="5" t="s">
        <v>52069</v>
      </c>
      <c r="R1731" s="5"/>
      <c r="S1731" s="5" t="s">
        <v>51494</v>
      </c>
      <c r="T1731" s="28"/>
      <c r="U1731" s="28">
        <v>560000000</v>
      </c>
      <c r="V1731" s="28">
        <v>2368984000</v>
      </c>
      <c r="W1731" s="28"/>
      <c r="X1731" s="28">
        <v>67522000</v>
      </c>
      <c r="Y1731" s="28">
        <v>5721979000</v>
      </c>
      <c r="Z1731" s="28">
        <v>1653514000</v>
      </c>
      <c r="AA1731" s="28">
        <v>2255043000</v>
      </c>
      <c r="AB1731" s="28">
        <v>500000000</v>
      </c>
      <c r="AC1731" s="28">
        <v>1596991000</v>
      </c>
      <c r="AD1731" s="28">
        <v>1704514000</v>
      </c>
      <c r="AE1731" s="28">
        <v>14690701000</v>
      </c>
      <c r="AF1731" s="28">
        <v>644156000</v>
      </c>
      <c r="AG1731" s="11"/>
    </row>
    <row r="1732">
      <c r="A1732" s="7" t="s">
        <v>3436</v>
      </c>
      <c r="B1732" s="5" t="s">
        <v>11424</v>
      </c>
      <c r="C1732" s="5" t="s">
        <v>19283</v>
      </c>
      <c r="D1732" s="5"/>
      <c r="E1732" s="0" t="e">
        <f>+7 (495) 6827201
+7 (495) 9705718
+7 (499) 6827201
+7 (499) 6827223</f>
        <v>#NAME?</v>
      </c>
      <c r="F1732" s="5" t="s">
        <v>30565</v>
      </c>
      <c r="G1732" s="5" t="s">
        <v>30566</v>
      </c>
      <c r="H1732" s="26">
        <v>17</v>
      </c>
      <c r="I1732" s="5" t="s">
        <v>30567</v>
      </c>
      <c r="J1732" s="5" t="s">
        <v>26325</v>
      </c>
      <c r="K1732" s="5" t="s">
        <v>355</v>
      </c>
      <c r="L1732" s="5" t="s">
        <v>30568</v>
      </c>
      <c r="M1732" s="27">
        <v>448573</v>
      </c>
      <c r="N1732" s="5" t="s">
        <v>52070</v>
      </c>
      <c r="O1732" s="5" t="str">
        <v>7702598850</v>
      </c>
      <c r="P1732" s="27">
        <v>191075000</v>
      </c>
      <c r="Q1732" s="5" t="s">
        <v>52071</v>
      </c>
      <c r="R1732" s="5" t="s">
        <v>52072</v>
      </c>
      <c r="S1732" s="5" t="s">
        <v>51014</v>
      </c>
      <c r="T1732" s="28">
        <v>4027626000</v>
      </c>
      <c r="U1732" s="28"/>
      <c r="V1732" s="28">
        <v>2659069000</v>
      </c>
      <c r="W1732" s="28">
        <v>51000</v>
      </c>
      <c r="X1732" s="28">
        <v>4809499000</v>
      </c>
      <c r="Y1732" s="28">
        <v>51163929000</v>
      </c>
      <c r="Z1732" s="28">
        <v>10593578000</v>
      </c>
      <c r="AA1732" s="28">
        <v>778651000</v>
      </c>
      <c r="AB1732" s="28">
        <v>2304445000</v>
      </c>
      <c r="AC1732" s="28">
        <v>13111484000</v>
      </c>
      <c r="AD1732" s="28">
        <v>11755832000</v>
      </c>
      <c r="AE1732" s="28">
        <v>25129023000</v>
      </c>
      <c r="AF1732" s="28">
        <v>4515896000</v>
      </c>
      <c r="AG1732" s="11"/>
    </row>
    <row r="1733">
      <c r="A1733" s="7" t="s">
        <v>3437</v>
      </c>
      <c r="B1733" s="5" t="s">
        <v>11425</v>
      </c>
      <c r="C1733" s="5" t="s">
        <v>19284</v>
      </c>
      <c r="D1733" s="5" t="str">
        <v>163602659090</v>
      </c>
      <c r="F1733" s="5" t="s">
        <v>30569</v>
      </c>
      <c r="G1733" s="5"/>
      <c r="H1733" s="26">
        <v>17</v>
      </c>
      <c r="I1733" s="5" t="s">
        <v>30570</v>
      </c>
      <c r="J1733" s="5" t="s">
        <v>25559</v>
      </c>
      <c r="K1733" s="5" t="s">
        <v>344</v>
      </c>
      <c r="L1733" s="5" t="s">
        <v>30571</v>
      </c>
      <c r="M1733" s="27">
        <v>500</v>
      </c>
      <c r="N1733" s="5" t="s">
        <v>52073</v>
      </c>
      <c r="O1733" s="5" t="str">
        <v>1650134050</v>
      </c>
      <c r="P1733" s="27">
        <v>10000</v>
      </c>
      <c r="Q1733" s="5" t="s">
        <v>52074</v>
      </c>
      <c r="R1733" s="5"/>
      <c r="S1733" s="5" t="s">
        <v>52075</v>
      </c>
      <c r="T1733" s="28">
        <v>509668000</v>
      </c>
      <c r="U1733" s="28"/>
      <c r="V1733" s="28">
        <v>3578868000</v>
      </c>
      <c r="W1733" s="28">
        <v>1199000000</v>
      </c>
      <c r="X1733" s="28">
        <v>229369000</v>
      </c>
      <c r="Y1733" s="28">
        <v>11723245000</v>
      </c>
      <c r="Z1733" s="28">
        <v>2521724000</v>
      </c>
      <c r="AA1733" s="28"/>
      <c r="AB1733" s="28"/>
      <c r="AC1733" s="28">
        <v>8882980000</v>
      </c>
      <c r="AD1733" s="28">
        <v>2815329000</v>
      </c>
      <c r="AE1733" s="28">
        <v>27505799000</v>
      </c>
      <c r="AF1733" s="28">
        <v>651747000</v>
      </c>
      <c r="AG1733" s="11"/>
    </row>
    <row r="1734">
      <c r="A1734" s="7" t="s">
        <v>3438</v>
      </c>
      <c r="B1734" s="5" t="s">
        <v>11426</v>
      </c>
      <c r="C1734" s="5" t="s">
        <v>19285</v>
      </c>
      <c r="D1734" s="5" t="str">
        <v>771989501348</v>
      </c>
      <c r="E1734" s="0" t="e">
        <f>+7 (495) 5517343
+7 (495) 9266708
+7 (915) 1805566</f>
        <v>#NAME?</v>
      </c>
      <c r="F1734" s="5" t="s">
        <v>30572</v>
      </c>
      <c r="G1734" s="5" t="s">
        <v>30573</v>
      </c>
      <c r="H1734" s="26">
        <v>15.5</v>
      </c>
      <c r="I1734" s="5" t="s">
        <v>30574</v>
      </c>
      <c r="J1734" s="5" t="s">
        <v>26511</v>
      </c>
      <c r="K1734" s="5" t="s">
        <v>344</v>
      </c>
      <c r="L1734" s="5"/>
      <c r="M1734" s="27"/>
      <c r="N1734" s="5" t="s">
        <v>52076</v>
      </c>
      <c r="O1734" s="5" t="str">
        <v>7710682086</v>
      </c>
      <c r="P1734" s="27">
        <v>2000000</v>
      </c>
      <c r="Q1734" s="5" t="s">
        <v>49579</v>
      </c>
      <c r="R1734" s="5"/>
      <c r="S1734" s="5" t="s">
        <v>52077</v>
      </c>
      <c r="T1734" s="28">
        <v>17255000</v>
      </c>
      <c r="U1734" s="28">
        <v>125422000</v>
      </c>
      <c r="V1734" s="28">
        <v>1033403000</v>
      </c>
      <c r="W1734" s="28">
        <v>4800000</v>
      </c>
      <c r="X1734" s="28">
        <v>75862000</v>
      </c>
      <c r="Y1734" s="28">
        <v>3014548000</v>
      </c>
      <c r="Z1734" s="28">
        <v>260354000</v>
      </c>
      <c r="AA1734" s="28">
        <v>305172000</v>
      </c>
      <c r="AB1734" s="28">
        <v>396378000</v>
      </c>
      <c r="AC1734" s="28">
        <v>2446355000</v>
      </c>
      <c r="AD1734" s="28">
        <v>262354000</v>
      </c>
      <c r="AE1734" s="28">
        <v>4265223000</v>
      </c>
      <c r="AF1734" s="28">
        <v>20945000</v>
      </c>
      <c r="AG1734" s="11"/>
    </row>
    <row r="1735">
      <c r="A1735" s="7" t="s">
        <v>3439</v>
      </c>
      <c r="B1735" s="5" t="s">
        <v>11427</v>
      </c>
      <c r="C1735" s="5" t="s">
        <v>19286</v>
      </c>
      <c r="D1735" s="5" t="str">
        <v>402510477476</v>
      </c>
      <c r="E1735" s="0" t="e">
        <f>+7 (812) 3322727
+7 (812) 3322719
+7 (812) 3327280
+7 (812) 7184107
+7 (812) 7186006
+7 (812) 7186050
+7 (81850) 45103
+7 (81850) 45135
+7 (81850) 45249
+7 (81850) 45344
+7 (81850) 45678</f>
        <v>#NAME?</v>
      </c>
      <c r="F1735" s="5" t="s">
        <v>30575</v>
      </c>
      <c r="G1735" s="5" t="s">
        <v>30576</v>
      </c>
      <c r="H1735" s="26">
        <v>16.5</v>
      </c>
      <c r="I1735" s="5"/>
      <c r="J1735" s="5" t="s">
        <v>30577</v>
      </c>
      <c r="K1735" s="5" t="s">
        <v>344</v>
      </c>
      <c r="L1735" s="5" t="s">
        <v>30578</v>
      </c>
      <c r="M1735" s="27">
        <v>20422608</v>
      </c>
      <c r="N1735" s="5" t="s">
        <v>52078</v>
      </c>
      <c r="O1735" s="5" t="str">
        <v>7840346335</v>
      </c>
      <c r="P1735" s="27">
        <v>5510783652</v>
      </c>
      <c r="Q1735" s="5" t="s">
        <v>52079</v>
      </c>
      <c r="R1735" s="5"/>
      <c r="S1735" s="5" t="s">
        <v>52080</v>
      </c>
      <c r="T1735" s="28">
        <v>116502033000</v>
      </c>
      <c r="U1735" s="28">
        <v>5485056000</v>
      </c>
      <c r="V1735" s="28">
        <v>29067697000</v>
      </c>
      <c r="W1735" s="28"/>
      <c r="X1735" s="28">
        <v>4677703000</v>
      </c>
      <c r="Y1735" s="28">
        <v>308137206000</v>
      </c>
      <c r="Z1735" s="28">
        <v>34825197000</v>
      </c>
      <c r="AA1735" s="28">
        <v>119672097000</v>
      </c>
      <c r="AB1735" s="28">
        <v>56563107000</v>
      </c>
      <c r="AC1735" s="28">
        <v>117601844000</v>
      </c>
      <c r="AD1735" s="28">
        <v>54447201000</v>
      </c>
      <c r="AE1735" s="28">
        <v>183702186000</v>
      </c>
      <c r="AF1735" s="28">
        <v>21779716000</v>
      </c>
      <c r="AG1735" s="11"/>
    </row>
    <row r="1736">
      <c r="A1736" s="7" t="s">
        <v>3440</v>
      </c>
      <c r="B1736" s="5" t="s">
        <v>11428</v>
      </c>
      <c r="C1736" s="5" t="s">
        <v>19287</v>
      </c>
      <c r="D1736" s="5" t="str">
        <v>773372437914</v>
      </c>
      <c r="E1736" s="0" t="e">
        <f>+7 (495) 6798679
+7 (495) 6491520
+7 (495) 7211520</f>
        <v>#NAME?</v>
      </c>
      <c r="F1736" s="5" t="s">
        <v>30579</v>
      </c>
      <c r="G1736" s="5" t="s">
        <v>30580</v>
      </c>
      <c r="H1736" s="26">
        <v>9</v>
      </c>
      <c r="I1736" s="5" t="s">
        <v>30581</v>
      </c>
      <c r="J1736" s="5" t="s">
        <v>28108</v>
      </c>
      <c r="K1736" s="5" t="s">
        <v>344</v>
      </c>
      <c r="L1736" s="5" t="s">
        <v>30582</v>
      </c>
      <c r="M1736" s="27"/>
      <c r="N1736" s="5"/>
      <c r="O1736" s="5" t="str">
        <v>7702835684</v>
      </c>
      <c r="P1736" s="27">
        <v>100000</v>
      </c>
      <c r="Q1736" s="5" t="s">
        <v>49009</v>
      </c>
      <c r="R1736" s="5"/>
      <c r="S1736" s="5" t="s">
        <v>51818</v>
      </c>
      <c r="T1736" s="28">
        <v>662383000</v>
      </c>
      <c r="U1736" s="28">
        <v>10299645000</v>
      </c>
      <c r="V1736" s="28">
        <v>3182289000</v>
      </c>
      <c r="W1736" s="28">
        <v>192620000</v>
      </c>
      <c r="X1736" s="28">
        <v>502236000</v>
      </c>
      <c r="Y1736" s="28">
        <v>14863215000</v>
      </c>
      <c r="Z1736" s="28">
        <v>14076643000</v>
      </c>
      <c r="AA1736" s="28"/>
      <c r="AB1736" s="28"/>
      <c r="AC1736" s="28">
        <v>739947000</v>
      </c>
      <c r="AD1736" s="28">
        <v>14076743000</v>
      </c>
      <c r="AE1736" s="28">
        <v>9987671000</v>
      </c>
      <c r="AF1736" s="28">
        <v>8445596000</v>
      </c>
      <c r="AG1736" s="11"/>
    </row>
    <row r="1737">
      <c r="A1737" s="7" t="s">
        <v>3441</v>
      </c>
      <c r="B1737" s="5" t="s">
        <v>11429</v>
      </c>
      <c r="C1737" s="5" t="s">
        <v>19288</v>
      </c>
      <c r="D1737" s="5" t="str">
        <v>772816198730</v>
      </c>
      <c r="E1737" s="0" t="e">
        <f>+7 (912) 3237585
+7 (351) 2101990
+7 (383) 3670505
+7 (495) 7753896
+7 (910) 9064606</f>
        <v>#NAME?</v>
      </c>
      <c r="F1737" s="5" t="s">
        <v>30583</v>
      </c>
      <c r="G1737" s="5" t="s">
        <v>30584</v>
      </c>
      <c r="H1737" s="26">
        <v>16</v>
      </c>
      <c r="I1737" s="5" t="s">
        <v>30585</v>
      </c>
      <c r="J1737" s="5" t="s">
        <v>693</v>
      </c>
      <c r="K1737" s="5" t="s">
        <v>344</v>
      </c>
      <c r="L1737" s="5" t="s">
        <v>30586</v>
      </c>
      <c r="M1737" s="27">
        <v>12032629</v>
      </c>
      <c r="N1737" s="5" t="s">
        <v>52081</v>
      </c>
      <c r="O1737" s="5" t="str">
        <v>7118818033</v>
      </c>
      <c r="P1737" s="27">
        <v>500000</v>
      </c>
      <c r="Q1737" s="5" t="s">
        <v>49021</v>
      </c>
      <c r="R1737" s="5" t="s">
        <v>52082</v>
      </c>
      <c r="S1737" s="5" t="s">
        <v>52083</v>
      </c>
      <c r="T1737" s="28">
        <v>61847000</v>
      </c>
      <c r="U1737" s="28"/>
      <c r="V1737" s="28">
        <v>2209689000</v>
      </c>
      <c r="W1737" s="28">
        <v>299921000</v>
      </c>
      <c r="X1737" s="28">
        <v>421973000</v>
      </c>
      <c r="Y1737" s="28">
        <v>8524029000</v>
      </c>
      <c r="Z1737" s="28">
        <v>3096826000</v>
      </c>
      <c r="AA1737" s="28">
        <v>1933749000</v>
      </c>
      <c r="AB1737" s="28">
        <v>206506000</v>
      </c>
      <c r="AC1737" s="28">
        <v>3051158000</v>
      </c>
      <c r="AD1737" s="28">
        <v>3539122000</v>
      </c>
      <c r="AE1737" s="28">
        <v>26721251000</v>
      </c>
      <c r="AF1737" s="28">
        <v>785198000</v>
      </c>
      <c r="AG1737" s="11"/>
    </row>
    <row r="1738">
      <c r="A1738" s="7" t="s">
        <v>3442</v>
      </c>
      <c r="B1738" s="5" t="s">
        <v>11430</v>
      </c>
      <c r="C1738" s="5" t="s">
        <v>19289</v>
      </c>
      <c r="D1738" s="5" t="str">
        <v>781623787973</v>
      </c>
      <c r="E1738" s="0" t="e">
        <f>+7 (812) 7030404
+7 (484) 2926060
+7 (484) 2926262
+7 (812) 3369082
+7 (812) 6213388
+7 (812) 7666600
+7 (815) 2553682
+7 (815) 2554205
+7 (921) 9537485</f>
        <v>#NAME?</v>
      </c>
      <c r="F1738" s="5" t="s">
        <v>30587</v>
      </c>
      <c r="G1738" s="5" t="s">
        <v>30588</v>
      </c>
      <c r="H1738" s="26">
        <v>16</v>
      </c>
      <c r="I1738" s="5" t="s">
        <v>30589</v>
      </c>
      <c r="J1738" s="5" t="s">
        <v>389</v>
      </c>
      <c r="K1738" s="5" t="s">
        <v>344</v>
      </c>
      <c r="L1738" s="5"/>
      <c r="M1738" s="27">
        <v>1704809</v>
      </c>
      <c r="N1738" s="5" t="s">
        <v>52084</v>
      </c>
      <c r="O1738" s="5" t="str">
        <v>7816407523</v>
      </c>
      <c r="P1738" s="27">
        <v>28002800</v>
      </c>
      <c r="Q1738" s="5" t="s">
        <v>49021</v>
      </c>
      <c r="R1738" s="5"/>
      <c r="S1738" s="5" t="s">
        <v>52085</v>
      </c>
      <c r="T1738" s="28">
        <v>2612512000</v>
      </c>
      <c r="U1738" s="28"/>
      <c r="V1738" s="28">
        <v>323322000</v>
      </c>
      <c r="W1738" s="28"/>
      <c r="X1738" s="28">
        <v>18331000</v>
      </c>
      <c r="Y1738" s="28">
        <v>3824881000</v>
      </c>
      <c r="Z1738" s="28">
        <v>902769000</v>
      </c>
      <c r="AA1738" s="28">
        <v>931325000</v>
      </c>
      <c r="AB1738" s="28">
        <v>741585000</v>
      </c>
      <c r="AC1738" s="28">
        <v>1271529000</v>
      </c>
      <c r="AD1738" s="28">
        <v>1606386000</v>
      </c>
      <c r="AE1738" s="28">
        <v>5608316000</v>
      </c>
      <c r="AF1738" s="28">
        <v>114908000</v>
      </c>
      <c r="AG1738" s="11"/>
    </row>
    <row r="1739">
      <c r="A1739" s="7" t="s">
        <v>3443</v>
      </c>
      <c r="B1739" s="5" t="s">
        <v>11431</v>
      </c>
      <c r="C1739" s="5" t="s">
        <v>19290</v>
      </c>
      <c r="D1739" s="5" t="str">
        <v>770765009240</v>
      </c>
      <c r="E1739" s="0" t="e">
        <f>+7 (3422) 450610
+7 (343) 2105768
+7 (34672) 59340
+7 (385) 2636229
+7 (495) 232027
+7 (495) 9420000
+7 (3422) 150530
+7 (3422) 150609
+7 (3422) 150610
+7 (3466) 298834
+7 (34672) 59348
+7 (495) 6202000
+7 (495) 6238775
+7 (495) 7370793
+7 (495) 7480950</f>
        <v>#NAME?</v>
      </c>
      <c r="F1739" s="5" t="s">
        <v>30590</v>
      </c>
      <c r="G1739" s="5" t="s">
        <v>30591</v>
      </c>
      <c r="H1739" s="26">
        <v>16.5</v>
      </c>
      <c r="I1739" s="5"/>
      <c r="J1739" s="5" t="s">
        <v>25349</v>
      </c>
      <c r="K1739" s="5" t="s">
        <v>355</v>
      </c>
      <c r="L1739" s="5"/>
      <c r="M1739" s="27">
        <v>1370400</v>
      </c>
      <c r="N1739" s="5" t="s">
        <v>52086</v>
      </c>
      <c r="O1739" s="5" t="str">
        <v>7710641442</v>
      </c>
      <c r="P1739" s="27">
        <v>3277588000</v>
      </c>
      <c r="Q1739" s="5" t="s">
        <v>52088</v>
      </c>
      <c r="R1739" s="5" t="s">
        <v>52089</v>
      </c>
      <c r="S1739" s="5" t="s">
        <v>52090</v>
      </c>
      <c r="T1739" s="28">
        <v>27852858000</v>
      </c>
      <c r="U1739" s="28">
        <v>6538317000</v>
      </c>
      <c r="V1739" s="28">
        <v>2664274000</v>
      </c>
      <c r="W1739" s="28">
        <v>946643000</v>
      </c>
      <c r="X1739" s="28">
        <v>2979334000</v>
      </c>
      <c r="Y1739" s="28">
        <v>46565037000</v>
      </c>
      <c r="Z1739" s="28">
        <v>-351158000</v>
      </c>
      <c r="AA1739" s="28">
        <v>3300000000</v>
      </c>
      <c r="AB1739" s="28">
        <v>12891775000</v>
      </c>
      <c r="AC1739" s="28">
        <v>20845533000</v>
      </c>
      <c r="AD1739" s="28">
        <v>18949076000</v>
      </c>
      <c r="AE1739" s="28">
        <v>26785645000</v>
      </c>
      <c r="AF1739" s="28">
        <v>47439000</v>
      </c>
      <c r="AG1739" s="11"/>
    </row>
    <row r="1740">
      <c r="A1740" s="7" t="s">
        <v>3444</v>
      </c>
      <c r="B1740" s="5" t="s">
        <v>11432</v>
      </c>
      <c r="C1740" s="5" t="s">
        <v>19291</v>
      </c>
      <c r="D1740" s="5" t="str">
        <v>622801672590</v>
      </c>
      <c r="E1740" s="0" t="e">
        <f>+7 (491) 2293298
+7 (4912) 752625
+7 (4912) 752635
+7 (4912) 927666
+7 (4912) 984491
+7 (920) 9578400</f>
        <v>#NAME?</v>
      </c>
      <c r="F1740" s="5"/>
      <c r="G1740" s="5"/>
      <c r="H1740" s="26">
        <v>16</v>
      </c>
      <c r="I1740" s="5" t="s">
        <v>30592</v>
      </c>
      <c r="J1740" s="5" t="s">
        <v>26511</v>
      </c>
      <c r="K1740" s="5" t="s">
        <v>344</v>
      </c>
      <c r="L1740" s="5" t="s">
        <v>30593</v>
      </c>
      <c r="M1740" s="27"/>
      <c r="N1740" s="5" t="s">
        <v>52091</v>
      </c>
      <c r="O1740" s="5" t="str">
        <v>6213007756</v>
      </c>
      <c r="P1740" s="27">
        <v>10000</v>
      </c>
      <c r="Q1740" s="5" t="s">
        <v>49009</v>
      </c>
      <c r="R1740" s="5"/>
      <c r="S1740" s="5" t="s">
        <v>49045</v>
      </c>
      <c r="T1740" s="28"/>
      <c r="U1740" s="28"/>
      <c r="V1740" s="28">
        <v>1205522000</v>
      </c>
      <c r="W1740" s="28">
        <v>369211000</v>
      </c>
      <c r="X1740" s="28">
        <v>3130000</v>
      </c>
      <c r="Y1740" s="28">
        <v>1579912000</v>
      </c>
      <c r="Z1740" s="28">
        <v>40125000</v>
      </c>
      <c r="AA1740" s="28"/>
      <c r="AB1740" s="28">
        <v>406872000</v>
      </c>
      <c r="AC1740" s="28">
        <v>1539777000</v>
      </c>
      <c r="AD1740" s="28">
        <v>40135000</v>
      </c>
      <c r="AE1740" s="28">
        <v>4021031000</v>
      </c>
      <c r="AF1740" s="28">
        <v>8022000</v>
      </c>
      <c r="AG1740" s="11"/>
    </row>
    <row r="1741">
      <c r="A1741" s="7" t="s">
        <v>3445</v>
      </c>
      <c r="B1741" s="5" t="s">
        <v>11433</v>
      </c>
      <c r="C1741" s="5" t="s">
        <v>19292</v>
      </c>
      <c r="D1741" s="5" t="str">
        <v>501805902208</v>
      </c>
      <c r="E1741" s="0" t="e">
        <f>+7 (495) 7868564
+7 (383) 2001877
+7 (919) 6751122
+7 (4232) 361170
+7 (495) 7397527
+7 (495) 7868565</f>
        <v>#NAME?</v>
      </c>
      <c r="F1741" s="5" t="s">
        <v>30594</v>
      </c>
      <c r="G1741" s="5" t="s">
        <v>30595</v>
      </c>
      <c r="H1741" s="26">
        <v>15</v>
      </c>
      <c r="I1741" s="5" t="s">
        <v>30596</v>
      </c>
      <c r="J1741" s="5" t="s">
        <v>27654</v>
      </c>
      <c r="K1741" s="5" t="s">
        <v>344</v>
      </c>
      <c r="L1741" s="5"/>
      <c r="M1741" s="27">
        <v>402562</v>
      </c>
      <c r="N1741" s="5" t="s">
        <v>52092</v>
      </c>
      <c r="O1741" s="5" t="str">
        <v>7716605970</v>
      </c>
      <c r="P1741" s="27">
        <v>893312470</v>
      </c>
      <c r="Q1741" s="5"/>
      <c r="R1741" s="5"/>
      <c r="S1741" s="5" t="s">
        <v>49125</v>
      </c>
      <c r="T1741" s="28">
        <v>1708900000</v>
      </c>
      <c r="U1741" s="28">
        <v>42584000</v>
      </c>
      <c r="V1741" s="28">
        <v>670672000</v>
      </c>
      <c r="W1741" s="28"/>
      <c r="X1741" s="28">
        <v>471346000</v>
      </c>
      <c r="Y1741" s="28">
        <v>3771540000</v>
      </c>
      <c r="Z1741" s="28">
        <v>2051763000</v>
      </c>
      <c r="AA1741" s="28"/>
      <c r="AB1741" s="28">
        <v>426623000</v>
      </c>
      <c r="AC1741" s="28">
        <v>818230000</v>
      </c>
      <c r="AD1741" s="28">
        <v>2945340000</v>
      </c>
      <c r="AE1741" s="28">
        <v>4390838000</v>
      </c>
      <c r="AF1741" s="28">
        <v>-330077000</v>
      </c>
      <c r="AG1741" s="11"/>
    </row>
    <row r="1742">
      <c r="A1742" s="7" t="s">
        <v>3446</v>
      </c>
      <c r="B1742" s="5" t="s">
        <v>11434</v>
      </c>
      <c r="C1742" s="5" t="s">
        <v>19293</v>
      </c>
      <c r="D1742" s="5" t="str">
        <v>332903640588</v>
      </c>
      <c r="E1742" s="0" t="e">
        <f>+7 (495) 3631661
+7 (3432) 957721
+7 (4234) 389948
+7 (47155) 51331
+7 (47158) 21351
+7 (472) 2400104
+7 (47236) 66333
+7 (47236) 66509
+7 (47236) 66510
+7 (475) 2492578
+7 (47552) 26125
+7 (47552) 26470
+7 (47552) 26532
+7 (48646) 21803
+7 (84676) 21064</f>
        <v>#NAME?</v>
      </c>
      <c r="F1742" s="5" t="s">
        <v>30597</v>
      </c>
      <c r="G1742" s="5" t="s">
        <v>30598</v>
      </c>
      <c r="H1742" s="26">
        <v>20</v>
      </c>
      <c r="I1742" s="5" t="s">
        <v>30599</v>
      </c>
      <c r="J1742" s="5" t="s">
        <v>502</v>
      </c>
      <c r="K1742" s="5" t="s">
        <v>355</v>
      </c>
      <c r="L1742" s="5" t="s">
        <v>30600</v>
      </c>
      <c r="M1742" s="27">
        <v>608031310</v>
      </c>
      <c r="N1742" s="5"/>
      <c r="O1742" s="5" t="str">
        <v>7728278043</v>
      </c>
      <c r="P1742" s="27">
        <v>1770017000</v>
      </c>
      <c r="Q1742" s="5" t="s">
        <v>49057</v>
      </c>
      <c r="R1742" s="5"/>
      <c r="S1742" s="5" t="s">
        <v>52093</v>
      </c>
      <c r="T1742" s="28">
        <v>798423000</v>
      </c>
      <c r="U1742" s="28">
        <v>116497465000</v>
      </c>
      <c r="V1742" s="28">
        <v>16691957000</v>
      </c>
      <c r="W1742" s="28">
        <v>109196907000</v>
      </c>
      <c r="X1742" s="28">
        <v>180977000</v>
      </c>
      <c r="Y1742" s="28">
        <v>267833966000</v>
      </c>
      <c r="Z1742" s="28">
        <v>100420448000</v>
      </c>
      <c r="AA1742" s="28">
        <v>52009514000</v>
      </c>
      <c r="AB1742" s="28">
        <v>51374884000</v>
      </c>
      <c r="AC1742" s="28">
        <v>112504105000</v>
      </c>
      <c r="AD1742" s="28">
        <v>102190465000</v>
      </c>
      <c r="AE1742" s="28">
        <v>53250536000</v>
      </c>
      <c r="AF1742" s="28">
        <v>20919037000</v>
      </c>
      <c r="AG1742" s="11"/>
    </row>
    <row r="1743">
      <c r="A1743" s="7" t="s">
        <v>3447</v>
      </c>
      <c r="B1743" s="5" t="s">
        <v>11435</v>
      </c>
      <c r="C1743" s="5" t="s">
        <v>19294</v>
      </c>
      <c r="D1743" s="5" t="str">
        <v>645301721776</v>
      </c>
      <c r="E1743" s="0" t="e">
        <f>+7 (495) 7274189
+7 (495) 7833392
+7 (495) 7833393
+7 (800) 7007847
+7 (812) 7774157</f>
        <v>#NAME?</v>
      </c>
      <c r="F1743" s="5" t="s">
        <v>30601</v>
      </c>
      <c r="G1743" s="5" t="s">
        <v>30602</v>
      </c>
      <c r="H1743" s="26">
        <v>17</v>
      </c>
      <c r="I1743" s="5" t="s">
        <v>30603</v>
      </c>
      <c r="J1743" s="5" t="s">
        <v>693</v>
      </c>
      <c r="K1743" s="5" t="s">
        <v>344</v>
      </c>
      <c r="L1743" s="5"/>
      <c r="M1743" s="27"/>
      <c r="N1743" s="5"/>
      <c r="O1743" s="5" t="str">
        <v>7720774346</v>
      </c>
      <c r="P1743" s="27">
        <v>371298709</v>
      </c>
      <c r="Q1743" s="5" t="s">
        <v>694</v>
      </c>
      <c r="R1743" s="5" t="s">
        <v>52094</v>
      </c>
      <c r="S1743" s="5" t="s">
        <v>50385</v>
      </c>
      <c r="T1743" s="28">
        <v>14526000</v>
      </c>
      <c r="U1743" s="28">
        <v>176548000</v>
      </c>
      <c r="V1743" s="28">
        <v>1196546000</v>
      </c>
      <c r="W1743" s="28">
        <v>1993000</v>
      </c>
      <c r="X1743" s="28">
        <v>15982000</v>
      </c>
      <c r="Y1743" s="28">
        <v>1936741000</v>
      </c>
      <c r="Z1743" s="28">
        <v>-315780000</v>
      </c>
      <c r="AA1743" s="28">
        <v>43694000</v>
      </c>
      <c r="AB1743" s="28"/>
      <c r="AC1743" s="28">
        <v>1319787000</v>
      </c>
      <c r="AD1743" s="28">
        <v>527492000</v>
      </c>
      <c r="AE1743" s="28">
        <v>3544088000</v>
      </c>
      <c r="AF1743" s="28">
        <v>70885000</v>
      </c>
      <c r="AG1743" s="11"/>
    </row>
    <row r="1744">
      <c r="A1744" s="7" t="s">
        <v>3448</v>
      </c>
      <c r="B1744" s="5" t="s">
        <v>11436</v>
      </c>
      <c r="C1744" s="5" t="s">
        <v>19295</v>
      </c>
      <c r="D1744" s="5" t="str">
        <v>781409711929</v>
      </c>
      <c r="E1744" s="0" t="e">
        <f>+7 (812) 3131331
+7 (911) 9739167
+7 (812) 3369669
+7 (812) 6410534
+7 (812) 9290365
+7 (911) 9290365</f>
        <v>#NAME?</v>
      </c>
      <c r="F1744" s="5" t="s">
        <v>30604</v>
      </c>
      <c r="G1744" s="5" t="s">
        <v>30605</v>
      </c>
      <c r="H1744" s="26">
        <v>9</v>
      </c>
      <c r="I1744" s="5" t="s">
        <v>30606</v>
      </c>
      <c r="J1744" s="5" t="s">
        <v>26503</v>
      </c>
      <c r="K1744" s="5" t="s">
        <v>344</v>
      </c>
      <c r="L1744" s="5"/>
      <c r="M1744" s="27"/>
      <c r="N1744" s="5"/>
      <c r="O1744" s="5" t="str">
        <v>7810406643</v>
      </c>
      <c r="P1744" s="27">
        <v>822000000</v>
      </c>
      <c r="Q1744" s="5"/>
      <c r="R1744" s="5"/>
      <c r="S1744" s="5" t="s">
        <v>49123</v>
      </c>
      <c r="T1744" s="28">
        <v>574302000</v>
      </c>
      <c r="U1744" s="28"/>
      <c r="V1744" s="28">
        <v>5266471000</v>
      </c>
      <c r="W1744" s="28">
        <v>5900000</v>
      </c>
      <c r="X1744" s="28">
        <v>17885000</v>
      </c>
      <c r="Y1744" s="28">
        <v>6777255000</v>
      </c>
      <c r="Z1744" s="28">
        <v>974328000</v>
      </c>
      <c r="AA1744" s="28">
        <v>1779877000</v>
      </c>
      <c r="AB1744" s="28">
        <v>3658000</v>
      </c>
      <c r="AC1744" s="28">
        <v>2871707000</v>
      </c>
      <c r="AD1744" s="28">
        <v>1840310000</v>
      </c>
      <c r="AE1744" s="28">
        <v>10401172000</v>
      </c>
      <c r="AF1744" s="28">
        <v>560562000</v>
      </c>
      <c r="AG1744" s="11"/>
    </row>
    <row r="1745">
      <c r="A1745" s="7" t="s">
        <v>3449</v>
      </c>
      <c r="B1745" s="5" t="s">
        <v>11437</v>
      </c>
      <c r="C1745" s="5" t="s">
        <v>19296</v>
      </c>
      <c r="D1745" s="5" t="str">
        <v>780100027119</v>
      </c>
      <c r="E1745" s="0" t="e">
        <f>+7 (812) 3205642</f>
        <v>#NAME?</v>
      </c>
      <c r="F1745" s="5" t="s">
        <v>30607</v>
      </c>
      <c r="G1745" s="5" t="s">
        <v>30608</v>
      </c>
      <c r="H1745" s="26">
        <v>16.5</v>
      </c>
      <c r="I1745" s="5" t="s">
        <v>30609</v>
      </c>
      <c r="J1745" s="5" t="s">
        <v>25376</v>
      </c>
      <c r="K1745" s="5" t="s">
        <v>355</v>
      </c>
      <c r="L1745" s="5"/>
      <c r="M1745" s="27"/>
      <c r="N1745" s="5"/>
      <c r="O1745" s="5" t="str">
        <v>7838360491</v>
      </c>
      <c r="P1745" s="27">
        <v>25757554</v>
      </c>
      <c r="Q1745" s="5" t="s">
        <v>49021</v>
      </c>
      <c r="R1745" s="5"/>
      <c r="S1745" s="5" t="s">
        <v>52095</v>
      </c>
      <c r="T1745" s="28">
        <v>24939000</v>
      </c>
      <c r="U1745" s="28">
        <v>163749811000</v>
      </c>
      <c r="V1745" s="28">
        <v>19607213000</v>
      </c>
      <c r="W1745" s="28">
        <v>12464724000</v>
      </c>
      <c r="X1745" s="28">
        <v>468960000</v>
      </c>
      <c r="Y1745" s="28">
        <v>198360125000</v>
      </c>
      <c r="Z1745" s="28">
        <v>23506214000</v>
      </c>
      <c r="AA1745" s="28">
        <v>59765383000</v>
      </c>
      <c r="AB1745" s="28">
        <v>88495390000</v>
      </c>
      <c r="AC1745" s="28">
        <v>88785464000</v>
      </c>
      <c r="AD1745" s="28">
        <v>49805221000</v>
      </c>
      <c r="AE1745" s="28">
        <v>13115365000</v>
      </c>
      <c r="AF1745" s="28">
        <v>6904885000</v>
      </c>
      <c r="AG1745" s="11"/>
    </row>
    <row r="1746">
      <c r="A1746" s="7" t="s">
        <v>3450</v>
      </c>
      <c r="B1746" s="5" t="s">
        <v>11438</v>
      </c>
      <c r="C1746" s="5" t="s">
        <v>19297</v>
      </c>
      <c r="D1746" s="5" t="str">
        <v>526002936755</v>
      </c>
      <c r="E1746" s="0" t="e">
        <f>+7 (495) 9567937
+7 (83142) 15287
+7 (499) 1531650
+7 (83142) 15254
+7 (83146) 37588
+7 (83146) 38263</f>
        <v>#NAME?</v>
      </c>
      <c r="F1746" s="5" t="s">
        <v>30610</v>
      </c>
      <c r="G1746" s="5" t="s">
        <v>30611</v>
      </c>
      <c r="H1746" s="26">
        <v>15</v>
      </c>
      <c r="I1746" s="5" t="s">
        <v>30612</v>
      </c>
      <c r="J1746" s="5" t="s">
        <v>25429</v>
      </c>
      <c r="K1746" s="5" t="s">
        <v>344</v>
      </c>
      <c r="L1746" s="5" t="s">
        <v>30613</v>
      </c>
      <c r="M1746" s="27"/>
      <c r="N1746" s="5" t="s">
        <v>52096</v>
      </c>
      <c r="O1746" s="5" t="str">
        <v>5262222144</v>
      </c>
      <c r="P1746" s="27">
        <v>10000</v>
      </c>
      <c r="Q1746" s="5" t="s">
        <v>52097</v>
      </c>
      <c r="R1746" s="5"/>
      <c r="S1746" s="5" t="s">
        <v>52098</v>
      </c>
      <c r="T1746" s="28">
        <v>2530000</v>
      </c>
      <c r="U1746" s="28"/>
      <c r="V1746" s="28">
        <v>391215000</v>
      </c>
      <c r="W1746" s="28"/>
      <c r="X1746" s="28">
        <v>192222000</v>
      </c>
      <c r="Y1746" s="28">
        <v>893172000</v>
      </c>
      <c r="Z1746" s="28">
        <v>440460000</v>
      </c>
      <c r="AA1746" s="28">
        <v>21650000</v>
      </c>
      <c r="AB1746" s="28"/>
      <c r="AC1746" s="28">
        <v>431052000</v>
      </c>
      <c r="AD1746" s="28">
        <v>440470000</v>
      </c>
      <c r="AE1746" s="28">
        <v>5552141000</v>
      </c>
      <c r="AF1746" s="28">
        <v>439994000</v>
      </c>
      <c r="AG1746" s="11"/>
    </row>
    <row r="1747">
      <c r="A1747" s="7" t="s">
        <v>3451</v>
      </c>
      <c r="B1747" s="5" t="s">
        <v>11439</v>
      </c>
      <c r="C1747" s="5" t="s">
        <v>19298</v>
      </c>
      <c r="D1747" s="5" t="str">
        <v>771512358122</v>
      </c>
      <c r="E1747" s="0" t="e">
        <f>+7 (495) 1090078
+7 (495) 6385557
+7 (8352) 735010
+7 (910) 4209661</f>
        <v>#NAME?</v>
      </c>
      <c r="F1747" s="5" t="s">
        <v>30614</v>
      </c>
      <c r="G1747" s="5" t="s">
        <v>30615</v>
      </c>
      <c r="H1747" s="26">
        <v>15</v>
      </c>
      <c r="I1747" s="5"/>
      <c r="J1747" s="5" t="s">
        <v>502</v>
      </c>
      <c r="K1747" s="5" t="s">
        <v>380</v>
      </c>
      <c r="L1747" s="5"/>
      <c r="M1747" s="27"/>
      <c r="N1747" s="5"/>
      <c r="O1747" s="5" t="str">
        <v>7727641232</v>
      </c>
      <c r="P1747" s="27">
        <v>25228000</v>
      </c>
      <c r="Q1747" s="5" t="s">
        <v>49535</v>
      </c>
      <c r="R1747" s="5"/>
      <c r="S1747" s="5" t="s">
        <v>52099</v>
      </c>
      <c r="T1747" s="28">
        <v>2950000</v>
      </c>
      <c r="U1747" s="28"/>
      <c r="V1747" s="28">
        <v>1817000</v>
      </c>
      <c r="W1747" s="28"/>
      <c r="X1747" s="28">
        <v>105000</v>
      </c>
      <c r="Y1747" s="28">
        <v>10441000</v>
      </c>
      <c r="Z1747" s="28">
        <v>-62293000</v>
      </c>
      <c r="AA1747" s="28"/>
      <c r="AB1747" s="28"/>
      <c r="AC1747" s="28">
        <v>47506000</v>
      </c>
      <c r="AD1747" s="28">
        <v>-37065000</v>
      </c>
      <c r="AE1747" s="28">
        <v>160564896000</v>
      </c>
      <c r="AF1747" s="28">
        <v>-14511657000</v>
      </c>
      <c r="AG1747" s="11"/>
    </row>
    <row r="1748">
      <c r="A1748" s="7" t="s">
        <v>3452</v>
      </c>
      <c r="B1748" s="5" t="s">
        <v>11440</v>
      </c>
      <c r="C1748" s="5" t="s">
        <v>19299</v>
      </c>
      <c r="D1748" s="5" t="str">
        <v>222200312658</v>
      </c>
      <c r="E1748" s="0" t="e">
        <f>+7 (967) 8556400
+7 (385) 2501146
+7 (385) 2501147
+7 (385) 2501149
+7 (385) 2770921
+7 (905) 808843
+7 (962) 7942002
+7 (962) 7942662</f>
        <v>#NAME?</v>
      </c>
      <c r="F1748" s="5" t="s">
        <v>30616</v>
      </c>
      <c r="G1748" s="5" t="s">
        <v>30617</v>
      </c>
      <c r="H1748" s="26">
        <v>15</v>
      </c>
      <c r="I1748" s="5" t="s">
        <v>30618</v>
      </c>
      <c r="J1748" s="5" t="s">
        <v>27956</v>
      </c>
      <c r="K1748" s="5" t="s">
        <v>355</v>
      </c>
      <c r="L1748" s="5"/>
      <c r="M1748" s="27">
        <v>4371905</v>
      </c>
      <c r="N1748" s="5" t="s">
        <v>52100</v>
      </c>
      <c r="O1748" s="5" t="str">
        <v>0411137185</v>
      </c>
      <c r="P1748" s="27">
        <v>50000000</v>
      </c>
      <c r="Q1748" s="5" t="s">
        <v>49021</v>
      </c>
      <c r="R1748" s="5"/>
      <c r="S1748" s="5" t="s">
        <v>52101</v>
      </c>
      <c r="T1748" s="28">
        <v>308174000</v>
      </c>
      <c r="U1748" s="28">
        <v>48234000</v>
      </c>
      <c r="V1748" s="28">
        <v>778496000</v>
      </c>
      <c r="W1748" s="28">
        <v>511000</v>
      </c>
      <c r="X1748" s="28">
        <v>36800000</v>
      </c>
      <c r="Y1748" s="28">
        <v>1407419000</v>
      </c>
      <c r="Z1748" s="28">
        <v>242279000</v>
      </c>
      <c r="AA1748" s="28">
        <v>147994000</v>
      </c>
      <c r="AB1748" s="28">
        <v>344565000</v>
      </c>
      <c r="AC1748" s="28">
        <v>895196000</v>
      </c>
      <c r="AD1748" s="28">
        <v>325986000</v>
      </c>
      <c r="AE1748" s="28">
        <v>7075269000</v>
      </c>
      <c r="AF1748" s="28">
        <v>79788000</v>
      </c>
      <c r="AG1748" s="11"/>
    </row>
    <row r="1749">
      <c r="A1749" s="7" t="s">
        <v>3453</v>
      </c>
      <c r="B1749" s="5" t="s">
        <v>11441</v>
      </c>
      <c r="C1749" s="5" t="s">
        <v>19300</v>
      </c>
      <c r="D1749" s="5" t="str">
        <v>774352234192</v>
      </c>
      <c r="E1749" s="0" t="e">
        <f>+7 (495) 2133229
+7 (495) 2133230
+7 (495) 2133232
+7 (495) 2133233
+7 (495) 2133237
+7 (495) 6133232
+7 (495) 6133233</f>
        <v>#NAME?</v>
      </c>
      <c r="F1749" s="5" t="s">
        <v>30619</v>
      </c>
      <c r="G1749" s="5" t="s">
        <v>30620</v>
      </c>
      <c r="H1749" s="26">
        <v>26</v>
      </c>
      <c r="I1749" s="5"/>
      <c r="J1749" s="5" t="s">
        <v>27522</v>
      </c>
      <c r="K1749" s="5" t="s">
        <v>344</v>
      </c>
      <c r="L1749" s="5" t="s">
        <v>30621</v>
      </c>
      <c r="M1749" s="27"/>
      <c r="N1749" s="5"/>
      <c r="O1749" s="5" t="str">
        <v>7714108299</v>
      </c>
      <c r="P1749" s="27">
        <v>20000000</v>
      </c>
      <c r="Q1749" s="5" t="s">
        <v>49009</v>
      </c>
      <c r="R1749" s="5"/>
      <c r="S1749" s="5" t="s">
        <v>49066</v>
      </c>
      <c r="T1749" s="28">
        <v>606166000</v>
      </c>
      <c r="U1749" s="28"/>
      <c r="V1749" s="28">
        <v>4232658000</v>
      </c>
      <c r="W1749" s="28"/>
      <c r="X1749" s="28">
        <v>2752429000</v>
      </c>
      <c r="Y1749" s="28">
        <v>12314555000</v>
      </c>
      <c r="Z1749" s="28">
        <v>3165246000</v>
      </c>
      <c r="AA1749" s="28">
        <v>5340377000</v>
      </c>
      <c r="AB1749" s="28">
        <v>1242953000</v>
      </c>
      <c r="AC1749" s="28">
        <v>3586314000</v>
      </c>
      <c r="AD1749" s="28">
        <v>3188252000</v>
      </c>
      <c r="AE1749" s="28">
        <v>21357447000</v>
      </c>
      <c r="AF1749" s="28">
        <v>-603909000</v>
      </c>
      <c r="AG1749" s="11"/>
    </row>
    <row r="1750">
      <c r="A1750" s="7" t="s">
        <v>3454</v>
      </c>
      <c r="B1750" s="5" t="s">
        <v>11442</v>
      </c>
      <c r="C1750" s="5" t="s">
        <v>19301</v>
      </c>
      <c r="D1750" s="5" t="str">
        <v>666003324873</v>
      </c>
      <c r="E1750" s="0" t="e">
        <f>+7 (343) 2293405
+7 (343) 2293300
+7 (343) 2293579
+7 (343) 2293580
+7 (343) 3103300
+7 (343) 3589979
+7 (3432) 129987
+7 (3433) 103355
+7 (3433) 103368
+7 (3433) 110950
+7 (484) 2505292
+7 (48444) 43700
+7 (495) 2587164
+7 (800) 5501650
+7 (909) 4932079</f>
        <v>#NAME?</v>
      </c>
      <c r="F1750" s="5" t="s">
        <v>30622</v>
      </c>
      <c r="G1750" s="5" t="s">
        <v>30623</v>
      </c>
      <c r="H1750" s="26">
        <v>16</v>
      </c>
      <c r="I1750" s="5"/>
      <c r="J1750" s="5" t="s">
        <v>25376</v>
      </c>
      <c r="K1750" s="5" t="s">
        <v>344</v>
      </c>
      <c r="L1750" s="5" t="s">
        <v>30624</v>
      </c>
      <c r="M1750" s="27"/>
      <c r="N1750" s="5"/>
      <c r="O1750" s="5" t="str">
        <v>6658252583</v>
      </c>
      <c r="P1750" s="27">
        <v>3925840200</v>
      </c>
      <c r="Q1750" s="5" t="s">
        <v>49009</v>
      </c>
      <c r="R1750" s="5"/>
      <c r="S1750" s="5" t="s">
        <v>52102</v>
      </c>
      <c r="T1750" s="28">
        <v>3275428000</v>
      </c>
      <c r="U1750" s="28">
        <v>55635294000</v>
      </c>
      <c r="V1750" s="28">
        <v>2742046000</v>
      </c>
      <c r="W1750" s="28">
        <v>2403197000</v>
      </c>
      <c r="X1750" s="28">
        <v>2201469000</v>
      </c>
      <c r="Y1750" s="28">
        <v>68624745000</v>
      </c>
      <c r="Z1750" s="28">
        <v>31036045000</v>
      </c>
      <c r="AA1750" s="28">
        <v>19987409000</v>
      </c>
      <c r="AB1750" s="28">
        <v>1470081000</v>
      </c>
      <c r="AC1750" s="28">
        <v>9443947000</v>
      </c>
      <c r="AD1750" s="28">
        <v>35444897000</v>
      </c>
      <c r="AE1750" s="28">
        <v>8366108000</v>
      </c>
      <c r="AF1750" s="28">
        <v>9654606000</v>
      </c>
      <c r="AG1750" s="11"/>
    </row>
    <row r="1751">
      <c r="A1751" s="7" t="s">
        <v>3455</v>
      </c>
      <c r="B1751" s="5" t="s">
        <v>11443</v>
      </c>
      <c r="C1751" s="5" t="s">
        <v>19302</v>
      </c>
      <c r="D1751" s="5" t="str">
        <v>770174743270</v>
      </c>
      <c r="E1751" s="0" t="e">
        <f>+7 (495) 7375585
+7 (495) 7288080
+7 (495) 7807014
+7 (495) 9892373
+7 (800) 7754042</f>
        <v>#NAME?</v>
      </c>
      <c r="F1751" s="5" t="s">
        <v>30625</v>
      </c>
      <c r="G1751" s="5" t="s">
        <v>30626</v>
      </c>
      <c r="H1751" s="26">
        <v>23</v>
      </c>
      <c r="I1751" s="5" t="s">
        <v>30627</v>
      </c>
      <c r="J1751" s="5" t="s">
        <v>641</v>
      </c>
      <c r="K1751" s="5" t="s">
        <v>344</v>
      </c>
      <c r="L1751" s="5" t="s">
        <v>30628</v>
      </c>
      <c r="M1751" s="27"/>
      <c r="N1751" s="5" t="s">
        <v>52103</v>
      </c>
      <c r="O1751" s="5" t="str">
        <v>5029052258</v>
      </c>
      <c r="P1751" s="27">
        <v>14584390</v>
      </c>
      <c r="Q1751" s="5" t="s">
        <v>49009</v>
      </c>
      <c r="R1751" s="5"/>
      <c r="S1751" s="5" t="s">
        <v>51072</v>
      </c>
      <c r="T1751" s="28">
        <v>25285000</v>
      </c>
      <c r="U1751" s="28">
        <v>45619000</v>
      </c>
      <c r="V1751" s="28">
        <v>480371000</v>
      </c>
      <c r="W1751" s="28">
        <v>97454000</v>
      </c>
      <c r="X1751" s="28">
        <v>321880000</v>
      </c>
      <c r="Y1751" s="28">
        <v>1249909000</v>
      </c>
      <c r="Z1751" s="28">
        <v>780478000</v>
      </c>
      <c r="AA1751" s="28"/>
      <c r="AB1751" s="28"/>
      <c r="AC1751" s="28">
        <v>444542000</v>
      </c>
      <c r="AD1751" s="28">
        <v>795062000</v>
      </c>
      <c r="AE1751" s="28">
        <v>3158468000</v>
      </c>
      <c r="AF1751" s="28">
        <v>2918000</v>
      </c>
      <c r="AG1751" s="11"/>
    </row>
    <row r="1752">
      <c r="A1752" s="7" t="s">
        <v>3456</v>
      </c>
      <c r="B1752" s="5" t="s">
        <v>11444</v>
      </c>
      <c r="C1752" s="5" t="s">
        <v>19303</v>
      </c>
      <c r="D1752" s="5" t="str">
        <v>616112667276</v>
      </c>
      <c r="E1752" s="0" t="e">
        <f>+7 (8632) 552502
+7 (800) 1002502
+7 (863) 2178139
+7 (8632) 552501
+7 (928) 1042793
+7 (928) 1610353
+7 (928) 9660353
+7 (938) 1570353
+7 (938) 4314706</f>
        <v>#NAME?</v>
      </c>
      <c r="F1752" s="5" t="s">
        <v>30629</v>
      </c>
      <c r="G1752" s="5"/>
      <c r="H1752" s="26">
        <v>21.5</v>
      </c>
      <c r="I1752" s="5" t="s">
        <v>30630</v>
      </c>
      <c r="J1752" s="5" t="s">
        <v>25842</v>
      </c>
      <c r="K1752" s="5" t="s">
        <v>344</v>
      </c>
      <c r="L1752" s="5" t="s">
        <v>30631</v>
      </c>
      <c r="M1752" s="27">
        <v>27142518</v>
      </c>
      <c r="N1752" s="5" t="s">
        <v>52104</v>
      </c>
      <c r="O1752" s="5" t="str">
        <v>6113016884</v>
      </c>
      <c r="P1752" s="27">
        <v>310000</v>
      </c>
      <c r="Q1752" s="5" t="s">
        <v>52105</v>
      </c>
      <c r="R1752" s="5" t="s">
        <v>52106</v>
      </c>
      <c r="S1752" s="5" t="s">
        <v>52107</v>
      </c>
      <c r="T1752" s="28">
        <v>847143000</v>
      </c>
      <c r="U1752" s="28"/>
      <c r="V1752" s="28">
        <v>412845000</v>
      </c>
      <c r="W1752" s="28">
        <v>29955000</v>
      </c>
      <c r="X1752" s="28">
        <v>2597000</v>
      </c>
      <c r="Y1752" s="28">
        <v>2751175000</v>
      </c>
      <c r="Z1752" s="28">
        <v>1124878000</v>
      </c>
      <c r="AA1752" s="28">
        <v>1227447000</v>
      </c>
      <c r="AB1752" s="28"/>
      <c r="AC1752" s="28">
        <v>276590000</v>
      </c>
      <c r="AD1752" s="28">
        <v>1190909000</v>
      </c>
      <c r="AE1752" s="28">
        <v>7087780000</v>
      </c>
      <c r="AF1752" s="28">
        <v>668996000</v>
      </c>
      <c r="AG1752" s="11"/>
    </row>
    <row r="1753">
      <c r="A1753" s="7" t="s">
        <v>3457</v>
      </c>
      <c r="B1753" s="5" t="s">
        <v>11445</v>
      </c>
      <c r="C1753" s="5" t="s">
        <v>19304</v>
      </c>
      <c r="D1753" s="5" t="str">
        <v>771002509896</v>
      </c>
      <c r="E1753" s="0" t="e">
        <f>+7 (495) 6414080
+7 (495) 9561243
+7 (495) 7378727</f>
        <v>#NAME?</v>
      </c>
      <c r="F1753" s="5" t="s">
        <v>30632</v>
      </c>
      <c r="G1753" s="5" t="s">
        <v>30633</v>
      </c>
      <c r="H1753" s="26">
        <v>17.5</v>
      </c>
      <c r="I1753" s="5" t="s">
        <v>30634</v>
      </c>
      <c r="J1753" s="5" t="s">
        <v>785</v>
      </c>
      <c r="K1753" s="5" t="s">
        <v>344</v>
      </c>
      <c r="L1753" s="5" t="s">
        <v>30635</v>
      </c>
      <c r="M1753" s="27">
        <v>6186307</v>
      </c>
      <c r="N1753" s="5"/>
      <c r="O1753" s="5" t="str">
        <v>7731529770</v>
      </c>
      <c r="P1753" s="27">
        <v>26987000</v>
      </c>
      <c r="Q1753" s="5" t="s">
        <v>49009</v>
      </c>
      <c r="R1753" s="5" t="s">
        <v>52108</v>
      </c>
      <c r="S1753" s="5" t="s">
        <v>52109</v>
      </c>
      <c r="T1753" s="28">
        <v>544993000</v>
      </c>
      <c r="U1753" s="28">
        <v>70000</v>
      </c>
      <c r="V1753" s="28">
        <v>2561128000</v>
      </c>
      <c r="W1753" s="28"/>
      <c r="X1753" s="28">
        <v>2288296000</v>
      </c>
      <c r="Y1753" s="28">
        <v>5531018000</v>
      </c>
      <c r="Z1753" s="28">
        <v>2042904000</v>
      </c>
      <c r="AA1753" s="28">
        <v>224203000</v>
      </c>
      <c r="AB1753" s="28">
        <v>44115000</v>
      </c>
      <c r="AC1753" s="28">
        <v>2663958000</v>
      </c>
      <c r="AD1753" s="28">
        <v>2115891000</v>
      </c>
      <c r="AE1753" s="28">
        <v>8739702000</v>
      </c>
      <c r="AF1753" s="28">
        <v>182175000</v>
      </c>
      <c r="AG1753" s="11"/>
    </row>
    <row r="1754">
      <c r="A1754" s="7" t="s">
        <v>3458</v>
      </c>
      <c r="B1754" s="5" t="s">
        <v>11446</v>
      </c>
      <c r="C1754" s="5" t="s">
        <v>19305</v>
      </c>
      <c r="D1754" s="5" t="str">
        <v>505100733117</v>
      </c>
      <c r="E1754" s="0" t="e">
        <f>+7 (495) 6629441
+7 (495) 4242060
+7 (495) 4242070
+7 (495) 6427375</f>
        <v>#NAME?</v>
      </c>
      <c r="F1754" s="5" t="s">
        <v>30636</v>
      </c>
      <c r="G1754" s="5" t="s">
        <v>30637</v>
      </c>
      <c r="H1754" s="26">
        <v>13</v>
      </c>
      <c r="I1754" s="5" t="s">
        <v>30638</v>
      </c>
      <c r="J1754" s="5" t="s">
        <v>25253</v>
      </c>
      <c r="K1754" s="5" t="s">
        <v>344</v>
      </c>
      <c r="L1754" s="5" t="s">
        <v>30639</v>
      </c>
      <c r="M1754" s="27"/>
      <c r="N1754" s="5"/>
      <c r="O1754" s="5" t="str">
        <v>5003079216</v>
      </c>
      <c r="P1754" s="27">
        <v>4900000</v>
      </c>
      <c r="Q1754" s="5" t="s">
        <v>49059</v>
      </c>
      <c r="R1754" s="5"/>
      <c r="S1754" s="5" t="s">
        <v>49010</v>
      </c>
      <c r="T1754" s="28">
        <v>80141000</v>
      </c>
      <c r="U1754" s="28"/>
      <c r="V1754" s="28">
        <v>5753177000</v>
      </c>
      <c r="W1754" s="28">
        <v>30684000</v>
      </c>
      <c r="X1754" s="28">
        <v>12762000</v>
      </c>
      <c r="Y1754" s="28">
        <v>6891435000</v>
      </c>
      <c r="Z1754" s="28">
        <v>5251752000</v>
      </c>
      <c r="AA1754" s="28">
        <v>500000000</v>
      </c>
      <c r="AB1754" s="28">
        <v>810091000</v>
      </c>
      <c r="AC1754" s="28">
        <v>1102209000</v>
      </c>
      <c r="AD1754" s="28">
        <v>5256652000</v>
      </c>
      <c r="AE1754" s="28">
        <v>24811882000</v>
      </c>
      <c r="AF1754" s="28">
        <v>1782933000</v>
      </c>
      <c r="AG1754" s="11"/>
    </row>
    <row r="1755">
      <c r="A1755" s="7" t="s">
        <v>3459</v>
      </c>
      <c r="B1755" s="5" t="s">
        <v>11447</v>
      </c>
      <c r="C1755" s="5" t="s">
        <v>19306</v>
      </c>
      <c r="D1755" s="5" t="str">
        <v>390600709394</v>
      </c>
      <c r="E1755" s="0" t="e">
        <f>+7 (401) 2677201
+7 (401) 2677202
+7 (401) 2677203
+7 (401) 2677204
+7 (401) 2677205
+7 (401) 2677206
+7 (401) 2994808
+7 (800) 3335539
+7 (800) 3502850
+7 (902) 2152550</f>
        <v>#NAME?</v>
      </c>
      <c r="F1755" s="5"/>
      <c r="G1755" s="5"/>
      <c r="H1755" s="26">
        <v>17</v>
      </c>
      <c r="I1755" s="5" t="s">
        <v>30640</v>
      </c>
      <c r="J1755" s="5" t="s">
        <v>414</v>
      </c>
      <c r="K1755" s="5" t="s">
        <v>344</v>
      </c>
      <c r="L1755" s="5" t="s">
        <v>30641</v>
      </c>
      <c r="M1755" s="27"/>
      <c r="N1755" s="5"/>
      <c r="O1755" s="5" t="str">
        <v>3907050249</v>
      </c>
      <c r="P1755" s="27">
        <v>10000</v>
      </c>
      <c r="Q1755" s="5"/>
      <c r="R1755" s="5"/>
      <c r="S1755" s="5" t="s">
        <v>49029</v>
      </c>
      <c r="T1755" s="28">
        <v>595194000</v>
      </c>
      <c r="U1755" s="28">
        <v>114490000</v>
      </c>
      <c r="V1755" s="28">
        <v>459466000</v>
      </c>
      <c r="W1755" s="28">
        <v>302759000</v>
      </c>
      <c r="X1755" s="28">
        <v>27809000</v>
      </c>
      <c r="Y1755" s="28">
        <v>3166042000</v>
      </c>
      <c r="Z1755" s="28">
        <v>1130806000</v>
      </c>
      <c r="AA1755" s="28">
        <v>154429000</v>
      </c>
      <c r="AB1755" s="28"/>
      <c r="AC1755" s="28">
        <v>1792315000</v>
      </c>
      <c r="AD1755" s="28">
        <v>1130829000</v>
      </c>
      <c r="AE1755" s="28">
        <v>6661630000</v>
      </c>
      <c r="AF1755" s="28">
        <v>401646000</v>
      </c>
      <c r="AG1755" s="11"/>
    </row>
    <row r="1756">
      <c r="A1756" s="7" t="s">
        <v>3460</v>
      </c>
      <c r="B1756" s="5" t="s">
        <v>11448</v>
      </c>
      <c r="C1756" s="5" t="s">
        <v>19307</v>
      </c>
      <c r="D1756" s="5" t="str">
        <v>682702101145</v>
      </c>
      <c r="E1756" s="0" t="e">
        <f>+7 (47461) 20440
+7 (47461) 21450
+7 (47461) 24512
+7 (47461) 41450
+7 (920) 2402144
+7 (920) 5255556</f>
        <v>#NAME?</v>
      </c>
      <c r="F1756" s="5" t="s">
        <v>30642</v>
      </c>
      <c r="G1756" s="5"/>
      <c r="H1756" s="26">
        <v>20.5</v>
      </c>
      <c r="I1756" s="5"/>
      <c r="J1756" s="5" t="s">
        <v>25994</v>
      </c>
      <c r="K1756" s="5" t="s">
        <v>344</v>
      </c>
      <c r="L1756" s="5" t="s">
        <v>30643</v>
      </c>
      <c r="M1756" s="27">
        <v>519895</v>
      </c>
      <c r="N1756" s="5"/>
      <c r="O1756" s="5" t="str">
        <v>4802000958</v>
      </c>
      <c r="P1756" s="27">
        <v>212800</v>
      </c>
      <c r="Q1756" s="5"/>
      <c r="R1756" s="5"/>
      <c r="S1756" s="5" t="s">
        <v>49029</v>
      </c>
      <c r="T1756" s="28">
        <v>811186000</v>
      </c>
      <c r="U1756" s="28">
        <v>262496000</v>
      </c>
      <c r="V1756" s="28">
        <v>1569780000</v>
      </c>
      <c r="W1756" s="28">
        <v>824278000</v>
      </c>
      <c r="X1756" s="28">
        <v>361965000</v>
      </c>
      <c r="Y1756" s="28">
        <v>5658512000</v>
      </c>
      <c r="Z1756" s="28">
        <v>2831594000</v>
      </c>
      <c r="AA1756" s="28">
        <v>720210000</v>
      </c>
      <c r="AB1756" s="28">
        <v>741000000</v>
      </c>
      <c r="AC1756" s="28">
        <v>1996749000</v>
      </c>
      <c r="AD1756" s="28">
        <v>2831959000</v>
      </c>
      <c r="AE1756" s="28">
        <v>5577480000</v>
      </c>
      <c r="AF1756" s="28">
        <v>821459000</v>
      </c>
      <c r="AG1756" s="11"/>
    </row>
    <row r="1757">
      <c r="A1757" s="7" t="s">
        <v>3461</v>
      </c>
      <c r="B1757" s="5" t="s">
        <v>11449</v>
      </c>
      <c r="C1757" s="5" t="s">
        <v>19308</v>
      </c>
      <c r="D1757" s="5" t="str">
        <v>320206913982</v>
      </c>
      <c r="E1757" s="0" t="e">
        <f>+7 (495) 9933470
+7 (495) 6440200
+7 (495) 7880200</f>
        <v>#NAME?</v>
      </c>
      <c r="F1757" s="5" t="s">
        <v>30644</v>
      </c>
      <c r="G1757" s="5"/>
      <c r="H1757" s="26">
        <v>16.5</v>
      </c>
      <c r="I1757" s="5" t="s">
        <v>30645</v>
      </c>
      <c r="J1757" s="5" t="s">
        <v>671</v>
      </c>
      <c r="K1757" s="5" t="s">
        <v>380</v>
      </c>
      <c r="L1757" s="5"/>
      <c r="M1757" s="27">
        <v>29806893</v>
      </c>
      <c r="N1757" s="5"/>
      <c r="O1757" s="5" t="str">
        <v>5038051451</v>
      </c>
      <c r="P1757" s="27">
        <v>10000</v>
      </c>
      <c r="Q1757" s="5" t="s">
        <v>52110</v>
      </c>
      <c r="R1757" s="5"/>
      <c r="S1757" s="5" t="s">
        <v>49010</v>
      </c>
      <c r="T1757" s="28">
        <v>53268000</v>
      </c>
      <c r="U1757" s="28">
        <v>36799000</v>
      </c>
      <c r="V1757" s="28">
        <v>2755550000</v>
      </c>
      <c r="W1757" s="28"/>
      <c r="X1757" s="28">
        <v>1307000</v>
      </c>
      <c r="Y1757" s="28">
        <v>3109575000</v>
      </c>
      <c r="Z1757" s="28">
        <v>-195888000</v>
      </c>
      <c r="AA1757" s="28"/>
      <c r="AB1757" s="28"/>
      <c r="AC1757" s="28">
        <v>3305408000</v>
      </c>
      <c r="AD1757" s="28">
        <v>-195878000</v>
      </c>
      <c r="AE1757" s="28">
        <v>5047896000</v>
      </c>
      <c r="AF1757" s="28">
        <v>5064000</v>
      </c>
      <c r="AG1757" s="11"/>
    </row>
    <row r="1758">
      <c r="A1758" s="7" t="s">
        <v>3462</v>
      </c>
      <c r="B1758" s="5" t="s">
        <v>11450</v>
      </c>
      <c r="C1758" s="5" t="s">
        <v>19309</v>
      </c>
      <c r="D1758" s="5" t="str">
        <v>780518976602</v>
      </c>
      <c r="E1758" s="0" t="e">
        <f>+7 (812) 1869990
+7 (812) 2514060
+7 (812) 2514931
+7 (812) 4959400
+7 (812) 7185934
+7 (812) 7869988
+7 (812) 7869990</f>
        <v>#NAME?</v>
      </c>
      <c r="F1758" s="5" t="s">
        <v>30646</v>
      </c>
      <c r="G1758" s="5" t="s">
        <v>30647</v>
      </c>
      <c r="H1758" s="26">
        <v>24.5</v>
      </c>
      <c r="I1758" s="5" t="s">
        <v>30648</v>
      </c>
      <c r="J1758" s="5" t="s">
        <v>30649</v>
      </c>
      <c r="K1758" s="5" t="s">
        <v>344</v>
      </c>
      <c r="L1758" s="5" t="s">
        <v>30650</v>
      </c>
      <c r="M1758" s="27"/>
      <c r="N1758" s="5" t="s">
        <v>52111</v>
      </c>
      <c r="O1758" s="5" t="str">
        <v>7826026333</v>
      </c>
      <c r="P1758" s="27">
        <v>10000</v>
      </c>
      <c r="Q1758" s="5" t="s">
        <v>49009</v>
      </c>
      <c r="R1758" s="5"/>
      <c r="S1758" s="5" t="s">
        <v>49504</v>
      </c>
      <c r="T1758" s="28">
        <v>125916000</v>
      </c>
      <c r="U1758" s="28">
        <v>326013000</v>
      </c>
      <c r="V1758" s="28">
        <v>557510000</v>
      </c>
      <c r="W1758" s="28">
        <v>509097000</v>
      </c>
      <c r="X1758" s="28">
        <v>4193000</v>
      </c>
      <c r="Y1758" s="28">
        <v>1608081000</v>
      </c>
      <c r="Z1758" s="28">
        <v>640437000</v>
      </c>
      <c r="AA1758" s="28">
        <v>208500000</v>
      </c>
      <c r="AB1758" s="28">
        <v>58988000</v>
      </c>
      <c r="AC1758" s="28">
        <v>736493000</v>
      </c>
      <c r="AD1758" s="28">
        <v>641522000</v>
      </c>
      <c r="AE1758" s="28">
        <v>4153881000</v>
      </c>
      <c r="AF1758" s="28">
        <v>616475000</v>
      </c>
      <c r="AG1758" s="11"/>
    </row>
    <row r="1759">
      <c r="A1759" s="7" t="s">
        <v>3463</v>
      </c>
      <c r="B1759" s="5" t="s">
        <v>11451</v>
      </c>
      <c r="C1759" s="5" t="s">
        <v>19310</v>
      </c>
      <c r="D1759" s="5" t="str">
        <v>026605997472</v>
      </c>
      <c r="E1759" s="0" t="e">
        <f>+7 (495) 3818025
+7 (495) 3819246
+7 (495) 3826047
+7 (495) 2213873</f>
        <v>#NAME?</v>
      </c>
      <c r="F1759" s="5"/>
      <c r="G1759" s="5" t="s">
        <v>30651</v>
      </c>
      <c r="H1759" s="26">
        <v>29</v>
      </c>
      <c r="I1759" s="5" t="s">
        <v>30652</v>
      </c>
      <c r="J1759" s="5" t="s">
        <v>897</v>
      </c>
      <c r="K1759" s="5" t="s">
        <v>355</v>
      </c>
      <c r="L1759" s="5"/>
      <c r="M1759" s="27">
        <v>301689068</v>
      </c>
      <c r="N1759" s="5" t="s">
        <v>52112</v>
      </c>
      <c r="O1759" s="5" t="str">
        <v>7737106202</v>
      </c>
      <c r="P1759" s="27">
        <v>801942480</v>
      </c>
      <c r="Q1759" s="5" t="s">
        <v>52114</v>
      </c>
      <c r="R1759" s="5" t="s">
        <v>52108</v>
      </c>
      <c r="S1759" s="5" t="s">
        <v>52115</v>
      </c>
      <c r="T1759" s="28">
        <v>1362508000</v>
      </c>
      <c r="U1759" s="28">
        <v>5000</v>
      </c>
      <c r="V1759" s="28">
        <v>48277973000</v>
      </c>
      <c r="W1759" s="28"/>
      <c r="X1759" s="28">
        <v>6893904000</v>
      </c>
      <c r="Y1759" s="28">
        <v>61759509000</v>
      </c>
      <c r="Z1759" s="28">
        <v>6685464000</v>
      </c>
      <c r="AA1759" s="28"/>
      <c r="AB1759" s="28">
        <v>4912472000</v>
      </c>
      <c r="AC1759" s="28">
        <v>53836895000</v>
      </c>
      <c r="AD1759" s="28">
        <v>6687464000</v>
      </c>
      <c r="AE1759" s="28">
        <v>89634482000</v>
      </c>
      <c r="AF1759" s="28">
        <v>6370660000</v>
      </c>
      <c r="AG1759" s="11"/>
    </row>
    <row r="1760">
      <c r="A1760" s="7" t="s">
        <v>3464</v>
      </c>
      <c r="B1760" s="5" t="s">
        <v>11452</v>
      </c>
      <c r="C1760" s="5" t="s">
        <v>19311</v>
      </c>
      <c r="D1760" s="5" t="str">
        <v>260804447716</v>
      </c>
      <c r="E1760" s="0" t="e">
        <f>+7 (495) 2800808
+7 (495) 6800808
+7 (495) 6901074
+7 (812) 2427272
+7 (812) 4290805
+7 (981) 2448790</f>
        <v>#NAME?</v>
      </c>
      <c r="F1760" s="5"/>
      <c r="G1760" s="5" t="s">
        <v>30653</v>
      </c>
      <c r="H1760" s="26">
        <v>6.5</v>
      </c>
      <c r="I1760" s="5" t="s">
        <v>30654</v>
      </c>
      <c r="J1760" s="5" t="s">
        <v>947</v>
      </c>
      <c r="K1760" s="5" t="s">
        <v>355</v>
      </c>
      <c r="L1760" s="5"/>
      <c r="M1760" s="27">
        <v>60209665</v>
      </c>
      <c r="N1760" s="5"/>
      <c r="O1760" s="5" t="str">
        <v>7810443290</v>
      </c>
      <c r="P1760" s="27">
        <v>10000</v>
      </c>
      <c r="Q1760" s="5" t="s">
        <v>52116</v>
      </c>
      <c r="R1760" s="5" t="s">
        <v>52117</v>
      </c>
      <c r="S1760" s="5" t="s">
        <v>50378</v>
      </c>
      <c r="T1760" s="28">
        <v>4124074000</v>
      </c>
      <c r="U1760" s="28"/>
      <c r="V1760" s="28">
        <v>19905878000</v>
      </c>
      <c r="W1760" s="28"/>
      <c r="X1760" s="28">
        <v>704838000</v>
      </c>
      <c r="Y1760" s="28">
        <v>45107879000</v>
      </c>
      <c r="Z1760" s="28">
        <v>-5313787000</v>
      </c>
      <c r="AA1760" s="28">
        <v>677084000</v>
      </c>
      <c r="AB1760" s="28">
        <v>59803000</v>
      </c>
      <c r="AC1760" s="28">
        <v>46414500000</v>
      </c>
      <c r="AD1760" s="28">
        <v>-5313777000</v>
      </c>
      <c r="AE1760" s="28">
        <v>54307158000</v>
      </c>
      <c r="AF1760" s="28">
        <v>4408942000</v>
      </c>
      <c r="AG1760" s="11"/>
    </row>
    <row r="1761">
      <c r="A1761" s="7" t="s">
        <v>3465</v>
      </c>
      <c r="B1761" s="5" t="s">
        <v>11453</v>
      </c>
      <c r="C1761" s="5" t="s">
        <v>19312</v>
      </c>
      <c r="D1761" s="5" t="str">
        <v>121527737502</v>
      </c>
      <c r="E1761" s="0" t="e">
        <f>+7 (917) 3491095</f>
        <v>#NAME?</v>
      </c>
      <c r="F1761" s="5"/>
      <c r="G1761" s="5"/>
      <c r="H1761" s="26">
        <v>6.5</v>
      </c>
      <c r="I1761" s="5" t="s">
        <v>30654</v>
      </c>
      <c r="J1761" s="5" t="s">
        <v>364</v>
      </c>
      <c r="K1761" s="5" t="s">
        <v>380</v>
      </c>
      <c r="L1761" s="5"/>
      <c r="M1761" s="27">
        <v>985165404</v>
      </c>
      <c r="N1761" s="5"/>
      <c r="O1761" s="5" t="str">
        <v>7810443268</v>
      </c>
      <c r="P1761" s="27">
        <v>10000</v>
      </c>
      <c r="Q1761" s="5" t="s">
        <v>52118</v>
      </c>
      <c r="R1761" s="5" t="s">
        <v>50151</v>
      </c>
      <c r="S1761" s="5" t="s">
        <v>50378</v>
      </c>
      <c r="T1761" s="28">
        <v>5957349000</v>
      </c>
      <c r="U1761" s="28"/>
      <c r="V1761" s="28">
        <v>46262524000</v>
      </c>
      <c r="W1761" s="28"/>
      <c r="X1761" s="28">
        <v>2145183000</v>
      </c>
      <c r="Y1761" s="28">
        <v>136165635000</v>
      </c>
      <c r="Z1761" s="28">
        <v>-7549466000</v>
      </c>
      <c r="AA1761" s="28">
        <v>3363030000</v>
      </c>
      <c r="AB1761" s="28">
        <v>857258000</v>
      </c>
      <c r="AC1761" s="28">
        <v>132635972000</v>
      </c>
      <c r="AD1761" s="28">
        <v>-7549456000</v>
      </c>
      <c r="AE1761" s="28">
        <v>99661310000</v>
      </c>
      <c r="AF1761" s="28">
        <v>-20220000</v>
      </c>
      <c r="AG1761" s="11"/>
    </row>
    <row r="1762">
      <c r="A1762" s="7" t="s">
        <v>3466</v>
      </c>
      <c r="B1762" s="5" t="s">
        <v>11454</v>
      </c>
      <c r="C1762" s="5" t="s">
        <v>19313</v>
      </c>
      <c r="D1762" s="5" t="str">
        <v>526013583406</v>
      </c>
      <c r="E1762" s="0" t="e">
        <f>+7 (495) 2800808
+7 (495) 6800808
+7 (812) 4290968</f>
        <v>#NAME?</v>
      </c>
      <c r="F1762" s="5" t="s">
        <v>30655</v>
      </c>
      <c r="G1762" s="5"/>
      <c r="H1762" s="26">
        <v>6.5</v>
      </c>
      <c r="I1762" s="5" t="s">
        <v>30656</v>
      </c>
      <c r="J1762" s="5" t="s">
        <v>30657</v>
      </c>
      <c r="K1762" s="5" t="s">
        <v>344</v>
      </c>
      <c r="L1762" s="5" t="s">
        <v>30658</v>
      </c>
      <c r="M1762" s="27">
        <v>431554362</v>
      </c>
      <c r="N1762" s="5"/>
      <c r="O1762" s="5" t="str">
        <v>7810612780</v>
      </c>
      <c r="P1762" s="27">
        <v>10000</v>
      </c>
      <c r="Q1762" s="5" t="s">
        <v>52119</v>
      </c>
      <c r="R1762" s="5" t="s">
        <v>52120</v>
      </c>
      <c r="S1762" s="5" t="s">
        <v>49743</v>
      </c>
      <c r="T1762" s="28">
        <v>582988000</v>
      </c>
      <c r="U1762" s="28">
        <v>3000000</v>
      </c>
      <c r="V1762" s="28">
        <v>3893808000</v>
      </c>
      <c r="W1762" s="28"/>
      <c r="X1762" s="28">
        <v>1403401000</v>
      </c>
      <c r="Y1762" s="28">
        <v>8917834000</v>
      </c>
      <c r="Z1762" s="28">
        <v>987569000</v>
      </c>
      <c r="AA1762" s="28"/>
      <c r="AB1762" s="28"/>
      <c r="AC1762" s="28">
        <v>7855429000</v>
      </c>
      <c r="AD1762" s="28">
        <v>987579000</v>
      </c>
      <c r="AE1762" s="28">
        <v>21350251000</v>
      </c>
      <c r="AF1762" s="28">
        <v>409611000</v>
      </c>
      <c r="AG1762" s="11"/>
    </row>
    <row r="1763">
      <c r="A1763" s="7" t="s">
        <v>3467</v>
      </c>
      <c r="B1763" s="5" t="s">
        <v>11455</v>
      </c>
      <c r="C1763" s="5" t="s">
        <v>18981</v>
      </c>
      <c r="D1763" s="5" t="str">
        <v>772879095085</v>
      </c>
      <c r="E1763" s="0" t="e">
        <f>+7 (495) 2800808
+7 (495) 6800808
+7 (812) 4290808
+7 (812) 4290843</f>
        <v>#NAME?</v>
      </c>
      <c r="F1763" s="5" t="s">
        <v>30659</v>
      </c>
      <c r="G1763" s="5"/>
      <c r="H1763" s="26">
        <v>6.5</v>
      </c>
      <c r="I1763" s="5" t="s">
        <v>30654</v>
      </c>
      <c r="J1763" s="5" t="s">
        <v>678</v>
      </c>
      <c r="K1763" s="5" t="s">
        <v>344</v>
      </c>
      <c r="L1763" s="5" t="s">
        <v>30660</v>
      </c>
      <c r="M1763" s="27">
        <v>10504692</v>
      </c>
      <c r="N1763" s="5"/>
      <c r="O1763" s="5" t="str">
        <v>7810443250</v>
      </c>
      <c r="P1763" s="27">
        <v>10000</v>
      </c>
      <c r="Q1763" s="5" t="s">
        <v>49688</v>
      </c>
      <c r="R1763" s="5"/>
      <c r="S1763" s="5" t="s">
        <v>52121</v>
      </c>
      <c r="T1763" s="28">
        <v>570224000</v>
      </c>
      <c r="U1763" s="28"/>
      <c r="V1763" s="28">
        <v>152883467000</v>
      </c>
      <c r="W1763" s="28"/>
      <c r="X1763" s="28">
        <v>1989314000</v>
      </c>
      <c r="Y1763" s="28">
        <v>155666191000</v>
      </c>
      <c r="Z1763" s="28">
        <v>1562646000</v>
      </c>
      <c r="AA1763" s="28"/>
      <c r="AB1763" s="28"/>
      <c r="AC1763" s="28">
        <v>153493325000</v>
      </c>
      <c r="AD1763" s="28">
        <v>1562656000</v>
      </c>
      <c r="AE1763" s="28">
        <v>10174161000</v>
      </c>
      <c r="AF1763" s="28">
        <v>279008000</v>
      </c>
      <c r="AG1763" s="11"/>
    </row>
    <row r="1764">
      <c r="A1764" s="7" t="s">
        <v>3468</v>
      </c>
      <c r="B1764" s="5" t="s">
        <v>11456</v>
      </c>
      <c r="C1764" s="5" t="s">
        <v>19314</v>
      </c>
      <c r="D1764" s="5" t="str">
        <v>710305533908</v>
      </c>
      <c r="E1764" s="0" t="e">
        <f>+7 (495) 6638877
+7 (812) 4290802
+7 (903) 1015970</f>
        <v>#NAME?</v>
      </c>
      <c r="F1764" s="5" t="s">
        <v>30661</v>
      </c>
      <c r="G1764" s="5"/>
      <c r="H1764" s="26">
        <v>6.5</v>
      </c>
      <c r="I1764" s="5" t="s">
        <v>30662</v>
      </c>
      <c r="J1764" s="5" t="s">
        <v>30663</v>
      </c>
      <c r="K1764" s="5" t="s">
        <v>344</v>
      </c>
      <c r="L1764" s="5"/>
      <c r="M1764" s="27">
        <v>14630578</v>
      </c>
      <c r="N1764" s="5"/>
      <c r="O1764" s="5" t="str">
        <v>7810442793</v>
      </c>
      <c r="P1764" s="27">
        <v>4764660000</v>
      </c>
      <c r="Q1764" s="5"/>
      <c r="R1764" s="5" t="s">
        <v>52123</v>
      </c>
      <c r="S1764" s="5" t="s">
        <v>52009</v>
      </c>
      <c r="T1764" s="28">
        <v>4567681000</v>
      </c>
      <c r="U1764" s="28"/>
      <c r="V1764" s="28">
        <v>5576809000</v>
      </c>
      <c r="W1764" s="28"/>
      <c r="X1764" s="28">
        <v>917649000</v>
      </c>
      <c r="Y1764" s="28">
        <v>14043472000</v>
      </c>
      <c r="Z1764" s="28">
        <v>2923132000</v>
      </c>
      <c r="AA1764" s="28"/>
      <c r="AB1764" s="28">
        <v>379500000</v>
      </c>
      <c r="AC1764" s="28">
        <v>5572657000</v>
      </c>
      <c r="AD1764" s="28">
        <v>7451662000</v>
      </c>
      <c r="AE1764" s="28">
        <v>9037494000</v>
      </c>
      <c r="AF1764" s="28">
        <v>907489000</v>
      </c>
      <c r="AG1764" s="11"/>
    </row>
    <row r="1765">
      <c r="A1765" s="7" t="s">
        <v>3469</v>
      </c>
      <c r="B1765" s="5" t="s">
        <v>11457</v>
      </c>
      <c r="C1765" s="5" t="s">
        <v>19315</v>
      </c>
      <c r="D1765" s="5" t="str">
        <v>312326343040</v>
      </c>
      <c r="F1765" s="5"/>
      <c r="G1765" s="5"/>
      <c r="H1765" s="26">
        <v>6.5</v>
      </c>
      <c r="I1765" s="5" t="s">
        <v>30664</v>
      </c>
      <c r="J1765" s="5" t="s">
        <v>27833</v>
      </c>
      <c r="K1765" s="5" t="s">
        <v>344</v>
      </c>
      <c r="L1765" s="5"/>
      <c r="M1765" s="27">
        <v>559441377</v>
      </c>
      <c r="N1765" s="5" t="s">
        <v>52124</v>
      </c>
      <c r="O1765" s="5" t="str">
        <v>7810474820</v>
      </c>
      <c r="P1765" s="27">
        <v>20000</v>
      </c>
      <c r="Q1765" s="5" t="s">
        <v>52126</v>
      </c>
      <c r="R1765" s="5" t="s">
        <v>52127</v>
      </c>
      <c r="S1765" s="5" t="s">
        <v>50378</v>
      </c>
      <c r="T1765" s="28">
        <v>1250873000</v>
      </c>
      <c r="U1765" s="28"/>
      <c r="V1765" s="28">
        <v>4518635000</v>
      </c>
      <c r="W1765" s="28"/>
      <c r="X1765" s="28">
        <v>1092278000</v>
      </c>
      <c r="Y1765" s="28">
        <v>8179635000</v>
      </c>
      <c r="Z1765" s="28">
        <v>-329236000</v>
      </c>
      <c r="AA1765" s="28">
        <v>1762329000</v>
      </c>
      <c r="AB1765" s="28">
        <v>799919000</v>
      </c>
      <c r="AC1765" s="28">
        <v>6534351000</v>
      </c>
      <c r="AD1765" s="28">
        <v>-329216000</v>
      </c>
      <c r="AE1765" s="28">
        <v>5570566000</v>
      </c>
      <c r="AF1765" s="28">
        <v>1116606000</v>
      </c>
      <c r="AG1765" s="11"/>
    </row>
    <row r="1766">
      <c r="A1766" s="7" t="s">
        <v>3470</v>
      </c>
      <c r="B1766" s="5" t="s">
        <v>11458</v>
      </c>
      <c r="C1766" s="5" t="s">
        <v>19316</v>
      </c>
      <c r="D1766" s="5"/>
      <c r="E1766" s="0" t="e">
        <f>+7 (812) 3228164
+7 (812) 3228830
+7 (812) 3333045
+7 (812) 3393042</f>
        <v>#NAME?</v>
      </c>
      <c r="F1766" s="5"/>
      <c r="G1766" s="5"/>
      <c r="H1766" s="26">
        <v>15</v>
      </c>
      <c r="I1766" s="5"/>
      <c r="J1766" s="5" t="s">
        <v>25295</v>
      </c>
      <c r="K1766" s="5" t="s">
        <v>344</v>
      </c>
      <c r="L1766" s="5" t="s">
        <v>30665</v>
      </c>
      <c r="M1766" s="27">
        <v>341489770</v>
      </c>
      <c r="N1766" s="5" t="s">
        <v>52128</v>
      </c>
      <c r="O1766" s="5" t="str">
        <v>7817312063</v>
      </c>
      <c r="P1766" s="27">
        <v>2075919300</v>
      </c>
      <c r="Q1766" s="5" t="s">
        <v>52129</v>
      </c>
      <c r="R1766" s="5"/>
      <c r="S1766" s="5" t="s">
        <v>49747</v>
      </c>
      <c r="T1766" s="28">
        <v>3998270000</v>
      </c>
      <c r="U1766" s="28">
        <v>856349000</v>
      </c>
      <c r="V1766" s="28">
        <v>752297000</v>
      </c>
      <c r="W1766" s="28">
        <v>167230000</v>
      </c>
      <c r="X1766" s="28">
        <v>29142000</v>
      </c>
      <c r="Y1766" s="28">
        <v>6215265000</v>
      </c>
      <c r="Z1766" s="28">
        <v>-536378000</v>
      </c>
      <c r="AA1766" s="28">
        <v>3555790000</v>
      </c>
      <c r="AB1766" s="28">
        <v>204242000</v>
      </c>
      <c r="AC1766" s="28">
        <v>938839000</v>
      </c>
      <c r="AD1766" s="28">
        <v>1560185000</v>
      </c>
      <c r="AE1766" s="28">
        <v>3782789000</v>
      </c>
      <c r="AF1766" s="28">
        <v>-84467000</v>
      </c>
      <c r="AG1766" s="11"/>
    </row>
    <row r="1767">
      <c r="A1767" s="7" t="s">
        <v>3471</v>
      </c>
      <c r="B1767" s="5" t="s">
        <v>11459</v>
      </c>
      <c r="C1767" s="5" t="s">
        <v>19317</v>
      </c>
      <c r="D1767" s="5" t="str">
        <v>027806852687</v>
      </c>
      <c r="E1767" s="0" t="e">
        <f>+7 (495) 9871513</f>
        <v>#NAME?</v>
      </c>
      <c r="F1767" s="5"/>
      <c r="G1767" s="5" t="s">
        <v>30666</v>
      </c>
      <c r="H1767" s="26">
        <v>3</v>
      </c>
      <c r="I1767" s="5" t="s">
        <v>30667</v>
      </c>
      <c r="J1767" s="5" t="s">
        <v>27182</v>
      </c>
      <c r="K1767" s="5" t="s">
        <v>344</v>
      </c>
      <c r="L1767" s="5"/>
      <c r="M1767" s="27"/>
      <c r="N1767" s="5"/>
      <c r="O1767" s="5" t="str">
        <v>9731061365</v>
      </c>
      <c r="P1767" s="27">
        <v>10000</v>
      </c>
      <c r="Q1767" s="5" t="s">
        <v>52130</v>
      </c>
      <c r="R1767" s="5"/>
      <c r="S1767" s="5" t="s">
        <v>49743</v>
      </c>
      <c r="T1767" s="28">
        <v>4066000</v>
      </c>
      <c r="U1767" s="28"/>
      <c r="V1767" s="28">
        <v>1888522000</v>
      </c>
      <c r="W1767" s="28">
        <v>178750000</v>
      </c>
      <c r="X1767" s="28">
        <v>36944000</v>
      </c>
      <c r="Y1767" s="28">
        <v>2155020000</v>
      </c>
      <c r="Z1767" s="28">
        <v>-27583000</v>
      </c>
      <c r="AA1767" s="28">
        <v>834000</v>
      </c>
      <c r="AB1767" s="28">
        <v>982540000</v>
      </c>
      <c r="AC1767" s="28">
        <v>2118666000</v>
      </c>
      <c r="AD1767" s="28">
        <v>35433000</v>
      </c>
      <c r="AE1767" s="28">
        <v>14890944000</v>
      </c>
      <c r="AF1767" s="28">
        <v>110781000</v>
      </c>
      <c r="AG1767" s="11"/>
    </row>
    <row r="1768">
      <c r="A1768" s="7" t="s">
        <v>3472</v>
      </c>
      <c r="B1768" s="5" t="s">
        <v>11460</v>
      </c>
      <c r="C1768" s="5" t="s">
        <v>19318</v>
      </c>
      <c r="D1768" s="5" t="str">
        <v>312804544859</v>
      </c>
      <c r="E1768" s="0" t="e">
        <f>+7 (495) 2042733
+7 (495) 9130965
+7 (818) 2464146
+7 (818) 2464166
+7 (81836) 75136
+7 (86352) 55101
+7 (921) 6782626
+7 (495) 2582082
+7 (86352) 35101</f>
        <v>#NAME?</v>
      </c>
      <c r="F1768" s="5" t="s">
        <v>30668</v>
      </c>
      <c r="G1768" s="5" t="s">
        <v>30669</v>
      </c>
      <c r="H1768" s="26">
        <v>9</v>
      </c>
      <c r="I1768" s="5"/>
      <c r="J1768" s="5" t="s">
        <v>27640</v>
      </c>
      <c r="K1768" s="5" t="s">
        <v>344</v>
      </c>
      <c r="L1768" s="5"/>
      <c r="M1768" s="27">
        <v>23434714</v>
      </c>
      <c r="N1768" s="5" t="s">
        <v>52131</v>
      </c>
      <c r="O1768" s="5" t="str">
        <v>7703806647</v>
      </c>
      <c r="P1768" s="27">
        <v>22048380117</v>
      </c>
      <c r="Q1768" s="5" t="s">
        <v>52132</v>
      </c>
      <c r="R1768" s="5"/>
      <c r="S1768" s="5" t="s">
        <v>52133</v>
      </c>
      <c r="T1768" s="28">
        <v>12087377000</v>
      </c>
      <c r="U1768" s="28">
        <v>4856783000</v>
      </c>
      <c r="V1768" s="28">
        <v>4672976000</v>
      </c>
      <c r="W1768" s="28">
        <v>1013278000</v>
      </c>
      <c r="X1768" s="28">
        <v>167481000</v>
      </c>
      <c r="Y1768" s="28">
        <v>27424222000</v>
      </c>
      <c r="Z1768" s="28">
        <v>-1937756000</v>
      </c>
      <c r="AA1768" s="28">
        <v>2982805000</v>
      </c>
      <c r="AB1768" s="28"/>
      <c r="AC1768" s="28">
        <v>724029000</v>
      </c>
      <c r="AD1768" s="28">
        <v>22860935000</v>
      </c>
      <c r="AE1768" s="28">
        <v>7781616000</v>
      </c>
      <c r="AF1768" s="28">
        <v>410243000</v>
      </c>
      <c r="AG1768" s="11"/>
    </row>
    <row r="1769">
      <c r="A1769" s="7" t="s">
        <v>3473</v>
      </c>
      <c r="B1769" s="5" t="s">
        <v>11461</v>
      </c>
      <c r="C1769" s="5" t="s">
        <v>19319</v>
      </c>
      <c r="D1769" s="5" t="str">
        <v>444400428860</v>
      </c>
      <c r="E1769" s="0" t="e">
        <f>+7 (495) 2252727
+7 (495) 7822037
+7 (495) 7855356
+7 (495) 7880590</f>
        <v>#NAME?</v>
      </c>
      <c r="F1769" s="5" t="s">
        <v>30670</v>
      </c>
      <c r="G1769" s="5"/>
      <c r="H1769" s="26">
        <v>8.5</v>
      </c>
      <c r="I1769" s="5" t="s">
        <v>30671</v>
      </c>
      <c r="J1769" s="5" t="s">
        <v>30672</v>
      </c>
      <c r="K1769" s="5" t="s">
        <v>344</v>
      </c>
      <c r="L1769" s="5" t="s">
        <v>30673</v>
      </c>
      <c r="M1769" s="27">
        <v>478800</v>
      </c>
      <c r="N1769" s="5"/>
      <c r="O1769" s="5" t="str">
        <v>7701409186</v>
      </c>
      <c r="P1769" s="27">
        <v>4155000000</v>
      </c>
      <c r="Q1769" s="5" t="s">
        <v>49021</v>
      </c>
      <c r="R1769" s="5"/>
      <c r="S1769" s="5" t="s">
        <v>52134</v>
      </c>
      <c r="T1769" s="28">
        <v>38684000</v>
      </c>
      <c r="U1769" s="28">
        <v>1606600000</v>
      </c>
      <c r="V1769" s="28">
        <v>307943000</v>
      </c>
      <c r="W1769" s="28"/>
      <c r="X1769" s="28">
        <v>2235700000</v>
      </c>
      <c r="Y1769" s="28">
        <v>11199868000</v>
      </c>
      <c r="Z1769" s="28">
        <v>5469752000</v>
      </c>
      <c r="AA1769" s="28">
        <v>351852000</v>
      </c>
      <c r="AB1769" s="28">
        <v>469199000</v>
      </c>
      <c r="AC1769" s="28">
        <v>765191000</v>
      </c>
      <c r="AD1769" s="28">
        <v>9626252000</v>
      </c>
      <c r="AE1769" s="28">
        <v>5745603000</v>
      </c>
      <c r="AF1769" s="28">
        <v>3873354000</v>
      </c>
      <c r="AG1769" s="11"/>
    </row>
    <row r="1770">
      <c r="A1770" s="7" t="s">
        <v>3474</v>
      </c>
      <c r="B1770" s="5" t="s">
        <v>11462</v>
      </c>
      <c r="C1770" s="5" t="s">
        <v>19320</v>
      </c>
      <c r="D1770" s="5" t="str">
        <v>772435431803</v>
      </c>
      <c r="E1770" s="0" t="e">
        <f>+7 (474) 2501641
+7 (492) 2210012
+7 (495) 2210010
+7 (349) 2233252
+7 (349) 2247181
+7 (495) 2210006
+7 (495) 2210007
+7 (495) 2210030
+7 (800) 2001299
+7 (815) 2289566
+7 (902) 8163999
+7 (909) 9202304
+7 (921) 9558012</f>
        <v>#NAME?</v>
      </c>
      <c r="F1770" s="5" t="s">
        <v>30674</v>
      </c>
      <c r="G1770" s="5" t="s">
        <v>30675</v>
      </c>
      <c r="H1770" s="26">
        <v>21.5</v>
      </c>
      <c r="I1770" s="5"/>
      <c r="J1770" s="5" t="s">
        <v>25670</v>
      </c>
      <c r="K1770" s="5" t="s">
        <v>344</v>
      </c>
      <c r="L1770" s="5"/>
      <c r="M1770" s="27">
        <v>3159231342</v>
      </c>
      <c r="N1770" s="5" t="s">
        <v>52135</v>
      </c>
      <c r="O1770" s="5" t="str">
        <v>7720261827</v>
      </c>
      <c r="P1770" s="27">
        <v>174351930000</v>
      </c>
      <c r="Q1770" s="5" t="s">
        <v>52136</v>
      </c>
      <c r="R1770" s="5"/>
      <c r="S1770" s="5" t="s">
        <v>52137</v>
      </c>
      <c r="T1770" s="28">
        <v>263949000</v>
      </c>
      <c r="U1770" s="28">
        <v>349616137000</v>
      </c>
      <c r="V1770" s="28">
        <v>94126816000</v>
      </c>
      <c r="W1770" s="28">
        <v>63754467000</v>
      </c>
      <c r="X1770" s="28">
        <v>32851586000</v>
      </c>
      <c r="Y1770" s="28">
        <v>760356930000</v>
      </c>
      <c r="Z1770" s="28">
        <v>-11445115000</v>
      </c>
      <c r="AA1770" s="28">
        <v>451380538000</v>
      </c>
      <c r="AB1770" s="28">
        <v>84762282000</v>
      </c>
      <c r="AC1770" s="28">
        <v>109750927000</v>
      </c>
      <c r="AD1770" s="28">
        <v>197019067000</v>
      </c>
      <c r="AE1770" s="28">
        <v>70466690000</v>
      </c>
      <c r="AF1770" s="28">
        <v>-14883148000</v>
      </c>
      <c r="AG1770" s="11"/>
    </row>
    <row r="1771">
      <c r="A1771" s="7" t="s">
        <v>3475</v>
      </c>
      <c r="B1771" s="5" t="s">
        <v>11463</v>
      </c>
      <c r="C1771" s="5" t="s">
        <v>19321</v>
      </c>
      <c r="D1771" s="5" t="str">
        <v>450200501631</v>
      </c>
      <c r="E1771" s="0" t="e">
        <f>+7 (3422) 524311
+7 (345) 2524323
+7 (346) 2452200
+7 (346) 2460708
+7 (346) 2504311
+7 (346) 2511130
+7 (346) 2512211
+7 (346) 2523280
+7 (346) 2524207
+7 (345) 2524311
+7 (346) 2352306
+7 (346) 2363593
+7 (346) 2376500
+7 (346) 2524310
+7 (346) 2524315</f>
        <v>#NAME?</v>
      </c>
      <c r="F1771" s="5" t="s">
        <v>30676</v>
      </c>
      <c r="G1771" s="5"/>
      <c r="H1771" s="26">
        <v>24</v>
      </c>
      <c r="I1771" s="5" t="s">
        <v>30677</v>
      </c>
      <c r="J1771" s="5" t="s">
        <v>30678</v>
      </c>
      <c r="K1771" s="5" t="s">
        <v>344</v>
      </c>
      <c r="L1771" s="5"/>
      <c r="M1771" s="27">
        <v>27790167</v>
      </c>
      <c r="N1771" s="5" t="s">
        <v>52138</v>
      </c>
      <c r="O1771" s="5" t="str">
        <v>8602017038</v>
      </c>
      <c r="P1771" s="27">
        <v>490647743</v>
      </c>
      <c r="Q1771" s="5" t="s">
        <v>52139</v>
      </c>
      <c r="R1771" s="5"/>
      <c r="S1771" s="5" t="s">
        <v>49271</v>
      </c>
      <c r="T1771" s="28">
        <v>6126553000</v>
      </c>
      <c r="U1771" s="28"/>
      <c r="V1771" s="28">
        <v>1577871000</v>
      </c>
      <c r="W1771" s="28"/>
      <c r="X1771" s="28">
        <v>24899000</v>
      </c>
      <c r="Y1771" s="28">
        <v>7874861000</v>
      </c>
      <c r="Z1771" s="28">
        <v>1628834000</v>
      </c>
      <c r="AA1771" s="28">
        <v>319000000</v>
      </c>
      <c r="AB1771" s="28"/>
      <c r="AC1771" s="28">
        <v>938858000</v>
      </c>
      <c r="AD1771" s="28">
        <v>5776451000</v>
      </c>
      <c r="AE1771" s="28">
        <v>4300922000</v>
      </c>
      <c r="AF1771" s="28">
        <v>817000</v>
      </c>
      <c r="AG1771" s="11"/>
    </row>
    <row r="1772">
      <c r="A1772" s="7" t="s">
        <v>3476</v>
      </c>
      <c r="B1772" s="5" t="s">
        <v>11464</v>
      </c>
      <c r="C1772" s="5" t="s">
        <v>19322</v>
      </c>
      <c r="D1772" s="5" t="str">
        <v>420402913879</v>
      </c>
      <c r="E1772" s="0" t="e">
        <f>+7 (34248) 45961
+7 (34248) 48294
+7 (34248) 48654
+7 (424) 8459612</f>
        <v>#NAME?</v>
      </c>
      <c r="F1772" s="5" t="s">
        <v>30679</v>
      </c>
      <c r="G1772" s="5" t="s">
        <v>30680</v>
      </c>
      <c r="H1772" s="26">
        <v>22.5</v>
      </c>
      <c r="I1772" s="5"/>
      <c r="J1772" s="5" t="s">
        <v>26619</v>
      </c>
      <c r="K1772" s="5" t="s">
        <v>344</v>
      </c>
      <c r="L1772" s="5" t="s">
        <v>30681</v>
      </c>
      <c r="M1772" s="27"/>
      <c r="N1772" s="5" t="s">
        <v>52140</v>
      </c>
      <c r="O1772" s="5" t="str">
        <v>5913004822</v>
      </c>
      <c r="P1772" s="27">
        <v>130316000</v>
      </c>
      <c r="Q1772" s="5"/>
      <c r="R1772" s="5"/>
      <c r="S1772" s="5" t="s">
        <v>49110</v>
      </c>
      <c r="T1772" s="28">
        <v>2687815000</v>
      </c>
      <c r="U1772" s="28"/>
      <c r="V1772" s="28">
        <v>2292951000</v>
      </c>
      <c r="W1772" s="28"/>
      <c r="X1772" s="28">
        <v>863000</v>
      </c>
      <c r="Y1772" s="28">
        <v>6903624000</v>
      </c>
      <c r="Z1772" s="28">
        <v>5528726000</v>
      </c>
      <c r="AA1772" s="28"/>
      <c r="AB1772" s="28"/>
      <c r="AC1772" s="28">
        <v>824176000</v>
      </c>
      <c r="AD1772" s="28">
        <v>5885300000</v>
      </c>
      <c r="AE1772" s="28">
        <v>28524103000</v>
      </c>
      <c r="AF1772" s="28">
        <v>1976253000</v>
      </c>
      <c r="AG1772" s="11"/>
    </row>
    <row r="1773">
      <c r="A1773" s="7" t="s">
        <v>3477</v>
      </c>
      <c r="B1773" s="5" t="s">
        <v>11465</v>
      </c>
      <c r="C1773" s="5" t="s">
        <v>19323</v>
      </c>
      <c r="D1773" s="5" t="str">
        <v>246100085867</v>
      </c>
      <c r="E1773" s="0" t="e">
        <f>+7 (390) 2215041
+7 (390) 2271919
+7 (391) 2025811
+7 (391) 2050045
+7 (391) 2050141
+7 (391) 2051170
+7 (391) 2051365
+7 (391) 2090408
+7 (391) 2090649
+7 (391) 2094010
+7 (391) 2094069
+7 (390) 2906409
+7 (391) 906408
+7 (391) 2019044
+7 (391) 2090640</f>
        <v>#NAME?</v>
      </c>
      <c r="F1773" s="5" t="s">
        <v>30682</v>
      </c>
      <c r="G1773" s="5" t="s">
        <v>30683</v>
      </c>
      <c r="H1773" s="26">
        <v>18.5</v>
      </c>
      <c r="I1773" s="5"/>
      <c r="J1773" s="5" t="s">
        <v>26165</v>
      </c>
      <c r="K1773" s="5" t="s">
        <v>344</v>
      </c>
      <c r="L1773" s="5" t="s">
        <v>30684</v>
      </c>
      <c r="M1773" s="27">
        <v>1000245</v>
      </c>
      <c r="N1773" s="5" t="s">
        <v>52141</v>
      </c>
      <c r="O1773" s="5" t="str">
        <v>2466189073</v>
      </c>
      <c r="P1773" s="27">
        <v>645340000</v>
      </c>
      <c r="Q1773" s="5" t="s">
        <v>52143</v>
      </c>
      <c r="R1773" s="5"/>
      <c r="S1773" s="5" t="s">
        <v>52144</v>
      </c>
      <c r="T1773" s="28">
        <v>1132246000</v>
      </c>
      <c r="U1773" s="28">
        <v>1585000</v>
      </c>
      <c r="V1773" s="28">
        <v>543308000</v>
      </c>
      <c r="W1773" s="28"/>
      <c r="X1773" s="28">
        <v>321385000</v>
      </c>
      <c r="Y1773" s="28">
        <v>5325267000</v>
      </c>
      <c r="Z1773" s="28">
        <v>1654982000</v>
      </c>
      <c r="AA1773" s="28"/>
      <c r="AB1773" s="28"/>
      <c r="AC1773" s="28">
        <v>2769749000</v>
      </c>
      <c r="AD1773" s="28">
        <v>2332589000</v>
      </c>
      <c r="AE1773" s="28">
        <v>16176809000</v>
      </c>
      <c r="AF1773" s="28">
        <v>532366000</v>
      </c>
      <c r="AG1773" s="11"/>
    </row>
    <row r="1774">
      <c r="A1774" s="7" t="s">
        <v>3478</v>
      </c>
      <c r="B1774" s="5" t="s">
        <v>11466</v>
      </c>
      <c r="C1774" s="5" t="s">
        <v>19324</v>
      </c>
      <c r="D1774" s="5"/>
      <c r="E1774" s="0" t="e">
        <f>+7 (47241) 23620
+7 (4712) 385330
+7 (472) 4135620
+7 (47241) 20628
+7 (47241) 28102
+7 (47241) 32628
+7 (47241) 33351
+7 (47241) 33546
+7 (47241) 65401
+7 (47241) 65420
+7 (47241) 94623
+7 (47241) 95584
+7 (47241) 95594
+7 (47396) 23433</f>
        <v>#NAME?</v>
      </c>
      <c r="F1774" s="5" t="s">
        <v>30685</v>
      </c>
      <c r="G1774" s="5"/>
      <c r="H1774" s="26">
        <v>30.5</v>
      </c>
      <c r="I1774" s="5"/>
      <c r="J1774" s="5" t="s">
        <v>25788</v>
      </c>
      <c r="K1774" s="5" t="s">
        <v>344</v>
      </c>
      <c r="L1774" s="5"/>
      <c r="M1774" s="27">
        <v>5356791</v>
      </c>
      <c r="N1774" s="5"/>
      <c r="O1774" s="5" t="str">
        <v>3127007309</v>
      </c>
      <c r="P1774" s="27">
        <v>12723418</v>
      </c>
      <c r="Q1774" s="5" t="s">
        <v>49324</v>
      </c>
      <c r="R1774" s="5" t="s">
        <v>52145</v>
      </c>
      <c r="S1774" s="5" t="s">
        <v>52146</v>
      </c>
      <c r="T1774" s="28">
        <v>446143000</v>
      </c>
      <c r="U1774" s="28"/>
      <c r="V1774" s="28">
        <v>93183000</v>
      </c>
      <c r="W1774" s="28">
        <v>28400000</v>
      </c>
      <c r="X1774" s="28">
        <v>19569000</v>
      </c>
      <c r="Y1774" s="28">
        <v>867079000</v>
      </c>
      <c r="Z1774" s="28">
        <v>113538000</v>
      </c>
      <c r="AA1774" s="28">
        <v>226561000</v>
      </c>
      <c r="AB1774" s="28"/>
      <c r="AC1774" s="28">
        <v>441043000</v>
      </c>
      <c r="AD1774" s="28">
        <v>184506000</v>
      </c>
      <c r="AE1774" s="28">
        <v>3050069000</v>
      </c>
      <c r="AF1774" s="28">
        <v>359000</v>
      </c>
      <c r="AG1774" s="11"/>
    </row>
    <row r="1775">
      <c r="A1775" s="7" t="s">
        <v>3479</v>
      </c>
      <c r="B1775" s="5" t="s">
        <v>11467</v>
      </c>
      <c r="C1775" s="5" t="s">
        <v>19325</v>
      </c>
      <c r="D1775" s="5" t="str">
        <v>771823072493</v>
      </c>
      <c r="E1775" s="0" t="e">
        <f>+7 (495) 1301111
+7 (495) 9815656</f>
        <v>#NAME?</v>
      </c>
      <c r="F1775" s="5" t="s">
        <v>30686</v>
      </c>
      <c r="G1775" s="5"/>
      <c r="H1775" s="26">
        <v>7.5</v>
      </c>
      <c r="I1775" s="5" t="s">
        <v>30687</v>
      </c>
      <c r="J1775" s="5" t="s">
        <v>25874</v>
      </c>
      <c r="K1775" s="5" t="s">
        <v>344</v>
      </c>
      <c r="L1775" s="5" t="s">
        <v>28247</v>
      </c>
      <c r="M1775" s="27"/>
      <c r="N1775" s="5"/>
      <c r="O1775" s="5" t="str">
        <v>7743123220</v>
      </c>
      <c r="P1775" s="27">
        <v>100000</v>
      </c>
      <c r="Q1775" s="5" t="s">
        <v>49059</v>
      </c>
      <c r="R1775" s="5"/>
      <c r="S1775" s="5" t="s">
        <v>49010</v>
      </c>
      <c r="T1775" s="28">
        <v>2668000</v>
      </c>
      <c r="U1775" s="28">
        <v>480000</v>
      </c>
      <c r="V1775" s="28">
        <v>339513000</v>
      </c>
      <c r="W1775" s="28">
        <v>150000000</v>
      </c>
      <c r="X1775" s="28">
        <v>77855000</v>
      </c>
      <c r="Y1775" s="28">
        <v>1515489000</v>
      </c>
      <c r="Z1775" s="28">
        <v>468662000</v>
      </c>
      <c r="AA1775" s="28"/>
      <c r="AB1775" s="28">
        <v>100152000</v>
      </c>
      <c r="AC1775" s="28">
        <v>1034259000</v>
      </c>
      <c r="AD1775" s="28">
        <v>468762000</v>
      </c>
      <c r="AE1775" s="28">
        <v>3938798000</v>
      </c>
      <c r="AF1775" s="28">
        <v>48593000</v>
      </c>
      <c r="AG1775" s="11"/>
    </row>
    <row r="1776">
      <c r="A1776" s="7" t="s">
        <v>3480</v>
      </c>
      <c r="B1776" s="5" t="s">
        <v>10588</v>
      </c>
      <c r="C1776" s="5" t="s">
        <v>19326</v>
      </c>
      <c r="D1776" s="5" t="str">
        <v>500306543625</v>
      </c>
      <c r="E1776" s="0" t="e">
        <f>+7 (495) 7206631
+7 (495) 7206632
+7 (495) 7206654
+7 (495) 7206655
+7 (495) 7206665
+7 (800) 5006303
+7 (915) 1072233</f>
        <v>#NAME?</v>
      </c>
      <c r="F1776" s="5" t="s">
        <v>30688</v>
      </c>
      <c r="G1776" s="5" t="s">
        <v>30689</v>
      </c>
      <c r="H1776" s="26">
        <v>21.5</v>
      </c>
      <c r="I1776" s="5" t="s">
        <v>30690</v>
      </c>
      <c r="J1776" s="5" t="s">
        <v>25559</v>
      </c>
      <c r="K1776" s="5" t="s">
        <v>344</v>
      </c>
      <c r="L1776" s="5"/>
      <c r="M1776" s="27"/>
      <c r="N1776" s="5"/>
      <c r="O1776" s="5" t="str">
        <v>7707296796</v>
      </c>
      <c r="P1776" s="27">
        <v>8700000</v>
      </c>
      <c r="Q1776" s="5" t="s">
        <v>49009</v>
      </c>
      <c r="R1776" s="5"/>
      <c r="S1776" s="5" t="s">
        <v>49010</v>
      </c>
      <c r="T1776" s="28">
        <v>142446000</v>
      </c>
      <c r="U1776" s="28"/>
      <c r="V1776" s="28">
        <v>756975000</v>
      </c>
      <c r="W1776" s="28"/>
      <c r="X1776" s="28">
        <v>1735512000</v>
      </c>
      <c r="Y1776" s="28">
        <v>2899030000</v>
      </c>
      <c r="Z1776" s="28">
        <v>-3247011000</v>
      </c>
      <c r="AA1776" s="28"/>
      <c r="AB1776" s="28">
        <v>576770000</v>
      </c>
      <c r="AC1776" s="28">
        <v>689996000</v>
      </c>
      <c r="AD1776" s="28">
        <v>2105501000</v>
      </c>
      <c r="AE1776" s="28">
        <v>3822955000</v>
      </c>
      <c r="AF1776" s="28">
        <v>108035000</v>
      </c>
      <c r="AG1776" s="11"/>
    </row>
    <row r="1777">
      <c r="A1777" s="7" t="s">
        <v>3481</v>
      </c>
      <c r="B1777" s="5" t="s">
        <v>11468</v>
      </c>
      <c r="C1777" s="5" t="s">
        <v>19327</v>
      </c>
      <c r="D1777" s="5" t="str">
        <v>665897797446</v>
      </c>
      <c r="E1777" s="0" t="e">
        <f>+7 (343) 2546149
+7 (343) 2546154
+7 (343) 2546250
+7 (343) 2546423
+7 (343) 2546430
+7 (343) 2547436
+7 (343) 2572106
+7 (343) 2577655
+7 (343) 3856767
+7 (3439) 310505
+7 (3439) 310930</f>
        <v>#NAME?</v>
      </c>
      <c r="F1777" s="5" t="s">
        <v>30691</v>
      </c>
      <c r="G1777" s="5" t="s">
        <v>30692</v>
      </c>
      <c r="H1777" s="26">
        <v>19</v>
      </c>
      <c r="I1777" s="5" t="s">
        <v>30693</v>
      </c>
      <c r="J1777" s="5" t="s">
        <v>467</v>
      </c>
      <c r="K1777" s="5" t="s">
        <v>344</v>
      </c>
      <c r="L1777" s="5" t="s">
        <v>30694</v>
      </c>
      <c r="M1777" s="27">
        <v>12004693</v>
      </c>
      <c r="N1777" s="5" t="s">
        <v>52147</v>
      </c>
      <c r="O1777" s="5" t="str">
        <v>6672165205</v>
      </c>
      <c r="P1777" s="27">
        <v>30000</v>
      </c>
      <c r="Q1777" s="5" t="s">
        <v>52148</v>
      </c>
      <c r="R1777" s="5"/>
      <c r="S1777" s="5" t="s">
        <v>52149</v>
      </c>
      <c r="T1777" s="28">
        <v>345593000</v>
      </c>
      <c r="U1777" s="28"/>
      <c r="V1777" s="28">
        <v>806785000</v>
      </c>
      <c r="W1777" s="28">
        <v>952978000</v>
      </c>
      <c r="X1777" s="28">
        <v>718028000</v>
      </c>
      <c r="Y1777" s="28">
        <v>3211067000</v>
      </c>
      <c r="Z1777" s="28">
        <v>779078000</v>
      </c>
      <c r="AA1777" s="28"/>
      <c r="AB1777" s="28">
        <v>70000</v>
      </c>
      <c r="AC1777" s="28">
        <v>2089730000</v>
      </c>
      <c r="AD1777" s="28">
        <v>989148000</v>
      </c>
      <c r="AE1777" s="28">
        <v>5311661000</v>
      </c>
      <c r="AF1777" s="28">
        <v>625880000</v>
      </c>
      <c r="AG1777" s="11"/>
    </row>
    <row r="1778">
      <c r="A1778" s="7" t="s">
        <v>3482</v>
      </c>
      <c r="B1778" s="5" t="s">
        <v>11469</v>
      </c>
      <c r="C1778" s="5" t="s">
        <v>19328</v>
      </c>
      <c r="D1778" s="5" t="str">
        <v>230900774690</v>
      </c>
      <c r="E1778" s="0" t="e">
        <f>+7 (861) 2580045
+7 (861) 2590014</f>
        <v>#NAME?</v>
      </c>
      <c r="F1778" s="5" t="s">
        <v>30695</v>
      </c>
      <c r="G1778" s="5" t="s">
        <v>30696</v>
      </c>
      <c r="H1778" s="26">
        <v>15</v>
      </c>
      <c r="I1778" s="5" t="s">
        <v>30697</v>
      </c>
      <c r="J1778" s="5" t="s">
        <v>648</v>
      </c>
      <c r="K1778" s="5" t="s">
        <v>355</v>
      </c>
      <c r="L1778" s="5" t="s">
        <v>30698</v>
      </c>
      <c r="M1778" s="27">
        <v>165208488</v>
      </c>
      <c r="N1778" s="5" t="s">
        <v>52150</v>
      </c>
      <c r="O1778" s="5" t="str">
        <v>2311104687</v>
      </c>
      <c r="P1778" s="27">
        <v>10000</v>
      </c>
      <c r="Q1778" s="5" t="s">
        <v>49009</v>
      </c>
      <c r="R1778" s="5"/>
      <c r="S1778" s="5" t="s">
        <v>49012</v>
      </c>
      <c r="T1778" s="28">
        <v>103330000</v>
      </c>
      <c r="U1778" s="28"/>
      <c r="V1778" s="28">
        <v>1305423000</v>
      </c>
      <c r="W1778" s="28">
        <v>156270000</v>
      </c>
      <c r="X1778" s="28">
        <v>333164000</v>
      </c>
      <c r="Y1778" s="28">
        <v>2011505000</v>
      </c>
      <c r="Z1778" s="28">
        <v>106896000</v>
      </c>
      <c r="AA1778" s="28"/>
      <c r="AB1778" s="28">
        <v>316694000</v>
      </c>
      <c r="AC1778" s="28">
        <v>1853655000</v>
      </c>
      <c r="AD1778" s="28">
        <v>136156000</v>
      </c>
      <c r="AE1778" s="28">
        <v>5352644000</v>
      </c>
      <c r="AF1778" s="28">
        <v>8292000</v>
      </c>
      <c r="AG1778" s="11"/>
    </row>
    <row r="1779">
      <c r="A1779" s="7" t="s">
        <v>3483</v>
      </c>
      <c r="B1779" s="5" t="s">
        <v>11470</v>
      </c>
      <c r="C1779" s="5" t="s">
        <v>19329</v>
      </c>
      <c r="D1779" s="5" t="str">
        <v>732600755767</v>
      </c>
      <c r="E1779" s="0" t="e">
        <f>+7 (800) 2000688
+7 (800) 7077215
+7 (842) 2660505
+7 (8422) 274936
+7 (8422) 334300
+7 (8422) 360618
+7 (8422) 535738
+7 (8422) 584893</f>
        <v>#NAME?</v>
      </c>
      <c r="F1779" s="5" t="s">
        <v>30699</v>
      </c>
      <c r="G1779" s="5" t="s">
        <v>30700</v>
      </c>
      <c r="H1779" s="26">
        <v>15.5</v>
      </c>
      <c r="I1779" s="5"/>
      <c r="J1779" s="5" t="s">
        <v>25219</v>
      </c>
      <c r="K1779" s="5" t="s">
        <v>344</v>
      </c>
      <c r="L1779" s="5" t="s">
        <v>30343</v>
      </c>
      <c r="M1779" s="27">
        <v>18904763</v>
      </c>
      <c r="N1779" s="5"/>
      <c r="O1779" s="5" t="str">
        <v>7326029150</v>
      </c>
      <c r="P1779" s="27">
        <v>10570600</v>
      </c>
      <c r="Q1779" s="5" t="s">
        <v>49009</v>
      </c>
      <c r="R1779" s="5"/>
      <c r="S1779" s="5" t="s">
        <v>49961</v>
      </c>
      <c r="T1779" s="28">
        <v>851479000</v>
      </c>
      <c r="U1779" s="28">
        <v>131022000</v>
      </c>
      <c r="V1779" s="28">
        <v>649734000</v>
      </c>
      <c r="W1779" s="28">
        <v>101724000</v>
      </c>
      <c r="X1779" s="28">
        <v>202245000</v>
      </c>
      <c r="Y1779" s="28">
        <v>3398660000</v>
      </c>
      <c r="Z1779" s="28">
        <v>297547000</v>
      </c>
      <c r="AA1779" s="28">
        <v>344758000</v>
      </c>
      <c r="AB1779" s="28">
        <v>521208000</v>
      </c>
      <c r="AC1779" s="28">
        <v>2587993000</v>
      </c>
      <c r="AD1779" s="28">
        <v>368590000</v>
      </c>
      <c r="AE1779" s="28">
        <v>18021248000</v>
      </c>
      <c r="AF1779" s="28">
        <v>29735000</v>
      </c>
      <c r="AG1779" s="11"/>
    </row>
    <row r="1780">
      <c r="A1780" s="7" t="s">
        <v>3484</v>
      </c>
      <c r="B1780" s="5" t="s">
        <v>11471</v>
      </c>
      <c r="C1780" s="5" t="s">
        <v>19330</v>
      </c>
      <c r="D1780" s="5" t="str">
        <v>230200367402</v>
      </c>
      <c r="E1780" s="0" t="e">
        <f>+7 (861) 6023055
+7 (861) 9227462</f>
        <v>#NAME?</v>
      </c>
      <c r="F1780" s="5" t="s">
        <v>30701</v>
      </c>
      <c r="G1780" s="5" t="s">
        <v>30702</v>
      </c>
      <c r="H1780" s="26">
        <v>29.5</v>
      </c>
      <c r="I1780" s="5"/>
      <c r="J1780" s="5" t="s">
        <v>991</v>
      </c>
      <c r="K1780" s="5" t="s">
        <v>344</v>
      </c>
      <c r="L1780" s="5"/>
      <c r="M1780" s="27">
        <v>2659663</v>
      </c>
      <c r="N1780" s="5" t="s">
        <v>49787</v>
      </c>
      <c r="O1780" s="5" t="str">
        <v>2329007878</v>
      </c>
      <c r="P1780" s="27">
        <v>8072800</v>
      </c>
      <c r="Q1780" s="5" t="s">
        <v>52151</v>
      </c>
      <c r="R1780" s="5"/>
      <c r="S1780" s="5" t="s">
        <v>49099</v>
      </c>
      <c r="T1780" s="28">
        <v>409683000</v>
      </c>
      <c r="U1780" s="28">
        <v>140681000</v>
      </c>
      <c r="V1780" s="28">
        <v>1359394000</v>
      </c>
      <c r="W1780" s="28">
        <v>125000000</v>
      </c>
      <c r="X1780" s="28">
        <v>205859000</v>
      </c>
      <c r="Y1780" s="28">
        <v>3551634000</v>
      </c>
      <c r="Z1780" s="28">
        <v>921445000</v>
      </c>
      <c r="AA1780" s="28">
        <v>525000000</v>
      </c>
      <c r="AB1780" s="28">
        <v>690214000</v>
      </c>
      <c r="AC1780" s="28">
        <v>1927854000</v>
      </c>
      <c r="AD1780" s="28">
        <v>964101000</v>
      </c>
      <c r="AE1780" s="28">
        <v>4460235000</v>
      </c>
      <c r="AF1780" s="28">
        <v>51306000</v>
      </c>
      <c r="AG1780" s="11"/>
    </row>
    <row r="1781">
      <c r="A1781" s="7" t="s">
        <v>3485</v>
      </c>
      <c r="B1781" s="5" t="s">
        <v>11472</v>
      </c>
      <c r="C1781" s="5" t="s">
        <v>19331</v>
      </c>
      <c r="D1781" s="5" t="str">
        <v>165200963136</v>
      </c>
      <c r="E1781" s="0" t="e">
        <f>+7 (495) 5179338
+7 (499) 4004050
+7 (915) 4666201</f>
        <v>#NAME?</v>
      </c>
      <c r="F1781" s="5" t="s">
        <v>30703</v>
      </c>
      <c r="G1781" s="5" t="s">
        <v>30704</v>
      </c>
      <c r="H1781" s="26">
        <v>12.5</v>
      </c>
      <c r="I1781" s="5" t="s">
        <v>30705</v>
      </c>
      <c r="J1781" s="5" t="s">
        <v>30706</v>
      </c>
      <c r="K1781" s="5" t="s">
        <v>344</v>
      </c>
      <c r="L1781" s="5" t="s">
        <v>30707</v>
      </c>
      <c r="M1781" s="27"/>
      <c r="N1781" s="5" t="s">
        <v>52152</v>
      </c>
      <c r="O1781" s="5" t="str">
        <v>7731655534</v>
      </c>
      <c r="P1781" s="27">
        <v>5500000</v>
      </c>
      <c r="Q1781" s="5" t="s">
        <v>52153</v>
      </c>
      <c r="R1781" s="5"/>
      <c r="S1781" s="5" t="s">
        <v>49649</v>
      </c>
      <c r="T1781" s="28">
        <v>1024714000</v>
      </c>
      <c r="U1781" s="28">
        <v>335111000</v>
      </c>
      <c r="V1781" s="28">
        <v>367645000</v>
      </c>
      <c r="W1781" s="28">
        <v>34465000</v>
      </c>
      <c r="X1781" s="28">
        <v>1773724000</v>
      </c>
      <c r="Y1781" s="28">
        <v>4667082000</v>
      </c>
      <c r="Z1781" s="28">
        <v>3243022000</v>
      </c>
      <c r="AA1781" s="28"/>
      <c r="AB1781" s="28">
        <v>231563000</v>
      </c>
      <c r="AC1781" s="28">
        <v>778888000</v>
      </c>
      <c r="AD1781" s="28">
        <v>3248522000</v>
      </c>
      <c r="AE1781" s="28">
        <v>5069721000</v>
      </c>
      <c r="AF1781" s="28">
        <v>1280335000</v>
      </c>
      <c r="AG1781" s="11"/>
    </row>
    <row r="1782">
      <c r="A1782" s="7" t="s">
        <v>3486</v>
      </c>
      <c r="B1782" s="5" t="s">
        <v>11473</v>
      </c>
      <c r="C1782" s="5" t="s">
        <v>19332</v>
      </c>
      <c r="D1782" s="5" t="str">
        <v>420400539070</v>
      </c>
      <c r="E1782" s="0" t="e">
        <f>+7 (38463) 65436
+7 (913) 3121345
+7 (38463) 50036
+7 (923) 5280645</f>
        <v>#NAME?</v>
      </c>
      <c r="F1782" s="5"/>
      <c r="G1782" s="5" t="s">
        <v>30708</v>
      </c>
      <c r="H1782" s="26">
        <v>7</v>
      </c>
      <c r="I1782" s="5" t="s">
        <v>30709</v>
      </c>
      <c r="J1782" s="5" t="s">
        <v>26932</v>
      </c>
      <c r="K1782" s="5" t="s">
        <v>344</v>
      </c>
      <c r="L1782" s="5"/>
      <c r="M1782" s="27"/>
      <c r="N1782" s="5" t="s">
        <v>52154</v>
      </c>
      <c r="O1782" s="5" t="str">
        <v>4202050643</v>
      </c>
      <c r="P1782" s="27">
        <v>10000</v>
      </c>
      <c r="Q1782" s="5"/>
      <c r="R1782" s="5"/>
      <c r="S1782" s="5" t="s">
        <v>52155</v>
      </c>
      <c r="T1782" s="28">
        <v>27339000</v>
      </c>
      <c r="U1782" s="28">
        <v>89918000</v>
      </c>
      <c r="V1782" s="28">
        <v>795525000</v>
      </c>
      <c r="W1782" s="28"/>
      <c r="X1782" s="28">
        <v>714000</v>
      </c>
      <c r="Y1782" s="28">
        <v>1949933000</v>
      </c>
      <c r="Z1782" s="28">
        <v>285566000</v>
      </c>
      <c r="AA1782" s="28"/>
      <c r="AB1782" s="28"/>
      <c r="AC1782" s="28">
        <v>1664192000</v>
      </c>
      <c r="AD1782" s="28">
        <v>285741000</v>
      </c>
      <c r="AE1782" s="28">
        <v>7181155000</v>
      </c>
      <c r="AF1782" s="28">
        <v>285694000</v>
      </c>
      <c r="AG1782" s="11"/>
    </row>
    <row r="1783">
      <c r="A1783" s="7" t="s">
        <v>3487</v>
      </c>
      <c r="B1783" s="5" t="s">
        <v>11474</v>
      </c>
      <c r="C1783" s="5" t="s">
        <v>19333</v>
      </c>
      <c r="D1783" s="5" t="str">
        <v>662900104307</v>
      </c>
      <c r="E1783" s="0" t="e">
        <f>+7 (492) 2359297
+7 (49241) 21874
+7 (49241) 21901
+7 (49241) 23475
+7 (49241) 27438
+7 (49241) 32430
+7 (49241) 32788
+7 (49241) 33281
+7 (49241) 33761
+7 (49241) 34405
+7 (49241) 34406
+7 (49241) 34416
+7 (49241) 35217
+7 (49241) 36217
+7 (499) 5530033</f>
        <v>#NAME?</v>
      </c>
      <c r="F1783" s="5" t="s">
        <v>30710</v>
      </c>
      <c r="G1783" s="5" t="s">
        <v>30711</v>
      </c>
      <c r="H1783" s="26">
        <v>20.5</v>
      </c>
      <c r="I1783" s="5" t="s">
        <v>30712</v>
      </c>
      <c r="J1783" s="5" t="s">
        <v>26328</v>
      </c>
      <c r="K1783" s="5" t="s">
        <v>355</v>
      </c>
      <c r="L1783" s="5"/>
      <c r="M1783" s="27">
        <v>63010528</v>
      </c>
      <c r="N1783" s="5" t="s">
        <v>52156</v>
      </c>
      <c r="O1783" s="5" t="str">
        <v>3304009593</v>
      </c>
      <c r="P1783" s="27">
        <v>267000000</v>
      </c>
      <c r="Q1783" s="5" t="s">
        <v>52157</v>
      </c>
      <c r="R1783" s="5"/>
      <c r="S1783" s="5" t="s">
        <v>52158</v>
      </c>
      <c r="T1783" s="28">
        <v>3941018000</v>
      </c>
      <c r="U1783" s="28">
        <v>59086000</v>
      </c>
      <c r="V1783" s="28">
        <v>1585658000</v>
      </c>
      <c r="W1783" s="28">
        <v>15002000</v>
      </c>
      <c r="X1783" s="28">
        <v>21618000</v>
      </c>
      <c r="Y1783" s="28">
        <v>9337850000</v>
      </c>
      <c r="Z1783" s="28">
        <v>-3821016000</v>
      </c>
      <c r="AA1783" s="28">
        <v>10474863000</v>
      </c>
      <c r="AB1783" s="28">
        <v>1103879000</v>
      </c>
      <c r="AC1783" s="28">
        <v>2277057000</v>
      </c>
      <c r="AD1783" s="28">
        <v>-3554016000</v>
      </c>
      <c r="AE1783" s="28">
        <v>4237016000</v>
      </c>
      <c r="AF1783" s="28">
        <v>-1675279000</v>
      </c>
      <c r="AG1783" s="11"/>
    </row>
    <row r="1784">
      <c r="A1784" s="7" t="s">
        <v>3488</v>
      </c>
      <c r="B1784" s="5" t="s">
        <v>11475</v>
      </c>
      <c r="C1784" s="5" t="s">
        <v>19334</v>
      </c>
      <c r="D1784" s="5" t="str">
        <v>772774037907</v>
      </c>
      <c r="E1784" s="0" t="e">
        <f>+7 (499) 2303101
+7 (495) 2303101</f>
        <v>#NAME?</v>
      </c>
      <c r="F1784" s="5"/>
      <c r="G1784" s="5" t="s">
        <v>30713</v>
      </c>
      <c r="H1784" s="26">
        <v>8.5</v>
      </c>
      <c r="I1784" s="5" t="s">
        <v>30714</v>
      </c>
      <c r="J1784" s="5" t="s">
        <v>30715</v>
      </c>
      <c r="K1784" s="5" t="s">
        <v>355</v>
      </c>
      <c r="L1784" s="5" t="s">
        <v>30716</v>
      </c>
      <c r="M1784" s="27"/>
      <c r="N1784" s="5" t="s">
        <v>52159</v>
      </c>
      <c r="O1784" s="5" t="str">
        <v>7707847348</v>
      </c>
      <c r="P1784" s="27">
        <v>10000</v>
      </c>
      <c r="Q1784" s="5" t="s">
        <v>52160</v>
      </c>
      <c r="R1784" s="5"/>
      <c r="S1784" s="5" t="s">
        <v>49195</v>
      </c>
      <c r="T1784" s="28">
        <v>11230000</v>
      </c>
      <c r="U1784" s="28"/>
      <c r="V1784" s="28">
        <v>859707000</v>
      </c>
      <c r="W1784" s="28"/>
      <c r="X1784" s="28">
        <v>1106000</v>
      </c>
      <c r="Y1784" s="28">
        <v>881452000</v>
      </c>
      <c r="Z1784" s="28">
        <v>-1030050000</v>
      </c>
      <c r="AA1784" s="28"/>
      <c r="AB1784" s="28"/>
      <c r="AC1784" s="28">
        <v>1897897000</v>
      </c>
      <c r="AD1784" s="28">
        <v>-1030040000</v>
      </c>
      <c r="AE1784" s="28">
        <v>3376352000</v>
      </c>
      <c r="AF1784" s="28">
        <v>-507566000</v>
      </c>
      <c r="AG1784" s="11"/>
    </row>
    <row r="1785">
      <c r="A1785" s="7" t="s">
        <v>3489</v>
      </c>
      <c r="B1785" s="5" t="s">
        <v>11476</v>
      </c>
      <c r="C1785" s="5" t="s">
        <v>19335</v>
      </c>
      <c r="D1785" s="5" t="str">
        <v>501815234670</v>
      </c>
      <c r="E1785" s="0" t="e">
        <f>+7 (967) 146083</f>
        <v>#NAME?</v>
      </c>
      <c r="F1785" s="5"/>
      <c r="G1785" s="5"/>
      <c r="H1785" s="26">
        <v>8.5</v>
      </c>
      <c r="I1785" s="5" t="s">
        <v>30717</v>
      </c>
      <c r="J1785" s="5" t="s">
        <v>26918</v>
      </c>
      <c r="K1785" s="5" t="s">
        <v>344</v>
      </c>
      <c r="L1785" s="5" t="s">
        <v>30718</v>
      </c>
      <c r="M1785" s="27">
        <v>773700</v>
      </c>
      <c r="N1785" s="5" t="s">
        <v>52161</v>
      </c>
      <c r="O1785" s="5" t="str">
        <v>7717786133</v>
      </c>
      <c r="P1785" s="27">
        <v>20000</v>
      </c>
      <c r="Q1785" s="5"/>
      <c r="R1785" s="5"/>
      <c r="S1785" s="5" t="s">
        <v>49053</v>
      </c>
      <c r="T1785" s="28">
        <v>85278000</v>
      </c>
      <c r="U1785" s="28">
        <v>1000000</v>
      </c>
      <c r="V1785" s="28">
        <v>964444000</v>
      </c>
      <c r="W1785" s="28">
        <v>5000000</v>
      </c>
      <c r="X1785" s="28">
        <v>48546000</v>
      </c>
      <c r="Y1785" s="28">
        <v>1660370000</v>
      </c>
      <c r="Z1785" s="28">
        <v>264439000</v>
      </c>
      <c r="AA1785" s="28"/>
      <c r="AB1785" s="28"/>
      <c r="AC1785" s="28">
        <v>1338779000</v>
      </c>
      <c r="AD1785" s="28">
        <v>264459000</v>
      </c>
      <c r="AE1785" s="28">
        <v>6867572000</v>
      </c>
      <c r="AF1785" s="28">
        <v>626952000</v>
      </c>
      <c r="AG1785" s="11"/>
    </row>
    <row r="1786">
      <c r="A1786" s="7" t="s">
        <v>3490</v>
      </c>
      <c r="B1786" s="5" t="s">
        <v>11477</v>
      </c>
      <c r="C1786" s="5" t="s">
        <v>19336</v>
      </c>
      <c r="D1786" s="5" t="str">
        <v>772914217910</v>
      </c>
      <c r="E1786" s="0" t="e">
        <f>+7 (3012) 228177
+7 (3012) 254588
+7 (3022) 329567
+7 (3012) 212478
+7 (3012) 212753
+7 (3012) 216937
+7 (3012) 218177
+7 (3012) 278177
+7 (3012) 298177
+7 (3022) 415297
+7 (3022) 415895
+7 (3022) 415896
+7 (3022) 415897
+7 (3022) 415997
+7 (3022) 425897</f>
        <v>#NAME?</v>
      </c>
      <c r="F1786" s="5" t="s">
        <v>30719</v>
      </c>
      <c r="G1786" s="5" t="s">
        <v>30720</v>
      </c>
      <c r="H1786" s="26">
        <v>21</v>
      </c>
      <c r="I1786" s="5" t="s">
        <v>30721</v>
      </c>
      <c r="J1786" s="5" t="s">
        <v>30722</v>
      </c>
      <c r="K1786" s="5" t="s">
        <v>344</v>
      </c>
      <c r="L1786" s="5"/>
      <c r="M1786" s="27">
        <v>7393574</v>
      </c>
      <c r="N1786" s="5" t="s">
        <v>52162</v>
      </c>
      <c r="O1786" s="5" t="str">
        <v>7717043113</v>
      </c>
      <c r="P1786" s="27">
        <v>500000000</v>
      </c>
      <c r="Q1786" s="5" t="s">
        <v>52163</v>
      </c>
      <c r="R1786" s="5"/>
      <c r="S1786" s="5" t="s">
        <v>52164</v>
      </c>
      <c r="T1786" s="28">
        <v>1838383000</v>
      </c>
      <c r="U1786" s="28"/>
      <c r="V1786" s="28">
        <v>1762155000</v>
      </c>
      <c r="W1786" s="28"/>
      <c r="X1786" s="28">
        <v>654308000</v>
      </c>
      <c r="Y1786" s="28">
        <v>4645318000</v>
      </c>
      <c r="Z1786" s="28">
        <v>1048260000</v>
      </c>
      <c r="AA1786" s="28">
        <v>339000000</v>
      </c>
      <c r="AB1786" s="28">
        <v>193630000</v>
      </c>
      <c r="AC1786" s="28">
        <v>2063853000</v>
      </c>
      <c r="AD1786" s="28">
        <v>1764787000</v>
      </c>
      <c r="AE1786" s="28">
        <v>11849910000</v>
      </c>
      <c r="AF1786" s="28">
        <v>83604000</v>
      </c>
      <c r="AG1786" s="11"/>
    </row>
    <row r="1787">
      <c r="A1787" s="7" t="s">
        <v>3491</v>
      </c>
      <c r="B1787" s="5" t="s">
        <v>11478</v>
      </c>
      <c r="C1787" s="5" t="s">
        <v>19337</v>
      </c>
      <c r="D1787" s="5" t="str">
        <v>322400358677</v>
      </c>
      <c r="E1787" s="0" t="e">
        <f>+7 (483) 2306400
+7 (483) 2306655
+7 (483) 2644033
+7 (483) 2645370
+7 (920) 8480312</f>
        <v>#NAME?</v>
      </c>
      <c r="F1787" s="5" t="s">
        <v>30723</v>
      </c>
      <c r="G1787" s="5"/>
      <c r="H1787" s="26">
        <v>8.5</v>
      </c>
      <c r="I1787" s="5" t="s">
        <v>30724</v>
      </c>
      <c r="J1787" s="5" t="s">
        <v>30725</v>
      </c>
      <c r="K1787" s="5" t="s">
        <v>344</v>
      </c>
      <c r="L1787" s="5" t="s">
        <v>30726</v>
      </c>
      <c r="M1787" s="27"/>
      <c r="N1787" s="5"/>
      <c r="O1787" s="5" t="str">
        <v>3245516447</v>
      </c>
      <c r="P1787" s="27">
        <v>10000000</v>
      </c>
      <c r="Q1787" s="5"/>
      <c r="R1787" s="5"/>
      <c r="S1787" s="5" t="s">
        <v>49399</v>
      </c>
      <c r="T1787" s="28">
        <v>1079621000</v>
      </c>
      <c r="U1787" s="28"/>
      <c r="V1787" s="28">
        <v>1092700000</v>
      </c>
      <c r="W1787" s="28">
        <v>1231000000</v>
      </c>
      <c r="X1787" s="28">
        <v>21967000</v>
      </c>
      <c r="Y1787" s="28">
        <v>3625829000</v>
      </c>
      <c r="Z1787" s="28">
        <v>2304843000</v>
      </c>
      <c r="AA1787" s="28"/>
      <c r="AB1787" s="28"/>
      <c r="AC1787" s="28">
        <v>1053814000</v>
      </c>
      <c r="AD1787" s="28">
        <v>2537423000</v>
      </c>
      <c r="AE1787" s="28">
        <v>7350024000</v>
      </c>
      <c r="AF1787" s="28">
        <v>2821078000</v>
      </c>
      <c r="AG1787" s="11"/>
    </row>
    <row r="1788">
      <c r="A1788" s="7" t="s">
        <v>3492</v>
      </c>
      <c r="B1788" s="5" t="s">
        <v>11479</v>
      </c>
      <c r="C1788" s="5" t="s">
        <v>19338</v>
      </c>
      <c r="D1788" s="5" t="str">
        <v>645407764811</v>
      </c>
      <c r="E1788" s="0" t="e">
        <f>+7 (8452) 452020
+7 (343) 3442704
+7 (343) 3757237
+7 (3472) 330535
+7 (3472) 447839
+7 (391) 2235223
+7 (495) 2252040
+7 (495) 2252041
+7 (495) 2252042
+7 (495) 6044049
+7 (926) 4410634</f>
        <v>#NAME?</v>
      </c>
      <c r="F1788" s="5" t="s">
        <v>30727</v>
      </c>
      <c r="G1788" s="5" t="s">
        <v>30728</v>
      </c>
      <c r="H1788" s="26">
        <v>18.5</v>
      </c>
      <c r="I1788" s="5" t="s">
        <v>30729</v>
      </c>
      <c r="J1788" s="5" t="s">
        <v>785</v>
      </c>
      <c r="K1788" s="5" t="s">
        <v>344</v>
      </c>
      <c r="L1788" s="5"/>
      <c r="M1788" s="27">
        <v>17280</v>
      </c>
      <c r="N1788" s="5" t="s">
        <v>52165</v>
      </c>
      <c r="O1788" s="5" t="str">
        <v>7714564333</v>
      </c>
      <c r="P1788" s="27">
        <v>1513996683</v>
      </c>
      <c r="Q1788" s="5" t="s">
        <v>52166</v>
      </c>
      <c r="R1788" s="5" t="s">
        <v>52167</v>
      </c>
      <c r="S1788" s="5" t="s">
        <v>52168</v>
      </c>
      <c r="T1788" s="28">
        <v>3311091000</v>
      </c>
      <c r="U1788" s="28">
        <v>3858495000</v>
      </c>
      <c r="V1788" s="28">
        <v>1625555000</v>
      </c>
      <c r="W1788" s="28">
        <v>293310000</v>
      </c>
      <c r="X1788" s="28">
        <v>1018049000</v>
      </c>
      <c r="Y1788" s="28">
        <v>10659768000</v>
      </c>
      <c r="Z1788" s="28">
        <v>-2132369000</v>
      </c>
      <c r="AA1788" s="28">
        <v>5687137000</v>
      </c>
      <c r="AB1788" s="28">
        <v>9114000</v>
      </c>
      <c r="AC1788" s="28">
        <v>1227864000</v>
      </c>
      <c r="AD1788" s="28">
        <v>1893501000</v>
      </c>
      <c r="AE1788" s="28">
        <v>4354825000</v>
      </c>
      <c r="AF1788" s="28">
        <v>1710532000</v>
      </c>
      <c r="AG1788" s="11"/>
    </row>
    <row r="1789">
      <c r="A1789" s="7" t="s">
        <v>3493</v>
      </c>
      <c r="B1789" s="5" t="s">
        <v>11480</v>
      </c>
      <c r="C1789" s="5" t="s">
        <v>19339</v>
      </c>
      <c r="D1789" s="5" t="str">
        <v>614311787905</v>
      </c>
      <c r="E1789" s="0" t="e">
        <f>+7 (3472) 164856
+7 (3494) 927271
+7 (495) 5809958
+7 (495) 5809959
+7 (812) 2404659
+7 (812) 2404694
+7 (817) 2205400
+7 (817) 2239400
+7 (8452) 340868
+7 (8452) 353060
+7 (916) 9426276</f>
        <v>#NAME?</v>
      </c>
      <c r="F1789" s="5" t="s">
        <v>30730</v>
      </c>
      <c r="G1789" s="5"/>
      <c r="H1789" s="26">
        <v>17</v>
      </c>
      <c r="I1789" s="5" t="s">
        <v>30731</v>
      </c>
      <c r="J1789" s="5" t="s">
        <v>364</v>
      </c>
      <c r="K1789" s="5" t="s">
        <v>344</v>
      </c>
      <c r="L1789" s="5" t="s">
        <v>30732</v>
      </c>
      <c r="M1789" s="27">
        <v>456852602</v>
      </c>
      <c r="N1789" s="5" t="s">
        <v>52169</v>
      </c>
      <c r="O1789" s="5" t="str">
        <v>7702599998</v>
      </c>
      <c r="P1789" s="27">
        <v>1666667</v>
      </c>
      <c r="Q1789" s="5" t="s">
        <v>52170</v>
      </c>
      <c r="R1789" s="5" t="s">
        <v>52171</v>
      </c>
      <c r="S1789" s="5" t="s">
        <v>50191</v>
      </c>
      <c r="T1789" s="28">
        <v>187474000</v>
      </c>
      <c r="U1789" s="28">
        <v>406738000</v>
      </c>
      <c r="V1789" s="28">
        <v>12683905000</v>
      </c>
      <c r="W1789" s="28">
        <v>17480000</v>
      </c>
      <c r="X1789" s="28">
        <v>3431652000</v>
      </c>
      <c r="Y1789" s="28">
        <v>19740745000</v>
      </c>
      <c r="Z1789" s="28">
        <v>3093217000</v>
      </c>
      <c r="AA1789" s="28"/>
      <c r="AB1789" s="28"/>
      <c r="AC1789" s="28">
        <v>16524603000</v>
      </c>
      <c r="AD1789" s="28">
        <v>3095590000</v>
      </c>
      <c r="AE1789" s="28">
        <v>41737227000</v>
      </c>
      <c r="AF1789" s="28">
        <v>781514000</v>
      </c>
      <c r="AG1789" s="11"/>
    </row>
    <row r="1790">
      <c r="A1790" s="7" t="s">
        <v>3494</v>
      </c>
      <c r="B1790" s="5" t="s">
        <v>11481</v>
      </c>
      <c r="C1790" s="5" t="s">
        <v>19340</v>
      </c>
      <c r="D1790" s="5" t="str">
        <v>780610813342</v>
      </c>
      <c r="E1790" s="0" t="e">
        <f>+7 (3494) 222962
+7 (3494) 923375
+7 (912) 4296006</f>
        <v>#NAME?</v>
      </c>
      <c r="F1790" s="5" t="s">
        <v>30733</v>
      </c>
      <c r="G1790" s="5"/>
      <c r="H1790" s="26">
        <v>9</v>
      </c>
      <c r="I1790" s="5" t="s">
        <v>30734</v>
      </c>
      <c r="J1790" s="5" t="s">
        <v>364</v>
      </c>
      <c r="K1790" s="5" t="s">
        <v>355</v>
      </c>
      <c r="L1790" s="5"/>
      <c r="M1790" s="27">
        <v>106578404</v>
      </c>
      <c r="N1790" s="5"/>
      <c r="O1790" s="5" t="str">
        <v>8904073818</v>
      </c>
      <c r="P1790" s="27">
        <v>1000000</v>
      </c>
      <c r="Q1790" s="5" t="s">
        <v>52173</v>
      </c>
      <c r="R1790" s="5" t="s">
        <v>52174</v>
      </c>
      <c r="S1790" s="5" t="s">
        <v>51576</v>
      </c>
      <c r="T1790" s="28">
        <v>995780000</v>
      </c>
      <c r="U1790" s="28"/>
      <c r="V1790" s="28">
        <v>6821178000</v>
      </c>
      <c r="W1790" s="28"/>
      <c r="X1790" s="28">
        <v>130014000</v>
      </c>
      <c r="Y1790" s="28">
        <v>9527367000</v>
      </c>
      <c r="Z1790" s="28">
        <v>769140000</v>
      </c>
      <c r="AA1790" s="28"/>
      <c r="AB1790" s="28"/>
      <c r="AC1790" s="28">
        <v>8756977000</v>
      </c>
      <c r="AD1790" s="28">
        <v>770390000</v>
      </c>
      <c r="AE1790" s="28">
        <v>23546416000</v>
      </c>
      <c r="AF1790" s="28">
        <v>104064000</v>
      </c>
      <c r="AG1790" s="11"/>
    </row>
    <row r="1791">
      <c r="A1791" s="7" t="s">
        <v>3495</v>
      </c>
      <c r="B1791" s="5" t="s">
        <v>11482</v>
      </c>
      <c r="C1791" s="5" t="s">
        <v>19341</v>
      </c>
      <c r="D1791" s="5" t="str">
        <v>027814377650</v>
      </c>
      <c r="E1791" s="0" t="e">
        <f>+7 (3472) 164857</f>
        <v>#NAME?</v>
      </c>
      <c r="F1791" s="5" t="s">
        <v>30735</v>
      </c>
      <c r="G1791" s="5"/>
      <c r="H1791" s="26">
        <v>8.5</v>
      </c>
      <c r="I1791" s="5" t="s">
        <v>30736</v>
      </c>
      <c r="J1791" s="5" t="s">
        <v>364</v>
      </c>
      <c r="K1791" s="5" t="s">
        <v>344</v>
      </c>
      <c r="L1791" s="5" t="s">
        <v>30737</v>
      </c>
      <c r="M1791" s="27"/>
      <c r="N1791" s="5"/>
      <c r="O1791" s="5" t="str">
        <v>0276159415</v>
      </c>
      <c r="P1791" s="27">
        <v>1000000</v>
      </c>
      <c r="Q1791" s="5"/>
      <c r="R1791" s="5"/>
      <c r="S1791" s="5" t="s">
        <v>49499</v>
      </c>
      <c r="T1791" s="28">
        <v>151117000</v>
      </c>
      <c r="U1791" s="28"/>
      <c r="V1791" s="28">
        <v>1112936000</v>
      </c>
      <c r="W1791" s="28">
        <v>14048000</v>
      </c>
      <c r="X1791" s="28">
        <v>64750000</v>
      </c>
      <c r="Y1791" s="28">
        <v>1749549000</v>
      </c>
      <c r="Z1791" s="28">
        <v>396408000</v>
      </c>
      <c r="AA1791" s="28"/>
      <c r="AB1791" s="28"/>
      <c r="AC1791" s="28">
        <v>1343196000</v>
      </c>
      <c r="AD1791" s="28">
        <v>397658000</v>
      </c>
      <c r="AE1791" s="28">
        <v>3168106000</v>
      </c>
      <c r="AF1791" s="28">
        <v>42626000</v>
      </c>
      <c r="AG1791" s="11"/>
    </row>
    <row r="1792">
      <c r="A1792" s="7" t="s">
        <v>3496</v>
      </c>
      <c r="B1792" s="5" t="s">
        <v>11483</v>
      </c>
      <c r="C1792" s="5" t="s">
        <v>19342</v>
      </c>
      <c r="D1792" s="5" t="str">
        <v>667220106560</v>
      </c>
      <c r="E1792" s="0" t="e">
        <f>+7 (495) 6467536</f>
        <v>#NAME?</v>
      </c>
      <c r="F1792" s="5" t="s">
        <v>30738</v>
      </c>
      <c r="G1792" s="5" t="s">
        <v>30739</v>
      </c>
      <c r="H1792" s="26">
        <v>10.5</v>
      </c>
      <c r="I1792" s="5" t="s">
        <v>30740</v>
      </c>
      <c r="J1792" s="5" t="s">
        <v>30741</v>
      </c>
      <c r="K1792" s="5" t="s">
        <v>355</v>
      </c>
      <c r="L1792" s="5"/>
      <c r="M1792" s="27"/>
      <c r="N1792" s="5"/>
      <c r="O1792" s="5" t="str">
        <v>7729722060</v>
      </c>
      <c r="P1792" s="27">
        <v>24134932232</v>
      </c>
      <c r="Q1792" s="5" t="s">
        <v>52175</v>
      </c>
      <c r="R1792" s="5"/>
      <c r="S1792" s="5" t="s">
        <v>49032</v>
      </c>
      <c r="T1792" s="28">
        <v>16565719000</v>
      </c>
      <c r="U1792" s="28">
        <v>3698676000</v>
      </c>
      <c r="V1792" s="28">
        <v>5707168000</v>
      </c>
      <c r="W1792" s="28">
        <v>6196610000</v>
      </c>
      <c r="X1792" s="28"/>
      <c r="Y1792" s="28">
        <v>33377998000</v>
      </c>
      <c r="Z1792" s="28">
        <v>1098718000</v>
      </c>
      <c r="AA1792" s="28"/>
      <c r="AB1792" s="28">
        <v>79058000</v>
      </c>
      <c r="AC1792" s="28">
        <v>4036612000</v>
      </c>
      <c r="AD1792" s="28">
        <v>25233650000</v>
      </c>
      <c r="AE1792" s="28">
        <v>4169910000</v>
      </c>
      <c r="AF1792" s="28">
        <v>760099000</v>
      </c>
      <c r="AG1792" s="11"/>
    </row>
    <row r="1793">
      <c r="A1793" s="7" t="s">
        <v>3497</v>
      </c>
      <c r="B1793" s="5" t="s">
        <v>11484</v>
      </c>
      <c r="C1793" s="5" t="s">
        <v>19343</v>
      </c>
      <c r="D1793" s="5" t="str">
        <v>771706734023</v>
      </c>
      <c r="E1793" s="0" t="e">
        <f>+7 (495) 5407679
+7 (495) 9612600
+7 (968) 9630691</f>
        <v>#NAME?</v>
      </c>
      <c r="F1793" s="5" t="s">
        <v>30742</v>
      </c>
      <c r="G1793" s="5" t="s">
        <v>30743</v>
      </c>
      <c r="H1793" s="26">
        <v>17</v>
      </c>
      <c r="I1793" s="5"/>
      <c r="J1793" s="5" t="s">
        <v>26367</v>
      </c>
      <c r="K1793" s="5" t="s">
        <v>344</v>
      </c>
      <c r="L1793" s="5" t="s">
        <v>30744</v>
      </c>
      <c r="M1793" s="27"/>
      <c r="N1793" s="5"/>
      <c r="O1793" s="5" t="str">
        <v>7705716967</v>
      </c>
      <c r="P1793" s="27">
        <v>10010000</v>
      </c>
      <c r="Q1793" s="5" t="s">
        <v>49535</v>
      </c>
      <c r="R1793" s="5"/>
      <c r="S1793" s="5" t="s">
        <v>52176</v>
      </c>
      <c r="T1793" s="28">
        <v>131334000</v>
      </c>
      <c r="U1793" s="28"/>
      <c r="V1793" s="28">
        <v>137070000</v>
      </c>
      <c r="W1793" s="28">
        <v>50000000</v>
      </c>
      <c r="X1793" s="28">
        <v>5647403000</v>
      </c>
      <c r="Y1793" s="28">
        <v>6026510000</v>
      </c>
      <c r="Z1793" s="28">
        <v>4799525000</v>
      </c>
      <c r="AA1793" s="28"/>
      <c r="AB1793" s="28"/>
      <c r="AC1793" s="28">
        <v>1141464000</v>
      </c>
      <c r="AD1793" s="28">
        <v>4837648000</v>
      </c>
      <c r="AE1793" s="28">
        <v>8506030000</v>
      </c>
      <c r="AF1793" s="28">
        <v>88716000</v>
      </c>
      <c r="AG1793" s="11"/>
    </row>
    <row r="1794">
      <c r="A1794" s="7" t="s">
        <v>3498</v>
      </c>
      <c r="B1794" s="5" t="s">
        <v>11485</v>
      </c>
      <c r="C1794" s="5" t="s">
        <v>19344</v>
      </c>
      <c r="D1794" s="5" t="str">
        <v>771403836185</v>
      </c>
      <c r="E1794" s="0" t="e">
        <f>+7 (4912) 503543
+7 (4912) 575305</f>
        <v>#NAME?</v>
      </c>
      <c r="F1794" s="5" t="s">
        <v>30745</v>
      </c>
      <c r="G1794" s="5" t="s">
        <v>30746</v>
      </c>
      <c r="H1794" s="26">
        <v>12</v>
      </c>
      <c r="I1794" s="5" t="s">
        <v>30747</v>
      </c>
      <c r="J1794" s="5" t="s">
        <v>30748</v>
      </c>
      <c r="K1794" s="5" t="s">
        <v>344</v>
      </c>
      <c r="L1794" s="5" t="s">
        <v>30749</v>
      </c>
      <c r="M1794" s="27"/>
      <c r="N1794" s="5" t="s">
        <v>52177</v>
      </c>
      <c r="O1794" s="5" t="str">
        <v>6229040685</v>
      </c>
      <c r="P1794" s="27">
        <v>72000000</v>
      </c>
      <c r="Q1794" s="5" t="s">
        <v>52178</v>
      </c>
      <c r="R1794" s="5"/>
      <c r="S1794" s="5" t="s">
        <v>52179</v>
      </c>
      <c r="T1794" s="28">
        <v>3668000</v>
      </c>
      <c r="U1794" s="28">
        <v>27591000</v>
      </c>
      <c r="V1794" s="28">
        <v>617051000</v>
      </c>
      <c r="W1794" s="28"/>
      <c r="X1794" s="28">
        <v>90176000</v>
      </c>
      <c r="Y1794" s="28">
        <v>2611711000</v>
      </c>
      <c r="Z1794" s="28">
        <v>369786000</v>
      </c>
      <c r="AA1794" s="28"/>
      <c r="AB1794" s="28"/>
      <c r="AC1794" s="28">
        <v>2129326000</v>
      </c>
      <c r="AD1794" s="28">
        <v>448062000</v>
      </c>
      <c r="AE1794" s="28">
        <v>4171802000</v>
      </c>
      <c r="AF1794" s="28">
        <v>186910000</v>
      </c>
      <c r="AG1794" s="11"/>
    </row>
    <row r="1795">
      <c r="A1795" s="7" t="s">
        <v>3499</v>
      </c>
      <c r="B1795" s="5" t="s">
        <v>11486</v>
      </c>
      <c r="C1795" s="5" t="s">
        <v>19345</v>
      </c>
      <c r="D1795" s="5" t="str">
        <v>272314667649</v>
      </c>
      <c r="E1795" s="0" t="e">
        <f>+7 (812) 9250998</f>
        <v>#NAME?</v>
      </c>
      <c r="F1795" s="5"/>
      <c r="G1795" s="5"/>
      <c r="H1795" s="26">
        <v>6.5</v>
      </c>
      <c r="I1795" s="5" t="s">
        <v>30750</v>
      </c>
      <c r="J1795" s="5" t="s">
        <v>364</v>
      </c>
      <c r="K1795" s="5" t="s">
        <v>344</v>
      </c>
      <c r="L1795" s="5"/>
      <c r="M1795" s="27"/>
      <c r="N1795" s="5" t="s">
        <v>52180</v>
      </c>
      <c r="O1795" s="5" t="str">
        <v>7804574270</v>
      </c>
      <c r="P1795" s="27">
        <v>10000</v>
      </c>
      <c r="Q1795" s="5" t="s">
        <v>52181</v>
      </c>
      <c r="R1795" s="5"/>
      <c r="S1795" s="5" t="s">
        <v>52182</v>
      </c>
      <c r="T1795" s="28"/>
      <c r="U1795" s="28"/>
      <c r="V1795" s="28"/>
      <c r="W1795" s="28"/>
      <c r="X1795" s="28"/>
      <c r="Y1795" s="28"/>
      <c r="Z1795" s="28"/>
      <c r="AA1795" s="28"/>
      <c r="AB1795" s="28"/>
      <c r="AC1795" s="28"/>
      <c r="AD1795" s="28"/>
      <c r="AE1795" s="28">
        <v>4573454000</v>
      </c>
      <c r="AF1795" s="28">
        <v>81705000</v>
      </c>
      <c r="AG1795" s="11"/>
    </row>
    <row r="1796">
      <c r="A1796" s="7" t="s">
        <v>3500</v>
      </c>
      <c r="B1796" s="5" t="s">
        <v>11487</v>
      </c>
      <c r="C1796" s="5" t="s">
        <v>19346</v>
      </c>
      <c r="D1796" s="5" t="str">
        <v>501303241353</v>
      </c>
      <c r="E1796" s="0" t="e">
        <f>+7 (343) 2213821
+7 (383) 2460081
+7 (383) 2460082
+7 (391) 2682165
+7 (391) 2960119
+7 (473) 2441801
+7 (473) 2441826
+7 (473) 2446208
+7 (495) 7440242
+7 (495) 7440243
+7 (800) 1007145
+7 (812) 3349696
+7 (84633) 81
+7 (84633) 6543</f>
        <v>#NAME?</v>
      </c>
      <c r="F1796" s="5" t="s">
        <v>30751</v>
      </c>
      <c r="G1796" s="5" t="s">
        <v>30752</v>
      </c>
      <c r="H1796" s="26">
        <v>18</v>
      </c>
      <c r="I1796" s="5" t="s">
        <v>30753</v>
      </c>
      <c r="J1796" s="5" t="s">
        <v>28075</v>
      </c>
      <c r="K1796" s="5" t="s">
        <v>344</v>
      </c>
      <c r="L1796" s="5" t="s">
        <v>30754</v>
      </c>
      <c r="M1796" s="27"/>
      <c r="N1796" s="5"/>
      <c r="O1796" s="5" t="str">
        <v>5007047293</v>
      </c>
      <c r="P1796" s="27">
        <v>100000</v>
      </c>
      <c r="Q1796" s="5" t="s">
        <v>49009</v>
      </c>
      <c r="R1796" s="5"/>
      <c r="S1796" s="5" t="s">
        <v>49066</v>
      </c>
      <c r="T1796" s="28">
        <v>823413000</v>
      </c>
      <c r="U1796" s="28">
        <v>464802000</v>
      </c>
      <c r="V1796" s="28">
        <v>849474000</v>
      </c>
      <c r="W1796" s="28">
        <v>5000000</v>
      </c>
      <c r="X1796" s="28">
        <v>617005000</v>
      </c>
      <c r="Y1796" s="28">
        <v>4166735000</v>
      </c>
      <c r="Z1796" s="28">
        <v>3258462000</v>
      </c>
      <c r="AA1796" s="28">
        <v>284000000</v>
      </c>
      <c r="AB1796" s="28">
        <v>35880000</v>
      </c>
      <c r="AC1796" s="28">
        <v>547101000</v>
      </c>
      <c r="AD1796" s="28">
        <v>3258562000</v>
      </c>
      <c r="AE1796" s="28">
        <v>6722443000</v>
      </c>
      <c r="AF1796" s="28">
        <v>826794000</v>
      </c>
      <c r="AG1796" s="11"/>
    </row>
    <row r="1797">
      <c r="A1797" s="7" t="s">
        <v>3501</v>
      </c>
      <c r="B1797" s="5" t="s">
        <v>11488</v>
      </c>
      <c r="C1797" s="5" t="s">
        <v>19347</v>
      </c>
      <c r="D1797" s="5" t="str">
        <v>773303869060</v>
      </c>
      <c r="E1797" s="0" t="e">
        <f>+7 (495) 2238625
+7 (495) 2238626
+7 (495) 2238628
+7 (495) 9165858</f>
        <v>#NAME?</v>
      </c>
      <c r="F1797" s="5" t="s">
        <v>30755</v>
      </c>
      <c r="G1797" s="5" t="s">
        <v>30756</v>
      </c>
      <c r="H1797" s="26">
        <v>28</v>
      </c>
      <c r="I1797" s="5" t="s">
        <v>30757</v>
      </c>
      <c r="J1797" s="5" t="s">
        <v>678</v>
      </c>
      <c r="K1797" s="5" t="s">
        <v>344</v>
      </c>
      <c r="L1797" s="5" t="s">
        <v>30758</v>
      </c>
      <c r="M1797" s="27"/>
      <c r="N1797" s="5"/>
      <c r="O1797" s="5" t="str">
        <v>7704030318</v>
      </c>
      <c r="P1797" s="27">
        <v>525000000</v>
      </c>
      <c r="Q1797" s="5" t="s">
        <v>49009</v>
      </c>
      <c r="R1797" s="5"/>
      <c r="S1797" s="5" t="s">
        <v>49028</v>
      </c>
      <c r="T1797" s="28">
        <v>3309032000</v>
      </c>
      <c r="U1797" s="28">
        <v>44139000</v>
      </c>
      <c r="V1797" s="28">
        <v>2872661000</v>
      </c>
      <c r="W1797" s="28"/>
      <c r="X1797" s="28">
        <v>389104000</v>
      </c>
      <c r="Y1797" s="28">
        <v>8810463000</v>
      </c>
      <c r="Z1797" s="28">
        <v>7082813000</v>
      </c>
      <c r="AA1797" s="28">
        <v>360857000</v>
      </c>
      <c r="AB1797" s="28"/>
      <c r="AC1797" s="28">
        <v>819153000</v>
      </c>
      <c r="AD1797" s="28">
        <v>7630453000</v>
      </c>
      <c r="AE1797" s="28">
        <v>12320378000</v>
      </c>
      <c r="AF1797" s="28">
        <v>1906679000</v>
      </c>
      <c r="AG1797" s="11"/>
    </row>
    <row r="1798">
      <c r="A1798" s="7" t="s">
        <v>3502</v>
      </c>
      <c r="B1798" s="5" t="s">
        <v>11489</v>
      </c>
      <c r="C1798" s="5" t="s">
        <v>19348</v>
      </c>
      <c r="D1798" s="5" t="str">
        <v>164508469150</v>
      </c>
      <c r="E1798" s="0" t="e">
        <f>+7 (34768) 25067
+7 (34768) 25105
+7 (34768) 25132
+7 (34768) 25143
+7 (34768) 25156
+7 (34768) 25180
+7 (34768) 25452
+7 (937) 8470168</f>
        <v>#NAME?</v>
      </c>
      <c r="F1798" s="5" t="s">
        <v>30759</v>
      </c>
      <c r="G1798" s="5"/>
      <c r="H1798" s="26">
        <v>14.5</v>
      </c>
      <c r="I1798" s="5" t="s">
        <v>30760</v>
      </c>
      <c r="J1798" s="5" t="s">
        <v>27266</v>
      </c>
      <c r="K1798" s="5" t="s">
        <v>355</v>
      </c>
      <c r="L1798" s="5" t="s">
        <v>30761</v>
      </c>
      <c r="M1798" s="27">
        <v>2006726</v>
      </c>
      <c r="N1798" s="5"/>
      <c r="O1798" s="5" t="str">
        <v>0216006326</v>
      </c>
      <c r="P1798" s="27">
        <v>112000000</v>
      </c>
      <c r="Q1798" s="5"/>
      <c r="R1798" s="5"/>
      <c r="S1798" s="5" t="s">
        <v>49125</v>
      </c>
      <c r="T1798" s="28">
        <v>732548000</v>
      </c>
      <c r="U1798" s="28"/>
      <c r="V1798" s="28">
        <v>1808815000</v>
      </c>
      <c r="W1798" s="28">
        <v>64949000</v>
      </c>
      <c r="X1798" s="28">
        <v>10983000</v>
      </c>
      <c r="Y1798" s="28">
        <v>4240737000</v>
      </c>
      <c r="Z1798" s="28">
        <v>774057000</v>
      </c>
      <c r="AA1798" s="28"/>
      <c r="AB1798" s="28">
        <v>1805287000</v>
      </c>
      <c r="AC1798" s="28">
        <v>3319720000</v>
      </c>
      <c r="AD1798" s="28">
        <v>904901000</v>
      </c>
      <c r="AE1798" s="28">
        <v>6877342000</v>
      </c>
      <c r="AF1798" s="28">
        <v>97506000</v>
      </c>
      <c r="AG1798" s="11"/>
    </row>
    <row r="1799">
      <c r="A1799" s="7" t="s">
        <v>3503</v>
      </c>
      <c r="B1799" s="5" t="s">
        <v>11490</v>
      </c>
      <c r="C1799" s="5" t="s">
        <v>19349</v>
      </c>
      <c r="D1799" s="5" t="str">
        <v>910503295129</v>
      </c>
      <c r="F1799" s="5" t="s">
        <v>30762</v>
      </c>
      <c r="G1799" s="5"/>
      <c r="H1799" s="26">
        <v>9</v>
      </c>
      <c r="I1799" s="5" t="s">
        <v>30763</v>
      </c>
      <c r="J1799" s="5" t="s">
        <v>30764</v>
      </c>
      <c r="K1799" s="5" t="s">
        <v>344</v>
      </c>
      <c r="L1799" s="5" t="s">
        <v>30765</v>
      </c>
      <c r="M1799" s="27"/>
      <c r="N1799" s="5"/>
      <c r="O1799" s="5" t="str">
        <v>9102000260</v>
      </c>
      <c r="P1799" s="27">
        <v>10000</v>
      </c>
      <c r="Q1799" s="5" t="s">
        <v>49009</v>
      </c>
      <c r="R1799" s="5"/>
      <c r="S1799" s="5" t="s">
        <v>52183</v>
      </c>
      <c r="T1799" s="28">
        <v>25713000</v>
      </c>
      <c r="U1799" s="28">
        <v>19400000</v>
      </c>
      <c r="V1799" s="28">
        <v>186857000</v>
      </c>
      <c r="W1799" s="28"/>
      <c r="X1799" s="28">
        <v>8150000</v>
      </c>
      <c r="Y1799" s="28">
        <v>995417000</v>
      </c>
      <c r="Z1799" s="28">
        <v>439640000</v>
      </c>
      <c r="AA1799" s="28"/>
      <c r="AB1799" s="28">
        <v>414918000</v>
      </c>
      <c r="AC1799" s="28">
        <v>546006000</v>
      </c>
      <c r="AD1799" s="28">
        <v>439650000</v>
      </c>
      <c r="AE1799" s="28">
        <v>3756317000</v>
      </c>
      <c r="AF1799" s="28">
        <v>80267000</v>
      </c>
      <c r="AG1799" s="11"/>
    </row>
    <row r="1800">
      <c r="A1800" s="7" t="s">
        <v>3504</v>
      </c>
      <c r="B1800" s="5" t="s">
        <v>11491</v>
      </c>
      <c r="C1800" s="5" t="s">
        <v>18484</v>
      </c>
      <c r="D1800" s="5" t="str">
        <v>312301537968</v>
      </c>
      <c r="E1800" s="0" t="e">
        <f>+7 (910) 3696910
+7 (472) 2232774
+7 (47242) 23207
+7 (47246) 51122
+7 (47246) 52516
+7 (47246) 53210
+7 (47246) 58230
+7 (47246) 58236
+7 (904) 5340166
+7 (910) 301451
+7 (910) 2227440
+7 (910) 3245802
+7 (910) 3656435
+7 (910) 3663626
+7 (915) 5600261</f>
        <v>#NAME?</v>
      </c>
      <c r="F1800" s="5" t="s">
        <v>30766</v>
      </c>
      <c r="G1800" s="5" t="s">
        <v>30767</v>
      </c>
      <c r="H1800" s="26">
        <v>10.5</v>
      </c>
      <c r="I1800" s="5" t="s">
        <v>30768</v>
      </c>
      <c r="J1800" s="5" t="s">
        <v>27115</v>
      </c>
      <c r="K1800" s="5" t="s">
        <v>344</v>
      </c>
      <c r="L1800" s="5"/>
      <c r="M1800" s="27">
        <v>1662000</v>
      </c>
      <c r="N1800" s="5" t="s">
        <v>52184</v>
      </c>
      <c r="O1800" s="5" t="str">
        <v>3103005454</v>
      </c>
      <c r="P1800" s="27">
        <v>10000</v>
      </c>
      <c r="Q1800" s="5" t="s">
        <v>52185</v>
      </c>
      <c r="R1800" s="5"/>
      <c r="S1800" s="5" t="s">
        <v>52186</v>
      </c>
      <c r="T1800" s="28">
        <v>945938000</v>
      </c>
      <c r="U1800" s="28"/>
      <c r="V1800" s="28">
        <v>351476000</v>
      </c>
      <c r="W1800" s="28">
        <v>300850000</v>
      </c>
      <c r="X1800" s="28">
        <v>25880000</v>
      </c>
      <c r="Y1800" s="28">
        <v>1945975000</v>
      </c>
      <c r="Z1800" s="28">
        <v>641823000</v>
      </c>
      <c r="AA1800" s="28"/>
      <c r="AB1800" s="28">
        <v>588010000</v>
      </c>
      <c r="AC1800" s="28">
        <v>1100127000</v>
      </c>
      <c r="AD1800" s="28">
        <v>641833000</v>
      </c>
      <c r="AE1800" s="28">
        <v>4891285000</v>
      </c>
      <c r="AF1800" s="28">
        <v>276188000</v>
      </c>
      <c r="AG1800" s="11"/>
    </row>
    <row r="1801">
      <c r="A1801" s="7" t="s">
        <v>3505</v>
      </c>
      <c r="B1801" s="5" t="s">
        <v>11492</v>
      </c>
      <c r="C1801" s="5" t="s">
        <v>19350</v>
      </c>
      <c r="D1801" s="5" t="str">
        <v>251135274005</v>
      </c>
      <c r="E1801" s="0" t="e">
        <f>+7 (416) 2560865
+7 (914) 5386846
+7 (4234) 333627
+7 (4234) 333631
+7 (4234) 334317
+7 (4234) 373631
+7 (800) 2349990
+7 (902) 768322
+7 (914) 6953422</f>
        <v>#NAME?</v>
      </c>
      <c r="F1801" s="5" t="s">
        <v>30769</v>
      </c>
      <c r="G1801" s="5" t="s">
        <v>30770</v>
      </c>
      <c r="H1801" s="26">
        <v>19</v>
      </c>
      <c r="I1801" s="5" t="s">
        <v>30771</v>
      </c>
      <c r="J1801" s="5" t="s">
        <v>25512</v>
      </c>
      <c r="K1801" s="5" t="s">
        <v>344</v>
      </c>
      <c r="L1801" s="5" t="s">
        <v>30772</v>
      </c>
      <c r="M1801" s="27">
        <v>1897365</v>
      </c>
      <c r="N1801" s="5" t="s">
        <v>52187</v>
      </c>
      <c r="O1801" s="5" t="str">
        <v>2511006278</v>
      </c>
      <c r="P1801" s="27">
        <v>100000</v>
      </c>
      <c r="Q1801" s="5" t="s">
        <v>49009</v>
      </c>
      <c r="R1801" s="5"/>
      <c r="S1801" s="5" t="s">
        <v>49956</v>
      </c>
      <c r="T1801" s="28">
        <v>176303000</v>
      </c>
      <c r="U1801" s="28"/>
      <c r="V1801" s="28">
        <v>1247722000</v>
      </c>
      <c r="W1801" s="28"/>
      <c r="X1801" s="28">
        <v>75321000</v>
      </c>
      <c r="Y1801" s="28">
        <v>2167155000</v>
      </c>
      <c r="Z1801" s="28">
        <v>477587000</v>
      </c>
      <c r="AA1801" s="28">
        <v>105139000</v>
      </c>
      <c r="AB1801" s="28">
        <v>56367000</v>
      </c>
      <c r="AC1801" s="28">
        <v>1557240000</v>
      </c>
      <c r="AD1801" s="28">
        <v>477687000</v>
      </c>
      <c r="AE1801" s="28">
        <v>3672286000</v>
      </c>
      <c r="AF1801" s="28">
        <v>199629000</v>
      </c>
      <c r="AG1801" s="11"/>
    </row>
    <row r="1802">
      <c r="A1802" s="7" t="s">
        <v>3506</v>
      </c>
      <c r="B1802" s="5" t="s">
        <v>11493</v>
      </c>
      <c r="C1802" s="5" t="s">
        <v>19351</v>
      </c>
      <c r="D1802" s="5" t="str">
        <v>410107781403</v>
      </c>
      <c r="E1802" s="0" t="e">
        <f>+7 (415) 2233004
+7 (415) 2468719
+7 (924) 5876621
+7 (415) 2168719
+7 (415) 2168720
+7 (415) 2468720</f>
        <v>#NAME?</v>
      </c>
      <c r="F1802" s="5" t="s">
        <v>30773</v>
      </c>
      <c r="G1802" s="5"/>
      <c r="H1802" s="26">
        <v>28.5</v>
      </c>
      <c r="I1802" s="5" t="s">
        <v>30774</v>
      </c>
      <c r="J1802" s="5" t="s">
        <v>25327</v>
      </c>
      <c r="K1802" s="5" t="s">
        <v>344</v>
      </c>
      <c r="L1802" s="5" t="s">
        <v>30775</v>
      </c>
      <c r="M1802" s="27"/>
      <c r="N1802" s="5" t="s">
        <v>52188</v>
      </c>
      <c r="O1802" s="5" t="str">
        <v>4101007031</v>
      </c>
      <c r="P1802" s="27">
        <v>10000</v>
      </c>
      <c r="Q1802" s="5"/>
      <c r="R1802" s="5"/>
      <c r="S1802" s="5" t="s">
        <v>49110</v>
      </c>
      <c r="T1802" s="28">
        <v>3487000</v>
      </c>
      <c r="U1802" s="28">
        <v>14000</v>
      </c>
      <c r="V1802" s="28">
        <v>2693397000</v>
      </c>
      <c r="W1802" s="28">
        <v>78420000</v>
      </c>
      <c r="X1802" s="28">
        <v>32340000</v>
      </c>
      <c r="Y1802" s="28">
        <v>2827649000</v>
      </c>
      <c r="Z1802" s="28">
        <v>105268000</v>
      </c>
      <c r="AA1802" s="28"/>
      <c r="AB1802" s="28">
        <v>2550000</v>
      </c>
      <c r="AC1802" s="28">
        <v>2722369000</v>
      </c>
      <c r="AD1802" s="28">
        <v>105280000</v>
      </c>
      <c r="AE1802" s="28">
        <v>7826754000</v>
      </c>
      <c r="AF1802" s="28">
        <v>11593000</v>
      </c>
      <c r="AG1802" s="11"/>
    </row>
    <row r="1803">
      <c r="A1803" s="7" t="s">
        <v>3507</v>
      </c>
      <c r="B1803" s="5" t="s">
        <v>11494</v>
      </c>
      <c r="C1803" s="5" t="s">
        <v>19352</v>
      </c>
      <c r="D1803" s="5" t="str">
        <v>421714320636</v>
      </c>
      <c r="E1803" s="0" t="e">
        <f>+7 (421) 2793848
+7 (421) 2324811
+7 (421) 2400622
+7 (421) 2324769
+7 (421) 2400691</f>
        <v>#NAME?</v>
      </c>
      <c r="F1803" s="5" t="s">
        <v>30776</v>
      </c>
      <c r="G1803" s="5"/>
      <c r="H1803" s="26">
        <v>30</v>
      </c>
      <c r="I1803" s="5"/>
      <c r="J1803" s="5" t="s">
        <v>26951</v>
      </c>
      <c r="K1803" s="5" t="s">
        <v>344</v>
      </c>
      <c r="L1803" s="5" t="s">
        <v>30777</v>
      </c>
      <c r="M1803" s="27">
        <v>3220525</v>
      </c>
      <c r="N1803" s="5" t="s">
        <v>52189</v>
      </c>
      <c r="O1803" s="5" t="str">
        <v>2700000070</v>
      </c>
      <c r="P1803" s="27">
        <v>743507718</v>
      </c>
      <c r="Q1803" s="5" t="s">
        <v>52190</v>
      </c>
      <c r="R1803" s="5" t="s">
        <v>52191</v>
      </c>
      <c r="S1803" s="5" t="s">
        <v>52192</v>
      </c>
      <c r="T1803" s="28">
        <v>1173185000</v>
      </c>
      <c r="U1803" s="28">
        <v>22851658000</v>
      </c>
      <c r="V1803" s="28">
        <v>3919895000</v>
      </c>
      <c r="W1803" s="28">
        <v>4776427000</v>
      </c>
      <c r="X1803" s="28">
        <v>7715125000</v>
      </c>
      <c r="Y1803" s="28">
        <v>42102612000</v>
      </c>
      <c r="Z1803" s="28">
        <v>5701054000</v>
      </c>
      <c r="AA1803" s="28">
        <v>18475051000</v>
      </c>
      <c r="AB1803" s="28">
        <v>306751000</v>
      </c>
      <c r="AC1803" s="28">
        <v>1897406000</v>
      </c>
      <c r="AD1803" s="28">
        <v>20268413000</v>
      </c>
      <c r="AE1803" s="28">
        <v>5006435000</v>
      </c>
      <c r="AF1803" s="28">
        <v>5796088000</v>
      </c>
      <c r="AG1803" s="11"/>
    </row>
    <row r="1804">
      <c r="A1804" s="7" t="s">
        <v>3508</v>
      </c>
      <c r="B1804" s="5" t="s">
        <v>11495</v>
      </c>
      <c r="C1804" s="5" t="s">
        <v>19353</v>
      </c>
      <c r="D1804" s="5" t="str">
        <v>254001128400</v>
      </c>
      <c r="E1804" s="0" t="e">
        <f>+7 (904) 6288774</f>
        <v>#NAME?</v>
      </c>
      <c r="F1804" s="5" t="s">
        <v>30778</v>
      </c>
      <c r="G1804" s="5"/>
      <c r="H1804" s="26">
        <v>2.5</v>
      </c>
      <c r="I1804" s="5" t="s">
        <v>30779</v>
      </c>
      <c r="J1804" s="5" t="s">
        <v>671</v>
      </c>
      <c r="K1804" s="5" t="s">
        <v>344</v>
      </c>
      <c r="L1804" s="5"/>
      <c r="M1804" s="27"/>
      <c r="N1804" s="5"/>
      <c r="O1804" s="5" t="str">
        <v>2503037628</v>
      </c>
      <c r="P1804" s="27">
        <v>1000000</v>
      </c>
      <c r="Q1804" s="5"/>
      <c r="R1804" s="5"/>
      <c r="S1804" s="5" t="s">
        <v>49121</v>
      </c>
      <c r="T1804" s="28">
        <v>185024000</v>
      </c>
      <c r="U1804" s="28"/>
      <c r="V1804" s="28">
        <v>1077862000</v>
      </c>
      <c r="W1804" s="28"/>
      <c r="X1804" s="28">
        <v>133629000</v>
      </c>
      <c r="Y1804" s="28">
        <v>1652490000</v>
      </c>
      <c r="Z1804" s="28">
        <v>144940000</v>
      </c>
      <c r="AA1804" s="28"/>
      <c r="AB1804" s="28"/>
      <c r="AC1804" s="28">
        <v>1342524000</v>
      </c>
      <c r="AD1804" s="28">
        <v>145940000</v>
      </c>
      <c r="AE1804" s="28">
        <v>9215203000</v>
      </c>
      <c r="AF1804" s="28">
        <v>164780000</v>
      </c>
      <c r="AG1804" s="11"/>
    </row>
    <row r="1805">
      <c r="A1805" s="7" t="s">
        <v>3509</v>
      </c>
      <c r="B1805" s="5" t="s">
        <v>11496</v>
      </c>
      <c r="C1805" s="5" t="s">
        <v>19354</v>
      </c>
      <c r="D1805" s="5" t="str">
        <v>272308724031</v>
      </c>
      <c r="E1805" s="0" t="e">
        <f>+7 (421) 2326177
+7 (421) 2326606
+7 (421) 2326607</f>
        <v>#NAME?</v>
      </c>
      <c r="F1805" s="5"/>
      <c r="G1805" s="5"/>
      <c r="H1805" s="26">
        <v>13</v>
      </c>
      <c r="I1805" s="5" t="s">
        <v>30780</v>
      </c>
      <c r="J1805" s="5" t="s">
        <v>26424</v>
      </c>
      <c r="K1805" s="5" t="s">
        <v>344</v>
      </c>
      <c r="L1805" s="5" t="s">
        <v>30781</v>
      </c>
      <c r="M1805" s="27"/>
      <c r="N1805" s="5"/>
      <c r="O1805" s="5" t="str">
        <v>2722090350</v>
      </c>
      <c r="P1805" s="27">
        <v>10000</v>
      </c>
      <c r="Q1805" s="5"/>
      <c r="R1805" s="5" t="s">
        <v>50532</v>
      </c>
      <c r="S1805" s="5" t="s">
        <v>49029</v>
      </c>
      <c r="T1805" s="28">
        <v>3049891000</v>
      </c>
      <c r="U1805" s="28"/>
      <c r="V1805" s="28">
        <v>3354925000</v>
      </c>
      <c r="W1805" s="28">
        <v>108855000</v>
      </c>
      <c r="X1805" s="28">
        <v>412404000</v>
      </c>
      <c r="Y1805" s="28">
        <v>15686544000</v>
      </c>
      <c r="Z1805" s="28">
        <v>10820419000</v>
      </c>
      <c r="AA1805" s="28">
        <v>4679054000</v>
      </c>
      <c r="AB1805" s="28">
        <v>2990000</v>
      </c>
      <c r="AC1805" s="28">
        <v>187061000</v>
      </c>
      <c r="AD1805" s="28">
        <v>10820429000</v>
      </c>
      <c r="AE1805" s="28">
        <v>7374096000</v>
      </c>
      <c r="AF1805" s="28">
        <v>4730638000</v>
      </c>
      <c r="AG1805" s="11"/>
    </row>
    <row r="1806">
      <c r="A1806" s="7" t="s">
        <v>3510</v>
      </c>
      <c r="B1806" s="5" t="s">
        <v>11497</v>
      </c>
      <c r="C1806" s="5" t="s">
        <v>19355</v>
      </c>
      <c r="D1806" s="5" t="str">
        <v>272308655268</v>
      </c>
      <c r="E1806" s="0" t="e">
        <f>+7 (421) 2221517
+7 (421) 2420671
+7 (421) 2420672
+7 (421) 2420674
+7 (421) 2420675
+7 (842) 1242067</f>
        <v>#NAME?</v>
      </c>
      <c r="F1806" s="5" t="s">
        <v>30782</v>
      </c>
      <c r="G1806" s="5" t="s">
        <v>30783</v>
      </c>
      <c r="H1806" s="26">
        <v>29.5</v>
      </c>
      <c r="I1806" s="5"/>
      <c r="J1806" s="5" t="s">
        <v>26499</v>
      </c>
      <c r="K1806" s="5" t="s">
        <v>344</v>
      </c>
      <c r="L1806" s="5" t="s">
        <v>30784</v>
      </c>
      <c r="M1806" s="27"/>
      <c r="N1806" s="5"/>
      <c r="O1806" s="5" t="str">
        <v>2721034257</v>
      </c>
      <c r="P1806" s="27">
        <v>21000000</v>
      </c>
      <c r="Q1806" s="5" t="s">
        <v>49009</v>
      </c>
      <c r="R1806" s="5"/>
      <c r="S1806" s="5" t="s">
        <v>49045</v>
      </c>
      <c r="T1806" s="28">
        <v>683057000</v>
      </c>
      <c r="U1806" s="28">
        <v>17163000</v>
      </c>
      <c r="V1806" s="28">
        <v>36414000</v>
      </c>
      <c r="W1806" s="28"/>
      <c r="X1806" s="28">
        <v>126503000</v>
      </c>
      <c r="Y1806" s="28">
        <v>4575339000</v>
      </c>
      <c r="Z1806" s="28">
        <v>4261381000</v>
      </c>
      <c r="AA1806" s="28"/>
      <c r="AB1806" s="28"/>
      <c r="AC1806" s="28">
        <v>117838000</v>
      </c>
      <c r="AD1806" s="28">
        <v>4285531000</v>
      </c>
      <c r="AE1806" s="28">
        <v>5045341000</v>
      </c>
      <c r="AF1806" s="28">
        <v>1553703000</v>
      </c>
      <c r="AG1806" s="11"/>
    </row>
    <row r="1807">
      <c r="A1807" s="7" t="s">
        <v>3511</v>
      </c>
      <c r="B1807" s="5" t="s">
        <v>11498</v>
      </c>
      <c r="C1807" s="5" t="s">
        <v>19356</v>
      </c>
      <c r="D1807" s="5" t="str">
        <v>660403603831</v>
      </c>
      <c r="E1807" s="0" t="e">
        <f>+7 (42373) 34341
+7 (42373) 36222
+7 (914) 7000065
+7 (924) 1244220</f>
        <v>#NAME?</v>
      </c>
      <c r="F1807" s="5" t="s">
        <v>30785</v>
      </c>
      <c r="G1807" s="5"/>
      <c r="H1807" s="26">
        <v>9</v>
      </c>
      <c r="I1807" s="5" t="s">
        <v>30786</v>
      </c>
      <c r="J1807" s="5" t="s">
        <v>28418</v>
      </c>
      <c r="K1807" s="5" t="s">
        <v>380</v>
      </c>
      <c r="L1807" s="5"/>
      <c r="M1807" s="27">
        <v>2837260411</v>
      </c>
      <c r="N1807" s="5" t="s">
        <v>52193</v>
      </c>
      <c r="O1807" s="5" t="str">
        <v>7718957575</v>
      </c>
      <c r="P1807" s="27">
        <v>10000</v>
      </c>
      <c r="Q1807" s="5"/>
      <c r="R1807" s="5" t="s">
        <v>52195</v>
      </c>
      <c r="S1807" s="5" t="s">
        <v>50509</v>
      </c>
      <c r="T1807" s="28">
        <v>58427000</v>
      </c>
      <c r="U1807" s="28">
        <v>71000000</v>
      </c>
      <c r="V1807" s="28">
        <v>427841000</v>
      </c>
      <c r="W1807" s="28"/>
      <c r="X1807" s="28">
        <v>29000</v>
      </c>
      <c r="Y1807" s="28">
        <v>1519290000</v>
      </c>
      <c r="Z1807" s="28">
        <v>-2210177000</v>
      </c>
      <c r="AA1807" s="28"/>
      <c r="AB1807" s="28">
        <v>46618000</v>
      </c>
      <c r="AC1807" s="28">
        <v>3676902000</v>
      </c>
      <c r="AD1807" s="28">
        <v>-2210167000</v>
      </c>
      <c r="AE1807" s="28">
        <v>3822508000</v>
      </c>
      <c r="AF1807" s="28">
        <v>-535249000</v>
      </c>
      <c r="AG1807" s="11"/>
    </row>
    <row r="1808">
      <c r="A1808" s="7" t="s">
        <v>3512</v>
      </c>
      <c r="B1808" s="5" t="s">
        <v>11499</v>
      </c>
      <c r="C1808" s="5" t="s">
        <v>19357</v>
      </c>
      <c r="D1808" s="5" t="str">
        <v>780715944624</v>
      </c>
      <c r="E1808" s="0" t="e">
        <f>+7 (495) 6408960
+7 (495) 9025092
+7 (495) 9214841
+7 (812) 6763789
+7 (903) 7906127</f>
        <v>#NAME?</v>
      </c>
      <c r="F1808" s="5" t="s">
        <v>30787</v>
      </c>
      <c r="G1808" s="5" t="s">
        <v>30788</v>
      </c>
      <c r="H1808" s="26">
        <v>9</v>
      </c>
      <c r="I1808" s="5" t="s">
        <v>30789</v>
      </c>
      <c r="J1808" s="5" t="s">
        <v>373</v>
      </c>
      <c r="K1808" s="5" t="s">
        <v>344</v>
      </c>
      <c r="L1808" s="5" t="s">
        <v>30790</v>
      </c>
      <c r="M1808" s="27">
        <v>1023700</v>
      </c>
      <c r="N1808" s="5"/>
      <c r="O1808" s="5" t="str">
        <v>7704851152</v>
      </c>
      <c r="P1808" s="27">
        <v>5000000</v>
      </c>
      <c r="Q1808" s="5" t="s">
        <v>49057</v>
      </c>
      <c r="R1808" s="5"/>
      <c r="S1808" s="5" t="s">
        <v>52196</v>
      </c>
      <c r="T1808" s="28">
        <v>5063000</v>
      </c>
      <c r="U1808" s="28">
        <v>53939000</v>
      </c>
      <c r="V1808" s="28">
        <v>1344575000</v>
      </c>
      <c r="W1808" s="28">
        <v>162734000</v>
      </c>
      <c r="X1808" s="28">
        <v>70608000</v>
      </c>
      <c r="Y1808" s="28">
        <v>1730049000</v>
      </c>
      <c r="Z1808" s="28">
        <v>180904000</v>
      </c>
      <c r="AA1808" s="28"/>
      <c r="AB1808" s="28">
        <v>53622000</v>
      </c>
      <c r="AC1808" s="28">
        <v>1538769000</v>
      </c>
      <c r="AD1808" s="28">
        <v>185904000</v>
      </c>
      <c r="AE1808" s="28">
        <v>7346120000</v>
      </c>
      <c r="AF1808" s="28">
        <v>1518000</v>
      </c>
      <c r="AG1808" s="11"/>
    </row>
    <row r="1809">
      <c r="A1809" s="7" t="s">
        <v>3513</v>
      </c>
      <c r="B1809" s="5" t="s">
        <v>11500</v>
      </c>
      <c r="C1809" s="5" t="s">
        <v>19358</v>
      </c>
      <c r="D1809" s="5" t="str">
        <v>301804577550</v>
      </c>
      <c r="E1809" s="0" t="e">
        <f>+7 (925) 491919</f>
        <v>#NAME?</v>
      </c>
      <c r="F1809" s="5" t="s">
        <v>30791</v>
      </c>
      <c r="G1809" s="5"/>
      <c r="H1809" s="26">
        <v>6.5</v>
      </c>
      <c r="I1809" s="5" t="s">
        <v>30654</v>
      </c>
      <c r="J1809" s="5" t="s">
        <v>364</v>
      </c>
      <c r="K1809" s="5" t="s">
        <v>380</v>
      </c>
      <c r="L1809" s="5"/>
      <c r="M1809" s="27">
        <v>164637054</v>
      </c>
      <c r="N1809" s="5"/>
      <c r="O1809" s="5" t="str">
        <v>7810618944</v>
      </c>
      <c r="P1809" s="27">
        <v>10000</v>
      </c>
      <c r="Q1809" s="5" t="s">
        <v>52198</v>
      </c>
      <c r="R1809" s="5"/>
      <c r="S1809" s="5" t="s">
        <v>52199</v>
      </c>
      <c r="T1809" s="28">
        <v>1303193000</v>
      </c>
      <c r="U1809" s="28"/>
      <c r="V1809" s="28">
        <v>7993293000</v>
      </c>
      <c r="W1809" s="28"/>
      <c r="X1809" s="28">
        <v>239466000</v>
      </c>
      <c r="Y1809" s="28">
        <v>15082564000</v>
      </c>
      <c r="Z1809" s="28">
        <v>-3033543000</v>
      </c>
      <c r="AA1809" s="28">
        <v>4346541000</v>
      </c>
      <c r="AB1809" s="28">
        <v>510775000</v>
      </c>
      <c r="AC1809" s="28">
        <v>12141160000</v>
      </c>
      <c r="AD1809" s="28">
        <v>-3033533000</v>
      </c>
      <c r="AE1809" s="28">
        <v>10152682000</v>
      </c>
      <c r="AF1809" s="28">
        <v>194030000</v>
      </c>
      <c r="AG1809" s="11"/>
    </row>
    <row r="1810">
      <c r="A1810" s="7" t="s">
        <v>3514</v>
      </c>
      <c r="B1810" s="5" t="s">
        <v>11501</v>
      </c>
      <c r="C1810" s="5" t="s">
        <v>19359</v>
      </c>
      <c r="D1810" s="5" t="str">
        <v>644604122498</v>
      </c>
      <c r="E1810" s="0" t="e">
        <f>+7 (423) 2300045
+7 (4232) 495969
+7 (4232) 610510
+7 (800) 7377788</f>
        <v>#NAME?</v>
      </c>
      <c r="F1810" s="5" t="s">
        <v>30792</v>
      </c>
      <c r="G1810" s="5"/>
      <c r="H1810" s="26">
        <v>24.5</v>
      </c>
      <c r="I1810" s="5" t="s">
        <v>30793</v>
      </c>
      <c r="J1810" s="5" t="s">
        <v>599</v>
      </c>
      <c r="K1810" s="5" t="s">
        <v>355</v>
      </c>
      <c r="L1810" s="5" t="s">
        <v>30794</v>
      </c>
      <c r="M1810" s="27">
        <v>5662624</v>
      </c>
      <c r="N1810" s="5" t="s">
        <v>52200</v>
      </c>
      <c r="O1810" s="5" t="str">
        <v>2538051310</v>
      </c>
      <c r="P1810" s="27">
        <v>432448397</v>
      </c>
      <c r="Q1810" s="5" t="s">
        <v>49009</v>
      </c>
      <c r="R1810" s="5"/>
      <c r="S1810" s="5" t="s">
        <v>49545</v>
      </c>
      <c r="T1810" s="28">
        <v>4272687000</v>
      </c>
      <c r="U1810" s="28"/>
      <c r="V1810" s="28">
        <v>1245573000</v>
      </c>
      <c r="W1810" s="28"/>
      <c r="X1810" s="28">
        <v>116380000</v>
      </c>
      <c r="Y1810" s="28">
        <v>5884106000</v>
      </c>
      <c r="Z1810" s="28">
        <v>1120167000</v>
      </c>
      <c r="AA1810" s="28">
        <v>1490458000</v>
      </c>
      <c r="AB1810" s="28">
        <v>4380000</v>
      </c>
      <c r="AC1810" s="28">
        <v>2632480000</v>
      </c>
      <c r="AD1810" s="28">
        <v>1581677000</v>
      </c>
      <c r="AE1810" s="28">
        <v>7811469000</v>
      </c>
      <c r="AF1810" s="28">
        <v>809276000</v>
      </c>
      <c r="AG1810" s="11"/>
    </row>
    <row r="1811">
      <c r="A1811" s="7" t="s">
        <v>3515</v>
      </c>
      <c r="B1811" s="5" t="s">
        <v>11502</v>
      </c>
      <c r="C1811" s="5" t="s">
        <v>19360</v>
      </c>
      <c r="D1811" s="5"/>
      <c r="E1811" s="0" t="e">
        <f>+7 (42137) 75546
+7 (42137) 54111</f>
        <v>#NAME?</v>
      </c>
      <c r="F1811" s="5" t="s">
        <v>30795</v>
      </c>
      <c r="G1811" s="5" t="s">
        <v>30796</v>
      </c>
      <c r="H1811" s="26">
        <v>14</v>
      </c>
      <c r="I1811" s="5" t="s">
        <v>30797</v>
      </c>
      <c r="J1811" s="5" t="s">
        <v>26905</v>
      </c>
      <c r="K1811" s="5" t="s">
        <v>344</v>
      </c>
      <c r="L1811" s="5" t="s">
        <v>30798</v>
      </c>
      <c r="M1811" s="27">
        <v>32635802</v>
      </c>
      <c r="N1811" s="5"/>
      <c r="O1811" s="5" t="str">
        <v>2709006503</v>
      </c>
      <c r="P1811" s="27">
        <v>2000000000</v>
      </c>
      <c r="Q1811" s="5" t="s">
        <v>52201</v>
      </c>
      <c r="R1811" s="5"/>
      <c r="S1811" s="5" t="s">
        <v>49743</v>
      </c>
      <c r="T1811" s="28">
        <v>12919685000</v>
      </c>
      <c r="U1811" s="28">
        <v>350899000</v>
      </c>
      <c r="V1811" s="28">
        <v>1767608000</v>
      </c>
      <c r="W1811" s="28">
        <v>1819677000</v>
      </c>
      <c r="X1811" s="28">
        <v>1735000</v>
      </c>
      <c r="Y1811" s="28">
        <v>17843538000</v>
      </c>
      <c r="Z1811" s="28">
        <v>5391683000</v>
      </c>
      <c r="AA1811" s="28">
        <v>8879684000</v>
      </c>
      <c r="AB1811" s="28">
        <v>79139000</v>
      </c>
      <c r="AC1811" s="28">
        <v>707947000</v>
      </c>
      <c r="AD1811" s="28">
        <v>7495606000</v>
      </c>
      <c r="AE1811" s="28">
        <v>7668265000</v>
      </c>
      <c r="AF1811" s="28">
        <v>2791331000</v>
      </c>
      <c r="AG1811" s="11"/>
    </row>
    <row r="1812">
      <c r="A1812" s="7" t="s">
        <v>3516</v>
      </c>
      <c r="B1812" s="5" t="s">
        <v>11503</v>
      </c>
      <c r="C1812" s="5" t="s">
        <v>19361</v>
      </c>
      <c r="D1812" s="5"/>
      <c r="F1812" s="5" t="s">
        <v>30799</v>
      </c>
      <c r="G1812" s="5"/>
      <c r="H1812" s="26">
        <v>18</v>
      </c>
      <c r="I1812" s="5" t="s">
        <v>30800</v>
      </c>
      <c r="J1812" s="5" t="s">
        <v>26499</v>
      </c>
      <c r="K1812" s="5" t="s">
        <v>355</v>
      </c>
      <c r="L1812" s="5"/>
      <c r="M1812" s="27">
        <v>2562985</v>
      </c>
      <c r="N1812" s="5" t="s">
        <v>52202</v>
      </c>
      <c r="O1812" s="5" t="str">
        <v>7713553770</v>
      </c>
      <c r="P1812" s="27">
        <v>220000000</v>
      </c>
      <c r="Q1812" s="5" t="s">
        <v>49009</v>
      </c>
      <c r="R1812" s="5"/>
      <c r="S1812" s="5" t="s">
        <v>49545</v>
      </c>
      <c r="T1812" s="28">
        <v>12222003000</v>
      </c>
      <c r="U1812" s="28">
        <v>1812273000</v>
      </c>
      <c r="V1812" s="28">
        <v>786878000</v>
      </c>
      <c r="W1812" s="28"/>
      <c r="X1812" s="28">
        <v>377262000</v>
      </c>
      <c r="Y1812" s="28">
        <v>19570253000</v>
      </c>
      <c r="Z1812" s="28">
        <v>6741561000</v>
      </c>
      <c r="AA1812" s="28">
        <v>6141273000</v>
      </c>
      <c r="AB1812" s="28">
        <v>4365052000</v>
      </c>
      <c r="AC1812" s="28">
        <v>5607150000</v>
      </c>
      <c r="AD1812" s="28">
        <v>7103023000</v>
      </c>
      <c r="AE1812" s="28">
        <v>10300383000</v>
      </c>
      <c r="AF1812" s="28">
        <v>3222425000</v>
      </c>
      <c r="AG1812" s="11"/>
    </row>
    <row r="1813">
      <c r="A1813" s="7" t="s">
        <v>3517</v>
      </c>
      <c r="B1813" s="5" t="s">
        <v>11504</v>
      </c>
      <c r="C1813" s="5" t="s">
        <v>19362</v>
      </c>
      <c r="D1813" s="5" t="str">
        <v>770404987996</v>
      </c>
      <c r="E1813" s="0" t="e">
        <f>+7 (495) 1399400
+7 (495) 7972200
+7 (495) 9357950
+7 (495) 9357951</f>
        <v>#NAME?</v>
      </c>
      <c r="F1813" s="5" t="s">
        <v>30801</v>
      </c>
      <c r="G1813" s="5" t="s">
        <v>30802</v>
      </c>
      <c r="H1813" s="26">
        <v>20.5</v>
      </c>
      <c r="I1813" s="5"/>
      <c r="J1813" s="5" t="s">
        <v>678</v>
      </c>
      <c r="K1813" s="5" t="s">
        <v>344</v>
      </c>
      <c r="L1813" s="5" t="s">
        <v>30803</v>
      </c>
      <c r="M1813" s="27"/>
      <c r="N1813" s="5"/>
      <c r="O1813" s="5" t="str">
        <v>7736133436</v>
      </c>
      <c r="P1813" s="27">
        <v>264300</v>
      </c>
      <c r="Q1813" s="5" t="s">
        <v>49009</v>
      </c>
      <c r="R1813" s="5"/>
      <c r="S1813" s="5" t="s">
        <v>49045</v>
      </c>
      <c r="T1813" s="28">
        <v>63355000</v>
      </c>
      <c r="U1813" s="28"/>
      <c r="V1813" s="28">
        <v>1058561000</v>
      </c>
      <c r="W1813" s="28"/>
      <c r="X1813" s="28">
        <v>459253000</v>
      </c>
      <c r="Y1813" s="28">
        <v>2540404000</v>
      </c>
      <c r="Z1813" s="28">
        <v>2154903000</v>
      </c>
      <c r="AA1813" s="28"/>
      <c r="AB1813" s="28"/>
      <c r="AC1813" s="28">
        <v>299514000</v>
      </c>
      <c r="AD1813" s="28">
        <v>2155239000</v>
      </c>
      <c r="AE1813" s="28">
        <v>4880484000</v>
      </c>
      <c r="AF1813" s="28">
        <v>198978000</v>
      </c>
      <c r="AG1813" s="11"/>
    </row>
    <row r="1814">
      <c r="A1814" s="7" t="s">
        <v>3518</v>
      </c>
      <c r="B1814" s="5" t="s">
        <v>11505</v>
      </c>
      <c r="C1814" s="5" t="s">
        <v>19363</v>
      </c>
      <c r="D1814" s="5" t="str">
        <v>161202509160</v>
      </c>
      <c r="F1814" s="5"/>
      <c r="G1814" s="5"/>
      <c r="H1814" s="26">
        <v>4</v>
      </c>
      <c r="I1814" s="5" t="s">
        <v>30804</v>
      </c>
      <c r="J1814" s="5" t="s">
        <v>25253</v>
      </c>
      <c r="K1814" s="5" t="s">
        <v>344</v>
      </c>
      <c r="L1814" s="5" t="s">
        <v>30805</v>
      </c>
      <c r="M1814" s="27"/>
      <c r="N1814" s="5"/>
      <c r="O1814" s="5" t="str">
        <v>1660322817</v>
      </c>
      <c r="P1814" s="27">
        <v>1000000</v>
      </c>
      <c r="Q1814" s="5" t="s">
        <v>52203</v>
      </c>
      <c r="R1814" s="5"/>
      <c r="S1814" s="5" t="s">
        <v>52204</v>
      </c>
      <c r="T1814" s="28">
        <v>45625000</v>
      </c>
      <c r="U1814" s="28"/>
      <c r="V1814" s="28">
        <v>865939000</v>
      </c>
      <c r="W1814" s="28">
        <v>18250000</v>
      </c>
      <c r="X1814" s="28">
        <v>45038000</v>
      </c>
      <c r="Y1814" s="28">
        <v>1271551000</v>
      </c>
      <c r="Z1814" s="28">
        <v>315243000</v>
      </c>
      <c r="AA1814" s="28">
        <v>140249000</v>
      </c>
      <c r="AB1814" s="28">
        <v>590233000</v>
      </c>
      <c r="AC1814" s="28">
        <v>787249000</v>
      </c>
      <c r="AD1814" s="28">
        <v>316243000</v>
      </c>
      <c r="AE1814" s="28">
        <v>7080743000</v>
      </c>
      <c r="AF1814" s="28">
        <v>139901000</v>
      </c>
      <c r="AG1814" s="11"/>
    </row>
    <row r="1815">
      <c r="A1815" s="7" t="s">
        <v>3519</v>
      </c>
      <c r="B1815" s="5" t="s">
        <v>11506</v>
      </c>
      <c r="C1815" s="5" t="s">
        <v>19364</v>
      </c>
      <c r="D1815" s="5" t="str">
        <v>771481534791</v>
      </c>
      <c r="E1815" s="0" t="e">
        <f>+7 (3422) 689080
+7 (382) 2440490
+7 (382) 2443400
+7 (481) 2663481
+7 (481) 2667247
+7 (481) 2668018
+7 (494) 2343836
+7 (494) 2347711
+7 (494) 2411061
+7 (494) 2496086
+7 (495) 4456605
+7 (495) 4588080
+7 (495) 7756605
+7 (495) 7756606
+7 (495) 7756608</f>
        <v>#NAME?</v>
      </c>
      <c r="F1815" s="5" t="s">
        <v>30806</v>
      </c>
      <c r="G1815" s="5" t="s">
        <v>30807</v>
      </c>
      <c r="H1815" s="26">
        <v>17.5</v>
      </c>
      <c r="I1815" s="5"/>
      <c r="J1815" s="5" t="s">
        <v>25499</v>
      </c>
      <c r="K1815" s="5" t="s">
        <v>344</v>
      </c>
      <c r="L1815" s="5" t="s">
        <v>30808</v>
      </c>
      <c r="M1815" s="27">
        <v>54387500</v>
      </c>
      <c r="N1815" s="5" t="s">
        <v>52205</v>
      </c>
      <c r="O1815" s="5" t="str">
        <v>7714626332</v>
      </c>
      <c r="P1815" s="27">
        <v>832925780</v>
      </c>
      <c r="Q1815" s="5" t="s">
        <v>49009</v>
      </c>
      <c r="R1815" s="5"/>
      <c r="S1815" s="5" t="s">
        <v>49576</v>
      </c>
      <c r="T1815" s="28">
        <v>20064555000</v>
      </c>
      <c r="U1815" s="28">
        <v>10173268000</v>
      </c>
      <c r="V1815" s="28">
        <v>8721717000</v>
      </c>
      <c r="W1815" s="28">
        <v>970000</v>
      </c>
      <c r="X1815" s="28">
        <v>13295720000</v>
      </c>
      <c r="Y1815" s="28">
        <v>58894517000</v>
      </c>
      <c r="Z1815" s="28">
        <v>20607503000</v>
      </c>
      <c r="AA1815" s="28"/>
      <c r="AB1815" s="28">
        <v>14142389000</v>
      </c>
      <c r="AC1815" s="28">
        <v>35855228000</v>
      </c>
      <c r="AD1815" s="28">
        <v>21524986000</v>
      </c>
      <c r="AE1815" s="28">
        <v>92882685000</v>
      </c>
      <c r="AF1815" s="28">
        <v>5571825000</v>
      </c>
      <c r="AG1815" s="11"/>
    </row>
    <row r="1816">
      <c r="A1816" s="7" t="s">
        <v>3520</v>
      </c>
      <c r="B1816" s="5" t="s">
        <v>11507</v>
      </c>
      <c r="C1816" s="5" t="s">
        <v>19364</v>
      </c>
      <c r="D1816" s="5" t="str">
        <v>771481534791</v>
      </c>
      <c r="E1816" s="0" t="e">
        <f>+7 (495) 7756605
+7 (495) 7779040</f>
        <v>#NAME?</v>
      </c>
      <c r="F1816" s="5" t="s">
        <v>30809</v>
      </c>
      <c r="G1816" s="5"/>
      <c r="H1816" s="26">
        <v>11.5</v>
      </c>
      <c r="I1816" s="5" t="s">
        <v>30810</v>
      </c>
      <c r="J1816" s="5" t="s">
        <v>30764</v>
      </c>
      <c r="K1816" s="5" t="s">
        <v>344</v>
      </c>
      <c r="L1816" s="5" t="s">
        <v>30811</v>
      </c>
      <c r="M1816" s="27">
        <v>1464215</v>
      </c>
      <c r="N1816" s="5" t="s">
        <v>52206</v>
      </c>
      <c r="O1816" s="5" t="str">
        <v>5024121469</v>
      </c>
      <c r="P1816" s="27">
        <v>100000000</v>
      </c>
      <c r="Q1816" s="5" t="s">
        <v>52207</v>
      </c>
      <c r="R1816" s="5"/>
      <c r="S1816" s="5" t="s">
        <v>50630</v>
      </c>
      <c r="T1816" s="28">
        <v>1444605000</v>
      </c>
      <c r="U1816" s="28">
        <v>417187000</v>
      </c>
      <c r="V1816" s="28">
        <v>6384621000</v>
      </c>
      <c r="W1816" s="28">
        <v>4765451000</v>
      </c>
      <c r="X1816" s="28">
        <v>416113000</v>
      </c>
      <c r="Y1816" s="28">
        <v>17223461000</v>
      </c>
      <c r="Z1816" s="28">
        <v>3046393000</v>
      </c>
      <c r="AA1816" s="28"/>
      <c r="AB1816" s="28">
        <v>2061000</v>
      </c>
      <c r="AC1816" s="28">
        <v>13549801000</v>
      </c>
      <c r="AD1816" s="28">
        <v>3146393000</v>
      </c>
      <c r="AE1816" s="28">
        <v>112673064000</v>
      </c>
      <c r="AF1816" s="28">
        <v>612744000</v>
      </c>
      <c r="AG1816" s="11"/>
    </row>
    <row r="1817">
      <c r="A1817" s="7" t="s">
        <v>3521</v>
      </c>
      <c r="B1817" s="5" t="s">
        <v>11508</v>
      </c>
      <c r="C1817" s="5" t="s">
        <v>19365</v>
      </c>
      <c r="D1817" s="5" t="str">
        <v>253709281160</v>
      </c>
      <c r="F1817" s="5" t="s">
        <v>30812</v>
      </c>
      <c r="G1817" s="5" t="s">
        <v>30813</v>
      </c>
      <c r="H1817" s="26">
        <v>9.5</v>
      </c>
      <c r="I1817" s="5" t="s">
        <v>30814</v>
      </c>
      <c r="J1817" s="5" t="s">
        <v>30764</v>
      </c>
      <c r="K1817" s="5" t="s">
        <v>344</v>
      </c>
      <c r="L1817" s="5" t="s">
        <v>30815</v>
      </c>
      <c r="M1817" s="27"/>
      <c r="N1817" s="5" t="s">
        <v>52208</v>
      </c>
      <c r="O1817" s="5" t="str">
        <v>7805627816</v>
      </c>
      <c r="P1817" s="27">
        <v>20000</v>
      </c>
      <c r="Q1817" s="5" t="s">
        <v>49009</v>
      </c>
      <c r="R1817" s="5"/>
      <c r="S1817" s="5" t="s">
        <v>49028</v>
      </c>
      <c r="T1817" s="28">
        <v>13250000</v>
      </c>
      <c r="U1817" s="28"/>
      <c r="V1817" s="28">
        <v>658968000</v>
      </c>
      <c r="W1817" s="28">
        <v>39880000</v>
      </c>
      <c r="X1817" s="28">
        <v>4074000</v>
      </c>
      <c r="Y1817" s="28">
        <v>746786000</v>
      </c>
      <c r="Z1817" s="28">
        <v>395443000</v>
      </c>
      <c r="AA1817" s="28"/>
      <c r="AB1817" s="28"/>
      <c r="AC1817" s="28">
        <v>349579000</v>
      </c>
      <c r="AD1817" s="28">
        <v>395463000</v>
      </c>
      <c r="AE1817" s="28">
        <v>8040845000</v>
      </c>
      <c r="AF1817" s="28">
        <v>66617000</v>
      </c>
      <c r="AG1817" s="11"/>
    </row>
    <row r="1818">
      <c r="A1818" s="7" t="s">
        <v>3522</v>
      </c>
      <c r="B1818" s="5" t="s">
        <v>11509</v>
      </c>
      <c r="C1818" s="5" t="s">
        <v>19366</v>
      </c>
      <c r="D1818" s="5" t="str">
        <v>770802404040</v>
      </c>
      <c r="E1818" s="0" t="e">
        <f>+7 (495) 7858514
+7 (495) 7846505
+7 (495) 7846506
+7 (800) 2506510</f>
        <v>#NAME?</v>
      </c>
      <c r="F1818" s="5" t="s">
        <v>30816</v>
      </c>
      <c r="G1818" s="5"/>
      <c r="H1818" s="26">
        <v>15.5</v>
      </c>
      <c r="I1818" s="5" t="s">
        <v>30817</v>
      </c>
      <c r="J1818" s="5" t="s">
        <v>25199</v>
      </c>
      <c r="K1818" s="5" t="s">
        <v>344</v>
      </c>
      <c r="L1818" s="5" t="s">
        <v>30818</v>
      </c>
      <c r="M1818" s="27"/>
      <c r="N1818" s="5" t="s">
        <v>52209</v>
      </c>
      <c r="O1818" s="5" t="str">
        <v>7722624970</v>
      </c>
      <c r="P1818" s="27">
        <v>257510000</v>
      </c>
      <c r="Q1818" s="5" t="s">
        <v>52210</v>
      </c>
      <c r="R1818" s="5"/>
      <c r="S1818" s="5" t="s">
        <v>52211</v>
      </c>
      <c r="T1818" s="28">
        <v>10024548000</v>
      </c>
      <c r="U1818" s="28">
        <v>90000</v>
      </c>
      <c r="V1818" s="28">
        <v>1156275000</v>
      </c>
      <c r="W1818" s="28"/>
      <c r="X1818" s="28">
        <v>1659894000</v>
      </c>
      <c r="Y1818" s="28">
        <v>13509498000</v>
      </c>
      <c r="Z1818" s="28">
        <v>6925560000</v>
      </c>
      <c r="AA1818" s="28"/>
      <c r="AB1818" s="28">
        <v>2704839000</v>
      </c>
      <c r="AC1818" s="28">
        <v>4282737000</v>
      </c>
      <c r="AD1818" s="28">
        <v>7183070000</v>
      </c>
      <c r="AE1818" s="28">
        <v>9226778000</v>
      </c>
      <c r="AF1818" s="28">
        <v>1899049000</v>
      </c>
      <c r="AG1818" s="11"/>
    </row>
    <row r="1819">
      <c r="A1819" s="7" t="s">
        <v>3523</v>
      </c>
      <c r="B1819" s="5" t="s">
        <v>11510</v>
      </c>
      <c r="C1819" s="5" t="s">
        <v>19367</v>
      </c>
      <c r="D1819" s="5" t="str">
        <v>770402139581</v>
      </c>
      <c r="E1819" s="0" t="e">
        <f>+7 (495) 8008000
+7 (910) 4640130
+7 (495) 7757423
+7 (495) 9958525</f>
        <v>#NAME?</v>
      </c>
      <c r="F1819" s="5" t="s">
        <v>30819</v>
      </c>
      <c r="G1819" s="5" t="s">
        <v>30820</v>
      </c>
      <c r="H1819" s="26">
        <v>10</v>
      </c>
      <c r="I1819" s="5" t="s">
        <v>30821</v>
      </c>
      <c r="J1819" s="5" t="s">
        <v>30822</v>
      </c>
      <c r="K1819" s="5" t="s">
        <v>344</v>
      </c>
      <c r="L1819" s="5"/>
      <c r="M1819" s="27"/>
      <c r="N1819" s="5"/>
      <c r="O1819" s="5" t="str">
        <v>7704825145</v>
      </c>
      <c r="P1819" s="27">
        <v>65000000</v>
      </c>
      <c r="Q1819" s="5" t="s">
        <v>49059</v>
      </c>
      <c r="R1819" s="5" t="s">
        <v>51624</v>
      </c>
      <c r="S1819" s="5" t="s">
        <v>49045</v>
      </c>
      <c r="T1819" s="28">
        <v>10434546000</v>
      </c>
      <c r="U1819" s="28">
        <v>100000</v>
      </c>
      <c r="V1819" s="28">
        <v>433227000</v>
      </c>
      <c r="W1819" s="28"/>
      <c r="X1819" s="28">
        <v>105136000</v>
      </c>
      <c r="Y1819" s="28">
        <v>11799231000</v>
      </c>
      <c r="Z1819" s="28">
        <v>6689740000</v>
      </c>
      <c r="AA1819" s="28">
        <v>1733250000</v>
      </c>
      <c r="AB1819" s="28"/>
      <c r="AC1819" s="28">
        <v>600321000</v>
      </c>
      <c r="AD1819" s="28">
        <v>6754740000</v>
      </c>
      <c r="AE1819" s="28">
        <v>3054308000</v>
      </c>
      <c r="AF1819" s="28">
        <v>8993104000</v>
      </c>
      <c r="AG1819" s="11"/>
    </row>
    <row r="1820">
      <c r="A1820" s="7" t="s">
        <v>3524</v>
      </c>
      <c r="B1820" s="5" t="s">
        <v>11511</v>
      </c>
      <c r="C1820" s="5" t="s">
        <v>19368</v>
      </c>
      <c r="D1820" s="5" t="str">
        <v>773303449450</v>
      </c>
      <c r="E1820" s="0" t="e">
        <f>+7 (492) 2290658
+7 (492) 2327487
+7 (492) 2412701
+7 (492) 2534358
+7 (492) 2778181</f>
        <v>#NAME?</v>
      </c>
      <c r="F1820" s="5" t="s">
        <v>30823</v>
      </c>
      <c r="G1820" s="5" t="s">
        <v>30824</v>
      </c>
      <c r="H1820" s="26">
        <v>16.5</v>
      </c>
      <c r="I1820" s="5" t="s">
        <v>30825</v>
      </c>
      <c r="J1820" s="5" t="s">
        <v>26418</v>
      </c>
      <c r="K1820" s="5" t="s">
        <v>344</v>
      </c>
      <c r="L1820" s="5" t="s">
        <v>30826</v>
      </c>
      <c r="M1820" s="27"/>
      <c r="N1820" s="5" t="s">
        <v>52212</v>
      </c>
      <c r="O1820" s="5" t="str">
        <v>3329040242</v>
      </c>
      <c r="P1820" s="27">
        <v>442971279</v>
      </c>
      <c r="Q1820" s="5" t="s">
        <v>52213</v>
      </c>
      <c r="R1820" s="5"/>
      <c r="S1820" s="5" t="s">
        <v>49998</v>
      </c>
      <c r="T1820" s="28">
        <v>725578000</v>
      </c>
      <c r="U1820" s="28"/>
      <c r="V1820" s="28">
        <v>1675883000</v>
      </c>
      <c r="W1820" s="28"/>
      <c r="X1820" s="28">
        <v>1795887000</v>
      </c>
      <c r="Y1820" s="28">
        <v>6718759000</v>
      </c>
      <c r="Z1820" s="28">
        <v>5284143000</v>
      </c>
      <c r="AA1820" s="28"/>
      <c r="AB1820" s="28"/>
      <c r="AC1820" s="28">
        <v>991064000</v>
      </c>
      <c r="AD1820" s="28">
        <v>5727695000</v>
      </c>
      <c r="AE1820" s="28">
        <v>21508617000</v>
      </c>
      <c r="AF1820" s="28">
        <v>1444838000</v>
      </c>
      <c r="AG1820" s="11"/>
    </row>
    <row r="1821">
      <c r="A1821" s="7" t="s">
        <v>3525</v>
      </c>
      <c r="B1821" s="5" t="s">
        <v>11160</v>
      </c>
      <c r="C1821" s="5" t="s">
        <v>19369</v>
      </c>
      <c r="D1821" s="5" t="str">
        <v>323308295681</v>
      </c>
      <c r="E1821" s="0" t="e">
        <f>+7 (495) 8171600
+7 (495) 8171658
+7 (47146) 45016
+7 (47375) 48456
+7 (47375) 48744
+7 (47469) 63282
+7 (483) 2947202
+7 (48432) 57404
+7 (48432) 57405
+7 (48432) 57411
+7 (49151) 21430
+7 (495) 4287275
+7 (495) 4288176
+7 (495) 8170718
+7 (495) 8179330</f>
        <v>#NAME?</v>
      </c>
      <c r="F1821" s="5" t="s">
        <v>30827</v>
      </c>
      <c r="G1821" s="5" t="s">
        <v>30828</v>
      </c>
      <c r="H1821" s="26">
        <v>29.5</v>
      </c>
      <c r="I1821" s="5" t="s">
        <v>30829</v>
      </c>
      <c r="J1821" s="5" t="s">
        <v>29789</v>
      </c>
      <c r="K1821" s="5" t="s">
        <v>344</v>
      </c>
      <c r="L1821" s="5" t="s">
        <v>30830</v>
      </c>
      <c r="M1821" s="27">
        <v>30603464</v>
      </c>
      <c r="N1821" s="5" t="s">
        <v>52214</v>
      </c>
      <c r="O1821" s="5" t="str">
        <v>5003028028</v>
      </c>
      <c r="P1821" s="27">
        <v>13371237400</v>
      </c>
      <c r="Q1821" s="5" t="s">
        <v>52215</v>
      </c>
      <c r="R1821" s="5" t="s">
        <v>51413</v>
      </c>
      <c r="S1821" s="5" t="s">
        <v>52216</v>
      </c>
      <c r="T1821" s="28">
        <v>27375042000</v>
      </c>
      <c r="U1821" s="28"/>
      <c r="V1821" s="28">
        <v>24889063000</v>
      </c>
      <c r="W1821" s="28"/>
      <c r="X1821" s="28">
        <v>6307000</v>
      </c>
      <c r="Y1821" s="28">
        <v>60579476000</v>
      </c>
      <c r="Z1821" s="28">
        <v>17757745000</v>
      </c>
      <c r="AA1821" s="28"/>
      <c r="AB1821" s="28"/>
      <c r="AC1821" s="28">
        <v>23116945000</v>
      </c>
      <c r="AD1821" s="28">
        <v>33173484000</v>
      </c>
      <c r="AE1821" s="28">
        <v>91872343000</v>
      </c>
      <c r="AF1821" s="28">
        <v>-551142000</v>
      </c>
      <c r="AG1821" s="11"/>
    </row>
    <row r="1822">
      <c r="A1822" s="7" t="s">
        <v>3526</v>
      </c>
      <c r="B1822" s="5" t="s">
        <v>11512</v>
      </c>
      <c r="C1822" s="5" t="s">
        <v>19370</v>
      </c>
      <c r="D1822" s="5" t="str">
        <v>272106605916</v>
      </c>
      <c r="E1822" s="0" t="e">
        <f>+7 (421) 2314441
+7 (421) 2316787
+7 (421) 2316790
+7 (421) 2316791
+7 (421) 2333921
+7 (421) 2333926</f>
        <v>#NAME?</v>
      </c>
      <c r="F1822" s="5"/>
      <c r="G1822" s="5" t="s">
        <v>30831</v>
      </c>
      <c r="H1822" s="26">
        <v>3.5</v>
      </c>
      <c r="I1822" s="5" t="s">
        <v>30832</v>
      </c>
      <c r="J1822" s="5" t="s">
        <v>25219</v>
      </c>
      <c r="K1822" s="5" t="s">
        <v>344</v>
      </c>
      <c r="L1822" s="5"/>
      <c r="M1822" s="27">
        <v>1763311</v>
      </c>
      <c r="N1822" s="5"/>
      <c r="O1822" s="5" t="str">
        <v>2723205733</v>
      </c>
      <c r="P1822" s="27">
        <v>203735</v>
      </c>
      <c r="Q1822" s="5"/>
      <c r="R1822" s="5"/>
      <c r="S1822" s="5" t="s">
        <v>49425</v>
      </c>
      <c r="T1822" s="28">
        <v>847983000</v>
      </c>
      <c r="U1822" s="28">
        <v>3500000</v>
      </c>
      <c r="V1822" s="28">
        <v>3107343000</v>
      </c>
      <c r="W1822" s="28">
        <v>811882000</v>
      </c>
      <c r="X1822" s="28">
        <v>1615155000</v>
      </c>
      <c r="Y1822" s="28">
        <v>12078025000</v>
      </c>
      <c r="Z1822" s="28">
        <v>4237918000</v>
      </c>
      <c r="AA1822" s="28"/>
      <c r="AB1822" s="28">
        <v>154297000</v>
      </c>
      <c r="AC1822" s="28">
        <v>7839903000</v>
      </c>
      <c r="AD1822" s="28">
        <v>4238122000</v>
      </c>
      <c r="AE1822" s="28">
        <v>70359838000</v>
      </c>
      <c r="AF1822" s="28">
        <v>2538136000</v>
      </c>
      <c r="AG1822" s="11"/>
    </row>
    <row r="1823">
      <c r="A1823" s="7" t="s">
        <v>3527</v>
      </c>
      <c r="B1823" s="5" t="s">
        <v>11513</v>
      </c>
      <c r="C1823" s="5" t="s">
        <v>19371</v>
      </c>
      <c r="D1823" s="5" t="str">
        <v>780609336670</v>
      </c>
      <c r="E1823" s="0" t="e">
        <f>+7 (812) 2933237
+7 (812) 3216772
+7 (812) 3240939
+7 (812) 3293237</f>
        <v>#NAME?</v>
      </c>
      <c r="F1823" s="5" t="s">
        <v>30833</v>
      </c>
      <c r="G1823" s="5"/>
      <c r="H1823" s="26">
        <v>9.5</v>
      </c>
      <c r="I1823" s="5" t="s">
        <v>30834</v>
      </c>
      <c r="J1823" s="5" t="s">
        <v>678</v>
      </c>
      <c r="K1823" s="5" t="s">
        <v>344</v>
      </c>
      <c r="L1823" s="5" t="s">
        <v>30835</v>
      </c>
      <c r="M1823" s="27"/>
      <c r="N1823" s="5" t="s">
        <v>52218</v>
      </c>
      <c r="O1823" s="5" t="str">
        <v>7802836917</v>
      </c>
      <c r="P1823" s="27">
        <v>10000</v>
      </c>
      <c r="Q1823" s="5" t="s">
        <v>49059</v>
      </c>
      <c r="R1823" s="5"/>
      <c r="S1823" s="5" t="s">
        <v>49047</v>
      </c>
      <c r="T1823" s="28">
        <v>2358000</v>
      </c>
      <c r="U1823" s="28"/>
      <c r="V1823" s="28">
        <v>446628000</v>
      </c>
      <c r="W1823" s="28"/>
      <c r="X1823" s="28">
        <v>189390000</v>
      </c>
      <c r="Y1823" s="28">
        <v>968311000</v>
      </c>
      <c r="Z1823" s="28">
        <v>716292000</v>
      </c>
      <c r="AA1823" s="28"/>
      <c r="AB1823" s="28"/>
      <c r="AC1823" s="28">
        <v>250297000</v>
      </c>
      <c r="AD1823" s="28">
        <v>716302000</v>
      </c>
      <c r="AE1823" s="28">
        <v>7002163000</v>
      </c>
      <c r="AF1823" s="28">
        <v>401073000</v>
      </c>
      <c r="AG1823" s="11"/>
    </row>
    <row r="1824">
      <c r="A1824" s="7" t="s">
        <v>3528</v>
      </c>
      <c r="B1824" s="5" t="s">
        <v>11514</v>
      </c>
      <c r="C1824" s="5" t="s">
        <v>19372</v>
      </c>
      <c r="D1824" s="5" t="str">
        <v>272409030015</v>
      </c>
      <c r="E1824" s="0" t="e">
        <f>+7 (421) 2416805
+7 (421) 2620278</f>
        <v>#NAME?</v>
      </c>
      <c r="F1824" s="5"/>
      <c r="G1824" s="5"/>
      <c r="H1824" s="26">
        <v>12.5</v>
      </c>
      <c r="I1824" s="5" t="s">
        <v>30836</v>
      </c>
      <c r="J1824" s="5" t="s">
        <v>1059</v>
      </c>
      <c r="K1824" s="5" t="s">
        <v>344</v>
      </c>
      <c r="L1824" s="5" t="s">
        <v>30837</v>
      </c>
      <c r="M1824" s="27"/>
      <c r="N1824" s="5" t="s">
        <v>52219</v>
      </c>
      <c r="O1824" s="5" t="str">
        <v>2723129480</v>
      </c>
      <c r="P1824" s="27">
        <v>10000000</v>
      </c>
      <c r="Q1824" s="5"/>
      <c r="R1824" s="5"/>
      <c r="S1824" s="5" t="s">
        <v>49110</v>
      </c>
      <c r="T1824" s="28">
        <v>23484000</v>
      </c>
      <c r="U1824" s="28">
        <v>360000</v>
      </c>
      <c r="V1824" s="28">
        <v>539590000</v>
      </c>
      <c r="W1824" s="28">
        <v>12481000</v>
      </c>
      <c r="X1824" s="28">
        <v>14246000</v>
      </c>
      <c r="Y1824" s="28">
        <v>1284510000</v>
      </c>
      <c r="Z1824" s="28">
        <v>139360000</v>
      </c>
      <c r="AA1824" s="28"/>
      <c r="AB1824" s="28">
        <v>296455000</v>
      </c>
      <c r="AC1824" s="28">
        <v>1135150000</v>
      </c>
      <c r="AD1824" s="28">
        <v>149360000</v>
      </c>
      <c r="AE1824" s="28">
        <v>3088731000</v>
      </c>
      <c r="AF1824" s="28">
        <v>20228000</v>
      </c>
      <c r="AG1824" s="11"/>
    </row>
    <row r="1825">
      <c r="A1825" s="7" t="s">
        <v>3529</v>
      </c>
      <c r="B1825" s="5" t="s">
        <v>11515</v>
      </c>
      <c r="C1825" s="5" t="s">
        <v>19373</v>
      </c>
      <c r="D1825" s="5" t="str">
        <v>431201910379</v>
      </c>
      <c r="E1825" s="0" t="e">
        <f>+7 (8212) 239107
+7 (83361) 58316
+7 (83361) 58318
+7 (83361) 64229
+7 (83361) 64249
+7 (8212) 229039
+7 (8212) 628880
+7 (82131) 91366
+7 (8216) 737545
+7 (8216) 749133
+7 (8216) 752507
+7 (83361) 34371
+7 (83361) 34398
+7 (83361) 58315
+7 (922) 9905300</f>
        <v>#NAME?</v>
      </c>
      <c r="F1825" s="5" t="s">
        <v>30838</v>
      </c>
      <c r="G1825" s="5" t="s">
        <v>30839</v>
      </c>
      <c r="H1825" s="26">
        <v>20</v>
      </c>
      <c r="I1825" s="5" t="s">
        <v>30840</v>
      </c>
      <c r="J1825" s="5" t="s">
        <v>373</v>
      </c>
      <c r="K1825" s="5" t="s">
        <v>344</v>
      </c>
      <c r="L1825" s="5" t="s">
        <v>711</v>
      </c>
      <c r="M1825" s="27"/>
      <c r="N1825" s="5" t="s">
        <v>52220</v>
      </c>
      <c r="O1825" s="5" t="str">
        <v>1102042361</v>
      </c>
      <c r="P1825" s="27">
        <v>135000000</v>
      </c>
      <c r="Q1825" s="5" t="s">
        <v>52221</v>
      </c>
      <c r="R1825" s="5"/>
      <c r="S1825" s="5" t="s">
        <v>50936</v>
      </c>
      <c r="T1825" s="28">
        <v>139801000</v>
      </c>
      <c r="U1825" s="28"/>
      <c r="V1825" s="28">
        <v>352061000</v>
      </c>
      <c r="W1825" s="28"/>
      <c r="X1825" s="28">
        <v>20746000</v>
      </c>
      <c r="Y1825" s="28">
        <v>837123000</v>
      </c>
      <c r="Z1825" s="28">
        <v>161846000</v>
      </c>
      <c r="AA1825" s="28"/>
      <c r="AB1825" s="28">
        <v>244469000</v>
      </c>
      <c r="AC1825" s="28">
        <v>536564000</v>
      </c>
      <c r="AD1825" s="28">
        <v>296846000</v>
      </c>
      <c r="AE1825" s="28">
        <v>3088602000</v>
      </c>
      <c r="AF1825" s="28">
        <v>94843000</v>
      </c>
      <c r="AG1825" s="11"/>
    </row>
    <row r="1826">
      <c r="A1826" s="7" t="s">
        <v>3530</v>
      </c>
      <c r="B1826" s="5" t="s">
        <v>11516</v>
      </c>
      <c r="C1826" s="5" t="s">
        <v>19374</v>
      </c>
      <c r="D1826" s="5" t="str">
        <v>771880694885</v>
      </c>
      <c r="E1826" s="0" t="e">
        <f>+7 (495) 6268000
+7 (495) 7300110
+7 (495) 9268000
+7 (495) 9268100
+7 (4232) 521010
+7 (4232) 521038
+7 (495) 7806001
+7 (495) 7806003
+7 (800) 2344499</f>
        <v>#NAME?</v>
      </c>
      <c r="F1826" s="5" t="s">
        <v>30841</v>
      </c>
      <c r="G1826" s="5" t="s">
        <v>30842</v>
      </c>
      <c r="H1826" s="26">
        <v>26.5</v>
      </c>
      <c r="I1826" s="5" t="s">
        <v>30843</v>
      </c>
      <c r="J1826" s="5" t="s">
        <v>28577</v>
      </c>
      <c r="K1826" s="5" t="s">
        <v>380</v>
      </c>
      <c r="L1826" s="5"/>
      <c r="M1826" s="27"/>
      <c r="N1826" s="5" t="s">
        <v>52222</v>
      </c>
      <c r="O1826" s="5" t="str">
        <v>2540047110</v>
      </c>
      <c r="P1826" s="27">
        <v>2951250000</v>
      </c>
      <c r="Q1826" s="5" t="s">
        <v>52223</v>
      </c>
      <c r="R1826" s="5" t="s">
        <v>52224</v>
      </c>
      <c r="S1826" s="5" t="s">
        <v>51738</v>
      </c>
      <c r="T1826" s="28">
        <v>5227416000</v>
      </c>
      <c r="U1826" s="28">
        <v>36714802000</v>
      </c>
      <c r="V1826" s="28">
        <v>5362727000</v>
      </c>
      <c r="W1826" s="28">
        <v>331315000</v>
      </c>
      <c r="X1826" s="28">
        <v>39911000</v>
      </c>
      <c r="Y1826" s="28">
        <v>57026552000</v>
      </c>
      <c r="Z1826" s="28">
        <v>-10497866000</v>
      </c>
      <c r="AA1826" s="28">
        <v>24082529000</v>
      </c>
      <c r="AB1826" s="28">
        <v>8432105000</v>
      </c>
      <c r="AC1826" s="28">
        <v>14534525000</v>
      </c>
      <c r="AD1826" s="28">
        <v>17245327000</v>
      </c>
      <c r="AE1826" s="28">
        <v>7702936000</v>
      </c>
      <c r="AF1826" s="28">
        <v>20546000</v>
      </c>
      <c r="AG1826" s="11"/>
    </row>
    <row r="1827">
      <c r="A1827" s="7" t="s">
        <v>3531</v>
      </c>
      <c r="B1827" s="5" t="s">
        <v>11517</v>
      </c>
      <c r="C1827" s="5" t="s">
        <v>18821</v>
      </c>
      <c r="D1827" s="5" t="str">
        <v>571600971300</v>
      </c>
      <c r="E1827" s="0" t="e">
        <f>+7 (495) 2800808
+7 (495) 6800808
+7 (812) 3833373</f>
        <v>#NAME?</v>
      </c>
      <c r="F1827" s="5" t="s">
        <v>30844</v>
      </c>
      <c r="G1827" s="5"/>
      <c r="H1827" s="26">
        <v>6.5</v>
      </c>
      <c r="I1827" s="5" t="s">
        <v>30654</v>
      </c>
      <c r="J1827" s="5" t="s">
        <v>364</v>
      </c>
      <c r="K1827" s="5" t="s">
        <v>355</v>
      </c>
      <c r="L1827" s="5"/>
      <c r="M1827" s="27">
        <v>188009710</v>
      </c>
      <c r="N1827" s="5"/>
      <c r="O1827" s="5" t="str">
        <v>7810474812</v>
      </c>
      <c r="P1827" s="27">
        <v>10000</v>
      </c>
      <c r="Q1827" s="5" t="s">
        <v>52225</v>
      </c>
      <c r="R1827" s="5"/>
      <c r="S1827" s="5" t="s">
        <v>52199</v>
      </c>
      <c r="T1827" s="28">
        <v>1779124000</v>
      </c>
      <c r="U1827" s="28"/>
      <c r="V1827" s="28">
        <v>16448561000</v>
      </c>
      <c r="W1827" s="28">
        <v>10000000</v>
      </c>
      <c r="X1827" s="28">
        <v>876665000</v>
      </c>
      <c r="Y1827" s="28">
        <v>34865527000</v>
      </c>
      <c r="Z1827" s="28">
        <v>-974217000</v>
      </c>
      <c r="AA1827" s="28">
        <v>1825332000</v>
      </c>
      <c r="AB1827" s="28">
        <v>275102000</v>
      </c>
      <c r="AC1827" s="28">
        <v>31100268000</v>
      </c>
      <c r="AD1827" s="28">
        <v>-974207000</v>
      </c>
      <c r="AE1827" s="28">
        <v>26547281000</v>
      </c>
      <c r="AF1827" s="28">
        <v>401863000</v>
      </c>
      <c r="AG1827" s="11"/>
    </row>
    <row r="1828">
      <c r="A1828" s="7" t="s">
        <v>3532</v>
      </c>
      <c r="B1828" s="5" t="s">
        <v>11518</v>
      </c>
      <c r="C1828" s="5" t="s">
        <v>19375</v>
      </c>
      <c r="D1828" s="5" t="str">
        <v>143501421645</v>
      </c>
      <c r="E1828" s="0" t="e">
        <f>+7 (41147) 41707
+7 (41147) 48335
+7 (41147) 48337
+7 (41147) 48338
+7 (41147) 48365
+7 (41147) 95015
+7 (416) 2398359
+7 (416) 2398472
+7 (416) 2398474
+7 (416) 2398475
+7 (416) 2398483
+7 (421) 2261559
+7 (421) 2264133
+7 (421) 2264135
+7 (421) 2264138</f>
        <v>#NAME?</v>
      </c>
      <c r="F1828" s="5" t="s">
        <v>30845</v>
      </c>
      <c r="G1828" s="5" t="s">
        <v>30846</v>
      </c>
      <c r="H1828" s="26">
        <v>17</v>
      </c>
      <c r="I1828" s="5" t="s">
        <v>30847</v>
      </c>
      <c r="J1828" s="5" t="s">
        <v>25295</v>
      </c>
      <c r="K1828" s="5" t="s">
        <v>355</v>
      </c>
      <c r="L1828" s="5"/>
      <c r="M1828" s="27">
        <v>319826355</v>
      </c>
      <c r="N1828" s="5" t="s">
        <v>52226</v>
      </c>
      <c r="O1828" s="5" t="str">
        <v>1434031363</v>
      </c>
      <c r="P1828" s="27">
        <v>86160380973</v>
      </c>
      <c r="Q1828" s="5" t="s">
        <v>52227</v>
      </c>
      <c r="R1828" s="5" t="s">
        <v>52228</v>
      </c>
      <c r="S1828" s="5" t="s">
        <v>51423</v>
      </c>
      <c r="T1828" s="28">
        <v>59631667000</v>
      </c>
      <c r="U1828" s="28">
        <v>6849734000</v>
      </c>
      <c r="V1828" s="28">
        <v>17538628000</v>
      </c>
      <c r="W1828" s="28">
        <v>4152000</v>
      </c>
      <c r="X1828" s="28">
        <v>1447943000</v>
      </c>
      <c r="Y1828" s="28">
        <v>125586182000</v>
      </c>
      <c r="Z1828" s="28">
        <v>-75094223000</v>
      </c>
      <c r="AA1828" s="28">
        <v>75034095000</v>
      </c>
      <c r="AB1828" s="28">
        <v>18741602000</v>
      </c>
      <c r="AC1828" s="28">
        <v>31265907000</v>
      </c>
      <c r="AD1828" s="28">
        <v>13019964000</v>
      </c>
      <c r="AE1828" s="28">
        <v>87732482000</v>
      </c>
      <c r="AF1828" s="28">
        <v>-33826041000</v>
      </c>
      <c r="AG1828" s="11"/>
    </row>
    <row r="1829">
      <c r="A1829" s="7" t="s">
        <v>3533</v>
      </c>
      <c r="B1829" s="5" t="s">
        <v>11519</v>
      </c>
      <c r="C1829" s="5" t="s">
        <v>19376</v>
      </c>
      <c r="D1829" s="5" t="str">
        <v>500303138770</v>
      </c>
      <c r="E1829" s="0" t="e">
        <f>+7 (401) 2425754
+7 (411) 2446784
+7 (914) 2713251</f>
        <v>#NAME?</v>
      </c>
      <c r="F1829" s="5" t="s">
        <v>30848</v>
      </c>
      <c r="G1829" s="5"/>
      <c r="H1829" s="26">
        <v>26</v>
      </c>
      <c r="I1829" s="5" t="s">
        <v>30849</v>
      </c>
      <c r="J1829" s="5" t="s">
        <v>30850</v>
      </c>
      <c r="K1829" s="5" t="s">
        <v>344</v>
      </c>
      <c r="L1829" s="5" t="s">
        <v>30851</v>
      </c>
      <c r="M1829" s="27"/>
      <c r="N1829" s="5" t="s">
        <v>50052</v>
      </c>
      <c r="O1829" s="5" t="str">
        <v>1435090883</v>
      </c>
      <c r="P1829" s="27">
        <v>227158579</v>
      </c>
      <c r="Q1829" s="5" t="s">
        <v>49009</v>
      </c>
      <c r="R1829" s="5"/>
      <c r="S1829" s="5" t="s">
        <v>49045</v>
      </c>
      <c r="T1829" s="28">
        <v>11955000</v>
      </c>
      <c r="U1829" s="28">
        <v>10010000</v>
      </c>
      <c r="V1829" s="28">
        <v>5918147000</v>
      </c>
      <c r="W1829" s="28">
        <v>803632000</v>
      </c>
      <c r="X1829" s="28">
        <v>1403000</v>
      </c>
      <c r="Y1829" s="28">
        <v>7872656000</v>
      </c>
      <c r="Z1829" s="28">
        <v>2304282000</v>
      </c>
      <c r="AA1829" s="28">
        <v>934988000</v>
      </c>
      <c r="AB1829" s="28">
        <v>956990000</v>
      </c>
      <c r="AC1829" s="28">
        <v>4045515000</v>
      </c>
      <c r="AD1829" s="28">
        <v>2531441000</v>
      </c>
      <c r="AE1829" s="28">
        <v>6968900000</v>
      </c>
      <c r="AF1829" s="28">
        <v>338805000</v>
      </c>
      <c r="AG1829" s="11"/>
    </row>
    <row r="1830">
      <c r="A1830" s="7" t="s">
        <v>3534</v>
      </c>
      <c r="B1830" s="5" t="s">
        <v>11520</v>
      </c>
      <c r="C1830" s="5" t="s">
        <v>19377</v>
      </c>
      <c r="D1830" s="5" t="str">
        <v>400702763364</v>
      </c>
      <c r="E1830" s="0" t="e">
        <f>+7 (492) 2450320
+7 (49242) 41135
+7 (49242) 41224
+7 (49242) 41225
+7 (49242) 41322
+7 (49242) 41590
+7 (49242) 41960
+7 (49242) 41983
+7 (49242) 42008
+7 (49242) 42750
+7 (49242) 42754
+7 (495) 6452159</f>
        <v>#NAME?</v>
      </c>
      <c r="F1830" s="5" t="s">
        <v>30852</v>
      </c>
      <c r="G1830" s="5"/>
      <c r="H1830" s="26">
        <v>19</v>
      </c>
      <c r="I1830" s="5"/>
      <c r="J1830" s="5" t="s">
        <v>26057</v>
      </c>
      <c r="K1830" s="5" t="s">
        <v>344</v>
      </c>
      <c r="L1830" s="5" t="s">
        <v>30853</v>
      </c>
      <c r="M1830" s="27"/>
      <c r="N1830" s="5"/>
      <c r="O1830" s="5" t="str">
        <v>3328430306</v>
      </c>
      <c r="P1830" s="27">
        <v>90000000</v>
      </c>
      <c r="Q1830" s="5" t="s">
        <v>49324</v>
      </c>
      <c r="R1830" s="5"/>
      <c r="S1830" s="5" t="s">
        <v>52229</v>
      </c>
      <c r="T1830" s="28">
        <v>1245410000</v>
      </c>
      <c r="U1830" s="28"/>
      <c r="V1830" s="28">
        <v>3532782000</v>
      </c>
      <c r="W1830" s="28">
        <v>1682000</v>
      </c>
      <c r="X1830" s="28">
        <v>1538868000</v>
      </c>
      <c r="Y1830" s="28">
        <v>8336498000</v>
      </c>
      <c r="Z1830" s="28">
        <v>6466714000</v>
      </c>
      <c r="AA1830" s="28">
        <v>803543000</v>
      </c>
      <c r="AB1830" s="28">
        <v>457604000</v>
      </c>
      <c r="AC1830" s="28">
        <v>826679000</v>
      </c>
      <c r="AD1830" s="28">
        <v>6561214000</v>
      </c>
      <c r="AE1830" s="28">
        <v>15636332000</v>
      </c>
      <c r="AF1830" s="28">
        <v>1558669000</v>
      </c>
      <c r="AG1830" s="11"/>
    </row>
    <row r="1831">
      <c r="A1831" s="7" t="s">
        <v>3535</v>
      </c>
      <c r="B1831" s="5" t="s">
        <v>11521</v>
      </c>
      <c r="C1831" s="5" t="s">
        <v>19378</v>
      </c>
      <c r="D1831" s="5" t="str">
        <v>772351596397</v>
      </c>
      <c r="F1831" s="5" t="s">
        <v>30854</v>
      </c>
      <c r="G1831" s="5" t="s">
        <v>30855</v>
      </c>
      <c r="H1831" s="26">
        <v>12.5</v>
      </c>
      <c r="I1831" s="5" t="s">
        <v>30856</v>
      </c>
      <c r="J1831" s="5" t="s">
        <v>27783</v>
      </c>
      <c r="K1831" s="5" t="s">
        <v>344</v>
      </c>
      <c r="L1831" s="5" t="s">
        <v>30857</v>
      </c>
      <c r="M1831" s="27"/>
      <c r="N1831" s="5" t="s">
        <v>52230</v>
      </c>
      <c r="O1831" s="5" t="str">
        <v>7715829230</v>
      </c>
      <c r="P1831" s="27">
        <v>500000</v>
      </c>
      <c r="Q1831" s="5" t="s">
        <v>52231</v>
      </c>
      <c r="R1831" s="5"/>
      <c r="S1831" s="5" t="s">
        <v>52232</v>
      </c>
      <c r="T1831" s="28">
        <v>18464000</v>
      </c>
      <c r="U1831" s="28"/>
      <c r="V1831" s="28">
        <v>777379000</v>
      </c>
      <c r="W1831" s="28"/>
      <c r="X1831" s="28">
        <v>107885000</v>
      </c>
      <c r="Y1831" s="28">
        <v>920974000</v>
      </c>
      <c r="Z1831" s="28">
        <v>319854000</v>
      </c>
      <c r="AA1831" s="28"/>
      <c r="AB1831" s="28"/>
      <c r="AC1831" s="28">
        <v>599948000</v>
      </c>
      <c r="AD1831" s="28">
        <v>320354000</v>
      </c>
      <c r="AE1831" s="28">
        <v>4669247000</v>
      </c>
      <c r="AF1831" s="28">
        <v>27909000</v>
      </c>
      <c r="AG1831" s="11"/>
    </row>
    <row r="1832">
      <c r="A1832" s="7" t="s">
        <v>3536</v>
      </c>
      <c r="B1832" s="5" t="s">
        <v>11522</v>
      </c>
      <c r="C1832" s="5" t="s">
        <v>19379</v>
      </c>
      <c r="D1832" s="5" t="str">
        <v>667000769996</v>
      </c>
      <c r="E1832" s="0" t="e">
        <f>+7 (343) 2221555
+7 (343) 2642232
+7 (3433) 770131
+7 (912) 2846713</f>
        <v>#NAME?</v>
      </c>
      <c r="F1832" s="5"/>
      <c r="G1832" s="5" t="s">
        <v>30858</v>
      </c>
      <c r="H1832" s="26">
        <v>24</v>
      </c>
      <c r="I1832" s="5" t="s">
        <v>30859</v>
      </c>
      <c r="J1832" s="5" t="s">
        <v>26125</v>
      </c>
      <c r="K1832" s="5" t="s">
        <v>344</v>
      </c>
      <c r="L1832" s="5" t="s">
        <v>30860</v>
      </c>
      <c r="M1832" s="27"/>
      <c r="N1832" s="5" t="s">
        <v>52233</v>
      </c>
      <c r="O1832" s="5" t="str">
        <v>6670219945</v>
      </c>
      <c r="P1832" s="27">
        <v>500000</v>
      </c>
      <c r="Q1832" s="5" t="s">
        <v>49021</v>
      </c>
      <c r="R1832" s="5"/>
      <c r="S1832" s="5" t="s">
        <v>52234</v>
      </c>
      <c r="T1832" s="28">
        <v>23808000</v>
      </c>
      <c r="U1832" s="28"/>
      <c r="V1832" s="28">
        <v>465598000</v>
      </c>
      <c r="W1832" s="28">
        <v>37600000</v>
      </c>
      <c r="X1832" s="28">
        <v>24881000</v>
      </c>
      <c r="Y1832" s="28">
        <v>789888000</v>
      </c>
      <c r="Z1832" s="28">
        <v>559698000</v>
      </c>
      <c r="AA1832" s="28"/>
      <c r="AB1832" s="28"/>
      <c r="AC1832" s="28">
        <v>229690000</v>
      </c>
      <c r="AD1832" s="28">
        <v>560198000</v>
      </c>
      <c r="AE1832" s="28">
        <v>4485880000</v>
      </c>
      <c r="AF1832" s="28">
        <v>231403000</v>
      </c>
      <c r="AG1832" s="11"/>
    </row>
    <row r="1833">
      <c r="A1833" s="7" t="s">
        <v>3537</v>
      </c>
      <c r="B1833" s="5" t="s">
        <v>11523</v>
      </c>
      <c r="C1833" s="5" t="s">
        <v>19380</v>
      </c>
      <c r="D1833" s="5" t="str">
        <v>743500484416</v>
      </c>
      <c r="E1833" s="0" t="e">
        <f>+7 (916) 3542219</f>
        <v>#NAME?</v>
      </c>
      <c r="F1833" s="5" t="s">
        <v>30861</v>
      </c>
      <c r="G1833" s="5"/>
      <c r="H1833" s="26">
        <v>5.5</v>
      </c>
      <c r="I1833" s="5" t="s">
        <v>30862</v>
      </c>
      <c r="J1833" s="5" t="s">
        <v>25837</v>
      </c>
      <c r="K1833" s="5" t="s">
        <v>344</v>
      </c>
      <c r="L1833" s="5" t="s">
        <v>30863</v>
      </c>
      <c r="M1833" s="27">
        <v>28397237</v>
      </c>
      <c r="N1833" s="5"/>
      <c r="O1833" s="5" t="str">
        <v>7727325766</v>
      </c>
      <c r="P1833" s="27">
        <v>73010000</v>
      </c>
      <c r="Q1833" s="5"/>
      <c r="R1833" s="5"/>
      <c r="S1833" s="5" t="s">
        <v>49029</v>
      </c>
      <c r="T1833" s="28">
        <v>50718000</v>
      </c>
      <c r="U1833" s="28"/>
      <c r="V1833" s="28">
        <v>2179261000</v>
      </c>
      <c r="W1833" s="28">
        <v>204204000</v>
      </c>
      <c r="X1833" s="28">
        <v>6142000</v>
      </c>
      <c r="Y1833" s="28">
        <v>3887796000</v>
      </c>
      <c r="Z1833" s="28">
        <v>215909000</v>
      </c>
      <c r="AA1833" s="28"/>
      <c r="AB1833" s="28">
        <v>4720000</v>
      </c>
      <c r="AC1833" s="28">
        <v>3598834000</v>
      </c>
      <c r="AD1833" s="28">
        <v>288919000</v>
      </c>
      <c r="AE1833" s="28">
        <v>9649799000</v>
      </c>
      <c r="AF1833" s="28">
        <v>57135000</v>
      </c>
      <c r="AG1833" s="11"/>
    </row>
    <row r="1834">
      <c r="A1834" s="7" t="s">
        <v>3538</v>
      </c>
      <c r="B1834" s="5" t="s">
        <v>11523</v>
      </c>
      <c r="C1834" s="5" t="s">
        <v>19380</v>
      </c>
      <c r="D1834" s="5" t="str">
        <v>743500484416</v>
      </c>
      <c r="E1834" s="0" t="e">
        <f>+7 (495) 1059523
+7 (916) 3542219
+7 (926) 7647253</f>
        <v>#NAME?</v>
      </c>
      <c r="F1834" s="5" t="s">
        <v>30861</v>
      </c>
      <c r="G1834" s="5"/>
      <c r="H1834" s="26">
        <v>6.5</v>
      </c>
      <c r="I1834" s="5" t="s">
        <v>30862</v>
      </c>
      <c r="J1834" s="5" t="s">
        <v>25837</v>
      </c>
      <c r="K1834" s="5" t="s">
        <v>355</v>
      </c>
      <c r="L1834" s="5" t="s">
        <v>30864</v>
      </c>
      <c r="M1834" s="27">
        <v>2301554</v>
      </c>
      <c r="N1834" s="5"/>
      <c r="O1834" s="5" t="str">
        <v>7707371041</v>
      </c>
      <c r="P1834" s="27">
        <v>73010000</v>
      </c>
      <c r="Q1834" s="5"/>
      <c r="R1834" s="5"/>
      <c r="S1834" s="5" t="s">
        <v>49029</v>
      </c>
      <c r="T1834" s="28">
        <v>44370000</v>
      </c>
      <c r="U1834" s="28"/>
      <c r="V1834" s="28">
        <v>4304963000</v>
      </c>
      <c r="W1834" s="28">
        <v>9000000</v>
      </c>
      <c r="X1834" s="28">
        <v>99215000</v>
      </c>
      <c r="Y1834" s="28">
        <v>5072556000</v>
      </c>
      <c r="Z1834" s="28">
        <v>216276000</v>
      </c>
      <c r="AA1834" s="28"/>
      <c r="AB1834" s="28">
        <v>2001408000</v>
      </c>
      <c r="AC1834" s="28">
        <v>4772701000</v>
      </c>
      <c r="AD1834" s="28">
        <v>289286000</v>
      </c>
      <c r="AE1834" s="28">
        <v>8179628000</v>
      </c>
      <c r="AF1834" s="28">
        <v>94208000</v>
      </c>
      <c r="AG1834" s="11"/>
    </row>
    <row r="1835">
      <c r="A1835" s="7" t="s">
        <v>3539</v>
      </c>
      <c r="B1835" s="5" t="s">
        <v>11524</v>
      </c>
      <c r="C1835" s="5" t="s">
        <v>19381</v>
      </c>
      <c r="D1835" s="5" t="str">
        <v>772918075487</v>
      </c>
      <c r="E1835" s="0" t="e">
        <f>+7 (495) 1205060
+7 (495) 1206050</f>
        <v>#NAME?</v>
      </c>
      <c r="F1835" s="5" t="s">
        <v>30865</v>
      </c>
      <c r="G1835" s="5" t="s">
        <v>30866</v>
      </c>
      <c r="H1835" s="26">
        <v>2</v>
      </c>
      <c r="I1835" s="5" t="s">
        <v>30867</v>
      </c>
      <c r="J1835" s="5" t="s">
        <v>30822</v>
      </c>
      <c r="K1835" s="5" t="s">
        <v>344</v>
      </c>
      <c r="L1835" s="5"/>
      <c r="M1835" s="27"/>
      <c r="N1835" s="5" t="s">
        <v>52235</v>
      </c>
      <c r="O1835" s="5" t="str">
        <v>9731073699</v>
      </c>
      <c r="P1835" s="27">
        <v>10000</v>
      </c>
      <c r="Q1835" s="5"/>
      <c r="R1835" s="5"/>
      <c r="S1835" s="5" t="s">
        <v>49496</v>
      </c>
      <c r="T1835" s="28">
        <v>1860000</v>
      </c>
      <c r="U1835" s="28"/>
      <c r="V1835" s="28">
        <v>529532000</v>
      </c>
      <c r="W1835" s="28">
        <v>50856000</v>
      </c>
      <c r="X1835" s="28">
        <v>16886000</v>
      </c>
      <c r="Y1835" s="28">
        <v>603094000</v>
      </c>
      <c r="Z1835" s="28">
        <v>83865000</v>
      </c>
      <c r="AA1835" s="28">
        <v>164912000</v>
      </c>
      <c r="AB1835" s="28">
        <v>10978000</v>
      </c>
      <c r="AC1835" s="28">
        <v>354307000</v>
      </c>
      <c r="AD1835" s="28">
        <v>84074000</v>
      </c>
      <c r="AE1835" s="28">
        <v>4719424000</v>
      </c>
      <c r="AF1835" s="28">
        <v>75825000</v>
      </c>
      <c r="AG1835" s="11"/>
    </row>
    <row r="1836">
      <c r="A1836" s="7" t="s">
        <v>3540</v>
      </c>
      <c r="B1836" s="5" t="s">
        <v>11525</v>
      </c>
      <c r="C1836" s="5" t="s">
        <v>19382</v>
      </c>
      <c r="D1836" s="5" t="str">
        <v>504791411192</v>
      </c>
      <c r="E1836" s="0" t="e">
        <f>+7 (495) 2252222
+7 (495) 6096069</f>
        <v>#NAME?</v>
      </c>
      <c r="F1836" s="5"/>
      <c r="G1836" s="5"/>
      <c r="H1836" s="26">
        <v>17</v>
      </c>
      <c r="I1836" s="5" t="s">
        <v>30868</v>
      </c>
      <c r="J1836" s="5" t="s">
        <v>991</v>
      </c>
      <c r="K1836" s="5" t="s">
        <v>344</v>
      </c>
      <c r="L1836" s="5"/>
      <c r="M1836" s="27"/>
      <c r="N1836" s="5"/>
      <c r="O1836" s="5" t="str">
        <v>7743591839</v>
      </c>
      <c r="P1836" s="27">
        <v>15000</v>
      </c>
      <c r="Q1836" s="5"/>
      <c r="R1836" s="5"/>
      <c r="S1836" s="5" t="s">
        <v>49029</v>
      </c>
      <c r="T1836" s="28">
        <v>1989000</v>
      </c>
      <c r="U1836" s="28"/>
      <c r="V1836" s="28">
        <v>1625381000</v>
      </c>
      <c r="W1836" s="28"/>
      <c r="X1836" s="28">
        <v>1460000</v>
      </c>
      <c r="Y1836" s="28">
        <v>1953298000</v>
      </c>
      <c r="Z1836" s="28">
        <v>57712000</v>
      </c>
      <c r="AA1836" s="28"/>
      <c r="AB1836" s="28"/>
      <c r="AC1836" s="28">
        <v>1895361000</v>
      </c>
      <c r="AD1836" s="28">
        <v>57727000</v>
      </c>
      <c r="AE1836" s="28">
        <v>3090203000</v>
      </c>
      <c r="AF1836" s="28">
        <v>45486000</v>
      </c>
      <c r="AG1836" s="11"/>
    </row>
    <row r="1837">
      <c r="A1837" s="7" t="s">
        <v>3541</v>
      </c>
      <c r="B1837" s="5" t="s">
        <v>11526</v>
      </c>
      <c r="C1837" s="5" t="s">
        <v>19383</v>
      </c>
      <c r="D1837" s="5" t="str">
        <v>524603718998</v>
      </c>
      <c r="E1837" s="0" t="e">
        <f>+7 (3472) 242176
+7 (492) 2479269
+7 (495) 3748912
+7 (499) 3467151
+7 (800) 5001426
+7 (831) 2123768
+7 (831) 2725525
+7 (83159) 74111
+7 (83159) 74112
+7 (8332) 413695
+7 (8342) 223739
+7 (8432) 122185
+7 (930) 560091
+7 (930) 565630
+7 (930) 7004987</f>
        <v>#NAME?</v>
      </c>
      <c r="F1837" s="5" t="s">
        <v>30869</v>
      </c>
      <c r="G1837" s="5" t="s">
        <v>30870</v>
      </c>
      <c r="H1837" s="26">
        <v>10.5</v>
      </c>
      <c r="I1837" s="5" t="s">
        <v>30871</v>
      </c>
      <c r="J1837" s="5" t="s">
        <v>30872</v>
      </c>
      <c r="K1837" s="5" t="s">
        <v>344</v>
      </c>
      <c r="L1837" s="5" t="s">
        <v>30873</v>
      </c>
      <c r="M1837" s="27">
        <v>222494364</v>
      </c>
      <c r="N1837" s="5" t="s">
        <v>52236</v>
      </c>
      <c r="O1837" s="5" t="str">
        <v>5246042313</v>
      </c>
      <c r="P1837" s="27">
        <v>100000</v>
      </c>
      <c r="Q1837" s="5" t="s">
        <v>52237</v>
      </c>
      <c r="R1837" s="5"/>
      <c r="S1837" s="5" t="s">
        <v>52238</v>
      </c>
      <c r="T1837" s="28">
        <v>260849000</v>
      </c>
      <c r="U1837" s="28"/>
      <c r="V1837" s="28">
        <v>1067864000</v>
      </c>
      <c r="W1837" s="28">
        <v>11215000</v>
      </c>
      <c r="X1837" s="28">
        <v>95313000</v>
      </c>
      <c r="Y1837" s="28">
        <v>3833124000</v>
      </c>
      <c r="Z1837" s="28">
        <v>509740000</v>
      </c>
      <c r="AA1837" s="28">
        <v>32362000</v>
      </c>
      <c r="AB1837" s="28">
        <v>550442000</v>
      </c>
      <c r="AC1837" s="28">
        <v>3139060000</v>
      </c>
      <c r="AD1837" s="28">
        <v>608559000</v>
      </c>
      <c r="AE1837" s="28">
        <v>7694311000</v>
      </c>
      <c r="AF1837" s="28">
        <v>252220000</v>
      </c>
      <c r="AG1837" s="11"/>
    </row>
    <row r="1838">
      <c r="A1838" s="7" t="s">
        <v>3542</v>
      </c>
      <c r="B1838" s="5" t="s">
        <v>11527</v>
      </c>
      <c r="C1838" s="5" t="s">
        <v>19384</v>
      </c>
      <c r="D1838" s="5" t="str">
        <v>771504070002</v>
      </c>
      <c r="E1838" s="0" t="e">
        <f>+7 (495) 6538135
+7 (495) 9560077
+7 (963) 6805411</f>
        <v>#NAME?</v>
      </c>
      <c r="F1838" s="5" t="s">
        <v>30874</v>
      </c>
      <c r="G1838" s="5" t="s">
        <v>30875</v>
      </c>
      <c r="H1838" s="26">
        <v>14.5</v>
      </c>
      <c r="I1838" s="5"/>
      <c r="J1838" s="5" t="s">
        <v>364</v>
      </c>
      <c r="K1838" s="5" t="s">
        <v>344</v>
      </c>
      <c r="L1838" s="5" t="s">
        <v>30876</v>
      </c>
      <c r="M1838" s="27"/>
      <c r="N1838" s="5"/>
      <c r="O1838" s="5" t="str">
        <v>7703674775</v>
      </c>
      <c r="P1838" s="27">
        <v>210000</v>
      </c>
      <c r="Q1838" s="5" t="s">
        <v>49009</v>
      </c>
      <c r="R1838" s="5" t="s">
        <v>52239</v>
      </c>
      <c r="S1838" s="5" t="s">
        <v>49010</v>
      </c>
      <c r="T1838" s="28">
        <v>84515000</v>
      </c>
      <c r="U1838" s="28">
        <v>226720000</v>
      </c>
      <c r="V1838" s="28">
        <v>2309042000</v>
      </c>
      <c r="W1838" s="28">
        <v>102013000</v>
      </c>
      <c r="X1838" s="28">
        <v>259781000</v>
      </c>
      <c r="Y1838" s="28">
        <v>3028625000</v>
      </c>
      <c r="Z1838" s="28">
        <v>253647000</v>
      </c>
      <c r="AA1838" s="28">
        <v>195191000</v>
      </c>
      <c r="AB1838" s="28">
        <v>55000</v>
      </c>
      <c r="AC1838" s="28">
        <v>2570950000</v>
      </c>
      <c r="AD1838" s="28">
        <v>253857000</v>
      </c>
      <c r="AE1838" s="28">
        <v>3917882000</v>
      </c>
      <c r="AF1838" s="28">
        <v>72413000</v>
      </c>
      <c r="AG1838" s="11"/>
    </row>
    <row r="1839">
      <c r="A1839" s="7" t="s">
        <v>3543</v>
      </c>
      <c r="B1839" s="5" t="s">
        <v>11528</v>
      </c>
      <c r="C1839" s="5" t="s">
        <v>19385</v>
      </c>
      <c r="D1839" s="5" t="str">
        <v>773380602544</v>
      </c>
      <c r="E1839" s="0" t="e">
        <f>+7 (343) 3806330
+7 (343) 3806331
+7 (3472) 468522
+7 (3512) 744207
+7 (3652) 772727
+7 (381) 2335546
+7 (381) 2342613
+7 (383) 3357095
+7 (383) 3357096
+7 (385) 2730378
+7 (385) 2730379
+7 (4232) 392488
+7 (4712) 770411
+7 (473) 2020752
+7 (473) 2020912</f>
        <v>#NAME?</v>
      </c>
      <c r="F1839" s="5" t="s">
        <v>30877</v>
      </c>
      <c r="G1839" s="5" t="s">
        <v>30878</v>
      </c>
      <c r="H1839" s="26">
        <v>7.5</v>
      </c>
      <c r="I1839" s="5" t="s">
        <v>30879</v>
      </c>
      <c r="J1839" s="5" t="s">
        <v>678</v>
      </c>
      <c r="K1839" s="5" t="s">
        <v>344</v>
      </c>
      <c r="L1839" s="5" t="s">
        <v>30880</v>
      </c>
      <c r="M1839" s="27"/>
      <c r="N1839" s="5" t="s">
        <v>52240</v>
      </c>
      <c r="O1839" s="5" t="str">
        <v>7708264652</v>
      </c>
      <c r="P1839" s="27">
        <v>100000</v>
      </c>
      <c r="Q1839" s="5" t="s">
        <v>49021</v>
      </c>
      <c r="R1839" s="5"/>
      <c r="S1839" s="5" t="s">
        <v>52241</v>
      </c>
      <c r="T1839" s="28">
        <v>228943000</v>
      </c>
      <c r="U1839" s="28">
        <v>73388000</v>
      </c>
      <c r="V1839" s="28">
        <v>252854000</v>
      </c>
      <c r="W1839" s="28">
        <v>95339000</v>
      </c>
      <c r="X1839" s="28">
        <v>119476000</v>
      </c>
      <c r="Y1839" s="28">
        <v>2253361000</v>
      </c>
      <c r="Z1839" s="28">
        <v>1591129000</v>
      </c>
      <c r="AA1839" s="28"/>
      <c r="AB1839" s="28">
        <v>50104000</v>
      </c>
      <c r="AC1839" s="28">
        <v>401874000</v>
      </c>
      <c r="AD1839" s="28">
        <v>1591229000</v>
      </c>
      <c r="AE1839" s="28">
        <v>4030037000</v>
      </c>
      <c r="AF1839" s="28">
        <v>849853000</v>
      </c>
      <c r="AG1839" s="11"/>
    </row>
    <row r="1840">
      <c r="A1840" s="7" t="s">
        <v>3544</v>
      </c>
      <c r="B1840" s="5" t="s">
        <v>11529</v>
      </c>
      <c r="C1840" s="5" t="s">
        <v>19386</v>
      </c>
      <c r="D1840" s="5" t="str">
        <v>165714595586</v>
      </c>
      <c r="E1840" s="0" t="e">
        <f>+7 (499) 5503078
+7 (495) 4458824
+7 (499) 2290410
+7 (499) 4305205
+7 (499) 4330509
+7 (800) 5118295
+7 (855) 2778282
+7 (965) 6132600</f>
        <v>#NAME?</v>
      </c>
      <c r="F1840" s="5" t="s">
        <v>30881</v>
      </c>
      <c r="G1840" s="5" t="s">
        <v>30882</v>
      </c>
      <c r="H1840" s="26">
        <v>13.5</v>
      </c>
      <c r="I1840" s="5" t="s">
        <v>30883</v>
      </c>
      <c r="J1840" s="5" t="s">
        <v>533</v>
      </c>
      <c r="K1840" s="5" t="s">
        <v>344</v>
      </c>
      <c r="L1840" s="5" t="s">
        <v>30884</v>
      </c>
      <c r="M1840" s="27">
        <v>659688</v>
      </c>
      <c r="N1840" s="5"/>
      <c r="O1840" s="5" t="str">
        <v>1639041210</v>
      </c>
      <c r="P1840" s="27">
        <v>3000000</v>
      </c>
      <c r="Q1840" s="5" t="s">
        <v>49009</v>
      </c>
      <c r="R1840" s="5"/>
      <c r="S1840" s="5" t="s">
        <v>52242</v>
      </c>
      <c r="T1840" s="28">
        <v>1626634000</v>
      </c>
      <c r="U1840" s="28"/>
      <c r="V1840" s="28">
        <v>3581767000</v>
      </c>
      <c r="W1840" s="28">
        <v>2182458000</v>
      </c>
      <c r="X1840" s="28">
        <v>83060000</v>
      </c>
      <c r="Y1840" s="28">
        <v>7482194000</v>
      </c>
      <c r="Z1840" s="28">
        <v>641136000</v>
      </c>
      <c r="AA1840" s="28">
        <v>1994956000</v>
      </c>
      <c r="AB1840" s="28">
        <v>13965000</v>
      </c>
      <c r="AC1840" s="28">
        <v>4843102000</v>
      </c>
      <c r="AD1840" s="28">
        <v>644136000</v>
      </c>
      <c r="AE1840" s="28">
        <v>25218117000</v>
      </c>
      <c r="AF1840" s="28">
        <v>362150000</v>
      </c>
      <c r="AG1840" s="11"/>
    </row>
    <row r="1841">
      <c r="A1841" s="7" t="s">
        <v>3545</v>
      </c>
      <c r="B1841" s="5" t="s">
        <v>11530</v>
      </c>
      <c r="C1841" s="5" t="s">
        <v>19387</v>
      </c>
      <c r="D1841" s="5" t="str">
        <v>110100847382</v>
      </c>
      <c r="E1841" s="0" t="e">
        <f>+7 (495) 2130000
+7 (985) 7659514
+7 (495) 2130055
+7 (495) 6130000
+7 (495) 9213473</f>
        <v>#NAME?</v>
      </c>
      <c r="F1841" s="5" t="s">
        <v>30885</v>
      </c>
      <c r="G1841" s="5"/>
      <c r="H1841" s="26">
        <v>16</v>
      </c>
      <c r="I1841" s="5" t="s">
        <v>30886</v>
      </c>
      <c r="J1841" s="5" t="s">
        <v>1026</v>
      </c>
      <c r="K1841" s="5" t="s">
        <v>380</v>
      </c>
      <c r="L1841" s="5" t="s">
        <v>30887</v>
      </c>
      <c r="M1841" s="27">
        <v>99850858</v>
      </c>
      <c r="N1841" s="5"/>
      <c r="O1841" s="5" t="str">
        <v>7704648707</v>
      </c>
      <c r="P1841" s="27">
        <v>10000</v>
      </c>
      <c r="Q1841" s="5"/>
      <c r="R1841" s="5"/>
      <c r="S1841" s="5" t="s">
        <v>49029</v>
      </c>
      <c r="T1841" s="28"/>
      <c r="U1841" s="28"/>
      <c r="V1841" s="28">
        <v>890756000</v>
      </c>
      <c r="W1841" s="28">
        <v>44658000</v>
      </c>
      <c r="X1841" s="28">
        <v>11336000</v>
      </c>
      <c r="Y1841" s="28">
        <v>1219895000</v>
      </c>
      <c r="Z1841" s="28">
        <v>-3604444000</v>
      </c>
      <c r="AA1841" s="28"/>
      <c r="AB1841" s="28">
        <v>379837000</v>
      </c>
      <c r="AC1841" s="28">
        <v>4819038000</v>
      </c>
      <c r="AD1841" s="28">
        <v>-3604433000</v>
      </c>
      <c r="AE1841" s="28">
        <v>9839957000</v>
      </c>
      <c r="AF1841" s="28">
        <v>-6934074000</v>
      </c>
      <c r="AG1841" s="11"/>
    </row>
    <row r="1842">
      <c r="A1842" s="7" t="s">
        <v>3546</v>
      </c>
      <c r="B1842" s="5" t="s">
        <v>11531</v>
      </c>
      <c r="C1842" s="5" t="s">
        <v>19388</v>
      </c>
      <c r="D1842" s="5" t="str">
        <v>245206072400</v>
      </c>
      <c r="F1842" s="5"/>
      <c r="G1842" s="5"/>
      <c r="H1842" s="26">
        <v>6.5</v>
      </c>
      <c r="I1842" s="5" t="s">
        <v>30888</v>
      </c>
      <c r="J1842" s="5" t="s">
        <v>25484</v>
      </c>
      <c r="K1842" s="5" t="s">
        <v>380</v>
      </c>
      <c r="L1842" s="5"/>
      <c r="M1842" s="27"/>
      <c r="N1842" s="5"/>
      <c r="O1842" s="5" t="str">
        <v>7704367343</v>
      </c>
      <c r="P1842" s="27">
        <v>100000</v>
      </c>
      <c r="Q1842" s="5" t="s">
        <v>49009</v>
      </c>
      <c r="R1842" s="5"/>
      <c r="S1842" s="5" t="s">
        <v>49010</v>
      </c>
      <c r="T1842" s="28">
        <v>33624089000</v>
      </c>
      <c r="U1842" s="28">
        <v>23416954000</v>
      </c>
      <c r="V1842" s="28">
        <v>13527922000</v>
      </c>
      <c r="W1842" s="28"/>
      <c r="X1842" s="28">
        <v>1300000</v>
      </c>
      <c r="Y1842" s="28">
        <v>73837644000</v>
      </c>
      <c r="Z1842" s="28">
        <v>29818350000</v>
      </c>
      <c r="AA1842" s="28">
        <v>30221192000</v>
      </c>
      <c r="AB1842" s="28">
        <v>584339000</v>
      </c>
      <c r="AC1842" s="28">
        <v>12463612000</v>
      </c>
      <c r="AD1842" s="28">
        <v>29818455000</v>
      </c>
      <c r="AE1842" s="28">
        <v>5480204000</v>
      </c>
      <c r="AF1842" s="28">
        <v>7636000</v>
      </c>
      <c r="AG1842" s="11"/>
    </row>
    <row r="1843">
      <c r="A1843" s="7" t="s">
        <v>3547</v>
      </c>
      <c r="B1843" s="5" t="s">
        <v>11532</v>
      </c>
      <c r="C1843" s="5" t="s">
        <v>19389</v>
      </c>
      <c r="D1843" s="5" t="str">
        <v>504706302357</v>
      </c>
      <c r="E1843" s="0" t="e">
        <f>+7 (495) 6516230
+7 (495) 9698578
+7 (495) 9782587
+7 (499) 9782587
+7 (800) 3010367</f>
        <v>#NAME?</v>
      </c>
      <c r="F1843" s="5"/>
      <c r="G1843" s="5" t="s">
        <v>30889</v>
      </c>
      <c r="H1843" s="26">
        <v>12</v>
      </c>
      <c r="I1843" s="5" t="s">
        <v>30890</v>
      </c>
      <c r="J1843" s="5" t="s">
        <v>26297</v>
      </c>
      <c r="K1843" s="5" t="s">
        <v>344</v>
      </c>
      <c r="L1843" s="5" t="s">
        <v>30891</v>
      </c>
      <c r="M1843" s="27"/>
      <c r="N1843" s="5"/>
      <c r="O1843" s="5" t="str">
        <v>7702753199</v>
      </c>
      <c r="P1843" s="27">
        <v>250000</v>
      </c>
      <c r="Q1843" s="5"/>
      <c r="R1843" s="5"/>
      <c r="S1843" s="5" t="s">
        <v>49123</v>
      </c>
      <c r="T1843" s="28">
        <v>37194000</v>
      </c>
      <c r="U1843" s="28"/>
      <c r="V1843" s="28">
        <v>2280687000</v>
      </c>
      <c r="W1843" s="28">
        <v>143500000</v>
      </c>
      <c r="X1843" s="28">
        <v>790000</v>
      </c>
      <c r="Y1843" s="28">
        <v>4334944000</v>
      </c>
      <c r="Z1843" s="28">
        <v>235039000</v>
      </c>
      <c r="AA1843" s="28"/>
      <c r="AB1843" s="28">
        <v>3502862000</v>
      </c>
      <c r="AC1843" s="28">
        <v>4055308000</v>
      </c>
      <c r="AD1843" s="28">
        <v>235289000</v>
      </c>
      <c r="AE1843" s="28">
        <v>4776732000</v>
      </c>
      <c r="AF1843" s="28">
        <v>27364000</v>
      </c>
      <c r="AG1843" s="11"/>
    </row>
    <row r="1844">
      <c r="A1844" s="7" t="s">
        <v>3548</v>
      </c>
      <c r="B1844" s="5" t="s">
        <v>11533</v>
      </c>
      <c r="C1844" s="5" t="s">
        <v>19390</v>
      </c>
      <c r="D1844" s="5" t="str">
        <v>781417568327</v>
      </c>
      <c r="E1844" s="0" t="e">
        <f>+7 (800) 1008000
+7 (981) 2470036</f>
        <v>#NAME?</v>
      </c>
      <c r="F1844" s="5" t="s">
        <v>30892</v>
      </c>
      <c r="G1844" s="5" t="s">
        <v>30893</v>
      </c>
      <c r="H1844" s="26">
        <v>20</v>
      </c>
      <c r="I1844" s="5" t="s">
        <v>30894</v>
      </c>
      <c r="J1844" s="5" t="s">
        <v>599</v>
      </c>
      <c r="K1844" s="5" t="s">
        <v>344</v>
      </c>
      <c r="L1844" s="5" t="s">
        <v>30895</v>
      </c>
      <c r="M1844" s="27">
        <v>152560072</v>
      </c>
      <c r="N1844" s="5" t="s">
        <v>52243</v>
      </c>
      <c r="O1844" s="5" t="str">
        <v>7826156685</v>
      </c>
      <c r="P1844" s="27">
        <v>10000000</v>
      </c>
      <c r="Q1844" s="5" t="s">
        <v>52244</v>
      </c>
      <c r="R1844" s="5" t="s">
        <v>52245</v>
      </c>
      <c r="S1844" s="5" t="s">
        <v>52246</v>
      </c>
      <c r="T1844" s="28">
        <v>111452000</v>
      </c>
      <c r="U1844" s="28"/>
      <c r="V1844" s="28">
        <v>4255741000</v>
      </c>
      <c r="W1844" s="28"/>
      <c r="X1844" s="28">
        <v>4722614000</v>
      </c>
      <c r="Y1844" s="28">
        <v>10399480000</v>
      </c>
      <c r="Z1844" s="28">
        <v>991737000</v>
      </c>
      <c r="AA1844" s="28">
        <v>7176000</v>
      </c>
      <c r="AB1844" s="28">
        <v>456790000</v>
      </c>
      <c r="AC1844" s="28">
        <v>8670251000</v>
      </c>
      <c r="AD1844" s="28">
        <v>1591747000</v>
      </c>
      <c r="AE1844" s="28">
        <v>52093447000</v>
      </c>
      <c r="AF1844" s="28">
        <v>1847364000</v>
      </c>
      <c r="AG1844" s="11"/>
    </row>
    <row r="1845">
      <c r="A1845" s="7" t="s">
        <v>3549</v>
      </c>
      <c r="B1845" s="5" t="s">
        <v>11534</v>
      </c>
      <c r="C1845" s="5" t="s">
        <v>19391</v>
      </c>
      <c r="D1845" s="5" t="str">
        <v>502004930981</v>
      </c>
      <c r="E1845" s="0" t="e">
        <f>+7 (495) 7393359
+7 (800) 2005262
+7 (495) 7812675
+7 (495) 7812676
+7 (800) 5005606</f>
        <v>#NAME?</v>
      </c>
      <c r="F1845" s="5" t="s">
        <v>30896</v>
      </c>
      <c r="G1845" s="5" t="s">
        <v>30897</v>
      </c>
      <c r="H1845" s="26">
        <v>17.5</v>
      </c>
      <c r="I1845" s="5" t="s">
        <v>30898</v>
      </c>
      <c r="J1845" s="5" t="s">
        <v>27522</v>
      </c>
      <c r="K1845" s="5" t="s">
        <v>355</v>
      </c>
      <c r="L1845" s="5"/>
      <c r="M1845" s="27"/>
      <c r="N1845" s="5"/>
      <c r="O1845" s="5" t="str">
        <v>1646017441</v>
      </c>
      <c r="P1845" s="27">
        <v>3944820000</v>
      </c>
      <c r="Q1845" s="5"/>
      <c r="R1845" s="5"/>
      <c r="S1845" s="5" t="s">
        <v>49110</v>
      </c>
      <c r="T1845" s="28">
        <v>427339000</v>
      </c>
      <c r="U1845" s="28"/>
      <c r="V1845" s="28">
        <v>2676226000</v>
      </c>
      <c r="W1845" s="28"/>
      <c r="X1845" s="28">
        <v>347678000</v>
      </c>
      <c r="Y1845" s="28">
        <v>4634908000</v>
      </c>
      <c r="Z1845" s="28">
        <v>-95877000</v>
      </c>
      <c r="AA1845" s="28"/>
      <c r="AB1845" s="28">
        <v>302000</v>
      </c>
      <c r="AC1845" s="28">
        <v>785937000</v>
      </c>
      <c r="AD1845" s="28">
        <v>3848971000</v>
      </c>
      <c r="AE1845" s="28">
        <v>7941554000</v>
      </c>
      <c r="AF1845" s="28">
        <v>-618641000</v>
      </c>
      <c r="AG1845" s="11"/>
    </row>
    <row r="1846">
      <c r="A1846" s="7" t="s">
        <v>3550</v>
      </c>
      <c r="B1846" s="5" t="s">
        <v>11535</v>
      </c>
      <c r="C1846" s="5" t="s">
        <v>19392</v>
      </c>
      <c r="D1846" s="5" t="str">
        <v>616402957932</v>
      </c>
      <c r="E1846" s="0" t="e">
        <f>+7 (863) 3032009
+7 (863) 3032094
+7 (928) 7787250
+7 (988) 2501212</f>
        <v>#NAME?</v>
      </c>
      <c r="F1846" s="5" t="s">
        <v>30899</v>
      </c>
      <c r="G1846" s="5"/>
      <c r="H1846" s="26">
        <v>6</v>
      </c>
      <c r="I1846" s="5" t="s">
        <v>30900</v>
      </c>
      <c r="J1846" s="5" t="s">
        <v>25388</v>
      </c>
      <c r="K1846" s="5" t="s">
        <v>344</v>
      </c>
      <c r="L1846" s="5" t="s">
        <v>30901</v>
      </c>
      <c r="M1846" s="27"/>
      <c r="N1846" s="5"/>
      <c r="O1846" s="5" t="str">
        <v>6164111825</v>
      </c>
      <c r="P1846" s="27">
        <v>500000</v>
      </c>
      <c r="Q1846" s="5" t="s">
        <v>49728</v>
      </c>
      <c r="R1846" s="5"/>
      <c r="S1846" s="5" t="s">
        <v>52247</v>
      </c>
      <c r="T1846" s="28">
        <v>22095000</v>
      </c>
      <c r="U1846" s="28"/>
      <c r="V1846" s="28">
        <v>1635699000</v>
      </c>
      <c r="W1846" s="28">
        <v>322999000</v>
      </c>
      <c r="X1846" s="28">
        <v>20106000</v>
      </c>
      <c r="Y1846" s="28">
        <v>2601788000</v>
      </c>
      <c r="Z1846" s="28">
        <v>213214000</v>
      </c>
      <c r="AA1846" s="28">
        <v>149800000</v>
      </c>
      <c r="AB1846" s="28">
        <v>1506895000</v>
      </c>
      <c r="AC1846" s="28">
        <v>2236419000</v>
      </c>
      <c r="AD1846" s="28">
        <v>213714000</v>
      </c>
      <c r="AE1846" s="28">
        <v>14093259000</v>
      </c>
      <c r="AF1846" s="28">
        <v>84979000</v>
      </c>
      <c r="AG1846" s="11"/>
    </row>
    <row r="1847">
      <c r="A1847" s="7" t="s">
        <v>3551</v>
      </c>
      <c r="B1847" s="5" t="s">
        <v>11536</v>
      </c>
      <c r="C1847" s="5" t="s">
        <v>19393</v>
      </c>
      <c r="D1847" s="5" t="str">
        <v>502300259322</v>
      </c>
      <c r="E1847" s="0" t="e">
        <f>+7 (985) 4706522
+7 (495) 9934646</f>
        <v>#NAME?</v>
      </c>
      <c r="F1847" s="5" t="s">
        <v>30902</v>
      </c>
      <c r="G1847" s="5"/>
      <c r="H1847" s="26">
        <v>17.5</v>
      </c>
      <c r="I1847" s="5" t="s">
        <v>30903</v>
      </c>
      <c r="J1847" s="5" t="s">
        <v>30904</v>
      </c>
      <c r="K1847" s="5" t="s">
        <v>344</v>
      </c>
      <c r="L1847" s="5"/>
      <c r="M1847" s="27"/>
      <c r="N1847" s="5"/>
      <c r="O1847" s="5" t="str">
        <v>7718549336</v>
      </c>
      <c r="P1847" s="27">
        <v>100000000</v>
      </c>
      <c r="Q1847" s="5" t="s">
        <v>49319</v>
      </c>
      <c r="R1847" s="5"/>
      <c r="S1847" s="5" t="s">
        <v>49320</v>
      </c>
      <c r="T1847" s="28">
        <v>189203000</v>
      </c>
      <c r="U1847" s="28"/>
      <c r="V1847" s="28">
        <v>2325977000</v>
      </c>
      <c r="W1847" s="28">
        <v>500000000</v>
      </c>
      <c r="X1847" s="28">
        <v>560975000</v>
      </c>
      <c r="Y1847" s="28">
        <v>3728243000</v>
      </c>
      <c r="Z1847" s="28">
        <v>232893000</v>
      </c>
      <c r="AA1847" s="28">
        <v>441997000</v>
      </c>
      <c r="AB1847" s="28"/>
      <c r="AC1847" s="28">
        <v>2808352000</v>
      </c>
      <c r="AD1847" s="28">
        <v>477893000</v>
      </c>
      <c r="AE1847" s="28">
        <v>4681222000</v>
      </c>
      <c r="AF1847" s="28">
        <v>172235000</v>
      </c>
      <c r="AG1847" s="11"/>
    </row>
    <row r="1848">
      <c r="A1848" s="7" t="s">
        <v>3552</v>
      </c>
      <c r="B1848" s="5" t="s">
        <v>11537</v>
      </c>
      <c r="C1848" s="5" t="s">
        <v>19394</v>
      </c>
      <c r="D1848" s="5" t="str">
        <v>643101786317</v>
      </c>
      <c r="E1848" s="0" t="e">
        <f>+7 (381) 2531715
+7 (391) 2405033
+7 (495) 7247290
+7 (495) 9932882
+7 (495) 9934656
+7 (913) 1412213
+7 (928) 8343334
+7 (963) 6442710
+7 (963) 6442718
+7 (964) 5709921</f>
        <v>#NAME?</v>
      </c>
      <c r="F1848" s="5" t="s">
        <v>30905</v>
      </c>
      <c r="G1848" s="5" t="s">
        <v>30906</v>
      </c>
      <c r="H1848" s="26">
        <v>18.5</v>
      </c>
      <c r="I1848" s="5"/>
      <c r="J1848" s="5" t="s">
        <v>30907</v>
      </c>
      <c r="K1848" s="5" t="s">
        <v>344</v>
      </c>
      <c r="L1848" s="5"/>
      <c r="M1848" s="27"/>
      <c r="N1848" s="5" t="s">
        <v>52248</v>
      </c>
      <c r="O1848" s="5" t="str">
        <v>7743538088</v>
      </c>
      <c r="P1848" s="27">
        <v>100000</v>
      </c>
      <c r="Q1848" s="5" t="s">
        <v>49021</v>
      </c>
      <c r="R1848" s="5"/>
      <c r="S1848" s="5" t="s">
        <v>52249</v>
      </c>
      <c r="T1848" s="28">
        <v>14824000</v>
      </c>
      <c r="U1848" s="28"/>
      <c r="V1848" s="28">
        <v>1870638000</v>
      </c>
      <c r="W1848" s="28">
        <v>101310000</v>
      </c>
      <c r="X1848" s="28">
        <v>3173000</v>
      </c>
      <c r="Y1848" s="28">
        <v>2389916000</v>
      </c>
      <c r="Z1848" s="28">
        <v>667945000</v>
      </c>
      <c r="AA1848" s="28">
        <v>5000000</v>
      </c>
      <c r="AB1848" s="28">
        <v>6708000</v>
      </c>
      <c r="AC1848" s="28">
        <v>1715935000</v>
      </c>
      <c r="AD1848" s="28">
        <v>668981000</v>
      </c>
      <c r="AE1848" s="28">
        <v>5820639000</v>
      </c>
      <c r="AF1848" s="28">
        <v>83952000</v>
      </c>
      <c r="AG1848" s="11"/>
    </row>
    <row r="1849">
      <c r="A1849" s="7" t="s">
        <v>3553</v>
      </c>
      <c r="B1849" s="5" t="s">
        <v>11538</v>
      </c>
      <c r="C1849" s="5" t="s">
        <v>19395</v>
      </c>
      <c r="D1849" s="5" t="str">
        <v>370262462654</v>
      </c>
      <c r="E1849" s="0" t="e">
        <f>+7 (495) 4860332</f>
        <v>#NAME?</v>
      </c>
      <c r="F1849" s="5"/>
      <c r="G1849" s="5"/>
      <c r="H1849" s="26">
        <v>8</v>
      </c>
      <c r="I1849" s="5" t="s">
        <v>30908</v>
      </c>
      <c r="J1849" s="5" t="s">
        <v>30218</v>
      </c>
      <c r="K1849" s="5" t="s">
        <v>344</v>
      </c>
      <c r="L1849" s="5" t="s">
        <v>30909</v>
      </c>
      <c r="M1849" s="27"/>
      <c r="N1849" s="5"/>
      <c r="O1849" s="5" t="str">
        <v>7743090938</v>
      </c>
      <c r="P1849" s="27">
        <v>10000</v>
      </c>
      <c r="Q1849" s="5" t="s">
        <v>49021</v>
      </c>
      <c r="R1849" s="5"/>
      <c r="S1849" s="5" t="s">
        <v>51713</v>
      </c>
      <c r="T1849" s="28">
        <v>3468000</v>
      </c>
      <c r="U1849" s="28"/>
      <c r="V1849" s="28">
        <v>757443000</v>
      </c>
      <c r="W1849" s="28"/>
      <c r="X1849" s="28">
        <v>41506000</v>
      </c>
      <c r="Y1849" s="28">
        <v>1621635000</v>
      </c>
      <c r="Z1849" s="28">
        <v>964003000</v>
      </c>
      <c r="AA1849" s="28"/>
      <c r="AB1849" s="28">
        <v>405875000</v>
      </c>
      <c r="AC1849" s="28">
        <v>657589000</v>
      </c>
      <c r="AD1849" s="28">
        <v>964013000</v>
      </c>
      <c r="AE1849" s="28">
        <v>3809066000</v>
      </c>
      <c r="AF1849" s="28">
        <v>310104000</v>
      </c>
      <c r="AG1849" s="11"/>
    </row>
    <row r="1850">
      <c r="A1850" s="7" t="s">
        <v>3554</v>
      </c>
      <c r="B1850" s="5" t="s">
        <v>11539</v>
      </c>
      <c r="C1850" s="5" t="s">
        <v>19396</v>
      </c>
      <c r="D1850" s="5" t="str">
        <v>366405444643</v>
      </c>
      <c r="E1850" s="0" t="e">
        <f>+7 (495) 3803691
+7 (495) 3903601
+7 (812) 4497165
+7 (8632) 98762
+7 (905) 7104119
+7 (965) 1173454</f>
        <v>#NAME?</v>
      </c>
      <c r="F1850" s="5" t="s">
        <v>30910</v>
      </c>
      <c r="G1850" s="5" t="s">
        <v>30911</v>
      </c>
      <c r="H1850" s="26">
        <v>21.5</v>
      </c>
      <c r="I1850" s="5" t="s">
        <v>30912</v>
      </c>
      <c r="J1850" s="5" t="s">
        <v>27164</v>
      </c>
      <c r="K1850" s="5" t="s">
        <v>344</v>
      </c>
      <c r="L1850" s="5" t="s">
        <v>30913</v>
      </c>
      <c r="M1850" s="27"/>
      <c r="N1850" s="5" t="s">
        <v>52250</v>
      </c>
      <c r="O1850" s="5" t="str">
        <v>7731178881</v>
      </c>
      <c r="P1850" s="27">
        <v>10000</v>
      </c>
      <c r="Q1850" s="5" t="s">
        <v>52251</v>
      </c>
      <c r="R1850" s="5"/>
      <c r="S1850" s="5" t="s">
        <v>50565</v>
      </c>
      <c r="T1850" s="28">
        <v>8468000</v>
      </c>
      <c r="U1850" s="28"/>
      <c r="V1850" s="28">
        <v>222495000</v>
      </c>
      <c r="W1850" s="28">
        <v>291000000</v>
      </c>
      <c r="X1850" s="28">
        <v>335941000</v>
      </c>
      <c r="Y1850" s="28">
        <v>936842000</v>
      </c>
      <c r="Z1850" s="28">
        <v>247214000</v>
      </c>
      <c r="AA1850" s="28">
        <v>14250000</v>
      </c>
      <c r="AB1850" s="28">
        <v>6232000</v>
      </c>
      <c r="AC1850" s="28">
        <v>673385000</v>
      </c>
      <c r="AD1850" s="28">
        <v>247224000</v>
      </c>
      <c r="AE1850" s="28">
        <v>4136805000</v>
      </c>
      <c r="AF1850" s="28">
        <v>227934000</v>
      </c>
      <c r="AG1850" s="11"/>
    </row>
    <row r="1851">
      <c r="A1851" s="7" t="s">
        <v>3555</v>
      </c>
      <c r="B1851" s="5" t="s">
        <v>11540</v>
      </c>
      <c r="C1851" s="5" t="s">
        <v>19397</v>
      </c>
      <c r="D1851" s="5" t="str">
        <v>773121701183</v>
      </c>
      <c r="E1851" s="0" t="e">
        <f>+7 (343) 3103001
+7 (4862) 541366
+7 (495) 1257700
+7 (495) 2120066
+7 (495) 2257186
+7 (495) 3639600
+7 (495) 3800080
+7 (495) 4146589
+7 (495) 4146598
+7 (495) 4575845
+7 (499) 1102105
+7 (499) 1207700
+7 (495) 1207700
+7 (495) 3803601
+7 (499) 4505299</f>
        <v>#NAME?</v>
      </c>
      <c r="F1851" s="5" t="s">
        <v>30914</v>
      </c>
      <c r="G1851" s="5" t="s">
        <v>30915</v>
      </c>
      <c r="H1851" s="26">
        <v>5.5</v>
      </c>
      <c r="I1851" s="5" t="s">
        <v>30916</v>
      </c>
      <c r="J1851" s="5" t="s">
        <v>27164</v>
      </c>
      <c r="K1851" s="5" t="s">
        <v>344</v>
      </c>
      <c r="L1851" s="5" t="s">
        <v>30917</v>
      </c>
      <c r="M1851" s="27"/>
      <c r="N1851" s="5" t="s">
        <v>52252</v>
      </c>
      <c r="O1851" s="5" t="str">
        <v>7731373530</v>
      </c>
      <c r="P1851" s="27">
        <v>10000</v>
      </c>
      <c r="Q1851" s="5" t="s">
        <v>52253</v>
      </c>
      <c r="R1851" s="5"/>
      <c r="S1851" s="5" t="s">
        <v>52254</v>
      </c>
      <c r="T1851" s="28">
        <v>52919000</v>
      </c>
      <c r="U1851" s="28">
        <v>23012000</v>
      </c>
      <c r="V1851" s="28">
        <v>7339730000</v>
      </c>
      <c r="W1851" s="28">
        <v>527653000</v>
      </c>
      <c r="X1851" s="28">
        <v>1335412000</v>
      </c>
      <c r="Y1851" s="28">
        <v>13046126000</v>
      </c>
      <c r="Z1851" s="28">
        <v>1588459000</v>
      </c>
      <c r="AA1851" s="28">
        <v>4250802000</v>
      </c>
      <c r="AB1851" s="28"/>
      <c r="AC1851" s="28">
        <v>7099811000</v>
      </c>
      <c r="AD1851" s="28">
        <v>1588469000</v>
      </c>
      <c r="AE1851" s="28">
        <v>12839420000</v>
      </c>
      <c r="AF1851" s="28">
        <v>-707675000</v>
      </c>
      <c r="AG1851" s="11"/>
    </row>
    <row r="1852">
      <c r="A1852" s="7" t="s">
        <v>3556</v>
      </c>
      <c r="B1852" s="5" t="s">
        <v>11541</v>
      </c>
      <c r="C1852" s="5" t="s">
        <v>19313</v>
      </c>
      <c r="D1852" s="5" t="str">
        <v>526013583406</v>
      </c>
      <c r="E1852" s="0" t="e">
        <f>+7 (495) 6800808
+7 (812) 4290964
+7 (916) 9704970</f>
        <v>#NAME?</v>
      </c>
      <c r="F1852" s="5" t="s">
        <v>30918</v>
      </c>
      <c r="G1852" s="5"/>
      <c r="H1852" s="26">
        <v>6.5</v>
      </c>
      <c r="I1852" s="5" t="s">
        <v>30654</v>
      </c>
      <c r="J1852" s="5" t="s">
        <v>364</v>
      </c>
      <c r="K1852" s="5" t="s">
        <v>380</v>
      </c>
      <c r="L1852" s="5"/>
      <c r="M1852" s="27">
        <v>147720900</v>
      </c>
      <c r="N1852" s="5" t="s">
        <v>52255</v>
      </c>
      <c r="O1852" s="5" t="str">
        <v>7810474844</v>
      </c>
      <c r="P1852" s="27">
        <v>10000</v>
      </c>
      <c r="Q1852" s="5" t="s">
        <v>52256</v>
      </c>
      <c r="R1852" s="5"/>
      <c r="S1852" s="5" t="s">
        <v>50951</v>
      </c>
      <c r="T1852" s="28">
        <v>2135360000</v>
      </c>
      <c r="U1852" s="28"/>
      <c r="V1852" s="28">
        <v>6068831000</v>
      </c>
      <c r="W1852" s="28"/>
      <c r="X1852" s="28">
        <v>497366000</v>
      </c>
      <c r="Y1852" s="28">
        <v>12021208000</v>
      </c>
      <c r="Z1852" s="28">
        <v>-663671000</v>
      </c>
      <c r="AA1852" s="28"/>
      <c r="AB1852" s="28">
        <v>212189000</v>
      </c>
      <c r="AC1852" s="28">
        <v>10974388000</v>
      </c>
      <c r="AD1852" s="28">
        <v>-663661000</v>
      </c>
      <c r="AE1852" s="28">
        <v>8719173000</v>
      </c>
      <c r="AF1852" s="28">
        <v>4161000</v>
      </c>
      <c r="AG1852" s="11"/>
    </row>
    <row r="1853">
      <c r="A1853" s="7" t="s">
        <v>3557</v>
      </c>
      <c r="B1853" s="5" t="s">
        <v>11542</v>
      </c>
      <c r="C1853" s="5" t="s">
        <v>19398</v>
      </c>
      <c r="D1853" s="5" t="str">
        <v>165909111131</v>
      </c>
      <c r="E1853" s="0" t="e">
        <f>+7 (917) 2886257</f>
        <v>#NAME?</v>
      </c>
      <c r="F1853" s="5" t="s">
        <v>30919</v>
      </c>
      <c r="G1853" s="5"/>
      <c r="H1853" s="26">
        <v>17.5</v>
      </c>
      <c r="I1853" s="5" t="s">
        <v>30920</v>
      </c>
      <c r="J1853" s="5" t="s">
        <v>373</v>
      </c>
      <c r="K1853" s="5" t="s">
        <v>355</v>
      </c>
      <c r="L1853" s="5" t="s">
        <v>30921</v>
      </c>
      <c r="M1853" s="27"/>
      <c r="N1853" s="5"/>
      <c r="O1853" s="5" t="str">
        <v>1644034258</v>
      </c>
      <c r="P1853" s="27">
        <v>10000</v>
      </c>
      <c r="Q1853" s="5" t="s">
        <v>49057</v>
      </c>
      <c r="R1853" s="5"/>
      <c r="S1853" s="5" t="s">
        <v>49101</v>
      </c>
      <c r="T1853" s="28">
        <v>44000</v>
      </c>
      <c r="U1853" s="28"/>
      <c r="V1853" s="28">
        <v>454489000</v>
      </c>
      <c r="W1853" s="28">
        <v>34779000</v>
      </c>
      <c r="X1853" s="28">
        <v>281033000</v>
      </c>
      <c r="Y1853" s="28">
        <v>770468000</v>
      </c>
      <c r="Z1853" s="28">
        <v>229174000</v>
      </c>
      <c r="AA1853" s="28"/>
      <c r="AB1853" s="28">
        <v>5298000</v>
      </c>
      <c r="AC1853" s="28">
        <v>541275000</v>
      </c>
      <c r="AD1853" s="28">
        <v>229184000</v>
      </c>
      <c r="AE1853" s="28">
        <v>37877010000</v>
      </c>
      <c r="AF1853" s="28">
        <v>700402000</v>
      </c>
      <c r="AG1853" s="11"/>
    </row>
    <row r="1854">
      <c r="A1854" s="7" t="s">
        <v>3558</v>
      </c>
      <c r="B1854" s="5" t="s">
        <v>11543</v>
      </c>
      <c r="C1854" s="5" t="s">
        <v>19399</v>
      </c>
      <c r="D1854" s="5" t="str">
        <v>253802417634</v>
      </c>
      <c r="E1854" s="0" t="e">
        <f>+7 (423) 2491220
+7 (343) 3457022
+7 (3512) 479056
+7 (383) 2772703
+7 (391) 2541783
+7 (4232) 22424
+7 (4232) 253503
+7 (4232) 392107
+7 (4232) 604600
+7 (4232) 607777
+7 (812) 3298558
+7 (812) 6333651
+7 (8435) 265533</f>
        <v>#NAME?</v>
      </c>
      <c r="F1854" s="5" t="s">
        <v>30922</v>
      </c>
      <c r="G1854" s="5" t="s">
        <v>30923</v>
      </c>
      <c r="H1854" s="26">
        <v>23</v>
      </c>
      <c r="I1854" s="5" t="s">
        <v>30924</v>
      </c>
      <c r="J1854" s="5" t="s">
        <v>25670</v>
      </c>
      <c r="K1854" s="5" t="s">
        <v>344</v>
      </c>
      <c r="L1854" s="5" t="s">
        <v>30925</v>
      </c>
      <c r="M1854" s="27">
        <v>36577537</v>
      </c>
      <c r="N1854" s="5" t="s">
        <v>52257</v>
      </c>
      <c r="O1854" s="5" t="str">
        <v>2536247123</v>
      </c>
      <c r="P1854" s="27">
        <v>84617000</v>
      </c>
      <c r="Q1854" s="5" t="s">
        <v>52258</v>
      </c>
      <c r="R1854" s="5"/>
      <c r="S1854" s="5" t="s">
        <v>52259</v>
      </c>
      <c r="T1854" s="28">
        <v>517324000</v>
      </c>
      <c r="U1854" s="28">
        <v>64670000</v>
      </c>
      <c r="V1854" s="28">
        <v>56497797000</v>
      </c>
      <c r="W1854" s="28">
        <v>55110000</v>
      </c>
      <c r="X1854" s="28">
        <v>2510558000</v>
      </c>
      <c r="Y1854" s="28">
        <v>83381145000</v>
      </c>
      <c r="Z1854" s="28">
        <v>36275463000</v>
      </c>
      <c r="AA1854" s="28">
        <v>14500000000</v>
      </c>
      <c r="AB1854" s="28">
        <v>10800000000</v>
      </c>
      <c r="AC1854" s="28">
        <v>19725550000</v>
      </c>
      <c r="AD1854" s="28">
        <v>37075147000</v>
      </c>
      <c r="AE1854" s="28">
        <v>12637663000</v>
      </c>
      <c r="AF1854" s="28">
        <v>27749627000</v>
      </c>
      <c r="AG1854" s="11"/>
    </row>
    <row r="1855">
      <c r="A1855" s="7" t="s">
        <v>3559</v>
      </c>
      <c r="B1855" s="5" t="s">
        <v>11544</v>
      </c>
      <c r="C1855" s="5" t="s">
        <v>19400</v>
      </c>
      <c r="D1855" s="5" t="str">
        <v>701740888406</v>
      </c>
      <c r="E1855" s="0" t="e">
        <f>+7 (383) 2135462
+7 (383) 3633637
+7 (960) 9799009</f>
        <v>#NAME?</v>
      </c>
      <c r="F1855" s="5" t="s">
        <v>30926</v>
      </c>
      <c r="G1855" s="5"/>
      <c r="H1855" s="26">
        <v>11</v>
      </c>
      <c r="I1855" s="5" t="s">
        <v>30927</v>
      </c>
      <c r="J1855" s="5" t="s">
        <v>25219</v>
      </c>
      <c r="K1855" s="5" t="s">
        <v>355</v>
      </c>
      <c r="L1855" s="5"/>
      <c r="M1855" s="27"/>
      <c r="N1855" s="5"/>
      <c r="O1855" s="5" t="str">
        <v>5405451755</v>
      </c>
      <c r="P1855" s="27">
        <v>2045000</v>
      </c>
      <c r="Q1855" s="5" t="s">
        <v>52260</v>
      </c>
      <c r="R1855" s="5" t="s">
        <v>52261</v>
      </c>
      <c r="S1855" s="5" t="s">
        <v>52262</v>
      </c>
      <c r="T1855" s="28">
        <v>33012000</v>
      </c>
      <c r="U1855" s="28"/>
      <c r="V1855" s="28">
        <v>448111000</v>
      </c>
      <c r="W1855" s="28">
        <v>1700000</v>
      </c>
      <c r="X1855" s="28">
        <v>107850000</v>
      </c>
      <c r="Y1855" s="28">
        <v>1259162000</v>
      </c>
      <c r="Z1855" s="28">
        <v>365684000</v>
      </c>
      <c r="AA1855" s="28"/>
      <c r="AB1855" s="28"/>
      <c r="AC1855" s="28">
        <v>890802000</v>
      </c>
      <c r="AD1855" s="28">
        <v>367729000</v>
      </c>
      <c r="AE1855" s="28">
        <v>5835526000</v>
      </c>
      <c r="AF1855" s="28">
        <v>19669000</v>
      </c>
      <c r="AG1855" s="11"/>
    </row>
    <row r="1856">
      <c r="A1856" s="7" t="s">
        <v>3560</v>
      </c>
      <c r="B1856" s="5" t="s">
        <v>11545</v>
      </c>
      <c r="C1856" s="5" t="s">
        <v>19401</v>
      </c>
      <c r="D1856" s="5" t="str">
        <v>025005388276</v>
      </c>
      <c r="E1856" s="0" t="e">
        <f>+7 (347) 2463195
+7 (961) 3589494
+7 (347) 2927959
+7 (3472) 463197
+7 (3472) 465459
+7 (383) 3832801
+7 (499) 6536515
+7 (926) 1693450
+7 (953) 8068666</f>
        <v>#NAME?</v>
      </c>
      <c r="F1856" s="5" t="s">
        <v>30928</v>
      </c>
      <c r="G1856" s="5" t="s">
        <v>30929</v>
      </c>
      <c r="H1856" s="26">
        <v>15</v>
      </c>
      <c r="I1856" s="5" t="s">
        <v>30930</v>
      </c>
      <c r="J1856" s="5" t="s">
        <v>30931</v>
      </c>
      <c r="K1856" s="5" t="s">
        <v>344</v>
      </c>
      <c r="L1856" s="5" t="s">
        <v>30932</v>
      </c>
      <c r="M1856" s="27"/>
      <c r="N1856" s="5"/>
      <c r="O1856" s="5" t="str">
        <v>0277089143</v>
      </c>
      <c r="P1856" s="27">
        <v>10000</v>
      </c>
      <c r="Q1856" s="5" t="s">
        <v>49057</v>
      </c>
      <c r="R1856" s="5"/>
      <c r="S1856" s="5" t="s">
        <v>50961</v>
      </c>
      <c r="T1856" s="28">
        <v>87227000</v>
      </c>
      <c r="U1856" s="28"/>
      <c r="V1856" s="28">
        <v>595952000</v>
      </c>
      <c r="W1856" s="28">
        <v>1000000</v>
      </c>
      <c r="X1856" s="28">
        <v>394000</v>
      </c>
      <c r="Y1856" s="28">
        <v>1329803000</v>
      </c>
      <c r="Z1856" s="28">
        <v>173626000</v>
      </c>
      <c r="AA1856" s="28"/>
      <c r="AB1856" s="28">
        <v>729577000</v>
      </c>
      <c r="AC1856" s="28">
        <v>1080763000</v>
      </c>
      <c r="AD1856" s="28">
        <v>173636000</v>
      </c>
      <c r="AE1856" s="28">
        <v>7218229000</v>
      </c>
      <c r="AF1856" s="28">
        <v>1736000</v>
      </c>
      <c r="AG1856" s="11"/>
    </row>
    <row r="1857">
      <c r="A1857" s="7" t="s">
        <v>3561</v>
      </c>
      <c r="B1857" s="5" t="s">
        <v>11546</v>
      </c>
      <c r="C1857" s="5" t="s">
        <v>19283</v>
      </c>
      <c r="D1857" s="5"/>
      <c r="E1857" s="0" t="e">
        <f>+7 (861) 2402021
+7 (861) 2790838
+7 (861) 2792078
+7 (861) 2792083
+7 (861) 2980838
+7 (86132) 37087
+7 (8632) 75601
+7 (8632) 75602
+7 (86541) 45623</f>
        <v>#NAME?</v>
      </c>
      <c r="F1857" s="5" t="s">
        <v>30933</v>
      </c>
      <c r="G1857" s="5" t="s">
        <v>30934</v>
      </c>
      <c r="H1857" s="26">
        <v>9</v>
      </c>
      <c r="I1857" s="5" t="s">
        <v>30935</v>
      </c>
      <c r="J1857" s="5" t="s">
        <v>25837</v>
      </c>
      <c r="K1857" s="5" t="s">
        <v>380</v>
      </c>
      <c r="L1857" s="5"/>
      <c r="M1857" s="27"/>
      <c r="N1857" s="5"/>
      <c r="O1857" s="5" t="str">
        <v>2310175205</v>
      </c>
      <c r="P1857" s="27">
        <v>1000000</v>
      </c>
      <c r="Q1857" s="5"/>
      <c r="R1857" s="5" t="s">
        <v>52263</v>
      </c>
      <c r="S1857" s="5" t="s">
        <v>49425</v>
      </c>
      <c r="T1857" s="28">
        <v>91180000</v>
      </c>
      <c r="U1857" s="28">
        <v>1119454000</v>
      </c>
      <c r="V1857" s="28">
        <v>66870106000</v>
      </c>
      <c r="W1857" s="28">
        <v>72000000</v>
      </c>
      <c r="X1857" s="28">
        <v>146611000</v>
      </c>
      <c r="Y1857" s="28">
        <v>82136331000</v>
      </c>
      <c r="Z1857" s="28">
        <v>-17728727000</v>
      </c>
      <c r="AA1857" s="28">
        <v>14977632000</v>
      </c>
      <c r="AB1857" s="28">
        <v>70526526000</v>
      </c>
      <c r="AC1857" s="28">
        <v>83564459000</v>
      </c>
      <c r="AD1857" s="28">
        <v>-17727727000</v>
      </c>
      <c r="AE1857" s="28">
        <v>105570062000</v>
      </c>
      <c r="AF1857" s="28">
        <v>-7329819000</v>
      </c>
      <c r="AG1857" s="11"/>
    </row>
    <row r="1858">
      <c r="A1858" s="7" t="s">
        <v>3562</v>
      </c>
      <c r="B1858" s="5" t="s">
        <v>11547</v>
      </c>
      <c r="C1858" s="5" t="s">
        <v>19402</v>
      </c>
      <c r="D1858" s="5" t="str">
        <v>232306475063</v>
      </c>
      <c r="E1858" s="0" t="e">
        <f>+7 (861) 2214683
+7 (988) 3588885</f>
        <v>#NAME?</v>
      </c>
      <c r="F1858" s="5" t="s">
        <v>30936</v>
      </c>
      <c r="G1858" s="5"/>
      <c r="H1858" s="26">
        <v>5.5</v>
      </c>
      <c r="I1858" s="5" t="s">
        <v>30937</v>
      </c>
      <c r="J1858" s="5" t="s">
        <v>25850</v>
      </c>
      <c r="K1858" s="5" t="s">
        <v>344</v>
      </c>
      <c r="L1858" s="5" t="s">
        <v>30938</v>
      </c>
      <c r="M1858" s="27"/>
      <c r="N1858" s="5"/>
      <c r="O1858" s="5" t="str">
        <v>2311239927</v>
      </c>
      <c r="P1858" s="27">
        <v>43574493</v>
      </c>
      <c r="Q1858" s="5"/>
      <c r="R1858" s="5"/>
      <c r="S1858" s="5" t="s">
        <v>49425</v>
      </c>
      <c r="T1858" s="28">
        <v>67778000</v>
      </c>
      <c r="U1858" s="28"/>
      <c r="V1858" s="28">
        <v>133965000</v>
      </c>
      <c r="W1858" s="28"/>
      <c r="X1858" s="28">
        <v>48923000</v>
      </c>
      <c r="Y1858" s="28">
        <v>279089000</v>
      </c>
      <c r="Z1858" s="28">
        <v>41368000</v>
      </c>
      <c r="AA1858" s="28">
        <v>24380000</v>
      </c>
      <c r="AB1858" s="28">
        <v>33489000</v>
      </c>
      <c r="AC1858" s="28">
        <v>141690000</v>
      </c>
      <c r="AD1858" s="28">
        <v>84942000</v>
      </c>
      <c r="AE1858" s="28">
        <v>3279444000</v>
      </c>
      <c r="AF1858" s="28">
        <v>13041000</v>
      </c>
      <c r="AG1858" s="11"/>
    </row>
    <row r="1859">
      <c r="A1859" s="7" t="s">
        <v>3563</v>
      </c>
      <c r="B1859" s="5" t="s">
        <v>11548</v>
      </c>
      <c r="C1859" s="5" t="s">
        <v>19403</v>
      </c>
      <c r="D1859" s="5" t="str">
        <v>590314690701</v>
      </c>
      <c r="E1859" s="0" t="e">
        <f>+7 (3422) 584803
+7 (912) 9804440
+7 (3422) 23802
+7 (3422) 651158
+7 (3422) 651449
+7 (3422) 771660
+7 (917) 7583431</f>
        <v>#NAME?</v>
      </c>
      <c r="F1859" s="5" t="s">
        <v>30939</v>
      </c>
      <c r="G1859" s="5" t="s">
        <v>30940</v>
      </c>
      <c r="H1859" s="26">
        <v>13.5</v>
      </c>
      <c r="I1859" s="5" t="s">
        <v>30941</v>
      </c>
      <c r="J1859" s="5" t="s">
        <v>389</v>
      </c>
      <c r="K1859" s="5" t="s">
        <v>344</v>
      </c>
      <c r="L1859" s="5" t="s">
        <v>30942</v>
      </c>
      <c r="M1859" s="27"/>
      <c r="N1859" s="5" t="s">
        <v>52264</v>
      </c>
      <c r="O1859" s="5" t="str">
        <v>5904210667</v>
      </c>
      <c r="P1859" s="27">
        <v>10000</v>
      </c>
      <c r="Q1859" s="5" t="s">
        <v>49324</v>
      </c>
      <c r="R1859" s="5"/>
      <c r="S1859" s="5" t="s">
        <v>52265</v>
      </c>
      <c r="T1859" s="28">
        <v>193706000</v>
      </c>
      <c r="U1859" s="28"/>
      <c r="V1859" s="28">
        <v>163673000</v>
      </c>
      <c r="W1859" s="28"/>
      <c r="X1859" s="28">
        <v>4104000</v>
      </c>
      <c r="Y1859" s="28">
        <v>684123000</v>
      </c>
      <c r="Z1859" s="28">
        <v>113637000</v>
      </c>
      <c r="AA1859" s="28">
        <v>85218000</v>
      </c>
      <c r="AB1859" s="28">
        <v>234555000</v>
      </c>
      <c r="AC1859" s="28">
        <v>335441000</v>
      </c>
      <c r="AD1859" s="28">
        <v>113647000</v>
      </c>
      <c r="AE1859" s="28">
        <v>3079364000</v>
      </c>
      <c r="AF1859" s="28">
        <v>31154000</v>
      </c>
      <c r="AG1859" s="11"/>
    </row>
    <row r="1860">
      <c r="A1860" s="7" t="s">
        <v>3564</v>
      </c>
      <c r="B1860" s="5" t="s">
        <v>11549</v>
      </c>
      <c r="C1860" s="5" t="s">
        <v>19404</v>
      </c>
      <c r="D1860" s="5" t="str">
        <v>010604761491</v>
      </c>
      <c r="E1860" s="0" t="e">
        <f>+7 (495) 9581031
+7 (495) 9809730
+7 (495) 9809731
+7 (495) 9809735
+7 (495) 9809737</f>
        <v>#NAME?</v>
      </c>
      <c r="F1860" s="5" t="s">
        <v>30943</v>
      </c>
      <c r="G1860" s="5" t="s">
        <v>30944</v>
      </c>
      <c r="H1860" s="26">
        <v>29</v>
      </c>
      <c r="I1860" s="5"/>
      <c r="J1860" s="5" t="s">
        <v>25332</v>
      </c>
      <c r="K1860" s="5" t="s">
        <v>344</v>
      </c>
      <c r="L1860" s="5"/>
      <c r="M1860" s="27"/>
      <c r="N1860" s="5"/>
      <c r="O1860" s="5" t="str">
        <v>7719000884</v>
      </c>
      <c r="P1860" s="27">
        <v>522443700</v>
      </c>
      <c r="Q1860" s="5"/>
      <c r="R1860" s="5"/>
      <c r="S1860" s="5" t="s">
        <v>49110</v>
      </c>
      <c r="T1860" s="28">
        <v>40038000</v>
      </c>
      <c r="U1860" s="28"/>
      <c r="V1860" s="28">
        <v>1030004000</v>
      </c>
      <c r="W1860" s="28"/>
      <c r="X1860" s="28">
        <v>985389000</v>
      </c>
      <c r="Y1860" s="28">
        <v>3476494000</v>
      </c>
      <c r="Z1860" s="28">
        <v>2132037000</v>
      </c>
      <c r="AA1860" s="28"/>
      <c r="AB1860" s="28"/>
      <c r="AC1860" s="28">
        <v>793742000</v>
      </c>
      <c r="AD1860" s="28">
        <v>2680603000</v>
      </c>
      <c r="AE1860" s="28">
        <v>6239555000</v>
      </c>
      <c r="AF1860" s="28">
        <v>269069000</v>
      </c>
      <c r="AG1860" s="11"/>
    </row>
    <row r="1861">
      <c r="A1861" s="7" t="s">
        <v>3565</v>
      </c>
      <c r="B1861" s="5" t="s">
        <v>11550</v>
      </c>
      <c r="C1861" s="5" t="s">
        <v>19405</v>
      </c>
      <c r="D1861" s="5" t="str">
        <v>243900012862</v>
      </c>
      <c r="E1861" s="0" t="e">
        <f>+7 (495) 7295734
+7 (812) 5341293</f>
        <v>#NAME?</v>
      </c>
      <c r="F1861" s="5" t="s">
        <v>30945</v>
      </c>
      <c r="G1861" s="5" t="s">
        <v>30946</v>
      </c>
      <c r="H1861" s="26">
        <v>25.5</v>
      </c>
      <c r="I1861" s="5"/>
      <c r="J1861" s="5" t="s">
        <v>30947</v>
      </c>
      <c r="K1861" s="5" t="s">
        <v>344</v>
      </c>
      <c r="L1861" s="5"/>
      <c r="M1861" s="27"/>
      <c r="N1861" s="5"/>
      <c r="O1861" s="5" t="str">
        <v>7825390241</v>
      </c>
      <c r="P1861" s="27">
        <v>10000</v>
      </c>
      <c r="Q1861" s="5" t="s">
        <v>49009</v>
      </c>
      <c r="R1861" s="5"/>
      <c r="S1861" s="5" t="s">
        <v>49045</v>
      </c>
      <c r="T1861" s="28">
        <v>134938000</v>
      </c>
      <c r="U1861" s="28"/>
      <c r="V1861" s="28">
        <v>602489000</v>
      </c>
      <c r="W1861" s="28">
        <v>89900000</v>
      </c>
      <c r="X1861" s="28">
        <v>6229000</v>
      </c>
      <c r="Y1861" s="28">
        <v>1015862000</v>
      </c>
      <c r="Z1861" s="28">
        <v>472101000</v>
      </c>
      <c r="AA1861" s="28"/>
      <c r="AB1861" s="28">
        <v>250772000</v>
      </c>
      <c r="AC1861" s="28">
        <v>543745000</v>
      </c>
      <c r="AD1861" s="28">
        <v>472113000</v>
      </c>
      <c r="AE1861" s="28">
        <v>4100229000</v>
      </c>
      <c r="AF1861" s="28">
        <v>35916000</v>
      </c>
      <c r="AG1861" s="11"/>
    </row>
    <row r="1862">
      <c r="A1862" s="7" t="s">
        <v>55</v>
      </c>
      <c r="B1862" s="5" t="s">
        <v>11551</v>
      </c>
      <c r="C1862" s="5" t="s">
        <v>19406</v>
      </c>
      <c r="D1862" s="5" t="str">
        <v>540515852767</v>
      </c>
      <c r="E1862" s="0" t="e">
        <f>+7 (495) 2251191
+7 (495) 3641368
+7 (985) 3641368</f>
        <v>#NAME?</v>
      </c>
      <c r="F1862" s="5" t="s">
        <v>30948</v>
      </c>
      <c r="G1862" s="5"/>
      <c r="H1862" s="26">
        <v>14</v>
      </c>
      <c r="I1862" s="5" t="s">
        <v>30949</v>
      </c>
      <c r="J1862" s="5" t="s">
        <v>26999</v>
      </c>
      <c r="K1862" s="5" t="s">
        <v>344</v>
      </c>
      <c r="L1862" s="5" t="s">
        <v>30950</v>
      </c>
      <c r="M1862" s="27"/>
      <c r="N1862" s="5"/>
      <c r="O1862" s="5" t="str">
        <v>5047103554</v>
      </c>
      <c r="P1862" s="27">
        <v>10000000</v>
      </c>
      <c r="Q1862" s="5"/>
      <c r="R1862" s="5"/>
      <c r="S1862" s="5" t="s">
        <v>49029</v>
      </c>
      <c r="T1862" s="28">
        <v>73913000</v>
      </c>
      <c r="U1862" s="28"/>
      <c r="V1862" s="28">
        <v>1968113000</v>
      </c>
      <c r="W1862" s="28">
        <v>90000000</v>
      </c>
      <c r="X1862" s="28">
        <v>90204000</v>
      </c>
      <c r="Y1862" s="28">
        <v>15934997000</v>
      </c>
      <c r="Z1862" s="28">
        <v>12353572000</v>
      </c>
      <c r="AA1862" s="28">
        <v>115718000</v>
      </c>
      <c r="AB1862" s="28">
        <v>14478000</v>
      </c>
      <c r="AC1862" s="28">
        <v>3455701000</v>
      </c>
      <c r="AD1862" s="28">
        <v>12363572000</v>
      </c>
      <c r="AE1862" s="28">
        <v>14604841000</v>
      </c>
      <c r="AF1862" s="28">
        <v>10508021000</v>
      </c>
      <c r="AG1862" s="11"/>
    </row>
    <row r="1863">
      <c r="A1863" s="7" t="s">
        <v>3566</v>
      </c>
      <c r="B1863" s="5" t="s">
        <v>11552</v>
      </c>
      <c r="C1863" s="5" t="s">
        <v>19407</v>
      </c>
      <c r="D1863" s="5"/>
      <c r="E1863" s="0" t="e">
        <f>+7 (968) 2238725
+7 (495) 6415769
+7 (903) 6645969
+7 (963) 6370700
+7 (967) 2244855</f>
        <v>#NAME?</v>
      </c>
      <c r="F1863" s="5" t="s">
        <v>30951</v>
      </c>
      <c r="G1863" s="5" t="s">
        <v>30952</v>
      </c>
      <c r="H1863" s="26">
        <v>18</v>
      </c>
      <c r="I1863" s="5" t="s">
        <v>30953</v>
      </c>
      <c r="J1863" s="5" t="s">
        <v>533</v>
      </c>
      <c r="K1863" s="5" t="s">
        <v>344</v>
      </c>
      <c r="L1863" s="5"/>
      <c r="M1863" s="27">
        <v>11334211</v>
      </c>
      <c r="N1863" s="5"/>
      <c r="O1863" s="5" t="str">
        <v>1323123107</v>
      </c>
      <c r="P1863" s="27">
        <v>50010000</v>
      </c>
      <c r="Q1863" s="5" t="s">
        <v>49021</v>
      </c>
      <c r="R1863" s="5"/>
      <c r="S1863" s="5" t="s">
        <v>52267</v>
      </c>
      <c r="T1863" s="28">
        <v>57221000</v>
      </c>
      <c r="U1863" s="28"/>
      <c r="V1863" s="28">
        <v>1240137000</v>
      </c>
      <c r="W1863" s="28">
        <v>581545000</v>
      </c>
      <c r="X1863" s="28">
        <v>1854000</v>
      </c>
      <c r="Y1863" s="28">
        <v>2017393000</v>
      </c>
      <c r="Z1863" s="28">
        <v>244107000</v>
      </c>
      <c r="AA1863" s="28">
        <v>654067000</v>
      </c>
      <c r="AB1863" s="28">
        <v>196359000</v>
      </c>
      <c r="AC1863" s="28">
        <v>653637000</v>
      </c>
      <c r="AD1863" s="28">
        <v>678167000</v>
      </c>
      <c r="AE1863" s="28">
        <v>6110879000</v>
      </c>
      <c r="AF1863" s="28">
        <v>181331000</v>
      </c>
      <c r="AG1863" s="11"/>
    </row>
    <row r="1864">
      <c r="A1864" s="7" t="s">
        <v>3567</v>
      </c>
      <c r="B1864" s="5" t="s">
        <v>11553</v>
      </c>
      <c r="C1864" s="5" t="s">
        <v>19408</v>
      </c>
      <c r="D1864" s="5" t="str">
        <v>263202631939</v>
      </c>
      <c r="E1864" s="0" t="e">
        <f>+7 (495) 9882808
+7 (495) 7251087</f>
        <v>#NAME?</v>
      </c>
      <c r="F1864" s="5" t="s">
        <v>30954</v>
      </c>
      <c r="G1864" s="5" t="s">
        <v>30955</v>
      </c>
      <c r="H1864" s="26">
        <v>11</v>
      </c>
      <c r="I1864" s="5" t="s">
        <v>30956</v>
      </c>
      <c r="J1864" s="5" t="s">
        <v>25429</v>
      </c>
      <c r="K1864" s="5" t="s">
        <v>344</v>
      </c>
      <c r="L1864" s="5" t="s">
        <v>30957</v>
      </c>
      <c r="M1864" s="27"/>
      <c r="N1864" s="5" t="s">
        <v>52268</v>
      </c>
      <c r="O1864" s="5" t="str">
        <v>7702785539</v>
      </c>
      <c r="P1864" s="27">
        <v>12500</v>
      </c>
      <c r="Q1864" s="5" t="s">
        <v>49009</v>
      </c>
      <c r="R1864" s="5"/>
      <c r="S1864" s="5" t="s">
        <v>49045</v>
      </c>
      <c r="T1864" s="28">
        <v>32100000</v>
      </c>
      <c r="U1864" s="28"/>
      <c r="V1864" s="28">
        <v>623370000</v>
      </c>
      <c r="W1864" s="28"/>
      <c r="X1864" s="28">
        <v>1697121000</v>
      </c>
      <c r="Y1864" s="28">
        <v>2658836000</v>
      </c>
      <c r="Z1864" s="28">
        <v>1826373000</v>
      </c>
      <c r="AA1864" s="28"/>
      <c r="AB1864" s="28">
        <v>3000</v>
      </c>
      <c r="AC1864" s="28">
        <v>817801000</v>
      </c>
      <c r="AD1864" s="28">
        <v>1826386000</v>
      </c>
      <c r="AE1864" s="28">
        <v>4330486000</v>
      </c>
      <c r="AF1864" s="28">
        <v>1017948000</v>
      </c>
      <c r="AG1864" s="11"/>
    </row>
    <row r="1865">
      <c r="A1865" s="7" t="s">
        <v>3568</v>
      </c>
      <c r="B1865" s="5" t="s">
        <v>11554</v>
      </c>
      <c r="C1865" s="5" t="s">
        <v>19409</v>
      </c>
      <c r="D1865" s="5" t="str">
        <v>166002138581</v>
      </c>
      <c r="E1865" s="0" t="e">
        <f>+7 (843) 5331514
+7 (495) 5333603
+7 (800) 2341665
+7 (8432) 92497
+7 (8432) 230873
+7 (8432) 333600
+7 (8432) 726605
+7 (84345) 45452
+7 (8435) 236241
+7 (8435) 330363
+7 (8435) 330603
+7 (8435) 333036
+7 (8435) 333060
+7 (800) 2343388
+7 (8435) 331214</f>
        <v>#NAME?</v>
      </c>
      <c r="F1865" s="5" t="s">
        <v>30958</v>
      </c>
      <c r="G1865" s="5"/>
      <c r="H1865" s="26">
        <v>16.5</v>
      </c>
      <c r="I1865" s="5"/>
      <c r="J1865" s="5" t="s">
        <v>585</v>
      </c>
      <c r="K1865" s="5" t="s">
        <v>344</v>
      </c>
      <c r="L1865" s="5" t="s">
        <v>30959</v>
      </c>
      <c r="M1865" s="27">
        <v>206885</v>
      </c>
      <c r="N1865" s="5" t="s">
        <v>52269</v>
      </c>
      <c r="O1865" s="5" t="str">
        <v>1659183598</v>
      </c>
      <c r="P1865" s="27">
        <v>590440552</v>
      </c>
      <c r="Q1865" s="5" t="s">
        <v>52271</v>
      </c>
      <c r="R1865" s="5"/>
      <c r="S1865" s="5" t="s">
        <v>52272</v>
      </c>
      <c r="T1865" s="28">
        <v>599534000</v>
      </c>
      <c r="U1865" s="28">
        <v>49500000</v>
      </c>
      <c r="V1865" s="28">
        <v>98966000</v>
      </c>
      <c r="W1865" s="28"/>
      <c r="X1865" s="28">
        <v>464603000</v>
      </c>
      <c r="Y1865" s="28">
        <v>1548702000</v>
      </c>
      <c r="Z1865" s="28">
        <v>556225000</v>
      </c>
      <c r="AA1865" s="28"/>
      <c r="AB1865" s="28">
        <v>101212000</v>
      </c>
      <c r="AC1865" s="28">
        <v>349844000</v>
      </c>
      <c r="AD1865" s="28">
        <v>1176885000</v>
      </c>
      <c r="AE1865" s="28">
        <v>4373649000</v>
      </c>
      <c r="AF1865" s="28">
        <v>137877000</v>
      </c>
      <c r="AG1865" s="11"/>
    </row>
    <row r="1866">
      <c r="A1866" s="7" t="s">
        <v>3569</v>
      </c>
      <c r="B1866" s="5" t="s">
        <v>11555</v>
      </c>
      <c r="C1866" s="5" t="s">
        <v>19410</v>
      </c>
      <c r="D1866" s="5" t="str">
        <v>773388584061</v>
      </c>
      <c r="E1866" s="0" t="e">
        <f>+7 (495) 9692222</f>
        <v>#NAME?</v>
      </c>
      <c r="F1866" s="5" t="s">
        <v>30960</v>
      </c>
      <c r="G1866" s="5"/>
      <c r="H1866" s="26">
        <v>14.5</v>
      </c>
      <c r="I1866" s="5" t="s">
        <v>30961</v>
      </c>
      <c r="J1866" s="5" t="s">
        <v>26297</v>
      </c>
      <c r="K1866" s="5" t="s">
        <v>344</v>
      </c>
      <c r="L1866" s="5" t="s">
        <v>30962</v>
      </c>
      <c r="M1866" s="27">
        <v>51866732</v>
      </c>
      <c r="N1866" s="5" t="s">
        <v>52273</v>
      </c>
      <c r="O1866" s="5" t="str">
        <v>5024096727</v>
      </c>
      <c r="P1866" s="27">
        <v>15000000</v>
      </c>
      <c r="Q1866" s="5" t="s">
        <v>52274</v>
      </c>
      <c r="R1866" s="5"/>
      <c r="S1866" s="5" t="s">
        <v>52275</v>
      </c>
      <c r="T1866" s="28">
        <v>877231000</v>
      </c>
      <c r="U1866" s="28">
        <v>52000000</v>
      </c>
      <c r="V1866" s="28">
        <v>2134948000</v>
      </c>
      <c r="W1866" s="28">
        <v>50000000</v>
      </c>
      <c r="X1866" s="28">
        <v>1047555000</v>
      </c>
      <c r="Y1866" s="28">
        <v>9632678000</v>
      </c>
      <c r="Z1866" s="28">
        <v>1869859000</v>
      </c>
      <c r="AA1866" s="28"/>
      <c r="AB1866" s="28">
        <v>1702180000</v>
      </c>
      <c r="AC1866" s="28">
        <v>6304085000</v>
      </c>
      <c r="AD1866" s="28">
        <v>2045531000</v>
      </c>
      <c r="AE1866" s="28">
        <v>10090386000</v>
      </c>
      <c r="AF1866" s="28">
        <v>533423000</v>
      </c>
      <c r="AG1866" s="11"/>
    </row>
    <row r="1867">
      <c r="A1867" s="7" t="s">
        <v>3570</v>
      </c>
      <c r="B1867" s="5" t="s">
        <v>11556</v>
      </c>
      <c r="C1867" s="5" t="s">
        <v>19411</v>
      </c>
      <c r="D1867" s="5" t="str">
        <v>054502728787</v>
      </c>
      <c r="E1867" s="0" t="e">
        <f>+7 (87240) 47794
+7 (928) 9412879
+7 (961) 2955200</f>
        <v>#NAME?</v>
      </c>
      <c r="F1867" s="5"/>
      <c r="G1867" s="5" t="s">
        <v>30963</v>
      </c>
      <c r="H1867" s="26">
        <v>16.5</v>
      </c>
      <c r="I1867" s="5" t="s">
        <v>30964</v>
      </c>
      <c r="J1867" s="5" t="s">
        <v>30965</v>
      </c>
      <c r="K1867" s="5" t="s">
        <v>380</v>
      </c>
      <c r="L1867" s="5" t="s">
        <v>30966</v>
      </c>
      <c r="M1867" s="27">
        <v>66310881</v>
      </c>
      <c r="N1867" s="5" t="s">
        <v>50488</v>
      </c>
      <c r="O1867" s="5" t="str">
        <v>0542028969</v>
      </c>
      <c r="P1867" s="27">
        <v>50000000</v>
      </c>
      <c r="Q1867" s="5" t="s">
        <v>52276</v>
      </c>
      <c r="R1867" s="5"/>
      <c r="S1867" s="5" t="s">
        <v>52277</v>
      </c>
      <c r="T1867" s="28">
        <v>944741000</v>
      </c>
      <c r="U1867" s="28">
        <v>10000</v>
      </c>
      <c r="V1867" s="28">
        <v>6658301000</v>
      </c>
      <c r="W1867" s="28">
        <v>728410000</v>
      </c>
      <c r="X1867" s="28">
        <v>74461000</v>
      </c>
      <c r="Y1867" s="28">
        <v>23440188000</v>
      </c>
      <c r="Z1867" s="28">
        <v>1523656000</v>
      </c>
      <c r="AA1867" s="28">
        <v>1505866000</v>
      </c>
      <c r="AB1867" s="28"/>
      <c r="AC1867" s="28">
        <v>18017933000</v>
      </c>
      <c r="AD1867" s="28">
        <v>1573656000</v>
      </c>
      <c r="AE1867" s="28">
        <v>4930565000</v>
      </c>
      <c r="AF1867" s="28">
        <v>379617000</v>
      </c>
      <c r="AG1867" s="11"/>
    </row>
    <row r="1868">
      <c r="A1868" s="7" t="s">
        <v>3571</v>
      </c>
      <c r="B1868" s="5" t="s">
        <v>11557</v>
      </c>
      <c r="C1868" s="5" t="s">
        <v>19412</v>
      </c>
      <c r="D1868" s="5" t="str">
        <v>234301747126</v>
      </c>
      <c r="E1868" s="0" t="e">
        <f>+7 (995) 56534
+7 (918) 3999441
+7 (988) 7699931</f>
        <v>#NAME?</v>
      </c>
      <c r="F1868" s="5" t="s">
        <v>30967</v>
      </c>
      <c r="G1868" s="5"/>
      <c r="H1868" s="26">
        <v>30</v>
      </c>
      <c r="I1868" s="5" t="s">
        <v>30968</v>
      </c>
      <c r="J1868" s="5" t="s">
        <v>725</v>
      </c>
      <c r="K1868" s="5"/>
      <c r="L1868" s="5"/>
      <c r="M1868" s="27">
        <v>9559259</v>
      </c>
      <c r="N1868" s="5" t="s">
        <v>52278</v>
      </c>
      <c r="O1868" s="5" t="str">
        <v>2343000472</v>
      </c>
      <c r="P1868" s="27"/>
      <c r="Q1868" s="5" t="s">
        <v>52279</v>
      </c>
      <c r="R1868" s="5"/>
      <c r="S1868" s="5" t="s">
        <v>49399</v>
      </c>
      <c r="T1868" s="28">
        <v>1267430000</v>
      </c>
      <c r="U1868" s="28"/>
      <c r="V1868" s="28">
        <v>2525092000</v>
      </c>
      <c r="W1868" s="28">
        <v>31485000</v>
      </c>
      <c r="X1868" s="28">
        <v>184908000</v>
      </c>
      <c r="Y1868" s="28">
        <v>4815255000</v>
      </c>
      <c r="Z1868" s="28">
        <v>1183678000</v>
      </c>
      <c r="AA1868" s="28"/>
      <c r="AB1868" s="28"/>
      <c r="AC1868" s="28">
        <v>3375363000</v>
      </c>
      <c r="AD1868" s="28">
        <v>1183851000</v>
      </c>
      <c r="AE1868" s="28">
        <v>9930553000</v>
      </c>
      <c r="AF1868" s="28">
        <v>291037000</v>
      </c>
      <c r="AG1868" s="11"/>
    </row>
    <row r="1869">
      <c r="A1869" s="7" t="s">
        <v>3572</v>
      </c>
      <c r="B1869" s="5" t="s">
        <v>10412</v>
      </c>
      <c r="C1869" s="5" t="s">
        <v>19413</v>
      </c>
      <c r="D1869" s="5" t="str">
        <v>504903934877</v>
      </c>
      <c r="E1869" s="0" t="e">
        <f>+7 (495) 2217845
+7 (495) 9944890
+7 (495) 9944893
+7 (499) 9512033
+7 (499) 9512035</f>
        <v>#NAME?</v>
      </c>
      <c r="F1869" s="5" t="s">
        <v>30969</v>
      </c>
      <c r="G1869" s="5" t="s">
        <v>30970</v>
      </c>
      <c r="H1869" s="26">
        <v>30.5</v>
      </c>
      <c r="I1869" s="5" t="s">
        <v>30971</v>
      </c>
      <c r="J1869" s="5" t="s">
        <v>881</v>
      </c>
      <c r="K1869" s="5" t="s">
        <v>344</v>
      </c>
      <c r="L1869" s="5" t="s">
        <v>30972</v>
      </c>
      <c r="M1869" s="27"/>
      <c r="N1869" s="5" t="s">
        <v>52280</v>
      </c>
      <c r="O1869" s="5" t="str">
        <v>7711077412</v>
      </c>
      <c r="P1869" s="27">
        <v>203336671</v>
      </c>
      <c r="Q1869" s="5" t="s">
        <v>52281</v>
      </c>
      <c r="R1869" s="5"/>
      <c r="S1869" s="5" t="s">
        <v>49271</v>
      </c>
      <c r="T1869" s="28">
        <v>537002000</v>
      </c>
      <c r="U1869" s="28"/>
      <c r="V1869" s="28">
        <v>492299000</v>
      </c>
      <c r="W1869" s="28">
        <v>885000000</v>
      </c>
      <c r="X1869" s="28">
        <v>26507000</v>
      </c>
      <c r="Y1869" s="28">
        <v>2233996000</v>
      </c>
      <c r="Z1869" s="28">
        <v>925005000</v>
      </c>
      <c r="AA1869" s="28"/>
      <c r="AB1869" s="28"/>
      <c r="AC1869" s="28">
        <v>934340000</v>
      </c>
      <c r="AD1869" s="28">
        <v>1277133000</v>
      </c>
      <c r="AE1869" s="28">
        <v>4250858000</v>
      </c>
      <c r="AF1869" s="28">
        <v>404364000</v>
      </c>
      <c r="AG1869" s="11"/>
    </row>
    <row r="1870">
      <c r="A1870" s="7" t="s">
        <v>3573</v>
      </c>
      <c r="B1870" s="5" t="s">
        <v>11558</v>
      </c>
      <c r="C1870" s="5" t="s">
        <v>19414</v>
      </c>
      <c r="D1870" s="5" t="str">
        <v>771542227550</v>
      </c>
      <c r="E1870" s="0" t="e">
        <f>+7 (915) 622853
+7 (495) 7810808
+7 (495) 7810809
+7 (495) 7810890
+7 (495) 7810990
+7 (800) 2500000</f>
        <v>#NAME?</v>
      </c>
      <c r="F1870" s="5" t="s">
        <v>30973</v>
      </c>
      <c r="G1870" s="5" t="s">
        <v>30974</v>
      </c>
      <c r="H1870" s="26">
        <v>25.5</v>
      </c>
      <c r="I1870" s="5" t="s">
        <v>30975</v>
      </c>
      <c r="J1870" s="5" t="s">
        <v>30976</v>
      </c>
      <c r="K1870" s="5" t="s">
        <v>344</v>
      </c>
      <c r="L1870" s="5"/>
      <c r="M1870" s="27">
        <v>50012373</v>
      </c>
      <c r="N1870" s="5" t="s">
        <v>52282</v>
      </c>
      <c r="O1870" s="5" t="str">
        <v>7729355029</v>
      </c>
      <c r="P1870" s="27">
        <v>295600</v>
      </c>
      <c r="Q1870" s="5" t="s">
        <v>49021</v>
      </c>
      <c r="R1870" s="5" t="s">
        <v>52283</v>
      </c>
      <c r="S1870" s="5" t="s">
        <v>52284</v>
      </c>
      <c r="T1870" s="28">
        <v>46051173000</v>
      </c>
      <c r="U1870" s="28">
        <v>5761453000</v>
      </c>
      <c r="V1870" s="28">
        <v>7554331000</v>
      </c>
      <c r="W1870" s="28"/>
      <c r="X1870" s="28">
        <v>4545874000</v>
      </c>
      <c r="Y1870" s="28">
        <v>129657990000</v>
      </c>
      <c r="Z1870" s="28">
        <v>9629847000</v>
      </c>
      <c r="AA1870" s="28">
        <v>42799942000</v>
      </c>
      <c r="AB1870" s="28">
        <v>22004013000</v>
      </c>
      <c r="AC1870" s="28">
        <v>63493423000</v>
      </c>
      <c r="AD1870" s="28">
        <v>16480300000</v>
      </c>
      <c r="AE1870" s="28">
        <v>177973016000</v>
      </c>
      <c r="AF1870" s="28">
        <v>9923716000</v>
      </c>
      <c r="AG1870" s="11"/>
    </row>
    <row r="1871">
      <c r="A1871" s="7" t="s">
        <v>3574</v>
      </c>
      <c r="B1871" s="5" t="s">
        <v>11559</v>
      </c>
      <c r="C1871" s="5" t="s">
        <v>19415</v>
      </c>
      <c r="D1871" s="5" t="str">
        <v>781650590768</v>
      </c>
      <c r="E1871" s="0" t="e">
        <f>+7 (863) 2907116</f>
        <v>#NAME?</v>
      </c>
      <c r="F1871" s="5" t="s">
        <v>30977</v>
      </c>
      <c r="G1871" s="5"/>
      <c r="H1871" s="26">
        <v>11</v>
      </c>
      <c r="I1871" s="5" t="s">
        <v>30978</v>
      </c>
      <c r="J1871" s="5" t="s">
        <v>30979</v>
      </c>
      <c r="K1871" s="5" t="s">
        <v>344</v>
      </c>
      <c r="L1871" s="5" t="s">
        <v>30980</v>
      </c>
      <c r="M1871" s="27"/>
      <c r="N1871" s="5"/>
      <c r="O1871" s="5" t="str">
        <v>6162060967</v>
      </c>
      <c r="P1871" s="27">
        <v>823412065</v>
      </c>
      <c r="Q1871" s="5" t="s">
        <v>49324</v>
      </c>
      <c r="R1871" s="5"/>
      <c r="S1871" s="5" t="s">
        <v>50562</v>
      </c>
      <c r="T1871" s="28">
        <v>2039794000</v>
      </c>
      <c r="U1871" s="28"/>
      <c r="V1871" s="28">
        <v>5237158000</v>
      </c>
      <c r="W1871" s="28">
        <v>22500000</v>
      </c>
      <c r="X1871" s="28">
        <v>9686000</v>
      </c>
      <c r="Y1871" s="28">
        <v>9267033000</v>
      </c>
      <c r="Z1871" s="28">
        <v>1637535000</v>
      </c>
      <c r="AA1871" s="28"/>
      <c r="AB1871" s="28"/>
      <c r="AC1871" s="28">
        <v>6491922000</v>
      </c>
      <c r="AD1871" s="28">
        <v>2611168000</v>
      </c>
      <c r="AE1871" s="28">
        <v>7478374000</v>
      </c>
      <c r="AF1871" s="28">
        <v>470935000</v>
      </c>
      <c r="AG1871" s="11"/>
    </row>
    <row r="1872">
      <c r="A1872" s="7" t="s">
        <v>3575</v>
      </c>
      <c r="B1872" s="5" t="s">
        <v>11560</v>
      </c>
      <c r="C1872" s="5" t="s">
        <v>19416</v>
      </c>
      <c r="D1872" s="5" t="str">
        <v>770974512730</v>
      </c>
      <c r="E1872" s="0" t="e">
        <f>+7 (495) 7851300
+7 (499) 6770000
+7 (499) 6770405
+7 (800) 2001954
+7 (800) 5557409</f>
        <v>#NAME?</v>
      </c>
      <c r="F1872" s="5" t="s">
        <v>30981</v>
      </c>
      <c r="G1872" s="5" t="s">
        <v>30982</v>
      </c>
      <c r="H1872" s="26">
        <v>27</v>
      </c>
      <c r="I1872" s="5" t="s">
        <v>30983</v>
      </c>
      <c r="J1872" s="5" t="s">
        <v>26564</v>
      </c>
      <c r="K1872" s="5" t="s">
        <v>344</v>
      </c>
      <c r="L1872" s="5" t="s">
        <v>30984</v>
      </c>
      <c r="M1872" s="27"/>
      <c r="N1872" s="5"/>
      <c r="O1872" s="5" t="str">
        <v>7703386329</v>
      </c>
      <c r="P1872" s="27">
        <v>157750500</v>
      </c>
      <c r="Q1872" s="5" t="s">
        <v>52285</v>
      </c>
      <c r="R1872" s="5" t="s">
        <v>52286</v>
      </c>
      <c r="S1872" s="5" t="s">
        <v>52287</v>
      </c>
      <c r="T1872" s="28">
        <v>5924767000</v>
      </c>
      <c r="U1872" s="28">
        <v>1487661000</v>
      </c>
      <c r="V1872" s="28">
        <v>34808808000</v>
      </c>
      <c r="W1872" s="28">
        <v>3000000000</v>
      </c>
      <c r="X1872" s="28">
        <v>18067419000</v>
      </c>
      <c r="Y1872" s="28">
        <v>109128126000</v>
      </c>
      <c r="Z1872" s="28">
        <v>64296211000</v>
      </c>
      <c r="AA1872" s="28"/>
      <c r="AB1872" s="28">
        <v>12633800000</v>
      </c>
      <c r="AC1872" s="28">
        <v>43356291000</v>
      </c>
      <c r="AD1872" s="28">
        <v>64499671000</v>
      </c>
      <c r="AE1872" s="28">
        <v>430796547000</v>
      </c>
      <c r="AF1872" s="28">
        <v>43503526000</v>
      </c>
      <c r="AG1872" s="11"/>
    </row>
    <row r="1873">
      <c r="A1873" s="7" t="s">
        <v>3576</v>
      </c>
      <c r="B1873" s="5" t="s">
        <v>11561</v>
      </c>
      <c r="C1873" s="5" t="s">
        <v>19417</v>
      </c>
      <c r="D1873" s="5" t="str">
        <v>770979981541</v>
      </c>
      <c r="E1873" s="0" t="e">
        <f>+7 (495) 7894284
+7 (495) 7894288
+7 (495) 7894488
+7 (909) 9484028
+7 (925) 3288746
+7 (963) 6582294</f>
        <v>#NAME?</v>
      </c>
      <c r="F1873" s="5" t="s">
        <v>30985</v>
      </c>
      <c r="G1873" s="5"/>
      <c r="H1873" s="26">
        <v>10.5</v>
      </c>
      <c r="I1873" s="5" t="s">
        <v>30986</v>
      </c>
      <c r="J1873" s="5" t="s">
        <v>397</v>
      </c>
      <c r="K1873" s="5" t="s">
        <v>344</v>
      </c>
      <c r="L1873" s="5" t="s">
        <v>30987</v>
      </c>
      <c r="M1873" s="27"/>
      <c r="N1873" s="5"/>
      <c r="O1873" s="5" t="str">
        <v>7709912680</v>
      </c>
      <c r="P1873" s="27">
        <v>64584975</v>
      </c>
      <c r="Q1873" s="5" t="s">
        <v>49319</v>
      </c>
      <c r="R1873" s="5" t="s">
        <v>52288</v>
      </c>
      <c r="S1873" s="5" t="s">
        <v>49774</v>
      </c>
      <c r="T1873" s="28">
        <v>61123000</v>
      </c>
      <c r="U1873" s="28"/>
      <c r="V1873" s="28">
        <v>1224260000</v>
      </c>
      <c r="W1873" s="28">
        <v>1064000</v>
      </c>
      <c r="X1873" s="28">
        <v>1307492000</v>
      </c>
      <c r="Y1873" s="28">
        <v>4002886000</v>
      </c>
      <c r="Z1873" s="28">
        <v>2390260000</v>
      </c>
      <c r="AA1873" s="28"/>
      <c r="AB1873" s="28"/>
      <c r="AC1873" s="28">
        <v>1522704000</v>
      </c>
      <c r="AD1873" s="28">
        <v>2464533000</v>
      </c>
      <c r="AE1873" s="28">
        <v>15737854000</v>
      </c>
      <c r="AF1873" s="28">
        <v>2095142000</v>
      </c>
      <c r="AG1873" s="11"/>
    </row>
    <row r="1874">
      <c r="A1874" s="7" t="s">
        <v>3577</v>
      </c>
      <c r="B1874" s="5" t="s">
        <v>11562</v>
      </c>
      <c r="C1874" s="5" t="s">
        <v>19418</v>
      </c>
      <c r="D1874" s="5" t="str">
        <v>054602915981</v>
      </c>
      <c r="E1874" s="0" t="e">
        <f>+7 (495) 6516407
+7 (495) 7950644
+7 (812) 7025650</f>
        <v>#NAME?</v>
      </c>
      <c r="F1874" s="5" t="s">
        <v>30988</v>
      </c>
      <c r="G1874" s="5" t="s">
        <v>30989</v>
      </c>
      <c r="H1874" s="26">
        <v>15</v>
      </c>
      <c r="I1874" s="5" t="s">
        <v>30990</v>
      </c>
      <c r="J1874" s="5" t="s">
        <v>25446</v>
      </c>
      <c r="K1874" s="5" t="s">
        <v>344</v>
      </c>
      <c r="L1874" s="5" t="s">
        <v>30991</v>
      </c>
      <c r="M1874" s="27"/>
      <c r="N1874" s="5"/>
      <c r="O1874" s="5" t="str">
        <v>7702665111</v>
      </c>
      <c r="P1874" s="27">
        <v>5000000</v>
      </c>
      <c r="Q1874" s="5"/>
      <c r="R1874" s="5"/>
      <c r="S1874" s="5" t="s">
        <v>49029</v>
      </c>
      <c r="T1874" s="28">
        <v>27881000</v>
      </c>
      <c r="U1874" s="28"/>
      <c r="V1874" s="28">
        <v>240099000</v>
      </c>
      <c r="W1874" s="28">
        <v>1800000000</v>
      </c>
      <c r="X1874" s="28">
        <v>2469425000</v>
      </c>
      <c r="Y1874" s="28">
        <v>4752949000</v>
      </c>
      <c r="Z1874" s="28">
        <v>4649886000</v>
      </c>
      <c r="AA1874" s="28"/>
      <c r="AB1874" s="28"/>
      <c r="AC1874" s="28">
        <v>88063000</v>
      </c>
      <c r="AD1874" s="28">
        <v>4664886000</v>
      </c>
      <c r="AE1874" s="28">
        <v>4971171000</v>
      </c>
      <c r="AF1874" s="28">
        <v>663322000</v>
      </c>
      <c r="AG1874" s="11"/>
    </row>
    <row r="1875">
      <c r="A1875" s="7" t="s">
        <v>3578</v>
      </c>
      <c r="B1875" s="5" t="s">
        <v>11563</v>
      </c>
      <c r="C1875" s="5" t="s">
        <v>19419</v>
      </c>
      <c r="D1875" s="5" t="str">
        <v>771565093127</v>
      </c>
      <c r="F1875" s="5"/>
      <c r="G1875" s="5"/>
      <c r="H1875" s="26">
        <v>4</v>
      </c>
      <c r="I1875" s="5" t="s">
        <v>30992</v>
      </c>
      <c r="J1875" s="5" t="s">
        <v>881</v>
      </c>
      <c r="K1875" s="5" t="s">
        <v>344</v>
      </c>
      <c r="L1875" s="5" t="s">
        <v>30993</v>
      </c>
      <c r="M1875" s="27"/>
      <c r="N1875" s="5"/>
      <c r="O1875" s="5" t="str">
        <v>9731028505</v>
      </c>
      <c r="P1875" s="27">
        <v>110000</v>
      </c>
      <c r="Q1875" s="5"/>
      <c r="R1875" s="5"/>
      <c r="S1875" s="5" t="s">
        <v>49053</v>
      </c>
      <c r="T1875" s="28">
        <v>65479000</v>
      </c>
      <c r="U1875" s="28">
        <v>5143000</v>
      </c>
      <c r="V1875" s="28">
        <v>720500000</v>
      </c>
      <c r="W1875" s="28"/>
      <c r="X1875" s="28">
        <v>343595000</v>
      </c>
      <c r="Y1875" s="28">
        <v>1458505000</v>
      </c>
      <c r="Z1875" s="28">
        <v>659159000</v>
      </c>
      <c r="AA1875" s="28"/>
      <c r="AB1875" s="28"/>
      <c r="AC1875" s="28">
        <v>492547000</v>
      </c>
      <c r="AD1875" s="28">
        <v>910382000</v>
      </c>
      <c r="AE1875" s="28">
        <v>3758660000</v>
      </c>
      <c r="AF1875" s="28">
        <v>435521000</v>
      </c>
      <c r="AG1875" s="11"/>
    </row>
    <row r="1876">
      <c r="A1876" s="7" t="s">
        <v>3579</v>
      </c>
      <c r="B1876" s="5" t="s">
        <v>11564</v>
      </c>
      <c r="C1876" s="5" t="s">
        <v>19420</v>
      </c>
      <c r="D1876" s="5" t="str">
        <v>771375460121</v>
      </c>
      <c r="E1876" s="0" t="e">
        <f>+7 (800) 1009853
+7 (47475) 24347
+7 (495) 5439853
+7 (499) 1290817
+7 (961) 307888</f>
        <v>#NAME?</v>
      </c>
      <c r="F1876" s="5"/>
      <c r="G1876" s="5" t="s">
        <v>30994</v>
      </c>
      <c r="H1876" s="26">
        <v>13</v>
      </c>
      <c r="I1876" s="5" t="s">
        <v>30995</v>
      </c>
      <c r="J1876" s="5" t="s">
        <v>30115</v>
      </c>
      <c r="K1876" s="5" t="s">
        <v>344</v>
      </c>
      <c r="L1876" s="5" t="s">
        <v>30996</v>
      </c>
      <c r="M1876" s="27"/>
      <c r="N1876" s="5"/>
      <c r="O1876" s="5" t="str">
        <v>7727708656</v>
      </c>
      <c r="P1876" s="27">
        <v>10000</v>
      </c>
      <c r="Q1876" s="5"/>
      <c r="R1876" s="5"/>
      <c r="S1876" s="5" t="s">
        <v>49425</v>
      </c>
      <c r="T1876" s="28">
        <v>32530000</v>
      </c>
      <c r="U1876" s="28">
        <v>14162000</v>
      </c>
      <c r="V1876" s="28">
        <v>53433000</v>
      </c>
      <c r="W1876" s="28">
        <v>106500000</v>
      </c>
      <c r="X1876" s="28">
        <v>1007821000</v>
      </c>
      <c r="Y1876" s="28">
        <v>2878463000</v>
      </c>
      <c r="Z1876" s="28">
        <v>443994000</v>
      </c>
      <c r="AA1876" s="28"/>
      <c r="AB1876" s="28"/>
      <c r="AC1876" s="28">
        <v>2414738000</v>
      </c>
      <c r="AD1876" s="28">
        <v>458146000</v>
      </c>
      <c r="AE1876" s="28">
        <v>4083763000</v>
      </c>
      <c r="AF1876" s="28">
        <v>42861000</v>
      </c>
      <c r="AG1876" s="11"/>
    </row>
    <row r="1877">
      <c r="A1877" s="7" t="s">
        <v>3580</v>
      </c>
      <c r="B1877" s="5" t="s">
        <v>11565</v>
      </c>
      <c r="C1877" s="5" t="s">
        <v>19421</v>
      </c>
      <c r="D1877" s="5" t="str">
        <v>772648482496</v>
      </c>
      <c r="E1877" s="0" t="e">
        <f>+7 (495) 2153256
+7 (495) 2242758
+7 (495) 2501245
+7 (495) 2574147
+7 (495) 5466464
+7 (495) 5797868
+7 (495) 5978693
+7 (495) 7278693
+7 (495) 7373500
+7 (495) 7868833
+7 (495) 7968693
+7 (495) 7974693
+7 (495) 7978639
+7 (495) 7978683
+7 (495) 7978686</f>
        <v>#NAME?</v>
      </c>
      <c r="F1877" s="5" t="s">
        <v>30997</v>
      </c>
      <c r="G1877" s="5"/>
      <c r="H1877" s="26">
        <v>5</v>
      </c>
      <c r="I1877" s="5" t="s">
        <v>30998</v>
      </c>
      <c r="J1877" s="5" t="s">
        <v>25429</v>
      </c>
      <c r="K1877" s="5" t="s">
        <v>344</v>
      </c>
      <c r="L1877" s="5" t="s">
        <v>30999</v>
      </c>
      <c r="M1877" s="27"/>
      <c r="N1877" s="5" t="s">
        <v>52289</v>
      </c>
      <c r="O1877" s="5" t="str">
        <v>7725408865</v>
      </c>
      <c r="P1877" s="27">
        <v>10000</v>
      </c>
      <c r="Q1877" s="5" t="s">
        <v>52290</v>
      </c>
      <c r="R1877" s="5"/>
      <c r="S1877" s="5" t="s">
        <v>52291</v>
      </c>
      <c r="T1877" s="28">
        <v>384000</v>
      </c>
      <c r="U1877" s="28"/>
      <c r="V1877" s="28">
        <v>2842765000</v>
      </c>
      <c r="W1877" s="28"/>
      <c r="X1877" s="28">
        <v>64311000</v>
      </c>
      <c r="Y1877" s="28">
        <v>3315564000</v>
      </c>
      <c r="Z1877" s="28">
        <v>222621000</v>
      </c>
      <c r="AA1877" s="28"/>
      <c r="AB1877" s="28"/>
      <c r="AC1877" s="28">
        <v>3080221000</v>
      </c>
      <c r="AD1877" s="28">
        <v>222631000</v>
      </c>
      <c r="AE1877" s="28">
        <v>7198241000</v>
      </c>
      <c r="AF1877" s="28">
        <v>28339000</v>
      </c>
      <c r="AG1877" s="11"/>
    </row>
    <row r="1878">
      <c r="A1878" s="7" t="s">
        <v>58</v>
      </c>
      <c r="B1878" s="5" t="s">
        <v>11566</v>
      </c>
      <c r="C1878" s="5" t="s">
        <v>19421</v>
      </c>
      <c r="D1878" s="5" t="str">
        <v>772648482496</v>
      </c>
      <c r="E1878" s="0" t="e">
        <f>+7 (495) 1318686
+7 (495) 2154565
+7 (495) 2356125
+7 (495) 2801442
+7 (495) 4155984
+7 (495) 4568932
+7 (495) 4569875
+7 (495) 4605663
+7 (495) 7497868
+7 (495) 7774888
+7 (495) 7878692
+7 (495) 7908692
+7 (495) 7973602
+7 (495) 7978546
+7 (495) 6471011</f>
        <v>#NAME?</v>
      </c>
      <c r="F1878" s="5" t="s">
        <v>31000</v>
      </c>
      <c r="G1878" s="5"/>
      <c r="H1878" s="26">
        <v>8</v>
      </c>
      <c r="I1878" s="5" t="s">
        <v>31001</v>
      </c>
      <c r="J1878" s="5" t="s">
        <v>25429</v>
      </c>
      <c r="K1878" s="5" t="s">
        <v>355</v>
      </c>
      <c r="L1878" s="5"/>
      <c r="M1878" s="27">
        <v>2850731</v>
      </c>
      <c r="N1878" s="5" t="s">
        <v>52292</v>
      </c>
      <c r="O1878" s="5" t="str">
        <v>9705031526</v>
      </c>
      <c r="P1878" s="27">
        <v>15300040000</v>
      </c>
      <c r="Q1878" s="5" t="s">
        <v>52293</v>
      </c>
      <c r="R1878" s="5"/>
      <c r="S1878" s="5" t="s">
        <v>52294</v>
      </c>
      <c r="T1878" s="28">
        <v>583509000</v>
      </c>
      <c r="U1878" s="28"/>
      <c r="V1878" s="28">
        <v>6809530000</v>
      </c>
      <c r="W1878" s="28">
        <v>2502850000</v>
      </c>
      <c r="X1878" s="28">
        <v>180520000</v>
      </c>
      <c r="Y1878" s="28">
        <v>15645097000</v>
      </c>
      <c r="Z1878" s="28">
        <v>-21943115000</v>
      </c>
      <c r="AA1878" s="28">
        <v>9854515000</v>
      </c>
      <c r="AB1878" s="28">
        <v>14467790000</v>
      </c>
      <c r="AC1878" s="28">
        <v>19091938000</v>
      </c>
      <c r="AD1878" s="28">
        <v>-14143095000</v>
      </c>
      <c r="AE1878" s="28">
        <v>19209288000</v>
      </c>
      <c r="AF1878" s="28">
        <v>-2314298000</v>
      </c>
      <c r="AG1878" s="11"/>
    </row>
    <row r="1879">
      <c r="A1879" s="7" t="s">
        <v>3581</v>
      </c>
      <c r="B1879" s="5" t="s">
        <v>11567</v>
      </c>
      <c r="C1879" s="5" t="s">
        <v>19422</v>
      </c>
      <c r="D1879" s="5" t="str">
        <v>760304626407</v>
      </c>
      <c r="E1879" s="0" t="e">
        <f>+7 (483) 2718586
+7 (800) 5512778
+7 (84624) 40339
+7 (861) 2689315
+7 (863) 3031140
+7 (863) 3037777
+7 (863) 3065985
+7 (8632) 230524
+7 (3412) 573014
+7 (3412) 573024
+7 (4862) 200773
+7 (4862) 440339
+7 (861) 2592009
+7 (863) 3030011
+7 (863) 3220103</f>
        <v>#NAME?</v>
      </c>
      <c r="F1879" s="5" t="s">
        <v>31002</v>
      </c>
      <c r="G1879" s="5" t="s">
        <v>31003</v>
      </c>
      <c r="H1879" s="26">
        <v>10.5</v>
      </c>
      <c r="I1879" s="5" t="s">
        <v>31004</v>
      </c>
      <c r="J1879" s="5" t="s">
        <v>25327</v>
      </c>
      <c r="K1879" s="5" t="s">
        <v>344</v>
      </c>
      <c r="L1879" s="5" t="s">
        <v>31005</v>
      </c>
      <c r="M1879" s="27">
        <v>17393274</v>
      </c>
      <c r="N1879" s="5" t="s">
        <v>52295</v>
      </c>
      <c r="O1879" s="5" t="str">
        <v>6167108933</v>
      </c>
      <c r="P1879" s="27">
        <v>130000</v>
      </c>
      <c r="Q1879" s="5" t="s">
        <v>52296</v>
      </c>
      <c r="R1879" s="5"/>
      <c r="S1879" s="5" t="s">
        <v>52297</v>
      </c>
      <c r="T1879" s="28">
        <v>16893000</v>
      </c>
      <c r="U1879" s="28">
        <v>260000</v>
      </c>
      <c r="V1879" s="28">
        <v>914278000</v>
      </c>
      <c r="W1879" s="28"/>
      <c r="X1879" s="28">
        <v>6314018000</v>
      </c>
      <c r="Y1879" s="28">
        <v>7269447000</v>
      </c>
      <c r="Z1879" s="28">
        <v>4184753000</v>
      </c>
      <c r="AA1879" s="28"/>
      <c r="AB1879" s="28"/>
      <c r="AC1879" s="28">
        <v>3070144000</v>
      </c>
      <c r="AD1879" s="28">
        <v>4184883000</v>
      </c>
      <c r="AE1879" s="28">
        <v>39015172000</v>
      </c>
      <c r="AF1879" s="28">
        <v>1204619000</v>
      </c>
      <c r="AG1879" s="11"/>
    </row>
    <row r="1880">
      <c r="A1880" s="7" t="s">
        <v>3582</v>
      </c>
      <c r="B1880" s="5" t="s">
        <v>11568</v>
      </c>
      <c r="C1880" s="5" t="s">
        <v>19423</v>
      </c>
      <c r="D1880" s="5" t="str">
        <v>645290784059</v>
      </c>
      <c r="E1880" s="0" t="e">
        <f>+7 (495) 7970054
+7 (800) 5504183
+7 (903) 4106020
+7 (919) 7751777
+7 (966) 1752487</f>
        <v>#NAME?</v>
      </c>
      <c r="F1880" s="5" t="s">
        <v>31006</v>
      </c>
      <c r="G1880" s="5" t="s">
        <v>31007</v>
      </c>
      <c r="H1880" s="26">
        <v>5.5</v>
      </c>
      <c r="I1880" s="5" t="s">
        <v>31008</v>
      </c>
      <c r="J1880" s="5" t="s">
        <v>30764</v>
      </c>
      <c r="K1880" s="5" t="s">
        <v>344</v>
      </c>
      <c r="L1880" s="5" t="s">
        <v>31009</v>
      </c>
      <c r="M1880" s="27"/>
      <c r="N1880" s="5"/>
      <c r="O1880" s="5" t="str">
        <v>7726410031</v>
      </c>
      <c r="P1880" s="27">
        <v>10000</v>
      </c>
      <c r="Q1880" s="5" t="s">
        <v>49059</v>
      </c>
      <c r="R1880" s="5"/>
      <c r="S1880" s="5" t="s">
        <v>52298</v>
      </c>
      <c r="T1880" s="28">
        <v>15652000</v>
      </c>
      <c r="U1880" s="28"/>
      <c r="V1880" s="28">
        <v>1406282000</v>
      </c>
      <c r="W1880" s="28"/>
      <c r="X1880" s="28">
        <v>12994000</v>
      </c>
      <c r="Y1880" s="28">
        <v>2116874000</v>
      </c>
      <c r="Z1880" s="28">
        <v>44967000</v>
      </c>
      <c r="AA1880" s="28">
        <v>1240201000</v>
      </c>
      <c r="AB1880" s="28">
        <v>35640000</v>
      </c>
      <c r="AC1880" s="28">
        <v>788163000</v>
      </c>
      <c r="AD1880" s="28">
        <v>88477000</v>
      </c>
      <c r="AE1880" s="28">
        <v>5489022000</v>
      </c>
      <c r="AF1880" s="28">
        <v>16350000</v>
      </c>
      <c r="AG1880" s="11"/>
    </row>
    <row r="1881">
      <c r="A1881" s="7" t="s">
        <v>3583</v>
      </c>
      <c r="B1881" s="5" t="s">
        <v>11569</v>
      </c>
      <c r="C1881" s="5" t="s">
        <v>19424</v>
      </c>
      <c r="D1881" s="5" t="str">
        <v>250213264140</v>
      </c>
      <c r="E1881" s="0" t="e">
        <f>+7 (423) 2604380
+7 (423) 2604387
+7 (4232) 219959
+7 (4232) 309921
+7 (4232) 468888
+7 (4232) 527878</f>
        <v>#NAME?</v>
      </c>
      <c r="F1881" s="5"/>
      <c r="G1881" s="5"/>
      <c r="H1881" s="26">
        <v>12.5</v>
      </c>
      <c r="I1881" s="5" t="s">
        <v>31010</v>
      </c>
      <c r="J1881" s="5" t="s">
        <v>28053</v>
      </c>
      <c r="K1881" s="5" t="s">
        <v>344</v>
      </c>
      <c r="L1881" s="5"/>
      <c r="M1881" s="27"/>
      <c r="N1881" s="5"/>
      <c r="O1881" s="5" t="str">
        <v>2502041903</v>
      </c>
      <c r="P1881" s="27">
        <v>1190795312</v>
      </c>
      <c r="Q1881" s="5" t="s">
        <v>49059</v>
      </c>
      <c r="R1881" s="5"/>
      <c r="S1881" s="5" t="s">
        <v>49010</v>
      </c>
      <c r="T1881" s="28">
        <v>5389840000</v>
      </c>
      <c r="U1881" s="28">
        <v>13000</v>
      </c>
      <c r="V1881" s="28">
        <v>29297000</v>
      </c>
      <c r="W1881" s="28">
        <v>10000000</v>
      </c>
      <c r="X1881" s="28">
        <v>1687264000</v>
      </c>
      <c r="Y1881" s="28">
        <v>7906293000</v>
      </c>
      <c r="Z1881" s="28">
        <v>5639819000</v>
      </c>
      <c r="AA1881" s="28"/>
      <c r="AB1881" s="28">
        <v>492897000</v>
      </c>
      <c r="AC1881" s="28">
        <v>852534000</v>
      </c>
      <c r="AD1881" s="28">
        <v>6838776000</v>
      </c>
      <c r="AE1881" s="28">
        <v>3127111000</v>
      </c>
      <c r="AF1881" s="28">
        <v>662365000</v>
      </c>
      <c r="AG1881" s="11"/>
    </row>
    <row r="1882">
      <c r="A1882" s="7" t="s">
        <v>3584</v>
      </c>
      <c r="B1882" s="5" t="s">
        <v>11570</v>
      </c>
      <c r="C1882" s="5" t="s">
        <v>19425</v>
      </c>
      <c r="D1882" s="5" t="str">
        <v>165706060629</v>
      </c>
      <c r="E1882" s="0" t="e">
        <f>+7 (843) 2723952
+7 (800) 3339870
+7 (8432) 735535
+7 (843) 2795823
+7 (951) 617126</f>
        <v>#NAME?</v>
      </c>
      <c r="F1882" s="5" t="s">
        <v>31011</v>
      </c>
      <c r="G1882" s="5" t="s">
        <v>31012</v>
      </c>
      <c r="H1882" s="26">
        <v>12.5</v>
      </c>
      <c r="I1882" s="5" t="s">
        <v>31013</v>
      </c>
      <c r="J1882" s="5" t="s">
        <v>881</v>
      </c>
      <c r="K1882" s="5" t="s">
        <v>344</v>
      </c>
      <c r="L1882" s="5" t="s">
        <v>31014</v>
      </c>
      <c r="M1882" s="27"/>
      <c r="N1882" s="5" t="s">
        <v>52299</v>
      </c>
      <c r="O1882" s="5" t="str">
        <v>1660146230</v>
      </c>
      <c r="P1882" s="27">
        <v>2000000</v>
      </c>
      <c r="Q1882" s="5" t="s">
        <v>52300</v>
      </c>
      <c r="R1882" s="5"/>
      <c r="S1882" s="5" t="s">
        <v>52301</v>
      </c>
      <c r="T1882" s="28">
        <v>118024000</v>
      </c>
      <c r="U1882" s="28">
        <v>2940000</v>
      </c>
      <c r="V1882" s="28">
        <v>967655000</v>
      </c>
      <c r="W1882" s="28"/>
      <c r="X1882" s="28">
        <v>1207589000</v>
      </c>
      <c r="Y1882" s="28">
        <v>2415463000</v>
      </c>
      <c r="Z1882" s="28">
        <v>1015303000</v>
      </c>
      <c r="AA1882" s="28">
        <v>46995000</v>
      </c>
      <c r="AB1882" s="28">
        <v>482778000</v>
      </c>
      <c r="AC1882" s="28">
        <v>1266382000</v>
      </c>
      <c r="AD1882" s="28">
        <v>1017303000</v>
      </c>
      <c r="AE1882" s="28">
        <v>5038222000</v>
      </c>
      <c r="AF1882" s="28">
        <v>205195000</v>
      </c>
      <c r="AG1882" s="11"/>
    </row>
    <row r="1883">
      <c r="A1883" s="7" t="s">
        <v>3585</v>
      </c>
      <c r="B1883" s="5" t="s">
        <v>11571</v>
      </c>
      <c r="C1883" s="5" t="s">
        <v>19426</v>
      </c>
      <c r="D1883" s="5" t="str">
        <v>770354661675</v>
      </c>
      <c r="E1883" s="0" t="e">
        <f>+7 (495) 7390765
+7 (495) 7396855
+7 (495) 7396900
+7 (495) 9372886
+7 (495) 9811313</f>
        <v>#NAME?</v>
      </c>
      <c r="F1883" s="5"/>
      <c r="G1883" s="5" t="s">
        <v>31015</v>
      </c>
      <c r="H1883" s="26">
        <v>19</v>
      </c>
      <c r="I1883" s="5" t="s">
        <v>31016</v>
      </c>
      <c r="J1883" s="5" t="s">
        <v>31017</v>
      </c>
      <c r="K1883" s="5" t="s">
        <v>344</v>
      </c>
      <c r="L1883" s="5" t="s">
        <v>31018</v>
      </c>
      <c r="M1883" s="27">
        <v>350041436</v>
      </c>
      <c r="N1883" s="5" t="s">
        <v>52302</v>
      </c>
      <c r="O1883" s="5" t="str">
        <v>7705574092</v>
      </c>
      <c r="P1883" s="27">
        <v>1974395707</v>
      </c>
      <c r="Q1883" s="5" t="s">
        <v>52303</v>
      </c>
      <c r="R1883" s="5"/>
      <c r="S1883" s="5" t="s">
        <v>50902</v>
      </c>
      <c r="T1883" s="28">
        <v>611760000</v>
      </c>
      <c r="U1883" s="28">
        <v>17584000</v>
      </c>
      <c r="V1883" s="28">
        <v>3217430000</v>
      </c>
      <c r="W1883" s="28"/>
      <c r="X1883" s="28">
        <v>4260170000</v>
      </c>
      <c r="Y1883" s="28">
        <v>11981922000</v>
      </c>
      <c r="Z1883" s="28">
        <v>4872978000</v>
      </c>
      <c r="AA1883" s="28"/>
      <c r="AB1883" s="28"/>
      <c r="AC1883" s="28">
        <v>3996000000</v>
      </c>
      <c r="AD1883" s="28">
        <v>6847677000</v>
      </c>
      <c r="AE1883" s="28">
        <v>5227192000</v>
      </c>
      <c r="AF1883" s="28">
        <v>91893000</v>
      </c>
      <c r="AG1883" s="11"/>
    </row>
    <row r="1884">
      <c r="A1884" s="7" t="s">
        <v>3586</v>
      </c>
      <c r="B1884" s="5" t="s">
        <v>11572</v>
      </c>
      <c r="C1884" s="5" t="s">
        <v>19427</v>
      </c>
      <c r="D1884" s="5" t="str">
        <v>771904011964</v>
      </c>
      <c r="E1884" s="0" t="e">
        <f>+7 (495) 6265809
+7 (495) 7396931
+7 (495) 7973512
+7 (916) 200989
+7 (945) 7396931</f>
        <v>#NAME?</v>
      </c>
      <c r="F1884" s="5" t="s">
        <v>31019</v>
      </c>
      <c r="G1884" s="5" t="s">
        <v>31020</v>
      </c>
      <c r="H1884" s="26">
        <v>27.5</v>
      </c>
      <c r="I1884" s="5" t="s">
        <v>31021</v>
      </c>
      <c r="J1884" s="5" t="s">
        <v>26288</v>
      </c>
      <c r="K1884" s="5" t="s">
        <v>344</v>
      </c>
      <c r="L1884" s="5" t="s">
        <v>31022</v>
      </c>
      <c r="M1884" s="27"/>
      <c r="N1884" s="5" t="s">
        <v>52304</v>
      </c>
      <c r="O1884" s="5" t="str">
        <v>7719048808</v>
      </c>
      <c r="P1884" s="27">
        <v>18000000</v>
      </c>
      <c r="Q1884" s="5" t="s">
        <v>52305</v>
      </c>
      <c r="R1884" s="5"/>
      <c r="S1884" s="5" t="s">
        <v>52306</v>
      </c>
      <c r="T1884" s="28">
        <v>560714000</v>
      </c>
      <c r="U1884" s="28">
        <v>4486956000</v>
      </c>
      <c r="V1884" s="28">
        <v>5070001000</v>
      </c>
      <c r="W1884" s="28"/>
      <c r="X1884" s="28">
        <v>1402142000</v>
      </c>
      <c r="Y1884" s="28">
        <v>14087545000</v>
      </c>
      <c r="Z1884" s="28">
        <v>8801338000</v>
      </c>
      <c r="AA1884" s="28"/>
      <c r="AB1884" s="28"/>
      <c r="AC1884" s="28">
        <v>4777744000</v>
      </c>
      <c r="AD1884" s="28">
        <v>8862923000</v>
      </c>
      <c r="AE1884" s="28">
        <v>11755219000</v>
      </c>
      <c r="AF1884" s="28">
        <v>1826513000</v>
      </c>
      <c r="AG1884" s="11"/>
    </row>
    <row r="1885">
      <c r="A1885" s="7" t="s">
        <v>3587</v>
      </c>
      <c r="B1885" s="5" t="s">
        <v>11573</v>
      </c>
      <c r="C1885" s="5" t="s">
        <v>19428</v>
      </c>
      <c r="D1885" s="5" t="str">
        <v>381106539763</v>
      </c>
      <c r="E1885" s="0" t="e">
        <f>+7 (495) 7339252</f>
        <v>#NAME?</v>
      </c>
      <c r="F1885" s="5"/>
      <c r="G1885" s="5" t="s">
        <v>31023</v>
      </c>
      <c r="H1885" s="26">
        <v>17</v>
      </c>
      <c r="I1885" s="5" t="s">
        <v>31024</v>
      </c>
      <c r="J1885" s="5" t="s">
        <v>866</v>
      </c>
      <c r="K1885" s="5" t="s">
        <v>344</v>
      </c>
      <c r="L1885" s="5" t="s">
        <v>31025</v>
      </c>
      <c r="M1885" s="27">
        <v>24981684</v>
      </c>
      <c r="N1885" s="5"/>
      <c r="O1885" s="5" t="str">
        <v>5260168445</v>
      </c>
      <c r="P1885" s="27">
        <v>100000</v>
      </c>
      <c r="Q1885" s="5" t="s">
        <v>49009</v>
      </c>
      <c r="R1885" s="5"/>
      <c r="S1885" s="5" t="s">
        <v>49010</v>
      </c>
      <c r="T1885" s="28">
        <v>2285134000</v>
      </c>
      <c r="U1885" s="28"/>
      <c r="V1885" s="28">
        <v>1646445000</v>
      </c>
      <c r="W1885" s="28"/>
      <c r="X1885" s="28">
        <v>484692000</v>
      </c>
      <c r="Y1885" s="28">
        <v>5097140000</v>
      </c>
      <c r="Z1885" s="28">
        <v>861965000</v>
      </c>
      <c r="AA1885" s="28"/>
      <c r="AB1885" s="28"/>
      <c r="AC1885" s="28">
        <v>2024287000</v>
      </c>
      <c r="AD1885" s="28">
        <v>862065000</v>
      </c>
      <c r="AE1885" s="28">
        <v>6447115000</v>
      </c>
      <c r="AF1885" s="28">
        <v>51138000</v>
      </c>
      <c r="AG1885" s="11"/>
    </row>
    <row r="1886">
      <c r="A1886" s="7" t="s">
        <v>3588</v>
      </c>
      <c r="B1886" s="5" t="s">
        <v>11574</v>
      </c>
      <c r="C1886" s="5" t="s">
        <v>19429</v>
      </c>
      <c r="D1886" s="5" t="str">
        <v>772801683074</v>
      </c>
      <c r="E1886" s="0" t="e">
        <f>+7 (499) 4005555
+7 (916) 1154412
+7 (925) 277989
+7 (967) 795707</f>
        <v>#NAME?</v>
      </c>
      <c r="F1886" s="5" t="s">
        <v>31026</v>
      </c>
      <c r="G1886" s="5" t="s">
        <v>31027</v>
      </c>
      <c r="H1886" s="26">
        <v>14</v>
      </c>
      <c r="I1886" s="5" t="s">
        <v>31028</v>
      </c>
      <c r="J1886" s="5" t="s">
        <v>31029</v>
      </c>
      <c r="K1886" s="5" t="s">
        <v>344</v>
      </c>
      <c r="L1886" s="5" t="s">
        <v>31030</v>
      </c>
      <c r="M1886" s="27"/>
      <c r="N1886" s="5"/>
      <c r="O1886" s="5" t="str">
        <v>5021017621</v>
      </c>
      <c r="P1886" s="27">
        <v>10000</v>
      </c>
      <c r="Q1886" s="5"/>
      <c r="R1886" s="5"/>
      <c r="S1886" s="5" t="s">
        <v>49029</v>
      </c>
      <c r="T1886" s="28">
        <v>1099388000</v>
      </c>
      <c r="U1886" s="28"/>
      <c r="V1886" s="28">
        <v>666535000</v>
      </c>
      <c r="W1886" s="28"/>
      <c r="X1886" s="28">
        <v>25425000</v>
      </c>
      <c r="Y1886" s="28">
        <v>4263469000</v>
      </c>
      <c r="Z1886" s="28">
        <v>1248614000</v>
      </c>
      <c r="AA1886" s="28">
        <v>1855751000</v>
      </c>
      <c r="AB1886" s="28">
        <v>611915000</v>
      </c>
      <c r="AC1886" s="28">
        <v>1150871000</v>
      </c>
      <c r="AD1886" s="28">
        <v>1249091000</v>
      </c>
      <c r="AE1886" s="28">
        <v>3565780000</v>
      </c>
      <c r="AF1886" s="28">
        <v>38965000</v>
      </c>
      <c r="AG1886" s="11"/>
    </row>
    <row r="1887">
      <c r="A1887" s="7" t="s">
        <v>3589</v>
      </c>
      <c r="B1887" s="5" t="s">
        <v>11575</v>
      </c>
      <c r="C1887" s="5" t="s">
        <v>19430</v>
      </c>
      <c r="D1887" s="5" t="str">
        <v>770706614743</v>
      </c>
      <c r="E1887" s="0" t="e">
        <f>+7 (499) 7695033</f>
        <v>#NAME?</v>
      </c>
      <c r="F1887" s="5" t="s">
        <v>31031</v>
      </c>
      <c r="G1887" s="5" t="s">
        <v>31032</v>
      </c>
      <c r="H1887" s="26">
        <v>14</v>
      </c>
      <c r="I1887" s="5" t="s">
        <v>31033</v>
      </c>
      <c r="J1887" s="5" t="s">
        <v>397</v>
      </c>
      <c r="K1887" s="5" t="s">
        <v>344</v>
      </c>
      <c r="L1887" s="5"/>
      <c r="M1887" s="27"/>
      <c r="N1887" s="5"/>
      <c r="O1887" s="5" t="str">
        <v>7716641537</v>
      </c>
      <c r="P1887" s="27">
        <v>14010000</v>
      </c>
      <c r="Q1887" s="5" t="s">
        <v>49009</v>
      </c>
      <c r="R1887" s="5"/>
      <c r="S1887" s="5" t="s">
        <v>49010</v>
      </c>
      <c r="T1887" s="28">
        <v>158754000</v>
      </c>
      <c r="U1887" s="28"/>
      <c r="V1887" s="28">
        <v>8825213000</v>
      </c>
      <c r="W1887" s="28">
        <v>972239000</v>
      </c>
      <c r="X1887" s="28">
        <v>8563895000</v>
      </c>
      <c r="Y1887" s="28">
        <v>26555704000</v>
      </c>
      <c r="Z1887" s="28">
        <v>11429648000</v>
      </c>
      <c r="AA1887" s="28"/>
      <c r="AB1887" s="28"/>
      <c r="AC1887" s="28">
        <v>13273986000</v>
      </c>
      <c r="AD1887" s="28">
        <v>12169609000</v>
      </c>
      <c r="AE1887" s="28">
        <v>66634306000</v>
      </c>
      <c r="AF1887" s="28">
        <v>16764486000</v>
      </c>
      <c r="AG1887" s="11"/>
    </row>
    <row r="1888">
      <c r="A1888" s="7" t="s">
        <v>3590</v>
      </c>
      <c r="B1888" s="5" t="s">
        <v>11576</v>
      </c>
      <c r="C1888" s="5" t="s">
        <v>19431</v>
      </c>
      <c r="D1888" s="5" t="str">
        <v>772607917074</v>
      </c>
      <c r="E1888" s="0" t="e">
        <f>+7 (383) 2851230
+7 (494) 2313034
+7 (494) 2496299
+7 (495) 2574147
+7 (495) 5030119
+7 (499) 2887637
+7 (906) 9758537
+7 (967) 7747616
+7 (988) 5030192
+7 (988) 7461040
+7 (495) 5030192
+7 (499) 5030195
+7 (499) 5039102
+7 (903) 5214706
+7 (964) 5309183</f>
        <v>#NAME?</v>
      </c>
      <c r="F1888" s="5" t="s">
        <v>31034</v>
      </c>
      <c r="G1888" s="5"/>
      <c r="H1888" s="26">
        <v>13.5</v>
      </c>
      <c r="I1888" s="5" t="s">
        <v>31035</v>
      </c>
      <c r="J1888" s="5" t="s">
        <v>27316</v>
      </c>
      <c r="K1888" s="5" t="s">
        <v>380</v>
      </c>
      <c r="L1888" s="5"/>
      <c r="M1888" s="27"/>
      <c r="N1888" s="5" t="s">
        <v>52308</v>
      </c>
      <c r="O1888" s="5" t="str">
        <v>7723733387</v>
      </c>
      <c r="P1888" s="27">
        <v>12000</v>
      </c>
      <c r="Q1888" s="5" t="s">
        <v>52309</v>
      </c>
      <c r="R1888" s="5"/>
      <c r="S1888" s="5" t="s">
        <v>52310</v>
      </c>
      <c r="T1888" s="28">
        <v>473543000</v>
      </c>
      <c r="U1888" s="28">
        <v>10000</v>
      </c>
      <c r="V1888" s="28">
        <v>3133167000</v>
      </c>
      <c r="W1888" s="28">
        <v>800592000</v>
      </c>
      <c r="X1888" s="28">
        <v>1797572000</v>
      </c>
      <c r="Y1888" s="28">
        <v>11117596000</v>
      </c>
      <c r="Z1888" s="28">
        <v>294166000</v>
      </c>
      <c r="AA1888" s="28"/>
      <c r="AB1888" s="28"/>
      <c r="AC1888" s="28">
        <v>10135535000</v>
      </c>
      <c r="AD1888" s="28">
        <v>294178000</v>
      </c>
      <c r="AE1888" s="28">
        <v>5451063000</v>
      </c>
      <c r="AF1888" s="28">
        <v>-89171000</v>
      </c>
      <c r="AG1888" s="11"/>
    </row>
    <row r="1889">
      <c r="A1889" s="7" t="s">
        <v>3591</v>
      </c>
      <c r="B1889" s="5" t="s">
        <v>11577</v>
      </c>
      <c r="C1889" s="5" t="s">
        <v>19432</v>
      </c>
      <c r="D1889" s="5" t="str">
        <v>770877311379</v>
      </c>
      <c r="E1889" s="0" t="e">
        <f>+7 (384) 2735892
+7 (384) 2752955
+7 (384) 3735892
+7 (3843) 357887
+7 (3843) 752955
+7 (3843) 758310
+7 (3843) 775694
+7 (3843) 776837
+7 (3843) 777846
+7 (3843) 778599
+7 (3843) 779354
+7 (3843) 779354
+7 (3846) 642200
+7 (3846) 642201
+7 (3846) 642222</f>
        <v>#NAME?</v>
      </c>
      <c r="F1889" s="5" t="s">
        <v>31036</v>
      </c>
      <c r="G1889" s="5" t="s">
        <v>31037</v>
      </c>
      <c r="H1889" s="26">
        <v>22</v>
      </c>
      <c r="I1889" s="5" t="s">
        <v>31038</v>
      </c>
      <c r="J1889" s="5" t="s">
        <v>897</v>
      </c>
      <c r="K1889" s="5" t="s">
        <v>344</v>
      </c>
      <c r="L1889" s="5" t="s">
        <v>31039</v>
      </c>
      <c r="M1889" s="27">
        <v>812273</v>
      </c>
      <c r="N1889" s="5" t="s">
        <v>52311</v>
      </c>
      <c r="O1889" s="5" t="str">
        <v>4211010319</v>
      </c>
      <c r="P1889" s="27">
        <v>180000</v>
      </c>
      <c r="Q1889" s="5" t="s">
        <v>52312</v>
      </c>
      <c r="R1889" s="5"/>
      <c r="S1889" s="5" t="s">
        <v>50238</v>
      </c>
      <c r="T1889" s="28">
        <v>1047684000</v>
      </c>
      <c r="U1889" s="28"/>
      <c r="V1889" s="28">
        <v>1601708000</v>
      </c>
      <c r="W1889" s="28"/>
      <c r="X1889" s="28">
        <v>678755000</v>
      </c>
      <c r="Y1889" s="28">
        <v>7055441000</v>
      </c>
      <c r="Z1889" s="28">
        <v>3991156000</v>
      </c>
      <c r="AA1889" s="28"/>
      <c r="AB1889" s="28"/>
      <c r="AC1889" s="28">
        <v>2265058000</v>
      </c>
      <c r="AD1889" s="28">
        <v>4634389000</v>
      </c>
      <c r="AE1889" s="28">
        <v>4282377000</v>
      </c>
      <c r="AF1889" s="28">
        <v>41500000</v>
      </c>
      <c r="AG1889" s="11"/>
    </row>
    <row r="1890">
      <c r="A1890" s="7" t="s">
        <v>3592</v>
      </c>
      <c r="B1890" s="5" t="s">
        <v>11578</v>
      </c>
      <c r="C1890" s="5" t="s">
        <v>19433</v>
      </c>
      <c r="D1890" s="5" t="str">
        <v>500911881727</v>
      </c>
      <c r="E1890" s="0" t="e">
        <f>+7 (495) 7392638
+7 (343) 2958086
+7 (485) 2671652
+7 (495) 7392637
+7 (812) 4947240
+7 (83143) 76952
+7 (8422) 371013
+7 (906) 4181985
+7 (913) 9480934
+7 (920) 4074298
+7 (928) 6677308
+7 (960) 1384626</f>
        <v>#NAME?</v>
      </c>
      <c r="F1890" s="5" t="s">
        <v>31040</v>
      </c>
      <c r="G1890" s="5" t="s">
        <v>31041</v>
      </c>
      <c r="H1890" s="26">
        <v>18.5</v>
      </c>
      <c r="I1890" s="5" t="s">
        <v>31042</v>
      </c>
      <c r="J1890" s="5" t="s">
        <v>31043</v>
      </c>
      <c r="K1890" s="5" t="s">
        <v>344</v>
      </c>
      <c r="L1890" s="5" t="s">
        <v>31044</v>
      </c>
      <c r="M1890" s="27"/>
      <c r="N1890" s="5"/>
      <c r="O1890" s="5" t="str">
        <v>7721519275</v>
      </c>
      <c r="P1890" s="27">
        <v>1800000</v>
      </c>
      <c r="Q1890" s="5" t="s">
        <v>49009</v>
      </c>
      <c r="R1890" s="5"/>
      <c r="S1890" s="5" t="s">
        <v>49045</v>
      </c>
      <c r="T1890" s="28">
        <v>13410000</v>
      </c>
      <c r="U1890" s="28"/>
      <c r="V1890" s="28">
        <v>222652000</v>
      </c>
      <c r="W1890" s="28"/>
      <c r="X1890" s="28">
        <v>23543000</v>
      </c>
      <c r="Y1890" s="28">
        <v>407168000</v>
      </c>
      <c r="Z1890" s="28">
        <v>52853000</v>
      </c>
      <c r="AA1890" s="28"/>
      <c r="AB1890" s="28"/>
      <c r="AC1890" s="28">
        <v>350780000</v>
      </c>
      <c r="AD1890" s="28">
        <v>54653000</v>
      </c>
      <c r="AE1890" s="28">
        <v>3966691000</v>
      </c>
      <c r="AF1890" s="28">
        <v>46121000</v>
      </c>
      <c r="AG1890" s="11"/>
    </row>
    <row r="1891">
      <c r="A1891" s="7" t="s">
        <v>3593</v>
      </c>
      <c r="B1891" s="5" t="s">
        <v>11579</v>
      </c>
      <c r="C1891" s="5" t="s">
        <v>19434</v>
      </c>
      <c r="D1891" s="5" t="str">
        <v>710708591204</v>
      </c>
      <c r="E1891" s="0" t="e">
        <f>+7 (353) 2225399
+7 (35327) 33542
+7 (35327) 33547
+7 (484) 2593962
+7 (495) 7833998
+7 (495) 7833999
+7 (495) 7834331
+7 (495) 7834332
+7 (495) 7834334</f>
        <v>#NAME?</v>
      </c>
      <c r="F1891" s="5" t="s">
        <v>31045</v>
      </c>
      <c r="G1891" s="5" t="s">
        <v>31046</v>
      </c>
      <c r="H1891" s="26">
        <v>18</v>
      </c>
      <c r="I1891" s="5" t="s">
        <v>31047</v>
      </c>
      <c r="J1891" s="5" t="s">
        <v>30520</v>
      </c>
      <c r="K1891" s="5" t="s">
        <v>344</v>
      </c>
      <c r="L1891" s="5" t="s">
        <v>31048</v>
      </c>
      <c r="M1891" s="27"/>
      <c r="N1891" s="5"/>
      <c r="O1891" s="5" t="str">
        <v>5610085533</v>
      </c>
      <c r="P1891" s="27">
        <v>950000000</v>
      </c>
      <c r="Q1891" s="5"/>
      <c r="R1891" s="5"/>
      <c r="S1891" s="5" t="s">
        <v>49029</v>
      </c>
      <c r="T1891" s="28">
        <v>2021013000</v>
      </c>
      <c r="U1891" s="28"/>
      <c r="V1891" s="28">
        <v>8470126000</v>
      </c>
      <c r="W1891" s="28"/>
      <c r="X1891" s="28">
        <v>62007000</v>
      </c>
      <c r="Y1891" s="28">
        <v>13203649000</v>
      </c>
      <c r="Z1891" s="28">
        <v>3481604000</v>
      </c>
      <c r="AA1891" s="28"/>
      <c r="AB1891" s="28"/>
      <c r="AC1891" s="28">
        <v>3155647000</v>
      </c>
      <c r="AD1891" s="28">
        <v>9433394000</v>
      </c>
      <c r="AE1891" s="28">
        <v>16907757000</v>
      </c>
      <c r="AF1891" s="28">
        <v>770234000</v>
      </c>
      <c r="AG1891" s="11"/>
    </row>
    <row r="1892">
      <c r="A1892" s="7" t="s">
        <v>3594</v>
      </c>
      <c r="B1892" s="5" t="s">
        <v>11580</v>
      </c>
      <c r="C1892" s="5" t="s">
        <v>19435</v>
      </c>
      <c r="D1892" s="5" t="str">
        <v>771915675251</v>
      </c>
      <c r="E1892" s="0" t="e">
        <f>+7 (495) 5809020
+7 (495) 7558350
+7 (495) 4564646
+7 (495) 5807777
+7 (495) 5809021
+7 (495) 5809029
+7 (495) 5887777
+7 (495) 7265555
+7 (916) 5540622</f>
        <v>#NAME?</v>
      </c>
      <c r="F1892" s="5" t="s">
        <v>31049</v>
      </c>
      <c r="G1892" s="5" t="s">
        <v>31050</v>
      </c>
      <c r="H1892" s="26">
        <v>20</v>
      </c>
      <c r="I1892" s="5" t="s">
        <v>31051</v>
      </c>
      <c r="J1892" s="5" t="s">
        <v>25429</v>
      </c>
      <c r="K1892" s="5" t="s">
        <v>344</v>
      </c>
      <c r="L1892" s="5" t="s">
        <v>31052</v>
      </c>
      <c r="M1892" s="27">
        <v>3663142</v>
      </c>
      <c r="N1892" s="5" t="s">
        <v>52313</v>
      </c>
      <c r="O1892" s="5" t="str">
        <v>7725216105</v>
      </c>
      <c r="P1892" s="27">
        <v>262703200</v>
      </c>
      <c r="Q1892" s="5" t="s">
        <v>49009</v>
      </c>
      <c r="R1892" s="5"/>
      <c r="S1892" s="5" t="s">
        <v>49256</v>
      </c>
      <c r="T1892" s="28">
        <v>2777520000</v>
      </c>
      <c r="U1892" s="28"/>
      <c r="V1892" s="28">
        <v>46264334000</v>
      </c>
      <c r="W1892" s="28"/>
      <c r="X1892" s="28">
        <v>11112798000</v>
      </c>
      <c r="Y1892" s="28">
        <v>75934329000</v>
      </c>
      <c r="Z1892" s="28">
        <v>29557956000</v>
      </c>
      <c r="AA1892" s="28"/>
      <c r="AB1892" s="28"/>
      <c r="AC1892" s="28">
        <v>27938678000</v>
      </c>
      <c r="AD1892" s="28">
        <v>47290470000</v>
      </c>
      <c r="AE1892" s="28">
        <v>77241338000</v>
      </c>
      <c r="AF1892" s="28">
        <v>3593373000</v>
      </c>
      <c r="AG1892" s="11"/>
    </row>
    <row r="1893">
      <c r="A1893" s="7" t="s">
        <v>3595</v>
      </c>
      <c r="B1893" s="5" t="s">
        <v>11581</v>
      </c>
      <c r="C1893" s="5" t="s">
        <v>18637</v>
      </c>
      <c r="D1893" s="5"/>
      <c r="E1893" s="0" t="e">
        <f>+7 (495) 7397000</f>
        <v>#NAME?</v>
      </c>
      <c r="F1893" s="5"/>
      <c r="G1893" s="5" t="s">
        <v>31053</v>
      </c>
      <c r="H1893" s="26">
        <v>5.5</v>
      </c>
      <c r="I1893" s="5" t="s">
        <v>31054</v>
      </c>
      <c r="J1893" s="5" t="s">
        <v>25199</v>
      </c>
      <c r="K1893" s="5" t="s">
        <v>344</v>
      </c>
      <c r="L1893" s="5" t="s">
        <v>31055</v>
      </c>
      <c r="M1893" s="27"/>
      <c r="N1893" s="5"/>
      <c r="O1893" s="5" t="str">
        <v>7704431373</v>
      </c>
      <c r="P1893" s="27">
        <v>20000</v>
      </c>
      <c r="Q1893" s="5" t="s">
        <v>49059</v>
      </c>
      <c r="R1893" s="5"/>
      <c r="S1893" s="5" t="s">
        <v>49457</v>
      </c>
      <c r="T1893" s="28">
        <v>19563000</v>
      </c>
      <c r="U1893" s="28">
        <v>54651000</v>
      </c>
      <c r="V1893" s="28">
        <v>1796868000</v>
      </c>
      <c r="W1893" s="28">
        <v>409363000</v>
      </c>
      <c r="X1893" s="28">
        <v>300691000</v>
      </c>
      <c r="Y1893" s="28">
        <v>4437697000</v>
      </c>
      <c r="Z1893" s="28">
        <v>157684000</v>
      </c>
      <c r="AA1893" s="28"/>
      <c r="AB1893" s="28">
        <v>437000000</v>
      </c>
      <c r="AC1893" s="28">
        <v>1808917000</v>
      </c>
      <c r="AD1893" s="28">
        <v>2628704000</v>
      </c>
      <c r="AE1893" s="28">
        <v>5318457000</v>
      </c>
      <c r="AF1893" s="28">
        <v>96903000</v>
      </c>
      <c r="AG1893" s="11"/>
    </row>
    <row r="1894">
      <c r="A1894" s="7" t="s">
        <v>3596</v>
      </c>
      <c r="B1894" s="5" t="s">
        <v>11582</v>
      </c>
      <c r="C1894" s="5" t="s">
        <v>19436</v>
      </c>
      <c r="D1894" s="5" t="str">
        <v>615004787976</v>
      </c>
      <c r="E1894" s="0" t="e">
        <f>+7 (921) 9410101
+7 (383) 2093499
+7 (487) 2440504
+7 (800) 7006262
+7 (910) 751519
+7 (910) 751529
+7 (911) 7021869
+7 (912) 301504
+7 (913) 7625264</f>
        <v>#NAME?</v>
      </c>
      <c r="F1894" s="5" t="s">
        <v>31056</v>
      </c>
      <c r="G1894" s="5" t="s">
        <v>31057</v>
      </c>
      <c r="H1894" s="26">
        <v>5</v>
      </c>
      <c r="I1894" s="5" t="s">
        <v>31058</v>
      </c>
      <c r="J1894" s="5" t="s">
        <v>31059</v>
      </c>
      <c r="K1894" s="5" t="s">
        <v>355</v>
      </c>
      <c r="L1894" s="5"/>
      <c r="M1894" s="27">
        <v>16171367</v>
      </c>
      <c r="N1894" s="5" t="s">
        <v>52314</v>
      </c>
      <c r="O1894" s="5" t="str">
        <v>7106081147</v>
      </c>
      <c r="P1894" s="27">
        <v>680100000</v>
      </c>
      <c r="Q1894" s="5"/>
      <c r="R1894" s="5"/>
      <c r="S1894" s="5" t="s">
        <v>49029</v>
      </c>
      <c r="T1894" s="28">
        <v>2745303000</v>
      </c>
      <c r="U1894" s="28"/>
      <c r="V1894" s="28">
        <v>559771000</v>
      </c>
      <c r="W1894" s="28"/>
      <c r="X1894" s="28">
        <v>31199000</v>
      </c>
      <c r="Y1894" s="28">
        <v>4833804000</v>
      </c>
      <c r="Z1894" s="28">
        <v>-2103490000</v>
      </c>
      <c r="AA1894" s="28">
        <v>2995640000</v>
      </c>
      <c r="AB1894" s="28">
        <v>863098000</v>
      </c>
      <c r="AC1894" s="28">
        <v>1784799000</v>
      </c>
      <c r="AD1894" s="28">
        <v>-374955000</v>
      </c>
      <c r="AE1894" s="28">
        <v>3588816000</v>
      </c>
      <c r="AF1894" s="28">
        <v>-446092000</v>
      </c>
      <c r="AG1894" s="11"/>
    </row>
    <row r="1895">
      <c r="A1895" s="7" t="s">
        <v>3597</v>
      </c>
      <c r="B1895" s="5" t="s">
        <v>11583</v>
      </c>
      <c r="C1895" s="5" t="s">
        <v>19437</v>
      </c>
      <c r="D1895" s="5" t="str">
        <v>262810281156</v>
      </c>
      <c r="E1895" s="0" t="e">
        <f>+7 (495) 250322</f>
        <v>#NAME?</v>
      </c>
      <c r="F1895" s="5" t="s">
        <v>31060</v>
      </c>
      <c r="G1895" s="5"/>
      <c r="H1895" s="26">
        <v>6</v>
      </c>
      <c r="I1895" s="5"/>
      <c r="J1895" s="5" t="s">
        <v>364</v>
      </c>
      <c r="K1895" s="5" t="s">
        <v>344</v>
      </c>
      <c r="L1895" s="5" t="s">
        <v>31061</v>
      </c>
      <c r="M1895" s="27">
        <v>4659633</v>
      </c>
      <c r="N1895" s="5"/>
      <c r="O1895" s="5" t="str">
        <v>7714436941</v>
      </c>
      <c r="P1895" s="27">
        <v>1000000</v>
      </c>
      <c r="Q1895" s="5" t="s">
        <v>49009</v>
      </c>
      <c r="R1895" s="5"/>
      <c r="S1895" s="5" t="s">
        <v>49010</v>
      </c>
      <c r="T1895" s="28">
        <v>26241000</v>
      </c>
      <c r="U1895" s="28"/>
      <c r="V1895" s="28">
        <v>1938254000</v>
      </c>
      <c r="W1895" s="28"/>
      <c r="X1895" s="28">
        <v>10856000</v>
      </c>
      <c r="Y1895" s="28">
        <v>2507383000</v>
      </c>
      <c r="Z1895" s="28">
        <v>859505000</v>
      </c>
      <c r="AA1895" s="28"/>
      <c r="AB1895" s="28"/>
      <c r="AC1895" s="28">
        <v>1646324000</v>
      </c>
      <c r="AD1895" s="28">
        <v>860555000</v>
      </c>
      <c r="AE1895" s="28">
        <v>7444441000</v>
      </c>
      <c r="AF1895" s="28">
        <v>1042581000</v>
      </c>
      <c r="AG1895" s="11"/>
    </row>
    <row r="1896">
      <c r="A1896" s="7" t="s">
        <v>3598</v>
      </c>
      <c r="B1896" s="5" t="s">
        <v>11584</v>
      </c>
      <c r="C1896" s="5" t="s">
        <v>19438</v>
      </c>
      <c r="D1896" s="5" t="str">
        <v>503113332831</v>
      </c>
      <c r="E1896" s="0" t="e">
        <f>+7 (495) 6602060
+7 (495) 9175473
+7 (495) 9803639
+7 (495) 9806338
+7 (49673) 30528
+7 (49673) 30554
+7 (49677) 30403
+7 (49677) 30693</f>
        <v>#NAME?</v>
      </c>
      <c r="F1896" s="5" t="s">
        <v>31062</v>
      </c>
      <c r="G1896" s="5" t="s">
        <v>31063</v>
      </c>
      <c r="H1896" s="26">
        <v>27.5</v>
      </c>
      <c r="I1896" s="5"/>
      <c r="J1896" s="5" t="s">
        <v>25429</v>
      </c>
      <c r="K1896" s="5" t="s">
        <v>344</v>
      </c>
      <c r="L1896" s="5" t="s">
        <v>31064</v>
      </c>
      <c r="M1896" s="27"/>
      <c r="N1896" s="5" t="s">
        <v>52315</v>
      </c>
      <c r="O1896" s="5" t="str">
        <v>5039003080</v>
      </c>
      <c r="P1896" s="27">
        <v>4500</v>
      </c>
      <c r="Q1896" s="5" t="s">
        <v>49579</v>
      </c>
      <c r="R1896" s="5"/>
      <c r="S1896" s="5" t="s">
        <v>52316</v>
      </c>
      <c r="T1896" s="28">
        <v>198927000</v>
      </c>
      <c r="U1896" s="28">
        <v>5000</v>
      </c>
      <c r="V1896" s="28">
        <v>747756000</v>
      </c>
      <c r="W1896" s="28">
        <v>151000</v>
      </c>
      <c r="X1896" s="28">
        <v>74326000</v>
      </c>
      <c r="Y1896" s="28">
        <v>2057989000</v>
      </c>
      <c r="Z1896" s="28">
        <v>1137437000</v>
      </c>
      <c r="AA1896" s="28"/>
      <c r="AB1896" s="28"/>
      <c r="AC1896" s="28">
        <v>823603000</v>
      </c>
      <c r="AD1896" s="28">
        <v>1137442000</v>
      </c>
      <c r="AE1896" s="28">
        <v>3675196000</v>
      </c>
      <c r="AF1896" s="28">
        <v>429975000</v>
      </c>
      <c r="AG1896" s="11"/>
    </row>
    <row r="1897">
      <c r="A1897" s="7" t="s">
        <v>3599</v>
      </c>
      <c r="B1897" s="5" t="s">
        <v>11585</v>
      </c>
      <c r="C1897" s="5" t="s">
        <v>18760</v>
      </c>
      <c r="D1897" s="5" t="str">
        <v>771909685565</v>
      </c>
      <c r="E1897" s="0" t="e">
        <f>+7 (495) 1081620
+7 (495) 3632262
+7 (495) 3632286
+7 (499) 6733623
+7 (499) 6733625
+7 (499) 6733628
+7 (499) 6733629
+7 (499) 6733631</f>
        <v>#NAME?</v>
      </c>
      <c r="F1897" s="5" t="s">
        <v>31065</v>
      </c>
      <c r="G1897" s="5" t="s">
        <v>31066</v>
      </c>
      <c r="H1897" s="26">
        <v>8</v>
      </c>
      <c r="I1897" s="5" t="s">
        <v>28931</v>
      </c>
      <c r="J1897" s="5" t="s">
        <v>26165</v>
      </c>
      <c r="K1897" s="5" t="s">
        <v>355</v>
      </c>
      <c r="L1897" s="5"/>
      <c r="M1897" s="27"/>
      <c r="N1897" s="5"/>
      <c r="O1897" s="5" t="str">
        <v>7722319430</v>
      </c>
      <c r="P1897" s="27">
        <v>10000</v>
      </c>
      <c r="Q1897" s="5" t="s">
        <v>49009</v>
      </c>
      <c r="R1897" s="5"/>
      <c r="S1897" s="5" t="s">
        <v>49010</v>
      </c>
      <c r="T1897" s="28">
        <v>50623000</v>
      </c>
      <c r="U1897" s="28"/>
      <c r="V1897" s="28">
        <v>152961000</v>
      </c>
      <c r="W1897" s="28">
        <v>352166000</v>
      </c>
      <c r="X1897" s="28">
        <v>13430000</v>
      </c>
      <c r="Y1897" s="28">
        <v>939627000</v>
      </c>
      <c r="Z1897" s="28">
        <v>-46384000</v>
      </c>
      <c r="AA1897" s="28">
        <v>50000000</v>
      </c>
      <c r="AB1897" s="28">
        <v>6025000</v>
      </c>
      <c r="AC1897" s="28">
        <v>872585000</v>
      </c>
      <c r="AD1897" s="28">
        <v>-46374000</v>
      </c>
      <c r="AE1897" s="28">
        <v>3473586000</v>
      </c>
      <c r="AF1897" s="28">
        <v>63979000</v>
      </c>
      <c r="AG1897" s="11"/>
    </row>
    <row r="1898">
      <c r="A1898" s="7" t="s">
        <v>3600</v>
      </c>
      <c r="B1898" s="5" t="s">
        <v>11586</v>
      </c>
      <c r="C1898" s="5" t="s">
        <v>19439</v>
      </c>
      <c r="D1898" s="5" t="str">
        <v>771809433050</v>
      </c>
      <c r="E1898" s="0" t="e">
        <f>+7 (495) 6538128
+7 (926) 5966756</f>
        <v>#NAME?</v>
      </c>
      <c r="F1898" s="5" t="s">
        <v>31067</v>
      </c>
      <c r="G1898" s="5"/>
      <c r="H1898" s="26">
        <v>7.5</v>
      </c>
      <c r="I1898" s="5" t="s">
        <v>31068</v>
      </c>
      <c r="J1898" s="5" t="s">
        <v>785</v>
      </c>
      <c r="K1898" s="5" t="s">
        <v>344</v>
      </c>
      <c r="L1898" s="5" t="s">
        <v>31069</v>
      </c>
      <c r="M1898" s="27"/>
      <c r="N1898" s="5"/>
      <c r="O1898" s="5" t="str">
        <v>7733241472</v>
      </c>
      <c r="P1898" s="27">
        <v>20000</v>
      </c>
      <c r="Q1898" s="5" t="s">
        <v>49009</v>
      </c>
      <c r="R1898" s="5"/>
      <c r="S1898" s="5" t="s">
        <v>49010</v>
      </c>
      <c r="T1898" s="28">
        <v>224000</v>
      </c>
      <c r="U1898" s="28"/>
      <c r="V1898" s="28">
        <v>1858878000</v>
      </c>
      <c r="W1898" s="28"/>
      <c r="X1898" s="28">
        <v>21912000</v>
      </c>
      <c r="Y1898" s="28">
        <v>1883029000</v>
      </c>
      <c r="Z1898" s="28">
        <v>493257000</v>
      </c>
      <c r="AA1898" s="28"/>
      <c r="AB1898" s="28"/>
      <c r="AC1898" s="28">
        <v>1389624000</v>
      </c>
      <c r="AD1898" s="28">
        <v>493277000</v>
      </c>
      <c r="AE1898" s="28">
        <v>8848561000</v>
      </c>
      <c r="AF1898" s="28">
        <v>476425000</v>
      </c>
      <c r="AG1898" s="11"/>
    </row>
    <row r="1899">
      <c r="A1899" s="7" t="s">
        <v>3601</v>
      </c>
      <c r="B1899" s="5" t="s">
        <v>11587</v>
      </c>
      <c r="C1899" s="5" t="s">
        <v>19440</v>
      </c>
      <c r="D1899" s="5" t="str">
        <v>261500132674</v>
      </c>
      <c r="E1899" s="0" t="e">
        <f>+7 (962) 4020974</f>
        <v>#NAME?</v>
      </c>
      <c r="F1899" s="5"/>
      <c r="G1899" s="5"/>
      <c r="H1899" s="26">
        <v>20.5</v>
      </c>
      <c r="I1899" s="5" t="s">
        <v>31070</v>
      </c>
      <c r="J1899" s="5" t="s">
        <v>25262</v>
      </c>
      <c r="K1899" s="5" t="s">
        <v>344</v>
      </c>
      <c r="L1899" s="5" t="s">
        <v>31071</v>
      </c>
      <c r="M1899" s="27"/>
      <c r="N1899" s="5" t="s">
        <v>52317</v>
      </c>
      <c r="O1899" s="5" t="str">
        <v>2615012678</v>
      </c>
      <c r="P1899" s="27">
        <v>10011925</v>
      </c>
      <c r="Q1899" s="5" t="s">
        <v>49057</v>
      </c>
      <c r="R1899" s="5"/>
      <c r="S1899" s="5" t="s">
        <v>52318</v>
      </c>
      <c r="T1899" s="28">
        <v>504580000</v>
      </c>
      <c r="U1899" s="28"/>
      <c r="V1899" s="28">
        <v>1121294000</v>
      </c>
      <c r="W1899" s="28">
        <v>91188000</v>
      </c>
      <c r="X1899" s="28">
        <v>145000</v>
      </c>
      <c r="Y1899" s="28">
        <v>2121630000</v>
      </c>
      <c r="Z1899" s="28">
        <v>345321000</v>
      </c>
      <c r="AA1899" s="28"/>
      <c r="AB1899" s="28">
        <v>511281000</v>
      </c>
      <c r="AC1899" s="28">
        <v>1625191000</v>
      </c>
      <c r="AD1899" s="28">
        <v>355333000</v>
      </c>
      <c r="AE1899" s="28">
        <v>6320448000</v>
      </c>
      <c r="AF1899" s="28">
        <v>77536000</v>
      </c>
      <c r="AG1899" s="11"/>
    </row>
    <row r="1900">
      <c r="A1900" s="7" t="s">
        <v>3602</v>
      </c>
      <c r="B1900" s="5" t="s">
        <v>11588</v>
      </c>
      <c r="C1900" s="5" t="s">
        <v>19441</v>
      </c>
      <c r="D1900" s="5" t="str">
        <v>773102411707</v>
      </c>
      <c r="E1900" s="0" t="e">
        <f>+7 (495) 9806775
+7 (499) 6709595</f>
        <v>#NAME?</v>
      </c>
      <c r="F1900" s="5" t="s">
        <v>31072</v>
      </c>
      <c r="G1900" s="5"/>
      <c r="H1900" s="26">
        <v>31</v>
      </c>
      <c r="I1900" s="5"/>
      <c r="J1900" s="5" t="s">
        <v>748</v>
      </c>
      <c r="K1900" s="5" t="s">
        <v>344</v>
      </c>
      <c r="L1900" s="5" t="s">
        <v>31073</v>
      </c>
      <c r="M1900" s="27"/>
      <c r="N1900" s="5" t="s">
        <v>52319</v>
      </c>
      <c r="O1900" s="5" t="str">
        <v>7701102564</v>
      </c>
      <c r="P1900" s="27">
        <v>100000</v>
      </c>
      <c r="Q1900" s="5" t="s">
        <v>52320</v>
      </c>
      <c r="R1900" s="5"/>
      <c r="S1900" s="5" t="s">
        <v>50669</v>
      </c>
      <c r="T1900" s="28">
        <v>3279000</v>
      </c>
      <c r="U1900" s="28"/>
      <c r="V1900" s="28">
        <v>86493000</v>
      </c>
      <c r="W1900" s="28">
        <v>619300000</v>
      </c>
      <c r="X1900" s="28">
        <v>687292000</v>
      </c>
      <c r="Y1900" s="28">
        <v>1417130000</v>
      </c>
      <c r="Z1900" s="28">
        <v>339215000</v>
      </c>
      <c r="AA1900" s="28"/>
      <c r="AB1900" s="28"/>
      <c r="AC1900" s="28">
        <v>1077782000</v>
      </c>
      <c r="AD1900" s="28">
        <v>339320000</v>
      </c>
      <c r="AE1900" s="28">
        <v>3309381000</v>
      </c>
      <c r="AF1900" s="28">
        <v>93335000</v>
      </c>
      <c r="AG1900" s="11"/>
    </row>
    <row r="1901">
      <c r="A1901" s="7" t="s">
        <v>3603</v>
      </c>
      <c r="B1901" s="5" t="s">
        <v>11589</v>
      </c>
      <c r="C1901" s="5" t="s">
        <v>19442</v>
      </c>
      <c r="D1901" s="5" t="str">
        <v>504707828304</v>
      </c>
      <c r="F1901" s="5"/>
      <c r="G1901" s="5"/>
      <c r="H1901" s="26">
        <v>6.5</v>
      </c>
      <c r="I1901" s="5" t="s">
        <v>31074</v>
      </c>
      <c r="J1901" s="5" t="s">
        <v>28069</v>
      </c>
      <c r="K1901" s="5" t="s">
        <v>344</v>
      </c>
      <c r="L1901" s="5" t="s">
        <v>31075</v>
      </c>
      <c r="M1901" s="27"/>
      <c r="N1901" s="5" t="s">
        <v>52321</v>
      </c>
      <c r="O1901" s="5" t="str">
        <v>5038123321</v>
      </c>
      <c r="P1901" s="27">
        <v>100000</v>
      </c>
      <c r="Q1901" s="5" t="s">
        <v>49207</v>
      </c>
      <c r="R1901" s="5"/>
      <c r="S1901" s="5" t="s">
        <v>52322</v>
      </c>
      <c r="T1901" s="28">
        <v>532000</v>
      </c>
      <c r="U1901" s="28"/>
      <c r="V1901" s="28">
        <v>3014730000</v>
      </c>
      <c r="W1901" s="28">
        <v>771772000</v>
      </c>
      <c r="X1901" s="28">
        <v>789000</v>
      </c>
      <c r="Y1901" s="28">
        <v>6061940000</v>
      </c>
      <c r="Z1901" s="28">
        <v>99304000</v>
      </c>
      <c r="AA1901" s="28"/>
      <c r="AB1901" s="28">
        <v>1808632000</v>
      </c>
      <c r="AC1901" s="28">
        <v>5961613000</v>
      </c>
      <c r="AD1901" s="28">
        <v>99404000</v>
      </c>
      <c r="AE1901" s="28">
        <v>14254890000</v>
      </c>
      <c r="AF1901" s="28">
        <v>78749000</v>
      </c>
      <c r="AG1901" s="11"/>
    </row>
    <row r="1902">
      <c r="A1902" s="7" t="s">
        <v>3604</v>
      </c>
      <c r="B1902" s="5" t="s">
        <v>11590</v>
      </c>
      <c r="C1902" s="5" t="s">
        <v>19443</v>
      </c>
      <c r="D1902" s="5" t="str">
        <v>502411599388</v>
      </c>
      <c r="F1902" s="5" t="s">
        <v>31076</v>
      </c>
      <c r="G1902" s="5" t="s">
        <v>31077</v>
      </c>
      <c r="H1902" s="26">
        <v>17</v>
      </c>
      <c r="I1902" s="5" t="s">
        <v>31078</v>
      </c>
      <c r="J1902" s="5" t="s">
        <v>27085</v>
      </c>
      <c r="K1902" s="5" t="s">
        <v>344</v>
      </c>
      <c r="L1902" s="5" t="s">
        <v>31079</v>
      </c>
      <c r="M1902" s="27"/>
      <c r="N1902" s="5"/>
      <c r="O1902" s="5" t="str">
        <v>7707577980</v>
      </c>
      <c r="P1902" s="27">
        <v>200000</v>
      </c>
      <c r="Q1902" s="5"/>
      <c r="R1902" s="5"/>
      <c r="S1902" s="5" t="s">
        <v>49425</v>
      </c>
      <c r="T1902" s="28">
        <v>107140000</v>
      </c>
      <c r="U1902" s="28"/>
      <c r="V1902" s="28">
        <v>1359505000</v>
      </c>
      <c r="W1902" s="28"/>
      <c r="X1902" s="28">
        <v>338869000</v>
      </c>
      <c r="Y1902" s="28">
        <v>1988225000</v>
      </c>
      <c r="Z1902" s="28">
        <v>1421235000</v>
      </c>
      <c r="AA1902" s="28"/>
      <c r="AB1902" s="28"/>
      <c r="AC1902" s="28">
        <v>442346000</v>
      </c>
      <c r="AD1902" s="28">
        <v>1421435000</v>
      </c>
      <c r="AE1902" s="28">
        <v>4658706000</v>
      </c>
      <c r="AF1902" s="28">
        <v>710256000</v>
      </c>
      <c r="AG1902" s="11"/>
    </row>
    <row r="1903">
      <c r="A1903" s="7" t="s">
        <v>3605</v>
      </c>
      <c r="B1903" s="5" t="s">
        <v>11591</v>
      </c>
      <c r="C1903" s="5" t="s">
        <v>19444</v>
      </c>
      <c r="D1903" s="5" t="str">
        <v>501800670673</v>
      </c>
      <c r="E1903" s="0" t="e">
        <f>+7 (495) 6895511
+7 (495) 7807577
+7 (495) 7899339
+7 (84627) 7835</f>
        <v>#NAME?</v>
      </c>
      <c r="F1903" s="5" t="s">
        <v>31080</v>
      </c>
      <c r="G1903" s="5" t="s">
        <v>31081</v>
      </c>
      <c r="H1903" s="26">
        <v>18</v>
      </c>
      <c r="I1903" s="5" t="s">
        <v>31082</v>
      </c>
      <c r="J1903" s="5" t="s">
        <v>881</v>
      </c>
      <c r="K1903" s="5" t="s">
        <v>344</v>
      </c>
      <c r="L1903" s="5" t="s">
        <v>31083</v>
      </c>
      <c r="M1903" s="27"/>
      <c r="N1903" s="5" t="s">
        <v>52323</v>
      </c>
      <c r="O1903" s="5" t="str">
        <v>7715560268</v>
      </c>
      <c r="P1903" s="27">
        <v>19460172</v>
      </c>
      <c r="Q1903" s="5" t="s">
        <v>52324</v>
      </c>
      <c r="R1903" s="5" t="s">
        <v>52325</v>
      </c>
      <c r="S1903" s="5" t="s">
        <v>52326</v>
      </c>
      <c r="T1903" s="28">
        <v>461923000</v>
      </c>
      <c r="U1903" s="28">
        <v>106714000</v>
      </c>
      <c r="V1903" s="28">
        <v>1270006000</v>
      </c>
      <c r="W1903" s="28">
        <v>126665000</v>
      </c>
      <c r="X1903" s="28">
        <v>904345000</v>
      </c>
      <c r="Y1903" s="28">
        <v>3199795000</v>
      </c>
      <c r="Z1903" s="28">
        <v>890187000</v>
      </c>
      <c r="AA1903" s="28"/>
      <c r="AB1903" s="28"/>
      <c r="AC1903" s="28">
        <v>1672023000</v>
      </c>
      <c r="AD1903" s="28">
        <v>1122330000</v>
      </c>
      <c r="AE1903" s="28">
        <v>5893584000</v>
      </c>
      <c r="AF1903" s="28">
        <v>1105671000</v>
      </c>
      <c r="AG1903" s="11"/>
    </row>
    <row r="1904">
      <c r="A1904" s="7" t="s">
        <v>3606</v>
      </c>
      <c r="B1904" s="5" t="s">
        <v>11592</v>
      </c>
      <c r="C1904" s="5" t="s">
        <v>19445</v>
      </c>
      <c r="D1904" s="5" t="str">
        <v>782701586309</v>
      </c>
      <c r="E1904" s="0" t="e">
        <f>+7 (495) 5104357</f>
        <v>#NAME?</v>
      </c>
      <c r="F1904" s="5" t="s">
        <v>31084</v>
      </c>
      <c r="G1904" s="5" t="s">
        <v>31085</v>
      </c>
      <c r="H1904" s="26">
        <v>9</v>
      </c>
      <c r="I1904" s="5" t="s">
        <v>31086</v>
      </c>
      <c r="J1904" s="5" t="s">
        <v>27640</v>
      </c>
      <c r="K1904" s="5" t="s">
        <v>344</v>
      </c>
      <c r="L1904" s="5" t="s">
        <v>31087</v>
      </c>
      <c r="M1904" s="27"/>
      <c r="N1904" s="5" t="s">
        <v>52327</v>
      </c>
      <c r="O1904" s="5" t="str">
        <v>7729769573</v>
      </c>
      <c r="P1904" s="27">
        <v>10000000</v>
      </c>
      <c r="Q1904" s="5" t="s">
        <v>52328</v>
      </c>
      <c r="R1904" s="5"/>
      <c r="S1904" s="5" t="s">
        <v>52329</v>
      </c>
      <c r="T1904" s="28">
        <v>328284000</v>
      </c>
      <c r="U1904" s="28"/>
      <c r="V1904" s="28">
        <v>2470162000</v>
      </c>
      <c r="W1904" s="28">
        <v>1401377000</v>
      </c>
      <c r="X1904" s="28"/>
      <c r="Y1904" s="28">
        <v>6993004000</v>
      </c>
      <c r="Z1904" s="28">
        <v>1215877000</v>
      </c>
      <c r="AA1904" s="28"/>
      <c r="AB1904" s="28">
        <v>300000000</v>
      </c>
      <c r="AC1904" s="28">
        <v>2922143000</v>
      </c>
      <c r="AD1904" s="28">
        <v>1225877000</v>
      </c>
      <c r="AE1904" s="28">
        <v>5649801000</v>
      </c>
      <c r="AF1904" s="28">
        <v>519637000</v>
      </c>
      <c r="AG1904" s="11"/>
    </row>
    <row r="1905">
      <c r="A1905" s="7" t="s">
        <v>3607</v>
      </c>
      <c r="B1905" s="5" t="s">
        <v>11593</v>
      </c>
      <c r="C1905" s="5" t="s">
        <v>19446</v>
      </c>
      <c r="D1905" s="5" t="str">
        <v>132203595736</v>
      </c>
      <c r="E1905" s="0" t="e">
        <f>+7 (499) 6733759</f>
        <v>#NAME?</v>
      </c>
      <c r="F1905" s="5" t="s">
        <v>31088</v>
      </c>
      <c r="G1905" s="5"/>
      <c r="H1905" s="26">
        <v>3.5</v>
      </c>
      <c r="I1905" s="5" t="s">
        <v>31089</v>
      </c>
      <c r="J1905" s="5" t="s">
        <v>28568</v>
      </c>
      <c r="K1905" s="5" t="s">
        <v>344</v>
      </c>
      <c r="L1905" s="5" t="s">
        <v>31090</v>
      </c>
      <c r="M1905" s="27">
        <v>1000000</v>
      </c>
      <c r="N1905" s="5" t="s">
        <v>52330</v>
      </c>
      <c r="O1905" s="5" t="str">
        <v>7726457128</v>
      </c>
      <c r="P1905" s="27">
        <v>10000</v>
      </c>
      <c r="Q1905" s="5" t="s">
        <v>49207</v>
      </c>
      <c r="R1905" s="5"/>
      <c r="S1905" s="5" t="s">
        <v>49532</v>
      </c>
      <c r="T1905" s="28">
        <v>72559000</v>
      </c>
      <c r="U1905" s="28"/>
      <c r="V1905" s="28">
        <v>134577000</v>
      </c>
      <c r="W1905" s="28">
        <v>18700000</v>
      </c>
      <c r="X1905" s="28">
        <v>336751000</v>
      </c>
      <c r="Y1905" s="28">
        <v>1191969000</v>
      </c>
      <c r="Z1905" s="28">
        <v>505326000</v>
      </c>
      <c r="AA1905" s="28"/>
      <c r="AB1905" s="28"/>
      <c r="AC1905" s="28">
        <v>563106000</v>
      </c>
      <c r="AD1905" s="28">
        <v>576029000</v>
      </c>
      <c r="AE1905" s="28">
        <v>4392459000</v>
      </c>
      <c r="AF1905" s="28">
        <v>350594000</v>
      </c>
      <c r="AG1905" s="11"/>
    </row>
    <row r="1906">
      <c r="A1906" s="7" t="s">
        <v>3608</v>
      </c>
      <c r="B1906" s="5" t="s">
        <v>11594</v>
      </c>
      <c r="C1906" s="5" t="s">
        <v>19447</v>
      </c>
      <c r="D1906" s="5" t="str">
        <v>226103013402</v>
      </c>
      <c r="E1906" s="0" t="e">
        <f>+7 (38581) 35012
+7 (38581) 35013
+7 (38581) 35427
+7 (38581) 35824
+7 (38581) 35825
+7 (388) 2235013
+7 (905) 9829922
+7 (913) 9990877</f>
        <v>#NAME?</v>
      </c>
      <c r="F1906" s="5" t="s">
        <v>31091</v>
      </c>
      <c r="G1906" s="5" t="s">
        <v>31092</v>
      </c>
      <c r="H1906" s="26">
        <v>15</v>
      </c>
      <c r="I1906" s="5" t="s">
        <v>31093</v>
      </c>
      <c r="J1906" s="5" t="s">
        <v>26383</v>
      </c>
      <c r="K1906" s="5" t="s">
        <v>344</v>
      </c>
      <c r="L1906" s="5" t="s">
        <v>31094</v>
      </c>
      <c r="M1906" s="27">
        <v>46885</v>
      </c>
      <c r="N1906" s="5" t="s">
        <v>52331</v>
      </c>
      <c r="O1906" s="5" t="str">
        <v>2261008093</v>
      </c>
      <c r="P1906" s="27">
        <v>10000</v>
      </c>
      <c r="Q1906" s="5" t="s">
        <v>52332</v>
      </c>
      <c r="R1906" s="5"/>
      <c r="S1906" s="5" t="s">
        <v>52333</v>
      </c>
      <c r="T1906" s="28">
        <v>343598000</v>
      </c>
      <c r="U1906" s="28">
        <v>50042000</v>
      </c>
      <c r="V1906" s="28">
        <v>411969000</v>
      </c>
      <c r="W1906" s="28">
        <v>2000000</v>
      </c>
      <c r="X1906" s="28">
        <v>589000</v>
      </c>
      <c r="Y1906" s="28">
        <v>1277222000</v>
      </c>
      <c r="Z1906" s="28">
        <v>499120000</v>
      </c>
      <c r="AA1906" s="28"/>
      <c r="AB1906" s="28">
        <v>222474000</v>
      </c>
      <c r="AC1906" s="28">
        <v>488639000</v>
      </c>
      <c r="AD1906" s="28">
        <v>499130000</v>
      </c>
      <c r="AE1906" s="28">
        <v>4542202000</v>
      </c>
      <c r="AF1906" s="28">
        <v>393132000</v>
      </c>
      <c r="AG1906" s="11"/>
    </row>
    <row r="1907">
      <c r="A1907" s="7" t="s">
        <v>3609</v>
      </c>
      <c r="B1907" s="5" t="s">
        <v>11595</v>
      </c>
      <c r="C1907" s="5" t="s">
        <v>19448</v>
      </c>
      <c r="D1907" s="5" t="str">
        <v>770102567392</v>
      </c>
      <c r="E1907" s="0" t="e">
        <f>+7 (495) 2344400
+7 (495) 2344427
+7 (495) 7378727
+7 (499) 2344427
+7 (499) 2543255</f>
        <v>#NAME?</v>
      </c>
      <c r="F1907" s="5"/>
      <c r="G1907" s="5" t="s">
        <v>31095</v>
      </c>
      <c r="H1907" s="26">
        <v>19.5</v>
      </c>
      <c r="I1907" s="5"/>
      <c r="J1907" s="5" t="s">
        <v>785</v>
      </c>
      <c r="K1907" s="5" t="s">
        <v>344</v>
      </c>
      <c r="L1907" s="5" t="s">
        <v>31096</v>
      </c>
      <c r="M1907" s="27"/>
      <c r="N1907" s="5"/>
      <c r="O1907" s="5" t="str">
        <v>7731276913</v>
      </c>
      <c r="P1907" s="27">
        <v>500000</v>
      </c>
      <c r="Q1907" s="5" t="s">
        <v>49009</v>
      </c>
      <c r="R1907" s="5"/>
      <c r="S1907" s="5" t="s">
        <v>49010</v>
      </c>
      <c r="T1907" s="28">
        <v>3195000</v>
      </c>
      <c r="U1907" s="28"/>
      <c r="V1907" s="28">
        <v>3955387000</v>
      </c>
      <c r="W1907" s="28"/>
      <c r="X1907" s="28">
        <v>278967000</v>
      </c>
      <c r="Y1907" s="28">
        <v>4250539000</v>
      </c>
      <c r="Z1907" s="28">
        <v>207027000</v>
      </c>
      <c r="AA1907" s="28"/>
      <c r="AB1907" s="28"/>
      <c r="AC1907" s="28">
        <v>4042475000</v>
      </c>
      <c r="AD1907" s="28">
        <v>207602000</v>
      </c>
      <c r="AE1907" s="28">
        <v>4993400000</v>
      </c>
      <c r="AF1907" s="28">
        <v>121780000</v>
      </c>
      <c r="AG1907" s="11"/>
    </row>
    <row r="1908">
      <c r="A1908" s="7" t="s">
        <v>3610</v>
      </c>
      <c r="B1908" s="5" t="s">
        <v>11596</v>
      </c>
      <c r="C1908" s="5" t="s">
        <v>19449</v>
      </c>
      <c r="D1908" s="5" t="str">
        <v>782701518676</v>
      </c>
      <c r="E1908" s="0" t="e">
        <f>+7 (812) 3019198
+7 (812) 3019190
+7 (812) 3019195
+7 (911) 2622032</f>
        <v>#NAME?</v>
      </c>
      <c r="F1908" s="5" t="s">
        <v>31097</v>
      </c>
      <c r="G1908" s="5" t="s">
        <v>31098</v>
      </c>
      <c r="H1908" s="26">
        <v>18</v>
      </c>
      <c r="I1908" s="5" t="s">
        <v>31099</v>
      </c>
      <c r="J1908" s="5" t="s">
        <v>25986</v>
      </c>
      <c r="K1908" s="5" t="s">
        <v>344</v>
      </c>
      <c r="L1908" s="5" t="s">
        <v>31100</v>
      </c>
      <c r="M1908" s="27"/>
      <c r="N1908" s="5"/>
      <c r="O1908" s="5" t="str">
        <v>7838315139</v>
      </c>
      <c r="P1908" s="27">
        <v>10047500</v>
      </c>
      <c r="Q1908" s="5" t="s">
        <v>52334</v>
      </c>
      <c r="R1908" s="5"/>
      <c r="S1908" s="5" t="s">
        <v>52335</v>
      </c>
      <c r="T1908" s="28"/>
      <c r="U1908" s="28"/>
      <c r="V1908" s="28">
        <v>1410386000</v>
      </c>
      <c r="W1908" s="28"/>
      <c r="X1908" s="28">
        <v>120258000</v>
      </c>
      <c r="Y1908" s="28">
        <v>2378794000</v>
      </c>
      <c r="Z1908" s="28">
        <v>630092000</v>
      </c>
      <c r="AA1908" s="28">
        <v>830855000</v>
      </c>
      <c r="AB1908" s="28">
        <v>129060000</v>
      </c>
      <c r="AC1908" s="28">
        <v>907799000</v>
      </c>
      <c r="AD1908" s="28">
        <v>640140000</v>
      </c>
      <c r="AE1908" s="28">
        <v>11301421000</v>
      </c>
      <c r="AF1908" s="28">
        <v>298020000</v>
      </c>
      <c r="AG1908" s="11"/>
    </row>
    <row r="1909">
      <c r="A1909" s="7" t="s">
        <v>3611</v>
      </c>
      <c r="B1909" s="5" t="s">
        <v>11597</v>
      </c>
      <c r="C1909" s="5" t="s">
        <v>19450</v>
      </c>
      <c r="D1909" s="5"/>
      <c r="E1909" s="0" t="e">
        <f>+7 (495) 2233338
+7 (800) 2509009
+7 (495) 7548963
+7 (910) 2680877
+7 (953) 4253277
+7 (343) 2162288
+7 (495) 2233337
+7 (495) 2233339
+7 (495) 5751004
+7 (495) 9330259
+7 (495) 9331450
+7 (495) 9331451
+7 (499) 2313337
+7 (800) 3330201
+7 (8112) 793018</f>
        <v>#NAME?</v>
      </c>
      <c r="F1909" s="5" t="s">
        <v>31101</v>
      </c>
      <c r="G1909" s="5" t="s">
        <v>31102</v>
      </c>
      <c r="H1909" s="26">
        <v>22</v>
      </c>
      <c r="I1909" s="5"/>
      <c r="J1909" s="5" t="s">
        <v>25219</v>
      </c>
      <c r="K1909" s="5" t="s">
        <v>344</v>
      </c>
      <c r="L1909" s="5" t="s">
        <v>31103</v>
      </c>
      <c r="M1909" s="27">
        <v>81471055</v>
      </c>
      <c r="N1909" s="5" t="s">
        <v>49923</v>
      </c>
      <c r="O1909" s="5" t="str">
        <v>5036045205</v>
      </c>
      <c r="P1909" s="27">
        <v>41490312800</v>
      </c>
      <c r="Q1909" s="5" t="s">
        <v>49009</v>
      </c>
      <c r="R1909" s="5"/>
      <c r="S1909" s="5" t="s">
        <v>49576</v>
      </c>
      <c r="T1909" s="28">
        <v>91525355000</v>
      </c>
      <c r="U1909" s="28">
        <v>10689784000</v>
      </c>
      <c r="V1909" s="28">
        <v>36492874000</v>
      </c>
      <c r="W1909" s="28">
        <v>200000000</v>
      </c>
      <c r="X1909" s="28">
        <v>3670665000</v>
      </c>
      <c r="Y1909" s="28">
        <v>173635750000</v>
      </c>
      <c r="Z1909" s="28">
        <v>13228211000</v>
      </c>
      <c r="AA1909" s="28"/>
      <c r="AB1909" s="28"/>
      <c r="AC1909" s="28">
        <v>51669434000</v>
      </c>
      <c r="AD1909" s="28">
        <v>60721579000</v>
      </c>
      <c r="AE1909" s="28">
        <v>328779381000</v>
      </c>
      <c r="AF1909" s="28">
        <v>10301238000</v>
      </c>
      <c r="AG1909" s="11"/>
    </row>
    <row r="1910">
      <c r="A1910" s="7" t="s">
        <v>3612</v>
      </c>
      <c r="B1910" s="5" t="s">
        <v>11598</v>
      </c>
      <c r="C1910" s="5" t="s">
        <v>19451</v>
      </c>
      <c r="D1910" s="5" t="str">
        <v>250803824500</v>
      </c>
      <c r="E1910" s="0" t="e">
        <f>+7 (4232) 302543
+7 (4232) 392575
+7 (42366) 99908
+7 (914) 7080859</f>
        <v>#NAME?</v>
      </c>
      <c r="F1910" s="5" t="s">
        <v>31104</v>
      </c>
      <c r="G1910" s="5" t="s">
        <v>31105</v>
      </c>
      <c r="H1910" s="26">
        <v>14.5</v>
      </c>
      <c r="I1910" s="5" t="s">
        <v>31106</v>
      </c>
      <c r="J1910" s="5" t="s">
        <v>25327</v>
      </c>
      <c r="K1910" s="5" t="s">
        <v>344</v>
      </c>
      <c r="L1910" s="5" t="s">
        <v>31107</v>
      </c>
      <c r="M1910" s="27"/>
      <c r="N1910" s="5" t="s">
        <v>52336</v>
      </c>
      <c r="O1910" s="5" t="str">
        <v>2508086690</v>
      </c>
      <c r="P1910" s="27">
        <v>20000</v>
      </c>
      <c r="Q1910" s="5" t="s">
        <v>52337</v>
      </c>
      <c r="R1910" s="5"/>
      <c r="S1910" s="5" t="s">
        <v>52338</v>
      </c>
      <c r="T1910" s="28">
        <v>1003613000</v>
      </c>
      <c r="U1910" s="28"/>
      <c r="V1910" s="28">
        <v>1672762000</v>
      </c>
      <c r="W1910" s="28"/>
      <c r="X1910" s="28">
        <v>1033000</v>
      </c>
      <c r="Y1910" s="28">
        <v>3281738000</v>
      </c>
      <c r="Z1910" s="28">
        <v>619184000</v>
      </c>
      <c r="AA1910" s="28">
        <v>2162840000</v>
      </c>
      <c r="AB1910" s="28">
        <v>46699000</v>
      </c>
      <c r="AC1910" s="28">
        <v>427594000</v>
      </c>
      <c r="AD1910" s="28">
        <v>619204000</v>
      </c>
      <c r="AE1910" s="28">
        <v>14729206000</v>
      </c>
      <c r="AF1910" s="28">
        <v>340698000</v>
      </c>
      <c r="AG1910" s="11"/>
    </row>
    <row r="1911">
      <c r="A1911" s="7" t="s">
        <v>3613</v>
      </c>
      <c r="B1911" s="5" t="s">
        <v>11599</v>
      </c>
      <c r="C1911" s="5" t="s">
        <v>19452</v>
      </c>
      <c r="D1911" s="5" t="str">
        <v>730204923502</v>
      </c>
      <c r="E1911" s="0" t="e">
        <f>+7 (84235) 27143
+7 (84235) 57290</f>
        <v>#NAME?</v>
      </c>
      <c r="F1911" s="5" t="s">
        <v>31108</v>
      </c>
      <c r="G1911" s="5" t="s">
        <v>31109</v>
      </c>
      <c r="H1911" s="26">
        <v>27</v>
      </c>
      <c r="I1911" s="5"/>
      <c r="J1911" s="5" t="s">
        <v>30421</v>
      </c>
      <c r="K1911" s="5" t="s">
        <v>344</v>
      </c>
      <c r="L1911" s="5" t="s">
        <v>31110</v>
      </c>
      <c r="M1911" s="27"/>
      <c r="N1911" s="5" t="s">
        <v>52339</v>
      </c>
      <c r="O1911" s="5" t="str">
        <v>7302000070</v>
      </c>
      <c r="P1911" s="27">
        <v>15023000</v>
      </c>
      <c r="Q1911" s="5" t="s">
        <v>52341</v>
      </c>
      <c r="R1911" s="5"/>
      <c r="S1911" s="5" t="s">
        <v>52342</v>
      </c>
      <c r="T1911" s="28">
        <v>1316015000</v>
      </c>
      <c r="U1911" s="28">
        <v>10000</v>
      </c>
      <c r="V1911" s="28">
        <v>1446290000</v>
      </c>
      <c r="W1911" s="28"/>
      <c r="X1911" s="28">
        <v>1758532000</v>
      </c>
      <c r="Y1911" s="28">
        <v>5589549000</v>
      </c>
      <c r="Z1911" s="28">
        <v>4096630000</v>
      </c>
      <c r="AA1911" s="28"/>
      <c r="AB1911" s="28"/>
      <c r="AC1911" s="28">
        <v>952577000</v>
      </c>
      <c r="AD1911" s="28">
        <v>4477162000</v>
      </c>
      <c r="AE1911" s="28">
        <v>3322179000</v>
      </c>
      <c r="AF1911" s="28">
        <v>522884000</v>
      </c>
      <c r="AG1911" s="11"/>
    </row>
    <row r="1912">
      <c r="A1912" s="7" t="s">
        <v>3614</v>
      </c>
      <c r="B1912" s="5" t="s">
        <v>11600</v>
      </c>
      <c r="C1912" s="5" t="s">
        <v>19453</v>
      </c>
      <c r="D1912" s="5" t="str">
        <v>780102942850</v>
      </c>
      <c r="E1912" s="0" t="e">
        <f>+7 (812) 6104009
+7 (812) 6104012
+7 (812) 6104081
+7 (812) 6104085
+7 (812) 6104097
+7 (812) 7038868
+7 (812) 7400074
+7 (81371) 22802
+7 (81371) 61109
+7 (81371) 91855</f>
        <v>#NAME?</v>
      </c>
      <c r="F1912" s="5" t="s">
        <v>31111</v>
      </c>
      <c r="G1912" s="5" t="s">
        <v>31112</v>
      </c>
      <c r="H1912" s="26">
        <v>18</v>
      </c>
      <c r="I1912" s="5" t="s">
        <v>31113</v>
      </c>
      <c r="J1912" s="5" t="s">
        <v>31114</v>
      </c>
      <c r="K1912" s="5" t="s">
        <v>344</v>
      </c>
      <c r="L1912" s="5" t="s">
        <v>31115</v>
      </c>
      <c r="M1912" s="27"/>
      <c r="N1912" s="5"/>
      <c r="O1912" s="5" t="str">
        <v>4705028323</v>
      </c>
      <c r="P1912" s="27">
        <v>176544166</v>
      </c>
      <c r="Q1912" s="5"/>
      <c r="R1912" s="5"/>
      <c r="S1912" s="5" t="s">
        <v>49029</v>
      </c>
      <c r="T1912" s="28">
        <v>356108000</v>
      </c>
      <c r="U1912" s="28"/>
      <c r="V1912" s="28">
        <v>485322000</v>
      </c>
      <c r="W1912" s="28"/>
      <c r="X1912" s="28">
        <v>61492000</v>
      </c>
      <c r="Y1912" s="28">
        <v>1637678000</v>
      </c>
      <c r="Z1912" s="28">
        <v>793264000</v>
      </c>
      <c r="AA1912" s="28"/>
      <c r="AB1912" s="28"/>
      <c r="AC1912" s="28">
        <v>605309000</v>
      </c>
      <c r="AD1912" s="28">
        <v>969729000</v>
      </c>
      <c r="AE1912" s="28">
        <v>3661808000</v>
      </c>
      <c r="AF1912" s="28">
        <v>188931000</v>
      </c>
      <c r="AG1912" s="11"/>
    </row>
    <row r="1913">
      <c r="A1913" s="7" t="s">
        <v>3615</v>
      </c>
      <c r="B1913" s="5" t="s">
        <v>11601</v>
      </c>
      <c r="C1913" s="5" t="s">
        <v>19454</v>
      </c>
      <c r="D1913" s="5" t="str">
        <v>662504925236</v>
      </c>
      <c r="E1913" s="0" t="e">
        <f>+7 (343) 9278500
+7 (3439) 629020
+7 (3439) 648242
+7 (34392) 78181
+7 (34392) 78262
+7 (34392) 78529
+7 (34392) 78535
+7 (34392) 78707
+7 (34392) 78820
+7 (34392) 78952
+7 (912) 491114</f>
        <v>#NAME?</v>
      </c>
      <c r="F1913" s="5" t="s">
        <v>31116</v>
      </c>
      <c r="G1913" s="5" t="s">
        <v>31117</v>
      </c>
      <c r="H1913" s="26">
        <v>30.5</v>
      </c>
      <c r="I1913" s="5" t="s">
        <v>31118</v>
      </c>
      <c r="J1913" s="5" t="s">
        <v>28232</v>
      </c>
      <c r="K1913" s="5" t="s">
        <v>344</v>
      </c>
      <c r="L1913" s="5" t="s">
        <v>31119</v>
      </c>
      <c r="M1913" s="27"/>
      <c r="N1913" s="5" t="s">
        <v>52343</v>
      </c>
      <c r="O1913" s="5" t="str">
        <v>6625004698</v>
      </c>
      <c r="P1913" s="27">
        <v>243235000</v>
      </c>
      <c r="Q1913" s="5"/>
      <c r="R1913" s="5"/>
      <c r="S1913" s="5" t="s">
        <v>52344</v>
      </c>
      <c r="T1913" s="28">
        <v>780869000</v>
      </c>
      <c r="U1913" s="28">
        <v>386924000</v>
      </c>
      <c r="V1913" s="28">
        <v>891902000</v>
      </c>
      <c r="W1913" s="28">
        <v>10000000</v>
      </c>
      <c r="X1913" s="28">
        <v>3023811000</v>
      </c>
      <c r="Y1913" s="28">
        <v>6121854000</v>
      </c>
      <c r="Z1913" s="28">
        <v>4976971000</v>
      </c>
      <c r="AA1913" s="28"/>
      <c r="AB1913" s="28"/>
      <c r="AC1913" s="28">
        <v>750174000</v>
      </c>
      <c r="AD1913" s="28">
        <v>5281701000</v>
      </c>
      <c r="AE1913" s="28">
        <v>6466161000</v>
      </c>
      <c r="AF1913" s="28">
        <v>642562000</v>
      </c>
      <c r="AG1913" s="11"/>
    </row>
    <row r="1914">
      <c r="A1914" s="7" t="s">
        <v>3616</v>
      </c>
      <c r="B1914" s="5" t="s">
        <v>11602</v>
      </c>
      <c r="C1914" s="5" t="s">
        <v>19455</v>
      </c>
      <c r="D1914" s="5" t="str">
        <v>166002302432</v>
      </c>
      <c r="E1914" s="0" t="e">
        <f>+7 (8432) 888028
+7 (800) 5556428
+7 (843) 2966373
+7 (8432) 793421
+7 (8432) 888082
+7 (8432) 888128</f>
        <v>#NAME?</v>
      </c>
      <c r="F1914" s="5" t="s">
        <v>31120</v>
      </c>
      <c r="G1914" s="5" t="s">
        <v>31121</v>
      </c>
      <c r="H1914" s="26">
        <v>16</v>
      </c>
      <c r="I1914" s="5" t="s">
        <v>31122</v>
      </c>
      <c r="J1914" s="5" t="s">
        <v>31123</v>
      </c>
      <c r="K1914" s="5" t="s">
        <v>344</v>
      </c>
      <c r="L1914" s="5" t="s">
        <v>31124</v>
      </c>
      <c r="M1914" s="27"/>
      <c r="N1914" s="5"/>
      <c r="O1914" s="5" t="str">
        <v>1660101092</v>
      </c>
      <c r="P1914" s="27">
        <v>12000</v>
      </c>
      <c r="Q1914" s="5" t="s">
        <v>49059</v>
      </c>
      <c r="R1914" s="5"/>
      <c r="S1914" s="5" t="s">
        <v>49450</v>
      </c>
      <c r="T1914" s="28">
        <v>86822000</v>
      </c>
      <c r="U1914" s="28"/>
      <c r="V1914" s="28">
        <v>533999000</v>
      </c>
      <c r="W1914" s="28"/>
      <c r="X1914" s="28">
        <v>2184000</v>
      </c>
      <c r="Y1914" s="28">
        <v>1121228000</v>
      </c>
      <c r="Z1914" s="28">
        <v>815173000</v>
      </c>
      <c r="AA1914" s="28"/>
      <c r="AB1914" s="28">
        <v>123499000</v>
      </c>
      <c r="AC1914" s="28">
        <v>287162000</v>
      </c>
      <c r="AD1914" s="28">
        <v>815187000</v>
      </c>
      <c r="AE1914" s="28">
        <v>8106891000</v>
      </c>
      <c r="AF1914" s="28">
        <v>192098000</v>
      </c>
      <c r="AG1914" s="11"/>
    </row>
    <row r="1915">
      <c r="A1915" s="7" t="s">
        <v>3617</v>
      </c>
      <c r="B1915" s="5" t="s">
        <v>11603</v>
      </c>
      <c r="C1915" s="5" t="s">
        <v>19456</v>
      </c>
      <c r="D1915" s="5" t="str">
        <v>614702720592</v>
      </c>
      <c r="E1915" s="0" t="e">
        <f>+7 (3412) 404040
+7 (3412) 460054
+7 (3412) 463015
+7 (3412) 713620
+7 (3412) 717972
+7 (3412) 908284
+7 (3412) 908285
+7 (3412) 933302
+7 (3412) 933303
+7 (3412) 940209
+7 (3412) 940210
+7 (34130) 51123
+7 (34134) 40536
+7 (34134) 40537
+7 (34139) 30607</f>
        <v>#NAME?</v>
      </c>
      <c r="F1915" s="5" t="s">
        <v>31125</v>
      </c>
      <c r="G1915" s="5" t="s">
        <v>31126</v>
      </c>
      <c r="H1915" s="26">
        <v>19</v>
      </c>
      <c r="I1915" s="5" t="s">
        <v>31127</v>
      </c>
      <c r="J1915" s="5" t="s">
        <v>25424</v>
      </c>
      <c r="K1915" s="5" t="s">
        <v>344</v>
      </c>
      <c r="L1915" s="5" t="s">
        <v>31128</v>
      </c>
      <c r="M1915" s="27"/>
      <c r="N1915" s="5"/>
      <c r="O1915" s="5" t="str">
        <v>6147022893</v>
      </c>
      <c r="P1915" s="27">
        <v>1032000</v>
      </c>
      <c r="Q1915" s="5"/>
      <c r="R1915" s="5" t="s">
        <v>52345</v>
      </c>
      <c r="S1915" s="5" t="s">
        <v>49110</v>
      </c>
      <c r="T1915" s="28">
        <v>2006000</v>
      </c>
      <c r="U1915" s="28"/>
      <c r="V1915" s="28">
        <v>829878000</v>
      </c>
      <c r="W1915" s="28">
        <v>426000000</v>
      </c>
      <c r="X1915" s="28">
        <v>94713000</v>
      </c>
      <c r="Y1915" s="28">
        <v>2483080000</v>
      </c>
      <c r="Z1915" s="28">
        <v>897562000</v>
      </c>
      <c r="AA1915" s="28">
        <v>1233250000</v>
      </c>
      <c r="AB1915" s="28">
        <v>81601000</v>
      </c>
      <c r="AC1915" s="28">
        <v>349805000</v>
      </c>
      <c r="AD1915" s="28">
        <v>898594000</v>
      </c>
      <c r="AE1915" s="28">
        <v>6204825000</v>
      </c>
      <c r="AF1915" s="28">
        <v>162378000</v>
      </c>
      <c r="AG1915" s="11"/>
    </row>
    <row r="1916">
      <c r="A1916" s="7" t="s">
        <v>3618</v>
      </c>
      <c r="B1916" s="5" t="s">
        <v>11604</v>
      </c>
      <c r="C1916" s="5" t="s">
        <v>19457</v>
      </c>
      <c r="D1916" s="5" t="str">
        <v>027619330031</v>
      </c>
      <c r="E1916" s="0" t="e">
        <f>+7 (495) 4891034</f>
        <v>#NAME?</v>
      </c>
      <c r="F1916" s="5"/>
      <c r="G1916" s="5"/>
      <c r="H1916" s="26">
        <v>22.5</v>
      </c>
      <c r="I1916" s="5" t="s">
        <v>31129</v>
      </c>
      <c r="J1916" s="5" t="s">
        <v>373</v>
      </c>
      <c r="K1916" s="5" t="s">
        <v>344</v>
      </c>
      <c r="L1916" s="5" t="s">
        <v>31130</v>
      </c>
      <c r="M1916" s="27"/>
      <c r="N1916" s="5"/>
      <c r="O1916" s="5" t="str">
        <v>7706215650</v>
      </c>
      <c r="P1916" s="27">
        <v>150700000</v>
      </c>
      <c r="Q1916" s="5" t="s">
        <v>49057</v>
      </c>
      <c r="R1916" s="5"/>
      <c r="S1916" s="5" t="s">
        <v>49452</v>
      </c>
      <c r="T1916" s="28">
        <v>431000</v>
      </c>
      <c r="U1916" s="28"/>
      <c r="V1916" s="28">
        <v>1107400000</v>
      </c>
      <c r="W1916" s="28"/>
      <c r="X1916" s="28">
        <v>145000</v>
      </c>
      <c r="Y1916" s="28">
        <v>1144952000</v>
      </c>
      <c r="Z1916" s="28">
        <v>117426000</v>
      </c>
      <c r="AA1916" s="28">
        <v>345162000</v>
      </c>
      <c r="AB1916" s="28">
        <v>445543000</v>
      </c>
      <c r="AC1916" s="28">
        <v>531664000</v>
      </c>
      <c r="AD1916" s="28">
        <v>268126000</v>
      </c>
      <c r="AE1916" s="28">
        <v>6074157000</v>
      </c>
      <c r="AF1916" s="28">
        <v>113117000</v>
      </c>
      <c r="AG1916" s="11"/>
    </row>
    <row r="1917">
      <c r="A1917" s="7" t="s">
        <v>3619</v>
      </c>
      <c r="B1917" s="5" t="s">
        <v>11605</v>
      </c>
      <c r="C1917" s="5" t="s">
        <v>19458</v>
      </c>
      <c r="D1917" s="5" t="str">
        <v>771870030500</v>
      </c>
      <c r="E1917" s="0" t="e">
        <f>+7 (495) 7874000
+7 (495) 7874001</f>
        <v>#NAME?</v>
      </c>
      <c r="F1917" s="5" t="s">
        <v>31131</v>
      </c>
      <c r="G1917" s="5" t="s">
        <v>31132</v>
      </c>
      <c r="H1917" s="26">
        <v>24</v>
      </c>
      <c r="I1917" s="5" t="s">
        <v>31133</v>
      </c>
      <c r="J1917" s="5" t="s">
        <v>31134</v>
      </c>
      <c r="K1917" s="5" t="s">
        <v>344</v>
      </c>
      <c r="L1917" s="5" t="s">
        <v>31135</v>
      </c>
      <c r="M1917" s="27"/>
      <c r="N1917" s="5" t="s">
        <v>52346</v>
      </c>
      <c r="O1917" s="5" t="str">
        <v>7702231594</v>
      </c>
      <c r="P1917" s="27">
        <v>6000000</v>
      </c>
      <c r="Q1917" s="5" t="s">
        <v>49021</v>
      </c>
      <c r="R1917" s="5"/>
      <c r="S1917" s="5" t="s">
        <v>52348</v>
      </c>
      <c r="T1917" s="28">
        <v>505877000</v>
      </c>
      <c r="U1917" s="28">
        <v>301927000</v>
      </c>
      <c r="V1917" s="28">
        <v>1344495000</v>
      </c>
      <c r="W1917" s="28"/>
      <c r="X1917" s="28">
        <v>944910000</v>
      </c>
      <c r="Y1917" s="28">
        <v>3272735000</v>
      </c>
      <c r="Z1917" s="28">
        <v>2077719000</v>
      </c>
      <c r="AA1917" s="28"/>
      <c r="AB1917" s="28"/>
      <c r="AC1917" s="28">
        <v>832242000</v>
      </c>
      <c r="AD1917" s="28">
        <v>2083790000</v>
      </c>
      <c r="AE1917" s="28">
        <v>3877993000</v>
      </c>
      <c r="AF1917" s="28">
        <v>296011000</v>
      </c>
      <c r="AG1917" s="11"/>
    </row>
    <row r="1918">
      <c r="A1918" s="7" t="s">
        <v>3620</v>
      </c>
      <c r="B1918" s="5" t="s">
        <v>11606</v>
      </c>
      <c r="C1918" s="5" t="s">
        <v>19459</v>
      </c>
      <c r="D1918" s="5" t="str">
        <v>410118638317</v>
      </c>
      <c r="E1918" s="0" t="e">
        <f>+7 (984) 1689551</f>
        <v>#NAME?</v>
      </c>
      <c r="F1918" s="5"/>
      <c r="G1918" s="5" t="s">
        <v>31136</v>
      </c>
      <c r="H1918" s="26">
        <v>5.5</v>
      </c>
      <c r="I1918" s="5" t="s">
        <v>31137</v>
      </c>
      <c r="J1918" s="5" t="s">
        <v>25219</v>
      </c>
      <c r="K1918" s="5" t="s">
        <v>355</v>
      </c>
      <c r="L1918" s="5"/>
      <c r="M1918" s="27"/>
      <c r="N1918" s="5"/>
      <c r="O1918" s="5" t="str">
        <v>4101180149</v>
      </c>
      <c r="P1918" s="27">
        <v>2000000</v>
      </c>
      <c r="Q1918" s="5"/>
      <c r="R1918" s="5"/>
      <c r="S1918" s="5" t="s">
        <v>49029</v>
      </c>
      <c r="T1918" s="28">
        <v>612455000</v>
      </c>
      <c r="U1918" s="28"/>
      <c r="V1918" s="28">
        <v>22377000</v>
      </c>
      <c r="W1918" s="28">
        <v>134000</v>
      </c>
      <c r="X1918" s="28">
        <v>57224000</v>
      </c>
      <c r="Y1918" s="28">
        <v>1014759000</v>
      </c>
      <c r="Z1918" s="28">
        <v>-100502000</v>
      </c>
      <c r="AA1918" s="28"/>
      <c r="AB1918" s="28">
        <v>30001000</v>
      </c>
      <c r="AC1918" s="28">
        <v>671569000</v>
      </c>
      <c r="AD1918" s="28">
        <v>-98502000</v>
      </c>
      <c r="AE1918" s="28">
        <v>3977433000</v>
      </c>
      <c r="AF1918" s="28">
        <v>51204000</v>
      </c>
      <c r="AG1918" s="11"/>
    </row>
    <row r="1919">
      <c r="A1919" s="7" t="s">
        <v>3621</v>
      </c>
      <c r="B1919" s="5" t="s">
        <v>11607</v>
      </c>
      <c r="C1919" s="5" t="s">
        <v>19460</v>
      </c>
      <c r="D1919" s="5" t="str">
        <v>165001745630</v>
      </c>
      <c r="E1919" s="0" t="e">
        <f>+7 (855) 2253153</f>
        <v>#NAME?</v>
      </c>
      <c r="F1919" s="5"/>
      <c r="G1919" s="5"/>
      <c r="H1919" s="26">
        <v>2.5</v>
      </c>
      <c r="I1919" s="5" t="s">
        <v>31138</v>
      </c>
      <c r="J1919" s="5" t="s">
        <v>25559</v>
      </c>
      <c r="K1919" s="5" t="s">
        <v>344</v>
      </c>
      <c r="L1919" s="5"/>
      <c r="M1919" s="27"/>
      <c r="N1919" s="5"/>
      <c r="O1919" s="5" t="str">
        <v>1650394668</v>
      </c>
      <c r="P1919" s="27">
        <v>10000</v>
      </c>
      <c r="Q1919" s="5" t="s">
        <v>49822</v>
      </c>
      <c r="R1919" s="5"/>
      <c r="S1919" s="5" t="s">
        <v>52349</v>
      </c>
      <c r="T1919" s="28">
        <v>1568000</v>
      </c>
      <c r="U1919" s="28"/>
      <c r="V1919" s="28">
        <v>499674000</v>
      </c>
      <c r="W1919" s="28"/>
      <c r="X1919" s="28">
        <v>382984000</v>
      </c>
      <c r="Y1919" s="28">
        <v>2297560000</v>
      </c>
      <c r="Z1919" s="28">
        <v>471241000</v>
      </c>
      <c r="AA1919" s="28"/>
      <c r="AB1919" s="28">
        <v>41210000</v>
      </c>
      <c r="AC1919" s="28">
        <v>1826308000</v>
      </c>
      <c r="AD1919" s="28">
        <v>471801000</v>
      </c>
      <c r="AE1919" s="28">
        <v>9961621000</v>
      </c>
      <c r="AF1919" s="28">
        <v>423658000</v>
      </c>
      <c r="AG1919" s="11"/>
    </row>
    <row r="1920">
      <c r="A1920" s="7" t="s">
        <v>3622</v>
      </c>
      <c r="B1920" s="5" t="s">
        <v>11608</v>
      </c>
      <c r="C1920" s="5" t="s">
        <v>19461</v>
      </c>
      <c r="D1920" s="5" t="str">
        <v>032621708166</v>
      </c>
      <c r="E1920" s="0" t="e">
        <f>+7 (3022) 209872
+7 (3022) 210779
+7 (3022) 211391
+7 (3022) 211723
+7 (3022) 334513
+7 (3022) 350169
+7 (3022) 364858
+7 (3022) 998665
+7 (30238) 55105
+7 (902) 5655315
+7 (914) 4713304
+7 (924) 5564507</f>
        <v>#NAME?</v>
      </c>
      <c r="F1920" s="5" t="s">
        <v>31139</v>
      </c>
      <c r="G1920" s="5"/>
      <c r="H1920" s="26">
        <v>8</v>
      </c>
      <c r="I1920" s="5" t="s">
        <v>31140</v>
      </c>
      <c r="J1920" s="5" t="s">
        <v>25219</v>
      </c>
      <c r="K1920" s="5" t="s">
        <v>344</v>
      </c>
      <c r="L1920" s="5" t="s">
        <v>31141</v>
      </c>
      <c r="M1920" s="27"/>
      <c r="N1920" s="5"/>
      <c r="O1920" s="5" t="str">
        <v>7536150346</v>
      </c>
      <c r="P1920" s="27">
        <v>50000</v>
      </c>
      <c r="Q1920" s="5"/>
      <c r="R1920" s="5"/>
      <c r="S1920" s="5" t="s">
        <v>49110</v>
      </c>
      <c r="T1920" s="28">
        <v>14393000</v>
      </c>
      <c r="U1920" s="28"/>
      <c r="V1920" s="28">
        <v>49589000</v>
      </c>
      <c r="W1920" s="28">
        <v>157318000</v>
      </c>
      <c r="X1920" s="28">
        <v>221678000</v>
      </c>
      <c r="Y1920" s="28">
        <v>633809000</v>
      </c>
      <c r="Z1920" s="28">
        <v>290055000</v>
      </c>
      <c r="AA1920" s="28"/>
      <c r="AB1920" s="28">
        <v>60000000</v>
      </c>
      <c r="AC1920" s="28">
        <v>343704000</v>
      </c>
      <c r="AD1920" s="28">
        <v>290105000</v>
      </c>
      <c r="AE1920" s="28">
        <v>4597594000</v>
      </c>
      <c r="AF1920" s="28">
        <v>144940000</v>
      </c>
      <c r="AG1920" s="11"/>
    </row>
    <row r="1921">
      <c r="A1921" s="7" t="s">
        <v>3623</v>
      </c>
      <c r="B1921" s="5" t="s">
        <v>11609</v>
      </c>
      <c r="C1921" s="5" t="s">
        <v>19462</v>
      </c>
      <c r="D1921" s="5" t="str">
        <v>770400686839</v>
      </c>
      <c r="E1921" s="0" t="e">
        <f>+7 (495) 1270615
+7 (495) 1289885
+7 (495) 5021941
+7 (495) 5102269
+7 (495) 6516290
+7 (495) 6516291
+7 (495) 6546290</f>
        <v>#NAME?</v>
      </c>
      <c r="F1921" s="5" t="s">
        <v>31142</v>
      </c>
      <c r="G1921" s="5" t="s">
        <v>31143</v>
      </c>
      <c r="H1921" s="26">
        <v>15.5</v>
      </c>
      <c r="I1921" s="5" t="s">
        <v>31144</v>
      </c>
      <c r="J1921" s="5" t="s">
        <v>25424</v>
      </c>
      <c r="K1921" s="5" t="s">
        <v>344</v>
      </c>
      <c r="L1921" s="5" t="s">
        <v>31145</v>
      </c>
      <c r="M1921" s="27"/>
      <c r="N1921" s="5" t="s">
        <v>52350</v>
      </c>
      <c r="O1921" s="5" t="str">
        <v>7709751313</v>
      </c>
      <c r="P1921" s="27">
        <v>10000000</v>
      </c>
      <c r="Q1921" s="5" t="s">
        <v>52351</v>
      </c>
      <c r="R1921" s="5"/>
      <c r="S1921" s="5" t="s">
        <v>49361</v>
      </c>
      <c r="T1921" s="28">
        <v>19905000</v>
      </c>
      <c r="U1921" s="28"/>
      <c r="V1921" s="28">
        <v>7118600000</v>
      </c>
      <c r="W1921" s="28">
        <v>1216019000</v>
      </c>
      <c r="X1921" s="28">
        <v>185932000</v>
      </c>
      <c r="Y1921" s="28">
        <v>16823464000</v>
      </c>
      <c r="Z1921" s="28">
        <v>9822028000</v>
      </c>
      <c r="AA1921" s="28"/>
      <c r="AB1921" s="28">
        <v>4952709000</v>
      </c>
      <c r="AC1921" s="28">
        <v>6977894000</v>
      </c>
      <c r="AD1921" s="28">
        <v>9839190000</v>
      </c>
      <c r="AE1921" s="28">
        <v>62456861000</v>
      </c>
      <c r="AF1921" s="28">
        <v>2088104000</v>
      </c>
      <c r="AG1921" s="11"/>
    </row>
    <row r="1922">
      <c r="A1922" s="7" t="s">
        <v>3624</v>
      </c>
      <c r="B1922" s="5" t="s">
        <v>11610</v>
      </c>
      <c r="C1922" s="5" t="s">
        <v>18173</v>
      </c>
      <c r="D1922" s="5" t="str">
        <v>234500200835</v>
      </c>
      <c r="E1922" s="0" t="e">
        <f>+7 (861) 2730473</f>
        <v>#NAME?</v>
      </c>
      <c r="F1922" s="5"/>
      <c r="G1922" s="5"/>
      <c r="H1922" s="26">
        <v>16.5</v>
      </c>
      <c r="I1922" s="5" t="s">
        <v>31146</v>
      </c>
      <c r="J1922" s="5" t="s">
        <v>26165</v>
      </c>
      <c r="K1922" s="5" t="s">
        <v>355</v>
      </c>
      <c r="L1922" s="5"/>
      <c r="M1922" s="27"/>
      <c r="N1922" s="5"/>
      <c r="O1922" s="5" t="str">
        <v>2308120424</v>
      </c>
      <c r="P1922" s="27">
        <v>10200</v>
      </c>
      <c r="Q1922" s="5" t="s">
        <v>49009</v>
      </c>
      <c r="R1922" s="5"/>
      <c r="S1922" s="5" t="s">
        <v>49010</v>
      </c>
      <c r="T1922" s="28">
        <v>1553078000</v>
      </c>
      <c r="U1922" s="28">
        <v>142550000</v>
      </c>
      <c r="V1922" s="28">
        <v>882222000</v>
      </c>
      <c r="W1922" s="28">
        <v>1300000</v>
      </c>
      <c r="X1922" s="28">
        <v>82284000</v>
      </c>
      <c r="Y1922" s="28">
        <v>4139709000</v>
      </c>
      <c r="Z1922" s="28">
        <v>117053000</v>
      </c>
      <c r="AA1922" s="28">
        <v>201438000</v>
      </c>
      <c r="AB1922" s="28">
        <v>222400000</v>
      </c>
      <c r="AC1922" s="28">
        <v>1764173000</v>
      </c>
      <c r="AD1922" s="28">
        <v>117063000</v>
      </c>
      <c r="AE1922" s="28">
        <v>6361627000</v>
      </c>
      <c r="AF1922" s="28">
        <v>75158000</v>
      </c>
      <c r="AG1922" s="11"/>
    </row>
    <row r="1923">
      <c r="A1923" s="7" t="s">
        <v>3625</v>
      </c>
      <c r="B1923" s="5" t="s">
        <v>11611</v>
      </c>
      <c r="C1923" s="5" t="s">
        <v>19463</v>
      </c>
      <c r="D1923" s="5" t="str">
        <v>410102772959</v>
      </c>
      <c r="E1923" s="0" t="e">
        <f>+7 (423) 2641346
+7 (842) 3641346</f>
        <v>#NAME?</v>
      </c>
      <c r="F1923" s="5"/>
      <c r="G1923" s="5"/>
      <c r="H1923" s="26">
        <v>11.5</v>
      </c>
      <c r="I1923" s="5" t="s">
        <v>31147</v>
      </c>
      <c r="J1923" s="5" t="s">
        <v>25332</v>
      </c>
      <c r="K1923" s="5" t="s">
        <v>344</v>
      </c>
      <c r="L1923" s="5" t="s">
        <v>31148</v>
      </c>
      <c r="M1923" s="27"/>
      <c r="N1923" s="5"/>
      <c r="O1923" s="5" t="str">
        <v>2536248374</v>
      </c>
      <c r="P1923" s="27">
        <v>10000000</v>
      </c>
      <c r="Q1923" s="5" t="s">
        <v>49009</v>
      </c>
      <c r="R1923" s="5"/>
      <c r="S1923" s="5" t="s">
        <v>49045</v>
      </c>
      <c r="T1923" s="28">
        <v>171653000</v>
      </c>
      <c r="U1923" s="28"/>
      <c r="V1923" s="28">
        <v>1027315000</v>
      </c>
      <c r="W1923" s="28">
        <v>3405000</v>
      </c>
      <c r="X1923" s="28">
        <v>30875000</v>
      </c>
      <c r="Y1923" s="28">
        <v>2050941000</v>
      </c>
      <c r="Z1923" s="28">
        <v>640786000</v>
      </c>
      <c r="AA1923" s="28"/>
      <c r="AB1923" s="28">
        <v>23044000</v>
      </c>
      <c r="AC1923" s="28">
        <v>1228626000</v>
      </c>
      <c r="AD1923" s="28">
        <v>650786000</v>
      </c>
      <c r="AE1923" s="28">
        <v>3564683000</v>
      </c>
      <c r="AF1923" s="28">
        <v>275720000</v>
      </c>
      <c r="AG1923" s="11"/>
    </row>
    <row r="1924">
      <c r="A1924" s="7" t="s">
        <v>3626</v>
      </c>
      <c r="B1924" s="5" t="s">
        <v>11612</v>
      </c>
      <c r="C1924" s="5" t="s">
        <v>19464</v>
      </c>
      <c r="D1924" s="5" t="str">
        <v>344704413527</v>
      </c>
      <c r="E1924" s="0" t="e">
        <f>+7 (487) 2337253</f>
        <v>#NAME?</v>
      </c>
      <c r="F1924" s="5"/>
      <c r="G1924" s="5"/>
      <c r="H1924" s="26">
        <v>2.5</v>
      </c>
      <c r="I1924" s="5" t="s">
        <v>31149</v>
      </c>
      <c r="J1924" s="5" t="s">
        <v>25190</v>
      </c>
      <c r="K1924" s="5" t="s">
        <v>344</v>
      </c>
      <c r="L1924" s="5"/>
      <c r="M1924" s="27"/>
      <c r="N1924" s="5" t="s">
        <v>52352</v>
      </c>
      <c r="O1924" s="5" t="str">
        <v>7148000291</v>
      </c>
      <c r="P1924" s="27">
        <v>10000</v>
      </c>
      <c r="Q1924" s="5" t="s">
        <v>52353</v>
      </c>
      <c r="R1924" s="5"/>
      <c r="S1924" s="5" t="s">
        <v>52354</v>
      </c>
      <c r="T1924" s="28">
        <v>6262000</v>
      </c>
      <c r="U1924" s="28"/>
      <c r="V1924" s="28">
        <v>203877000</v>
      </c>
      <c r="W1924" s="28">
        <v>237357000</v>
      </c>
      <c r="X1924" s="28">
        <v>143963000</v>
      </c>
      <c r="Y1924" s="28">
        <v>591561000</v>
      </c>
      <c r="Z1924" s="28">
        <v>37947000</v>
      </c>
      <c r="AA1924" s="28"/>
      <c r="AB1924" s="28">
        <v>136000</v>
      </c>
      <c r="AC1924" s="28">
        <v>553604000</v>
      </c>
      <c r="AD1924" s="28">
        <v>37957000</v>
      </c>
      <c r="AE1924" s="28">
        <v>4639512000</v>
      </c>
      <c r="AF1924" s="28">
        <v>22500000</v>
      </c>
      <c r="AG1924" s="11"/>
    </row>
    <row r="1925">
      <c r="A1925" s="7" t="s">
        <v>3627</v>
      </c>
      <c r="B1925" s="5" t="s">
        <v>11613</v>
      </c>
      <c r="C1925" s="5" t="s">
        <v>19465</v>
      </c>
      <c r="D1925" s="5" t="str">
        <v>165501349829</v>
      </c>
      <c r="F1925" s="5" t="s">
        <v>31150</v>
      </c>
      <c r="G1925" s="5"/>
      <c r="H1925" s="26">
        <v>9</v>
      </c>
      <c r="I1925" s="5" t="s">
        <v>31151</v>
      </c>
      <c r="J1925" s="5" t="s">
        <v>26581</v>
      </c>
      <c r="K1925" s="5" t="s">
        <v>344</v>
      </c>
      <c r="L1925" s="5"/>
      <c r="M1925" s="27"/>
      <c r="N1925" s="5"/>
      <c r="O1925" s="5" t="str">
        <v>1660202037</v>
      </c>
      <c r="P1925" s="27">
        <v>10000</v>
      </c>
      <c r="Q1925" s="5" t="s">
        <v>49009</v>
      </c>
      <c r="R1925" s="5"/>
      <c r="S1925" s="5" t="s">
        <v>49045</v>
      </c>
      <c r="T1925" s="28">
        <v>103099000</v>
      </c>
      <c r="U1925" s="28"/>
      <c r="V1925" s="28">
        <v>293690000</v>
      </c>
      <c r="W1925" s="28">
        <v>3000</v>
      </c>
      <c r="X1925" s="28">
        <v>155774000</v>
      </c>
      <c r="Y1925" s="28">
        <v>727294000</v>
      </c>
      <c r="Z1925" s="28">
        <v>238185000</v>
      </c>
      <c r="AA1925" s="28">
        <v>165000000</v>
      </c>
      <c r="AB1925" s="28">
        <v>2261000</v>
      </c>
      <c r="AC1925" s="28">
        <v>170228000</v>
      </c>
      <c r="AD1925" s="28">
        <v>238195000</v>
      </c>
      <c r="AE1925" s="28">
        <v>3735947000</v>
      </c>
      <c r="AF1925" s="28">
        <v>224394000</v>
      </c>
      <c r="AG1925" s="11"/>
    </row>
    <row r="1926">
      <c r="A1926" s="7" t="s">
        <v>3628</v>
      </c>
      <c r="B1926" s="5" t="s">
        <v>11614</v>
      </c>
      <c r="C1926" s="5" t="s">
        <v>19466</v>
      </c>
      <c r="D1926" s="5" t="str">
        <v>770404083221</v>
      </c>
      <c r="E1926" s="0" t="e">
        <f>+7 (495) 7458275
+7 (8432) 122252</f>
        <v>#NAME?</v>
      </c>
      <c r="F1926" s="5" t="s">
        <v>31152</v>
      </c>
      <c r="G1926" s="5"/>
      <c r="H1926" s="26">
        <v>17</v>
      </c>
      <c r="I1926" s="5"/>
      <c r="J1926" s="5" t="s">
        <v>1095</v>
      </c>
      <c r="K1926" s="5" t="s">
        <v>355</v>
      </c>
      <c r="L1926" s="5"/>
      <c r="M1926" s="27"/>
      <c r="N1926" s="5"/>
      <c r="O1926" s="5" t="str">
        <v>5029087035</v>
      </c>
      <c r="P1926" s="27">
        <v>100100000</v>
      </c>
      <c r="Q1926" s="5" t="s">
        <v>49009</v>
      </c>
      <c r="R1926" s="5" t="s">
        <v>52355</v>
      </c>
      <c r="S1926" s="5" t="s">
        <v>49045</v>
      </c>
      <c r="T1926" s="28">
        <v>1594480000</v>
      </c>
      <c r="U1926" s="28"/>
      <c r="V1926" s="28">
        <v>706189000</v>
      </c>
      <c r="W1926" s="28">
        <v>71000000</v>
      </c>
      <c r="X1926" s="28">
        <v>3087000</v>
      </c>
      <c r="Y1926" s="28">
        <v>3221162000</v>
      </c>
      <c r="Z1926" s="28">
        <v>-326579000</v>
      </c>
      <c r="AA1926" s="28"/>
      <c r="AB1926" s="28">
        <v>36365000</v>
      </c>
      <c r="AC1926" s="28">
        <v>3447641000</v>
      </c>
      <c r="AD1926" s="28">
        <v>-226479000</v>
      </c>
      <c r="AE1926" s="28">
        <v>3218983000</v>
      </c>
      <c r="AF1926" s="28">
        <v>19277000</v>
      </c>
      <c r="AG1926" s="11"/>
    </row>
    <row r="1927">
      <c r="A1927" s="7" t="s">
        <v>3629</v>
      </c>
      <c r="B1927" s="5" t="s">
        <v>11615</v>
      </c>
      <c r="C1927" s="5" t="s">
        <v>19467</v>
      </c>
      <c r="D1927" s="5" t="str">
        <v>500113285181</v>
      </c>
      <c r="E1927" s="0" t="e">
        <f>+7 (495) 6412937
+7 (495) 6412946
+7 (495) 6412991
+7 (495) 6604853
+7 (495) 6629398
+7 (495) 7559700
+7 (495) 7559701
+7 (495) 7559743
+7 (495) 7559868
+7 (495) 7559879
+7 (495) 7559936
+7 (495) 7759700
+7 (495) 7759701
+7 (495) 9862975
+7 (812) 7037834</f>
        <v>#NAME?</v>
      </c>
      <c r="F1927" s="5" t="s">
        <v>31153</v>
      </c>
      <c r="G1927" s="5" t="s">
        <v>31154</v>
      </c>
      <c r="H1927" s="26">
        <v>18</v>
      </c>
      <c r="I1927" s="5" t="s">
        <v>31155</v>
      </c>
      <c r="J1927" s="5" t="s">
        <v>31156</v>
      </c>
      <c r="K1927" s="5" t="s">
        <v>344</v>
      </c>
      <c r="L1927" s="5" t="s">
        <v>28820</v>
      </c>
      <c r="M1927" s="27">
        <v>2581678</v>
      </c>
      <c r="N1927" s="5" t="s">
        <v>52356</v>
      </c>
      <c r="O1927" s="5" t="str">
        <v>7705637264</v>
      </c>
      <c r="P1927" s="27">
        <v>11428570</v>
      </c>
      <c r="Q1927" s="5" t="s">
        <v>52358</v>
      </c>
      <c r="R1927" s="5"/>
      <c r="S1927" s="5" t="s">
        <v>49173</v>
      </c>
      <c r="T1927" s="28">
        <v>687436000</v>
      </c>
      <c r="U1927" s="28">
        <v>1567000</v>
      </c>
      <c r="V1927" s="28">
        <v>1768212000</v>
      </c>
      <c r="W1927" s="28">
        <v>938288000</v>
      </c>
      <c r="X1927" s="28">
        <v>767464000</v>
      </c>
      <c r="Y1927" s="28">
        <v>4809213000</v>
      </c>
      <c r="Z1927" s="28">
        <v>379261000</v>
      </c>
      <c r="AA1927" s="28">
        <v>260249000</v>
      </c>
      <c r="AB1927" s="28">
        <v>515806000</v>
      </c>
      <c r="AC1927" s="28">
        <v>3403007000</v>
      </c>
      <c r="AD1927" s="28">
        <v>391190000</v>
      </c>
      <c r="AE1927" s="28">
        <v>8544696000</v>
      </c>
      <c r="AF1927" s="28">
        <v>133774000</v>
      </c>
      <c r="AG1927" s="11"/>
    </row>
    <row r="1928">
      <c r="A1928" s="7" t="s">
        <v>3630</v>
      </c>
      <c r="B1928" s="5" t="s">
        <v>11616</v>
      </c>
      <c r="C1928" s="5" t="s">
        <v>19468</v>
      </c>
      <c r="D1928" s="5" t="str">
        <v>772001151264</v>
      </c>
      <c r="E1928" s="0" t="e">
        <f>+7 (482) 2332861
+7 (482) 2332876
+7 (482) 2332878
+7 (482) 2332881
+7 (482) 2332882
+7 (482) 2332883
+7 (482) 2332884
+7 (495) 5424015
+7 (495) 9165208
+7 (495) 9165262</f>
        <v>#NAME?</v>
      </c>
      <c r="F1928" s="5" t="s">
        <v>31157</v>
      </c>
      <c r="G1928" s="5" t="s">
        <v>31158</v>
      </c>
      <c r="H1928" s="26">
        <v>25</v>
      </c>
      <c r="I1928" s="5"/>
      <c r="J1928" s="5" t="s">
        <v>445</v>
      </c>
      <c r="K1928" s="5" t="s">
        <v>344</v>
      </c>
      <c r="L1928" s="5" t="s">
        <v>31159</v>
      </c>
      <c r="M1928" s="27"/>
      <c r="N1928" s="5"/>
      <c r="O1928" s="5" t="str">
        <v>6905062011</v>
      </c>
      <c r="P1928" s="27">
        <v>191000000</v>
      </c>
      <c r="Q1928" s="5" t="s">
        <v>49009</v>
      </c>
      <c r="R1928" s="5" t="s">
        <v>51379</v>
      </c>
      <c r="S1928" s="5" t="s">
        <v>49066</v>
      </c>
      <c r="T1928" s="28">
        <v>4976211000</v>
      </c>
      <c r="U1928" s="28">
        <v>2862870000</v>
      </c>
      <c r="V1928" s="28">
        <v>8274988000</v>
      </c>
      <c r="W1928" s="28">
        <v>135669000</v>
      </c>
      <c r="X1928" s="28">
        <v>7931346000</v>
      </c>
      <c r="Y1928" s="28">
        <v>30759889000</v>
      </c>
      <c r="Z1928" s="28">
        <v>23652732000</v>
      </c>
      <c r="AA1928" s="28"/>
      <c r="AB1928" s="28"/>
      <c r="AC1928" s="28">
        <v>6461511000</v>
      </c>
      <c r="AD1928" s="28">
        <v>23854451000</v>
      </c>
      <c r="AE1928" s="28">
        <v>35850558000</v>
      </c>
      <c r="AF1928" s="28">
        <v>8295611000</v>
      </c>
      <c r="AG1928" s="11"/>
    </row>
    <row r="1929">
      <c r="A1929" s="7" t="s">
        <v>3631</v>
      </c>
      <c r="B1929" s="5" t="s">
        <v>11617</v>
      </c>
      <c r="C1929" s="5" t="s">
        <v>19469</v>
      </c>
      <c r="D1929" s="5" t="str">
        <v>780715108718</v>
      </c>
      <c r="E1929" s="0" t="e">
        <f>+7 (917) 1013757
+7 (981) 6808423
+7 (981) 7769216
+7 (800) 1009500
+7 (812) 2249439
+7 (812) 3201903
+7 (812) 3836653
+7 (981) 2470036</f>
        <v>#NAME?</v>
      </c>
      <c r="F1929" s="5" t="s">
        <v>31160</v>
      </c>
      <c r="G1929" s="5" t="s">
        <v>31161</v>
      </c>
      <c r="H1929" s="26">
        <v>18.5</v>
      </c>
      <c r="I1929" s="5" t="s">
        <v>31162</v>
      </c>
      <c r="J1929" s="5" t="s">
        <v>866</v>
      </c>
      <c r="K1929" s="5" t="s">
        <v>344</v>
      </c>
      <c r="L1929" s="5" t="s">
        <v>31163</v>
      </c>
      <c r="M1929" s="27">
        <v>9368371</v>
      </c>
      <c r="N1929" s="5" t="s">
        <v>49350</v>
      </c>
      <c r="O1929" s="5" t="str">
        <v>7810000499</v>
      </c>
      <c r="P1929" s="27">
        <v>10000</v>
      </c>
      <c r="Q1929" s="5" t="s">
        <v>52360</v>
      </c>
      <c r="R1929" s="5"/>
      <c r="S1929" s="5" t="s">
        <v>52361</v>
      </c>
      <c r="T1929" s="28">
        <v>16021200000</v>
      </c>
      <c r="U1929" s="28">
        <v>185905000</v>
      </c>
      <c r="V1929" s="28">
        <v>1409787000</v>
      </c>
      <c r="W1929" s="28"/>
      <c r="X1929" s="28">
        <v>4217000</v>
      </c>
      <c r="Y1929" s="28">
        <v>19979723000</v>
      </c>
      <c r="Z1929" s="28">
        <v>3090876000</v>
      </c>
      <c r="AA1929" s="28"/>
      <c r="AB1929" s="28">
        <v>544233000</v>
      </c>
      <c r="AC1929" s="28">
        <v>9953484000</v>
      </c>
      <c r="AD1929" s="28">
        <v>3090886000</v>
      </c>
      <c r="AE1929" s="28">
        <v>22922303000</v>
      </c>
      <c r="AF1929" s="28">
        <v>1075663000</v>
      </c>
      <c r="AG1929" s="11"/>
    </row>
    <row r="1930">
      <c r="A1930" s="7" t="s">
        <v>3632</v>
      </c>
      <c r="B1930" s="5" t="s">
        <v>11618</v>
      </c>
      <c r="C1930" s="5" t="s">
        <v>19470</v>
      </c>
      <c r="D1930" s="5" t="str">
        <v>701730776132</v>
      </c>
      <c r="E1930" s="0" t="e">
        <f>+7 (913) 8884142
+7 (952) 8071424</f>
        <v>#NAME?</v>
      </c>
      <c r="F1930" s="5"/>
      <c r="G1930" s="5"/>
      <c r="H1930" s="26">
        <v>9</v>
      </c>
      <c r="I1930" s="5" t="s">
        <v>31164</v>
      </c>
      <c r="J1930" s="5" t="s">
        <v>25327</v>
      </c>
      <c r="K1930" s="5" t="s">
        <v>344</v>
      </c>
      <c r="L1930" s="5" t="s">
        <v>31165</v>
      </c>
      <c r="M1930" s="27"/>
      <c r="N1930" s="5" t="s">
        <v>52362</v>
      </c>
      <c r="O1930" s="5" t="str">
        <v>3849033837</v>
      </c>
      <c r="P1930" s="27">
        <v>20000</v>
      </c>
      <c r="Q1930" s="5" t="s">
        <v>49009</v>
      </c>
      <c r="R1930" s="5"/>
      <c r="S1930" s="5" t="s">
        <v>49012</v>
      </c>
      <c r="T1930" s="28"/>
      <c r="U1930" s="28"/>
      <c r="V1930" s="28">
        <v>1417671000</v>
      </c>
      <c r="W1930" s="28">
        <v>487108000</v>
      </c>
      <c r="X1930" s="28">
        <v>331000</v>
      </c>
      <c r="Y1930" s="28">
        <v>2208627000</v>
      </c>
      <c r="Z1930" s="28">
        <v>3835000</v>
      </c>
      <c r="AA1930" s="28"/>
      <c r="AB1930" s="28">
        <v>31382000</v>
      </c>
      <c r="AC1930" s="28">
        <v>2204772000</v>
      </c>
      <c r="AD1930" s="28">
        <v>3855000</v>
      </c>
      <c r="AE1930" s="28">
        <v>4972182000</v>
      </c>
      <c r="AF1930" s="28">
        <v>10389000</v>
      </c>
      <c r="AG1930" s="11"/>
    </row>
    <row r="1931">
      <c r="A1931" s="7" t="s">
        <v>3633</v>
      </c>
      <c r="B1931" s="5" t="s">
        <v>11619</v>
      </c>
      <c r="C1931" s="5" t="s">
        <v>19471</v>
      </c>
      <c r="D1931" s="5" t="str">
        <v>671600095310</v>
      </c>
      <c r="E1931" s="0" t="e">
        <f>+7 (495) 5240650
+7 (915) 7026003</f>
        <v>#NAME?</v>
      </c>
      <c r="F1931" s="5"/>
      <c r="G1931" s="5"/>
      <c r="H1931" s="26">
        <v>9</v>
      </c>
      <c r="I1931" s="5"/>
      <c r="J1931" s="5" t="s">
        <v>25231</v>
      </c>
      <c r="K1931" s="5" t="s">
        <v>344</v>
      </c>
      <c r="L1931" s="5" t="s">
        <v>31166</v>
      </c>
      <c r="M1931" s="27"/>
      <c r="N1931" s="5"/>
      <c r="O1931" s="5" t="str">
        <v>6950181229</v>
      </c>
      <c r="P1931" s="27">
        <v>10000</v>
      </c>
      <c r="Q1931" s="5"/>
      <c r="R1931" s="5"/>
      <c r="S1931" s="5" t="s">
        <v>49029</v>
      </c>
      <c r="T1931" s="28">
        <v>1082645000</v>
      </c>
      <c r="U1931" s="28">
        <v>126054000</v>
      </c>
      <c r="V1931" s="28">
        <v>2090387000</v>
      </c>
      <c r="W1931" s="28">
        <v>80000000</v>
      </c>
      <c r="X1931" s="28">
        <v>44243000</v>
      </c>
      <c r="Y1931" s="28">
        <v>4819174000</v>
      </c>
      <c r="Z1931" s="28">
        <v>2521708000</v>
      </c>
      <c r="AA1931" s="28"/>
      <c r="AB1931" s="28">
        <v>1263029000</v>
      </c>
      <c r="AC1931" s="28">
        <v>2166956000</v>
      </c>
      <c r="AD1931" s="28">
        <v>2521843000</v>
      </c>
      <c r="AE1931" s="28">
        <v>10450189000</v>
      </c>
      <c r="AF1931" s="28">
        <v>1259796000</v>
      </c>
      <c r="AG1931" s="11"/>
    </row>
    <row r="1932">
      <c r="A1932" s="7" t="s">
        <v>3634</v>
      </c>
      <c r="B1932" s="5" t="s">
        <v>11620</v>
      </c>
      <c r="C1932" s="5" t="s">
        <v>19472</v>
      </c>
      <c r="D1932" s="5" t="str">
        <v>272700465622</v>
      </c>
      <c r="E1932" s="0" t="e">
        <f>+7 (421) 2402939
+7 (421) 2358144</f>
        <v>#NAME?</v>
      </c>
      <c r="F1932" s="5"/>
      <c r="G1932" s="5"/>
      <c r="H1932" s="26">
        <v>6</v>
      </c>
      <c r="I1932" s="5" t="s">
        <v>31167</v>
      </c>
      <c r="J1932" s="5" t="s">
        <v>25559</v>
      </c>
      <c r="K1932" s="5" t="s">
        <v>344</v>
      </c>
      <c r="L1932" s="5" t="s">
        <v>31168</v>
      </c>
      <c r="M1932" s="27">
        <v>8483626</v>
      </c>
      <c r="N1932" s="5" t="s">
        <v>52363</v>
      </c>
      <c r="O1932" s="5" t="str">
        <v>2724218630</v>
      </c>
      <c r="P1932" s="27">
        <v>500000</v>
      </c>
      <c r="Q1932" s="5"/>
      <c r="R1932" s="5" t="s">
        <v>52364</v>
      </c>
      <c r="S1932" s="5" t="s">
        <v>49047</v>
      </c>
      <c r="T1932" s="28">
        <v>395396000</v>
      </c>
      <c r="U1932" s="28">
        <v>22000</v>
      </c>
      <c r="V1932" s="28">
        <v>1105621000</v>
      </c>
      <c r="W1932" s="28">
        <v>14156000</v>
      </c>
      <c r="X1932" s="28">
        <v>6923000</v>
      </c>
      <c r="Y1932" s="28">
        <v>2440962000</v>
      </c>
      <c r="Z1932" s="28">
        <v>1181834000</v>
      </c>
      <c r="AA1932" s="28">
        <v>9864000</v>
      </c>
      <c r="AB1932" s="28"/>
      <c r="AC1932" s="28">
        <v>1004813000</v>
      </c>
      <c r="AD1932" s="28">
        <v>1182344000</v>
      </c>
      <c r="AE1932" s="28">
        <v>3269159000</v>
      </c>
      <c r="AF1932" s="28">
        <v>638401000</v>
      </c>
      <c r="AG1932" s="11"/>
    </row>
    <row r="1933">
      <c r="A1933" s="7" t="s">
        <v>3635</v>
      </c>
      <c r="B1933" s="5" t="s">
        <v>11621</v>
      </c>
      <c r="C1933" s="5" t="s">
        <v>17883</v>
      </c>
      <c r="D1933" s="5" t="str">
        <v>463227550412</v>
      </c>
      <c r="E1933" s="0" t="e">
        <f>+7 (482) 4247699
+7 (48242) 69400
+7 (48242) 69401
+7 (48242) 69407
+7 (495) 9957501</f>
        <v>#NAME?</v>
      </c>
      <c r="F1933" s="5"/>
      <c r="G1933" s="5"/>
      <c r="H1933" s="26">
        <v>20</v>
      </c>
      <c r="I1933" s="5" t="s">
        <v>31169</v>
      </c>
      <c r="J1933" s="5" t="s">
        <v>25499</v>
      </c>
      <c r="K1933" s="5" t="s">
        <v>355</v>
      </c>
      <c r="L1933" s="5"/>
      <c r="M1933" s="27"/>
      <c r="N1933" s="5"/>
      <c r="O1933" s="5" t="str">
        <v>6911020450</v>
      </c>
      <c r="P1933" s="27">
        <v>20000000</v>
      </c>
      <c r="Q1933" s="5" t="s">
        <v>49009</v>
      </c>
      <c r="R1933" s="5"/>
      <c r="S1933" s="5" t="s">
        <v>49010</v>
      </c>
      <c r="T1933" s="28">
        <v>60264000</v>
      </c>
      <c r="U1933" s="28"/>
      <c r="V1933" s="28">
        <v>1211034000</v>
      </c>
      <c r="W1933" s="28">
        <v>24501000</v>
      </c>
      <c r="X1933" s="28">
        <v>114219000</v>
      </c>
      <c r="Y1933" s="28">
        <v>1932286000</v>
      </c>
      <c r="Z1933" s="28">
        <v>-906867000</v>
      </c>
      <c r="AA1933" s="28">
        <v>20514000</v>
      </c>
      <c r="AB1933" s="28">
        <v>1642000000</v>
      </c>
      <c r="AC1933" s="28">
        <v>1843726000</v>
      </c>
      <c r="AD1933" s="28">
        <v>68046000</v>
      </c>
      <c r="AE1933" s="28">
        <v>3753534000</v>
      </c>
      <c r="AF1933" s="28">
        <v>-286396000</v>
      </c>
      <c r="AG1933" s="11"/>
    </row>
    <row r="1934">
      <c r="A1934" s="7" t="s">
        <v>3636</v>
      </c>
      <c r="B1934" s="5" t="s">
        <v>11622</v>
      </c>
      <c r="C1934" s="5" t="s">
        <v>19473</v>
      </c>
      <c r="D1934" s="5" t="str">
        <v>781309252460</v>
      </c>
      <c r="E1934" s="0" t="e">
        <f>+7 (499) 7191417
+7 (921) 3855460</f>
        <v>#NAME?</v>
      </c>
      <c r="F1934" s="5" t="s">
        <v>31170</v>
      </c>
      <c r="G1934" s="5"/>
      <c r="H1934" s="26">
        <v>8</v>
      </c>
      <c r="I1934" s="5" t="s">
        <v>31171</v>
      </c>
      <c r="J1934" s="5" t="s">
        <v>599</v>
      </c>
      <c r="K1934" s="5" t="s">
        <v>344</v>
      </c>
      <c r="L1934" s="5" t="s">
        <v>31172</v>
      </c>
      <c r="M1934" s="27">
        <v>431465</v>
      </c>
      <c r="N1934" s="5"/>
      <c r="O1934" s="5" t="str">
        <v>5040071543</v>
      </c>
      <c r="P1934" s="27">
        <v>2000000</v>
      </c>
      <c r="Q1934" s="5"/>
      <c r="R1934" s="5"/>
      <c r="S1934" s="5" t="s">
        <v>49053</v>
      </c>
      <c r="T1934" s="28">
        <v>3582000</v>
      </c>
      <c r="U1934" s="28"/>
      <c r="V1934" s="28">
        <v>604316000</v>
      </c>
      <c r="W1934" s="28">
        <v>1500000</v>
      </c>
      <c r="X1934" s="28">
        <v>3244000</v>
      </c>
      <c r="Y1934" s="28">
        <v>722981000</v>
      </c>
      <c r="Z1934" s="28">
        <v>9501000</v>
      </c>
      <c r="AA1934" s="28">
        <v>47776000</v>
      </c>
      <c r="AB1934" s="28"/>
      <c r="AC1934" s="28">
        <v>662077000</v>
      </c>
      <c r="AD1934" s="28">
        <v>11501000</v>
      </c>
      <c r="AE1934" s="28">
        <v>4316710000</v>
      </c>
      <c r="AF1934" s="28">
        <v>24262000</v>
      </c>
      <c r="AG1934" s="11"/>
    </row>
    <row r="1935">
      <c r="A1935" s="7" t="s">
        <v>3637</v>
      </c>
      <c r="B1935" s="5" t="s">
        <v>11623</v>
      </c>
      <c r="C1935" s="5" t="s">
        <v>18857</v>
      </c>
      <c r="D1935" s="5"/>
      <c r="E1935" s="0" t="e">
        <f>+7 (4232) 468681
+7 (423) 2215910
+7 (4232) 406252
+7 (914) 7027910</f>
        <v>#NAME?</v>
      </c>
      <c r="F1935" s="5"/>
      <c r="G1935" s="5"/>
      <c r="H1935" s="26">
        <v>9</v>
      </c>
      <c r="I1935" s="5"/>
      <c r="J1935" s="5" t="s">
        <v>26424</v>
      </c>
      <c r="K1935" s="5" t="s">
        <v>344</v>
      </c>
      <c r="L1935" s="5" t="s">
        <v>31173</v>
      </c>
      <c r="M1935" s="27"/>
      <c r="N1935" s="5"/>
      <c r="O1935" s="5" t="str">
        <v>2540199962</v>
      </c>
      <c r="P1935" s="27">
        <v>534150948</v>
      </c>
      <c r="Q1935" s="5"/>
      <c r="R1935" s="5"/>
      <c r="S1935" s="5" t="s">
        <v>49029</v>
      </c>
      <c r="T1935" s="28">
        <v>455760000</v>
      </c>
      <c r="U1935" s="28"/>
      <c r="V1935" s="28">
        <v>5937944000</v>
      </c>
      <c r="W1935" s="28">
        <v>1964347000</v>
      </c>
      <c r="X1935" s="28">
        <v>1770000</v>
      </c>
      <c r="Y1935" s="28">
        <v>8896694000</v>
      </c>
      <c r="Z1935" s="28">
        <v>2170830000</v>
      </c>
      <c r="AA1935" s="28"/>
      <c r="AB1935" s="28"/>
      <c r="AC1935" s="28">
        <v>6165005000</v>
      </c>
      <c r="AD1935" s="28">
        <v>2731689000</v>
      </c>
      <c r="AE1935" s="28">
        <v>5738228000</v>
      </c>
      <c r="AF1935" s="28">
        <v>1905024000</v>
      </c>
      <c r="AG1935" s="11"/>
    </row>
    <row r="1936">
      <c r="A1936" s="7" t="s">
        <v>3638</v>
      </c>
      <c r="B1936" s="5" t="s">
        <v>11624</v>
      </c>
      <c r="C1936" s="5" t="s">
        <v>19474</v>
      </c>
      <c r="D1936" s="5" t="str">
        <v>771406113427</v>
      </c>
      <c r="E1936" s="0" t="e">
        <f>+7 (495) 7417748
+7 (495) 7417746
+7 (499) 2541211
+7 (499) 2542972
+7 (499) 2547725</f>
        <v>#NAME?</v>
      </c>
      <c r="F1936" s="5"/>
      <c r="G1936" s="5"/>
      <c r="H1936" s="26">
        <v>27</v>
      </c>
      <c r="I1936" s="5" t="s">
        <v>31174</v>
      </c>
      <c r="J1936" s="5" t="s">
        <v>29195</v>
      </c>
      <c r="K1936" s="5" t="s">
        <v>344</v>
      </c>
      <c r="L1936" s="5" t="s">
        <v>29438</v>
      </c>
      <c r="M1936" s="27"/>
      <c r="N1936" s="5"/>
      <c r="O1936" s="5" t="str">
        <v>7717085843</v>
      </c>
      <c r="P1936" s="27">
        <v>500000</v>
      </c>
      <c r="Q1936" s="5"/>
      <c r="R1936" s="5"/>
      <c r="S1936" s="5" t="s">
        <v>50509</v>
      </c>
      <c r="T1936" s="28">
        <v>28795000</v>
      </c>
      <c r="U1936" s="28">
        <v>325018000</v>
      </c>
      <c r="V1936" s="28">
        <v>956741000</v>
      </c>
      <c r="W1936" s="28">
        <v>143113000</v>
      </c>
      <c r="X1936" s="28">
        <v>403996000</v>
      </c>
      <c r="Y1936" s="28">
        <v>1951476000</v>
      </c>
      <c r="Z1936" s="28">
        <v>443472000</v>
      </c>
      <c r="AA1936" s="28"/>
      <c r="AB1936" s="28">
        <v>700597000</v>
      </c>
      <c r="AC1936" s="28">
        <v>1305349000</v>
      </c>
      <c r="AD1936" s="28">
        <v>443972000</v>
      </c>
      <c r="AE1936" s="28">
        <v>6784477000</v>
      </c>
      <c r="AF1936" s="28">
        <v>246619000</v>
      </c>
      <c r="AG1936" s="11"/>
    </row>
    <row r="1937">
      <c r="A1937" s="7" t="s">
        <v>3638</v>
      </c>
      <c r="B1937" s="5" t="s">
        <v>11625</v>
      </c>
      <c r="C1937" s="5" t="s">
        <v>19475</v>
      </c>
      <c r="D1937" s="5" t="str">
        <v>041101613829</v>
      </c>
      <c r="E1937" s="0" t="e">
        <f>+7 (4912) 551102
+7 (906) 5123567
+7 (910) 9821739
+7 (493) 2531160
+7 (494) 2460044
+7 (494) 2640044
+7 (910) 9803640
+7 (980) 6897820</f>
        <v>#NAME?</v>
      </c>
      <c r="F1937" s="5" t="s">
        <v>31175</v>
      </c>
      <c r="G1937" s="5" t="s">
        <v>31176</v>
      </c>
      <c r="H1937" s="26">
        <v>8</v>
      </c>
      <c r="I1937" s="5" t="s">
        <v>31177</v>
      </c>
      <c r="J1937" s="5" t="s">
        <v>467</v>
      </c>
      <c r="K1937" s="5" t="s">
        <v>344</v>
      </c>
      <c r="L1937" s="5" t="s">
        <v>31178</v>
      </c>
      <c r="M1937" s="27">
        <v>3987262</v>
      </c>
      <c r="N1937" s="5" t="s">
        <v>52365</v>
      </c>
      <c r="O1937" s="5" t="str">
        <v>3702104670</v>
      </c>
      <c r="P1937" s="27">
        <v>2000000</v>
      </c>
      <c r="Q1937" s="5" t="s">
        <v>52366</v>
      </c>
      <c r="R1937" s="5"/>
      <c r="S1937" s="5" t="s">
        <v>52367</v>
      </c>
      <c r="T1937" s="28">
        <v>611516000</v>
      </c>
      <c r="U1937" s="28"/>
      <c r="V1937" s="28">
        <v>1004732000</v>
      </c>
      <c r="W1937" s="28">
        <v>250119000</v>
      </c>
      <c r="X1937" s="28">
        <v>38644000</v>
      </c>
      <c r="Y1937" s="28">
        <v>2939613000</v>
      </c>
      <c r="Z1937" s="28">
        <v>71148000</v>
      </c>
      <c r="AA1937" s="28"/>
      <c r="AB1937" s="28">
        <v>352483000</v>
      </c>
      <c r="AC1937" s="28">
        <v>2325948000</v>
      </c>
      <c r="AD1937" s="28">
        <v>73148000</v>
      </c>
      <c r="AE1937" s="28">
        <v>5119613000</v>
      </c>
      <c r="AF1937" s="28">
        <v>46315000</v>
      </c>
      <c r="AG1937" s="11"/>
    </row>
    <row r="1938">
      <c r="A1938" s="7" t="s">
        <v>3639</v>
      </c>
      <c r="B1938" s="5" t="s">
        <v>11626</v>
      </c>
      <c r="C1938" s="5" t="s">
        <v>19476</v>
      </c>
      <c r="D1938" s="5" t="str">
        <v>616801636105</v>
      </c>
      <c r="E1938" s="0" t="e">
        <f>+7 (495) 6635137</f>
        <v>#NAME?</v>
      </c>
      <c r="F1938" s="5" t="s">
        <v>31179</v>
      </c>
      <c r="G1938" s="5"/>
      <c r="H1938" s="26">
        <v>4</v>
      </c>
      <c r="I1938" s="5" t="s">
        <v>31180</v>
      </c>
      <c r="J1938" s="5" t="s">
        <v>467</v>
      </c>
      <c r="K1938" s="5" t="s">
        <v>380</v>
      </c>
      <c r="L1938" s="5"/>
      <c r="M1938" s="27">
        <v>120816249</v>
      </c>
      <c r="N1938" s="5"/>
      <c r="O1938" s="5" t="str">
        <v>5027272699</v>
      </c>
      <c r="P1938" s="27">
        <v>10000</v>
      </c>
      <c r="Q1938" s="5" t="s">
        <v>52368</v>
      </c>
      <c r="R1938" s="5"/>
      <c r="S1938" s="5" t="s">
        <v>49743</v>
      </c>
      <c r="T1938" s="28">
        <v>182592000</v>
      </c>
      <c r="U1938" s="28">
        <v>5000</v>
      </c>
      <c r="V1938" s="28">
        <v>8881575000</v>
      </c>
      <c r="W1938" s="28"/>
      <c r="X1938" s="28">
        <v>855733000</v>
      </c>
      <c r="Y1938" s="28">
        <v>14081849000</v>
      </c>
      <c r="Z1938" s="28">
        <v>-2381652000</v>
      </c>
      <c r="AA1938" s="28"/>
      <c r="AB1938" s="28"/>
      <c r="AC1938" s="28">
        <v>15104287000</v>
      </c>
      <c r="AD1938" s="28">
        <v>-2381642000</v>
      </c>
      <c r="AE1938" s="28">
        <v>8879922000</v>
      </c>
      <c r="AF1938" s="28">
        <v>-1557447000</v>
      </c>
      <c r="AG1938" s="11"/>
    </row>
    <row r="1939">
      <c r="A1939" s="7" t="s">
        <v>3640</v>
      </c>
      <c r="B1939" s="5" t="s">
        <v>11627</v>
      </c>
      <c r="C1939" s="5" t="s">
        <v>19477</v>
      </c>
      <c r="D1939" s="5" t="str">
        <v>151401404832</v>
      </c>
      <c r="E1939" s="0" t="e">
        <f>+7 (914) 8519141
+7 (413) 2623012
+7 (914) 8647702
+7 (914) 8691196</f>
        <v>#NAME?</v>
      </c>
      <c r="F1939" s="5" t="s">
        <v>31181</v>
      </c>
      <c r="G1939" s="5"/>
      <c r="H1939" s="26">
        <v>14</v>
      </c>
      <c r="I1939" s="5" t="s">
        <v>31182</v>
      </c>
      <c r="J1939" s="5" t="s">
        <v>26499</v>
      </c>
      <c r="K1939" s="5" t="s">
        <v>344</v>
      </c>
      <c r="L1939" s="5" t="s">
        <v>31183</v>
      </c>
      <c r="M1939" s="27"/>
      <c r="N1939" s="5"/>
      <c r="O1939" s="5" t="str">
        <v>4908011205</v>
      </c>
      <c r="P1939" s="27">
        <v>10000</v>
      </c>
      <c r="Q1939" s="5" t="s">
        <v>49021</v>
      </c>
      <c r="R1939" s="5"/>
      <c r="S1939" s="5" t="s">
        <v>52369</v>
      </c>
      <c r="T1939" s="28">
        <v>2367392000</v>
      </c>
      <c r="U1939" s="28">
        <v>339215000</v>
      </c>
      <c r="V1939" s="28">
        <v>400742000</v>
      </c>
      <c r="W1939" s="28">
        <v>228183000</v>
      </c>
      <c r="X1939" s="28">
        <v>6519000</v>
      </c>
      <c r="Y1939" s="28">
        <v>4182301000</v>
      </c>
      <c r="Z1939" s="28">
        <v>1713458000</v>
      </c>
      <c r="AA1939" s="28">
        <v>320954000</v>
      </c>
      <c r="AB1939" s="28">
        <v>1106000</v>
      </c>
      <c r="AC1939" s="28">
        <v>721251000</v>
      </c>
      <c r="AD1939" s="28">
        <v>1713468000</v>
      </c>
      <c r="AE1939" s="28">
        <v>4154816000</v>
      </c>
      <c r="AF1939" s="28">
        <v>482927000</v>
      </c>
      <c r="AG1939" s="11"/>
    </row>
    <row r="1940">
      <c r="A1940" s="7" t="s">
        <v>3641</v>
      </c>
      <c r="B1940" s="5" t="s">
        <v>11628</v>
      </c>
      <c r="C1940" s="5" t="s">
        <v>19478</v>
      </c>
      <c r="D1940" s="5" t="str">
        <v>770302707953</v>
      </c>
      <c r="E1940" s="0" t="e">
        <f>+7 (495) 2544785
+7 (495) 4787456
+7 (495) 5456454
+7 (495) 5545415
+7 (495) 5814371
+7 (495) 6401717
+7 (495) 6401777
+7 (495) 6406684
+7 (495) 6407117
+7 (495) 6407171
+7 (912) 284852
+7 (916) 284852
+7 (945) 6401771</f>
        <v>#NAME?</v>
      </c>
      <c r="F1940" s="5" t="s">
        <v>31184</v>
      </c>
      <c r="G1940" s="5" t="s">
        <v>31185</v>
      </c>
      <c r="H1940" s="26">
        <v>18</v>
      </c>
      <c r="I1940" s="5" t="s">
        <v>31186</v>
      </c>
      <c r="J1940" s="5" t="s">
        <v>25429</v>
      </c>
      <c r="K1940" s="5" t="s">
        <v>344</v>
      </c>
      <c r="L1940" s="5" t="s">
        <v>31187</v>
      </c>
      <c r="M1940" s="27"/>
      <c r="N1940" s="5" t="s">
        <v>52370</v>
      </c>
      <c r="O1940" s="5" t="str">
        <v>7723537840</v>
      </c>
      <c r="P1940" s="27">
        <v>10000</v>
      </c>
      <c r="Q1940" s="5" t="s">
        <v>52371</v>
      </c>
      <c r="R1940" s="5"/>
      <c r="S1940" s="5" t="s">
        <v>52372</v>
      </c>
      <c r="T1940" s="28">
        <v>61998000</v>
      </c>
      <c r="U1940" s="28"/>
      <c r="V1940" s="28">
        <v>608297000</v>
      </c>
      <c r="W1940" s="28">
        <v>300000000</v>
      </c>
      <c r="X1940" s="28">
        <v>1168821000</v>
      </c>
      <c r="Y1940" s="28">
        <v>2901289000</v>
      </c>
      <c r="Z1940" s="28">
        <v>1151614000</v>
      </c>
      <c r="AA1940" s="28"/>
      <c r="AB1940" s="28"/>
      <c r="AC1940" s="28">
        <v>1725954000</v>
      </c>
      <c r="AD1940" s="28">
        <v>1151624000</v>
      </c>
      <c r="AE1940" s="28">
        <v>4542087000</v>
      </c>
      <c r="AF1940" s="28">
        <v>66502000</v>
      </c>
      <c r="AG1940" s="11"/>
    </row>
    <row r="1941">
      <c r="A1941" s="7" t="s">
        <v>3642</v>
      </c>
      <c r="B1941" s="5" t="s">
        <v>11629</v>
      </c>
      <c r="C1941" s="5" t="s">
        <v>19479</v>
      </c>
      <c r="D1941" s="5" t="str">
        <v>280704232300</v>
      </c>
      <c r="E1941" s="0" t="e">
        <f>+7 (3512) 100233
+7 (383) 2331044
+7 (384) 2335846
+7 (384) 2732856
+7 (384) 2767390
+7 (3843) 201819
+7 (385) 2555903
+7 (38568) 59088
+7 (394) 2256426
+7 (411) 2429685
+7 (421) 2658403
+7 (3012) 219113
+7 (3022) 350677
+7 (382) 2560796
+7 (4232) 22742</f>
        <v>#NAME?</v>
      </c>
      <c r="F1941" s="5" t="s">
        <v>31188</v>
      </c>
      <c r="G1941" s="5" t="s">
        <v>31189</v>
      </c>
      <c r="H1941" s="26">
        <v>12</v>
      </c>
      <c r="I1941" s="5" t="s">
        <v>31190</v>
      </c>
      <c r="J1941" s="5" t="s">
        <v>31191</v>
      </c>
      <c r="K1941" s="5" t="s">
        <v>344</v>
      </c>
      <c r="L1941" s="5" t="s">
        <v>31192</v>
      </c>
      <c r="M1941" s="27">
        <v>8866192</v>
      </c>
      <c r="N1941" s="5" t="s">
        <v>52373</v>
      </c>
      <c r="O1941" s="5" t="str">
        <v>2540167061</v>
      </c>
      <c r="P1941" s="27">
        <v>1785608</v>
      </c>
      <c r="Q1941" s="5" t="s">
        <v>52374</v>
      </c>
      <c r="R1941" s="5"/>
      <c r="S1941" s="5" t="s">
        <v>52375</v>
      </c>
      <c r="T1941" s="28">
        <v>67988136000</v>
      </c>
      <c r="U1941" s="28"/>
      <c r="V1941" s="28">
        <v>43103007000</v>
      </c>
      <c r="W1941" s="28">
        <v>2139000</v>
      </c>
      <c r="X1941" s="28">
        <v>12211636000</v>
      </c>
      <c r="Y1941" s="28">
        <v>295750589000</v>
      </c>
      <c r="Z1941" s="28">
        <v>142682769000</v>
      </c>
      <c r="AA1941" s="28"/>
      <c r="AB1941" s="28">
        <v>18020550000</v>
      </c>
      <c r="AC1941" s="28">
        <v>99194724000</v>
      </c>
      <c r="AD1941" s="28">
        <v>143588102000</v>
      </c>
      <c r="AE1941" s="28">
        <v>597047065000</v>
      </c>
      <c r="AF1941" s="28">
        <v>37644940000</v>
      </c>
      <c r="AG1941" s="11"/>
    </row>
    <row r="1942">
      <c r="A1942" s="7" t="s">
        <v>3643</v>
      </c>
      <c r="B1942" s="5" t="s">
        <v>11630</v>
      </c>
      <c r="C1942" s="5" t="s">
        <v>19480</v>
      </c>
      <c r="D1942" s="5" t="str">
        <v>773303904903</v>
      </c>
      <c r="E1942" s="0" t="e">
        <f>+7 (499) 7254468
+7 (499) 9510486</f>
        <v>#NAME?</v>
      </c>
      <c r="F1942" s="5"/>
      <c r="G1942" s="5"/>
      <c r="H1942" s="26">
        <v>12</v>
      </c>
      <c r="I1942" s="5" t="s">
        <v>31193</v>
      </c>
      <c r="J1942" s="5" t="s">
        <v>28030</v>
      </c>
      <c r="K1942" s="5" t="s">
        <v>344</v>
      </c>
      <c r="L1942" s="5" t="s">
        <v>31194</v>
      </c>
      <c r="M1942" s="27"/>
      <c r="N1942" s="5"/>
      <c r="O1942" s="5" t="str">
        <v>7724774770</v>
      </c>
      <c r="P1942" s="27">
        <v>10000</v>
      </c>
      <c r="Q1942" s="5"/>
      <c r="R1942" s="5"/>
      <c r="S1942" s="5" t="s">
        <v>49029</v>
      </c>
      <c r="T1942" s="28">
        <v>158173000</v>
      </c>
      <c r="U1942" s="28"/>
      <c r="V1942" s="28">
        <v>2299578000</v>
      </c>
      <c r="W1942" s="28"/>
      <c r="X1942" s="28">
        <v>4730000</v>
      </c>
      <c r="Y1942" s="28">
        <v>2553501000</v>
      </c>
      <c r="Z1942" s="28">
        <v>402436000</v>
      </c>
      <c r="AA1942" s="28"/>
      <c r="AB1942" s="28"/>
      <c r="AC1942" s="28">
        <v>1933393000</v>
      </c>
      <c r="AD1942" s="28">
        <v>437466000</v>
      </c>
      <c r="AE1942" s="28">
        <v>5303152000</v>
      </c>
      <c r="AF1942" s="28">
        <v>390800000</v>
      </c>
      <c r="AG1942" s="11"/>
    </row>
    <row r="1943">
      <c r="A1943" s="7" t="s">
        <v>3644</v>
      </c>
      <c r="B1943" s="5" t="s">
        <v>11631</v>
      </c>
      <c r="C1943" s="5" t="s">
        <v>19481</v>
      </c>
      <c r="D1943" s="5" t="str">
        <v>482600243000</v>
      </c>
      <c r="E1943" s="0" t="e">
        <f>+7 (47462) 38790
+7 (47462) 25594
+7 (47462) 25596
+7 (47462) 25598
+7 (47462) 38595
+7 (920) 5461888</f>
        <v>#NAME?</v>
      </c>
      <c r="F1943" s="5" t="s">
        <v>31195</v>
      </c>
      <c r="G1943" s="5" t="s">
        <v>31196</v>
      </c>
      <c r="H1943" s="26">
        <v>20</v>
      </c>
      <c r="I1943" s="5" t="s">
        <v>31197</v>
      </c>
      <c r="J1943" s="5" t="s">
        <v>725</v>
      </c>
      <c r="K1943" s="5" t="s">
        <v>344</v>
      </c>
      <c r="L1943" s="5" t="s">
        <v>31198</v>
      </c>
      <c r="M1943" s="27">
        <v>3582266</v>
      </c>
      <c r="N1943" s="5"/>
      <c r="O1943" s="5" t="str">
        <v>4804005574</v>
      </c>
      <c r="P1943" s="27">
        <v>160039900</v>
      </c>
      <c r="Q1943" s="5" t="s">
        <v>49009</v>
      </c>
      <c r="R1943" s="5" t="s">
        <v>52376</v>
      </c>
      <c r="S1943" s="5" t="s">
        <v>49066</v>
      </c>
      <c r="T1943" s="28">
        <v>2649924000</v>
      </c>
      <c r="U1943" s="28"/>
      <c r="V1943" s="28">
        <v>2127333000</v>
      </c>
      <c r="W1943" s="28">
        <v>2331258000</v>
      </c>
      <c r="X1943" s="28">
        <v>166214000</v>
      </c>
      <c r="Y1943" s="28">
        <v>10021708000</v>
      </c>
      <c r="Z1943" s="28">
        <v>6573175000</v>
      </c>
      <c r="AA1943" s="28">
        <v>128809000</v>
      </c>
      <c r="AB1943" s="28">
        <v>1800000000</v>
      </c>
      <c r="AC1943" s="28">
        <v>2298962000</v>
      </c>
      <c r="AD1943" s="28">
        <v>6970191000</v>
      </c>
      <c r="AE1943" s="28">
        <v>6032370000</v>
      </c>
      <c r="AF1943" s="28">
        <v>2088263000</v>
      </c>
      <c r="AG1943" s="11"/>
    </row>
    <row r="1944">
      <c r="A1944" s="7" t="s">
        <v>3645</v>
      </c>
      <c r="B1944" s="5" t="s">
        <v>11632</v>
      </c>
      <c r="C1944" s="5" t="s">
        <v>19482</v>
      </c>
      <c r="D1944" s="5" t="str">
        <v>110602513104</v>
      </c>
      <c r="E1944" s="0" t="e">
        <f>+7 (800) 3020060
+7 (800) 3330060
+7 (8212) 205701
+7 (912) 1926303
+7 (964) 447668
+7 (985) 1787477</f>
        <v>#NAME?</v>
      </c>
      <c r="F1944" s="5" t="s">
        <v>31199</v>
      </c>
      <c r="G1944" s="5"/>
      <c r="H1944" s="26">
        <v>10</v>
      </c>
      <c r="I1944" s="5" t="s">
        <v>31200</v>
      </c>
      <c r="J1944" s="5" t="s">
        <v>502</v>
      </c>
      <c r="K1944" s="5" t="s">
        <v>344</v>
      </c>
      <c r="L1944" s="5" t="s">
        <v>31201</v>
      </c>
      <c r="M1944" s="27"/>
      <c r="N1944" s="5"/>
      <c r="O1944" s="5" t="str">
        <v>1101140415</v>
      </c>
      <c r="P1944" s="27">
        <v>10000</v>
      </c>
      <c r="Q1944" s="5"/>
      <c r="R1944" s="5"/>
      <c r="S1944" s="5" t="s">
        <v>52199</v>
      </c>
      <c r="T1944" s="28">
        <v>413099000</v>
      </c>
      <c r="U1944" s="28">
        <v>442418000</v>
      </c>
      <c r="V1944" s="28">
        <v>876644000</v>
      </c>
      <c r="W1944" s="28"/>
      <c r="X1944" s="28">
        <v>202409000</v>
      </c>
      <c r="Y1944" s="28">
        <v>2048737000</v>
      </c>
      <c r="Z1944" s="28">
        <v>1136552000</v>
      </c>
      <c r="AA1944" s="28"/>
      <c r="AB1944" s="28">
        <v>35403000</v>
      </c>
      <c r="AC1944" s="28">
        <v>650349000</v>
      </c>
      <c r="AD1944" s="28">
        <v>1136562000</v>
      </c>
      <c r="AE1944" s="28">
        <v>4193481000</v>
      </c>
      <c r="AF1944" s="28">
        <v>459125000</v>
      </c>
      <c r="AG1944" s="11"/>
    </row>
    <row r="1945">
      <c r="A1945" s="7" t="s">
        <v>3646</v>
      </c>
      <c r="B1945" s="5" t="s">
        <v>11633</v>
      </c>
      <c r="C1945" s="5" t="s">
        <v>19483</v>
      </c>
      <c r="D1945" s="5" t="str">
        <v>190206713527</v>
      </c>
      <c r="E1945" s="0" t="e">
        <f>+7 (391) 2555082
+7 (950) 4225633
+7 (391) 2040333
+7 (391) 2050879
+7 (391) 2054407
+7 (391) 2054452
+7 (391) 2320924
+7 (391) 2411846
+7 (391) 2555121
+7 (391) 2555125
+7 (391) 2948661
+7 (391) 2953556
+7 (39198) 91096
+7 (861) 2278305
+7 (904) 8909349</f>
        <v>#NAME?</v>
      </c>
      <c r="F1945" s="5" t="s">
        <v>31202</v>
      </c>
      <c r="G1945" s="5"/>
      <c r="H1945" s="26">
        <v>20.5</v>
      </c>
      <c r="I1945" s="5" t="s">
        <v>31203</v>
      </c>
      <c r="J1945" s="5" t="s">
        <v>27291</v>
      </c>
      <c r="K1945" s="5" t="s">
        <v>344</v>
      </c>
      <c r="L1945" s="5" t="s">
        <v>31204</v>
      </c>
      <c r="M1945" s="27">
        <v>161777</v>
      </c>
      <c r="N1945" s="5" t="s">
        <v>52377</v>
      </c>
      <c r="O1945" s="5" t="str">
        <v>2465071745</v>
      </c>
      <c r="P1945" s="27">
        <v>30000000</v>
      </c>
      <c r="Q1945" s="5" t="s">
        <v>49057</v>
      </c>
      <c r="R1945" s="5"/>
      <c r="S1945" s="5" t="s">
        <v>52378</v>
      </c>
      <c r="T1945" s="28">
        <v>1607517000</v>
      </c>
      <c r="U1945" s="28"/>
      <c r="V1945" s="28">
        <v>681222000</v>
      </c>
      <c r="W1945" s="28"/>
      <c r="X1945" s="28">
        <v>21260000</v>
      </c>
      <c r="Y1945" s="28">
        <v>4730341000</v>
      </c>
      <c r="Z1945" s="28">
        <v>1709869000</v>
      </c>
      <c r="AA1945" s="28">
        <v>1177730000</v>
      </c>
      <c r="AB1945" s="28">
        <v>779658000</v>
      </c>
      <c r="AC1945" s="28">
        <v>1508643000</v>
      </c>
      <c r="AD1945" s="28">
        <v>1739869000</v>
      </c>
      <c r="AE1945" s="28">
        <v>4229841000</v>
      </c>
      <c r="AF1945" s="28">
        <v>46184000</v>
      </c>
      <c r="AG1945" s="11"/>
    </row>
    <row r="1946">
      <c r="A1946" s="7" t="s">
        <v>3647</v>
      </c>
      <c r="B1946" s="5" t="s">
        <v>11634</v>
      </c>
      <c r="C1946" s="5" t="s">
        <v>19484</v>
      </c>
      <c r="D1946" s="5"/>
      <c r="E1946" s="0" t="e">
        <f>+7 (903) 7233789
+7 (495) 2460330
+7 (812) 3273929
+7 (916) 5808613
+7 (926) 1115666</f>
        <v>#NAME?</v>
      </c>
      <c r="F1946" s="5" t="s">
        <v>31205</v>
      </c>
      <c r="G1946" s="5"/>
      <c r="H1946" s="26">
        <v>8</v>
      </c>
      <c r="I1946" s="5" t="s">
        <v>31206</v>
      </c>
      <c r="J1946" s="5" t="s">
        <v>25938</v>
      </c>
      <c r="K1946" s="5" t="s">
        <v>344</v>
      </c>
      <c r="L1946" s="5"/>
      <c r="M1946" s="27"/>
      <c r="N1946" s="5"/>
      <c r="O1946" s="5" t="str">
        <v>4803000125</v>
      </c>
      <c r="P1946" s="27">
        <v>282550000</v>
      </c>
      <c r="Q1946" s="5" t="s">
        <v>49009</v>
      </c>
      <c r="R1946" s="5"/>
      <c r="S1946" s="5" t="s">
        <v>49066</v>
      </c>
      <c r="T1946" s="28">
        <v>24482000</v>
      </c>
      <c r="U1946" s="28"/>
      <c r="V1946" s="28">
        <v>2061513000</v>
      </c>
      <c r="W1946" s="28"/>
      <c r="X1946" s="28">
        <v>64302000</v>
      </c>
      <c r="Y1946" s="28">
        <v>2273363000</v>
      </c>
      <c r="Z1946" s="28">
        <v>-211959000</v>
      </c>
      <c r="AA1946" s="28">
        <v>511969000</v>
      </c>
      <c r="AB1946" s="28"/>
      <c r="AC1946" s="28">
        <v>1688404000</v>
      </c>
      <c r="AD1946" s="28">
        <v>70591000</v>
      </c>
      <c r="AE1946" s="28">
        <v>3735546000</v>
      </c>
      <c r="AF1946" s="28">
        <v>6845000</v>
      </c>
      <c r="AG1946" s="11"/>
    </row>
    <row r="1947">
      <c r="A1947" s="7" t="s">
        <v>3648</v>
      </c>
      <c r="B1947" s="5" t="s">
        <v>11635</v>
      </c>
      <c r="C1947" s="5" t="s">
        <v>19485</v>
      </c>
      <c r="D1947" s="5" t="str">
        <v>344597189490</v>
      </c>
      <c r="E1947" s="0" t="e">
        <f>+7 (917) 3301233
+7 (919) 7448139
+7 (919) 7474100</f>
        <v>#NAME?</v>
      </c>
      <c r="F1947" s="5"/>
      <c r="G1947" s="5"/>
      <c r="H1947" s="26">
        <v>5.5</v>
      </c>
      <c r="I1947" s="5" t="s">
        <v>31207</v>
      </c>
      <c r="J1947" s="5" t="s">
        <v>31208</v>
      </c>
      <c r="K1947" s="5" t="s">
        <v>344</v>
      </c>
      <c r="L1947" s="5" t="s">
        <v>31209</v>
      </c>
      <c r="M1947" s="27"/>
      <c r="N1947" s="5"/>
      <c r="O1947" s="5" t="str">
        <v>2634100369</v>
      </c>
      <c r="P1947" s="27">
        <v>10000</v>
      </c>
      <c r="Q1947" s="5"/>
      <c r="R1947" s="5"/>
      <c r="S1947" s="5" t="s">
        <v>49029</v>
      </c>
      <c r="T1947" s="28">
        <v>4686157000</v>
      </c>
      <c r="U1947" s="28">
        <v>281350000</v>
      </c>
      <c r="V1947" s="28">
        <v>741281000</v>
      </c>
      <c r="W1947" s="28">
        <v>70338000</v>
      </c>
      <c r="X1947" s="28">
        <v>3422579000</v>
      </c>
      <c r="Y1947" s="28">
        <v>12900595000</v>
      </c>
      <c r="Z1947" s="28">
        <v>1495496000</v>
      </c>
      <c r="AA1947" s="28"/>
      <c r="AB1947" s="28">
        <v>3947016000</v>
      </c>
      <c r="AC1947" s="28">
        <v>7955285000</v>
      </c>
      <c r="AD1947" s="28">
        <v>3919351000</v>
      </c>
      <c r="AE1947" s="28">
        <v>5426507000</v>
      </c>
      <c r="AF1947" s="28">
        <v>1792964000</v>
      </c>
      <c r="AG1947" s="11"/>
    </row>
    <row r="1948">
      <c r="A1948" s="7" t="s">
        <v>3649</v>
      </c>
      <c r="B1948" s="5" t="s">
        <v>11636</v>
      </c>
      <c r="C1948" s="5" t="s">
        <v>19486</v>
      </c>
      <c r="D1948" s="5" t="str">
        <v>781009629638</v>
      </c>
      <c r="E1948" s="0" t="e">
        <f>+7 (495) 1505189</f>
        <v>#NAME?</v>
      </c>
      <c r="F1948" s="5" t="s">
        <v>31210</v>
      </c>
      <c r="G1948" s="5"/>
      <c r="H1948" s="26">
        <v>7.5</v>
      </c>
      <c r="I1948" s="5" t="s">
        <v>31211</v>
      </c>
      <c r="J1948" s="5" t="s">
        <v>31212</v>
      </c>
      <c r="K1948" s="5" t="s">
        <v>344</v>
      </c>
      <c r="L1948" s="5" t="s">
        <v>31213</v>
      </c>
      <c r="M1948" s="27">
        <v>10008684</v>
      </c>
      <c r="N1948" s="5" t="s">
        <v>52379</v>
      </c>
      <c r="O1948" s="5" t="str">
        <v>7731290450</v>
      </c>
      <c r="P1948" s="27">
        <v>109000</v>
      </c>
      <c r="Q1948" s="5" t="s">
        <v>52380</v>
      </c>
      <c r="R1948" s="5"/>
      <c r="S1948" s="5" t="s">
        <v>52381</v>
      </c>
      <c r="T1948" s="28">
        <v>23597000</v>
      </c>
      <c r="U1948" s="28"/>
      <c r="V1948" s="28">
        <v>405208000</v>
      </c>
      <c r="W1948" s="28"/>
      <c r="X1948" s="28">
        <v>122089000</v>
      </c>
      <c r="Y1948" s="28">
        <v>1092529000</v>
      </c>
      <c r="Z1948" s="28">
        <v>298590000</v>
      </c>
      <c r="AA1948" s="28"/>
      <c r="AB1948" s="28">
        <v>604776000</v>
      </c>
      <c r="AC1948" s="28">
        <v>790091000</v>
      </c>
      <c r="AD1948" s="28">
        <v>298699000</v>
      </c>
      <c r="AE1948" s="28">
        <v>3714690000</v>
      </c>
      <c r="AF1948" s="28">
        <v>134848000</v>
      </c>
      <c r="AG1948" s="11"/>
    </row>
    <row r="1949">
      <c r="A1949" s="7" t="s">
        <v>3650</v>
      </c>
      <c r="B1949" s="5" t="s">
        <v>11637</v>
      </c>
      <c r="C1949" s="5" t="s">
        <v>19487</v>
      </c>
      <c r="D1949" s="5" t="str">
        <v>772499873902</v>
      </c>
      <c r="E1949" s="0" t="e">
        <f>+7 (495) 1500160
+7 (495) 3571090
+7 (495) 4815555
+7 (495) 5653390
+7 (495) 6462500
+7 (499) 1104735
+7 (800) 5004073
+7 (800) 5550916
+7 (812) 3855095
+7 (816) 2224450
+7 (816) 2229609
+7 (903) 4449644</f>
        <v>#NAME?</v>
      </c>
      <c r="F1949" s="5" t="s">
        <v>31214</v>
      </c>
      <c r="G1949" s="5" t="s">
        <v>31215</v>
      </c>
      <c r="H1949" s="26">
        <v>24.5</v>
      </c>
      <c r="I1949" s="5" t="s">
        <v>31216</v>
      </c>
      <c r="J1949" s="5" t="s">
        <v>27983</v>
      </c>
      <c r="K1949" s="5" t="s">
        <v>344</v>
      </c>
      <c r="L1949" s="5" t="s">
        <v>31217</v>
      </c>
      <c r="M1949" s="27"/>
      <c r="N1949" s="5"/>
      <c r="O1949" s="5" t="str">
        <v>3302005748</v>
      </c>
      <c r="P1949" s="27">
        <v>5000000</v>
      </c>
      <c r="Q1949" s="5" t="s">
        <v>49009</v>
      </c>
      <c r="R1949" s="5"/>
      <c r="S1949" s="5" t="s">
        <v>51818</v>
      </c>
      <c r="T1949" s="28">
        <v>507517000</v>
      </c>
      <c r="U1949" s="28">
        <v>3061000</v>
      </c>
      <c r="V1949" s="28">
        <v>3418533000</v>
      </c>
      <c r="W1949" s="28"/>
      <c r="X1949" s="28">
        <v>72932000</v>
      </c>
      <c r="Y1949" s="28">
        <v>5588827000</v>
      </c>
      <c r="Z1949" s="28">
        <v>4641801000</v>
      </c>
      <c r="AA1949" s="28">
        <v>455135000</v>
      </c>
      <c r="AB1949" s="28"/>
      <c r="AC1949" s="28">
        <v>481451000</v>
      </c>
      <c r="AD1949" s="28">
        <v>4652220000</v>
      </c>
      <c r="AE1949" s="28">
        <v>12418669000</v>
      </c>
      <c r="AF1949" s="28">
        <v>537626000</v>
      </c>
      <c r="AG1949" s="11"/>
    </row>
    <row r="1950">
      <c r="A1950" s="7" t="s">
        <v>3651</v>
      </c>
      <c r="B1950" s="5" t="s">
        <v>11638</v>
      </c>
      <c r="C1950" s="5" t="s">
        <v>19488</v>
      </c>
      <c r="D1950" s="5"/>
      <c r="F1950" s="5" t="s">
        <v>31218</v>
      </c>
      <c r="G1950" s="5" t="s">
        <v>31219</v>
      </c>
      <c r="H1950" s="26">
        <v>7</v>
      </c>
      <c r="I1950" s="5" t="s">
        <v>31220</v>
      </c>
      <c r="J1950" s="5" t="s">
        <v>27174</v>
      </c>
      <c r="K1950" s="5" t="s">
        <v>380</v>
      </c>
      <c r="L1950" s="5"/>
      <c r="M1950" s="27"/>
      <c r="N1950" s="5"/>
      <c r="O1950" s="5" t="str">
        <v>7727290538</v>
      </c>
      <c r="P1950" s="27">
        <v>10000</v>
      </c>
      <c r="Q1950" s="5" t="s">
        <v>52382</v>
      </c>
      <c r="R1950" s="5"/>
      <c r="S1950" s="5" t="s">
        <v>52383</v>
      </c>
      <c r="T1950" s="28"/>
      <c r="U1950" s="28">
        <v>928835246000</v>
      </c>
      <c r="V1950" s="28">
        <v>11242652000</v>
      </c>
      <c r="W1950" s="28">
        <v>108929926000</v>
      </c>
      <c r="X1950" s="28">
        <v>38370030000</v>
      </c>
      <c r="Y1950" s="28">
        <v>1088806967000</v>
      </c>
      <c r="Z1950" s="28">
        <v>-40725000</v>
      </c>
      <c r="AA1950" s="28">
        <v>962996887000</v>
      </c>
      <c r="AB1950" s="28">
        <v>108929926000</v>
      </c>
      <c r="AC1950" s="28">
        <v>125803097000</v>
      </c>
      <c r="AD1950" s="28">
        <v>-8500000</v>
      </c>
      <c r="AE1950" s="28">
        <v>86075712000</v>
      </c>
      <c r="AF1950" s="28">
        <v>-21580000</v>
      </c>
      <c r="AG1950" s="11"/>
    </row>
    <row r="1951">
      <c r="A1951" s="7" t="s">
        <v>3652</v>
      </c>
      <c r="B1951" s="5" t="s">
        <v>11639</v>
      </c>
      <c r="C1951" s="5" t="s">
        <v>19489</v>
      </c>
      <c r="D1951" s="5" t="str">
        <v>771200348665</v>
      </c>
      <c r="E1951" s="0" t="e">
        <f>+7 (800) 5059345
+7 (401) 2641171
+7 (495) 2877727
+7 (495) 4070244
+7 (495) 4077271
+7 (495) 6636703
+7 (495) 6636704
+7 (812) 6124472</f>
        <v>#NAME?</v>
      </c>
      <c r="F1951" s="5" t="s">
        <v>31221</v>
      </c>
      <c r="G1951" s="5" t="s">
        <v>31222</v>
      </c>
      <c r="H1951" s="26">
        <v>15</v>
      </c>
      <c r="I1951" s="5" t="s">
        <v>31223</v>
      </c>
      <c r="J1951" s="5" t="s">
        <v>31224</v>
      </c>
      <c r="K1951" s="5" t="s">
        <v>344</v>
      </c>
      <c r="L1951" s="5"/>
      <c r="M1951" s="27">
        <v>18018551</v>
      </c>
      <c r="N1951" s="5" t="s">
        <v>52384</v>
      </c>
      <c r="O1951" s="5" t="str">
        <v>7709770002</v>
      </c>
      <c r="P1951" s="27">
        <v>10000000</v>
      </c>
      <c r="Q1951" s="5" t="s">
        <v>49021</v>
      </c>
      <c r="R1951" s="5"/>
      <c r="S1951" s="5" t="s">
        <v>52385</v>
      </c>
      <c r="T1951" s="28">
        <v>14529058000</v>
      </c>
      <c r="U1951" s="28"/>
      <c r="V1951" s="28">
        <v>993285000</v>
      </c>
      <c r="W1951" s="28">
        <v>1660000000</v>
      </c>
      <c r="X1951" s="28">
        <v>1158414000</v>
      </c>
      <c r="Y1951" s="28">
        <v>28657508000</v>
      </c>
      <c r="Z1951" s="28">
        <v>3356949000</v>
      </c>
      <c r="AA1951" s="28">
        <v>274472000</v>
      </c>
      <c r="AB1951" s="28"/>
      <c r="AC1951" s="28">
        <v>12766336000</v>
      </c>
      <c r="AD1951" s="28">
        <v>3831755000</v>
      </c>
      <c r="AE1951" s="28">
        <v>57396706000</v>
      </c>
      <c r="AF1951" s="28">
        <v>1603949000</v>
      </c>
      <c r="AG1951" s="11"/>
    </row>
    <row r="1952">
      <c r="A1952" s="7" t="s">
        <v>3653</v>
      </c>
      <c r="B1952" s="5" t="s">
        <v>11640</v>
      </c>
      <c r="C1952" s="5" t="s">
        <v>19490</v>
      </c>
      <c r="D1952" s="5" t="str">
        <v>525811018653</v>
      </c>
      <c r="E1952" s="0" t="e">
        <f>+7 (862) 5550777
+7 (800) 4440777
+7 (800) 4440888
+7 (800) 4440999
+7 (8622) 200777
+7 (8622) 965220</f>
        <v>#NAME?</v>
      </c>
      <c r="F1952" s="5" t="s">
        <v>31225</v>
      </c>
      <c r="G1952" s="5" t="s">
        <v>31226</v>
      </c>
      <c r="H1952" s="26">
        <v>7</v>
      </c>
      <c r="I1952" s="5" t="s">
        <v>31227</v>
      </c>
      <c r="J1952" s="5" t="s">
        <v>28053</v>
      </c>
      <c r="K1952" s="5" t="s">
        <v>344</v>
      </c>
      <c r="L1952" s="5" t="s">
        <v>31228</v>
      </c>
      <c r="M1952" s="27"/>
      <c r="N1952" s="5"/>
      <c r="O1952" s="5" t="str">
        <v>2317079557</v>
      </c>
      <c r="P1952" s="27">
        <v>645048307</v>
      </c>
      <c r="Q1952" s="5" t="s">
        <v>49009</v>
      </c>
      <c r="R1952" s="5"/>
      <c r="S1952" s="5" t="s">
        <v>49066</v>
      </c>
      <c r="T1952" s="28">
        <v>9880252000</v>
      </c>
      <c r="U1952" s="28">
        <v>268000000</v>
      </c>
      <c r="V1952" s="28">
        <v>483321000</v>
      </c>
      <c r="W1952" s="28"/>
      <c r="X1952" s="28">
        <v>639747000</v>
      </c>
      <c r="Y1952" s="28">
        <v>11923333000</v>
      </c>
      <c r="Z1952" s="28">
        <v>1740465000</v>
      </c>
      <c r="AA1952" s="28">
        <v>1788935000</v>
      </c>
      <c r="AB1952" s="28">
        <v>1700031000</v>
      </c>
      <c r="AC1952" s="28">
        <v>2314474000</v>
      </c>
      <c r="AD1952" s="28">
        <v>3283520000</v>
      </c>
      <c r="AE1952" s="28">
        <v>8325045000</v>
      </c>
      <c r="AF1952" s="28">
        <v>1077367000</v>
      </c>
      <c r="AG1952" s="11"/>
    </row>
    <row r="1953">
      <c r="A1953" s="7" t="s">
        <v>3654</v>
      </c>
      <c r="B1953" s="5" t="s">
        <v>11641</v>
      </c>
      <c r="C1953" s="5" t="s">
        <v>19491</v>
      </c>
      <c r="D1953" s="5" t="str">
        <v>501006596956</v>
      </c>
      <c r="E1953" s="0" t="e">
        <f>+7 (985) 8263202
+7 (495) 6480165
+7 (800) 7709999
+7 (910) 4325283</f>
        <v>#NAME?</v>
      </c>
      <c r="F1953" s="5" t="s">
        <v>31229</v>
      </c>
      <c r="G1953" s="5"/>
      <c r="H1953" s="26">
        <v>7.5</v>
      </c>
      <c r="I1953" s="5" t="s">
        <v>31230</v>
      </c>
      <c r="J1953" s="5" t="s">
        <v>881</v>
      </c>
      <c r="K1953" s="5" t="s">
        <v>344</v>
      </c>
      <c r="L1953" s="5" t="s">
        <v>31231</v>
      </c>
      <c r="M1953" s="27"/>
      <c r="N1953" s="5" t="s">
        <v>52386</v>
      </c>
      <c r="O1953" s="5" t="str">
        <v>7736249247</v>
      </c>
      <c r="P1953" s="27">
        <v>485000000</v>
      </c>
      <c r="Q1953" s="5" t="s">
        <v>52387</v>
      </c>
      <c r="R1953" s="5"/>
      <c r="S1953" s="5" t="s">
        <v>50205</v>
      </c>
      <c r="T1953" s="28">
        <v>8671000</v>
      </c>
      <c r="U1953" s="28"/>
      <c r="V1953" s="28">
        <v>589384000</v>
      </c>
      <c r="W1953" s="28"/>
      <c r="X1953" s="28">
        <v>100081971000</v>
      </c>
      <c r="Y1953" s="28">
        <v>101794245000</v>
      </c>
      <c r="Z1953" s="28">
        <v>7001510000</v>
      </c>
      <c r="AA1953" s="28"/>
      <c r="AB1953" s="28"/>
      <c r="AC1953" s="28">
        <v>94304319000</v>
      </c>
      <c r="AD1953" s="28">
        <v>7486510000</v>
      </c>
      <c r="AE1953" s="28">
        <v>13939137000</v>
      </c>
      <c r="AF1953" s="28">
        <v>7284833000</v>
      </c>
      <c r="AG1953" s="11"/>
    </row>
    <row r="1954">
      <c r="A1954" s="7" t="s">
        <v>3655</v>
      </c>
      <c r="B1954" s="5" t="s">
        <v>11642</v>
      </c>
      <c r="C1954" s="5" t="s">
        <v>19492</v>
      </c>
      <c r="D1954" s="5" t="str">
        <v>781115129108</v>
      </c>
      <c r="E1954" s="0" t="e">
        <f>+7 (8432) 465500
+7 (987) 2060203
+7 (855) 2471806
+7 (855) 2778989</f>
        <v>#NAME?</v>
      </c>
      <c r="F1954" s="5" t="s">
        <v>31232</v>
      </c>
      <c r="G1954" s="5"/>
      <c r="H1954" s="26">
        <v>14.5</v>
      </c>
      <c r="I1954" s="5" t="s">
        <v>31233</v>
      </c>
      <c r="J1954" s="5" t="s">
        <v>364</v>
      </c>
      <c r="K1954" s="5" t="s">
        <v>355</v>
      </c>
      <c r="L1954" s="5"/>
      <c r="M1954" s="27">
        <v>172699</v>
      </c>
      <c r="N1954" s="5" t="s">
        <v>49787</v>
      </c>
      <c r="O1954" s="5" t="str">
        <v>1650178071</v>
      </c>
      <c r="P1954" s="27">
        <v>20000</v>
      </c>
      <c r="Q1954" s="5" t="s">
        <v>52388</v>
      </c>
      <c r="R1954" s="5"/>
      <c r="S1954" s="5" t="s">
        <v>52389</v>
      </c>
      <c r="T1954" s="28">
        <v>126400000</v>
      </c>
      <c r="U1954" s="28"/>
      <c r="V1954" s="28">
        <v>602797000</v>
      </c>
      <c r="W1954" s="28"/>
      <c r="X1954" s="28">
        <v>108866000</v>
      </c>
      <c r="Y1954" s="28">
        <v>1275722000</v>
      </c>
      <c r="Z1954" s="28">
        <v>93137000</v>
      </c>
      <c r="AA1954" s="28"/>
      <c r="AB1954" s="28"/>
      <c r="AC1954" s="28">
        <v>1173569000</v>
      </c>
      <c r="AD1954" s="28">
        <v>93157000</v>
      </c>
      <c r="AE1954" s="28">
        <v>3131973000</v>
      </c>
      <c r="AF1954" s="28">
        <v>-29154000</v>
      </c>
      <c r="AG1954" s="11"/>
    </row>
    <row r="1955">
      <c r="A1955" s="7" t="s">
        <v>3656</v>
      </c>
      <c r="B1955" s="5" t="s">
        <v>11643</v>
      </c>
      <c r="C1955" s="5" t="s">
        <v>19493</v>
      </c>
      <c r="D1955" s="5" t="str">
        <v>505012161220</v>
      </c>
      <c r="E1955" s="0" t="e">
        <f>+7 (495) 5040224
+7 (495) 9678315
+7 (495) 3633063
+7 (495) 7878635
+7 (495) 9678463
+7 (495) 9678497
+7 (495) 9678840</f>
        <v>#NAME?</v>
      </c>
      <c r="F1955" s="5" t="s">
        <v>31234</v>
      </c>
      <c r="G1955" s="5" t="s">
        <v>31235</v>
      </c>
      <c r="H1955" s="26">
        <v>8</v>
      </c>
      <c r="I1955" s="5" t="s">
        <v>31236</v>
      </c>
      <c r="J1955" s="5" t="s">
        <v>31237</v>
      </c>
      <c r="K1955" s="5" t="s">
        <v>344</v>
      </c>
      <c r="L1955" s="5" t="s">
        <v>31238</v>
      </c>
      <c r="M1955" s="27">
        <v>6520935</v>
      </c>
      <c r="N1955" s="5" t="s">
        <v>52390</v>
      </c>
      <c r="O1955" s="5" t="str">
        <v>5009097148</v>
      </c>
      <c r="P1955" s="27">
        <v>10000000</v>
      </c>
      <c r="Q1955" s="5" t="s">
        <v>52391</v>
      </c>
      <c r="R1955" s="5"/>
      <c r="S1955" s="5" t="s">
        <v>49271</v>
      </c>
      <c r="T1955" s="28">
        <v>145502000</v>
      </c>
      <c r="U1955" s="28">
        <v>680000000</v>
      </c>
      <c r="V1955" s="28">
        <v>3389402000</v>
      </c>
      <c r="W1955" s="28"/>
      <c r="X1955" s="28">
        <v>5337000</v>
      </c>
      <c r="Y1955" s="28">
        <v>4442034000</v>
      </c>
      <c r="Z1955" s="28">
        <v>1574259000</v>
      </c>
      <c r="AA1955" s="28"/>
      <c r="AB1955" s="28"/>
      <c r="AC1955" s="28">
        <v>2846666000</v>
      </c>
      <c r="AD1955" s="28">
        <v>1584260000</v>
      </c>
      <c r="AE1955" s="28">
        <v>4568000000</v>
      </c>
      <c r="AF1955" s="28">
        <v>-105126000</v>
      </c>
      <c r="AG1955" s="11"/>
    </row>
    <row r="1956">
      <c r="A1956" s="7" t="s">
        <v>3657</v>
      </c>
      <c r="B1956" s="5" t="s">
        <v>11644</v>
      </c>
      <c r="C1956" s="5" t="s">
        <v>19494</v>
      </c>
      <c r="D1956" s="5" t="str">
        <v>774332423353</v>
      </c>
      <c r="E1956" s="0" t="e">
        <f>+7 (495) 7894796</f>
        <v>#NAME?</v>
      </c>
      <c r="F1956" s="5" t="s">
        <v>31239</v>
      </c>
      <c r="G1956" s="5" t="s">
        <v>31240</v>
      </c>
      <c r="H1956" s="26">
        <v>9.5</v>
      </c>
      <c r="I1956" s="5" t="s">
        <v>31241</v>
      </c>
      <c r="J1956" s="5" t="s">
        <v>364</v>
      </c>
      <c r="K1956" s="5" t="s">
        <v>380</v>
      </c>
      <c r="L1956" s="5" t="s">
        <v>31242</v>
      </c>
      <c r="M1956" s="27">
        <v>67318885</v>
      </c>
      <c r="N1956" s="5"/>
      <c r="O1956" s="5" t="str">
        <v>5038100099</v>
      </c>
      <c r="P1956" s="27">
        <v>1000000</v>
      </c>
      <c r="Q1956" s="5" t="s">
        <v>1449</v>
      </c>
      <c r="R1956" s="5" t="s">
        <v>52392</v>
      </c>
      <c r="S1956" s="5" t="s">
        <v>52393</v>
      </c>
      <c r="T1956" s="28">
        <v>560606000</v>
      </c>
      <c r="U1956" s="28">
        <v>234154000</v>
      </c>
      <c r="V1956" s="28">
        <v>2302694000</v>
      </c>
      <c r="W1956" s="28"/>
      <c r="X1956" s="28">
        <v>368000</v>
      </c>
      <c r="Y1956" s="28">
        <v>4432740000</v>
      </c>
      <c r="Z1956" s="28">
        <v>132137000</v>
      </c>
      <c r="AA1956" s="28"/>
      <c r="AB1956" s="28">
        <v>388857000</v>
      </c>
      <c r="AC1956" s="28">
        <v>3628382000</v>
      </c>
      <c r="AD1956" s="28">
        <v>425210000</v>
      </c>
      <c r="AE1956" s="28">
        <v>5382567000</v>
      </c>
      <c r="AF1956" s="28">
        <v>19667000</v>
      </c>
      <c r="AG1956" s="11"/>
    </row>
    <row r="1957">
      <c r="A1957" s="7" t="s">
        <v>3658</v>
      </c>
      <c r="B1957" s="5" t="s">
        <v>11645</v>
      </c>
      <c r="C1957" s="5" t="s">
        <v>19495</v>
      </c>
      <c r="D1957" s="5" t="str">
        <v>774332870305</v>
      </c>
      <c r="E1957" s="0" t="e">
        <f>+7 (964) 5783888
+7 (495) 1368448
+7 (49679) 34420
+7 (926) 3587102</f>
        <v>#NAME?</v>
      </c>
      <c r="F1957" s="5" t="s">
        <v>31243</v>
      </c>
      <c r="G1957" s="5"/>
      <c r="H1957" s="26">
        <v>8.5</v>
      </c>
      <c r="I1957" s="5" t="s">
        <v>31244</v>
      </c>
      <c r="J1957" s="5" t="s">
        <v>27776</v>
      </c>
      <c r="K1957" s="5" t="s">
        <v>355</v>
      </c>
      <c r="L1957" s="5"/>
      <c r="M1957" s="27">
        <v>3733543</v>
      </c>
      <c r="N1957" s="5" t="s">
        <v>50908</v>
      </c>
      <c r="O1957" s="5" t="str">
        <v>5009095550</v>
      </c>
      <c r="P1957" s="27">
        <v>10000</v>
      </c>
      <c r="Q1957" s="5" t="s">
        <v>52395</v>
      </c>
      <c r="R1957" s="5"/>
      <c r="S1957" s="5" t="s">
        <v>52396</v>
      </c>
      <c r="T1957" s="28">
        <v>6255985000</v>
      </c>
      <c r="U1957" s="28"/>
      <c r="V1957" s="28">
        <v>2261878000</v>
      </c>
      <c r="W1957" s="28">
        <v>138486000</v>
      </c>
      <c r="X1957" s="28">
        <v>89552000</v>
      </c>
      <c r="Y1957" s="28">
        <v>9289171000</v>
      </c>
      <c r="Z1957" s="28">
        <v>-50903000</v>
      </c>
      <c r="AA1957" s="28">
        <v>1842974000</v>
      </c>
      <c r="AB1957" s="28">
        <v>14230000</v>
      </c>
      <c r="AC1957" s="28">
        <v>839889000</v>
      </c>
      <c r="AD1957" s="28">
        <v>790404000</v>
      </c>
      <c r="AE1957" s="28">
        <v>9111506000</v>
      </c>
      <c r="AF1957" s="28">
        <v>606921000</v>
      </c>
      <c r="AG1957" s="11"/>
    </row>
    <row r="1958">
      <c r="A1958" s="7" t="s">
        <v>3659</v>
      </c>
      <c r="B1958" s="5" t="s">
        <v>11646</v>
      </c>
      <c r="C1958" s="5" t="s">
        <v>19496</v>
      </c>
      <c r="D1958" s="5" t="str">
        <v>773507069464</v>
      </c>
      <c r="E1958" s="0" t="e">
        <f>+7 (495) 9255151</f>
        <v>#NAME?</v>
      </c>
      <c r="F1958" s="5"/>
      <c r="G1958" s="5"/>
      <c r="H1958" s="26">
        <v>10</v>
      </c>
      <c r="I1958" s="5" t="s">
        <v>31245</v>
      </c>
      <c r="J1958" s="5" t="s">
        <v>29291</v>
      </c>
      <c r="K1958" s="5" t="s">
        <v>344</v>
      </c>
      <c r="L1958" s="5" t="s">
        <v>31246</v>
      </c>
      <c r="M1958" s="27"/>
      <c r="N1958" s="5"/>
      <c r="O1958" s="5" t="str">
        <v>7723861117</v>
      </c>
      <c r="P1958" s="27">
        <v>10000</v>
      </c>
      <c r="Q1958" s="5" t="s">
        <v>49009</v>
      </c>
      <c r="R1958" s="5"/>
      <c r="S1958" s="5" t="s">
        <v>49066</v>
      </c>
      <c r="T1958" s="28"/>
      <c r="U1958" s="28"/>
      <c r="V1958" s="28">
        <v>316552000</v>
      </c>
      <c r="W1958" s="28">
        <v>849639000</v>
      </c>
      <c r="X1958" s="28">
        <v>2446000</v>
      </c>
      <c r="Y1958" s="28">
        <v>1645451000</v>
      </c>
      <c r="Z1958" s="28">
        <v>949881000</v>
      </c>
      <c r="AA1958" s="28"/>
      <c r="AB1958" s="28">
        <v>11000000</v>
      </c>
      <c r="AC1958" s="28">
        <v>695560000</v>
      </c>
      <c r="AD1958" s="28">
        <v>949891000</v>
      </c>
      <c r="AE1958" s="28">
        <v>6546422000</v>
      </c>
      <c r="AF1958" s="28">
        <v>488496000</v>
      </c>
      <c r="AG1958" s="11"/>
    </row>
    <row r="1959">
      <c r="A1959" s="7" t="s">
        <v>3660</v>
      </c>
      <c r="B1959" s="5" t="s">
        <v>11647</v>
      </c>
      <c r="C1959" s="5" t="s">
        <v>19497</v>
      </c>
      <c r="D1959" s="5" t="str">
        <v>616602588175</v>
      </c>
      <c r="E1959" s="0" t="e">
        <f>+7 (863) 2531944
+7 (863) 2640733</f>
        <v>#NAME?</v>
      </c>
      <c r="F1959" s="5"/>
      <c r="G1959" s="5"/>
      <c r="H1959" s="26">
        <v>26</v>
      </c>
      <c r="I1959" s="5" t="s">
        <v>31247</v>
      </c>
      <c r="J1959" s="5" t="s">
        <v>31248</v>
      </c>
      <c r="K1959" s="5" t="s">
        <v>355</v>
      </c>
      <c r="L1959" s="5" t="s">
        <v>31249</v>
      </c>
      <c r="M1959" s="27">
        <v>34828073</v>
      </c>
      <c r="N1959" s="5"/>
      <c r="O1959" s="5" t="str">
        <v>6166034622</v>
      </c>
      <c r="P1959" s="27">
        <v>1161150</v>
      </c>
      <c r="Q1959" s="5" t="s">
        <v>49009</v>
      </c>
      <c r="R1959" s="5"/>
      <c r="S1959" s="5" t="s">
        <v>49010</v>
      </c>
      <c r="T1959" s="28">
        <v>3460000</v>
      </c>
      <c r="U1959" s="28"/>
      <c r="V1959" s="28">
        <v>247888000</v>
      </c>
      <c r="W1959" s="28">
        <v>7500000</v>
      </c>
      <c r="X1959" s="28">
        <v>35894000</v>
      </c>
      <c r="Y1959" s="28">
        <v>448397000</v>
      </c>
      <c r="Z1959" s="28">
        <v>341651000</v>
      </c>
      <c r="AA1959" s="28">
        <v>30126000</v>
      </c>
      <c r="AB1959" s="28">
        <v>4516000</v>
      </c>
      <c r="AC1959" s="28">
        <v>70689000</v>
      </c>
      <c r="AD1959" s="28">
        <v>342813000</v>
      </c>
      <c r="AE1959" s="28">
        <v>4273052000</v>
      </c>
      <c r="AF1959" s="28">
        <v>34922000</v>
      </c>
      <c r="AG1959" s="11"/>
    </row>
    <row r="1960">
      <c r="A1960" s="7" t="s">
        <v>3661</v>
      </c>
      <c r="B1960" s="5" t="s">
        <v>11648</v>
      </c>
      <c r="C1960" s="5" t="s">
        <v>19498</v>
      </c>
      <c r="D1960" s="5" t="str">
        <v>616507881705</v>
      </c>
      <c r="F1960" s="5" t="s">
        <v>31250</v>
      </c>
      <c r="G1960" s="5"/>
      <c r="H1960" s="26">
        <v>30</v>
      </c>
      <c r="I1960" s="5" t="s">
        <v>31251</v>
      </c>
      <c r="J1960" s="5" t="s">
        <v>467</v>
      </c>
      <c r="K1960" s="5" t="s">
        <v>344</v>
      </c>
      <c r="L1960" s="5" t="s">
        <v>31252</v>
      </c>
      <c r="M1960" s="27"/>
      <c r="N1960" s="5" t="s">
        <v>52398</v>
      </c>
      <c r="O1960" s="5" t="str">
        <v>6163002069</v>
      </c>
      <c r="P1960" s="27">
        <v>24700</v>
      </c>
      <c r="Q1960" s="5" t="s">
        <v>52400</v>
      </c>
      <c r="R1960" s="5"/>
      <c r="S1960" s="5" t="s">
        <v>52401</v>
      </c>
      <c r="T1960" s="28">
        <v>3085105000</v>
      </c>
      <c r="U1960" s="28">
        <v>347320000</v>
      </c>
      <c r="V1960" s="28">
        <v>7837173000</v>
      </c>
      <c r="W1960" s="28">
        <v>7246581000</v>
      </c>
      <c r="X1960" s="28">
        <v>1895665000</v>
      </c>
      <c r="Y1960" s="28">
        <v>24237021000</v>
      </c>
      <c r="Z1960" s="28">
        <v>7632606000</v>
      </c>
      <c r="AA1960" s="28"/>
      <c r="AB1960" s="28">
        <v>3444248000</v>
      </c>
      <c r="AC1960" s="28">
        <v>15196182000</v>
      </c>
      <c r="AD1960" s="28">
        <v>7632637000</v>
      </c>
      <c r="AE1960" s="28">
        <v>31544894000</v>
      </c>
      <c r="AF1960" s="28">
        <v>3906005000</v>
      </c>
      <c r="AG1960" s="11"/>
    </row>
    <row r="1961">
      <c r="A1961" s="7" t="s">
        <v>3662</v>
      </c>
      <c r="B1961" s="5" t="s">
        <v>11649</v>
      </c>
      <c r="C1961" s="5" t="s">
        <v>19499</v>
      </c>
      <c r="D1961" s="5" t="str">
        <v>771579074117</v>
      </c>
      <c r="E1961" s="0" t="e">
        <f>+7 (86352) 58292
+7 (928) 1028240
+7 (928) 1731325
+7 (928) 6293679</f>
        <v>#NAME?</v>
      </c>
      <c r="F1961" s="5"/>
      <c r="G1961" s="5"/>
      <c r="H1961" s="26">
        <v>17</v>
      </c>
      <c r="I1961" s="5" t="s">
        <v>31253</v>
      </c>
      <c r="J1961" s="5" t="s">
        <v>26596</v>
      </c>
      <c r="K1961" s="5" t="s">
        <v>344</v>
      </c>
      <c r="L1961" s="5" t="s">
        <v>31254</v>
      </c>
      <c r="M1961" s="27"/>
      <c r="N1961" s="5"/>
      <c r="O1961" s="5" t="str">
        <v>6148556263</v>
      </c>
      <c r="P1961" s="27">
        <v>12500</v>
      </c>
      <c r="Q1961" s="5" t="s">
        <v>52402</v>
      </c>
      <c r="R1961" s="5"/>
      <c r="S1961" s="5" t="s">
        <v>49160</v>
      </c>
      <c r="T1961" s="28">
        <v>533830000</v>
      </c>
      <c r="U1961" s="28">
        <v>3000000</v>
      </c>
      <c r="V1961" s="28">
        <v>385218000</v>
      </c>
      <c r="W1961" s="28">
        <v>223151000</v>
      </c>
      <c r="X1961" s="28">
        <v>119000</v>
      </c>
      <c r="Y1961" s="28">
        <v>1829074000</v>
      </c>
      <c r="Z1961" s="28">
        <v>1196128000</v>
      </c>
      <c r="AA1961" s="28"/>
      <c r="AB1961" s="28">
        <v>120000000</v>
      </c>
      <c r="AC1961" s="28">
        <v>632933000</v>
      </c>
      <c r="AD1961" s="28">
        <v>1196141000</v>
      </c>
      <c r="AE1961" s="28">
        <v>3690778000</v>
      </c>
      <c r="AF1961" s="28">
        <v>1039990000</v>
      </c>
      <c r="AG1961" s="11"/>
    </row>
    <row r="1962">
      <c r="A1962" s="7" t="s">
        <v>3663</v>
      </c>
      <c r="B1962" s="5" t="s">
        <v>11650</v>
      </c>
      <c r="C1962" s="5" t="s">
        <v>19500</v>
      </c>
      <c r="D1962" s="5" t="str">
        <v>614401797295</v>
      </c>
      <c r="E1962" s="0" t="e">
        <f>+7 (8636) 279261
+7 (8636) 279260</f>
        <v>#NAME?</v>
      </c>
      <c r="F1962" s="5" t="s">
        <v>31255</v>
      </c>
      <c r="G1962" s="5" t="s">
        <v>31256</v>
      </c>
      <c r="H1962" s="26">
        <v>28</v>
      </c>
      <c r="I1962" s="5"/>
      <c r="J1962" s="5" t="s">
        <v>31257</v>
      </c>
      <c r="K1962" s="5" t="s">
        <v>344</v>
      </c>
      <c r="L1962" s="5" t="s">
        <v>31258</v>
      </c>
      <c r="M1962" s="27"/>
      <c r="N1962" s="5"/>
      <c r="O1962" s="5" t="str">
        <v>6155008444</v>
      </c>
      <c r="P1962" s="27">
        <v>18606893</v>
      </c>
      <c r="Q1962" s="5" t="s">
        <v>49009</v>
      </c>
      <c r="R1962" s="5" t="s">
        <v>52404</v>
      </c>
      <c r="S1962" s="5" t="s">
        <v>49028</v>
      </c>
      <c r="T1962" s="28">
        <v>3762372000</v>
      </c>
      <c r="U1962" s="28"/>
      <c r="V1962" s="28">
        <v>406774000</v>
      </c>
      <c r="W1962" s="28">
        <v>31000000</v>
      </c>
      <c r="X1962" s="28">
        <v>45989000</v>
      </c>
      <c r="Y1962" s="28">
        <v>6569134000</v>
      </c>
      <c r="Z1962" s="28">
        <v>3359026000</v>
      </c>
      <c r="AA1962" s="28">
        <v>1313922000</v>
      </c>
      <c r="AB1962" s="28">
        <v>631331000</v>
      </c>
      <c r="AC1962" s="28">
        <v>1104027000</v>
      </c>
      <c r="AD1962" s="28">
        <v>4118792000</v>
      </c>
      <c r="AE1962" s="28">
        <v>3966619000</v>
      </c>
      <c r="AF1962" s="28">
        <v>1394416000</v>
      </c>
      <c r="AG1962" s="11"/>
    </row>
    <row r="1963">
      <c r="A1963" s="7" t="s">
        <v>3664</v>
      </c>
      <c r="B1963" s="5" t="s">
        <v>11651</v>
      </c>
      <c r="C1963" s="5" t="s">
        <v>19501</v>
      </c>
      <c r="D1963" s="5"/>
      <c r="E1963" s="0" t="e">
        <f>+7 (812) 2756249
+7 (812) 3133699
+7 (812) 7037043
+7 (988) 5122127
+7 (812) 4483509
+7 (812) 4495784
+7 (812) 4495786
+7 (812) 7037551
+7 (921) 921729</f>
        <v>#NAME?</v>
      </c>
      <c r="F1963" s="5" t="s">
        <v>31259</v>
      </c>
      <c r="G1963" s="5" t="s">
        <v>31260</v>
      </c>
      <c r="H1963" s="26">
        <v>27.5</v>
      </c>
      <c r="I1963" s="5"/>
      <c r="J1963" s="5" t="s">
        <v>26148</v>
      </c>
      <c r="K1963" s="5" t="s">
        <v>344</v>
      </c>
      <c r="L1963" s="5"/>
      <c r="M1963" s="27">
        <v>50000</v>
      </c>
      <c r="N1963" s="5" t="s">
        <v>49923</v>
      </c>
      <c r="O1963" s="5" t="str">
        <v>7801072391</v>
      </c>
      <c r="P1963" s="27">
        <v>5755010</v>
      </c>
      <c r="Q1963" s="5" t="s">
        <v>49009</v>
      </c>
      <c r="R1963" s="5"/>
      <c r="S1963" s="5" t="s">
        <v>49045</v>
      </c>
      <c r="T1963" s="28">
        <v>6167323000</v>
      </c>
      <c r="U1963" s="28">
        <v>712555000</v>
      </c>
      <c r="V1963" s="28">
        <v>2084861000</v>
      </c>
      <c r="W1963" s="28">
        <v>3304517000</v>
      </c>
      <c r="X1963" s="28">
        <v>5703000</v>
      </c>
      <c r="Y1963" s="28">
        <v>30216892000</v>
      </c>
      <c r="Z1963" s="28">
        <v>12838443000</v>
      </c>
      <c r="AA1963" s="28">
        <v>3061718000</v>
      </c>
      <c r="AB1963" s="28">
        <v>5294728000</v>
      </c>
      <c r="AC1963" s="28">
        <v>6594080000</v>
      </c>
      <c r="AD1963" s="28">
        <v>12844486000</v>
      </c>
      <c r="AE1963" s="28">
        <v>5732761000</v>
      </c>
      <c r="AF1963" s="28">
        <v>97260000</v>
      </c>
      <c r="AG1963" s="11"/>
    </row>
    <row r="1964">
      <c r="A1964" s="7" t="s">
        <v>3665</v>
      </c>
      <c r="B1964" s="5" t="s">
        <v>11652</v>
      </c>
      <c r="C1964" s="5" t="s">
        <v>19502</v>
      </c>
      <c r="D1964" s="5" t="str">
        <v>504106875589</v>
      </c>
      <c r="F1964" s="5"/>
      <c r="G1964" s="5"/>
      <c r="H1964" s="26">
        <v>4</v>
      </c>
      <c r="I1964" s="5" t="s">
        <v>31261</v>
      </c>
      <c r="J1964" s="5" t="s">
        <v>25219</v>
      </c>
      <c r="K1964" s="5" t="s">
        <v>380</v>
      </c>
      <c r="L1964" s="5" t="s">
        <v>31262</v>
      </c>
      <c r="M1964" s="27">
        <v>54089994</v>
      </c>
      <c r="N1964" s="5"/>
      <c r="O1964" s="5" t="str">
        <v>5012098783</v>
      </c>
      <c r="P1964" s="27">
        <v>1010000</v>
      </c>
      <c r="Q1964" s="5" t="s">
        <v>52406</v>
      </c>
      <c r="R1964" s="5" t="s">
        <v>52407</v>
      </c>
      <c r="S1964" s="5" t="s">
        <v>52408</v>
      </c>
      <c r="T1964" s="28">
        <v>404283000</v>
      </c>
      <c r="U1964" s="28"/>
      <c r="V1964" s="28">
        <v>370489000</v>
      </c>
      <c r="W1964" s="28"/>
      <c r="X1964" s="28">
        <v>806065000</v>
      </c>
      <c r="Y1964" s="28">
        <v>3498301000</v>
      </c>
      <c r="Z1964" s="28">
        <v>498850000</v>
      </c>
      <c r="AA1964" s="28"/>
      <c r="AB1964" s="28">
        <v>591230000</v>
      </c>
      <c r="AC1964" s="28">
        <v>2964083000</v>
      </c>
      <c r="AD1964" s="28">
        <v>499860000</v>
      </c>
      <c r="AE1964" s="28">
        <v>7000570000</v>
      </c>
      <c r="AF1964" s="28">
        <v>314552000</v>
      </c>
      <c r="AG1964" s="11"/>
    </row>
    <row r="1965">
      <c r="A1965" s="7" t="s">
        <v>3666</v>
      </c>
      <c r="B1965" s="5" t="s">
        <v>11653</v>
      </c>
      <c r="C1965" s="5" t="s">
        <v>19503</v>
      </c>
      <c r="D1965" s="5" t="str">
        <v>143505771802</v>
      </c>
      <c r="E1965" s="0" t="e">
        <f>+7 (411) 2449229
+7 (411) 2449232
+7 (411) 2449241
+7 (411) 2449343
+7 (411) 2449373
+7 (411) 2449429</f>
        <v>#NAME?</v>
      </c>
      <c r="F1965" s="5" t="s">
        <v>31263</v>
      </c>
      <c r="G1965" s="5"/>
      <c r="H1965" s="26">
        <v>29.5</v>
      </c>
      <c r="I1965" s="5"/>
      <c r="J1965" s="5" t="s">
        <v>467</v>
      </c>
      <c r="K1965" s="5" t="s">
        <v>344</v>
      </c>
      <c r="L1965" s="5" t="s">
        <v>31264</v>
      </c>
      <c r="M1965" s="27"/>
      <c r="N1965" s="5" t="s">
        <v>52409</v>
      </c>
      <c r="O1965" s="5" t="str">
        <v>1435006017</v>
      </c>
      <c r="P1965" s="27">
        <v>261000</v>
      </c>
      <c r="Q1965" s="5" t="s">
        <v>52410</v>
      </c>
      <c r="R1965" s="5"/>
      <c r="S1965" s="5" t="s">
        <v>52411</v>
      </c>
      <c r="T1965" s="28">
        <v>72790000</v>
      </c>
      <c r="U1965" s="28">
        <v>20000</v>
      </c>
      <c r="V1965" s="28">
        <v>350257000</v>
      </c>
      <c r="W1965" s="28">
        <v>60939000</v>
      </c>
      <c r="X1965" s="28">
        <v>17949000</v>
      </c>
      <c r="Y1965" s="28">
        <v>537415000</v>
      </c>
      <c r="Z1965" s="28">
        <v>40621000</v>
      </c>
      <c r="AA1965" s="28"/>
      <c r="AB1965" s="28">
        <v>117220000</v>
      </c>
      <c r="AC1965" s="28">
        <v>458761000</v>
      </c>
      <c r="AD1965" s="28">
        <v>54921000</v>
      </c>
      <c r="AE1965" s="28">
        <v>3518477000</v>
      </c>
      <c r="AF1965" s="28">
        <v>9105000</v>
      </c>
      <c r="AG1965" s="11"/>
    </row>
    <row r="1966">
      <c r="A1966" s="7" t="s">
        <v>3667</v>
      </c>
      <c r="B1966" s="5" t="s">
        <v>11654</v>
      </c>
      <c r="C1966" s="5" t="s">
        <v>19504</v>
      </c>
      <c r="D1966" s="5" t="str">
        <v>230903555713</v>
      </c>
      <c r="E1966" s="0" t="e">
        <f>+7 (473) 2330283
+7 (473) 2003000
+7 (960) 1342323
+7 (473) 2001505
+7 (473) 2001506
+7 (47346) 22865
+7 (47346) 25933
+7 (47348) 41274
+7 (47370) 70132</f>
        <v>#NAME?</v>
      </c>
      <c r="F1966" s="5" t="s">
        <v>31265</v>
      </c>
      <c r="G1966" s="5"/>
      <c r="H1966" s="26">
        <v>13</v>
      </c>
      <c r="I1966" s="5"/>
      <c r="J1966" s="5" t="s">
        <v>25603</v>
      </c>
      <c r="K1966" s="5" t="s">
        <v>344</v>
      </c>
      <c r="L1966" s="5" t="s">
        <v>31266</v>
      </c>
      <c r="M1966" s="27">
        <v>437250</v>
      </c>
      <c r="N1966" s="5" t="s">
        <v>52412</v>
      </c>
      <c r="O1966" s="5" t="str">
        <v>3616013637</v>
      </c>
      <c r="P1966" s="27">
        <v>10000000</v>
      </c>
      <c r="Q1966" s="5" t="s">
        <v>52413</v>
      </c>
      <c r="R1966" s="5"/>
      <c r="S1966" s="5" t="s">
        <v>49099</v>
      </c>
      <c r="T1966" s="28">
        <v>410914000</v>
      </c>
      <c r="U1966" s="28"/>
      <c r="V1966" s="28">
        <v>159310000</v>
      </c>
      <c r="W1966" s="28">
        <v>3394000</v>
      </c>
      <c r="X1966" s="28">
        <v>128501000</v>
      </c>
      <c r="Y1966" s="28">
        <v>916459000</v>
      </c>
      <c r="Z1966" s="28">
        <v>216463000</v>
      </c>
      <c r="AA1966" s="28"/>
      <c r="AB1966" s="28">
        <v>204124000</v>
      </c>
      <c r="AC1966" s="28">
        <v>672596000</v>
      </c>
      <c r="AD1966" s="28">
        <v>226463000</v>
      </c>
      <c r="AE1966" s="28">
        <v>3216190000</v>
      </c>
      <c r="AF1966" s="28">
        <v>73548000</v>
      </c>
      <c r="AG1966" s="11"/>
    </row>
    <row r="1967">
      <c r="A1967" s="7" t="s">
        <v>3668</v>
      </c>
      <c r="B1967" s="5" t="s">
        <v>11655</v>
      </c>
      <c r="C1967" s="5" t="s">
        <v>17985</v>
      </c>
      <c r="D1967" s="5" t="str">
        <v>670400070814</v>
      </c>
      <c r="E1967" s="0" t="e">
        <f>+7 (48144) 68810
+7 (48144) 41255
+7 (48144) 42137
+7 (48144) 68007
+7 (48144) 68207
+7 (48144) 68222
+7 (48144) 68255
+7 (48144) 68289
+7 (48144) 68299
+7 (48144) 68328
+7 (48144) 68391
+7 (48144) 68928
+7 (495) 2462359
+7 (495) 4115594
+7 (495) 7770022</f>
        <v>#NAME?</v>
      </c>
      <c r="F1967" s="5" t="s">
        <v>31267</v>
      </c>
      <c r="G1967" s="5" t="s">
        <v>31268</v>
      </c>
      <c r="H1967" s="26">
        <v>30</v>
      </c>
      <c r="I1967" s="5" t="s">
        <v>31269</v>
      </c>
      <c r="J1967" s="5" t="s">
        <v>25275</v>
      </c>
      <c r="K1967" s="5" t="s">
        <v>344</v>
      </c>
      <c r="L1967" s="5"/>
      <c r="M1967" s="27">
        <v>77083265</v>
      </c>
      <c r="N1967" s="5" t="s">
        <v>50808</v>
      </c>
      <c r="O1967" s="5" t="str">
        <v>6704000505</v>
      </c>
      <c r="P1967" s="27">
        <v>218860000</v>
      </c>
      <c r="Q1967" s="5" t="s">
        <v>49057</v>
      </c>
      <c r="R1967" s="5"/>
      <c r="S1967" s="5" t="s">
        <v>52414</v>
      </c>
      <c r="T1967" s="28">
        <v>13157433000</v>
      </c>
      <c r="U1967" s="28">
        <v>3289442000</v>
      </c>
      <c r="V1967" s="28">
        <v>2292349000</v>
      </c>
      <c r="W1967" s="28">
        <v>7220030000</v>
      </c>
      <c r="X1967" s="28">
        <v>3000824000</v>
      </c>
      <c r="Y1967" s="28">
        <v>39144643000</v>
      </c>
      <c r="Z1967" s="28">
        <v>26933773000</v>
      </c>
      <c r="AA1967" s="28"/>
      <c r="AB1967" s="28">
        <v>3054584000</v>
      </c>
      <c r="AC1967" s="28">
        <v>10309457000</v>
      </c>
      <c r="AD1967" s="28">
        <v>27685880000</v>
      </c>
      <c r="AE1967" s="28">
        <v>43733293000</v>
      </c>
      <c r="AF1967" s="28">
        <v>9331355000</v>
      </c>
      <c r="AG1967" s="11"/>
    </row>
    <row r="1968">
      <c r="A1968" s="7" t="s">
        <v>3669</v>
      </c>
      <c r="B1968" s="5" t="s">
        <v>11656</v>
      </c>
      <c r="C1968" s="5" t="s">
        <v>19505</v>
      </c>
      <c r="D1968" s="5" t="str">
        <v>164607454194</v>
      </c>
      <c r="E1968" s="0" t="e">
        <f>+7 (843) 2676900
+7 (843) 2676903
+7 (843) 2676944
+7 (843) 2659088
+7 (843) 2676915
+7 (8432) 676904
+7 (8432) 676973
+7 (8432) 676992
+7 (8432) 773468
+7 (952) 366340</f>
        <v>#NAME?</v>
      </c>
      <c r="F1968" s="5" t="s">
        <v>31270</v>
      </c>
      <c r="G1968" s="5" t="s">
        <v>31271</v>
      </c>
      <c r="H1968" s="26">
        <v>30</v>
      </c>
      <c r="I1968" s="5"/>
      <c r="J1968" s="5" t="s">
        <v>26383</v>
      </c>
      <c r="K1968" s="5" t="s">
        <v>344</v>
      </c>
      <c r="L1968" s="5"/>
      <c r="M1968" s="27">
        <v>20401202</v>
      </c>
      <c r="N1968" s="5" t="s">
        <v>52415</v>
      </c>
      <c r="O1968" s="5" t="str">
        <v>1624004583</v>
      </c>
      <c r="P1968" s="27">
        <v>767942555</v>
      </c>
      <c r="Q1968" s="5"/>
      <c r="R1968" s="5" t="s">
        <v>50335</v>
      </c>
      <c r="S1968" s="5" t="s">
        <v>49425</v>
      </c>
      <c r="T1968" s="28">
        <v>12857080000</v>
      </c>
      <c r="U1968" s="28">
        <v>753430000</v>
      </c>
      <c r="V1968" s="28">
        <v>9856027000</v>
      </c>
      <c r="W1968" s="28"/>
      <c r="X1968" s="28">
        <v>14099063000</v>
      </c>
      <c r="Y1968" s="28">
        <v>46291738000</v>
      </c>
      <c r="Z1968" s="28">
        <v>2226975000</v>
      </c>
      <c r="AA1968" s="28">
        <v>15743919000</v>
      </c>
      <c r="AB1968" s="28">
        <v>21342542000</v>
      </c>
      <c r="AC1968" s="28">
        <v>26268961000</v>
      </c>
      <c r="AD1968" s="28">
        <v>3652004000</v>
      </c>
      <c r="AE1968" s="28">
        <v>35840527000</v>
      </c>
      <c r="AF1968" s="28">
        <v>495356000</v>
      </c>
      <c r="AG1968" s="11"/>
    </row>
    <row r="1969">
      <c r="A1969" s="7" t="s">
        <v>3670</v>
      </c>
      <c r="B1969" s="5" t="s">
        <v>11657</v>
      </c>
      <c r="C1969" s="5" t="s">
        <v>19506</v>
      </c>
      <c r="D1969" s="5" t="str">
        <v>773389815441</v>
      </c>
      <c r="E1969" s="0" t="e">
        <f>+7 (925) 5446894
+7 (495) 9204140</f>
        <v>#NAME?</v>
      </c>
      <c r="F1969" s="5" t="s">
        <v>31272</v>
      </c>
      <c r="G1969" s="5"/>
      <c r="H1969" s="26">
        <v>17</v>
      </c>
      <c r="I1969" s="5" t="s">
        <v>31273</v>
      </c>
      <c r="J1969" s="5" t="s">
        <v>31274</v>
      </c>
      <c r="K1969" s="5" t="s">
        <v>344</v>
      </c>
      <c r="L1969" s="5" t="s">
        <v>31275</v>
      </c>
      <c r="M1969" s="27"/>
      <c r="N1969" s="5"/>
      <c r="O1969" s="5" t="str">
        <v>7708596320</v>
      </c>
      <c r="P1969" s="27">
        <v>10000</v>
      </c>
      <c r="Q1969" s="5" t="s">
        <v>49324</v>
      </c>
      <c r="R1969" s="5"/>
      <c r="S1969" s="5" t="s">
        <v>49457</v>
      </c>
      <c r="T1969" s="28">
        <v>4591000</v>
      </c>
      <c r="U1969" s="28"/>
      <c r="V1969" s="28">
        <v>1438157000</v>
      </c>
      <c r="W1969" s="28">
        <v>21000000</v>
      </c>
      <c r="X1969" s="28">
        <v>1133000</v>
      </c>
      <c r="Y1969" s="28">
        <v>1468322000</v>
      </c>
      <c r="Z1969" s="28">
        <v>29596000</v>
      </c>
      <c r="AA1969" s="28"/>
      <c r="AB1969" s="28">
        <v>36240000</v>
      </c>
      <c r="AC1969" s="28">
        <v>1436339000</v>
      </c>
      <c r="AD1969" s="28">
        <v>29596000</v>
      </c>
      <c r="AE1969" s="28">
        <v>3589620000</v>
      </c>
      <c r="AF1969" s="28">
        <v>10827000</v>
      </c>
      <c r="AG1969" s="11"/>
    </row>
    <row r="1970">
      <c r="A1970" s="7" t="s">
        <v>3671</v>
      </c>
      <c r="B1970" s="5" t="s">
        <v>11658</v>
      </c>
      <c r="C1970" s="5" t="s">
        <v>19507</v>
      </c>
      <c r="D1970" s="5" t="str">
        <v>235700857732</v>
      </c>
      <c r="E1970" s="0" t="e">
        <f>+7 (918) 2620101
+7 (86137) 40955
+7 (86137) 55686</f>
        <v>#NAME?</v>
      </c>
      <c r="F1970" s="5" t="s">
        <v>31276</v>
      </c>
      <c r="G1970" s="5" t="s">
        <v>31277</v>
      </c>
      <c r="H1970" s="26">
        <v>18</v>
      </c>
      <c r="I1970" s="5" t="s">
        <v>31278</v>
      </c>
      <c r="J1970" s="5" t="s">
        <v>467</v>
      </c>
      <c r="K1970" s="5" t="s">
        <v>344</v>
      </c>
      <c r="L1970" s="5"/>
      <c r="M1970" s="27">
        <v>1126435</v>
      </c>
      <c r="N1970" s="5" t="s">
        <v>52416</v>
      </c>
      <c r="O1970" s="5" t="str">
        <v>2302048838</v>
      </c>
      <c r="P1970" s="27">
        <v>13333</v>
      </c>
      <c r="Q1970" s="5" t="s">
        <v>52417</v>
      </c>
      <c r="R1970" s="5"/>
      <c r="S1970" s="5" t="s">
        <v>52418</v>
      </c>
      <c r="T1970" s="28">
        <v>406546000</v>
      </c>
      <c r="U1970" s="28">
        <v>2707000</v>
      </c>
      <c r="V1970" s="28">
        <v>740151000</v>
      </c>
      <c r="W1970" s="28">
        <v>48109000</v>
      </c>
      <c r="X1970" s="28">
        <v>737743000</v>
      </c>
      <c r="Y1970" s="28">
        <v>3178980000</v>
      </c>
      <c r="Z1970" s="28">
        <v>462046000</v>
      </c>
      <c r="AA1970" s="28">
        <v>155050000</v>
      </c>
      <c r="AB1970" s="28">
        <v>133932000</v>
      </c>
      <c r="AC1970" s="28">
        <v>2444166000</v>
      </c>
      <c r="AD1970" s="28">
        <v>462061000</v>
      </c>
      <c r="AE1970" s="28">
        <v>4808930000</v>
      </c>
      <c r="AF1970" s="28">
        <v>16941000</v>
      </c>
      <c r="AG1970" s="11"/>
    </row>
    <row r="1971">
      <c r="A1971" s="7" t="s">
        <v>3672</v>
      </c>
      <c r="B1971" s="5" t="s">
        <v>11659</v>
      </c>
      <c r="C1971" s="5" t="s">
        <v>19508</v>
      </c>
      <c r="D1971" s="5" t="str">
        <v>610302863253</v>
      </c>
      <c r="E1971" s="0" t="e">
        <f>+7 (863) 3089653
+7 (938) 1187200</f>
        <v>#NAME?</v>
      </c>
      <c r="F1971" s="5" t="s">
        <v>31279</v>
      </c>
      <c r="G1971" s="5"/>
      <c r="H1971" s="26">
        <v>15.5</v>
      </c>
      <c r="I1971" s="5" t="s">
        <v>31280</v>
      </c>
      <c r="J1971" s="5" t="s">
        <v>467</v>
      </c>
      <c r="K1971" s="5" t="s">
        <v>344</v>
      </c>
      <c r="L1971" s="5" t="s">
        <v>31281</v>
      </c>
      <c r="M1971" s="27">
        <v>4453277</v>
      </c>
      <c r="N1971" s="5" t="s">
        <v>52419</v>
      </c>
      <c r="O1971" s="5" t="str">
        <v>6102026471</v>
      </c>
      <c r="P1971" s="27">
        <v>10000</v>
      </c>
      <c r="Q1971" s="5" t="s">
        <v>52420</v>
      </c>
      <c r="R1971" s="5" t="s">
        <v>52421</v>
      </c>
      <c r="S1971" s="5" t="s">
        <v>52422</v>
      </c>
      <c r="T1971" s="28">
        <v>402218000</v>
      </c>
      <c r="U1971" s="28"/>
      <c r="V1971" s="28">
        <v>896828000</v>
      </c>
      <c r="W1971" s="28">
        <v>12914000</v>
      </c>
      <c r="X1971" s="28">
        <v>3959074000</v>
      </c>
      <c r="Y1971" s="28">
        <v>7307782000</v>
      </c>
      <c r="Z1971" s="28">
        <v>139348000</v>
      </c>
      <c r="AA1971" s="28">
        <v>153566000</v>
      </c>
      <c r="AB1971" s="28">
        <v>275317000</v>
      </c>
      <c r="AC1971" s="28">
        <v>6875985000</v>
      </c>
      <c r="AD1971" s="28">
        <v>139358000</v>
      </c>
      <c r="AE1971" s="28">
        <v>4546606000</v>
      </c>
      <c r="AF1971" s="28">
        <v>33735000</v>
      </c>
      <c r="AG1971" s="11"/>
    </row>
    <row r="1972">
      <c r="A1972" s="7" t="s">
        <v>3673</v>
      </c>
      <c r="B1972" s="5" t="s">
        <v>11660</v>
      </c>
      <c r="C1972" s="5" t="s">
        <v>19509</v>
      </c>
      <c r="D1972" s="5" t="str">
        <v>245717041145</v>
      </c>
      <c r="E1972" s="0" t="e">
        <f>+7 (3919) 234534
+7 (3919) 235489
+7 (3919) 239323
+7 (3919) 239794
+7 (3919) 246583
+7 (991) 3753375
+7 (391) 9341970
+7 (3919) 229723
+7 (3919) 238909
+7 (3919) 239722</f>
        <v>#NAME?</v>
      </c>
      <c r="F1972" s="5" t="s">
        <v>31282</v>
      </c>
      <c r="G1972" s="5"/>
      <c r="H1972" s="26">
        <v>27</v>
      </c>
      <c r="I1972" s="5" t="s">
        <v>31283</v>
      </c>
      <c r="J1972" s="5" t="s">
        <v>373</v>
      </c>
      <c r="K1972" s="5" t="s">
        <v>344</v>
      </c>
      <c r="L1972" s="5" t="s">
        <v>31284</v>
      </c>
      <c r="M1972" s="27"/>
      <c r="N1972" s="5" t="s">
        <v>52423</v>
      </c>
      <c r="O1972" s="5" t="str">
        <v>2457039480</v>
      </c>
      <c r="P1972" s="27">
        <v>10000</v>
      </c>
      <c r="Q1972" s="5" t="s">
        <v>52424</v>
      </c>
      <c r="R1972" s="5"/>
      <c r="S1972" s="5" t="s">
        <v>52425</v>
      </c>
      <c r="T1972" s="28">
        <v>82668000</v>
      </c>
      <c r="U1972" s="28"/>
      <c r="V1972" s="28">
        <v>383624000</v>
      </c>
      <c r="W1972" s="28">
        <v>2393000</v>
      </c>
      <c r="X1972" s="28">
        <v>292478000</v>
      </c>
      <c r="Y1972" s="28">
        <v>904694000</v>
      </c>
      <c r="Z1972" s="28">
        <v>185118000</v>
      </c>
      <c r="AA1972" s="28"/>
      <c r="AB1972" s="28">
        <v>400752000</v>
      </c>
      <c r="AC1972" s="28">
        <v>713598000</v>
      </c>
      <c r="AD1972" s="28">
        <v>185128000</v>
      </c>
      <c r="AE1972" s="28">
        <v>5501387000</v>
      </c>
      <c r="AF1972" s="28">
        <v>105142000</v>
      </c>
      <c r="AG1972" s="11"/>
    </row>
    <row r="1973">
      <c r="A1973" s="7" t="s">
        <v>3674</v>
      </c>
      <c r="B1973" s="5" t="s">
        <v>11661</v>
      </c>
      <c r="C1973" s="5" t="s">
        <v>19510</v>
      </c>
      <c r="D1973" s="5" t="str">
        <v>860790349550</v>
      </c>
      <c r="E1973" s="0" t="e">
        <f>+7 (34667) 49252
+7 (34667) 49300
+7 (34667) 60601
+7 (34667) 60603
+7 (34667) 60971</f>
        <v>#NAME?</v>
      </c>
      <c r="F1973" s="5" t="s">
        <v>31285</v>
      </c>
      <c r="G1973" s="5" t="s">
        <v>31286</v>
      </c>
      <c r="H1973" s="26">
        <v>15</v>
      </c>
      <c r="I1973" s="5" t="s">
        <v>31287</v>
      </c>
      <c r="J1973" s="5" t="s">
        <v>467</v>
      </c>
      <c r="K1973" s="5" t="s">
        <v>344</v>
      </c>
      <c r="L1973" s="5" t="s">
        <v>31288</v>
      </c>
      <c r="M1973" s="27"/>
      <c r="N1973" s="5" t="s">
        <v>52426</v>
      </c>
      <c r="O1973" s="5" t="str">
        <v>8608053057</v>
      </c>
      <c r="P1973" s="27">
        <v>567476000</v>
      </c>
      <c r="Q1973" s="5" t="s">
        <v>52428</v>
      </c>
      <c r="R1973" s="5"/>
      <c r="S1973" s="5" t="s">
        <v>52429</v>
      </c>
      <c r="T1973" s="28">
        <v>824965000</v>
      </c>
      <c r="U1973" s="28">
        <v>20446000</v>
      </c>
      <c r="V1973" s="28">
        <v>842914000</v>
      </c>
      <c r="W1973" s="28"/>
      <c r="X1973" s="28">
        <v>702204000</v>
      </c>
      <c r="Y1973" s="28">
        <v>2738671000</v>
      </c>
      <c r="Z1973" s="28">
        <v>542292000</v>
      </c>
      <c r="AA1973" s="28"/>
      <c r="AB1973" s="28">
        <v>485570000</v>
      </c>
      <c r="AC1973" s="28">
        <v>1307052000</v>
      </c>
      <c r="AD1973" s="28">
        <v>1115788000</v>
      </c>
      <c r="AE1973" s="28">
        <v>4822685000</v>
      </c>
      <c r="AF1973" s="28">
        <v>488041000</v>
      </c>
      <c r="AG1973" s="11"/>
    </row>
    <row r="1974">
      <c r="A1974" s="7" t="s">
        <v>3675</v>
      </c>
      <c r="B1974" s="5" t="s">
        <v>11662</v>
      </c>
      <c r="C1974" s="5" t="s">
        <v>19511</v>
      </c>
      <c r="D1974" s="5" t="str">
        <v>745501749404</v>
      </c>
      <c r="E1974" s="0" t="e">
        <f>+7 (499) 4443427</f>
        <v>#NAME?</v>
      </c>
      <c r="F1974" s="5" t="s">
        <v>31289</v>
      </c>
      <c r="G1974" s="5"/>
      <c r="H1974" s="26">
        <v>12.5</v>
      </c>
      <c r="I1974" s="5" t="s">
        <v>31290</v>
      </c>
      <c r="J1974" s="5" t="s">
        <v>364</v>
      </c>
      <c r="K1974" s="5" t="s">
        <v>344</v>
      </c>
      <c r="L1974" s="5" t="s">
        <v>31291</v>
      </c>
      <c r="M1974" s="27">
        <v>296265941</v>
      </c>
      <c r="N1974" s="5"/>
      <c r="O1974" s="5" t="str">
        <v>1657096710</v>
      </c>
      <c r="P1974" s="27">
        <v>1000000</v>
      </c>
      <c r="Q1974" s="5" t="s">
        <v>52430</v>
      </c>
      <c r="R1974" s="5" t="s">
        <v>52431</v>
      </c>
      <c r="S1974" s="5" t="s">
        <v>52432</v>
      </c>
      <c r="T1974" s="28">
        <v>165818000</v>
      </c>
      <c r="U1974" s="28">
        <v>1400994000</v>
      </c>
      <c r="V1974" s="28">
        <v>5453908000</v>
      </c>
      <c r="W1974" s="28">
        <v>1404126000</v>
      </c>
      <c r="X1974" s="28">
        <v>323640000</v>
      </c>
      <c r="Y1974" s="28">
        <v>11457009000</v>
      </c>
      <c r="Z1974" s="28">
        <v>1727753000</v>
      </c>
      <c r="AA1974" s="28">
        <v>241875000</v>
      </c>
      <c r="AB1974" s="28">
        <v>3130276000</v>
      </c>
      <c r="AC1974" s="28">
        <v>9211598000</v>
      </c>
      <c r="AD1974" s="28">
        <v>1728753000</v>
      </c>
      <c r="AE1974" s="28">
        <v>10271999000</v>
      </c>
      <c r="AF1974" s="28">
        <v>876061000</v>
      </c>
      <c r="AG1974" s="11"/>
    </row>
    <row r="1975">
      <c r="A1975" s="7" t="s">
        <v>3676</v>
      </c>
      <c r="B1975" s="5" t="s">
        <v>11663</v>
      </c>
      <c r="C1975" s="5" t="s">
        <v>19512</v>
      </c>
      <c r="D1975" s="5" t="str">
        <v>235703768600</v>
      </c>
      <c r="E1975" s="0" t="e">
        <f>+7 (495) 9685215
+7 (495) 3576030
+7 (964) 7007521
+7 (964) 7948045</f>
        <v>#NAME?</v>
      </c>
      <c r="F1975" s="5" t="s">
        <v>31292</v>
      </c>
      <c r="G1975" s="5"/>
      <c r="H1975" s="26">
        <v>6.5</v>
      </c>
      <c r="I1975" s="5" t="s">
        <v>31293</v>
      </c>
      <c r="J1975" s="5" t="s">
        <v>467</v>
      </c>
      <c r="K1975" s="5" t="s">
        <v>344</v>
      </c>
      <c r="L1975" s="5" t="s">
        <v>31294</v>
      </c>
      <c r="M1975" s="27">
        <v>3050584</v>
      </c>
      <c r="N1975" s="5" t="s">
        <v>52433</v>
      </c>
      <c r="O1975" s="5" t="str">
        <v>7728346960</v>
      </c>
      <c r="P1975" s="27">
        <v>10000</v>
      </c>
      <c r="Q1975" s="5" t="s">
        <v>52434</v>
      </c>
      <c r="R1975" s="5"/>
      <c r="S1975" s="5" t="s">
        <v>52435</v>
      </c>
      <c r="T1975" s="28">
        <v>317259000</v>
      </c>
      <c r="U1975" s="28"/>
      <c r="V1975" s="28">
        <v>812751000</v>
      </c>
      <c r="W1975" s="28"/>
      <c r="X1975" s="28">
        <v>1115275000</v>
      </c>
      <c r="Y1975" s="28">
        <v>3164780000</v>
      </c>
      <c r="Z1975" s="28">
        <v>572904000</v>
      </c>
      <c r="AA1975" s="28"/>
      <c r="AB1975" s="28">
        <v>93000</v>
      </c>
      <c r="AC1975" s="28">
        <v>2375627000</v>
      </c>
      <c r="AD1975" s="28">
        <v>572914000</v>
      </c>
      <c r="AE1975" s="28">
        <v>7032707000</v>
      </c>
      <c r="AF1975" s="28">
        <v>282458000</v>
      </c>
      <c r="AG1975" s="11"/>
    </row>
    <row r="1976">
      <c r="A1976" s="7" t="s">
        <v>3677</v>
      </c>
      <c r="B1976" s="5" t="s">
        <v>11664</v>
      </c>
      <c r="C1976" s="5" t="s">
        <v>19513</v>
      </c>
      <c r="D1976" s="5" t="str">
        <v>010702319732</v>
      </c>
      <c r="E1976" s="0" t="e">
        <f>+7 (861) 2116787
+7 (87772) 97533
+7 (87772) 97153
+7 (87772) 97553
+7 (918) 1885108
+7 (918) 4223000</f>
        <v>#NAME?</v>
      </c>
      <c r="F1976" s="5" t="s">
        <v>31295</v>
      </c>
      <c r="G1976" s="5"/>
      <c r="H1976" s="26">
        <v>18</v>
      </c>
      <c r="I1976" s="5" t="s">
        <v>31296</v>
      </c>
      <c r="J1976" s="5" t="s">
        <v>866</v>
      </c>
      <c r="K1976" s="5" t="s">
        <v>344</v>
      </c>
      <c r="L1976" s="5" t="s">
        <v>31297</v>
      </c>
      <c r="M1976" s="27">
        <v>1105891</v>
      </c>
      <c r="N1976" s="5" t="s">
        <v>52436</v>
      </c>
      <c r="O1976" s="5" t="str">
        <v>0107008235</v>
      </c>
      <c r="P1976" s="27">
        <v>10000</v>
      </c>
      <c r="Q1976" s="5" t="s">
        <v>52437</v>
      </c>
      <c r="R1976" s="5"/>
      <c r="S1976" s="5" t="s">
        <v>52438</v>
      </c>
      <c r="T1976" s="28">
        <v>437244000</v>
      </c>
      <c r="U1976" s="28"/>
      <c r="V1976" s="28">
        <v>636602000</v>
      </c>
      <c r="W1976" s="28">
        <v>86100000</v>
      </c>
      <c r="X1976" s="28">
        <v>314458000</v>
      </c>
      <c r="Y1976" s="28">
        <v>1672282000</v>
      </c>
      <c r="Z1976" s="28">
        <v>955329000</v>
      </c>
      <c r="AA1976" s="28"/>
      <c r="AB1976" s="28">
        <v>1085000</v>
      </c>
      <c r="AC1976" s="28">
        <v>541294000</v>
      </c>
      <c r="AD1976" s="28">
        <v>955341000</v>
      </c>
      <c r="AE1976" s="28">
        <v>5582647000</v>
      </c>
      <c r="AF1976" s="28">
        <v>559274000</v>
      </c>
      <c r="AG1976" s="11"/>
    </row>
    <row r="1977">
      <c r="A1977" s="7" t="s">
        <v>3678</v>
      </c>
      <c r="B1977" s="5" t="s">
        <v>11665</v>
      </c>
      <c r="C1977" s="5" t="s">
        <v>19514</v>
      </c>
      <c r="D1977" s="5" t="str">
        <v>027204510326</v>
      </c>
      <c r="E1977" s="0" t="e">
        <f>+7 (3472) 280004
+7 (347) 2210922
+7 (347) 2211463
+7 (937) 3055089</f>
        <v>#NAME?</v>
      </c>
      <c r="F1977" s="5" t="s">
        <v>31298</v>
      </c>
      <c r="G1977" s="5"/>
      <c r="H1977" s="26">
        <v>22.5</v>
      </c>
      <c r="I1977" s="5" t="s">
        <v>31299</v>
      </c>
      <c r="J1977" s="5" t="s">
        <v>467</v>
      </c>
      <c r="K1977" s="5" t="s">
        <v>344</v>
      </c>
      <c r="L1977" s="5" t="s">
        <v>31300</v>
      </c>
      <c r="M1977" s="27">
        <v>80937225</v>
      </c>
      <c r="N1977" s="5" t="s">
        <v>52439</v>
      </c>
      <c r="O1977" s="5" t="str">
        <v>0274068674</v>
      </c>
      <c r="P1977" s="27">
        <v>10000</v>
      </c>
      <c r="Q1977" s="5" t="s">
        <v>52441</v>
      </c>
      <c r="R1977" s="5" t="s">
        <v>52442</v>
      </c>
      <c r="S1977" s="5" t="s">
        <v>52443</v>
      </c>
      <c r="T1977" s="28">
        <v>1012257000</v>
      </c>
      <c r="U1977" s="28">
        <v>67000</v>
      </c>
      <c r="V1977" s="28">
        <v>1114679000</v>
      </c>
      <c r="W1977" s="28">
        <v>9824000</v>
      </c>
      <c r="X1977" s="28">
        <v>3029938000</v>
      </c>
      <c r="Y1977" s="28">
        <v>7266476000</v>
      </c>
      <c r="Z1977" s="28">
        <v>537750000</v>
      </c>
      <c r="AA1977" s="28"/>
      <c r="AB1977" s="28">
        <v>17804000</v>
      </c>
      <c r="AC1977" s="28">
        <v>6016089000</v>
      </c>
      <c r="AD1977" s="28">
        <v>537760000</v>
      </c>
      <c r="AE1977" s="28">
        <v>8520507000</v>
      </c>
      <c r="AF1977" s="28">
        <v>97375000</v>
      </c>
      <c r="AG1977" s="11"/>
    </row>
    <row r="1978">
      <c r="A1978" s="7" t="s">
        <v>3679</v>
      </c>
      <c r="B1978" s="5" t="s">
        <v>11666</v>
      </c>
      <c r="C1978" s="5" t="s">
        <v>19515</v>
      </c>
      <c r="D1978" s="5" t="str">
        <v>503212488879</v>
      </c>
      <c r="E1978" s="0" t="e">
        <f>+7 (383) 2174043
+7 (383) 3758600
+7 (383) 3358285
+7 (383) 2079422
+7 (383) 3758601</f>
        <v>#NAME?</v>
      </c>
      <c r="F1978" s="5"/>
      <c r="G1978" s="5"/>
      <c r="H1978" s="26">
        <v>12.5</v>
      </c>
      <c r="I1978" s="5" t="s">
        <v>31301</v>
      </c>
      <c r="J1978" s="5" t="s">
        <v>445</v>
      </c>
      <c r="K1978" s="5" t="s">
        <v>344</v>
      </c>
      <c r="L1978" s="5" t="s">
        <v>31302</v>
      </c>
      <c r="M1978" s="27"/>
      <c r="N1978" s="5" t="s">
        <v>52444</v>
      </c>
      <c r="O1978" s="5" t="str">
        <v>5433181980</v>
      </c>
      <c r="P1978" s="27">
        <v>20000</v>
      </c>
      <c r="Q1978" s="5" t="s">
        <v>52445</v>
      </c>
      <c r="R1978" s="5"/>
      <c r="S1978" s="5" t="s">
        <v>49399</v>
      </c>
      <c r="T1978" s="28">
        <v>105021000</v>
      </c>
      <c r="U1978" s="28">
        <v>875164000</v>
      </c>
      <c r="V1978" s="28">
        <v>1742779000</v>
      </c>
      <c r="W1978" s="28"/>
      <c r="X1978" s="28">
        <v>5247000</v>
      </c>
      <c r="Y1978" s="28">
        <v>3524510000</v>
      </c>
      <c r="Z1978" s="28">
        <v>1007917000</v>
      </c>
      <c r="AA1978" s="28"/>
      <c r="AB1978" s="28"/>
      <c r="AC1978" s="28">
        <v>2516573000</v>
      </c>
      <c r="AD1978" s="28">
        <v>1007937000</v>
      </c>
      <c r="AE1978" s="28">
        <v>3956568000</v>
      </c>
      <c r="AF1978" s="28">
        <v>536532000</v>
      </c>
      <c r="AG1978" s="11"/>
    </row>
    <row r="1979">
      <c r="A1979" s="7" t="s">
        <v>3680</v>
      </c>
      <c r="B1979" s="5" t="s">
        <v>11667</v>
      </c>
      <c r="C1979" s="5" t="s">
        <v>19516</v>
      </c>
      <c r="D1979" s="5" t="str">
        <v>773208521530</v>
      </c>
      <c r="E1979" s="0" t="e">
        <f>+7 (381) 2308131
+7 (381) 2308141
+7 (3952) 485871
+7 (3952) 485872
+7 (3952) 485873
+7 (495) 9332400</f>
        <v>#NAME?</v>
      </c>
      <c r="F1979" s="5" t="s">
        <v>31303</v>
      </c>
      <c r="G1979" s="5" t="s">
        <v>31304</v>
      </c>
      <c r="H1979" s="26">
        <v>23.5</v>
      </c>
      <c r="I1979" s="5" t="s">
        <v>31305</v>
      </c>
      <c r="J1979" s="5" t="s">
        <v>445</v>
      </c>
      <c r="K1979" s="5" t="s">
        <v>344</v>
      </c>
      <c r="L1979" s="5" t="s">
        <v>31306</v>
      </c>
      <c r="M1979" s="27">
        <v>359641778</v>
      </c>
      <c r="N1979" s="5" t="s">
        <v>52446</v>
      </c>
      <c r="O1979" s="5" t="str">
        <v>7722174859</v>
      </c>
      <c r="P1979" s="27">
        <v>1000000</v>
      </c>
      <c r="Q1979" s="5" t="s">
        <v>52447</v>
      </c>
      <c r="R1979" s="5"/>
      <c r="S1979" s="5" t="s">
        <v>52448</v>
      </c>
      <c r="T1979" s="28">
        <v>1748000</v>
      </c>
      <c r="U1979" s="28">
        <v>1088130000</v>
      </c>
      <c r="V1979" s="28">
        <v>5456644000</v>
      </c>
      <c r="W1979" s="28"/>
      <c r="X1979" s="28">
        <v>2226962000</v>
      </c>
      <c r="Y1979" s="28">
        <v>9359201000</v>
      </c>
      <c r="Z1979" s="28">
        <v>3828306000</v>
      </c>
      <c r="AA1979" s="28">
        <v>16000000</v>
      </c>
      <c r="AB1979" s="28"/>
      <c r="AC1979" s="28">
        <v>5508859000</v>
      </c>
      <c r="AD1979" s="28">
        <v>3828346000</v>
      </c>
      <c r="AE1979" s="28">
        <v>16655233000</v>
      </c>
      <c r="AF1979" s="28">
        <v>1868818000</v>
      </c>
      <c r="AG1979" s="11"/>
    </row>
    <row r="1980">
      <c r="A1980" s="7" t="s">
        <v>3681</v>
      </c>
      <c r="B1980" s="5" t="s">
        <v>11668</v>
      </c>
      <c r="C1980" s="5" t="s">
        <v>19517</v>
      </c>
      <c r="D1980" s="5" t="str">
        <v>360505166269</v>
      </c>
      <c r="E1980" s="0" t="e">
        <f>+7 (964) 5015999
+7 (964) 5031111</f>
        <v>#NAME?</v>
      </c>
      <c r="F1980" s="5" t="s">
        <v>31307</v>
      </c>
      <c r="G1980" s="5"/>
      <c r="H1980" s="26">
        <v>6.5</v>
      </c>
      <c r="I1980" s="5" t="s">
        <v>31308</v>
      </c>
      <c r="J1980" s="5" t="s">
        <v>30764</v>
      </c>
      <c r="K1980" s="5" t="s">
        <v>344</v>
      </c>
      <c r="L1980" s="5" t="s">
        <v>31309</v>
      </c>
      <c r="M1980" s="27"/>
      <c r="N1980" s="5" t="s">
        <v>52449</v>
      </c>
      <c r="O1980" s="5" t="str">
        <v>5009105705</v>
      </c>
      <c r="P1980" s="27">
        <v>40000</v>
      </c>
      <c r="Q1980" s="5" t="s">
        <v>49059</v>
      </c>
      <c r="R1980" s="5"/>
      <c r="S1980" s="5" t="s">
        <v>49012</v>
      </c>
      <c r="T1980" s="28">
        <v>13000</v>
      </c>
      <c r="U1980" s="28"/>
      <c r="V1980" s="28">
        <v>559581000</v>
      </c>
      <c r="W1980" s="28"/>
      <c r="X1980" s="28">
        <v>1937000</v>
      </c>
      <c r="Y1980" s="28">
        <v>698722000</v>
      </c>
      <c r="Z1980" s="28">
        <v>168983000</v>
      </c>
      <c r="AA1980" s="28">
        <v>138711000</v>
      </c>
      <c r="AB1980" s="28">
        <v>-286000</v>
      </c>
      <c r="AC1980" s="28">
        <v>390988000</v>
      </c>
      <c r="AD1980" s="28">
        <v>169023000</v>
      </c>
      <c r="AE1980" s="28">
        <v>5532311000</v>
      </c>
      <c r="AF1980" s="28">
        <v>121728000</v>
      </c>
      <c r="AG1980" s="11"/>
    </row>
    <row r="1981">
      <c r="A1981" s="7" t="s">
        <v>3682</v>
      </c>
      <c r="B1981" s="5" t="s">
        <v>11669</v>
      </c>
      <c r="C1981" s="5" t="s">
        <v>19518</v>
      </c>
      <c r="D1981" s="5" t="str">
        <v>772983480365</v>
      </c>
      <c r="E1981" s="0" t="e">
        <f>+7 (495) 2254211
+7 (495) 2213876
+7 (495) 2213878
+7 (495) 2213887
+7 (495) 2295340
+7 (495) 2295341
+7 (495) 2295344
+7 (495) 6295340</f>
        <v>#NAME?</v>
      </c>
      <c r="F1981" s="5" t="s">
        <v>31310</v>
      </c>
      <c r="G1981" s="5" t="s">
        <v>31311</v>
      </c>
      <c r="H1981" s="26">
        <v>20</v>
      </c>
      <c r="I1981" s="5" t="s">
        <v>31312</v>
      </c>
      <c r="J1981" s="5" t="s">
        <v>28174</v>
      </c>
      <c r="K1981" s="5" t="s">
        <v>344</v>
      </c>
      <c r="L1981" s="5"/>
      <c r="M1981" s="27">
        <v>15397414</v>
      </c>
      <c r="N1981" s="5"/>
      <c r="O1981" s="5" t="str">
        <v>5040055742</v>
      </c>
      <c r="P1981" s="27">
        <v>64768959</v>
      </c>
      <c r="Q1981" s="5" t="s">
        <v>49009</v>
      </c>
      <c r="R1981" s="5"/>
      <c r="S1981" s="5" t="s">
        <v>49066</v>
      </c>
      <c r="T1981" s="28">
        <v>1317193000</v>
      </c>
      <c r="U1981" s="28">
        <v>2055000</v>
      </c>
      <c r="V1981" s="28">
        <v>159402000</v>
      </c>
      <c r="W1981" s="28"/>
      <c r="X1981" s="28">
        <v>778330000</v>
      </c>
      <c r="Y1981" s="28">
        <v>3260208000</v>
      </c>
      <c r="Z1981" s="28">
        <v>1960593000</v>
      </c>
      <c r="AA1981" s="28"/>
      <c r="AB1981" s="28"/>
      <c r="AC1981" s="28">
        <v>687915000</v>
      </c>
      <c r="AD1981" s="28">
        <v>2494755000</v>
      </c>
      <c r="AE1981" s="28">
        <v>5886146000</v>
      </c>
      <c r="AF1981" s="28">
        <v>303472000</v>
      </c>
      <c r="AG1981" s="11"/>
    </row>
    <row r="1982">
      <c r="A1982" s="7" t="s">
        <v>3683</v>
      </c>
      <c r="B1982" s="5" t="s">
        <v>11670</v>
      </c>
      <c r="C1982" s="5" t="s">
        <v>19519</v>
      </c>
      <c r="D1982" s="5" t="str">
        <v>772983406308</v>
      </c>
      <c r="E1982" s="0" t="e">
        <f>+7 (495) 7373205
+7 (495) 7373505
+7 (800) 2005003</f>
        <v>#NAME?</v>
      </c>
      <c r="F1982" s="5"/>
      <c r="G1982" s="5"/>
      <c r="H1982" s="26">
        <v>12.5</v>
      </c>
      <c r="I1982" s="5" t="s">
        <v>31313</v>
      </c>
      <c r="J1982" s="5" t="s">
        <v>25881</v>
      </c>
      <c r="K1982" s="5" t="s">
        <v>344</v>
      </c>
      <c r="L1982" s="5" t="s">
        <v>31314</v>
      </c>
      <c r="M1982" s="27"/>
      <c r="N1982" s="5" t="s">
        <v>52450</v>
      </c>
      <c r="O1982" s="5" t="str">
        <v>7729663418</v>
      </c>
      <c r="P1982" s="27">
        <v>116000000</v>
      </c>
      <c r="Q1982" s="5" t="s">
        <v>52451</v>
      </c>
      <c r="R1982" s="5"/>
      <c r="S1982" s="5" t="s">
        <v>49371</v>
      </c>
      <c r="T1982" s="28">
        <v>4553000</v>
      </c>
      <c r="U1982" s="28">
        <v>830084000</v>
      </c>
      <c r="V1982" s="28">
        <v>1402456000</v>
      </c>
      <c r="W1982" s="28">
        <v>1723973000</v>
      </c>
      <c r="X1982" s="28">
        <v>10625377000</v>
      </c>
      <c r="Y1982" s="28">
        <v>14934522000</v>
      </c>
      <c r="Z1982" s="28">
        <v>14046274000</v>
      </c>
      <c r="AA1982" s="28"/>
      <c r="AB1982" s="28"/>
      <c r="AC1982" s="28">
        <v>764895000</v>
      </c>
      <c r="AD1982" s="28">
        <v>14169402000</v>
      </c>
      <c r="AE1982" s="28">
        <v>19761539000</v>
      </c>
      <c r="AF1982" s="28">
        <v>4577614000</v>
      </c>
      <c r="AG1982" s="11"/>
    </row>
    <row r="1983">
      <c r="A1983" s="7" t="s">
        <v>3684</v>
      </c>
      <c r="B1983" s="5" t="s">
        <v>11671</v>
      </c>
      <c r="C1983" s="5" t="s">
        <v>19520</v>
      </c>
      <c r="D1983" s="5" t="str">
        <v>623016031954</v>
      </c>
      <c r="E1983" s="0" t="e">
        <f>+7 (4912) 222622
+7 (4912) 312712
+7 (4912) 312725
+7 (4912) 312730
+7 (4912) 312750
+7 (4912) 312759
+7 (4912) 701300
+7 (4912) 701302
+7 (4912) 701305
+7 (4912) 701309
+7 (495) 2254211</f>
        <v>#NAME?</v>
      </c>
      <c r="F1983" s="5" t="s">
        <v>31315</v>
      </c>
      <c r="G1983" s="5" t="s">
        <v>31316</v>
      </c>
      <c r="H1983" s="26">
        <v>14.5</v>
      </c>
      <c r="I1983" s="5" t="s">
        <v>31317</v>
      </c>
      <c r="J1983" s="5" t="s">
        <v>28174</v>
      </c>
      <c r="K1983" s="5" t="s">
        <v>344</v>
      </c>
      <c r="L1983" s="5"/>
      <c r="M1983" s="27">
        <v>19355791</v>
      </c>
      <c r="N1983" s="5"/>
      <c r="O1983" s="5" t="str">
        <v>2509059709</v>
      </c>
      <c r="P1983" s="27">
        <v>357000000</v>
      </c>
      <c r="Q1983" s="5" t="s">
        <v>49009</v>
      </c>
      <c r="R1983" s="5"/>
      <c r="S1983" s="5" t="s">
        <v>49066</v>
      </c>
      <c r="T1983" s="28">
        <v>1541181000</v>
      </c>
      <c r="U1983" s="28">
        <v>1160000</v>
      </c>
      <c r="V1983" s="28">
        <v>289244000</v>
      </c>
      <c r="W1983" s="28"/>
      <c r="X1983" s="28">
        <v>653603000</v>
      </c>
      <c r="Y1983" s="28">
        <v>3705615000</v>
      </c>
      <c r="Z1983" s="28">
        <v>1960336000</v>
      </c>
      <c r="AA1983" s="28"/>
      <c r="AB1983" s="28">
        <v>704459000</v>
      </c>
      <c r="AC1983" s="28">
        <v>1325702000</v>
      </c>
      <c r="AD1983" s="28">
        <v>2337453000</v>
      </c>
      <c r="AE1983" s="28">
        <v>6900695000</v>
      </c>
      <c r="AF1983" s="28">
        <v>785826000</v>
      </c>
      <c r="AG1983" s="11"/>
    </row>
    <row r="1984">
      <c r="A1984" s="7" t="s">
        <v>3685</v>
      </c>
      <c r="B1984" s="5" t="s">
        <v>11672</v>
      </c>
      <c r="C1984" s="5" t="s">
        <v>19521</v>
      </c>
      <c r="D1984" s="5" t="str">
        <v>772640019504</v>
      </c>
      <c r="E1984" s="0" t="e">
        <f>+7 (495) 4117856
+7 (495) 4117866
+7 (495) 7394809
+7 (495) 9945282
+7 (495) 9946098</f>
        <v>#NAME?</v>
      </c>
      <c r="F1984" s="5" t="s">
        <v>31318</v>
      </c>
      <c r="G1984" s="5"/>
      <c r="H1984" s="26">
        <v>27.5</v>
      </c>
      <c r="I1984" s="5"/>
      <c r="J1984" s="5" t="s">
        <v>31319</v>
      </c>
      <c r="K1984" s="5" t="s">
        <v>344</v>
      </c>
      <c r="L1984" s="5" t="s">
        <v>31320</v>
      </c>
      <c r="M1984" s="27"/>
      <c r="N1984" s="5" t="s">
        <v>52452</v>
      </c>
      <c r="O1984" s="5" t="str">
        <v>5017014392</v>
      </c>
      <c r="P1984" s="27">
        <v>628900000</v>
      </c>
      <c r="Q1984" s="5"/>
      <c r="R1984" s="5"/>
      <c r="S1984" s="5" t="s">
        <v>49029</v>
      </c>
      <c r="T1984" s="28">
        <v>755770000</v>
      </c>
      <c r="U1984" s="28">
        <v>1905000</v>
      </c>
      <c r="V1984" s="28">
        <v>262171000</v>
      </c>
      <c r="W1984" s="28">
        <v>273356000</v>
      </c>
      <c r="X1984" s="28">
        <v>756792000</v>
      </c>
      <c r="Y1984" s="28">
        <v>2875454000</v>
      </c>
      <c r="Z1984" s="28">
        <v>1264393000</v>
      </c>
      <c r="AA1984" s="28"/>
      <c r="AB1984" s="28"/>
      <c r="AC1984" s="28">
        <v>916168000</v>
      </c>
      <c r="AD1984" s="28">
        <v>1956845000</v>
      </c>
      <c r="AE1984" s="28">
        <v>5638962000</v>
      </c>
      <c r="AF1984" s="28">
        <v>228328000</v>
      </c>
      <c r="AG1984" s="11"/>
    </row>
    <row r="1985">
      <c r="A1985" s="7" t="s">
        <v>3686</v>
      </c>
      <c r="B1985" s="5" t="s">
        <v>11673</v>
      </c>
      <c r="C1985" s="5" t="s">
        <v>19522</v>
      </c>
      <c r="D1985" s="5" t="str">
        <v>672400222884</v>
      </c>
      <c r="E1985" s="0" t="e">
        <f>+7 (481) 5331878
+7 (48153) 73451</f>
        <v>#NAME?</v>
      </c>
      <c r="F1985" s="5" t="s">
        <v>31321</v>
      </c>
      <c r="G1985" s="5" t="s">
        <v>31322</v>
      </c>
      <c r="H1985" s="26">
        <v>13</v>
      </c>
      <c r="I1985" s="5" t="s">
        <v>31323</v>
      </c>
      <c r="J1985" s="5" t="s">
        <v>25424</v>
      </c>
      <c r="K1985" s="5" t="s">
        <v>344</v>
      </c>
      <c r="L1985" s="5" t="s">
        <v>31324</v>
      </c>
      <c r="M1985" s="27">
        <v>2113887</v>
      </c>
      <c r="N1985" s="5"/>
      <c r="O1985" s="5" t="str">
        <v>6724008870</v>
      </c>
      <c r="P1985" s="27">
        <v>1000000</v>
      </c>
      <c r="Q1985" s="5" t="s">
        <v>49009</v>
      </c>
      <c r="R1985" s="5"/>
      <c r="S1985" s="5" t="s">
        <v>49066</v>
      </c>
      <c r="T1985" s="28"/>
      <c r="U1985" s="28"/>
      <c r="V1985" s="28">
        <v>458676000</v>
      </c>
      <c r="W1985" s="28"/>
      <c r="X1985" s="28">
        <v>7631000</v>
      </c>
      <c r="Y1985" s="28">
        <v>466324000</v>
      </c>
      <c r="Z1985" s="28">
        <v>34112000</v>
      </c>
      <c r="AA1985" s="28"/>
      <c r="AB1985" s="28"/>
      <c r="AC1985" s="28">
        <v>431023000</v>
      </c>
      <c r="AD1985" s="28">
        <v>35112000</v>
      </c>
      <c r="AE1985" s="28">
        <v>3824599000</v>
      </c>
      <c r="AF1985" s="28">
        <v>4235000</v>
      </c>
      <c r="AG1985" s="11"/>
    </row>
    <row r="1986">
      <c r="A1986" s="7" t="s">
        <v>3687</v>
      </c>
      <c r="B1986" s="5" t="s">
        <v>11674</v>
      </c>
      <c r="C1986" s="5" t="s">
        <v>19523</v>
      </c>
      <c r="D1986" s="5" t="str">
        <v>672400338504</v>
      </c>
      <c r="E1986" s="0" t="e">
        <f>+7 (48153) 31042
+7 (48153) 31858
+7 (48153) 33519
+7 (48153) 72203
+7 (48153) 72621
+7 (48153) 73218
+7 (48153) 75970
+7 (48153) 75971
+7 (910) 1121267</f>
        <v>#NAME?</v>
      </c>
      <c r="F1986" s="5" t="s">
        <v>31325</v>
      </c>
      <c r="G1986" s="5" t="s">
        <v>31326</v>
      </c>
      <c r="H1986" s="26">
        <v>17</v>
      </c>
      <c r="I1986" s="5" t="s">
        <v>31327</v>
      </c>
      <c r="J1986" s="5" t="s">
        <v>26251</v>
      </c>
      <c r="K1986" s="5" t="s">
        <v>344</v>
      </c>
      <c r="L1986" s="5"/>
      <c r="M1986" s="27"/>
      <c r="N1986" s="5"/>
      <c r="O1986" s="5" t="str">
        <v>6724007259</v>
      </c>
      <c r="P1986" s="27">
        <v>309433000</v>
      </c>
      <c r="Q1986" s="5" t="s">
        <v>49207</v>
      </c>
      <c r="R1986" s="5"/>
      <c r="S1986" s="5" t="s">
        <v>50911</v>
      </c>
      <c r="T1986" s="28">
        <v>943134000</v>
      </c>
      <c r="U1986" s="28"/>
      <c r="V1986" s="28">
        <v>698560000</v>
      </c>
      <c r="W1986" s="28">
        <v>100000000</v>
      </c>
      <c r="X1986" s="28">
        <v>35405000</v>
      </c>
      <c r="Y1986" s="28">
        <v>2349049000</v>
      </c>
      <c r="Z1986" s="28">
        <v>341768000</v>
      </c>
      <c r="AA1986" s="28">
        <v>280900000</v>
      </c>
      <c r="AB1986" s="28">
        <v>868187000</v>
      </c>
      <c r="AC1986" s="28">
        <v>1375060000</v>
      </c>
      <c r="AD1986" s="28">
        <v>651201000</v>
      </c>
      <c r="AE1986" s="28">
        <v>3583402000</v>
      </c>
      <c r="AF1986" s="28">
        <v>162931000</v>
      </c>
      <c r="AG1986" s="11"/>
    </row>
    <row r="1987">
      <c r="A1987" s="7" t="s">
        <v>3688</v>
      </c>
      <c r="B1987" s="5" t="s">
        <v>11675</v>
      </c>
      <c r="C1987" s="5" t="s">
        <v>19524</v>
      </c>
      <c r="D1987" s="5" t="str">
        <v>524904912942</v>
      </c>
      <c r="E1987" s="0" t="e">
        <f>+7 (8313) 272711
+7 (8313) 272724
+7 (8313) 334086
+7 (996) 28816
+7 (8313) 272701
+7 (8313) 272709
+7 (8313) 272712
+7 (8313) 272721
+7 (8313) 272722
+7 (8313) 272771
+7 (8313) 272868</f>
        <v>#NAME?</v>
      </c>
      <c r="F1987" s="5" t="s">
        <v>31328</v>
      </c>
      <c r="G1987" s="5" t="s">
        <v>31329</v>
      </c>
      <c r="H1987" s="26">
        <v>29.5</v>
      </c>
      <c r="I1987" s="5"/>
      <c r="J1987" s="5" t="s">
        <v>31330</v>
      </c>
      <c r="K1987" s="5" t="s">
        <v>344</v>
      </c>
      <c r="L1987" s="5"/>
      <c r="M1987" s="27">
        <v>3415500</v>
      </c>
      <c r="N1987" s="5" t="s">
        <v>52453</v>
      </c>
      <c r="O1987" s="5" t="str">
        <v>5249015251</v>
      </c>
      <c r="P1987" s="27">
        <v>265906</v>
      </c>
      <c r="Q1987" s="5" t="s">
        <v>49207</v>
      </c>
      <c r="R1987" s="5"/>
      <c r="S1987" s="5" t="s">
        <v>52454</v>
      </c>
      <c r="T1987" s="28">
        <v>3043067000</v>
      </c>
      <c r="U1987" s="28">
        <v>509307000</v>
      </c>
      <c r="V1987" s="28">
        <v>636509000</v>
      </c>
      <c r="W1987" s="28">
        <v>65000000</v>
      </c>
      <c r="X1987" s="28">
        <v>233994000</v>
      </c>
      <c r="Y1987" s="28">
        <v>5391925000</v>
      </c>
      <c r="Z1987" s="28">
        <v>1359434000</v>
      </c>
      <c r="AA1987" s="28">
        <v>1064632000</v>
      </c>
      <c r="AB1987" s="28">
        <v>1269558000</v>
      </c>
      <c r="AC1987" s="28">
        <v>2373481000</v>
      </c>
      <c r="AD1987" s="28">
        <v>1729483000</v>
      </c>
      <c r="AE1987" s="28">
        <v>4396019000</v>
      </c>
      <c r="AF1987" s="28">
        <v>55290000</v>
      </c>
      <c r="AG1987" s="11"/>
    </row>
    <row r="1988">
      <c r="A1988" s="7" t="s">
        <v>3689</v>
      </c>
      <c r="B1988" s="5" t="s">
        <v>11676</v>
      </c>
      <c r="C1988" s="5" t="s">
        <v>19525</v>
      </c>
      <c r="D1988" s="5" t="str">
        <v>402504580147</v>
      </c>
      <c r="E1988" s="0" t="e">
        <f>+7 (495) 7953596
+7 (495) 7833165
+7 (985) 2424985
+7 (495) 5040232
+7 (495) 5040235
+7 (495) 5040264
+7 (495) 5040295
+7 (495) 5450675
+7 (495) 5807426</f>
        <v>#NAME?</v>
      </c>
      <c r="F1988" s="5" t="s">
        <v>31331</v>
      </c>
      <c r="G1988" s="5" t="s">
        <v>31332</v>
      </c>
      <c r="H1988" s="26">
        <v>26.5</v>
      </c>
      <c r="I1988" s="5" t="s">
        <v>31333</v>
      </c>
      <c r="J1988" s="5" t="s">
        <v>31237</v>
      </c>
      <c r="K1988" s="5" t="s">
        <v>344</v>
      </c>
      <c r="L1988" s="5" t="s">
        <v>31334</v>
      </c>
      <c r="M1988" s="27"/>
      <c r="N1988" s="5" t="s">
        <v>52455</v>
      </c>
      <c r="O1988" s="5" t="str">
        <v>5009097645</v>
      </c>
      <c r="P1988" s="27">
        <v>48000000</v>
      </c>
      <c r="Q1988" s="5" t="s">
        <v>52456</v>
      </c>
      <c r="R1988" s="5"/>
      <c r="S1988" s="5" t="s">
        <v>49747</v>
      </c>
      <c r="T1988" s="28">
        <v>102128000</v>
      </c>
      <c r="U1988" s="28">
        <v>376000000</v>
      </c>
      <c r="V1988" s="28">
        <v>15296659000</v>
      </c>
      <c r="W1988" s="28"/>
      <c r="X1988" s="28">
        <v>313597000</v>
      </c>
      <c r="Y1988" s="28">
        <v>16756852000</v>
      </c>
      <c r="Z1988" s="28">
        <v>4617753000</v>
      </c>
      <c r="AA1988" s="28"/>
      <c r="AB1988" s="28">
        <v>200000000</v>
      </c>
      <c r="AC1988" s="28">
        <v>12053171000</v>
      </c>
      <c r="AD1988" s="28">
        <v>4673564000</v>
      </c>
      <c r="AE1988" s="28">
        <v>9056440000</v>
      </c>
      <c r="AF1988" s="28">
        <v>-92524000</v>
      </c>
      <c r="AG1988" s="11"/>
    </row>
    <row r="1989">
      <c r="A1989" s="7" t="s">
        <v>3690</v>
      </c>
      <c r="B1989" s="5" t="s">
        <v>11677</v>
      </c>
      <c r="C1989" s="5" t="s">
        <v>19526</v>
      </c>
      <c r="D1989" s="5" t="str">
        <v>666200969503</v>
      </c>
      <c r="E1989" s="0" t="e">
        <f>+7 (495) 7953939
+7 (495) 6443738
+7 (495) 6443778
+7 (495) 7298301
+7 (495) 7832901</f>
        <v>#NAME?</v>
      </c>
      <c r="F1989" s="5" t="s">
        <v>31335</v>
      </c>
      <c r="G1989" s="5" t="s">
        <v>31336</v>
      </c>
      <c r="H1989" s="26">
        <v>20</v>
      </c>
      <c r="I1989" s="5" t="s">
        <v>31337</v>
      </c>
      <c r="J1989" s="5" t="s">
        <v>26588</v>
      </c>
      <c r="K1989" s="5" t="s">
        <v>344</v>
      </c>
      <c r="L1989" s="5" t="s">
        <v>31338</v>
      </c>
      <c r="M1989" s="27">
        <v>96794</v>
      </c>
      <c r="N1989" s="5"/>
      <c r="O1989" s="5" t="str">
        <v>7707321227</v>
      </c>
      <c r="P1989" s="27">
        <v>696294632</v>
      </c>
      <c r="Q1989" s="5"/>
      <c r="R1989" s="5" t="s">
        <v>52457</v>
      </c>
      <c r="S1989" s="5" t="s">
        <v>49053</v>
      </c>
      <c r="T1989" s="28">
        <v>611341000</v>
      </c>
      <c r="U1989" s="28"/>
      <c r="V1989" s="28">
        <v>7941441000</v>
      </c>
      <c r="W1989" s="28"/>
      <c r="X1989" s="28">
        <v>1598268000</v>
      </c>
      <c r="Y1989" s="28">
        <v>13651398000</v>
      </c>
      <c r="Z1989" s="28">
        <v>3263858000</v>
      </c>
      <c r="AA1989" s="28"/>
      <c r="AB1989" s="28">
        <v>4712589000</v>
      </c>
      <c r="AC1989" s="28">
        <v>9691245000</v>
      </c>
      <c r="AD1989" s="28">
        <v>3960153000</v>
      </c>
      <c r="AE1989" s="28">
        <v>23371113000</v>
      </c>
      <c r="AF1989" s="28">
        <v>816930000</v>
      </c>
      <c r="AG1989" s="11"/>
    </row>
    <row r="1990">
      <c r="A1990" s="7" t="s">
        <v>3691</v>
      </c>
      <c r="B1990" s="5" t="s">
        <v>11678</v>
      </c>
      <c r="C1990" s="5" t="s">
        <v>19527</v>
      </c>
      <c r="D1990" s="5" t="str">
        <v>504601375358</v>
      </c>
      <c r="E1990" s="0" t="e">
        <f>+7 (495) 7984847
+7 (495) 9806010
+7 (495) 9806012
+7 (800) 1004440</f>
        <v>#NAME?</v>
      </c>
      <c r="F1990" s="5" t="s">
        <v>31339</v>
      </c>
      <c r="G1990" s="5" t="s">
        <v>31340</v>
      </c>
      <c r="H1990" s="26">
        <v>12</v>
      </c>
      <c r="I1990" s="5" t="s">
        <v>31341</v>
      </c>
      <c r="J1990" s="5" t="s">
        <v>27085</v>
      </c>
      <c r="K1990" s="5" t="s">
        <v>344</v>
      </c>
      <c r="L1990" s="5"/>
      <c r="M1990" s="27">
        <v>440880</v>
      </c>
      <c r="N1990" s="5" t="s">
        <v>52458</v>
      </c>
      <c r="O1990" s="5" t="str">
        <v>7725718602</v>
      </c>
      <c r="P1990" s="27">
        <v>100000</v>
      </c>
      <c r="Q1990" s="5"/>
      <c r="R1990" s="5"/>
      <c r="S1990" s="5" t="s">
        <v>49110</v>
      </c>
      <c r="T1990" s="28">
        <v>210947000</v>
      </c>
      <c r="U1990" s="28">
        <v>563000</v>
      </c>
      <c r="V1990" s="28">
        <v>1191193000</v>
      </c>
      <c r="W1990" s="28"/>
      <c r="X1990" s="28">
        <v>7003000</v>
      </c>
      <c r="Y1990" s="28">
        <v>1888664000</v>
      </c>
      <c r="Z1990" s="28">
        <v>316346000</v>
      </c>
      <c r="AA1990" s="28"/>
      <c r="AB1990" s="28"/>
      <c r="AC1990" s="28">
        <v>1035131000</v>
      </c>
      <c r="AD1990" s="28">
        <v>626955000</v>
      </c>
      <c r="AE1990" s="28">
        <v>4293702000</v>
      </c>
      <c r="AF1990" s="28">
        <v>157341000</v>
      </c>
      <c r="AG1990" s="11"/>
    </row>
    <row r="1991">
      <c r="A1991" s="7" t="s">
        <v>3692</v>
      </c>
      <c r="B1991" s="5" t="s">
        <v>11679</v>
      </c>
      <c r="C1991" s="5" t="s">
        <v>19528</v>
      </c>
      <c r="D1991" s="5" t="str">
        <v>741300221342</v>
      </c>
      <c r="E1991" s="0" t="e">
        <f>+7 (495) 9268005
+7 (495) 3801968</f>
        <v>#NAME?</v>
      </c>
      <c r="F1991" s="5" t="s">
        <v>31342</v>
      </c>
      <c r="G1991" s="5" t="s">
        <v>31343</v>
      </c>
      <c r="H1991" s="26">
        <v>9.5</v>
      </c>
      <c r="I1991" s="5" t="s">
        <v>31344</v>
      </c>
      <c r="J1991" s="5" t="s">
        <v>31345</v>
      </c>
      <c r="K1991" s="5" t="s">
        <v>344</v>
      </c>
      <c r="L1991" s="5" t="s">
        <v>30261</v>
      </c>
      <c r="M1991" s="27"/>
      <c r="N1991" s="5" t="s">
        <v>52459</v>
      </c>
      <c r="O1991" s="5" t="str">
        <v>7703428900</v>
      </c>
      <c r="P1991" s="27">
        <v>100000000</v>
      </c>
      <c r="Q1991" s="5" t="s">
        <v>49579</v>
      </c>
      <c r="R1991" s="5"/>
      <c r="S1991" s="5" t="s">
        <v>52460</v>
      </c>
      <c r="T1991" s="28">
        <v>142551000</v>
      </c>
      <c r="U1991" s="28">
        <v>819230000</v>
      </c>
      <c r="V1991" s="28">
        <v>2737229000</v>
      </c>
      <c r="W1991" s="28">
        <v>306239000</v>
      </c>
      <c r="X1991" s="28">
        <v>171117000</v>
      </c>
      <c r="Y1991" s="28">
        <v>4741672000</v>
      </c>
      <c r="Z1991" s="28">
        <v>2501457000</v>
      </c>
      <c r="AA1991" s="28">
        <v>397477000</v>
      </c>
      <c r="AB1991" s="28">
        <v>161159000</v>
      </c>
      <c r="AC1991" s="28">
        <v>1716676000</v>
      </c>
      <c r="AD1991" s="28">
        <v>2609860000</v>
      </c>
      <c r="AE1991" s="28">
        <v>4468838000</v>
      </c>
      <c r="AF1991" s="28">
        <v>2274747000</v>
      </c>
      <c r="AG1991" s="11"/>
    </row>
    <row r="1992">
      <c r="A1992" s="7" t="s">
        <v>3693</v>
      </c>
      <c r="B1992" s="5" t="s">
        <v>11680</v>
      </c>
      <c r="C1992" s="5" t="s">
        <v>19529</v>
      </c>
      <c r="D1992" s="5" t="str">
        <v>526101039266</v>
      </c>
      <c r="E1992" s="0" t="e">
        <f>+7 (83141) 15177
+7 (8432) 23977</f>
        <v>#NAME?</v>
      </c>
      <c r="F1992" s="5" t="s">
        <v>31346</v>
      </c>
      <c r="G1992" s="5" t="s">
        <v>31347</v>
      </c>
      <c r="H1992" s="26">
        <v>10</v>
      </c>
      <c r="I1992" s="5" t="s">
        <v>31348</v>
      </c>
      <c r="J1992" s="5" t="s">
        <v>31349</v>
      </c>
      <c r="K1992" s="5" t="s">
        <v>344</v>
      </c>
      <c r="L1992" s="5"/>
      <c r="M1992" s="27"/>
      <c r="N1992" s="5"/>
      <c r="O1992" s="5" t="str">
        <v>1646033958</v>
      </c>
      <c r="P1992" s="27">
        <v>10000</v>
      </c>
      <c r="Q1992" s="5" t="s">
        <v>49009</v>
      </c>
      <c r="R1992" s="5"/>
      <c r="S1992" s="5" t="s">
        <v>49066</v>
      </c>
      <c r="T1992" s="28">
        <v>2286192000</v>
      </c>
      <c r="U1992" s="28"/>
      <c r="V1992" s="28">
        <v>919825000</v>
      </c>
      <c r="W1992" s="28"/>
      <c r="X1992" s="28">
        <v>12020000</v>
      </c>
      <c r="Y1992" s="28">
        <v>7021249000</v>
      </c>
      <c r="Z1992" s="28">
        <v>179982000</v>
      </c>
      <c r="AA1992" s="28">
        <v>3581027000</v>
      </c>
      <c r="AB1992" s="28">
        <v>299750000</v>
      </c>
      <c r="AC1992" s="28">
        <v>1719204000</v>
      </c>
      <c r="AD1992" s="28">
        <v>1687302000</v>
      </c>
      <c r="AE1992" s="28">
        <v>6675348000</v>
      </c>
      <c r="AF1992" s="28">
        <v>1342607000</v>
      </c>
      <c r="AG1992" s="11"/>
    </row>
    <row r="1993">
      <c r="A1993" s="7" t="s">
        <v>3694</v>
      </c>
      <c r="B1993" s="5" t="s">
        <v>11681</v>
      </c>
      <c r="C1993" s="5" t="s">
        <v>19530</v>
      </c>
      <c r="D1993" s="5" t="str">
        <v>771865143410</v>
      </c>
      <c r="E1993" s="0" t="e">
        <f>+7 (495) 9843151</f>
        <v>#NAME?</v>
      </c>
      <c r="F1993" s="5"/>
      <c r="G1993" s="5"/>
      <c r="H1993" s="26">
        <v>13</v>
      </c>
      <c r="I1993" s="5" t="s">
        <v>31350</v>
      </c>
      <c r="J1993" s="5" t="s">
        <v>27522</v>
      </c>
      <c r="K1993" s="5" t="s">
        <v>344</v>
      </c>
      <c r="L1993" s="5"/>
      <c r="M1993" s="27"/>
      <c r="N1993" s="5"/>
      <c r="O1993" s="5" t="str">
        <v>7704742940</v>
      </c>
      <c r="P1993" s="27">
        <v>1010000</v>
      </c>
      <c r="Q1993" s="5" t="s">
        <v>52461</v>
      </c>
      <c r="R1993" s="5"/>
      <c r="S1993" s="5" t="s">
        <v>52462</v>
      </c>
      <c r="T1993" s="28"/>
      <c r="U1993" s="28"/>
      <c r="V1993" s="28">
        <v>710604000</v>
      </c>
      <c r="W1993" s="28">
        <v>373500000</v>
      </c>
      <c r="X1993" s="28">
        <v>33096000</v>
      </c>
      <c r="Y1993" s="28">
        <v>1353149000</v>
      </c>
      <c r="Z1993" s="28">
        <v>289189000</v>
      </c>
      <c r="AA1993" s="28">
        <v>119881000</v>
      </c>
      <c r="AB1993" s="28">
        <v>197000</v>
      </c>
      <c r="AC1993" s="28">
        <v>940618000</v>
      </c>
      <c r="AD1993" s="28">
        <v>290199000</v>
      </c>
      <c r="AE1993" s="28">
        <v>5352428000</v>
      </c>
      <c r="AF1993" s="28">
        <v>299283000</v>
      </c>
      <c r="AG1993" s="11"/>
    </row>
    <row r="1994">
      <c r="A1994" s="7" t="s">
        <v>3695</v>
      </c>
      <c r="B1994" s="5" t="s">
        <v>11682</v>
      </c>
      <c r="C1994" s="5" t="s">
        <v>19531</v>
      </c>
      <c r="D1994" s="5" t="str">
        <v>280800480271</v>
      </c>
      <c r="E1994" s="0" t="e">
        <f>+7 (416) 2397436
+7 (41145) 41665
+7 (416) 2397110
+7 (416) 2397147
+7 (416) 2397175
+7 (416) 2397200
+7 (416) 2397205
+7 (416) 2397208
+7 (416) 2397242
+7 (416) 2397260
+7 (416) 2397268
+7 (416) 2397307
+7 (416) 2397308
+7 (416) 2397311
+7 (416) 2397315</f>
        <v>#NAME?</v>
      </c>
      <c r="F1994" s="5" t="s">
        <v>31351</v>
      </c>
      <c r="G1994" s="5" t="s">
        <v>31352</v>
      </c>
      <c r="H1994" s="26">
        <v>17</v>
      </c>
      <c r="I1994" s="5"/>
      <c r="J1994" s="5" t="s">
        <v>27802</v>
      </c>
      <c r="K1994" s="5" t="s">
        <v>355</v>
      </c>
      <c r="L1994" s="5"/>
      <c r="M1994" s="27">
        <v>68111294</v>
      </c>
      <c r="N1994" s="5" t="s">
        <v>52463</v>
      </c>
      <c r="O1994" s="5" t="str">
        <v>2801108200</v>
      </c>
      <c r="P1994" s="27">
        <v>9959501868</v>
      </c>
      <c r="Q1994" s="5" t="s">
        <v>52464</v>
      </c>
      <c r="R1994" s="5"/>
      <c r="S1994" s="5" t="s">
        <v>51565</v>
      </c>
      <c r="T1994" s="28">
        <v>47767160000</v>
      </c>
      <c r="U1994" s="28"/>
      <c r="V1994" s="28">
        <v>2504461000</v>
      </c>
      <c r="W1994" s="28"/>
      <c r="X1994" s="28">
        <v>2930758000</v>
      </c>
      <c r="Y1994" s="28">
        <v>55643830000</v>
      </c>
      <c r="Z1994" s="28">
        <v>14362880000</v>
      </c>
      <c r="AA1994" s="28">
        <v>10255425000</v>
      </c>
      <c r="AB1994" s="28">
        <v>4335882000</v>
      </c>
      <c r="AC1994" s="28">
        <v>13007706000</v>
      </c>
      <c r="AD1994" s="28">
        <v>25018505000</v>
      </c>
      <c r="AE1994" s="28">
        <v>36802595000</v>
      </c>
      <c r="AF1994" s="28">
        <v>258729000</v>
      </c>
      <c r="AG1994" s="11"/>
    </row>
    <row r="1995">
      <c r="A1995" s="7" t="s">
        <v>3696</v>
      </c>
      <c r="B1995" s="5" t="s">
        <v>11683</v>
      </c>
      <c r="C1995" s="5" t="s">
        <v>19532</v>
      </c>
      <c r="D1995" s="5" t="str">
        <v>253804146884</v>
      </c>
      <c r="E1995" s="0" t="e">
        <f>+7 (910) 4278057</f>
        <v>#NAME?</v>
      </c>
      <c r="F1995" s="5"/>
      <c r="G1995" s="5"/>
      <c r="H1995" s="26">
        <v>8</v>
      </c>
      <c r="I1995" s="5" t="s">
        <v>31353</v>
      </c>
      <c r="J1995" s="5" t="s">
        <v>502</v>
      </c>
      <c r="K1995" s="5" t="s">
        <v>344</v>
      </c>
      <c r="L1995" s="5" t="s">
        <v>31354</v>
      </c>
      <c r="M1995" s="27"/>
      <c r="N1995" s="5" t="s">
        <v>52465</v>
      </c>
      <c r="O1995" s="5" t="str">
        <v>7710976720</v>
      </c>
      <c r="P1995" s="27">
        <v>100000</v>
      </c>
      <c r="Q1995" s="5" t="s">
        <v>49009</v>
      </c>
      <c r="R1995" s="5"/>
      <c r="S1995" s="5" t="s">
        <v>50110</v>
      </c>
      <c r="T1995" s="28">
        <v>347000</v>
      </c>
      <c r="U1995" s="28">
        <v>576281000</v>
      </c>
      <c r="V1995" s="28">
        <v>587218000</v>
      </c>
      <c r="W1995" s="28"/>
      <c r="X1995" s="28">
        <v>279574000</v>
      </c>
      <c r="Y1995" s="28">
        <v>1474000000</v>
      </c>
      <c r="Z1995" s="28">
        <v>584806000</v>
      </c>
      <c r="AA1995" s="28"/>
      <c r="AB1995" s="28"/>
      <c r="AC1995" s="28">
        <v>874240000</v>
      </c>
      <c r="AD1995" s="28">
        <v>584906000</v>
      </c>
      <c r="AE1995" s="28">
        <v>3974170000</v>
      </c>
      <c r="AF1995" s="28">
        <v>-32885000</v>
      </c>
      <c r="AG1995" s="11"/>
    </row>
    <row r="1996">
      <c r="A1996" s="7" t="s">
        <v>3697</v>
      </c>
      <c r="B1996" s="5" t="s">
        <v>11683</v>
      </c>
      <c r="C1996" s="5" t="s">
        <v>19533</v>
      </c>
      <c r="D1996" s="5" t="str">
        <v>782614434540</v>
      </c>
      <c r="E1996" s="0" t="e">
        <f>+7 (812) 4989422
+7 (495) 7870601
+7 (499) 7870600
+7 (499) 7870601
+7 (812) 7037106</f>
        <v>#NAME?</v>
      </c>
      <c r="F1996" s="5" t="s">
        <v>31355</v>
      </c>
      <c r="G1996" s="5" t="s">
        <v>31356</v>
      </c>
      <c r="H1996" s="26">
        <v>30.5</v>
      </c>
      <c r="I1996" s="5" t="s">
        <v>31357</v>
      </c>
      <c r="J1996" s="5" t="s">
        <v>31358</v>
      </c>
      <c r="K1996" s="5" t="s">
        <v>344</v>
      </c>
      <c r="L1996" s="5" t="s">
        <v>31359</v>
      </c>
      <c r="M1996" s="27"/>
      <c r="N1996" s="5" t="s">
        <v>52466</v>
      </c>
      <c r="O1996" s="5" t="str">
        <v>7703097990</v>
      </c>
      <c r="P1996" s="27">
        <v>10120</v>
      </c>
      <c r="Q1996" s="5" t="s">
        <v>52468</v>
      </c>
      <c r="R1996" s="5"/>
      <c r="S1996" s="5" t="s">
        <v>52469</v>
      </c>
      <c r="T1996" s="28">
        <v>2036647000</v>
      </c>
      <c r="U1996" s="28">
        <v>221813000</v>
      </c>
      <c r="V1996" s="28">
        <v>3136641000</v>
      </c>
      <c r="W1996" s="28"/>
      <c r="X1996" s="28">
        <v>734043000</v>
      </c>
      <c r="Y1996" s="28">
        <v>6450283000</v>
      </c>
      <c r="Z1996" s="28">
        <v>3426307000</v>
      </c>
      <c r="AA1996" s="28">
        <v>131267000</v>
      </c>
      <c r="AB1996" s="28">
        <v>10077000</v>
      </c>
      <c r="AC1996" s="28">
        <v>2033213000</v>
      </c>
      <c r="AD1996" s="28">
        <v>3444113000</v>
      </c>
      <c r="AE1996" s="28">
        <v>5757373000</v>
      </c>
      <c r="AF1996" s="28">
        <v>-286171000</v>
      </c>
      <c r="AG1996" s="11"/>
    </row>
    <row r="1997">
      <c r="A1997" s="7" t="s">
        <v>3698</v>
      </c>
      <c r="B1997" s="5" t="s">
        <v>11684</v>
      </c>
      <c r="C1997" s="5" t="s">
        <v>19534</v>
      </c>
      <c r="D1997" s="5" t="str">
        <v>010600606625</v>
      </c>
      <c r="E1997" s="0" t="e">
        <f>+7 (36556) 62999
+7 (978) 1004107
+7 (978) 8383226
+7 (978) 8383434</f>
        <v>#NAME?</v>
      </c>
      <c r="F1997" s="5" t="s">
        <v>31360</v>
      </c>
      <c r="G1997" s="5"/>
      <c r="H1997" s="26">
        <v>22</v>
      </c>
      <c r="I1997" s="5"/>
      <c r="J1997" s="5" t="s">
        <v>29158</v>
      </c>
      <c r="K1997" s="5" t="s">
        <v>380</v>
      </c>
      <c r="L1997" s="5" t="s">
        <v>31361</v>
      </c>
      <c r="M1997" s="27">
        <v>9277324</v>
      </c>
      <c r="N1997" s="5"/>
      <c r="O1997" s="5" t="str">
        <v>9105005771</v>
      </c>
      <c r="P1997" s="27">
        <v>300000000</v>
      </c>
      <c r="Q1997" s="5"/>
      <c r="R1997" s="5"/>
      <c r="S1997" s="5" t="s">
        <v>49029</v>
      </c>
      <c r="T1997" s="28">
        <v>1278463000</v>
      </c>
      <c r="U1997" s="28">
        <v>843003000</v>
      </c>
      <c r="V1997" s="28">
        <v>616388000</v>
      </c>
      <c r="W1997" s="28"/>
      <c r="X1997" s="28">
        <v>64774000</v>
      </c>
      <c r="Y1997" s="28">
        <v>11589778000</v>
      </c>
      <c r="Z1997" s="28">
        <v>1910199000</v>
      </c>
      <c r="AA1997" s="28">
        <v>5535494000</v>
      </c>
      <c r="AB1997" s="28">
        <v>1814943000</v>
      </c>
      <c r="AC1997" s="28">
        <v>3522434000</v>
      </c>
      <c r="AD1997" s="28">
        <v>2225199000</v>
      </c>
      <c r="AE1997" s="28">
        <v>7924345000</v>
      </c>
      <c r="AF1997" s="28">
        <v>414110000</v>
      </c>
      <c r="AG1997" s="11"/>
    </row>
    <row r="1998">
      <c r="A1998" s="7" t="s">
        <v>3699</v>
      </c>
      <c r="B1998" s="5" t="s">
        <v>11685</v>
      </c>
      <c r="C1998" s="5" t="s">
        <v>19535</v>
      </c>
      <c r="D1998" s="5" t="str">
        <v>323402167158</v>
      </c>
      <c r="E1998" s="0" t="e">
        <f>+7 (483) 2318080
+7 (483) 2318000
+7 (483) 2675080
+7 (48344) 48344
+7 (834) 4675080</f>
        <v>#NAME?</v>
      </c>
      <c r="F1998" s="5" t="s">
        <v>31362</v>
      </c>
      <c r="G1998" s="5"/>
      <c r="H1998" s="26">
        <v>17</v>
      </c>
      <c r="I1998" s="5" t="s">
        <v>31363</v>
      </c>
      <c r="J1998" s="5" t="s">
        <v>25895</v>
      </c>
      <c r="K1998" s="5" t="s">
        <v>344</v>
      </c>
      <c r="L1998" s="5"/>
      <c r="M1998" s="27"/>
      <c r="N1998" s="5" t="s">
        <v>52471</v>
      </c>
      <c r="O1998" s="5" t="str">
        <v>3245002508</v>
      </c>
      <c r="P1998" s="27">
        <v>36928256</v>
      </c>
      <c r="Q1998" s="5"/>
      <c r="R1998" s="5"/>
      <c r="S1998" s="5" t="s">
        <v>52472</v>
      </c>
      <c r="T1998" s="28">
        <v>3305739000</v>
      </c>
      <c r="U1998" s="28">
        <v>1442840000</v>
      </c>
      <c r="V1998" s="28">
        <v>1522317000</v>
      </c>
      <c r="W1998" s="28"/>
      <c r="X1998" s="28">
        <v>668125000</v>
      </c>
      <c r="Y1998" s="28">
        <v>8515376000</v>
      </c>
      <c r="Z1998" s="28">
        <v>4856871000</v>
      </c>
      <c r="AA1998" s="28">
        <v>2241819000</v>
      </c>
      <c r="AB1998" s="28">
        <v>805536000</v>
      </c>
      <c r="AC1998" s="28">
        <v>1378758000</v>
      </c>
      <c r="AD1998" s="28">
        <v>4994798000</v>
      </c>
      <c r="AE1998" s="28">
        <v>5149227000</v>
      </c>
      <c r="AF1998" s="28">
        <v>56272000</v>
      </c>
      <c r="AG1998" s="11"/>
    </row>
    <row r="1999">
      <c r="A1999" s="7" t="s">
        <v>3700</v>
      </c>
      <c r="B1999" s="5" t="s">
        <v>11686</v>
      </c>
      <c r="C1999" s="5" t="s">
        <v>19536</v>
      </c>
      <c r="D1999" s="5" t="str">
        <v>380201184452</v>
      </c>
      <c r="E1999" s="0" t="e">
        <f>+7 (3952) 417555
+7 (395) 6151747
+7 (3952) 481555</f>
        <v>#NAME?</v>
      </c>
      <c r="F1999" s="5" t="s">
        <v>31364</v>
      </c>
      <c r="G1999" s="5"/>
      <c r="H1999" s="26">
        <v>27</v>
      </c>
      <c r="I1999" s="5" t="s">
        <v>31365</v>
      </c>
      <c r="J1999" s="5" t="s">
        <v>26499</v>
      </c>
      <c r="K1999" s="5" t="s">
        <v>344</v>
      </c>
      <c r="L1999" s="5" t="s">
        <v>31366</v>
      </c>
      <c r="M1999" s="27"/>
      <c r="N1999" s="5" t="s">
        <v>49923</v>
      </c>
      <c r="O1999" s="5" t="str">
        <v>3802007912</v>
      </c>
      <c r="P1999" s="27">
        <v>1186500</v>
      </c>
      <c r="Q1999" s="5" t="s">
        <v>49057</v>
      </c>
      <c r="R1999" s="5" t="s">
        <v>52473</v>
      </c>
      <c r="S1999" s="5" t="s">
        <v>52474</v>
      </c>
      <c r="T1999" s="28">
        <v>1719800000</v>
      </c>
      <c r="U1999" s="28">
        <v>1006273000</v>
      </c>
      <c r="V1999" s="28">
        <v>318475000</v>
      </c>
      <c r="W1999" s="28"/>
      <c r="X1999" s="28">
        <v>114202000</v>
      </c>
      <c r="Y1999" s="28">
        <v>6938660000</v>
      </c>
      <c r="Z1999" s="28">
        <v>5714069000</v>
      </c>
      <c r="AA1999" s="28">
        <v>508400000</v>
      </c>
      <c r="AB1999" s="28">
        <v>27939000</v>
      </c>
      <c r="AC1999" s="28">
        <v>525550000</v>
      </c>
      <c r="AD1999" s="28">
        <v>5715849000</v>
      </c>
      <c r="AE1999" s="28">
        <v>5909710000</v>
      </c>
      <c r="AF1999" s="28">
        <v>956460000</v>
      </c>
      <c r="AG1999" s="11"/>
    </row>
    <row r="2000">
      <c r="A2000" s="7" t="s">
        <v>3701</v>
      </c>
      <c r="B2000" s="5" t="s">
        <v>11687</v>
      </c>
      <c r="C2000" s="5" t="s">
        <v>19537</v>
      </c>
      <c r="D2000" s="5" t="str">
        <v>771376324876</v>
      </c>
      <c r="E2000" s="0" t="e">
        <f>+7 (4232) 498568
+7 (4232) 609301
+7 (495) 2414048
+7 (495) 6069233
+7 (495) 6208416
+7 (495) 6208435
+7 (495) 9252658
+7 (499) 6218896
+7 (903) 1155116
+7 (903) 7432449
+7 (916) 7522925
+7 (916) 8119429
+7 (926) 5280009
+7 (4232) 414048
+7 (4232) 414933</f>
        <v>#NAME?</v>
      </c>
      <c r="F2000" s="5" t="s">
        <v>31367</v>
      </c>
      <c r="G2000" s="5"/>
      <c r="H2000" s="26">
        <v>17.5</v>
      </c>
      <c r="I2000" s="5" t="s">
        <v>31368</v>
      </c>
      <c r="J2000" s="5" t="s">
        <v>364</v>
      </c>
      <c r="K2000" s="5" t="s">
        <v>344</v>
      </c>
      <c r="L2000" s="5"/>
      <c r="M2000" s="27"/>
      <c r="N2000" s="5" t="s">
        <v>52475</v>
      </c>
      <c r="O2000" s="5" t="str">
        <v>2540113732</v>
      </c>
      <c r="P2000" s="27">
        <v>15000000</v>
      </c>
      <c r="Q2000" s="5" t="s">
        <v>52476</v>
      </c>
      <c r="R2000" s="5"/>
      <c r="S2000" s="5" t="s">
        <v>52477</v>
      </c>
      <c r="T2000" s="28">
        <v>347348000</v>
      </c>
      <c r="U2000" s="28"/>
      <c r="V2000" s="28">
        <v>700041000</v>
      </c>
      <c r="W2000" s="28"/>
      <c r="X2000" s="28">
        <v>1856504000</v>
      </c>
      <c r="Y2000" s="28">
        <v>2990836000</v>
      </c>
      <c r="Z2000" s="28">
        <v>478224000</v>
      </c>
      <c r="AA2000" s="28"/>
      <c r="AB2000" s="28"/>
      <c r="AC2000" s="28">
        <v>2337146000</v>
      </c>
      <c r="AD2000" s="28">
        <v>645001000</v>
      </c>
      <c r="AE2000" s="28">
        <v>3226604000</v>
      </c>
      <c r="AF2000" s="28">
        <v>189641000</v>
      </c>
      <c r="AG2000" s="11"/>
    </row>
    <row r="2001">
      <c r="A2001" s="7" t="s">
        <v>3702</v>
      </c>
      <c r="B2001" s="5" t="s">
        <v>11688</v>
      </c>
      <c r="C2001" s="5" t="s">
        <v>19538</v>
      </c>
      <c r="D2001" s="5" t="str">
        <v>772593612270</v>
      </c>
      <c r="E2001" s="0" t="e">
        <f>+7 (800) 1006776
+7 (916) 4595468
+7 (925) 807434
+7 (985) 8077430</f>
        <v>#NAME?</v>
      </c>
      <c r="F2001" s="5"/>
      <c r="G2001" s="5"/>
      <c r="H2001" s="26">
        <v>5.5</v>
      </c>
      <c r="I2001" s="5" t="s">
        <v>31369</v>
      </c>
      <c r="J2001" s="5" t="s">
        <v>28290</v>
      </c>
      <c r="K2001" s="5" t="s">
        <v>344</v>
      </c>
      <c r="L2001" s="5"/>
      <c r="M2001" s="27"/>
      <c r="N2001" s="5"/>
      <c r="O2001" s="5" t="str">
        <v>7703431317</v>
      </c>
      <c r="P2001" s="27">
        <v>3000000</v>
      </c>
      <c r="Q2001" s="5" t="s">
        <v>49009</v>
      </c>
      <c r="R2001" s="5"/>
      <c r="S2001" s="5" t="s">
        <v>49010</v>
      </c>
      <c r="T2001" s="28">
        <v>13094000</v>
      </c>
      <c r="U2001" s="28"/>
      <c r="V2001" s="28">
        <v>1177362000</v>
      </c>
      <c r="W2001" s="28"/>
      <c r="X2001" s="28">
        <v>276645000</v>
      </c>
      <c r="Y2001" s="28">
        <v>2179848000</v>
      </c>
      <c r="Z2001" s="28">
        <v>-1654999000</v>
      </c>
      <c r="AA2001" s="28"/>
      <c r="AB2001" s="28"/>
      <c r="AC2001" s="28">
        <v>3827026000</v>
      </c>
      <c r="AD2001" s="28">
        <v>-1651999000</v>
      </c>
      <c r="AE2001" s="28">
        <v>9086491000</v>
      </c>
      <c r="AF2001" s="28">
        <v>414872000</v>
      </c>
      <c r="AG2001" s="11"/>
    </row>
    <row r="2002">
      <c r="A2002" s="7" t="s">
        <v>3703</v>
      </c>
      <c r="B2002" s="5" t="s">
        <v>11689</v>
      </c>
      <c r="C2002" s="5" t="s">
        <v>19539</v>
      </c>
      <c r="D2002" s="5"/>
      <c r="E2002" s="0" t="e">
        <f>+7 (495) 2296656
+7 (495) 6296656</f>
        <v>#NAME?</v>
      </c>
      <c r="F2002" s="5"/>
      <c r="G2002" s="5"/>
      <c r="H2002" s="26">
        <v>9</v>
      </c>
      <c r="I2002" s="5" t="s">
        <v>31370</v>
      </c>
      <c r="J2002" s="5" t="s">
        <v>364</v>
      </c>
      <c r="K2002" s="5" t="s">
        <v>355</v>
      </c>
      <c r="L2002" s="5" t="s">
        <v>31371</v>
      </c>
      <c r="M2002" s="27">
        <v>334357504</v>
      </c>
      <c r="N2002" s="5"/>
      <c r="O2002" s="5" t="str">
        <v>7729762641</v>
      </c>
      <c r="P2002" s="27">
        <v>10000</v>
      </c>
      <c r="Q2002" s="5" t="s">
        <v>49009</v>
      </c>
      <c r="R2002" s="5"/>
      <c r="S2002" s="5" t="s">
        <v>49010</v>
      </c>
      <c r="T2002" s="28">
        <v>1126000</v>
      </c>
      <c r="U2002" s="28"/>
      <c r="V2002" s="28">
        <v>34860566000</v>
      </c>
      <c r="W2002" s="28"/>
      <c r="X2002" s="28">
        <v>1067875000</v>
      </c>
      <c r="Y2002" s="28">
        <v>40185729000</v>
      </c>
      <c r="Z2002" s="28">
        <v>36473000</v>
      </c>
      <c r="AA2002" s="28">
        <v>464956000</v>
      </c>
      <c r="AB2002" s="28">
        <v>2677581000</v>
      </c>
      <c r="AC2002" s="28">
        <v>39684290000</v>
      </c>
      <c r="AD2002" s="28">
        <v>36483000</v>
      </c>
      <c r="AE2002" s="28">
        <v>44754493000</v>
      </c>
      <c r="AF2002" s="28">
        <v>9458000</v>
      </c>
      <c r="AG2002" s="11"/>
    </row>
    <row r="2003">
      <c r="A2003" s="7" t="s">
        <v>3704</v>
      </c>
      <c r="B2003" s="5" t="s">
        <v>11631</v>
      </c>
      <c r="C2003" s="5" t="s">
        <v>19481</v>
      </c>
      <c r="D2003" s="5" t="str">
        <v>482600243000</v>
      </c>
      <c r="E2003" s="0" t="e">
        <f>+7 (47462) 25500
+7 (47462) 25502
+7 (47462) 25503
+7 (47462) 25513
+7 (47462) 25539
+7 (47462) 25591
+7 (47462) 38081
+7 (47462) 38281
+7 (47462) 38283
+7 (47462) 38515
+7 (47462) 38700
+7 (47462) 38701
+7 (47462) 38717
+7 (47462) 38929
+7 (47462) 38931</f>
        <v>#NAME?</v>
      </c>
      <c r="F2003" s="5" t="s">
        <v>31372</v>
      </c>
      <c r="G2003" s="5" t="s">
        <v>31373</v>
      </c>
      <c r="H2003" s="26">
        <v>30.5</v>
      </c>
      <c r="I2003" s="5" t="s">
        <v>31374</v>
      </c>
      <c r="J2003" s="5" t="s">
        <v>25994</v>
      </c>
      <c r="K2003" s="5" t="s">
        <v>344</v>
      </c>
      <c r="L2003" s="5" t="s">
        <v>31375</v>
      </c>
      <c r="M2003" s="27">
        <v>56673363</v>
      </c>
      <c r="N2003" s="5"/>
      <c r="O2003" s="5" t="str">
        <v>4804000086</v>
      </c>
      <c r="P2003" s="27">
        <v>580000000</v>
      </c>
      <c r="Q2003" s="5"/>
      <c r="R2003" s="5"/>
      <c r="S2003" s="5" t="s">
        <v>49029</v>
      </c>
      <c r="T2003" s="28">
        <v>2308289000</v>
      </c>
      <c r="U2003" s="28">
        <v>1956892000</v>
      </c>
      <c r="V2003" s="28">
        <v>2299496000</v>
      </c>
      <c r="W2003" s="28">
        <v>611900000</v>
      </c>
      <c r="X2003" s="28">
        <v>8903000</v>
      </c>
      <c r="Y2003" s="28">
        <v>11884371000</v>
      </c>
      <c r="Z2003" s="28">
        <v>7471904000</v>
      </c>
      <c r="AA2003" s="28"/>
      <c r="AB2003" s="28">
        <v>740000000</v>
      </c>
      <c r="AC2003" s="28">
        <v>2448607000</v>
      </c>
      <c r="AD2003" s="28">
        <v>8258903000</v>
      </c>
      <c r="AE2003" s="28">
        <v>14173645000</v>
      </c>
      <c r="AF2003" s="28">
        <v>2185198000</v>
      </c>
      <c r="AG2003" s="11"/>
    </row>
    <row r="2004">
      <c r="A2004" s="7" t="s">
        <v>3705</v>
      </c>
      <c r="B2004" s="5" t="s">
        <v>11690</v>
      </c>
      <c r="C2004" s="5" t="s">
        <v>19540</v>
      </c>
      <c r="D2004" s="5" t="str">
        <v>381103611098</v>
      </c>
      <c r="E2004" s="0" t="e">
        <f>+7 (3952) 265442
+7 (395) 2273283
+7 (395) 2278664
+7 (3952) 265402
+7 (3952) 265489
+7 (3952) 691489
+7 (3952) 693136
+7 (3952) 693208
+7 (3953) 415023
+7 (39540) 31379
+7 (39540) 31590
+7 (39540) 31599
+7 (39543) 67250
+7 (39554) 31138
+7 (39554) 32694</f>
        <v>#NAME?</v>
      </c>
      <c r="F2004" s="5" t="s">
        <v>31376</v>
      </c>
      <c r="G2004" s="5" t="s">
        <v>31377</v>
      </c>
      <c r="H2004" s="26">
        <v>23.5</v>
      </c>
      <c r="I2004" s="5" t="s">
        <v>31378</v>
      </c>
      <c r="J2004" s="5" t="s">
        <v>25603</v>
      </c>
      <c r="K2004" s="5" t="s">
        <v>344</v>
      </c>
      <c r="L2004" s="5" t="s">
        <v>31379</v>
      </c>
      <c r="M2004" s="27">
        <v>294603136</v>
      </c>
      <c r="N2004" s="5" t="s">
        <v>52478</v>
      </c>
      <c r="O2004" s="5" t="str">
        <v>3808166080</v>
      </c>
      <c r="P2004" s="27">
        <v>585555000</v>
      </c>
      <c r="Q2004" s="5" t="s">
        <v>52479</v>
      </c>
      <c r="R2004" s="5"/>
      <c r="S2004" s="5" t="s">
        <v>52480</v>
      </c>
      <c r="T2004" s="28">
        <v>2522160000</v>
      </c>
      <c r="U2004" s="28">
        <v>20000</v>
      </c>
      <c r="V2004" s="28">
        <v>3604672000</v>
      </c>
      <c r="W2004" s="28">
        <v>33932000</v>
      </c>
      <c r="X2004" s="28">
        <v>1608188000</v>
      </c>
      <c r="Y2004" s="28">
        <v>9753720000</v>
      </c>
      <c r="Z2004" s="28">
        <v>523687000</v>
      </c>
      <c r="AA2004" s="28">
        <v>362366000</v>
      </c>
      <c r="AB2004" s="28">
        <v>65239000</v>
      </c>
      <c r="AC2004" s="28">
        <v>6570126000</v>
      </c>
      <c r="AD2004" s="28">
        <v>1604457000</v>
      </c>
      <c r="AE2004" s="28">
        <v>10193433000</v>
      </c>
      <c r="AF2004" s="28">
        <v>5322000</v>
      </c>
      <c r="AG2004" s="11"/>
    </row>
    <row r="2005">
      <c r="A2005" s="7" t="s">
        <v>3706</v>
      </c>
      <c r="B2005" s="5" t="s">
        <v>11691</v>
      </c>
      <c r="C2005" s="5" t="s">
        <v>19541</v>
      </c>
      <c r="D2005" s="5" t="str">
        <v>510107095830</v>
      </c>
      <c r="E2005" s="0" t="e">
        <f>+7 (812) 2600402</f>
        <v>#NAME?</v>
      </c>
      <c r="F2005" s="5"/>
      <c r="G2005" s="5"/>
      <c r="H2005" s="26">
        <v>14</v>
      </c>
      <c r="I2005" s="5" t="s">
        <v>31380</v>
      </c>
      <c r="J2005" s="5" t="s">
        <v>467</v>
      </c>
      <c r="K2005" s="5" t="s">
        <v>380</v>
      </c>
      <c r="L2005" s="5"/>
      <c r="M2005" s="27">
        <v>1994951</v>
      </c>
      <c r="N2005" s="5"/>
      <c r="O2005" s="5" t="str">
        <v>7811424317</v>
      </c>
      <c r="P2005" s="27">
        <v>100000</v>
      </c>
      <c r="Q2005" s="5" t="s">
        <v>49009</v>
      </c>
      <c r="R2005" s="5"/>
      <c r="S2005" s="5" t="s">
        <v>49010</v>
      </c>
      <c r="T2005" s="28">
        <v>63163000</v>
      </c>
      <c r="U2005" s="28"/>
      <c r="V2005" s="28">
        <v>3360383000</v>
      </c>
      <c r="W2005" s="28">
        <v>9582000</v>
      </c>
      <c r="X2005" s="28">
        <v>136988000</v>
      </c>
      <c r="Y2005" s="28">
        <v>5020805000</v>
      </c>
      <c r="Z2005" s="28">
        <v>-980094000</v>
      </c>
      <c r="AA2005" s="28"/>
      <c r="AB2005" s="28">
        <v>1844600000</v>
      </c>
      <c r="AC2005" s="28">
        <v>5727088000</v>
      </c>
      <c r="AD2005" s="28">
        <v>-979994000</v>
      </c>
      <c r="AE2005" s="28">
        <v>6850912000</v>
      </c>
      <c r="AF2005" s="28">
        <v>-284095000</v>
      </c>
      <c r="AG2005" s="11"/>
    </row>
    <row r="2006">
      <c r="A2006" s="7" t="s">
        <v>3707</v>
      </c>
      <c r="B2006" s="5" t="s">
        <v>11692</v>
      </c>
      <c r="C2006" s="5" t="s">
        <v>19542</v>
      </c>
      <c r="D2006" s="5" t="str">
        <v>860500169534</v>
      </c>
      <c r="E2006" s="0" t="e">
        <f>+7 (495) 6632325
+7 (495) 6459818
+7 (495) 9809151
+7 (495) 9809154
+7 (800) 5559818
+7 (916) 2179501</f>
        <v>#NAME?</v>
      </c>
      <c r="F2006" s="5" t="s">
        <v>31381</v>
      </c>
      <c r="G2006" s="5" t="s">
        <v>31382</v>
      </c>
      <c r="H2006" s="26">
        <v>23.5</v>
      </c>
      <c r="I2006" s="5"/>
      <c r="J2006" s="5" t="s">
        <v>467</v>
      </c>
      <c r="K2006" s="5" t="s">
        <v>344</v>
      </c>
      <c r="L2006" s="5" t="s">
        <v>31383</v>
      </c>
      <c r="M2006" s="27">
        <v>228222391</v>
      </c>
      <c r="N2006" s="5" t="s">
        <v>52481</v>
      </c>
      <c r="O2006" s="5" t="str">
        <v>7725104641</v>
      </c>
      <c r="P2006" s="27">
        <v>100000</v>
      </c>
      <c r="Q2006" s="5" t="s">
        <v>52482</v>
      </c>
      <c r="R2006" s="5"/>
      <c r="S2006" s="5" t="s">
        <v>52483</v>
      </c>
      <c r="T2006" s="28">
        <v>6033570000</v>
      </c>
      <c r="U2006" s="28">
        <v>10903347000</v>
      </c>
      <c r="V2006" s="28">
        <v>112992611000</v>
      </c>
      <c r="W2006" s="28">
        <v>10035773000</v>
      </c>
      <c r="X2006" s="28">
        <v>21042943000</v>
      </c>
      <c r="Y2006" s="28">
        <v>171030975000</v>
      </c>
      <c r="Z2006" s="28">
        <v>18684900000</v>
      </c>
      <c r="AA2006" s="28">
        <v>8967051000</v>
      </c>
      <c r="AB2006" s="28">
        <v>2341667000</v>
      </c>
      <c r="AC2006" s="28">
        <v>127850591000</v>
      </c>
      <c r="AD2006" s="28">
        <v>20439229000</v>
      </c>
      <c r="AE2006" s="28">
        <v>141517974000</v>
      </c>
      <c r="AF2006" s="28">
        <v>4575977000</v>
      </c>
      <c r="AG2006" s="11"/>
    </row>
    <row r="2007">
      <c r="A2007" s="7" t="s">
        <v>3708</v>
      </c>
      <c r="B2007" s="5" t="s">
        <v>11693</v>
      </c>
      <c r="C2007" s="5" t="s">
        <v>19543</v>
      </c>
      <c r="D2007" s="5" t="str">
        <v>691000954732</v>
      </c>
      <c r="E2007" s="0" t="e">
        <f>+7 (910) 6400130
+7 (48274) 21015
+7 (48274) 21082
+7 (48274) 21182
+7 (48274) 21470
+7 (48274) 21520
+7 (48274) 22318
+7 (48274) 22355
+7 (499) 9678313</f>
        <v>#NAME?</v>
      </c>
      <c r="F2007" s="5" t="s">
        <v>31384</v>
      </c>
      <c r="G2007" s="5" t="s">
        <v>31385</v>
      </c>
      <c r="H2007" s="26">
        <v>20</v>
      </c>
      <c r="I2007" s="5"/>
      <c r="J2007" s="5" t="s">
        <v>467</v>
      </c>
      <c r="K2007" s="5" t="s">
        <v>344</v>
      </c>
      <c r="L2007" s="5"/>
      <c r="M2007" s="27">
        <v>34962402</v>
      </c>
      <c r="N2007" s="5" t="s">
        <v>52484</v>
      </c>
      <c r="O2007" s="5" t="str">
        <v>6926002165</v>
      </c>
      <c r="P2007" s="27">
        <v>10000</v>
      </c>
      <c r="Q2007" s="5" t="s">
        <v>52485</v>
      </c>
      <c r="R2007" s="5"/>
      <c r="S2007" s="5" t="s">
        <v>52486</v>
      </c>
      <c r="T2007" s="28">
        <v>2451118000</v>
      </c>
      <c r="U2007" s="28"/>
      <c r="V2007" s="28">
        <v>16704145000</v>
      </c>
      <c r="W2007" s="28">
        <v>500000000</v>
      </c>
      <c r="X2007" s="28">
        <v>4702891000</v>
      </c>
      <c r="Y2007" s="28">
        <v>30132598000</v>
      </c>
      <c r="Z2007" s="28">
        <v>4386060000</v>
      </c>
      <c r="AA2007" s="28"/>
      <c r="AB2007" s="28">
        <v>3140099000</v>
      </c>
      <c r="AC2007" s="28">
        <v>22544395000</v>
      </c>
      <c r="AD2007" s="28">
        <v>4386070000</v>
      </c>
      <c r="AE2007" s="28">
        <v>24351264000</v>
      </c>
      <c r="AF2007" s="28">
        <v>329025000</v>
      </c>
      <c r="AG2007" s="11"/>
    </row>
    <row r="2008">
      <c r="A2008" s="7" t="s">
        <v>3708</v>
      </c>
      <c r="B2008" s="5" t="s">
        <v>11694</v>
      </c>
      <c r="C2008" s="5" t="s">
        <v>19544</v>
      </c>
      <c r="D2008" s="5" t="str">
        <v>500500249470</v>
      </c>
      <c r="E2008" s="0" t="e">
        <f>+7 (495) 5653192
+7 (495) 9400513</f>
        <v>#NAME?</v>
      </c>
      <c r="F2008" s="5"/>
      <c r="G2008" s="5"/>
      <c r="H2008" s="26">
        <v>9.5</v>
      </c>
      <c r="I2008" s="5" t="s">
        <v>31386</v>
      </c>
      <c r="J2008" s="5" t="s">
        <v>693</v>
      </c>
      <c r="K2008" s="5" t="s">
        <v>344</v>
      </c>
      <c r="L2008" s="5" t="s">
        <v>31387</v>
      </c>
      <c r="M2008" s="27">
        <v>23329807</v>
      </c>
      <c r="N2008" s="5"/>
      <c r="O2008" s="5" t="str">
        <v>7714916151</v>
      </c>
      <c r="P2008" s="27">
        <v>1000000</v>
      </c>
      <c r="Q2008" s="5" t="s">
        <v>49009</v>
      </c>
      <c r="R2008" s="5" t="s">
        <v>51094</v>
      </c>
      <c r="S2008" s="5" t="s">
        <v>49093</v>
      </c>
      <c r="T2008" s="28">
        <v>127000</v>
      </c>
      <c r="U2008" s="28"/>
      <c r="V2008" s="28">
        <v>1304184000</v>
      </c>
      <c r="W2008" s="28">
        <v>12210000</v>
      </c>
      <c r="X2008" s="28">
        <v>43757000</v>
      </c>
      <c r="Y2008" s="28">
        <v>1376153000</v>
      </c>
      <c r="Z2008" s="28">
        <v>123638000</v>
      </c>
      <c r="AA2008" s="28"/>
      <c r="AB2008" s="28">
        <v>451173000</v>
      </c>
      <c r="AC2008" s="28">
        <v>1251490000</v>
      </c>
      <c r="AD2008" s="28">
        <v>124638000</v>
      </c>
      <c r="AE2008" s="28">
        <v>6364572000</v>
      </c>
      <c r="AF2008" s="28">
        <v>9312000</v>
      </c>
      <c r="AG2008" s="11"/>
    </row>
    <row r="2009">
      <c r="A2009" s="7" t="s">
        <v>3709</v>
      </c>
      <c r="B2009" s="5" t="s">
        <v>11695</v>
      </c>
      <c r="C2009" s="5" t="s">
        <v>19545</v>
      </c>
      <c r="D2009" s="5"/>
      <c r="F2009" s="5"/>
      <c r="G2009" s="5"/>
      <c r="H2009" s="26">
        <v>4</v>
      </c>
      <c r="I2009" s="5" t="s">
        <v>31388</v>
      </c>
      <c r="J2009" s="5" t="s">
        <v>364</v>
      </c>
      <c r="K2009" s="5" t="s">
        <v>380</v>
      </c>
      <c r="L2009" s="5"/>
      <c r="M2009" s="27">
        <v>277525263</v>
      </c>
      <c r="N2009" s="5"/>
      <c r="O2009" s="5" t="str">
        <v>7716927511</v>
      </c>
      <c r="P2009" s="27">
        <v>1000000</v>
      </c>
      <c r="Q2009" s="5" t="s">
        <v>49009</v>
      </c>
      <c r="R2009" s="5" t="s">
        <v>51765</v>
      </c>
      <c r="S2009" s="5" t="s">
        <v>49066</v>
      </c>
      <c r="T2009" s="28">
        <v>249878000</v>
      </c>
      <c r="U2009" s="28">
        <v>500000</v>
      </c>
      <c r="V2009" s="28">
        <v>14892420000</v>
      </c>
      <c r="W2009" s="28">
        <v>247888000</v>
      </c>
      <c r="X2009" s="28">
        <v>25705000</v>
      </c>
      <c r="Y2009" s="28">
        <v>19250959000</v>
      </c>
      <c r="Z2009" s="28">
        <v>-3839452000</v>
      </c>
      <c r="AA2009" s="28">
        <v>3426147000</v>
      </c>
      <c r="AB2009" s="28">
        <v>533461000</v>
      </c>
      <c r="AC2009" s="28">
        <v>18879423000</v>
      </c>
      <c r="AD2009" s="28">
        <v>-3838452000</v>
      </c>
      <c r="AE2009" s="28">
        <v>27297365000</v>
      </c>
      <c r="AF2009" s="28">
        <v>-900271000</v>
      </c>
      <c r="AG2009" s="11"/>
    </row>
    <row r="2010">
      <c r="A2010" s="7" t="s">
        <v>3710</v>
      </c>
      <c r="B2010" s="5" t="s">
        <v>11696</v>
      </c>
      <c r="C2010" s="5" t="s">
        <v>19545</v>
      </c>
      <c r="D2010" s="5"/>
      <c r="F2010" s="5"/>
      <c r="G2010" s="5"/>
      <c r="H2010" s="26">
        <v>4.5</v>
      </c>
      <c r="I2010" s="5" t="s">
        <v>31389</v>
      </c>
      <c r="J2010" s="5" t="s">
        <v>31390</v>
      </c>
      <c r="K2010" s="5" t="s">
        <v>355</v>
      </c>
      <c r="L2010" s="5"/>
      <c r="M2010" s="27"/>
      <c r="N2010" s="5"/>
      <c r="O2010" s="5" t="str">
        <v>7716917390</v>
      </c>
      <c r="P2010" s="27">
        <v>100000</v>
      </c>
      <c r="Q2010" s="5" t="s">
        <v>49021</v>
      </c>
      <c r="R2010" s="5"/>
      <c r="S2010" s="5" t="s">
        <v>49033</v>
      </c>
      <c r="T2010" s="28">
        <v>3600755000</v>
      </c>
      <c r="U2010" s="28"/>
      <c r="V2010" s="28">
        <v>515382000</v>
      </c>
      <c r="W2010" s="28"/>
      <c r="X2010" s="28">
        <v>1045000</v>
      </c>
      <c r="Y2010" s="28">
        <v>4808617000</v>
      </c>
      <c r="Z2010" s="28">
        <v>139245000</v>
      </c>
      <c r="AA2010" s="28">
        <v>2284000000</v>
      </c>
      <c r="AB2010" s="28">
        <v>779559000</v>
      </c>
      <c r="AC2010" s="28">
        <v>2178871000</v>
      </c>
      <c r="AD2010" s="28">
        <v>188044000</v>
      </c>
      <c r="AE2010" s="28">
        <v>4112576000</v>
      </c>
      <c r="AF2010" s="28">
        <v>225613000</v>
      </c>
      <c r="AG2010" s="11"/>
    </row>
    <row r="2011">
      <c r="A2011" s="7" t="s">
        <v>3711</v>
      </c>
      <c r="B2011" s="5" t="s">
        <v>11697</v>
      </c>
      <c r="C2011" s="5" t="s">
        <v>19546</v>
      </c>
      <c r="D2011" s="5" t="str">
        <v>503105412106</v>
      </c>
      <c r="E2011" s="0" t="e">
        <f>+7 (855) 2747446
+7 (855) 2705071
+7 (916) 8003199</f>
        <v>#NAME?</v>
      </c>
      <c r="F2011" s="5" t="s">
        <v>31391</v>
      </c>
      <c r="G2011" s="5" t="s">
        <v>31392</v>
      </c>
      <c r="H2011" s="26">
        <v>13</v>
      </c>
      <c r="I2011" s="5" t="s">
        <v>31393</v>
      </c>
      <c r="J2011" s="5" t="s">
        <v>28927</v>
      </c>
      <c r="K2011" s="5" t="s">
        <v>344</v>
      </c>
      <c r="L2011" s="5" t="s">
        <v>31394</v>
      </c>
      <c r="M2011" s="27"/>
      <c r="N2011" s="5"/>
      <c r="O2011" s="5" t="str">
        <v>1650206593</v>
      </c>
      <c r="P2011" s="27">
        <v>425000000</v>
      </c>
      <c r="Q2011" s="5" t="s">
        <v>49009</v>
      </c>
      <c r="R2011" s="5"/>
      <c r="S2011" s="5" t="s">
        <v>49066</v>
      </c>
      <c r="T2011" s="28">
        <v>223117000</v>
      </c>
      <c r="U2011" s="28"/>
      <c r="V2011" s="28">
        <v>626692000</v>
      </c>
      <c r="W2011" s="28"/>
      <c r="X2011" s="28">
        <v>286952000</v>
      </c>
      <c r="Y2011" s="28">
        <v>1653843000</v>
      </c>
      <c r="Z2011" s="28">
        <v>778017000</v>
      </c>
      <c r="AA2011" s="28"/>
      <c r="AB2011" s="28"/>
      <c r="AC2011" s="28">
        <v>442310000</v>
      </c>
      <c r="AD2011" s="28">
        <v>1203017000</v>
      </c>
      <c r="AE2011" s="28">
        <v>4922229000</v>
      </c>
      <c r="AF2011" s="28">
        <v>-37970000</v>
      </c>
      <c r="AG2011" s="11"/>
    </row>
    <row r="2012">
      <c r="A2012" s="7" t="s">
        <v>3712</v>
      </c>
      <c r="B2012" s="5" t="s">
        <v>11698</v>
      </c>
      <c r="C2012" s="5" t="s">
        <v>19547</v>
      </c>
      <c r="D2012" s="5" t="str">
        <v>234900791572</v>
      </c>
      <c r="E2012" s="0" t="e">
        <f>+7 (963) 6080967</f>
        <v>#NAME?</v>
      </c>
      <c r="F2012" s="5" t="s">
        <v>31395</v>
      </c>
      <c r="G2012" s="5"/>
      <c r="H2012" s="26">
        <v>8</v>
      </c>
      <c r="I2012" s="5" t="s">
        <v>31396</v>
      </c>
      <c r="J2012" s="5" t="s">
        <v>678</v>
      </c>
      <c r="K2012" s="5" t="s">
        <v>344</v>
      </c>
      <c r="L2012" s="5" t="s">
        <v>31397</v>
      </c>
      <c r="M2012" s="27"/>
      <c r="N2012" s="5" t="s">
        <v>52488</v>
      </c>
      <c r="O2012" s="5" t="str">
        <v>7701081730</v>
      </c>
      <c r="P2012" s="27">
        <v>106490</v>
      </c>
      <c r="Q2012" s="5" t="s">
        <v>49009</v>
      </c>
      <c r="R2012" s="5"/>
      <c r="S2012" s="5" t="s">
        <v>49020</v>
      </c>
      <c r="T2012" s="28">
        <v>55773000</v>
      </c>
      <c r="U2012" s="28"/>
      <c r="V2012" s="28">
        <v>775653000</v>
      </c>
      <c r="W2012" s="28">
        <v>46809000</v>
      </c>
      <c r="X2012" s="28">
        <v>140014000</v>
      </c>
      <c r="Y2012" s="28">
        <v>2223411000</v>
      </c>
      <c r="Z2012" s="28">
        <v>1672088000</v>
      </c>
      <c r="AA2012" s="28"/>
      <c r="AB2012" s="28">
        <v>49695000</v>
      </c>
      <c r="AC2012" s="28">
        <v>598073000</v>
      </c>
      <c r="AD2012" s="28">
        <v>1600182000</v>
      </c>
      <c r="AE2012" s="28">
        <v>6347566000</v>
      </c>
      <c r="AF2012" s="28">
        <v>764749000</v>
      </c>
      <c r="AG2012" s="11"/>
    </row>
    <row r="2013">
      <c r="A2013" s="7" t="s">
        <v>3713</v>
      </c>
      <c r="B2013" s="5" t="s">
        <v>11699</v>
      </c>
      <c r="C2013" s="5" t="s">
        <v>19548</v>
      </c>
      <c r="D2013" s="5" t="str">
        <v>862101330552</v>
      </c>
      <c r="E2013" s="0" t="e">
        <f>+7 (345) 2540320
+7 (345) 2540350
+7 (345) 2540358
+7 (345) 2540360
+7 (345) 2542560</f>
        <v>#NAME?</v>
      </c>
      <c r="F2013" s="5" t="s">
        <v>31398</v>
      </c>
      <c r="G2013" s="5"/>
      <c r="H2013" s="26">
        <v>9.5</v>
      </c>
      <c r="I2013" s="5" t="s">
        <v>31399</v>
      </c>
      <c r="J2013" s="5" t="s">
        <v>467</v>
      </c>
      <c r="K2013" s="5" t="s">
        <v>355</v>
      </c>
      <c r="L2013" s="5"/>
      <c r="M2013" s="27"/>
      <c r="N2013" s="5" t="s">
        <v>52489</v>
      </c>
      <c r="O2013" s="5" t="str">
        <v>7204192656</v>
      </c>
      <c r="P2013" s="27">
        <v>30000000</v>
      </c>
      <c r="Q2013" s="5"/>
      <c r="R2013" s="5"/>
      <c r="S2013" s="5" t="s">
        <v>49047</v>
      </c>
      <c r="T2013" s="28">
        <v>797085000</v>
      </c>
      <c r="U2013" s="28"/>
      <c r="V2013" s="28">
        <v>1197643000</v>
      </c>
      <c r="W2013" s="28"/>
      <c r="X2013" s="28">
        <v>34807000</v>
      </c>
      <c r="Y2013" s="28">
        <v>3450492000</v>
      </c>
      <c r="Z2013" s="28">
        <v>279780000</v>
      </c>
      <c r="AA2013" s="28"/>
      <c r="AB2013" s="28"/>
      <c r="AC2013" s="28">
        <v>2854794000</v>
      </c>
      <c r="AD2013" s="28">
        <v>309780000</v>
      </c>
      <c r="AE2013" s="28">
        <v>5388273000</v>
      </c>
      <c r="AF2013" s="28">
        <v>73052000</v>
      </c>
      <c r="AG2013" s="11"/>
    </row>
    <row r="2014">
      <c r="A2014" s="7" t="s">
        <v>3714</v>
      </c>
      <c r="B2014" s="5" t="s">
        <v>11700</v>
      </c>
      <c r="C2014" s="5" t="s">
        <v>19549</v>
      </c>
      <c r="D2014" s="5" t="str">
        <v>673111183028</v>
      </c>
      <c r="E2014" s="0" t="e">
        <f>+7 (475) 2476233
+7 (475) 2776454
+7 (475) 2776455
+7 (475) 2776465
+7 (475) 2776853
+7 (475) 2777155
+7 (475) 2778284
+7 (475) 2778287
+7 (475) 2778410
+7 (475) 2778455
+7 (475) 2778733</f>
        <v>#NAME?</v>
      </c>
      <c r="F2014" s="5"/>
      <c r="G2014" s="5"/>
      <c r="H2014" s="26">
        <v>30</v>
      </c>
      <c r="I2014" s="5"/>
      <c r="J2014" s="5" t="s">
        <v>467</v>
      </c>
      <c r="K2014" s="5" t="s">
        <v>344</v>
      </c>
      <c r="L2014" s="5" t="s">
        <v>31400</v>
      </c>
      <c r="M2014" s="27"/>
      <c r="N2014" s="5" t="s">
        <v>49105</v>
      </c>
      <c r="O2014" s="5" t="str">
        <v>6820010279</v>
      </c>
      <c r="P2014" s="27">
        <v>29434</v>
      </c>
      <c r="Q2014" s="5" t="s">
        <v>52490</v>
      </c>
      <c r="R2014" s="5"/>
      <c r="S2014" s="5" t="s">
        <v>52491</v>
      </c>
      <c r="T2014" s="28">
        <v>865220000</v>
      </c>
      <c r="U2014" s="28"/>
      <c r="V2014" s="28">
        <v>235084000</v>
      </c>
      <c r="W2014" s="28">
        <v>423954000</v>
      </c>
      <c r="X2014" s="28">
        <v>54500000</v>
      </c>
      <c r="Y2014" s="28">
        <v>2478593000</v>
      </c>
      <c r="Z2014" s="28">
        <v>531094000</v>
      </c>
      <c r="AA2014" s="28">
        <v>100000000</v>
      </c>
      <c r="AB2014" s="28"/>
      <c r="AC2014" s="28">
        <v>568917000</v>
      </c>
      <c r="AD2014" s="28">
        <v>543605000</v>
      </c>
      <c r="AE2014" s="28">
        <v>3175073000</v>
      </c>
      <c r="AF2014" s="28">
        <v>275807000</v>
      </c>
      <c r="AG2014" s="11"/>
    </row>
    <row r="2015">
      <c r="A2015" s="7" t="s">
        <v>3715</v>
      </c>
      <c r="B2015" s="5" t="s">
        <v>11701</v>
      </c>
      <c r="C2015" s="5" t="s">
        <v>19550</v>
      </c>
      <c r="D2015" s="5" t="str">
        <v>772001518089</v>
      </c>
      <c r="E2015" s="0" t="e">
        <f>+7 (492) 2329284
+7 (492) 2329362
+7 (492) 2329775
+7 (492) 2234417
+7 (492) 2235431
+7 (492) 2319281
+7 (492) 2328598
+7 (492) 2329326
+7 (492) 2329596
+7 (492) 2329598
+7 (492) 2329683
+7 (492) 2329687
+7 (492) 2330385
+7 (492) 2334738
+7 (492) 2426661</f>
        <v>#NAME?</v>
      </c>
      <c r="F2015" s="5" t="s">
        <v>31401</v>
      </c>
      <c r="G2015" s="5" t="s">
        <v>31402</v>
      </c>
      <c r="H2015" s="26">
        <v>30.5</v>
      </c>
      <c r="I2015" s="5" t="s">
        <v>31403</v>
      </c>
      <c r="J2015" s="5" t="s">
        <v>467</v>
      </c>
      <c r="K2015" s="5" t="s">
        <v>344</v>
      </c>
      <c r="L2015" s="5"/>
      <c r="M2015" s="27">
        <v>55245381</v>
      </c>
      <c r="N2015" s="5" t="s">
        <v>52492</v>
      </c>
      <c r="O2015" s="5" t="str">
        <v>3329000602</v>
      </c>
      <c r="P2015" s="27">
        <v>109002000</v>
      </c>
      <c r="Q2015" s="5" t="s">
        <v>52493</v>
      </c>
      <c r="R2015" s="5"/>
      <c r="S2015" s="5" t="s">
        <v>52494</v>
      </c>
      <c r="T2015" s="28">
        <v>1079608000</v>
      </c>
      <c r="U2015" s="28">
        <v>100000</v>
      </c>
      <c r="V2015" s="28">
        <v>189790000</v>
      </c>
      <c r="W2015" s="28"/>
      <c r="X2015" s="28">
        <v>525141000</v>
      </c>
      <c r="Y2015" s="28">
        <v>3977382000</v>
      </c>
      <c r="Z2015" s="28">
        <v>1416970000</v>
      </c>
      <c r="AA2015" s="28">
        <v>430000000</v>
      </c>
      <c r="AB2015" s="28">
        <v>250600000</v>
      </c>
      <c r="AC2015" s="28">
        <v>1289468000</v>
      </c>
      <c r="AD2015" s="28">
        <v>2236644000</v>
      </c>
      <c r="AE2015" s="28">
        <v>4538863000</v>
      </c>
      <c r="AF2015" s="28">
        <v>73166000</v>
      </c>
      <c r="AG2015" s="11"/>
    </row>
    <row r="2016">
      <c r="A2016" s="7" t="s">
        <v>3716</v>
      </c>
      <c r="B2016" s="5" t="s">
        <v>11702</v>
      </c>
      <c r="C2016" s="5" t="s">
        <v>19551</v>
      </c>
      <c r="D2016" s="5" t="str">
        <v>165712243099</v>
      </c>
      <c r="E2016" s="0" t="e">
        <f>+7 (8435) 182368
+7 (8435) 183404
+7 (987) 2314790</f>
        <v>#NAME?</v>
      </c>
      <c r="F2016" s="5"/>
      <c r="G2016" s="5"/>
      <c r="H2016" s="26">
        <v>8.5</v>
      </c>
      <c r="I2016" s="5" t="s">
        <v>31404</v>
      </c>
      <c r="J2016" s="5" t="s">
        <v>25837</v>
      </c>
      <c r="K2016" s="5" t="s">
        <v>344</v>
      </c>
      <c r="L2016" s="5" t="s">
        <v>31405</v>
      </c>
      <c r="M2016" s="27"/>
      <c r="N2016" s="5" t="s">
        <v>52495</v>
      </c>
      <c r="O2016" s="5" t="str">
        <v>1657143960</v>
      </c>
      <c r="P2016" s="27">
        <v>10000</v>
      </c>
      <c r="Q2016" s="5" t="s">
        <v>49059</v>
      </c>
      <c r="R2016" s="5"/>
      <c r="S2016" s="5" t="s">
        <v>49047</v>
      </c>
      <c r="T2016" s="28">
        <v>432653000</v>
      </c>
      <c r="U2016" s="28"/>
      <c r="V2016" s="28">
        <v>2441798000</v>
      </c>
      <c r="W2016" s="28">
        <v>2870975000</v>
      </c>
      <c r="X2016" s="28">
        <v>5770000</v>
      </c>
      <c r="Y2016" s="28">
        <v>6105187000</v>
      </c>
      <c r="Z2016" s="28">
        <v>2371512000</v>
      </c>
      <c r="AA2016" s="28">
        <v>2851868000</v>
      </c>
      <c r="AB2016" s="28">
        <v>177439000</v>
      </c>
      <c r="AC2016" s="28">
        <v>878846000</v>
      </c>
      <c r="AD2016" s="28">
        <v>2371522000</v>
      </c>
      <c r="AE2016" s="28">
        <v>11555748000</v>
      </c>
      <c r="AF2016" s="28">
        <v>966898000</v>
      </c>
      <c r="AG2016" s="11"/>
    </row>
    <row r="2017">
      <c r="A2017" s="7" t="s">
        <v>3717</v>
      </c>
      <c r="B2017" s="5" t="s">
        <v>11703</v>
      </c>
      <c r="C2017" s="5" t="s">
        <v>19552</v>
      </c>
      <c r="D2017" s="5" t="str">
        <v>511701304739</v>
      </c>
      <c r="E2017" s="0" t="e">
        <f>+7 (922) 4437913
+7 (983) 1335335
+7 (34667) 48999
+7 (34667) 49176</f>
        <v>#NAME?</v>
      </c>
      <c r="F2017" s="5" t="s">
        <v>31406</v>
      </c>
      <c r="G2017" s="5" t="s">
        <v>31407</v>
      </c>
      <c r="H2017" s="26">
        <v>12.5</v>
      </c>
      <c r="I2017" s="5" t="s">
        <v>31408</v>
      </c>
      <c r="J2017" s="5" t="s">
        <v>467</v>
      </c>
      <c r="K2017" s="5" t="s">
        <v>355</v>
      </c>
      <c r="L2017" s="5"/>
      <c r="M2017" s="27">
        <v>41698744</v>
      </c>
      <c r="N2017" s="5" t="s">
        <v>52496</v>
      </c>
      <c r="O2017" s="5" t="str">
        <v>8608054484</v>
      </c>
      <c r="P2017" s="27">
        <v>10000</v>
      </c>
      <c r="Q2017" s="5" t="s">
        <v>52497</v>
      </c>
      <c r="R2017" s="5"/>
      <c r="S2017" s="5" t="s">
        <v>52333</v>
      </c>
      <c r="T2017" s="28">
        <v>4274769000</v>
      </c>
      <c r="U2017" s="28">
        <v>1680000</v>
      </c>
      <c r="V2017" s="28">
        <v>4141129000</v>
      </c>
      <c r="W2017" s="28"/>
      <c r="X2017" s="28">
        <v>56798000</v>
      </c>
      <c r="Y2017" s="28">
        <v>10554381000</v>
      </c>
      <c r="Z2017" s="28">
        <v>931890000</v>
      </c>
      <c r="AA2017" s="28">
        <v>425355000</v>
      </c>
      <c r="AB2017" s="28">
        <v>1370667000</v>
      </c>
      <c r="AC2017" s="28">
        <v>6527294000</v>
      </c>
      <c r="AD2017" s="28">
        <v>931900000</v>
      </c>
      <c r="AE2017" s="28">
        <v>6219467000</v>
      </c>
      <c r="AF2017" s="28">
        <v>106947000</v>
      </c>
      <c r="AG2017" s="11"/>
    </row>
    <row r="2018">
      <c r="A2018" s="7" t="s">
        <v>3718</v>
      </c>
      <c r="B2018" s="5" t="s">
        <v>11704</v>
      </c>
      <c r="C2018" s="5" t="s">
        <v>19553</v>
      </c>
      <c r="D2018" s="5" t="str">
        <v>230205775317</v>
      </c>
      <c r="E2018" s="0" t="e">
        <f>+7 (918) 9797655</f>
        <v>#NAME?</v>
      </c>
      <c r="F2018" s="5" t="s">
        <v>31409</v>
      </c>
      <c r="G2018" s="5"/>
      <c r="H2018" s="26">
        <v>23</v>
      </c>
      <c r="I2018" s="5" t="s">
        <v>31410</v>
      </c>
      <c r="J2018" s="5" t="s">
        <v>467</v>
      </c>
      <c r="K2018" s="5" t="s">
        <v>380</v>
      </c>
      <c r="L2018" s="5" t="s">
        <v>31411</v>
      </c>
      <c r="M2018" s="27">
        <v>9407437</v>
      </c>
      <c r="N2018" s="5" t="s">
        <v>52498</v>
      </c>
      <c r="O2018" s="5" t="str">
        <v>2302039431</v>
      </c>
      <c r="P2018" s="27">
        <v>20000</v>
      </c>
      <c r="Q2018" s="5" t="s">
        <v>52499</v>
      </c>
      <c r="R2018" s="5" t="s">
        <v>52500</v>
      </c>
      <c r="S2018" s="5" t="s">
        <v>52501</v>
      </c>
      <c r="T2018" s="28">
        <v>1043842000</v>
      </c>
      <c r="U2018" s="28"/>
      <c r="V2018" s="28">
        <v>405731000</v>
      </c>
      <c r="W2018" s="28">
        <v>373846000</v>
      </c>
      <c r="X2018" s="28">
        <v>5069000</v>
      </c>
      <c r="Y2018" s="28">
        <v>3283513000</v>
      </c>
      <c r="Z2018" s="28">
        <v>1127431000</v>
      </c>
      <c r="AA2018" s="28"/>
      <c r="AB2018" s="28"/>
      <c r="AC2018" s="28">
        <v>1117731000</v>
      </c>
      <c r="AD2018" s="28">
        <v>1505299000</v>
      </c>
      <c r="AE2018" s="28">
        <v>4361938000</v>
      </c>
      <c r="AF2018" s="28">
        <v>102138000</v>
      </c>
      <c r="AG2018" s="11"/>
    </row>
    <row r="2019">
      <c r="A2019" s="7" t="s">
        <v>3719</v>
      </c>
      <c r="B2019" s="5" t="s">
        <v>11705</v>
      </c>
      <c r="C2019" s="5" t="s">
        <v>19554</v>
      </c>
      <c r="D2019" s="5" t="str">
        <v>352501838453</v>
      </c>
      <c r="E2019" s="0" t="e">
        <f>+7 (921) 1295610
+7 (817) 2544454
+7 (817) 2546251
+7 (817) 2546255
+7 (817) 2546555
+7 (921) 7220739</f>
        <v>#NAME?</v>
      </c>
      <c r="F2019" s="5" t="s">
        <v>31412</v>
      </c>
      <c r="G2019" s="5"/>
      <c r="H2019" s="26">
        <v>15</v>
      </c>
      <c r="I2019" s="5" t="s">
        <v>31413</v>
      </c>
      <c r="J2019" s="5" t="s">
        <v>467</v>
      </c>
      <c r="K2019" s="5" t="s">
        <v>344</v>
      </c>
      <c r="L2019" s="5" t="s">
        <v>31414</v>
      </c>
      <c r="M2019" s="27">
        <v>61131</v>
      </c>
      <c r="N2019" s="5" t="s">
        <v>52502</v>
      </c>
      <c r="O2019" s="5" t="str">
        <v>3527014396</v>
      </c>
      <c r="P2019" s="27">
        <v>3000000</v>
      </c>
      <c r="Q2019" s="5" t="s">
        <v>52503</v>
      </c>
      <c r="R2019" s="5"/>
      <c r="S2019" s="5" t="s">
        <v>52504</v>
      </c>
      <c r="T2019" s="28">
        <v>603789000</v>
      </c>
      <c r="U2019" s="28"/>
      <c r="V2019" s="28">
        <v>263654000</v>
      </c>
      <c r="W2019" s="28"/>
      <c r="X2019" s="28">
        <v>859065000</v>
      </c>
      <c r="Y2019" s="28">
        <v>1992602000</v>
      </c>
      <c r="Z2019" s="28">
        <v>1488475000</v>
      </c>
      <c r="AA2019" s="28"/>
      <c r="AB2019" s="28"/>
      <c r="AC2019" s="28">
        <v>447264000</v>
      </c>
      <c r="AD2019" s="28">
        <v>1491475000</v>
      </c>
      <c r="AE2019" s="28">
        <v>4643203000</v>
      </c>
      <c r="AF2019" s="28">
        <v>414183000</v>
      </c>
      <c r="AG2019" s="11"/>
    </row>
    <row r="2020">
      <c r="A2020" s="7" t="s">
        <v>3720</v>
      </c>
      <c r="B2020" s="5" t="s">
        <v>11706</v>
      </c>
      <c r="C2020" s="5" t="s">
        <v>19555</v>
      </c>
      <c r="D2020" s="5" t="str">
        <v>645312107007</v>
      </c>
      <c r="E2020" s="0" t="e">
        <f>+7 (845) 2392169
+7 (845) 2483561
+7 (920) 1454838
+7 (8452) 219021
+7 (8452) 219022
+7 (927) 2270787</f>
        <v>#NAME?</v>
      </c>
      <c r="F2020" s="5" t="s">
        <v>31415</v>
      </c>
      <c r="G2020" s="5" t="s">
        <v>31416</v>
      </c>
      <c r="H2020" s="26">
        <v>23</v>
      </c>
      <c r="I2020" s="5" t="s">
        <v>31417</v>
      </c>
      <c r="J2020" s="5" t="s">
        <v>26128</v>
      </c>
      <c r="K2020" s="5" t="s">
        <v>355</v>
      </c>
      <c r="L2020" s="5" t="s">
        <v>31418</v>
      </c>
      <c r="M2020" s="27">
        <v>50709</v>
      </c>
      <c r="N2020" s="5" t="s">
        <v>52505</v>
      </c>
      <c r="O2020" s="5" t="str">
        <v>6432013128</v>
      </c>
      <c r="P2020" s="27">
        <v>191540000</v>
      </c>
      <c r="Q2020" s="5" t="s">
        <v>49009</v>
      </c>
      <c r="R2020" s="5"/>
      <c r="S2020" s="5" t="s">
        <v>49504</v>
      </c>
      <c r="T2020" s="28">
        <v>690398000</v>
      </c>
      <c r="U2020" s="28">
        <v>381023000</v>
      </c>
      <c r="V2020" s="28">
        <v>2061973000</v>
      </c>
      <c r="W2020" s="28">
        <v>100000</v>
      </c>
      <c r="X2020" s="28">
        <v>67214000</v>
      </c>
      <c r="Y2020" s="28">
        <v>5136665000</v>
      </c>
      <c r="Z2020" s="28">
        <v>1563908000</v>
      </c>
      <c r="AA2020" s="28">
        <v>703038000</v>
      </c>
      <c r="AB2020" s="28">
        <v>42102000</v>
      </c>
      <c r="AC2020" s="28">
        <v>2667714000</v>
      </c>
      <c r="AD2020" s="28">
        <v>1755448000</v>
      </c>
      <c r="AE2020" s="28">
        <v>15237652000</v>
      </c>
      <c r="AF2020" s="28">
        <v>1025031000</v>
      </c>
      <c r="AG2020" s="11"/>
    </row>
    <row r="2021">
      <c r="A2021" s="7" t="s">
        <v>3721</v>
      </c>
      <c r="B2021" s="5" t="s">
        <v>11707</v>
      </c>
      <c r="C2021" s="5" t="s">
        <v>19556</v>
      </c>
      <c r="D2021" s="5" t="str">
        <v>540726706204</v>
      </c>
      <c r="E2021" s="0" t="e">
        <f>+7 (383) 3630555
+7 (383) 3010605
+7 (812) 6770626
+7 (913) 9510618
+7 (953) 7627243
+7 (968) 8234062</f>
        <v>#NAME?</v>
      </c>
      <c r="F2021" s="5" t="s">
        <v>31419</v>
      </c>
      <c r="G2021" s="5" t="s">
        <v>31420</v>
      </c>
      <c r="H2021" s="26">
        <v>18.5</v>
      </c>
      <c r="I2021" s="5"/>
      <c r="J2021" s="5" t="s">
        <v>785</v>
      </c>
      <c r="K2021" s="5" t="s">
        <v>344</v>
      </c>
      <c r="L2021" s="5" t="s">
        <v>31421</v>
      </c>
      <c r="M2021" s="27">
        <v>500000</v>
      </c>
      <c r="N2021" s="5" t="s">
        <v>52507</v>
      </c>
      <c r="O2021" s="5" t="str">
        <v>5405276278</v>
      </c>
      <c r="P2021" s="27">
        <v>290922333</v>
      </c>
      <c r="Q2021" s="5" t="s">
        <v>49434</v>
      </c>
      <c r="R2021" s="5"/>
      <c r="S2021" s="5" t="s">
        <v>52508</v>
      </c>
      <c r="T2021" s="28">
        <v>1061034000</v>
      </c>
      <c r="U2021" s="28">
        <v>3172022000</v>
      </c>
      <c r="V2021" s="28">
        <v>623191000</v>
      </c>
      <c r="W2021" s="28">
        <v>12061000</v>
      </c>
      <c r="X2021" s="28">
        <v>1579031000</v>
      </c>
      <c r="Y2021" s="28">
        <v>10711221000</v>
      </c>
      <c r="Z2021" s="28">
        <v>3096062000</v>
      </c>
      <c r="AA2021" s="28">
        <v>2085963000</v>
      </c>
      <c r="AB2021" s="28">
        <v>488188000</v>
      </c>
      <c r="AC2021" s="28">
        <v>3047947000</v>
      </c>
      <c r="AD2021" s="28">
        <v>5488975000</v>
      </c>
      <c r="AE2021" s="28">
        <v>7334436000</v>
      </c>
      <c r="AF2021" s="28">
        <v>1350115000</v>
      </c>
      <c r="AG2021" s="11"/>
    </row>
    <row r="2022">
      <c r="A2022" s="7" t="s">
        <v>3722</v>
      </c>
      <c r="B2022" s="5" t="s">
        <v>11708</v>
      </c>
      <c r="C2022" s="5" t="s">
        <v>19557</v>
      </c>
      <c r="D2022" s="5" t="str">
        <v>760706545003</v>
      </c>
      <c r="E2022" s="0" t="e">
        <f>+7 (485) 2732172
+7 (485) 2732179
+7 (485) 2733701
+7 (485) 2733764
+7 (485) 2735251
+7 (485) 2755315
+7 (485) 2757109
+7 (495) 9882701
+7 (499) 1240912
+7 (903) 6388902
+7 (906) 6319997</f>
        <v>#NAME?</v>
      </c>
      <c r="F2022" s="5" t="s">
        <v>31422</v>
      </c>
      <c r="G2022" s="5" t="s">
        <v>31423</v>
      </c>
      <c r="H2022" s="26">
        <v>16</v>
      </c>
      <c r="I2022" s="5" t="s">
        <v>31424</v>
      </c>
      <c r="J2022" s="5" t="s">
        <v>26851</v>
      </c>
      <c r="K2022" s="5" t="s">
        <v>344</v>
      </c>
      <c r="L2022" s="5" t="s">
        <v>31425</v>
      </c>
      <c r="M2022" s="27"/>
      <c r="N2022" s="5"/>
      <c r="O2022" s="5" t="str">
        <v>7602059710</v>
      </c>
      <c r="P2022" s="27">
        <v>12000</v>
      </c>
      <c r="Q2022" s="5" t="s">
        <v>49009</v>
      </c>
      <c r="R2022" s="5"/>
      <c r="S2022" s="5" t="s">
        <v>49045</v>
      </c>
      <c r="T2022" s="28">
        <v>1749195000</v>
      </c>
      <c r="U2022" s="28">
        <v>4000</v>
      </c>
      <c r="V2022" s="28">
        <v>530070000</v>
      </c>
      <c r="W2022" s="28"/>
      <c r="X2022" s="28">
        <v>17372000</v>
      </c>
      <c r="Y2022" s="28">
        <v>2941706000</v>
      </c>
      <c r="Z2022" s="28">
        <v>935497000</v>
      </c>
      <c r="AA2022" s="28">
        <v>1557657000</v>
      </c>
      <c r="AB2022" s="28">
        <v>1318000</v>
      </c>
      <c r="AC2022" s="28">
        <v>367868000</v>
      </c>
      <c r="AD2022" s="28">
        <v>935511000</v>
      </c>
      <c r="AE2022" s="28">
        <v>3345192000</v>
      </c>
      <c r="AF2022" s="28">
        <v>409264000</v>
      </c>
      <c r="AG2022" s="11"/>
    </row>
    <row r="2023">
      <c r="A2023" s="7" t="s">
        <v>3723</v>
      </c>
      <c r="B2023" s="5" t="s">
        <v>11709</v>
      </c>
      <c r="C2023" s="5" t="s">
        <v>19558</v>
      </c>
      <c r="D2023" s="5" t="str">
        <v>583407507370</v>
      </c>
      <c r="E2023" s="0" t="e">
        <f>+7 (8412) 206220
+7 (8412) 206320
+7 (8412) 206720
+7 (8412) 322662
+7 (8412) 352040</f>
        <v>#NAME?</v>
      </c>
      <c r="F2023" s="5" t="s">
        <v>31426</v>
      </c>
      <c r="G2023" s="5" t="s">
        <v>31427</v>
      </c>
      <c r="H2023" s="26">
        <v>16.5</v>
      </c>
      <c r="I2023" s="5" t="s">
        <v>31428</v>
      </c>
      <c r="J2023" s="5" t="s">
        <v>31429</v>
      </c>
      <c r="K2023" s="5" t="s">
        <v>344</v>
      </c>
      <c r="L2023" s="5"/>
      <c r="M2023" s="27">
        <v>1390089</v>
      </c>
      <c r="N2023" s="5" t="s">
        <v>52509</v>
      </c>
      <c r="O2023" s="5" t="str">
        <v>5837028410</v>
      </c>
      <c r="P2023" s="27">
        <v>10000</v>
      </c>
      <c r="Q2023" s="5" t="s">
        <v>49009</v>
      </c>
      <c r="R2023" s="5"/>
      <c r="S2023" s="5" t="s">
        <v>49045</v>
      </c>
      <c r="T2023" s="28">
        <v>80408000</v>
      </c>
      <c r="U2023" s="28"/>
      <c r="V2023" s="28">
        <v>387234000</v>
      </c>
      <c r="W2023" s="28"/>
      <c r="X2023" s="28">
        <v>27042000</v>
      </c>
      <c r="Y2023" s="28">
        <v>931910000</v>
      </c>
      <c r="Z2023" s="28">
        <v>204428000</v>
      </c>
      <c r="AA2023" s="28">
        <v>22000000</v>
      </c>
      <c r="AB2023" s="28">
        <v>209071000</v>
      </c>
      <c r="AC2023" s="28">
        <v>705472000</v>
      </c>
      <c r="AD2023" s="28">
        <v>204438000</v>
      </c>
      <c r="AE2023" s="28">
        <v>4808093000</v>
      </c>
      <c r="AF2023" s="28">
        <v>26934000</v>
      </c>
      <c r="AG2023" s="11"/>
    </row>
    <row r="2024">
      <c r="A2024" s="7" t="s">
        <v>3724</v>
      </c>
      <c r="B2024" s="5" t="s">
        <v>11710</v>
      </c>
      <c r="C2024" s="5" t="s">
        <v>19559</v>
      </c>
      <c r="D2024" s="5" t="str">
        <v>250500344871</v>
      </c>
      <c r="E2024" s="0" t="e">
        <f>+7 (423) 2250204</f>
        <v>#NAME?</v>
      </c>
      <c r="F2024" s="5"/>
      <c r="G2024" s="5"/>
      <c r="H2024" s="26">
        <v>15.5</v>
      </c>
      <c r="I2024" s="5" t="s">
        <v>31430</v>
      </c>
      <c r="J2024" s="5" t="s">
        <v>25219</v>
      </c>
      <c r="K2024" s="5" t="s">
        <v>344</v>
      </c>
      <c r="L2024" s="5" t="s">
        <v>31431</v>
      </c>
      <c r="M2024" s="27"/>
      <c r="N2024" s="5"/>
      <c r="O2024" s="5" t="str">
        <v>2520004446</v>
      </c>
      <c r="P2024" s="27">
        <v>13333</v>
      </c>
      <c r="Q2024" s="5"/>
      <c r="R2024" s="5"/>
      <c r="S2024" s="5" t="s">
        <v>49110</v>
      </c>
      <c r="T2024" s="28">
        <v>23512000</v>
      </c>
      <c r="U2024" s="28"/>
      <c r="V2024" s="28">
        <v>69005000</v>
      </c>
      <c r="W2024" s="28">
        <v>72000000</v>
      </c>
      <c r="X2024" s="28">
        <v>57578000</v>
      </c>
      <c r="Y2024" s="28">
        <v>355687000</v>
      </c>
      <c r="Z2024" s="28">
        <v>132920000</v>
      </c>
      <c r="AA2024" s="28"/>
      <c r="AB2024" s="28"/>
      <c r="AC2024" s="28">
        <v>222754000</v>
      </c>
      <c r="AD2024" s="28">
        <v>132933000</v>
      </c>
      <c r="AE2024" s="28">
        <v>3353064000</v>
      </c>
      <c r="AF2024" s="28">
        <v>51955000</v>
      </c>
      <c r="AG2024" s="11"/>
    </row>
    <row r="2025">
      <c r="A2025" s="7" t="s">
        <v>3725</v>
      </c>
      <c r="B2025" s="5" t="s">
        <v>11711</v>
      </c>
      <c r="C2025" s="5" t="s">
        <v>19560</v>
      </c>
      <c r="D2025" s="5" t="str">
        <v>910817170258</v>
      </c>
      <c r="E2025" s="0" t="e">
        <f>+7 (3652) 480818
+7 (869) 2472178
+7 (978) 1251030
+7 (978) 8294835
+7 (978) 8354483
+7 (978) 8448366</f>
        <v>#NAME?</v>
      </c>
      <c r="F2025" s="5" t="s">
        <v>31432</v>
      </c>
      <c r="G2025" s="5" t="s">
        <v>31433</v>
      </c>
      <c r="H2025" s="26">
        <v>21</v>
      </c>
      <c r="I2025" s="5" t="s">
        <v>31434</v>
      </c>
      <c r="J2025" s="5" t="s">
        <v>26581</v>
      </c>
      <c r="K2025" s="5" t="s">
        <v>344</v>
      </c>
      <c r="L2025" s="5" t="s">
        <v>31435</v>
      </c>
      <c r="M2025" s="27"/>
      <c r="N2025" s="5" t="s">
        <v>52510</v>
      </c>
      <c r="O2025" s="5" t="str">
        <v>9108118124</v>
      </c>
      <c r="P2025" s="27">
        <v>80645</v>
      </c>
      <c r="Q2025" s="5"/>
      <c r="R2025" s="5"/>
      <c r="S2025" s="5" t="s">
        <v>50936</v>
      </c>
      <c r="T2025" s="28">
        <v>472315000</v>
      </c>
      <c r="U2025" s="28">
        <v>10000</v>
      </c>
      <c r="V2025" s="28">
        <v>864664000</v>
      </c>
      <c r="W2025" s="28"/>
      <c r="X2025" s="28">
        <v>2324715000</v>
      </c>
      <c r="Y2025" s="28">
        <v>4066707000</v>
      </c>
      <c r="Z2025" s="28">
        <v>951043000</v>
      </c>
      <c r="AA2025" s="28"/>
      <c r="AB2025" s="28"/>
      <c r="AC2025" s="28">
        <v>3115528000</v>
      </c>
      <c r="AD2025" s="28">
        <v>951150000</v>
      </c>
      <c r="AE2025" s="28">
        <v>5957900000</v>
      </c>
      <c r="AF2025" s="28">
        <v>839879000</v>
      </c>
      <c r="AG2025" s="11"/>
    </row>
    <row r="2026">
      <c r="A2026" s="7" t="s">
        <v>3726</v>
      </c>
      <c r="B2026" s="5" t="s">
        <v>11712</v>
      </c>
      <c r="C2026" s="5" t="s">
        <v>19561</v>
      </c>
      <c r="D2026" s="5" t="str">
        <v>500903807014</v>
      </c>
      <c r="E2026" s="0" t="e">
        <f>+7 (495) 7953566
+7 (916) 9702944
+7 (495) 7878651
+7 (495) 9678974</f>
        <v>#NAME?</v>
      </c>
      <c r="F2026" s="5" t="s">
        <v>31436</v>
      </c>
      <c r="G2026" s="5"/>
      <c r="H2026" s="26">
        <v>27.5</v>
      </c>
      <c r="I2026" s="5" t="s">
        <v>31437</v>
      </c>
      <c r="J2026" s="5" t="s">
        <v>31237</v>
      </c>
      <c r="K2026" s="5" t="s">
        <v>344</v>
      </c>
      <c r="L2026" s="5" t="s">
        <v>31438</v>
      </c>
      <c r="M2026" s="27">
        <v>872018</v>
      </c>
      <c r="N2026" s="5" t="s">
        <v>52511</v>
      </c>
      <c r="O2026" s="5" t="str">
        <v>5009096850</v>
      </c>
      <c r="P2026" s="27">
        <v>20853000</v>
      </c>
      <c r="Q2026" s="5" t="s">
        <v>52512</v>
      </c>
      <c r="R2026" s="5"/>
      <c r="S2026" s="5" t="s">
        <v>52513</v>
      </c>
      <c r="T2026" s="28">
        <v>375648000</v>
      </c>
      <c r="U2026" s="28">
        <v>1202396000</v>
      </c>
      <c r="V2026" s="28">
        <v>6013968000</v>
      </c>
      <c r="W2026" s="28"/>
      <c r="X2026" s="28">
        <v>428000</v>
      </c>
      <c r="Y2026" s="28">
        <v>8047532000</v>
      </c>
      <c r="Z2026" s="28">
        <v>3568379000</v>
      </c>
      <c r="AA2026" s="28"/>
      <c r="AB2026" s="28"/>
      <c r="AC2026" s="28">
        <v>4430514000</v>
      </c>
      <c r="AD2026" s="28">
        <v>3590275000</v>
      </c>
      <c r="AE2026" s="28">
        <v>3927802000</v>
      </c>
      <c r="AF2026" s="28">
        <v>378778000</v>
      </c>
      <c r="AG2026" s="11"/>
    </row>
    <row r="2027">
      <c r="A2027" s="7" t="s">
        <v>3727</v>
      </c>
      <c r="B2027" s="5" t="s">
        <v>11712</v>
      </c>
      <c r="C2027" s="5"/>
      <c r="D2027" s="5"/>
      <c r="E2027" s="0" t="e">
        <f>+7 (495) 7878651
+7 (495) 9678974</f>
        <v>#NAME?</v>
      </c>
      <c r="F2027" s="5" t="s">
        <v>31439</v>
      </c>
      <c r="G2027" s="5"/>
      <c r="H2027" s="26">
        <v>8</v>
      </c>
      <c r="I2027" s="5" t="s">
        <v>31440</v>
      </c>
      <c r="J2027" s="5" t="s">
        <v>31237</v>
      </c>
      <c r="K2027" s="5" t="s">
        <v>344</v>
      </c>
      <c r="L2027" s="5"/>
      <c r="M2027" s="27"/>
      <c r="N2027" s="5"/>
      <c r="O2027" s="5" t="str">
        <v>5009097236</v>
      </c>
      <c r="P2027" s="27">
        <v>5040000</v>
      </c>
      <c r="Q2027" s="5" t="s">
        <v>49021</v>
      </c>
      <c r="R2027" s="5"/>
      <c r="S2027" s="5" t="s">
        <v>52514</v>
      </c>
      <c r="T2027" s="28"/>
      <c r="U2027" s="28">
        <v>12317564000</v>
      </c>
      <c r="V2027" s="28">
        <v>2922517000</v>
      </c>
      <c r="W2027" s="28"/>
      <c r="X2027" s="28">
        <v>5002441000</v>
      </c>
      <c r="Y2027" s="28">
        <v>20629351000</v>
      </c>
      <c r="Z2027" s="28">
        <v>4341654000</v>
      </c>
      <c r="AA2027" s="28">
        <v>15000000000</v>
      </c>
      <c r="AB2027" s="28"/>
      <c r="AC2027" s="28">
        <v>1282405000</v>
      </c>
      <c r="AD2027" s="28">
        <v>4346946000</v>
      </c>
      <c r="AE2027" s="28">
        <v>6097600000</v>
      </c>
      <c r="AF2027" s="28">
        <v>865828000</v>
      </c>
      <c r="AG2027" s="11"/>
    </row>
    <row r="2028">
      <c r="A2028" s="7" t="s">
        <v>3728</v>
      </c>
      <c r="B2028" s="5" t="s">
        <v>11713</v>
      </c>
      <c r="C2028" s="5" t="s">
        <v>19562</v>
      </c>
      <c r="D2028" s="5" t="str">
        <v>370252216843</v>
      </c>
      <c r="E2028" s="0" t="e">
        <f>+7 (495) 2042927
+7 (495) 2042965
+7 (920) 6755787
+7 (49331) 53540
+7 (49331) 57703
+7 (49331) 57808
+7 (495) 2042967
+7 (495) 9955091
+7 (800) 2000997</f>
        <v>#NAME?</v>
      </c>
      <c r="F2028" s="5" t="s">
        <v>31441</v>
      </c>
      <c r="G2028" s="5" t="s">
        <v>31442</v>
      </c>
      <c r="H2028" s="26">
        <v>17.5</v>
      </c>
      <c r="I2028" s="5" t="s">
        <v>31443</v>
      </c>
      <c r="J2028" s="5" t="s">
        <v>25495</v>
      </c>
      <c r="K2028" s="5" t="s">
        <v>344</v>
      </c>
      <c r="L2028" s="5" t="s">
        <v>31444</v>
      </c>
      <c r="M2028" s="27">
        <v>2595261</v>
      </c>
      <c r="N2028" s="5" t="s">
        <v>52515</v>
      </c>
      <c r="O2028" s="5" t="str">
        <v>3703016440</v>
      </c>
      <c r="P2028" s="27">
        <v>220010000</v>
      </c>
      <c r="Q2028" s="5" t="s">
        <v>52516</v>
      </c>
      <c r="R2028" s="5"/>
      <c r="S2028" s="5" t="s">
        <v>52517</v>
      </c>
      <c r="T2028" s="28">
        <v>467886000</v>
      </c>
      <c r="U2028" s="28">
        <v>631000</v>
      </c>
      <c r="V2028" s="28">
        <v>601337000</v>
      </c>
      <c r="W2028" s="28">
        <v>92541000</v>
      </c>
      <c r="X2028" s="28">
        <v>7757000</v>
      </c>
      <c r="Y2028" s="28">
        <v>1854798000</v>
      </c>
      <c r="Z2028" s="28">
        <v>195036000</v>
      </c>
      <c r="AA2028" s="28">
        <v>771003000</v>
      </c>
      <c r="AB2028" s="28">
        <v>249005000</v>
      </c>
      <c r="AC2028" s="28">
        <v>412424000</v>
      </c>
      <c r="AD2028" s="28">
        <v>415046000</v>
      </c>
      <c r="AE2028" s="28">
        <v>3943388000</v>
      </c>
      <c r="AF2028" s="28">
        <v>162645000</v>
      </c>
      <c r="AG2028" s="11"/>
    </row>
    <row r="2029">
      <c r="A2029" s="7" t="s">
        <v>3729</v>
      </c>
      <c r="B2029" s="5" t="s">
        <v>10962</v>
      </c>
      <c r="C2029" s="5" t="s">
        <v>19563</v>
      </c>
      <c r="D2029" s="5" t="str">
        <v>772123823273</v>
      </c>
      <c r="E2029" s="0" t="e">
        <f>+7 (495) 9332200</f>
        <v>#NAME?</v>
      </c>
      <c r="F2029" s="5"/>
      <c r="G2029" s="5" t="s">
        <v>31445</v>
      </c>
      <c r="H2029" s="26">
        <v>8.5</v>
      </c>
      <c r="I2029" s="5" t="s">
        <v>31446</v>
      </c>
      <c r="J2029" s="5" t="s">
        <v>599</v>
      </c>
      <c r="K2029" s="5" t="s">
        <v>355</v>
      </c>
      <c r="L2029" s="5" t="s">
        <v>31447</v>
      </c>
      <c r="M2029" s="27"/>
      <c r="N2029" s="5" t="s">
        <v>52518</v>
      </c>
      <c r="O2029" s="5" t="str">
        <v>5047157655</v>
      </c>
      <c r="P2029" s="27">
        <v>7500000</v>
      </c>
      <c r="Q2029" s="5" t="s">
        <v>49009</v>
      </c>
      <c r="R2029" s="5"/>
      <c r="S2029" s="5" t="s">
        <v>49361</v>
      </c>
      <c r="T2029" s="28">
        <v>19065000</v>
      </c>
      <c r="U2029" s="28">
        <v>307100000</v>
      </c>
      <c r="V2029" s="28">
        <v>286624000</v>
      </c>
      <c r="W2029" s="28"/>
      <c r="X2029" s="28">
        <v>431652000</v>
      </c>
      <c r="Y2029" s="28">
        <v>1075109000</v>
      </c>
      <c r="Z2029" s="28">
        <v>22315000</v>
      </c>
      <c r="AA2029" s="28"/>
      <c r="AB2029" s="28"/>
      <c r="AC2029" s="28">
        <v>317794000</v>
      </c>
      <c r="AD2029" s="28">
        <v>757315000</v>
      </c>
      <c r="AE2029" s="28">
        <v>3513830000</v>
      </c>
      <c r="AF2029" s="28">
        <v>-534455000</v>
      </c>
      <c r="AG2029" s="11"/>
    </row>
    <row r="2030">
      <c r="A2030" s="7" t="s">
        <v>3730</v>
      </c>
      <c r="B2030" s="5" t="s">
        <v>11714</v>
      </c>
      <c r="C2030" s="5" t="s">
        <v>19564</v>
      </c>
      <c r="D2030" s="5" t="str">
        <v>772339801346</v>
      </c>
      <c r="E2030" s="0" t="e">
        <f>+7 (495) 9611005
+7 (495) 9611026
+7 (812) 3245992
+7 (812) 3245994
+7 (812) 3245995
+7 (3422) 591111
+7 (381) 2358585
+7 (401) 2555560
+7 (424) 2225401
+7 (495) 2323088
+7 (495) 2323107
+7 (495) 2326911
+7 (495) 9561001
+7 (495) 9611001
+7 (815) 2477130</f>
        <v>#NAME?</v>
      </c>
      <c r="F2030" s="5" t="s">
        <v>31448</v>
      </c>
      <c r="G2030" s="5"/>
      <c r="H2030" s="26">
        <v>29.5</v>
      </c>
      <c r="I2030" s="5"/>
      <c r="J2030" s="5" t="s">
        <v>26905</v>
      </c>
      <c r="K2030" s="5" t="s">
        <v>344</v>
      </c>
      <c r="L2030" s="5" t="s">
        <v>31449</v>
      </c>
      <c r="M2030" s="27"/>
      <c r="N2030" s="5" t="s">
        <v>52519</v>
      </c>
      <c r="O2030" s="5" t="str">
        <v>7707033437</v>
      </c>
      <c r="P2030" s="27">
        <v>34560000</v>
      </c>
      <c r="Q2030" s="5" t="s">
        <v>52520</v>
      </c>
      <c r="R2030" s="5"/>
      <c r="S2030" s="5" t="s">
        <v>49204</v>
      </c>
      <c r="T2030" s="28">
        <v>1199705000</v>
      </c>
      <c r="U2030" s="28">
        <v>396000</v>
      </c>
      <c r="V2030" s="28">
        <v>504388000</v>
      </c>
      <c r="W2030" s="28"/>
      <c r="X2030" s="28">
        <v>608507000</v>
      </c>
      <c r="Y2030" s="28">
        <v>2573009000</v>
      </c>
      <c r="Z2030" s="28">
        <v>1148575000</v>
      </c>
      <c r="AA2030" s="28"/>
      <c r="AB2030" s="28"/>
      <c r="AC2030" s="28">
        <v>1227261000</v>
      </c>
      <c r="AD2030" s="28">
        <v>1200508000</v>
      </c>
      <c r="AE2030" s="28">
        <v>9457280000</v>
      </c>
      <c r="AF2030" s="28">
        <v>157950000</v>
      </c>
      <c r="AG2030" s="11"/>
    </row>
    <row r="2031">
      <c r="A2031" s="7" t="s">
        <v>3731</v>
      </c>
      <c r="B2031" s="5" t="s">
        <v>11715</v>
      </c>
      <c r="C2031" s="5" t="s">
        <v>19565</v>
      </c>
      <c r="D2031" s="5" t="str">
        <v>773118342921</v>
      </c>
      <c r="E2031" s="0" t="e">
        <f>+7 (968) 8280101
+7 (969) 130139</f>
        <v>#NAME?</v>
      </c>
      <c r="F2031" s="5"/>
      <c r="G2031" s="5" t="s">
        <v>31450</v>
      </c>
      <c r="H2031" s="26">
        <v>4.5</v>
      </c>
      <c r="I2031" s="5" t="s">
        <v>31451</v>
      </c>
      <c r="J2031" s="5" t="s">
        <v>389</v>
      </c>
      <c r="K2031" s="5" t="s">
        <v>355</v>
      </c>
      <c r="L2031" s="5"/>
      <c r="M2031" s="27">
        <v>12819000</v>
      </c>
      <c r="N2031" s="5"/>
      <c r="O2031" s="5" t="str">
        <v>5029236551</v>
      </c>
      <c r="P2031" s="27">
        <v>10000</v>
      </c>
      <c r="Q2031" s="5" t="s">
        <v>49009</v>
      </c>
      <c r="R2031" s="5"/>
      <c r="S2031" s="5" t="s">
        <v>49012</v>
      </c>
      <c r="T2031" s="28">
        <v>736419000</v>
      </c>
      <c r="U2031" s="28">
        <v>739126000</v>
      </c>
      <c r="V2031" s="28">
        <v>1143096000</v>
      </c>
      <c r="W2031" s="28">
        <v>579064000</v>
      </c>
      <c r="X2031" s="28">
        <v>25789000</v>
      </c>
      <c r="Y2031" s="28">
        <v>5057210000</v>
      </c>
      <c r="Z2031" s="28">
        <v>928357000</v>
      </c>
      <c r="AA2031" s="28"/>
      <c r="AB2031" s="28">
        <v>2396457000</v>
      </c>
      <c r="AC2031" s="28">
        <v>3078380000</v>
      </c>
      <c r="AD2031" s="28">
        <v>928367000</v>
      </c>
      <c r="AE2031" s="28">
        <v>6244426000</v>
      </c>
      <c r="AF2031" s="28">
        <v>432731000</v>
      </c>
      <c r="AG2031" s="11"/>
    </row>
    <row r="2032">
      <c r="A2032" s="7" t="s">
        <v>3732</v>
      </c>
      <c r="B2032" s="5" t="s">
        <v>11716</v>
      </c>
      <c r="C2032" s="5" t="s">
        <v>19566</v>
      </c>
      <c r="D2032" s="5" t="str">
        <v>773128676602</v>
      </c>
      <c r="E2032" s="0" t="e">
        <f>+7 (800) 2000151
+7 (495) 5000164
+7 (495) 4130035
+7 (495) 4139145
+7 (495) 4139394
+7 (495) 4153138
+7 (495) 4156184
+7 (495) 5000151
+7 (495) 5000177</f>
        <v>#NAME?</v>
      </c>
      <c r="F2032" s="5" t="s">
        <v>31452</v>
      </c>
      <c r="G2032" s="5"/>
      <c r="H2032" s="26">
        <v>21.5</v>
      </c>
      <c r="I2032" s="5" t="s">
        <v>31453</v>
      </c>
      <c r="J2032" s="5" t="s">
        <v>31454</v>
      </c>
      <c r="K2032" s="5" t="s">
        <v>344</v>
      </c>
      <c r="L2032" s="5" t="s">
        <v>31455</v>
      </c>
      <c r="M2032" s="27"/>
      <c r="N2032" s="5"/>
      <c r="O2032" s="5" t="str">
        <v>7731178578</v>
      </c>
      <c r="P2032" s="27">
        <v>238900000</v>
      </c>
      <c r="Q2032" s="5" t="s">
        <v>52521</v>
      </c>
      <c r="R2032" s="5" t="s">
        <v>52522</v>
      </c>
      <c r="S2032" s="5" t="s">
        <v>52523</v>
      </c>
      <c r="T2032" s="28">
        <v>1235677000</v>
      </c>
      <c r="U2032" s="28">
        <v>86733000</v>
      </c>
      <c r="V2032" s="28">
        <v>1422317000</v>
      </c>
      <c r="W2032" s="28"/>
      <c r="X2032" s="28">
        <v>2110277000</v>
      </c>
      <c r="Y2032" s="28">
        <v>6391535000</v>
      </c>
      <c r="Z2032" s="28">
        <v>2402308000</v>
      </c>
      <c r="AA2032" s="28">
        <v>292000000</v>
      </c>
      <c r="AB2032" s="28">
        <v>1862288000</v>
      </c>
      <c r="AC2032" s="28">
        <v>3089005000</v>
      </c>
      <c r="AD2032" s="28">
        <v>2991684000</v>
      </c>
      <c r="AE2032" s="28">
        <v>10643092000</v>
      </c>
      <c r="AF2032" s="28">
        <v>333321000</v>
      </c>
      <c r="AG2032" s="11"/>
    </row>
    <row r="2033">
      <c r="A2033" s="7" t="s">
        <v>3733</v>
      </c>
      <c r="B2033" s="5" t="s">
        <v>11717</v>
      </c>
      <c r="C2033" s="5" t="s">
        <v>19567</v>
      </c>
      <c r="D2033" s="5"/>
      <c r="E2033" s="0" t="e">
        <f>+7 (411) 2452325
+7 (411) 2452523
+7 (411) 2749541
+7 (41144) 47042
+7 (416) 2390608
+7 (416) 2390610
+7 (416) 2390613
+7 (416) 2390631
+7 (416) 2390632
+7 (416) 2390633
+7 (416) 2390634
+7 (416) 2390637
+7 (416) 2398010
+7 (416) 2398029
+7 (416) 2398044</f>
        <v>#NAME?</v>
      </c>
      <c r="F2033" s="5" t="s">
        <v>31456</v>
      </c>
      <c r="G2033" s="5" t="s">
        <v>31457</v>
      </c>
      <c r="H2033" s="26">
        <v>16</v>
      </c>
      <c r="I2033" s="5" t="s">
        <v>31458</v>
      </c>
      <c r="J2033" s="5" t="s">
        <v>26623</v>
      </c>
      <c r="K2033" s="5" t="s">
        <v>344</v>
      </c>
      <c r="L2033" s="5"/>
      <c r="M2033" s="27">
        <v>53245027</v>
      </c>
      <c r="N2033" s="5" t="s">
        <v>52524</v>
      </c>
      <c r="O2033" s="5" t="str">
        <v>2723088770</v>
      </c>
      <c r="P2033" s="27">
        <v>17223107804</v>
      </c>
      <c r="Q2033" s="5" t="s">
        <v>52525</v>
      </c>
      <c r="R2033" s="5" t="s">
        <v>52526</v>
      </c>
      <c r="S2033" s="5" t="s">
        <v>52527</v>
      </c>
      <c r="T2033" s="28">
        <v>3194718000</v>
      </c>
      <c r="U2033" s="28">
        <v>10138324000</v>
      </c>
      <c r="V2033" s="28">
        <v>10379412000</v>
      </c>
      <c r="W2033" s="28"/>
      <c r="X2033" s="28">
        <v>1146013000</v>
      </c>
      <c r="Y2033" s="28">
        <v>26127141000</v>
      </c>
      <c r="Z2033" s="28">
        <v>-26260734000</v>
      </c>
      <c r="AA2033" s="28">
        <v>600393000</v>
      </c>
      <c r="AB2033" s="28">
        <v>161895000</v>
      </c>
      <c r="AC2033" s="28">
        <v>11219341000</v>
      </c>
      <c r="AD2033" s="28">
        <v>14091698000</v>
      </c>
      <c r="AE2033" s="28">
        <v>120699219000</v>
      </c>
      <c r="AF2033" s="28">
        <v>2599824000</v>
      </c>
      <c r="AG2033" s="11"/>
    </row>
    <row r="2034">
      <c r="A2034" s="7" t="s">
        <v>3734</v>
      </c>
      <c r="B2034" s="5" t="s">
        <v>11718</v>
      </c>
      <c r="C2034" s="5" t="s">
        <v>19568</v>
      </c>
      <c r="D2034" s="5" t="str">
        <v>666007789943</v>
      </c>
      <c r="E2034" s="0" t="e">
        <f>+7 (495) 7953867
+7 (495) 9678994
+7 (495) 9336666
+7 (916) 6300559</f>
        <v>#NAME?</v>
      </c>
      <c r="F2034" s="5" t="s">
        <v>31459</v>
      </c>
      <c r="G2034" s="5" t="s">
        <v>31460</v>
      </c>
      <c r="H2034" s="26">
        <v>25.5</v>
      </c>
      <c r="I2034" s="5" t="s">
        <v>31461</v>
      </c>
      <c r="J2034" s="5" t="s">
        <v>31237</v>
      </c>
      <c r="K2034" s="5" t="s">
        <v>344</v>
      </c>
      <c r="L2034" s="5"/>
      <c r="M2034" s="27"/>
      <c r="N2034" s="5" t="s">
        <v>52528</v>
      </c>
      <c r="O2034" s="5" t="str">
        <v>5009096987</v>
      </c>
      <c r="P2034" s="27">
        <v>23712000</v>
      </c>
      <c r="Q2034" s="5" t="s">
        <v>49009</v>
      </c>
      <c r="R2034" s="5"/>
      <c r="S2034" s="5" t="s">
        <v>49012</v>
      </c>
      <c r="T2034" s="28">
        <v>225174000</v>
      </c>
      <c r="U2034" s="28"/>
      <c r="V2034" s="28">
        <v>9425945000</v>
      </c>
      <c r="W2034" s="28">
        <v>9086074000</v>
      </c>
      <c r="X2034" s="28">
        <v>9469000</v>
      </c>
      <c r="Y2034" s="28">
        <v>19630107000</v>
      </c>
      <c r="Z2034" s="28">
        <v>1193491000</v>
      </c>
      <c r="AA2034" s="28">
        <v>1150000000</v>
      </c>
      <c r="AB2034" s="28"/>
      <c r="AC2034" s="28">
        <v>17258223000</v>
      </c>
      <c r="AD2034" s="28">
        <v>1221884000</v>
      </c>
      <c r="AE2034" s="28">
        <v>3434409000</v>
      </c>
      <c r="AF2034" s="28">
        <v>746748000</v>
      </c>
      <c r="AG2034" s="11"/>
    </row>
    <row r="2035">
      <c r="A2035" s="7" t="s">
        <v>3735</v>
      </c>
      <c r="B2035" s="5" t="s">
        <v>11719</v>
      </c>
      <c r="C2035" s="5" t="s">
        <v>19569</v>
      </c>
      <c r="D2035" s="5" t="str">
        <v>773571128149</v>
      </c>
      <c r="E2035" s="0" t="e">
        <f>+7 (84465) 44648</f>
        <v>#NAME?</v>
      </c>
      <c r="F2035" s="5" t="s">
        <v>31462</v>
      </c>
      <c r="G2035" s="5"/>
      <c r="H2035" s="26">
        <v>4.5</v>
      </c>
      <c r="I2035" s="5" t="s">
        <v>31463</v>
      </c>
      <c r="J2035" s="5" t="s">
        <v>26932</v>
      </c>
      <c r="K2035" s="5" t="s">
        <v>355</v>
      </c>
      <c r="L2035" s="5"/>
      <c r="M2035" s="27">
        <v>60322833</v>
      </c>
      <c r="N2035" s="5"/>
      <c r="O2035" s="5" t="str">
        <v>3456004455</v>
      </c>
      <c r="P2035" s="27">
        <v>100000</v>
      </c>
      <c r="Q2035" s="5"/>
      <c r="R2035" s="5" t="s">
        <v>52529</v>
      </c>
      <c r="S2035" s="5" t="s">
        <v>49121</v>
      </c>
      <c r="T2035" s="28">
        <v>96859000</v>
      </c>
      <c r="U2035" s="28"/>
      <c r="V2035" s="28">
        <v>1146760000</v>
      </c>
      <c r="W2035" s="28">
        <v>25368000</v>
      </c>
      <c r="X2035" s="28">
        <v>926000</v>
      </c>
      <c r="Y2035" s="28">
        <v>1883373000</v>
      </c>
      <c r="Z2035" s="28">
        <v>-172237000</v>
      </c>
      <c r="AA2035" s="28">
        <v>389590000</v>
      </c>
      <c r="AB2035" s="28">
        <v>643174000</v>
      </c>
      <c r="AC2035" s="28">
        <v>1665920000</v>
      </c>
      <c r="AD2035" s="28">
        <v>-172137000</v>
      </c>
      <c r="AE2035" s="28">
        <v>4881437000</v>
      </c>
      <c r="AF2035" s="28">
        <v>2547000</v>
      </c>
      <c r="AG2035" s="11"/>
    </row>
    <row r="2036">
      <c r="A2036" s="7" t="s">
        <v>3736</v>
      </c>
      <c r="B2036" s="5" t="s">
        <v>11720</v>
      </c>
      <c r="C2036" s="5" t="s">
        <v>19570</v>
      </c>
      <c r="D2036" s="5" t="str">
        <v>780508685146</v>
      </c>
      <c r="E2036" s="0" t="e">
        <f>+7 (3472) 167103
+7 (347) 1241358
+7 (34712) 47358
+7 (34782) 47172
+7 (34782) 47306
+7 (961) 9245105</f>
        <v>#NAME?</v>
      </c>
      <c r="F2036" s="5" t="s">
        <v>31464</v>
      </c>
      <c r="G2036" s="5" t="s">
        <v>31465</v>
      </c>
      <c r="H2036" s="26">
        <v>28</v>
      </c>
      <c r="I2036" s="5"/>
      <c r="J2036" s="5" t="s">
        <v>25603</v>
      </c>
      <c r="K2036" s="5" t="s">
        <v>344</v>
      </c>
      <c r="L2036" s="5" t="s">
        <v>31466</v>
      </c>
      <c r="M2036" s="27">
        <v>2433169</v>
      </c>
      <c r="N2036" s="5" t="s">
        <v>51767</v>
      </c>
      <c r="O2036" s="5" t="str">
        <v>0269031848</v>
      </c>
      <c r="P2036" s="27">
        <v>10339000</v>
      </c>
      <c r="Q2036" s="5" t="s">
        <v>52530</v>
      </c>
      <c r="R2036" s="5" t="s">
        <v>52531</v>
      </c>
      <c r="S2036" s="5" t="s">
        <v>52532</v>
      </c>
      <c r="T2036" s="28">
        <v>1376845000</v>
      </c>
      <c r="U2036" s="28"/>
      <c r="V2036" s="28">
        <v>446570000</v>
      </c>
      <c r="W2036" s="28"/>
      <c r="X2036" s="28">
        <v>15851000</v>
      </c>
      <c r="Y2036" s="28">
        <v>2000739000</v>
      </c>
      <c r="Z2036" s="28">
        <v>112939000</v>
      </c>
      <c r="AA2036" s="28"/>
      <c r="AB2036" s="28">
        <v>263564000</v>
      </c>
      <c r="AC2036" s="28">
        <v>1469892000</v>
      </c>
      <c r="AD2036" s="28">
        <v>123861000</v>
      </c>
      <c r="AE2036" s="28">
        <v>3690979000</v>
      </c>
      <c r="AF2036" s="28">
        <v>33751000</v>
      </c>
      <c r="AG2036" s="11"/>
    </row>
    <row r="2037">
      <c r="A2037" s="7" t="s">
        <v>3737</v>
      </c>
      <c r="B2037" s="5" t="s">
        <v>11721</v>
      </c>
      <c r="C2037" s="5" t="s">
        <v>19571</v>
      </c>
      <c r="D2037" s="5" t="str">
        <v>860204195140</v>
      </c>
      <c r="E2037" s="0" t="e">
        <f>+7 (343) 3820613
+7 (49233) 22282
+7 (49233) 24166
+7 (49233) 30678
+7 (49233) 58231
+7 (938) 1218907</f>
        <v>#NAME?</v>
      </c>
      <c r="F2037" s="5" t="s">
        <v>31467</v>
      </c>
      <c r="G2037" s="5"/>
      <c r="H2037" s="26">
        <v>29</v>
      </c>
      <c r="I2037" s="5"/>
      <c r="J2037" s="5" t="s">
        <v>25603</v>
      </c>
      <c r="K2037" s="5" t="s">
        <v>344</v>
      </c>
      <c r="L2037" s="5" t="s">
        <v>31468</v>
      </c>
      <c r="M2037" s="27">
        <v>43022284</v>
      </c>
      <c r="N2037" s="5" t="s">
        <v>52533</v>
      </c>
      <c r="O2037" s="5" t="str">
        <v>3338006713</v>
      </c>
      <c r="P2037" s="27">
        <v>36864000</v>
      </c>
      <c r="Q2037" s="5" t="s">
        <v>52534</v>
      </c>
      <c r="R2037" s="5"/>
      <c r="S2037" s="5" t="s">
        <v>52535</v>
      </c>
      <c r="T2037" s="28">
        <v>562193000</v>
      </c>
      <c r="U2037" s="28"/>
      <c r="V2037" s="28">
        <v>239812000</v>
      </c>
      <c r="W2037" s="28"/>
      <c r="X2037" s="28">
        <v>1744782000</v>
      </c>
      <c r="Y2037" s="28">
        <v>2740845000</v>
      </c>
      <c r="Z2037" s="28">
        <v>478490000</v>
      </c>
      <c r="AA2037" s="28"/>
      <c r="AB2037" s="28">
        <v>76123000</v>
      </c>
      <c r="AC2037" s="28">
        <v>2078534000</v>
      </c>
      <c r="AD2037" s="28">
        <v>526542000</v>
      </c>
      <c r="AE2037" s="28">
        <v>4287492000</v>
      </c>
      <c r="AF2037" s="28">
        <v>308892000</v>
      </c>
      <c r="AG2037" s="11"/>
    </row>
    <row r="2038">
      <c r="A2038" s="7" t="s">
        <v>3738</v>
      </c>
      <c r="B2038" s="5" t="s">
        <v>11676</v>
      </c>
      <c r="C2038" s="5" t="s">
        <v>19572</v>
      </c>
      <c r="D2038" s="5" t="str">
        <v>500902067991</v>
      </c>
      <c r="E2038" s="0" t="e">
        <f>+7 (495) 7953511
+7 (495) 3636427
+7 (495) 7907417</f>
        <v>#NAME?</v>
      </c>
      <c r="F2038" s="5" t="s">
        <v>31469</v>
      </c>
      <c r="G2038" s="5" t="s">
        <v>31332</v>
      </c>
      <c r="H2038" s="26">
        <v>17.5</v>
      </c>
      <c r="I2038" s="5" t="s">
        <v>31236</v>
      </c>
      <c r="J2038" s="5" t="s">
        <v>31237</v>
      </c>
      <c r="K2038" s="5" t="s">
        <v>380</v>
      </c>
      <c r="L2038" s="5" t="s">
        <v>31470</v>
      </c>
      <c r="M2038" s="27"/>
      <c r="N2038" s="5" t="s">
        <v>52536</v>
      </c>
      <c r="O2038" s="5" t="str">
        <v>5009096948</v>
      </c>
      <c r="P2038" s="27">
        <v>10000000</v>
      </c>
      <c r="Q2038" s="5" t="s">
        <v>52538</v>
      </c>
      <c r="R2038" s="5"/>
      <c r="S2038" s="5" t="s">
        <v>49961</v>
      </c>
      <c r="T2038" s="28">
        <v>506540000</v>
      </c>
      <c r="U2038" s="28">
        <v>475000000</v>
      </c>
      <c r="V2038" s="28">
        <v>6508009000</v>
      </c>
      <c r="W2038" s="28"/>
      <c r="X2038" s="28">
        <v>969000</v>
      </c>
      <c r="Y2038" s="28">
        <v>8191623000</v>
      </c>
      <c r="Z2038" s="28">
        <v>2581244000</v>
      </c>
      <c r="AA2038" s="28"/>
      <c r="AB2038" s="28"/>
      <c r="AC2038" s="28">
        <v>5546225000</v>
      </c>
      <c r="AD2038" s="28">
        <v>2591245000</v>
      </c>
      <c r="AE2038" s="28">
        <v>7333044000</v>
      </c>
      <c r="AF2038" s="28">
        <v>-69774000</v>
      </c>
      <c r="AG2038" s="11"/>
    </row>
    <row r="2039">
      <c r="A2039" s="7" t="s">
        <v>3739</v>
      </c>
      <c r="B2039" s="5" t="s">
        <v>11722</v>
      </c>
      <c r="C2039" s="5" t="s">
        <v>19573</v>
      </c>
      <c r="D2039" s="5" t="str">
        <v>701400666879</v>
      </c>
      <c r="E2039" s="0" t="e">
        <f>+7 (39144) 35588
+7 (39144) 39491
+7 (495) 7205085
+7 (495) 7205086</f>
        <v>#NAME?</v>
      </c>
      <c r="F2039" s="5" t="s">
        <v>31471</v>
      </c>
      <c r="G2039" s="5" t="s">
        <v>31472</v>
      </c>
      <c r="H2039" s="26">
        <v>14.5</v>
      </c>
      <c r="I2039" s="5" t="s">
        <v>31473</v>
      </c>
      <c r="J2039" s="5" t="s">
        <v>28287</v>
      </c>
      <c r="K2039" s="5" t="s">
        <v>344</v>
      </c>
      <c r="L2039" s="5" t="s">
        <v>31474</v>
      </c>
      <c r="M2039" s="27">
        <v>8729550</v>
      </c>
      <c r="N2039" s="5" t="s">
        <v>50288</v>
      </c>
      <c r="O2039" s="5" t="str">
        <v>7706697347</v>
      </c>
      <c r="P2039" s="27">
        <v>102850165530</v>
      </c>
      <c r="Q2039" s="5" t="s">
        <v>49059</v>
      </c>
      <c r="R2039" s="5" t="s">
        <v>52539</v>
      </c>
      <c r="S2039" s="5" t="s">
        <v>49125</v>
      </c>
      <c r="T2039" s="28">
        <v>13455324000</v>
      </c>
      <c r="U2039" s="28">
        <v>261448923000</v>
      </c>
      <c r="V2039" s="28">
        <v>3940145000</v>
      </c>
      <c r="W2039" s="28"/>
      <c r="X2039" s="28">
        <v>1473651000</v>
      </c>
      <c r="Y2039" s="28">
        <v>281351391000</v>
      </c>
      <c r="Z2039" s="28">
        <v>55929009000</v>
      </c>
      <c r="AA2039" s="28">
        <v>68500000000</v>
      </c>
      <c r="AB2039" s="28">
        <v>29258462000</v>
      </c>
      <c r="AC2039" s="28">
        <v>35117933000</v>
      </c>
      <c r="AD2039" s="28">
        <v>163921683000</v>
      </c>
      <c r="AE2039" s="28">
        <v>44094779000</v>
      </c>
      <c r="AF2039" s="28">
        <v>19472833000</v>
      </c>
      <c r="AG2039" s="11"/>
    </row>
    <row r="2040">
      <c r="A2040" s="7" t="s">
        <v>3740</v>
      </c>
      <c r="B2040" s="5" t="s">
        <v>11723</v>
      </c>
      <c r="C2040" s="5" t="s">
        <v>19574</v>
      </c>
      <c r="D2040" s="5" t="str">
        <v>662514175688</v>
      </c>
      <c r="E2040" s="0" t="e">
        <f>+7 (950) 6523585
+7 (3432) 879955</f>
        <v>#NAME?</v>
      </c>
      <c r="F2040" s="5" t="s">
        <v>31475</v>
      </c>
      <c r="G2040" s="5"/>
      <c r="H2040" s="26">
        <v>7.5</v>
      </c>
      <c r="I2040" s="5" t="s">
        <v>31476</v>
      </c>
      <c r="J2040" s="5" t="s">
        <v>678</v>
      </c>
      <c r="K2040" s="5" t="s">
        <v>344</v>
      </c>
      <c r="L2040" s="5"/>
      <c r="M2040" s="27">
        <v>3528350</v>
      </c>
      <c r="N2040" s="5" t="s">
        <v>52540</v>
      </c>
      <c r="O2040" s="5" t="str">
        <v>6671013577</v>
      </c>
      <c r="P2040" s="27">
        <v>16000</v>
      </c>
      <c r="Q2040" s="5" t="s">
        <v>52541</v>
      </c>
      <c r="R2040" s="5"/>
      <c r="S2040" s="5" t="s">
        <v>51657</v>
      </c>
      <c r="T2040" s="28">
        <v>11476000</v>
      </c>
      <c r="U2040" s="28"/>
      <c r="V2040" s="28">
        <v>581707000</v>
      </c>
      <c r="W2040" s="28">
        <v>213507000</v>
      </c>
      <c r="X2040" s="28">
        <v>283949000</v>
      </c>
      <c r="Y2040" s="28">
        <v>1171730000</v>
      </c>
      <c r="Z2040" s="28">
        <v>46422000</v>
      </c>
      <c r="AA2040" s="28">
        <v>51340000</v>
      </c>
      <c r="AB2040" s="28">
        <v>147000</v>
      </c>
      <c r="AC2040" s="28">
        <v>1068268000</v>
      </c>
      <c r="AD2040" s="28">
        <v>46438000</v>
      </c>
      <c r="AE2040" s="28">
        <v>3974402000</v>
      </c>
      <c r="AF2040" s="28">
        <v>10978000</v>
      </c>
      <c r="AG2040" s="11"/>
    </row>
    <row r="2041">
      <c r="A2041" s="7" t="s">
        <v>3741</v>
      </c>
      <c r="B2041" s="5" t="s">
        <v>11724</v>
      </c>
      <c r="C2041" s="5" t="s">
        <v>19575</v>
      </c>
      <c r="D2041" s="5" t="str">
        <v>773004433780</v>
      </c>
      <c r="E2041" s="0" t="e">
        <f>+7 (383) 3225006
+7 (495) 2585888
+7 (495) 5109467
+7 (495) 7774131
+7 (495) 9677676
+7 (495) 9677979
+7 (925) 5109467
+7 (926) 4280221</f>
        <v>#NAME?</v>
      </c>
      <c r="F2041" s="5" t="s">
        <v>31477</v>
      </c>
      <c r="G2041" s="5"/>
      <c r="H2041" s="26">
        <v>8</v>
      </c>
      <c r="I2041" s="5" t="s">
        <v>31478</v>
      </c>
      <c r="J2041" s="5" t="s">
        <v>25216</v>
      </c>
      <c r="K2041" s="5" t="s">
        <v>344</v>
      </c>
      <c r="L2041" s="5"/>
      <c r="M2041" s="27"/>
      <c r="N2041" s="5"/>
      <c r="O2041" s="5" t="str">
        <v>7743101227</v>
      </c>
      <c r="P2041" s="27">
        <v>1061410000</v>
      </c>
      <c r="Q2041" s="5" t="s">
        <v>49009</v>
      </c>
      <c r="R2041" s="5"/>
      <c r="S2041" s="5" t="s">
        <v>49010</v>
      </c>
      <c r="T2041" s="28">
        <v>8753000</v>
      </c>
      <c r="U2041" s="28"/>
      <c r="V2041" s="28">
        <v>1499875000</v>
      </c>
      <c r="W2041" s="28"/>
      <c r="X2041" s="28">
        <v>445234000</v>
      </c>
      <c r="Y2041" s="28">
        <v>2511631000</v>
      </c>
      <c r="Z2041" s="28">
        <v>457609000</v>
      </c>
      <c r="AA2041" s="28"/>
      <c r="AB2041" s="28"/>
      <c r="AC2041" s="28">
        <v>828112000</v>
      </c>
      <c r="AD2041" s="28">
        <v>1683519000</v>
      </c>
      <c r="AE2041" s="28">
        <v>3994853000</v>
      </c>
      <c r="AF2041" s="28">
        <v>457609000</v>
      </c>
      <c r="AG2041" s="11"/>
    </row>
    <row r="2042">
      <c r="A2042" s="7" t="s">
        <v>3742</v>
      </c>
      <c r="B2042" s="5" t="s">
        <v>11725</v>
      </c>
      <c r="C2042" s="5" t="s">
        <v>19576</v>
      </c>
      <c r="D2042" s="5" t="str">
        <v>772155888555</v>
      </c>
      <c r="E2042" s="0" t="e">
        <f>+7 (495) 2218496
+7 (495) 5547446
+7 (495) 1096000
+7 (495) 5544485
+7 (495) 5547548
+7 (495) 7349967
+7 (800) 2503565
+7 (86164) 76456
+7 (86164) 78272
+7 (916) 4554545
+7 (916) 5554750</f>
        <v>#NAME?</v>
      </c>
      <c r="F2042" s="5" t="s">
        <v>31479</v>
      </c>
      <c r="G2042" s="5" t="s">
        <v>31480</v>
      </c>
      <c r="H2042" s="26">
        <v>14.5</v>
      </c>
      <c r="I2042" s="5" t="s">
        <v>31481</v>
      </c>
      <c r="J2042" s="5" t="s">
        <v>26447</v>
      </c>
      <c r="K2042" s="5" t="s">
        <v>344</v>
      </c>
      <c r="L2042" s="5" t="s">
        <v>31482</v>
      </c>
      <c r="M2042" s="27">
        <v>47100</v>
      </c>
      <c r="N2042" s="5" t="s">
        <v>52542</v>
      </c>
      <c r="O2042" s="5" t="str">
        <v>5027137160</v>
      </c>
      <c r="P2042" s="27">
        <v>10000</v>
      </c>
      <c r="Q2042" s="5"/>
      <c r="R2042" s="5"/>
      <c r="S2042" s="5" t="s">
        <v>49053</v>
      </c>
      <c r="T2042" s="28">
        <v>4472000</v>
      </c>
      <c r="U2042" s="28">
        <v>218986000</v>
      </c>
      <c r="V2042" s="28">
        <v>1711447000</v>
      </c>
      <c r="W2042" s="28"/>
      <c r="X2042" s="28">
        <v>3700000</v>
      </c>
      <c r="Y2042" s="28">
        <v>3786610000</v>
      </c>
      <c r="Z2042" s="28">
        <v>1149612000</v>
      </c>
      <c r="AA2042" s="28">
        <v>53903000</v>
      </c>
      <c r="AB2042" s="28">
        <v>1604394000</v>
      </c>
      <c r="AC2042" s="28">
        <v>2582921000</v>
      </c>
      <c r="AD2042" s="28">
        <v>1149622000</v>
      </c>
      <c r="AE2042" s="28">
        <v>6386588000</v>
      </c>
      <c r="AF2042" s="28">
        <v>403225000</v>
      </c>
      <c r="AG2042" s="11"/>
    </row>
    <row r="2043">
      <c r="A2043" s="7" t="s">
        <v>3743</v>
      </c>
      <c r="B2043" s="5" t="s">
        <v>11726</v>
      </c>
      <c r="C2043" s="5" t="s">
        <v>19577</v>
      </c>
      <c r="D2043" s="5" t="str">
        <v>667001060401</v>
      </c>
      <c r="E2043" s="0" t="e">
        <f>+7 (922) 2092367
+7 (982) 6777999</f>
        <v>#NAME?</v>
      </c>
      <c r="F2043" s="5" t="s">
        <v>31483</v>
      </c>
      <c r="G2043" s="5"/>
      <c r="H2043" s="26">
        <v>5.5</v>
      </c>
      <c r="I2043" s="5" t="s">
        <v>31484</v>
      </c>
      <c r="J2043" s="5" t="s">
        <v>364</v>
      </c>
      <c r="K2043" s="5" t="s">
        <v>344</v>
      </c>
      <c r="L2043" s="5" t="s">
        <v>31485</v>
      </c>
      <c r="M2043" s="27">
        <v>10102546</v>
      </c>
      <c r="N2043" s="5" t="s">
        <v>52543</v>
      </c>
      <c r="O2043" s="5" t="str">
        <v>6658446116</v>
      </c>
      <c r="P2043" s="27">
        <v>10000</v>
      </c>
      <c r="Q2043" s="5" t="s">
        <v>52544</v>
      </c>
      <c r="R2043" s="5"/>
      <c r="S2043" s="5" t="s">
        <v>52545</v>
      </c>
      <c r="T2043" s="28">
        <v>31397000</v>
      </c>
      <c r="U2043" s="28"/>
      <c r="V2043" s="28">
        <v>1929063000</v>
      </c>
      <c r="W2043" s="28">
        <v>82370000</v>
      </c>
      <c r="X2043" s="28">
        <v>62592000</v>
      </c>
      <c r="Y2043" s="28">
        <v>2391633000</v>
      </c>
      <c r="Z2043" s="28">
        <v>37809000</v>
      </c>
      <c r="AA2043" s="28">
        <v>450000000</v>
      </c>
      <c r="AB2043" s="28"/>
      <c r="AC2043" s="28">
        <v>1891541000</v>
      </c>
      <c r="AD2043" s="28">
        <v>37819000</v>
      </c>
      <c r="AE2043" s="28">
        <v>4609486000</v>
      </c>
      <c r="AF2043" s="28">
        <v>10718000</v>
      </c>
      <c r="AG2043" s="11"/>
    </row>
    <row r="2044">
      <c r="A2044" s="7" t="s">
        <v>3744</v>
      </c>
      <c r="B2044" s="5" t="s">
        <v>11727</v>
      </c>
      <c r="C2044" s="5" t="s">
        <v>19578</v>
      </c>
      <c r="D2044" s="5" t="str">
        <v>772782922334</v>
      </c>
      <c r="E2044" s="0" t="e">
        <f>+7 (495) 6265512
+7 (495) 9377837
+7 (495) 1391375
+7 (495) 2781856
+7 (495) 6265513
+7 (495) 7214361
+7 (495) 9372800
+7 (495) 9372810
+7 (495) 9377873
+7 (495) 9562917</f>
        <v>#NAME?</v>
      </c>
      <c r="F2044" s="5" t="s">
        <v>31486</v>
      </c>
      <c r="G2044" s="5" t="s">
        <v>31487</v>
      </c>
      <c r="H2044" s="26">
        <v>20.5</v>
      </c>
      <c r="I2044" s="5" t="s">
        <v>31488</v>
      </c>
      <c r="J2044" s="5" t="s">
        <v>27522</v>
      </c>
      <c r="K2044" s="5" t="s">
        <v>355</v>
      </c>
      <c r="L2044" s="5" t="s">
        <v>31489</v>
      </c>
      <c r="M2044" s="27"/>
      <c r="N2044" s="5"/>
      <c r="O2044" s="5" t="str">
        <v>7804159731</v>
      </c>
      <c r="P2044" s="27">
        <v>566905050</v>
      </c>
      <c r="Q2044" s="5" t="s">
        <v>49009</v>
      </c>
      <c r="R2044" s="5"/>
      <c r="S2044" s="5" t="s">
        <v>52546</v>
      </c>
      <c r="T2044" s="28">
        <v>39718000</v>
      </c>
      <c r="U2044" s="28"/>
      <c r="V2044" s="28">
        <v>108012000</v>
      </c>
      <c r="W2044" s="28">
        <v>1070268000</v>
      </c>
      <c r="X2044" s="28">
        <v>601976000</v>
      </c>
      <c r="Y2044" s="28">
        <v>2094262000</v>
      </c>
      <c r="Z2044" s="28">
        <v>371287000</v>
      </c>
      <c r="AA2044" s="28"/>
      <c r="AB2044" s="28"/>
      <c r="AC2044" s="28">
        <v>143401000</v>
      </c>
      <c r="AD2044" s="28">
        <v>1924590000</v>
      </c>
      <c r="AE2044" s="28">
        <v>4004442000</v>
      </c>
      <c r="AF2044" s="28">
        <v>-701482000</v>
      </c>
      <c r="AG2044" s="11"/>
    </row>
    <row r="2045">
      <c r="A2045" s="7" t="s">
        <v>3745</v>
      </c>
      <c r="B2045" s="5" t="s">
        <v>11728</v>
      </c>
      <c r="C2045" s="5" t="s">
        <v>19579</v>
      </c>
      <c r="D2045" s="5" t="str">
        <v>772908914415</v>
      </c>
      <c r="E2045" s="0" t="e">
        <f>+7 (495) 7305300
+7 (800) 7750007
+7 (495) 6637369
+7 (800) 7750333
+7 (926) 1191418</f>
        <v>#NAME?</v>
      </c>
      <c r="F2045" s="5" t="s">
        <v>31490</v>
      </c>
      <c r="G2045" s="5" t="s">
        <v>31491</v>
      </c>
      <c r="H2045" s="26">
        <v>8.5</v>
      </c>
      <c r="I2045" s="5" t="s">
        <v>31492</v>
      </c>
      <c r="J2045" s="5" t="s">
        <v>26165</v>
      </c>
      <c r="K2045" s="5" t="s">
        <v>355</v>
      </c>
      <c r="L2045" s="5"/>
      <c r="M2045" s="27">
        <v>2236098</v>
      </c>
      <c r="N2045" s="5" t="s">
        <v>52547</v>
      </c>
      <c r="O2045" s="5" t="str">
        <v>7704865540</v>
      </c>
      <c r="P2045" s="27">
        <v>1859606196</v>
      </c>
      <c r="Q2045" s="5" t="s">
        <v>49021</v>
      </c>
      <c r="R2045" s="5"/>
      <c r="S2045" s="5" t="s">
        <v>52549</v>
      </c>
      <c r="T2045" s="28">
        <v>1687269000</v>
      </c>
      <c r="U2045" s="28">
        <v>21500000</v>
      </c>
      <c r="V2045" s="28">
        <v>2414999000</v>
      </c>
      <c r="W2045" s="28">
        <v>632000000</v>
      </c>
      <c r="X2045" s="28">
        <v>670958000</v>
      </c>
      <c r="Y2045" s="28">
        <v>13058178000</v>
      </c>
      <c r="Z2045" s="28">
        <v>-12104137000</v>
      </c>
      <c r="AA2045" s="28"/>
      <c r="AB2045" s="28">
        <v>8283462000</v>
      </c>
      <c r="AC2045" s="28">
        <v>16562008000</v>
      </c>
      <c r="AD2045" s="28">
        <v>-5354081000</v>
      </c>
      <c r="AE2045" s="28">
        <v>24738214000</v>
      </c>
      <c r="AF2045" s="28">
        <v>-5790112000</v>
      </c>
      <c r="AG2045" s="11"/>
    </row>
    <row r="2046">
      <c r="A2046" s="7" t="s">
        <v>3746</v>
      </c>
      <c r="B2046" s="5" t="s">
        <v>11729</v>
      </c>
      <c r="C2046" s="5" t="s">
        <v>19580</v>
      </c>
      <c r="D2046" s="5" t="str">
        <v>312203948342</v>
      </c>
      <c r="E2046" s="0" t="e">
        <f>+7 (47357) 45562
+7 (47357) 45568
+7 (47357) 51087
+7 (47357) 51141
+7 (47357) 51181
+7 (47357) 51371
+7 (47357) 51645
+7 (47357) 52184
+7 (47357) 52681
+7 (47357) 53753
+7 (47357) 53915
+7 (980) 2459199</f>
        <v>#NAME?</v>
      </c>
      <c r="F2046" s="5" t="s">
        <v>31493</v>
      </c>
      <c r="G2046" s="5"/>
      <c r="H2046" s="26">
        <v>6.5</v>
      </c>
      <c r="I2046" s="5" t="s">
        <v>31494</v>
      </c>
      <c r="J2046" s="5" t="s">
        <v>25812</v>
      </c>
      <c r="K2046" s="5" t="s">
        <v>344</v>
      </c>
      <c r="L2046" s="5" t="s">
        <v>31495</v>
      </c>
      <c r="M2046" s="27"/>
      <c r="N2046" s="5" t="s">
        <v>52550</v>
      </c>
      <c r="O2046" s="5" t="str">
        <v>3664222670</v>
      </c>
      <c r="P2046" s="27">
        <v>10000</v>
      </c>
      <c r="Q2046" s="5" t="s">
        <v>49009</v>
      </c>
      <c r="R2046" s="5"/>
      <c r="S2046" s="5" t="s">
        <v>49028</v>
      </c>
      <c r="T2046" s="28">
        <v>2800645000</v>
      </c>
      <c r="U2046" s="28">
        <v>8877000</v>
      </c>
      <c r="V2046" s="28">
        <v>3062637000</v>
      </c>
      <c r="W2046" s="28"/>
      <c r="X2046" s="28">
        <v>241000</v>
      </c>
      <c r="Y2046" s="28">
        <v>6591118000</v>
      </c>
      <c r="Z2046" s="28">
        <v>1544603000</v>
      </c>
      <c r="AA2046" s="28">
        <v>1389491000</v>
      </c>
      <c r="AB2046" s="28"/>
      <c r="AC2046" s="28">
        <v>3561824000</v>
      </c>
      <c r="AD2046" s="28">
        <v>1544613000</v>
      </c>
      <c r="AE2046" s="28">
        <v>17717569000</v>
      </c>
      <c r="AF2046" s="28">
        <v>836575000</v>
      </c>
      <c r="AG2046" s="11"/>
    </row>
    <row r="2047">
      <c r="A2047" s="7" t="s">
        <v>3747</v>
      </c>
      <c r="B2047" s="5" t="s">
        <v>11730</v>
      </c>
      <c r="C2047" s="5" t="s">
        <v>19581</v>
      </c>
      <c r="D2047" s="5"/>
      <c r="E2047" s="0" t="e">
        <f>+7 (487) 2256803
+7 (487) 2256900
+7 (487) 2466969</f>
        <v>#NAME?</v>
      </c>
      <c r="F2047" s="5" t="s">
        <v>31496</v>
      </c>
      <c r="G2047" s="5" t="s">
        <v>31497</v>
      </c>
      <c r="H2047" s="26">
        <v>30.5</v>
      </c>
      <c r="I2047" s="5"/>
      <c r="J2047" s="5" t="s">
        <v>31498</v>
      </c>
      <c r="K2047" s="5" t="s">
        <v>344</v>
      </c>
      <c r="L2047" s="5" t="s">
        <v>31499</v>
      </c>
      <c r="M2047" s="27">
        <v>13323781</v>
      </c>
      <c r="N2047" s="5" t="s">
        <v>52551</v>
      </c>
      <c r="O2047" s="5" t="str">
        <v>7105008754</v>
      </c>
      <c r="P2047" s="27">
        <v>22268000</v>
      </c>
      <c r="Q2047" s="5" t="s">
        <v>49009</v>
      </c>
      <c r="R2047" s="5"/>
      <c r="S2047" s="5" t="s">
        <v>49045</v>
      </c>
      <c r="T2047" s="28">
        <v>1930111000</v>
      </c>
      <c r="U2047" s="28">
        <v>5161238000</v>
      </c>
      <c r="V2047" s="28">
        <v>4948276000</v>
      </c>
      <c r="W2047" s="28">
        <v>607384000</v>
      </c>
      <c r="X2047" s="28">
        <v>79781000</v>
      </c>
      <c r="Y2047" s="28">
        <v>14413829000</v>
      </c>
      <c r="Z2047" s="28">
        <v>13379025000</v>
      </c>
      <c r="AA2047" s="28"/>
      <c r="AB2047" s="28"/>
      <c r="AC2047" s="28">
        <v>863957000</v>
      </c>
      <c r="AD2047" s="28">
        <v>13436527000</v>
      </c>
      <c r="AE2047" s="28">
        <v>23703738000</v>
      </c>
      <c r="AF2047" s="28">
        <v>4944469000</v>
      </c>
      <c r="AG2047" s="11"/>
    </row>
    <row r="2048">
      <c r="A2048" s="7" t="s">
        <v>3748</v>
      </c>
      <c r="B2048" s="5" t="s">
        <v>11731</v>
      </c>
      <c r="C2048" s="5" t="s">
        <v>19581</v>
      </c>
      <c r="D2048" s="5"/>
      <c r="E2048" s="0" t="e">
        <f>+7 (34341) 21650
+7 (34341) 21531
+7 (34341) 64011
+7 (34341) 64016
+7 (34341) 64038
+7 (34341) 64376
+7 (34341) 64377
+7 (34341) 64664
+7 (495) 9335882</f>
        <v>#NAME?</v>
      </c>
      <c r="F2048" s="5" t="s">
        <v>31500</v>
      </c>
      <c r="G2048" s="5"/>
      <c r="H2048" s="26">
        <v>30</v>
      </c>
      <c r="I2048" s="5"/>
      <c r="J2048" s="5" t="s">
        <v>31501</v>
      </c>
      <c r="K2048" s="5" t="s">
        <v>344</v>
      </c>
      <c r="L2048" s="5" t="s">
        <v>31502</v>
      </c>
      <c r="M2048" s="27">
        <v>1172778</v>
      </c>
      <c r="N2048" s="5" t="s">
        <v>50986</v>
      </c>
      <c r="O2048" s="5" t="str">
        <v>6615001962</v>
      </c>
      <c r="P2048" s="27">
        <v>441616792</v>
      </c>
      <c r="Q2048" s="5" t="s">
        <v>49009</v>
      </c>
      <c r="R2048" s="5"/>
      <c r="S2048" s="5" t="s">
        <v>49028</v>
      </c>
      <c r="T2048" s="28">
        <v>26636687000</v>
      </c>
      <c r="U2048" s="28">
        <v>15840399000</v>
      </c>
      <c r="V2048" s="28">
        <v>24029793000</v>
      </c>
      <c r="W2048" s="28">
        <v>1767423000</v>
      </c>
      <c r="X2048" s="28">
        <v>26794000</v>
      </c>
      <c r="Y2048" s="28">
        <v>72786306000</v>
      </c>
      <c r="Z2048" s="28">
        <v>49907686000</v>
      </c>
      <c r="AA2048" s="28"/>
      <c r="AB2048" s="28"/>
      <c r="AC2048" s="28">
        <v>7185572000</v>
      </c>
      <c r="AD2048" s="28">
        <v>57553362000</v>
      </c>
      <c r="AE2048" s="28">
        <v>67315457000</v>
      </c>
      <c r="AF2048" s="28">
        <v>-165918681000</v>
      </c>
      <c r="AG2048" s="11"/>
    </row>
    <row r="2049">
      <c r="A2049" s="7" t="s">
        <v>3749</v>
      </c>
      <c r="B2049" s="5" t="s">
        <v>11732</v>
      </c>
      <c r="C2049" s="5" t="s">
        <v>19582</v>
      </c>
      <c r="D2049" s="5" t="str">
        <v>615426762546</v>
      </c>
      <c r="E2049" s="0" t="e">
        <f>+7 (495) 2589339
+7 (343) 3452088
+7 (483) 2607985
+7 (8342) 294293
+7 (8634) 320815
+7 (8634) 320862
+7 (8634) 320866
+7 (8634) 320868
+7 (8634) 322110
+7 (8634) 322133
+7 (8634) 322653
+7 (8634) 322750
+7 (8634) 324694
+7 (8634) 328697
+7 (8634) 335796</f>
        <v>#NAME?</v>
      </c>
      <c r="F2049" s="5" t="s">
        <v>31503</v>
      </c>
      <c r="G2049" s="5" t="s">
        <v>31504</v>
      </c>
      <c r="H2049" s="26">
        <v>27</v>
      </c>
      <c r="I2049" s="5"/>
      <c r="J2049" s="5" t="s">
        <v>26292</v>
      </c>
      <c r="K2049" s="5" t="s">
        <v>344</v>
      </c>
      <c r="L2049" s="5" t="s">
        <v>31505</v>
      </c>
      <c r="M2049" s="27">
        <v>30437645</v>
      </c>
      <c r="N2049" s="5" t="s">
        <v>52552</v>
      </c>
      <c r="O2049" s="5" t="str">
        <v>6154062128</v>
      </c>
      <c r="P2049" s="27">
        <v>407694000</v>
      </c>
      <c r="Q2049" s="5" t="s">
        <v>52553</v>
      </c>
      <c r="R2049" s="5" t="s">
        <v>52554</v>
      </c>
      <c r="S2049" s="5" t="s">
        <v>50602</v>
      </c>
      <c r="T2049" s="28">
        <v>918028000</v>
      </c>
      <c r="U2049" s="28">
        <v>68931000</v>
      </c>
      <c r="V2049" s="28">
        <v>4225935000</v>
      </c>
      <c r="W2049" s="28">
        <v>758770000</v>
      </c>
      <c r="X2049" s="28">
        <v>512287000</v>
      </c>
      <c r="Y2049" s="28">
        <v>15305991000</v>
      </c>
      <c r="Z2049" s="28">
        <v>493783000</v>
      </c>
      <c r="AA2049" s="28"/>
      <c r="AB2049" s="28">
        <v>378000</v>
      </c>
      <c r="AC2049" s="28">
        <v>14264654000</v>
      </c>
      <c r="AD2049" s="28">
        <v>927350000</v>
      </c>
      <c r="AE2049" s="28">
        <v>86933391000</v>
      </c>
      <c r="AF2049" s="28">
        <v>-5401422000</v>
      </c>
      <c r="AG2049" s="11"/>
    </row>
    <row r="2050">
      <c r="A2050" s="7" t="s">
        <v>3750</v>
      </c>
      <c r="B2050" s="5" t="s">
        <v>11733</v>
      </c>
      <c r="C2050" s="5" t="s">
        <v>19583</v>
      </c>
      <c r="D2050" s="5" t="str">
        <v>660900258247</v>
      </c>
      <c r="E2050" s="0" t="e">
        <f>+7 (921) 506767
+7 (499) 1300223</f>
        <v>#NAME?</v>
      </c>
      <c r="F2050" s="5" t="s">
        <v>31506</v>
      </c>
      <c r="G2050" s="5" t="s">
        <v>31507</v>
      </c>
      <c r="H2050" s="26">
        <v>3</v>
      </c>
      <c r="I2050" s="5" t="s">
        <v>31508</v>
      </c>
      <c r="J2050" s="5" t="s">
        <v>445</v>
      </c>
      <c r="K2050" s="5" t="s">
        <v>355</v>
      </c>
      <c r="L2050" s="5"/>
      <c r="M2050" s="27"/>
      <c r="N2050" s="5"/>
      <c r="O2050" s="5" t="str">
        <v>9724008628</v>
      </c>
      <c r="P2050" s="27">
        <v>10000</v>
      </c>
      <c r="Q2050" s="5" t="s">
        <v>49009</v>
      </c>
      <c r="R2050" s="5"/>
      <c r="S2050" s="5" t="s">
        <v>49010</v>
      </c>
      <c r="T2050" s="28">
        <v>65536000</v>
      </c>
      <c r="U2050" s="28"/>
      <c r="V2050" s="28">
        <v>1300436000</v>
      </c>
      <c r="W2050" s="28"/>
      <c r="X2050" s="28">
        <v>21086000</v>
      </c>
      <c r="Y2050" s="28">
        <v>2054831000</v>
      </c>
      <c r="Z2050" s="28">
        <v>-438363000</v>
      </c>
      <c r="AA2050" s="28">
        <v>593462000</v>
      </c>
      <c r="AB2050" s="28"/>
      <c r="AC2050" s="28">
        <v>1898577000</v>
      </c>
      <c r="AD2050" s="28">
        <v>-438353000</v>
      </c>
      <c r="AE2050" s="28">
        <v>5116550000</v>
      </c>
      <c r="AF2050" s="28">
        <v>-342510000</v>
      </c>
      <c r="AG2050" s="11"/>
    </row>
    <row r="2051">
      <c r="A2051" s="7" t="s">
        <v>3751</v>
      </c>
      <c r="B2051" s="5" t="s">
        <v>11734</v>
      </c>
      <c r="C2051" s="5" t="s">
        <v>19581</v>
      </c>
      <c r="D2051" s="5"/>
      <c r="E2051" s="0" t="e">
        <f>+7 (495) 3631967
+7 (499) 2344625</f>
        <v>#NAME?</v>
      </c>
      <c r="F2051" s="5" t="s">
        <v>31509</v>
      </c>
      <c r="G2051" s="5" t="s">
        <v>31510</v>
      </c>
      <c r="H2051" s="26">
        <v>20.5</v>
      </c>
      <c r="I2051" s="5" t="s">
        <v>31511</v>
      </c>
      <c r="J2051" s="5" t="s">
        <v>27296</v>
      </c>
      <c r="K2051" s="5" t="s">
        <v>355</v>
      </c>
      <c r="L2051" s="5" t="s">
        <v>31512</v>
      </c>
      <c r="M2051" s="27">
        <v>1038234034</v>
      </c>
      <c r="N2051" s="5" t="s">
        <v>52555</v>
      </c>
      <c r="O2051" s="5" t="str">
        <v>7707310955</v>
      </c>
      <c r="P2051" s="27">
        <v>10000</v>
      </c>
      <c r="Q2051" s="5" t="s">
        <v>52556</v>
      </c>
      <c r="R2051" s="5"/>
      <c r="S2051" s="5" t="s">
        <v>52557</v>
      </c>
      <c r="T2051" s="28"/>
      <c r="U2051" s="28">
        <v>255402000</v>
      </c>
      <c r="V2051" s="28">
        <v>54583965000</v>
      </c>
      <c r="W2051" s="28">
        <v>2613000</v>
      </c>
      <c r="X2051" s="28">
        <v>15721000</v>
      </c>
      <c r="Y2051" s="28">
        <v>55132970000</v>
      </c>
      <c r="Z2051" s="28">
        <v>642361000</v>
      </c>
      <c r="AA2051" s="28"/>
      <c r="AB2051" s="28">
        <v>2291148000</v>
      </c>
      <c r="AC2051" s="28">
        <v>54490554000</v>
      </c>
      <c r="AD2051" s="28">
        <v>642371000</v>
      </c>
      <c r="AE2051" s="28">
        <v>10785809000</v>
      </c>
      <c r="AF2051" s="28">
        <v>-583642000</v>
      </c>
      <c r="AG2051" s="11"/>
    </row>
    <row r="2052">
      <c r="A2052" s="7" t="s">
        <v>3752</v>
      </c>
      <c r="B2052" s="5" t="s">
        <v>11734</v>
      </c>
      <c r="C2052" s="5" t="s">
        <v>19584</v>
      </c>
      <c r="D2052" s="5" t="str">
        <v>772635552403</v>
      </c>
      <c r="E2052" s="0" t="e">
        <f>+7 (495) 9332354
+7 (495) 3631960
+7 (495) 3631963
+7 (495) 7953793
+7 (495) 9335882
+7 (495) 9335885
+7 (499) 2344012
+7 (499) 9789781</f>
        <v>#NAME?</v>
      </c>
      <c r="F2052" s="5" t="s">
        <v>31513</v>
      </c>
      <c r="G2052" s="5" t="s">
        <v>31514</v>
      </c>
      <c r="H2052" s="26">
        <v>23.5</v>
      </c>
      <c r="I2052" s="5" t="s">
        <v>31515</v>
      </c>
      <c r="J2052" s="5" t="s">
        <v>502</v>
      </c>
      <c r="K2052" s="5" t="s">
        <v>355</v>
      </c>
      <c r="L2052" s="5" t="s">
        <v>31516</v>
      </c>
      <c r="M2052" s="27"/>
      <c r="N2052" s="5"/>
      <c r="O2052" s="5" t="str">
        <v>7701225358</v>
      </c>
      <c r="P2052" s="27">
        <v>10000</v>
      </c>
      <c r="Q2052" s="5" t="s">
        <v>49009</v>
      </c>
      <c r="R2052" s="5"/>
      <c r="S2052" s="5" t="s">
        <v>49175</v>
      </c>
      <c r="T2052" s="28">
        <v>88002000</v>
      </c>
      <c r="U2052" s="28"/>
      <c r="V2052" s="28">
        <v>1185411000</v>
      </c>
      <c r="W2052" s="28"/>
      <c r="X2052" s="28">
        <v>6510000</v>
      </c>
      <c r="Y2052" s="28">
        <v>1631679000</v>
      </c>
      <c r="Z2052" s="28">
        <v>-7040542000</v>
      </c>
      <c r="AA2052" s="28"/>
      <c r="AB2052" s="28">
        <v>1410346000</v>
      </c>
      <c r="AC2052" s="28">
        <v>4768056000</v>
      </c>
      <c r="AD2052" s="28">
        <v>-3139672000</v>
      </c>
      <c r="AE2052" s="28">
        <v>8721396000</v>
      </c>
      <c r="AF2052" s="28">
        <v>-3433513000</v>
      </c>
      <c r="AG2052" s="11"/>
    </row>
    <row r="2053">
      <c r="A2053" s="7" t="s">
        <v>3753</v>
      </c>
      <c r="B2053" s="5" t="s">
        <v>11735</v>
      </c>
      <c r="C2053" s="5" t="s">
        <v>19585</v>
      </c>
      <c r="D2053" s="5" t="str">
        <v>670400356429</v>
      </c>
      <c r="E2053" s="0" t="e">
        <f>+7 (926) 5874032
+7 (49646) 15185
+7 (49646) 15659
+7 (49646) 17294
+7 (49646) 17396
+7 (49646) 33405
+7 (499) 6438347
+7 (903) 333572</f>
        <v>#NAME?</v>
      </c>
      <c r="F2053" s="5" t="s">
        <v>31517</v>
      </c>
      <c r="G2053" s="5" t="s">
        <v>31518</v>
      </c>
      <c r="H2053" s="26">
        <v>26</v>
      </c>
      <c r="I2053" s="5"/>
      <c r="J2053" s="5" t="s">
        <v>31519</v>
      </c>
      <c r="K2053" s="5" t="s">
        <v>344</v>
      </c>
      <c r="L2053" s="5" t="s">
        <v>31520</v>
      </c>
      <c r="M2053" s="27">
        <v>2008854</v>
      </c>
      <c r="N2053" s="5"/>
      <c r="O2053" s="5" t="str">
        <v>7706138620</v>
      </c>
      <c r="P2053" s="27">
        <v>80000000</v>
      </c>
      <c r="Q2053" s="5" t="s">
        <v>52558</v>
      </c>
      <c r="R2053" s="5"/>
      <c r="S2053" s="5" t="s">
        <v>52559</v>
      </c>
      <c r="T2053" s="28">
        <v>837209000</v>
      </c>
      <c r="U2053" s="28"/>
      <c r="V2053" s="28">
        <v>3896650000</v>
      </c>
      <c r="W2053" s="28"/>
      <c r="X2053" s="28">
        <v>24706000</v>
      </c>
      <c r="Y2053" s="28">
        <v>5998334000</v>
      </c>
      <c r="Z2053" s="28">
        <v>1423069000</v>
      </c>
      <c r="AA2053" s="28">
        <v>4073000</v>
      </c>
      <c r="AB2053" s="28">
        <v>144717000</v>
      </c>
      <c r="AC2053" s="28">
        <v>4441859000</v>
      </c>
      <c r="AD2053" s="28">
        <v>1507494000</v>
      </c>
      <c r="AE2053" s="28">
        <v>8710163000</v>
      </c>
      <c r="AF2053" s="28">
        <v>565240000</v>
      </c>
      <c r="AG2053" s="11"/>
    </row>
    <row r="2054">
      <c r="A2054" s="7" t="s">
        <v>3754</v>
      </c>
      <c r="B2054" s="5" t="s">
        <v>11736</v>
      </c>
      <c r="C2054" s="5" t="s">
        <v>19586</v>
      </c>
      <c r="D2054" s="5" t="str">
        <v>665800841207</v>
      </c>
      <c r="E2054" s="0" t="e">
        <f>+7 (922) 1830520</f>
        <v>#NAME?</v>
      </c>
      <c r="F2054" s="5" t="s">
        <v>31521</v>
      </c>
      <c r="G2054" s="5"/>
      <c r="H2054" s="26">
        <v>8</v>
      </c>
      <c r="I2054" s="5" t="s">
        <v>31522</v>
      </c>
      <c r="J2054" s="5" t="s">
        <v>25190</v>
      </c>
      <c r="K2054" s="5" t="s">
        <v>344</v>
      </c>
      <c r="L2054" s="5" t="s">
        <v>31523</v>
      </c>
      <c r="M2054" s="27"/>
      <c r="N2054" s="5" t="s">
        <v>52560</v>
      </c>
      <c r="O2054" s="5" t="str">
        <v>6685088780</v>
      </c>
      <c r="P2054" s="27">
        <v>19608000</v>
      </c>
      <c r="Q2054" s="5" t="s">
        <v>52561</v>
      </c>
      <c r="R2054" s="5"/>
      <c r="S2054" s="5" t="s">
        <v>52562</v>
      </c>
      <c r="T2054" s="28">
        <v>43092000</v>
      </c>
      <c r="U2054" s="28"/>
      <c r="V2054" s="28">
        <v>869503000</v>
      </c>
      <c r="W2054" s="28">
        <v>21000</v>
      </c>
      <c r="X2054" s="28">
        <v>36000</v>
      </c>
      <c r="Y2054" s="28">
        <v>1216546000</v>
      </c>
      <c r="Z2054" s="28">
        <v>540394000</v>
      </c>
      <c r="AA2054" s="28">
        <v>253664000</v>
      </c>
      <c r="AB2054" s="28">
        <v>37756000</v>
      </c>
      <c r="AC2054" s="28">
        <v>389629000</v>
      </c>
      <c r="AD2054" s="28">
        <v>560042000</v>
      </c>
      <c r="AE2054" s="28">
        <v>5783923000</v>
      </c>
      <c r="AF2054" s="28">
        <v>247860000</v>
      </c>
      <c r="AG2054" s="11"/>
    </row>
    <row r="2055">
      <c r="A2055" s="7" t="s">
        <v>3755</v>
      </c>
      <c r="B2055" s="5" t="s">
        <v>11737</v>
      </c>
      <c r="C2055" s="5" t="s">
        <v>19587</v>
      </c>
      <c r="D2055" s="5" t="str">
        <v>262403464860</v>
      </c>
      <c r="E2055" s="0" t="e">
        <f>+7 (906) 4755511
+7 (962) 293100
+7 (963) 3852528</f>
        <v>#NAME?</v>
      </c>
      <c r="F2055" s="5"/>
      <c r="G2055" s="5"/>
      <c r="H2055" s="26">
        <v>7.5</v>
      </c>
      <c r="I2055" s="5" t="s">
        <v>31524</v>
      </c>
      <c r="J2055" s="5" t="s">
        <v>31525</v>
      </c>
      <c r="K2055" s="5" t="s">
        <v>344</v>
      </c>
      <c r="L2055" s="5" t="s">
        <v>31526</v>
      </c>
      <c r="M2055" s="27"/>
      <c r="N2055" s="5"/>
      <c r="O2055" s="5" t="str">
        <v>2635212940</v>
      </c>
      <c r="P2055" s="27">
        <v>10000</v>
      </c>
      <c r="Q2055" s="5" t="s">
        <v>49021</v>
      </c>
      <c r="R2055" s="5"/>
      <c r="S2055" s="5" t="s">
        <v>52563</v>
      </c>
      <c r="T2055" s="28">
        <v>133761000</v>
      </c>
      <c r="U2055" s="28"/>
      <c r="V2055" s="28">
        <v>649942000</v>
      </c>
      <c r="W2055" s="28">
        <v>326290000</v>
      </c>
      <c r="X2055" s="28">
        <v>15624000</v>
      </c>
      <c r="Y2055" s="28">
        <v>1130494000</v>
      </c>
      <c r="Z2055" s="28">
        <v>164573000</v>
      </c>
      <c r="AA2055" s="28">
        <v>2554000</v>
      </c>
      <c r="AB2055" s="28">
        <v>5593000</v>
      </c>
      <c r="AC2055" s="28">
        <v>930078000</v>
      </c>
      <c r="AD2055" s="28">
        <v>164583000</v>
      </c>
      <c r="AE2055" s="28">
        <v>3617498000</v>
      </c>
      <c r="AF2055" s="28">
        <v>71830000</v>
      </c>
      <c r="AG2055" s="11"/>
    </row>
    <row r="2056">
      <c r="A2056" s="7" t="s">
        <v>3756</v>
      </c>
      <c r="B2056" s="5" t="s">
        <v>11738</v>
      </c>
      <c r="C2056" s="5" t="s">
        <v>19588</v>
      </c>
      <c r="D2056" s="5" t="str">
        <v>421803499368</v>
      </c>
      <c r="E2056" s="0" t="e">
        <f>+7 (3435) 497232
+7 (3843) 921744
+7 (3843) 742218
+7 (38473) 34478</f>
        <v>#NAME?</v>
      </c>
      <c r="F2056" s="5" t="s">
        <v>31527</v>
      </c>
      <c r="G2056" s="5" t="s">
        <v>31528</v>
      </c>
      <c r="H2056" s="26">
        <v>16.5</v>
      </c>
      <c r="I2056" s="5" t="s">
        <v>31529</v>
      </c>
      <c r="J2056" s="5" t="s">
        <v>27802</v>
      </c>
      <c r="K2056" s="5" t="s">
        <v>355</v>
      </c>
      <c r="L2056" s="5"/>
      <c r="M2056" s="27">
        <v>162280674</v>
      </c>
      <c r="N2056" s="5" t="s">
        <v>52564</v>
      </c>
      <c r="O2056" s="5" t="str">
        <v>4217084532</v>
      </c>
      <c r="P2056" s="27">
        <v>1440400668</v>
      </c>
      <c r="Q2056" s="5" t="s">
        <v>52565</v>
      </c>
      <c r="R2056" s="5"/>
      <c r="S2056" s="5" t="s">
        <v>49288</v>
      </c>
      <c r="T2056" s="28">
        <v>5436710000</v>
      </c>
      <c r="U2056" s="28">
        <v>1499400000</v>
      </c>
      <c r="V2056" s="28">
        <v>350772000</v>
      </c>
      <c r="W2056" s="28">
        <v>890538000</v>
      </c>
      <c r="X2056" s="28">
        <v>198000</v>
      </c>
      <c r="Y2056" s="28">
        <v>8366858000</v>
      </c>
      <c r="Z2056" s="28">
        <v>1639647000</v>
      </c>
      <c r="AA2056" s="28"/>
      <c r="AB2056" s="28"/>
      <c r="AC2056" s="28">
        <v>1962140000</v>
      </c>
      <c r="AD2056" s="28">
        <v>5571084000</v>
      </c>
      <c r="AE2056" s="28">
        <v>3594425000</v>
      </c>
      <c r="AF2056" s="28">
        <v>-244959000</v>
      </c>
      <c r="AG2056" s="11"/>
    </row>
    <row r="2057">
      <c r="A2057" s="7" t="s">
        <v>3757</v>
      </c>
      <c r="B2057" s="5" t="s">
        <v>11739</v>
      </c>
      <c r="C2057" s="5" t="s">
        <v>19589</v>
      </c>
      <c r="D2057" s="5" t="str">
        <v>720603189358</v>
      </c>
      <c r="E2057" s="0" t="e">
        <f>+7 (495) 2235631
+7 (495) 2235642
+7 (495) 6426300
+7 (495) 6459545
+7 (495) 6618141
+7 (495) 7802080</f>
        <v>#NAME?</v>
      </c>
      <c r="F2057" s="5" t="s">
        <v>31530</v>
      </c>
      <c r="G2057" s="5" t="s">
        <v>31531</v>
      </c>
      <c r="H2057" s="26">
        <v>16</v>
      </c>
      <c r="I2057" s="5"/>
      <c r="J2057" s="5" t="s">
        <v>947</v>
      </c>
      <c r="K2057" s="5" t="s">
        <v>355</v>
      </c>
      <c r="L2057" s="5"/>
      <c r="M2057" s="27">
        <v>713337588</v>
      </c>
      <c r="N2057" s="5" t="s">
        <v>52566</v>
      </c>
      <c r="O2057" s="5" t="str">
        <v>7701716324</v>
      </c>
      <c r="P2057" s="27">
        <v>50000000</v>
      </c>
      <c r="Q2057" s="5" t="s">
        <v>52567</v>
      </c>
      <c r="R2057" s="5" t="s">
        <v>52568</v>
      </c>
      <c r="S2057" s="5" t="s">
        <v>52569</v>
      </c>
      <c r="T2057" s="28">
        <v>1825591000</v>
      </c>
      <c r="U2057" s="28">
        <v>43113000</v>
      </c>
      <c r="V2057" s="28">
        <v>10959950000</v>
      </c>
      <c r="W2057" s="28">
        <v>65111000</v>
      </c>
      <c r="X2057" s="28">
        <v>107732000</v>
      </c>
      <c r="Y2057" s="28">
        <v>19472133000</v>
      </c>
      <c r="Z2057" s="28">
        <v>2140903000</v>
      </c>
      <c r="AA2057" s="28">
        <v>1568710000</v>
      </c>
      <c r="AB2057" s="28">
        <v>13862000</v>
      </c>
      <c r="AC2057" s="28">
        <v>15690446000</v>
      </c>
      <c r="AD2057" s="28">
        <v>2193684000</v>
      </c>
      <c r="AE2057" s="28">
        <v>4601181000</v>
      </c>
      <c r="AF2057" s="28">
        <v>43139000</v>
      </c>
      <c r="AG2057" s="11"/>
    </row>
    <row r="2058">
      <c r="A2058" s="7" t="s">
        <v>3758</v>
      </c>
      <c r="B2058" s="5" t="s">
        <v>11740</v>
      </c>
      <c r="C2058" s="5" t="s">
        <v>19590</v>
      </c>
      <c r="D2058" s="5" t="str">
        <v>771906280063</v>
      </c>
      <c r="E2058" s="0" t="e">
        <f>+7 (495) 1013043
+7 (495) 5439161
+7 (495) 9213043
+7 (495) 9569061
+7 (495) 9696659
+7 (499) 1644896</f>
        <v>#NAME?</v>
      </c>
      <c r="F2058" s="5" t="s">
        <v>31532</v>
      </c>
      <c r="G2058" s="5" t="s">
        <v>31533</v>
      </c>
      <c r="H2058" s="26">
        <v>23.5</v>
      </c>
      <c r="I2058" s="5" t="s">
        <v>31534</v>
      </c>
      <c r="J2058" s="5" t="s">
        <v>693</v>
      </c>
      <c r="K2058" s="5" t="s">
        <v>344</v>
      </c>
      <c r="L2058" s="5" t="s">
        <v>31535</v>
      </c>
      <c r="M2058" s="27"/>
      <c r="N2058" s="5"/>
      <c r="O2058" s="5" t="str">
        <v>7705307562</v>
      </c>
      <c r="P2058" s="27">
        <v>8400</v>
      </c>
      <c r="Q2058" s="5" t="s">
        <v>49207</v>
      </c>
      <c r="R2058" s="5"/>
      <c r="S2058" s="5" t="s">
        <v>49311</v>
      </c>
      <c r="T2058" s="28">
        <v>66397000</v>
      </c>
      <c r="U2058" s="28">
        <v>1138748000</v>
      </c>
      <c r="V2058" s="28">
        <v>1195386000</v>
      </c>
      <c r="W2058" s="28">
        <v>16450000</v>
      </c>
      <c r="X2058" s="28">
        <v>24669000</v>
      </c>
      <c r="Y2058" s="28">
        <v>3584584000</v>
      </c>
      <c r="Z2058" s="28">
        <v>1519991000</v>
      </c>
      <c r="AA2058" s="28"/>
      <c r="AB2058" s="28">
        <v>600000000</v>
      </c>
      <c r="AC2058" s="28">
        <v>2055539000</v>
      </c>
      <c r="AD2058" s="28">
        <v>1519999000</v>
      </c>
      <c r="AE2058" s="28">
        <v>4436136000</v>
      </c>
      <c r="AF2058" s="28">
        <v>164384000</v>
      </c>
      <c r="AG2058" s="11"/>
    </row>
    <row r="2059">
      <c r="A2059" s="7" t="s">
        <v>3759</v>
      </c>
      <c r="B2059" s="5" t="s">
        <v>11741</v>
      </c>
      <c r="C2059" s="5" t="s">
        <v>19591</v>
      </c>
      <c r="D2059" s="5" t="str">
        <v>421705858467</v>
      </c>
      <c r="E2059" s="0" t="e">
        <f>+7 (383) 3620943
+7 (800) 3500585
+7 (383) 2204070</f>
        <v>#NAME?</v>
      </c>
      <c r="F2059" s="5"/>
      <c r="G2059" s="5"/>
      <c r="H2059" s="26">
        <v>9.5</v>
      </c>
      <c r="I2059" s="5" t="s">
        <v>31536</v>
      </c>
      <c r="J2059" s="5" t="s">
        <v>26268</v>
      </c>
      <c r="K2059" s="5" t="s">
        <v>355</v>
      </c>
      <c r="L2059" s="5"/>
      <c r="M2059" s="27"/>
      <c r="N2059" s="5"/>
      <c r="O2059" s="5" t="str">
        <v>5405483274</v>
      </c>
      <c r="P2059" s="27">
        <v>10000</v>
      </c>
      <c r="Q2059" s="5"/>
      <c r="R2059" s="5"/>
      <c r="S2059" s="5" t="s">
        <v>49399</v>
      </c>
      <c r="T2059" s="28"/>
      <c r="U2059" s="28"/>
      <c r="V2059" s="28">
        <v>4102000</v>
      </c>
      <c r="W2059" s="28"/>
      <c r="X2059" s="28">
        <v>256000</v>
      </c>
      <c r="Y2059" s="28">
        <v>11370000</v>
      </c>
      <c r="Z2059" s="28">
        <v>1136000</v>
      </c>
      <c r="AA2059" s="28"/>
      <c r="AB2059" s="28"/>
      <c r="AC2059" s="28">
        <v>10224000</v>
      </c>
      <c r="AD2059" s="28">
        <v>1146000</v>
      </c>
      <c r="AE2059" s="28">
        <v>6161241000</v>
      </c>
      <c r="AF2059" s="28">
        <v>80599000</v>
      </c>
      <c r="AG2059" s="11"/>
    </row>
    <row r="2060">
      <c r="A2060" s="7" t="s">
        <v>3760</v>
      </c>
      <c r="B2060" s="5" t="s">
        <v>11742</v>
      </c>
      <c r="C2060" s="5" t="s">
        <v>19592</v>
      </c>
      <c r="D2060" s="5" t="str">
        <v>503207732592</v>
      </c>
      <c r="E2060" s="0" t="e">
        <f>+7 (812) 3097490
+7 (812) 3097494</f>
        <v>#NAME?</v>
      </c>
      <c r="F2060" s="5" t="s">
        <v>31537</v>
      </c>
      <c r="G2060" s="5"/>
      <c r="H2060" s="26">
        <v>8</v>
      </c>
      <c r="I2060" s="5" t="s">
        <v>31538</v>
      </c>
      <c r="J2060" s="5" t="s">
        <v>678</v>
      </c>
      <c r="K2060" s="5" t="s">
        <v>344</v>
      </c>
      <c r="L2060" s="5" t="s">
        <v>31539</v>
      </c>
      <c r="M2060" s="27"/>
      <c r="N2060" s="5"/>
      <c r="O2060" s="5" t="str">
        <v>6732105877</v>
      </c>
      <c r="P2060" s="27">
        <v>30000</v>
      </c>
      <c r="Q2060" s="5" t="s">
        <v>49009</v>
      </c>
      <c r="R2060" s="5"/>
      <c r="S2060" s="5" t="s">
        <v>49010</v>
      </c>
      <c r="T2060" s="28">
        <v>520000</v>
      </c>
      <c r="U2060" s="28"/>
      <c r="V2060" s="28">
        <v>59396000</v>
      </c>
      <c r="W2060" s="28">
        <v>44400000</v>
      </c>
      <c r="X2060" s="28">
        <v>7558000</v>
      </c>
      <c r="Y2060" s="28">
        <v>142774000</v>
      </c>
      <c r="Z2060" s="28">
        <v>130902000</v>
      </c>
      <c r="AA2060" s="28"/>
      <c r="AB2060" s="28"/>
      <c r="AC2060" s="28">
        <v>11783000</v>
      </c>
      <c r="AD2060" s="28">
        <v>130932000</v>
      </c>
      <c r="AE2060" s="28">
        <v>3104776000</v>
      </c>
      <c r="AF2060" s="28">
        <v>118716000</v>
      </c>
      <c r="AG2060" s="11"/>
    </row>
    <row r="2061">
      <c r="A2061" s="7" t="s">
        <v>3761</v>
      </c>
      <c r="B2061" s="5" t="s">
        <v>11743</v>
      </c>
      <c r="C2061" s="5" t="s">
        <v>19593</v>
      </c>
      <c r="D2061" s="5" t="str">
        <v>860801132707</v>
      </c>
      <c r="E2061" s="0" t="e">
        <f>+7 (861) 2054480</f>
        <v>#NAME?</v>
      </c>
      <c r="F2061" s="5" t="s">
        <v>31540</v>
      </c>
      <c r="G2061" s="5" t="s">
        <v>31541</v>
      </c>
      <c r="H2061" s="26">
        <v>6.5</v>
      </c>
      <c r="I2061" s="5" t="s">
        <v>31542</v>
      </c>
      <c r="J2061" s="5" t="s">
        <v>364</v>
      </c>
      <c r="K2061" s="5" t="s">
        <v>355</v>
      </c>
      <c r="L2061" s="5" t="s">
        <v>31543</v>
      </c>
      <c r="M2061" s="27">
        <v>1349840</v>
      </c>
      <c r="N2061" s="5" t="s">
        <v>52570</v>
      </c>
      <c r="O2061" s="5" t="str">
        <v>2311223660</v>
      </c>
      <c r="P2061" s="27">
        <v>50000</v>
      </c>
      <c r="Q2061" s="5" t="s">
        <v>49009</v>
      </c>
      <c r="R2061" s="5" t="s">
        <v>52571</v>
      </c>
      <c r="S2061" s="5" t="s">
        <v>49371</v>
      </c>
      <c r="T2061" s="28">
        <v>469138000</v>
      </c>
      <c r="U2061" s="28">
        <v>250787000</v>
      </c>
      <c r="V2061" s="28">
        <v>192799000</v>
      </c>
      <c r="W2061" s="28">
        <v>224369000</v>
      </c>
      <c r="X2061" s="28">
        <v>22469000</v>
      </c>
      <c r="Y2061" s="28">
        <v>2643588000</v>
      </c>
      <c r="Z2061" s="28">
        <v>95971000</v>
      </c>
      <c r="AA2061" s="28">
        <v>2123000</v>
      </c>
      <c r="AB2061" s="28">
        <v>83961000</v>
      </c>
      <c r="AC2061" s="28">
        <v>2509027000</v>
      </c>
      <c r="AD2061" s="28">
        <v>114065000</v>
      </c>
      <c r="AE2061" s="28">
        <v>5307410000</v>
      </c>
      <c r="AF2061" s="28">
        <v>83686000</v>
      </c>
      <c r="AG2061" s="11"/>
    </row>
    <row r="2062">
      <c r="A2062" s="7" t="s">
        <v>3762</v>
      </c>
      <c r="B2062" s="5" t="s">
        <v>11744</v>
      </c>
      <c r="C2062" s="5" t="s">
        <v>19594</v>
      </c>
      <c r="D2062" s="5" t="str">
        <v>250812385150</v>
      </c>
      <c r="E2062" s="0" t="e">
        <f>+7 (4232) 499458
+7 (4232) 643677
+7 (4232) 980644
+7 (42366) 43677
+7 (495) 2298828
+7 (495) 6626623
+7 (495) 6657519
+7 (800) 7000330
+7 (8435) 623614
+7 (908) 6656432
+7 (914) 7920611</f>
        <v>#NAME?</v>
      </c>
      <c r="F2062" s="5"/>
      <c r="G2062" s="5"/>
      <c r="H2062" s="26">
        <v>14</v>
      </c>
      <c r="I2062" s="5" t="s">
        <v>31544</v>
      </c>
      <c r="J2062" s="5" t="s">
        <v>25612</v>
      </c>
      <c r="K2062" s="5" t="s">
        <v>344</v>
      </c>
      <c r="L2062" s="5" t="s">
        <v>25924</v>
      </c>
      <c r="M2062" s="27">
        <v>783775</v>
      </c>
      <c r="N2062" s="5" t="s">
        <v>52572</v>
      </c>
      <c r="O2062" s="5" t="str">
        <v>2539099000</v>
      </c>
      <c r="P2062" s="27">
        <v>60000</v>
      </c>
      <c r="Q2062" s="5" t="s">
        <v>52573</v>
      </c>
      <c r="R2062" s="5"/>
      <c r="S2062" s="5" t="s">
        <v>51433</v>
      </c>
      <c r="T2062" s="28">
        <v>27819000</v>
      </c>
      <c r="U2062" s="28"/>
      <c r="V2062" s="28">
        <v>5492309000</v>
      </c>
      <c r="W2062" s="28">
        <v>77531000</v>
      </c>
      <c r="X2062" s="28">
        <v>25360000</v>
      </c>
      <c r="Y2062" s="28">
        <v>19927691000</v>
      </c>
      <c r="Z2062" s="28">
        <v>1024951000</v>
      </c>
      <c r="AA2062" s="28"/>
      <c r="AB2062" s="28"/>
      <c r="AC2062" s="28">
        <v>18767714000</v>
      </c>
      <c r="AD2062" s="28">
        <v>1025011000</v>
      </c>
      <c r="AE2062" s="28">
        <v>11599167000</v>
      </c>
      <c r="AF2062" s="28">
        <v>625662000</v>
      </c>
      <c r="AG2062" s="11"/>
    </row>
    <row r="2063">
      <c r="A2063" s="7" t="s">
        <v>3763</v>
      </c>
      <c r="B2063" s="5" t="s">
        <v>11745</v>
      </c>
      <c r="C2063" s="5" t="s">
        <v>19595</v>
      </c>
      <c r="D2063" s="5" t="str">
        <v>027406442407</v>
      </c>
      <c r="E2063" s="0" t="e">
        <f>+7 (3472) 566767
+7 (3472) 566769
+7 (3472) 566822
+7 (3472) 566846
+7 (3472) 566906
+7 (3472) 566927
+7 (3472) 908720
+7 (909) 3453997</f>
        <v>#NAME?</v>
      </c>
      <c r="F2063" s="5" t="s">
        <v>31545</v>
      </c>
      <c r="G2063" s="5" t="s">
        <v>31546</v>
      </c>
      <c r="H2063" s="26">
        <v>17.5</v>
      </c>
      <c r="I2063" s="5" t="s">
        <v>31547</v>
      </c>
      <c r="J2063" s="5" t="s">
        <v>31548</v>
      </c>
      <c r="K2063" s="5" t="s">
        <v>344</v>
      </c>
      <c r="L2063" s="5" t="s">
        <v>31549</v>
      </c>
      <c r="M2063" s="27">
        <v>507567</v>
      </c>
      <c r="N2063" s="5" t="s">
        <v>52574</v>
      </c>
      <c r="O2063" s="5" t="str">
        <v>0277069281</v>
      </c>
      <c r="P2063" s="27">
        <v>1240000</v>
      </c>
      <c r="Q2063" s="5" t="s">
        <v>52575</v>
      </c>
      <c r="R2063" s="5"/>
      <c r="S2063" s="5" t="s">
        <v>52576</v>
      </c>
      <c r="T2063" s="28">
        <v>23245000</v>
      </c>
      <c r="U2063" s="28"/>
      <c r="V2063" s="28">
        <v>451432000</v>
      </c>
      <c r="W2063" s="28">
        <v>2017000</v>
      </c>
      <c r="X2063" s="28">
        <v>14559000</v>
      </c>
      <c r="Y2063" s="28">
        <v>1173009000</v>
      </c>
      <c r="Z2063" s="28">
        <v>284096000</v>
      </c>
      <c r="AA2063" s="28"/>
      <c r="AB2063" s="28">
        <v>270000000</v>
      </c>
      <c r="AC2063" s="28">
        <v>880160000</v>
      </c>
      <c r="AD2063" s="28">
        <v>285336000</v>
      </c>
      <c r="AE2063" s="28">
        <v>3843515000</v>
      </c>
      <c r="AF2063" s="28">
        <v>225783000</v>
      </c>
      <c r="AG2063" s="11"/>
    </row>
    <row r="2064">
      <c r="A2064" s="7" t="s">
        <v>3764</v>
      </c>
      <c r="B2064" s="5" t="s">
        <v>11746</v>
      </c>
      <c r="C2064" s="5" t="s">
        <v>19596</v>
      </c>
      <c r="D2064" s="5" t="str">
        <v>745304762773</v>
      </c>
      <c r="E2064" s="0" t="e">
        <f>+7 (499) 9403371</f>
        <v>#NAME?</v>
      </c>
      <c r="F2064" s="5" t="s">
        <v>31550</v>
      </c>
      <c r="G2064" s="5"/>
      <c r="H2064" s="26">
        <v>8</v>
      </c>
      <c r="I2064" s="5" t="s">
        <v>31551</v>
      </c>
      <c r="J2064" s="5" t="s">
        <v>31552</v>
      </c>
      <c r="K2064" s="5" t="s">
        <v>344</v>
      </c>
      <c r="L2064" s="5" t="s">
        <v>31553</v>
      </c>
      <c r="M2064" s="27"/>
      <c r="N2064" s="5" t="s">
        <v>52577</v>
      </c>
      <c r="O2064" s="5" t="str">
        <v>7734347760</v>
      </c>
      <c r="P2064" s="27">
        <v>10000</v>
      </c>
      <c r="Q2064" s="5" t="s">
        <v>52578</v>
      </c>
      <c r="R2064" s="5"/>
      <c r="S2064" s="5" t="s">
        <v>52579</v>
      </c>
      <c r="T2064" s="28">
        <v>82930000</v>
      </c>
      <c r="U2064" s="28"/>
      <c r="V2064" s="28">
        <v>2752653000</v>
      </c>
      <c r="W2064" s="28">
        <v>549876000</v>
      </c>
      <c r="X2064" s="28">
        <v>42232000</v>
      </c>
      <c r="Y2064" s="28">
        <v>3608652000</v>
      </c>
      <c r="Z2064" s="28">
        <v>517274000</v>
      </c>
      <c r="AA2064" s="28">
        <v>12237000</v>
      </c>
      <c r="AB2064" s="28">
        <v>746220000</v>
      </c>
      <c r="AC2064" s="28">
        <v>2998153000</v>
      </c>
      <c r="AD2064" s="28">
        <v>517284000</v>
      </c>
      <c r="AE2064" s="28">
        <v>5328975000</v>
      </c>
      <c r="AF2064" s="28">
        <v>75392000</v>
      </c>
      <c r="AG2064" s="11"/>
    </row>
    <row r="2065">
      <c r="A2065" s="7" t="s">
        <v>3765</v>
      </c>
      <c r="B2065" s="5" t="s">
        <v>11747</v>
      </c>
      <c r="C2065" s="5" t="s">
        <v>19597</v>
      </c>
      <c r="D2065" s="5" t="str">
        <v>502703882730</v>
      </c>
      <c r="E2065" s="0" t="e">
        <f>+7 (346) 2515997
+7 (346) 2516003
+7 (495) 4191617
+7 (495) 4191734
+7 (495) 5520262
+7 (495) 5524215
+7 (495) 5524269
+7 (495) 5550079
+7 (495) 5550395
+7 (495) 5553903
+7 (495) 5554269
+7 (812) 7026737
+7 (83142) 83173
+7 (911) 4334967
+7 (964) 5552098</f>
        <v>#NAME?</v>
      </c>
      <c r="F2065" s="5" t="s">
        <v>31554</v>
      </c>
      <c r="G2065" s="5" t="s">
        <v>31555</v>
      </c>
      <c r="H2065" s="26">
        <v>12</v>
      </c>
      <c r="I2065" s="5" t="s">
        <v>31556</v>
      </c>
      <c r="J2065" s="5" t="s">
        <v>31557</v>
      </c>
      <c r="K2065" s="5" t="s">
        <v>344</v>
      </c>
      <c r="L2065" s="5" t="s">
        <v>25342</v>
      </c>
      <c r="M2065" s="27"/>
      <c r="N2065" s="5" t="s">
        <v>52580</v>
      </c>
      <c r="O2065" s="5" t="str">
        <v>5026015392</v>
      </c>
      <c r="P2065" s="27">
        <v>10000</v>
      </c>
      <c r="Q2065" s="5" t="s">
        <v>52581</v>
      </c>
      <c r="R2065" s="5"/>
      <c r="S2065" s="5" t="s">
        <v>52582</v>
      </c>
      <c r="T2065" s="28">
        <v>162755000</v>
      </c>
      <c r="U2065" s="28"/>
      <c r="V2065" s="28">
        <v>814969000</v>
      </c>
      <c r="W2065" s="28"/>
      <c r="X2065" s="28">
        <v>61676000</v>
      </c>
      <c r="Y2065" s="28">
        <v>1597684000</v>
      </c>
      <c r="Z2065" s="28">
        <v>725370000</v>
      </c>
      <c r="AA2065" s="28"/>
      <c r="AB2065" s="28">
        <v>106395000</v>
      </c>
      <c r="AC2065" s="28">
        <v>822992000</v>
      </c>
      <c r="AD2065" s="28">
        <v>771880000</v>
      </c>
      <c r="AE2065" s="28">
        <v>3526367000</v>
      </c>
      <c r="AF2065" s="28">
        <v>254790000</v>
      </c>
      <c r="AG2065" s="11"/>
    </row>
    <row r="2066">
      <c r="A2066" s="7" t="s">
        <v>3766</v>
      </c>
      <c r="B2066" s="5" t="s">
        <v>11748</v>
      </c>
      <c r="C2066" s="5" t="s">
        <v>19598</v>
      </c>
      <c r="D2066" s="5" t="str">
        <v>701732898190</v>
      </c>
      <c r="E2066" s="0" t="e">
        <f>+7 (913) 9331230
+7 (913) 8433845
+7 (913) 8778949</f>
        <v>#NAME?</v>
      </c>
      <c r="F2066" s="5"/>
      <c r="G2066" s="5"/>
      <c r="H2066" s="26">
        <v>14.5</v>
      </c>
      <c r="I2066" s="5" t="s">
        <v>31558</v>
      </c>
      <c r="J2066" s="5" t="s">
        <v>26846</v>
      </c>
      <c r="K2066" s="5" t="s">
        <v>344</v>
      </c>
      <c r="L2066" s="5" t="s">
        <v>31559</v>
      </c>
      <c r="M2066" s="27">
        <v>8292</v>
      </c>
      <c r="N2066" s="5"/>
      <c r="O2066" s="5" t="str">
        <v>5406441615</v>
      </c>
      <c r="P2066" s="27">
        <v>1000000</v>
      </c>
      <c r="Q2066" s="5"/>
      <c r="R2066" s="5"/>
      <c r="S2066" s="5" t="s">
        <v>49425</v>
      </c>
      <c r="T2066" s="28">
        <v>573125000</v>
      </c>
      <c r="U2066" s="28">
        <v>977000</v>
      </c>
      <c r="V2066" s="28">
        <v>1013784000</v>
      </c>
      <c r="W2066" s="28">
        <v>3420000</v>
      </c>
      <c r="X2066" s="28">
        <v>11770000</v>
      </c>
      <c r="Y2066" s="28">
        <v>2397517000</v>
      </c>
      <c r="Z2066" s="28">
        <v>250917000</v>
      </c>
      <c r="AA2066" s="28"/>
      <c r="AB2066" s="28"/>
      <c r="AC2066" s="28">
        <v>1503388000</v>
      </c>
      <c r="AD2066" s="28">
        <v>251917000</v>
      </c>
      <c r="AE2066" s="28">
        <v>8258633000</v>
      </c>
      <c r="AF2066" s="28">
        <v>38223000</v>
      </c>
      <c r="AG2066" s="11"/>
    </row>
    <row r="2067">
      <c r="A2067" s="7" t="s">
        <v>3766</v>
      </c>
      <c r="B2067" s="5" t="s">
        <v>11749</v>
      </c>
      <c r="C2067" s="5" t="s">
        <v>19599</v>
      </c>
      <c r="D2067" s="5" t="str">
        <v>616702883061</v>
      </c>
      <c r="E2067" s="0" t="e">
        <f>+7 (8632) 98887
+7 (8632) 305362
+7 (918) 5764857
+7 (988) 5404430
+7 (989) 6126116
+7 (989) 7243353</f>
        <v>#NAME?</v>
      </c>
      <c r="F2067" s="5" t="s">
        <v>31560</v>
      </c>
      <c r="G2067" s="5"/>
      <c r="H2067" s="26">
        <v>15</v>
      </c>
      <c r="I2067" s="5" t="s">
        <v>31561</v>
      </c>
      <c r="J2067" s="5" t="s">
        <v>599</v>
      </c>
      <c r="K2067" s="5" t="s">
        <v>344</v>
      </c>
      <c r="L2067" s="5" t="s">
        <v>31562</v>
      </c>
      <c r="M2067" s="27">
        <v>19631931</v>
      </c>
      <c r="N2067" s="5" t="s">
        <v>52583</v>
      </c>
      <c r="O2067" s="5" t="str">
        <v>6102027355</v>
      </c>
      <c r="P2067" s="27">
        <v>10000</v>
      </c>
      <c r="Q2067" s="5" t="s">
        <v>49021</v>
      </c>
      <c r="R2067" s="5" t="s">
        <v>52584</v>
      </c>
      <c r="S2067" s="5" t="s">
        <v>52585</v>
      </c>
      <c r="T2067" s="28">
        <v>1406075000</v>
      </c>
      <c r="U2067" s="28"/>
      <c r="V2067" s="28">
        <v>679529000</v>
      </c>
      <c r="W2067" s="28">
        <v>449453000</v>
      </c>
      <c r="X2067" s="28">
        <v>319141000</v>
      </c>
      <c r="Y2067" s="28">
        <v>3784198000</v>
      </c>
      <c r="Z2067" s="28">
        <v>1045752000</v>
      </c>
      <c r="AA2067" s="28">
        <v>31835000</v>
      </c>
      <c r="AB2067" s="28">
        <v>403200000</v>
      </c>
      <c r="AC2067" s="28">
        <v>633945000</v>
      </c>
      <c r="AD2067" s="28">
        <v>1045762000</v>
      </c>
      <c r="AE2067" s="28">
        <v>3090895000</v>
      </c>
      <c r="AF2067" s="28">
        <v>495696000</v>
      </c>
      <c r="AG2067" s="11"/>
    </row>
    <row r="2068">
      <c r="A2068" s="7" t="s">
        <v>3767</v>
      </c>
      <c r="B2068" s="5" t="s">
        <v>11750</v>
      </c>
      <c r="C2068" s="5" t="s">
        <v>19600</v>
      </c>
      <c r="D2068" s="5" t="str">
        <v>501717938100</v>
      </c>
      <c r="E2068" s="0" t="e">
        <f>+7 (495) 9378158
+7 (495) 5804876
+7 (909) 9166853</f>
        <v>#NAME?</v>
      </c>
      <c r="F2068" s="5"/>
      <c r="G2068" s="5" t="s">
        <v>31563</v>
      </c>
      <c r="H2068" s="26">
        <v>16</v>
      </c>
      <c r="I2068" s="5"/>
      <c r="J2068" s="5" t="s">
        <v>678</v>
      </c>
      <c r="K2068" s="5" t="s">
        <v>344</v>
      </c>
      <c r="L2068" s="5" t="s">
        <v>31564</v>
      </c>
      <c r="M2068" s="27"/>
      <c r="N2068" s="5"/>
      <c r="O2068" s="5" t="str">
        <v>5045039159</v>
      </c>
      <c r="P2068" s="27">
        <v>300000</v>
      </c>
      <c r="Q2068" s="5" t="s">
        <v>49009</v>
      </c>
      <c r="R2068" s="5"/>
      <c r="S2068" s="5" t="s">
        <v>49066</v>
      </c>
      <c r="T2068" s="28">
        <v>1199000</v>
      </c>
      <c r="U2068" s="28"/>
      <c r="V2068" s="28">
        <v>364501000</v>
      </c>
      <c r="W2068" s="28"/>
      <c r="X2068" s="28">
        <v>15050000</v>
      </c>
      <c r="Y2068" s="28">
        <v>380750000</v>
      </c>
      <c r="Z2068" s="28">
        <v>143535000</v>
      </c>
      <c r="AA2068" s="28">
        <v>125000000</v>
      </c>
      <c r="AB2068" s="28"/>
      <c r="AC2068" s="28">
        <v>111900000</v>
      </c>
      <c r="AD2068" s="28">
        <v>143850000</v>
      </c>
      <c r="AE2068" s="28">
        <v>4350595000</v>
      </c>
      <c r="AF2068" s="28">
        <v>37289000</v>
      </c>
      <c r="AG2068" s="11"/>
    </row>
    <row r="2069">
      <c r="A2069" s="7" t="s">
        <v>3768</v>
      </c>
      <c r="B2069" s="5" t="s">
        <v>11751</v>
      </c>
      <c r="C2069" s="5" t="s">
        <v>19601</v>
      </c>
      <c r="D2069" s="5" t="str">
        <v>463232598258</v>
      </c>
      <c r="E2069" s="0" t="e">
        <f>+7 (4712) 325962
+7 (4712) 325967
+7 (4712) 328744
+7 (4712) 361991
+7 (4712) 386008
+7 (4712) 391781
+7 (4712) 392748
+7 (4712) 399783
+7 (4712) 399784
+7 (4712) 584279
+7 (4712) 584294
+7 (4712) 584298
+7 (4712) 733039
+7 (4712) 733043
+7 (4712) 733211</f>
        <v>#NAME?</v>
      </c>
      <c r="F2069" s="5" t="s">
        <v>31565</v>
      </c>
      <c r="G2069" s="5" t="s">
        <v>31566</v>
      </c>
      <c r="H2069" s="26">
        <v>15.5</v>
      </c>
      <c r="I2069" s="5" t="s">
        <v>31567</v>
      </c>
      <c r="J2069" s="5" t="s">
        <v>27855</v>
      </c>
      <c r="K2069" s="5" t="s">
        <v>344</v>
      </c>
      <c r="L2069" s="5" t="s">
        <v>31568</v>
      </c>
      <c r="M2069" s="27"/>
      <c r="N2069" s="5" t="s">
        <v>52586</v>
      </c>
      <c r="O2069" s="5" t="str">
        <v>4632084732</v>
      </c>
      <c r="P2069" s="27">
        <v>1000000</v>
      </c>
      <c r="Q2069" s="5" t="s">
        <v>49009</v>
      </c>
      <c r="R2069" s="5"/>
      <c r="S2069" s="5" t="s">
        <v>49028</v>
      </c>
      <c r="T2069" s="28">
        <v>9894604000</v>
      </c>
      <c r="U2069" s="28">
        <v>5049986000</v>
      </c>
      <c r="V2069" s="28">
        <v>328753000</v>
      </c>
      <c r="W2069" s="28">
        <v>556087000</v>
      </c>
      <c r="X2069" s="28">
        <v>545947000</v>
      </c>
      <c r="Y2069" s="28">
        <v>21518230000</v>
      </c>
      <c r="Z2069" s="28">
        <v>5224694000</v>
      </c>
      <c r="AA2069" s="28">
        <v>540000</v>
      </c>
      <c r="AB2069" s="28"/>
      <c r="AC2069" s="28">
        <v>3737825000</v>
      </c>
      <c r="AD2069" s="28">
        <v>5225694000</v>
      </c>
      <c r="AE2069" s="28">
        <v>26556826000</v>
      </c>
      <c r="AF2069" s="28">
        <v>560265000</v>
      </c>
      <c r="AG2069" s="11"/>
    </row>
    <row r="2070">
      <c r="A2070" s="7" t="s">
        <v>3769</v>
      </c>
      <c r="B2070" s="5" t="s">
        <v>11752</v>
      </c>
      <c r="C2070" s="5" t="s">
        <v>19602</v>
      </c>
      <c r="D2070" s="5" t="str">
        <v>222202061488</v>
      </c>
      <c r="E2070" s="0" t="e">
        <f>+7 (385) 2229650
+7 (385) 2388517
+7 (385) 2500511
+7 (385) 2500533
+7 (385) 2502511
+7 (385) 2502533
+7 (903) 9110704</f>
        <v>#NAME?</v>
      </c>
      <c r="F2070" s="5" t="s">
        <v>31569</v>
      </c>
      <c r="G2070" s="5" t="s">
        <v>31570</v>
      </c>
      <c r="H2070" s="26">
        <v>18</v>
      </c>
      <c r="I2070" s="5" t="s">
        <v>31571</v>
      </c>
      <c r="J2070" s="5" t="s">
        <v>25842</v>
      </c>
      <c r="K2070" s="5" t="s">
        <v>344</v>
      </c>
      <c r="L2070" s="5" t="s">
        <v>31572</v>
      </c>
      <c r="M2070" s="27"/>
      <c r="N2070" s="5" t="s">
        <v>52587</v>
      </c>
      <c r="O2070" s="5" t="str">
        <v>2222049434</v>
      </c>
      <c r="P2070" s="27">
        <v>10000</v>
      </c>
      <c r="Q2070" s="5" t="s">
        <v>49009</v>
      </c>
      <c r="R2070" s="5"/>
      <c r="S2070" s="5" t="s">
        <v>49116</v>
      </c>
      <c r="T2070" s="28">
        <v>35395000</v>
      </c>
      <c r="U2070" s="28"/>
      <c r="V2070" s="28">
        <v>99503000</v>
      </c>
      <c r="W2070" s="28">
        <v>166100000</v>
      </c>
      <c r="X2070" s="28">
        <v>1015906000</v>
      </c>
      <c r="Y2070" s="28">
        <v>1844279000</v>
      </c>
      <c r="Z2070" s="28">
        <v>1588232000</v>
      </c>
      <c r="AA2070" s="28"/>
      <c r="AB2070" s="28"/>
      <c r="AC2070" s="28">
        <v>253990000</v>
      </c>
      <c r="AD2070" s="28">
        <v>1588242000</v>
      </c>
      <c r="AE2070" s="28">
        <v>3343480000</v>
      </c>
      <c r="AF2070" s="28">
        <v>478065000</v>
      </c>
      <c r="AG2070" s="11"/>
    </row>
    <row r="2071">
      <c r="A2071" s="7" t="s">
        <v>3770</v>
      </c>
      <c r="B2071" s="5" t="s">
        <v>11753</v>
      </c>
      <c r="C2071" s="5" t="s">
        <v>19603</v>
      </c>
      <c r="D2071" s="5" t="str">
        <v>773119234252</v>
      </c>
      <c r="E2071" s="0" t="e">
        <f>+7 (495) 7870152
+7 (495) 7870153
+7 (495) 7870154
+7 (495) 7870155
+7 (495) 7870157
+7 (495) 7870160
+7 (930) 6929100
+7 (920) 772901
+7 (343) 3768141
+7 (383) 3152436
+7 (495) 7870150
+7 (495) 9268065
+7 (812) 4481600
+7 (926) 9478008</f>
        <v>#NAME?</v>
      </c>
      <c r="F2071" s="5" t="s">
        <v>31573</v>
      </c>
      <c r="G2071" s="5" t="s">
        <v>31574</v>
      </c>
      <c r="H2071" s="26">
        <v>19.5</v>
      </c>
      <c r="I2071" s="5" t="s">
        <v>31575</v>
      </c>
      <c r="J2071" s="5" t="s">
        <v>26828</v>
      </c>
      <c r="K2071" s="5" t="s">
        <v>344</v>
      </c>
      <c r="L2071" s="5" t="s">
        <v>31576</v>
      </c>
      <c r="M2071" s="27"/>
      <c r="N2071" s="5" t="s">
        <v>52588</v>
      </c>
      <c r="O2071" s="5" t="str">
        <v>7708502716</v>
      </c>
      <c r="P2071" s="27">
        <v>392697283</v>
      </c>
      <c r="Q2071" s="5" t="s">
        <v>52589</v>
      </c>
      <c r="R2071" s="5"/>
      <c r="S2071" s="5" t="s">
        <v>49204</v>
      </c>
      <c r="T2071" s="28">
        <v>190345000</v>
      </c>
      <c r="U2071" s="28">
        <v>44687000</v>
      </c>
      <c r="V2071" s="28">
        <v>574324000</v>
      </c>
      <c r="W2071" s="28"/>
      <c r="X2071" s="28">
        <v>605363000</v>
      </c>
      <c r="Y2071" s="28">
        <v>2999637000</v>
      </c>
      <c r="Z2071" s="28">
        <v>1409594000</v>
      </c>
      <c r="AA2071" s="28"/>
      <c r="AB2071" s="28"/>
      <c r="AC2071" s="28">
        <v>1045947000</v>
      </c>
      <c r="AD2071" s="28">
        <v>1805201000</v>
      </c>
      <c r="AE2071" s="28">
        <v>11143249000</v>
      </c>
      <c r="AF2071" s="28">
        <v>865225000</v>
      </c>
      <c r="AG2071" s="11"/>
    </row>
    <row r="2072">
      <c r="A2072" s="7" t="s">
        <v>3771</v>
      </c>
      <c r="B2072" s="5" t="s">
        <v>11754</v>
      </c>
      <c r="C2072" s="5" t="s">
        <v>19604</v>
      </c>
      <c r="D2072" s="5" t="str">
        <v>780208502916</v>
      </c>
      <c r="E2072" s="0" t="e">
        <f>+7 (812) 3748222</f>
        <v>#NAME?</v>
      </c>
      <c r="F2072" s="5" t="s">
        <v>31577</v>
      </c>
      <c r="G2072" s="5" t="s">
        <v>31578</v>
      </c>
      <c r="H2072" s="26">
        <v>20</v>
      </c>
      <c r="I2072" s="5" t="s">
        <v>31579</v>
      </c>
      <c r="J2072" s="5" t="s">
        <v>467</v>
      </c>
      <c r="K2072" s="5" t="s">
        <v>344</v>
      </c>
      <c r="L2072" s="5" t="s">
        <v>31580</v>
      </c>
      <c r="M2072" s="27">
        <v>158602</v>
      </c>
      <c r="N2072" s="5" t="s">
        <v>52590</v>
      </c>
      <c r="O2072" s="5" t="str">
        <v>7802202491</v>
      </c>
      <c r="P2072" s="27">
        <v>10000</v>
      </c>
      <c r="Q2072" s="5" t="s">
        <v>52591</v>
      </c>
      <c r="R2072" s="5"/>
      <c r="S2072" s="5" t="s">
        <v>52592</v>
      </c>
      <c r="T2072" s="28">
        <v>75669000</v>
      </c>
      <c r="U2072" s="28"/>
      <c r="V2072" s="28">
        <v>738533000</v>
      </c>
      <c r="W2072" s="28">
        <v>38746000</v>
      </c>
      <c r="X2072" s="28">
        <v>857651000</v>
      </c>
      <c r="Y2072" s="28">
        <v>1878645000</v>
      </c>
      <c r="Z2072" s="28">
        <v>478663000</v>
      </c>
      <c r="AA2072" s="28"/>
      <c r="AB2072" s="28">
        <v>183221000</v>
      </c>
      <c r="AC2072" s="28">
        <v>1383753000</v>
      </c>
      <c r="AD2072" s="28">
        <v>478673000</v>
      </c>
      <c r="AE2072" s="28">
        <v>3960356000</v>
      </c>
      <c r="AF2072" s="28">
        <v>76512000</v>
      </c>
      <c r="AG2072" s="11"/>
    </row>
    <row r="2073">
      <c r="A2073" s="7" t="s">
        <v>3772</v>
      </c>
      <c r="B2073" s="5" t="s">
        <v>11755</v>
      </c>
      <c r="C2073" s="5" t="s">
        <v>19605</v>
      </c>
      <c r="D2073" s="5" t="str">
        <v>263203713366</v>
      </c>
      <c r="E2073" s="0" t="e">
        <f>+7 (495) 7868081
+7 (800) 2508081</f>
        <v>#NAME?</v>
      </c>
      <c r="F2073" s="5"/>
      <c r="G2073" s="5"/>
      <c r="H2073" s="26">
        <v>16</v>
      </c>
      <c r="I2073" s="5" t="s">
        <v>31581</v>
      </c>
      <c r="J2073" s="5" t="s">
        <v>31582</v>
      </c>
      <c r="K2073" s="5" t="s">
        <v>380</v>
      </c>
      <c r="L2073" s="5" t="s">
        <v>31583</v>
      </c>
      <c r="M2073" s="27"/>
      <c r="N2073" s="5" t="s">
        <v>52593</v>
      </c>
      <c r="O2073" s="5" t="str">
        <v>7705770795</v>
      </c>
      <c r="P2073" s="27">
        <v>10000</v>
      </c>
      <c r="Q2073" s="5" t="s">
        <v>49207</v>
      </c>
      <c r="R2073" s="5"/>
      <c r="S2073" s="5" t="s">
        <v>49532</v>
      </c>
      <c r="T2073" s="28"/>
      <c r="U2073" s="28">
        <v>7512172000</v>
      </c>
      <c r="V2073" s="28">
        <v>48632000</v>
      </c>
      <c r="W2073" s="28"/>
      <c r="X2073" s="28">
        <v>308929000</v>
      </c>
      <c r="Y2073" s="28">
        <v>7909955000</v>
      </c>
      <c r="Z2073" s="28">
        <v>6885883000</v>
      </c>
      <c r="AA2073" s="28"/>
      <c r="AB2073" s="28"/>
      <c r="AC2073" s="28">
        <v>1022186000</v>
      </c>
      <c r="AD2073" s="28">
        <v>6885893000</v>
      </c>
      <c r="AE2073" s="28">
        <v>3292530000</v>
      </c>
      <c r="AF2073" s="28">
        <v>3021656000</v>
      </c>
      <c r="AG2073" s="11"/>
    </row>
    <row r="2074">
      <c r="A2074" s="7" t="s">
        <v>3773</v>
      </c>
      <c r="B2074" s="5" t="s">
        <v>11756</v>
      </c>
      <c r="C2074" s="5" t="s">
        <v>19606</v>
      </c>
      <c r="D2074" s="5" t="str">
        <v>245802104646</v>
      </c>
      <c r="F2074" s="5"/>
      <c r="G2074" s="5"/>
      <c r="H2074" s="26">
        <v>9.5</v>
      </c>
      <c r="I2074" s="5" t="s">
        <v>31584</v>
      </c>
      <c r="J2074" s="5" t="s">
        <v>26251</v>
      </c>
      <c r="K2074" s="5" t="s">
        <v>344</v>
      </c>
      <c r="L2074" s="5" t="s">
        <v>31585</v>
      </c>
      <c r="M2074" s="27"/>
      <c r="N2074" s="5"/>
      <c r="O2074" s="5" t="str">
        <v>2458012925</v>
      </c>
      <c r="P2074" s="27">
        <v>10000</v>
      </c>
      <c r="Q2074" s="5"/>
      <c r="R2074" s="5"/>
      <c r="S2074" s="5" t="s">
        <v>49123</v>
      </c>
      <c r="T2074" s="28">
        <v>114286000</v>
      </c>
      <c r="U2074" s="28">
        <v>62009000</v>
      </c>
      <c r="V2074" s="28">
        <v>536176000</v>
      </c>
      <c r="W2074" s="28"/>
      <c r="X2074" s="28">
        <v>5498000</v>
      </c>
      <c r="Y2074" s="28">
        <v>1142425000</v>
      </c>
      <c r="Z2074" s="28">
        <v>550364000</v>
      </c>
      <c r="AA2074" s="28">
        <v>166672000</v>
      </c>
      <c r="AB2074" s="28">
        <v>230874000</v>
      </c>
      <c r="AC2074" s="28">
        <v>424842000</v>
      </c>
      <c r="AD2074" s="28">
        <v>550374000</v>
      </c>
      <c r="AE2074" s="28">
        <v>3345326000</v>
      </c>
      <c r="AF2074" s="28">
        <v>246243000</v>
      </c>
      <c r="AG2074" s="11"/>
    </row>
    <row r="2075">
      <c r="A2075" s="7" t="s">
        <v>3774</v>
      </c>
      <c r="B2075" s="5" t="s">
        <v>11757</v>
      </c>
      <c r="C2075" s="5" t="s">
        <v>19607</v>
      </c>
      <c r="D2075" s="5" t="str">
        <v>616898639442</v>
      </c>
      <c r="E2075" s="0" t="e">
        <f>+7 (800) 2223083
+7 (861) 2040108
+7 (863) 3070000
+7 (863) 3774067</f>
        <v>#NAME?</v>
      </c>
      <c r="F2075" s="5" t="s">
        <v>31586</v>
      </c>
      <c r="G2075" s="5" t="s">
        <v>31587</v>
      </c>
      <c r="H2075" s="26">
        <v>21.5</v>
      </c>
      <c r="I2075" s="5" t="s">
        <v>31588</v>
      </c>
      <c r="J2075" s="5" t="s">
        <v>28075</v>
      </c>
      <c r="K2075" s="5" t="s">
        <v>344</v>
      </c>
      <c r="L2075" s="5" t="s">
        <v>31589</v>
      </c>
      <c r="M2075" s="27"/>
      <c r="N2075" s="5" t="s">
        <v>52594</v>
      </c>
      <c r="O2075" s="5" t="str">
        <v>6165096440</v>
      </c>
      <c r="P2075" s="27">
        <v>100000</v>
      </c>
      <c r="Q2075" s="5" t="s">
        <v>49009</v>
      </c>
      <c r="R2075" s="5"/>
      <c r="S2075" s="5" t="s">
        <v>49576</v>
      </c>
      <c r="T2075" s="28">
        <v>351789000</v>
      </c>
      <c r="U2075" s="28"/>
      <c r="V2075" s="28">
        <v>480666000</v>
      </c>
      <c r="W2075" s="28"/>
      <c r="X2075" s="28">
        <v>60403000</v>
      </c>
      <c r="Y2075" s="28">
        <v>1055133000</v>
      </c>
      <c r="Z2075" s="28">
        <v>375305000</v>
      </c>
      <c r="AA2075" s="28">
        <v>248253000</v>
      </c>
      <c r="AB2075" s="28">
        <v>247229000</v>
      </c>
      <c r="AC2075" s="28">
        <v>422753000</v>
      </c>
      <c r="AD2075" s="28">
        <v>375405000</v>
      </c>
      <c r="AE2075" s="28">
        <v>3148503000</v>
      </c>
      <c r="AF2075" s="28">
        <v>215559000</v>
      </c>
      <c r="AG2075" s="11"/>
    </row>
    <row r="2076">
      <c r="A2076" s="7" t="s">
        <v>3775</v>
      </c>
      <c r="B2076" s="5" t="s">
        <v>11758</v>
      </c>
      <c r="C2076" s="5" t="s">
        <v>19608</v>
      </c>
      <c r="D2076" s="5" t="str">
        <v>390402604022</v>
      </c>
      <c r="E2076" s="0" t="e">
        <f>+7 (401) 2604213
+7 (401) 2651202
+7 (401) 2651220
+7 (401) 2670045
+7 (401) 2670134
+7 (401) 2670150
+7 (401) 2672941
+7 (401) 2673268
+7 (401) 2674012
+7 (401) 2676096
+7 (909) 7821338</f>
        <v>#NAME?</v>
      </c>
      <c r="F2076" s="5" t="s">
        <v>31590</v>
      </c>
      <c r="G2076" s="5"/>
      <c r="H2076" s="26">
        <v>9</v>
      </c>
      <c r="I2076" s="5" t="s">
        <v>31591</v>
      </c>
      <c r="J2076" s="5" t="s">
        <v>25219</v>
      </c>
      <c r="K2076" s="5" t="s">
        <v>344</v>
      </c>
      <c r="L2076" s="5" t="s">
        <v>31592</v>
      </c>
      <c r="M2076" s="27">
        <v>6042687</v>
      </c>
      <c r="N2076" s="5"/>
      <c r="O2076" s="5" t="str">
        <v>3906321175</v>
      </c>
      <c r="P2076" s="27">
        <v>500000</v>
      </c>
      <c r="Q2076" s="5"/>
      <c r="R2076" s="5"/>
      <c r="S2076" s="5" t="s">
        <v>49425</v>
      </c>
      <c r="T2076" s="28">
        <v>8290282000</v>
      </c>
      <c r="U2076" s="28"/>
      <c r="V2076" s="28">
        <v>1333798000</v>
      </c>
      <c r="W2076" s="28"/>
      <c r="X2076" s="28">
        <v>295443000</v>
      </c>
      <c r="Y2076" s="28">
        <v>12842124000</v>
      </c>
      <c r="Z2076" s="28">
        <v>192695000</v>
      </c>
      <c r="AA2076" s="28">
        <v>570833000</v>
      </c>
      <c r="AB2076" s="28">
        <v>2742920000</v>
      </c>
      <c r="AC2076" s="28">
        <v>4255936000</v>
      </c>
      <c r="AD2076" s="28">
        <v>193195000</v>
      </c>
      <c r="AE2076" s="28">
        <v>21757309000</v>
      </c>
      <c r="AF2076" s="28">
        <v>20314000</v>
      </c>
      <c r="AG2076" s="11"/>
    </row>
    <row r="2077">
      <c r="A2077" s="7" t="s">
        <v>3776</v>
      </c>
      <c r="B2077" s="5" t="s">
        <v>11759</v>
      </c>
      <c r="C2077" s="5" t="s">
        <v>19609</v>
      </c>
      <c r="D2077" s="5"/>
      <c r="E2077" s="0" t="e">
        <f>+7 (812) 7403000
+7 (812) 3268110
+7 (812) 7405555
+7 (812) 7663500</f>
        <v>#NAME?</v>
      </c>
      <c r="F2077" s="5" t="s">
        <v>31593</v>
      </c>
      <c r="G2077" s="5" t="s">
        <v>31594</v>
      </c>
      <c r="H2077" s="26">
        <v>20.5</v>
      </c>
      <c r="I2077" s="5" t="s">
        <v>31595</v>
      </c>
      <c r="J2077" s="5" t="s">
        <v>389</v>
      </c>
      <c r="K2077" s="5" t="s">
        <v>344</v>
      </c>
      <c r="L2077" s="5" t="s">
        <v>31596</v>
      </c>
      <c r="M2077" s="27"/>
      <c r="N2077" s="5"/>
      <c r="O2077" s="5" t="str">
        <v>7816595612</v>
      </c>
      <c r="P2077" s="27">
        <v>34000</v>
      </c>
      <c r="Q2077" s="5"/>
      <c r="R2077" s="5"/>
      <c r="S2077" s="5" t="s">
        <v>49496</v>
      </c>
      <c r="T2077" s="28">
        <v>371180000</v>
      </c>
      <c r="U2077" s="28"/>
      <c r="V2077" s="28">
        <v>109072000</v>
      </c>
      <c r="W2077" s="28"/>
      <c r="X2077" s="28">
        <v>38094000</v>
      </c>
      <c r="Y2077" s="28">
        <v>1211730000</v>
      </c>
      <c r="Z2077" s="28">
        <v>652137000</v>
      </c>
      <c r="AA2077" s="28"/>
      <c r="AB2077" s="28">
        <v>30000000</v>
      </c>
      <c r="AC2077" s="28">
        <v>267770000</v>
      </c>
      <c r="AD2077" s="28">
        <v>652172000</v>
      </c>
      <c r="AE2077" s="28">
        <v>3189102000</v>
      </c>
      <c r="AF2077" s="28">
        <v>262338000</v>
      </c>
      <c r="AG2077" s="11"/>
    </row>
    <row r="2078">
      <c r="A2078" s="7" t="s">
        <v>3777</v>
      </c>
      <c r="B2078" s="5" t="s">
        <v>11760</v>
      </c>
      <c r="C2078" s="5" t="s">
        <v>19610</v>
      </c>
      <c r="D2078" s="5" t="str">
        <v>780613432514</v>
      </c>
      <c r="E2078" s="0" t="e">
        <f>+7 (812) 3268100
+7 (812) 3268128
+7 (383) 3358907
+7 (812) 3268110
+7 (812) 3268111</f>
        <v>#NAME?</v>
      </c>
      <c r="F2078" s="5" t="s">
        <v>31597</v>
      </c>
      <c r="G2078" s="5" t="s">
        <v>31598</v>
      </c>
      <c r="H2078" s="26">
        <v>21.5</v>
      </c>
      <c r="I2078" s="5"/>
      <c r="J2078" s="5" t="s">
        <v>599</v>
      </c>
      <c r="K2078" s="5" t="s">
        <v>344</v>
      </c>
      <c r="L2078" s="5" t="s">
        <v>31599</v>
      </c>
      <c r="M2078" s="27">
        <v>270246333</v>
      </c>
      <c r="N2078" s="5" t="s">
        <v>50926</v>
      </c>
      <c r="O2078" s="5" t="str">
        <v>7813151859</v>
      </c>
      <c r="P2078" s="27">
        <v>1119900</v>
      </c>
      <c r="Q2078" s="5" t="s">
        <v>52595</v>
      </c>
      <c r="R2078" s="5" t="s">
        <v>52596</v>
      </c>
      <c r="S2078" s="5" t="s">
        <v>52597</v>
      </c>
      <c r="T2078" s="28">
        <v>18247187000</v>
      </c>
      <c r="U2078" s="28">
        <v>258649000</v>
      </c>
      <c r="V2078" s="28">
        <v>3632464000</v>
      </c>
      <c r="W2078" s="28">
        <v>37239000</v>
      </c>
      <c r="X2078" s="28">
        <v>421521000</v>
      </c>
      <c r="Y2078" s="28">
        <v>24867753000</v>
      </c>
      <c r="Z2078" s="28">
        <v>7901329000</v>
      </c>
      <c r="AA2078" s="28">
        <v>1554197000</v>
      </c>
      <c r="AB2078" s="28">
        <v>622843000</v>
      </c>
      <c r="AC2078" s="28">
        <v>5285834000</v>
      </c>
      <c r="AD2078" s="28">
        <v>8098204000</v>
      </c>
      <c r="AE2078" s="28">
        <v>20116219000</v>
      </c>
      <c r="AF2078" s="28">
        <v>38038000</v>
      </c>
      <c r="AG2078" s="11"/>
    </row>
    <row r="2079">
      <c r="A2079" s="7" t="s">
        <v>3778</v>
      </c>
      <c r="B2079" s="5" t="s">
        <v>11761</v>
      </c>
      <c r="C2079" s="5" t="s">
        <v>19611</v>
      </c>
      <c r="D2079" s="5" t="str">
        <v>165002871973</v>
      </c>
      <c r="E2079" s="0" t="e">
        <f>+7 (8432) 520733
+7 (855) 2423013
+7 (855) 2520132
+7 (855) 2520141
+7 (855) 2520733
+7 (855) 2520944
+7 (919) 6833062</f>
        <v>#NAME?</v>
      </c>
      <c r="F2079" s="5" t="s">
        <v>31600</v>
      </c>
      <c r="G2079" s="5"/>
      <c r="H2079" s="26">
        <v>25.5</v>
      </c>
      <c r="I2079" s="5" t="s">
        <v>31601</v>
      </c>
      <c r="J2079" s="5" t="s">
        <v>364</v>
      </c>
      <c r="K2079" s="5" t="s">
        <v>344</v>
      </c>
      <c r="L2079" s="5" t="s">
        <v>31602</v>
      </c>
      <c r="M2079" s="27">
        <v>4548876</v>
      </c>
      <c r="N2079" s="5" t="s">
        <v>52598</v>
      </c>
      <c r="O2079" s="5" t="str">
        <v>1650063313</v>
      </c>
      <c r="P2079" s="27">
        <v>10500</v>
      </c>
      <c r="Q2079" s="5" t="s">
        <v>52599</v>
      </c>
      <c r="R2079" s="5"/>
      <c r="S2079" s="5" t="s">
        <v>52600</v>
      </c>
      <c r="T2079" s="28">
        <v>59299000</v>
      </c>
      <c r="U2079" s="28"/>
      <c r="V2079" s="28">
        <v>2035333000</v>
      </c>
      <c r="W2079" s="28">
        <v>1085094000</v>
      </c>
      <c r="X2079" s="28">
        <v>750551000</v>
      </c>
      <c r="Y2079" s="28">
        <v>4149668000</v>
      </c>
      <c r="Z2079" s="28">
        <v>263550000</v>
      </c>
      <c r="AA2079" s="28"/>
      <c r="AB2079" s="28">
        <v>526370000</v>
      </c>
      <c r="AC2079" s="28">
        <v>3864769000</v>
      </c>
      <c r="AD2079" s="28">
        <v>263561000</v>
      </c>
      <c r="AE2079" s="28">
        <v>10933278000</v>
      </c>
      <c r="AF2079" s="28">
        <v>28272000</v>
      </c>
      <c r="AG2079" s="11"/>
    </row>
    <row r="2080">
      <c r="A2080" s="7" t="s">
        <v>3779</v>
      </c>
      <c r="B2080" s="5" t="s">
        <v>11762</v>
      </c>
      <c r="C2080" s="5" t="s">
        <v>19612</v>
      </c>
      <c r="D2080" s="5" t="str">
        <v>615417670433</v>
      </c>
      <c r="E2080" s="0" t="e">
        <f>+7 (495) 9804992
+7 (495) 2584465
+7 (495) 4195166
+7 (495) 9802748</f>
        <v>#NAME?</v>
      </c>
      <c r="F2080" s="5" t="s">
        <v>31603</v>
      </c>
      <c r="G2080" s="5"/>
      <c r="H2080" s="26">
        <v>16.5</v>
      </c>
      <c r="I2080" s="5" t="s">
        <v>31604</v>
      </c>
      <c r="J2080" s="5" t="s">
        <v>364</v>
      </c>
      <c r="K2080" s="5" t="s">
        <v>355</v>
      </c>
      <c r="L2080" s="5" t="s">
        <v>31605</v>
      </c>
      <c r="M2080" s="27">
        <v>37673016</v>
      </c>
      <c r="N2080" s="5" t="s">
        <v>52601</v>
      </c>
      <c r="O2080" s="5" t="str">
        <v>7725584941</v>
      </c>
      <c r="P2080" s="27">
        <v>10000</v>
      </c>
      <c r="Q2080" s="5" t="s">
        <v>52602</v>
      </c>
      <c r="R2080" s="5" t="s">
        <v>52603</v>
      </c>
      <c r="S2080" s="5" t="s">
        <v>52604</v>
      </c>
      <c r="T2080" s="28">
        <v>22507000</v>
      </c>
      <c r="U2080" s="28">
        <v>294296000</v>
      </c>
      <c r="V2080" s="28">
        <v>6004350000</v>
      </c>
      <c r="W2080" s="28">
        <v>134587000</v>
      </c>
      <c r="X2080" s="28">
        <v>151517000</v>
      </c>
      <c r="Y2080" s="28">
        <v>12118738000</v>
      </c>
      <c r="Z2080" s="28">
        <v>714792000</v>
      </c>
      <c r="AA2080" s="28">
        <v>310516000</v>
      </c>
      <c r="AB2080" s="28">
        <v>1087783000</v>
      </c>
      <c r="AC2080" s="28">
        <v>11090381000</v>
      </c>
      <c r="AD2080" s="28">
        <v>714802000</v>
      </c>
      <c r="AE2080" s="28">
        <v>3189371000</v>
      </c>
      <c r="AF2080" s="28">
        <v>405283000</v>
      </c>
      <c r="AG2080" s="11"/>
    </row>
    <row r="2081">
      <c r="A2081" s="7" t="s">
        <v>3780</v>
      </c>
      <c r="B2081" s="5" t="s">
        <v>11763</v>
      </c>
      <c r="C2081" s="5" t="s">
        <v>19613</v>
      </c>
      <c r="D2081" s="5" t="str">
        <v>165400617359</v>
      </c>
      <c r="E2081" s="0" t="e">
        <f>+7 (8432) 41656
+7 (8432) 361116
+7 (843) 2945094
+7 (8432) 41623
+7 (8432) 41653
+7 (8432) 271096
+7 (987) 2904601</f>
        <v>#NAME?</v>
      </c>
      <c r="F2081" s="5" t="s">
        <v>31606</v>
      </c>
      <c r="G2081" s="5"/>
      <c r="H2081" s="26">
        <v>13</v>
      </c>
      <c r="I2081" s="5" t="s">
        <v>31607</v>
      </c>
      <c r="J2081" s="5" t="s">
        <v>31608</v>
      </c>
      <c r="K2081" s="5" t="s">
        <v>344</v>
      </c>
      <c r="L2081" s="5" t="s">
        <v>31609</v>
      </c>
      <c r="M2081" s="27">
        <v>27006956</v>
      </c>
      <c r="N2081" s="5" t="s">
        <v>52605</v>
      </c>
      <c r="O2081" s="5" t="str">
        <v>1655187714</v>
      </c>
      <c r="P2081" s="27">
        <v>10000</v>
      </c>
      <c r="Q2081" s="5" t="s">
        <v>52606</v>
      </c>
      <c r="R2081" s="5"/>
      <c r="S2081" s="5" t="s">
        <v>52607</v>
      </c>
      <c r="T2081" s="28">
        <v>326112000</v>
      </c>
      <c r="U2081" s="28">
        <v>10000</v>
      </c>
      <c r="V2081" s="28">
        <v>16527872000</v>
      </c>
      <c r="W2081" s="28"/>
      <c r="X2081" s="28">
        <v>3817275000</v>
      </c>
      <c r="Y2081" s="28">
        <v>21577091000</v>
      </c>
      <c r="Z2081" s="28">
        <v>324377000</v>
      </c>
      <c r="AA2081" s="28">
        <v>3960867000</v>
      </c>
      <c r="AB2081" s="28"/>
      <c r="AC2081" s="28">
        <v>17291837000</v>
      </c>
      <c r="AD2081" s="28">
        <v>324387000</v>
      </c>
      <c r="AE2081" s="28">
        <v>17178054000</v>
      </c>
      <c r="AF2081" s="28">
        <v>156770000</v>
      </c>
      <c r="AG2081" s="11"/>
    </row>
    <row r="2082">
      <c r="A2082" s="7" t="s">
        <v>3781</v>
      </c>
      <c r="B2082" s="5" t="s">
        <v>11764</v>
      </c>
      <c r="C2082" s="5" t="s">
        <v>19614</v>
      </c>
      <c r="D2082" s="5" t="str">
        <v>631101835765</v>
      </c>
      <c r="E2082" s="0" t="e">
        <f>+7 (919) 8000190
+7 (846) 2337686
+7 (846) 2704613
+7 (846) 9311733
+7 (846) 9313860
+7 (846) 9313889
+7 (846) 9314039
+7 (846) 9314093
+7 (846) 9314096
+7 (84663) 37686</f>
        <v>#NAME?</v>
      </c>
      <c r="F2082" s="5" t="s">
        <v>31610</v>
      </c>
      <c r="G2082" s="5" t="s">
        <v>31611</v>
      </c>
      <c r="H2082" s="26">
        <v>25</v>
      </c>
      <c r="I2082" s="5"/>
      <c r="J2082" s="5" t="s">
        <v>31612</v>
      </c>
      <c r="K2082" s="5" t="s">
        <v>344</v>
      </c>
      <c r="L2082" s="5" t="s">
        <v>31613</v>
      </c>
      <c r="M2082" s="27"/>
      <c r="N2082" s="5" t="s">
        <v>52608</v>
      </c>
      <c r="O2082" s="5" t="str">
        <v>6317033655</v>
      </c>
      <c r="P2082" s="27">
        <v>4347000</v>
      </c>
      <c r="Q2082" s="5" t="s">
        <v>49009</v>
      </c>
      <c r="R2082" s="5"/>
      <c r="S2082" s="5" t="s">
        <v>49200</v>
      </c>
      <c r="T2082" s="28">
        <v>1999678000</v>
      </c>
      <c r="U2082" s="28"/>
      <c r="V2082" s="28">
        <v>544653000</v>
      </c>
      <c r="W2082" s="28"/>
      <c r="X2082" s="28">
        <v>2410775000</v>
      </c>
      <c r="Y2082" s="28">
        <v>10396671000</v>
      </c>
      <c r="Z2082" s="28">
        <v>8647578000</v>
      </c>
      <c r="AA2082" s="28"/>
      <c r="AB2082" s="28"/>
      <c r="AC2082" s="28">
        <v>1651544000</v>
      </c>
      <c r="AD2082" s="28">
        <v>8662251000</v>
      </c>
      <c r="AE2082" s="28">
        <v>13322490000</v>
      </c>
      <c r="AF2082" s="28">
        <v>1842432000</v>
      </c>
      <c r="AG2082" s="11"/>
    </row>
    <row r="2083">
      <c r="A2083" s="7" t="s">
        <v>3782</v>
      </c>
      <c r="B2083" s="5" t="s">
        <v>11765</v>
      </c>
      <c r="C2083" s="5" t="s">
        <v>19615</v>
      </c>
      <c r="D2083" s="5" t="str">
        <v>780410161820</v>
      </c>
      <c r="E2083" s="0" t="e">
        <f>+7 (812) 3039321
+7 (8112) 331080
+7 (812) 2441095
+7 (812) 7031777
+7 (855) 2747955
+7 (917) 9171034</f>
        <v>#NAME?</v>
      </c>
      <c r="F2083" s="5" t="s">
        <v>31614</v>
      </c>
      <c r="G2083" s="5"/>
      <c r="H2083" s="26">
        <v>25.5</v>
      </c>
      <c r="I2083" s="5" t="s">
        <v>31615</v>
      </c>
      <c r="J2083" s="5" t="s">
        <v>25259</v>
      </c>
      <c r="K2083" s="5" t="s">
        <v>344</v>
      </c>
      <c r="L2083" s="5" t="s">
        <v>31616</v>
      </c>
      <c r="M2083" s="27"/>
      <c r="N2083" s="5"/>
      <c r="O2083" s="5" t="str">
        <v>7814078104</v>
      </c>
      <c r="P2083" s="27">
        <v>100400</v>
      </c>
      <c r="Q2083" s="5" t="s">
        <v>49009</v>
      </c>
      <c r="R2083" s="5"/>
      <c r="S2083" s="5" t="s">
        <v>49045</v>
      </c>
      <c r="T2083" s="28">
        <v>1494000</v>
      </c>
      <c r="U2083" s="28"/>
      <c r="V2083" s="28">
        <v>402345000</v>
      </c>
      <c r="W2083" s="28"/>
      <c r="X2083" s="28">
        <v>50607000</v>
      </c>
      <c r="Y2083" s="28">
        <v>1136895000</v>
      </c>
      <c r="Z2083" s="28">
        <v>516482000</v>
      </c>
      <c r="AA2083" s="28">
        <v>124638000</v>
      </c>
      <c r="AB2083" s="28"/>
      <c r="AC2083" s="28">
        <v>495675000</v>
      </c>
      <c r="AD2083" s="28">
        <v>516582000</v>
      </c>
      <c r="AE2083" s="28">
        <v>5254551000</v>
      </c>
      <c r="AF2083" s="28">
        <v>51433000</v>
      </c>
      <c r="AG2083" s="11"/>
    </row>
    <row r="2084">
      <c r="A2084" s="7" t="s">
        <v>3783</v>
      </c>
      <c r="B2084" s="5" t="s">
        <v>11766</v>
      </c>
      <c r="C2084" s="5" t="s">
        <v>19616</v>
      </c>
      <c r="D2084" s="5" t="str">
        <v>773317275885</v>
      </c>
      <c r="E2084" s="0" t="e">
        <f>+7 (926) 1789457
+7 (909) 9967754
+7 (499) 9036966
+7 (905) 7260284
+7 (965) 3835834</f>
        <v>#NAME?</v>
      </c>
      <c r="F2084" s="5" t="s">
        <v>31617</v>
      </c>
      <c r="G2084" s="5" t="s">
        <v>31618</v>
      </c>
      <c r="H2084" s="26">
        <v>10</v>
      </c>
      <c r="I2084" s="5"/>
      <c r="J2084" s="5" t="s">
        <v>27115</v>
      </c>
      <c r="K2084" s="5" t="s">
        <v>344</v>
      </c>
      <c r="L2084" s="5"/>
      <c r="M2084" s="27"/>
      <c r="N2084" s="5" t="s">
        <v>52609</v>
      </c>
      <c r="O2084" s="5" t="str">
        <v>5029169023</v>
      </c>
      <c r="P2084" s="27">
        <v>5300000</v>
      </c>
      <c r="Q2084" s="5" t="s">
        <v>52611</v>
      </c>
      <c r="R2084" s="5"/>
      <c r="S2084" s="5" t="s">
        <v>52612</v>
      </c>
      <c r="T2084" s="28">
        <v>22406735000</v>
      </c>
      <c r="U2084" s="28">
        <v>4419774000</v>
      </c>
      <c r="V2084" s="28">
        <v>5810575000</v>
      </c>
      <c r="W2084" s="28"/>
      <c r="X2084" s="28">
        <v>196209000</v>
      </c>
      <c r="Y2084" s="28">
        <v>45249250000</v>
      </c>
      <c r="Z2084" s="28">
        <v>2588719000</v>
      </c>
      <c r="AA2084" s="28">
        <v>8464295000</v>
      </c>
      <c r="AB2084" s="28">
        <v>4284000</v>
      </c>
      <c r="AC2084" s="28">
        <v>2337754000</v>
      </c>
      <c r="AD2084" s="28">
        <v>12596228000</v>
      </c>
      <c r="AE2084" s="28">
        <v>53144522000</v>
      </c>
      <c r="AF2084" s="28">
        <v>2486898000</v>
      </c>
      <c r="AG2084" s="11"/>
    </row>
    <row r="2085">
      <c r="A2085" s="7" t="s">
        <v>3784</v>
      </c>
      <c r="B2085" s="5" t="s">
        <v>11767</v>
      </c>
      <c r="C2085" s="5" t="s">
        <v>19617</v>
      </c>
      <c r="D2085" s="5" t="str">
        <v>504207706072</v>
      </c>
      <c r="E2085" s="0" t="e">
        <f>+7 (4862) 475333
+7 (495) 7952527</f>
        <v>#NAME?</v>
      </c>
      <c r="F2085" s="5" t="s">
        <v>31619</v>
      </c>
      <c r="G2085" s="5"/>
      <c r="H2085" s="26">
        <v>7.5</v>
      </c>
      <c r="I2085" s="5" t="s">
        <v>31620</v>
      </c>
      <c r="J2085" s="5" t="s">
        <v>25512</v>
      </c>
      <c r="K2085" s="5" t="s">
        <v>344</v>
      </c>
      <c r="L2085" s="5" t="s">
        <v>31621</v>
      </c>
      <c r="M2085" s="27"/>
      <c r="N2085" s="5" t="s">
        <v>52613</v>
      </c>
      <c r="O2085" s="5" t="str">
        <v>7725291543</v>
      </c>
      <c r="P2085" s="27">
        <v>396049576</v>
      </c>
      <c r="Q2085" s="5" t="s">
        <v>52614</v>
      </c>
      <c r="R2085" s="5"/>
      <c r="S2085" s="5" t="s">
        <v>52615</v>
      </c>
      <c r="T2085" s="28">
        <v>1402648000</v>
      </c>
      <c r="U2085" s="28">
        <v>177000</v>
      </c>
      <c r="V2085" s="28">
        <v>3087362000</v>
      </c>
      <c r="W2085" s="28">
        <v>2461778000</v>
      </c>
      <c r="X2085" s="28">
        <v>25506000</v>
      </c>
      <c r="Y2085" s="28">
        <v>7938011000</v>
      </c>
      <c r="Z2085" s="28">
        <v>4671961000</v>
      </c>
      <c r="AA2085" s="28"/>
      <c r="AB2085" s="28">
        <v>793000</v>
      </c>
      <c r="AC2085" s="28">
        <v>2860192000</v>
      </c>
      <c r="AD2085" s="28">
        <v>5068011000</v>
      </c>
      <c r="AE2085" s="28">
        <v>59088277000</v>
      </c>
      <c r="AF2085" s="28">
        <v>4231540000</v>
      </c>
      <c r="AG2085" s="11"/>
    </row>
    <row r="2086">
      <c r="A2086" s="7" t="s">
        <v>3785</v>
      </c>
      <c r="B2086" s="5" t="s">
        <v>11768</v>
      </c>
      <c r="C2086" s="5" t="s">
        <v>19618</v>
      </c>
      <c r="D2086" s="5" t="str">
        <v>772170605498</v>
      </c>
      <c r="E2086" s="0" t="e">
        <f>+7 (495) 5406101
+7 (495) 5406103
+7 (495) 5406111
+7 (495) 5406121
+7 (495) 5406131
+7 (495) 5406133
+7 (495) 7816660</f>
        <v>#NAME?</v>
      </c>
      <c r="F2086" s="5" t="s">
        <v>31622</v>
      </c>
      <c r="G2086" s="5" t="s">
        <v>31623</v>
      </c>
      <c r="H2086" s="26">
        <v>7</v>
      </c>
      <c r="I2086" s="5"/>
      <c r="J2086" s="5" t="s">
        <v>25512</v>
      </c>
      <c r="K2086" s="5" t="s">
        <v>344</v>
      </c>
      <c r="L2086" s="5" t="s">
        <v>31624</v>
      </c>
      <c r="M2086" s="27"/>
      <c r="N2086" s="5" t="s">
        <v>52616</v>
      </c>
      <c r="O2086" s="5" t="str">
        <v>7730241185</v>
      </c>
      <c r="P2086" s="27">
        <v>5000000</v>
      </c>
      <c r="Q2086" s="5" t="s">
        <v>49021</v>
      </c>
      <c r="R2086" s="5"/>
      <c r="S2086" s="5" t="s">
        <v>52617</v>
      </c>
      <c r="T2086" s="28">
        <v>2640000</v>
      </c>
      <c r="U2086" s="28">
        <v>958543000</v>
      </c>
      <c r="V2086" s="28">
        <v>696841000</v>
      </c>
      <c r="W2086" s="28"/>
      <c r="X2086" s="28">
        <v>2194502000</v>
      </c>
      <c r="Y2086" s="28">
        <v>4414970000</v>
      </c>
      <c r="Z2086" s="28">
        <v>4277457000</v>
      </c>
      <c r="AA2086" s="28"/>
      <c r="AB2086" s="28"/>
      <c r="AC2086" s="28">
        <v>131920000</v>
      </c>
      <c r="AD2086" s="28">
        <v>4282457000</v>
      </c>
      <c r="AE2086" s="28">
        <v>3960737000</v>
      </c>
      <c r="AF2086" s="28">
        <v>536988000</v>
      </c>
      <c r="AG2086" s="11"/>
    </row>
    <row r="2087">
      <c r="A2087" s="7" t="s">
        <v>3786</v>
      </c>
      <c r="B2087" s="5" t="s">
        <v>11769</v>
      </c>
      <c r="C2087" s="5" t="s">
        <v>19619</v>
      </c>
      <c r="D2087" s="5"/>
      <c r="E2087" s="0" t="e">
        <f>+7 (86155) 74512
+7 (495) 3632000
+7 (86155) 74119
+7 (86155) 74212
+7 (86155) 74476
+7 (86554) 44995</f>
        <v>#NAME?</v>
      </c>
      <c r="F2087" s="5" t="s">
        <v>31625</v>
      </c>
      <c r="G2087" s="5" t="s">
        <v>31626</v>
      </c>
      <c r="H2087" s="26">
        <v>16.5</v>
      </c>
      <c r="I2087" s="5" t="s">
        <v>31627</v>
      </c>
      <c r="J2087" s="5" t="s">
        <v>25275</v>
      </c>
      <c r="K2087" s="5" t="s">
        <v>355</v>
      </c>
      <c r="L2087" s="5" t="s">
        <v>31628</v>
      </c>
      <c r="M2087" s="27">
        <v>1167616</v>
      </c>
      <c r="N2087" s="5"/>
      <c r="O2087" s="5" t="str">
        <v>2303025270</v>
      </c>
      <c r="P2087" s="27">
        <v>8098202160</v>
      </c>
      <c r="Q2087" s="5" t="s">
        <v>49009</v>
      </c>
      <c r="R2087" s="5"/>
      <c r="S2087" s="5" t="s">
        <v>49066</v>
      </c>
      <c r="T2087" s="28">
        <v>12265319000</v>
      </c>
      <c r="U2087" s="28"/>
      <c r="V2087" s="28">
        <v>12890503000</v>
      </c>
      <c r="W2087" s="28">
        <v>1824136000</v>
      </c>
      <c r="X2087" s="28">
        <v>3015000</v>
      </c>
      <c r="Y2087" s="28">
        <v>31507730000</v>
      </c>
      <c r="Z2087" s="28">
        <v>4701959000</v>
      </c>
      <c r="AA2087" s="28"/>
      <c r="AB2087" s="28">
        <v>1364000</v>
      </c>
      <c r="AC2087" s="28">
        <v>16374332000</v>
      </c>
      <c r="AD2087" s="28">
        <v>14350161000</v>
      </c>
      <c r="AE2087" s="28">
        <v>32021270000</v>
      </c>
      <c r="AF2087" s="28">
        <v>-958709000</v>
      </c>
      <c r="AG2087" s="11"/>
    </row>
    <row r="2088">
      <c r="A2088" s="7" t="s">
        <v>3787</v>
      </c>
      <c r="B2088" s="5" t="s">
        <v>11770</v>
      </c>
      <c r="C2088" s="5" t="s">
        <v>19619</v>
      </c>
      <c r="D2088" s="5"/>
      <c r="E2088" s="0" t="e">
        <f>+7 (84476) 55036
+7 (495) 7952527
+7 (495) 7952532
+7 (84476) 34488
+7 (84476) 55010
+7 (84476) 55040</f>
        <v>#NAME?</v>
      </c>
      <c r="F2088" s="5" t="s">
        <v>31629</v>
      </c>
      <c r="G2088" s="5"/>
      <c r="H2088" s="26">
        <v>19.5</v>
      </c>
      <c r="I2088" s="5" t="s">
        <v>31630</v>
      </c>
      <c r="J2088" s="5" t="s">
        <v>31631</v>
      </c>
      <c r="K2088" s="5" t="s">
        <v>355</v>
      </c>
      <c r="L2088" s="5"/>
      <c r="M2088" s="27">
        <v>206935095</v>
      </c>
      <c r="N2088" s="5"/>
      <c r="O2088" s="5" t="str">
        <v>7710473036</v>
      </c>
      <c r="P2088" s="27">
        <v>137002000000</v>
      </c>
      <c r="Q2088" s="5" t="s">
        <v>49009</v>
      </c>
      <c r="R2088" s="5"/>
      <c r="S2088" s="5" t="s">
        <v>52619</v>
      </c>
      <c r="T2088" s="28">
        <v>159706651000</v>
      </c>
      <c r="U2088" s="28">
        <v>500000</v>
      </c>
      <c r="V2088" s="28">
        <v>18941658000</v>
      </c>
      <c r="W2088" s="28">
        <v>3802087000</v>
      </c>
      <c r="X2088" s="28">
        <v>34246000</v>
      </c>
      <c r="Y2088" s="28">
        <v>193279106000</v>
      </c>
      <c r="Z2088" s="28">
        <v>2649006000</v>
      </c>
      <c r="AA2088" s="28">
        <v>28331751000</v>
      </c>
      <c r="AB2088" s="28">
        <v>39814000</v>
      </c>
      <c r="AC2088" s="28">
        <v>5229072000</v>
      </c>
      <c r="AD2088" s="28">
        <v>159690035000</v>
      </c>
      <c r="AE2088" s="28">
        <v>16412948000</v>
      </c>
      <c r="AF2088" s="28">
        <v>9724303000</v>
      </c>
      <c r="AG2088" s="11"/>
    </row>
    <row r="2089">
      <c r="A2089" s="7" t="s">
        <v>3788</v>
      </c>
      <c r="B2089" s="5" t="s">
        <v>11771</v>
      </c>
      <c r="C2089" s="5" t="s">
        <v>19619</v>
      </c>
      <c r="D2089" s="5"/>
      <c r="E2089" s="0" t="e">
        <f>+7 (495) 5453969
+7 (81375) 95268
+7 (81375) 95444
+7 (81375) 95474</f>
        <v>#NAME?</v>
      </c>
      <c r="F2089" s="5" t="s">
        <v>31632</v>
      </c>
      <c r="G2089" s="5" t="s">
        <v>31633</v>
      </c>
      <c r="H2089" s="26">
        <v>9</v>
      </c>
      <c r="I2089" s="5" t="s">
        <v>31634</v>
      </c>
      <c r="J2089" s="5" t="s">
        <v>25275</v>
      </c>
      <c r="K2089" s="5" t="s">
        <v>344</v>
      </c>
      <c r="L2089" s="5" t="s">
        <v>31635</v>
      </c>
      <c r="M2089" s="27"/>
      <c r="N2089" s="5"/>
      <c r="O2089" s="5" t="str">
        <v>4707036312</v>
      </c>
      <c r="P2089" s="27">
        <v>2365450100</v>
      </c>
      <c r="Q2089" s="5" t="s">
        <v>49009</v>
      </c>
      <c r="R2089" s="5"/>
      <c r="S2089" s="5" t="s">
        <v>49010</v>
      </c>
      <c r="T2089" s="28">
        <v>55005579000</v>
      </c>
      <c r="U2089" s="28"/>
      <c r="V2089" s="28">
        <v>8556717000</v>
      </c>
      <c r="W2089" s="28"/>
      <c r="X2089" s="28">
        <v>5692000</v>
      </c>
      <c r="Y2089" s="28">
        <v>69804435000</v>
      </c>
      <c r="Z2089" s="28">
        <v>27473414000</v>
      </c>
      <c r="AA2089" s="28"/>
      <c r="AB2089" s="28">
        <v>3966286000</v>
      </c>
      <c r="AC2089" s="28">
        <v>5013481000</v>
      </c>
      <c r="AD2089" s="28">
        <v>64790954000</v>
      </c>
      <c r="AE2089" s="28">
        <v>28232171000</v>
      </c>
      <c r="AF2089" s="28">
        <v>17794117000</v>
      </c>
      <c r="AG2089" s="11"/>
    </row>
    <row r="2090">
      <c r="A2090" s="7" t="s">
        <v>3789</v>
      </c>
      <c r="B2090" s="5" t="s">
        <v>11772</v>
      </c>
      <c r="C2090" s="5" t="s">
        <v>19619</v>
      </c>
      <c r="D2090" s="5"/>
      <c r="E2090" s="0" t="e">
        <f>+7 (342) 7952532
+7 (34242) 56200
+7 (34242) 56210
+7 (34242) 56211
+7 (34242) 56242
+7 (495) 7952527</f>
        <v>#NAME?</v>
      </c>
      <c r="F2090" s="5" t="s">
        <v>31636</v>
      </c>
      <c r="G2090" s="5" t="s">
        <v>31626</v>
      </c>
      <c r="H2090" s="26">
        <v>11.5</v>
      </c>
      <c r="I2090" s="5" t="s">
        <v>31637</v>
      </c>
      <c r="J2090" s="5" t="s">
        <v>25275</v>
      </c>
      <c r="K2090" s="5" t="s">
        <v>344</v>
      </c>
      <c r="L2090" s="5" t="s">
        <v>31638</v>
      </c>
      <c r="M2090" s="27">
        <v>118578411</v>
      </c>
      <c r="N2090" s="5"/>
      <c r="O2090" s="5" t="str">
        <v>5911066005</v>
      </c>
      <c r="P2090" s="27">
        <v>28572926277</v>
      </c>
      <c r="Q2090" s="5" t="s">
        <v>49009</v>
      </c>
      <c r="R2090" s="5"/>
      <c r="S2090" s="5" t="s">
        <v>49045</v>
      </c>
      <c r="T2090" s="28">
        <v>138442532000</v>
      </c>
      <c r="U2090" s="28">
        <v>502810000</v>
      </c>
      <c r="V2090" s="28">
        <v>77779866000</v>
      </c>
      <c r="W2090" s="28">
        <v>79890976000</v>
      </c>
      <c r="X2090" s="28">
        <v>42399000</v>
      </c>
      <c r="Y2090" s="28">
        <v>306743941000</v>
      </c>
      <c r="Z2090" s="28">
        <v>138411013000</v>
      </c>
      <c r="AA2090" s="28">
        <v>22081015000</v>
      </c>
      <c r="AB2090" s="28">
        <v>240603000</v>
      </c>
      <c r="AC2090" s="28">
        <v>4318324000</v>
      </c>
      <c r="AD2090" s="28">
        <v>280253675000</v>
      </c>
      <c r="AE2090" s="28">
        <v>116314855000</v>
      </c>
      <c r="AF2090" s="28">
        <v>93571155000</v>
      </c>
      <c r="AG2090" s="11"/>
    </row>
    <row r="2091">
      <c r="A2091" s="7" t="s">
        <v>3790</v>
      </c>
      <c r="B2091" s="5" t="s">
        <v>11773</v>
      </c>
      <c r="C2091" s="5" t="s">
        <v>19620</v>
      </c>
      <c r="D2091" s="5" t="str">
        <v>246508625540</v>
      </c>
      <c r="E2091" s="0" t="e">
        <f>+7 (48762) 30700
+7 (48762) 30744
+7 (48762) 30745
+7 (48762) 30746
+7 (48762) 30777
+7 (495) 7952527
+7 (495) 7952532
+7 (910) 9454486</f>
        <v>#NAME?</v>
      </c>
      <c r="F2091" s="5" t="s">
        <v>31639</v>
      </c>
      <c r="G2091" s="5" t="s">
        <v>31640</v>
      </c>
      <c r="H2091" s="26">
        <v>15</v>
      </c>
      <c r="I2091" s="5" t="s">
        <v>31641</v>
      </c>
      <c r="J2091" s="5" t="s">
        <v>26623</v>
      </c>
      <c r="K2091" s="5" t="s">
        <v>344</v>
      </c>
      <c r="L2091" s="5" t="s">
        <v>31642</v>
      </c>
      <c r="M2091" s="27"/>
      <c r="N2091" s="5" t="s">
        <v>50288</v>
      </c>
      <c r="O2091" s="5" t="str">
        <v>7116146467</v>
      </c>
      <c r="P2091" s="27">
        <v>100000</v>
      </c>
      <c r="Q2091" s="5" t="s">
        <v>49059</v>
      </c>
      <c r="R2091" s="5" t="s">
        <v>52620</v>
      </c>
      <c r="S2091" s="5" t="s">
        <v>49110</v>
      </c>
      <c r="T2091" s="28">
        <v>650779000</v>
      </c>
      <c r="U2091" s="28"/>
      <c r="V2091" s="28">
        <v>506389000</v>
      </c>
      <c r="W2091" s="28">
        <v>199035000</v>
      </c>
      <c r="X2091" s="28">
        <v>350000</v>
      </c>
      <c r="Y2091" s="28">
        <v>1363858000</v>
      </c>
      <c r="Z2091" s="28">
        <v>122601000</v>
      </c>
      <c r="AA2091" s="28"/>
      <c r="AB2091" s="28"/>
      <c r="AC2091" s="28">
        <v>605276000</v>
      </c>
      <c r="AD2091" s="28">
        <v>122701000</v>
      </c>
      <c r="AE2091" s="28">
        <v>12332628000</v>
      </c>
      <c r="AF2091" s="28">
        <v>66723000</v>
      </c>
      <c r="AG2091" s="11"/>
    </row>
    <row r="2092">
      <c r="A2092" s="7" t="s">
        <v>3791</v>
      </c>
      <c r="B2092" s="5" t="s">
        <v>11774</v>
      </c>
      <c r="C2092" s="5" t="s">
        <v>19621</v>
      </c>
      <c r="D2092" s="5" t="str">
        <v>501102926935</v>
      </c>
      <c r="E2092" s="0" t="e">
        <f>+7 (391) 2788442
+7 (4712) 548848
+7 (49640) 38216
+7 (49640) 40532
+7 (49640) 40534
+7 (49640) 40607
+7 (49640) 40704
+7 (49640) 46546
+7 (800) 3330845
+7 (812) 3353488
+7 (812) 3643508
+7 (812) 6430220
+7 (812) 6430222
+7 (831) 2786320
+7 (844) 2224117</f>
        <v>#NAME?</v>
      </c>
      <c r="F2092" s="5" t="s">
        <v>31643</v>
      </c>
      <c r="G2092" s="5" t="s">
        <v>31644</v>
      </c>
      <c r="H2092" s="26">
        <v>30</v>
      </c>
      <c r="I2092" s="5"/>
      <c r="J2092" s="5" t="s">
        <v>31645</v>
      </c>
      <c r="K2092" s="5" t="s">
        <v>344</v>
      </c>
      <c r="L2092" s="5" t="s">
        <v>31646</v>
      </c>
      <c r="M2092" s="27"/>
      <c r="N2092" s="5" t="s">
        <v>52621</v>
      </c>
      <c r="O2092" s="5" t="str">
        <v>5011017647</v>
      </c>
      <c r="P2092" s="27">
        <v>5181000</v>
      </c>
      <c r="Q2092" s="5"/>
      <c r="R2092" s="5"/>
      <c r="S2092" s="5" t="s">
        <v>49425</v>
      </c>
      <c r="T2092" s="28">
        <v>311704000</v>
      </c>
      <c r="U2092" s="28">
        <v>387561000</v>
      </c>
      <c r="V2092" s="28">
        <v>1049855000</v>
      </c>
      <c r="W2092" s="28">
        <v>445000000</v>
      </c>
      <c r="X2092" s="28">
        <v>66995000</v>
      </c>
      <c r="Y2092" s="28">
        <v>5115867000</v>
      </c>
      <c r="Z2092" s="28">
        <v>4684435000</v>
      </c>
      <c r="AA2092" s="28"/>
      <c r="AB2092" s="28"/>
      <c r="AC2092" s="28">
        <v>265875000</v>
      </c>
      <c r="AD2092" s="28">
        <v>4690396000</v>
      </c>
      <c r="AE2092" s="28">
        <v>4114420000</v>
      </c>
      <c r="AF2092" s="28">
        <v>432986000</v>
      </c>
      <c r="AG2092" s="11"/>
    </row>
    <row r="2093">
      <c r="A2093" s="7" t="s">
        <v>3792</v>
      </c>
      <c r="B2093" s="5" t="s">
        <v>11775</v>
      </c>
      <c r="C2093" s="5" t="s">
        <v>19622</v>
      </c>
      <c r="D2093" s="5" t="str">
        <v>772425885974</v>
      </c>
      <c r="E2093" s="0" t="e">
        <f>+7 (495) 7716001
+7 (495) 7716003
+7 (495) 7716009
+7 (495) 7716601</f>
        <v>#NAME?</v>
      </c>
      <c r="F2093" s="5" t="s">
        <v>31647</v>
      </c>
      <c r="G2093" s="5"/>
      <c r="H2093" s="26">
        <v>29.5</v>
      </c>
      <c r="I2093" s="5"/>
      <c r="J2093" s="5" t="s">
        <v>27085</v>
      </c>
      <c r="K2093" s="5" t="s">
        <v>344</v>
      </c>
      <c r="L2093" s="5"/>
      <c r="M2093" s="27">
        <v>416718</v>
      </c>
      <c r="N2093" s="5"/>
      <c r="O2093" s="5" t="str">
        <v>7701010842</v>
      </c>
      <c r="P2093" s="27">
        <v>85000</v>
      </c>
      <c r="Q2093" s="5" t="s">
        <v>49009</v>
      </c>
      <c r="R2093" s="5"/>
      <c r="S2093" s="5" t="s">
        <v>49010</v>
      </c>
      <c r="T2093" s="28">
        <v>58940000</v>
      </c>
      <c r="U2093" s="28"/>
      <c r="V2093" s="28">
        <v>826773000</v>
      </c>
      <c r="W2093" s="28">
        <v>399259000</v>
      </c>
      <c r="X2093" s="28">
        <v>252248000</v>
      </c>
      <c r="Y2093" s="28">
        <v>3464938000</v>
      </c>
      <c r="Z2093" s="28">
        <v>1323937000</v>
      </c>
      <c r="AA2093" s="28">
        <v>1166802000</v>
      </c>
      <c r="AB2093" s="28">
        <v>554609000</v>
      </c>
      <c r="AC2093" s="28">
        <v>971493000</v>
      </c>
      <c r="AD2093" s="28">
        <v>1324055000</v>
      </c>
      <c r="AE2093" s="28">
        <v>3439582000</v>
      </c>
      <c r="AF2093" s="28">
        <v>26283000</v>
      </c>
      <c r="AG2093" s="11"/>
    </row>
    <row r="2094">
      <c r="A2094" s="7" t="s">
        <v>3793</v>
      </c>
      <c r="B2094" s="5" t="s">
        <v>11776</v>
      </c>
      <c r="C2094" s="5" t="s">
        <v>19623</v>
      </c>
      <c r="D2094" s="5" t="str">
        <v>773462158640</v>
      </c>
      <c r="E2094" s="0" t="e">
        <f>+7 (3432) 875671
+7 (495) 6280770
+7 (3422) 9395
+7 (800) 7004488</f>
        <v>#NAME?</v>
      </c>
      <c r="F2094" s="5" t="s">
        <v>31648</v>
      </c>
      <c r="G2094" s="5" t="s">
        <v>31649</v>
      </c>
      <c r="H2094" s="26">
        <v>22.5</v>
      </c>
      <c r="I2094" s="5" t="s">
        <v>31650</v>
      </c>
      <c r="J2094" s="5" t="s">
        <v>31651</v>
      </c>
      <c r="K2094" s="5" t="s">
        <v>344</v>
      </c>
      <c r="L2094" s="5" t="s">
        <v>31652</v>
      </c>
      <c r="M2094" s="27"/>
      <c r="N2094" s="5" t="s">
        <v>52622</v>
      </c>
      <c r="O2094" s="5" t="str">
        <v>7717115270</v>
      </c>
      <c r="P2094" s="27">
        <v>10000000</v>
      </c>
      <c r="Q2094" s="5" t="s">
        <v>49009</v>
      </c>
      <c r="R2094" s="5"/>
      <c r="S2094" s="5" t="s">
        <v>49010</v>
      </c>
      <c r="T2094" s="28">
        <v>273038000</v>
      </c>
      <c r="U2094" s="28">
        <v>21267000</v>
      </c>
      <c r="V2094" s="28">
        <v>2084385000</v>
      </c>
      <c r="W2094" s="28">
        <v>82071000</v>
      </c>
      <c r="X2094" s="28">
        <v>19718000</v>
      </c>
      <c r="Y2094" s="28">
        <v>6592800000</v>
      </c>
      <c r="Z2094" s="28">
        <v>4111948000</v>
      </c>
      <c r="AA2094" s="28">
        <v>988273000</v>
      </c>
      <c r="AB2094" s="28">
        <v>546775000</v>
      </c>
      <c r="AC2094" s="28">
        <v>1211320000</v>
      </c>
      <c r="AD2094" s="28">
        <v>4121948000</v>
      </c>
      <c r="AE2094" s="28">
        <v>9300016000</v>
      </c>
      <c r="AF2094" s="28">
        <v>844352000</v>
      </c>
      <c r="AG2094" s="11"/>
    </row>
    <row r="2095">
      <c r="A2095" s="7" t="s">
        <v>3794</v>
      </c>
      <c r="B2095" s="5" t="s">
        <v>11777</v>
      </c>
      <c r="C2095" s="5" t="s">
        <v>19624</v>
      </c>
      <c r="D2095" s="5" t="str">
        <v>027411339540</v>
      </c>
      <c r="E2095" s="0" t="e">
        <f>+7 (495) 9409102
+7 (3473) 215443
+7 (3473) 216373
+7 (3473) 216374
+7 (495) 7750255
+7 (495) 7750258
+7 (495) 9409107</f>
        <v>#NAME?</v>
      </c>
      <c r="F2095" s="5" t="s">
        <v>31653</v>
      </c>
      <c r="G2095" s="5" t="s">
        <v>31654</v>
      </c>
      <c r="H2095" s="26">
        <v>19.5</v>
      </c>
      <c r="I2095" s="5"/>
      <c r="J2095" s="5" t="s">
        <v>25512</v>
      </c>
      <c r="K2095" s="5" t="s">
        <v>344</v>
      </c>
      <c r="L2095" s="5" t="s">
        <v>31655</v>
      </c>
      <c r="M2095" s="27"/>
      <c r="N2095" s="5" t="s">
        <v>52623</v>
      </c>
      <c r="O2095" s="5" t="str">
        <v>7709428991</v>
      </c>
      <c r="P2095" s="27">
        <v>100000</v>
      </c>
      <c r="Q2095" s="5" t="s">
        <v>52624</v>
      </c>
      <c r="R2095" s="5"/>
      <c r="S2095" s="5" t="s">
        <v>52625</v>
      </c>
      <c r="T2095" s="28">
        <v>1164000</v>
      </c>
      <c r="U2095" s="28"/>
      <c r="V2095" s="28">
        <v>608167000</v>
      </c>
      <c r="W2095" s="28"/>
      <c r="X2095" s="28">
        <v>197637000</v>
      </c>
      <c r="Y2095" s="28">
        <v>1081697000</v>
      </c>
      <c r="Z2095" s="28">
        <v>369295000</v>
      </c>
      <c r="AA2095" s="28"/>
      <c r="AB2095" s="28"/>
      <c r="AC2095" s="28">
        <v>711559000</v>
      </c>
      <c r="AD2095" s="28">
        <v>369400000</v>
      </c>
      <c r="AE2095" s="28">
        <v>10894676000</v>
      </c>
      <c r="AF2095" s="28">
        <v>314992000</v>
      </c>
      <c r="AG2095" s="11"/>
    </row>
    <row r="2096">
      <c r="A2096" s="7" t="s">
        <v>3795</v>
      </c>
      <c r="B2096" s="5" t="s">
        <v>11778</v>
      </c>
      <c r="C2096" s="5" t="s">
        <v>19625</v>
      </c>
      <c r="D2096" s="5" t="str">
        <v>165717730593</v>
      </c>
      <c r="E2096" s="0" t="e">
        <f>+7 (495) 5322536
+7 (965) 5949485
+7 (495) 1203392
+7 (495) 1976912
+7 (495) 2499396
+7 (800) 3006011
+7 (916) 423625</f>
        <v>#NAME?</v>
      </c>
      <c r="F2096" s="5" t="s">
        <v>31656</v>
      </c>
      <c r="G2096" s="5"/>
      <c r="H2096" s="26">
        <v>4</v>
      </c>
      <c r="I2096" s="5" t="s">
        <v>31657</v>
      </c>
      <c r="J2096" s="5" t="s">
        <v>748</v>
      </c>
      <c r="K2096" s="5" t="s">
        <v>344</v>
      </c>
      <c r="L2096" s="5" t="s">
        <v>29546</v>
      </c>
      <c r="M2096" s="27"/>
      <c r="N2096" s="5"/>
      <c r="O2096" s="5" t="str">
        <v>7707424705</v>
      </c>
      <c r="P2096" s="27">
        <v>500000</v>
      </c>
      <c r="Q2096" s="5" t="s">
        <v>447</v>
      </c>
      <c r="R2096" s="5"/>
      <c r="S2096" s="5" t="s">
        <v>52626</v>
      </c>
      <c r="T2096" s="28">
        <v>99837000</v>
      </c>
      <c r="U2096" s="28"/>
      <c r="V2096" s="28">
        <v>4043619000</v>
      </c>
      <c r="W2096" s="28"/>
      <c r="X2096" s="28">
        <v>7793861000</v>
      </c>
      <c r="Y2096" s="28">
        <v>13065876000</v>
      </c>
      <c r="Z2096" s="28">
        <v>320720000</v>
      </c>
      <c r="AA2096" s="28"/>
      <c r="AB2096" s="28"/>
      <c r="AC2096" s="28">
        <v>12736257000</v>
      </c>
      <c r="AD2096" s="28">
        <v>321220000</v>
      </c>
      <c r="AE2096" s="28">
        <v>3430724000</v>
      </c>
      <c r="AF2096" s="28">
        <v>270567000</v>
      </c>
      <c r="AG2096" s="11"/>
    </row>
    <row r="2097">
      <c r="A2097" s="7" t="s">
        <v>3796</v>
      </c>
      <c r="B2097" s="5" t="s">
        <v>11779</v>
      </c>
      <c r="C2097" s="5" t="s">
        <v>19626</v>
      </c>
      <c r="D2097" s="5" t="str">
        <v>666304282507</v>
      </c>
      <c r="E2097" s="0" t="e">
        <f>+7 (343) 3502203
+7 (912) 2820182</f>
        <v>#NAME?</v>
      </c>
      <c r="F2097" s="5" t="s">
        <v>31658</v>
      </c>
      <c r="G2097" s="5"/>
      <c r="H2097" s="26">
        <v>10.5</v>
      </c>
      <c r="I2097" s="5" t="s">
        <v>31659</v>
      </c>
      <c r="J2097" s="5" t="s">
        <v>26660</v>
      </c>
      <c r="K2097" s="5" t="s">
        <v>344</v>
      </c>
      <c r="L2097" s="5" t="s">
        <v>31660</v>
      </c>
      <c r="M2097" s="27"/>
      <c r="N2097" s="5" t="s">
        <v>52627</v>
      </c>
      <c r="O2097" s="5" t="str">
        <v>6670381056</v>
      </c>
      <c r="P2097" s="27">
        <v>40000</v>
      </c>
      <c r="Q2097" s="5" t="s">
        <v>49009</v>
      </c>
      <c r="R2097" s="5" t="s">
        <v>51992</v>
      </c>
      <c r="S2097" s="5" t="s">
        <v>52628</v>
      </c>
      <c r="T2097" s="28">
        <v>19803068000</v>
      </c>
      <c r="U2097" s="28">
        <v>2131284000</v>
      </c>
      <c r="V2097" s="28">
        <v>5686298000</v>
      </c>
      <c r="W2097" s="28">
        <v>232124000</v>
      </c>
      <c r="X2097" s="28">
        <v>1716924000</v>
      </c>
      <c r="Y2097" s="28">
        <v>48497691000</v>
      </c>
      <c r="Z2097" s="28">
        <v>5033830000</v>
      </c>
      <c r="AA2097" s="28">
        <v>2031600000</v>
      </c>
      <c r="AB2097" s="28">
        <v>8311798000</v>
      </c>
      <c r="AC2097" s="28">
        <v>25000504000</v>
      </c>
      <c r="AD2097" s="28">
        <v>5033870000</v>
      </c>
      <c r="AE2097" s="28">
        <v>61381865000</v>
      </c>
      <c r="AF2097" s="28">
        <v>2817843000</v>
      </c>
      <c r="AG2097" s="11"/>
    </row>
    <row r="2098">
      <c r="A2098" s="7" t="s">
        <v>3797</v>
      </c>
      <c r="B2098" s="5" t="s">
        <v>11780</v>
      </c>
      <c r="C2098" s="5" t="s">
        <v>19627</v>
      </c>
      <c r="D2098" s="5" t="str">
        <v>667324853528</v>
      </c>
      <c r="E2098" s="0" t="e">
        <f>+7 (343) 2690062
+7 (343) 2227245
+7 (343) 2151300
+7 (343) 2151309
+7 (343) 2151330
+7 (343) 2151357
+7 (343) 2151443
+7 (343) 2151479
+7 (343) 2151818
+7 (343) 2690000
+7 (343) 2690016
+7 (3432) 9161</f>
        <v>#NAME?</v>
      </c>
      <c r="F2098" s="5" t="s">
        <v>31661</v>
      </c>
      <c r="G2098" s="5" t="s">
        <v>31662</v>
      </c>
      <c r="H2098" s="26">
        <v>24</v>
      </c>
      <c r="I2098" s="5" t="s">
        <v>31663</v>
      </c>
      <c r="J2098" s="5" t="s">
        <v>31664</v>
      </c>
      <c r="K2098" s="5" t="s">
        <v>344</v>
      </c>
      <c r="L2098" s="5" t="s">
        <v>31665</v>
      </c>
      <c r="M2098" s="27">
        <v>6496531</v>
      </c>
      <c r="N2098" s="5" t="s">
        <v>52629</v>
      </c>
      <c r="O2098" s="5" t="str">
        <v>6661079603</v>
      </c>
      <c r="P2098" s="27">
        <v>19000</v>
      </c>
      <c r="Q2098" s="5"/>
      <c r="R2098" s="5"/>
      <c r="S2098" s="5" t="s">
        <v>49162</v>
      </c>
      <c r="T2098" s="28">
        <v>4913023000</v>
      </c>
      <c r="U2098" s="28"/>
      <c r="V2098" s="28">
        <v>899153000</v>
      </c>
      <c r="W2098" s="28"/>
      <c r="X2098" s="28">
        <v>1069616000</v>
      </c>
      <c r="Y2098" s="28">
        <v>10297762000</v>
      </c>
      <c r="Z2098" s="28">
        <v>677293000</v>
      </c>
      <c r="AA2098" s="28">
        <v>6779853000</v>
      </c>
      <c r="AB2098" s="28"/>
      <c r="AC2098" s="28">
        <v>2812992000</v>
      </c>
      <c r="AD2098" s="28">
        <v>677312000</v>
      </c>
      <c r="AE2098" s="28">
        <v>7560579000</v>
      </c>
      <c r="AF2098" s="28">
        <v>550628000</v>
      </c>
      <c r="AG2098" s="11"/>
    </row>
    <row r="2099">
      <c r="A2099" s="7" t="s">
        <v>3798</v>
      </c>
      <c r="B2099" s="5" t="s">
        <v>11781</v>
      </c>
      <c r="C2099" s="5" t="s">
        <v>19628</v>
      </c>
      <c r="D2099" s="5"/>
      <c r="E2099" s="0" t="e">
        <f>+7 (47353) 39136
+7 (47353) 39137
+7 (47353) 51392
+7 (47353) 51432
+7 (47353) 51552
+7 (495) 9334400</f>
        <v>#NAME?</v>
      </c>
      <c r="F2099" s="5" t="s">
        <v>31666</v>
      </c>
      <c r="G2099" s="5"/>
      <c r="H2099" s="26">
        <v>19</v>
      </c>
      <c r="I2099" s="5"/>
      <c r="J2099" s="5" t="s">
        <v>25994</v>
      </c>
      <c r="K2099" s="5" t="s">
        <v>344</v>
      </c>
      <c r="L2099" s="5" t="s">
        <v>31667</v>
      </c>
      <c r="M2099" s="27"/>
      <c r="N2099" s="5"/>
      <c r="O2099" s="5" t="str">
        <v>3617006819</v>
      </c>
      <c r="P2099" s="27">
        <v>550718000</v>
      </c>
      <c r="Q2099" s="5" t="s">
        <v>49009</v>
      </c>
      <c r="R2099" s="5"/>
      <c r="S2099" s="5" t="s">
        <v>49066</v>
      </c>
      <c r="T2099" s="28">
        <v>1086720000</v>
      </c>
      <c r="U2099" s="28">
        <v>401000000</v>
      </c>
      <c r="V2099" s="28">
        <v>948928000</v>
      </c>
      <c r="W2099" s="28">
        <v>43306000</v>
      </c>
      <c r="X2099" s="28">
        <v>996000</v>
      </c>
      <c r="Y2099" s="28">
        <v>6955563000</v>
      </c>
      <c r="Z2099" s="28">
        <v>4281726000</v>
      </c>
      <c r="AA2099" s="28">
        <v>434812000</v>
      </c>
      <c r="AB2099" s="28">
        <v>51000</v>
      </c>
      <c r="AC2099" s="28">
        <v>1496103000</v>
      </c>
      <c r="AD2099" s="28">
        <v>4915052000</v>
      </c>
      <c r="AE2099" s="28">
        <v>7797893000</v>
      </c>
      <c r="AF2099" s="28">
        <v>2038899000</v>
      </c>
      <c r="AG2099" s="11"/>
    </row>
    <row r="2100">
      <c r="A2100" s="7" t="s">
        <v>3799</v>
      </c>
      <c r="B2100" s="5" t="s">
        <v>11782</v>
      </c>
      <c r="C2100" s="5" t="s">
        <v>19629</v>
      </c>
      <c r="D2100" s="5" t="str">
        <v>481300969520</v>
      </c>
      <c r="E2100" s="0" t="e">
        <f>+7 (47467) 56972
+7 (47467) 56982
+7 (47467) 59831
+7 (47467) 90838
+7 (906) 5932912
+7 (919) 2509985</f>
        <v>#NAME?</v>
      </c>
      <c r="F2100" s="5" t="s">
        <v>31668</v>
      </c>
      <c r="G2100" s="5"/>
      <c r="H2100" s="26">
        <v>11.5</v>
      </c>
      <c r="I2100" s="5" t="s">
        <v>31669</v>
      </c>
      <c r="J2100" s="5" t="s">
        <v>25829</v>
      </c>
      <c r="K2100" s="5" t="s">
        <v>344</v>
      </c>
      <c r="L2100" s="5" t="s">
        <v>31670</v>
      </c>
      <c r="M2100" s="27">
        <v>2722854</v>
      </c>
      <c r="N2100" s="5"/>
      <c r="O2100" s="5" t="str">
        <v>4807028763</v>
      </c>
      <c r="P2100" s="27">
        <v>10000</v>
      </c>
      <c r="Q2100" s="5" t="s">
        <v>49324</v>
      </c>
      <c r="R2100" s="5"/>
      <c r="S2100" s="5" t="s">
        <v>52630</v>
      </c>
      <c r="T2100" s="28">
        <v>2317993000</v>
      </c>
      <c r="U2100" s="28"/>
      <c r="V2100" s="28">
        <v>1443012000</v>
      </c>
      <c r="W2100" s="28"/>
      <c r="X2100" s="28">
        <v>180686000</v>
      </c>
      <c r="Y2100" s="28">
        <v>5258227000</v>
      </c>
      <c r="Z2100" s="28">
        <v>2790412000</v>
      </c>
      <c r="AA2100" s="28">
        <v>664799000</v>
      </c>
      <c r="AB2100" s="28">
        <v>999946000</v>
      </c>
      <c r="AC2100" s="28">
        <v>1490096000</v>
      </c>
      <c r="AD2100" s="28">
        <v>2790422000</v>
      </c>
      <c r="AE2100" s="28">
        <v>3341614000</v>
      </c>
      <c r="AF2100" s="28">
        <v>1233721000</v>
      </c>
      <c r="AG2100" s="11"/>
    </row>
    <row r="2101">
      <c r="A2101" s="7" t="s">
        <v>3800</v>
      </c>
      <c r="B2101" s="5" t="s">
        <v>11783</v>
      </c>
      <c r="C2101" s="5" t="s">
        <v>19630</v>
      </c>
      <c r="D2101" s="5" t="str">
        <v>500601639719</v>
      </c>
      <c r="E2101" s="0" t="e">
        <f>+7 (495) 4119444
+7 (495) 4119939
+7 (495) 6603546
+7 (495) 7847730
+7 (495) 9269236
+7 (800) 2009939</f>
        <v>#NAME?</v>
      </c>
      <c r="F2101" s="5" t="s">
        <v>31671</v>
      </c>
      <c r="G2101" s="5" t="s">
        <v>31672</v>
      </c>
      <c r="H2101" s="26">
        <v>22.5</v>
      </c>
      <c r="I2101" s="5" t="s">
        <v>31673</v>
      </c>
      <c r="J2101" s="5" t="s">
        <v>599</v>
      </c>
      <c r="K2101" s="5" t="s">
        <v>344</v>
      </c>
      <c r="L2101" s="5"/>
      <c r="M2101" s="27">
        <v>2292431</v>
      </c>
      <c r="N2101" s="5" t="s">
        <v>52631</v>
      </c>
      <c r="O2101" s="5" t="str">
        <v>7728219369</v>
      </c>
      <c r="P2101" s="27">
        <v>28612000</v>
      </c>
      <c r="Q2101" s="5" t="s">
        <v>52632</v>
      </c>
      <c r="R2101" s="5"/>
      <c r="S2101" s="5" t="s">
        <v>52633</v>
      </c>
      <c r="T2101" s="28">
        <v>183101000</v>
      </c>
      <c r="U2101" s="28">
        <v>21112000</v>
      </c>
      <c r="V2101" s="28">
        <v>964171000</v>
      </c>
      <c r="W2101" s="28">
        <v>12380000</v>
      </c>
      <c r="X2101" s="28">
        <v>8536000</v>
      </c>
      <c r="Y2101" s="28">
        <v>1334713000</v>
      </c>
      <c r="Z2101" s="28">
        <v>68983000</v>
      </c>
      <c r="AA2101" s="28"/>
      <c r="AB2101" s="28">
        <v>483165000</v>
      </c>
      <c r="AC2101" s="28">
        <v>1083231000</v>
      </c>
      <c r="AD2101" s="28">
        <v>143374000</v>
      </c>
      <c r="AE2101" s="28">
        <v>3328265000</v>
      </c>
      <c r="AF2101" s="28">
        <v>39865000</v>
      </c>
      <c r="AG2101" s="11"/>
    </row>
    <row r="2102">
      <c r="A2102" s="7" t="s">
        <v>3801</v>
      </c>
      <c r="B2102" s="5" t="s">
        <v>11784</v>
      </c>
      <c r="C2102" s="5" t="s">
        <v>19631</v>
      </c>
      <c r="D2102" s="5" t="str">
        <v>771534434553</v>
      </c>
      <c r="E2102" s="0" t="e">
        <f>+7 (495) 6092729</f>
        <v>#NAME?</v>
      </c>
      <c r="F2102" s="5" t="s">
        <v>31674</v>
      </c>
      <c r="G2102" s="5" t="s">
        <v>31675</v>
      </c>
      <c r="H2102" s="26">
        <v>4</v>
      </c>
      <c r="I2102" s="5" t="s">
        <v>31676</v>
      </c>
      <c r="J2102" s="5" t="s">
        <v>27497</v>
      </c>
      <c r="K2102" s="5" t="s">
        <v>355</v>
      </c>
      <c r="L2102" s="5" t="s">
        <v>31677</v>
      </c>
      <c r="M2102" s="27"/>
      <c r="N2102" s="5"/>
      <c r="O2102" s="5" t="str">
        <v>7707423003</v>
      </c>
      <c r="P2102" s="27">
        <v>266667</v>
      </c>
      <c r="Q2102" s="5" t="s">
        <v>52634</v>
      </c>
      <c r="R2102" s="5"/>
      <c r="S2102" s="5" t="s">
        <v>52635</v>
      </c>
      <c r="T2102" s="28">
        <v>11464000</v>
      </c>
      <c r="U2102" s="28"/>
      <c r="V2102" s="28">
        <v>89270000</v>
      </c>
      <c r="W2102" s="28"/>
      <c r="X2102" s="28">
        <v>3092000</v>
      </c>
      <c r="Y2102" s="28">
        <v>395535000</v>
      </c>
      <c r="Z2102" s="28">
        <v>106983000</v>
      </c>
      <c r="AA2102" s="28"/>
      <c r="AB2102" s="28">
        <v>107742000</v>
      </c>
      <c r="AC2102" s="28">
        <v>275828000</v>
      </c>
      <c r="AD2102" s="28">
        <v>107250000</v>
      </c>
      <c r="AE2102" s="28">
        <v>3754653000</v>
      </c>
      <c r="AF2102" s="28">
        <v>14579000</v>
      </c>
      <c r="AG2102" s="11"/>
    </row>
    <row r="2103">
      <c r="A2103" s="7" t="s">
        <v>3802</v>
      </c>
      <c r="B2103" s="5" t="s">
        <v>11785</v>
      </c>
      <c r="C2103" s="5" t="s">
        <v>18544</v>
      </c>
      <c r="D2103" s="5" t="str">
        <v>771523000522</v>
      </c>
      <c r="E2103" s="0" t="e">
        <f>+7 (48741) 66560
+7 (495) 7870222
+7 (48741) 66429
+7 (48741) 66436
+7 (48741) 66557
+7 (48741) 66575
+7 (48741) 66591
+7 (960) 6193942
+7 (963) 2242793</f>
        <v>#NAME?</v>
      </c>
      <c r="F2103" s="5" t="s">
        <v>31678</v>
      </c>
      <c r="G2103" s="5"/>
      <c r="H2103" s="26">
        <v>29.5</v>
      </c>
      <c r="I2103" s="5"/>
      <c r="J2103" s="5" t="s">
        <v>27917</v>
      </c>
      <c r="K2103" s="5" t="s">
        <v>344</v>
      </c>
      <c r="L2103" s="5" t="s">
        <v>31679</v>
      </c>
      <c r="M2103" s="27"/>
      <c r="N2103" s="5"/>
      <c r="O2103" s="5" t="str">
        <v>7113001079</v>
      </c>
      <c r="P2103" s="27">
        <v>99999950</v>
      </c>
      <c r="Q2103" s="5" t="s">
        <v>49009</v>
      </c>
      <c r="R2103" s="5"/>
      <c r="S2103" s="5" t="s">
        <v>49028</v>
      </c>
      <c r="T2103" s="28">
        <v>1220226000</v>
      </c>
      <c r="U2103" s="28"/>
      <c r="V2103" s="28">
        <v>672658000</v>
      </c>
      <c r="W2103" s="28"/>
      <c r="X2103" s="28">
        <v>33247000</v>
      </c>
      <c r="Y2103" s="28">
        <v>2225376000</v>
      </c>
      <c r="Z2103" s="28">
        <v>1466712000</v>
      </c>
      <c r="AA2103" s="28"/>
      <c r="AB2103" s="28"/>
      <c r="AC2103" s="28">
        <v>315894000</v>
      </c>
      <c r="AD2103" s="28">
        <v>1887736000</v>
      </c>
      <c r="AE2103" s="28">
        <v>4605908000</v>
      </c>
      <c r="AF2103" s="28">
        <v>310649000</v>
      </c>
      <c r="AG2103" s="11"/>
    </row>
    <row r="2104">
      <c r="A2104" s="7" t="s">
        <v>3803</v>
      </c>
      <c r="B2104" s="5" t="s">
        <v>11786</v>
      </c>
      <c r="C2104" s="5" t="s">
        <v>19632</v>
      </c>
      <c r="D2104" s="5"/>
      <c r="E2104" s="0" t="e">
        <f>+7 (495) 1373267
+7 (495) 5105414
+7 (495) 6444466
+7 (495) 7950303
+7 (495) 9336640
+7 (495) 9336644
+7 (495) 9336645
+7 (495) 9336647
+7 (495) 9336654
+7 (495) 9336655
+7 (495) 9672002</f>
        <v>#NAME?</v>
      </c>
      <c r="F2104" s="5" t="s">
        <v>31680</v>
      </c>
      <c r="G2104" s="5" t="s">
        <v>31681</v>
      </c>
      <c r="H2104" s="26">
        <v>28.5</v>
      </c>
      <c r="I2104" s="5" t="s">
        <v>31682</v>
      </c>
      <c r="J2104" s="5" t="s">
        <v>29848</v>
      </c>
      <c r="K2104" s="5" t="s">
        <v>344</v>
      </c>
      <c r="L2104" s="5" t="s">
        <v>31683</v>
      </c>
      <c r="M2104" s="27"/>
      <c r="N2104" s="5" t="s">
        <v>49923</v>
      </c>
      <c r="O2104" s="5" t="str">
        <v>7710025517</v>
      </c>
      <c r="P2104" s="27">
        <v>8560000</v>
      </c>
      <c r="Q2104" s="5" t="s">
        <v>49324</v>
      </c>
      <c r="R2104" s="5" t="s">
        <v>52637</v>
      </c>
      <c r="S2104" s="5" t="s">
        <v>52638</v>
      </c>
      <c r="T2104" s="28">
        <v>6894427000</v>
      </c>
      <c r="U2104" s="28">
        <v>3340215000</v>
      </c>
      <c r="V2104" s="28">
        <v>2216116000</v>
      </c>
      <c r="W2104" s="28">
        <v>555520000</v>
      </c>
      <c r="X2104" s="28">
        <v>1271185000</v>
      </c>
      <c r="Y2104" s="28">
        <v>22454670000</v>
      </c>
      <c r="Z2104" s="28">
        <v>9626562000</v>
      </c>
      <c r="AA2104" s="28"/>
      <c r="AB2104" s="28">
        <v>2559662000</v>
      </c>
      <c r="AC2104" s="28">
        <v>12153456000</v>
      </c>
      <c r="AD2104" s="28">
        <v>9707674000</v>
      </c>
      <c r="AE2104" s="28">
        <v>17624495000</v>
      </c>
      <c r="AF2104" s="28">
        <v>5463268000</v>
      </c>
      <c r="AG2104" s="11"/>
    </row>
    <row r="2105">
      <c r="A2105" s="7" t="s">
        <v>3804</v>
      </c>
      <c r="B2105" s="5" t="s">
        <v>11787</v>
      </c>
      <c r="C2105" s="5" t="s">
        <v>19633</v>
      </c>
      <c r="D2105" s="5" t="str">
        <v>231108386821</v>
      </c>
      <c r="E2105" s="0" t="e">
        <f>+7 (495) 5680635</f>
        <v>#NAME?</v>
      </c>
      <c r="F2105" s="5"/>
      <c r="G2105" s="5"/>
      <c r="H2105" s="26">
        <v>3.5</v>
      </c>
      <c r="I2105" s="5" t="s">
        <v>31684</v>
      </c>
      <c r="J2105" s="5" t="s">
        <v>364</v>
      </c>
      <c r="K2105" s="5" t="s">
        <v>355</v>
      </c>
      <c r="L2105" s="5"/>
      <c r="M2105" s="27">
        <v>10050449</v>
      </c>
      <c r="N2105" s="5"/>
      <c r="O2105" s="5" t="str">
        <v>7722476169</v>
      </c>
      <c r="P2105" s="27">
        <v>100000</v>
      </c>
      <c r="Q2105" s="5" t="s">
        <v>52639</v>
      </c>
      <c r="R2105" s="5"/>
      <c r="S2105" s="5" t="s">
        <v>52640</v>
      </c>
      <c r="T2105" s="28">
        <v>76018000</v>
      </c>
      <c r="U2105" s="28"/>
      <c r="V2105" s="28">
        <v>1731387000</v>
      </c>
      <c r="W2105" s="28"/>
      <c r="X2105" s="28">
        <v>501537000</v>
      </c>
      <c r="Y2105" s="28">
        <v>8322624000</v>
      </c>
      <c r="Z2105" s="28">
        <v>15369000</v>
      </c>
      <c r="AA2105" s="28">
        <v>601115000</v>
      </c>
      <c r="AB2105" s="28">
        <v>124017000</v>
      </c>
      <c r="AC2105" s="28">
        <v>7517094000</v>
      </c>
      <c r="AD2105" s="28">
        <v>15469000</v>
      </c>
      <c r="AE2105" s="28">
        <v>6637985000</v>
      </c>
      <c r="AF2105" s="28">
        <v>187047000</v>
      </c>
      <c r="AG2105" s="11"/>
    </row>
    <row r="2106">
      <c r="A2106" s="7" t="s">
        <v>3805</v>
      </c>
      <c r="B2106" s="5" t="s">
        <v>11788</v>
      </c>
      <c r="C2106" s="5" t="s">
        <v>19634</v>
      </c>
      <c r="D2106" s="5" t="str">
        <v>772733223326</v>
      </c>
      <c r="E2106" s="0" t="e">
        <f>+7 (499) 9425872
+7 (82144) 21030
+7 (82144) 42832
+7 (82144) 45622
+7 (82144) 46222</f>
        <v>#NAME?</v>
      </c>
      <c r="F2106" s="5"/>
      <c r="G2106" s="5"/>
      <c r="H2106" s="26">
        <v>23.5</v>
      </c>
      <c r="I2106" s="5" t="s">
        <v>31685</v>
      </c>
      <c r="J2106" s="5" t="s">
        <v>31686</v>
      </c>
      <c r="K2106" s="5" t="s">
        <v>380</v>
      </c>
      <c r="L2106" s="5"/>
      <c r="M2106" s="27">
        <v>1317570</v>
      </c>
      <c r="N2106" s="5"/>
      <c r="O2106" s="5" t="str">
        <v>5254022399</v>
      </c>
      <c r="P2106" s="27">
        <v>630000000</v>
      </c>
      <c r="Q2106" s="5" t="s">
        <v>52641</v>
      </c>
      <c r="R2106" s="5" t="s">
        <v>52642</v>
      </c>
      <c r="S2106" s="5" t="s">
        <v>49371</v>
      </c>
      <c r="T2106" s="28">
        <v>1027850000</v>
      </c>
      <c r="U2106" s="28">
        <v>464701000</v>
      </c>
      <c r="V2106" s="28">
        <v>6568989000</v>
      </c>
      <c r="W2106" s="28"/>
      <c r="X2106" s="28">
        <v>362000</v>
      </c>
      <c r="Y2106" s="28">
        <v>11631644000</v>
      </c>
      <c r="Z2106" s="28">
        <v>-9202055000</v>
      </c>
      <c r="AA2106" s="28"/>
      <c r="AB2106" s="28">
        <v>12759153000</v>
      </c>
      <c r="AC2106" s="28">
        <v>19944764000</v>
      </c>
      <c r="AD2106" s="28">
        <v>-8572055000</v>
      </c>
      <c r="AE2106" s="28">
        <v>7788714000</v>
      </c>
      <c r="AF2106" s="28">
        <v>-219956000</v>
      </c>
      <c r="AG2106" s="11"/>
    </row>
    <row r="2107">
      <c r="A2107" s="7" t="s">
        <v>3806</v>
      </c>
      <c r="B2107" s="5" t="s">
        <v>11789</v>
      </c>
      <c r="C2107" s="5" t="s">
        <v>19635</v>
      </c>
      <c r="D2107" s="5" t="str">
        <v>616305825024</v>
      </c>
      <c r="E2107" s="0" t="e">
        <f>+7 (863) 3102240
+7 (8632) 70459
+7 (8632) 220205
+7 (8632) 220550
+7 (8632) 226427
+7 (8632) 227426
+7 (8632) 235687
+7 (8632) 253673
+7 (8632) 256354
+7 (8632) 256478
+7 (8632) 256593
+7 (8632) 263015
+7 (800) 3013070
+7 (863) 2697969
+7 (8632) 235410</f>
        <v>#NAME?</v>
      </c>
      <c r="F2107" s="5" t="s">
        <v>31687</v>
      </c>
      <c r="G2107" s="5"/>
      <c r="H2107" s="26">
        <v>20</v>
      </c>
      <c r="I2107" s="5"/>
      <c r="J2107" s="5" t="s">
        <v>27802</v>
      </c>
      <c r="K2107" s="5" t="s">
        <v>355</v>
      </c>
      <c r="L2107" s="5"/>
      <c r="M2107" s="27">
        <v>8230362911</v>
      </c>
      <c r="N2107" s="5" t="s">
        <v>52643</v>
      </c>
      <c r="O2107" s="5" t="str">
        <v>6163089292</v>
      </c>
      <c r="P2107" s="27">
        <v>4952407000</v>
      </c>
      <c r="Q2107" s="5" t="s">
        <v>52644</v>
      </c>
      <c r="R2107" s="5"/>
      <c r="S2107" s="5" t="s">
        <v>50262</v>
      </c>
      <c r="T2107" s="28">
        <v>15556879000</v>
      </c>
      <c r="U2107" s="28">
        <v>1802125000</v>
      </c>
      <c r="V2107" s="28">
        <v>2254895000</v>
      </c>
      <c r="W2107" s="28">
        <v>122177000</v>
      </c>
      <c r="X2107" s="28">
        <v>282126000</v>
      </c>
      <c r="Y2107" s="28">
        <v>21042949000</v>
      </c>
      <c r="Z2107" s="28">
        <v>1318145000</v>
      </c>
      <c r="AA2107" s="28">
        <v>2563325000</v>
      </c>
      <c r="AB2107" s="28">
        <v>3692301000</v>
      </c>
      <c r="AC2107" s="28">
        <v>8778853000</v>
      </c>
      <c r="AD2107" s="28">
        <v>9422219000</v>
      </c>
      <c r="AE2107" s="28">
        <v>16674127000</v>
      </c>
      <c r="AF2107" s="28">
        <v>174424000</v>
      </c>
      <c r="AG2107" s="11"/>
    </row>
    <row r="2108">
      <c r="A2108" s="7" t="s">
        <v>3807</v>
      </c>
      <c r="B2108" s="5" t="s">
        <v>11790</v>
      </c>
      <c r="C2108" s="5" t="s">
        <v>17665</v>
      </c>
      <c r="D2108" s="5"/>
      <c r="E2108" s="0" t="e">
        <f>+7 (390) 2202650
+7 (390) 2202978
+7 (390) 2215888
+7 (390) 2228902
+7 (390) 2229059
+7 (390) 2229127
+7 (390) 2231031
+7 (390) 2248957
+7 (390) 2303130
+7 (390) 2313013
+7 (390) 2313021
+7 (390) 2313045
+7 (390) 2313131
+7 (390) 2223665
+7 (390) 2313032</f>
        <v>#NAME?</v>
      </c>
      <c r="F2108" s="5" t="s">
        <v>31688</v>
      </c>
      <c r="G2108" s="5"/>
      <c r="H2108" s="26">
        <v>17.5</v>
      </c>
      <c r="I2108" s="5"/>
      <c r="J2108" s="5" t="s">
        <v>25295</v>
      </c>
      <c r="K2108" s="5" t="s">
        <v>344</v>
      </c>
      <c r="L2108" s="5" t="s">
        <v>31689</v>
      </c>
      <c r="M2108" s="27">
        <v>43581623</v>
      </c>
      <c r="N2108" s="5" t="s">
        <v>52645</v>
      </c>
      <c r="O2108" s="5" t="str">
        <v>1901067718</v>
      </c>
      <c r="P2108" s="27">
        <v>2169114614</v>
      </c>
      <c r="Q2108" s="5" t="s">
        <v>52646</v>
      </c>
      <c r="R2108" s="5" t="s">
        <v>52647</v>
      </c>
      <c r="S2108" s="5" t="s">
        <v>52648</v>
      </c>
      <c r="T2108" s="28">
        <v>37020253000</v>
      </c>
      <c r="U2108" s="28">
        <v>4103438000</v>
      </c>
      <c r="V2108" s="28">
        <v>4754837000</v>
      </c>
      <c r="W2108" s="28"/>
      <c r="X2108" s="28">
        <v>1450661000</v>
      </c>
      <c r="Y2108" s="28">
        <v>66086674000</v>
      </c>
      <c r="Z2108" s="28">
        <v>15165449000</v>
      </c>
      <c r="AA2108" s="28">
        <v>1551020000</v>
      </c>
      <c r="AB2108" s="28">
        <v>32485841000</v>
      </c>
      <c r="AC2108" s="28">
        <v>39581943000</v>
      </c>
      <c r="AD2108" s="28">
        <v>22736365000</v>
      </c>
      <c r="AE2108" s="28">
        <v>35257136000</v>
      </c>
      <c r="AF2108" s="28">
        <v>11069726000</v>
      </c>
      <c r="AG2108" s="11"/>
    </row>
    <row r="2109">
      <c r="A2109" s="7" t="s">
        <v>3808</v>
      </c>
      <c r="B2109" s="5" t="s">
        <v>11791</v>
      </c>
      <c r="C2109" s="5" t="s">
        <v>19636</v>
      </c>
      <c r="D2109" s="5" t="str">
        <v>027610046756</v>
      </c>
      <c r="F2109" s="5" t="s">
        <v>31690</v>
      </c>
      <c r="G2109" s="5"/>
      <c r="H2109" s="26">
        <v>8.5</v>
      </c>
      <c r="I2109" s="5" t="s">
        <v>31691</v>
      </c>
      <c r="J2109" s="5" t="s">
        <v>373</v>
      </c>
      <c r="K2109" s="5" t="s">
        <v>344</v>
      </c>
      <c r="L2109" s="5" t="s">
        <v>31692</v>
      </c>
      <c r="M2109" s="27"/>
      <c r="N2109" s="5"/>
      <c r="O2109" s="5" t="str">
        <v>0273097601</v>
      </c>
      <c r="P2109" s="27">
        <v>20000</v>
      </c>
      <c r="Q2109" s="5" t="s">
        <v>49822</v>
      </c>
      <c r="R2109" s="5"/>
      <c r="S2109" s="5" t="s">
        <v>52649</v>
      </c>
      <c r="T2109" s="28">
        <v>17470000</v>
      </c>
      <c r="U2109" s="28"/>
      <c r="V2109" s="28">
        <v>167571000</v>
      </c>
      <c r="W2109" s="28">
        <v>33032000</v>
      </c>
      <c r="X2109" s="28">
        <v>530000</v>
      </c>
      <c r="Y2109" s="28">
        <v>232930000</v>
      </c>
      <c r="Z2109" s="28">
        <v>38831000</v>
      </c>
      <c r="AA2109" s="28">
        <v>4380000</v>
      </c>
      <c r="AB2109" s="28">
        <v>509000</v>
      </c>
      <c r="AC2109" s="28">
        <v>179280000</v>
      </c>
      <c r="AD2109" s="28">
        <v>38851000</v>
      </c>
      <c r="AE2109" s="28">
        <v>7185687000</v>
      </c>
      <c r="AF2109" s="28">
        <v>41341000</v>
      </c>
      <c r="AG2109" s="11"/>
    </row>
    <row r="2110">
      <c r="A2110" s="7" t="s">
        <v>3809</v>
      </c>
      <c r="B2110" s="5" t="s">
        <v>11792</v>
      </c>
      <c r="C2110" s="5" t="s">
        <v>19637</v>
      </c>
      <c r="D2110" s="5" t="str">
        <v>720406782632</v>
      </c>
      <c r="E2110" s="0" t="e">
        <f>+7 (3466) 634311
+7 (3466) 634314
+7 (3466) 634315
+7 (3466) 634337
+7 (345) 2532027
+7 (34663) 10343
+7 (34663) 11616</f>
        <v>#NAME?</v>
      </c>
      <c r="F2110" s="5" t="s">
        <v>31693</v>
      </c>
      <c r="G2110" s="5" t="s">
        <v>31694</v>
      </c>
      <c r="H2110" s="26">
        <v>23</v>
      </c>
      <c r="I2110" s="5"/>
      <c r="J2110" s="5" t="s">
        <v>28226</v>
      </c>
      <c r="K2110" s="5" t="s">
        <v>344</v>
      </c>
      <c r="L2110" s="5" t="s">
        <v>31695</v>
      </c>
      <c r="M2110" s="27"/>
      <c r="N2110" s="5" t="s">
        <v>52650</v>
      </c>
      <c r="O2110" s="5" t="str">
        <v>8603093264</v>
      </c>
      <c r="P2110" s="27">
        <v>200000000</v>
      </c>
      <c r="Q2110" s="5" t="s">
        <v>52652</v>
      </c>
      <c r="R2110" s="5"/>
      <c r="S2110" s="5" t="s">
        <v>51433</v>
      </c>
      <c r="T2110" s="28">
        <v>3011651000</v>
      </c>
      <c r="U2110" s="28"/>
      <c r="V2110" s="28">
        <v>3351128000</v>
      </c>
      <c r="W2110" s="28">
        <v>600000000</v>
      </c>
      <c r="X2110" s="28">
        <v>126086000</v>
      </c>
      <c r="Y2110" s="28">
        <v>8013236000</v>
      </c>
      <c r="Z2110" s="28">
        <v>3414537000</v>
      </c>
      <c r="AA2110" s="28">
        <v>17590000</v>
      </c>
      <c r="AB2110" s="28">
        <v>416000</v>
      </c>
      <c r="AC2110" s="28">
        <v>3851237000</v>
      </c>
      <c r="AD2110" s="28">
        <v>3624537000</v>
      </c>
      <c r="AE2110" s="28">
        <v>15275075000</v>
      </c>
      <c r="AF2110" s="28">
        <v>419834000</v>
      </c>
      <c r="AG2110" s="11"/>
    </row>
    <row r="2111">
      <c r="A2111" s="7" t="s">
        <v>3810</v>
      </c>
      <c r="B2111" s="5" t="s">
        <v>11793</v>
      </c>
      <c r="C2111" s="5" t="s">
        <v>19638</v>
      </c>
      <c r="D2111" s="5"/>
      <c r="E2111" s="0" t="e">
        <f>+7 (48439) 61106
+7 (48439) 61902
+7 (920) 8875866
+7 (930) 7581233</f>
        <v>#NAME?</v>
      </c>
      <c r="F2111" s="5"/>
      <c r="G2111" s="5"/>
      <c r="H2111" s="26">
        <v>7.5</v>
      </c>
      <c r="I2111" s="5"/>
      <c r="J2111" s="5" t="s">
        <v>25231</v>
      </c>
      <c r="K2111" s="5" t="s">
        <v>344</v>
      </c>
      <c r="L2111" s="5" t="s">
        <v>31696</v>
      </c>
      <c r="M2111" s="27"/>
      <c r="N2111" s="5"/>
      <c r="O2111" s="5" t="str">
        <v>4025446845</v>
      </c>
      <c r="P2111" s="27">
        <v>131060000</v>
      </c>
      <c r="Q2111" s="5"/>
      <c r="R2111" s="5"/>
      <c r="S2111" s="5" t="s">
        <v>49029</v>
      </c>
      <c r="T2111" s="28">
        <v>66316000</v>
      </c>
      <c r="U2111" s="28"/>
      <c r="V2111" s="28">
        <v>160811000</v>
      </c>
      <c r="W2111" s="28"/>
      <c r="X2111" s="28">
        <v>53236000</v>
      </c>
      <c r="Y2111" s="28">
        <v>869973000</v>
      </c>
      <c r="Z2111" s="28">
        <v>508837000</v>
      </c>
      <c r="AA2111" s="28"/>
      <c r="AB2111" s="28"/>
      <c r="AC2111" s="28">
        <v>164593000</v>
      </c>
      <c r="AD2111" s="28">
        <v>646450000</v>
      </c>
      <c r="AE2111" s="28">
        <v>3643001000</v>
      </c>
      <c r="AF2111" s="28">
        <v>241463000</v>
      </c>
      <c r="AG2111" s="11"/>
    </row>
    <row r="2112">
      <c r="A2112" s="7" t="s">
        <v>3811</v>
      </c>
      <c r="B2112" s="5" t="s">
        <v>11794</v>
      </c>
      <c r="C2112" s="5" t="s">
        <v>19639</v>
      </c>
      <c r="D2112" s="5"/>
      <c r="E2112" s="0" t="e">
        <f>+7 (391) 2591488
+7 (391) 2527225
+7 (391) 2591963
+7 (391) 2591965
+7 (391) 2591403
+7 (391) 2591469
+7 (391) 2591886
+7 (391) 2591926
+7 (391) 2591992</f>
        <v>#NAME?</v>
      </c>
      <c r="F2112" s="5" t="s">
        <v>31697</v>
      </c>
      <c r="G2112" s="5" t="s">
        <v>31698</v>
      </c>
      <c r="H2112" s="26">
        <v>29</v>
      </c>
      <c r="I2112" s="5"/>
      <c r="J2112" s="5" t="s">
        <v>26992</v>
      </c>
      <c r="K2112" s="5" t="s">
        <v>344</v>
      </c>
      <c r="L2112" s="5"/>
      <c r="M2112" s="27">
        <v>3676830</v>
      </c>
      <c r="N2112" s="5" t="s">
        <v>52653</v>
      </c>
      <c r="O2112" s="5" t="str">
        <v>2451000582</v>
      </c>
      <c r="P2112" s="27">
        <v>30842000</v>
      </c>
      <c r="Q2112" s="5" t="s">
        <v>52654</v>
      </c>
      <c r="R2112" s="5"/>
      <c r="S2112" s="5" t="s">
        <v>52655</v>
      </c>
      <c r="T2112" s="28">
        <v>2960441000</v>
      </c>
      <c r="U2112" s="28">
        <v>1066591000</v>
      </c>
      <c r="V2112" s="28">
        <v>391945000</v>
      </c>
      <c r="W2112" s="28">
        <v>2169468000</v>
      </c>
      <c r="X2112" s="28">
        <v>3840000</v>
      </c>
      <c r="Y2112" s="28">
        <v>7331796000</v>
      </c>
      <c r="Z2112" s="28">
        <v>3127455000</v>
      </c>
      <c r="AA2112" s="28"/>
      <c r="AB2112" s="28"/>
      <c r="AC2112" s="28">
        <v>1011059000</v>
      </c>
      <c r="AD2112" s="28">
        <v>5999740000</v>
      </c>
      <c r="AE2112" s="28">
        <v>7643430000</v>
      </c>
      <c r="AF2112" s="28">
        <v>686304000</v>
      </c>
      <c r="AG2112" s="11"/>
    </row>
    <row r="2113">
      <c r="A2113" s="7" t="s">
        <v>3812</v>
      </c>
      <c r="B2113" s="5" t="s">
        <v>11795</v>
      </c>
      <c r="C2113" s="5" t="s">
        <v>19640</v>
      </c>
      <c r="D2113" s="5" t="str">
        <v>345700999366</v>
      </c>
      <c r="E2113" s="0" t="e">
        <f>+7 (84452) 51147
+7 (84452) 57640
+7 (84452) 67840
+7 (844) 5261147
+7 (84452) 54147
+7 (84452) 55241</f>
        <v>#NAME?</v>
      </c>
      <c r="F2113" s="5" t="s">
        <v>31699</v>
      </c>
      <c r="G2113" s="5" t="s">
        <v>31700</v>
      </c>
      <c r="H2113" s="26">
        <v>30</v>
      </c>
      <c r="I2113" s="5" t="s">
        <v>31701</v>
      </c>
      <c r="J2113" s="5" t="s">
        <v>25231</v>
      </c>
      <c r="K2113" s="5" t="s">
        <v>344</v>
      </c>
      <c r="L2113" s="5" t="s">
        <v>31702</v>
      </c>
      <c r="M2113" s="27"/>
      <c r="N2113" s="5"/>
      <c r="O2113" s="5" t="str">
        <v>3457004761</v>
      </c>
      <c r="P2113" s="27">
        <v>41500000</v>
      </c>
      <c r="Q2113" s="5" t="s">
        <v>49059</v>
      </c>
      <c r="R2113" s="5"/>
      <c r="S2113" s="5" t="s">
        <v>49576</v>
      </c>
      <c r="T2113" s="28">
        <v>1266888000</v>
      </c>
      <c r="U2113" s="28"/>
      <c r="V2113" s="28">
        <v>883087000</v>
      </c>
      <c r="W2113" s="28"/>
      <c r="X2113" s="28">
        <v>857000</v>
      </c>
      <c r="Y2113" s="28">
        <v>6593561000</v>
      </c>
      <c r="Z2113" s="28">
        <v>675238000</v>
      </c>
      <c r="AA2113" s="28">
        <v>2349974000</v>
      </c>
      <c r="AB2113" s="28">
        <v>800000000</v>
      </c>
      <c r="AC2113" s="28">
        <v>3494755000</v>
      </c>
      <c r="AD2113" s="28">
        <v>740218000</v>
      </c>
      <c r="AE2113" s="28">
        <v>9411285000</v>
      </c>
      <c r="AF2113" s="28">
        <v>179751000</v>
      </c>
      <c r="AG2113" s="11"/>
    </row>
    <row r="2114">
      <c r="A2114" s="7" t="s">
        <v>3813</v>
      </c>
      <c r="B2114" s="5" t="s">
        <v>11796</v>
      </c>
      <c r="C2114" s="5" t="s">
        <v>19641</v>
      </c>
      <c r="D2114" s="5" t="str">
        <v>772816416145</v>
      </c>
      <c r="E2114" s="0" t="e">
        <f>+7 (3472) 516817
+7 (3512) 21315
+7 (3512) 253125
+7 (3512) 320538
+7 (3512) 567216
+7 (383) 2091203
+7 (385) 2222901
+7 (385) 2222921
+7 (385) 2222992
+7 (385) 2222997
+7 (385) 2229291
+7 (385) 2502484
+7 (385) 2502487
+7 (421) 2476041
+7 (384) 2632134</f>
        <v>#NAME?</v>
      </c>
      <c r="F2114" s="5" t="s">
        <v>31703</v>
      </c>
      <c r="G2114" s="5"/>
      <c r="H2114" s="26">
        <v>4</v>
      </c>
      <c r="I2114" s="5" t="s">
        <v>31704</v>
      </c>
      <c r="J2114" s="5" t="s">
        <v>25429</v>
      </c>
      <c r="K2114" s="5" t="s">
        <v>355</v>
      </c>
      <c r="L2114" s="5" t="s">
        <v>31705</v>
      </c>
      <c r="M2114" s="27">
        <v>153871</v>
      </c>
      <c r="N2114" s="5" t="s">
        <v>52656</v>
      </c>
      <c r="O2114" s="5" t="str">
        <v>9731032950</v>
      </c>
      <c r="P2114" s="27">
        <v>100000</v>
      </c>
      <c r="Q2114" s="5" t="s">
        <v>52657</v>
      </c>
      <c r="R2114" s="5"/>
      <c r="S2114" s="5" t="s">
        <v>52658</v>
      </c>
      <c r="T2114" s="28">
        <v>672000</v>
      </c>
      <c r="U2114" s="28"/>
      <c r="V2114" s="28">
        <v>220139000</v>
      </c>
      <c r="W2114" s="28"/>
      <c r="X2114" s="28">
        <v>10202000</v>
      </c>
      <c r="Y2114" s="28">
        <v>269474000</v>
      </c>
      <c r="Z2114" s="28">
        <v>-107360000</v>
      </c>
      <c r="AA2114" s="28"/>
      <c r="AB2114" s="28"/>
      <c r="AC2114" s="28">
        <v>376655000</v>
      </c>
      <c r="AD2114" s="28">
        <v>-107260000</v>
      </c>
      <c r="AE2114" s="28">
        <v>3117955000</v>
      </c>
      <c r="AF2114" s="28">
        <v>-133854000</v>
      </c>
      <c r="AG2114" s="11"/>
    </row>
    <row r="2115">
      <c r="A2115" s="7" t="s">
        <v>3814</v>
      </c>
      <c r="B2115" s="5" t="s">
        <v>11797</v>
      </c>
      <c r="C2115" s="5" t="s">
        <v>19642</v>
      </c>
      <c r="D2115" s="5" t="str">
        <v>525001765696</v>
      </c>
      <c r="E2115" s="0" t="e">
        <f>+7 (812) 3325712
+7 (812) 3325713
+7 (812) 3325715</f>
        <v>#NAME?</v>
      </c>
      <c r="F2115" s="5" t="s">
        <v>31706</v>
      </c>
      <c r="G2115" s="5" t="s">
        <v>31707</v>
      </c>
      <c r="H2115" s="26">
        <v>11.5</v>
      </c>
      <c r="I2115" s="5" t="s">
        <v>31708</v>
      </c>
      <c r="J2115" s="5" t="s">
        <v>26180</v>
      </c>
      <c r="K2115" s="5" t="s">
        <v>344</v>
      </c>
      <c r="L2115" s="5"/>
      <c r="M2115" s="27"/>
      <c r="N2115" s="5"/>
      <c r="O2115" s="5" t="str">
        <v>4707032692</v>
      </c>
      <c r="P2115" s="27">
        <v>59100000</v>
      </c>
      <c r="Q2115" s="5" t="s">
        <v>49059</v>
      </c>
      <c r="R2115" s="5"/>
      <c r="S2115" s="5" t="s">
        <v>49029</v>
      </c>
      <c r="T2115" s="28">
        <v>11825957000</v>
      </c>
      <c r="U2115" s="28"/>
      <c r="V2115" s="28">
        <v>640136000</v>
      </c>
      <c r="W2115" s="28">
        <v>900000000</v>
      </c>
      <c r="X2115" s="28">
        <v>1297916000</v>
      </c>
      <c r="Y2115" s="28">
        <v>16262888000</v>
      </c>
      <c r="Z2115" s="28">
        <v>4227949000</v>
      </c>
      <c r="AA2115" s="28"/>
      <c r="AB2115" s="28">
        <v>8746338000</v>
      </c>
      <c r="AC2115" s="28">
        <v>8884156000</v>
      </c>
      <c r="AD2115" s="28">
        <v>6848680000</v>
      </c>
      <c r="AE2115" s="28">
        <v>7035699000</v>
      </c>
      <c r="AF2115" s="28">
        <v>4247112000</v>
      </c>
      <c r="AG2115" s="11"/>
    </row>
    <row r="2116">
      <c r="A2116" s="7" t="s">
        <v>3815</v>
      </c>
      <c r="B2116" s="5" t="s">
        <v>11798</v>
      </c>
      <c r="C2116" s="5" t="s">
        <v>19643</v>
      </c>
      <c r="D2116" s="5" t="str">
        <v>770201299480</v>
      </c>
      <c r="E2116" s="0" t="e">
        <f>+7 (916) 3615353</f>
        <v>#NAME?</v>
      </c>
      <c r="F2116" s="5" t="s">
        <v>31709</v>
      </c>
      <c r="G2116" s="5"/>
      <c r="H2116" s="26">
        <v>3.5</v>
      </c>
      <c r="I2116" s="5" t="s">
        <v>31710</v>
      </c>
      <c r="J2116" s="5" t="s">
        <v>25837</v>
      </c>
      <c r="K2116" s="5" t="s">
        <v>344</v>
      </c>
      <c r="L2116" s="5" t="s">
        <v>31711</v>
      </c>
      <c r="M2116" s="27">
        <v>22685181</v>
      </c>
      <c r="N2116" s="5"/>
      <c r="O2116" s="5" t="str">
        <v>6168107611</v>
      </c>
      <c r="P2116" s="27">
        <v>100000</v>
      </c>
      <c r="Q2116" s="5" t="s">
        <v>49009</v>
      </c>
      <c r="R2116" s="5"/>
      <c r="S2116" s="5" t="s">
        <v>49066</v>
      </c>
      <c r="T2116" s="28">
        <v>6123000</v>
      </c>
      <c r="U2116" s="28"/>
      <c r="V2116" s="28">
        <v>912844000</v>
      </c>
      <c r="W2116" s="28"/>
      <c r="X2116" s="28">
        <v>74474000</v>
      </c>
      <c r="Y2116" s="28">
        <v>1924640000</v>
      </c>
      <c r="Z2116" s="28">
        <v>94691000</v>
      </c>
      <c r="AA2116" s="28">
        <v>696341000</v>
      </c>
      <c r="AB2116" s="28">
        <v>489742000</v>
      </c>
      <c r="AC2116" s="28">
        <v>1112003000</v>
      </c>
      <c r="AD2116" s="28">
        <v>94800000</v>
      </c>
      <c r="AE2116" s="28">
        <v>5360289000</v>
      </c>
      <c r="AF2116" s="28">
        <v>59133000</v>
      </c>
      <c r="AG2116" s="11"/>
    </row>
    <row r="2117">
      <c r="A2117" s="7" t="s">
        <v>3816</v>
      </c>
      <c r="B2117" s="5" t="s">
        <v>11799</v>
      </c>
      <c r="C2117" s="5" t="s">
        <v>19644</v>
      </c>
      <c r="D2117" s="5"/>
      <c r="E2117" s="0" t="e">
        <f>+7 (343) 3555401
+7 (929) 2161728
+7 (343) 3701976</f>
        <v>#NAME?</v>
      </c>
      <c r="F2117" s="5" t="s">
        <v>31712</v>
      </c>
      <c r="G2117" s="5" t="s">
        <v>31713</v>
      </c>
      <c r="H2117" s="26">
        <v>7.5</v>
      </c>
      <c r="I2117" s="5"/>
      <c r="J2117" s="5" t="s">
        <v>31714</v>
      </c>
      <c r="K2117" s="5" t="s">
        <v>344</v>
      </c>
      <c r="L2117" s="5"/>
      <c r="M2117" s="27">
        <v>104915513</v>
      </c>
      <c r="N2117" s="5" t="s">
        <v>52659</v>
      </c>
      <c r="O2117" s="5" t="str">
        <v>6671019770</v>
      </c>
      <c r="P2117" s="27">
        <v>17416818619</v>
      </c>
      <c r="Q2117" s="5" t="s">
        <v>52661</v>
      </c>
      <c r="R2117" s="5"/>
      <c r="S2117" s="5" t="s">
        <v>50205</v>
      </c>
      <c r="T2117" s="28">
        <v>16378466000</v>
      </c>
      <c r="U2117" s="28">
        <v>9729000</v>
      </c>
      <c r="V2117" s="28">
        <v>4621691000</v>
      </c>
      <c r="W2117" s="28"/>
      <c r="X2117" s="28">
        <v>966706000</v>
      </c>
      <c r="Y2117" s="28">
        <v>22895229000</v>
      </c>
      <c r="Z2117" s="28">
        <v>-5243406000</v>
      </c>
      <c r="AA2117" s="28"/>
      <c r="AB2117" s="28"/>
      <c r="AC2117" s="28">
        <v>2971337000</v>
      </c>
      <c r="AD2117" s="28">
        <v>12799300000</v>
      </c>
      <c r="AE2117" s="28">
        <v>8343650000</v>
      </c>
      <c r="AF2117" s="28">
        <v>-328996000</v>
      </c>
      <c r="AG2117" s="11"/>
    </row>
    <row r="2118">
      <c r="A2118" s="7" t="s">
        <v>3817</v>
      </c>
      <c r="B2118" s="5" t="s">
        <v>11800</v>
      </c>
      <c r="C2118" s="5" t="s">
        <v>19645</v>
      </c>
      <c r="D2118" s="5" t="str">
        <v>673211085507</v>
      </c>
      <c r="E2118" s="0" t="e">
        <f>+7 (481) 2240115
+7 (481) 2240116
+7 (481) 2240117
+7 (481) 2240119
+7 (910) 7238220
+7 (910) 7850511
+7 (910) 7850513
+7 (910) 7860530
+7 (910) 7861335</f>
        <v>#NAME?</v>
      </c>
      <c r="F2118" s="5" t="s">
        <v>31715</v>
      </c>
      <c r="G2118" s="5" t="s">
        <v>31716</v>
      </c>
      <c r="H2118" s="26">
        <v>10.5</v>
      </c>
      <c r="I2118" s="5" t="s">
        <v>31717</v>
      </c>
      <c r="J2118" s="5" t="s">
        <v>373</v>
      </c>
      <c r="K2118" s="5" t="s">
        <v>344</v>
      </c>
      <c r="L2118" s="5" t="s">
        <v>31718</v>
      </c>
      <c r="M2118" s="27"/>
      <c r="N2118" s="5"/>
      <c r="O2118" s="5" t="str">
        <v>6732050064</v>
      </c>
      <c r="P2118" s="27">
        <v>7636000</v>
      </c>
      <c r="Q2118" s="5" t="s">
        <v>49021</v>
      </c>
      <c r="R2118" s="5"/>
      <c r="S2118" s="5" t="s">
        <v>52662</v>
      </c>
      <c r="T2118" s="28">
        <v>3135000</v>
      </c>
      <c r="U2118" s="28"/>
      <c r="V2118" s="28">
        <v>743726000</v>
      </c>
      <c r="W2118" s="28"/>
      <c r="X2118" s="28">
        <v>662522000</v>
      </c>
      <c r="Y2118" s="28">
        <v>1839316000</v>
      </c>
      <c r="Z2118" s="28">
        <v>314282000</v>
      </c>
      <c r="AA2118" s="28"/>
      <c r="AB2118" s="28">
        <v>1000</v>
      </c>
      <c r="AC2118" s="28">
        <v>1509065000</v>
      </c>
      <c r="AD2118" s="28">
        <v>329699000</v>
      </c>
      <c r="AE2118" s="28">
        <v>12432848000</v>
      </c>
      <c r="AF2118" s="28">
        <v>136293000</v>
      </c>
      <c r="AG2118" s="11"/>
    </row>
    <row r="2119">
      <c r="A2119" s="7" t="s">
        <v>3818</v>
      </c>
      <c r="B2119" s="5" t="s">
        <v>11801</v>
      </c>
      <c r="C2119" s="5" t="s">
        <v>19646</v>
      </c>
      <c r="D2119" s="5" t="str">
        <v>500403714837</v>
      </c>
      <c r="E2119" s="0" t="e">
        <f>+7 (495) 2800009
+7 (495) 2801000
+7 (495) 7817946
+7 (921) 1838743</f>
        <v>#NAME?</v>
      </c>
      <c r="F2119" s="5" t="s">
        <v>31719</v>
      </c>
      <c r="G2119" s="5"/>
      <c r="H2119" s="26">
        <v>14.5</v>
      </c>
      <c r="I2119" s="5" t="s">
        <v>31720</v>
      </c>
      <c r="J2119" s="5" t="s">
        <v>25603</v>
      </c>
      <c r="K2119" s="5" t="s">
        <v>344</v>
      </c>
      <c r="L2119" s="5" t="s">
        <v>31721</v>
      </c>
      <c r="M2119" s="27">
        <v>785779</v>
      </c>
      <c r="N2119" s="5" t="s">
        <v>52663</v>
      </c>
      <c r="O2119" s="5" t="str">
        <v>7734590878</v>
      </c>
      <c r="P2119" s="27">
        <v>10000</v>
      </c>
      <c r="Q2119" s="5" t="s">
        <v>52664</v>
      </c>
      <c r="R2119" s="5"/>
      <c r="S2119" s="5" t="s">
        <v>52665</v>
      </c>
      <c r="T2119" s="28">
        <v>1372209000</v>
      </c>
      <c r="U2119" s="28"/>
      <c r="V2119" s="28">
        <v>2678784000</v>
      </c>
      <c r="W2119" s="28">
        <v>495947000</v>
      </c>
      <c r="X2119" s="28">
        <v>3453658000</v>
      </c>
      <c r="Y2119" s="28">
        <v>10188170000</v>
      </c>
      <c r="Z2119" s="28">
        <v>3704944000</v>
      </c>
      <c r="AA2119" s="28">
        <v>447189000</v>
      </c>
      <c r="AB2119" s="28">
        <v>63000</v>
      </c>
      <c r="AC2119" s="28">
        <v>5138499000</v>
      </c>
      <c r="AD2119" s="28">
        <v>3704954000</v>
      </c>
      <c r="AE2119" s="28">
        <v>9888183000</v>
      </c>
      <c r="AF2119" s="28">
        <v>713488000</v>
      </c>
      <c r="AG2119" s="11"/>
    </row>
    <row r="2120">
      <c r="A2120" s="7" t="s">
        <v>3819</v>
      </c>
      <c r="B2120" s="5" t="s">
        <v>11802</v>
      </c>
      <c r="C2120" s="5" t="s">
        <v>19647</v>
      </c>
      <c r="D2120" s="5" t="str">
        <v>781001974230</v>
      </c>
      <c r="E2120" s="0" t="e">
        <f>+7 (343) 2260456
+7 (495) 6602068
+7 (812) 3369485
+7 (383) 3832942
+7 (3952) 559911
+7 (3952) 798811
+7 (495) 7895871
+7 (495) 7998649
+7 (499) 6491414
+7 (800) 5110604
+7 (812) 3769056
+7 (812) 3769156
+7 (812) 3769562
+7 (812) 3769713
+7 (812) 3769719</f>
        <v>#NAME?</v>
      </c>
      <c r="F2120" s="5" t="s">
        <v>31722</v>
      </c>
      <c r="G2120" s="5" t="s">
        <v>31723</v>
      </c>
      <c r="H2120" s="26">
        <v>29</v>
      </c>
      <c r="I2120" s="5" t="s">
        <v>31724</v>
      </c>
      <c r="J2120" s="5" t="s">
        <v>25512</v>
      </c>
      <c r="K2120" s="5" t="s">
        <v>344</v>
      </c>
      <c r="L2120" s="5" t="s">
        <v>31725</v>
      </c>
      <c r="M2120" s="27"/>
      <c r="N2120" s="5" t="s">
        <v>52666</v>
      </c>
      <c r="O2120" s="5" t="str">
        <v>7810941190</v>
      </c>
      <c r="P2120" s="27">
        <v>30000</v>
      </c>
      <c r="Q2120" s="5" t="s">
        <v>49059</v>
      </c>
      <c r="R2120" s="5"/>
      <c r="S2120" s="5" t="s">
        <v>49487</v>
      </c>
      <c r="T2120" s="28">
        <v>31780000</v>
      </c>
      <c r="U2120" s="28">
        <v>23848000</v>
      </c>
      <c r="V2120" s="28">
        <v>1377012000</v>
      </c>
      <c r="W2120" s="28"/>
      <c r="X2120" s="28">
        <v>431277000</v>
      </c>
      <c r="Y2120" s="28">
        <v>3008363000</v>
      </c>
      <c r="Z2120" s="28">
        <v>776004000</v>
      </c>
      <c r="AA2120" s="28">
        <v>293223000</v>
      </c>
      <c r="AB2120" s="28">
        <v>1609231000</v>
      </c>
      <c r="AC2120" s="28">
        <v>1924680000</v>
      </c>
      <c r="AD2120" s="28">
        <v>777018000</v>
      </c>
      <c r="AE2120" s="28">
        <v>11162228000</v>
      </c>
      <c r="AF2120" s="28">
        <v>396493000</v>
      </c>
      <c r="AG2120" s="11"/>
    </row>
    <row r="2121">
      <c r="A2121" s="7" t="s">
        <v>3820</v>
      </c>
      <c r="B2121" s="5" t="s">
        <v>11802</v>
      </c>
      <c r="C2121" s="5" t="s">
        <v>19647</v>
      </c>
      <c r="D2121" s="5" t="str">
        <v>781001974230</v>
      </c>
      <c r="E2121" s="0" t="e">
        <f>+7 (812) 3895555
+7 (921) 7400531</f>
        <v>#NAME?</v>
      </c>
      <c r="F2121" s="5" t="s">
        <v>31726</v>
      </c>
      <c r="G2121" s="5"/>
      <c r="H2121" s="26">
        <v>15</v>
      </c>
      <c r="I2121" s="5" t="s">
        <v>31727</v>
      </c>
      <c r="J2121" s="5" t="s">
        <v>25512</v>
      </c>
      <c r="K2121" s="5" t="s">
        <v>344</v>
      </c>
      <c r="L2121" s="5"/>
      <c r="M2121" s="27"/>
      <c r="N2121" s="5"/>
      <c r="O2121" s="5" t="str">
        <v>7805448422</v>
      </c>
      <c r="P2121" s="27">
        <v>2060000</v>
      </c>
      <c r="Q2121" s="5" t="s">
        <v>49009</v>
      </c>
      <c r="R2121" s="5"/>
      <c r="S2121" s="5" t="s">
        <v>49358</v>
      </c>
      <c r="T2121" s="28">
        <v>2491000</v>
      </c>
      <c r="U2121" s="28"/>
      <c r="V2121" s="28">
        <v>1431015000</v>
      </c>
      <c r="W2121" s="28"/>
      <c r="X2121" s="28">
        <v>217734000</v>
      </c>
      <c r="Y2121" s="28">
        <v>2949963000</v>
      </c>
      <c r="Z2121" s="28">
        <v>537524000</v>
      </c>
      <c r="AA2121" s="28">
        <v>1759000000</v>
      </c>
      <c r="AB2121" s="28">
        <v>4175000</v>
      </c>
      <c r="AC2121" s="28">
        <v>641902000</v>
      </c>
      <c r="AD2121" s="28">
        <v>539584000</v>
      </c>
      <c r="AE2121" s="28">
        <v>8652754000</v>
      </c>
      <c r="AF2121" s="28">
        <v>371686000</v>
      </c>
      <c r="AG2121" s="11"/>
    </row>
    <row r="2122">
      <c r="A2122" s="7" t="s">
        <v>3821</v>
      </c>
      <c r="B2122" s="5" t="s">
        <v>11803</v>
      </c>
      <c r="C2122" s="5" t="s">
        <v>17990</v>
      </c>
      <c r="D2122" s="5" t="str">
        <v>772739664969</v>
      </c>
      <c r="E2122" s="0" t="e">
        <f>+7 (495) 7375549
+7 (499) 6491414</f>
        <v>#NAME?</v>
      </c>
      <c r="F2122" s="5" t="s">
        <v>31728</v>
      </c>
      <c r="G2122" s="5" t="s">
        <v>31729</v>
      </c>
      <c r="H2122" s="26">
        <v>21.5</v>
      </c>
      <c r="I2122" s="5" t="s">
        <v>31730</v>
      </c>
      <c r="J2122" s="5" t="s">
        <v>25512</v>
      </c>
      <c r="K2122" s="5" t="s">
        <v>344</v>
      </c>
      <c r="L2122" s="5" t="s">
        <v>31731</v>
      </c>
      <c r="M2122" s="27">
        <v>19382872</v>
      </c>
      <c r="N2122" s="5" t="s">
        <v>52667</v>
      </c>
      <c r="O2122" s="5" t="str">
        <v>7731178271</v>
      </c>
      <c r="P2122" s="27">
        <v>400000</v>
      </c>
      <c r="Q2122" s="5" t="s">
        <v>49059</v>
      </c>
      <c r="R2122" s="5"/>
      <c r="S2122" s="5" t="s">
        <v>49358</v>
      </c>
      <c r="T2122" s="28">
        <v>8450000</v>
      </c>
      <c r="U2122" s="28">
        <v>205800000</v>
      </c>
      <c r="V2122" s="28">
        <v>156958000</v>
      </c>
      <c r="W2122" s="28"/>
      <c r="X2122" s="28">
        <v>6192000</v>
      </c>
      <c r="Y2122" s="28">
        <v>854135000</v>
      </c>
      <c r="Z2122" s="28">
        <v>291274000</v>
      </c>
      <c r="AA2122" s="28">
        <v>101800000</v>
      </c>
      <c r="AB2122" s="28"/>
      <c r="AC2122" s="28">
        <v>459036000</v>
      </c>
      <c r="AD2122" s="28">
        <v>291674000</v>
      </c>
      <c r="AE2122" s="28">
        <v>6145711000</v>
      </c>
      <c r="AF2122" s="28">
        <v>73557000</v>
      </c>
      <c r="AG2122" s="11"/>
    </row>
    <row r="2123">
      <c r="A2123" s="7" t="s">
        <v>3822</v>
      </c>
      <c r="B2123" s="5" t="s">
        <v>11804</v>
      </c>
      <c r="C2123" s="5" t="s">
        <v>19648</v>
      </c>
      <c r="D2123" s="5" t="str">
        <v>667105720010</v>
      </c>
      <c r="E2123" s="0" t="e">
        <f>+7 (343) 2148677
+7 (343) 2150000
+7 (343) 2156711
+7 (343) 2157624
+7 (343) 2157635
+7 (343) 2157695
+7 (343) 2157601
+7 (343) 2157606
+7 (343) 2157608
+7 (343) 2157627
+7 (343) 2157636
+7 (343) 2157637
+7 (343) 2157638
+7 (343) 2157682
+7 (343) 2157691</f>
        <v>#NAME?</v>
      </c>
      <c r="F2123" s="5" t="s">
        <v>31732</v>
      </c>
      <c r="G2123" s="5"/>
      <c r="H2123" s="26">
        <v>15</v>
      </c>
      <c r="I2123" s="5" t="s">
        <v>31733</v>
      </c>
      <c r="J2123" s="5" t="s">
        <v>26623</v>
      </c>
      <c r="K2123" s="5" t="s">
        <v>344</v>
      </c>
      <c r="L2123" s="5" t="s">
        <v>31734</v>
      </c>
      <c r="M2123" s="27">
        <v>4338304</v>
      </c>
      <c r="N2123" s="5" t="s">
        <v>52668</v>
      </c>
      <c r="O2123" s="5" t="str">
        <v>6671250899</v>
      </c>
      <c r="P2123" s="27">
        <v>3000000</v>
      </c>
      <c r="Q2123" s="5" t="s">
        <v>52669</v>
      </c>
      <c r="R2123" s="5"/>
      <c r="S2123" s="5" t="s">
        <v>49271</v>
      </c>
      <c r="T2123" s="28">
        <v>585055000</v>
      </c>
      <c r="U2123" s="28"/>
      <c r="V2123" s="28">
        <v>2211666000</v>
      </c>
      <c r="W2123" s="28"/>
      <c r="X2123" s="28">
        <v>817685000</v>
      </c>
      <c r="Y2123" s="28">
        <v>3783405000</v>
      </c>
      <c r="Z2123" s="28">
        <v>1638288000</v>
      </c>
      <c r="AA2123" s="28"/>
      <c r="AB2123" s="28"/>
      <c r="AC2123" s="28">
        <v>1976291000</v>
      </c>
      <c r="AD2123" s="28">
        <v>1641438000</v>
      </c>
      <c r="AE2123" s="28">
        <v>23524374000</v>
      </c>
      <c r="AF2123" s="28">
        <v>803743000</v>
      </c>
      <c r="AG2123" s="11"/>
    </row>
    <row r="2124">
      <c r="A2124" s="7" t="s">
        <v>3823</v>
      </c>
      <c r="B2124" s="5" t="s">
        <v>11805</v>
      </c>
      <c r="C2124" s="5" t="s">
        <v>19649</v>
      </c>
      <c r="D2124" s="5" t="str">
        <v>770903729140</v>
      </c>
      <c r="E2124" s="0" t="e">
        <f>+7 (3422) 436572
+7 (343) 3576914
+7 (343) 3576940
+7 (343) 3576948
+7 (35323) 47262
+7 (35323) 47267
+7 (35342) 60246
+7 (495) 5771749
+7 (495) 7117495
+7 (343) 3555410
+7 (343) 3573440
+7 (492) 2449798
+7 (493) 2589432
+7 (495) 7717475
+7 (495) 7777495</f>
        <v>#NAME?</v>
      </c>
      <c r="F2124" s="5" t="s">
        <v>31735</v>
      </c>
      <c r="G2124" s="5"/>
      <c r="H2124" s="26">
        <v>6</v>
      </c>
      <c r="I2124" s="5" t="s">
        <v>31736</v>
      </c>
      <c r="J2124" s="5" t="s">
        <v>26623</v>
      </c>
      <c r="K2124" s="5" t="s">
        <v>344</v>
      </c>
      <c r="L2124" s="5" t="s">
        <v>31737</v>
      </c>
      <c r="M2124" s="27">
        <v>186911274</v>
      </c>
      <c r="N2124" s="5" t="s">
        <v>52670</v>
      </c>
      <c r="O2124" s="5" t="str">
        <v>5024173259</v>
      </c>
      <c r="P2124" s="27">
        <v>10010000</v>
      </c>
      <c r="Q2124" s="5" t="s">
        <v>52671</v>
      </c>
      <c r="R2124" s="5"/>
      <c r="S2124" s="5" t="s">
        <v>52672</v>
      </c>
      <c r="T2124" s="28">
        <v>41760000</v>
      </c>
      <c r="U2124" s="28">
        <v>1001319000</v>
      </c>
      <c r="V2124" s="28">
        <v>5652092000</v>
      </c>
      <c r="W2124" s="28">
        <v>2000000000</v>
      </c>
      <c r="X2124" s="28">
        <v>4195255000</v>
      </c>
      <c r="Y2124" s="28">
        <v>13806148000</v>
      </c>
      <c r="Z2124" s="28">
        <v>6275847000</v>
      </c>
      <c r="AA2124" s="28"/>
      <c r="AB2124" s="28"/>
      <c r="AC2124" s="28">
        <v>7300719000</v>
      </c>
      <c r="AD2124" s="28">
        <v>6285857000</v>
      </c>
      <c r="AE2124" s="28">
        <v>38750837000</v>
      </c>
      <c r="AF2124" s="28">
        <v>918876000</v>
      </c>
      <c r="AG2124" s="11"/>
    </row>
    <row r="2125">
      <c r="A2125" s="7" t="s">
        <v>3824</v>
      </c>
      <c r="B2125" s="5" t="s">
        <v>11806</v>
      </c>
      <c r="C2125" s="5" t="s">
        <v>19650</v>
      </c>
      <c r="D2125" s="5" t="str">
        <v>660500653556</v>
      </c>
      <c r="E2125" s="0" t="e">
        <f>+7 (343) 2562245
+7 (343) 2701569
+7 (343) 3562245
+7 (343) 3562353
+7 (343) 2208870
+7 (343) 2208873
+7 (343) 2208888
+7 (343) 2702844
+7 (343) 3590026
+7 (343) 3590040
+7 (343) 3590059
+7 (343) 3590725
+7 (343) 3590737
+7 (343) 3590774
+7 (343) 3590817</f>
        <v>#NAME?</v>
      </c>
      <c r="F2125" s="5" t="s">
        <v>31738</v>
      </c>
      <c r="G2125" s="5" t="s">
        <v>31739</v>
      </c>
      <c r="H2125" s="26">
        <v>21.5</v>
      </c>
      <c r="I2125" s="5" t="s">
        <v>31733</v>
      </c>
      <c r="J2125" s="5" t="s">
        <v>27802</v>
      </c>
      <c r="K2125" s="5" t="s">
        <v>344</v>
      </c>
      <c r="L2125" s="5"/>
      <c r="M2125" s="27">
        <v>15628932</v>
      </c>
      <c r="N2125" s="5" t="s">
        <v>52673</v>
      </c>
      <c r="O2125" s="5" t="str">
        <v>6658139683</v>
      </c>
      <c r="P2125" s="27">
        <v>1080000000</v>
      </c>
      <c r="Q2125" s="5" t="s">
        <v>52674</v>
      </c>
      <c r="R2125" s="5"/>
      <c r="S2125" s="5" t="s">
        <v>52675</v>
      </c>
      <c r="T2125" s="28">
        <v>13365591000</v>
      </c>
      <c r="U2125" s="28"/>
      <c r="V2125" s="28">
        <v>951019000</v>
      </c>
      <c r="W2125" s="28"/>
      <c r="X2125" s="28">
        <v>232296000</v>
      </c>
      <c r="Y2125" s="28">
        <v>15140705000</v>
      </c>
      <c r="Z2125" s="28">
        <v>8711615000</v>
      </c>
      <c r="AA2125" s="28">
        <v>647041000</v>
      </c>
      <c r="AB2125" s="28">
        <v>918687000</v>
      </c>
      <c r="AC2125" s="28">
        <v>3142710000</v>
      </c>
      <c r="AD2125" s="28">
        <v>9920936000</v>
      </c>
      <c r="AE2125" s="28">
        <v>7368661000</v>
      </c>
      <c r="AF2125" s="28">
        <v>782866000</v>
      </c>
      <c r="AG2125" s="11"/>
    </row>
    <row r="2126">
      <c r="A2126" s="7" t="s">
        <v>3825</v>
      </c>
      <c r="B2126" s="5" t="s">
        <v>11807</v>
      </c>
      <c r="C2126" s="5" t="s">
        <v>19651</v>
      </c>
      <c r="D2126" s="5" t="str">
        <v>590504340582</v>
      </c>
      <c r="E2126" s="0" t="e">
        <f>+7 (965) 5626667
+7 (3422) 975446
+7 (3422) 979529
+7 (3422) 979600
+7 (3422) 979632
+7 (3422) 979696
+7 (3422) 979700
+7 (3422) 979800
+7 (3422) 979888</f>
        <v>#NAME?</v>
      </c>
      <c r="F2126" s="5" t="s">
        <v>31740</v>
      </c>
      <c r="G2126" s="5"/>
      <c r="H2126" s="26">
        <v>11.5</v>
      </c>
      <c r="I2126" s="5" t="s">
        <v>31741</v>
      </c>
      <c r="J2126" s="5" t="s">
        <v>364</v>
      </c>
      <c r="K2126" s="5" t="s">
        <v>344</v>
      </c>
      <c r="L2126" s="5" t="s">
        <v>30059</v>
      </c>
      <c r="M2126" s="27">
        <v>13590465</v>
      </c>
      <c r="N2126" s="5" t="s">
        <v>52676</v>
      </c>
      <c r="O2126" s="5" t="str">
        <v>5904250934</v>
      </c>
      <c r="P2126" s="27">
        <v>10000</v>
      </c>
      <c r="Q2126" s="5" t="s">
        <v>52677</v>
      </c>
      <c r="R2126" s="5" t="s">
        <v>52678</v>
      </c>
      <c r="S2126" s="5" t="s">
        <v>52679</v>
      </c>
      <c r="T2126" s="28">
        <v>57157000</v>
      </c>
      <c r="U2126" s="28">
        <v>5000000</v>
      </c>
      <c r="V2126" s="28">
        <v>1148685000</v>
      </c>
      <c r="W2126" s="28"/>
      <c r="X2126" s="28">
        <v>1036260000</v>
      </c>
      <c r="Y2126" s="28">
        <v>2564062000</v>
      </c>
      <c r="Z2126" s="28">
        <v>350647000</v>
      </c>
      <c r="AA2126" s="28">
        <v>17750000</v>
      </c>
      <c r="AB2126" s="28">
        <v>794000</v>
      </c>
      <c r="AC2126" s="28">
        <v>2290444000</v>
      </c>
      <c r="AD2126" s="28">
        <v>220662000</v>
      </c>
      <c r="AE2126" s="28">
        <v>3291966000</v>
      </c>
      <c r="AF2126" s="28">
        <v>204399000</v>
      </c>
      <c r="AG2126" s="11"/>
    </row>
    <row r="2127">
      <c r="A2127" s="7" t="s">
        <v>3826</v>
      </c>
      <c r="B2127" s="5" t="s">
        <v>11808</v>
      </c>
      <c r="C2127" s="5" t="s">
        <v>19652</v>
      </c>
      <c r="D2127" s="5" t="str">
        <v>770408781805</v>
      </c>
      <c r="E2127" s="0" t="e">
        <f>+7 (495) 6210224
+7 (903) 2628788
+7 (495) 9210214
+7 (495) 9210224</f>
        <v>#NAME?</v>
      </c>
      <c r="F2127" s="5" t="s">
        <v>31742</v>
      </c>
      <c r="G2127" s="5" t="s">
        <v>31743</v>
      </c>
      <c r="H2127" s="26">
        <v>29</v>
      </c>
      <c r="I2127" s="5"/>
      <c r="J2127" s="5" t="s">
        <v>641</v>
      </c>
      <c r="K2127" s="5" t="s">
        <v>344</v>
      </c>
      <c r="L2127" s="5" t="s">
        <v>31744</v>
      </c>
      <c r="M2127" s="27"/>
      <c r="N2127" s="5" t="s">
        <v>52680</v>
      </c>
      <c r="O2127" s="5" t="str">
        <v>7708002199</v>
      </c>
      <c r="P2127" s="27">
        <v>600000</v>
      </c>
      <c r="Q2127" s="5" t="s">
        <v>52681</v>
      </c>
      <c r="R2127" s="5"/>
      <c r="S2127" s="5" t="s">
        <v>52682</v>
      </c>
      <c r="T2127" s="28">
        <v>725000</v>
      </c>
      <c r="U2127" s="28">
        <v>40000</v>
      </c>
      <c r="V2127" s="28">
        <v>2217904000</v>
      </c>
      <c r="W2127" s="28"/>
      <c r="X2127" s="28">
        <v>250568000</v>
      </c>
      <c r="Y2127" s="28">
        <v>2793378000</v>
      </c>
      <c r="Z2127" s="28">
        <v>474107000</v>
      </c>
      <c r="AA2127" s="28"/>
      <c r="AB2127" s="28">
        <v>668278000</v>
      </c>
      <c r="AC2127" s="28">
        <v>2312708000</v>
      </c>
      <c r="AD2127" s="28">
        <v>474737000</v>
      </c>
      <c r="AE2127" s="28">
        <v>4225268000</v>
      </c>
      <c r="AF2127" s="28">
        <v>414108000</v>
      </c>
      <c r="AG2127" s="11"/>
    </row>
    <row r="2128">
      <c r="A2128" s="7" t="s">
        <v>3827</v>
      </c>
      <c r="B2128" s="5" t="s">
        <v>11809</v>
      </c>
      <c r="C2128" s="5" t="s">
        <v>19653</v>
      </c>
      <c r="D2128" s="5" t="str">
        <v>772980256380</v>
      </c>
      <c r="E2128" s="0" t="e">
        <f>+7 (495) 7296850
+7 (3952) 706167
+7 (421) 2475714
+7 (495) 6498290
+7 (495) 6498317
+7 (8452) 338088</f>
        <v>#NAME?</v>
      </c>
      <c r="F2128" s="5" t="s">
        <v>31745</v>
      </c>
      <c r="G2128" s="5" t="s">
        <v>31746</v>
      </c>
      <c r="H2128" s="26">
        <v>8.5</v>
      </c>
      <c r="I2128" s="5" t="s">
        <v>31747</v>
      </c>
      <c r="J2128" s="5" t="s">
        <v>890</v>
      </c>
      <c r="K2128" s="5" t="s">
        <v>355</v>
      </c>
      <c r="L2128" s="5" t="s">
        <v>31748</v>
      </c>
      <c r="M2128" s="27"/>
      <c r="N2128" s="5" t="s">
        <v>51863</v>
      </c>
      <c r="O2128" s="5" t="str">
        <v>7716779221</v>
      </c>
      <c r="P2128" s="27">
        <v>1000000</v>
      </c>
      <c r="Q2128" s="5" t="s">
        <v>49827</v>
      </c>
      <c r="R2128" s="5"/>
      <c r="S2128" s="5" t="s">
        <v>52683</v>
      </c>
      <c r="T2128" s="28">
        <v>298104000</v>
      </c>
      <c r="U2128" s="28"/>
      <c r="V2128" s="28">
        <v>4076402000</v>
      </c>
      <c r="W2128" s="28"/>
      <c r="X2128" s="28">
        <v>10305000</v>
      </c>
      <c r="Y2128" s="28">
        <v>4890351000</v>
      </c>
      <c r="Z2128" s="28">
        <v>1807186000</v>
      </c>
      <c r="AA2128" s="28">
        <v>50000000</v>
      </c>
      <c r="AB2128" s="28">
        <v>610244000</v>
      </c>
      <c r="AC2128" s="28">
        <v>2987906000</v>
      </c>
      <c r="AD2128" s="28">
        <v>1808186000</v>
      </c>
      <c r="AE2128" s="28">
        <v>5009971000</v>
      </c>
      <c r="AF2128" s="28">
        <v>1933210000</v>
      </c>
      <c r="AG2128" s="11"/>
    </row>
    <row r="2129">
      <c r="A2129" s="7" t="s">
        <v>3828</v>
      </c>
      <c r="B2129" s="5" t="s">
        <v>11810</v>
      </c>
      <c r="C2129" s="5" t="s">
        <v>19654</v>
      </c>
      <c r="D2129" s="5" t="str">
        <v>616206292791</v>
      </c>
      <c r="E2129" s="0" t="e">
        <f>+7 (3012) 444340
+7 (3517) 914731
+7 (4234) 260070
+7 (4234) 260085
+7 (4234) 360594
+7 (495) 2620737
+7 (499) 2621737
+7 (499) 2627117
+7 (499) 2628292
+7 (499) 6382298</f>
        <v>#NAME?</v>
      </c>
      <c r="F2129" s="5" t="s">
        <v>31749</v>
      </c>
      <c r="G2129" s="5" t="s">
        <v>31750</v>
      </c>
      <c r="H2129" s="26">
        <v>14</v>
      </c>
      <c r="I2129" s="5"/>
      <c r="J2129" s="5" t="s">
        <v>27712</v>
      </c>
      <c r="K2129" s="5" t="s">
        <v>355</v>
      </c>
      <c r="L2129" s="5"/>
      <c r="M2129" s="27">
        <v>165962348</v>
      </c>
      <c r="N2129" s="5" t="s">
        <v>52684</v>
      </c>
      <c r="O2129" s="5" t="str">
        <v>7715729877</v>
      </c>
      <c r="P2129" s="27">
        <v>15162764668</v>
      </c>
      <c r="Q2129" s="5" t="s">
        <v>52685</v>
      </c>
      <c r="R2129" s="5"/>
      <c r="S2129" s="5" t="s">
        <v>52686</v>
      </c>
      <c r="T2129" s="28">
        <v>11354490000</v>
      </c>
      <c r="U2129" s="28">
        <v>25000000</v>
      </c>
      <c r="V2129" s="28">
        <v>16786754000</v>
      </c>
      <c r="W2129" s="28"/>
      <c r="X2129" s="28">
        <v>629638000</v>
      </c>
      <c r="Y2129" s="28">
        <v>43857838000</v>
      </c>
      <c r="Z2129" s="28">
        <v>-7422898000</v>
      </c>
      <c r="AA2129" s="28">
        <v>383518000</v>
      </c>
      <c r="AB2129" s="28">
        <v>11029913000</v>
      </c>
      <c r="AC2129" s="28">
        <v>34115225000</v>
      </c>
      <c r="AD2129" s="28">
        <v>8038336000</v>
      </c>
      <c r="AE2129" s="28">
        <v>57146382000</v>
      </c>
      <c r="AF2129" s="28">
        <v>-474207000</v>
      </c>
      <c r="AG2129" s="11"/>
    </row>
    <row r="2130">
      <c r="A2130" s="7" t="s">
        <v>3829</v>
      </c>
      <c r="B2130" s="5" t="s">
        <v>11811</v>
      </c>
      <c r="C2130" s="5" t="s">
        <v>19655</v>
      </c>
      <c r="D2130" s="5" t="str">
        <v>772999043106</v>
      </c>
      <c r="E2130" s="0" t="e">
        <f>+7 (951) 8029662
+7 (985) 7250005
+7 (3433) 450893</f>
        <v>#NAME?</v>
      </c>
      <c r="F2130" s="5" t="s">
        <v>31751</v>
      </c>
      <c r="G2130" s="5"/>
      <c r="H2130" s="26">
        <v>7</v>
      </c>
      <c r="I2130" s="5" t="s">
        <v>31752</v>
      </c>
      <c r="J2130" s="5" t="s">
        <v>364</v>
      </c>
      <c r="K2130" s="5" t="s">
        <v>344</v>
      </c>
      <c r="L2130" s="5" t="s">
        <v>30268</v>
      </c>
      <c r="M2130" s="27">
        <v>8685811</v>
      </c>
      <c r="N2130" s="5" t="s">
        <v>52687</v>
      </c>
      <c r="O2130" s="5" t="str">
        <v>6679084643</v>
      </c>
      <c r="P2130" s="27">
        <v>100000</v>
      </c>
      <c r="Q2130" s="5" t="s">
        <v>52688</v>
      </c>
      <c r="R2130" s="5"/>
      <c r="S2130" s="5" t="s">
        <v>49139</v>
      </c>
      <c r="T2130" s="28">
        <v>196899000</v>
      </c>
      <c r="U2130" s="28">
        <v>8000</v>
      </c>
      <c r="V2130" s="28">
        <v>2742354000</v>
      </c>
      <c r="W2130" s="28">
        <v>24800000</v>
      </c>
      <c r="X2130" s="28">
        <v>34921000</v>
      </c>
      <c r="Y2130" s="28">
        <v>3465146000</v>
      </c>
      <c r="Z2130" s="28">
        <v>396532000</v>
      </c>
      <c r="AA2130" s="28"/>
      <c r="AB2130" s="28">
        <v>12153000</v>
      </c>
      <c r="AC2130" s="28">
        <v>2891850000</v>
      </c>
      <c r="AD2130" s="28">
        <v>396632000</v>
      </c>
      <c r="AE2130" s="28">
        <v>4627474000</v>
      </c>
      <c r="AF2130" s="28">
        <v>342768000</v>
      </c>
      <c r="AG2130" s="11"/>
    </row>
    <row r="2131">
      <c r="A2131" s="7" t="s">
        <v>3830</v>
      </c>
      <c r="B2131" s="5" t="s">
        <v>11812</v>
      </c>
      <c r="C2131" s="5" t="s">
        <v>522</v>
      </c>
      <c r="D2131" s="5" t="str">
        <v>470411939917</v>
      </c>
      <c r="E2131" s="0" t="e">
        <f>+7 (351) 2686827
+7 (499) 2622085
+7 (343) 3584301
+7 (351) 2686542
+7 (912) 2372377</f>
        <v>#NAME?</v>
      </c>
      <c r="F2131" s="5" t="s">
        <v>31753</v>
      </c>
      <c r="G2131" s="5"/>
      <c r="H2131" s="26">
        <v>12</v>
      </c>
      <c r="I2131" s="5"/>
      <c r="J2131" s="5" t="s">
        <v>31754</v>
      </c>
      <c r="K2131" s="5" t="s">
        <v>344</v>
      </c>
      <c r="L2131" s="5" t="s">
        <v>31755</v>
      </c>
      <c r="M2131" s="27"/>
      <c r="N2131" s="5" t="s">
        <v>52689</v>
      </c>
      <c r="O2131" s="5" t="str">
        <v>7451316641</v>
      </c>
      <c r="P2131" s="27">
        <v>100000</v>
      </c>
      <c r="Q2131" s="5" t="s">
        <v>52690</v>
      </c>
      <c r="R2131" s="5"/>
      <c r="S2131" s="5" t="s">
        <v>49743</v>
      </c>
      <c r="T2131" s="28">
        <v>12326000</v>
      </c>
      <c r="U2131" s="28">
        <v>12329000</v>
      </c>
      <c r="V2131" s="28">
        <v>1157324000</v>
      </c>
      <c r="W2131" s="28"/>
      <c r="X2131" s="28">
        <v>1159493000</v>
      </c>
      <c r="Y2131" s="28">
        <v>2551197000</v>
      </c>
      <c r="Z2131" s="28">
        <v>262209000</v>
      </c>
      <c r="AA2131" s="28"/>
      <c r="AB2131" s="28"/>
      <c r="AC2131" s="28">
        <v>2255507000</v>
      </c>
      <c r="AD2131" s="28">
        <v>262314000</v>
      </c>
      <c r="AE2131" s="28">
        <v>11648044000</v>
      </c>
      <c r="AF2131" s="28">
        <v>254438000</v>
      </c>
      <c r="AG2131" s="11"/>
    </row>
    <row r="2132">
      <c r="A2132" s="7" t="s">
        <v>3831</v>
      </c>
      <c r="B2132" s="5" t="s">
        <v>11813</v>
      </c>
      <c r="C2132" s="5" t="s">
        <v>19656</v>
      </c>
      <c r="D2132" s="5"/>
      <c r="E2132" s="0" t="e">
        <f>+7 (903) 7621099
+7 (495) 6431019
+7 (495) 7271456
+7 (964) 7186603</f>
        <v>#NAME?</v>
      </c>
      <c r="F2132" s="5" t="s">
        <v>31756</v>
      </c>
      <c r="G2132" s="5"/>
      <c r="H2132" s="26">
        <v>14.5</v>
      </c>
      <c r="I2132" s="5" t="s">
        <v>31757</v>
      </c>
      <c r="J2132" s="5" t="s">
        <v>599</v>
      </c>
      <c r="K2132" s="5" t="s">
        <v>344</v>
      </c>
      <c r="L2132" s="5"/>
      <c r="M2132" s="27">
        <v>3580519</v>
      </c>
      <c r="N2132" s="5" t="s">
        <v>52691</v>
      </c>
      <c r="O2132" s="5" t="str">
        <v>7718725461</v>
      </c>
      <c r="P2132" s="27">
        <v>642924075</v>
      </c>
      <c r="Q2132" s="5" t="s">
        <v>52692</v>
      </c>
      <c r="R2132" s="5" t="s">
        <v>52693</v>
      </c>
      <c r="S2132" s="5" t="s">
        <v>49012</v>
      </c>
      <c r="T2132" s="28">
        <v>119079000</v>
      </c>
      <c r="U2132" s="28">
        <v>499836000</v>
      </c>
      <c r="V2132" s="28">
        <v>591823000</v>
      </c>
      <c r="W2132" s="28">
        <v>483500000</v>
      </c>
      <c r="X2132" s="28">
        <v>43067000</v>
      </c>
      <c r="Y2132" s="28">
        <v>2368056000</v>
      </c>
      <c r="Z2132" s="28">
        <v>536534000</v>
      </c>
      <c r="AA2132" s="28">
        <v>129144000</v>
      </c>
      <c r="AB2132" s="28"/>
      <c r="AC2132" s="28">
        <v>715370000</v>
      </c>
      <c r="AD2132" s="28">
        <v>1520290000</v>
      </c>
      <c r="AE2132" s="28">
        <v>4289559000</v>
      </c>
      <c r="AF2132" s="28">
        <v>318335000</v>
      </c>
      <c r="AG2132" s="11"/>
    </row>
    <row r="2133">
      <c r="A2133" s="7" t="s">
        <v>3832</v>
      </c>
      <c r="B2133" s="5" t="s">
        <v>11814</v>
      </c>
      <c r="C2133" s="5" t="s">
        <v>19657</v>
      </c>
      <c r="D2133" s="5" t="str">
        <v>502708065482</v>
      </c>
      <c r="E2133" s="0" t="e">
        <f>+7 (495) 9813119
+7 (495) 1613100
+7 (812) 7184545
+7 (495) 9813100
+7 (495) 9813102</f>
        <v>#NAME?</v>
      </c>
      <c r="F2133" s="5" t="s">
        <v>31758</v>
      </c>
      <c r="G2133" s="5" t="s">
        <v>31759</v>
      </c>
      <c r="H2133" s="26">
        <v>19.5</v>
      </c>
      <c r="I2133" s="5" t="s">
        <v>31760</v>
      </c>
      <c r="J2133" s="5" t="s">
        <v>599</v>
      </c>
      <c r="K2133" s="5" t="s">
        <v>344</v>
      </c>
      <c r="L2133" s="5" t="s">
        <v>31761</v>
      </c>
      <c r="M2133" s="27">
        <v>8238443</v>
      </c>
      <c r="N2133" s="5" t="s">
        <v>52694</v>
      </c>
      <c r="O2133" s="5" t="str">
        <v>7704505900</v>
      </c>
      <c r="P2133" s="27">
        <v>1970060580</v>
      </c>
      <c r="Q2133" s="5" t="s">
        <v>52695</v>
      </c>
      <c r="R2133" s="5"/>
      <c r="S2133" s="5" t="s">
        <v>51036</v>
      </c>
      <c r="T2133" s="28">
        <v>1734094000</v>
      </c>
      <c r="U2133" s="28"/>
      <c r="V2133" s="28">
        <v>1110475000</v>
      </c>
      <c r="W2133" s="28"/>
      <c r="X2133" s="28">
        <v>307618000</v>
      </c>
      <c r="Y2133" s="28">
        <v>3412427000</v>
      </c>
      <c r="Z2133" s="28">
        <v>-147839000</v>
      </c>
      <c r="AA2133" s="28">
        <v>488286000</v>
      </c>
      <c r="AB2133" s="28">
        <v>71454000</v>
      </c>
      <c r="AC2133" s="28">
        <v>1049370000</v>
      </c>
      <c r="AD2133" s="28">
        <v>1826025000</v>
      </c>
      <c r="AE2133" s="28">
        <v>6519877000</v>
      </c>
      <c r="AF2133" s="28">
        <v>194820000</v>
      </c>
      <c r="AG2133" s="11"/>
    </row>
    <row r="2134">
      <c r="A2134" s="7" t="s">
        <v>3833</v>
      </c>
      <c r="B2134" s="5" t="s">
        <v>11815</v>
      </c>
      <c r="C2134" s="5" t="s">
        <v>19658</v>
      </c>
      <c r="D2134" s="5" t="str">
        <v>771503162807</v>
      </c>
      <c r="E2134" s="0" t="e">
        <f>+7 (495) 3748015
+7 (800) 5004180
+7 (481) 2209430
+7 (483) 2325018
+7 (4862) 498750
+7 (495) 5442525
+7 (495) 5867858
+7 (49651) 95475
+7 (49651) 95555
+7 (4986) 24110
+7 (499) 1100438
+7 (812) 3354788
+7 (812) 4381260
+7 (900) 5950775
+7 (963) 7701949</f>
        <v>#NAME?</v>
      </c>
      <c r="F2134" s="5" t="s">
        <v>31762</v>
      </c>
      <c r="G2134" s="5" t="s">
        <v>31763</v>
      </c>
      <c r="H2134" s="26">
        <v>25.5</v>
      </c>
      <c r="I2134" s="5" t="s">
        <v>31764</v>
      </c>
      <c r="J2134" s="5" t="s">
        <v>31765</v>
      </c>
      <c r="K2134" s="5" t="s">
        <v>344</v>
      </c>
      <c r="L2134" s="5" t="s">
        <v>31766</v>
      </c>
      <c r="M2134" s="27">
        <v>40900</v>
      </c>
      <c r="N2134" s="5" t="s">
        <v>52696</v>
      </c>
      <c r="O2134" s="5" t="str">
        <v>5029042443</v>
      </c>
      <c r="P2134" s="27">
        <v>10000</v>
      </c>
      <c r="Q2134" s="5" t="s">
        <v>49009</v>
      </c>
      <c r="R2134" s="5"/>
      <c r="S2134" s="5" t="s">
        <v>49028</v>
      </c>
      <c r="T2134" s="28">
        <v>487800000</v>
      </c>
      <c r="U2134" s="28"/>
      <c r="V2134" s="28">
        <v>973013000</v>
      </c>
      <c r="W2134" s="28">
        <v>16685000</v>
      </c>
      <c r="X2134" s="28">
        <v>631366000</v>
      </c>
      <c r="Y2134" s="28">
        <v>2813402000</v>
      </c>
      <c r="Z2134" s="28">
        <v>1643760000</v>
      </c>
      <c r="AA2134" s="28">
        <v>10000000</v>
      </c>
      <c r="AB2134" s="28"/>
      <c r="AC2134" s="28">
        <v>1138613000</v>
      </c>
      <c r="AD2134" s="28">
        <v>1643770000</v>
      </c>
      <c r="AE2134" s="28">
        <v>7828876000</v>
      </c>
      <c r="AF2134" s="28">
        <v>624263000</v>
      </c>
      <c r="AG2134" s="11"/>
    </row>
    <row r="2135">
      <c r="A2135" s="7" t="s">
        <v>3834</v>
      </c>
      <c r="B2135" s="5" t="s">
        <v>11816</v>
      </c>
      <c r="C2135" s="5" t="s">
        <v>19659</v>
      </c>
      <c r="D2135" s="5" t="str">
        <v>245700344286</v>
      </c>
      <c r="E2135" s="0" t="e">
        <f>+7 (846) 2324175
+7 (84633) 20859
+7 (84633) 21696
+7 (84633) 24175
+7 (84633) 27175
+7 (84633) 36293
+7 (84661) 53808
+7 (84699) 50045
+7 (84699) 52787</f>
        <v>#NAME?</v>
      </c>
      <c r="F2135" s="5" t="s">
        <v>31767</v>
      </c>
      <c r="G2135" s="5" t="s">
        <v>31768</v>
      </c>
      <c r="H2135" s="26">
        <v>28</v>
      </c>
      <c r="I2135" s="5"/>
      <c r="J2135" s="5" t="s">
        <v>26962</v>
      </c>
      <c r="K2135" s="5" t="s">
        <v>344</v>
      </c>
      <c r="L2135" s="5" t="s">
        <v>31769</v>
      </c>
      <c r="M2135" s="27"/>
      <c r="N2135" s="5"/>
      <c r="O2135" s="5" t="str">
        <v>6315526630</v>
      </c>
      <c r="P2135" s="27">
        <v>8975000</v>
      </c>
      <c r="Q2135" s="5" t="s">
        <v>49009</v>
      </c>
      <c r="R2135" s="5"/>
      <c r="S2135" s="5" t="s">
        <v>49066</v>
      </c>
      <c r="T2135" s="28">
        <v>1055485000</v>
      </c>
      <c r="U2135" s="28">
        <v>150000</v>
      </c>
      <c r="V2135" s="28">
        <v>255019000</v>
      </c>
      <c r="W2135" s="28">
        <v>140000000</v>
      </c>
      <c r="X2135" s="28">
        <v>34719000</v>
      </c>
      <c r="Y2135" s="28">
        <v>2063074000</v>
      </c>
      <c r="Z2135" s="28">
        <v>1525094000</v>
      </c>
      <c r="AA2135" s="28"/>
      <c r="AB2135" s="28"/>
      <c r="AC2135" s="28">
        <v>418593000</v>
      </c>
      <c r="AD2135" s="28">
        <v>1572693000</v>
      </c>
      <c r="AE2135" s="28">
        <v>3117545000</v>
      </c>
      <c r="AF2135" s="28">
        <v>957105000</v>
      </c>
      <c r="AG2135" s="11"/>
    </row>
    <row r="2136">
      <c r="A2136" s="7" t="s">
        <v>3835</v>
      </c>
      <c r="B2136" s="5" t="s">
        <v>11817</v>
      </c>
      <c r="C2136" s="5" t="s">
        <v>19660</v>
      </c>
      <c r="D2136" s="5" t="str">
        <v>222202082336</v>
      </c>
      <c r="E2136" s="0" t="e">
        <f>+7 (385) 2501094
+7 (383) 3461844
+7 (385) 2501048
+7 (385) 2505212
+7 (385) 2505313
+7 (385) 2627827
+7 (913) 71904</f>
        <v>#NAME?</v>
      </c>
      <c r="F2136" s="5"/>
      <c r="G2136" s="5" t="s">
        <v>31770</v>
      </c>
      <c r="H2136" s="26">
        <v>25</v>
      </c>
      <c r="I2136" s="5" t="s">
        <v>31771</v>
      </c>
      <c r="J2136" s="5" t="s">
        <v>364</v>
      </c>
      <c r="K2136" s="5" t="s">
        <v>344</v>
      </c>
      <c r="L2136" s="5"/>
      <c r="M2136" s="27"/>
      <c r="N2136" s="5" t="s">
        <v>52698</v>
      </c>
      <c r="O2136" s="5" t="str">
        <v>2221030960</v>
      </c>
      <c r="P2136" s="27">
        <v>400000000</v>
      </c>
      <c r="Q2136" s="5" t="s">
        <v>52699</v>
      </c>
      <c r="R2136" s="5"/>
      <c r="S2136" s="5" t="s">
        <v>49227</v>
      </c>
      <c r="T2136" s="28">
        <v>242451000</v>
      </c>
      <c r="U2136" s="28">
        <v>454086000</v>
      </c>
      <c r="V2136" s="28">
        <v>906340000</v>
      </c>
      <c r="W2136" s="28"/>
      <c r="X2136" s="28">
        <v>23416000</v>
      </c>
      <c r="Y2136" s="28">
        <v>4912344000</v>
      </c>
      <c r="Z2136" s="28">
        <v>3503392000</v>
      </c>
      <c r="AA2136" s="28">
        <v>715000000</v>
      </c>
      <c r="AB2136" s="28">
        <v>22760000</v>
      </c>
      <c r="AC2136" s="28">
        <v>290408000</v>
      </c>
      <c r="AD2136" s="28">
        <v>3908742000</v>
      </c>
      <c r="AE2136" s="28">
        <v>3773089000</v>
      </c>
      <c r="AF2136" s="28">
        <v>602049000</v>
      </c>
      <c r="AG2136" s="11"/>
    </row>
    <row r="2137">
      <c r="A2137" s="7" t="s">
        <v>3836</v>
      </c>
      <c r="B2137" s="5" t="s">
        <v>11818</v>
      </c>
      <c r="C2137" s="5" t="s">
        <v>19661</v>
      </c>
      <c r="D2137" s="5" t="str">
        <v>781436918915</v>
      </c>
      <c r="F2137" s="5"/>
      <c r="G2137" s="5"/>
      <c r="H2137" s="26">
        <v>5</v>
      </c>
      <c r="I2137" s="5" t="s">
        <v>31772</v>
      </c>
      <c r="J2137" s="5" t="s">
        <v>27182</v>
      </c>
      <c r="K2137" s="5" t="s">
        <v>355</v>
      </c>
      <c r="L2137" s="5" t="s">
        <v>31773</v>
      </c>
      <c r="M2137" s="27">
        <v>18027801</v>
      </c>
      <c r="N2137" s="5"/>
      <c r="O2137" s="5" t="str">
        <v>5003128079</v>
      </c>
      <c r="P2137" s="27">
        <v>10000</v>
      </c>
      <c r="Q2137" s="5" t="s">
        <v>49021</v>
      </c>
      <c r="R2137" s="5" t="s">
        <v>52700</v>
      </c>
      <c r="S2137" s="5" t="s">
        <v>52701</v>
      </c>
      <c r="T2137" s="28">
        <v>80473000</v>
      </c>
      <c r="U2137" s="28"/>
      <c r="V2137" s="28">
        <v>30563047000</v>
      </c>
      <c r="W2137" s="28"/>
      <c r="X2137" s="28">
        <v>1346397000</v>
      </c>
      <c r="Y2137" s="28">
        <v>32388043000</v>
      </c>
      <c r="Z2137" s="28">
        <v>48885000</v>
      </c>
      <c r="AA2137" s="28">
        <v>11201176000</v>
      </c>
      <c r="AB2137" s="28">
        <v>242166000</v>
      </c>
      <c r="AC2137" s="28">
        <v>21114621000</v>
      </c>
      <c r="AD2137" s="28">
        <v>48895000</v>
      </c>
      <c r="AE2137" s="28">
        <v>61226048000</v>
      </c>
      <c r="AF2137" s="28">
        <v>5253000</v>
      </c>
      <c r="AG2137" s="11"/>
    </row>
    <row r="2138">
      <c r="A2138" s="7" t="s">
        <v>3837</v>
      </c>
      <c r="B2138" s="5" t="s">
        <v>11819</v>
      </c>
      <c r="C2138" s="5" t="s">
        <v>19662</v>
      </c>
      <c r="D2138" s="5" t="str">
        <v>771577826428</v>
      </c>
      <c r="E2138" s="0" t="e">
        <f>+7 (343) 2108081
+7 (343) 2108117
+7 (343) 2250380
+7 (343) 2100023
+7 (343) 2100024
+7 (343) 2100733
+7 (343) 2106600
+7 (343) 2106603
+7 (343) 2108098
+7 (343) 2250022
+7 (343) 2562916
+7 (343) 2957721</f>
        <v>#NAME?</v>
      </c>
      <c r="F2138" s="5" t="s">
        <v>31774</v>
      </c>
      <c r="G2138" s="5" t="s">
        <v>31775</v>
      </c>
      <c r="H2138" s="26">
        <v>30.5</v>
      </c>
      <c r="I2138" s="5"/>
      <c r="J2138" s="5" t="s">
        <v>31776</v>
      </c>
      <c r="K2138" s="5" t="s">
        <v>355</v>
      </c>
      <c r="L2138" s="5"/>
      <c r="M2138" s="27">
        <v>10000000</v>
      </c>
      <c r="N2138" s="5"/>
      <c r="O2138" s="5" t="str">
        <v>6664014643</v>
      </c>
      <c r="P2138" s="27">
        <v>120398</v>
      </c>
      <c r="Q2138" s="5" t="s">
        <v>52703</v>
      </c>
      <c r="R2138" s="5"/>
      <c r="S2138" s="5" t="s">
        <v>51145</v>
      </c>
      <c r="T2138" s="28">
        <v>1500904000</v>
      </c>
      <c r="U2138" s="28"/>
      <c r="V2138" s="28">
        <v>12056253000</v>
      </c>
      <c r="W2138" s="28">
        <v>11399717000</v>
      </c>
      <c r="X2138" s="28">
        <v>14343000</v>
      </c>
      <c r="Y2138" s="28">
        <v>32351580000</v>
      </c>
      <c r="Z2138" s="28">
        <v>-7657892000</v>
      </c>
      <c r="AA2138" s="28"/>
      <c r="AB2138" s="28">
        <v>20202034000</v>
      </c>
      <c r="AC2138" s="28">
        <v>39011285000</v>
      </c>
      <c r="AD2138" s="28">
        <v>-6829572000</v>
      </c>
      <c r="AE2138" s="28">
        <v>64933769000</v>
      </c>
      <c r="AF2138" s="28">
        <v>-7441049000</v>
      </c>
      <c r="AG2138" s="11"/>
    </row>
    <row r="2139">
      <c r="A2139" s="7" t="s">
        <v>3838</v>
      </c>
      <c r="B2139" s="5" t="s">
        <v>11820</v>
      </c>
      <c r="C2139" s="5" t="s">
        <v>19663</v>
      </c>
      <c r="D2139" s="5" t="str">
        <v>143507545510</v>
      </c>
      <c r="E2139" s="0" t="e">
        <f>+7 (411) 2399301
+7 (411) 2342452
+7 (411) 2392416
+7 (411) 2392440
+7 (411) 2392454
+7 (411) 2422739
+7 (41147) 43141
+7 (411) 2241024
+7 (411) 2292403
+7 (411) 2392426
+7 (411) 2392434
+7 (411) 2392703
+7 (411) 2392854
+7 (411) 2399300
+7 (411) 2541090</f>
        <v>#NAME?</v>
      </c>
      <c r="F2139" s="5" t="s">
        <v>31777</v>
      </c>
      <c r="G2139" s="5" t="s">
        <v>31778</v>
      </c>
      <c r="H2139" s="26">
        <v>20</v>
      </c>
      <c r="I2139" s="5" t="s">
        <v>31779</v>
      </c>
      <c r="J2139" s="5" t="s">
        <v>28968</v>
      </c>
      <c r="K2139" s="5" t="s">
        <v>344</v>
      </c>
      <c r="L2139" s="5"/>
      <c r="M2139" s="27">
        <v>186298787</v>
      </c>
      <c r="N2139" s="5" t="s">
        <v>52704</v>
      </c>
      <c r="O2139" s="5" t="str">
        <v>1435133520</v>
      </c>
      <c r="P2139" s="27">
        <v>6308562684</v>
      </c>
      <c r="Q2139" s="5" t="s">
        <v>52705</v>
      </c>
      <c r="R2139" s="5" t="s">
        <v>52706</v>
      </c>
      <c r="S2139" s="5" t="s">
        <v>50475</v>
      </c>
      <c r="T2139" s="28">
        <v>20512050000</v>
      </c>
      <c r="U2139" s="28">
        <v>50577000</v>
      </c>
      <c r="V2139" s="28">
        <v>8865292000</v>
      </c>
      <c r="W2139" s="28">
        <v>115034000</v>
      </c>
      <c r="X2139" s="28">
        <v>1028617000</v>
      </c>
      <c r="Y2139" s="28">
        <v>47910506000</v>
      </c>
      <c r="Z2139" s="28">
        <v>6557172000</v>
      </c>
      <c r="AA2139" s="28">
        <v>12537504000</v>
      </c>
      <c r="AB2139" s="28">
        <v>11045112000</v>
      </c>
      <c r="AC2139" s="28">
        <v>22488083000</v>
      </c>
      <c r="AD2139" s="28">
        <v>18424291000</v>
      </c>
      <c r="AE2139" s="28">
        <v>23965916000</v>
      </c>
      <c r="AF2139" s="28">
        <v>1560000</v>
      </c>
      <c r="AG2139" s="11"/>
    </row>
    <row r="2140">
      <c r="A2140" s="7" t="s">
        <v>3839</v>
      </c>
      <c r="B2140" s="5" t="s">
        <v>11821</v>
      </c>
      <c r="C2140" s="5" t="s">
        <v>19664</v>
      </c>
      <c r="D2140" s="5" t="str">
        <v>772989185750</v>
      </c>
      <c r="E2140" s="0" t="e">
        <f>+7 (82134) 47120
+7 (82134) 47165
+7 (82134) 47175
+7 (925) 3176878</f>
        <v>#NAME?</v>
      </c>
      <c r="F2140" s="5" t="s">
        <v>31780</v>
      </c>
      <c r="G2140" s="5"/>
      <c r="H2140" s="26">
        <v>9.5</v>
      </c>
      <c r="I2140" s="5" t="s">
        <v>31781</v>
      </c>
      <c r="J2140" s="5" t="s">
        <v>27221</v>
      </c>
      <c r="K2140" s="5" t="s">
        <v>355</v>
      </c>
      <c r="L2140" s="5" t="s">
        <v>31782</v>
      </c>
      <c r="M2140" s="27">
        <v>783487</v>
      </c>
      <c r="N2140" s="5" t="s">
        <v>52707</v>
      </c>
      <c r="O2140" s="5" t="str">
        <v>1121022681</v>
      </c>
      <c r="P2140" s="27">
        <v>251195980</v>
      </c>
      <c r="Q2140" s="5" t="s">
        <v>49057</v>
      </c>
      <c r="R2140" s="5"/>
      <c r="S2140" s="5" t="s">
        <v>52709</v>
      </c>
      <c r="T2140" s="28">
        <v>1000103000</v>
      </c>
      <c r="U2140" s="28">
        <v>898063000</v>
      </c>
      <c r="V2140" s="28">
        <v>2081100000</v>
      </c>
      <c r="W2140" s="28">
        <v>491000</v>
      </c>
      <c r="X2140" s="28">
        <v>382441000</v>
      </c>
      <c r="Y2140" s="28">
        <v>5710728000</v>
      </c>
      <c r="Z2140" s="28">
        <v>2430800000</v>
      </c>
      <c r="AA2140" s="28">
        <v>1214975000</v>
      </c>
      <c r="AB2140" s="28">
        <v>266845000</v>
      </c>
      <c r="AC2140" s="28">
        <v>1703433000</v>
      </c>
      <c r="AD2140" s="28">
        <v>2681996000</v>
      </c>
      <c r="AE2140" s="28">
        <v>8326533000</v>
      </c>
      <c r="AF2140" s="28">
        <v>161363000</v>
      </c>
      <c r="AG2140" s="11"/>
    </row>
    <row r="2141">
      <c r="A2141" s="7" t="s">
        <v>3840</v>
      </c>
      <c r="B2141" s="5" t="s">
        <v>11822</v>
      </c>
      <c r="C2141" s="5" t="s">
        <v>19665</v>
      </c>
      <c r="D2141" s="5" t="str">
        <v>631501332501</v>
      </c>
      <c r="E2141" s="0" t="e">
        <f>+7 (3022) 243202
+7 (3022) 500155
+7 (421) 2284200
+7 (343) 3112180
+7 (345) 2523074
+7 (345) 2523075
+7 (3512) 684081
+7 (3512) 684082
+7 (35133) 72700
+7 (35335) 25031
+7 (384) 2322048
+7 (3843) 783785
+7 (38454) 20466
+7 (3952) 632835
+7 (421) 2324629</f>
        <v>#NAME?</v>
      </c>
      <c r="F2141" s="5" t="s">
        <v>31783</v>
      </c>
      <c r="G2141" s="5" t="s">
        <v>31784</v>
      </c>
      <c r="H2141" s="26">
        <v>15.5</v>
      </c>
      <c r="I2141" s="5"/>
      <c r="J2141" s="5" t="s">
        <v>585</v>
      </c>
      <c r="K2141" s="5" t="s">
        <v>355</v>
      </c>
      <c r="L2141" s="5"/>
      <c r="M2141" s="27">
        <v>28584147</v>
      </c>
      <c r="N2141" s="5" t="s">
        <v>52710</v>
      </c>
      <c r="O2141" s="5" t="str">
        <v>7708639622</v>
      </c>
      <c r="P2141" s="27">
        <v>8077297000</v>
      </c>
      <c r="Q2141" s="5" t="s">
        <v>52711</v>
      </c>
      <c r="R2141" s="5" t="s">
        <v>50768</v>
      </c>
      <c r="S2141" s="5" t="s">
        <v>52712</v>
      </c>
      <c r="T2141" s="28">
        <v>3882111000</v>
      </c>
      <c r="U2141" s="28">
        <v>14376000</v>
      </c>
      <c r="V2141" s="28">
        <v>601062000</v>
      </c>
      <c r="W2141" s="28"/>
      <c r="X2141" s="28">
        <v>917621000</v>
      </c>
      <c r="Y2141" s="28">
        <v>7066061000</v>
      </c>
      <c r="Z2141" s="28">
        <v>-2201974000</v>
      </c>
      <c r="AA2141" s="28"/>
      <c r="AB2141" s="28"/>
      <c r="AC2141" s="28">
        <v>1081565000</v>
      </c>
      <c r="AD2141" s="28">
        <v>5899792000</v>
      </c>
      <c r="AE2141" s="28">
        <v>4671243000</v>
      </c>
      <c r="AF2141" s="28">
        <v>-293801000</v>
      </c>
      <c r="AG2141" s="11"/>
    </row>
    <row r="2142">
      <c r="A2142" s="7" t="s">
        <v>3841</v>
      </c>
      <c r="B2142" s="5" t="s">
        <v>11823</v>
      </c>
      <c r="C2142" s="5" t="s">
        <v>19666</v>
      </c>
      <c r="D2142" s="5" t="str">
        <v>753405383502</v>
      </c>
      <c r="E2142" s="0" t="e">
        <f>+7 (914) 4565023
+7 (924) 5773888
+7 (3022) 210372
+7 (3022) 212812
+7 (967) 207788</f>
        <v>#NAME?</v>
      </c>
      <c r="F2142" s="5" t="s">
        <v>31785</v>
      </c>
      <c r="G2142" s="5"/>
      <c r="H2142" s="26">
        <v>12.5</v>
      </c>
      <c r="I2142" s="5" t="s">
        <v>31786</v>
      </c>
      <c r="J2142" s="5" t="s">
        <v>467</v>
      </c>
      <c r="K2142" s="5" t="s">
        <v>344</v>
      </c>
      <c r="L2142" s="5" t="s">
        <v>31787</v>
      </c>
      <c r="M2142" s="27">
        <v>5164500</v>
      </c>
      <c r="N2142" s="5" t="s">
        <v>52713</v>
      </c>
      <c r="O2142" s="5" t="str">
        <v>7536114228</v>
      </c>
      <c r="P2142" s="27">
        <v>85410000</v>
      </c>
      <c r="Q2142" s="5" t="s">
        <v>52714</v>
      </c>
      <c r="R2142" s="5" t="s">
        <v>52715</v>
      </c>
      <c r="S2142" s="5" t="s">
        <v>52716</v>
      </c>
      <c r="T2142" s="28">
        <v>624846000</v>
      </c>
      <c r="U2142" s="28">
        <v>310000000</v>
      </c>
      <c r="V2142" s="28">
        <v>657533000</v>
      </c>
      <c r="W2142" s="28"/>
      <c r="X2142" s="28">
        <v>59592000</v>
      </c>
      <c r="Y2142" s="28">
        <v>3225406000</v>
      </c>
      <c r="Z2142" s="28">
        <v>288387000</v>
      </c>
      <c r="AA2142" s="28">
        <v>1032156000</v>
      </c>
      <c r="AB2142" s="28"/>
      <c r="AC2142" s="28">
        <v>1713611000</v>
      </c>
      <c r="AD2142" s="28">
        <v>373797000</v>
      </c>
      <c r="AE2142" s="28">
        <v>4139067000</v>
      </c>
      <c r="AF2142" s="28">
        <v>64034000</v>
      </c>
      <c r="AG2142" s="11"/>
    </row>
    <row r="2143">
      <c r="A2143" s="7" t="s">
        <v>3842</v>
      </c>
      <c r="B2143" s="5" t="s">
        <v>11824</v>
      </c>
      <c r="C2143" s="5" t="s">
        <v>19667</v>
      </c>
      <c r="D2143" s="5" t="str">
        <v>683100522412</v>
      </c>
      <c r="E2143" s="0" t="e">
        <f>+7 (475) 2703211
+7 (475) 2703212
+7 (475) 2711019
+7 (475) 2721052
+7 (475) 2723757
+7 (475) 2793503
+7 (475) 2793521
+7 (475) 2793530
+7 (475) 2793706
+7 (981) 7214541</f>
        <v>#NAME?</v>
      </c>
      <c r="F2143" s="5" t="s">
        <v>31788</v>
      </c>
      <c r="G2143" s="5" t="s">
        <v>31789</v>
      </c>
      <c r="H2143" s="26">
        <v>30.5</v>
      </c>
      <c r="I2143" s="5"/>
      <c r="J2143" s="5" t="s">
        <v>31790</v>
      </c>
      <c r="K2143" s="5" t="s">
        <v>344</v>
      </c>
      <c r="L2143" s="5"/>
      <c r="M2143" s="27"/>
      <c r="N2143" s="5" t="s">
        <v>52717</v>
      </c>
      <c r="O2143" s="5" t="str">
        <v>6831004284</v>
      </c>
      <c r="P2143" s="27">
        <v>100935000</v>
      </c>
      <c r="Q2143" s="5" t="s">
        <v>52718</v>
      </c>
      <c r="R2143" s="5"/>
      <c r="S2143" s="5" t="s">
        <v>52719</v>
      </c>
      <c r="T2143" s="28">
        <v>828597000</v>
      </c>
      <c r="U2143" s="28">
        <v>530000</v>
      </c>
      <c r="V2143" s="28">
        <v>463243000</v>
      </c>
      <c r="W2143" s="28"/>
      <c r="X2143" s="28">
        <v>377891000</v>
      </c>
      <c r="Y2143" s="28">
        <v>3302160000</v>
      </c>
      <c r="Z2143" s="28">
        <v>1554519000</v>
      </c>
      <c r="AA2143" s="28"/>
      <c r="AB2143" s="28">
        <v>355625000</v>
      </c>
      <c r="AC2143" s="28">
        <v>1349680000</v>
      </c>
      <c r="AD2143" s="28">
        <v>1680688000</v>
      </c>
      <c r="AE2143" s="28">
        <v>3740178000</v>
      </c>
      <c r="AF2143" s="28">
        <v>12641000</v>
      </c>
      <c r="AG2143" s="11"/>
    </row>
    <row r="2144">
      <c r="A2144" s="7" t="s">
        <v>3843</v>
      </c>
      <c r="B2144" s="5" t="s">
        <v>11825</v>
      </c>
      <c r="C2144" s="5" t="s">
        <v>19668</v>
      </c>
      <c r="D2144" s="5"/>
      <c r="E2144" s="0" t="e">
        <f>+7 (499) 7927188
+7 (81657) 23049
+7 (81657) 23082
+7 (81657) 23122
+7 (81657) 23266
+7 (81657) 23288
+7 (81657) 23348
+7 (81657) 23373
+7 (81657) 23702
+7 (81657) 23731
+7 (81657) 23738</f>
        <v>#NAME?</v>
      </c>
      <c r="F2144" s="5" t="s">
        <v>31791</v>
      </c>
      <c r="G2144" s="5" t="s">
        <v>31792</v>
      </c>
      <c r="H2144" s="26">
        <v>31</v>
      </c>
      <c r="I2144" s="5" t="s">
        <v>31793</v>
      </c>
      <c r="J2144" s="5" t="s">
        <v>655</v>
      </c>
      <c r="K2144" s="5" t="s">
        <v>355</v>
      </c>
      <c r="L2144" s="5" t="s">
        <v>31794</v>
      </c>
      <c r="M2144" s="27">
        <v>23856615</v>
      </c>
      <c r="N2144" s="5" t="s">
        <v>52720</v>
      </c>
      <c r="O2144" s="5" t="str">
        <v>5311007801</v>
      </c>
      <c r="P2144" s="27">
        <v>865720000</v>
      </c>
      <c r="Q2144" s="5" t="s">
        <v>52721</v>
      </c>
      <c r="R2144" s="5" t="s">
        <v>52722</v>
      </c>
      <c r="S2144" s="5" t="s">
        <v>49998</v>
      </c>
      <c r="T2144" s="28">
        <v>171352000</v>
      </c>
      <c r="U2144" s="28"/>
      <c r="V2144" s="28">
        <v>828379000</v>
      </c>
      <c r="W2144" s="28">
        <v>348677000</v>
      </c>
      <c r="X2144" s="28">
        <v>838000</v>
      </c>
      <c r="Y2144" s="28">
        <v>3956807000</v>
      </c>
      <c r="Z2144" s="28">
        <v>-25855000</v>
      </c>
      <c r="AA2144" s="28">
        <v>5000</v>
      </c>
      <c r="AB2144" s="28">
        <v>693601000</v>
      </c>
      <c r="AC2144" s="28">
        <v>2541328000</v>
      </c>
      <c r="AD2144" s="28">
        <v>277109000</v>
      </c>
      <c r="AE2144" s="28">
        <v>14312106000</v>
      </c>
      <c r="AF2144" s="28">
        <v>46130000</v>
      </c>
      <c r="AG2144" s="11"/>
    </row>
    <row r="2145">
      <c r="A2145" s="7" t="s">
        <v>3844</v>
      </c>
      <c r="B2145" s="5" t="s">
        <v>11826</v>
      </c>
      <c r="C2145" s="5" t="s">
        <v>19669</v>
      </c>
      <c r="D2145" s="5" t="str">
        <v>241000019212</v>
      </c>
      <c r="E2145" s="0" t="e">
        <f>+7 (391) 2695464</f>
        <v>#NAME?</v>
      </c>
      <c r="F2145" s="5" t="s">
        <v>31795</v>
      </c>
      <c r="G2145" s="5"/>
      <c r="H2145" s="26">
        <v>11</v>
      </c>
      <c r="I2145" s="5" t="s">
        <v>31796</v>
      </c>
      <c r="J2145" s="5" t="s">
        <v>28075</v>
      </c>
      <c r="K2145" s="5" t="s">
        <v>344</v>
      </c>
      <c r="L2145" s="5" t="s">
        <v>31797</v>
      </c>
      <c r="M2145" s="27"/>
      <c r="N2145" s="5" t="s">
        <v>52723</v>
      </c>
      <c r="O2145" s="5" t="str">
        <v>2446031754</v>
      </c>
      <c r="P2145" s="27">
        <v>10000</v>
      </c>
      <c r="Q2145" s="5"/>
      <c r="R2145" s="5"/>
      <c r="S2145" s="5" t="s">
        <v>49425</v>
      </c>
      <c r="T2145" s="28">
        <v>120608000</v>
      </c>
      <c r="U2145" s="28"/>
      <c r="V2145" s="28">
        <v>2237122000</v>
      </c>
      <c r="W2145" s="28"/>
      <c r="X2145" s="28">
        <v>84449000</v>
      </c>
      <c r="Y2145" s="28">
        <v>3264378000</v>
      </c>
      <c r="Z2145" s="28">
        <v>203553000</v>
      </c>
      <c r="AA2145" s="28"/>
      <c r="AB2145" s="28">
        <v>997188000</v>
      </c>
      <c r="AC2145" s="28">
        <v>3059837000</v>
      </c>
      <c r="AD2145" s="28">
        <v>203563000</v>
      </c>
      <c r="AE2145" s="28">
        <v>3637696000</v>
      </c>
      <c r="AF2145" s="28">
        <v>61424000</v>
      </c>
      <c r="AG2145" s="11"/>
    </row>
    <row r="2146">
      <c r="A2146" s="7" t="s">
        <v>3845</v>
      </c>
      <c r="B2146" s="5" t="s">
        <v>11827</v>
      </c>
      <c r="C2146" s="5" t="s">
        <v>19670</v>
      </c>
      <c r="D2146" s="5" t="str">
        <v>672901798870</v>
      </c>
      <c r="E2146" s="0" t="e">
        <f>+7 (481) 2277475
+7 (481) 2218576
+7 (481) 2218603
+7 (481) 2270242
+7 (481) 2270915
+7 (481) 2272177
+7 (481) 2272475
+7 (481) 2272476
+7 (481) 2272478
+7 (481) 2273604
+7 (800) 5006767
+7 (906) 6683311
+7 (915) 6374478</f>
        <v>#NAME?</v>
      </c>
      <c r="F2146" s="5" t="s">
        <v>31798</v>
      </c>
      <c r="G2146" s="5" t="s">
        <v>31799</v>
      </c>
      <c r="H2146" s="26">
        <v>18.5</v>
      </c>
      <c r="I2146" s="5" t="s">
        <v>31800</v>
      </c>
      <c r="J2146" s="5" t="s">
        <v>25955</v>
      </c>
      <c r="K2146" s="5" t="s">
        <v>344</v>
      </c>
      <c r="L2146" s="5" t="s">
        <v>31801</v>
      </c>
      <c r="M2146" s="27">
        <v>75584405</v>
      </c>
      <c r="N2146" s="5" t="s">
        <v>52724</v>
      </c>
      <c r="O2146" s="5" t="str">
        <v>6730053398</v>
      </c>
      <c r="P2146" s="27">
        <v>220356000</v>
      </c>
      <c r="Q2146" s="5" t="s">
        <v>52725</v>
      </c>
      <c r="R2146" s="5"/>
      <c r="S2146" s="5" t="s">
        <v>50179</v>
      </c>
      <c r="T2146" s="28">
        <v>491396000</v>
      </c>
      <c r="U2146" s="28">
        <v>484629000</v>
      </c>
      <c r="V2146" s="28">
        <v>43042000</v>
      </c>
      <c r="W2146" s="28">
        <v>47500000</v>
      </c>
      <c r="X2146" s="28">
        <v>458658000</v>
      </c>
      <c r="Y2146" s="28">
        <v>2185640000</v>
      </c>
      <c r="Z2146" s="28">
        <v>1559768000</v>
      </c>
      <c r="AA2146" s="28"/>
      <c r="AB2146" s="28"/>
      <c r="AC2146" s="28">
        <v>405080000</v>
      </c>
      <c r="AD2146" s="28">
        <v>1780560000</v>
      </c>
      <c r="AE2146" s="28">
        <v>3170340000</v>
      </c>
      <c r="AF2146" s="28">
        <v>438408000</v>
      </c>
      <c r="AG2146" s="11"/>
    </row>
    <row r="2147">
      <c r="A2147" s="7" t="s">
        <v>3846</v>
      </c>
      <c r="B2147" s="5" t="s">
        <v>11828</v>
      </c>
      <c r="C2147" s="5" t="s">
        <v>19671</v>
      </c>
      <c r="D2147" s="5" t="str">
        <v>165003128231</v>
      </c>
      <c r="E2147" s="0" t="e">
        <f>+7 (83632) 71060
+7 (83632) 71149
+7 (83632) 71239
+7 (83632) 71747
+7 (83632) 72049
+7 (83632) 73447
+7 (83632) 75668
+7 (83632) 75752
+7 (83632) 77370
+7 (83632) 77390
+7 (83632) 77929</f>
        <v>#NAME?</v>
      </c>
      <c r="F2147" s="5" t="s">
        <v>31802</v>
      </c>
      <c r="G2147" s="5" t="s">
        <v>31803</v>
      </c>
      <c r="H2147" s="26">
        <v>30</v>
      </c>
      <c r="I2147" s="5"/>
      <c r="J2147" s="5" t="s">
        <v>773</v>
      </c>
      <c r="K2147" s="5" t="s">
        <v>344</v>
      </c>
      <c r="L2147" s="5"/>
      <c r="M2147" s="27"/>
      <c r="N2147" s="5" t="s">
        <v>52726</v>
      </c>
      <c r="O2147" s="5" t="str">
        <v>1217000287</v>
      </c>
      <c r="P2147" s="27">
        <v>63631500</v>
      </c>
      <c r="Q2147" s="5" t="s">
        <v>52727</v>
      </c>
      <c r="R2147" s="5"/>
      <c r="S2147" s="5" t="s">
        <v>52728</v>
      </c>
      <c r="T2147" s="28">
        <v>231549000</v>
      </c>
      <c r="U2147" s="28">
        <v>75074000</v>
      </c>
      <c r="V2147" s="28">
        <v>915906000</v>
      </c>
      <c r="W2147" s="28"/>
      <c r="X2147" s="28">
        <v>891074000</v>
      </c>
      <c r="Y2147" s="28">
        <v>3002972000</v>
      </c>
      <c r="Z2147" s="28">
        <v>1210998000</v>
      </c>
      <c r="AA2147" s="28"/>
      <c r="AB2147" s="28"/>
      <c r="AC2147" s="28">
        <v>1648394000</v>
      </c>
      <c r="AD2147" s="28">
        <v>1759044000</v>
      </c>
      <c r="AE2147" s="28">
        <v>3018683000</v>
      </c>
      <c r="AF2147" s="28">
        <v>459332000</v>
      </c>
      <c r="AG2147" s="11"/>
    </row>
    <row r="2148">
      <c r="A2148" s="7" t="s">
        <v>3847</v>
      </c>
      <c r="B2148" s="5" t="s">
        <v>11829</v>
      </c>
      <c r="C2148" s="5" t="s">
        <v>19672</v>
      </c>
      <c r="D2148" s="5" t="str">
        <v>745100750762</v>
      </c>
      <c r="E2148" s="0" t="e">
        <f>+7 (351) 3598851
+7 (3512) 320105
+7 (3513) 298027
+7 (3513) 298851</f>
        <v>#NAME?</v>
      </c>
      <c r="F2148" s="5"/>
      <c r="G2148" s="5" t="s">
        <v>31804</v>
      </c>
      <c r="H2148" s="26">
        <v>19.5</v>
      </c>
      <c r="I2148" s="5" t="s">
        <v>31805</v>
      </c>
      <c r="J2148" s="5" t="s">
        <v>991</v>
      </c>
      <c r="K2148" s="5" t="s">
        <v>344</v>
      </c>
      <c r="L2148" s="5" t="s">
        <v>31806</v>
      </c>
      <c r="M2148" s="27">
        <v>63524</v>
      </c>
      <c r="N2148" s="5"/>
      <c r="O2148" s="5" t="str">
        <v>7415039590</v>
      </c>
      <c r="P2148" s="27">
        <v>10000</v>
      </c>
      <c r="Q2148" s="5" t="s">
        <v>49059</v>
      </c>
      <c r="R2148" s="5"/>
      <c r="S2148" s="5" t="s">
        <v>49066</v>
      </c>
      <c r="T2148" s="28"/>
      <c r="U2148" s="28">
        <v>112300000</v>
      </c>
      <c r="V2148" s="28">
        <v>181453000</v>
      </c>
      <c r="W2148" s="28">
        <v>918778000</v>
      </c>
      <c r="X2148" s="28">
        <v>63097000</v>
      </c>
      <c r="Y2148" s="28">
        <v>1475509000</v>
      </c>
      <c r="Z2148" s="28">
        <v>459840000</v>
      </c>
      <c r="AA2148" s="28"/>
      <c r="AB2148" s="28"/>
      <c r="AC2148" s="28">
        <v>1015659000</v>
      </c>
      <c r="AD2148" s="28">
        <v>459850000</v>
      </c>
      <c r="AE2148" s="28">
        <v>4995652000</v>
      </c>
      <c r="AF2148" s="28">
        <v>1181673000</v>
      </c>
      <c r="AG2148" s="11"/>
    </row>
    <row r="2149">
      <c r="A2149" s="7" t="s">
        <v>3848</v>
      </c>
      <c r="B2149" s="5" t="s">
        <v>11830</v>
      </c>
      <c r="C2149" s="5" t="s">
        <v>19673</v>
      </c>
      <c r="D2149" s="5" t="str">
        <v>526306958937</v>
      </c>
      <c r="E2149" s="0" t="e">
        <f>+7 (831) 2296037
+7 (831) 2296179
+7 (831) 2296207
+7 (831) 2296230
+7 (831) 2296531
+7 (831) 1296425
+7 (831) 2231940
+7 (831) 2296006
+7 (831) 2296041
+7 (831) 2296103
+7 (831) 2296105
+7 (831) 2296127
+7 (831) 2296425
+7 (831) 2296513
+7 (831) 2296601</f>
        <v>#NAME?</v>
      </c>
      <c r="F2149" s="5" t="s">
        <v>31807</v>
      </c>
      <c r="G2149" s="5" t="s">
        <v>31808</v>
      </c>
      <c r="H2149" s="26">
        <v>29</v>
      </c>
      <c r="I2149" s="5"/>
      <c r="J2149" s="5" t="s">
        <v>807</v>
      </c>
      <c r="K2149" s="5" t="s">
        <v>344</v>
      </c>
      <c r="L2149" s="5"/>
      <c r="M2149" s="27">
        <v>717695508</v>
      </c>
      <c r="N2149" s="5" t="s">
        <v>52730</v>
      </c>
      <c r="O2149" s="5" t="str">
        <v>5263006629</v>
      </c>
      <c r="P2149" s="27">
        <v>1597015</v>
      </c>
      <c r="Q2149" s="5" t="s">
        <v>52731</v>
      </c>
      <c r="R2149" s="5"/>
      <c r="S2149" s="5" t="s">
        <v>52732</v>
      </c>
      <c r="T2149" s="28">
        <v>1322719000</v>
      </c>
      <c r="U2149" s="28">
        <v>3339650000</v>
      </c>
      <c r="V2149" s="28">
        <v>13551644000</v>
      </c>
      <c r="W2149" s="28">
        <v>460000000</v>
      </c>
      <c r="X2149" s="28">
        <v>10783431000</v>
      </c>
      <c r="Y2149" s="28">
        <v>34872449000</v>
      </c>
      <c r="Z2149" s="28">
        <v>6058675000</v>
      </c>
      <c r="AA2149" s="28"/>
      <c r="AB2149" s="28">
        <v>2116248000</v>
      </c>
      <c r="AC2149" s="28">
        <v>15077440000</v>
      </c>
      <c r="AD2149" s="28">
        <v>6453011000</v>
      </c>
      <c r="AE2149" s="28">
        <v>8881400000</v>
      </c>
      <c r="AF2149" s="28">
        <v>-1057299000</v>
      </c>
      <c r="AG2149" s="11"/>
    </row>
    <row r="2150">
      <c r="A2150" s="7" t="s">
        <v>3849</v>
      </c>
      <c r="B2150" s="5" t="s">
        <v>11831</v>
      </c>
      <c r="C2150" s="5" t="s">
        <v>19674</v>
      </c>
      <c r="D2150" s="5" t="str">
        <v>526306823337</v>
      </c>
      <c r="E2150" s="0" t="e">
        <f>+7 (4912) 911377
+7 (800) 2000565
+7 (34791) 41345
+7 (34791) 41454
+7 (491) 2249187
+7 (4912) 779145
+7 (4912) 911353
+7 (4912) 911356
+7 (4912) 911365
+7 (4912) 911367
+7 (4912) 911374
+7 (4912) 911381
+7 (495) 6600565</f>
        <v>#NAME?</v>
      </c>
      <c r="F2150" s="5" t="s">
        <v>31809</v>
      </c>
      <c r="G2150" s="5"/>
      <c r="H2150" s="26">
        <v>16</v>
      </c>
      <c r="I2150" s="5" t="s">
        <v>31810</v>
      </c>
      <c r="J2150" s="5" t="s">
        <v>28075</v>
      </c>
      <c r="K2150" s="5" t="s">
        <v>344</v>
      </c>
      <c r="L2150" s="5" t="s">
        <v>31811</v>
      </c>
      <c r="M2150" s="27"/>
      <c r="N2150" s="5"/>
      <c r="O2150" s="5" t="str">
        <v>6230054971</v>
      </c>
      <c r="P2150" s="27">
        <v>1400000000</v>
      </c>
      <c r="Q2150" s="5" t="s">
        <v>49059</v>
      </c>
      <c r="R2150" s="5"/>
      <c r="S2150" s="5" t="s">
        <v>49408</v>
      </c>
      <c r="T2150" s="28">
        <v>843330000</v>
      </c>
      <c r="U2150" s="28">
        <v>40989000</v>
      </c>
      <c r="V2150" s="28">
        <v>352701000</v>
      </c>
      <c r="W2150" s="28">
        <v>500040000</v>
      </c>
      <c r="X2150" s="28">
        <v>112835000</v>
      </c>
      <c r="Y2150" s="28">
        <v>3888304000</v>
      </c>
      <c r="Z2150" s="28">
        <v>1862999000</v>
      </c>
      <c r="AA2150" s="28">
        <v>140000000</v>
      </c>
      <c r="AB2150" s="28"/>
      <c r="AC2150" s="28">
        <v>427868000</v>
      </c>
      <c r="AD2150" s="28">
        <v>3262999000</v>
      </c>
      <c r="AE2150" s="28">
        <v>10581578000</v>
      </c>
      <c r="AF2150" s="28">
        <v>484830000</v>
      </c>
      <c r="AG2150" s="11"/>
    </row>
    <row r="2151">
      <c r="A2151" s="7" t="s">
        <v>3850</v>
      </c>
      <c r="B2151" s="5" t="s">
        <v>11832</v>
      </c>
      <c r="C2151" s="5" t="s">
        <v>19675</v>
      </c>
      <c r="D2151" s="5" t="str">
        <v>691501077730</v>
      </c>
      <c r="E2151" s="0" t="e">
        <f>+7 (48251) 91930
+7 (48251) 54590
+7 (48251) 55033
+7 (48251) 57206
+7 (48251) 91922
+7 (48251) 92332
+7 (48251) 92953</f>
        <v>#NAME?</v>
      </c>
      <c r="F2151" s="5" t="s">
        <v>31812</v>
      </c>
      <c r="G2151" s="5" t="s">
        <v>31813</v>
      </c>
      <c r="H2151" s="26">
        <v>28.5</v>
      </c>
      <c r="I2151" s="5" t="s">
        <v>31814</v>
      </c>
      <c r="J2151" s="5" t="s">
        <v>31815</v>
      </c>
      <c r="K2151" s="5" t="s">
        <v>344</v>
      </c>
      <c r="L2151" s="5"/>
      <c r="M2151" s="27"/>
      <c r="N2151" s="5" t="s">
        <v>52733</v>
      </c>
      <c r="O2151" s="5" t="str">
        <v>6915002325</v>
      </c>
      <c r="P2151" s="27">
        <v>438800</v>
      </c>
      <c r="Q2151" s="5" t="s">
        <v>52734</v>
      </c>
      <c r="R2151" s="5"/>
      <c r="S2151" s="5" t="s">
        <v>52735</v>
      </c>
      <c r="T2151" s="28">
        <v>332751000</v>
      </c>
      <c r="U2151" s="28">
        <v>45226000</v>
      </c>
      <c r="V2151" s="28">
        <v>595078000</v>
      </c>
      <c r="W2151" s="28"/>
      <c r="X2151" s="28">
        <v>967382000</v>
      </c>
      <c r="Y2151" s="28">
        <v>3111325000</v>
      </c>
      <c r="Z2151" s="28">
        <v>2409102000</v>
      </c>
      <c r="AA2151" s="28"/>
      <c r="AB2151" s="28"/>
      <c r="AC2151" s="28">
        <v>666411000</v>
      </c>
      <c r="AD2151" s="28">
        <v>2631091000</v>
      </c>
      <c r="AE2151" s="28">
        <v>3477055000</v>
      </c>
      <c r="AF2151" s="28">
        <v>1144692000</v>
      </c>
      <c r="AG2151" s="11"/>
    </row>
    <row r="2152">
      <c r="A2152" s="7" t="s">
        <v>3851</v>
      </c>
      <c r="B2152" s="5" t="s">
        <v>11833</v>
      </c>
      <c r="C2152" s="5" t="s">
        <v>19676</v>
      </c>
      <c r="D2152" s="5" t="str">
        <v>501306353496</v>
      </c>
      <c r="E2152" s="0" t="e">
        <f>+7 (8202) 202027</f>
        <v>#NAME?</v>
      </c>
      <c r="F2152" s="5" t="s">
        <v>31816</v>
      </c>
      <c r="G2152" s="5" t="s">
        <v>31817</v>
      </c>
      <c r="H2152" s="26">
        <v>4.5</v>
      </c>
      <c r="I2152" s="5" t="s">
        <v>31818</v>
      </c>
      <c r="J2152" s="5" t="s">
        <v>31819</v>
      </c>
      <c r="K2152" s="5" t="s">
        <v>344</v>
      </c>
      <c r="L2152" s="5" t="s">
        <v>31820</v>
      </c>
      <c r="M2152" s="27"/>
      <c r="N2152" s="5"/>
      <c r="O2152" s="5" t="str">
        <v>5019029500</v>
      </c>
      <c r="P2152" s="27">
        <v>20000000</v>
      </c>
      <c r="Q2152" s="5"/>
      <c r="R2152" s="5"/>
      <c r="S2152" s="5" t="s">
        <v>49029</v>
      </c>
      <c r="T2152" s="28">
        <v>957868000</v>
      </c>
      <c r="U2152" s="28"/>
      <c r="V2152" s="28">
        <v>2585726000</v>
      </c>
      <c r="W2152" s="28"/>
      <c r="X2152" s="28">
        <v>284509000</v>
      </c>
      <c r="Y2152" s="28">
        <v>5760967000</v>
      </c>
      <c r="Z2152" s="28">
        <v>2485916000</v>
      </c>
      <c r="AA2152" s="28">
        <v>1157385000</v>
      </c>
      <c r="AB2152" s="28">
        <v>957400000</v>
      </c>
      <c r="AC2152" s="28">
        <v>2095088000</v>
      </c>
      <c r="AD2152" s="28">
        <v>2505916000</v>
      </c>
      <c r="AE2152" s="28">
        <v>7090894000</v>
      </c>
      <c r="AF2152" s="28">
        <v>2297143000</v>
      </c>
      <c r="AG2152" s="11"/>
    </row>
    <row r="2153">
      <c r="A2153" s="7" t="s">
        <v>3852</v>
      </c>
      <c r="B2153" s="5" t="s">
        <v>11834</v>
      </c>
      <c r="C2153" s="5" t="s">
        <v>19677</v>
      </c>
      <c r="D2153" s="5" t="str">
        <v>182801296300</v>
      </c>
      <c r="E2153" s="0" t="e">
        <f>+7 (34145) 60301
+7 (34145) 60302
+7 (34145) 60303
+7 (34145) 60305
+7 (34145) 60311
+7 (34145) 60312
+7 (34145) 60322
+7 (34145) 60326
+7 (34145) 54110
+7 (34145) 54283
+7 (34145) 60300
+7 (34145) 60316
+7 (34145) 60318
+7 (34145) 60325
+7 (34145) 60358</f>
        <v>#NAME?</v>
      </c>
      <c r="F2153" s="5" t="s">
        <v>31821</v>
      </c>
      <c r="G2153" s="5" t="s">
        <v>31822</v>
      </c>
      <c r="H2153" s="26">
        <v>23</v>
      </c>
      <c r="I2153" s="5" t="s">
        <v>31823</v>
      </c>
      <c r="J2153" s="5" t="s">
        <v>26328</v>
      </c>
      <c r="K2153" s="5" t="s">
        <v>380</v>
      </c>
      <c r="L2153" s="5"/>
      <c r="M2153" s="27">
        <v>4090701</v>
      </c>
      <c r="N2153" s="5" t="s">
        <v>52736</v>
      </c>
      <c r="O2153" s="5" t="str">
        <v>1828009678</v>
      </c>
      <c r="P2153" s="27">
        <v>1166400</v>
      </c>
      <c r="Q2153" s="5" t="s">
        <v>52737</v>
      </c>
      <c r="R2153" s="5"/>
      <c r="S2153" s="5" t="s">
        <v>49907</v>
      </c>
      <c r="T2153" s="28">
        <v>883622000</v>
      </c>
      <c r="U2153" s="28"/>
      <c r="V2153" s="28">
        <v>1042020000</v>
      </c>
      <c r="W2153" s="28">
        <v>27000000</v>
      </c>
      <c r="X2153" s="28">
        <v>142927000</v>
      </c>
      <c r="Y2153" s="28">
        <v>3348033000</v>
      </c>
      <c r="Z2153" s="28">
        <v>2068332000</v>
      </c>
      <c r="AA2153" s="28">
        <v>173040000</v>
      </c>
      <c r="AB2153" s="28">
        <v>242844000</v>
      </c>
      <c r="AC2153" s="28">
        <v>1047923000</v>
      </c>
      <c r="AD2153" s="28">
        <v>2071498000</v>
      </c>
      <c r="AE2153" s="28">
        <v>4419883000</v>
      </c>
      <c r="AF2153" s="28">
        <v>23864000</v>
      </c>
      <c r="AG2153" s="11"/>
    </row>
    <row r="2154">
      <c r="A2154" s="7" t="s">
        <v>3853</v>
      </c>
      <c r="B2154" s="5" t="s">
        <v>11835</v>
      </c>
      <c r="C2154" s="5" t="s">
        <v>19678</v>
      </c>
      <c r="D2154" s="5" t="str">
        <v>645404917820</v>
      </c>
      <c r="E2154" s="0" t="e">
        <f>+7 (8452) 349253
+7 (8452) 393131
+7 (8452) 457777</f>
        <v>#NAME?</v>
      </c>
      <c r="F2154" s="5" t="s">
        <v>31824</v>
      </c>
      <c r="G2154" s="5" t="s">
        <v>31825</v>
      </c>
      <c r="H2154" s="26">
        <v>21.5</v>
      </c>
      <c r="I2154" s="5" t="s">
        <v>31826</v>
      </c>
      <c r="J2154" s="5" t="s">
        <v>31029</v>
      </c>
      <c r="K2154" s="5" t="s">
        <v>344</v>
      </c>
      <c r="L2154" s="5" t="s">
        <v>31827</v>
      </c>
      <c r="M2154" s="27"/>
      <c r="N2154" s="5" t="s">
        <v>52738</v>
      </c>
      <c r="O2154" s="5" t="str">
        <v>6454054449</v>
      </c>
      <c r="P2154" s="27">
        <v>200000000</v>
      </c>
      <c r="Q2154" s="5" t="s">
        <v>52739</v>
      </c>
      <c r="R2154" s="5"/>
      <c r="S2154" s="5" t="s">
        <v>52740</v>
      </c>
      <c r="T2154" s="28">
        <v>802762000</v>
      </c>
      <c r="U2154" s="28"/>
      <c r="V2154" s="28">
        <v>3383247000</v>
      </c>
      <c r="W2154" s="28">
        <v>1275100000</v>
      </c>
      <c r="X2154" s="28">
        <v>13839000</v>
      </c>
      <c r="Y2154" s="28">
        <v>7490968000</v>
      </c>
      <c r="Z2154" s="28">
        <v>2872783000</v>
      </c>
      <c r="AA2154" s="28"/>
      <c r="AB2154" s="28">
        <v>792572000</v>
      </c>
      <c r="AC2154" s="28">
        <v>4416856000</v>
      </c>
      <c r="AD2154" s="28">
        <v>3072783000</v>
      </c>
      <c r="AE2154" s="28">
        <v>6028054000</v>
      </c>
      <c r="AF2154" s="28">
        <v>1754566000</v>
      </c>
      <c r="AG2154" s="11"/>
    </row>
    <row r="2155">
      <c r="A2155" s="7" t="s">
        <v>3854</v>
      </c>
      <c r="B2155" s="5" t="s">
        <v>11836</v>
      </c>
      <c r="C2155" s="5" t="s">
        <v>19679</v>
      </c>
      <c r="D2155" s="5" t="str">
        <v>312006668716</v>
      </c>
      <c r="E2155" s="0" t="e">
        <f>+7 (47248) 54641
+7 (47248) 20124
+7 (47248) 20125
+7 (47248) 20128
+7 (47248) 20398
+7 (47248) 20400
+7 (47248) 28100
+7 (47248) 31733
+7 (47248) 54600
+7 (47248) 54632
+7 (47248) 54633
+7 (47248) 54634
+7 (47248) 54638
+7 (47248) 54643
+7 (47248) 54663</f>
        <v>#NAME?</v>
      </c>
      <c r="F2155" s="5" t="s">
        <v>31828</v>
      </c>
      <c r="G2155" s="5" t="s">
        <v>31829</v>
      </c>
      <c r="H2155" s="26">
        <v>18.5</v>
      </c>
      <c r="I2155" s="5"/>
      <c r="J2155" s="5" t="s">
        <v>28927</v>
      </c>
      <c r="K2155" s="5" t="s">
        <v>344</v>
      </c>
      <c r="L2155" s="5"/>
      <c r="M2155" s="27"/>
      <c r="N2155" s="5"/>
      <c r="O2155" s="5" t="str">
        <v>3120013078</v>
      </c>
      <c r="P2155" s="27">
        <v>10000</v>
      </c>
      <c r="Q2155" s="5" t="s">
        <v>49009</v>
      </c>
      <c r="R2155" s="5"/>
      <c r="S2155" s="5" t="s">
        <v>49066</v>
      </c>
      <c r="T2155" s="28">
        <v>3600667000</v>
      </c>
      <c r="U2155" s="28">
        <v>40000</v>
      </c>
      <c r="V2155" s="28">
        <v>1384684000</v>
      </c>
      <c r="W2155" s="28">
        <v>5521241000</v>
      </c>
      <c r="X2155" s="28">
        <v>28360000</v>
      </c>
      <c r="Y2155" s="28">
        <v>13286902000</v>
      </c>
      <c r="Z2155" s="28">
        <v>3658562000</v>
      </c>
      <c r="AA2155" s="28">
        <v>7467311000</v>
      </c>
      <c r="AB2155" s="28">
        <v>1301356000</v>
      </c>
      <c r="AC2155" s="28">
        <v>1926894000</v>
      </c>
      <c r="AD2155" s="28">
        <v>3658573000</v>
      </c>
      <c r="AE2155" s="28">
        <v>18136522000</v>
      </c>
      <c r="AF2155" s="28">
        <v>5976233000</v>
      </c>
      <c r="AG2155" s="11"/>
    </row>
    <row r="2156">
      <c r="A2156" s="7" t="s">
        <v>3855</v>
      </c>
      <c r="B2156" s="5" t="s">
        <v>11837</v>
      </c>
      <c r="C2156" s="5" t="s">
        <v>19680</v>
      </c>
      <c r="D2156" s="5" t="str">
        <v>631702684327</v>
      </c>
      <c r="E2156" s="0" t="e">
        <f>+7 (800) 2019898
+7 (846) 2059898
+7 (846) 2926969
+7 (846) 2926973
+7 (846) 6926969
+7 (84699) 26973</f>
        <v>#NAME?</v>
      </c>
      <c r="F2156" s="5" t="s">
        <v>31830</v>
      </c>
      <c r="G2156" s="5"/>
      <c r="H2156" s="26">
        <v>30</v>
      </c>
      <c r="I2156" s="5"/>
      <c r="J2156" s="5" t="s">
        <v>445</v>
      </c>
      <c r="K2156" s="5" t="s">
        <v>344</v>
      </c>
      <c r="L2156" s="5" t="s">
        <v>31831</v>
      </c>
      <c r="M2156" s="27"/>
      <c r="N2156" s="5" t="s">
        <v>52741</v>
      </c>
      <c r="O2156" s="5" t="str">
        <v>6318100047</v>
      </c>
      <c r="P2156" s="27">
        <v>153944209</v>
      </c>
      <c r="Q2156" s="5" t="s">
        <v>52742</v>
      </c>
      <c r="R2156" s="5"/>
      <c r="S2156" s="5" t="s">
        <v>52743</v>
      </c>
      <c r="T2156" s="28">
        <v>350073000</v>
      </c>
      <c r="U2156" s="28">
        <v>958291000</v>
      </c>
      <c r="V2156" s="28">
        <v>1502083000</v>
      </c>
      <c r="W2156" s="28">
        <v>561000000</v>
      </c>
      <c r="X2156" s="28">
        <v>144381000</v>
      </c>
      <c r="Y2156" s="28">
        <v>5040537000</v>
      </c>
      <c r="Z2156" s="28">
        <v>2478831000</v>
      </c>
      <c r="AA2156" s="28">
        <v>21665000</v>
      </c>
      <c r="AB2156" s="28">
        <v>641953000</v>
      </c>
      <c r="AC2156" s="28">
        <v>2311361000</v>
      </c>
      <c r="AD2156" s="28">
        <v>2642242000</v>
      </c>
      <c r="AE2156" s="28">
        <v>5831747000</v>
      </c>
      <c r="AF2156" s="28">
        <v>523770000</v>
      </c>
      <c r="AG2156" s="11"/>
    </row>
    <row r="2157">
      <c r="A2157" s="7" t="s">
        <v>3856</v>
      </c>
      <c r="B2157" s="5" t="s">
        <v>11838</v>
      </c>
      <c r="C2157" s="5" t="s">
        <v>19681</v>
      </c>
      <c r="D2157" s="5" t="str">
        <v>760600379959</v>
      </c>
      <c r="E2157" s="0" t="e">
        <f>+7 (800) 5000812
+7 (485) 2580812
+7 (485) 2580813
+7 (485) 2679627
+7 (499) 7050812
+7 (905) 1303553
+7 (909) 2805372
+7 (910) 8205770
+7 (960) 5280438
+7 (960) 5280752
+7 (961) 9742230
+7 (961) 9742354
+7 (961) 9742496
+7 (962) 2005440
+7 (962) 2082165</f>
        <v>#NAME?</v>
      </c>
      <c r="F2157" s="5" t="s">
        <v>31832</v>
      </c>
      <c r="G2157" s="5" t="s">
        <v>31833</v>
      </c>
      <c r="H2157" s="26">
        <v>11</v>
      </c>
      <c r="I2157" s="5" t="s">
        <v>31834</v>
      </c>
      <c r="J2157" s="5" t="s">
        <v>26637</v>
      </c>
      <c r="K2157" s="5" t="s">
        <v>344</v>
      </c>
      <c r="L2157" s="5" t="s">
        <v>31835</v>
      </c>
      <c r="M2157" s="27"/>
      <c r="N2157" s="5" t="s">
        <v>52744</v>
      </c>
      <c r="O2157" s="5" t="str">
        <v>7604223919</v>
      </c>
      <c r="P2157" s="27">
        <v>10000000</v>
      </c>
      <c r="Q2157" s="5" t="s">
        <v>52745</v>
      </c>
      <c r="R2157" s="5"/>
      <c r="S2157" s="5" t="s">
        <v>52746</v>
      </c>
      <c r="T2157" s="28">
        <v>42769000</v>
      </c>
      <c r="U2157" s="28">
        <v>6000</v>
      </c>
      <c r="V2157" s="28">
        <v>1995639000</v>
      </c>
      <c r="W2157" s="28">
        <v>182664000</v>
      </c>
      <c r="X2157" s="28">
        <v>11795000</v>
      </c>
      <c r="Y2157" s="28">
        <v>2744496000</v>
      </c>
      <c r="Z2157" s="28">
        <v>592245000</v>
      </c>
      <c r="AA2157" s="28"/>
      <c r="AB2157" s="28">
        <v>303340000</v>
      </c>
      <c r="AC2157" s="28">
        <v>2134347000</v>
      </c>
      <c r="AD2157" s="28">
        <v>602245000</v>
      </c>
      <c r="AE2157" s="28">
        <v>3583330000</v>
      </c>
      <c r="AF2157" s="28">
        <v>126230000</v>
      </c>
      <c r="AG2157" s="11"/>
    </row>
    <row r="2158">
      <c r="A2158" s="7" t="s">
        <v>3857</v>
      </c>
      <c r="B2158" s="5" t="s">
        <v>11839</v>
      </c>
      <c r="C2158" s="5" t="s">
        <v>19682</v>
      </c>
      <c r="D2158" s="5" t="str">
        <v>772900888690</v>
      </c>
      <c r="E2158" s="0" t="e">
        <f>+7 (347) 2641146
+7 (347) 2641611
+7 (3472) 404793
+7 (3472) 404866
+7 (3472) 405400
+7 (3472) 405411
+7 (3472) 405934
+7 (3472) 405935
+7 (3472) 426807
+7 (3472) 465201
+7 (800) 7755905</f>
        <v>#NAME?</v>
      </c>
      <c r="F2158" s="5" t="s">
        <v>31836</v>
      </c>
      <c r="G2158" s="5" t="s">
        <v>31837</v>
      </c>
      <c r="H2158" s="26">
        <v>19.5</v>
      </c>
      <c r="I2158" s="5" t="s">
        <v>31838</v>
      </c>
      <c r="J2158" s="5" t="s">
        <v>555</v>
      </c>
      <c r="K2158" s="5" t="s">
        <v>344</v>
      </c>
      <c r="L2158" s="5" t="s">
        <v>31839</v>
      </c>
      <c r="M2158" s="27">
        <v>69984</v>
      </c>
      <c r="N2158" s="5" t="s">
        <v>52747</v>
      </c>
      <c r="O2158" s="5" t="str">
        <v>0277922439</v>
      </c>
      <c r="P2158" s="27">
        <v>10000000</v>
      </c>
      <c r="Q2158" s="5" t="s">
        <v>49057</v>
      </c>
      <c r="R2158" s="5"/>
      <c r="S2158" s="5" t="s">
        <v>52748</v>
      </c>
      <c r="T2158" s="28">
        <v>306636000</v>
      </c>
      <c r="U2158" s="28"/>
      <c r="V2158" s="28">
        <v>562524000</v>
      </c>
      <c r="W2158" s="28"/>
      <c r="X2158" s="28">
        <v>7431000</v>
      </c>
      <c r="Y2158" s="28">
        <v>1456845000</v>
      </c>
      <c r="Z2158" s="28">
        <v>577221000</v>
      </c>
      <c r="AA2158" s="28">
        <v>341000000</v>
      </c>
      <c r="AB2158" s="28">
        <v>65000000</v>
      </c>
      <c r="AC2158" s="28">
        <v>520136000</v>
      </c>
      <c r="AD2158" s="28">
        <v>587221000</v>
      </c>
      <c r="AE2158" s="28">
        <v>4266692000</v>
      </c>
      <c r="AF2158" s="28">
        <v>462061000</v>
      </c>
      <c r="AG2158" s="11"/>
    </row>
    <row r="2159">
      <c r="A2159" s="7" t="s">
        <v>3858</v>
      </c>
      <c r="B2159" s="5" t="s">
        <v>11840</v>
      </c>
      <c r="C2159" s="5" t="s">
        <v>19683</v>
      </c>
      <c r="D2159" s="5" t="str">
        <v>772026911189</v>
      </c>
      <c r="E2159" s="0" t="e">
        <f>+7 (4912) 911232
+7 (4912) 240671
+7 (4912) 911223
+7 (4912) 911240
+7 (4912) 911254
+7 (85558) 58600
+7 (85558) 58610
+7 (85558) 58628
+7 (85558) 59610</f>
        <v>#NAME?</v>
      </c>
      <c r="F2159" s="5" t="s">
        <v>31840</v>
      </c>
      <c r="G2159" s="5" t="s">
        <v>31841</v>
      </c>
      <c r="H2159" s="26">
        <v>18.5</v>
      </c>
      <c r="I2159" s="5" t="s">
        <v>31842</v>
      </c>
      <c r="J2159" s="5" t="s">
        <v>31843</v>
      </c>
      <c r="K2159" s="5" t="s">
        <v>344</v>
      </c>
      <c r="L2159" s="5" t="s">
        <v>31844</v>
      </c>
      <c r="M2159" s="27">
        <v>7290191</v>
      </c>
      <c r="N2159" s="5"/>
      <c r="O2159" s="5" t="str">
        <v>6230051360</v>
      </c>
      <c r="P2159" s="27">
        <v>2200600000</v>
      </c>
      <c r="Q2159" s="5" t="s">
        <v>49009</v>
      </c>
      <c r="R2159" s="5"/>
      <c r="S2159" s="5" t="s">
        <v>51061</v>
      </c>
      <c r="T2159" s="28">
        <v>6209762000</v>
      </c>
      <c r="U2159" s="28">
        <v>4540728000</v>
      </c>
      <c r="V2159" s="28">
        <v>3244352000</v>
      </c>
      <c r="W2159" s="28">
        <v>121108000</v>
      </c>
      <c r="X2159" s="28">
        <v>596000</v>
      </c>
      <c r="Y2159" s="28">
        <v>18300719000</v>
      </c>
      <c r="Z2159" s="28">
        <v>9067895000</v>
      </c>
      <c r="AA2159" s="28"/>
      <c r="AB2159" s="28"/>
      <c r="AC2159" s="28">
        <v>3167062000</v>
      </c>
      <c r="AD2159" s="28">
        <v>11268495000</v>
      </c>
      <c r="AE2159" s="28">
        <v>26171192000</v>
      </c>
      <c r="AF2159" s="28">
        <v>2421873000</v>
      </c>
      <c r="AG2159" s="11"/>
    </row>
    <row r="2160">
      <c r="A2160" s="7" t="s">
        <v>3859</v>
      </c>
      <c r="B2160" s="5" t="s">
        <v>11841</v>
      </c>
      <c r="C2160" s="5" t="s">
        <v>19684</v>
      </c>
      <c r="D2160" s="5" t="str">
        <v>732101465283</v>
      </c>
      <c r="E2160" s="0" t="e">
        <f>+7 (84255) 71246
+7 (84255) 71758
+7 (84255) 73897
+7 (937) 8852265</f>
        <v>#NAME?</v>
      </c>
      <c r="F2160" s="5" t="s">
        <v>31845</v>
      </c>
      <c r="G2160" s="5" t="s">
        <v>31846</v>
      </c>
      <c r="H2160" s="26">
        <v>11.5</v>
      </c>
      <c r="I2160" s="5" t="s">
        <v>31847</v>
      </c>
      <c r="J2160" s="5" t="s">
        <v>28832</v>
      </c>
      <c r="K2160" s="5" t="s">
        <v>344</v>
      </c>
      <c r="L2160" s="5" t="s">
        <v>31848</v>
      </c>
      <c r="M2160" s="27"/>
      <c r="N2160" s="5"/>
      <c r="O2160" s="5" t="str">
        <v>7321316986</v>
      </c>
      <c r="P2160" s="27">
        <v>100000000</v>
      </c>
      <c r="Q2160" s="5"/>
      <c r="R2160" s="5"/>
      <c r="S2160" s="5" t="s">
        <v>49499</v>
      </c>
      <c r="T2160" s="28">
        <v>472072000</v>
      </c>
      <c r="U2160" s="28"/>
      <c r="V2160" s="28">
        <v>1142685000</v>
      </c>
      <c r="W2160" s="28">
        <v>401816000</v>
      </c>
      <c r="X2160" s="28">
        <v>55000</v>
      </c>
      <c r="Y2160" s="28">
        <v>2480702000</v>
      </c>
      <c r="Z2160" s="28">
        <v>2210047000</v>
      </c>
      <c r="AA2160" s="28"/>
      <c r="AB2160" s="28"/>
      <c r="AC2160" s="28">
        <v>154902000</v>
      </c>
      <c r="AD2160" s="28">
        <v>2310047000</v>
      </c>
      <c r="AE2160" s="28">
        <v>5937139000</v>
      </c>
      <c r="AF2160" s="28">
        <v>571276000</v>
      </c>
      <c r="AG2160" s="11"/>
    </row>
    <row r="2161">
      <c r="A2161" s="7" t="s">
        <v>3860</v>
      </c>
      <c r="B2161" s="5" t="s">
        <v>11831</v>
      </c>
      <c r="C2161" s="5" t="s">
        <v>19685</v>
      </c>
      <c r="D2161" s="5" t="str">
        <v>366309140032</v>
      </c>
      <c r="E2161" s="0" t="e">
        <f>+7 (491) 2911228
+7 (4912) 293203
+7 (4912) 911223
+7 (4912) 911355
+7 (4912) 911356
+7 (4912) 911367
+7 (4912) 911369
+7 (4912) 911386</f>
        <v>#NAME?</v>
      </c>
      <c r="F2161" s="5" t="s">
        <v>31849</v>
      </c>
      <c r="G2161" s="5"/>
      <c r="H2161" s="26">
        <v>16.5</v>
      </c>
      <c r="I2161" s="5" t="s">
        <v>31850</v>
      </c>
      <c r="J2161" s="5" t="s">
        <v>28075</v>
      </c>
      <c r="K2161" s="5" t="s">
        <v>344</v>
      </c>
      <c r="L2161" s="5" t="s">
        <v>31851</v>
      </c>
      <c r="M2161" s="27"/>
      <c r="N2161" s="5"/>
      <c r="O2161" s="5" t="str">
        <v>6230043899</v>
      </c>
      <c r="P2161" s="27">
        <v>1677100000</v>
      </c>
      <c r="Q2161" s="5"/>
      <c r="R2161" s="5"/>
      <c r="S2161" s="5" t="s">
        <v>49123</v>
      </c>
      <c r="T2161" s="28">
        <v>231238000</v>
      </c>
      <c r="U2161" s="28">
        <v>1339420000</v>
      </c>
      <c r="V2161" s="28">
        <v>1786575000</v>
      </c>
      <c r="W2161" s="28">
        <v>179843000</v>
      </c>
      <c r="X2161" s="28">
        <v>273000</v>
      </c>
      <c r="Y2161" s="28">
        <v>4891314000</v>
      </c>
      <c r="Z2161" s="28">
        <v>2652377000</v>
      </c>
      <c r="AA2161" s="28"/>
      <c r="AB2161" s="28"/>
      <c r="AC2161" s="28">
        <v>552559000</v>
      </c>
      <c r="AD2161" s="28">
        <v>4329477000</v>
      </c>
      <c r="AE2161" s="28">
        <v>13605741000</v>
      </c>
      <c r="AF2161" s="28">
        <v>1183370000</v>
      </c>
      <c r="AG2161" s="11"/>
    </row>
    <row r="2162">
      <c r="A2162" s="7" t="s">
        <v>3861</v>
      </c>
      <c r="B2162" s="5" t="s">
        <v>11842</v>
      </c>
      <c r="C2162" s="5" t="s">
        <v>19686</v>
      </c>
      <c r="D2162" s="5" t="str">
        <v>623411447801</v>
      </c>
      <c r="E2162" s="0" t="e">
        <f>+7 (38451) 49828
+7 (4855) 266150
+7 (491) 2911292
+7 (4912) 240671
+7 (4912) 240673
+7 (4912) 336669
+7 (4912) 387818
+7 (4912) 387877
+7 (4912) 911296</f>
        <v>#NAME?</v>
      </c>
      <c r="F2162" s="5" t="s">
        <v>31852</v>
      </c>
      <c r="G2162" s="5" t="s">
        <v>31853</v>
      </c>
      <c r="H2162" s="26">
        <v>25</v>
      </c>
      <c r="I2162" s="5" t="s">
        <v>31854</v>
      </c>
      <c r="J2162" s="5" t="s">
        <v>28832</v>
      </c>
      <c r="K2162" s="5" t="s">
        <v>344</v>
      </c>
      <c r="L2162" s="5" t="s">
        <v>31855</v>
      </c>
      <c r="M2162" s="27">
        <v>810598</v>
      </c>
      <c r="N2162" s="5" t="s">
        <v>52205</v>
      </c>
      <c r="O2162" s="5" t="str">
        <v>6229024796</v>
      </c>
      <c r="P2162" s="27">
        <v>2890331000</v>
      </c>
      <c r="Q2162" s="5" t="s">
        <v>49059</v>
      </c>
      <c r="R2162" s="5" t="s">
        <v>52751</v>
      </c>
      <c r="S2162" s="5" t="s">
        <v>49499</v>
      </c>
      <c r="T2162" s="28">
        <v>952836000</v>
      </c>
      <c r="U2162" s="28">
        <v>1097549000</v>
      </c>
      <c r="V2162" s="28">
        <v>6359444000</v>
      </c>
      <c r="W2162" s="28">
        <v>13139000</v>
      </c>
      <c r="X2162" s="28">
        <v>1537000</v>
      </c>
      <c r="Y2162" s="28">
        <v>11837450000</v>
      </c>
      <c r="Z2162" s="28">
        <v>8100026000</v>
      </c>
      <c r="AA2162" s="28"/>
      <c r="AB2162" s="28"/>
      <c r="AC2162" s="28">
        <v>745901000</v>
      </c>
      <c r="AD2162" s="28">
        <v>10990549000</v>
      </c>
      <c r="AE2162" s="28">
        <v>37609589000</v>
      </c>
      <c r="AF2162" s="28">
        <v>3522745000</v>
      </c>
      <c r="AG2162" s="11"/>
    </row>
    <row r="2163">
      <c r="A2163" s="7" t="s">
        <v>3862</v>
      </c>
      <c r="B2163" s="5" t="s">
        <v>11843</v>
      </c>
      <c r="C2163" s="5" t="s">
        <v>19687</v>
      </c>
      <c r="D2163" s="5" t="str">
        <v>263104136291</v>
      </c>
      <c r="E2163" s="0" t="e">
        <f>+7 (495) 9333470
+7 (495) 9333473
+7 (495) 9333474
+7 (495) 9333477
+7 (495) 9333480
+7 (918) 3872989</f>
        <v>#NAME?</v>
      </c>
      <c r="F2163" s="5" t="s">
        <v>31856</v>
      </c>
      <c r="G2163" s="5" t="s">
        <v>31857</v>
      </c>
      <c r="H2163" s="26">
        <v>24.5</v>
      </c>
      <c r="I2163" s="5" t="s">
        <v>31858</v>
      </c>
      <c r="J2163" s="5" t="s">
        <v>27486</v>
      </c>
      <c r="K2163" s="5" t="s">
        <v>344</v>
      </c>
      <c r="L2163" s="5" t="s">
        <v>31859</v>
      </c>
      <c r="M2163" s="27"/>
      <c r="N2163" s="5" t="s">
        <v>52752</v>
      </c>
      <c r="O2163" s="5" t="str">
        <v>5040045543</v>
      </c>
      <c r="P2163" s="27">
        <v>391200000</v>
      </c>
      <c r="Q2163" s="5" t="s">
        <v>49324</v>
      </c>
      <c r="R2163" s="5"/>
      <c r="S2163" s="5" t="s">
        <v>52753</v>
      </c>
      <c r="T2163" s="28">
        <v>1132749000</v>
      </c>
      <c r="U2163" s="28"/>
      <c r="V2163" s="28">
        <v>1215004000</v>
      </c>
      <c r="W2163" s="28">
        <v>2130100000</v>
      </c>
      <c r="X2163" s="28">
        <v>106273000</v>
      </c>
      <c r="Y2163" s="28">
        <v>7024855000</v>
      </c>
      <c r="Z2163" s="28">
        <v>5887972000</v>
      </c>
      <c r="AA2163" s="28"/>
      <c r="AB2163" s="28"/>
      <c r="AC2163" s="28">
        <v>657655000</v>
      </c>
      <c r="AD2163" s="28">
        <v>6279172000</v>
      </c>
      <c r="AE2163" s="28">
        <v>6709180000</v>
      </c>
      <c r="AF2163" s="28">
        <v>294067000</v>
      </c>
      <c r="AG2163" s="11"/>
    </row>
    <row r="2164">
      <c r="A2164" s="7" t="s">
        <v>3863</v>
      </c>
      <c r="B2164" s="5" t="s">
        <v>11844</v>
      </c>
      <c r="C2164" s="5" t="s">
        <v>19688</v>
      </c>
      <c r="D2164" s="5" t="str">
        <v>623104960063</v>
      </c>
      <c r="E2164" s="0" t="e">
        <f>+7 (4912) 911218
+7 (4912) 911221
+7 (4912) 911228
+7 (4912) 911242</f>
        <v>#NAME?</v>
      </c>
      <c r="F2164" s="5" t="s">
        <v>31860</v>
      </c>
      <c r="G2164" s="5"/>
      <c r="H2164" s="26">
        <v>17.5</v>
      </c>
      <c r="I2164" s="5" t="s">
        <v>31861</v>
      </c>
      <c r="J2164" s="5" t="s">
        <v>28832</v>
      </c>
      <c r="K2164" s="5" t="s">
        <v>344</v>
      </c>
      <c r="L2164" s="5" t="s">
        <v>31862</v>
      </c>
      <c r="M2164" s="27"/>
      <c r="N2164" s="5"/>
      <c r="O2164" s="5" t="str">
        <v>6230018042</v>
      </c>
      <c r="P2164" s="27">
        <v>10314099025</v>
      </c>
      <c r="Q2164" s="5"/>
      <c r="R2164" s="5"/>
      <c r="S2164" s="5" t="s">
        <v>49123</v>
      </c>
      <c r="T2164" s="28">
        <v>635650000</v>
      </c>
      <c r="U2164" s="28">
        <v>9529893000</v>
      </c>
      <c r="V2164" s="28">
        <v>524920000</v>
      </c>
      <c r="W2164" s="28">
        <v>1000000</v>
      </c>
      <c r="X2164" s="28">
        <v>612000</v>
      </c>
      <c r="Y2164" s="28">
        <v>12465921000</v>
      </c>
      <c r="Z2164" s="28">
        <v>539916000</v>
      </c>
      <c r="AA2164" s="28"/>
      <c r="AB2164" s="28">
        <v>663664000</v>
      </c>
      <c r="AC2164" s="28">
        <v>1132682000</v>
      </c>
      <c r="AD2164" s="28">
        <v>11213032000</v>
      </c>
      <c r="AE2164" s="28">
        <v>6284846000</v>
      </c>
      <c r="AF2164" s="28">
        <v>70672000</v>
      </c>
      <c r="AG2164" s="11"/>
    </row>
    <row r="2165">
      <c r="A2165" s="7" t="s">
        <v>3864</v>
      </c>
      <c r="B2165" s="5" t="s">
        <v>11845</v>
      </c>
      <c r="C2165" s="5" t="s">
        <v>19689</v>
      </c>
      <c r="D2165" s="5" t="str">
        <v>721504518042</v>
      </c>
      <c r="E2165" s="0" t="e">
        <f>+7 (34542) 41388
+7 (34542) 21204
+7 (34542) 21376
+7 (34542) 23239
+7 (34542) 23320
+7 (34542) 23336
+7 (34542) 23423
+7 (34542) 23424
+7 (34542) 23478
+7 (34542) 37370
+7 (34542) 60876
+7 (34542) 60950</f>
        <v>#NAME?</v>
      </c>
      <c r="F2165" s="5" t="s">
        <v>31863</v>
      </c>
      <c r="G2165" s="5" t="s">
        <v>31864</v>
      </c>
      <c r="H2165" s="26">
        <v>30</v>
      </c>
      <c r="I2165" s="5"/>
      <c r="J2165" s="5" t="s">
        <v>414</v>
      </c>
      <c r="K2165" s="5" t="s">
        <v>344</v>
      </c>
      <c r="L2165" s="5" t="s">
        <v>31865</v>
      </c>
      <c r="M2165" s="27"/>
      <c r="N2165" s="5" t="s">
        <v>52754</v>
      </c>
      <c r="O2165" s="5" t="str">
        <v>7215003974</v>
      </c>
      <c r="P2165" s="27">
        <v>68000000</v>
      </c>
      <c r="Q2165" s="5" t="s">
        <v>52755</v>
      </c>
      <c r="R2165" s="5"/>
      <c r="S2165" s="5" t="s">
        <v>49428</v>
      </c>
      <c r="T2165" s="28">
        <v>181753000</v>
      </c>
      <c r="U2165" s="28">
        <v>282000</v>
      </c>
      <c r="V2165" s="28">
        <v>527526000</v>
      </c>
      <c r="W2165" s="28">
        <v>136000000</v>
      </c>
      <c r="X2165" s="28">
        <v>214974000</v>
      </c>
      <c r="Y2165" s="28">
        <v>1720016000</v>
      </c>
      <c r="Z2165" s="28">
        <v>1289291000</v>
      </c>
      <c r="AA2165" s="28"/>
      <c r="AB2165" s="28">
        <v>3032000</v>
      </c>
      <c r="AC2165" s="28">
        <v>304429000</v>
      </c>
      <c r="AD2165" s="28">
        <v>1390785000</v>
      </c>
      <c r="AE2165" s="28">
        <v>3144329000</v>
      </c>
      <c r="AF2165" s="28">
        <v>665707000</v>
      </c>
      <c r="AG2165" s="11"/>
    </row>
    <row r="2166">
      <c r="A2166" s="7" t="s">
        <v>3865</v>
      </c>
      <c r="B2166" s="5" t="s">
        <v>11846</v>
      </c>
      <c r="C2166" s="5" t="s">
        <v>19690</v>
      </c>
      <c r="D2166" s="5" t="str">
        <v>771518064633</v>
      </c>
      <c r="E2166" s="0" t="e">
        <f>+7 (495) 6870325
+7 (963) 6630080
+7 (495) 2870325
+7 (495) 7885257
+7 (495) 9670300
+7 (909) 9290630</f>
        <v>#NAME?</v>
      </c>
      <c r="F2166" s="5" t="s">
        <v>31866</v>
      </c>
      <c r="G2166" s="5" t="s">
        <v>31867</v>
      </c>
      <c r="H2166" s="26">
        <v>18</v>
      </c>
      <c r="I2166" s="5"/>
      <c r="J2166" s="5" t="s">
        <v>31868</v>
      </c>
      <c r="K2166" s="5" t="s">
        <v>344</v>
      </c>
      <c r="L2166" s="5" t="s">
        <v>31869</v>
      </c>
      <c r="M2166" s="27"/>
      <c r="N2166" s="5" t="s">
        <v>52756</v>
      </c>
      <c r="O2166" s="5" t="str">
        <v>7703544582</v>
      </c>
      <c r="P2166" s="27">
        <v>10000</v>
      </c>
      <c r="Q2166" s="5" t="s">
        <v>52757</v>
      </c>
      <c r="R2166" s="5"/>
      <c r="S2166" s="5" t="s">
        <v>49204</v>
      </c>
      <c r="T2166" s="28">
        <v>781000</v>
      </c>
      <c r="U2166" s="28"/>
      <c r="V2166" s="28">
        <v>2330790000</v>
      </c>
      <c r="W2166" s="28"/>
      <c r="X2166" s="28">
        <v>8856000</v>
      </c>
      <c r="Y2166" s="28">
        <v>2376743000</v>
      </c>
      <c r="Z2166" s="28">
        <v>381885000</v>
      </c>
      <c r="AA2166" s="28"/>
      <c r="AB2166" s="28">
        <v>100095000</v>
      </c>
      <c r="AC2166" s="28">
        <v>1994847000</v>
      </c>
      <c r="AD2166" s="28">
        <v>381896000</v>
      </c>
      <c r="AE2166" s="28">
        <v>9435628000</v>
      </c>
      <c r="AF2166" s="28">
        <v>147343000</v>
      </c>
      <c r="AG2166" s="11"/>
    </row>
    <row r="2167">
      <c r="A2167" s="7" t="s">
        <v>3866</v>
      </c>
      <c r="B2167" s="5" t="s">
        <v>11847</v>
      </c>
      <c r="C2167" s="5" t="s">
        <v>17861</v>
      </c>
      <c r="D2167" s="5"/>
      <c r="E2167" s="0" t="e">
        <f>+7 (85558) 34865
+7 (85558) 37870
+7 (495) 6631612
+7 (812) 3341222
+7 (85558) 56701
+7 (85558) 77676</f>
        <v>#NAME?</v>
      </c>
      <c r="F2167" s="5" t="s">
        <v>31870</v>
      </c>
      <c r="G2167" s="5"/>
      <c r="H2167" s="26">
        <v>21</v>
      </c>
      <c r="I2167" s="5"/>
      <c r="J2167" s="5" t="s">
        <v>25994</v>
      </c>
      <c r="K2167" s="5" t="s">
        <v>344</v>
      </c>
      <c r="L2167" s="5" t="s">
        <v>31871</v>
      </c>
      <c r="M2167" s="27">
        <v>86407505</v>
      </c>
      <c r="N2167" s="5"/>
      <c r="O2167" s="5" t="str">
        <v>1647008721</v>
      </c>
      <c r="P2167" s="27">
        <v>620044610</v>
      </c>
      <c r="Q2167" s="5"/>
      <c r="R2167" s="5"/>
      <c r="S2167" s="5" t="s">
        <v>49499</v>
      </c>
      <c r="T2167" s="28">
        <v>1880069000</v>
      </c>
      <c r="U2167" s="28">
        <v>52725000</v>
      </c>
      <c r="V2167" s="28">
        <v>2468680000</v>
      </c>
      <c r="W2167" s="28">
        <v>800000</v>
      </c>
      <c r="X2167" s="28">
        <v>4228000</v>
      </c>
      <c r="Y2167" s="28">
        <v>6488757000</v>
      </c>
      <c r="Z2167" s="28">
        <v>4038216000</v>
      </c>
      <c r="AA2167" s="28">
        <v>211895000</v>
      </c>
      <c r="AB2167" s="28">
        <v>502907000</v>
      </c>
      <c r="AC2167" s="28">
        <v>1193124000</v>
      </c>
      <c r="AD2167" s="28">
        <v>4923928000</v>
      </c>
      <c r="AE2167" s="28">
        <v>5724300000</v>
      </c>
      <c r="AF2167" s="28">
        <v>1147262000</v>
      </c>
      <c r="AG2167" s="11"/>
    </row>
    <row r="2168">
      <c r="A2168" s="7" t="s">
        <v>3867</v>
      </c>
      <c r="B2168" s="5" t="s">
        <v>11848</v>
      </c>
      <c r="C2168" s="5" t="s">
        <v>19691</v>
      </c>
      <c r="D2168" s="5" t="str">
        <v>228200207485</v>
      </c>
      <c r="E2168" s="0" t="e">
        <f>+7 (385) 1822262
+7 (385) 1829738
+7 (38588) 29324
+7 (38588) 29721
+7 (38588) 29724
+7 (38588) 29740
+7 (38588) 29747</f>
        <v>#NAME?</v>
      </c>
      <c r="F2168" s="5"/>
      <c r="G2168" s="5"/>
      <c r="H2168" s="26">
        <v>30</v>
      </c>
      <c r="I2168" s="5" t="s">
        <v>31872</v>
      </c>
      <c r="J2168" s="5" t="s">
        <v>25895</v>
      </c>
      <c r="K2168" s="5" t="s">
        <v>344</v>
      </c>
      <c r="L2168" s="5" t="s">
        <v>31873</v>
      </c>
      <c r="M2168" s="27">
        <v>3673408</v>
      </c>
      <c r="N2168" s="5"/>
      <c r="O2168" s="5" t="str">
        <v>2282004413</v>
      </c>
      <c r="P2168" s="27">
        <v>60000</v>
      </c>
      <c r="Q2168" s="5" t="s">
        <v>49009</v>
      </c>
      <c r="R2168" s="5"/>
      <c r="S2168" s="5" t="s">
        <v>49066</v>
      </c>
      <c r="T2168" s="28">
        <v>2239151000</v>
      </c>
      <c r="U2168" s="28">
        <v>192000000</v>
      </c>
      <c r="V2168" s="28">
        <v>1118242000</v>
      </c>
      <c r="W2168" s="28">
        <v>1578459000</v>
      </c>
      <c r="X2168" s="28">
        <v>500944000</v>
      </c>
      <c r="Y2168" s="28">
        <v>8719670000</v>
      </c>
      <c r="Z2168" s="28">
        <v>6349337000</v>
      </c>
      <c r="AA2168" s="28">
        <v>739045000</v>
      </c>
      <c r="AB2168" s="28">
        <v>1442755000</v>
      </c>
      <c r="AC2168" s="28">
        <v>1599868000</v>
      </c>
      <c r="AD2168" s="28">
        <v>6349397000</v>
      </c>
      <c r="AE2168" s="28">
        <v>3451270000</v>
      </c>
      <c r="AF2168" s="28">
        <v>1964339000</v>
      </c>
      <c r="AG2168" s="11"/>
    </row>
    <row r="2169">
      <c r="A2169" s="7" t="s">
        <v>3868</v>
      </c>
      <c r="B2169" s="5" t="s">
        <v>11849</v>
      </c>
      <c r="C2169" s="5" t="s">
        <v>19692</v>
      </c>
      <c r="D2169" s="5" t="str">
        <v>390702976960</v>
      </c>
      <c r="E2169" s="0" t="e">
        <f>+7 (401) 2300707
+7 (401) 2603565
+7 (401) 2972325
+7 (40158) 37534
+7 (40158) 37536
+7 (40158) 37538
+7 (495) 7277707
+7 (800) 7707785
+7 (906) 2161538
+7 (921) 6177029
+7 (962) 2603514</f>
        <v>#NAME?</v>
      </c>
      <c r="F2169" s="5" t="s">
        <v>31874</v>
      </c>
      <c r="G2169" s="5" t="s">
        <v>31875</v>
      </c>
      <c r="H2169" s="26">
        <v>12.5</v>
      </c>
      <c r="I2169" s="5" t="s">
        <v>31876</v>
      </c>
      <c r="J2169" s="5" t="s">
        <v>25231</v>
      </c>
      <c r="K2169" s="5" t="s">
        <v>355</v>
      </c>
      <c r="L2169" s="5" t="s">
        <v>31877</v>
      </c>
      <c r="M2169" s="27"/>
      <c r="N2169" s="5"/>
      <c r="O2169" s="5" t="str">
        <v>3922500929</v>
      </c>
      <c r="P2169" s="27">
        <v>10000</v>
      </c>
      <c r="Q2169" s="5" t="s">
        <v>49059</v>
      </c>
      <c r="R2169" s="5"/>
      <c r="S2169" s="5" t="s">
        <v>49029</v>
      </c>
      <c r="T2169" s="28">
        <v>360670000</v>
      </c>
      <c r="U2169" s="28"/>
      <c r="V2169" s="28">
        <v>55700000</v>
      </c>
      <c r="W2169" s="28"/>
      <c r="X2169" s="28">
        <v>4390000</v>
      </c>
      <c r="Y2169" s="28">
        <v>703124000</v>
      </c>
      <c r="Z2169" s="28">
        <v>185598000</v>
      </c>
      <c r="AA2169" s="28"/>
      <c r="AB2169" s="28"/>
      <c r="AC2169" s="28">
        <v>496747000</v>
      </c>
      <c r="AD2169" s="28">
        <v>185608000</v>
      </c>
      <c r="AE2169" s="28">
        <v>3602419000</v>
      </c>
      <c r="AF2169" s="28">
        <v>102433000</v>
      </c>
      <c r="AG2169" s="11"/>
    </row>
    <row r="2170">
      <c r="A2170" s="7" t="s">
        <v>3869</v>
      </c>
      <c r="B2170" s="5" t="s">
        <v>11850</v>
      </c>
      <c r="C2170" s="5" t="s">
        <v>19693</v>
      </c>
      <c r="D2170" s="5" t="str">
        <v>501719463821</v>
      </c>
      <c r="E2170" s="0" t="e">
        <f>+7 (41154) 20731
+7 (41154) 20913
+7 (41154) 21009
+7 (41154) 22130
+7 (41154) 22333
+7 (929) 4817017</f>
        <v>#NAME?</v>
      </c>
      <c r="F2170" s="5" t="s">
        <v>31878</v>
      </c>
      <c r="G2170" s="5"/>
      <c r="H2170" s="26">
        <v>27.5</v>
      </c>
      <c r="I2170" s="5"/>
      <c r="J2170" s="5" t="s">
        <v>26499</v>
      </c>
      <c r="K2170" s="5" t="s">
        <v>355</v>
      </c>
      <c r="L2170" s="5"/>
      <c r="M2170" s="27"/>
      <c r="N2170" s="5"/>
      <c r="O2170" s="5" t="str">
        <v>1420041925</v>
      </c>
      <c r="P2170" s="27">
        <v>81800000</v>
      </c>
      <c r="Q2170" s="5" t="s">
        <v>49207</v>
      </c>
      <c r="R2170" s="5"/>
      <c r="S2170" s="5" t="s">
        <v>49311</v>
      </c>
      <c r="T2170" s="28">
        <v>1493334000</v>
      </c>
      <c r="U2170" s="28">
        <v>9550563000</v>
      </c>
      <c r="V2170" s="28">
        <v>2846812000</v>
      </c>
      <c r="W2170" s="28"/>
      <c r="X2170" s="28">
        <v>4248000</v>
      </c>
      <c r="Y2170" s="28">
        <v>16259790000</v>
      </c>
      <c r="Z2170" s="28">
        <v>-483900000</v>
      </c>
      <c r="AA2170" s="28">
        <v>15884630000</v>
      </c>
      <c r="AB2170" s="28"/>
      <c r="AC2170" s="28">
        <v>616998000</v>
      </c>
      <c r="AD2170" s="28">
        <v>-362793000</v>
      </c>
      <c r="AE2170" s="28">
        <v>3660013000</v>
      </c>
      <c r="AF2170" s="28">
        <v>-1727129000</v>
      </c>
      <c r="AG2170" s="11"/>
    </row>
    <row r="2171">
      <c r="A2171" s="7" t="s">
        <v>3870</v>
      </c>
      <c r="B2171" s="5" t="s">
        <v>11851</v>
      </c>
      <c r="C2171" s="5" t="s">
        <v>19694</v>
      </c>
      <c r="D2171" s="5" t="str">
        <v>540402130432</v>
      </c>
      <c r="E2171" s="0" t="e">
        <f>+7 (903) 9371418</f>
        <v>#NAME?</v>
      </c>
      <c r="F2171" s="5" t="s">
        <v>31879</v>
      </c>
      <c r="G2171" s="5"/>
      <c r="H2171" s="26">
        <v>4.5</v>
      </c>
      <c r="I2171" s="5" t="s">
        <v>31880</v>
      </c>
      <c r="J2171" s="5" t="s">
        <v>533</v>
      </c>
      <c r="K2171" s="5" t="s">
        <v>344</v>
      </c>
      <c r="L2171" s="5"/>
      <c r="M2171" s="27"/>
      <c r="N2171" s="5" t="s">
        <v>52758</v>
      </c>
      <c r="O2171" s="5" t="str">
        <v>5407971260</v>
      </c>
      <c r="P2171" s="27">
        <v>10000</v>
      </c>
      <c r="Q2171" s="5" t="s">
        <v>52759</v>
      </c>
      <c r="R2171" s="5"/>
      <c r="S2171" s="5" t="s">
        <v>52760</v>
      </c>
      <c r="T2171" s="28">
        <v>41000</v>
      </c>
      <c r="U2171" s="28"/>
      <c r="V2171" s="28"/>
      <c r="W2171" s="28"/>
      <c r="X2171" s="28">
        <v>28000</v>
      </c>
      <c r="Y2171" s="28">
        <v>79000</v>
      </c>
      <c r="Z2171" s="28"/>
      <c r="AA2171" s="28"/>
      <c r="AB2171" s="28"/>
      <c r="AC2171" s="28">
        <v>69000</v>
      </c>
      <c r="AD2171" s="28">
        <v>10000</v>
      </c>
      <c r="AE2171" s="28">
        <v>4375758000</v>
      </c>
      <c r="AF2171" s="28">
        <v>340122000</v>
      </c>
      <c r="AG2171" s="11"/>
    </row>
    <row r="2172">
      <c r="A2172" s="7" t="s">
        <v>3871</v>
      </c>
      <c r="B2172" s="5" t="s">
        <v>11852</v>
      </c>
      <c r="C2172" s="5" t="s">
        <v>19695</v>
      </c>
      <c r="D2172" s="5" t="str">
        <v>720302567609</v>
      </c>
      <c r="E2172" s="0" t="e">
        <f>+7 (345) 2284516
+7 (961) 2050373
+7 (345) 2284384
+7 (345) 2284488
+7 (345) 2284523
+7 (345) 2284528
+7 (345) 2284534
+7 (345) 2540541
+7 (963) 4528636</f>
        <v>#NAME?</v>
      </c>
      <c r="F2172" s="5" t="s">
        <v>31881</v>
      </c>
      <c r="G2172" s="5"/>
      <c r="H2172" s="26">
        <v>24</v>
      </c>
      <c r="I2172" s="5" t="s">
        <v>31882</v>
      </c>
      <c r="J2172" s="5" t="s">
        <v>364</v>
      </c>
      <c r="K2172" s="5" t="s">
        <v>344</v>
      </c>
      <c r="L2172" s="5" t="s">
        <v>31883</v>
      </c>
      <c r="M2172" s="27">
        <v>395742886</v>
      </c>
      <c r="N2172" s="5" t="s">
        <v>52761</v>
      </c>
      <c r="O2172" s="5" t="str">
        <v>7202083210</v>
      </c>
      <c r="P2172" s="27">
        <v>10000</v>
      </c>
      <c r="Q2172" s="5" t="s">
        <v>52763</v>
      </c>
      <c r="R2172" s="5" t="s">
        <v>52764</v>
      </c>
      <c r="S2172" s="5" t="s">
        <v>52765</v>
      </c>
      <c r="T2172" s="28">
        <v>3733583000</v>
      </c>
      <c r="U2172" s="28">
        <v>3094690000</v>
      </c>
      <c r="V2172" s="28">
        <v>32481580000</v>
      </c>
      <c r="W2172" s="28"/>
      <c r="X2172" s="28">
        <v>9602479000</v>
      </c>
      <c r="Y2172" s="28">
        <v>64944144000</v>
      </c>
      <c r="Z2172" s="28">
        <v>7877786000</v>
      </c>
      <c r="AA2172" s="28"/>
      <c r="AB2172" s="28"/>
      <c r="AC2172" s="28">
        <v>51354603000</v>
      </c>
      <c r="AD2172" s="28">
        <v>7877798000</v>
      </c>
      <c r="AE2172" s="28">
        <v>26887163000</v>
      </c>
      <c r="AF2172" s="28">
        <v>701176000</v>
      </c>
      <c r="AG2172" s="11"/>
    </row>
    <row r="2173">
      <c r="A2173" s="7" t="s">
        <v>3872</v>
      </c>
      <c r="B2173" s="5" t="s">
        <v>11853</v>
      </c>
      <c r="C2173" s="5" t="s">
        <v>19696</v>
      </c>
      <c r="D2173" s="5" t="str">
        <v>421708895629</v>
      </c>
      <c r="E2173" s="0" t="e">
        <f>+7 (3843) 749075
+7 (38473) 21460
+7 (38473) 22359
+7 (38473) 30161
+7 (38473) 30488
+7 (38473) 30550
+7 (38473) 32459
+7 (38473) 32469</f>
        <v>#NAME?</v>
      </c>
      <c r="F2173" s="5" t="s">
        <v>31884</v>
      </c>
      <c r="G2173" s="5"/>
      <c r="H2173" s="26">
        <v>27.5</v>
      </c>
      <c r="I2173" s="5" t="s">
        <v>31885</v>
      </c>
      <c r="J2173" s="5" t="s">
        <v>955</v>
      </c>
      <c r="K2173" s="5" t="s">
        <v>355</v>
      </c>
      <c r="L2173" s="5" t="s">
        <v>31886</v>
      </c>
      <c r="M2173" s="27"/>
      <c r="N2173" s="5"/>
      <c r="O2173" s="5" t="str">
        <v>4252012308</v>
      </c>
      <c r="P2173" s="27">
        <v>494758</v>
      </c>
      <c r="Q2173" s="5" t="s">
        <v>49009</v>
      </c>
      <c r="R2173" s="5"/>
      <c r="S2173" s="5" t="s">
        <v>49045</v>
      </c>
      <c r="T2173" s="28">
        <v>608509000</v>
      </c>
      <c r="U2173" s="28">
        <v>2194540000</v>
      </c>
      <c r="V2173" s="28">
        <v>799887000</v>
      </c>
      <c r="W2173" s="28">
        <v>177258000</v>
      </c>
      <c r="X2173" s="28">
        <v>792000</v>
      </c>
      <c r="Y2173" s="28">
        <v>4768474000</v>
      </c>
      <c r="Z2173" s="28">
        <v>-181992000</v>
      </c>
      <c r="AA2173" s="28">
        <v>2467995000</v>
      </c>
      <c r="AB2173" s="28">
        <v>685189000</v>
      </c>
      <c r="AC2173" s="28">
        <v>2320004000</v>
      </c>
      <c r="AD2173" s="28">
        <v>-181497000</v>
      </c>
      <c r="AE2173" s="28">
        <v>18551081000</v>
      </c>
      <c r="AF2173" s="28">
        <v>-94901000</v>
      </c>
      <c r="AG2173" s="11"/>
    </row>
    <row r="2174">
      <c r="A2174" s="7" t="s">
        <v>3873</v>
      </c>
      <c r="B2174" s="5" t="s">
        <v>11854</v>
      </c>
      <c r="C2174" s="5" t="s">
        <v>19697</v>
      </c>
      <c r="D2174" s="5" t="str">
        <v>500900548675</v>
      </c>
      <c r="E2174" s="0" t="e">
        <f>+7 (800) 5550877
+7 (915) 3776093</f>
        <v>#NAME?</v>
      </c>
      <c r="F2174" s="5" t="s">
        <v>31887</v>
      </c>
      <c r="G2174" s="5"/>
      <c r="H2174" s="26">
        <v>8</v>
      </c>
      <c r="I2174" s="5" t="s">
        <v>31888</v>
      </c>
      <c r="J2174" s="5" t="s">
        <v>25550</v>
      </c>
      <c r="K2174" s="5" t="s">
        <v>344</v>
      </c>
      <c r="L2174" s="5" t="s">
        <v>31889</v>
      </c>
      <c r="M2174" s="27"/>
      <c r="N2174" s="5" t="s">
        <v>52766</v>
      </c>
      <c r="O2174" s="5" t="str">
        <v>7728898110</v>
      </c>
      <c r="P2174" s="27">
        <v>10000</v>
      </c>
      <c r="Q2174" s="5" t="s">
        <v>52461</v>
      </c>
      <c r="R2174" s="5"/>
      <c r="S2174" s="5" t="s">
        <v>52767</v>
      </c>
      <c r="T2174" s="28">
        <v>69000</v>
      </c>
      <c r="U2174" s="28"/>
      <c r="V2174" s="28">
        <v>186480000</v>
      </c>
      <c r="W2174" s="28"/>
      <c r="X2174" s="28">
        <v>18677000</v>
      </c>
      <c r="Y2174" s="28">
        <v>302381000</v>
      </c>
      <c r="Z2174" s="28"/>
      <c r="AA2174" s="28"/>
      <c r="AB2174" s="28"/>
      <c r="AC2174" s="28">
        <v>295363000</v>
      </c>
      <c r="AD2174" s="28">
        <v>7019000</v>
      </c>
      <c r="AE2174" s="28">
        <v>3635667000</v>
      </c>
      <c r="AF2174" s="28">
        <v>3242000</v>
      </c>
      <c r="AG2174" s="11"/>
    </row>
    <row r="2175">
      <c r="A2175" s="7" t="s">
        <v>3874</v>
      </c>
      <c r="B2175" s="5" t="s">
        <v>11855</v>
      </c>
      <c r="C2175" s="5" t="s">
        <v>19698</v>
      </c>
      <c r="D2175" s="5" t="str">
        <v>501400948116</v>
      </c>
      <c r="E2175" s="0" t="e">
        <f>+7 (49666) 24867
+7 (49666) 25484
+7 (49666) 26067
+7 (49666) 26269
+7 (49666) 26298
+7 (49666) 27226
+7 (916) 1730103</f>
        <v>#NAME?</v>
      </c>
      <c r="F2175" s="5" t="s">
        <v>31890</v>
      </c>
      <c r="G2175" s="5"/>
      <c r="H2175" s="26">
        <v>23</v>
      </c>
      <c r="I2175" s="5" t="s">
        <v>31891</v>
      </c>
      <c r="J2175" s="5" t="s">
        <v>25262</v>
      </c>
      <c r="K2175" s="5" t="s">
        <v>344</v>
      </c>
      <c r="L2175" s="5" t="s">
        <v>31892</v>
      </c>
      <c r="M2175" s="27">
        <v>5851200</v>
      </c>
      <c r="N2175" s="5" t="s">
        <v>52768</v>
      </c>
      <c r="O2175" s="5" t="str">
        <v>5014008048</v>
      </c>
      <c r="P2175" s="27">
        <v>800000</v>
      </c>
      <c r="Q2175" s="5" t="s">
        <v>49057</v>
      </c>
      <c r="R2175" s="5"/>
      <c r="S2175" s="5" t="s">
        <v>49450</v>
      </c>
      <c r="T2175" s="28">
        <v>42698000</v>
      </c>
      <c r="U2175" s="28"/>
      <c r="V2175" s="28">
        <v>615364000</v>
      </c>
      <c r="W2175" s="28">
        <v>40000000</v>
      </c>
      <c r="X2175" s="28">
        <v>45995000</v>
      </c>
      <c r="Y2175" s="28">
        <v>846867000</v>
      </c>
      <c r="Z2175" s="28">
        <v>525016000</v>
      </c>
      <c r="AA2175" s="28"/>
      <c r="AB2175" s="28"/>
      <c r="AC2175" s="28">
        <v>320603000</v>
      </c>
      <c r="AD2175" s="28">
        <v>525936000</v>
      </c>
      <c r="AE2175" s="28">
        <v>3025828000</v>
      </c>
      <c r="AF2175" s="28">
        <v>119716000</v>
      </c>
      <c r="AG2175" s="11"/>
    </row>
    <row r="2176">
      <c r="A2176" s="7" t="s">
        <v>3875</v>
      </c>
      <c r="B2176" s="5" t="s">
        <v>11856</v>
      </c>
      <c r="C2176" s="5" t="s">
        <v>19699</v>
      </c>
      <c r="D2176" s="5" t="str">
        <v>504405770707</v>
      </c>
      <c r="E2176" s="0" t="e">
        <f>+7 (473) 2502779
+7 (473) 2505779
+7 (47394) 54076
+7 (495) 9968907
+7 (920) 4466882</f>
        <v>#NAME?</v>
      </c>
      <c r="F2176" s="5" t="s">
        <v>31893</v>
      </c>
      <c r="G2176" s="5" t="s">
        <v>31894</v>
      </c>
      <c r="H2176" s="26">
        <v>12.5</v>
      </c>
      <c r="I2176" s="5" t="s">
        <v>31895</v>
      </c>
      <c r="J2176" s="5" t="s">
        <v>31896</v>
      </c>
      <c r="K2176" s="5" t="s">
        <v>355</v>
      </c>
      <c r="L2176" s="5"/>
      <c r="M2176" s="27"/>
      <c r="N2176" s="5" t="s">
        <v>50866</v>
      </c>
      <c r="O2176" s="5" t="str">
        <v>3625011330</v>
      </c>
      <c r="P2176" s="27">
        <v>160304000</v>
      </c>
      <c r="Q2176" s="5" t="s">
        <v>49009</v>
      </c>
      <c r="R2176" s="5"/>
      <c r="S2176" s="5" t="s">
        <v>49408</v>
      </c>
      <c r="T2176" s="28">
        <v>16989172000</v>
      </c>
      <c r="U2176" s="28"/>
      <c r="V2176" s="28">
        <v>1213777000</v>
      </c>
      <c r="W2176" s="28"/>
      <c r="X2176" s="28">
        <v>135485000</v>
      </c>
      <c r="Y2176" s="28">
        <v>27367939000</v>
      </c>
      <c r="Z2176" s="28">
        <v>-9812145000</v>
      </c>
      <c r="AA2176" s="28">
        <v>20032575000</v>
      </c>
      <c r="AB2176" s="28">
        <v>4555360000</v>
      </c>
      <c r="AC2176" s="28">
        <v>5658035000</v>
      </c>
      <c r="AD2176" s="28">
        <v>560934000</v>
      </c>
      <c r="AE2176" s="28">
        <v>6957735000</v>
      </c>
      <c r="AF2176" s="28">
        <v>-1515128000</v>
      </c>
      <c r="AG2176" s="11"/>
    </row>
    <row r="2177">
      <c r="A2177" s="7" t="s">
        <v>3876</v>
      </c>
      <c r="B2177" s="5" t="s">
        <v>11857</v>
      </c>
      <c r="C2177" s="5" t="s">
        <v>19700</v>
      </c>
      <c r="D2177" s="5" t="str">
        <v>772381957700</v>
      </c>
      <c r="E2177" s="0" t="e">
        <f>+7 (495) 7486495
+7 (495) 7486424
+7 (495) 7486485
+7 (495) 7486500
+7 (495) 7486505</f>
        <v>#NAME?</v>
      </c>
      <c r="F2177" s="5" t="s">
        <v>31897</v>
      </c>
      <c r="G2177" s="5"/>
      <c r="H2177" s="26">
        <v>23</v>
      </c>
      <c r="I2177" s="5" t="s">
        <v>31898</v>
      </c>
      <c r="J2177" s="5" t="s">
        <v>373</v>
      </c>
      <c r="K2177" s="5" t="s">
        <v>344</v>
      </c>
      <c r="L2177" s="5" t="s">
        <v>31899</v>
      </c>
      <c r="M2177" s="27"/>
      <c r="N2177" s="5" t="s">
        <v>52770</v>
      </c>
      <c r="O2177" s="5" t="str">
        <v>7717108843</v>
      </c>
      <c r="P2177" s="27">
        <v>32600000</v>
      </c>
      <c r="Q2177" s="5" t="s">
        <v>52771</v>
      </c>
      <c r="R2177" s="5"/>
      <c r="S2177" s="5" t="s">
        <v>52772</v>
      </c>
      <c r="T2177" s="28">
        <v>27063000</v>
      </c>
      <c r="U2177" s="28">
        <v>113629000</v>
      </c>
      <c r="V2177" s="28">
        <v>11200645000</v>
      </c>
      <c r="W2177" s="28"/>
      <c r="X2177" s="28">
        <v>1520750000</v>
      </c>
      <c r="Y2177" s="28">
        <v>13114823000</v>
      </c>
      <c r="Z2177" s="28">
        <v>309676000</v>
      </c>
      <c r="AA2177" s="28"/>
      <c r="AB2177" s="28">
        <v>532045000</v>
      </c>
      <c r="AC2177" s="28">
        <v>12737140000</v>
      </c>
      <c r="AD2177" s="28">
        <v>342276000</v>
      </c>
      <c r="AE2177" s="28">
        <v>31191539000</v>
      </c>
      <c r="AF2177" s="28">
        <v>196079000</v>
      </c>
      <c r="AG2177" s="11"/>
    </row>
    <row r="2178">
      <c r="A2178" s="7" t="s">
        <v>3877</v>
      </c>
      <c r="B2178" s="5" t="s">
        <v>11858</v>
      </c>
      <c r="C2178" s="5" t="s">
        <v>19701</v>
      </c>
      <c r="D2178" s="5" t="str">
        <v>503500536102</v>
      </c>
      <c r="E2178" s="0" t="e">
        <f>+7 (495) 6688245
+7 (495) 6373778
+7 (495) 6373865
+7 (495) 6373914
+7 (495) 7800936</f>
        <v>#NAME?</v>
      </c>
      <c r="F2178" s="5" t="s">
        <v>31900</v>
      </c>
      <c r="G2178" s="5"/>
      <c r="H2178" s="26">
        <v>15.5</v>
      </c>
      <c r="I2178" s="5" t="s">
        <v>31901</v>
      </c>
      <c r="J2178" s="5" t="s">
        <v>1095</v>
      </c>
      <c r="K2178" s="5" t="s">
        <v>355</v>
      </c>
      <c r="L2178" s="5" t="s">
        <v>31902</v>
      </c>
      <c r="M2178" s="27">
        <v>34871472</v>
      </c>
      <c r="N2178" s="5" t="s">
        <v>52773</v>
      </c>
      <c r="O2178" s="5" t="str">
        <v>7704658448</v>
      </c>
      <c r="P2178" s="27">
        <v>2000000</v>
      </c>
      <c r="Q2178" s="5" t="s">
        <v>52774</v>
      </c>
      <c r="R2178" s="5" t="s">
        <v>52775</v>
      </c>
      <c r="S2178" s="5" t="s">
        <v>52776</v>
      </c>
      <c r="T2178" s="28">
        <v>1231000</v>
      </c>
      <c r="U2178" s="28"/>
      <c r="V2178" s="28">
        <v>3626322000</v>
      </c>
      <c r="W2178" s="28"/>
      <c r="X2178" s="28">
        <v>787120000</v>
      </c>
      <c r="Y2178" s="28">
        <v>4786506000</v>
      </c>
      <c r="Z2178" s="28">
        <v>72744000</v>
      </c>
      <c r="AA2178" s="28"/>
      <c r="AB2178" s="28">
        <v>79583000</v>
      </c>
      <c r="AC2178" s="28">
        <v>4711762000</v>
      </c>
      <c r="AD2178" s="28">
        <v>74744000</v>
      </c>
      <c r="AE2178" s="28">
        <v>9826662000</v>
      </c>
      <c r="AF2178" s="28">
        <v>49167000</v>
      </c>
      <c r="AG2178" s="11"/>
    </row>
    <row r="2179">
      <c r="A2179" s="7" t="s">
        <v>3878</v>
      </c>
      <c r="B2179" s="5" t="s">
        <v>11857</v>
      </c>
      <c r="C2179" s="5" t="s">
        <v>19702</v>
      </c>
      <c r="D2179" s="5" t="str">
        <v>702203156990</v>
      </c>
      <c r="E2179" s="0" t="e">
        <f>+7 (495) 6245301
+7 (495) 6245378
+7 (495) 6246057
+7 (495) 6248772
+7 (495) 7486400
+7 (495) 7486433
+7 (495) 7486500
+7 (495) 7486505
+7 (915) 251353</f>
        <v>#NAME?</v>
      </c>
      <c r="F2179" s="5" t="s">
        <v>31903</v>
      </c>
      <c r="G2179" s="5" t="s">
        <v>31904</v>
      </c>
      <c r="H2179" s="26">
        <v>31</v>
      </c>
      <c r="I2179" s="5" t="s">
        <v>31905</v>
      </c>
      <c r="J2179" s="5" t="s">
        <v>373</v>
      </c>
      <c r="K2179" s="5" t="s">
        <v>344</v>
      </c>
      <c r="L2179" s="5" t="s">
        <v>31906</v>
      </c>
      <c r="M2179" s="27"/>
      <c r="N2179" s="5" t="s">
        <v>52777</v>
      </c>
      <c r="O2179" s="5" t="str">
        <v>7701350084</v>
      </c>
      <c r="P2179" s="27">
        <v>50729067000</v>
      </c>
      <c r="Q2179" s="5" t="s">
        <v>52778</v>
      </c>
      <c r="R2179" s="5"/>
      <c r="S2179" s="5" t="s">
        <v>52597</v>
      </c>
      <c r="T2179" s="28">
        <v>3829312000</v>
      </c>
      <c r="U2179" s="28">
        <v>102077716000</v>
      </c>
      <c r="V2179" s="28">
        <v>50273342000</v>
      </c>
      <c r="W2179" s="28">
        <v>865372000</v>
      </c>
      <c r="X2179" s="28">
        <v>24420408000</v>
      </c>
      <c r="Y2179" s="28">
        <v>214736289000</v>
      </c>
      <c r="Z2179" s="28">
        <v>95600601000</v>
      </c>
      <c r="AA2179" s="28">
        <v>5504824000</v>
      </c>
      <c r="AB2179" s="28">
        <v>26358291000</v>
      </c>
      <c r="AC2179" s="28">
        <v>35326151000</v>
      </c>
      <c r="AD2179" s="28">
        <v>164136049000</v>
      </c>
      <c r="AE2179" s="28">
        <v>73124201000</v>
      </c>
      <c r="AF2179" s="28">
        <v>15125640000</v>
      </c>
      <c r="AG2179" s="11"/>
    </row>
    <row r="2180">
      <c r="A2180" s="7" t="s">
        <v>3879</v>
      </c>
      <c r="B2180" s="5" t="s">
        <v>11859</v>
      </c>
      <c r="C2180" s="5" t="s">
        <v>19703</v>
      </c>
      <c r="D2180" s="5" t="str">
        <v>861203058880</v>
      </c>
      <c r="E2180" s="0" t="e">
        <f>+7 (495) 2213132
+7 (495) 2280121
+7 (495) 2280140
+7 (495) 7390160
+7 (495) 7486511</f>
        <v>#NAME?</v>
      </c>
      <c r="F2180" s="5" t="s">
        <v>31907</v>
      </c>
      <c r="G2180" s="5" t="s">
        <v>31908</v>
      </c>
      <c r="H2180" s="26">
        <v>7.5</v>
      </c>
      <c r="I2180" s="5" t="s">
        <v>31909</v>
      </c>
      <c r="J2180" s="5" t="s">
        <v>26607</v>
      </c>
      <c r="K2180" s="5" t="s">
        <v>344</v>
      </c>
      <c r="L2180" s="5" t="s">
        <v>31910</v>
      </c>
      <c r="M2180" s="27"/>
      <c r="N2180" s="5"/>
      <c r="O2180" s="5" t="str">
        <v>9701011913</v>
      </c>
      <c r="P2180" s="27">
        <v>5957000000</v>
      </c>
      <c r="Q2180" s="5" t="s">
        <v>52779</v>
      </c>
      <c r="R2180" s="5"/>
      <c r="S2180" s="5" t="s">
        <v>50378</v>
      </c>
      <c r="T2180" s="28"/>
      <c r="U2180" s="28"/>
      <c r="V2180" s="28">
        <v>9663207000</v>
      </c>
      <c r="W2180" s="28"/>
      <c r="X2180" s="28">
        <v>57000</v>
      </c>
      <c r="Y2180" s="28">
        <v>12766719000</v>
      </c>
      <c r="Z2180" s="28">
        <v>1286540000</v>
      </c>
      <c r="AA2180" s="28"/>
      <c r="AB2180" s="28"/>
      <c r="AC2180" s="28">
        <v>3464579000</v>
      </c>
      <c r="AD2180" s="28">
        <v>7243540000</v>
      </c>
      <c r="AE2180" s="28">
        <v>13963573000</v>
      </c>
      <c r="AF2180" s="28">
        <v>1495685000</v>
      </c>
      <c r="AG2180" s="11"/>
    </row>
    <row r="2181">
      <c r="A2181" s="7" t="s">
        <v>3880</v>
      </c>
      <c r="B2181" s="5" t="s">
        <v>11860</v>
      </c>
      <c r="C2181" s="5" t="s">
        <v>19704</v>
      </c>
      <c r="D2181" s="5" t="str">
        <v>505000720442</v>
      </c>
      <c r="E2181" s="0" t="e">
        <f>+7 (926) 9900771
+7 (926) 9901112
+7 (49676) 5507
+7 (49676) 5508
+7 (499) 4004441
+7 (926) 9900358
+7 (926) 9900578</f>
        <v>#NAME?</v>
      </c>
      <c r="F2181" s="5" t="s">
        <v>31911</v>
      </c>
      <c r="G2181" s="5" t="s">
        <v>31912</v>
      </c>
      <c r="H2181" s="26">
        <v>13.5</v>
      </c>
      <c r="I2181" s="5"/>
      <c r="J2181" s="5" t="s">
        <v>25353</v>
      </c>
      <c r="K2181" s="5" t="s">
        <v>344</v>
      </c>
      <c r="L2181" s="5" t="s">
        <v>31913</v>
      </c>
      <c r="M2181" s="27"/>
      <c r="N2181" s="5" t="s">
        <v>52780</v>
      </c>
      <c r="O2181" s="5" t="str">
        <v>5074112710</v>
      </c>
      <c r="P2181" s="27">
        <v>1000000</v>
      </c>
      <c r="Q2181" s="5" t="s">
        <v>49579</v>
      </c>
      <c r="R2181" s="5"/>
      <c r="S2181" s="5" t="s">
        <v>52781</v>
      </c>
      <c r="T2181" s="28">
        <v>104080000</v>
      </c>
      <c r="U2181" s="28"/>
      <c r="V2181" s="28">
        <v>304344000</v>
      </c>
      <c r="W2181" s="28">
        <v>5500000</v>
      </c>
      <c r="X2181" s="28">
        <v>45913000</v>
      </c>
      <c r="Y2181" s="28">
        <v>1143089000</v>
      </c>
      <c r="Z2181" s="28">
        <v>521348000</v>
      </c>
      <c r="AA2181" s="28">
        <v>226440000</v>
      </c>
      <c r="AB2181" s="28"/>
      <c r="AC2181" s="28">
        <v>383334000</v>
      </c>
      <c r="AD2181" s="28">
        <v>525957000</v>
      </c>
      <c r="AE2181" s="28">
        <v>6488664000</v>
      </c>
      <c r="AF2181" s="28">
        <v>241369000</v>
      </c>
      <c r="AG2181" s="11"/>
    </row>
    <row r="2182">
      <c r="A2182" s="7" t="s">
        <v>3881</v>
      </c>
      <c r="B2182" s="5" t="s">
        <v>11861</v>
      </c>
      <c r="C2182" s="5" t="s">
        <v>19705</v>
      </c>
      <c r="D2182" s="5" t="str">
        <v>211502851986</v>
      </c>
      <c r="E2182" s="0" t="e">
        <f>+7 (835) 2733131
+7 (8352) 367200
+7 (8352) 367211
+7 (987) 6786775</f>
        <v>#NAME?</v>
      </c>
      <c r="F2182" s="5" t="s">
        <v>31914</v>
      </c>
      <c r="G2182" s="5"/>
      <c r="H2182" s="26">
        <v>11.5</v>
      </c>
      <c r="I2182" s="5" t="s">
        <v>31915</v>
      </c>
      <c r="J2182" s="5" t="s">
        <v>26581</v>
      </c>
      <c r="K2182" s="5" t="s">
        <v>344</v>
      </c>
      <c r="L2182" s="5" t="s">
        <v>25551</v>
      </c>
      <c r="M2182" s="27"/>
      <c r="N2182" s="5"/>
      <c r="O2182" s="5" t="str">
        <v>2124034454</v>
      </c>
      <c r="P2182" s="27">
        <v>10000</v>
      </c>
      <c r="Q2182" s="5"/>
      <c r="R2182" s="5"/>
      <c r="S2182" s="5" t="s">
        <v>49110</v>
      </c>
      <c r="T2182" s="28">
        <v>134658000</v>
      </c>
      <c r="U2182" s="28">
        <v>317413000</v>
      </c>
      <c r="V2182" s="28">
        <v>541511000</v>
      </c>
      <c r="W2182" s="28">
        <v>160843000</v>
      </c>
      <c r="X2182" s="28">
        <v>4902000</v>
      </c>
      <c r="Y2182" s="28">
        <v>1367164000</v>
      </c>
      <c r="Z2182" s="28">
        <v>127258000</v>
      </c>
      <c r="AA2182" s="28">
        <v>206987000</v>
      </c>
      <c r="AB2182" s="28">
        <v>541784000</v>
      </c>
      <c r="AC2182" s="28">
        <v>1032909000</v>
      </c>
      <c r="AD2182" s="28">
        <v>127268000</v>
      </c>
      <c r="AE2182" s="28">
        <v>3399799000</v>
      </c>
      <c r="AF2182" s="28">
        <v>28972000</v>
      </c>
      <c r="AG2182" s="11"/>
    </row>
    <row r="2183">
      <c r="A2183" s="7" t="s">
        <v>3882</v>
      </c>
      <c r="B2183" s="5" t="s">
        <v>11862</v>
      </c>
      <c r="C2183" s="5" t="s">
        <v>19706</v>
      </c>
      <c r="D2183" s="5" t="str">
        <v>772771157924</v>
      </c>
      <c r="E2183" s="0" t="e">
        <f>+7 (916) 7662688
+7 (812) 3313301
+7 (812) 3889770</f>
        <v>#NAME?</v>
      </c>
      <c r="F2183" s="5" t="s">
        <v>31916</v>
      </c>
      <c r="G2183" s="5" t="s">
        <v>31917</v>
      </c>
      <c r="H2183" s="26">
        <v>20</v>
      </c>
      <c r="I2183" s="5" t="s">
        <v>31918</v>
      </c>
      <c r="J2183" s="5" t="s">
        <v>389</v>
      </c>
      <c r="K2183" s="5" t="s">
        <v>344</v>
      </c>
      <c r="L2183" s="5" t="s">
        <v>31919</v>
      </c>
      <c r="M2183" s="27">
        <v>1037915</v>
      </c>
      <c r="N2183" s="5" t="s">
        <v>52782</v>
      </c>
      <c r="O2183" s="5" t="str">
        <v>7810285325</v>
      </c>
      <c r="P2183" s="27">
        <v>15000000</v>
      </c>
      <c r="Q2183" s="5" t="s">
        <v>49021</v>
      </c>
      <c r="R2183" s="5"/>
      <c r="S2183" s="5" t="s">
        <v>52783</v>
      </c>
      <c r="T2183" s="28">
        <v>228338000</v>
      </c>
      <c r="U2183" s="28">
        <v>201213000</v>
      </c>
      <c r="V2183" s="28">
        <v>33152000</v>
      </c>
      <c r="W2183" s="28">
        <v>2350000</v>
      </c>
      <c r="X2183" s="28">
        <v>243295000</v>
      </c>
      <c r="Y2183" s="28">
        <v>933490000</v>
      </c>
      <c r="Z2183" s="28">
        <v>814950000</v>
      </c>
      <c r="AA2183" s="28"/>
      <c r="AB2183" s="28"/>
      <c r="AC2183" s="28">
        <v>91652000</v>
      </c>
      <c r="AD2183" s="28">
        <v>829950000</v>
      </c>
      <c r="AE2183" s="28">
        <v>3780208000</v>
      </c>
      <c r="AF2183" s="28">
        <v>201297000</v>
      </c>
      <c r="AG2183" s="11"/>
    </row>
    <row r="2184">
      <c r="A2184" s="7" t="s">
        <v>3883</v>
      </c>
      <c r="B2184" s="5" t="s">
        <v>11863</v>
      </c>
      <c r="C2184" s="5" t="s">
        <v>19707</v>
      </c>
      <c r="D2184" s="5" t="str">
        <v>120302664490</v>
      </c>
      <c r="E2184" s="0" t="e">
        <f>+7 (800) 7078888
+7 (8362) 228888
+7 (8362) 232977
+7 (8362) 459186
+7 (83633) 99040
+7 (83636) 91511
+7 (83636) 91531
+7 (83638) 96319
+7 (83645) 62221
+7 (83645) 66421
+7 (83645) 68300
+7 (83645) 68301
+7 (927) 6678888</f>
        <v>#NAME?</v>
      </c>
      <c r="F2184" s="5" t="s">
        <v>31920</v>
      </c>
      <c r="G2184" s="5"/>
      <c r="H2184" s="26">
        <v>19</v>
      </c>
      <c r="I2184" s="5" t="s">
        <v>31921</v>
      </c>
      <c r="J2184" s="5" t="s">
        <v>27464</v>
      </c>
      <c r="K2184" s="5" t="s">
        <v>344</v>
      </c>
      <c r="L2184" s="5"/>
      <c r="M2184" s="27">
        <v>181262</v>
      </c>
      <c r="N2184" s="5" t="s">
        <v>52784</v>
      </c>
      <c r="O2184" s="5" t="str">
        <v>1203005214</v>
      </c>
      <c r="P2184" s="27">
        <v>505000</v>
      </c>
      <c r="Q2184" s="5" t="s">
        <v>49059</v>
      </c>
      <c r="R2184" s="5"/>
      <c r="S2184" s="5" t="s">
        <v>49045</v>
      </c>
      <c r="T2184" s="28">
        <v>2458069000</v>
      </c>
      <c r="U2184" s="28">
        <v>310352000</v>
      </c>
      <c r="V2184" s="28">
        <v>606442000</v>
      </c>
      <c r="W2184" s="28"/>
      <c r="X2184" s="28">
        <v>204806000</v>
      </c>
      <c r="Y2184" s="28">
        <v>5292086000</v>
      </c>
      <c r="Z2184" s="28">
        <v>4283054000</v>
      </c>
      <c r="AA2184" s="28"/>
      <c r="AB2184" s="28"/>
      <c r="AC2184" s="28">
        <v>1002834000</v>
      </c>
      <c r="AD2184" s="28">
        <v>4288910000</v>
      </c>
      <c r="AE2184" s="28">
        <v>15141435000</v>
      </c>
      <c r="AF2184" s="28">
        <v>72143000</v>
      </c>
      <c r="AG2184" s="11"/>
    </row>
    <row r="2185">
      <c r="A2185" s="7" t="s">
        <v>3884</v>
      </c>
      <c r="B2185" s="5" t="s">
        <v>11864</v>
      </c>
      <c r="C2185" s="5" t="s">
        <v>19708</v>
      </c>
      <c r="D2185" s="5" t="str">
        <v>120301004822</v>
      </c>
      <c r="E2185" s="0" t="e">
        <f>+7 (83645) 66341
+7 (83645) 66421
+7 (905) 3793535
+7 (906) 1385005</f>
        <v>#NAME?</v>
      </c>
      <c r="F2185" s="5"/>
      <c r="G2185" s="5"/>
      <c r="H2185" s="26">
        <v>12</v>
      </c>
      <c r="I2185" s="5" t="s">
        <v>31922</v>
      </c>
      <c r="J2185" s="5" t="s">
        <v>25371</v>
      </c>
      <c r="K2185" s="5" t="s">
        <v>344</v>
      </c>
      <c r="L2185" s="5"/>
      <c r="M2185" s="27">
        <v>29855161</v>
      </c>
      <c r="N2185" s="5"/>
      <c r="O2185" s="5" t="str">
        <v>1203008600</v>
      </c>
      <c r="P2185" s="27">
        <v>570000</v>
      </c>
      <c r="Q2185" s="5" t="s">
        <v>52786</v>
      </c>
      <c r="R2185" s="5"/>
      <c r="S2185" s="5" t="s">
        <v>49743</v>
      </c>
      <c r="T2185" s="28">
        <v>3107564000</v>
      </c>
      <c r="U2185" s="28"/>
      <c r="V2185" s="28">
        <v>2311175000</v>
      </c>
      <c r="W2185" s="28"/>
      <c r="X2185" s="28">
        <v>3495000</v>
      </c>
      <c r="Y2185" s="28">
        <v>7966770000</v>
      </c>
      <c r="Z2185" s="28">
        <v>7423848000</v>
      </c>
      <c r="AA2185" s="28"/>
      <c r="AB2185" s="28"/>
      <c r="AC2185" s="28">
        <v>462753000</v>
      </c>
      <c r="AD2185" s="28">
        <v>7476823000</v>
      </c>
      <c r="AE2185" s="28">
        <v>7176903000</v>
      </c>
      <c r="AF2185" s="28">
        <v>887127000</v>
      </c>
      <c r="AG2185" s="11"/>
    </row>
    <row r="2186">
      <c r="A2186" s="7" t="s">
        <v>3885</v>
      </c>
      <c r="B2186" s="5" t="s">
        <v>11865</v>
      </c>
      <c r="C2186" s="5" t="s">
        <v>19709</v>
      </c>
      <c r="D2186" s="5" t="str">
        <v>771803544902</v>
      </c>
      <c r="E2186" s="0" t="e">
        <f>+7 (495) 6203635
+7 (495) 9816347
+7 (495) 6902754
+7 (495) 6905294
+7 (495) 6955982
+7 (499) 1405231
+7 (499) 1407582
+7 (499) 1415333
+7 (499) 1495622</f>
        <v>#NAME?</v>
      </c>
      <c r="F2186" s="5" t="s">
        <v>31923</v>
      </c>
      <c r="G2186" s="5" t="s">
        <v>31924</v>
      </c>
      <c r="H2186" s="26">
        <v>26</v>
      </c>
      <c r="I2186" s="5" t="s">
        <v>31925</v>
      </c>
      <c r="J2186" s="5" t="s">
        <v>678</v>
      </c>
      <c r="K2186" s="5" t="s">
        <v>344</v>
      </c>
      <c r="L2186" s="5" t="s">
        <v>31926</v>
      </c>
      <c r="M2186" s="27"/>
      <c r="N2186" s="5"/>
      <c r="O2186" s="5" t="str">
        <v>7716131649</v>
      </c>
      <c r="P2186" s="27">
        <v>21008400</v>
      </c>
      <c r="Q2186" s="5" t="s">
        <v>52787</v>
      </c>
      <c r="R2186" s="5" t="s">
        <v>52788</v>
      </c>
      <c r="S2186" s="5" t="s">
        <v>52789</v>
      </c>
      <c r="T2186" s="28">
        <v>46603000</v>
      </c>
      <c r="U2186" s="28">
        <v>805484000</v>
      </c>
      <c r="V2186" s="28">
        <v>1390686000</v>
      </c>
      <c r="W2186" s="28">
        <v>1027361000</v>
      </c>
      <c r="X2186" s="28">
        <v>14780000</v>
      </c>
      <c r="Y2186" s="28">
        <v>3293732000</v>
      </c>
      <c r="Z2186" s="28">
        <v>2796818000</v>
      </c>
      <c r="AA2186" s="28"/>
      <c r="AB2186" s="28"/>
      <c r="AC2186" s="28">
        <v>464191000</v>
      </c>
      <c r="AD2186" s="28">
        <v>2817826000</v>
      </c>
      <c r="AE2186" s="28">
        <v>7271474000</v>
      </c>
      <c r="AF2186" s="28">
        <v>970090000</v>
      </c>
      <c r="AG2186" s="11"/>
    </row>
    <row r="2187">
      <c r="A2187" s="7" t="s">
        <v>3886</v>
      </c>
      <c r="B2187" s="5" t="s">
        <v>11866</v>
      </c>
      <c r="C2187" s="5" t="s">
        <v>19710</v>
      </c>
      <c r="D2187" s="5" t="str">
        <v>502408398995</v>
      </c>
      <c r="E2187" s="0" t="e">
        <f>+7 (351) 7770777
+7 (922) 7475973
+7 (3512) 110512
+7 (800) 3508350
+7 (922) 7446104
+7 (922) 7506514</f>
        <v>#NAME?</v>
      </c>
      <c r="F2187" s="5" t="s">
        <v>31927</v>
      </c>
      <c r="G2187" s="5"/>
      <c r="H2187" s="26">
        <v>9.5</v>
      </c>
      <c r="I2187" s="5" t="s">
        <v>31928</v>
      </c>
      <c r="J2187" s="5" t="s">
        <v>25986</v>
      </c>
      <c r="K2187" s="5" t="s">
        <v>355</v>
      </c>
      <c r="L2187" s="5"/>
      <c r="M2187" s="27">
        <v>12652069</v>
      </c>
      <c r="N2187" s="5"/>
      <c r="O2187" s="5" t="str">
        <v>7447230543</v>
      </c>
      <c r="P2187" s="27">
        <v>10000</v>
      </c>
      <c r="Q2187" s="5"/>
      <c r="R2187" s="5"/>
      <c r="S2187" s="5" t="s">
        <v>49110</v>
      </c>
      <c r="T2187" s="28">
        <v>45951000</v>
      </c>
      <c r="U2187" s="28"/>
      <c r="V2187" s="28">
        <v>529148000</v>
      </c>
      <c r="W2187" s="28"/>
      <c r="X2187" s="28">
        <v>1198000</v>
      </c>
      <c r="Y2187" s="28">
        <v>655124000</v>
      </c>
      <c r="Z2187" s="28">
        <v>-21067000</v>
      </c>
      <c r="AA2187" s="28"/>
      <c r="AB2187" s="28"/>
      <c r="AC2187" s="28">
        <v>674986000</v>
      </c>
      <c r="AD2187" s="28">
        <v>-21057000</v>
      </c>
      <c r="AE2187" s="28">
        <v>13781451000</v>
      </c>
      <c r="AF2187" s="28">
        <v>-5459000</v>
      </c>
      <c r="AG2187" s="11"/>
    </row>
    <row r="2188">
      <c r="A2188" s="7" t="s">
        <v>3887</v>
      </c>
      <c r="B2188" s="5" t="s">
        <v>11867</v>
      </c>
      <c r="C2188" s="5" t="s">
        <v>19711</v>
      </c>
      <c r="D2188" s="5" t="str">
        <v>235600140821</v>
      </c>
      <c r="E2188" s="0" t="e">
        <f>+7 (86135) 41984
+7 (86135) 41986
+7 (918) 1334060
+7 (918) 6497977
+7 (918) 6892280
+7 (918) 9777041
+7 (989) 1224242
+7 (989) 1981827
+7 (989) 2383228
+7 (989) 8399771</f>
        <v>#NAME?</v>
      </c>
      <c r="F2188" s="5" t="s">
        <v>31929</v>
      </c>
      <c r="G2188" s="5"/>
      <c r="H2188" s="26">
        <v>24.5</v>
      </c>
      <c r="I2188" s="5" t="s">
        <v>31930</v>
      </c>
      <c r="J2188" s="5" t="s">
        <v>25429</v>
      </c>
      <c r="K2188" s="5" t="s">
        <v>344</v>
      </c>
      <c r="L2188" s="5" t="s">
        <v>31931</v>
      </c>
      <c r="M2188" s="27"/>
      <c r="N2188" s="5" t="s">
        <v>52790</v>
      </c>
      <c r="O2188" s="5" t="str">
        <v>2356038480</v>
      </c>
      <c r="P2188" s="27">
        <v>50000</v>
      </c>
      <c r="Q2188" s="5" t="s">
        <v>49207</v>
      </c>
      <c r="R2188" s="5"/>
      <c r="S2188" s="5" t="s">
        <v>52322</v>
      </c>
      <c r="T2188" s="28">
        <v>193114000</v>
      </c>
      <c r="U2188" s="28">
        <v>881460000</v>
      </c>
      <c r="V2188" s="28">
        <v>1469696000</v>
      </c>
      <c r="W2188" s="28"/>
      <c r="X2188" s="28">
        <v>288321000</v>
      </c>
      <c r="Y2188" s="28">
        <v>3893233000</v>
      </c>
      <c r="Z2188" s="28">
        <v>439875000</v>
      </c>
      <c r="AA2188" s="28">
        <v>1035134000</v>
      </c>
      <c r="AB2188" s="28"/>
      <c r="AC2188" s="28">
        <v>2391715000</v>
      </c>
      <c r="AD2188" s="28">
        <v>439925000</v>
      </c>
      <c r="AE2188" s="28">
        <v>7751564000</v>
      </c>
      <c r="AF2188" s="28">
        <v>119464000</v>
      </c>
      <c r="AG2188" s="11"/>
    </row>
    <row r="2189">
      <c r="A2189" s="7" t="s">
        <v>3888</v>
      </c>
      <c r="B2189" s="5" t="s">
        <v>11868</v>
      </c>
      <c r="C2189" s="5" t="s">
        <v>19712</v>
      </c>
      <c r="D2189" s="5" t="str">
        <v>710406969514</v>
      </c>
      <c r="E2189" s="0" t="e">
        <f>+7 (472) 2207552
+7 (474) 2349697
+7 (484) 2203020
+7 (484) 2400377
+7 (485) 2253020
+7 (4862) 253020
+7 (487) 2233020
+7 (487) 2250320
+7 (487) 2251035
+7 (487) 2253010
+7 (487) 2253029
+7 (487) 2321654
+7 (487) 2203020
+7 (487) 2378186
+7 (487) 2378863</f>
        <v>#NAME?</v>
      </c>
      <c r="F2189" s="5" t="s">
        <v>31932</v>
      </c>
      <c r="G2189" s="5" t="s">
        <v>31933</v>
      </c>
      <c r="H2189" s="26">
        <v>22</v>
      </c>
      <c r="I2189" s="5" t="s">
        <v>31934</v>
      </c>
      <c r="J2189" s="5" t="s">
        <v>25429</v>
      </c>
      <c r="K2189" s="5" t="s">
        <v>344</v>
      </c>
      <c r="L2189" s="5" t="s">
        <v>31935</v>
      </c>
      <c r="M2189" s="27"/>
      <c r="N2189" s="5" t="s">
        <v>52791</v>
      </c>
      <c r="O2189" s="5" t="str">
        <v>7106040119</v>
      </c>
      <c r="P2189" s="27">
        <v>100000</v>
      </c>
      <c r="Q2189" s="5" t="s">
        <v>52792</v>
      </c>
      <c r="R2189" s="5"/>
      <c r="S2189" s="5" t="s">
        <v>52793</v>
      </c>
      <c r="T2189" s="28">
        <v>348387000</v>
      </c>
      <c r="U2189" s="28">
        <v>750000</v>
      </c>
      <c r="V2189" s="28">
        <v>4631590000</v>
      </c>
      <c r="W2189" s="28">
        <v>404931000</v>
      </c>
      <c r="X2189" s="28">
        <v>33783000</v>
      </c>
      <c r="Y2189" s="28">
        <v>7617757000</v>
      </c>
      <c r="Z2189" s="28">
        <v>794085000</v>
      </c>
      <c r="AA2189" s="28"/>
      <c r="AB2189" s="28">
        <v>25439000</v>
      </c>
      <c r="AC2189" s="28">
        <v>6446779000</v>
      </c>
      <c r="AD2189" s="28">
        <v>794185000</v>
      </c>
      <c r="AE2189" s="28">
        <v>19611031000</v>
      </c>
      <c r="AF2189" s="28">
        <v>80717000</v>
      </c>
      <c r="AG2189" s="11"/>
    </row>
    <row r="2190">
      <c r="A2190" s="7" t="s">
        <v>3889</v>
      </c>
      <c r="B2190" s="5" t="s">
        <v>11869</v>
      </c>
      <c r="C2190" s="5" t="s">
        <v>19713</v>
      </c>
      <c r="D2190" s="5" t="str">
        <v>502407802502</v>
      </c>
      <c r="E2190" s="0" t="e">
        <f>+7 (495) 9378720
+7 (495) 9378732
+7 (495) 9378733
+7 (495) 9378737
+7 (495) 9378747
+7 (495) 9378757
+7 (495) 9378759</f>
        <v>#NAME?</v>
      </c>
      <c r="F2190" s="5" t="s">
        <v>31936</v>
      </c>
      <c r="G2190" s="5" t="s">
        <v>31937</v>
      </c>
      <c r="H2190" s="26">
        <v>23.5</v>
      </c>
      <c r="I2190" s="5" t="s">
        <v>31938</v>
      </c>
      <c r="J2190" s="5" t="s">
        <v>29202</v>
      </c>
      <c r="K2190" s="5" t="s">
        <v>355</v>
      </c>
      <c r="L2190" s="5" t="s">
        <v>31939</v>
      </c>
      <c r="M2190" s="27"/>
      <c r="N2190" s="5"/>
      <c r="O2190" s="5" t="str">
        <v>7713216541</v>
      </c>
      <c r="P2190" s="27">
        <v>30018400</v>
      </c>
      <c r="Q2190" s="5" t="s">
        <v>49009</v>
      </c>
      <c r="R2190" s="5" t="s">
        <v>52794</v>
      </c>
      <c r="S2190" s="5" t="s">
        <v>49066</v>
      </c>
      <c r="T2190" s="28">
        <v>3102798000</v>
      </c>
      <c r="U2190" s="28">
        <v>427319000</v>
      </c>
      <c r="V2190" s="28">
        <v>1808665000</v>
      </c>
      <c r="W2190" s="28"/>
      <c r="X2190" s="28">
        <v>10713000</v>
      </c>
      <c r="Y2190" s="28">
        <v>8425900000</v>
      </c>
      <c r="Z2190" s="28">
        <v>1265431000</v>
      </c>
      <c r="AA2190" s="28">
        <v>2018790000</v>
      </c>
      <c r="AB2190" s="28">
        <v>2149320000</v>
      </c>
      <c r="AC2190" s="28">
        <v>4327427000</v>
      </c>
      <c r="AD2190" s="28">
        <v>1295449000</v>
      </c>
      <c r="AE2190" s="28">
        <v>8594537000</v>
      </c>
      <c r="AF2190" s="28">
        <v>98035000</v>
      </c>
      <c r="AG2190" s="11"/>
    </row>
    <row r="2191">
      <c r="A2191" s="7" t="s">
        <v>3890</v>
      </c>
      <c r="B2191" s="5" t="s">
        <v>11870</v>
      </c>
      <c r="C2191" s="5" t="s">
        <v>19714</v>
      </c>
      <c r="D2191" s="5" t="str">
        <v>784100372049</v>
      </c>
      <c r="E2191" s="0" t="e">
        <f>+7 (812) 2748336
+7 (812) 2624712
+7 (911) 2624712</f>
        <v>#NAME?</v>
      </c>
      <c r="F2191" s="5" t="s">
        <v>31940</v>
      </c>
      <c r="G2191" s="5" t="s">
        <v>31941</v>
      </c>
      <c r="H2191" s="26">
        <v>20</v>
      </c>
      <c r="I2191" s="5" t="s">
        <v>31942</v>
      </c>
      <c r="J2191" s="5" t="s">
        <v>467</v>
      </c>
      <c r="K2191" s="5" t="s">
        <v>344</v>
      </c>
      <c r="L2191" s="5" t="s">
        <v>31943</v>
      </c>
      <c r="M2191" s="27">
        <v>154507545</v>
      </c>
      <c r="N2191" s="5" t="s">
        <v>52795</v>
      </c>
      <c r="O2191" s="5" t="str">
        <v>7811136816</v>
      </c>
      <c r="P2191" s="27">
        <v>10000</v>
      </c>
      <c r="Q2191" s="5" t="s">
        <v>52796</v>
      </c>
      <c r="R2191" s="5"/>
      <c r="S2191" s="5" t="s">
        <v>52797</v>
      </c>
      <c r="T2191" s="28">
        <v>661128000</v>
      </c>
      <c r="U2191" s="28">
        <v>12310000</v>
      </c>
      <c r="V2191" s="28">
        <v>342309000</v>
      </c>
      <c r="W2191" s="28">
        <v>846701000</v>
      </c>
      <c r="X2191" s="28">
        <v>109608000</v>
      </c>
      <c r="Y2191" s="28">
        <v>2876803000</v>
      </c>
      <c r="Z2191" s="28">
        <v>828140000</v>
      </c>
      <c r="AA2191" s="28"/>
      <c r="AB2191" s="28">
        <v>140370000</v>
      </c>
      <c r="AC2191" s="28">
        <v>1712449000</v>
      </c>
      <c r="AD2191" s="28">
        <v>828150000</v>
      </c>
      <c r="AE2191" s="28">
        <v>3024093000</v>
      </c>
      <c r="AF2191" s="28">
        <v>152632000</v>
      </c>
      <c r="AG2191" s="11"/>
    </row>
    <row r="2192">
      <c r="A2192" s="7" t="s">
        <v>3891</v>
      </c>
      <c r="B2192" s="5" t="s">
        <v>11871</v>
      </c>
      <c r="C2192" s="5" t="s">
        <v>19715</v>
      </c>
      <c r="D2192" s="5" t="str">
        <v>503002178630</v>
      </c>
      <c r="E2192" s="0" t="e">
        <f>+7 (495) 6486122
+7 (903) 1353686</f>
        <v>#NAME?</v>
      </c>
      <c r="F2192" s="5" t="s">
        <v>31944</v>
      </c>
      <c r="G2192" s="5"/>
      <c r="H2192" s="26">
        <v>5</v>
      </c>
      <c r="I2192" s="5" t="s">
        <v>31945</v>
      </c>
      <c r="J2192" s="5" t="s">
        <v>27147</v>
      </c>
      <c r="K2192" s="5" t="s">
        <v>344</v>
      </c>
      <c r="L2192" s="5" t="s">
        <v>31946</v>
      </c>
      <c r="M2192" s="27"/>
      <c r="N2192" s="5"/>
      <c r="O2192" s="5" t="str">
        <v>7716885942</v>
      </c>
      <c r="P2192" s="27">
        <v>10000</v>
      </c>
      <c r="Q2192" s="5" t="s">
        <v>49021</v>
      </c>
      <c r="R2192" s="5"/>
      <c r="S2192" s="5" t="s">
        <v>52798</v>
      </c>
      <c r="T2192" s="28">
        <v>256442000</v>
      </c>
      <c r="U2192" s="28"/>
      <c r="V2192" s="28">
        <v>851539000</v>
      </c>
      <c r="W2192" s="28">
        <v>70550000</v>
      </c>
      <c r="X2192" s="28">
        <v>119909000</v>
      </c>
      <c r="Y2192" s="28">
        <v>2179439000</v>
      </c>
      <c r="Z2192" s="28">
        <v>1635604000</v>
      </c>
      <c r="AA2192" s="28">
        <v>116530000</v>
      </c>
      <c r="AB2192" s="28">
        <v>2744000</v>
      </c>
      <c r="AC2192" s="28">
        <v>422559000</v>
      </c>
      <c r="AD2192" s="28">
        <v>1635614000</v>
      </c>
      <c r="AE2192" s="28">
        <v>3744373000</v>
      </c>
      <c r="AF2192" s="28">
        <v>1359794000</v>
      </c>
      <c r="AG2192" s="11"/>
    </row>
    <row r="2193">
      <c r="A2193" s="7" t="s">
        <v>3892</v>
      </c>
      <c r="B2193" s="5" t="s">
        <v>11872</v>
      </c>
      <c r="C2193" s="5" t="s">
        <v>19716</v>
      </c>
      <c r="D2193" s="5" t="str">
        <v>771005362264</v>
      </c>
      <c r="E2193" s="0" t="e">
        <f>+7 (495) 2807795
+7 (495) 6400134
+7 (495) 7414556
+7 (495) 7414586
+7 (495) 7414832</f>
        <v>#NAME?</v>
      </c>
      <c r="F2193" s="5"/>
      <c r="G2193" s="5"/>
      <c r="H2193" s="26">
        <v>16.5</v>
      </c>
      <c r="I2193" s="5" t="s">
        <v>31947</v>
      </c>
      <c r="J2193" s="5" t="s">
        <v>25219</v>
      </c>
      <c r="K2193" s="5" t="s">
        <v>380</v>
      </c>
      <c r="L2193" s="5"/>
      <c r="M2193" s="27">
        <v>3296906</v>
      </c>
      <c r="N2193" s="5" t="s">
        <v>52799</v>
      </c>
      <c r="O2193" s="5" t="str">
        <v>5050058510</v>
      </c>
      <c r="P2193" s="27">
        <v>10100000</v>
      </c>
      <c r="Q2193" s="5" t="s">
        <v>49009</v>
      </c>
      <c r="R2193" s="5"/>
      <c r="S2193" s="5" t="s">
        <v>52800</v>
      </c>
      <c r="T2193" s="28">
        <v>2531600000</v>
      </c>
      <c r="U2193" s="28">
        <v>100000000</v>
      </c>
      <c r="V2193" s="28">
        <v>1042006000</v>
      </c>
      <c r="W2193" s="28">
        <v>407549000</v>
      </c>
      <c r="X2193" s="28">
        <v>373874000</v>
      </c>
      <c r="Y2193" s="28">
        <v>7474385000</v>
      </c>
      <c r="Z2193" s="28">
        <v>-10329230000</v>
      </c>
      <c r="AA2193" s="28"/>
      <c r="AB2193" s="28">
        <v>22771000</v>
      </c>
      <c r="AC2193" s="28">
        <v>5453742000</v>
      </c>
      <c r="AD2193" s="28">
        <v>-306969000</v>
      </c>
      <c r="AE2193" s="28">
        <v>11506874000</v>
      </c>
      <c r="AF2193" s="28">
        <v>839511000</v>
      </c>
      <c r="AG2193" s="11"/>
    </row>
    <row r="2194">
      <c r="A2194" s="7" t="s">
        <v>3893</v>
      </c>
      <c r="B2194" s="5" t="s">
        <v>11873</v>
      </c>
      <c r="C2194" s="5" t="s">
        <v>19717</v>
      </c>
      <c r="D2194" s="5" t="str">
        <v>575203156360</v>
      </c>
      <c r="E2194" s="0" t="e">
        <f>+7 (473) 2070463</f>
        <v>#NAME?</v>
      </c>
      <c r="F2194" s="5" t="s">
        <v>31948</v>
      </c>
      <c r="G2194" s="5"/>
      <c r="H2194" s="26">
        <v>10</v>
      </c>
      <c r="I2194" s="5" t="s">
        <v>31949</v>
      </c>
      <c r="J2194" s="5" t="s">
        <v>467</v>
      </c>
      <c r="K2194" s="5" t="s">
        <v>344</v>
      </c>
      <c r="L2194" s="5" t="s">
        <v>31950</v>
      </c>
      <c r="M2194" s="27">
        <v>6284279</v>
      </c>
      <c r="N2194" s="5" t="s">
        <v>52801</v>
      </c>
      <c r="O2194" s="5" t="str">
        <v>3662188617</v>
      </c>
      <c r="P2194" s="27">
        <v>10000</v>
      </c>
      <c r="Q2194" s="5" t="s">
        <v>52802</v>
      </c>
      <c r="R2194" s="5"/>
      <c r="S2194" s="5" t="s">
        <v>52803</v>
      </c>
      <c r="T2194" s="28">
        <v>447825000</v>
      </c>
      <c r="U2194" s="28"/>
      <c r="V2194" s="28">
        <v>555144000</v>
      </c>
      <c r="W2194" s="28">
        <v>34154000</v>
      </c>
      <c r="X2194" s="28">
        <v>770562000</v>
      </c>
      <c r="Y2194" s="28">
        <v>1928510000</v>
      </c>
      <c r="Z2194" s="28">
        <v>137224000</v>
      </c>
      <c r="AA2194" s="28"/>
      <c r="AB2194" s="28">
        <v>4000000</v>
      </c>
      <c r="AC2194" s="28">
        <v>1787541000</v>
      </c>
      <c r="AD2194" s="28">
        <v>137234000</v>
      </c>
      <c r="AE2194" s="28">
        <v>3658488000</v>
      </c>
      <c r="AF2194" s="28">
        <v>76832000</v>
      </c>
      <c r="AG2194" s="11"/>
    </row>
    <row r="2195">
      <c r="A2195" s="7" t="s">
        <v>3894</v>
      </c>
      <c r="B2195" s="5" t="s">
        <v>11874</v>
      </c>
      <c r="C2195" s="5" t="s">
        <v>19628</v>
      </c>
      <c r="D2195" s="5"/>
      <c r="E2195" s="0" t="e">
        <f>+7 (84155) 22190
+7 (495) 9334400
+7 (84155) 21166
+7 (84155) 21632</f>
        <v>#NAME?</v>
      </c>
      <c r="F2195" s="5" t="s">
        <v>31951</v>
      </c>
      <c r="G2195" s="5"/>
      <c r="H2195" s="26">
        <v>20</v>
      </c>
      <c r="I2195" s="5"/>
      <c r="J2195" s="5" t="s">
        <v>25994</v>
      </c>
      <c r="K2195" s="5" t="s">
        <v>344</v>
      </c>
      <c r="L2195" s="5" t="s">
        <v>31952</v>
      </c>
      <c r="M2195" s="27"/>
      <c r="N2195" s="5" t="s">
        <v>52804</v>
      </c>
      <c r="O2195" s="5" t="str">
        <v>5813003663</v>
      </c>
      <c r="P2195" s="27">
        <v>125000000</v>
      </c>
      <c r="Q2195" s="5"/>
      <c r="R2195" s="5" t="s">
        <v>52805</v>
      </c>
      <c r="S2195" s="5" t="s">
        <v>49425</v>
      </c>
      <c r="T2195" s="28">
        <v>677795000</v>
      </c>
      <c r="U2195" s="28"/>
      <c r="V2195" s="28">
        <v>718716000</v>
      </c>
      <c r="W2195" s="28">
        <v>908000</v>
      </c>
      <c r="X2195" s="28">
        <v>111000</v>
      </c>
      <c r="Y2195" s="28">
        <v>3429933000</v>
      </c>
      <c r="Z2195" s="28">
        <v>1669298000</v>
      </c>
      <c r="AA2195" s="28">
        <v>278470000</v>
      </c>
      <c r="AB2195" s="28">
        <v>1000000000</v>
      </c>
      <c r="AC2195" s="28">
        <v>1239141000</v>
      </c>
      <c r="AD2195" s="28">
        <v>1848843000</v>
      </c>
      <c r="AE2195" s="28">
        <v>3898412000</v>
      </c>
      <c r="AF2195" s="28">
        <v>1062209000</v>
      </c>
      <c r="AG2195" s="11"/>
    </row>
    <row r="2196">
      <c r="A2196" s="7" t="s">
        <v>3895</v>
      </c>
      <c r="B2196" s="5" t="s">
        <v>11875</v>
      </c>
      <c r="C2196" s="5" t="s">
        <v>19718</v>
      </c>
      <c r="D2196" s="5" t="str">
        <v>771522486130</v>
      </c>
      <c r="E2196" s="0" t="e">
        <f>+7 (495) 2308225
+7 (495) 2490037</f>
        <v>#NAME?</v>
      </c>
      <c r="F2196" s="5" t="s">
        <v>31953</v>
      </c>
      <c r="G2196" s="5" t="s">
        <v>31954</v>
      </c>
      <c r="H2196" s="26">
        <v>12</v>
      </c>
      <c r="I2196" s="5" t="s">
        <v>31955</v>
      </c>
      <c r="J2196" s="5" t="s">
        <v>25402</v>
      </c>
      <c r="K2196" s="5" t="s">
        <v>344</v>
      </c>
      <c r="L2196" s="5" t="s">
        <v>31956</v>
      </c>
      <c r="M2196" s="27"/>
      <c r="N2196" s="5"/>
      <c r="O2196" s="5" t="str">
        <v>5003092721</v>
      </c>
      <c r="P2196" s="27">
        <v>30000</v>
      </c>
      <c r="Q2196" s="5"/>
      <c r="R2196" s="5"/>
      <c r="S2196" s="5" t="s">
        <v>49029</v>
      </c>
      <c r="T2196" s="28">
        <v>55843000</v>
      </c>
      <c r="U2196" s="28">
        <v>3233000</v>
      </c>
      <c r="V2196" s="28">
        <v>1815447000</v>
      </c>
      <c r="W2196" s="28"/>
      <c r="X2196" s="28">
        <v>353486000</v>
      </c>
      <c r="Y2196" s="28">
        <v>4907721000</v>
      </c>
      <c r="Z2196" s="28">
        <v>395710000</v>
      </c>
      <c r="AA2196" s="28"/>
      <c r="AB2196" s="28">
        <v>2510586000</v>
      </c>
      <c r="AC2196" s="28">
        <v>4330235000</v>
      </c>
      <c r="AD2196" s="28">
        <v>535651000</v>
      </c>
      <c r="AE2196" s="28">
        <v>6351280000</v>
      </c>
      <c r="AF2196" s="28">
        <v>181923000</v>
      </c>
      <c r="AG2196" s="11"/>
    </row>
    <row r="2197">
      <c r="A2197" s="7" t="s">
        <v>3896</v>
      </c>
      <c r="B2197" s="5" t="s">
        <v>11876</v>
      </c>
      <c r="C2197" s="5" t="s">
        <v>19719</v>
      </c>
      <c r="D2197" s="5" t="str">
        <v>366504147602</v>
      </c>
      <c r="E2197" s="0" t="e">
        <f>+7 (473) 2231195
+7 (473) 2391882
+7 (473) 2605030
+7 (47372) 21195
+7 (47372) 27848
+7 (47372) 31148
+7 (47372) 31195
+7 (47372) 31207</f>
        <v>#NAME?</v>
      </c>
      <c r="F2197" s="5" t="s">
        <v>31957</v>
      </c>
      <c r="G2197" s="5" t="s">
        <v>31958</v>
      </c>
      <c r="H2197" s="26">
        <v>23.5</v>
      </c>
      <c r="I2197" s="5" t="s">
        <v>31959</v>
      </c>
      <c r="J2197" s="5" t="s">
        <v>25231</v>
      </c>
      <c r="K2197" s="5" t="s">
        <v>344</v>
      </c>
      <c r="L2197" s="5" t="s">
        <v>31960</v>
      </c>
      <c r="M2197" s="27"/>
      <c r="N2197" s="5"/>
      <c r="O2197" s="5" t="str">
        <v>3662054476</v>
      </c>
      <c r="P2197" s="27">
        <v>27359400</v>
      </c>
      <c r="Q2197" s="5"/>
      <c r="R2197" s="5"/>
      <c r="S2197" s="5" t="s">
        <v>49029</v>
      </c>
      <c r="T2197" s="28">
        <v>368559000</v>
      </c>
      <c r="U2197" s="28">
        <v>20000</v>
      </c>
      <c r="V2197" s="28">
        <v>61023000</v>
      </c>
      <c r="W2197" s="28">
        <v>394800000</v>
      </c>
      <c r="X2197" s="28">
        <v>401000</v>
      </c>
      <c r="Y2197" s="28">
        <v>1964814000</v>
      </c>
      <c r="Z2197" s="28">
        <v>960132000</v>
      </c>
      <c r="AA2197" s="28">
        <v>154969000</v>
      </c>
      <c r="AB2197" s="28">
        <v>310840000</v>
      </c>
      <c r="AC2197" s="28">
        <v>822326000</v>
      </c>
      <c r="AD2197" s="28">
        <v>987491000</v>
      </c>
      <c r="AE2197" s="28">
        <v>5496926000</v>
      </c>
      <c r="AF2197" s="28">
        <v>428671000</v>
      </c>
      <c r="AG2197" s="11"/>
    </row>
    <row r="2198">
      <c r="A2198" s="7" t="s">
        <v>3897</v>
      </c>
      <c r="B2198" s="5" t="s">
        <v>11877</v>
      </c>
      <c r="C2198" s="5" t="s">
        <v>19720</v>
      </c>
      <c r="D2198" s="5" t="str">
        <v>234999818037</v>
      </c>
      <c r="E2198" s="0" t="e">
        <f>+7 (903) 1305680</f>
        <v>#NAME?</v>
      </c>
      <c r="F2198" s="5" t="s">
        <v>31961</v>
      </c>
      <c r="G2198" s="5" t="s">
        <v>31962</v>
      </c>
      <c r="H2198" s="26">
        <v>7</v>
      </c>
      <c r="I2198" s="5" t="s">
        <v>31963</v>
      </c>
      <c r="J2198" s="5" t="s">
        <v>373</v>
      </c>
      <c r="K2198" s="5" t="s">
        <v>344</v>
      </c>
      <c r="L2198" s="5" t="s">
        <v>31964</v>
      </c>
      <c r="M2198" s="27">
        <v>1772814</v>
      </c>
      <c r="N2198" s="5"/>
      <c r="O2198" s="5" t="str">
        <v>2312241414</v>
      </c>
      <c r="P2198" s="27">
        <v>10000</v>
      </c>
      <c r="Q2198" s="5"/>
      <c r="R2198" s="5"/>
      <c r="S2198" s="5" t="s">
        <v>49110</v>
      </c>
      <c r="T2198" s="28"/>
      <c r="U2198" s="28"/>
      <c r="V2198" s="28">
        <v>87776000</v>
      </c>
      <c r="W2198" s="28">
        <v>86400000</v>
      </c>
      <c r="X2198" s="28">
        <v>13627000</v>
      </c>
      <c r="Y2198" s="28">
        <v>266843000</v>
      </c>
      <c r="Z2198" s="28">
        <v>142593000</v>
      </c>
      <c r="AA2198" s="28"/>
      <c r="AB2198" s="28"/>
      <c r="AC2198" s="28">
        <v>124240000</v>
      </c>
      <c r="AD2198" s="28">
        <v>142603000</v>
      </c>
      <c r="AE2198" s="28">
        <v>3142786000</v>
      </c>
      <c r="AF2198" s="28">
        <v>59160000</v>
      </c>
      <c r="AG2198" s="11"/>
    </row>
    <row r="2199">
      <c r="A2199" s="7" t="s">
        <v>3898</v>
      </c>
      <c r="B2199" s="5" t="s">
        <v>11878</v>
      </c>
      <c r="C2199" s="5" t="s">
        <v>19721</v>
      </c>
      <c r="D2199" s="5" t="str">
        <v>780617311800</v>
      </c>
      <c r="E2199" s="0" t="e">
        <f>+7 (812) 2448888
+7 (812) 2449852
+7 (812) 6164298
+7 (812) 6167774</f>
        <v>#NAME?</v>
      </c>
      <c r="F2199" s="5" t="s">
        <v>31965</v>
      </c>
      <c r="G2199" s="5" t="s">
        <v>31966</v>
      </c>
      <c r="H2199" s="26">
        <v>6</v>
      </c>
      <c r="I2199" s="5" t="s">
        <v>31967</v>
      </c>
      <c r="J2199" s="5" t="s">
        <v>26148</v>
      </c>
      <c r="K2199" s="5" t="s">
        <v>344</v>
      </c>
      <c r="L2199" s="5" t="s">
        <v>31968</v>
      </c>
      <c r="M2199" s="27"/>
      <c r="N2199" s="5"/>
      <c r="O2199" s="5" t="str">
        <v>7813276128</v>
      </c>
      <c r="P2199" s="27">
        <v>10000</v>
      </c>
      <c r="Q2199" s="5" t="s">
        <v>49009</v>
      </c>
      <c r="R2199" s="5"/>
      <c r="S2199" s="5" t="s">
        <v>50378</v>
      </c>
      <c r="T2199" s="28">
        <v>380574000</v>
      </c>
      <c r="U2199" s="28">
        <v>1000000</v>
      </c>
      <c r="V2199" s="28">
        <v>1366710000</v>
      </c>
      <c r="W2199" s="28"/>
      <c r="X2199" s="28">
        <v>3799000</v>
      </c>
      <c r="Y2199" s="28">
        <v>3856657000</v>
      </c>
      <c r="Z2199" s="28">
        <v>2655562000</v>
      </c>
      <c r="AA2199" s="28"/>
      <c r="AB2199" s="28">
        <v>542477000</v>
      </c>
      <c r="AC2199" s="28">
        <v>946860000</v>
      </c>
      <c r="AD2199" s="28">
        <v>2911881000</v>
      </c>
      <c r="AE2199" s="28">
        <v>3342408000</v>
      </c>
      <c r="AF2199" s="28">
        <v>894868000</v>
      </c>
      <c r="AG2199" s="11"/>
    </row>
    <row r="2200">
      <c r="A2200" s="7" t="s">
        <v>3899</v>
      </c>
      <c r="B2200" s="5" t="s">
        <v>11879</v>
      </c>
      <c r="C2200" s="5" t="s">
        <v>19722</v>
      </c>
      <c r="D2200" s="5" t="str">
        <v>760600126161</v>
      </c>
      <c r="E2200" s="0" t="e">
        <f>+7 (495) 9814888
+7 (499) 3501348
+7 (499) 9400177
+7 (800) 7755198
+7 (926) 8483008</f>
        <v>#NAME?</v>
      </c>
      <c r="F2200" s="5" t="s">
        <v>31969</v>
      </c>
      <c r="G2200" s="5" t="s">
        <v>31970</v>
      </c>
      <c r="H2200" s="26">
        <v>8</v>
      </c>
      <c r="I2200" s="5" t="s">
        <v>31971</v>
      </c>
      <c r="J2200" s="5" t="s">
        <v>25429</v>
      </c>
      <c r="K2200" s="5" t="s">
        <v>355</v>
      </c>
      <c r="L2200" s="5"/>
      <c r="M2200" s="27"/>
      <c r="N2200" s="5"/>
      <c r="O2200" s="5" t="str">
        <v>7707202163</v>
      </c>
      <c r="P2200" s="27">
        <v>10100</v>
      </c>
      <c r="Q2200" s="5" t="s">
        <v>49009</v>
      </c>
      <c r="R2200" s="5" t="s">
        <v>52806</v>
      </c>
      <c r="S2200" s="5" t="s">
        <v>49066</v>
      </c>
      <c r="T2200" s="28">
        <v>52568000</v>
      </c>
      <c r="U2200" s="28">
        <v>177033000</v>
      </c>
      <c r="V2200" s="28">
        <v>1390473000</v>
      </c>
      <c r="W2200" s="28"/>
      <c r="X2200" s="28">
        <v>112768000</v>
      </c>
      <c r="Y2200" s="28">
        <v>5060533000</v>
      </c>
      <c r="Z2200" s="28">
        <v>103053000</v>
      </c>
      <c r="AA2200" s="28"/>
      <c r="AB2200" s="28">
        <v>752479000</v>
      </c>
      <c r="AC2200" s="28">
        <v>3816818000</v>
      </c>
      <c r="AD2200" s="28">
        <v>807201000</v>
      </c>
      <c r="AE2200" s="28">
        <v>5123488000</v>
      </c>
      <c r="AF2200" s="28">
        <v>69219000</v>
      </c>
      <c r="AG2200" s="11"/>
    </row>
    <row r="2201">
      <c r="A2201" s="7" t="s">
        <v>3900</v>
      </c>
      <c r="B2201" s="5" t="s">
        <v>11880</v>
      </c>
      <c r="C2201" s="5" t="s">
        <v>19723</v>
      </c>
      <c r="D2201" s="5" t="str">
        <v>054200375310</v>
      </c>
      <c r="E2201" s="0" t="e">
        <f>+7 (8632) 66401
+7 (86342) 67539
+7 (928) 1038899
+7 (928) 1992222</f>
        <v>#NAME?</v>
      </c>
      <c r="F2201" s="5" t="s">
        <v>31972</v>
      </c>
      <c r="G2201" s="5"/>
      <c r="H2201" s="26">
        <v>10.5</v>
      </c>
      <c r="I2201" s="5" t="s">
        <v>31973</v>
      </c>
      <c r="J2201" s="5" t="s">
        <v>25388</v>
      </c>
      <c r="K2201" s="5" t="s">
        <v>355</v>
      </c>
      <c r="L2201" s="5" t="s">
        <v>31974</v>
      </c>
      <c r="M2201" s="27">
        <v>22694034</v>
      </c>
      <c r="N2201" s="5"/>
      <c r="O2201" s="5" t="str">
        <v>6165177089</v>
      </c>
      <c r="P2201" s="27">
        <v>10000</v>
      </c>
      <c r="Q2201" s="5"/>
      <c r="R2201" s="5"/>
      <c r="S2201" s="5" t="s">
        <v>49029</v>
      </c>
      <c r="T2201" s="28">
        <v>29737000</v>
      </c>
      <c r="U2201" s="28"/>
      <c r="V2201" s="28">
        <v>767492000</v>
      </c>
      <c r="W2201" s="28">
        <v>71651000</v>
      </c>
      <c r="X2201" s="28">
        <v>246000</v>
      </c>
      <c r="Y2201" s="28">
        <v>1162163000</v>
      </c>
      <c r="Z2201" s="28">
        <v>203011000</v>
      </c>
      <c r="AA2201" s="28"/>
      <c r="AB2201" s="28">
        <v>491150000</v>
      </c>
      <c r="AC2201" s="28">
        <v>933084000</v>
      </c>
      <c r="AD2201" s="28">
        <v>203021000</v>
      </c>
      <c r="AE2201" s="28">
        <v>3058947000</v>
      </c>
      <c r="AF2201" s="28">
        <v>78943000</v>
      </c>
      <c r="AG2201" s="11"/>
    </row>
    <row r="2202">
      <c r="A2202" s="7" t="s">
        <v>3901</v>
      </c>
      <c r="B2202" s="5" t="s">
        <v>11881</v>
      </c>
      <c r="C2202" s="5" t="s">
        <v>19724</v>
      </c>
      <c r="D2202" s="5" t="str">
        <v>615403568373</v>
      </c>
      <c r="E2202" s="0" t="e">
        <f>+7 (8634) 319700
+7 (8634) 319702
+7 (918) 5074332</f>
        <v>#NAME?</v>
      </c>
      <c r="F2202" s="5" t="s">
        <v>31975</v>
      </c>
      <c r="G2202" s="5"/>
      <c r="H2202" s="26">
        <v>8.5</v>
      </c>
      <c r="I2202" s="5" t="s">
        <v>31976</v>
      </c>
      <c r="J2202" s="5" t="s">
        <v>25850</v>
      </c>
      <c r="K2202" s="5" t="s">
        <v>355</v>
      </c>
      <c r="L2202" s="5" t="s">
        <v>31977</v>
      </c>
      <c r="M2202" s="27"/>
      <c r="N2202" s="5"/>
      <c r="O2202" s="5" t="str">
        <v>6154134277</v>
      </c>
      <c r="P2202" s="27">
        <v>10000</v>
      </c>
      <c r="Q2202" s="5"/>
      <c r="R2202" s="5"/>
      <c r="S2202" s="5" t="s">
        <v>49029</v>
      </c>
      <c r="T2202" s="28">
        <v>107000</v>
      </c>
      <c r="U2202" s="28"/>
      <c r="V2202" s="28">
        <v>2940663000</v>
      </c>
      <c r="W2202" s="28">
        <v>9725000</v>
      </c>
      <c r="X2202" s="28">
        <v>99739000</v>
      </c>
      <c r="Y2202" s="28">
        <v>3953761000</v>
      </c>
      <c r="Z2202" s="28">
        <v>9470000</v>
      </c>
      <c r="AA2202" s="28"/>
      <c r="AB2202" s="28">
        <v>3053366000</v>
      </c>
      <c r="AC2202" s="28">
        <v>3921449000</v>
      </c>
      <c r="AD2202" s="28">
        <v>9480000</v>
      </c>
      <c r="AE2202" s="28">
        <v>21206555000</v>
      </c>
      <c r="AF2202" s="28">
        <v>5722000</v>
      </c>
      <c r="AG2202" s="11"/>
    </row>
    <row r="2203">
      <c r="A2203" s="7" t="s">
        <v>3902</v>
      </c>
      <c r="B2203" s="5" t="s">
        <v>11882</v>
      </c>
      <c r="C2203" s="5" t="s">
        <v>19725</v>
      </c>
      <c r="D2203" s="5"/>
      <c r="E2203" s="0" t="e">
        <f>+7 (86146) 96539</f>
        <v>#NAME?</v>
      </c>
      <c r="F2203" s="5" t="s">
        <v>31978</v>
      </c>
      <c r="G2203" s="5" t="s">
        <v>31979</v>
      </c>
      <c r="H2203" s="26">
        <v>14</v>
      </c>
      <c r="I2203" s="5" t="s">
        <v>31980</v>
      </c>
      <c r="J2203" s="5" t="s">
        <v>25829</v>
      </c>
      <c r="K2203" s="5" t="s">
        <v>355</v>
      </c>
      <c r="L2203" s="5" t="s">
        <v>31981</v>
      </c>
      <c r="M2203" s="27"/>
      <c r="N2203" s="5"/>
      <c r="O2203" s="5" t="str">
        <v>2349031389</v>
      </c>
      <c r="P2203" s="27">
        <v>2016362552</v>
      </c>
      <c r="Q2203" s="5" t="s">
        <v>49324</v>
      </c>
      <c r="R2203" s="5"/>
      <c r="S2203" s="5" t="s">
        <v>51997</v>
      </c>
      <c r="T2203" s="28">
        <v>7681961000</v>
      </c>
      <c r="U2203" s="28">
        <v>6915935000</v>
      </c>
      <c r="V2203" s="28">
        <v>645928000</v>
      </c>
      <c r="W2203" s="28"/>
      <c r="X2203" s="28">
        <v>42519000</v>
      </c>
      <c r="Y2203" s="28">
        <v>19644026000</v>
      </c>
      <c r="Z2203" s="28">
        <v>9108536000</v>
      </c>
      <c r="AA2203" s="28">
        <v>4147321000</v>
      </c>
      <c r="AB2203" s="28">
        <v>2862005000</v>
      </c>
      <c r="AC2203" s="28">
        <v>4071352000</v>
      </c>
      <c r="AD2203" s="28">
        <v>11124899000</v>
      </c>
      <c r="AE2203" s="28">
        <v>4383579000</v>
      </c>
      <c r="AF2203" s="28">
        <v>1116372000</v>
      </c>
      <c r="AG2203" s="11"/>
    </row>
    <row r="2204">
      <c r="A2204" s="7" t="s">
        <v>3903</v>
      </c>
      <c r="B2204" s="5" t="s">
        <v>10353</v>
      </c>
      <c r="C2204" s="5" t="s">
        <v>19726</v>
      </c>
      <c r="D2204" s="5" t="str">
        <v>366209716202</v>
      </c>
      <c r="E2204" s="0" t="e">
        <f>+7 (472) 2399477
+7 (473) 2399060
+7 (473) 2399061
+7 (473) 2399947
+7 (910) 7321676</f>
        <v>#NAME?</v>
      </c>
      <c r="F2204" s="5" t="s">
        <v>31982</v>
      </c>
      <c r="G2204" s="5"/>
      <c r="H2204" s="26">
        <v>9.5</v>
      </c>
      <c r="I2204" s="5" t="s">
        <v>31494</v>
      </c>
      <c r="J2204" s="5" t="s">
        <v>25837</v>
      </c>
      <c r="K2204" s="5" t="s">
        <v>344</v>
      </c>
      <c r="L2204" s="5" t="s">
        <v>31983</v>
      </c>
      <c r="M2204" s="27"/>
      <c r="N2204" s="5"/>
      <c r="O2204" s="5" t="str">
        <v>3122509834</v>
      </c>
      <c r="P2204" s="27">
        <v>10000</v>
      </c>
      <c r="Q2204" s="5"/>
      <c r="R2204" s="5"/>
      <c r="S2204" s="5" t="s">
        <v>49029</v>
      </c>
      <c r="T2204" s="28">
        <v>922000</v>
      </c>
      <c r="U2204" s="28"/>
      <c r="V2204" s="28">
        <v>1004856000</v>
      </c>
      <c r="W2204" s="28">
        <v>6441262000</v>
      </c>
      <c r="X2204" s="28">
        <v>182000</v>
      </c>
      <c r="Y2204" s="28">
        <v>9347815000</v>
      </c>
      <c r="Z2204" s="28">
        <v>95854000</v>
      </c>
      <c r="AA2204" s="28"/>
      <c r="AB2204" s="28"/>
      <c r="AC2204" s="28">
        <v>9251944000</v>
      </c>
      <c r="AD2204" s="28">
        <v>95864000</v>
      </c>
      <c r="AE2204" s="28">
        <v>33343904000</v>
      </c>
      <c r="AF2204" s="28">
        <v>58739000</v>
      </c>
      <c r="AG2204" s="11"/>
    </row>
    <row r="2205">
      <c r="A2205" s="7" t="s">
        <v>3904</v>
      </c>
      <c r="B2205" s="5" t="s">
        <v>11883</v>
      </c>
      <c r="C2205" s="5" t="s">
        <v>19727</v>
      </c>
      <c r="D2205" s="5" t="str">
        <v>463306362242</v>
      </c>
      <c r="E2205" s="0" t="e">
        <f>+7 (47148) 76488
+7 (47148) 76489</f>
        <v>#NAME?</v>
      </c>
      <c r="F2205" s="5" t="s">
        <v>31984</v>
      </c>
      <c r="G2205" s="5"/>
      <c r="H2205" s="26">
        <v>10.5</v>
      </c>
      <c r="I2205" s="5" t="s">
        <v>31985</v>
      </c>
      <c r="J2205" s="5" t="s">
        <v>25837</v>
      </c>
      <c r="K2205" s="5" t="s">
        <v>344</v>
      </c>
      <c r="L2205" s="5"/>
      <c r="M2205" s="27"/>
      <c r="N2205" s="5"/>
      <c r="O2205" s="5" t="str">
        <v>6949008967</v>
      </c>
      <c r="P2205" s="27">
        <v>1000000</v>
      </c>
      <c r="Q2205" s="5"/>
      <c r="R2205" s="5"/>
      <c r="S2205" s="5" t="s">
        <v>49029</v>
      </c>
      <c r="T2205" s="28">
        <v>108000</v>
      </c>
      <c r="U2205" s="28"/>
      <c r="V2205" s="28">
        <v>183637000</v>
      </c>
      <c r="W2205" s="28"/>
      <c r="X2205" s="28">
        <v>218000</v>
      </c>
      <c r="Y2205" s="28">
        <v>646842000</v>
      </c>
      <c r="Z2205" s="28">
        <v>-13921000</v>
      </c>
      <c r="AA2205" s="28"/>
      <c r="AB2205" s="28"/>
      <c r="AC2205" s="28">
        <v>659763000</v>
      </c>
      <c r="AD2205" s="28">
        <v>-12921000</v>
      </c>
      <c r="AE2205" s="28">
        <v>9829060000</v>
      </c>
      <c r="AF2205" s="28">
        <v>-14171000</v>
      </c>
      <c r="AG2205" s="11"/>
    </row>
    <row r="2206">
      <c r="A2206" s="7" t="s">
        <v>3905</v>
      </c>
      <c r="B2206" s="5" t="s">
        <v>11884</v>
      </c>
      <c r="C2206" s="5" t="s">
        <v>19728</v>
      </c>
      <c r="D2206" s="5" t="str">
        <v>772389666237</v>
      </c>
      <c r="E2206" s="0" t="e">
        <f>+7 (495) 5891186
+7 (495) 6211855
+7 (495) 6579966
+7 (495) 9211855
+7 (499) 6733777</f>
        <v>#NAME?</v>
      </c>
      <c r="F2206" s="5" t="s">
        <v>31986</v>
      </c>
      <c r="G2206" s="5" t="s">
        <v>31987</v>
      </c>
      <c r="H2206" s="26">
        <v>13.5</v>
      </c>
      <c r="I2206" s="5" t="s">
        <v>31988</v>
      </c>
      <c r="J2206" s="5" t="s">
        <v>27147</v>
      </c>
      <c r="K2206" s="5" t="s">
        <v>344</v>
      </c>
      <c r="L2206" s="5"/>
      <c r="M2206" s="27"/>
      <c r="N2206" s="5"/>
      <c r="O2206" s="5" t="str">
        <v>7701848183</v>
      </c>
      <c r="P2206" s="27">
        <v>500000</v>
      </c>
      <c r="Q2206" s="5" t="s">
        <v>49009</v>
      </c>
      <c r="R2206" s="5"/>
      <c r="S2206" s="5" t="s">
        <v>52807</v>
      </c>
      <c r="T2206" s="28">
        <v>672997000</v>
      </c>
      <c r="U2206" s="28">
        <v>390261000</v>
      </c>
      <c r="V2206" s="28">
        <v>1312828000</v>
      </c>
      <c r="W2206" s="28"/>
      <c r="X2206" s="28">
        <v>2035000</v>
      </c>
      <c r="Y2206" s="28">
        <v>3408158000</v>
      </c>
      <c r="Z2206" s="28">
        <v>620119000</v>
      </c>
      <c r="AA2206" s="28">
        <v>40000000</v>
      </c>
      <c r="AB2206" s="28">
        <v>100574000</v>
      </c>
      <c r="AC2206" s="28">
        <v>1549071000</v>
      </c>
      <c r="AD2206" s="28">
        <v>1755594000</v>
      </c>
      <c r="AE2206" s="28">
        <v>5180902000</v>
      </c>
      <c r="AF2206" s="28">
        <v>113310000</v>
      </c>
      <c r="AG2206" s="11"/>
    </row>
    <row r="2207">
      <c r="A2207" s="7" t="s">
        <v>3906</v>
      </c>
      <c r="B2207" s="5" t="s">
        <v>11885</v>
      </c>
      <c r="C2207" s="5" t="s">
        <v>19729</v>
      </c>
      <c r="D2207" s="5" t="str">
        <v>772034254152</v>
      </c>
      <c r="E2207" s="0" t="e">
        <f>+7 (3432) 870219
+7 (3432) 870236
+7 (495) 2138960
+7 (495) 4957790
+7 (495) 5777331
+7 (495) 5777333
+7 (495) 7717480
+7 (495) 7717488
+7 (49657) 77333
+7 (812) 4152258
+7 (8432) 491023
+7 (8435) 675018
+7 (861) 2170243
+7 (861) 2170244
+7 (920) 2660102</f>
        <v>#NAME?</v>
      </c>
      <c r="F2207" s="5" t="s">
        <v>31989</v>
      </c>
      <c r="G2207" s="5" t="s">
        <v>31990</v>
      </c>
      <c r="H2207" s="26">
        <v>20</v>
      </c>
      <c r="I2207" s="5" t="s">
        <v>31991</v>
      </c>
      <c r="J2207" s="5" t="s">
        <v>678</v>
      </c>
      <c r="K2207" s="5" t="s">
        <v>344</v>
      </c>
      <c r="L2207" s="5" t="s">
        <v>31992</v>
      </c>
      <c r="M2207" s="27"/>
      <c r="N2207" s="5" t="s">
        <v>52808</v>
      </c>
      <c r="O2207" s="5" t="str">
        <v>7714305360</v>
      </c>
      <c r="P2207" s="27">
        <v>535339767</v>
      </c>
      <c r="Q2207" s="5" t="s">
        <v>49009</v>
      </c>
      <c r="R2207" s="5"/>
      <c r="S2207" s="5" t="s">
        <v>49028</v>
      </c>
      <c r="T2207" s="28">
        <v>692472000</v>
      </c>
      <c r="U2207" s="28"/>
      <c r="V2207" s="28">
        <v>270244000</v>
      </c>
      <c r="W2207" s="28"/>
      <c r="X2207" s="28">
        <v>637346000</v>
      </c>
      <c r="Y2207" s="28">
        <v>2248250000</v>
      </c>
      <c r="Z2207" s="28">
        <v>1395294000</v>
      </c>
      <c r="AA2207" s="28"/>
      <c r="AB2207" s="28"/>
      <c r="AC2207" s="28">
        <v>317561000</v>
      </c>
      <c r="AD2207" s="28">
        <v>1930689000</v>
      </c>
      <c r="AE2207" s="28">
        <v>3738971000</v>
      </c>
      <c r="AF2207" s="28">
        <v>170928000</v>
      </c>
      <c r="AG2207" s="11"/>
    </row>
    <row r="2208">
      <c r="A2208" s="7" t="s">
        <v>3907</v>
      </c>
      <c r="B2208" s="5" t="s">
        <v>11886</v>
      </c>
      <c r="C2208" s="5" t="s">
        <v>19730</v>
      </c>
      <c r="D2208" s="5" t="str">
        <v>771975548508</v>
      </c>
      <c r="E2208" s="0" t="e">
        <f>+7 (495) 9138780
+7 (495) 9138782
+7 (495) 9138783
+7 (495) 9138790</f>
        <v>#NAME?</v>
      </c>
      <c r="F2208" s="5" t="s">
        <v>31993</v>
      </c>
      <c r="G2208" s="5" t="s">
        <v>31994</v>
      </c>
      <c r="H2208" s="26">
        <v>21.5</v>
      </c>
      <c r="I2208" s="5" t="s">
        <v>31995</v>
      </c>
      <c r="J2208" s="5" t="s">
        <v>31996</v>
      </c>
      <c r="K2208" s="5" t="s">
        <v>355</v>
      </c>
      <c r="L2208" s="5"/>
      <c r="M2208" s="27"/>
      <c r="N2208" s="5" t="s">
        <v>52809</v>
      </c>
      <c r="O2208" s="5" t="str">
        <v>5036011735</v>
      </c>
      <c r="P2208" s="27">
        <v>42204284</v>
      </c>
      <c r="Q2208" s="5" t="s">
        <v>52810</v>
      </c>
      <c r="R2208" s="5"/>
      <c r="S2208" s="5" t="s">
        <v>52811</v>
      </c>
      <c r="T2208" s="28">
        <v>275394000</v>
      </c>
      <c r="U2208" s="28">
        <v>1841987000</v>
      </c>
      <c r="V2208" s="28">
        <v>5825984000</v>
      </c>
      <c r="W2208" s="28">
        <v>1377690000</v>
      </c>
      <c r="X2208" s="28">
        <v>1849699000</v>
      </c>
      <c r="Y2208" s="28">
        <v>11648324000</v>
      </c>
      <c r="Z2208" s="28">
        <v>3869824000</v>
      </c>
      <c r="AA2208" s="28">
        <v>382762000</v>
      </c>
      <c r="AB2208" s="28">
        <v>1298390000</v>
      </c>
      <c r="AC2208" s="28">
        <v>7348323000</v>
      </c>
      <c r="AD2208" s="28">
        <v>3914138000</v>
      </c>
      <c r="AE2208" s="28">
        <v>9448930000</v>
      </c>
      <c r="AF2208" s="28">
        <v>332769000</v>
      </c>
      <c r="AG2208" s="11"/>
    </row>
    <row r="2209">
      <c r="A2209" s="7" t="s">
        <v>3908</v>
      </c>
      <c r="B2209" s="5" t="s">
        <v>9752</v>
      </c>
      <c r="C2209" s="5" t="s">
        <v>19731</v>
      </c>
      <c r="D2209" s="5" t="str">
        <v>503601224861</v>
      </c>
      <c r="E2209" s="0" t="e">
        <f>+7 (495) 6420543
+7 (499) 2498601
+7 (495) 4192064
+7 (495) 6420542
+7 (495) 7279227
+7 (495) 7473174
+7 (499) 2498652</f>
        <v>#NAME?</v>
      </c>
      <c r="F2209" s="5" t="s">
        <v>31997</v>
      </c>
      <c r="G2209" s="5" t="s">
        <v>31998</v>
      </c>
      <c r="H2209" s="26">
        <v>21.5</v>
      </c>
      <c r="I2209" s="5"/>
      <c r="J2209" s="5" t="s">
        <v>28030</v>
      </c>
      <c r="K2209" s="5" t="s">
        <v>344</v>
      </c>
      <c r="L2209" s="5" t="s">
        <v>31999</v>
      </c>
      <c r="M2209" s="27"/>
      <c r="N2209" s="5"/>
      <c r="O2209" s="5" t="str">
        <v>5036046054</v>
      </c>
      <c r="P2209" s="27">
        <v>359990</v>
      </c>
      <c r="Q2209" s="5" t="s">
        <v>49059</v>
      </c>
      <c r="R2209" s="5"/>
      <c r="S2209" s="5" t="s">
        <v>49028</v>
      </c>
      <c r="T2209" s="28">
        <v>1711184000</v>
      </c>
      <c r="U2209" s="28"/>
      <c r="V2209" s="28">
        <v>643636000</v>
      </c>
      <c r="W2209" s="28"/>
      <c r="X2209" s="28">
        <v>1657577000</v>
      </c>
      <c r="Y2209" s="28">
        <v>5267330000</v>
      </c>
      <c r="Z2209" s="28">
        <v>2562247000</v>
      </c>
      <c r="AA2209" s="28">
        <v>734151000</v>
      </c>
      <c r="AB2209" s="28">
        <v>54458000</v>
      </c>
      <c r="AC2209" s="28">
        <v>1417318000</v>
      </c>
      <c r="AD2209" s="28">
        <v>3093473000</v>
      </c>
      <c r="AE2209" s="28">
        <v>4193680000</v>
      </c>
      <c r="AF2209" s="28">
        <v>652291000</v>
      </c>
      <c r="AG2209" s="11"/>
    </row>
    <row r="2210">
      <c r="A2210" s="7" t="s">
        <v>3909</v>
      </c>
      <c r="B2210" s="5" t="s">
        <v>11887</v>
      </c>
      <c r="C2210" s="5" t="s">
        <v>19732</v>
      </c>
      <c r="D2210" s="5" t="str">
        <v>773607065907</v>
      </c>
      <c r="E2210" s="0" t="e">
        <f>+7 (844) 2406519</f>
        <v>#NAME?</v>
      </c>
      <c r="F2210" s="5" t="s">
        <v>32000</v>
      </c>
      <c r="G2210" s="5" t="s">
        <v>32001</v>
      </c>
      <c r="H2210" s="26">
        <v>21</v>
      </c>
      <c r="I2210" s="5" t="s">
        <v>32002</v>
      </c>
      <c r="J2210" s="5" t="s">
        <v>28418</v>
      </c>
      <c r="K2210" s="5" t="s">
        <v>344</v>
      </c>
      <c r="L2210" s="5" t="s">
        <v>32003</v>
      </c>
      <c r="M2210" s="27"/>
      <c r="N2210" s="5" t="s">
        <v>52812</v>
      </c>
      <c r="O2210" s="5" t="str">
        <v>3448027272</v>
      </c>
      <c r="P2210" s="27">
        <v>80000000</v>
      </c>
      <c r="Q2210" s="5" t="s">
        <v>52813</v>
      </c>
      <c r="R2210" s="5"/>
      <c r="S2210" s="5" t="s">
        <v>49227</v>
      </c>
      <c r="T2210" s="28">
        <v>217325000</v>
      </c>
      <c r="U2210" s="28">
        <v>538206000</v>
      </c>
      <c r="V2210" s="28">
        <v>343317000</v>
      </c>
      <c r="W2210" s="28">
        <v>45222000</v>
      </c>
      <c r="X2210" s="28">
        <v>550090000</v>
      </c>
      <c r="Y2210" s="28">
        <v>2099482000</v>
      </c>
      <c r="Z2210" s="28">
        <v>1222561000</v>
      </c>
      <c r="AA2210" s="28">
        <v>22688000</v>
      </c>
      <c r="AB2210" s="28">
        <v>385538000</v>
      </c>
      <c r="AC2210" s="28">
        <v>748908000</v>
      </c>
      <c r="AD2210" s="28">
        <v>1302603000</v>
      </c>
      <c r="AE2210" s="28">
        <v>3404500000</v>
      </c>
      <c r="AF2210" s="28">
        <v>433693000</v>
      </c>
      <c r="AG2210" s="11"/>
    </row>
    <row r="2211">
      <c r="A2211" s="7" t="s">
        <v>3910</v>
      </c>
      <c r="B2211" s="5" t="s">
        <v>11888</v>
      </c>
      <c r="C2211" s="5" t="s">
        <v>19733</v>
      </c>
      <c r="D2211" s="5" t="str">
        <v>772809426720</v>
      </c>
      <c r="E2211" s="0" t="e">
        <f>+7 (343) 2685583
+7 (383) 2075405
+7 (846) 3738295
+7 (495) 2321935</f>
        <v>#NAME?</v>
      </c>
      <c r="F2211" s="5" t="s">
        <v>32004</v>
      </c>
      <c r="G2211" s="5" t="s">
        <v>32005</v>
      </c>
      <c r="H2211" s="26">
        <v>13</v>
      </c>
      <c r="I2211" s="5" t="s">
        <v>32006</v>
      </c>
      <c r="J2211" s="5" t="s">
        <v>678</v>
      </c>
      <c r="K2211" s="5" t="s">
        <v>344</v>
      </c>
      <c r="L2211" s="5" t="s">
        <v>32007</v>
      </c>
      <c r="M2211" s="27"/>
      <c r="N2211" s="5" t="s">
        <v>52814</v>
      </c>
      <c r="O2211" s="5" t="str">
        <v>7726644826</v>
      </c>
      <c r="P2211" s="27">
        <v>10000</v>
      </c>
      <c r="Q2211" s="5" t="s">
        <v>52815</v>
      </c>
      <c r="R2211" s="5"/>
      <c r="S2211" s="5" t="s">
        <v>52816</v>
      </c>
      <c r="T2211" s="28">
        <v>32455000</v>
      </c>
      <c r="U2211" s="28">
        <v>49636000</v>
      </c>
      <c r="V2211" s="28">
        <v>881589000</v>
      </c>
      <c r="W2211" s="28">
        <v>26700000</v>
      </c>
      <c r="X2211" s="28">
        <v>287407000</v>
      </c>
      <c r="Y2211" s="28">
        <v>1838318000</v>
      </c>
      <c r="Z2211" s="28">
        <v>1441326000</v>
      </c>
      <c r="AA2211" s="28">
        <v>35109000</v>
      </c>
      <c r="AB2211" s="28"/>
      <c r="AC2211" s="28">
        <v>361873000</v>
      </c>
      <c r="AD2211" s="28">
        <v>1441336000</v>
      </c>
      <c r="AE2211" s="28">
        <v>11127938000</v>
      </c>
      <c r="AF2211" s="28">
        <v>91064000</v>
      </c>
      <c r="AG2211" s="11"/>
    </row>
    <row r="2212">
      <c r="A2212" s="7" t="s">
        <v>3911</v>
      </c>
      <c r="B2212" s="5" t="s">
        <v>11889</v>
      </c>
      <c r="C2212" s="5" t="s">
        <v>19734</v>
      </c>
      <c r="D2212" s="5" t="str">
        <v>503006723809</v>
      </c>
      <c r="E2212" s="0" t="e">
        <f>+7 (495) 2321826
+7 (495) 2321932
+7 (495) 6056677
+7 (495) 9892910
+7 (800) 5008929</f>
        <v>#NAME?</v>
      </c>
      <c r="F2212" s="5" t="s">
        <v>32008</v>
      </c>
      <c r="G2212" s="5"/>
      <c r="H2212" s="26">
        <v>17.5</v>
      </c>
      <c r="I2212" s="5" t="s">
        <v>32009</v>
      </c>
      <c r="J2212" s="5" t="s">
        <v>26999</v>
      </c>
      <c r="K2212" s="5" t="s">
        <v>344</v>
      </c>
      <c r="L2212" s="5" t="s">
        <v>32010</v>
      </c>
      <c r="M2212" s="27"/>
      <c r="N2212" s="5"/>
      <c r="O2212" s="5" t="str">
        <v>7724552778</v>
      </c>
      <c r="P2212" s="27">
        <v>10000</v>
      </c>
      <c r="Q2212" s="5" t="s">
        <v>49021</v>
      </c>
      <c r="R2212" s="5"/>
      <c r="S2212" s="5" t="s">
        <v>49033</v>
      </c>
      <c r="T2212" s="28">
        <v>39037000</v>
      </c>
      <c r="U2212" s="28"/>
      <c r="V2212" s="28">
        <v>1248713000</v>
      </c>
      <c r="W2212" s="28">
        <v>14717000</v>
      </c>
      <c r="X2212" s="28">
        <v>75430000</v>
      </c>
      <c r="Y2212" s="28">
        <v>2069238000</v>
      </c>
      <c r="Z2212" s="28">
        <v>1348776000</v>
      </c>
      <c r="AA2212" s="28"/>
      <c r="AB2212" s="28"/>
      <c r="AC2212" s="28">
        <v>688372000</v>
      </c>
      <c r="AD2212" s="28">
        <v>1348786000</v>
      </c>
      <c r="AE2212" s="28">
        <v>8362646000</v>
      </c>
      <c r="AF2212" s="28">
        <v>183259000</v>
      </c>
      <c r="AG2212" s="11"/>
    </row>
    <row r="2213">
      <c r="A2213" s="7" t="s">
        <v>3912</v>
      </c>
      <c r="B2213" s="5" t="s">
        <v>11890</v>
      </c>
      <c r="C2213" s="5" t="s">
        <v>19735</v>
      </c>
      <c r="D2213" s="5"/>
      <c r="E2213" s="0" t="e">
        <f>+7 (42737) 22036
+7 (42737) 41096
+7 (42737) 41196
+7 (924) 7859342</f>
        <v>#NAME?</v>
      </c>
      <c r="F2213" s="5" t="s">
        <v>32011</v>
      </c>
      <c r="G2213" s="5"/>
      <c r="H2213" s="26">
        <v>25.5</v>
      </c>
      <c r="I2213" s="5" t="s">
        <v>32012</v>
      </c>
      <c r="J2213" s="5" t="s">
        <v>26499</v>
      </c>
      <c r="K2213" s="5" t="s">
        <v>344</v>
      </c>
      <c r="L2213" s="5" t="s">
        <v>32013</v>
      </c>
      <c r="M2213" s="27"/>
      <c r="N2213" s="5" t="s">
        <v>51687</v>
      </c>
      <c r="O2213" s="5" t="str">
        <v>8706004386</v>
      </c>
      <c r="P2213" s="27">
        <v>8123398700</v>
      </c>
      <c r="Q2213" s="5" t="s">
        <v>52817</v>
      </c>
      <c r="R2213" s="5" t="s">
        <v>52818</v>
      </c>
      <c r="S2213" s="5" t="s">
        <v>52819</v>
      </c>
      <c r="T2213" s="28">
        <v>5082840000</v>
      </c>
      <c r="U2213" s="28">
        <v>11720182000</v>
      </c>
      <c r="V2213" s="28">
        <v>5368634000</v>
      </c>
      <c r="W2213" s="28"/>
      <c r="X2213" s="28">
        <v>933277000</v>
      </c>
      <c r="Y2213" s="28">
        <v>40276032000</v>
      </c>
      <c r="Z2213" s="28">
        <v>2957595000</v>
      </c>
      <c r="AA2213" s="28">
        <v>20353216000</v>
      </c>
      <c r="AB2213" s="28">
        <v>1194305000</v>
      </c>
      <c r="AC2213" s="28">
        <v>2232811000</v>
      </c>
      <c r="AD2213" s="28">
        <v>16196392000</v>
      </c>
      <c r="AE2213" s="28">
        <v>13000643000</v>
      </c>
      <c r="AF2213" s="28">
        <v>-444149000</v>
      </c>
      <c r="AG2213" s="11"/>
    </row>
    <row r="2214">
      <c r="A2214" s="7" t="s">
        <v>3913</v>
      </c>
      <c r="B2214" s="5" t="s">
        <v>11891</v>
      </c>
      <c r="C2214" s="5" t="s">
        <v>19736</v>
      </c>
      <c r="D2214" s="5" t="str">
        <v>562903214930</v>
      </c>
      <c r="E2214" s="0" t="e">
        <f>+7 (35327) 75375
+7 (905) 8944889</f>
        <v>#NAME?</v>
      </c>
      <c r="F2214" s="5" t="s">
        <v>32014</v>
      </c>
      <c r="G2214" s="5"/>
      <c r="H2214" s="26">
        <v>8</v>
      </c>
      <c r="I2214" s="5" t="s">
        <v>32015</v>
      </c>
      <c r="J2214" s="5" t="s">
        <v>25850</v>
      </c>
      <c r="K2214" s="5" t="s">
        <v>344</v>
      </c>
      <c r="L2214" s="5" t="s">
        <v>32016</v>
      </c>
      <c r="M2214" s="27"/>
      <c r="N2214" s="5"/>
      <c r="O2214" s="5" t="str">
        <v>5610210520</v>
      </c>
      <c r="P2214" s="27">
        <v>10000</v>
      </c>
      <c r="Q2214" s="5" t="s">
        <v>49009</v>
      </c>
      <c r="R2214" s="5"/>
      <c r="S2214" s="5" t="s">
        <v>49066</v>
      </c>
      <c r="T2214" s="28">
        <v>3525000</v>
      </c>
      <c r="U2214" s="28"/>
      <c r="V2214" s="28">
        <v>104605000</v>
      </c>
      <c r="W2214" s="28"/>
      <c r="X2214" s="28">
        <v>4163000</v>
      </c>
      <c r="Y2214" s="28">
        <v>342543000</v>
      </c>
      <c r="Z2214" s="28">
        <v>144038000</v>
      </c>
      <c r="AA2214" s="28"/>
      <c r="AB2214" s="28">
        <v>1000000</v>
      </c>
      <c r="AC2214" s="28">
        <v>198495000</v>
      </c>
      <c r="AD2214" s="28">
        <v>144048000</v>
      </c>
      <c r="AE2214" s="28">
        <v>3657583000</v>
      </c>
      <c r="AF2214" s="28">
        <v>64368000</v>
      </c>
      <c r="AG2214" s="11"/>
    </row>
    <row r="2215">
      <c r="A2215" s="7" t="s">
        <v>3914</v>
      </c>
      <c r="B2215" s="5" t="s">
        <v>11892</v>
      </c>
      <c r="C2215" s="5" t="s">
        <v>19737</v>
      </c>
      <c r="D2215" s="5" t="str">
        <v>616702893704</v>
      </c>
      <c r="E2215" s="0" t="e">
        <f>+7 (861) 2009081
+7 (861) 2009181
+7 (861) 2281093
+7 (989) 7769799</f>
        <v>#NAME?</v>
      </c>
      <c r="F2215" s="5" t="s">
        <v>32017</v>
      </c>
      <c r="G2215" s="5" t="s">
        <v>32018</v>
      </c>
      <c r="H2215" s="26">
        <v>8</v>
      </c>
      <c r="I2215" s="5" t="s">
        <v>31494</v>
      </c>
      <c r="J2215" s="5" t="s">
        <v>25837</v>
      </c>
      <c r="K2215" s="5" t="s">
        <v>344</v>
      </c>
      <c r="L2215" s="5" t="s">
        <v>32019</v>
      </c>
      <c r="M2215" s="27"/>
      <c r="N2215" s="5"/>
      <c r="O2215" s="5" t="str">
        <v>3122510565</v>
      </c>
      <c r="P2215" s="27">
        <v>10000</v>
      </c>
      <c r="Q2215" s="5"/>
      <c r="R2215" s="5"/>
      <c r="S2215" s="5" t="s">
        <v>49029</v>
      </c>
      <c r="T2215" s="28">
        <v>14000</v>
      </c>
      <c r="U2215" s="28"/>
      <c r="V2215" s="28">
        <v>2781456000</v>
      </c>
      <c r="W2215" s="28">
        <v>3051499000</v>
      </c>
      <c r="X2215" s="28">
        <v>8209000</v>
      </c>
      <c r="Y2215" s="28">
        <v>7221307000</v>
      </c>
      <c r="Z2215" s="28">
        <v>116900000</v>
      </c>
      <c r="AA2215" s="28"/>
      <c r="AB2215" s="28"/>
      <c r="AC2215" s="28">
        <v>7104378000</v>
      </c>
      <c r="AD2215" s="28">
        <v>116910000</v>
      </c>
      <c r="AE2215" s="28">
        <v>23615179000</v>
      </c>
      <c r="AF2215" s="28">
        <v>66870000</v>
      </c>
      <c r="AG2215" s="11"/>
    </row>
    <row r="2216">
      <c r="A2216" s="7" t="s">
        <v>3915</v>
      </c>
      <c r="B2216" s="5" t="s">
        <v>11893</v>
      </c>
      <c r="C2216" s="5" t="s">
        <v>19738</v>
      </c>
      <c r="D2216" s="5" t="str">
        <v>665900995994</v>
      </c>
      <c r="E2216" s="0" t="e">
        <f>+7 (343) 2568218
+7 (343) 2958387
+7 (343) 2568221
+7 (343) 2957666
+7 (343) 2958353
+7 (3432) 956221
+7 (3432) 956226</f>
        <v>#NAME?</v>
      </c>
      <c r="F2216" s="5" t="s">
        <v>32020</v>
      </c>
      <c r="G2216" s="5" t="s">
        <v>32021</v>
      </c>
      <c r="H2216" s="26">
        <v>28</v>
      </c>
      <c r="I2216" s="5" t="s">
        <v>32022</v>
      </c>
      <c r="J2216" s="5" t="s">
        <v>28950</v>
      </c>
      <c r="K2216" s="5" t="s">
        <v>344</v>
      </c>
      <c r="L2216" s="5" t="s">
        <v>32023</v>
      </c>
      <c r="M2216" s="27">
        <v>163430</v>
      </c>
      <c r="N2216" s="5" t="s">
        <v>52820</v>
      </c>
      <c r="O2216" s="5" t="str">
        <v>6664006956</v>
      </c>
      <c r="P2216" s="27">
        <v>1982000</v>
      </c>
      <c r="Q2216" s="5" t="s">
        <v>49009</v>
      </c>
      <c r="R2216" s="5"/>
      <c r="S2216" s="5" t="s">
        <v>49010</v>
      </c>
      <c r="T2216" s="28">
        <v>2402492000</v>
      </c>
      <c r="U2216" s="28"/>
      <c r="V2216" s="28">
        <v>1414299000</v>
      </c>
      <c r="W2216" s="28"/>
      <c r="X2216" s="28">
        <v>42002000</v>
      </c>
      <c r="Y2216" s="28">
        <v>6235077000</v>
      </c>
      <c r="Z2216" s="28">
        <v>3775957000</v>
      </c>
      <c r="AA2216" s="28">
        <v>725755000</v>
      </c>
      <c r="AB2216" s="28">
        <v>1311094000</v>
      </c>
      <c r="AC2216" s="28">
        <v>1576851000</v>
      </c>
      <c r="AD2216" s="28">
        <v>3778223000</v>
      </c>
      <c r="AE2216" s="28">
        <v>4636731000</v>
      </c>
      <c r="AF2216" s="28">
        <v>434638000</v>
      </c>
      <c r="AG2216" s="11"/>
    </row>
    <row r="2217">
      <c r="A2217" s="7" t="s">
        <v>3916</v>
      </c>
      <c r="B2217" s="5" t="s">
        <v>11894</v>
      </c>
      <c r="C2217" s="5" t="s">
        <v>19739</v>
      </c>
      <c r="D2217" s="5" t="str">
        <v>701735571058</v>
      </c>
      <c r="E2217" s="0" t="e">
        <f>+7 (382) 2710944
+7 (382) 2710951
+7 (382) 2711000
+7 (382) 2711331</f>
        <v>#NAME?</v>
      </c>
      <c r="F2217" s="5" t="s">
        <v>32024</v>
      </c>
      <c r="G2217" s="5" t="s">
        <v>32025</v>
      </c>
      <c r="H2217" s="26">
        <v>22</v>
      </c>
      <c r="I2217" s="5" t="s">
        <v>32026</v>
      </c>
      <c r="J2217" s="5" t="s">
        <v>991</v>
      </c>
      <c r="K2217" s="5" t="s">
        <v>344</v>
      </c>
      <c r="L2217" s="5"/>
      <c r="M2217" s="27"/>
      <c r="N2217" s="5" t="s">
        <v>52821</v>
      </c>
      <c r="O2217" s="5" t="str">
        <v>7017026930</v>
      </c>
      <c r="P2217" s="27">
        <v>14081</v>
      </c>
      <c r="Q2217" s="5" t="s">
        <v>52823</v>
      </c>
      <c r="R2217" s="5"/>
      <c r="S2217" s="5" t="s">
        <v>52824</v>
      </c>
      <c r="T2217" s="28">
        <v>301621000</v>
      </c>
      <c r="U2217" s="28"/>
      <c r="V2217" s="28">
        <v>740702000</v>
      </c>
      <c r="W2217" s="28"/>
      <c r="X2217" s="28">
        <v>2801000</v>
      </c>
      <c r="Y2217" s="28">
        <v>1374988000</v>
      </c>
      <c r="Z2217" s="28">
        <v>159886000</v>
      </c>
      <c r="AA2217" s="28">
        <v>54000000</v>
      </c>
      <c r="AB2217" s="28">
        <v>157388000</v>
      </c>
      <c r="AC2217" s="28">
        <v>1052926000</v>
      </c>
      <c r="AD2217" s="28">
        <v>159900000</v>
      </c>
      <c r="AE2217" s="28">
        <v>4333799000</v>
      </c>
      <c r="AF2217" s="28">
        <v>1787000</v>
      </c>
      <c r="AG2217" s="11"/>
    </row>
    <row r="2218">
      <c r="A2218" s="7" t="s">
        <v>3917</v>
      </c>
      <c r="B2218" s="5" t="s">
        <v>11895</v>
      </c>
      <c r="C2218" s="5" t="s">
        <v>19740</v>
      </c>
      <c r="D2218" s="5" t="str">
        <v>742203068394</v>
      </c>
      <c r="E2218" s="0" t="e">
        <f>+7 (343) 3182465
+7 (345) 2650129
+7 (3472) 294847
+7 (3512) 477500
+7 (3512) 477700
+7 (3512) 659465
+7 (3512) 669522
+7 (35146) 26046
+7 (35146) 26191
+7 (35146) 26572
+7 (35146) 26574
+7 (35146) 32032
+7 (35146) 32253
+7 (35146) 32669
+7 (35146) 55599</f>
        <v>#NAME?</v>
      </c>
      <c r="F2218" s="5" t="s">
        <v>32027</v>
      </c>
      <c r="G2218" s="5" t="s">
        <v>32028</v>
      </c>
      <c r="H2218" s="26">
        <v>21.5</v>
      </c>
      <c r="I2218" s="5" t="s">
        <v>32029</v>
      </c>
      <c r="J2218" s="5" t="s">
        <v>28950</v>
      </c>
      <c r="K2218" s="5" t="s">
        <v>344</v>
      </c>
      <c r="L2218" s="5"/>
      <c r="M2218" s="27"/>
      <c r="N2218" s="5"/>
      <c r="O2218" s="5" t="str">
        <v>7423017093</v>
      </c>
      <c r="P2218" s="27">
        <v>96916875</v>
      </c>
      <c r="Q2218" s="5" t="s">
        <v>49009</v>
      </c>
      <c r="R2218" s="5"/>
      <c r="S2218" s="5" t="s">
        <v>49010</v>
      </c>
      <c r="T2218" s="28">
        <v>943773000</v>
      </c>
      <c r="U2218" s="28">
        <v>1293348000</v>
      </c>
      <c r="V2218" s="28">
        <v>681348000</v>
      </c>
      <c r="W2218" s="28"/>
      <c r="X2218" s="28">
        <v>240436000</v>
      </c>
      <c r="Y2218" s="28">
        <v>4192632000</v>
      </c>
      <c r="Z2218" s="28">
        <v>2128377000</v>
      </c>
      <c r="AA2218" s="28">
        <v>860023000</v>
      </c>
      <c r="AB2218" s="28">
        <v>584737000</v>
      </c>
      <c r="AC2218" s="28">
        <v>1004590000</v>
      </c>
      <c r="AD2218" s="28">
        <v>2225294000</v>
      </c>
      <c r="AE2218" s="28">
        <v>4627829000</v>
      </c>
      <c r="AF2218" s="28">
        <v>1123061000</v>
      </c>
      <c r="AG2218" s="11"/>
    </row>
    <row r="2219">
      <c r="A2219" s="7" t="s">
        <v>3918</v>
      </c>
      <c r="B2219" s="5" t="s">
        <v>11896</v>
      </c>
      <c r="C2219" s="5" t="s">
        <v>19741</v>
      </c>
      <c r="D2219" s="5" t="str">
        <v>450111198454</v>
      </c>
      <c r="E2219" s="0" t="e">
        <f>+7 (381) 2257896
+7 (983) 1183573
+7 (381) 2956516
+7 (381) 2956517
+7 (381) 2956584
+7 (381) 2957048
+7 (831) 2956584</f>
        <v>#NAME?</v>
      </c>
      <c r="F2219" s="5" t="s">
        <v>32030</v>
      </c>
      <c r="G2219" s="5"/>
      <c r="H2219" s="26">
        <v>6</v>
      </c>
      <c r="I2219" s="5" t="s">
        <v>32031</v>
      </c>
      <c r="J2219" s="5" t="s">
        <v>445</v>
      </c>
      <c r="K2219" s="5" t="s">
        <v>355</v>
      </c>
      <c r="L2219" s="5"/>
      <c r="M2219" s="27">
        <v>6278567</v>
      </c>
      <c r="N2219" s="5" t="s">
        <v>50986</v>
      </c>
      <c r="O2219" s="5" t="str">
        <v>7714968470</v>
      </c>
      <c r="P2219" s="27">
        <v>1000000</v>
      </c>
      <c r="Q2219" s="5" t="s">
        <v>481</v>
      </c>
      <c r="R2219" s="5"/>
      <c r="S2219" s="5" t="s">
        <v>52826</v>
      </c>
      <c r="T2219" s="28">
        <v>1448995000</v>
      </c>
      <c r="U2219" s="28"/>
      <c r="V2219" s="28">
        <v>2332327000</v>
      </c>
      <c r="W2219" s="28">
        <v>20000</v>
      </c>
      <c r="X2219" s="28">
        <v>217527000</v>
      </c>
      <c r="Y2219" s="28">
        <v>6391973000</v>
      </c>
      <c r="Z2219" s="28">
        <v>-374250000</v>
      </c>
      <c r="AA2219" s="28">
        <v>438473000</v>
      </c>
      <c r="AB2219" s="28">
        <v>370515000</v>
      </c>
      <c r="AC2219" s="28">
        <v>5443760000</v>
      </c>
      <c r="AD2219" s="28">
        <v>318780000</v>
      </c>
      <c r="AE2219" s="28">
        <v>6100407000</v>
      </c>
      <c r="AF2219" s="28">
        <v>464263000</v>
      </c>
      <c r="AG2219" s="11"/>
    </row>
    <row r="2220">
      <c r="A2220" s="7" t="s">
        <v>3919</v>
      </c>
      <c r="B2220" s="5" t="s">
        <v>11897</v>
      </c>
      <c r="C2220" s="5" t="s">
        <v>19742</v>
      </c>
      <c r="D2220" s="5" t="str">
        <v>163900132648</v>
      </c>
      <c r="E2220" s="0" t="e">
        <f>+7 (81372) 40883
+7 (906) 573953
+7 (843) 8166541
+7 (84371) 36883
+7 (84371) 40833
+7 (84371) 41423
+7 (84371) 41442
+7 (84371) 41446
+7 (84371) 41883
+7 (84371) 65541
+7 (84371) 66145
+7 (84371) 66542
+7 (84371) 66571
+7 (84371) 70883
+7 (84731) 66541</f>
        <v>#NAME?</v>
      </c>
      <c r="F2220" s="5" t="s">
        <v>32032</v>
      </c>
      <c r="G2220" s="5" t="s">
        <v>32033</v>
      </c>
      <c r="H2220" s="26">
        <v>10.5</v>
      </c>
      <c r="I2220" s="5"/>
      <c r="J2220" s="5" t="s">
        <v>25231</v>
      </c>
      <c r="K2220" s="5" t="s">
        <v>344</v>
      </c>
      <c r="L2220" s="5" t="s">
        <v>32034</v>
      </c>
      <c r="M2220" s="27"/>
      <c r="N2220" s="5" t="s">
        <v>52827</v>
      </c>
      <c r="O2220" s="5" t="str">
        <v>1648033456</v>
      </c>
      <c r="P2220" s="27">
        <v>189736000</v>
      </c>
      <c r="Q2220" s="5" t="s">
        <v>52829</v>
      </c>
      <c r="R2220" s="5"/>
      <c r="S2220" s="5" t="s">
        <v>52830</v>
      </c>
      <c r="T2220" s="28">
        <v>934468000</v>
      </c>
      <c r="U2220" s="28">
        <v>30000000</v>
      </c>
      <c r="V2220" s="28">
        <v>1638342000</v>
      </c>
      <c r="W2220" s="28">
        <v>1310556000</v>
      </c>
      <c r="X2220" s="28">
        <v>168082000</v>
      </c>
      <c r="Y2220" s="28">
        <v>4926332000</v>
      </c>
      <c r="Z2220" s="28">
        <v>2632539000</v>
      </c>
      <c r="AA2220" s="28">
        <v>203612000</v>
      </c>
      <c r="AB2220" s="28">
        <v>1322891000</v>
      </c>
      <c r="AC2220" s="28">
        <v>1819224000</v>
      </c>
      <c r="AD2220" s="28">
        <v>2849920000</v>
      </c>
      <c r="AE2220" s="28">
        <v>13280592000</v>
      </c>
      <c r="AF2220" s="28">
        <v>639685000</v>
      </c>
      <c r="AG2220" s="11"/>
    </row>
    <row r="2221">
      <c r="A2221" s="7" t="s">
        <v>3919</v>
      </c>
      <c r="B2221" s="5" t="s">
        <v>11898</v>
      </c>
      <c r="C2221" s="5" t="s">
        <v>19743</v>
      </c>
      <c r="D2221" s="5" t="str">
        <v>644923240106</v>
      </c>
      <c r="E2221" s="0" t="e">
        <f>+7 (845) 3743046
+7 (84537) 28480
+7 (84537) 43037
+7 (84537) 43055
+7 (84537) 43116
+7 (84537) 43155
+7 (84537) 43163
+7 (84537) 43167
+7 (84537) 91600
+7 (84537) 91616
+7 (84537) 91620
+7 (84539) 64957</f>
        <v>#NAME?</v>
      </c>
      <c r="F2221" s="5" t="s">
        <v>32035</v>
      </c>
      <c r="G2221" s="5" t="s">
        <v>32036</v>
      </c>
      <c r="H2221" s="26">
        <v>22.5</v>
      </c>
      <c r="I2221" s="5"/>
      <c r="J2221" s="5" t="s">
        <v>32037</v>
      </c>
      <c r="K2221" s="5" t="s">
        <v>344</v>
      </c>
      <c r="L2221" s="5"/>
      <c r="M2221" s="27">
        <v>113029650</v>
      </c>
      <c r="N2221" s="5" t="s">
        <v>52831</v>
      </c>
      <c r="O2221" s="5" t="str">
        <v>6449008704</v>
      </c>
      <c r="P2221" s="27">
        <v>239300</v>
      </c>
      <c r="Q2221" s="5" t="s">
        <v>52832</v>
      </c>
      <c r="R2221" s="5"/>
      <c r="S2221" s="5" t="s">
        <v>52833</v>
      </c>
      <c r="T2221" s="28">
        <v>602120000</v>
      </c>
      <c r="U2221" s="28">
        <v>19000</v>
      </c>
      <c r="V2221" s="28">
        <v>5726176000</v>
      </c>
      <c r="W2221" s="28"/>
      <c r="X2221" s="28">
        <v>956000</v>
      </c>
      <c r="Y2221" s="28">
        <v>7848372000</v>
      </c>
      <c r="Z2221" s="28">
        <v>4437149000</v>
      </c>
      <c r="AA2221" s="28"/>
      <c r="AB2221" s="28">
        <v>593117000</v>
      </c>
      <c r="AC2221" s="28">
        <v>3333093000</v>
      </c>
      <c r="AD2221" s="28">
        <v>4466413000</v>
      </c>
      <c r="AE2221" s="28">
        <v>17471852000</v>
      </c>
      <c r="AF2221" s="28">
        <v>1598434000</v>
      </c>
      <c r="AG2221" s="11"/>
    </row>
    <row r="2222">
      <c r="A2222" s="7" t="s">
        <v>3920</v>
      </c>
      <c r="B2222" s="5" t="s">
        <v>11899</v>
      </c>
      <c r="C2222" s="5" t="s">
        <v>19744</v>
      </c>
      <c r="D2222" s="5" t="str">
        <v>400700472708</v>
      </c>
      <c r="E2222" s="0" t="e">
        <f>+7 (482) 2371330
+7 (482) 2371333
+7 (482) 2371334</f>
        <v>#NAME?</v>
      </c>
      <c r="F2222" s="5" t="s">
        <v>32038</v>
      </c>
      <c r="G2222" s="5" t="s">
        <v>32039</v>
      </c>
      <c r="H2222" s="26">
        <v>11</v>
      </c>
      <c r="I2222" s="5" t="s">
        <v>32040</v>
      </c>
      <c r="J2222" s="5" t="s">
        <v>32041</v>
      </c>
      <c r="K2222" s="5" t="s">
        <v>344</v>
      </c>
      <c r="L2222" s="5" t="s">
        <v>32042</v>
      </c>
      <c r="M2222" s="27"/>
      <c r="N2222" s="5"/>
      <c r="O2222" s="5" t="str">
        <v>6949008163</v>
      </c>
      <c r="P2222" s="27">
        <v>200000</v>
      </c>
      <c r="Q2222" s="5" t="s">
        <v>49009</v>
      </c>
      <c r="R2222" s="5"/>
      <c r="S2222" s="5" t="s">
        <v>50103</v>
      </c>
      <c r="T2222" s="28">
        <v>255168000</v>
      </c>
      <c r="U2222" s="28">
        <v>8500000</v>
      </c>
      <c r="V2222" s="28">
        <v>189109000</v>
      </c>
      <c r="W2222" s="28"/>
      <c r="X2222" s="28">
        <v>124809000</v>
      </c>
      <c r="Y2222" s="28">
        <v>859115000</v>
      </c>
      <c r="Z2222" s="28">
        <v>174319000</v>
      </c>
      <c r="AA2222" s="28"/>
      <c r="AB2222" s="28">
        <v>100048000</v>
      </c>
      <c r="AC2222" s="28">
        <v>673624000</v>
      </c>
      <c r="AD2222" s="28">
        <v>174521000</v>
      </c>
      <c r="AE2222" s="28">
        <v>6398263000</v>
      </c>
      <c r="AF2222" s="28">
        <v>29924000</v>
      </c>
      <c r="AG2222" s="11"/>
    </row>
    <row r="2223">
      <c r="A2223" s="7" t="s">
        <v>3921</v>
      </c>
      <c r="B2223" s="5" t="s">
        <v>11900</v>
      </c>
      <c r="C2223" s="5" t="s">
        <v>19745</v>
      </c>
      <c r="D2223" s="5" t="str">
        <v>027402479734</v>
      </c>
      <c r="E2223" s="0" t="e">
        <f>+7 (937) 1565549</f>
        <v>#NAME?</v>
      </c>
      <c r="F2223" s="5" t="s">
        <v>32043</v>
      </c>
      <c r="G2223" s="5"/>
      <c r="H2223" s="26">
        <v>3.5</v>
      </c>
      <c r="I2223" s="5" t="s">
        <v>32044</v>
      </c>
      <c r="J2223" s="5" t="s">
        <v>32045</v>
      </c>
      <c r="K2223" s="5" t="s">
        <v>344</v>
      </c>
      <c r="L2223" s="5" t="s">
        <v>32046</v>
      </c>
      <c r="M2223" s="27"/>
      <c r="N2223" s="5"/>
      <c r="O2223" s="5" t="str">
        <v>6685167714</v>
      </c>
      <c r="P2223" s="27">
        <v>24000</v>
      </c>
      <c r="Q2223" s="5"/>
      <c r="R2223" s="5"/>
      <c r="S2223" s="5" t="s">
        <v>49053</v>
      </c>
      <c r="T2223" s="28">
        <v>21710000</v>
      </c>
      <c r="U2223" s="28"/>
      <c r="V2223" s="28">
        <v>188652000</v>
      </c>
      <c r="W2223" s="28"/>
      <c r="X2223" s="28">
        <v>427283000</v>
      </c>
      <c r="Y2223" s="28">
        <v>1188690000</v>
      </c>
      <c r="Z2223" s="28">
        <v>111136000</v>
      </c>
      <c r="AA2223" s="28"/>
      <c r="AB2223" s="28"/>
      <c r="AC2223" s="28">
        <v>1077505000</v>
      </c>
      <c r="AD2223" s="28">
        <v>111160000</v>
      </c>
      <c r="AE2223" s="28">
        <v>3145762000</v>
      </c>
      <c r="AF2223" s="28">
        <v>24805000</v>
      </c>
      <c r="AG2223" s="11"/>
    </row>
    <row r="2224">
      <c r="A2224" s="7" t="s">
        <v>3922</v>
      </c>
      <c r="B2224" s="5" t="s">
        <v>11901</v>
      </c>
      <c r="C2224" s="5" t="s">
        <v>19746</v>
      </c>
      <c r="D2224" s="5" t="str">
        <v>027719014738</v>
      </c>
      <c r="E2224" s="0" t="e">
        <f>+7 (495) 7484111
+7 (495) 7486420</f>
        <v>#NAME?</v>
      </c>
      <c r="F2224" s="5" t="s">
        <v>32047</v>
      </c>
      <c r="G2224" s="5"/>
      <c r="H2224" s="26">
        <v>5.5</v>
      </c>
      <c r="I2224" s="5" t="s">
        <v>32048</v>
      </c>
      <c r="J2224" s="5" t="s">
        <v>671</v>
      </c>
      <c r="K2224" s="5" t="s">
        <v>344</v>
      </c>
      <c r="L2224" s="5"/>
      <c r="M2224" s="27"/>
      <c r="N2224" s="5"/>
      <c r="O2224" s="5" t="str">
        <v>9701087599</v>
      </c>
      <c r="P2224" s="27">
        <v>10000000</v>
      </c>
      <c r="Q2224" s="5" t="s">
        <v>52834</v>
      </c>
      <c r="R2224" s="5"/>
      <c r="S2224" s="5" t="s">
        <v>49743</v>
      </c>
      <c r="T2224" s="28"/>
      <c r="U2224" s="28">
        <v>613000</v>
      </c>
      <c r="V2224" s="28">
        <v>14603552000</v>
      </c>
      <c r="W2224" s="28">
        <v>262000000</v>
      </c>
      <c r="X2224" s="28">
        <v>197139000</v>
      </c>
      <c r="Y2224" s="28">
        <v>15368560000</v>
      </c>
      <c r="Z2224" s="28">
        <v>471902000</v>
      </c>
      <c r="AA2224" s="28"/>
      <c r="AB2224" s="28">
        <v>14853113000</v>
      </c>
      <c r="AC2224" s="28">
        <v>14853379000</v>
      </c>
      <c r="AD2224" s="28">
        <v>481902000</v>
      </c>
      <c r="AE2224" s="28">
        <v>4858401000</v>
      </c>
      <c r="AF2224" s="28">
        <v>54798000</v>
      </c>
      <c r="AG2224" s="11"/>
    </row>
    <row r="2225">
      <c r="A2225" s="7" t="s">
        <v>3923</v>
      </c>
      <c r="B2225" s="5" t="s">
        <v>11902</v>
      </c>
      <c r="C2225" s="5" t="s">
        <v>19747</v>
      </c>
      <c r="D2225" s="5" t="str">
        <v>772804054130</v>
      </c>
      <c r="E2225" s="0" t="e">
        <f>+7 (903) 8800155
+7 (486) 2474930
+7 (4862) 543807
+7 (4862) 543832
+7 (4862) 543847
+7 (495) 6903393
+7 (926) 2357091</f>
        <v>#NAME?</v>
      </c>
      <c r="F2225" s="5" t="s">
        <v>32049</v>
      </c>
      <c r="G2225" s="5" t="s">
        <v>32050</v>
      </c>
      <c r="H2225" s="26">
        <v>17</v>
      </c>
      <c r="I2225" s="5" t="s">
        <v>32051</v>
      </c>
      <c r="J2225" s="5" t="s">
        <v>25371</v>
      </c>
      <c r="K2225" s="5" t="s">
        <v>344</v>
      </c>
      <c r="L2225" s="5" t="s">
        <v>32052</v>
      </c>
      <c r="M2225" s="27">
        <v>20900</v>
      </c>
      <c r="N2225" s="5" t="s">
        <v>52835</v>
      </c>
      <c r="O2225" s="5" t="str">
        <v>5720015610</v>
      </c>
      <c r="P2225" s="27">
        <v>7361486</v>
      </c>
      <c r="Q2225" s="5"/>
      <c r="R2225" s="5"/>
      <c r="S2225" s="5" t="s">
        <v>49499</v>
      </c>
      <c r="T2225" s="28">
        <v>15197075000</v>
      </c>
      <c r="U2225" s="28">
        <v>10000</v>
      </c>
      <c r="V2225" s="28">
        <v>728441000</v>
      </c>
      <c r="W2225" s="28">
        <v>1502480000</v>
      </c>
      <c r="X2225" s="28">
        <v>1744275000</v>
      </c>
      <c r="Y2225" s="28">
        <v>22644932000</v>
      </c>
      <c r="Z2225" s="28">
        <v>12228095000</v>
      </c>
      <c r="AA2225" s="28">
        <v>5256698000</v>
      </c>
      <c r="AB2225" s="28">
        <v>2399960000</v>
      </c>
      <c r="AC2225" s="28">
        <v>5107679000</v>
      </c>
      <c r="AD2225" s="28">
        <v>12924831000</v>
      </c>
      <c r="AE2225" s="28">
        <v>11468795000</v>
      </c>
      <c r="AF2225" s="28">
        <v>1673980000</v>
      </c>
      <c r="AG2225" s="11"/>
    </row>
    <row r="2226">
      <c r="A2226" s="7" t="s">
        <v>3924</v>
      </c>
      <c r="B2226" s="5" t="s">
        <v>11903</v>
      </c>
      <c r="C2226" s="5" t="s">
        <v>19748</v>
      </c>
      <c r="D2226" s="5" t="str">
        <v>421100400375</v>
      </c>
      <c r="E2226" s="0" t="e">
        <f>+7 (38464) 39012
+7 (38464) 63445
+7 (38464) 74210
+7 (38464) 74583
+7 (38464) 74876
+7 (38464) 74877
+7 (38464) 74887
+7 (38464) 76676</f>
        <v>#NAME?</v>
      </c>
      <c r="F2226" s="5" t="s">
        <v>32053</v>
      </c>
      <c r="G2226" s="5"/>
      <c r="H2226" s="26">
        <v>28.5</v>
      </c>
      <c r="I2226" s="5"/>
      <c r="J2226" s="5" t="s">
        <v>26213</v>
      </c>
      <c r="K2226" s="5" t="s">
        <v>344</v>
      </c>
      <c r="L2226" s="5"/>
      <c r="M2226" s="27"/>
      <c r="N2226" s="5" t="s">
        <v>52837</v>
      </c>
      <c r="O2226" s="5" t="str">
        <v>4211002950</v>
      </c>
      <c r="P2226" s="27">
        <v>183100</v>
      </c>
      <c r="Q2226" s="5" t="s">
        <v>52838</v>
      </c>
      <c r="R2226" s="5"/>
      <c r="S2226" s="5" t="s">
        <v>51456</v>
      </c>
      <c r="T2226" s="28">
        <v>298449000</v>
      </c>
      <c r="U2226" s="28">
        <v>72000</v>
      </c>
      <c r="V2226" s="28">
        <v>672368000</v>
      </c>
      <c r="W2226" s="28">
        <v>1956000</v>
      </c>
      <c r="X2226" s="28">
        <v>235000</v>
      </c>
      <c r="Y2226" s="28">
        <v>1460001000</v>
      </c>
      <c r="Z2226" s="28">
        <v>-55447000</v>
      </c>
      <c r="AA2226" s="28">
        <v>344300000</v>
      </c>
      <c r="AB2226" s="28">
        <v>51634000</v>
      </c>
      <c r="AC2226" s="28">
        <v>980406000</v>
      </c>
      <c r="AD2226" s="28">
        <v>120891000</v>
      </c>
      <c r="AE2226" s="28">
        <v>6658061000</v>
      </c>
      <c r="AF2226" s="28">
        <v>3542000</v>
      </c>
      <c r="AG2226" s="11"/>
    </row>
    <row r="2227">
      <c r="A2227" s="7" t="s">
        <v>3925</v>
      </c>
      <c r="B2227" s="5" t="s">
        <v>11904</v>
      </c>
      <c r="C2227" s="5" t="s">
        <v>19749</v>
      </c>
      <c r="D2227" s="5" t="str">
        <v>773720484805</v>
      </c>
      <c r="E2227" s="0" t="e">
        <f>+7 (925) 7488509
+7 (495) 6519154</f>
        <v>#NAME?</v>
      </c>
      <c r="F2227" s="5" t="s">
        <v>32054</v>
      </c>
      <c r="G2227" s="5" t="s">
        <v>32055</v>
      </c>
      <c r="H2227" s="26">
        <v>15</v>
      </c>
      <c r="I2227" s="5"/>
      <c r="J2227" s="5" t="s">
        <v>623</v>
      </c>
      <c r="K2227" s="5" t="s">
        <v>344</v>
      </c>
      <c r="L2227" s="5" t="s">
        <v>32056</v>
      </c>
      <c r="M2227" s="27">
        <v>7999682</v>
      </c>
      <c r="N2227" s="5" t="s">
        <v>52839</v>
      </c>
      <c r="O2227" s="5" t="str">
        <v>7715693797</v>
      </c>
      <c r="P2227" s="27">
        <v>100000</v>
      </c>
      <c r="Q2227" s="5" t="s">
        <v>52840</v>
      </c>
      <c r="R2227" s="5" t="s">
        <v>52841</v>
      </c>
      <c r="S2227" s="5" t="s">
        <v>52842</v>
      </c>
      <c r="T2227" s="28">
        <v>309700000</v>
      </c>
      <c r="U2227" s="28">
        <v>68367000</v>
      </c>
      <c r="V2227" s="28">
        <v>2839614000</v>
      </c>
      <c r="W2227" s="28">
        <v>125568000</v>
      </c>
      <c r="X2227" s="28">
        <v>661000</v>
      </c>
      <c r="Y2227" s="28">
        <v>3890623000</v>
      </c>
      <c r="Z2227" s="28">
        <v>576110000</v>
      </c>
      <c r="AA2227" s="28"/>
      <c r="AB2227" s="28"/>
      <c r="AC2227" s="28">
        <v>3124758000</v>
      </c>
      <c r="AD2227" s="28">
        <v>576215000</v>
      </c>
      <c r="AE2227" s="28">
        <v>7681053000</v>
      </c>
      <c r="AF2227" s="28">
        <v>380985000</v>
      </c>
      <c r="AG2227" s="11"/>
    </row>
    <row r="2228">
      <c r="A2228" s="7" t="s">
        <v>680</v>
      </c>
      <c r="B2228" s="5" t="s">
        <v>681</v>
      </c>
      <c r="C2228" s="5" t="s">
        <v>682</v>
      </c>
      <c r="D2228" s="5" t="str">
        <v>323211127676</v>
      </c>
      <c r="E2228" s="0" t="e">
        <f>+7 (495) 9661408
+7 (977) 6872128</f>
        <v>#NAME?</v>
      </c>
      <c r="F2228" s="5" t="s">
        <v>684</v>
      </c>
      <c r="G2228" s="5"/>
      <c r="H2228" s="26">
        <v>9</v>
      </c>
      <c r="I2228" s="5" t="s">
        <v>685</v>
      </c>
      <c r="J2228" s="5" t="s">
        <v>364</v>
      </c>
      <c r="K2228" s="5" t="s">
        <v>355</v>
      </c>
      <c r="L2228" s="5" t="s">
        <v>686</v>
      </c>
      <c r="M2228" s="27">
        <v>53204225</v>
      </c>
      <c r="N2228" s="5" t="s">
        <v>52843</v>
      </c>
      <c r="O2228" s="5" t="str">
        <v>7842513327</v>
      </c>
      <c r="P2228" s="27">
        <v>55567500</v>
      </c>
      <c r="Q2228" s="5" t="s">
        <v>687</v>
      </c>
      <c r="R2228" s="5" t="s">
        <v>52844</v>
      </c>
      <c r="S2228" s="5" t="s">
        <v>52845</v>
      </c>
      <c r="T2228" s="28">
        <v>95525000</v>
      </c>
      <c r="U2228" s="28"/>
      <c r="V2228" s="28">
        <v>480240000</v>
      </c>
      <c r="W2228" s="28"/>
      <c r="X2228" s="28">
        <v>172511000</v>
      </c>
      <c r="Y2228" s="28">
        <v>1319299000</v>
      </c>
      <c r="Z2228" s="28">
        <v>368937000</v>
      </c>
      <c r="AA2228" s="28">
        <v>10077000</v>
      </c>
      <c r="AB2228" s="28"/>
      <c r="AC2228" s="28">
        <v>813459000</v>
      </c>
      <c r="AD2228" s="28">
        <v>424505000</v>
      </c>
      <c r="AE2228" s="28">
        <v>5892866000</v>
      </c>
      <c r="AF2228" s="28">
        <v>348480000</v>
      </c>
      <c r="AG2228" s="11"/>
    </row>
    <row r="2229">
      <c r="A2229" s="7" t="s">
        <v>3926</v>
      </c>
      <c r="B2229" s="5" t="s">
        <v>11905</v>
      </c>
      <c r="C2229" s="5" t="s">
        <v>19750</v>
      </c>
      <c r="D2229" s="5" t="str">
        <v>450212416758</v>
      </c>
      <c r="E2229" s="0" t="e">
        <f>+7 (35253) 52898
+7 (35253) 78995
+7 (35253) 37628
+7 (35253) 37630
+7 (35253) 37654
+7 (35253) 37661
+7 (35253) 51965
+7 (8352) 537630</f>
        <v>#NAME?</v>
      </c>
      <c r="F2229" s="5" t="s">
        <v>32057</v>
      </c>
      <c r="G2229" s="5" t="s">
        <v>32058</v>
      </c>
      <c r="H2229" s="26">
        <v>30.5</v>
      </c>
      <c r="I2229" s="5"/>
      <c r="J2229" s="5" t="s">
        <v>445</v>
      </c>
      <c r="K2229" s="5" t="s">
        <v>344</v>
      </c>
      <c r="L2229" s="5" t="s">
        <v>32059</v>
      </c>
      <c r="M2229" s="27"/>
      <c r="N2229" s="5" t="s">
        <v>52846</v>
      </c>
      <c r="O2229" s="5" t="str">
        <v>4502000516</v>
      </c>
      <c r="P2229" s="27">
        <v>5019844</v>
      </c>
      <c r="Q2229" s="5" t="s">
        <v>52847</v>
      </c>
      <c r="R2229" s="5"/>
      <c r="S2229" s="5" t="s">
        <v>52848</v>
      </c>
      <c r="T2229" s="28">
        <v>746359000</v>
      </c>
      <c r="U2229" s="28"/>
      <c r="V2229" s="28">
        <v>1106251000</v>
      </c>
      <c r="W2229" s="28"/>
      <c r="X2229" s="28">
        <v>74440000</v>
      </c>
      <c r="Y2229" s="28">
        <v>3101823000</v>
      </c>
      <c r="Z2229" s="28">
        <v>684789000</v>
      </c>
      <c r="AA2229" s="28">
        <v>600000000</v>
      </c>
      <c r="AB2229" s="28">
        <v>488284000</v>
      </c>
      <c r="AC2229" s="28">
        <v>1780944000</v>
      </c>
      <c r="AD2229" s="28">
        <v>690060000</v>
      </c>
      <c r="AE2229" s="28">
        <v>4164315000</v>
      </c>
      <c r="AF2229" s="28">
        <v>124049000</v>
      </c>
      <c r="AG2229" s="11"/>
    </row>
    <row r="2230">
      <c r="A2230" s="7" t="s">
        <v>3927</v>
      </c>
      <c r="B2230" s="5" t="s">
        <v>11906</v>
      </c>
      <c r="C2230" s="5" t="s">
        <v>19751</v>
      </c>
      <c r="D2230" s="5" t="str">
        <v>540411522274</v>
      </c>
      <c r="E2230" s="0" t="e">
        <f>+7 (913) 619697
+7 (913) 9045353
+7 (383) 2644686
+7 (383) 2644752
+7 (383) 2644897
+7 (383) 3165119
+7 (383) 3321142
+7 (383) 3594437
+7 (495) 4111254
+7 (800) 1002907
+7 (800) 2005575</f>
        <v>#NAME?</v>
      </c>
      <c r="F2230" s="5" t="s">
        <v>32060</v>
      </c>
      <c r="G2230" s="5" t="s">
        <v>32061</v>
      </c>
      <c r="H2230" s="26">
        <v>28</v>
      </c>
      <c r="I2230" s="5"/>
      <c r="J2230" s="5" t="s">
        <v>30822</v>
      </c>
      <c r="K2230" s="5" t="s">
        <v>344</v>
      </c>
      <c r="L2230" s="5" t="s">
        <v>32062</v>
      </c>
      <c r="M2230" s="27"/>
      <c r="N2230" s="5" t="s">
        <v>52849</v>
      </c>
      <c r="O2230" s="5" t="str">
        <v>5406119655</v>
      </c>
      <c r="P2230" s="27">
        <v>20500</v>
      </c>
      <c r="Q2230" s="5" t="s">
        <v>52850</v>
      </c>
      <c r="R2230" s="5" t="s">
        <v>51082</v>
      </c>
      <c r="S2230" s="5" t="s">
        <v>52851</v>
      </c>
      <c r="T2230" s="28">
        <v>62478000</v>
      </c>
      <c r="U2230" s="28"/>
      <c r="V2230" s="28">
        <v>319160000</v>
      </c>
      <c r="W2230" s="28"/>
      <c r="X2230" s="28">
        <v>562270000</v>
      </c>
      <c r="Y2230" s="28">
        <v>1026460000</v>
      </c>
      <c r="Z2230" s="28">
        <v>690106000</v>
      </c>
      <c r="AA2230" s="28"/>
      <c r="AB2230" s="28"/>
      <c r="AC2230" s="28">
        <v>336329000</v>
      </c>
      <c r="AD2230" s="28">
        <v>690195000</v>
      </c>
      <c r="AE2230" s="28">
        <v>3792945000</v>
      </c>
      <c r="AF2230" s="28">
        <v>898262000</v>
      </c>
      <c r="AG2230" s="11"/>
    </row>
    <row r="2231">
      <c r="A2231" s="7" t="s">
        <v>3928</v>
      </c>
      <c r="B2231" s="5" t="s">
        <v>11907</v>
      </c>
      <c r="C2231" s="5" t="s">
        <v>19752</v>
      </c>
      <c r="D2231" s="5" t="str">
        <v>272405310406</v>
      </c>
      <c r="E2231" s="0" t="e">
        <f>+7 (421) 2328388</f>
        <v>#NAME?</v>
      </c>
      <c r="F2231" s="5"/>
      <c r="G2231" s="5"/>
      <c r="H2231" s="26">
        <v>4.5</v>
      </c>
      <c r="I2231" s="5" t="s">
        <v>32063</v>
      </c>
      <c r="J2231" s="5" t="s">
        <v>25193</v>
      </c>
      <c r="K2231" s="5" t="s">
        <v>344</v>
      </c>
      <c r="L2231" s="5"/>
      <c r="M2231" s="27"/>
      <c r="N2231" s="5"/>
      <c r="O2231" s="5" t="str">
        <v>2724231260</v>
      </c>
      <c r="P2231" s="27">
        <v>58031760</v>
      </c>
      <c r="Q2231" s="5" t="s">
        <v>49009</v>
      </c>
      <c r="R2231" s="5"/>
      <c r="S2231" s="5" t="s">
        <v>49010</v>
      </c>
      <c r="T2231" s="28">
        <v>115169000</v>
      </c>
      <c r="U2231" s="28"/>
      <c r="V2231" s="28">
        <v>874245000</v>
      </c>
      <c r="W2231" s="28"/>
      <c r="X2231" s="28">
        <v>352850000</v>
      </c>
      <c r="Y2231" s="28">
        <v>5116466000</v>
      </c>
      <c r="Z2231" s="28">
        <v>196947000</v>
      </c>
      <c r="AA2231" s="28">
        <v>1596064000</v>
      </c>
      <c r="AB2231" s="28">
        <v>1691000</v>
      </c>
      <c r="AC2231" s="28">
        <v>698272000</v>
      </c>
      <c r="AD2231" s="28">
        <v>2777360000</v>
      </c>
      <c r="AE2231" s="28">
        <v>4208132000</v>
      </c>
      <c r="AF2231" s="28">
        <v>326497000</v>
      </c>
      <c r="AG2231" s="11"/>
    </row>
    <row r="2232">
      <c r="A2232" s="7" t="s">
        <v>3929</v>
      </c>
      <c r="B2232" s="5" t="s">
        <v>11908</v>
      </c>
      <c r="C2232" s="5" t="s">
        <v>19753</v>
      </c>
      <c r="D2232" s="5" t="str">
        <v>312201869938</v>
      </c>
      <c r="E2232" s="0" t="e">
        <f>+7 (800) 5007707
+7 (8632) 618838
+7 (84457) 26630
+7 (863) 2532866
+7 (863) 2622801
+7 (863) 3070015
+7 (8632) 107035
+7 (8632) 107040
+7 (8632) 950105</f>
        <v>#NAME?</v>
      </c>
      <c r="F2232" s="5"/>
      <c r="G2232" s="5"/>
      <c r="H2232" s="26">
        <v>22.5</v>
      </c>
      <c r="I2232" s="5" t="s">
        <v>32064</v>
      </c>
      <c r="J2232" s="5" t="s">
        <v>29195</v>
      </c>
      <c r="K2232" s="5" t="s">
        <v>355</v>
      </c>
      <c r="L2232" s="5" t="s">
        <v>32065</v>
      </c>
      <c r="M2232" s="27">
        <v>4796700</v>
      </c>
      <c r="N2232" s="5"/>
      <c r="O2232" s="5" t="str">
        <v>6167055801</v>
      </c>
      <c r="P2232" s="27">
        <v>968454</v>
      </c>
      <c r="Q2232" s="5" t="s">
        <v>49009</v>
      </c>
      <c r="R2232" s="5"/>
      <c r="S2232" s="5" t="s">
        <v>49066</v>
      </c>
      <c r="T2232" s="28">
        <v>652000</v>
      </c>
      <c r="U2232" s="28"/>
      <c r="V2232" s="28">
        <v>3834843000</v>
      </c>
      <c r="W2232" s="28">
        <v>330670000</v>
      </c>
      <c r="X2232" s="28">
        <v>421000</v>
      </c>
      <c r="Y2232" s="28">
        <v>6110601000</v>
      </c>
      <c r="Z2232" s="28">
        <v>34433000</v>
      </c>
      <c r="AA2232" s="28">
        <v>1300000</v>
      </c>
      <c r="AB2232" s="28">
        <v>3238647000</v>
      </c>
      <c r="AC2232" s="28">
        <v>5966537000</v>
      </c>
      <c r="AD2232" s="28">
        <v>35401000</v>
      </c>
      <c r="AE2232" s="28">
        <v>14184183000</v>
      </c>
      <c r="AF2232" s="28">
        <v>31763000</v>
      </c>
      <c r="AG2232" s="11"/>
    </row>
    <row r="2233">
      <c r="A2233" s="7" t="s">
        <v>3930</v>
      </c>
      <c r="B2233" s="5" t="s">
        <v>11909</v>
      </c>
      <c r="C2233" s="5" t="s">
        <v>19754</v>
      </c>
      <c r="D2233" s="5" t="str">
        <v>745604586381</v>
      </c>
      <c r="E2233" s="0" t="e">
        <f>+7 (343) 1434601
+7 (343) 1491900
+7 (343) 1491918
+7 (343) 8491900
+7 (343) 8491918
+7 (34384) 91974</f>
        <v>#NAME?</v>
      </c>
      <c r="F2233" s="5" t="s">
        <v>32066</v>
      </c>
      <c r="G2233" s="5" t="s">
        <v>32067</v>
      </c>
      <c r="H2233" s="26">
        <v>29.5</v>
      </c>
      <c r="I2233" s="5"/>
      <c r="J2233" s="5" t="s">
        <v>26499</v>
      </c>
      <c r="K2233" s="5" t="s">
        <v>344</v>
      </c>
      <c r="L2233" s="5" t="s">
        <v>32068</v>
      </c>
      <c r="M2233" s="27">
        <v>400000</v>
      </c>
      <c r="N2233" s="5"/>
      <c r="O2233" s="5" t="str">
        <v>6617001534</v>
      </c>
      <c r="P2233" s="27">
        <v>180400000</v>
      </c>
      <c r="Q2233" s="5" t="s">
        <v>49021</v>
      </c>
      <c r="R2233" s="5"/>
      <c r="S2233" s="5" t="s">
        <v>52514</v>
      </c>
      <c r="T2233" s="28">
        <v>1060552000</v>
      </c>
      <c r="U2233" s="28">
        <v>12178839000</v>
      </c>
      <c r="V2233" s="28">
        <v>6432761000</v>
      </c>
      <c r="W2233" s="28">
        <v>24565257000</v>
      </c>
      <c r="X2233" s="28">
        <v>855000</v>
      </c>
      <c r="Y2233" s="28">
        <v>51657733000</v>
      </c>
      <c r="Z2233" s="28">
        <v>28875753000</v>
      </c>
      <c r="AA2233" s="28">
        <v>18501524000</v>
      </c>
      <c r="AB2233" s="28">
        <v>530091000</v>
      </c>
      <c r="AC2233" s="28">
        <v>2944168000</v>
      </c>
      <c r="AD2233" s="28">
        <v>29665491000</v>
      </c>
      <c r="AE2233" s="28">
        <v>11388089000</v>
      </c>
      <c r="AF2233" s="28">
        <v>1539101000</v>
      </c>
      <c r="AG2233" s="11"/>
    </row>
    <row r="2234">
      <c r="A2234" s="7" t="s">
        <v>3931</v>
      </c>
      <c r="B2234" s="5" t="s">
        <v>11910</v>
      </c>
      <c r="C2234" s="5" t="s">
        <v>19755</v>
      </c>
      <c r="D2234" s="5" t="str">
        <v>140200603798</v>
      </c>
      <c r="E2234" s="0" t="e">
        <f>+7 (41145) 35815
+7 (41145) 37245
+7 (41145) 37545
+7 (41150) 35815
+7 (41150) 37398
+7 (495) 7894347</f>
        <v>#NAME?</v>
      </c>
      <c r="F2234" s="5" t="s">
        <v>32069</v>
      </c>
      <c r="G2234" s="5"/>
      <c r="H2234" s="26">
        <v>17.5</v>
      </c>
      <c r="I2234" s="5"/>
      <c r="J2234" s="5" t="s">
        <v>26499</v>
      </c>
      <c r="K2234" s="5" t="s">
        <v>355</v>
      </c>
      <c r="L2234" s="5" t="s">
        <v>32070</v>
      </c>
      <c r="M2234" s="27">
        <v>6723478</v>
      </c>
      <c r="N2234" s="5" t="s">
        <v>52852</v>
      </c>
      <c r="O2234" s="5" t="str">
        <v>1402046014</v>
      </c>
      <c r="P2234" s="27">
        <v>20000000</v>
      </c>
      <c r="Q2234" s="5" t="s">
        <v>49021</v>
      </c>
      <c r="R2234" s="5" t="s">
        <v>52853</v>
      </c>
      <c r="S2234" s="5" t="s">
        <v>52854</v>
      </c>
      <c r="T2234" s="28">
        <v>5241662000</v>
      </c>
      <c r="U2234" s="28">
        <v>12528387000</v>
      </c>
      <c r="V2234" s="28">
        <v>10431416000</v>
      </c>
      <c r="W2234" s="28">
        <v>873376000</v>
      </c>
      <c r="X2234" s="28">
        <v>9778009000</v>
      </c>
      <c r="Y2234" s="28">
        <v>63804382000</v>
      </c>
      <c r="Z2234" s="28">
        <v>14815166000</v>
      </c>
      <c r="AA2234" s="28">
        <v>16757325000</v>
      </c>
      <c r="AB2234" s="28">
        <v>14592636000</v>
      </c>
      <c r="AC2234" s="28">
        <v>29763549000</v>
      </c>
      <c r="AD2234" s="28">
        <v>14836166000</v>
      </c>
      <c r="AE2234" s="28">
        <v>22118580000</v>
      </c>
      <c r="AF2234" s="28">
        <v>3723926000</v>
      </c>
      <c r="AG2234" s="11"/>
    </row>
    <row r="2235">
      <c r="A2235" s="7" t="s">
        <v>3932</v>
      </c>
      <c r="B2235" s="5" t="s">
        <v>11911</v>
      </c>
      <c r="C2235" s="5" t="s">
        <v>19756</v>
      </c>
      <c r="D2235" s="5" t="str">
        <v>142800431350</v>
      </c>
      <c r="E2235" s="0" t="e">
        <f>+7 (41140) 21567
+7 (411) 1421434
+7 (411) 1421687
+7 (41140) 21434
+7 (41140) 21445
+7 (41140) 21494
+7 (41140) 21657
+7 (41140) 21687
+7 (41141) 21434
+7 (41141) 21687
+7 (906) 7028571</f>
        <v>#NAME?</v>
      </c>
      <c r="F2235" s="5" t="s">
        <v>32071</v>
      </c>
      <c r="G2235" s="5"/>
      <c r="H2235" s="26">
        <v>29.5</v>
      </c>
      <c r="I2235" s="5" t="s">
        <v>32072</v>
      </c>
      <c r="J2235" s="5" t="s">
        <v>26499</v>
      </c>
      <c r="K2235" s="5" t="s">
        <v>344</v>
      </c>
      <c r="L2235" s="5" t="s">
        <v>32073</v>
      </c>
      <c r="M2235" s="27"/>
      <c r="N2235" s="5" t="s">
        <v>52855</v>
      </c>
      <c r="O2235" s="5" t="str">
        <v>1428003978</v>
      </c>
      <c r="P2235" s="27">
        <v>295700</v>
      </c>
      <c r="Q2235" s="5" t="s">
        <v>49021</v>
      </c>
      <c r="R2235" s="5"/>
      <c r="S2235" s="5" t="s">
        <v>52856</v>
      </c>
      <c r="T2235" s="28">
        <v>1635785000</v>
      </c>
      <c r="U2235" s="28">
        <v>3456000</v>
      </c>
      <c r="V2235" s="28">
        <v>978720000</v>
      </c>
      <c r="W2235" s="28">
        <v>23237000</v>
      </c>
      <c r="X2235" s="28">
        <v>2257099000</v>
      </c>
      <c r="Y2235" s="28">
        <v>7364286000</v>
      </c>
      <c r="Z2235" s="28">
        <v>6485103000</v>
      </c>
      <c r="AA2235" s="28"/>
      <c r="AB2235" s="28"/>
      <c r="AC2235" s="28">
        <v>790831000</v>
      </c>
      <c r="AD2235" s="28">
        <v>6485399000</v>
      </c>
      <c r="AE2235" s="28">
        <v>6270850000</v>
      </c>
      <c r="AF2235" s="28">
        <v>2106738000</v>
      </c>
      <c r="AG2235" s="11"/>
    </row>
    <row r="2236">
      <c r="A2236" s="7" t="s">
        <v>3933</v>
      </c>
      <c r="B2236" s="5" t="s">
        <v>11912</v>
      </c>
      <c r="C2236" s="5" t="s">
        <v>19757</v>
      </c>
      <c r="D2236" s="5" t="str">
        <v>771704773027</v>
      </c>
      <c r="E2236" s="0" t="e">
        <f>+7 (903) 1660908</f>
        <v>#NAME?</v>
      </c>
      <c r="F2236" s="5" t="s">
        <v>32074</v>
      </c>
      <c r="G2236" s="5"/>
      <c r="H2236" s="26">
        <v>1</v>
      </c>
      <c r="I2236" s="5" t="s">
        <v>32075</v>
      </c>
      <c r="J2236" s="5" t="s">
        <v>25779</v>
      </c>
      <c r="K2236" s="5" t="s">
        <v>344</v>
      </c>
      <c r="L2236" s="5"/>
      <c r="M2236" s="27"/>
      <c r="N2236" s="5"/>
      <c r="O2236" s="5" t="str">
        <v>9710094560</v>
      </c>
      <c r="P2236" s="27">
        <v>100000</v>
      </c>
      <c r="Q2236" s="5" t="s">
        <v>49207</v>
      </c>
      <c r="R2236" s="5"/>
      <c r="S2236" s="5" t="s">
        <v>49311</v>
      </c>
      <c r="T2236" s="28">
        <v>238000</v>
      </c>
      <c r="U2236" s="28"/>
      <c r="V2236" s="28">
        <v>25116000</v>
      </c>
      <c r="W2236" s="28"/>
      <c r="X2236" s="28">
        <v>464000</v>
      </c>
      <c r="Y2236" s="28">
        <v>671954000</v>
      </c>
      <c r="Z2236" s="28">
        <v>3960000</v>
      </c>
      <c r="AA2236" s="28"/>
      <c r="AB2236" s="28">
        <v>10102000</v>
      </c>
      <c r="AC2236" s="28">
        <v>667894000</v>
      </c>
      <c r="AD2236" s="28">
        <v>4060000</v>
      </c>
      <c r="AE2236" s="28">
        <v>4575722000</v>
      </c>
      <c r="AF2236" s="28">
        <v>3168000</v>
      </c>
      <c r="AG2236" s="11"/>
    </row>
    <row r="2237">
      <c r="A2237" s="7" t="s">
        <v>3934</v>
      </c>
      <c r="B2237" s="5" t="s">
        <v>11913</v>
      </c>
      <c r="C2237" s="5" t="s">
        <v>19758</v>
      </c>
      <c r="D2237" s="5" t="str">
        <v>720309678379</v>
      </c>
      <c r="E2237" s="0" t="e">
        <f>+7 (345) 2540386
+7 (345) 2540387
+7 (345) 2540390
+7 (34551) 75915
+7 (346) 2533208
+7 (800) 5502070</f>
        <v>#NAME?</v>
      </c>
      <c r="F2237" s="5" t="s">
        <v>32076</v>
      </c>
      <c r="G2237" s="5"/>
      <c r="H2237" s="26">
        <v>18.5</v>
      </c>
      <c r="I2237" s="5"/>
      <c r="J2237" s="5" t="s">
        <v>27497</v>
      </c>
      <c r="K2237" s="5" t="s">
        <v>344</v>
      </c>
      <c r="L2237" s="5" t="s">
        <v>32077</v>
      </c>
      <c r="M2237" s="27"/>
      <c r="N2237" s="5" t="s">
        <v>52857</v>
      </c>
      <c r="O2237" s="5" t="str">
        <v>7203239260</v>
      </c>
      <c r="P2237" s="27">
        <v>100962300</v>
      </c>
      <c r="Q2237" s="5" t="s">
        <v>52858</v>
      </c>
      <c r="R2237" s="5"/>
      <c r="S2237" s="5" t="s">
        <v>52859</v>
      </c>
      <c r="T2237" s="28">
        <v>811473000</v>
      </c>
      <c r="U2237" s="28">
        <v>9576000</v>
      </c>
      <c r="V2237" s="28">
        <v>196152000</v>
      </c>
      <c r="W2237" s="28"/>
      <c r="X2237" s="28">
        <v>24980000</v>
      </c>
      <c r="Y2237" s="28">
        <v>1545814000</v>
      </c>
      <c r="Z2237" s="28">
        <v>808702000</v>
      </c>
      <c r="AA2237" s="28"/>
      <c r="AB2237" s="28">
        <v>282965000</v>
      </c>
      <c r="AC2237" s="28">
        <v>495212000</v>
      </c>
      <c r="AD2237" s="28">
        <v>1054863000</v>
      </c>
      <c r="AE2237" s="28">
        <v>4210592000</v>
      </c>
      <c r="AF2237" s="28">
        <v>157478000</v>
      </c>
      <c r="AG2237" s="11"/>
    </row>
    <row r="2238">
      <c r="A2238" s="7" t="s">
        <v>3935</v>
      </c>
      <c r="B2238" s="5" t="s">
        <v>11914</v>
      </c>
      <c r="C2238" s="5" t="s">
        <v>19759</v>
      </c>
      <c r="D2238" s="5" t="str">
        <v>773112629124</v>
      </c>
      <c r="E2238" s="0" t="e">
        <f>+7 (495) 5029468
+7 (495) 7550027
+7 (499) 7550027
+7 (800) 5509468</f>
        <v>#NAME?</v>
      </c>
      <c r="F2238" s="5" t="s">
        <v>32078</v>
      </c>
      <c r="G2238" s="5" t="s">
        <v>32079</v>
      </c>
      <c r="H2238" s="26">
        <v>19.5</v>
      </c>
      <c r="I2238" s="5" t="s">
        <v>32080</v>
      </c>
      <c r="J2238" s="5" t="s">
        <v>28586</v>
      </c>
      <c r="K2238" s="5" t="s">
        <v>344</v>
      </c>
      <c r="L2238" s="5" t="s">
        <v>32081</v>
      </c>
      <c r="M2238" s="27"/>
      <c r="N2238" s="5"/>
      <c r="O2238" s="5" t="str">
        <v>7743511752</v>
      </c>
      <c r="P2238" s="27">
        <v>300000</v>
      </c>
      <c r="Q2238" s="5" t="s">
        <v>49535</v>
      </c>
      <c r="R2238" s="5"/>
      <c r="S2238" s="5" t="s">
        <v>52860</v>
      </c>
      <c r="T2238" s="28">
        <v>284420000</v>
      </c>
      <c r="U2238" s="28"/>
      <c r="V2238" s="28">
        <v>225169000</v>
      </c>
      <c r="W2238" s="28"/>
      <c r="X2238" s="28">
        <v>9169000</v>
      </c>
      <c r="Y2238" s="28">
        <v>1073497000</v>
      </c>
      <c r="Z2238" s="28">
        <v>504423000</v>
      </c>
      <c r="AA2238" s="28"/>
      <c r="AB2238" s="28"/>
      <c r="AC2238" s="28">
        <v>286466000</v>
      </c>
      <c r="AD2238" s="28">
        <v>504723000</v>
      </c>
      <c r="AE2238" s="28">
        <v>3461743000</v>
      </c>
      <c r="AF2238" s="28">
        <v>6105000</v>
      </c>
      <c r="AG2238" s="11"/>
    </row>
    <row r="2239">
      <c r="A2239" s="7" t="s">
        <v>3936</v>
      </c>
      <c r="B2239" s="5" t="s">
        <v>11915</v>
      </c>
      <c r="C2239" s="5" t="s">
        <v>19760</v>
      </c>
      <c r="D2239" s="5" t="str">
        <v>503600705594</v>
      </c>
      <c r="E2239" s="0" t="e">
        <f>+7 (48432) 56840
+7 (48432) 56841
+7 (48432) 56842
+7 (48432) 56843
+7 (48439) 72585
+7 (495) 2405870
+7 (903) 6363980</f>
        <v>#NAME?</v>
      </c>
      <c r="F2239" s="5" t="s">
        <v>32082</v>
      </c>
      <c r="G2239" s="5"/>
      <c r="H2239" s="26">
        <v>5.5</v>
      </c>
      <c r="I2239" s="5"/>
      <c r="J2239" s="5" t="s">
        <v>26251</v>
      </c>
      <c r="K2239" s="5" t="s">
        <v>344</v>
      </c>
      <c r="L2239" s="5" t="s">
        <v>32083</v>
      </c>
      <c r="M2239" s="27"/>
      <c r="N2239" s="5"/>
      <c r="O2239" s="5" t="str">
        <v>4007021198</v>
      </c>
      <c r="P2239" s="27">
        <v>18527477</v>
      </c>
      <c r="Q2239" s="5" t="s">
        <v>49009</v>
      </c>
      <c r="R2239" s="5"/>
      <c r="S2239" s="5" t="s">
        <v>49066</v>
      </c>
      <c r="T2239" s="28">
        <v>1423917000</v>
      </c>
      <c r="U2239" s="28"/>
      <c r="V2239" s="28">
        <v>1256749000</v>
      </c>
      <c r="W2239" s="28"/>
      <c r="X2239" s="28">
        <v>6093000</v>
      </c>
      <c r="Y2239" s="28">
        <v>3216579000</v>
      </c>
      <c r="Z2239" s="28">
        <v>1733260000</v>
      </c>
      <c r="AA2239" s="28">
        <v>954531000</v>
      </c>
      <c r="AB2239" s="28">
        <v>75686000</v>
      </c>
      <c r="AC2239" s="28">
        <v>472901000</v>
      </c>
      <c r="AD2239" s="28">
        <v>1751787000</v>
      </c>
      <c r="AE2239" s="28">
        <v>4063853000</v>
      </c>
      <c r="AF2239" s="28">
        <v>599761000</v>
      </c>
      <c r="AG2239" s="11"/>
    </row>
    <row r="2240">
      <c r="A2240" s="7" t="s">
        <v>3937</v>
      </c>
      <c r="B2240" s="5" t="s">
        <v>11916</v>
      </c>
      <c r="C2240" s="5" t="s">
        <v>19761</v>
      </c>
      <c r="D2240" s="5" t="str">
        <v>024402236905</v>
      </c>
      <c r="E2240" s="0" t="e">
        <f>+7 (34767) 42400
+7 (34767) 41413
+7 (34782) 32701
+7 (800) 7002021</f>
        <v>#NAME?</v>
      </c>
      <c r="F2240" s="5" t="s">
        <v>32084</v>
      </c>
      <c r="G2240" s="5" t="s">
        <v>32085</v>
      </c>
      <c r="H2240" s="26">
        <v>16</v>
      </c>
      <c r="I2240" s="5" t="s">
        <v>32086</v>
      </c>
      <c r="J2240" s="5" t="s">
        <v>29291</v>
      </c>
      <c r="K2240" s="5" t="s">
        <v>344</v>
      </c>
      <c r="L2240" s="5" t="s">
        <v>32087</v>
      </c>
      <c r="M2240" s="27"/>
      <c r="N2240" s="5" t="s">
        <v>52861</v>
      </c>
      <c r="O2240" s="5" t="str">
        <v>0265029750</v>
      </c>
      <c r="P2240" s="27">
        <v>239413000</v>
      </c>
      <c r="Q2240" s="5" t="s">
        <v>49324</v>
      </c>
      <c r="R2240" s="5"/>
      <c r="S2240" s="5" t="s">
        <v>51997</v>
      </c>
      <c r="T2240" s="28">
        <v>1208268000</v>
      </c>
      <c r="U2240" s="28">
        <v>88819000</v>
      </c>
      <c r="V2240" s="28">
        <v>714622000</v>
      </c>
      <c r="W2240" s="28"/>
      <c r="X2240" s="28">
        <v>111623000</v>
      </c>
      <c r="Y2240" s="28">
        <v>3142935000</v>
      </c>
      <c r="Z2240" s="28">
        <v>687791000</v>
      </c>
      <c r="AA2240" s="28">
        <v>942905000</v>
      </c>
      <c r="AB2240" s="28">
        <v>400000000</v>
      </c>
      <c r="AC2240" s="28">
        <v>1193730000</v>
      </c>
      <c r="AD2240" s="28">
        <v>927204000</v>
      </c>
      <c r="AE2240" s="28">
        <v>4809471000</v>
      </c>
      <c r="AF2240" s="28">
        <v>106148000</v>
      </c>
      <c r="AG2240" s="11"/>
    </row>
    <row r="2241">
      <c r="A2241" s="7" t="s">
        <v>3938</v>
      </c>
      <c r="B2241" s="5" t="s">
        <v>11917</v>
      </c>
      <c r="C2241" s="5" t="s">
        <v>19762</v>
      </c>
      <c r="D2241" s="5" t="str">
        <v>502938251130</v>
      </c>
      <c r="E2241" s="0" t="e">
        <f>+7 (495) 2233306
+7 (495) 9951195
+7 (49654) 90808
+7 (925) 806678</f>
        <v>#NAME?</v>
      </c>
      <c r="F2241" s="5" t="s">
        <v>32088</v>
      </c>
      <c r="G2241" s="5"/>
      <c r="H2241" s="26">
        <v>16</v>
      </c>
      <c r="I2241" s="5" t="s">
        <v>32089</v>
      </c>
      <c r="J2241" s="5" t="s">
        <v>26268</v>
      </c>
      <c r="K2241" s="5" t="s">
        <v>344</v>
      </c>
      <c r="L2241" s="5" t="s">
        <v>32090</v>
      </c>
      <c r="M2241" s="27"/>
      <c r="N2241" s="5" t="s">
        <v>52863</v>
      </c>
      <c r="O2241" s="5" t="str">
        <v>5042093207</v>
      </c>
      <c r="P2241" s="27">
        <v>10000</v>
      </c>
      <c r="Q2241" s="5" t="s">
        <v>49009</v>
      </c>
      <c r="R2241" s="5"/>
      <c r="S2241" s="5" t="s">
        <v>49576</v>
      </c>
      <c r="T2241" s="28">
        <v>30410000</v>
      </c>
      <c r="U2241" s="28"/>
      <c r="V2241" s="28">
        <v>341856000</v>
      </c>
      <c r="W2241" s="28">
        <v>130654000</v>
      </c>
      <c r="X2241" s="28">
        <v>56247000</v>
      </c>
      <c r="Y2241" s="28">
        <v>608833000</v>
      </c>
      <c r="Z2241" s="28">
        <v>104997000</v>
      </c>
      <c r="AA2241" s="28"/>
      <c r="AB2241" s="28"/>
      <c r="AC2241" s="28">
        <v>481057000</v>
      </c>
      <c r="AD2241" s="28">
        <v>105007000</v>
      </c>
      <c r="AE2241" s="28">
        <v>4264548000</v>
      </c>
      <c r="AF2241" s="28">
        <v>20954000</v>
      </c>
      <c r="AG2241" s="11"/>
    </row>
    <row r="2242">
      <c r="A2242" s="7" t="s">
        <v>3939</v>
      </c>
      <c r="B2242" s="5" t="s">
        <v>11918</v>
      </c>
      <c r="C2242" s="5" t="s">
        <v>19763</v>
      </c>
      <c r="D2242" s="5" t="str">
        <v>712800455768</v>
      </c>
      <c r="F2242" s="5"/>
      <c r="G2242" s="5"/>
      <c r="H2242" s="26">
        <v>13.5</v>
      </c>
      <c r="I2242" s="5" t="s">
        <v>32091</v>
      </c>
      <c r="J2242" s="5" t="s">
        <v>32092</v>
      </c>
      <c r="K2242" s="5" t="s">
        <v>344</v>
      </c>
      <c r="L2242" s="5" t="s">
        <v>29422</v>
      </c>
      <c r="M2242" s="27"/>
      <c r="N2242" s="5"/>
      <c r="O2242" s="5" t="str">
        <v>7126501022</v>
      </c>
      <c r="P2242" s="27">
        <v>10000</v>
      </c>
      <c r="Q2242" s="5" t="s">
        <v>49009</v>
      </c>
      <c r="R2242" s="5"/>
      <c r="S2242" s="5" t="s">
        <v>49010</v>
      </c>
      <c r="T2242" s="28">
        <v>133216000</v>
      </c>
      <c r="U2242" s="28"/>
      <c r="V2242" s="28">
        <v>24184000</v>
      </c>
      <c r="W2242" s="28"/>
      <c r="X2242" s="28">
        <v>192000</v>
      </c>
      <c r="Y2242" s="28">
        <v>1103878000</v>
      </c>
      <c r="Z2242" s="28">
        <v>42288000</v>
      </c>
      <c r="AA2242" s="28"/>
      <c r="AB2242" s="28"/>
      <c r="AC2242" s="28">
        <v>884700000</v>
      </c>
      <c r="AD2242" s="28">
        <v>45498000</v>
      </c>
      <c r="AE2242" s="28">
        <v>5358031000</v>
      </c>
      <c r="AF2242" s="28">
        <v>1228000</v>
      </c>
      <c r="AG2242" s="11"/>
    </row>
    <row r="2243">
      <c r="A2243" s="7" t="s">
        <v>3940</v>
      </c>
      <c r="B2243" s="5" t="s">
        <v>11919</v>
      </c>
      <c r="C2243" s="5" t="s">
        <v>19764</v>
      </c>
      <c r="D2243" s="5" t="str">
        <v>234828330289</v>
      </c>
      <c r="E2243" s="0" t="e">
        <f>+7 (3463) 230000
+7 (346) 1215129
+7 (346) 3294461
+7 (3463) 215103
+7 (3463) 215129</f>
        <v>#NAME?</v>
      </c>
      <c r="F2243" s="5" t="s">
        <v>32093</v>
      </c>
      <c r="G2243" s="5"/>
      <c r="H2243" s="26">
        <v>11.5</v>
      </c>
      <c r="I2243" s="5" t="s">
        <v>32094</v>
      </c>
      <c r="J2243" s="5" t="s">
        <v>467</v>
      </c>
      <c r="K2243" s="5" t="s">
        <v>344</v>
      </c>
      <c r="L2243" s="5" t="s">
        <v>32095</v>
      </c>
      <c r="M2243" s="27">
        <v>5018059</v>
      </c>
      <c r="N2243" s="5" t="s">
        <v>52864</v>
      </c>
      <c r="O2243" s="5" t="str">
        <v>8619015462</v>
      </c>
      <c r="P2243" s="27">
        <v>12500</v>
      </c>
      <c r="Q2243" s="5" t="s">
        <v>52865</v>
      </c>
      <c r="R2243" s="5" t="s">
        <v>52866</v>
      </c>
      <c r="S2243" s="5" t="s">
        <v>52867</v>
      </c>
      <c r="T2243" s="28">
        <v>1580936000</v>
      </c>
      <c r="U2243" s="28"/>
      <c r="V2243" s="28">
        <v>698804000</v>
      </c>
      <c r="W2243" s="28">
        <v>121312000</v>
      </c>
      <c r="X2243" s="28">
        <v>7442000</v>
      </c>
      <c r="Y2243" s="28">
        <v>3490766000</v>
      </c>
      <c r="Z2243" s="28">
        <v>547532000</v>
      </c>
      <c r="AA2243" s="28"/>
      <c r="AB2243" s="28">
        <v>374579000</v>
      </c>
      <c r="AC2243" s="28">
        <v>1902260000</v>
      </c>
      <c r="AD2243" s="28">
        <v>547545000</v>
      </c>
      <c r="AE2243" s="28">
        <v>6790036000</v>
      </c>
      <c r="AF2243" s="28">
        <v>170526000</v>
      </c>
      <c r="AG2243" s="11"/>
    </row>
    <row r="2244">
      <c r="A2244" s="7" t="s">
        <v>3941</v>
      </c>
      <c r="B2244" s="5" t="s">
        <v>11920</v>
      </c>
      <c r="C2244" s="5" t="s">
        <v>19765</v>
      </c>
      <c r="D2244" s="5" t="str">
        <v>421704249906</v>
      </c>
      <c r="E2244" s="0" t="e">
        <f>+7 (384) 3795927
+7 (3843) 747637
+7 (3843) 795931</f>
        <v>#NAME?</v>
      </c>
      <c r="F2244" s="5"/>
      <c r="G2244" s="5"/>
      <c r="H2244" s="26">
        <v>15</v>
      </c>
      <c r="I2244" s="5" t="s">
        <v>32096</v>
      </c>
      <c r="J2244" s="5" t="s">
        <v>31498</v>
      </c>
      <c r="K2244" s="5" t="s">
        <v>344</v>
      </c>
      <c r="L2244" s="5" t="s">
        <v>32097</v>
      </c>
      <c r="M2244" s="27"/>
      <c r="N2244" s="5"/>
      <c r="O2244" s="5" t="str">
        <v>4217100495</v>
      </c>
      <c r="P2244" s="27">
        <v>20000</v>
      </c>
      <c r="Q2244" s="5"/>
      <c r="R2244" s="5"/>
      <c r="S2244" s="5" t="s">
        <v>49425</v>
      </c>
      <c r="T2244" s="28">
        <v>3276113000</v>
      </c>
      <c r="U2244" s="28"/>
      <c r="V2244" s="28">
        <v>710098000</v>
      </c>
      <c r="W2244" s="28"/>
      <c r="X2244" s="28">
        <v>1575000</v>
      </c>
      <c r="Y2244" s="28">
        <v>6874632000</v>
      </c>
      <c r="Z2244" s="28">
        <v>754513000</v>
      </c>
      <c r="AA2244" s="28"/>
      <c r="AB2244" s="28">
        <v>1246832000</v>
      </c>
      <c r="AC2244" s="28">
        <v>2442084000</v>
      </c>
      <c r="AD2244" s="28">
        <v>754533000</v>
      </c>
      <c r="AE2244" s="28">
        <v>8976182000</v>
      </c>
      <c r="AF2244" s="28">
        <v>1374953000</v>
      </c>
      <c r="AG2244" s="11"/>
    </row>
    <row r="2245">
      <c r="A2245" s="7" t="s">
        <v>3942</v>
      </c>
      <c r="B2245" s="5" t="s">
        <v>11921</v>
      </c>
      <c r="C2245" s="5" t="s">
        <v>19766</v>
      </c>
      <c r="D2245" s="5" t="str">
        <v>631906529753</v>
      </c>
      <c r="E2245" s="0" t="e">
        <f>+7 (383) 3636969
+7 (499) 6496969
+7 (84626) 96969
+7 (499) 7500711
+7 (800) 7752816</f>
        <v>#NAME?</v>
      </c>
      <c r="F2245" s="5" t="s">
        <v>32098</v>
      </c>
      <c r="G2245" s="5"/>
      <c r="H2245" s="26">
        <v>4.5</v>
      </c>
      <c r="I2245" s="5" t="s">
        <v>32099</v>
      </c>
      <c r="J2245" s="5" t="s">
        <v>31123</v>
      </c>
      <c r="K2245" s="5" t="s">
        <v>344</v>
      </c>
      <c r="L2245" s="5" t="s">
        <v>32100</v>
      </c>
      <c r="M2245" s="27">
        <v>690039</v>
      </c>
      <c r="N2245" s="5" t="s">
        <v>52868</v>
      </c>
      <c r="O2245" s="5" t="str">
        <v>5017117817</v>
      </c>
      <c r="P2245" s="27">
        <v>10000</v>
      </c>
      <c r="Q2245" s="5"/>
      <c r="R2245" s="5"/>
      <c r="S2245" s="5" t="s">
        <v>49110</v>
      </c>
      <c r="T2245" s="28">
        <v>11997000</v>
      </c>
      <c r="U2245" s="28"/>
      <c r="V2245" s="28">
        <v>2520007000</v>
      </c>
      <c r="W2245" s="28">
        <v>83009000</v>
      </c>
      <c r="X2245" s="28">
        <v>19768000</v>
      </c>
      <c r="Y2245" s="28">
        <v>2713869000</v>
      </c>
      <c r="Z2245" s="28">
        <v>727254000</v>
      </c>
      <c r="AA2245" s="28">
        <v>152500000</v>
      </c>
      <c r="AB2245" s="28"/>
      <c r="AC2245" s="28">
        <v>1832117000</v>
      </c>
      <c r="AD2245" s="28">
        <v>727264000</v>
      </c>
      <c r="AE2245" s="28">
        <v>7904491000</v>
      </c>
      <c r="AF2245" s="28">
        <v>409299000</v>
      </c>
      <c r="AG2245" s="11"/>
    </row>
    <row r="2246">
      <c r="A2246" s="7" t="s">
        <v>3943</v>
      </c>
      <c r="B2246" s="5" t="s">
        <v>11922</v>
      </c>
      <c r="C2246" s="5" t="s">
        <v>19767</v>
      </c>
      <c r="D2246" s="5" t="str">
        <v>631629353865</v>
      </c>
      <c r="E2246" s="0" t="e">
        <f>+7 (495) 5777557
+7 (968) 6768758</f>
        <v>#NAME?</v>
      </c>
      <c r="F2246" s="5"/>
      <c r="G2246" s="5"/>
      <c r="H2246" s="26">
        <v>10</v>
      </c>
      <c r="I2246" s="5" t="s">
        <v>32101</v>
      </c>
      <c r="J2246" s="5" t="s">
        <v>29902</v>
      </c>
      <c r="K2246" s="5" t="s">
        <v>344</v>
      </c>
      <c r="L2246" s="5" t="s">
        <v>32102</v>
      </c>
      <c r="M2246" s="27"/>
      <c r="N2246" s="5"/>
      <c r="O2246" s="5" t="str">
        <v>5047138042</v>
      </c>
      <c r="P2246" s="27">
        <v>20000</v>
      </c>
      <c r="Q2246" s="5"/>
      <c r="R2246" s="5"/>
      <c r="S2246" s="5" t="s">
        <v>49029</v>
      </c>
      <c r="T2246" s="28">
        <v>480902000</v>
      </c>
      <c r="U2246" s="28"/>
      <c r="V2246" s="28">
        <v>451731000</v>
      </c>
      <c r="W2246" s="28"/>
      <c r="X2246" s="28">
        <v>45572000</v>
      </c>
      <c r="Y2246" s="28">
        <v>2033760000</v>
      </c>
      <c r="Z2246" s="28">
        <v>690145000</v>
      </c>
      <c r="AA2246" s="28">
        <v>174823000</v>
      </c>
      <c r="AB2246" s="28">
        <v>192624000</v>
      </c>
      <c r="AC2246" s="28">
        <v>629593000</v>
      </c>
      <c r="AD2246" s="28">
        <v>1159542000</v>
      </c>
      <c r="AE2246" s="28">
        <v>3109372000</v>
      </c>
      <c r="AF2246" s="28">
        <v>355900000</v>
      </c>
      <c r="AG2246" s="11"/>
    </row>
    <row r="2247">
      <c r="A2247" s="7" t="s">
        <v>3944</v>
      </c>
      <c r="B2247" s="5" t="s">
        <v>11923</v>
      </c>
      <c r="C2247" s="5" t="s">
        <v>19768</v>
      </c>
      <c r="D2247" s="5" t="str">
        <v>235214391161</v>
      </c>
      <c r="E2247" s="0" t="e">
        <f>+7 (861) 2040275
+7 (86148) 60835</f>
        <v>#NAME?</v>
      </c>
      <c r="F2247" s="5" t="s">
        <v>32103</v>
      </c>
      <c r="G2247" s="5"/>
      <c r="H2247" s="26">
        <v>13.5</v>
      </c>
      <c r="I2247" s="5" t="s">
        <v>32104</v>
      </c>
      <c r="J2247" s="5" t="s">
        <v>32105</v>
      </c>
      <c r="K2247" s="5" t="s">
        <v>344</v>
      </c>
      <c r="L2247" s="5" t="s">
        <v>32106</v>
      </c>
      <c r="M2247" s="27"/>
      <c r="N2247" s="5"/>
      <c r="O2247" s="5" t="str">
        <v>2352044733</v>
      </c>
      <c r="P2247" s="27">
        <v>1416813195</v>
      </c>
      <c r="Q2247" s="5"/>
      <c r="R2247" s="5"/>
      <c r="S2247" s="5" t="s">
        <v>49121</v>
      </c>
      <c r="T2247" s="28">
        <v>3523037000</v>
      </c>
      <c r="U2247" s="28">
        <v>9414550000</v>
      </c>
      <c r="V2247" s="28">
        <v>1425420000</v>
      </c>
      <c r="W2247" s="28">
        <v>2000000000</v>
      </c>
      <c r="X2247" s="28">
        <v>27663000</v>
      </c>
      <c r="Y2247" s="28">
        <v>16569817000</v>
      </c>
      <c r="Z2247" s="28">
        <v>6012697000</v>
      </c>
      <c r="AA2247" s="28">
        <v>6490222000</v>
      </c>
      <c r="AB2247" s="28">
        <v>2172101000</v>
      </c>
      <c r="AC2247" s="28">
        <v>2312410000</v>
      </c>
      <c r="AD2247" s="28">
        <v>7430697000</v>
      </c>
      <c r="AE2247" s="28">
        <v>3293891000</v>
      </c>
      <c r="AF2247" s="28">
        <v>2010124000</v>
      </c>
      <c r="AG2247" s="11"/>
    </row>
    <row r="2248">
      <c r="A2248" s="7" t="s">
        <v>3945</v>
      </c>
      <c r="B2248" s="5" t="s">
        <v>11924</v>
      </c>
      <c r="C2248" s="5" t="s">
        <v>19769</v>
      </c>
      <c r="D2248" s="5" t="str">
        <v>500801737777</v>
      </c>
      <c r="E2248" s="0" t="e">
        <f>+7 (495) 9979947
+7 (495) 6246807
+7 (495) 7398986</f>
        <v>#NAME?</v>
      </c>
      <c r="F2248" s="5" t="s">
        <v>32107</v>
      </c>
      <c r="G2248" s="5" t="s">
        <v>32108</v>
      </c>
      <c r="H2248" s="26">
        <v>18</v>
      </c>
      <c r="I2248" s="5"/>
      <c r="J2248" s="5" t="s">
        <v>26999</v>
      </c>
      <c r="K2248" s="5" t="s">
        <v>344</v>
      </c>
      <c r="L2248" s="5" t="s">
        <v>26126</v>
      </c>
      <c r="M2248" s="27"/>
      <c r="N2248" s="5"/>
      <c r="O2248" s="5" t="str">
        <v>5029036344</v>
      </c>
      <c r="P2248" s="27">
        <v>12600</v>
      </c>
      <c r="Q2248" s="5"/>
      <c r="R2248" s="5"/>
      <c r="S2248" s="5" t="s">
        <v>49029</v>
      </c>
      <c r="T2248" s="28">
        <v>45295000</v>
      </c>
      <c r="U2248" s="28">
        <v>10000</v>
      </c>
      <c r="V2248" s="28">
        <v>538800000</v>
      </c>
      <c r="W2248" s="28">
        <v>2950000</v>
      </c>
      <c r="X2248" s="28">
        <v>22191000</v>
      </c>
      <c r="Y2248" s="28">
        <v>834400000</v>
      </c>
      <c r="Z2248" s="28">
        <v>681840000</v>
      </c>
      <c r="AA2248" s="28"/>
      <c r="AB2248" s="28"/>
      <c r="AC2248" s="28">
        <v>62119000</v>
      </c>
      <c r="AD2248" s="28">
        <v>771852000</v>
      </c>
      <c r="AE2248" s="28">
        <v>3728384000</v>
      </c>
      <c r="AF2248" s="28">
        <v>590534000</v>
      </c>
      <c r="AG2248" s="11"/>
    </row>
    <row r="2249">
      <c r="A2249" s="7" t="s">
        <v>3946</v>
      </c>
      <c r="B2249" s="5" t="s">
        <v>10241</v>
      </c>
      <c r="C2249" s="5" t="s">
        <v>19770</v>
      </c>
      <c r="D2249" s="5" t="str">
        <v>280116725482</v>
      </c>
      <c r="E2249" s="0" t="e">
        <f>+7 (914) 5849679</f>
        <v>#NAME?</v>
      </c>
      <c r="F2249" s="5" t="s">
        <v>32109</v>
      </c>
      <c r="G2249" s="5"/>
      <c r="H2249" s="26">
        <v>6</v>
      </c>
      <c r="I2249" s="5" t="s">
        <v>32110</v>
      </c>
      <c r="J2249" s="5" t="s">
        <v>423</v>
      </c>
      <c r="K2249" s="5" t="s">
        <v>344</v>
      </c>
      <c r="L2249" s="5" t="s">
        <v>32111</v>
      </c>
      <c r="M2249" s="27"/>
      <c r="N2249" s="5" t="s">
        <v>52869</v>
      </c>
      <c r="O2249" s="5" t="str">
        <v>2801227536</v>
      </c>
      <c r="P2249" s="27">
        <v>10000</v>
      </c>
      <c r="Q2249" s="5"/>
      <c r="R2249" s="5"/>
      <c r="S2249" s="5" t="s">
        <v>49110</v>
      </c>
      <c r="T2249" s="28">
        <v>1980000</v>
      </c>
      <c r="U2249" s="28"/>
      <c r="V2249" s="28">
        <v>389720000</v>
      </c>
      <c r="W2249" s="28"/>
      <c r="X2249" s="28">
        <v>1995000</v>
      </c>
      <c r="Y2249" s="28">
        <v>1472290000</v>
      </c>
      <c r="Z2249" s="28">
        <v>692257000</v>
      </c>
      <c r="AA2249" s="28">
        <v>43437000</v>
      </c>
      <c r="AB2249" s="28">
        <v>150000000</v>
      </c>
      <c r="AC2249" s="28">
        <v>735443000</v>
      </c>
      <c r="AD2249" s="28">
        <v>692267000</v>
      </c>
      <c r="AE2249" s="28">
        <v>4950526000</v>
      </c>
      <c r="AF2249" s="28">
        <v>608433000</v>
      </c>
      <c r="AG2249" s="11"/>
    </row>
    <row r="2250">
      <c r="A2250" s="7" t="s">
        <v>3947</v>
      </c>
      <c r="B2250" s="5" t="s">
        <v>11925</v>
      </c>
      <c r="C2250" s="5" t="s">
        <v>19771</v>
      </c>
      <c r="D2250" s="5" t="str">
        <v>502422837517</v>
      </c>
      <c r="E2250" s="0" t="e">
        <f>+7 (968) 9878877
+7 (495) 2807945
+7 (812) 3258414
+7 (985) 2289724</f>
        <v>#NAME?</v>
      </c>
      <c r="F2250" s="5" t="s">
        <v>32112</v>
      </c>
      <c r="G2250" s="5" t="s">
        <v>32113</v>
      </c>
      <c r="H2250" s="26">
        <v>9</v>
      </c>
      <c r="I2250" s="5" t="s">
        <v>32114</v>
      </c>
      <c r="J2250" s="5" t="s">
        <v>397</v>
      </c>
      <c r="K2250" s="5" t="s">
        <v>344</v>
      </c>
      <c r="L2250" s="5"/>
      <c r="M2250" s="27">
        <v>27652155</v>
      </c>
      <c r="N2250" s="5"/>
      <c r="O2250" s="5" t="str">
        <v>5024143381</v>
      </c>
      <c r="P2250" s="27">
        <v>32000000</v>
      </c>
      <c r="Q2250" s="5"/>
      <c r="R2250" s="5"/>
      <c r="S2250" s="5" t="s">
        <v>49110</v>
      </c>
      <c r="T2250" s="28">
        <v>22443000</v>
      </c>
      <c r="U2250" s="28"/>
      <c r="V2250" s="28">
        <v>1150713000</v>
      </c>
      <c r="W2250" s="28"/>
      <c r="X2250" s="28">
        <v>682344000</v>
      </c>
      <c r="Y2250" s="28">
        <v>8843504000</v>
      </c>
      <c r="Z2250" s="28">
        <v>558903000</v>
      </c>
      <c r="AA2250" s="28">
        <v>51698000</v>
      </c>
      <c r="AB2250" s="28">
        <v>4348000</v>
      </c>
      <c r="AC2250" s="28">
        <v>8190443000</v>
      </c>
      <c r="AD2250" s="28">
        <v>590903000</v>
      </c>
      <c r="AE2250" s="28">
        <v>13852223000</v>
      </c>
      <c r="AF2250" s="28">
        <v>497034000</v>
      </c>
      <c r="AG2250" s="11"/>
    </row>
    <row r="2251">
      <c r="A2251" s="7" t="s">
        <v>3948</v>
      </c>
      <c r="B2251" s="5" t="s">
        <v>11926</v>
      </c>
      <c r="C2251" s="5" t="s">
        <v>19772</v>
      </c>
      <c r="D2251" s="5" t="str">
        <v>711809666151</v>
      </c>
      <c r="F2251" s="5" t="s">
        <v>32115</v>
      </c>
      <c r="G2251" s="5" t="s">
        <v>32116</v>
      </c>
      <c r="H2251" s="26">
        <v>11</v>
      </c>
      <c r="I2251" s="5" t="s">
        <v>32117</v>
      </c>
      <c r="J2251" s="5" t="s">
        <v>364</v>
      </c>
      <c r="K2251" s="5" t="s">
        <v>344</v>
      </c>
      <c r="L2251" s="5" t="s">
        <v>32118</v>
      </c>
      <c r="M2251" s="27"/>
      <c r="N2251" s="5" t="s">
        <v>52870</v>
      </c>
      <c r="O2251" s="5" t="str">
        <v>7722770040</v>
      </c>
      <c r="P2251" s="27">
        <v>1100000</v>
      </c>
      <c r="Q2251" s="5" t="s">
        <v>52871</v>
      </c>
      <c r="R2251" s="5"/>
      <c r="S2251" s="5" t="s">
        <v>52872</v>
      </c>
      <c r="T2251" s="28">
        <v>32609000</v>
      </c>
      <c r="U2251" s="28"/>
      <c r="V2251" s="28">
        <v>648495000</v>
      </c>
      <c r="W2251" s="28"/>
      <c r="X2251" s="28">
        <v>509431000</v>
      </c>
      <c r="Y2251" s="28">
        <v>1526394000</v>
      </c>
      <c r="Z2251" s="28">
        <v>295943000</v>
      </c>
      <c r="AA2251" s="28">
        <v>12900000</v>
      </c>
      <c r="AB2251" s="28">
        <v>589981000</v>
      </c>
      <c r="AC2251" s="28">
        <v>1215875000</v>
      </c>
      <c r="AD2251" s="28">
        <v>297043000</v>
      </c>
      <c r="AE2251" s="28">
        <v>3302892000</v>
      </c>
      <c r="AF2251" s="28">
        <v>116433000</v>
      </c>
      <c r="AG2251" s="11"/>
    </row>
    <row r="2252">
      <c r="A2252" s="7" t="s">
        <v>3949</v>
      </c>
      <c r="B2252" s="5" t="s">
        <v>11927</v>
      </c>
      <c r="C2252" s="5" t="s">
        <v>19773</v>
      </c>
      <c r="D2252" s="5" t="str">
        <v>772160765076</v>
      </c>
      <c r="E2252" s="0" t="e">
        <f>+7 (495) 7827542
+7 (916) 1388545
+7 (495) 9561318
+7 (495) 9561320
+7 (495) 9561338
+7 (800) 2342015</f>
        <v>#NAME?</v>
      </c>
      <c r="F2252" s="5" t="s">
        <v>32119</v>
      </c>
      <c r="G2252" s="5"/>
      <c r="H2252" s="26">
        <v>19</v>
      </c>
      <c r="I2252" s="5" t="s">
        <v>32120</v>
      </c>
      <c r="J2252" s="5" t="s">
        <v>785</v>
      </c>
      <c r="K2252" s="5" t="s">
        <v>344</v>
      </c>
      <c r="L2252" s="5" t="s">
        <v>32121</v>
      </c>
      <c r="M2252" s="27"/>
      <c r="N2252" s="5" t="s">
        <v>52873</v>
      </c>
      <c r="O2252" s="5" t="str">
        <v>7704506981</v>
      </c>
      <c r="P2252" s="27">
        <v>10000</v>
      </c>
      <c r="Q2252" s="5" t="s">
        <v>52874</v>
      </c>
      <c r="R2252" s="5"/>
      <c r="S2252" s="5" t="s">
        <v>52875</v>
      </c>
      <c r="T2252" s="28">
        <v>19610000</v>
      </c>
      <c r="U2252" s="28"/>
      <c r="V2252" s="28">
        <v>548546000</v>
      </c>
      <c r="W2252" s="28">
        <v>392054000</v>
      </c>
      <c r="X2252" s="28">
        <v>376000</v>
      </c>
      <c r="Y2252" s="28">
        <v>972085000</v>
      </c>
      <c r="Z2252" s="28">
        <v>55111000</v>
      </c>
      <c r="AA2252" s="28"/>
      <c r="AB2252" s="28"/>
      <c r="AC2252" s="28">
        <v>916944000</v>
      </c>
      <c r="AD2252" s="28">
        <v>55121000</v>
      </c>
      <c r="AE2252" s="28">
        <v>3395856000</v>
      </c>
      <c r="AF2252" s="28">
        <v>68554000</v>
      </c>
      <c r="AG2252" s="11"/>
    </row>
    <row r="2253">
      <c r="A2253" s="7" t="s">
        <v>3950</v>
      </c>
      <c r="B2253" s="5" t="s">
        <v>11928</v>
      </c>
      <c r="C2253" s="5" t="s">
        <v>19774</v>
      </c>
      <c r="D2253" s="5"/>
      <c r="E2253" s="0" t="e">
        <f>+7 (916) 1905552
+7 (495) 1351202
+7 (495) 2290161
+7 (495) 7880663
+7 (812) 2253849
+7 (812) 2353860
+7 (812) 3253860
+7 (812) 4566201
+7 (812) 4566262
+7 (812) 4934105
+7 (812) 6022438
+7 (812) 6434313
+7 (812) 9305047
+7 (812) 9476807
+7 (812) 9591449</f>
        <v>#NAME?</v>
      </c>
      <c r="F2253" s="5" t="s">
        <v>32122</v>
      </c>
      <c r="G2253" s="5" t="s">
        <v>32123</v>
      </c>
      <c r="H2253" s="26">
        <v>17.5</v>
      </c>
      <c r="I2253" s="5" t="s">
        <v>32124</v>
      </c>
      <c r="J2253" s="5" t="s">
        <v>785</v>
      </c>
      <c r="K2253" s="5" t="s">
        <v>344</v>
      </c>
      <c r="L2253" s="5" t="s">
        <v>32125</v>
      </c>
      <c r="M2253" s="27"/>
      <c r="N2253" s="5" t="s">
        <v>52876</v>
      </c>
      <c r="O2253" s="5" t="str">
        <v>7813323882</v>
      </c>
      <c r="P2253" s="27">
        <v>40000</v>
      </c>
      <c r="Q2253" s="5" t="s">
        <v>52877</v>
      </c>
      <c r="R2253" s="5"/>
      <c r="S2253" s="5" t="s">
        <v>50630</v>
      </c>
      <c r="T2253" s="28">
        <v>50219000</v>
      </c>
      <c r="U2253" s="28">
        <v>8561000</v>
      </c>
      <c r="V2253" s="28">
        <v>2336971000</v>
      </c>
      <c r="W2253" s="28">
        <v>1083500000</v>
      </c>
      <c r="X2253" s="28">
        <v>214238000</v>
      </c>
      <c r="Y2253" s="28">
        <v>3806853000</v>
      </c>
      <c r="Z2253" s="28">
        <v>80060000</v>
      </c>
      <c r="AA2253" s="28"/>
      <c r="AB2253" s="28"/>
      <c r="AC2253" s="28">
        <v>3709277000</v>
      </c>
      <c r="AD2253" s="28">
        <v>80100000</v>
      </c>
      <c r="AE2253" s="28">
        <v>9304275000</v>
      </c>
      <c r="AF2253" s="28">
        <v>116530000</v>
      </c>
      <c r="AG2253" s="11"/>
    </row>
    <row r="2254">
      <c r="A2254" s="7" t="s">
        <v>3951</v>
      </c>
      <c r="B2254" s="5" t="s">
        <v>11929</v>
      </c>
      <c r="C2254" s="5" t="s">
        <v>19775</v>
      </c>
      <c r="D2254" s="5" t="str">
        <v>780414170007</v>
      </c>
      <c r="E2254" s="0" t="e">
        <f>+7 (812) 1850923
+7 (812) 3362888
+7 (812) 3363888</f>
        <v>#NAME?</v>
      </c>
      <c r="F2254" s="5" t="s">
        <v>32126</v>
      </c>
      <c r="G2254" s="5" t="s">
        <v>32127</v>
      </c>
      <c r="H2254" s="26">
        <v>24</v>
      </c>
      <c r="I2254" s="5"/>
      <c r="J2254" s="5" t="s">
        <v>389</v>
      </c>
      <c r="K2254" s="5" t="s">
        <v>344</v>
      </c>
      <c r="L2254" s="5" t="s">
        <v>32128</v>
      </c>
      <c r="M2254" s="27"/>
      <c r="N2254" s="5" t="s">
        <v>52878</v>
      </c>
      <c r="O2254" s="5" t="str">
        <v>7816137700</v>
      </c>
      <c r="P2254" s="27">
        <v>93240</v>
      </c>
      <c r="Q2254" s="5" t="s">
        <v>52879</v>
      </c>
      <c r="R2254" s="5" t="s">
        <v>52880</v>
      </c>
      <c r="S2254" s="5" t="s">
        <v>52881</v>
      </c>
      <c r="T2254" s="28">
        <v>209759000</v>
      </c>
      <c r="U2254" s="28">
        <v>768387000</v>
      </c>
      <c r="V2254" s="28">
        <v>78983000</v>
      </c>
      <c r="W2254" s="28">
        <v>10000000</v>
      </c>
      <c r="X2254" s="28">
        <v>1172499000</v>
      </c>
      <c r="Y2254" s="28">
        <v>3019912000</v>
      </c>
      <c r="Z2254" s="28">
        <v>2029638000</v>
      </c>
      <c r="AA2254" s="28"/>
      <c r="AB2254" s="28"/>
      <c r="AC2254" s="28">
        <v>708626000</v>
      </c>
      <c r="AD2254" s="28">
        <v>2131350000</v>
      </c>
      <c r="AE2254" s="28">
        <v>5451233000</v>
      </c>
      <c r="AF2254" s="28">
        <v>374329000</v>
      </c>
      <c r="AG2254" s="11"/>
    </row>
    <row r="2255">
      <c r="A2255" s="7" t="s">
        <v>3952</v>
      </c>
      <c r="B2255" s="5" t="s">
        <v>11930</v>
      </c>
      <c r="C2255" s="5" t="s">
        <v>19776</v>
      </c>
      <c r="D2255" s="5" t="str">
        <v>504791034272</v>
      </c>
      <c r="E2255" s="0" t="e">
        <f>+7 (495) 9678080
+7 (495) 9878030</f>
        <v>#NAME?</v>
      </c>
      <c r="F2255" s="5" t="s">
        <v>32129</v>
      </c>
      <c r="G2255" s="5" t="s">
        <v>32130</v>
      </c>
      <c r="H2255" s="26">
        <v>16</v>
      </c>
      <c r="I2255" s="5" t="s">
        <v>32131</v>
      </c>
      <c r="J2255" s="5" t="s">
        <v>881</v>
      </c>
      <c r="K2255" s="5" t="s">
        <v>344</v>
      </c>
      <c r="L2255" s="5" t="s">
        <v>32132</v>
      </c>
      <c r="M2255" s="27"/>
      <c r="N2255" s="5" t="s">
        <v>52882</v>
      </c>
      <c r="O2255" s="5" t="str">
        <v>7713605227</v>
      </c>
      <c r="P2255" s="27">
        <v>5000000</v>
      </c>
      <c r="Q2255" s="5" t="s">
        <v>52883</v>
      </c>
      <c r="R2255" s="5"/>
      <c r="S2255" s="5" t="s">
        <v>50047</v>
      </c>
      <c r="T2255" s="28">
        <v>199270000</v>
      </c>
      <c r="U2255" s="28"/>
      <c r="V2255" s="28">
        <v>1341253000</v>
      </c>
      <c r="W2255" s="28"/>
      <c r="X2255" s="28">
        <v>1443671000</v>
      </c>
      <c r="Y2255" s="28">
        <v>3056143000</v>
      </c>
      <c r="Z2255" s="28">
        <v>2393058000</v>
      </c>
      <c r="AA2255" s="28"/>
      <c r="AB2255" s="28"/>
      <c r="AC2255" s="28">
        <v>606193000</v>
      </c>
      <c r="AD2255" s="28">
        <v>2423909000</v>
      </c>
      <c r="AE2255" s="28">
        <v>6131894000</v>
      </c>
      <c r="AF2255" s="28">
        <v>-579060000</v>
      </c>
      <c r="AG2255" s="11"/>
    </row>
    <row r="2256">
      <c r="A2256" s="7" t="s">
        <v>3953</v>
      </c>
      <c r="B2256" s="5" t="s">
        <v>11931</v>
      </c>
      <c r="C2256" s="5" t="s">
        <v>19777</v>
      </c>
      <c r="D2256" s="5" t="str">
        <v>770203030572</v>
      </c>
      <c r="E2256" s="0" t="e">
        <f>+7 (495) 9678081</f>
        <v>#NAME?</v>
      </c>
      <c r="F2256" s="5" t="s">
        <v>32133</v>
      </c>
      <c r="G2256" s="5"/>
      <c r="H2256" s="26">
        <v>12</v>
      </c>
      <c r="I2256" s="5" t="s">
        <v>32134</v>
      </c>
      <c r="J2256" s="5" t="s">
        <v>881</v>
      </c>
      <c r="K2256" s="5" t="s">
        <v>344</v>
      </c>
      <c r="L2256" s="5"/>
      <c r="M2256" s="27"/>
      <c r="N2256" s="5" t="s">
        <v>52884</v>
      </c>
      <c r="O2256" s="5" t="str">
        <v>7713721689</v>
      </c>
      <c r="P2256" s="27">
        <v>455000000</v>
      </c>
      <c r="Q2256" s="5" t="s">
        <v>49207</v>
      </c>
      <c r="R2256" s="5"/>
      <c r="S2256" s="5" t="s">
        <v>52886</v>
      </c>
      <c r="T2256" s="28">
        <v>363557000</v>
      </c>
      <c r="U2256" s="28">
        <v>150000</v>
      </c>
      <c r="V2256" s="28">
        <v>412336000</v>
      </c>
      <c r="W2256" s="28"/>
      <c r="X2256" s="28">
        <v>220408000</v>
      </c>
      <c r="Y2256" s="28">
        <v>1467289000</v>
      </c>
      <c r="Z2256" s="28">
        <v>226211000</v>
      </c>
      <c r="AA2256" s="28"/>
      <c r="AB2256" s="28"/>
      <c r="AC2256" s="28">
        <v>536898000</v>
      </c>
      <c r="AD2256" s="28">
        <v>681211000</v>
      </c>
      <c r="AE2256" s="28">
        <v>3360929000</v>
      </c>
      <c r="AF2256" s="28">
        <v>1580000</v>
      </c>
      <c r="AG2256" s="11"/>
    </row>
    <row r="2257">
      <c r="A2257" s="7" t="s">
        <v>3954</v>
      </c>
      <c r="B2257" s="5" t="s">
        <v>11932</v>
      </c>
      <c r="C2257" s="5" t="s">
        <v>19778</v>
      </c>
      <c r="D2257" s="5" t="str">
        <v>772705375486</v>
      </c>
      <c r="E2257" s="0" t="e">
        <f>+7 (495) 4678080
+7 (965) 9678080
+7 (495) 6678080
+7 (495) 7258105</f>
        <v>#NAME?</v>
      </c>
      <c r="F2257" s="5" t="s">
        <v>32135</v>
      </c>
      <c r="G2257" s="5" t="s">
        <v>32136</v>
      </c>
      <c r="H2257" s="26">
        <v>16</v>
      </c>
      <c r="I2257" s="5" t="s">
        <v>32137</v>
      </c>
      <c r="J2257" s="5" t="s">
        <v>748</v>
      </c>
      <c r="K2257" s="5" t="s">
        <v>344</v>
      </c>
      <c r="L2257" s="5" t="s">
        <v>32138</v>
      </c>
      <c r="M2257" s="27">
        <v>23091408</v>
      </c>
      <c r="N2257" s="5" t="s">
        <v>52887</v>
      </c>
      <c r="O2257" s="5" t="str">
        <v>7713606622</v>
      </c>
      <c r="P2257" s="27">
        <v>535100000</v>
      </c>
      <c r="Q2257" s="5" t="s">
        <v>52888</v>
      </c>
      <c r="R2257" s="5"/>
      <c r="S2257" s="5" t="s">
        <v>52889</v>
      </c>
      <c r="T2257" s="28">
        <v>455549000</v>
      </c>
      <c r="U2257" s="28">
        <v>1124510000</v>
      </c>
      <c r="V2257" s="28">
        <v>1164984000</v>
      </c>
      <c r="W2257" s="28"/>
      <c r="X2257" s="28">
        <v>2235739000</v>
      </c>
      <c r="Y2257" s="28">
        <v>7083970000</v>
      </c>
      <c r="Z2257" s="28">
        <v>3909136000</v>
      </c>
      <c r="AA2257" s="28"/>
      <c r="AB2257" s="28"/>
      <c r="AC2257" s="28">
        <v>2012172000</v>
      </c>
      <c r="AD2257" s="28">
        <v>4444236000</v>
      </c>
      <c r="AE2257" s="28">
        <v>5183135000</v>
      </c>
      <c r="AF2257" s="28">
        <v>235384000</v>
      </c>
      <c r="AG2257" s="11"/>
    </row>
    <row r="2258">
      <c r="A2258" s="7" t="s">
        <v>3955</v>
      </c>
      <c r="B2258" s="5" t="s">
        <v>11933</v>
      </c>
      <c r="C2258" s="5" t="s">
        <v>19779</v>
      </c>
      <c r="D2258" s="5" t="str">
        <v>243400062713</v>
      </c>
      <c r="E2258" s="0" t="e">
        <f>+7 (499) 3910885
+7 (495) 2765125
+7 (985) 2559538</f>
        <v>#NAME?</v>
      </c>
      <c r="F2258" s="5" t="s">
        <v>32139</v>
      </c>
      <c r="G2258" s="5"/>
      <c r="H2258" s="26">
        <v>10.5</v>
      </c>
      <c r="I2258" s="5" t="s">
        <v>32140</v>
      </c>
      <c r="J2258" s="5" t="s">
        <v>467</v>
      </c>
      <c r="K2258" s="5" t="s">
        <v>344</v>
      </c>
      <c r="L2258" s="5" t="s">
        <v>32141</v>
      </c>
      <c r="M2258" s="27">
        <v>25518054</v>
      </c>
      <c r="N2258" s="5" t="s">
        <v>52890</v>
      </c>
      <c r="O2258" s="5" t="str">
        <v>7704818388</v>
      </c>
      <c r="P2258" s="27">
        <v>10000000</v>
      </c>
      <c r="Q2258" s="5" t="s">
        <v>52892</v>
      </c>
      <c r="R2258" s="5"/>
      <c r="S2258" s="5" t="s">
        <v>52893</v>
      </c>
      <c r="T2258" s="28">
        <v>215810000</v>
      </c>
      <c r="U2258" s="28"/>
      <c r="V2258" s="28">
        <v>5027841000</v>
      </c>
      <c r="W2258" s="28">
        <v>180000000</v>
      </c>
      <c r="X2258" s="28">
        <v>126660000</v>
      </c>
      <c r="Y2258" s="28">
        <v>10843748000</v>
      </c>
      <c r="Z2258" s="28">
        <v>2740299000</v>
      </c>
      <c r="AA2258" s="28"/>
      <c r="AB2258" s="28"/>
      <c r="AC2258" s="28">
        <v>8092448000</v>
      </c>
      <c r="AD2258" s="28">
        <v>2750299000</v>
      </c>
      <c r="AE2258" s="28">
        <v>16592059000</v>
      </c>
      <c r="AF2258" s="28">
        <v>2012085000</v>
      </c>
      <c r="AG2258" s="11"/>
    </row>
    <row r="2259">
      <c r="A2259" s="7" t="s">
        <v>3956</v>
      </c>
      <c r="B2259" s="5" t="s">
        <v>10064</v>
      </c>
      <c r="C2259" s="5" t="s">
        <v>19780</v>
      </c>
      <c r="D2259" s="5" t="str">
        <v>771006476708</v>
      </c>
      <c r="E2259" s="0" t="e">
        <f>+7 (495) 7877672
+7 (495) 9331211
+7 (495) 6290061
+7 (495) 6290252
+7 (495) 6291041
+7 (495) 6291557
+7 (495) 6291618
+7 (495) 6920606
+7 (495) 6920716
+7 (495) 6922000
+7 (495) 6925732
+7 (495) 6927694
+7 (495) 9331212</f>
        <v>#NAME?</v>
      </c>
      <c r="F2259" s="5"/>
      <c r="G2259" s="5" t="s">
        <v>32142</v>
      </c>
      <c r="H2259" s="26">
        <v>26.5</v>
      </c>
      <c r="I2259" s="5" t="s">
        <v>32143</v>
      </c>
      <c r="J2259" s="5" t="s">
        <v>27085</v>
      </c>
      <c r="K2259" s="5" t="s">
        <v>344</v>
      </c>
      <c r="L2259" s="5"/>
      <c r="M2259" s="27"/>
      <c r="N2259" s="5"/>
      <c r="O2259" s="5" t="str">
        <v>7710217064</v>
      </c>
      <c r="P2259" s="27">
        <v>8139024</v>
      </c>
      <c r="Q2259" s="5" t="s">
        <v>49009</v>
      </c>
      <c r="R2259" s="5"/>
      <c r="S2259" s="5" t="s">
        <v>49045</v>
      </c>
      <c r="T2259" s="28">
        <v>280010000</v>
      </c>
      <c r="U2259" s="28"/>
      <c r="V2259" s="28">
        <v>878311000</v>
      </c>
      <c r="W2259" s="28"/>
      <c r="X2259" s="28">
        <v>521043000</v>
      </c>
      <c r="Y2259" s="28">
        <v>2183451000</v>
      </c>
      <c r="Z2259" s="28">
        <v>803263000</v>
      </c>
      <c r="AA2259" s="28"/>
      <c r="AB2259" s="28"/>
      <c r="AC2259" s="28">
        <v>1112022000</v>
      </c>
      <c r="AD2259" s="28">
        <v>813220000</v>
      </c>
      <c r="AE2259" s="28">
        <v>7061796000</v>
      </c>
      <c r="AF2259" s="28">
        <v>364618000</v>
      </c>
      <c r="AG2259" s="11"/>
    </row>
    <row r="2260">
      <c r="A2260" s="7" t="s">
        <v>3957</v>
      </c>
      <c r="B2260" s="5" t="s">
        <v>11934</v>
      </c>
      <c r="C2260" s="5" t="s">
        <v>19781</v>
      </c>
      <c r="D2260" s="5" t="str">
        <v>370200594604</v>
      </c>
      <c r="E2260" s="0" t="e">
        <f>+7 (493) 2585725
+7 (493) 2586600
+7 (493) 2587905
+7 (493) 2260262
+7 (493) 2350481
+7 (493) 2552615
+7 (493) 2565800
+7 (493) 2585500
+7 (493) 2585612
+7 (493) 2585624
+7 (493) 2585738
+7 (493) 2585745
+7 (493) 2585783
+7 (493) 2585789
+7 (493) 2587911</f>
        <v>#NAME?</v>
      </c>
      <c r="F2260" s="5" t="s">
        <v>32144</v>
      </c>
      <c r="G2260" s="5" t="s">
        <v>32145</v>
      </c>
      <c r="H2260" s="26">
        <v>19.5</v>
      </c>
      <c r="I2260" s="5" t="s">
        <v>32146</v>
      </c>
      <c r="J2260" s="5" t="s">
        <v>26623</v>
      </c>
      <c r="K2260" s="5" t="s">
        <v>344</v>
      </c>
      <c r="L2260" s="5" t="s">
        <v>32147</v>
      </c>
      <c r="M2260" s="27">
        <v>85855</v>
      </c>
      <c r="N2260" s="5" t="s">
        <v>52894</v>
      </c>
      <c r="O2260" s="5" t="str">
        <v>3702044413</v>
      </c>
      <c r="P2260" s="27">
        <v>324000</v>
      </c>
      <c r="Q2260" s="5" t="s">
        <v>52895</v>
      </c>
      <c r="R2260" s="5"/>
      <c r="S2260" s="5" t="s">
        <v>52896</v>
      </c>
      <c r="T2260" s="28">
        <v>33530000</v>
      </c>
      <c r="U2260" s="28">
        <v>12000</v>
      </c>
      <c r="V2260" s="28">
        <v>201497000</v>
      </c>
      <c r="W2260" s="28"/>
      <c r="X2260" s="28">
        <v>63613000</v>
      </c>
      <c r="Y2260" s="28">
        <v>342085000</v>
      </c>
      <c r="Z2260" s="28">
        <v>11789000</v>
      </c>
      <c r="AA2260" s="28"/>
      <c r="AB2260" s="28"/>
      <c r="AC2260" s="28">
        <v>330144000</v>
      </c>
      <c r="AD2260" s="28">
        <v>7877000</v>
      </c>
      <c r="AE2260" s="28">
        <v>3768357000</v>
      </c>
      <c r="AF2260" s="28">
        <v>1916000</v>
      </c>
      <c r="AG2260" s="11"/>
    </row>
    <row r="2261">
      <c r="A2261" s="7" t="s">
        <v>3958</v>
      </c>
      <c r="B2261" s="5" t="s">
        <v>11935</v>
      </c>
      <c r="C2261" s="5" t="s">
        <v>19782</v>
      </c>
      <c r="D2261" s="5" t="str">
        <v>222200671590</v>
      </c>
      <c r="E2261" s="0" t="e">
        <f>+7 (383) 3357197
+7 (383) 3357245
+7 (383) 3357246
+7 (383) 3357247
+7 (383) 3990260
+7 (905) 9285050</f>
        <v>#NAME?</v>
      </c>
      <c r="F2261" s="5" t="s">
        <v>32148</v>
      </c>
      <c r="G2261" s="5" t="s">
        <v>32149</v>
      </c>
      <c r="H2261" s="26">
        <v>10</v>
      </c>
      <c r="I2261" s="5" t="s">
        <v>32150</v>
      </c>
      <c r="J2261" s="5" t="s">
        <v>678</v>
      </c>
      <c r="K2261" s="5" t="s">
        <v>344</v>
      </c>
      <c r="L2261" s="5"/>
      <c r="M2261" s="27"/>
      <c r="N2261" s="5"/>
      <c r="O2261" s="5" t="str">
        <v>5403343828</v>
      </c>
      <c r="P2261" s="27">
        <v>20000</v>
      </c>
      <c r="Q2261" s="5" t="s">
        <v>49009</v>
      </c>
      <c r="R2261" s="5"/>
      <c r="S2261" s="5" t="s">
        <v>49010</v>
      </c>
      <c r="T2261" s="28">
        <v>99764000</v>
      </c>
      <c r="U2261" s="28"/>
      <c r="V2261" s="28">
        <v>808555000</v>
      </c>
      <c r="W2261" s="28"/>
      <c r="X2261" s="28">
        <v>12982000</v>
      </c>
      <c r="Y2261" s="28">
        <v>3016258000</v>
      </c>
      <c r="Z2261" s="28">
        <v>153001000</v>
      </c>
      <c r="AA2261" s="28">
        <v>2506400000</v>
      </c>
      <c r="AB2261" s="28">
        <v>239991000</v>
      </c>
      <c r="AC2261" s="28">
        <v>345271000</v>
      </c>
      <c r="AD2261" s="28">
        <v>153021000</v>
      </c>
      <c r="AE2261" s="28">
        <v>3059071000</v>
      </c>
      <c r="AF2261" s="28">
        <v>84634000</v>
      </c>
      <c r="AG2261" s="11"/>
    </row>
    <row r="2262">
      <c r="A2262" s="7" t="s">
        <v>3959</v>
      </c>
      <c r="B2262" s="5" t="s">
        <v>11936</v>
      </c>
      <c r="C2262" s="5" t="s">
        <v>19783</v>
      </c>
      <c r="D2262" s="5" t="str">
        <v>773307051011</v>
      </c>
      <c r="E2262" s="0" t="e">
        <f>+7 (495) 2760631
+7 (495) 2760632</f>
        <v>#NAME?</v>
      </c>
      <c r="F2262" s="5" t="s">
        <v>32151</v>
      </c>
      <c r="G2262" s="5" t="s">
        <v>32152</v>
      </c>
      <c r="H2262" s="26">
        <v>15.5</v>
      </c>
      <c r="I2262" s="5" t="s">
        <v>32153</v>
      </c>
      <c r="J2262" s="5" t="s">
        <v>26459</v>
      </c>
      <c r="K2262" s="5" t="s">
        <v>344</v>
      </c>
      <c r="L2262" s="5"/>
      <c r="M2262" s="27"/>
      <c r="N2262" s="5" t="s">
        <v>52897</v>
      </c>
      <c r="O2262" s="5" t="str">
        <v>7723624187</v>
      </c>
      <c r="P2262" s="27">
        <v>2950374295</v>
      </c>
      <c r="Q2262" s="5" t="s">
        <v>49009</v>
      </c>
      <c r="R2262" s="5"/>
      <c r="S2262" s="5" t="s">
        <v>49012</v>
      </c>
      <c r="T2262" s="28">
        <v>518854000</v>
      </c>
      <c r="U2262" s="28">
        <v>165337000</v>
      </c>
      <c r="V2262" s="28">
        <v>3635498000</v>
      </c>
      <c r="W2262" s="28">
        <v>5300000000</v>
      </c>
      <c r="X2262" s="28">
        <v>1562557000</v>
      </c>
      <c r="Y2262" s="28">
        <v>18561559000</v>
      </c>
      <c r="Z2262" s="28">
        <v>-6899381000</v>
      </c>
      <c r="AA2262" s="28">
        <v>3896232000</v>
      </c>
      <c r="AB2262" s="28">
        <v>31646000</v>
      </c>
      <c r="AC2262" s="28">
        <v>3933829000</v>
      </c>
      <c r="AD2262" s="28">
        <v>11271206000</v>
      </c>
      <c r="AE2262" s="28">
        <v>12740874000</v>
      </c>
      <c r="AF2262" s="28">
        <v>-693708000</v>
      </c>
      <c r="AG2262" s="11"/>
    </row>
    <row r="2263">
      <c r="A2263" s="7" t="s">
        <v>3960</v>
      </c>
      <c r="B2263" s="5" t="s">
        <v>11937</v>
      </c>
      <c r="C2263" s="5" t="s">
        <v>19784</v>
      </c>
      <c r="D2263" s="5" t="str">
        <v>773500716793</v>
      </c>
      <c r="F2263" s="5"/>
      <c r="G2263" s="5"/>
      <c r="H2263" s="26">
        <v>4</v>
      </c>
      <c r="I2263" s="5" t="s">
        <v>32154</v>
      </c>
      <c r="J2263" s="5" t="s">
        <v>30210</v>
      </c>
      <c r="K2263" s="5" t="s">
        <v>344</v>
      </c>
      <c r="L2263" s="5" t="s">
        <v>32155</v>
      </c>
      <c r="M2263" s="27"/>
      <c r="N2263" s="5"/>
      <c r="O2263" s="5" t="str">
        <v>7751151550</v>
      </c>
      <c r="P2263" s="27">
        <v>9745758000</v>
      </c>
      <c r="Q2263" s="5" t="s">
        <v>49207</v>
      </c>
      <c r="R2263" s="5" t="s">
        <v>52898</v>
      </c>
      <c r="S2263" s="5" t="s">
        <v>52899</v>
      </c>
      <c r="T2263" s="28">
        <v>214239000</v>
      </c>
      <c r="U2263" s="28">
        <v>24263626000</v>
      </c>
      <c r="V2263" s="28">
        <v>345824000</v>
      </c>
      <c r="W2263" s="28">
        <v>1703080000</v>
      </c>
      <c r="X2263" s="28">
        <v>469550000</v>
      </c>
      <c r="Y2263" s="28">
        <v>27710275000</v>
      </c>
      <c r="Z2263" s="28">
        <v>7714724000</v>
      </c>
      <c r="AA2263" s="28">
        <v>6052389000</v>
      </c>
      <c r="AB2263" s="28">
        <v>730557000</v>
      </c>
      <c r="AC2263" s="28">
        <v>2017970000</v>
      </c>
      <c r="AD2263" s="28">
        <v>18908482000</v>
      </c>
      <c r="AE2263" s="28">
        <v>6034668000</v>
      </c>
      <c r="AF2263" s="28">
        <v>4196911000</v>
      </c>
      <c r="AG2263" s="11"/>
    </row>
    <row r="2264">
      <c r="A2264" s="7" t="s">
        <v>3961</v>
      </c>
      <c r="B2264" s="5" t="s">
        <v>11938</v>
      </c>
      <c r="C2264" s="5" t="s">
        <v>19785</v>
      </c>
      <c r="D2264" s="5" t="str">
        <v>772853694091</v>
      </c>
      <c r="E2264" s="0" t="e">
        <f>+7 (495) 1374477</f>
        <v>#NAME?</v>
      </c>
      <c r="F2264" s="5"/>
      <c r="G2264" s="5"/>
      <c r="H2264" s="26">
        <v>1.5</v>
      </c>
      <c r="I2264" s="5" t="s">
        <v>32156</v>
      </c>
      <c r="J2264" s="5" t="s">
        <v>373</v>
      </c>
      <c r="K2264" s="5" t="s">
        <v>344</v>
      </c>
      <c r="L2264" s="5"/>
      <c r="M2264" s="27"/>
      <c r="N2264" s="5"/>
      <c r="O2264" s="5" t="str">
        <v>9704072880</v>
      </c>
      <c r="P2264" s="27">
        <v>5000000</v>
      </c>
      <c r="Q2264" s="5" t="s">
        <v>49207</v>
      </c>
      <c r="R2264" s="5"/>
      <c r="S2264" s="5" t="s">
        <v>50032</v>
      </c>
      <c r="T2264" s="28"/>
      <c r="U2264" s="28">
        <v>9000</v>
      </c>
      <c r="V2264" s="28">
        <v>351665000</v>
      </c>
      <c r="W2264" s="28">
        <v>19660000</v>
      </c>
      <c r="X2264" s="28">
        <v>120000</v>
      </c>
      <c r="Y2264" s="28">
        <v>372697000</v>
      </c>
      <c r="Z2264" s="28">
        <v>92745000</v>
      </c>
      <c r="AA2264" s="28"/>
      <c r="AB2264" s="28"/>
      <c r="AC2264" s="28">
        <v>274951000</v>
      </c>
      <c r="AD2264" s="28">
        <v>97745000</v>
      </c>
      <c r="AE2264" s="28">
        <v>5290518000</v>
      </c>
      <c r="AF2264" s="28">
        <v>84571000</v>
      </c>
      <c r="AG2264" s="11"/>
    </row>
    <row r="2265">
      <c r="A2265" s="7" t="s">
        <v>3962</v>
      </c>
      <c r="B2265" s="5" t="s">
        <v>11939</v>
      </c>
      <c r="C2265" s="5" t="s">
        <v>19786</v>
      </c>
      <c r="D2265" s="5" t="str">
        <v>470318931448</v>
      </c>
      <c r="E2265" s="0" t="e">
        <f>+7 (812) 2251552
+7 (812) 2953672
+7 (812) 3350404
+7 (812) 3350510</f>
        <v>#NAME?</v>
      </c>
      <c r="F2265" s="5" t="s">
        <v>32157</v>
      </c>
      <c r="G2265" s="5" t="s">
        <v>32158</v>
      </c>
      <c r="H2265" s="26">
        <v>30.5</v>
      </c>
      <c r="I2265" s="5"/>
      <c r="J2265" s="5" t="s">
        <v>25316</v>
      </c>
      <c r="K2265" s="5" t="s">
        <v>344</v>
      </c>
      <c r="L2265" s="5" t="s">
        <v>32159</v>
      </c>
      <c r="M2265" s="27"/>
      <c r="N2265" s="5"/>
      <c r="O2265" s="5" t="str">
        <v>7830001010</v>
      </c>
      <c r="P2265" s="27">
        <v>15078000</v>
      </c>
      <c r="Q2265" s="5" t="s">
        <v>49059</v>
      </c>
      <c r="R2265" s="5"/>
      <c r="S2265" s="5" t="s">
        <v>49029</v>
      </c>
      <c r="T2265" s="28">
        <v>677442000</v>
      </c>
      <c r="U2265" s="28">
        <v>174107000</v>
      </c>
      <c r="V2265" s="28">
        <v>2332472000</v>
      </c>
      <c r="W2265" s="28"/>
      <c r="X2265" s="28">
        <v>71000</v>
      </c>
      <c r="Y2265" s="28">
        <v>5124998000</v>
      </c>
      <c r="Z2265" s="28">
        <v>4131030000</v>
      </c>
      <c r="AA2265" s="28"/>
      <c r="AB2265" s="28">
        <v>90596000</v>
      </c>
      <c r="AC2265" s="28">
        <v>830210000</v>
      </c>
      <c r="AD2265" s="28">
        <v>4162256000</v>
      </c>
      <c r="AE2265" s="28">
        <v>4788992000</v>
      </c>
      <c r="AF2265" s="28">
        <v>965465000</v>
      </c>
      <c r="AG2265" s="11"/>
    </row>
    <row r="2266">
      <c r="A2266" s="7" t="s">
        <v>3963</v>
      </c>
      <c r="B2266" s="5" t="s">
        <v>11940</v>
      </c>
      <c r="C2266" s="5" t="s">
        <v>19787</v>
      </c>
      <c r="D2266" s="5" t="str">
        <v>482612619843</v>
      </c>
      <c r="E2266" s="0" t="e">
        <f>+7 (495) 6607312
+7 (968) 9502810
+7 (495) 455520
+7 (495) 6607311
+7 (495) 7978499
+7 (800) 1001314</f>
        <v>#NAME?</v>
      </c>
      <c r="F2266" s="5" t="s">
        <v>32160</v>
      </c>
      <c r="G2266" s="5" t="s">
        <v>32161</v>
      </c>
      <c r="H2266" s="26">
        <v>16.5</v>
      </c>
      <c r="I2266" s="5" t="s">
        <v>32162</v>
      </c>
      <c r="J2266" s="5" t="s">
        <v>26355</v>
      </c>
      <c r="K2266" s="5" t="s">
        <v>344</v>
      </c>
      <c r="L2266" s="5"/>
      <c r="M2266" s="27">
        <v>41078841</v>
      </c>
      <c r="N2266" s="5" t="s">
        <v>52900</v>
      </c>
      <c r="O2266" s="5" t="str">
        <v>7703599366</v>
      </c>
      <c r="P2266" s="27">
        <v>12000000</v>
      </c>
      <c r="Q2266" s="5" t="s">
        <v>52901</v>
      </c>
      <c r="R2266" s="5"/>
      <c r="S2266" s="5" t="s">
        <v>50290</v>
      </c>
      <c r="T2266" s="28">
        <v>161722000</v>
      </c>
      <c r="U2266" s="28">
        <v>677481000</v>
      </c>
      <c r="V2266" s="28">
        <v>3801349000</v>
      </c>
      <c r="W2266" s="28">
        <v>50000000</v>
      </c>
      <c r="X2266" s="28">
        <v>4380000</v>
      </c>
      <c r="Y2266" s="28">
        <v>6075290000</v>
      </c>
      <c r="Z2266" s="28">
        <v>-129376000</v>
      </c>
      <c r="AA2266" s="28">
        <v>2308673000</v>
      </c>
      <c r="AB2266" s="28">
        <v>63621000</v>
      </c>
      <c r="AC2266" s="28">
        <v>3798721000</v>
      </c>
      <c r="AD2266" s="28">
        <v>-117376000</v>
      </c>
      <c r="AE2266" s="28">
        <v>21201721000</v>
      </c>
      <c r="AF2266" s="28">
        <v>961256000</v>
      </c>
      <c r="AG2266" s="11"/>
    </row>
    <row r="2267">
      <c r="A2267" s="7" t="s">
        <v>3964</v>
      </c>
      <c r="B2267" s="5" t="s">
        <v>11941</v>
      </c>
      <c r="C2267" s="5" t="s">
        <v>19788</v>
      </c>
      <c r="D2267" s="5" t="str">
        <v>666201996813</v>
      </c>
      <c r="E2267" s="0" t="e">
        <f>+7 (3412) 630589
+7 (3412) 311675
+7 (3412) 630522
+7 (3412) 630757
+7 (3412) 688777
+7 (3412) 780543</f>
        <v>#NAME?</v>
      </c>
      <c r="F2267" s="5" t="s">
        <v>32163</v>
      </c>
      <c r="G2267" s="5" t="s">
        <v>32164</v>
      </c>
      <c r="H2267" s="26">
        <v>30.5</v>
      </c>
      <c r="I2267" s="5"/>
      <c r="J2267" s="5" t="s">
        <v>25454</v>
      </c>
      <c r="K2267" s="5" t="s">
        <v>344</v>
      </c>
      <c r="L2267" s="5"/>
      <c r="M2267" s="27"/>
      <c r="N2267" s="5" t="s">
        <v>52902</v>
      </c>
      <c r="O2267" s="5" t="str">
        <v>1808204247</v>
      </c>
      <c r="P2267" s="27">
        <v>151294000</v>
      </c>
      <c r="Q2267" s="5" t="s">
        <v>52903</v>
      </c>
      <c r="R2267" s="5"/>
      <c r="S2267" s="5" t="s">
        <v>52904</v>
      </c>
      <c r="T2267" s="28">
        <v>881262000</v>
      </c>
      <c r="U2267" s="28"/>
      <c r="V2267" s="28">
        <v>537021000</v>
      </c>
      <c r="W2267" s="28">
        <v>547250000</v>
      </c>
      <c r="X2267" s="28">
        <v>22596000</v>
      </c>
      <c r="Y2267" s="28">
        <v>2509618000</v>
      </c>
      <c r="Z2267" s="28">
        <v>-28714000</v>
      </c>
      <c r="AA2267" s="28">
        <v>311577000</v>
      </c>
      <c r="AB2267" s="28">
        <v>7006000</v>
      </c>
      <c r="AC2267" s="28">
        <v>1348837000</v>
      </c>
      <c r="AD2267" s="28">
        <v>828606000</v>
      </c>
      <c r="AE2267" s="28">
        <v>3337494000</v>
      </c>
      <c r="AF2267" s="28">
        <v>332965000</v>
      </c>
      <c r="AG2267" s="11"/>
    </row>
    <row r="2268">
      <c r="A2268" s="7" t="s">
        <v>3965</v>
      </c>
      <c r="B2268" s="5" t="s">
        <v>11942</v>
      </c>
      <c r="C2268" s="5" t="s">
        <v>19789</v>
      </c>
      <c r="D2268" s="5"/>
      <c r="E2268" s="0" t="e">
        <f>+7 (341) 2753700
+7 (3412) 515765
+7 (3412) 660860
+7 (3412) 665321
+7 (3412) 665521
+7 (3412) 689109
+7 (3412) 689118
+7 (3412) 689191
+7 (3412) 689201
+7 (3412) 689212
+7 (3412) 689234</f>
        <v>#NAME?</v>
      </c>
      <c r="F2268" s="5" t="s">
        <v>32165</v>
      </c>
      <c r="G2268" s="5"/>
      <c r="H2268" s="26">
        <v>30.5</v>
      </c>
      <c r="I2268" s="5" t="s">
        <v>32166</v>
      </c>
      <c r="J2268" s="5" t="s">
        <v>30421</v>
      </c>
      <c r="K2268" s="5" t="s">
        <v>344</v>
      </c>
      <c r="L2268" s="5" t="s">
        <v>32167</v>
      </c>
      <c r="M2268" s="27"/>
      <c r="N2268" s="5" t="s">
        <v>52905</v>
      </c>
      <c r="O2268" s="5" t="str">
        <v>1835012826</v>
      </c>
      <c r="P2268" s="27">
        <v>290588</v>
      </c>
      <c r="Q2268" s="5" t="s">
        <v>52906</v>
      </c>
      <c r="R2268" s="5"/>
      <c r="S2268" s="5" t="s">
        <v>50773</v>
      </c>
      <c r="T2268" s="28">
        <v>895302000</v>
      </c>
      <c r="U2268" s="28">
        <v>10000</v>
      </c>
      <c r="V2268" s="28">
        <v>690804000</v>
      </c>
      <c r="W2268" s="28">
        <v>249350000</v>
      </c>
      <c r="X2268" s="28">
        <v>41987000</v>
      </c>
      <c r="Y2268" s="28">
        <v>3470148000</v>
      </c>
      <c r="Z2268" s="28">
        <v>1181968000</v>
      </c>
      <c r="AA2268" s="28"/>
      <c r="AB2268" s="28">
        <v>272911000</v>
      </c>
      <c r="AC2268" s="28">
        <v>1401520000</v>
      </c>
      <c r="AD2268" s="28">
        <v>1976292000</v>
      </c>
      <c r="AE2268" s="28">
        <v>5722928000</v>
      </c>
      <c r="AF2268" s="28">
        <v>634000000</v>
      </c>
      <c r="AG2268" s="11"/>
    </row>
    <row r="2269">
      <c r="A2269" s="7" t="s">
        <v>3966</v>
      </c>
      <c r="B2269" s="5" t="s">
        <v>11943</v>
      </c>
      <c r="C2269" s="5" t="s">
        <v>19790</v>
      </c>
      <c r="D2269" s="5"/>
      <c r="E2269" s="0" t="e">
        <f>+7 (912) 8562856
+7 (3412) 500500
+7 (3412) 517500
+7 (3412) 517600
+7 (3412) 656881
+7 (3412) 656883
+7 (3412) 784820</f>
        <v>#NAME?</v>
      </c>
      <c r="F2269" s="5" t="s">
        <v>32168</v>
      </c>
      <c r="G2269" s="5" t="s">
        <v>32169</v>
      </c>
      <c r="H2269" s="26">
        <v>26.5</v>
      </c>
      <c r="I2269" s="5"/>
      <c r="J2269" s="5" t="s">
        <v>26292</v>
      </c>
      <c r="K2269" s="5" t="s">
        <v>344</v>
      </c>
      <c r="L2269" s="5" t="s">
        <v>32170</v>
      </c>
      <c r="M2269" s="27"/>
      <c r="N2269" s="5" t="s">
        <v>52907</v>
      </c>
      <c r="O2269" s="5" t="str">
        <v>1835027029</v>
      </c>
      <c r="P2269" s="27">
        <v>7594500</v>
      </c>
      <c r="Q2269" s="5" t="s">
        <v>52908</v>
      </c>
      <c r="R2269" s="5"/>
      <c r="S2269" s="5" t="s">
        <v>52909</v>
      </c>
      <c r="T2269" s="28">
        <v>190042000</v>
      </c>
      <c r="U2269" s="28"/>
      <c r="V2269" s="28">
        <v>252515000</v>
      </c>
      <c r="W2269" s="28">
        <v>50300000</v>
      </c>
      <c r="X2269" s="28">
        <v>18934000</v>
      </c>
      <c r="Y2269" s="28">
        <v>1288403000</v>
      </c>
      <c r="Z2269" s="28">
        <v>226836000</v>
      </c>
      <c r="AA2269" s="28"/>
      <c r="AB2269" s="28">
        <v>6950000</v>
      </c>
      <c r="AC2269" s="28">
        <v>366904000</v>
      </c>
      <c r="AD2269" s="28">
        <v>858811000</v>
      </c>
      <c r="AE2269" s="28">
        <v>3367390000</v>
      </c>
      <c r="AF2269" s="28">
        <v>34053000</v>
      </c>
      <c r="AG2269" s="11"/>
    </row>
    <row r="2270">
      <c r="A2270" s="7" t="s">
        <v>3967</v>
      </c>
      <c r="B2270" s="5" t="s">
        <v>11944</v>
      </c>
      <c r="C2270" s="5" t="s">
        <v>19791</v>
      </c>
      <c r="D2270" s="5" t="str">
        <v>183109831757</v>
      </c>
      <c r="E2270" s="0" t="e">
        <f>+7 (3412) 911635
+7 (3412) 400070
+7 (3412) 570455
+7 (3412) 750898</f>
        <v>#NAME?</v>
      </c>
      <c r="F2270" s="5" t="s">
        <v>32171</v>
      </c>
      <c r="G2270" s="5" t="s">
        <v>32172</v>
      </c>
      <c r="H2270" s="26">
        <v>22.5</v>
      </c>
      <c r="I2270" s="5" t="s">
        <v>32173</v>
      </c>
      <c r="J2270" s="5" t="s">
        <v>26623</v>
      </c>
      <c r="K2270" s="5" t="s">
        <v>355</v>
      </c>
      <c r="L2270" s="5" t="s">
        <v>32174</v>
      </c>
      <c r="M2270" s="27"/>
      <c r="N2270" s="5"/>
      <c r="O2270" s="5" t="str">
        <v>1834024515</v>
      </c>
      <c r="P2270" s="27">
        <v>20000</v>
      </c>
      <c r="Q2270" s="5" t="s">
        <v>52910</v>
      </c>
      <c r="R2270" s="5"/>
      <c r="S2270" s="5" t="s">
        <v>52597</v>
      </c>
      <c r="T2270" s="28">
        <v>5011000</v>
      </c>
      <c r="U2270" s="28"/>
      <c r="V2270" s="28">
        <v>323594000</v>
      </c>
      <c r="W2270" s="28"/>
      <c r="X2270" s="28">
        <v>391343000</v>
      </c>
      <c r="Y2270" s="28">
        <v>779104000</v>
      </c>
      <c r="Z2270" s="28">
        <v>36292000</v>
      </c>
      <c r="AA2270" s="28"/>
      <c r="AB2270" s="28"/>
      <c r="AC2270" s="28">
        <v>741962000</v>
      </c>
      <c r="AD2270" s="28">
        <v>36312000</v>
      </c>
      <c r="AE2270" s="28">
        <v>10846385000</v>
      </c>
      <c r="AF2270" s="28">
        <v>18659000</v>
      </c>
      <c r="AG2270" s="11"/>
    </row>
    <row r="2271">
      <c r="A2271" s="7" t="s">
        <v>3968</v>
      </c>
      <c r="B2271" s="5" t="s">
        <v>11945</v>
      </c>
      <c r="C2271" s="5" t="s">
        <v>19792</v>
      </c>
      <c r="D2271" s="5" t="str">
        <v>681300148712</v>
      </c>
      <c r="E2271" s="0" t="e">
        <f>+7 (47544) 20236
+7 (47544) 20298
+7 (47544) 20345
+7 (47544) 20449
+7 (47544) 20657
+7 (47544) 21321
+7 (47544) 21345
+7 (47544) 21657</f>
        <v>#NAME?</v>
      </c>
      <c r="F2271" s="5" t="s">
        <v>32175</v>
      </c>
      <c r="G2271" s="5"/>
      <c r="H2271" s="26">
        <v>29.5</v>
      </c>
      <c r="I2271" s="5"/>
      <c r="J2271" s="5" t="s">
        <v>32105</v>
      </c>
      <c r="K2271" s="5" t="s">
        <v>355</v>
      </c>
      <c r="L2271" s="5" t="s">
        <v>32176</v>
      </c>
      <c r="M2271" s="27"/>
      <c r="N2271" s="5"/>
      <c r="O2271" s="5" t="str">
        <v>6813001869</v>
      </c>
      <c r="P2271" s="27">
        <v>18872700</v>
      </c>
      <c r="Q2271" s="5" t="s">
        <v>49059</v>
      </c>
      <c r="R2271" s="5"/>
      <c r="S2271" s="5" t="s">
        <v>49029</v>
      </c>
      <c r="T2271" s="28">
        <v>823145000</v>
      </c>
      <c r="U2271" s="28">
        <v>15000000</v>
      </c>
      <c r="V2271" s="28">
        <v>2399052000</v>
      </c>
      <c r="W2271" s="28"/>
      <c r="X2271" s="28">
        <v>117316000</v>
      </c>
      <c r="Y2271" s="28">
        <v>3805836000</v>
      </c>
      <c r="Z2271" s="28">
        <v>-4906000</v>
      </c>
      <c r="AA2271" s="28">
        <v>22977000</v>
      </c>
      <c r="AB2271" s="28">
        <v>173240000</v>
      </c>
      <c r="AC2271" s="28">
        <v>3767743000</v>
      </c>
      <c r="AD2271" s="28">
        <v>15116000</v>
      </c>
      <c r="AE2271" s="28">
        <v>9368549000</v>
      </c>
      <c r="AF2271" s="28">
        <v>-295345000</v>
      </c>
      <c r="AG2271" s="11"/>
    </row>
    <row r="2272">
      <c r="A2272" s="7" t="s">
        <v>3969</v>
      </c>
      <c r="B2272" s="5" t="s">
        <v>11946</v>
      </c>
      <c r="C2272" s="5" t="s">
        <v>19793</v>
      </c>
      <c r="D2272" s="5" t="str">
        <v>771535270178</v>
      </c>
      <c r="E2272" s="0" t="e">
        <f>+7 (3512) 822008
+7 (495) 3241748
+7 (495) 4568545
+7 (495) 7682548
+7 (499) 1103602
+7 (906) 549110
+7 (915) 1928846
+7 (495) 9337600</f>
        <v>#NAME?</v>
      </c>
      <c r="F2272" s="5" t="s">
        <v>32177</v>
      </c>
      <c r="G2272" s="5" t="s">
        <v>32178</v>
      </c>
      <c r="H2272" s="26">
        <v>29</v>
      </c>
      <c r="I2272" s="5" t="s">
        <v>32179</v>
      </c>
      <c r="J2272" s="5" t="s">
        <v>32180</v>
      </c>
      <c r="K2272" s="5" t="s">
        <v>344</v>
      </c>
      <c r="L2272" s="5" t="s">
        <v>32181</v>
      </c>
      <c r="M2272" s="27"/>
      <c r="N2272" s="5" t="s">
        <v>52911</v>
      </c>
      <c r="O2272" s="5" t="str">
        <v>7719633799</v>
      </c>
      <c r="P2272" s="27">
        <v>923080780</v>
      </c>
      <c r="Q2272" s="5" t="s">
        <v>49579</v>
      </c>
      <c r="R2272" s="5"/>
      <c r="S2272" s="5" t="s">
        <v>52912</v>
      </c>
      <c r="T2272" s="28">
        <v>169351000</v>
      </c>
      <c r="U2272" s="28"/>
      <c r="V2272" s="28">
        <v>2029373000</v>
      </c>
      <c r="W2272" s="28"/>
      <c r="X2272" s="28">
        <v>873133000</v>
      </c>
      <c r="Y2272" s="28">
        <v>4881296000</v>
      </c>
      <c r="Z2272" s="28">
        <v>2532098000</v>
      </c>
      <c r="AA2272" s="28"/>
      <c r="AB2272" s="28"/>
      <c r="AC2272" s="28">
        <v>1419959000</v>
      </c>
      <c r="AD2272" s="28">
        <v>3556774000</v>
      </c>
      <c r="AE2272" s="28">
        <v>4440543000</v>
      </c>
      <c r="AF2272" s="28">
        <v>1193576000</v>
      </c>
      <c r="AG2272" s="11"/>
    </row>
    <row r="2273">
      <c r="A2273" s="7" t="s">
        <v>3970</v>
      </c>
      <c r="B2273" s="5" t="s">
        <v>11947</v>
      </c>
      <c r="C2273" s="5" t="s">
        <v>19794</v>
      </c>
      <c r="D2273" s="5" t="str">
        <v>616701883196</v>
      </c>
      <c r="E2273" s="0" t="e">
        <f>+7 (863) 2304023
+7 (8632) 401168
+7 (918) 5594706
+7 (918) 5636119</f>
        <v>#NAME?</v>
      </c>
      <c r="F2273" s="5"/>
      <c r="G2273" s="5" t="s">
        <v>32182</v>
      </c>
      <c r="H2273" s="26">
        <v>22</v>
      </c>
      <c r="I2273" s="5" t="s">
        <v>32183</v>
      </c>
      <c r="J2273" s="5" t="s">
        <v>32184</v>
      </c>
      <c r="K2273" s="5" t="s">
        <v>344</v>
      </c>
      <c r="L2273" s="5" t="s">
        <v>32185</v>
      </c>
      <c r="M2273" s="27"/>
      <c r="N2273" s="5" t="s">
        <v>52913</v>
      </c>
      <c r="O2273" s="5" t="str">
        <v>6165089795</v>
      </c>
      <c r="P2273" s="27">
        <v>15600</v>
      </c>
      <c r="Q2273" s="5" t="s">
        <v>49059</v>
      </c>
      <c r="R2273" s="5"/>
      <c r="S2273" s="5" t="s">
        <v>52914</v>
      </c>
      <c r="T2273" s="28">
        <v>1639980000</v>
      </c>
      <c r="U2273" s="28"/>
      <c r="V2273" s="28">
        <v>1096752000</v>
      </c>
      <c r="W2273" s="28"/>
      <c r="X2273" s="28">
        <v>90355000</v>
      </c>
      <c r="Y2273" s="28">
        <v>4870863000</v>
      </c>
      <c r="Z2273" s="28">
        <v>2069833000</v>
      </c>
      <c r="AA2273" s="28">
        <v>2531566000</v>
      </c>
      <c r="AB2273" s="28">
        <v>40000000</v>
      </c>
      <c r="AC2273" s="28">
        <v>269448000</v>
      </c>
      <c r="AD2273" s="28">
        <v>2069849000</v>
      </c>
      <c r="AE2273" s="28">
        <v>4996782000</v>
      </c>
      <c r="AF2273" s="28">
        <v>198768000</v>
      </c>
      <c r="AG2273" s="11"/>
    </row>
    <row r="2274">
      <c r="A2274" s="7" t="s">
        <v>3971</v>
      </c>
      <c r="B2274" s="5" t="s">
        <v>11948</v>
      </c>
      <c r="C2274" s="5" t="s">
        <v>19795</v>
      </c>
      <c r="D2274" s="5" t="str">
        <v>781122776272</v>
      </c>
      <c r="E2274" s="0" t="e">
        <f>+7 (3512) 822007
+7 (383) 2899142
+7 (495) 2354589
+7 (495) 2680841
+7 (495) 3321545
+7 (495) 5439878
+7 (495) 6152079
+7 (495) 6951678
+7 (495) 9516060
+7 (499) 4999511
+7 (499) 6516000
+7 (499) 7077475
+7 (495) 2321401
+7 (495) 9264544
+7 (499) 1528871</f>
        <v>#NAME?</v>
      </c>
      <c r="F2274" s="5" t="s">
        <v>32186</v>
      </c>
      <c r="G2274" s="5" t="s">
        <v>32187</v>
      </c>
      <c r="H2274" s="26">
        <v>11.5</v>
      </c>
      <c r="I2274" s="5" t="s">
        <v>32188</v>
      </c>
      <c r="J2274" s="5" t="s">
        <v>32180</v>
      </c>
      <c r="K2274" s="5" t="s">
        <v>344</v>
      </c>
      <c r="L2274" s="5" t="s">
        <v>32189</v>
      </c>
      <c r="M2274" s="27">
        <v>8400000</v>
      </c>
      <c r="N2274" s="5" t="s">
        <v>52915</v>
      </c>
      <c r="O2274" s="5" t="str">
        <v>7710899593</v>
      </c>
      <c r="P2274" s="27">
        <v>10000</v>
      </c>
      <c r="Q2274" s="5" t="s">
        <v>49207</v>
      </c>
      <c r="R2274" s="5" t="s">
        <v>52916</v>
      </c>
      <c r="S2274" s="5" t="s">
        <v>52917</v>
      </c>
      <c r="T2274" s="28">
        <v>519660000</v>
      </c>
      <c r="U2274" s="28">
        <v>4444428000</v>
      </c>
      <c r="V2274" s="28">
        <v>3201672000</v>
      </c>
      <c r="W2274" s="28">
        <v>1261010000</v>
      </c>
      <c r="X2274" s="28">
        <v>107507000</v>
      </c>
      <c r="Y2274" s="28">
        <v>12130615000</v>
      </c>
      <c r="Z2274" s="28">
        <v>4371941000</v>
      </c>
      <c r="AA2274" s="28">
        <v>2701922000</v>
      </c>
      <c r="AB2274" s="28">
        <v>156328000</v>
      </c>
      <c r="AC2274" s="28">
        <v>1524662000</v>
      </c>
      <c r="AD2274" s="28">
        <v>7371558000</v>
      </c>
      <c r="AE2274" s="28">
        <v>7423986000</v>
      </c>
      <c r="AF2274" s="28">
        <v>872414000</v>
      </c>
      <c r="AG2274" s="11"/>
    </row>
    <row r="2275">
      <c r="A2275" s="7" t="s">
        <v>3972</v>
      </c>
      <c r="B2275" s="5" t="s">
        <v>11949</v>
      </c>
      <c r="C2275" s="5" t="s">
        <v>19796</v>
      </c>
      <c r="D2275" s="5" t="str">
        <v>772404235365</v>
      </c>
      <c r="E2275" s="0" t="e">
        <f>+7 (3472) 464611
+7 (34751) 21416
+7 (3494) 221370
+7 (35372) 3388
+7 (381) 2937320
+7 (381) 2939265
+7 (381) 2939282
+7 (382) 2902073
+7 (384) 2692326
+7 (384) 2692338
+7 (384) 2692725
+7 (3843) 736757
+7 (394) 2252832
+7 (394) 2254347
+7 (3952) 444599</f>
        <v>#NAME?</v>
      </c>
      <c r="F2275" s="5" t="s">
        <v>32190</v>
      </c>
      <c r="G2275" s="5" t="s">
        <v>32191</v>
      </c>
      <c r="H2275" s="26">
        <v>9</v>
      </c>
      <c r="I2275" s="5"/>
      <c r="J2275" s="5" t="s">
        <v>32192</v>
      </c>
      <c r="K2275" s="5" t="s">
        <v>344</v>
      </c>
      <c r="L2275" s="5" t="s">
        <v>32193</v>
      </c>
      <c r="M2275" s="27">
        <v>9095785</v>
      </c>
      <c r="N2275" s="5" t="s">
        <v>52918</v>
      </c>
      <c r="O2275" s="5" t="str">
        <v>7715995942</v>
      </c>
      <c r="P2275" s="27">
        <v>792267000</v>
      </c>
      <c r="Q2275" s="5" t="s">
        <v>52919</v>
      </c>
      <c r="R2275" s="5" t="s">
        <v>50082</v>
      </c>
      <c r="S2275" s="5" t="s">
        <v>52920</v>
      </c>
      <c r="T2275" s="28">
        <v>1798985000</v>
      </c>
      <c r="U2275" s="28">
        <v>30592000</v>
      </c>
      <c r="V2275" s="28">
        <v>2084915000</v>
      </c>
      <c r="W2275" s="28"/>
      <c r="X2275" s="28">
        <v>17209140000</v>
      </c>
      <c r="Y2275" s="28">
        <v>23287984000</v>
      </c>
      <c r="Z2275" s="28">
        <v>10484098000</v>
      </c>
      <c r="AA2275" s="28"/>
      <c r="AB2275" s="28"/>
      <c r="AC2275" s="28">
        <v>10285815000</v>
      </c>
      <c r="AD2275" s="28">
        <v>11315991000</v>
      </c>
      <c r="AE2275" s="28">
        <v>29416878000</v>
      </c>
      <c r="AF2275" s="28">
        <v>16537328000</v>
      </c>
      <c r="AG2275" s="11"/>
    </row>
    <row r="2276">
      <c r="A2276" s="7" t="s">
        <v>3973</v>
      </c>
      <c r="B2276" s="5" t="s">
        <v>11950</v>
      </c>
      <c r="C2276" s="5" t="s">
        <v>19797</v>
      </c>
      <c r="D2276" s="5" t="str">
        <v>312324373843</v>
      </c>
      <c r="E2276" s="0" t="e">
        <f>+7 (495) 4116850
+7 (346) 2252690
+7 (3472) 850045
+7 (48646) 32853
+7 (495) 2680845
+7 (495) 4115076
+7 (495) 4115090
+7 (495) 4416886
+7 (495) 4416889
+7 (495) 5468978
+7 (343) 2727203
+7 (343) 2727207
+7 (495) 4116859
+7 (495) 4116895
+7 (495) 7458914</f>
        <v>#NAME?</v>
      </c>
      <c r="F2276" s="5" t="s">
        <v>32194</v>
      </c>
      <c r="G2276" s="5" t="s">
        <v>32195</v>
      </c>
      <c r="H2276" s="26">
        <v>21</v>
      </c>
      <c r="I2276" s="5" t="s">
        <v>32196</v>
      </c>
      <c r="J2276" s="5" t="s">
        <v>32180</v>
      </c>
      <c r="K2276" s="5" t="s">
        <v>344</v>
      </c>
      <c r="L2276" s="5" t="s">
        <v>32197</v>
      </c>
      <c r="M2276" s="27">
        <v>1657463</v>
      </c>
      <c r="N2276" s="5" t="s">
        <v>52921</v>
      </c>
      <c r="O2276" s="5" t="str">
        <v>7708188426</v>
      </c>
      <c r="P2276" s="27">
        <v>43813147</v>
      </c>
      <c r="Q2276" s="5" t="s">
        <v>49579</v>
      </c>
      <c r="R2276" s="5" t="s">
        <v>52923</v>
      </c>
      <c r="S2276" s="5" t="s">
        <v>52912</v>
      </c>
      <c r="T2276" s="28">
        <v>1593190000</v>
      </c>
      <c r="U2276" s="28">
        <v>5790668000</v>
      </c>
      <c r="V2276" s="28">
        <v>4102666000</v>
      </c>
      <c r="W2276" s="28">
        <v>177597000</v>
      </c>
      <c r="X2276" s="28">
        <v>1227739000</v>
      </c>
      <c r="Y2276" s="28">
        <v>17391094000</v>
      </c>
      <c r="Z2276" s="28">
        <v>7214505000</v>
      </c>
      <c r="AA2276" s="28">
        <v>875250000</v>
      </c>
      <c r="AB2276" s="28">
        <v>971910000</v>
      </c>
      <c r="AC2276" s="28">
        <v>6041518000</v>
      </c>
      <c r="AD2276" s="28">
        <v>7258234000</v>
      </c>
      <c r="AE2276" s="28">
        <v>14373253000</v>
      </c>
      <c r="AF2276" s="28">
        <v>611695000</v>
      </c>
      <c r="AG2276" s="11"/>
    </row>
    <row r="2277">
      <c r="A2277" s="7" t="s">
        <v>3974</v>
      </c>
      <c r="B2277" s="5" t="s">
        <v>11951</v>
      </c>
      <c r="C2277" s="5" t="s">
        <v>19798</v>
      </c>
      <c r="D2277" s="5" t="str">
        <v>772601600031</v>
      </c>
      <c r="E2277" s="0" t="e">
        <f>+7 (495) 7390037</f>
        <v>#NAME?</v>
      </c>
      <c r="F2277" s="5"/>
      <c r="G2277" s="5" t="s">
        <v>32198</v>
      </c>
      <c r="H2277" s="26">
        <v>13</v>
      </c>
      <c r="I2277" s="5" t="s">
        <v>32199</v>
      </c>
      <c r="J2277" s="5" t="s">
        <v>785</v>
      </c>
      <c r="K2277" s="5" t="s">
        <v>344</v>
      </c>
      <c r="L2277" s="5" t="s">
        <v>32200</v>
      </c>
      <c r="M2277" s="27"/>
      <c r="N2277" s="5" t="s">
        <v>52924</v>
      </c>
      <c r="O2277" s="5" t="str">
        <v>7708709573</v>
      </c>
      <c r="P2277" s="27">
        <v>500000</v>
      </c>
      <c r="Q2277" s="5" t="s">
        <v>52925</v>
      </c>
      <c r="R2277" s="5"/>
      <c r="S2277" s="5" t="s">
        <v>52926</v>
      </c>
      <c r="T2277" s="28">
        <v>1403000</v>
      </c>
      <c r="U2277" s="28">
        <v>490000</v>
      </c>
      <c r="V2277" s="28">
        <v>1347620000</v>
      </c>
      <c r="W2277" s="28"/>
      <c r="X2277" s="28">
        <v>31101000</v>
      </c>
      <c r="Y2277" s="28">
        <v>1396658000</v>
      </c>
      <c r="Z2277" s="28">
        <v>151480000</v>
      </c>
      <c r="AA2277" s="28"/>
      <c r="AB2277" s="28"/>
      <c r="AC2277" s="28">
        <v>1244678000</v>
      </c>
      <c r="AD2277" s="28">
        <v>151980000</v>
      </c>
      <c r="AE2277" s="28">
        <v>4648945000</v>
      </c>
      <c r="AF2277" s="28">
        <v>61326000</v>
      </c>
      <c r="AG2277" s="11"/>
    </row>
    <row r="2278">
      <c r="A2278" s="7" t="s">
        <v>3975</v>
      </c>
      <c r="B2278" s="5" t="s">
        <v>11952</v>
      </c>
      <c r="C2278" s="5" t="s">
        <v>19799</v>
      </c>
      <c r="D2278" s="5" t="str">
        <v>773602772846</v>
      </c>
      <c r="E2278" s="0" t="e">
        <f>+7 (495) 5216838
+7 (499) 3704526
+7 (916) 1358338
+7 (919) 7842177
+7 (495) 2256020
+7 (495) 7309000</f>
        <v>#NAME?</v>
      </c>
      <c r="F2278" s="5" t="s">
        <v>32201</v>
      </c>
      <c r="G2278" s="5" t="s">
        <v>32202</v>
      </c>
      <c r="H2278" s="26">
        <v>18</v>
      </c>
      <c r="I2278" s="5" t="s">
        <v>32203</v>
      </c>
      <c r="J2278" s="5" t="s">
        <v>389</v>
      </c>
      <c r="K2278" s="5" t="s">
        <v>344</v>
      </c>
      <c r="L2278" s="5" t="s">
        <v>32204</v>
      </c>
      <c r="M2278" s="27"/>
      <c r="N2278" s="5" t="s">
        <v>52927</v>
      </c>
      <c r="O2278" s="5" t="str">
        <v>7716521818</v>
      </c>
      <c r="P2278" s="27">
        <v>10000</v>
      </c>
      <c r="Q2278" s="5" t="s">
        <v>52928</v>
      </c>
      <c r="R2278" s="5"/>
      <c r="S2278" s="5" t="s">
        <v>52929</v>
      </c>
      <c r="T2278" s="28">
        <v>85381000</v>
      </c>
      <c r="U2278" s="28">
        <v>408840000</v>
      </c>
      <c r="V2278" s="28">
        <v>267743000</v>
      </c>
      <c r="W2278" s="28"/>
      <c r="X2278" s="28">
        <v>219855000</v>
      </c>
      <c r="Y2278" s="28">
        <v>1404341000</v>
      </c>
      <c r="Z2278" s="28">
        <v>848597000</v>
      </c>
      <c r="AA2278" s="28">
        <v>35740000</v>
      </c>
      <c r="AB2278" s="28">
        <v>180191000</v>
      </c>
      <c r="AC2278" s="28">
        <v>418347000</v>
      </c>
      <c r="AD2278" s="28">
        <v>848607000</v>
      </c>
      <c r="AE2278" s="28">
        <v>3745817000</v>
      </c>
      <c r="AF2278" s="28">
        <v>300307000</v>
      </c>
      <c r="AG2278" s="11"/>
    </row>
    <row r="2279">
      <c r="A2279" s="7" t="s">
        <v>3976</v>
      </c>
      <c r="B2279" s="5" t="s">
        <v>11953</v>
      </c>
      <c r="C2279" s="5" t="s">
        <v>19800</v>
      </c>
      <c r="D2279" s="5"/>
      <c r="E2279" s="0" t="e">
        <f>+7 (910) 3501127
+7 (474) 2371041
+7 (47478) 21185
+7 (47478) 21286
+7 (47478) 21291
+7 (47478) 21365
+7 (47478) 21859
+7 (47478) 33245
+7 (951) 3097439</f>
        <v>#NAME?</v>
      </c>
      <c r="F2279" s="5" t="s">
        <v>32205</v>
      </c>
      <c r="G2279" s="5" t="s">
        <v>32206</v>
      </c>
      <c r="H2279" s="26">
        <v>13.5</v>
      </c>
      <c r="I2279" s="5"/>
      <c r="J2279" s="5" t="s">
        <v>32105</v>
      </c>
      <c r="K2279" s="5" t="s">
        <v>344</v>
      </c>
      <c r="L2279" s="5" t="s">
        <v>32207</v>
      </c>
      <c r="M2279" s="27"/>
      <c r="N2279" s="5" t="s">
        <v>52930</v>
      </c>
      <c r="O2279" s="5" t="str">
        <v>4809006437</v>
      </c>
      <c r="P2279" s="27">
        <v>4000000</v>
      </c>
      <c r="Q2279" s="5" t="s">
        <v>52931</v>
      </c>
      <c r="R2279" s="5"/>
      <c r="S2279" s="5" t="s">
        <v>52932</v>
      </c>
      <c r="T2279" s="28">
        <v>483950000</v>
      </c>
      <c r="U2279" s="28"/>
      <c r="V2279" s="28">
        <v>782392000</v>
      </c>
      <c r="W2279" s="28">
        <v>80005000</v>
      </c>
      <c r="X2279" s="28">
        <v>3882000</v>
      </c>
      <c r="Y2279" s="28">
        <v>1577486000</v>
      </c>
      <c r="Z2279" s="28">
        <v>232081000</v>
      </c>
      <c r="AA2279" s="28">
        <v>966187000</v>
      </c>
      <c r="AB2279" s="28"/>
      <c r="AC2279" s="28">
        <v>263627000</v>
      </c>
      <c r="AD2279" s="28">
        <v>334081000</v>
      </c>
      <c r="AE2279" s="28">
        <v>3914605000</v>
      </c>
      <c r="AF2279" s="28">
        <v>190295000</v>
      </c>
      <c r="AG2279" s="11"/>
    </row>
    <row r="2280">
      <c r="A2280" s="7" t="s">
        <v>3977</v>
      </c>
      <c r="B2280" s="5" t="s">
        <v>11954</v>
      </c>
      <c r="C2280" s="5" t="s">
        <v>19801</v>
      </c>
      <c r="D2280" s="5" t="str">
        <v>183211041799</v>
      </c>
      <c r="E2280" s="0" t="e">
        <f>+7 (341) 2905410
+7 (3412) 905411
+7 (3412) 905412
+7 (905) 8777259
+7 (912) 8566210</f>
        <v>#NAME?</v>
      </c>
      <c r="F2280" s="5" t="s">
        <v>32208</v>
      </c>
      <c r="G2280" s="5" t="s">
        <v>32209</v>
      </c>
      <c r="H2280" s="26">
        <v>15.5</v>
      </c>
      <c r="I2280" s="5" t="s">
        <v>32210</v>
      </c>
      <c r="J2280" s="5" t="s">
        <v>28323</v>
      </c>
      <c r="K2280" s="5" t="s">
        <v>344</v>
      </c>
      <c r="L2280" s="5" t="s">
        <v>32211</v>
      </c>
      <c r="M2280" s="27"/>
      <c r="N2280" s="5"/>
      <c r="O2280" s="5" t="str">
        <v>1832058678</v>
      </c>
      <c r="P2280" s="27">
        <v>560778</v>
      </c>
      <c r="Q2280" s="5" t="s">
        <v>49207</v>
      </c>
      <c r="R2280" s="5"/>
      <c r="S2280" s="5" t="s">
        <v>52933</v>
      </c>
      <c r="T2280" s="28">
        <v>352506000</v>
      </c>
      <c r="U2280" s="28">
        <v>30015000</v>
      </c>
      <c r="V2280" s="28">
        <v>620402000</v>
      </c>
      <c r="W2280" s="28">
        <v>54640000</v>
      </c>
      <c r="X2280" s="28">
        <v>59856000</v>
      </c>
      <c r="Y2280" s="28">
        <v>2312877000</v>
      </c>
      <c r="Z2280" s="28">
        <v>1101389000</v>
      </c>
      <c r="AA2280" s="28">
        <v>106252000</v>
      </c>
      <c r="AB2280" s="28">
        <v>469408000</v>
      </c>
      <c r="AC2280" s="28">
        <v>1059863000</v>
      </c>
      <c r="AD2280" s="28">
        <v>1102027000</v>
      </c>
      <c r="AE2280" s="28">
        <v>6622946000</v>
      </c>
      <c r="AF2280" s="28">
        <v>737495000</v>
      </c>
      <c r="AG2280" s="11"/>
    </row>
    <row r="2281">
      <c r="A2281" s="7" t="s">
        <v>3978</v>
      </c>
      <c r="B2281" s="5" t="s">
        <v>11955</v>
      </c>
      <c r="C2281" s="5" t="s">
        <v>19802</v>
      </c>
      <c r="D2281" s="5" t="str">
        <v>540816507806</v>
      </c>
      <c r="E2281" s="0" t="e">
        <f>+7 (495) 2568083
+7 (495) 7772964
+7 (499) 7042990
+7 (499) 7772964
+7 (499) 9752448
+7 (800) 5112990</f>
        <v>#NAME?</v>
      </c>
      <c r="F2281" s="5" t="s">
        <v>32212</v>
      </c>
      <c r="G2281" s="5" t="s">
        <v>32213</v>
      </c>
      <c r="H2281" s="26">
        <v>25.5</v>
      </c>
      <c r="I2281" s="5"/>
      <c r="J2281" s="5" t="s">
        <v>28108</v>
      </c>
      <c r="K2281" s="5" t="s">
        <v>355</v>
      </c>
      <c r="L2281" s="5" t="s">
        <v>32214</v>
      </c>
      <c r="M2281" s="27"/>
      <c r="N2281" s="5"/>
      <c r="O2281" s="5" t="str">
        <v>7730095858</v>
      </c>
      <c r="P2281" s="27">
        <v>60000000</v>
      </c>
      <c r="Q2281" s="5" t="s">
        <v>49207</v>
      </c>
      <c r="R2281" s="5"/>
      <c r="S2281" s="5" t="s">
        <v>52934</v>
      </c>
      <c r="T2281" s="28">
        <v>1475292000</v>
      </c>
      <c r="U2281" s="28">
        <v>150045348000</v>
      </c>
      <c r="V2281" s="28">
        <v>437594035000</v>
      </c>
      <c r="W2281" s="28">
        <v>420836202000</v>
      </c>
      <c r="X2281" s="28">
        <v>22693000</v>
      </c>
      <c r="Y2281" s="28">
        <v>1019273369000</v>
      </c>
      <c r="Z2281" s="28">
        <v>41272343000</v>
      </c>
      <c r="AA2281" s="28">
        <v>85980055000</v>
      </c>
      <c r="AB2281" s="28">
        <v>473323019000</v>
      </c>
      <c r="AC2281" s="28">
        <v>826691174000</v>
      </c>
      <c r="AD2281" s="28">
        <v>42332352000</v>
      </c>
      <c r="AE2281" s="28">
        <v>51301094000</v>
      </c>
      <c r="AF2281" s="28">
        <v>14267010000</v>
      </c>
      <c r="AG2281" s="11"/>
    </row>
    <row r="2282">
      <c r="A2282" s="7" t="s">
        <v>3979</v>
      </c>
      <c r="B2282" s="5" t="s">
        <v>11956</v>
      </c>
      <c r="C2282" s="5" t="s">
        <v>19803</v>
      </c>
      <c r="D2282" s="5" t="str">
        <v>780106973722</v>
      </c>
      <c r="E2282" s="0" t="e">
        <f>+7 (495) 1364015
+7 (921) 9220098</f>
        <v>#NAME?</v>
      </c>
      <c r="F2282" s="5" t="s">
        <v>32215</v>
      </c>
      <c r="G2282" s="5"/>
      <c r="H2282" s="26">
        <v>5</v>
      </c>
      <c r="I2282" s="5" t="s">
        <v>32216</v>
      </c>
      <c r="J2282" s="5" t="s">
        <v>710</v>
      </c>
      <c r="K2282" s="5" t="s">
        <v>344</v>
      </c>
      <c r="L2282" s="5" t="s">
        <v>32217</v>
      </c>
      <c r="M2282" s="27">
        <v>37440381</v>
      </c>
      <c r="N2282" s="5" t="s">
        <v>52935</v>
      </c>
      <c r="O2282" s="5" t="str">
        <v>7810729228</v>
      </c>
      <c r="P2282" s="27">
        <v>1000000</v>
      </c>
      <c r="Q2282" s="5" t="s">
        <v>52936</v>
      </c>
      <c r="R2282" s="5"/>
      <c r="S2282" s="5" t="s">
        <v>52937</v>
      </c>
      <c r="T2282" s="28">
        <v>181725000</v>
      </c>
      <c r="U2282" s="28"/>
      <c r="V2282" s="28">
        <v>6664967000</v>
      </c>
      <c r="W2282" s="28">
        <v>196680000</v>
      </c>
      <c r="X2282" s="28">
        <v>12689000</v>
      </c>
      <c r="Y2282" s="28">
        <v>14386925000</v>
      </c>
      <c r="Z2282" s="28">
        <v>1207683000</v>
      </c>
      <c r="AA2282" s="28"/>
      <c r="AB2282" s="28"/>
      <c r="AC2282" s="28">
        <v>13099239000</v>
      </c>
      <c r="AD2282" s="28">
        <v>1208683000</v>
      </c>
      <c r="AE2282" s="28">
        <v>17996621000</v>
      </c>
      <c r="AF2282" s="28">
        <v>829065000</v>
      </c>
      <c r="AG2282" s="11"/>
    </row>
    <row r="2283">
      <c r="A2283" s="7" t="s">
        <v>3980</v>
      </c>
      <c r="B2283" s="5" t="s">
        <v>11957</v>
      </c>
      <c r="C2283" s="5" t="s">
        <v>19804</v>
      </c>
      <c r="D2283" s="5" t="str">
        <v>504709719808</v>
      </c>
      <c r="E2283" s="0" t="e">
        <f>+7 (48143) 36777
+7 (495) 6412048
+7 (495) 6444410
+7 (495) 7375301
+7 (495) 7375324</f>
        <v>#NAME?</v>
      </c>
      <c r="F2283" s="5"/>
      <c r="G2283" s="5" t="s">
        <v>32218</v>
      </c>
      <c r="H2283" s="26">
        <v>25</v>
      </c>
      <c r="I2283" s="5" t="s">
        <v>32219</v>
      </c>
      <c r="J2283" s="5" t="s">
        <v>718</v>
      </c>
      <c r="K2283" s="5" t="s">
        <v>355</v>
      </c>
      <c r="L2283" s="5" t="s">
        <v>32220</v>
      </c>
      <c r="M2283" s="27">
        <v>17042566</v>
      </c>
      <c r="N2283" s="5"/>
      <c r="O2283" s="5" t="str">
        <v>5047028515</v>
      </c>
      <c r="P2283" s="27">
        <v>684573567</v>
      </c>
      <c r="Q2283" s="5" t="s">
        <v>49009</v>
      </c>
      <c r="R2283" s="5"/>
      <c r="S2283" s="5" t="s">
        <v>49066</v>
      </c>
      <c r="T2283" s="28">
        <v>10689755000</v>
      </c>
      <c r="U2283" s="28"/>
      <c r="V2283" s="28">
        <v>13051853000</v>
      </c>
      <c r="W2283" s="28"/>
      <c r="X2283" s="28">
        <v>31810000</v>
      </c>
      <c r="Y2283" s="28">
        <v>24573095000</v>
      </c>
      <c r="Z2283" s="28">
        <v>-2706374000</v>
      </c>
      <c r="AA2283" s="28">
        <v>4800000000</v>
      </c>
      <c r="AB2283" s="28">
        <v>4180406000</v>
      </c>
      <c r="AC2283" s="28">
        <v>11684075000</v>
      </c>
      <c r="AD2283" s="28">
        <v>7678200000</v>
      </c>
      <c r="AE2283" s="28">
        <v>38017949000</v>
      </c>
      <c r="AF2283" s="28">
        <v>-1957615000</v>
      </c>
      <c r="AG2283" s="11"/>
    </row>
    <row r="2284">
      <c r="A2284" s="7" t="s">
        <v>3981</v>
      </c>
      <c r="B2284" s="5" t="s">
        <v>11958</v>
      </c>
      <c r="C2284" s="5" t="s">
        <v>19805</v>
      </c>
      <c r="D2284" s="5" t="str">
        <v>650114064800</v>
      </c>
      <c r="F2284" s="5"/>
      <c r="G2284" s="5"/>
      <c r="H2284" s="26">
        <v>6.5</v>
      </c>
      <c r="I2284" s="5" t="s">
        <v>32221</v>
      </c>
      <c r="J2284" s="5" t="s">
        <v>32222</v>
      </c>
      <c r="K2284" s="5" t="s">
        <v>344</v>
      </c>
      <c r="L2284" s="5" t="s">
        <v>32223</v>
      </c>
      <c r="M2284" s="27"/>
      <c r="N2284" s="5"/>
      <c r="O2284" s="5" t="str">
        <v>7716836448</v>
      </c>
      <c r="P2284" s="27">
        <v>10000</v>
      </c>
      <c r="Q2284" s="5"/>
      <c r="R2284" s="5"/>
      <c r="S2284" s="5" t="s">
        <v>49029</v>
      </c>
      <c r="T2284" s="28">
        <v>80512000</v>
      </c>
      <c r="U2284" s="28"/>
      <c r="V2284" s="28">
        <v>193316000</v>
      </c>
      <c r="W2284" s="28">
        <v>270000000</v>
      </c>
      <c r="X2284" s="28">
        <v>472000</v>
      </c>
      <c r="Y2284" s="28">
        <v>3283858000</v>
      </c>
      <c r="Z2284" s="28">
        <v>376894000</v>
      </c>
      <c r="AA2284" s="28">
        <v>271508000</v>
      </c>
      <c r="AB2284" s="28">
        <v>29767000</v>
      </c>
      <c r="AC2284" s="28">
        <v>2626387000</v>
      </c>
      <c r="AD2284" s="28">
        <v>376904000</v>
      </c>
      <c r="AE2284" s="28">
        <v>8062580000</v>
      </c>
      <c r="AF2284" s="28">
        <v>189825000</v>
      </c>
      <c r="AG2284" s="11"/>
    </row>
    <row r="2285">
      <c r="A2285" s="7" t="s">
        <v>3982</v>
      </c>
      <c r="B2285" s="5" t="s">
        <v>11959</v>
      </c>
      <c r="C2285" s="5" t="s">
        <v>17814</v>
      </c>
      <c r="D2285" s="5"/>
      <c r="E2285" s="0" t="e">
        <f>+7 (495) 2289768
+7 (495) 6628888</f>
        <v>#NAME?</v>
      </c>
      <c r="F2285" s="5" t="s">
        <v>32224</v>
      </c>
      <c r="G2285" s="5"/>
      <c r="H2285" s="26">
        <v>19</v>
      </c>
      <c r="I2285" s="5" t="s">
        <v>32225</v>
      </c>
      <c r="J2285" s="5" t="s">
        <v>32226</v>
      </c>
      <c r="K2285" s="5" t="s">
        <v>380</v>
      </c>
      <c r="L2285" s="5"/>
      <c r="M2285" s="27"/>
      <c r="N2285" s="5"/>
      <c r="O2285" s="5" t="str">
        <v>7710529680</v>
      </c>
      <c r="P2285" s="27">
        <v>2000000</v>
      </c>
      <c r="Q2285" s="5" t="s">
        <v>49009</v>
      </c>
      <c r="R2285" s="5"/>
      <c r="S2285" s="5" t="s">
        <v>49028</v>
      </c>
      <c r="T2285" s="28">
        <v>898513000</v>
      </c>
      <c r="U2285" s="28">
        <v>16745254000</v>
      </c>
      <c r="V2285" s="28">
        <v>172721000</v>
      </c>
      <c r="W2285" s="28"/>
      <c r="X2285" s="28">
        <v>92491000</v>
      </c>
      <c r="Y2285" s="28">
        <v>18508566000</v>
      </c>
      <c r="Z2285" s="28">
        <v>4392048000</v>
      </c>
      <c r="AA2285" s="28"/>
      <c r="AB2285" s="28"/>
      <c r="AC2285" s="28">
        <v>13387381000</v>
      </c>
      <c r="AD2285" s="28">
        <v>4424048000</v>
      </c>
      <c r="AE2285" s="28">
        <v>9199008000</v>
      </c>
      <c r="AF2285" s="28">
        <v>-1372002000</v>
      </c>
      <c r="AG2285" s="11"/>
    </row>
    <row r="2286">
      <c r="A2286" s="7" t="s">
        <v>3983</v>
      </c>
      <c r="B2286" s="5" t="s">
        <v>11960</v>
      </c>
      <c r="C2286" s="5" t="s">
        <v>19806</v>
      </c>
      <c r="D2286" s="5" t="str">
        <v>771514009536</v>
      </c>
      <c r="E2286" s="0" t="e">
        <f>+7 (812) 3251882
+7 (495) 6628888
+7 (812) 1230545
+7 (812) 4483010
+7 (812) 4494194</f>
        <v>#NAME?</v>
      </c>
      <c r="F2286" s="5" t="s">
        <v>32227</v>
      </c>
      <c r="G2286" s="5"/>
      <c r="H2286" s="26">
        <v>23</v>
      </c>
      <c r="I2286" s="5"/>
      <c r="J2286" s="5" t="s">
        <v>26148</v>
      </c>
      <c r="K2286" s="5" t="s">
        <v>355</v>
      </c>
      <c r="L2286" s="5" t="s">
        <v>32228</v>
      </c>
      <c r="M2286" s="27">
        <v>27613066</v>
      </c>
      <c r="N2286" s="5"/>
      <c r="O2286" s="5" t="str">
        <v>7816157915</v>
      </c>
      <c r="P2286" s="27">
        <v>125970100</v>
      </c>
      <c r="Q2286" s="5" t="s">
        <v>49009</v>
      </c>
      <c r="R2286" s="5" t="s">
        <v>52938</v>
      </c>
      <c r="S2286" s="5" t="s">
        <v>49045</v>
      </c>
      <c r="T2286" s="28">
        <v>27978047000</v>
      </c>
      <c r="U2286" s="28">
        <v>30076797000</v>
      </c>
      <c r="V2286" s="28">
        <v>1255098000</v>
      </c>
      <c r="W2286" s="28"/>
      <c r="X2286" s="28">
        <v>60000</v>
      </c>
      <c r="Y2286" s="28">
        <v>93023149000</v>
      </c>
      <c r="Z2286" s="28">
        <v>19214107000</v>
      </c>
      <c r="AA2286" s="28">
        <v>23480893000</v>
      </c>
      <c r="AB2286" s="28">
        <v>12641638000</v>
      </c>
      <c r="AC2286" s="28">
        <v>28422537000</v>
      </c>
      <c r="AD2286" s="28">
        <v>19340077000</v>
      </c>
      <c r="AE2286" s="28">
        <v>9728857000</v>
      </c>
      <c r="AF2286" s="28">
        <v>454564000</v>
      </c>
      <c r="AG2286" s="11"/>
    </row>
    <row r="2287">
      <c r="A2287" s="7" t="s">
        <v>3984</v>
      </c>
      <c r="B2287" s="5" t="s">
        <v>11961</v>
      </c>
      <c r="C2287" s="5" t="s">
        <v>19807</v>
      </c>
      <c r="D2287" s="5"/>
      <c r="E2287" s="0" t="e">
        <f>+7 (495) 1365172
+7 (495) 4151014
+7 (495) 4234949
+7 (495) 4255035
+7 (495) 8564525
+7 (49641) 24315
+7 (49642) 7891
+7 (49641) 50305
+7 (49641) 51014
+7 (49641) 62976
+7 (49641) 63229
+7 (49641) 63508
+7 (49641) 65547
+7 (49641) 65548
+7 (49641) 65569</f>
        <v>#NAME?</v>
      </c>
      <c r="F2287" s="5" t="s">
        <v>32229</v>
      </c>
      <c r="G2287" s="5"/>
      <c r="H2287" s="26">
        <v>3.5</v>
      </c>
      <c r="I2287" s="5" t="s">
        <v>32230</v>
      </c>
      <c r="J2287" s="5" t="s">
        <v>27642</v>
      </c>
      <c r="K2287" s="5" t="s">
        <v>355</v>
      </c>
      <c r="L2287" s="5"/>
      <c r="M2287" s="27">
        <v>14792037</v>
      </c>
      <c r="N2287" s="5" t="s">
        <v>52939</v>
      </c>
      <c r="O2287" s="5" t="str">
        <v>7608037021</v>
      </c>
      <c r="P2287" s="27">
        <v>100000</v>
      </c>
      <c r="Q2287" s="5" t="s">
        <v>52940</v>
      </c>
      <c r="R2287" s="5"/>
      <c r="S2287" s="5" t="s">
        <v>52941</v>
      </c>
      <c r="T2287" s="28">
        <v>1663218000</v>
      </c>
      <c r="U2287" s="28"/>
      <c r="V2287" s="28">
        <v>962768000</v>
      </c>
      <c r="W2287" s="28"/>
      <c r="X2287" s="28">
        <v>94515000</v>
      </c>
      <c r="Y2287" s="28">
        <v>3478368000</v>
      </c>
      <c r="Z2287" s="28">
        <v>-210764000</v>
      </c>
      <c r="AA2287" s="28">
        <v>1813119000</v>
      </c>
      <c r="AB2287" s="28">
        <v>110136000</v>
      </c>
      <c r="AC2287" s="28">
        <v>1251647000</v>
      </c>
      <c r="AD2287" s="28">
        <v>12284000</v>
      </c>
      <c r="AE2287" s="28">
        <v>3288817000</v>
      </c>
      <c r="AF2287" s="28">
        <v>-89188000</v>
      </c>
      <c r="AG2287" s="11"/>
    </row>
    <row r="2288">
      <c r="A2288" s="7" t="s">
        <v>3985</v>
      </c>
      <c r="B2288" s="5" t="s">
        <v>11962</v>
      </c>
      <c r="C2288" s="5" t="s">
        <v>19808</v>
      </c>
      <c r="D2288" s="5" t="str">
        <v>504705925013</v>
      </c>
      <c r="E2288" s="0" t="e">
        <f>+7 (495) 1771111
+7 (495) 4605663
+7 (495) 7771111
+7 (495) 9567937
+7 (499) 4005669
+7 (499) 4505663
+7 (499) 4605363
+7 (499) 4605563
+7 (499) 4605625
+7 (499) 4605653
+7 (499) 4605663
+7 (499) 4605669
+7 (903) 2553995
+7 (926) 5536877</f>
        <v>#NAME?</v>
      </c>
      <c r="F2288" s="5" t="s">
        <v>32231</v>
      </c>
      <c r="G2288" s="5"/>
      <c r="H2288" s="26">
        <v>2.5</v>
      </c>
      <c r="I2288" s="5" t="s">
        <v>32232</v>
      </c>
      <c r="J2288" s="5" t="s">
        <v>25429</v>
      </c>
      <c r="K2288" s="5" t="s">
        <v>344</v>
      </c>
      <c r="L2288" s="5"/>
      <c r="M2288" s="27"/>
      <c r="N2288" s="5" t="s">
        <v>52942</v>
      </c>
      <c r="O2288" s="5" t="str">
        <v>7734435625</v>
      </c>
      <c r="P2288" s="27">
        <v>10000</v>
      </c>
      <c r="Q2288" s="5" t="s">
        <v>52943</v>
      </c>
      <c r="R2288" s="5"/>
      <c r="S2288" s="5" t="s">
        <v>52944</v>
      </c>
      <c r="T2288" s="28">
        <v>3616000</v>
      </c>
      <c r="U2288" s="28"/>
      <c r="V2288" s="28">
        <v>101835000</v>
      </c>
      <c r="W2288" s="28"/>
      <c r="X2288" s="28">
        <v>481387000</v>
      </c>
      <c r="Y2288" s="28">
        <v>906106000</v>
      </c>
      <c r="Z2288" s="28">
        <v>327938000</v>
      </c>
      <c r="AA2288" s="28"/>
      <c r="AB2288" s="28">
        <v>1661000</v>
      </c>
      <c r="AC2288" s="28">
        <v>573284000</v>
      </c>
      <c r="AD2288" s="28">
        <v>327948000</v>
      </c>
      <c r="AE2288" s="28">
        <v>7077315000</v>
      </c>
      <c r="AF2288" s="28">
        <v>338452000</v>
      </c>
      <c r="AG2288" s="11"/>
    </row>
    <row r="2289">
      <c r="A2289" s="7" t="s">
        <v>3986</v>
      </c>
      <c r="B2289" s="5" t="s">
        <v>11963</v>
      </c>
      <c r="C2289" s="5" t="s">
        <v>19809</v>
      </c>
      <c r="D2289" s="5" t="str">
        <v>771770765646</v>
      </c>
      <c r="E2289" s="0" t="e">
        <f>+7 (495) 8000911
+7 (903) 1006299
+7 (962) 9613553</f>
        <v>#NAME?</v>
      </c>
      <c r="F2289" s="5"/>
      <c r="G2289" s="5" t="s">
        <v>32233</v>
      </c>
      <c r="H2289" s="26">
        <v>11</v>
      </c>
      <c r="I2289" s="5" t="s">
        <v>32234</v>
      </c>
      <c r="J2289" s="5" t="s">
        <v>27783</v>
      </c>
      <c r="K2289" s="5" t="s">
        <v>355</v>
      </c>
      <c r="L2289" s="5" t="s">
        <v>32235</v>
      </c>
      <c r="M2289" s="27"/>
      <c r="N2289" s="5"/>
      <c r="O2289" s="5" t="str">
        <v>7715904744</v>
      </c>
      <c r="P2289" s="27">
        <v>1000000</v>
      </c>
      <c r="Q2289" s="5" t="s">
        <v>52945</v>
      </c>
      <c r="R2289" s="5"/>
      <c r="S2289" s="5" t="s">
        <v>52946</v>
      </c>
      <c r="T2289" s="28">
        <v>4740803000</v>
      </c>
      <c r="U2289" s="28">
        <v>2104064000</v>
      </c>
      <c r="V2289" s="28">
        <v>1577262000</v>
      </c>
      <c r="W2289" s="28">
        <v>500000000</v>
      </c>
      <c r="X2289" s="28">
        <v>537759000</v>
      </c>
      <c r="Y2289" s="28">
        <v>10439041000</v>
      </c>
      <c r="Z2289" s="28">
        <v>1402050000</v>
      </c>
      <c r="AA2289" s="28">
        <v>4629048000</v>
      </c>
      <c r="AB2289" s="28">
        <v>262126000</v>
      </c>
      <c r="AC2289" s="28">
        <v>1313657000</v>
      </c>
      <c r="AD2289" s="28">
        <v>3534419000</v>
      </c>
      <c r="AE2289" s="28">
        <v>3707896000</v>
      </c>
      <c r="AF2289" s="28">
        <v>832612000</v>
      </c>
      <c r="AG2289" s="11"/>
    </row>
    <row r="2290">
      <c r="A2290" s="7" t="s">
        <v>3987</v>
      </c>
      <c r="B2290" s="5" t="s">
        <v>11964</v>
      </c>
      <c r="C2290" s="5" t="s">
        <v>19810</v>
      </c>
      <c r="D2290" s="5" t="str">
        <v>440114215648</v>
      </c>
      <c r="E2290" s="0" t="e">
        <f>+7 (812) 2722455
+7 (812) 2750959</f>
        <v>#NAME?</v>
      </c>
      <c r="F2290" s="5"/>
      <c r="G2290" s="5"/>
      <c r="H2290" s="26">
        <v>31</v>
      </c>
      <c r="I2290" s="5" t="s">
        <v>32236</v>
      </c>
      <c r="J2290" s="5" t="s">
        <v>27174</v>
      </c>
      <c r="K2290" s="5" t="s">
        <v>344</v>
      </c>
      <c r="L2290" s="5"/>
      <c r="M2290" s="27"/>
      <c r="N2290" s="5"/>
      <c r="O2290" s="5" t="str">
        <v>7803034828</v>
      </c>
      <c r="P2290" s="27">
        <v>10000</v>
      </c>
      <c r="Q2290" s="5" t="s">
        <v>52759</v>
      </c>
      <c r="R2290" s="5"/>
      <c r="S2290" s="5" t="s">
        <v>52947</v>
      </c>
      <c r="T2290" s="28">
        <v>1430000</v>
      </c>
      <c r="U2290" s="28"/>
      <c r="V2290" s="28">
        <v>405991000</v>
      </c>
      <c r="W2290" s="28">
        <v>20458817000</v>
      </c>
      <c r="X2290" s="28">
        <v>344929000</v>
      </c>
      <c r="Y2290" s="28">
        <v>22140404000</v>
      </c>
      <c r="Z2290" s="28">
        <v>-3714729000</v>
      </c>
      <c r="AA2290" s="28"/>
      <c r="AB2290" s="28">
        <v>19817236000</v>
      </c>
      <c r="AC2290" s="28">
        <v>25855123000</v>
      </c>
      <c r="AD2290" s="28">
        <v>-3714719000</v>
      </c>
      <c r="AE2290" s="28">
        <v>51357266000</v>
      </c>
      <c r="AF2290" s="28">
        <v>-3715186000</v>
      </c>
      <c r="AG2290" s="11"/>
    </row>
    <row r="2291">
      <c r="A2291" s="7" t="s">
        <v>3988</v>
      </c>
      <c r="B2291" s="5" t="s">
        <v>11965</v>
      </c>
      <c r="C2291" s="5" t="s">
        <v>19811</v>
      </c>
      <c r="D2291" s="5" t="str">
        <v>771704212504</v>
      </c>
      <c r="E2291" s="0" t="e">
        <f>+7 (3919) 472692
+7 (905) 9968422</f>
        <v>#NAME?</v>
      </c>
      <c r="F2291" s="5" t="s">
        <v>32237</v>
      </c>
      <c r="G2291" s="5"/>
      <c r="H2291" s="26">
        <v>21.5</v>
      </c>
      <c r="I2291" s="5" t="s">
        <v>32238</v>
      </c>
      <c r="J2291" s="5" t="s">
        <v>25603</v>
      </c>
      <c r="K2291" s="5" t="s">
        <v>355</v>
      </c>
      <c r="L2291" s="5" t="s">
        <v>1590</v>
      </c>
      <c r="M2291" s="27">
        <v>99406163</v>
      </c>
      <c r="N2291" s="5" t="s">
        <v>52948</v>
      </c>
      <c r="O2291" s="5" t="str">
        <v>2462024987</v>
      </c>
      <c r="P2291" s="27">
        <v>10000</v>
      </c>
      <c r="Q2291" s="5" t="s">
        <v>52949</v>
      </c>
      <c r="R2291" s="5" t="s">
        <v>52950</v>
      </c>
      <c r="S2291" s="5" t="s">
        <v>52951</v>
      </c>
      <c r="T2291" s="28">
        <v>837389000</v>
      </c>
      <c r="U2291" s="28"/>
      <c r="V2291" s="28">
        <v>407062000</v>
      </c>
      <c r="W2291" s="28"/>
      <c r="X2291" s="28">
        <v>432000</v>
      </c>
      <c r="Y2291" s="28">
        <v>2245987000</v>
      </c>
      <c r="Z2291" s="28">
        <v>307041000</v>
      </c>
      <c r="AA2291" s="28"/>
      <c r="AB2291" s="28">
        <v>476569000</v>
      </c>
      <c r="AC2291" s="28">
        <v>1613164000</v>
      </c>
      <c r="AD2291" s="28">
        <v>307051000</v>
      </c>
      <c r="AE2291" s="28">
        <v>3140822000</v>
      </c>
      <c r="AF2291" s="28">
        <v>102207000</v>
      </c>
      <c r="AG2291" s="11"/>
    </row>
    <row r="2292">
      <c r="A2292" s="7" t="s">
        <v>3989</v>
      </c>
      <c r="B2292" s="5" t="s">
        <v>11966</v>
      </c>
      <c r="C2292" s="5" t="s">
        <v>19812</v>
      </c>
      <c r="D2292" s="5" t="str">
        <v>740100264650</v>
      </c>
      <c r="E2292" s="0" t="e">
        <f>+7 (351) 5932136
+7 (3512) 420275
+7 (35159) 31562
+7 (35159) 31824
+7 (835) 1931824</f>
        <v>#NAME?</v>
      </c>
      <c r="F2292" s="5" t="s">
        <v>32239</v>
      </c>
      <c r="G2292" s="5" t="s">
        <v>32240</v>
      </c>
      <c r="H2292" s="26">
        <v>18</v>
      </c>
      <c r="I2292" s="5" t="s">
        <v>32241</v>
      </c>
      <c r="J2292" s="5" t="s">
        <v>26292</v>
      </c>
      <c r="K2292" s="5" t="s">
        <v>344</v>
      </c>
      <c r="L2292" s="5" t="s">
        <v>32242</v>
      </c>
      <c r="M2292" s="27"/>
      <c r="N2292" s="5" t="s">
        <v>52952</v>
      </c>
      <c r="O2292" s="5" t="str">
        <v>7401009282</v>
      </c>
      <c r="P2292" s="27">
        <v>5000000</v>
      </c>
      <c r="Q2292" s="5" t="s">
        <v>49059</v>
      </c>
      <c r="R2292" s="5"/>
      <c r="S2292" s="5" t="s">
        <v>49045</v>
      </c>
      <c r="T2292" s="28">
        <v>75760000</v>
      </c>
      <c r="U2292" s="28">
        <v>77000000</v>
      </c>
      <c r="V2292" s="28">
        <v>799506000</v>
      </c>
      <c r="W2292" s="28">
        <v>1120965000</v>
      </c>
      <c r="X2292" s="28">
        <v>389658000</v>
      </c>
      <c r="Y2292" s="28">
        <v>3948898000</v>
      </c>
      <c r="Z2292" s="28">
        <v>3771964000</v>
      </c>
      <c r="AA2292" s="28"/>
      <c r="AB2292" s="28">
        <v>31414000</v>
      </c>
      <c r="AC2292" s="28">
        <v>171828000</v>
      </c>
      <c r="AD2292" s="28">
        <v>3776964000</v>
      </c>
      <c r="AE2292" s="28">
        <v>3646241000</v>
      </c>
      <c r="AF2292" s="28">
        <v>509691000</v>
      </c>
      <c r="AG2292" s="11"/>
    </row>
    <row r="2293">
      <c r="A2293" s="7" t="s">
        <v>3990</v>
      </c>
      <c r="B2293" s="5" t="s">
        <v>11967</v>
      </c>
      <c r="C2293" s="5" t="s">
        <v>19813</v>
      </c>
      <c r="D2293" s="5"/>
      <c r="E2293" s="0" t="e">
        <f>+7 (812) 3322690
+7 (812) 3327222
+7 (812) 7186006</f>
        <v>#NAME?</v>
      </c>
      <c r="F2293" s="5" t="s">
        <v>32243</v>
      </c>
      <c r="G2293" s="5"/>
      <c r="H2293" s="26">
        <v>16.5</v>
      </c>
      <c r="I2293" s="5"/>
      <c r="J2293" s="5" t="s">
        <v>27070</v>
      </c>
      <c r="K2293" s="5" t="s">
        <v>344</v>
      </c>
      <c r="L2293" s="5" t="s">
        <v>32244</v>
      </c>
      <c r="M2293" s="27"/>
      <c r="N2293" s="5" t="s">
        <v>52953</v>
      </c>
      <c r="O2293" s="5" t="str">
        <v>4705034655</v>
      </c>
      <c r="P2293" s="27">
        <v>172188241</v>
      </c>
      <c r="Q2293" s="5" t="s">
        <v>52954</v>
      </c>
      <c r="R2293" s="5"/>
      <c r="S2293" s="5" t="s">
        <v>49998</v>
      </c>
      <c r="T2293" s="28">
        <v>1671744000</v>
      </c>
      <c r="U2293" s="28"/>
      <c r="V2293" s="28">
        <v>1325034000</v>
      </c>
      <c r="W2293" s="28"/>
      <c r="X2293" s="28">
        <v>68127000</v>
      </c>
      <c r="Y2293" s="28">
        <v>3720474000</v>
      </c>
      <c r="Z2293" s="28">
        <v>869297000</v>
      </c>
      <c r="AA2293" s="28"/>
      <c r="AB2293" s="28"/>
      <c r="AC2293" s="28">
        <v>1903525000</v>
      </c>
      <c r="AD2293" s="28">
        <v>1738550000</v>
      </c>
      <c r="AE2293" s="28">
        <v>10008144000</v>
      </c>
      <c r="AF2293" s="28">
        <v>318033000</v>
      </c>
      <c r="AG2293" s="11"/>
    </row>
    <row r="2294">
      <c r="A2294" s="7" t="s">
        <v>3991</v>
      </c>
      <c r="B2294" s="5" t="s">
        <v>11968</v>
      </c>
      <c r="C2294" s="5" t="s">
        <v>19814</v>
      </c>
      <c r="D2294" s="5" t="str">
        <v>440101318702</v>
      </c>
      <c r="E2294" s="0" t="e">
        <f>+7 (3953) 496604
+7 (3953) 496699
+7 (39535) 92540
+7 (812) 3320676
+7 (812) 3327226
+7 (812) 3327227
+7 (812) 3327278
+7 (812) 3527070</f>
        <v>#NAME?</v>
      </c>
      <c r="F2294" s="5" t="s">
        <v>32245</v>
      </c>
      <c r="G2294" s="5" t="s">
        <v>32246</v>
      </c>
      <c r="H2294" s="26">
        <v>15</v>
      </c>
      <c r="I2294" s="5" t="s">
        <v>32247</v>
      </c>
      <c r="J2294" s="5" t="s">
        <v>27291</v>
      </c>
      <c r="K2294" s="5" t="s">
        <v>344</v>
      </c>
      <c r="L2294" s="5" t="s">
        <v>32248</v>
      </c>
      <c r="M2294" s="27"/>
      <c r="N2294" s="5"/>
      <c r="O2294" s="5" t="str">
        <v>7838407799</v>
      </c>
      <c r="P2294" s="27">
        <v>1052260800</v>
      </c>
      <c r="Q2294" s="5" t="s">
        <v>49021</v>
      </c>
      <c r="R2294" s="5"/>
      <c r="S2294" s="5" t="s">
        <v>52955</v>
      </c>
      <c r="T2294" s="28">
        <v>4043165000</v>
      </c>
      <c r="U2294" s="28">
        <v>28110000</v>
      </c>
      <c r="V2294" s="28">
        <v>3682016000</v>
      </c>
      <c r="W2294" s="28">
        <v>50000000</v>
      </c>
      <c r="X2294" s="28">
        <v>2030826000</v>
      </c>
      <c r="Y2294" s="28">
        <v>11535082000</v>
      </c>
      <c r="Z2294" s="28">
        <v>4376333000</v>
      </c>
      <c r="AA2294" s="28">
        <v>2604141000</v>
      </c>
      <c r="AB2294" s="28">
        <v>110841000</v>
      </c>
      <c r="AC2294" s="28">
        <v>1077928000</v>
      </c>
      <c r="AD2294" s="28">
        <v>7672261000</v>
      </c>
      <c r="AE2294" s="28">
        <v>8351912000</v>
      </c>
      <c r="AF2294" s="28">
        <v>-658828000</v>
      </c>
      <c r="AG2294" s="11"/>
    </row>
    <row r="2295">
      <c r="A2295" s="7" t="s">
        <v>3992</v>
      </c>
      <c r="B2295" s="5" t="s">
        <v>11969</v>
      </c>
      <c r="C2295" s="5" t="s">
        <v>19815</v>
      </c>
      <c r="D2295" s="5" t="str">
        <v>290500786360</v>
      </c>
      <c r="E2295" s="0" t="e">
        <f>+7 (818) 5045220
+7 (81850) 41975
+7 (81850) 45114
+7 (81850) 45147
+7 (81850) 45156
+7 (81850) 56420
+7 (925) 5002409</f>
        <v>#NAME?</v>
      </c>
      <c r="F2295" s="5" t="s">
        <v>32249</v>
      </c>
      <c r="G2295" s="5"/>
      <c r="H2295" s="26">
        <v>19.5</v>
      </c>
      <c r="I2295" s="5" t="s">
        <v>32250</v>
      </c>
      <c r="J2295" s="5" t="s">
        <v>27070</v>
      </c>
      <c r="K2295" s="5" t="s">
        <v>344</v>
      </c>
      <c r="L2295" s="5" t="s">
        <v>32251</v>
      </c>
      <c r="M2295" s="27"/>
      <c r="N2295" s="5"/>
      <c r="O2295" s="5" t="str">
        <v>2905007302</v>
      </c>
      <c r="P2295" s="27">
        <v>1062500</v>
      </c>
      <c r="Q2295" s="5"/>
      <c r="R2295" s="5"/>
      <c r="S2295" s="5" t="s">
        <v>49029</v>
      </c>
      <c r="T2295" s="28">
        <v>403321000</v>
      </c>
      <c r="U2295" s="28"/>
      <c r="V2295" s="28">
        <v>292973000</v>
      </c>
      <c r="W2295" s="28"/>
      <c r="X2295" s="28">
        <v>61143000</v>
      </c>
      <c r="Y2295" s="28">
        <v>1371688000</v>
      </c>
      <c r="Z2295" s="28">
        <v>547331000</v>
      </c>
      <c r="AA2295" s="28">
        <v>268581000</v>
      </c>
      <c r="AB2295" s="28">
        <v>98164000</v>
      </c>
      <c r="AC2295" s="28">
        <v>386487000</v>
      </c>
      <c r="AD2295" s="28">
        <v>548396000</v>
      </c>
      <c r="AE2295" s="28">
        <v>3208095000</v>
      </c>
      <c r="AF2295" s="28">
        <v>211919000</v>
      </c>
      <c r="AG2295" s="11"/>
    </row>
    <row r="2296">
      <c r="A2296" s="7" t="s">
        <v>3993</v>
      </c>
      <c r="B2296" s="5" t="s">
        <v>11970</v>
      </c>
      <c r="C2296" s="5" t="s">
        <v>19816</v>
      </c>
      <c r="D2296" s="5" t="str">
        <v>272104873797</v>
      </c>
      <c r="E2296" s="0" t="e">
        <f>+7 (962) 5032891
+7 (421) 2412525
+7 (42138) 42193</f>
        <v>#NAME?</v>
      </c>
      <c r="F2296" s="5" t="s">
        <v>32252</v>
      </c>
      <c r="G2296" s="5"/>
      <c r="H2296" s="26">
        <v>15.5</v>
      </c>
      <c r="I2296" s="5" t="s">
        <v>32253</v>
      </c>
      <c r="J2296" s="5" t="s">
        <v>678</v>
      </c>
      <c r="K2296" s="5" t="s">
        <v>344</v>
      </c>
      <c r="L2296" s="5" t="s">
        <v>32254</v>
      </c>
      <c r="M2296" s="27"/>
      <c r="N2296" s="5" t="s">
        <v>52956</v>
      </c>
      <c r="O2296" s="5" t="str">
        <v>2723098376</v>
      </c>
      <c r="P2296" s="27">
        <v>15000</v>
      </c>
      <c r="Q2296" s="5" t="s">
        <v>52957</v>
      </c>
      <c r="R2296" s="5"/>
      <c r="S2296" s="5" t="s">
        <v>50936</v>
      </c>
      <c r="T2296" s="28">
        <v>369315000</v>
      </c>
      <c r="U2296" s="28"/>
      <c r="V2296" s="28">
        <v>1755789000</v>
      </c>
      <c r="W2296" s="28">
        <v>65029000</v>
      </c>
      <c r="X2296" s="28">
        <v>29864000</v>
      </c>
      <c r="Y2296" s="28">
        <v>4911768000</v>
      </c>
      <c r="Z2296" s="28">
        <v>590289000</v>
      </c>
      <c r="AA2296" s="28"/>
      <c r="AB2296" s="28">
        <v>1879094000</v>
      </c>
      <c r="AC2296" s="28">
        <v>4088383000</v>
      </c>
      <c r="AD2296" s="28">
        <v>590304000</v>
      </c>
      <c r="AE2296" s="28">
        <v>14891984000</v>
      </c>
      <c r="AF2296" s="28">
        <v>84793000</v>
      </c>
      <c r="AG2296" s="11"/>
    </row>
    <row r="2297">
      <c r="A2297" s="7" t="s">
        <v>3993</v>
      </c>
      <c r="B2297" s="5" t="s">
        <v>11971</v>
      </c>
      <c r="C2297" s="5" t="s">
        <v>19817</v>
      </c>
      <c r="D2297" s="5" t="str">
        <v>772812523509</v>
      </c>
      <c r="E2297" s="0" t="e">
        <f>+7 (34764) 42884
+7 (35327) 74934
+7 (416) 2331233
+7 (495) 5664288
+7 (495) 6442484
+7 (495) 6622889
+7 (495) 6640884
+7 (495) 6642829
+7 (495) 6644288
+7 (495) 6645889
+7 (495) 6648284
+7 (495) 1050554
+7 (495) 6442884
+7 (495) 6642889
+7 (495) 6652884</f>
        <v>#NAME?</v>
      </c>
      <c r="F2297" s="5" t="s">
        <v>32255</v>
      </c>
      <c r="G2297" s="5" t="s">
        <v>32256</v>
      </c>
      <c r="H2297" s="26">
        <v>21</v>
      </c>
      <c r="I2297" s="5" t="s">
        <v>32257</v>
      </c>
      <c r="J2297" s="5" t="s">
        <v>25429</v>
      </c>
      <c r="K2297" s="5" t="s">
        <v>344</v>
      </c>
      <c r="L2297" s="5" t="s">
        <v>32258</v>
      </c>
      <c r="M2297" s="27">
        <v>33322541</v>
      </c>
      <c r="N2297" s="5" t="s">
        <v>52958</v>
      </c>
      <c r="O2297" s="5" t="str">
        <v>7720263905</v>
      </c>
      <c r="P2297" s="27">
        <v>10000</v>
      </c>
      <c r="Q2297" s="5" t="s">
        <v>52959</v>
      </c>
      <c r="R2297" s="5"/>
      <c r="S2297" s="5" t="s">
        <v>50589</v>
      </c>
      <c r="T2297" s="28">
        <v>376553000</v>
      </c>
      <c r="U2297" s="28">
        <v>6893000</v>
      </c>
      <c r="V2297" s="28">
        <v>276741000</v>
      </c>
      <c r="W2297" s="28">
        <v>3000000</v>
      </c>
      <c r="X2297" s="28">
        <v>1649662000</v>
      </c>
      <c r="Y2297" s="28">
        <v>2885289000</v>
      </c>
      <c r="Z2297" s="28">
        <v>2093925000</v>
      </c>
      <c r="AA2297" s="28"/>
      <c r="AB2297" s="28"/>
      <c r="AC2297" s="28">
        <v>570042000</v>
      </c>
      <c r="AD2297" s="28">
        <v>2093935000</v>
      </c>
      <c r="AE2297" s="28">
        <v>5530587000</v>
      </c>
      <c r="AF2297" s="28">
        <v>425930000</v>
      </c>
      <c r="AG2297" s="11"/>
    </row>
    <row r="2298">
      <c r="A2298" s="7" t="s">
        <v>3994</v>
      </c>
      <c r="B2298" s="5" t="s">
        <v>11972</v>
      </c>
      <c r="C2298" s="5" t="s">
        <v>19818</v>
      </c>
      <c r="D2298" s="5" t="str">
        <v>771401035253</v>
      </c>
      <c r="E2298" s="0" t="e">
        <f>+7 (495) 7716007
+7 (800) 1000005
+7 (800) 2001700
+7 (903) 34933
+7 (906) 431573</f>
        <v>#NAME?</v>
      </c>
      <c r="F2298" s="5" t="s">
        <v>32259</v>
      </c>
      <c r="G2298" s="5" t="s">
        <v>32260</v>
      </c>
      <c r="H2298" s="26">
        <v>30.5</v>
      </c>
      <c r="I2298" s="5" t="s">
        <v>32261</v>
      </c>
      <c r="J2298" s="5" t="s">
        <v>26660</v>
      </c>
      <c r="K2298" s="5" t="s">
        <v>355</v>
      </c>
      <c r="L2298" s="5"/>
      <c r="M2298" s="27"/>
      <c r="N2298" s="5"/>
      <c r="O2298" s="5" t="str">
        <v>7707061530</v>
      </c>
      <c r="P2298" s="27">
        <v>926500</v>
      </c>
      <c r="Q2298" s="5" t="s">
        <v>49009</v>
      </c>
      <c r="R2298" s="5"/>
      <c r="S2298" s="5" t="s">
        <v>49045</v>
      </c>
      <c r="T2298" s="28">
        <v>2456602000</v>
      </c>
      <c r="U2298" s="28"/>
      <c r="V2298" s="28">
        <v>335729000</v>
      </c>
      <c r="W2298" s="28"/>
      <c r="X2298" s="28">
        <v>2870888000</v>
      </c>
      <c r="Y2298" s="28">
        <v>9520123000</v>
      </c>
      <c r="Z2298" s="28">
        <v>-5724234000</v>
      </c>
      <c r="AA2298" s="28"/>
      <c r="AB2298" s="28"/>
      <c r="AC2298" s="28">
        <v>1001427000</v>
      </c>
      <c r="AD2298" s="28">
        <v>6001565000</v>
      </c>
      <c r="AE2298" s="28">
        <v>5730674000</v>
      </c>
      <c r="AF2298" s="28">
        <v>-1213840000</v>
      </c>
      <c r="AG2298" s="11"/>
    </row>
    <row r="2299">
      <c r="A2299" s="7" t="s">
        <v>3995</v>
      </c>
      <c r="B2299" s="5" t="s">
        <v>11973</v>
      </c>
      <c r="C2299" s="5" t="s">
        <v>19819</v>
      </c>
      <c r="D2299" s="5" t="str">
        <v>410102647549</v>
      </c>
      <c r="E2299" s="0" t="e">
        <f>+7 (415) 2219402
+7 (415) 2219431
+7 (415) 2219458
+7 (415) 2219459
+7 (415) 2238013
+7 (415) 2238171
+7 (415) 2238213
+7 (415) 2238998
+7 (4232) 499024</f>
        <v>#NAME?</v>
      </c>
      <c r="F2299" s="5" t="s">
        <v>32262</v>
      </c>
      <c r="G2299" s="5" t="s">
        <v>32263</v>
      </c>
      <c r="H2299" s="26">
        <v>30</v>
      </c>
      <c r="I2299" s="5"/>
      <c r="J2299" s="5" t="s">
        <v>26424</v>
      </c>
      <c r="K2299" s="5" t="s">
        <v>355</v>
      </c>
      <c r="L2299" s="5" t="s">
        <v>32264</v>
      </c>
      <c r="M2299" s="27"/>
      <c r="N2299" s="5"/>
      <c r="O2299" s="5" t="str">
        <v>4101016808</v>
      </c>
      <c r="P2299" s="27">
        <v>475000000</v>
      </c>
      <c r="Q2299" s="5" t="s">
        <v>49009</v>
      </c>
      <c r="R2299" s="5"/>
      <c r="S2299" s="5" t="s">
        <v>49028</v>
      </c>
      <c r="T2299" s="28">
        <v>9030827000</v>
      </c>
      <c r="U2299" s="28">
        <v>1183999000</v>
      </c>
      <c r="V2299" s="28">
        <v>4218407000</v>
      </c>
      <c r="W2299" s="28">
        <v>811468000</v>
      </c>
      <c r="X2299" s="28">
        <v>118206000</v>
      </c>
      <c r="Y2299" s="28">
        <v>17790160000</v>
      </c>
      <c r="Z2299" s="28">
        <v>10072578000</v>
      </c>
      <c r="AA2299" s="28">
        <v>5656949000</v>
      </c>
      <c r="AB2299" s="28">
        <v>12829000</v>
      </c>
      <c r="AC2299" s="28">
        <v>1599180000</v>
      </c>
      <c r="AD2299" s="28">
        <v>10532620000</v>
      </c>
      <c r="AE2299" s="28">
        <v>10267138000</v>
      </c>
      <c r="AF2299" s="28">
        <v>-2693610000</v>
      </c>
      <c r="AG2299" s="11"/>
    </row>
    <row r="2300">
      <c r="A2300" s="7" t="s">
        <v>3996</v>
      </c>
      <c r="B2300" s="5" t="s">
        <v>11974</v>
      </c>
      <c r="C2300" s="5" t="s">
        <v>19820</v>
      </c>
      <c r="D2300" s="5" t="str">
        <v>234104715164</v>
      </c>
      <c r="E2300" s="0" t="e">
        <f>+7 (86145) 31763
+7 (86145) 71763</f>
        <v>#NAME?</v>
      </c>
      <c r="F2300" s="5" t="s">
        <v>32265</v>
      </c>
      <c r="G2300" s="5" t="s">
        <v>32266</v>
      </c>
      <c r="H2300" s="26">
        <v>28.5</v>
      </c>
      <c r="I2300" s="5"/>
      <c r="J2300" s="5" t="s">
        <v>25901</v>
      </c>
      <c r="K2300" s="5" t="s">
        <v>344</v>
      </c>
      <c r="L2300" s="5" t="s">
        <v>32267</v>
      </c>
      <c r="M2300" s="27"/>
      <c r="N2300" s="5"/>
      <c r="O2300" s="5" t="str">
        <v>2341008282</v>
      </c>
      <c r="P2300" s="27">
        <v>52982000</v>
      </c>
      <c r="Q2300" s="5"/>
      <c r="R2300" s="5"/>
      <c r="S2300" s="5" t="s">
        <v>49029</v>
      </c>
      <c r="T2300" s="28">
        <v>1674203000</v>
      </c>
      <c r="U2300" s="28">
        <v>197734000</v>
      </c>
      <c r="V2300" s="28">
        <v>4046764000</v>
      </c>
      <c r="W2300" s="28"/>
      <c r="X2300" s="28">
        <v>2566661000</v>
      </c>
      <c r="Y2300" s="28">
        <v>9243085000</v>
      </c>
      <c r="Z2300" s="28">
        <v>6575563000</v>
      </c>
      <c r="AA2300" s="28">
        <v>488720000</v>
      </c>
      <c r="AB2300" s="28">
        <v>1376601000</v>
      </c>
      <c r="AC2300" s="28">
        <v>1679965000</v>
      </c>
      <c r="AD2300" s="28">
        <v>6833304000</v>
      </c>
      <c r="AE2300" s="28">
        <v>3340651000</v>
      </c>
      <c r="AF2300" s="28">
        <v>1559742000</v>
      </c>
      <c r="AG2300" s="11"/>
    </row>
    <row r="2301">
      <c r="A2301" s="7" t="s">
        <v>3997</v>
      </c>
      <c r="B2301" s="5" t="s">
        <v>11975</v>
      </c>
      <c r="C2301" s="5" t="s">
        <v>19821</v>
      </c>
      <c r="D2301" s="5" t="str">
        <v>233605986597</v>
      </c>
      <c r="E2301" s="0" t="e">
        <f>+7 (383) 3121838
+7 (800) 6009977
+7 (963) 9472096
+7 (969) 124682
+7 (383) 2093454</f>
        <v>#NAME?</v>
      </c>
      <c r="F2301" s="5" t="s">
        <v>32268</v>
      </c>
      <c r="G2301" s="5"/>
      <c r="H2301" s="26">
        <v>3.5</v>
      </c>
      <c r="I2301" s="5" t="s">
        <v>32269</v>
      </c>
      <c r="J2301" s="5" t="s">
        <v>32270</v>
      </c>
      <c r="K2301" s="5" t="s">
        <v>344</v>
      </c>
      <c r="L2301" s="5" t="s">
        <v>32271</v>
      </c>
      <c r="M2301" s="27"/>
      <c r="N2301" s="5" t="s">
        <v>52960</v>
      </c>
      <c r="O2301" s="5" t="str">
        <v>5406800279</v>
      </c>
      <c r="P2301" s="27">
        <v>15000</v>
      </c>
      <c r="Q2301" s="5" t="s">
        <v>52961</v>
      </c>
      <c r="R2301" s="5"/>
      <c r="S2301" s="5" t="s">
        <v>52962</v>
      </c>
      <c r="T2301" s="28">
        <v>219848000</v>
      </c>
      <c r="U2301" s="28"/>
      <c r="V2301" s="28">
        <v>226133000</v>
      </c>
      <c r="W2301" s="28">
        <v>1343532000</v>
      </c>
      <c r="X2301" s="28">
        <v>128617000</v>
      </c>
      <c r="Y2301" s="28">
        <v>2164124000</v>
      </c>
      <c r="Z2301" s="28">
        <v>1872038000</v>
      </c>
      <c r="AA2301" s="28">
        <v>39000</v>
      </c>
      <c r="AB2301" s="28"/>
      <c r="AC2301" s="28">
        <v>290023000</v>
      </c>
      <c r="AD2301" s="28">
        <v>1872053000</v>
      </c>
      <c r="AE2301" s="28">
        <v>4646171000</v>
      </c>
      <c r="AF2301" s="28">
        <v>1576984000</v>
      </c>
      <c r="AG2301" s="11"/>
    </row>
    <row r="2302">
      <c r="A2302" s="7" t="s">
        <v>3998</v>
      </c>
      <c r="B2302" s="5" t="s">
        <v>11976</v>
      </c>
      <c r="C2302" s="5" t="s">
        <v>19822</v>
      </c>
      <c r="D2302" s="5" t="str">
        <v>402800310292</v>
      </c>
      <c r="E2302" s="0" t="e">
        <f>+7 (910) 7007951
+7 (487) 2563439
+7 (487) 2321673
+7 (487) 2306045
+7 (487) 2321427
+7 (487) 2321430
+7 (487) 2321435
+7 (487) 2321628
+7 (487) 2321720
+7 (487) 2321725
+7 (487) 2321743
+7 (487) 2561647
+7 (495) 7623432</f>
        <v>#NAME?</v>
      </c>
      <c r="F2302" s="5" t="s">
        <v>32272</v>
      </c>
      <c r="G2302" s="5" t="s">
        <v>32273</v>
      </c>
      <c r="H2302" s="26">
        <v>29.5</v>
      </c>
      <c r="I2302" s="5" t="s">
        <v>32274</v>
      </c>
      <c r="J2302" s="5" t="s">
        <v>32275</v>
      </c>
      <c r="K2302" s="5" t="s">
        <v>355</v>
      </c>
      <c r="L2302" s="5"/>
      <c r="M2302" s="27">
        <v>700000</v>
      </c>
      <c r="N2302" s="5" t="s">
        <v>52963</v>
      </c>
      <c r="O2302" s="5" t="str">
        <v>7107003303</v>
      </c>
      <c r="P2302" s="27">
        <v>406867</v>
      </c>
      <c r="Q2302" s="5" t="s">
        <v>49009</v>
      </c>
      <c r="R2302" s="5"/>
      <c r="S2302" s="5" t="s">
        <v>49956</v>
      </c>
      <c r="T2302" s="28"/>
      <c r="U2302" s="28"/>
      <c r="V2302" s="28">
        <v>2924177000</v>
      </c>
      <c r="W2302" s="28">
        <v>906000000</v>
      </c>
      <c r="X2302" s="28">
        <v>3899399000</v>
      </c>
      <c r="Y2302" s="28">
        <v>25590695000</v>
      </c>
      <c r="Z2302" s="28">
        <v>7297388000</v>
      </c>
      <c r="AA2302" s="28">
        <v>5431581000</v>
      </c>
      <c r="AB2302" s="28">
        <v>1692439000</v>
      </c>
      <c r="AC2302" s="28">
        <v>10281301000</v>
      </c>
      <c r="AD2302" s="28">
        <v>8443543000</v>
      </c>
      <c r="AE2302" s="28">
        <v>10631688000</v>
      </c>
      <c r="AF2302" s="28">
        <v>1217308000</v>
      </c>
      <c r="AG2302" s="11"/>
    </row>
    <row r="2303">
      <c r="A2303" s="7" t="s">
        <v>3999</v>
      </c>
      <c r="B2303" s="5" t="s">
        <v>11977</v>
      </c>
      <c r="C2303" s="5" t="s">
        <v>19823</v>
      </c>
      <c r="D2303" s="5" t="str">
        <v>773119131063</v>
      </c>
      <c r="E2303" s="0" t="e">
        <f>+7 (495) 7211919
+7 (963) 7867432</f>
        <v>#NAME?</v>
      </c>
      <c r="F2303" s="5" t="s">
        <v>32276</v>
      </c>
      <c r="G2303" s="5" t="s">
        <v>32277</v>
      </c>
      <c r="H2303" s="26">
        <v>2</v>
      </c>
      <c r="I2303" s="5" t="s">
        <v>32278</v>
      </c>
      <c r="J2303" s="5" t="s">
        <v>32279</v>
      </c>
      <c r="K2303" s="5" t="s">
        <v>344</v>
      </c>
      <c r="L2303" s="5"/>
      <c r="M2303" s="27"/>
      <c r="N2303" s="5"/>
      <c r="O2303" s="5" t="str">
        <v>7743358085</v>
      </c>
      <c r="P2303" s="27">
        <v>1000000</v>
      </c>
      <c r="Q2303" s="5" t="s">
        <v>49021</v>
      </c>
      <c r="R2303" s="5"/>
      <c r="S2303" s="5" t="s">
        <v>50613</v>
      </c>
      <c r="T2303" s="28">
        <v>36039000</v>
      </c>
      <c r="U2303" s="28"/>
      <c r="V2303" s="28">
        <v>1798664000</v>
      </c>
      <c r="W2303" s="28">
        <v>1407218000</v>
      </c>
      <c r="X2303" s="28">
        <v>25401000</v>
      </c>
      <c r="Y2303" s="28">
        <v>6234281000</v>
      </c>
      <c r="Z2303" s="28">
        <v>231486000</v>
      </c>
      <c r="AA2303" s="28">
        <v>59080000</v>
      </c>
      <c r="AB2303" s="28">
        <v>585115000</v>
      </c>
      <c r="AC2303" s="28">
        <v>5821848000</v>
      </c>
      <c r="AD2303" s="28">
        <v>232486000</v>
      </c>
      <c r="AE2303" s="28">
        <v>13587660000</v>
      </c>
      <c r="AF2303" s="28">
        <v>115706000</v>
      </c>
      <c r="AG2303" s="11"/>
    </row>
    <row r="2304">
      <c r="A2304" s="7" t="s">
        <v>4000</v>
      </c>
      <c r="B2304" s="5" t="s">
        <v>11978</v>
      </c>
      <c r="C2304" s="5" t="s">
        <v>19824</v>
      </c>
      <c r="D2304" s="5" t="str">
        <v>482102885157</v>
      </c>
      <c r="E2304" s="0" t="e">
        <f>+7 (495) 2293207
+7 (495) 6293207
+7 (495) 6293208
+7 (495) 6423114
+7 (495) 7753938
+7 (916) 690121</f>
        <v>#NAME?</v>
      </c>
      <c r="F2304" s="5" t="s">
        <v>32280</v>
      </c>
      <c r="G2304" s="5"/>
      <c r="H2304" s="26">
        <v>9.5</v>
      </c>
      <c r="I2304" s="5"/>
      <c r="J2304" s="5" t="s">
        <v>28089</v>
      </c>
      <c r="K2304" s="5" t="s">
        <v>344</v>
      </c>
      <c r="L2304" s="5" t="s">
        <v>32281</v>
      </c>
      <c r="M2304" s="27"/>
      <c r="N2304" s="5"/>
      <c r="O2304" s="5" t="str">
        <v>5047146741</v>
      </c>
      <c r="P2304" s="27">
        <v>590000000</v>
      </c>
      <c r="Q2304" s="5" t="s">
        <v>49009</v>
      </c>
      <c r="R2304" s="5"/>
      <c r="S2304" s="5" t="s">
        <v>50378</v>
      </c>
      <c r="T2304" s="28">
        <v>861275000</v>
      </c>
      <c r="U2304" s="28"/>
      <c r="V2304" s="28">
        <v>455538000</v>
      </c>
      <c r="W2304" s="28"/>
      <c r="X2304" s="28">
        <v>1425422000</v>
      </c>
      <c r="Y2304" s="28">
        <v>4213631000</v>
      </c>
      <c r="Z2304" s="28">
        <v>1853030000</v>
      </c>
      <c r="AA2304" s="28"/>
      <c r="AB2304" s="28"/>
      <c r="AC2304" s="28">
        <v>1491568000</v>
      </c>
      <c r="AD2304" s="28">
        <v>2538676000</v>
      </c>
      <c r="AE2304" s="28">
        <v>6977199000</v>
      </c>
      <c r="AF2304" s="28">
        <v>586669000</v>
      </c>
      <c r="AG2304" s="11"/>
    </row>
    <row r="2305">
      <c r="A2305" s="7" t="s">
        <v>4001</v>
      </c>
      <c r="B2305" s="5" t="s">
        <v>11979</v>
      </c>
      <c r="C2305" s="5" t="s">
        <v>19825</v>
      </c>
      <c r="D2305" s="5" t="str">
        <v>780212089152</v>
      </c>
      <c r="E2305" s="0" t="e">
        <f>+7 (812) 3203059
+7 (812) 3294688
+7 (812) 3203058
+7 (812) 3294648
+7 (812) 3294696
+7 (812) 3294697</f>
        <v>#NAME?</v>
      </c>
      <c r="F2305" s="5" t="s">
        <v>32282</v>
      </c>
      <c r="G2305" s="5" t="s">
        <v>32283</v>
      </c>
      <c r="H2305" s="26">
        <v>19</v>
      </c>
      <c r="I2305" s="5" t="s">
        <v>32284</v>
      </c>
      <c r="J2305" s="5" t="s">
        <v>26511</v>
      </c>
      <c r="K2305" s="5" t="s">
        <v>344</v>
      </c>
      <c r="L2305" s="5" t="s">
        <v>32285</v>
      </c>
      <c r="M2305" s="27"/>
      <c r="N2305" s="5"/>
      <c r="O2305" s="5" t="str">
        <v>7802229528</v>
      </c>
      <c r="P2305" s="27">
        <v>10000</v>
      </c>
      <c r="Q2305" s="5" t="s">
        <v>49009</v>
      </c>
      <c r="R2305" s="5"/>
      <c r="S2305" s="5" t="s">
        <v>49010</v>
      </c>
      <c r="T2305" s="28">
        <v>14853000</v>
      </c>
      <c r="U2305" s="28"/>
      <c r="V2305" s="28">
        <v>915839000</v>
      </c>
      <c r="W2305" s="28">
        <v>91295000</v>
      </c>
      <c r="X2305" s="28">
        <v>5467000</v>
      </c>
      <c r="Y2305" s="28">
        <v>1050260000</v>
      </c>
      <c r="Z2305" s="28">
        <v>60115000</v>
      </c>
      <c r="AA2305" s="28"/>
      <c r="AB2305" s="28">
        <v>12358000</v>
      </c>
      <c r="AC2305" s="28">
        <v>990135000</v>
      </c>
      <c r="AD2305" s="28">
        <v>60125000</v>
      </c>
      <c r="AE2305" s="28">
        <v>4566809000</v>
      </c>
      <c r="AF2305" s="28">
        <v>29705000</v>
      </c>
      <c r="AG2305" s="11"/>
    </row>
    <row r="2306">
      <c r="A2306" s="7" t="s">
        <v>4002</v>
      </c>
      <c r="B2306" s="5" t="s">
        <v>11980</v>
      </c>
      <c r="C2306" s="5" t="s">
        <v>19826</v>
      </c>
      <c r="D2306" s="5"/>
      <c r="F2306" s="5"/>
      <c r="G2306" s="5"/>
      <c r="H2306" s="26">
        <v>5.5</v>
      </c>
      <c r="I2306" s="5" t="s">
        <v>32286</v>
      </c>
      <c r="J2306" s="5" t="s">
        <v>26148</v>
      </c>
      <c r="K2306" s="5" t="s">
        <v>380</v>
      </c>
      <c r="L2306" s="5" t="s">
        <v>32287</v>
      </c>
      <c r="M2306" s="27">
        <v>28370580</v>
      </c>
      <c r="N2306" s="5" t="s">
        <v>49923</v>
      </c>
      <c r="O2306" s="5" t="str">
        <v>5047202308</v>
      </c>
      <c r="P2306" s="27">
        <v>300000000</v>
      </c>
      <c r="Q2306" s="5" t="s">
        <v>49009</v>
      </c>
      <c r="R2306" s="5"/>
      <c r="S2306" s="5" t="s">
        <v>49045</v>
      </c>
      <c r="T2306" s="28">
        <v>59809015000</v>
      </c>
      <c r="U2306" s="28"/>
      <c r="V2306" s="28">
        <v>3792785000</v>
      </c>
      <c r="W2306" s="28"/>
      <c r="X2306" s="28">
        <v>2206245000</v>
      </c>
      <c r="Y2306" s="28">
        <v>69136076000</v>
      </c>
      <c r="Z2306" s="28">
        <v>8223747000</v>
      </c>
      <c r="AA2306" s="28">
        <v>10275573000</v>
      </c>
      <c r="AB2306" s="28">
        <v>16696426000</v>
      </c>
      <c r="AC2306" s="28">
        <v>21178169000</v>
      </c>
      <c r="AD2306" s="28">
        <v>34473747000</v>
      </c>
      <c r="AE2306" s="28">
        <v>17143226000</v>
      </c>
      <c r="AF2306" s="28">
        <v>-1555229000</v>
      </c>
      <c r="AG2306" s="11"/>
    </row>
    <row r="2307">
      <c r="A2307" s="7" t="s">
        <v>4003</v>
      </c>
      <c r="B2307" s="5" t="s">
        <v>11981</v>
      </c>
      <c r="C2307" s="5" t="s">
        <v>19827</v>
      </c>
      <c r="D2307" s="5" t="str">
        <v>920460044572</v>
      </c>
      <c r="F2307" s="5" t="s">
        <v>32288</v>
      </c>
      <c r="G2307" s="5" t="s">
        <v>32289</v>
      </c>
      <c r="H2307" s="26">
        <v>2</v>
      </c>
      <c r="I2307" s="5" t="s">
        <v>32290</v>
      </c>
      <c r="J2307" s="5" t="s">
        <v>25559</v>
      </c>
      <c r="K2307" s="5" t="s">
        <v>344</v>
      </c>
      <c r="L2307" s="5"/>
      <c r="M2307" s="27">
        <v>101723872</v>
      </c>
      <c r="N2307" s="5" t="s">
        <v>51266</v>
      </c>
      <c r="O2307" s="5" t="str">
        <v>9710089401</v>
      </c>
      <c r="P2307" s="27">
        <v>10000</v>
      </c>
      <c r="Q2307" s="5"/>
      <c r="R2307" s="5"/>
      <c r="S2307" s="5" t="s">
        <v>49110</v>
      </c>
      <c r="T2307" s="28">
        <v>4008000</v>
      </c>
      <c r="U2307" s="28"/>
      <c r="V2307" s="28">
        <v>862184000</v>
      </c>
      <c r="W2307" s="28">
        <v>370000000</v>
      </c>
      <c r="X2307" s="28">
        <v>652031000</v>
      </c>
      <c r="Y2307" s="28">
        <v>2594049000</v>
      </c>
      <c r="Z2307" s="28">
        <v>470322000</v>
      </c>
      <c r="AA2307" s="28"/>
      <c r="AB2307" s="28"/>
      <c r="AC2307" s="28">
        <v>2123424000</v>
      </c>
      <c r="AD2307" s="28">
        <v>470332000</v>
      </c>
      <c r="AE2307" s="28">
        <v>5990249000</v>
      </c>
      <c r="AF2307" s="28">
        <v>440986000</v>
      </c>
      <c r="AG2307" s="11"/>
    </row>
    <row r="2308">
      <c r="A2308" s="7" t="s">
        <v>4004</v>
      </c>
      <c r="B2308" s="5" t="s">
        <v>11982</v>
      </c>
      <c r="C2308" s="5" t="s">
        <v>19828</v>
      </c>
      <c r="D2308" s="5" t="str">
        <v>644604117811</v>
      </c>
      <c r="E2308" s="0" t="e">
        <f>+7 (495) 2956052
+7 (499) 4096331
+7 (903) 1904045
+7 (916) 6053310
+7 (926) 8061370</f>
        <v>#NAME?</v>
      </c>
      <c r="F2308" s="5" t="s">
        <v>32291</v>
      </c>
      <c r="G2308" s="5" t="s">
        <v>32292</v>
      </c>
      <c r="H2308" s="26">
        <v>6</v>
      </c>
      <c r="I2308" s="5" t="s">
        <v>32293</v>
      </c>
      <c r="J2308" s="5" t="s">
        <v>373</v>
      </c>
      <c r="K2308" s="5" t="s">
        <v>344</v>
      </c>
      <c r="L2308" s="5" t="s">
        <v>32294</v>
      </c>
      <c r="M2308" s="27"/>
      <c r="N2308" s="5" t="s">
        <v>52964</v>
      </c>
      <c r="O2308" s="5" t="str">
        <v>7707381000</v>
      </c>
      <c r="P2308" s="27">
        <v>10000000</v>
      </c>
      <c r="Q2308" s="5" t="s">
        <v>52965</v>
      </c>
      <c r="R2308" s="5"/>
      <c r="S2308" s="5" t="s">
        <v>52966</v>
      </c>
      <c r="T2308" s="28">
        <v>301731000</v>
      </c>
      <c r="U2308" s="28">
        <v>8000</v>
      </c>
      <c r="V2308" s="28">
        <v>7573211000</v>
      </c>
      <c r="W2308" s="28">
        <v>784096000</v>
      </c>
      <c r="X2308" s="28">
        <v>373392000</v>
      </c>
      <c r="Y2308" s="28">
        <v>9163889000</v>
      </c>
      <c r="Z2308" s="28">
        <v>2180323000</v>
      </c>
      <c r="AA2308" s="28">
        <v>140000000</v>
      </c>
      <c r="AB2308" s="28">
        <v>2853279000</v>
      </c>
      <c r="AC2308" s="28">
        <v>6783973000</v>
      </c>
      <c r="AD2308" s="28">
        <v>2190323000</v>
      </c>
      <c r="AE2308" s="28">
        <v>42913680000</v>
      </c>
      <c r="AF2308" s="28">
        <v>1830433000</v>
      </c>
      <c r="AG2308" s="11"/>
    </row>
    <row r="2309">
      <c r="A2309" s="7" t="s">
        <v>4005</v>
      </c>
      <c r="B2309" s="5" t="s">
        <v>11983</v>
      </c>
      <c r="C2309" s="5" t="s">
        <v>19829</v>
      </c>
      <c r="D2309" s="5" t="str">
        <v>772319054914</v>
      </c>
      <c r="E2309" s="0" t="e">
        <f>+7 (495) 2322787
+7 (903) 7985551</f>
        <v>#NAME?</v>
      </c>
      <c r="F2309" s="5"/>
      <c r="G2309" s="5"/>
      <c r="H2309" s="26">
        <v>11</v>
      </c>
      <c r="I2309" s="5" t="s">
        <v>32295</v>
      </c>
      <c r="J2309" s="5" t="s">
        <v>26846</v>
      </c>
      <c r="K2309" s="5" t="s">
        <v>355</v>
      </c>
      <c r="L2309" s="5" t="s">
        <v>32296</v>
      </c>
      <c r="M2309" s="27">
        <v>5239304415</v>
      </c>
      <c r="N2309" s="5" t="s">
        <v>52967</v>
      </c>
      <c r="O2309" s="5" t="str">
        <v>7721751567</v>
      </c>
      <c r="P2309" s="27">
        <v>18500000</v>
      </c>
      <c r="Q2309" s="5" t="s">
        <v>49579</v>
      </c>
      <c r="R2309" s="5"/>
      <c r="S2309" s="5" t="s">
        <v>49580</v>
      </c>
      <c r="T2309" s="28">
        <v>35089000</v>
      </c>
      <c r="U2309" s="28"/>
      <c r="V2309" s="28">
        <v>2472966000</v>
      </c>
      <c r="W2309" s="28">
        <v>119811000</v>
      </c>
      <c r="X2309" s="28">
        <v>112850000</v>
      </c>
      <c r="Y2309" s="28">
        <v>4828226000</v>
      </c>
      <c r="Z2309" s="28">
        <v>1776983000</v>
      </c>
      <c r="AA2309" s="28"/>
      <c r="AB2309" s="28"/>
      <c r="AC2309" s="28">
        <v>1193908000</v>
      </c>
      <c r="AD2309" s="28">
        <v>3634318000</v>
      </c>
      <c r="AE2309" s="28">
        <v>9584143000</v>
      </c>
      <c r="AF2309" s="28">
        <v>967996000</v>
      </c>
      <c r="AG2309" s="11"/>
    </row>
    <row r="2310">
      <c r="A2310" s="7" t="s">
        <v>4006</v>
      </c>
      <c r="B2310" s="5" t="s">
        <v>11984</v>
      </c>
      <c r="C2310" s="5" t="s">
        <v>19830</v>
      </c>
      <c r="D2310" s="5" t="str">
        <v>500104924988</v>
      </c>
      <c r="E2310" s="0" t="e">
        <f>+7 (495) 2873053
+7 (495) 6656445</f>
        <v>#NAME?</v>
      </c>
      <c r="F2310" s="5" t="s">
        <v>32297</v>
      </c>
      <c r="G2310" s="5"/>
      <c r="H2310" s="26">
        <v>14</v>
      </c>
      <c r="I2310" s="5" t="s">
        <v>32298</v>
      </c>
      <c r="J2310" s="5" t="s">
        <v>1026</v>
      </c>
      <c r="K2310" s="5" t="s">
        <v>344</v>
      </c>
      <c r="L2310" s="5" t="s">
        <v>32299</v>
      </c>
      <c r="M2310" s="27">
        <v>1810114</v>
      </c>
      <c r="N2310" s="5" t="s">
        <v>52968</v>
      </c>
      <c r="O2310" s="5" t="str">
        <v>7718755071</v>
      </c>
      <c r="P2310" s="27">
        <v>200000</v>
      </c>
      <c r="Q2310" s="5" t="s">
        <v>52969</v>
      </c>
      <c r="R2310" s="5"/>
      <c r="S2310" s="5" t="s">
        <v>49361</v>
      </c>
      <c r="T2310" s="28">
        <v>17648000</v>
      </c>
      <c r="U2310" s="28"/>
      <c r="V2310" s="28">
        <v>829558000</v>
      </c>
      <c r="W2310" s="28">
        <v>234900000</v>
      </c>
      <c r="X2310" s="28">
        <v>272128000</v>
      </c>
      <c r="Y2310" s="28">
        <v>3002488000</v>
      </c>
      <c r="Z2310" s="28">
        <v>2621595000</v>
      </c>
      <c r="AA2310" s="28"/>
      <c r="AB2310" s="28"/>
      <c r="AC2310" s="28">
        <v>369874000</v>
      </c>
      <c r="AD2310" s="28">
        <v>2621795000</v>
      </c>
      <c r="AE2310" s="28">
        <v>8934004000</v>
      </c>
      <c r="AF2310" s="28">
        <v>1410557000</v>
      </c>
      <c r="AG2310" s="11"/>
    </row>
    <row r="2311">
      <c r="A2311" s="7" t="s">
        <v>4007</v>
      </c>
      <c r="B2311" s="5" t="s">
        <v>11985</v>
      </c>
      <c r="C2311" s="5" t="s">
        <v>19831</v>
      </c>
      <c r="D2311" s="5" t="str">
        <v>773576577123</v>
      </c>
      <c r="E2311" s="0" t="e">
        <f>+7 (985) 2888884
+7 (495) 7218867
+7 (495) 9933323
+7 (495) 9934181
+7 (495) 9934389
+7 (495) 9936111
+7 (49653) 20211
+7 (49653) 20215
+7 (49653) 20222</f>
        <v>#NAME?</v>
      </c>
      <c r="F2311" s="5" t="s">
        <v>32300</v>
      </c>
      <c r="G2311" s="5" t="s">
        <v>32301</v>
      </c>
      <c r="H2311" s="26">
        <v>25.5</v>
      </c>
      <c r="I2311" s="5" t="s">
        <v>32302</v>
      </c>
      <c r="J2311" s="5" t="s">
        <v>30320</v>
      </c>
      <c r="K2311" s="5" t="s">
        <v>344</v>
      </c>
      <c r="L2311" s="5" t="s">
        <v>32303</v>
      </c>
      <c r="M2311" s="27">
        <v>375461</v>
      </c>
      <c r="N2311" s="5" t="s">
        <v>52970</v>
      </c>
      <c r="O2311" s="5" t="str">
        <v>5038107834</v>
      </c>
      <c r="P2311" s="27">
        <v>3000000</v>
      </c>
      <c r="Q2311" s="5" t="s">
        <v>49009</v>
      </c>
      <c r="R2311" s="5"/>
      <c r="S2311" s="5" t="s">
        <v>52448</v>
      </c>
      <c r="T2311" s="28">
        <v>654125000</v>
      </c>
      <c r="U2311" s="28"/>
      <c r="V2311" s="28">
        <v>759726000</v>
      </c>
      <c r="W2311" s="28"/>
      <c r="X2311" s="28">
        <v>88228000</v>
      </c>
      <c r="Y2311" s="28">
        <v>1569281000</v>
      </c>
      <c r="Z2311" s="28">
        <v>601658000</v>
      </c>
      <c r="AA2311" s="28">
        <v>8572000</v>
      </c>
      <c r="AB2311" s="28"/>
      <c r="AC2311" s="28">
        <v>716210000</v>
      </c>
      <c r="AD2311" s="28">
        <v>761982000</v>
      </c>
      <c r="AE2311" s="28">
        <v>5229998000</v>
      </c>
      <c r="AF2311" s="28">
        <v>150804000</v>
      </c>
      <c r="AG2311" s="11"/>
    </row>
    <row r="2312">
      <c r="A2312" s="7" t="s">
        <v>4008</v>
      </c>
      <c r="B2312" s="5" t="s">
        <v>11986</v>
      </c>
      <c r="C2312" s="5" t="s">
        <v>19826</v>
      </c>
      <c r="D2312" s="5"/>
      <c r="F2312" s="5" t="s">
        <v>32304</v>
      </c>
      <c r="G2312" s="5"/>
      <c r="H2312" s="26">
        <v>5.5</v>
      </c>
      <c r="I2312" s="5" t="s">
        <v>32305</v>
      </c>
      <c r="J2312" s="5" t="s">
        <v>26148</v>
      </c>
      <c r="K2312" s="5" t="s">
        <v>344</v>
      </c>
      <c r="L2312" s="5" t="s">
        <v>32306</v>
      </c>
      <c r="M2312" s="27"/>
      <c r="N2312" s="5" t="s">
        <v>49923</v>
      </c>
      <c r="O2312" s="5" t="str">
        <v>5047202298</v>
      </c>
      <c r="P2312" s="27">
        <v>400000000</v>
      </c>
      <c r="Q2312" s="5" t="s">
        <v>49009</v>
      </c>
      <c r="R2312" s="5"/>
      <c r="S2312" s="5" t="s">
        <v>49045</v>
      </c>
      <c r="T2312" s="28">
        <v>33550502000</v>
      </c>
      <c r="U2312" s="28"/>
      <c r="V2312" s="28">
        <v>2324299000</v>
      </c>
      <c r="W2312" s="28"/>
      <c r="X2312" s="28">
        <v>1992921000</v>
      </c>
      <c r="Y2312" s="28">
        <v>38866332000</v>
      </c>
      <c r="Z2312" s="28">
        <v>1531195000</v>
      </c>
      <c r="AA2312" s="28">
        <v>7301608000</v>
      </c>
      <c r="AB2312" s="28">
        <v>7046739000</v>
      </c>
      <c r="AC2312" s="28">
        <v>9304591000</v>
      </c>
      <c r="AD2312" s="28">
        <v>20581195000</v>
      </c>
      <c r="AE2312" s="28">
        <v>10251693000</v>
      </c>
      <c r="AF2312" s="28">
        <v>-4416370000</v>
      </c>
      <c r="AG2312" s="11"/>
    </row>
    <row r="2313">
      <c r="A2313" s="7" t="s">
        <v>4009</v>
      </c>
      <c r="B2313" s="5" t="s">
        <v>10962</v>
      </c>
      <c r="C2313" s="5" t="s">
        <v>19832</v>
      </c>
      <c r="D2313" s="5" t="str">
        <v>370308701629</v>
      </c>
      <c r="E2313" s="0" t="e">
        <f>+7 (495) 2213311
+7 (495) 7375304
+7 (495) 7375329
+7 (495) 7375330
+7 (800) 7071044
+7 (987) 2904232</f>
        <v>#NAME?</v>
      </c>
      <c r="F2313" s="5"/>
      <c r="G2313" s="5" t="s">
        <v>32307</v>
      </c>
      <c r="H2313" s="26">
        <v>7.5</v>
      </c>
      <c r="I2313" s="5" t="s">
        <v>32308</v>
      </c>
      <c r="J2313" s="5" t="s">
        <v>32309</v>
      </c>
      <c r="K2313" s="5" t="s">
        <v>344</v>
      </c>
      <c r="L2313" s="5"/>
      <c r="M2313" s="27">
        <v>7832750</v>
      </c>
      <c r="N2313" s="5"/>
      <c r="O2313" s="5" t="str">
        <v>5047175485</v>
      </c>
      <c r="P2313" s="27">
        <v>1200000000</v>
      </c>
      <c r="Q2313" s="5" t="s">
        <v>49009</v>
      </c>
      <c r="R2313" s="5"/>
      <c r="S2313" s="5" t="s">
        <v>49010</v>
      </c>
      <c r="T2313" s="28">
        <v>44114000</v>
      </c>
      <c r="U2313" s="28"/>
      <c r="V2313" s="28">
        <v>958056000</v>
      </c>
      <c r="W2313" s="28"/>
      <c r="X2313" s="28">
        <v>3045328000</v>
      </c>
      <c r="Y2313" s="28">
        <v>6787416000</v>
      </c>
      <c r="Z2313" s="28">
        <v>608595000</v>
      </c>
      <c r="AA2313" s="28"/>
      <c r="AB2313" s="28"/>
      <c r="AC2313" s="28">
        <v>2031503000</v>
      </c>
      <c r="AD2313" s="28">
        <v>4708595000</v>
      </c>
      <c r="AE2313" s="28">
        <v>8138081000</v>
      </c>
      <c r="AF2313" s="28">
        <v>61755000</v>
      </c>
      <c r="AG2313" s="11"/>
    </row>
    <row r="2314">
      <c r="A2314" s="7" t="s">
        <v>4010</v>
      </c>
      <c r="B2314" s="5" t="s">
        <v>11987</v>
      </c>
      <c r="C2314" s="5" t="s">
        <v>18460</v>
      </c>
      <c r="D2314" s="5"/>
      <c r="E2314" s="0" t="e">
        <f>+7 (495) 2317702
+7 (39156) 67415
+7 (495) 2620158
+7 (499) 2603020
+7 (499) 2606242
+7 (82149) 32740
+7 (8452) 982322</f>
        <v>#NAME?</v>
      </c>
      <c r="F2314" s="5" t="s">
        <v>32310</v>
      </c>
      <c r="G2314" s="5" t="s">
        <v>32311</v>
      </c>
      <c r="H2314" s="26">
        <v>12</v>
      </c>
      <c r="I2314" s="5"/>
      <c r="J2314" s="5" t="s">
        <v>27397</v>
      </c>
      <c r="K2314" s="5" t="s">
        <v>355</v>
      </c>
      <c r="L2314" s="5"/>
      <c r="M2314" s="27">
        <v>225169527</v>
      </c>
      <c r="N2314" s="5" t="s">
        <v>52971</v>
      </c>
      <c r="O2314" s="5" t="str">
        <v>7708737500</v>
      </c>
      <c r="P2314" s="27">
        <v>7015888061</v>
      </c>
      <c r="Q2314" s="5" t="s">
        <v>52972</v>
      </c>
      <c r="R2314" s="5" t="s">
        <v>52973</v>
      </c>
      <c r="S2314" s="5" t="s">
        <v>52974</v>
      </c>
      <c r="T2314" s="28">
        <v>4081943000</v>
      </c>
      <c r="U2314" s="28">
        <v>2000</v>
      </c>
      <c r="V2314" s="28">
        <v>2489070000</v>
      </c>
      <c r="W2314" s="28">
        <v>69000</v>
      </c>
      <c r="X2314" s="28">
        <v>96608000</v>
      </c>
      <c r="Y2314" s="28">
        <v>12981727000</v>
      </c>
      <c r="Z2314" s="28">
        <v>-5778281000</v>
      </c>
      <c r="AA2314" s="28"/>
      <c r="AB2314" s="28">
        <v>7608175000</v>
      </c>
      <c r="AC2314" s="28">
        <v>11285238000</v>
      </c>
      <c r="AD2314" s="28">
        <v>1483027000</v>
      </c>
      <c r="AE2314" s="28">
        <v>18402617000</v>
      </c>
      <c r="AF2314" s="28">
        <v>-3404495000</v>
      </c>
      <c r="AG2314" s="11"/>
    </row>
    <row r="2315">
      <c r="A2315" s="7" t="s">
        <v>4011</v>
      </c>
      <c r="B2315" s="5" t="s">
        <v>11988</v>
      </c>
      <c r="C2315" s="5" t="s">
        <v>19833</v>
      </c>
      <c r="D2315" s="5" t="str">
        <v>380107494270</v>
      </c>
      <c r="E2315" s="0" t="e">
        <f>+7 (3952) 245879
+7 (3952) 599600
+7 (3952) 792415
+7 (3952) 792416
+7 (3955) 503920
+7 (3955) 599506
+7 (3955) 654534
+7 (914) 8742375
+7 (914) 8952461</f>
        <v>#NAME?</v>
      </c>
      <c r="F2315" s="5" t="s">
        <v>32312</v>
      </c>
      <c r="G2315" s="5" t="s">
        <v>32313</v>
      </c>
      <c r="H2315" s="26">
        <v>16.5</v>
      </c>
      <c r="I2315" s="5" t="s">
        <v>32314</v>
      </c>
      <c r="J2315" s="5" t="s">
        <v>27115</v>
      </c>
      <c r="K2315" s="5" t="s">
        <v>344</v>
      </c>
      <c r="L2315" s="5"/>
      <c r="M2315" s="27">
        <v>427500</v>
      </c>
      <c r="N2315" s="5" t="s">
        <v>52975</v>
      </c>
      <c r="O2315" s="5" t="str">
        <v>3801085210</v>
      </c>
      <c r="P2315" s="27">
        <v>10000</v>
      </c>
      <c r="Q2315" s="5" t="s">
        <v>52976</v>
      </c>
      <c r="R2315" s="5"/>
      <c r="S2315" s="5" t="s">
        <v>52977</v>
      </c>
      <c r="T2315" s="28">
        <v>4904000</v>
      </c>
      <c r="U2315" s="28"/>
      <c r="V2315" s="28">
        <v>694111000</v>
      </c>
      <c r="W2315" s="28">
        <v>28816000</v>
      </c>
      <c r="X2315" s="28">
        <v>9992000</v>
      </c>
      <c r="Y2315" s="28">
        <v>947616000</v>
      </c>
      <c r="Z2315" s="28">
        <v>146572000</v>
      </c>
      <c r="AA2315" s="28"/>
      <c r="AB2315" s="28">
        <v>415172000</v>
      </c>
      <c r="AC2315" s="28">
        <v>800636000</v>
      </c>
      <c r="AD2315" s="28">
        <v>146582000</v>
      </c>
      <c r="AE2315" s="28">
        <v>5754073000</v>
      </c>
      <c r="AF2315" s="28">
        <v>180662000</v>
      </c>
      <c r="AG2315" s="11"/>
    </row>
    <row r="2316">
      <c r="A2316" s="7" t="s">
        <v>4012</v>
      </c>
      <c r="B2316" s="5" t="s">
        <v>11989</v>
      </c>
      <c r="C2316" s="5" t="s">
        <v>19834</v>
      </c>
      <c r="D2316" s="5" t="str">
        <v>771508334256</v>
      </c>
      <c r="E2316" s="0" t="e">
        <f>+7 (495) 4105220
+7 (916) 8620812
+7 (903) 2618081
+7 (905) 7737124</f>
        <v>#NAME?</v>
      </c>
      <c r="F2316" s="5" t="s">
        <v>32315</v>
      </c>
      <c r="G2316" s="5" t="s">
        <v>32316</v>
      </c>
      <c r="H2316" s="26">
        <v>12.5</v>
      </c>
      <c r="I2316" s="5" t="s">
        <v>32317</v>
      </c>
      <c r="J2316" s="5" t="s">
        <v>30277</v>
      </c>
      <c r="K2316" s="5" t="s">
        <v>344</v>
      </c>
      <c r="L2316" s="5" t="s">
        <v>32318</v>
      </c>
      <c r="M2316" s="27"/>
      <c r="N2316" s="5" t="s">
        <v>52978</v>
      </c>
      <c r="O2316" s="5" t="str">
        <v>5009076042</v>
      </c>
      <c r="P2316" s="27">
        <v>13800000</v>
      </c>
      <c r="Q2316" s="5" t="s">
        <v>52979</v>
      </c>
      <c r="R2316" s="5"/>
      <c r="S2316" s="5" t="s">
        <v>52980</v>
      </c>
      <c r="T2316" s="28">
        <v>297254000</v>
      </c>
      <c r="U2316" s="28"/>
      <c r="V2316" s="28">
        <v>489019000</v>
      </c>
      <c r="W2316" s="28"/>
      <c r="X2316" s="28">
        <v>258167000</v>
      </c>
      <c r="Y2316" s="28">
        <v>2230604000</v>
      </c>
      <c r="Z2316" s="28">
        <v>788556000</v>
      </c>
      <c r="AA2316" s="28">
        <v>942000</v>
      </c>
      <c r="AB2316" s="28"/>
      <c r="AC2316" s="28">
        <v>1377517000</v>
      </c>
      <c r="AD2316" s="28">
        <v>809231000</v>
      </c>
      <c r="AE2316" s="28">
        <v>4101629000</v>
      </c>
      <c r="AF2316" s="28">
        <v>402003000</v>
      </c>
      <c r="AG2316" s="11"/>
    </row>
    <row r="2317">
      <c r="A2317" s="7" t="s">
        <v>4013</v>
      </c>
      <c r="B2317" s="5" t="s">
        <v>11990</v>
      </c>
      <c r="C2317" s="5" t="s">
        <v>19835</v>
      </c>
      <c r="D2317" s="5" t="str">
        <v>402300112670</v>
      </c>
      <c r="E2317" s="0" t="e">
        <f>+7 (3022) 200501
+7 (3022) 208273
+7 (3022) 339160
+7 (3432) 169656
+7 (3433) 690000
+7 (3517) 785175
+7 (383) 3031787
+7 (383) 3042488
+7 (391) 2050920
+7 (391) 2555777
+7 (4232) 682033
+7 (472) 2421002
+7 (4725) 325498
+7 (473) 2201551
+7 (473) 2303484</f>
        <v>#NAME?</v>
      </c>
      <c r="F2317" s="5" t="s">
        <v>32319</v>
      </c>
      <c r="G2317" s="5" t="s">
        <v>32320</v>
      </c>
      <c r="H2317" s="26">
        <v>30.5</v>
      </c>
      <c r="I2317" s="5"/>
      <c r="J2317" s="5" t="s">
        <v>32321</v>
      </c>
      <c r="K2317" s="5" t="s">
        <v>344</v>
      </c>
      <c r="L2317" s="5" t="s">
        <v>32322</v>
      </c>
      <c r="M2317" s="27"/>
      <c r="N2317" s="5"/>
      <c r="O2317" s="5" t="str">
        <v>4023002516</v>
      </c>
      <c r="P2317" s="27">
        <v>509285</v>
      </c>
      <c r="Q2317" s="5" t="s">
        <v>49009</v>
      </c>
      <c r="R2317" s="5"/>
      <c r="S2317" s="5" t="s">
        <v>49028</v>
      </c>
      <c r="T2317" s="28">
        <v>1306780000</v>
      </c>
      <c r="U2317" s="28">
        <v>103345000</v>
      </c>
      <c r="V2317" s="28">
        <v>641659000</v>
      </c>
      <c r="W2317" s="28">
        <v>1540655000</v>
      </c>
      <c r="X2317" s="28">
        <v>3460740000</v>
      </c>
      <c r="Y2317" s="28">
        <v>8157647000</v>
      </c>
      <c r="Z2317" s="28">
        <v>7665267000</v>
      </c>
      <c r="AA2317" s="28"/>
      <c r="AB2317" s="28"/>
      <c r="AC2317" s="28">
        <v>240558000</v>
      </c>
      <c r="AD2317" s="28">
        <v>7713108000</v>
      </c>
      <c r="AE2317" s="28">
        <v>4041344000</v>
      </c>
      <c r="AF2317" s="28">
        <v>1179143000</v>
      </c>
      <c r="AG2317" s="11"/>
    </row>
    <row r="2318">
      <c r="A2318" s="7" t="s">
        <v>4014</v>
      </c>
      <c r="B2318" s="5" t="s">
        <v>11991</v>
      </c>
      <c r="C2318" s="5" t="s">
        <v>19836</v>
      </c>
      <c r="D2318" s="5" t="str">
        <v>771577233192</v>
      </c>
      <c r="E2318" s="0" t="e">
        <f>+7 (843) 5265888
+7 (383) 3340050
+7 (383) 3340055
+7 (495) 5437300
+7 (495) 7758240
+7 (499) 1107300
+7 (499) 7032477
+7 (499) 7034700
+7 (916) 1140452</f>
        <v>#NAME?</v>
      </c>
      <c r="F2318" s="5" t="s">
        <v>32323</v>
      </c>
      <c r="G2318" s="5" t="s">
        <v>32324</v>
      </c>
      <c r="H2318" s="26">
        <v>14.5</v>
      </c>
      <c r="I2318" s="5" t="s">
        <v>32325</v>
      </c>
      <c r="J2318" s="5" t="s">
        <v>641</v>
      </c>
      <c r="K2318" s="5" t="s">
        <v>344</v>
      </c>
      <c r="L2318" s="5" t="s">
        <v>32326</v>
      </c>
      <c r="M2318" s="27"/>
      <c r="N2318" s="5" t="s">
        <v>52981</v>
      </c>
      <c r="O2318" s="5" t="str">
        <v>7703668281</v>
      </c>
      <c r="P2318" s="27">
        <v>111111</v>
      </c>
      <c r="Q2318" s="5" t="s">
        <v>52982</v>
      </c>
      <c r="R2318" s="5"/>
      <c r="S2318" s="5" t="s">
        <v>52983</v>
      </c>
      <c r="T2318" s="28">
        <v>15234000</v>
      </c>
      <c r="U2318" s="28">
        <v>761585000</v>
      </c>
      <c r="V2318" s="28">
        <v>2432925000</v>
      </c>
      <c r="W2318" s="28"/>
      <c r="X2318" s="28">
        <v>1653200000</v>
      </c>
      <c r="Y2318" s="28">
        <v>5498275000</v>
      </c>
      <c r="Z2318" s="28">
        <v>2565521000</v>
      </c>
      <c r="AA2318" s="28"/>
      <c r="AB2318" s="28">
        <v>23056000</v>
      </c>
      <c r="AC2318" s="28">
        <v>2686878000</v>
      </c>
      <c r="AD2318" s="28">
        <v>2795632000</v>
      </c>
      <c r="AE2318" s="28">
        <v>10677901000</v>
      </c>
      <c r="AF2318" s="28">
        <v>263527000</v>
      </c>
      <c r="AG2318" s="11"/>
    </row>
    <row r="2319">
      <c r="A2319" s="7" t="s">
        <v>4015</v>
      </c>
      <c r="B2319" s="5" t="s">
        <v>11992</v>
      </c>
      <c r="C2319" s="5" t="s">
        <v>19837</v>
      </c>
      <c r="D2319" s="5" t="str">
        <v>773100819603</v>
      </c>
      <c r="E2319" s="0" t="e">
        <f>+7 (495) 2521092
+7 (499) 4041746
+7 (925) 8093650</f>
        <v>#NAME?</v>
      </c>
      <c r="F2319" s="5"/>
      <c r="G2319" s="5"/>
      <c r="H2319" s="26">
        <v>6.5</v>
      </c>
      <c r="I2319" s="5" t="s">
        <v>32327</v>
      </c>
      <c r="J2319" s="5" t="s">
        <v>26198</v>
      </c>
      <c r="K2319" s="5" t="s">
        <v>344</v>
      </c>
      <c r="L2319" s="5"/>
      <c r="M2319" s="27"/>
      <c r="N2319" s="5"/>
      <c r="O2319" s="5" t="str">
        <v>7714407500</v>
      </c>
      <c r="P2319" s="27">
        <v>100000000</v>
      </c>
      <c r="Q2319" s="5" t="s">
        <v>52984</v>
      </c>
      <c r="R2319" s="5"/>
      <c r="S2319" s="5" t="s">
        <v>49053</v>
      </c>
      <c r="T2319" s="28">
        <v>76944000</v>
      </c>
      <c r="U2319" s="28"/>
      <c r="V2319" s="28">
        <v>1237861000</v>
      </c>
      <c r="W2319" s="28"/>
      <c r="X2319" s="28">
        <v>7415000</v>
      </c>
      <c r="Y2319" s="28">
        <v>1756021000</v>
      </c>
      <c r="Z2319" s="28">
        <v>106054000</v>
      </c>
      <c r="AA2319" s="28"/>
      <c r="AB2319" s="28">
        <v>471801000</v>
      </c>
      <c r="AC2319" s="28">
        <v>1048315000</v>
      </c>
      <c r="AD2319" s="28">
        <v>605681000</v>
      </c>
      <c r="AE2319" s="28">
        <v>4051764000</v>
      </c>
      <c r="AF2319" s="28">
        <v>-128428000</v>
      </c>
      <c r="AG2319" s="11"/>
    </row>
    <row r="2320">
      <c r="A2320" s="7" t="s">
        <v>4016</v>
      </c>
      <c r="B2320" s="5" t="s">
        <v>11993</v>
      </c>
      <c r="C2320" s="5" t="s">
        <v>19838</v>
      </c>
      <c r="D2320" s="5"/>
      <c r="E2320" s="0" t="e">
        <f>+7 (495) 2879090</f>
        <v>#NAME?</v>
      </c>
      <c r="F2320" s="5" t="s">
        <v>32328</v>
      </c>
      <c r="G2320" s="5"/>
      <c r="H2320" s="26">
        <v>20</v>
      </c>
      <c r="I2320" s="5" t="s">
        <v>32329</v>
      </c>
      <c r="J2320" s="5" t="s">
        <v>678</v>
      </c>
      <c r="K2320" s="5" t="s">
        <v>355</v>
      </c>
      <c r="L2320" s="5" t="s">
        <v>32330</v>
      </c>
      <c r="M2320" s="27">
        <v>6480100</v>
      </c>
      <c r="N2320" s="5"/>
      <c r="O2320" s="5" t="str">
        <v>7730160881</v>
      </c>
      <c r="P2320" s="27">
        <v>12000000</v>
      </c>
      <c r="Q2320" s="5" t="s">
        <v>49021</v>
      </c>
      <c r="R2320" s="5"/>
      <c r="S2320" s="5" t="s">
        <v>52985</v>
      </c>
      <c r="T2320" s="28"/>
      <c r="U2320" s="28"/>
      <c r="V2320" s="28">
        <v>2837309000</v>
      </c>
      <c r="W2320" s="28"/>
      <c r="X2320" s="28">
        <v>73737000</v>
      </c>
      <c r="Y2320" s="28">
        <v>3318848000</v>
      </c>
      <c r="Z2320" s="28">
        <v>2074173000</v>
      </c>
      <c r="AA2320" s="28"/>
      <c r="AB2320" s="28">
        <v>529429000</v>
      </c>
      <c r="AC2320" s="28">
        <v>1147251000</v>
      </c>
      <c r="AD2320" s="28">
        <v>2086173000</v>
      </c>
      <c r="AE2320" s="28">
        <v>17684559000</v>
      </c>
      <c r="AF2320" s="28">
        <v>1030747000</v>
      </c>
      <c r="AG2320" s="11"/>
    </row>
    <row r="2321">
      <c r="A2321" s="7" t="s">
        <v>4017</v>
      </c>
      <c r="B2321" s="5" t="s">
        <v>11994</v>
      </c>
      <c r="C2321" s="5" t="s">
        <v>19839</v>
      </c>
      <c r="D2321" s="5" t="str">
        <v>564202432637</v>
      </c>
      <c r="F2321" s="5"/>
      <c r="G2321" s="5"/>
      <c r="H2321" s="26">
        <v>10.5</v>
      </c>
      <c r="I2321" s="5" t="s">
        <v>32331</v>
      </c>
      <c r="J2321" s="5" t="s">
        <v>25327</v>
      </c>
      <c r="K2321" s="5" t="s">
        <v>344</v>
      </c>
      <c r="L2321" s="5" t="s">
        <v>32332</v>
      </c>
      <c r="M2321" s="27"/>
      <c r="N2321" s="5"/>
      <c r="O2321" s="5" t="str">
        <v>5609087920</v>
      </c>
      <c r="P2321" s="27">
        <v>20000</v>
      </c>
      <c r="Q2321" s="5" t="s">
        <v>49057</v>
      </c>
      <c r="R2321" s="5"/>
      <c r="S2321" s="5" t="s">
        <v>49452</v>
      </c>
      <c r="T2321" s="28">
        <v>187000</v>
      </c>
      <c r="U2321" s="28">
        <v>2800000</v>
      </c>
      <c r="V2321" s="28">
        <v>2071524000</v>
      </c>
      <c r="W2321" s="28">
        <v>581409000</v>
      </c>
      <c r="X2321" s="28">
        <v>9860000</v>
      </c>
      <c r="Y2321" s="28">
        <v>2789729000</v>
      </c>
      <c r="Z2321" s="28">
        <v>1912126000</v>
      </c>
      <c r="AA2321" s="28"/>
      <c r="AB2321" s="28"/>
      <c r="AC2321" s="28">
        <v>877583000</v>
      </c>
      <c r="AD2321" s="28">
        <v>1912146000</v>
      </c>
      <c r="AE2321" s="28">
        <v>20041009000</v>
      </c>
      <c r="AF2321" s="28">
        <v>289507000</v>
      </c>
      <c r="AG2321" s="11"/>
    </row>
    <row r="2322">
      <c r="A2322" s="7" t="s">
        <v>4018</v>
      </c>
      <c r="B2322" s="5" t="s">
        <v>11995</v>
      </c>
      <c r="C2322" s="5" t="s">
        <v>19840</v>
      </c>
      <c r="D2322" s="5" t="str">
        <v>503501999706</v>
      </c>
      <c r="F2322" s="5"/>
      <c r="G2322" s="5"/>
      <c r="H2322" s="26">
        <v>11</v>
      </c>
      <c r="I2322" s="5" t="s">
        <v>32333</v>
      </c>
      <c r="J2322" s="5" t="s">
        <v>32334</v>
      </c>
      <c r="K2322" s="5" t="s">
        <v>344</v>
      </c>
      <c r="L2322" s="5" t="s">
        <v>32335</v>
      </c>
      <c r="M2322" s="27"/>
      <c r="N2322" s="5"/>
      <c r="O2322" s="5" t="str">
        <v>3704006406</v>
      </c>
      <c r="P2322" s="27">
        <v>21500000</v>
      </c>
      <c r="Q2322" s="5" t="s">
        <v>52260</v>
      </c>
      <c r="R2322" s="5"/>
      <c r="S2322" s="5" t="s">
        <v>52986</v>
      </c>
      <c r="T2322" s="28">
        <v>358264000</v>
      </c>
      <c r="U2322" s="28"/>
      <c r="V2322" s="28">
        <v>355009000</v>
      </c>
      <c r="W2322" s="28">
        <v>216206000</v>
      </c>
      <c r="X2322" s="28">
        <v>116405000</v>
      </c>
      <c r="Y2322" s="28">
        <v>1891651000</v>
      </c>
      <c r="Z2322" s="28">
        <v>231525000</v>
      </c>
      <c r="AA2322" s="28"/>
      <c r="AB2322" s="28">
        <v>100000000</v>
      </c>
      <c r="AC2322" s="28">
        <v>1556531000</v>
      </c>
      <c r="AD2322" s="28">
        <v>253025000</v>
      </c>
      <c r="AE2322" s="28">
        <v>5191601000</v>
      </c>
      <c r="AF2322" s="28">
        <v>29451000</v>
      </c>
      <c r="AG2322" s="11"/>
    </row>
    <row r="2323">
      <c r="A2323" s="7" t="s">
        <v>4019</v>
      </c>
      <c r="B2323" s="5" t="s">
        <v>11996</v>
      </c>
      <c r="C2323" s="5" t="s">
        <v>19841</v>
      </c>
      <c r="D2323" s="5" t="str">
        <v>253812412515</v>
      </c>
      <c r="E2323" s="0" t="e">
        <f>+7 (4232) 702609
+7 (914) 6520620</f>
        <v>#NAME?</v>
      </c>
      <c r="F2323" s="5" t="s">
        <v>32336</v>
      </c>
      <c r="G2323" s="5"/>
      <c r="H2323" s="26">
        <v>10.5</v>
      </c>
      <c r="I2323" s="5" t="s">
        <v>32337</v>
      </c>
      <c r="J2323" s="5" t="s">
        <v>373</v>
      </c>
      <c r="K2323" s="5" t="s">
        <v>344</v>
      </c>
      <c r="L2323" s="5" t="s">
        <v>32338</v>
      </c>
      <c r="M2323" s="27"/>
      <c r="N2323" s="5" t="s">
        <v>52987</v>
      </c>
      <c r="O2323" s="5" t="str">
        <v>2543013630</v>
      </c>
      <c r="P2323" s="27">
        <v>100000</v>
      </c>
      <c r="Q2323" s="5" t="s">
        <v>52988</v>
      </c>
      <c r="R2323" s="5"/>
      <c r="S2323" s="5" t="s">
        <v>52989</v>
      </c>
      <c r="T2323" s="28">
        <v>111544000</v>
      </c>
      <c r="U2323" s="28"/>
      <c r="V2323" s="28">
        <v>684504000</v>
      </c>
      <c r="W2323" s="28"/>
      <c r="X2323" s="28">
        <v>41559000</v>
      </c>
      <c r="Y2323" s="28">
        <v>1202921000</v>
      </c>
      <c r="Z2323" s="28">
        <v>377525000</v>
      </c>
      <c r="AA2323" s="28">
        <v>353069000</v>
      </c>
      <c r="AB2323" s="28">
        <v>379125000</v>
      </c>
      <c r="AC2323" s="28">
        <v>469971000</v>
      </c>
      <c r="AD2323" s="28">
        <v>377625000</v>
      </c>
      <c r="AE2323" s="28">
        <v>6406872000</v>
      </c>
      <c r="AF2323" s="28">
        <v>396642000</v>
      </c>
      <c r="AG2323" s="11"/>
    </row>
    <row r="2324">
      <c r="A2324" s="7" t="s">
        <v>4020</v>
      </c>
      <c r="B2324" s="5" t="s">
        <v>11997</v>
      </c>
      <c r="C2324" s="5" t="s">
        <v>19842</v>
      </c>
      <c r="D2324" s="5" t="str">
        <v>782540307840</v>
      </c>
      <c r="E2324" s="0" t="e">
        <f>+7 (800) 7000050
+7 (812) 2350636
+7 (812) 3130101
+7 (812) 4487722
+7 (812) 4491568
+7 (812) 4491569
+7 (812) 4491570
+7 (962) 6868185</f>
        <v>#NAME?</v>
      </c>
      <c r="F2324" s="5" t="s">
        <v>32339</v>
      </c>
      <c r="G2324" s="5" t="s">
        <v>32340</v>
      </c>
      <c r="H2324" s="26">
        <v>13.5</v>
      </c>
      <c r="I2324" s="5" t="s">
        <v>32341</v>
      </c>
      <c r="J2324" s="5" t="s">
        <v>32342</v>
      </c>
      <c r="K2324" s="5" t="s">
        <v>355</v>
      </c>
      <c r="L2324" s="5" t="s">
        <v>32343</v>
      </c>
      <c r="M2324" s="27"/>
      <c r="N2324" s="5"/>
      <c r="O2324" s="5" t="str">
        <v>7813450665</v>
      </c>
      <c r="P2324" s="27">
        <v>10000</v>
      </c>
      <c r="Q2324" s="5"/>
      <c r="R2324" s="5"/>
      <c r="S2324" s="5" t="s">
        <v>49110</v>
      </c>
      <c r="T2324" s="28">
        <v>286709000</v>
      </c>
      <c r="U2324" s="28"/>
      <c r="V2324" s="28">
        <v>485359000</v>
      </c>
      <c r="W2324" s="28"/>
      <c r="X2324" s="28">
        <v>138373000</v>
      </c>
      <c r="Y2324" s="28">
        <v>2283850000</v>
      </c>
      <c r="Z2324" s="28">
        <v>902689000</v>
      </c>
      <c r="AA2324" s="28"/>
      <c r="AB2324" s="28">
        <v>299084000</v>
      </c>
      <c r="AC2324" s="28">
        <v>746106000</v>
      </c>
      <c r="AD2324" s="28">
        <v>1268699000</v>
      </c>
      <c r="AE2324" s="28">
        <v>6779880000</v>
      </c>
      <c r="AF2324" s="28">
        <v>206391000</v>
      </c>
      <c r="AG2324" s="11"/>
    </row>
    <row r="2325">
      <c r="A2325" s="7" t="s">
        <v>4021</v>
      </c>
      <c r="B2325" s="5" t="s">
        <v>11998</v>
      </c>
      <c r="C2325" s="5" t="s">
        <v>19843</v>
      </c>
      <c r="D2325" s="5" t="str">
        <v>502911450883</v>
      </c>
      <c r="E2325" s="0" t="e">
        <f>+7 (495) 2589928
+7 (815) 2451730
+7 (815) 2451731
+7 (815) 2685025
+7 (81553) 93467</f>
        <v>#NAME?</v>
      </c>
      <c r="F2325" s="5" t="s">
        <v>32344</v>
      </c>
      <c r="G2325" s="5"/>
      <c r="H2325" s="26">
        <v>16</v>
      </c>
      <c r="I2325" s="5" t="s">
        <v>32345</v>
      </c>
      <c r="J2325" s="5" t="s">
        <v>32346</v>
      </c>
      <c r="K2325" s="5" t="s">
        <v>344</v>
      </c>
      <c r="L2325" s="5" t="s">
        <v>32347</v>
      </c>
      <c r="M2325" s="27"/>
      <c r="N2325" s="5" t="s">
        <v>52990</v>
      </c>
      <c r="O2325" s="5" t="str">
        <v>7722607816</v>
      </c>
      <c r="P2325" s="27">
        <v>5636018493</v>
      </c>
      <c r="Q2325" s="5" t="s">
        <v>49021</v>
      </c>
      <c r="R2325" s="5"/>
      <c r="S2325" s="5" t="s">
        <v>52991</v>
      </c>
      <c r="T2325" s="28">
        <v>10260713000</v>
      </c>
      <c r="U2325" s="28">
        <v>1918875000</v>
      </c>
      <c r="V2325" s="28">
        <v>7089223000</v>
      </c>
      <c r="W2325" s="28">
        <v>45611000</v>
      </c>
      <c r="X2325" s="28">
        <v>321808000</v>
      </c>
      <c r="Y2325" s="28">
        <v>35594161000</v>
      </c>
      <c r="Z2325" s="28">
        <v>12709666000</v>
      </c>
      <c r="AA2325" s="28">
        <v>8817401000</v>
      </c>
      <c r="AB2325" s="28">
        <v>5061591000</v>
      </c>
      <c r="AC2325" s="28">
        <v>8121461000</v>
      </c>
      <c r="AD2325" s="28">
        <v>18345684000</v>
      </c>
      <c r="AE2325" s="28">
        <v>23810483000</v>
      </c>
      <c r="AF2325" s="28">
        <v>10702834000</v>
      </c>
      <c r="AG2325" s="11"/>
    </row>
    <row r="2326">
      <c r="A2326" s="7" t="s">
        <v>4022</v>
      </c>
      <c r="B2326" s="5" t="s">
        <v>11999</v>
      </c>
      <c r="C2326" s="5" t="s">
        <v>19843</v>
      </c>
      <c r="D2326" s="5" t="str">
        <v>502911450883</v>
      </c>
      <c r="E2326" s="0" t="e">
        <f>+7 (495) 7757661
+7 (495) 2589928
+7 (495) 6489368</f>
        <v>#NAME?</v>
      </c>
      <c r="F2326" s="5" t="s">
        <v>32348</v>
      </c>
      <c r="G2326" s="5"/>
      <c r="H2326" s="26">
        <v>15</v>
      </c>
      <c r="I2326" s="5"/>
      <c r="J2326" s="5" t="s">
        <v>25376</v>
      </c>
      <c r="K2326" s="5" t="s">
        <v>344</v>
      </c>
      <c r="L2326" s="5"/>
      <c r="M2326" s="27"/>
      <c r="N2326" s="5"/>
      <c r="O2326" s="5" t="str">
        <v>7816430057</v>
      </c>
      <c r="P2326" s="27">
        <v>8787664900</v>
      </c>
      <c r="Q2326" s="5" t="s">
        <v>49009</v>
      </c>
      <c r="R2326" s="5"/>
      <c r="S2326" s="5" t="s">
        <v>49010</v>
      </c>
      <c r="T2326" s="28">
        <v>7678000</v>
      </c>
      <c r="U2326" s="28">
        <v>10762546000</v>
      </c>
      <c r="V2326" s="28">
        <v>2230181000</v>
      </c>
      <c r="W2326" s="28">
        <v>4138000</v>
      </c>
      <c r="X2326" s="28">
        <v>781000</v>
      </c>
      <c r="Y2326" s="28">
        <v>13009763000</v>
      </c>
      <c r="Z2326" s="28">
        <v>594282000</v>
      </c>
      <c r="AA2326" s="28">
        <v>2999500000</v>
      </c>
      <c r="AB2326" s="28">
        <v>90771000</v>
      </c>
      <c r="AC2326" s="28">
        <v>188933000</v>
      </c>
      <c r="AD2326" s="28">
        <v>9821330000</v>
      </c>
      <c r="AE2326" s="28">
        <v>3777335000</v>
      </c>
      <c r="AF2326" s="28">
        <v>3519516000</v>
      </c>
      <c r="AG2326" s="11"/>
    </row>
    <row r="2327">
      <c r="A2327" s="7" t="s">
        <v>4023</v>
      </c>
      <c r="B2327" s="5" t="s">
        <v>10248</v>
      </c>
      <c r="C2327" s="5" t="s">
        <v>19844</v>
      </c>
      <c r="D2327" s="5" t="str">
        <v>550722222368</v>
      </c>
      <c r="E2327" s="0" t="e">
        <f>+7 (495) 9602361
+7 (8342) 293424
+7 (916) 9668312</f>
        <v>#NAME?</v>
      </c>
      <c r="F2327" s="5" t="s">
        <v>32349</v>
      </c>
      <c r="G2327" s="5"/>
      <c r="H2327" s="26">
        <v>13</v>
      </c>
      <c r="I2327" s="5" t="s">
        <v>32350</v>
      </c>
      <c r="J2327" s="5" t="s">
        <v>27906</v>
      </c>
      <c r="K2327" s="5" t="s">
        <v>344</v>
      </c>
      <c r="L2327" s="5" t="s">
        <v>32351</v>
      </c>
      <c r="M2327" s="27"/>
      <c r="N2327" s="5"/>
      <c r="O2327" s="5" t="str">
        <v>5020061191</v>
      </c>
      <c r="P2327" s="27">
        <v>10000</v>
      </c>
      <c r="Q2327" s="5"/>
      <c r="R2327" s="5"/>
      <c r="S2327" s="5" t="s">
        <v>49029</v>
      </c>
      <c r="T2327" s="28">
        <v>631269000</v>
      </c>
      <c r="U2327" s="28"/>
      <c r="V2327" s="28">
        <v>533069000</v>
      </c>
      <c r="W2327" s="28"/>
      <c r="X2327" s="28">
        <v>524395000</v>
      </c>
      <c r="Y2327" s="28">
        <v>4946595000</v>
      </c>
      <c r="Z2327" s="28">
        <v>3445248000</v>
      </c>
      <c r="AA2327" s="28"/>
      <c r="AB2327" s="28">
        <v>372871000</v>
      </c>
      <c r="AC2327" s="28">
        <v>1430879000</v>
      </c>
      <c r="AD2327" s="28">
        <v>3452526000</v>
      </c>
      <c r="AE2327" s="28">
        <v>4608057000</v>
      </c>
      <c r="AF2327" s="28">
        <v>1088358000</v>
      </c>
      <c r="AG2327" s="11"/>
    </row>
    <row r="2328">
      <c r="A2328" s="7" t="s">
        <v>4024</v>
      </c>
      <c r="B2328" s="5" t="s">
        <v>12000</v>
      </c>
      <c r="C2328" s="5" t="s">
        <v>19845</v>
      </c>
      <c r="D2328" s="5" t="str">
        <v>760404911817</v>
      </c>
      <c r="E2328" s="0" t="e">
        <f>+7 (495) 1081857
+7 (903) 1923223
+7 (916) 6427347
+7 (926) 2050042
+7 (985) 7670033</f>
        <v>#NAME?</v>
      </c>
      <c r="F2328" s="5" t="s">
        <v>32352</v>
      </c>
      <c r="G2328" s="5" t="s">
        <v>32353</v>
      </c>
      <c r="H2328" s="26">
        <v>7</v>
      </c>
      <c r="I2328" s="5" t="s">
        <v>32354</v>
      </c>
      <c r="J2328" s="5" t="s">
        <v>25199</v>
      </c>
      <c r="K2328" s="5" t="s">
        <v>344</v>
      </c>
      <c r="L2328" s="5" t="s">
        <v>32355</v>
      </c>
      <c r="M2328" s="27"/>
      <c r="N2328" s="5" t="s">
        <v>52992</v>
      </c>
      <c r="O2328" s="5" t="str">
        <v>7736266450</v>
      </c>
      <c r="P2328" s="27">
        <v>10000</v>
      </c>
      <c r="Q2328" s="5" t="s">
        <v>49009</v>
      </c>
      <c r="R2328" s="5"/>
      <c r="S2328" s="5" t="s">
        <v>49028</v>
      </c>
      <c r="T2328" s="28">
        <v>11616000</v>
      </c>
      <c r="U2328" s="28"/>
      <c r="V2328" s="28">
        <v>183926000</v>
      </c>
      <c r="W2328" s="28"/>
      <c r="X2328" s="28">
        <v>189161000</v>
      </c>
      <c r="Y2328" s="28">
        <v>4793085000</v>
      </c>
      <c r="Z2328" s="28">
        <v>1907021000</v>
      </c>
      <c r="AA2328" s="28">
        <v>2250000000</v>
      </c>
      <c r="AB2328" s="28"/>
      <c r="AC2328" s="28">
        <v>626923000</v>
      </c>
      <c r="AD2328" s="28">
        <v>1907031000</v>
      </c>
      <c r="AE2328" s="28">
        <v>21353448000</v>
      </c>
      <c r="AF2328" s="28">
        <v>944477000</v>
      </c>
      <c r="AG2328" s="11"/>
    </row>
    <row r="2329">
      <c r="A2329" s="7" t="s">
        <v>4025</v>
      </c>
      <c r="B2329" s="5" t="s">
        <v>12001</v>
      </c>
      <c r="C2329" s="5" t="s">
        <v>19846</v>
      </c>
      <c r="D2329" s="5" t="str">
        <v>463208173342</v>
      </c>
      <c r="E2329" s="0" t="e">
        <f>+7 (48438) 64699
+7 (48438) 64711
+7 (48438) 64906
+7 (48438) 64920
+7 (48438) 64921
+7 (48438) 64982
+7 (48438) 69902
+7 (48438) 69903
+7 (920) 8735500</f>
        <v>#NAME?</v>
      </c>
      <c r="F2329" s="5" t="s">
        <v>32356</v>
      </c>
      <c r="G2329" s="5"/>
      <c r="H2329" s="26">
        <v>18</v>
      </c>
      <c r="I2329" s="5"/>
      <c r="J2329" s="5" t="s">
        <v>26887</v>
      </c>
      <c r="K2329" s="5" t="s">
        <v>344</v>
      </c>
      <c r="L2329" s="5" t="s">
        <v>32357</v>
      </c>
      <c r="M2329" s="27">
        <v>1228170</v>
      </c>
      <c r="N2329" s="5"/>
      <c r="O2329" s="5" t="str">
        <v>4003037648</v>
      </c>
      <c r="P2329" s="27">
        <v>10000</v>
      </c>
      <c r="Q2329" s="5" t="s">
        <v>49009</v>
      </c>
      <c r="R2329" s="5"/>
      <c r="S2329" s="5" t="s">
        <v>49066</v>
      </c>
      <c r="T2329" s="28">
        <v>714048000</v>
      </c>
      <c r="U2329" s="28"/>
      <c r="V2329" s="28">
        <v>1554124000</v>
      </c>
      <c r="W2329" s="28">
        <v>230000</v>
      </c>
      <c r="X2329" s="28">
        <v>1358945000</v>
      </c>
      <c r="Y2329" s="28">
        <v>4895451000</v>
      </c>
      <c r="Z2329" s="28">
        <v>2043431000</v>
      </c>
      <c r="AA2329" s="28"/>
      <c r="AB2329" s="28"/>
      <c r="AC2329" s="28">
        <v>2108350000</v>
      </c>
      <c r="AD2329" s="28">
        <v>2043442000</v>
      </c>
      <c r="AE2329" s="28">
        <v>21253450000</v>
      </c>
      <c r="AF2329" s="28">
        <v>4318448000</v>
      </c>
      <c r="AG2329" s="11"/>
    </row>
    <row r="2330">
      <c r="A2330" s="7" t="s">
        <v>4026</v>
      </c>
      <c r="B2330" s="5" t="s">
        <v>12002</v>
      </c>
      <c r="C2330" s="5" t="s">
        <v>19847</v>
      </c>
      <c r="D2330" s="5" t="str">
        <v>502716111252</v>
      </c>
      <c r="E2330" s="0" t="e">
        <f>+7 (381) 2383177
+7 (499) 6733384
+7 (903) 9831919
+7 (916) 5235101
+7 (925) 7147164</f>
        <v>#NAME?</v>
      </c>
      <c r="F2330" s="5" t="s">
        <v>32358</v>
      </c>
      <c r="G2330" s="5" t="s">
        <v>32359</v>
      </c>
      <c r="H2330" s="26">
        <v>7.5</v>
      </c>
      <c r="I2330" s="5" t="s">
        <v>32360</v>
      </c>
      <c r="J2330" s="5" t="s">
        <v>373</v>
      </c>
      <c r="K2330" s="5" t="s">
        <v>344</v>
      </c>
      <c r="L2330" s="5" t="s">
        <v>32361</v>
      </c>
      <c r="M2330" s="27"/>
      <c r="N2330" s="5"/>
      <c r="O2330" s="5" t="str">
        <v>9701009897</v>
      </c>
      <c r="P2330" s="27">
        <v>80000</v>
      </c>
      <c r="Q2330" s="5" t="s">
        <v>49057</v>
      </c>
      <c r="R2330" s="5"/>
      <c r="S2330" s="5" t="s">
        <v>52994</v>
      </c>
      <c r="T2330" s="28">
        <v>21712000</v>
      </c>
      <c r="U2330" s="28"/>
      <c r="V2330" s="28">
        <v>248533000</v>
      </c>
      <c r="W2330" s="28"/>
      <c r="X2330" s="28">
        <v>14179000</v>
      </c>
      <c r="Y2330" s="28">
        <v>305834000</v>
      </c>
      <c r="Z2330" s="28">
        <v>74632000</v>
      </c>
      <c r="AA2330" s="28"/>
      <c r="AB2330" s="28">
        <v>39525000</v>
      </c>
      <c r="AC2330" s="28">
        <v>220339000</v>
      </c>
      <c r="AD2330" s="28">
        <v>74712000</v>
      </c>
      <c r="AE2330" s="28">
        <v>3746531000</v>
      </c>
      <c r="AF2330" s="28">
        <v>35051000</v>
      </c>
      <c r="AG2330" s="11"/>
    </row>
    <row r="2331">
      <c r="A2331" s="7" t="s">
        <v>4027</v>
      </c>
      <c r="B2331" s="5" t="s">
        <v>12003</v>
      </c>
      <c r="C2331" s="5" t="s">
        <v>19848</v>
      </c>
      <c r="D2331" s="5" t="str">
        <v>026700216665</v>
      </c>
      <c r="E2331" s="0" t="e">
        <f>+7 (902) 6100452
+7 (967) 8626843
+7 (3512) 4510
+7 (3517) 964070
+7 (909) 685533</f>
        <v>#NAME?</v>
      </c>
      <c r="F2331" s="5" t="s">
        <v>32362</v>
      </c>
      <c r="G2331" s="5"/>
      <c r="H2331" s="26">
        <v>7</v>
      </c>
      <c r="I2331" s="5" t="s">
        <v>32363</v>
      </c>
      <c r="J2331" s="5" t="s">
        <v>27791</v>
      </c>
      <c r="K2331" s="5" t="s">
        <v>344</v>
      </c>
      <c r="L2331" s="5" t="s">
        <v>32364</v>
      </c>
      <c r="M2331" s="27"/>
      <c r="N2331" s="5"/>
      <c r="O2331" s="5" t="str">
        <v>7453291720</v>
      </c>
      <c r="P2331" s="27">
        <v>163080315</v>
      </c>
      <c r="Q2331" s="5" t="s">
        <v>49009</v>
      </c>
      <c r="R2331" s="5"/>
      <c r="S2331" s="5" t="s">
        <v>49010</v>
      </c>
      <c r="T2331" s="28">
        <v>14507845000</v>
      </c>
      <c r="U2331" s="28"/>
      <c r="V2331" s="28">
        <v>4306284000</v>
      </c>
      <c r="W2331" s="28">
        <v>48700000</v>
      </c>
      <c r="X2331" s="28">
        <v>240000</v>
      </c>
      <c r="Y2331" s="28">
        <v>21053097000</v>
      </c>
      <c r="Z2331" s="28">
        <v>3419577000</v>
      </c>
      <c r="AA2331" s="28">
        <v>10349833000</v>
      </c>
      <c r="AB2331" s="28">
        <v>4738840000</v>
      </c>
      <c r="AC2331" s="28">
        <v>5579304000</v>
      </c>
      <c r="AD2331" s="28">
        <v>3582658000</v>
      </c>
      <c r="AE2331" s="28">
        <v>15206737000</v>
      </c>
      <c r="AF2331" s="28">
        <v>549081000</v>
      </c>
      <c r="AG2331" s="11"/>
    </row>
    <row r="2332">
      <c r="A2332" s="7" t="s">
        <v>4028</v>
      </c>
      <c r="B2332" s="5" t="s">
        <v>12004</v>
      </c>
      <c r="C2332" s="5" t="s">
        <v>19849</v>
      </c>
      <c r="D2332" s="5" t="str">
        <v>420303331654</v>
      </c>
      <c r="E2332" s="0" t="e">
        <f>+7 (38464) 28147
+7 (38464) 26277
+7 (38464) 26330
+7 (38464) 34168
+7 (38464) 34169
+7 (38464) 34173
+7 (38464) 34174
+7 (38464) 34176
+7 (38464) 34183
+7 (38464) 34198
+7 (38464) 34209
+7 (38464) 34226
+7 (38464) 34244</f>
        <v>#NAME?</v>
      </c>
      <c r="F2332" s="5" t="s">
        <v>32365</v>
      </c>
      <c r="G2332" s="5" t="s">
        <v>32366</v>
      </c>
      <c r="H2332" s="26">
        <v>20.5</v>
      </c>
      <c r="I2332" s="5" t="s">
        <v>32367</v>
      </c>
      <c r="J2332" s="5" t="s">
        <v>32368</v>
      </c>
      <c r="K2332" s="5" t="s">
        <v>344</v>
      </c>
      <c r="L2332" s="5" t="s">
        <v>32369</v>
      </c>
      <c r="M2332" s="27"/>
      <c r="N2332" s="5" t="s">
        <v>52995</v>
      </c>
      <c r="O2332" s="5" t="str">
        <v>4223032532</v>
      </c>
      <c r="P2332" s="27">
        <v>1020000</v>
      </c>
      <c r="Q2332" s="5" t="s">
        <v>49009</v>
      </c>
      <c r="R2332" s="5"/>
      <c r="S2332" s="5" t="s">
        <v>49010</v>
      </c>
      <c r="T2332" s="28">
        <v>578826000</v>
      </c>
      <c r="U2332" s="28"/>
      <c r="V2332" s="28">
        <v>1577249000</v>
      </c>
      <c r="W2332" s="28"/>
      <c r="X2332" s="28">
        <v>3741909000</v>
      </c>
      <c r="Y2332" s="28">
        <v>7298174000</v>
      </c>
      <c r="Z2332" s="28">
        <v>6052140000</v>
      </c>
      <c r="AA2332" s="28"/>
      <c r="AB2332" s="28"/>
      <c r="AC2332" s="28">
        <v>766883000</v>
      </c>
      <c r="AD2332" s="28">
        <v>6477858000</v>
      </c>
      <c r="AE2332" s="28">
        <v>22720701000</v>
      </c>
      <c r="AF2332" s="28">
        <v>3688420000</v>
      </c>
      <c r="AG2332" s="11"/>
    </row>
    <row r="2333">
      <c r="A2333" s="7" t="s">
        <v>4029</v>
      </c>
      <c r="B2333" s="5" t="s">
        <v>12005</v>
      </c>
      <c r="C2333" s="5" t="s">
        <v>19850</v>
      </c>
      <c r="D2333" s="5" t="str">
        <v>366600277530</v>
      </c>
      <c r="E2333" s="0" t="e">
        <f>+7 (910) 7443698</f>
        <v>#NAME?</v>
      </c>
      <c r="F2333" s="5" t="s">
        <v>32370</v>
      </c>
      <c r="G2333" s="5"/>
      <c r="H2333" s="26">
        <v>6.5</v>
      </c>
      <c r="I2333" s="5" t="s">
        <v>32371</v>
      </c>
      <c r="J2333" s="5" t="s">
        <v>32372</v>
      </c>
      <c r="K2333" s="5" t="s">
        <v>344</v>
      </c>
      <c r="L2333" s="5" t="s">
        <v>32373</v>
      </c>
      <c r="M2333" s="27"/>
      <c r="N2333" s="5" t="s">
        <v>52996</v>
      </c>
      <c r="O2333" s="5" t="str">
        <v>3666211345</v>
      </c>
      <c r="P2333" s="27">
        <v>10000</v>
      </c>
      <c r="Q2333" s="5" t="s">
        <v>49059</v>
      </c>
      <c r="R2333" s="5"/>
      <c r="S2333" s="5" t="s">
        <v>49047</v>
      </c>
      <c r="T2333" s="28">
        <v>1728000</v>
      </c>
      <c r="U2333" s="28">
        <v>60123000</v>
      </c>
      <c r="V2333" s="28">
        <v>1719411000</v>
      </c>
      <c r="W2333" s="28">
        <v>4163200000</v>
      </c>
      <c r="X2333" s="28">
        <v>18000</v>
      </c>
      <c r="Y2333" s="28">
        <v>6627138000</v>
      </c>
      <c r="Z2333" s="28">
        <v>1167848000</v>
      </c>
      <c r="AA2333" s="28"/>
      <c r="AB2333" s="28">
        <v>3287329000</v>
      </c>
      <c r="AC2333" s="28">
        <v>5179280000</v>
      </c>
      <c r="AD2333" s="28">
        <v>1447858000</v>
      </c>
      <c r="AE2333" s="28">
        <v>3367434000</v>
      </c>
      <c r="AF2333" s="28">
        <v>498520000</v>
      </c>
      <c r="AG2333" s="11"/>
    </row>
    <row r="2334">
      <c r="A2334" s="7" t="s">
        <v>4030</v>
      </c>
      <c r="B2334" s="5" t="s">
        <v>12006</v>
      </c>
      <c r="C2334" s="5" t="s">
        <v>19851</v>
      </c>
      <c r="D2334" s="5" t="str">
        <v>510503923252</v>
      </c>
      <c r="E2334" s="0" t="e">
        <f>+7 (495) 2800263
+7 (495) 6800264
+7 (495) 7500113
+7 (499) 7500113
+7 (499) 7500114</f>
        <v>#NAME?</v>
      </c>
      <c r="F2334" s="5"/>
      <c r="G2334" s="5" t="s">
        <v>32374</v>
      </c>
      <c r="H2334" s="26">
        <v>16</v>
      </c>
      <c r="I2334" s="5"/>
      <c r="J2334" s="5" t="s">
        <v>27921</v>
      </c>
      <c r="K2334" s="5" t="s">
        <v>380</v>
      </c>
      <c r="L2334" s="5"/>
      <c r="M2334" s="27">
        <v>1021912507</v>
      </c>
      <c r="N2334" s="5" t="s">
        <v>52997</v>
      </c>
      <c r="O2334" s="5" t="str">
        <v>7704627560</v>
      </c>
      <c r="P2334" s="27">
        <v>226987000</v>
      </c>
      <c r="Q2334" s="5" t="s">
        <v>52998</v>
      </c>
      <c r="R2334" s="5" t="s">
        <v>52999</v>
      </c>
      <c r="S2334" s="5" t="s">
        <v>49070</v>
      </c>
      <c r="T2334" s="28">
        <v>65205000</v>
      </c>
      <c r="U2334" s="28">
        <v>7707003000</v>
      </c>
      <c r="V2334" s="28">
        <v>7801622000</v>
      </c>
      <c r="W2334" s="28">
        <v>1172378000</v>
      </c>
      <c r="X2334" s="28">
        <v>71132000</v>
      </c>
      <c r="Y2334" s="28">
        <v>19347651000</v>
      </c>
      <c r="Z2334" s="28">
        <v>2592588000</v>
      </c>
      <c r="AA2334" s="28"/>
      <c r="AB2334" s="28">
        <v>815524000</v>
      </c>
      <c r="AC2334" s="28">
        <v>10732067000</v>
      </c>
      <c r="AD2334" s="28">
        <v>4656528000</v>
      </c>
      <c r="AE2334" s="28">
        <v>16517528000</v>
      </c>
      <c r="AF2334" s="28">
        <v>321314000</v>
      </c>
      <c r="AG2334" s="11"/>
    </row>
    <row r="2335">
      <c r="A2335" s="7" t="s">
        <v>4031</v>
      </c>
      <c r="B2335" s="5" t="s">
        <v>12007</v>
      </c>
      <c r="C2335" s="5" t="s">
        <v>19852</v>
      </c>
      <c r="D2335" s="5" t="str">
        <v>772632265665</v>
      </c>
      <c r="E2335" s="0" t="e">
        <f>+7 (495) 3639988
+7 (905) 7115079</f>
        <v>#NAME?</v>
      </c>
      <c r="F2335" s="5"/>
      <c r="G2335" s="5"/>
      <c r="H2335" s="26">
        <v>17.5</v>
      </c>
      <c r="I2335" s="5" t="s">
        <v>32375</v>
      </c>
      <c r="J2335" s="5" t="s">
        <v>28069</v>
      </c>
      <c r="K2335" s="5" t="s">
        <v>344</v>
      </c>
      <c r="L2335" s="5" t="s">
        <v>32376</v>
      </c>
      <c r="M2335" s="27"/>
      <c r="N2335" s="5"/>
      <c r="O2335" s="5" t="str">
        <v>7736524528</v>
      </c>
      <c r="P2335" s="27">
        <v>10000</v>
      </c>
      <c r="Q2335" s="5" t="s">
        <v>49021</v>
      </c>
      <c r="R2335" s="5"/>
      <c r="S2335" s="5" t="s">
        <v>49033</v>
      </c>
      <c r="T2335" s="28">
        <v>5237000</v>
      </c>
      <c r="U2335" s="28"/>
      <c r="V2335" s="28">
        <v>285749000</v>
      </c>
      <c r="W2335" s="28"/>
      <c r="X2335" s="28">
        <v>59829000</v>
      </c>
      <c r="Y2335" s="28">
        <v>1384728000</v>
      </c>
      <c r="Z2335" s="28">
        <v>426546000</v>
      </c>
      <c r="AA2335" s="28">
        <v>624995000</v>
      </c>
      <c r="AB2335" s="28"/>
      <c r="AC2335" s="28">
        <v>333177000</v>
      </c>
      <c r="AD2335" s="28">
        <v>426556000</v>
      </c>
      <c r="AE2335" s="28">
        <v>3002360000</v>
      </c>
      <c r="AF2335" s="28">
        <v>27073000</v>
      </c>
      <c r="AG2335" s="11"/>
    </row>
    <row r="2336">
      <c r="A2336" s="7" t="s">
        <v>4032</v>
      </c>
      <c r="B2336" s="5" t="s">
        <v>12008</v>
      </c>
      <c r="C2336" s="5" t="s">
        <v>19853</v>
      </c>
      <c r="D2336" s="5" t="str">
        <v>234911714058</v>
      </c>
      <c r="E2336" s="0" t="e">
        <f>+7 (918) 4957272</f>
        <v>#NAME?</v>
      </c>
      <c r="F2336" s="5"/>
      <c r="G2336" s="5"/>
      <c r="H2336" s="26">
        <v>6</v>
      </c>
      <c r="I2336" s="5" t="s">
        <v>32377</v>
      </c>
      <c r="J2336" s="5" t="s">
        <v>28577</v>
      </c>
      <c r="K2336" s="5" t="s">
        <v>344</v>
      </c>
      <c r="L2336" s="5" t="s">
        <v>32378</v>
      </c>
      <c r="M2336" s="27"/>
      <c r="N2336" s="5"/>
      <c r="O2336" s="5" t="str">
        <v>2308245085</v>
      </c>
      <c r="P2336" s="27">
        <v>1880000</v>
      </c>
      <c r="Q2336" s="5" t="s">
        <v>52334</v>
      </c>
      <c r="R2336" s="5"/>
      <c r="S2336" s="5" t="s">
        <v>53000</v>
      </c>
      <c r="T2336" s="28">
        <v>1652000</v>
      </c>
      <c r="U2336" s="28"/>
      <c r="V2336" s="28">
        <v>6306575000</v>
      </c>
      <c r="W2336" s="28"/>
      <c r="X2336" s="28">
        <v>23372000</v>
      </c>
      <c r="Y2336" s="28">
        <v>7996753000</v>
      </c>
      <c r="Z2336" s="28">
        <v>1108791000</v>
      </c>
      <c r="AA2336" s="28"/>
      <c r="AB2336" s="28"/>
      <c r="AC2336" s="28">
        <v>6758109000</v>
      </c>
      <c r="AD2336" s="28">
        <v>1110671000</v>
      </c>
      <c r="AE2336" s="28">
        <v>4454149000</v>
      </c>
      <c r="AF2336" s="28">
        <v>897942000</v>
      </c>
      <c r="AG2336" s="11"/>
    </row>
    <row r="2337">
      <c r="A2337" s="7" t="s">
        <v>4032</v>
      </c>
      <c r="B2337" s="5" t="s">
        <v>12009</v>
      </c>
      <c r="C2337" s="5" t="s">
        <v>19854</v>
      </c>
      <c r="D2337" s="5" t="str">
        <v>550411993544</v>
      </c>
      <c r="E2337" s="0" t="e">
        <f>+7 (495) 6612388
+7 (499) 4002148
+7 (916) 1425119
+7 (916) 5003890
+7 (926) 859250
+7 (926) 2367437
+7 (926) 2459981
+7 (929) 9335095</f>
        <v>#NAME?</v>
      </c>
      <c r="F2337" s="5" t="s">
        <v>32379</v>
      </c>
      <c r="G2337" s="5"/>
      <c r="H2337" s="26">
        <v>7.5</v>
      </c>
      <c r="I2337" s="5" t="s">
        <v>32380</v>
      </c>
      <c r="J2337" s="5" t="s">
        <v>373</v>
      </c>
      <c r="K2337" s="5" t="s">
        <v>344</v>
      </c>
      <c r="L2337" s="5" t="s">
        <v>664</v>
      </c>
      <c r="M2337" s="27"/>
      <c r="N2337" s="5" t="s">
        <v>53001</v>
      </c>
      <c r="O2337" s="5" t="str">
        <v>7729481489</v>
      </c>
      <c r="P2337" s="27">
        <v>60000000</v>
      </c>
      <c r="Q2337" s="5" t="s">
        <v>53002</v>
      </c>
      <c r="R2337" s="5"/>
      <c r="S2337" s="5" t="s">
        <v>53003</v>
      </c>
      <c r="T2337" s="28">
        <v>39576000</v>
      </c>
      <c r="U2337" s="28"/>
      <c r="V2337" s="28">
        <v>47529194000</v>
      </c>
      <c r="W2337" s="28">
        <v>3719578000</v>
      </c>
      <c r="X2337" s="28">
        <v>222614000</v>
      </c>
      <c r="Y2337" s="28">
        <v>55961333000</v>
      </c>
      <c r="Z2337" s="28">
        <v>493090000</v>
      </c>
      <c r="AA2337" s="28"/>
      <c r="AB2337" s="28">
        <v>53405679000</v>
      </c>
      <c r="AC2337" s="28">
        <v>55366588000</v>
      </c>
      <c r="AD2337" s="28">
        <v>553090000</v>
      </c>
      <c r="AE2337" s="28">
        <v>109358056000</v>
      </c>
      <c r="AF2337" s="28">
        <v>28374000</v>
      </c>
      <c r="AG2337" s="11"/>
    </row>
    <row r="2338">
      <c r="A2338" s="7" t="s">
        <v>4033</v>
      </c>
      <c r="B2338" s="5" t="s">
        <v>12010</v>
      </c>
      <c r="C2338" s="5" t="s">
        <v>19855</v>
      </c>
      <c r="D2338" s="5" t="str">
        <v>773306838286</v>
      </c>
      <c r="E2338" s="0" t="e">
        <f>+7 (495) 7830226</f>
        <v>#NAME?</v>
      </c>
      <c r="F2338" s="5" t="s">
        <v>32381</v>
      </c>
      <c r="G2338" s="5"/>
      <c r="H2338" s="26">
        <v>17.5</v>
      </c>
      <c r="I2338" s="5" t="s">
        <v>32382</v>
      </c>
      <c r="J2338" s="5" t="s">
        <v>1013</v>
      </c>
      <c r="K2338" s="5" t="s">
        <v>355</v>
      </c>
      <c r="L2338" s="5" t="s">
        <v>32383</v>
      </c>
      <c r="M2338" s="27"/>
      <c r="N2338" s="5" t="s">
        <v>49611</v>
      </c>
      <c r="O2338" s="5" t="str">
        <v>7710589898</v>
      </c>
      <c r="P2338" s="27">
        <v>100000000</v>
      </c>
      <c r="Q2338" s="5" t="s">
        <v>53004</v>
      </c>
      <c r="R2338" s="5"/>
      <c r="S2338" s="5" t="s">
        <v>53005</v>
      </c>
      <c r="T2338" s="28">
        <v>318000</v>
      </c>
      <c r="U2338" s="28">
        <v>3788913000</v>
      </c>
      <c r="V2338" s="28">
        <v>433646000</v>
      </c>
      <c r="W2338" s="28">
        <v>957143000</v>
      </c>
      <c r="X2338" s="28">
        <v>339342000</v>
      </c>
      <c r="Y2338" s="28">
        <v>5993461000</v>
      </c>
      <c r="Z2338" s="28">
        <v>1194000</v>
      </c>
      <c r="AA2338" s="28">
        <v>3956984000</v>
      </c>
      <c r="AB2338" s="28">
        <v>36968000</v>
      </c>
      <c r="AC2338" s="28">
        <v>1928518000</v>
      </c>
      <c r="AD2338" s="28">
        <v>101194000</v>
      </c>
      <c r="AE2338" s="28">
        <v>3270837000</v>
      </c>
      <c r="AF2338" s="28">
        <v>23870000</v>
      </c>
      <c r="AG2338" s="11"/>
    </row>
    <row r="2339">
      <c r="A2339" s="7" t="s">
        <v>4034</v>
      </c>
      <c r="B2339" s="5" t="s">
        <v>12011</v>
      </c>
      <c r="C2339" s="5" t="s">
        <v>19856</v>
      </c>
      <c r="D2339" s="5" t="str">
        <v>240800142534</v>
      </c>
      <c r="E2339" s="0" t="e">
        <f>+7 (391) 2403886
+7 (913) 1714229</f>
        <v>#NAME?</v>
      </c>
      <c r="F2339" s="5" t="s">
        <v>32384</v>
      </c>
      <c r="G2339" s="5"/>
      <c r="H2339" s="26">
        <v>6</v>
      </c>
      <c r="I2339" s="5" t="s">
        <v>32385</v>
      </c>
      <c r="J2339" s="5" t="s">
        <v>373</v>
      </c>
      <c r="K2339" s="5" t="s">
        <v>344</v>
      </c>
      <c r="L2339" s="5" t="s">
        <v>32386</v>
      </c>
      <c r="M2339" s="27"/>
      <c r="N2339" s="5" t="s">
        <v>53006</v>
      </c>
      <c r="O2339" s="5" t="str">
        <v>2465160032</v>
      </c>
      <c r="P2339" s="27">
        <v>100000</v>
      </c>
      <c r="Q2339" s="5" t="s">
        <v>53007</v>
      </c>
      <c r="R2339" s="5"/>
      <c r="S2339" s="5" t="s">
        <v>53008</v>
      </c>
      <c r="T2339" s="28">
        <v>36855000</v>
      </c>
      <c r="U2339" s="28"/>
      <c r="V2339" s="28">
        <v>100405000</v>
      </c>
      <c r="W2339" s="28"/>
      <c r="X2339" s="28">
        <v>7766000</v>
      </c>
      <c r="Y2339" s="28">
        <v>528526000</v>
      </c>
      <c r="Z2339" s="28">
        <v>126440000</v>
      </c>
      <c r="AA2339" s="28"/>
      <c r="AB2339" s="28">
        <v>116033000</v>
      </c>
      <c r="AC2339" s="28">
        <v>321770000</v>
      </c>
      <c r="AD2339" s="28">
        <v>126540000</v>
      </c>
      <c r="AE2339" s="28">
        <v>3023930000</v>
      </c>
      <c r="AF2339" s="28">
        <v>41374000</v>
      </c>
      <c r="AG2339" s="11"/>
    </row>
    <row r="2340">
      <c r="A2340" s="7" t="s">
        <v>4035</v>
      </c>
      <c r="B2340" s="5" t="s">
        <v>12012</v>
      </c>
      <c r="C2340" s="5" t="s">
        <v>19857</v>
      </c>
      <c r="D2340" s="5" t="str">
        <v>861402452030</v>
      </c>
      <c r="E2340" s="0" t="e">
        <f>+7 (83141) 65239
+7 (492) 2213657
+7 (831) 2308128
+7 (831) 2331695
+7 (831) 2336542
+7 (83143) 11582
+7 (83193) 51332
+7 (8412) 346314</f>
        <v>#NAME?</v>
      </c>
      <c r="F2340" s="5" t="s">
        <v>32387</v>
      </c>
      <c r="G2340" s="5"/>
      <c r="H2340" s="26">
        <v>23.5</v>
      </c>
      <c r="I2340" s="5" t="s">
        <v>32388</v>
      </c>
      <c r="J2340" s="5" t="s">
        <v>29789</v>
      </c>
      <c r="K2340" s="5" t="s">
        <v>344</v>
      </c>
      <c r="L2340" s="5" t="s">
        <v>32389</v>
      </c>
      <c r="M2340" s="27">
        <v>125401012</v>
      </c>
      <c r="N2340" s="5" t="s">
        <v>53009</v>
      </c>
      <c r="O2340" s="5" t="str">
        <v>5260080007</v>
      </c>
      <c r="P2340" s="27">
        <v>4090016000</v>
      </c>
      <c r="Q2340" s="5" t="s">
        <v>53010</v>
      </c>
      <c r="R2340" s="5" t="s">
        <v>53011</v>
      </c>
      <c r="S2340" s="5" t="s">
        <v>51599</v>
      </c>
      <c r="T2340" s="28">
        <v>19966123000</v>
      </c>
      <c r="U2340" s="28">
        <v>7039000</v>
      </c>
      <c r="V2340" s="28">
        <v>14614286000</v>
      </c>
      <c r="W2340" s="28">
        <v>183000</v>
      </c>
      <c r="X2340" s="28">
        <v>2459000</v>
      </c>
      <c r="Y2340" s="28">
        <v>37020663000</v>
      </c>
      <c r="Z2340" s="28">
        <v>16924944000</v>
      </c>
      <c r="AA2340" s="28"/>
      <c r="AB2340" s="28"/>
      <c r="AC2340" s="28">
        <v>11996855000</v>
      </c>
      <c r="AD2340" s="28">
        <v>21628462000</v>
      </c>
      <c r="AE2340" s="28">
        <v>73361688000</v>
      </c>
      <c r="AF2340" s="28">
        <v>3227009000</v>
      </c>
      <c r="AG2340" s="11"/>
    </row>
    <row r="2341">
      <c r="A2341" s="7" t="s">
        <v>4036</v>
      </c>
      <c r="B2341" s="5" t="s">
        <v>12013</v>
      </c>
      <c r="C2341" s="5" t="s">
        <v>19858</v>
      </c>
      <c r="D2341" s="5" t="str">
        <v>352805354454</v>
      </c>
      <c r="F2341" s="5" t="s">
        <v>32390</v>
      </c>
      <c r="G2341" s="5" t="s">
        <v>32391</v>
      </c>
      <c r="H2341" s="26">
        <v>20</v>
      </c>
      <c r="I2341" s="5" t="s">
        <v>32392</v>
      </c>
      <c r="J2341" s="5" t="s">
        <v>364</v>
      </c>
      <c r="K2341" s="5" t="s">
        <v>344</v>
      </c>
      <c r="L2341" s="5" t="s">
        <v>32393</v>
      </c>
      <c r="M2341" s="27">
        <v>2421027</v>
      </c>
      <c r="N2341" s="5" t="s">
        <v>53012</v>
      </c>
      <c r="O2341" s="5" t="str">
        <v>3525126062</v>
      </c>
      <c r="P2341" s="27">
        <v>1000000</v>
      </c>
      <c r="Q2341" s="5" t="s">
        <v>53013</v>
      </c>
      <c r="R2341" s="5"/>
      <c r="S2341" s="5" t="s">
        <v>53014</v>
      </c>
      <c r="T2341" s="28">
        <v>295195000</v>
      </c>
      <c r="U2341" s="28"/>
      <c r="V2341" s="28">
        <v>3257937000</v>
      </c>
      <c r="W2341" s="28">
        <v>33911000</v>
      </c>
      <c r="X2341" s="28">
        <v>2681731000</v>
      </c>
      <c r="Y2341" s="28">
        <v>7121338000</v>
      </c>
      <c r="Z2341" s="28">
        <v>881913000</v>
      </c>
      <c r="AA2341" s="28"/>
      <c r="AB2341" s="28"/>
      <c r="AC2341" s="28">
        <v>6231507000</v>
      </c>
      <c r="AD2341" s="28">
        <v>882913000</v>
      </c>
      <c r="AE2341" s="28">
        <v>9562852000</v>
      </c>
      <c r="AF2341" s="28">
        <v>355697000</v>
      </c>
      <c r="AG2341" s="11"/>
    </row>
    <row r="2342">
      <c r="A2342" s="7" t="s">
        <v>4036</v>
      </c>
      <c r="B2342" s="5" t="s">
        <v>12014</v>
      </c>
      <c r="C2342" s="5" t="s">
        <v>19859</v>
      </c>
      <c r="D2342" s="5" t="str">
        <v>683302654563</v>
      </c>
      <c r="E2342" s="0" t="e">
        <f>+7 (861) 2200320
+7 (861) 2108989
+7 (861) 2109898
+7 (861) 2980720
+7 (909) 4448623</f>
        <v>#NAME?</v>
      </c>
      <c r="F2342" s="5" t="s">
        <v>32394</v>
      </c>
      <c r="G2342" s="5"/>
      <c r="H2342" s="26">
        <v>13.5</v>
      </c>
      <c r="I2342" s="5" t="s">
        <v>32395</v>
      </c>
      <c r="J2342" s="5" t="s">
        <v>30210</v>
      </c>
      <c r="K2342" s="5" t="s">
        <v>355</v>
      </c>
      <c r="L2342" s="5" t="s">
        <v>32396</v>
      </c>
      <c r="M2342" s="27">
        <v>39360485</v>
      </c>
      <c r="N2342" s="5"/>
      <c r="O2342" s="5" t="str">
        <v>2310141799</v>
      </c>
      <c r="P2342" s="27">
        <v>10000</v>
      </c>
      <c r="Q2342" s="5" t="s">
        <v>49009</v>
      </c>
      <c r="R2342" s="5" t="s">
        <v>53015</v>
      </c>
      <c r="S2342" s="5" t="s">
        <v>49028</v>
      </c>
      <c r="T2342" s="28">
        <v>32705553000</v>
      </c>
      <c r="U2342" s="28">
        <v>32063000</v>
      </c>
      <c r="V2342" s="28">
        <v>868276000</v>
      </c>
      <c r="W2342" s="28">
        <v>42238050000</v>
      </c>
      <c r="X2342" s="28">
        <v>26314573000</v>
      </c>
      <c r="Y2342" s="28">
        <v>121527808000</v>
      </c>
      <c r="Z2342" s="28">
        <v>4535226000</v>
      </c>
      <c r="AA2342" s="28">
        <v>26981783000</v>
      </c>
      <c r="AB2342" s="28">
        <v>83443890000</v>
      </c>
      <c r="AC2342" s="28">
        <v>83656187000</v>
      </c>
      <c r="AD2342" s="28">
        <v>6122336000</v>
      </c>
      <c r="AE2342" s="28">
        <v>40619623000</v>
      </c>
      <c r="AF2342" s="28">
        <v>-7700112000</v>
      </c>
      <c r="AG2342" s="11"/>
    </row>
    <row r="2343">
      <c r="A2343" s="7" t="s">
        <v>4037</v>
      </c>
      <c r="B2343" s="5" t="s">
        <v>12015</v>
      </c>
      <c r="C2343" s="5" t="s">
        <v>19860</v>
      </c>
      <c r="D2343" s="5" t="str">
        <v>772206800520</v>
      </c>
      <c r="E2343" s="0" t="e">
        <f>+7 (812) 3297296
+7 (812) 4294971
+7 (812) 4297973
+7 (817) 2562353
+7 (905) 2208946
+7 (909) 7860806
+7 (921) 1031661
+7 (812) 4294972
+7 (812) 4294973
+7 (812) 9988570
+7 (8142) 593363
+7 (815) 2244405
+7 (817) 2762353
+7 (818) 2683644
+7 (921) 316618</f>
        <v>#NAME?</v>
      </c>
      <c r="F2343" s="5" t="s">
        <v>32397</v>
      </c>
      <c r="G2343" s="5" t="s">
        <v>32398</v>
      </c>
      <c r="H2343" s="26">
        <v>17</v>
      </c>
      <c r="I2343" s="5" t="s">
        <v>32399</v>
      </c>
      <c r="J2343" s="5" t="s">
        <v>32400</v>
      </c>
      <c r="K2343" s="5" t="s">
        <v>344</v>
      </c>
      <c r="L2343" s="5" t="s">
        <v>32401</v>
      </c>
      <c r="M2343" s="27"/>
      <c r="N2343" s="5" t="s">
        <v>53016</v>
      </c>
      <c r="O2343" s="5" t="str">
        <v>7810047507</v>
      </c>
      <c r="P2343" s="27">
        <v>120000</v>
      </c>
      <c r="Q2343" s="5" t="s">
        <v>53017</v>
      </c>
      <c r="R2343" s="5"/>
      <c r="S2343" s="5" t="s">
        <v>49256</v>
      </c>
      <c r="T2343" s="28">
        <v>1304312000</v>
      </c>
      <c r="U2343" s="28"/>
      <c r="V2343" s="28">
        <v>571154000</v>
      </c>
      <c r="W2343" s="28"/>
      <c r="X2343" s="28">
        <v>446239000</v>
      </c>
      <c r="Y2343" s="28">
        <v>2652400000</v>
      </c>
      <c r="Z2343" s="28">
        <v>1490527000</v>
      </c>
      <c r="AA2343" s="28"/>
      <c r="AB2343" s="28"/>
      <c r="AC2343" s="28">
        <v>407953000</v>
      </c>
      <c r="AD2343" s="28">
        <v>1498605000</v>
      </c>
      <c r="AE2343" s="28">
        <v>3938388000</v>
      </c>
      <c r="AF2343" s="28">
        <v>232615000</v>
      </c>
      <c r="AG2343" s="11"/>
    </row>
    <row r="2344">
      <c r="A2344" s="7" t="s">
        <v>4038</v>
      </c>
      <c r="B2344" s="5" t="s">
        <v>12016</v>
      </c>
      <c r="C2344" s="5" t="s">
        <v>19861</v>
      </c>
      <c r="D2344" s="5" t="str">
        <v>773000329700</v>
      </c>
      <c r="E2344" s="0" t="e">
        <f>+7 (3512) 250273
+7 (383) 3449727
+7 (499) 2580788
+7 (800) 2344050
+7 (861) 2788278
+7 (905) 517253
+7 (915) 2704007
+7 (919) 2421423
+7 (978) 711797
+7 (978) 1000302
+7 (978) 7221246
+7 (495) 3630360
+7 (495) 7205120
+7 (495) 9515314
+7 (929) 5559928</f>
        <v>#NAME?</v>
      </c>
      <c r="F2344" s="5" t="s">
        <v>32402</v>
      </c>
      <c r="G2344" s="5" t="s">
        <v>32403</v>
      </c>
      <c r="H2344" s="26">
        <v>24.5</v>
      </c>
      <c r="I2344" s="5" t="s">
        <v>32404</v>
      </c>
      <c r="J2344" s="5" t="s">
        <v>32400</v>
      </c>
      <c r="K2344" s="5" t="s">
        <v>344</v>
      </c>
      <c r="L2344" s="5" t="s">
        <v>32405</v>
      </c>
      <c r="M2344" s="27"/>
      <c r="N2344" s="5" t="s">
        <v>53018</v>
      </c>
      <c r="O2344" s="5" t="str">
        <v>7710294238</v>
      </c>
      <c r="P2344" s="27">
        <v>31400000</v>
      </c>
      <c r="Q2344" s="5" t="s">
        <v>53020</v>
      </c>
      <c r="R2344" s="5"/>
      <c r="S2344" s="5" t="s">
        <v>53021</v>
      </c>
      <c r="T2344" s="28">
        <v>3153507000</v>
      </c>
      <c r="U2344" s="28">
        <v>397583000</v>
      </c>
      <c r="V2344" s="28">
        <v>954230000</v>
      </c>
      <c r="W2344" s="28"/>
      <c r="X2344" s="28">
        <v>149931000</v>
      </c>
      <c r="Y2344" s="28">
        <v>5469372000</v>
      </c>
      <c r="Z2344" s="28">
        <v>3022025000</v>
      </c>
      <c r="AA2344" s="28"/>
      <c r="AB2344" s="28"/>
      <c r="AC2344" s="28">
        <v>1068290000</v>
      </c>
      <c r="AD2344" s="28">
        <v>3053440000</v>
      </c>
      <c r="AE2344" s="28">
        <v>11259272000</v>
      </c>
      <c r="AF2344" s="28">
        <v>703729000</v>
      </c>
      <c r="AG2344" s="11"/>
    </row>
    <row r="2345">
      <c r="A2345" s="7" t="s">
        <v>4039</v>
      </c>
      <c r="B2345" s="5" t="s">
        <v>12017</v>
      </c>
      <c r="C2345" s="5" t="s">
        <v>19862</v>
      </c>
      <c r="D2345" s="5" t="str">
        <v>665894975179</v>
      </c>
      <c r="E2345" s="0" t="e">
        <f>+7 (499) 2733688
+7 (800) 2003630</f>
        <v>#NAME?</v>
      </c>
      <c r="F2345" s="5"/>
      <c r="G2345" s="5" t="s">
        <v>32406</v>
      </c>
      <c r="H2345" s="26">
        <v>11.5</v>
      </c>
      <c r="I2345" s="5" t="s">
        <v>32407</v>
      </c>
      <c r="J2345" s="5" t="s">
        <v>25424</v>
      </c>
      <c r="K2345" s="5" t="s">
        <v>355</v>
      </c>
      <c r="L2345" s="5" t="s">
        <v>32408</v>
      </c>
      <c r="M2345" s="27"/>
      <c r="N2345" s="5"/>
      <c r="O2345" s="5" t="str">
        <v>7724811920</v>
      </c>
      <c r="P2345" s="27">
        <v>300000</v>
      </c>
      <c r="Q2345" s="5" t="s">
        <v>49009</v>
      </c>
      <c r="R2345" s="5"/>
      <c r="S2345" s="5" t="s">
        <v>49010</v>
      </c>
      <c r="T2345" s="28">
        <v>164639000</v>
      </c>
      <c r="U2345" s="28"/>
      <c r="V2345" s="28">
        <v>369359000</v>
      </c>
      <c r="W2345" s="28"/>
      <c r="X2345" s="28">
        <v>8805000</v>
      </c>
      <c r="Y2345" s="28">
        <v>1137611000</v>
      </c>
      <c r="Z2345" s="28">
        <v>27590000</v>
      </c>
      <c r="AA2345" s="28">
        <v>335000000</v>
      </c>
      <c r="AB2345" s="28"/>
      <c r="AC2345" s="28">
        <v>642038000</v>
      </c>
      <c r="AD2345" s="28">
        <v>27890000</v>
      </c>
      <c r="AE2345" s="28">
        <v>5137329000</v>
      </c>
      <c r="AF2345" s="28">
        <v>-38626000</v>
      </c>
      <c r="AG2345" s="11"/>
    </row>
    <row r="2346">
      <c r="A2346" s="7" t="s">
        <v>4040</v>
      </c>
      <c r="B2346" s="5" t="s">
        <v>12018</v>
      </c>
      <c r="C2346" s="5" t="s">
        <v>19863</v>
      </c>
      <c r="D2346" s="5" t="str">
        <v>540324190400</v>
      </c>
      <c r="E2346" s="0" t="e">
        <f>+7 (913) 9469738
+7 (983) 3001254
+7 (984) 2707295
+7 (382) 2753151
+7 (383) 2035437
+7 (383) 2666050
+7 (383) 3449727
+7 (383) 3514299
+7 (913) 6155237</f>
        <v>#NAME?</v>
      </c>
      <c r="F2346" s="5" t="s">
        <v>32409</v>
      </c>
      <c r="G2346" s="5" t="s">
        <v>32410</v>
      </c>
      <c r="H2346" s="26">
        <v>13</v>
      </c>
      <c r="I2346" s="5" t="s">
        <v>32411</v>
      </c>
      <c r="J2346" s="5" t="s">
        <v>32400</v>
      </c>
      <c r="K2346" s="5" t="s">
        <v>344</v>
      </c>
      <c r="L2346" s="5" t="s">
        <v>32412</v>
      </c>
      <c r="M2346" s="27"/>
      <c r="N2346" s="5" t="s">
        <v>53022</v>
      </c>
      <c r="O2346" s="5" t="str">
        <v>5402525254</v>
      </c>
      <c r="P2346" s="27">
        <v>7610000</v>
      </c>
      <c r="Q2346" s="5" t="s">
        <v>49021</v>
      </c>
      <c r="R2346" s="5"/>
      <c r="S2346" s="5" t="s">
        <v>53023</v>
      </c>
      <c r="T2346" s="28">
        <v>630481000</v>
      </c>
      <c r="U2346" s="28"/>
      <c r="V2346" s="28">
        <v>642828000</v>
      </c>
      <c r="W2346" s="28"/>
      <c r="X2346" s="28">
        <v>764568000</v>
      </c>
      <c r="Y2346" s="28">
        <v>2288214000</v>
      </c>
      <c r="Z2346" s="28">
        <v>1642397000</v>
      </c>
      <c r="AA2346" s="28"/>
      <c r="AB2346" s="28"/>
      <c r="AC2346" s="28">
        <v>347265000</v>
      </c>
      <c r="AD2346" s="28">
        <v>1650008000</v>
      </c>
      <c r="AE2346" s="28">
        <v>3681890000</v>
      </c>
      <c r="AF2346" s="28">
        <v>667453000</v>
      </c>
      <c r="AG2346" s="11"/>
    </row>
    <row r="2347">
      <c r="A2347" s="7" t="s">
        <v>4041</v>
      </c>
      <c r="B2347" s="5" t="s">
        <v>12019</v>
      </c>
      <c r="C2347" s="5" t="s">
        <v>19864</v>
      </c>
      <c r="D2347" s="5" t="str">
        <v>744915206351</v>
      </c>
      <c r="E2347" s="0" t="e">
        <f>+7 (3512) 250271
+7 (3512) 553366
+7 (912) 6088838
+7 (3512) 224047
+7 (3512) 662710
+7 (3517) 298833
+7 (909) 901170</f>
        <v>#NAME?</v>
      </c>
      <c r="F2347" s="5" t="s">
        <v>32413</v>
      </c>
      <c r="G2347" s="5" t="s">
        <v>32414</v>
      </c>
      <c r="H2347" s="26">
        <v>22</v>
      </c>
      <c r="I2347" s="5" t="s">
        <v>32415</v>
      </c>
      <c r="J2347" s="5" t="s">
        <v>29848</v>
      </c>
      <c r="K2347" s="5" t="s">
        <v>344</v>
      </c>
      <c r="L2347" s="5" t="s">
        <v>32416</v>
      </c>
      <c r="M2347" s="27"/>
      <c r="N2347" s="5" t="s">
        <v>53024</v>
      </c>
      <c r="O2347" s="5" t="str">
        <v>7451097559</v>
      </c>
      <c r="P2347" s="27">
        <v>120000</v>
      </c>
      <c r="Q2347" s="5" t="s">
        <v>49009</v>
      </c>
      <c r="R2347" s="5"/>
      <c r="S2347" s="5" t="s">
        <v>49256</v>
      </c>
      <c r="T2347" s="28">
        <v>459543000</v>
      </c>
      <c r="U2347" s="28"/>
      <c r="V2347" s="28">
        <v>557827000</v>
      </c>
      <c r="W2347" s="28"/>
      <c r="X2347" s="28">
        <v>600376000</v>
      </c>
      <c r="Y2347" s="28">
        <v>1895927000</v>
      </c>
      <c r="Z2347" s="28">
        <v>1448978000</v>
      </c>
      <c r="AA2347" s="28"/>
      <c r="AB2347" s="28"/>
      <c r="AC2347" s="28">
        <v>232411000</v>
      </c>
      <c r="AD2347" s="28">
        <v>1460478000</v>
      </c>
      <c r="AE2347" s="28">
        <v>3321799000</v>
      </c>
      <c r="AF2347" s="28">
        <v>225849000</v>
      </c>
      <c r="AG2347" s="11"/>
    </row>
    <row r="2348">
      <c r="A2348" s="7" t="s">
        <v>4042</v>
      </c>
      <c r="B2348" s="5" t="s">
        <v>12020</v>
      </c>
      <c r="C2348" s="5" t="s">
        <v>19865</v>
      </c>
      <c r="D2348" s="5" t="str">
        <v>444200379051</v>
      </c>
      <c r="E2348" s="0" t="e">
        <f>+7 (345) 2330745
+7 (345) 2352274
+7 (345) 2352402
+7 (346) 7351788
+7 (3467) 330425
+7 (3467) 330745
+7 (3467) 330746
+7 (3467) 334670
+7 (3467) 352274
+7 (3467) 352402
+7 (34672) 45345
+7 (34672) 50288
+7 (495) 7455665</f>
        <v>#NAME?</v>
      </c>
      <c r="F2348" s="5" t="s">
        <v>32417</v>
      </c>
      <c r="G2348" s="5" t="s">
        <v>32418</v>
      </c>
      <c r="H2348" s="26">
        <v>24.5</v>
      </c>
      <c r="I2348" s="5"/>
      <c r="J2348" s="5" t="s">
        <v>26607</v>
      </c>
      <c r="K2348" s="5" t="s">
        <v>355</v>
      </c>
      <c r="L2348" s="5"/>
      <c r="M2348" s="27">
        <v>66428788</v>
      </c>
      <c r="N2348" s="5"/>
      <c r="O2348" s="5" t="str">
        <v>8601013859</v>
      </c>
      <c r="P2348" s="27">
        <v>100000</v>
      </c>
      <c r="Q2348" s="5" t="s">
        <v>53025</v>
      </c>
      <c r="R2348" s="5" t="s">
        <v>53026</v>
      </c>
      <c r="S2348" s="5" t="s">
        <v>49496</v>
      </c>
      <c r="T2348" s="28">
        <v>2300899000</v>
      </c>
      <c r="U2348" s="28"/>
      <c r="V2348" s="28">
        <v>228981000</v>
      </c>
      <c r="W2348" s="28"/>
      <c r="X2348" s="28">
        <v>1983101000</v>
      </c>
      <c r="Y2348" s="28">
        <v>11250414000</v>
      </c>
      <c r="Z2348" s="28">
        <v>-14885273000</v>
      </c>
      <c r="AA2348" s="28">
        <v>23754264000</v>
      </c>
      <c r="AB2348" s="28"/>
      <c r="AC2348" s="28">
        <v>1219249000</v>
      </c>
      <c r="AD2348" s="28">
        <v>-14840799000</v>
      </c>
      <c r="AE2348" s="28">
        <v>3553402000</v>
      </c>
      <c r="AF2348" s="28">
        <v>-260812000</v>
      </c>
      <c r="AG2348" s="11"/>
    </row>
    <row r="2349">
      <c r="A2349" s="7" t="s">
        <v>4043</v>
      </c>
      <c r="B2349" s="5" t="s">
        <v>12021</v>
      </c>
      <c r="C2349" s="5" t="s">
        <v>19866</v>
      </c>
      <c r="D2349" s="5" t="str">
        <v>773701144722</v>
      </c>
      <c r="E2349" s="0" t="e">
        <f>+7 (495) 9172356
+7 (495) 9174734
+7 (495) 9334828</f>
        <v>#NAME?</v>
      </c>
      <c r="F2349" s="5"/>
      <c r="G2349" s="5"/>
      <c r="H2349" s="26">
        <v>23.5</v>
      </c>
      <c r="I2349" s="5"/>
      <c r="J2349" s="5" t="s">
        <v>354</v>
      </c>
      <c r="K2349" s="5" t="s">
        <v>344</v>
      </c>
      <c r="L2349" s="5" t="s">
        <v>32419</v>
      </c>
      <c r="M2349" s="27"/>
      <c r="N2349" s="5"/>
      <c r="O2349" s="5" t="str">
        <v>7730117212</v>
      </c>
      <c r="P2349" s="27">
        <v>15925000</v>
      </c>
      <c r="Q2349" s="5" t="s">
        <v>49009</v>
      </c>
      <c r="R2349" s="5" t="s">
        <v>53027</v>
      </c>
      <c r="S2349" s="5" t="s">
        <v>49371</v>
      </c>
      <c r="T2349" s="28">
        <v>2393835000</v>
      </c>
      <c r="U2349" s="28">
        <v>6636920000</v>
      </c>
      <c r="V2349" s="28">
        <v>4893202000</v>
      </c>
      <c r="W2349" s="28">
        <v>15294000</v>
      </c>
      <c r="X2349" s="28">
        <v>289250000</v>
      </c>
      <c r="Y2349" s="28">
        <v>14419302000</v>
      </c>
      <c r="Z2349" s="28">
        <v>1300692000</v>
      </c>
      <c r="AA2349" s="28">
        <v>8940649000</v>
      </c>
      <c r="AB2349" s="28">
        <v>230226000</v>
      </c>
      <c r="AC2349" s="28">
        <v>579989000</v>
      </c>
      <c r="AD2349" s="28">
        <v>4105044000</v>
      </c>
      <c r="AE2349" s="28">
        <v>4039566000</v>
      </c>
      <c r="AF2349" s="28">
        <v>1610941000</v>
      </c>
      <c r="AG2349" s="11"/>
    </row>
    <row r="2350">
      <c r="A2350" s="7" t="s">
        <v>4044</v>
      </c>
      <c r="B2350" s="5" t="s">
        <v>12022</v>
      </c>
      <c r="C2350" s="5" t="s">
        <v>19867</v>
      </c>
      <c r="D2350" s="5" t="str">
        <v>231200505943</v>
      </c>
      <c r="E2350" s="0" t="e">
        <f>+7 (495) 2369671
+7 (495) 3631457
+7 (495) 3631458
+7 (495) 3632211
+7 (495) 3644445
+7 (495) 7757170</f>
        <v>#NAME?</v>
      </c>
      <c r="F2350" s="5" t="s">
        <v>32420</v>
      </c>
      <c r="G2350" s="5"/>
      <c r="H2350" s="26">
        <v>20.5</v>
      </c>
      <c r="I2350" s="5"/>
      <c r="J2350" s="5" t="s">
        <v>25376</v>
      </c>
      <c r="K2350" s="5" t="s">
        <v>355</v>
      </c>
      <c r="L2350" s="5"/>
      <c r="M2350" s="27"/>
      <c r="N2350" s="5"/>
      <c r="O2350" s="5" t="str">
        <v>7702336269</v>
      </c>
      <c r="P2350" s="27">
        <v>41220793000</v>
      </c>
      <c r="Q2350" s="5" t="s">
        <v>49009</v>
      </c>
      <c r="R2350" s="5" t="s">
        <v>53028</v>
      </c>
      <c r="S2350" s="5" t="s">
        <v>49901</v>
      </c>
      <c r="T2350" s="28">
        <v>3292958000</v>
      </c>
      <c r="U2350" s="28">
        <v>104353599000</v>
      </c>
      <c r="V2350" s="28">
        <v>32835354000</v>
      </c>
      <c r="W2350" s="28">
        <v>36626117000</v>
      </c>
      <c r="X2350" s="28">
        <v>295448000</v>
      </c>
      <c r="Y2350" s="28">
        <v>182600325000</v>
      </c>
      <c r="Z2350" s="28">
        <v>-1429760000</v>
      </c>
      <c r="AA2350" s="28">
        <v>79759051000</v>
      </c>
      <c r="AB2350" s="28">
        <v>8938945000</v>
      </c>
      <c r="AC2350" s="28">
        <v>9503327000</v>
      </c>
      <c r="AD2350" s="28">
        <v>92706706000</v>
      </c>
      <c r="AE2350" s="28">
        <v>4192420000</v>
      </c>
      <c r="AF2350" s="28">
        <v>1890590000</v>
      </c>
      <c r="AG2350" s="11"/>
    </row>
    <row r="2351">
      <c r="A2351" s="7" t="s">
        <v>4045</v>
      </c>
      <c r="B2351" s="5" t="s">
        <v>12023</v>
      </c>
      <c r="C2351" s="5" t="s">
        <v>19868</v>
      </c>
      <c r="D2351" s="5" t="str">
        <v>525702808203</v>
      </c>
      <c r="E2351" s="0" t="e">
        <f>+7 (831) 2125001
+7 (831) 2158966</f>
        <v>#NAME?</v>
      </c>
      <c r="F2351" s="5" t="s">
        <v>32421</v>
      </c>
      <c r="G2351" s="5"/>
      <c r="H2351" s="26">
        <v>11</v>
      </c>
      <c r="I2351" s="5" t="s">
        <v>32422</v>
      </c>
      <c r="J2351" s="5" t="s">
        <v>27182</v>
      </c>
      <c r="K2351" s="5" t="s">
        <v>344</v>
      </c>
      <c r="L2351" s="5" t="s">
        <v>32423</v>
      </c>
      <c r="M2351" s="27">
        <v>112456</v>
      </c>
      <c r="N2351" s="5"/>
      <c r="O2351" s="5" t="str">
        <v>5260322471</v>
      </c>
      <c r="P2351" s="27">
        <v>400000000</v>
      </c>
      <c r="Q2351" s="5" t="s">
        <v>49059</v>
      </c>
      <c r="R2351" s="5"/>
      <c r="S2351" s="5" t="s">
        <v>49110</v>
      </c>
      <c r="T2351" s="28">
        <v>1259485000</v>
      </c>
      <c r="U2351" s="28"/>
      <c r="V2351" s="28">
        <v>1131479000</v>
      </c>
      <c r="W2351" s="28"/>
      <c r="X2351" s="28">
        <v>2789543000</v>
      </c>
      <c r="Y2351" s="28">
        <v>12284442000</v>
      </c>
      <c r="Z2351" s="28">
        <v>818652000</v>
      </c>
      <c r="AA2351" s="28">
        <v>3228311000</v>
      </c>
      <c r="AB2351" s="28">
        <v>5174672000</v>
      </c>
      <c r="AC2351" s="28">
        <v>7384390000</v>
      </c>
      <c r="AD2351" s="28">
        <v>1218652000</v>
      </c>
      <c r="AE2351" s="28">
        <v>5368612000</v>
      </c>
      <c r="AF2351" s="28">
        <v>673374000</v>
      </c>
      <c r="AG2351" s="11"/>
    </row>
    <row r="2352">
      <c r="A2352" s="7" t="s">
        <v>4046</v>
      </c>
      <c r="B2352" s="5" t="s">
        <v>12024</v>
      </c>
      <c r="C2352" s="5" t="s">
        <v>19869</v>
      </c>
      <c r="D2352" s="5" t="str">
        <v>710300408572</v>
      </c>
      <c r="E2352" s="0" t="e">
        <f>+7 (980) 7201343
+7 (487) 2393450
+7 (487) 2470159</f>
        <v>#NAME?</v>
      </c>
      <c r="F2352" s="5" t="s">
        <v>32424</v>
      </c>
      <c r="G2352" s="5" t="s">
        <v>32425</v>
      </c>
      <c r="H2352" s="26">
        <v>24</v>
      </c>
      <c r="I2352" s="5"/>
      <c r="J2352" s="5" t="s">
        <v>32426</v>
      </c>
      <c r="K2352" s="5" t="s">
        <v>344</v>
      </c>
      <c r="L2352" s="5" t="s">
        <v>32427</v>
      </c>
      <c r="M2352" s="27">
        <v>18313383</v>
      </c>
      <c r="N2352" s="5" t="s">
        <v>53029</v>
      </c>
      <c r="O2352" s="5" t="str">
        <v>7103019670</v>
      </c>
      <c r="P2352" s="27">
        <v>16470</v>
      </c>
      <c r="Q2352" s="5"/>
      <c r="R2352" s="5"/>
      <c r="S2352" s="5" t="s">
        <v>49047</v>
      </c>
      <c r="T2352" s="28">
        <v>475979000</v>
      </c>
      <c r="U2352" s="28">
        <v>5000</v>
      </c>
      <c r="V2352" s="28">
        <v>204909000</v>
      </c>
      <c r="W2352" s="28"/>
      <c r="X2352" s="28">
        <v>74972000</v>
      </c>
      <c r="Y2352" s="28">
        <v>1467639000</v>
      </c>
      <c r="Z2352" s="28">
        <v>818116000</v>
      </c>
      <c r="AA2352" s="28">
        <v>224250000</v>
      </c>
      <c r="AB2352" s="28">
        <v>33188000</v>
      </c>
      <c r="AC2352" s="28">
        <v>391181000</v>
      </c>
      <c r="AD2352" s="28">
        <v>820501000</v>
      </c>
      <c r="AE2352" s="28">
        <v>3561900000</v>
      </c>
      <c r="AF2352" s="28">
        <v>377243000</v>
      </c>
      <c r="AG2352" s="11"/>
    </row>
    <row r="2353">
      <c r="A2353" s="7" t="s">
        <v>4047</v>
      </c>
      <c r="B2353" s="5" t="s">
        <v>12025</v>
      </c>
      <c r="C2353" s="5" t="s">
        <v>19870</v>
      </c>
      <c r="D2353" s="5" t="str">
        <v>526314888112</v>
      </c>
      <c r="E2353" s="0" t="e">
        <f>+7 (903) 6490793
+7 (928) 6020683</f>
        <v>#NAME?</v>
      </c>
      <c r="F2353" s="5" t="s">
        <v>32428</v>
      </c>
      <c r="G2353" s="5"/>
      <c r="H2353" s="26">
        <v>2.5</v>
      </c>
      <c r="I2353" s="5" t="s">
        <v>32429</v>
      </c>
      <c r="J2353" s="5" t="s">
        <v>25450</v>
      </c>
      <c r="K2353" s="5" t="s">
        <v>355</v>
      </c>
      <c r="L2353" s="5"/>
      <c r="M2353" s="27">
        <v>3917474</v>
      </c>
      <c r="N2353" s="5"/>
      <c r="O2353" s="5" t="str">
        <v>6125033299</v>
      </c>
      <c r="P2353" s="27">
        <v>10000</v>
      </c>
      <c r="Q2353" s="5"/>
      <c r="R2353" s="5"/>
      <c r="S2353" s="5" t="s">
        <v>49029</v>
      </c>
      <c r="T2353" s="28">
        <v>262761000</v>
      </c>
      <c r="U2353" s="28">
        <v>1195767000</v>
      </c>
      <c r="V2353" s="28">
        <v>1444968000</v>
      </c>
      <c r="W2353" s="28"/>
      <c r="X2353" s="28">
        <v>6512000</v>
      </c>
      <c r="Y2353" s="28">
        <v>5257701000</v>
      </c>
      <c r="Z2353" s="28">
        <v>605947000</v>
      </c>
      <c r="AA2353" s="28"/>
      <c r="AB2353" s="28">
        <v>2996068000</v>
      </c>
      <c r="AC2353" s="28">
        <v>4115826000</v>
      </c>
      <c r="AD2353" s="28">
        <v>1126499000</v>
      </c>
      <c r="AE2353" s="28">
        <v>9122289000</v>
      </c>
      <c r="AF2353" s="28">
        <v>1021211000</v>
      </c>
      <c r="AG2353" s="11"/>
    </row>
    <row r="2354">
      <c r="A2354" s="7" t="s">
        <v>4048</v>
      </c>
      <c r="B2354" s="5" t="s">
        <v>12026</v>
      </c>
      <c r="C2354" s="5" t="s">
        <v>19871</v>
      </c>
      <c r="D2354" s="5" t="str">
        <v>780601674050</v>
      </c>
      <c r="E2354" s="0" t="e">
        <f>+7 (812) 2499440
+7 (812) 5435546</f>
        <v>#NAME?</v>
      </c>
      <c r="F2354" s="5" t="s">
        <v>32430</v>
      </c>
      <c r="G2354" s="5"/>
      <c r="H2354" s="26">
        <v>29</v>
      </c>
      <c r="I2354" s="5" t="s">
        <v>32431</v>
      </c>
      <c r="J2354" s="5" t="s">
        <v>25788</v>
      </c>
      <c r="K2354" s="5" t="s">
        <v>344</v>
      </c>
      <c r="L2354" s="5" t="s">
        <v>32432</v>
      </c>
      <c r="M2354" s="27"/>
      <c r="N2354" s="5" t="s">
        <v>53031</v>
      </c>
      <c r="O2354" s="5" t="str">
        <v>7802077515</v>
      </c>
      <c r="P2354" s="27">
        <v>5000000</v>
      </c>
      <c r="Q2354" s="5"/>
      <c r="R2354" s="5"/>
      <c r="S2354" s="5" t="s">
        <v>49379</v>
      </c>
      <c r="T2354" s="28">
        <v>123480000</v>
      </c>
      <c r="U2354" s="28">
        <v>21000000</v>
      </c>
      <c r="V2354" s="28">
        <v>1247514000</v>
      </c>
      <c r="W2354" s="28"/>
      <c r="X2354" s="28">
        <v>30759000</v>
      </c>
      <c r="Y2354" s="28">
        <v>1718690000</v>
      </c>
      <c r="Z2354" s="28">
        <v>624534000</v>
      </c>
      <c r="AA2354" s="28">
        <v>237545000</v>
      </c>
      <c r="AB2354" s="28"/>
      <c r="AC2354" s="28">
        <v>845369000</v>
      </c>
      <c r="AD2354" s="28">
        <v>630711000</v>
      </c>
      <c r="AE2354" s="28">
        <v>5769320000</v>
      </c>
      <c r="AF2354" s="28">
        <v>297801000</v>
      </c>
      <c r="AG2354" s="11"/>
    </row>
    <row r="2355">
      <c r="A2355" s="7" t="s">
        <v>4049</v>
      </c>
      <c r="B2355" s="5" t="s">
        <v>12027</v>
      </c>
      <c r="C2355" s="5" t="s">
        <v>19872</v>
      </c>
      <c r="D2355" s="5" t="str">
        <v>352809360201</v>
      </c>
      <c r="E2355" s="0" t="e">
        <f>+7 (8202) 532285
+7 (8202) 532287
+7 (8202) 532428
+7 (8202) 532492</f>
        <v>#NAME?</v>
      </c>
      <c r="F2355" s="5" t="s">
        <v>32433</v>
      </c>
      <c r="G2355" s="5" t="s">
        <v>32434</v>
      </c>
      <c r="H2355" s="26">
        <v>19</v>
      </c>
      <c r="I2355" s="5" t="s">
        <v>32435</v>
      </c>
      <c r="J2355" s="5" t="s">
        <v>26623</v>
      </c>
      <c r="K2355" s="5" t="s">
        <v>344</v>
      </c>
      <c r="L2355" s="5"/>
      <c r="M2355" s="27">
        <v>2751327</v>
      </c>
      <c r="N2355" s="5"/>
      <c r="O2355" s="5" t="str">
        <v>1103029229</v>
      </c>
      <c r="P2355" s="27">
        <v>9014285</v>
      </c>
      <c r="Q2355" s="5" t="s">
        <v>49207</v>
      </c>
      <c r="R2355" s="5"/>
      <c r="S2355" s="5" t="s">
        <v>49311</v>
      </c>
      <c r="T2355" s="28"/>
      <c r="U2355" s="28">
        <v>13066000</v>
      </c>
      <c r="V2355" s="28">
        <v>432329000</v>
      </c>
      <c r="W2355" s="28">
        <v>4500000</v>
      </c>
      <c r="X2355" s="28">
        <v>548166000</v>
      </c>
      <c r="Y2355" s="28">
        <v>998574000</v>
      </c>
      <c r="Z2355" s="28">
        <v>377670000</v>
      </c>
      <c r="AA2355" s="28"/>
      <c r="AB2355" s="28"/>
      <c r="AC2355" s="28">
        <v>610203000</v>
      </c>
      <c r="AD2355" s="28">
        <v>388371000</v>
      </c>
      <c r="AE2355" s="28">
        <v>11086453000</v>
      </c>
      <c r="AF2355" s="28">
        <v>98489000</v>
      </c>
      <c r="AG2355" s="11"/>
    </row>
    <row r="2356">
      <c r="A2356" s="7" t="s">
        <v>4050</v>
      </c>
      <c r="B2356" s="5" t="s">
        <v>12028</v>
      </c>
      <c r="C2356" s="5" t="s">
        <v>19873</v>
      </c>
      <c r="D2356" s="5" t="str">
        <v>561103118760</v>
      </c>
      <c r="E2356" s="0" t="e">
        <f>+7 (916) 6037420
+7 (812) 9009649</f>
        <v>#NAME?</v>
      </c>
      <c r="F2356" s="5" t="s">
        <v>32436</v>
      </c>
      <c r="G2356" s="5"/>
      <c r="H2356" s="26">
        <v>3.5</v>
      </c>
      <c r="I2356" s="5" t="s">
        <v>32216</v>
      </c>
      <c r="J2356" s="5" t="s">
        <v>364</v>
      </c>
      <c r="K2356" s="5" t="s">
        <v>344</v>
      </c>
      <c r="L2356" s="5" t="s">
        <v>32437</v>
      </c>
      <c r="M2356" s="27">
        <v>4457798</v>
      </c>
      <c r="N2356" s="5" t="s">
        <v>53032</v>
      </c>
      <c r="O2356" s="5" t="str">
        <v>7839119899</v>
      </c>
      <c r="P2356" s="27">
        <v>1000000</v>
      </c>
      <c r="Q2356" s="5" t="s">
        <v>53033</v>
      </c>
      <c r="R2356" s="5"/>
      <c r="S2356" s="5" t="s">
        <v>53034</v>
      </c>
      <c r="T2356" s="28">
        <v>94333000</v>
      </c>
      <c r="U2356" s="28"/>
      <c r="V2356" s="28">
        <v>1130536000</v>
      </c>
      <c r="W2356" s="28"/>
      <c r="X2356" s="28">
        <v>66954000</v>
      </c>
      <c r="Y2356" s="28">
        <v>1457761000</v>
      </c>
      <c r="Z2356" s="28">
        <v>286342000</v>
      </c>
      <c r="AA2356" s="28"/>
      <c r="AB2356" s="28"/>
      <c r="AC2356" s="28">
        <v>1154715000</v>
      </c>
      <c r="AD2356" s="28">
        <v>287342000</v>
      </c>
      <c r="AE2356" s="28">
        <v>4371145000</v>
      </c>
      <c r="AF2356" s="28">
        <v>164991000</v>
      </c>
      <c r="AG2356" s="11"/>
    </row>
    <row r="2357">
      <c r="A2357" s="7" t="s">
        <v>4050</v>
      </c>
      <c r="B2357" s="5" t="s">
        <v>12029</v>
      </c>
      <c r="C2357" s="5" t="s">
        <v>19874</v>
      </c>
      <c r="D2357" s="5" t="str">
        <v>260103800027</v>
      </c>
      <c r="E2357" s="0" t="e">
        <f>+7 (919) 7476394
+7 (8652) 554035</f>
        <v>#NAME?</v>
      </c>
      <c r="F2357" s="5" t="s">
        <v>32438</v>
      </c>
      <c r="G2357" s="5"/>
      <c r="H2357" s="26">
        <v>2</v>
      </c>
      <c r="I2357" s="5" t="s">
        <v>32439</v>
      </c>
      <c r="J2357" s="5" t="s">
        <v>364</v>
      </c>
      <c r="K2357" s="5" t="s">
        <v>344</v>
      </c>
      <c r="L2357" s="5"/>
      <c r="M2357" s="27"/>
      <c r="N2357" s="5" t="s">
        <v>49787</v>
      </c>
      <c r="O2357" s="5" t="str">
        <v>2635248209</v>
      </c>
      <c r="P2357" s="27">
        <v>10000</v>
      </c>
      <c r="Q2357" s="5" t="s">
        <v>53036</v>
      </c>
      <c r="R2357" s="5"/>
      <c r="S2357" s="5" t="s">
        <v>49802</v>
      </c>
      <c r="T2357" s="28">
        <v>45612000</v>
      </c>
      <c r="U2357" s="28"/>
      <c r="V2357" s="28">
        <v>571560000</v>
      </c>
      <c r="W2357" s="28">
        <v>126258000</v>
      </c>
      <c r="X2357" s="28">
        <v>13319000</v>
      </c>
      <c r="Y2357" s="28">
        <v>1639459000</v>
      </c>
      <c r="Z2357" s="28">
        <v>878651000</v>
      </c>
      <c r="AA2357" s="28">
        <v>1261000</v>
      </c>
      <c r="AB2357" s="28"/>
      <c r="AC2357" s="28">
        <v>758107000</v>
      </c>
      <c r="AD2357" s="28">
        <v>878661000</v>
      </c>
      <c r="AE2357" s="28">
        <v>10271694000</v>
      </c>
      <c r="AF2357" s="28">
        <v>138824000</v>
      </c>
      <c r="AG2357" s="11"/>
    </row>
    <row r="2358">
      <c r="A2358" s="7" t="s">
        <v>4051</v>
      </c>
      <c r="B2358" s="5" t="s">
        <v>12030</v>
      </c>
      <c r="C2358" s="5" t="s">
        <v>19875</v>
      </c>
      <c r="D2358" s="5" t="str">
        <v>232008380602</v>
      </c>
      <c r="E2358" s="0" t="e">
        <f>+7 (918) 4066004
+7 (862) 2970628
+7 (8622) 687474
+7 (918) 9154663</f>
        <v>#NAME?</v>
      </c>
      <c r="F2358" s="5" t="s">
        <v>32440</v>
      </c>
      <c r="G2358" s="5"/>
      <c r="H2358" s="26">
        <v>24</v>
      </c>
      <c r="I2358" s="5" t="s">
        <v>32441</v>
      </c>
      <c r="J2358" s="5" t="s">
        <v>32442</v>
      </c>
      <c r="K2358" s="5" t="s">
        <v>344</v>
      </c>
      <c r="L2358" s="5" t="s">
        <v>32443</v>
      </c>
      <c r="M2358" s="27"/>
      <c r="N2358" s="5" t="s">
        <v>53037</v>
      </c>
      <c r="O2358" s="5" t="str">
        <v>2320085783</v>
      </c>
      <c r="P2358" s="27">
        <v>10000</v>
      </c>
      <c r="Q2358" s="5" t="s">
        <v>53038</v>
      </c>
      <c r="R2358" s="5"/>
      <c r="S2358" s="5" t="s">
        <v>53039</v>
      </c>
      <c r="T2358" s="28">
        <v>92769000</v>
      </c>
      <c r="U2358" s="28"/>
      <c r="V2358" s="28">
        <v>2230799000</v>
      </c>
      <c r="W2358" s="28">
        <v>84387000</v>
      </c>
      <c r="X2358" s="28">
        <v>149342000</v>
      </c>
      <c r="Y2358" s="28">
        <v>2724520000</v>
      </c>
      <c r="Z2358" s="28">
        <v>166011000</v>
      </c>
      <c r="AA2358" s="28"/>
      <c r="AB2358" s="28">
        <v>2000</v>
      </c>
      <c r="AC2358" s="28">
        <v>2540918000</v>
      </c>
      <c r="AD2358" s="28">
        <v>166021000</v>
      </c>
      <c r="AE2358" s="28">
        <v>3508180000</v>
      </c>
      <c r="AF2358" s="28">
        <v>14200000</v>
      </c>
      <c r="AG2358" s="11"/>
    </row>
    <row r="2359">
      <c r="A2359" s="7" t="s">
        <v>4052</v>
      </c>
      <c r="B2359" s="5" t="s">
        <v>12031</v>
      </c>
      <c r="C2359" s="5" t="s">
        <v>19876</v>
      </c>
      <c r="D2359" s="5" t="str">
        <v>772994703990</v>
      </c>
      <c r="E2359" s="0" t="e">
        <f>+7 (495) 7275698
+7 (35324) 22870
+7 (916) 2309604
+7 (916) 3096004
+7 (916) 3099604
+7 (985) 3378312</f>
        <v>#NAME?</v>
      </c>
      <c r="F2359" s="5" t="s">
        <v>32444</v>
      </c>
      <c r="G2359" s="5" t="s">
        <v>32445</v>
      </c>
      <c r="H2359" s="26">
        <v>16.5</v>
      </c>
      <c r="I2359" s="5" t="s">
        <v>32446</v>
      </c>
      <c r="J2359" s="5" t="s">
        <v>364</v>
      </c>
      <c r="K2359" s="5" t="s">
        <v>344</v>
      </c>
      <c r="L2359" s="5" t="s">
        <v>32447</v>
      </c>
      <c r="M2359" s="27">
        <v>755733</v>
      </c>
      <c r="N2359" s="5" t="s">
        <v>53040</v>
      </c>
      <c r="O2359" s="5" t="str">
        <v>7731553525</v>
      </c>
      <c r="P2359" s="27">
        <v>1500000</v>
      </c>
      <c r="Q2359" s="5" t="s">
        <v>53041</v>
      </c>
      <c r="R2359" s="5"/>
      <c r="S2359" s="5" t="s">
        <v>53042</v>
      </c>
      <c r="T2359" s="28">
        <v>290523000</v>
      </c>
      <c r="U2359" s="28"/>
      <c r="V2359" s="28">
        <v>1472080000</v>
      </c>
      <c r="W2359" s="28">
        <v>332862000</v>
      </c>
      <c r="X2359" s="28">
        <v>889292000</v>
      </c>
      <c r="Y2359" s="28">
        <v>3717327000</v>
      </c>
      <c r="Z2359" s="28">
        <v>589209000</v>
      </c>
      <c r="AA2359" s="28"/>
      <c r="AB2359" s="28">
        <v>9186000</v>
      </c>
      <c r="AC2359" s="28">
        <v>3022345000</v>
      </c>
      <c r="AD2359" s="28">
        <v>590709000</v>
      </c>
      <c r="AE2359" s="28">
        <v>3607688000</v>
      </c>
      <c r="AF2359" s="28">
        <v>236689000</v>
      </c>
      <c r="AG2359" s="11"/>
    </row>
    <row r="2360">
      <c r="A2360" s="7" t="s">
        <v>4053</v>
      </c>
      <c r="B2360" s="5" t="s">
        <v>12032</v>
      </c>
      <c r="C2360" s="5" t="s">
        <v>19877</v>
      </c>
      <c r="D2360" s="5" t="str">
        <v>771814968290</v>
      </c>
      <c r="E2360" s="0" t="e">
        <f>+7 (495) 7834770
+7 (929) 9897700</f>
        <v>#NAME?</v>
      </c>
      <c r="F2360" s="5" t="s">
        <v>32448</v>
      </c>
      <c r="G2360" s="5"/>
      <c r="H2360" s="26">
        <v>5.5</v>
      </c>
      <c r="I2360" s="5" t="s">
        <v>32449</v>
      </c>
      <c r="J2360" s="5" t="s">
        <v>947</v>
      </c>
      <c r="K2360" s="5" t="s">
        <v>380</v>
      </c>
      <c r="L2360" s="5"/>
      <c r="M2360" s="27">
        <v>11897944</v>
      </c>
      <c r="N2360" s="5" t="s">
        <v>53043</v>
      </c>
      <c r="O2360" s="5" t="str">
        <v>5050132940</v>
      </c>
      <c r="P2360" s="27">
        <v>10000</v>
      </c>
      <c r="Q2360" s="5" t="s">
        <v>53045</v>
      </c>
      <c r="R2360" s="5"/>
      <c r="S2360" s="5" t="s">
        <v>53046</v>
      </c>
      <c r="T2360" s="28">
        <v>367623000</v>
      </c>
      <c r="U2360" s="28">
        <v>5000</v>
      </c>
      <c r="V2360" s="28">
        <v>3803000000</v>
      </c>
      <c r="W2360" s="28">
        <v>169000000</v>
      </c>
      <c r="X2360" s="28">
        <v>1003810000</v>
      </c>
      <c r="Y2360" s="28">
        <v>6508519000</v>
      </c>
      <c r="Z2360" s="28">
        <v>906228000</v>
      </c>
      <c r="AA2360" s="28"/>
      <c r="AB2360" s="28"/>
      <c r="AC2360" s="28">
        <v>5559549000</v>
      </c>
      <c r="AD2360" s="28">
        <v>906238000</v>
      </c>
      <c r="AE2360" s="28">
        <v>7170562000</v>
      </c>
      <c r="AF2360" s="28">
        <v>-250790000</v>
      </c>
      <c r="AG2360" s="11"/>
    </row>
    <row r="2361">
      <c r="A2361" s="7" t="s">
        <v>4054</v>
      </c>
      <c r="B2361" s="5" t="s">
        <v>12033</v>
      </c>
      <c r="C2361" s="5" t="s">
        <v>19878</v>
      </c>
      <c r="D2361" s="5" t="str">
        <v>381107576479</v>
      </c>
      <c r="E2361" s="0" t="e">
        <f>+7 (395) 2211352
+7 (3952) 211353</f>
        <v>#NAME?</v>
      </c>
      <c r="F2361" s="5"/>
      <c r="G2361" s="5"/>
      <c r="H2361" s="26">
        <v>14</v>
      </c>
      <c r="I2361" s="5"/>
      <c r="J2361" s="5" t="s">
        <v>26607</v>
      </c>
      <c r="K2361" s="5" t="s">
        <v>344</v>
      </c>
      <c r="L2361" s="5" t="s">
        <v>32450</v>
      </c>
      <c r="M2361" s="27">
        <v>65838706</v>
      </c>
      <c r="N2361" s="5"/>
      <c r="O2361" s="5" t="str">
        <v>3808208157</v>
      </c>
      <c r="P2361" s="27">
        <v>5601000</v>
      </c>
      <c r="Q2361" s="5" t="s">
        <v>49009</v>
      </c>
      <c r="R2361" s="5"/>
      <c r="S2361" s="5" t="s">
        <v>49010</v>
      </c>
      <c r="T2361" s="28">
        <v>35862916000</v>
      </c>
      <c r="U2361" s="28"/>
      <c r="V2361" s="28">
        <v>31316669000</v>
      </c>
      <c r="W2361" s="28"/>
      <c r="X2361" s="28">
        <v>25814744000</v>
      </c>
      <c r="Y2361" s="28">
        <v>99958532000</v>
      </c>
      <c r="Z2361" s="28">
        <v>91758927000</v>
      </c>
      <c r="AA2361" s="28"/>
      <c r="AB2361" s="28"/>
      <c r="AC2361" s="28">
        <v>5001335000</v>
      </c>
      <c r="AD2361" s="28">
        <v>92662724000</v>
      </c>
      <c r="AE2361" s="28">
        <v>90643664000</v>
      </c>
      <c r="AF2361" s="28">
        <v>15830801000</v>
      </c>
      <c r="AG2361" s="11"/>
    </row>
    <row r="2362">
      <c r="A2362" s="7" t="s">
        <v>4055</v>
      </c>
      <c r="B2362" s="5" t="s">
        <v>12034</v>
      </c>
      <c r="C2362" s="5" t="s">
        <v>19879</v>
      </c>
      <c r="D2362" s="5" t="str">
        <v>860312035880</v>
      </c>
      <c r="E2362" s="0" t="e">
        <f>+7 (3952) 211352</f>
        <v>#NAME?</v>
      </c>
      <c r="F2362" s="5"/>
      <c r="G2362" s="5"/>
      <c r="H2362" s="26">
        <v>5</v>
      </c>
      <c r="I2362" s="5" t="s">
        <v>32451</v>
      </c>
      <c r="J2362" s="5" t="s">
        <v>26799</v>
      </c>
      <c r="K2362" s="5" t="s">
        <v>380</v>
      </c>
      <c r="L2362" s="5"/>
      <c r="M2362" s="27">
        <v>3041904</v>
      </c>
      <c r="N2362" s="5"/>
      <c r="O2362" s="5" t="str">
        <v>3849068357</v>
      </c>
      <c r="P2362" s="27">
        <v>690000000</v>
      </c>
      <c r="Q2362" s="5"/>
      <c r="R2362" s="5"/>
      <c r="S2362" s="5" t="s">
        <v>49029</v>
      </c>
      <c r="T2362" s="28">
        <v>411390000</v>
      </c>
      <c r="U2362" s="28"/>
      <c r="V2362" s="28">
        <v>3662484000</v>
      </c>
      <c r="W2362" s="28"/>
      <c r="X2362" s="28">
        <v>164000</v>
      </c>
      <c r="Y2362" s="28">
        <v>4819249000</v>
      </c>
      <c r="Z2362" s="28">
        <v>-1172673000</v>
      </c>
      <c r="AA2362" s="28"/>
      <c r="AB2362" s="28"/>
      <c r="AC2362" s="28">
        <v>4920065000</v>
      </c>
      <c r="AD2362" s="28">
        <v>-132673000</v>
      </c>
      <c r="AE2362" s="28">
        <v>5197931000</v>
      </c>
      <c r="AF2362" s="28">
        <v>-158167000</v>
      </c>
      <c r="AG2362" s="11"/>
    </row>
    <row r="2363">
      <c r="A2363" s="7" t="s">
        <v>4056</v>
      </c>
      <c r="B2363" s="5" t="s">
        <v>12035</v>
      </c>
      <c r="C2363" s="5" t="s">
        <v>19880</v>
      </c>
      <c r="D2363" s="5" t="str">
        <v>860901890398</v>
      </c>
      <c r="E2363" s="0" t="e">
        <f>+7 (3952) 211352</f>
        <v>#NAME?</v>
      </c>
      <c r="F2363" s="5"/>
      <c r="G2363" s="5"/>
      <c r="H2363" s="26">
        <v>6.5</v>
      </c>
      <c r="I2363" s="5" t="s">
        <v>32452</v>
      </c>
      <c r="J2363" s="5" t="s">
        <v>26799</v>
      </c>
      <c r="K2363" s="5" t="s">
        <v>344</v>
      </c>
      <c r="L2363" s="5" t="s">
        <v>32453</v>
      </c>
      <c r="M2363" s="27"/>
      <c r="N2363" s="5"/>
      <c r="O2363" s="5" t="str">
        <v>3849060301</v>
      </c>
      <c r="P2363" s="27">
        <v>228757869</v>
      </c>
      <c r="Q2363" s="5" t="s">
        <v>49009</v>
      </c>
      <c r="R2363" s="5"/>
      <c r="S2363" s="5" t="s">
        <v>49010</v>
      </c>
      <c r="T2363" s="28">
        <v>1346567000</v>
      </c>
      <c r="U2363" s="28"/>
      <c r="V2363" s="28">
        <v>447317000</v>
      </c>
      <c r="W2363" s="28"/>
      <c r="X2363" s="28">
        <v>5452000</v>
      </c>
      <c r="Y2363" s="28">
        <v>2725942000</v>
      </c>
      <c r="Z2363" s="28">
        <v>914252000</v>
      </c>
      <c r="AA2363" s="28"/>
      <c r="AB2363" s="28"/>
      <c r="AC2363" s="28">
        <v>911195000</v>
      </c>
      <c r="AD2363" s="28">
        <v>1706523000</v>
      </c>
      <c r="AE2363" s="28">
        <v>5351671000</v>
      </c>
      <c r="AF2363" s="28">
        <v>412995000</v>
      </c>
      <c r="AG2363" s="11"/>
    </row>
    <row r="2364">
      <c r="A2364" s="7" t="s">
        <v>4057</v>
      </c>
      <c r="B2364" s="5" t="s">
        <v>12036</v>
      </c>
      <c r="C2364" s="5" t="s">
        <v>19881</v>
      </c>
      <c r="D2364" s="5" t="str">
        <v>632115635817</v>
      </c>
      <c r="E2364" s="0" t="e">
        <f>+7 (84670) 23921
+7 (84670) 27010</f>
        <v>#NAME?</v>
      </c>
      <c r="F2364" s="5"/>
      <c r="G2364" s="5"/>
      <c r="H2364" s="26">
        <v>2.5</v>
      </c>
      <c r="I2364" s="5" t="s">
        <v>32454</v>
      </c>
      <c r="J2364" s="5" t="s">
        <v>32455</v>
      </c>
      <c r="K2364" s="5" t="s">
        <v>344</v>
      </c>
      <c r="L2364" s="5"/>
      <c r="M2364" s="27"/>
      <c r="N2364" s="5"/>
      <c r="O2364" s="5" t="str">
        <v>6324114979</v>
      </c>
      <c r="P2364" s="27">
        <v>10000</v>
      </c>
      <c r="Q2364" s="5" t="s">
        <v>49207</v>
      </c>
      <c r="R2364" s="5"/>
      <c r="S2364" s="5" t="s">
        <v>53047</v>
      </c>
      <c r="T2364" s="28">
        <v>75110000</v>
      </c>
      <c r="U2364" s="28"/>
      <c r="V2364" s="28">
        <v>1730704000</v>
      </c>
      <c r="W2364" s="28">
        <v>3388438000</v>
      </c>
      <c r="X2364" s="28">
        <v>494955000</v>
      </c>
      <c r="Y2364" s="28">
        <v>6730960000</v>
      </c>
      <c r="Z2364" s="28">
        <v>1370855000</v>
      </c>
      <c r="AA2364" s="28">
        <v>3994700000</v>
      </c>
      <c r="AB2364" s="28">
        <v>416615000</v>
      </c>
      <c r="AC2364" s="28">
        <v>1364891000</v>
      </c>
      <c r="AD2364" s="28">
        <v>1370865000</v>
      </c>
      <c r="AE2364" s="28">
        <v>12162073000</v>
      </c>
      <c r="AF2364" s="28">
        <v>1000649000</v>
      </c>
      <c r="AG2364" s="11"/>
    </row>
    <row r="2365">
      <c r="A2365" s="7" t="s">
        <v>4058</v>
      </c>
      <c r="B2365" s="5" t="s">
        <v>12037</v>
      </c>
      <c r="C2365" s="5" t="s">
        <v>19882</v>
      </c>
      <c r="D2365" s="5" t="str">
        <v>110204001403</v>
      </c>
      <c r="E2365" s="0" t="e">
        <f>+7 (495) 9883798
+7 (499) 3177007</f>
        <v>#NAME?</v>
      </c>
      <c r="F2365" s="5" t="s">
        <v>32456</v>
      </c>
      <c r="G2365" s="5" t="s">
        <v>32457</v>
      </c>
      <c r="H2365" s="26">
        <v>19.5</v>
      </c>
      <c r="I2365" s="5" t="s">
        <v>32458</v>
      </c>
      <c r="J2365" s="5" t="s">
        <v>999</v>
      </c>
      <c r="K2365" s="5" t="s">
        <v>344</v>
      </c>
      <c r="L2365" s="5" t="s">
        <v>32459</v>
      </c>
      <c r="M2365" s="27">
        <v>59118556</v>
      </c>
      <c r="N2365" s="5" t="s">
        <v>53048</v>
      </c>
      <c r="O2365" s="5" t="str">
        <v>7709424027</v>
      </c>
      <c r="P2365" s="27">
        <v>274045000</v>
      </c>
      <c r="Q2365" s="5" t="s">
        <v>53049</v>
      </c>
      <c r="R2365" s="5" t="s">
        <v>53050</v>
      </c>
      <c r="S2365" s="5" t="s">
        <v>53051</v>
      </c>
      <c r="T2365" s="28">
        <v>557157000</v>
      </c>
      <c r="U2365" s="28"/>
      <c r="V2365" s="28">
        <v>1468766000</v>
      </c>
      <c r="W2365" s="28"/>
      <c r="X2365" s="28">
        <v>174586000</v>
      </c>
      <c r="Y2365" s="28">
        <v>5901053000</v>
      </c>
      <c r="Z2365" s="28">
        <v>218855000</v>
      </c>
      <c r="AA2365" s="28">
        <v>198846000</v>
      </c>
      <c r="AB2365" s="28">
        <v>141234000</v>
      </c>
      <c r="AC2365" s="28">
        <v>4799614000</v>
      </c>
      <c r="AD2365" s="28">
        <v>492900000</v>
      </c>
      <c r="AE2365" s="28">
        <v>4947784000</v>
      </c>
      <c r="AF2365" s="28">
        <v>210303000</v>
      </c>
      <c r="AG2365" s="11"/>
    </row>
    <row r="2366">
      <c r="A2366" s="7" t="s">
        <v>4059</v>
      </c>
      <c r="B2366" s="5" t="s">
        <v>12038</v>
      </c>
      <c r="C2366" s="5" t="s">
        <v>19883</v>
      </c>
      <c r="D2366" s="5" t="str">
        <v>860300144363</v>
      </c>
      <c r="E2366" s="0" t="e">
        <f>+7 (346) 6457595
+7 (346) 6651972
+7 (3466) 434956
+7 (3466) 457495
+7 (3466) 457570</f>
        <v>#NAME?</v>
      </c>
      <c r="F2366" s="5" t="s">
        <v>32460</v>
      </c>
      <c r="G2366" s="5" t="s">
        <v>32461</v>
      </c>
      <c r="H2366" s="26">
        <v>27.5</v>
      </c>
      <c r="I2366" s="5"/>
      <c r="J2366" s="5" t="s">
        <v>32462</v>
      </c>
      <c r="K2366" s="5" t="s">
        <v>344</v>
      </c>
      <c r="L2366" s="5" t="s">
        <v>32463</v>
      </c>
      <c r="M2366" s="27"/>
      <c r="N2366" s="5"/>
      <c r="O2366" s="5" t="str">
        <v>8620001545</v>
      </c>
      <c r="P2366" s="27">
        <v>82900</v>
      </c>
      <c r="Q2366" s="5" t="s">
        <v>49009</v>
      </c>
      <c r="R2366" s="5"/>
      <c r="S2366" s="5" t="s">
        <v>49066</v>
      </c>
      <c r="T2366" s="28">
        <v>3528470000</v>
      </c>
      <c r="U2366" s="28">
        <v>38532000</v>
      </c>
      <c r="V2366" s="28">
        <v>2229330000</v>
      </c>
      <c r="W2366" s="28">
        <v>1714300000</v>
      </c>
      <c r="X2366" s="28">
        <v>471062000</v>
      </c>
      <c r="Y2366" s="28">
        <v>9050036000</v>
      </c>
      <c r="Z2366" s="28">
        <v>7851713000</v>
      </c>
      <c r="AA2366" s="28"/>
      <c r="AB2366" s="28"/>
      <c r="AC2366" s="28">
        <v>1132052000</v>
      </c>
      <c r="AD2366" s="28">
        <v>7857091000</v>
      </c>
      <c r="AE2366" s="28">
        <v>9744762000</v>
      </c>
      <c r="AF2366" s="28">
        <v>1415784000</v>
      </c>
      <c r="AG2366" s="11"/>
    </row>
    <row r="2367">
      <c r="A2367" s="7" t="s">
        <v>4060</v>
      </c>
      <c r="B2367" s="5" t="s">
        <v>12039</v>
      </c>
      <c r="C2367" s="5" t="s">
        <v>19884</v>
      </c>
      <c r="D2367" s="5" t="str">
        <v>165804127896</v>
      </c>
      <c r="E2367" s="0" t="e">
        <f>+7 (343) 2125010
+7 (343) 2125020
+7 (843) 2739707
+7 (8432) 125010
+7 (8432) 125012
+7 (8432) 125020
+7 (8432) 739717</f>
        <v>#NAME?</v>
      </c>
      <c r="F2367" s="5" t="s">
        <v>32464</v>
      </c>
      <c r="G2367" s="5" t="s">
        <v>32465</v>
      </c>
      <c r="H2367" s="26">
        <v>32</v>
      </c>
      <c r="I2367" s="5"/>
      <c r="J2367" s="5" t="s">
        <v>26256</v>
      </c>
      <c r="K2367" s="5" t="s">
        <v>344</v>
      </c>
      <c r="L2367" s="5" t="s">
        <v>32466</v>
      </c>
      <c r="M2367" s="27"/>
      <c r="N2367" s="5" t="s">
        <v>53053</v>
      </c>
      <c r="O2367" s="5" t="str">
        <v>1660002574</v>
      </c>
      <c r="P2367" s="27">
        <v>500000</v>
      </c>
      <c r="Q2367" s="5" t="s">
        <v>53054</v>
      </c>
      <c r="R2367" s="5"/>
      <c r="S2367" s="5" t="s">
        <v>49560</v>
      </c>
      <c r="T2367" s="28">
        <v>757741000</v>
      </c>
      <c r="U2367" s="28">
        <v>50000</v>
      </c>
      <c r="V2367" s="28">
        <v>1514520000</v>
      </c>
      <c r="W2367" s="28">
        <v>100000000</v>
      </c>
      <c r="X2367" s="28">
        <v>129322000</v>
      </c>
      <c r="Y2367" s="28">
        <v>3931599000</v>
      </c>
      <c r="Z2367" s="28">
        <v>2141091000</v>
      </c>
      <c r="AA2367" s="28"/>
      <c r="AB2367" s="28"/>
      <c r="AC2367" s="28">
        <v>1771379000</v>
      </c>
      <c r="AD2367" s="28">
        <v>2141725000</v>
      </c>
      <c r="AE2367" s="28">
        <v>3615138000</v>
      </c>
      <c r="AF2367" s="28">
        <v>235020000</v>
      </c>
      <c r="AG2367" s="11"/>
    </row>
    <row r="2368">
      <c r="A2368" s="7" t="s">
        <v>4061</v>
      </c>
      <c r="B2368" s="5" t="s">
        <v>12040</v>
      </c>
      <c r="C2368" s="5" t="s">
        <v>19885</v>
      </c>
      <c r="D2368" s="5" t="str">
        <v>250306618105</v>
      </c>
      <c r="E2368" s="0" t="e">
        <f>+7 (963) 9408458
+7 (423) 2383809
+7 (4232) 309263
+7 (4232) 309276
+7 (4232) 320191
+7 (4232) 383806
+7 (42375) 92170
+7 (42375) 96009
+7 (42375) 96010
+7 (964) 4374151</f>
        <v>#NAME?</v>
      </c>
      <c r="F2368" s="5" t="s">
        <v>32467</v>
      </c>
      <c r="G2368" s="5" t="s">
        <v>32468</v>
      </c>
      <c r="H2368" s="26">
        <v>22</v>
      </c>
      <c r="I2368" s="5" t="s">
        <v>32469</v>
      </c>
      <c r="J2368" s="5" t="s">
        <v>26125</v>
      </c>
      <c r="K2368" s="5" t="s">
        <v>344</v>
      </c>
      <c r="L2368" s="5" t="s">
        <v>32470</v>
      </c>
      <c r="M2368" s="27"/>
      <c r="N2368" s="5" t="s">
        <v>53055</v>
      </c>
      <c r="O2368" s="5" t="str">
        <v>2536104421</v>
      </c>
      <c r="P2368" s="27">
        <v>36400</v>
      </c>
      <c r="Q2368" s="5"/>
      <c r="R2368" s="5"/>
      <c r="S2368" s="5" t="s">
        <v>50936</v>
      </c>
      <c r="T2368" s="28">
        <v>124317000</v>
      </c>
      <c r="U2368" s="28">
        <v>400397000</v>
      </c>
      <c r="V2368" s="28">
        <v>1857388000</v>
      </c>
      <c r="W2368" s="28">
        <v>123375000</v>
      </c>
      <c r="X2368" s="28">
        <v>25546000</v>
      </c>
      <c r="Y2368" s="28">
        <v>3772403000</v>
      </c>
      <c r="Z2368" s="28">
        <v>250150000</v>
      </c>
      <c r="AA2368" s="28">
        <v>2771442000</v>
      </c>
      <c r="AB2368" s="28">
        <v>122556000</v>
      </c>
      <c r="AC2368" s="28">
        <v>651567000</v>
      </c>
      <c r="AD2368" s="28">
        <v>253188000</v>
      </c>
      <c r="AE2368" s="28">
        <v>18975269000</v>
      </c>
      <c r="AF2368" s="28">
        <v>141283000</v>
      </c>
      <c r="AG2368" s="11"/>
    </row>
    <row r="2369">
      <c r="A2369" s="7" t="s">
        <v>4062</v>
      </c>
      <c r="B2369" s="5" t="s">
        <v>12041</v>
      </c>
      <c r="C2369" s="5" t="s">
        <v>19886</v>
      </c>
      <c r="D2369" s="5" t="str">
        <v>771534351265</v>
      </c>
      <c r="E2369" s="0" t="e">
        <f>+7 (495) 7420119
+7 (495) 7807742
+7 (495) 7976754
+7 (495) 7410242
+7 (495) 7420142
+7 (495) 9659277</f>
        <v>#NAME?</v>
      </c>
      <c r="F2369" s="5" t="s">
        <v>32471</v>
      </c>
      <c r="G2369" s="5" t="s">
        <v>32472</v>
      </c>
      <c r="H2369" s="26">
        <v>18.5</v>
      </c>
      <c r="I2369" s="5" t="s">
        <v>32473</v>
      </c>
      <c r="J2369" s="5" t="s">
        <v>27522</v>
      </c>
      <c r="K2369" s="5" t="s">
        <v>344</v>
      </c>
      <c r="L2369" s="5" t="s">
        <v>32474</v>
      </c>
      <c r="M2369" s="27"/>
      <c r="N2369" s="5" t="s">
        <v>53056</v>
      </c>
      <c r="O2369" s="5" t="str">
        <v>7719532487</v>
      </c>
      <c r="P2369" s="27">
        <v>27000000</v>
      </c>
      <c r="Q2369" s="5" t="s">
        <v>53057</v>
      </c>
      <c r="R2369" s="5"/>
      <c r="S2369" s="5" t="s">
        <v>53058</v>
      </c>
      <c r="T2369" s="28">
        <v>19215000</v>
      </c>
      <c r="U2369" s="28">
        <v>705463000</v>
      </c>
      <c r="V2369" s="28">
        <v>703671000</v>
      </c>
      <c r="W2369" s="28">
        <v>20048000</v>
      </c>
      <c r="X2369" s="28">
        <v>63317000</v>
      </c>
      <c r="Y2369" s="28">
        <v>2698680000</v>
      </c>
      <c r="Z2369" s="28">
        <v>2447980000</v>
      </c>
      <c r="AA2369" s="28"/>
      <c r="AB2369" s="28"/>
      <c r="AC2369" s="28">
        <v>223620000</v>
      </c>
      <c r="AD2369" s="28">
        <v>2474980000</v>
      </c>
      <c r="AE2369" s="28">
        <v>5238701000</v>
      </c>
      <c r="AF2369" s="28">
        <v>912420000</v>
      </c>
      <c r="AG2369" s="11"/>
    </row>
    <row r="2370">
      <c r="A2370" s="7" t="s">
        <v>4063</v>
      </c>
      <c r="B2370" s="5" t="s">
        <v>12042</v>
      </c>
      <c r="C2370" s="5" t="s">
        <v>19887</v>
      </c>
      <c r="D2370" s="5" t="str">
        <v>773110210257</v>
      </c>
      <c r="E2370" s="0" t="e">
        <f>+7 (495) 4001646
+7 (495) 7875940
+7 (495) 9410705
+7 (499) 2593932
+7 (499) 7875940</f>
        <v>#NAME?</v>
      </c>
      <c r="F2370" s="5" t="s">
        <v>32475</v>
      </c>
      <c r="G2370" s="5" t="s">
        <v>32476</v>
      </c>
      <c r="H2370" s="26">
        <v>23</v>
      </c>
      <c r="I2370" s="5"/>
      <c r="J2370" s="5" t="s">
        <v>748</v>
      </c>
      <c r="K2370" s="5" t="s">
        <v>344</v>
      </c>
      <c r="L2370" s="5" t="s">
        <v>32477</v>
      </c>
      <c r="M2370" s="27">
        <v>7088503</v>
      </c>
      <c r="N2370" s="5" t="s">
        <v>53059</v>
      </c>
      <c r="O2370" s="5" t="str">
        <v>7725111141</v>
      </c>
      <c r="P2370" s="27">
        <v>50000000</v>
      </c>
      <c r="Q2370" s="5" t="s">
        <v>53060</v>
      </c>
      <c r="R2370" s="5"/>
      <c r="S2370" s="5" t="s">
        <v>53061</v>
      </c>
      <c r="T2370" s="28">
        <v>106377000</v>
      </c>
      <c r="U2370" s="28">
        <v>1548000</v>
      </c>
      <c r="V2370" s="28">
        <v>991604000</v>
      </c>
      <c r="W2370" s="28">
        <v>18617000</v>
      </c>
      <c r="X2370" s="28">
        <v>261118000</v>
      </c>
      <c r="Y2370" s="28">
        <v>1558426000</v>
      </c>
      <c r="Z2370" s="28">
        <v>658362000</v>
      </c>
      <c r="AA2370" s="28"/>
      <c r="AB2370" s="28"/>
      <c r="AC2370" s="28">
        <v>847564000</v>
      </c>
      <c r="AD2370" s="28">
        <v>710862000</v>
      </c>
      <c r="AE2370" s="28">
        <v>4277440000</v>
      </c>
      <c r="AF2370" s="28">
        <v>34174000</v>
      </c>
      <c r="AG2370" s="11"/>
    </row>
    <row r="2371">
      <c r="A2371" s="7" t="s">
        <v>4064</v>
      </c>
      <c r="B2371" s="5" t="s">
        <v>12043</v>
      </c>
      <c r="C2371" s="5" t="s">
        <v>19888</v>
      </c>
      <c r="D2371" s="5" t="str">
        <v>773303450329</v>
      </c>
      <c r="E2371" s="0" t="e">
        <f>+7 (861) 2104534</f>
        <v>#NAME?</v>
      </c>
      <c r="F2371" s="5" t="s">
        <v>32478</v>
      </c>
      <c r="G2371" s="5" t="s">
        <v>32479</v>
      </c>
      <c r="H2371" s="26">
        <v>16.5</v>
      </c>
      <c r="I2371" s="5" t="s">
        <v>32480</v>
      </c>
      <c r="J2371" s="5" t="s">
        <v>32481</v>
      </c>
      <c r="K2371" s="5" t="s">
        <v>344</v>
      </c>
      <c r="L2371" s="5" t="s">
        <v>32482</v>
      </c>
      <c r="M2371" s="27"/>
      <c r="N2371" s="5" t="s">
        <v>53062</v>
      </c>
      <c r="O2371" s="5" t="str">
        <v>7715612935</v>
      </c>
      <c r="P2371" s="27">
        <v>203010000</v>
      </c>
      <c r="Q2371" s="5" t="s">
        <v>53063</v>
      </c>
      <c r="R2371" s="5"/>
      <c r="S2371" s="5" t="s">
        <v>53064</v>
      </c>
      <c r="T2371" s="28">
        <v>21582000</v>
      </c>
      <c r="U2371" s="28">
        <v>39970000</v>
      </c>
      <c r="V2371" s="28">
        <v>857552000</v>
      </c>
      <c r="W2371" s="28">
        <v>41000000</v>
      </c>
      <c r="X2371" s="28">
        <v>69653000</v>
      </c>
      <c r="Y2371" s="28">
        <v>1950426000</v>
      </c>
      <c r="Z2371" s="28">
        <v>903667000</v>
      </c>
      <c r="AA2371" s="28"/>
      <c r="AB2371" s="28">
        <v>176248000</v>
      </c>
      <c r="AC2371" s="28">
        <v>826782000</v>
      </c>
      <c r="AD2371" s="28">
        <v>1106677000</v>
      </c>
      <c r="AE2371" s="28">
        <v>3501618000</v>
      </c>
      <c r="AF2371" s="28">
        <v>424849000</v>
      </c>
      <c r="AG2371" s="11"/>
    </row>
    <row r="2372">
      <c r="A2372" s="7" t="s">
        <v>4065</v>
      </c>
      <c r="B2372" s="5" t="s">
        <v>12044</v>
      </c>
      <c r="C2372" s="5" t="s">
        <v>19889</v>
      </c>
      <c r="D2372" s="5" t="str">
        <v>772000488642</v>
      </c>
      <c r="E2372" s="0" t="e">
        <f>+7 (985) 7691159
+7 (495) 7029646
+7 (495) 7029649
+7 (495) 9959035
+7 (495) 9959036
+7 (910) 4143893
+7 (910) 4144248
+7 (910) 4144337
+7 (985) 1507878</f>
        <v>#NAME?</v>
      </c>
      <c r="F2372" s="5" t="s">
        <v>32483</v>
      </c>
      <c r="G2372" s="5" t="s">
        <v>32484</v>
      </c>
      <c r="H2372" s="26">
        <v>13</v>
      </c>
      <c r="I2372" s="5" t="s">
        <v>32485</v>
      </c>
      <c r="J2372" s="5" t="s">
        <v>28738</v>
      </c>
      <c r="K2372" s="5" t="s">
        <v>344</v>
      </c>
      <c r="L2372" s="5" t="s">
        <v>32486</v>
      </c>
      <c r="M2372" s="27"/>
      <c r="N2372" s="5" t="s">
        <v>53065</v>
      </c>
      <c r="O2372" s="5" t="str">
        <v>5031116068</v>
      </c>
      <c r="P2372" s="27">
        <v>250000</v>
      </c>
      <c r="Q2372" s="5" t="s">
        <v>50437</v>
      </c>
      <c r="R2372" s="5"/>
      <c r="S2372" s="5" t="s">
        <v>53066</v>
      </c>
      <c r="T2372" s="28">
        <v>53886000</v>
      </c>
      <c r="U2372" s="28"/>
      <c r="V2372" s="28">
        <v>2219643000</v>
      </c>
      <c r="W2372" s="28">
        <v>8300000</v>
      </c>
      <c r="X2372" s="28">
        <v>5416000</v>
      </c>
      <c r="Y2372" s="28">
        <v>3945536000</v>
      </c>
      <c r="Z2372" s="28">
        <v>1787335000</v>
      </c>
      <c r="AA2372" s="28">
        <v>869200000</v>
      </c>
      <c r="AB2372" s="28">
        <v>69648000</v>
      </c>
      <c r="AC2372" s="28">
        <v>1283124000</v>
      </c>
      <c r="AD2372" s="28">
        <v>1787585000</v>
      </c>
      <c r="AE2372" s="28">
        <v>9985047000</v>
      </c>
      <c r="AF2372" s="28">
        <v>1155362000</v>
      </c>
      <c r="AG2372" s="11"/>
    </row>
    <row r="2373">
      <c r="A2373" s="7" t="s">
        <v>4066</v>
      </c>
      <c r="B2373" s="5" t="s">
        <v>12045</v>
      </c>
      <c r="C2373" s="5" t="s">
        <v>19890</v>
      </c>
      <c r="D2373" s="5" t="str">
        <v>503411785185</v>
      </c>
      <c r="E2373" s="0" t="e">
        <f>+7 (495) 2129295
+7 (800) 1003598
+7 (903) 5405096
+7 (926) 5591644
+7 (926) 8198045</f>
        <v>#NAME?</v>
      </c>
      <c r="F2373" s="5" t="s">
        <v>32487</v>
      </c>
      <c r="G2373" s="5"/>
      <c r="H2373" s="26">
        <v>4</v>
      </c>
      <c r="I2373" s="5" t="s">
        <v>32488</v>
      </c>
      <c r="J2373" s="5" t="s">
        <v>29848</v>
      </c>
      <c r="K2373" s="5" t="s">
        <v>344</v>
      </c>
      <c r="L2373" s="5"/>
      <c r="M2373" s="27"/>
      <c r="N2373" s="5" t="s">
        <v>53067</v>
      </c>
      <c r="O2373" s="5" t="str">
        <v>9706000111</v>
      </c>
      <c r="P2373" s="27">
        <v>10000</v>
      </c>
      <c r="Q2373" s="5" t="s">
        <v>53068</v>
      </c>
      <c r="R2373" s="5"/>
      <c r="S2373" s="5" t="s">
        <v>53069</v>
      </c>
      <c r="T2373" s="28">
        <v>52879000</v>
      </c>
      <c r="U2373" s="28">
        <v>1115780000</v>
      </c>
      <c r="V2373" s="28">
        <v>194899000</v>
      </c>
      <c r="W2373" s="28"/>
      <c r="X2373" s="28">
        <v>1531288000</v>
      </c>
      <c r="Y2373" s="28">
        <v>3009829000</v>
      </c>
      <c r="Z2373" s="28">
        <v>-180118000</v>
      </c>
      <c r="AA2373" s="28"/>
      <c r="AB2373" s="28"/>
      <c r="AC2373" s="28">
        <v>3156340000</v>
      </c>
      <c r="AD2373" s="28">
        <v>-180108000</v>
      </c>
      <c r="AE2373" s="28">
        <v>3826808000</v>
      </c>
      <c r="AF2373" s="28">
        <v>256916000</v>
      </c>
      <c r="AG2373" s="11"/>
    </row>
    <row r="2374">
      <c r="A2374" s="7" t="s">
        <v>4067</v>
      </c>
      <c r="B2374" s="5" t="s">
        <v>12046</v>
      </c>
      <c r="C2374" s="5" t="s">
        <v>19891</v>
      </c>
      <c r="D2374" s="5" t="str">
        <v>781424422826</v>
      </c>
      <c r="E2374" s="0" t="e">
        <f>+7 (495) 9372908
+7 (800) 2007721
+7 (800) 2007741
+7 (800) 2007751
+7 (800) 5558959
+7 (812) 3375220
+7 (812) 7401628
+7 (812) 7401629
+7 (812) 7401630
+7 (981) 7112502</f>
        <v>#NAME?</v>
      </c>
      <c r="F2374" s="5"/>
      <c r="G2374" s="5" t="s">
        <v>32489</v>
      </c>
      <c r="H2374" s="26">
        <v>6.5</v>
      </c>
      <c r="I2374" s="5" t="s">
        <v>32490</v>
      </c>
      <c r="J2374" s="5" t="s">
        <v>27522</v>
      </c>
      <c r="K2374" s="5" t="s">
        <v>380</v>
      </c>
      <c r="L2374" s="5"/>
      <c r="M2374" s="27">
        <v>5341544903</v>
      </c>
      <c r="N2374" s="5"/>
      <c r="O2374" s="5" t="str">
        <v>7805675827</v>
      </c>
      <c r="P2374" s="27">
        <v>10010000</v>
      </c>
      <c r="Q2374" s="5" t="s">
        <v>49009</v>
      </c>
      <c r="R2374" s="5" t="s">
        <v>53070</v>
      </c>
      <c r="S2374" s="5" t="s">
        <v>49010</v>
      </c>
      <c r="T2374" s="28"/>
      <c r="U2374" s="28"/>
      <c r="V2374" s="28">
        <v>2338091000</v>
      </c>
      <c r="W2374" s="28">
        <v>82674000</v>
      </c>
      <c r="X2374" s="28">
        <v>11177000</v>
      </c>
      <c r="Y2374" s="28">
        <v>6115523000</v>
      </c>
      <c r="Z2374" s="28">
        <v>-283722000</v>
      </c>
      <c r="AA2374" s="28"/>
      <c r="AB2374" s="28"/>
      <c r="AC2374" s="28">
        <v>6389233000</v>
      </c>
      <c r="AD2374" s="28">
        <v>-273712000</v>
      </c>
      <c r="AE2374" s="28">
        <v>5022790000</v>
      </c>
      <c r="AF2374" s="28">
        <v>-152956000</v>
      </c>
      <c r="AG2374" s="11"/>
    </row>
    <row r="2375">
      <c r="A2375" s="7" t="s">
        <v>4068</v>
      </c>
      <c r="B2375" s="5" t="s">
        <v>12047</v>
      </c>
      <c r="C2375" s="5" t="s">
        <v>19892</v>
      </c>
      <c r="D2375" s="5" t="str">
        <v>772482646161</v>
      </c>
      <c r="E2375" s="0" t="e">
        <f>+7 (495) 69016</f>
        <v>#NAME?</v>
      </c>
      <c r="F2375" s="5"/>
      <c r="G2375" s="5" t="s">
        <v>32491</v>
      </c>
      <c r="H2375" s="26">
        <v>5.5</v>
      </c>
      <c r="I2375" s="5" t="s">
        <v>32492</v>
      </c>
      <c r="J2375" s="5" t="s">
        <v>30470</v>
      </c>
      <c r="K2375" s="5" t="s">
        <v>344</v>
      </c>
      <c r="L2375" s="5" t="s">
        <v>32493</v>
      </c>
      <c r="M2375" s="27"/>
      <c r="N2375" s="5" t="s">
        <v>53071</v>
      </c>
      <c r="O2375" s="5" t="str">
        <v>5040149408</v>
      </c>
      <c r="P2375" s="27">
        <v>250000</v>
      </c>
      <c r="Q2375" s="5" t="s">
        <v>53072</v>
      </c>
      <c r="R2375" s="5"/>
      <c r="S2375" s="5" t="s">
        <v>49227</v>
      </c>
      <c r="T2375" s="28">
        <v>214866000</v>
      </c>
      <c r="U2375" s="28">
        <v>1129711000</v>
      </c>
      <c r="V2375" s="28">
        <v>5256302000</v>
      </c>
      <c r="W2375" s="28">
        <v>6232000</v>
      </c>
      <c r="X2375" s="28">
        <v>441457000</v>
      </c>
      <c r="Y2375" s="28">
        <v>7677623000</v>
      </c>
      <c r="Z2375" s="28">
        <v>1794073000</v>
      </c>
      <c r="AA2375" s="28"/>
      <c r="AB2375" s="28">
        <v>1523784000</v>
      </c>
      <c r="AC2375" s="28">
        <v>5837542000</v>
      </c>
      <c r="AD2375" s="28">
        <v>1874429000</v>
      </c>
      <c r="AE2375" s="28">
        <v>4849719000</v>
      </c>
      <c r="AF2375" s="28">
        <v>1455291000</v>
      </c>
      <c r="AG2375" s="11"/>
    </row>
    <row r="2376">
      <c r="A2376" s="7" t="s">
        <v>4069</v>
      </c>
      <c r="B2376" s="5" t="s">
        <v>12048</v>
      </c>
      <c r="C2376" s="5" t="s">
        <v>19893</v>
      </c>
      <c r="D2376" s="5" t="str">
        <v>524708299092</v>
      </c>
      <c r="E2376" s="0" t="e">
        <f>+7 (495) 6874086
+7 (383) 2099000
+7 (473) 2023343
+7 (495) 1284087
+7 (495) 2874086
+7 (495) 2874087
+7 (495) 3084833
+7 (800) 1002717
+7 (812) 6004932
+7 (8432) 168920
+7 (84624) 30010
+7 (861) 2388785</f>
        <v>#NAME?</v>
      </c>
      <c r="F2376" s="5" t="s">
        <v>32494</v>
      </c>
      <c r="G2376" s="5" t="s">
        <v>32495</v>
      </c>
      <c r="H2376" s="26">
        <v>13.5</v>
      </c>
      <c r="I2376" s="5" t="s">
        <v>32496</v>
      </c>
      <c r="J2376" s="5" t="s">
        <v>25337</v>
      </c>
      <c r="K2376" s="5" t="s">
        <v>344</v>
      </c>
      <c r="L2376" s="5" t="s">
        <v>32497</v>
      </c>
      <c r="M2376" s="27"/>
      <c r="N2376" s="5" t="s">
        <v>53073</v>
      </c>
      <c r="O2376" s="5" t="str">
        <v>7709841687</v>
      </c>
      <c r="P2376" s="27">
        <v>7990000</v>
      </c>
      <c r="Q2376" s="5" t="s">
        <v>49021</v>
      </c>
      <c r="R2376" s="5"/>
      <c r="S2376" s="5" t="s">
        <v>53074</v>
      </c>
      <c r="T2376" s="28">
        <v>4135000</v>
      </c>
      <c r="U2376" s="28"/>
      <c r="V2376" s="28">
        <v>250269000</v>
      </c>
      <c r="W2376" s="28">
        <v>15400000</v>
      </c>
      <c r="X2376" s="28">
        <v>396978000</v>
      </c>
      <c r="Y2376" s="28">
        <v>1372324000</v>
      </c>
      <c r="Z2376" s="28">
        <v>1222570000</v>
      </c>
      <c r="AA2376" s="28"/>
      <c r="AB2376" s="28"/>
      <c r="AC2376" s="28">
        <v>143510000</v>
      </c>
      <c r="AD2376" s="28">
        <v>1228562000</v>
      </c>
      <c r="AE2376" s="28">
        <v>3409717000</v>
      </c>
      <c r="AF2376" s="28">
        <v>251282000</v>
      </c>
      <c r="AG2376" s="11"/>
    </row>
    <row r="2377">
      <c r="A2377" s="7" t="s">
        <v>4070</v>
      </c>
      <c r="B2377" s="5" t="s">
        <v>12049</v>
      </c>
      <c r="C2377" s="5" t="s">
        <v>19894</v>
      </c>
      <c r="D2377" s="5" t="str">
        <v>501806548694</v>
      </c>
      <c r="E2377" s="0" t="e">
        <f>+7 (495) 7417582
+7 (3433) 891317
+7 (3433) 891318
+7 (3433) 891319
+7 (3472) 935750
+7 (383) 3622323
+7 (473) 2394654
+7 (473) 2394742
+7 (473) 2502947
+7 (473) 2502948
+7 (495) 5592001
+7 (495) 7417581
+7 (495) 7417583
+7 (495) 7417584
+7 (812) 6802923</f>
        <v>#NAME?</v>
      </c>
      <c r="F2377" s="5" t="s">
        <v>32498</v>
      </c>
      <c r="G2377" s="5" t="s">
        <v>32499</v>
      </c>
      <c r="H2377" s="26">
        <v>15</v>
      </c>
      <c r="I2377" s="5" t="s">
        <v>32500</v>
      </c>
      <c r="J2377" s="5" t="s">
        <v>25337</v>
      </c>
      <c r="K2377" s="5" t="s">
        <v>344</v>
      </c>
      <c r="L2377" s="5" t="s">
        <v>32501</v>
      </c>
      <c r="M2377" s="27"/>
      <c r="N2377" s="5" t="s">
        <v>53075</v>
      </c>
      <c r="O2377" s="5" t="str">
        <v>7702663989</v>
      </c>
      <c r="P2377" s="27">
        <v>1000000</v>
      </c>
      <c r="Q2377" s="5" t="s">
        <v>49059</v>
      </c>
      <c r="R2377" s="5"/>
      <c r="S2377" s="5" t="s">
        <v>49487</v>
      </c>
      <c r="T2377" s="28">
        <v>5733000</v>
      </c>
      <c r="U2377" s="28"/>
      <c r="V2377" s="28">
        <v>422042000</v>
      </c>
      <c r="W2377" s="28">
        <v>60504000</v>
      </c>
      <c r="X2377" s="28">
        <v>37569000</v>
      </c>
      <c r="Y2377" s="28">
        <v>1497786000</v>
      </c>
      <c r="Z2377" s="28">
        <v>535921000</v>
      </c>
      <c r="AA2377" s="28">
        <v>499940000</v>
      </c>
      <c r="AB2377" s="28"/>
      <c r="AC2377" s="28">
        <v>460520000</v>
      </c>
      <c r="AD2377" s="28">
        <v>536921000</v>
      </c>
      <c r="AE2377" s="28">
        <v>3425287000</v>
      </c>
      <c r="AF2377" s="28">
        <v>243154000</v>
      </c>
      <c r="AG2377" s="11"/>
    </row>
    <row r="2378">
      <c r="A2378" s="7" t="s">
        <v>4071</v>
      </c>
      <c r="B2378" s="5" t="s">
        <v>12050</v>
      </c>
      <c r="C2378" s="5" t="s">
        <v>19895</v>
      </c>
      <c r="D2378" s="5" t="str">
        <v>771528936604</v>
      </c>
      <c r="E2378" s="0" t="e">
        <f>+7 (800) 7005324
+7 (861) 2524552</f>
        <v>#NAME?</v>
      </c>
      <c r="F2378" s="5" t="s">
        <v>32502</v>
      </c>
      <c r="G2378" s="5" t="s">
        <v>32503</v>
      </c>
      <c r="H2378" s="26">
        <v>22</v>
      </c>
      <c r="I2378" s="5" t="s">
        <v>32504</v>
      </c>
      <c r="J2378" s="5" t="s">
        <v>26173</v>
      </c>
      <c r="K2378" s="5" t="s">
        <v>344</v>
      </c>
      <c r="L2378" s="5" t="s">
        <v>32505</v>
      </c>
      <c r="M2378" s="27"/>
      <c r="N2378" s="5" t="s">
        <v>53076</v>
      </c>
      <c r="O2378" s="5" t="str">
        <v>7714202510</v>
      </c>
      <c r="P2378" s="27">
        <v>6020000</v>
      </c>
      <c r="Q2378" s="5" t="s">
        <v>53077</v>
      </c>
      <c r="R2378" s="5"/>
      <c r="S2378" s="5" t="s">
        <v>50001</v>
      </c>
      <c r="T2378" s="28">
        <v>10815000</v>
      </c>
      <c r="U2378" s="28"/>
      <c r="V2378" s="28">
        <v>423476000</v>
      </c>
      <c r="W2378" s="28">
        <v>36500000</v>
      </c>
      <c r="X2378" s="28">
        <v>375508000</v>
      </c>
      <c r="Y2378" s="28">
        <v>1318777000</v>
      </c>
      <c r="Z2378" s="28">
        <v>466922000</v>
      </c>
      <c r="AA2378" s="28"/>
      <c r="AB2378" s="28"/>
      <c r="AC2378" s="28">
        <v>724949000</v>
      </c>
      <c r="AD2378" s="28">
        <v>580912000</v>
      </c>
      <c r="AE2378" s="28">
        <v>3310298000</v>
      </c>
      <c r="AF2378" s="28">
        <v>288272000</v>
      </c>
      <c r="AG2378" s="11"/>
    </row>
    <row r="2379">
      <c r="A2379" s="7" t="s">
        <v>4072</v>
      </c>
      <c r="B2379" s="5" t="s">
        <v>12051</v>
      </c>
      <c r="C2379" s="5" t="s">
        <v>19896</v>
      </c>
      <c r="D2379" s="5" t="str">
        <v>740903489309</v>
      </c>
      <c r="E2379" s="0" t="e">
        <f>+7 (343) 3394108</f>
        <v>#NAME?</v>
      </c>
      <c r="F2379" s="5" t="s">
        <v>32506</v>
      </c>
      <c r="G2379" s="5" t="s">
        <v>32507</v>
      </c>
      <c r="H2379" s="26">
        <v>11.5</v>
      </c>
      <c r="I2379" s="5" t="s">
        <v>32508</v>
      </c>
      <c r="J2379" s="5" t="s">
        <v>27296</v>
      </c>
      <c r="K2379" s="5" t="s">
        <v>344</v>
      </c>
      <c r="L2379" s="5" t="s">
        <v>32509</v>
      </c>
      <c r="M2379" s="27">
        <v>2963819</v>
      </c>
      <c r="N2379" s="5" t="s">
        <v>53078</v>
      </c>
      <c r="O2379" s="5" t="str">
        <v>7728778896</v>
      </c>
      <c r="P2379" s="27">
        <v>2000000</v>
      </c>
      <c r="Q2379" s="5" t="s">
        <v>53079</v>
      </c>
      <c r="R2379" s="5"/>
      <c r="S2379" s="5" t="s">
        <v>53080</v>
      </c>
      <c r="T2379" s="28">
        <v>6237000</v>
      </c>
      <c r="U2379" s="28">
        <v>300000</v>
      </c>
      <c r="V2379" s="28">
        <v>472387000</v>
      </c>
      <c r="W2379" s="28">
        <v>49052000</v>
      </c>
      <c r="X2379" s="28">
        <v>22304000</v>
      </c>
      <c r="Y2379" s="28">
        <v>1085956000</v>
      </c>
      <c r="Z2379" s="28">
        <v>233891000</v>
      </c>
      <c r="AA2379" s="28"/>
      <c r="AB2379" s="28"/>
      <c r="AC2379" s="28">
        <v>850065000</v>
      </c>
      <c r="AD2379" s="28">
        <v>235891000</v>
      </c>
      <c r="AE2379" s="28">
        <v>4617727000</v>
      </c>
      <c r="AF2379" s="28">
        <v>212287000</v>
      </c>
      <c r="AG2379" s="11"/>
    </row>
    <row r="2380">
      <c r="A2380" s="7" t="s">
        <v>4073</v>
      </c>
      <c r="B2380" s="5" t="s">
        <v>12052</v>
      </c>
      <c r="C2380" s="5" t="s">
        <v>19897</v>
      </c>
      <c r="D2380" s="5" t="str">
        <v>560203412026</v>
      </c>
      <c r="E2380" s="0" t="e">
        <f>+7 (35342) 52924
+7 (35342) 39272
+7 (35342) 39277
+7 (35342) 74024
+7 (35342) 76588</f>
        <v>#NAME?</v>
      </c>
      <c r="F2380" s="5" t="s">
        <v>32510</v>
      </c>
      <c r="G2380" s="5"/>
      <c r="H2380" s="26">
        <v>15.5</v>
      </c>
      <c r="I2380" s="5"/>
      <c r="J2380" s="5" t="s">
        <v>27921</v>
      </c>
      <c r="K2380" s="5" t="s">
        <v>355</v>
      </c>
      <c r="L2380" s="5" t="s">
        <v>32511</v>
      </c>
      <c r="M2380" s="27">
        <v>1159625647</v>
      </c>
      <c r="N2380" s="5"/>
      <c r="O2380" s="5" t="str">
        <v>5603019240</v>
      </c>
      <c r="P2380" s="27">
        <v>10000</v>
      </c>
      <c r="Q2380" s="5" t="s">
        <v>53082</v>
      </c>
      <c r="R2380" s="5" t="s">
        <v>53083</v>
      </c>
      <c r="S2380" s="5" t="s">
        <v>49496</v>
      </c>
      <c r="T2380" s="28">
        <v>839573000</v>
      </c>
      <c r="U2380" s="28"/>
      <c r="V2380" s="28">
        <v>1274923000</v>
      </c>
      <c r="W2380" s="28">
        <v>23000000</v>
      </c>
      <c r="X2380" s="28">
        <v>4940000</v>
      </c>
      <c r="Y2380" s="28">
        <v>2272988000</v>
      </c>
      <c r="Z2380" s="28">
        <v>268885000</v>
      </c>
      <c r="AA2380" s="28"/>
      <c r="AB2380" s="28">
        <v>213901000</v>
      </c>
      <c r="AC2380" s="28">
        <v>1409217000</v>
      </c>
      <c r="AD2380" s="28">
        <v>268897000</v>
      </c>
      <c r="AE2380" s="28">
        <v>5716270000</v>
      </c>
      <c r="AF2380" s="28">
        <v>50240000</v>
      </c>
      <c r="AG2380" s="11"/>
    </row>
    <row r="2381">
      <c r="A2381" s="7" t="s">
        <v>4074</v>
      </c>
      <c r="B2381" s="5" t="s">
        <v>12053</v>
      </c>
      <c r="C2381" s="5" t="s">
        <v>19898</v>
      </c>
      <c r="D2381" s="5" t="str">
        <v>381109310523</v>
      </c>
      <c r="E2381" s="0" t="e">
        <f>+7 (8422) 383838
+7 (385) 2357602
+7 (3952) 357603
+7 (914) 53037
+7 (914) 9274009</f>
        <v>#NAME?</v>
      </c>
      <c r="F2381" s="5" t="s">
        <v>32512</v>
      </c>
      <c r="G2381" s="5" t="s">
        <v>32513</v>
      </c>
      <c r="H2381" s="26">
        <v>30</v>
      </c>
      <c r="I2381" s="5" t="s">
        <v>32514</v>
      </c>
      <c r="J2381" s="5" t="s">
        <v>25429</v>
      </c>
      <c r="K2381" s="5" t="s">
        <v>344</v>
      </c>
      <c r="L2381" s="5" t="s">
        <v>32515</v>
      </c>
      <c r="M2381" s="27"/>
      <c r="N2381" s="5" t="s">
        <v>53084</v>
      </c>
      <c r="O2381" s="5" t="str">
        <v>3808005693</v>
      </c>
      <c r="P2381" s="27">
        <v>100000</v>
      </c>
      <c r="Q2381" s="5" t="s">
        <v>53085</v>
      </c>
      <c r="R2381" s="5"/>
      <c r="S2381" s="5" t="s">
        <v>53086</v>
      </c>
      <c r="T2381" s="28">
        <v>75511000</v>
      </c>
      <c r="U2381" s="28">
        <v>4133000</v>
      </c>
      <c r="V2381" s="28">
        <v>781856000</v>
      </c>
      <c r="W2381" s="28">
        <v>12000000</v>
      </c>
      <c r="X2381" s="28">
        <v>456644000</v>
      </c>
      <c r="Y2381" s="28">
        <v>1890532000</v>
      </c>
      <c r="Z2381" s="28">
        <v>699209000</v>
      </c>
      <c r="AA2381" s="28"/>
      <c r="AB2381" s="28">
        <v>151033000</v>
      </c>
      <c r="AC2381" s="28">
        <v>1187095000</v>
      </c>
      <c r="AD2381" s="28">
        <v>699353000</v>
      </c>
      <c r="AE2381" s="28">
        <v>3465768000</v>
      </c>
      <c r="AF2381" s="28">
        <v>365193000</v>
      </c>
      <c r="AG2381" s="11"/>
    </row>
    <row r="2382">
      <c r="A2382" s="7" t="s">
        <v>4075</v>
      </c>
      <c r="B2382" s="5" t="s">
        <v>12054</v>
      </c>
      <c r="C2382" s="5" t="s">
        <v>19899</v>
      </c>
      <c r="D2382" s="5" t="str">
        <v>770871562305</v>
      </c>
      <c r="E2382" s="0" t="e">
        <f>+7 (495) 9676676
+7 (499) 2678180
+7 (495) 2653174
+7 (495) 7219158
+7 (495) 9676675
+7 (499) 2653174</f>
        <v>#NAME?</v>
      </c>
      <c r="F2382" s="5" t="s">
        <v>32516</v>
      </c>
      <c r="G2382" s="5"/>
      <c r="H2382" s="26">
        <v>21</v>
      </c>
      <c r="I2382" s="5" t="s">
        <v>32517</v>
      </c>
      <c r="J2382" s="5" t="s">
        <v>25210</v>
      </c>
      <c r="K2382" s="5" t="s">
        <v>355</v>
      </c>
      <c r="L2382" s="5"/>
      <c r="M2382" s="27">
        <v>4105483</v>
      </c>
      <c r="N2382" s="5" t="s">
        <v>53087</v>
      </c>
      <c r="O2382" s="5" t="str">
        <v>7701135062</v>
      </c>
      <c r="P2382" s="27">
        <v>1000000</v>
      </c>
      <c r="Q2382" s="5" t="s">
        <v>53088</v>
      </c>
      <c r="R2382" s="5" t="s">
        <v>53089</v>
      </c>
      <c r="S2382" s="5" t="s">
        <v>50705</v>
      </c>
      <c r="T2382" s="28">
        <v>24525000</v>
      </c>
      <c r="U2382" s="28">
        <v>8500000</v>
      </c>
      <c r="V2382" s="28">
        <v>1216746000</v>
      </c>
      <c r="W2382" s="28">
        <v>3019000</v>
      </c>
      <c r="X2382" s="28">
        <v>63373000</v>
      </c>
      <c r="Y2382" s="28">
        <v>2856011000</v>
      </c>
      <c r="Z2382" s="28">
        <v>-5110362000</v>
      </c>
      <c r="AA2382" s="28">
        <v>422210000</v>
      </c>
      <c r="AB2382" s="28">
        <v>1431889000</v>
      </c>
      <c r="AC2382" s="28">
        <v>2385226000</v>
      </c>
      <c r="AD2382" s="28">
        <v>48088000</v>
      </c>
      <c r="AE2382" s="28">
        <v>3436154000</v>
      </c>
      <c r="AF2382" s="28">
        <v>-580674000</v>
      </c>
      <c r="AG2382" s="11"/>
    </row>
    <row r="2383">
      <c r="A2383" s="7" t="s">
        <v>4076</v>
      </c>
      <c r="B2383" s="5" t="s">
        <v>12055</v>
      </c>
      <c r="C2383" s="5" t="s">
        <v>19900</v>
      </c>
      <c r="D2383" s="5" t="str">
        <v>550721942116</v>
      </c>
      <c r="F2383" s="5" t="s">
        <v>32518</v>
      </c>
      <c r="G2383" s="5" t="s">
        <v>32519</v>
      </c>
      <c r="H2383" s="26">
        <v>10</v>
      </c>
      <c r="I2383" s="5" t="s">
        <v>32520</v>
      </c>
      <c r="J2383" s="5" t="s">
        <v>32521</v>
      </c>
      <c r="K2383" s="5" t="s">
        <v>344</v>
      </c>
      <c r="L2383" s="5" t="s">
        <v>32522</v>
      </c>
      <c r="M2383" s="27"/>
      <c r="N2383" s="5"/>
      <c r="O2383" s="5" t="str">
        <v>7802818749</v>
      </c>
      <c r="P2383" s="27">
        <v>1000000</v>
      </c>
      <c r="Q2383" s="5" t="s">
        <v>49207</v>
      </c>
      <c r="R2383" s="5"/>
      <c r="S2383" s="5" t="s">
        <v>53047</v>
      </c>
      <c r="T2383" s="28">
        <v>21652000</v>
      </c>
      <c r="U2383" s="28">
        <v>29920000</v>
      </c>
      <c r="V2383" s="28">
        <v>823839000</v>
      </c>
      <c r="W2383" s="28">
        <v>202140000</v>
      </c>
      <c r="X2383" s="28">
        <v>58242000</v>
      </c>
      <c r="Y2383" s="28">
        <v>1667161000</v>
      </c>
      <c r="Z2383" s="28">
        <v>100518000</v>
      </c>
      <c r="AA2383" s="28">
        <v>298595000</v>
      </c>
      <c r="AB2383" s="28">
        <v>5281000</v>
      </c>
      <c r="AC2383" s="28">
        <v>1247912000</v>
      </c>
      <c r="AD2383" s="28">
        <v>101518000</v>
      </c>
      <c r="AE2383" s="28">
        <v>4035368000</v>
      </c>
      <c r="AF2383" s="28">
        <v>138868000</v>
      </c>
      <c r="AG2383" s="11"/>
    </row>
    <row r="2384">
      <c r="A2384" s="7" t="s">
        <v>4077</v>
      </c>
      <c r="B2384" s="5" t="s">
        <v>12056</v>
      </c>
      <c r="C2384" s="5" t="s">
        <v>19901</v>
      </c>
      <c r="D2384" s="5" t="str">
        <v>741107210536</v>
      </c>
      <c r="E2384" s="0" t="e">
        <f>+7 (351) 2553317
+7 (351) 2553746
+7 (3512) 353578
+7 (3512) 560599
+7 (3512) 597273
+7 (3512) 597524</f>
        <v>#NAME?</v>
      </c>
      <c r="F2384" s="5"/>
      <c r="G2384" s="5" t="s">
        <v>32523</v>
      </c>
      <c r="H2384" s="26">
        <v>19</v>
      </c>
      <c r="I2384" s="5" t="s">
        <v>32524</v>
      </c>
      <c r="J2384" s="5" t="s">
        <v>32525</v>
      </c>
      <c r="K2384" s="5" t="s">
        <v>344</v>
      </c>
      <c r="L2384" s="5" t="s">
        <v>32526</v>
      </c>
      <c r="M2384" s="27"/>
      <c r="N2384" s="5"/>
      <c r="O2384" s="5" t="str">
        <v>7411018984</v>
      </c>
      <c r="P2384" s="27">
        <v>2000000</v>
      </c>
      <c r="Q2384" s="5"/>
      <c r="R2384" s="5" t="s">
        <v>53090</v>
      </c>
      <c r="S2384" s="5" t="s">
        <v>49029</v>
      </c>
      <c r="T2384" s="28">
        <v>183668000</v>
      </c>
      <c r="U2384" s="28"/>
      <c r="V2384" s="28">
        <v>255790000</v>
      </c>
      <c r="W2384" s="28">
        <v>1100000</v>
      </c>
      <c r="X2384" s="28">
        <v>2264000</v>
      </c>
      <c r="Y2384" s="28">
        <v>706998000</v>
      </c>
      <c r="Z2384" s="28">
        <v>199611000</v>
      </c>
      <c r="AA2384" s="28">
        <v>415000000</v>
      </c>
      <c r="AB2384" s="28">
        <v>12205000</v>
      </c>
      <c r="AC2384" s="28">
        <v>84865000</v>
      </c>
      <c r="AD2384" s="28">
        <v>201611000</v>
      </c>
      <c r="AE2384" s="28">
        <v>3677110000</v>
      </c>
      <c r="AF2384" s="28">
        <v>73635000</v>
      </c>
      <c r="AG2384" s="11"/>
    </row>
    <row r="2385">
      <c r="A2385" s="7" t="s">
        <v>4078</v>
      </c>
      <c r="B2385" s="5" t="s">
        <v>12057</v>
      </c>
      <c r="C2385" s="5" t="s">
        <v>19902</v>
      </c>
      <c r="D2385" s="5" t="str">
        <v>773127534098</v>
      </c>
      <c r="E2385" s="0" t="e">
        <f>+7 (495) 1206000
+7 (495) 2031560
+7 (800) 2221100</f>
        <v>#NAME?</v>
      </c>
      <c r="F2385" s="5" t="s">
        <v>32527</v>
      </c>
      <c r="G2385" s="5" t="s">
        <v>32528</v>
      </c>
      <c r="H2385" s="26">
        <v>4.5</v>
      </c>
      <c r="I2385" s="5"/>
      <c r="J2385" s="5" t="s">
        <v>30822</v>
      </c>
      <c r="K2385" s="5" t="s">
        <v>380</v>
      </c>
      <c r="L2385" s="5"/>
      <c r="M2385" s="27">
        <v>14679600</v>
      </c>
      <c r="N2385" s="5" t="s">
        <v>53091</v>
      </c>
      <c r="O2385" s="5" t="str">
        <v>9705118142</v>
      </c>
      <c r="P2385" s="27">
        <v>10000</v>
      </c>
      <c r="Q2385" s="5" t="s">
        <v>53093</v>
      </c>
      <c r="R2385" s="5"/>
      <c r="S2385" s="5" t="s">
        <v>53094</v>
      </c>
      <c r="T2385" s="28">
        <v>1601738000</v>
      </c>
      <c r="U2385" s="28"/>
      <c r="V2385" s="28">
        <v>2419577000</v>
      </c>
      <c r="W2385" s="28"/>
      <c r="X2385" s="28">
        <v>4960710000</v>
      </c>
      <c r="Y2385" s="28">
        <v>15427354000</v>
      </c>
      <c r="Z2385" s="28">
        <v>-39508181000</v>
      </c>
      <c r="AA2385" s="28"/>
      <c r="AB2385" s="28">
        <v>34510321000</v>
      </c>
      <c r="AC2385" s="28">
        <v>40757574000</v>
      </c>
      <c r="AD2385" s="28">
        <v>-27144396000</v>
      </c>
      <c r="AE2385" s="28">
        <v>46790369000</v>
      </c>
      <c r="AF2385" s="28">
        <v>-20306694000</v>
      </c>
      <c r="AG2385" s="11"/>
    </row>
    <row r="2386">
      <c r="A2386" s="7" t="s">
        <v>4079</v>
      </c>
      <c r="B2386" s="5" t="s">
        <v>12058</v>
      </c>
      <c r="C2386" s="5" t="s">
        <v>19903</v>
      </c>
      <c r="D2386" s="5" t="str">
        <v>772491269939</v>
      </c>
      <c r="E2386" s="0" t="e">
        <f>+7 (985) 9043427
+7 (915) 7673448
+7 (915) 7696224
+7 (916) 3941315</f>
        <v>#NAME?</v>
      </c>
      <c r="F2386" s="5" t="s">
        <v>32529</v>
      </c>
      <c r="G2386" s="5"/>
      <c r="H2386" s="26">
        <v>11</v>
      </c>
      <c r="I2386" s="5" t="s">
        <v>32530</v>
      </c>
      <c r="J2386" s="5" t="s">
        <v>32531</v>
      </c>
      <c r="K2386" s="5" t="s">
        <v>344</v>
      </c>
      <c r="L2386" s="5" t="s">
        <v>32532</v>
      </c>
      <c r="M2386" s="27"/>
      <c r="N2386" s="5"/>
      <c r="O2386" s="5" t="str">
        <v>3311021111</v>
      </c>
      <c r="P2386" s="27">
        <v>100000</v>
      </c>
      <c r="Q2386" s="5"/>
      <c r="R2386" s="5"/>
      <c r="S2386" s="5" t="s">
        <v>49029</v>
      </c>
      <c r="T2386" s="28">
        <v>147142000</v>
      </c>
      <c r="U2386" s="28"/>
      <c r="V2386" s="28">
        <v>759285000</v>
      </c>
      <c r="W2386" s="28"/>
      <c r="X2386" s="28">
        <v>31519000</v>
      </c>
      <c r="Y2386" s="28">
        <v>1922176000</v>
      </c>
      <c r="Z2386" s="28">
        <v>627802000</v>
      </c>
      <c r="AA2386" s="28">
        <v>1006264000</v>
      </c>
      <c r="AB2386" s="28">
        <v>51225000</v>
      </c>
      <c r="AC2386" s="28">
        <v>118430000</v>
      </c>
      <c r="AD2386" s="28">
        <v>627902000</v>
      </c>
      <c r="AE2386" s="28">
        <v>3300313000</v>
      </c>
      <c r="AF2386" s="28">
        <v>544467000</v>
      </c>
      <c r="AG2386" s="11"/>
    </row>
    <row r="2387">
      <c r="A2387" s="7" t="s">
        <v>4080</v>
      </c>
      <c r="B2387" s="5" t="s">
        <v>12059</v>
      </c>
      <c r="C2387" s="5" t="s">
        <v>19904</v>
      </c>
      <c r="D2387" s="5" t="str">
        <v>782510905459</v>
      </c>
      <c r="E2387" s="0" t="e">
        <f>+7 (812) 3353272
+7 (812) 5342828
+7 (812) 3353099
+7 (812) 3353117
+7 (812) 3353124
+7 (812) 3353268</f>
        <v>#NAME?</v>
      </c>
      <c r="F2387" s="5" t="s">
        <v>32533</v>
      </c>
      <c r="G2387" s="5" t="s">
        <v>32534</v>
      </c>
      <c r="H2387" s="26">
        <v>28</v>
      </c>
      <c r="I2387" s="5" t="s">
        <v>32535</v>
      </c>
      <c r="J2387" s="5" t="s">
        <v>461</v>
      </c>
      <c r="K2387" s="5" t="s">
        <v>355</v>
      </c>
      <c r="L2387" s="5" t="s">
        <v>32536</v>
      </c>
      <c r="M2387" s="27"/>
      <c r="N2387" s="5" t="s">
        <v>53095</v>
      </c>
      <c r="O2387" s="5" t="str">
        <v>7804349796</v>
      </c>
      <c r="P2387" s="27">
        <v>146922872</v>
      </c>
      <c r="Q2387" s="5" t="s">
        <v>49009</v>
      </c>
      <c r="R2387" s="5"/>
      <c r="S2387" s="5" t="s">
        <v>49358</v>
      </c>
      <c r="T2387" s="28">
        <v>776995000</v>
      </c>
      <c r="U2387" s="28"/>
      <c r="V2387" s="28">
        <v>926321000</v>
      </c>
      <c r="W2387" s="28">
        <v>209311000</v>
      </c>
      <c r="X2387" s="28">
        <v>12459000</v>
      </c>
      <c r="Y2387" s="28">
        <v>2165735000</v>
      </c>
      <c r="Z2387" s="28">
        <v>299549000</v>
      </c>
      <c r="AA2387" s="28"/>
      <c r="AB2387" s="28"/>
      <c r="AC2387" s="28">
        <v>1521213000</v>
      </c>
      <c r="AD2387" s="28">
        <v>491496000</v>
      </c>
      <c r="AE2387" s="28">
        <v>3596232000</v>
      </c>
      <c r="AF2387" s="28">
        <v>-727572000</v>
      </c>
      <c r="AG2387" s="11"/>
    </row>
    <row r="2388">
      <c r="A2388" s="7" t="s">
        <v>4081</v>
      </c>
      <c r="B2388" s="5" t="s">
        <v>12060</v>
      </c>
      <c r="C2388" s="5" t="s">
        <v>19905</v>
      </c>
      <c r="D2388" s="5" t="str">
        <v>780209610978</v>
      </c>
      <c r="E2388" s="0" t="e">
        <f>+7 (921) 3428297
+7 (921) 9448977
+7 (499) 1518214
+7 (812) 2196164
+7 (812) 2330072
+7 (812) 2331704
+7 (812) 2334160
+7 (812) 2339666
+7 (812) 3104201
+7 (812) 4980377
+7 (812) 4980814
+7 (812) 4980921
+7 (922) 3005790</f>
        <v>#NAME?</v>
      </c>
      <c r="F2388" s="5" t="s">
        <v>32537</v>
      </c>
      <c r="G2388" s="5" t="s">
        <v>32538</v>
      </c>
      <c r="H2388" s="26">
        <v>23</v>
      </c>
      <c r="I2388" s="5"/>
      <c r="J2388" s="5" t="s">
        <v>671</v>
      </c>
      <c r="K2388" s="5" t="s">
        <v>344</v>
      </c>
      <c r="L2388" s="5"/>
      <c r="M2388" s="27">
        <v>200000</v>
      </c>
      <c r="N2388" s="5" t="s">
        <v>53097</v>
      </c>
      <c r="O2388" s="5" t="str">
        <v>7826717210</v>
      </c>
      <c r="P2388" s="27">
        <v>96800</v>
      </c>
      <c r="Q2388" s="5" t="s">
        <v>53098</v>
      </c>
      <c r="R2388" s="5"/>
      <c r="S2388" s="5" t="s">
        <v>53099</v>
      </c>
      <c r="T2388" s="28">
        <v>457668000</v>
      </c>
      <c r="U2388" s="28">
        <v>208500000</v>
      </c>
      <c r="V2388" s="28">
        <v>2848145000</v>
      </c>
      <c r="W2388" s="28">
        <v>100030000</v>
      </c>
      <c r="X2388" s="28">
        <v>1060265000</v>
      </c>
      <c r="Y2388" s="28">
        <v>4747279000</v>
      </c>
      <c r="Z2388" s="28">
        <v>3385777000</v>
      </c>
      <c r="AA2388" s="28"/>
      <c r="AB2388" s="28"/>
      <c r="AC2388" s="28">
        <v>1290781000</v>
      </c>
      <c r="AD2388" s="28">
        <v>3388282000</v>
      </c>
      <c r="AE2388" s="28">
        <v>5173307000</v>
      </c>
      <c r="AF2388" s="28">
        <v>925193000</v>
      </c>
      <c r="AG2388" s="11"/>
    </row>
    <row r="2389">
      <c r="A2389" s="7" t="s">
        <v>4082</v>
      </c>
      <c r="B2389" s="5" t="s">
        <v>12061</v>
      </c>
      <c r="C2389" s="5" t="s">
        <v>19906</v>
      </c>
      <c r="D2389" s="5" t="str">
        <v>070601726313</v>
      </c>
      <c r="E2389" s="0" t="e">
        <f>+7 (495) 6247126
+7 (495) 6250256
+7 (495) 6251591
+7 (495) 6252544
+7 (495) 6256763
+7 (495) 6285708</f>
        <v>#NAME?</v>
      </c>
      <c r="F2389" s="5" t="s">
        <v>32539</v>
      </c>
      <c r="G2389" s="5" t="s">
        <v>32540</v>
      </c>
      <c r="H2389" s="26">
        <v>7</v>
      </c>
      <c r="I2389" s="5" t="s">
        <v>32541</v>
      </c>
      <c r="J2389" s="5" t="s">
        <v>1013</v>
      </c>
      <c r="K2389" s="5" t="s">
        <v>344</v>
      </c>
      <c r="L2389" s="5" t="s">
        <v>32542</v>
      </c>
      <c r="M2389" s="27">
        <v>1575671</v>
      </c>
      <c r="N2389" s="5" t="s">
        <v>53100</v>
      </c>
      <c r="O2389" s="5" t="str">
        <v>9701021862</v>
      </c>
      <c r="P2389" s="27">
        <v>233782500</v>
      </c>
      <c r="Q2389" s="5" t="s">
        <v>53102</v>
      </c>
      <c r="R2389" s="5"/>
      <c r="S2389" s="5" t="s">
        <v>53103</v>
      </c>
      <c r="T2389" s="28">
        <v>481655000</v>
      </c>
      <c r="U2389" s="28">
        <v>17327000</v>
      </c>
      <c r="V2389" s="28">
        <v>1495203000</v>
      </c>
      <c r="W2389" s="28"/>
      <c r="X2389" s="28">
        <v>886103000</v>
      </c>
      <c r="Y2389" s="28">
        <v>3130516000</v>
      </c>
      <c r="Z2389" s="28">
        <v>803617000</v>
      </c>
      <c r="AA2389" s="28"/>
      <c r="AB2389" s="28"/>
      <c r="AC2389" s="28">
        <v>1772654000</v>
      </c>
      <c r="AD2389" s="28">
        <v>1076635000</v>
      </c>
      <c r="AE2389" s="28">
        <v>5294331000</v>
      </c>
      <c r="AF2389" s="28">
        <v>157772000</v>
      </c>
      <c r="AG2389" s="11"/>
    </row>
    <row r="2390">
      <c r="A2390" s="7" t="s">
        <v>4083</v>
      </c>
      <c r="B2390" s="5" t="s">
        <v>12062</v>
      </c>
      <c r="C2390" s="5" t="s">
        <v>19907</v>
      </c>
      <c r="D2390" s="5" t="str">
        <v>781650063881</v>
      </c>
      <c r="E2390" s="0" t="e">
        <f>+7 (812) 3200055
+7 (8632) 43614
+7 (921) 9388505</f>
        <v>#NAME?</v>
      </c>
      <c r="F2390" s="5" t="s">
        <v>32543</v>
      </c>
      <c r="G2390" s="5" t="s">
        <v>32544</v>
      </c>
      <c r="H2390" s="26">
        <v>32</v>
      </c>
      <c r="I2390" s="5"/>
      <c r="J2390" s="5" t="s">
        <v>671</v>
      </c>
      <c r="K2390" s="5" t="s">
        <v>344</v>
      </c>
      <c r="L2390" s="5" t="s">
        <v>32545</v>
      </c>
      <c r="M2390" s="27">
        <v>154232694</v>
      </c>
      <c r="N2390" s="5" t="s">
        <v>53104</v>
      </c>
      <c r="O2390" s="5" t="str">
        <v>7826688390</v>
      </c>
      <c r="P2390" s="27">
        <v>33200</v>
      </c>
      <c r="Q2390" s="5" t="s">
        <v>53105</v>
      </c>
      <c r="R2390" s="5"/>
      <c r="S2390" s="5" t="s">
        <v>53106</v>
      </c>
      <c r="T2390" s="28">
        <v>369558000</v>
      </c>
      <c r="U2390" s="28">
        <v>511581000</v>
      </c>
      <c r="V2390" s="28">
        <v>1844346000</v>
      </c>
      <c r="W2390" s="28">
        <v>167763000</v>
      </c>
      <c r="X2390" s="28">
        <v>2974605000</v>
      </c>
      <c r="Y2390" s="28">
        <v>6012189000</v>
      </c>
      <c r="Z2390" s="28">
        <v>3619692000</v>
      </c>
      <c r="AA2390" s="28"/>
      <c r="AB2390" s="28"/>
      <c r="AC2390" s="28">
        <v>2361737000</v>
      </c>
      <c r="AD2390" s="28">
        <v>3619727000</v>
      </c>
      <c r="AE2390" s="28">
        <v>6451394000</v>
      </c>
      <c r="AF2390" s="28">
        <v>654727000</v>
      </c>
      <c r="AG2390" s="11"/>
    </row>
    <row r="2391">
      <c r="A2391" s="7" t="s">
        <v>4084</v>
      </c>
      <c r="B2391" s="5" t="s">
        <v>12063</v>
      </c>
      <c r="C2391" s="5" t="s">
        <v>19908</v>
      </c>
      <c r="D2391" s="5" t="str">
        <v>772001104708</v>
      </c>
      <c r="E2391" s="0" t="e">
        <f>+7 (3512) 145566
+7 (421) 2260010
+7 (4712) 325259
+7 (4712) 331184
+7 (4712) 354612
+7 (473) 2396127
+7 (473) 2396128
+7 (473) 2586093
+7 (483) 2676729
+7 (484) 2562003
+7 (4862) 543151
+7 (4862) 558888
+7 (4862) 734346
+7 (487) 2716200
+7 (4912) 470725</f>
        <v>#NAME?</v>
      </c>
      <c r="F2391" s="5" t="s">
        <v>32546</v>
      </c>
      <c r="G2391" s="5"/>
      <c r="H2391" s="26">
        <v>1.5</v>
      </c>
      <c r="I2391" s="5" t="s">
        <v>32547</v>
      </c>
      <c r="J2391" s="5" t="s">
        <v>25747</v>
      </c>
      <c r="K2391" s="5" t="s">
        <v>344</v>
      </c>
      <c r="L2391" s="5"/>
      <c r="M2391" s="27">
        <v>46113</v>
      </c>
      <c r="N2391" s="5" t="s">
        <v>53107</v>
      </c>
      <c r="O2391" s="5" t="str">
        <v>9704091064</v>
      </c>
      <c r="P2391" s="27">
        <v>400000000</v>
      </c>
      <c r="Q2391" s="5"/>
      <c r="R2391" s="5"/>
      <c r="S2391" s="5" t="s">
        <v>49047</v>
      </c>
      <c r="T2391" s="28">
        <v>1599830000</v>
      </c>
      <c r="U2391" s="28">
        <v>488015000</v>
      </c>
      <c r="V2391" s="28">
        <v>5167262000</v>
      </c>
      <c r="W2391" s="28">
        <v>3041962000</v>
      </c>
      <c r="X2391" s="28">
        <v>184651000</v>
      </c>
      <c r="Y2391" s="28">
        <v>19507425000</v>
      </c>
      <c r="Z2391" s="28">
        <v>1766610000</v>
      </c>
      <c r="AA2391" s="28">
        <v>1376116000</v>
      </c>
      <c r="AB2391" s="28">
        <v>8609731000</v>
      </c>
      <c r="AC2391" s="28">
        <v>15917500000</v>
      </c>
      <c r="AD2391" s="28">
        <v>2166610000</v>
      </c>
      <c r="AE2391" s="28">
        <v>20965975000</v>
      </c>
      <c r="AF2391" s="28">
        <v>1773582000</v>
      </c>
      <c r="AG2391" s="11"/>
    </row>
    <row r="2392">
      <c r="A2392" s="7" t="s">
        <v>4085</v>
      </c>
      <c r="B2392" s="5" t="s">
        <v>12064</v>
      </c>
      <c r="C2392" s="5" t="s">
        <v>19909</v>
      </c>
      <c r="D2392" s="5" t="str">
        <v>503218372655</v>
      </c>
      <c r="F2392" s="5"/>
      <c r="G2392" s="5"/>
      <c r="H2392" s="26">
        <v>3.5</v>
      </c>
      <c r="I2392" s="5" t="s">
        <v>32548</v>
      </c>
      <c r="J2392" s="5" t="s">
        <v>32549</v>
      </c>
      <c r="K2392" s="5" t="s">
        <v>344</v>
      </c>
      <c r="L2392" s="5" t="s">
        <v>32550</v>
      </c>
      <c r="M2392" s="27">
        <v>290708087</v>
      </c>
      <c r="N2392" s="5" t="s">
        <v>53108</v>
      </c>
      <c r="O2392" s="5" t="str">
        <v>9702007395</v>
      </c>
      <c r="P2392" s="27">
        <v>5000000</v>
      </c>
      <c r="Q2392" s="5"/>
      <c r="R2392" s="5"/>
      <c r="S2392" s="5" t="s">
        <v>49496</v>
      </c>
      <c r="T2392" s="28">
        <v>2000</v>
      </c>
      <c r="U2392" s="28"/>
      <c r="V2392" s="28">
        <v>1728460000</v>
      </c>
      <c r="W2392" s="28">
        <v>600000000</v>
      </c>
      <c r="X2392" s="28">
        <v>178623000</v>
      </c>
      <c r="Y2392" s="28">
        <v>2546297000</v>
      </c>
      <c r="Z2392" s="28">
        <v>857524000</v>
      </c>
      <c r="AA2392" s="28"/>
      <c r="AB2392" s="28"/>
      <c r="AC2392" s="28">
        <v>1682986000</v>
      </c>
      <c r="AD2392" s="28">
        <v>863274000</v>
      </c>
      <c r="AE2392" s="28">
        <v>28440097000</v>
      </c>
      <c r="AF2392" s="28">
        <v>1692464000</v>
      </c>
      <c r="AG2392" s="11"/>
    </row>
    <row r="2393">
      <c r="A2393" s="7" t="s">
        <v>4086</v>
      </c>
      <c r="B2393" s="5" t="s">
        <v>12065</v>
      </c>
      <c r="C2393" s="5" t="s">
        <v>19910</v>
      </c>
      <c r="D2393" s="5"/>
      <c r="E2393" s="0" t="e">
        <f>+7 (345) 2483391
+7 (345) 2289050
+7 (345) 2445270
+7 (345) 2448809
+7 (345) 2483647
+7 (345) 2489050
+7 (345) 2546576</f>
        <v>#NAME?</v>
      </c>
      <c r="F2393" s="5" t="s">
        <v>32551</v>
      </c>
      <c r="G2393" s="5" t="s">
        <v>32552</v>
      </c>
      <c r="H2393" s="26">
        <v>21</v>
      </c>
      <c r="I2393" s="5" t="s">
        <v>32553</v>
      </c>
      <c r="J2393" s="5" t="s">
        <v>28226</v>
      </c>
      <c r="K2393" s="5" t="s">
        <v>355</v>
      </c>
      <c r="L2393" s="5"/>
      <c r="M2393" s="27">
        <v>142354499</v>
      </c>
      <c r="N2393" s="5" t="s">
        <v>50616</v>
      </c>
      <c r="O2393" s="5" t="str">
        <v>1834039053</v>
      </c>
      <c r="P2393" s="27">
        <v>14705000</v>
      </c>
      <c r="Q2393" s="5" t="s">
        <v>53109</v>
      </c>
      <c r="R2393" s="5" t="s">
        <v>53110</v>
      </c>
      <c r="S2393" s="5" t="s">
        <v>49175</v>
      </c>
      <c r="T2393" s="28">
        <v>1600330000</v>
      </c>
      <c r="U2393" s="28">
        <v>475000000</v>
      </c>
      <c r="V2393" s="28">
        <v>3454167000</v>
      </c>
      <c r="W2393" s="28"/>
      <c r="X2393" s="28">
        <v>1570000</v>
      </c>
      <c r="Y2393" s="28">
        <v>6412364000</v>
      </c>
      <c r="Z2393" s="28">
        <v>-4523054000</v>
      </c>
      <c r="AA2393" s="28">
        <v>260905000</v>
      </c>
      <c r="AB2393" s="28">
        <v>930189000</v>
      </c>
      <c r="AC2393" s="28">
        <v>5169788000</v>
      </c>
      <c r="AD2393" s="28">
        <v>281734000</v>
      </c>
      <c r="AE2393" s="28">
        <v>4778531000</v>
      </c>
      <c r="AF2393" s="28">
        <v>-504862000</v>
      </c>
      <c r="AG2393" s="11"/>
    </row>
    <row r="2394">
      <c r="A2394" s="7" t="s">
        <v>4087</v>
      </c>
      <c r="B2394" s="5" t="s">
        <v>12066</v>
      </c>
      <c r="C2394" s="5" t="s">
        <v>19910</v>
      </c>
      <c r="D2394" s="5"/>
      <c r="E2394" s="0" t="e">
        <f>+7 (495) 9330621
+7 (495) 9330622</f>
        <v>#NAME?</v>
      </c>
      <c r="F2394" s="5"/>
      <c r="G2394" s="5"/>
      <c r="H2394" s="26">
        <v>15.5</v>
      </c>
      <c r="I2394" s="5" t="s">
        <v>32554</v>
      </c>
      <c r="J2394" s="5" t="s">
        <v>28226</v>
      </c>
      <c r="K2394" s="5" t="s">
        <v>380</v>
      </c>
      <c r="L2394" s="5"/>
      <c r="M2394" s="27">
        <v>19877055</v>
      </c>
      <c r="N2394" s="5" t="s">
        <v>50616</v>
      </c>
      <c r="O2394" s="5" t="str">
        <v>7725613712</v>
      </c>
      <c r="P2394" s="27">
        <v>195563861</v>
      </c>
      <c r="Q2394" s="5" t="s">
        <v>1215</v>
      </c>
      <c r="R2394" s="5"/>
      <c r="S2394" s="5" t="s">
        <v>53111</v>
      </c>
      <c r="T2394" s="28">
        <v>863931000</v>
      </c>
      <c r="U2394" s="28">
        <v>2653952000</v>
      </c>
      <c r="V2394" s="28">
        <v>1295230000</v>
      </c>
      <c r="W2394" s="28">
        <v>500000000</v>
      </c>
      <c r="X2394" s="28">
        <v>20067000</v>
      </c>
      <c r="Y2394" s="28">
        <v>5914128000</v>
      </c>
      <c r="Z2394" s="28">
        <v>828228000</v>
      </c>
      <c r="AA2394" s="28">
        <v>1663898000</v>
      </c>
      <c r="AB2394" s="28">
        <v>574277000</v>
      </c>
      <c r="AC2394" s="28">
        <v>2246286000</v>
      </c>
      <c r="AD2394" s="28">
        <v>1486092000</v>
      </c>
      <c r="AE2394" s="28">
        <v>3972587000</v>
      </c>
      <c r="AF2394" s="28">
        <v>378346000</v>
      </c>
      <c r="AG2394" s="11"/>
    </row>
    <row r="2395">
      <c r="A2395" s="7" t="s">
        <v>71</v>
      </c>
      <c r="B2395" s="5" t="s">
        <v>12067</v>
      </c>
      <c r="C2395" s="5" t="s">
        <v>19911</v>
      </c>
      <c r="D2395" s="5" t="str">
        <v>720320272686</v>
      </c>
      <c r="E2395" s="0" t="e">
        <f>+7 (345) 2250703
+7 (922) 472737</f>
        <v>#NAME?</v>
      </c>
      <c r="F2395" s="5" t="s">
        <v>32555</v>
      </c>
      <c r="G2395" s="5"/>
      <c r="H2395" s="26">
        <v>5.5</v>
      </c>
      <c r="I2395" s="5" t="s">
        <v>32556</v>
      </c>
      <c r="J2395" s="5" t="s">
        <v>373</v>
      </c>
      <c r="K2395" s="5" t="s">
        <v>344</v>
      </c>
      <c r="L2395" s="5" t="s">
        <v>32557</v>
      </c>
      <c r="M2395" s="27"/>
      <c r="N2395" s="5" t="s">
        <v>53112</v>
      </c>
      <c r="O2395" s="5" t="str">
        <v>7203430347</v>
      </c>
      <c r="P2395" s="27">
        <v>5000000</v>
      </c>
      <c r="Q2395" s="5" t="s">
        <v>49057</v>
      </c>
      <c r="R2395" s="5"/>
      <c r="S2395" s="5" t="s">
        <v>53113</v>
      </c>
      <c r="T2395" s="28">
        <v>32807000</v>
      </c>
      <c r="U2395" s="28"/>
      <c r="V2395" s="28">
        <v>88648000</v>
      </c>
      <c r="W2395" s="28"/>
      <c r="X2395" s="28">
        <v>10623000</v>
      </c>
      <c r="Y2395" s="28">
        <v>237312000</v>
      </c>
      <c r="Z2395" s="28">
        <v>75986000</v>
      </c>
      <c r="AA2395" s="28">
        <v>19000</v>
      </c>
      <c r="AB2395" s="28"/>
      <c r="AC2395" s="28">
        <v>156265000</v>
      </c>
      <c r="AD2395" s="28">
        <v>80986000</v>
      </c>
      <c r="AE2395" s="28">
        <v>3906628000</v>
      </c>
      <c r="AF2395" s="28">
        <v>21797000</v>
      </c>
      <c r="AG2395" s="11"/>
    </row>
    <row r="2396">
      <c r="A2396" s="7" t="s">
        <v>4088</v>
      </c>
      <c r="B2396" s="5" t="s">
        <v>12068</v>
      </c>
      <c r="C2396" s="5" t="s">
        <v>19912</v>
      </c>
      <c r="D2396" s="5" t="str">
        <v>781100365381</v>
      </c>
      <c r="E2396" s="0" t="e">
        <f>+7 (499) 2012677
+7 (812) 3330355
+7 (812) 4182059</f>
        <v>#NAME?</v>
      </c>
      <c r="F2396" s="5" t="s">
        <v>32558</v>
      </c>
      <c r="G2396" s="5" t="s">
        <v>32559</v>
      </c>
      <c r="H2396" s="26">
        <v>24</v>
      </c>
      <c r="I2396" s="5"/>
      <c r="J2396" s="5" t="s">
        <v>718</v>
      </c>
      <c r="K2396" s="5" t="s">
        <v>344</v>
      </c>
      <c r="L2396" s="5" t="s">
        <v>32560</v>
      </c>
      <c r="M2396" s="27"/>
      <c r="N2396" s="5" t="s">
        <v>53114</v>
      </c>
      <c r="O2396" s="5" t="str">
        <v>7705251790</v>
      </c>
      <c r="P2396" s="27">
        <v>10000200</v>
      </c>
      <c r="Q2396" s="5" t="s">
        <v>49009</v>
      </c>
      <c r="R2396" s="5"/>
      <c r="S2396" s="5" t="s">
        <v>49045</v>
      </c>
      <c r="T2396" s="28">
        <v>294768000</v>
      </c>
      <c r="U2396" s="28">
        <v>235612000</v>
      </c>
      <c r="V2396" s="28">
        <v>725074000</v>
      </c>
      <c r="W2396" s="28"/>
      <c r="X2396" s="28">
        <v>49612000</v>
      </c>
      <c r="Y2396" s="28">
        <v>1690711000</v>
      </c>
      <c r="Z2396" s="28">
        <v>690372000</v>
      </c>
      <c r="AA2396" s="28">
        <v>429100000</v>
      </c>
      <c r="AB2396" s="28">
        <v>94600000</v>
      </c>
      <c r="AC2396" s="28">
        <v>556783000</v>
      </c>
      <c r="AD2396" s="28">
        <v>700938000</v>
      </c>
      <c r="AE2396" s="28">
        <v>3928575000</v>
      </c>
      <c r="AF2396" s="28">
        <v>85958000</v>
      </c>
      <c r="AG2396" s="11"/>
    </row>
    <row r="2397">
      <c r="A2397" s="7" t="s">
        <v>4089</v>
      </c>
      <c r="B2397" s="5" t="s">
        <v>12069</v>
      </c>
      <c r="C2397" s="5" t="s">
        <v>19913</v>
      </c>
      <c r="D2397" s="5" t="str">
        <v>200301114166</v>
      </c>
      <c r="E2397" s="0" t="e">
        <f>+7 (871) 2295929
+7 (871) 2296063
+7 (905) 4560215
+7 (928) 202020
+7 (928) 202929
+7 (928) 1235896
+7 (928) 3950565
+7 (928) 5545454
+7 (928) 5989092
+7 (928) 7867540
+7 (928) 8833822
+7 (928) 8875551
+7 (928) 8875554
+7 (928) 8993464
+7 (928) 9005896</f>
        <v>#NAME?</v>
      </c>
      <c r="F2397" s="5" t="s">
        <v>32561</v>
      </c>
      <c r="G2397" s="5"/>
      <c r="H2397" s="26">
        <v>9.5</v>
      </c>
      <c r="I2397" s="5" t="s">
        <v>32562</v>
      </c>
      <c r="J2397" s="5" t="s">
        <v>25429</v>
      </c>
      <c r="K2397" s="5" t="s">
        <v>344</v>
      </c>
      <c r="L2397" s="5" t="s">
        <v>32563</v>
      </c>
      <c r="M2397" s="27"/>
      <c r="N2397" s="5" t="s">
        <v>53115</v>
      </c>
      <c r="O2397" s="5" t="str">
        <v>2015004403</v>
      </c>
      <c r="P2397" s="27">
        <v>1000000</v>
      </c>
      <c r="Q2397" s="5" t="s">
        <v>50516</v>
      </c>
      <c r="R2397" s="5"/>
      <c r="S2397" s="5" t="s">
        <v>53116</v>
      </c>
      <c r="T2397" s="28">
        <v>29551000</v>
      </c>
      <c r="U2397" s="28"/>
      <c r="V2397" s="28">
        <v>79196000</v>
      </c>
      <c r="W2397" s="28"/>
      <c r="X2397" s="28">
        <v>57616000</v>
      </c>
      <c r="Y2397" s="28">
        <v>226249000</v>
      </c>
      <c r="Z2397" s="28">
        <v>12487000</v>
      </c>
      <c r="AA2397" s="28"/>
      <c r="AB2397" s="28"/>
      <c r="AC2397" s="28">
        <v>83011000</v>
      </c>
      <c r="AD2397" s="28">
        <v>143238000</v>
      </c>
      <c r="AE2397" s="28">
        <v>3145491000</v>
      </c>
      <c r="AF2397" s="28">
        <v>12487000</v>
      </c>
      <c r="AG2397" s="11"/>
    </row>
    <row r="2398">
      <c r="A2398" s="7" t="s">
        <v>4090</v>
      </c>
      <c r="B2398" s="5" t="s">
        <v>12070</v>
      </c>
      <c r="C2398" s="5" t="s">
        <v>19914</v>
      </c>
      <c r="D2398" s="5" t="str">
        <v>081409146192</v>
      </c>
      <c r="E2398" s="0" t="e">
        <f>+7 (495) 2320449
+7 (495) 2320808
+7 (495) 6628002
+7 (495) 9566919</f>
        <v>#NAME?</v>
      </c>
      <c r="F2398" s="5" t="s">
        <v>32564</v>
      </c>
      <c r="G2398" s="5" t="s">
        <v>32565</v>
      </c>
      <c r="H2398" s="26">
        <v>28.5</v>
      </c>
      <c r="I2398" s="5" t="s">
        <v>32566</v>
      </c>
      <c r="J2398" s="5" t="s">
        <v>27182</v>
      </c>
      <c r="K2398" s="5" t="s">
        <v>344</v>
      </c>
      <c r="L2398" s="5"/>
      <c r="M2398" s="27">
        <v>19138607</v>
      </c>
      <c r="N2398" s="5"/>
      <c r="O2398" s="5" t="str">
        <v>7703010975</v>
      </c>
      <c r="P2398" s="27">
        <v>1501200000</v>
      </c>
      <c r="Q2398" s="5" t="s">
        <v>53117</v>
      </c>
      <c r="R2398" s="5" t="s">
        <v>53118</v>
      </c>
      <c r="S2398" s="5" t="s">
        <v>52597</v>
      </c>
      <c r="T2398" s="28">
        <v>852718000</v>
      </c>
      <c r="U2398" s="28">
        <v>4590226000</v>
      </c>
      <c r="V2398" s="28">
        <v>3585177000</v>
      </c>
      <c r="W2398" s="28">
        <v>149129000</v>
      </c>
      <c r="X2398" s="28">
        <v>1590567000</v>
      </c>
      <c r="Y2398" s="28">
        <v>42035253000</v>
      </c>
      <c r="Z2398" s="28">
        <v>5218938000</v>
      </c>
      <c r="AA2398" s="28">
        <v>4815159000</v>
      </c>
      <c r="AB2398" s="28">
        <v>12423239000</v>
      </c>
      <c r="AC2398" s="28">
        <v>29880937000</v>
      </c>
      <c r="AD2398" s="28">
        <v>6720679000</v>
      </c>
      <c r="AE2398" s="28">
        <v>61787209000</v>
      </c>
      <c r="AF2398" s="28">
        <v>9658841000</v>
      </c>
      <c r="AG2398" s="11"/>
    </row>
    <row r="2399">
      <c r="A2399" s="7" t="s">
        <v>4091</v>
      </c>
      <c r="B2399" s="5" t="s">
        <v>12071</v>
      </c>
      <c r="C2399" s="5" t="s">
        <v>18493</v>
      </c>
      <c r="D2399" s="5" t="str">
        <v>251100725923</v>
      </c>
      <c r="E2399" s="0" t="e">
        <f>+7 (495) 2694719
+7 (812) 6022772</f>
        <v>#NAME?</v>
      </c>
      <c r="F2399" s="5" t="s">
        <v>32567</v>
      </c>
      <c r="G2399" s="5" t="s">
        <v>32568</v>
      </c>
      <c r="H2399" s="26">
        <v>6</v>
      </c>
      <c r="I2399" s="5" t="s">
        <v>32569</v>
      </c>
      <c r="J2399" s="5" t="s">
        <v>881</v>
      </c>
      <c r="K2399" s="5" t="s">
        <v>344</v>
      </c>
      <c r="L2399" s="5" t="s">
        <v>32570</v>
      </c>
      <c r="M2399" s="27"/>
      <c r="N2399" s="5" t="s">
        <v>53119</v>
      </c>
      <c r="O2399" s="5" t="str">
        <v>7709988672</v>
      </c>
      <c r="P2399" s="27">
        <v>20000000</v>
      </c>
      <c r="Q2399" s="5" t="s">
        <v>53120</v>
      </c>
      <c r="R2399" s="5"/>
      <c r="S2399" s="5" t="s">
        <v>49047</v>
      </c>
      <c r="T2399" s="28">
        <v>153284000</v>
      </c>
      <c r="U2399" s="28"/>
      <c r="V2399" s="28">
        <v>739951000</v>
      </c>
      <c r="W2399" s="28">
        <v>39500000</v>
      </c>
      <c r="X2399" s="28">
        <v>904144000</v>
      </c>
      <c r="Y2399" s="28">
        <v>1933199000</v>
      </c>
      <c r="Z2399" s="28">
        <v>1338085000</v>
      </c>
      <c r="AA2399" s="28"/>
      <c r="AB2399" s="28"/>
      <c r="AC2399" s="28">
        <v>532514000</v>
      </c>
      <c r="AD2399" s="28">
        <v>1358085000</v>
      </c>
      <c r="AE2399" s="28">
        <v>3222039000</v>
      </c>
      <c r="AF2399" s="28">
        <v>743585000</v>
      </c>
      <c r="AG2399" s="11"/>
    </row>
    <row r="2400">
      <c r="A2400" s="7" t="s">
        <v>4092</v>
      </c>
      <c r="B2400" s="5" t="s">
        <v>12072</v>
      </c>
      <c r="C2400" s="5" t="s">
        <v>19915</v>
      </c>
      <c r="D2400" s="5" t="str">
        <v>780434235608</v>
      </c>
      <c r="E2400" s="0" t="e">
        <f>+7 (800) 7779779
+7 (812) 3092668
+7 (812) 7779779
+7 (911) 1215232
+7 (911) 9224107
+7 (912) 3095657
+7 (812) 3098662
+7 (812) 3468815</f>
        <v>#NAME?</v>
      </c>
      <c r="F2400" s="5" t="s">
        <v>32571</v>
      </c>
      <c r="G2400" s="5" t="s">
        <v>32572</v>
      </c>
      <c r="H2400" s="26">
        <v>23</v>
      </c>
      <c r="I2400" s="5"/>
      <c r="J2400" s="5" t="s">
        <v>26767</v>
      </c>
      <c r="K2400" s="5" t="s">
        <v>344</v>
      </c>
      <c r="L2400" s="5" t="s">
        <v>32573</v>
      </c>
      <c r="M2400" s="27"/>
      <c r="N2400" s="5" t="s">
        <v>53121</v>
      </c>
      <c r="O2400" s="5" t="str">
        <v>7810185761</v>
      </c>
      <c r="P2400" s="27">
        <v>10000</v>
      </c>
      <c r="Q2400" s="5" t="s">
        <v>53122</v>
      </c>
      <c r="R2400" s="5"/>
      <c r="S2400" s="5" t="s">
        <v>53123</v>
      </c>
      <c r="T2400" s="28">
        <v>75231000</v>
      </c>
      <c r="U2400" s="28"/>
      <c r="V2400" s="28">
        <v>1258111000</v>
      </c>
      <c r="W2400" s="28">
        <v>35000000</v>
      </c>
      <c r="X2400" s="28">
        <v>30791000</v>
      </c>
      <c r="Y2400" s="28">
        <v>1703920000</v>
      </c>
      <c r="Z2400" s="28">
        <v>824076000</v>
      </c>
      <c r="AA2400" s="28"/>
      <c r="AB2400" s="28">
        <v>974000</v>
      </c>
      <c r="AC2400" s="28">
        <v>862120000</v>
      </c>
      <c r="AD2400" s="28">
        <v>824089000</v>
      </c>
      <c r="AE2400" s="28">
        <v>5978352000</v>
      </c>
      <c r="AF2400" s="28">
        <v>567308000</v>
      </c>
      <c r="AG2400" s="11"/>
    </row>
    <row r="2401">
      <c r="A2401" s="7" t="s">
        <v>4093</v>
      </c>
      <c r="B2401" s="5" t="s">
        <v>12073</v>
      </c>
      <c r="C2401" s="5" t="s">
        <v>19916</v>
      </c>
      <c r="D2401" s="5" t="str">
        <v>770303107765</v>
      </c>
      <c r="E2401" s="0" t="e">
        <f>+7 (495) 9884718</f>
        <v>#NAME?</v>
      </c>
      <c r="F2401" s="5" t="s">
        <v>32574</v>
      </c>
      <c r="G2401" s="5"/>
      <c r="H2401" s="26">
        <v>7</v>
      </c>
      <c r="I2401" s="5" t="s">
        <v>32575</v>
      </c>
      <c r="J2401" s="5" t="s">
        <v>25429</v>
      </c>
      <c r="K2401" s="5" t="s">
        <v>344</v>
      </c>
      <c r="L2401" s="5" t="s">
        <v>32576</v>
      </c>
      <c r="M2401" s="27"/>
      <c r="N2401" s="5" t="s">
        <v>53124</v>
      </c>
      <c r="O2401" s="5" t="str">
        <v>7709487997</v>
      </c>
      <c r="P2401" s="27">
        <v>300000</v>
      </c>
      <c r="Q2401" s="5" t="s">
        <v>53125</v>
      </c>
      <c r="R2401" s="5"/>
      <c r="S2401" s="5" t="s">
        <v>53099</v>
      </c>
      <c r="T2401" s="28">
        <v>1600000</v>
      </c>
      <c r="U2401" s="28"/>
      <c r="V2401" s="28">
        <v>2304127000</v>
      </c>
      <c r="W2401" s="28">
        <v>106000000</v>
      </c>
      <c r="X2401" s="28">
        <v>1195718000</v>
      </c>
      <c r="Y2401" s="28">
        <v>4801816000</v>
      </c>
      <c r="Z2401" s="28">
        <v>2217937000</v>
      </c>
      <c r="AA2401" s="28"/>
      <c r="AB2401" s="28"/>
      <c r="AC2401" s="28">
        <v>2916987000</v>
      </c>
      <c r="AD2401" s="28">
        <v>1884583000</v>
      </c>
      <c r="AE2401" s="28">
        <v>11217767000</v>
      </c>
      <c r="AF2401" s="28">
        <v>1533474000</v>
      </c>
      <c r="AG2401" s="11"/>
    </row>
    <row r="2402">
      <c r="A2402" s="7" t="s">
        <v>4094</v>
      </c>
      <c r="B2402" s="5" t="s">
        <v>12074</v>
      </c>
      <c r="C2402" s="5" t="s">
        <v>19917</v>
      </c>
      <c r="D2402" s="5" t="str">
        <v>233200062893</v>
      </c>
      <c r="E2402" s="0" t="e">
        <f>+7 (918) 2532323</f>
        <v>#NAME?</v>
      </c>
      <c r="F2402" s="5" t="s">
        <v>32577</v>
      </c>
      <c r="G2402" s="5"/>
      <c r="H2402" s="26">
        <v>5</v>
      </c>
      <c r="I2402" s="5" t="s">
        <v>32578</v>
      </c>
      <c r="J2402" s="5" t="s">
        <v>25837</v>
      </c>
      <c r="K2402" s="5" t="s">
        <v>344</v>
      </c>
      <c r="L2402" s="5" t="s">
        <v>32579</v>
      </c>
      <c r="M2402" s="27"/>
      <c r="N2402" s="5"/>
      <c r="O2402" s="5" t="str">
        <v>2364016579</v>
      </c>
      <c r="P2402" s="27">
        <v>62500</v>
      </c>
      <c r="Q2402" s="5"/>
      <c r="R2402" s="5"/>
      <c r="S2402" s="5" t="s">
        <v>49029</v>
      </c>
      <c r="T2402" s="28">
        <v>208028000</v>
      </c>
      <c r="U2402" s="28"/>
      <c r="V2402" s="28">
        <v>611164000</v>
      </c>
      <c r="W2402" s="28">
        <v>4620000</v>
      </c>
      <c r="X2402" s="28">
        <v>22020000</v>
      </c>
      <c r="Y2402" s="28">
        <v>1067197000</v>
      </c>
      <c r="Z2402" s="28">
        <v>283011000</v>
      </c>
      <c r="AA2402" s="28"/>
      <c r="AB2402" s="28">
        <v>282666000</v>
      </c>
      <c r="AC2402" s="28">
        <v>673548000</v>
      </c>
      <c r="AD2402" s="28">
        <v>324242000</v>
      </c>
      <c r="AE2402" s="28">
        <v>11739083000</v>
      </c>
      <c r="AF2402" s="28">
        <v>112789000</v>
      </c>
      <c r="AG2402" s="11"/>
    </row>
    <row r="2403">
      <c r="A2403" s="7" t="s">
        <v>4095</v>
      </c>
      <c r="B2403" s="5" t="s">
        <v>12075</v>
      </c>
      <c r="C2403" s="5" t="s">
        <v>19918</v>
      </c>
      <c r="D2403" s="5" t="str">
        <v>780150854932</v>
      </c>
      <c r="F2403" s="5"/>
      <c r="G2403" s="5"/>
      <c r="H2403" s="26">
        <v>21</v>
      </c>
      <c r="I2403" s="5" t="s">
        <v>32580</v>
      </c>
      <c r="J2403" s="5" t="s">
        <v>28108</v>
      </c>
      <c r="K2403" s="5" t="s">
        <v>344</v>
      </c>
      <c r="L2403" s="5" t="s">
        <v>32581</v>
      </c>
      <c r="M2403" s="27"/>
      <c r="N2403" s="5"/>
      <c r="O2403" s="5" t="str">
        <v>7701296415</v>
      </c>
      <c r="P2403" s="27">
        <v>26563332828</v>
      </c>
      <c r="Q2403" s="5"/>
      <c r="R2403" s="5"/>
      <c r="S2403" s="5" t="s">
        <v>49743</v>
      </c>
      <c r="T2403" s="28">
        <v>10507000</v>
      </c>
      <c r="U2403" s="28">
        <v>123554229000</v>
      </c>
      <c r="V2403" s="28">
        <v>7745000</v>
      </c>
      <c r="W2403" s="28"/>
      <c r="X2403" s="28">
        <v>367173000</v>
      </c>
      <c r="Y2403" s="28">
        <v>123939746000</v>
      </c>
      <c r="Z2403" s="28">
        <v>61310085000</v>
      </c>
      <c r="AA2403" s="28">
        <v>20128234000</v>
      </c>
      <c r="AB2403" s="28">
        <v>340999000</v>
      </c>
      <c r="AC2403" s="28">
        <v>362170000</v>
      </c>
      <c r="AD2403" s="28">
        <v>103045664000</v>
      </c>
      <c r="AE2403" s="28">
        <v>7585550000</v>
      </c>
      <c r="AF2403" s="28">
        <v>-22428405000</v>
      </c>
      <c r="AG2403" s="11"/>
    </row>
    <row r="2404">
      <c r="A2404" s="7" t="s">
        <v>4096</v>
      </c>
      <c r="B2404" s="5" t="s">
        <v>12076</v>
      </c>
      <c r="C2404" s="5" t="s">
        <v>19918</v>
      </c>
      <c r="D2404" s="5" t="str">
        <v>780150854932</v>
      </c>
      <c r="E2404" s="0" t="e">
        <f>+7 (3472) 691966
+7 (487) 2334151
+7 (495) 5878800
+7 (495) 6400838
+7 (495) 6400839
+7 (495) 6647680
+7 (495) 6648840
+7 (905) 5491552
+7 (962) 9243821</f>
        <v>#NAME?</v>
      </c>
      <c r="F2404" s="5" t="s">
        <v>32582</v>
      </c>
      <c r="G2404" s="5" t="s">
        <v>32583</v>
      </c>
      <c r="H2404" s="26">
        <v>20.5</v>
      </c>
      <c r="I2404" s="5"/>
      <c r="J2404" s="5" t="s">
        <v>25295</v>
      </c>
      <c r="K2404" s="5" t="s">
        <v>344</v>
      </c>
      <c r="L2404" s="5"/>
      <c r="M2404" s="27"/>
      <c r="N2404" s="5" t="s">
        <v>50288</v>
      </c>
      <c r="O2404" s="5" t="str">
        <v>2320109650</v>
      </c>
      <c r="P2404" s="27">
        <v>293339674800</v>
      </c>
      <c r="Q2404" s="5" t="s">
        <v>53126</v>
      </c>
      <c r="R2404" s="5"/>
      <c r="S2404" s="5" t="s">
        <v>53127</v>
      </c>
      <c r="T2404" s="28">
        <v>2437060000</v>
      </c>
      <c r="U2404" s="28">
        <v>356155729000</v>
      </c>
      <c r="V2404" s="28">
        <v>16449681000</v>
      </c>
      <c r="W2404" s="28">
        <v>191142008000</v>
      </c>
      <c r="X2404" s="28">
        <v>177204471000</v>
      </c>
      <c r="Y2404" s="28">
        <v>762523900000</v>
      </c>
      <c r="Z2404" s="28">
        <v>-37155052000</v>
      </c>
      <c r="AA2404" s="28">
        <v>2044300000</v>
      </c>
      <c r="AB2404" s="28">
        <v>287814402000</v>
      </c>
      <c r="AC2404" s="28">
        <v>301411281000</v>
      </c>
      <c r="AD2404" s="28">
        <v>458942633000</v>
      </c>
      <c r="AE2404" s="28">
        <v>63170418000</v>
      </c>
      <c r="AF2404" s="28">
        <v>31172227000</v>
      </c>
      <c r="AG2404" s="11"/>
    </row>
    <row r="2405">
      <c r="A2405" s="7" t="s">
        <v>4097</v>
      </c>
      <c r="B2405" s="5" t="s">
        <v>12077</v>
      </c>
      <c r="C2405" s="5" t="s">
        <v>19919</v>
      </c>
      <c r="D2405" s="5" t="str">
        <v>507401148762</v>
      </c>
      <c r="E2405" s="0" t="e">
        <f>+7 (3472) 692459
+7 (3472) 692550
+7 (401) 2560765
+7 (401) 2560766
+7 (401) 2563693
+7 (401) 2994820
+7 (495) 6648840</f>
        <v>#NAME?</v>
      </c>
      <c r="F2405" s="5" t="s">
        <v>32584</v>
      </c>
      <c r="G2405" s="5" t="s">
        <v>32585</v>
      </c>
      <c r="H2405" s="26">
        <v>13.5</v>
      </c>
      <c r="I2405" s="5" t="s">
        <v>32586</v>
      </c>
      <c r="J2405" s="5" t="s">
        <v>30741</v>
      </c>
      <c r="K2405" s="5" t="s">
        <v>344</v>
      </c>
      <c r="L2405" s="5"/>
      <c r="M2405" s="27">
        <v>49014265</v>
      </c>
      <c r="N2405" s="5" t="s">
        <v>53128</v>
      </c>
      <c r="O2405" s="5" t="str">
        <v>5036101347</v>
      </c>
      <c r="P2405" s="27">
        <v>2050000</v>
      </c>
      <c r="Q2405" s="5" t="s">
        <v>53129</v>
      </c>
      <c r="R2405" s="5"/>
      <c r="S2405" s="5" t="s">
        <v>53130</v>
      </c>
      <c r="T2405" s="28">
        <v>419951000</v>
      </c>
      <c r="U2405" s="28">
        <v>65511000</v>
      </c>
      <c r="V2405" s="28">
        <v>440306000</v>
      </c>
      <c r="W2405" s="28"/>
      <c r="X2405" s="28">
        <v>1558349000</v>
      </c>
      <c r="Y2405" s="28">
        <v>3474828000</v>
      </c>
      <c r="Z2405" s="28">
        <v>-2399761000</v>
      </c>
      <c r="AA2405" s="28">
        <v>359301000</v>
      </c>
      <c r="AB2405" s="28">
        <v>68159000</v>
      </c>
      <c r="AC2405" s="28">
        <v>2153949000</v>
      </c>
      <c r="AD2405" s="28">
        <v>823120000</v>
      </c>
      <c r="AE2405" s="28">
        <v>5162548000</v>
      </c>
      <c r="AF2405" s="28">
        <v>2322000</v>
      </c>
      <c r="AG2405" s="11"/>
    </row>
    <row r="2406">
      <c r="A2406" s="7" t="s">
        <v>4098</v>
      </c>
      <c r="B2406" s="5" t="s">
        <v>12078</v>
      </c>
      <c r="C2406" s="5" t="s">
        <v>19920</v>
      </c>
      <c r="D2406" s="5" t="str">
        <v>890503182370</v>
      </c>
      <c r="E2406" s="0" t="e">
        <f>+7 (800) 7000370
+7 (495) 6648840
+7 (495) 7108983
+7 (800) 2347276</f>
        <v>#NAME?</v>
      </c>
      <c r="F2406" s="5" t="s">
        <v>32587</v>
      </c>
      <c r="G2406" s="5" t="s">
        <v>32588</v>
      </c>
      <c r="H2406" s="26">
        <v>15.5</v>
      </c>
      <c r="I2406" s="5" t="s">
        <v>32589</v>
      </c>
      <c r="J2406" s="5" t="s">
        <v>881</v>
      </c>
      <c r="K2406" s="5" t="s">
        <v>344</v>
      </c>
      <c r="L2406" s="5"/>
      <c r="M2406" s="27"/>
      <c r="N2406" s="5" t="s">
        <v>53131</v>
      </c>
      <c r="O2406" s="5" t="str">
        <v>7727624244</v>
      </c>
      <c r="P2406" s="27">
        <v>1056989608</v>
      </c>
      <c r="Q2406" s="5" t="s">
        <v>53132</v>
      </c>
      <c r="R2406" s="5"/>
      <c r="S2406" s="5" t="s">
        <v>50205</v>
      </c>
      <c r="T2406" s="28">
        <v>1880854000</v>
      </c>
      <c r="U2406" s="28">
        <v>727968000</v>
      </c>
      <c r="V2406" s="28">
        <v>470604000</v>
      </c>
      <c r="W2406" s="28"/>
      <c r="X2406" s="28">
        <v>333223000</v>
      </c>
      <c r="Y2406" s="28">
        <v>6809558000</v>
      </c>
      <c r="Z2406" s="28">
        <v>-1687765000</v>
      </c>
      <c r="AA2406" s="28">
        <v>2577872000</v>
      </c>
      <c r="AB2406" s="28">
        <v>50518000</v>
      </c>
      <c r="AC2406" s="28">
        <v>848359000</v>
      </c>
      <c r="AD2406" s="28">
        <v>2837782000</v>
      </c>
      <c r="AE2406" s="28">
        <v>4401910000</v>
      </c>
      <c r="AF2406" s="28">
        <v>107173000</v>
      </c>
      <c r="AG2406" s="11"/>
    </row>
    <row r="2407">
      <c r="A2407" s="7" t="s">
        <v>4099</v>
      </c>
      <c r="B2407" s="5" t="s">
        <v>12079</v>
      </c>
      <c r="C2407" s="5" t="s">
        <v>19921</v>
      </c>
      <c r="D2407" s="5"/>
      <c r="E2407" s="0" t="e">
        <f>+7 (34357) 23350
+7 (3494) 246587
+7 (3494) 246613
+7 (3494) 246706
+7 (3494) 246741
+7 (30145) 41467
+7 (30145) 44523
+7 (30145) 44710
+7 (34265) 39112
+7 (34357) 22030
+7 (34357) 22220
+7 (34357) 22226
+7 (34357) 22230
+7 (34357) 22355
+7 (401) 2690254</f>
        <v>#NAME?</v>
      </c>
      <c r="F2407" s="5" t="s">
        <v>32590</v>
      </c>
      <c r="G2407" s="5"/>
      <c r="H2407" s="26">
        <v>11.5</v>
      </c>
      <c r="I2407" s="5" t="s">
        <v>32591</v>
      </c>
      <c r="J2407" s="5" t="s">
        <v>27640</v>
      </c>
      <c r="K2407" s="5" t="s">
        <v>344</v>
      </c>
      <c r="L2407" s="5" t="s">
        <v>32592</v>
      </c>
      <c r="M2407" s="27">
        <v>31302549</v>
      </c>
      <c r="N2407" s="5" t="s">
        <v>53133</v>
      </c>
      <c r="O2407" s="5" t="str">
        <v>7704784450</v>
      </c>
      <c r="P2407" s="27">
        <v>172491169361</v>
      </c>
      <c r="Q2407" s="5" t="s">
        <v>53134</v>
      </c>
      <c r="R2407" s="5"/>
      <c r="S2407" s="5" t="s">
        <v>53135</v>
      </c>
      <c r="T2407" s="28">
        <v>228794941000</v>
      </c>
      <c r="U2407" s="28">
        <v>78906945000</v>
      </c>
      <c r="V2407" s="28">
        <v>32898239000</v>
      </c>
      <c r="W2407" s="28">
        <v>46300000000</v>
      </c>
      <c r="X2407" s="28">
        <v>134340937000</v>
      </c>
      <c r="Y2407" s="28">
        <v>542084030000</v>
      </c>
      <c r="Z2407" s="28">
        <v>240790266000</v>
      </c>
      <c r="AA2407" s="28">
        <v>67717595000</v>
      </c>
      <c r="AB2407" s="28">
        <v>11755363000</v>
      </c>
      <c r="AC2407" s="28">
        <v>30630941000</v>
      </c>
      <c r="AD2407" s="28">
        <v>433042444000</v>
      </c>
      <c r="AE2407" s="28">
        <v>230536424000</v>
      </c>
      <c r="AF2407" s="28">
        <v>33526094000</v>
      </c>
      <c r="AG2407" s="11"/>
    </row>
    <row r="2408">
      <c r="A2408" s="7" t="s">
        <v>4100</v>
      </c>
      <c r="B2408" s="5" t="s">
        <v>12080</v>
      </c>
      <c r="C2408" s="5" t="s">
        <v>19922</v>
      </c>
      <c r="D2408" s="5" t="str">
        <v>773119856863</v>
      </c>
      <c r="E2408" s="0" t="e">
        <f>+7 (495) 7300321
+7 (915) 2791473
+7 (916) 6734479</f>
        <v>#NAME?</v>
      </c>
      <c r="F2408" s="5"/>
      <c r="G2408" s="5"/>
      <c r="H2408" s="26">
        <v>5.5</v>
      </c>
      <c r="I2408" s="5" t="s">
        <v>32593</v>
      </c>
      <c r="J2408" s="5" t="s">
        <v>1059</v>
      </c>
      <c r="K2408" s="5" t="s">
        <v>344</v>
      </c>
      <c r="L2408" s="5"/>
      <c r="M2408" s="27"/>
      <c r="N2408" s="5"/>
      <c r="O2408" s="5" t="str">
        <v>7724423370</v>
      </c>
      <c r="P2408" s="27">
        <v>10010000</v>
      </c>
      <c r="Q2408" s="5" t="s">
        <v>694</v>
      </c>
      <c r="R2408" s="5"/>
      <c r="S2408" s="5" t="s">
        <v>50385</v>
      </c>
      <c r="T2408" s="28">
        <v>5108000</v>
      </c>
      <c r="U2408" s="28">
        <v>545441000</v>
      </c>
      <c r="V2408" s="28">
        <v>416810000</v>
      </c>
      <c r="W2408" s="28"/>
      <c r="X2408" s="28">
        <v>1108000</v>
      </c>
      <c r="Y2408" s="28">
        <v>1375489000</v>
      </c>
      <c r="Z2408" s="28">
        <v>14616000</v>
      </c>
      <c r="AA2408" s="28">
        <v>207697000</v>
      </c>
      <c r="AB2408" s="28">
        <v>122559000</v>
      </c>
      <c r="AC2408" s="28">
        <v>1142003000</v>
      </c>
      <c r="AD2408" s="28">
        <v>24626000</v>
      </c>
      <c r="AE2408" s="28">
        <v>5238159000</v>
      </c>
      <c r="AF2408" s="28">
        <v>13720000</v>
      </c>
      <c r="AG2408" s="11"/>
    </row>
    <row r="2409">
      <c r="A2409" s="7" t="s">
        <v>4101</v>
      </c>
      <c r="B2409" s="5" t="s">
        <v>12081</v>
      </c>
      <c r="C2409" s="5" t="s">
        <v>19923</v>
      </c>
      <c r="D2409" s="5" t="str">
        <v>422105111770</v>
      </c>
      <c r="E2409" s="0" t="e">
        <f>+7 (913) 3171773</f>
        <v>#NAME?</v>
      </c>
      <c r="F2409" s="5"/>
      <c r="G2409" s="5"/>
      <c r="H2409" s="26">
        <v>15</v>
      </c>
      <c r="I2409" s="5" t="s">
        <v>32594</v>
      </c>
      <c r="J2409" s="5" t="s">
        <v>748</v>
      </c>
      <c r="K2409" s="5" t="s">
        <v>355</v>
      </c>
      <c r="L2409" s="5" t="s">
        <v>664</v>
      </c>
      <c r="M2409" s="27"/>
      <c r="N2409" s="5"/>
      <c r="O2409" s="5" t="str">
        <v>4221023740</v>
      </c>
      <c r="P2409" s="27">
        <v>10000</v>
      </c>
      <c r="Q2409" s="5"/>
      <c r="R2409" s="5"/>
      <c r="S2409" s="5" t="s">
        <v>49110</v>
      </c>
      <c r="T2409" s="28">
        <v>1000</v>
      </c>
      <c r="U2409" s="28">
        <v>1000000</v>
      </c>
      <c r="V2409" s="28">
        <v>160000</v>
      </c>
      <c r="W2409" s="28"/>
      <c r="X2409" s="28">
        <v>7000</v>
      </c>
      <c r="Y2409" s="28">
        <v>1318000</v>
      </c>
      <c r="Z2409" s="28"/>
      <c r="AA2409" s="28"/>
      <c r="AB2409" s="28"/>
      <c r="AC2409" s="28"/>
      <c r="AD2409" s="28">
        <v>1318000</v>
      </c>
      <c r="AE2409" s="28">
        <v>10081169000</v>
      </c>
      <c r="AF2409" s="28">
        <v>956242000</v>
      </c>
      <c r="AG2409" s="11"/>
    </row>
    <row r="2410">
      <c r="A2410" s="7" t="s">
        <v>4102</v>
      </c>
      <c r="B2410" s="5" t="s">
        <v>12082</v>
      </c>
      <c r="C2410" s="5" t="s">
        <v>19924</v>
      </c>
      <c r="D2410" s="5" t="str">
        <v>470406863130</v>
      </c>
      <c r="E2410" s="0" t="e">
        <f>+7 (495) 9567141
+7 (495) 9567144
+7 (495) 9567145</f>
        <v>#NAME?</v>
      </c>
      <c r="F2410" s="5" t="s">
        <v>32595</v>
      </c>
      <c r="G2410" s="5" t="s">
        <v>32596</v>
      </c>
      <c r="H2410" s="26">
        <v>23.5</v>
      </c>
      <c r="I2410" s="5" t="s">
        <v>32597</v>
      </c>
      <c r="J2410" s="5" t="s">
        <v>25429</v>
      </c>
      <c r="K2410" s="5" t="s">
        <v>344</v>
      </c>
      <c r="L2410" s="5" t="s">
        <v>32598</v>
      </c>
      <c r="M2410" s="27"/>
      <c r="N2410" s="5"/>
      <c r="O2410" s="5" t="str">
        <v>5030036042</v>
      </c>
      <c r="P2410" s="27">
        <v>3000000</v>
      </c>
      <c r="Q2410" s="5"/>
      <c r="R2410" s="5"/>
      <c r="S2410" s="5" t="s">
        <v>49110</v>
      </c>
      <c r="T2410" s="28">
        <v>133647000</v>
      </c>
      <c r="U2410" s="28"/>
      <c r="V2410" s="28">
        <v>197157000</v>
      </c>
      <c r="W2410" s="28">
        <v>2300000000</v>
      </c>
      <c r="X2410" s="28">
        <v>1014936000</v>
      </c>
      <c r="Y2410" s="28">
        <v>5514494000</v>
      </c>
      <c r="Z2410" s="28">
        <v>4358489000</v>
      </c>
      <c r="AA2410" s="28"/>
      <c r="AB2410" s="28"/>
      <c r="AC2410" s="28">
        <v>1087402000</v>
      </c>
      <c r="AD2410" s="28">
        <v>4361934000</v>
      </c>
      <c r="AE2410" s="28">
        <v>9837412000</v>
      </c>
      <c r="AF2410" s="28">
        <v>677597000</v>
      </c>
      <c r="AG2410" s="11"/>
    </row>
    <row r="2411">
      <c r="A2411" s="7" t="s">
        <v>4103</v>
      </c>
      <c r="B2411" s="5" t="s">
        <v>12083</v>
      </c>
      <c r="C2411" s="5" t="s">
        <v>19925</v>
      </c>
      <c r="D2411" s="5" t="str">
        <v>782093558222</v>
      </c>
      <c r="E2411" s="0" t="e">
        <f>+7 (951) 6897686
+7 (812) 6001567</f>
        <v>#NAME?</v>
      </c>
      <c r="F2411" s="5" t="s">
        <v>32599</v>
      </c>
      <c r="G2411" s="5" t="s">
        <v>32600</v>
      </c>
      <c r="H2411" s="26">
        <v>12.5</v>
      </c>
      <c r="I2411" s="5"/>
      <c r="J2411" s="5" t="s">
        <v>26770</v>
      </c>
      <c r="K2411" s="5" t="s">
        <v>344</v>
      </c>
      <c r="L2411" s="5" t="s">
        <v>32601</v>
      </c>
      <c r="M2411" s="27"/>
      <c r="N2411" s="5"/>
      <c r="O2411" s="5" t="str">
        <v>7806242294</v>
      </c>
      <c r="P2411" s="27">
        <v>10000</v>
      </c>
      <c r="Q2411" s="5"/>
      <c r="R2411" s="5"/>
      <c r="S2411" s="5" t="s">
        <v>49029</v>
      </c>
      <c r="T2411" s="28">
        <v>3509000</v>
      </c>
      <c r="U2411" s="28">
        <v>10000000</v>
      </c>
      <c r="V2411" s="28">
        <v>1008615000</v>
      </c>
      <c r="W2411" s="28"/>
      <c r="X2411" s="28">
        <v>2106000</v>
      </c>
      <c r="Y2411" s="28">
        <v>2076050000</v>
      </c>
      <c r="Z2411" s="28">
        <v>1001076000</v>
      </c>
      <c r="AA2411" s="28"/>
      <c r="AB2411" s="28">
        <v>301370000</v>
      </c>
      <c r="AC2411" s="28">
        <v>1071752000</v>
      </c>
      <c r="AD2411" s="28">
        <v>1001086000</v>
      </c>
      <c r="AE2411" s="28">
        <v>5620505000</v>
      </c>
      <c r="AF2411" s="28">
        <v>583473000</v>
      </c>
      <c r="AG2411" s="11"/>
    </row>
    <row r="2412">
      <c r="A2412" s="7" t="s">
        <v>4104</v>
      </c>
      <c r="B2412" s="5" t="s">
        <v>12084</v>
      </c>
      <c r="C2412" s="5" t="s">
        <v>19926</v>
      </c>
      <c r="D2412" s="5" t="str">
        <v>770470890588</v>
      </c>
      <c r="E2412" s="0" t="e">
        <f>+7 (911) 9996798
+7 (495) 3635045
+7 (495) 3635046
+7 (495) 3635078</f>
        <v>#NAME?</v>
      </c>
      <c r="F2412" s="5" t="s">
        <v>32602</v>
      </c>
      <c r="G2412" s="5" t="s">
        <v>32603</v>
      </c>
      <c r="H2412" s="26">
        <v>20.5</v>
      </c>
      <c r="I2412" s="5" t="s">
        <v>32604</v>
      </c>
      <c r="J2412" s="5" t="s">
        <v>26770</v>
      </c>
      <c r="K2412" s="5" t="s">
        <v>344</v>
      </c>
      <c r="L2412" s="5" t="s">
        <v>32605</v>
      </c>
      <c r="M2412" s="27"/>
      <c r="N2412" s="5"/>
      <c r="O2412" s="5" t="str">
        <v>7710439860</v>
      </c>
      <c r="P2412" s="27">
        <v>10000</v>
      </c>
      <c r="Q2412" s="5" t="s">
        <v>49009</v>
      </c>
      <c r="R2412" s="5"/>
      <c r="S2412" s="5" t="s">
        <v>49045</v>
      </c>
      <c r="T2412" s="28">
        <v>3463000</v>
      </c>
      <c r="U2412" s="28"/>
      <c r="V2412" s="28">
        <v>188496000</v>
      </c>
      <c r="W2412" s="28">
        <v>1000000</v>
      </c>
      <c r="X2412" s="28">
        <v>222000</v>
      </c>
      <c r="Y2412" s="28">
        <v>906341000</v>
      </c>
      <c r="Z2412" s="28">
        <v>181611000</v>
      </c>
      <c r="AA2412" s="28"/>
      <c r="AB2412" s="28">
        <v>100006000</v>
      </c>
      <c r="AC2412" s="28">
        <v>721573000</v>
      </c>
      <c r="AD2412" s="28">
        <v>181621000</v>
      </c>
      <c r="AE2412" s="28">
        <v>4508881000</v>
      </c>
      <c r="AF2412" s="28">
        <v>49204000</v>
      </c>
      <c r="AG2412" s="11"/>
    </row>
    <row r="2413">
      <c r="A2413" s="7" t="s">
        <v>4105</v>
      </c>
      <c r="B2413" s="5" t="s">
        <v>12085</v>
      </c>
      <c r="C2413" s="5" t="s">
        <v>19927</v>
      </c>
      <c r="D2413" s="5" t="str">
        <v>773383726481</v>
      </c>
      <c r="E2413" s="0" t="e">
        <f>+7 (495) 6657575
+7 (495) 7818282
+7 (916) 8119848
+7 (926) 4156936</f>
        <v>#NAME?</v>
      </c>
      <c r="F2413" s="5" t="s">
        <v>32606</v>
      </c>
      <c r="G2413" s="5" t="s">
        <v>32607</v>
      </c>
      <c r="H2413" s="26">
        <v>14.5</v>
      </c>
      <c r="I2413" s="5"/>
      <c r="J2413" s="5" t="s">
        <v>32608</v>
      </c>
      <c r="K2413" s="5" t="s">
        <v>344</v>
      </c>
      <c r="L2413" s="5" t="s">
        <v>32609</v>
      </c>
      <c r="M2413" s="27"/>
      <c r="N2413" s="5" t="s">
        <v>53136</v>
      </c>
      <c r="O2413" s="5" t="str">
        <v>7723673480</v>
      </c>
      <c r="P2413" s="27">
        <v>100000</v>
      </c>
      <c r="Q2413" s="5" t="s">
        <v>49021</v>
      </c>
      <c r="R2413" s="5"/>
      <c r="S2413" s="5" t="s">
        <v>53137</v>
      </c>
      <c r="T2413" s="28">
        <v>15303000</v>
      </c>
      <c r="U2413" s="28">
        <v>67000</v>
      </c>
      <c r="V2413" s="28">
        <v>1373868000</v>
      </c>
      <c r="W2413" s="28">
        <v>43000000</v>
      </c>
      <c r="X2413" s="28">
        <v>20890000</v>
      </c>
      <c r="Y2413" s="28">
        <v>3705640000</v>
      </c>
      <c r="Z2413" s="28">
        <v>1789486000</v>
      </c>
      <c r="AA2413" s="28">
        <v>55668000</v>
      </c>
      <c r="AB2413" s="28">
        <v>74000</v>
      </c>
      <c r="AC2413" s="28">
        <v>1859540000</v>
      </c>
      <c r="AD2413" s="28">
        <v>1789591000</v>
      </c>
      <c r="AE2413" s="28">
        <v>5304109000</v>
      </c>
      <c r="AF2413" s="28">
        <v>1562350000</v>
      </c>
      <c r="AG2413" s="11"/>
    </row>
    <row r="2414">
      <c r="A2414" s="7" t="s">
        <v>4106</v>
      </c>
      <c r="B2414" s="5" t="s">
        <v>12086</v>
      </c>
      <c r="C2414" s="5" t="s">
        <v>19928</v>
      </c>
      <c r="D2414" s="5" t="str">
        <v>561004006085</v>
      </c>
      <c r="F2414" s="5"/>
      <c r="G2414" s="5"/>
      <c r="H2414" s="26">
        <v>6.5</v>
      </c>
      <c r="I2414" s="5" t="s">
        <v>32610</v>
      </c>
      <c r="J2414" s="5" t="s">
        <v>678</v>
      </c>
      <c r="K2414" s="5" t="s">
        <v>344</v>
      </c>
      <c r="L2414" s="5" t="s">
        <v>32611</v>
      </c>
      <c r="M2414" s="27"/>
      <c r="N2414" s="5"/>
      <c r="O2414" s="5" t="str">
        <v>5609182980</v>
      </c>
      <c r="P2414" s="27">
        <v>20000</v>
      </c>
      <c r="Q2414" s="5" t="s">
        <v>49009</v>
      </c>
      <c r="R2414" s="5"/>
      <c r="S2414" s="5" t="s">
        <v>49010</v>
      </c>
      <c r="T2414" s="28">
        <v>15998000</v>
      </c>
      <c r="U2414" s="28"/>
      <c r="V2414" s="28">
        <v>2140313000</v>
      </c>
      <c r="W2414" s="28">
        <v>8390000</v>
      </c>
      <c r="X2414" s="28">
        <v>120439000</v>
      </c>
      <c r="Y2414" s="28">
        <v>2548987000</v>
      </c>
      <c r="Z2414" s="28">
        <v>641964000</v>
      </c>
      <c r="AA2414" s="28">
        <v>336513000</v>
      </c>
      <c r="AB2414" s="28">
        <v>1387086000</v>
      </c>
      <c r="AC2414" s="28">
        <v>1566747000</v>
      </c>
      <c r="AD2414" s="28">
        <v>641984000</v>
      </c>
      <c r="AE2414" s="28">
        <v>16271235000</v>
      </c>
      <c r="AF2414" s="28">
        <v>132757000</v>
      </c>
      <c r="AG2414" s="11"/>
    </row>
    <row r="2415">
      <c r="A2415" s="7" t="s">
        <v>4107</v>
      </c>
      <c r="B2415" s="5" t="s">
        <v>12087</v>
      </c>
      <c r="C2415" s="5" t="s">
        <v>19929</v>
      </c>
      <c r="D2415" s="5" t="str">
        <v>540227007289</v>
      </c>
      <c r="E2415" s="0" t="e">
        <f>+7 (383) 2004074
+7 (923) 2450781</f>
        <v>#NAME?</v>
      </c>
      <c r="F2415" s="5" t="s">
        <v>32612</v>
      </c>
      <c r="G2415" s="5"/>
      <c r="H2415" s="26">
        <v>2</v>
      </c>
      <c r="I2415" s="5" t="s">
        <v>32613</v>
      </c>
      <c r="J2415" s="5" t="s">
        <v>423</v>
      </c>
      <c r="K2415" s="5" t="s">
        <v>344</v>
      </c>
      <c r="L2415" s="5"/>
      <c r="M2415" s="27"/>
      <c r="N2415" s="5" t="s">
        <v>53138</v>
      </c>
      <c r="O2415" s="5" t="str">
        <v>5406810809</v>
      </c>
      <c r="P2415" s="27">
        <v>10000</v>
      </c>
      <c r="Q2415" s="5" t="s">
        <v>53139</v>
      </c>
      <c r="R2415" s="5"/>
      <c r="S2415" s="5" t="s">
        <v>53140</v>
      </c>
      <c r="T2415" s="28">
        <v>372000</v>
      </c>
      <c r="U2415" s="28"/>
      <c r="V2415" s="28">
        <v>740857000</v>
      </c>
      <c r="W2415" s="28">
        <v>159445000</v>
      </c>
      <c r="X2415" s="28">
        <v>80829000</v>
      </c>
      <c r="Y2415" s="28">
        <v>2054247000</v>
      </c>
      <c r="Z2415" s="28">
        <v>148052000</v>
      </c>
      <c r="AA2415" s="28">
        <v>233213000</v>
      </c>
      <c r="AB2415" s="28">
        <v>106172000</v>
      </c>
      <c r="AC2415" s="28">
        <v>1672972000</v>
      </c>
      <c r="AD2415" s="28">
        <v>148062000</v>
      </c>
      <c r="AE2415" s="28">
        <v>3708543000</v>
      </c>
      <c r="AF2415" s="28">
        <v>123851000</v>
      </c>
      <c r="AG2415" s="11"/>
    </row>
    <row r="2416">
      <c r="A2416" s="7" t="s">
        <v>4108</v>
      </c>
      <c r="B2416" s="5" t="s">
        <v>12088</v>
      </c>
      <c r="C2416" s="5" t="s">
        <v>19930</v>
      </c>
      <c r="D2416" s="5" t="str">
        <v>772738997860</v>
      </c>
      <c r="E2416" s="0" t="e">
        <f>+7 (929) 9144584
+7 (499) 6788075
+7 (495) 2322108
+7 (495) 2871731
+7 (495) 7413721
+7 (499) 5391049</f>
        <v>#NAME?</v>
      </c>
      <c r="F2416" s="5" t="s">
        <v>32614</v>
      </c>
      <c r="G2416" s="5" t="s">
        <v>32615</v>
      </c>
      <c r="H2416" s="26">
        <v>19.5</v>
      </c>
      <c r="I2416" s="5" t="s">
        <v>32616</v>
      </c>
      <c r="J2416" s="5" t="s">
        <v>25429</v>
      </c>
      <c r="K2416" s="5" t="s">
        <v>344</v>
      </c>
      <c r="L2416" s="5" t="s">
        <v>32617</v>
      </c>
      <c r="M2416" s="27">
        <v>1039600</v>
      </c>
      <c r="N2416" s="5" t="s">
        <v>53141</v>
      </c>
      <c r="O2416" s="5" t="str">
        <v>5027096683</v>
      </c>
      <c r="P2416" s="27">
        <v>10000</v>
      </c>
      <c r="Q2416" s="5" t="s">
        <v>53142</v>
      </c>
      <c r="R2416" s="5"/>
      <c r="S2416" s="5" t="s">
        <v>53143</v>
      </c>
      <c r="T2416" s="28">
        <v>121281000</v>
      </c>
      <c r="U2416" s="28"/>
      <c r="V2416" s="28">
        <v>6654252000</v>
      </c>
      <c r="W2416" s="28"/>
      <c r="X2416" s="28">
        <v>55841000</v>
      </c>
      <c r="Y2416" s="28">
        <v>9395486000</v>
      </c>
      <c r="Z2416" s="28">
        <v>3188004000</v>
      </c>
      <c r="AA2416" s="28"/>
      <c r="AB2416" s="28">
        <v>1706994000</v>
      </c>
      <c r="AC2416" s="28">
        <v>6029785000</v>
      </c>
      <c r="AD2416" s="28">
        <v>3188014000</v>
      </c>
      <c r="AE2416" s="28">
        <v>19026325000</v>
      </c>
      <c r="AF2416" s="28">
        <v>430672000</v>
      </c>
      <c r="AG2416" s="11"/>
    </row>
    <row r="2417">
      <c r="A2417" s="7" t="s">
        <v>4109</v>
      </c>
      <c r="B2417" s="5" t="s">
        <v>12089</v>
      </c>
      <c r="C2417" s="5" t="s">
        <v>19931</v>
      </c>
      <c r="D2417" s="5" t="str">
        <v>501208745008</v>
      </c>
      <c r="E2417" s="0" t="e">
        <f>+7 (904) 4065827
+7 (916) 9999221
+7 (343) 2260565
+7 (495) 7487913
+7 (800) 5500606
+7 (812) 3466055
+7 (812) 3896060
+7 (812) 5418298
+7 (863) 3330560</f>
        <v>#NAME?</v>
      </c>
      <c r="F2417" s="5" t="s">
        <v>32618</v>
      </c>
      <c r="G2417" s="5" t="s">
        <v>32619</v>
      </c>
      <c r="H2417" s="26">
        <v>23.5</v>
      </c>
      <c r="I2417" s="5" t="s">
        <v>32620</v>
      </c>
      <c r="J2417" s="5" t="s">
        <v>25670</v>
      </c>
      <c r="K2417" s="5" t="s">
        <v>355</v>
      </c>
      <c r="L2417" s="5"/>
      <c r="M2417" s="27">
        <v>45578996</v>
      </c>
      <c r="N2417" s="5" t="s">
        <v>53144</v>
      </c>
      <c r="O2417" s="5" t="str">
        <v>7802131219</v>
      </c>
      <c r="P2417" s="27">
        <v>510000000</v>
      </c>
      <c r="Q2417" s="5" t="s">
        <v>53145</v>
      </c>
      <c r="R2417" s="5"/>
      <c r="S2417" s="5" t="s">
        <v>53146</v>
      </c>
      <c r="T2417" s="28">
        <v>56896000</v>
      </c>
      <c r="U2417" s="28">
        <v>20000</v>
      </c>
      <c r="V2417" s="28">
        <v>13894648000</v>
      </c>
      <c r="W2417" s="28"/>
      <c r="X2417" s="28">
        <v>407683000</v>
      </c>
      <c r="Y2417" s="28">
        <v>36874904000</v>
      </c>
      <c r="Z2417" s="28">
        <v>3173139000</v>
      </c>
      <c r="AA2417" s="28">
        <v>15173343000</v>
      </c>
      <c r="AB2417" s="28">
        <v>14409709000</v>
      </c>
      <c r="AC2417" s="28">
        <v>17976718000</v>
      </c>
      <c r="AD2417" s="28">
        <v>3683139000</v>
      </c>
      <c r="AE2417" s="28">
        <v>5417255000</v>
      </c>
      <c r="AF2417" s="28">
        <v>915613000</v>
      </c>
      <c r="AG2417" s="11"/>
    </row>
    <row r="2418">
      <c r="A2418" s="7" t="s">
        <v>4110</v>
      </c>
      <c r="B2418" s="5" t="s">
        <v>12090</v>
      </c>
      <c r="C2418" s="5" t="s">
        <v>19932</v>
      </c>
      <c r="D2418" s="5" t="str">
        <v>772771641194</v>
      </c>
      <c r="E2418" s="0" t="e">
        <f>+7 (343) 2720085
+7 (485) 2466667
+7 (846) 2673010
+7 (967) 8547814
+7 (485) 2233338
+7 (903) 8227835
+7 (3472) 924356
+7 (495) 7300195
+7 (499) 2860286</f>
        <v>#NAME?</v>
      </c>
      <c r="F2418" s="5" t="s">
        <v>32621</v>
      </c>
      <c r="G2418" s="5" t="s">
        <v>32622</v>
      </c>
      <c r="H2418" s="26">
        <v>15.5</v>
      </c>
      <c r="I2418" s="5" t="s">
        <v>32623</v>
      </c>
      <c r="J2418" s="5" t="s">
        <v>26880</v>
      </c>
      <c r="K2418" s="5" t="s">
        <v>344</v>
      </c>
      <c r="L2418" s="5" t="s">
        <v>32624</v>
      </c>
      <c r="M2418" s="27">
        <v>2322169</v>
      </c>
      <c r="N2418" s="5" t="s">
        <v>53147</v>
      </c>
      <c r="O2418" s="5" t="str">
        <v>7730565447</v>
      </c>
      <c r="P2418" s="27">
        <v>10000</v>
      </c>
      <c r="Q2418" s="5" t="s">
        <v>49009</v>
      </c>
      <c r="R2418" s="5" t="s">
        <v>53148</v>
      </c>
      <c r="S2418" s="5" t="s">
        <v>49978</v>
      </c>
      <c r="T2418" s="28">
        <v>62346000</v>
      </c>
      <c r="U2418" s="28"/>
      <c r="V2418" s="28">
        <v>2210875000</v>
      </c>
      <c r="W2418" s="28">
        <v>81500000</v>
      </c>
      <c r="X2418" s="28">
        <v>43324000</v>
      </c>
      <c r="Y2418" s="28">
        <v>5045331000</v>
      </c>
      <c r="Z2418" s="28">
        <v>2158033000</v>
      </c>
      <c r="AA2418" s="28">
        <v>278673000</v>
      </c>
      <c r="AB2418" s="28">
        <v>12332000</v>
      </c>
      <c r="AC2418" s="28">
        <v>2608615000</v>
      </c>
      <c r="AD2418" s="28">
        <v>2158043000</v>
      </c>
      <c r="AE2418" s="28">
        <v>19881947000</v>
      </c>
      <c r="AF2418" s="28">
        <v>-332653000</v>
      </c>
      <c r="AG2418" s="11"/>
    </row>
    <row r="2419">
      <c r="A2419" s="7" t="s">
        <v>4111</v>
      </c>
      <c r="B2419" s="5" t="s">
        <v>12091</v>
      </c>
      <c r="C2419" s="5" t="s">
        <v>19933</v>
      </c>
      <c r="D2419" s="5" t="str">
        <v>166001837308</v>
      </c>
      <c r="E2419" s="0" t="e">
        <f>+7 (8435) 702047</f>
        <v>#NAME?</v>
      </c>
      <c r="F2419" s="5" t="s">
        <v>32625</v>
      </c>
      <c r="G2419" s="5"/>
      <c r="H2419" s="26">
        <v>16</v>
      </c>
      <c r="I2419" s="5" t="s">
        <v>32626</v>
      </c>
      <c r="J2419" s="5" t="s">
        <v>955</v>
      </c>
      <c r="K2419" s="5" t="s">
        <v>344</v>
      </c>
      <c r="L2419" s="5" t="s">
        <v>32627</v>
      </c>
      <c r="M2419" s="27">
        <v>69500</v>
      </c>
      <c r="N2419" s="5" t="s">
        <v>53149</v>
      </c>
      <c r="O2419" s="5" t="str">
        <v>1658082808</v>
      </c>
      <c r="P2419" s="27">
        <v>500000</v>
      </c>
      <c r="Q2419" s="5"/>
      <c r="R2419" s="5"/>
      <c r="S2419" s="5" t="s">
        <v>49110</v>
      </c>
      <c r="T2419" s="28">
        <v>5930000</v>
      </c>
      <c r="U2419" s="28"/>
      <c r="V2419" s="28">
        <v>178760000</v>
      </c>
      <c r="W2419" s="28"/>
      <c r="X2419" s="28">
        <v>8942000</v>
      </c>
      <c r="Y2419" s="28">
        <v>520391000</v>
      </c>
      <c r="Z2419" s="28">
        <v>444504000</v>
      </c>
      <c r="AA2419" s="28"/>
      <c r="AB2419" s="28"/>
      <c r="AC2419" s="28">
        <v>75387000</v>
      </c>
      <c r="AD2419" s="28">
        <v>445004000</v>
      </c>
      <c r="AE2419" s="28">
        <v>3165935000</v>
      </c>
      <c r="AF2419" s="28">
        <v>41787000</v>
      </c>
      <c r="AG2419" s="11"/>
    </row>
    <row r="2420">
      <c r="A2420" s="7" t="s">
        <v>4112</v>
      </c>
      <c r="B2420" s="5" t="s">
        <v>12092</v>
      </c>
      <c r="C2420" s="5" t="s">
        <v>19934</v>
      </c>
      <c r="D2420" s="5" t="str">
        <v>660402078756</v>
      </c>
      <c r="E2420" s="0" t="e">
        <f>+7 (495) 2321000
+7 (495) 2321033
+7 (495) 5102727
+7 (495) 5681445
+7 (495) 6041008
+7 (495) 7306767
+7 (495) 7759420
+7 (800) 2346006
+7 (800) 7757070
+7 (800) 7758181
+7 (812) 3291721
+7 (916) 9083518
+7 (985) 621658</f>
        <v>#NAME?</v>
      </c>
      <c r="F2420" s="5" t="s">
        <v>32628</v>
      </c>
      <c r="G2420" s="5" t="s">
        <v>32629</v>
      </c>
      <c r="H2420" s="26">
        <v>22.5</v>
      </c>
      <c r="I2420" s="5"/>
      <c r="J2420" s="5" t="s">
        <v>28568</v>
      </c>
      <c r="K2420" s="5" t="s">
        <v>380</v>
      </c>
      <c r="L2420" s="5"/>
      <c r="M2420" s="27">
        <v>253698985</v>
      </c>
      <c r="N2420" s="5" t="s">
        <v>53150</v>
      </c>
      <c r="O2420" s="5" t="str">
        <v>7704217370</v>
      </c>
      <c r="P2420" s="27">
        <v>916184837</v>
      </c>
      <c r="Q2420" s="5" t="s">
        <v>53151</v>
      </c>
      <c r="R2420" s="5"/>
      <c r="S2420" s="5" t="s">
        <v>49082</v>
      </c>
      <c r="T2420" s="28">
        <v>106657360000</v>
      </c>
      <c r="U2420" s="28">
        <v>16638877000</v>
      </c>
      <c r="V2420" s="28">
        <v>16185667000</v>
      </c>
      <c r="W2420" s="28">
        <v>840000</v>
      </c>
      <c r="X2420" s="28">
        <v>71223093000</v>
      </c>
      <c r="Y2420" s="28">
        <v>260408431000</v>
      </c>
      <c r="Z2420" s="28">
        <v>-146788443000</v>
      </c>
      <c r="AA2420" s="28">
        <v>45549739000</v>
      </c>
      <c r="AB2420" s="28">
        <v>799276000</v>
      </c>
      <c r="AC2420" s="28">
        <v>135063566000</v>
      </c>
      <c r="AD2420" s="28">
        <v>14667610000</v>
      </c>
      <c r="AE2420" s="28">
        <v>261369829000</v>
      </c>
      <c r="AF2420" s="28">
        <v>-48695018000</v>
      </c>
      <c r="AG2420" s="11"/>
    </row>
    <row r="2421">
      <c r="A2421" s="7" t="s">
        <v>4113</v>
      </c>
      <c r="B2421" s="5" t="s">
        <v>12093</v>
      </c>
      <c r="C2421" s="5" t="s">
        <v>19935</v>
      </c>
      <c r="D2421" s="5" t="str">
        <v>666101842520</v>
      </c>
      <c r="E2421" s="0" t="e">
        <f>+7 (495) 2120000
+7 (495) 2408424</f>
        <v>#NAME?</v>
      </c>
      <c r="F2421" s="5" t="s">
        <v>32630</v>
      </c>
      <c r="G2421" s="5"/>
      <c r="H2421" s="26">
        <v>5</v>
      </c>
      <c r="I2421" s="5" t="s">
        <v>32631</v>
      </c>
      <c r="J2421" s="5" t="s">
        <v>26308</v>
      </c>
      <c r="K2421" s="5" t="s">
        <v>355</v>
      </c>
      <c r="L2421" s="5" t="s">
        <v>32632</v>
      </c>
      <c r="M2421" s="27">
        <v>5086340</v>
      </c>
      <c r="N2421" s="5"/>
      <c r="O2421" s="5" t="str">
        <v>7743242330</v>
      </c>
      <c r="P2421" s="27">
        <v>2000000</v>
      </c>
      <c r="Q2421" s="5" t="s">
        <v>49009</v>
      </c>
      <c r="R2421" s="5"/>
      <c r="S2421" s="5" t="s">
        <v>49010</v>
      </c>
      <c r="T2421" s="28">
        <v>16597323000</v>
      </c>
      <c r="U2421" s="28">
        <v>1401389000</v>
      </c>
      <c r="V2421" s="28">
        <v>585185000</v>
      </c>
      <c r="W2421" s="28"/>
      <c r="X2421" s="28">
        <v>1078022000</v>
      </c>
      <c r="Y2421" s="28">
        <v>21627436000</v>
      </c>
      <c r="Z2421" s="28">
        <v>-171887000</v>
      </c>
      <c r="AA2421" s="28">
        <v>1490170000</v>
      </c>
      <c r="AB2421" s="28">
        <v>614490000</v>
      </c>
      <c r="AC2421" s="28">
        <v>5807797000</v>
      </c>
      <c r="AD2421" s="28">
        <v>4483499000</v>
      </c>
      <c r="AE2421" s="28">
        <v>33959172000</v>
      </c>
      <c r="AF2421" s="28">
        <v>374309000</v>
      </c>
      <c r="AG2421" s="11"/>
    </row>
    <row r="2422">
      <c r="A2422" s="7" t="s">
        <v>4114</v>
      </c>
      <c r="B2422" s="5" t="s">
        <v>12094</v>
      </c>
      <c r="C2422" s="5" t="s">
        <v>19936</v>
      </c>
      <c r="D2422" s="5" t="str">
        <v>231103722325</v>
      </c>
      <c r="E2422" s="0" t="e">
        <f>+7 (844) 2269143
+7 (844) 2357025
+7 (844) 2798630
+7 (844) 2532300
+7 (844) 2532303
+7 (844) 2545376
+7 (844) 2550363
+7 (844) 2550375
+7 (961) 820103</f>
        <v>#NAME?</v>
      </c>
      <c r="F2422" s="5" t="s">
        <v>32633</v>
      </c>
      <c r="G2422" s="5" t="s">
        <v>32634</v>
      </c>
      <c r="H2422" s="26">
        <v>20.5</v>
      </c>
      <c r="I2422" s="5" t="s">
        <v>32635</v>
      </c>
      <c r="J2422" s="5" t="s">
        <v>27742</v>
      </c>
      <c r="K2422" s="5" t="s">
        <v>344</v>
      </c>
      <c r="L2422" s="5" t="s">
        <v>32636</v>
      </c>
      <c r="M2422" s="27"/>
      <c r="N2422" s="5"/>
      <c r="O2422" s="5" t="str">
        <v>3443033593</v>
      </c>
      <c r="P2422" s="27">
        <v>2404961972</v>
      </c>
      <c r="Q2422" s="5"/>
      <c r="R2422" s="5"/>
      <c r="S2422" s="5" t="s">
        <v>49029</v>
      </c>
      <c r="T2422" s="28">
        <v>1457983000</v>
      </c>
      <c r="U2422" s="28"/>
      <c r="V2422" s="28">
        <v>6021256000</v>
      </c>
      <c r="W2422" s="28">
        <v>700000</v>
      </c>
      <c r="X2422" s="28">
        <v>603432000</v>
      </c>
      <c r="Y2422" s="28">
        <v>13349308000</v>
      </c>
      <c r="Z2422" s="28">
        <v>2307624000</v>
      </c>
      <c r="AA2422" s="28"/>
      <c r="AB2422" s="28"/>
      <c r="AC2422" s="28">
        <v>8550702000</v>
      </c>
      <c r="AD2422" s="28">
        <v>4735512000</v>
      </c>
      <c r="AE2422" s="28">
        <v>7623071000</v>
      </c>
      <c r="AF2422" s="28">
        <v>7074163000</v>
      </c>
      <c r="AG2422" s="11"/>
    </row>
    <row r="2423">
      <c r="A2423" s="7" t="s">
        <v>4115</v>
      </c>
      <c r="B2423" s="5" t="s">
        <v>12095</v>
      </c>
      <c r="C2423" s="5" t="s">
        <v>19937</v>
      </c>
      <c r="D2423" s="5" t="str">
        <v>344301272841</v>
      </c>
      <c r="E2423" s="0" t="e">
        <f>+7 (495) 9372002
+7 (495) 9372000</f>
        <v>#NAME?</v>
      </c>
      <c r="F2423" s="5" t="s">
        <v>32637</v>
      </c>
      <c r="G2423" s="5"/>
      <c r="H2423" s="26">
        <v>24</v>
      </c>
      <c r="I2423" s="5" t="s">
        <v>32638</v>
      </c>
      <c r="J2423" s="5" t="s">
        <v>26564</v>
      </c>
      <c r="K2423" s="5" t="s">
        <v>344</v>
      </c>
      <c r="L2423" s="5" t="s">
        <v>26895</v>
      </c>
      <c r="M2423" s="27"/>
      <c r="N2423" s="5"/>
      <c r="O2423" s="5" t="str">
        <v>7710302785</v>
      </c>
      <c r="P2423" s="27">
        <v>251200000</v>
      </c>
      <c r="Q2423" s="5" t="s">
        <v>49009</v>
      </c>
      <c r="R2423" s="5"/>
      <c r="S2423" s="5" t="s">
        <v>49093</v>
      </c>
      <c r="T2423" s="28">
        <v>261018000</v>
      </c>
      <c r="U2423" s="28"/>
      <c r="V2423" s="28">
        <v>15024133000</v>
      </c>
      <c r="W2423" s="28"/>
      <c r="X2423" s="28">
        <v>2369483000</v>
      </c>
      <c r="Y2423" s="28">
        <v>19350621000</v>
      </c>
      <c r="Z2423" s="28">
        <v>10535551000</v>
      </c>
      <c r="AA2423" s="28"/>
      <c r="AB2423" s="28"/>
      <c r="AC2423" s="28">
        <v>6563870000</v>
      </c>
      <c r="AD2423" s="28">
        <v>12786751000</v>
      </c>
      <c r="AE2423" s="28">
        <v>72273108000</v>
      </c>
      <c r="AF2423" s="28">
        <v>11137333000</v>
      </c>
      <c r="AG2423" s="11"/>
    </row>
    <row r="2424">
      <c r="A2424" s="7" t="s">
        <v>4116</v>
      </c>
      <c r="B2424" s="5" t="s">
        <v>12096</v>
      </c>
      <c r="C2424" s="5" t="s">
        <v>19938</v>
      </c>
      <c r="D2424" s="5" t="str">
        <v>741104324140</v>
      </c>
      <c r="E2424" s="0" t="e">
        <f>+7 (35139) 76861</f>
        <v>#NAME?</v>
      </c>
      <c r="F2424" s="5"/>
      <c r="G2424" s="5" t="s">
        <v>32639</v>
      </c>
      <c r="H2424" s="26">
        <v>16</v>
      </c>
      <c r="I2424" s="5" t="s">
        <v>32640</v>
      </c>
      <c r="J2424" s="5" t="s">
        <v>26251</v>
      </c>
      <c r="K2424" s="5" t="s">
        <v>344</v>
      </c>
      <c r="L2424" s="5" t="s">
        <v>32641</v>
      </c>
      <c r="M2424" s="27"/>
      <c r="N2424" s="5" t="s">
        <v>53152</v>
      </c>
      <c r="O2424" s="5" t="str">
        <v>7411021955</v>
      </c>
      <c r="P2424" s="27">
        <v>1000000</v>
      </c>
      <c r="Q2424" s="5"/>
      <c r="R2424" s="5"/>
      <c r="S2424" s="5" t="s">
        <v>49425</v>
      </c>
      <c r="T2424" s="28">
        <v>112190000</v>
      </c>
      <c r="U2424" s="28"/>
      <c r="V2424" s="28">
        <v>528955000</v>
      </c>
      <c r="W2424" s="28"/>
      <c r="X2424" s="28">
        <v>894063000</v>
      </c>
      <c r="Y2424" s="28">
        <v>2063170000</v>
      </c>
      <c r="Z2424" s="28">
        <v>1659226000</v>
      </c>
      <c r="AA2424" s="28"/>
      <c r="AB2424" s="28"/>
      <c r="AC2424" s="28">
        <v>288334000</v>
      </c>
      <c r="AD2424" s="28">
        <v>1660226000</v>
      </c>
      <c r="AE2424" s="28">
        <v>3823521000</v>
      </c>
      <c r="AF2424" s="28">
        <v>516980000</v>
      </c>
      <c r="AG2424" s="11"/>
    </row>
    <row r="2425">
      <c r="A2425" s="7" t="s">
        <v>4117</v>
      </c>
      <c r="B2425" s="5" t="s">
        <v>12097</v>
      </c>
      <c r="C2425" s="5" t="s">
        <v>19939</v>
      </c>
      <c r="D2425" s="5" t="str">
        <v>181000930178</v>
      </c>
      <c r="E2425" s="0" t="e">
        <f>+7 (3412) 637492
+7 (3412) 637800
+7 (3412) 658283
+7 (3412) 667670
+7 (3412) 667671
+7 (34130) 51010
+7 (34134) 44000
+7 (34139) 34654
+7 (34141) 34444
+7 (34147) 25900
+7 (34147) 49099</f>
        <v>#NAME?</v>
      </c>
      <c r="F2425" s="5" t="s">
        <v>32642</v>
      </c>
      <c r="G2425" s="5" t="s">
        <v>32643</v>
      </c>
      <c r="H2425" s="26">
        <v>25.5</v>
      </c>
      <c r="I2425" s="5" t="s">
        <v>32644</v>
      </c>
      <c r="J2425" s="5" t="s">
        <v>26173</v>
      </c>
      <c r="K2425" s="5" t="s">
        <v>344</v>
      </c>
      <c r="L2425" s="5" t="s">
        <v>32645</v>
      </c>
      <c r="M2425" s="27"/>
      <c r="N2425" s="5" t="s">
        <v>53153</v>
      </c>
      <c r="O2425" s="5" t="str">
        <v>1835035118</v>
      </c>
      <c r="P2425" s="27">
        <v>2008900</v>
      </c>
      <c r="Q2425" s="5" t="s">
        <v>53154</v>
      </c>
      <c r="R2425" s="5"/>
      <c r="S2425" s="5" t="s">
        <v>53155</v>
      </c>
      <c r="T2425" s="28">
        <v>297615000</v>
      </c>
      <c r="U2425" s="28">
        <v>8000</v>
      </c>
      <c r="V2425" s="28">
        <v>489998000</v>
      </c>
      <c r="W2425" s="28">
        <v>46401000</v>
      </c>
      <c r="X2425" s="28">
        <v>36035000</v>
      </c>
      <c r="Y2425" s="28">
        <v>1065771000</v>
      </c>
      <c r="Z2425" s="28">
        <v>299239000</v>
      </c>
      <c r="AA2425" s="28">
        <v>227863000</v>
      </c>
      <c r="AB2425" s="28">
        <v>100000000</v>
      </c>
      <c r="AC2425" s="28">
        <v>529056000</v>
      </c>
      <c r="AD2425" s="28">
        <v>301248000</v>
      </c>
      <c r="AE2425" s="28">
        <v>4608439000</v>
      </c>
      <c r="AF2425" s="28">
        <v>43968000</v>
      </c>
      <c r="AG2425" s="11"/>
    </row>
    <row r="2426">
      <c r="A2426" s="7" t="s">
        <v>4118</v>
      </c>
      <c r="B2426" s="5" t="s">
        <v>12098</v>
      </c>
      <c r="C2426" s="5" t="s">
        <v>19940</v>
      </c>
      <c r="D2426" s="5" t="str">
        <v>773415773568</v>
      </c>
      <c r="E2426" s="0" t="e">
        <f>+7 (495) 1976985
+7 (495) 5149319
+7 (495) 5542066
+7 (495) 9725097
+7 (925) 8677662</f>
        <v>#NAME?</v>
      </c>
      <c r="F2426" s="5"/>
      <c r="G2426" s="5"/>
      <c r="H2426" s="26">
        <v>22</v>
      </c>
      <c r="I2426" s="5" t="s">
        <v>32646</v>
      </c>
      <c r="J2426" s="5" t="s">
        <v>28520</v>
      </c>
      <c r="K2426" s="5" t="s">
        <v>344</v>
      </c>
      <c r="L2426" s="5" t="s">
        <v>32647</v>
      </c>
      <c r="M2426" s="27"/>
      <c r="N2426" s="5"/>
      <c r="O2426" s="5" t="str">
        <v>7730135620</v>
      </c>
      <c r="P2426" s="27">
        <v>10000</v>
      </c>
      <c r="Q2426" s="5" t="s">
        <v>49009</v>
      </c>
      <c r="R2426" s="5"/>
      <c r="S2426" s="5" t="s">
        <v>49066</v>
      </c>
      <c r="T2426" s="28">
        <v>1046704000</v>
      </c>
      <c r="U2426" s="28"/>
      <c r="V2426" s="28">
        <v>589534000</v>
      </c>
      <c r="W2426" s="28"/>
      <c r="X2426" s="28">
        <v>29229000</v>
      </c>
      <c r="Y2426" s="28">
        <v>2495238000</v>
      </c>
      <c r="Z2426" s="28">
        <v>1179780000</v>
      </c>
      <c r="AA2426" s="28"/>
      <c r="AB2426" s="28"/>
      <c r="AC2426" s="28">
        <v>1254636000</v>
      </c>
      <c r="AD2426" s="28">
        <v>1179790000</v>
      </c>
      <c r="AE2426" s="28">
        <v>3426045000</v>
      </c>
      <c r="AF2426" s="28">
        <v>302702000</v>
      </c>
      <c r="AG2426" s="11"/>
    </row>
    <row r="2427">
      <c r="A2427" s="7" t="s">
        <v>4119</v>
      </c>
      <c r="B2427" s="5" t="s">
        <v>12099</v>
      </c>
      <c r="C2427" s="5" t="s">
        <v>19941</v>
      </c>
      <c r="D2427" s="5" t="str">
        <v>741100631895</v>
      </c>
      <c r="E2427" s="0" t="e">
        <f>+7 (351) 2360564
+7 (351) 2621297
+7 (351) 2698038
+7 (3512) 360128
+7 (3517) 309255
+7 (3517) 309256
+7 (3517) 309257</f>
        <v>#NAME?</v>
      </c>
      <c r="F2427" s="5"/>
      <c r="G2427" s="5"/>
      <c r="H2427" s="26">
        <v>15.5</v>
      </c>
      <c r="I2427" s="5" t="s">
        <v>32648</v>
      </c>
      <c r="J2427" s="5" t="s">
        <v>364</v>
      </c>
      <c r="K2427" s="5" t="s">
        <v>344</v>
      </c>
      <c r="L2427" s="5" t="s">
        <v>32649</v>
      </c>
      <c r="M2427" s="27">
        <v>33187115</v>
      </c>
      <c r="N2427" s="5" t="s">
        <v>53156</v>
      </c>
      <c r="O2427" s="5" t="str">
        <v>7451254191</v>
      </c>
      <c r="P2427" s="27">
        <v>20000</v>
      </c>
      <c r="Q2427" s="5" t="s">
        <v>50516</v>
      </c>
      <c r="R2427" s="5"/>
      <c r="S2427" s="5" t="s">
        <v>53158</v>
      </c>
      <c r="T2427" s="28">
        <v>1033825000</v>
      </c>
      <c r="U2427" s="28"/>
      <c r="V2427" s="28">
        <v>5760773000</v>
      </c>
      <c r="W2427" s="28">
        <v>438559000</v>
      </c>
      <c r="X2427" s="28">
        <v>5114000</v>
      </c>
      <c r="Y2427" s="28">
        <v>8022074000</v>
      </c>
      <c r="Z2427" s="28">
        <v>405612000</v>
      </c>
      <c r="AA2427" s="28">
        <v>1878529000</v>
      </c>
      <c r="AB2427" s="28">
        <v>45691000</v>
      </c>
      <c r="AC2427" s="28">
        <v>5737913000</v>
      </c>
      <c r="AD2427" s="28">
        <v>405632000</v>
      </c>
      <c r="AE2427" s="28">
        <v>12734231000</v>
      </c>
      <c r="AF2427" s="28">
        <v>213924000</v>
      </c>
      <c r="AG2427" s="11"/>
    </row>
    <row r="2428">
      <c r="A2428" s="7" t="s">
        <v>4120</v>
      </c>
      <c r="B2428" s="5" t="s">
        <v>12100</v>
      </c>
      <c r="C2428" s="5" t="s">
        <v>19942</v>
      </c>
      <c r="D2428" s="5" t="str">
        <v>636703236038</v>
      </c>
      <c r="E2428" s="0" t="e">
        <f>+7 (846) 2129631
+7 (846) 9992832
+7 (84699) 92204</f>
        <v>#NAME?</v>
      </c>
      <c r="F2428" s="5"/>
      <c r="G2428" s="5" t="s">
        <v>32650</v>
      </c>
      <c r="H2428" s="26">
        <v>23.5</v>
      </c>
      <c r="I2428" s="5" t="s">
        <v>32651</v>
      </c>
      <c r="J2428" s="5" t="s">
        <v>32652</v>
      </c>
      <c r="K2428" s="5" t="s">
        <v>344</v>
      </c>
      <c r="L2428" s="5" t="s">
        <v>32653</v>
      </c>
      <c r="M2428" s="27"/>
      <c r="N2428" s="5" t="s">
        <v>53159</v>
      </c>
      <c r="O2428" s="5" t="str">
        <v>6367659751</v>
      </c>
      <c r="P2428" s="27">
        <v>44679790</v>
      </c>
      <c r="Q2428" s="5" t="s">
        <v>53160</v>
      </c>
      <c r="R2428" s="5"/>
      <c r="S2428" s="5" t="s">
        <v>49361</v>
      </c>
      <c r="T2428" s="28">
        <v>732407000</v>
      </c>
      <c r="U2428" s="28"/>
      <c r="V2428" s="28">
        <v>144847000</v>
      </c>
      <c r="W2428" s="28"/>
      <c r="X2428" s="28">
        <v>919621000</v>
      </c>
      <c r="Y2428" s="28">
        <v>2397824000</v>
      </c>
      <c r="Z2428" s="28">
        <v>2113325000</v>
      </c>
      <c r="AA2428" s="28"/>
      <c r="AB2428" s="28"/>
      <c r="AC2428" s="28">
        <v>175090000</v>
      </c>
      <c r="AD2428" s="28">
        <v>2158005000</v>
      </c>
      <c r="AE2428" s="28">
        <v>3072760000</v>
      </c>
      <c r="AF2428" s="28">
        <v>321195000</v>
      </c>
      <c r="AG2428" s="11"/>
    </row>
    <row r="2429">
      <c r="A2429" s="7" t="s">
        <v>4121</v>
      </c>
      <c r="B2429" s="5" t="s">
        <v>12101</v>
      </c>
      <c r="C2429" s="5" t="s">
        <v>19943</v>
      </c>
      <c r="D2429" s="5" t="str">
        <v>710715533436</v>
      </c>
      <c r="E2429" s="0" t="e">
        <f>+7 (495) 7700187
+7 (495) 7870928</f>
        <v>#NAME?</v>
      </c>
      <c r="F2429" s="5"/>
      <c r="G2429" s="5"/>
      <c r="H2429" s="26">
        <v>17.5</v>
      </c>
      <c r="I2429" s="5" t="s">
        <v>32654</v>
      </c>
      <c r="J2429" s="5" t="s">
        <v>30025</v>
      </c>
      <c r="K2429" s="5" t="s">
        <v>355</v>
      </c>
      <c r="L2429" s="5"/>
      <c r="M2429" s="27">
        <v>68782332</v>
      </c>
      <c r="N2429" s="5"/>
      <c r="O2429" s="5" t="str">
        <v>7705676288</v>
      </c>
      <c r="P2429" s="27">
        <v>5000000</v>
      </c>
      <c r="Q2429" s="5" t="s">
        <v>49059</v>
      </c>
      <c r="R2429" s="5"/>
      <c r="S2429" s="5" t="s">
        <v>50378</v>
      </c>
      <c r="T2429" s="28">
        <v>329288000</v>
      </c>
      <c r="U2429" s="28"/>
      <c r="V2429" s="28">
        <v>8295143000</v>
      </c>
      <c r="W2429" s="28"/>
      <c r="X2429" s="28">
        <v>1102634000</v>
      </c>
      <c r="Y2429" s="28">
        <v>47118895000</v>
      </c>
      <c r="Z2429" s="28">
        <v>-2163084000</v>
      </c>
      <c r="AA2429" s="28">
        <v>2973000</v>
      </c>
      <c r="AB2429" s="28"/>
      <c r="AC2429" s="28">
        <v>49209764000</v>
      </c>
      <c r="AD2429" s="28">
        <v>-2158084000</v>
      </c>
      <c r="AE2429" s="28">
        <v>12103015000</v>
      </c>
      <c r="AF2429" s="28">
        <v>26259000</v>
      </c>
      <c r="AG2429" s="11"/>
    </row>
    <row r="2430">
      <c r="A2430" s="7" t="s">
        <v>4122</v>
      </c>
      <c r="B2430" s="5" t="s">
        <v>12102</v>
      </c>
      <c r="C2430" s="5" t="s">
        <v>19944</v>
      </c>
      <c r="D2430" s="5" t="str">
        <v>450107635038</v>
      </c>
      <c r="E2430" s="0" t="e">
        <f>+7 (495) 6444430
+7 (495) 6444431
+7 (495) 6516759
+7 (495) 6516766
+7 (495) 6609714
+7 (495) 6609717</f>
        <v>#NAME?</v>
      </c>
      <c r="F2430" s="5" t="s">
        <v>32655</v>
      </c>
      <c r="G2430" s="5" t="s">
        <v>32656</v>
      </c>
      <c r="H2430" s="26">
        <v>22</v>
      </c>
      <c r="I2430" s="5"/>
      <c r="J2430" s="5" t="s">
        <v>27182</v>
      </c>
      <c r="K2430" s="5" t="s">
        <v>344</v>
      </c>
      <c r="L2430" s="5" t="s">
        <v>32657</v>
      </c>
      <c r="M2430" s="27">
        <v>9063043</v>
      </c>
      <c r="N2430" s="5" t="s">
        <v>53162</v>
      </c>
      <c r="O2430" s="5" t="str">
        <v>7701262328</v>
      </c>
      <c r="P2430" s="27">
        <v>1000000</v>
      </c>
      <c r="Q2430" s="5" t="s">
        <v>53163</v>
      </c>
      <c r="R2430" s="5"/>
      <c r="S2430" s="5" t="s">
        <v>53164</v>
      </c>
      <c r="T2430" s="28">
        <v>749328000</v>
      </c>
      <c r="U2430" s="28">
        <v>347376000</v>
      </c>
      <c r="V2430" s="28">
        <v>9588091000</v>
      </c>
      <c r="W2430" s="28">
        <v>50000000</v>
      </c>
      <c r="X2430" s="28">
        <v>1402597000</v>
      </c>
      <c r="Y2430" s="28">
        <v>15264600000</v>
      </c>
      <c r="Z2430" s="28">
        <v>1765944000</v>
      </c>
      <c r="AA2430" s="28"/>
      <c r="AB2430" s="28"/>
      <c r="AC2430" s="28">
        <v>12814530000</v>
      </c>
      <c r="AD2430" s="28">
        <v>1766994000</v>
      </c>
      <c r="AE2430" s="28">
        <v>9885341000</v>
      </c>
      <c r="AF2430" s="28">
        <v>440402000</v>
      </c>
      <c r="AG2430" s="11"/>
    </row>
    <row r="2431">
      <c r="A2431" s="7" t="s">
        <v>4123</v>
      </c>
      <c r="B2431" s="5" t="s">
        <v>12103</v>
      </c>
      <c r="C2431" s="5" t="s">
        <v>19945</v>
      </c>
      <c r="D2431" s="5" t="str">
        <v>773005609701</v>
      </c>
      <c r="E2431" s="0" t="e">
        <f>+7 (495) 3573977
+7 (495) 7875212
+7 (499) 2501436
+7 (499) 2502692
+7 (499) 2502830
+7 (499) 2502922
+7 (499) 2503163
+7 (499) 2503434
+7 (499) 2508994
+7 (499) 2509203
+7 (499) 2509205
+7 (499) 2509255
+7 (499) 2509727
+7 (495) 2519287
+7 (499) 2501967</f>
        <v>#NAME?</v>
      </c>
      <c r="F2431" s="5" t="s">
        <v>32658</v>
      </c>
      <c r="G2431" s="5" t="s">
        <v>32659</v>
      </c>
      <c r="H2431" s="26">
        <v>30.5</v>
      </c>
      <c r="I2431" s="5"/>
      <c r="J2431" s="5" t="s">
        <v>32660</v>
      </c>
      <c r="K2431" s="5" t="s">
        <v>344</v>
      </c>
      <c r="L2431" s="5" t="s">
        <v>32661</v>
      </c>
      <c r="M2431" s="27">
        <v>953</v>
      </c>
      <c r="N2431" s="5" t="s">
        <v>53165</v>
      </c>
      <c r="O2431" s="5" t="str">
        <v>7710137066</v>
      </c>
      <c r="P2431" s="27">
        <v>1000000</v>
      </c>
      <c r="Q2431" s="5" t="s">
        <v>53166</v>
      </c>
      <c r="R2431" s="5" t="s">
        <v>53167</v>
      </c>
      <c r="S2431" s="5" t="s">
        <v>49173</v>
      </c>
      <c r="T2431" s="28">
        <v>200316000</v>
      </c>
      <c r="U2431" s="28">
        <v>69572000</v>
      </c>
      <c r="V2431" s="28">
        <v>908094000</v>
      </c>
      <c r="W2431" s="28">
        <v>1250488000</v>
      </c>
      <c r="X2431" s="28">
        <v>461962000</v>
      </c>
      <c r="Y2431" s="28">
        <v>2980616000</v>
      </c>
      <c r="Z2431" s="28">
        <v>1924353000</v>
      </c>
      <c r="AA2431" s="28"/>
      <c r="AB2431" s="28"/>
      <c r="AC2431" s="28">
        <v>1002021000</v>
      </c>
      <c r="AD2431" s="28">
        <v>1962351000</v>
      </c>
      <c r="AE2431" s="28">
        <v>3981919000</v>
      </c>
      <c r="AF2431" s="28">
        <v>-424980000</v>
      </c>
      <c r="AG2431" s="11"/>
    </row>
    <row r="2432">
      <c r="A2432" s="7" t="s">
        <v>4124</v>
      </c>
      <c r="B2432" s="5" t="s">
        <v>12104</v>
      </c>
      <c r="C2432" s="5" t="s">
        <v>19946</v>
      </c>
      <c r="D2432" s="5" t="str">
        <v>781431661303</v>
      </c>
      <c r="F2432" s="5"/>
      <c r="G2432" s="5" t="s">
        <v>32662</v>
      </c>
      <c r="H2432" s="26">
        <v>3</v>
      </c>
      <c r="I2432" s="5" t="s">
        <v>32663</v>
      </c>
      <c r="J2432" s="5" t="s">
        <v>678</v>
      </c>
      <c r="K2432" s="5" t="s">
        <v>344</v>
      </c>
      <c r="L2432" s="5" t="s">
        <v>32664</v>
      </c>
      <c r="M2432" s="27">
        <v>88120</v>
      </c>
      <c r="N2432" s="5"/>
      <c r="O2432" s="5" t="str">
        <v>5009122926</v>
      </c>
      <c r="P2432" s="27">
        <v>100000</v>
      </c>
      <c r="Q2432" s="5" t="s">
        <v>49009</v>
      </c>
      <c r="R2432" s="5"/>
      <c r="S2432" s="5" t="s">
        <v>49010</v>
      </c>
      <c r="T2432" s="28">
        <v>2827000</v>
      </c>
      <c r="U2432" s="28"/>
      <c r="V2432" s="28">
        <v>195878000</v>
      </c>
      <c r="W2432" s="28">
        <v>740800000</v>
      </c>
      <c r="X2432" s="28">
        <v>5829000</v>
      </c>
      <c r="Y2432" s="28">
        <v>2205941000</v>
      </c>
      <c r="Z2432" s="28">
        <v>306932000</v>
      </c>
      <c r="AA2432" s="28"/>
      <c r="AB2432" s="28"/>
      <c r="AC2432" s="28">
        <v>1898909000</v>
      </c>
      <c r="AD2432" s="28">
        <v>307032000</v>
      </c>
      <c r="AE2432" s="28">
        <v>3766545000</v>
      </c>
      <c r="AF2432" s="28">
        <v>157631000</v>
      </c>
      <c r="AG2432" s="11"/>
    </row>
    <row r="2433">
      <c r="A2433" s="7" t="s">
        <v>4125</v>
      </c>
      <c r="B2433" s="5" t="s">
        <v>12105</v>
      </c>
      <c r="C2433" s="5" t="s">
        <v>19947</v>
      </c>
      <c r="D2433" s="5" t="str">
        <v>782614230240</v>
      </c>
      <c r="E2433" s="0" t="e">
        <f>+7 (921) 9101102</f>
        <v>#NAME?</v>
      </c>
      <c r="F2433" s="5"/>
      <c r="G2433" s="5" t="s">
        <v>32665</v>
      </c>
      <c r="H2433" s="26">
        <v>7</v>
      </c>
      <c r="I2433" s="5" t="s">
        <v>32666</v>
      </c>
      <c r="J2433" s="5" t="s">
        <v>678</v>
      </c>
      <c r="K2433" s="5" t="s">
        <v>355</v>
      </c>
      <c r="L2433" s="5" t="s">
        <v>32667</v>
      </c>
      <c r="M2433" s="27"/>
      <c r="N2433" s="5" t="s">
        <v>53168</v>
      </c>
      <c r="O2433" s="5" t="str">
        <v>7813249653</v>
      </c>
      <c r="P2433" s="27">
        <v>500000</v>
      </c>
      <c r="Q2433" s="5" t="s">
        <v>49021</v>
      </c>
      <c r="R2433" s="5"/>
      <c r="S2433" s="5" t="s">
        <v>53169</v>
      </c>
      <c r="T2433" s="28">
        <v>1480000</v>
      </c>
      <c r="U2433" s="28"/>
      <c r="V2433" s="28">
        <v>3737328000</v>
      </c>
      <c r="W2433" s="28">
        <v>246375000</v>
      </c>
      <c r="X2433" s="28">
        <v>700711000</v>
      </c>
      <c r="Y2433" s="28">
        <v>6005844000</v>
      </c>
      <c r="Z2433" s="28">
        <v>152092000</v>
      </c>
      <c r="AA2433" s="28"/>
      <c r="AB2433" s="28">
        <v>645292000</v>
      </c>
      <c r="AC2433" s="28">
        <v>5851944000</v>
      </c>
      <c r="AD2433" s="28">
        <v>152592000</v>
      </c>
      <c r="AE2433" s="28">
        <v>3346444000</v>
      </c>
      <c r="AF2433" s="28">
        <v>97225000</v>
      </c>
      <c r="AG2433" s="11"/>
    </row>
    <row r="2434">
      <c r="A2434" s="7" t="s">
        <v>4126</v>
      </c>
      <c r="B2434" s="5" t="s">
        <v>12106</v>
      </c>
      <c r="C2434" s="5" t="s">
        <v>19948</v>
      </c>
      <c r="D2434" s="5" t="str">
        <v>713304277358</v>
      </c>
      <c r="E2434" s="0" t="e">
        <f>+7 (495) 2121469</f>
        <v>#NAME?</v>
      </c>
      <c r="F2434" s="5" t="s">
        <v>32668</v>
      </c>
      <c r="G2434" s="5" t="s">
        <v>32669</v>
      </c>
      <c r="H2434" s="26">
        <v>6</v>
      </c>
      <c r="I2434" s="5" t="s">
        <v>32670</v>
      </c>
      <c r="J2434" s="5" t="s">
        <v>32671</v>
      </c>
      <c r="K2434" s="5" t="s">
        <v>344</v>
      </c>
      <c r="L2434" s="5" t="s">
        <v>32672</v>
      </c>
      <c r="M2434" s="27">
        <v>6039521</v>
      </c>
      <c r="N2434" s="5"/>
      <c r="O2434" s="5" t="str">
        <v>7734401619</v>
      </c>
      <c r="P2434" s="27">
        <v>4000000</v>
      </c>
      <c r="Q2434" s="5" t="s">
        <v>53170</v>
      </c>
      <c r="R2434" s="5"/>
      <c r="S2434" s="5" t="s">
        <v>53171</v>
      </c>
      <c r="T2434" s="28">
        <v>36209000</v>
      </c>
      <c r="U2434" s="28"/>
      <c r="V2434" s="28">
        <v>1134993000</v>
      </c>
      <c r="W2434" s="28"/>
      <c r="X2434" s="28">
        <v>397828000</v>
      </c>
      <c r="Y2434" s="28">
        <v>1647122000</v>
      </c>
      <c r="Z2434" s="28">
        <v>163378000</v>
      </c>
      <c r="AA2434" s="28"/>
      <c r="AB2434" s="28"/>
      <c r="AC2434" s="28">
        <v>1458238000</v>
      </c>
      <c r="AD2434" s="28">
        <v>167378000</v>
      </c>
      <c r="AE2434" s="28">
        <v>3245547000</v>
      </c>
      <c r="AF2434" s="28">
        <v>57315000</v>
      </c>
      <c r="AG2434" s="11"/>
    </row>
    <row r="2435">
      <c r="A2435" s="7" t="s">
        <v>4127</v>
      </c>
      <c r="B2435" s="5" t="s">
        <v>12106</v>
      </c>
      <c r="C2435" s="5" t="s">
        <v>19949</v>
      </c>
      <c r="D2435" s="5" t="str">
        <v>732707410885</v>
      </c>
      <c r="E2435" s="0" t="e">
        <f>+7 (495) 2121463
+7 (495) 2121469
+7 (495) 2213204
+7 (495) 6121469</f>
        <v>#NAME?</v>
      </c>
      <c r="F2435" s="5" t="s">
        <v>32673</v>
      </c>
      <c r="G2435" s="5" t="s">
        <v>32669</v>
      </c>
      <c r="H2435" s="26">
        <v>18</v>
      </c>
      <c r="I2435" s="5" t="s">
        <v>32674</v>
      </c>
      <c r="J2435" s="5" t="s">
        <v>678</v>
      </c>
      <c r="K2435" s="5" t="s">
        <v>344</v>
      </c>
      <c r="L2435" s="5" t="s">
        <v>32675</v>
      </c>
      <c r="M2435" s="27">
        <v>20795719</v>
      </c>
      <c r="N2435" s="5" t="s">
        <v>53172</v>
      </c>
      <c r="O2435" s="5" t="str">
        <v>7703536408</v>
      </c>
      <c r="P2435" s="27">
        <v>4200000</v>
      </c>
      <c r="Q2435" s="5" t="s">
        <v>53173</v>
      </c>
      <c r="R2435" s="5"/>
      <c r="S2435" s="5" t="s">
        <v>53174</v>
      </c>
      <c r="T2435" s="28">
        <v>249465000</v>
      </c>
      <c r="U2435" s="28">
        <v>3600000</v>
      </c>
      <c r="V2435" s="28">
        <v>11032149000</v>
      </c>
      <c r="W2435" s="28">
        <v>871977000</v>
      </c>
      <c r="X2435" s="28">
        <v>1702316000</v>
      </c>
      <c r="Y2435" s="28">
        <v>15269231000</v>
      </c>
      <c r="Z2435" s="28">
        <v>1762214000</v>
      </c>
      <c r="AA2435" s="28"/>
      <c r="AB2435" s="28">
        <v>39183000</v>
      </c>
      <c r="AC2435" s="28">
        <v>13245924000</v>
      </c>
      <c r="AD2435" s="28">
        <v>1766834000</v>
      </c>
      <c r="AE2435" s="28">
        <v>12620225000</v>
      </c>
      <c r="AF2435" s="28">
        <v>289017000</v>
      </c>
      <c r="AG2435" s="11"/>
    </row>
    <row r="2436">
      <c r="A2436" s="7" t="s">
        <v>4128</v>
      </c>
      <c r="B2436" s="5" t="s">
        <v>12107</v>
      </c>
      <c r="C2436" s="5" t="s">
        <v>19950</v>
      </c>
      <c r="D2436" s="5" t="str">
        <v>772201272890</v>
      </c>
      <c r="E2436" s="0" t="e">
        <f>+7 (844) 2556090
+7 (844) 2963001
+7 (844) 2963435
+7 (844) 2963528
+7 (844) 2963565
+7 (844) 2967396
+7 (969) 6522012</f>
        <v>#NAME?</v>
      </c>
      <c r="F2436" s="5" t="s">
        <v>32676</v>
      </c>
      <c r="G2436" s="5" t="s">
        <v>32677</v>
      </c>
      <c r="H2436" s="26">
        <v>13</v>
      </c>
      <c r="I2436" s="5" t="s">
        <v>32678</v>
      </c>
      <c r="J2436" s="5" t="s">
        <v>555</v>
      </c>
      <c r="K2436" s="5" t="s">
        <v>344</v>
      </c>
      <c r="L2436" s="5" t="s">
        <v>32679</v>
      </c>
      <c r="M2436" s="27"/>
      <c r="N2436" s="5" t="s">
        <v>53175</v>
      </c>
      <c r="O2436" s="5" t="str">
        <v>3448049540</v>
      </c>
      <c r="P2436" s="27">
        <v>52000000</v>
      </c>
      <c r="Q2436" s="5" t="s">
        <v>53176</v>
      </c>
      <c r="R2436" s="5"/>
      <c r="S2436" s="5" t="s">
        <v>53177</v>
      </c>
      <c r="T2436" s="28">
        <v>996850000</v>
      </c>
      <c r="U2436" s="28"/>
      <c r="V2436" s="28">
        <v>429264000</v>
      </c>
      <c r="W2436" s="28">
        <v>95335000</v>
      </c>
      <c r="X2436" s="28">
        <v>2593000</v>
      </c>
      <c r="Y2436" s="28">
        <v>2521055000</v>
      </c>
      <c r="Z2436" s="28">
        <v>1536750000</v>
      </c>
      <c r="AA2436" s="28"/>
      <c r="AB2436" s="28"/>
      <c r="AC2436" s="28">
        <v>843424000</v>
      </c>
      <c r="AD2436" s="28">
        <v>1590441000</v>
      </c>
      <c r="AE2436" s="28">
        <v>5082138000</v>
      </c>
      <c r="AF2436" s="28">
        <v>854036000</v>
      </c>
      <c r="AG2436" s="11"/>
    </row>
    <row r="2437">
      <c r="A2437" s="7" t="s">
        <v>4129</v>
      </c>
      <c r="B2437" s="5" t="s">
        <v>12108</v>
      </c>
      <c r="C2437" s="5" t="s">
        <v>19951</v>
      </c>
      <c r="D2437" s="5" t="str">
        <v>026901662363</v>
      </c>
      <c r="E2437" s="0" t="e">
        <f>+7 (905) 3529773
+7 (917) 3434292
+7 (3472) 466840
+7 (3472) 468404
+7 (495) 9025154
+7 (495) 9373997
+7 (495) 9375090
+7 (495) 9375091
+7 (812) 6333638
+7 (913) 9739490</f>
        <v>#NAME?</v>
      </c>
      <c r="F2437" s="5" t="s">
        <v>32680</v>
      </c>
      <c r="G2437" s="5" t="s">
        <v>32681</v>
      </c>
      <c r="H2437" s="26">
        <v>11.5</v>
      </c>
      <c r="I2437" s="5" t="s">
        <v>32682</v>
      </c>
      <c r="J2437" s="5" t="s">
        <v>655</v>
      </c>
      <c r="K2437" s="5" t="s">
        <v>344</v>
      </c>
      <c r="L2437" s="5" t="s">
        <v>32683</v>
      </c>
      <c r="M2437" s="27">
        <v>688800</v>
      </c>
      <c r="N2437" s="5"/>
      <c r="O2437" s="5" t="str">
        <v>0276132981</v>
      </c>
      <c r="P2437" s="27">
        <v>24000</v>
      </c>
      <c r="Q2437" s="5" t="s">
        <v>49009</v>
      </c>
      <c r="R2437" s="5"/>
      <c r="S2437" s="5" t="s">
        <v>49066</v>
      </c>
      <c r="T2437" s="28">
        <v>999558000</v>
      </c>
      <c r="U2437" s="28">
        <v>3137000</v>
      </c>
      <c r="V2437" s="28">
        <v>3441082000</v>
      </c>
      <c r="W2437" s="28">
        <v>117661000</v>
      </c>
      <c r="X2437" s="28">
        <v>276408000</v>
      </c>
      <c r="Y2437" s="28">
        <v>5779977000</v>
      </c>
      <c r="Z2437" s="28">
        <v>3562851000</v>
      </c>
      <c r="AA2437" s="28">
        <v>785131000</v>
      </c>
      <c r="AB2437" s="28"/>
      <c r="AC2437" s="28">
        <v>1382736000</v>
      </c>
      <c r="AD2437" s="28">
        <v>3562875000</v>
      </c>
      <c r="AE2437" s="28">
        <v>11226435000</v>
      </c>
      <c r="AF2437" s="28">
        <v>2535574000</v>
      </c>
      <c r="AG2437" s="11"/>
    </row>
    <row r="2438">
      <c r="A2438" s="7" t="s">
        <v>4130</v>
      </c>
      <c r="B2438" s="5" t="s">
        <v>12109</v>
      </c>
      <c r="C2438" s="5" t="s">
        <v>18857</v>
      </c>
      <c r="D2438" s="5"/>
      <c r="E2438" s="0" t="e">
        <f>+7 (423) 2790237
+7 (423) 2790235
+7 (4232) 401730</f>
        <v>#NAME?</v>
      </c>
      <c r="F2438" s="5" t="s">
        <v>32684</v>
      </c>
      <c r="G2438" s="5"/>
      <c r="H2438" s="26">
        <v>29</v>
      </c>
      <c r="I2438" s="5"/>
      <c r="J2438" s="5" t="s">
        <v>26424</v>
      </c>
      <c r="K2438" s="5" t="s">
        <v>344</v>
      </c>
      <c r="L2438" s="5"/>
      <c r="M2438" s="27"/>
      <c r="N2438" s="5"/>
      <c r="O2438" s="5" t="str">
        <v>2537008664</v>
      </c>
      <c r="P2438" s="27">
        <v>439600000</v>
      </c>
      <c r="Q2438" s="5"/>
      <c r="R2438" s="5"/>
      <c r="S2438" s="5" t="s">
        <v>49029</v>
      </c>
      <c r="T2438" s="28">
        <v>205891000</v>
      </c>
      <c r="U2438" s="28"/>
      <c r="V2438" s="28">
        <v>5095941000</v>
      </c>
      <c r="W2438" s="28"/>
      <c r="X2438" s="28">
        <v>1122000</v>
      </c>
      <c r="Y2438" s="28">
        <v>8675202000</v>
      </c>
      <c r="Z2438" s="28">
        <v>999664000</v>
      </c>
      <c r="AA2438" s="28">
        <v>503232000</v>
      </c>
      <c r="AB2438" s="28">
        <v>245578000</v>
      </c>
      <c r="AC2438" s="28">
        <v>1933763000</v>
      </c>
      <c r="AD2438" s="28">
        <v>6120467000</v>
      </c>
      <c r="AE2438" s="28">
        <v>4758352000</v>
      </c>
      <c r="AF2438" s="28">
        <v>1174439000</v>
      </c>
      <c r="AG2438" s="11"/>
    </row>
    <row r="2439">
      <c r="A2439" s="7" t="s">
        <v>4131</v>
      </c>
      <c r="B2439" s="5" t="s">
        <v>12110</v>
      </c>
      <c r="C2439" s="5" t="s">
        <v>19952</v>
      </c>
      <c r="D2439" s="5" t="str">
        <v>575304523426</v>
      </c>
      <c r="E2439" s="0" t="e">
        <f>+7 (910) 3008445
+7 (4862) 432546
+7 (4862) 445495
+7 (495) 6837241
+7 (920) 2837241</f>
        <v>#NAME?</v>
      </c>
      <c r="F2439" s="5" t="s">
        <v>32685</v>
      </c>
      <c r="G2439" s="5"/>
      <c r="H2439" s="26">
        <v>17</v>
      </c>
      <c r="I2439" s="5" t="s">
        <v>32686</v>
      </c>
      <c r="J2439" s="5" t="s">
        <v>28520</v>
      </c>
      <c r="K2439" s="5" t="s">
        <v>344</v>
      </c>
      <c r="L2439" s="5" t="s">
        <v>32687</v>
      </c>
      <c r="M2439" s="27"/>
      <c r="N2439" s="5" t="s">
        <v>53178</v>
      </c>
      <c r="O2439" s="5" t="str">
        <v>5753039246</v>
      </c>
      <c r="P2439" s="27">
        <v>10000</v>
      </c>
      <c r="Q2439" s="5" t="s">
        <v>49579</v>
      </c>
      <c r="R2439" s="5"/>
      <c r="S2439" s="5" t="s">
        <v>53179</v>
      </c>
      <c r="T2439" s="28">
        <v>610867000</v>
      </c>
      <c r="U2439" s="28"/>
      <c r="V2439" s="28">
        <v>1237918000</v>
      </c>
      <c r="W2439" s="28"/>
      <c r="X2439" s="28">
        <v>7779000</v>
      </c>
      <c r="Y2439" s="28">
        <v>2078828000</v>
      </c>
      <c r="Z2439" s="28">
        <v>535775000</v>
      </c>
      <c r="AA2439" s="28">
        <v>810606000</v>
      </c>
      <c r="AB2439" s="28">
        <v>104020000</v>
      </c>
      <c r="AC2439" s="28">
        <v>732437000</v>
      </c>
      <c r="AD2439" s="28">
        <v>535785000</v>
      </c>
      <c r="AE2439" s="28">
        <v>3314818000</v>
      </c>
      <c r="AF2439" s="28">
        <v>59234000</v>
      </c>
      <c r="AG2439" s="11"/>
    </row>
    <row r="2440">
      <c r="A2440" s="7" t="s">
        <v>4132</v>
      </c>
      <c r="B2440" s="5" t="s">
        <v>12111</v>
      </c>
      <c r="C2440" s="5" t="s">
        <v>19953</v>
      </c>
      <c r="D2440" s="5" t="str">
        <v>645493340154</v>
      </c>
      <c r="E2440" s="0" t="e">
        <f>+7 (35326) 80794
+7 (35326) 80795
+7 (473) 2021555
+7 (473) 2023334
+7 (474) 2556486
+7 (831) 2149615
+7 (8342) 333471
+7 (8352) 700064
+7 (8422) 587271
+7 (8422) 587372
+7 (844) 2430690
+7 (844) 2430691
+7 (844) 2430692
+7 (844) 2430693
+7 (845) 2483355</f>
        <v>#NAME?</v>
      </c>
      <c r="F2440" s="5" t="s">
        <v>32688</v>
      </c>
      <c r="G2440" s="5" t="s">
        <v>32689</v>
      </c>
      <c r="H2440" s="26">
        <v>29</v>
      </c>
      <c r="I2440" s="5" t="s">
        <v>32690</v>
      </c>
      <c r="J2440" s="5" t="s">
        <v>28451</v>
      </c>
      <c r="K2440" s="5" t="s">
        <v>344</v>
      </c>
      <c r="L2440" s="5" t="s">
        <v>32691</v>
      </c>
      <c r="M2440" s="27">
        <v>8424439</v>
      </c>
      <c r="N2440" s="5" t="s">
        <v>53180</v>
      </c>
      <c r="O2440" s="5" t="str">
        <v>6455006938</v>
      </c>
      <c r="P2440" s="27">
        <v>70200000</v>
      </c>
      <c r="Q2440" s="5" t="s">
        <v>49009</v>
      </c>
      <c r="R2440" s="5" t="s">
        <v>53181</v>
      </c>
      <c r="S2440" s="5" t="s">
        <v>49045</v>
      </c>
      <c r="T2440" s="28">
        <v>165622000</v>
      </c>
      <c r="U2440" s="28"/>
      <c r="V2440" s="28">
        <v>528992000</v>
      </c>
      <c r="W2440" s="28">
        <v>149499000</v>
      </c>
      <c r="X2440" s="28">
        <v>69924000</v>
      </c>
      <c r="Y2440" s="28">
        <v>1873338000</v>
      </c>
      <c r="Z2440" s="28">
        <v>1408066000</v>
      </c>
      <c r="AA2440" s="28"/>
      <c r="AB2440" s="28">
        <v>62385000</v>
      </c>
      <c r="AC2440" s="28">
        <v>272644000</v>
      </c>
      <c r="AD2440" s="28">
        <v>1479153000</v>
      </c>
      <c r="AE2440" s="28">
        <v>3645113000</v>
      </c>
      <c r="AF2440" s="28">
        <v>181778000</v>
      </c>
      <c r="AG2440" s="11"/>
    </row>
    <row r="2441">
      <c r="A2441" s="7" t="s">
        <v>4133</v>
      </c>
      <c r="B2441" s="5" t="s">
        <v>12112</v>
      </c>
      <c r="C2441" s="5" t="s">
        <v>19954</v>
      </c>
      <c r="D2441" s="5" t="str">
        <v>667027239481</v>
      </c>
      <c r="E2441" s="0" t="e">
        <f>+7 (911) 8513848
+7 (401) 2310366
+7 (911) 8616680
+7 (915) 2062751
+7 (922) 6610137</f>
        <v>#NAME?</v>
      </c>
      <c r="F2441" s="5" t="s">
        <v>32692</v>
      </c>
      <c r="G2441" s="5" t="s">
        <v>32693</v>
      </c>
      <c r="H2441" s="26">
        <v>11.5</v>
      </c>
      <c r="I2441" s="5" t="s">
        <v>32694</v>
      </c>
      <c r="J2441" s="5" t="s">
        <v>28030</v>
      </c>
      <c r="K2441" s="5" t="s">
        <v>344</v>
      </c>
      <c r="L2441" s="5" t="s">
        <v>32695</v>
      </c>
      <c r="M2441" s="27"/>
      <c r="N2441" s="5"/>
      <c r="O2441" s="5" t="str">
        <v>3915503125</v>
      </c>
      <c r="P2441" s="27">
        <v>10000</v>
      </c>
      <c r="Q2441" s="5" t="s">
        <v>49021</v>
      </c>
      <c r="R2441" s="5"/>
      <c r="S2441" s="5" t="s">
        <v>53182</v>
      </c>
      <c r="T2441" s="28">
        <v>657331000</v>
      </c>
      <c r="U2441" s="28"/>
      <c r="V2441" s="28">
        <v>1810690000</v>
      </c>
      <c r="W2441" s="28">
        <v>969400000</v>
      </c>
      <c r="X2441" s="28">
        <v>13777000</v>
      </c>
      <c r="Y2441" s="28">
        <v>5256583000</v>
      </c>
      <c r="Z2441" s="28">
        <v>3962807000</v>
      </c>
      <c r="AA2441" s="28"/>
      <c r="AB2441" s="28"/>
      <c r="AC2441" s="28">
        <v>1277176000</v>
      </c>
      <c r="AD2441" s="28">
        <v>3962820000</v>
      </c>
      <c r="AE2441" s="28">
        <v>4516110000</v>
      </c>
      <c r="AF2441" s="28">
        <v>1872913000</v>
      </c>
      <c r="AG2441" s="11"/>
    </row>
    <row r="2442">
      <c r="A2442" s="7" t="s">
        <v>4134</v>
      </c>
      <c r="B2442" s="5" t="s">
        <v>12113</v>
      </c>
      <c r="C2442" s="5" t="s">
        <v>19955</v>
      </c>
      <c r="D2442" s="5" t="str">
        <v>770103793394</v>
      </c>
      <c r="E2442" s="0" t="e">
        <f>+7 (985) 9997838
+7 (495) 9892415
+7 (800) 1009969</f>
        <v>#NAME?</v>
      </c>
      <c r="F2442" s="5" t="s">
        <v>32696</v>
      </c>
      <c r="G2442" s="5"/>
      <c r="H2442" s="26">
        <v>11.5</v>
      </c>
      <c r="I2442" s="5"/>
      <c r="J2442" s="5" t="s">
        <v>31429</v>
      </c>
      <c r="K2442" s="5" t="s">
        <v>344</v>
      </c>
      <c r="L2442" s="5" t="s">
        <v>32697</v>
      </c>
      <c r="M2442" s="27"/>
      <c r="N2442" s="5" t="s">
        <v>53183</v>
      </c>
      <c r="O2442" s="5" t="str">
        <v>7709890250</v>
      </c>
      <c r="P2442" s="27">
        <v>7800000</v>
      </c>
      <c r="Q2442" s="5" t="s">
        <v>49009</v>
      </c>
      <c r="R2442" s="5"/>
      <c r="S2442" s="5" t="s">
        <v>49010</v>
      </c>
      <c r="T2442" s="28">
        <v>92828000</v>
      </c>
      <c r="U2442" s="28">
        <v>103000</v>
      </c>
      <c r="V2442" s="28">
        <v>826105000</v>
      </c>
      <c r="W2442" s="28">
        <v>15500000</v>
      </c>
      <c r="X2442" s="28">
        <v>131733000</v>
      </c>
      <c r="Y2442" s="28">
        <v>1527876000</v>
      </c>
      <c r="Z2442" s="28">
        <v>453437000</v>
      </c>
      <c r="AA2442" s="28"/>
      <c r="AB2442" s="28"/>
      <c r="AC2442" s="28">
        <v>996768000</v>
      </c>
      <c r="AD2442" s="28">
        <v>461627000</v>
      </c>
      <c r="AE2442" s="28">
        <v>5629937000</v>
      </c>
      <c r="AF2442" s="28">
        <v>87907000</v>
      </c>
      <c r="AG2442" s="11"/>
    </row>
    <row r="2443">
      <c r="A2443" s="7" t="s">
        <v>4135</v>
      </c>
      <c r="B2443" s="5" t="s">
        <v>12114</v>
      </c>
      <c r="C2443" s="5" t="s">
        <v>19956</v>
      </c>
      <c r="D2443" s="5" t="str">
        <v>350900111546</v>
      </c>
      <c r="E2443" s="0" t="e">
        <f>+7 (495) 9892415
+7 (495) 9944162
+7 (495) 9944163
+7 (495) 9946442
+7 (4983) 141952
+7 (800) 1002234
+7 (800) 1009969</f>
        <v>#NAME?</v>
      </c>
      <c r="F2443" s="5" t="s">
        <v>32698</v>
      </c>
      <c r="G2443" s="5" t="s">
        <v>32699</v>
      </c>
      <c r="H2443" s="26">
        <v>11</v>
      </c>
      <c r="I2443" s="5"/>
      <c r="J2443" s="5" t="s">
        <v>31319</v>
      </c>
      <c r="K2443" s="5" t="s">
        <v>344</v>
      </c>
      <c r="L2443" s="5" t="s">
        <v>32700</v>
      </c>
      <c r="M2443" s="27"/>
      <c r="N2443" s="5"/>
      <c r="O2443" s="5" t="str">
        <v>5017093154</v>
      </c>
      <c r="P2443" s="27">
        <v>10000</v>
      </c>
      <c r="Q2443" s="5" t="s">
        <v>49009</v>
      </c>
      <c r="R2443" s="5"/>
      <c r="S2443" s="5" t="s">
        <v>49066</v>
      </c>
      <c r="T2443" s="28">
        <v>2176570000</v>
      </c>
      <c r="U2443" s="28"/>
      <c r="V2443" s="28">
        <v>1476505000</v>
      </c>
      <c r="W2443" s="28"/>
      <c r="X2443" s="28">
        <v>38854000</v>
      </c>
      <c r="Y2443" s="28">
        <v>5194794000</v>
      </c>
      <c r="Z2443" s="28">
        <v>1264048000</v>
      </c>
      <c r="AA2443" s="28">
        <v>2347931000</v>
      </c>
      <c r="AB2443" s="28">
        <v>978785000</v>
      </c>
      <c r="AC2443" s="28">
        <v>1560969000</v>
      </c>
      <c r="AD2443" s="28">
        <v>1264058000</v>
      </c>
      <c r="AE2443" s="28">
        <v>4453621000</v>
      </c>
      <c r="AF2443" s="28">
        <v>476363000</v>
      </c>
      <c r="AG2443" s="11"/>
    </row>
    <row r="2444">
      <c r="A2444" s="7" t="s">
        <v>4136</v>
      </c>
      <c r="B2444" s="5" t="s">
        <v>12115</v>
      </c>
      <c r="C2444" s="5" t="s">
        <v>19957</v>
      </c>
      <c r="D2444" s="5" t="str">
        <v>773602509348</v>
      </c>
      <c r="E2444" s="0" t="e">
        <f>+7 (495) 6427243</f>
        <v>#NAME?</v>
      </c>
      <c r="F2444" s="5" t="s">
        <v>32701</v>
      </c>
      <c r="G2444" s="5" t="s">
        <v>32702</v>
      </c>
      <c r="H2444" s="26">
        <v>14.5</v>
      </c>
      <c r="I2444" s="5"/>
      <c r="J2444" s="5" t="s">
        <v>881</v>
      </c>
      <c r="K2444" s="5" t="s">
        <v>344</v>
      </c>
      <c r="L2444" s="5" t="s">
        <v>32703</v>
      </c>
      <c r="M2444" s="27"/>
      <c r="N2444" s="5" t="s">
        <v>53184</v>
      </c>
      <c r="O2444" s="5" t="str">
        <v>7703673690</v>
      </c>
      <c r="P2444" s="27">
        <v>1000000</v>
      </c>
      <c r="Q2444" s="5" t="s">
        <v>53185</v>
      </c>
      <c r="R2444" s="5"/>
      <c r="S2444" s="5" t="s">
        <v>49358</v>
      </c>
      <c r="T2444" s="28">
        <v>16965000</v>
      </c>
      <c r="U2444" s="28"/>
      <c r="V2444" s="28">
        <v>1380147000</v>
      </c>
      <c r="W2444" s="28"/>
      <c r="X2444" s="28">
        <v>36911000</v>
      </c>
      <c r="Y2444" s="28">
        <v>1463114000</v>
      </c>
      <c r="Z2444" s="28">
        <v>316791000</v>
      </c>
      <c r="AA2444" s="28"/>
      <c r="AB2444" s="28"/>
      <c r="AC2444" s="28">
        <v>567410000</v>
      </c>
      <c r="AD2444" s="28">
        <v>888710000</v>
      </c>
      <c r="AE2444" s="28">
        <v>5954367000</v>
      </c>
      <c r="AF2444" s="28">
        <v>175372000</v>
      </c>
      <c r="AG2444" s="11"/>
    </row>
    <row r="2445">
      <c r="A2445" s="7" t="s">
        <v>4137</v>
      </c>
      <c r="B2445" s="5" t="s">
        <v>12116</v>
      </c>
      <c r="C2445" s="5" t="s">
        <v>19958</v>
      </c>
      <c r="D2445" s="5" t="str">
        <v>672304959763</v>
      </c>
      <c r="E2445" s="0" t="e">
        <f>+7 (495) 5807133
+7 (495) 6020848
+7 (495) 6474807</f>
        <v>#NAME?</v>
      </c>
      <c r="F2445" s="5" t="s">
        <v>32704</v>
      </c>
      <c r="G2445" s="5" t="s">
        <v>32705</v>
      </c>
      <c r="H2445" s="26">
        <v>17</v>
      </c>
      <c r="I2445" s="5" t="s">
        <v>32706</v>
      </c>
      <c r="J2445" s="5" t="s">
        <v>678</v>
      </c>
      <c r="K2445" s="5" t="s">
        <v>344</v>
      </c>
      <c r="L2445" s="5"/>
      <c r="M2445" s="27"/>
      <c r="N2445" s="5" t="s">
        <v>53186</v>
      </c>
      <c r="O2445" s="5" t="str">
        <v>7743404800</v>
      </c>
      <c r="P2445" s="27">
        <v>100000</v>
      </c>
      <c r="Q2445" s="5" t="s">
        <v>49059</v>
      </c>
      <c r="R2445" s="5" t="s">
        <v>53187</v>
      </c>
      <c r="S2445" s="5" t="s">
        <v>49028</v>
      </c>
      <c r="T2445" s="28">
        <v>442000</v>
      </c>
      <c r="U2445" s="28"/>
      <c r="V2445" s="28">
        <v>3608404000</v>
      </c>
      <c r="W2445" s="28"/>
      <c r="X2445" s="28">
        <v>10857000</v>
      </c>
      <c r="Y2445" s="28">
        <v>4525142000</v>
      </c>
      <c r="Z2445" s="28">
        <v>4277593000</v>
      </c>
      <c r="AA2445" s="28"/>
      <c r="AB2445" s="28"/>
      <c r="AC2445" s="28">
        <v>245210000</v>
      </c>
      <c r="AD2445" s="28">
        <v>4277698000</v>
      </c>
      <c r="AE2445" s="28">
        <v>4024344000</v>
      </c>
      <c r="AF2445" s="28">
        <v>18836000</v>
      </c>
      <c r="AG2445" s="11"/>
    </row>
    <row r="2446">
      <c r="A2446" s="7" t="s">
        <v>4138</v>
      </c>
      <c r="B2446" s="5" t="s">
        <v>12117</v>
      </c>
      <c r="C2446" s="5" t="s">
        <v>19959</v>
      </c>
      <c r="D2446" s="5"/>
      <c r="E2446" s="0" t="e">
        <f>+7 (495) 7853313
+7 (495) 3431250
+7 (495) 3923311
+7 (495) 7481019
+7 (495) 7853311
+7 (495) 7853317
+7 (495) 7853319
+7 (84545) 25225
+7 (84545) 25509</f>
        <v>#NAME?</v>
      </c>
      <c r="F2446" s="5"/>
      <c r="G2446" s="5" t="s">
        <v>32707</v>
      </c>
      <c r="H2446" s="26">
        <v>30</v>
      </c>
      <c r="I2446" s="5"/>
      <c r="J2446" s="5" t="s">
        <v>25881</v>
      </c>
      <c r="K2446" s="5" t="s">
        <v>344</v>
      </c>
      <c r="L2446" s="5" t="s">
        <v>32708</v>
      </c>
      <c r="M2446" s="27"/>
      <c r="N2446" s="5"/>
      <c r="O2446" s="5" t="str">
        <v>7724026535</v>
      </c>
      <c r="P2446" s="27">
        <v>110000</v>
      </c>
      <c r="Q2446" s="5" t="s">
        <v>49579</v>
      </c>
      <c r="R2446" s="5"/>
      <c r="S2446" s="5" t="s">
        <v>49580</v>
      </c>
      <c r="T2446" s="28">
        <v>4260000</v>
      </c>
      <c r="U2446" s="28">
        <v>23122000</v>
      </c>
      <c r="V2446" s="28">
        <v>799533000</v>
      </c>
      <c r="W2446" s="28">
        <v>860000000</v>
      </c>
      <c r="X2446" s="28">
        <v>30792000</v>
      </c>
      <c r="Y2446" s="28">
        <v>1802036000</v>
      </c>
      <c r="Z2446" s="28">
        <v>652025000</v>
      </c>
      <c r="AA2446" s="28"/>
      <c r="AB2446" s="28"/>
      <c r="AC2446" s="28">
        <v>1148828000</v>
      </c>
      <c r="AD2446" s="28">
        <v>652140000</v>
      </c>
      <c r="AE2446" s="28">
        <v>7712462000</v>
      </c>
      <c r="AF2446" s="28">
        <v>287329000</v>
      </c>
      <c r="AG2446" s="11"/>
    </row>
    <row r="2447">
      <c r="A2447" s="7" t="s">
        <v>4139</v>
      </c>
      <c r="B2447" s="5" t="s">
        <v>12118</v>
      </c>
      <c r="C2447" s="5" t="s">
        <v>19960</v>
      </c>
      <c r="D2447" s="5" t="str">
        <v>500301296450</v>
      </c>
      <c r="E2447" s="0" t="e">
        <f>+7 (499) 7852444</f>
        <v>#NAME?</v>
      </c>
      <c r="F2447" s="5" t="s">
        <v>32709</v>
      </c>
      <c r="G2447" s="5"/>
      <c r="H2447" s="26">
        <v>9.5</v>
      </c>
      <c r="I2447" s="5" t="s">
        <v>32710</v>
      </c>
      <c r="J2447" s="5" t="s">
        <v>678</v>
      </c>
      <c r="K2447" s="5" t="s">
        <v>344</v>
      </c>
      <c r="L2447" s="5"/>
      <c r="M2447" s="27"/>
      <c r="N2447" s="5" t="s">
        <v>53188</v>
      </c>
      <c r="O2447" s="5" t="str">
        <v>5009090590</v>
      </c>
      <c r="P2447" s="27">
        <v>2000000</v>
      </c>
      <c r="Q2447" s="5" t="s">
        <v>53189</v>
      </c>
      <c r="R2447" s="5"/>
      <c r="S2447" s="5" t="s">
        <v>53003</v>
      </c>
      <c r="T2447" s="28">
        <v>25401000</v>
      </c>
      <c r="U2447" s="28"/>
      <c r="V2447" s="28">
        <v>392275000</v>
      </c>
      <c r="W2447" s="28">
        <v>23000</v>
      </c>
      <c r="X2447" s="28">
        <v>1155000</v>
      </c>
      <c r="Y2447" s="28">
        <v>426794000</v>
      </c>
      <c r="Z2447" s="28">
        <v>67998000</v>
      </c>
      <c r="AA2447" s="28"/>
      <c r="AB2447" s="28">
        <v>95437000</v>
      </c>
      <c r="AC2447" s="28">
        <v>255355000</v>
      </c>
      <c r="AD2447" s="28">
        <v>200550000</v>
      </c>
      <c r="AE2447" s="28">
        <v>5673212000</v>
      </c>
      <c r="AF2447" s="28">
        <v>31831000</v>
      </c>
      <c r="AG2447" s="11"/>
    </row>
    <row r="2448">
      <c r="A2448" s="7" t="s">
        <v>4140</v>
      </c>
      <c r="B2448" s="5" t="s">
        <v>12119</v>
      </c>
      <c r="C2448" s="5" t="s">
        <v>19961</v>
      </c>
      <c r="D2448" s="5" t="str">
        <v>773204324482</v>
      </c>
      <c r="E2448" s="0" t="e">
        <f>+7 (3422) 353700
+7 (3422) 353701
+7 (3422) 353702
+7 (3422) 360026
+7 (34667) 60123
+7 (34667) 60125
+7 (34667) 60200
+7 (34667) 65776
+7 (34669) 30003
+7 (34669) 30202
+7 (34669) 30841
+7 (34669) 30848
+7 (34669) 37610
+7 (34669) 38010
+7 (495) 5116048</f>
        <v>#NAME?</v>
      </c>
      <c r="F2448" s="5" t="s">
        <v>32711</v>
      </c>
      <c r="G2448" s="5" t="s">
        <v>32712</v>
      </c>
      <c r="H2448" s="26">
        <v>17.5</v>
      </c>
      <c r="I2448" s="5" t="s">
        <v>32713</v>
      </c>
      <c r="J2448" s="5" t="s">
        <v>26256</v>
      </c>
      <c r="K2448" s="5" t="s">
        <v>344</v>
      </c>
      <c r="L2448" s="5" t="s">
        <v>32714</v>
      </c>
      <c r="M2448" s="27"/>
      <c r="N2448" s="5" t="s">
        <v>53190</v>
      </c>
      <c r="O2448" s="5" t="str">
        <v>7705514400</v>
      </c>
      <c r="P2448" s="27">
        <v>11253084</v>
      </c>
      <c r="Q2448" s="5" t="s">
        <v>53191</v>
      </c>
      <c r="R2448" s="5"/>
      <c r="S2448" s="5" t="s">
        <v>53192</v>
      </c>
      <c r="T2448" s="28">
        <v>1021685000</v>
      </c>
      <c r="U2448" s="28"/>
      <c r="V2448" s="28">
        <v>604789000</v>
      </c>
      <c r="W2448" s="28"/>
      <c r="X2448" s="28">
        <v>1160966000</v>
      </c>
      <c r="Y2448" s="28">
        <v>2957520000</v>
      </c>
      <c r="Z2448" s="28">
        <v>444125000</v>
      </c>
      <c r="AA2448" s="28"/>
      <c r="AB2448" s="28"/>
      <c r="AC2448" s="28">
        <v>788384000</v>
      </c>
      <c r="AD2448" s="28">
        <v>2063901000</v>
      </c>
      <c r="AE2448" s="28">
        <v>3985223000</v>
      </c>
      <c r="AF2448" s="28">
        <v>529764000</v>
      </c>
      <c r="AG2448" s="11"/>
    </row>
    <row r="2449">
      <c r="A2449" s="7" t="s">
        <v>4141</v>
      </c>
      <c r="B2449" s="5" t="s">
        <v>12103</v>
      </c>
      <c r="C2449" s="5" t="s">
        <v>19945</v>
      </c>
      <c r="D2449" s="5" t="str">
        <v>773005609701</v>
      </c>
      <c r="E2449" s="0" t="e">
        <f>+7 (499) 2517891
+7 (495) 2510572
+7 (495) 7874334
+7 (499) 2151967
+7 (499) 2501987
+7 (901) 2932220
+7 (925) 8414084
+7 (495) 7875212</f>
        <v>#NAME?</v>
      </c>
      <c r="F2449" s="5" t="s">
        <v>32715</v>
      </c>
      <c r="G2449" s="5" t="s">
        <v>32716</v>
      </c>
      <c r="H2449" s="26">
        <v>22</v>
      </c>
      <c r="I2449" s="5"/>
      <c r="J2449" s="5" t="s">
        <v>31134</v>
      </c>
      <c r="K2449" s="5" t="s">
        <v>344</v>
      </c>
      <c r="L2449" s="5" t="s">
        <v>32717</v>
      </c>
      <c r="M2449" s="27"/>
      <c r="N2449" s="5" t="s">
        <v>53193</v>
      </c>
      <c r="O2449" s="5" t="str">
        <v>7710374010</v>
      </c>
      <c r="P2449" s="27">
        <v>50000</v>
      </c>
      <c r="Q2449" s="5" t="s">
        <v>53194</v>
      </c>
      <c r="R2449" s="5"/>
      <c r="S2449" s="5" t="s">
        <v>50543</v>
      </c>
      <c r="T2449" s="28">
        <v>58952000</v>
      </c>
      <c r="U2449" s="28">
        <v>137568000</v>
      </c>
      <c r="V2449" s="28">
        <v>642605000</v>
      </c>
      <c r="W2449" s="28">
        <v>965862000</v>
      </c>
      <c r="X2449" s="28">
        <v>1352783000</v>
      </c>
      <c r="Y2449" s="28">
        <v>3190869000</v>
      </c>
      <c r="Z2449" s="28">
        <v>1015618000</v>
      </c>
      <c r="AA2449" s="28"/>
      <c r="AB2449" s="28"/>
      <c r="AC2449" s="28">
        <v>2166939000</v>
      </c>
      <c r="AD2449" s="28">
        <v>1015671000</v>
      </c>
      <c r="AE2449" s="28">
        <v>4827384000</v>
      </c>
      <c r="AF2449" s="28">
        <v>789700000</v>
      </c>
      <c r="AG2449" s="11"/>
    </row>
    <row r="2450">
      <c r="A2450" s="7" t="s">
        <v>4142</v>
      </c>
      <c r="B2450" s="5" t="s">
        <v>12120</v>
      </c>
      <c r="C2450" s="5" t="s">
        <v>19962</v>
      </c>
      <c r="D2450" s="5" t="str">
        <v>744705766519</v>
      </c>
      <c r="E2450" s="0" t="e">
        <f>+7 (985) 7803991</f>
        <v>#NAME?</v>
      </c>
      <c r="F2450" s="5" t="s">
        <v>32718</v>
      </c>
      <c r="G2450" s="5"/>
      <c r="H2450" s="26">
        <v>4</v>
      </c>
      <c r="I2450" s="5" t="s">
        <v>32719</v>
      </c>
      <c r="J2450" s="5" t="s">
        <v>881</v>
      </c>
      <c r="K2450" s="5" t="s">
        <v>344</v>
      </c>
      <c r="L2450" s="5" t="s">
        <v>32720</v>
      </c>
      <c r="M2450" s="27"/>
      <c r="N2450" s="5"/>
      <c r="O2450" s="5" t="str">
        <v>7751160836</v>
      </c>
      <c r="P2450" s="27">
        <v>10000</v>
      </c>
      <c r="Q2450" s="5" t="s">
        <v>49319</v>
      </c>
      <c r="R2450" s="5"/>
      <c r="S2450" s="5" t="s">
        <v>49774</v>
      </c>
      <c r="T2450" s="28">
        <v>2354000</v>
      </c>
      <c r="U2450" s="28"/>
      <c r="V2450" s="28">
        <v>3215311000</v>
      </c>
      <c r="W2450" s="28"/>
      <c r="X2450" s="28">
        <v>443420000</v>
      </c>
      <c r="Y2450" s="28">
        <v>3692383000</v>
      </c>
      <c r="Z2450" s="28">
        <v>1739763000</v>
      </c>
      <c r="AA2450" s="28"/>
      <c r="AB2450" s="28"/>
      <c r="AC2450" s="28">
        <v>1952563000</v>
      </c>
      <c r="AD2450" s="28">
        <v>1739773000</v>
      </c>
      <c r="AE2450" s="28">
        <v>4821407000</v>
      </c>
      <c r="AF2450" s="28">
        <v>1740070000</v>
      </c>
      <c r="AG2450" s="11"/>
    </row>
    <row r="2451">
      <c r="A2451" s="7" t="s">
        <v>4143</v>
      </c>
      <c r="B2451" s="5" t="s">
        <v>12121</v>
      </c>
      <c r="C2451" s="5" t="s">
        <v>19963</v>
      </c>
      <c r="D2451" s="5" t="str">
        <v>773504948900</v>
      </c>
      <c r="E2451" s="0" t="e">
        <f>+7 (495) 9802845</f>
        <v>#NAME?</v>
      </c>
      <c r="F2451" s="5" t="s">
        <v>32721</v>
      </c>
      <c r="G2451" s="5" t="s">
        <v>32722</v>
      </c>
      <c r="H2451" s="26">
        <v>27.5</v>
      </c>
      <c r="I2451" s="5"/>
      <c r="J2451" s="5" t="s">
        <v>881</v>
      </c>
      <c r="K2451" s="5" t="s">
        <v>344</v>
      </c>
      <c r="L2451" s="5" t="s">
        <v>32723</v>
      </c>
      <c r="M2451" s="27"/>
      <c r="N2451" s="5" t="s">
        <v>53195</v>
      </c>
      <c r="O2451" s="5" t="str">
        <v>7702148410</v>
      </c>
      <c r="P2451" s="27">
        <v>2530000</v>
      </c>
      <c r="Q2451" s="5" t="s">
        <v>53196</v>
      </c>
      <c r="R2451" s="5"/>
      <c r="S2451" s="5" t="s">
        <v>53197</v>
      </c>
      <c r="T2451" s="28">
        <v>442325000</v>
      </c>
      <c r="U2451" s="28">
        <v>30000</v>
      </c>
      <c r="V2451" s="28">
        <v>863970000</v>
      </c>
      <c r="W2451" s="28">
        <v>387000000</v>
      </c>
      <c r="X2451" s="28">
        <v>84300000</v>
      </c>
      <c r="Y2451" s="28">
        <v>2261919000</v>
      </c>
      <c r="Z2451" s="28">
        <v>615974000</v>
      </c>
      <c r="AA2451" s="28"/>
      <c r="AB2451" s="28"/>
      <c r="AC2451" s="28">
        <v>1143364000</v>
      </c>
      <c r="AD2451" s="28">
        <v>618529000</v>
      </c>
      <c r="AE2451" s="28">
        <v>4601896000</v>
      </c>
      <c r="AF2451" s="28">
        <v>243497000</v>
      </c>
      <c r="AG2451" s="11"/>
    </row>
    <row r="2452">
      <c r="A2452" s="7" t="s">
        <v>4144</v>
      </c>
      <c r="B2452" s="5" t="s">
        <v>12122</v>
      </c>
      <c r="C2452" s="5" t="s">
        <v>19964</v>
      </c>
      <c r="D2452" s="5" t="str">
        <v>773604309760</v>
      </c>
      <c r="E2452" s="0" t="e">
        <f>+7 (495) 4017601
+7 (916) 1043286
+7 (916) 3700670
+7 (985) 3668262
+7 (495) 4117602
+7 (495) 4117603
+7 (495) 4117604
+7 (499) 9734842
+7 (499) 9734856
+7 (499) 9734864</f>
        <v>#NAME?</v>
      </c>
      <c r="F2452" s="5" t="s">
        <v>32724</v>
      </c>
      <c r="G2452" s="5" t="s">
        <v>32725</v>
      </c>
      <c r="H2452" s="26">
        <v>30</v>
      </c>
      <c r="I2452" s="5"/>
      <c r="J2452" s="5" t="s">
        <v>748</v>
      </c>
      <c r="K2452" s="5" t="s">
        <v>344</v>
      </c>
      <c r="L2452" s="5" t="s">
        <v>32726</v>
      </c>
      <c r="M2452" s="27"/>
      <c r="N2452" s="5" t="s">
        <v>53198</v>
      </c>
      <c r="O2452" s="5" t="str">
        <v>7729058675</v>
      </c>
      <c r="P2452" s="27">
        <v>170000000</v>
      </c>
      <c r="Q2452" s="5" t="s">
        <v>53199</v>
      </c>
      <c r="R2452" s="5"/>
      <c r="S2452" s="5" t="s">
        <v>53200</v>
      </c>
      <c r="T2452" s="28">
        <v>447849000</v>
      </c>
      <c r="U2452" s="28">
        <v>117440000</v>
      </c>
      <c r="V2452" s="28">
        <v>5989274000</v>
      </c>
      <c r="W2452" s="28">
        <v>2002207000</v>
      </c>
      <c r="X2452" s="28">
        <v>4073110000</v>
      </c>
      <c r="Y2452" s="28">
        <v>14598620000</v>
      </c>
      <c r="Z2452" s="28">
        <v>5228533000</v>
      </c>
      <c r="AA2452" s="28">
        <v>599768000</v>
      </c>
      <c r="AB2452" s="28"/>
      <c r="AC2452" s="28">
        <v>8366965000</v>
      </c>
      <c r="AD2452" s="28">
        <v>5407033000</v>
      </c>
      <c r="AE2452" s="28">
        <v>25638262000</v>
      </c>
      <c r="AF2452" s="28">
        <v>2301322000</v>
      </c>
      <c r="AG2452" s="11"/>
    </row>
    <row r="2453">
      <c r="A2453" s="7" t="s">
        <v>4145</v>
      </c>
      <c r="B2453" s="5" t="s">
        <v>12123</v>
      </c>
      <c r="C2453" s="5" t="s">
        <v>19965</v>
      </c>
      <c r="D2453" s="5" t="str">
        <v>771903634701</v>
      </c>
      <c r="E2453" s="0" t="e">
        <f>+7 (495) 5404808
+7 (499) 2410505</f>
        <v>#NAME?</v>
      </c>
      <c r="F2453" s="5" t="s">
        <v>32727</v>
      </c>
      <c r="G2453" s="5" t="s">
        <v>32728</v>
      </c>
      <c r="H2453" s="26">
        <v>21</v>
      </c>
      <c r="I2453" s="5"/>
      <c r="J2453" s="5" t="s">
        <v>28069</v>
      </c>
      <c r="K2453" s="5" t="s">
        <v>344</v>
      </c>
      <c r="L2453" s="5" t="s">
        <v>32729</v>
      </c>
      <c r="M2453" s="27"/>
      <c r="N2453" s="5" t="s">
        <v>53201</v>
      </c>
      <c r="O2453" s="5" t="str">
        <v>7709368904</v>
      </c>
      <c r="P2453" s="27">
        <v>14213</v>
      </c>
      <c r="Q2453" s="5" t="s">
        <v>53202</v>
      </c>
      <c r="R2453" s="5"/>
      <c r="S2453" s="5" t="s">
        <v>53203</v>
      </c>
      <c r="T2453" s="28">
        <v>13774000</v>
      </c>
      <c r="U2453" s="28"/>
      <c r="V2453" s="28">
        <v>1018080000</v>
      </c>
      <c r="W2453" s="28"/>
      <c r="X2453" s="28">
        <v>442563000</v>
      </c>
      <c r="Y2453" s="28">
        <v>1541834000</v>
      </c>
      <c r="Z2453" s="28">
        <v>806332000</v>
      </c>
      <c r="AA2453" s="28"/>
      <c r="AB2453" s="28"/>
      <c r="AC2453" s="28">
        <v>732860000</v>
      </c>
      <c r="AD2453" s="28">
        <v>806347000</v>
      </c>
      <c r="AE2453" s="28">
        <v>3629684000</v>
      </c>
      <c r="AF2453" s="28">
        <v>208248000</v>
      </c>
      <c r="AG2453" s="11"/>
    </row>
    <row r="2454">
      <c r="A2454" s="7" t="s">
        <v>4146</v>
      </c>
      <c r="B2454" s="5" t="s">
        <v>12124</v>
      </c>
      <c r="C2454" s="5" t="s">
        <v>19966</v>
      </c>
      <c r="D2454" s="5" t="str">
        <v>601302811677</v>
      </c>
      <c r="E2454" s="0" t="e">
        <f>+7 (495) 9808090</f>
        <v>#NAME?</v>
      </c>
      <c r="F2454" s="5"/>
      <c r="G2454" s="5"/>
      <c r="H2454" s="26">
        <v>16</v>
      </c>
      <c r="I2454" s="5"/>
      <c r="J2454" s="5" t="s">
        <v>599</v>
      </c>
      <c r="K2454" s="5" t="s">
        <v>355</v>
      </c>
      <c r="L2454" s="5"/>
      <c r="M2454" s="27">
        <v>7379</v>
      </c>
      <c r="N2454" s="5" t="s">
        <v>53204</v>
      </c>
      <c r="O2454" s="5" t="str">
        <v>7731559534</v>
      </c>
      <c r="P2454" s="27">
        <v>90000</v>
      </c>
      <c r="Q2454" s="5" t="s">
        <v>53205</v>
      </c>
      <c r="R2454" s="5"/>
      <c r="S2454" s="5" t="s">
        <v>49195</v>
      </c>
      <c r="T2454" s="28">
        <v>3053002000</v>
      </c>
      <c r="U2454" s="28"/>
      <c r="V2454" s="28">
        <v>656876000</v>
      </c>
      <c r="W2454" s="28">
        <v>27000000</v>
      </c>
      <c r="X2454" s="28">
        <v>636138000</v>
      </c>
      <c r="Y2454" s="28">
        <v>4392366000</v>
      </c>
      <c r="Z2454" s="28">
        <v>1118286000</v>
      </c>
      <c r="AA2454" s="28">
        <v>981897000</v>
      </c>
      <c r="AB2454" s="28">
        <v>1784624000</v>
      </c>
      <c r="AC2454" s="28">
        <v>2227710000</v>
      </c>
      <c r="AD2454" s="28">
        <v>1118380000</v>
      </c>
      <c r="AE2454" s="28">
        <v>3906772000</v>
      </c>
      <c r="AF2454" s="28">
        <v>372031000</v>
      </c>
      <c r="AG2454" s="11"/>
    </row>
    <row r="2455">
      <c r="A2455" s="7" t="s">
        <v>4147</v>
      </c>
      <c r="B2455" s="5" t="s">
        <v>12125</v>
      </c>
      <c r="C2455" s="5" t="s">
        <v>19967</v>
      </c>
      <c r="D2455" s="5" t="str">
        <v>771904618798</v>
      </c>
      <c r="E2455" s="0" t="e">
        <f>+7 (495) 7376192</f>
        <v>#NAME?</v>
      </c>
      <c r="F2455" s="5" t="s">
        <v>32730</v>
      </c>
      <c r="G2455" s="5" t="s">
        <v>32731</v>
      </c>
      <c r="H2455" s="26">
        <v>28</v>
      </c>
      <c r="I2455" s="5"/>
      <c r="J2455" s="5" t="s">
        <v>881</v>
      </c>
      <c r="K2455" s="5" t="s">
        <v>344</v>
      </c>
      <c r="L2455" s="5" t="s">
        <v>32732</v>
      </c>
      <c r="M2455" s="27"/>
      <c r="N2455" s="5" t="s">
        <v>53206</v>
      </c>
      <c r="O2455" s="5" t="str">
        <v>7710013769</v>
      </c>
      <c r="P2455" s="27">
        <v>294811</v>
      </c>
      <c r="Q2455" s="5" t="s">
        <v>53207</v>
      </c>
      <c r="R2455" s="5"/>
      <c r="S2455" s="5" t="s">
        <v>53208</v>
      </c>
      <c r="T2455" s="28">
        <v>828254000</v>
      </c>
      <c r="U2455" s="28">
        <v>441594000</v>
      </c>
      <c r="V2455" s="28">
        <v>1543948000</v>
      </c>
      <c r="W2455" s="28">
        <v>138836000</v>
      </c>
      <c r="X2455" s="28">
        <v>1403558000</v>
      </c>
      <c r="Y2455" s="28">
        <v>7417943000</v>
      </c>
      <c r="Z2455" s="28">
        <v>4819589000</v>
      </c>
      <c r="AA2455" s="28"/>
      <c r="AB2455" s="28">
        <v>881818000</v>
      </c>
      <c r="AC2455" s="28">
        <v>1829687000</v>
      </c>
      <c r="AD2455" s="28">
        <v>4787163000</v>
      </c>
      <c r="AE2455" s="28">
        <v>5860179000</v>
      </c>
      <c r="AF2455" s="28">
        <v>681376000</v>
      </c>
      <c r="AG2455" s="11"/>
    </row>
    <row r="2456">
      <c r="A2456" s="7" t="s">
        <v>4148</v>
      </c>
      <c r="B2456" s="5" t="s">
        <v>12126</v>
      </c>
      <c r="C2456" s="5" t="s">
        <v>19968</v>
      </c>
      <c r="D2456" s="5" t="str">
        <v>773101792506</v>
      </c>
      <c r="E2456" s="0" t="e">
        <f>+7 (499) 9737964
+7 (3422) 58374
+7 (3422) 207727
+7 (499) 1919173
+7 (499) 3508309
+7 (499) 9737107
+7 (8202) 592596
+7 (8216) 771643
+7 (8216) 771726
+7 (83145) 27065
+7 (83145) 27069
+7 (844) 2963621
+7 (844) 2967460
+7 (86559) 51062
+7 (86559) 51614</f>
        <v>#NAME?</v>
      </c>
      <c r="F2456" s="5" t="s">
        <v>32733</v>
      </c>
      <c r="G2456" s="5" t="s">
        <v>32734</v>
      </c>
      <c r="H2456" s="26">
        <v>20</v>
      </c>
      <c r="I2456" s="5" t="s">
        <v>32735</v>
      </c>
      <c r="J2456" s="5" t="s">
        <v>897</v>
      </c>
      <c r="K2456" s="5" t="s">
        <v>344</v>
      </c>
      <c r="L2456" s="5" t="s">
        <v>32736</v>
      </c>
      <c r="M2456" s="27"/>
      <c r="N2456" s="5" t="s">
        <v>53209</v>
      </c>
      <c r="O2456" s="5" t="str">
        <v>7734257891</v>
      </c>
      <c r="P2456" s="27">
        <v>11000000</v>
      </c>
      <c r="Q2456" s="5" t="s">
        <v>49009</v>
      </c>
      <c r="R2456" s="5"/>
      <c r="S2456" s="5" t="s">
        <v>53211</v>
      </c>
      <c r="T2456" s="28">
        <v>211101000</v>
      </c>
      <c r="U2456" s="28">
        <v>253000</v>
      </c>
      <c r="V2456" s="28">
        <v>1646857000</v>
      </c>
      <c r="W2456" s="28"/>
      <c r="X2456" s="28">
        <v>283192000</v>
      </c>
      <c r="Y2456" s="28">
        <v>2221042000</v>
      </c>
      <c r="Z2456" s="28">
        <v>362116000</v>
      </c>
      <c r="AA2456" s="28"/>
      <c r="AB2456" s="28"/>
      <c r="AC2456" s="28">
        <v>1812915000</v>
      </c>
      <c r="AD2456" s="28">
        <v>373116000</v>
      </c>
      <c r="AE2456" s="28">
        <v>3685442000</v>
      </c>
      <c r="AF2456" s="28">
        <v>389999000</v>
      </c>
      <c r="AG2456" s="11"/>
    </row>
    <row r="2457">
      <c r="A2457" s="7" t="s">
        <v>4149</v>
      </c>
      <c r="B2457" s="5" t="s">
        <v>12127</v>
      </c>
      <c r="C2457" s="5" t="s">
        <v>19969</v>
      </c>
      <c r="D2457" s="5" t="str">
        <v>245711894242</v>
      </c>
      <c r="E2457" s="0" t="e">
        <f>+7 (35191) 4
+7 (391) 9434845
+7 (3919) 351914
+7 (3919) 450100</f>
        <v>#NAME?</v>
      </c>
      <c r="F2457" s="5" t="s">
        <v>32737</v>
      </c>
      <c r="G2457" s="5" t="s">
        <v>32738</v>
      </c>
      <c r="H2457" s="26">
        <v>16.5</v>
      </c>
      <c r="I2457" s="5" t="s">
        <v>32739</v>
      </c>
      <c r="J2457" s="5" t="s">
        <v>30025</v>
      </c>
      <c r="K2457" s="5" t="s">
        <v>380</v>
      </c>
      <c r="L2457" s="5"/>
      <c r="M2457" s="27"/>
      <c r="N2457" s="5" t="s">
        <v>53212</v>
      </c>
      <c r="O2457" s="5" t="str">
        <v>2457061775</v>
      </c>
      <c r="P2457" s="27">
        <v>4533314871</v>
      </c>
      <c r="Q2457" s="5"/>
      <c r="R2457" s="5" t="s">
        <v>51245</v>
      </c>
      <c r="S2457" s="5" t="s">
        <v>49125</v>
      </c>
      <c r="T2457" s="28">
        <v>5130664000</v>
      </c>
      <c r="U2457" s="28"/>
      <c r="V2457" s="28">
        <v>5545459000</v>
      </c>
      <c r="W2457" s="28">
        <v>1249527000</v>
      </c>
      <c r="X2457" s="28">
        <v>10000000</v>
      </c>
      <c r="Y2457" s="28">
        <v>13436686000</v>
      </c>
      <c r="Z2457" s="28">
        <v>-15057028000</v>
      </c>
      <c r="AA2457" s="28"/>
      <c r="AB2457" s="28"/>
      <c r="AC2457" s="28">
        <v>5095953000</v>
      </c>
      <c r="AD2457" s="28">
        <v>7126287000</v>
      </c>
      <c r="AE2457" s="28">
        <v>14968209000</v>
      </c>
      <c r="AF2457" s="28">
        <v>-2922011000</v>
      </c>
      <c r="AG2457" s="11"/>
    </row>
    <row r="2458">
      <c r="A2458" s="7" t="s">
        <v>4150</v>
      </c>
      <c r="B2458" s="5" t="s">
        <v>12128</v>
      </c>
      <c r="C2458" s="5" t="s">
        <v>19970</v>
      </c>
      <c r="D2458" s="5" t="str">
        <v>774300641302</v>
      </c>
      <c r="E2458" s="0" t="e">
        <f>+7 (495) 7377869
+7 (495) 9338549
+7 (495) 9338590
+7 (495) 2297308
+7 (495) 2297309
+7 (495) 6681141
+7 (495) 7377868</f>
        <v>#NAME?</v>
      </c>
      <c r="F2458" s="5" t="s">
        <v>32740</v>
      </c>
      <c r="G2458" s="5" t="s">
        <v>32741</v>
      </c>
      <c r="H2458" s="26">
        <v>26</v>
      </c>
      <c r="I2458" s="5" t="s">
        <v>32742</v>
      </c>
      <c r="J2458" s="5" t="s">
        <v>748</v>
      </c>
      <c r="K2458" s="5" t="s">
        <v>355</v>
      </c>
      <c r="L2458" s="5" t="s">
        <v>32743</v>
      </c>
      <c r="M2458" s="27"/>
      <c r="N2458" s="5" t="s">
        <v>53213</v>
      </c>
      <c r="O2458" s="5" t="str">
        <v>7703152232</v>
      </c>
      <c r="P2458" s="27">
        <v>100000000</v>
      </c>
      <c r="Q2458" s="5" t="s">
        <v>53214</v>
      </c>
      <c r="R2458" s="5"/>
      <c r="S2458" s="5" t="s">
        <v>49956</v>
      </c>
      <c r="T2458" s="28">
        <v>70582000</v>
      </c>
      <c r="U2458" s="28">
        <v>9890000</v>
      </c>
      <c r="V2458" s="28">
        <v>1405051000</v>
      </c>
      <c r="W2458" s="28"/>
      <c r="X2458" s="28">
        <v>1253850000</v>
      </c>
      <c r="Y2458" s="28">
        <v>3251584000</v>
      </c>
      <c r="Z2458" s="28">
        <v>1434558000</v>
      </c>
      <c r="AA2458" s="28"/>
      <c r="AB2458" s="28"/>
      <c r="AC2458" s="28">
        <v>1297300000</v>
      </c>
      <c r="AD2458" s="28">
        <v>1884558000</v>
      </c>
      <c r="AE2458" s="28">
        <v>3355733000</v>
      </c>
      <c r="AF2458" s="28">
        <v>-325321000</v>
      </c>
      <c r="AG2458" s="11"/>
    </row>
    <row r="2459">
      <c r="A2459" s="7" t="s">
        <v>4151</v>
      </c>
      <c r="B2459" s="5" t="s">
        <v>12129</v>
      </c>
      <c r="C2459" s="5" t="s">
        <v>19971</v>
      </c>
      <c r="D2459" s="5" t="str">
        <v>183113479513</v>
      </c>
      <c r="E2459" s="0" t="e">
        <f>+7 (3412) 493639
+7 (3412) 222888
+7 (3412) 510902
+7 (3412) 667300
+7 (3412) 667433
+7 (3412) 667745</f>
        <v>#NAME?</v>
      </c>
      <c r="F2459" s="5" t="s">
        <v>32744</v>
      </c>
      <c r="G2459" s="5" t="s">
        <v>32745</v>
      </c>
      <c r="H2459" s="26">
        <v>23</v>
      </c>
      <c r="I2459" s="5"/>
      <c r="J2459" s="5" t="s">
        <v>28954</v>
      </c>
      <c r="K2459" s="5" t="s">
        <v>344</v>
      </c>
      <c r="L2459" s="5" t="s">
        <v>32746</v>
      </c>
      <c r="M2459" s="27"/>
      <c r="N2459" s="5" t="s">
        <v>53215</v>
      </c>
      <c r="O2459" s="5" t="str">
        <v>1832028112</v>
      </c>
      <c r="P2459" s="27">
        <v>3335500</v>
      </c>
      <c r="Q2459" s="5" t="s">
        <v>53216</v>
      </c>
      <c r="R2459" s="5" t="s">
        <v>49252</v>
      </c>
      <c r="S2459" s="5" t="s">
        <v>49487</v>
      </c>
      <c r="T2459" s="28">
        <v>1278451000</v>
      </c>
      <c r="U2459" s="28">
        <v>250000000</v>
      </c>
      <c r="V2459" s="28">
        <v>955090000</v>
      </c>
      <c r="W2459" s="28">
        <v>215100000</v>
      </c>
      <c r="X2459" s="28">
        <v>131386000</v>
      </c>
      <c r="Y2459" s="28">
        <v>4353440000</v>
      </c>
      <c r="Z2459" s="28">
        <v>3184588000</v>
      </c>
      <c r="AA2459" s="28">
        <v>294104000</v>
      </c>
      <c r="AB2459" s="28">
        <v>258000</v>
      </c>
      <c r="AC2459" s="28">
        <v>805348000</v>
      </c>
      <c r="AD2459" s="28">
        <v>3200707000</v>
      </c>
      <c r="AE2459" s="28">
        <v>4205409000</v>
      </c>
      <c r="AF2459" s="28">
        <v>753281000</v>
      </c>
      <c r="AG2459" s="11"/>
    </row>
    <row r="2460">
      <c r="A2460" s="7" t="s">
        <v>4152</v>
      </c>
      <c r="B2460" s="5" t="s">
        <v>12130</v>
      </c>
      <c r="C2460" s="5" t="s">
        <v>19972</v>
      </c>
      <c r="D2460" s="5" t="str">
        <v>502902872279</v>
      </c>
      <c r="E2460" s="0" t="e">
        <f>+7 (495) 6275759
+7 (495) 9156066
+7 (495) 7554103</f>
        <v>#NAME?</v>
      </c>
      <c r="F2460" s="5"/>
      <c r="G2460" s="5" t="s">
        <v>32747</v>
      </c>
      <c r="H2460" s="26">
        <v>23</v>
      </c>
      <c r="I2460" s="5"/>
      <c r="J2460" s="5" t="s">
        <v>678</v>
      </c>
      <c r="K2460" s="5" t="s">
        <v>380</v>
      </c>
      <c r="L2460" s="5" t="s">
        <v>32748</v>
      </c>
      <c r="M2460" s="27">
        <v>8934155</v>
      </c>
      <c r="N2460" s="5" t="s">
        <v>53217</v>
      </c>
      <c r="O2460" s="5" t="str">
        <v>7705373131</v>
      </c>
      <c r="P2460" s="27">
        <v>9996000</v>
      </c>
      <c r="Q2460" s="5" t="s">
        <v>53218</v>
      </c>
      <c r="R2460" s="5"/>
      <c r="S2460" s="5" t="s">
        <v>53219</v>
      </c>
      <c r="T2460" s="28">
        <v>41320000</v>
      </c>
      <c r="U2460" s="28"/>
      <c r="V2460" s="28">
        <v>7310951000</v>
      </c>
      <c r="W2460" s="28">
        <v>569368000</v>
      </c>
      <c r="X2460" s="28">
        <v>776041000</v>
      </c>
      <c r="Y2460" s="28">
        <v>14138230000</v>
      </c>
      <c r="Z2460" s="28">
        <v>349162000</v>
      </c>
      <c r="AA2460" s="28">
        <v>120000000</v>
      </c>
      <c r="AB2460" s="28">
        <v>2926953000</v>
      </c>
      <c r="AC2460" s="28">
        <v>13552404000</v>
      </c>
      <c r="AD2460" s="28">
        <v>359658000</v>
      </c>
      <c r="AE2460" s="28">
        <v>3872278000</v>
      </c>
      <c r="AF2460" s="28">
        <v>25716000</v>
      </c>
      <c r="AG2460" s="11"/>
    </row>
    <row r="2461">
      <c r="A2461" s="7" t="s">
        <v>4153</v>
      </c>
      <c r="B2461" s="5" t="s">
        <v>12131</v>
      </c>
      <c r="C2461" s="5" t="s">
        <v>19973</v>
      </c>
      <c r="D2461" s="5" t="str">
        <v>771000224140</v>
      </c>
      <c r="E2461" s="0" t="e">
        <f>+7 (345) 2564300
+7 (345) 2550361
+7 (495) 1085242
+7 (495) 2215792</f>
        <v>#NAME?</v>
      </c>
      <c r="F2461" s="5" t="s">
        <v>32749</v>
      </c>
      <c r="G2461" s="5" t="s">
        <v>32750</v>
      </c>
      <c r="H2461" s="26">
        <v>14.5</v>
      </c>
      <c r="I2461" s="5" t="s">
        <v>32751</v>
      </c>
      <c r="J2461" s="5" t="s">
        <v>671</v>
      </c>
      <c r="K2461" s="5" t="s">
        <v>344</v>
      </c>
      <c r="L2461" s="5" t="s">
        <v>32752</v>
      </c>
      <c r="M2461" s="27"/>
      <c r="N2461" s="5" t="s">
        <v>53220</v>
      </c>
      <c r="O2461" s="5" t="str">
        <v>7707666430</v>
      </c>
      <c r="P2461" s="27">
        <v>10000</v>
      </c>
      <c r="Q2461" s="5" t="s">
        <v>53221</v>
      </c>
      <c r="R2461" s="5"/>
      <c r="S2461" s="5" t="s">
        <v>53222</v>
      </c>
      <c r="T2461" s="28">
        <v>128150000</v>
      </c>
      <c r="U2461" s="28"/>
      <c r="V2461" s="28">
        <v>1925707000</v>
      </c>
      <c r="W2461" s="28"/>
      <c r="X2461" s="28">
        <v>755879000</v>
      </c>
      <c r="Y2461" s="28">
        <v>4267078000</v>
      </c>
      <c r="Z2461" s="28">
        <v>1519781000</v>
      </c>
      <c r="AA2461" s="28"/>
      <c r="AB2461" s="28"/>
      <c r="AC2461" s="28">
        <v>2677976000</v>
      </c>
      <c r="AD2461" s="28">
        <v>1519791000</v>
      </c>
      <c r="AE2461" s="28">
        <v>3980188000</v>
      </c>
      <c r="AF2461" s="28">
        <v>995538000</v>
      </c>
      <c r="AG2461" s="11"/>
    </row>
    <row r="2462">
      <c r="A2462" s="7" t="s">
        <v>4154</v>
      </c>
      <c r="B2462" s="5" t="s">
        <v>12132</v>
      </c>
      <c r="C2462" s="5" t="s">
        <v>19974</v>
      </c>
      <c r="D2462" s="5" t="str">
        <v>231513575610</v>
      </c>
      <c r="E2462" s="0" t="e">
        <f>+7 (8617) 221206
+7 (8617) 223796
+7 (8617) 760118
+7 (8617) 760120
+7 (8617) 760168
+7 (8617) 760183</f>
        <v>#NAME?</v>
      </c>
      <c r="F2462" s="5" t="s">
        <v>32753</v>
      </c>
      <c r="G2462" s="5"/>
      <c r="H2462" s="26">
        <v>30.5</v>
      </c>
      <c r="I2462" s="5" t="s">
        <v>32754</v>
      </c>
      <c r="J2462" s="5" t="s">
        <v>26905</v>
      </c>
      <c r="K2462" s="5" t="s">
        <v>344</v>
      </c>
      <c r="L2462" s="5" t="s">
        <v>32755</v>
      </c>
      <c r="M2462" s="27">
        <v>14329895</v>
      </c>
      <c r="N2462" s="5" t="s">
        <v>53223</v>
      </c>
      <c r="O2462" s="5" t="str">
        <v>2315999816</v>
      </c>
      <c r="P2462" s="27">
        <v>1718518840</v>
      </c>
      <c r="Q2462" s="5" t="s">
        <v>53224</v>
      </c>
      <c r="R2462" s="5"/>
      <c r="S2462" s="5" t="s">
        <v>50951</v>
      </c>
      <c r="T2462" s="28">
        <v>4097419000</v>
      </c>
      <c r="U2462" s="28">
        <v>129985000</v>
      </c>
      <c r="V2462" s="28">
        <v>105565000</v>
      </c>
      <c r="W2462" s="28"/>
      <c r="X2462" s="28">
        <v>4500674000</v>
      </c>
      <c r="Y2462" s="28">
        <v>9154989000</v>
      </c>
      <c r="Z2462" s="28">
        <v>6671351000</v>
      </c>
      <c r="AA2462" s="28"/>
      <c r="AB2462" s="28"/>
      <c r="AC2462" s="28">
        <v>419718000</v>
      </c>
      <c r="AD2462" s="28">
        <v>8562285000</v>
      </c>
      <c r="AE2462" s="28">
        <v>3831129000</v>
      </c>
      <c r="AF2462" s="28">
        <v>2126387000</v>
      </c>
      <c r="AG2462" s="11"/>
    </row>
    <row r="2463">
      <c r="A2463" s="7" t="s">
        <v>4155</v>
      </c>
      <c r="B2463" s="5" t="s">
        <v>12133</v>
      </c>
      <c r="C2463" s="5" t="s">
        <v>19975</v>
      </c>
      <c r="D2463" s="5" t="str">
        <v>400302394190</v>
      </c>
      <c r="E2463" s="0" t="e">
        <f>+7 (495) 2585400
+7 (495) 2585401
+7 (800) 7004025
+7 (916) 9993028</f>
        <v>#NAME?</v>
      </c>
      <c r="F2463" s="5" t="s">
        <v>32756</v>
      </c>
      <c r="G2463" s="5" t="s">
        <v>32757</v>
      </c>
      <c r="H2463" s="26">
        <v>16</v>
      </c>
      <c r="I2463" s="5" t="s">
        <v>32758</v>
      </c>
      <c r="J2463" s="5" t="s">
        <v>26588</v>
      </c>
      <c r="K2463" s="5" t="s">
        <v>344</v>
      </c>
      <c r="L2463" s="5" t="s">
        <v>32759</v>
      </c>
      <c r="M2463" s="27"/>
      <c r="N2463" s="5"/>
      <c r="O2463" s="5" t="str">
        <v>7709721774</v>
      </c>
      <c r="P2463" s="27">
        <v>892593815</v>
      </c>
      <c r="Q2463" s="5" t="s">
        <v>49009</v>
      </c>
      <c r="R2463" s="5"/>
      <c r="S2463" s="5" t="s">
        <v>49066</v>
      </c>
      <c r="T2463" s="28">
        <v>184751000</v>
      </c>
      <c r="U2463" s="28"/>
      <c r="V2463" s="28">
        <v>668195000</v>
      </c>
      <c r="W2463" s="28"/>
      <c r="X2463" s="28">
        <v>1595996000</v>
      </c>
      <c r="Y2463" s="28">
        <v>6775407000</v>
      </c>
      <c r="Z2463" s="28">
        <v>243989000</v>
      </c>
      <c r="AA2463" s="28"/>
      <c r="AB2463" s="28">
        <v>800000000</v>
      </c>
      <c r="AC2463" s="28">
        <v>5489848000</v>
      </c>
      <c r="AD2463" s="28">
        <v>1136631000</v>
      </c>
      <c r="AE2463" s="28">
        <v>10366208000</v>
      </c>
      <c r="AF2463" s="28">
        <v>69255000</v>
      </c>
      <c r="AG2463" s="11"/>
    </row>
    <row r="2464">
      <c r="A2464" s="7" t="s">
        <v>4156</v>
      </c>
      <c r="B2464" s="5" t="s">
        <v>12134</v>
      </c>
      <c r="C2464" s="5" t="s">
        <v>19976</v>
      </c>
      <c r="D2464" s="5" t="str">
        <v>502206351426</v>
      </c>
      <c r="E2464" s="0" t="e">
        <f>+7 (495) 5029898
+7 (916) 1292795
+7 (495) 5029899
+7 (495) 9815646</f>
        <v>#NAME?</v>
      </c>
      <c r="F2464" s="5"/>
      <c r="G2464" s="5"/>
      <c r="H2464" s="26">
        <v>12</v>
      </c>
      <c r="I2464" s="5" t="s">
        <v>32760</v>
      </c>
      <c r="J2464" s="5" t="s">
        <v>32761</v>
      </c>
      <c r="K2464" s="5" t="s">
        <v>344</v>
      </c>
      <c r="L2464" s="5" t="s">
        <v>32762</v>
      </c>
      <c r="M2464" s="27"/>
      <c r="N2464" s="5" t="s">
        <v>53225</v>
      </c>
      <c r="O2464" s="5" t="str">
        <v>7725714277</v>
      </c>
      <c r="P2464" s="27">
        <v>30800000</v>
      </c>
      <c r="Q2464" s="5" t="s">
        <v>53226</v>
      </c>
      <c r="R2464" s="5"/>
      <c r="S2464" s="5" t="s">
        <v>53227</v>
      </c>
      <c r="T2464" s="28">
        <v>434283000</v>
      </c>
      <c r="U2464" s="28">
        <v>1607000000</v>
      </c>
      <c r="V2464" s="28">
        <v>1216700000</v>
      </c>
      <c r="W2464" s="28"/>
      <c r="X2464" s="28">
        <v>414100000</v>
      </c>
      <c r="Y2464" s="28">
        <v>3892738000</v>
      </c>
      <c r="Z2464" s="28">
        <v>2748210000</v>
      </c>
      <c r="AA2464" s="28"/>
      <c r="AB2464" s="28"/>
      <c r="AC2464" s="28">
        <v>708437000</v>
      </c>
      <c r="AD2464" s="28">
        <v>2804547000</v>
      </c>
      <c r="AE2464" s="28">
        <v>3107699000</v>
      </c>
      <c r="AF2464" s="28">
        <v>498258000</v>
      </c>
      <c r="AG2464" s="11"/>
    </row>
    <row r="2465">
      <c r="A2465" s="7" t="s">
        <v>4157</v>
      </c>
      <c r="B2465" s="5" t="s">
        <v>12135</v>
      </c>
      <c r="C2465" s="5" t="s">
        <v>19977</v>
      </c>
      <c r="D2465" s="5" t="str">
        <v>772378057113</v>
      </c>
      <c r="E2465" s="0" t="e">
        <f>+7 (495) 3632211</f>
        <v>#NAME?</v>
      </c>
      <c r="F2465" s="5"/>
      <c r="G2465" s="5"/>
      <c r="H2465" s="26">
        <v>22.5</v>
      </c>
      <c r="I2465" s="5" t="s">
        <v>32763</v>
      </c>
      <c r="J2465" s="5" t="s">
        <v>364</v>
      </c>
      <c r="K2465" s="5" t="s">
        <v>380</v>
      </c>
      <c r="L2465" s="5"/>
      <c r="M2465" s="27">
        <v>51696676</v>
      </c>
      <c r="N2465" s="5"/>
      <c r="O2465" s="5" t="str">
        <v>7708142943</v>
      </c>
      <c r="P2465" s="27">
        <v>127803632</v>
      </c>
      <c r="Q2465" s="5" t="s">
        <v>49009</v>
      </c>
      <c r="R2465" s="5" t="s">
        <v>53228</v>
      </c>
      <c r="S2465" s="5" t="s">
        <v>49093</v>
      </c>
      <c r="T2465" s="28">
        <v>2879000</v>
      </c>
      <c r="U2465" s="28"/>
      <c r="V2465" s="28">
        <v>11332293000</v>
      </c>
      <c r="W2465" s="28"/>
      <c r="X2465" s="28">
        <v>188765000</v>
      </c>
      <c r="Y2465" s="28">
        <v>12512278000</v>
      </c>
      <c r="Z2465" s="28">
        <v>-2246007000</v>
      </c>
      <c r="AA2465" s="28">
        <v>535500000</v>
      </c>
      <c r="AB2465" s="28">
        <v>363001000</v>
      </c>
      <c r="AC2465" s="28">
        <v>14094969000</v>
      </c>
      <c r="AD2465" s="28">
        <v>-2118201000</v>
      </c>
      <c r="AE2465" s="28">
        <v>27400462000</v>
      </c>
      <c r="AF2465" s="28">
        <v>-1190099000</v>
      </c>
      <c r="AG2465" s="11"/>
    </row>
    <row r="2466">
      <c r="A2466" s="7" t="s">
        <v>4158</v>
      </c>
      <c r="B2466" s="5" t="s">
        <v>12136</v>
      </c>
      <c r="C2466" s="5" t="s">
        <v>19978</v>
      </c>
      <c r="D2466" s="5" t="str">
        <v>381253863464</v>
      </c>
      <c r="E2466" s="0" t="e">
        <f>+7 (395) 2270718
+7 (924) 6018337
+7 (3952) 270288
+7 (3952) 270292
+7 (3952) 271304
+7 (3952) 271660
+7 (3952) 272081
+7 (3952) 434442
+7 (413) 2620901
+7 (914) 8984414</f>
        <v>#NAME?</v>
      </c>
      <c r="F2466" s="5" t="s">
        <v>32764</v>
      </c>
      <c r="G2466" s="5" t="s">
        <v>32765</v>
      </c>
      <c r="H2466" s="26">
        <v>23.5</v>
      </c>
      <c r="I2466" s="5"/>
      <c r="J2466" s="5" t="s">
        <v>25454</v>
      </c>
      <c r="K2466" s="5" t="s">
        <v>344</v>
      </c>
      <c r="L2466" s="5" t="s">
        <v>32766</v>
      </c>
      <c r="M2466" s="27"/>
      <c r="N2466" s="5" t="s">
        <v>53229</v>
      </c>
      <c r="O2466" s="5" t="str">
        <v>3808091156</v>
      </c>
      <c r="P2466" s="27">
        <v>40000</v>
      </c>
      <c r="Q2466" s="5" t="s">
        <v>53231</v>
      </c>
      <c r="R2466" s="5"/>
      <c r="S2466" s="5" t="s">
        <v>53232</v>
      </c>
      <c r="T2466" s="28">
        <v>4716611000</v>
      </c>
      <c r="U2466" s="28"/>
      <c r="V2466" s="28">
        <v>1917525000</v>
      </c>
      <c r="W2466" s="28">
        <v>336721000</v>
      </c>
      <c r="X2466" s="28">
        <v>1003021000</v>
      </c>
      <c r="Y2466" s="28">
        <v>8612586000</v>
      </c>
      <c r="Z2466" s="28">
        <v>905554000</v>
      </c>
      <c r="AA2466" s="28"/>
      <c r="AB2466" s="28"/>
      <c r="AC2466" s="28">
        <v>2334292000</v>
      </c>
      <c r="AD2466" s="28">
        <v>2426559000</v>
      </c>
      <c r="AE2466" s="28">
        <v>16601142000</v>
      </c>
      <c r="AF2466" s="28">
        <v>381457000</v>
      </c>
      <c r="AG2466" s="11"/>
    </row>
    <row r="2467">
      <c r="A2467" s="7" t="s">
        <v>4159</v>
      </c>
      <c r="B2467" s="5" t="s">
        <v>12137</v>
      </c>
      <c r="C2467" s="5" t="s">
        <v>19979</v>
      </c>
      <c r="D2467" s="5" t="str">
        <v>332900316833</v>
      </c>
      <c r="E2467" s="0" t="e">
        <f>+7 (492) 2327095
+7 (492) 2332310
+7 (492) 2332312
+7 (492) 2332313
+7 (492) 2332314
+7 (492) 2332315
+7 (492) 2332316
+7 (492) 2332317
+7 (492) 2457100</f>
        <v>#NAME?</v>
      </c>
      <c r="F2467" s="5" t="s">
        <v>32767</v>
      </c>
      <c r="G2467" s="5" t="s">
        <v>32768</v>
      </c>
      <c r="H2467" s="26">
        <v>25</v>
      </c>
      <c r="I2467" s="5" t="s">
        <v>32769</v>
      </c>
      <c r="J2467" s="5" t="s">
        <v>26828</v>
      </c>
      <c r="K2467" s="5" t="s">
        <v>355</v>
      </c>
      <c r="L2467" s="5"/>
      <c r="M2467" s="27">
        <v>13340</v>
      </c>
      <c r="N2467" s="5" t="s">
        <v>53233</v>
      </c>
      <c r="O2467" s="5" t="str">
        <v>3329019018</v>
      </c>
      <c r="P2467" s="27">
        <v>10000</v>
      </c>
      <c r="Q2467" s="5"/>
      <c r="R2467" s="5"/>
      <c r="S2467" s="5" t="s">
        <v>49425</v>
      </c>
      <c r="T2467" s="28"/>
      <c r="U2467" s="28"/>
      <c r="V2467" s="28">
        <v>6854000</v>
      </c>
      <c r="W2467" s="28"/>
      <c r="X2467" s="28">
        <v>37405000</v>
      </c>
      <c r="Y2467" s="28">
        <v>51242000</v>
      </c>
      <c r="Z2467" s="28">
        <v>4550000</v>
      </c>
      <c r="AA2467" s="28">
        <v>8500000</v>
      </c>
      <c r="AB2467" s="28"/>
      <c r="AC2467" s="28">
        <v>38182000</v>
      </c>
      <c r="AD2467" s="28">
        <v>4560000</v>
      </c>
      <c r="AE2467" s="28">
        <v>126105380000</v>
      </c>
      <c r="AF2467" s="28"/>
      <c r="AG2467" s="11"/>
    </row>
    <row r="2468">
      <c r="A2468" s="7" t="s">
        <v>4160</v>
      </c>
      <c r="B2468" s="5" t="s">
        <v>12138</v>
      </c>
      <c r="C2468" s="5" t="s">
        <v>19980</v>
      </c>
      <c r="D2468" s="5" t="str">
        <v>665898007316</v>
      </c>
      <c r="E2468" s="0" t="e">
        <f>+7 (34355) 37675
+7 (34355) 37895
+7 (34355) 38149
+7 (34355) 52663
+7 (34355) 52664
+7 (34355) 52671
+7 (34355) 52684
+7 (34355) 52685
+7 (34355) 52686
+7 (34355) 62685
+7 (34355) 65494
+7 (34355) 65537
+7 (34355) 67004
+7 (34362) 20706</f>
        <v>#NAME?</v>
      </c>
      <c r="F2468" s="5" t="s">
        <v>32770</v>
      </c>
      <c r="G2468" s="5" t="s">
        <v>32771</v>
      </c>
      <c r="H2468" s="26">
        <v>11</v>
      </c>
      <c r="I2468" s="5"/>
      <c r="J2468" s="5" t="s">
        <v>25499</v>
      </c>
      <c r="K2468" s="5" t="s">
        <v>344</v>
      </c>
      <c r="L2468" s="5"/>
      <c r="M2468" s="27">
        <v>3019880</v>
      </c>
      <c r="N2468" s="5" t="s">
        <v>53234</v>
      </c>
      <c r="O2468" s="5" t="str">
        <v>6676000476</v>
      </c>
      <c r="P2468" s="27">
        <v>277977000</v>
      </c>
      <c r="Q2468" s="5" t="s">
        <v>53236</v>
      </c>
      <c r="R2468" s="5"/>
      <c r="S2468" s="5" t="s">
        <v>51576</v>
      </c>
      <c r="T2468" s="28">
        <v>1323749000</v>
      </c>
      <c r="U2468" s="28">
        <v>125203000</v>
      </c>
      <c r="V2468" s="28">
        <v>787812000</v>
      </c>
      <c r="W2468" s="28">
        <v>14330000</v>
      </c>
      <c r="X2468" s="28">
        <v>63078000</v>
      </c>
      <c r="Y2468" s="28">
        <v>2909570000</v>
      </c>
      <c r="Z2468" s="28">
        <v>1393253000</v>
      </c>
      <c r="AA2468" s="28">
        <v>504969000</v>
      </c>
      <c r="AB2468" s="28">
        <v>328716000</v>
      </c>
      <c r="AC2468" s="28">
        <v>708218000</v>
      </c>
      <c r="AD2468" s="28">
        <v>1696383000</v>
      </c>
      <c r="AE2468" s="28">
        <v>9789243000</v>
      </c>
      <c r="AF2468" s="28">
        <v>102027000</v>
      </c>
      <c r="AG2468" s="11"/>
    </row>
    <row r="2469">
      <c r="A2469" s="7" t="s">
        <v>4161</v>
      </c>
      <c r="B2469" s="5" t="s">
        <v>12139</v>
      </c>
      <c r="C2469" s="5" t="s">
        <v>19981</v>
      </c>
      <c r="D2469" s="5" t="str">
        <v>780430158504</v>
      </c>
      <c r="E2469" s="0" t="e">
        <f>+7 (495) 4998007
+7 (495) 8007788
+7 (495) 9567937
+7 (499) 4262887
+7 (499) 8000001
+7 (499) 8007008
+7 (499) 8007757
+7 (499) 8007784
+7 (495) 6265047
+7 (495) 8007787
+7 (495) 9265047
+7 (499) 4261709
+7 (499) 7007787
+7 (499) 8007778
+7 (499) 8007788</f>
        <v>#NAME?</v>
      </c>
      <c r="F2469" s="5" t="s">
        <v>32772</v>
      </c>
      <c r="G2469" s="5" t="s">
        <v>32773</v>
      </c>
      <c r="H2469" s="26">
        <v>21.5</v>
      </c>
      <c r="I2469" s="5" t="s">
        <v>31193</v>
      </c>
      <c r="J2469" s="5" t="s">
        <v>25429</v>
      </c>
      <c r="K2469" s="5" t="s">
        <v>344</v>
      </c>
      <c r="L2469" s="5" t="s">
        <v>32774</v>
      </c>
      <c r="M2469" s="27"/>
      <c r="N2469" s="5" t="s">
        <v>53237</v>
      </c>
      <c r="O2469" s="5" t="str">
        <v>5027083476</v>
      </c>
      <c r="P2469" s="27">
        <v>10000</v>
      </c>
      <c r="Q2469" s="5" t="s">
        <v>53238</v>
      </c>
      <c r="R2469" s="5"/>
      <c r="S2469" s="5" t="s">
        <v>53239</v>
      </c>
      <c r="T2469" s="28">
        <v>721703000</v>
      </c>
      <c r="U2469" s="28">
        <v>3449374000</v>
      </c>
      <c r="V2469" s="28">
        <v>10706088000</v>
      </c>
      <c r="W2469" s="28">
        <v>98280000</v>
      </c>
      <c r="X2469" s="28">
        <v>453999000</v>
      </c>
      <c r="Y2469" s="28">
        <v>22214991000</v>
      </c>
      <c r="Z2469" s="28">
        <v>5469704000</v>
      </c>
      <c r="AA2469" s="28">
        <v>1100000000</v>
      </c>
      <c r="AB2469" s="28">
        <v>4767073000</v>
      </c>
      <c r="AC2469" s="28">
        <v>14241609000</v>
      </c>
      <c r="AD2469" s="28">
        <v>5469714000</v>
      </c>
      <c r="AE2469" s="28">
        <v>43785104000</v>
      </c>
      <c r="AF2469" s="28">
        <v>2418375000</v>
      </c>
      <c r="AG2469" s="11"/>
    </row>
    <row r="2470">
      <c r="A2470" s="7" t="s">
        <v>4162</v>
      </c>
      <c r="B2470" s="5" t="s">
        <v>12140</v>
      </c>
      <c r="C2470" s="5" t="s">
        <v>19981</v>
      </c>
      <c r="D2470" s="5" t="str">
        <v>780430158504</v>
      </c>
      <c r="E2470" s="0" t="e">
        <f>+7 (383) 2306862
+7 (47150) 22100
+7 (474) 2553346
+7 (495) 1326716
+7 (495) 2563569
+7 (495) 2583428
+7 (495) 4262687
+7 (495) 4262886
+7 (495) 4278687
+7 (495) 4292887
+7 (495) 8007778
+7 (495) 9567937
+7 (499) 1262887
+7 (499) 2262887
+7 (495) 4262887</f>
        <v>#NAME?</v>
      </c>
      <c r="F2470" s="5" t="s">
        <v>32775</v>
      </c>
      <c r="G2470" s="5" t="s">
        <v>32776</v>
      </c>
      <c r="H2470" s="26">
        <v>5</v>
      </c>
      <c r="I2470" s="5" t="s">
        <v>31193</v>
      </c>
      <c r="J2470" s="5" t="s">
        <v>25429</v>
      </c>
      <c r="K2470" s="5" t="s">
        <v>344</v>
      </c>
      <c r="L2470" s="5" t="s">
        <v>32777</v>
      </c>
      <c r="M2470" s="27">
        <v>9441</v>
      </c>
      <c r="N2470" s="5" t="s">
        <v>53240</v>
      </c>
      <c r="O2470" s="5" t="str">
        <v>5027262517</v>
      </c>
      <c r="P2470" s="27">
        <v>10000</v>
      </c>
      <c r="Q2470" s="5" t="s">
        <v>53241</v>
      </c>
      <c r="R2470" s="5"/>
      <c r="S2470" s="5" t="s">
        <v>53242</v>
      </c>
      <c r="T2470" s="28">
        <v>203687000</v>
      </c>
      <c r="U2470" s="28"/>
      <c r="V2470" s="28">
        <v>5005611000</v>
      </c>
      <c r="W2470" s="28"/>
      <c r="X2470" s="28">
        <v>556876000</v>
      </c>
      <c r="Y2470" s="28">
        <v>6955996000</v>
      </c>
      <c r="Z2470" s="28">
        <v>2684625000</v>
      </c>
      <c r="AA2470" s="28"/>
      <c r="AB2470" s="28">
        <v>302000</v>
      </c>
      <c r="AC2470" s="28">
        <v>4006334000</v>
      </c>
      <c r="AD2470" s="28">
        <v>2684635000</v>
      </c>
      <c r="AE2470" s="28">
        <v>29066083000</v>
      </c>
      <c r="AF2470" s="28">
        <v>1694072000</v>
      </c>
      <c r="AG2470" s="11"/>
    </row>
    <row r="2471">
      <c r="A2471" s="7" t="s">
        <v>4163</v>
      </c>
      <c r="B2471" s="5" t="s">
        <v>12141</v>
      </c>
      <c r="C2471" s="5" t="s">
        <v>19982</v>
      </c>
      <c r="D2471" s="5" t="str">
        <v>384800129779</v>
      </c>
      <c r="E2471" s="0" t="e">
        <f>+7 (3952) 330843
+7 (3952) 333151
+7 (3952) 728729
+7 (902) 5150280
+7 (914) 6735437
+7 (914) 8950341</f>
        <v>#NAME?</v>
      </c>
      <c r="F2471" s="5" t="s">
        <v>32778</v>
      </c>
      <c r="G2471" s="5" t="s">
        <v>32779</v>
      </c>
      <c r="H2471" s="26">
        <v>30</v>
      </c>
      <c r="I2471" s="5"/>
      <c r="J2471" s="5" t="s">
        <v>755</v>
      </c>
      <c r="K2471" s="5" t="s">
        <v>344</v>
      </c>
      <c r="L2471" s="5"/>
      <c r="M2471" s="27"/>
      <c r="N2471" s="5" t="s">
        <v>53243</v>
      </c>
      <c r="O2471" s="5" t="str">
        <v>3808002300</v>
      </c>
      <c r="P2471" s="27">
        <v>10936730</v>
      </c>
      <c r="Q2471" s="5" t="s">
        <v>49009</v>
      </c>
      <c r="R2471" s="5"/>
      <c r="S2471" s="5" t="s">
        <v>51061</v>
      </c>
      <c r="T2471" s="28">
        <v>400677000</v>
      </c>
      <c r="U2471" s="28">
        <v>15418000</v>
      </c>
      <c r="V2471" s="28">
        <v>2023891000</v>
      </c>
      <c r="W2471" s="28">
        <v>2877000</v>
      </c>
      <c r="X2471" s="28">
        <v>144599000</v>
      </c>
      <c r="Y2471" s="28">
        <v>3377811000</v>
      </c>
      <c r="Z2471" s="28">
        <v>754440000</v>
      </c>
      <c r="AA2471" s="28"/>
      <c r="AB2471" s="28"/>
      <c r="AC2471" s="28">
        <v>2384929000</v>
      </c>
      <c r="AD2471" s="28">
        <v>805791000</v>
      </c>
      <c r="AE2471" s="28">
        <v>4175025000</v>
      </c>
      <c r="AF2471" s="28">
        <v>-688869000</v>
      </c>
      <c r="AG2471" s="11"/>
    </row>
    <row r="2472">
      <c r="A2472" s="7" t="s">
        <v>4164</v>
      </c>
      <c r="B2472" s="5" t="s">
        <v>12142</v>
      </c>
      <c r="C2472" s="5" t="s">
        <v>19983</v>
      </c>
      <c r="D2472" s="5" t="str">
        <v>150204344036</v>
      </c>
      <c r="F2472" s="5" t="s">
        <v>32780</v>
      </c>
      <c r="G2472" s="5"/>
      <c r="H2472" s="26">
        <v>8</v>
      </c>
      <c r="I2472" s="5" t="s">
        <v>32781</v>
      </c>
      <c r="J2472" s="5" t="s">
        <v>31224</v>
      </c>
      <c r="K2472" s="5" t="s">
        <v>355</v>
      </c>
      <c r="L2472" s="5" t="s">
        <v>664</v>
      </c>
      <c r="M2472" s="27"/>
      <c r="N2472" s="5"/>
      <c r="O2472" s="5" t="str">
        <v>1513052655</v>
      </c>
      <c r="P2472" s="27">
        <v>15000</v>
      </c>
      <c r="Q2472" s="5"/>
      <c r="R2472" s="5"/>
      <c r="S2472" s="5" t="s">
        <v>49991</v>
      </c>
      <c r="T2472" s="28"/>
      <c r="U2472" s="28"/>
      <c r="V2472" s="28"/>
      <c r="W2472" s="28"/>
      <c r="X2472" s="28"/>
      <c r="Y2472" s="28">
        <v>464000</v>
      </c>
      <c r="Z2472" s="28">
        <v>124000</v>
      </c>
      <c r="AA2472" s="28"/>
      <c r="AB2472" s="28"/>
      <c r="AC2472" s="28">
        <v>325000</v>
      </c>
      <c r="AD2472" s="28">
        <v>139000</v>
      </c>
      <c r="AE2472" s="28">
        <v>5417491000</v>
      </c>
      <c r="AF2472" s="28">
        <v>124210000</v>
      </c>
      <c r="AG2472" s="11"/>
    </row>
    <row r="2473">
      <c r="A2473" s="7" t="s">
        <v>4165</v>
      </c>
      <c r="B2473" s="5" t="s">
        <v>12143</v>
      </c>
      <c r="C2473" s="5" t="s">
        <v>19984</v>
      </c>
      <c r="D2473" s="5" t="str">
        <v>614110749547</v>
      </c>
      <c r="E2473" s="0" t="e">
        <f>+7 (863) 8305611
+7 (8632) 665469
+7 (908) 1835188
+7 (961) 8305611</f>
        <v>#NAME?</v>
      </c>
      <c r="F2473" s="5" t="s">
        <v>32782</v>
      </c>
      <c r="G2473" s="5"/>
      <c r="H2473" s="26">
        <v>10.5</v>
      </c>
      <c r="I2473" s="5" t="s">
        <v>32783</v>
      </c>
      <c r="J2473" s="5" t="s">
        <v>32784</v>
      </c>
      <c r="K2473" s="5" t="s">
        <v>344</v>
      </c>
      <c r="L2473" s="5"/>
      <c r="M2473" s="27"/>
      <c r="N2473" s="5"/>
      <c r="O2473" s="5" t="str">
        <v>6161065095</v>
      </c>
      <c r="P2473" s="27">
        <v>10000</v>
      </c>
      <c r="Q2473" s="5" t="s">
        <v>447</v>
      </c>
      <c r="R2473" s="5"/>
      <c r="S2473" s="5" t="s">
        <v>53244</v>
      </c>
      <c r="T2473" s="28">
        <v>2450000</v>
      </c>
      <c r="U2473" s="28"/>
      <c r="V2473" s="28">
        <v>617588000</v>
      </c>
      <c r="W2473" s="28">
        <v>913367000</v>
      </c>
      <c r="X2473" s="28">
        <v>86045000</v>
      </c>
      <c r="Y2473" s="28">
        <v>1724919000</v>
      </c>
      <c r="Z2473" s="28">
        <v>739331000</v>
      </c>
      <c r="AA2473" s="28">
        <v>144751000</v>
      </c>
      <c r="AB2473" s="28">
        <v>130010000</v>
      </c>
      <c r="AC2473" s="28">
        <v>754797000</v>
      </c>
      <c r="AD2473" s="28">
        <v>739341000</v>
      </c>
      <c r="AE2473" s="28">
        <v>5433460000</v>
      </c>
      <c r="AF2473" s="28">
        <v>126517000</v>
      </c>
      <c r="AG2473" s="11"/>
    </row>
    <row r="2474">
      <c r="A2474" s="7" t="s">
        <v>4166</v>
      </c>
      <c r="B2474" s="5" t="s">
        <v>12144</v>
      </c>
      <c r="C2474" s="5" t="s">
        <v>19985</v>
      </c>
      <c r="D2474" s="5" t="str">
        <v>183507553516</v>
      </c>
      <c r="E2474" s="0" t="e">
        <f>+7 (3412) 228544
+7 (3412) 481719
+7 (3412) 636585
+7 (3412) 637343
+7 (3412) 658305
+7 (3412) 658306
+7 (3412) 688759
+7 (3412) 756555</f>
        <v>#NAME?</v>
      </c>
      <c r="F2474" s="5"/>
      <c r="G2474" s="5" t="s">
        <v>32785</v>
      </c>
      <c r="H2474" s="26">
        <v>18.5</v>
      </c>
      <c r="I2474" s="5" t="s">
        <v>32786</v>
      </c>
      <c r="J2474" s="5" t="s">
        <v>25443</v>
      </c>
      <c r="K2474" s="5" t="s">
        <v>344</v>
      </c>
      <c r="L2474" s="5" t="s">
        <v>32787</v>
      </c>
      <c r="M2474" s="27"/>
      <c r="N2474" s="5"/>
      <c r="O2474" s="5" t="str">
        <v>1833033690</v>
      </c>
      <c r="P2474" s="27">
        <v>3399932</v>
      </c>
      <c r="Q2474" s="5" t="s">
        <v>53245</v>
      </c>
      <c r="R2474" s="5"/>
      <c r="S2474" s="5" t="s">
        <v>49956</v>
      </c>
      <c r="T2474" s="28">
        <v>77161000</v>
      </c>
      <c r="U2474" s="28"/>
      <c r="V2474" s="28">
        <v>2042422000</v>
      </c>
      <c r="W2474" s="28">
        <v>95000000</v>
      </c>
      <c r="X2474" s="28">
        <v>272413000</v>
      </c>
      <c r="Y2474" s="28">
        <v>3891325000</v>
      </c>
      <c r="Z2474" s="28">
        <v>3188652000</v>
      </c>
      <c r="AA2474" s="28"/>
      <c r="AB2474" s="28"/>
      <c r="AC2474" s="28">
        <v>641251000</v>
      </c>
      <c r="AD2474" s="28">
        <v>3242052000</v>
      </c>
      <c r="AE2474" s="28">
        <v>3735927000</v>
      </c>
      <c r="AF2474" s="28">
        <v>1133373000</v>
      </c>
      <c r="AG2474" s="11"/>
    </row>
    <row r="2475">
      <c r="A2475" s="7" t="s">
        <v>4167</v>
      </c>
      <c r="B2475" s="5" t="s">
        <v>12145</v>
      </c>
      <c r="C2475" s="5" t="s">
        <v>19986</v>
      </c>
      <c r="D2475" s="5" t="str">
        <v>381251703151</v>
      </c>
      <c r="E2475" s="0" t="e">
        <f>+7 (3952) 288949
+7 (394) 5301891
+7 (39452) 88945
+7 (3952) 288932
+7 (3952) 288945
+7 (3952) 300512
+7 (3952) 300520
+7 (3952) 300622
+7 (3952) 301891
+7 (3952) 352823
+7 (3952) 383879
+7 (3952) 390520
+7 (416) 2442577
+7 (416) 2443400
+7 (416) 2491722</f>
        <v>#NAME?</v>
      </c>
      <c r="F2475" s="5" t="s">
        <v>32788</v>
      </c>
      <c r="G2475" s="5" t="s">
        <v>32789</v>
      </c>
      <c r="H2475" s="26">
        <v>8</v>
      </c>
      <c r="I2475" s="5" t="s">
        <v>32790</v>
      </c>
      <c r="J2475" s="5" t="s">
        <v>25812</v>
      </c>
      <c r="K2475" s="5" t="s">
        <v>344</v>
      </c>
      <c r="L2475" s="5" t="s">
        <v>32791</v>
      </c>
      <c r="M2475" s="27">
        <v>48000</v>
      </c>
      <c r="N2475" s="5" t="s">
        <v>49923</v>
      </c>
      <c r="O2475" s="5" t="str">
        <v>3811185573</v>
      </c>
      <c r="P2475" s="27">
        <v>68400</v>
      </c>
      <c r="Q2475" s="5"/>
      <c r="R2475" s="5"/>
      <c r="S2475" s="5" t="s">
        <v>49425</v>
      </c>
      <c r="T2475" s="28">
        <v>5555032000</v>
      </c>
      <c r="U2475" s="28">
        <v>1144857000</v>
      </c>
      <c r="V2475" s="28">
        <v>1158507000</v>
      </c>
      <c r="W2475" s="28">
        <v>6846997000</v>
      </c>
      <c r="X2475" s="28">
        <v>109244000</v>
      </c>
      <c r="Y2475" s="28">
        <v>22711692000</v>
      </c>
      <c r="Z2475" s="28">
        <v>19229328000</v>
      </c>
      <c r="AA2475" s="28">
        <v>830367000</v>
      </c>
      <c r="AB2475" s="28">
        <v>800725000</v>
      </c>
      <c r="AC2475" s="28">
        <v>2229240000</v>
      </c>
      <c r="AD2475" s="28">
        <v>19233933000</v>
      </c>
      <c r="AE2475" s="28">
        <v>14291410000</v>
      </c>
      <c r="AF2475" s="28">
        <v>1698342000</v>
      </c>
      <c r="AG2475" s="11"/>
    </row>
    <row r="2476">
      <c r="A2476" s="7" t="s">
        <v>4168</v>
      </c>
      <c r="B2476" s="5" t="s">
        <v>12146</v>
      </c>
      <c r="C2476" s="5" t="s">
        <v>19987</v>
      </c>
      <c r="D2476" s="5"/>
      <c r="E2476" s="0" t="e">
        <f>+7 (39550) 52902
+7 (39550) 52903
+7 (39550) 52900
+7 (39550) 52901
+7 (39550) 52904
+7 (39550) 52906
+7 (39550) 52911
+7 (39550) 52914
+7 (39550) 52915
+7 (39550) 52919
+7 (39550) 52921
+7 (39550) 52923
+7 (495) 9333541
+7 (495) 9333542</f>
        <v>#NAME?</v>
      </c>
      <c r="F2476" s="5" t="s">
        <v>32792</v>
      </c>
      <c r="G2476" s="5" t="s">
        <v>32793</v>
      </c>
      <c r="H2476" s="26">
        <v>30.5</v>
      </c>
      <c r="I2476" s="5" t="s">
        <v>32794</v>
      </c>
      <c r="J2476" s="5" t="s">
        <v>655</v>
      </c>
      <c r="K2476" s="5" t="s">
        <v>355</v>
      </c>
      <c r="L2476" s="5"/>
      <c r="M2476" s="27">
        <v>2511875</v>
      </c>
      <c r="N2476" s="5" t="s">
        <v>53247</v>
      </c>
      <c r="O2476" s="5" t="str">
        <v>3821000937</v>
      </c>
      <c r="P2476" s="27">
        <v>1624649</v>
      </c>
      <c r="Q2476" s="5" t="s">
        <v>53248</v>
      </c>
      <c r="R2476" s="5"/>
      <c r="S2476" s="5" t="s">
        <v>53249</v>
      </c>
      <c r="T2476" s="28">
        <v>1063513000</v>
      </c>
      <c r="U2476" s="28">
        <v>1879000</v>
      </c>
      <c r="V2476" s="28">
        <v>751576000</v>
      </c>
      <c r="W2476" s="28"/>
      <c r="X2476" s="28">
        <v>77979000</v>
      </c>
      <c r="Y2476" s="28">
        <v>3963813000</v>
      </c>
      <c r="Z2476" s="28">
        <v>2059038000</v>
      </c>
      <c r="AA2476" s="28"/>
      <c r="AB2476" s="28">
        <v>483114000</v>
      </c>
      <c r="AC2476" s="28">
        <v>1359590000</v>
      </c>
      <c r="AD2476" s="28">
        <v>2478991000</v>
      </c>
      <c r="AE2476" s="28">
        <v>13332579000</v>
      </c>
      <c r="AF2476" s="28">
        <v>665820000</v>
      </c>
      <c r="AG2476" s="11"/>
    </row>
    <row r="2477">
      <c r="A2477" s="7" t="s">
        <v>4169</v>
      </c>
      <c r="B2477" s="5" t="s">
        <v>12147</v>
      </c>
      <c r="C2477" s="5" t="s">
        <v>18357</v>
      </c>
      <c r="D2477" s="5" t="str">
        <v>382100549206</v>
      </c>
      <c r="E2477" s="0" t="e">
        <f>+7 (495) 7191763
+7 (495) 7355065
+7 (8352) 217061
+7 (395) 2790515
+7 (3952) 250023
+7 (3952) 790201
+7 (3952) 790309
+7 (3952) 795003
+7 (3952) 797115
+7 (39543) 52359
+7 (39543) 52899
+7 (39546) 48359</f>
        <v>#NAME?</v>
      </c>
      <c r="F2477" s="5" t="s">
        <v>32795</v>
      </c>
      <c r="G2477" s="5"/>
      <c r="H2477" s="26">
        <v>30.5</v>
      </c>
      <c r="I2477" s="5" t="s">
        <v>32796</v>
      </c>
      <c r="J2477" s="5" t="s">
        <v>26148</v>
      </c>
      <c r="K2477" s="5" t="s">
        <v>344</v>
      </c>
      <c r="L2477" s="5"/>
      <c r="M2477" s="27">
        <v>4271443</v>
      </c>
      <c r="N2477" s="5" t="s">
        <v>53250</v>
      </c>
      <c r="O2477" s="5" t="str">
        <v>3800000220</v>
      </c>
      <c r="P2477" s="27">
        <v>4766808000</v>
      </c>
      <c r="Q2477" s="5" t="s">
        <v>53251</v>
      </c>
      <c r="R2477" s="5"/>
      <c r="S2477" s="5" t="s">
        <v>49288</v>
      </c>
      <c r="T2477" s="28">
        <v>21175069000</v>
      </c>
      <c r="U2477" s="28">
        <v>129042841000</v>
      </c>
      <c r="V2477" s="28">
        <v>35681122000</v>
      </c>
      <c r="W2477" s="28">
        <v>63120293000</v>
      </c>
      <c r="X2477" s="28">
        <v>1762825000</v>
      </c>
      <c r="Y2477" s="28">
        <v>253124244000</v>
      </c>
      <c r="Z2477" s="28">
        <v>175893853000</v>
      </c>
      <c r="AA2477" s="28"/>
      <c r="AB2477" s="28">
        <v>51904967000</v>
      </c>
      <c r="AC2477" s="28">
        <v>53484865000</v>
      </c>
      <c r="AD2477" s="28">
        <v>196307460000</v>
      </c>
      <c r="AE2477" s="28">
        <v>15177907000</v>
      </c>
      <c r="AF2477" s="28">
        <v>10128504000</v>
      </c>
      <c r="AG2477" s="11"/>
    </row>
    <row r="2478">
      <c r="A2478" s="7" t="s">
        <v>4170</v>
      </c>
      <c r="B2478" s="5" t="s">
        <v>12148</v>
      </c>
      <c r="C2478" s="5" t="s">
        <v>19988</v>
      </c>
      <c r="D2478" s="5" t="str">
        <v>753604013930</v>
      </c>
      <c r="E2478" s="0" t="e">
        <f>+7 (385) 2353810
+7 (3952) 200200
+7 (3952) 202020
+7 (3952) 206511
+7 (3952) 214369
+7 (3952) 227577
+7 (3952) 235689
+7 (3952) 239112
+7 (3952) 240320
+7 (3952) 240321
+7 (3952) 242424
+7 (385) 2356253
+7 (3952) 209942
+7 (3952) 226172
+7 (3952) 253172</f>
        <v>#NAME?</v>
      </c>
      <c r="F2478" s="5" t="s">
        <v>32797</v>
      </c>
      <c r="G2478" s="5" t="s">
        <v>32798</v>
      </c>
      <c r="H2478" s="26">
        <v>16</v>
      </c>
      <c r="I2478" s="5" t="s">
        <v>32799</v>
      </c>
      <c r="J2478" s="5" t="s">
        <v>26623</v>
      </c>
      <c r="K2478" s="5" t="s">
        <v>355</v>
      </c>
      <c r="L2478" s="5" t="s">
        <v>32800</v>
      </c>
      <c r="M2478" s="27">
        <v>48629839</v>
      </c>
      <c r="N2478" s="5" t="s">
        <v>53252</v>
      </c>
      <c r="O2478" s="5" t="str">
        <v>3808166404</v>
      </c>
      <c r="P2478" s="27">
        <v>644000000</v>
      </c>
      <c r="Q2478" s="5" t="s">
        <v>53253</v>
      </c>
      <c r="R2478" s="5"/>
      <c r="S2478" s="5" t="s">
        <v>51430</v>
      </c>
      <c r="T2478" s="28">
        <v>808660000</v>
      </c>
      <c r="U2478" s="28">
        <v>6300000</v>
      </c>
      <c r="V2478" s="28">
        <v>4616028000</v>
      </c>
      <c r="W2478" s="28"/>
      <c r="X2478" s="28">
        <v>1092566000</v>
      </c>
      <c r="Y2478" s="28">
        <v>6953007000</v>
      </c>
      <c r="Z2478" s="28">
        <v>183130000</v>
      </c>
      <c r="AA2478" s="28"/>
      <c r="AB2478" s="28"/>
      <c r="AC2478" s="28">
        <v>4315504000</v>
      </c>
      <c r="AD2478" s="28">
        <v>2354940000</v>
      </c>
      <c r="AE2478" s="28">
        <v>49573704000</v>
      </c>
      <c r="AF2478" s="28">
        <v>-286898000</v>
      </c>
      <c r="AG2478" s="11"/>
    </row>
    <row r="2479">
      <c r="A2479" s="7" t="s">
        <v>4171</v>
      </c>
      <c r="B2479" s="5" t="s">
        <v>12149</v>
      </c>
      <c r="C2479" s="5" t="s">
        <v>19989</v>
      </c>
      <c r="D2479" s="5" t="str">
        <v>543407889028</v>
      </c>
      <c r="E2479" s="0" t="e">
        <f>+7 (38359) 21681
+7 (38359) 21863
+7 (38359) 23680
+7 (38359) 23709
+7 (38359) 34146
+7 (38359) 34175
+7 (38359) 34346
+7 (38359) 34355
+7 (38359) 34381
+7 (38359) 34391
+7 (38359) 34393
+7 (38359) 34396
+7 (38359) 34405
+7 (38359) 34464
+7 (38359) 34651</f>
        <v>#NAME?</v>
      </c>
      <c r="F2479" s="5" t="s">
        <v>32801</v>
      </c>
      <c r="G2479" s="5" t="s">
        <v>32802</v>
      </c>
      <c r="H2479" s="26">
        <v>29.5</v>
      </c>
      <c r="I2479" s="5"/>
      <c r="J2479" s="5" t="s">
        <v>25901</v>
      </c>
      <c r="K2479" s="5" t="s">
        <v>344</v>
      </c>
      <c r="L2479" s="5" t="s">
        <v>32803</v>
      </c>
      <c r="M2479" s="27">
        <v>6622714</v>
      </c>
      <c r="N2479" s="5" t="s">
        <v>53254</v>
      </c>
      <c r="O2479" s="5" t="str">
        <v>5434101191</v>
      </c>
      <c r="P2479" s="27">
        <v>1022000</v>
      </c>
      <c r="Q2479" s="5" t="s">
        <v>49324</v>
      </c>
      <c r="R2479" s="5"/>
      <c r="S2479" s="5" t="s">
        <v>53255</v>
      </c>
      <c r="T2479" s="28">
        <v>3624961000</v>
      </c>
      <c r="U2479" s="28"/>
      <c r="V2479" s="28">
        <v>123542000</v>
      </c>
      <c r="W2479" s="28">
        <v>38871000</v>
      </c>
      <c r="X2479" s="28">
        <v>119764000</v>
      </c>
      <c r="Y2479" s="28">
        <v>6393750000</v>
      </c>
      <c r="Z2479" s="28">
        <v>5741399000</v>
      </c>
      <c r="AA2479" s="28">
        <v>58312000</v>
      </c>
      <c r="AB2479" s="28">
        <v>140239000</v>
      </c>
      <c r="AC2479" s="28">
        <v>451154000</v>
      </c>
      <c r="AD2479" s="28">
        <v>5803330000</v>
      </c>
      <c r="AE2479" s="28">
        <v>3738910000</v>
      </c>
      <c r="AF2479" s="28">
        <v>659725000</v>
      </c>
      <c r="AG2479" s="11"/>
    </row>
    <row r="2480">
      <c r="A2480" s="7" t="s">
        <v>4172</v>
      </c>
      <c r="B2480" s="5" t="s">
        <v>12150</v>
      </c>
      <c r="C2480" s="5" t="s">
        <v>19990</v>
      </c>
      <c r="D2480" s="5" t="str">
        <v>250803690408</v>
      </c>
      <c r="E2480" s="0" t="e">
        <f>+7 (42366) 21120
+7 (42366) 29623
+7 (42366) 31789
+7 (42366) 31806
+7 (42366) 62961</f>
        <v>#NAME?</v>
      </c>
      <c r="F2480" s="5" t="s">
        <v>32804</v>
      </c>
      <c r="G2480" s="5"/>
      <c r="H2480" s="26">
        <v>24</v>
      </c>
      <c r="I2480" s="5" t="s">
        <v>32805</v>
      </c>
      <c r="J2480" s="5" t="s">
        <v>30218</v>
      </c>
      <c r="K2480" s="5" t="s">
        <v>344</v>
      </c>
      <c r="L2480" s="5" t="s">
        <v>32806</v>
      </c>
      <c r="M2480" s="27"/>
      <c r="N2480" s="5" t="s">
        <v>53256</v>
      </c>
      <c r="O2480" s="5" t="str">
        <v>2508010370</v>
      </c>
      <c r="P2480" s="27">
        <v>1010000</v>
      </c>
      <c r="Q2480" s="5" t="s">
        <v>49009</v>
      </c>
      <c r="R2480" s="5"/>
      <c r="S2480" s="5" t="s">
        <v>49010</v>
      </c>
      <c r="T2480" s="28">
        <v>101585000</v>
      </c>
      <c r="U2480" s="28"/>
      <c r="V2480" s="28">
        <v>205118000</v>
      </c>
      <c r="W2480" s="28">
        <v>4000000</v>
      </c>
      <c r="X2480" s="28">
        <v>8534000</v>
      </c>
      <c r="Y2480" s="28">
        <v>1887981000</v>
      </c>
      <c r="Z2480" s="28">
        <v>1176283000</v>
      </c>
      <c r="AA2480" s="28">
        <v>231500000</v>
      </c>
      <c r="AB2480" s="28">
        <v>126648000</v>
      </c>
      <c r="AC2480" s="28">
        <v>479188000</v>
      </c>
      <c r="AD2480" s="28">
        <v>1177293000</v>
      </c>
      <c r="AE2480" s="28">
        <v>9842846000</v>
      </c>
      <c r="AF2480" s="28">
        <v>339136000</v>
      </c>
      <c r="AG2480" s="11"/>
    </row>
    <row r="2481">
      <c r="A2481" s="7" t="s">
        <v>4173</v>
      </c>
      <c r="B2481" s="5" t="s">
        <v>12151</v>
      </c>
      <c r="C2481" s="5" t="s">
        <v>19991</v>
      </c>
      <c r="D2481" s="5"/>
      <c r="E2481" s="0" t="e">
        <f>+7 (924) 5551253
+7 (30132) 54642
+7 (30132) 54692</f>
        <v>#NAME?</v>
      </c>
      <c r="F2481" s="5" t="s">
        <v>32807</v>
      </c>
      <c r="G2481" s="5"/>
      <c r="H2481" s="26">
        <v>4</v>
      </c>
      <c r="I2481" s="5" t="s">
        <v>32808</v>
      </c>
      <c r="J2481" s="5" t="s">
        <v>26499</v>
      </c>
      <c r="K2481" s="5" t="s">
        <v>344</v>
      </c>
      <c r="L2481" s="5" t="s">
        <v>32809</v>
      </c>
      <c r="M2481" s="27">
        <v>597516</v>
      </c>
      <c r="N2481" s="5" t="s">
        <v>53257</v>
      </c>
      <c r="O2481" s="5" t="str">
        <v>0326567162</v>
      </c>
      <c r="P2481" s="27">
        <v>1141724354</v>
      </c>
      <c r="Q2481" s="5" t="s">
        <v>49021</v>
      </c>
      <c r="R2481" s="5"/>
      <c r="S2481" s="5" t="s">
        <v>52514</v>
      </c>
      <c r="T2481" s="28">
        <v>2518194000</v>
      </c>
      <c r="U2481" s="28"/>
      <c r="V2481" s="28">
        <v>334704000</v>
      </c>
      <c r="W2481" s="28">
        <v>429337000</v>
      </c>
      <c r="X2481" s="28">
        <v>278765000</v>
      </c>
      <c r="Y2481" s="28">
        <v>5331454000</v>
      </c>
      <c r="Z2481" s="28">
        <v>2996915000</v>
      </c>
      <c r="AA2481" s="28"/>
      <c r="AB2481" s="28"/>
      <c r="AC2481" s="28">
        <v>615229000</v>
      </c>
      <c r="AD2481" s="28">
        <v>4379081000</v>
      </c>
      <c r="AE2481" s="28">
        <v>4168082000</v>
      </c>
      <c r="AF2481" s="28">
        <v>146540000</v>
      </c>
      <c r="AG2481" s="11"/>
    </row>
    <row r="2482">
      <c r="A2482" s="7" t="s">
        <v>4174</v>
      </c>
      <c r="B2482" s="5" t="s">
        <v>12152</v>
      </c>
      <c r="C2482" s="5" t="s">
        <v>19992</v>
      </c>
      <c r="D2482" s="5" t="str">
        <v>770400263488</v>
      </c>
      <c r="E2482" s="0" t="e">
        <f>+7 (495) 7029573
+7 (903) 9744466
+7 (4962) 557446
+7 (4962) 557459
+7 (49656) 52676</f>
        <v>#NAME?</v>
      </c>
      <c r="F2482" s="5" t="s">
        <v>32810</v>
      </c>
      <c r="G2482" s="5" t="s">
        <v>32811</v>
      </c>
      <c r="H2482" s="26">
        <v>31</v>
      </c>
      <c r="I2482" s="5" t="s">
        <v>32812</v>
      </c>
      <c r="J2482" s="5" t="s">
        <v>755</v>
      </c>
      <c r="K2482" s="5" t="s">
        <v>344</v>
      </c>
      <c r="L2482" s="5" t="s">
        <v>32813</v>
      </c>
      <c r="M2482" s="27"/>
      <c r="N2482" s="5" t="s">
        <v>53258</v>
      </c>
      <c r="O2482" s="5" t="str">
        <v>5052002745</v>
      </c>
      <c r="P2482" s="27">
        <v>350052666</v>
      </c>
      <c r="Q2482" s="5" t="s">
        <v>53259</v>
      </c>
      <c r="R2482" s="5"/>
      <c r="S2482" s="5" t="s">
        <v>53260</v>
      </c>
      <c r="T2482" s="28">
        <v>3073120000</v>
      </c>
      <c r="U2482" s="28">
        <v>137826000</v>
      </c>
      <c r="V2482" s="28">
        <v>1392557000</v>
      </c>
      <c r="W2482" s="28">
        <v>500000000</v>
      </c>
      <c r="X2482" s="28">
        <v>4663957000</v>
      </c>
      <c r="Y2482" s="28">
        <v>13839648000</v>
      </c>
      <c r="Z2482" s="28">
        <v>10501556000</v>
      </c>
      <c r="AA2482" s="28"/>
      <c r="AB2482" s="28"/>
      <c r="AC2482" s="28">
        <v>927639000</v>
      </c>
      <c r="AD2482" s="28">
        <v>12527985000</v>
      </c>
      <c r="AE2482" s="28">
        <v>16919066000</v>
      </c>
      <c r="AF2482" s="28">
        <v>-5547942000</v>
      </c>
      <c r="AG2482" s="11"/>
    </row>
    <row r="2483">
      <c r="A2483" s="7" t="s">
        <v>4175</v>
      </c>
      <c r="B2483" s="5" t="s">
        <v>12153</v>
      </c>
      <c r="C2483" s="5" t="s">
        <v>19993</v>
      </c>
      <c r="D2483" s="5" t="str">
        <v>110602989292</v>
      </c>
      <c r="E2483" s="0" t="e">
        <f>+7 (499) 3720707
+7 (3422) 578811
+7 (34667) 48090
+7 (492) 2326414
+7 (499) 3720077</f>
        <v>#NAME?</v>
      </c>
      <c r="F2483" s="5" t="s">
        <v>32814</v>
      </c>
      <c r="G2483" s="5" t="s">
        <v>32815</v>
      </c>
      <c r="H2483" s="26">
        <v>11</v>
      </c>
      <c r="I2483" s="5" t="s">
        <v>32816</v>
      </c>
      <c r="J2483" s="5" t="s">
        <v>27921</v>
      </c>
      <c r="K2483" s="5" t="s">
        <v>344</v>
      </c>
      <c r="L2483" s="5"/>
      <c r="M2483" s="27"/>
      <c r="N2483" s="5" t="s">
        <v>53261</v>
      </c>
      <c r="O2483" s="5" t="str">
        <v>7728803870</v>
      </c>
      <c r="P2483" s="27">
        <v>1000000</v>
      </c>
      <c r="Q2483" s="5" t="s">
        <v>53263</v>
      </c>
      <c r="R2483" s="5"/>
      <c r="S2483" s="5" t="s">
        <v>53264</v>
      </c>
      <c r="T2483" s="28">
        <v>1467505000</v>
      </c>
      <c r="U2483" s="28"/>
      <c r="V2483" s="28">
        <v>4556894000</v>
      </c>
      <c r="W2483" s="28">
        <v>576083000</v>
      </c>
      <c r="X2483" s="28">
        <v>122365000</v>
      </c>
      <c r="Y2483" s="28">
        <v>10525636000</v>
      </c>
      <c r="Z2483" s="28">
        <v>3641682000</v>
      </c>
      <c r="AA2483" s="28">
        <v>500000000</v>
      </c>
      <c r="AB2483" s="28">
        <v>1149356000</v>
      </c>
      <c r="AC2483" s="28">
        <v>6261879000</v>
      </c>
      <c r="AD2483" s="28">
        <v>3642682000</v>
      </c>
      <c r="AE2483" s="28">
        <v>16439410000</v>
      </c>
      <c r="AF2483" s="28">
        <v>1116959000</v>
      </c>
      <c r="AG2483" s="11"/>
    </row>
    <row r="2484">
      <c r="A2484" s="7" t="s">
        <v>4176</v>
      </c>
      <c r="B2484" s="5" t="s">
        <v>12154</v>
      </c>
      <c r="C2484" s="5" t="s">
        <v>19994</v>
      </c>
      <c r="D2484" s="5" t="str">
        <v>544614970871</v>
      </c>
      <c r="E2484" s="0" t="e">
        <f>+7 (38343) 47159</f>
        <v>#NAME?</v>
      </c>
      <c r="F2484" s="5" t="s">
        <v>32817</v>
      </c>
      <c r="G2484" s="5" t="s">
        <v>32818</v>
      </c>
      <c r="H2484" s="26">
        <v>10</v>
      </c>
      <c r="I2484" s="5" t="s">
        <v>32819</v>
      </c>
      <c r="J2484" s="5" t="s">
        <v>25312</v>
      </c>
      <c r="K2484" s="5" t="s">
        <v>344</v>
      </c>
      <c r="L2484" s="5" t="s">
        <v>32820</v>
      </c>
      <c r="M2484" s="27"/>
      <c r="N2484" s="5" t="s">
        <v>53265</v>
      </c>
      <c r="O2484" s="5" t="str">
        <v>5446015081</v>
      </c>
      <c r="P2484" s="27">
        <v>10000</v>
      </c>
      <c r="Q2484" s="5" t="s">
        <v>53266</v>
      </c>
      <c r="R2484" s="5"/>
      <c r="S2484" s="5" t="s">
        <v>49012</v>
      </c>
      <c r="T2484" s="28">
        <v>6064000</v>
      </c>
      <c r="U2484" s="28"/>
      <c r="V2484" s="28">
        <v>335273000</v>
      </c>
      <c r="W2484" s="28">
        <v>35000000</v>
      </c>
      <c r="X2484" s="28">
        <v>252340000</v>
      </c>
      <c r="Y2484" s="28">
        <v>1100161000</v>
      </c>
      <c r="Z2484" s="28">
        <v>891909000</v>
      </c>
      <c r="AA2484" s="28"/>
      <c r="AB2484" s="28"/>
      <c r="AC2484" s="28">
        <v>199233000</v>
      </c>
      <c r="AD2484" s="28">
        <v>893919000</v>
      </c>
      <c r="AE2484" s="28">
        <v>3038126000</v>
      </c>
      <c r="AF2484" s="28">
        <v>350508000</v>
      </c>
      <c r="AG2484" s="11"/>
    </row>
    <row r="2485">
      <c r="A2485" s="7" t="s">
        <v>4177</v>
      </c>
      <c r="B2485" s="5" t="s">
        <v>12155</v>
      </c>
      <c r="C2485" s="5" t="s">
        <v>18146</v>
      </c>
      <c r="D2485" s="5"/>
      <c r="E2485" s="0" t="e">
        <f>+7 (383) 3631403
+7 (383) 3631406
+7 (383) 3631408
+7 (383) 3631671
+7 (383) 3631675
+7 (38343) 22224
+7 (38343) 23412
+7 (38343) 23500
+7 (38343) 23502
+7 (38343) 23503
+7 (38343) 23858
+7 (38343) 23899
+7 (38343) 23925
+7 (38343) 24395
+7 (38343) 24953</f>
        <v>#NAME?</v>
      </c>
      <c r="F2485" s="5" t="s">
        <v>32821</v>
      </c>
      <c r="G2485" s="5" t="s">
        <v>32822</v>
      </c>
      <c r="H2485" s="26">
        <v>28.5</v>
      </c>
      <c r="I2485" s="5"/>
      <c r="J2485" s="5" t="s">
        <v>26407</v>
      </c>
      <c r="K2485" s="5" t="s">
        <v>344</v>
      </c>
      <c r="L2485" s="5" t="s">
        <v>32823</v>
      </c>
      <c r="M2485" s="27"/>
      <c r="N2485" s="5" t="s">
        <v>53267</v>
      </c>
      <c r="O2485" s="5" t="str">
        <v>5446102070</v>
      </c>
      <c r="P2485" s="27">
        <v>95300</v>
      </c>
      <c r="Q2485" s="5"/>
      <c r="R2485" s="5"/>
      <c r="S2485" s="5" t="s">
        <v>49053</v>
      </c>
      <c r="T2485" s="28">
        <v>3248154000</v>
      </c>
      <c r="U2485" s="28">
        <v>3783969000</v>
      </c>
      <c r="V2485" s="28">
        <v>421566000</v>
      </c>
      <c r="W2485" s="28"/>
      <c r="X2485" s="28">
        <v>1327519000</v>
      </c>
      <c r="Y2485" s="28">
        <v>10215226000</v>
      </c>
      <c r="Z2485" s="28">
        <v>6052917000</v>
      </c>
      <c r="AA2485" s="28">
        <v>1911007000</v>
      </c>
      <c r="AB2485" s="28">
        <v>1533500000</v>
      </c>
      <c r="AC2485" s="28">
        <v>2050589000</v>
      </c>
      <c r="AD2485" s="28">
        <v>6052660000</v>
      </c>
      <c r="AE2485" s="28">
        <v>6714778000</v>
      </c>
      <c r="AF2485" s="28">
        <v>1502149000</v>
      </c>
      <c r="AG2485" s="11"/>
    </row>
    <row r="2486">
      <c r="A2486" s="7" t="s">
        <v>4178</v>
      </c>
      <c r="B2486" s="5" t="s">
        <v>12156</v>
      </c>
      <c r="C2486" s="5" t="s">
        <v>19995</v>
      </c>
      <c r="D2486" s="5" t="str">
        <v>434536052209</v>
      </c>
      <c r="E2486" s="0" t="e">
        <f>+7 (345) 2275946
+7 (381) 2990991
+7 (8332) 246060
+7 (8332) 246080
+7 (833) 2236333
+7 (833) 2239323
+7 (833) 2239324
+7 (8332) 230474
+7 (8332) 232683
+7 (8332) 239226
+7 (8332) 239311
+7 (8332) 246010
+7 (8332) 246012
+7 (8332) 246064
+7 (8332) 246102</f>
        <v>#NAME?</v>
      </c>
      <c r="F2486" s="5" t="s">
        <v>32824</v>
      </c>
      <c r="G2486" s="5" t="s">
        <v>32825</v>
      </c>
      <c r="H2486" s="26">
        <v>30</v>
      </c>
      <c r="I2486" s="5" t="s">
        <v>32826</v>
      </c>
      <c r="J2486" s="5" t="s">
        <v>32827</v>
      </c>
      <c r="K2486" s="5" t="s">
        <v>344</v>
      </c>
      <c r="L2486" s="5" t="s">
        <v>32828</v>
      </c>
      <c r="M2486" s="27"/>
      <c r="N2486" s="5" t="s">
        <v>53268</v>
      </c>
      <c r="O2486" s="5" t="str">
        <v>4348003456</v>
      </c>
      <c r="P2486" s="27">
        <v>58862000</v>
      </c>
      <c r="Q2486" s="5"/>
      <c r="R2486" s="5"/>
      <c r="S2486" s="5" t="s">
        <v>53269</v>
      </c>
      <c r="T2486" s="28">
        <v>843744000</v>
      </c>
      <c r="U2486" s="28">
        <v>538000</v>
      </c>
      <c r="V2486" s="28">
        <v>489342000</v>
      </c>
      <c r="W2486" s="28">
        <v>163201000</v>
      </c>
      <c r="X2486" s="28">
        <v>70594000</v>
      </c>
      <c r="Y2486" s="28">
        <v>2603162000</v>
      </c>
      <c r="Z2486" s="28">
        <v>2103120000</v>
      </c>
      <c r="AA2486" s="28">
        <v>88581000</v>
      </c>
      <c r="AB2486" s="28">
        <v>21449000</v>
      </c>
      <c r="AC2486" s="28">
        <v>255790000</v>
      </c>
      <c r="AD2486" s="28">
        <v>2199288000</v>
      </c>
      <c r="AE2486" s="28">
        <v>3802909000</v>
      </c>
      <c r="AF2486" s="28">
        <v>287121000</v>
      </c>
      <c r="AG2486" s="11"/>
    </row>
    <row r="2487">
      <c r="A2487" s="7" t="s">
        <v>4179</v>
      </c>
      <c r="B2487" s="5" t="s">
        <v>12157</v>
      </c>
      <c r="C2487" s="5" t="s">
        <v>19996</v>
      </c>
      <c r="D2487" s="5" t="str">
        <v>246506535683</v>
      </c>
      <c r="E2487" s="0" t="e">
        <f>+7 (950) 4014984
+7 (39156) 21172
+7 (39156) 21438
+7 (39156) 21783
+7 (39156) 22092
+7 (39156) 22549
+7 (39156) 22810
+7 (39156) 22872</f>
        <v>#NAME?</v>
      </c>
      <c r="F2487" s="5" t="s">
        <v>32829</v>
      </c>
      <c r="G2487" s="5" t="s">
        <v>32830</v>
      </c>
      <c r="H2487" s="26">
        <v>31</v>
      </c>
      <c r="I2487" s="5"/>
      <c r="J2487" s="5" t="s">
        <v>725</v>
      </c>
      <c r="K2487" s="5" t="s">
        <v>344</v>
      </c>
      <c r="L2487" s="5" t="s">
        <v>32831</v>
      </c>
      <c r="M2487" s="27"/>
      <c r="N2487" s="5" t="s">
        <v>53270</v>
      </c>
      <c r="O2487" s="5" t="str">
        <v>2439001597</v>
      </c>
      <c r="P2487" s="27">
        <v>2549000</v>
      </c>
      <c r="Q2487" s="5"/>
      <c r="R2487" s="5"/>
      <c r="S2487" s="5" t="s">
        <v>49499</v>
      </c>
      <c r="T2487" s="28">
        <v>2372386000</v>
      </c>
      <c r="U2487" s="28"/>
      <c r="V2487" s="28">
        <v>1083540000</v>
      </c>
      <c r="W2487" s="28"/>
      <c r="X2487" s="28">
        <v>714226000</v>
      </c>
      <c r="Y2487" s="28">
        <v>8235742000</v>
      </c>
      <c r="Z2487" s="28">
        <v>7556558000</v>
      </c>
      <c r="AA2487" s="28">
        <v>240311000</v>
      </c>
      <c r="AB2487" s="28"/>
      <c r="AC2487" s="28">
        <v>364346000</v>
      </c>
      <c r="AD2487" s="28">
        <v>7631085000</v>
      </c>
      <c r="AE2487" s="28">
        <v>5278363000</v>
      </c>
      <c r="AF2487" s="28">
        <v>1184172000</v>
      </c>
      <c r="AG2487" s="11"/>
    </row>
    <row r="2488">
      <c r="A2488" s="7" t="s">
        <v>4180</v>
      </c>
      <c r="B2488" s="5" t="s">
        <v>12158</v>
      </c>
      <c r="C2488" s="5" t="s">
        <v>19997</v>
      </c>
      <c r="D2488" s="5" t="str">
        <v>525616920000</v>
      </c>
      <c r="E2488" s="0" t="e">
        <f>+7 (342) 2726754
+7 (342) 2824398
+7 (342) 4848454
+7 (3422) 626904
+7 (3422) 626909
+7 (3422) 626910
+7 (3422) 626912
+7 (3422) 626913
+7 (3422) 626932
+7 (3422) 626934
+7 (3422) 626938
+7 (3422) 626951
+7 (3422) 626954
+7 (3422) 626962
+7 (3422) 626963</f>
        <v>#NAME?</v>
      </c>
      <c r="F2488" s="5" t="s">
        <v>32832</v>
      </c>
      <c r="G2488" s="5" t="s">
        <v>32833</v>
      </c>
      <c r="H2488" s="26">
        <v>26.5</v>
      </c>
      <c r="I2488" s="5" t="s">
        <v>32834</v>
      </c>
      <c r="J2488" s="5" t="s">
        <v>30302</v>
      </c>
      <c r="K2488" s="5" t="s">
        <v>344</v>
      </c>
      <c r="L2488" s="5"/>
      <c r="M2488" s="27">
        <v>1062767037</v>
      </c>
      <c r="N2488" s="5" t="s">
        <v>53272</v>
      </c>
      <c r="O2488" s="5" t="str">
        <v>5907001774</v>
      </c>
      <c r="P2488" s="27">
        <v>8257413</v>
      </c>
      <c r="Q2488" s="5" t="s">
        <v>53273</v>
      </c>
      <c r="R2488" s="5"/>
      <c r="S2488" s="5" t="s">
        <v>53274</v>
      </c>
      <c r="T2488" s="28">
        <v>1778406000</v>
      </c>
      <c r="U2488" s="28">
        <v>2693000</v>
      </c>
      <c r="V2488" s="28">
        <v>4036047000</v>
      </c>
      <c r="W2488" s="28"/>
      <c r="X2488" s="28">
        <v>1142474000</v>
      </c>
      <c r="Y2488" s="28">
        <v>15705344000</v>
      </c>
      <c r="Z2488" s="28">
        <v>-6897351000</v>
      </c>
      <c r="AA2488" s="28"/>
      <c r="AB2488" s="28">
        <v>11819736000</v>
      </c>
      <c r="AC2488" s="28">
        <v>21830336000</v>
      </c>
      <c r="AD2488" s="28">
        <v>-6889031000</v>
      </c>
      <c r="AE2488" s="28">
        <v>5533205000</v>
      </c>
      <c r="AF2488" s="28">
        <v>-2755756000</v>
      </c>
      <c r="AG2488" s="11"/>
    </row>
    <row r="2489">
      <c r="A2489" s="7" t="s">
        <v>4181</v>
      </c>
      <c r="B2489" s="5" t="s">
        <v>11750</v>
      </c>
      <c r="C2489" s="5" t="s">
        <v>19600</v>
      </c>
      <c r="D2489" s="5" t="str">
        <v>501717938100</v>
      </c>
      <c r="E2489" s="0" t="e">
        <f>+7 (495) 5804876
+7 (495) 9378160
+7 (495) 5804877</f>
        <v>#NAME?</v>
      </c>
      <c r="F2489" s="5" t="s">
        <v>32835</v>
      </c>
      <c r="G2489" s="5"/>
      <c r="H2489" s="26">
        <v>19.5</v>
      </c>
      <c r="I2489" s="5" t="s">
        <v>32836</v>
      </c>
      <c r="J2489" s="5" t="s">
        <v>28075</v>
      </c>
      <c r="K2489" s="5" t="s">
        <v>344</v>
      </c>
      <c r="L2489" s="5" t="s">
        <v>32837</v>
      </c>
      <c r="M2489" s="27"/>
      <c r="N2489" s="5"/>
      <c r="O2489" s="5" t="str">
        <v>5045030607</v>
      </c>
      <c r="P2489" s="27">
        <v>500000000</v>
      </c>
      <c r="Q2489" s="5"/>
      <c r="R2489" s="5"/>
      <c r="S2489" s="5" t="s">
        <v>49123</v>
      </c>
      <c r="T2489" s="28">
        <v>620861000</v>
      </c>
      <c r="U2489" s="28">
        <v>153000</v>
      </c>
      <c r="V2489" s="28">
        <v>265660000</v>
      </c>
      <c r="W2489" s="28">
        <v>38030000</v>
      </c>
      <c r="X2489" s="28">
        <v>142888000</v>
      </c>
      <c r="Y2489" s="28">
        <v>1675796000</v>
      </c>
      <c r="Z2489" s="28">
        <v>289923000</v>
      </c>
      <c r="AA2489" s="28">
        <v>314404000</v>
      </c>
      <c r="AB2489" s="28">
        <v>130000000</v>
      </c>
      <c r="AC2489" s="28">
        <v>486102000</v>
      </c>
      <c r="AD2489" s="28">
        <v>798013000</v>
      </c>
      <c r="AE2489" s="28">
        <v>4584193000</v>
      </c>
      <c r="AF2489" s="28">
        <v>796428000</v>
      </c>
      <c r="AG2489" s="11"/>
    </row>
    <row r="2490">
      <c r="A2490" s="7" t="s">
        <v>4182</v>
      </c>
      <c r="B2490" s="5" t="s">
        <v>12159</v>
      </c>
      <c r="C2490" s="5" t="s">
        <v>19998</v>
      </c>
      <c r="D2490" s="5"/>
      <c r="E2490" s="0" t="e">
        <f>+7 (495) 2690281
+7 (495) 2690401
+7 (916) 6548860</f>
        <v>#NAME?</v>
      </c>
      <c r="F2490" s="5" t="s">
        <v>32838</v>
      </c>
      <c r="G2490" s="5" t="s">
        <v>32839</v>
      </c>
      <c r="H2490" s="26">
        <v>6.5</v>
      </c>
      <c r="I2490" s="5" t="s">
        <v>32840</v>
      </c>
      <c r="J2490" s="5" t="s">
        <v>26367</v>
      </c>
      <c r="K2490" s="5" t="s">
        <v>344</v>
      </c>
      <c r="L2490" s="5" t="s">
        <v>32841</v>
      </c>
      <c r="M2490" s="27"/>
      <c r="N2490" s="5"/>
      <c r="O2490" s="5" t="str">
        <v>9729014400</v>
      </c>
      <c r="P2490" s="27">
        <v>10000000</v>
      </c>
      <c r="Q2490" s="5" t="s">
        <v>49319</v>
      </c>
      <c r="R2490" s="5"/>
      <c r="S2490" s="5" t="s">
        <v>49774</v>
      </c>
      <c r="T2490" s="28">
        <v>46707000</v>
      </c>
      <c r="U2490" s="28"/>
      <c r="V2490" s="28">
        <v>1157002000</v>
      </c>
      <c r="W2490" s="28"/>
      <c r="X2490" s="28">
        <v>5913000</v>
      </c>
      <c r="Y2490" s="28">
        <v>1958765000</v>
      </c>
      <c r="Z2490" s="28">
        <v>286227000</v>
      </c>
      <c r="AA2490" s="28"/>
      <c r="AB2490" s="28">
        <v>1129426000</v>
      </c>
      <c r="AC2490" s="28">
        <v>1643740000</v>
      </c>
      <c r="AD2490" s="28">
        <v>296227000</v>
      </c>
      <c r="AE2490" s="28">
        <v>5051198000</v>
      </c>
      <c r="AF2490" s="28">
        <v>286227000</v>
      </c>
      <c r="AG2490" s="11"/>
    </row>
    <row r="2491">
      <c r="A2491" s="7" t="s">
        <v>4183</v>
      </c>
      <c r="B2491" s="5" t="s">
        <v>12160</v>
      </c>
      <c r="C2491" s="5" t="s">
        <v>19999</v>
      </c>
      <c r="D2491" s="5" t="str">
        <v>524925239534</v>
      </c>
      <c r="E2491" s="0" t="e">
        <f>+7 (914) 5130101
+7 (3022) 210210
+7 (3022) 212828
+7 (924) 5738181</f>
        <v>#NAME?</v>
      </c>
      <c r="F2491" s="5" t="s">
        <v>32842</v>
      </c>
      <c r="G2491" s="5"/>
      <c r="H2491" s="26">
        <v>2.5</v>
      </c>
      <c r="I2491" s="5" t="s">
        <v>32843</v>
      </c>
      <c r="J2491" s="5" t="s">
        <v>364</v>
      </c>
      <c r="K2491" s="5" t="s">
        <v>355</v>
      </c>
      <c r="L2491" s="5"/>
      <c r="M2491" s="27">
        <v>65764364</v>
      </c>
      <c r="N2491" s="5"/>
      <c r="O2491" s="5" t="str">
        <v>7536183415</v>
      </c>
      <c r="P2491" s="27">
        <v>10000</v>
      </c>
      <c r="Q2491" s="5" t="s">
        <v>49688</v>
      </c>
      <c r="R2491" s="5"/>
      <c r="S2491" s="5" t="s">
        <v>53276</v>
      </c>
      <c r="T2491" s="28">
        <v>11306418000</v>
      </c>
      <c r="U2491" s="28"/>
      <c r="V2491" s="28">
        <v>1406880000</v>
      </c>
      <c r="W2491" s="28"/>
      <c r="X2491" s="28">
        <v>109387000</v>
      </c>
      <c r="Y2491" s="28">
        <v>19568160000</v>
      </c>
      <c r="Z2491" s="28">
        <v>663277000</v>
      </c>
      <c r="AA2491" s="28"/>
      <c r="AB2491" s="28"/>
      <c r="AC2491" s="28">
        <v>15192596000</v>
      </c>
      <c r="AD2491" s="28">
        <v>663287000</v>
      </c>
      <c r="AE2491" s="28">
        <v>18932350000</v>
      </c>
      <c r="AF2491" s="28">
        <v>598313000</v>
      </c>
      <c r="AG2491" s="11"/>
    </row>
    <row r="2492">
      <c r="A2492" s="7" t="s">
        <v>4184</v>
      </c>
      <c r="B2492" s="5" t="s">
        <v>12161</v>
      </c>
      <c r="C2492" s="5" t="s">
        <v>20000</v>
      </c>
      <c r="D2492" s="5" t="str">
        <v>380203318084</v>
      </c>
      <c r="F2492" s="5"/>
      <c r="G2492" s="5"/>
      <c r="H2492" s="26">
        <v>5</v>
      </c>
      <c r="I2492" s="5" t="s">
        <v>32844</v>
      </c>
      <c r="J2492" s="5" t="s">
        <v>25484</v>
      </c>
      <c r="K2492" s="5" t="s">
        <v>355</v>
      </c>
      <c r="L2492" s="5"/>
      <c r="M2492" s="27"/>
      <c r="N2492" s="5" t="s">
        <v>53277</v>
      </c>
      <c r="O2492" s="5" t="str">
        <v>3849067219</v>
      </c>
      <c r="P2492" s="27">
        <v>10000</v>
      </c>
      <c r="Q2492" s="5" t="s">
        <v>49057</v>
      </c>
      <c r="R2492" s="5"/>
      <c r="S2492" s="5" t="s">
        <v>53278</v>
      </c>
      <c r="T2492" s="28">
        <v>111700000</v>
      </c>
      <c r="U2492" s="28">
        <v>50400000</v>
      </c>
      <c r="V2492" s="28">
        <v>155791000</v>
      </c>
      <c r="W2492" s="28">
        <v>166650000</v>
      </c>
      <c r="X2492" s="28">
        <v>1206000</v>
      </c>
      <c r="Y2492" s="28">
        <v>534671000</v>
      </c>
      <c r="Z2492" s="28">
        <v>109586000</v>
      </c>
      <c r="AA2492" s="28"/>
      <c r="AB2492" s="28">
        <v>151073000</v>
      </c>
      <c r="AC2492" s="28">
        <v>422001000</v>
      </c>
      <c r="AD2492" s="28">
        <v>109596000</v>
      </c>
      <c r="AE2492" s="28">
        <v>5034719000</v>
      </c>
      <c r="AF2492" s="28">
        <v>117877000</v>
      </c>
      <c r="AG2492" s="11"/>
    </row>
    <row r="2493">
      <c r="A2493" s="7" t="s">
        <v>4185</v>
      </c>
      <c r="B2493" s="5" t="s">
        <v>12162</v>
      </c>
      <c r="C2493" s="5" t="s">
        <v>20001</v>
      </c>
      <c r="D2493" s="5"/>
      <c r="E2493" s="0" t="e">
        <f>+7 (395) 2255472
+7 (395) 2255473
+7 (395) 2255742
+7 (395) 2255743
+7 (39561) 52369
+7 (411) 2252129
+7 (914) 2432985
+7 (924) 2733679
+7 (924) 4570575</f>
        <v>#NAME?</v>
      </c>
      <c r="F2493" s="5" t="s">
        <v>32845</v>
      </c>
      <c r="G2493" s="5"/>
      <c r="H2493" s="26">
        <v>16</v>
      </c>
      <c r="I2493" s="5" t="s">
        <v>32846</v>
      </c>
      <c r="J2493" s="5" t="s">
        <v>373</v>
      </c>
      <c r="K2493" s="5" t="s">
        <v>344</v>
      </c>
      <c r="L2493" s="5" t="s">
        <v>32847</v>
      </c>
      <c r="M2493" s="27">
        <v>15759000</v>
      </c>
      <c r="N2493" s="5" t="s">
        <v>53279</v>
      </c>
      <c r="O2493" s="5" t="str">
        <v>3802011429</v>
      </c>
      <c r="P2493" s="27">
        <v>1000000</v>
      </c>
      <c r="Q2493" s="5" t="s">
        <v>53280</v>
      </c>
      <c r="R2493" s="5"/>
      <c r="S2493" s="5" t="s">
        <v>53281</v>
      </c>
      <c r="T2493" s="28">
        <v>38085000</v>
      </c>
      <c r="U2493" s="28"/>
      <c r="V2493" s="28">
        <v>979684000</v>
      </c>
      <c r="W2493" s="28">
        <v>50078000</v>
      </c>
      <c r="X2493" s="28">
        <v>257346000</v>
      </c>
      <c r="Y2493" s="28">
        <v>1909563000</v>
      </c>
      <c r="Z2493" s="28">
        <v>369469000</v>
      </c>
      <c r="AA2493" s="28">
        <v>50400000</v>
      </c>
      <c r="AB2493" s="28">
        <v>46967000</v>
      </c>
      <c r="AC2493" s="28">
        <v>1485600000</v>
      </c>
      <c r="AD2493" s="28">
        <v>370569000</v>
      </c>
      <c r="AE2493" s="28">
        <v>8847895000</v>
      </c>
      <c r="AF2493" s="28">
        <v>49832000</v>
      </c>
      <c r="AG2493" s="11"/>
    </row>
    <row r="2494">
      <c r="A2494" s="7" t="s">
        <v>4186</v>
      </c>
      <c r="B2494" s="5" t="s">
        <v>10978</v>
      </c>
      <c r="C2494" s="5" t="s">
        <v>20002</v>
      </c>
      <c r="D2494" s="5" t="str">
        <v>525602955532</v>
      </c>
      <c r="E2494" s="0" t="e">
        <f>+7 (495) 7399801
+7 (499) 7399801</f>
        <v>#NAME?</v>
      </c>
      <c r="F2494" s="5"/>
      <c r="G2494" s="5"/>
      <c r="H2494" s="26">
        <v>10</v>
      </c>
      <c r="I2494" s="5" t="s">
        <v>32848</v>
      </c>
      <c r="J2494" s="5" t="s">
        <v>26125</v>
      </c>
      <c r="K2494" s="5" t="s">
        <v>344</v>
      </c>
      <c r="L2494" s="5" t="s">
        <v>32849</v>
      </c>
      <c r="M2494" s="27"/>
      <c r="N2494" s="5"/>
      <c r="O2494" s="5" t="str">
        <v>7734691410</v>
      </c>
      <c r="P2494" s="27">
        <v>100000</v>
      </c>
      <c r="Q2494" s="5" t="s">
        <v>49009</v>
      </c>
      <c r="R2494" s="5"/>
      <c r="S2494" s="5" t="s">
        <v>49010</v>
      </c>
      <c r="T2494" s="28">
        <v>2000</v>
      </c>
      <c r="U2494" s="28"/>
      <c r="V2494" s="28">
        <v>3556936000</v>
      </c>
      <c r="W2494" s="28"/>
      <c r="X2494" s="28">
        <v>55528000</v>
      </c>
      <c r="Y2494" s="28">
        <v>9933102000</v>
      </c>
      <c r="Z2494" s="28">
        <v>30241000</v>
      </c>
      <c r="AA2494" s="28"/>
      <c r="AB2494" s="28"/>
      <c r="AC2494" s="28">
        <v>9902762000</v>
      </c>
      <c r="AD2494" s="28">
        <v>30341000</v>
      </c>
      <c r="AE2494" s="28">
        <v>68433838000</v>
      </c>
      <c r="AF2494" s="28">
        <v>440241000</v>
      </c>
      <c r="AG2494" s="11"/>
    </row>
    <row r="2495">
      <c r="A2495" s="7" t="s">
        <v>4187</v>
      </c>
      <c r="B2495" s="5" t="s">
        <v>12163</v>
      </c>
      <c r="C2495" s="5" t="s">
        <v>20003</v>
      </c>
      <c r="D2495" s="5" t="str">
        <v>381109126066</v>
      </c>
      <c r="E2495" s="0" t="e">
        <f>+7 (413) 2697501
+7 (413) 2201004
+7 (413) 2220004
+7 (914) 8597787
+7 (413) 2697511</f>
        <v>#NAME?</v>
      </c>
      <c r="F2495" s="5" t="s">
        <v>32850</v>
      </c>
      <c r="G2495" s="5" t="s">
        <v>32851</v>
      </c>
      <c r="H2495" s="26">
        <v>14.5</v>
      </c>
      <c r="I2495" s="5" t="s">
        <v>32852</v>
      </c>
      <c r="J2495" s="5" t="s">
        <v>25344</v>
      </c>
      <c r="K2495" s="5" t="s">
        <v>344</v>
      </c>
      <c r="L2495" s="5" t="s">
        <v>32853</v>
      </c>
      <c r="M2495" s="27"/>
      <c r="N2495" s="5" t="s">
        <v>53282</v>
      </c>
      <c r="O2495" s="5" t="str">
        <v>4909098921</v>
      </c>
      <c r="P2495" s="27">
        <v>50000</v>
      </c>
      <c r="Q2495" s="5" t="s">
        <v>53283</v>
      </c>
      <c r="R2495" s="5"/>
      <c r="S2495" s="5" t="s">
        <v>53284</v>
      </c>
      <c r="T2495" s="28">
        <v>233587000</v>
      </c>
      <c r="U2495" s="28">
        <v>116909000</v>
      </c>
      <c r="V2495" s="28">
        <v>663017000</v>
      </c>
      <c r="W2495" s="28">
        <v>591163000</v>
      </c>
      <c r="X2495" s="28">
        <v>37135000</v>
      </c>
      <c r="Y2495" s="28">
        <v>2128961000</v>
      </c>
      <c r="Z2495" s="28">
        <v>1113409000</v>
      </c>
      <c r="AA2495" s="28">
        <v>200000000</v>
      </c>
      <c r="AB2495" s="28">
        <v>9586000</v>
      </c>
      <c r="AC2495" s="28">
        <v>532682000</v>
      </c>
      <c r="AD2495" s="28">
        <v>1113459000</v>
      </c>
      <c r="AE2495" s="28">
        <v>3190273000</v>
      </c>
      <c r="AF2495" s="28">
        <v>589005000</v>
      </c>
      <c r="AG2495" s="11"/>
    </row>
    <row r="2496">
      <c r="A2496" s="7" t="s">
        <v>4188</v>
      </c>
      <c r="B2496" s="5" t="s">
        <v>12164</v>
      </c>
      <c r="C2496" s="5" t="s">
        <v>20004</v>
      </c>
      <c r="D2496" s="5" t="str">
        <v>010201645206</v>
      </c>
      <c r="E2496" s="0" t="e">
        <f>+7 (495) 7406747</f>
        <v>#NAME?</v>
      </c>
      <c r="F2496" s="5"/>
      <c r="G2496" s="5"/>
      <c r="H2496" s="26">
        <v>6.5</v>
      </c>
      <c r="I2496" s="5" t="s">
        <v>32854</v>
      </c>
      <c r="J2496" s="5" t="s">
        <v>25550</v>
      </c>
      <c r="K2496" s="5" t="s">
        <v>344</v>
      </c>
      <c r="L2496" s="5" t="s">
        <v>32855</v>
      </c>
      <c r="M2496" s="27"/>
      <c r="N2496" s="5" t="s">
        <v>53285</v>
      </c>
      <c r="O2496" s="5" t="str">
        <v>7736270552</v>
      </c>
      <c r="P2496" s="27">
        <v>50000</v>
      </c>
      <c r="Q2496" s="5" t="s">
        <v>49446</v>
      </c>
      <c r="R2496" s="5"/>
      <c r="S2496" s="5" t="s">
        <v>53286</v>
      </c>
      <c r="T2496" s="28">
        <v>51553000</v>
      </c>
      <c r="U2496" s="28"/>
      <c r="V2496" s="28">
        <v>408791000</v>
      </c>
      <c r="W2496" s="28">
        <v>155272000</v>
      </c>
      <c r="X2496" s="28">
        <v>188383000</v>
      </c>
      <c r="Y2496" s="28">
        <v>1452966000</v>
      </c>
      <c r="Z2496" s="28">
        <v>348357000</v>
      </c>
      <c r="AA2496" s="28">
        <v>8849000</v>
      </c>
      <c r="AB2496" s="28">
        <v>31213000</v>
      </c>
      <c r="AC2496" s="28">
        <v>1095710000</v>
      </c>
      <c r="AD2496" s="28">
        <v>348407000</v>
      </c>
      <c r="AE2496" s="28">
        <v>6635696000</v>
      </c>
      <c r="AF2496" s="28">
        <v>374647000</v>
      </c>
      <c r="AG2496" s="11"/>
    </row>
    <row r="2497">
      <c r="A2497" s="7" t="s">
        <v>4189</v>
      </c>
      <c r="B2497" s="5" t="s">
        <v>12165</v>
      </c>
      <c r="C2497" s="5" t="s">
        <v>20005</v>
      </c>
      <c r="D2497" s="5" t="str">
        <v>361403141411</v>
      </c>
      <c r="E2497" s="0" t="e">
        <f>+7 (47391) 52377
+7 (910) 3420472</f>
        <v>#NAME?</v>
      </c>
      <c r="F2497" s="5" t="s">
        <v>32856</v>
      </c>
      <c r="G2497" s="5"/>
      <c r="H2497" s="26">
        <v>14</v>
      </c>
      <c r="I2497" s="5" t="s">
        <v>32857</v>
      </c>
      <c r="J2497" s="5" t="s">
        <v>25812</v>
      </c>
      <c r="K2497" s="5" t="s">
        <v>344</v>
      </c>
      <c r="L2497" s="5" t="s">
        <v>32858</v>
      </c>
      <c r="M2497" s="27"/>
      <c r="N2497" s="5"/>
      <c r="O2497" s="5" t="str">
        <v>3652011018</v>
      </c>
      <c r="P2497" s="27">
        <v>10000</v>
      </c>
      <c r="Q2497" s="5" t="s">
        <v>49009</v>
      </c>
      <c r="R2497" s="5"/>
      <c r="S2497" s="5" t="s">
        <v>49066</v>
      </c>
      <c r="T2497" s="28">
        <v>1408308000</v>
      </c>
      <c r="U2497" s="28"/>
      <c r="V2497" s="28">
        <v>327365000</v>
      </c>
      <c r="W2497" s="28"/>
      <c r="X2497" s="28">
        <v>7420000</v>
      </c>
      <c r="Y2497" s="28">
        <v>2131166000</v>
      </c>
      <c r="Z2497" s="28">
        <v>577620000</v>
      </c>
      <c r="AA2497" s="28">
        <v>700000000</v>
      </c>
      <c r="AB2497" s="28">
        <v>301224000</v>
      </c>
      <c r="AC2497" s="28">
        <v>691663000</v>
      </c>
      <c r="AD2497" s="28">
        <v>730203000</v>
      </c>
      <c r="AE2497" s="28">
        <v>3856798000</v>
      </c>
      <c r="AF2497" s="28">
        <v>112435000</v>
      </c>
      <c r="AG2497" s="11"/>
    </row>
    <row r="2498">
      <c r="A2498" s="7" t="s">
        <v>4190</v>
      </c>
      <c r="B2498" s="5" t="s">
        <v>12166</v>
      </c>
      <c r="C2498" s="5" t="s">
        <v>20006</v>
      </c>
      <c r="D2498" s="5" t="str">
        <v>772584798685</v>
      </c>
      <c r="E2498" s="0" t="e">
        <f>+7 (495) 2283039
+7 (495) 2283044
+7 (495) 2283045
+7 (495) 7837035
+7 (8422) 290035
+7 (8422) 406034
+7 (8422) 797074
+7 (8422) 797084
+7 (8422) 797114
+7 (85557) 51975
+7 (85557) 59039
+7 (85557) 59063
+7 (909) 9385996
+7 (916) 9324960
+7 (962) 9778400</f>
        <v>#NAME?</v>
      </c>
      <c r="F2498" s="5" t="s">
        <v>32859</v>
      </c>
      <c r="G2498" s="5"/>
      <c r="H2498" s="26">
        <v>15.5</v>
      </c>
      <c r="I2498" s="5"/>
      <c r="J2498" s="5" t="s">
        <v>26229</v>
      </c>
      <c r="K2498" s="5" t="s">
        <v>344</v>
      </c>
      <c r="L2498" s="5" t="s">
        <v>32860</v>
      </c>
      <c r="M2498" s="27"/>
      <c r="N2498" s="5"/>
      <c r="O2498" s="5" t="str">
        <v>1646022089</v>
      </c>
      <c r="P2498" s="27">
        <v>550000000</v>
      </c>
      <c r="Q2498" s="5" t="s">
        <v>49009</v>
      </c>
      <c r="R2498" s="5"/>
      <c r="S2498" s="5" t="s">
        <v>49066</v>
      </c>
      <c r="T2498" s="28">
        <v>152719000</v>
      </c>
      <c r="U2498" s="28">
        <v>5000</v>
      </c>
      <c r="V2498" s="28">
        <v>51845000</v>
      </c>
      <c r="W2498" s="28"/>
      <c r="X2498" s="28">
        <v>3934406000</v>
      </c>
      <c r="Y2498" s="28">
        <v>5307980000</v>
      </c>
      <c r="Z2498" s="28">
        <v>4032647000</v>
      </c>
      <c r="AA2498" s="28"/>
      <c r="AB2498" s="28"/>
      <c r="AC2498" s="28">
        <v>535731000</v>
      </c>
      <c r="AD2498" s="28">
        <v>4582647000</v>
      </c>
      <c r="AE2498" s="28">
        <v>8376183000</v>
      </c>
      <c r="AF2498" s="28">
        <v>1673354000</v>
      </c>
      <c r="AG2498" s="11"/>
    </row>
    <row r="2499">
      <c r="A2499" s="7" t="s">
        <v>4191</v>
      </c>
      <c r="B2499" s="5" t="s">
        <v>12167</v>
      </c>
      <c r="C2499" s="5" t="s">
        <v>20007</v>
      </c>
      <c r="D2499" s="5" t="str">
        <v>026806646668</v>
      </c>
      <c r="E2499" s="0" t="e">
        <f>+7 (3473) 303184
+7 (34794) 63420</f>
        <v>#NAME?</v>
      </c>
      <c r="F2499" s="5" t="s">
        <v>32861</v>
      </c>
      <c r="G2499" s="5"/>
      <c r="H2499" s="26">
        <v>17</v>
      </c>
      <c r="I2499" s="5" t="s">
        <v>32862</v>
      </c>
      <c r="J2499" s="5" t="s">
        <v>28418</v>
      </c>
      <c r="K2499" s="5" t="s">
        <v>344</v>
      </c>
      <c r="L2499" s="5" t="s">
        <v>32863</v>
      </c>
      <c r="M2499" s="27"/>
      <c r="N2499" s="5" t="s">
        <v>53287</v>
      </c>
      <c r="O2499" s="5" t="str">
        <v>0261014551</v>
      </c>
      <c r="P2499" s="27">
        <v>250000</v>
      </c>
      <c r="Q2499" s="5" t="s">
        <v>53288</v>
      </c>
      <c r="R2499" s="5"/>
      <c r="S2499" s="5" t="s">
        <v>53289</v>
      </c>
      <c r="T2499" s="28">
        <v>396527000</v>
      </c>
      <c r="U2499" s="28"/>
      <c r="V2499" s="28">
        <v>1282835000</v>
      </c>
      <c r="W2499" s="28"/>
      <c r="X2499" s="28">
        <v>50149000</v>
      </c>
      <c r="Y2499" s="28">
        <v>2571907000</v>
      </c>
      <c r="Z2499" s="28">
        <v>673005000</v>
      </c>
      <c r="AA2499" s="28"/>
      <c r="AB2499" s="28">
        <v>537891000</v>
      </c>
      <c r="AC2499" s="28">
        <v>1853213000</v>
      </c>
      <c r="AD2499" s="28">
        <v>673255000</v>
      </c>
      <c r="AE2499" s="28">
        <v>3552697000</v>
      </c>
      <c r="AF2499" s="28">
        <v>226057000</v>
      </c>
      <c r="AG2499" s="11"/>
    </row>
    <row r="2500">
      <c r="A2500" s="7" t="s">
        <v>4192</v>
      </c>
      <c r="B2500" s="5" t="s">
        <v>12168</v>
      </c>
      <c r="C2500" s="5" t="s">
        <v>20008</v>
      </c>
      <c r="D2500" s="5" t="str">
        <v>667004283903</v>
      </c>
      <c r="E2500" s="0" t="e">
        <f>+7 (343) 2223335
+7 (343) 2226270
+7 (343) 2830384
+7 (343) 2830417
+7 (3432) 830800
+7 (3432) 830804</f>
        <v>#NAME?</v>
      </c>
      <c r="F2500" s="5" t="s">
        <v>32864</v>
      </c>
      <c r="G2500" s="5"/>
      <c r="H2500" s="26">
        <v>22.5</v>
      </c>
      <c r="I2500" s="5"/>
      <c r="J2500" s="5" t="s">
        <v>27182</v>
      </c>
      <c r="K2500" s="5" t="s">
        <v>344</v>
      </c>
      <c r="L2500" s="5"/>
      <c r="M2500" s="27"/>
      <c r="N2500" s="5" t="s">
        <v>53290</v>
      </c>
      <c r="O2500" s="5" t="str">
        <v>6661097056</v>
      </c>
      <c r="P2500" s="27">
        <v>15154000</v>
      </c>
      <c r="Q2500" s="5" t="s">
        <v>53291</v>
      </c>
      <c r="R2500" s="5"/>
      <c r="S2500" s="5" t="s">
        <v>53292</v>
      </c>
      <c r="T2500" s="28">
        <v>40977000</v>
      </c>
      <c r="U2500" s="28"/>
      <c r="V2500" s="28">
        <v>1216421000</v>
      </c>
      <c r="W2500" s="28"/>
      <c r="X2500" s="28">
        <v>112307000</v>
      </c>
      <c r="Y2500" s="28">
        <v>1491193000</v>
      </c>
      <c r="Z2500" s="28">
        <v>115356000</v>
      </c>
      <c r="AA2500" s="28"/>
      <c r="AB2500" s="28">
        <v>65402000</v>
      </c>
      <c r="AC2500" s="28">
        <v>1324010000</v>
      </c>
      <c r="AD2500" s="28">
        <v>130502000</v>
      </c>
      <c r="AE2500" s="28">
        <v>4214807000</v>
      </c>
      <c r="AF2500" s="28">
        <v>32468000</v>
      </c>
      <c r="AG2500" s="11"/>
    </row>
    <row r="2501">
      <c r="A2501" s="7" t="s">
        <v>4193</v>
      </c>
      <c r="B2501" s="5" t="s">
        <v>12169</v>
      </c>
      <c r="C2501" s="5" t="s">
        <v>20009</v>
      </c>
      <c r="D2501" s="5" t="str">
        <v>312200016285</v>
      </c>
      <c r="E2501" s="0" t="e">
        <f>+7 (961) 1739886
+7 (472) 2249434
+7 (472) 2576404
+7 (47234) 45353
+7 (47234) 46350
+7 (4912) 427292
+7 (903) 8853600
+7 (961) 1739873
+7 (961) 1739874
+7 (961) 1739891</f>
        <v>#NAME?</v>
      </c>
      <c r="F2501" s="5" t="s">
        <v>32865</v>
      </c>
      <c r="G2501" s="5" t="s">
        <v>32866</v>
      </c>
      <c r="H2501" s="26">
        <v>22</v>
      </c>
      <c r="I2501" s="5"/>
      <c r="J2501" s="5" t="s">
        <v>32867</v>
      </c>
      <c r="K2501" s="5" t="s">
        <v>344</v>
      </c>
      <c r="L2501" s="5" t="s">
        <v>32868</v>
      </c>
      <c r="M2501" s="27"/>
      <c r="N2501" s="5"/>
      <c r="O2501" s="5" t="str">
        <v>5262130486</v>
      </c>
      <c r="P2501" s="27">
        <v>10000</v>
      </c>
      <c r="Q2501" s="5" t="s">
        <v>49009</v>
      </c>
      <c r="R2501" s="5"/>
      <c r="S2501" s="5" t="s">
        <v>49120</v>
      </c>
      <c r="T2501" s="28">
        <v>242207000</v>
      </c>
      <c r="U2501" s="28"/>
      <c r="V2501" s="28">
        <v>152995000</v>
      </c>
      <c r="W2501" s="28"/>
      <c r="X2501" s="28">
        <v>3872000</v>
      </c>
      <c r="Y2501" s="28">
        <v>850699000</v>
      </c>
      <c r="Z2501" s="28">
        <v>108845000</v>
      </c>
      <c r="AA2501" s="28"/>
      <c r="AB2501" s="28">
        <v>202641000</v>
      </c>
      <c r="AC2501" s="28">
        <v>632064000</v>
      </c>
      <c r="AD2501" s="28">
        <v>108856000</v>
      </c>
      <c r="AE2501" s="28">
        <v>3687017000</v>
      </c>
      <c r="AF2501" s="28">
        <v>4426000</v>
      </c>
      <c r="AG2501" s="11"/>
    </row>
    <row r="2502">
      <c r="A2502" s="7" t="s">
        <v>4194</v>
      </c>
      <c r="B2502" s="5" t="s">
        <v>12170</v>
      </c>
      <c r="C2502" s="5" t="s">
        <v>20010</v>
      </c>
      <c r="D2502" s="5" t="str">
        <v>270904784430</v>
      </c>
      <c r="E2502" s="0" t="e">
        <f>+7 (495) 7809618
+7 (800) 7008448
+7 (831) 2200007
+7 (83146) 19360
+7 (903) 4376295</f>
        <v>#NAME?</v>
      </c>
      <c r="F2502" s="5" t="s">
        <v>32869</v>
      </c>
      <c r="G2502" s="5" t="s">
        <v>32870</v>
      </c>
      <c r="H2502" s="26">
        <v>10.5</v>
      </c>
      <c r="I2502" s="5" t="s">
        <v>32871</v>
      </c>
      <c r="J2502" s="5" t="s">
        <v>533</v>
      </c>
      <c r="K2502" s="5" t="s">
        <v>344</v>
      </c>
      <c r="L2502" s="5" t="s">
        <v>32872</v>
      </c>
      <c r="M2502" s="27">
        <v>18417543</v>
      </c>
      <c r="N2502" s="5" t="s">
        <v>53293</v>
      </c>
      <c r="O2502" s="5" t="str">
        <v>5250056647</v>
      </c>
      <c r="P2502" s="27">
        <v>1000000000</v>
      </c>
      <c r="Q2502" s="5" t="s">
        <v>53295</v>
      </c>
      <c r="R2502" s="5"/>
      <c r="S2502" s="5" t="s">
        <v>53296</v>
      </c>
      <c r="T2502" s="28">
        <v>16761943000</v>
      </c>
      <c r="U2502" s="28"/>
      <c r="V2502" s="28">
        <v>4617139000</v>
      </c>
      <c r="W2502" s="28">
        <v>100000000</v>
      </c>
      <c r="X2502" s="28">
        <v>407844000</v>
      </c>
      <c r="Y2502" s="28">
        <v>22480667000</v>
      </c>
      <c r="Z2502" s="28">
        <v>905698000</v>
      </c>
      <c r="AA2502" s="28">
        <v>2122592000</v>
      </c>
      <c r="AB2502" s="28">
        <v>1577736000</v>
      </c>
      <c r="AC2502" s="28">
        <v>5447227000</v>
      </c>
      <c r="AD2502" s="28">
        <v>5487277000</v>
      </c>
      <c r="AE2502" s="28">
        <v>33045081000</v>
      </c>
      <c r="AF2502" s="28">
        <v>718674000</v>
      </c>
      <c r="AG2502" s="11"/>
    </row>
    <row r="2503">
      <c r="A2503" s="7" t="s">
        <v>4195</v>
      </c>
      <c r="B2503" s="5" t="s">
        <v>12171</v>
      </c>
      <c r="C2503" s="5" t="s">
        <v>20011</v>
      </c>
      <c r="D2503" s="5" t="str">
        <v>463227867628</v>
      </c>
      <c r="E2503" s="0" t="e">
        <f>+7 (484) 5841001
+7 (484) 5841002
+7 (484) 5841003
+7 (484) 5841004
+7 (484) 5841005
+7 (484) 5841006
+7 (484) 5841007
+7 (484) 5841008
+7 (484) 5841009
+7 (484) 5841010
+7 (484) 5841011
+7 (484) 5841012
+7 (484) 5841016
+7 (484) 5841017
+7 (484) 5841018</f>
        <v>#NAME?</v>
      </c>
      <c r="F2503" s="5" t="s">
        <v>32873</v>
      </c>
      <c r="G2503" s="5"/>
      <c r="H2503" s="26">
        <v>15</v>
      </c>
      <c r="I2503" s="5"/>
      <c r="J2503" s="5" t="s">
        <v>25788</v>
      </c>
      <c r="K2503" s="5" t="s">
        <v>344</v>
      </c>
      <c r="L2503" s="5" t="s">
        <v>32874</v>
      </c>
      <c r="M2503" s="27"/>
      <c r="N2503" s="5"/>
      <c r="O2503" s="5" t="str">
        <v>4003037662</v>
      </c>
      <c r="P2503" s="27">
        <v>400010000</v>
      </c>
      <c r="Q2503" s="5" t="s">
        <v>49009</v>
      </c>
      <c r="R2503" s="5"/>
      <c r="S2503" s="5" t="s">
        <v>49066</v>
      </c>
      <c r="T2503" s="28">
        <v>480781000</v>
      </c>
      <c r="U2503" s="28"/>
      <c r="V2503" s="28">
        <v>300051000</v>
      </c>
      <c r="W2503" s="28"/>
      <c r="X2503" s="28">
        <v>447728000</v>
      </c>
      <c r="Y2503" s="28">
        <v>4058589000</v>
      </c>
      <c r="Z2503" s="28">
        <v>2009841000</v>
      </c>
      <c r="AA2503" s="28"/>
      <c r="AB2503" s="28"/>
      <c r="AC2503" s="28">
        <v>1061143000</v>
      </c>
      <c r="AD2503" s="28">
        <v>2429852000</v>
      </c>
      <c r="AE2503" s="28">
        <v>20688076000</v>
      </c>
      <c r="AF2503" s="28">
        <v>2276604000</v>
      </c>
      <c r="AG2503" s="11"/>
    </row>
    <row r="2504">
      <c r="A2504" s="7" t="s">
        <v>4196</v>
      </c>
      <c r="B2504" s="5" t="s">
        <v>12172</v>
      </c>
      <c r="C2504" s="5" t="s">
        <v>20012</v>
      </c>
      <c r="D2504" s="5" t="str">
        <v>500805276809</v>
      </c>
      <c r="E2504" s="0" t="e">
        <f>+7 (499) 7136231</f>
        <v>#NAME?</v>
      </c>
      <c r="F2504" s="5" t="s">
        <v>32875</v>
      </c>
      <c r="G2504" s="5" t="s">
        <v>32876</v>
      </c>
      <c r="H2504" s="26">
        <v>11</v>
      </c>
      <c r="I2504" s="5" t="s">
        <v>32877</v>
      </c>
      <c r="J2504" s="5" t="s">
        <v>32878</v>
      </c>
      <c r="K2504" s="5" t="s">
        <v>344</v>
      </c>
      <c r="L2504" s="5"/>
      <c r="M2504" s="27">
        <v>256816</v>
      </c>
      <c r="N2504" s="5"/>
      <c r="O2504" s="5" t="str">
        <v>5032247137</v>
      </c>
      <c r="P2504" s="27">
        <v>5105000</v>
      </c>
      <c r="Q2504" s="5" t="s">
        <v>49009</v>
      </c>
      <c r="R2504" s="5"/>
      <c r="S2504" s="5" t="s">
        <v>49010</v>
      </c>
      <c r="T2504" s="28">
        <v>837490000</v>
      </c>
      <c r="U2504" s="28"/>
      <c r="V2504" s="28">
        <v>693990000</v>
      </c>
      <c r="W2504" s="28"/>
      <c r="X2504" s="28">
        <v>666000</v>
      </c>
      <c r="Y2504" s="28">
        <v>1649865000</v>
      </c>
      <c r="Z2504" s="28">
        <v>18343000</v>
      </c>
      <c r="AA2504" s="28"/>
      <c r="AB2504" s="28">
        <v>645699000</v>
      </c>
      <c r="AC2504" s="28">
        <v>1278147000</v>
      </c>
      <c r="AD2504" s="28">
        <v>23448000</v>
      </c>
      <c r="AE2504" s="28">
        <v>4360143000</v>
      </c>
      <c r="AF2504" s="28">
        <v>2559000</v>
      </c>
      <c r="AG2504" s="11"/>
    </row>
    <row r="2505">
      <c r="A2505" s="7" t="s">
        <v>4197</v>
      </c>
      <c r="B2505" s="5" t="s">
        <v>12173</v>
      </c>
      <c r="C2505" s="5" t="s">
        <v>20013</v>
      </c>
      <c r="D2505" s="5" t="str">
        <v>165058587298</v>
      </c>
      <c r="E2505" s="0" t="e">
        <f>+7 (919) 6937777
+7 (855) 2202117</f>
        <v>#NAME?</v>
      </c>
      <c r="F2505" s="5"/>
      <c r="G2505" s="5"/>
      <c r="H2505" s="26">
        <v>7.5</v>
      </c>
      <c r="I2505" s="5"/>
      <c r="J2505" s="5" t="s">
        <v>30277</v>
      </c>
      <c r="K2505" s="5" t="s">
        <v>344</v>
      </c>
      <c r="L2505" s="5" t="s">
        <v>32879</v>
      </c>
      <c r="M2505" s="27"/>
      <c r="N2505" s="5" t="s">
        <v>53299</v>
      </c>
      <c r="O2505" s="5" t="str">
        <v>1639051360</v>
      </c>
      <c r="P2505" s="27">
        <v>1000000</v>
      </c>
      <c r="Q2505" s="5" t="s">
        <v>49009</v>
      </c>
      <c r="R2505" s="5"/>
      <c r="S2505" s="5" t="s">
        <v>49028</v>
      </c>
      <c r="T2505" s="28">
        <v>645906000</v>
      </c>
      <c r="U2505" s="28"/>
      <c r="V2505" s="28">
        <v>3121852000</v>
      </c>
      <c r="W2505" s="28"/>
      <c r="X2505" s="28">
        <v>109967000</v>
      </c>
      <c r="Y2505" s="28">
        <v>4954189000</v>
      </c>
      <c r="Z2505" s="28">
        <v>4060016000</v>
      </c>
      <c r="AA2505" s="28">
        <v>467353000</v>
      </c>
      <c r="AB2505" s="28"/>
      <c r="AC2505" s="28">
        <v>408695000</v>
      </c>
      <c r="AD2505" s="28">
        <v>4061016000</v>
      </c>
      <c r="AE2505" s="28">
        <v>8988480000</v>
      </c>
      <c r="AF2505" s="28">
        <v>2191282000</v>
      </c>
      <c r="AG2505" s="11"/>
    </row>
    <row r="2506">
      <c r="A2506" s="7" t="s">
        <v>4198</v>
      </c>
      <c r="B2506" s="5" t="s">
        <v>12174</v>
      </c>
      <c r="C2506" s="5" t="s">
        <v>20014</v>
      </c>
      <c r="D2506" s="5" t="str">
        <v>500905834126</v>
      </c>
      <c r="F2506" s="5"/>
      <c r="G2506" s="5"/>
      <c r="H2506" s="26">
        <v>6.5</v>
      </c>
      <c r="I2506" s="5" t="s">
        <v>32880</v>
      </c>
      <c r="J2506" s="5" t="s">
        <v>27977</v>
      </c>
      <c r="K2506" s="5" t="s">
        <v>344</v>
      </c>
      <c r="L2506" s="5" t="s">
        <v>32881</v>
      </c>
      <c r="M2506" s="27">
        <v>836867</v>
      </c>
      <c r="N2506" s="5"/>
      <c r="O2506" s="5" t="str">
        <v>7811611081</v>
      </c>
      <c r="P2506" s="27">
        <v>10000</v>
      </c>
      <c r="Q2506" s="5"/>
      <c r="R2506" s="5"/>
      <c r="S2506" s="5" t="s">
        <v>49029</v>
      </c>
      <c r="T2506" s="28">
        <v>459344000</v>
      </c>
      <c r="U2506" s="28"/>
      <c r="V2506" s="28">
        <v>1694794000</v>
      </c>
      <c r="W2506" s="28">
        <v>241767000</v>
      </c>
      <c r="X2506" s="28">
        <v>79566000</v>
      </c>
      <c r="Y2506" s="28">
        <v>4330397000</v>
      </c>
      <c r="Z2506" s="28">
        <v>845503000</v>
      </c>
      <c r="AA2506" s="28">
        <v>124978000</v>
      </c>
      <c r="AB2506" s="28">
        <v>110881000</v>
      </c>
      <c r="AC2506" s="28">
        <v>3240125000</v>
      </c>
      <c r="AD2506" s="28">
        <v>845513000</v>
      </c>
      <c r="AE2506" s="28">
        <v>13874478000</v>
      </c>
      <c r="AF2506" s="28">
        <v>341164000</v>
      </c>
      <c r="AG2506" s="11"/>
    </row>
    <row r="2507">
      <c r="A2507" s="7" t="s">
        <v>4199</v>
      </c>
      <c r="B2507" s="5" t="s">
        <v>12175</v>
      </c>
      <c r="C2507" s="5" t="s">
        <v>20015</v>
      </c>
      <c r="D2507" s="5" t="str">
        <v>770702011247</v>
      </c>
      <c r="E2507" s="0" t="e">
        <f>+7 (343) 3761573
+7 (3433) 592836
+7 (3512) 649167
+7 (383) 2106158
+7 (383) 2227450
+7 (473) 2392711
+7 (473) 2392736
+7 (482) 2430444
+7 (482) 2430751
+7 (499) 7120036
+7 (499) 7120037
+7 (812) 2752987
+7 (812) 2752988
+7 (812) 2752989
+7 (812) 3268410</f>
        <v>#NAME?</v>
      </c>
      <c r="F2507" s="5" t="s">
        <v>32882</v>
      </c>
      <c r="G2507" s="5" t="s">
        <v>32883</v>
      </c>
      <c r="H2507" s="26">
        <v>30.5</v>
      </c>
      <c r="I2507" s="5"/>
      <c r="J2507" s="5" t="s">
        <v>32784</v>
      </c>
      <c r="K2507" s="5" t="s">
        <v>344</v>
      </c>
      <c r="L2507" s="5"/>
      <c r="M2507" s="27"/>
      <c r="N2507" s="5" t="s">
        <v>53300</v>
      </c>
      <c r="O2507" s="5" t="str">
        <v>7809001280</v>
      </c>
      <c r="P2507" s="27">
        <v>7000000</v>
      </c>
      <c r="Q2507" s="5" t="s">
        <v>49009</v>
      </c>
      <c r="R2507" s="5" t="s">
        <v>50182</v>
      </c>
      <c r="S2507" s="5" t="s">
        <v>49012</v>
      </c>
      <c r="T2507" s="28">
        <v>72875000</v>
      </c>
      <c r="U2507" s="28">
        <v>649000</v>
      </c>
      <c r="V2507" s="28">
        <v>52901000</v>
      </c>
      <c r="W2507" s="28">
        <v>3000000</v>
      </c>
      <c r="X2507" s="28">
        <v>163892000</v>
      </c>
      <c r="Y2507" s="28">
        <v>722913000</v>
      </c>
      <c r="Z2507" s="28">
        <v>272704000</v>
      </c>
      <c r="AA2507" s="28"/>
      <c r="AB2507" s="28"/>
      <c r="AC2507" s="28">
        <v>392110000</v>
      </c>
      <c r="AD2507" s="28">
        <v>279729000</v>
      </c>
      <c r="AE2507" s="28">
        <v>3107186000</v>
      </c>
      <c r="AF2507" s="28">
        <v>312327000</v>
      </c>
      <c r="AG2507" s="11"/>
    </row>
    <row r="2508">
      <c r="A2508" s="7" t="s">
        <v>4200</v>
      </c>
      <c r="B2508" s="5" t="s">
        <v>12176</v>
      </c>
      <c r="C2508" s="5" t="s">
        <v>20016</v>
      </c>
      <c r="D2508" s="5" t="str">
        <v>772916288842</v>
      </c>
      <c r="E2508" s="0" t="e">
        <f>+7 (473) 2497154
+7 (495) 7109960
+7 (495) 7109963
+7 (903) 8001178
+7 (916) 4411230
+7 (916) 6434207</f>
        <v>#NAME?</v>
      </c>
      <c r="F2508" s="5" t="s">
        <v>32884</v>
      </c>
      <c r="G2508" s="5" t="s">
        <v>32885</v>
      </c>
      <c r="H2508" s="26">
        <v>24</v>
      </c>
      <c r="I2508" s="5"/>
      <c r="J2508" s="5" t="s">
        <v>32886</v>
      </c>
      <c r="K2508" s="5" t="s">
        <v>344</v>
      </c>
      <c r="L2508" s="5"/>
      <c r="M2508" s="27">
        <v>33262896</v>
      </c>
      <c r="N2508" s="5" t="s">
        <v>53301</v>
      </c>
      <c r="O2508" s="5" t="str">
        <v>3663029916</v>
      </c>
      <c r="P2508" s="27">
        <v>18343500075</v>
      </c>
      <c r="Q2508" s="5" t="s">
        <v>53302</v>
      </c>
      <c r="R2508" s="5"/>
      <c r="S2508" s="5" t="s">
        <v>53303</v>
      </c>
      <c r="T2508" s="28">
        <v>29899000</v>
      </c>
      <c r="U2508" s="28">
        <v>35421000</v>
      </c>
      <c r="V2508" s="28">
        <v>815413000</v>
      </c>
      <c r="W2508" s="28"/>
      <c r="X2508" s="28">
        <v>14980721000</v>
      </c>
      <c r="Y2508" s="28">
        <v>23703721000</v>
      </c>
      <c r="Z2508" s="28">
        <v>-15747261000</v>
      </c>
      <c r="AA2508" s="28">
        <v>498997000</v>
      </c>
      <c r="AB2508" s="28">
        <v>2432394000</v>
      </c>
      <c r="AC2508" s="28">
        <v>4521969000</v>
      </c>
      <c r="AD2508" s="28">
        <v>18639702000</v>
      </c>
      <c r="AE2508" s="28">
        <v>3131177000</v>
      </c>
      <c r="AF2508" s="28">
        <v>157551000</v>
      </c>
      <c r="AG2508" s="11"/>
    </row>
    <row r="2509">
      <c r="A2509" s="7" t="s">
        <v>4201</v>
      </c>
      <c r="B2509" s="5" t="s">
        <v>12177</v>
      </c>
      <c r="C2509" s="5" t="s">
        <v>20017</v>
      </c>
      <c r="D2509" s="5" t="str">
        <v>772502740581</v>
      </c>
      <c r="E2509" s="0" t="e">
        <f>+7 (495) 3631077
+7 (495) 5040442
+7 (495) 5040445
+7 (495) 5040446</f>
        <v>#NAME?</v>
      </c>
      <c r="F2509" s="5"/>
      <c r="G2509" s="5" t="s">
        <v>32887</v>
      </c>
      <c r="H2509" s="26">
        <v>15</v>
      </c>
      <c r="I2509" s="5" t="s">
        <v>32888</v>
      </c>
      <c r="J2509" s="5" t="s">
        <v>31582</v>
      </c>
      <c r="K2509" s="5" t="s">
        <v>344</v>
      </c>
      <c r="L2509" s="5" t="s">
        <v>32889</v>
      </c>
      <c r="M2509" s="27"/>
      <c r="N2509" s="5"/>
      <c r="O2509" s="5" t="str">
        <v>5047092888</v>
      </c>
      <c r="P2509" s="27">
        <v>640740000</v>
      </c>
      <c r="Q2509" s="5" t="s">
        <v>49009</v>
      </c>
      <c r="R2509" s="5"/>
      <c r="S2509" s="5" t="s">
        <v>49010</v>
      </c>
      <c r="T2509" s="28">
        <v>1386000</v>
      </c>
      <c r="U2509" s="28"/>
      <c r="V2509" s="28">
        <v>2521000</v>
      </c>
      <c r="W2509" s="28">
        <v>12084000</v>
      </c>
      <c r="X2509" s="28">
        <v>1267790000</v>
      </c>
      <c r="Y2509" s="28">
        <v>1368425000</v>
      </c>
      <c r="Z2509" s="28">
        <v>716760000</v>
      </c>
      <c r="AA2509" s="28"/>
      <c r="AB2509" s="28"/>
      <c r="AC2509" s="28">
        <v>10873000</v>
      </c>
      <c r="AD2509" s="28">
        <v>1358607000</v>
      </c>
      <c r="AE2509" s="28">
        <v>7090534000</v>
      </c>
      <c r="AF2509" s="28">
        <v>-203550000</v>
      </c>
      <c r="AG2509" s="11"/>
    </row>
    <row r="2510">
      <c r="A2510" s="7" t="s">
        <v>4202</v>
      </c>
      <c r="B2510" s="5" t="s">
        <v>12178</v>
      </c>
      <c r="C2510" s="5" t="s">
        <v>20018</v>
      </c>
      <c r="D2510" s="5" t="str">
        <v>472300654807</v>
      </c>
      <c r="E2510" s="0" t="e">
        <f>+7 (495) 7907566
+7 (495) 6420517
+7 (495) 6420520
+7 (495) 7836678</f>
        <v>#NAME?</v>
      </c>
      <c r="F2510" s="5" t="s">
        <v>32890</v>
      </c>
      <c r="G2510" s="5" t="s">
        <v>32891</v>
      </c>
      <c r="H2510" s="26">
        <v>20.5</v>
      </c>
      <c r="I2510" s="5" t="s">
        <v>32892</v>
      </c>
      <c r="J2510" s="5" t="s">
        <v>364</v>
      </c>
      <c r="K2510" s="5" t="s">
        <v>344</v>
      </c>
      <c r="L2510" s="5"/>
      <c r="M2510" s="27">
        <v>714799577</v>
      </c>
      <c r="N2510" s="5" t="s">
        <v>53304</v>
      </c>
      <c r="O2510" s="5" t="str">
        <v>7714275324</v>
      </c>
      <c r="P2510" s="27">
        <v>20000000</v>
      </c>
      <c r="Q2510" s="5" t="s">
        <v>53305</v>
      </c>
      <c r="R2510" s="5"/>
      <c r="S2510" s="5" t="s">
        <v>53306</v>
      </c>
      <c r="T2510" s="28">
        <v>749891000</v>
      </c>
      <c r="U2510" s="28">
        <v>3039000</v>
      </c>
      <c r="V2510" s="28">
        <v>11820681000</v>
      </c>
      <c r="W2510" s="28">
        <v>251605000</v>
      </c>
      <c r="X2510" s="28">
        <v>1586248000</v>
      </c>
      <c r="Y2510" s="28">
        <v>17580087000</v>
      </c>
      <c r="Z2510" s="28">
        <v>1598098000</v>
      </c>
      <c r="AA2510" s="28">
        <v>574998000</v>
      </c>
      <c r="AB2510" s="28">
        <v>459223000</v>
      </c>
      <c r="AC2510" s="28">
        <v>15284571000</v>
      </c>
      <c r="AD2510" s="28">
        <v>1618098000</v>
      </c>
      <c r="AE2510" s="28">
        <v>5058134000</v>
      </c>
      <c r="AF2510" s="28">
        <v>47886000</v>
      </c>
      <c r="AG2510" s="11"/>
    </row>
    <row r="2511">
      <c r="A2511" s="7" t="s">
        <v>4203</v>
      </c>
      <c r="B2511" s="5" t="s">
        <v>12179</v>
      </c>
      <c r="C2511" s="5" t="s">
        <v>20019</v>
      </c>
      <c r="D2511" s="5"/>
      <c r="E2511" s="0" t="e">
        <f>+7 (3472) 629899
+7 (3494) 975963
+7 (3494) 975964
+7 (382) 2900307
+7 (8622) 255447</f>
        <v>#NAME?</v>
      </c>
      <c r="F2511" s="5"/>
      <c r="G2511" s="5" t="s">
        <v>32893</v>
      </c>
      <c r="H2511" s="26">
        <v>13</v>
      </c>
      <c r="I2511" s="5" t="s">
        <v>32894</v>
      </c>
      <c r="J2511" s="5" t="s">
        <v>26799</v>
      </c>
      <c r="K2511" s="5" t="s">
        <v>344</v>
      </c>
      <c r="L2511" s="5" t="s">
        <v>32895</v>
      </c>
      <c r="M2511" s="27">
        <v>19254317</v>
      </c>
      <c r="N2511" s="5" t="s">
        <v>53307</v>
      </c>
      <c r="O2511" s="5" t="str">
        <v>7017253595</v>
      </c>
      <c r="P2511" s="27">
        <v>30000</v>
      </c>
      <c r="Q2511" s="5" t="s">
        <v>53308</v>
      </c>
      <c r="R2511" s="5"/>
      <c r="S2511" s="5" t="s">
        <v>53309</v>
      </c>
      <c r="T2511" s="28">
        <v>3007508000</v>
      </c>
      <c r="U2511" s="28"/>
      <c r="V2511" s="28">
        <v>1799058000</v>
      </c>
      <c r="W2511" s="28"/>
      <c r="X2511" s="28">
        <v>331425000</v>
      </c>
      <c r="Y2511" s="28">
        <v>7298123000</v>
      </c>
      <c r="Z2511" s="28">
        <v>2078658000</v>
      </c>
      <c r="AA2511" s="28">
        <v>865330000</v>
      </c>
      <c r="AB2511" s="28">
        <v>220106000</v>
      </c>
      <c r="AC2511" s="28">
        <v>2520796000</v>
      </c>
      <c r="AD2511" s="28">
        <v>2078688000</v>
      </c>
      <c r="AE2511" s="28">
        <v>5047433000</v>
      </c>
      <c r="AF2511" s="28">
        <v>1288943000</v>
      </c>
      <c r="AG2511" s="11"/>
    </row>
    <row r="2512">
      <c r="A2512" s="7" t="s">
        <v>4204</v>
      </c>
      <c r="B2512" s="5" t="s">
        <v>12180</v>
      </c>
      <c r="C2512" s="5" t="s">
        <v>20020</v>
      </c>
      <c r="D2512" s="5" t="str">
        <v>773602990308</v>
      </c>
      <c r="E2512" s="0" t="e">
        <f>+7 (495) 5434524
+7 (495) 5406741
+7 (499) 7074849
+7 (84699) 35973</f>
        <v>#NAME?</v>
      </c>
      <c r="F2512" s="5" t="s">
        <v>32896</v>
      </c>
      <c r="G2512" s="5" t="s">
        <v>32897</v>
      </c>
      <c r="H2512" s="26">
        <v>15</v>
      </c>
      <c r="I2512" s="5" t="s">
        <v>32898</v>
      </c>
      <c r="J2512" s="5" t="s">
        <v>25424</v>
      </c>
      <c r="K2512" s="5" t="s">
        <v>344</v>
      </c>
      <c r="L2512" s="5" t="s">
        <v>32899</v>
      </c>
      <c r="M2512" s="27"/>
      <c r="N2512" s="5" t="s">
        <v>53310</v>
      </c>
      <c r="O2512" s="5" t="str">
        <v>7731593655</v>
      </c>
      <c r="P2512" s="27">
        <v>3141700</v>
      </c>
      <c r="Q2512" s="5" t="s">
        <v>53311</v>
      </c>
      <c r="R2512" s="5" t="s">
        <v>53083</v>
      </c>
      <c r="S2512" s="5" t="s">
        <v>53312</v>
      </c>
      <c r="T2512" s="28">
        <v>291429000</v>
      </c>
      <c r="U2512" s="28">
        <v>120000</v>
      </c>
      <c r="V2512" s="28">
        <v>2316658000</v>
      </c>
      <c r="W2512" s="28"/>
      <c r="X2512" s="28">
        <v>373039000</v>
      </c>
      <c r="Y2512" s="28">
        <v>3551811000</v>
      </c>
      <c r="Z2512" s="28">
        <v>1121833000</v>
      </c>
      <c r="AA2512" s="28">
        <v>52524000</v>
      </c>
      <c r="AB2512" s="28"/>
      <c r="AC2512" s="28">
        <v>2101874000</v>
      </c>
      <c r="AD2512" s="28">
        <v>1124975000</v>
      </c>
      <c r="AE2512" s="28">
        <v>7655431000</v>
      </c>
      <c r="AF2512" s="28">
        <v>599161000</v>
      </c>
      <c r="AG2512" s="11"/>
    </row>
    <row r="2513">
      <c r="A2513" s="7" t="s">
        <v>4205</v>
      </c>
      <c r="B2513" s="5" t="s">
        <v>12181</v>
      </c>
      <c r="C2513" s="5" t="s">
        <v>20021</v>
      </c>
      <c r="D2513" s="5" t="str">
        <v>773013185703</v>
      </c>
      <c r="E2513" s="0" t="e">
        <f>+7 (495) 6200848
+7 (499) 6384296
+7 (499) 6384297
+7 (917) 1493710
+7 (918) 5813540</f>
        <v>#NAME?</v>
      </c>
      <c r="F2513" s="5"/>
      <c r="G2513" s="5" t="s">
        <v>32900</v>
      </c>
      <c r="H2513" s="26">
        <v>20</v>
      </c>
      <c r="I2513" s="5" t="s">
        <v>32901</v>
      </c>
      <c r="J2513" s="5" t="s">
        <v>999</v>
      </c>
      <c r="K2513" s="5" t="s">
        <v>344</v>
      </c>
      <c r="L2513" s="5" t="s">
        <v>32902</v>
      </c>
      <c r="M2513" s="27"/>
      <c r="N2513" s="5" t="s">
        <v>53313</v>
      </c>
      <c r="O2513" s="5" t="str">
        <v>7733157421</v>
      </c>
      <c r="P2513" s="27">
        <v>4000000</v>
      </c>
      <c r="Q2513" s="5" t="s">
        <v>53314</v>
      </c>
      <c r="R2513" s="5"/>
      <c r="S2513" s="5" t="s">
        <v>53315</v>
      </c>
      <c r="T2513" s="28">
        <v>4752000</v>
      </c>
      <c r="U2513" s="28"/>
      <c r="V2513" s="28">
        <v>1419549000</v>
      </c>
      <c r="W2513" s="28">
        <v>358301000</v>
      </c>
      <c r="X2513" s="28">
        <v>122317000</v>
      </c>
      <c r="Y2513" s="28">
        <v>1946471000</v>
      </c>
      <c r="Z2513" s="28">
        <v>1245542000</v>
      </c>
      <c r="AA2513" s="28"/>
      <c r="AB2513" s="28"/>
      <c r="AC2513" s="28">
        <v>696906000</v>
      </c>
      <c r="AD2513" s="28">
        <v>1249542000</v>
      </c>
      <c r="AE2513" s="28">
        <v>4531612000</v>
      </c>
      <c r="AF2513" s="28">
        <v>414893000</v>
      </c>
      <c r="AG2513" s="11"/>
    </row>
    <row r="2514">
      <c r="A2514" s="7" t="s">
        <v>4206</v>
      </c>
      <c r="B2514" s="5" t="s">
        <v>12182</v>
      </c>
      <c r="C2514" s="5" t="s">
        <v>20022</v>
      </c>
      <c r="D2514" s="5" t="str">
        <v>632302318173</v>
      </c>
      <c r="E2514" s="0" t="e">
        <f>+7 (495) 2697345
+7 (495) 2691345</f>
        <v>#NAME?</v>
      </c>
      <c r="F2514" s="5" t="s">
        <v>32903</v>
      </c>
      <c r="G2514" s="5"/>
      <c r="H2514" s="26">
        <v>14.5</v>
      </c>
      <c r="I2514" s="5" t="s">
        <v>32904</v>
      </c>
      <c r="J2514" s="5" t="s">
        <v>947</v>
      </c>
      <c r="K2514" s="5" t="s">
        <v>344</v>
      </c>
      <c r="L2514" s="5" t="s">
        <v>32905</v>
      </c>
      <c r="M2514" s="27">
        <v>12940601</v>
      </c>
      <c r="N2514" s="5" t="s">
        <v>53316</v>
      </c>
      <c r="O2514" s="5" t="str">
        <v>7727666050</v>
      </c>
      <c r="P2514" s="27">
        <v>936842</v>
      </c>
      <c r="Q2514" s="5" t="s">
        <v>53317</v>
      </c>
      <c r="R2514" s="5" t="s">
        <v>53318</v>
      </c>
      <c r="S2514" s="5" t="s">
        <v>53319</v>
      </c>
      <c r="T2514" s="28">
        <v>28492000</v>
      </c>
      <c r="U2514" s="28"/>
      <c r="V2514" s="28">
        <v>3858383000</v>
      </c>
      <c r="W2514" s="28">
        <v>3900000</v>
      </c>
      <c r="X2514" s="28">
        <v>2682703000</v>
      </c>
      <c r="Y2514" s="28">
        <v>8867808000</v>
      </c>
      <c r="Z2514" s="28">
        <v>148724000</v>
      </c>
      <c r="AA2514" s="28">
        <v>1946458000</v>
      </c>
      <c r="AB2514" s="28">
        <v>11686000</v>
      </c>
      <c r="AC2514" s="28">
        <v>6770493000</v>
      </c>
      <c r="AD2514" s="28">
        <v>149661000</v>
      </c>
      <c r="AE2514" s="28">
        <v>6668453000</v>
      </c>
      <c r="AF2514" s="28">
        <v>263012000</v>
      </c>
      <c r="AG2514" s="11"/>
    </row>
    <row r="2515">
      <c r="A2515" s="7" t="s">
        <v>4207</v>
      </c>
      <c r="B2515" s="5" t="s">
        <v>12183</v>
      </c>
      <c r="C2515" s="5" t="s">
        <v>20023</v>
      </c>
      <c r="D2515" s="5" t="str">
        <v>720401634013</v>
      </c>
      <c r="E2515" s="0" t="e">
        <f>+7 (34551) 22495
+7 (34551) 23037
+7 (34551) 30107
+7 (34551) 72479
+7 (34551) 76439
+7 (345) 2685858
+7 (345) 2685860
+7 (34551) 39085
+7 (34551) 59902
+7 (34551) 59903
+7 (34551) 72495</f>
        <v>#NAME?</v>
      </c>
      <c r="F2515" s="5" t="s">
        <v>32906</v>
      </c>
      <c r="G2515" s="5" t="s">
        <v>32907</v>
      </c>
      <c r="H2515" s="26">
        <v>21.5</v>
      </c>
      <c r="I2515" s="5" t="s">
        <v>32908</v>
      </c>
      <c r="J2515" s="5" t="s">
        <v>27464</v>
      </c>
      <c r="K2515" s="5" t="s">
        <v>344</v>
      </c>
      <c r="L2515" s="5"/>
      <c r="M2515" s="27"/>
      <c r="N2515" s="5" t="s">
        <v>53320</v>
      </c>
      <c r="O2515" s="5" t="str">
        <v>7205010700</v>
      </c>
      <c r="P2515" s="27">
        <v>10000</v>
      </c>
      <c r="Q2515" s="5" t="s">
        <v>49059</v>
      </c>
      <c r="R2515" s="5"/>
      <c r="S2515" s="5" t="s">
        <v>49256</v>
      </c>
      <c r="T2515" s="28">
        <v>78775000</v>
      </c>
      <c r="U2515" s="28"/>
      <c r="V2515" s="28">
        <v>308435000</v>
      </c>
      <c r="W2515" s="28"/>
      <c r="X2515" s="28">
        <v>5620000</v>
      </c>
      <c r="Y2515" s="28">
        <v>651437000</v>
      </c>
      <c r="Z2515" s="28">
        <v>498643000</v>
      </c>
      <c r="AA2515" s="28"/>
      <c r="AB2515" s="28"/>
      <c r="AC2515" s="28">
        <v>152784000</v>
      </c>
      <c r="AD2515" s="28">
        <v>498653000</v>
      </c>
      <c r="AE2515" s="28">
        <v>3727050000</v>
      </c>
      <c r="AF2515" s="28">
        <v>4658000</v>
      </c>
      <c r="AG2515" s="11"/>
    </row>
    <row r="2516">
      <c r="A2516" s="7" t="s">
        <v>4208</v>
      </c>
      <c r="B2516" s="5" t="s">
        <v>12184</v>
      </c>
      <c r="C2516" s="5" t="s">
        <v>20024</v>
      </c>
      <c r="D2516" s="5" t="str">
        <v>121510738681</v>
      </c>
      <c r="E2516" s="0" t="e">
        <f>+7 (495) 1500500
+7 (495) 2345742
+7 (495) 9391395
+7 (495) 9392050
+7 (495) 9392849</f>
        <v>#NAME?</v>
      </c>
      <c r="F2516" s="5" t="s">
        <v>32909</v>
      </c>
      <c r="G2516" s="5"/>
      <c r="H2516" s="26">
        <v>29</v>
      </c>
      <c r="I2516" s="5"/>
      <c r="J2516" s="5" t="s">
        <v>755</v>
      </c>
      <c r="K2516" s="5" t="s">
        <v>380</v>
      </c>
      <c r="L2516" s="5"/>
      <c r="M2516" s="27"/>
      <c r="N2516" s="5"/>
      <c r="O2516" s="5" t="str">
        <v>7729020640</v>
      </c>
      <c r="P2516" s="27">
        <v>272350</v>
      </c>
      <c r="Q2516" s="5"/>
      <c r="R2516" s="5"/>
      <c r="S2516" s="5" t="s">
        <v>49110</v>
      </c>
      <c r="T2516" s="28">
        <v>61081000</v>
      </c>
      <c r="U2516" s="28"/>
      <c r="V2516" s="28">
        <v>397650000</v>
      </c>
      <c r="W2516" s="28">
        <v>260000000</v>
      </c>
      <c r="X2516" s="28">
        <v>3733000</v>
      </c>
      <c r="Y2516" s="28">
        <v>5285025000</v>
      </c>
      <c r="Z2516" s="28">
        <v>-376111000</v>
      </c>
      <c r="AA2516" s="28">
        <v>3319218000</v>
      </c>
      <c r="AB2516" s="28">
        <v>1385690000</v>
      </c>
      <c r="AC2516" s="28">
        <v>2109139000</v>
      </c>
      <c r="AD2516" s="28">
        <v>-375798000</v>
      </c>
      <c r="AE2516" s="28">
        <v>4203347000</v>
      </c>
      <c r="AF2516" s="28">
        <v>-218478000</v>
      </c>
      <c r="AG2516" s="11"/>
    </row>
    <row r="2517">
      <c r="A2517" s="7" t="s">
        <v>4209</v>
      </c>
      <c r="B2517" s="5" t="s">
        <v>12148</v>
      </c>
      <c r="C2517" s="5" t="s">
        <v>20025</v>
      </c>
      <c r="D2517" s="5" t="str">
        <v>381253453404</v>
      </c>
      <c r="E2517" s="0" t="e">
        <f>+7 (3952) 792450
+7 (3952) 792480
+7 (3952) 794487
+7 (3953) 324355</f>
        <v>#NAME?</v>
      </c>
      <c r="F2517" s="5" t="s">
        <v>32910</v>
      </c>
      <c r="G2517" s="5"/>
      <c r="H2517" s="26">
        <v>13.5</v>
      </c>
      <c r="I2517" s="5"/>
      <c r="J2517" s="5" t="s">
        <v>27802</v>
      </c>
      <c r="K2517" s="5" t="s">
        <v>355</v>
      </c>
      <c r="L2517" s="5"/>
      <c r="M2517" s="27">
        <v>966081167</v>
      </c>
      <c r="N2517" s="5" t="s">
        <v>53321</v>
      </c>
      <c r="O2517" s="5" t="str">
        <v>3812122706</v>
      </c>
      <c r="P2517" s="27">
        <v>20729634298</v>
      </c>
      <c r="Q2517" s="5" t="s">
        <v>53322</v>
      </c>
      <c r="R2517" s="5"/>
      <c r="S2517" s="5" t="s">
        <v>50262</v>
      </c>
      <c r="T2517" s="28">
        <v>56111532000</v>
      </c>
      <c r="U2517" s="28">
        <v>686672000</v>
      </c>
      <c r="V2517" s="28">
        <v>826867000</v>
      </c>
      <c r="W2517" s="28"/>
      <c r="X2517" s="28">
        <v>50256000</v>
      </c>
      <c r="Y2517" s="28">
        <v>58599000000</v>
      </c>
      <c r="Z2517" s="28">
        <v>-174035000</v>
      </c>
      <c r="AA2517" s="28">
        <v>3668971000</v>
      </c>
      <c r="AB2517" s="28">
        <v>1537791000</v>
      </c>
      <c r="AC2517" s="28">
        <v>8150479000</v>
      </c>
      <c r="AD2517" s="28">
        <v>39967822000</v>
      </c>
      <c r="AE2517" s="28">
        <v>27725816000</v>
      </c>
      <c r="AF2517" s="28">
        <v>-2789763000</v>
      </c>
      <c r="AG2517" s="11"/>
    </row>
    <row r="2518">
      <c r="A2518" s="7" t="s">
        <v>4210</v>
      </c>
      <c r="B2518" s="5" t="s">
        <v>12185</v>
      </c>
      <c r="C2518" s="5" t="s">
        <v>20026</v>
      </c>
      <c r="D2518" s="5" t="str">
        <v>480210057220</v>
      </c>
      <c r="E2518" s="0" t="e">
        <f>+7 (4725) 247548
+7 (474) 2510468
+7 (474) 2510469
+7 (474) 2515703
+7 (474) 2515704
+7 (474) 2727227
+7 (474) 2727727
+7 (474) 2727800
+7 (474) 2727900</f>
        <v>#NAME?</v>
      </c>
      <c r="F2518" s="5" t="s">
        <v>32911</v>
      </c>
      <c r="G2518" s="5" t="s">
        <v>32912</v>
      </c>
      <c r="H2518" s="26">
        <v>14</v>
      </c>
      <c r="I2518" s="5" t="s">
        <v>32913</v>
      </c>
      <c r="J2518" s="5" t="s">
        <v>26281</v>
      </c>
      <c r="K2518" s="5" t="s">
        <v>344</v>
      </c>
      <c r="L2518" s="5"/>
      <c r="M2518" s="27"/>
      <c r="N2518" s="5"/>
      <c r="O2518" s="5" t="str">
        <v>4802011710</v>
      </c>
      <c r="P2518" s="27">
        <v>5691453000</v>
      </c>
      <c r="Q2518" s="5" t="s">
        <v>49059</v>
      </c>
      <c r="R2518" s="5"/>
      <c r="S2518" s="5" t="s">
        <v>49029</v>
      </c>
      <c r="T2518" s="28">
        <v>2418353000</v>
      </c>
      <c r="U2518" s="28"/>
      <c r="V2518" s="28">
        <v>510113000</v>
      </c>
      <c r="W2518" s="28"/>
      <c r="X2518" s="28">
        <v>910620000</v>
      </c>
      <c r="Y2518" s="28">
        <v>5206641000</v>
      </c>
      <c r="Z2518" s="28">
        <v>-1337969000</v>
      </c>
      <c r="AA2518" s="28"/>
      <c r="AB2518" s="28"/>
      <c r="AC2518" s="28">
        <v>773228000</v>
      </c>
      <c r="AD2518" s="28">
        <v>4353484000</v>
      </c>
      <c r="AE2518" s="28">
        <v>3026147000</v>
      </c>
      <c r="AF2518" s="28">
        <v>-394788000</v>
      </c>
      <c r="AG2518" s="11"/>
    </row>
    <row r="2519">
      <c r="A2519" s="7" t="s">
        <v>4211</v>
      </c>
      <c r="B2519" s="5" t="s">
        <v>12186</v>
      </c>
      <c r="C2519" s="5" t="s">
        <v>20027</v>
      </c>
      <c r="D2519" s="5" t="str">
        <v>121508773128</v>
      </c>
      <c r="E2519" s="0" t="e">
        <f>+7 (836) 2685752
+7 (8362) 110171
+7 (8362) 117717
+7 (8362) 685603</f>
        <v>#NAME?</v>
      </c>
      <c r="F2519" s="5" t="s">
        <v>32914</v>
      </c>
      <c r="G2519" s="5" t="s">
        <v>32915</v>
      </c>
      <c r="H2519" s="26">
        <v>31</v>
      </c>
      <c r="I2519" s="5"/>
      <c r="J2519" s="5" t="s">
        <v>25788</v>
      </c>
      <c r="K2519" s="5" t="s">
        <v>344</v>
      </c>
      <c r="L2519" s="5"/>
      <c r="M2519" s="27"/>
      <c r="N2519" s="5" t="s">
        <v>53323</v>
      </c>
      <c r="O2519" s="5" t="str">
        <v>1215027621</v>
      </c>
      <c r="P2519" s="27">
        <v>52636080</v>
      </c>
      <c r="Q2519" s="5" t="s">
        <v>49009</v>
      </c>
      <c r="R2519" s="5"/>
      <c r="S2519" s="5" t="s">
        <v>51061</v>
      </c>
      <c r="T2519" s="28">
        <v>934829000</v>
      </c>
      <c r="U2519" s="28">
        <v>31549000</v>
      </c>
      <c r="V2519" s="28">
        <v>602828000</v>
      </c>
      <c r="W2519" s="28">
        <v>84000</v>
      </c>
      <c r="X2519" s="28">
        <v>1575176000</v>
      </c>
      <c r="Y2519" s="28">
        <v>4649924000</v>
      </c>
      <c r="Z2519" s="28">
        <v>2432615000</v>
      </c>
      <c r="AA2519" s="28">
        <v>907734000</v>
      </c>
      <c r="AB2519" s="28">
        <v>555783000</v>
      </c>
      <c r="AC2519" s="28">
        <v>1120609000</v>
      </c>
      <c r="AD2519" s="28">
        <v>2558562000</v>
      </c>
      <c r="AE2519" s="28">
        <v>9191408000</v>
      </c>
      <c r="AF2519" s="28">
        <v>312629000</v>
      </c>
      <c r="AG2519" s="11"/>
    </row>
    <row r="2520">
      <c r="A2520" s="7" t="s">
        <v>4212</v>
      </c>
      <c r="B2520" s="5" t="s">
        <v>12187</v>
      </c>
      <c r="C2520" s="5" t="s">
        <v>20028</v>
      </c>
      <c r="D2520" s="5" t="str">
        <v>511005701280</v>
      </c>
      <c r="E2520" s="0" t="e">
        <f>+7 (499) 3227158
+7 (3422) 71033
+7 (495) 1061518
+7 (499) 1439900
+7 (499) 1439908
+7 (499) 1439927
+7 (499) 1439932
+7 (499) 1439934
+7 (499) 3806896
+7 (499) 9993131
+7 (800) 7773131</f>
        <v>#NAME?</v>
      </c>
      <c r="F2520" s="5" t="s">
        <v>32916</v>
      </c>
      <c r="G2520" s="5" t="s">
        <v>32917</v>
      </c>
      <c r="H2520" s="26">
        <v>12</v>
      </c>
      <c r="I2520" s="5"/>
      <c r="J2520" s="5" t="s">
        <v>25349</v>
      </c>
      <c r="K2520" s="5" t="s">
        <v>344</v>
      </c>
      <c r="L2520" s="5"/>
      <c r="M2520" s="27"/>
      <c r="N2520" s="5" t="s">
        <v>53324</v>
      </c>
      <c r="O2520" s="5" t="str">
        <v>7729674716</v>
      </c>
      <c r="P2520" s="27">
        <v>1130000</v>
      </c>
      <c r="Q2520" s="5" t="s">
        <v>49009</v>
      </c>
      <c r="R2520" s="5"/>
      <c r="S2520" s="5" t="s">
        <v>53325</v>
      </c>
      <c r="T2520" s="28">
        <v>2930055000</v>
      </c>
      <c r="U2520" s="28"/>
      <c r="V2520" s="28">
        <v>2372213000</v>
      </c>
      <c r="W2520" s="28">
        <v>65756000</v>
      </c>
      <c r="X2520" s="28">
        <v>140111000</v>
      </c>
      <c r="Y2520" s="28">
        <v>6188088000</v>
      </c>
      <c r="Z2520" s="28">
        <v>-5543837000</v>
      </c>
      <c r="AA2520" s="28"/>
      <c r="AB2520" s="28">
        <v>9188505000</v>
      </c>
      <c r="AC2520" s="28">
        <v>11422825000</v>
      </c>
      <c r="AD2520" s="28">
        <v>-5234553000</v>
      </c>
      <c r="AE2520" s="28">
        <v>4063620000</v>
      </c>
      <c r="AF2520" s="28">
        <v>-105310000</v>
      </c>
      <c r="AG2520" s="11"/>
    </row>
    <row r="2521">
      <c r="A2521" s="7" t="s">
        <v>4213</v>
      </c>
      <c r="B2521" s="5" t="s">
        <v>12188</v>
      </c>
      <c r="C2521" s="5" t="s">
        <v>20029</v>
      </c>
      <c r="D2521" s="5"/>
      <c r="E2521" s="0" t="e">
        <f>+7 (978) 9007020
+7 (3652) 251032
+7 (918) 2302252
+7 (978) 9000404
+7 (978) 9000909
+7 (978) 9000920
+7 (978) 9000933
+7 (978) 9000955
+7 (978) 9000999</f>
        <v>#NAME?</v>
      </c>
      <c r="F2521" s="5" t="s">
        <v>32918</v>
      </c>
      <c r="G2521" s="5" t="s">
        <v>32919</v>
      </c>
      <c r="H2521" s="26">
        <v>8.5</v>
      </c>
      <c r="I2521" s="5" t="s">
        <v>32920</v>
      </c>
      <c r="J2521" s="5" t="s">
        <v>32921</v>
      </c>
      <c r="K2521" s="5" t="s">
        <v>344</v>
      </c>
      <c r="L2521" s="5" t="s">
        <v>32922</v>
      </c>
      <c r="M2521" s="27">
        <v>9296110</v>
      </c>
      <c r="N2521" s="5" t="s">
        <v>53326</v>
      </c>
      <c r="O2521" s="5" t="str">
        <v>2308210371</v>
      </c>
      <c r="P2521" s="27">
        <v>10000</v>
      </c>
      <c r="Q2521" s="5" t="s">
        <v>53327</v>
      </c>
      <c r="R2521" s="5"/>
      <c r="S2521" s="5" t="s">
        <v>51813</v>
      </c>
      <c r="T2521" s="28">
        <v>4869694000</v>
      </c>
      <c r="U2521" s="28">
        <v>100000</v>
      </c>
      <c r="V2521" s="28">
        <v>863775000</v>
      </c>
      <c r="W2521" s="28"/>
      <c r="X2521" s="28">
        <v>6754023000</v>
      </c>
      <c r="Y2521" s="28">
        <v>16786697000</v>
      </c>
      <c r="Z2521" s="28">
        <v>13879313000</v>
      </c>
      <c r="AA2521" s="28">
        <v>163808000</v>
      </c>
      <c r="AB2521" s="28">
        <v>293000</v>
      </c>
      <c r="AC2521" s="28">
        <v>1207913000</v>
      </c>
      <c r="AD2521" s="28">
        <v>13910225000</v>
      </c>
      <c r="AE2521" s="28">
        <v>8236288000</v>
      </c>
      <c r="AF2521" s="28">
        <v>3227283000</v>
      </c>
      <c r="AG2521" s="11"/>
    </row>
    <row r="2522">
      <c r="A2522" s="7" t="s">
        <v>4214</v>
      </c>
      <c r="B2522" s="5" t="s">
        <v>12189</v>
      </c>
      <c r="C2522" s="5" t="s">
        <v>20030</v>
      </c>
      <c r="D2522" s="5" t="str">
        <v>505198718761</v>
      </c>
      <c r="E2522" s="0" t="e">
        <f>+7 (495) 9741064</f>
        <v>#NAME?</v>
      </c>
      <c r="F2522" s="5" t="s">
        <v>32923</v>
      </c>
      <c r="G2522" s="5" t="s">
        <v>32924</v>
      </c>
      <c r="H2522" s="26">
        <v>14</v>
      </c>
      <c r="I2522" s="5"/>
      <c r="J2522" s="5" t="s">
        <v>1026</v>
      </c>
      <c r="K2522" s="5" t="s">
        <v>344</v>
      </c>
      <c r="L2522" s="5" t="s">
        <v>31964</v>
      </c>
      <c r="M2522" s="27"/>
      <c r="N2522" s="5" t="s">
        <v>53328</v>
      </c>
      <c r="O2522" s="5" t="str">
        <v>7701829110</v>
      </c>
      <c r="P2522" s="27">
        <v>120000000</v>
      </c>
      <c r="Q2522" s="5" t="s">
        <v>53329</v>
      </c>
      <c r="R2522" s="5"/>
      <c r="S2522" s="5" t="s">
        <v>53330</v>
      </c>
      <c r="T2522" s="28">
        <v>61681000</v>
      </c>
      <c r="U2522" s="28"/>
      <c r="V2522" s="28">
        <v>827084000</v>
      </c>
      <c r="W2522" s="28">
        <v>1500000</v>
      </c>
      <c r="X2522" s="28">
        <v>1322911000</v>
      </c>
      <c r="Y2522" s="28">
        <v>2334454000</v>
      </c>
      <c r="Z2522" s="28">
        <v>201789000</v>
      </c>
      <c r="AA2522" s="28">
        <v>13508000</v>
      </c>
      <c r="AB2522" s="28">
        <v>2573000</v>
      </c>
      <c r="AC2522" s="28">
        <v>1988824000</v>
      </c>
      <c r="AD2522" s="28">
        <v>327789000</v>
      </c>
      <c r="AE2522" s="28">
        <v>3607763000</v>
      </c>
      <c r="AF2522" s="28">
        <v>136042000</v>
      </c>
      <c r="AG2522" s="11"/>
    </row>
    <row r="2523">
      <c r="A2523" s="7" t="s">
        <v>4215</v>
      </c>
      <c r="B2523" s="5" t="s">
        <v>12190</v>
      </c>
      <c r="C2523" s="5" t="s">
        <v>17745</v>
      </c>
      <c r="D2523" s="5" t="str">
        <v>780709872139</v>
      </c>
      <c r="E2523" s="0" t="e">
        <f>+7 (812) 6271780
+7 (812) 6453617
+7 (812) 6453633
+7 (964) 3295051
+7 (981) 8088191</f>
        <v>#NAME?</v>
      </c>
      <c r="F2523" s="5" t="s">
        <v>32925</v>
      </c>
      <c r="G2523" s="5"/>
      <c r="H2523" s="26">
        <v>8.5</v>
      </c>
      <c r="I2523" s="5" t="s">
        <v>32926</v>
      </c>
      <c r="J2523" s="5" t="s">
        <v>25559</v>
      </c>
      <c r="K2523" s="5" t="s">
        <v>344</v>
      </c>
      <c r="L2523" s="5" t="s">
        <v>32927</v>
      </c>
      <c r="M2523" s="27"/>
      <c r="N2523" s="5"/>
      <c r="O2523" s="5" t="str">
        <v>7805653171</v>
      </c>
      <c r="P2523" s="27">
        <v>50080000</v>
      </c>
      <c r="Q2523" s="5" t="s">
        <v>49021</v>
      </c>
      <c r="R2523" s="5"/>
      <c r="S2523" s="5" t="s">
        <v>53331</v>
      </c>
      <c r="T2523" s="28">
        <v>710958000</v>
      </c>
      <c r="U2523" s="28"/>
      <c r="V2523" s="28">
        <v>555432000</v>
      </c>
      <c r="W2523" s="28"/>
      <c r="X2523" s="28">
        <v>59057000</v>
      </c>
      <c r="Y2523" s="28">
        <v>4939285000</v>
      </c>
      <c r="Z2523" s="28">
        <v>1570812000</v>
      </c>
      <c r="AA2523" s="28">
        <v>872309000</v>
      </c>
      <c r="AB2523" s="28">
        <v>73000</v>
      </c>
      <c r="AC2523" s="28">
        <v>1681064000</v>
      </c>
      <c r="AD2523" s="28">
        <v>1620892000</v>
      </c>
      <c r="AE2523" s="28">
        <v>6928299000</v>
      </c>
      <c r="AF2523" s="28">
        <v>935525000</v>
      </c>
      <c r="AG2523" s="11"/>
    </row>
    <row r="2524">
      <c r="A2524" s="7" t="s">
        <v>4216</v>
      </c>
      <c r="B2524" s="5" t="s">
        <v>12191</v>
      </c>
      <c r="C2524" s="5" t="s">
        <v>20031</v>
      </c>
      <c r="D2524" s="5" t="str">
        <v>741505834340</v>
      </c>
      <c r="E2524" s="0" t="e">
        <f>+7 (903) 834621
+7 (912) 6310773
+7 (343) 2885838
+7 (421) 2929204
+7 (922) 1559061
+7 (922) 2333787
+7 (985) 6667603</f>
        <v>#NAME?</v>
      </c>
      <c r="F2524" s="5" t="s">
        <v>32928</v>
      </c>
      <c r="G2524" s="5" t="s">
        <v>32929</v>
      </c>
      <c r="H2524" s="26">
        <v>6.5</v>
      </c>
      <c r="I2524" s="5" t="s">
        <v>32930</v>
      </c>
      <c r="J2524" s="5" t="s">
        <v>25612</v>
      </c>
      <c r="K2524" s="5" t="s">
        <v>344</v>
      </c>
      <c r="L2524" s="5" t="s">
        <v>32931</v>
      </c>
      <c r="M2524" s="27"/>
      <c r="N2524" s="5" t="s">
        <v>53332</v>
      </c>
      <c r="O2524" s="5" t="str">
        <v>7801315439</v>
      </c>
      <c r="P2524" s="27">
        <v>1000000</v>
      </c>
      <c r="Q2524" s="5" t="s">
        <v>53333</v>
      </c>
      <c r="R2524" s="5"/>
      <c r="S2524" s="5" t="s">
        <v>53334</v>
      </c>
      <c r="T2524" s="28">
        <v>5056000</v>
      </c>
      <c r="U2524" s="28"/>
      <c r="V2524" s="28">
        <v>1375581000</v>
      </c>
      <c r="W2524" s="28">
        <v>417069000</v>
      </c>
      <c r="X2524" s="28">
        <v>458834000</v>
      </c>
      <c r="Y2524" s="28">
        <v>2341158000</v>
      </c>
      <c r="Z2524" s="28">
        <v>481684000</v>
      </c>
      <c r="AA2524" s="28"/>
      <c r="AB2524" s="28">
        <v>20000</v>
      </c>
      <c r="AC2524" s="28">
        <v>1857018000</v>
      </c>
      <c r="AD2524" s="28">
        <v>482684000</v>
      </c>
      <c r="AE2524" s="28">
        <v>10706612000</v>
      </c>
      <c r="AF2524" s="28">
        <v>683676000</v>
      </c>
      <c r="AG2524" s="11"/>
    </row>
    <row r="2525">
      <c r="A2525" s="7" t="s">
        <v>4217</v>
      </c>
      <c r="B2525" s="5" t="s">
        <v>12192</v>
      </c>
      <c r="C2525" s="5" t="s">
        <v>20032</v>
      </c>
      <c r="D2525" s="5" t="str">
        <v>600200881786</v>
      </c>
      <c r="E2525" s="0" t="e">
        <f>+7 (81153) 90781
+7 (81153) 91484
+7 (81153) 91525
+7 (81153) 91650
+7 (81153) 91786
+7 (81153) 91824
+7 (81153) 94341
+7 (81153) 94390
+7 (81153) 95677
+7 (81153) 96235
+7 (81153) 96793
+7 (81153) 97130</f>
        <v>#NAME?</v>
      </c>
      <c r="F2525" s="5" t="s">
        <v>32932</v>
      </c>
      <c r="G2525" s="5" t="s">
        <v>32933</v>
      </c>
      <c r="H2525" s="26">
        <v>27</v>
      </c>
      <c r="I2525" s="5" t="s">
        <v>32934</v>
      </c>
      <c r="J2525" s="5" t="s">
        <v>655</v>
      </c>
      <c r="K2525" s="5" t="s">
        <v>344</v>
      </c>
      <c r="L2525" s="5" t="s">
        <v>32935</v>
      </c>
      <c r="M2525" s="27"/>
      <c r="N2525" s="5" t="s">
        <v>53335</v>
      </c>
      <c r="O2525" s="5" t="str">
        <v>6025013482</v>
      </c>
      <c r="P2525" s="27">
        <v>10000</v>
      </c>
      <c r="Q2525" s="5"/>
      <c r="R2525" s="5"/>
      <c r="S2525" s="5" t="s">
        <v>49029</v>
      </c>
      <c r="T2525" s="28">
        <v>599429000</v>
      </c>
      <c r="U2525" s="28"/>
      <c r="V2525" s="28">
        <v>732314000</v>
      </c>
      <c r="W2525" s="28">
        <v>204400000</v>
      </c>
      <c r="X2525" s="28">
        <v>181130000</v>
      </c>
      <c r="Y2525" s="28">
        <v>2458140000</v>
      </c>
      <c r="Z2525" s="28">
        <v>2135874000</v>
      </c>
      <c r="AA2525" s="28"/>
      <c r="AB2525" s="28"/>
      <c r="AC2525" s="28">
        <v>309031000</v>
      </c>
      <c r="AD2525" s="28">
        <v>2135886000</v>
      </c>
      <c r="AE2525" s="28">
        <v>7470172000</v>
      </c>
      <c r="AF2525" s="28">
        <v>359594000</v>
      </c>
      <c r="AG2525" s="11"/>
    </row>
    <row r="2526">
      <c r="A2526" s="7" t="s">
        <v>4218</v>
      </c>
      <c r="B2526" s="5" t="s">
        <v>12193</v>
      </c>
      <c r="C2526" s="5" t="s">
        <v>20033</v>
      </c>
      <c r="D2526" s="5" t="str">
        <v>662700467504</v>
      </c>
      <c r="E2526" s="0" t="e">
        <f>+7 (34271) 30170
+7 (343) 3800887</f>
        <v>#NAME?</v>
      </c>
      <c r="F2526" s="5" t="s">
        <v>32936</v>
      </c>
      <c r="G2526" s="5" t="s">
        <v>32937</v>
      </c>
      <c r="H2526" s="26">
        <v>31</v>
      </c>
      <c r="I2526" s="5" t="s">
        <v>32938</v>
      </c>
      <c r="J2526" s="5" t="s">
        <v>655</v>
      </c>
      <c r="K2526" s="5" t="s">
        <v>344</v>
      </c>
      <c r="L2526" s="5" t="s">
        <v>32939</v>
      </c>
      <c r="M2526" s="27"/>
      <c r="N2526" s="5" t="s">
        <v>53336</v>
      </c>
      <c r="O2526" s="5" t="str">
        <v>5940200262</v>
      </c>
      <c r="P2526" s="27">
        <v>1000000</v>
      </c>
      <c r="Q2526" s="5" t="s">
        <v>53337</v>
      </c>
      <c r="R2526" s="5"/>
      <c r="S2526" s="5" t="s">
        <v>53338</v>
      </c>
      <c r="T2526" s="28">
        <v>153273000</v>
      </c>
      <c r="U2526" s="28">
        <v>1543793000</v>
      </c>
      <c r="V2526" s="28">
        <v>787879000</v>
      </c>
      <c r="W2526" s="28">
        <v>1293900000</v>
      </c>
      <c r="X2526" s="28">
        <v>104636000</v>
      </c>
      <c r="Y2526" s="28">
        <v>3898364000</v>
      </c>
      <c r="Z2526" s="28">
        <v>3192570000</v>
      </c>
      <c r="AA2526" s="28">
        <v>500000000</v>
      </c>
      <c r="AB2526" s="28">
        <v>4663000</v>
      </c>
      <c r="AC2526" s="28">
        <v>199717000</v>
      </c>
      <c r="AD2526" s="28">
        <v>3193570000</v>
      </c>
      <c r="AE2526" s="28">
        <v>17830168000</v>
      </c>
      <c r="AF2526" s="28">
        <v>1764292000</v>
      </c>
      <c r="AG2526" s="11"/>
    </row>
    <row r="2527">
      <c r="A2527" s="7" t="s">
        <v>4219</v>
      </c>
      <c r="B2527" s="5" t="s">
        <v>12194</v>
      </c>
      <c r="C2527" s="5" t="s">
        <v>20034</v>
      </c>
      <c r="D2527" s="5" t="str">
        <v>661205918768</v>
      </c>
      <c r="E2527" s="0" t="e">
        <f>+7 (912) 478105</f>
        <v>#NAME?</v>
      </c>
      <c r="F2527" s="5"/>
      <c r="G2527" s="5"/>
      <c r="H2527" s="26">
        <v>8</v>
      </c>
      <c r="I2527" s="5" t="s">
        <v>32940</v>
      </c>
      <c r="J2527" s="5" t="s">
        <v>32941</v>
      </c>
      <c r="K2527" s="5" t="s">
        <v>355</v>
      </c>
      <c r="L2527" s="5" t="s">
        <v>32942</v>
      </c>
      <c r="M2527" s="27"/>
      <c r="N2527" s="5"/>
      <c r="O2527" s="5" t="str">
        <v>6685081070</v>
      </c>
      <c r="P2527" s="27">
        <v>100000</v>
      </c>
      <c r="Q2527" s="5" t="s">
        <v>49009</v>
      </c>
      <c r="R2527" s="5" t="s">
        <v>53339</v>
      </c>
      <c r="S2527" s="5" t="s">
        <v>49010</v>
      </c>
      <c r="T2527" s="28">
        <v>105017000</v>
      </c>
      <c r="U2527" s="28"/>
      <c r="V2527" s="28">
        <v>4032505000</v>
      </c>
      <c r="W2527" s="28"/>
      <c r="X2527" s="28">
        <v>12143000</v>
      </c>
      <c r="Y2527" s="28">
        <v>4661262000</v>
      </c>
      <c r="Z2527" s="28">
        <v>-436152000</v>
      </c>
      <c r="AA2527" s="28"/>
      <c r="AB2527" s="28"/>
      <c r="AC2527" s="28">
        <v>4781320000</v>
      </c>
      <c r="AD2527" s="28">
        <v>-436052000</v>
      </c>
      <c r="AE2527" s="28">
        <v>28933085000</v>
      </c>
      <c r="AF2527" s="28">
        <v>-560669000</v>
      </c>
      <c r="AG2527" s="11"/>
    </row>
    <row r="2528">
      <c r="A2528" s="7" t="s">
        <v>4220</v>
      </c>
      <c r="B2528" s="5" t="s">
        <v>12195</v>
      </c>
      <c r="C2528" s="5" t="s">
        <v>20035</v>
      </c>
      <c r="D2528" s="5" t="str">
        <v>602705198078</v>
      </c>
      <c r="E2528" s="0" t="e">
        <f>+7 (953) 2318333
+7 (903) 1547202</f>
        <v>#NAME?</v>
      </c>
      <c r="F2528" s="5" t="s">
        <v>32943</v>
      </c>
      <c r="G2528" s="5"/>
      <c r="H2528" s="26">
        <v>5</v>
      </c>
      <c r="I2528" s="5" t="s">
        <v>32944</v>
      </c>
      <c r="J2528" s="5" t="s">
        <v>655</v>
      </c>
      <c r="K2528" s="5" t="s">
        <v>380</v>
      </c>
      <c r="L2528" s="5" t="s">
        <v>32945</v>
      </c>
      <c r="M2528" s="27">
        <v>1108500</v>
      </c>
      <c r="N2528" s="5"/>
      <c r="O2528" s="5" t="str">
        <v>7728393399</v>
      </c>
      <c r="P2528" s="27">
        <v>101000</v>
      </c>
      <c r="Q2528" s="5" t="s">
        <v>49207</v>
      </c>
      <c r="R2528" s="5"/>
      <c r="S2528" s="5" t="s">
        <v>49311</v>
      </c>
      <c r="T2528" s="28">
        <v>421941000</v>
      </c>
      <c r="U2528" s="28"/>
      <c r="V2528" s="28">
        <v>260154000</v>
      </c>
      <c r="W2528" s="28">
        <v>271118000</v>
      </c>
      <c r="X2528" s="28">
        <v>14730000</v>
      </c>
      <c r="Y2528" s="28">
        <v>1411803000</v>
      </c>
      <c r="Z2528" s="28">
        <v>-29942000</v>
      </c>
      <c r="AA2528" s="28"/>
      <c r="AB2528" s="28"/>
      <c r="AC2528" s="28">
        <v>1234280000</v>
      </c>
      <c r="AD2528" s="28">
        <v>72684000</v>
      </c>
      <c r="AE2528" s="28">
        <v>9245490000</v>
      </c>
      <c r="AF2528" s="28">
        <v>-72615000</v>
      </c>
      <c r="AG2528" s="11"/>
    </row>
    <row r="2529">
      <c r="A2529" s="7" t="s">
        <v>4221</v>
      </c>
      <c r="B2529" s="5" t="s">
        <v>12196</v>
      </c>
      <c r="C2529" s="5" t="s">
        <v>20036</v>
      </c>
      <c r="D2529" s="5" t="str">
        <v>482618353188</v>
      </c>
      <c r="E2529" s="0" t="e">
        <f>+7 (878) 2202656
+7 (878) 2204000
+7 (495) 7952580
+7 (878) 2232258
+7 (878) 2264493
+7 (878) 2272258
+7 (878) 2293802
+7 (878) 2293806
+7 (87875) 32258
+7 (87875) 64493</f>
        <v>#NAME?</v>
      </c>
      <c r="F2529" s="5" t="s">
        <v>32946</v>
      </c>
      <c r="G2529" s="5"/>
      <c r="H2529" s="26">
        <v>30</v>
      </c>
      <c r="I2529" s="5"/>
      <c r="J2529" s="5" t="s">
        <v>26407</v>
      </c>
      <c r="K2529" s="5" t="s">
        <v>344</v>
      </c>
      <c r="L2529" s="5" t="s">
        <v>32947</v>
      </c>
      <c r="M2529" s="27">
        <v>14679316</v>
      </c>
      <c r="N2529" s="5"/>
      <c r="O2529" s="5" t="str">
        <v>0909000840</v>
      </c>
      <c r="P2529" s="27">
        <v>62200</v>
      </c>
      <c r="Q2529" s="5" t="s">
        <v>49059</v>
      </c>
      <c r="R2529" s="5" t="s">
        <v>53340</v>
      </c>
      <c r="S2529" s="5" t="s">
        <v>49121</v>
      </c>
      <c r="T2529" s="28">
        <v>1919090000</v>
      </c>
      <c r="U2529" s="28">
        <v>1956020000</v>
      </c>
      <c r="V2529" s="28">
        <v>1806261000</v>
      </c>
      <c r="W2529" s="28"/>
      <c r="X2529" s="28">
        <v>2821000</v>
      </c>
      <c r="Y2529" s="28">
        <v>6536680000</v>
      </c>
      <c r="Z2529" s="28">
        <v>3519193000</v>
      </c>
      <c r="AA2529" s="28">
        <v>1610839000</v>
      </c>
      <c r="AB2529" s="28">
        <v>33311000</v>
      </c>
      <c r="AC2529" s="28">
        <v>1071972000</v>
      </c>
      <c r="AD2529" s="28">
        <v>3726681000</v>
      </c>
      <c r="AE2529" s="28">
        <v>9902140000</v>
      </c>
      <c r="AF2529" s="28">
        <v>1631895000</v>
      </c>
      <c r="AG2529" s="11"/>
    </row>
    <row r="2530">
      <c r="A2530" s="7" t="s">
        <v>4222</v>
      </c>
      <c r="B2530" s="5" t="s">
        <v>12197</v>
      </c>
      <c r="C2530" s="5" t="s">
        <v>20037</v>
      </c>
      <c r="D2530" s="5" t="str">
        <v>165013357350</v>
      </c>
      <c r="E2530" s="0" t="e">
        <f>+7 (8435) 120900
+7 (8435) 120938
+7 (8435) 168255
+7 (8435) 641221</f>
        <v>#NAME?</v>
      </c>
      <c r="F2530" s="5" t="s">
        <v>32948</v>
      </c>
      <c r="G2530" s="5" t="s">
        <v>32949</v>
      </c>
      <c r="H2530" s="26">
        <v>5.5</v>
      </c>
      <c r="I2530" s="5" t="s">
        <v>32950</v>
      </c>
      <c r="J2530" s="5" t="s">
        <v>32951</v>
      </c>
      <c r="K2530" s="5" t="s">
        <v>355</v>
      </c>
      <c r="L2530" s="5"/>
      <c r="M2530" s="27">
        <v>74357796</v>
      </c>
      <c r="N2530" s="5" t="s">
        <v>53341</v>
      </c>
      <c r="O2530" s="5" t="str">
        <v>1658200272</v>
      </c>
      <c r="P2530" s="27">
        <v>562886008</v>
      </c>
      <c r="Q2530" s="5"/>
      <c r="R2530" s="5" t="s">
        <v>53342</v>
      </c>
      <c r="S2530" s="5" t="s">
        <v>49399</v>
      </c>
      <c r="T2530" s="28">
        <v>567111000</v>
      </c>
      <c r="U2530" s="28">
        <v>1527207000</v>
      </c>
      <c r="V2530" s="28">
        <v>512077000</v>
      </c>
      <c r="W2530" s="28">
        <v>41226000</v>
      </c>
      <c r="X2530" s="28">
        <v>584000</v>
      </c>
      <c r="Y2530" s="28">
        <v>3020137000</v>
      </c>
      <c r="Z2530" s="28">
        <v>124073000</v>
      </c>
      <c r="AA2530" s="28">
        <v>352318000</v>
      </c>
      <c r="AB2530" s="28">
        <v>428132000</v>
      </c>
      <c r="AC2530" s="28">
        <v>1908017000</v>
      </c>
      <c r="AD2530" s="28">
        <v>726253000</v>
      </c>
      <c r="AE2530" s="28">
        <v>5279901000</v>
      </c>
      <c r="AF2530" s="28">
        <v>5387000</v>
      </c>
      <c r="AG2530" s="11"/>
    </row>
    <row r="2531">
      <c r="A2531" s="7" t="s">
        <v>4223</v>
      </c>
      <c r="B2531" s="5" t="s">
        <v>12198</v>
      </c>
      <c r="C2531" s="5" t="s">
        <v>18868</v>
      </c>
      <c r="D2531" s="5"/>
      <c r="E2531" s="0" t="e">
        <f>+7 (912) 7677361</f>
        <v>#NAME?</v>
      </c>
      <c r="F2531" s="5"/>
      <c r="G2531" s="5"/>
      <c r="H2531" s="26">
        <v>5.5</v>
      </c>
      <c r="I2531" s="5" t="s">
        <v>32952</v>
      </c>
      <c r="J2531" s="5" t="s">
        <v>25231</v>
      </c>
      <c r="K2531" s="5" t="s">
        <v>344</v>
      </c>
      <c r="L2531" s="5" t="s">
        <v>32953</v>
      </c>
      <c r="M2531" s="27"/>
      <c r="N2531" s="5" t="s">
        <v>53343</v>
      </c>
      <c r="O2531" s="5" t="str">
        <v>1660297582</v>
      </c>
      <c r="P2531" s="27">
        <v>370000000</v>
      </c>
      <c r="Q2531" s="5"/>
      <c r="R2531" s="5"/>
      <c r="S2531" s="5" t="s">
        <v>49425</v>
      </c>
      <c r="T2531" s="28">
        <v>2612130000</v>
      </c>
      <c r="U2531" s="28"/>
      <c r="V2531" s="28">
        <v>323979000</v>
      </c>
      <c r="W2531" s="28">
        <v>885200000</v>
      </c>
      <c r="X2531" s="28">
        <v>33567000</v>
      </c>
      <c r="Y2531" s="28">
        <v>4870954000</v>
      </c>
      <c r="Z2531" s="28">
        <v>-38539000</v>
      </c>
      <c r="AA2531" s="28">
        <v>1742378000</v>
      </c>
      <c r="AB2531" s="28">
        <v>2239232000</v>
      </c>
      <c r="AC2531" s="28">
        <v>2618063000</v>
      </c>
      <c r="AD2531" s="28">
        <v>331461000</v>
      </c>
      <c r="AE2531" s="28">
        <v>9500145000</v>
      </c>
      <c r="AF2531" s="28">
        <v>125133000</v>
      </c>
      <c r="AG2531" s="11"/>
    </row>
    <row r="2532">
      <c r="A2532" s="7" t="s">
        <v>4224</v>
      </c>
      <c r="B2532" s="5" t="s">
        <v>12199</v>
      </c>
      <c r="C2532" s="5" t="s">
        <v>18462</v>
      </c>
      <c r="D2532" s="5" t="str">
        <v>771700411467</v>
      </c>
      <c r="E2532" s="0" t="e">
        <f>+7 (343) 3111342
+7 (495) 2291927
+7 (495) 2361167
+7 (495) 2586784
+7 (495) 2870978
+7 (495) 2870979
+7 (495) 5807752
+7 (495) 5809975
+7 (495) 6055842
+7 (495) 6651504
+7 (495) 6870979
+7 (495) 6991024
+7 (495) 7802225
+7 (495) 9330581
+7 (495) 9661415</f>
        <v>#NAME?</v>
      </c>
      <c r="F2532" s="5" t="s">
        <v>32954</v>
      </c>
      <c r="G2532" s="5" t="s">
        <v>32955</v>
      </c>
      <c r="H2532" s="26">
        <v>16</v>
      </c>
      <c r="I2532" s="5" t="s">
        <v>32956</v>
      </c>
      <c r="J2532" s="5" t="s">
        <v>25195</v>
      </c>
      <c r="K2532" s="5" t="s">
        <v>355</v>
      </c>
      <c r="L2532" s="5"/>
      <c r="M2532" s="27">
        <v>35555967</v>
      </c>
      <c r="N2532" s="5"/>
      <c r="O2532" s="5" t="str">
        <v>7703820810</v>
      </c>
      <c r="P2532" s="27">
        <v>2117010000</v>
      </c>
      <c r="Q2532" s="5"/>
      <c r="R2532" s="5"/>
      <c r="S2532" s="5" t="s">
        <v>49053</v>
      </c>
      <c r="T2532" s="28">
        <v>2334934000</v>
      </c>
      <c r="U2532" s="28"/>
      <c r="V2532" s="28">
        <v>167230000</v>
      </c>
      <c r="W2532" s="28"/>
      <c r="X2532" s="28">
        <v>116414000</v>
      </c>
      <c r="Y2532" s="28">
        <v>4098162000</v>
      </c>
      <c r="Z2532" s="28">
        <v>-2003217000</v>
      </c>
      <c r="AA2532" s="28"/>
      <c r="AB2532" s="28"/>
      <c r="AC2532" s="28">
        <v>2077834000</v>
      </c>
      <c r="AD2532" s="28">
        <v>221763000</v>
      </c>
      <c r="AE2532" s="28">
        <v>3485315000</v>
      </c>
      <c r="AF2532" s="28">
        <v>140340000</v>
      </c>
      <c r="AG2532" s="11"/>
    </row>
    <row r="2533">
      <c r="A2533" s="7" t="s">
        <v>4225</v>
      </c>
      <c r="B2533" s="5" t="s">
        <v>12200</v>
      </c>
      <c r="C2533" s="5" t="s">
        <v>19127</v>
      </c>
      <c r="D2533" s="5"/>
      <c r="E2533" s="0" t="e">
        <f>+7 (843) 2917968
+7 (937) 7712092
+7 (8432) 917874
+7 (8432) 917909
+7 (8432) 917951
+7 (8432) 917967
+7 (8432) 917992
+7 (8435) 620989</f>
        <v>#NAME?</v>
      </c>
      <c r="F2533" s="5" t="s">
        <v>32957</v>
      </c>
      <c r="G2533" s="5" t="s">
        <v>32958</v>
      </c>
      <c r="H2533" s="26">
        <v>27.5</v>
      </c>
      <c r="I2533" s="5"/>
      <c r="J2533" s="5" t="s">
        <v>30421</v>
      </c>
      <c r="K2533" s="5" t="s">
        <v>344</v>
      </c>
      <c r="L2533" s="5" t="s">
        <v>32959</v>
      </c>
      <c r="M2533" s="27">
        <v>4904640</v>
      </c>
      <c r="N2533" s="5" t="s">
        <v>53344</v>
      </c>
      <c r="O2533" s="5" t="str">
        <v>1660004878</v>
      </c>
      <c r="P2533" s="27">
        <v>17580000</v>
      </c>
      <c r="Q2533" s="5" t="s">
        <v>53345</v>
      </c>
      <c r="R2533" s="5"/>
      <c r="S2533" s="5" t="s">
        <v>53346</v>
      </c>
      <c r="T2533" s="28">
        <v>1966047000</v>
      </c>
      <c r="U2533" s="28">
        <v>209000</v>
      </c>
      <c r="V2533" s="28">
        <v>11929947000</v>
      </c>
      <c r="W2533" s="28"/>
      <c r="X2533" s="28">
        <v>6722500000</v>
      </c>
      <c r="Y2533" s="28">
        <v>25357657000</v>
      </c>
      <c r="Z2533" s="28">
        <v>4890169000</v>
      </c>
      <c r="AA2533" s="28">
        <v>1322337000</v>
      </c>
      <c r="AB2533" s="28">
        <v>1085000</v>
      </c>
      <c r="AC2533" s="28">
        <v>12102310000</v>
      </c>
      <c r="AD2533" s="28">
        <v>4864412000</v>
      </c>
      <c r="AE2533" s="28">
        <v>20218757000</v>
      </c>
      <c r="AF2533" s="28">
        <v>1156237000</v>
      </c>
      <c r="AG2533" s="11"/>
    </row>
    <row r="2534">
      <c r="A2534" s="7" t="s">
        <v>4226</v>
      </c>
      <c r="B2534" s="5" t="s">
        <v>12201</v>
      </c>
      <c r="C2534" s="5" t="s">
        <v>20038</v>
      </c>
      <c r="D2534" s="5" t="str">
        <v>165105192638</v>
      </c>
      <c r="E2534" s="0" t="e">
        <f>+7 (843) 5339342
+7 (843) 5339965
+7 (8435) 123984
+7 (843) 5138914
+7 (8435) 123169
+7 (8435) 147846
+7 (8435) 147847
+7 (8435) 147904
+7 (8435) 147932
+7 (8435) 147946
+7 (8435) 147950
+7 (8435) 147966
+7 (8435) 147975
+7 (8435) 230102
+7 (8435) 339412</f>
        <v>#NAME?</v>
      </c>
      <c r="F2534" s="5" t="s">
        <v>32960</v>
      </c>
      <c r="G2534" s="5"/>
      <c r="H2534" s="26">
        <v>21.5</v>
      </c>
      <c r="I2534" s="5"/>
      <c r="J2534" s="5" t="s">
        <v>26851</v>
      </c>
      <c r="K2534" s="5" t="s">
        <v>344</v>
      </c>
      <c r="L2534" s="5"/>
      <c r="M2534" s="27">
        <v>301113</v>
      </c>
      <c r="N2534" s="5" t="s">
        <v>53347</v>
      </c>
      <c r="O2534" s="5" t="str">
        <v>1658008723</v>
      </c>
      <c r="P2534" s="27">
        <v>1904710000</v>
      </c>
      <c r="Q2534" s="5" t="s">
        <v>53348</v>
      </c>
      <c r="R2534" s="5"/>
      <c r="S2534" s="5" t="s">
        <v>53349</v>
      </c>
      <c r="T2534" s="28">
        <v>66178915000</v>
      </c>
      <c r="U2534" s="28">
        <v>327049000</v>
      </c>
      <c r="V2534" s="28">
        <v>12689885000</v>
      </c>
      <c r="W2534" s="28">
        <v>13000000000</v>
      </c>
      <c r="X2534" s="28">
        <v>2935310000</v>
      </c>
      <c r="Y2534" s="28">
        <v>121254424000</v>
      </c>
      <c r="Z2534" s="28">
        <v>103470242000</v>
      </c>
      <c r="AA2534" s="28"/>
      <c r="AB2534" s="28"/>
      <c r="AC2534" s="28">
        <v>10015024000</v>
      </c>
      <c r="AD2534" s="28">
        <v>105470187000</v>
      </c>
      <c r="AE2534" s="28">
        <v>115413529000</v>
      </c>
      <c r="AF2534" s="28">
        <v>27342204000</v>
      </c>
      <c r="AG2534" s="11"/>
    </row>
    <row r="2535">
      <c r="A2535" s="7" t="s">
        <v>4227</v>
      </c>
      <c r="B2535" s="5" t="s">
        <v>12202</v>
      </c>
      <c r="C2535" s="5" t="s">
        <v>20039</v>
      </c>
      <c r="D2535" s="5" t="str">
        <v>165901498800</v>
      </c>
      <c r="E2535" s="0" t="e">
        <f>+7 (8432) 41015
+7 (917) 8796942
+7 (843) 2732322
+7 (843) 2735458
+7 (8432) 124066
+7 (8432) 124071
+7 (8432) 124072
+7 (8432) 273232
+7 (8432) 732806
+7 (8435) 120890
+7 (8435) 122309
+7 (8435) 122310
+7 (8435) 122325
+7 (927) 4309096
+7 (965) 5868366</f>
        <v>#NAME?</v>
      </c>
      <c r="F2535" s="5" t="s">
        <v>32961</v>
      </c>
      <c r="G2535" s="5"/>
      <c r="H2535" s="26">
        <v>29.5</v>
      </c>
      <c r="I2535" s="5"/>
      <c r="J2535" s="5" t="s">
        <v>467</v>
      </c>
      <c r="K2535" s="5" t="s">
        <v>344</v>
      </c>
      <c r="L2535" s="5"/>
      <c r="M2535" s="27"/>
      <c r="N2535" s="5" t="s">
        <v>53350</v>
      </c>
      <c r="O2535" s="5" t="str">
        <v>1657006770</v>
      </c>
      <c r="P2535" s="27">
        <v>693450</v>
      </c>
      <c r="Q2535" s="5" t="s">
        <v>53351</v>
      </c>
      <c r="R2535" s="5" t="s">
        <v>53352</v>
      </c>
      <c r="S2535" s="5" t="s">
        <v>53353</v>
      </c>
      <c r="T2535" s="28">
        <v>392792000</v>
      </c>
      <c r="U2535" s="28">
        <v>28000</v>
      </c>
      <c r="V2535" s="28">
        <v>1065969000</v>
      </c>
      <c r="W2535" s="28"/>
      <c r="X2535" s="28">
        <v>794600000</v>
      </c>
      <c r="Y2535" s="28">
        <v>3994959000</v>
      </c>
      <c r="Z2535" s="28">
        <v>186939000</v>
      </c>
      <c r="AA2535" s="28">
        <v>359023000</v>
      </c>
      <c r="AB2535" s="28">
        <v>136885000</v>
      </c>
      <c r="AC2535" s="28">
        <v>3448106000</v>
      </c>
      <c r="AD2535" s="28">
        <v>187830000</v>
      </c>
      <c r="AE2535" s="28">
        <v>3120485000</v>
      </c>
      <c r="AF2535" s="28">
        <v>4180000</v>
      </c>
      <c r="AG2535" s="11"/>
    </row>
    <row r="2536">
      <c r="A2536" s="7" t="s">
        <v>4228</v>
      </c>
      <c r="B2536" s="5" t="s">
        <v>12203</v>
      </c>
      <c r="C2536" s="5" t="s">
        <v>20040</v>
      </c>
      <c r="D2536" s="5" t="str">
        <v>165709514609</v>
      </c>
      <c r="E2536" s="0" t="e">
        <f>+7 (8432) 927810
+7 (8432) 929398
+7 (8432) 929417
+7 (8432) 927819
+7 (903) 3056585
+7 (843) 2923962
+7 (843) 2923972
+7 (8432) 929397</f>
        <v>#NAME?</v>
      </c>
      <c r="F2536" s="5" t="s">
        <v>32962</v>
      </c>
      <c r="G2536" s="5"/>
      <c r="H2536" s="26">
        <v>26</v>
      </c>
      <c r="I2536" s="5"/>
      <c r="J2536" s="5" t="s">
        <v>29432</v>
      </c>
      <c r="K2536" s="5" t="s">
        <v>344</v>
      </c>
      <c r="L2536" s="5" t="s">
        <v>32963</v>
      </c>
      <c r="M2536" s="27">
        <v>50977</v>
      </c>
      <c r="N2536" s="5" t="s">
        <v>53354</v>
      </c>
      <c r="O2536" s="5" t="str">
        <v>1655256157</v>
      </c>
      <c r="P2536" s="27">
        <v>1432375452</v>
      </c>
      <c r="Q2536" s="5" t="s">
        <v>53355</v>
      </c>
      <c r="R2536" s="5" t="s">
        <v>53356</v>
      </c>
      <c r="S2536" s="5" t="s">
        <v>53357</v>
      </c>
      <c r="T2536" s="28">
        <v>611189000</v>
      </c>
      <c r="U2536" s="28"/>
      <c r="V2536" s="28">
        <v>911556000</v>
      </c>
      <c r="W2536" s="28">
        <v>307604000</v>
      </c>
      <c r="X2536" s="28">
        <v>28782000</v>
      </c>
      <c r="Y2536" s="28">
        <v>2925930000</v>
      </c>
      <c r="Z2536" s="28">
        <v>745574000</v>
      </c>
      <c r="AA2536" s="28"/>
      <c r="AB2536" s="28"/>
      <c r="AC2536" s="28">
        <v>606468000</v>
      </c>
      <c r="AD2536" s="28">
        <v>2187736000</v>
      </c>
      <c r="AE2536" s="28">
        <v>3179830000</v>
      </c>
      <c r="AF2536" s="28">
        <v>348892000</v>
      </c>
      <c r="AG2536" s="11"/>
    </row>
    <row r="2537">
      <c r="A2537" s="7" t="s">
        <v>4229</v>
      </c>
      <c r="B2537" s="5" t="s">
        <v>12204</v>
      </c>
      <c r="C2537" s="5" t="s">
        <v>20041</v>
      </c>
      <c r="D2537" s="5" t="str">
        <v>344807658215</v>
      </c>
      <c r="E2537" s="0" t="e">
        <f>+7 (962) 3669797</f>
        <v>#NAME?</v>
      </c>
      <c r="F2537" s="5" t="s">
        <v>32964</v>
      </c>
      <c r="G2537" s="5" t="s">
        <v>32965</v>
      </c>
      <c r="H2537" s="26">
        <v>6.5</v>
      </c>
      <c r="I2537" s="5" t="s">
        <v>32966</v>
      </c>
      <c r="J2537" s="5" t="s">
        <v>25512</v>
      </c>
      <c r="K2537" s="5" t="s">
        <v>344</v>
      </c>
      <c r="L2537" s="5" t="s">
        <v>32967</v>
      </c>
      <c r="M2537" s="27"/>
      <c r="N2537" s="5"/>
      <c r="O2537" s="5" t="str">
        <v>7720359117</v>
      </c>
      <c r="P2537" s="27">
        <v>10000</v>
      </c>
      <c r="Q2537" s="5"/>
      <c r="R2537" s="5"/>
      <c r="S2537" s="5" t="s">
        <v>49496</v>
      </c>
      <c r="T2537" s="28">
        <v>105861000</v>
      </c>
      <c r="U2537" s="28"/>
      <c r="V2537" s="28">
        <v>554070000</v>
      </c>
      <c r="W2537" s="28">
        <v>30030000</v>
      </c>
      <c r="X2537" s="28">
        <v>49445000</v>
      </c>
      <c r="Y2537" s="28">
        <v>1092813000</v>
      </c>
      <c r="Z2537" s="28">
        <v>187317000</v>
      </c>
      <c r="AA2537" s="28"/>
      <c r="AB2537" s="28">
        <v>119430000</v>
      </c>
      <c r="AC2537" s="28">
        <v>885618000</v>
      </c>
      <c r="AD2537" s="28">
        <v>187327000</v>
      </c>
      <c r="AE2537" s="28">
        <v>3700744000</v>
      </c>
      <c r="AF2537" s="28">
        <v>131118000</v>
      </c>
      <c r="AG2537" s="11"/>
    </row>
    <row r="2538">
      <c r="A2538" s="7" t="s">
        <v>4230</v>
      </c>
      <c r="B2538" s="5" t="s">
        <v>12205</v>
      </c>
      <c r="C2538" s="5" t="s">
        <v>20042</v>
      </c>
      <c r="D2538" s="5" t="str">
        <v>261000379218</v>
      </c>
      <c r="E2538" s="0" t="e">
        <f>+7 (86550) 21103
+7 (86550) 93431
+7 (86550) 93464
+7 (865) 5021156
+7 (86554) 93575</f>
        <v>#NAME?</v>
      </c>
      <c r="F2538" s="5" t="s">
        <v>32968</v>
      </c>
      <c r="G2538" s="5"/>
      <c r="H2538" s="26">
        <v>30</v>
      </c>
      <c r="I2538" s="5" t="s">
        <v>32969</v>
      </c>
      <c r="J2538" s="5" t="s">
        <v>25901</v>
      </c>
      <c r="K2538" s="5" t="s">
        <v>344</v>
      </c>
      <c r="L2538" s="5" t="s">
        <v>32970</v>
      </c>
      <c r="M2538" s="27"/>
      <c r="N2538" s="5" t="s">
        <v>52205</v>
      </c>
      <c r="O2538" s="5" t="str">
        <v>2610000615</v>
      </c>
      <c r="P2538" s="27">
        <v>833603</v>
      </c>
      <c r="Q2538" s="5"/>
      <c r="R2538" s="5"/>
      <c r="S2538" s="5" t="s">
        <v>49425</v>
      </c>
      <c r="T2538" s="28">
        <v>967635000</v>
      </c>
      <c r="U2538" s="28">
        <v>84548000</v>
      </c>
      <c r="V2538" s="28">
        <v>303360000</v>
      </c>
      <c r="W2538" s="28">
        <v>200000000</v>
      </c>
      <c r="X2538" s="28">
        <v>116926000</v>
      </c>
      <c r="Y2538" s="28">
        <v>4602621000</v>
      </c>
      <c r="Z2538" s="28">
        <v>56091000</v>
      </c>
      <c r="AA2538" s="28">
        <v>49000000</v>
      </c>
      <c r="AB2538" s="28">
        <v>600000000</v>
      </c>
      <c r="AC2538" s="28">
        <v>678583000</v>
      </c>
      <c r="AD2538" s="28">
        <v>3875038000</v>
      </c>
      <c r="AE2538" s="28">
        <v>3143440000</v>
      </c>
      <c r="AF2538" s="28">
        <v>890336000</v>
      </c>
      <c r="AG2538" s="11"/>
    </row>
    <row r="2539">
      <c r="A2539" s="7" t="s">
        <v>4231</v>
      </c>
      <c r="B2539" s="5" t="s">
        <v>12206</v>
      </c>
      <c r="C2539" s="5" t="s">
        <v>20043</v>
      </c>
      <c r="D2539" s="5" t="str">
        <v>166014306223</v>
      </c>
      <c r="E2539" s="0" t="e">
        <f>+7 (8432) 111171
+7 (8432) 111259
+7 (8432) 111268
+7 (8432) 111373
+7 (8432) 111771
+7 (8432) 111774
+7 (8432) 116611
+7 (8432) 121169
+7 (8432) 211269
+7 (8432) 211374
+7 (8432) 110936
+7 (8432) 110957
+7 (8432) 111074
+7 (8432) 116168
+7 (8432) 171717</f>
        <v>#NAME?</v>
      </c>
      <c r="F2539" s="5" t="s">
        <v>32971</v>
      </c>
      <c r="G2539" s="5"/>
      <c r="H2539" s="26">
        <v>26</v>
      </c>
      <c r="I2539" s="5"/>
      <c r="J2539" s="5" t="s">
        <v>26435</v>
      </c>
      <c r="K2539" s="5" t="s">
        <v>344</v>
      </c>
      <c r="L2539" s="5"/>
      <c r="M2539" s="27"/>
      <c r="N2539" s="5" t="s">
        <v>53358</v>
      </c>
      <c r="O2539" s="5" t="str">
        <v>1659143468</v>
      </c>
      <c r="P2539" s="27">
        <v>4096430689</v>
      </c>
      <c r="Q2539" s="5" t="s">
        <v>53360</v>
      </c>
      <c r="R2539" s="5"/>
      <c r="S2539" s="5" t="s">
        <v>53361</v>
      </c>
      <c r="T2539" s="28">
        <v>4666711000</v>
      </c>
      <c r="U2539" s="28">
        <v>150010000</v>
      </c>
      <c r="V2539" s="28">
        <v>1194892000</v>
      </c>
      <c r="W2539" s="28"/>
      <c r="X2539" s="28">
        <v>184780000</v>
      </c>
      <c r="Y2539" s="28">
        <v>6525264000</v>
      </c>
      <c r="Z2539" s="28">
        <v>621719000</v>
      </c>
      <c r="AA2539" s="28"/>
      <c r="AB2539" s="28">
        <v>398348000</v>
      </c>
      <c r="AC2539" s="28">
        <v>1464918000</v>
      </c>
      <c r="AD2539" s="28">
        <v>4747932000</v>
      </c>
      <c r="AE2539" s="28">
        <v>4753597000</v>
      </c>
      <c r="AF2539" s="28">
        <v>25538000</v>
      </c>
      <c r="AG2539" s="11"/>
    </row>
    <row r="2540">
      <c r="A2540" s="7" t="s">
        <v>4232</v>
      </c>
      <c r="B2540" s="5" t="s">
        <v>12207</v>
      </c>
      <c r="C2540" s="5" t="s">
        <v>20044</v>
      </c>
      <c r="D2540" s="5" t="str">
        <v>781612496228</v>
      </c>
      <c r="E2540" s="0" t="e">
        <f>+7 (8142) 599467
+7 (8142) 599469
+7 (8142) 599475
+7 (8142) 781930
+7 (8142) 787999</f>
        <v>#NAME?</v>
      </c>
      <c r="F2540" s="5"/>
      <c r="G2540" s="5" t="s">
        <v>32972</v>
      </c>
      <c r="H2540" s="26">
        <v>17</v>
      </c>
      <c r="I2540" s="5" t="s">
        <v>32973</v>
      </c>
      <c r="J2540" s="5" t="s">
        <v>29296</v>
      </c>
      <c r="K2540" s="5" t="s">
        <v>344</v>
      </c>
      <c r="L2540" s="5" t="s">
        <v>32974</v>
      </c>
      <c r="M2540" s="27"/>
      <c r="N2540" s="5"/>
      <c r="O2540" s="5" t="str">
        <v>7807311832</v>
      </c>
      <c r="P2540" s="27">
        <v>608069158</v>
      </c>
      <c r="Q2540" s="5" t="s">
        <v>49009</v>
      </c>
      <c r="R2540" s="5"/>
      <c r="S2540" s="5" t="s">
        <v>49884</v>
      </c>
      <c r="T2540" s="28">
        <v>8030971000</v>
      </c>
      <c r="U2540" s="28">
        <v>755613000</v>
      </c>
      <c r="V2540" s="28">
        <v>481768000</v>
      </c>
      <c r="W2540" s="28"/>
      <c r="X2540" s="28">
        <v>414266000</v>
      </c>
      <c r="Y2540" s="28">
        <v>11197764000</v>
      </c>
      <c r="Z2540" s="28">
        <v>196193000</v>
      </c>
      <c r="AA2540" s="28">
        <v>4361998000</v>
      </c>
      <c r="AB2540" s="28">
        <v>132006000</v>
      </c>
      <c r="AC2540" s="28">
        <v>954120000</v>
      </c>
      <c r="AD2540" s="28">
        <v>5865978000</v>
      </c>
      <c r="AE2540" s="28">
        <v>5428890000</v>
      </c>
      <c r="AF2540" s="28">
        <v>154087000</v>
      </c>
      <c r="AG2540" s="11"/>
    </row>
    <row r="2541">
      <c r="A2541" s="7" t="s">
        <v>4233</v>
      </c>
      <c r="B2541" s="5" t="s">
        <v>12208</v>
      </c>
      <c r="C2541" s="5" t="s">
        <v>20045</v>
      </c>
      <c r="D2541" s="5" t="str">
        <v>390703789169</v>
      </c>
      <c r="E2541" s="0" t="e">
        <f>+7 (401) 2426028
+7 (401) 2642294
+7 (401) 2990800
+7 (401) 2990801
+7 (401) 2990802
+7 (401) 2990811
+7 (401) 2990815
+7 (401) 2990818
+7 (401) 2990826
+7 (401) 2990845
+7 (401) 2990850
+7 (401) 2990854
+7 (401) 2990864
+7 (401) 2990867
+7 (401) 2990884</f>
        <v>#NAME?</v>
      </c>
      <c r="F2541" s="5" t="s">
        <v>32975</v>
      </c>
      <c r="G2541" s="5"/>
      <c r="H2541" s="26">
        <v>29.5</v>
      </c>
      <c r="I2541" s="5" t="s">
        <v>32976</v>
      </c>
      <c r="J2541" s="5" t="s">
        <v>27115</v>
      </c>
      <c r="K2541" s="5" t="s">
        <v>344</v>
      </c>
      <c r="L2541" s="5"/>
      <c r="M2541" s="27"/>
      <c r="N2541" s="5" t="s">
        <v>53362</v>
      </c>
      <c r="O2541" s="5" t="str">
        <v>3900000136</v>
      </c>
      <c r="P2541" s="27">
        <v>200000</v>
      </c>
      <c r="Q2541" s="5" t="s">
        <v>53363</v>
      </c>
      <c r="R2541" s="5"/>
      <c r="S2541" s="5" t="s">
        <v>53364</v>
      </c>
      <c r="T2541" s="28">
        <v>898199000</v>
      </c>
      <c r="U2541" s="28"/>
      <c r="V2541" s="28">
        <v>109098000</v>
      </c>
      <c r="W2541" s="28"/>
      <c r="X2541" s="28">
        <v>381893000</v>
      </c>
      <c r="Y2541" s="28">
        <v>1888022000</v>
      </c>
      <c r="Z2541" s="28">
        <v>1361617000</v>
      </c>
      <c r="AA2541" s="28"/>
      <c r="AB2541" s="28"/>
      <c r="AC2541" s="28">
        <v>340739000</v>
      </c>
      <c r="AD2541" s="28">
        <v>1482228000</v>
      </c>
      <c r="AE2541" s="28">
        <v>4992038000</v>
      </c>
      <c r="AF2541" s="28">
        <v>255443000</v>
      </c>
      <c r="AG2541" s="11"/>
    </row>
    <row r="2542">
      <c r="A2542" s="7" t="s">
        <v>4234</v>
      </c>
      <c r="B2542" s="5" t="s">
        <v>12079</v>
      </c>
      <c r="C2542" s="5" t="s">
        <v>20046</v>
      </c>
      <c r="D2542" s="5" t="str">
        <v>638201583419</v>
      </c>
      <c r="F2542" s="5" t="s">
        <v>32977</v>
      </c>
      <c r="G2542" s="5" t="s">
        <v>32978</v>
      </c>
      <c r="H2542" s="26">
        <v>8</v>
      </c>
      <c r="I2542" s="5" t="s">
        <v>32979</v>
      </c>
      <c r="J2542" s="5" t="s">
        <v>26148</v>
      </c>
      <c r="K2542" s="5" t="s">
        <v>344</v>
      </c>
      <c r="L2542" s="5"/>
      <c r="M2542" s="27"/>
      <c r="N2542" s="5"/>
      <c r="O2542" s="5" t="str">
        <v>7704312545</v>
      </c>
      <c r="P2542" s="27">
        <v>91518100000</v>
      </c>
      <c r="Q2542" s="5" t="s">
        <v>53365</v>
      </c>
      <c r="R2542" s="5"/>
      <c r="S2542" s="5" t="s">
        <v>50205</v>
      </c>
      <c r="T2542" s="28">
        <v>84762358000</v>
      </c>
      <c r="U2542" s="28"/>
      <c r="V2542" s="28">
        <v>1150774000</v>
      </c>
      <c r="W2542" s="28"/>
      <c r="X2542" s="28">
        <v>11959852000</v>
      </c>
      <c r="Y2542" s="28">
        <v>97873244000</v>
      </c>
      <c r="Z2542" s="28">
        <v>1479145000</v>
      </c>
      <c r="AA2542" s="28">
        <v>37450000</v>
      </c>
      <c r="AB2542" s="28">
        <v>4482000</v>
      </c>
      <c r="AC2542" s="28">
        <v>780661000</v>
      </c>
      <c r="AD2542" s="28">
        <v>92997245000</v>
      </c>
      <c r="AE2542" s="28">
        <v>11111527000</v>
      </c>
      <c r="AF2542" s="28">
        <v>5993712000</v>
      </c>
      <c r="AG2542" s="11"/>
    </row>
    <row r="2543">
      <c r="A2543" s="7" t="s">
        <v>4235</v>
      </c>
      <c r="B2543" s="5" t="s">
        <v>12209</v>
      </c>
      <c r="C2543" s="5" t="s">
        <v>20047</v>
      </c>
      <c r="D2543" s="5" t="str">
        <v>772811797994</v>
      </c>
      <c r="E2543" s="0" t="e">
        <f>+7 (401) 2450910
+7 (40153) 37505
+7 (401) 2310846
+7 (401) 2310848
+7 (401) 2310855
+7 (401) 5637240</f>
        <v>#NAME?</v>
      </c>
      <c r="F2543" s="5" t="s">
        <v>32980</v>
      </c>
      <c r="G2543" s="5" t="s">
        <v>32981</v>
      </c>
      <c r="H2543" s="26">
        <v>8</v>
      </c>
      <c r="I2543" s="5" t="s">
        <v>32982</v>
      </c>
      <c r="J2543" s="5" t="s">
        <v>32983</v>
      </c>
      <c r="K2543" s="5" t="s">
        <v>344</v>
      </c>
      <c r="L2543" s="5" t="s">
        <v>32984</v>
      </c>
      <c r="M2543" s="27">
        <v>70938000</v>
      </c>
      <c r="N2543" s="5" t="s">
        <v>53366</v>
      </c>
      <c r="O2543" s="5" t="str">
        <v>3912013210</v>
      </c>
      <c r="P2543" s="27">
        <v>1034499000</v>
      </c>
      <c r="Q2543" s="5" t="s">
        <v>53367</v>
      </c>
      <c r="R2543" s="5"/>
      <c r="S2543" s="5" t="s">
        <v>53368</v>
      </c>
      <c r="T2543" s="28">
        <v>1772742000</v>
      </c>
      <c r="U2543" s="28"/>
      <c r="V2543" s="28">
        <v>448493000</v>
      </c>
      <c r="W2543" s="28"/>
      <c r="X2543" s="28">
        <v>745638000</v>
      </c>
      <c r="Y2543" s="28">
        <v>6277086000</v>
      </c>
      <c r="Z2543" s="28">
        <v>4303625000</v>
      </c>
      <c r="AA2543" s="28"/>
      <c r="AB2543" s="28"/>
      <c r="AC2543" s="28">
        <v>658632000</v>
      </c>
      <c r="AD2543" s="28">
        <v>5400551000</v>
      </c>
      <c r="AE2543" s="28">
        <v>4053213000</v>
      </c>
      <c r="AF2543" s="28">
        <v>758754000</v>
      </c>
      <c r="AG2543" s="11"/>
    </row>
    <row r="2544">
      <c r="A2544" s="7" t="s">
        <v>4236</v>
      </c>
      <c r="B2544" s="5" t="s">
        <v>12210</v>
      </c>
      <c r="C2544" s="5" t="s">
        <v>20048</v>
      </c>
      <c r="D2544" s="5" t="str">
        <v>391700274780</v>
      </c>
      <c r="E2544" s="0" t="e">
        <f>+7 (401) 2564124
+7 (401) 2667016
+7 (401) 2667066
+7 (401) 2667114
+7 (401) 2328428
+7 (401) 2557079
+7 (401) 2667005
+7 (401) 2667007
+7 (401) 2667103
+7 (401) 2667105
+7 (401) 2667106
+7 (401) 2667111
+7 (401) 2667112
+7 (401) 2667113
+7 (401) 2667144</f>
        <v>#NAME?</v>
      </c>
      <c r="F2544" s="5" t="s">
        <v>32985</v>
      </c>
      <c r="G2544" s="5"/>
      <c r="H2544" s="26">
        <v>31</v>
      </c>
      <c r="I2544" s="5" t="s">
        <v>32986</v>
      </c>
      <c r="J2544" s="5" t="s">
        <v>27642</v>
      </c>
      <c r="K2544" s="5" t="s">
        <v>344</v>
      </c>
      <c r="L2544" s="5"/>
      <c r="M2544" s="27">
        <v>3210959</v>
      </c>
      <c r="N2544" s="5" t="s">
        <v>53369</v>
      </c>
      <c r="O2544" s="5" t="str">
        <v>3903003375</v>
      </c>
      <c r="P2544" s="27">
        <v>965642671</v>
      </c>
      <c r="Q2544" s="5" t="s">
        <v>53370</v>
      </c>
      <c r="R2544" s="5"/>
      <c r="S2544" s="5" t="s">
        <v>49288</v>
      </c>
      <c r="T2544" s="28">
        <v>2102071000</v>
      </c>
      <c r="U2544" s="28">
        <v>8000</v>
      </c>
      <c r="V2544" s="28">
        <v>1747201000</v>
      </c>
      <c r="W2544" s="28">
        <v>257272000</v>
      </c>
      <c r="X2544" s="28">
        <v>43981000</v>
      </c>
      <c r="Y2544" s="28">
        <v>4592915000</v>
      </c>
      <c r="Z2544" s="28">
        <v>941301000</v>
      </c>
      <c r="AA2544" s="28">
        <v>124674000</v>
      </c>
      <c r="AB2544" s="28">
        <v>321451000</v>
      </c>
      <c r="AC2544" s="28">
        <v>1421170000</v>
      </c>
      <c r="AD2544" s="28">
        <v>3344774000</v>
      </c>
      <c r="AE2544" s="28">
        <v>3683311000</v>
      </c>
      <c r="AF2544" s="28">
        <v>62274000</v>
      </c>
      <c r="AG2544" s="11"/>
    </row>
    <row r="2545">
      <c r="A2545" s="7" t="s">
        <v>4237</v>
      </c>
      <c r="B2545" s="5" t="s">
        <v>12211</v>
      </c>
      <c r="C2545" s="5" t="s">
        <v>20049</v>
      </c>
      <c r="D2545" s="5" t="str">
        <v>222202226228</v>
      </c>
      <c r="E2545" s="0" t="e">
        <f>+7 (903) 9486537
+7 (960) 9630249
+7 (385) 2226297
+7 (385) 2353599
+7 (385) 2353613
+7 (385) 2353768
+7 (385) 2353918
+7 (385) 2452933
+7 (385) 2639917
+7 (385) 2659529
+7 (38551) 25293</f>
        <v>#NAME?</v>
      </c>
      <c r="F2545" s="5" t="s">
        <v>32987</v>
      </c>
      <c r="G2545" s="5"/>
      <c r="H2545" s="26">
        <v>15.5</v>
      </c>
      <c r="I2545" s="5" t="s">
        <v>32988</v>
      </c>
      <c r="J2545" s="5" t="s">
        <v>32989</v>
      </c>
      <c r="K2545" s="5" t="s">
        <v>344</v>
      </c>
      <c r="L2545" s="5"/>
      <c r="M2545" s="27">
        <v>2532006</v>
      </c>
      <c r="N2545" s="5" t="s">
        <v>53371</v>
      </c>
      <c r="O2545" s="5" t="str">
        <v>2221128524</v>
      </c>
      <c r="P2545" s="27">
        <v>10000</v>
      </c>
      <c r="Q2545" s="5" t="s">
        <v>53372</v>
      </c>
      <c r="R2545" s="5"/>
      <c r="S2545" s="5" t="s">
        <v>49487</v>
      </c>
      <c r="T2545" s="28">
        <v>309361000</v>
      </c>
      <c r="U2545" s="28"/>
      <c r="V2545" s="28">
        <v>503231000</v>
      </c>
      <c r="W2545" s="28">
        <v>9938000</v>
      </c>
      <c r="X2545" s="28">
        <v>171634000</v>
      </c>
      <c r="Y2545" s="28">
        <v>1209488000</v>
      </c>
      <c r="Z2545" s="28">
        <v>373471000</v>
      </c>
      <c r="AA2545" s="28">
        <v>423660000</v>
      </c>
      <c r="AB2545" s="28">
        <v>6123000</v>
      </c>
      <c r="AC2545" s="28">
        <v>393018000</v>
      </c>
      <c r="AD2545" s="28">
        <v>373481000</v>
      </c>
      <c r="AE2545" s="28">
        <v>3340672000</v>
      </c>
      <c r="AF2545" s="28">
        <v>188596000</v>
      </c>
      <c r="AG2545" s="11"/>
    </row>
    <row r="2546">
      <c r="A2546" s="7" t="s">
        <v>4238</v>
      </c>
      <c r="B2546" s="5" t="s">
        <v>12212</v>
      </c>
      <c r="C2546" s="5" t="s">
        <v>20050</v>
      </c>
      <c r="D2546" s="5" t="str">
        <v>400402656266</v>
      </c>
      <c r="E2546" s="0" t="e">
        <f>+7 (484) 2550046
+7 (484) 2550265
+7 (484) 2591070
+7 (484) 2716458
+7 (495) 5142096
+7 (495) 9892832</f>
        <v>#NAME?</v>
      </c>
      <c r="F2546" s="5" t="s">
        <v>32990</v>
      </c>
      <c r="G2546" s="5" t="s">
        <v>32991</v>
      </c>
      <c r="H2546" s="26">
        <v>21.5</v>
      </c>
      <c r="I2546" s="5"/>
      <c r="J2546" s="5" t="s">
        <v>678</v>
      </c>
      <c r="K2546" s="5" t="s">
        <v>344</v>
      </c>
      <c r="L2546" s="5"/>
      <c r="M2546" s="27">
        <v>29716395</v>
      </c>
      <c r="N2546" s="5"/>
      <c r="O2546" s="5" t="str">
        <v>4028001072</v>
      </c>
      <c r="P2546" s="27">
        <v>6092640</v>
      </c>
      <c r="Q2546" s="5" t="s">
        <v>49009</v>
      </c>
      <c r="R2546" s="5" t="s">
        <v>53373</v>
      </c>
      <c r="S2546" s="5" t="s">
        <v>49045</v>
      </c>
      <c r="T2546" s="28">
        <v>203965000</v>
      </c>
      <c r="U2546" s="28">
        <v>657213000</v>
      </c>
      <c r="V2546" s="28">
        <v>15594880000</v>
      </c>
      <c r="W2546" s="28">
        <v>5125166000</v>
      </c>
      <c r="X2546" s="28">
        <v>311802000</v>
      </c>
      <c r="Y2546" s="28">
        <v>23017264000</v>
      </c>
      <c r="Z2546" s="28">
        <v>953757000</v>
      </c>
      <c r="AA2546" s="28">
        <v>3749233000</v>
      </c>
      <c r="AB2546" s="28">
        <v>2025188000</v>
      </c>
      <c r="AC2546" s="28">
        <v>17164662000</v>
      </c>
      <c r="AD2546" s="28">
        <v>2090293000</v>
      </c>
      <c r="AE2546" s="28">
        <v>8470723000</v>
      </c>
      <c r="AF2546" s="28">
        <v>256495000</v>
      </c>
      <c r="AG2546" s="11"/>
    </row>
    <row r="2547">
      <c r="A2547" s="7" t="s">
        <v>4239</v>
      </c>
      <c r="B2547" s="5" t="s">
        <v>12213</v>
      </c>
      <c r="C2547" s="5" t="s">
        <v>20051</v>
      </c>
      <c r="D2547" s="5" t="str">
        <v>770401586330</v>
      </c>
      <c r="E2547" s="0" t="e">
        <f>+7 (484) 2279888
+7 (484) 2527637
+7 (484) 2597100
+7 (484) 2597174
+7 (484) 2597175
+7 (484) 2764298
+7 (484) 2794896</f>
        <v>#NAME?</v>
      </c>
      <c r="F2547" s="5" t="s">
        <v>32992</v>
      </c>
      <c r="G2547" s="5" t="s">
        <v>32993</v>
      </c>
      <c r="H2547" s="26">
        <v>21</v>
      </c>
      <c r="I2547" s="5" t="s">
        <v>32994</v>
      </c>
      <c r="J2547" s="5" t="s">
        <v>28954</v>
      </c>
      <c r="K2547" s="5" t="s">
        <v>344</v>
      </c>
      <c r="L2547" s="5" t="s">
        <v>32995</v>
      </c>
      <c r="M2547" s="27"/>
      <c r="N2547" s="5" t="s">
        <v>53374</v>
      </c>
      <c r="O2547" s="5" t="str">
        <v>4029027066</v>
      </c>
      <c r="P2547" s="27">
        <v>1000000</v>
      </c>
      <c r="Q2547" s="5"/>
      <c r="R2547" s="5"/>
      <c r="S2547" s="5" t="s">
        <v>49162</v>
      </c>
      <c r="T2547" s="28">
        <v>355485000</v>
      </c>
      <c r="U2547" s="28"/>
      <c r="V2547" s="28">
        <v>176038000</v>
      </c>
      <c r="W2547" s="28"/>
      <c r="X2547" s="28">
        <v>825344000</v>
      </c>
      <c r="Y2547" s="28">
        <v>1877021000</v>
      </c>
      <c r="Z2547" s="28">
        <v>1612646000</v>
      </c>
      <c r="AA2547" s="28"/>
      <c r="AB2547" s="28"/>
      <c r="AC2547" s="28">
        <v>253057000</v>
      </c>
      <c r="AD2547" s="28">
        <v>1620200000</v>
      </c>
      <c r="AE2547" s="28">
        <v>3011620000</v>
      </c>
      <c r="AF2547" s="28">
        <v>661431000</v>
      </c>
      <c r="AG2547" s="11"/>
    </row>
    <row r="2548">
      <c r="A2548" s="7" t="s">
        <v>4240</v>
      </c>
      <c r="B2548" s="5" t="s">
        <v>12214</v>
      </c>
      <c r="C2548" s="5" t="s">
        <v>20052</v>
      </c>
      <c r="D2548" s="5" t="str">
        <v>402300257509</v>
      </c>
      <c r="E2548" s="0" t="e">
        <f>+7 (484) 2562788
+7 (484) 2731517
+7 (484) 2733821
+7 (484) 2733421</f>
        <v>#NAME?</v>
      </c>
      <c r="F2548" s="5" t="s">
        <v>32996</v>
      </c>
      <c r="G2548" s="5" t="s">
        <v>32997</v>
      </c>
      <c r="H2548" s="26">
        <v>22</v>
      </c>
      <c r="I2548" s="5" t="s">
        <v>32998</v>
      </c>
      <c r="J2548" s="5" t="s">
        <v>26165</v>
      </c>
      <c r="K2548" s="5" t="s">
        <v>344</v>
      </c>
      <c r="L2548" s="5"/>
      <c r="M2548" s="27"/>
      <c r="N2548" s="5" t="s">
        <v>53375</v>
      </c>
      <c r="O2548" s="5" t="str">
        <v>4027022305</v>
      </c>
      <c r="P2548" s="27">
        <v>237500000</v>
      </c>
      <c r="Q2548" s="5" t="s">
        <v>53376</v>
      </c>
      <c r="R2548" s="5"/>
      <c r="S2548" s="5" t="s">
        <v>51118</v>
      </c>
      <c r="T2548" s="28">
        <v>117526000</v>
      </c>
      <c r="U2548" s="28"/>
      <c r="V2548" s="28">
        <v>875003000</v>
      </c>
      <c r="W2548" s="28">
        <v>114000</v>
      </c>
      <c r="X2548" s="28">
        <v>649252000</v>
      </c>
      <c r="Y2548" s="28">
        <v>2125464000</v>
      </c>
      <c r="Z2548" s="28">
        <v>567072000</v>
      </c>
      <c r="AA2548" s="28"/>
      <c r="AB2548" s="28"/>
      <c r="AC2548" s="28">
        <v>1260253000</v>
      </c>
      <c r="AD2548" s="28">
        <v>862287000</v>
      </c>
      <c r="AE2548" s="28">
        <v>5749025000</v>
      </c>
      <c r="AF2548" s="28">
        <v>173068000</v>
      </c>
      <c r="AG2548" s="11"/>
    </row>
    <row r="2549">
      <c r="A2549" s="7" t="s">
        <v>4241</v>
      </c>
      <c r="B2549" s="5" t="s">
        <v>12215</v>
      </c>
      <c r="C2549" s="5" t="s">
        <v>20053</v>
      </c>
      <c r="D2549" s="5"/>
      <c r="E2549" s="0" t="e">
        <f>+7 (48437) 34157
+7 (48441) 31190
+7 (48441) 31268
+7 (48441) 33019</f>
        <v>#NAME?</v>
      </c>
      <c r="F2549" s="5" t="s">
        <v>32999</v>
      </c>
      <c r="G2549" s="5"/>
      <c r="H2549" s="26">
        <v>17</v>
      </c>
      <c r="I2549" s="5" t="s">
        <v>33000</v>
      </c>
      <c r="J2549" s="5" t="s">
        <v>25895</v>
      </c>
      <c r="K2549" s="5" t="s">
        <v>344</v>
      </c>
      <c r="L2549" s="5"/>
      <c r="M2549" s="27">
        <v>7655321</v>
      </c>
      <c r="N2549" s="5" t="s">
        <v>49923</v>
      </c>
      <c r="O2549" s="5" t="str">
        <v>4015004213</v>
      </c>
      <c r="P2549" s="27">
        <v>31041700</v>
      </c>
      <c r="Q2549" s="5"/>
      <c r="R2549" s="5"/>
      <c r="S2549" s="5" t="s">
        <v>49425</v>
      </c>
      <c r="T2549" s="28">
        <v>15390637000</v>
      </c>
      <c r="U2549" s="28">
        <v>1730000</v>
      </c>
      <c r="V2549" s="28">
        <v>6437953000</v>
      </c>
      <c r="W2549" s="28">
        <v>187000</v>
      </c>
      <c r="X2549" s="28">
        <v>63104000</v>
      </c>
      <c r="Y2549" s="28">
        <v>24461102000</v>
      </c>
      <c r="Z2549" s="28">
        <v>1203964000</v>
      </c>
      <c r="AA2549" s="28">
        <v>15310822000</v>
      </c>
      <c r="AB2549" s="28">
        <v>4597458000</v>
      </c>
      <c r="AC2549" s="28">
        <v>5756422000</v>
      </c>
      <c r="AD2549" s="28">
        <v>1398076000</v>
      </c>
      <c r="AE2549" s="28">
        <v>9635520000</v>
      </c>
      <c r="AF2549" s="28">
        <v>510385000</v>
      </c>
      <c r="AG2549" s="11"/>
    </row>
    <row r="2550">
      <c r="A2550" s="7" t="s">
        <v>4242</v>
      </c>
      <c r="B2550" s="5" t="s">
        <v>12216</v>
      </c>
      <c r="C2550" s="5" t="s">
        <v>20054</v>
      </c>
      <c r="D2550" s="5" t="str">
        <v>402912843813</v>
      </c>
      <c r="E2550" s="0" t="e">
        <f>+7 (484) 2506146
+7 (424) 2701903
+7 (42437) 1903
+7 (481) 2701978
+7 (484) 2210125
+7 (484) 2210144
+7 (484) 2210163
+7 (484) 2210444
+7 (484) 2401903
+7 (484) 2527530
+7 (484) 2549455
+7 (48239) 55265
+7 (484) 2277740
+7 (484) 2355265
+7 (484) 2410608</f>
        <v>#NAME?</v>
      </c>
      <c r="F2550" s="5" t="s">
        <v>33001</v>
      </c>
      <c r="G2550" s="5" t="s">
        <v>33002</v>
      </c>
      <c r="H2550" s="26">
        <v>19</v>
      </c>
      <c r="I2550" s="5" t="s">
        <v>33003</v>
      </c>
      <c r="J2550" s="5" t="s">
        <v>26623</v>
      </c>
      <c r="K2550" s="5" t="s">
        <v>355</v>
      </c>
      <c r="L2550" s="5"/>
      <c r="M2550" s="27">
        <v>2386308358</v>
      </c>
      <c r="N2550" s="5" t="s">
        <v>49753</v>
      </c>
      <c r="O2550" s="5" t="str">
        <v>4029030252</v>
      </c>
      <c r="P2550" s="27">
        <v>18297469</v>
      </c>
      <c r="Q2550" s="5" t="s">
        <v>53378</v>
      </c>
      <c r="R2550" s="5"/>
      <c r="S2550" s="5" t="s">
        <v>49288</v>
      </c>
      <c r="T2550" s="28">
        <v>2803069000</v>
      </c>
      <c r="U2550" s="28">
        <v>1770976000</v>
      </c>
      <c r="V2550" s="28">
        <v>2309707000</v>
      </c>
      <c r="W2550" s="28"/>
      <c r="X2550" s="28">
        <v>213778000</v>
      </c>
      <c r="Y2550" s="28">
        <v>7342926000</v>
      </c>
      <c r="Z2550" s="28">
        <v>1256601000</v>
      </c>
      <c r="AA2550" s="28">
        <v>1800000000</v>
      </c>
      <c r="AB2550" s="28">
        <v>1491804000</v>
      </c>
      <c r="AC2550" s="28">
        <v>3514355000</v>
      </c>
      <c r="AD2550" s="28">
        <v>1585551000</v>
      </c>
      <c r="AE2550" s="28">
        <v>26033290000</v>
      </c>
      <c r="AF2550" s="28">
        <v>98621000</v>
      </c>
      <c r="AG2550" s="11"/>
    </row>
    <row r="2551">
      <c r="A2551" s="7" t="s">
        <v>4243</v>
      </c>
      <c r="B2551" s="5" t="s">
        <v>12217</v>
      </c>
      <c r="C2551" s="5" t="s">
        <v>20055</v>
      </c>
      <c r="D2551" s="5" t="str">
        <v>772583797294</v>
      </c>
      <c r="E2551" s="0" t="e">
        <f>+7 (495) 5407150
+7 (495) 7877260
+7 (495) 8703624
+7 (495) 8703625
+7 (495) 8703626
+7 (495) 8704209
+7 (495) 9263002
+7 (495) 9267148
+7 (495) 9267150
+7 (495) 9889834
+7 (495) 9889848
+7 (499) 1200583
+7 (499) 1208465</f>
        <v>#NAME?</v>
      </c>
      <c r="F2551" s="5" t="s">
        <v>33004</v>
      </c>
      <c r="G2551" s="5" t="s">
        <v>33005</v>
      </c>
      <c r="H2551" s="26">
        <v>19</v>
      </c>
      <c r="I2551" s="5" t="s">
        <v>33006</v>
      </c>
      <c r="J2551" s="5" t="s">
        <v>25195</v>
      </c>
      <c r="K2551" s="5" t="s">
        <v>355</v>
      </c>
      <c r="L2551" s="5" t="s">
        <v>33007</v>
      </c>
      <c r="M2551" s="27"/>
      <c r="N2551" s="5"/>
      <c r="O2551" s="5" t="str">
        <v>5003046732</v>
      </c>
      <c r="P2551" s="27">
        <v>200000000</v>
      </c>
      <c r="Q2551" s="5" t="s">
        <v>49009</v>
      </c>
      <c r="R2551" s="5"/>
      <c r="S2551" s="5" t="s">
        <v>49010</v>
      </c>
      <c r="T2551" s="28">
        <v>7496746000</v>
      </c>
      <c r="U2551" s="28"/>
      <c r="V2551" s="28">
        <v>5749935000</v>
      </c>
      <c r="W2551" s="28"/>
      <c r="X2551" s="28">
        <v>425484000</v>
      </c>
      <c r="Y2551" s="28">
        <v>17879979000</v>
      </c>
      <c r="Z2551" s="28">
        <v>1554981000</v>
      </c>
      <c r="AA2551" s="28"/>
      <c r="AB2551" s="28">
        <v>737446000</v>
      </c>
      <c r="AC2551" s="28">
        <v>11613379000</v>
      </c>
      <c r="AD2551" s="28">
        <v>1768936000</v>
      </c>
      <c r="AE2551" s="28">
        <v>26537921000</v>
      </c>
      <c r="AF2551" s="28">
        <v>1450937000</v>
      </c>
      <c r="AG2551" s="11"/>
    </row>
    <row r="2552">
      <c r="A2552" s="7" t="s">
        <v>4244</v>
      </c>
      <c r="B2552" s="5" t="s">
        <v>12218</v>
      </c>
      <c r="C2552" s="5" t="s">
        <v>20056</v>
      </c>
      <c r="D2552" s="5" t="str">
        <v>501004043201</v>
      </c>
      <c r="E2552" s="0" t="e">
        <f>+7 (3422) 700061
+7 (34273) 45303
+7 (34273) 47710
+7 (34273) 95388
+7 (34273) 98906</f>
        <v>#NAME?</v>
      </c>
      <c r="F2552" s="5" t="s">
        <v>33008</v>
      </c>
      <c r="G2552" s="5"/>
      <c r="H2552" s="26">
        <v>6.5</v>
      </c>
      <c r="I2552" s="5" t="s">
        <v>33009</v>
      </c>
      <c r="J2552" s="5" t="s">
        <v>26536</v>
      </c>
      <c r="K2552" s="5" t="s">
        <v>344</v>
      </c>
      <c r="L2552" s="5" t="s">
        <v>33010</v>
      </c>
      <c r="M2552" s="27">
        <v>6253484</v>
      </c>
      <c r="N2552" s="5"/>
      <c r="O2552" s="5" t="str">
        <v>5916031750</v>
      </c>
      <c r="P2552" s="27">
        <v>760200000</v>
      </c>
      <c r="Q2552" s="5" t="s">
        <v>53380</v>
      </c>
      <c r="R2552" s="5" t="s">
        <v>53381</v>
      </c>
      <c r="S2552" s="5" t="s">
        <v>53382</v>
      </c>
      <c r="T2552" s="28">
        <v>28781289000</v>
      </c>
      <c r="U2552" s="28"/>
      <c r="V2552" s="28">
        <v>2592354000</v>
      </c>
      <c r="W2552" s="28"/>
      <c r="X2552" s="28">
        <v>863450000</v>
      </c>
      <c r="Y2552" s="28">
        <v>38908873000</v>
      </c>
      <c r="Z2552" s="28">
        <v>8942334000</v>
      </c>
      <c r="AA2552" s="28">
        <v>18073568000</v>
      </c>
      <c r="AB2552" s="28">
        <v>2541118000</v>
      </c>
      <c r="AC2552" s="28">
        <v>4479875000</v>
      </c>
      <c r="AD2552" s="28">
        <v>14305333000</v>
      </c>
      <c r="AE2552" s="28">
        <v>25471607000</v>
      </c>
      <c r="AF2552" s="28">
        <v>5976130000</v>
      </c>
      <c r="AG2552" s="11"/>
    </row>
    <row r="2553">
      <c r="A2553" s="7" t="s">
        <v>4245</v>
      </c>
      <c r="B2553" s="5" t="s">
        <v>12219</v>
      </c>
      <c r="C2553" s="5" t="s">
        <v>20057</v>
      </c>
      <c r="D2553" s="5" t="str">
        <v>772908811794</v>
      </c>
      <c r="E2553" s="0" t="e">
        <f>+7 (495) 9616957
+7 (495) 7212346
+7 (916) 1662231</f>
        <v>#NAME?</v>
      </c>
      <c r="F2553" s="5" t="s">
        <v>33011</v>
      </c>
      <c r="G2553" s="5" t="s">
        <v>33012</v>
      </c>
      <c r="H2553" s="26">
        <v>13.5</v>
      </c>
      <c r="I2553" s="5" t="s">
        <v>33013</v>
      </c>
      <c r="J2553" s="5" t="s">
        <v>25512</v>
      </c>
      <c r="K2553" s="5" t="s">
        <v>344</v>
      </c>
      <c r="L2553" s="5" t="s">
        <v>33014</v>
      </c>
      <c r="M2553" s="27"/>
      <c r="N2553" s="5"/>
      <c r="O2553" s="5" t="str">
        <v>7719726605</v>
      </c>
      <c r="P2553" s="27">
        <v>5010000</v>
      </c>
      <c r="Q2553" s="5" t="s">
        <v>49021</v>
      </c>
      <c r="R2553" s="5"/>
      <c r="S2553" s="5" t="s">
        <v>53383</v>
      </c>
      <c r="T2553" s="28">
        <v>5178000</v>
      </c>
      <c r="U2553" s="28"/>
      <c r="V2553" s="28">
        <v>96214000</v>
      </c>
      <c r="W2553" s="28">
        <v>215000000</v>
      </c>
      <c r="X2553" s="28">
        <v>165491000</v>
      </c>
      <c r="Y2553" s="28">
        <v>566072000</v>
      </c>
      <c r="Z2553" s="28">
        <v>466813000</v>
      </c>
      <c r="AA2553" s="28"/>
      <c r="AB2553" s="28">
        <v>41000000</v>
      </c>
      <c r="AC2553" s="28">
        <v>94217000</v>
      </c>
      <c r="AD2553" s="28">
        <v>471823000</v>
      </c>
      <c r="AE2553" s="28">
        <v>3318177000</v>
      </c>
      <c r="AF2553" s="28">
        <v>69526000</v>
      </c>
      <c r="AG2553" s="11"/>
    </row>
    <row r="2554">
      <c r="A2554" s="7" t="s">
        <v>4246</v>
      </c>
      <c r="B2554" s="5" t="s">
        <v>12220</v>
      </c>
      <c r="C2554" s="5" t="s">
        <v>20058</v>
      </c>
      <c r="D2554" s="5" t="str">
        <v>165047959000</v>
      </c>
      <c r="E2554" s="0" t="e">
        <f>+7 (855) 2926926
+7 (3412) 970102
+7 (912) 7657512</f>
        <v>#NAME?</v>
      </c>
      <c r="F2554" s="5" t="s">
        <v>33015</v>
      </c>
      <c r="G2554" s="5" t="s">
        <v>33016</v>
      </c>
      <c r="H2554" s="26">
        <v>5</v>
      </c>
      <c r="I2554" s="5" t="s">
        <v>33017</v>
      </c>
      <c r="J2554" s="5" t="s">
        <v>423</v>
      </c>
      <c r="K2554" s="5" t="s">
        <v>355</v>
      </c>
      <c r="L2554" s="5" t="s">
        <v>33018</v>
      </c>
      <c r="M2554" s="27">
        <v>203267</v>
      </c>
      <c r="N2554" s="5" t="s">
        <v>53384</v>
      </c>
      <c r="O2554" s="5" t="str">
        <v>1840076776</v>
      </c>
      <c r="P2554" s="27">
        <v>10000</v>
      </c>
      <c r="Q2554" s="5" t="s">
        <v>53385</v>
      </c>
      <c r="R2554" s="5"/>
      <c r="S2554" s="5" t="s">
        <v>49047</v>
      </c>
      <c r="T2554" s="28">
        <v>628000</v>
      </c>
      <c r="U2554" s="28"/>
      <c r="V2554" s="28">
        <v>274787000</v>
      </c>
      <c r="W2554" s="28"/>
      <c r="X2554" s="28">
        <v>2000</v>
      </c>
      <c r="Y2554" s="28">
        <v>554818000</v>
      </c>
      <c r="Z2554" s="28">
        <v>72161000</v>
      </c>
      <c r="AA2554" s="28">
        <v>83290000</v>
      </c>
      <c r="AB2554" s="28">
        <v>45423000</v>
      </c>
      <c r="AC2554" s="28">
        <v>399357000</v>
      </c>
      <c r="AD2554" s="28">
        <v>72171000</v>
      </c>
      <c r="AE2554" s="28">
        <v>3453777000</v>
      </c>
      <c r="AF2554" s="28">
        <v>45210000</v>
      </c>
      <c r="AG2554" s="11"/>
    </row>
    <row r="2555">
      <c r="A2555" s="7" t="s">
        <v>4247</v>
      </c>
      <c r="B2555" s="5" t="s">
        <v>12221</v>
      </c>
      <c r="C2555" s="5" t="s">
        <v>20059</v>
      </c>
      <c r="D2555" s="5" t="str">
        <v>450104471208</v>
      </c>
      <c r="E2555" s="0" t="e">
        <f>+7 (800) 2507919
+7 (912) 8330020
+7 (982) 8002999</f>
        <v>#NAME?</v>
      </c>
      <c r="F2555" s="5" t="s">
        <v>33019</v>
      </c>
      <c r="G2555" s="5" t="s">
        <v>33020</v>
      </c>
      <c r="H2555" s="26">
        <v>6.5</v>
      </c>
      <c r="I2555" s="5" t="s">
        <v>33021</v>
      </c>
      <c r="J2555" s="5" t="s">
        <v>423</v>
      </c>
      <c r="K2555" s="5" t="s">
        <v>344</v>
      </c>
      <c r="L2555" s="5" t="s">
        <v>31562</v>
      </c>
      <c r="M2555" s="27">
        <v>7627236</v>
      </c>
      <c r="N2555" s="5" t="s">
        <v>53386</v>
      </c>
      <c r="O2555" s="5" t="str">
        <v>4501208790</v>
      </c>
      <c r="P2555" s="27">
        <v>10000</v>
      </c>
      <c r="Q2555" s="5" t="s">
        <v>53387</v>
      </c>
      <c r="R2555" s="5"/>
      <c r="S2555" s="5" t="s">
        <v>53388</v>
      </c>
      <c r="T2555" s="28">
        <v>8894000</v>
      </c>
      <c r="U2555" s="28"/>
      <c r="V2555" s="28">
        <v>170005000</v>
      </c>
      <c r="W2555" s="28"/>
      <c r="X2555" s="28">
        <v>25650000</v>
      </c>
      <c r="Y2555" s="28">
        <v>865713000</v>
      </c>
      <c r="Z2555" s="28">
        <v>508170000</v>
      </c>
      <c r="AA2555" s="28"/>
      <c r="AB2555" s="28">
        <v>204971000</v>
      </c>
      <c r="AC2555" s="28">
        <v>348479000</v>
      </c>
      <c r="AD2555" s="28">
        <v>508180000</v>
      </c>
      <c r="AE2555" s="28">
        <v>5188854000</v>
      </c>
      <c r="AF2555" s="28">
        <v>297305000</v>
      </c>
      <c r="AG2555" s="11"/>
    </row>
    <row r="2556">
      <c r="A2556" s="7" t="s">
        <v>4248</v>
      </c>
      <c r="B2556" s="5" t="s">
        <v>12222</v>
      </c>
      <c r="C2556" s="5" t="s">
        <v>20060</v>
      </c>
      <c r="D2556" s="5" t="str">
        <v>540606562374</v>
      </c>
      <c r="E2556" s="0" t="e">
        <f>+7 (382) 2706745
+7 (382) 2706747
+7 (383) 2749893
+7 (383) 2749896
+7 (383) 2749898
+7 (909) 5399960</f>
        <v>#NAME?</v>
      </c>
      <c r="F2556" s="5" t="s">
        <v>33022</v>
      </c>
      <c r="G2556" s="5" t="s">
        <v>33023</v>
      </c>
      <c r="H2556" s="26">
        <v>15.5</v>
      </c>
      <c r="I2556" s="5" t="s">
        <v>33024</v>
      </c>
      <c r="J2556" s="5" t="s">
        <v>25219</v>
      </c>
      <c r="K2556" s="5" t="s">
        <v>355</v>
      </c>
      <c r="L2556" s="5"/>
      <c r="M2556" s="27">
        <v>13997574</v>
      </c>
      <c r="N2556" s="5"/>
      <c r="O2556" s="5" t="str">
        <v>7017187800</v>
      </c>
      <c r="P2556" s="27">
        <v>717300000</v>
      </c>
      <c r="Q2556" s="5" t="s">
        <v>49009</v>
      </c>
      <c r="R2556" s="5"/>
      <c r="S2556" s="5" t="s">
        <v>49884</v>
      </c>
      <c r="T2556" s="28">
        <v>12622543000</v>
      </c>
      <c r="U2556" s="28"/>
      <c r="V2556" s="28">
        <v>748678000</v>
      </c>
      <c r="W2556" s="28">
        <v>21000000</v>
      </c>
      <c r="X2556" s="28">
        <v>545428000</v>
      </c>
      <c r="Y2556" s="28">
        <v>25467170000</v>
      </c>
      <c r="Z2556" s="28">
        <v>-2213755000</v>
      </c>
      <c r="AA2556" s="28"/>
      <c r="AB2556" s="28">
        <v>2797812000</v>
      </c>
      <c r="AC2556" s="28">
        <v>14724751000</v>
      </c>
      <c r="AD2556" s="28">
        <v>-1496455000</v>
      </c>
      <c r="AE2556" s="28">
        <v>81776619000</v>
      </c>
      <c r="AF2556" s="28">
        <v>361073000</v>
      </c>
      <c r="AG2556" s="11"/>
    </row>
    <row r="2557">
      <c r="A2557" s="7" t="s">
        <v>4249</v>
      </c>
      <c r="B2557" s="5" t="s">
        <v>12223</v>
      </c>
      <c r="C2557" s="5" t="s">
        <v>18019</v>
      </c>
      <c r="D2557" s="5"/>
      <c r="E2557" s="0" t="e">
        <f>+7 (48257) 44109
+7 (48257) 44456
+7 (48257) 44826
+7 (48257) 44961
+7 (48257) 44997
+7 (48257) 45197
+7 (48257) 45208
+7 (48257) 45210
+7 (48257) 45246
+7 (48257) 45864
+7 (48257) 46296</f>
        <v>#NAME?</v>
      </c>
      <c r="F2557" s="5" t="s">
        <v>33025</v>
      </c>
      <c r="G2557" s="5" t="s">
        <v>33026</v>
      </c>
      <c r="H2557" s="26">
        <v>30</v>
      </c>
      <c r="I2557" s="5"/>
      <c r="J2557" s="5" t="s">
        <v>26536</v>
      </c>
      <c r="K2557" s="5" t="s">
        <v>344</v>
      </c>
      <c r="L2557" s="5" t="s">
        <v>33027</v>
      </c>
      <c r="M2557" s="27"/>
      <c r="N2557" s="5" t="s">
        <v>53389</v>
      </c>
      <c r="O2557" s="5" t="str">
        <v>6929000141</v>
      </c>
      <c r="P2557" s="27">
        <v>15062962</v>
      </c>
      <c r="Q2557" s="5" t="s">
        <v>49009</v>
      </c>
      <c r="R2557" s="5"/>
      <c r="S2557" s="5" t="s">
        <v>49120</v>
      </c>
      <c r="T2557" s="28">
        <v>3579888000</v>
      </c>
      <c r="U2557" s="28">
        <v>5506842000</v>
      </c>
      <c r="V2557" s="28">
        <v>1417544000</v>
      </c>
      <c r="W2557" s="28"/>
      <c r="X2557" s="28">
        <v>1801368000</v>
      </c>
      <c r="Y2557" s="28">
        <v>13182805000</v>
      </c>
      <c r="Z2557" s="28">
        <v>10052493000</v>
      </c>
      <c r="AA2557" s="28">
        <v>2070368000</v>
      </c>
      <c r="AB2557" s="28">
        <v>345406000</v>
      </c>
      <c r="AC2557" s="28">
        <v>912826000</v>
      </c>
      <c r="AD2557" s="28">
        <v>10069068000</v>
      </c>
      <c r="AE2557" s="28">
        <v>10693501000</v>
      </c>
      <c r="AF2557" s="28">
        <v>2852169000</v>
      </c>
      <c r="AG2557" s="11"/>
    </row>
    <row r="2558">
      <c r="A2558" s="7" t="s">
        <v>4250</v>
      </c>
      <c r="B2558" s="5" t="s">
        <v>12224</v>
      </c>
      <c r="C2558" s="5" t="s">
        <v>20061</v>
      </c>
      <c r="D2558" s="5" t="str">
        <v>502743243836</v>
      </c>
      <c r="E2558" s="0" t="e">
        <f>+7 (495) 7469674</f>
        <v>#NAME?</v>
      </c>
      <c r="F2558" s="5"/>
      <c r="G2558" s="5"/>
      <c r="H2558" s="26">
        <v>16</v>
      </c>
      <c r="I2558" s="5" t="s">
        <v>33028</v>
      </c>
      <c r="J2558" s="5" t="s">
        <v>526</v>
      </c>
      <c r="K2558" s="5" t="s">
        <v>355</v>
      </c>
      <c r="L2558" s="5"/>
      <c r="M2558" s="27"/>
      <c r="N2558" s="5" t="s">
        <v>53390</v>
      </c>
      <c r="O2558" s="5" t="str">
        <v>7702641199</v>
      </c>
      <c r="P2558" s="27">
        <v>10000</v>
      </c>
      <c r="Q2558" s="5"/>
      <c r="R2558" s="5"/>
      <c r="S2558" s="5" t="s">
        <v>49110</v>
      </c>
      <c r="T2558" s="28">
        <v>3164206000</v>
      </c>
      <c r="U2558" s="28">
        <v>1236883000</v>
      </c>
      <c r="V2558" s="28">
        <v>3737618000</v>
      </c>
      <c r="W2558" s="28"/>
      <c r="X2558" s="28">
        <v>1542881000</v>
      </c>
      <c r="Y2558" s="28">
        <v>12823663000</v>
      </c>
      <c r="Z2558" s="28">
        <v>5024915000</v>
      </c>
      <c r="AA2558" s="28">
        <v>1496420000</v>
      </c>
      <c r="AB2558" s="28">
        <v>1265818000</v>
      </c>
      <c r="AC2558" s="28">
        <v>4577655000</v>
      </c>
      <c r="AD2558" s="28">
        <v>5024925000</v>
      </c>
      <c r="AE2558" s="28">
        <v>13716557000</v>
      </c>
      <c r="AF2558" s="28">
        <v>5024915000</v>
      </c>
      <c r="AG2558" s="11"/>
    </row>
    <row r="2559">
      <c r="A2559" s="7" t="s">
        <v>4251</v>
      </c>
      <c r="B2559" s="5" t="s">
        <v>12225</v>
      </c>
      <c r="C2559" s="5" t="s">
        <v>20062</v>
      </c>
      <c r="D2559" s="5" t="str">
        <v>482601090639</v>
      </c>
      <c r="E2559" s="0" t="e">
        <f>+7 (495) 7815511</f>
        <v>#NAME?</v>
      </c>
      <c r="F2559" s="5" t="s">
        <v>33029</v>
      </c>
      <c r="G2559" s="5" t="s">
        <v>33030</v>
      </c>
      <c r="H2559" s="26">
        <v>7.5</v>
      </c>
      <c r="I2559" s="5" t="s">
        <v>33031</v>
      </c>
      <c r="J2559" s="5" t="s">
        <v>27407</v>
      </c>
      <c r="K2559" s="5" t="s">
        <v>344</v>
      </c>
      <c r="L2559" s="5" t="s">
        <v>33032</v>
      </c>
      <c r="M2559" s="27">
        <v>4920371</v>
      </c>
      <c r="N2559" s="5" t="s">
        <v>53391</v>
      </c>
      <c r="O2559" s="5" t="str">
        <v>7719429480</v>
      </c>
      <c r="P2559" s="27">
        <v>100000</v>
      </c>
      <c r="Q2559" s="5" t="s">
        <v>53392</v>
      </c>
      <c r="R2559" s="5"/>
      <c r="S2559" s="5" t="s">
        <v>53393</v>
      </c>
      <c r="T2559" s="28">
        <v>14358000</v>
      </c>
      <c r="U2559" s="28"/>
      <c r="V2559" s="28">
        <v>2519121000</v>
      </c>
      <c r="W2559" s="28">
        <v>327700000</v>
      </c>
      <c r="X2559" s="28">
        <v>221654000</v>
      </c>
      <c r="Y2559" s="28">
        <v>5251230000</v>
      </c>
      <c r="Z2559" s="28">
        <v>140701000</v>
      </c>
      <c r="AA2559" s="28"/>
      <c r="AB2559" s="28">
        <v>826148000</v>
      </c>
      <c r="AC2559" s="28">
        <v>5110424000</v>
      </c>
      <c r="AD2559" s="28">
        <v>140844000</v>
      </c>
      <c r="AE2559" s="28">
        <v>7756359000</v>
      </c>
      <c r="AF2559" s="28">
        <v>196615000</v>
      </c>
      <c r="AG2559" s="11"/>
    </row>
    <row r="2560">
      <c r="A2560" s="7" t="s">
        <v>4252</v>
      </c>
      <c r="B2560" s="5" t="s">
        <v>12226</v>
      </c>
      <c r="C2560" s="5" t="s">
        <v>20063</v>
      </c>
      <c r="D2560" s="5" t="str">
        <v>771910137500</v>
      </c>
      <c r="E2560" s="0" t="e">
        <f>+7 (903) 1367863
+7 (495) 9268624
+7 (495) 9268625
+7 (495) 9268699
+7 (495) 9565122
+7 (495) 9565123
+7 (499) 3700257
+7 (812) 5700798
+7 (812) 5700838
+7 (963) 4594005
+7 (963) 4595288</f>
        <v>#NAME?</v>
      </c>
      <c r="F2560" s="5" t="s">
        <v>33033</v>
      </c>
      <c r="G2560" s="5" t="s">
        <v>33034</v>
      </c>
      <c r="H2560" s="26">
        <v>20</v>
      </c>
      <c r="I2560" s="5" t="s">
        <v>33035</v>
      </c>
      <c r="J2560" s="5" t="s">
        <v>570</v>
      </c>
      <c r="K2560" s="5" t="s">
        <v>344</v>
      </c>
      <c r="L2560" s="5" t="s">
        <v>33036</v>
      </c>
      <c r="M2560" s="27"/>
      <c r="N2560" s="5" t="s">
        <v>53394</v>
      </c>
      <c r="O2560" s="5" t="str">
        <v>5047053409</v>
      </c>
      <c r="P2560" s="27">
        <v>9167000</v>
      </c>
      <c r="Q2560" s="5" t="s">
        <v>53395</v>
      </c>
      <c r="R2560" s="5"/>
      <c r="S2560" s="5" t="s">
        <v>49956</v>
      </c>
      <c r="T2560" s="28">
        <v>2297000</v>
      </c>
      <c r="U2560" s="28">
        <v>20957000</v>
      </c>
      <c r="V2560" s="28">
        <v>1362000000</v>
      </c>
      <c r="W2560" s="28">
        <v>5704000</v>
      </c>
      <c r="X2560" s="28">
        <v>4607457000</v>
      </c>
      <c r="Y2560" s="28">
        <v>6176927000</v>
      </c>
      <c r="Z2560" s="28">
        <v>5568582000</v>
      </c>
      <c r="AA2560" s="28"/>
      <c r="AB2560" s="28"/>
      <c r="AC2560" s="28">
        <v>472849000</v>
      </c>
      <c r="AD2560" s="28">
        <v>5577778000</v>
      </c>
      <c r="AE2560" s="28">
        <v>16753637000</v>
      </c>
      <c r="AF2560" s="28">
        <v>-2931785000</v>
      </c>
      <c r="AG2560" s="11"/>
    </row>
    <row r="2561">
      <c r="A2561" s="7" t="s">
        <v>4253</v>
      </c>
      <c r="B2561" s="5" t="s">
        <v>12227</v>
      </c>
      <c r="C2561" s="5" t="s">
        <v>20064</v>
      </c>
      <c r="D2561" s="5" t="str">
        <v>230904933887</v>
      </c>
      <c r="E2561" s="0" t="e">
        <f>+7 (861) 2544754</f>
        <v>#NAME?</v>
      </c>
      <c r="F2561" s="5"/>
      <c r="G2561" s="5" t="s">
        <v>33037</v>
      </c>
      <c r="H2561" s="26">
        <v>24</v>
      </c>
      <c r="I2561" s="5" t="s">
        <v>33038</v>
      </c>
      <c r="J2561" s="5" t="s">
        <v>27956</v>
      </c>
      <c r="K2561" s="5" t="s">
        <v>344</v>
      </c>
      <c r="L2561" s="5" t="s">
        <v>33039</v>
      </c>
      <c r="M2561" s="27"/>
      <c r="N2561" s="5"/>
      <c r="O2561" s="5" t="str">
        <v>2308061641</v>
      </c>
      <c r="P2561" s="27">
        <v>10000</v>
      </c>
      <c r="Q2561" s="5" t="s">
        <v>49009</v>
      </c>
      <c r="R2561" s="5"/>
      <c r="S2561" s="5" t="s">
        <v>49045</v>
      </c>
      <c r="T2561" s="28"/>
      <c r="U2561" s="28"/>
      <c r="V2561" s="28">
        <v>5227000</v>
      </c>
      <c r="W2561" s="28"/>
      <c r="X2561" s="28">
        <v>30652000</v>
      </c>
      <c r="Y2561" s="28">
        <v>35958000</v>
      </c>
      <c r="Z2561" s="28">
        <v>31477000</v>
      </c>
      <c r="AA2561" s="28"/>
      <c r="AB2561" s="28"/>
      <c r="AC2561" s="28">
        <v>4471000</v>
      </c>
      <c r="AD2561" s="28">
        <v>31487000</v>
      </c>
      <c r="AE2561" s="28">
        <v>3450966000</v>
      </c>
      <c r="AF2561" s="28">
        <v>22896000</v>
      </c>
      <c r="AG2561" s="11"/>
    </row>
    <row r="2562">
      <c r="A2562" s="7" t="s">
        <v>4254</v>
      </c>
      <c r="B2562" s="5" t="s">
        <v>12228</v>
      </c>
      <c r="C2562" s="5" t="s">
        <v>20065</v>
      </c>
      <c r="D2562" s="5" t="str">
        <v>770483874343</v>
      </c>
      <c r="E2562" s="0" t="e">
        <f>+7 (495) 6663107
+7 (495) 7102448
+7 (495) 9558855
+7 (495) 9958805
+7 (495) 9958855</f>
        <v>#NAME?</v>
      </c>
      <c r="F2562" s="5" t="s">
        <v>33040</v>
      </c>
      <c r="G2562" s="5" t="s">
        <v>33041</v>
      </c>
      <c r="H2562" s="26">
        <v>17</v>
      </c>
      <c r="I2562" s="5" t="s">
        <v>33042</v>
      </c>
      <c r="J2562" s="5" t="s">
        <v>26367</v>
      </c>
      <c r="K2562" s="5" t="s">
        <v>344</v>
      </c>
      <c r="L2562" s="5" t="s">
        <v>33043</v>
      </c>
      <c r="M2562" s="27"/>
      <c r="N2562" s="5"/>
      <c r="O2562" s="5" t="str">
        <v>7723560448</v>
      </c>
      <c r="P2562" s="27">
        <v>210000000</v>
      </c>
      <c r="Q2562" s="5" t="s">
        <v>49059</v>
      </c>
      <c r="R2562" s="5"/>
      <c r="S2562" s="5" t="s">
        <v>52099</v>
      </c>
      <c r="T2562" s="28">
        <v>78243000</v>
      </c>
      <c r="U2562" s="28">
        <v>532887000</v>
      </c>
      <c r="V2562" s="28">
        <v>1775576000</v>
      </c>
      <c r="W2562" s="28"/>
      <c r="X2562" s="28">
        <v>294209000</v>
      </c>
      <c r="Y2562" s="28">
        <v>3886544000</v>
      </c>
      <c r="Z2562" s="28">
        <v>1299600000</v>
      </c>
      <c r="AA2562" s="28"/>
      <c r="AB2562" s="28"/>
      <c r="AC2562" s="28">
        <v>2337945000</v>
      </c>
      <c r="AD2562" s="28">
        <v>1509600000</v>
      </c>
      <c r="AE2562" s="28">
        <v>7511218000</v>
      </c>
      <c r="AF2562" s="28">
        <v>507601000</v>
      </c>
      <c r="AG2562" s="11"/>
    </row>
    <row r="2563">
      <c r="A2563" s="7" t="s">
        <v>4255</v>
      </c>
      <c r="B2563" s="5" t="s">
        <v>12229</v>
      </c>
      <c r="C2563" s="5" t="s">
        <v>20066</v>
      </c>
      <c r="D2563" s="5" t="str">
        <v>774335205755</v>
      </c>
      <c r="E2563" s="0" t="e">
        <f>+7 (495) 9333640
+7 (49664) 74844
+7 (49664) 75000
+7 (49664) 75313
+7 (49664) 79300
+7 (49664) 79313</f>
        <v>#NAME?</v>
      </c>
      <c r="F2563" s="5" t="s">
        <v>33044</v>
      </c>
      <c r="G2563" s="5" t="s">
        <v>33045</v>
      </c>
      <c r="H2563" s="26">
        <v>24.5</v>
      </c>
      <c r="I2563" s="5" t="s">
        <v>33046</v>
      </c>
      <c r="J2563" s="5" t="s">
        <v>26869</v>
      </c>
      <c r="K2563" s="5" t="s">
        <v>344</v>
      </c>
      <c r="L2563" s="5" t="s">
        <v>33047</v>
      </c>
      <c r="M2563" s="27"/>
      <c r="N2563" s="5"/>
      <c r="O2563" s="5" t="str">
        <v>5045021970</v>
      </c>
      <c r="P2563" s="27">
        <v>1260842478</v>
      </c>
      <c r="Q2563" s="5" t="s">
        <v>49009</v>
      </c>
      <c r="R2563" s="5"/>
      <c r="S2563" s="5" t="s">
        <v>49066</v>
      </c>
      <c r="T2563" s="28">
        <v>2182800000</v>
      </c>
      <c r="U2563" s="28"/>
      <c r="V2563" s="28">
        <v>949834000</v>
      </c>
      <c r="W2563" s="28"/>
      <c r="X2563" s="28">
        <v>341768000</v>
      </c>
      <c r="Y2563" s="28">
        <v>4344118000</v>
      </c>
      <c r="Z2563" s="28">
        <v>1587156000</v>
      </c>
      <c r="AA2563" s="28">
        <v>410000000</v>
      </c>
      <c r="AB2563" s="28">
        <v>150000000</v>
      </c>
      <c r="AC2563" s="28">
        <v>811189000</v>
      </c>
      <c r="AD2563" s="28">
        <v>2900903000</v>
      </c>
      <c r="AE2563" s="28">
        <v>8250953000</v>
      </c>
      <c r="AF2563" s="28">
        <v>353961000</v>
      </c>
      <c r="AG2563" s="11"/>
    </row>
    <row r="2564">
      <c r="A2564" s="7" t="s">
        <v>4256</v>
      </c>
      <c r="B2564" s="5" t="s">
        <v>12230</v>
      </c>
      <c r="C2564" s="5" t="s">
        <v>20067</v>
      </c>
      <c r="D2564" s="5" t="str">
        <v>163902664101</v>
      </c>
      <c r="E2564" s="0" t="e">
        <f>+7 (855) 2305305
+7 (855) 2305313
+7 (855) 2305322
+7 (855) 2305325
+7 (855) 2305338
+7 (855) 2305366
+7 (855) 2305367
+7 (855) 2308855
+7 (855) 2309880</f>
        <v>#NAME?</v>
      </c>
      <c r="F2564" s="5" t="s">
        <v>33048</v>
      </c>
      <c r="G2564" s="5" t="s">
        <v>33049</v>
      </c>
      <c r="H2564" s="26">
        <v>17.5</v>
      </c>
      <c r="I2564" s="5" t="s">
        <v>33050</v>
      </c>
      <c r="J2564" s="5" t="s">
        <v>25371</v>
      </c>
      <c r="K2564" s="5" t="s">
        <v>355</v>
      </c>
      <c r="L2564" s="5" t="s">
        <v>33051</v>
      </c>
      <c r="M2564" s="27"/>
      <c r="N2564" s="5"/>
      <c r="O2564" s="5" t="str">
        <v>1650128842</v>
      </c>
      <c r="P2564" s="27">
        <v>200000000</v>
      </c>
      <c r="Q2564" s="5" t="s">
        <v>49009</v>
      </c>
      <c r="R2564" s="5"/>
      <c r="S2564" s="5" t="s">
        <v>53396</v>
      </c>
      <c r="T2564" s="28">
        <v>11227834000</v>
      </c>
      <c r="U2564" s="28">
        <v>912086000</v>
      </c>
      <c r="V2564" s="28">
        <v>2787657000</v>
      </c>
      <c r="W2564" s="28">
        <v>20000000</v>
      </c>
      <c r="X2564" s="28">
        <v>666179000</v>
      </c>
      <c r="Y2564" s="28">
        <v>18443675000</v>
      </c>
      <c r="Z2564" s="28">
        <v>14040767000</v>
      </c>
      <c r="AA2564" s="28">
        <v>1992000000</v>
      </c>
      <c r="AB2564" s="28">
        <v>742352000</v>
      </c>
      <c r="AC2564" s="28">
        <v>2210908000</v>
      </c>
      <c r="AD2564" s="28">
        <v>15142310000</v>
      </c>
      <c r="AE2564" s="28">
        <v>8502077000</v>
      </c>
      <c r="AF2564" s="28">
        <v>1034131000</v>
      </c>
      <c r="AG2564" s="11"/>
    </row>
    <row r="2565">
      <c r="A2565" s="7" t="s">
        <v>4257</v>
      </c>
      <c r="B2565" s="5" t="s">
        <v>12231</v>
      </c>
      <c r="C2565" s="5" t="s">
        <v>20068</v>
      </c>
      <c r="D2565" s="5" t="str">
        <v>422101005933</v>
      </c>
      <c r="E2565" s="0" t="e">
        <f>+7 (3843) 993408
+7 (3843) 993403
+7 (3843) 933404
+7 (3843) 993380
+7 (3843) 993400
+7 (3843) 993405
+7 (3843) 993406
+7 (3843) 993407
+7 (3843) 993420
+7 (3843) 993426
+7 (3843) 993555
+7 (390) 2202602
+7 (390) 2202603
+7 (390) 2285807
+7 (800) 2006538</f>
        <v>#NAME?</v>
      </c>
      <c r="F2565" s="5" t="s">
        <v>33052</v>
      </c>
      <c r="G2565" s="5" t="s">
        <v>33053</v>
      </c>
      <c r="H2565" s="26">
        <v>15</v>
      </c>
      <c r="I2565" s="5" t="s">
        <v>33054</v>
      </c>
      <c r="J2565" s="5" t="s">
        <v>897</v>
      </c>
      <c r="K2565" s="5" t="s">
        <v>344</v>
      </c>
      <c r="L2565" s="5" t="s">
        <v>33055</v>
      </c>
      <c r="M2565" s="27"/>
      <c r="N2565" s="5" t="s">
        <v>53397</v>
      </c>
      <c r="O2565" s="5" t="str">
        <v>4238021798</v>
      </c>
      <c r="P2565" s="27">
        <v>20000</v>
      </c>
      <c r="Q2565" s="5" t="s">
        <v>49207</v>
      </c>
      <c r="R2565" s="5"/>
      <c r="S2565" s="5" t="s">
        <v>49532</v>
      </c>
      <c r="T2565" s="28">
        <v>1054380000</v>
      </c>
      <c r="U2565" s="28"/>
      <c r="V2565" s="28">
        <v>3745162000</v>
      </c>
      <c r="W2565" s="28">
        <v>1500500000</v>
      </c>
      <c r="X2565" s="28">
        <v>226691000</v>
      </c>
      <c r="Y2565" s="28">
        <v>8954996000</v>
      </c>
      <c r="Z2565" s="28">
        <v>7678908000</v>
      </c>
      <c r="AA2565" s="28">
        <v>24333000</v>
      </c>
      <c r="AB2565" s="28"/>
      <c r="AC2565" s="28">
        <v>1198271000</v>
      </c>
      <c r="AD2565" s="28">
        <v>7693873000</v>
      </c>
      <c r="AE2565" s="28">
        <v>10163368000</v>
      </c>
      <c r="AF2565" s="28">
        <v>3473541000</v>
      </c>
      <c r="AG2565" s="11"/>
    </row>
    <row r="2566">
      <c r="A2566" s="7" t="s">
        <v>4258</v>
      </c>
      <c r="B2566" s="5" t="s">
        <v>12232</v>
      </c>
      <c r="C2566" s="5" t="s">
        <v>20068</v>
      </c>
      <c r="D2566" s="5" t="str">
        <v>422101005933</v>
      </c>
      <c r="E2566" s="0" t="e">
        <f>+7 (3843) 993408
+7 (3843) 993407
+7 (3843) 993426
+7 (3843) 993427
+7 (3843) 993555
+7 (390) 2373744
+7 (812) 3135901
+7 (812) 3135959
+7 (905) 9035621
+7 (911) 509900
+7 (911) 7696704
+7 (913) 1243394
+7 (921) 2766202
+7 (960) 2626013
+7 (962) 7270125</f>
        <v>#NAME?</v>
      </c>
      <c r="F2566" s="5" t="s">
        <v>33056</v>
      </c>
      <c r="G2566" s="5" t="s">
        <v>33053</v>
      </c>
      <c r="H2566" s="26">
        <v>17.5</v>
      </c>
      <c r="I2566" s="5" t="s">
        <v>33057</v>
      </c>
      <c r="J2566" s="5" t="s">
        <v>897</v>
      </c>
      <c r="K2566" s="5" t="s">
        <v>344</v>
      </c>
      <c r="L2566" s="5" t="s">
        <v>33058</v>
      </c>
      <c r="M2566" s="27">
        <v>1655953</v>
      </c>
      <c r="N2566" s="5" t="s">
        <v>53398</v>
      </c>
      <c r="O2566" s="5" t="str">
        <v>4221017793</v>
      </c>
      <c r="P2566" s="27">
        <v>15430000</v>
      </c>
      <c r="Q2566" s="5" t="s">
        <v>53399</v>
      </c>
      <c r="R2566" s="5"/>
      <c r="S2566" s="5" t="s">
        <v>53400</v>
      </c>
      <c r="T2566" s="28">
        <v>613292000</v>
      </c>
      <c r="U2566" s="28"/>
      <c r="V2566" s="28">
        <v>1891039000</v>
      </c>
      <c r="W2566" s="28">
        <v>1057300000</v>
      </c>
      <c r="X2566" s="28">
        <v>308675000</v>
      </c>
      <c r="Y2566" s="28">
        <v>6459851000</v>
      </c>
      <c r="Z2566" s="28">
        <v>4904783000</v>
      </c>
      <c r="AA2566" s="28"/>
      <c r="AB2566" s="28"/>
      <c r="AC2566" s="28">
        <v>1537780000</v>
      </c>
      <c r="AD2566" s="28">
        <v>4950116000</v>
      </c>
      <c r="AE2566" s="28">
        <v>5672803000</v>
      </c>
      <c r="AF2566" s="28">
        <v>1495644000</v>
      </c>
      <c r="AG2566" s="11"/>
    </row>
    <row r="2567">
      <c r="A2567" s="7" t="s">
        <v>4259</v>
      </c>
      <c r="B2567" s="5" t="s">
        <v>12233</v>
      </c>
      <c r="C2567" s="5" t="s">
        <v>20069</v>
      </c>
      <c r="D2567" s="5" t="str">
        <v>590401861801</v>
      </c>
      <c r="E2567" s="0" t="e">
        <f>+7 (342) 2724085
+7 (342) 2725398
+7 (342) 2729253
+7 (3422) 709200
+7 (3422) 709222</f>
        <v>#NAME?</v>
      </c>
      <c r="F2567" s="5" t="s">
        <v>33059</v>
      </c>
      <c r="G2567" s="5" t="s">
        <v>33060</v>
      </c>
      <c r="H2567" s="26">
        <v>24.5</v>
      </c>
      <c r="I2567" s="5" t="s">
        <v>33061</v>
      </c>
      <c r="J2567" s="5" t="s">
        <v>29146</v>
      </c>
      <c r="K2567" s="5" t="s">
        <v>344</v>
      </c>
      <c r="L2567" s="5" t="s">
        <v>33062</v>
      </c>
      <c r="M2567" s="27"/>
      <c r="N2567" s="5"/>
      <c r="O2567" s="5" t="str">
        <v>5907016890</v>
      </c>
      <c r="P2567" s="27">
        <v>885600</v>
      </c>
      <c r="Q2567" s="5" t="s">
        <v>49057</v>
      </c>
      <c r="R2567" s="5"/>
      <c r="S2567" s="5" t="s">
        <v>51171</v>
      </c>
      <c r="T2567" s="28">
        <v>803261000</v>
      </c>
      <c r="U2567" s="28"/>
      <c r="V2567" s="28">
        <v>409007000</v>
      </c>
      <c r="W2567" s="28"/>
      <c r="X2567" s="28">
        <v>802399000</v>
      </c>
      <c r="Y2567" s="28">
        <v>2814413000</v>
      </c>
      <c r="Z2567" s="28">
        <v>1326765000</v>
      </c>
      <c r="AA2567" s="28"/>
      <c r="AB2567" s="28">
        <v>1122422000</v>
      </c>
      <c r="AC2567" s="28">
        <v>1479052000</v>
      </c>
      <c r="AD2567" s="28">
        <v>1327784000</v>
      </c>
      <c r="AE2567" s="28">
        <v>4199237000</v>
      </c>
      <c r="AF2567" s="28">
        <v>353732000</v>
      </c>
      <c r="AG2567" s="11"/>
    </row>
    <row r="2568">
      <c r="A2568" s="7" t="s">
        <v>4260</v>
      </c>
      <c r="B2568" s="5" t="s">
        <v>12234</v>
      </c>
      <c r="C2568" s="5" t="s">
        <v>20070</v>
      </c>
      <c r="D2568" s="5" t="str">
        <v>770203658007</v>
      </c>
      <c r="E2568" s="0" t="e">
        <f>+7 (495) 7413030</f>
        <v>#NAME?</v>
      </c>
      <c r="F2568" s="5"/>
      <c r="G2568" s="5"/>
      <c r="H2568" s="26">
        <v>8</v>
      </c>
      <c r="I2568" s="5" t="s">
        <v>33063</v>
      </c>
      <c r="J2568" s="5" t="s">
        <v>397</v>
      </c>
      <c r="K2568" s="5" t="s">
        <v>344</v>
      </c>
      <c r="L2568" s="5" t="s">
        <v>33064</v>
      </c>
      <c r="M2568" s="27">
        <v>5581000</v>
      </c>
      <c r="N2568" s="5" t="s">
        <v>53401</v>
      </c>
      <c r="O2568" s="5" t="str">
        <v>7723377629</v>
      </c>
      <c r="P2568" s="27">
        <v>100000</v>
      </c>
      <c r="Q2568" s="5" t="s">
        <v>49688</v>
      </c>
      <c r="R2568" s="5"/>
      <c r="S2568" s="5" t="s">
        <v>53402</v>
      </c>
      <c r="T2568" s="28">
        <v>160000</v>
      </c>
      <c r="U2568" s="28"/>
      <c r="V2568" s="28">
        <v>233983000</v>
      </c>
      <c r="W2568" s="28"/>
      <c r="X2568" s="28">
        <v>3034000</v>
      </c>
      <c r="Y2568" s="28">
        <v>1935671000</v>
      </c>
      <c r="Z2568" s="28">
        <v>581176000</v>
      </c>
      <c r="AA2568" s="28">
        <v>890471000</v>
      </c>
      <c r="AB2568" s="28">
        <v>21380000</v>
      </c>
      <c r="AC2568" s="28">
        <v>463924000</v>
      </c>
      <c r="AD2568" s="28">
        <v>581276000</v>
      </c>
      <c r="AE2568" s="28">
        <v>5102127000</v>
      </c>
      <c r="AF2568" s="28">
        <v>357673000</v>
      </c>
      <c r="AG2568" s="11"/>
    </row>
    <row r="2569">
      <c r="A2569" s="7" t="s">
        <v>4261</v>
      </c>
      <c r="B2569" s="5" t="s">
        <v>12235</v>
      </c>
      <c r="C2569" s="5" t="s">
        <v>20071</v>
      </c>
      <c r="D2569" s="5"/>
      <c r="E2569" s="0" t="e">
        <f>+7 (4232) 643737</f>
        <v>#NAME?</v>
      </c>
      <c r="F2569" s="5" t="s">
        <v>33065</v>
      </c>
      <c r="G2569" s="5"/>
      <c r="H2569" s="26">
        <v>4.5</v>
      </c>
      <c r="I2569" s="5" t="s">
        <v>33066</v>
      </c>
      <c r="J2569" s="5" t="s">
        <v>26424</v>
      </c>
      <c r="K2569" s="5" t="s">
        <v>344</v>
      </c>
      <c r="L2569" s="5" t="s">
        <v>33067</v>
      </c>
      <c r="M2569" s="27"/>
      <c r="N2569" s="5"/>
      <c r="O2569" s="5" t="str">
        <v>2536312206</v>
      </c>
      <c r="P2569" s="27">
        <v>10000</v>
      </c>
      <c r="Q2569" s="5"/>
      <c r="R2569" s="5"/>
      <c r="S2569" s="5" t="s">
        <v>49029</v>
      </c>
      <c r="T2569" s="28">
        <v>4360383000</v>
      </c>
      <c r="U2569" s="28">
        <v>733250000</v>
      </c>
      <c r="V2569" s="28">
        <v>1586130000</v>
      </c>
      <c r="W2569" s="28"/>
      <c r="X2569" s="28">
        <v>569884000</v>
      </c>
      <c r="Y2569" s="28">
        <v>17291219000</v>
      </c>
      <c r="Z2569" s="28">
        <v>4773046000</v>
      </c>
      <c r="AA2569" s="28">
        <v>7621957000</v>
      </c>
      <c r="AB2569" s="28">
        <v>2233696000</v>
      </c>
      <c r="AC2569" s="28">
        <v>3296176000</v>
      </c>
      <c r="AD2569" s="28">
        <v>6373086000</v>
      </c>
      <c r="AE2569" s="28">
        <v>4684532000</v>
      </c>
      <c r="AF2569" s="28">
        <v>3683224000</v>
      </c>
      <c r="AG2569" s="11"/>
    </row>
    <row r="2570">
      <c r="A2570" s="7" t="s">
        <v>4262</v>
      </c>
      <c r="B2570" s="5" t="s">
        <v>10219</v>
      </c>
      <c r="C2570" s="5" t="s">
        <v>18118</v>
      </c>
      <c r="D2570" s="5"/>
      <c r="E2570" s="0" t="e">
        <f>+7 (415) 2300809</f>
        <v>#NAME?</v>
      </c>
      <c r="F2570" s="5" t="s">
        <v>33068</v>
      </c>
      <c r="G2570" s="5"/>
      <c r="H2570" s="26">
        <v>29.5</v>
      </c>
      <c r="I2570" s="5"/>
      <c r="J2570" s="5" t="s">
        <v>26499</v>
      </c>
      <c r="K2570" s="5" t="s">
        <v>344</v>
      </c>
      <c r="L2570" s="5" t="s">
        <v>33069</v>
      </c>
      <c r="M2570" s="27">
        <v>8429938</v>
      </c>
      <c r="N2570" s="5" t="s">
        <v>50984</v>
      </c>
      <c r="O2570" s="5" t="str">
        <v>4104000436</v>
      </c>
      <c r="P2570" s="27">
        <v>102000</v>
      </c>
      <c r="Q2570" s="5" t="s">
        <v>49009</v>
      </c>
      <c r="R2570" s="5"/>
      <c r="S2570" s="5" t="s">
        <v>50966</v>
      </c>
      <c r="T2570" s="28">
        <v>4415877000</v>
      </c>
      <c r="U2570" s="28"/>
      <c r="V2570" s="28">
        <v>5583759000</v>
      </c>
      <c r="W2570" s="28"/>
      <c r="X2570" s="28">
        <v>492301000</v>
      </c>
      <c r="Y2570" s="28">
        <v>13256852000</v>
      </c>
      <c r="Z2570" s="28">
        <v>4031950000</v>
      </c>
      <c r="AA2570" s="28">
        <v>7155185000</v>
      </c>
      <c r="AB2570" s="28">
        <v>583000</v>
      </c>
      <c r="AC2570" s="28">
        <v>1136462000</v>
      </c>
      <c r="AD2570" s="28">
        <v>4032052000</v>
      </c>
      <c r="AE2570" s="28">
        <v>4327345000</v>
      </c>
      <c r="AF2570" s="28">
        <v>683075000</v>
      </c>
      <c r="AG2570" s="11"/>
    </row>
    <row r="2571">
      <c r="A2571" s="7" t="s">
        <v>4263</v>
      </c>
      <c r="B2571" s="5" t="s">
        <v>12236</v>
      </c>
      <c r="C2571" s="5" t="s">
        <v>20072</v>
      </c>
      <c r="D2571" s="5" t="str">
        <v>781409671320</v>
      </c>
      <c r="E2571" s="0" t="e">
        <f>+7 (495) 7557821
+7 (495) 7754275
+7 (495) 9801090
+7 (495) 9811010
+7 (800) 2344595
+7 (8632) 11010</f>
        <v>#NAME?</v>
      </c>
      <c r="F2571" s="5" t="s">
        <v>33070</v>
      </c>
      <c r="G2571" s="5" t="s">
        <v>33071</v>
      </c>
      <c r="H2571" s="26">
        <v>23.5</v>
      </c>
      <c r="I2571" s="5"/>
      <c r="J2571" s="5" t="s">
        <v>33072</v>
      </c>
      <c r="K2571" s="5" t="s">
        <v>344</v>
      </c>
      <c r="L2571" s="5" t="s">
        <v>33073</v>
      </c>
      <c r="M2571" s="27">
        <v>1231860</v>
      </c>
      <c r="N2571" s="5" t="s">
        <v>53403</v>
      </c>
      <c r="O2571" s="5" t="str">
        <v>7713215523</v>
      </c>
      <c r="P2571" s="27">
        <v>45181800</v>
      </c>
      <c r="Q2571" s="5" t="s">
        <v>49009</v>
      </c>
      <c r="R2571" s="5" t="s">
        <v>53404</v>
      </c>
      <c r="S2571" s="5" t="s">
        <v>53405</v>
      </c>
      <c r="T2571" s="28">
        <v>1530801000</v>
      </c>
      <c r="U2571" s="28">
        <v>100000</v>
      </c>
      <c r="V2571" s="28">
        <v>1640750000</v>
      </c>
      <c r="W2571" s="28">
        <v>1365883000</v>
      </c>
      <c r="X2571" s="28">
        <v>1194578000</v>
      </c>
      <c r="Y2571" s="28">
        <v>7742365000</v>
      </c>
      <c r="Z2571" s="28">
        <v>4030033000</v>
      </c>
      <c r="AA2571" s="28"/>
      <c r="AB2571" s="28"/>
      <c r="AC2571" s="28">
        <v>3578420000</v>
      </c>
      <c r="AD2571" s="28">
        <v>4081348000</v>
      </c>
      <c r="AE2571" s="28">
        <v>14880034000</v>
      </c>
      <c r="AF2571" s="28">
        <v>99055000</v>
      </c>
      <c r="AG2571" s="11"/>
    </row>
    <row r="2572">
      <c r="A2572" s="7" t="s">
        <v>4264</v>
      </c>
      <c r="B2572" s="5" t="s">
        <v>12237</v>
      </c>
      <c r="C2572" s="5" t="s">
        <v>20073</v>
      </c>
      <c r="D2572" s="5" t="str">
        <v>344745409640</v>
      </c>
      <c r="E2572" s="0" t="e">
        <f>+7 (960) 8711559
+7 (991) 4228676</f>
        <v>#NAME?</v>
      </c>
      <c r="F2572" s="5" t="s">
        <v>33074</v>
      </c>
      <c r="G2572" s="5"/>
      <c r="H2572" s="26">
        <v>2</v>
      </c>
      <c r="I2572" s="5" t="s">
        <v>33075</v>
      </c>
      <c r="J2572" s="5" t="s">
        <v>29035</v>
      </c>
      <c r="K2572" s="5" t="s">
        <v>344</v>
      </c>
      <c r="L2572" s="5"/>
      <c r="M2572" s="27"/>
      <c r="N2572" s="5" t="s">
        <v>53406</v>
      </c>
      <c r="O2572" s="5" t="str">
        <v>3460080032</v>
      </c>
      <c r="P2572" s="27">
        <v>10000</v>
      </c>
      <c r="Q2572" s="5" t="s">
        <v>53407</v>
      </c>
      <c r="R2572" s="5"/>
      <c r="S2572" s="5" t="s">
        <v>49991</v>
      </c>
      <c r="T2572" s="28"/>
      <c r="U2572" s="28"/>
      <c r="V2572" s="28">
        <v>123000</v>
      </c>
      <c r="W2572" s="28"/>
      <c r="X2572" s="28"/>
      <c r="Y2572" s="28">
        <v>123000</v>
      </c>
      <c r="Z2572" s="28"/>
      <c r="AA2572" s="28"/>
      <c r="AB2572" s="28"/>
      <c r="AC2572" s="28">
        <v>113000</v>
      </c>
      <c r="AD2572" s="28">
        <v>10000</v>
      </c>
      <c r="AE2572" s="28">
        <v>3523550000</v>
      </c>
      <c r="AF2572" s="28">
        <v>3312137000</v>
      </c>
      <c r="AG2572" s="11"/>
    </row>
    <row r="2573">
      <c r="A2573" s="7" t="s">
        <v>4265</v>
      </c>
      <c r="B2573" s="5" t="s">
        <v>12238</v>
      </c>
      <c r="C2573" s="5" t="s">
        <v>20074</v>
      </c>
      <c r="D2573" s="5" t="str">
        <v>774313644406</v>
      </c>
      <c r="E2573" s="0" t="e">
        <f>+7 (495) 6254607
+7 (495) 5807740
+7 (495) 6600456
+7 (495) 6600459
+7 (499) 1102211</f>
        <v>#NAME?</v>
      </c>
      <c r="F2573" s="5"/>
      <c r="G2573" s="5" t="s">
        <v>33076</v>
      </c>
      <c r="H2573" s="26">
        <v>19</v>
      </c>
      <c r="I2573" s="5" t="s">
        <v>33077</v>
      </c>
      <c r="J2573" s="5" t="s">
        <v>27522</v>
      </c>
      <c r="K2573" s="5" t="s">
        <v>355</v>
      </c>
      <c r="L2573" s="5"/>
      <c r="M2573" s="27"/>
      <c r="N2573" s="5"/>
      <c r="O2573" s="5" t="str">
        <v>7704512015</v>
      </c>
      <c r="P2573" s="27">
        <v>800000</v>
      </c>
      <c r="Q2573" s="5" t="s">
        <v>49207</v>
      </c>
      <c r="R2573" s="5"/>
      <c r="S2573" s="5" t="s">
        <v>49311</v>
      </c>
      <c r="T2573" s="28">
        <v>85486000</v>
      </c>
      <c r="U2573" s="28"/>
      <c r="V2573" s="28">
        <v>5883454000</v>
      </c>
      <c r="W2573" s="28"/>
      <c r="X2573" s="28">
        <v>214959000</v>
      </c>
      <c r="Y2573" s="28">
        <v>6558347000</v>
      </c>
      <c r="Z2573" s="28">
        <v>-12091000</v>
      </c>
      <c r="AA2573" s="28"/>
      <c r="AB2573" s="28"/>
      <c r="AC2573" s="28">
        <v>5338037000</v>
      </c>
      <c r="AD2573" s="28">
        <v>1123539000</v>
      </c>
      <c r="AE2573" s="28">
        <v>10895535000</v>
      </c>
      <c r="AF2573" s="28">
        <v>455632000</v>
      </c>
      <c r="AG2573" s="11"/>
    </row>
    <row r="2574">
      <c r="A2574" s="7" t="s">
        <v>4266</v>
      </c>
      <c r="B2574" s="5" t="s">
        <v>12239</v>
      </c>
      <c r="C2574" s="5" t="s">
        <v>20075</v>
      </c>
      <c r="D2574" s="5" t="str">
        <v>773302277449</v>
      </c>
      <c r="E2574" s="0" t="e">
        <f>+7 (495) 2585601</f>
        <v>#NAME?</v>
      </c>
      <c r="F2574" s="5" t="s">
        <v>33078</v>
      </c>
      <c r="G2574" s="5" t="s">
        <v>33079</v>
      </c>
      <c r="H2574" s="26">
        <v>18</v>
      </c>
      <c r="I2574" s="5" t="s">
        <v>33080</v>
      </c>
      <c r="J2574" s="5" t="s">
        <v>28069</v>
      </c>
      <c r="K2574" s="5" t="s">
        <v>344</v>
      </c>
      <c r="L2574" s="5" t="s">
        <v>33081</v>
      </c>
      <c r="M2574" s="27">
        <v>3142000</v>
      </c>
      <c r="N2574" s="5" t="s">
        <v>53408</v>
      </c>
      <c r="O2574" s="5" t="str">
        <v>7705631079</v>
      </c>
      <c r="P2574" s="27">
        <v>22977534</v>
      </c>
      <c r="Q2574" s="5" t="s">
        <v>53409</v>
      </c>
      <c r="R2574" s="5"/>
      <c r="S2574" s="5" t="s">
        <v>49012</v>
      </c>
      <c r="T2574" s="28">
        <v>73453000</v>
      </c>
      <c r="U2574" s="28"/>
      <c r="V2574" s="28">
        <v>178343000</v>
      </c>
      <c r="W2574" s="28"/>
      <c r="X2574" s="28">
        <v>3161054000</v>
      </c>
      <c r="Y2574" s="28">
        <v>3535060000</v>
      </c>
      <c r="Z2574" s="28">
        <v>2731312000</v>
      </c>
      <c r="AA2574" s="28"/>
      <c r="AB2574" s="28"/>
      <c r="AC2574" s="28">
        <v>415776000</v>
      </c>
      <c r="AD2574" s="28">
        <v>3056800000</v>
      </c>
      <c r="AE2574" s="28">
        <v>4429688000</v>
      </c>
      <c r="AF2574" s="28">
        <v>6402000</v>
      </c>
      <c r="AG2574" s="11"/>
    </row>
    <row r="2575">
      <c r="A2575" s="7" t="s">
        <v>4267</v>
      </c>
      <c r="B2575" s="5" t="s">
        <v>12240</v>
      </c>
      <c r="C2575" s="5" t="s">
        <v>20076</v>
      </c>
      <c r="D2575" s="5" t="str">
        <v>504705638604</v>
      </c>
      <c r="E2575" s="0" t="e">
        <f>+7 (495) 3636210
+7 (495) 7717777
+7 (495) 7830226
+7 (495) 3636200
+7 (495) 3636201
+7 (495) 3636204
+7 (495) 7950828
+7 (919) 2735965</f>
        <v>#NAME?</v>
      </c>
      <c r="F2575" s="5" t="s">
        <v>33082</v>
      </c>
      <c r="G2575" s="5" t="s">
        <v>33083</v>
      </c>
      <c r="H2575" s="26">
        <v>22</v>
      </c>
      <c r="I2575" s="5" t="s">
        <v>33084</v>
      </c>
      <c r="J2575" s="5" t="s">
        <v>29486</v>
      </c>
      <c r="K2575" s="5" t="s">
        <v>355</v>
      </c>
      <c r="L2575" s="5"/>
      <c r="M2575" s="27">
        <v>3109822</v>
      </c>
      <c r="N2575" s="5"/>
      <c r="O2575" s="5" t="str">
        <v>7710360850</v>
      </c>
      <c r="P2575" s="27">
        <v>4500000</v>
      </c>
      <c r="Q2575" s="5" t="s">
        <v>53410</v>
      </c>
      <c r="R2575" s="5"/>
      <c r="S2575" s="5" t="s">
        <v>53411</v>
      </c>
      <c r="T2575" s="28">
        <v>127299000</v>
      </c>
      <c r="U2575" s="28">
        <v>3420010000</v>
      </c>
      <c r="V2575" s="28">
        <v>24920148000</v>
      </c>
      <c r="W2575" s="28">
        <v>13216374000</v>
      </c>
      <c r="X2575" s="28">
        <v>8147691000</v>
      </c>
      <c r="Y2575" s="28">
        <v>52619340000</v>
      </c>
      <c r="Z2575" s="28">
        <v>5912202000</v>
      </c>
      <c r="AA2575" s="28">
        <v>15857031000</v>
      </c>
      <c r="AB2575" s="28">
        <v>11753489000</v>
      </c>
      <c r="AC2575" s="28">
        <v>30843650000</v>
      </c>
      <c r="AD2575" s="28">
        <v>5916702000</v>
      </c>
      <c r="AE2575" s="28">
        <v>8444365000</v>
      </c>
      <c r="AF2575" s="28">
        <v>321000</v>
      </c>
      <c r="AG2575" s="11"/>
    </row>
    <row r="2576">
      <c r="A2576" s="7" t="s">
        <v>4268</v>
      </c>
      <c r="B2576" s="5" t="s">
        <v>12241</v>
      </c>
      <c r="C2576" s="5" t="s">
        <v>20077</v>
      </c>
      <c r="D2576" s="5" t="str">
        <v>741301105998</v>
      </c>
      <c r="E2576" s="0" t="e">
        <f>+7 (35151) 47455
+7 (922) 2130570
+7 (3512) 161483</f>
        <v>#NAME?</v>
      </c>
      <c r="F2576" s="5" t="s">
        <v>33085</v>
      </c>
      <c r="G2576" s="5"/>
      <c r="H2576" s="26">
        <v>12</v>
      </c>
      <c r="I2576" s="5" t="s">
        <v>33086</v>
      </c>
      <c r="J2576" s="5" t="s">
        <v>25295</v>
      </c>
      <c r="K2576" s="5" t="s">
        <v>344</v>
      </c>
      <c r="L2576" s="5" t="s">
        <v>33087</v>
      </c>
      <c r="M2576" s="27"/>
      <c r="N2576" s="5"/>
      <c r="O2576" s="5" t="str">
        <v>6670320494</v>
      </c>
      <c r="P2576" s="27">
        <v>59957262</v>
      </c>
      <c r="Q2576" s="5"/>
      <c r="R2576" s="5"/>
      <c r="S2576" s="5" t="s">
        <v>49121</v>
      </c>
      <c r="T2576" s="28">
        <v>6038487000</v>
      </c>
      <c r="U2576" s="28"/>
      <c r="V2576" s="28">
        <v>308781000</v>
      </c>
      <c r="W2576" s="28"/>
      <c r="X2576" s="28">
        <v>896904000</v>
      </c>
      <c r="Y2576" s="28">
        <v>7459378000</v>
      </c>
      <c r="Z2576" s="28">
        <v>2461671000</v>
      </c>
      <c r="AA2576" s="28">
        <v>2787290000</v>
      </c>
      <c r="AB2576" s="28">
        <v>1448415000</v>
      </c>
      <c r="AC2576" s="28">
        <v>1655797000</v>
      </c>
      <c r="AD2576" s="28">
        <v>2677611000</v>
      </c>
      <c r="AE2576" s="28">
        <v>3378412000</v>
      </c>
      <c r="AF2576" s="28">
        <v>595363000</v>
      </c>
      <c r="AG2576" s="11"/>
    </row>
    <row r="2577">
      <c r="A2577" s="7" t="s">
        <v>4269</v>
      </c>
      <c r="B2577" s="5" t="s">
        <v>12242</v>
      </c>
      <c r="C2577" s="5" t="s">
        <v>20078</v>
      </c>
      <c r="D2577" s="5" t="str">
        <v>502504154409</v>
      </c>
      <c r="E2577" s="0" t="e">
        <f>+7 (495) 1235973
+7 (495) 4160802
+7 (495) 4161483
+7 (499) 2716526
+7 (499) 3725033</f>
        <v>#NAME?</v>
      </c>
      <c r="F2577" s="5" t="s">
        <v>33088</v>
      </c>
      <c r="G2577" s="5" t="s">
        <v>33089</v>
      </c>
      <c r="H2577" s="26">
        <v>16</v>
      </c>
      <c r="I2577" s="5" t="s">
        <v>33090</v>
      </c>
      <c r="J2577" s="5" t="s">
        <v>648</v>
      </c>
      <c r="K2577" s="5" t="s">
        <v>344</v>
      </c>
      <c r="L2577" s="5" t="s">
        <v>33091</v>
      </c>
      <c r="M2577" s="27"/>
      <c r="N2577" s="5" t="s">
        <v>53412</v>
      </c>
      <c r="O2577" s="5" t="str">
        <v>7731559654</v>
      </c>
      <c r="P2577" s="27">
        <v>150000</v>
      </c>
      <c r="Q2577" s="5" t="s">
        <v>53413</v>
      </c>
      <c r="R2577" s="5"/>
      <c r="S2577" s="5" t="s">
        <v>53414</v>
      </c>
      <c r="T2577" s="28">
        <v>67162000</v>
      </c>
      <c r="U2577" s="28"/>
      <c r="V2577" s="28">
        <v>11956911000</v>
      </c>
      <c r="W2577" s="28"/>
      <c r="X2577" s="28">
        <v>395960000</v>
      </c>
      <c r="Y2577" s="28">
        <v>13461290000</v>
      </c>
      <c r="Z2577" s="28">
        <v>342441000</v>
      </c>
      <c r="AA2577" s="28">
        <v>15659000</v>
      </c>
      <c r="AB2577" s="28">
        <v>1259000</v>
      </c>
      <c r="AC2577" s="28">
        <v>13089232000</v>
      </c>
      <c r="AD2577" s="28">
        <v>342591000</v>
      </c>
      <c r="AE2577" s="28">
        <v>8920941000</v>
      </c>
      <c r="AF2577" s="28">
        <v>215441000</v>
      </c>
      <c r="AG2577" s="11"/>
    </row>
    <row r="2578">
      <c r="A2578" s="7" t="s">
        <v>4270</v>
      </c>
      <c r="B2578" s="5" t="s">
        <v>12243</v>
      </c>
      <c r="C2578" s="5" t="s">
        <v>20079</v>
      </c>
      <c r="D2578" s="5" t="str">
        <v>161601232626</v>
      </c>
      <c r="E2578" s="0" t="e">
        <f>+7 (843) 5186503</f>
        <v>#NAME?</v>
      </c>
      <c r="F2578" s="5" t="s">
        <v>33092</v>
      </c>
      <c r="G2578" s="5" t="s">
        <v>33093</v>
      </c>
      <c r="H2578" s="26">
        <v>15</v>
      </c>
      <c r="I2578" s="5" t="s">
        <v>33094</v>
      </c>
      <c r="J2578" s="5" t="s">
        <v>955</v>
      </c>
      <c r="K2578" s="5" t="s">
        <v>344</v>
      </c>
      <c r="L2578" s="5" t="s">
        <v>33095</v>
      </c>
      <c r="M2578" s="27"/>
      <c r="N2578" s="5"/>
      <c r="O2578" s="5" t="str">
        <v>1658096102</v>
      </c>
      <c r="P2578" s="27">
        <v>16000</v>
      </c>
      <c r="Q2578" s="5"/>
      <c r="R2578" s="5"/>
      <c r="S2578" s="5" t="s">
        <v>49110</v>
      </c>
      <c r="T2578" s="28">
        <v>20946000</v>
      </c>
      <c r="U2578" s="28"/>
      <c r="V2578" s="28">
        <v>184197000</v>
      </c>
      <c r="W2578" s="28"/>
      <c r="X2578" s="28">
        <v>12615000</v>
      </c>
      <c r="Y2578" s="28">
        <v>465027000</v>
      </c>
      <c r="Z2578" s="28">
        <v>408472000</v>
      </c>
      <c r="AA2578" s="28"/>
      <c r="AB2578" s="28"/>
      <c r="AC2578" s="28">
        <v>56539000</v>
      </c>
      <c r="AD2578" s="28">
        <v>408488000</v>
      </c>
      <c r="AE2578" s="28">
        <v>3766027000</v>
      </c>
      <c r="AF2578" s="28">
        <v>42813000</v>
      </c>
      <c r="AG2578" s="11"/>
    </row>
    <row r="2579">
      <c r="A2579" s="7" t="s">
        <v>4271</v>
      </c>
      <c r="B2579" s="5" t="s">
        <v>12244</v>
      </c>
      <c r="C2579" s="5" t="s">
        <v>20080</v>
      </c>
      <c r="D2579" s="5" t="str">
        <v>505204883614</v>
      </c>
      <c r="E2579" s="0" t="e">
        <f>+7 (499) 6382617</f>
        <v>#NAME?</v>
      </c>
      <c r="F2579" s="5"/>
      <c r="G2579" s="5"/>
      <c r="H2579" s="26">
        <v>11</v>
      </c>
      <c r="I2579" s="5" t="s">
        <v>33096</v>
      </c>
      <c r="J2579" s="5" t="s">
        <v>25512</v>
      </c>
      <c r="K2579" s="5" t="s">
        <v>344</v>
      </c>
      <c r="L2579" s="5" t="s">
        <v>33097</v>
      </c>
      <c r="M2579" s="27"/>
      <c r="N2579" s="5"/>
      <c r="O2579" s="5" t="str">
        <v>7704795902</v>
      </c>
      <c r="P2579" s="27">
        <v>10000</v>
      </c>
      <c r="Q2579" s="5" t="s">
        <v>49059</v>
      </c>
      <c r="R2579" s="5"/>
      <c r="S2579" s="5" t="s">
        <v>49110</v>
      </c>
      <c r="T2579" s="28">
        <v>18092000</v>
      </c>
      <c r="U2579" s="28"/>
      <c r="V2579" s="28">
        <v>2524798000</v>
      </c>
      <c r="W2579" s="28"/>
      <c r="X2579" s="28">
        <v>99991000</v>
      </c>
      <c r="Y2579" s="28">
        <v>2978740000</v>
      </c>
      <c r="Z2579" s="28">
        <v>443812000</v>
      </c>
      <c r="AA2579" s="28"/>
      <c r="AB2579" s="28"/>
      <c r="AC2579" s="28">
        <v>2475129000</v>
      </c>
      <c r="AD2579" s="28">
        <v>443822000</v>
      </c>
      <c r="AE2579" s="28">
        <v>3886602000</v>
      </c>
      <c r="AF2579" s="28">
        <v>439501000</v>
      </c>
      <c r="AG2579" s="11"/>
    </row>
    <row r="2580">
      <c r="A2580" s="7" t="s">
        <v>4272</v>
      </c>
      <c r="B2580" s="5" t="s">
        <v>12245</v>
      </c>
      <c r="C2580" s="5" t="s">
        <v>20081</v>
      </c>
      <c r="D2580" s="5" t="str">
        <v>164405241475</v>
      </c>
      <c r="E2580" s="0" t="e">
        <f>+7 (937) 5256050
+7 (495) 2303085
+7 (495) 9026797</f>
        <v>#NAME?</v>
      </c>
      <c r="F2580" s="5" t="s">
        <v>33098</v>
      </c>
      <c r="G2580" s="5" t="s">
        <v>33099</v>
      </c>
      <c r="H2580" s="26">
        <v>8.5</v>
      </c>
      <c r="I2580" s="5" t="s">
        <v>33100</v>
      </c>
      <c r="J2580" s="5" t="s">
        <v>26767</v>
      </c>
      <c r="K2580" s="5" t="s">
        <v>344</v>
      </c>
      <c r="L2580" s="5" t="s">
        <v>33101</v>
      </c>
      <c r="M2580" s="27"/>
      <c r="N2580" s="5" t="s">
        <v>53415</v>
      </c>
      <c r="O2580" s="5" t="str">
        <v>7733893661</v>
      </c>
      <c r="P2580" s="27">
        <v>10000000</v>
      </c>
      <c r="Q2580" s="5" t="s">
        <v>53416</v>
      </c>
      <c r="R2580" s="5"/>
      <c r="S2580" s="5" t="s">
        <v>53417</v>
      </c>
      <c r="T2580" s="28">
        <v>7724000</v>
      </c>
      <c r="U2580" s="28">
        <v>990000</v>
      </c>
      <c r="V2580" s="28">
        <v>5377806000</v>
      </c>
      <c r="W2580" s="28">
        <v>422397000</v>
      </c>
      <c r="X2580" s="28">
        <v>770049000</v>
      </c>
      <c r="Y2580" s="28">
        <v>8602638000</v>
      </c>
      <c r="Z2580" s="28">
        <v>1220236000</v>
      </c>
      <c r="AA2580" s="28"/>
      <c r="AB2580" s="28"/>
      <c r="AC2580" s="28">
        <v>7367392000</v>
      </c>
      <c r="AD2580" s="28">
        <v>1231936000</v>
      </c>
      <c r="AE2580" s="28">
        <v>5768867000</v>
      </c>
      <c r="AF2580" s="28">
        <v>332735000</v>
      </c>
      <c r="AG2580" s="11"/>
    </row>
    <row r="2581">
      <c r="A2581" s="7" t="s">
        <v>4273</v>
      </c>
      <c r="B2581" s="5" t="s">
        <v>12246</v>
      </c>
      <c r="C2581" s="5" t="s">
        <v>20082</v>
      </c>
      <c r="D2581" s="5" t="str">
        <v>771901652776</v>
      </c>
      <c r="E2581" s="0" t="e">
        <f>+7 (916) 5694375</f>
        <v>#NAME?</v>
      </c>
      <c r="F2581" s="5" t="s">
        <v>33102</v>
      </c>
      <c r="G2581" s="5"/>
      <c r="H2581" s="26">
        <v>3</v>
      </c>
      <c r="I2581" s="5" t="s">
        <v>33103</v>
      </c>
      <c r="J2581" s="5" t="s">
        <v>25674</v>
      </c>
      <c r="K2581" s="5" t="s">
        <v>355</v>
      </c>
      <c r="L2581" s="5" t="s">
        <v>33104</v>
      </c>
      <c r="M2581" s="27"/>
      <c r="N2581" s="5"/>
      <c r="O2581" s="5" t="str">
        <v>7726461389</v>
      </c>
      <c r="P2581" s="27">
        <v>10000</v>
      </c>
      <c r="Q2581" s="5" t="s">
        <v>53418</v>
      </c>
      <c r="R2581" s="5"/>
      <c r="S2581" s="5" t="s">
        <v>53419</v>
      </c>
      <c r="T2581" s="28">
        <v>585996000</v>
      </c>
      <c r="U2581" s="28"/>
      <c r="V2581" s="28">
        <v>243312000</v>
      </c>
      <c r="W2581" s="28"/>
      <c r="X2581" s="28">
        <v>57083000</v>
      </c>
      <c r="Y2581" s="28">
        <v>3083937000</v>
      </c>
      <c r="Z2581" s="28">
        <v>288667000</v>
      </c>
      <c r="AA2581" s="28">
        <v>1140335000</v>
      </c>
      <c r="AB2581" s="28">
        <v>6235000</v>
      </c>
      <c r="AC2581" s="28">
        <v>914424000</v>
      </c>
      <c r="AD2581" s="28">
        <v>288677000</v>
      </c>
      <c r="AE2581" s="28">
        <v>7508393000</v>
      </c>
      <c r="AF2581" s="28">
        <v>145100000</v>
      </c>
      <c r="AG2581" s="11"/>
    </row>
    <row r="2582">
      <c r="A2582" s="7" t="s">
        <v>4274</v>
      </c>
      <c r="B2582" s="5" t="s">
        <v>12247</v>
      </c>
      <c r="C2582" s="5" t="s">
        <v>20083</v>
      </c>
      <c r="D2582" s="5" t="str">
        <v>231201359396</v>
      </c>
      <c r="E2582" s="0" t="e">
        <f>+7 (918) 393020
+7 (861) 2518195
+7 (861) 2532580
+7 (861) 2981228</f>
        <v>#NAME?</v>
      </c>
      <c r="F2582" s="5" t="s">
        <v>33105</v>
      </c>
      <c r="G2582" s="5" t="s">
        <v>33106</v>
      </c>
      <c r="H2582" s="26">
        <v>13.5</v>
      </c>
      <c r="I2582" s="5" t="s">
        <v>33107</v>
      </c>
      <c r="J2582" s="5" t="s">
        <v>33108</v>
      </c>
      <c r="K2582" s="5" t="s">
        <v>344</v>
      </c>
      <c r="L2582" s="5" t="s">
        <v>33109</v>
      </c>
      <c r="M2582" s="27"/>
      <c r="N2582" s="5" t="s">
        <v>53420</v>
      </c>
      <c r="O2582" s="5" t="str">
        <v>2310142175</v>
      </c>
      <c r="P2582" s="27">
        <v>2170000</v>
      </c>
      <c r="Q2582" s="5"/>
      <c r="R2582" s="5"/>
      <c r="S2582" s="5" t="s">
        <v>50936</v>
      </c>
      <c r="T2582" s="28">
        <v>36280000</v>
      </c>
      <c r="U2582" s="28">
        <v>52501000</v>
      </c>
      <c r="V2582" s="28">
        <v>882883000</v>
      </c>
      <c r="W2582" s="28">
        <v>285183000</v>
      </c>
      <c r="X2582" s="28">
        <v>18825000</v>
      </c>
      <c r="Y2582" s="28">
        <v>1283783000</v>
      </c>
      <c r="Z2582" s="28">
        <v>1198824000</v>
      </c>
      <c r="AA2582" s="28"/>
      <c r="AB2582" s="28"/>
      <c r="AC2582" s="28">
        <v>79729000</v>
      </c>
      <c r="AD2582" s="28">
        <v>1200994000</v>
      </c>
      <c r="AE2582" s="28">
        <v>3244615000</v>
      </c>
      <c r="AF2582" s="28">
        <v>471663000</v>
      </c>
      <c r="AG2582" s="11"/>
    </row>
    <row r="2583">
      <c r="A2583" s="7" t="s">
        <v>4275</v>
      </c>
      <c r="B2583" s="5" t="s">
        <v>12248</v>
      </c>
      <c r="C2583" s="5" t="s">
        <v>20084</v>
      </c>
      <c r="D2583" s="5" t="str">
        <v>781622417391</v>
      </c>
      <c r="E2583" s="0" t="e">
        <f>+7 (812) 3271839
+7 (812) 2740660
+7 (812) 3229137
+7 (812) 3264763
+7 (812) 3398300
+7 (812) 3398301</f>
        <v>#NAME?</v>
      </c>
      <c r="F2583" s="5" t="s">
        <v>33110</v>
      </c>
      <c r="G2583" s="5" t="s">
        <v>33111</v>
      </c>
      <c r="H2583" s="26">
        <v>30</v>
      </c>
      <c r="I2583" s="5"/>
      <c r="J2583" s="5" t="s">
        <v>27695</v>
      </c>
      <c r="K2583" s="5" t="s">
        <v>344</v>
      </c>
      <c r="L2583" s="5"/>
      <c r="M2583" s="27"/>
      <c r="N2583" s="5" t="s">
        <v>53421</v>
      </c>
      <c r="O2583" s="5" t="str">
        <v>7830000360</v>
      </c>
      <c r="P2583" s="27">
        <v>5118000</v>
      </c>
      <c r="Q2583" s="5" t="s">
        <v>49009</v>
      </c>
      <c r="R2583" s="5"/>
      <c r="S2583" s="5" t="s">
        <v>49586</v>
      </c>
      <c r="T2583" s="28">
        <v>1145267000</v>
      </c>
      <c r="U2583" s="28">
        <v>1117621000</v>
      </c>
      <c r="V2583" s="28">
        <v>495421000</v>
      </c>
      <c r="W2583" s="28">
        <v>29785000</v>
      </c>
      <c r="X2583" s="28">
        <v>1120982000</v>
      </c>
      <c r="Y2583" s="28">
        <v>4226895000</v>
      </c>
      <c r="Z2583" s="28">
        <v>2963873000</v>
      </c>
      <c r="AA2583" s="28">
        <v>220029000</v>
      </c>
      <c r="AB2583" s="28">
        <v>182932000</v>
      </c>
      <c r="AC2583" s="28">
        <v>950542000</v>
      </c>
      <c r="AD2583" s="28">
        <v>2988832000</v>
      </c>
      <c r="AE2583" s="28">
        <v>7558741000</v>
      </c>
      <c r="AF2583" s="28">
        <v>310223000</v>
      </c>
      <c r="AG2583" s="11"/>
    </row>
    <row r="2584">
      <c r="A2584" s="7" t="s">
        <v>4276</v>
      </c>
      <c r="B2584" s="5" t="s">
        <v>12249</v>
      </c>
      <c r="C2584" s="5" t="s">
        <v>20085</v>
      </c>
      <c r="D2584" s="5" t="str">
        <v>732700607233</v>
      </c>
      <c r="E2584" s="0" t="e">
        <f>+7 (8412) 207093</f>
        <v>#NAME?</v>
      </c>
      <c r="F2584" s="5" t="s">
        <v>33112</v>
      </c>
      <c r="G2584" s="5"/>
      <c r="H2584" s="26">
        <v>2.5</v>
      </c>
      <c r="I2584" s="5" t="s">
        <v>33113</v>
      </c>
      <c r="J2584" s="5" t="s">
        <v>26997</v>
      </c>
      <c r="K2584" s="5" t="s">
        <v>344</v>
      </c>
      <c r="L2584" s="5"/>
      <c r="M2584" s="27">
        <v>435686</v>
      </c>
      <c r="N2584" s="5"/>
      <c r="O2584" s="5" t="str">
        <v>5837078989</v>
      </c>
      <c r="P2584" s="27">
        <v>250000</v>
      </c>
      <c r="Q2584" s="5"/>
      <c r="R2584" s="5"/>
      <c r="S2584" s="5" t="s">
        <v>49110</v>
      </c>
      <c r="T2584" s="28">
        <v>102251000</v>
      </c>
      <c r="U2584" s="28"/>
      <c r="V2584" s="28">
        <v>363324000</v>
      </c>
      <c r="W2584" s="28"/>
      <c r="X2584" s="28">
        <v>93850000</v>
      </c>
      <c r="Y2584" s="28">
        <v>747420000</v>
      </c>
      <c r="Z2584" s="28">
        <v>72763000</v>
      </c>
      <c r="AA2584" s="28"/>
      <c r="AB2584" s="28"/>
      <c r="AC2584" s="28">
        <v>674407000</v>
      </c>
      <c r="AD2584" s="28">
        <v>73013000</v>
      </c>
      <c r="AE2584" s="28">
        <v>6155813000</v>
      </c>
      <c r="AF2584" s="28">
        <v>58936000</v>
      </c>
      <c r="AG2584" s="11"/>
    </row>
    <row r="2585">
      <c r="A2585" s="7" t="s">
        <v>4277</v>
      </c>
      <c r="B2585" s="5" t="s">
        <v>12250</v>
      </c>
      <c r="C2585" s="5" t="s">
        <v>20086</v>
      </c>
      <c r="D2585" s="5" t="str">
        <v>773303385969</v>
      </c>
      <c r="E2585" s="0" t="e">
        <f>+7 (495) 7866894
+7 (903) 6273063
+7 (495) 2287157
+7 (495) 2287162
+7 (495) 6181189
+7 (495) 6190735
+7 (495) 6192789
+7 (495) 6192796
+7 (495) 7711268
+7 (495) 7751264
+7 (495) 7751268
+7 (495) 7866328
+7 (495) 9334553</f>
        <v>#NAME?</v>
      </c>
      <c r="F2585" s="5" t="s">
        <v>33114</v>
      </c>
      <c r="G2585" s="5"/>
      <c r="H2585" s="26">
        <v>29.5</v>
      </c>
      <c r="I2585" s="5" t="s">
        <v>33115</v>
      </c>
      <c r="J2585" s="5" t="s">
        <v>25231</v>
      </c>
      <c r="K2585" s="5" t="s">
        <v>344</v>
      </c>
      <c r="L2585" s="5" t="s">
        <v>33116</v>
      </c>
      <c r="M2585" s="27"/>
      <c r="N2585" s="5"/>
      <c r="O2585" s="5" t="str">
        <v>7736042394</v>
      </c>
      <c r="P2585" s="27">
        <v>8000000</v>
      </c>
      <c r="Q2585" s="5" t="s">
        <v>53424</v>
      </c>
      <c r="R2585" s="5"/>
      <c r="S2585" s="5" t="s">
        <v>51183</v>
      </c>
      <c r="T2585" s="28">
        <v>431015000</v>
      </c>
      <c r="U2585" s="28">
        <v>747191000</v>
      </c>
      <c r="V2585" s="28">
        <v>1942407000</v>
      </c>
      <c r="W2585" s="28"/>
      <c r="X2585" s="28">
        <v>121982000</v>
      </c>
      <c r="Y2585" s="28">
        <v>3943775000</v>
      </c>
      <c r="Z2585" s="28">
        <v>440407000</v>
      </c>
      <c r="AA2585" s="28">
        <v>1952909000</v>
      </c>
      <c r="AB2585" s="28">
        <v>443832000</v>
      </c>
      <c r="AC2585" s="28">
        <v>1095699000</v>
      </c>
      <c r="AD2585" s="28">
        <v>835021000</v>
      </c>
      <c r="AE2585" s="28">
        <v>8795388000</v>
      </c>
      <c r="AF2585" s="28">
        <v>229228000</v>
      </c>
      <c r="AG2585" s="11"/>
    </row>
    <row r="2586">
      <c r="A2586" s="7" t="s">
        <v>4278</v>
      </c>
      <c r="B2586" s="5" t="s">
        <v>12251</v>
      </c>
      <c r="C2586" s="5" t="s">
        <v>18069</v>
      </c>
      <c r="D2586" s="5" t="str">
        <v>519030320149</v>
      </c>
      <c r="E2586" s="0" t="e">
        <f>+7 (815) 2288870
+7 (815) 2455014
+7 (815) 2455016
+7 (815) 2476067
+7 (815) 2637637</f>
        <v>#NAME?</v>
      </c>
      <c r="F2586" s="5" t="s">
        <v>33117</v>
      </c>
      <c r="G2586" s="5" t="s">
        <v>33118</v>
      </c>
      <c r="H2586" s="26">
        <v>24</v>
      </c>
      <c r="I2586" s="5"/>
      <c r="J2586" s="5" t="s">
        <v>26424</v>
      </c>
      <c r="K2586" s="5" t="s">
        <v>344</v>
      </c>
      <c r="L2586" s="5" t="s">
        <v>33119</v>
      </c>
      <c r="M2586" s="27"/>
      <c r="N2586" s="5" t="s">
        <v>49940</v>
      </c>
      <c r="O2586" s="5" t="str">
        <v>5190303200</v>
      </c>
      <c r="P2586" s="27">
        <v>101283</v>
      </c>
      <c r="Q2586" s="5" t="s">
        <v>49009</v>
      </c>
      <c r="R2586" s="5" t="s">
        <v>53425</v>
      </c>
      <c r="S2586" s="5" t="s">
        <v>49066</v>
      </c>
      <c r="T2586" s="28">
        <v>8304106000</v>
      </c>
      <c r="U2586" s="28">
        <v>5125556000</v>
      </c>
      <c r="V2586" s="28">
        <v>3337731000</v>
      </c>
      <c r="W2586" s="28">
        <v>1447946000</v>
      </c>
      <c r="X2586" s="28">
        <v>2247907000</v>
      </c>
      <c r="Y2586" s="28">
        <v>21668047000</v>
      </c>
      <c r="Z2586" s="28">
        <v>9342921000</v>
      </c>
      <c r="AA2586" s="28">
        <v>7514876000</v>
      </c>
      <c r="AB2586" s="28">
        <v>2833900000</v>
      </c>
      <c r="AC2586" s="28">
        <v>4052499000</v>
      </c>
      <c r="AD2586" s="28">
        <v>9343037000</v>
      </c>
      <c r="AE2586" s="28">
        <v>7631263000</v>
      </c>
      <c r="AF2586" s="28">
        <v>1686087000</v>
      </c>
      <c r="AG2586" s="11"/>
    </row>
    <row r="2587">
      <c r="A2587" s="7" t="s">
        <v>4279</v>
      </c>
      <c r="B2587" s="5" t="s">
        <v>12252</v>
      </c>
      <c r="C2587" s="5" t="s">
        <v>20087</v>
      </c>
      <c r="D2587" s="5" t="str">
        <v>550201968742</v>
      </c>
      <c r="E2587" s="0" t="e">
        <f>+7 (383) 2660345
+7 (383) 2661310
+7 (38367) 21602
+7 (38367) 41659</f>
        <v>#NAME?</v>
      </c>
      <c r="F2587" s="5" t="s">
        <v>33120</v>
      </c>
      <c r="G2587" s="5" t="s">
        <v>33121</v>
      </c>
      <c r="H2587" s="26">
        <v>22.5</v>
      </c>
      <c r="I2587" s="5" t="s">
        <v>33122</v>
      </c>
      <c r="J2587" s="5" t="s">
        <v>26355</v>
      </c>
      <c r="K2587" s="5" t="s">
        <v>344</v>
      </c>
      <c r="L2587" s="5" t="s">
        <v>33123</v>
      </c>
      <c r="M2587" s="27"/>
      <c r="N2587" s="5" t="s">
        <v>53426</v>
      </c>
      <c r="O2587" s="5" t="str">
        <v>5415105137</v>
      </c>
      <c r="P2587" s="27">
        <v>21000</v>
      </c>
      <c r="Q2587" s="5"/>
      <c r="R2587" s="5"/>
      <c r="S2587" s="5" t="s">
        <v>49062</v>
      </c>
      <c r="T2587" s="28">
        <v>1179336000</v>
      </c>
      <c r="U2587" s="28">
        <v>58000</v>
      </c>
      <c r="V2587" s="28">
        <v>868010000</v>
      </c>
      <c r="W2587" s="28">
        <v>1425323000</v>
      </c>
      <c r="X2587" s="28">
        <v>9405000</v>
      </c>
      <c r="Y2587" s="28">
        <v>4720362000</v>
      </c>
      <c r="Z2587" s="28">
        <v>4425166000</v>
      </c>
      <c r="AA2587" s="28"/>
      <c r="AB2587" s="28"/>
      <c r="AC2587" s="28">
        <v>295022000</v>
      </c>
      <c r="AD2587" s="28">
        <v>4425187000</v>
      </c>
      <c r="AE2587" s="28">
        <v>3799371000</v>
      </c>
      <c r="AF2587" s="28">
        <v>416561000</v>
      </c>
      <c r="AG2587" s="11"/>
    </row>
    <row r="2588">
      <c r="A2588" s="7" t="s">
        <v>4280</v>
      </c>
      <c r="B2588" s="5" t="s">
        <v>12253</v>
      </c>
      <c r="C2588" s="5" t="s">
        <v>20088</v>
      </c>
      <c r="D2588" s="5" t="str">
        <v>421706653864</v>
      </c>
      <c r="E2588" s="0" t="e">
        <f>+7 (3846) 668202
+7 (3846) 668242
+7 (903) 9421017</f>
        <v>#NAME?</v>
      </c>
      <c r="F2588" s="5"/>
      <c r="G2588" s="5"/>
      <c r="H2588" s="26">
        <v>7.5</v>
      </c>
      <c r="I2588" s="5" t="s">
        <v>33124</v>
      </c>
      <c r="J2588" s="5" t="s">
        <v>25283</v>
      </c>
      <c r="K2588" s="5" t="s">
        <v>344</v>
      </c>
      <c r="L2588" s="5" t="s">
        <v>33125</v>
      </c>
      <c r="M2588" s="27"/>
      <c r="N2588" s="5"/>
      <c r="O2588" s="5" t="str">
        <v>4217173535</v>
      </c>
      <c r="P2588" s="27">
        <v>10000</v>
      </c>
      <c r="Q2588" s="5" t="s">
        <v>49009</v>
      </c>
      <c r="R2588" s="5"/>
      <c r="S2588" s="5" t="s">
        <v>49010</v>
      </c>
      <c r="T2588" s="28">
        <v>18365000</v>
      </c>
      <c r="U2588" s="28"/>
      <c r="V2588" s="28">
        <v>4704899000</v>
      </c>
      <c r="W2588" s="28"/>
      <c r="X2588" s="28">
        <v>819485000</v>
      </c>
      <c r="Y2588" s="28">
        <v>7721077000</v>
      </c>
      <c r="Z2588" s="28">
        <v>1772637000</v>
      </c>
      <c r="AA2588" s="28"/>
      <c r="AB2588" s="28"/>
      <c r="AC2588" s="28">
        <v>5894188000</v>
      </c>
      <c r="AD2588" s="28">
        <v>1772647000</v>
      </c>
      <c r="AE2588" s="28">
        <v>22149067000</v>
      </c>
      <c r="AF2588" s="28">
        <v>1551597000</v>
      </c>
      <c r="AG2588" s="11"/>
    </row>
    <row r="2589">
      <c r="A2589" s="7" t="s">
        <v>4281</v>
      </c>
      <c r="B2589" s="5" t="s">
        <v>12254</v>
      </c>
      <c r="C2589" s="5" t="s">
        <v>20089</v>
      </c>
      <c r="D2589" s="5" t="str">
        <v>711307445906</v>
      </c>
      <c r="E2589" s="0" t="e">
        <f>+7 (48741) 98211
+7 (48741) 98288
+7 (48741) 98298
+7 (48741) 98299
+7 (495) 7213824
+7 (495) 7952663
+7 (495) 7952666
+7 (495) 9319727
+7 (495) 9319728
+7 (495) 9319755
+7 (495) 9319756
+7 (910) 7027473
+7 (961) 2143060</f>
        <v>#NAME?</v>
      </c>
      <c r="F2589" s="5" t="s">
        <v>33126</v>
      </c>
      <c r="G2589" s="5" t="s">
        <v>33127</v>
      </c>
      <c r="H2589" s="26">
        <v>11.5</v>
      </c>
      <c r="I2589" s="5" t="s">
        <v>33128</v>
      </c>
      <c r="J2589" s="5" t="s">
        <v>26858</v>
      </c>
      <c r="K2589" s="5" t="s">
        <v>344</v>
      </c>
      <c r="L2589" s="5" t="s">
        <v>33129</v>
      </c>
      <c r="M2589" s="27">
        <v>493420</v>
      </c>
      <c r="N2589" s="5" t="s">
        <v>53427</v>
      </c>
      <c r="O2589" s="5" t="str">
        <v>7113502396</v>
      </c>
      <c r="P2589" s="27">
        <v>5108582288</v>
      </c>
      <c r="Q2589" s="5" t="s">
        <v>49009</v>
      </c>
      <c r="R2589" s="5" t="s">
        <v>53428</v>
      </c>
      <c r="S2589" s="5" t="s">
        <v>49956</v>
      </c>
      <c r="T2589" s="28">
        <v>14454290000</v>
      </c>
      <c r="U2589" s="28">
        <v>699950000</v>
      </c>
      <c r="V2589" s="28">
        <v>12863166000</v>
      </c>
      <c r="W2589" s="28"/>
      <c r="X2589" s="28">
        <v>26710000</v>
      </c>
      <c r="Y2589" s="28">
        <v>45205221000</v>
      </c>
      <c r="Z2589" s="28">
        <v>25328197000</v>
      </c>
      <c r="AA2589" s="28"/>
      <c r="AB2589" s="28">
        <v>8508938000</v>
      </c>
      <c r="AC2589" s="28">
        <v>12647133000</v>
      </c>
      <c r="AD2589" s="28">
        <v>32250256000</v>
      </c>
      <c r="AE2589" s="28">
        <v>129225613000</v>
      </c>
      <c r="AF2589" s="28">
        <v>7425031000</v>
      </c>
      <c r="AG2589" s="11"/>
    </row>
    <row r="2590">
      <c r="A2590" s="7" t="s">
        <v>4282</v>
      </c>
      <c r="B2590" s="5" t="s">
        <v>12255</v>
      </c>
      <c r="C2590" s="5" t="s">
        <v>20090</v>
      </c>
      <c r="D2590" s="5" t="str">
        <v>344100289059</v>
      </c>
      <c r="E2590" s="0" t="e">
        <f>+7 (401) 2991243
+7 (401) 2991244
+7 (800) 2501175
+7 (812) 3290590
+7 (812) 4413232
+7 (8142) 595701
+7 (815) 2456485
+7 (818) 2657728
+7 (818) 2657729
+7 (818) 2657747
+7 (8212) 400771
+7 (82144) 44190
+7 (921) 1739940</f>
        <v>#NAME?</v>
      </c>
      <c r="F2590" s="5" t="s">
        <v>33130</v>
      </c>
      <c r="G2590" s="5" t="s">
        <v>33131</v>
      </c>
      <c r="H2590" s="26">
        <v>9</v>
      </c>
      <c r="I2590" s="5" t="s">
        <v>33132</v>
      </c>
      <c r="J2590" s="5" t="s">
        <v>373</v>
      </c>
      <c r="K2590" s="5" t="s">
        <v>344</v>
      </c>
      <c r="L2590" s="5" t="s">
        <v>33133</v>
      </c>
      <c r="M2590" s="27"/>
      <c r="N2590" s="5" t="s">
        <v>53429</v>
      </c>
      <c r="O2590" s="5" t="str">
        <v>7842509320</v>
      </c>
      <c r="P2590" s="27">
        <v>100000</v>
      </c>
      <c r="Q2590" s="5" t="s">
        <v>49059</v>
      </c>
      <c r="R2590" s="5"/>
      <c r="S2590" s="5" t="s">
        <v>49012</v>
      </c>
      <c r="T2590" s="28">
        <v>194000</v>
      </c>
      <c r="U2590" s="28"/>
      <c r="V2590" s="28">
        <v>282474000</v>
      </c>
      <c r="W2590" s="28"/>
      <c r="X2590" s="28">
        <v>4313000</v>
      </c>
      <c r="Y2590" s="28">
        <v>287346000</v>
      </c>
      <c r="Z2590" s="28">
        <v>19040000</v>
      </c>
      <c r="AA2590" s="28"/>
      <c r="AB2590" s="28"/>
      <c r="AC2590" s="28">
        <v>268167000</v>
      </c>
      <c r="AD2590" s="28">
        <v>19140000</v>
      </c>
      <c r="AE2590" s="28">
        <v>3309017000</v>
      </c>
      <c r="AF2590" s="28">
        <v>29086000</v>
      </c>
      <c r="AG2590" s="11"/>
    </row>
    <row r="2591">
      <c r="A2591" s="7" t="s">
        <v>4283</v>
      </c>
      <c r="B2591" s="5" t="s">
        <v>12256</v>
      </c>
      <c r="C2591" s="5" t="s">
        <v>20091</v>
      </c>
      <c r="D2591" s="5" t="str">
        <v>504218287088</v>
      </c>
      <c r="E2591" s="0" t="e">
        <f>+7 (495) 2324846
+7 (495) 7378124
+7 (495) 9161825
+7 (495) 9358472
+7 (915) 1513323</f>
        <v>#NAME?</v>
      </c>
      <c r="F2591" s="5" t="s">
        <v>33134</v>
      </c>
      <c r="G2591" s="5" t="s">
        <v>33135</v>
      </c>
      <c r="H2591" s="26">
        <v>20</v>
      </c>
      <c r="I2591" s="5" t="s">
        <v>33136</v>
      </c>
      <c r="J2591" s="5" t="s">
        <v>26767</v>
      </c>
      <c r="K2591" s="5" t="s">
        <v>344</v>
      </c>
      <c r="L2591" s="5" t="s">
        <v>33137</v>
      </c>
      <c r="M2591" s="27"/>
      <c r="N2591" s="5" t="s">
        <v>53430</v>
      </c>
      <c r="O2591" s="5" t="str">
        <v>7725230029</v>
      </c>
      <c r="P2591" s="27">
        <v>18100000</v>
      </c>
      <c r="Q2591" s="5" t="s">
        <v>49059</v>
      </c>
      <c r="R2591" s="5"/>
      <c r="S2591" s="5" t="s">
        <v>49116</v>
      </c>
      <c r="T2591" s="28">
        <v>64339000</v>
      </c>
      <c r="U2591" s="28"/>
      <c r="V2591" s="28">
        <v>483409000</v>
      </c>
      <c r="W2591" s="28"/>
      <c r="X2591" s="28">
        <v>317343000</v>
      </c>
      <c r="Y2591" s="28">
        <v>1758625000</v>
      </c>
      <c r="Z2591" s="28">
        <v>584360000</v>
      </c>
      <c r="AA2591" s="28"/>
      <c r="AB2591" s="28"/>
      <c r="AC2591" s="28">
        <v>1139026000</v>
      </c>
      <c r="AD2591" s="28">
        <v>605175000</v>
      </c>
      <c r="AE2591" s="28">
        <v>4483380000</v>
      </c>
      <c r="AF2591" s="28">
        <v>253234000</v>
      </c>
      <c r="AG2591" s="11"/>
    </row>
    <row r="2592">
      <c r="A2592" s="7" t="s">
        <v>4284</v>
      </c>
      <c r="B2592" s="5" t="s">
        <v>12257</v>
      </c>
      <c r="C2592" s="5" t="s">
        <v>20092</v>
      </c>
      <c r="D2592" s="5" t="str">
        <v>540121589541</v>
      </c>
      <c r="E2592" s="0" t="e">
        <f>+7 (495) 6677002
+7 (495) 6697002
+7 (800) 2001063</f>
        <v>#NAME?</v>
      </c>
      <c r="F2592" s="5" t="s">
        <v>33138</v>
      </c>
      <c r="G2592" s="5" t="s">
        <v>33139</v>
      </c>
      <c r="H2592" s="26">
        <v>11.5</v>
      </c>
      <c r="I2592" s="5" t="s">
        <v>33140</v>
      </c>
      <c r="J2592" s="5" t="s">
        <v>25683</v>
      </c>
      <c r="K2592" s="5" t="s">
        <v>344</v>
      </c>
      <c r="L2592" s="5" t="s">
        <v>33141</v>
      </c>
      <c r="M2592" s="27">
        <v>3308551</v>
      </c>
      <c r="N2592" s="5" t="s">
        <v>53431</v>
      </c>
      <c r="O2592" s="5" t="str">
        <v>7702764909</v>
      </c>
      <c r="P2592" s="27">
        <v>2000000000</v>
      </c>
      <c r="Q2592" s="5" t="s">
        <v>49009</v>
      </c>
      <c r="R2592" s="5" t="s">
        <v>53432</v>
      </c>
      <c r="S2592" s="5" t="s">
        <v>49929</v>
      </c>
      <c r="T2592" s="28">
        <v>26387554000</v>
      </c>
      <c r="U2592" s="28">
        <v>207158000</v>
      </c>
      <c r="V2592" s="28">
        <v>12988644000</v>
      </c>
      <c r="W2592" s="28"/>
      <c r="X2592" s="28">
        <v>1703798000</v>
      </c>
      <c r="Y2592" s="28">
        <v>84292372000</v>
      </c>
      <c r="Z2592" s="28">
        <v>9521630000</v>
      </c>
      <c r="AA2592" s="28"/>
      <c r="AB2592" s="28">
        <v>16779579000</v>
      </c>
      <c r="AC2592" s="28">
        <v>36517405000</v>
      </c>
      <c r="AD2592" s="28">
        <v>23407510000</v>
      </c>
      <c r="AE2592" s="28">
        <v>78933233000</v>
      </c>
      <c r="AF2592" s="28">
        <v>10443627000</v>
      </c>
      <c r="AG2592" s="11"/>
    </row>
    <row r="2593">
      <c r="A2593" s="7" t="s">
        <v>4285</v>
      </c>
      <c r="B2593" s="5" t="s">
        <v>12258</v>
      </c>
      <c r="C2593" s="5" t="s">
        <v>20093</v>
      </c>
      <c r="D2593" s="5" t="str">
        <v>772506664571</v>
      </c>
      <c r="E2593" s="0" t="e">
        <f>+7 (495) 9338816
+7 (401) 2211885
+7 (401) 2218203
+7 (401) 2931625
+7 (495) 6405705
+7 (800) 7003030
+7 (800) 7004855</f>
        <v>#NAME?</v>
      </c>
      <c r="F2593" s="5" t="s">
        <v>33142</v>
      </c>
      <c r="G2593" s="5"/>
      <c r="H2593" s="26">
        <v>26.5</v>
      </c>
      <c r="I2593" s="5" t="s">
        <v>33143</v>
      </c>
      <c r="J2593" s="5" t="s">
        <v>25670</v>
      </c>
      <c r="K2593" s="5" t="s">
        <v>355</v>
      </c>
      <c r="L2593" s="5"/>
      <c r="M2593" s="27">
        <v>346145158</v>
      </c>
      <c r="N2593" s="5" t="s">
        <v>53433</v>
      </c>
      <c r="O2593" s="5" t="str">
        <v>3905019765</v>
      </c>
      <c r="P2593" s="27">
        <v>1425452297</v>
      </c>
      <c r="Q2593" s="5" t="s">
        <v>53434</v>
      </c>
      <c r="R2593" s="5"/>
      <c r="S2593" s="5" t="s">
        <v>49012</v>
      </c>
      <c r="T2593" s="28">
        <v>39301000</v>
      </c>
      <c r="U2593" s="28">
        <v>20000</v>
      </c>
      <c r="V2593" s="28">
        <v>57430396000</v>
      </c>
      <c r="W2593" s="28"/>
      <c r="X2593" s="28">
        <v>1431499000</v>
      </c>
      <c r="Y2593" s="28">
        <v>141761703000</v>
      </c>
      <c r="Z2593" s="28">
        <v>6986217000</v>
      </c>
      <c r="AA2593" s="28">
        <v>71090637000</v>
      </c>
      <c r="AB2593" s="28">
        <v>53736824000</v>
      </c>
      <c r="AC2593" s="28">
        <v>61367849000</v>
      </c>
      <c r="AD2593" s="28">
        <v>8429664000</v>
      </c>
      <c r="AE2593" s="28">
        <v>17004931000</v>
      </c>
      <c r="AF2593" s="28">
        <v>4292217000</v>
      </c>
      <c r="AG2593" s="11"/>
    </row>
    <row r="2594">
      <c r="A2594" s="7" t="s">
        <v>4286</v>
      </c>
      <c r="B2594" s="5" t="s">
        <v>12259</v>
      </c>
      <c r="C2594" s="5" t="s">
        <v>20094</v>
      </c>
      <c r="D2594" s="5" t="str">
        <v>525714900027</v>
      </c>
      <c r="E2594" s="0" t="e">
        <f>+7 (987) 7536526
+7 (831) 2013203
+7 (831) 2013204
+7 (831) 2013205
+7 (831) 2746132
+7 (831) 2960694
+7 (83142) 22419
+7 (83142) 22555
+7 (83142) 22700
+7 (83145) 39488
+7 (920) 773775</f>
        <v>#NAME?</v>
      </c>
      <c r="F2594" s="5" t="s">
        <v>33144</v>
      </c>
      <c r="G2594" s="5" t="s">
        <v>33145</v>
      </c>
      <c r="H2594" s="26">
        <v>21</v>
      </c>
      <c r="I2594" s="5" t="s">
        <v>33146</v>
      </c>
      <c r="J2594" s="5" t="s">
        <v>364</v>
      </c>
      <c r="K2594" s="5" t="s">
        <v>344</v>
      </c>
      <c r="L2594" s="5"/>
      <c r="M2594" s="27">
        <v>7069570</v>
      </c>
      <c r="N2594" s="5" t="s">
        <v>53435</v>
      </c>
      <c r="O2594" s="5" t="str">
        <v>7701286576</v>
      </c>
      <c r="P2594" s="27">
        <v>11111</v>
      </c>
      <c r="Q2594" s="5" t="s">
        <v>53436</v>
      </c>
      <c r="R2594" s="5" t="s">
        <v>53437</v>
      </c>
      <c r="S2594" s="5" t="s">
        <v>53438</v>
      </c>
      <c r="T2594" s="28">
        <v>347915000</v>
      </c>
      <c r="U2594" s="28"/>
      <c r="V2594" s="28">
        <v>1281401000</v>
      </c>
      <c r="W2594" s="28">
        <v>72943000</v>
      </c>
      <c r="X2594" s="28">
        <v>72218000</v>
      </c>
      <c r="Y2594" s="28">
        <v>1983495000</v>
      </c>
      <c r="Z2594" s="28">
        <v>94121000</v>
      </c>
      <c r="AA2594" s="28"/>
      <c r="AB2594" s="28">
        <v>117660000</v>
      </c>
      <c r="AC2594" s="28">
        <v>1889363000</v>
      </c>
      <c r="AD2594" s="28">
        <v>94133000</v>
      </c>
      <c r="AE2594" s="28">
        <v>5563263000</v>
      </c>
      <c r="AF2594" s="28">
        <v>1048000</v>
      </c>
      <c r="AG2594" s="11"/>
    </row>
    <row r="2595">
      <c r="A2595" s="7" t="s">
        <v>4287</v>
      </c>
      <c r="B2595" s="5" t="s">
        <v>12260</v>
      </c>
      <c r="C2595" s="5" t="s">
        <v>20095</v>
      </c>
      <c r="D2595" s="5" t="str">
        <v>505202274198</v>
      </c>
      <c r="E2595" s="0" t="e">
        <f>+7 (495) 7716490
+7 (495) 1344426
+7 (495) 9335188
+7 (910) 575105
+7 (915) 160784
+7 (495) 9335151
+7 (495) 9335152
+7 (495) 9335167
+7 (800) 2000567
+7 (83143) 76892
+7 (8432) 366999</f>
        <v>#NAME?</v>
      </c>
      <c r="F2595" s="5" t="s">
        <v>33147</v>
      </c>
      <c r="G2595" s="5" t="s">
        <v>33148</v>
      </c>
      <c r="H2595" s="26">
        <v>23</v>
      </c>
      <c r="I2595" s="5" t="s">
        <v>33149</v>
      </c>
      <c r="J2595" s="5" t="s">
        <v>27164</v>
      </c>
      <c r="K2595" s="5" t="s">
        <v>344</v>
      </c>
      <c r="L2595" s="5" t="s">
        <v>33150</v>
      </c>
      <c r="M2595" s="27"/>
      <c r="N2595" s="5" t="s">
        <v>53439</v>
      </c>
      <c r="O2595" s="5" t="str">
        <v>7701234835</v>
      </c>
      <c r="P2595" s="27">
        <v>2849000</v>
      </c>
      <c r="Q2595" s="5" t="s">
        <v>53440</v>
      </c>
      <c r="R2595" s="5"/>
      <c r="S2595" s="5" t="s">
        <v>53441</v>
      </c>
      <c r="T2595" s="28">
        <v>224194000</v>
      </c>
      <c r="U2595" s="28"/>
      <c r="V2595" s="28">
        <v>170662000</v>
      </c>
      <c r="W2595" s="28"/>
      <c r="X2595" s="28">
        <v>594699000</v>
      </c>
      <c r="Y2595" s="28">
        <v>2277380000</v>
      </c>
      <c r="Z2595" s="28">
        <v>1382853000</v>
      </c>
      <c r="AA2595" s="28"/>
      <c r="AB2595" s="28">
        <v>50000000</v>
      </c>
      <c r="AC2595" s="28">
        <v>869456000</v>
      </c>
      <c r="AD2595" s="28">
        <v>1386371000</v>
      </c>
      <c r="AE2595" s="28">
        <v>3573324000</v>
      </c>
      <c r="AF2595" s="28">
        <v>-176312000</v>
      </c>
      <c r="AG2595" s="11"/>
    </row>
    <row r="2596">
      <c r="A2596" s="7" t="s">
        <v>4288</v>
      </c>
      <c r="B2596" s="5" t="s">
        <v>12261</v>
      </c>
      <c r="C2596" s="5" t="s">
        <v>17795</v>
      </c>
      <c r="D2596" s="5"/>
      <c r="F2596" s="5"/>
      <c r="G2596" s="5"/>
      <c r="H2596" s="26">
        <v>2.5</v>
      </c>
      <c r="I2596" s="5" t="s">
        <v>33151</v>
      </c>
      <c r="J2596" s="5" t="s">
        <v>389</v>
      </c>
      <c r="K2596" s="5" t="s">
        <v>344</v>
      </c>
      <c r="L2596" s="5"/>
      <c r="M2596" s="27"/>
      <c r="N2596" s="5" t="s">
        <v>53442</v>
      </c>
      <c r="O2596" s="5" t="str">
        <v>4703178806</v>
      </c>
      <c r="P2596" s="27">
        <v>500000</v>
      </c>
      <c r="Q2596" s="5" t="s">
        <v>53443</v>
      </c>
      <c r="R2596" s="5"/>
      <c r="S2596" s="5" t="s">
        <v>50290</v>
      </c>
      <c r="T2596" s="28">
        <v>20175000</v>
      </c>
      <c r="U2596" s="28"/>
      <c r="V2596" s="28">
        <v>437024000</v>
      </c>
      <c r="W2596" s="28"/>
      <c r="X2596" s="28">
        <v>173468000</v>
      </c>
      <c r="Y2596" s="28">
        <v>1833848000</v>
      </c>
      <c r="Z2596" s="28">
        <v>142823000</v>
      </c>
      <c r="AA2596" s="28">
        <v>1263412000</v>
      </c>
      <c r="AB2596" s="28">
        <v>82311000</v>
      </c>
      <c r="AC2596" s="28">
        <v>426846000</v>
      </c>
      <c r="AD2596" s="28">
        <v>143323000</v>
      </c>
      <c r="AE2596" s="28">
        <v>6997536000</v>
      </c>
      <c r="AF2596" s="28">
        <v>30542000</v>
      </c>
      <c r="AG2596" s="11"/>
    </row>
    <row r="2597">
      <c r="A2597" s="7" t="s">
        <v>4289</v>
      </c>
      <c r="B2597" s="5" t="s">
        <v>12262</v>
      </c>
      <c r="C2597" s="5" t="s">
        <v>20096</v>
      </c>
      <c r="D2597" s="5" t="str">
        <v>165506044059</v>
      </c>
      <c r="E2597" s="0" t="e">
        <f>+7 (8432) 122626
+7 (8432) 22626
+7 (8435) 188095
+7 (917) 2744935</f>
        <v>#NAME?</v>
      </c>
      <c r="F2597" s="5" t="s">
        <v>33152</v>
      </c>
      <c r="G2597" s="5" t="s">
        <v>33153</v>
      </c>
      <c r="H2597" s="26">
        <v>12.5</v>
      </c>
      <c r="I2597" s="5" t="s">
        <v>33154</v>
      </c>
      <c r="J2597" s="5" t="s">
        <v>26770</v>
      </c>
      <c r="K2597" s="5" t="s">
        <v>344</v>
      </c>
      <c r="L2597" s="5" t="s">
        <v>33155</v>
      </c>
      <c r="M2597" s="27">
        <v>15760000</v>
      </c>
      <c r="N2597" s="5" t="s">
        <v>53444</v>
      </c>
      <c r="O2597" s="5" t="str">
        <v>1655202105</v>
      </c>
      <c r="P2597" s="27">
        <v>70000000</v>
      </c>
      <c r="Q2597" s="5" t="s">
        <v>49021</v>
      </c>
      <c r="R2597" s="5"/>
      <c r="S2597" s="5" t="s">
        <v>53445</v>
      </c>
      <c r="T2597" s="28">
        <v>312014000</v>
      </c>
      <c r="U2597" s="28">
        <v>9900000</v>
      </c>
      <c r="V2597" s="28">
        <v>5665212000</v>
      </c>
      <c r="W2597" s="28"/>
      <c r="X2597" s="28">
        <v>542943000</v>
      </c>
      <c r="Y2597" s="28">
        <v>7722281000</v>
      </c>
      <c r="Z2597" s="28">
        <v>2182555000</v>
      </c>
      <c r="AA2597" s="28">
        <v>545712000</v>
      </c>
      <c r="AB2597" s="28">
        <v>3253329000</v>
      </c>
      <c r="AC2597" s="28">
        <v>4849847000</v>
      </c>
      <c r="AD2597" s="28">
        <v>2281789000</v>
      </c>
      <c r="AE2597" s="28">
        <v>46938933000</v>
      </c>
      <c r="AF2597" s="28">
        <v>644286000</v>
      </c>
      <c r="AG2597" s="11"/>
    </row>
    <row r="2598">
      <c r="A2598" s="7" t="s">
        <v>4290</v>
      </c>
      <c r="B2598" s="5" t="s">
        <v>12263</v>
      </c>
      <c r="C2598" s="5" t="s">
        <v>18019</v>
      </c>
      <c r="D2598" s="5"/>
      <c r="E2598" s="0" t="e">
        <f>+7 (877) 2248455
+7 (877) 2248820
+7 (960) 4374891</f>
        <v>#NAME?</v>
      </c>
      <c r="F2598" s="5" t="s">
        <v>33156</v>
      </c>
      <c r="G2598" s="5" t="s">
        <v>33157</v>
      </c>
      <c r="H2598" s="26">
        <v>27</v>
      </c>
      <c r="I2598" s="5" t="s">
        <v>33158</v>
      </c>
      <c r="J2598" s="5" t="s">
        <v>26536</v>
      </c>
      <c r="K2598" s="5" t="s">
        <v>344</v>
      </c>
      <c r="L2598" s="5" t="s">
        <v>33159</v>
      </c>
      <c r="M2598" s="27"/>
      <c r="N2598" s="5" t="s">
        <v>53446</v>
      </c>
      <c r="O2598" s="5" t="str">
        <v>0105077667</v>
      </c>
      <c r="P2598" s="27">
        <v>22015300</v>
      </c>
      <c r="Q2598" s="5" t="s">
        <v>49059</v>
      </c>
      <c r="R2598" s="5"/>
      <c r="S2598" s="5" t="s">
        <v>49066</v>
      </c>
      <c r="T2598" s="28">
        <v>743182000</v>
      </c>
      <c r="U2598" s="28">
        <v>3436820000</v>
      </c>
      <c r="V2598" s="28">
        <v>537209000</v>
      </c>
      <c r="W2598" s="28"/>
      <c r="X2598" s="28">
        <v>90079000</v>
      </c>
      <c r="Y2598" s="28">
        <v>5011050000</v>
      </c>
      <c r="Z2598" s="28">
        <v>4727491000</v>
      </c>
      <c r="AA2598" s="28"/>
      <c r="AB2598" s="28"/>
      <c r="AC2598" s="28">
        <v>240650000</v>
      </c>
      <c r="AD2598" s="28">
        <v>4749506000</v>
      </c>
      <c r="AE2598" s="28">
        <v>3687922000</v>
      </c>
      <c r="AF2598" s="28">
        <v>940719000</v>
      </c>
      <c r="AG2598" s="11"/>
    </row>
    <row r="2599">
      <c r="A2599" s="7" t="s">
        <v>4291</v>
      </c>
      <c r="B2599" s="5" t="s">
        <v>12264</v>
      </c>
      <c r="C2599" s="5" t="s">
        <v>20097</v>
      </c>
      <c r="D2599" s="5" t="str">
        <v>781300335031</v>
      </c>
      <c r="E2599" s="0" t="e">
        <f>+7 (921) 5890889
+7 (384) 2657391
+7 (421) 2942727
+7 (499) 2724406
+7 (800) 7004406
+7 (812) 4494403
+7 (812) 4494406
+7 (8142) 591115
+7 (8313) 249224</f>
        <v>#NAME?</v>
      </c>
      <c r="F2599" s="5" t="s">
        <v>33160</v>
      </c>
      <c r="G2599" s="5" t="s">
        <v>33161</v>
      </c>
      <c r="H2599" s="26">
        <v>14.5</v>
      </c>
      <c r="I2599" s="5" t="s">
        <v>33162</v>
      </c>
      <c r="J2599" s="5" t="s">
        <v>678</v>
      </c>
      <c r="K2599" s="5" t="s">
        <v>344</v>
      </c>
      <c r="L2599" s="5" t="s">
        <v>33163</v>
      </c>
      <c r="M2599" s="27">
        <v>76309</v>
      </c>
      <c r="N2599" s="5" t="s">
        <v>53447</v>
      </c>
      <c r="O2599" s="5" t="str">
        <v>7814412486</v>
      </c>
      <c r="P2599" s="27">
        <v>150000</v>
      </c>
      <c r="Q2599" s="5" t="s">
        <v>49021</v>
      </c>
      <c r="R2599" s="5"/>
      <c r="S2599" s="5" t="s">
        <v>53448</v>
      </c>
      <c r="T2599" s="28">
        <v>796249000</v>
      </c>
      <c r="U2599" s="28"/>
      <c r="V2599" s="28">
        <v>986284000</v>
      </c>
      <c r="W2599" s="28"/>
      <c r="X2599" s="28">
        <v>296836000</v>
      </c>
      <c r="Y2599" s="28">
        <v>3394022000</v>
      </c>
      <c r="Z2599" s="28">
        <v>1664974000</v>
      </c>
      <c r="AA2599" s="28"/>
      <c r="AB2599" s="28"/>
      <c r="AC2599" s="28">
        <v>1411630000</v>
      </c>
      <c r="AD2599" s="28">
        <v>1960724000</v>
      </c>
      <c r="AE2599" s="28">
        <v>4922449000</v>
      </c>
      <c r="AF2599" s="28">
        <v>568369000</v>
      </c>
      <c r="AG2599" s="11"/>
    </row>
    <row r="2600">
      <c r="A2600" s="7" t="s">
        <v>4292</v>
      </c>
      <c r="B2600" s="5" t="s">
        <v>12265</v>
      </c>
      <c r="C2600" s="5" t="s">
        <v>20098</v>
      </c>
      <c r="D2600" s="5" t="str">
        <v>246517295553</v>
      </c>
      <c r="E2600" s="0" t="e">
        <f>+7 (413) 2677071
+7 (902) 9266502
+7 (914) 530010
+7 (914) 8603267
+7 (968) 1563441
+7 (391) 2016158
+7 (391) 2016161
+7 (391) 2016165
+7 (391) 2209926
+7 (391) 2209933
+7 (391) 2209944
+7 (391) 2209977
+7 (391) 2401821
+7 (391) 2906161
+7 (931) 2906261</f>
        <v>#NAME?</v>
      </c>
      <c r="F2600" s="5" t="s">
        <v>33164</v>
      </c>
      <c r="G2600" s="5" t="s">
        <v>33165</v>
      </c>
      <c r="H2600" s="26">
        <v>20</v>
      </c>
      <c r="I2600" s="5" t="s">
        <v>33166</v>
      </c>
      <c r="J2600" s="5" t="s">
        <v>25864</v>
      </c>
      <c r="K2600" s="5" t="s">
        <v>344</v>
      </c>
      <c r="L2600" s="5" t="s">
        <v>33167</v>
      </c>
      <c r="M2600" s="27">
        <v>49295980</v>
      </c>
      <c r="N2600" s="5" t="s">
        <v>53449</v>
      </c>
      <c r="O2600" s="5" t="str">
        <v>2464047651</v>
      </c>
      <c r="P2600" s="27">
        <v>5010000</v>
      </c>
      <c r="Q2600" s="5" t="s">
        <v>53450</v>
      </c>
      <c r="R2600" s="5"/>
      <c r="S2600" s="5" t="s">
        <v>53451</v>
      </c>
      <c r="T2600" s="28">
        <v>504853000</v>
      </c>
      <c r="U2600" s="28"/>
      <c r="V2600" s="28">
        <v>1226574000</v>
      </c>
      <c r="W2600" s="28">
        <v>15750000</v>
      </c>
      <c r="X2600" s="28">
        <v>148861000</v>
      </c>
      <c r="Y2600" s="28">
        <v>2907337000</v>
      </c>
      <c r="Z2600" s="28">
        <v>559730000</v>
      </c>
      <c r="AA2600" s="28">
        <v>639480000</v>
      </c>
      <c r="AB2600" s="28">
        <v>1256000</v>
      </c>
      <c r="AC2600" s="28">
        <v>1689460000</v>
      </c>
      <c r="AD2600" s="28">
        <v>565492000</v>
      </c>
      <c r="AE2600" s="28">
        <v>7374038000</v>
      </c>
      <c r="AF2600" s="28">
        <v>97775000</v>
      </c>
      <c r="AG2600" s="11"/>
    </row>
    <row r="2601">
      <c r="A2601" s="7" t="s">
        <v>4293</v>
      </c>
      <c r="B2601" s="5" t="s">
        <v>12266</v>
      </c>
      <c r="C2601" s="5" t="s">
        <v>20099</v>
      </c>
      <c r="D2601" s="5" t="str">
        <v>614311138731</v>
      </c>
      <c r="E2601" s="0" t="e">
        <f>+7 (926) 7550346
+7 (495) 6451401
+7 (800) 7773542</f>
        <v>#NAME?</v>
      </c>
      <c r="F2601" s="5" t="s">
        <v>33168</v>
      </c>
      <c r="G2601" s="5" t="s">
        <v>33169</v>
      </c>
      <c r="H2601" s="26">
        <v>8.5</v>
      </c>
      <c r="I2601" s="5" t="s">
        <v>33170</v>
      </c>
      <c r="J2601" s="5" t="s">
        <v>27522</v>
      </c>
      <c r="K2601" s="5" t="s">
        <v>344</v>
      </c>
      <c r="L2601" s="5" t="s">
        <v>33171</v>
      </c>
      <c r="M2601" s="27"/>
      <c r="N2601" s="5" t="s">
        <v>53452</v>
      </c>
      <c r="O2601" s="5" t="str">
        <v>7727835943</v>
      </c>
      <c r="P2601" s="27">
        <v>260000</v>
      </c>
      <c r="Q2601" s="5" t="s">
        <v>49059</v>
      </c>
      <c r="R2601" s="5"/>
      <c r="S2601" s="5" t="s">
        <v>53269</v>
      </c>
      <c r="T2601" s="28">
        <v>43587000</v>
      </c>
      <c r="U2601" s="28"/>
      <c r="V2601" s="28">
        <v>726497000</v>
      </c>
      <c r="W2601" s="28"/>
      <c r="X2601" s="28">
        <v>71029000</v>
      </c>
      <c r="Y2601" s="28">
        <v>4653012000</v>
      </c>
      <c r="Z2601" s="28">
        <v>623588000</v>
      </c>
      <c r="AA2601" s="28">
        <v>123865000</v>
      </c>
      <c r="AB2601" s="28">
        <v>140535000</v>
      </c>
      <c r="AC2601" s="28">
        <v>3870048000</v>
      </c>
      <c r="AD2601" s="28">
        <v>623848000</v>
      </c>
      <c r="AE2601" s="28">
        <v>8719458000</v>
      </c>
      <c r="AF2601" s="28">
        <v>236437000</v>
      </c>
      <c r="AG2601" s="11"/>
    </row>
    <row r="2602">
      <c r="A2602" s="7" t="s">
        <v>4294</v>
      </c>
      <c r="B2602" s="5" t="s">
        <v>12267</v>
      </c>
      <c r="C2602" s="5" t="s">
        <v>20100</v>
      </c>
      <c r="D2602" s="5" t="str">
        <v>500906769631</v>
      </c>
      <c r="E2602" s="0" t="e">
        <f>+7 (495) 2121605
+7 (484) 2716005
+7 (484) 2716067
+7 (484) 2716079
+7 (484) 2716104
+7 (487) 2561400</f>
        <v>#NAME?</v>
      </c>
      <c r="F2602" s="5" t="s">
        <v>33172</v>
      </c>
      <c r="G2602" s="5" t="s">
        <v>33173</v>
      </c>
      <c r="H2602" s="26">
        <v>18</v>
      </c>
      <c r="I2602" s="5" t="s">
        <v>33174</v>
      </c>
      <c r="J2602" s="5" t="s">
        <v>710</v>
      </c>
      <c r="K2602" s="5" t="s">
        <v>344</v>
      </c>
      <c r="L2602" s="5"/>
      <c r="M2602" s="27">
        <v>286178101</v>
      </c>
      <c r="N2602" s="5" t="s">
        <v>53453</v>
      </c>
      <c r="O2602" s="5" t="str">
        <v>4028033363</v>
      </c>
      <c r="P2602" s="27">
        <v>3000000</v>
      </c>
      <c r="Q2602" s="5" t="s">
        <v>53454</v>
      </c>
      <c r="R2602" s="5" t="s">
        <v>53455</v>
      </c>
      <c r="S2602" s="5" t="s">
        <v>53456</v>
      </c>
      <c r="T2602" s="28">
        <v>77226000</v>
      </c>
      <c r="U2602" s="28">
        <v>15000</v>
      </c>
      <c r="V2602" s="28">
        <v>10871316000</v>
      </c>
      <c r="W2602" s="28">
        <v>3462926000</v>
      </c>
      <c r="X2602" s="28">
        <v>182461000</v>
      </c>
      <c r="Y2602" s="28">
        <v>20817542000</v>
      </c>
      <c r="Z2602" s="28">
        <v>1603765000</v>
      </c>
      <c r="AA2602" s="28"/>
      <c r="AB2602" s="28">
        <v>643813000</v>
      </c>
      <c r="AC2602" s="28">
        <v>19080242000</v>
      </c>
      <c r="AD2602" s="28">
        <v>1606765000</v>
      </c>
      <c r="AE2602" s="28">
        <v>3871335000</v>
      </c>
      <c r="AF2602" s="28">
        <v>62870000</v>
      </c>
      <c r="AG2602" s="11"/>
    </row>
    <row r="2603">
      <c r="A2603" s="7" t="s">
        <v>4295</v>
      </c>
      <c r="B2603" s="5" t="s">
        <v>12268</v>
      </c>
      <c r="C2603" s="5" t="s">
        <v>20101</v>
      </c>
      <c r="D2603" s="5" t="str">
        <v>402804645902</v>
      </c>
      <c r="E2603" s="0" t="e">
        <f>+7 (484) 2716160
+7 (472) 2230623
+7 (482) 2416002
+7 (484) 2221689
+7 (484) 2516856
+7 (484) 2716002
+7 (484) 2716004
+7 (484) 2791349
+7 (495) 9892796
+7 (920) 945950</f>
        <v>#NAME?</v>
      </c>
      <c r="F2603" s="5" t="s">
        <v>33175</v>
      </c>
      <c r="G2603" s="5" t="s">
        <v>33176</v>
      </c>
      <c r="H2603" s="26">
        <v>18</v>
      </c>
      <c r="I2603" s="5" t="s">
        <v>33177</v>
      </c>
      <c r="J2603" s="5" t="s">
        <v>26623</v>
      </c>
      <c r="K2603" s="5" t="s">
        <v>344</v>
      </c>
      <c r="L2603" s="5" t="s">
        <v>33178</v>
      </c>
      <c r="M2603" s="27"/>
      <c r="N2603" s="5" t="s">
        <v>53457</v>
      </c>
      <c r="O2603" s="5" t="str">
        <v>4028033356</v>
      </c>
      <c r="P2603" s="27">
        <v>3010000</v>
      </c>
      <c r="Q2603" s="5" t="s">
        <v>53458</v>
      </c>
      <c r="R2603" s="5"/>
      <c r="S2603" s="5" t="s">
        <v>52179</v>
      </c>
      <c r="T2603" s="28">
        <v>455512000</v>
      </c>
      <c r="U2603" s="28">
        <v>11052000</v>
      </c>
      <c r="V2603" s="28">
        <v>11170240000</v>
      </c>
      <c r="W2603" s="28">
        <v>1103337000</v>
      </c>
      <c r="X2603" s="28">
        <v>224318000</v>
      </c>
      <c r="Y2603" s="28">
        <v>16212002000</v>
      </c>
      <c r="Z2603" s="28">
        <v>2455988000</v>
      </c>
      <c r="AA2603" s="28">
        <v>2520922000</v>
      </c>
      <c r="AB2603" s="28">
        <v>2305341000</v>
      </c>
      <c r="AC2603" s="28">
        <v>10568999000</v>
      </c>
      <c r="AD2603" s="28">
        <v>2458998000</v>
      </c>
      <c r="AE2603" s="28">
        <v>5836225000</v>
      </c>
      <c r="AF2603" s="28">
        <v>193941000</v>
      </c>
      <c r="AG2603" s="11"/>
    </row>
    <row r="2604">
      <c r="A2604" s="7" t="s">
        <v>4296</v>
      </c>
      <c r="B2604" s="5" t="s">
        <v>12269</v>
      </c>
      <c r="C2604" s="5" t="s">
        <v>20102</v>
      </c>
      <c r="D2604" s="5" t="str">
        <v>164602829611</v>
      </c>
      <c r="E2604" s="0" t="e">
        <f>+7 (495) 7857730
+7 (843) 2398094
+7 (85557) 53100
+7 (85557) 53118
+7 (85557) 53119
+7 (85557) 53120
+7 (85557) 53121
+7 (85557) 53176
+7 (902) 1655440
+7 (987) 4000372
+7 (987) 4000504</f>
        <v>#NAME?</v>
      </c>
      <c r="F2604" s="5" t="s">
        <v>33179</v>
      </c>
      <c r="G2604" s="5"/>
      <c r="H2604" s="26">
        <v>13</v>
      </c>
      <c r="I2604" s="5" t="s">
        <v>33180</v>
      </c>
      <c r="J2604" s="5" t="s">
        <v>33181</v>
      </c>
      <c r="K2604" s="5" t="s">
        <v>344</v>
      </c>
      <c r="L2604" s="5" t="s">
        <v>33182</v>
      </c>
      <c r="M2604" s="27"/>
      <c r="N2604" s="5"/>
      <c r="O2604" s="5" t="str">
        <v>1646027030</v>
      </c>
      <c r="P2604" s="27">
        <v>5165000000</v>
      </c>
      <c r="Q2604" s="5" t="s">
        <v>49057</v>
      </c>
      <c r="R2604" s="5"/>
      <c r="S2604" s="5" t="s">
        <v>51121</v>
      </c>
      <c r="T2604" s="28">
        <v>19643153000</v>
      </c>
      <c r="U2604" s="28">
        <v>190986000</v>
      </c>
      <c r="V2604" s="28">
        <v>7004238000</v>
      </c>
      <c r="W2604" s="28"/>
      <c r="X2604" s="28">
        <v>1144644000</v>
      </c>
      <c r="Y2604" s="28">
        <v>34030974000</v>
      </c>
      <c r="Z2604" s="28">
        <v>11920754000</v>
      </c>
      <c r="AA2604" s="28">
        <v>11698853000</v>
      </c>
      <c r="AB2604" s="28">
        <v>906769000</v>
      </c>
      <c r="AC2604" s="28">
        <v>4774715000</v>
      </c>
      <c r="AD2604" s="28">
        <v>17304057000</v>
      </c>
      <c r="AE2604" s="28">
        <v>22952474000</v>
      </c>
      <c r="AF2604" s="28">
        <v>5848503000</v>
      </c>
      <c r="AG2604" s="11"/>
    </row>
    <row r="2605">
      <c r="A2605" s="7" t="s">
        <v>4297</v>
      </c>
      <c r="B2605" s="5" t="s">
        <v>12270</v>
      </c>
      <c r="C2605" s="5" t="s">
        <v>20103</v>
      </c>
      <c r="D2605" s="5" t="str">
        <v>260203313250</v>
      </c>
      <c r="E2605" s="0" t="e">
        <f>+7 (499) 2680737
+7 (353) 2776502
+7 (353) 2236158
+7 (495) 1085357
+7 (495) 1087317
+7 (495) 1087387
+7 (495) 2680737</f>
        <v>#NAME?</v>
      </c>
      <c r="F2605" s="5" t="s">
        <v>33183</v>
      </c>
      <c r="G2605" s="5"/>
      <c r="H2605" s="26">
        <v>18</v>
      </c>
      <c r="I2605" s="5" t="s">
        <v>33184</v>
      </c>
      <c r="J2605" s="5" t="s">
        <v>33185</v>
      </c>
      <c r="K2605" s="5" t="s">
        <v>355</v>
      </c>
      <c r="L2605" s="5"/>
      <c r="M2605" s="27">
        <v>1495168</v>
      </c>
      <c r="N2605" s="5" t="s">
        <v>53459</v>
      </c>
      <c r="O2605" s="5" t="str">
        <v>5611032598</v>
      </c>
      <c r="P2605" s="27">
        <v>1480000</v>
      </c>
      <c r="Q2605" s="5" t="s">
        <v>53460</v>
      </c>
      <c r="R2605" s="5"/>
      <c r="S2605" s="5" t="s">
        <v>49175</v>
      </c>
      <c r="T2605" s="28">
        <v>3753886000</v>
      </c>
      <c r="U2605" s="28">
        <v>812905000</v>
      </c>
      <c r="V2605" s="28">
        <v>1469637000</v>
      </c>
      <c r="W2605" s="28">
        <v>2000000</v>
      </c>
      <c r="X2605" s="28">
        <v>408564000</v>
      </c>
      <c r="Y2605" s="28">
        <v>6912384000</v>
      </c>
      <c r="Z2605" s="28">
        <v>1768575000</v>
      </c>
      <c r="AA2605" s="28">
        <v>1346453000</v>
      </c>
      <c r="AB2605" s="28">
        <v>662619000</v>
      </c>
      <c r="AC2605" s="28">
        <v>1863812000</v>
      </c>
      <c r="AD2605" s="28">
        <v>1770055000</v>
      </c>
      <c r="AE2605" s="28">
        <v>4690943000</v>
      </c>
      <c r="AF2605" s="28">
        <v>157658000</v>
      </c>
      <c r="AG2605" s="11"/>
    </row>
    <row r="2606">
      <c r="A2606" s="7" t="s">
        <v>4298</v>
      </c>
      <c r="B2606" s="5" t="s">
        <v>12271</v>
      </c>
      <c r="C2606" s="5" t="s">
        <v>20104</v>
      </c>
      <c r="D2606" s="5" t="str">
        <v>470303727023</v>
      </c>
      <c r="E2606" s="0" t="e">
        <f>+7 (3422) 111440
+7 (495) 2802555
+7 (495) 7772554
+7 (495) 7772555
+7 (812) 3326505
+7 (903) 1365001</f>
        <v>#NAME?</v>
      </c>
      <c r="F2606" s="5" t="s">
        <v>33186</v>
      </c>
      <c r="G2606" s="5"/>
      <c r="H2606" s="26">
        <v>18.5</v>
      </c>
      <c r="I2606" s="5" t="s">
        <v>33187</v>
      </c>
      <c r="J2606" s="5" t="s">
        <v>33188</v>
      </c>
      <c r="K2606" s="5" t="s">
        <v>344</v>
      </c>
      <c r="L2606" s="5"/>
      <c r="M2606" s="27">
        <v>14469874</v>
      </c>
      <c r="N2606" s="5" t="s">
        <v>53461</v>
      </c>
      <c r="O2606" s="5" t="str">
        <v>7703528301</v>
      </c>
      <c r="P2606" s="27">
        <v>7729633345</v>
      </c>
      <c r="Q2606" s="5" t="s">
        <v>49009</v>
      </c>
      <c r="R2606" s="5" t="s">
        <v>53462</v>
      </c>
      <c r="S2606" s="5" t="s">
        <v>49420</v>
      </c>
      <c r="T2606" s="28">
        <v>7724170000</v>
      </c>
      <c r="U2606" s="28"/>
      <c r="V2606" s="28">
        <v>1299908000</v>
      </c>
      <c r="W2606" s="28">
        <v>803000</v>
      </c>
      <c r="X2606" s="28">
        <v>150028000</v>
      </c>
      <c r="Y2606" s="28">
        <v>16253038000</v>
      </c>
      <c r="Z2606" s="28">
        <v>-14337743000</v>
      </c>
      <c r="AA2606" s="28"/>
      <c r="AB2606" s="28"/>
      <c r="AC2606" s="28">
        <v>1943582000</v>
      </c>
      <c r="AD2606" s="28">
        <v>14272163000</v>
      </c>
      <c r="AE2606" s="28">
        <v>14563509000</v>
      </c>
      <c r="AF2606" s="28">
        <v>960849000</v>
      </c>
      <c r="AG2606" s="11"/>
    </row>
    <row r="2607">
      <c r="A2607" s="7" t="s">
        <v>4299</v>
      </c>
      <c r="B2607" s="5" t="s">
        <v>12272</v>
      </c>
      <c r="C2607" s="5" t="s">
        <v>20105</v>
      </c>
      <c r="D2607" s="5" t="str">
        <v>021002344153</v>
      </c>
      <c r="E2607" s="0" t="e">
        <f>+7 (35147) 21680
+7 (35147) 20362
+7 (35147) 24041
+7 (35147) 24686
+7 (35147) 71355
+7 (35147) 71507
+7 (35147) 71522
+7 (35147) 71548
+7 (35147) 71569
+7 (495) 9801100</f>
        <v>#NAME?</v>
      </c>
      <c r="F2607" s="5" t="s">
        <v>33189</v>
      </c>
      <c r="G2607" s="5"/>
      <c r="H2607" s="26">
        <v>21.5</v>
      </c>
      <c r="I2607" s="5"/>
      <c r="J2607" s="5" t="s">
        <v>26407</v>
      </c>
      <c r="K2607" s="5" t="s">
        <v>344</v>
      </c>
      <c r="L2607" s="5"/>
      <c r="M2607" s="27"/>
      <c r="N2607" s="5"/>
      <c r="O2607" s="5" t="str">
        <v>7410005573</v>
      </c>
      <c r="P2607" s="27">
        <v>100000</v>
      </c>
      <c r="Q2607" s="5"/>
      <c r="R2607" s="5" t="s">
        <v>53463</v>
      </c>
      <c r="S2607" s="5" t="s">
        <v>49499</v>
      </c>
      <c r="T2607" s="28">
        <v>773707000</v>
      </c>
      <c r="U2607" s="28">
        <v>1905950000</v>
      </c>
      <c r="V2607" s="28">
        <v>1838311000</v>
      </c>
      <c r="W2607" s="28"/>
      <c r="X2607" s="28">
        <v>76360000</v>
      </c>
      <c r="Y2607" s="28">
        <v>5020870000</v>
      </c>
      <c r="Z2607" s="28">
        <v>1814477000</v>
      </c>
      <c r="AA2607" s="28">
        <v>1775000000</v>
      </c>
      <c r="AB2607" s="28">
        <v>35178000</v>
      </c>
      <c r="AC2607" s="28">
        <v>305175000</v>
      </c>
      <c r="AD2607" s="28">
        <v>2668037000</v>
      </c>
      <c r="AE2607" s="28">
        <v>4523295000</v>
      </c>
      <c r="AF2607" s="28">
        <v>1035799000</v>
      </c>
      <c r="AG2607" s="11"/>
    </row>
    <row r="2608">
      <c r="A2608" s="7" t="s">
        <v>4300</v>
      </c>
      <c r="B2608" s="5" t="s">
        <v>12273</v>
      </c>
      <c r="C2608" s="5" t="s">
        <v>20106</v>
      </c>
      <c r="D2608" s="5" t="str">
        <v>781700261578</v>
      </c>
      <c r="E2608" s="0" t="e">
        <f>+7 (812) 7184210
+7 (812) 7184215
+7 (813) 6132103
+7 (81361) 32102
+7 (812) 1184210
+7 (812) 1184215
+7 (812) 6482500
+7 (812) 6482515
+7 (812) 6482530
+7 (812) 6482535
+7 (951) 6709476</f>
        <v>#NAME?</v>
      </c>
      <c r="F2608" s="5" t="s">
        <v>33190</v>
      </c>
      <c r="G2608" s="5" t="s">
        <v>33191</v>
      </c>
      <c r="H2608" s="26">
        <v>28.5</v>
      </c>
      <c r="I2608" s="5" t="s">
        <v>33192</v>
      </c>
      <c r="J2608" s="5" t="s">
        <v>33193</v>
      </c>
      <c r="K2608" s="5" t="s">
        <v>380</v>
      </c>
      <c r="L2608" s="5"/>
      <c r="M2608" s="27"/>
      <c r="N2608" s="5"/>
      <c r="O2608" s="5" t="str">
        <v>4716010046</v>
      </c>
      <c r="P2608" s="27">
        <v>2144462272</v>
      </c>
      <c r="Q2608" s="5" t="s">
        <v>49009</v>
      </c>
      <c r="R2608" s="5"/>
      <c r="S2608" s="5" t="s">
        <v>49066</v>
      </c>
      <c r="T2608" s="28">
        <v>2062786000</v>
      </c>
      <c r="U2608" s="28"/>
      <c r="V2608" s="28">
        <v>51450000</v>
      </c>
      <c r="W2608" s="28"/>
      <c r="X2608" s="28">
        <v>66321000</v>
      </c>
      <c r="Y2608" s="28">
        <v>4671451000</v>
      </c>
      <c r="Z2608" s="28">
        <v>-1276930000</v>
      </c>
      <c r="AA2608" s="28"/>
      <c r="AB2608" s="28">
        <v>3544290000</v>
      </c>
      <c r="AC2608" s="28">
        <v>3603538000</v>
      </c>
      <c r="AD2608" s="28">
        <v>944494000</v>
      </c>
      <c r="AE2608" s="28">
        <v>3196514000</v>
      </c>
      <c r="AF2608" s="28">
        <v>-2008996000</v>
      </c>
      <c r="AG2608" s="11"/>
    </row>
    <row r="2609">
      <c r="A2609" s="7" t="s">
        <v>4301</v>
      </c>
      <c r="B2609" s="5" t="s">
        <v>12274</v>
      </c>
      <c r="C2609" s="5" t="s">
        <v>20107</v>
      </c>
      <c r="D2609" s="5"/>
      <c r="E2609" s="0" t="e">
        <f>+7 (34667) 21513</f>
        <v>#NAME?</v>
      </c>
      <c r="F2609" s="5" t="s">
        <v>33194</v>
      </c>
      <c r="G2609" s="5"/>
      <c r="H2609" s="26">
        <v>31.5</v>
      </c>
      <c r="I2609" s="5" t="s">
        <v>33195</v>
      </c>
      <c r="J2609" s="5" t="s">
        <v>26799</v>
      </c>
      <c r="K2609" s="5" t="s">
        <v>344</v>
      </c>
      <c r="L2609" s="5"/>
      <c r="M2609" s="27"/>
      <c r="N2609" s="5" t="s">
        <v>53464</v>
      </c>
      <c r="O2609" s="5" t="str">
        <v>8608180009</v>
      </c>
      <c r="P2609" s="27">
        <v>2009950754</v>
      </c>
      <c r="Q2609" s="5" t="s">
        <v>53465</v>
      </c>
      <c r="R2609" s="5" t="s">
        <v>53466</v>
      </c>
      <c r="S2609" s="5" t="s">
        <v>53467</v>
      </c>
      <c r="T2609" s="28">
        <v>3605760000</v>
      </c>
      <c r="U2609" s="28"/>
      <c r="V2609" s="28">
        <v>2205033000</v>
      </c>
      <c r="W2609" s="28"/>
      <c r="X2609" s="28">
        <v>5921822000</v>
      </c>
      <c r="Y2609" s="28">
        <v>13431998000</v>
      </c>
      <c r="Z2609" s="28">
        <v>8137377000</v>
      </c>
      <c r="AA2609" s="28"/>
      <c r="AB2609" s="28"/>
      <c r="AC2609" s="28">
        <v>2809338000</v>
      </c>
      <c r="AD2609" s="28">
        <v>10147328000</v>
      </c>
      <c r="AE2609" s="28">
        <v>12337906000</v>
      </c>
      <c r="AF2609" s="28">
        <v>1119719000</v>
      </c>
      <c r="AG2609" s="11"/>
    </row>
    <row r="2610">
      <c r="A2610" s="7" t="s">
        <v>4302</v>
      </c>
      <c r="B2610" s="5" t="s">
        <v>12275</v>
      </c>
      <c r="C2610" s="5" t="s">
        <v>20107</v>
      </c>
      <c r="D2610" s="5"/>
      <c r="E2610" s="0" t="e">
        <f>+7 (3466) 625457
+7 (3466) 422354</f>
        <v>#NAME?</v>
      </c>
      <c r="F2610" s="5" t="s">
        <v>33196</v>
      </c>
      <c r="G2610" s="5"/>
      <c r="H2610" s="26">
        <v>29.5</v>
      </c>
      <c r="I2610" s="5" t="s">
        <v>33197</v>
      </c>
      <c r="J2610" s="5" t="s">
        <v>26799</v>
      </c>
      <c r="K2610" s="5" t="s">
        <v>344</v>
      </c>
      <c r="L2610" s="5" t="s">
        <v>33198</v>
      </c>
      <c r="M2610" s="27">
        <v>34367696</v>
      </c>
      <c r="N2610" s="5" t="s">
        <v>53468</v>
      </c>
      <c r="O2610" s="5" t="str">
        <v>8603023073</v>
      </c>
      <c r="P2610" s="27">
        <v>2243891920</v>
      </c>
      <c r="Q2610" s="5" t="s">
        <v>53470</v>
      </c>
      <c r="R2610" s="5"/>
      <c r="S2610" s="5" t="s">
        <v>53471</v>
      </c>
      <c r="T2610" s="28">
        <v>2634864000</v>
      </c>
      <c r="U2610" s="28"/>
      <c r="V2610" s="28">
        <v>1889047000</v>
      </c>
      <c r="W2610" s="28"/>
      <c r="X2610" s="28">
        <v>1233047000</v>
      </c>
      <c r="Y2610" s="28">
        <v>6689572000</v>
      </c>
      <c r="Z2610" s="28">
        <v>2718942000</v>
      </c>
      <c r="AA2610" s="28"/>
      <c r="AB2610" s="28"/>
      <c r="AC2610" s="28">
        <v>1477073000</v>
      </c>
      <c r="AD2610" s="28">
        <v>4967955000</v>
      </c>
      <c r="AE2610" s="28">
        <v>7391655000</v>
      </c>
      <c r="AF2610" s="28">
        <v>820591000</v>
      </c>
      <c r="AG2610" s="11"/>
    </row>
    <row r="2611">
      <c r="A2611" s="7" t="s">
        <v>4303</v>
      </c>
      <c r="B2611" s="5" t="s">
        <v>12274</v>
      </c>
      <c r="C2611" s="5" t="s">
        <v>20107</v>
      </c>
      <c r="D2611" s="5"/>
      <c r="E2611" s="0" t="e">
        <f>+7 (346) 6721513
+7 (34667) 55085
+7 (84631) 30092
+7 (84631) 30093</f>
        <v>#NAME?</v>
      </c>
      <c r="F2611" s="5" t="s">
        <v>33199</v>
      </c>
      <c r="G2611" s="5" t="s">
        <v>33200</v>
      </c>
      <c r="H2611" s="26">
        <v>16</v>
      </c>
      <c r="I2611" s="5" t="s">
        <v>33201</v>
      </c>
      <c r="J2611" s="5" t="s">
        <v>28226</v>
      </c>
      <c r="K2611" s="5" t="s">
        <v>344</v>
      </c>
      <c r="L2611" s="5" t="s">
        <v>33202</v>
      </c>
      <c r="M2611" s="27">
        <v>910846</v>
      </c>
      <c r="N2611" s="5"/>
      <c r="O2611" s="5" t="str">
        <v>8608052470</v>
      </c>
      <c r="P2611" s="27">
        <v>4385451157</v>
      </c>
      <c r="Q2611" s="5" t="s">
        <v>53472</v>
      </c>
      <c r="R2611" s="5"/>
      <c r="S2611" s="5" t="s">
        <v>53473</v>
      </c>
      <c r="T2611" s="28">
        <v>2738095000</v>
      </c>
      <c r="U2611" s="28"/>
      <c r="V2611" s="28">
        <v>1292089000</v>
      </c>
      <c r="W2611" s="28"/>
      <c r="X2611" s="28">
        <v>1823462000</v>
      </c>
      <c r="Y2611" s="28">
        <v>7232179000</v>
      </c>
      <c r="Z2611" s="28">
        <v>1598202000</v>
      </c>
      <c r="AA2611" s="28"/>
      <c r="AB2611" s="28"/>
      <c r="AC2611" s="28">
        <v>983667000</v>
      </c>
      <c r="AD2611" s="28">
        <v>5983653000</v>
      </c>
      <c r="AE2611" s="28">
        <v>5794135000</v>
      </c>
      <c r="AF2611" s="28">
        <v>451879000</v>
      </c>
      <c r="AG2611" s="11"/>
    </row>
    <row r="2612">
      <c r="A2612" s="7" t="s">
        <v>4304</v>
      </c>
      <c r="B2612" s="5" t="s">
        <v>12276</v>
      </c>
      <c r="C2612" s="5" t="s">
        <v>20108</v>
      </c>
      <c r="D2612" s="5" t="str">
        <v>540808140583</v>
      </c>
      <c r="E2612" s="0" t="e">
        <f>+7 (383) 2277115
+7 (3422) 208868
+7 (3472) 223571
+7 (3512) 326569
+7 (383) 2500494
+7 (345) 2505166
+7 (383) 2106070
+7 (383) 2277112
+7 (383) 2277120
+7 (383) 2777118
+7 (383) 3334514
+7 (383) 3335166
+7 (383) 3335920
+7 (383) 3336566
+7 (383) 3336701</f>
        <v>#NAME?</v>
      </c>
      <c r="F2612" s="5" t="s">
        <v>33203</v>
      </c>
      <c r="G2612" s="5" t="s">
        <v>33204</v>
      </c>
      <c r="H2612" s="26">
        <v>30</v>
      </c>
      <c r="I2612" s="5"/>
      <c r="J2612" s="5" t="s">
        <v>25429</v>
      </c>
      <c r="K2612" s="5" t="s">
        <v>344</v>
      </c>
      <c r="L2612" s="5" t="s">
        <v>33205</v>
      </c>
      <c r="M2612" s="27"/>
      <c r="N2612" s="5" t="s">
        <v>53474</v>
      </c>
      <c r="O2612" s="5" t="str">
        <v>5408130693</v>
      </c>
      <c r="P2612" s="27">
        <v>1500000000</v>
      </c>
      <c r="Q2612" s="5" t="s">
        <v>53475</v>
      </c>
      <c r="R2612" s="5"/>
      <c r="S2612" s="5" t="s">
        <v>53476</v>
      </c>
      <c r="T2612" s="28">
        <v>7818384000</v>
      </c>
      <c r="U2612" s="28">
        <v>13897611000</v>
      </c>
      <c r="V2612" s="28">
        <v>54284441000</v>
      </c>
      <c r="W2612" s="28">
        <v>1491750000</v>
      </c>
      <c r="X2612" s="28">
        <v>3917696000</v>
      </c>
      <c r="Y2612" s="28">
        <v>120823494000</v>
      </c>
      <c r="Z2612" s="28">
        <v>22788509000</v>
      </c>
      <c r="AA2612" s="28">
        <v>1435499000</v>
      </c>
      <c r="AB2612" s="28">
        <v>1000000000</v>
      </c>
      <c r="AC2612" s="28">
        <v>94489884000</v>
      </c>
      <c r="AD2612" s="28">
        <v>24600188000</v>
      </c>
      <c r="AE2612" s="28">
        <v>257337586000</v>
      </c>
      <c r="AF2612" s="28">
        <v>5276125000</v>
      </c>
      <c r="AG2612" s="11"/>
    </row>
    <row r="2613">
      <c r="A2613" s="7" t="s">
        <v>4305</v>
      </c>
      <c r="B2613" s="5" t="s">
        <v>12277</v>
      </c>
      <c r="C2613" s="5" t="s">
        <v>20109</v>
      </c>
      <c r="D2613" s="5"/>
      <c r="E2613" s="0" t="e">
        <f>+7 (48333) 23209
+7 (48333) 30625
+7 (48333) 30643
+7 (48333) 30913
+7 (48333) 30930
+7 (48333) 33209
+7 (499) 2590604</f>
        <v>#NAME?</v>
      </c>
      <c r="F2613" s="5" t="s">
        <v>33206</v>
      </c>
      <c r="G2613" s="5"/>
      <c r="H2613" s="26">
        <v>21</v>
      </c>
      <c r="I2613" s="5" t="s">
        <v>33207</v>
      </c>
      <c r="J2613" s="5" t="s">
        <v>33208</v>
      </c>
      <c r="K2613" s="5" t="s">
        <v>344</v>
      </c>
      <c r="L2613" s="5" t="s">
        <v>33209</v>
      </c>
      <c r="M2613" s="27"/>
      <c r="N2613" s="5"/>
      <c r="O2613" s="5" t="str">
        <v>3202009019</v>
      </c>
      <c r="P2613" s="27">
        <v>60000</v>
      </c>
      <c r="Q2613" s="5"/>
      <c r="R2613" s="5" t="s">
        <v>53477</v>
      </c>
      <c r="S2613" s="5" t="s">
        <v>49110</v>
      </c>
      <c r="T2613" s="28">
        <v>1105923000</v>
      </c>
      <c r="U2613" s="28"/>
      <c r="V2613" s="28">
        <v>186365000</v>
      </c>
      <c r="W2613" s="28"/>
      <c r="X2613" s="28">
        <v>365225000</v>
      </c>
      <c r="Y2613" s="28">
        <v>2137825000</v>
      </c>
      <c r="Z2613" s="28">
        <v>591995000</v>
      </c>
      <c r="AA2613" s="28">
        <v>497659000</v>
      </c>
      <c r="AB2613" s="28">
        <v>419700000</v>
      </c>
      <c r="AC2613" s="28">
        <v>737467000</v>
      </c>
      <c r="AD2613" s="28">
        <v>592055000</v>
      </c>
      <c r="AE2613" s="28">
        <v>3100026000</v>
      </c>
      <c r="AF2613" s="28">
        <v>69115000</v>
      </c>
      <c r="AG2613" s="11"/>
    </row>
    <row r="2614">
      <c r="A2614" s="7" t="s">
        <v>4306</v>
      </c>
      <c r="B2614" s="5" t="s">
        <v>12278</v>
      </c>
      <c r="C2614" s="5" t="s">
        <v>20110</v>
      </c>
      <c r="D2614" s="5"/>
      <c r="E2614" s="0" t="e">
        <f>+7 (844) 2406155
+7 (844) 2406407
+7 (495) 7733622
+7 (495) 7753622
+7 (844) 2406051
+7 (844) 2406283
+7 (844) 2406303
+7 (844) 2406367
+7 (844) 2406499
+7 (844) 2406728
+7 (844) 2406747
+7 (844) 2406929
+7 (844) 2406935
+7 (844) 2406990</f>
        <v>#NAME?</v>
      </c>
      <c r="F2614" s="5" t="s">
        <v>33210</v>
      </c>
      <c r="G2614" s="5" t="s">
        <v>33211</v>
      </c>
      <c r="H2614" s="26">
        <v>30.5</v>
      </c>
      <c r="I2614" s="5" t="s">
        <v>33212</v>
      </c>
      <c r="J2614" s="5" t="s">
        <v>28418</v>
      </c>
      <c r="K2614" s="5" t="s">
        <v>344</v>
      </c>
      <c r="L2614" s="5" t="s">
        <v>33213</v>
      </c>
      <c r="M2614" s="27">
        <v>482033</v>
      </c>
      <c r="N2614" s="5" t="s">
        <v>53478</v>
      </c>
      <c r="O2614" s="5" t="str">
        <v>3448003962</v>
      </c>
      <c r="P2614" s="27">
        <v>2011837800</v>
      </c>
      <c r="Q2614" s="5" t="s">
        <v>53479</v>
      </c>
      <c r="R2614" s="5" t="s">
        <v>53480</v>
      </c>
      <c r="S2614" s="5" t="s">
        <v>53481</v>
      </c>
      <c r="T2614" s="28">
        <v>11372023000</v>
      </c>
      <c r="U2614" s="28">
        <v>2154900000</v>
      </c>
      <c r="V2614" s="28">
        <v>3060633000</v>
      </c>
      <c r="W2614" s="28">
        <v>148250000</v>
      </c>
      <c r="X2614" s="28">
        <v>7139796000</v>
      </c>
      <c r="Y2614" s="28">
        <v>27712102000</v>
      </c>
      <c r="Z2614" s="28">
        <v>10072579000</v>
      </c>
      <c r="AA2614" s="28">
        <v>940546000</v>
      </c>
      <c r="AB2614" s="28">
        <v>7707513000</v>
      </c>
      <c r="AC2614" s="28">
        <v>11894767000</v>
      </c>
      <c r="AD2614" s="28">
        <v>12505615000</v>
      </c>
      <c r="AE2614" s="28">
        <v>32459133000</v>
      </c>
      <c r="AF2614" s="28">
        <v>6773452000</v>
      </c>
      <c r="AG2614" s="11"/>
    </row>
    <row r="2615">
      <c r="A2615" s="7" t="s">
        <v>4307</v>
      </c>
      <c r="B2615" s="5" t="s">
        <v>12279</v>
      </c>
      <c r="C2615" s="5" t="s">
        <v>20111</v>
      </c>
      <c r="D2615" s="5" t="str">
        <v>583508665220</v>
      </c>
      <c r="E2615" s="0" t="e">
        <f>+7 (921) 9347692
+7 (495) 3800603
+7 (812) 9646888</f>
        <v>#NAME?</v>
      </c>
      <c r="F2615" s="5" t="s">
        <v>33214</v>
      </c>
      <c r="G2615" s="5" t="s">
        <v>33215</v>
      </c>
      <c r="H2615" s="26">
        <v>5.5</v>
      </c>
      <c r="I2615" s="5" t="s">
        <v>26592</v>
      </c>
      <c r="J2615" s="5" t="s">
        <v>25262</v>
      </c>
      <c r="K2615" s="5" t="s">
        <v>344</v>
      </c>
      <c r="L2615" s="5" t="s">
        <v>33216</v>
      </c>
      <c r="M2615" s="27"/>
      <c r="N2615" s="5"/>
      <c r="O2615" s="5" t="str">
        <v>7704445150</v>
      </c>
      <c r="P2615" s="27">
        <v>10000</v>
      </c>
      <c r="Q2615" s="5" t="s">
        <v>53482</v>
      </c>
      <c r="R2615" s="5"/>
      <c r="S2615" s="5" t="s">
        <v>53483</v>
      </c>
      <c r="T2615" s="28"/>
      <c r="U2615" s="28"/>
      <c r="V2615" s="28">
        <v>3196258000</v>
      </c>
      <c r="W2615" s="28">
        <v>589706000</v>
      </c>
      <c r="X2615" s="28">
        <v>11676000</v>
      </c>
      <c r="Y2615" s="28">
        <v>3993334000</v>
      </c>
      <c r="Z2615" s="28">
        <v>535035000</v>
      </c>
      <c r="AA2615" s="28">
        <v>1090000000</v>
      </c>
      <c r="AB2615" s="28">
        <v>2131631000</v>
      </c>
      <c r="AC2615" s="28">
        <v>2335800000</v>
      </c>
      <c r="AD2615" s="28">
        <v>535045000</v>
      </c>
      <c r="AE2615" s="28">
        <v>10869288000</v>
      </c>
      <c r="AF2615" s="28">
        <v>533848000</v>
      </c>
      <c r="AG2615" s="11"/>
    </row>
    <row r="2616">
      <c r="A2616" s="7" t="s">
        <v>4308</v>
      </c>
      <c r="B2616" s="5" t="s">
        <v>12280</v>
      </c>
      <c r="C2616" s="5" t="s">
        <v>20112</v>
      </c>
      <c r="D2616" s="5" t="str">
        <v>780716508155</v>
      </c>
      <c r="E2616" s="0" t="e">
        <f>+7 (495) 9332903
+7 (499) 1870900
+7 (495) 5807000
+7 (499) 1860710
+7 (499) 1872204
+7 (499) 1875544
+7 (499) 1897623
+7 (911) 9102960</f>
        <v>#NAME?</v>
      </c>
      <c r="F2616" s="5"/>
      <c r="G2616" s="5" t="s">
        <v>33217</v>
      </c>
      <c r="H2616" s="26">
        <v>23.5</v>
      </c>
      <c r="I2616" s="5"/>
      <c r="J2616" s="5" t="s">
        <v>26148</v>
      </c>
      <c r="K2616" s="5" t="s">
        <v>380</v>
      </c>
      <c r="L2616" s="5"/>
      <c r="M2616" s="27">
        <v>19727385</v>
      </c>
      <c r="N2616" s="5"/>
      <c r="O2616" s="5" t="str">
        <v>7706199246</v>
      </c>
      <c r="P2616" s="27">
        <v>6300000</v>
      </c>
      <c r="Q2616" s="5" t="s">
        <v>49059</v>
      </c>
      <c r="R2616" s="5" t="s">
        <v>53484</v>
      </c>
      <c r="S2616" s="5" t="s">
        <v>49045</v>
      </c>
      <c r="T2616" s="28">
        <v>21883000000</v>
      </c>
      <c r="U2616" s="28">
        <v>15174198000</v>
      </c>
      <c r="V2616" s="28">
        <v>5879031000</v>
      </c>
      <c r="W2616" s="28"/>
      <c r="X2616" s="28">
        <v>51176000</v>
      </c>
      <c r="Y2616" s="28">
        <v>46343696000</v>
      </c>
      <c r="Z2616" s="28">
        <v>-11036775000</v>
      </c>
      <c r="AA2616" s="28">
        <v>39824508000</v>
      </c>
      <c r="AB2616" s="28">
        <v>6936377000</v>
      </c>
      <c r="AC2616" s="28">
        <v>8007190000</v>
      </c>
      <c r="AD2616" s="28">
        <v>-2270122000</v>
      </c>
      <c r="AE2616" s="28">
        <v>4010353000</v>
      </c>
      <c r="AF2616" s="28">
        <v>-2428127000</v>
      </c>
      <c r="AG2616" s="11"/>
    </row>
    <row r="2617">
      <c r="A2617" s="7" t="s">
        <v>4309</v>
      </c>
      <c r="B2617" s="5" t="s">
        <v>12281</v>
      </c>
      <c r="C2617" s="5" t="s">
        <v>20113</v>
      </c>
      <c r="D2617" s="5"/>
      <c r="E2617" s="0" t="e">
        <f>+7 (495) 1978126
+7 (495) 9541122
+7 (495) 9854788
+7 (49643) 98525
+7 (49661) 59025
+7 (49663) 12345
+7 (499) 4440117
+7 (499) 4440177
+7 (499) 4441073
+7 (499) 4451743
+7 (499) 4551743
+7 (499) 6312345
+7 (499) 6512345
+7 (495) 7812070
+7 (499) 4444017</f>
        <v>#NAME?</v>
      </c>
      <c r="F2617" s="5" t="s">
        <v>33218</v>
      </c>
      <c r="G2617" s="5"/>
      <c r="H2617" s="26">
        <v>5</v>
      </c>
      <c r="I2617" s="5" t="s">
        <v>33219</v>
      </c>
      <c r="J2617" s="5" t="s">
        <v>33220</v>
      </c>
      <c r="K2617" s="5" t="s">
        <v>355</v>
      </c>
      <c r="L2617" s="5"/>
      <c r="M2617" s="27">
        <v>8571878</v>
      </c>
      <c r="N2617" s="5" t="s">
        <v>53485</v>
      </c>
      <c r="O2617" s="5" t="str">
        <v>5019029228</v>
      </c>
      <c r="P2617" s="27">
        <v>10000</v>
      </c>
      <c r="Q2617" s="5" t="s">
        <v>53486</v>
      </c>
      <c r="R2617" s="5"/>
      <c r="S2617" s="5" t="s">
        <v>49756</v>
      </c>
      <c r="T2617" s="28">
        <v>65730000</v>
      </c>
      <c r="U2617" s="28">
        <v>339086000</v>
      </c>
      <c r="V2617" s="28">
        <v>1236874000</v>
      </c>
      <c r="W2617" s="28"/>
      <c r="X2617" s="28">
        <v>89561000</v>
      </c>
      <c r="Y2617" s="28">
        <v>1901278000</v>
      </c>
      <c r="Z2617" s="28">
        <v>-517273000</v>
      </c>
      <c r="AA2617" s="28">
        <v>136330000</v>
      </c>
      <c r="AB2617" s="28">
        <v>2062000</v>
      </c>
      <c r="AC2617" s="28">
        <v>1686168000</v>
      </c>
      <c r="AD2617" s="28">
        <v>12737000</v>
      </c>
      <c r="AE2617" s="28">
        <v>3755075000</v>
      </c>
      <c r="AF2617" s="28">
        <v>-98330000</v>
      </c>
      <c r="AG2617" s="11"/>
    </row>
    <row r="2618">
      <c r="A2618" s="7" t="s">
        <v>4310</v>
      </c>
      <c r="B2618" s="5" t="s">
        <v>12282</v>
      </c>
      <c r="C2618" s="5" t="s">
        <v>20114</v>
      </c>
      <c r="D2618" s="5" t="str">
        <v>645293152932</v>
      </c>
      <c r="E2618" s="0" t="e">
        <f>+7 (845) 2221046
+7 (8452) 228193
+7 (8452) 228359
+7 (8452) 555566</f>
        <v>#NAME?</v>
      </c>
      <c r="F2618" s="5"/>
      <c r="G2618" s="5"/>
      <c r="H2618" s="26">
        <v>23</v>
      </c>
      <c r="I2618" s="5" t="s">
        <v>33221</v>
      </c>
      <c r="J2618" s="5" t="s">
        <v>33222</v>
      </c>
      <c r="K2618" s="5" t="s">
        <v>344</v>
      </c>
      <c r="L2618" s="5" t="s">
        <v>33223</v>
      </c>
      <c r="M2618" s="27"/>
      <c r="N2618" s="5" t="s">
        <v>53487</v>
      </c>
      <c r="O2618" s="5" t="str">
        <v>6452063705</v>
      </c>
      <c r="P2618" s="27">
        <v>12346</v>
      </c>
      <c r="Q2618" s="5"/>
      <c r="R2618" s="5" t="s">
        <v>53488</v>
      </c>
      <c r="S2618" s="5" t="s">
        <v>49425</v>
      </c>
      <c r="T2618" s="28">
        <v>488165000</v>
      </c>
      <c r="U2618" s="28"/>
      <c r="V2618" s="28">
        <v>2186773000</v>
      </c>
      <c r="W2618" s="28"/>
      <c r="X2618" s="28">
        <v>190668000</v>
      </c>
      <c r="Y2618" s="28">
        <v>4960839000</v>
      </c>
      <c r="Z2618" s="28">
        <v>1073003000</v>
      </c>
      <c r="AA2618" s="28"/>
      <c r="AB2618" s="28"/>
      <c r="AC2618" s="28">
        <v>1392159000</v>
      </c>
      <c r="AD2618" s="28">
        <v>3542162000</v>
      </c>
      <c r="AE2618" s="28">
        <v>4120914000</v>
      </c>
      <c r="AF2618" s="28">
        <v>305251000</v>
      </c>
      <c r="AG2618" s="11"/>
    </row>
    <row r="2619">
      <c r="A2619" s="7" t="s">
        <v>4311</v>
      </c>
      <c r="B2619" s="5" t="s">
        <v>12283</v>
      </c>
      <c r="C2619" s="5" t="s">
        <v>20115</v>
      </c>
      <c r="D2619" s="5" t="str">
        <v>246001204760</v>
      </c>
      <c r="E2619" s="0" t="e">
        <f>+7 (985) 8004763
+7 (495) 2669863
+7 (495) 2669875
+7 (495) 2669889
+7 (495) 3503313
+7 (495) 3503314
+7 (495) 3504444
+7 (495) 3505875
+7 (495) 3505876
+7 (495) 3514744
+7 (495) 3525221
+7 (495) 3525467
+7 (499) 2669809
+7 (499) 2669862
+7 (985) 9238925</f>
        <v>#NAME?</v>
      </c>
      <c r="F2619" s="5" t="s">
        <v>33224</v>
      </c>
      <c r="G2619" s="5" t="s">
        <v>33225</v>
      </c>
      <c r="H2619" s="26">
        <v>29</v>
      </c>
      <c r="I2619" s="5" t="s">
        <v>33226</v>
      </c>
      <c r="J2619" s="5" t="s">
        <v>25349</v>
      </c>
      <c r="K2619" s="5"/>
      <c r="L2619" s="5"/>
      <c r="M2619" s="27"/>
      <c r="N2619" s="5" t="s">
        <v>53489</v>
      </c>
      <c r="O2619" s="5" t="str">
        <v>7723518340</v>
      </c>
      <c r="P2619" s="27"/>
      <c r="Q2619" s="5" t="s">
        <v>49009</v>
      </c>
      <c r="R2619" s="5" t="s">
        <v>53490</v>
      </c>
      <c r="S2619" s="5" t="s">
        <v>51456</v>
      </c>
      <c r="T2619" s="28">
        <v>2974875000</v>
      </c>
      <c r="U2619" s="28"/>
      <c r="V2619" s="28">
        <v>643079000</v>
      </c>
      <c r="W2619" s="28">
        <v>16000000</v>
      </c>
      <c r="X2619" s="28">
        <v>448337000</v>
      </c>
      <c r="Y2619" s="28">
        <v>4476079000</v>
      </c>
      <c r="Z2619" s="28"/>
      <c r="AA2619" s="28"/>
      <c r="AB2619" s="28"/>
      <c r="AC2619" s="28">
        <v>480510000</v>
      </c>
      <c r="AD2619" s="28">
        <v>3995569000</v>
      </c>
      <c r="AE2619" s="28">
        <v>4309515000</v>
      </c>
      <c r="AF2619" s="28">
        <v>314253000</v>
      </c>
      <c r="AG2619" s="11"/>
    </row>
    <row r="2620">
      <c r="A2620" s="7" t="s">
        <v>4312</v>
      </c>
      <c r="B2620" s="5" t="s">
        <v>12284</v>
      </c>
      <c r="C2620" s="5" t="s">
        <v>20116</v>
      </c>
      <c r="D2620" s="5" t="str">
        <v>772011446669</v>
      </c>
      <c r="E2620" s="0" t="e">
        <f>+7 (495) 4624723
+7 (495) 4625338
+7 (495) 7098801
+7 (495) 7098803
+7 (495) 9378511
+7 (499) 1289271
+7 (499) 1289967
+7 (499) 7948032
+7 (499) 7948095</f>
        <v>#NAME?</v>
      </c>
      <c r="F2620" s="5" t="s">
        <v>33227</v>
      </c>
      <c r="G2620" s="5" t="s">
        <v>33228</v>
      </c>
      <c r="H2620" s="26">
        <v>17.5</v>
      </c>
      <c r="I2620" s="5"/>
      <c r="J2620" s="5" t="s">
        <v>27695</v>
      </c>
      <c r="K2620" s="5" t="s">
        <v>344</v>
      </c>
      <c r="L2620" s="5" t="s">
        <v>33229</v>
      </c>
      <c r="M2620" s="27"/>
      <c r="N2620" s="5"/>
      <c r="O2620" s="5" t="str">
        <v>7727547920</v>
      </c>
      <c r="P2620" s="27">
        <v>21643465</v>
      </c>
      <c r="Q2620" s="5" t="s">
        <v>49009</v>
      </c>
      <c r="R2620" s="5"/>
      <c r="S2620" s="5" t="s">
        <v>49066</v>
      </c>
      <c r="T2620" s="28">
        <v>877110000</v>
      </c>
      <c r="U2620" s="28">
        <v>21236000</v>
      </c>
      <c r="V2620" s="28">
        <v>1061502000</v>
      </c>
      <c r="W2620" s="28"/>
      <c r="X2620" s="28">
        <v>91275000</v>
      </c>
      <c r="Y2620" s="28">
        <v>2791041000</v>
      </c>
      <c r="Z2620" s="28">
        <v>921260000</v>
      </c>
      <c r="AA2620" s="28">
        <v>139324000</v>
      </c>
      <c r="AB2620" s="28">
        <v>214750000</v>
      </c>
      <c r="AC2620" s="28">
        <v>1052226000</v>
      </c>
      <c r="AD2620" s="28">
        <v>1097887000</v>
      </c>
      <c r="AE2620" s="28">
        <v>6553420000</v>
      </c>
      <c r="AF2620" s="28">
        <v>485642000</v>
      </c>
      <c r="AG2620" s="11"/>
    </row>
    <row r="2621">
      <c r="A2621" s="7" t="s">
        <v>4313</v>
      </c>
      <c r="B2621" s="5" t="s">
        <v>12285</v>
      </c>
      <c r="C2621" s="5" t="s">
        <v>20117</v>
      </c>
      <c r="D2621" s="5" t="str">
        <v>782576673174</v>
      </c>
      <c r="E2621" s="0" t="e">
        <f>+7 (964) 6262639
+7 (495) 1289270
+7 (499) 1289270
+7 (499) 1289279
+7 (499) 1289296
+7 (499) 7948074</f>
        <v>#NAME?</v>
      </c>
      <c r="F2621" s="5" t="s">
        <v>33230</v>
      </c>
      <c r="G2621" s="5" t="s">
        <v>33231</v>
      </c>
      <c r="H2621" s="26">
        <v>29</v>
      </c>
      <c r="I2621" s="5"/>
      <c r="J2621" s="5" t="s">
        <v>27695</v>
      </c>
      <c r="K2621" s="5" t="s">
        <v>344</v>
      </c>
      <c r="L2621" s="5"/>
      <c r="M2621" s="27"/>
      <c r="N2621" s="5" t="s">
        <v>53492</v>
      </c>
      <c r="O2621" s="5" t="str">
        <v>7728060368</v>
      </c>
      <c r="P2621" s="27">
        <v>180383517</v>
      </c>
      <c r="Q2621" s="5" t="s">
        <v>49324</v>
      </c>
      <c r="R2621" s="5"/>
      <c r="S2621" s="5" t="s">
        <v>53493</v>
      </c>
      <c r="T2621" s="28">
        <v>746001000</v>
      </c>
      <c r="U2621" s="28">
        <v>1226466000</v>
      </c>
      <c r="V2621" s="28">
        <v>1226308000</v>
      </c>
      <c r="W2621" s="28">
        <v>46000000</v>
      </c>
      <c r="X2621" s="28">
        <v>188119000</v>
      </c>
      <c r="Y2621" s="28">
        <v>3826809000</v>
      </c>
      <c r="Z2621" s="28">
        <v>1806644000</v>
      </c>
      <c r="AA2621" s="28"/>
      <c r="AB2621" s="28"/>
      <c r="AC2621" s="28">
        <v>1435531000</v>
      </c>
      <c r="AD2621" s="28">
        <v>2196966000</v>
      </c>
      <c r="AE2621" s="28">
        <v>5963313000</v>
      </c>
      <c r="AF2621" s="28">
        <v>282499000</v>
      </c>
      <c r="AG2621" s="11"/>
    </row>
    <row r="2622">
      <c r="A2622" s="7" t="s">
        <v>4314</v>
      </c>
      <c r="B2622" s="5" t="s">
        <v>12286</v>
      </c>
      <c r="C2622" s="5" t="s">
        <v>20118</v>
      </c>
      <c r="D2622" s="5" t="str">
        <v>165106770440</v>
      </c>
      <c r="E2622" s="0" t="e">
        <f>+7 (843) 2789023
+7 (843) 2789025
+7 (843) 2789028
+7 (843) 2789042
+7 (843) 2789085
+7 (8432) 789004</f>
        <v>#NAME?</v>
      </c>
      <c r="F2622" s="5" t="s">
        <v>33232</v>
      </c>
      <c r="G2622" s="5"/>
      <c r="H2622" s="26">
        <v>18.5</v>
      </c>
      <c r="I2622" s="5" t="s">
        <v>33233</v>
      </c>
      <c r="J2622" s="5" t="s">
        <v>25901</v>
      </c>
      <c r="K2622" s="5" t="s">
        <v>355</v>
      </c>
      <c r="L2622" s="5"/>
      <c r="M2622" s="27">
        <v>1223442</v>
      </c>
      <c r="N2622" s="5"/>
      <c r="O2622" s="5" t="str">
        <v>1659052612</v>
      </c>
      <c r="P2622" s="27">
        <v>5083216920</v>
      </c>
      <c r="Q2622" s="5"/>
      <c r="R2622" s="5"/>
      <c r="S2622" s="5" t="s">
        <v>49029</v>
      </c>
      <c r="T2622" s="28">
        <v>5243988000</v>
      </c>
      <c r="U2622" s="28">
        <v>2523070000</v>
      </c>
      <c r="V2622" s="28">
        <v>2141684000</v>
      </c>
      <c r="W2622" s="28">
        <v>92350000</v>
      </c>
      <c r="X2622" s="28">
        <v>56339000</v>
      </c>
      <c r="Y2622" s="28">
        <v>11501150000</v>
      </c>
      <c r="Z2622" s="28">
        <v>810850000</v>
      </c>
      <c r="AA2622" s="28">
        <v>1080883000</v>
      </c>
      <c r="AB2622" s="28">
        <v>1577881000</v>
      </c>
      <c r="AC2622" s="28">
        <v>3519838000</v>
      </c>
      <c r="AD2622" s="28">
        <v>5958616000</v>
      </c>
      <c r="AE2622" s="28">
        <v>3122437000</v>
      </c>
      <c r="AF2622" s="28">
        <v>89869000</v>
      </c>
      <c r="AG2622" s="11"/>
    </row>
    <row r="2623">
      <c r="A2623" s="7" t="s">
        <v>4315</v>
      </c>
      <c r="B2623" s="5" t="s">
        <v>12287</v>
      </c>
      <c r="C2623" s="5" t="s">
        <v>20119</v>
      </c>
      <c r="D2623" s="5" t="str">
        <v>772749356385</v>
      </c>
      <c r="E2623" s="0" t="e">
        <f>+7 (411) 2395501
+7 (473) 2051406
+7 (473) 2051421
+7 (473) 2065581
+7 (473) 2225365
+7 (473) 2255662
+7 (4712) 395513
+7 (4712) 395535
+7 (4712) 395595
+7 (472) 2246781
+7 (472) 2262641
+7 (472) 2531622
+7 (47235) 53293
+7 (47236) 36643
+7 (473) 2226912</f>
        <v>#NAME?</v>
      </c>
      <c r="F2623" s="5" t="s">
        <v>33234</v>
      </c>
      <c r="G2623" s="5"/>
      <c r="H2623" s="26">
        <v>18</v>
      </c>
      <c r="I2623" s="5" t="s">
        <v>33235</v>
      </c>
      <c r="J2623" s="5" t="s">
        <v>33236</v>
      </c>
      <c r="K2623" s="5" t="s">
        <v>355</v>
      </c>
      <c r="L2623" s="5"/>
      <c r="M2623" s="27">
        <v>284107036</v>
      </c>
      <c r="N2623" s="5" t="s">
        <v>53494</v>
      </c>
      <c r="O2623" s="5" t="str">
        <v>6829012680</v>
      </c>
      <c r="P2623" s="27">
        <v>19877685166</v>
      </c>
      <c r="Q2623" s="5" t="s">
        <v>53495</v>
      </c>
      <c r="R2623" s="5"/>
      <c r="S2623" s="5" t="s">
        <v>53496</v>
      </c>
      <c r="T2623" s="28">
        <v>46238841000</v>
      </c>
      <c r="U2623" s="28">
        <v>1026886000</v>
      </c>
      <c r="V2623" s="28">
        <v>8089788000</v>
      </c>
      <c r="W2623" s="28">
        <v>35000</v>
      </c>
      <c r="X2623" s="28">
        <v>698978000</v>
      </c>
      <c r="Y2623" s="28">
        <v>64050538000</v>
      </c>
      <c r="Z2623" s="28">
        <v>-9706055000</v>
      </c>
      <c r="AA2623" s="28">
        <v>14844291000</v>
      </c>
      <c r="AB2623" s="28">
        <v>6720342000</v>
      </c>
      <c r="AC2623" s="28">
        <v>21285959000</v>
      </c>
      <c r="AD2623" s="28">
        <v>23100331000</v>
      </c>
      <c r="AE2623" s="28">
        <v>62627284000</v>
      </c>
      <c r="AF2623" s="28">
        <v>-5143761000</v>
      </c>
      <c r="AG2623" s="11"/>
    </row>
    <row r="2624">
      <c r="A2624" s="7" t="s">
        <v>4316</v>
      </c>
      <c r="B2624" s="5" t="s">
        <v>11988</v>
      </c>
      <c r="C2624" s="5" t="s">
        <v>20120</v>
      </c>
      <c r="D2624" s="5" t="str">
        <v>380101734159</v>
      </c>
      <c r="E2624" s="0" t="e">
        <f>+7 (395) 1541725
+7 (3951) 541352
+7 (3955) 599206</f>
        <v>#NAME?</v>
      </c>
      <c r="F2624" s="5" t="s">
        <v>33237</v>
      </c>
      <c r="G2624" s="5"/>
      <c r="H2624" s="26">
        <v>18.5</v>
      </c>
      <c r="I2624" s="5" t="s">
        <v>33238</v>
      </c>
      <c r="J2624" s="5" t="s">
        <v>27115</v>
      </c>
      <c r="K2624" s="5" t="s">
        <v>344</v>
      </c>
      <c r="L2624" s="5"/>
      <c r="M2624" s="27"/>
      <c r="N2624" s="5" t="s">
        <v>53497</v>
      </c>
      <c r="O2624" s="5" t="str">
        <v>3801072926</v>
      </c>
      <c r="P2624" s="27">
        <v>90000</v>
      </c>
      <c r="Q2624" s="5" t="s">
        <v>49057</v>
      </c>
      <c r="R2624" s="5"/>
      <c r="S2624" s="5" t="s">
        <v>53498</v>
      </c>
      <c r="T2624" s="28">
        <v>667000</v>
      </c>
      <c r="U2624" s="28"/>
      <c r="V2624" s="28">
        <v>435752000</v>
      </c>
      <c r="W2624" s="28">
        <v>24677000</v>
      </c>
      <c r="X2624" s="28">
        <v>718000</v>
      </c>
      <c r="Y2624" s="28">
        <v>491530000</v>
      </c>
      <c r="Z2624" s="28">
        <v>201960000</v>
      </c>
      <c r="AA2624" s="28"/>
      <c r="AB2624" s="28">
        <v>59900000</v>
      </c>
      <c r="AC2624" s="28">
        <v>289416000</v>
      </c>
      <c r="AD2624" s="28">
        <v>202050000</v>
      </c>
      <c r="AE2624" s="28">
        <v>3829770000</v>
      </c>
      <c r="AF2624" s="28">
        <v>37292000</v>
      </c>
      <c r="AG2624" s="11"/>
    </row>
    <row r="2625">
      <c r="A2625" s="7" t="s">
        <v>4316</v>
      </c>
      <c r="B2625" s="5" t="s">
        <v>12288</v>
      </c>
      <c r="C2625" s="5" t="s">
        <v>20121</v>
      </c>
      <c r="D2625" s="5" t="str">
        <v>032355589205</v>
      </c>
      <c r="E2625" s="0" t="e">
        <f>+7 (499) 9952511
+7 (499) 9952543
+7 (800) 2019531
+7 (985) 4250095
+7 (985) 9773330</f>
        <v>#NAME?</v>
      </c>
      <c r="F2625" s="5" t="s">
        <v>33239</v>
      </c>
      <c r="G2625" s="5" t="s">
        <v>33240</v>
      </c>
      <c r="H2625" s="26">
        <v>6.5</v>
      </c>
      <c r="I2625" s="5" t="s">
        <v>33241</v>
      </c>
      <c r="J2625" s="5" t="s">
        <v>33242</v>
      </c>
      <c r="K2625" s="5" t="s">
        <v>344</v>
      </c>
      <c r="L2625" s="5" t="s">
        <v>33243</v>
      </c>
      <c r="M2625" s="27"/>
      <c r="N2625" s="5"/>
      <c r="O2625" s="5" t="str">
        <v>7735153253</v>
      </c>
      <c r="P2625" s="27">
        <v>126448397</v>
      </c>
      <c r="Q2625" s="5"/>
      <c r="R2625" s="5"/>
      <c r="S2625" s="5" t="s">
        <v>49029</v>
      </c>
      <c r="T2625" s="28">
        <v>659586000</v>
      </c>
      <c r="U2625" s="28"/>
      <c r="V2625" s="28">
        <v>919215000</v>
      </c>
      <c r="W2625" s="28">
        <v>85220000</v>
      </c>
      <c r="X2625" s="28">
        <v>218921000</v>
      </c>
      <c r="Y2625" s="28">
        <v>8058722000</v>
      </c>
      <c r="Z2625" s="28">
        <v>404190000</v>
      </c>
      <c r="AA2625" s="28">
        <v>1400200000</v>
      </c>
      <c r="AB2625" s="28">
        <v>1554007000</v>
      </c>
      <c r="AC2625" s="28">
        <v>6073920000</v>
      </c>
      <c r="AD2625" s="28">
        <v>927135000</v>
      </c>
      <c r="AE2625" s="28">
        <v>7116524000</v>
      </c>
      <c r="AF2625" s="28">
        <v>147442000</v>
      </c>
      <c r="AG2625" s="11"/>
    </row>
    <row r="2626">
      <c r="A2626" s="7" t="s">
        <v>4317</v>
      </c>
      <c r="B2626" s="5" t="s">
        <v>12289</v>
      </c>
      <c r="C2626" s="5" t="s">
        <v>20122</v>
      </c>
      <c r="D2626" s="5" t="str">
        <v>381106991384</v>
      </c>
      <c r="E2626" s="0" t="e">
        <f>+7 (3472) 388122
+7 (3472) 388145
+7 (35363) 51176
+7 (381) 2240428
+7 (381) 2293200
+7 (49453) 73359
+7 (495) 2696290
+7 (495) 2699290</f>
        <v>#NAME?</v>
      </c>
      <c r="F2626" s="5" t="s">
        <v>33244</v>
      </c>
      <c r="G2626" s="5" t="s">
        <v>33245</v>
      </c>
      <c r="H2626" s="26">
        <v>17.5</v>
      </c>
      <c r="I2626" s="5" t="s">
        <v>33246</v>
      </c>
      <c r="J2626" s="5" t="s">
        <v>25295</v>
      </c>
      <c r="K2626" s="5" t="s">
        <v>355</v>
      </c>
      <c r="L2626" s="5"/>
      <c r="M2626" s="27">
        <v>6804718</v>
      </c>
      <c r="N2626" s="5" t="s">
        <v>53499</v>
      </c>
      <c r="O2626" s="5" t="str">
        <v>7728549952</v>
      </c>
      <c r="P2626" s="27">
        <v>368000000</v>
      </c>
      <c r="Q2626" s="5" t="s">
        <v>53500</v>
      </c>
      <c r="R2626" s="5"/>
      <c r="S2626" s="5" t="s">
        <v>50328</v>
      </c>
      <c r="T2626" s="28">
        <v>793087000</v>
      </c>
      <c r="U2626" s="28"/>
      <c r="V2626" s="28">
        <v>1634376000</v>
      </c>
      <c r="W2626" s="28"/>
      <c r="X2626" s="28">
        <v>132000</v>
      </c>
      <c r="Y2626" s="28">
        <v>3398765000</v>
      </c>
      <c r="Z2626" s="28">
        <v>-1970923000</v>
      </c>
      <c r="AA2626" s="28">
        <v>51102000</v>
      </c>
      <c r="AB2626" s="28">
        <v>1036981000</v>
      </c>
      <c r="AC2626" s="28">
        <v>3738379000</v>
      </c>
      <c r="AD2626" s="28">
        <v>-571375000</v>
      </c>
      <c r="AE2626" s="28">
        <v>7214808000</v>
      </c>
      <c r="AF2626" s="28">
        <v>-1488637000</v>
      </c>
      <c r="AG2626" s="11"/>
    </row>
    <row r="2627">
      <c r="A2627" s="7" t="s">
        <v>4318</v>
      </c>
      <c r="B2627" s="5" t="s">
        <v>12290</v>
      </c>
      <c r="C2627" s="5" t="s">
        <v>20123</v>
      </c>
      <c r="D2627" s="5" t="str">
        <v>590701016673</v>
      </c>
      <c r="E2627" s="0" t="e">
        <f>+7 (342) 2462660
+7 (342) 2730864
+7 (342) 2730870
+7 (342) 2730894
+7 (342) 2734040
+7 (3422) 195660
+7 (3422) 462062
+7 (3422) 554801
+7 (3422) 580404
+7 (3422) 701099</f>
        <v>#NAME?</v>
      </c>
      <c r="F2627" s="5" t="s">
        <v>33247</v>
      </c>
      <c r="G2627" s="5" t="s">
        <v>33248</v>
      </c>
      <c r="H2627" s="26">
        <v>29.5</v>
      </c>
      <c r="I2627" s="5" t="s">
        <v>33249</v>
      </c>
      <c r="J2627" s="5" t="s">
        <v>678</v>
      </c>
      <c r="K2627" s="5" t="s">
        <v>344</v>
      </c>
      <c r="L2627" s="5" t="s">
        <v>33250</v>
      </c>
      <c r="M2627" s="27">
        <v>1615428</v>
      </c>
      <c r="N2627" s="5" t="s">
        <v>53501</v>
      </c>
      <c r="O2627" s="5" t="str">
        <v>5907005360</v>
      </c>
      <c r="P2627" s="27">
        <v>1010000</v>
      </c>
      <c r="Q2627" s="5" t="s">
        <v>53502</v>
      </c>
      <c r="R2627" s="5"/>
      <c r="S2627" s="5" t="s">
        <v>53503</v>
      </c>
      <c r="T2627" s="28">
        <v>326214000</v>
      </c>
      <c r="U2627" s="28">
        <v>15607000</v>
      </c>
      <c r="V2627" s="28">
        <v>251161000</v>
      </c>
      <c r="W2627" s="28"/>
      <c r="X2627" s="28">
        <v>240141000</v>
      </c>
      <c r="Y2627" s="28">
        <v>1317255000</v>
      </c>
      <c r="Z2627" s="28">
        <v>751062000</v>
      </c>
      <c r="AA2627" s="28"/>
      <c r="AB2627" s="28">
        <v>6130000</v>
      </c>
      <c r="AC2627" s="28">
        <v>358342000</v>
      </c>
      <c r="AD2627" s="28">
        <v>914574000</v>
      </c>
      <c r="AE2627" s="28">
        <v>7038349000</v>
      </c>
      <c r="AF2627" s="28">
        <v>318693000</v>
      </c>
      <c r="AG2627" s="11"/>
    </row>
    <row r="2628">
      <c r="A2628" s="7" t="s">
        <v>4319</v>
      </c>
      <c r="B2628" s="5" t="s">
        <v>12291</v>
      </c>
      <c r="C2628" s="5" t="s">
        <v>20124</v>
      </c>
      <c r="D2628" s="5" t="str">
        <v>773100997596</v>
      </c>
      <c r="E2628" s="0" t="e">
        <f>+7 (495) 9166051
+7 (812) 7770060</f>
        <v>#NAME?</v>
      </c>
      <c r="F2628" s="5" t="s">
        <v>33251</v>
      </c>
      <c r="G2628" s="5" t="s">
        <v>33252</v>
      </c>
      <c r="H2628" s="26">
        <v>24</v>
      </c>
      <c r="I2628" s="5"/>
      <c r="J2628" s="5" t="s">
        <v>26918</v>
      </c>
      <c r="K2628" s="5" t="s">
        <v>344</v>
      </c>
      <c r="L2628" s="5" t="s">
        <v>33253</v>
      </c>
      <c r="M2628" s="27">
        <v>20370</v>
      </c>
      <c r="N2628" s="5" t="s">
        <v>53504</v>
      </c>
      <c r="O2628" s="5" t="str">
        <v>5044024417</v>
      </c>
      <c r="P2628" s="27">
        <v>4560000</v>
      </c>
      <c r="Q2628" s="5" t="s">
        <v>53505</v>
      </c>
      <c r="R2628" s="5"/>
      <c r="S2628" s="5" t="s">
        <v>53506</v>
      </c>
      <c r="T2628" s="28">
        <v>113813000</v>
      </c>
      <c r="U2628" s="28"/>
      <c r="V2628" s="28">
        <v>1704187000</v>
      </c>
      <c r="W2628" s="28">
        <v>489500000</v>
      </c>
      <c r="X2628" s="28">
        <v>720901000</v>
      </c>
      <c r="Y2628" s="28">
        <v>3903944000</v>
      </c>
      <c r="Z2628" s="28">
        <v>2279557000</v>
      </c>
      <c r="AA2628" s="28"/>
      <c r="AB2628" s="28"/>
      <c r="AC2628" s="28">
        <v>1574687000</v>
      </c>
      <c r="AD2628" s="28">
        <v>2284592000</v>
      </c>
      <c r="AE2628" s="28">
        <v>6806386000</v>
      </c>
      <c r="AF2628" s="28">
        <v>770358000</v>
      </c>
      <c r="AG2628" s="11"/>
    </row>
    <row r="2629">
      <c r="A2629" s="7" t="s">
        <v>4320</v>
      </c>
      <c r="B2629" s="5" t="s">
        <v>12292</v>
      </c>
      <c r="C2629" s="5" t="s">
        <v>20125</v>
      </c>
      <c r="D2629" s="5" t="str">
        <v>772585218552</v>
      </c>
      <c r="E2629" s="0" t="e">
        <f>+7 (3652) 548700
+7 (495) 7831130</f>
        <v>#NAME?</v>
      </c>
      <c r="F2629" s="5" t="s">
        <v>33254</v>
      </c>
      <c r="G2629" s="5"/>
      <c r="H2629" s="26">
        <v>13.5</v>
      </c>
      <c r="I2629" s="5" t="s">
        <v>33255</v>
      </c>
      <c r="J2629" s="5" t="s">
        <v>26503</v>
      </c>
      <c r="K2629" s="5" t="s">
        <v>344</v>
      </c>
      <c r="L2629" s="5" t="s">
        <v>33256</v>
      </c>
      <c r="M2629" s="27"/>
      <c r="N2629" s="5"/>
      <c r="O2629" s="5" t="str">
        <v>9109000950</v>
      </c>
      <c r="P2629" s="27">
        <v>95000000</v>
      </c>
      <c r="Q2629" s="5" t="s">
        <v>49319</v>
      </c>
      <c r="R2629" s="5" t="s">
        <v>53507</v>
      </c>
      <c r="S2629" s="5" t="s">
        <v>53508</v>
      </c>
      <c r="T2629" s="28">
        <v>1004665000</v>
      </c>
      <c r="U2629" s="28"/>
      <c r="V2629" s="28">
        <v>1538241000</v>
      </c>
      <c r="W2629" s="28">
        <v>550046000</v>
      </c>
      <c r="X2629" s="28">
        <v>12315000</v>
      </c>
      <c r="Y2629" s="28">
        <v>4184568000</v>
      </c>
      <c r="Z2629" s="28">
        <v>1350991000</v>
      </c>
      <c r="AA2629" s="28"/>
      <c r="AB2629" s="28">
        <v>304259000</v>
      </c>
      <c r="AC2629" s="28">
        <v>2352186000</v>
      </c>
      <c r="AD2629" s="28">
        <v>1720758000</v>
      </c>
      <c r="AE2629" s="28">
        <v>4202929000</v>
      </c>
      <c r="AF2629" s="28">
        <v>471888000</v>
      </c>
      <c r="AG2629" s="11"/>
    </row>
    <row r="2630">
      <c r="A2630" s="7" t="s">
        <v>4321</v>
      </c>
      <c r="B2630" s="5" t="s">
        <v>12293</v>
      </c>
      <c r="C2630" s="5" t="s">
        <v>20126</v>
      </c>
      <c r="D2630" s="5" t="str">
        <v>501902572756</v>
      </c>
      <c r="E2630" s="0" t="e">
        <f>+7 (495) 5266790
+7 (495) 5266799
+7 (496) 6947971
+7 (49669) 47979
+7 (925) 970163
+7 (926) 6007776</f>
        <v>#NAME?</v>
      </c>
      <c r="F2630" s="5" t="s">
        <v>33257</v>
      </c>
      <c r="G2630" s="5" t="s">
        <v>33258</v>
      </c>
      <c r="H2630" s="26">
        <v>15.5</v>
      </c>
      <c r="I2630" s="5" t="s">
        <v>33259</v>
      </c>
      <c r="J2630" s="5" t="s">
        <v>27397</v>
      </c>
      <c r="K2630" s="5" t="s">
        <v>344</v>
      </c>
      <c r="L2630" s="5" t="s">
        <v>33260</v>
      </c>
      <c r="M2630" s="27">
        <v>20603850</v>
      </c>
      <c r="N2630" s="5" t="s">
        <v>53509</v>
      </c>
      <c r="O2630" s="5" t="str">
        <v>2502034127</v>
      </c>
      <c r="P2630" s="27">
        <v>10000</v>
      </c>
      <c r="Q2630" s="5" t="s">
        <v>49009</v>
      </c>
      <c r="R2630" s="5"/>
      <c r="S2630" s="5" t="s">
        <v>49028</v>
      </c>
      <c r="T2630" s="28">
        <v>12491000</v>
      </c>
      <c r="U2630" s="28"/>
      <c r="V2630" s="28">
        <v>507208000</v>
      </c>
      <c r="W2630" s="28"/>
      <c r="X2630" s="28">
        <v>86260000</v>
      </c>
      <c r="Y2630" s="28">
        <v>755650000</v>
      </c>
      <c r="Z2630" s="28">
        <v>190293000</v>
      </c>
      <c r="AA2630" s="28"/>
      <c r="AB2630" s="28"/>
      <c r="AC2630" s="28">
        <v>564173000</v>
      </c>
      <c r="AD2630" s="28">
        <v>190303000</v>
      </c>
      <c r="AE2630" s="28">
        <v>4142783000</v>
      </c>
      <c r="AF2630" s="28">
        <v>247945000</v>
      </c>
      <c r="AG2630" s="11"/>
    </row>
    <row r="2631">
      <c r="A2631" s="7" t="s">
        <v>4322</v>
      </c>
      <c r="B2631" s="5" t="s">
        <v>12294</v>
      </c>
      <c r="C2631" s="5" t="s">
        <v>20127</v>
      </c>
      <c r="D2631" s="5" t="str">
        <v>772802441568</v>
      </c>
      <c r="E2631" s="0" t="e">
        <f>+7 (3472) 753137
+7 (495) 2312863
+7 (495) 2312869
+7 (495) 2340733
+7 (495) 7833964
+7 (499) 2312863
+7 (499) 2312869</f>
        <v>#NAME?</v>
      </c>
      <c r="F2631" s="5"/>
      <c r="G2631" s="5" t="s">
        <v>33261</v>
      </c>
      <c r="H2631" s="26">
        <v>18</v>
      </c>
      <c r="I2631" s="5" t="s">
        <v>33262</v>
      </c>
      <c r="J2631" s="5" t="s">
        <v>26799</v>
      </c>
      <c r="K2631" s="5" t="s">
        <v>344</v>
      </c>
      <c r="L2631" s="5" t="s">
        <v>33263</v>
      </c>
      <c r="M2631" s="27">
        <v>66851</v>
      </c>
      <c r="N2631" s="5" t="s">
        <v>50480</v>
      </c>
      <c r="O2631" s="5" t="str">
        <v>7725778471</v>
      </c>
      <c r="P2631" s="27">
        <v>1564000000</v>
      </c>
      <c r="Q2631" s="5" t="s">
        <v>53510</v>
      </c>
      <c r="R2631" s="5"/>
      <c r="S2631" s="5" t="s">
        <v>53511</v>
      </c>
      <c r="T2631" s="28">
        <v>793709000</v>
      </c>
      <c r="U2631" s="28"/>
      <c r="V2631" s="28">
        <v>1958540000</v>
      </c>
      <c r="W2631" s="28">
        <v>511500000</v>
      </c>
      <c r="X2631" s="28">
        <v>2376000</v>
      </c>
      <c r="Y2631" s="28">
        <v>5096319000</v>
      </c>
      <c r="Z2631" s="28">
        <v>-410694000</v>
      </c>
      <c r="AA2631" s="28">
        <v>1947720000</v>
      </c>
      <c r="AB2631" s="28"/>
      <c r="AC2631" s="28">
        <v>978712000</v>
      </c>
      <c r="AD2631" s="28">
        <v>2067876000</v>
      </c>
      <c r="AE2631" s="28">
        <v>6074577000</v>
      </c>
      <c r="AF2631" s="28">
        <v>329561000</v>
      </c>
      <c r="AG2631" s="11"/>
    </row>
    <row r="2632">
      <c r="A2632" s="7" t="s">
        <v>4323</v>
      </c>
      <c r="B2632" s="5" t="s">
        <v>12295</v>
      </c>
      <c r="C2632" s="5" t="s">
        <v>20128</v>
      </c>
      <c r="D2632" s="5" t="str">
        <v>771372357158</v>
      </c>
      <c r="E2632" s="0" t="e">
        <f>+7 (473) 2219420
+7 (474) 2280310
+7 (474) 2280311
+7 (474) 2280345
+7 (474) 2280367
+7 (474) 2281337
+7 (474) 2281358
+7 (861) 2384750
+7 (861) 2384751
+7 (861) 2384752</f>
        <v>#NAME?</v>
      </c>
      <c r="F2632" s="5" t="s">
        <v>33264</v>
      </c>
      <c r="G2632" s="5" t="s">
        <v>33265</v>
      </c>
      <c r="H2632" s="26">
        <v>24</v>
      </c>
      <c r="I2632" s="5" t="s">
        <v>33266</v>
      </c>
      <c r="J2632" s="5" t="s">
        <v>25805</v>
      </c>
      <c r="K2632" s="5" t="s">
        <v>344</v>
      </c>
      <c r="L2632" s="5"/>
      <c r="M2632" s="27"/>
      <c r="N2632" s="5"/>
      <c r="O2632" s="5" t="str">
        <v>7728179035</v>
      </c>
      <c r="P2632" s="27">
        <v>30000</v>
      </c>
      <c r="Q2632" s="5" t="s">
        <v>49009</v>
      </c>
      <c r="R2632" s="5"/>
      <c r="S2632" s="5" t="s">
        <v>49066</v>
      </c>
      <c r="T2632" s="28">
        <v>261830000</v>
      </c>
      <c r="U2632" s="28">
        <v>5998000</v>
      </c>
      <c r="V2632" s="28">
        <v>3746222000</v>
      </c>
      <c r="W2632" s="28"/>
      <c r="X2632" s="28">
        <v>1131543000</v>
      </c>
      <c r="Y2632" s="28">
        <v>7391593000</v>
      </c>
      <c r="Z2632" s="28">
        <v>-13623000</v>
      </c>
      <c r="AA2632" s="28"/>
      <c r="AB2632" s="28"/>
      <c r="AC2632" s="28">
        <v>6281953000</v>
      </c>
      <c r="AD2632" s="28">
        <v>930663000</v>
      </c>
      <c r="AE2632" s="28">
        <v>9712911000</v>
      </c>
      <c r="AF2632" s="28">
        <v>980214000</v>
      </c>
      <c r="AG2632" s="11"/>
    </row>
    <row r="2633">
      <c r="A2633" s="7" t="s">
        <v>4324</v>
      </c>
      <c r="B2633" s="5" t="s">
        <v>12296</v>
      </c>
      <c r="C2633" s="5" t="s">
        <v>20129</v>
      </c>
      <c r="D2633" s="5" t="str">
        <v>780605641916</v>
      </c>
      <c r="F2633" s="5" t="s">
        <v>33267</v>
      </c>
      <c r="G2633" s="5" t="s">
        <v>33268</v>
      </c>
      <c r="H2633" s="26">
        <v>5</v>
      </c>
      <c r="I2633" s="5" t="s">
        <v>33269</v>
      </c>
      <c r="J2633" s="5" t="s">
        <v>364</v>
      </c>
      <c r="K2633" s="5" t="s">
        <v>344</v>
      </c>
      <c r="L2633" s="5" t="s">
        <v>33270</v>
      </c>
      <c r="M2633" s="27">
        <v>9382444</v>
      </c>
      <c r="N2633" s="5"/>
      <c r="O2633" s="5" t="str">
        <v>7802643016</v>
      </c>
      <c r="P2633" s="27">
        <v>10000</v>
      </c>
      <c r="Q2633" s="5" t="s">
        <v>49009</v>
      </c>
      <c r="R2633" s="5" t="s">
        <v>53512</v>
      </c>
      <c r="S2633" s="5" t="s">
        <v>49066</v>
      </c>
      <c r="T2633" s="28">
        <v>208790000</v>
      </c>
      <c r="U2633" s="28"/>
      <c r="V2633" s="28">
        <v>2546196000</v>
      </c>
      <c r="W2633" s="28">
        <v>396450000</v>
      </c>
      <c r="X2633" s="28">
        <v>112005000</v>
      </c>
      <c r="Y2633" s="28">
        <v>3694260000</v>
      </c>
      <c r="Z2633" s="28">
        <v>1281487000</v>
      </c>
      <c r="AA2633" s="28">
        <v>144970000</v>
      </c>
      <c r="AB2633" s="28">
        <v>5402000</v>
      </c>
      <c r="AC2633" s="28">
        <v>2232981000</v>
      </c>
      <c r="AD2633" s="28">
        <v>1281497000</v>
      </c>
      <c r="AE2633" s="28">
        <v>10881628000</v>
      </c>
      <c r="AF2633" s="28">
        <v>745253000</v>
      </c>
      <c r="AG2633" s="11"/>
    </row>
    <row r="2634">
      <c r="A2634" s="7" t="s">
        <v>4325</v>
      </c>
      <c r="B2634" s="5" t="s">
        <v>12297</v>
      </c>
      <c r="C2634" s="5" t="s">
        <v>20130</v>
      </c>
      <c r="D2634" s="5" t="str">
        <v>381203285419</v>
      </c>
      <c r="E2634" s="0" t="e">
        <f>+7 (499) 9578181
+7 (917) 5819378</f>
        <v>#NAME?</v>
      </c>
      <c r="F2634" s="5" t="s">
        <v>33271</v>
      </c>
      <c r="G2634" s="5"/>
      <c r="H2634" s="26">
        <v>9</v>
      </c>
      <c r="I2634" s="5" t="s">
        <v>33272</v>
      </c>
      <c r="J2634" s="5" t="s">
        <v>373</v>
      </c>
      <c r="K2634" s="5" t="s">
        <v>344</v>
      </c>
      <c r="L2634" s="5" t="s">
        <v>33273</v>
      </c>
      <c r="M2634" s="27">
        <v>400617</v>
      </c>
      <c r="N2634" s="5" t="s">
        <v>50462</v>
      </c>
      <c r="O2634" s="5" t="str">
        <v>7730705253</v>
      </c>
      <c r="P2634" s="27">
        <v>10000</v>
      </c>
      <c r="Q2634" s="5" t="s">
        <v>53513</v>
      </c>
      <c r="R2634" s="5"/>
      <c r="S2634" s="5" t="s">
        <v>53514</v>
      </c>
      <c r="T2634" s="28">
        <v>47906000</v>
      </c>
      <c r="U2634" s="28"/>
      <c r="V2634" s="28">
        <v>737388000</v>
      </c>
      <c r="W2634" s="28"/>
      <c r="X2634" s="28">
        <v>102908000</v>
      </c>
      <c r="Y2634" s="28">
        <v>896315000</v>
      </c>
      <c r="Z2634" s="28">
        <v>548999000</v>
      </c>
      <c r="AA2634" s="28"/>
      <c r="AB2634" s="28">
        <v>188900000</v>
      </c>
      <c r="AC2634" s="28">
        <v>329710000</v>
      </c>
      <c r="AD2634" s="28">
        <v>549009000</v>
      </c>
      <c r="AE2634" s="28">
        <v>12020958000</v>
      </c>
      <c r="AF2634" s="28">
        <v>2771896000</v>
      </c>
      <c r="AG2634" s="11"/>
    </row>
    <row r="2635">
      <c r="A2635" s="7" t="s">
        <v>4326</v>
      </c>
      <c r="B2635" s="5" t="s">
        <v>12298</v>
      </c>
      <c r="C2635" s="5" t="s">
        <v>20131</v>
      </c>
      <c r="D2635" s="5" t="str">
        <v>471902143734</v>
      </c>
      <c r="E2635" s="0" t="e">
        <f>+7 (800) 2507926
+7 (921) 5981311
+7 (35168) 55880
+7 (495) 6496388
+7 (812) 3477926
+7 (812) 4493708
+7 (84536) 24790
+7 (929) 2075228</f>
        <v>#NAME?</v>
      </c>
      <c r="F2635" s="5" t="s">
        <v>33274</v>
      </c>
      <c r="G2635" s="5" t="s">
        <v>33275</v>
      </c>
      <c r="H2635" s="26">
        <v>17</v>
      </c>
      <c r="I2635" s="5" t="s">
        <v>33276</v>
      </c>
      <c r="J2635" s="5" t="s">
        <v>26394</v>
      </c>
      <c r="K2635" s="5" t="s">
        <v>344</v>
      </c>
      <c r="L2635" s="5" t="s">
        <v>33277</v>
      </c>
      <c r="M2635" s="27"/>
      <c r="N2635" s="5"/>
      <c r="O2635" s="5" t="str">
        <v>7816377614</v>
      </c>
      <c r="P2635" s="27">
        <v>4410000</v>
      </c>
      <c r="Q2635" s="5"/>
      <c r="R2635" s="5"/>
      <c r="S2635" s="5" t="s">
        <v>49029</v>
      </c>
      <c r="T2635" s="28">
        <v>639983000</v>
      </c>
      <c r="U2635" s="28"/>
      <c r="V2635" s="28">
        <v>945819000</v>
      </c>
      <c r="W2635" s="28"/>
      <c r="X2635" s="28">
        <v>996000</v>
      </c>
      <c r="Y2635" s="28">
        <v>2135655000</v>
      </c>
      <c r="Z2635" s="28">
        <v>1251638000</v>
      </c>
      <c r="AA2635" s="28"/>
      <c r="AB2635" s="28"/>
      <c r="AC2635" s="28">
        <v>376108000</v>
      </c>
      <c r="AD2635" s="28">
        <v>1269132000</v>
      </c>
      <c r="AE2635" s="28">
        <v>4898117000</v>
      </c>
      <c r="AF2635" s="28">
        <v>860204000</v>
      </c>
      <c r="AG2635" s="11"/>
    </row>
    <row r="2636">
      <c r="A2636" s="7" t="s">
        <v>4327</v>
      </c>
      <c r="B2636" s="5" t="s">
        <v>12299</v>
      </c>
      <c r="C2636" s="5" t="s">
        <v>20132</v>
      </c>
      <c r="D2636" s="5" t="str">
        <v>667473576503</v>
      </c>
      <c r="E2636" s="0" t="e">
        <f>+7 (3522) 425022
+7 (3522) 454376
+7 (3522) 458568
+7 (3522) 487562
+7 (3522) 608139
+7 (3522) 608148
+7 (3522) 608149
+7 (3522) 250463
+7 (3522) 449345
+7 (3522) 489357
+7 (3522) 489359
+7 (3522) 608141
+7 (3522) 608143
+7 (3522) 608144
+7 (3522) 608145</f>
        <v>#NAME?</v>
      </c>
      <c r="F2636" s="5" t="s">
        <v>33278</v>
      </c>
      <c r="G2636" s="5"/>
      <c r="H2636" s="26">
        <v>16.5</v>
      </c>
      <c r="I2636" s="5" t="s">
        <v>33279</v>
      </c>
      <c r="J2636" s="5" t="s">
        <v>25295</v>
      </c>
      <c r="K2636" s="5" t="s">
        <v>344</v>
      </c>
      <c r="L2636" s="5"/>
      <c r="M2636" s="27">
        <v>12486365</v>
      </c>
      <c r="N2636" s="5" t="s">
        <v>53515</v>
      </c>
      <c r="O2636" s="5" t="str">
        <v>4501122913</v>
      </c>
      <c r="P2636" s="27">
        <v>985294498</v>
      </c>
      <c r="Q2636" s="5" t="s">
        <v>53516</v>
      </c>
      <c r="R2636" s="5"/>
      <c r="S2636" s="5" t="s">
        <v>49288</v>
      </c>
      <c r="T2636" s="28">
        <v>7782147000</v>
      </c>
      <c r="U2636" s="28">
        <v>851254000</v>
      </c>
      <c r="V2636" s="28">
        <v>3188190000</v>
      </c>
      <c r="W2636" s="28">
        <v>27459000</v>
      </c>
      <c r="X2636" s="28">
        <v>42932000</v>
      </c>
      <c r="Y2636" s="28">
        <v>14922208000</v>
      </c>
      <c r="Z2636" s="28">
        <v>4014034000</v>
      </c>
      <c r="AA2636" s="28">
        <v>421000</v>
      </c>
      <c r="AB2636" s="28">
        <v>1602483000</v>
      </c>
      <c r="AC2636" s="28">
        <v>3860700000</v>
      </c>
      <c r="AD2636" s="28">
        <v>6865821000</v>
      </c>
      <c r="AE2636" s="28">
        <v>7556576000</v>
      </c>
      <c r="AF2636" s="28">
        <v>302012000</v>
      </c>
      <c r="AG2636" s="11"/>
    </row>
    <row r="2637">
      <c r="A2637" s="7" t="s">
        <v>4328</v>
      </c>
      <c r="B2637" s="5" t="s">
        <v>12300</v>
      </c>
      <c r="C2637" s="5" t="s">
        <v>20133</v>
      </c>
      <c r="D2637" s="5" t="str">
        <v>027713146833</v>
      </c>
      <c r="E2637" s="0" t="e">
        <f>+7 (917) 4130275
+7 (917) 4943165
+7 (3472) 269397
+7 (3472) 269683
+7 (917) 7720524
+7 (927) 2395318
+7 (927) 2395371
+7 (987) 394910
+7 (987) 1005338
+7 (987) 2530304
+7 (987) 6297556</f>
        <v>#NAME?</v>
      </c>
      <c r="F2637" s="5" t="s">
        <v>33280</v>
      </c>
      <c r="G2637" s="5"/>
      <c r="H2637" s="26">
        <v>14</v>
      </c>
      <c r="I2637" s="5" t="s">
        <v>33281</v>
      </c>
      <c r="J2637" s="5" t="s">
        <v>373</v>
      </c>
      <c r="K2637" s="5" t="s">
        <v>380</v>
      </c>
      <c r="L2637" s="5" t="s">
        <v>33282</v>
      </c>
      <c r="M2637" s="27">
        <v>230451</v>
      </c>
      <c r="N2637" s="5" t="s">
        <v>53517</v>
      </c>
      <c r="O2637" s="5" t="str">
        <v>0274136317</v>
      </c>
      <c r="P2637" s="27">
        <v>1000000</v>
      </c>
      <c r="Q2637" s="5" t="s">
        <v>53518</v>
      </c>
      <c r="R2637" s="5"/>
      <c r="S2637" s="5" t="s">
        <v>53519</v>
      </c>
      <c r="T2637" s="28">
        <v>208451000</v>
      </c>
      <c r="U2637" s="28"/>
      <c r="V2637" s="28">
        <v>2631779000</v>
      </c>
      <c r="W2637" s="28"/>
      <c r="X2637" s="28">
        <v>209000</v>
      </c>
      <c r="Y2637" s="28">
        <v>3225162000</v>
      </c>
      <c r="Z2637" s="28">
        <v>191855000</v>
      </c>
      <c r="AA2637" s="28"/>
      <c r="AB2637" s="28">
        <v>2166775000</v>
      </c>
      <c r="AC2637" s="28">
        <v>3025943000</v>
      </c>
      <c r="AD2637" s="28">
        <v>192855000</v>
      </c>
      <c r="AE2637" s="28">
        <v>25554317000</v>
      </c>
      <c r="AF2637" s="28">
        <v>44063000</v>
      </c>
      <c r="AG2637" s="11"/>
    </row>
    <row r="2638">
      <c r="A2638" s="7" t="s">
        <v>4329</v>
      </c>
      <c r="B2638" s="5" t="s">
        <v>12301</v>
      </c>
      <c r="C2638" s="5" t="s">
        <v>20134</v>
      </c>
      <c r="D2638" s="5" t="str">
        <v>701722822716</v>
      </c>
      <c r="E2638" s="0" t="e">
        <f>+7 (382) 2691009
+7 (382) 2657943
+7 (382) 2901761
+7 (47340) 52145
+7 (800) 2000538</f>
        <v>#NAME?</v>
      </c>
      <c r="F2638" s="5"/>
      <c r="G2638" s="5"/>
      <c r="H2638" s="26">
        <v>11.5</v>
      </c>
      <c r="I2638" s="5" t="s">
        <v>30269</v>
      </c>
      <c r="J2638" s="5" t="s">
        <v>29202</v>
      </c>
      <c r="K2638" s="5" t="s">
        <v>344</v>
      </c>
      <c r="L2638" s="5"/>
      <c r="M2638" s="27"/>
      <c r="N2638" s="5"/>
      <c r="O2638" s="5" t="str">
        <v>7017286512</v>
      </c>
      <c r="P2638" s="27">
        <v>10000</v>
      </c>
      <c r="Q2638" s="5" t="s">
        <v>49059</v>
      </c>
      <c r="R2638" s="5"/>
      <c r="S2638" s="5" t="s">
        <v>49066</v>
      </c>
      <c r="T2638" s="28">
        <v>14034648000</v>
      </c>
      <c r="U2638" s="28"/>
      <c r="V2638" s="28">
        <v>8077297000</v>
      </c>
      <c r="W2638" s="28">
        <v>7571624000</v>
      </c>
      <c r="X2638" s="28">
        <v>2479000</v>
      </c>
      <c r="Y2638" s="28">
        <v>38777300000</v>
      </c>
      <c r="Z2638" s="28">
        <v>1435718000</v>
      </c>
      <c r="AA2638" s="28">
        <v>8715164000</v>
      </c>
      <c r="AB2638" s="28">
        <v>18299459000</v>
      </c>
      <c r="AC2638" s="28">
        <v>28387241000</v>
      </c>
      <c r="AD2638" s="28">
        <v>1435728000</v>
      </c>
      <c r="AE2638" s="28">
        <v>38875913000</v>
      </c>
      <c r="AF2638" s="28">
        <v>529864000</v>
      </c>
      <c r="AG2638" s="11"/>
    </row>
    <row r="2639">
      <c r="A2639" s="7" t="s">
        <v>4330</v>
      </c>
      <c r="B2639" s="5" t="s">
        <v>12222</v>
      </c>
      <c r="C2639" s="5" t="s">
        <v>20135</v>
      </c>
      <c r="D2639" s="5" t="str">
        <v>701747590094</v>
      </c>
      <c r="E2639" s="0" t="e">
        <f>+7 (383) 3442494
+7 (382) 2706578
+7 (800) 2505381</f>
        <v>#NAME?</v>
      </c>
      <c r="F2639" s="5"/>
      <c r="G2639" s="5" t="s">
        <v>33283</v>
      </c>
      <c r="H2639" s="26">
        <v>19</v>
      </c>
      <c r="I2639" s="5" t="s">
        <v>33284</v>
      </c>
      <c r="J2639" s="5" t="s">
        <v>26846</v>
      </c>
      <c r="K2639" s="5" t="s">
        <v>344</v>
      </c>
      <c r="L2639" s="5"/>
      <c r="M2639" s="27"/>
      <c r="N2639" s="5" t="s">
        <v>53520</v>
      </c>
      <c r="O2639" s="5" t="str">
        <v>7017094419</v>
      </c>
      <c r="P2639" s="27">
        <v>1000000</v>
      </c>
      <c r="Q2639" s="5" t="s">
        <v>53521</v>
      </c>
      <c r="R2639" s="5"/>
      <c r="S2639" s="5" t="s">
        <v>53522</v>
      </c>
      <c r="T2639" s="28">
        <v>2938831000</v>
      </c>
      <c r="U2639" s="28">
        <v>9980236000</v>
      </c>
      <c r="V2639" s="28">
        <v>35816314000</v>
      </c>
      <c r="W2639" s="28">
        <v>40334972000</v>
      </c>
      <c r="X2639" s="28">
        <v>6047000</v>
      </c>
      <c r="Y2639" s="28">
        <v>102674185000</v>
      </c>
      <c r="Z2639" s="28">
        <v>2892432000</v>
      </c>
      <c r="AA2639" s="28">
        <v>35739366000</v>
      </c>
      <c r="AB2639" s="28">
        <v>32256374000</v>
      </c>
      <c r="AC2639" s="28">
        <v>61767398000</v>
      </c>
      <c r="AD2639" s="28">
        <v>2893432000</v>
      </c>
      <c r="AE2639" s="28">
        <v>213119782000</v>
      </c>
      <c r="AF2639" s="28">
        <v>4620525000</v>
      </c>
      <c r="AG2639" s="11"/>
    </row>
    <row r="2640">
      <c r="A2640" s="7" t="s">
        <v>4331</v>
      </c>
      <c r="B2640" s="5" t="s">
        <v>12302</v>
      </c>
      <c r="C2640" s="5" t="s">
        <v>20136</v>
      </c>
      <c r="D2640" s="5" t="str">
        <v>701707376070</v>
      </c>
      <c r="E2640" s="0" t="e">
        <f>+7 (86147) 29998
+7 (905) 4729998</f>
        <v>#NAME?</v>
      </c>
      <c r="F2640" s="5"/>
      <c r="G2640" s="5"/>
      <c r="H2640" s="26">
        <v>15.5</v>
      </c>
      <c r="I2640" s="5" t="s">
        <v>33285</v>
      </c>
      <c r="J2640" s="5" t="s">
        <v>26959</v>
      </c>
      <c r="K2640" s="5" t="s">
        <v>344</v>
      </c>
      <c r="L2640" s="5" t="s">
        <v>33286</v>
      </c>
      <c r="M2640" s="27"/>
      <c r="N2640" s="5"/>
      <c r="O2640" s="5" t="str">
        <v>2326008425</v>
      </c>
      <c r="P2640" s="27">
        <v>100000</v>
      </c>
      <c r="Q2640" s="5" t="s">
        <v>49059</v>
      </c>
      <c r="R2640" s="5"/>
      <c r="S2640" s="5" t="s">
        <v>49028</v>
      </c>
      <c r="T2640" s="28">
        <v>832362000</v>
      </c>
      <c r="U2640" s="28"/>
      <c r="V2640" s="28">
        <v>407472000</v>
      </c>
      <c r="W2640" s="28"/>
      <c r="X2640" s="28">
        <v>81000</v>
      </c>
      <c r="Y2640" s="28">
        <v>2516582000</v>
      </c>
      <c r="Z2640" s="28">
        <v>170654000</v>
      </c>
      <c r="AA2640" s="28"/>
      <c r="AB2640" s="28">
        <v>1975141000</v>
      </c>
      <c r="AC2640" s="28">
        <v>2212709000</v>
      </c>
      <c r="AD2640" s="28">
        <v>170754000</v>
      </c>
      <c r="AE2640" s="28">
        <v>5976252000</v>
      </c>
      <c r="AF2640" s="28">
        <v>56536000</v>
      </c>
      <c r="AG2640" s="11"/>
    </row>
    <row r="2641">
      <c r="A2641" s="7" t="s">
        <v>4332</v>
      </c>
      <c r="B2641" s="5" t="s">
        <v>12303</v>
      </c>
      <c r="C2641" s="5" t="s">
        <v>20137</v>
      </c>
      <c r="D2641" s="5" t="str">
        <v>245505969728</v>
      </c>
      <c r="E2641" s="0" t="e">
        <f>+7 (39132) 21987
+7 (39132) 25926
+7 (39132) 25940
+7 (39132) 25960
+7 (39132) 25970
+7 (39132) 39132
+7 (39132) 51778
+7 (923) 4041056</f>
        <v>#NAME?</v>
      </c>
      <c r="F2641" s="5" t="s">
        <v>33287</v>
      </c>
      <c r="G2641" s="5"/>
      <c r="H2641" s="26">
        <v>23</v>
      </c>
      <c r="I2641" s="5" t="s">
        <v>33288</v>
      </c>
      <c r="J2641" s="5" t="s">
        <v>26410</v>
      </c>
      <c r="K2641" s="5" t="s">
        <v>344</v>
      </c>
      <c r="L2641" s="5" t="s">
        <v>27633</v>
      </c>
      <c r="M2641" s="27"/>
      <c r="N2641" s="5"/>
      <c r="O2641" s="5" t="str">
        <v>2455024746</v>
      </c>
      <c r="P2641" s="27">
        <v>230000000</v>
      </c>
      <c r="Q2641" s="5"/>
      <c r="R2641" s="5"/>
      <c r="S2641" s="5" t="s">
        <v>49029</v>
      </c>
      <c r="T2641" s="28">
        <v>264037000</v>
      </c>
      <c r="U2641" s="28"/>
      <c r="V2641" s="28">
        <v>232445000</v>
      </c>
      <c r="W2641" s="28">
        <v>12722000</v>
      </c>
      <c r="X2641" s="28">
        <v>45000</v>
      </c>
      <c r="Y2641" s="28">
        <v>744506000</v>
      </c>
      <c r="Z2641" s="28">
        <v>132587000</v>
      </c>
      <c r="AA2641" s="28"/>
      <c r="AB2641" s="28"/>
      <c r="AC2641" s="28">
        <v>356260000</v>
      </c>
      <c r="AD2641" s="28">
        <v>363004000</v>
      </c>
      <c r="AE2641" s="28">
        <v>4028657000</v>
      </c>
      <c r="AF2641" s="28">
        <v>45717000</v>
      </c>
      <c r="AG2641" s="11"/>
    </row>
    <row r="2642">
      <c r="A2642" s="7" t="s">
        <v>4333</v>
      </c>
      <c r="B2642" s="5" t="s">
        <v>12304</v>
      </c>
      <c r="C2642" s="5" t="s">
        <v>20138</v>
      </c>
      <c r="D2642" s="5" t="str">
        <v>662305409621</v>
      </c>
      <c r="E2642" s="0" t="e">
        <f>+7 (343) 5377071
+7 (3435) 242356</f>
        <v>#NAME?</v>
      </c>
      <c r="F2642" s="5" t="s">
        <v>33289</v>
      </c>
      <c r="G2642" s="5"/>
      <c r="H2642" s="26">
        <v>17</v>
      </c>
      <c r="I2642" s="5" t="s">
        <v>33290</v>
      </c>
      <c r="J2642" s="5" t="s">
        <v>25287</v>
      </c>
      <c r="K2642" s="5" t="s">
        <v>344</v>
      </c>
      <c r="L2642" s="5"/>
      <c r="M2642" s="27"/>
      <c r="N2642" s="5"/>
      <c r="O2642" s="5" t="str">
        <v>6623029231</v>
      </c>
      <c r="P2642" s="27">
        <v>150000000</v>
      </c>
      <c r="Q2642" s="5" t="s">
        <v>49009</v>
      </c>
      <c r="R2642" s="5"/>
      <c r="S2642" s="5" t="s">
        <v>49066</v>
      </c>
      <c r="T2642" s="28">
        <v>864684000</v>
      </c>
      <c r="U2642" s="28"/>
      <c r="V2642" s="28">
        <v>853287000</v>
      </c>
      <c r="W2642" s="28">
        <v>6500000000</v>
      </c>
      <c r="X2642" s="28">
        <v>38000</v>
      </c>
      <c r="Y2642" s="28">
        <v>8527981000</v>
      </c>
      <c r="Z2642" s="28">
        <v>829337000</v>
      </c>
      <c r="AA2642" s="28"/>
      <c r="AB2642" s="28">
        <v>6779784000</v>
      </c>
      <c r="AC2642" s="28">
        <v>7474349000</v>
      </c>
      <c r="AD2642" s="28">
        <v>979337000</v>
      </c>
      <c r="AE2642" s="28">
        <v>6783475000</v>
      </c>
      <c r="AF2642" s="28">
        <v>481605000</v>
      </c>
      <c r="AG2642" s="11"/>
    </row>
    <row r="2643">
      <c r="A2643" s="7" t="s">
        <v>4334</v>
      </c>
      <c r="B2643" s="5" t="s">
        <v>12305</v>
      </c>
      <c r="C2643" s="5" t="s">
        <v>20139</v>
      </c>
      <c r="D2643" s="5" t="str">
        <v>540624587607</v>
      </c>
      <c r="E2643" s="0" t="e">
        <f>+7 (383) 2749893
+7 (383) 2749898</f>
        <v>#NAME?</v>
      </c>
      <c r="F2643" s="5" t="s">
        <v>33291</v>
      </c>
      <c r="G2643" s="5"/>
      <c r="H2643" s="26">
        <v>16.5</v>
      </c>
      <c r="I2643" s="5" t="s">
        <v>33292</v>
      </c>
      <c r="J2643" s="5" t="s">
        <v>33293</v>
      </c>
      <c r="K2643" s="5" t="s">
        <v>344</v>
      </c>
      <c r="L2643" s="5" t="s">
        <v>33294</v>
      </c>
      <c r="M2643" s="27"/>
      <c r="N2643" s="5"/>
      <c r="O2643" s="5" t="str">
        <v>5402468616</v>
      </c>
      <c r="P2643" s="27">
        <v>101000000</v>
      </c>
      <c r="Q2643" s="5" t="s">
        <v>49059</v>
      </c>
      <c r="R2643" s="5"/>
      <c r="S2643" s="5" t="s">
        <v>49029</v>
      </c>
      <c r="T2643" s="28">
        <v>888265000</v>
      </c>
      <c r="U2643" s="28"/>
      <c r="V2643" s="28">
        <v>322429000</v>
      </c>
      <c r="W2643" s="28"/>
      <c r="X2643" s="28">
        <v>117000</v>
      </c>
      <c r="Y2643" s="28">
        <v>1932630000</v>
      </c>
      <c r="Z2643" s="28">
        <v>312516000</v>
      </c>
      <c r="AA2643" s="28">
        <v>270327000</v>
      </c>
      <c r="AB2643" s="28">
        <v>746461000</v>
      </c>
      <c r="AC2643" s="28">
        <v>1220949000</v>
      </c>
      <c r="AD2643" s="28">
        <v>413516000</v>
      </c>
      <c r="AE2643" s="28">
        <v>3636846000</v>
      </c>
      <c r="AF2643" s="28">
        <v>188211000</v>
      </c>
      <c r="AG2643" s="11"/>
    </row>
    <row r="2644">
      <c r="A2644" s="7" t="s">
        <v>4335</v>
      </c>
      <c r="B2644" s="5" t="s">
        <v>12306</v>
      </c>
      <c r="C2644" s="5" t="s">
        <v>20140</v>
      </c>
      <c r="D2644" s="5" t="str">
        <v>503505108284</v>
      </c>
      <c r="E2644" s="0" t="e">
        <f>+7 (49643) 22011
+7 (49643) 24168
+7 (49643) 55671
+7 (49643) 55688
+7 (49643) 90859</f>
        <v>#NAME?</v>
      </c>
      <c r="F2644" s="5"/>
      <c r="G2644" s="5"/>
      <c r="H2644" s="26">
        <v>24</v>
      </c>
      <c r="I2644" s="5"/>
      <c r="J2644" s="5" t="s">
        <v>26410</v>
      </c>
      <c r="K2644" s="5" t="s">
        <v>355</v>
      </c>
      <c r="L2644" s="5"/>
      <c r="M2644" s="27">
        <v>5000000</v>
      </c>
      <c r="N2644" s="5"/>
      <c r="O2644" s="5" t="str">
        <v>5035018343</v>
      </c>
      <c r="P2644" s="27">
        <v>8100000</v>
      </c>
      <c r="Q2644" s="5" t="s">
        <v>49059</v>
      </c>
      <c r="R2644" s="5"/>
      <c r="S2644" s="5" t="s">
        <v>49029</v>
      </c>
      <c r="T2644" s="28">
        <v>2763094000</v>
      </c>
      <c r="U2644" s="28">
        <v>101000</v>
      </c>
      <c r="V2644" s="28">
        <v>335264000</v>
      </c>
      <c r="W2644" s="28"/>
      <c r="X2644" s="28">
        <v>44000</v>
      </c>
      <c r="Y2644" s="28">
        <v>5549558000</v>
      </c>
      <c r="Z2644" s="28">
        <v>447303000</v>
      </c>
      <c r="AA2644" s="28">
        <v>846862000</v>
      </c>
      <c r="AB2644" s="28">
        <v>1187289000</v>
      </c>
      <c r="AC2644" s="28">
        <v>4052896000</v>
      </c>
      <c r="AD2644" s="28">
        <v>455403000</v>
      </c>
      <c r="AE2644" s="28">
        <v>12678752000</v>
      </c>
      <c r="AF2644" s="28">
        <v>50022000</v>
      </c>
      <c r="AG2644" s="11"/>
    </row>
    <row r="2645">
      <c r="A2645" s="7" t="s">
        <v>4336</v>
      </c>
      <c r="B2645" s="5" t="s">
        <v>12307</v>
      </c>
      <c r="C2645" s="5" t="s">
        <v>20138</v>
      </c>
      <c r="D2645" s="5" t="str">
        <v>662305409621</v>
      </c>
      <c r="F2645" s="5"/>
      <c r="G2645" s="5" t="s">
        <v>33295</v>
      </c>
      <c r="H2645" s="26">
        <v>1.5</v>
      </c>
      <c r="I2645" s="5" t="s">
        <v>33296</v>
      </c>
      <c r="J2645" s="5" t="s">
        <v>33297</v>
      </c>
      <c r="K2645" s="5" t="s">
        <v>344</v>
      </c>
      <c r="L2645" s="5"/>
      <c r="M2645" s="27"/>
      <c r="N2645" s="5"/>
      <c r="O2645" s="5" t="str">
        <v>7100011626</v>
      </c>
      <c r="P2645" s="27">
        <v>20000</v>
      </c>
      <c r="Q2645" s="5"/>
      <c r="R2645" s="5"/>
      <c r="S2645" s="5" t="s">
        <v>49029</v>
      </c>
      <c r="T2645" s="28">
        <v>373737000</v>
      </c>
      <c r="U2645" s="28"/>
      <c r="V2645" s="28">
        <v>549162000</v>
      </c>
      <c r="W2645" s="28"/>
      <c r="X2645" s="28">
        <v>7409000</v>
      </c>
      <c r="Y2645" s="28">
        <v>2257675000</v>
      </c>
      <c r="Z2645" s="28">
        <v>44017000</v>
      </c>
      <c r="AA2645" s="28">
        <v>1367046000</v>
      </c>
      <c r="AB2645" s="28">
        <v>38770000</v>
      </c>
      <c r="AC2645" s="28">
        <v>598983000</v>
      </c>
      <c r="AD2645" s="28">
        <v>44037000</v>
      </c>
      <c r="AE2645" s="28">
        <v>3985870000</v>
      </c>
      <c r="AF2645" s="28">
        <v>47811000</v>
      </c>
      <c r="AG2645" s="11"/>
    </row>
    <row r="2646">
      <c r="A2646" s="7" t="s">
        <v>4337</v>
      </c>
      <c r="B2646" s="5" t="s">
        <v>12308</v>
      </c>
      <c r="C2646" s="5" t="s">
        <v>20141</v>
      </c>
      <c r="D2646" s="5" t="str">
        <v>424700855556</v>
      </c>
      <c r="E2646" s="0" t="e">
        <f>+7 (38455) 52454
+7 (38455) 52734
+7 (384) 2484020
+7 (38455) 51469
+7 (38455) 52704
+7 (38455) 52752
+7 (38455) 52787
+7 (415) 2431620
+7 (474) 2424363
+7 (495) 1090049
+7 (495) 2321545
+7 (495) 2583947
+7 (495) 2830023
+7 (495) 6044799
+7 (495) 6653383</f>
        <v>#NAME?</v>
      </c>
      <c r="F2646" s="5" t="s">
        <v>33298</v>
      </c>
      <c r="G2646" s="5"/>
      <c r="H2646" s="26">
        <v>28.5</v>
      </c>
      <c r="I2646" s="5" t="s">
        <v>33299</v>
      </c>
      <c r="J2646" s="5" t="s">
        <v>26410</v>
      </c>
      <c r="K2646" s="5" t="s">
        <v>355</v>
      </c>
      <c r="L2646" s="5"/>
      <c r="M2646" s="27">
        <v>22457020</v>
      </c>
      <c r="N2646" s="5"/>
      <c r="O2646" s="5" t="str">
        <v>4246006730</v>
      </c>
      <c r="P2646" s="27">
        <v>600000000</v>
      </c>
      <c r="Q2646" s="5" t="s">
        <v>49059</v>
      </c>
      <c r="R2646" s="5"/>
      <c r="S2646" s="5" t="s">
        <v>49576</v>
      </c>
      <c r="T2646" s="28">
        <v>4297943000</v>
      </c>
      <c r="U2646" s="28">
        <v>6000000000</v>
      </c>
      <c r="V2646" s="28">
        <v>4941539000</v>
      </c>
      <c r="W2646" s="28"/>
      <c r="X2646" s="28">
        <v>90000</v>
      </c>
      <c r="Y2646" s="28">
        <v>17964993000</v>
      </c>
      <c r="Z2646" s="28">
        <v>793166000</v>
      </c>
      <c r="AA2646" s="28">
        <v>7166308000</v>
      </c>
      <c r="AB2646" s="28">
        <v>2353213000</v>
      </c>
      <c r="AC2646" s="28">
        <v>9037177000</v>
      </c>
      <c r="AD2646" s="28">
        <v>1393166000</v>
      </c>
      <c r="AE2646" s="28">
        <v>19436908000</v>
      </c>
      <c r="AF2646" s="28">
        <v>172482000</v>
      </c>
      <c r="AG2646" s="11"/>
    </row>
    <row r="2647">
      <c r="A2647" s="7" t="s">
        <v>4338</v>
      </c>
      <c r="B2647" s="5" t="s">
        <v>12309</v>
      </c>
      <c r="C2647" s="5" t="s">
        <v>20142</v>
      </c>
      <c r="D2647" s="5" t="str">
        <v>781910068813</v>
      </c>
      <c r="E2647" s="0" t="e">
        <f>+7 (3435) 348952
+7 (383) 3195756
+7 (495) 6400064
+7 (495) 6401060
+7 (915) 3607093
+7 (926) 3003522
+7 (495) 6400533
+7 (495) 6406640</f>
        <v>#NAME?</v>
      </c>
      <c r="F2647" s="5" t="s">
        <v>33300</v>
      </c>
      <c r="G2647" s="5" t="s">
        <v>33301</v>
      </c>
      <c r="H2647" s="26">
        <v>18.5</v>
      </c>
      <c r="I2647" s="5" t="s">
        <v>33302</v>
      </c>
      <c r="J2647" s="5" t="s">
        <v>32400</v>
      </c>
      <c r="K2647" s="5" t="s">
        <v>344</v>
      </c>
      <c r="L2647" s="5" t="s">
        <v>33303</v>
      </c>
      <c r="M2647" s="27"/>
      <c r="N2647" s="5" t="s">
        <v>53523</v>
      </c>
      <c r="O2647" s="5" t="str">
        <v>5009046778</v>
      </c>
      <c r="P2647" s="27">
        <v>100000</v>
      </c>
      <c r="Q2647" s="5" t="s">
        <v>53525</v>
      </c>
      <c r="R2647" s="5"/>
      <c r="S2647" s="5" t="s">
        <v>53526</v>
      </c>
      <c r="T2647" s="28">
        <v>1294408000</v>
      </c>
      <c r="U2647" s="28">
        <v>3326000</v>
      </c>
      <c r="V2647" s="28">
        <v>620189000</v>
      </c>
      <c r="W2647" s="28"/>
      <c r="X2647" s="28">
        <v>36136000</v>
      </c>
      <c r="Y2647" s="28">
        <v>2282865000</v>
      </c>
      <c r="Z2647" s="28">
        <v>66571000</v>
      </c>
      <c r="AA2647" s="28"/>
      <c r="AB2647" s="28"/>
      <c r="AC2647" s="28">
        <v>1013173000</v>
      </c>
      <c r="AD2647" s="28">
        <v>66929000</v>
      </c>
      <c r="AE2647" s="28">
        <v>8766625000</v>
      </c>
      <c r="AF2647" s="28">
        <v>515417000</v>
      </c>
      <c r="AG2647" s="11"/>
    </row>
    <row r="2648">
      <c r="A2648" s="7" t="s">
        <v>4339</v>
      </c>
      <c r="B2648" s="5" t="s">
        <v>12310</v>
      </c>
      <c r="C2648" s="5" t="s">
        <v>20143</v>
      </c>
      <c r="D2648" s="5" t="str">
        <v>505003012303</v>
      </c>
      <c r="E2648" s="0" t="e">
        <f>+7 (495) 1060191
+7 (495) 6400640
+7 (495) 6513333</f>
        <v>#NAME?</v>
      </c>
      <c r="F2648" s="5" t="s">
        <v>33304</v>
      </c>
      <c r="G2648" s="5" t="s">
        <v>33305</v>
      </c>
      <c r="H2648" s="26">
        <v>19</v>
      </c>
      <c r="I2648" s="5" t="s">
        <v>33306</v>
      </c>
      <c r="J2648" s="5" t="s">
        <v>32400</v>
      </c>
      <c r="K2648" s="5" t="s">
        <v>355</v>
      </c>
      <c r="L2648" s="5"/>
      <c r="M2648" s="27"/>
      <c r="N2648" s="5"/>
      <c r="O2648" s="5" t="str">
        <v>7842009783</v>
      </c>
      <c r="P2648" s="27">
        <v>83400000</v>
      </c>
      <c r="Q2648" s="5" t="s">
        <v>49009</v>
      </c>
      <c r="R2648" s="5"/>
      <c r="S2648" s="5" t="s">
        <v>49045</v>
      </c>
      <c r="T2648" s="28">
        <v>299917000</v>
      </c>
      <c r="U2648" s="28">
        <v>36000</v>
      </c>
      <c r="V2648" s="28">
        <v>254557000</v>
      </c>
      <c r="W2648" s="28"/>
      <c r="X2648" s="28">
        <v>351000</v>
      </c>
      <c r="Y2648" s="28">
        <v>1014238000</v>
      </c>
      <c r="Z2648" s="28">
        <v>12937000</v>
      </c>
      <c r="AA2648" s="28"/>
      <c r="AB2648" s="28"/>
      <c r="AC2648" s="28">
        <v>782788000</v>
      </c>
      <c r="AD2648" s="28">
        <v>96337000</v>
      </c>
      <c r="AE2648" s="28">
        <v>3005545000</v>
      </c>
      <c r="AF2648" s="28">
        <v>-8552000</v>
      </c>
      <c r="AG2648" s="11"/>
    </row>
    <row r="2649">
      <c r="A2649" s="7" t="s">
        <v>4340</v>
      </c>
      <c r="B2649" s="5" t="s">
        <v>12311</v>
      </c>
      <c r="C2649" s="5" t="s">
        <v>20144</v>
      </c>
      <c r="D2649" s="5" t="str">
        <v>770501095159</v>
      </c>
      <c r="E2649" s="0" t="e">
        <f>+7 (495) 6186610
+7 (499) 7459756
+7 (495) 3287184
+7 (495) 3288554
+7 (495) 3930357
+7 (495) 3953225
+7 (495) 3969211
+7 (499) 6186610
+7 (499) 7450354</f>
        <v>#NAME?</v>
      </c>
      <c r="F2649" s="5" t="s">
        <v>33307</v>
      </c>
      <c r="G2649" s="5"/>
      <c r="H2649" s="26">
        <v>26.5</v>
      </c>
      <c r="I2649" s="5"/>
      <c r="J2649" s="5" t="s">
        <v>33308</v>
      </c>
      <c r="K2649" s="5" t="s">
        <v>344</v>
      </c>
      <c r="L2649" s="5" t="s">
        <v>33309</v>
      </c>
      <c r="M2649" s="27">
        <v>789048</v>
      </c>
      <c r="N2649" s="5" t="s">
        <v>53527</v>
      </c>
      <c r="O2649" s="5" t="str">
        <v>7726221073</v>
      </c>
      <c r="P2649" s="27">
        <v>7094100</v>
      </c>
      <c r="Q2649" s="5" t="s">
        <v>53529</v>
      </c>
      <c r="R2649" s="5"/>
      <c r="S2649" s="5" t="s">
        <v>53530</v>
      </c>
      <c r="T2649" s="28">
        <v>293714000</v>
      </c>
      <c r="U2649" s="28"/>
      <c r="V2649" s="28">
        <v>1103404000</v>
      </c>
      <c r="W2649" s="28"/>
      <c r="X2649" s="28">
        <v>4681477000</v>
      </c>
      <c r="Y2649" s="28">
        <v>6257710000</v>
      </c>
      <c r="Z2649" s="28">
        <v>1379354000</v>
      </c>
      <c r="AA2649" s="28"/>
      <c r="AB2649" s="28"/>
      <c r="AC2649" s="28">
        <v>4680493000</v>
      </c>
      <c r="AD2649" s="28">
        <v>1407101000</v>
      </c>
      <c r="AE2649" s="28">
        <v>7263711000</v>
      </c>
      <c r="AF2649" s="28">
        <v>714552000</v>
      </c>
      <c r="AG2649" s="11"/>
    </row>
    <row r="2650">
      <c r="A2650" s="7" t="s">
        <v>4341</v>
      </c>
      <c r="B2650" s="5" t="s">
        <v>12312</v>
      </c>
      <c r="C2650" s="5" t="s">
        <v>20145</v>
      </c>
      <c r="D2650" s="5" t="str">
        <v>422311580016</v>
      </c>
      <c r="E2650" s="0" t="e">
        <f>+7 (3843) 721915
+7 (384) 2322112
+7 (3843) 312122
+7 (38451) 31095
+7 (906) 9802223
+7 (909) 5159266
+7 (961) 7005586
+7 (384) 2322122
+7 (3843) 320919
+7 (3843) 321990
+7 (3843) 322122
+7 (906) 9802233</f>
        <v>#NAME?</v>
      </c>
      <c r="F2650" s="5" t="s">
        <v>33310</v>
      </c>
      <c r="G2650" s="5" t="s">
        <v>33311</v>
      </c>
      <c r="H2650" s="26">
        <v>14.5</v>
      </c>
      <c r="I2650" s="5" t="s">
        <v>33312</v>
      </c>
      <c r="J2650" s="5" t="s">
        <v>27115</v>
      </c>
      <c r="K2650" s="5" t="s">
        <v>344</v>
      </c>
      <c r="L2650" s="5" t="s">
        <v>33313</v>
      </c>
      <c r="M2650" s="27"/>
      <c r="N2650" s="5" t="s">
        <v>53531</v>
      </c>
      <c r="O2650" s="5" t="str">
        <v>4217108455</v>
      </c>
      <c r="P2650" s="27">
        <v>10000</v>
      </c>
      <c r="Q2650" s="5" t="s">
        <v>53532</v>
      </c>
      <c r="R2650" s="5"/>
      <c r="S2650" s="5" t="s">
        <v>49504</v>
      </c>
      <c r="T2650" s="28">
        <v>29997000</v>
      </c>
      <c r="U2650" s="28"/>
      <c r="V2650" s="28">
        <v>689897000</v>
      </c>
      <c r="W2650" s="28">
        <v>585000</v>
      </c>
      <c r="X2650" s="28">
        <v>50092000</v>
      </c>
      <c r="Y2650" s="28">
        <v>944209000</v>
      </c>
      <c r="Z2650" s="28">
        <v>685750000</v>
      </c>
      <c r="AA2650" s="28"/>
      <c r="AB2650" s="28"/>
      <c r="AC2650" s="28">
        <v>253446000</v>
      </c>
      <c r="AD2650" s="28">
        <v>685760000</v>
      </c>
      <c r="AE2650" s="28">
        <v>6263906000</v>
      </c>
      <c r="AF2650" s="28">
        <v>498196000</v>
      </c>
      <c r="AG2650" s="11"/>
    </row>
    <row r="2651">
      <c r="A2651" s="7" t="s">
        <v>4342</v>
      </c>
      <c r="B2651" s="5" t="s">
        <v>12313</v>
      </c>
      <c r="C2651" s="5" t="s">
        <v>20146</v>
      </c>
      <c r="D2651" s="5" t="str">
        <v>910808210169</v>
      </c>
      <c r="E2651" s="0" t="e">
        <f>+7 (3652) 546632
+7 (3652) 601676
+7 (3654) 205721
+7 (36562) 41192
+7 (36562) 91114
+7 (8622) 401042
+7 (869) 2432217
+7 (910) 5437895
+7 (978) 7299509
+7 (978) 7510607
+7 (3652) 541192
+7 (36562) 22150
+7 (36562) 97144
+7 (869) 2449316
+7 (978) 7295309</f>
        <v>#NAME?</v>
      </c>
      <c r="F2651" s="5" t="s">
        <v>33314</v>
      </c>
      <c r="G2651" s="5"/>
      <c r="H2651" s="26">
        <v>8.5</v>
      </c>
      <c r="I2651" s="5" t="s">
        <v>33315</v>
      </c>
      <c r="J2651" s="5" t="s">
        <v>25327</v>
      </c>
      <c r="K2651" s="5" t="s">
        <v>344</v>
      </c>
      <c r="L2651" s="5" t="s">
        <v>33316</v>
      </c>
      <c r="M2651" s="27">
        <v>233833</v>
      </c>
      <c r="N2651" s="5" t="s">
        <v>53533</v>
      </c>
      <c r="O2651" s="5" t="str">
        <v>9108000588</v>
      </c>
      <c r="P2651" s="27">
        <v>2041000</v>
      </c>
      <c r="Q2651" s="5" t="s">
        <v>53535</v>
      </c>
      <c r="R2651" s="5"/>
      <c r="S2651" s="5" t="s">
        <v>53536</v>
      </c>
      <c r="T2651" s="28">
        <v>1710019000</v>
      </c>
      <c r="U2651" s="28"/>
      <c r="V2651" s="28">
        <v>3924230000</v>
      </c>
      <c r="W2651" s="28"/>
      <c r="X2651" s="28">
        <v>107494000</v>
      </c>
      <c r="Y2651" s="28">
        <v>11282960000</v>
      </c>
      <c r="Z2651" s="28">
        <v>8875322000</v>
      </c>
      <c r="AA2651" s="28">
        <v>694476000</v>
      </c>
      <c r="AB2651" s="28"/>
      <c r="AC2651" s="28">
        <v>1711121000</v>
      </c>
      <c r="AD2651" s="28">
        <v>8877363000</v>
      </c>
      <c r="AE2651" s="28">
        <v>26519803000</v>
      </c>
      <c r="AF2651" s="28">
        <v>1103897000</v>
      </c>
      <c r="AG2651" s="11"/>
    </row>
    <row r="2652">
      <c r="A2652" s="7" t="s">
        <v>4343</v>
      </c>
      <c r="B2652" s="5" t="s">
        <v>12314</v>
      </c>
      <c r="C2652" s="5" t="s">
        <v>20147</v>
      </c>
      <c r="D2652" s="5" t="str">
        <v>402513519163</v>
      </c>
      <c r="E2652" s="0" t="e">
        <f>+7 (484) 5830940
+7 (48438) 60019
+7 (48438) 60020
+7 (48438) 60024
+7 (48438) 60030
+7 (48438) 60032
+7 (910) 8658954</f>
        <v>#NAME?</v>
      </c>
      <c r="F2652" s="5" t="s">
        <v>33317</v>
      </c>
      <c r="G2652" s="5"/>
      <c r="H2652" s="26">
        <v>7</v>
      </c>
      <c r="I2652" s="5" t="s">
        <v>33318</v>
      </c>
      <c r="J2652" s="5" t="s">
        <v>33319</v>
      </c>
      <c r="K2652" s="5" t="s">
        <v>344</v>
      </c>
      <c r="L2652" s="5" t="s">
        <v>33320</v>
      </c>
      <c r="M2652" s="27"/>
      <c r="N2652" s="5"/>
      <c r="O2652" s="5" t="str">
        <v>4003037221</v>
      </c>
      <c r="P2652" s="27">
        <v>84500000</v>
      </c>
      <c r="Q2652" s="5" t="s">
        <v>49059</v>
      </c>
      <c r="R2652" s="5"/>
      <c r="S2652" s="5" t="s">
        <v>49010</v>
      </c>
      <c r="T2652" s="28">
        <v>92859000</v>
      </c>
      <c r="U2652" s="28"/>
      <c r="V2652" s="28">
        <v>1483514000</v>
      </c>
      <c r="W2652" s="28"/>
      <c r="X2652" s="28">
        <v>728205000</v>
      </c>
      <c r="Y2652" s="28">
        <v>5245683000</v>
      </c>
      <c r="Z2652" s="28">
        <v>469850000</v>
      </c>
      <c r="AA2652" s="28"/>
      <c r="AB2652" s="28"/>
      <c r="AC2652" s="28">
        <v>4681690000</v>
      </c>
      <c r="AD2652" s="28">
        <v>554350000</v>
      </c>
      <c r="AE2652" s="28">
        <v>12191820000</v>
      </c>
      <c r="AF2652" s="28">
        <v>125872000</v>
      </c>
      <c r="AG2652" s="11"/>
    </row>
    <row r="2653">
      <c r="A2653" s="7" t="s">
        <v>4344</v>
      </c>
      <c r="B2653" s="5" t="s">
        <v>12315</v>
      </c>
      <c r="C2653" s="5" t="s">
        <v>20148</v>
      </c>
      <c r="D2653" s="5" t="str">
        <v>402512664030</v>
      </c>
      <c r="E2653" s="0" t="e">
        <f>+7 (484) 5830940
+7 (484) 5830945
+7 (484) 5830944
+7 (484) 5892428
+7 (48438) 66900
+7 (48438) 66901
+7 (48439) 25001
+7 (48439) 28013
+7 (48439) 92428</f>
        <v>#NAME?</v>
      </c>
      <c r="F2653" s="5" t="s">
        <v>33321</v>
      </c>
      <c r="G2653" s="5" t="s">
        <v>33322</v>
      </c>
      <c r="H2653" s="26">
        <v>14.5</v>
      </c>
      <c r="I2653" s="5" t="s">
        <v>33323</v>
      </c>
      <c r="J2653" s="5" t="s">
        <v>27742</v>
      </c>
      <c r="K2653" s="5" t="s">
        <v>344</v>
      </c>
      <c r="L2653" s="5"/>
      <c r="M2653" s="27"/>
      <c r="N2653" s="5"/>
      <c r="O2653" s="5" t="str">
        <v>4003028481</v>
      </c>
      <c r="P2653" s="27">
        <v>2838454000</v>
      </c>
      <c r="Q2653" s="5"/>
      <c r="R2653" s="5"/>
      <c r="S2653" s="5" t="s">
        <v>49029</v>
      </c>
      <c r="T2653" s="28">
        <v>1642598000</v>
      </c>
      <c r="U2653" s="28"/>
      <c r="V2653" s="28">
        <v>5268287000</v>
      </c>
      <c r="W2653" s="28"/>
      <c r="X2653" s="28">
        <v>802277000</v>
      </c>
      <c r="Y2653" s="28">
        <v>9703622000</v>
      </c>
      <c r="Z2653" s="28">
        <v>2206804000</v>
      </c>
      <c r="AA2653" s="28"/>
      <c r="AB2653" s="28"/>
      <c r="AC2653" s="28">
        <v>4551168000</v>
      </c>
      <c r="AD2653" s="28">
        <v>5045258000</v>
      </c>
      <c r="AE2653" s="28">
        <v>3239270000</v>
      </c>
      <c r="AF2653" s="28">
        <v>199872000</v>
      </c>
      <c r="AG2653" s="11"/>
    </row>
    <row r="2654">
      <c r="A2654" s="7" t="s">
        <v>4345</v>
      </c>
      <c r="B2654" s="5" t="s">
        <v>12316</v>
      </c>
      <c r="C2654" s="5" t="s">
        <v>20149</v>
      </c>
      <c r="D2654" s="5" t="str">
        <v>781662849020</v>
      </c>
      <c r="E2654" s="0" t="e">
        <f>+7 (473) 2240670
+7 (473) 2229396
+7 (473) 2229397
+7 (473) 2726605
+7 (495) 6631364
+7 (495) 6631366
+7 (495) 7414631
+7 (800) 1003177
+7 (961) 1809120</f>
        <v>#NAME?</v>
      </c>
      <c r="F2654" s="5" t="s">
        <v>33324</v>
      </c>
      <c r="G2654" s="5" t="s">
        <v>33325</v>
      </c>
      <c r="H2654" s="26">
        <v>13</v>
      </c>
      <c r="I2654" s="5" t="s">
        <v>33326</v>
      </c>
      <c r="J2654" s="5" t="s">
        <v>26410</v>
      </c>
      <c r="K2654" s="5" t="s">
        <v>344</v>
      </c>
      <c r="L2654" s="5"/>
      <c r="M2654" s="27"/>
      <c r="N2654" s="5"/>
      <c r="O2654" s="5" t="str">
        <v>3661048688</v>
      </c>
      <c r="P2654" s="27">
        <v>4890938724</v>
      </c>
      <c r="Q2654" s="5" t="s">
        <v>49009</v>
      </c>
      <c r="R2654" s="5"/>
      <c r="S2654" s="5" t="s">
        <v>49576</v>
      </c>
      <c r="T2654" s="28">
        <v>1577599000</v>
      </c>
      <c r="U2654" s="28"/>
      <c r="V2654" s="28">
        <v>1014825000</v>
      </c>
      <c r="W2654" s="28"/>
      <c r="X2654" s="28">
        <v>2308100000</v>
      </c>
      <c r="Y2654" s="28">
        <v>6944899000</v>
      </c>
      <c r="Z2654" s="28">
        <v>-5063075000</v>
      </c>
      <c r="AA2654" s="28">
        <v>5282163000</v>
      </c>
      <c r="AB2654" s="28"/>
      <c r="AC2654" s="28">
        <v>1055267000</v>
      </c>
      <c r="AD2654" s="28">
        <v>438477000</v>
      </c>
      <c r="AE2654" s="28">
        <v>10712885000</v>
      </c>
      <c r="AF2654" s="28">
        <v>1609158000</v>
      </c>
      <c r="AG2654" s="11"/>
    </row>
    <row r="2655">
      <c r="A2655" s="7" t="s">
        <v>4346</v>
      </c>
      <c r="B2655" s="5" t="s">
        <v>12317</v>
      </c>
      <c r="C2655" s="5" t="s">
        <v>18317</v>
      </c>
      <c r="D2655" s="5" t="str">
        <v>616802362400</v>
      </c>
      <c r="E2655" s="0" t="e">
        <f>+7 (495) 4191140
+7 (495) 4191773
+7 (495) 6642694</f>
        <v>#NAME?</v>
      </c>
      <c r="F2655" s="5" t="s">
        <v>33327</v>
      </c>
      <c r="G2655" s="5" t="s">
        <v>33328</v>
      </c>
      <c r="H2655" s="26">
        <v>8</v>
      </c>
      <c r="I2655" s="5" t="s">
        <v>27507</v>
      </c>
      <c r="J2655" s="5" t="s">
        <v>26552</v>
      </c>
      <c r="K2655" s="5" t="s">
        <v>344</v>
      </c>
      <c r="L2655" s="5" t="s">
        <v>33329</v>
      </c>
      <c r="M2655" s="27">
        <v>4412042</v>
      </c>
      <c r="N2655" s="5"/>
      <c r="O2655" s="5" t="str">
        <v>7725274019</v>
      </c>
      <c r="P2655" s="27">
        <v>20000</v>
      </c>
      <c r="Q2655" s="5" t="s">
        <v>49021</v>
      </c>
      <c r="R2655" s="5"/>
      <c r="S2655" s="5" t="s">
        <v>53537</v>
      </c>
      <c r="T2655" s="28">
        <v>2353000</v>
      </c>
      <c r="U2655" s="28"/>
      <c r="V2655" s="28">
        <v>946770000</v>
      </c>
      <c r="W2655" s="28">
        <v>42234000</v>
      </c>
      <c r="X2655" s="28">
        <v>30321000</v>
      </c>
      <c r="Y2655" s="28">
        <v>1492153000</v>
      </c>
      <c r="Z2655" s="28">
        <v>809322000</v>
      </c>
      <c r="AA2655" s="28">
        <v>344332000</v>
      </c>
      <c r="AB2655" s="28">
        <v>160903000</v>
      </c>
      <c r="AC2655" s="28">
        <v>335735000</v>
      </c>
      <c r="AD2655" s="28">
        <v>810416000</v>
      </c>
      <c r="AE2655" s="28">
        <v>5307424000</v>
      </c>
      <c r="AF2655" s="28">
        <v>184951000</v>
      </c>
      <c r="AG2655" s="11"/>
    </row>
    <row r="2656">
      <c r="A2656" s="7" t="s">
        <v>4347</v>
      </c>
      <c r="B2656" s="5" t="s">
        <v>12318</v>
      </c>
      <c r="C2656" s="5" t="s">
        <v>20150</v>
      </c>
      <c r="D2656" s="5" t="str">
        <v>420523962006</v>
      </c>
      <c r="E2656" s="0" t="e">
        <f>+7 (384) 2452286
+7 (384) 2660090</f>
        <v>#NAME?</v>
      </c>
      <c r="F2656" s="5" t="s">
        <v>33330</v>
      </c>
      <c r="G2656" s="5" t="s">
        <v>33331</v>
      </c>
      <c r="H2656" s="26">
        <v>14.5</v>
      </c>
      <c r="I2656" s="5" t="s">
        <v>33332</v>
      </c>
      <c r="J2656" s="5" t="s">
        <v>33333</v>
      </c>
      <c r="K2656" s="5" t="s">
        <v>344</v>
      </c>
      <c r="L2656" s="5"/>
      <c r="M2656" s="27"/>
      <c r="N2656" s="5"/>
      <c r="O2656" s="5" t="str">
        <v>4205165508</v>
      </c>
      <c r="P2656" s="27">
        <v>10000</v>
      </c>
      <c r="Q2656" s="5"/>
      <c r="R2656" s="5"/>
      <c r="S2656" s="5" t="s">
        <v>49110</v>
      </c>
      <c r="T2656" s="28">
        <v>372848000</v>
      </c>
      <c r="U2656" s="28"/>
      <c r="V2656" s="28">
        <v>65501000</v>
      </c>
      <c r="W2656" s="28">
        <v>128000</v>
      </c>
      <c r="X2656" s="28">
        <v>86765000</v>
      </c>
      <c r="Y2656" s="28">
        <v>843871000</v>
      </c>
      <c r="Z2656" s="28">
        <v>26960000</v>
      </c>
      <c r="AA2656" s="28"/>
      <c r="AB2656" s="28"/>
      <c r="AC2656" s="28">
        <v>749748000</v>
      </c>
      <c r="AD2656" s="28">
        <v>26970000</v>
      </c>
      <c r="AE2656" s="28">
        <v>5293643000</v>
      </c>
      <c r="AF2656" s="28">
        <v>126939000</v>
      </c>
      <c r="AG2656" s="11"/>
    </row>
    <row r="2657">
      <c r="A2657" s="7" t="s">
        <v>4348</v>
      </c>
      <c r="B2657" s="5" t="s">
        <v>12319</v>
      </c>
      <c r="C2657" s="5" t="s">
        <v>20151</v>
      </c>
      <c r="D2657" s="5" t="str">
        <v>420508576895</v>
      </c>
      <c r="E2657" s="0" t="e">
        <f>+7 (384) 2364272
+7 (384) 2757760
+7 (384) 2362588
+7 (384) 2366891
+7 (384) 2367597</f>
        <v>#NAME?</v>
      </c>
      <c r="F2657" s="5" t="s">
        <v>33334</v>
      </c>
      <c r="G2657" s="5" t="s">
        <v>33335</v>
      </c>
      <c r="H2657" s="26">
        <v>26.5</v>
      </c>
      <c r="I2657" s="5"/>
      <c r="J2657" s="5" t="s">
        <v>467</v>
      </c>
      <c r="K2657" s="5" t="s">
        <v>344</v>
      </c>
      <c r="L2657" s="5" t="s">
        <v>33336</v>
      </c>
      <c r="M2657" s="27"/>
      <c r="N2657" s="5" t="s">
        <v>53538</v>
      </c>
      <c r="O2657" s="5" t="str">
        <v>4207005651</v>
      </c>
      <c r="P2657" s="27">
        <v>3536600</v>
      </c>
      <c r="Q2657" s="5" t="s">
        <v>53539</v>
      </c>
      <c r="R2657" s="5"/>
      <c r="S2657" s="5" t="s">
        <v>53540</v>
      </c>
      <c r="T2657" s="28">
        <v>623762000</v>
      </c>
      <c r="U2657" s="28"/>
      <c r="V2657" s="28">
        <v>2313790000</v>
      </c>
      <c r="W2657" s="28">
        <v>2188139000</v>
      </c>
      <c r="X2657" s="28">
        <v>1961028000</v>
      </c>
      <c r="Y2657" s="28">
        <v>7880527000</v>
      </c>
      <c r="Z2657" s="28">
        <v>4181936000</v>
      </c>
      <c r="AA2657" s="28"/>
      <c r="AB2657" s="28"/>
      <c r="AC2657" s="28">
        <v>3373712000</v>
      </c>
      <c r="AD2657" s="28">
        <v>4228113000</v>
      </c>
      <c r="AE2657" s="28">
        <v>11522401000</v>
      </c>
      <c r="AF2657" s="28">
        <v>1164363000</v>
      </c>
      <c r="AG2657" s="11"/>
    </row>
    <row r="2658">
      <c r="A2658" s="7" t="s">
        <v>4349</v>
      </c>
      <c r="B2658" s="5" t="s">
        <v>12320</v>
      </c>
      <c r="C2658" s="5" t="s">
        <v>17665</v>
      </c>
      <c r="D2658" s="5"/>
      <c r="E2658" s="0" t="e">
        <f>+7 (384) 2281278
+7 (384) 2314080
+7 (384) 2318776
+7 (384) 2340008
+7 (384) 2349856
+7 (384) 2352712
+7 (384) 2363636
+7 (384) 2363698
+7 (384) 2390759
+7 (384) 2441010
+7 (384) 2441254
+7 (384) 2452541
+7 (384) 2453513
+7 (384) 2021541
+7 (384) 2310174</f>
        <v>#NAME?</v>
      </c>
      <c r="F2658" s="5" t="s">
        <v>33337</v>
      </c>
      <c r="G2658" s="5" t="s">
        <v>33338</v>
      </c>
      <c r="H2658" s="26">
        <v>11</v>
      </c>
      <c r="I2658" s="5"/>
      <c r="J2658" s="5" t="s">
        <v>25295</v>
      </c>
      <c r="K2658" s="5" t="s">
        <v>344</v>
      </c>
      <c r="L2658" s="5" t="s">
        <v>33339</v>
      </c>
      <c r="M2658" s="27">
        <v>224407454</v>
      </c>
      <c r="N2658" s="5" t="s">
        <v>53541</v>
      </c>
      <c r="O2658" s="5" t="str">
        <v>4205243192</v>
      </c>
      <c r="P2658" s="27">
        <v>706759848</v>
      </c>
      <c r="Q2658" s="5" t="s">
        <v>53542</v>
      </c>
      <c r="R2658" s="5" t="s">
        <v>53543</v>
      </c>
      <c r="S2658" s="5" t="s">
        <v>50324</v>
      </c>
      <c r="T2658" s="28">
        <v>5148685000</v>
      </c>
      <c r="U2658" s="28"/>
      <c r="V2658" s="28">
        <v>1254060000</v>
      </c>
      <c r="W2658" s="28"/>
      <c r="X2658" s="28">
        <v>9479000</v>
      </c>
      <c r="Y2658" s="28">
        <v>7067551000</v>
      </c>
      <c r="Z2658" s="28">
        <v>1434609000</v>
      </c>
      <c r="AA2658" s="28"/>
      <c r="AB2658" s="28">
        <v>969862000</v>
      </c>
      <c r="AC2658" s="28">
        <v>2725267000</v>
      </c>
      <c r="AD2658" s="28">
        <v>4232700000</v>
      </c>
      <c r="AE2658" s="28">
        <v>9071926000</v>
      </c>
      <c r="AF2658" s="28">
        <v>99668000</v>
      </c>
      <c r="AG2658" s="11"/>
    </row>
    <row r="2659">
      <c r="A2659" s="7" t="s">
        <v>4350</v>
      </c>
      <c r="B2659" s="5" t="s">
        <v>12321</v>
      </c>
      <c r="C2659" s="5" t="s">
        <v>20152</v>
      </c>
      <c r="D2659" s="5" t="str">
        <v>021601096661</v>
      </c>
      <c r="E2659" s="0" t="e">
        <f>+7 (937) 3576732</f>
        <v>#NAME?</v>
      </c>
      <c r="F2659" s="5" t="s">
        <v>33340</v>
      </c>
      <c r="G2659" s="5"/>
      <c r="H2659" s="26">
        <v>4.5</v>
      </c>
      <c r="I2659" s="5" t="s">
        <v>33341</v>
      </c>
      <c r="J2659" s="5" t="s">
        <v>25512</v>
      </c>
      <c r="K2659" s="5" t="s">
        <v>344</v>
      </c>
      <c r="L2659" s="5" t="s">
        <v>33342</v>
      </c>
      <c r="M2659" s="27">
        <v>1000</v>
      </c>
      <c r="N2659" s="5" t="s">
        <v>53544</v>
      </c>
      <c r="O2659" s="5" t="str">
        <v>0277932187</v>
      </c>
      <c r="P2659" s="27">
        <v>11000</v>
      </c>
      <c r="Q2659" s="5" t="s">
        <v>53545</v>
      </c>
      <c r="R2659" s="5"/>
      <c r="S2659" s="5" t="s">
        <v>49454</v>
      </c>
      <c r="T2659" s="28">
        <v>11548000</v>
      </c>
      <c r="U2659" s="28"/>
      <c r="V2659" s="28">
        <v>273621000</v>
      </c>
      <c r="W2659" s="28">
        <v>41556000</v>
      </c>
      <c r="X2659" s="28">
        <v>14454000</v>
      </c>
      <c r="Y2659" s="28">
        <v>718215000</v>
      </c>
      <c r="Z2659" s="28">
        <v>32538000</v>
      </c>
      <c r="AA2659" s="28"/>
      <c r="AB2659" s="28">
        <v>25500000</v>
      </c>
      <c r="AC2659" s="28">
        <v>685580000</v>
      </c>
      <c r="AD2659" s="28">
        <v>32549000</v>
      </c>
      <c r="AE2659" s="28">
        <v>10428273000</v>
      </c>
      <c r="AF2659" s="28">
        <v>24107000</v>
      </c>
      <c r="AG2659" s="11"/>
    </row>
    <row r="2660">
      <c r="A2660" s="7" t="s">
        <v>4351</v>
      </c>
      <c r="B2660" s="5" t="s">
        <v>12322</v>
      </c>
      <c r="C2660" s="5" t="s">
        <v>20153</v>
      </c>
      <c r="D2660" s="5" t="str">
        <v>773013628514</v>
      </c>
      <c r="E2660" s="0" t="e">
        <f>+7 (495) 7104862
+7 (495) 4558576
+7 (495) 7108637
+7 (495) 7108642</f>
        <v>#NAME?</v>
      </c>
      <c r="F2660" s="5" t="s">
        <v>33343</v>
      </c>
      <c r="G2660" s="5"/>
      <c r="H2660" s="26">
        <v>11.5</v>
      </c>
      <c r="I2660" s="5" t="s">
        <v>33344</v>
      </c>
      <c r="J2660" s="5" t="s">
        <v>25512</v>
      </c>
      <c r="K2660" s="5" t="s">
        <v>344</v>
      </c>
      <c r="L2660" s="5" t="s">
        <v>33345</v>
      </c>
      <c r="M2660" s="27"/>
      <c r="N2660" s="5" t="s">
        <v>53546</v>
      </c>
      <c r="O2660" s="5" t="str">
        <v>7719412253</v>
      </c>
      <c r="P2660" s="27">
        <v>2000000</v>
      </c>
      <c r="Q2660" s="5" t="s">
        <v>53547</v>
      </c>
      <c r="R2660" s="5"/>
      <c r="S2660" s="5" t="s">
        <v>53548</v>
      </c>
      <c r="T2660" s="28">
        <v>4551000</v>
      </c>
      <c r="U2660" s="28"/>
      <c r="V2660" s="28">
        <v>3481764000</v>
      </c>
      <c r="W2660" s="28">
        <v>98374000</v>
      </c>
      <c r="X2660" s="28">
        <v>103186000</v>
      </c>
      <c r="Y2660" s="28">
        <v>6493245000</v>
      </c>
      <c r="Z2660" s="28">
        <v>855086000</v>
      </c>
      <c r="AA2660" s="28">
        <v>2820233000</v>
      </c>
      <c r="AB2660" s="28"/>
      <c r="AC2660" s="28">
        <v>2815925000</v>
      </c>
      <c r="AD2660" s="28">
        <v>857086000</v>
      </c>
      <c r="AE2660" s="28">
        <v>13021774000</v>
      </c>
      <c r="AF2660" s="28">
        <v>166773000</v>
      </c>
      <c r="AG2660" s="11"/>
    </row>
    <row r="2661">
      <c r="A2661" s="7" t="s">
        <v>4352</v>
      </c>
      <c r="B2661" s="5" t="s">
        <v>12323</v>
      </c>
      <c r="C2661" s="5" t="s">
        <v>20154</v>
      </c>
      <c r="D2661" s="5" t="str">
        <v>771604776497</v>
      </c>
      <c r="E2661" s="0" t="e">
        <f>+7 (903) 7906393</f>
        <v>#NAME?</v>
      </c>
      <c r="F2661" s="5"/>
      <c r="G2661" s="5"/>
      <c r="H2661" s="26">
        <v>7.5</v>
      </c>
      <c r="I2661" s="5" t="s">
        <v>33346</v>
      </c>
      <c r="J2661" s="5" t="s">
        <v>364</v>
      </c>
      <c r="K2661" s="5" t="s">
        <v>355</v>
      </c>
      <c r="L2661" s="5"/>
      <c r="M2661" s="27">
        <v>34860585</v>
      </c>
      <c r="N2661" s="5"/>
      <c r="O2661" s="5" t="str">
        <v>7706429877</v>
      </c>
      <c r="P2661" s="27">
        <v>10000</v>
      </c>
      <c r="Q2661" s="5" t="s">
        <v>49059</v>
      </c>
      <c r="R2661" s="5"/>
      <c r="S2661" s="5" t="s">
        <v>49010</v>
      </c>
      <c r="T2661" s="28">
        <v>12305000</v>
      </c>
      <c r="U2661" s="28"/>
      <c r="V2661" s="28">
        <v>6305130000</v>
      </c>
      <c r="W2661" s="28">
        <v>21747000</v>
      </c>
      <c r="X2661" s="28">
        <v>9000</v>
      </c>
      <c r="Y2661" s="28">
        <v>6525449000</v>
      </c>
      <c r="Z2661" s="28">
        <v>170629000</v>
      </c>
      <c r="AA2661" s="28"/>
      <c r="AB2661" s="28">
        <v>297239000</v>
      </c>
      <c r="AC2661" s="28">
        <v>6354342000</v>
      </c>
      <c r="AD2661" s="28">
        <v>170639000</v>
      </c>
      <c r="AE2661" s="28">
        <v>3691111000</v>
      </c>
      <c r="AF2661" s="28">
        <v>33756000</v>
      </c>
      <c r="AG2661" s="11"/>
    </row>
    <row r="2662">
      <c r="A2662" s="7" t="s">
        <v>4353</v>
      </c>
      <c r="B2662" s="5" t="s">
        <v>12324</v>
      </c>
      <c r="C2662" s="5" t="s">
        <v>20155</v>
      </c>
      <c r="D2662" s="5" t="str">
        <v>771909988400</v>
      </c>
      <c r="E2662" s="0" t="e">
        <f>+7 (495) 9210154
+7 (903) 1301687</f>
        <v>#NAME?</v>
      </c>
      <c r="F2662" s="5"/>
      <c r="G2662" s="5" t="s">
        <v>33347</v>
      </c>
      <c r="H2662" s="26">
        <v>6</v>
      </c>
      <c r="I2662" s="5" t="s">
        <v>33348</v>
      </c>
      <c r="J2662" s="5" t="s">
        <v>364</v>
      </c>
      <c r="K2662" s="5" t="s">
        <v>344</v>
      </c>
      <c r="L2662" s="5" t="s">
        <v>33349</v>
      </c>
      <c r="M2662" s="27">
        <v>11681803</v>
      </c>
      <c r="N2662" s="5"/>
      <c r="O2662" s="5" t="str">
        <v>7724400768</v>
      </c>
      <c r="P2662" s="27">
        <v>220000</v>
      </c>
      <c r="Q2662" s="5" t="s">
        <v>49535</v>
      </c>
      <c r="R2662" s="5"/>
      <c r="S2662" s="5" t="s">
        <v>52099</v>
      </c>
      <c r="T2662" s="28">
        <v>47711000</v>
      </c>
      <c r="U2662" s="28"/>
      <c r="V2662" s="28">
        <v>1952817000</v>
      </c>
      <c r="W2662" s="28">
        <v>308692000</v>
      </c>
      <c r="X2662" s="28">
        <v>591443000</v>
      </c>
      <c r="Y2662" s="28">
        <v>3279529000</v>
      </c>
      <c r="Z2662" s="28">
        <v>120343000</v>
      </c>
      <c r="AA2662" s="28"/>
      <c r="AB2662" s="28">
        <v>27700000</v>
      </c>
      <c r="AC2662" s="28">
        <v>3153903000</v>
      </c>
      <c r="AD2662" s="28">
        <v>120563000</v>
      </c>
      <c r="AE2662" s="28">
        <v>6228896000</v>
      </c>
      <c r="AF2662" s="28">
        <v>120264000</v>
      </c>
      <c r="AG2662" s="11"/>
    </row>
    <row r="2663">
      <c r="A2663" s="7" t="s">
        <v>4354</v>
      </c>
      <c r="B2663" s="5" t="s">
        <v>12325</v>
      </c>
      <c r="C2663" s="5" t="s">
        <v>20156</v>
      </c>
      <c r="D2663" s="5" t="str">
        <v>410100022051</v>
      </c>
      <c r="E2663" s="0" t="e">
        <f>+7 (381) 2490163
+7 (415) 2112026
+7 (415) 2121006
+7 (415) 2201946
+7 (415) 2216711
+7 (415) 2216739
+7 (415) 2216740
+7 (415) 2216744
+7 (415) 2241145
+7 (415) 2241272
+7 (415) 2245557
+7 (415) 2412026
+7 (415) 2419787
+7 (415) 2420226
+7 (415) 2490494</f>
        <v>#NAME?</v>
      </c>
      <c r="F2663" s="5" t="s">
        <v>33350</v>
      </c>
      <c r="G2663" s="5" t="s">
        <v>33351</v>
      </c>
      <c r="H2663" s="26">
        <v>30</v>
      </c>
      <c r="I2663" s="5" t="s">
        <v>33352</v>
      </c>
      <c r="J2663" s="5" t="s">
        <v>25295</v>
      </c>
      <c r="K2663" s="5" t="s">
        <v>355</v>
      </c>
      <c r="L2663" s="5"/>
      <c r="M2663" s="27">
        <v>8990632</v>
      </c>
      <c r="N2663" s="5" t="s">
        <v>53549</v>
      </c>
      <c r="O2663" s="5" t="str">
        <v>4100000668</v>
      </c>
      <c r="P2663" s="27">
        <v>4892971983</v>
      </c>
      <c r="Q2663" s="5" t="s">
        <v>53550</v>
      </c>
      <c r="R2663" s="5" t="s">
        <v>53551</v>
      </c>
      <c r="S2663" s="5" t="s">
        <v>53552</v>
      </c>
      <c r="T2663" s="28">
        <v>19047083000</v>
      </c>
      <c r="U2663" s="28">
        <v>571197000</v>
      </c>
      <c r="V2663" s="28">
        <v>7892020000</v>
      </c>
      <c r="W2663" s="28"/>
      <c r="X2663" s="28">
        <v>2608220000</v>
      </c>
      <c r="Y2663" s="28">
        <v>36241438000</v>
      </c>
      <c r="Z2663" s="28">
        <v>2978081000</v>
      </c>
      <c r="AA2663" s="28">
        <v>4984614000</v>
      </c>
      <c r="AB2663" s="28">
        <v>5655767000</v>
      </c>
      <c r="AC2663" s="28">
        <v>11862166000</v>
      </c>
      <c r="AD2663" s="28">
        <v>10623302000</v>
      </c>
      <c r="AE2663" s="28">
        <v>29525184000</v>
      </c>
      <c r="AF2663" s="28">
        <v>104504000</v>
      </c>
      <c r="AG2663" s="11"/>
    </row>
    <row r="2664">
      <c r="A2664" s="7" t="s">
        <v>4355</v>
      </c>
      <c r="B2664" s="5" t="s">
        <v>12326</v>
      </c>
      <c r="C2664" s="5" t="s">
        <v>20157</v>
      </c>
      <c r="D2664" s="5" t="str">
        <v>575100691006</v>
      </c>
      <c r="E2664" s="0" t="e">
        <f>+7 (4862) 499832
+7 (4862) 476482
+7 (4862) 476502
+7 (4862) 476699
+7 (4862) 499810
+7 (4862) 499819</f>
        <v>#NAME?</v>
      </c>
      <c r="F2664" s="5" t="s">
        <v>33353</v>
      </c>
      <c r="G2664" s="5" t="s">
        <v>33354</v>
      </c>
      <c r="H2664" s="26">
        <v>9</v>
      </c>
      <c r="I2664" s="5" t="s">
        <v>33355</v>
      </c>
      <c r="J2664" s="5" t="s">
        <v>28950</v>
      </c>
      <c r="K2664" s="5" t="s">
        <v>344</v>
      </c>
      <c r="L2664" s="5" t="s">
        <v>33356</v>
      </c>
      <c r="M2664" s="27">
        <v>10752000</v>
      </c>
      <c r="N2664" s="5"/>
      <c r="O2664" s="5" t="str">
        <v>5752070451</v>
      </c>
      <c r="P2664" s="27">
        <v>192428097</v>
      </c>
      <c r="Q2664" s="5"/>
      <c r="R2664" s="5"/>
      <c r="S2664" s="5" t="s">
        <v>49029</v>
      </c>
      <c r="T2664" s="28">
        <v>12231729000</v>
      </c>
      <c r="U2664" s="28">
        <v>981845000</v>
      </c>
      <c r="V2664" s="28">
        <v>1026244000</v>
      </c>
      <c r="W2664" s="28">
        <v>3101652000</v>
      </c>
      <c r="X2664" s="28">
        <v>3913955000</v>
      </c>
      <c r="Y2664" s="28">
        <v>31400297000</v>
      </c>
      <c r="Z2664" s="28">
        <v>26188355000</v>
      </c>
      <c r="AA2664" s="28">
        <v>48225000</v>
      </c>
      <c r="AB2664" s="28">
        <v>1619512000</v>
      </c>
      <c r="AC2664" s="28">
        <v>4330408000</v>
      </c>
      <c r="AD2664" s="28">
        <v>26435842000</v>
      </c>
      <c r="AE2664" s="28">
        <v>21945277000</v>
      </c>
      <c r="AF2664" s="28">
        <v>4708243000</v>
      </c>
      <c r="AG2664" s="11"/>
    </row>
    <row r="2665">
      <c r="A2665" s="7" t="s">
        <v>4356</v>
      </c>
      <c r="B2665" s="5" t="s">
        <v>12327</v>
      </c>
      <c r="C2665" s="5" t="s">
        <v>20158</v>
      </c>
      <c r="D2665" s="5" t="str">
        <v>575303198090</v>
      </c>
      <c r="E2665" s="0" t="e">
        <f>+7 (495) 7205386
+7 (495) 7295461
+7 (495) 7205385
+7 (812) 6556215
+7 (812) 6556216</f>
        <v>#NAME?</v>
      </c>
      <c r="F2665" s="5" t="s">
        <v>33357</v>
      </c>
      <c r="G2665" s="5" t="s">
        <v>33358</v>
      </c>
      <c r="H2665" s="26">
        <v>28.5</v>
      </c>
      <c r="I2665" s="5" t="s">
        <v>33359</v>
      </c>
      <c r="J2665" s="5" t="s">
        <v>25190</v>
      </c>
      <c r="K2665" s="5" t="s">
        <v>355</v>
      </c>
      <c r="L2665" s="5" t="s">
        <v>33360</v>
      </c>
      <c r="M2665" s="27"/>
      <c r="N2665" s="5"/>
      <c r="O2665" s="5" t="str">
        <v>7743240421</v>
      </c>
      <c r="P2665" s="27">
        <v>590000</v>
      </c>
      <c r="Q2665" s="5" t="s">
        <v>49009</v>
      </c>
      <c r="R2665" s="5"/>
      <c r="S2665" s="5" t="s">
        <v>49045</v>
      </c>
      <c r="T2665" s="28">
        <v>497814000</v>
      </c>
      <c r="U2665" s="28">
        <v>421008000</v>
      </c>
      <c r="V2665" s="28">
        <v>1925032000</v>
      </c>
      <c r="W2665" s="28"/>
      <c r="X2665" s="28">
        <v>8339000</v>
      </c>
      <c r="Y2665" s="28">
        <v>3004767000</v>
      </c>
      <c r="Z2665" s="28">
        <v>1896669000</v>
      </c>
      <c r="AA2665" s="28"/>
      <c r="AB2665" s="28">
        <v>3000</v>
      </c>
      <c r="AC2665" s="28">
        <v>593067000</v>
      </c>
      <c r="AD2665" s="28">
        <v>1901061000</v>
      </c>
      <c r="AE2665" s="28">
        <v>13679365000</v>
      </c>
      <c r="AF2665" s="28">
        <v>359105000</v>
      </c>
      <c r="AG2665" s="11"/>
    </row>
    <row r="2666">
      <c r="A2666" s="7" t="s">
        <v>4357</v>
      </c>
      <c r="B2666" s="5" t="s">
        <v>12328</v>
      </c>
      <c r="C2666" s="5" t="s">
        <v>20159</v>
      </c>
      <c r="D2666" s="5" t="str">
        <v>151202771764</v>
      </c>
      <c r="E2666" s="0" t="e">
        <f>+7 (867) 2768418
+7 (867) 2768805</f>
        <v>#NAME?</v>
      </c>
      <c r="F2666" s="5"/>
      <c r="G2666" s="5"/>
      <c r="H2666" s="26">
        <v>28.5</v>
      </c>
      <c r="I2666" s="5"/>
      <c r="J2666" s="5" t="s">
        <v>33361</v>
      </c>
      <c r="K2666" s="5" t="s">
        <v>344</v>
      </c>
      <c r="L2666" s="5" t="s">
        <v>33039</v>
      </c>
      <c r="M2666" s="27"/>
      <c r="N2666" s="5"/>
      <c r="O2666" s="5" t="str">
        <v>1503013470</v>
      </c>
      <c r="P2666" s="27">
        <v>1490</v>
      </c>
      <c r="Q2666" s="5"/>
      <c r="R2666" s="5"/>
      <c r="S2666" s="5" t="s">
        <v>49029</v>
      </c>
      <c r="T2666" s="28">
        <v>699000</v>
      </c>
      <c r="U2666" s="28"/>
      <c r="V2666" s="28">
        <v>10135000</v>
      </c>
      <c r="W2666" s="28"/>
      <c r="X2666" s="28">
        <v>6834000</v>
      </c>
      <c r="Y2666" s="28">
        <v>32890000</v>
      </c>
      <c r="Z2666" s="28">
        <v>29644000</v>
      </c>
      <c r="AA2666" s="28"/>
      <c r="AB2666" s="28"/>
      <c r="AC2666" s="28">
        <v>1636000</v>
      </c>
      <c r="AD2666" s="28">
        <v>31254000</v>
      </c>
      <c r="AE2666" s="28">
        <v>37084091000</v>
      </c>
      <c r="AF2666" s="28">
        <v>7407700000</v>
      </c>
      <c r="AG2666" s="11"/>
    </row>
    <row r="2667">
      <c r="A2667" s="7" t="s">
        <v>4358</v>
      </c>
      <c r="B2667" s="5" t="s">
        <v>12329</v>
      </c>
      <c r="C2667" s="5" t="s">
        <v>20160</v>
      </c>
      <c r="D2667" s="5" t="str">
        <v>772613840133</v>
      </c>
      <c r="E2667" s="0" t="e">
        <f>+7 (345) 2342243
+7 (495) 2283946
+7 (495) 6621919
+7 (800) 1000654</f>
        <v>#NAME?</v>
      </c>
      <c r="F2667" s="5" t="s">
        <v>33362</v>
      </c>
      <c r="G2667" s="5" t="s">
        <v>33363</v>
      </c>
      <c r="H2667" s="26">
        <v>19</v>
      </c>
      <c r="I2667" s="5" t="s">
        <v>33364</v>
      </c>
      <c r="J2667" s="5" t="s">
        <v>678</v>
      </c>
      <c r="K2667" s="5" t="s">
        <v>344</v>
      </c>
      <c r="L2667" s="5" t="s">
        <v>33365</v>
      </c>
      <c r="M2667" s="27"/>
      <c r="N2667" s="5" t="s">
        <v>53553</v>
      </c>
      <c r="O2667" s="5" t="str">
        <v>7705581614</v>
      </c>
      <c r="P2667" s="27">
        <v>3500000</v>
      </c>
      <c r="Q2667" s="5" t="s">
        <v>53554</v>
      </c>
      <c r="R2667" s="5"/>
      <c r="S2667" s="5" t="s">
        <v>53555</v>
      </c>
      <c r="T2667" s="28">
        <v>1258892000</v>
      </c>
      <c r="U2667" s="28"/>
      <c r="V2667" s="28">
        <v>3305006000</v>
      </c>
      <c r="W2667" s="28"/>
      <c r="X2667" s="28">
        <v>224868000</v>
      </c>
      <c r="Y2667" s="28">
        <v>6769576000</v>
      </c>
      <c r="Z2667" s="28">
        <v>4632415000</v>
      </c>
      <c r="AA2667" s="28"/>
      <c r="AB2667" s="28"/>
      <c r="AC2667" s="28">
        <v>1372298000</v>
      </c>
      <c r="AD2667" s="28">
        <v>4635915000</v>
      </c>
      <c r="AE2667" s="28">
        <v>15313016000</v>
      </c>
      <c r="AF2667" s="28">
        <v>2692903000</v>
      </c>
      <c r="AG2667" s="11"/>
    </row>
    <row r="2668">
      <c r="A2668" s="7" t="s">
        <v>4359</v>
      </c>
      <c r="B2668" s="5" t="s">
        <v>12330</v>
      </c>
      <c r="C2668" s="5" t="s">
        <v>20161</v>
      </c>
      <c r="D2668" s="5" t="str">
        <v>563804052045</v>
      </c>
      <c r="E2668" s="0" t="e">
        <f>+7 (36561) 69910
+7 (36561) 66227
+7 (36561) 69908
+7 (978) 8004262</f>
        <v>#NAME?</v>
      </c>
      <c r="F2668" s="5" t="s">
        <v>33366</v>
      </c>
      <c r="G2668" s="5" t="s">
        <v>33367</v>
      </c>
      <c r="H2668" s="26">
        <v>8</v>
      </c>
      <c r="I2668" s="5"/>
      <c r="J2668" s="5" t="s">
        <v>29330</v>
      </c>
      <c r="K2668" s="5" t="s">
        <v>344</v>
      </c>
      <c r="L2668" s="5"/>
      <c r="M2668" s="27"/>
      <c r="N2668" s="5" t="s">
        <v>53556</v>
      </c>
      <c r="O2668" s="5" t="str">
        <v>9111026240</v>
      </c>
      <c r="P2668" s="27">
        <v>2801065182</v>
      </c>
      <c r="Q2668" s="5" t="s">
        <v>53557</v>
      </c>
      <c r="R2668" s="5"/>
      <c r="S2668" s="5" t="s">
        <v>53558</v>
      </c>
      <c r="T2668" s="28">
        <v>1936945000</v>
      </c>
      <c r="U2668" s="28"/>
      <c r="V2668" s="28">
        <v>1064733000</v>
      </c>
      <c r="W2668" s="28"/>
      <c r="X2668" s="28">
        <v>56884000</v>
      </c>
      <c r="Y2668" s="28">
        <v>4059049000</v>
      </c>
      <c r="Z2668" s="28">
        <v>150022000</v>
      </c>
      <c r="AA2668" s="28">
        <v>708206000</v>
      </c>
      <c r="AB2668" s="28"/>
      <c r="AC2668" s="28">
        <v>391249000</v>
      </c>
      <c r="AD2668" s="28">
        <v>2974450000</v>
      </c>
      <c r="AE2668" s="28">
        <v>3189015000</v>
      </c>
      <c r="AF2668" s="28">
        <v>445019000</v>
      </c>
      <c r="AG2668" s="11"/>
    </row>
    <row r="2669">
      <c r="A2669" s="7" t="s">
        <v>4360</v>
      </c>
      <c r="B2669" s="5" t="s">
        <v>12331</v>
      </c>
      <c r="C2669" s="5" t="s">
        <v>20162</v>
      </c>
      <c r="D2669" s="5"/>
      <c r="E2669" s="0" t="e">
        <f>+7 (964) 5189666
+7 (495) 2283630
+7 (911) 6068208</f>
        <v>#NAME?</v>
      </c>
      <c r="F2669" s="5" t="s">
        <v>33368</v>
      </c>
      <c r="G2669" s="5" t="s">
        <v>33369</v>
      </c>
      <c r="H2669" s="26">
        <v>16</v>
      </c>
      <c r="I2669" s="5" t="s">
        <v>33370</v>
      </c>
      <c r="J2669" s="5" t="s">
        <v>30822</v>
      </c>
      <c r="K2669" s="5" t="s">
        <v>344</v>
      </c>
      <c r="L2669" s="5" t="s">
        <v>33371</v>
      </c>
      <c r="M2669" s="27">
        <v>11291701</v>
      </c>
      <c r="N2669" s="5" t="s">
        <v>53559</v>
      </c>
      <c r="O2669" s="5" t="str">
        <v>7710668349</v>
      </c>
      <c r="P2669" s="27">
        <v>30621674</v>
      </c>
      <c r="Q2669" s="5" t="s">
        <v>53560</v>
      </c>
      <c r="R2669" s="5"/>
      <c r="S2669" s="5" t="s">
        <v>50230</v>
      </c>
      <c r="T2669" s="28">
        <v>10116427000</v>
      </c>
      <c r="U2669" s="28">
        <v>6483052000</v>
      </c>
      <c r="V2669" s="28">
        <v>13858392000</v>
      </c>
      <c r="W2669" s="28"/>
      <c r="X2669" s="28">
        <v>1549320000</v>
      </c>
      <c r="Y2669" s="28">
        <v>33636091000</v>
      </c>
      <c r="Z2669" s="28">
        <v>15409651000</v>
      </c>
      <c r="AA2669" s="28">
        <v>1000000000</v>
      </c>
      <c r="AB2669" s="28"/>
      <c r="AC2669" s="28">
        <v>12767748000</v>
      </c>
      <c r="AD2669" s="28">
        <v>15440273000</v>
      </c>
      <c r="AE2669" s="28">
        <v>64400506000</v>
      </c>
      <c r="AF2669" s="28">
        <v>11924718000</v>
      </c>
      <c r="AG2669" s="11"/>
    </row>
    <row r="2670">
      <c r="A2670" s="7" t="s">
        <v>4361</v>
      </c>
      <c r="B2670" s="5" t="s">
        <v>12332</v>
      </c>
      <c r="C2670" s="5" t="s">
        <v>20163</v>
      </c>
      <c r="D2670" s="5" t="str">
        <v>615519331944</v>
      </c>
      <c r="E2670" s="0" t="e">
        <f>+7 (3652) 662004
+7 (3652) 662091
+7 (3652) 662233
+7 (3652) 662275
+7 (3652) 662441
+7 (3652) 662602
+7 (3652) 662866
+7 (3652) 662867
+7 (3652) 662114
+7 (3652) 662190
+7 (3652) 662244
+7 (3652) 662352
+7 (3652) 662430
+7 (3652) 662432
+7 (3652) 662796</f>
        <v>#NAME?</v>
      </c>
      <c r="F2670" s="5" t="s">
        <v>33372</v>
      </c>
      <c r="G2670" s="5"/>
      <c r="H2670" s="26">
        <v>8</v>
      </c>
      <c r="I2670" s="5" t="s">
        <v>33373</v>
      </c>
      <c r="J2670" s="5" t="s">
        <v>26325</v>
      </c>
      <c r="K2670" s="5" t="s">
        <v>344</v>
      </c>
      <c r="L2670" s="5"/>
      <c r="M2670" s="27">
        <v>209157911</v>
      </c>
      <c r="N2670" s="5" t="s">
        <v>53561</v>
      </c>
      <c r="O2670" s="5" t="str">
        <v>9102157783</v>
      </c>
      <c r="P2670" s="27">
        <v>8000000000</v>
      </c>
      <c r="Q2670" s="5" t="s">
        <v>53562</v>
      </c>
      <c r="R2670" s="5"/>
      <c r="S2670" s="5" t="s">
        <v>53563</v>
      </c>
      <c r="T2670" s="28">
        <v>166513464000</v>
      </c>
      <c r="U2670" s="28"/>
      <c r="V2670" s="28">
        <v>4025495000</v>
      </c>
      <c r="W2670" s="28"/>
      <c r="X2670" s="28">
        <v>170769000</v>
      </c>
      <c r="Y2670" s="28">
        <v>172891691000</v>
      </c>
      <c r="Z2670" s="28">
        <v>-9922330000</v>
      </c>
      <c r="AA2670" s="28"/>
      <c r="AB2670" s="28">
        <v>429103000</v>
      </c>
      <c r="AC2670" s="28">
        <v>4494462000</v>
      </c>
      <c r="AD2670" s="28">
        <v>170343044000</v>
      </c>
      <c r="AE2670" s="28">
        <v>5839502000</v>
      </c>
      <c r="AF2670" s="28">
        <v>-3633081000</v>
      </c>
      <c r="AG2670" s="11"/>
    </row>
    <row r="2671">
      <c r="A2671" s="7" t="s">
        <v>4362</v>
      </c>
      <c r="B2671" s="5" t="s">
        <v>12333</v>
      </c>
      <c r="C2671" s="5" t="s">
        <v>20164</v>
      </c>
      <c r="D2671" s="5" t="str">
        <v>745306208835</v>
      </c>
      <c r="E2671" s="0" t="e">
        <f>+7 (3512) 603634
+7 (3512) 630700
+7 (3512) 681433
+7 (3512) 681439
+7 (3512) 681472
+7 (3512) 681479
+7 (3512) 681495
+7 (3512) 681527
+7 (3512) 682433
+7 (3512) 683372
+7 (3512) 683800
+7 (3512) 684232
+7 (35163) 50247
+7 (3517) 277109</f>
        <v>#NAME?</v>
      </c>
      <c r="F2671" s="5" t="s">
        <v>33374</v>
      </c>
      <c r="G2671" s="5" t="s">
        <v>33375</v>
      </c>
      <c r="H2671" s="26">
        <v>18.5</v>
      </c>
      <c r="I2671" s="5" t="s">
        <v>33226</v>
      </c>
      <c r="J2671" s="5" t="s">
        <v>25349</v>
      </c>
      <c r="K2671" s="5"/>
      <c r="L2671" s="5"/>
      <c r="M2671" s="27"/>
      <c r="N2671" s="5" t="s">
        <v>53564</v>
      </c>
      <c r="O2671" s="5" t="str">
        <v>7451207988</v>
      </c>
      <c r="P2671" s="27"/>
      <c r="Q2671" s="5" t="s">
        <v>49009</v>
      </c>
      <c r="R2671" s="5"/>
      <c r="S2671" s="5" t="s">
        <v>53565</v>
      </c>
      <c r="T2671" s="28">
        <v>660569000</v>
      </c>
      <c r="U2671" s="28"/>
      <c r="V2671" s="28">
        <v>486308000</v>
      </c>
      <c r="W2671" s="28"/>
      <c r="X2671" s="28">
        <v>100659000</v>
      </c>
      <c r="Y2671" s="28">
        <v>1578944000</v>
      </c>
      <c r="Z2671" s="28"/>
      <c r="AA2671" s="28"/>
      <c r="AB2671" s="28"/>
      <c r="AC2671" s="28">
        <v>688601000</v>
      </c>
      <c r="AD2671" s="28">
        <v>890343000</v>
      </c>
      <c r="AE2671" s="28">
        <v>3206461000</v>
      </c>
      <c r="AF2671" s="28">
        <v>15954000</v>
      </c>
      <c r="AG2671" s="11"/>
    </row>
    <row r="2672">
      <c r="A2672" s="7" t="s">
        <v>4363</v>
      </c>
      <c r="B2672" s="5" t="s">
        <v>12334</v>
      </c>
      <c r="C2672" s="5" t="s">
        <v>20165</v>
      </c>
      <c r="D2672" s="5" t="str">
        <v>332400645318</v>
      </c>
      <c r="E2672" s="0" t="e">
        <f>+7 (863) 2503137
+7 (863) 2503464
+7 (863) 2503590
+7 (863) 2503676
+7 (800) 2506004
+7 (8632) 503064
+7 (8632) 503089
+7 (8632) 503097
+7 (8632) 503149
+7 (8632) 503163
+7 (8632) 503257
+7 (8632) 503421
+7 (8632) 503733
+7 (8632) 503766
+7 (8632) 541666</f>
        <v>#NAME?</v>
      </c>
      <c r="F2672" s="5" t="s">
        <v>33376</v>
      </c>
      <c r="G2672" s="5" t="s">
        <v>33377</v>
      </c>
      <c r="H2672" s="26">
        <v>19.5</v>
      </c>
      <c r="I2672" s="5" t="s">
        <v>33378</v>
      </c>
      <c r="J2672" s="5" t="s">
        <v>28406</v>
      </c>
      <c r="K2672" s="5" t="s">
        <v>344</v>
      </c>
      <c r="L2672" s="5" t="s">
        <v>33379</v>
      </c>
      <c r="M2672" s="27">
        <v>4741555</v>
      </c>
      <c r="N2672" s="5"/>
      <c r="O2672" s="5" t="str">
        <v>6166048181</v>
      </c>
      <c r="P2672" s="27">
        <v>684654698</v>
      </c>
      <c r="Q2672" s="5" t="s">
        <v>53566</v>
      </c>
      <c r="R2672" s="5"/>
      <c r="S2672" s="5" t="s">
        <v>53567</v>
      </c>
      <c r="T2672" s="28">
        <v>5783122000</v>
      </c>
      <c r="U2672" s="28">
        <v>6073089000</v>
      </c>
      <c r="V2672" s="28">
        <v>8682809000</v>
      </c>
      <c r="W2672" s="28">
        <v>3444926000</v>
      </c>
      <c r="X2672" s="28">
        <v>12381928000</v>
      </c>
      <c r="Y2672" s="28">
        <v>83583762000</v>
      </c>
      <c r="Z2672" s="28">
        <v>61271365000</v>
      </c>
      <c r="AA2672" s="28">
        <v>4000000000</v>
      </c>
      <c r="AB2672" s="28">
        <v>1205000</v>
      </c>
      <c r="AC2672" s="28">
        <v>16511659000</v>
      </c>
      <c r="AD2672" s="28">
        <v>62053849000</v>
      </c>
      <c r="AE2672" s="28">
        <v>69743551000</v>
      </c>
      <c r="AF2672" s="28">
        <v>10434465000</v>
      </c>
      <c r="AG2672" s="11"/>
    </row>
    <row r="2673">
      <c r="A2673" s="7" t="s">
        <v>4364</v>
      </c>
      <c r="B2673" s="5" t="s">
        <v>12335</v>
      </c>
      <c r="C2673" s="5" t="s">
        <v>20166</v>
      </c>
      <c r="D2673" s="5" t="str">
        <v>771977491053</v>
      </c>
      <c r="E2673" s="0" t="e">
        <f>+7 (8342) 291619
+7 (8342) 546242
+7 (8342) 546603
+7 (8342) 546622
+7 (8342) 546623
+7 (8342) 546630
+7 (8342) 546638
+7 (8342) 546639
+7 (8342) 546643
+7 (8342) 546663
+7 (8342) 546704</f>
        <v>#NAME?</v>
      </c>
      <c r="F2673" s="5" t="s">
        <v>33380</v>
      </c>
      <c r="G2673" s="5"/>
      <c r="H2673" s="26">
        <v>4</v>
      </c>
      <c r="I2673" s="5" t="s">
        <v>33381</v>
      </c>
      <c r="J2673" s="5" t="s">
        <v>655</v>
      </c>
      <c r="K2673" s="5" t="s">
        <v>344</v>
      </c>
      <c r="L2673" s="5" t="s">
        <v>33382</v>
      </c>
      <c r="M2673" s="27"/>
      <c r="N2673" s="5" t="s">
        <v>53568</v>
      </c>
      <c r="O2673" s="5" t="str">
        <v>1327034176</v>
      </c>
      <c r="P2673" s="27">
        <v>100000</v>
      </c>
      <c r="Q2673" s="5" t="s">
        <v>53569</v>
      </c>
      <c r="R2673" s="5"/>
      <c r="S2673" s="5" t="s">
        <v>49487</v>
      </c>
      <c r="T2673" s="28">
        <v>994581000</v>
      </c>
      <c r="U2673" s="28">
        <v>696077000</v>
      </c>
      <c r="V2673" s="28">
        <v>201462000</v>
      </c>
      <c r="W2673" s="28"/>
      <c r="X2673" s="28">
        <v>395352000</v>
      </c>
      <c r="Y2673" s="28">
        <v>3064666000</v>
      </c>
      <c r="Z2673" s="28">
        <v>645166000</v>
      </c>
      <c r="AA2673" s="28">
        <v>2000000</v>
      </c>
      <c r="AB2673" s="28"/>
      <c r="AC2673" s="28">
        <v>1041373000</v>
      </c>
      <c r="AD2673" s="28">
        <v>645266000</v>
      </c>
      <c r="AE2673" s="28">
        <v>9044087000</v>
      </c>
      <c r="AF2673" s="28">
        <v>497070000</v>
      </c>
      <c r="AG2673" s="11"/>
    </row>
    <row r="2674">
      <c r="A2674" s="7" t="s">
        <v>4365</v>
      </c>
      <c r="B2674" s="5" t="s">
        <v>12336</v>
      </c>
      <c r="C2674" s="5" t="s">
        <v>20167</v>
      </c>
      <c r="D2674" s="5" t="str">
        <v>614311728547</v>
      </c>
      <c r="E2674" s="0" t="e">
        <f>+7 (4862) 781740
+7 (495) 2486670
+7 (800) 7076670</f>
        <v>#NAME?</v>
      </c>
      <c r="F2674" s="5" t="s">
        <v>33383</v>
      </c>
      <c r="G2674" s="5" t="s">
        <v>33384</v>
      </c>
      <c r="H2674" s="26">
        <v>9</v>
      </c>
      <c r="I2674" s="5" t="s">
        <v>33385</v>
      </c>
      <c r="J2674" s="5" t="s">
        <v>655</v>
      </c>
      <c r="K2674" s="5" t="s">
        <v>355</v>
      </c>
      <c r="L2674" s="5" t="s">
        <v>33386</v>
      </c>
      <c r="M2674" s="27">
        <v>323194</v>
      </c>
      <c r="N2674" s="5"/>
      <c r="O2674" s="5" t="str">
        <v>7743920794</v>
      </c>
      <c r="P2674" s="27">
        <v>1000000</v>
      </c>
      <c r="Q2674" s="5" t="s">
        <v>49324</v>
      </c>
      <c r="R2674" s="5"/>
      <c r="S2674" s="5" t="s">
        <v>52146</v>
      </c>
      <c r="T2674" s="28">
        <v>327694000</v>
      </c>
      <c r="U2674" s="28"/>
      <c r="V2674" s="28">
        <v>339994000</v>
      </c>
      <c r="W2674" s="28">
        <v>33101000</v>
      </c>
      <c r="X2674" s="28">
        <v>45181000</v>
      </c>
      <c r="Y2674" s="28">
        <v>1453650000</v>
      </c>
      <c r="Z2674" s="28">
        <v>30685000</v>
      </c>
      <c r="AA2674" s="28">
        <v>357818000</v>
      </c>
      <c r="AB2674" s="28">
        <v>69187000</v>
      </c>
      <c r="AC2674" s="28">
        <v>1030466000</v>
      </c>
      <c r="AD2674" s="28">
        <v>37606000</v>
      </c>
      <c r="AE2674" s="28">
        <v>4137850000</v>
      </c>
      <c r="AF2674" s="28">
        <v>76000</v>
      </c>
      <c r="AG2674" s="11"/>
    </row>
    <row r="2675">
      <c r="A2675" s="7" t="s">
        <v>4366</v>
      </c>
      <c r="B2675" s="5" t="s">
        <v>12337</v>
      </c>
      <c r="C2675" s="5" t="s">
        <v>20168</v>
      </c>
      <c r="D2675" s="5" t="str">
        <v>380117920094</v>
      </c>
      <c r="E2675" s="0" t="e">
        <f>+7 (928) 8488807</f>
        <v>#NAME?</v>
      </c>
      <c r="F2675" s="5" t="s">
        <v>33387</v>
      </c>
      <c r="G2675" s="5"/>
      <c r="H2675" s="26">
        <v>4</v>
      </c>
      <c r="I2675" s="5" t="s">
        <v>33388</v>
      </c>
      <c r="J2675" s="5" t="s">
        <v>445</v>
      </c>
      <c r="K2675" s="5" t="s">
        <v>344</v>
      </c>
      <c r="L2675" s="5" t="s">
        <v>33389</v>
      </c>
      <c r="M2675" s="27"/>
      <c r="N2675" s="5"/>
      <c r="O2675" s="5" t="str">
        <v>2309170026</v>
      </c>
      <c r="P2675" s="27">
        <v>10000</v>
      </c>
      <c r="Q2675" s="5" t="s">
        <v>447</v>
      </c>
      <c r="R2675" s="5"/>
      <c r="S2675" s="5" t="s">
        <v>53570</v>
      </c>
      <c r="T2675" s="28">
        <v>34492000</v>
      </c>
      <c r="U2675" s="28"/>
      <c r="V2675" s="28">
        <v>399422000</v>
      </c>
      <c r="W2675" s="28"/>
      <c r="X2675" s="28">
        <v>102153000</v>
      </c>
      <c r="Y2675" s="28">
        <v>1381675000</v>
      </c>
      <c r="Z2675" s="28">
        <v>340410000</v>
      </c>
      <c r="AA2675" s="28"/>
      <c r="AB2675" s="28"/>
      <c r="AC2675" s="28">
        <v>1032405000</v>
      </c>
      <c r="AD2675" s="28">
        <v>349270000</v>
      </c>
      <c r="AE2675" s="28">
        <v>4165217000</v>
      </c>
      <c r="AF2675" s="28">
        <v>150590000</v>
      </c>
      <c r="AG2675" s="11"/>
    </row>
    <row r="2676">
      <c r="A2676" s="7" t="s">
        <v>4367</v>
      </c>
      <c r="B2676" s="5" t="s">
        <v>12338</v>
      </c>
      <c r="C2676" s="5" t="s">
        <v>20169</v>
      </c>
      <c r="D2676" s="5" t="str">
        <v>450206257034</v>
      </c>
      <c r="E2676" s="0" t="e">
        <f>+7 (83176) 51818
+7 (83176) 52585
+7 (83176) 56191
+7 (83176) 70018
+7 (83176) 70091</f>
        <v>#NAME?</v>
      </c>
      <c r="F2676" s="5" t="s">
        <v>33390</v>
      </c>
      <c r="G2676" s="5" t="s">
        <v>32058</v>
      </c>
      <c r="H2676" s="26">
        <v>30</v>
      </c>
      <c r="I2676" s="5" t="s">
        <v>33391</v>
      </c>
      <c r="J2676" s="5" t="s">
        <v>445</v>
      </c>
      <c r="K2676" s="5" t="s">
        <v>344</v>
      </c>
      <c r="L2676" s="5" t="s">
        <v>33392</v>
      </c>
      <c r="M2676" s="27">
        <v>2263278</v>
      </c>
      <c r="N2676" s="5"/>
      <c r="O2676" s="5" t="str">
        <v>5251000950</v>
      </c>
      <c r="P2676" s="27">
        <v>4935203</v>
      </c>
      <c r="Q2676" s="5" t="s">
        <v>53571</v>
      </c>
      <c r="R2676" s="5"/>
      <c r="S2676" s="5" t="s">
        <v>50951</v>
      </c>
      <c r="T2676" s="28">
        <v>772098000</v>
      </c>
      <c r="U2676" s="28">
        <v>422011000</v>
      </c>
      <c r="V2676" s="28">
        <v>752955000</v>
      </c>
      <c r="W2676" s="28">
        <v>18500000</v>
      </c>
      <c r="X2676" s="28">
        <v>96105000</v>
      </c>
      <c r="Y2676" s="28">
        <v>3207684000</v>
      </c>
      <c r="Z2676" s="28">
        <v>873254000</v>
      </c>
      <c r="AA2676" s="28">
        <v>1499956000</v>
      </c>
      <c r="AB2676" s="28"/>
      <c r="AC2676" s="28">
        <v>784615000</v>
      </c>
      <c r="AD2676" s="28">
        <v>878436000</v>
      </c>
      <c r="AE2676" s="28">
        <v>3481844000</v>
      </c>
      <c r="AF2676" s="28">
        <v>109271000</v>
      </c>
      <c r="AG2676" s="11"/>
    </row>
    <row r="2677">
      <c r="A2677" s="7" t="s">
        <v>4368</v>
      </c>
      <c r="B2677" s="5" t="s">
        <v>12339</v>
      </c>
      <c r="C2677" s="5" t="s">
        <v>20170</v>
      </c>
      <c r="D2677" s="5" t="str">
        <v>502730025527</v>
      </c>
      <c r="E2677" s="0" t="e">
        <f>+7 (474) 4140868
+7 (47541) 40868
+7 (47541) 44919
+7 (47541) 47719
+7 (47541) 48373</f>
        <v>#NAME?</v>
      </c>
      <c r="F2677" s="5" t="s">
        <v>33393</v>
      </c>
      <c r="G2677" s="5"/>
      <c r="H2677" s="26">
        <v>11.5</v>
      </c>
      <c r="I2677" s="5" t="s">
        <v>33394</v>
      </c>
      <c r="J2677" s="5" t="s">
        <v>25366</v>
      </c>
      <c r="K2677" s="5" t="s">
        <v>344</v>
      </c>
      <c r="L2677" s="5" t="s">
        <v>33395</v>
      </c>
      <c r="M2677" s="27"/>
      <c r="N2677" s="5" t="s">
        <v>53572</v>
      </c>
      <c r="O2677" s="5" t="str">
        <v>6825005321</v>
      </c>
      <c r="P2677" s="27">
        <v>10000</v>
      </c>
      <c r="Q2677" s="5" t="s">
        <v>49059</v>
      </c>
      <c r="R2677" s="5"/>
      <c r="S2677" s="5" t="s">
        <v>49066</v>
      </c>
      <c r="T2677" s="28">
        <v>386221000</v>
      </c>
      <c r="U2677" s="28">
        <v>267917000</v>
      </c>
      <c r="V2677" s="28">
        <v>905279000</v>
      </c>
      <c r="W2677" s="28">
        <v>1114250000</v>
      </c>
      <c r="X2677" s="28">
        <v>1897000</v>
      </c>
      <c r="Y2677" s="28">
        <v>3949101000</v>
      </c>
      <c r="Z2677" s="28">
        <v>2201030000</v>
      </c>
      <c r="AA2677" s="28">
        <v>1441616000</v>
      </c>
      <c r="AB2677" s="28">
        <v>20805000</v>
      </c>
      <c r="AC2677" s="28">
        <v>306293000</v>
      </c>
      <c r="AD2677" s="28">
        <v>2201192000</v>
      </c>
      <c r="AE2677" s="28">
        <v>4368764000</v>
      </c>
      <c r="AF2677" s="28">
        <v>160366000</v>
      </c>
      <c r="AG2677" s="11"/>
    </row>
    <row r="2678">
      <c r="A2678" s="7" t="s">
        <v>4369</v>
      </c>
      <c r="B2678" s="5" t="s">
        <v>12340</v>
      </c>
      <c r="C2678" s="5" t="s">
        <v>18866</v>
      </c>
      <c r="D2678" s="5"/>
      <c r="E2678" s="0" t="e">
        <f>+7 (8332) 406501
+7 (8332) 406625
+7 (8332) 237355
+7 (8332) 371722
+7 (8332) 406502
+7 (8332) 406674
+7 (8332) 406687</f>
        <v>#NAME?</v>
      </c>
      <c r="F2678" s="5" t="s">
        <v>33396</v>
      </c>
      <c r="G2678" s="5" t="s">
        <v>33397</v>
      </c>
      <c r="H2678" s="26">
        <v>30</v>
      </c>
      <c r="I2678" s="5" t="s">
        <v>33398</v>
      </c>
      <c r="J2678" s="5" t="s">
        <v>32455</v>
      </c>
      <c r="K2678" s="5" t="s">
        <v>344</v>
      </c>
      <c r="L2678" s="5"/>
      <c r="M2678" s="27"/>
      <c r="N2678" s="5"/>
      <c r="O2678" s="5" t="str">
        <v>4347000477</v>
      </c>
      <c r="P2678" s="27">
        <v>15642000</v>
      </c>
      <c r="Q2678" s="5" t="s">
        <v>53573</v>
      </c>
      <c r="R2678" s="5"/>
      <c r="S2678" s="5" t="s">
        <v>51401</v>
      </c>
      <c r="T2678" s="28">
        <v>2599597000</v>
      </c>
      <c r="U2678" s="28">
        <v>99000</v>
      </c>
      <c r="V2678" s="28">
        <v>1728444000</v>
      </c>
      <c r="W2678" s="28"/>
      <c r="X2678" s="28">
        <v>116985000</v>
      </c>
      <c r="Y2678" s="28">
        <v>6274954000</v>
      </c>
      <c r="Z2678" s="28">
        <v>2616666000</v>
      </c>
      <c r="AA2678" s="28"/>
      <c r="AB2678" s="28">
        <v>1602460000</v>
      </c>
      <c r="AC2678" s="28">
        <v>3524713000</v>
      </c>
      <c r="AD2678" s="28">
        <v>2632597000</v>
      </c>
      <c r="AE2678" s="28">
        <v>16081194000</v>
      </c>
      <c r="AF2678" s="28">
        <v>939712000</v>
      </c>
      <c r="AG2678" s="11"/>
    </row>
    <row r="2679">
      <c r="A2679" s="7" t="s">
        <v>4370</v>
      </c>
      <c r="B2679" s="5" t="s">
        <v>12341</v>
      </c>
      <c r="C2679" s="5" t="s">
        <v>20171</v>
      </c>
      <c r="D2679" s="5" t="str">
        <v>165103612020</v>
      </c>
      <c r="E2679" s="0" t="e">
        <f>+7 (917) 2716999
+7 (8435) 720116
+7 (85552) 44111
+7 (85552) 44121
+7 (85552) 44166</f>
        <v>#NAME?</v>
      </c>
      <c r="F2679" s="5" t="s">
        <v>33399</v>
      </c>
      <c r="G2679" s="5" t="s">
        <v>33400</v>
      </c>
      <c r="H2679" s="26">
        <v>19.5</v>
      </c>
      <c r="I2679" s="5" t="s">
        <v>33401</v>
      </c>
      <c r="J2679" s="5" t="s">
        <v>28075</v>
      </c>
      <c r="K2679" s="5" t="s">
        <v>344</v>
      </c>
      <c r="L2679" s="5" t="s">
        <v>33402</v>
      </c>
      <c r="M2679" s="27"/>
      <c r="N2679" s="5" t="s">
        <v>53574</v>
      </c>
      <c r="O2679" s="5" t="str">
        <v>1651037080</v>
      </c>
      <c r="P2679" s="27">
        <v>100000</v>
      </c>
      <c r="Q2679" s="5"/>
      <c r="R2679" s="5"/>
      <c r="S2679" s="5" t="s">
        <v>49399</v>
      </c>
      <c r="T2679" s="28">
        <v>1367570000</v>
      </c>
      <c r="U2679" s="28">
        <v>393289000</v>
      </c>
      <c r="V2679" s="28">
        <v>845788000</v>
      </c>
      <c r="W2679" s="28"/>
      <c r="X2679" s="28">
        <v>10485000</v>
      </c>
      <c r="Y2679" s="28">
        <v>4117466000</v>
      </c>
      <c r="Z2679" s="28">
        <v>2234966000</v>
      </c>
      <c r="AA2679" s="28"/>
      <c r="AB2679" s="28">
        <v>918000000</v>
      </c>
      <c r="AC2679" s="28">
        <v>1669032000</v>
      </c>
      <c r="AD2679" s="28">
        <v>2235066000</v>
      </c>
      <c r="AE2679" s="28">
        <v>9082512000</v>
      </c>
      <c r="AF2679" s="28">
        <v>1271596000</v>
      </c>
      <c r="AG2679" s="11"/>
    </row>
    <row r="2680">
      <c r="A2680" s="7" t="s">
        <v>4371</v>
      </c>
      <c r="B2680" s="5" t="s">
        <v>12342</v>
      </c>
      <c r="C2680" s="5" t="s">
        <v>20172</v>
      </c>
      <c r="D2680" s="5" t="str">
        <v>691101523926</v>
      </c>
      <c r="E2680" s="0" t="e">
        <f>+7 (910) 5321852
+7 (48242) 43046
+7 (48242) 49701
+7 (48242) 49702
+7 (48242) 49707
+7 (48242) 49729</f>
        <v>#NAME?</v>
      </c>
      <c r="F2680" s="5" t="s">
        <v>33403</v>
      </c>
      <c r="G2680" s="5" t="s">
        <v>33404</v>
      </c>
      <c r="H2680" s="26">
        <v>27</v>
      </c>
      <c r="I2680" s="5"/>
      <c r="J2680" s="5" t="s">
        <v>445</v>
      </c>
      <c r="K2680" s="5" t="s">
        <v>344</v>
      </c>
      <c r="L2680" s="5"/>
      <c r="M2680" s="27"/>
      <c r="N2680" s="5" t="s">
        <v>53575</v>
      </c>
      <c r="O2680" s="5" t="str">
        <v>6911000550</v>
      </c>
      <c r="P2680" s="27">
        <v>93040000</v>
      </c>
      <c r="Q2680" s="5" t="s">
        <v>49009</v>
      </c>
      <c r="R2680" s="5"/>
      <c r="S2680" s="5" t="s">
        <v>49066</v>
      </c>
      <c r="T2680" s="28">
        <v>561978000</v>
      </c>
      <c r="U2680" s="28">
        <v>873000</v>
      </c>
      <c r="V2680" s="28">
        <v>355328000</v>
      </c>
      <c r="W2680" s="28">
        <v>2748400000</v>
      </c>
      <c r="X2680" s="28">
        <v>55898000</v>
      </c>
      <c r="Y2680" s="28">
        <v>5107085000</v>
      </c>
      <c r="Z2680" s="28">
        <v>3150463000</v>
      </c>
      <c r="AA2680" s="28"/>
      <c r="AB2680" s="28"/>
      <c r="AC2680" s="28">
        <v>1714415000</v>
      </c>
      <c r="AD2680" s="28">
        <v>3248155000</v>
      </c>
      <c r="AE2680" s="28">
        <v>3749175000</v>
      </c>
      <c r="AF2680" s="28">
        <v>347893000</v>
      </c>
      <c r="AG2680" s="11"/>
    </row>
    <row r="2681">
      <c r="A2681" s="7" t="s">
        <v>4372</v>
      </c>
      <c r="B2681" s="5" t="s">
        <v>12343</v>
      </c>
      <c r="C2681" s="5" t="s">
        <v>20173</v>
      </c>
      <c r="D2681" s="5"/>
      <c r="E2681" s="0" t="e">
        <f>+7 (343) 3721357
+7 (343) 3721358
+7 (343) 3721353
+7 (343) 3721354
+7 (343) 3721355
+7 (34374) 27274
+7 (34374) 27479</f>
        <v>#NAME?</v>
      </c>
      <c r="F2681" s="5" t="s">
        <v>33405</v>
      </c>
      <c r="G2681" s="5" t="s">
        <v>33406</v>
      </c>
      <c r="H2681" s="26">
        <v>30</v>
      </c>
      <c r="I2681" s="5" t="s">
        <v>33407</v>
      </c>
      <c r="J2681" s="5" t="s">
        <v>31498</v>
      </c>
      <c r="K2681" s="5" t="s">
        <v>344</v>
      </c>
      <c r="L2681" s="5"/>
      <c r="M2681" s="27">
        <v>21269425</v>
      </c>
      <c r="N2681" s="5" t="s">
        <v>53576</v>
      </c>
      <c r="O2681" s="5" t="str">
        <v>6652002273</v>
      </c>
      <c r="P2681" s="27">
        <v>73187226</v>
      </c>
      <c r="Q2681" s="5" t="s">
        <v>49021</v>
      </c>
      <c r="R2681" s="5"/>
      <c r="S2681" s="5" t="s">
        <v>53577</v>
      </c>
      <c r="T2681" s="28">
        <v>1667551000</v>
      </c>
      <c r="U2681" s="28">
        <v>151802000</v>
      </c>
      <c r="V2681" s="28">
        <v>3095998000</v>
      </c>
      <c r="W2681" s="28">
        <v>99391000</v>
      </c>
      <c r="X2681" s="28">
        <v>63170000</v>
      </c>
      <c r="Y2681" s="28">
        <v>6093136000</v>
      </c>
      <c r="Z2681" s="28">
        <v>-1064402000</v>
      </c>
      <c r="AA2681" s="28">
        <v>351688000</v>
      </c>
      <c r="AB2681" s="28">
        <v>1988204000</v>
      </c>
      <c r="AC2681" s="28">
        <v>5054960000</v>
      </c>
      <c r="AD2681" s="28">
        <v>667116000</v>
      </c>
      <c r="AE2681" s="28">
        <v>7968630000</v>
      </c>
      <c r="AF2681" s="28">
        <v>929199000</v>
      </c>
      <c r="AG2681" s="11"/>
    </row>
    <row r="2682">
      <c r="A2682" s="7" t="s">
        <v>4373</v>
      </c>
      <c r="B2682" s="5" t="s">
        <v>12344</v>
      </c>
      <c r="C2682" s="5" t="s">
        <v>20174</v>
      </c>
      <c r="D2682" s="5" t="str">
        <v>246102893901</v>
      </c>
      <c r="E2682" s="0" t="e">
        <f>+7 (391) 2319622
+7 (391) 2319640
+7 (391) 2631203
+7 (391) 2631234
+7 (391) 2631254
+7 (391) 2639622
+7 (391) 2639640
+7 (391) 2639660
+7 (391) 2644006
+7 (391) 2644628</f>
        <v>#NAME?</v>
      </c>
      <c r="F2682" s="5" t="s">
        <v>33408</v>
      </c>
      <c r="G2682" s="5" t="s">
        <v>33409</v>
      </c>
      <c r="H2682" s="26">
        <v>29.5</v>
      </c>
      <c r="I2682" s="5"/>
      <c r="J2682" s="5" t="s">
        <v>26243</v>
      </c>
      <c r="K2682" s="5" t="s">
        <v>344</v>
      </c>
      <c r="L2682" s="5" t="s">
        <v>33410</v>
      </c>
      <c r="M2682" s="27">
        <v>23111554</v>
      </c>
      <c r="N2682" s="5"/>
      <c r="O2682" s="5" t="str">
        <v>2451000695</v>
      </c>
      <c r="P2682" s="27">
        <v>201400000</v>
      </c>
      <c r="Q2682" s="5" t="s">
        <v>49021</v>
      </c>
      <c r="R2682" s="5"/>
      <c r="S2682" s="5" t="s">
        <v>53579</v>
      </c>
      <c r="T2682" s="28">
        <v>463828000</v>
      </c>
      <c r="U2682" s="28">
        <v>43934000</v>
      </c>
      <c r="V2682" s="28">
        <v>826978000</v>
      </c>
      <c r="W2682" s="28">
        <v>58000</v>
      </c>
      <c r="X2682" s="28">
        <v>106324000</v>
      </c>
      <c r="Y2682" s="28">
        <v>3580166000</v>
      </c>
      <c r="Z2682" s="28">
        <v>854740000</v>
      </c>
      <c r="AA2682" s="28"/>
      <c r="AB2682" s="28">
        <v>763921000</v>
      </c>
      <c r="AC2682" s="28">
        <v>2397437000</v>
      </c>
      <c r="AD2682" s="28">
        <v>1137275000</v>
      </c>
      <c r="AE2682" s="28">
        <v>11804512000</v>
      </c>
      <c r="AF2682" s="28">
        <v>124146000</v>
      </c>
      <c r="AG2682" s="11"/>
    </row>
    <row r="2683">
      <c r="A2683" s="7" t="s">
        <v>4374</v>
      </c>
      <c r="B2683" s="5" t="s">
        <v>12345</v>
      </c>
      <c r="C2683" s="5" t="s">
        <v>20175</v>
      </c>
      <c r="D2683" s="5" t="str">
        <v>027619783320</v>
      </c>
      <c r="E2683" s="0" t="e">
        <f>+7 (34667) 66100
+7 (34667) 66400
+7 (34667) 66440
+7 (34667) 66444
+7 (34667) 92900</f>
        <v>#NAME?</v>
      </c>
      <c r="F2683" s="5" t="s">
        <v>33411</v>
      </c>
      <c r="G2683" s="5"/>
      <c r="H2683" s="26">
        <v>12</v>
      </c>
      <c r="I2683" s="5" t="s">
        <v>33412</v>
      </c>
      <c r="J2683" s="5" t="s">
        <v>26799</v>
      </c>
      <c r="K2683" s="5" t="s">
        <v>344</v>
      </c>
      <c r="L2683" s="5"/>
      <c r="M2683" s="27"/>
      <c r="N2683" s="5" t="s">
        <v>53580</v>
      </c>
      <c r="O2683" s="5" t="str">
        <v>8608054808</v>
      </c>
      <c r="P2683" s="27">
        <v>1000000</v>
      </c>
      <c r="Q2683" s="5" t="s">
        <v>49009</v>
      </c>
      <c r="R2683" s="5"/>
      <c r="S2683" s="5" t="s">
        <v>49020</v>
      </c>
      <c r="T2683" s="28">
        <v>268813000</v>
      </c>
      <c r="U2683" s="28"/>
      <c r="V2683" s="28">
        <v>1160996000</v>
      </c>
      <c r="W2683" s="28"/>
      <c r="X2683" s="28">
        <v>275000</v>
      </c>
      <c r="Y2683" s="28">
        <v>2041302000</v>
      </c>
      <c r="Z2683" s="28">
        <v>156668000</v>
      </c>
      <c r="AA2683" s="28"/>
      <c r="AB2683" s="28">
        <v>311087000</v>
      </c>
      <c r="AC2683" s="28">
        <v>1510471000</v>
      </c>
      <c r="AD2683" s="28">
        <v>530430000</v>
      </c>
      <c r="AE2683" s="28">
        <v>4518316000</v>
      </c>
      <c r="AF2683" s="28">
        <v>124531000</v>
      </c>
      <c r="AG2683" s="11"/>
    </row>
    <row r="2684">
      <c r="A2684" s="7" t="s">
        <v>4375</v>
      </c>
      <c r="B2684" s="5" t="s">
        <v>12346</v>
      </c>
      <c r="C2684" s="5" t="s">
        <v>20176</v>
      </c>
      <c r="D2684" s="5" t="str">
        <v>770511240729</v>
      </c>
      <c r="E2684" s="0" t="e">
        <f>+7 (495) 2870900
+7 (495) 2870901
+7 (495) 9663400
+7 (495) 9663401
+7 (495) 9663410
+7 (495) 9823900
+7 (495) 9823901
+7 (800) 3010880
+7 (800) 7003711</f>
        <v>#NAME?</v>
      </c>
      <c r="F2684" s="5" t="s">
        <v>33413</v>
      </c>
      <c r="G2684" s="5" t="s">
        <v>33414</v>
      </c>
      <c r="H2684" s="26">
        <v>14.5</v>
      </c>
      <c r="I2684" s="5" t="s">
        <v>33415</v>
      </c>
      <c r="J2684" s="5" t="s">
        <v>25641</v>
      </c>
      <c r="K2684" s="5" t="s">
        <v>344</v>
      </c>
      <c r="L2684" s="5" t="s">
        <v>33416</v>
      </c>
      <c r="M2684" s="27">
        <v>5884045</v>
      </c>
      <c r="N2684" s="5"/>
      <c r="O2684" s="5" t="str">
        <v>7728674093</v>
      </c>
      <c r="P2684" s="27">
        <v>519077400</v>
      </c>
      <c r="Q2684" s="5" t="s">
        <v>49355</v>
      </c>
      <c r="R2684" s="5"/>
      <c r="S2684" s="5" t="s">
        <v>53581</v>
      </c>
      <c r="T2684" s="28">
        <v>726937000</v>
      </c>
      <c r="U2684" s="28"/>
      <c r="V2684" s="28">
        <v>9157489000</v>
      </c>
      <c r="W2684" s="28"/>
      <c r="X2684" s="28">
        <v>60696841000</v>
      </c>
      <c r="Y2684" s="28">
        <v>76596283000</v>
      </c>
      <c r="Z2684" s="28">
        <v>62720669000</v>
      </c>
      <c r="AA2684" s="28"/>
      <c r="AB2684" s="28"/>
      <c r="AC2684" s="28">
        <v>9905702000</v>
      </c>
      <c r="AD2684" s="28">
        <v>65895285000</v>
      </c>
      <c r="AE2684" s="28">
        <v>111261332000</v>
      </c>
      <c r="AF2684" s="28">
        <v>20454698000</v>
      </c>
      <c r="AG2684" s="11"/>
    </row>
    <row r="2685">
      <c r="A2685" s="7" t="s">
        <v>4376</v>
      </c>
      <c r="B2685" s="5" t="s">
        <v>12347</v>
      </c>
      <c r="C2685" s="5" t="s">
        <v>20177</v>
      </c>
      <c r="D2685" s="5" t="str">
        <v>246506243105</v>
      </c>
      <c r="E2685" s="0" t="e">
        <f>+7 (495) 7806630
+7 (495) 2313645
+7 (495) 7835959
+7 (495) 7836900
+7 (800) 3011131
+7 (800) 7077759</f>
        <v>#NAME?</v>
      </c>
      <c r="F2685" s="5" t="s">
        <v>33417</v>
      </c>
      <c r="G2685" s="5" t="s">
        <v>33418</v>
      </c>
      <c r="H2685" s="26">
        <v>19</v>
      </c>
      <c r="I2685" s="5"/>
      <c r="J2685" s="5" t="s">
        <v>30822</v>
      </c>
      <c r="K2685" s="5" t="s">
        <v>344</v>
      </c>
      <c r="L2685" s="5" t="s">
        <v>33419</v>
      </c>
      <c r="M2685" s="27"/>
      <c r="N2685" s="5" t="s">
        <v>53582</v>
      </c>
      <c r="O2685" s="5" t="str">
        <v>7707510721</v>
      </c>
      <c r="P2685" s="27">
        <v>15660000</v>
      </c>
      <c r="Q2685" s="5" t="s">
        <v>49009</v>
      </c>
      <c r="R2685" s="5"/>
      <c r="S2685" s="5" t="s">
        <v>49120</v>
      </c>
      <c r="T2685" s="28">
        <v>581418000</v>
      </c>
      <c r="U2685" s="28">
        <v>1195968000</v>
      </c>
      <c r="V2685" s="28">
        <v>3543204000</v>
      </c>
      <c r="W2685" s="28">
        <v>7173667000</v>
      </c>
      <c r="X2685" s="28">
        <v>3835342000</v>
      </c>
      <c r="Y2685" s="28">
        <v>16673737000</v>
      </c>
      <c r="Z2685" s="28">
        <v>11629886000</v>
      </c>
      <c r="AA2685" s="28"/>
      <c r="AB2685" s="28">
        <v>1300000000</v>
      </c>
      <c r="AC2685" s="28">
        <v>3678172000</v>
      </c>
      <c r="AD2685" s="28">
        <v>12593714000</v>
      </c>
      <c r="AE2685" s="28">
        <v>3975226000</v>
      </c>
      <c r="AF2685" s="28">
        <v>4819923000</v>
      </c>
      <c r="AG2685" s="11"/>
    </row>
    <row r="2686">
      <c r="A2686" s="7" t="s">
        <v>4377</v>
      </c>
      <c r="B2686" s="5" t="s">
        <v>12348</v>
      </c>
      <c r="C2686" s="5" t="s">
        <v>20178</v>
      </c>
      <c r="D2686" s="5" t="str">
        <v>772489524116</v>
      </c>
      <c r="E2686" s="0" t="e">
        <f>+7 (495) 2285808
+7 (87239) 22090
+7 (928) 6704424
+7 (989) 6629992</f>
        <v>#NAME?</v>
      </c>
      <c r="F2686" s="5" t="s">
        <v>33420</v>
      </c>
      <c r="G2686" s="5" t="s">
        <v>33421</v>
      </c>
      <c r="H2686" s="26">
        <v>32.5</v>
      </c>
      <c r="I2686" s="5"/>
      <c r="J2686" s="5" t="s">
        <v>26503</v>
      </c>
      <c r="K2686" s="5" t="s">
        <v>344</v>
      </c>
      <c r="L2686" s="5"/>
      <c r="M2686" s="27"/>
      <c r="N2686" s="5"/>
      <c r="O2686" s="5" t="str">
        <v>0547011052</v>
      </c>
      <c r="P2686" s="27">
        <v>5577854000</v>
      </c>
      <c r="Q2686" s="5" t="s">
        <v>53583</v>
      </c>
      <c r="R2686" s="5"/>
      <c r="S2686" s="5" t="s">
        <v>53584</v>
      </c>
      <c r="T2686" s="28">
        <v>838121000</v>
      </c>
      <c r="U2686" s="28"/>
      <c r="V2686" s="28">
        <v>1409032000</v>
      </c>
      <c r="W2686" s="28"/>
      <c r="X2686" s="28">
        <v>81178000</v>
      </c>
      <c r="Y2686" s="28">
        <v>9411074000</v>
      </c>
      <c r="Z2686" s="28">
        <v>1143709000</v>
      </c>
      <c r="AA2686" s="28">
        <v>100000000</v>
      </c>
      <c r="AB2686" s="28">
        <v>550000000</v>
      </c>
      <c r="AC2686" s="28">
        <v>2303323000</v>
      </c>
      <c r="AD2686" s="28">
        <v>6796062000</v>
      </c>
      <c r="AE2686" s="28">
        <v>3956077000</v>
      </c>
      <c r="AF2686" s="28">
        <v>567791000</v>
      </c>
      <c r="AG2686" s="11"/>
    </row>
    <row r="2687">
      <c r="A2687" s="7" t="s">
        <v>4378</v>
      </c>
      <c r="B2687" s="5" t="s">
        <v>12349</v>
      </c>
      <c r="C2687" s="5" t="s">
        <v>20179</v>
      </c>
      <c r="D2687" s="5" t="str">
        <v>540610377374</v>
      </c>
      <c r="E2687" s="0" t="e">
        <f>+7 (495) 7254384
+7 (495) 7254383
+7 (495) 7254654
+7 (49664) 90150
+7 (800) 2005757</f>
        <v>#NAME?</v>
      </c>
      <c r="F2687" s="5" t="s">
        <v>33422</v>
      </c>
      <c r="G2687" s="5" t="s">
        <v>33423</v>
      </c>
      <c r="H2687" s="26">
        <v>26</v>
      </c>
      <c r="I2687" s="5" t="s">
        <v>33424</v>
      </c>
      <c r="J2687" s="5" t="s">
        <v>31349</v>
      </c>
      <c r="K2687" s="5" t="s">
        <v>344</v>
      </c>
      <c r="L2687" s="5" t="s">
        <v>33425</v>
      </c>
      <c r="M2687" s="27"/>
      <c r="N2687" s="5"/>
      <c r="O2687" s="5" t="str">
        <v>7709222373</v>
      </c>
      <c r="P2687" s="27">
        <v>4703805426</v>
      </c>
      <c r="Q2687" s="5" t="s">
        <v>49009</v>
      </c>
      <c r="R2687" s="5"/>
      <c r="S2687" s="5" t="s">
        <v>49066</v>
      </c>
      <c r="T2687" s="28">
        <v>4963898000</v>
      </c>
      <c r="U2687" s="28"/>
      <c r="V2687" s="28">
        <v>3547292000</v>
      </c>
      <c r="W2687" s="28">
        <v>3883310000</v>
      </c>
      <c r="X2687" s="28">
        <v>5725331000</v>
      </c>
      <c r="Y2687" s="28">
        <v>25051843000</v>
      </c>
      <c r="Z2687" s="28">
        <v>3061189000</v>
      </c>
      <c r="AA2687" s="28"/>
      <c r="AB2687" s="28"/>
      <c r="AC2687" s="28">
        <v>8972940000</v>
      </c>
      <c r="AD2687" s="28">
        <v>15724276000</v>
      </c>
      <c r="AE2687" s="28">
        <v>36471219000</v>
      </c>
      <c r="AF2687" s="28">
        <v>4448150000</v>
      </c>
      <c r="AG2687" s="11"/>
    </row>
    <row r="2688">
      <c r="A2688" s="7" t="s">
        <v>4379</v>
      </c>
      <c r="B2688" s="5" t="s">
        <v>12350</v>
      </c>
      <c r="C2688" s="5" t="s">
        <v>20180</v>
      </c>
      <c r="D2688" s="5" t="str">
        <v>770205772026</v>
      </c>
      <c r="E2688" s="0" t="e">
        <f>+7 (495) 7410004
+7 (384) 2365214
+7 (495) 2151315
+7 (495) 2322600
+7 (495) 2520853
+7 (495) 6404771
+7 (495) 7410000
+7 (495) 7410018
+7 (495) 7751999
+7 (800) 7009004
+7 (8432) 9009
+7 (8432) 9400</f>
        <v>#NAME?</v>
      </c>
      <c r="F2688" s="5"/>
      <c r="G2688" s="5" t="s">
        <v>33426</v>
      </c>
      <c r="H2688" s="26">
        <v>12</v>
      </c>
      <c r="I2688" s="5" t="s">
        <v>33427</v>
      </c>
      <c r="J2688" s="5" t="s">
        <v>28069</v>
      </c>
      <c r="K2688" s="5" t="s">
        <v>344</v>
      </c>
      <c r="L2688" s="5" t="s">
        <v>33428</v>
      </c>
      <c r="M2688" s="27"/>
      <c r="N2688" s="5"/>
      <c r="O2688" s="5" t="str">
        <v>7702760975</v>
      </c>
      <c r="P2688" s="27">
        <v>100000000</v>
      </c>
      <c r="Q2688" s="5" t="s">
        <v>49009</v>
      </c>
      <c r="R2688" s="5"/>
      <c r="S2688" s="5" t="s">
        <v>49010</v>
      </c>
      <c r="T2688" s="28">
        <v>54112000</v>
      </c>
      <c r="U2688" s="28"/>
      <c r="V2688" s="28">
        <v>12515000</v>
      </c>
      <c r="W2688" s="28"/>
      <c r="X2688" s="28">
        <v>876651000</v>
      </c>
      <c r="Y2688" s="28">
        <v>1812136000</v>
      </c>
      <c r="Z2688" s="28">
        <v>1452305000</v>
      </c>
      <c r="AA2688" s="28"/>
      <c r="AB2688" s="28"/>
      <c r="AC2688" s="28">
        <v>259831000</v>
      </c>
      <c r="AD2688" s="28">
        <v>1552305000</v>
      </c>
      <c r="AE2688" s="28">
        <v>3209978000</v>
      </c>
      <c r="AF2688" s="28">
        <v>856420000</v>
      </c>
      <c r="AG2688" s="11"/>
    </row>
    <row r="2689">
      <c r="A2689" s="7" t="s">
        <v>4380</v>
      </c>
      <c r="B2689" s="5" t="s">
        <v>12351</v>
      </c>
      <c r="C2689" s="5" t="s">
        <v>20181</v>
      </c>
      <c r="D2689" s="5" t="str">
        <v>502700731927</v>
      </c>
      <c r="E2689" s="0" t="e">
        <f>+7 (495) 6465832
+7 (495) 9831111
+7 (800) 7002244
+7 (926) 2205887
+7 (926) 2233248</f>
        <v>#NAME?</v>
      </c>
      <c r="F2689" s="5" t="s">
        <v>33429</v>
      </c>
      <c r="G2689" s="5" t="s">
        <v>33430</v>
      </c>
      <c r="H2689" s="26">
        <v>14.5</v>
      </c>
      <c r="I2689" s="5" t="s">
        <v>33431</v>
      </c>
      <c r="J2689" s="5" t="s">
        <v>678</v>
      </c>
      <c r="K2689" s="5" t="s">
        <v>344</v>
      </c>
      <c r="L2689" s="5" t="s">
        <v>33432</v>
      </c>
      <c r="M2689" s="27"/>
      <c r="N2689" s="5" t="s">
        <v>53585</v>
      </c>
      <c r="O2689" s="5" t="str">
        <v>5027141583</v>
      </c>
      <c r="P2689" s="27">
        <v>10000</v>
      </c>
      <c r="Q2689" s="5" t="s">
        <v>49009</v>
      </c>
      <c r="R2689" s="5"/>
      <c r="S2689" s="5" t="s">
        <v>49045</v>
      </c>
      <c r="T2689" s="28">
        <v>46492000</v>
      </c>
      <c r="U2689" s="28">
        <v>13735000</v>
      </c>
      <c r="V2689" s="28">
        <v>263905000</v>
      </c>
      <c r="W2689" s="28">
        <v>137315000</v>
      </c>
      <c r="X2689" s="28">
        <v>5633000</v>
      </c>
      <c r="Y2689" s="28">
        <v>1190691000</v>
      </c>
      <c r="Z2689" s="28">
        <v>1103728000</v>
      </c>
      <c r="AA2689" s="28"/>
      <c r="AB2689" s="28"/>
      <c r="AC2689" s="28">
        <v>85119000</v>
      </c>
      <c r="AD2689" s="28">
        <v>1103738000</v>
      </c>
      <c r="AE2689" s="28">
        <v>3194466000</v>
      </c>
      <c r="AF2689" s="28">
        <v>472961000</v>
      </c>
      <c r="AG2689" s="11"/>
    </row>
    <row r="2690">
      <c r="A2690" s="7" t="s">
        <v>4381</v>
      </c>
      <c r="B2690" s="5" t="s">
        <v>12352</v>
      </c>
      <c r="C2690" s="5" t="s">
        <v>20182</v>
      </c>
      <c r="D2690" s="5" t="str">
        <v>780601894948</v>
      </c>
      <c r="E2690" s="0" t="e">
        <f>+7 (812) 3253347
+7 (812) 3253349
+7 (81368) 21520
+7 (81372) 21577
+7 (81379) 37278</f>
        <v>#NAME?</v>
      </c>
      <c r="F2690" s="5" t="s">
        <v>33433</v>
      </c>
      <c r="G2690" s="5"/>
      <c r="H2690" s="26">
        <v>31</v>
      </c>
      <c r="I2690" s="5" t="s">
        <v>33434</v>
      </c>
      <c r="J2690" s="5" t="s">
        <v>27115</v>
      </c>
      <c r="K2690" s="5" t="s">
        <v>344</v>
      </c>
      <c r="L2690" s="5" t="s">
        <v>33435</v>
      </c>
      <c r="M2690" s="27"/>
      <c r="N2690" s="5" t="s">
        <v>53586</v>
      </c>
      <c r="O2690" s="5" t="str">
        <v>7840016802</v>
      </c>
      <c r="P2690" s="27">
        <v>14458333</v>
      </c>
      <c r="Q2690" s="5" t="s">
        <v>49057</v>
      </c>
      <c r="R2690" s="5"/>
      <c r="S2690" s="5" t="s">
        <v>53587</v>
      </c>
      <c r="T2690" s="28">
        <v>3453674000</v>
      </c>
      <c r="U2690" s="28"/>
      <c r="V2690" s="28">
        <v>53305000</v>
      </c>
      <c r="W2690" s="28">
        <v>2100000000</v>
      </c>
      <c r="X2690" s="28">
        <v>408856000</v>
      </c>
      <c r="Y2690" s="28">
        <v>6562147000</v>
      </c>
      <c r="Z2690" s="28">
        <v>4934574000</v>
      </c>
      <c r="AA2690" s="28"/>
      <c r="AB2690" s="28"/>
      <c r="AC2690" s="28">
        <v>1379251000</v>
      </c>
      <c r="AD2690" s="28">
        <v>4970264000</v>
      </c>
      <c r="AE2690" s="28">
        <v>17524110000</v>
      </c>
      <c r="AF2690" s="28">
        <v>1116691000</v>
      </c>
      <c r="AG2690" s="11"/>
    </row>
    <row r="2691">
      <c r="A2691" s="7" t="s">
        <v>4382</v>
      </c>
      <c r="B2691" s="5" t="s">
        <v>12353</v>
      </c>
      <c r="C2691" s="5" t="s">
        <v>20183</v>
      </c>
      <c r="D2691" s="5" t="str">
        <v>434520374480</v>
      </c>
      <c r="E2691" s="0" t="e">
        <f>+7 (8332) 761808
+7 (8332) 761895
+7 (8332) 761909
+7 (982) 3838002</f>
        <v>#NAME?</v>
      </c>
      <c r="F2691" s="5" t="s">
        <v>33436</v>
      </c>
      <c r="G2691" s="5"/>
      <c r="H2691" s="26">
        <v>6</v>
      </c>
      <c r="I2691" s="5" t="s">
        <v>33437</v>
      </c>
      <c r="J2691" s="5" t="s">
        <v>26281</v>
      </c>
      <c r="K2691" s="5" t="s">
        <v>344</v>
      </c>
      <c r="L2691" s="5"/>
      <c r="M2691" s="27"/>
      <c r="N2691" s="5"/>
      <c r="O2691" s="5" t="str">
        <v>4345465597</v>
      </c>
      <c r="P2691" s="27">
        <v>348423221</v>
      </c>
      <c r="Q2691" s="5" t="s">
        <v>49009</v>
      </c>
      <c r="R2691" s="5" t="s">
        <v>53589</v>
      </c>
      <c r="S2691" s="5" t="s">
        <v>49066</v>
      </c>
      <c r="T2691" s="28">
        <v>4443801000</v>
      </c>
      <c r="U2691" s="28"/>
      <c r="V2691" s="28">
        <v>59765000</v>
      </c>
      <c r="W2691" s="28"/>
      <c r="X2691" s="28">
        <v>9108000</v>
      </c>
      <c r="Y2691" s="28">
        <v>4755303000</v>
      </c>
      <c r="Z2691" s="28">
        <v>777855000</v>
      </c>
      <c r="AA2691" s="28">
        <v>2512229000</v>
      </c>
      <c r="AB2691" s="28"/>
      <c r="AC2691" s="28">
        <v>1055515000</v>
      </c>
      <c r="AD2691" s="28">
        <v>1126278000</v>
      </c>
      <c r="AE2691" s="28">
        <v>3820667000</v>
      </c>
      <c r="AF2691" s="28">
        <v>40312000</v>
      </c>
      <c r="AG2691" s="11"/>
    </row>
    <row r="2692">
      <c r="A2692" s="7" t="s">
        <v>4383</v>
      </c>
      <c r="B2692" s="5" t="s">
        <v>12354</v>
      </c>
      <c r="C2692" s="5" t="s">
        <v>20184</v>
      </c>
      <c r="D2692" s="5" t="str">
        <v>434532492696</v>
      </c>
      <c r="E2692" s="0" t="e">
        <f>+7 (8332) 489083
+7 (8332) 577606
+7 (8332) 630488
+7 (8332) 630618
+7 (8332) 630714
+7 (8332) 631130
+7 (8332) 631497
+7 (8332) 631498
+7 (8332) 633577
+7 (8332) 633587
+7 (8332) 633849
+7 (83337) 20024
+7 (83365) 22778</f>
        <v>#NAME?</v>
      </c>
      <c r="F2692" s="5" t="s">
        <v>33438</v>
      </c>
      <c r="G2692" s="5" t="s">
        <v>33439</v>
      </c>
      <c r="H2692" s="26">
        <v>30</v>
      </c>
      <c r="I2692" s="5"/>
      <c r="J2692" s="5" t="s">
        <v>25231</v>
      </c>
      <c r="K2692" s="5" t="s">
        <v>344</v>
      </c>
      <c r="L2692" s="5" t="s">
        <v>33440</v>
      </c>
      <c r="M2692" s="27">
        <v>41259</v>
      </c>
      <c r="N2692" s="5" t="s">
        <v>53590</v>
      </c>
      <c r="O2692" s="5" t="str">
        <v>4345000295</v>
      </c>
      <c r="P2692" s="27">
        <v>5500000</v>
      </c>
      <c r="Q2692" s="5" t="s">
        <v>49009</v>
      </c>
      <c r="R2692" s="5"/>
      <c r="S2692" s="5" t="s">
        <v>49028</v>
      </c>
      <c r="T2692" s="28">
        <v>2140357000</v>
      </c>
      <c r="U2692" s="28">
        <v>1835404000</v>
      </c>
      <c r="V2692" s="28">
        <v>735295000</v>
      </c>
      <c r="W2692" s="28">
        <v>342408000</v>
      </c>
      <c r="X2692" s="28">
        <v>46651000</v>
      </c>
      <c r="Y2692" s="28">
        <v>6216741000</v>
      </c>
      <c r="Z2692" s="28">
        <v>5152530000</v>
      </c>
      <c r="AA2692" s="28">
        <v>397000000</v>
      </c>
      <c r="AB2692" s="28">
        <v>180473000</v>
      </c>
      <c r="AC2692" s="28">
        <v>429639000</v>
      </c>
      <c r="AD2692" s="28">
        <v>5214329000</v>
      </c>
      <c r="AE2692" s="28">
        <v>6991624000</v>
      </c>
      <c r="AF2692" s="28">
        <v>532454000</v>
      </c>
      <c r="AG2692" s="11"/>
    </row>
    <row r="2693">
      <c r="A2693" s="7" t="s">
        <v>4384</v>
      </c>
      <c r="B2693" s="5" t="s">
        <v>12355</v>
      </c>
      <c r="C2693" s="5" t="s">
        <v>20185</v>
      </c>
      <c r="D2693" s="5" t="str">
        <v>201471525101</v>
      </c>
      <c r="E2693" s="0" t="e">
        <f>+7 (923) 1174444
+7 (928) 5551
+7 (928) 9433482
+7 (989) 9206000
+7 (871) 2292527
+7 (967) 7774242</f>
        <v>#NAME?</v>
      </c>
      <c r="F2693" s="5" t="s">
        <v>33441</v>
      </c>
      <c r="G2693" s="5"/>
      <c r="H2693" s="26">
        <v>16</v>
      </c>
      <c r="I2693" s="5" t="s">
        <v>33442</v>
      </c>
      <c r="J2693" s="5" t="s">
        <v>364</v>
      </c>
      <c r="K2693" s="5" t="s">
        <v>355</v>
      </c>
      <c r="L2693" s="5"/>
      <c r="M2693" s="27">
        <v>61486980</v>
      </c>
      <c r="N2693" s="5" t="s">
        <v>53591</v>
      </c>
      <c r="O2693" s="5" t="str">
        <v>2015041490</v>
      </c>
      <c r="P2693" s="27">
        <v>10000</v>
      </c>
      <c r="Q2693" s="5" t="s">
        <v>346</v>
      </c>
      <c r="R2693" s="5"/>
      <c r="S2693" s="5" t="s">
        <v>53592</v>
      </c>
      <c r="T2693" s="28">
        <v>300374000</v>
      </c>
      <c r="U2693" s="28"/>
      <c r="V2693" s="28">
        <v>2465933000</v>
      </c>
      <c r="W2693" s="28"/>
      <c r="X2693" s="28">
        <v>371871000</v>
      </c>
      <c r="Y2693" s="28">
        <v>3279355000</v>
      </c>
      <c r="Z2693" s="28">
        <v>-179545000</v>
      </c>
      <c r="AA2693" s="28"/>
      <c r="AB2693" s="28"/>
      <c r="AC2693" s="28">
        <v>3458367000</v>
      </c>
      <c r="AD2693" s="28">
        <v>-179535000</v>
      </c>
      <c r="AE2693" s="28">
        <v>7230456000</v>
      </c>
      <c r="AF2693" s="28">
        <v>-1457000</v>
      </c>
      <c r="AG2693" s="11"/>
    </row>
    <row r="2694">
      <c r="A2694" s="7" t="s">
        <v>4385</v>
      </c>
      <c r="B2694" s="5" t="s">
        <v>12356</v>
      </c>
      <c r="C2694" s="5" t="s">
        <v>20186</v>
      </c>
      <c r="D2694" s="5" t="str">
        <v>583501688490</v>
      </c>
      <c r="E2694" s="0" t="e">
        <f>+7 (495) 2288202
+7 (495) 3633020
+7 (8443) 223143
+7 (8443) 257518</f>
        <v>#NAME?</v>
      </c>
      <c r="F2694" s="5" t="s">
        <v>33443</v>
      </c>
      <c r="G2694" s="5"/>
      <c r="H2694" s="26">
        <v>22.5</v>
      </c>
      <c r="I2694" s="5" t="s">
        <v>33444</v>
      </c>
      <c r="J2694" s="5" t="s">
        <v>33445</v>
      </c>
      <c r="K2694" s="5" t="s">
        <v>380</v>
      </c>
      <c r="L2694" s="5" t="s">
        <v>33446</v>
      </c>
      <c r="M2694" s="27">
        <v>27597830</v>
      </c>
      <c r="N2694" s="5"/>
      <c r="O2694" s="5" t="str">
        <v>3435046180</v>
      </c>
      <c r="P2694" s="27">
        <v>10000000</v>
      </c>
      <c r="Q2694" s="5" t="s">
        <v>53593</v>
      </c>
      <c r="R2694" s="5" t="s">
        <v>53594</v>
      </c>
      <c r="S2694" s="5" t="s">
        <v>53595</v>
      </c>
      <c r="T2694" s="28">
        <v>5378956000</v>
      </c>
      <c r="U2694" s="28">
        <v>1655357000</v>
      </c>
      <c r="V2694" s="28">
        <v>3774604000</v>
      </c>
      <c r="W2694" s="28">
        <v>222726000</v>
      </c>
      <c r="X2694" s="28">
        <v>104932000</v>
      </c>
      <c r="Y2694" s="28">
        <v>15051346000</v>
      </c>
      <c r="Z2694" s="28">
        <v>2900560000</v>
      </c>
      <c r="AA2694" s="28">
        <v>1717342000</v>
      </c>
      <c r="AB2694" s="28">
        <v>3074306000</v>
      </c>
      <c r="AC2694" s="28">
        <v>8497780000</v>
      </c>
      <c r="AD2694" s="28">
        <v>2910562000</v>
      </c>
      <c r="AE2694" s="28">
        <v>11617107000</v>
      </c>
      <c r="AF2694" s="28">
        <v>1346990000</v>
      </c>
      <c r="AG2694" s="11"/>
    </row>
    <row r="2695">
      <c r="A2695" s="7" t="s">
        <v>4386</v>
      </c>
      <c r="B2695" s="5" t="s">
        <v>12357</v>
      </c>
      <c r="C2695" s="5" t="s">
        <v>20187</v>
      </c>
      <c r="D2695" s="5" t="str">
        <v>781101951043</v>
      </c>
      <c r="E2695" s="0" t="e">
        <f>+7 (921) 9425329
+7 (812) 4243303
+7 (812) 6333003
+7 (812) 6333004</f>
        <v>#NAME?</v>
      </c>
      <c r="F2695" s="5" t="s">
        <v>33447</v>
      </c>
      <c r="G2695" s="5" t="s">
        <v>33448</v>
      </c>
      <c r="H2695" s="26">
        <v>14.5</v>
      </c>
      <c r="I2695" s="5" t="s">
        <v>33449</v>
      </c>
      <c r="J2695" s="5" t="s">
        <v>599</v>
      </c>
      <c r="K2695" s="5" t="s">
        <v>344</v>
      </c>
      <c r="L2695" s="5" t="s">
        <v>1096</v>
      </c>
      <c r="M2695" s="27"/>
      <c r="N2695" s="5"/>
      <c r="O2695" s="5" t="str">
        <v>7802447156</v>
      </c>
      <c r="P2695" s="27">
        <v>200000</v>
      </c>
      <c r="Q2695" s="5" t="s">
        <v>447</v>
      </c>
      <c r="R2695" s="5"/>
      <c r="S2695" s="5" t="s">
        <v>53596</v>
      </c>
      <c r="T2695" s="28">
        <v>265877000</v>
      </c>
      <c r="U2695" s="28">
        <v>57000</v>
      </c>
      <c r="V2695" s="28">
        <v>2974058000</v>
      </c>
      <c r="W2695" s="28">
        <v>158365000</v>
      </c>
      <c r="X2695" s="28">
        <v>15912000</v>
      </c>
      <c r="Y2695" s="28">
        <v>3802181000</v>
      </c>
      <c r="Z2695" s="28">
        <v>273556000</v>
      </c>
      <c r="AA2695" s="28">
        <v>698768000</v>
      </c>
      <c r="AB2695" s="28"/>
      <c r="AC2695" s="28">
        <v>2439173000</v>
      </c>
      <c r="AD2695" s="28">
        <v>273756000</v>
      </c>
      <c r="AE2695" s="28">
        <v>13921735000</v>
      </c>
      <c r="AF2695" s="28">
        <v>158541000</v>
      </c>
      <c r="AG2695" s="11"/>
    </row>
    <row r="2696">
      <c r="A2696" s="7" t="s">
        <v>4387</v>
      </c>
      <c r="B2696" s="5" t="s">
        <v>12358</v>
      </c>
      <c r="C2696" s="5" t="s">
        <v>20188</v>
      </c>
      <c r="D2696" s="5" t="str">
        <v>165042709102</v>
      </c>
      <c r="E2696" s="0" t="e">
        <f>+7 (843) 3317373
+7 (855) 2392774
+7 (855) 2530054</f>
        <v>#NAME?</v>
      </c>
      <c r="F2696" s="5" t="s">
        <v>33450</v>
      </c>
      <c r="G2696" s="5"/>
      <c r="H2696" s="26">
        <v>12</v>
      </c>
      <c r="I2696" s="5" t="s">
        <v>33451</v>
      </c>
      <c r="J2696" s="5" t="s">
        <v>1095</v>
      </c>
      <c r="K2696" s="5" t="s">
        <v>380</v>
      </c>
      <c r="L2696" s="5"/>
      <c r="M2696" s="27">
        <v>131899887</v>
      </c>
      <c r="N2696" s="5" t="s">
        <v>53597</v>
      </c>
      <c r="O2696" s="5" t="str">
        <v>1651061647</v>
      </c>
      <c r="P2696" s="27">
        <v>110000</v>
      </c>
      <c r="Q2696" s="5" t="s">
        <v>447</v>
      </c>
      <c r="R2696" s="5" t="s">
        <v>53599</v>
      </c>
      <c r="S2696" s="5" t="s">
        <v>53600</v>
      </c>
      <c r="T2696" s="28">
        <v>72831000</v>
      </c>
      <c r="U2696" s="28"/>
      <c r="V2696" s="28">
        <v>1109160000</v>
      </c>
      <c r="W2696" s="28"/>
      <c r="X2696" s="28">
        <v>20897000</v>
      </c>
      <c r="Y2696" s="28">
        <v>3557821000</v>
      </c>
      <c r="Z2696" s="28">
        <v>62904000</v>
      </c>
      <c r="AA2696" s="28"/>
      <c r="AB2696" s="28">
        <v>17674000</v>
      </c>
      <c r="AC2696" s="28">
        <v>3452882000</v>
      </c>
      <c r="AD2696" s="28">
        <v>63014000</v>
      </c>
      <c r="AE2696" s="28">
        <v>3382658000</v>
      </c>
      <c r="AF2696" s="28">
        <v>61576000</v>
      </c>
      <c r="AG2696" s="11"/>
    </row>
    <row r="2697">
      <c r="A2697" s="7" t="s">
        <v>4388</v>
      </c>
      <c r="B2697" s="5" t="s">
        <v>12359</v>
      </c>
      <c r="C2697" s="5" t="s">
        <v>20189</v>
      </c>
      <c r="D2697" s="5" t="str">
        <v>667105420850</v>
      </c>
      <c r="E2697" s="0" t="e">
        <f>+7 (8652) 388000
+7 (495) 1081770
+7 (800) 2345960
+7 (902) 4093824
+7 (912) 2312369</f>
        <v>#NAME?</v>
      </c>
      <c r="F2697" s="5" t="s">
        <v>33452</v>
      </c>
      <c r="G2697" s="5" t="s">
        <v>33453</v>
      </c>
      <c r="H2697" s="26">
        <v>5</v>
      </c>
      <c r="I2697" s="5" t="s">
        <v>33454</v>
      </c>
      <c r="J2697" s="5" t="s">
        <v>599</v>
      </c>
      <c r="K2697" s="5" t="s">
        <v>344</v>
      </c>
      <c r="L2697" s="5" t="s">
        <v>30542</v>
      </c>
      <c r="M2697" s="27">
        <v>8686430</v>
      </c>
      <c r="N2697" s="5" t="s">
        <v>53601</v>
      </c>
      <c r="O2697" s="5" t="str">
        <v>6679113421</v>
      </c>
      <c r="P2697" s="27">
        <v>500000</v>
      </c>
      <c r="Q2697" s="5" t="s">
        <v>49009</v>
      </c>
      <c r="R2697" s="5"/>
      <c r="S2697" s="5" t="s">
        <v>50290</v>
      </c>
      <c r="T2697" s="28">
        <v>703693000</v>
      </c>
      <c r="U2697" s="28">
        <v>284909000</v>
      </c>
      <c r="V2697" s="28">
        <v>744073000</v>
      </c>
      <c r="W2697" s="28">
        <v>652120000</v>
      </c>
      <c r="X2697" s="28">
        <v>81674000</v>
      </c>
      <c r="Y2697" s="28">
        <v>2535258000</v>
      </c>
      <c r="Z2697" s="28">
        <v>357825000</v>
      </c>
      <c r="AA2697" s="28"/>
      <c r="AB2697" s="28"/>
      <c r="AC2697" s="28">
        <v>1539572000</v>
      </c>
      <c r="AD2697" s="28">
        <v>358325000</v>
      </c>
      <c r="AE2697" s="28">
        <v>10604099000</v>
      </c>
      <c r="AF2697" s="28">
        <v>176431000</v>
      </c>
      <c r="AG2697" s="11"/>
    </row>
    <row r="2698">
      <c r="A2698" s="7" t="s">
        <v>4389</v>
      </c>
      <c r="B2698" s="5" t="s">
        <v>12360</v>
      </c>
      <c r="C2698" s="5" t="s">
        <v>20190</v>
      </c>
      <c r="D2698" s="5" t="str">
        <v>772876413460</v>
      </c>
      <c r="E2698" s="0" t="e">
        <f>+7 (495) 2258414
+7 (495) 3632641
+7 (495) 9557958
+7 (495) 9823622
+7 (495) 9823624
+7 (499) 1432959
+7 (499) 1435789</f>
        <v>#NAME?</v>
      </c>
      <c r="F2698" s="5"/>
      <c r="G2698" s="5" t="s">
        <v>33455</v>
      </c>
      <c r="H2698" s="26">
        <v>17</v>
      </c>
      <c r="I2698" s="5" t="s">
        <v>33456</v>
      </c>
      <c r="J2698" s="5" t="s">
        <v>364</v>
      </c>
      <c r="K2698" s="5" t="s">
        <v>380</v>
      </c>
      <c r="L2698" s="5"/>
      <c r="M2698" s="27">
        <v>42218926</v>
      </c>
      <c r="N2698" s="5" t="s">
        <v>53603</v>
      </c>
      <c r="O2698" s="5" t="str">
        <v>7729542043</v>
      </c>
      <c r="P2698" s="27">
        <v>200000</v>
      </c>
      <c r="Q2698" s="5" t="s">
        <v>49009</v>
      </c>
      <c r="R2698" s="5"/>
      <c r="S2698" s="5" t="s">
        <v>49358</v>
      </c>
      <c r="T2698" s="28">
        <v>440623000</v>
      </c>
      <c r="U2698" s="28"/>
      <c r="V2698" s="28">
        <v>6066698000</v>
      </c>
      <c r="W2698" s="28">
        <v>334330000</v>
      </c>
      <c r="X2698" s="28">
        <v>153325000</v>
      </c>
      <c r="Y2698" s="28">
        <v>9115872000</v>
      </c>
      <c r="Z2698" s="28">
        <v>-5157160000</v>
      </c>
      <c r="AA2698" s="28">
        <v>2475689000</v>
      </c>
      <c r="AB2698" s="28">
        <v>700672000</v>
      </c>
      <c r="AC2698" s="28">
        <v>11407245000</v>
      </c>
      <c r="AD2698" s="28">
        <v>-5156960000</v>
      </c>
      <c r="AE2698" s="28">
        <v>4684712000</v>
      </c>
      <c r="AF2698" s="28">
        <v>-992307000</v>
      </c>
      <c r="AG2698" s="11"/>
    </row>
    <row r="2699">
      <c r="A2699" s="7" t="s">
        <v>4390</v>
      </c>
      <c r="B2699" s="5" t="s">
        <v>12361</v>
      </c>
      <c r="C2699" s="5" t="s">
        <v>20191</v>
      </c>
      <c r="D2699" s="5" t="str">
        <v>771382727270</v>
      </c>
      <c r="E2699" s="0" t="e">
        <f>+7 (495) 6407363
+7 (495) 9701900
+7 (496) 2477948
+7 (49624) 77383
+7 (49624) 77896
+7 (49624) 98273
+7 (963) 7707273</f>
        <v>#NAME?</v>
      </c>
      <c r="F2699" s="5" t="s">
        <v>33457</v>
      </c>
      <c r="G2699" s="5" t="s">
        <v>33458</v>
      </c>
      <c r="H2699" s="26">
        <v>16.5</v>
      </c>
      <c r="I2699" s="5" t="s">
        <v>33459</v>
      </c>
      <c r="J2699" s="5" t="s">
        <v>29902</v>
      </c>
      <c r="K2699" s="5" t="s">
        <v>344</v>
      </c>
      <c r="L2699" s="5" t="s">
        <v>33460</v>
      </c>
      <c r="M2699" s="27"/>
      <c r="N2699" s="5"/>
      <c r="O2699" s="5" t="str">
        <v>5020047670</v>
      </c>
      <c r="P2699" s="27">
        <v>25000</v>
      </c>
      <c r="Q2699" s="5"/>
      <c r="R2699" s="5"/>
      <c r="S2699" s="5" t="s">
        <v>49029</v>
      </c>
      <c r="T2699" s="28">
        <v>672859000</v>
      </c>
      <c r="U2699" s="28"/>
      <c r="V2699" s="28">
        <v>1310410000</v>
      </c>
      <c r="W2699" s="28">
        <v>17000000</v>
      </c>
      <c r="X2699" s="28">
        <v>458332000</v>
      </c>
      <c r="Y2699" s="28">
        <v>4752755000</v>
      </c>
      <c r="Z2699" s="28">
        <v>2090418000</v>
      </c>
      <c r="AA2699" s="28"/>
      <c r="AB2699" s="28">
        <v>177581000</v>
      </c>
      <c r="AC2699" s="28">
        <v>2662312000</v>
      </c>
      <c r="AD2699" s="28">
        <v>2090872000</v>
      </c>
      <c r="AE2699" s="28">
        <v>9698429000</v>
      </c>
      <c r="AF2699" s="28">
        <v>627572000</v>
      </c>
      <c r="AG2699" s="11"/>
    </row>
    <row r="2700">
      <c r="A2700" s="7" t="s">
        <v>4391</v>
      </c>
      <c r="B2700" s="5" t="s">
        <v>12362</v>
      </c>
      <c r="C2700" s="5" t="s">
        <v>20192</v>
      </c>
      <c r="D2700" s="5" t="str">
        <v>503300980039</v>
      </c>
      <c r="E2700" s="0" t="e">
        <f>+7 (496) 7021060
+7 (495) 6629421</f>
        <v>#NAME?</v>
      </c>
      <c r="F2700" s="5" t="s">
        <v>33461</v>
      </c>
      <c r="G2700" s="5" t="s">
        <v>33283</v>
      </c>
      <c r="H2700" s="26">
        <v>25</v>
      </c>
      <c r="I2700" s="5" t="s">
        <v>33462</v>
      </c>
      <c r="J2700" s="5" t="s">
        <v>29202</v>
      </c>
      <c r="K2700" s="5" t="s">
        <v>344</v>
      </c>
      <c r="L2700" s="5" t="s">
        <v>1486</v>
      </c>
      <c r="M2700" s="27"/>
      <c r="N2700" s="5"/>
      <c r="O2700" s="5" t="str">
        <v>5022057151</v>
      </c>
      <c r="P2700" s="27">
        <v>14008752</v>
      </c>
      <c r="Q2700" s="5" t="s">
        <v>49059</v>
      </c>
      <c r="R2700" s="5"/>
      <c r="S2700" s="5" t="s">
        <v>49029</v>
      </c>
      <c r="T2700" s="28">
        <v>419032000</v>
      </c>
      <c r="U2700" s="28"/>
      <c r="V2700" s="28">
        <v>343201000</v>
      </c>
      <c r="W2700" s="28"/>
      <c r="X2700" s="28">
        <v>576000</v>
      </c>
      <c r="Y2700" s="28">
        <v>1345214000</v>
      </c>
      <c r="Z2700" s="28">
        <v>178815000</v>
      </c>
      <c r="AA2700" s="28"/>
      <c r="AB2700" s="28">
        <v>445573000</v>
      </c>
      <c r="AC2700" s="28">
        <v>1126744000</v>
      </c>
      <c r="AD2700" s="28">
        <v>197361000</v>
      </c>
      <c r="AE2700" s="28">
        <v>6106192000</v>
      </c>
      <c r="AF2700" s="28">
        <v>110040000</v>
      </c>
      <c r="AG2700" s="11"/>
    </row>
    <row r="2701">
      <c r="A2701" s="7" t="s">
        <v>4392</v>
      </c>
      <c r="B2701" s="5" t="s">
        <v>12363</v>
      </c>
      <c r="C2701" s="5" t="s">
        <v>20193</v>
      </c>
      <c r="D2701" s="5" t="str">
        <v>130601426902</v>
      </c>
      <c r="E2701" s="0" t="e">
        <f>+7 (83434) 21405
+7 (83453) 21654
+7 (83453) 21870
+7 (83453) 21881
+7 (83453) 21968
+7 (83453) 22302
+7 (83453) 22496
+7 (83453) 22900
+7 (83453) 23131
+7 (960) 3367103</f>
        <v>#NAME?</v>
      </c>
      <c r="F2701" s="5" t="s">
        <v>33463</v>
      </c>
      <c r="G2701" s="5"/>
      <c r="H2701" s="26">
        <v>29</v>
      </c>
      <c r="I2701" s="5"/>
      <c r="J2701" s="5" t="s">
        <v>26057</v>
      </c>
      <c r="K2701" s="5" t="s">
        <v>355</v>
      </c>
      <c r="L2701" s="5" t="s">
        <v>33464</v>
      </c>
      <c r="M2701" s="27"/>
      <c r="N2701" s="5"/>
      <c r="O2701" s="5" t="str">
        <v>1323010142</v>
      </c>
      <c r="P2701" s="27">
        <v>47600</v>
      </c>
      <c r="Q2701" s="5"/>
      <c r="R2701" s="5"/>
      <c r="S2701" s="5" t="s">
        <v>49425</v>
      </c>
      <c r="T2701" s="28">
        <v>3359550000</v>
      </c>
      <c r="U2701" s="28">
        <v>5000</v>
      </c>
      <c r="V2701" s="28">
        <v>985804000</v>
      </c>
      <c r="W2701" s="28">
        <v>1521000</v>
      </c>
      <c r="X2701" s="28">
        <v>1254777000</v>
      </c>
      <c r="Y2701" s="28">
        <v>10117575000</v>
      </c>
      <c r="Z2701" s="28">
        <v>47968000</v>
      </c>
      <c r="AA2701" s="28">
        <v>3035840000</v>
      </c>
      <c r="AB2701" s="28">
        <v>1839764000</v>
      </c>
      <c r="AC2701" s="28">
        <v>7032671000</v>
      </c>
      <c r="AD2701" s="28">
        <v>48023000</v>
      </c>
      <c r="AE2701" s="28">
        <v>10469065000</v>
      </c>
      <c r="AF2701" s="28">
        <v>-8081000</v>
      </c>
      <c r="AG2701" s="11"/>
    </row>
    <row r="2702">
      <c r="A2702" s="7" t="s">
        <v>4393</v>
      </c>
      <c r="B2702" s="5" t="s">
        <v>12364</v>
      </c>
      <c r="C2702" s="5" t="s">
        <v>20194</v>
      </c>
      <c r="D2702" s="5" t="str">
        <v>400400323409</v>
      </c>
      <c r="E2702" s="0" t="e">
        <f>+7 (484) 2279868
+7 (48434) 22252
+7 (48434) 42969
+7 (48434) 42970
+7 (48434) 42981
+7 (48434) 42982
+7 (48434) 42983
+7 (48434) 42989
+7 (48434) 43168
+7 (48434) 43202
+7 (915) 8929045
+7 (930) 8432823</f>
        <v>#NAME?</v>
      </c>
      <c r="F2702" s="5" t="s">
        <v>33465</v>
      </c>
      <c r="G2702" s="5" t="s">
        <v>33466</v>
      </c>
      <c r="H2702" s="26">
        <v>30</v>
      </c>
      <c r="I2702" s="5" t="s">
        <v>33467</v>
      </c>
      <c r="J2702" s="5" t="s">
        <v>33468</v>
      </c>
      <c r="K2702" s="5" t="s">
        <v>344</v>
      </c>
      <c r="L2702" s="5" t="s">
        <v>33469</v>
      </c>
      <c r="M2702" s="27"/>
      <c r="N2702" s="5"/>
      <c r="O2702" s="5" t="str">
        <v>4004001161</v>
      </c>
      <c r="P2702" s="27">
        <v>7000000</v>
      </c>
      <c r="Q2702" s="5" t="s">
        <v>49009</v>
      </c>
      <c r="R2702" s="5"/>
      <c r="S2702" s="5" t="s">
        <v>49066</v>
      </c>
      <c r="T2702" s="28">
        <v>186229000</v>
      </c>
      <c r="U2702" s="28"/>
      <c r="V2702" s="28">
        <v>150104000</v>
      </c>
      <c r="W2702" s="28">
        <v>113800000</v>
      </c>
      <c r="X2702" s="28">
        <v>4380000</v>
      </c>
      <c r="Y2702" s="28">
        <v>806767000</v>
      </c>
      <c r="Z2702" s="28">
        <v>470980000</v>
      </c>
      <c r="AA2702" s="28">
        <v>17683000</v>
      </c>
      <c r="AB2702" s="28">
        <v>500000</v>
      </c>
      <c r="AC2702" s="28">
        <v>310961000</v>
      </c>
      <c r="AD2702" s="28">
        <v>478956000</v>
      </c>
      <c r="AE2702" s="28">
        <v>4400462000</v>
      </c>
      <c r="AF2702" s="28">
        <v>110998000</v>
      </c>
      <c r="AG2702" s="11"/>
    </row>
    <row r="2703">
      <c r="A2703" s="7" t="s">
        <v>4393</v>
      </c>
      <c r="B2703" s="5" t="s">
        <v>12365</v>
      </c>
      <c r="C2703" s="5" t="s">
        <v>20195</v>
      </c>
      <c r="D2703" s="5" t="str">
        <v>340800844720</v>
      </c>
      <c r="E2703" s="0" t="e">
        <f>+7 (844) 2430370
+7 (844) 2430371
+7 (844) 2430382
+7 (844) 2430386
+7 (844) 2665032
+7 (844) 2665053</f>
        <v>#NAME?</v>
      </c>
      <c r="F2703" s="5" t="s">
        <v>33470</v>
      </c>
      <c r="G2703" s="5" t="s">
        <v>33471</v>
      </c>
      <c r="H2703" s="26">
        <v>11.5</v>
      </c>
      <c r="I2703" s="5" t="s">
        <v>33472</v>
      </c>
      <c r="J2703" s="5" t="s">
        <v>27266</v>
      </c>
      <c r="K2703" s="5" t="s">
        <v>344</v>
      </c>
      <c r="L2703" s="5"/>
      <c r="M2703" s="27"/>
      <c r="N2703" s="5"/>
      <c r="O2703" s="5" t="str">
        <v>3408010850</v>
      </c>
      <c r="P2703" s="27">
        <v>786200000</v>
      </c>
      <c r="Q2703" s="5" t="s">
        <v>49059</v>
      </c>
      <c r="R2703" s="5"/>
      <c r="S2703" s="5" t="s">
        <v>52102</v>
      </c>
      <c r="T2703" s="28">
        <v>348346000</v>
      </c>
      <c r="U2703" s="28"/>
      <c r="V2703" s="28">
        <v>569758000</v>
      </c>
      <c r="W2703" s="28"/>
      <c r="X2703" s="28">
        <v>308726000</v>
      </c>
      <c r="Y2703" s="28">
        <v>2056883000</v>
      </c>
      <c r="Z2703" s="28">
        <v>156175000</v>
      </c>
      <c r="AA2703" s="28">
        <v>45548000</v>
      </c>
      <c r="AB2703" s="28">
        <v>600094000</v>
      </c>
      <c r="AC2703" s="28">
        <v>966780000</v>
      </c>
      <c r="AD2703" s="28">
        <v>1043416000</v>
      </c>
      <c r="AE2703" s="28">
        <v>6958201000</v>
      </c>
      <c r="AF2703" s="28">
        <v>25286000</v>
      </c>
      <c r="AG2703" s="11"/>
    </row>
    <row r="2704">
      <c r="A2704" s="7" t="s">
        <v>4394</v>
      </c>
      <c r="B2704" s="5" t="s">
        <v>12366</v>
      </c>
      <c r="C2704" s="5" t="s">
        <v>20196</v>
      </c>
      <c r="D2704" s="5" t="str">
        <v>616841509897</v>
      </c>
      <c r="E2704" s="0" t="e">
        <f>+7 (863) 2221989
+7 (863) 2223671
+7 (863) 2226412
+7 (8632) 16980
+7 (8632) 16983
+7 (8632) 798008</f>
        <v>#NAME?</v>
      </c>
      <c r="F2704" s="5" t="s">
        <v>33473</v>
      </c>
      <c r="G2704" s="5" t="s">
        <v>33474</v>
      </c>
      <c r="H2704" s="26">
        <v>30</v>
      </c>
      <c r="I2704" s="5"/>
      <c r="J2704" s="5" t="s">
        <v>991</v>
      </c>
      <c r="K2704" s="5" t="s">
        <v>355</v>
      </c>
      <c r="L2704" s="5"/>
      <c r="M2704" s="27">
        <v>7752095</v>
      </c>
      <c r="N2704" s="5" t="s">
        <v>53604</v>
      </c>
      <c r="O2704" s="5" t="str">
        <v>6168000805</v>
      </c>
      <c r="P2704" s="27">
        <v>38369900</v>
      </c>
      <c r="Q2704" s="5" t="s">
        <v>53605</v>
      </c>
      <c r="R2704" s="5"/>
      <c r="S2704" s="5" t="s">
        <v>53606</v>
      </c>
      <c r="T2704" s="28">
        <v>3301575000</v>
      </c>
      <c r="U2704" s="28"/>
      <c r="V2704" s="28">
        <v>1157240000</v>
      </c>
      <c r="W2704" s="28">
        <v>387000</v>
      </c>
      <c r="X2704" s="28">
        <v>239105000</v>
      </c>
      <c r="Y2704" s="28">
        <v>5299392000</v>
      </c>
      <c r="Z2704" s="28">
        <v>-436725000</v>
      </c>
      <c r="AA2704" s="28">
        <v>2154767000</v>
      </c>
      <c r="AB2704" s="28"/>
      <c r="AC2704" s="28">
        <v>1849056000</v>
      </c>
      <c r="AD2704" s="28">
        <v>640855000</v>
      </c>
      <c r="AE2704" s="28">
        <v>3854395000</v>
      </c>
      <c r="AF2704" s="28">
        <v>-113704000</v>
      </c>
      <c r="AG2704" s="11"/>
    </row>
    <row r="2705">
      <c r="A2705" s="7" t="s">
        <v>4395</v>
      </c>
      <c r="B2705" s="5" t="s">
        <v>12367</v>
      </c>
      <c r="C2705" s="5" t="s">
        <v>20197</v>
      </c>
      <c r="D2705" s="5"/>
      <c r="E2705" s="0" t="e">
        <f>+7 (471) 2730649
+7 (4712) 378722
+7 (4712) 378768
+7 (4712) 378880
+7 (4712) 378952
+7 (4712) 379079
+7 (4712) 379319
+7 (4712) 578768
+7 (4712) 578901
+7 (4712) 578937</f>
        <v>#NAME?</v>
      </c>
      <c r="F2705" s="5" t="s">
        <v>33475</v>
      </c>
      <c r="G2705" s="5" t="s">
        <v>33476</v>
      </c>
      <c r="H2705" s="26">
        <v>29.5</v>
      </c>
      <c r="I2705" s="5"/>
      <c r="J2705" s="5" t="s">
        <v>26526</v>
      </c>
      <c r="K2705" s="5" t="s">
        <v>344</v>
      </c>
      <c r="L2705" s="5" t="s">
        <v>33477</v>
      </c>
      <c r="M2705" s="27"/>
      <c r="N2705" s="5"/>
      <c r="O2705" s="5" t="str">
        <v>4630001280</v>
      </c>
      <c r="P2705" s="27">
        <v>70800</v>
      </c>
      <c r="Q2705" s="5"/>
      <c r="R2705" s="5"/>
      <c r="S2705" s="5" t="s">
        <v>53607</v>
      </c>
      <c r="T2705" s="28">
        <v>145950000</v>
      </c>
      <c r="U2705" s="28">
        <v>1000000</v>
      </c>
      <c r="V2705" s="28">
        <v>1061030000</v>
      </c>
      <c r="W2705" s="28">
        <v>607945000</v>
      </c>
      <c r="X2705" s="28">
        <v>1084000</v>
      </c>
      <c r="Y2705" s="28">
        <v>2303973000</v>
      </c>
      <c r="Z2705" s="28">
        <v>703187000</v>
      </c>
      <c r="AA2705" s="28"/>
      <c r="AB2705" s="28">
        <v>1231186000</v>
      </c>
      <c r="AC2705" s="28">
        <v>1439438000</v>
      </c>
      <c r="AD2705" s="28">
        <v>847805000</v>
      </c>
      <c r="AE2705" s="28">
        <v>4900424000</v>
      </c>
      <c r="AF2705" s="28">
        <v>346323000</v>
      </c>
      <c r="AG2705" s="11"/>
    </row>
    <row r="2706">
      <c r="A2706" s="7" t="s">
        <v>4396</v>
      </c>
      <c r="B2706" s="5" t="s">
        <v>12368</v>
      </c>
      <c r="C2706" s="5" t="s">
        <v>20198</v>
      </c>
      <c r="D2706" s="5" t="str">
        <v>762200366003</v>
      </c>
      <c r="E2706" s="0" t="e">
        <f>+7 (495) 6441374
+7 (495) 6441382
+7 (495) 7815501
+7 (495) 7815505
+7 (495) 9330094
+7 (495) 9330097
+7 (495) 6441369
+7 (495) 6441383
+7 (495) 6441394</f>
        <v>#NAME?</v>
      </c>
      <c r="F2706" s="5" t="s">
        <v>33478</v>
      </c>
      <c r="G2706" s="5" t="s">
        <v>33479</v>
      </c>
      <c r="H2706" s="26">
        <v>24</v>
      </c>
      <c r="I2706" s="5" t="s">
        <v>33480</v>
      </c>
      <c r="J2706" s="5" t="s">
        <v>25842</v>
      </c>
      <c r="K2706" s="5" t="s">
        <v>344</v>
      </c>
      <c r="L2706" s="5" t="s">
        <v>33481</v>
      </c>
      <c r="M2706" s="27"/>
      <c r="N2706" s="5"/>
      <c r="O2706" s="5" t="str">
        <v>7723152449</v>
      </c>
      <c r="P2706" s="27">
        <v>4000000</v>
      </c>
      <c r="Q2706" s="5" t="s">
        <v>49009</v>
      </c>
      <c r="R2706" s="5"/>
      <c r="S2706" s="5" t="s">
        <v>49010</v>
      </c>
      <c r="T2706" s="28">
        <v>209205000</v>
      </c>
      <c r="U2706" s="28"/>
      <c r="V2706" s="28">
        <v>811134000</v>
      </c>
      <c r="W2706" s="28">
        <v>3012686000</v>
      </c>
      <c r="X2706" s="28">
        <v>1807792000</v>
      </c>
      <c r="Y2706" s="28">
        <v>6863451000</v>
      </c>
      <c r="Z2706" s="28">
        <v>3542614000</v>
      </c>
      <c r="AA2706" s="28"/>
      <c r="AB2706" s="28"/>
      <c r="AC2706" s="28">
        <v>3246362000</v>
      </c>
      <c r="AD2706" s="28">
        <v>3547214000</v>
      </c>
      <c r="AE2706" s="28">
        <v>19843737000</v>
      </c>
      <c r="AF2706" s="28">
        <v>1434854000</v>
      </c>
      <c r="AG2706" s="11"/>
    </row>
    <row r="2707">
      <c r="A2707" s="7" t="s">
        <v>4397</v>
      </c>
      <c r="B2707" s="5" t="s">
        <v>12369</v>
      </c>
      <c r="C2707" s="5" t="s">
        <v>20199</v>
      </c>
      <c r="D2707" s="5" t="str">
        <v>560908944012</v>
      </c>
      <c r="E2707" s="0" t="e">
        <f>+7 (861) 2141022
+7 (861) 2282161</f>
        <v>#NAME?</v>
      </c>
      <c r="F2707" s="5" t="s">
        <v>33482</v>
      </c>
      <c r="G2707" s="5" t="s">
        <v>33483</v>
      </c>
      <c r="H2707" s="26">
        <v>19.5</v>
      </c>
      <c r="I2707" s="5" t="s">
        <v>33484</v>
      </c>
      <c r="J2707" s="5" t="s">
        <v>30520</v>
      </c>
      <c r="K2707" s="5" t="s">
        <v>344</v>
      </c>
      <c r="L2707" s="5" t="s">
        <v>33485</v>
      </c>
      <c r="M2707" s="27"/>
      <c r="N2707" s="5"/>
      <c r="O2707" s="5" t="str">
        <v>2312104023</v>
      </c>
      <c r="P2707" s="27">
        <v>93368880</v>
      </c>
      <c r="Q2707" s="5" t="s">
        <v>49009</v>
      </c>
      <c r="R2707" s="5"/>
      <c r="S2707" s="5" t="s">
        <v>49066</v>
      </c>
      <c r="T2707" s="28">
        <v>4157803000</v>
      </c>
      <c r="U2707" s="28"/>
      <c r="V2707" s="28">
        <v>725103000</v>
      </c>
      <c r="W2707" s="28"/>
      <c r="X2707" s="28">
        <v>3904606000</v>
      </c>
      <c r="Y2707" s="28">
        <v>11421251000</v>
      </c>
      <c r="Z2707" s="28">
        <v>5263377000</v>
      </c>
      <c r="AA2707" s="28"/>
      <c r="AB2707" s="28"/>
      <c r="AC2707" s="28">
        <v>450696000</v>
      </c>
      <c r="AD2707" s="28">
        <v>10907551000</v>
      </c>
      <c r="AE2707" s="28">
        <v>13263171000</v>
      </c>
      <c r="AF2707" s="28">
        <v>1422779000</v>
      </c>
      <c r="AG2707" s="11"/>
    </row>
    <row r="2708">
      <c r="A2708" s="7" t="s">
        <v>4398</v>
      </c>
      <c r="B2708" s="5" t="s">
        <v>12370</v>
      </c>
      <c r="C2708" s="5" t="s">
        <v>20200</v>
      </c>
      <c r="D2708" s="5" t="str">
        <v>352503701479</v>
      </c>
      <c r="F2708" s="5"/>
      <c r="G2708" s="5"/>
      <c r="H2708" s="26">
        <v>9</v>
      </c>
      <c r="I2708" s="5" t="s">
        <v>33486</v>
      </c>
      <c r="J2708" s="5" t="s">
        <v>31664</v>
      </c>
      <c r="K2708" s="5" t="s">
        <v>355</v>
      </c>
      <c r="L2708" s="5" t="s">
        <v>26310</v>
      </c>
      <c r="M2708" s="27"/>
      <c r="N2708" s="5"/>
      <c r="O2708" s="5" t="str">
        <v>3525320260</v>
      </c>
      <c r="P2708" s="27">
        <v>10000</v>
      </c>
      <c r="Q2708" s="5" t="s">
        <v>52759</v>
      </c>
      <c r="R2708" s="5"/>
      <c r="S2708" s="5" t="s">
        <v>53608</v>
      </c>
      <c r="T2708" s="28"/>
      <c r="U2708" s="28"/>
      <c r="V2708" s="28">
        <v>11000</v>
      </c>
      <c r="W2708" s="28"/>
      <c r="X2708" s="28"/>
      <c r="Y2708" s="28">
        <v>101000</v>
      </c>
      <c r="Z2708" s="28">
        <v>76000</v>
      </c>
      <c r="AA2708" s="28">
        <v>15000</v>
      </c>
      <c r="AB2708" s="28"/>
      <c r="AC2708" s="28"/>
      <c r="AD2708" s="28">
        <v>86000</v>
      </c>
      <c r="AE2708" s="28">
        <v>4232000000</v>
      </c>
      <c r="AF2708" s="28">
        <v>54000</v>
      </c>
      <c r="AG2708" s="11"/>
    </row>
    <row r="2709">
      <c r="A2709" s="7" t="s">
        <v>4399</v>
      </c>
      <c r="B2709" s="5" t="s">
        <v>12371</v>
      </c>
      <c r="C2709" s="5" t="s">
        <v>20201</v>
      </c>
      <c r="D2709" s="5" t="str">
        <v>470600777362</v>
      </c>
      <c r="E2709" s="0" t="e">
        <f>+7 (863) 2503114
+7 (863) 2552002
+7 (863) 2552200
+7 (863) 2552092
+7 (8632) 552097</f>
        <v>#NAME?</v>
      </c>
      <c r="F2709" s="5" t="s">
        <v>33487</v>
      </c>
      <c r="G2709" s="5"/>
      <c r="H2709" s="26">
        <v>17</v>
      </c>
      <c r="I2709" s="5" t="s">
        <v>33488</v>
      </c>
      <c r="J2709" s="5" t="s">
        <v>28406</v>
      </c>
      <c r="K2709" s="5" t="s">
        <v>344</v>
      </c>
      <c r="L2709" s="5" t="s">
        <v>33489</v>
      </c>
      <c r="M2709" s="27">
        <v>5160746</v>
      </c>
      <c r="N2709" s="5"/>
      <c r="O2709" s="5" t="str">
        <v>6166094050</v>
      </c>
      <c r="P2709" s="27">
        <v>1199946</v>
      </c>
      <c r="Q2709" s="5" t="s">
        <v>49021</v>
      </c>
      <c r="R2709" s="5"/>
      <c r="S2709" s="5" t="s">
        <v>53610</v>
      </c>
      <c r="T2709" s="28">
        <v>2144982000</v>
      </c>
      <c r="U2709" s="28">
        <v>520185000</v>
      </c>
      <c r="V2709" s="28">
        <v>1716252000</v>
      </c>
      <c r="W2709" s="28"/>
      <c r="X2709" s="28">
        <v>149876000</v>
      </c>
      <c r="Y2709" s="28">
        <v>10596742000</v>
      </c>
      <c r="Z2709" s="28">
        <v>7820860000</v>
      </c>
      <c r="AA2709" s="28"/>
      <c r="AB2709" s="28">
        <v>520000000</v>
      </c>
      <c r="AC2709" s="28">
        <v>2172798000</v>
      </c>
      <c r="AD2709" s="28">
        <v>7935311000</v>
      </c>
      <c r="AE2709" s="28">
        <v>11112884000</v>
      </c>
      <c r="AF2709" s="28">
        <v>2059573000</v>
      </c>
      <c r="AG2709" s="11"/>
    </row>
    <row r="2710">
      <c r="A2710" s="7" t="s">
        <v>4400</v>
      </c>
      <c r="B2710" s="5" t="s">
        <v>12372</v>
      </c>
      <c r="C2710" s="5" t="s">
        <v>20202</v>
      </c>
      <c r="D2710" s="5" t="str">
        <v>614302521909</v>
      </c>
      <c r="E2710" s="0" t="e">
        <f>+7 (86370) 22331
+7 (991) 3214874</f>
        <v>#NAME?</v>
      </c>
      <c r="F2710" s="5" t="s">
        <v>33490</v>
      </c>
      <c r="G2710" s="5" t="s">
        <v>33491</v>
      </c>
      <c r="H2710" s="26">
        <v>10</v>
      </c>
      <c r="I2710" s="5" t="s">
        <v>33492</v>
      </c>
      <c r="J2710" s="5" t="s">
        <v>25949</v>
      </c>
      <c r="K2710" s="5" t="s">
        <v>355</v>
      </c>
      <c r="L2710" s="5" t="s">
        <v>33493</v>
      </c>
      <c r="M2710" s="27"/>
      <c r="N2710" s="5"/>
      <c r="O2710" s="5" t="str">
        <v>6109001282</v>
      </c>
      <c r="P2710" s="27">
        <v>30000</v>
      </c>
      <c r="Q2710" s="5" t="s">
        <v>49009</v>
      </c>
      <c r="R2710" s="5" t="s">
        <v>53611</v>
      </c>
      <c r="S2710" s="5" t="s">
        <v>49066</v>
      </c>
      <c r="T2710" s="28">
        <v>177226000</v>
      </c>
      <c r="U2710" s="28"/>
      <c r="V2710" s="28">
        <v>492963000</v>
      </c>
      <c r="W2710" s="28">
        <v>45836000</v>
      </c>
      <c r="X2710" s="28">
        <v>40573000</v>
      </c>
      <c r="Y2710" s="28">
        <v>1312362000</v>
      </c>
      <c r="Z2710" s="28">
        <v>754102000</v>
      </c>
      <c r="AA2710" s="28">
        <v>66748000</v>
      </c>
      <c r="AB2710" s="28">
        <v>353791000</v>
      </c>
      <c r="AC2710" s="28">
        <v>424264000</v>
      </c>
      <c r="AD2710" s="28">
        <v>821350000</v>
      </c>
      <c r="AE2710" s="28">
        <v>3704919000</v>
      </c>
      <c r="AF2710" s="28">
        <v>349222000</v>
      </c>
      <c r="AG2710" s="11"/>
    </row>
    <row r="2711">
      <c r="A2711" s="7" t="s">
        <v>4401</v>
      </c>
      <c r="B2711" s="5" t="s">
        <v>12373</v>
      </c>
      <c r="C2711" s="5" t="s">
        <v>20203</v>
      </c>
      <c r="D2711" s="5" t="str">
        <v>773102850327</v>
      </c>
      <c r="E2711" s="0" t="e">
        <f>+7 (495) 9899700
+7 (916) 5707775</f>
        <v>#NAME?</v>
      </c>
      <c r="F2711" s="5" t="s">
        <v>33494</v>
      </c>
      <c r="G2711" s="5" t="s">
        <v>33495</v>
      </c>
      <c r="H2711" s="26">
        <v>13</v>
      </c>
      <c r="I2711" s="5" t="s">
        <v>33496</v>
      </c>
      <c r="J2711" s="5" t="s">
        <v>785</v>
      </c>
      <c r="K2711" s="5" t="s">
        <v>344</v>
      </c>
      <c r="L2711" s="5" t="s">
        <v>27572</v>
      </c>
      <c r="M2711" s="27"/>
      <c r="N2711" s="5" t="s">
        <v>53612</v>
      </c>
      <c r="O2711" s="5" t="str">
        <v>7743771327</v>
      </c>
      <c r="P2711" s="27">
        <v>5000000</v>
      </c>
      <c r="Q2711" s="5" t="s">
        <v>49021</v>
      </c>
      <c r="R2711" s="5"/>
      <c r="S2711" s="5" t="s">
        <v>49235</v>
      </c>
      <c r="T2711" s="28">
        <v>4151000</v>
      </c>
      <c r="U2711" s="28"/>
      <c r="V2711" s="28">
        <v>331361000</v>
      </c>
      <c r="W2711" s="28">
        <v>1070000000</v>
      </c>
      <c r="X2711" s="28">
        <v>399093000</v>
      </c>
      <c r="Y2711" s="28">
        <v>1890515000</v>
      </c>
      <c r="Z2711" s="28">
        <v>227785000</v>
      </c>
      <c r="AA2711" s="28"/>
      <c r="AB2711" s="28"/>
      <c r="AC2711" s="28">
        <v>1656961000</v>
      </c>
      <c r="AD2711" s="28">
        <v>232785000</v>
      </c>
      <c r="AE2711" s="28">
        <v>7998148000</v>
      </c>
      <c r="AF2711" s="28">
        <v>199038000</v>
      </c>
      <c r="AG2711" s="11"/>
    </row>
    <row r="2712">
      <c r="A2712" s="7" t="s">
        <v>4402</v>
      </c>
      <c r="B2712" s="5" t="s">
        <v>12374</v>
      </c>
      <c r="C2712" s="5" t="s">
        <v>20204</v>
      </c>
      <c r="D2712" s="5" t="str">
        <v>503303527324</v>
      </c>
      <c r="E2712" s="0" t="e">
        <f>+7 (921) 1837202</f>
        <v>#NAME?</v>
      </c>
      <c r="F2712" s="5" t="s">
        <v>33497</v>
      </c>
      <c r="G2712" s="5" t="s">
        <v>33498</v>
      </c>
      <c r="H2712" s="26">
        <v>11.5</v>
      </c>
      <c r="I2712" s="5" t="s">
        <v>33499</v>
      </c>
      <c r="J2712" s="5" t="s">
        <v>25938</v>
      </c>
      <c r="K2712" s="5" t="s">
        <v>355</v>
      </c>
      <c r="L2712" s="5" t="s">
        <v>33500</v>
      </c>
      <c r="M2712" s="27"/>
      <c r="N2712" s="5"/>
      <c r="O2712" s="5" t="str">
        <v>7841454083</v>
      </c>
      <c r="P2712" s="27">
        <v>12500</v>
      </c>
      <c r="Q2712" s="5" t="s">
        <v>49009</v>
      </c>
      <c r="R2712" s="5"/>
      <c r="S2712" s="5" t="s">
        <v>49010</v>
      </c>
      <c r="T2712" s="28">
        <v>543000</v>
      </c>
      <c r="U2712" s="28"/>
      <c r="V2712" s="28">
        <v>353920000</v>
      </c>
      <c r="W2712" s="28">
        <v>182132000</v>
      </c>
      <c r="X2712" s="28">
        <v>10904000</v>
      </c>
      <c r="Y2712" s="28">
        <v>684896000</v>
      </c>
      <c r="Z2712" s="28">
        <v>131024000</v>
      </c>
      <c r="AA2712" s="28"/>
      <c r="AB2712" s="28"/>
      <c r="AC2712" s="28">
        <v>553860000</v>
      </c>
      <c r="AD2712" s="28">
        <v>131037000</v>
      </c>
      <c r="AE2712" s="28">
        <v>3251742000</v>
      </c>
      <c r="AF2712" s="28">
        <v>20670000</v>
      </c>
      <c r="AG2712" s="11"/>
    </row>
    <row r="2713">
      <c r="A2713" s="7" t="s">
        <v>4403</v>
      </c>
      <c r="B2713" s="5" t="s">
        <v>12375</v>
      </c>
      <c r="C2713" s="5" t="s">
        <v>20205</v>
      </c>
      <c r="D2713" s="5" t="str">
        <v>230805250625</v>
      </c>
      <c r="E2713" s="0" t="e">
        <f>+7 (988) 2471575
+7 (861) 2020003
+7 (861) 2020202
+7 (861) 2021359</f>
        <v>#NAME?</v>
      </c>
      <c r="F2713" s="5" t="s">
        <v>33501</v>
      </c>
      <c r="G2713" s="5" t="s">
        <v>33502</v>
      </c>
      <c r="H2713" s="26">
        <v>14</v>
      </c>
      <c r="I2713" s="5" t="s">
        <v>33503</v>
      </c>
      <c r="J2713" s="5" t="s">
        <v>25349</v>
      </c>
      <c r="K2713" s="5" t="s">
        <v>355</v>
      </c>
      <c r="L2713" s="5" t="s">
        <v>33504</v>
      </c>
      <c r="M2713" s="27"/>
      <c r="N2713" s="5" t="s">
        <v>53613</v>
      </c>
      <c r="O2713" s="5" t="str">
        <v>2310136870</v>
      </c>
      <c r="P2713" s="27">
        <v>10000</v>
      </c>
      <c r="Q2713" s="5"/>
      <c r="R2713" s="5"/>
      <c r="S2713" s="5" t="s">
        <v>49110</v>
      </c>
      <c r="T2713" s="28">
        <v>737441000</v>
      </c>
      <c r="U2713" s="28">
        <v>3827140000</v>
      </c>
      <c r="V2713" s="28">
        <v>706404000</v>
      </c>
      <c r="W2713" s="28"/>
      <c r="X2713" s="28">
        <v>26301000</v>
      </c>
      <c r="Y2713" s="28">
        <v>5513921000</v>
      </c>
      <c r="Z2713" s="28">
        <v>3954566000</v>
      </c>
      <c r="AA2713" s="28">
        <v>1341604000</v>
      </c>
      <c r="AB2713" s="28"/>
      <c r="AC2713" s="28">
        <v>214030000</v>
      </c>
      <c r="AD2713" s="28">
        <v>3954576000</v>
      </c>
      <c r="AE2713" s="28">
        <v>3786004000</v>
      </c>
      <c r="AF2713" s="28">
        <v>1160476000</v>
      </c>
      <c r="AG2713" s="11"/>
    </row>
    <row r="2714">
      <c r="A2714" s="7" t="s">
        <v>4404</v>
      </c>
      <c r="B2714" s="5" t="s">
        <v>12376</v>
      </c>
      <c r="C2714" s="5" t="s">
        <v>20206</v>
      </c>
      <c r="D2714" s="5" t="str">
        <v>770370299029</v>
      </c>
      <c r="E2714" s="0" t="e">
        <f>+7 (967) 371553
+7 (3439) 371050
+7 (495) 6630303
+7 (495) 6632219
+7 (495) 7828882
+7 (8622) 519191
+7 (926) 3247393
+7 (962) 8843129
+7 (962) 8843133</f>
        <v>#NAME?</v>
      </c>
      <c r="F2714" s="5" t="s">
        <v>33505</v>
      </c>
      <c r="G2714" s="5"/>
      <c r="H2714" s="26">
        <v>18</v>
      </c>
      <c r="I2714" s="5" t="s">
        <v>33506</v>
      </c>
      <c r="J2714" s="5" t="s">
        <v>33507</v>
      </c>
      <c r="K2714" s="5" t="s">
        <v>344</v>
      </c>
      <c r="L2714" s="5"/>
      <c r="M2714" s="27"/>
      <c r="N2714" s="5" t="s">
        <v>53614</v>
      </c>
      <c r="O2714" s="5" t="str">
        <v>7704544391</v>
      </c>
      <c r="P2714" s="27">
        <v>1293356163</v>
      </c>
      <c r="Q2714" s="5"/>
      <c r="R2714" s="5"/>
      <c r="S2714" s="5" t="s">
        <v>49110</v>
      </c>
      <c r="T2714" s="28">
        <v>3394478000</v>
      </c>
      <c r="U2714" s="28"/>
      <c r="V2714" s="28">
        <v>328508000</v>
      </c>
      <c r="W2714" s="28"/>
      <c r="X2714" s="28">
        <v>218756000</v>
      </c>
      <c r="Y2714" s="28">
        <v>4264616000</v>
      </c>
      <c r="Z2714" s="28">
        <v>-2742579000</v>
      </c>
      <c r="AA2714" s="28">
        <v>2467453000</v>
      </c>
      <c r="AB2714" s="28">
        <v>200000000</v>
      </c>
      <c r="AC2714" s="28">
        <v>1105526000</v>
      </c>
      <c r="AD2714" s="28">
        <v>-1449223000</v>
      </c>
      <c r="AE2714" s="28">
        <v>4269768000</v>
      </c>
      <c r="AF2714" s="28">
        <v>-150617000</v>
      </c>
      <c r="AG2714" s="11"/>
    </row>
    <row r="2715">
      <c r="A2715" s="7" t="s">
        <v>4405</v>
      </c>
      <c r="B2715" s="5" t="s">
        <v>12377</v>
      </c>
      <c r="C2715" s="5" t="s">
        <v>20207</v>
      </c>
      <c r="D2715" s="5" t="str">
        <v>213004263706</v>
      </c>
      <c r="E2715" s="0" t="e">
        <f>+7 (926) 3887841</f>
        <v>#NAME?</v>
      </c>
      <c r="F2715" s="5"/>
      <c r="G2715" s="5" t="s">
        <v>33508</v>
      </c>
      <c r="H2715" s="26">
        <v>6.5</v>
      </c>
      <c r="I2715" s="5" t="s">
        <v>33509</v>
      </c>
      <c r="J2715" s="5" t="s">
        <v>32608</v>
      </c>
      <c r="K2715" s="5" t="s">
        <v>344</v>
      </c>
      <c r="L2715" s="5"/>
      <c r="M2715" s="27"/>
      <c r="N2715" s="5"/>
      <c r="O2715" s="5" t="str">
        <v>7709971326</v>
      </c>
      <c r="P2715" s="27">
        <v>1983000</v>
      </c>
      <c r="Q2715" s="5" t="s">
        <v>49021</v>
      </c>
      <c r="R2715" s="5"/>
      <c r="S2715" s="5" t="s">
        <v>53616</v>
      </c>
      <c r="T2715" s="28">
        <v>10528000</v>
      </c>
      <c r="U2715" s="28">
        <v>1080297000</v>
      </c>
      <c r="V2715" s="28">
        <v>808176000</v>
      </c>
      <c r="W2715" s="28">
        <v>558000</v>
      </c>
      <c r="X2715" s="28">
        <v>44673000</v>
      </c>
      <c r="Y2715" s="28">
        <v>2859018000</v>
      </c>
      <c r="Z2715" s="28">
        <v>431296000</v>
      </c>
      <c r="AA2715" s="28">
        <v>1050977000</v>
      </c>
      <c r="AB2715" s="28">
        <v>933595000</v>
      </c>
      <c r="AC2715" s="28">
        <v>1362443000</v>
      </c>
      <c r="AD2715" s="28">
        <v>433279000</v>
      </c>
      <c r="AE2715" s="28">
        <v>3579076000</v>
      </c>
      <c r="AF2715" s="28">
        <v>122034000</v>
      </c>
      <c r="AG2715" s="11"/>
    </row>
    <row r="2716">
      <c r="A2716" s="7" t="s">
        <v>4406</v>
      </c>
      <c r="B2716" s="5" t="s">
        <v>12378</v>
      </c>
      <c r="C2716" s="5" t="s">
        <v>20208</v>
      </c>
      <c r="D2716" s="5"/>
      <c r="E2716" s="0" t="e">
        <f>+7 (861) 2601111
+7 (918) 2696134</f>
        <v>#NAME?</v>
      </c>
      <c r="F2716" s="5" t="s">
        <v>33510</v>
      </c>
      <c r="G2716" s="5"/>
      <c r="H2716" s="26">
        <v>2.5</v>
      </c>
      <c r="I2716" s="5" t="s">
        <v>33511</v>
      </c>
      <c r="J2716" s="5" t="s">
        <v>389</v>
      </c>
      <c r="K2716" s="5" t="s">
        <v>355</v>
      </c>
      <c r="L2716" s="5" t="s">
        <v>33512</v>
      </c>
      <c r="M2716" s="27">
        <v>722833</v>
      </c>
      <c r="N2716" s="5"/>
      <c r="O2716" s="5" t="str">
        <v>2368013963</v>
      </c>
      <c r="P2716" s="27">
        <v>30000</v>
      </c>
      <c r="Q2716" s="5" t="s">
        <v>49355</v>
      </c>
      <c r="R2716" s="5"/>
      <c r="S2716" s="5" t="s">
        <v>53617</v>
      </c>
      <c r="T2716" s="28">
        <v>15408000</v>
      </c>
      <c r="U2716" s="28"/>
      <c r="V2716" s="28">
        <v>316177000</v>
      </c>
      <c r="W2716" s="28">
        <v>166562000</v>
      </c>
      <c r="X2716" s="28">
        <v>317513000</v>
      </c>
      <c r="Y2716" s="28">
        <v>6418406000</v>
      </c>
      <c r="Z2716" s="28">
        <v>195047000</v>
      </c>
      <c r="AA2716" s="28">
        <v>3290133000</v>
      </c>
      <c r="AB2716" s="28">
        <v>2424024000</v>
      </c>
      <c r="AC2716" s="28">
        <v>2933110000</v>
      </c>
      <c r="AD2716" s="28">
        <v>195077000</v>
      </c>
      <c r="AE2716" s="28">
        <v>30631326000</v>
      </c>
      <c r="AF2716" s="28">
        <v>154832000</v>
      </c>
      <c r="AG2716" s="11"/>
    </row>
    <row r="2717">
      <c r="A2717" s="7" t="s">
        <v>4407</v>
      </c>
      <c r="B2717" s="5" t="s">
        <v>12379</v>
      </c>
      <c r="C2717" s="5" t="s">
        <v>20209</v>
      </c>
      <c r="D2717" s="5" t="str">
        <v>521700157541</v>
      </c>
      <c r="E2717" s="0" t="e">
        <f>+7 (83166) 21007
+7 (83166) 21307
+7 (83166) 41007
+7 (83166) 41107
+7 (83166) 41292
+7 (83166) 41604
+7 (83166) 41735
+7 (83166) 41856
+7 (83191) 55686
+7 (83191) 55786</f>
        <v>#NAME?</v>
      </c>
      <c r="F2717" s="5" t="s">
        <v>33513</v>
      </c>
      <c r="G2717" s="5" t="s">
        <v>33514</v>
      </c>
      <c r="H2717" s="26">
        <v>30</v>
      </c>
      <c r="I2717" s="5"/>
      <c r="J2717" s="5" t="s">
        <v>33515</v>
      </c>
      <c r="K2717" s="5" t="s">
        <v>344</v>
      </c>
      <c r="L2717" s="5" t="s">
        <v>33516</v>
      </c>
      <c r="M2717" s="27"/>
      <c r="N2717" s="5"/>
      <c r="O2717" s="5" t="str">
        <v>5217000301</v>
      </c>
      <c r="P2717" s="27">
        <v>18618000</v>
      </c>
      <c r="Q2717" s="5"/>
      <c r="R2717" s="5"/>
      <c r="S2717" s="5" t="s">
        <v>49425</v>
      </c>
      <c r="T2717" s="28">
        <v>429180000</v>
      </c>
      <c r="U2717" s="28">
        <v>2240000</v>
      </c>
      <c r="V2717" s="28">
        <v>767391000</v>
      </c>
      <c r="W2717" s="28"/>
      <c r="X2717" s="28">
        <v>9935000</v>
      </c>
      <c r="Y2717" s="28">
        <v>2332659000</v>
      </c>
      <c r="Z2717" s="28">
        <v>583598000</v>
      </c>
      <c r="AA2717" s="28">
        <v>808833000</v>
      </c>
      <c r="AB2717" s="28">
        <v>675000000</v>
      </c>
      <c r="AC2717" s="28">
        <v>908787000</v>
      </c>
      <c r="AD2717" s="28">
        <v>615039000</v>
      </c>
      <c r="AE2717" s="28">
        <v>4083947000</v>
      </c>
      <c r="AF2717" s="28">
        <v>144254000</v>
      </c>
      <c r="AG2717" s="11"/>
    </row>
    <row r="2718">
      <c r="A2718" s="7" t="s">
        <v>4407</v>
      </c>
      <c r="B2718" s="5" t="s">
        <v>12380</v>
      </c>
      <c r="C2718" s="5" t="s">
        <v>20210</v>
      </c>
      <c r="D2718" s="5"/>
      <c r="E2718" s="0" t="e">
        <f>+7 (8332) 489500
+7 (833) 2230445
+7 (8332) 243411
+7 (8332) 489428
+7 (8332) 489515</f>
        <v>#NAME?</v>
      </c>
      <c r="F2718" s="5" t="s">
        <v>33517</v>
      </c>
      <c r="G2718" s="5" t="s">
        <v>33518</v>
      </c>
      <c r="H2718" s="26">
        <v>30</v>
      </c>
      <c r="I2718" s="5"/>
      <c r="J2718" s="5" t="s">
        <v>26887</v>
      </c>
      <c r="K2718" s="5" t="s">
        <v>344</v>
      </c>
      <c r="L2718" s="5"/>
      <c r="M2718" s="27"/>
      <c r="N2718" s="5" t="s">
        <v>53618</v>
      </c>
      <c r="O2718" s="5" t="str">
        <v>4345000217</v>
      </c>
      <c r="P2718" s="27">
        <v>65780550</v>
      </c>
      <c r="Q2718" s="5" t="s">
        <v>53620</v>
      </c>
      <c r="R2718" s="5"/>
      <c r="S2718" s="5" t="s">
        <v>53621</v>
      </c>
      <c r="T2718" s="28">
        <v>879344000</v>
      </c>
      <c r="U2718" s="28">
        <v>110449000</v>
      </c>
      <c r="V2718" s="28">
        <v>947350000</v>
      </c>
      <c r="W2718" s="28">
        <v>763986000</v>
      </c>
      <c r="X2718" s="28">
        <v>13198000</v>
      </c>
      <c r="Y2718" s="28">
        <v>3304138000</v>
      </c>
      <c r="Z2718" s="28">
        <v>1079522000</v>
      </c>
      <c r="AA2718" s="28">
        <v>151586000</v>
      </c>
      <c r="AB2718" s="28">
        <v>1268142000</v>
      </c>
      <c r="AC2718" s="28">
        <v>1932658000</v>
      </c>
      <c r="AD2718" s="28">
        <v>1155170000</v>
      </c>
      <c r="AE2718" s="28">
        <v>8444582000</v>
      </c>
      <c r="AF2718" s="28">
        <v>140106000</v>
      </c>
      <c r="AG2718" s="11"/>
    </row>
    <row r="2719">
      <c r="A2719" s="7" t="s">
        <v>4408</v>
      </c>
      <c r="B2719" s="5" t="s">
        <v>12381</v>
      </c>
      <c r="C2719" s="5" t="s">
        <v>20211</v>
      </c>
      <c r="D2719" s="5" t="str">
        <v>780216555044</v>
      </c>
      <c r="E2719" s="0" t="e">
        <f>+7 (812) 3312076
+7 (812) 3317824</f>
        <v>#NAME?</v>
      </c>
      <c r="F2719" s="5" t="s">
        <v>33519</v>
      </c>
      <c r="G2719" s="5"/>
      <c r="H2719" s="26">
        <v>7</v>
      </c>
      <c r="I2719" s="5" t="s">
        <v>33520</v>
      </c>
      <c r="J2719" s="5" t="s">
        <v>364</v>
      </c>
      <c r="K2719" s="5" t="s">
        <v>344</v>
      </c>
      <c r="L2719" s="5"/>
      <c r="M2719" s="27"/>
      <c r="N2719" s="5"/>
      <c r="O2719" s="5" t="str">
        <v>7802553130</v>
      </c>
      <c r="P2719" s="27">
        <v>1000000</v>
      </c>
      <c r="Q2719" s="5" t="s">
        <v>49561</v>
      </c>
      <c r="R2719" s="5"/>
      <c r="S2719" s="5" t="s">
        <v>53622</v>
      </c>
      <c r="T2719" s="28">
        <v>72248000</v>
      </c>
      <c r="U2719" s="28">
        <v>1000000</v>
      </c>
      <c r="V2719" s="28">
        <v>1008982000</v>
      </c>
      <c r="W2719" s="28">
        <v>5000000</v>
      </c>
      <c r="X2719" s="28">
        <v>27877000</v>
      </c>
      <c r="Y2719" s="28">
        <v>1132548000</v>
      </c>
      <c r="Z2719" s="28">
        <v>359891000</v>
      </c>
      <c r="AA2719" s="28"/>
      <c r="AB2719" s="28">
        <v>15059000</v>
      </c>
      <c r="AC2719" s="28">
        <v>764555000</v>
      </c>
      <c r="AD2719" s="28">
        <v>360891000</v>
      </c>
      <c r="AE2719" s="28">
        <v>5800463000</v>
      </c>
      <c r="AF2719" s="28">
        <v>150065000</v>
      </c>
      <c r="AG2719" s="11"/>
    </row>
    <row r="2720">
      <c r="A2720" s="7" t="s">
        <v>4409</v>
      </c>
      <c r="B2720" s="5" t="s">
        <v>12382</v>
      </c>
      <c r="C2720" s="5" t="s">
        <v>20212</v>
      </c>
      <c r="D2720" s="5" t="str">
        <v>463303510816</v>
      </c>
      <c r="E2720" s="0" t="e">
        <f>+7 (47148) 94100
+7 (35376) 70216
+7 (47148) 94483
+7 (920) 7131107</f>
        <v>#NAME?</v>
      </c>
      <c r="F2720" s="5" t="s">
        <v>33521</v>
      </c>
      <c r="G2720" s="5" t="s">
        <v>33522</v>
      </c>
      <c r="H2720" s="26">
        <v>20.5</v>
      </c>
      <c r="I2720" s="5" t="s">
        <v>33523</v>
      </c>
      <c r="J2720" s="5" t="s">
        <v>26623</v>
      </c>
      <c r="K2720" s="5" t="s">
        <v>344</v>
      </c>
      <c r="L2720" s="5" t="s">
        <v>33524</v>
      </c>
      <c r="M2720" s="27"/>
      <c r="N2720" s="5" t="s">
        <v>53623</v>
      </c>
      <c r="O2720" s="5" t="str">
        <v>4633042206</v>
      </c>
      <c r="P2720" s="27">
        <v>300000</v>
      </c>
      <c r="Q2720" s="5" t="s">
        <v>49059</v>
      </c>
      <c r="R2720" s="5" t="s">
        <v>49252</v>
      </c>
      <c r="S2720" s="5" t="s">
        <v>49195</v>
      </c>
      <c r="T2720" s="28">
        <v>82746000</v>
      </c>
      <c r="U2720" s="28"/>
      <c r="V2720" s="28">
        <v>853587000</v>
      </c>
      <c r="W2720" s="28">
        <v>550000</v>
      </c>
      <c r="X2720" s="28">
        <v>120065000</v>
      </c>
      <c r="Y2720" s="28">
        <v>1077983000</v>
      </c>
      <c r="Z2720" s="28">
        <v>833481000</v>
      </c>
      <c r="AA2720" s="28"/>
      <c r="AB2720" s="28"/>
      <c r="AC2720" s="28">
        <v>238315000</v>
      </c>
      <c r="AD2720" s="28">
        <v>835672000</v>
      </c>
      <c r="AE2720" s="28">
        <v>25545189000</v>
      </c>
      <c r="AF2720" s="28">
        <v>1510434000</v>
      </c>
      <c r="AG2720" s="11"/>
    </row>
    <row r="2721">
      <c r="A2721" s="7" t="s">
        <v>4410</v>
      </c>
      <c r="B2721" s="5" t="s">
        <v>12383</v>
      </c>
      <c r="C2721" s="5" t="s">
        <v>20213</v>
      </c>
      <c r="D2721" s="5"/>
      <c r="E2721" s="0" t="e">
        <f>+7 (487) 2230000
+7 (487) 2236525
+7 (487) 2243056
+7 (487) 2230347
+7 (487) 2230871
+7 (487) 2230896
+7 (487) 2239372
+7 (487) 2239865
+7 (487) 2239904
+7 (487) 2239933
+7 (487) 2243066
+7 (487) 2243079
+7 (487) 2243122
+7 (487) 2243334
+7 (487) 2243503</f>
        <v>#NAME?</v>
      </c>
      <c r="F2721" s="5" t="s">
        <v>33525</v>
      </c>
      <c r="G2721" s="5"/>
      <c r="H2721" s="26">
        <v>30.5</v>
      </c>
      <c r="I2721" s="5" t="s">
        <v>33526</v>
      </c>
      <c r="J2721" s="5" t="s">
        <v>32426</v>
      </c>
      <c r="K2721" s="5" t="s">
        <v>344</v>
      </c>
      <c r="L2721" s="5"/>
      <c r="M2721" s="27">
        <v>11227333</v>
      </c>
      <c r="N2721" s="5" t="s">
        <v>53624</v>
      </c>
      <c r="O2721" s="5" t="str">
        <v>7104002774</v>
      </c>
      <c r="P2721" s="27">
        <v>28472874</v>
      </c>
      <c r="Q2721" s="5" t="s">
        <v>49324</v>
      </c>
      <c r="R2721" s="5"/>
      <c r="S2721" s="5" t="s">
        <v>53625</v>
      </c>
      <c r="T2721" s="28">
        <v>2536475000</v>
      </c>
      <c r="U2721" s="28"/>
      <c r="V2721" s="28">
        <v>4916622000</v>
      </c>
      <c r="W2721" s="28">
        <v>98700000</v>
      </c>
      <c r="X2721" s="28">
        <v>448565000</v>
      </c>
      <c r="Y2721" s="28">
        <v>10043592000</v>
      </c>
      <c r="Z2721" s="28">
        <v>3231139000</v>
      </c>
      <c r="AA2721" s="28">
        <v>1180898000</v>
      </c>
      <c r="AB2721" s="28">
        <v>1476142000</v>
      </c>
      <c r="AC2721" s="28">
        <v>3094641000</v>
      </c>
      <c r="AD2721" s="28">
        <v>5454672000</v>
      </c>
      <c r="AE2721" s="28">
        <v>13505783000</v>
      </c>
      <c r="AF2721" s="28">
        <v>724725000</v>
      </c>
      <c r="AG2721" s="11"/>
    </row>
    <row r="2722">
      <c r="A2722" s="7" t="s">
        <v>4411</v>
      </c>
      <c r="B2722" s="5" t="s">
        <v>12384</v>
      </c>
      <c r="C2722" s="5" t="s">
        <v>20214</v>
      </c>
      <c r="D2722" s="5" t="str">
        <v>482303659052</v>
      </c>
      <c r="E2722" s="0" t="e">
        <f>+7 (926) 6943289</f>
        <v>#NAME?</v>
      </c>
      <c r="F2722" s="5"/>
      <c r="G2722" s="5"/>
      <c r="H2722" s="26">
        <v>6.5</v>
      </c>
      <c r="I2722" s="5" t="s">
        <v>33527</v>
      </c>
      <c r="J2722" s="5" t="s">
        <v>373</v>
      </c>
      <c r="K2722" s="5" t="s">
        <v>344</v>
      </c>
      <c r="L2722" s="5"/>
      <c r="M2722" s="27">
        <v>38702538</v>
      </c>
      <c r="N2722" s="5"/>
      <c r="O2722" s="5" t="str">
        <v>7703419052</v>
      </c>
      <c r="P2722" s="27">
        <v>10000</v>
      </c>
      <c r="Q2722" s="5" t="s">
        <v>49009</v>
      </c>
      <c r="R2722" s="5"/>
      <c r="S2722" s="5" t="s">
        <v>49010</v>
      </c>
      <c r="T2722" s="28">
        <v>5811000</v>
      </c>
      <c r="U2722" s="28"/>
      <c r="V2722" s="28">
        <v>1193358000</v>
      </c>
      <c r="W2722" s="28">
        <v>54161000</v>
      </c>
      <c r="X2722" s="28">
        <v>1217000</v>
      </c>
      <c r="Y2722" s="28">
        <v>1890713000</v>
      </c>
      <c r="Z2722" s="28">
        <v>55590000</v>
      </c>
      <c r="AA2722" s="28"/>
      <c r="AB2722" s="28"/>
      <c r="AC2722" s="28">
        <v>1834483000</v>
      </c>
      <c r="AD2722" s="28">
        <v>55600000</v>
      </c>
      <c r="AE2722" s="28">
        <v>25019555000</v>
      </c>
      <c r="AF2722" s="28">
        <v>10638000</v>
      </c>
      <c r="AG2722" s="11"/>
    </row>
    <row r="2723">
      <c r="A2723" s="7" t="s">
        <v>4411</v>
      </c>
      <c r="B2723" s="5" t="s">
        <v>12385</v>
      </c>
      <c r="C2723" s="5" t="s">
        <v>20215</v>
      </c>
      <c r="D2723" s="5" t="str">
        <v>502008427112</v>
      </c>
      <c r="F2723" s="5"/>
      <c r="G2723" s="5"/>
      <c r="H2723" s="26">
        <v>8</v>
      </c>
      <c r="I2723" s="5" t="s">
        <v>33528</v>
      </c>
      <c r="J2723" s="5" t="s">
        <v>32045</v>
      </c>
      <c r="K2723" s="5" t="s">
        <v>344</v>
      </c>
      <c r="L2723" s="5" t="s">
        <v>33529</v>
      </c>
      <c r="M2723" s="27"/>
      <c r="N2723" s="5"/>
      <c r="O2723" s="5" t="str">
        <v>5020077924</v>
      </c>
      <c r="P2723" s="27">
        <v>10000</v>
      </c>
      <c r="Q2723" s="5" t="s">
        <v>49059</v>
      </c>
      <c r="R2723" s="5"/>
      <c r="S2723" s="5" t="s">
        <v>49010</v>
      </c>
      <c r="T2723" s="28">
        <v>162863000</v>
      </c>
      <c r="U2723" s="28"/>
      <c r="V2723" s="28">
        <v>316746000</v>
      </c>
      <c r="W2723" s="28"/>
      <c r="X2723" s="28">
        <v>381889000</v>
      </c>
      <c r="Y2723" s="28">
        <v>1292997000</v>
      </c>
      <c r="Z2723" s="28">
        <v>441151000</v>
      </c>
      <c r="AA2723" s="28"/>
      <c r="AB2723" s="28">
        <v>93170000</v>
      </c>
      <c r="AC2723" s="28">
        <v>851836000</v>
      </c>
      <c r="AD2723" s="28">
        <v>441161000</v>
      </c>
      <c r="AE2723" s="28">
        <v>3315384000</v>
      </c>
      <c r="AF2723" s="28">
        <v>37534000</v>
      </c>
      <c r="AG2723" s="11"/>
    </row>
    <row r="2724">
      <c r="A2724" s="7" t="s">
        <v>4412</v>
      </c>
      <c r="B2724" s="5" t="s">
        <v>12386</v>
      </c>
      <c r="C2724" s="5" t="s">
        <v>20216</v>
      </c>
      <c r="D2724" s="5" t="str">
        <v>165058969402</v>
      </c>
      <c r="E2724" s="0" t="e">
        <f>+7 (855) 2202055
+7 (800) 7752021
+7 (855) 2201977
+7 (855) 2201978
+7 (855) 2201991
+7 (855) 2202120</f>
        <v>#NAME?</v>
      </c>
      <c r="F2724" s="5" t="s">
        <v>33530</v>
      </c>
      <c r="G2724" s="5"/>
      <c r="H2724" s="26">
        <v>11</v>
      </c>
      <c r="I2724" s="5"/>
      <c r="J2724" s="5" t="s">
        <v>31212</v>
      </c>
      <c r="K2724" s="5" t="s">
        <v>344</v>
      </c>
      <c r="L2724" s="5" t="s">
        <v>33531</v>
      </c>
      <c r="M2724" s="27">
        <v>7385979</v>
      </c>
      <c r="N2724" s="5"/>
      <c r="O2724" s="5" t="str">
        <v>1650239253</v>
      </c>
      <c r="P2724" s="27">
        <v>1000000</v>
      </c>
      <c r="Q2724" s="5"/>
      <c r="R2724" s="5"/>
      <c r="S2724" s="5" t="s">
        <v>49110</v>
      </c>
      <c r="T2724" s="28">
        <v>5495574000</v>
      </c>
      <c r="U2724" s="28"/>
      <c r="V2724" s="28">
        <v>1047249000</v>
      </c>
      <c r="W2724" s="28">
        <v>1104301000</v>
      </c>
      <c r="X2724" s="28">
        <v>80898000</v>
      </c>
      <c r="Y2724" s="28">
        <v>11893799000</v>
      </c>
      <c r="Z2724" s="28">
        <v>6124828000</v>
      </c>
      <c r="AA2724" s="28">
        <v>4074198000</v>
      </c>
      <c r="AB2724" s="28">
        <v>1240000</v>
      </c>
      <c r="AC2724" s="28">
        <v>1541271000</v>
      </c>
      <c r="AD2724" s="28">
        <v>6125878000</v>
      </c>
      <c r="AE2724" s="28">
        <v>13665862000</v>
      </c>
      <c r="AF2724" s="28">
        <v>376621000</v>
      </c>
      <c r="AG2724" s="11"/>
    </row>
    <row r="2725">
      <c r="A2725" s="7" t="s">
        <v>4413</v>
      </c>
      <c r="B2725" s="5" t="s">
        <v>12387</v>
      </c>
      <c r="C2725" s="5" t="s">
        <v>20217</v>
      </c>
      <c r="D2725" s="5" t="str">
        <v>263210486322</v>
      </c>
      <c r="E2725" s="0" t="e">
        <f>+7 (988) 8880373
+7 (86142) 36086
+7 (988) 4620345
+7 (988) 8880361</f>
        <v>#NAME?</v>
      </c>
      <c r="F2725" s="5" t="s">
        <v>33532</v>
      </c>
      <c r="G2725" s="5" t="s">
        <v>33533</v>
      </c>
      <c r="H2725" s="26">
        <v>20.5</v>
      </c>
      <c r="I2725" s="5"/>
      <c r="J2725" s="5" t="s">
        <v>26869</v>
      </c>
      <c r="K2725" s="5" t="s">
        <v>344</v>
      </c>
      <c r="L2725" s="5"/>
      <c r="M2725" s="27"/>
      <c r="N2725" s="5"/>
      <c r="O2725" s="5" t="str">
        <v>2335013799</v>
      </c>
      <c r="P2725" s="27">
        <v>111600000</v>
      </c>
      <c r="Q2725" s="5" t="s">
        <v>49009</v>
      </c>
      <c r="R2725" s="5"/>
      <c r="S2725" s="5" t="s">
        <v>49961</v>
      </c>
      <c r="T2725" s="28">
        <v>4653760000</v>
      </c>
      <c r="U2725" s="28">
        <v>107060000</v>
      </c>
      <c r="V2725" s="28">
        <v>2090906000</v>
      </c>
      <c r="W2725" s="28">
        <v>1859652000</v>
      </c>
      <c r="X2725" s="28">
        <v>726559000</v>
      </c>
      <c r="Y2725" s="28">
        <v>10646197000</v>
      </c>
      <c r="Z2725" s="28">
        <v>7276657000</v>
      </c>
      <c r="AA2725" s="28">
        <v>1380899000</v>
      </c>
      <c r="AB2725" s="28">
        <v>800599000</v>
      </c>
      <c r="AC2725" s="28">
        <v>1578000000</v>
      </c>
      <c r="AD2725" s="28">
        <v>7393837000</v>
      </c>
      <c r="AE2725" s="28">
        <v>20275829000</v>
      </c>
      <c r="AF2725" s="28">
        <v>995062000</v>
      </c>
      <c r="AG2725" s="11"/>
    </row>
    <row r="2726">
      <c r="A2726" s="7" t="s">
        <v>4414</v>
      </c>
      <c r="B2726" s="5" t="s">
        <v>12388</v>
      </c>
      <c r="C2726" s="5" t="s">
        <v>20218</v>
      </c>
      <c r="D2726" s="5" t="str">
        <v>450140425341</v>
      </c>
      <c r="E2726" s="0" t="e">
        <f>+7 (343) 3794579
+7 (383) 3283120
+7 (924) 7111701
+7 (962) 8301000
+7 (38343) 91111</f>
        <v>#NAME?</v>
      </c>
      <c r="F2726" s="5" t="s">
        <v>33534</v>
      </c>
      <c r="G2726" s="5"/>
      <c r="H2726" s="26">
        <v>3</v>
      </c>
      <c r="I2726" s="5" t="s">
        <v>33535</v>
      </c>
      <c r="J2726" s="5" t="s">
        <v>31059</v>
      </c>
      <c r="K2726" s="5" t="s">
        <v>344</v>
      </c>
      <c r="L2726" s="5" t="s">
        <v>33536</v>
      </c>
      <c r="M2726" s="27"/>
      <c r="N2726" s="5" t="s">
        <v>53627</v>
      </c>
      <c r="O2726" s="5" t="str">
        <v>5443028100</v>
      </c>
      <c r="P2726" s="27">
        <v>10000</v>
      </c>
      <c r="Q2726" s="5" t="s">
        <v>49021</v>
      </c>
      <c r="R2726" s="5" t="s">
        <v>49803</v>
      </c>
      <c r="S2726" s="5" t="s">
        <v>53628</v>
      </c>
      <c r="T2726" s="28">
        <v>1157785000</v>
      </c>
      <c r="U2726" s="28">
        <v>2728858000</v>
      </c>
      <c r="V2726" s="28">
        <v>610551000</v>
      </c>
      <c r="W2726" s="28"/>
      <c r="X2726" s="28">
        <v>133570000</v>
      </c>
      <c r="Y2726" s="28">
        <v>7453491000</v>
      </c>
      <c r="Z2726" s="28">
        <v>3685357000</v>
      </c>
      <c r="AA2726" s="28">
        <v>2326651000</v>
      </c>
      <c r="AB2726" s="28"/>
      <c r="AC2726" s="28">
        <v>999825000</v>
      </c>
      <c r="AD2726" s="28">
        <v>3685367000</v>
      </c>
      <c r="AE2726" s="28">
        <v>15389889000</v>
      </c>
      <c r="AF2726" s="28">
        <v>-165061000</v>
      </c>
      <c r="AG2726" s="11"/>
    </row>
    <row r="2727">
      <c r="A2727" s="7" t="s">
        <v>4415</v>
      </c>
      <c r="B2727" s="5" t="s">
        <v>12389</v>
      </c>
      <c r="C2727" s="5" t="s">
        <v>20219</v>
      </c>
      <c r="D2727" s="5" t="str">
        <v>311302243091</v>
      </c>
      <c r="E2727" s="0" t="e">
        <f>+7 (343) 3794579</f>
        <v>#NAME?</v>
      </c>
      <c r="F2727" s="5" t="s">
        <v>33537</v>
      </c>
      <c r="G2727" s="5"/>
      <c r="H2727" s="26">
        <v>2</v>
      </c>
      <c r="I2727" s="5" t="s">
        <v>33535</v>
      </c>
      <c r="J2727" s="5" t="s">
        <v>31059</v>
      </c>
      <c r="K2727" s="5" t="s">
        <v>344</v>
      </c>
      <c r="L2727" s="5" t="s">
        <v>33538</v>
      </c>
      <c r="M2727" s="27"/>
      <c r="N2727" s="5"/>
      <c r="O2727" s="5" t="str">
        <v>7203513829</v>
      </c>
      <c r="P2727" s="27">
        <v>10000</v>
      </c>
      <c r="Q2727" s="5" t="s">
        <v>49021</v>
      </c>
      <c r="R2727" s="5"/>
      <c r="S2727" s="5" t="s">
        <v>53629</v>
      </c>
      <c r="T2727" s="28">
        <v>815445000</v>
      </c>
      <c r="U2727" s="28"/>
      <c r="V2727" s="28">
        <v>530620000</v>
      </c>
      <c r="W2727" s="28"/>
      <c r="X2727" s="28">
        <v>200420000</v>
      </c>
      <c r="Y2727" s="28">
        <v>3426031000</v>
      </c>
      <c r="Z2727" s="28">
        <v>956854000</v>
      </c>
      <c r="AA2727" s="28">
        <v>1294058000</v>
      </c>
      <c r="AB2727" s="28"/>
      <c r="AC2727" s="28">
        <v>906313000</v>
      </c>
      <c r="AD2727" s="28">
        <v>956864000</v>
      </c>
      <c r="AE2727" s="28">
        <v>12392806000</v>
      </c>
      <c r="AF2727" s="28">
        <v>-676681000</v>
      </c>
      <c r="AG2727" s="11"/>
    </row>
    <row r="2728">
      <c r="A2728" s="7" t="s">
        <v>4416</v>
      </c>
      <c r="B2728" s="5" t="s">
        <v>12390</v>
      </c>
      <c r="C2728" s="5" t="s">
        <v>20220</v>
      </c>
      <c r="D2728" s="5" t="str">
        <v>027614919401</v>
      </c>
      <c r="F2728" s="5"/>
      <c r="G2728" s="5"/>
      <c r="H2728" s="26">
        <v>3</v>
      </c>
      <c r="I2728" s="5" t="s">
        <v>33535</v>
      </c>
      <c r="J2728" s="5" t="s">
        <v>31059</v>
      </c>
      <c r="K2728" s="5" t="s">
        <v>344</v>
      </c>
      <c r="L2728" s="5" t="s">
        <v>33539</v>
      </c>
      <c r="M2728" s="27"/>
      <c r="N2728" s="5" t="s">
        <v>52444</v>
      </c>
      <c r="O2728" s="5" t="str">
        <v>6102073665</v>
      </c>
      <c r="P2728" s="27">
        <v>10000</v>
      </c>
      <c r="Q2728" s="5" t="s">
        <v>49021</v>
      </c>
      <c r="R2728" s="5"/>
      <c r="S2728" s="5" t="s">
        <v>53630</v>
      </c>
      <c r="T2728" s="28">
        <v>635232000</v>
      </c>
      <c r="U2728" s="28">
        <v>415898000</v>
      </c>
      <c r="V2728" s="28">
        <v>118041000</v>
      </c>
      <c r="W2728" s="28"/>
      <c r="X2728" s="28">
        <v>185833000</v>
      </c>
      <c r="Y2728" s="28">
        <v>2981083000</v>
      </c>
      <c r="Z2728" s="28">
        <v>958661000</v>
      </c>
      <c r="AA2728" s="28">
        <v>1000091000</v>
      </c>
      <c r="AB2728" s="28"/>
      <c r="AC2728" s="28">
        <v>866321000</v>
      </c>
      <c r="AD2728" s="28">
        <v>958671000</v>
      </c>
      <c r="AE2728" s="28">
        <v>10270809000</v>
      </c>
      <c r="AF2728" s="28">
        <v>-716525000</v>
      </c>
      <c r="AG2728" s="11"/>
    </row>
    <row r="2729">
      <c r="A2729" s="7" t="s">
        <v>4417</v>
      </c>
      <c r="B2729" s="5" t="s">
        <v>12391</v>
      </c>
      <c r="C2729" s="5" t="s">
        <v>20221</v>
      </c>
      <c r="D2729" s="5" t="str">
        <v>504790591753</v>
      </c>
      <c r="E2729" s="0" t="e">
        <f>+7 (924) 7111701
+7 (962) 8301000
+7 (495) 2234353
+7 (495) 2256140
+7 (495) 2256141
+7 (495) 2256151
+7 (495) 2256153
+7 (495) 9373230
+7 (49654) 57203
+7 (800) 5552655
+7 (8432) 100044</f>
        <v>#NAME?</v>
      </c>
      <c r="F2729" s="5" t="s">
        <v>33540</v>
      </c>
      <c r="G2729" s="5"/>
      <c r="H2729" s="26">
        <v>11.5</v>
      </c>
      <c r="I2729" s="5" t="s">
        <v>33541</v>
      </c>
      <c r="J2729" s="5" t="s">
        <v>31059</v>
      </c>
      <c r="K2729" s="5" t="s">
        <v>344</v>
      </c>
      <c r="L2729" s="5"/>
      <c r="M2729" s="27"/>
      <c r="N2729" s="5" t="s">
        <v>53631</v>
      </c>
      <c r="O2729" s="5" t="str">
        <v>7704792852</v>
      </c>
      <c r="P2729" s="27">
        <v>98000000</v>
      </c>
      <c r="Q2729" s="5" t="s">
        <v>49134</v>
      </c>
      <c r="R2729" s="5" t="s">
        <v>53632</v>
      </c>
      <c r="S2729" s="5" t="s">
        <v>53633</v>
      </c>
      <c r="T2729" s="28">
        <v>2224642000</v>
      </c>
      <c r="U2729" s="28">
        <v>73222000</v>
      </c>
      <c r="V2729" s="28">
        <v>2922032000</v>
      </c>
      <c r="W2729" s="28">
        <v>233201000</v>
      </c>
      <c r="X2729" s="28">
        <v>7362250000</v>
      </c>
      <c r="Y2729" s="28">
        <v>17782220000</v>
      </c>
      <c r="Z2729" s="28">
        <v>2730650000</v>
      </c>
      <c r="AA2729" s="28">
        <v>8758200000</v>
      </c>
      <c r="AB2729" s="28">
        <v>55442000</v>
      </c>
      <c r="AC2729" s="28">
        <v>6079447000</v>
      </c>
      <c r="AD2729" s="28">
        <v>2828650000</v>
      </c>
      <c r="AE2729" s="28">
        <v>55371777000</v>
      </c>
      <c r="AF2729" s="28">
        <v>1164519000</v>
      </c>
      <c r="AG2729" s="11"/>
    </row>
    <row r="2730">
      <c r="A2730" s="7" t="s">
        <v>4417</v>
      </c>
      <c r="B2730" s="5" t="s">
        <v>12392</v>
      </c>
      <c r="C2730" s="5" t="s">
        <v>20222</v>
      </c>
      <c r="D2730" s="5" t="str">
        <v>253600972473</v>
      </c>
      <c r="E2730" s="0" t="e">
        <f>+7 (415) 2434445
+7 (4232) 791730
+7 (902) 5289555</f>
        <v>#NAME?</v>
      </c>
      <c r="F2730" s="5" t="s">
        <v>33542</v>
      </c>
      <c r="G2730" s="5" t="s">
        <v>33543</v>
      </c>
      <c r="H2730" s="26">
        <v>13.5</v>
      </c>
      <c r="I2730" s="5" t="s">
        <v>33544</v>
      </c>
      <c r="J2730" s="5" t="s">
        <v>28577</v>
      </c>
      <c r="K2730" s="5" t="s">
        <v>344</v>
      </c>
      <c r="L2730" s="5" t="s">
        <v>33545</v>
      </c>
      <c r="M2730" s="27">
        <v>21194423</v>
      </c>
      <c r="N2730" s="5" t="s">
        <v>53634</v>
      </c>
      <c r="O2730" s="5" t="str">
        <v>4101134135</v>
      </c>
      <c r="P2730" s="27">
        <v>323830285</v>
      </c>
      <c r="Q2730" s="5" t="s">
        <v>53635</v>
      </c>
      <c r="R2730" s="5"/>
      <c r="S2730" s="5" t="s">
        <v>53232</v>
      </c>
      <c r="T2730" s="28">
        <v>1305155000</v>
      </c>
      <c r="U2730" s="28">
        <v>1237424000</v>
      </c>
      <c r="V2730" s="28">
        <v>1021665000</v>
      </c>
      <c r="W2730" s="28">
        <v>1164000</v>
      </c>
      <c r="X2730" s="28">
        <v>168901000</v>
      </c>
      <c r="Y2730" s="28">
        <v>4052472000</v>
      </c>
      <c r="Z2730" s="28">
        <v>2400959000</v>
      </c>
      <c r="AA2730" s="28">
        <v>417978000</v>
      </c>
      <c r="AB2730" s="28"/>
      <c r="AC2730" s="28">
        <v>815863000</v>
      </c>
      <c r="AD2730" s="28">
        <v>2740981000</v>
      </c>
      <c r="AE2730" s="28">
        <v>6873768000</v>
      </c>
      <c r="AF2730" s="28">
        <v>1131470000</v>
      </c>
      <c r="AG2730" s="11"/>
    </row>
    <row r="2731">
      <c r="A2731" s="7" t="s">
        <v>4418</v>
      </c>
      <c r="B2731" s="5" t="s">
        <v>10269</v>
      </c>
      <c r="C2731" s="5" t="s">
        <v>20223</v>
      </c>
      <c r="D2731" s="5" t="str">
        <v>504404910239</v>
      </c>
      <c r="E2731" s="0" t="e">
        <f>+7 (47148) 76479
+7 (47148) 76488
+7 (47148) 76489
+7 (47148) 76498
+7 (47148) 94334</f>
        <v>#NAME?</v>
      </c>
      <c r="F2731" s="5"/>
      <c r="G2731" s="5"/>
      <c r="H2731" s="26">
        <v>7</v>
      </c>
      <c r="I2731" s="5" t="s">
        <v>33546</v>
      </c>
      <c r="J2731" s="5" t="s">
        <v>25788</v>
      </c>
      <c r="K2731" s="5" t="s">
        <v>344</v>
      </c>
      <c r="L2731" s="5" t="s">
        <v>33547</v>
      </c>
      <c r="M2731" s="27">
        <v>1260319</v>
      </c>
      <c r="N2731" s="5"/>
      <c r="O2731" s="5" t="str">
        <v>4633037968</v>
      </c>
      <c r="P2731" s="27">
        <v>600000000</v>
      </c>
      <c r="Q2731" s="5" t="s">
        <v>49009</v>
      </c>
      <c r="R2731" s="5"/>
      <c r="S2731" s="5" t="s">
        <v>49066</v>
      </c>
      <c r="T2731" s="28">
        <v>679832000</v>
      </c>
      <c r="U2731" s="28"/>
      <c r="V2731" s="28">
        <v>9610370000</v>
      </c>
      <c r="W2731" s="28"/>
      <c r="X2731" s="28">
        <v>403422000</v>
      </c>
      <c r="Y2731" s="28">
        <v>12059740000</v>
      </c>
      <c r="Z2731" s="28">
        <v>-104786000</v>
      </c>
      <c r="AA2731" s="28"/>
      <c r="AB2731" s="28">
        <v>1064902000</v>
      </c>
      <c r="AC2731" s="28">
        <v>10673030000</v>
      </c>
      <c r="AD2731" s="28">
        <v>1095214000</v>
      </c>
      <c r="AE2731" s="28">
        <v>36788077000</v>
      </c>
      <c r="AF2731" s="28">
        <v>234251000</v>
      </c>
      <c r="AG2731" s="11"/>
    </row>
    <row r="2732">
      <c r="A2732" s="7" t="s">
        <v>4419</v>
      </c>
      <c r="B2732" s="5" t="s">
        <v>12393</v>
      </c>
      <c r="C2732" s="5" t="s">
        <v>20224</v>
      </c>
      <c r="D2732" s="5" t="str">
        <v>263000567913</v>
      </c>
      <c r="E2732" s="0" t="e">
        <f>+7 (3854) 432570
+7 (8412) 310098
+7 (879) 2243301
+7 (879) 2243370
+7 (879) 2243621
+7 (879) 2295304
+7 (879) 2295309
+7 (879) 2295326
+7 (879) 2295395</f>
        <v>#NAME?</v>
      </c>
      <c r="F2732" s="5" t="s">
        <v>33548</v>
      </c>
      <c r="G2732" s="5" t="s">
        <v>33549</v>
      </c>
      <c r="H2732" s="26">
        <v>30.5</v>
      </c>
      <c r="I2732" s="5"/>
      <c r="J2732" s="5" t="s">
        <v>33361</v>
      </c>
      <c r="K2732" s="5" t="s">
        <v>344</v>
      </c>
      <c r="L2732" s="5" t="s">
        <v>28220</v>
      </c>
      <c r="M2732" s="27"/>
      <c r="N2732" s="5"/>
      <c r="O2732" s="5" t="str">
        <v>2630000081</v>
      </c>
      <c r="P2732" s="27">
        <v>66966899</v>
      </c>
      <c r="Q2732" s="5"/>
      <c r="R2732" s="5"/>
      <c r="S2732" s="5" t="s">
        <v>49499</v>
      </c>
      <c r="T2732" s="28">
        <v>2087111000</v>
      </c>
      <c r="U2732" s="28">
        <v>11478000</v>
      </c>
      <c r="V2732" s="28">
        <v>591206000</v>
      </c>
      <c r="W2732" s="28"/>
      <c r="X2732" s="28">
        <v>487829000</v>
      </c>
      <c r="Y2732" s="28">
        <v>4452823000</v>
      </c>
      <c r="Z2732" s="28">
        <v>709047000</v>
      </c>
      <c r="AA2732" s="28">
        <v>1103307000</v>
      </c>
      <c r="AB2732" s="28">
        <v>169291000</v>
      </c>
      <c r="AC2732" s="28">
        <v>574893000</v>
      </c>
      <c r="AD2732" s="28">
        <v>2774623000</v>
      </c>
      <c r="AE2732" s="28">
        <v>4132197000</v>
      </c>
      <c r="AF2732" s="28">
        <v>384184000</v>
      </c>
      <c r="AG2732" s="11"/>
    </row>
    <row r="2733">
      <c r="A2733" s="7" t="s">
        <v>4420</v>
      </c>
      <c r="B2733" s="5" t="s">
        <v>12394</v>
      </c>
      <c r="C2733" s="5" t="s">
        <v>20225</v>
      </c>
      <c r="D2733" s="5" t="str">
        <v>850400593535</v>
      </c>
      <c r="E2733" s="0" t="e">
        <f>+7 (39549) 21193
+7 (39549) 21238
+7 (39549) 21249
+7 (39549) 21384
+7 (39549) 21515
+7 (39549) 21585
+7 (39549) 22134
+7 (39549) 23000
+7 (39549) 23006
+7 (39549) 91334
+7 (39549) 91374</f>
        <v>#NAME?</v>
      </c>
      <c r="F2733" s="5" t="s">
        <v>33550</v>
      </c>
      <c r="G2733" s="5" t="s">
        <v>33551</v>
      </c>
      <c r="H2733" s="26">
        <v>11.5</v>
      </c>
      <c r="I2733" s="5" t="s">
        <v>33552</v>
      </c>
      <c r="J2733" s="5" t="s">
        <v>33553</v>
      </c>
      <c r="K2733" s="5" t="s">
        <v>344</v>
      </c>
      <c r="L2733" s="5" t="s">
        <v>33554</v>
      </c>
      <c r="M2733" s="27"/>
      <c r="N2733" s="5"/>
      <c r="O2733" s="5" t="str">
        <v>3851004128</v>
      </c>
      <c r="P2733" s="27">
        <v>1463981000</v>
      </c>
      <c r="Q2733" s="5" t="s">
        <v>49688</v>
      </c>
      <c r="R2733" s="5"/>
      <c r="S2733" s="5" t="s">
        <v>53637</v>
      </c>
      <c r="T2733" s="28">
        <v>5239618000</v>
      </c>
      <c r="U2733" s="28"/>
      <c r="V2733" s="28">
        <v>673565000</v>
      </c>
      <c r="W2733" s="28"/>
      <c r="X2733" s="28">
        <v>4013000</v>
      </c>
      <c r="Y2733" s="28">
        <v>7362424000</v>
      </c>
      <c r="Z2733" s="28">
        <v>204657000</v>
      </c>
      <c r="AA2733" s="28">
        <v>3051686000</v>
      </c>
      <c r="AB2733" s="28"/>
      <c r="AC2733" s="28">
        <v>1609845000</v>
      </c>
      <c r="AD2733" s="28">
        <v>2435994000</v>
      </c>
      <c r="AE2733" s="28">
        <v>8916758000</v>
      </c>
      <c r="AF2733" s="28">
        <v>796976000</v>
      </c>
      <c r="AG2733" s="11"/>
    </row>
    <row r="2734">
      <c r="A2734" s="7" t="s">
        <v>4421</v>
      </c>
      <c r="B2734" s="5" t="s">
        <v>12395</v>
      </c>
      <c r="C2734" s="5" t="s">
        <v>20226</v>
      </c>
      <c r="D2734" s="5" t="str">
        <v>502403532414</v>
      </c>
      <c r="E2734" s="0" t="e">
        <f>+7 (812) 3803550
+7 (812) 3803515
+7 (812) 3803533
+7 (812) 3803554
+7 (812) 7188194
+7 (812) 9501376
+7 (921) 9035268
+7 (921) 9501376
+7 (931) 2383731</f>
        <v>#NAME?</v>
      </c>
      <c r="F2734" s="5"/>
      <c r="G2734" s="5" t="s">
        <v>33555</v>
      </c>
      <c r="H2734" s="26">
        <v>18</v>
      </c>
      <c r="I2734" s="5" t="s">
        <v>33556</v>
      </c>
      <c r="J2734" s="5" t="s">
        <v>33557</v>
      </c>
      <c r="K2734" s="5" t="s">
        <v>344</v>
      </c>
      <c r="L2734" s="5" t="s">
        <v>33558</v>
      </c>
      <c r="M2734" s="27"/>
      <c r="N2734" s="5"/>
      <c r="O2734" s="5" t="str">
        <v>7817302330</v>
      </c>
      <c r="P2734" s="27">
        <v>1588513229</v>
      </c>
      <c r="Q2734" s="5" t="s">
        <v>49009</v>
      </c>
      <c r="R2734" s="5"/>
      <c r="S2734" s="5" t="s">
        <v>49066</v>
      </c>
      <c r="T2734" s="28">
        <v>2412518000</v>
      </c>
      <c r="U2734" s="28">
        <v>71000000</v>
      </c>
      <c r="V2734" s="28">
        <v>1992899000</v>
      </c>
      <c r="W2734" s="28"/>
      <c r="X2734" s="28">
        <v>6317000</v>
      </c>
      <c r="Y2734" s="28">
        <v>5401199000</v>
      </c>
      <c r="Z2734" s="28">
        <v>2856732000</v>
      </c>
      <c r="AA2734" s="28"/>
      <c r="AB2734" s="28"/>
      <c r="AC2734" s="28">
        <v>800965000</v>
      </c>
      <c r="AD2734" s="28">
        <v>4445245000</v>
      </c>
      <c r="AE2734" s="28">
        <v>8935475000</v>
      </c>
      <c r="AF2734" s="28">
        <v>1338039000</v>
      </c>
      <c r="AG2734" s="11"/>
    </row>
    <row r="2735">
      <c r="A2735" s="7" t="s">
        <v>4422</v>
      </c>
      <c r="B2735" s="5" t="s">
        <v>12396</v>
      </c>
      <c r="C2735" s="5" t="s">
        <v>20227</v>
      </c>
      <c r="D2735" s="5" t="str">
        <v>594000904879</v>
      </c>
      <c r="E2735" s="0" t="e">
        <f>+7 (86192) 67300
+7 (86192) 62323
+7 (86192) 67020
+7 (86192) 67030
+7 (86192) 67335
+7 (86192) 67535</f>
        <v>#NAME?</v>
      </c>
      <c r="F2735" s="5" t="s">
        <v>33559</v>
      </c>
      <c r="G2735" s="5" t="s">
        <v>33560</v>
      </c>
      <c r="H2735" s="26">
        <v>30.5</v>
      </c>
      <c r="I2735" s="5" t="s">
        <v>33561</v>
      </c>
      <c r="J2735" s="5" t="s">
        <v>33553</v>
      </c>
      <c r="K2735" s="5" t="s">
        <v>344</v>
      </c>
      <c r="L2735" s="5" t="s">
        <v>33562</v>
      </c>
      <c r="M2735" s="27"/>
      <c r="N2735" s="5"/>
      <c r="O2735" s="5" t="str">
        <v>2342018036</v>
      </c>
      <c r="P2735" s="27">
        <v>26999000</v>
      </c>
      <c r="Q2735" s="5" t="s">
        <v>49009</v>
      </c>
      <c r="R2735" s="5"/>
      <c r="S2735" s="5" t="s">
        <v>49066</v>
      </c>
      <c r="T2735" s="28">
        <v>1834013000</v>
      </c>
      <c r="U2735" s="28">
        <v>12802000</v>
      </c>
      <c r="V2735" s="28">
        <v>2344732000</v>
      </c>
      <c r="W2735" s="28"/>
      <c r="X2735" s="28">
        <v>2503000</v>
      </c>
      <c r="Y2735" s="28">
        <v>5296259000</v>
      </c>
      <c r="Z2735" s="28">
        <v>4025437000</v>
      </c>
      <c r="AA2735" s="28"/>
      <c r="AB2735" s="28"/>
      <c r="AC2735" s="28">
        <v>916063000</v>
      </c>
      <c r="AD2735" s="28">
        <v>4320772000</v>
      </c>
      <c r="AE2735" s="28">
        <v>9147354000</v>
      </c>
      <c r="AF2735" s="28">
        <v>1424100000</v>
      </c>
      <c r="AG2735" s="11"/>
    </row>
    <row r="2736">
      <c r="A2736" s="7" t="s">
        <v>4423</v>
      </c>
      <c r="B2736" s="5" t="s">
        <v>12397</v>
      </c>
      <c r="C2736" s="5" t="s">
        <v>20228</v>
      </c>
      <c r="D2736" s="5" t="str">
        <v>711601711060</v>
      </c>
      <c r="E2736" s="0" t="e">
        <f>+7 (48762) 29147
+7 (48762) 29252
+7 (487) 2399044
+7 (487) 6229101
+7 (48762) 29110
+7 (48762) 29128
+7 (48762) 29136
+7 (48762) 29158
+7 (48762) 29159
+7 (48762) 38533
+7 (48762) 72088
+7 (48762) 72443
+7 (48762) 72474</f>
        <v>#NAME?</v>
      </c>
      <c r="F2736" s="5" t="s">
        <v>33563</v>
      </c>
      <c r="G2736" s="5" t="s">
        <v>33564</v>
      </c>
      <c r="H2736" s="26">
        <v>30</v>
      </c>
      <c r="I2736" s="5" t="s">
        <v>33565</v>
      </c>
      <c r="J2736" s="5" t="s">
        <v>33553</v>
      </c>
      <c r="K2736" s="5" t="s">
        <v>344</v>
      </c>
      <c r="L2736" s="5" t="s">
        <v>33566</v>
      </c>
      <c r="M2736" s="27"/>
      <c r="N2736" s="5"/>
      <c r="O2736" s="5" t="str">
        <v>7116502098</v>
      </c>
      <c r="P2736" s="27">
        <v>243067000</v>
      </c>
      <c r="Q2736" s="5" t="s">
        <v>49009</v>
      </c>
      <c r="R2736" s="5"/>
      <c r="S2736" s="5" t="s">
        <v>49066</v>
      </c>
      <c r="T2736" s="28">
        <v>5093618000</v>
      </c>
      <c r="U2736" s="28">
        <v>110000000</v>
      </c>
      <c r="V2736" s="28">
        <v>989023000</v>
      </c>
      <c r="W2736" s="28">
        <v>140500000</v>
      </c>
      <c r="X2736" s="28">
        <v>48192000</v>
      </c>
      <c r="Y2736" s="28">
        <v>7642163000</v>
      </c>
      <c r="Z2736" s="28">
        <v>6206377000</v>
      </c>
      <c r="AA2736" s="28"/>
      <c r="AB2736" s="28"/>
      <c r="AC2736" s="28">
        <v>726114000</v>
      </c>
      <c r="AD2736" s="28">
        <v>6508313000</v>
      </c>
      <c r="AE2736" s="28">
        <v>8628503000</v>
      </c>
      <c r="AF2736" s="28">
        <v>1039141000</v>
      </c>
      <c r="AG2736" s="11"/>
    </row>
    <row r="2737">
      <c r="A2737" s="7" t="s">
        <v>4424</v>
      </c>
      <c r="B2737" s="5" t="s">
        <v>12398</v>
      </c>
      <c r="C2737" s="5" t="s">
        <v>20229</v>
      </c>
      <c r="D2737" s="5" t="str">
        <v>523100062620</v>
      </c>
      <c r="E2737" s="0" t="e">
        <f>+7 (351) 7714998
+7 (3517) 717000
+7 (3517) 724396
+7 (3517) 742882
+7 (3517) 742891</f>
        <v>#NAME?</v>
      </c>
      <c r="F2737" s="5" t="s">
        <v>33567</v>
      </c>
      <c r="G2737" s="5" t="s">
        <v>33560</v>
      </c>
      <c r="H2737" s="26">
        <v>28.5</v>
      </c>
      <c r="I2737" s="5" t="s">
        <v>33568</v>
      </c>
      <c r="J2737" s="5" t="s">
        <v>33553</v>
      </c>
      <c r="K2737" s="5" t="s">
        <v>344</v>
      </c>
      <c r="L2737" s="5" t="s">
        <v>33569</v>
      </c>
      <c r="M2737" s="27"/>
      <c r="N2737" s="5"/>
      <c r="O2737" s="5" t="str">
        <v>7447141540</v>
      </c>
      <c r="P2737" s="27">
        <v>172594900</v>
      </c>
      <c r="Q2737" s="5" t="s">
        <v>49009</v>
      </c>
      <c r="R2737" s="5" t="s">
        <v>49460</v>
      </c>
      <c r="S2737" s="5" t="s">
        <v>49066</v>
      </c>
      <c r="T2737" s="28">
        <v>2381274000</v>
      </c>
      <c r="U2737" s="28"/>
      <c r="V2737" s="28">
        <v>827920000</v>
      </c>
      <c r="W2737" s="28"/>
      <c r="X2737" s="28">
        <v>865000</v>
      </c>
      <c r="Y2737" s="28">
        <v>4114204000</v>
      </c>
      <c r="Z2737" s="28">
        <v>2301373000</v>
      </c>
      <c r="AA2737" s="28"/>
      <c r="AB2737" s="28">
        <v>556154000</v>
      </c>
      <c r="AC2737" s="28">
        <v>1276464000</v>
      </c>
      <c r="AD2737" s="28">
        <v>2710571000</v>
      </c>
      <c r="AE2737" s="28">
        <v>8883876000</v>
      </c>
      <c r="AF2737" s="28">
        <v>335099000</v>
      </c>
      <c r="AG2737" s="11"/>
    </row>
    <row r="2738">
      <c r="A2738" s="7" t="s">
        <v>4425</v>
      </c>
      <c r="B2738" s="5" t="s">
        <v>12399</v>
      </c>
      <c r="C2738" s="5" t="s">
        <v>20230</v>
      </c>
      <c r="D2738" s="5" t="str">
        <v>773130737980</v>
      </c>
      <c r="E2738" s="0" t="e">
        <f>+7 (495) 9379690
+7 (3422) 206539
+7 (3517) 710209
+7 (383) 3554436
+7 (3952) 290032
+7 (421) 2914419
+7 (48762) 29291
+7 (495) 5040821
+7 (495) 5040822
+7 (495) 5040829
+7 (495) 5623060
+7 (495) 5623573
+7 (495) 6265138
+7 (495) 9379595
+7 (495) 9379699</f>
        <v>#NAME?</v>
      </c>
      <c r="F2738" s="5"/>
      <c r="G2738" s="5" t="s">
        <v>33560</v>
      </c>
      <c r="H2738" s="26">
        <v>21</v>
      </c>
      <c r="I2738" s="5" t="s">
        <v>33570</v>
      </c>
      <c r="J2738" s="5" t="s">
        <v>33553</v>
      </c>
      <c r="K2738" s="5" t="s">
        <v>344</v>
      </c>
      <c r="L2738" s="5" t="s">
        <v>33571</v>
      </c>
      <c r="M2738" s="27"/>
      <c r="N2738" s="5"/>
      <c r="O2738" s="5" t="str">
        <v>5024051564</v>
      </c>
      <c r="P2738" s="27">
        <v>2170463520</v>
      </c>
      <c r="Q2738" s="5" t="s">
        <v>50809</v>
      </c>
      <c r="R2738" s="5"/>
      <c r="S2738" s="5" t="s">
        <v>53638</v>
      </c>
      <c r="T2738" s="28">
        <v>5298247000</v>
      </c>
      <c r="U2738" s="28">
        <v>10496705000</v>
      </c>
      <c r="V2738" s="28">
        <v>5569111000</v>
      </c>
      <c r="W2738" s="28"/>
      <c r="X2738" s="28">
        <v>14542458000</v>
      </c>
      <c r="Y2738" s="28">
        <v>37499221000</v>
      </c>
      <c r="Z2738" s="28">
        <v>22367117000</v>
      </c>
      <c r="AA2738" s="28"/>
      <c r="AB2738" s="28">
        <v>9491497000</v>
      </c>
      <c r="AC2738" s="28">
        <v>12014554000</v>
      </c>
      <c r="AD2738" s="28">
        <v>25111877000</v>
      </c>
      <c r="AE2738" s="28">
        <v>20301488000</v>
      </c>
      <c r="AF2738" s="28">
        <v>4498117000</v>
      </c>
      <c r="AG2738" s="11"/>
    </row>
    <row r="2739">
      <c r="A2739" s="7" t="s">
        <v>4426</v>
      </c>
      <c r="B2739" s="5" t="s">
        <v>12400</v>
      </c>
      <c r="C2739" s="5" t="s">
        <v>20231</v>
      </c>
      <c r="D2739" s="5" t="str">
        <v>781905833716</v>
      </c>
      <c r="E2739" s="0" t="e">
        <f>+7 (495) 6428487
+7 (495) 6428499
+7 (495) 7875715
+7 (495) 7875717
+7 (495) 7875718
+7 (495) 9336130
+7 (495) 9336131
+7 (496) 6479203
+7 (49664) 97631</f>
        <v>#NAME?</v>
      </c>
      <c r="F2739" s="5" t="s">
        <v>33572</v>
      </c>
      <c r="G2739" s="5" t="s">
        <v>33573</v>
      </c>
      <c r="H2739" s="26">
        <v>18.5</v>
      </c>
      <c r="I2739" s="5" t="s">
        <v>33574</v>
      </c>
      <c r="J2739" s="5" t="s">
        <v>33575</v>
      </c>
      <c r="K2739" s="5" t="s">
        <v>344</v>
      </c>
      <c r="L2739" s="5" t="s">
        <v>33576</v>
      </c>
      <c r="M2739" s="27"/>
      <c r="N2739" s="5"/>
      <c r="O2739" s="5" t="str">
        <v>5045033365</v>
      </c>
      <c r="P2739" s="27">
        <v>800000000</v>
      </c>
      <c r="Q2739" s="5" t="s">
        <v>49009</v>
      </c>
      <c r="R2739" s="5"/>
      <c r="S2739" s="5" t="s">
        <v>49066</v>
      </c>
      <c r="T2739" s="28">
        <v>5634230000</v>
      </c>
      <c r="U2739" s="28"/>
      <c r="V2739" s="28">
        <v>1885381000</v>
      </c>
      <c r="W2739" s="28"/>
      <c r="X2739" s="28">
        <v>222029000</v>
      </c>
      <c r="Y2739" s="28">
        <v>9241543000</v>
      </c>
      <c r="Z2739" s="28">
        <v>5863082000</v>
      </c>
      <c r="AA2739" s="28"/>
      <c r="AB2739" s="28"/>
      <c r="AC2739" s="28">
        <v>1622179000</v>
      </c>
      <c r="AD2739" s="28">
        <v>6812001000</v>
      </c>
      <c r="AE2739" s="28">
        <v>7981867000</v>
      </c>
      <c r="AF2739" s="28">
        <v>1950210000</v>
      </c>
      <c r="AG2739" s="11"/>
    </row>
    <row r="2740">
      <c r="A2740" s="7" t="s">
        <v>4427</v>
      </c>
      <c r="B2740" s="5" t="s">
        <v>12401</v>
      </c>
      <c r="C2740" s="5" t="s">
        <v>20232</v>
      </c>
      <c r="D2740" s="5" t="str">
        <v>471601434923</v>
      </c>
      <c r="E2740" s="0" t="e">
        <f>+7 (812) 3321142
+7 (812) 3321147
+7 (812) 3328670
+7 (812) 4601696
+7 (812) 4602278</f>
        <v>#NAME?</v>
      </c>
      <c r="F2740" s="5" t="s">
        <v>33577</v>
      </c>
      <c r="G2740" s="5" t="s">
        <v>33578</v>
      </c>
      <c r="H2740" s="26">
        <v>27</v>
      </c>
      <c r="I2740" s="5"/>
      <c r="J2740" s="5" t="s">
        <v>26536</v>
      </c>
      <c r="K2740" s="5" t="s">
        <v>344</v>
      </c>
      <c r="L2740" s="5" t="s">
        <v>33579</v>
      </c>
      <c r="M2740" s="27"/>
      <c r="N2740" s="5" t="s">
        <v>53639</v>
      </c>
      <c r="O2740" s="5" t="str">
        <v>4719011873</v>
      </c>
      <c r="P2740" s="27">
        <v>3501487474</v>
      </c>
      <c r="Q2740" s="5" t="s">
        <v>53640</v>
      </c>
      <c r="R2740" s="5"/>
      <c r="S2740" s="5" t="s">
        <v>49998</v>
      </c>
      <c r="T2740" s="28">
        <v>5943094000</v>
      </c>
      <c r="U2740" s="28">
        <v>357000</v>
      </c>
      <c r="V2740" s="28">
        <v>2912598000</v>
      </c>
      <c r="W2740" s="28"/>
      <c r="X2740" s="28">
        <v>28066000</v>
      </c>
      <c r="Y2740" s="28">
        <v>11883196000</v>
      </c>
      <c r="Z2740" s="28">
        <v>6164293000</v>
      </c>
      <c r="AA2740" s="28"/>
      <c r="AB2740" s="28">
        <v>582777000</v>
      </c>
      <c r="AC2740" s="28">
        <v>1582170000</v>
      </c>
      <c r="AD2740" s="28">
        <v>9840854000</v>
      </c>
      <c r="AE2740" s="28">
        <v>16964607000</v>
      </c>
      <c r="AF2740" s="28">
        <v>3114870000</v>
      </c>
      <c r="AG2740" s="11"/>
    </row>
    <row r="2741">
      <c r="A2741" s="7" t="s">
        <v>4428</v>
      </c>
      <c r="B2741" s="5" t="s">
        <v>12402</v>
      </c>
      <c r="C2741" s="5" t="s">
        <v>20233</v>
      </c>
      <c r="D2741" s="5"/>
      <c r="E2741" s="0" t="e">
        <f>+7 (861) 2001534
+7 (861) 2001539
+7 (861) 2001820
+7 (861) 2001901
+7 (861) 2001904
+7 (861) 2001937
+7 (988) 2402725</f>
        <v>#NAME?</v>
      </c>
      <c r="F2741" s="5" t="s">
        <v>33580</v>
      </c>
      <c r="G2741" s="5" t="s">
        <v>33581</v>
      </c>
      <c r="H2741" s="26">
        <v>16</v>
      </c>
      <c r="I2741" s="5" t="s">
        <v>33582</v>
      </c>
      <c r="J2741" s="5" t="s">
        <v>555</v>
      </c>
      <c r="K2741" s="5" t="s">
        <v>344</v>
      </c>
      <c r="L2741" s="5" t="s">
        <v>33583</v>
      </c>
      <c r="M2741" s="27">
        <v>28093476</v>
      </c>
      <c r="N2741" s="5" t="s">
        <v>49923</v>
      </c>
      <c r="O2741" s="5" t="str">
        <v>2308128110</v>
      </c>
      <c r="P2741" s="27">
        <v>6211526761</v>
      </c>
      <c r="Q2741" s="5" t="s">
        <v>49021</v>
      </c>
      <c r="R2741" s="5"/>
      <c r="S2741" s="5" t="s">
        <v>53641</v>
      </c>
      <c r="T2741" s="28">
        <v>39343985000</v>
      </c>
      <c r="U2741" s="28"/>
      <c r="V2741" s="28">
        <v>34195481000</v>
      </c>
      <c r="W2741" s="28">
        <v>2071000</v>
      </c>
      <c r="X2741" s="28">
        <v>3661953000</v>
      </c>
      <c r="Y2741" s="28">
        <v>84159572000</v>
      </c>
      <c r="Z2741" s="28">
        <v>14793438000</v>
      </c>
      <c r="AA2741" s="28">
        <v>17815063000</v>
      </c>
      <c r="AB2741" s="28">
        <v>24955559000</v>
      </c>
      <c r="AC2741" s="28">
        <v>41932361000</v>
      </c>
      <c r="AD2741" s="28">
        <v>21004965000</v>
      </c>
      <c r="AE2741" s="28">
        <v>195446946000</v>
      </c>
      <c r="AF2741" s="28">
        <v>2947039000</v>
      </c>
      <c r="AG2741" s="11"/>
    </row>
    <row r="2742">
      <c r="A2742" s="7" t="s">
        <v>4429</v>
      </c>
      <c r="B2742" s="5" t="s">
        <v>12403</v>
      </c>
      <c r="C2742" s="5" t="s">
        <v>20234</v>
      </c>
      <c r="D2742" s="5" t="str">
        <v>860803782130</v>
      </c>
      <c r="E2742" s="0" t="e">
        <f>+7 (34667) 44539
+7 (34667) 44540
+7 (34667) 44548
+7 (34667) 44549</f>
        <v>#NAME?</v>
      </c>
      <c r="F2742" s="5" t="s">
        <v>33584</v>
      </c>
      <c r="G2742" s="5" t="s">
        <v>33585</v>
      </c>
      <c r="H2742" s="26">
        <v>27</v>
      </c>
      <c r="I2742" s="5"/>
      <c r="J2742" s="5" t="s">
        <v>27806</v>
      </c>
      <c r="K2742" s="5" t="s">
        <v>344</v>
      </c>
      <c r="L2742" s="5" t="s">
        <v>33586</v>
      </c>
      <c r="M2742" s="27">
        <v>20702</v>
      </c>
      <c r="N2742" s="5" t="s">
        <v>53642</v>
      </c>
      <c r="O2742" s="5" t="str">
        <v>8608000016</v>
      </c>
      <c r="P2742" s="27">
        <v>559100</v>
      </c>
      <c r="Q2742" s="5" t="s">
        <v>53644</v>
      </c>
      <c r="R2742" s="5"/>
      <c r="S2742" s="5" t="s">
        <v>49175</v>
      </c>
      <c r="T2742" s="28">
        <v>3423197000</v>
      </c>
      <c r="U2742" s="28">
        <v>141532000</v>
      </c>
      <c r="V2742" s="28">
        <v>2151485000</v>
      </c>
      <c r="W2742" s="28"/>
      <c r="X2742" s="28">
        <v>1054067000</v>
      </c>
      <c r="Y2742" s="28">
        <v>7400034000</v>
      </c>
      <c r="Z2742" s="28">
        <v>6197093000</v>
      </c>
      <c r="AA2742" s="28"/>
      <c r="AB2742" s="28"/>
      <c r="AC2742" s="28">
        <v>1027276000</v>
      </c>
      <c r="AD2742" s="28">
        <v>6256409000</v>
      </c>
      <c r="AE2742" s="28">
        <v>7268702000</v>
      </c>
      <c r="AF2742" s="28">
        <v>608412000</v>
      </c>
      <c r="AG2742" s="11"/>
    </row>
    <row r="2743">
      <c r="A2743" s="7" t="s">
        <v>4430</v>
      </c>
      <c r="B2743" s="5" t="s">
        <v>12404</v>
      </c>
      <c r="C2743" s="5" t="s">
        <v>20235</v>
      </c>
      <c r="D2743" s="5" t="str">
        <v>773506443126</v>
      </c>
      <c r="E2743" s="0" t="e">
        <f>+7 (495) 7805830</f>
        <v>#NAME?</v>
      </c>
      <c r="F2743" s="5" t="s">
        <v>33587</v>
      </c>
      <c r="G2743" s="5"/>
      <c r="H2743" s="26">
        <v>6</v>
      </c>
      <c r="I2743" s="5" t="s">
        <v>30272</v>
      </c>
      <c r="J2743" s="5" t="s">
        <v>28465</v>
      </c>
      <c r="K2743" s="5" t="s">
        <v>355</v>
      </c>
      <c r="L2743" s="5" t="s">
        <v>33588</v>
      </c>
      <c r="M2743" s="27"/>
      <c r="N2743" s="5"/>
      <c r="O2743" s="5" t="str">
        <v>7811639979</v>
      </c>
      <c r="P2743" s="27">
        <v>10000</v>
      </c>
      <c r="Q2743" s="5"/>
      <c r="R2743" s="5"/>
      <c r="S2743" s="5" t="s">
        <v>49110</v>
      </c>
      <c r="T2743" s="28">
        <v>919924000</v>
      </c>
      <c r="U2743" s="28"/>
      <c r="V2743" s="28">
        <v>115955000</v>
      </c>
      <c r="W2743" s="28">
        <v>59000000</v>
      </c>
      <c r="X2743" s="28">
        <v>82223000</v>
      </c>
      <c r="Y2743" s="28">
        <v>2714664000</v>
      </c>
      <c r="Z2743" s="28">
        <v>387043000</v>
      </c>
      <c r="AA2743" s="28"/>
      <c r="AB2743" s="28">
        <v>150349000</v>
      </c>
      <c r="AC2743" s="28">
        <v>1256318000</v>
      </c>
      <c r="AD2743" s="28">
        <v>387053000</v>
      </c>
      <c r="AE2743" s="28">
        <v>3551198000</v>
      </c>
      <c r="AF2743" s="28">
        <v>41230000</v>
      </c>
      <c r="AG2743" s="11"/>
    </row>
    <row r="2744">
      <c r="A2744" s="7" t="s">
        <v>4431</v>
      </c>
      <c r="B2744" s="5" t="s">
        <v>12405</v>
      </c>
      <c r="C2744" s="5" t="s">
        <v>20236</v>
      </c>
      <c r="D2744" s="5" t="str">
        <v>773500511820</v>
      </c>
      <c r="E2744" s="0" t="e">
        <f>+7 (3412) 906085
+7 (385) 2991527
+7 (391) 2119298
+7 (391) 2668857
+7 (391) 2906585
+7 (39132) 21767
+7 (39136) 22418
+7 (39136) 23267
+7 (39145) 60446
+7 (39145) 62665
+7 (39156) 21252
+7 (39156) 21547
+7 (39156) 23100
+7 (39156) 23380
+7 (39159) 53238</f>
        <v>#NAME?</v>
      </c>
      <c r="F2744" s="5" t="s">
        <v>33589</v>
      </c>
      <c r="G2744" s="5" t="s">
        <v>33590</v>
      </c>
      <c r="H2744" s="26">
        <v>28.5</v>
      </c>
      <c r="I2744" s="5"/>
      <c r="J2744" s="5" t="s">
        <v>27115</v>
      </c>
      <c r="K2744" s="5" t="s">
        <v>344</v>
      </c>
      <c r="L2744" s="5" t="s">
        <v>33591</v>
      </c>
      <c r="M2744" s="27">
        <v>33504588</v>
      </c>
      <c r="N2744" s="5" t="s">
        <v>53645</v>
      </c>
      <c r="O2744" s="5" t="str">
        <v>2460002949</v>
      </c>
      <c r="P2744" s="27">
        <v>67784160</v>
      </c>
      <c r="Q2744" s="5" t="s">
        <v>53646</v>
      </c>
      <c r="R2744" s="5"/>
      <c r="S2744" s="5" t="s">
        <v>53647</v>
      </c>
      <c r="T2744" s="28">
        <v>6001136000</v>
      </c>
      <c r="U2744" s="28">
        <v>902000</v>
      </c>
      <c r="V2744" s="28">
        <v>2820422000</v>
      </c>
      <c r="W2744" s="28">
        <v>500000</v>
      </c>
      <c r="X2744" s="28">
        <v>193008000</v>
      </c>
      <c r="Y2744" s="28">
        <v>11788354000</v>
      </c>
      <c r="Z2744" s="28">
        <v>5272238000</v>
      </c>
      <c r="AA2744" s="28"/>
      <c r="AB2744" s="28">
        <v>2061087000</v>
      </c>
      <c r="AC2744" s="28">
        <v>5713108000</v>
      </c>
      <c r="AD2744" s="28">
        <v>6022126000</v>
      </c>
      <c r="AE2744" s="28">
        <v>23498936000</v>
      </c>
      <c r="AF2744" s="28">
        <v>86928000</v>
      </c>
      <c r="AG2744" s="11"/>
    </row>
    <row r="2745">
      <c r="A2745" s="7" t="s">
        <v>4432</v>
      </c>
      <c r="B2745" s="5" t="s">
        <v>12406</v>
      </c>
      <c r="C2745" s="5" t="s">
        <v>20237</v>
      </c>
      <c r="D2745" s="5" t="str">
        <v>772783235302</v>
      </c>
      <c r="E2745" s="0" t="e">
        <f>+7 (495) 5405055
+7 (495) 9567698
+7 (800) 7770611</f>
        <v>#NAME?</v>
      </c>
      <c r="F2745" s="5"/>
      <c r="G2745" s="5" t="s">
        <v>33592</v>
      </c>
      <c r="H2745" s="26">
        <v>8.5</v>
      </c>
      <c r="I2745" s="5"/>
      <c r="J2745" s="5" t="s">
        <v>26297</v>
      </c>
      <c r="K2745" s="5" t="s">
        <v>344</v>
      </c>
      <c r="L2745" s="5" t="s">
        <v>33593</v>
      </c>
      <c r="M2745" s="27"/>
      <c r="N2745" s="5" t="s">
        <v>53648</v>
      </c>
      <c r="O2745" s="5" t="str">
        <v>7701411241</v>
      </c>
      <c r="P2745" s="27">
        <v>10000</v>
      </c>
      <c r="Q2745" s="5" t="s">
        <v>49207</v>
      </c>
      <c r="R2745" s="5"/>
      <c r="S2745" s="5" t="s">
        <v>53649</v>
      </c>
      <c r="T2745" s="28">
        <v>1161273000</v>
      </c>
      <c r="U2745" s="28">
        <v>6198612000</v>
      </c>
      <c r="V2745" s="28">
        <v>34195331000</v>
      </c>
      <c r="W2745" s="28">
        <v>3570017000</v>
      </c>
      <c r="X2745" s="28">
        <v>17540987000</v>
      </c>
      <c r="Y2745" s="28">
        <v>94323123000</v>
      </c>
      <c r="Z2745" s="28">
        <v>9173117000</v>
      </c>
      <c r="AA2745" s="28">
        <v>60000000000</v>
      </c>
      <c r="AB2745" s="28">
        <v>4738639000</v>
      </c>
      <c r="AC2745" s="28">
        <v>22082765000</v>
      </c>
      <c r="AD2745" s="28">
        <v>9984178000</v>
      </c>
      <c r="AE2745" s="28">
        <v>65537157000</v>
      </c>
      <c r="AF2745" s="28">
        <v>7213482000</v>
      </c>
      <c r="AG2745" s="11"/>
    </row>
    <row r="2746">
      <c r="A2746" s="7" t="s">
        <v>4433</v>
      </c>
      <c r="B2746" s="5" t="s">
        <v>12407</v>
      </c>
      <c r="C2746" s="5" t="s">
        <v>20238</v>
      </c>
      <c r="D2746" s="5" t="str">
        <v>525800761659</v>
      </c>
      <c r="E2746" s="0" t="e">
        <f>+7 (920) 20099
+7 (3432) 700065
+7 (831) 2759720
+7 (831) 2969110</f>
        <v>#NAME?</v>
      </c>
      <c r="F2746" s="5" t="s">
        <v>33594</v>
      </c>
      <c r="G2746" s="5"/>
      <c r="H2746" s="26">
        <v>21.5</v>
      </c>
      <c r="I2746" s="5" t="s">
        <v>33595</v>
      </c>
      <c r="J2746" s="5" t="s">
        <v>25259</v>
      </c>
      <c r="K2746" s="5" t="s">
        <v>344</v>
      </c>
      <c r="L2746" s="5" t="s">
        <v>33596</v>
      </c>
      <c r="M2746" s="27"/>
      <c r="N2746" s="5" t="s">
        <v>53650</v>
      </c>
      <c r="O2746" s="5" t="str">
        <v>5257052602</v>
      </c>
      <c r="P2746" s="27">
        <v>100000</v>
      </c>
      <c r="Q2746" s="5"/>
      <c r="R2746" s="5"/>
      <c r="S2746" s="5" t="s">
        <v>49110</v>
      </c>
      <c r="T2746" s="28">
        <v>13956000</v>
      </c>
      <c r="U2746" s="28"/>
      <c r="V2746" s="28">
        <v>273335000</v>
      </c>
      <c r="W2746" s="28"/>
      <c r="X2746" s="28">
        <v>15848000</v>
      </c>
      <c r="Y2746" s="28">
        <v>1165696000</v>
      </c>
      <c r="Z2746" s="28">
        <v>685557000</v>
      </c>
      <c r="AA2746" s="28"/>
      <c r="AB2746" s="28">
        <v>242482000</v>
      </c>
      <c r="AC2746" s="28">
        <v>476541000</v>
      </c>
      <c r="AD2746" s="28">
        <v>685657000</v>
      </c>
      <c r="AE2746" s="28">
        <v>3896436000</v>
      </c>
      <c r="AF2746" s="28">
        <v>21882000</v>
      </c>
      <c r="AG2746" s="11"/>
    </row>
    <row r="2747">
      <c r="A2747" s="7" t="s">
        <v>4434</v>
      </c>
      <c r="B2747" s="5" t="s">
        <v>12408</v>
      </c>
      <c r="C2747" s="5" t="s">
        <v>20239</v>
      </c>
      <c r="D2747" s="5" t="str">
        <v>343602778799</v>
      </c>
      <c r="F2747" s="5"/>
      <c r="G2747" s="5"/>
      <c r="H2747" s="26">
        <v>4</v>
      </c>
      <c r="I2747" s="5" t="s">
        <v>33597</v>
      </c>
      <c r="J2747" s="5" t="s">
        <v>25938</v>
      </c>
      <c r="K2747" s="5" t="s">
        <v>344</v>
      </c>
      <c r="L2747" s="5" t="s">
        <v>468</v>
      </c>
      <c r="M2747" s="27">
        <v>235304</v>
      </c>
      <c r="N2747" s="5"/>
      <c r="O2747" s="5" t="str">
        <v>7728463960</v>
      </c>
      <c r="P2747" s="27">
        <v>15000</v>
      </c>
      <c r="Q2747" s="5" t="s">
        <v>50809</v>
      </c>
      <c r="R2747" s="5" t="s">
        <v>53651</v>
      </c>
      <c r="S2747" s="5" t="s">
        <v>53652</v>
      </c>
      <c r="T2747" s="28">
        <v>1120000</v>
      </c>
      <c r="U2747" s="28"/>
      <c r="V2747" s="28">
        <v>361637000</v>
      </c>
      <c r="W2747" s="28"/>
      <c r="X2747" s="28">
        <v>72289000</v>
      </c>
      <c r="Y2747" s="28">
        <v>599265000</v>
      </c>
      <c r="Z2747" s="28">
        <v>404705000</v>
      </c>
      <c r="AA2747" s="28">
        <v>8704000</v>
      </c>
      <c r="AB2747" s="28">
        <v>263000</v>
      </c>
      <c r="AC2747" s="28">
        <v>185842000</v>
      </c>
      <c r="AD2747" s="28">
        <v>404720000</v>
      </c>
      <c r="AE2747" s="28">
        <v>3808239000</v>
      </c>
      <c r="AF2747" s="28">
        <v>401492000</v>
      </c>
      <c r="AG2747" s="11"/>
    </row>
    <row r="2748">
      <c r="A2748" s="7" t="s">
        <v>4435</v>
      </c>
      <c r="B2748" s="5" t="s">
        <v>12409</v>
      </c>
      <c r="C2748" s="5" t="s">
        <v>20240</v>
      </c>
      <c r="D2748" s="5"/>
      <c r="E2748" s="0" t="e">
        <f>+7 (4725) 224522
+7 (4725) 224674</f>
        <v>#NAME?</v>
      </c>
      <c r="F2748" s="5"/>
      <c r="G2748" s="5"/>
      <c r="H2748" s="26">
        <v>3</v>
      </c>
      <c r="I2748" s="5" t="s">
        <v>33598</v>
      </c>
      <c r="J2748" s="5" t="s">
        <v>29202</v>
      </c>
      <c r="K2748" s="5" t="s">
        <v>344</v>
      </c>
      <c r="L2748" s="5" t="s">
        <v>33599</v>
      </c>
      <c r="M2748" s="27"/>
      <c r="N2748" s="5"/>
      <c r="O2748" s="5" t="str">
        <v>3128145767</v>
      </c>
      <c r="P2748" s="27">
        <v>1000000</v>
      </c>
      <c r="Q2748" s="5"/>
      <c r="R2748" s="5"/>
      <c r="S2748" s="5" t="s">
        <v>49029</v>
      </c>
      <c r="T2748" s="28">
        <v>2942563000</v>
      </c>
      <c r="U2748" s="28">
        <v>219000000</v>
      </c>
      <c r="V2748" s="28">
        <v>3604041000</v>
      </c>
      <c r="W2748" s="28"/>
      <c r="X2748" s="28">
        <v>77000</v>
      </c>
      <c r="Y2748" s="28">
        <v>8331548000</v>
      </c>
      <c r="Z2748" s="28">
        <v>1081150000</v>
      </c>
      <c r="AA2748" s="28"/>
      <c r="AB2748" s="28"/>
      <c r="AC2748" s="28">
        <v>3517213000</v>
      </c>
      <c r="AD2748" s="28">
        <v>1082150000</v>
      </c>
      <c r="AE2748" s="28">
        <v>12380448000</v>
      </c>
      <c r="AF2748" s="28">
        <v>1081229000</v>
      </c>
      <c r="AG2748" s="11"/>
    </row>
    <row r="2749">
      <c r="A2749" s="7" t="s">
        <v>4436</v>
      </c>
      <c r="B2749" s="5" t="s">
        <v>12410</v>
      </c>
      <c r="C2749" s="5" t="s">
        <v>19619</v>
      </c>
      <c r="D2749" s="5"/>
      <c r="E2749" s="0" t="e">
        <f>+7 (81535) 50016
+7 (81535) 51003
+7 (81535) 58900
+7 (81535) 58901
+7 (81535) 58902
+7 (495) 7952532
+7 (81535) 72734
+7 (81535) 72763
+7 (81535) 75001
+7 (81535) 75010
+7 (81535) 75306
+7 (81535) 76000
+7 (81535) 76001
+7 (81535) 76047
+7 (81535) 76100</f>
        <v>#NAME?</v>
      </c>
      <c r="F2749" s="5" t="s">
        <v>33600</v>
      </c>
      <c r="G2749" s="5" t="s">
        <v>33601</v>
      </c>
      <c r="H2749" s="26">
        <v>28</v>
      </c>
      <c r="I2749" s="5"/>
      <c r="J2749" s="5" t="s">
        <v>31501</v>
      </c>
      <c r="K2749" s="5" t="s">
        <v>344</v>
      </c>
      <c r="L2749" s="5" t="s">
        <v>33602</v>
      </c>
      <c r="M2749" s="27">
        <v>16540559</v>
      </c>
      <c r="N2749" s="5" t="s">
        <v>53654</v>
      </c>
      <c r="O2749" s="5" t="str">
        <v>5104002234</v>
      </c>
      <c r="P2749" s="27">
        <v>1696638</v>
      </c>
      <c r="Q2749" s="5" t="s">
        <v>49057</v>
      </c>
      <c r="R2749" s="5" t="s">
        <v>53655</v>
      </c>
      <c r="S2749" s="5" t="s">
        <v>53656</v>
      </c>
      <c r="T2749" s="28">
        <v>60466166000</v>
      </c>
      <c r="U2749" s="28">
        <v>39458000</v>
      </c>
      <c r="V2749" s="28">
        <v>48566840000</v>
      </c>
      <c r="W2749" s="28"/>
      <c r="X2749" s="28">
        <v>61961000</v>
      </c>
      <c r="Y2749" s="28">
        <v>122610194000</v>
      </c>
      <c r="Z2749" s="28">
        <v>55230245000</v>
      </c>
      <c r="AA2749" s="28">
        <v>12531642000</v>
      </c>
      <c r="AB2749" s="28">
        <v>19527982000</v>
      </c>
      <c r="AC2749" s="28">
        <v>40920739000</v>
      </c>
      <c r="AD2749" s="28">
        <v>59072050000</v>
      </c>
      <c r="AE2749" s="28">
        <v>74257058000</v>
      </c>
      <c r="AF2749" s="28">
        <v>26112813000</v>
      </c>
      <c r="AG2749" s="11"/>
    </row>
    <row r="2750">
      <c r="A2750" s="7" t="s">
        <v>4437</v>
      </c>
      <c r="B2750" s="5" t="s">
        <v>12411</v>
      </c>
      <c r="C2750" s="5" t="s">
        <v>20241</v>
      </c>
      <c r="D2750" s="5" t="str">
        <v>860804892801</v>
      </c>
      <c r="E2750" s="0" t="e">
        <f>+7 (346) 6748086
+7 (34667) 40461
+7 (34667) 43400
+7 (34667) 49003
+7 (34667) 49079
+7 (34667) 60460
+7 (34667) 60461</f>
        <v>#NAME?</v>
      </c>
      <c r="F2750" s="5" t="s">
        <v>33603</v>
      </c>
      <c r="G2750" s="5" t="s">
        <v>33604</v>
      </c>
      <c r="H2750" s="26">
        <v>13.5</v>
      </c>
      <c r="I2750" s="5" t="s">
        <v>33605</v>
      </c>
      <c r="J2750" s="5" t="s">
        <v>897</v>
      </c>
      <c r="K2750" s="5" t="s">
        <v>344</v>
      </c>
      <c r="L2750" s="5" t="s">
        <v>33606</v>
      </c>
      <c r="M2750" s="27"/>
      <c r="N2750" s="5"/>
      <c r="O2750" s="5" t="str">
        <v>8608053875</v>
      </c>
      <c r="P2750" s="27">
        <v>512782495</v>
      </c>
      <c r="Q2750" s="5" t="s">
        <v>49009</v>
      </c>
      <c r="R2750" s="5"/>
      <c r="S2750" s="5" t="s">
        <v>49487</v>
      </c>
      <c r="T2750" s="28">
        <v>489338000</v>
      </c>
      <c r="U2750" s="28">
        <v>490000</v>
      </c>
      <c r="V2750" s="28">
        <v>529085000</v>
      </c>
      <c r="W2750" s="28"/>
      <c r="X2750" s="28">
        <v>619094000</v>
      </c>
      <c r="Y2750" s="28">
        <v>1819705000</v>
      </c>
      <c r="Z2750" s="28">
        <v>519740000</v>
      </c>
      <c r="AA2750" s="28"/>
      <c r="AB2750" s="28"/>
      <c r="AC2750" s="28">
        <v>739520000</v>
      </c>
      <c r="AD2750" s="28">
        <v>1038463000</v>
      </c>
      <c r="AE2750" s="28">
        <v>3865494000</v>
      </c>
      <c r="AF2750" s="28">
        <v>458732000</v>
      </c>
      <c r="AG2750" s="11"/>
    </row>
    <row r="2751">
      <c r="A2751" s="7" t="s">
        <v>4438</v>
      </c>
      <c r="B2751" s="5" t="s">
        <v>12412</v>
      </c>
      <c r="C2751" s="5" t="s">
        <v>20242</v>
      </c>
      <c r="D2751" s="5" t="str">
        <v>860801514600</v>
      </c>
      <c r="E2751" s="0" t="e">
        <f>+7 (34667) 49600
+7 (34667) 60227
+7 (34667) 60630
+7 (904) 4770510
+7 (908) 8999181</f>
        <v>#NAME?</v>
      </c>
      <c r="F2751" s="5" t="s">
        <v>33607</v>
      </c>
      <c r="G2751" s="5"/>
      <c r="H2751" s="26">
        <v>15</v>
      </c>
      <c r="I2751" s="5" t="s">
        <v>33608</v>
      </c>
      <c r="J2751" s="5" t="s">
        <v>866</v>
      </c>
      <c r="K2751" s="5" t="s">
        <v>344</v>
      </c>
      <c r="L2751" s="5" t="s">
        <v>33609</v>
      </c>
      <c r="M2751" s="27"/>
      <c r="N2751" s="5" t="s">
        <v>53657</v>
      </c>
      <c r="O2751" s="5" t="str">
        <v>8608053040</v>
      </c>
      <c r="P2751" s="27">
        <v>1093990973</v>
      </c>
      <c r="Q2751" s="5"/>
      <c r="R2751" s="5"/>
      <c r="S2751" s="5" t="s">
        <v>50951</v>
      </c>
      <c r="T2751" s="28">
        <v>884372000</v>
      </c>
      <c r="U2751" s="28">
        <v>577849000</v>
      </c>
      <c r="V2751" s="28">
        <v>587870000</v>
      </c>
      <c r="W2751" s="28">
        <v>370000000</v>
      </c>
      <c r="X2751" s="28">
        <v>21531000</v>
      </c>
      <c r="Y2751" s="28">
        <v>2552857000</v>
      </c>
      <c r="Z2751" s="28">
        <v>393126000</v>
      </c>
      <c r="AA2751" s="28"/>
      <c r="AB2751" s="28"/>
      <c r="AC2751" s="28">
        <v>748297000</v>
      </c>
      <c r="AD2751" s="28">
        <v>1498242000</v>
      </c>
      <c r="AE2751" s="28">
        <v>3824875000</v>
      </c>
      <c r="AF2751" s="28">
        <v>279220000</v>
      </c>
      <c r="AG2751" s="11"/>
    </row>
    <row r="2752">
      <c r="A2752" s="7" t="s">
        <v>4439</v>
      </c>
      <c r="B2752" s="5" t="s">
        <v>12413</v>
      </c>
      <c r="C2752" s="5" t="s">
        <v>20243</v>
      </c>
      <c r="D2752" s="5"/>
      <c r="E2752" s="0" t="e">
        <f>+7 (384) 2570800
+7 (384) 2221682
+7 (384) 2367011
+7 (384) 2496012
+7 (384) 2570692
+7 (384) 2571927
+7 (384) 2770800
+7 (384) 2772749
+7 (384) 2773152</f>
        <v>#NAME?</v>
      </c>
      <c r="F2752" s="5" t="s">
        <v>33610</v>
      </c>
      <c r="G2752" s="5" t="s">
        <v>33611</v>
      </c>
      <c r="H2752" s="26">
        <v>29.5</v>
      </c>
      <c r="I2752" s="5" t="s">
        <v>33612</v>
      </c>
      <c r="J2752" s="5" t="s">
        <v>26619</v>
      </c>
      <c r="K2752" s="5" t="s">
        <v>355</v>
      </c>
      <c r="L2752" s="5"/>
      <c r="M2752" s="27">
        <v>47281493</v>
      </c>
      <c r="N2752" s="5"/>
      <c r="O2752" s="5" t="str">
        <v>4205001274</v>
      </c>
      <c r="P2752" s="27">
        <v>33004640</v>
      </c>
      <c r="Q2752" s="5" t="s">
        <v>49009</v>
      </c>
      <c r="R2752" s="5" t="s">
        <v>53658</v>
      </c>
      <c r="S2752" s="5" t="s">
        <v>49998</v>
      </c>
      <c r="T2752" s="28">
        <v>6890264000</v>
      </c>
      <c r="U2752" s="28">
        <v>22123102000</v>
      </c>
      <c r="V2752" s="28">
        <v>49566231000</v>
      </c>
      <c r="W2752" s="28">
        <v>394000000</v>
      </c>
      <c r="X2752" s="28">
        <v>2636081000</v>
      </c>
      <c r="Y2752" s="28">
        <v>85130034000</v>
      </c>
      <c r="Z2752" s="28">
        <v>14547280000</v>
      </c>
      <c r="AA2752" s="28">
        <v>39883125000</v>
      </c>
      <c r="AB2752" s="28">
        <v>19839257000</v>
      </c>
      <c r="AC2752" s="28">
        <v>27498338000</v>
      </c>
      <c r="AD2752" s="28">
        <v>14595534000</v>
      </c>
      <c r="AE2752" s="28">
        <v>57414722000</v>
      </c>
      <c r="AF2752" s="28">
        <v>2457941000</v>
      </c>
      <c r="AG2752" s="11"/>
    </row>
    <row r="2753">
      <c r="A2753" s="7" t="s">
        <v>4440</v>
      </c>
      <c r="B2753" s="5" t="s">
        <v>12414</v>
      </c>
      <c r="C2753" s="5" t="s">
        <v>20244</v>
      </c>
      <c r="D2753" s="5" t="str">
        <v>631902346646</v>
      </c>
      <c r="E2753" s="0" t="e">
        <f>+7 (917) 131331
+7 (917) 9519530</f>
        <v>#NAME?</v>
      </c>
      <c r="F2753" s="5"/>
      <c r="G2753" s="5"/>
      <c r="H2753" s="26">
        <v>17.5</v>
      </c>
      <c r="I2753" s="5" t="s">
        <v>33613</v>
      </c>
      <c r="J2753" s="5" t="s">
        <v>26125</v>
      </c>
      <c r="K2753" s="5" t="s">
        <v>344</v>
      </c>
      <c r="L2753" s="5" t="s">
        <v>33614</v>
      </c>
      <c r="M2753" s="27"/>
      <c r="N2753" s="5" t="s">
        <v>53659</v>
      </c>
      <c r="O2753" s="5" t="str">
        <v>6311079100</v>
      </c>
      <c r="P2753" s="27">
        <v>10000</v>
      </c>
      <c r="Q2753" s="5" t="s">
        <v>49009</v>
      </c>
      <c r="R2753" s="5"/>
      <c r="S2753" s="5" t="s">
        <v>49045</v>
      </c>
      <c r="T2753" s="28">
        <v>37963000</v>
      </c>
      <c r="U2753" s="28">
        <v>90000</v>
      </c>
      <c r="V2753" s="28">
        <v>202724000</v>
      </c>
      <c r="W2753" s="28"/>
      <c r="X2753" s="28">
        <v>19383000</v>
      </c>
      <c r="Y2753" s="28">
        <v>741254000</v>
      </c>
      <c r="Z2753" s="28">
        <v>508071000</v>
      </c>
      <c r="AA2753" s="28"/>
      <c r="AB2753" s="28">
        <v>3200000</v>
      </c>
      <c r="AC2753" s="28">
        <v>231374000</v>
      </c>
      <c r="AD2753" s="28">
        <v>508081000</v>
      </c>
      <c r="AE2753" s="28">
        <v>3322110000</v>
      </c>
      <c r="AF2753" s="28">
        <v>70293000</v>
      </c>
      <c r="AG2753" s="11"/>
    </row>
    <row r="2754">
      <c r="A2754" s="7" t="s">
        <v>4441</v>
      </c>
      <c r="B2754" s="5" t="s">
        <v>12415</v>
      </c>
      <c r="C2754" s="5" t="s">
        <v>20245</v>
      </c>
      <c r="D2754" s="5" t="str">
        <v>772273514027</v>
      </c>
      <c r="E2754" s="0" t="e">
        <f>+7 (495) 6619343
+7 (495) 7429343
+7 (495) 9652891
+7 (499) 2719343
+7 (800) 1000141</f>
        <v>#NAME?</v>
      </c>
      <c r="F2754" s="5"/>
      <c r="G2754" s="5" t="s">
        <v>33615</v>
      </c>
      <c r="H2754" s="26">
        <v>16.5</v>
      </c>
      <c r="I2754" s="5" t="s">
        <v>33616</v>
      </c>
      <c r="J2754" s="5" t="s">
        <v>25419</v>
      </c>
      <c r="K2754" s="5" t="s">
        <v>344</v>
      </c>
      <c r="L2754" s="5" t="s">
        <v>33617</v>
      </c>
      <c r="M2754" s="27"/>
      <c r="N2754" s="5"/>
      <c r="O2754" s="5" t="str">
        <v>7719593063</v>
      </c>
      <c r="P2754" s="27">
        <v>10000</v>
      </c>
      <c r="Q2754" s="5" t="s">
        <v>49009</v>
      </c>
      <c r="R2754" s="5"/>
      <c r="S2754" s="5" t="s">
        <v>49028</v>
      </c>
      <c r="T2754" s="28">
        <v>76931000</v>
      </c>
      <c r="U2754" s="28">
        <v>80792000</v>
      </c>
      <c r="V2754" s="28">
        <v>1839416000</v>
      </c>
      <c r="W2754" s="28">
        <v>152654000</v>
      </c>
      <c r="X2754" s="28">
        <v>37491000</v>
      </c>
      <c r="Y2754" s="28">
        <v>3526400000</v>
      </c>
      <c r="Z2754" s="28">
        <v>1136768000</v>
      </c>
      <c r="AA2754" s="28"/>
      <c r="AB2754" s="28">
        <v>111618000</v>
      </c>
      <c r="AC2754" s="28">
        <v>1876322000</v>
      </c>
      <c r="AD2754" s="28">
        <v>1650078000</v>
      </c>
      <c r="AE2754" s="28">
        <v>5213800000</v>
      </c>
      <c r="AF2754" s="28">
        <v>286117000</v>
      </c>
      <c r="AG2754" s="11"/>
    </row>
    <row r="2755">
      <c r="A2755" s="7" t="s">
        <v>4442</v>
      </c>
      <c r="B2755" s="5" t="s">
        <v>12416</v>
      </c>
      <c r="C2755" s="5" t="s">
        <v>20246</v>
      </c>
      <c r="D2755" s="5" t="str">
        <v>773182497104</v>
      </c>
      <c r="E2755" s="0" t="e">
        <f>+7 (495) 9371102
+7 (495) 9371100
+7 (495) 9371101
+7 (495) 9731100
+7 (800) 1004141</f>
        <v>#NAME?</v>
      </c>
      <c r="F2755" s="5" t="s">
        <v>33618</v>
      </c>
      <c r="G2755" s="5" t="s">
        <v>33619</v>
      </c>
      <c r="H2755" s="26">
        <v>23.5</v>
      </c>
      <c r="I2755" s="5"/>
      <c r="J2755" s="5" t="s">
        <v>27085</v>
      </c>
      <c r="K2755" s="5" t="s">
        <v>344</v>
      </c>
      <c r="L2755" s="5" t="s">
        <v>33620</v>
      </c>
      <c r="M2755" s="27"/>
      <c r="N2755" s="5"/>
      <c r="O2755" s="5" t="str">
        <v>5024012156</v>
      </c>
      <c r="P2755" s="27">
        <v>40739000</v>
      </c>
      <c r="Q2755" s="5" t="s">
        <v>49009</v>
      </c>
      <c r="R2755" s="5"/>
      <c r="S2755" s="5" t="s">
        <v>49010</v>
      </c>
      <c r="T2755" s="28">
        <v>470149000</v>
      </c>
      <c r="U2755" s="28"/>
      <c r="V2755" s="28">
        <v>4984825000</v>
      </c>
      <c r="W2755" s="28">
        <v>618719000</v>
      </c>
      <c r="X2755" s="28">
        <v>3017924000</v>
      </c>
      <c r="Y2755" s="28">
        <v>11899276000</v>
      </c>
      <c r="Z2755" s="28">
        <v>7960699000</v>
      </c>
      <c r="AA2755" s="28"/>
      <c r="AB2755" s="28">
        <v>54000</v>
      </c>
      <c r="AC2755" s="28">
        <v>3669372000</v>
      </c>
      <c r="AD2755" s="28">
        <v>8008869000</v>
      </c>
      <c r="AE2755" s="28">
        <v>20363276000</v>
      </c>
      <c r="AF2755" s="28">
        <v>5301146000</v>
      </c>
      <c r="AG2755" s="11"/>
    </row>
    <row r="2756">
      <c r="A2756" s="7" t="s">
        <v>4443</v>
      </c>
      <c r="B2756" s="5" t="s">
        <v>12417</v>
      </c>
      <c r="C2756" s="5" t="s">
        <v>20247</v>
      </c>
      <c r="D2756" s="5" t="str">
        <v>503409306614</v>
      </c>
      <c r="E2756" s="0" t="e">
        <f>+7 (855) 2515656
+7 (919) 6347882</f>
        <v>#NAME?</v>
      </c>
      <c r="F2756" s="5"/>
      <c r="G2756" s="5"/>
      <c r="H2756" s="26">
        <v>10.5</v>
      </c>
      <c r="I2756" s="5" t="s">
        <v>30570</v>
      </c>
      <c r="J2756" s="5" t="s">
        <v>25587</v>
      </c>
      <c r="K2756" s="5" t="s">
        <v>344</v>
      </c>
      <c r="L2756" s="5" t="s">
        <v>33621</v>
      </c>
      <c r="M2756" s="27">
        <v>1097838</v>
      </c>
      <c r="N2756" s="5"/>
      <c r="O2756" s="5" t="str">
        <v>1651066469</v>
      </c>
      <c r="P2756" s="27">
        <v>10000</v>
      </c>
      <c r="Q2756" s="5" t="s">
        <v>49009</v>
      </c>
      <c r="R2756" s="5"/>
      <c r="S2756" s="5" t="s">
        <v>52628</v>
      </c>
      <c r="T2756" s="28">
        <v>103008000</v>
      </c>
      <c r="U2756" s="28"/>
      <c r="V2756" s="28">
        <v>693590000</v>
      </c>
      <c r="W2756" s="28">
        <v>3471000</v>
      </c>
      <c r="X2756" s="28">
        <v>46190000</v>
      </c>
      <c r="Y2756" s="28">
        <v>2201634000</v>
      </c>
      <c r="Z2756" s="28">
        <v>580346000</v>
      </c>
      <c r="AA2756" s="28"/>
      <c r="AB2756" s="28"/>
      <c r="AC2756" s="28">
        <v>1621278000</v>
      </c>
      <c r="AD2756" s="28">
        <v>580356000</v>
      </c>
      <c r="AE2756" s="28">
        <v>7350042000</v>
      </c>
      <c r="AF2756" s="28">
        <v>350694000</v>
      </c>
      <c r="AG2756" s="11"/>
    </row>
    <row r="2757">
      <c r="A2757" s="7" t="s">
        <v>4444</v>
      </c>
      <c r="B2757" s="5" t="s">
        <v>12418</v>
      </c>
      <c r="C2757" s="5" t="s">
        <v>20248</v>
      </c>
      <c r="D2757" s="5" t="str">
        <v>027200957610</v>
      </c>
      <c r="F2757" s="5"/>
      <c r="G2757" s="5"/>
      <c r="H2757" s="26">
        <v>10</v>
      </c>
      <c r="I2757" s="5" t="s">
        <v>33622</v>
      </c>
      <c r="J2757" s="5" t="s">
        <v>27115</v>
      </c>
      <c r="K2757" s="5" t="s">
        <v>355</v>
      </c>
      <c r="L2757" s="5"/>
      <c r="M2757" s="27">
        <v>21070945</v>
      </c>
      <c r="N2757" s="5"/>
      <c r="O2757" s="5" t="str">
        <v>0205008804</v>
      </c>
      <c r="P2757" s="27">
        <v>10000</v>
      </c>
      <c r="Q2757" s="5" t="s">
        <v>49009</v>
      </c>
      <c r="R2757" s="5" t="s">
        <v>52722</v>
      </c>
      <c r="S2757" s="5" t="s">
        <v>49010</v>
      </c>
      <c r="T2757" s="28">
        <v>169000</v>
      </c>
      <c r="U2757" s="28"/>
      <c r="V2757" s="28">
        <v>453717000</v>
      </c>
      <c r="W2757" s="28">
        <v>329767000</v>
      </c>
      <c r="X2757" s="28">
        <v>627000</v>
      </c>
      <c r="Y2757" s="28">
        <v>944638000</v>
      </c>
      <c r="Z2757" s="28">
        <v>2116000</v>
      </c>
      <c r="AA2757" s="28"/>
      <c r="AB2757" s="28">
        <v>99172000</v>
      </c>
      <c r="AC2757" s="28">
        <v>942512000</v>
      </c>
      <c r="AD2757" s="28">
        <v>2126000</v>
      </c>
      <c r="AE2757" s="28">
        <v>3102971000</v>
      </c>
      <c r="AF2757" s="28">
        <v>572000</v>
      </c>
      <c r="AG2757" s="11"/>
    </row>
    <row r="2758">
      <c r="A2758" s="7" t="s">
        <v>4445</v>
      </c>
      <c r="B2758" s="5" t="s">
        <v>12419</v>
      </c>
      <c r="C2758" s="5" t="s">
        <v>20249</v>
      </c>
      <c r="D2758" s="5" t="str">
        <v>780602509420</v>
      </c>
      <c r="E2758" s="0" t="e">
        <f>+7 (495) 6138544
+7 (499) 6135408
+7 (499) 6138544
+7 (499) 6138740</f>
        <v>#NAME?</v>
      </c>
      <c r="F2758" s="5"/>
      <c r="G2758" s="5"/>
      <c r="H2758" s="26">
        <v>12.5</v>
      </c>
      <c r="I2758" s="5"/>
      <c r="J2758" s="5" t="s">
        <v>27695</v>
      </c>
      <c r="K2758" s="5" t="s">
        <v>344</v>
      </c>
      <c r="L2758" s="5" t="s">
        <v>33623</v>
      </c>
      <c r="M2758" s="27">
        <v>657187</v>
      </c>
      <c r="N2758" s="5" t="s">
        <v>53660</v>
      </c>
      <c r="O2758" s="5" t="str">
        <v>7724766868</v>
      </c>
      <c r="P2758" s="27">
        <v>154759</v>
      </c>
      <c r="Q2758" s="5" t="s">
        <v>49059</v>
      </c>
      <c r="R2758" s="5"/>
      <c r="S2758" s="5" t="s">
        <v>49200</v>
      </c>
      <c r="T2758" s="28">
        <v>1139498000</v>
      </c>
      <c r="U2758" s="28">
        <v>3003683000</v>
      </c>
      <c r="V2758" s="28">
        <v>4925556000</v>
      </c>
      <c r="W2758" s="28">
        <v>2190000</v>
      </c>
      <c r="X2758" s="28">
        <v>675084000</v>
      </c>
      <c r="Y2758" s="28">
        <v>10631161000</v>
      </c>
      <c r="Z2758" s="28">
        <v>5361403000</v>
      </c>
      <c r="AA2758" s="28">
        <v>1323404000</v>
      </c>
      <c r="AB2758" s="28">
        <v>973477000</v>
      </c>
      <c r="AC2758" s="28">
        <v>3594154000</v>
      </c>
      <c r="AD2758" s="28">
        <v>5361566000</v>
      </c>
      <c r="AE2758" s="28">
        <v>19439377000</v>
      </c>
      <c r="AF2758" s="28">
        <v>1364720000</v>
      </c>
      <c r="AG2758" s="11"/>
    </row>
    <row r="2759">
      <c r="A2759" s="7" t="s">
        <v>4446</v>
      </c>
      <c r="B2759" s="5" t="s">
        <v>12420</v>
      </c>
      <c r="C2759" s="5" t="s">
        <v>20249</v>
      </c>
      <c r="D2759" s="5" t="str">
        <v>780602509420</v>
      </c>
      <c r="E2759" s="0" t="e">
        <f>+7 (916) 2977904
+7 (49675) 65166
+7 (800) 2341467</f>
        <v>#NAME?</v>
      </c>
      <c r="F2759" s="5" t="s">
        <v>33624</v>
      </c>
      <c r="G2759" s="5" t="s">
        <v>33625</v>
      </c>
      <c r="H2759" s="26">
        <v>4</v>
      </c>
      <c r="I2759" s="5" t="s">
        <v>33626</v>
      </c>
      <c r="J2759" s="5" t="s">
        <v>27695</v>
      </c>
      <c r="K2759" s="5" t="s">
        <v>344</v>
      </c>
      <c r="L2759" s="5" t="s">
        <v>33627</v>
      </c>
      <c r="M2759" s="27"/>
      <c r="N2759" s="5"/>
      <c r="O2759" s="5" t="str">
        <v>5017118338</v>
      </c>
      <c r="P2759" s="27">
        <v>10000</v>
      </c>
      <c r="Q2759" s="5"/>
      <c r="R2759" s="5"/>
      <c r="S2759" s="5" t="s">
        <v>49029</v>
      </c>
      <c r="T2759" s="28">
        <v>6098315000</v>
      </c>
      <c r="U2759" s="28"/>
      <c r="V2759" s="28">
        <v>1818125000</v>
      </c>
      <c r="W2759" s="28">
        <v>1234000</v>
      </c>
      <c r="X2759" s="28">
        <v>10107000</v>
      </c>
      <c r="Y2759" s="28">
        <v>9957806000</v>
      </c>
      <c r="Z2759" s="28">
        <v>792408000</v>
      </c>
      <c r="AA2759" s="28">
        <v>7911008000</v>
      </c>
      <c r="AB2759" s="28">
        <v>456973000</v>
      </c>
      <c r="AC2759" s="28">
        <v>930522000</v>
      </c>
      <c r="AD2759" s="28">
        <v>792418000</v>
      </c>
      <c r="AE2759" s="28">
        <v>5405862000</v>
      </c>
      <c r="AF2759" s="28">
        <v>437910000</v>
      </c>
      <c r="AG2759" s="11"/>
    </row>
    <row r="2760">
      <c r="A2760" s="7" t="s">
        <v>4447</v>
      </c>
      <c r="B2760" s="5" t="s">
        <v>12421</v>
      </c>
      <c r="C2760" s="5" t="s">
        <v>20250</v>
      </c>
      <c r="D2760" s="5" t="str">
        <v>540536343841</v>
      </c>
      <c r="E2760" s="0" t="e">
        <f>+7 (383) 2115810
+7 (383) 3031914
+7 (383) 2115629
+7 (383) 3031469
+7 (383) 3630505
+7 (383) 3631573</f>
        <v>#NAME?</v>
      </c>
      <c r="F2760" s="5" t="s">
        <v>33628</v>
      </c>
      <c r="G2760" s="5"/>
      <c r="H2760" s="26">
        <v>16.5</v>
      </c>
      <c r="I2760" s="5" t="s">
        <v>33629</v>
      </c>
      <c r="J2760" s="5" t="s">
        <v>27416</v>
      </c>
      <c r="K2760" s="5" t="s">
        <v>344</v>
      </c>
      <c r="L2760" s="5"/>
      <c r="M2760" s="27"/>
      <c r="N2760" s="5"/>
      <c r="O2760" s="5" t="str">
        <v>5404289490</v>
      </c>
      <c r="P2760" s="27">
        <v>20100000</v>
      </c>
      <c r="Q2760" s="5" t="s">
        <v>49059</v>
      </c>
      <c r="R2760" s="5"/>
      <c r="S2760" s="5" t="s">
        <v>49045</v>
      </c>
      <c r="T2760" s="28">
        <v>272243000</v>
      </c>
      <c r="U2760" s="28"/>
      <c r="V2760" s="28">
        <v>75852000</v>
      </c>
      <c r="W2760" s="28"/>
      <c r="X2760" s="28">
        <v>163174000</v>
      </c>
      <c r="Y2760" s="28">
        <v>1786513000</v>
      </c>
      <c r="Z2760" s="28">
        <v>986665000</v>
      </c>
      <c r="AA2760" s="28">
        <v>73128000</v>
      </c>
      <c r="AB2760" s="28">
        <v>9693000</v>
      </c>
      <c r="AC2760" s="28">
        <v>686080000</v>
      </c>
      <c r="AD2760" s="28">
        <v>1009070000</v>
      </c>
      <c r="AE2760" s="28">
        <v>3814611000</v>
      </c>
      <c r="AF2760" s="28">
        <v>31375000</v>
      </c>
      <c r="AG2760" s="11"/>
    </row>
    <row r="2761">
      <c r="A2761" s="7" t="s">
        <v>4448</v>
      </c>
      <c r="B2761" s="5" t="s">
        <v>12422</v>
      </c>
      <c r="C2761" s="5" t="s">
        <v>20251</v>
      </c>
      <c r="D2761" s="5" t="str">
        <v>410119765780</v>
      </c>
      <c r="E2761" s="0" t="e">
        <f>+7 (415) 2110029
+7 (415) 2410805
+7 (41545) 42006
+7 (41545) 42208
+7 (41545) 42230
+7 (41545) 42239
+7 (41545) 42245
+7 (41545) 42404
+7 (4236) 744378</f>
        <v>#NAME?</v>
      </c>
      <c r="F2761" s="5" t="s">
        <v>33630</v>
      </c>
      <c r="G2761" s="5" t="s">
        <v>33631</v>
      </c>
      <c r="H2761" s="26">
        <v>29.5</v>
      </c>
      <c r="I2761" s="5"/>
      <c r="J2761" s="5" t="s">
        <v>26424</v>
      </c>
      <c r="K2761" s="5" t="s">
        <v>344</v>
      </c>
      <c r="L2761" s="5" t="s">
        <v>33632</v>
      </c>
      <c r="M2761" s="27"/>
      <c r="N2761" s="5"/>
      <c r="O2761" s="5" t="str">
        <v>8203010714</v>
      </c>
      <c r="P2761" s="27">
        <v>100000000</v>
      </c>
      <c r="Q2761" s="5"/>
      <c r="R2761" s="5" t="s">
        <v>53662</v>
      </c>
      <c r="S2761" s="5" t="s">
        <v>49029</v>
      </c>
      <c r="T2761" s="28">
        <v>1522771000</v>
      </c>
      <c r="U2761" s="28">
        <v>65076000</v>
      </c>
      <c r="V2761" s="28">
        <v>468834000</v>
      </c>
      <c r="W2761" s="28">
        <v>2124601000</v>
      </c>
      <c r="X2761" s="28">
        <v>53763000</v>
      </c>
      <c r="Y2761" s="28">
        <v>4901689000</v>
      </c>
      <c r="Z2761" s="28">
        <v>4548308000</v>
      </c>
      <c r="AA2761" s="28"/>
      <c r="AB2761" s="28"/>
      <c r="AC2761" s="28">
        <v>187994000</v>
      </c>
      <c r="AD2761" s="28">
        <v>4717738000</v>
      </c>
      <c r="AE2761" s="28">
        <v>3398032000</v>
      </c>
      <c r="AF2761" s="28">
        <v>1658388000</v>
      </c>
      <c r="AG2761" s="11"/>
    </row>
    <row r="2762">
      <c r="A2762" s="7" t="s">
        <v>4449</v>
      </c>
      <c r="B2762" s="5" t="s">
        <v>12423</v>
      </c>
      <c r="C2762" s="5" t="s">
        <v>20252</v>
      </c>
      <c r="D2762" s="5" t="str">
        <v>420210880203</v>
      </c>
      <c r="E2762" s="0" t="e">
        <f>+7 (413) 2221002
+7 (413) 2221003
+7 (413) 2223808
+7 (413) 2227553
+7 (413) 2607611
+7 (413) 2623808
+7 (413) 2627553
+7 (41342) 92006
+7 (41342) 92312
+7 (41342) 92366
+7 (41342) 93040
+7 (41342) 93308
+7 (914) 8506885</f>
        <v>#NAME?</v>
      </c>
      <c r="F2762" s="5" t="s">
        <v>33633</v>
      </c>
      <c r="G2762" s="5"/>
      <c r="H2762" s="26">
        <v>25</v>
      </c>
      <c r="I2762" s="5"/>
      <c r="J2762" s="5" t="s">
        <v>26213</v>
      </c>
      <c r="K2762" s="5" t="s">
        <v>344</v>
      </c>
      <c r="L2762" s="5" t="s">
        <v>33634</v>
      </c>
      <c r="M2762" s="27"/>
      <c r="N2762" s="5" t="s">
        <v>53663</v>
      </c>
      <c r="O2762" s="5" t="str">
        <v>4907006146</v>
      </c>
      <c r="P2762" s="27">
        <v>100000</v>
      </c>
      <c r="Q2762" s="5" t="s">
        <v>49009</v>
      </c>
      <c r="R2762" s="5"/>
      <c r="S2762" s="5" t="s">
        <v>49175</v>
      </c>
      <c r="T2762" s="28">
        <v>926748000</v>
      </c>
      <c r="U2762" s="28"/>
      <c r="V2762" s="28">
        <v>693163000</v>
      </c>
      <c r="W2762" s="28"/>
      <c r="X2762" s="28">
        <v>628762000</v>
      </c>
      <c r="Y2762" s="28">
        <v>5203357000</v>
      </c>
      <c r="Z2762" s="28">
        <v>1304050000</v>
      </c>
      <c r="AA2762" s="28">
        <v>127101000</v>
      </c>
      <c r="AB2762" s="28">
        <v>818274000</v>
      </c>
      <c r="AC2762" s="28">
        <v>3540737000</v>
      </c>
      <c r="AD2762" s="28">
        <v>1304155000</v>
      </c>
      <c r="AE2762" s="28">
        <v>7678967000</v>
      </c>
      <c r="AF2762" s="28">
        <v>760083000</v>
      </c>
      <c r="AG2762" s="11"/>
    </row>
    <row r="2763">
      <c r="A2763" s="7" t="s">
        <v>4450</v>
      </c>
      <c r="B2763" s="5" t="s">
        <v>12424</v>
      </c>
      <c r="C2763" s="5" t="s">
        <v>20253</v>
      </c>
      <c r="D2763" s="5" t="str">
        <v>490900058844</v>
      </c>
      <c r="E2763" s="0" t="e">
        <f>+7 (413) 2297619
+7 (413) 2607619
+7 (413) 2607920
+7 (413) 2634258
+7 (914) 8590056</f>
        <v>#NAME?</v>
      </c>
      <c r="F2763" s="5" t="s">
        <v>33635</v>
      </c>
      <c r="G2763" s="5"/>
      <c r="H2763" s="26">
        <v>22</v>
      </c>
      <c r="I2763" s="5" t="s">
        <v>33636</v>
      </c>
      <c r="J2763" s="5" t="s">
        <v>373</v>
      </c>
      <c r="K2763" s="5" t="s">
        <v>344</v>
      </c>
      <c r="L2763" s="5" t="s">
        <v>33637</v>
      </c>
      <c r="M2763" s="27"/>
      <c r="N2763" s="5" t="s">
        <v>53664</v>
      </c>
      <c r="O2763" s="5" t="str">
        <v>4900004453</v>
      </c>
      <c r="P2763" s="27">
        <v>10000</v>
      </c>
      <c r="Q2763" s="5" t="s">
        <v>53665</v>
      </c>
      <c r="R2763" s="5"/>
      <c r="S2763" s="5" t="s">
        <v>53003</v>
      </c>
      <c r="T2763" s="28">
        <v>1616605000</v>
      </c>
      <c r="U2763" s="28">
        <v>1266618000</v>
      </c>
      <c r="V2763" s="28">
        <v>10923864000</v>
      </c>
      <c r="W2763" s="28">
        <v>16641000000</v>
      </c>
      <c r="X2763" s="28">
        <v>94125000</v>
      </c>
      <c r="Y2763" s="28">
        <v>35895043000</v>
      </c>
      <c r="Z2763" s="28">
        <v>20775383000</v>
      </c>
      <c r="AA2763" s="28"/>
      <c r="AB2763" s="28">
        <v>14367243000</v>
      </c>
      <c r="AC2763" s="28">
        <v>15100562000</v>
      </c>
      <c r="AD2763" s="28">
        <v>20775393000</v>
      </c>
      <c r="AE2763" s="28">
        <v>32346415000</v>
      </c>
      <c r="AF2763" s="28">
        <v>3825617000</v>
      </c>
      <c r="AG2763" s="11"/>
    </row>
    <row r="2764">
      <c r="A2764" s="7" t="s">
        <v>4451</v>
      </c>
      <c r="B2764" s="5" t="s">
        <v>12425</v>
      </c>
      <c r="C2764" s="5" t="s">
        <v>20254</v>
      </c>
      <c r="D2764" s="5" t="str">
        <v>490800692937</v>
      </c>
      <c r="E2764" s="0" t="e">
        <f>+7 (495) 2342947
+7 (495) 2342950
+7 (41343) 46696
+7 (413) 2246500
+7 (413) 2246648
+7 (413) 2246969
+7 (413) 2249394
+7 (41343) 46610
+7 (41343) 46648
+7 (41343) 46918
+7 (41343) 46969
+7 (915) 1314055</f>
        <v>#NAME?</v>
      </c>
      <c r="F2764" s="5" t="s">
        <v>33638</v>
      </c>
      <c r="G2764" s="5" t="s">
        <v>33639</v>
      </c>
      <c r="H2764" s="26">
        <v>22.5</v>
      </c>
      <c r="I2764" s="5" t="s">
        <v>33640</v>
      </c>
      <c r="J2764" s="5" t="s">
        <v>28287</v>
      </c>
      <c r="K2764" s="5" t="s">
        <v>355</v>
      </c>
      <c r="L2764" s="5"/>
      <c r="M2764" s="27"/>
      <c r="N2764" s="5" t="s">
        <v>53666</v>
      </c>
      <c r="O2764" s="5" t="str">
        <v>4908000718</v>
      </c>
      <c r="P2764" s="27">
        <v>12214551870</v>
      </c>
      <c r="Q2764" s="5" t="s">
        <v>53667</v>
      </c>
      <c r="R2764" s="5"/>
      <c r="S2764" s="5" t="s">
        <v>50191</v>
      </c>
      <c r="T2764" s="28">
        <v>6787273000</v>
      </c>
      <c r="U2764" s="28">
        <v>2014023000</v>
      </c>
      <c r="V2764" s="28">
        <v>413421000</v>
      </c>
      <c r="W2764" s="28"/>
      <c r="X2764" s="28">
        <v>285719000</v>
      </c>
      <c r="Y2764" s="28">
        <v>12876955000</v>
      </c>
      <c r="Z2764" s="28">
        <v>-6765174000</v>
      </c>
      <c r="AA2764" s="28">
        <v>3551845000</v>
      </c>
      <c r="AB2764" s="28">
        <v>1688406000</v>
      </c>
      <c r="AC2764" s="28">
        <v>2117023000</v>
      </c>
      <c r="AD2764" s="28">
        <v>5675745000</v>
      </c>
      <c r="AE2764" s="28">
        <v>3036372000</v>
      </c>
      <c r="AF2764" s="28">
        <v>953433000</v>
      </c>
      <c r="AG2764" s="11"/>
    </row>
    <row r="2765">
      <c r="A2765" s="7" t="s">
        <v>4452</v>
      </c>
      <c r="B2765" s="5" t="s">
        <v>12426</v>
      </c>
      <c r="C2765" s="5" t="s">
        <v>20255</v>
      </c>
      <c r="D2765" s="5" t="str">
        <v>690210646348</v>
      </c>
      <c r="E2765" s="0" t="e">
        <f>+7 (924) 8515901
+7 (413) 2210021
+7 (413) 2609758
+7 (41345) 20301
+7 (914) 8515901</f>
        <v>#NAME?</v>
      </c>
      <c r="F2765" s="5" t="s">
        <v>33641</v>
      </c>
      <c r="G2765" s="5"/>
      <c r="H2765" s="26">
        <v>15.5</v>
      </c>
      <c r="I2765" s="5"/>
      <c r="J2765" s="5" t="s">
        <v>28278</v>
      </c>
      <c r="K2765" s="5" t="s">
        <v>355</v>
      </c>
      <c r="L2765" s="5" t="s">
        <v>33642</v>
      </c>
      <c r="M2765" s="27"/>
      <c r="N2765" s="5" t="s">
        <v>50353</v>
      </c>
      <c r="O2765" s="5" t="str">
        <v>4909096032</v>
      </c>
      <c r="P2765" s="27">
        <v>10000</v>
      </c>
      <c r="Q2765" s="5"/>
      <c r="R2765" s="5"/>
      <c r="S2765" s="5" t="s">
        <v>53668</v>
      </c>
      <c r="T2765" s="28">
        <v>1399118000</v>
      </c>
      <c r="U2765" s="28">
        <v>805060000</v>
      </c>
      <c r="V2765" s="28">
        <v>465273000</v>
      </c>
      <c r="W2765" s="28">
        <v>3941000</v>
      </c>
      <c r="X2765" s="28">
        <v>48572000</v>
      </c>
      <c r="Y2765" s="28">
        <v>5099208000</v>
      </c>
      <c r="Z2765" s="28">
        <v>2654876000</v>
      </c>
      <c r="AA2765" s="28">
        <v>105443000</v>
      </c>
      <c r="AB2765" s="28">
        <v>815372000</v>
      </c>
      <c r="AC2765" s="28">
        <v>1347154000</v>
      </c>
      <c r="AD2765" s="28">
        <v>2654887000</v>
      </c>
      <c r="AE2765" s="28">
        <v>3979959000</v>
      </c>
      <c r="AF2765" s="28">
        <v>234100000</v>
      </c>
      <c r="AG2765" s="11"/>
    </row>
    <row r="2766">
      <c r="A2766" s="7" t="s">
        <v>4453</v>
      </c>
      <c r="B2766" s="5" t="s">
        <v>12427</v>
      </c>
      <c r="C2766" s="5" t="s">
        <v>20256</v>
      </c>
      <c r="D2766" s="5" t="str">
        <v>524607668586</v>
      </c>
      <c r="E2766" s="0" t="e">
        <f>+7 (800) 3334927
+7 (800) 3339427
+7 (800) 3339438
+7 (861) 2903877
+7 (928) 2103877
+7 (930) 7080200</f>
        <v>#NAME?</v>
      </c>
      <c r="F2766" s="5" t="s">
        <v>33643</v>
      </c>
      <c r="G2766" s="5" t="s">
        <v>33644</v>
      </c>
      <c r="H2766" s="26">
        <v>7</v>
      </c>
      <c r="I2766" s="5" t="s">
        <v>33645</v>
      </c>
      <c r="J2766" s="5" t="s">
        <v>397</v>
      </c>
      <c r="K2766" s="5" t="s">
        <v>344</v>
      </c>
      <c r="L2766" s="5" t="s">
        <v>33646</v>
      </c>
      <c r="M2766" s="27">
        <v>1194030</v>
      </c>
      <c r="N2766" s="5" t="s">
        <v>53669</v>
      </c>
      <c r="O2766" s="5" t="str">
        <v>5258130677</v>
      </c>
      <c r="P2766" s="27">
        <v>15000</v>
      </c>
      <c r="Q2766" s="5" t="s">
        <v>49009</v>
      </c>
      <c r="R2766" s="5"/>
      <c r="S2766" s="5" t="s">
        <v>49116</v>
      </c>
      <c r="T2766" s="28">
        <v>16555000</v>
      </c>
      <c r="U2766" s="28"/>
      <c r="V2766" s="28">
        <v>551835000</v>
      </c>
      <c r="W2766" s="28">
        <v>6450000</v>
      </c>
      <c r="X2766" s="28">
        <v>53590000</v>
      </c>
      <c r="Y2766" s="28">
        <v>1557854000</v>
      </c>
      <c r="Z2766" s="28">
        <v>276612000</v>
      </c>
      <c r="AA2766" s="28"/>
      <c r="AB2766" s="28">
        <v>185066000</v>
      </c>
      <c r="AC2766" s="28">
        <v>1281227000</v>
      </c>
      <c r="AD2766" s="28">
        <v>276627000</v>
      </c>
      <c r="AE2766" s="28">
        <v>5186594000</v>
      </c>
      <c r="AF2766" s="28">
        <v>248747000</v>
      </c>
      <c r="AG2766" s="11"/>
    </row>
    <row r="2767">
      <c r="A2767" s="7" t="s">
        <v>4454</v>
      </c>
      <c r="B2767" s="5" t="s">
        <v>12428</v>
      </c>
      <c r="C2767" s="5" t="s">
        <v>20257</v>
      </c>
      <c r="D2767" s="5" t="str">
        <v>762708358242</v>
      </c>
      <c r="E2767" s="0" t="e">
        <f>+7 (485) 2407405
+7 (485) 2407408
+7 (485) 2588290
+7 (485) 2588291
+7 (485) 2588293</f>
        <v>#NAME?</v>
      </c>
      <c r="F2767" s="5" t="s">
        <v>33647</v>
      </c>
      <c r="G2767" s="5" t="s">
        <v>33648</v>
      </c>
      <c r="H2767" s="26">
        <v>15</v>
      </c>
      <c r="I2767" s="5" t="s">
        <v>33649</v>
      </c>
      <c r="J2767" s="5" t="s">
        <v>27991</v>
      </c>
      <c r="K2767" s="5" t="s">
        <v>355</v>
      </c>
      <c r="L2767" s="5" t="s">
        <v>33650</v>
      </c>
      <c r="M2767" s="27"/>
      <c r="N2767" s="5"/>
      <c r="O2767" s="5" t="str">
        <v>7604126295</v>
      </c>
      <c r="P2767" s="27">
        <v>4273749000</v>
      </c>
      <c r="Q2767" s="5" t="s">
        <v>49009</v>
      </c>
      <c r="R2767" s="5"/>
      <c r="S2767" s="5" t="s">
        <v>49066</v>
      </c>
      <c r="T2767" s="28">
        <v>838926000</v>
      </c>
      <c r="U2767" s="28"/>
      <c r="V2767" s="28">
        <v>442680000</v>
      </c>
      <c r="W2767" s="28">
        <v>1995942000</v>
      </c>
      <c r="X2767" s="28">
        <v>44851000</v>
      </c>
      <c r="Y2767" s="28">
        <v>6569121000</v>
      </c>
      <c r="Z2767" s="28">
        <v>-2981887000</v>
      </c>
      <c r="AA2767" s="28"/>
      <c r="AB2767" s="28">
        <v>4900000000</v>
      </c>
      <c r="AC2767" s="28">
        <v>5277259000</v>
      </c>
      <c r="AD2767" s="28">
        <v>1292449000</v>
      </c>
      <c r="AE2767" s="28">
        <v>5284838000</v>
      </c>
      <c r="AF2767" s="28">
        <v>-2089008000</v>
      </c>
      <c r="AG2767" s="11"/>
    </row>
    <row r="2768">
      <c r="A2768" s="7" t="s">
        <v>4455</v>
      </c>
      <c r="B2768" s="5" t="s">
        <v>12429</v>
      </c>
      <c r="C2768" s="5" t="s">
        <v>20258</v>
      </c>
      <c r="D2768" s="5" t="str">
        <v>773436205904</v>
      </c>
      <c r="E2768" s="0" t="e">
        <f>+7 (495) 9823958
+7 (812) 9443675
+7 (495) 3823959
+7 (495) 7656630
+7 (495) 9823952
+7 (495) 9823959
+7 (495) 9829359
+7 (812) 4499907
+7 (812) 4499908</f>
        <v>#NAME?</v>
      </c>
      <c r="F2768" s="5" t="s">
        <v>33651</v>
      </c>
      <c r="G2768" s="5" t="s">
        <v>33652</v>
      </c>
      <c r="H2768" s="26">
        <v>17.5</v>
      </c>
      <c r="I2768" s="5" t="s">
        <v>33653</v>
      </c>
      <c r="J2768" s="5" t="s">
        <v>25612</v>
      </c>
      <c r="K2768" s="5" t="s">
        <v>344</v>
      </c>
      <c r="L2768" s="5" t="s">
        <v>33654</v>
      </c>
      <c r="M2768" s="27"/>
      <c r="N2768" s="5"/>
      <c r="O2768" s="5" t="str">
        <v>7733556360</v>
      </c>
      <c r="P2768" s="27">
        <v>5301183700</v>
      </c>
      <c r="Q2768" s="5" t="s">
        <v>49009</v>
      </c>
      <c r="R2768" s="5"/>
      <c r="S2768" s="5" t="s">
        <v>49028</v>
      </c>
      <c r="T2768" s="28">
        <v>1093563000</v>
      </c>
      <c r="U2768" s="28">
        <v>3070746000</v>
      </c>
      <c r="V2768" s="28">
        <v>9913394000</v>
      </c>
      <c r="W2768" s="28">
        <v>12686381000</v>
      </c>
      <c r="X2768" s="28">
        <v>246003000</v>
      </c>
      <c r="Y2768" s="28">
        <v>41270679000</v>
      </c>
      <c r="Z2768" s="28">
        <v>29219209000</v>
      </c>
      <c r="AA2768" s="28"/>
      <c r="AB2768" s="28">
        <v>2412000</v>
      </c>
      <c r="AC2768" s="28">
        <v>6080329000</v>
      </c>
      <c r="AD2768" s="28">
        <v>34591888000</v>
      </c>
      <c r="AE2768" s="28">
        <v>67984037000</v>
      </c>
      <c r="AF2768" s="28">
        <v>4444673000</v>
      </c>
      <c r="AG2768" s="11"/>
    </row>
    <row r="2769">
      <c r="A2769" s="7" t="s">
        <v>4456</v>
      </c>
      <c r="B2769" s="5" t="s">
        <v>12430</v>
      </c>
      <c r="C2769" s="5" t="s">
        <v>20259</v>
      </c>
      <c r="D2769" s="5" t="str">
        <v>222500170813</v>
      </c>
      <c r="E2769" s="0" t="e">
        <f>+7 (961) 9771534
+7 (385) 2465396
+7 (385) 2465476
+7 (385) 2465477
+7 (385) 2465478
+7 (385) 2500191
+7 (385) 2556783
+7 (913) 2100264</f>
        <v>#NAME?</v>
      </c>
      <c r="F2769" s="5" t="s">
        <v>33655</v>
      </c>
      <c r="G2769" s="5" t="s">
        <v>33656</v>
      </c>
      <c r="H2769" s="26">
        <v>5</v>
      </c>
      <c r="I2769" s="5" t="s">
        <v>33657</v>
      </c>
      <c r="J2769" s="5" t="s">
        <v>27070</v>
      </c>
      <c r="K2769" s="5" t="s">
        <v>344</v>
      </c>
      <c r="L2769" s="5"/>
      <c r="M2769" s="27"/>
      <c r="N2769" s="5" t="s">
        <v>53670</v>
      </c>
      <c r="O2769" s="5" t="str">
        <v>2222866588</v>
      </c>
      <c r="P2769" s="27">
        <v>10000</v>
      </c>
      <c r="Q2769" s="5" t="s">
        <v>53671</v>
      </c>
      <c r="R2769" s="5" t="s">
        <v>50082</v>
      </c>
      <c r="S2769" s="5" t="s">
        <v>53672</v>
      </c>
      <c r="T2769" s="28">
        <v>1447509000</v>
      </c>
      <c r="U2769" s="28">
        <v>522537000</v>
      </c>
      <c r="V2769" s="28">
        <v>800336000</v>
      </c>
      <c r="W2769" s="28">
        <v>7691000</v>
      </c>
      <c r="X2769" s="28">
        <v>3626000</v>
      </c>
      <c r="Y2769" s="28">
        <v>3138072000</v>
      </c>
      <c r="Z2769" s="28">
        <v>1982847000</v>
      </c>
      <c r="AA2769" s="28">
        <v>865102000</v>
      </c>
      <c r="AB2769" s="28">
        <v>97071000</v>
      </c>
      <c r="AC2769" s="28">
        <v>258787000</v>
      </c>
      <c r="AD2769" s="28">
        <v>1982857000</v>
      </c>
      <c r="AE2769" s="28">
        <v>3501651000</v>
      </c>
      <c r="AF2769" s="28">
        <v>344561000</v>
      </c>
      <c r="AG2769" s="11"/>
    </row>
    <row r="2770">
      <c r="A2770" s="7" t="s">
        <v>4457</v>
      </c>
      <c r="B2770" s="5" t="s">
        <v>12431</v>
      </c>
      <c r="C2770" s="5" t="s">
        <v>20260</v>
      </c>
      <c r="D2770" s="5" t="str">
        <v>741700281258</v>
      </c>
      <c r="E2770" s="0" t="e">
        <f>+7 (35161) 41800
+7 (35161) 42678
+7 (35161) 43998
+7 (35161) 75410
+7 (35161) 94528
+7 (35161) 94666
+7 (35161) 94685
+7 (35161) 94791
+7 (35161) 95024
+7 (35161) 95200</f>
        <v>#NAME?</v>
      </c>
      <c r="F2770" s="5" t="s">
        <v>33658</v>
      </c>
      <c r="G2770" s="5"/>
      <c r="H2770" s="26">
        <v>30</v>
      </c>
      <c r="I2770" s="5" t="s">
        <v>33659</v>
      </c>
      <c r="J2770" s="5" t="s">
        <v>28232</v>
      </c>
      <c r="K2770" s="5" t="s">
        <v>380</v>
      </c>
      <c r="L2770" s="5"/>
      <c r="M2770" s="27">
        <v>9891033</v>
      </c>
      <c r="N2770" s="5"/>
      <c r="O2770" s="5" t="str">
        <v>7417001747</v>
      </c>
      <c r="P2770" s="27">
        <v>4922898537</v>
      </c>
      <c r="Q2770" s="5" t="s">
        <v>49009</v>
      </c>
      <c r="R2770" s="5"/>
      <c r="S2770" s="5" t="s">
        <v>51911</v>
      </c>
      <c r="T2770" s="28">
        <v>9336490000</v>
      </c>
      <c r="U2770" s="28">
        <v>563000</v>
      </c>
      <c r="V2770" s="28">
        <v>746736000</v>
      </c>
      <c r="W2770" s="28"/>
      <c r="X2770" s="28">
        <v>25875000</v>
      </c>
      <c r="Y2770" s="28">
        <v>13884112000</v>
      </c>
      <c r="Z2770" s="28">
        <v>189458000</v>
      </c>
      <c r="AA2770" s="28">
        <v>1262343000</v>
      </c>
      <c r="AB2770" s="28">
        <v>69424000</v>
      </c>
      <c r="AC2770" s="28">
        <v>3144731000</v>
      </c>
      <c r="AD2770" s="28">
        <v>5166430000</v>
      </c>
      <c r="AE2770" s="28">
        <v>8282315000</v>
      </c>
      <c r="AF2770" s="28">
        <v>-787069000</v>
      </c>
      <c r="AG2770" s="11"/>
    </row>
    <row r="2771">
      <c r="A2771" s="7" t="s">
        <v>4458</v>
      </c>
      <c r="B2771" s="5" t="s">
        <v>12432</v>
      </c>
      <c r="C2771" s="5" t="s">
        <v>20261</v>
      </c>
      <c r="D2771" s="5" t="str">
        <v>511300631256</v>
      </c>
      <c r="E2771" s="0" t="e">
        <f>+7 (499) 5001436
+7 (812) 3202126
+7 (499) 5009630</f>
        <v>#NAME?</v>
      </c>
      <c r="F2771" s="5"/>
      <c r="G2771" s="5"/>
      <c r="H2771" s="26">
        <v>13.5</v>
      </c>
      <c r="I2771" s="5" t="s">
        <v>33660</v>
      </c>
      <c r="J2771" s="5" t="s">
        <v>33293</v>
      </c>
      <c r="K2771" s="5" t="s">
        <v>344</v>
      </c>
      <c r="L2771" s="5" t="s">
        <v>32393</v>
      </c>
      <c r="M2771" s="27"/>
      <c r="N2771" s="5" t="s">
        <v>53673</v>
      </c>
      <c r="O2771" s="5" t="str">
        <v>7801499923</v>
      </c>
      <c r="P2771" s="27">
        <v>78010000</v>
      </c>
      <c r="Q2771" s="5" t="s">
        <v>53674</v>
      </c>
      <c r="R2771" s="5"/>
      <c r="S2771" s="5" t="s">
        <v>49089</v>
      </c>
      <c r="T2771" s="28">
        <v>1293687000</v>
      </c>
      <c r="U2771" s="28"/>
      <c r="V2771" s="28">
        <v>1185589000</v>
      </c>
      <c r="W2771" s="28">
        <v>24000000</v>
      </c>
      <c r="X2771" s="28">
        <v>198995000</v>
      </c>
      <c r="Y2771" s="28">
        <v>3092085000</v>
      </c>
      <c r="Z2771" s="28">
        <v>478564000</v>
      </c>
      <c r="AA2771" s="28"/>
      <c r="AB2771" s="28"/>
      <c r="AC2771" s="28">
        <v>2483221000</v>
      </c>
      <c r="AD2771" s="28">
        <v>556574000</v>
      </c>
      <c r="AE2771" s="28">
        <v>4958065000</v>
      </c>
      <c r="AF2771" s="28">
        <v>281916000</v>
      </c>
      <c r="AG2771" s="11"/>
    </row>
    <row r="2772">
      <c r="A2772" s="7" t="s">
        <v>4459</v>
      </c>
      <c r="B2772" s="5" t="s">
        <v>12433</v>
      </c>
      <c r="C2772" s="5" t="s">
        <v>17806</v>
      </c>
      <c r="D2772" s="5"/>
      <c r="E2772" s="0" t="e">
        <f>+7 (963) 4497949
+7 (343) 2417541
+7 (343) 3417330
+7 (343) 3417423
+7 (343) 3417530
+7 (343) 3417533
+7 (343) 3417549
+7 (343) 3417620
+7 (343) 3417818
+7 (343) 3602381
+7 (343) 3717818
+7 (3433) 717533</f>
        <v>#NAME?</v>
      </c>
      <c r="F2772" s="5" t="s">
        <v>33661</v>
      </c>
      <c r="G2772" s="5" t="s">
        <v>33662</v>
      </c>
      <c r="H2772" s="26">
        <v>21.5</v>
      </c>
      <c r="I2772" s="5"/>
      <c r="J2772" s="5" t="s">
        <v>25788</v>
      </c>
      <c r="K2772" s="5" t="s">
        <v>355</v>
      </c>
      <c r="L2772" s="5"/>
      <c r="M2772" s="27">
        <v>761659</v>
      </c>
      <c r="N2772" s="5" t="s">
        <v>53675</v>
      </c>
      <c r="O2772" s="5" t="str">
        <v>6604011366</v>
      </c>
      <c r="P2772" s="27">
        <v>1000000</v>
      </c>
      <c r="Q2772" s="5" t="s">
        <v>49009</v>
      </c>
      <c r="R2772" s="5"/>
      <c r="S2772" s="5" t="s">
        <v>49956</v>
      </c>
      <c r="T2772" s="28">
        <v>15177000</v>
      </c>
      <c r="U2772" s="28"/>
      <c r="V2772" s="28">
        <v>388563000</v>
      </c>
      <c r="W2772" s="28"/>
      <c r="X2772" s="28">
        <v>13733000</v>
      </c>
      <c r="Y2772" s="28">
        <v>947488000</v>
      </c>
      <c r="Z2772" s="28">
        <v>-1209503000</v>
      </c>
      <c r="AA2772" s="28"/>
      <c r="AB2772" s="28">
        <v>240424000</v>
      </c>
      <c r="AC2772" s="28">
        <v>2155180000</v>
      </c>
      <c r="AD2772" s="28">
        <v>-1208403000</v>
      </c>
      <c r="AE2772" s="28">
        <v>6037106000</v>
      </c>
      <c r="AF2772" s="28">
        <v>-241574000</v>
      </c>
      <c r="AG2772" s="11"/>
    </row>
    <row r="2773">
      <c r="A2773" s="7" t="s">
        <v>4460</v>
      </c>
      <c r="B2773" s="5" t="s">
        <v>12434</v>
      </c>
      <c r="C2773" s="5" t="s">
        <v>20262</v>
      </c>
      <c r="D2773" s="5"/>
      <c r="E2773" s="0" t="e">
        <f>+7 (383) 2125144
+7 (383) 2931322
+7 (383) 2931323
+7 (383) 2931332
+7 (383) 2931355
+7 (383) 2931366
+7 (383) 2931388
+7 (383) 2931444
+7 (383) 2931454
+7 (383) 2931470
+7 (383) 3635318
+7 (383) 3636166
+7 (383) 3636246
+7 (383) 3636261
+7 (800) 2220386</f>
        <v>#NAME?</v>
      </c>
      <c r="F2773" s="5" t="s">
        <v>33663</v>
      </c>
      <c r="G2773" s="5" t="s">
        <v>33664</v>
      </c>
      <c r="H2773" s="26">
        <v>20.5</v>
      </c>
      <c r="I2773" s="5" t="s">
        <v>33665</v>
      </c>
      <c r="J2773" s="5" t="s">
        <v>30931</v>
      </c>
      <c r="K2773" s="5" t="s">
        <v>355</v>
      </c>
      <c r="L2773" s="5" t="s">
        <v>33666</v>
      </c>
      <c r="M2773" s="27"/>
      <c r="N2773" s="5"/>
      <c r="O2773" s="5" t="str">
        <v>5401197177</v>
      </c>
      <c r="P2773" s="27">
        <v>5068450</v>
      </c>
      <c r="Q2773" s="5"/>
      <c r="R2773" s="5"/>
      <c r="S2773" s="5" t="s">
        <v>49425</v>
      </c>
      <c r="T2773" s="28">
        <v>361165000</v>
      </c>
      <c r="U2773" s="28">
        <v>267942000</v>
      </c>
      <c r="V2773" s="28">
        <v>984069000</v>
      </c>
      <c r="W2773" s="28"/>
      <c r="X2773" s="28">
        <v>10084000</v>
      </c>
      <c r="Y2773" s="28">
        <v>1834613000</v>
      </c>
      <c r="Z2773" s="28">
        <v>322850000</v>
      </c>
      <c r="AA2773" s="28">
        <v>431053000</v>
      </c>
      <c r="AB2773" s="28">
        <v>63958000</v>
      </c>
      <c r="AC2773" s="28">
        <v>1029390000</v>
      </c>
      <c r="AD2773" s="28">
        <v>331428000</v>
      </c>
      <c r="AE2773" s="28">
        <v>6096310000</v>
      </c>
      <c r="AF2773" s="28">
        <v>270706000</v>
      </c>
      <c r="AG2773" s="11"/>
    </row>
    <row r="2774">
      <c r="A2774" s="7" t="s">
        <v>4461</v>
      </c>
      <c r="B2774" s="5" t="s">
        <v>12435</v>
      </c>
      <c r="C2774" s="5" t="s">
        <v>20263</v>
      </c>
      <c r="D2774" s="5" t="str">
        <v>666006186237</v>
      </c>
      <c r="E2774" s="0" t="e">
        <f>+7 (343) 2174250
+7 (343) 2174253
+7 (343) 2174254
+7 (343) 2174255
+7 (343) 2174251
+7 (3432) 128800</f>
        <v>#NAME?</v>
      </c>
      <c r="F2774" s="5" t="s">
        <v>33667</v>
      </c>
      <c r="G2774" s="5"/>
      <c r="H2774" s="26">
        <v>17.5</v>
      </c>
      <c r="I2774" s="5" t="s">
        <v>33668</v>
      </c>
      <c r="J2774" s="5" t="s">
        <v>26918</v>
      </c>
      <c r="K2774" s="5" t="s">
        <v>344</v>
      </c>
      <c r="L2774" s="5" t="s">
        <v>33669</v>
      </c>
      <c r="M2774" s="27"/>
      <c r="N2774" s="5" t="s">
        <v>53676</v>
      </c>
      <c r="O2774" s="5" t="str">
        <v>6674167078</v>
      </c>
      <c r="P2774" s="27">
        <v>194336150</v>
      </c>
      <c r="Q2774" s="5" t="s">
        <v>49009</v>
      </c>
      <c r="R2774" s="5"/>
      <c r="S2774" s="5" t="s">
        <v>49020</v>
      </c>
      <c r="T2774" s="28">
        <v>631863000</v>
      </c>
      <c r="U2774" s="28"/>
      <c r="V2774" s="28">
        <v>3969753000</v>
      </c>
      <c r="W2774" s="28"/>
      <c r="X2774" s="28">
        <v>230151000</v>
      </c>
      <c r="Y2774" s="28">
        <v>8907982000</v>
      </c>
      <c r="Z2774" s="28">
        <v>3275996000</v>
      </c>
      <c r="AA2774" s="28"/>
      <c r="AB2774" s="28">
        <v>1270000000</v>
      </c>
      <c r="AC2774" s="28">
        <v>5284003000</v>
      </c>
      <c r="AD2774" s="28">
        <v>3470332000</v>
      </c>
      <c r="AE2774" s="28">
        <v>17223320000</v>
      </c>
      <c r="AF2774" s="28">
        <v>1407877000</v>
      </c>
      <c r="AG2774" s="11"/>
    </row>
    <row r="2775">
      <c r="A2775" s="7" t="s">
        <v>4462</v>
      </c>
      <c r="B2775" s="5" t="s">
        <v>12436</v>
      </c>
      <c r="C2775" s="5" t="s">
        <v>20264</v>
      </c>
      <c r="D2775" s="5" t="str">
        <v>234300494610</v>
      </c>
      <c r="E2775" s="0" t="e">
        <f>+7 (86195) 47376
+7 (86195) 32820
+7 (86195) 33576</f>
        <v>#NAME?</v>
      </c>
      <c r="F2775" s="5" t="s">
        <v>33670</v>
      </c>
      <c r="G2775" s="5"/>
      <c r="H2775" s="26">
        <v>29.5</v>
      </c>
      <c r="I2775" s="5" t="s">
        <v>33671</v>
      </c>
      <c r="J2775" s="5" t="s">
        <v>25850</v>
      </c>
      <c r="K2775" s="5" t="s">
        <v>355</v>
      </c>
      <c r="L2775" s="5" t="s">
        <v>33672</v>
      </c>
      <c r="M2775" s="27"/>
      <c r="N2775" s="5"/>
      <c r="O2775" s="5" t="str">
        <v>2343013175</v>
      </c>
      <c r="P2775" s="27">
        <v>5414846</v>
      </c>
      <c r="Q2775" s="5" t="s">
        <v>49059</v>
      </c>
      <c r="R2775" s="5"/>
      <c r="S2775" s="5" t="s">
        <v>49029</v>
      </c>
      <c r="T2775" s="28">
        <v>261392000</v>
      </c>
      <c r="U2775" s="28"/>
      <c r="V2775" s="28">
        <v>44671000</v>
      </c>
      <c r="W2775" s="28">
        <v>26297000</v>
      </c>
      <c r="X2775" s="28">
        <v>50503000</v>
      </c>
      <c r="Y2775" s="28">
        <v>976198000</v>
      </c>
      <c r="Z2775" s="28">
        <v>149715000</v>
      </c>
      <c r="AA2775" s="28">
        <v>6142000</v>
      </c>
      <c r="AB2775" s="28">
        <v>492884000</v>
      </c>
      <c r="AC2775" s="28">
        <v>814733000</v>
      </c>
      <c r="AD2775" s="28">
        <v>155323000</v>
      </c>
      <c r="AE2775" s="28">
        <v>3580246000</v>
      </c>
      <c r="AF2775" s="28">
        <v>19020000</v>
      </c>
      <c r="AG2775" s="11"/>
    </row>
    <row r="2776">
      <c r="A2776" s="7" t="s">
        <v>4463</v>
      </c>
      <c r="B2776" s="5" t="s">
        <v>12437</v>
      </c>
      <c r="C2776" s="5" t="s">
        <v>20265</v>
      </c>
      <c r="D2776" s="5" t="str">
        <v>110101082986</v>
      </c>
      <c r="E2776" s="0" t="e">
        <f>+7 (812) 3322614
+7 (8212) 213191
+7 (8212) 214971
+7 (8212) 226458
+7 (8212) 287752
+7 (8212) 299659
+7 (8212) 301006
+7 (8212) 300429
+7 (8212) 301420
+7 (8212) 301426
+7 (8212) 301449
+7 (8212) 303593
+7 (8212) 303594
+7 (8212) 303597
+7 (8212) 304460</f>
        <v>#NAME?</v>
      </c>
      <c r="F2776" s="5" t="s">
        <v>33673</v>
      </c>
      <c r="G2776" s="5"/>
      <c r="H2776" s="26">
        <v>16.5</v>
      </c>
      <c r="I2776" s="5"/>
      <c r="J2776" s="5" t="s">
        <v>26623</v>
      </c>
      <c r="K2776" s="5" t="s">
        <v>344</v>
      </c>
      <c r="L2776" s="5" t="s">
        <v>33674</v>
      </c>
      <c r="M2776" s="27">
        <v>187685479</v>
      </c>
      <c r="N2776" s="5" t="s">
        <v>53677</v>
      </c>
      <c r="O2776" s="5" t="str">
        <v>1101301856</v>
      </c>
      <c r="P2776" s="27">
        <v>109871289</v>
      </c>
      <c r="Q2776" s="5" t="s">
        <v>53678</v>
      </c>
      <c r="R2776" s="5"/>
      <c r="S2776" s="5" t="s">
        <v>49288</v>
      </c>
      <c r="T2776" s="28">
        <v>341407000</v>
      </c>
      <c r="U2776" s="28"/>
      <c r="V2776" s="28">
        <v>2333326000</v>
      </c>
      <c r="W2776" s="28"/>
      <c r="X2776" s="28">
        <v>705500000</v>
      </c>
      <c r="Y2776" s="28">
        <v>3620845000</v>
      </c>
      <c r="Z2776" s="28">
        <v>1038624000</v>
      </c>
      <c r="AA2776" s="28"/>
      <c r="AB2776" s="28"/>
      <c r="AC2776" s="28">
        <v>1639286000</v>
      </c>
      <c r="AD2776" s="28">
        <v>1920087000</v>
      </c>
      <c r="AE2776" s="28">
        <v>14020127000</v>
      </c>
      <c r="AF2776" s="28">
        <v>487211000</v>
      </c>
      <c r="AG2776" s="11"/>
    </row>
    <row r="2777">
      <c r="A2777" s="7" t="s">
        <v>4464</v>
      </c>
      <c r="B2777" s="5" t="s">
        <v>12438</v>
      </c>
      <c r="C2777" s="5" t="s">
        <v>20266</v>
      </c>
      <c r="D2777" s="5" t="str">
        <v>366520936185</v>
      </c>
      <c r="E2777" s="0" t="e">
        <f>+7 (495) 5321331
+7 (800) 5055020
+7 (903) 7470593
+7 (495) 6456121
+7 (499) 3211945
+7 (499) 5515577
+7 (909) 6768587
+7 (925) 8041129</f>
        <v>#NAME?</v>
      </c>
      <c r="F2777" s="5" t="s">
        <v>33675</v>
      </c>
      <c r="G2777" s="5" t="s">
        <v>33676</v>
      </c>
      <c r="H2777" s="26">
        <v>8.5</v>
      </c>
      <c r="I2777" s="5" t="s">
        <v>33677</v>
      </c>
      <c r="J2777" s="5" t="s">
        <v>26256</v>
      </c>
      <c r="K2777" s="5" t="s">
        <v>344</v>
      </c>
      <c r="L2777" s="5" t="s">
        <v>33678</v>
      </c>
      <c r="M2777" s="27"/>
      <c r="N2777" s="5" t="s">
        <v>53679</v>
      </c>
      <c r="O2777" s="5" t="str">
        <v>7743928345</v>
      </c>
      <c r="P2777" s="27">
        <v>30000000</v>
      </c>
      <c r="Q2777" s="5" t="s">
        <v>53680</v>
      </c>
      <c r="R2777" s="5"/>
      <c r="S2777" s="5" t="s">
        <v>53681</v>
      </c>
      <c r="T2777" s="28">
        <v>98078000</v>
      </c>
      <c r="U2777" s="28">
        <v>74000</v>
      </c>
      <c r="V2777" s="28">
        <v>1413808000</v>
      </c>
      <c r="W2777" s="28"/>
      <c r="X2777" s="28">
        <v>529655000</v>
      </c>
      <c r="Y2777" s="28">
        <v>2597520000</v>
      </c>
      <c r="Z2777" s="28">
        <v>1066146000</v>
      </c>
      <c r="AA2777" s="28"/>
      <c r="AB2777" s="28"/>
      <c r="AC2777" s="28">
        <v>1435814000</v>
      </c>
      <c r="AD2777" s="28">
        <v>1125146000</v>
      </c>
      <c r="AE2777" s="28">
        <v>3577096000</v>
      </c>
      <c r="AF2777" s="28">
        <v>258830000</v>
      </c>
      <c r="AG2777" s="11"/>
    </row>
    <row r="2778">
      <c r="A2778" s="7" t="s">
        <v>4465</v>
      </c>
      <c r="B2778" s="5" t="s">
        <v>12439</v>
      </c>
      <c r="C2778" s="5" t="s">
        <v>20267</v>
      </c>
      <c r="D2778" s="5" t="str">
        <v>183302510744</v>
      </c>
      <c r="E2778" s="0" t="e">
        <f>+7 (8212) 286520
+7 (800) 2220028
+7 (8212) 286370
+7 (8212) 286505
+7 (8212) 286511
+7 (8212) 286539
+7 (8212) 286576
+7 (8212) 286579</f>
        <v>#NAME?</v>
      </c>
      <c r="F2778" s="5" t="s">
        <v>33679</v>
      </c>
      <c r="G2778" s="5" t="s">
        <v>33680</v>
      </c>
      <c r="H2778" s="26">
        <v>20.5</v>
      </c>
      <c r="I2778" s="5" t="s">
        <v>33681</v>
      </c>
      <c r="J2778" s="5" t="s">
        <v>26268</v>
      </c>
      <c r="K2778" s="5" t="s">
        <v>344</v>
      </c>
      <c r="L2778" s="5" t="s">
        <v>33682</v>
      </c>
      <c r="M2778" s="27">
        <v>53200</v>
      </c>
      <c r="N2778" s="5"/>
      <c r="O2778" s="5" t="str">
        <v>1101034833</v>
      </c>
      <c r="P2778" s="27">
        <v>10000</v>
      </c>
      <c r="Q2778" s="5" t="s">
        <v>49059</v>
      </c>
      <c r="R2778" s="5"/>
      <c r="S2778" s="5" t="s">
        <v>49425</v>
      </c>
      <c r="T2778" s="28">
        <v>241734000</v>
      </c>
      <c r="U2778" s="28">
        <v>6489000</v>
      </c>
      <c r="V2778" s="28">
        <v>537413000</v>
      </c>
      <c r="W2778" s="28"/>
      <c r="X2778" s="28">
        <v>204028000</v>
      </c>
      <c r="Y2778" s="28">
        <v>1576667000</v>
      </c>
      <c r="Z2778" s="28">
        <v>1338321000</v>
      </c>
      <c r="AA2778" s="28"/>
      <c r="AB2778" s="28"/>
      <c r="AC2778" s="28">
        <v>161384000</v>
      </c>
      <c r="AD2778" s="28">
        <v>1338331000</v>
      </c>
      <c r="AE2778" s="28">
        <v>3426519000</v>
      </c>
      <c r="AF2778" s="28">
        <v>301364000</v>
      </c>
      <c r="AG2778" s="11"/>
    </row>
    <row r="2779">
      <c r="A2779" s="7" t="s">
        <v>4466</v>
      </c>
      <c r="B2779" s="5" t="s">
        <v>12439</v>
      </c>
      <c r="C2779" s="5" t="s">
        <v>20268</v>
      </c>
      <c r="D2779" s="5" t="str">
        <v>110102158395</v>
      </c>
      <c r="E2779" s="0" t="e">
        <f>+7 (8212) 256501
+7 (8212) 286501
+7 (8212) 286506
+7 (8212) 286507
+7 (8212) 286508
+7 (8212) 286517
+7 (8212) 286526
+7 (8212) 286537
+7 (8212) 286546
+7 (8212) 286557
+7 (8212) 286560</f>
        <v>#NAME?</v>
      </c>
      <c r="F2779" s="5" t="s">
        <v>33683</v>
      </c>
      <c r="G2779" s="5" t="s">
        <v>33684</v>
      </c>
      <c r="H2779" s="26">
        <v>21</v>
      </c>
      <c r="I2779" s="5"/>
      <c r="J2779" s="5" t="s">
        <v>25366</v>
      </c>
      <c r="K2779" s="5" t="s">
        <v>344</v>
      </c>
      <c r="L2779" s="5" t="s">
        <v>33685</v>
      </c>
      <c r="M2779" s="27"/>
      <c r="N2779" s="5" t="s">
        <v>53682</v>
      </c>
      <c r="O2779" s="5" t="str">
        <v>1101300281</v>
      </c>
      <c r="P2779" s="27">
        <v>48840594</v>
      </c>
      <c r="Q2779" s="5"/>
      <c r="R2779" s="5"/>
      <c r="S2779" s="5" t="s">
        <v>49425</v>
      </c>
      <c r="T2779" s="28">
        <v>1219420000</v>
      </c>
      <c r="U2779" s="28"/>
      <c r="V2779" s="28">
        <v>315380000</v>
      </c>
      <c r="W2779" s="28"/>
      <c r="X2779" s="28">
        <v>79695000</v>
      </c>
      <c r="Y2779" s="28">
        <v>3324091000</v>
      </c>
      <c r="Z2779" s="28">
        <v>1201923000</v>
      </c>
      <c r="AA2779" s="28">
        <v>587256000</v>
      </c>
      <c r="AB2779" s="28">
        <v>706667000</v>
      </c>
      <c r="AC2779" s="28">
        <v>1301511000</v>
      </c>
      <c r="AD2779" s="28">
        <v>1327360000</v>
      </c>
      <c r="AE2779" s="28">
        <v>4413147000</v>
      </c>
      <c r="AF2779" s="28">
        <v>2608000</v>
      </c>
      <c r="AG2779" s="11"/>
    </row>
    <row r="2780">
      <c r="A2780" s="7" t="s">
        <v>4467</v>
      </c>
      <c r="B2780" s="5" t="s">
        <v>12440</v>
      </c>
      <c r="C2780" s="5" t="s">
        <v>19644</v>
      </c>
      <c r="D2780" s="5"/>
      <c r="E2780" s="0" t="e">
        <f>+7 (8212) 200200
+7 (8212) 283086
+7 (82151) 64659
+7 (82151) 66120
+7 (82151) 31544
+7 (82151) 34533
+7 (82151) 37208
+7 (82151) 94518
+7 (82151) 94519
+7 (82151) 94536
+7 (82151) 94651
+7 (82151) 94652
+7 (82151) 94657
+7 (82151) 94659
+7 (82151) 96114</f>
        <v>#NAME?</v>
      </c>
      <c r="F2780" s="5" t="s">
        <v>33686</v>
      </c>
      <c r="G2780" s="5"/>
      <c r="H2780" s="26">
        <v>10.5</v>
      </c>
      <c r="I2780" s="5" t="s">
        <v>33687</v>
      </c>
      <c r="J2780" s="5" t="s">
        <v>27642</v>
      </c>
      <c r="K2780" s="5" t="s">
        <v>380</v>
      </c>
      <c r="L2780" s="5"/>
      <c r="M2780" s="27">
        <v>45623074</v>
      </c>
      <c r="N2780" s="5" t="s">
        <v>53683</v>
      </c>
      <c r="O2780" s="5" t="str">
        <v>1103006077</v>
      </c>
      <c r="P2780" s="27">
        <v>5522014320</v>
      </c>
      <c r="Q2780" s="5" t="s">
        <v>53684</v>
      </c>
      <c r="R2780" s="5"/>
      <c r="S2780" s="5" t="s">
        <v>49032</v>
      </c>
      <c r="T2780" s="28">
        <v>4016244000</v>
      </c>
      <c r="U2780" s="28"/>
      <c r="V2780" s="28">
        <v>849490000</v>
      </c>
      <c r="W2780" s="28"/>
      <c r="X2780" s="28">
        <v>25160000</v>
      </c>
      <c r="Y2780" s="28">
        <v>6503332000</v>
      </c>
      <c r="Z2780" s="28">
        <v>-5345699000</v>
      </c>
      <c r="AA2780" s="28"/>
      <c r="AB2780" s="28"/>
      <c r="AC2780" s="28">
        <v>10533833000</v>
      </c>
      <c r="AD2780" s="28">
        <v>-4396830000</v>
      </c>
      <c r="AE2780" s="28">
        <v>5350359000</v>
      </c>
      <c r="AF2780" s="28">
        <v>-769075000</v>
      </c>
      <c r="AG2780" s="11"/>
    </row>
    <row r="2781">
      <c r="A2781" s="7" t="s">
        <v>4468</v>
      </c>
      <c r="B2781" s="5" t="s">
        <v>12441</v>
      </c>
      <c r="C2781" s="5" t="s">
        <v>20269</v>
      </c>
      <c r="D2781" s="5" t="str">
        <v>773310759816</v>
      </c>
      <c r="E2781" s="0" t="e">
        <f>+7 (495) 2760655
+7 (495) 4417151
+7 (495) 7038031
+7 (499) 2760655
+7 (499) 4117151
+7 (499) 9403606
+7 (495) 2210313
+7 (495) 2507402
+7 (495) 2767454
+7 (495) 4117151
+7 (495) 4117155
+7 (495) 4117174
+7 (499) 9404004</f>
        <v>#NAME?</v>
      </c>
      <c r="F2781" s="5" t="s">
        <v>33688</v>
      </c>
      <c r="G2781" s="5" t="s">
        <v>33689</v>
      </c>
      <c r="H2781" s="26">
        <v>30.5</v>
      </c>
      <c r="I2781" s="5"/>
      <c r="J2781" s="5" t="s">
        <v>755</v>
      </c>
      <c r="K2781" s="5" t="s">
        <v>344</v>
      </c>
      <c r="L2781" s="5"/>
      <c r="M2781" s="27">
        <v>679436</v>
      </c>
      <c r="N2781" s="5" t="s">
        <v>53685</v>
      </c>
      <c r="O2781" s="5" t="str">
        <v>7717020170</v>
      </c>
      <c r="P2781" s="27">
        <v>300000</v>
      </c>
      <c r="Q2781" s="5" t="s">
        <v>53686</v>
      </c>
      <c r="R2781" s="5"/>
      <c r="S2781" s="5" t="s">
        <v>53687</v>
      </c>
      <c r="T2781" s="28">
        <v>16627744000</v>
      </c>
      <c r="U2781" s="28"/>
      <c r="V2781" s="28">
        <v>19517793000</v>
      </c>
      <c r="W2781" s="28"/>
      <c r="X2781" s="28">
        <v>1553746000</v>
      </c>
      <c r="Y2781" s="28">
        <v>39894138000</v>
      </c>
      <c r="Z2781" s="28">
        <v>12603009000</v>
      </c>
      <c r="AA2781" s="28">
        <v>8622607000</v>
      </c>
      <c r="AB2781" s="28">
        <v>1318449000</v>
      </c>
      <c r="AC2781" s="28">
        <v>3512837000</v>
      </c>
      <c r="AD2781" s="28">
        <v>20541666000</v>
      </c>
      <c r="AE2781" s="28">
        <v>8817552000</v>
      </c>
      <c r="AF2781" s="28">
        <v>-403425000</v>
      </c>
      <c r="AG2781" s="11"/>
    </row>
    <row r="2782">
      <c r="A2782" s="7" t="s">
        <v>4469</v>
      </c>
      <c r="B2782" s="5" t="s">
        <v>12442</v>
      </c>
      <c r="C2782" s="5" t="s">
        <v>20270</v>
      </c>
      <c r="D2782" s="5" t="str">
        <v>143401170490</v>
      </c>
      <c r="E2782" s="0" t="e">
        <f>+7 (495) 6970502
+7 (495) 2298206
+7 (495) 6298206
+7 (495) 9874194
+7 (495) 9874195
+7 (495) 9874196
+7 (903) 7815206</f>
        <v>#NAME?</v>
      </c>
      <c r="F2782" s="5" t="s">
        <v>33690</v>
      </c>
      <c r="G2782" s="5"/>
      <c r="H2782" s="26">
        <v>17</v>
      </c>
      <c r="I2782" s="5" t="s">
        <v>33691</v>
      </c>
      <c r="J2782" s="5" t="s">
        <v>27956</v>
      </c>
      <c r="K2782" s="5" t="s">
        <v>344</v>
      </c>
      <c r="L2782" s="5" t="s">
        <v>33692</v>
      </c>
      <c r="M2782" s="27"/>
      <c r="N2782" s="5"/>
      <c r="O2782" s="5" t="str">
        <v>7719577431</v>
      </c>
      <c r="P2782" s="27">
        <v>300000</v>
      </c>
      <c r="Q2782" s="5"/>
      <c r="R2782" s="5"/>
      <c r="S2782" s="5" t="s">
        <v>49110</v>
      </c>
      <c r="T2782" s="28">
        <v>1097000</v>
      </c>
      <c r="U2782" s="28"/>
      <c r="V2782" s="28">
        <v>634983000</v>
      </c>
      <c r="W2782" s="28"/>
      <c r="X2782" s="28">
        <v>20874000</v>
      </c>
      <c r="Y2782" s="28">
        <v>668404000</v>
      </c>
      <c r="Z2782" s="28">
        <v>87129000</v>
      </c>
      <c r="AA2782" s="28"/>
      <c r="AB2782" s="28"/>
      <c r="AC2782" s="28">
        <v>579360000</v>
      </c>
      <c r="AD2782" s="28">
        <v>87429000</v>
      </c>
      <c r="AE2782" s="28">
        <v>8135850000</v>
      </c>
      <c r="AF2782" s="28">
        <v>187153000</v>
      </c>
      <c r="AG2782" s="11"/>
    </row>
    <row r="2783">
      <c r="A2783" s="7" t="s">
        <v>4470</v>
      </c>
      <c r="B2783" s="5" t="s">
        <v>12443</v>
      </c>
      <c r="C2783" s="5" t="s">
        <v>20271</v>
      </c>
      <c r="D2783" s="5" t="str">
        <v>771506027242</v>
      </c>
      <c r="E2783" s="0" t="e">
        <f>+7 (473) 3263054</f>
        <v>#NAME?</v>
      </c>
      <c r="F2783" s="5" t="s">
        <v>33693</v>
      </c>
      <c r="G2783" s="5"/>
      <c r="H2783" s="26">
        <v>16.5</v>
      </c>
      <c r="I2783" s="5" t="s">
        <v>33694</v>
      </c>
      <c r="J2783" s="5" t="s">
        <v>32226</v>
      </c>
      <c r="K2783" s="5" t="s">
        <v>344</v>
      </c>
      <c r="L2783" s="5" t="s">
        <v>33695</v>
      </c>
      <c r="M2783" s="27"/>
      <c r="N2783" s="5" t="s">
        <v>53688</v>
      </c>
      <c r="O2783" s="5" t="str">
        <v>3664073072</v>
      </c>
      <c r="P2783" s="27">
        <v>81853000</v>
      </c>
      <c r="Q2783" s="5" t="s">
        <v>53689</v>
      </c>
      <c r="R2783" s="5"/>
      <c r="S2783" s="5" t="s">
        <v>53690</v>
      </c>
      <c r="T2783" s="28">
        <v>35767000</v>
      </c>
      <c r="U2783" s="28"/>
      <c r="V2783" s="28">
        <v>1369796000</v>
      </c>
      <c r="W2783" s="28"/>
      <c r="X2783" s="28">
        <v>36000</v>
      </c>
      <c r="Y2783" s="28">
        <v>1644974000</v>
      </c>
      <c r="Z2783" s="28">
        <v>192820000</v>
      </c>
      <c r="AA2783" s="28">
        <v>434750000</v>
      </c>
      <c r="AB2783" s="28"/>
      <c r="AC2783" s="28">
        <v>906069000</v>
      </c>
      <c r="AD2783" s="28">
        <v>274673000</v>
      </c>
      <c r="AE2783" s="28">
        <v>7198722000</v>
      </c>
      <c r="AF2783" s="28">
        <v>945000</v>
      </c>
      <c r="AG2783" s="11"/>
    </row>
    <row r="2784">
      <c r="A2784" s="7" t="s">
        <v>4471</v>
      </c>
      <c r="B2784" s="5" t="s">
        <v>12444</v>
      </c>
      <c r="C2784" s="5" t="s">
        <v>20272</v>
      </c>
      <c r="D2784" s="5"/>
      <c r="E2784" s="0" t="e">
        <f>+7 (39035) 91408
+7 (39035) 91910
+7 (39035) 92797
+7 (39035) 92798</f>
        <v>#NAME?</v>
      </c>
      <c r="F2784" s="5" t="s">
        <v>33696</v>
      </c>
      <c r="G2784" s="5"/>
      <c r="H2784" s="26">
        <v>26.5</v>
      </c>
      <c r="I2784" s="5" t="s">
        <v>33697</v>
      </c>
      <c r="J2784" s="5" t="s">
        <v>26499</v>
      </c>
      <c r="K2784" s="5" t="s">
        <v>380</v>
      </c>
      <c r="L2784" s="5" t="s">
        <v>33698</v>
      </c>
      <c r="M2784" s="27">
        <v>522962286</v>
      </c>
      <c r="N2784" s="5"/>
      <c r="O2784" s="5" t="str">
        <v>1911000014</v>
      </c>
      <c r="P2784" s="27">
        <v>1044000</v>
      </c>
      <c r="Q2784" s="5" t="s">
        <v>49059</v>
      </c>
      <c r="R2784" s="5"/>
      <c r="S2784" s="5" t="s">
        <v>51151</v>
      </c>
      <c r="T2784" s="28">
        <v>1786735000</v>
      </c>
      <c r="U2784" s="28"/>
      <c r="V2784" s="28">
        <v>1315677000</v>
      </c>
      <c r="W2784" s="28"/>
      <c r="X2784" s="28">
        <v>465000</v>
      </c>
      <c r="Y2784" s="28">
        <v>8259604000</v>
      </c>
      <c r="Z2784" s="28">
        <v>4919278000</v>
      </c>
      <c r="AA2784" s="28"/>
      <c r="AB2784" s="28">
        <v>1869645000</v>
      </c>
      <c r="AC2784" s="28">
        <v>3128809000</v>
      </c>
      <c r="AD2784" s="28">
        <v>4953187000</v>
      </c>
      <c r="AE2784" s="28">
        <v>4100709000</v>
      </c>
      <c r="AF2784" s="28">
        <v>337648000</v>
      </c>
      <c r="AG2784" s="11"/>
    </row>
    <row r="2785">
      <c r="A2785" s="7" t="s">
        <v>4472</v>
      </c>
      <c r="B2785" s="5" t="s">
        <v>12445</v>
      </c>
      <c r="C2785" s="5" t="s">
        <v>20273</v>
      </c>
      <c r="D2785" s="5" t="str">
        <v>183500675882</v>
      </c>
      <c r="E2785" s="0" t="e">
        <f>+7 (341) 2905100
+7 (3412) 718351
+7 (3412) 249893
+7 (3412) 271832
+7 (3412) 271835
+7 (3412) 590002
+7 (3412) 590045
+7 (3412) 591534
+7 (3412) 630624
+7 (3412) 630710
+7 (3412) 905015
+7 (3412) 905102
+7 (3412) 905110
+7 (3412) 905118
+7 (3412) 905197</f>
        <v>#NAME?</v>
      </c>
      <c r="F2785" s="5" t="s">
        <v>33699</v>
      </c>
      <c r="G2785" s="5" t="s">
        <v>33700</v>
      </c>
      <c r="H2785" s="26">
        <v>20</v>
      </c>
      <c r="I2785" s="5" t="s">
        <v>33701</v>
      </c>
      <c r="J2785" s="5" t="s">
        <v>25837</v>
      </c>
      <c r="K2785" s="5" t="s">
        <v>344</v>
      </c>
      <c r="L2785" s="5"/>
      <c r="M2785" s="27"/>
      <c r="N2785" s="5" t="s">
        <v>53691</v>
      </c>
      <c r="O2785" s="5" t="str">
        <v>1831089218</v>
      </c>
      <c r="P2785" s="27">
        <v>30262372</v>
      </c>
      <c r="Q2785" s="5" t="s">
        <v>53692</v>
      </c>
      <c r="R2785" s="5" t="s">
        <v>53662</v>
      </c>
      <c r="S2785" s="5" t="s">
        <v>53693</v>
      </c>
      <c r="T2785" s="28">
        <v>853835000</v>
      </c>
      <c r="U2785" s="28">
        <v>1149848000</v>
      </c>
      <c r="V2785" s="28">
        <v>6537296000</v>
      </c>
      <c r="W2785" s="28">
        <v>5018299000</v>
      </c>
      <c r="X2785" s="28">
        <v>9972163000</v>
      </c>
      <c r="Y2785" s="28">
        <v>24899266000</v>
      </c>
      <c r="Z2785" s="28">
        <v>615431000</v>
      </c>
      <c r="AA2785" s="28">
        <v>4194500000</v>
      </c>
      <c r="AB2785" s="28">
        <v>17316803000</v>
      </c>
      <c r="AC2785" s="28">
        <v>19871249000</v>
      </c>
      <c r="AD2785" s="28">
        <v>779171000</v>
      </c>
      <c r="AE2785" s="28">
        <v>17160409000</v>
      </c>
      <c r="AF2785" s="28">
        <v>-585876000</v>
      </c>
      <c r="AG2785" s="11"/>
    </row>
    <row r="2786">
      <c r="A2786" s="7" t="s">
        <v>4473</v>
      </c>
      <c r="B2786" s="5" t="s">
        <v>12446</v>
      </c>
      <c r="C2786" s="5" t="s">
        <v>20274</v>
      </c>
      <c r="D2786" s="5" t="str">
        <v>673212477874</v>
      </c>
      <c r="E2786" s="0" t="e">
        <f>+7 (495) 6493979
+7 (985) 5959189</f>
        <v>#NAME?</v>
      </c>
      <c r="F2786" s="5" t="s">
        <v>33702</v>
      </c>
      <c r="G2786" s="5" t="s">
        <v>33703</v>
      </c>
      <c r="H2786" s="26">
        <v>10</v>
      </c>
      <c r="I2786" s="5" t="s">
        <v>33704</v>
      </c>
      <c r="J2786" s="5" t="s">
        <v>31123</v>
      </c>
      <c r="K2786" s="5" t="s">
        <v>344</v>
      </c>
      <c r="L2786" s="5" t="s">
        <v>33705</v>
      </c>
      <c r="M2786" s="27"/>
      <c r="N2786" s="5" t="s">
        <v>53694</v>
      </c>
      <c r="O2786" s="5" t="str">
        <v>6732052167</v>
      </c>
      <c r="P2786" s="27">
        <v>2500000</v>
      </c>
      <c r="Q2786" s="5" t="s">
        <v>52360</v>
      </c>
      <c r="R2786" s="5"/>
      <c r="S2786" s="5" t="s">
        <v>49012</v>
      </c>
      <c r="T2786" s="28">
        <v>15512000</v>
      </c>
      <c r="U2786" s="28"/>
      <c r="V2786" s="28">
        <v>317337000</v>
      </c>
      <c r="W2786" s="28">
        <v>1285000</v>
      </c>
      <c r="X2786" s="28">
        <v>113946000</v>
      </c>
      <c r="Y2786" s="28">
        <v>879181000</v>
      </c>
      <c r="Z2786" s="28">
        <v>447389000</v>
      </c>
      <c r="AA2786" s="28">
        <v>168554000</v>
      </c>
      <c r="AB2786" s="28">
        <v>18178000</v>
      </c>
      <c r="AC2786" s="28">
        <v>259219000</v>
      </c>
      <c r="AD2786" s="28">
        <v>449889000</v>
      </c>
      <c r="AE2786" s="28">
        <v>3720988000</v>
      </c>
      <c r="AF2786" s="28">
        <v>229029000</v>
      </c>
      <c r="AG2786" s="11"/>
    </row>
    <row r="2787">
      <c r="A2787" s="7" t="s">
        <v>4474</v>
      </c>
      <c r="B2787" s="5" t="s">
        <v>12447</v>
      </c>
      <c r="C2787" s="5" t="s">
        <v>20275</v>
      </c>
      <c r="D2787" s="5" t="str">
        <v>525807905003</v>
      </c>
      <c r="E2787" s="0" t="e">
        <f>+7 (800) 3501250
+7 (831) 4284253
+7 (83143) 51455
+7 (83143) 51555
+7 (83143) 51855</f>
        <v>#NAME?</v>
      </c>
      <c r="F2787" s="5" t="s">
        <v>33706</v>
      </c>
      <c r="G2787" s="5" t="s">
        <v>33707</v>
      </c>
      <c r="H2787" s="26">
        <v>13</v>
      </c>
      <c r="I2787" s="5" t="s">
        <v>33708</v>
      </c>
      <c r="J2787" s="5" t="s">
        <v>28375</v>
      </c>
      <c r="K2787" s="5" t="s">
        <v>344</v>
      </c>
      <c r="L2787" s="5" t="s">
        <v>33709</v>
      </c>
      <c r="M2787" s="27"/>
      <c r="N2787" s="5" t="s">
        <v>53695</v>
      </c>
      <c r="O2787" s="5" t="str">
        <v>5262251530</v>
      </c>
      <c r="P2787" s="27">
        <v>1000000</v>
      </c>
      <c r="Q2787" s="5" t="s">
        <v>49688</v>
      </c>
      <c r="R2787" s="5"/>
      <c r="S2787" s="5" t="s">
        <v>53696</v>
      </c>
      <c r="T2787" s="28">
        <v>653000</v>
      </c>
      <c r="U2787" s="28"/>
      <c r="V2787" s="28">
        <v>537963000</v>
      </c>
      <c r="W2787" s="28"/>
      <c r="X2787" s="28">
        <v>2606000</v>
      </c>
      <c r="Y2787" s="28">
        <v>541226000</v>
      </c>
      <c r="Z2787" s="28">
        <v>28826000</v>
      </c>
      <c r="AA2787" s="28"/>
      <c r="AB2787" s="28"/>
      <c r="AC2787" s="28">
        <v>511189000</v>
      </c>
      <c r="AD2787" s="28">
        <v>29826000</v>
      </c>
      <c r="AE2787" s="28">
        <v>5734201000</v>
      </c>
      <c r="AF2787" s="28">
        <v>96663000</v>
      </c>
      <c r="AG2787" s="11"/>
    </row>
    <row r="2788">
      <c r="A2788" s="7" t="s">
        <v>4475</v>
      </c>
      <c r="B2788" s="5" t="s">
        <v>12448</v>
      </c>
      <c r="C2788" s="5" t="s">
        <v>20276</v>
      </c>
      <c r="D2788" s="5" t="str">
        <v>502400012181</v>
      </c>
      <c r="E2788" s="0" t="e">
        <f>+7 (495) 9400909
+7 (495) 9410707
+7 (916) 6382502
+7 (929) 9440909</f>
        <v>#NAME?</v>
      </c>
      <c r="F2788" s="5" t="s">
        <v>33710</v>
      </c>
      <c r="G2788" s="5"/>
      <c r="H2788" s="26">
        <v>15.5</v>
      </c>
      <c r="I2788" s="5" t="s">
        <v>33711</v>
      </c>
      <c r="J2788" s="5" t="s">
        <v>27085</v>
      </c>
      <c r="K2788" s="5" t="s">
        <v>344</v>
      </c>
      <c r="L2788" s="5" t="s">
        <v>33712</v>
      </c>
      <c r="M2788" s="27"/>
      <c r="N2788" s="5" t="s">
        <v>53697</v>
      </c>
      <c r="O2788" s="5" t="str">
        <v>7714707091</v>
      </c>
      <c r="P2788" s="27">
        <v>10000000</v>
      </c>
      <c r="Q2788" s="5" t="s">
        <v>49059</v>
      </c>
      <c r="R2788" s="5"/>
      <c r="S2788" s="5" t="s">
        <v>49045</v>
      </c>
      <c r="T2788" s="28">
        <v>20365000</v>
      </c>
      <c r="U2788" s="28"/>
      <c r="V2788" s="28">
        <v>451166000</v>
      </c>
      <c r="W2788" s="28"/>
      <c r="X2788" s="28">
        <v>14051000</v>
      </c>
      <c r="Y2788" s="28">
        <v>872644000</v>
      </c>
      <c r="Z2788" s="28">
        <v>97675000</v>
      </c>
      <c r="AA2788" s="28">
        <v>383400000</v>
      </c>
      <c r="AB2788" s="28">
        <v>116043000</v>
      </c>
      <c r="AC2788" s="28">
        <v>346368000</v>
      </c>
      <c r="AD2788" s="28">
        <v>142685000</v>
      </c>
      <c r="AE2788" s="28">
        <v>5036223000</v>
      </c>
      <c r="AF2788" s="28">
        <v>16467000</v>
      </c>
      <c r="AG2788" s="11"/>
    </row>
    <row r="2789">
      <c r="A2789" s="7" t="s">
        <v>4476</v>
      </c>
      <c r="B2789" s="5" t="s">
        <v>12449</v>
      </c>
      <c r="C2789" s="5" t="s">
        <v>20277</v>
      </c>
      <c r="D2789" s="5" t="str">
        <v>166003155780</v>
      </c>
      <c r="E2789" s="0" t="e">
        <f>+7 (3472) 242832
+7 (800) 3336933
+7 (800) 7077339
+7 (800) 7750532
+7 (8435) 677565
+7 (855) 2393555
+7 (855) 2772222
+7 (855) 2778282</f>
        <v>#NAME?</v>
      </c>
      <c r="F2789" s="5" t="s">
        <v>33713</v>
      </c>
      <c r="G2789" s="5" t="s">
        <v>33714</v>
      </c>
      <c r="H2789" s="26">
        <v>22</v>
      </c>
      <c r="I2789" s="5" t="s">
        <v>33715</v>
      </c>
      <c r="J2789" s="5" t="s">
        <v>1073</v>
      </c>
      <c r="K2789" s="5" t="s">
        <v>344</v>
      </c>
      <c r="L2789" s="5" t="s">
        <v>33716</v>
      </c>
      <c r="M2789" s="27"/>
      <c r="N2789" s="5" t="s">
        <v>53698</v>
      </c>
      <c r="O2789" s="5" t="str">
        <v>1650079641</v>
      </c>
      <c r="P2789" s="27">
        <v>10010000</v>
      </c>
      <c r="Q2789" s="5" t="s">
        <v>53699</v>
      </c>
      <c r="R2789" s="5"/>
      <c r="S2789" s="5" t="s">
        <v>53700</v>
      </c>
      <c r="T2789" s="28">
        <v>366034000</v>
      </c>
      <c r="U2789" s="28"/>
      <c r="V2789" s="28">
        <v>1908303000</v>
      </c>
      <c r="W2789" s="28">
        <v>136962000</v>
      </c>
      <c r="X2789" s="28">
        <v>16597000</v>
      </c>
      <c r="Y2789" s="28">
        <v>3180195000</v>
      </c>
      <c r="Z2789" s="28">
        <v>2384207000</v>
      </c>
      <c r="AA2789" s="28">
        <v>177764000</v>
      </c>
      <c r="AB2789" s="28">
        <v>4143000</v>
      </c>
      <c r="AC2789" s="28">
        <v>608214000</v>
      </c>
      <c r="AD2789" s="28">
        <v>2394217000</v>
      </c>
      <c r="AE2789" s="28">
        <v>4783182000</v>
      </c>
      <c r="AF2789" s="28">
        <v>671781000</v>
      </c>
      <c r="AG2789" s="11"/>
    </row>
    <row r="2790">
      <c r="A2790" s="7" t="s">
        <v>4477</v>
      </c>
      <c r="B2790" s="5" t="s">
        <v>12450</v>
      </c>
      <c r="C2790" s="5" t="s">
        <v>20278</v>
      </c>
      <c r="D2790" s="5" t="str">
        <v>470304914749</v>
      </c>
      <c r="E2790" s="0" t="e">
        <f>+7 (812) 3039394
+7 (812) 3039390
+7 (812) 3039393
+7 (812) 3039399</f>
        <v>#NAME?</v>
      </c>
      <c r="F2790" s="5" t="s">
        <v>33717</v>
      </c>
      <c r="G2790" s="5" t="s">
        <v>33718</v>
      </c>
      <c r="H2790" s="26">
        <v>27</v>
      </c>
      <c r="I2790" s="5" t="s">
        <v>33719</v>
      </c>
      <c r="J2790" s="5" t="s">
        <v>26511</v>
      </c>
      <c r="K2790" s="5" t="s">
        <v>344</v>
      </c>
      <c r="L2790" s="5" t="s">
        <v>33720</v>
      </c>
      <c r="M2790" s="27"/>
      <c r="N2790" s="5"/>
      <c r="O2790" s="5" t="str">
        <v>7816108153</v>
      </c>
      <c r="P2790" s="27">
        <v>360000</v>
      </c>
      <c r="Q2790" s="5"/>
      <c r="R2790" s="5"/>
      <c r="S2790" s="5" t="s">
        <v>49123</v>
      </c>
      <c r="T2790" s="28">
        <v>180152000</v>
      </c>
      <c r="U2790" s="28">
        <v>3003369000</v>
      </c>
      <c r="V2790" s="28">
        <v>1478610000</v>
      </c>
      <c r="W2790" s="28">
        <v>272000000</v>
      </c>
      <c r="X2790" s="28">
        <v>3843000</v>
      </c>
      <c r="Y2790" s="28">
        <v>6118748000</v>
      </c>
      <c r="Z2790" s="28">
        <v>1886310000</v>
      </c>
      <c r="AA2790" s="28">
        <v>1951843000</v>
      </c>
      <c r="AB2790" s="28">
        <v>6267000</v>
      </c>
      <c r="AC2790" s="28">
        <v>2143030000</v>
      </c>
      <c r="AD2790" s="28">
        <v>1886768000</v>
      </c>
      <c r="AE2790" s="28">
        <v>10512506000</v>
      </c>
      <c r="AF2790" s="28">
        <v>617464000</v>
      </c>
      <c r="AG2790" s="11"/>
    </row>
    <row r="2791">
      <c r="A2791" s="7" t="s">
        <v>4478</v>
      </c>
      <c r="B2791" s="5" t="s">
        <v>12451</v>
      </c>
      <c r="C2791" s="5" t="s">
        <v>20279</v>
      </c>
      <c r="D2791" s="5" t="str">
        <v>231100468952</v>
      </c>
      <c r="E2791" s="0" t="e">
        <f>+7 (928) 6658727</f>
        <v>#NAME?</v>
      </c>
      <c r="F2791" s="5" t="s">
        <v>33721</v>
      </c>
      <c r="G2791" s="5"/>
      <c r="H2791" s="26">
        <v>6</v>
      </c>
      <c r="I2791" s="5" t="s">
        <v>33722</v>
      </c>
      <c r="J2791" s="5" t="s">
        <v>25837</v>
      </c>
      <c r="K2791" s="5" t="s">
        <v>344</v>
      </c>
      <c r="L2791" s="5" t="s">
        <v>33723</v>
      </c>
      <c r="M2791" s="27"/>
      <c r="N2791" s="5" t="s">
        <v>49422</v>
      </c>
      <c r="O2791" s="5" t="str">
        <v>2311232047</v>
      </c>
      <c r="P2791" s="27">
        <v>1500000</v>
      </c>
      <c r="Q2791" s="5"/>
      <c r="R2791" s="5"/>
      <c r="S2791" s="5" t="s">
        <v>49160</v>
      </c>
      <c r="T2791" s="28">
        <v>77850000</v>
      </c>
      <c r="U2791" s="28">
        <v>8908000</v>
      </c>
      <c r="V2791" s="28">
        <v>406916000</v>
      </c>
      <c r="W2791" s="28">
        <v>591403000</v>
      </c>
      <c r="X2791" s="28">
        <v>2138000</v>
      </c>
      <c r="Y2791" s="28">
        <v>1670366000</v>
      </c>
      <c r="Z2791" s="28">
        <v>452839000</v>
      </c>
      <c r="AA2791" s="28"/>
      <c r="AB2791" s="28">
        <v>110000</v>
      </c>
      <c r="AC2791" s="28">
        <v>1196079000</v>
      </c>
      <c r="AD2791" s="28">
        <v>454339000</v>
      </c>
      <c r="AE2791" s="28">
        <v>16421189000</v>
      </c>
      <c r="AF2791" s="28">
        <v>230487000</v>
      </c>
      <c r="AG2791" s="11"/>
    </row>
    <row r="2792">
      <c r="A2792" s="7" t="s">
        <v>4479</v>
      </c>
      <c r="B2792" s="5" t="s">
        <v>10315</v>
      </c>
      <c r="C2792" s="5" t="s">
        <v>20280</v>
      </c>
      <c r="D2792" s="5" t="str">
        <v>263103960812</v>
      </c>
      <c r="E2792" s="0" t="e">
        <f>+7 (86554) 54114
+7 (902) 9912983
+7 (495) 6442767
+7 (861) 2167023
+7 (861) 2167025
+7 (865) 5454105
+7 (86554) 54115
+7 (86554) 54314
+7 (86554) 54350</f>
        <v>#NAME?</v>
      </c>
      <c r="F2792" s="5" t="s">
        <v>33724</v>
      </c>
      <c r="G2792" s="5" t="s">
        <v>33725</v>
      </c>
      <c r="H2792" s="26">
        <v>19</v>
      </c>
      <c r="I2792" s="5"/>
      <c r="J2792" s="5" t="s">
        <v>28582</v>
      </c>
      <c r="K2792" s="5" t="s">
        <v>344</v>
      </c>
      <c r="L2792" s="5"/>
      <c r="M2792" s="27"/>
      <c r="N2792" s="5" t="s">
        <v>53701</v>
      </c>
      <c r="O2792" s="5" t="str">
        <v>2631026460</v>
      </c>
      <c r="P2792" s="27">
        <v>20000000</v>
      </c>
      <c r="Q2792" s="5" t="s">
        <v>49009</v>
      </c>
      <c r="R2792" s="5"/>
      <c r="S2792" s="5" t="s">
        <v>49066</v>
      </c>
      <c r="T2792" s="28">
        <v>44772000</v>
      </c>
      <c r="U2792" s="28">
        <v>4363000</v>
      </c>
      <c r="V2792" s="28">
        <v>2436478000</v>
      </c>
      <c r="W2792" s="28">
        <v>529000</v>
      </c>
      <c r="X2792" s="28">
        <v>12918000</v>
      </c>
      <c r="Y2792" s="28">
        <v>4470060000</v>
      </c>
      <c r="Z2792" s="28">
        <v>2619857000</v>
      </c>
      <c r="AA2792" s="28">
        <v>442000000</v>
      </c>
      <c r="AB2792" s="28">
        <v>314156000</v>
      </c>
      <c r="AC2792" s="28">
        <v>1386246000</v>
      </c>
      <c r="AD2792" s="28">
        <v>2640857000</v>
      </c>
      <c r="AE2792" s="28">
        <v>11123374000</v>
      </c>
      <c r="AF2792" s="28">
        <v>737567000</v>
      </c>
      <c r="AG2792" s="11"/>
    </row>
    <row r="2793">
      <c r="A2793" s="7" t="s">
        <v>4480</v>
      </c>
      <c r="B2793" s="5" t="s">
        <v>12452</v>
      </c>
      <c r="C2793" s="5" t="s">
        <v>20281</v>
      </c>
      <c r="D2793" s="5" t="str">
        <v>505500925367</v>
      </c>
      <c r="F2793" s="5"/>
      <c r="G2793" s="5"/>
      <c r="H2793" s="26">
        <v>10.5</v>
      </c>
      <c r="I2793" s="5" t="s">
        <v>33726</v>
      </c>
      <c r="J2793" s="5" t="s">
        <v>27497</v>
      </c>
      <c r="K2793" s="5" t="s">
        <v>355</v>
      </c>
      <c r="L2793" s="5" t="s">
        <v>33727</v>
      </c>
      <c r="M2793" s="27"/>
      <c r="N2793" s="5"/>
      <c r="O2793" s="5" t="str">
        <v>7723848148</v>
      </c>
      <c r="P2793" s="27">
        <v>30000</v>
      </c>
      <c r="Q2793" s="5" t="s">
        <v>1685</v>
      </c>
      <c r="R2793" s="5"/>
      <c r="S2793" s="5" t="s">
        <v>53702</v>
      </c>
      <c r="T2793" s="28"/>
      <c r="U2793" s="28"/>
      <c r="V2793" s="28">
        <v>705078000</v>
      </c>
      <c r="W2793" s="28"/>
      <c r="X2793" s="28">
        <v>5816000</v>
      </c>
      <c r="Y2793" s="28">
        <v>811128000</v>
      </c>
      <c r="Z2793" s="28">
        <v>103198000</v>
      </c>
      <c r="AA2793" s="28">
        <v>24872000</v>
      </c>
      <c r="AB2793" s="28">
        <v>15000000</v>
      </c>
      <c r="AC2793" s="28">
        <v>683038000</v>
      </c>
      <c r="AD2793" s="28">
        <v>103218000</v>
      </c>
      <c r="AE2793" s="28">
        <v>3475320000</v>
      </c>
      <c r="AF2793" s="28">
        <v>12686000</v>
      </c>
      <c r="AG2793" s="11"/>
    </row>
    <row r="2794">
      <c r="A2794" s="7" t="s">
        <v>4481</v>
      </c>
      <c r="B2794" s="5" t="s">
        <v>12453</v>
      </c>
      <c r="C2794" s="5" t="s">
        <v>20282</v>
      </c>
      <c r="D2794" s="5" t="str">
        <v>500903738882</v>
      </c>
      <c r="E2794" s="0" t="e">
        <f>+7 (495) 1344565
+7 (495) 5891427
+7 (905) 9540263
+7 (413) 2677000
+7 (42435) 98709
+7 (495) 1815750
+7 (495) 7821341
+7 (495) 7866270
+7 (495) 7974656
+7 (800) 3338204
+7 (800) 7001889
+7 (812) 6066096
+7 (812) 9825868
+7 (902) 5569121
+7 (914) 3160558</f>
        <v>#NAME?</v>
      </c>
      <c r="F2794" s="5" t="s">
        <v>33728</v>
      </c>
      <c r="G2794" s="5" t="s">
        <v>33729</v>
      </c>
      <c r="H2794" s="26">
        <v>13.5</v>
      </c>
      <c r="I2794" s="5" t="s">
        <v>33730</v>
      </c>
      <c r="J2794" s="5" t="s">
        <v>599</v>
      </c>
      <c r="K2794" s="5" t="s">
        <v>344</v>
      </c>
      <c r="L2794" s="5" t="s">
        <v>33731</v>
      </c>
      <c r="M2794" s="27"/>
      <c r="N2794" s="5" t="s">
        <v>53703</v>
      </c>
      <c r="O2794" s="5" t="str">
        <v>5009071100</v>
      </c>
      <c r="P2794" s="27">
        <v>10000</v>
      </c>
      <c r="Q2794" s="5" t="s">
        <v>53704</v>
      </c>
      <c r="R2794" s="5"/>
      <c r="S2794" s="5" t="s">
        <v>49012</v>
      </c>
      <c r="T2794" s="28">
        <v>171587000</v>
      </c>
      <c r="U2794" s="28"/>
      <c r="V2794" s="28">
        <v>183055000</v>
      </c>
      <c r="W2794" s="28">
        <v>268000000</v>
      </c>
      <c r="X2794" s="28">
        <v>12135000</v>
      </c>
      <c r="Y2794" s="28">
        <v>676216000</v>
      </c>
      <c r="Z2794" s="28">
        <v>215577000</v>
      </c>
      <c r="AA2794" s="28">
        <v>10700000</v>
      </c>
      <c r="AB2794" s="28"/>
      <c r="AC2794" s="28">
        <v>326350000</v>
      </c>
      <c r="AD2794" s="28">
        <v>215587000</v>
      </c>
      <c r="AE2794" s="28">
        <v>3397309000</v>
      </c>
      <c r="AF2794" s="28">
        <v>83049000</v>
      </c>
      <c r="AG2794" s="11"/>
    </row>
    <row r="2795">
      <c r="A2795" s="7" t="s">
        <v>4482</v>
      </c>
      <c r="B2795" s="5" t="s">
        <v>12454</v>
      </c>
      <c r="C2795" s="5" t="s">
        <v>20283</v>
      </c>
      <c r="D2795" s="5" t="str">
        <v>421810227968</v>
      </c>
      <c r="E2795" s="0" t="e">
        <f>+7 (421) 2412525</f>
        <v>#NAME?</v>
      </c>
      <c r="F2795" s="5"/>
      <c r="G2795" s="5"/>
      <c r="H2795" s="26">
        <v>24</v>
      </c>
      <c r="I2795" s="5" t="s">
        <v>33732</v>
      </c>
      <c r="J2795" s="5" t="s">
        <v>28582</v>
      </c>
      <c r="K2795" s="5" t="s">
        <v>344</v>
      </c>
      <c r="L2795" s="5" t="s">
        <v>33733</v>
      </c>
      <c r="M2795" s="27"/>
      <c r="N2795" s="5"/>
      <c r="O2795" s="5" t="str">
        <v>2725021724</v>
      </c>
      <c r="P2795" s="27">
        <v>30000</v>
      </c>
      <c r="Q2795" s="5" t="s">
        <v>49059</v>
      </c>
      <c r="R2795" s="5"/>
      <c r="S2795" s="5" t="s">
        <v>49110</v>
      </c>
      <c r="T2795" s="28">
        <v>150686000</v>
      </c>
      <c r="U2795" s="28"/>
      <c r="V2795" s="28">
        <v>590387000</v>
      </c>
      <c r="W2795" s="28">
        <v>518333000</v>
      </c>
      <c r="X2795" s="28">
        <v>1587000</v>
      </c>
      <c r="Y2795" s="28">
        <v>2012292000</v>
      </c>
      <c r="Z2795" s="28">
        <v>483873000</v>
      </c>
      <c r="AA2795" s="28">
        <v>1103868000</v>
      </c>
      <c r="AB2795" s="28">
        <v>32669000</v>
      </c>
      <c r="AC2795" s="28">
        <v>391436000</v>
      </c>
      <c r="AD2795" s="28">
        <v>483903000</v>
      </c>
      <c r="AE2795" s="28">
        <v>3163814000</v>
      </c>
      <c r="AF2795" s="28">
        <v>72537000</v>
      </c>
      <c r="AG2795" s="11"/>
    </row>
    <row r="2796">
      <c r="A2796" s="7" t="s">
        <v>4483</v>
      </c>
      <c r="B2796" s="5" t="s">
        <v>12455</v>
      </c>
      <c r="C2796" s="5" t="s">
        <v>20284</v>
      </c>
      <c r="D2796" s="5" t="str">
        <v>246512093948</v>
      </c>
      <c r="E2796" s="0" t="e">
        <f>+7 (343) 2020859
+7 (3512) 454615
+7 (3652) 548444
+7 (3652) 548445
+7 (385) 2580667
+7 (391) 2912233
+7 (472) 2211215
+7 (472) 2211467
+7 (472) 2214979
+7 (473) 2065557
+7 (475) 2492720
+7 (483) 2555532
+7 (484) 2591714
+7 (495) 1500836
+7 (495) 1504000</f>
        <v>#NAME?</v>
      </c>
      <c r="F2796" s="5" t="s">
        <v>33734</v>
      </c>
      <c r="G2796" s="5" t="s">
        <v>33735</v>
      </c>
      <c r="H2796" s="26">
        <v>5.5</v>
      </c>
      <c r="I2796" s="5" t="s">
        <v>33736</v>
      </c>
      <c r="J2796" s="5" t="s">
        <v>25612</v>
      </c>
      <c r="K2796" s="5" t="s">
        <v>344</v>
      </c>
      <c r="L2796" s="5" t="s">
        <v>33737</v>
      </c>
      <c r="M2796" s="27">
        <v>301792</v>
      </c>
      <c r="N2796" s="5" t="s">
        <v>53705</v>
      </c>
      <c r="O2796" s="5" t="str">
        <v>4632236086</v>
      </c>
      <c r="P2796" s="27">
        <v>5000000</v>
      </c>
      <c r="Q2796" s="5" t="s">
        <v>49021</v>
      </c>
      <c r="R2796" s="5"/>
      <c r="S2796" s="5" t="s">
        <v>53706</v>
      </c>
      <c r="T2796" s="28">
        <v>31427000</v>
      </c>
      <c r="U2796" s="28"/>
      <c r="V2796" s="28">
        <v>349791000</v>
      </c>
      <c r="W2796" s="28">
        <v>314870000</v>
      </c>
      <c r="X2796" s="28">
        <v>2701000</v>
      </c>
      <c r="Y2796" s="28">
        <v>1743033000</v>
      </c>
      <c r="Z2796" s="28">
        <v>695476000</v>
      </c>
      <c r="AA2796" s="28">
        <v>597061000</v>
      </c>
      <c r="AB2796" s="28">
        <v>87504000</v>
      </c>
      <c r="AC2796" s="28">
        <v>414489000</v>
      </c>
      <c r="AD2796" s="28">
        <v>700476000</v>
      </c>
      <c r="AE2796" s="28">
        <v>3840511000</v>
      </c>
      <c r="AF2796" s="28">
        <v>587245000</v>
      </c>
      <c r="AG2796" s="11"/>
    </row>
    <row r="2797">
      <c r="A2797" s="7" t="s">
        <v>4484</v>
      </c>
      <c r="B2797" s="5" t="s">
        <v>12456</v>
      </c>
      <c r="C2797" s="5" t="s">
        <v>20285</v>
      </c>
      <c r="D2797" s="5" t="str">
        <v>772141945122</v>
      </c>
      <c r="E2797" s="0" t="e">
        <f>+7 (495) 7820078
+7 (3432) 866591
+7 (3433) 194078
+7 (3433) 845736
+7 (383) 2018311
+7 (383) 3190309
+7 (495) 1505005
+7 (495) 5893474
+7 (495) 6407422
+7 (495) 7302080
+7 (495) 7820399
+7 (495) 7973478
+7 (495) 9334494
+7 (812) 9321866
+7 (8432) 21011</f>
        <v>#NAME?</v>
      </c>
      <c r="F2797" s="5" t="s">
        <v>33738</v>
      </c>
      <c r="G2797" s="5" t="s">
        <v>33739</v>
      </c>
      <c r="H2797" s="26">
        <v>12.5</v>
      </c>
      <c r="I2797" s="5" t="s">
        <v>33740</v>
      </c>
      <c r="J2797" s="5" t="s">
        <v>25216</v>
      </c>
      <c r="K2797" s="5" t="s">
        <v>344</v>
      </c>
      <c r="L2797" s="5" t="s">
        <v>33741</v>
      </c>
      <c r="M2797" s="27">
        <v>429606</v>
      </c>
      <c r="N2797" s="5" t="s">
        <v>53707</v>
      </c>
      <c r="O2797" s="5" t="str">
        <v>7706739445</v>
      </c>
      <c r="P2797" s="27">
        <v>1000000</v>
      </c>
      <c r="Q2797" s="5" t="s">
        <v>49009</v>
      </c>
      <c r="R2797" s="5"/>
      <c r="S2797" s="5" t="s">
        <v>49200</v>
      </c>
      <c r="T2797" s="28">
        <v>107058000</v>
      </c>
      <c r="U2797" s="28"/>
      <c r="V2797" s="28">
        <v>1307860000</v>
      </c>
      <c r="W2797" s="28">
        <v>288500000</v>
      </c>
      <c r="X2797" s="28">
        <v>112849000</v>
      </c>
      <c r="Y2797" s="28">
        <v>5682848000</v>
      </c>
      <c r="Z2797" s="28">
        <v>3327274000</v>
      </c>
      <c r="AA2797" s="28">
        <v>96100000</v>
      </c>
      <c r="AB2797" s="28">
        <v>152091000</v>
      </c>
      <c r="AC2797" s="28">
        <v>2249111000</v>
      </c>
      <c r="AD2797" s="28">
        <v>3328274000</v>
      </c>
      <c r="AE2797" s="28">
        <v>12725931000</v>
      </c>
      <c r="AF2797" s="28">
        <v>1626350000</v>
      </c>
      <c r="AG2797" s="11"/>
    </row>
    <row r="2798">
      <c r="A2798" s="7" t="s">
        <v>4485</v>
      </c>
      <c r="B2798" s="5" t="s">
        <v>12457</v>
      </c>
      <c r="C2798" s="5" t="s">
        <v>17974</v>
      </c>
      <c r="D2798" s="5"/>
      <c r="E2798" s="0" t="e">
        <f>+7 (473) 2069486
+7 (812) 3323760
+7 (812) 3323762
+7 (812) 3323763
+7 (86137) 27151
+7 (86137) 27757
+7 (86137) 54433
+7 (86137) 54466
+7 (86137) 54470
+7 (86137) 78082
+7 (86137) 78083
+7 (86137) 78085</f>
        <v>#NAME?</v>
      </c>
      <c r="F2798" s="5" t="s">
        <v>33742</v>
      </c>
      <c r="G2798" s="5" t="s">
        <v>33743</v>
      </c>
      <c r="H2798" s="26">
        <v>14</v>
      </c>
      <c r="I2798" s="5" t="s">
        <v>33744</v>
      </c>
      <c r="J2798" s="5" t="s">
        <v>33745</v>
      </c>
      <c r="K2798" s="5" t="s">
        <v>344</v>
      </c>
      <c r="L2798" s="5" t="s">
        <v>33746</v>
      </c>
      <c r="M2798" s="27"/>
      <c r="N2798" s="5"/>
      <c r="O2798" s="5" t="str">
        <v>7816455333</v>
      </c>
      <c r="P2798" s="27">
        <v>500000000</v>
      </c>
      <c r="Q2798" s="5" t="s">
        <v>49009</v>
      </c>
      <c r="R2798" s="5"/>
      <c r="S2798" s="5" t="s">
        <v>50023</v>
      </c>
      <c r="T2798" s="28">
        <v>508623000</v>
      </c>
      <c r="U2798" s="28">
        <v>89397000</v>
      </c>
      <c r="V2798" s="28">
        <v>3934825000</v>
      </c>
      <c r="W2798" s="28"/>
      <c r="X2798" s="28">
        <v>2239000</v>
      </c>
      <c r="Y2798" s="28">
        <v>5591599000</v>
      </c>
      <c r="Z2798" s="28">
        <v>592586000</v>
      </c>
      <c r="AA2798" s="28">
        <v>715000000</v>
      </c>
      <c r="AB2798" s="28"/>
      <c r="AC2798" s="28">
        <v>3633244000</v>
      </c>
      <c r="AD2798" s="28">
        <v>1092586000</v>
      </c>
      <c r="AE2798" s="28">
        <v>13906251000</v>
      </c>
      <c r="AF2798" s="28">
        <v>101033000</v>
      </c>
      <c r="AG2798" s="11"/>
    </row>
    <row r="2799">
      <c r="A2799" s="7" t="s">
        <v>4486</v>
      </c>
      <c r="B2799" s="5" t="s">
        <v>12458</v>
      </c>
      <c r="C2799" s="5" t="s">
        <v>20286</v>
      </c>
      <c r="D2799" s="5" t="str">
        <v>231001822899</v>
      </c>
      <c r="E2799" s="0" t="e">
        <f>+7 (861) 2130127
+7 (861) 2286114
+7 (903) 4888183
+7 (910) 418384
+7 (918) 4525753
+7 (918) 8831186
+7 (961) 4453026
+7 (962) 8707936
+7 (969) 6510180
+7 (988) 6529294
+7 (988) 6529295
+7 (989) 8528463</f>
        <v>#NAME?</v>
      </c>
      <c r="F2799" s="5" t="s">
        <v>33747</v>
      </c>
      <c r="G2799" s="5"/>
      <c r="H2799" s="26">
        <v>14</v>
      </c>
      <c r="I2799" s="5" t="s">
        <v>33748</v>
      </c>
      <c r="J2799" s="5" t="s">
        <v>31059</v>
      </c>
      <c r="K2799" s="5" t="s">
        <v>355</v>
      </c>
      <c r="L2799" s="5" t="s">
        <v>1479</v>
      </c>
      <c r="M2799" s="27">
        <v>424650</v>
      </c>
      <c r="N2799" s="5"/>
      <c r="O2799" s="5" t="str">
        <v>2311116266</v>
      </c>
      <c r="P2799" s="27">
        <v>10000</v>
      </c>
      <c r="Q2799" s="5" t="s">
        <v>50809</v>
      </c>
      <c r="R2799" s="5"/>
      <c r="S2799" s="5" t="s">
        <v>53708</v>
      </c>
      <c r="T2799" s="28">
        <v>160985000</v>
      </c>
      <c r="U2799" s="28"/>
      <c r="V2799" s="28">
        <v>1941381000</v>
      </c>
      <c r="W2799" s="28"/>
      <c r="X2799" s="28">
        <v>2281000</v>
      </c>
      <c r="Y2799" s="28">
        <v>2260782000</v>
      </c>
      <c r="Z2799" s="28">
        <v>227067000</v>
      </c>
      <c r="AA2799" s="28">
        <v>1098270000</v>
      </c>
      <c r="AB2799" s="28">
        <v>197252000</v>
      </c>
      <c r="AC2799" s="28">
        <v>935361000</v>
      </c>
      <c r="AD2799" s="28">
        <v>227077000</v>
      </c>
      <c r="AE2799" s="28">
        <v>4598259000</v>
      </c>
      <c r="AF2799" s="28">
        <v>65831000</v>
      </c>
      <c r="AG2799" s="11"/>
    </row>
    <row r="2800">
      <c r="A2800" s="7" t="s">
        <v>4487</v>
      </c>
      <c r="B2800" s="5" t="s">
        <v>12459</v>
      </c>
      <c r="C2800" s="5" t="s">
        <v>20287</v>
      </c>
      <c r="D2800" s="5" t="str">
        <v>772609776069</v>
      </c>
      <c r="E2800" s="0" t="e">
        <f>+7 (395) 2218045
+7 (3952) 202167
+7 (3952) 240074
+7 (3952) 240230
+7 (3952) 791042
+7 (3952) 791074
+7 (3952) 791096
+7 (39546) 52810
+7 (39546) 53087</f>
        <v>#NAME?</v>
      </c>
      <c r="F2800" s="5" t="s">
        <v>33749</v>
      </c>
      <c r="G2800" s="5"/>
      <c r="H2800" s="26">
        <v>22</v>
      </c>
      <c r="I2800" s="5" t="s">
        <v>33750</v>
      </c>
      <c r="J2800" s="5" t="s">
        <v>26939</v>
      </c>
      <c r="K2800" s="5" t="s">
        <v>355</v>
      </c>
      <c r="L2800" s="5" t="s">
        <v>33751</v>
      </c>
      <c r="M2800" s="27">
        <v>3540922</v>
      </c>
      <c r="N2800" s="5" t="s">
        <v>53709</v>
      </c>
      <c r="O2800" s="5" t="str">
        <v>3808069986</v>
      </c>
      <c r="P2800" s="27">
        <v>2656351764</v>
      </c>
      <c r="Q2800" s="5" t="s">
        <v>53710</v>
      </c>
      <c r="R2800" s="5"/>
      <c r="S2800" s="5" t="s">
        <v>53711</v>
      </c>
      <c r="T2800" s="28">
        <v>1675992000</v>
      </c>
      <c r="U2800" s="28">
        <v>10030046000</v>
      </c>
      <c r="V2800" s="28">
        <v>1674535000</v>
      </c>
      <c r="W2800" s="28"/>
      <c r="X2800" s="28">
        <v>2244000</v>
      </c>
      <c r="Y2800" s="28">
        <v>14613981000</v>
      </c>
      <c r="Z2800" s="28">
        <v>3552720000</v>
      </c>
      <c r="AA2800" s="28">
        <v>1837675000</v>
      </c>
      <c r="AB2800" s="28">
        <v>2589450000</v>
      </c>
      <c r="AC2800" s="28">
        <v>5158682000</v>
      </c>
      <c r="AD2800" s="28">
        <v>6741529000</v>
      </c>
      <c r="AE2800" s="28">
        <v>15431617000</v>
      </c>
      <c r="AF2800" s="28">
        <v>297226000</v>
      </c>
      <c r="AG2800" s="11"/>
    </row>
    <row r="2801">
      <c r="A2801" s="7" t="s">
        <v>4488</v>
      </c>
      <c r="B2801" s="5" t="s">
        <v>12460</v>
      </c>
      <c r="C2801" s="5" t="s">
        <v>20288</v>
      </c>
      <c r="D2801" s="5" t="str">
        <v>026823020373</v>
      </c>
      <c r="E2801" s="0" t="e">
        <f>+7 (347) 2649269
+7 (3472) 249085
+7 (3472) 533833
+7 (3472) 716171
+7 (3472) 716288
+7 (800) 7750008</f>
        <v>#NAME?</v>
      </c>
      <c r="F2801" s="5" t="s">
        <v>33752</v>
      </c>
      <c r="G2801" s="5" t="s">
        <v>33753</v>
      </c>
      <c r="H2801" s="26">
        <v>17.5</v>
      </c>
      <c r="I2801" s="5" t="s">
        <v>33754</v>
      </c>
      <c r="J2801" s="5" t="s">
        <v>28075</v>
      </c>
      <c r="K2801" s="5" t="s">
        <v>344</v>
      </c>
      <c r="L2801" s="5" t="s">
        <v>33755</v>
      </c>
      <c r="M2801" s="27"/>
      <c r="N2801" s="5"/>
      <c r="O2801" s="5" t="str">
        <v>0277069718</v>
      </c>
      <c r="P2801" s="27">
        <v>31410000</v>
      </c>
      <c r="Q2801" s="5"/>
      <c r="R2801" s="5"/>
      <c r="S2801" s="5" t="s">
        <v>49029</v>
      </c>
      <c r="T2801" s="28">
        <v>561421000</v>
      </c>
      <c r="U2801" s="28"/>
      <c r="V2801" s="28">
        <v>83352000</v>
      </c>
      <c r="W2801" s="28"/>
      <c r="X2801" s="28">
        <v>65345000</v>
      </c>
      <c r="Y2801" s="28">
        <v>1237363000</v>
      </c>
      <c r="Z2801" s="28">
        <v>564418000</v>
      </c>
      <c r="AA2801" s="28">
        <v>140000000</v>
      </c>
      <c r="AB2801" s="28">
        <v>210424000</v>
      </c>
      <c r="AC2801" s="28">
        <v>402623000</v>
      </c>
      <c r="AD2801" s="28">
        <v>638144000</v>
      </c>
      <c r="AE2801" s="28">
        <v>3102452000</v>
      </c>
      <c r="AF2801" s="28">
        <v>120471000</v>
      </c>
      <c r="AG2801" s="11"/>
    </row>
    <row r="2802">
      <c r="A2802" s="7" t="s">
        <v>808</v>
      </c>
      <c r="B2802" s="5" t="s">
        <v>12461</v>
      </c>
      <c r="C2802" s="5" t="s">
        <v>20289</v>
      </c>
      <c r="D2802" s="5" t="str">
        <v>561109828815</v>
      </c>
      <c r="E2802" s="0" t="e">
        <f>+7 (815) 2234384
+7 (8452) 223484
+7 (8452) 234284
+7 (8452) 234351
+7 (8452) 234353
+7 (8452) 234364
+7 (8452) 234383
+7 (8452) 234387
+7 (8452) 234389
+7 (8452) 234394
+7 (8452) 234684
+7 (8452) 234884
+7 (8452) 234984
+7 (8452) 224743
+7 (8452) 236258</f>
        <v>#NAME?</v>
      </c>
      <c r="F2802" s="5" t="s">
        <v>33756</v>
      </c>
      <c r="G2802" s="5" t="s">
        <v>33757</v>
      </c>
      <c r="H2802" s="26">
        <v>7.5</v>
      </c>
      <c r="I2802" s="5" t="s">
        <v>33758</v>
      </c>
      <c r="J2802" s="5" t="s">
        <v>27944</v>
      </c>
      <c r="K2802" s="5" t="s">
        <v>344</v>
      </c>
      <c r="L2802" s="5"/>
      <c r="M2802" s="27">
        <v>78775939</v>
      </c>
      <c r="N2802" s="5" t="s">
        <v>53712</v>
      </c>
      <c r="O2802" s="5" t="str">
        <v>6450090478</v>
      </c>
      <c r="P2802" s="27">
        <v>1000000</v>
      </c>
      <c r="Q2802" s="5" t="s">
        <v>53714</v>
      </c>
      <c r="R2802" s="5"/>
      <c r="S2802" s="5" t="s">
        <v>49271</v>
      </c>
      <c r="T2802" s="28">
        <v>4210811000</v>
      </c>
      <c r="U2802" s="28"/>
      <c r="V2802" s="28">
        <v>351531000</v>
      </c>
      <c r="W2802" s="28"/>
      <c r="X2802" s="28">
        <v>879326000</v>
      </c>
      <c r="Y2802" s="28">
        <v>5860478000</v>
      </c>
      <c r="Z2802" s="28">
        <v>457873000</v>
      </c>
      <c r="AA2802" s="28">
        <v>2668249000</v>
      </c>
      <c r="AB2802" s="28">
        <v>14560000</v>
      </c>
      <c r="AC2802" s="28">
        <v>1735687000</v>
      </c>
      <c r="AD2802" s="28">
        <v>1229732000</v>
      </c>
      <c r="AE2802" s="28">
        <v>3032510000</v>
      </c>
      <c r="AF2802" s="28">
        <v>215712000</v>
      </c>
      <c r="AG2802" s="11"/>
    </row>
    <row r="2803">
      <c r="A2803" s="7" t="s">
        <v>4489</v>
      </c>
      <c r="B2803" s="5" t="s">
        <v>12462</v>
      </c>
      <c r="C2803" s="5" t="s">
        <v>20290</v>
      </c>
      <c r="D2803" s="5" t="str">
        <v>166104295030</v>
      </c>
      <c r="E2803" s="0" t="e">
        <f>+7 (843) 2686344
+7 (8432) 342342
+7 (8432) 613992
+7 (8432) 629392
+7 (8432) 680151
+7 (8435) 908572
+7 (8435) 908574
+7 (8435) 908576
+7 (905) 254318
+7 (937) 5712182
+7 (965) 5970588
+7 (843) 2382814
+7 (8432) 240820
+7 (8432) 240890
+7 (8435) 908549</f>
        <v>#NAME?</v>
      </c>
      <c r="F2803" s="5" t="s">
        <v>33759</v>
      </c>
      <c r="G2803" s="5" t="s">
        <v>33760</v>
      </c>
      <c r="H2803" s="26">
        <v>18</v>
      </c>
      <c r="I2803" s="5" t="s">
        <v>33761</v>
      </c>
      <c r="J2803" s="5" t="s">
        <v>26767</v>
      </c>
      <c r="K2803" s="5" t="s">
        <v>344</v>
      </c>
      <c r="L2803" s="5" t="s">
        <v>33762</v>
      </c>
      <c r="M2803" s="27"/>
      <c r="N2803" s="5" t="s">
        <v>53715</v>
      </c>
      <c r="O2803" s="5" t="str">
        <v>1655382345</v>
      </c>
      <c r="P2803" s="27">
        <v>10000</v>
      </c>
      <c r="Q2803" s="5" t="s">
        <v>53716</v>
      </c>
      <c r="R2803" s="5"/>
      <c r="S2803" s="5" t="s">
        <v>53717</v>
      </c>
      <c r="T2803" s="28">
        <v>41255000</v>
      </c>
      <c r="U2803" s="28"/>
      <c r="V2803" s="28">
        <v>578122000</v>
      </c>
      <c r="W2803" s="28">
        <v>2827000</v>
      </c>
      <c r="X2803" s="28">
        <v>210758000</v>
      </c>
      <c r="Y2803" s="28">
        <v>1108917000</v>
      </c>
      <c r="Z2803" s="28">
        <v>544313000</v>
      </c>
      <c r="AA2803" s="28">
        <v>49996000</v>
      </c>
      <c r="AB2803" s="28"/>
      <c r="AC2803" s="28">
        <v>512968000</v>
      </c>
      <c r="AD2803" s="28">
        <v>544323000</v>
      </c>
      <c r="AE2803" s="28">
        <v>3329968000</v>
      </c>
      <c r="AF2803" s="28">
        <v>180713000</v>
      </c>
      <c r="AG2803" s="11"/>
    </row>
    <row r="2804">
      <c r="A2804" s="7" t="s">
        <v>4490</v>
      </c>
      <c r="B2804" s="5" t="s">
        <v>12463</v>
      </c>
      <c r="C2804" s="5" t="s">
        <v>20291</v>
      </c>
      <c r="D2804" s="5" t="str">
        <v>781437289113</v>
      </c>
      <c r="E2804" s="0" t="e">
        <f>+7 (812) 3317724
+7 (812) 7181870
+7 (812) 7181871
+7 (812) 3312727
+7 (812) 3892999
+7 (812) 3896689
+7 (812) 4263181
+7 (812) 4933855
+7 (921) 5795897
+7 (921) 6469447
+7 (931) 3880568</f>
        <v>#NAME?</v>
      </c>
      <c r="F2804" s="5" t="s">
        <v>33763</v>
      </c>
      <c r="G2804" s="5" t="s">
        <v>33764</v>
      </c>
      <c r="H2804" s="26">
        <v>29.5</v>
      </c>
      <c r="I2804" s="5"/>
      <c r="J2804" s="5" t="s">
        <v>25484</v>
      </c>
      <c r="K2804" s="5" t="s">
        <v>344</v>
      </c>
      <c r="L2804" s="5"/>
      <c r="M2804" s="27"/>
      <c r="N2804" s="5"/>
      <c r="O2804" s="5" t="str">
        <v>4703002168</v>
      </c>
      <c r="P2804" s="27">
        <v>6658400</v>
      </c>
      <c r="Q2804" s="5" t="s">
        <v>49009</v>
      </c>
      <c r="R2804" s="5"/>
      <c r="S2804" s="5" t="s">
        <v>49010</v>
      </c>
      <c r="T2804" s="28">
        <v>3353114000</v>
      </c>
      <c r="U2804" s="28">
        <v>9900000</v>
      </c>
      <c r="V2804" s="28">
        <v>497345000</v>
      </c>
      <c r="W2804" s="28">
        <v>113000000</v>
      </c>
      <c r="X2804" s="28">
        <v>656061000</v>
      </c>
      <c r="Y2804" s="28">
        <v>6205973000</v>
      </c>
      <c r="Z2804" s="28">
        <v>715692000</v>
      </c>
      <c r="AA2804" s="28">
        <v>4704014000</v>
      </c>
      <c r="AB2804" s="28"/>
      <c r="AC2804" s="28">
        <v>757370000</v>
      </c>
      <c r="AD2804" s="28">
        <v>723163000</v>
      </c>
      <c r="AE2804" s="28">
        <v>3128423000</v>
      </c>
      <c r="AF2804" s="28">
        <v>2850378000</v>
      </c>
      <c r="AG2804" s="11"/>
    </row>
    <row r="2805">
      <c r="A2805" s="7" t="s">
        <v>4491</v>
      </c>
      <c r="B2805" s="5" t="s">
        <v>12464</v>
      </c>
      <c r="C2805" s="5" t="s">
        <v>20292</v>
      </c>
      <c r="D2805" s="5" t="str">
        <v>027709912348</v>
      </c>
      <c r="E2805" s="0" t="e">
        <f>+7 (812) 4302009
+7 (812) 4310610</f>
        <v>#NAME?</v>
      </c>
      <c r="F2805" s="5" t="s">
        <v>33765</v>
      </c>
      <c r="G2805" s="5"/>
      <c r="H2805" s="26">
        <v>16</v>
      </c>
      <c r="I2805" s="5" t="s">
        <v>33766</v>
      </c>
      <c r="J2805" s="5" t="s">
        <v>26918</v>
      </c>
      <c r="K2805" s="5" t="s">
        <v>344</v>
      </c>
      <c r="L2805" s="5" t="s">
        <v>33767</v>
      </c>
      <c r="M2805" s="27"/>
      <c r="N2805" s="5" t="s">
        <v>53718</v>
      </c>
      <c r="O2805" s="5" t="str">
        <v>7814358920</v>
      </c>
      <c r="P2805" s="27">
        <v>1000000</v>
      </c>
      <c r="Q2805" s="5" t="s">
        <v>49021</v>
      </c>
      <c r="R2805" s="5"/>
      <c r="S2805" s="5" t="s">
        <v>53719</v>
      </c>
      <c r="T2805" s="28"/>
      <c r="U2805" s="28"/>
      <c r="V2805" s="28">
        <v>472157000</v>
      </c>
      <c r="W2805" s="28">
        <v>729431000</v>
      </c>
      <c r="X2805" s="28">
        <v>2170593000</v>
      </c>
      <c r="Y2805" s="28">
        <v>3787083000</v>
      </c>
      <c r="Z2805" s="28">
        <v>375189000</v>
      </c>
      <c r="AA2805" s="28"/>
      <c r="AB2805" s="28"/>
      <c r="AC2805" s="28">
        <v>3410894000</v>
      </c>
      <c r="AD2805" s="28">
        <v>376189000</v>
      </c>
      <c r="AE2805" s="28">
        <v>5287874000</v>
      </c>
      <c r="AF2805" s="28">
        <v>290723000</v>
      </c>
      <c r="AG2805" s="11"/>
    </row>
    <row r="2806">
      <c r="A2806" s="7" t="s">
        <v>4492</v>
      </c>
      <c r="B2806" s="5" t="s">
        <v>12465</v>
      </c>
      <c r="C2806" s="5" t="s">
        <v>20293</v>
      </c>
      <c r="D2806" s="5" t="str">
        <v>505000030336</v>
      </c>
      <c r="E2806" s="0" t="e">
        <f>+7 (495) 7887917</f>
        <v>#NAME?</v>
      </c>
      <c r="F2806" s="5"/>
      <c r="G2806" s="5" t="s">
        <v>33768</v>
      </c>
      <c r="H2806" s="26">
        <v>29</v>
      </c>
      <c r="I2806" s="5"/>
      <c r="J2806" s="5" t="s">
        <v>26511</v>
      </c>
      <c r="K2806" s="5" t="s">
        <v>344</v>
      </c>
      <c r="L2806" s="5" t="s">
        <v>33769</v>
      </c>
      <c r="M2806" s="27"/>
      <c r="N2806" s="5"/>
      <c r="O2806" s="5" t="str">
        <v>7710002750</v>
      </c>
      <c r="P2806" s="27">
        <v>7590</v>
      </c>
      <c r="Q2806" s="5" t="s">
        <v>49009</v>
      </c>
      <c r="R2806" s="5"/>
      <c r="S2806" s="5" t="s">
        <v>49066</v>
      </c>
      <c r="T2806" s="28">
        <v>136095000</v>
      </c>
      <c r="U2806" s="28"/>
      <c r="V2806" s="28">
        <v>281591000</v>
      </c>
      <c r="W2806" s="28">
        <v>4446000</v>
      </c>
      <c r="X2806" s="28">
        <v>250280000</v>
      </c>
      <c r="Y2806" s="28">
        <v>912954000</v>
      </c>
      <c r="Z2806" s="28">
        <v>829280000</v>
      </c>
      <c r="AA2806" s="28">
        <v>37500000</v>
      </c>
      <c r="AB2806" s="28"/>
      <c r="AC2806" s="28">
        <v>46020000</v>
      </c>
      <c r="AD2806" s="28">
        <v>829290000</v>
      </c>
      <c r="AE2806" s="28">
        <v>5295480000</v>
      </c>
      <c r="AF2806" s="28">
        <v>164920000</v>
      </c>
      <c r="AG2806" s="11"/>
    </row>
    <row r="2807">
      <c r="A2807" s="7" t="s">
        <v>4493</v>
      </c>
      <c r="B2807" s="5" t="s">
        <v>12466</v>
      </c>
      <c r="C2807" s="5" t="s">
        <v>20294</v>
      </c>
      <c r="D2807" s="5" t="str">
        <v>771006393988</v>
      </c>
      <c r="E2807" s="0" t="e">
        <f>+7 (473) 2281830
+7 (495) 3636000
+7 (495) 3636001
+7 (495) 3636034
+7 (49622) 23266
+7 (844) 2266257
+7 (844) 2266259
+7 (844) 2960506
+7 (8617) 678721
+7 (8632) 441963
+7 (8652) 330601
+7 (8652) 330602
+7 (988) 7654501</f>
        <v>#NAME?</v>
      </c>
      <c r="F2807" s="5" t="s">
        <v>33770</v>
      </c>
      <c r="G2807" s="5" t="s">
        <v>33771</v>
      </c>
      <c r="H2807" s="26">
        <v>24.5</v>
      </c>
      <c r="I2807" s="5" t="s">
        <v>33772</v>
      </c>
      <c r="J2807" s="5" t="s">
        <v>25850</v>
      </c>
      <c r="K2807" s="5" t="s">
        <v>344</v>
      </c>
      <c r="L2807" s="5"/>
      <c r="M2807" s="27">
        <v>5470</v>
      </c>
      <c r="N2807" s="5" t="s">
        <v>53720</v>
      </c>
      <c r="O2807" s="5" t="str">
        <v>7710289975</v>
      </c>
      <c r="P2807" s="27">
        <v>396581000</v>
      </c>
      <c r="Q2807" s="5" t="s">
        <v>49009</v>
      </c>
      <c r="R2807" s="5"/>
      <c r="S2807" s="5" t="s">
        <v>49028</v>
      </c>
      <c r="T2807" s="28">
        <v>198694000</v>
      </c>
      <c r="U2807" s="28">
        <v>457236000</v>
      </c>
      <c r="V2807" s="28">
        <v>1955349000</v>
      </c>
      <c r="W2807" s="28"/>
      <c r="X2807" s="28">
        <v>105524000</v>
      </c>
      <c r="Y2807" s="28">
        <v>3827103000</v>
      </c>
      <c r="Z2807" s="28">
        <v>-79820000</v>
      </c>
      <c r="AA2807" s="28"/>
      <c r="AB2807" s="28">
        <v>569630000</v>
      </c>
      <c r="AC2807" s="28">
        <v>2947342000</v>
      </c>
      <c r="AD2807" s="28">
        <v>879761000</v>
      </c>
      <c r="AE2807" s="28">
        <v>20558946000</v>
      </c>
      <c r="AF2807" s="28">
        <v>55446000</v>
      </c>
      <c r="AG2807" s="11"/>
    </row>
    <row r="2808">
      <c r="A2808" s="7" t="s">
        <v>4494</v>
      </c>
      <c r="B2808" s="5" t="s">
        <v>12467</v>
      </c>
      <c r="C2808" s="5" t="s">
        <v>20295</v>
      </c>
      <c r="D2808" s="5" t="str">
        <v>771584453505</v>
      </c>
      <c r="E2808" s="0" t="e">
        <f>+7 (495) 2807750
+7 (495) 6376317</f>
        <v>#NAME?</v>
      </c>
      <c r="F2808" s="5"/>
      <c r="G2808" s="5"/>
      <c r="H2808" s="26">
        <v>8</v>
      </c>
      <c r="I2808" s="5" t="s">
        <v>33773</v>
      </c>
      <c r="J2808" s="5" t="s">
        <v>33774</v>
      </c>
      <c r="K2808" s="5" t="s">
        <v>344</v>
      </c>
      <c r="L2808" s="5" t="s">
        <v>33775</v>
      </c>
      <c r="M2808" s="27"/>
      <c r="N2808" s="5"/>
      <c r="O2808" s="5" t="str">
        <v>5040079849</v>
      </c>
      <c r="P2808" s="27">
        <v>150000</v>
      </c>
      <c r="Q2808" s="5" t="s">
        <v>49009</v>
      </c>
      <c r="R2808" s="5"/>
      <c r="S2808" s="5" t="s">
        <v>50310</v>
      </c>
      <c r="T2808" s="28"/>
      <c r="U2808" s="28"/>
      <c r="V2808" s="28">
        <v>832962000</v>
      </c>
      <c r="W2808" s="28">
        <v>20000000</v>
      </c>
      <c r="X2808" s="28">
        <v>570441000</v>
      </c>
      <c r="Y2808" s="28">
        <v>2729372000</v>
      </c>
      <c r="Z2808" s="28">
        <v>694167000</v>
      </c>
      <c r="AA2808" s="28"/>
      <c r="AB2808" s="28"/>
      <c r="AC2808" s="28">
        <v>2035051000</v>
      </c>
      <c r="AD2808" s="28">
        <v>694317000</v>
      </c>
      <c r="AE2808" s="28">
        <v>15557963000</v>
      </c>
      <c r="AF2808" s="28">
        <v>565517000</v>
      </c>
      <c r="AG2808" s="11"/>
    </row>
    <row r="2809">
      <c r="A2809" s="7" t="s">
        <v>4495</v>
      </c>
      <c r="B2809" s="5" t="s">
        <v>12468</v>
      </c>
      <c r="C2809" s="5" t="s">
        <v>20296</v>
      </c>
      <c r="D2809" s="5" t="str">
        <v>451004160539</v>
      </c>
      <c r="E2809" s="0" t="e">
        <f>+7 (352) 2537633
+7 (352) 2570782
+7 (3522) 452828
+7 (3522) 482829
+7 (3522) 545262
+7 (3522) 551160
+7 (961) 7527191</f>
        <v>#NAME?</v>
      </c>
      <c r="F2809" s="5" t="s">
        <v>33776</v>
      </c>
      <c r="G2809" s="5"/>
      <c r="H2809" s="26">
        <v>28</v>
      </c>
      <c r="I2809" s="5" t="s">
        <v>33777</v>
      </c>
      <c r="J2809" s="5" t="s">
        <v>25219</v>
      </c>
      <c r="K2809" s="5" t="s">
        <v>344</v>
      </c>
      <c r="L2809" s="5"/>
      <c r="M2809" s="27"/>
      <c r="N2809" s="5" t="s">
        <v>53721</v>
      </c>
      <c r="O2809" s="5" t="str">
        <v>4501037489</v>
      </c>
      <c r="P2809" s="27">
        <v>10000000</v>
      </c>
      <c r="Q2809" s="5" t="s">
        <v>49059</v>
      </c>
      <c r="R2809" s="5"/>
      <c r="S2809" s="5" t="s">
        <v>49487</v>
      </c>
      <c r="T2809" s="28">
        <v>759964000</v>
      </c>
      <c r="U2809" s="28">
        <v>156000000</v>
      </c>
      <c r="V2809" s="28">
        <v>739737000</v>
      </c>
      <c r="W2809" s="28">
        <v>220005000</v>
      </c>
      <c r="X2809" s="28">
        <v>520973000</v>
      </c>
      <c r="Y2809" s="28">
        <v>4670752000</v>
      </c>
      <c r="Z2809" s="28">
        <v>3063126000</v>
      </c>
      <c r="AA2809" s="28"/>
      <c r="AB2809" s="28"/>
      <c r="AC2809" s="28">
        <v>1597626000</v>
      </c>
      <c r="AD2809" s="28">
        <v>3073126000</v>
      </c>
      <c r="AE2809" s="28">
        <v>25431139000</v>
      </c>
      <c r="AF2809" s="28">
        <v>299756000</v>
      </c>
      <c r="AG2809" s="11"/>
    </row>
    <row r="2810">
      <c r="A2810" s="7" t="s">
        <v>4496</v>
      </c>
      <c r="B2810" s="5" t="s">
        <v>12469</v>
      </c>
      <c r="C2810" s="5" t="s">
        <v>20297</v>
      </c>
      <c r="D2810" s="5" t="str">
        <v>332902532773</v>
      </c>
      <c r="E2810" s="0" t="e">
        <f>+7 (3435) 344154
+7 (495) 9807060
+7 (495) 9807069
+7 (495) 9807080
+7 (495) 9807280
+7 (495) 9807281
+7 (495) 9807283
+7 (495) 9812558</f>
        <v>#NAME?</v>
      </c>
      <c r="F2810" s="5" t="s">
        <v>33778</v>
      </c>
      <c r="G2810" s="5" t="s">
        <v>33779</v>
      </c>
      <c r="H2810" s="26">
        <v>17</v>
      </c>
      <c r="I2810" s="5" t="s">
        <v>33780</v>
      </c>
      <c r="J2810" s="5" t="s">
        <v>25512</v>
      </c>
      <c r="K2810" s="5" t="s">
        <v>344</v>
      </c>
      <c r="L2810" s="5" t="s">
        <v>33781</v>
      </c>
      <c r="M2810" s="27"/>
      <c r="N2810" s="5" t="s">
        <v>53722</v>
      </c>
      <c r="O2810" s="5" t="str">
        <v>7705724809</v>
      </c>
      <c r="P2810" s="27">
        <v>3005600</v>
      </c>
      <c r="Q2810" s="5"/>
      <c r="R2810" s="5"/>
      <c r="S2810" s="5" t="s">
        <v>49062</v>
      </c>
      <c r="T2810" s="28">
        <v>101358000</v>
      </c>
      <c r="U2810" s="28"/>
      <c r="V2810" s="28">
        <v>577204000</v>
      </c>
      <c r="W2810" s="28">
        <v>300000000</v>
      </c>
      <c r="X2810" s="28">
        <v>263523000</v>
      </c>
      <c r="Y2810" s="28">
        <v>2359553000</v>
      </c>
      <c r="Z2810" s="28">
        <v>1436740000</v>
      </c>
      <c r="AA2810" s="28"/>
      <c r="AB2810" s="28"/>
      <c r="AC2810" s="28">
        <v>640505000</v>
      </c>
      <c r="AD2810" s="28">
        <v>1720577000</v>
      </c>
      <c r="AE2810" s="28">
        <v>4511302000</v>
      </c>
      <c r="AF2810" s="28">
        <v>266486000</v>
      </c>
      <c r="AG2810" s="11"/>
    </row>
    <row r="2811">
      <c r="A2811" s="7" t="s">
        <v>4497</v>
      </c>
      <c r="B2811" s="5" t="s">
        <v>12470</v>
      </c>
      <c r="C2811" s="5" t="s">
        <v>20298</v>
      </c>
      <c r="D2811" s="5" t="str">
        <v>560902576355</v>
      </c>
      <c r="E2811" s="0" t="e">
        <f>+7 (353) 2751041</f>
        <v>#NAME?</v>
      </c>
      <c r="F2811" s="5"/>
      <c r="G2811" s="5"/>
      <c r="H2811" s="26">
        <v>17.5</v>
      </c>
      <c r="I2811" s="5" t="s">
        <v>33782</v>
      </c>
      <c r="J2811" s="5" t="s">
        <v>25327</v>
      </c>
      <c r="K2811" s="5" t="s">
        <v>380</v>
      </c>
      <c r="L2811" s="5" t="s">
        <v>33783</v>
      </c>
      <c r="M2811" s="27">
        <v>299275949</v>
      </c>
      <c r="N2811" s="5"/>
      <c r="O2811" s="5" t="str">
        <v>5612044116</v>
      </c>
      <c r="P2811" s="27">
        <v>187916000</v>
      </c>
      <c r="Q2811" s="5" t="s">
        <v>53723</v>
      </c>
      <c r="R2811" s="5" t="s">
        <v>53724</v>
      </c>
      <c r="S2811" s="5" t="s">
        <v>49162</v>
      </c>
      <c r="T2811" s="28">
        <v>649000</v>
      </c>
      <c r="U2811" s="28"/>
      <c r="V2811" s="28">
        <v>1241889000</v>
      </c>
      <c r="W2811" s="28">
        <v>677672000</v>
      </c>
      <c r="X2811" s="28">
        <v>110367000</v>
      </c>
      <c r="Y2811" s="28">
        <v>2030631000</v>
      </c>
      <c r="Z2811" s="28">
        <v>1159976000</v>
      </c>
      <c r="AA2811" s="28"/>
      <c r="AB2811" s="28">
        <v>2124000</v>
      </c>
      <c r="AC2811" s="28">
        <v>682727000</v>
      </c>
      <c r="AD2811" s="28">
        <v>1347892000</v>
      </c>
      <c r="AE2811" s="28">
        <v>25333187000</v>
      </c>
      <c r="AF2811" s="28">
        <v>570247000</v>
      </c>
      <c r="AG2811" s="11"/>
    </row>
    <row r="2812">
      <c r="A2812" s="7" t="s">
        <v>4498</v>
      </c>
      <c r="B2812" s="5" t="s">
        <v>12471</v>
      </c>
      <c r="C2812" s="5" t="s">
        <v>20299</v>
      </c>
      <c r="D2812" s="5" t="str">
        <v>502903840209</v>
      </c>
      <c r="E2812" s="0" t="e">
        <f>+7 (916) 4453288
+7 (495) 6403108
+7 (916) 7708419
+7 (925) 5448363
+7 (985) 7637377</f>
        <v>#NAME?</v>
      </c>
      <c r="F2812" s="5" t="s">
        <v>33784</v>
      </c>
      <c r="G2812" s="5" t="s">
        <v>33785</v>
      </c>
      <c r="H2812" s="26">
        <v>17</v>
      </c>
      <c r="I2812" s="5" t="s">
        <v>33786</v>
      </c>
      <c r="J2812" s="5" t="s">
        <v>373</v>
      </c>
      <c r="K2812" s="5" t="s">
        <v>344</v>
      </c>
      <c r="L2812" s="5" t="s">
        <v>33787</v>
      </c>
      <c r="M2812" s="27">
        <v>2157782</v>
      </c>
      <c r="N2812" s="5" t="s">
        <v>53725</v>
      </c>
      <c r="O2812" s="5" t="str">
        <v>7743595488</v>
      </c>
      <c r="P2812" s="27">
        <v>10000</v>
      </c>
      <c r="Q2812" s="5" t="s">
        <v>49057</v>
      </c>
      <c r="R2812" s="5"/>
      <c r="S2812" s="5" t="s">
        <v>53113</v>
      </c>
      <c r="T2812" s="28">
        <v>14096000</v>
      </c>
      <c r="U2812" s="28"/>
      <c r="V2812" s="28">
        <v>331897000</v>
      </c>
      <c r="W2812" s="28"/>
      <c r="X2812" s="28">
        <v>30088000</v>
      </c>
      <c r="Y2812" s="28">
        <v>421459000</v>
      </c>
      <c r="Z2812" s="28">
        <v>135665000</v>
      </c>
      <c r="AA2812" s="28"/>
      <c r="AB2812" s="28">
        <v>189155000</v>
      </c>
      <c r="AC2812" s="28">
        <v>264232000</v>
      </c>
      <c r="AD2812" s="28">
        <v>135675000</v>
      </c>
      <c r="AE2812" s="28">
        <v>3918891000</v>
      </c>
      <c r="AF2812" s="28">
        <v>18829000</v>
      </c>
      <c r="AG2812" s="11"/>
    </row>
    <row r="2813">
      <c r="A2813" s="7" t="s">
        <v>4499</v>
      </c>
      <c r="B2813" s="5" t="s">
        <v>12472</v>
      </c>
      <c r="C2813" s="5" t="s">
        <v>20300</v>
      </c>
      <c r="D2813" s="5" t="str">
        <v>616503917781</v>
      </c>
      <c r="E2813" s="0" t="e">
        <f>+7 (495) 555844
+7 (495) 5454630
+7 (495) 9116832
+7 (8632) 222470
+7 (8632) 232700
+7 (8632) 233470
+7 (8632) 234070
+7 (8632) 234270
+7 (8632) 242470
+7 (8632) 306547
+7 (8632) 425618
+7 (8632) 552222
+7 (8632) 839546
+7 (8632) 232770
+7 (8632) 332470</f>
        <v>#NAME?</v>
      </c>
      <c r="F2813" s="5" t="s">
        <v>33788</v>
      </c>
      <c r="G2813" s="5"/>
      <c r="H2813" s="26">
        <v>7.5</v>
      </c>
      <c r="I2813" s="5" t="s">
        <v>33789</v>
      </c>
      <c r="J2813" s="5" t="s">
        <v>25429</v>
      </c>
      <c r="K2813" s="5" t="s">
        <v>344</v>
      </c>
      <c r="L2813" s="5" t="s">
        <v>33790</v>
      </c>
      <c r="M2813" s="27"/>
      <c r="N2813" s="5" t="s">
        <v>53726</v>
      </c>
      <c r="O2813" s="5" t="str">
        <v>6165196363</v>
      </c>
      <c r="P2813" s="27">
        <v>10000</v>
      </c>
      <c r="Q2813" s="5" t="s">
        <v>53727</v>
      </c>
      <c r="R2813" s="5"/>
      <c r="S2813" s="5" t="s">
        <v>52469</v>
      </c>
      <c r="T2813" s="28">
        <v>24710000</v>
      </c>
      <c r="U2813" s="28"/>
      <c r="V2813" s="28">
        <v>887592000</v>
      </c>
      <c r="W2813" s="28"/>
      <c r="X2813" s="28">
        <v>14507000</v>
      </c>
      <c r="Y2813" s="28">
        <v>3714130000</v>
      </c>
      <c r="Z2813" s="28">
        <v>682174000</v>
      </c>
      <c r="AA2813" s="28">
        <v>559863000</v>
      </c>
      <c r="AB2813" s="28">
        <v>167000</v>
      </c>
      <c r="AC2813" s="28">
        <v>2472083000</v>
      </c>
      <c r="AD2813" s="28">
        <v>682184000</v>
      </c>
      <c r="AE2813" s="28">
        <v>12579040000</v>
      </c>
      <c r="AF2813" s="28">
        <v>214746000</v>
      </c>
      <c r="AG2813" s="11"/>
    </row>
    <row r="2814">
      <c r="A2814" s="7" t="s">
        <v>4500</v>
      </c>
      <c r="B2814" s="5" t="s">
        <v>12473</v>
      </c>
      <c r="C2814" s="5" t="s">
        <v>20301</v>
      </c>
      <c r="D2814" s="5" t="str">
        <v>080301529110</v>
      </c>
      <c r="E2814" s="0" t="e">
        <f>+7 (818) 2657780
+7 (818) 2657881
+7 (818) 2657830</f>
        <v>#NAME?</v>
      </c>
      <c r="F2814" s="5" t="s">
        <v>33791</v>
      </c>
      <c r="G2814" s="5"/>
      <c r="H2814" s="26">
        <v>31</v>
      </c>
      <c r="I2814" s="5" t="s">
        <v>33792</v>
      </c>
      <c r="J2814" s="5" t="s">
        <v>26607</v>
      </c>
      <c r="K2814" s="5" t="s">
        <v>380</v>
      </c>
      <c r="L2814" s="5"/>
      <c r="M2814" s="27">
        <v>7194524783</v>
      </c>
      <c r="N2814" s="5" t="s">
        <v>53728</v>
      </c>
      <c r="O2814" s="5" t="str">
        <v>8300120014</v>
      </c>
      <c r="P2814" s="27">
        <v>8800000</v>
      </c>
      <c r="Q2814" s="5" t="s">
        <v>53729</v>
      </c>
      <c r="R2814" s="5" t="s">
        <v>53730</v>
      </c>
      <c r="S2814" s="5" t="s">
        <v>51014</v>
      </c>
      <c r="T2814" s="28">
        <v>1339844000</v>
      </c>
      <c r="U2814" s="28"/>
      <c r="V2814" s="28">
        <v>33805997000</v>
      </c>
      <c r="W2814" s="28"/>
      <c r="X2814" s="28">
        <v>147000</v>
      </c>
      <c r="Y2814" s="28">
        <v>37522655000</v>
      </c>
      <c r="Z2814" s="28">
        <v>-616316000</v>
      </c>
      <c r="AA2814" s="28">
        <v>2373958000</v>
      </c>
      <c r="AB2814" s="28">
        <v>1845000</v>
      </c>
      <c r="AC2814" s="28">
        <v>32513623000</v>
      </c>
      <c r="AD2814" s="28">
        <v>2096667000</v>
      </c>
      <c r="AE2814" s="28">
        <v>12760093000</v>
      </c>
      <c r="AF2814" s="28">
        <v>-1197440000</v>
      </c>
      <c r="AG2814" s="11"/>
    </row>
    <row r="2815">
      <c r="A2815" s="7" t="s">
        <v>4501</v>
      </c>
      <c r="B2815" s="5" t="s">
        <v>12474</v>
      </c>
      <c r="C2815" s="5" t="s">
        <v>20302</v>
      </c>
      <c r="D2815" s="5" t="str">
        <v>027406534390</v>
      </c>
      <c r="E2815" s="0" t="e">
        <f>+7 (3472) 401877
+7 (3472) 402177</f>
        <v>#NAME?</v>
      </c>
      <c r="F2815" s="5" t="s">
        <v>33793</v>
      </c>
      <c r="G2815" s="5"/>
      <c r="H2815" s="26">
        <v>17</v>
      </c>
      <c r="I2815" s="5" t="s">
        <v>33794</v>
      </c>
      <c r="J2815" s="5" t="s">
        <v>364</v>
      </c>
      <c r="K2815" s="5" t="s">
        <v>344</v>
      </c>
      <c r="L2815" s="5" t="s">
        <v>33795</v>
      </c>
      <c r="M2815" s="27">
        <v>443191</v>
      </c>
      <c r="N2815" s="5" t="s">
        <v>53731</v>
      </c>
      <c r="O2815" s="5" t="str">
        <v>0273058271</v>
      </c>
      <c r="P2815" s="27">
        <v>10000</v>
      </c>
      <c r="Q2815" s="5" t="s">
        <v>53732</v>
      </c>
      <c r="R2815" s="5" t="s">
        <v>53733</v>
      </c>
      <c r="S2815" s="5" t="s">
        <v>53734</v>
      </c>
      <c r="T2815" s="28">
        <v>163877000</v>
      </c>
      <c r="U2815" s="28"/>
      <c r="V2815" s="28">
        <v>1846474000</v>
      </c>
      <c r="W2815" s="28">
        <v>35655000</v>
      </c>
      <c r="X2815" s="28">
        <v>238785000</v>
      </c>
      <c r="Y2815" s="28">
        <v>2350833000</v>
      </c>
      <c r="Z2815" s="28">
        <v>80141000</v>
      </c>
      <c r="AA2815" s="28"/>
      <c r="AB2815" s="28"/>
      <c r="AC2815" s="28">
        <v>2240052000</v>
      </c>
      <c r="AD2815" s="28">
        <v>80151000</v>
      </c>
      <c r="AE2815" s="28">
        <v>6610180000</v>
      </c>
      <c r="AF2815" s="28">
        <v>66787000</v>
      </c>
      <c r="AG2815" s="11"/>
    </row>
    <row r="2816">
      <c r="A2816" s="7" t="s">
        <v>4502</v>
      </c>
      <c r="B2816" s="5" t="s">
        <v>12475</v>
      </c>
      <c r="C2816" s="5" t="s">
        <v>20303</v>
      </c>
      <c r="D2816" s="5" t="str">
        <v>616302466602</v>
      </c>
      <c r="E2816" s="0" t="e">
        <f>+7 (863) 2632323
+7 (8632) 17998
+7 (8632) 17999
+7 (8632) 18001
+7 (8632) 18002
+7 (8632) 18003
+7 (8632) 18004
+7 (8632) 18005
+7 (8632) 18006
+7 (8632) 18018
+7 (8632) 613663
+7 (8632) 632501
+7 (918) 5637582
+7 (928) 1257894
+7 (928) 6167394</f>
        <v>#NAME?</v>
      </c>
      <c r="F2816" s="5" t="s">
        <v>33796</v>
      </c>
      <c r="G2816" s="5" t="s">
        <v>33797</v>
      </c>
      <c r="H2816" s="26">
        <v>19</v>
      </c>
      <c r="I2816" s="5" t="s">
        <v>33798</v>
      </c>
      <c r="J2816" s="5" t="s">
        <v>25512</v>
      </c>
      <c r="K2816" s="5" t="s">
        <v>344</v>
      </c>
      <c r="L2816" s="5" t="s">
        <v>33799</v>
      </c>
      <c r="M2816" s="27"/>
      <c r="N2816" s="5" t="s">
        <v>53735</v>
      </c>
      <c r="O2816" s="5" t="str">
        <v>6164220870</v>
      </c>
      <c r="P2816" s="27">
        <v>30000</v>
      </c>
      <c r="Q2816" s="5"/>
      <c r="R2816" s="5"/>
      <c r="S2816" s="5" t="s">
        <v>49047</v>
      </c>
      <c r="T2816" s="28">
        <v>32451000</v>
      </c>
      <c r="U2816" s="28"/>
      <c r="V2816" s="28">
        <v>1287940000</v>
      </c>
      <c r="W2816" s="28">
        <v>498800000</v>
      </c>
      <c r="X2816" s="28">
        <v>6352000</v>
      </c>
      <c r="Y2816" s="28">
        <v>2428615000</v>
      </c>
      <c r="Z2816" s="28">
        <v>947886000</v>
      </c>
      <c r="AA2816" s="28"/>
      <c r="AB2816" s="28"/>
      <c r="AC2816" s="28">
        <v>1478967000</v>
      </c>
      <c r="AD2816" s="28">
        <v>947916000</v>
      </c>
      <c r="AE2816" s="28">
        <v>3174270000</v>
      </c>
      <c r="AF2816" s="28">
        <v>346567000</v>
      </c>
      <c r="AG2816" s="11"/>
    </row>
    <row r="2817">
      <c r="A2817" s="7" t="s">
        <v>4503</v>
      </c>
      <c r="B2817" s="5" t="s">
        <v>12476</v>
      </c>
      <c r="C2817" s="5" t="s">
        <v>20304</v>
      </c>
      <c r="D2817" s="5" t="str">
        <v>744800357643</v>
      </c>
      <c r="E2817" s="0" t="e">
        <f>+7 (351) 7725601
+7 (3512) 393965
+7 (3512) 393993
+7 (800) 6003900</f>
        <v>#NAME?</v>
      </c>
      <c r="F2817" s="5" t="s">
        <v>33800</v>
      </c>
      <c r="G2817" s="5" t="s">
        <v>33801</v>
      </c>
      <c r="H2817" s="26">
        <v>21.5</v>
      </c>
      <c r="I2817" s="5" t="s">
        <v>33802</v>
      </c>
      <c r="J2817" s="5" t="s">
        <v>27522</v>
      </c>
      <c r="K2817" s="5" t="s">
        <v>344</v>
      </c>
      <c r="L2817" s="5"/>
      <c r="M2817" s="27"/>
      <c r="N2817" s="5"/>
      <c r="O2817" s="5" t="str">
        <v>7452030451</v>
      </c>
      <c r="P2817" s="27">
        <v>29322708</v>
      </c>
      <c r="Q2817" s="5" t="s">
        <v>49009</v>
      </c>
      <c r="R2817" s="5" t="s">
        <v>53736</v>
      </c>
      <c r="S2817" s="5" t="s">
        <v>49545</v>
      </c>
      <c r="T2817" s="28">
        <v>860316000</v>
      </c>
      <c r="U2817" s="28">
        <v>412950000</v>
      </c>
      <c r="V2817" s="28">
        <v>2880208000</v>
      </c>
      <c r="W2817" s="28"/>
      <c r="X2817" s="28">
        <v>86254000</v>
      </c>
      <c r="Y2817" s="28">
        <v>15216596000</v>
      </c>
      <c r="Z2817" s="28">
        <v>1279799000</v>
      </c>
      <c r="AA2817" s="28"/>
      <c r="AB2817" s="28">
        <v>1810802000</v>
      </c>
      <c r="AC2817" s="28">
        <v>12457684000</v>
      </c>
      <c r="AD2817" s="28">
        <v>2109122000</v>
      </c>
      <c r="AE2817" s="28">
        <v>31155958000</v>
      </c>
      <c r="AF2817" s="28">
        <v>200284000</v>
      </c>
      <c r="AG2817" s="11"/>
    </row>
    <row r="2818">
      <c r="A2818" s="7" t="s">
        <v>4504</v>
      </c>
      <c r="B2818" s="5" t="s">
        <v>12477</v>
      </c>
      <c r="C2818" s="5" t="s">
        <v>20305</v>
      </c>
      <c r="D2818" s="5" t="str">
        <v>482102460323</v>
      </c>
      <c r="E2818" s="0" t="e">
        <f>+7 (474) 2315987
+7 (474) 2316001
+7 (474) 2316002
+7 (474) 2316017
+7 (474) 2318768
+7 (474) 2318769
+7 (474) 2322889
+7 (800) 5551585</f>
        <v>#NAME?</v>
      </c>
      <c r="F2818" s="5"/>
      <c r="G2818" s="5"/>
      <c r="H2818" s="26">
        <v>17.5</v>
      </c>
      <c r="I2818" s="5"/>
      <c r="J2818" s="5" t="s">
        <v>26355</v>
      </c>
      <c r="K2818" s="5" t="s">
        <v>344</v>
      </c>
      <c r="L2818" s="5"/>
      <c r="M2818" s="27"/>
      <c r="N2818" s="5"/>
      <c r="O2818" s="5" t="str">
        <v>4822001318</v>
      </c>
      <c r="P2818" s="27">
        <v>850416000</v>
      </c>
      <c r="Q2818" s="5" t="s">
        <v>49324</v>
      </c>
      <c r="R2818" s="5" t="s">
        <v>53737</v>
      </c>
      <c r="S2818" s="5" t="s">
        <v>51997</v>
      </c>
      <c r="T2818" s="28">
        <v>1315051000</v>
      </c>
      <c r="U2818" s="28">
        <v>118049000</v>
      </c>
      <c r="V2818" s="28">
        <v>1807215000</v>
      </c>
      <c r="W2818" s="28"/>
      <c r="X2818" s="28">
        <v>11596000</v>
      </c>
      <c r="Y2818" s="28">
        <v>4463452000</v>
      </c>
      <c r="Z2818" s="28">
        <v>824723000</v>
      </c>
      <c r="AA2818" s="28">
        <v>630913000</v>
      </c>
      <c r="AB2818" s="28">
        <v>1445547000</v>
      </c>
      <c r="AC2818" s="28">
        <v>2105015000</v>
      </c>
      <c r="AD2818" s="28">
        <v>1694501000</v>
      </c>
      <c r="AE2818" s="28">
        <v>5977128000</v>
      </c>
      <c r="AF2818" s="28">
        <v>234565000</v>
      </c>
      <c r="AG2818" s="11"/>
    </row>
    <row r="2819">
      <c r="A2819" s="7" t="s">
        <v>4505</v>
      </c>
      <c r="B2819" s="5" t="s">
        <v>12478</v>
      </c>
      <c r="C2819" s="5" t="s">
        <v>20306</v>
      </c>
      <c r="D2819" s="5" t="str">
        <v>772328386578</v>
      </c>
      <c r="E2819" s="0" t="e">
        <f>+7 (495) 2879860
+7 (495) 7771777</f>
        <v>#NAME?</v>
      </c>
      <c r="F2819" s="5" t="s">
        <v>33803</v>
      </c>
      <c r="G2819" s="5" t="s">
        <v>33804</v>
      </c>
      <c r="H2819" s="26">
        <v>24.5</v>
      </c>
      <c r="I2819" s="5"/>
      <c r="J2819" s="5" t="s">
        <v>25376</v>
      </c>
      <c r="K2819" s="5" t="s">
        <v>344</v>
      </c>
      <c r="L2819" s="5"/>
      <c r="M2819" s="27"/>
      <c r="N2819" s="5"/>
      <c r="O2819" s="5" t="str">
        <v>7707245576</v>
      </c>
      <c r="P2819" s="27">
        <v>49367892</v>
      </c>
      <c r="Q2819" s="5" t="s">
        <v>49319</v>
      </c>
      <c r="R2819" s="5"/>
      <c r="S2819" s="5" t="s">
        <v>49774</v>
      </c>
      <c r="T2819" s="28"/>
      <c r="U2819" s="28">
        <v>9892872000</v>
      </c>
      <c r="V2819" s="28">
        <v>6922851000</v>
      </c>
      <c r="W2819" s="28">
        <v>10976784000</v>
      </c>
      <c r="X2819" s="28">
        <v>923000</v>
      </c>
      <c r="Y2819" s="28">
        <v>29815844000</v>
      </c>
      <c r="Z2819" s="28">
        <v>24685676000</v>
      </c>
      <c r="AA2819" s="28">
        <v>312293000</v>
      </c>
      <c r="AB2819" s="28">
        <v>3441528000</v>
      </c>
      <c r="AC2819" s="28">
        <v>3480300000</v>
      </c>
      <c r="AD2819" s="28">
        <v>25993969000</v>
      </c>
      <c r="AE2819" s="28">
        <v>4992579000</v>
      </c>
      <c r="AF2819" s="28">
        <v>4728480000</v>
      </c>
      <c r="AG2819" s="11"/>
    </row>
    <row r="2820">
      <c r="A2820" s="7" t="s">
        <v>4506</v>
      </c>
      <c r="B2820" s="5" t="s">
        <v>12479</v>
      </c>
      <c r="C2820" s="5" t="s">
        <v>20307</v>
      </c>
      <c r="D2820" s="5" t="str">
        <v>773112905712</v>
      </c>
      <c r="E2820" s="0" t="e">
        <f>+7 (3652) 673600
+7 (421) 2228668
+7 (473) 2334826
+7 (495) 2256131
+7 (495) 2325805
+7 (495) 5985898
+7 (495) 6656723
+7 (495) 6656741
+7 (495) 7846461
+7 (495) 7846771
+7 (495) 7855550
+7 (495) 7857202
+7 (495) 7859997
+7 (495) 7881661
+7 (495) 7881664</f>
        <v>#NAME?</v>
      </c>
      <c r="F2820" s="5" t="s">
        <v>33805</v>
      </c>
      <c r="G2820" s="5" t="s">
        <v>33806</v>
      </c>
      <c r="H2820" s="26">
        <v>15.5</v>
      </c>
      <c r="I2820" s="5" t="s">
        <v>33807</v>
      </c>
      <c r="J2820" s="5" t="s">
        <v>423</v>
      </c>
      <c r="K2820" s="5" t="s">
        <v>344</v>
      </c>
      <c r="L2820" s="5" t="s">
        <v>33808</v>
      </c>
      <c r="M2820" s="27">
        <v>29238351</v>
      </c>
      <c r="N2820" s="5" t="s">
        <v>53738</v>
      </c>
      <c r="O2820" s="5" t="str">
        <v>7729588182</v>
      </c>
      <c r="P2820" s="27">
        <v>10000000</v>
      </c>
      <c r="Q2820" s="5" t="s">
        <v>53739</v>
      </c>
      <c r="R2820" s="5"/>
      <c r="S2820" s="5" t="s">
        <v>53740</v>
      </c>
      <c r="T2820" s="28">
        <v>58005000</v>
      </c>
      <c r="U2820" s="28">
        <v>66379000</v>
      </c>
      <c r="V2820" s="28">
        <v>9597069000</v>
      </c>
      <c r="W2820" s="28">
        <v>2704391000</v>
      </c>
      <c r="X2820" s="28">
        <v>576279000</v>
      </c>
      <c r="Y2820" s="28">
        <v>24296207000</v>
      </c>
      <c r="Z2820" s="28">
        <v>10620126000</v>
      </c>
      <c r="AA2820" s="28">
        <v>4860386000</v>
      </c>
      <c r="AB2820" s="28">
        <v>2875436000</v>
      </c>
      <c r="AC2820" s="28">
        <v>8794967000</v>
      </c>
      <c r="AD2820" s="28">
        <v>10630126000</v>
      </c>
      <c r="AE2820" s="28">
        <v>74444906000</v>
      </c>
      <c r="AF2820" s="28">
        <v>5358668000</v>
      </c>
      <c r="AG2820" s="11"/>
    </row>
    <row r="2821">
      <c r="A2821" s="7" t="s">
        <v>4507</v>
      </c>
      <c r="B2821" s="5" t="s">
        <v>12480</v>
      </c>
      <c r="C2821" s="5" t="s">
        <v>20308</v>
      </c>
      <c r="D2821" s="5"/>
      <c r="E2821" s="0" t="e">
        <f>+7 (343) 3746702
+7 (343) 3753188
+7 (343) 3753192
+7 (3433) 761555</f>
        <v>#NAME?</v>
      </c>
      <c r="F2821" s="5"/>
      <c r="G2821" s="5" t="s">
        <v>33809</v>
      </c>
      <c r="H2821" s="26">
        <v>7.5</v>
      </c>
      <c r="I2821" s="5" t="s">
        <v>33810</v>
      </c>
      <c r="J2821" s="5" t="s">
        <v>678</v>
      </c>
      <c r="K2821" s="5" t="s">
        <v>344</v>
      </c>
      <c r="L2821" s="5" t="s">
        <v>33811</v>
      </c>
      <c r="M2821" s="27"/>
      <c r="N2821" s="5"/>
      <c r="O2821" s="5" t="str">
        <v>6670356807</v>
      </c>
      <c r="P2821" s="27">
        <v>100000</v>
      </c>
      <c r="Q2821" s="5" t="s">
        <v>49009</v>
      </c>
      <c r="R2821" s="5"/>
      <c r="S2821" s="5" t="s">
        <v>49066</v>
      </c>
      <c r="T2821" s="28">
        <v>5485000</v>
      </c>
      <c r="U2821" s="28">
        <v>2000</v>
      </c>
      <c r="V2821" s="28">
        <v>564402000</v>
      </c>
      <c r="W2821" s="28">
        <v>3570000</v>
      </c>
      <c r="X2821" s="28">
        <v>3061000</v>
      </c>
      <c r="Y2821" s="28">
        <v>639997000</v>
      </c>
      <c r="Z2821" s="28">
        <v>168679000</v>
      </c>
      <c r="AA2821" s="28"/>
      <c r="AB2821" s="28">
        <v>162862000</v>
      </c>
      <c r="AC2821" s="28">
        <v>470678000</v>
      </c>
      <c r="AD2821" s="28">
        <v>168779000</v>
      </c>
      <c r="AE2821" s="28">
        <v>3321890000</v>
      </c>
      <c r="AF2821" s="28">
        <v>69980000</v>
      </c>
      <c r="AG2821" s="11"/>
    </row>
    <row r="2822">
      <c r="A2822" s="7" t="s">
        <v>4508</v>
      </c>
      <c r="B2822" s="5" t="s">
        <v>12481</v>
      </c>
      <c r="C2822" s="5" t="s">
        <v>20309</v>
      </c>
      <c r="D2822" s="5" t="str">
        <v>381205485156</v>
      </c>
      <c r="E2822" s="0" t="e">
        <f>+7 (385) 2488000</f>
        <v>#NAME?</v>
      </c>
      <c r="F2822" s="5"/>
      <c r="G2822" s="5" t="s">
        <v>33812</v>
      </c>
      <c r="H2822" s="26">
        <v>19.5</v>
      </c>
      <c r="I2822" s="5" t="s">
        <v>33813</v>
      </c>
      <c r="J2822" s="5" t="s">
        <v>710</v>
      </c>
      <c r="K2822" s="5" t="s">
        <v>344</v>
      </c>
      <c r="L2822" s="5" t="s">
        <v>33814</v>
      </c>
      <c r="M2822" s="27">
        <v>36457980</v>
      </c>
      <c r="N2822" s="5"/>
      <c r="O2822" s="5" t="str">
        <v>3811077539</v>
      </c>
      <c r="P2822" s="27">
        <v>12500</v>
      </c>
      <c r="Q2822" s="5" t="s">
        <v>53741</v>
      </c>
      <c r="R2822" s="5"/>
      <c r="S2822" s="5" t="s">
        <v>53742</v>
      </c>
      <c r="T2822" s="28">
        <v>121369000</v>
      </c>
      <c r="U2822" s="28"/>
      <c r="V2822" s="28">
        <v>1099394000</v>
      </c>
      <c r="W2822" s="28"/>
      <c r="X2822" s="28">
        <v>534721000</v>
      </c>
      <c r="Y2822" s="28">
        <v>1780229000</v>
      </c>
      <c r="Z2822" s="28">
        <v>561934000</v>
      </c>
      <c r="AA2822" s="28"/>
      <c r="AB2822" s="28"/>
      <c r="AC2822" s="28">
        <v>1218283000</v>
      </c>
      <c r="AD2822" s="28">
        <v>561946000</v>
      </c>
      <c r="AE2822" s="28">
        <v>8335079000</v>
      </c>
      <c r="AF2822" s="28">
        <v>772882000</v>
      </c>
      <c r="AG2822" s="11"/>
    </row>
    <row r="2823">
      <c r="A2823" s="7" t="s">
        <v>4509</v>
      </c>
      <c r="B2823" s="5" t="s">
        <v>12482</v>
      </c>
      <c r="C2823" s="5" t="s">
        <v>20310</v>
      </c>
      <c r="D2823" s="5" t="str">
        <v>250706044007</v>
      </c>
      <c r="E2823" s="0" t="e">
        <f>+7 (423) 2300180
+7 (963) 9409772
+7 (4232) 308188
+7 (4232) 600170
+7 (4232) 600180
+7 (902) 4895148</f>
        <v>#NAME?</v>
      </c>
      <c r="F2823" s="5" t="s">
        <v>33815</v>
      </c>
      <c r="G2823" s="5"/>
      <c r="H2823" s="26">
        <v>25.5</v>
      </c>
      <c r="I2823" s="5" t="s">
        <v>33816</v>
      </c>
      <c r="J2823" s="5" t="s">
        <v>25419</v>
      </c>
      <c r="K2823" s="5" t="s">
        <v>344</v>
      </c>
      <c r="L2823" s="5" t="s">
        <v>33817</v>
      </c>
      <c r="M2823" s="27">
        <v>4219604</v>
      </c>
      <c r="N2823" s="5"/>
      <c r="O2823" s="5" t="str">
        <v>2538047909</v>
      </c>
      <c r="P2823" s="27">
        <v>343458</v>
      </c>
      <c r="Q2823" s="5" t="s">
        <v>49324</v>
      </c>
      <c r="R2823" s="5"/>
      <c r="S2823" s="5" t="s">
        <v>53743</v>
      </c>
      <c r="T2823" s="28">
        <v>250240000</v>
      </c>
      <c r="U2823" s="28"/>
      <c r="V2823" s="28">
        <v>229145000</v>
      </c>
      <c r="W2823" s="28"/>
      <c r="X2823" s="28">
        <v>3233000</v>
      </c>
      <c r="Y2823" s="28">
        <v>1948668000</v>
      </c>
      <c r="Z2823" s="28">
        <v>713058000</v>
      </c>
      <c r="AA2823" s="28">
        <v>554000000</v>
      </c>
      <c r="AB2823" s="28">
        <v>138472000</v>
      </c>
      <c r="AC2823" s="28">
        <v>640428000</v>
      </c>
      <c r="AD2823" s="28">
        <v>753401000</v>
      </c>
      <c r="AE2823" s="28">
        <v>3129065000</v>
      </c>
      <c r="AF2823" s="28">
        <v>87048000</v>
      </c>
      <c r="AG2823" s="11"/>
    </row>
    <row r="2824">
      <c r="A2824" s="7" t="s">
        <v>4510</v>
      </c>
      <c r="B2824" s="5" t="s">
        <v>12483</v>
      </c>
      <c r="C2824" s="5" t="s">
        <v>20311</v>
      </c>
      <c r="D2824" s="5" t="str">
        <v>760400948823</v>
      </c>
      <c r="E2824" s="0" t="e">
        <f>+7 (3022) 402256
+7 (346) 2442800
+7 (3472) 461645
+7 (3522) 634071
+7 (385) 2201196
+7 (385) 2201197
+7 (3952) 781077
+7 (411) 2219560
+7 (473) 2333741
+7 (485) 2261006
+7 (485) 2262000
+7 (485) 2440101
+7 (485) 2588598
+7 (487) 2252245
+7 (4912) 465012</f>
        <v>#NAME?</v>
      </c>
      <c r="F2824" s="5" t="s">
        <v>33818</v>
      </c>
      <c r="G2824" s="5" t="s">
        <v>33819</v>
      </c>
      <c r="H2824" s="26">
        <v>23.5</v>
      </c>
      <c r="I2824" s="5" t="s">
        <v>33820</v>
      </c>
      <c r="J2824" s="5" t="s">
        <v>881</v>
      </c>
      <c r="K2824" s="5" t="s">
        <v>355</v>
      </c>
      <c r="L2824" s="5" t="s">
        <v>33821</v>
      </c>
      <c r="M2824" s="27">
        <v>100000</v>
      </c>
      <c r="N2824" s="5" t="s">
        <v>53744</v>
      </c>
      <c r="O2824" s="5" t="str">
        <v>7605016030</v>
      </c>
      <c r="P2824" s="27">
        <v>644000</v>
      </c>
      <c r="Q2824" s="5" t="s">
        <v>53746</v>
      </c>
      <c r="R2824" s="5"/>
      <c r="S2824" s="5" t="s">
        <v>50179</v>
      </c>
      <c r="T2824" s="28">
        <v>2693994000</v>
      </c>
      <c r="U2824" s="28"/>
      <c r="V2824" s="28">
        <v>1053934000</v>
      </c>
      <c r="W2824" s="28">
        <v>1000000</v>
      </c>
      <c r="X2824" s="28">
        <v>606882000</v>
      </c>
      <c r="Y2824" s="28">
        <v>4730051000</v>
      </c>
      <c r="Z2824" s="28">
        <v>2311730000</v>
      </c>
      <c r="AA2824" s="28">
        <v>683871000</v>
      </c>
      <c r="AB2824" s="28"/>
      <c r="AC2824" s="28">
        <v>1733709000</v>
      </c>
      <c r="AD2824" s="28">
        <v>2312471000</v>
      </c>
      <c r="AE2824" s="28">
        <v>10609400000</v>
      </c>
      <c r="AF2824" s="28">
        <v>169000</v>
      </c>
      <c r="AG2824" s="11"/>
    </row>
    <row r="2825">
      <c r="A2825" s="7" t="s">
        <v>4511</v>
      </c>
      <c r="B2825" s="5" t="s">
        <v>12484</v>
      </c>
      <c r="C2825" s="5" t="s">
        <v>20312</v>
      </c>
      <c r="D2825" s="5" t="str">
        <v>402803935197</v>
      </c>
      <c r="E2825" s="0" t="e">
        <f>+7 (484) 2565253
+7 (484) 2790063
+7 (484) 2790064</f>
        <v>#NAME?</v>
      </c>
      <c r="F2825" s="5" t="s">
        <v>33822</v>
      </c>
      <c r="G2825" s="5" t="s">
        <v>33823</v>
      </c>
      <c r="H2825" s="26">
        <v>19</v>
      </c>
      <c r="I2825" s="5" t="s">
        <v>33824</v>
      </c>
      <c r="J2825" s="5" t="s">
        <v>364</v>
      </c>
      <c r="K2825" s="5" t="s">
        <v>344</v>
      </c>
      <c r="L2825" s="5"/>
      <c r="M2825" s="27">
        <v>11088602</v>
      </c>
      <c r="N2825" s="5" t="s">
        <v>53747</v>
      </c>
      <c r="O2825" s="5" t="str">
        <v>4027063380</v>
      </c>
      <c r="P2825" s="27">
        <v>5470000</v>
      </c>
      <c r="Q2825" s="5" t="s">
        <v>53748</v>
      </c>
      <c r="R2825" s="5"/>
      <c r="S2825" s="5" t="s">
        <v>53749</v>
      </c>
      <c r="T2825" s="28">
        <v>304058000</v>
      </c>
      <c r="U2825" s="28"/>
      <c r="V2825" s="28">
        <v>764037000</v>
      </c>
      <c r="W2825" s="28">
        <v>6715000</v>
      </c>
      <c r="X2825" s="28">
        <v>32649000</v>
      </c>
      <c r="Y2825" s="28">
        <v>1436976000</v>
      </c>
      <c r="Z2825" s="28">
        <v>770210000</v>
      </c>
      <c r="AA2825" s="28"/>
      <c r="AB2825" s="28">
        <v>276818000</v>
      </c>
      <c r="AC2825" s="28">
        <v>653887000</v>
      </c>
      <c r="AD2825" s="28">
        <v>775683000</v>
      </c>
      <c r="AE2825" s="28">
        <v>3362841000</v>
      </c>
      <c r="AF2825" s="28">
        <v>62318000</v>
      </c>
      <c r="AG2825" s="11"/>
    </row>
    <row r="2826">
      <c r="A2826" s="7" t="s">
        <v>4512</v>
      </c>
      <c r="B2826" s="5" t="s">
        <v>12485</v>
      </c>
      <c r="C2826" s="5" t="s">
        <v>20313</v>
      </c>
      <c r="D2826" s="5" t="str">
        <v>540419587795</v>
      </c>
      <c r="E2826" s="0" t="e">
        <f>+7 (343) 3727381
+7 (3519) 465500
+7 (3519) 495001
+7 (3519) 495500
+7 (3519) 495599
+7 (3519) 497500
+7 (3519) 597553
+7 (35323) 1297
+7 (35325) 33515
+7 (383) 3358000
+7 (3022) 320381
+7 (343) 3728732
+7 (3472) 930016
+7 (3512) 111112
+7 (3522) 631118</f>
        <v>#NAME?</v>
      </c>
      <c r="F2826" s="5" t="s">
        <v>33825</v>
      </c>
      <c r="G2826" s="5" t="s">
        <v>33826</v>
      </c>
      <c r="H2826" s="26">
        <v>26</v>
      </c>
      <c r="I2826" s="5"/>
      <c r="J2826" s="5" t="s">
        <v>27783</v>
      </c>
      <c r="K2826" s="5" t="s">
        <v>355</v>
      </c>
      <c r="L2826" s="5" t="s">
        <v>33827</v>
      </c>
      <c r="M2826" s="27">
        <v>167321904</v>
      </c>
      <c r="N2826" s="5" t="s">
        <v>53750</v>
      </c>
      <c r="O2826" s="5" t="str">
        <v>7709219099</v>
      </c>
      <c r="P2826" s="27">
        <v>1071365000</v>
      </c>
      <c r="Q2826" s="5" t="s">
        <v>53751</v>
      </c>
      <c r="R2826" s="5" t="s">
        <v>53752</v>
      </c>
      <c r="S2826" s="5" t="s">
        <v>53753</v>
      </c>
      <c r="T2826" s="28">
        <v>8321896000</v>
      </c>
      <c r="U2826" s="28">
        <v>5916298000</v>
      </c>
      <c r="V2826" s="28">
        <v>5963799000</v>
      </c>
      <c r="W2826" s="28">
        <v>265077000</v>
      </c>
      <c r="X2826" s="28">
        <v>461945000</v>
      </c>
      <c r="Y2826" s="28">
        <v>26298622000</v>
      </c>
      <c r="Z2826" s="28">
        <v>3158201000</v>
      </c>
      <c r="AA2826" s="28">
        <v>7430705000</v>
      </c>
      <c r="AB2826" s="28">
        <v>2664634000</v>
      </c>
      <c r="AC2826" s="28">
        <v>11390477000</v>
      </c>
      <c r="AD2826" s="28">
        <v>4283541000</v>
      </c>
      <c r="AE2826" s="28">
        <v>20275452000</v>
      </c>
      <c r="AF2826" s="28">
        <v>182037000</v>
      </c>
      <c r="AG2826" s="11"/>
    </row>
    <row r="2827">
      <c r="A2827" s="7" t="s">
        <v>4513</v>
      </c>
      <c r="B2827" s="5" t="s">
        <v>12486</v>
      </c>
      <c r="C2827" s="5" t="s">
        <v>20314</v>
      </c>
      <c r="D2827" s="5" t="str">
        <v>025502445407</v>
      </c>
      <c r="E2827" s="0" t="e">
        <f>+7 (912) 8016662
+7 (3472) 488348
+7 (3472) 489993
+7 (3472) 925070</f>
        <v>#NAME?</v>
      </c>
      <c r="F2827" s="5" t="s">
        <v>33828</v>
      </c>
      <c r="G2827" s="5"/>
      <c r="H2827" s="26">
        <v>10.5</v>
      </c>
      <c r="I2827" s="5"/>
      <c r="J2827" s="5" t="s">
        <v>25327</v>
      </c>
      <c r="K2827" s="5" t="s">
        <v>344</v>
      </c>
      <c r="L2827" s="5" t="s">
        <v>33829</v>
      </c>
      <c r="M2827" s="27">
        <v>16920953</v>
      </c>
      <c r="N2827" s="5" t="s">
        <v>53754</v>
      </c>
      <c r="O2827" s="5" t="str">
        <v>7705989700</v>
      </c>
      <c r="P2827" s="27">
        <v>1000000</v>
      </c>
      <c r="Q2827" s="5" t="s">
        <v>53755</v>
      </c>
      <c r="R2827" s="5"/>
      <c r="S2827" s="5" t="s">
        <v>53756</v>
      </c>
      <c r="T2827" s="28">
        <v>27699000</v>
      </c>
      <c r="U2827" s="28"/>
      <c r="V2827" s="28">
        <v>3427275000</v>
      </c>
      <c r="W2827" s="28">
        <v>118565000</v>
      </c>
      <c r="X2827" s="28">
        <v>1169665000</v>
      </c>
      <c r="Y2827" s="28">
        <v>5095575000</v>
      </c>
      <c r="Z2827" s="28">
        <v>1607492000</v>
      </c>
      <c r="AA2827" s="28"/>
      <c r="AB2827" s="28">
        <v>954257000</v>
      </c>
      <c r="AC2827" s="28">
        <v>3454159000</v>
      </c>
      <c r="AD2827" s="28">
        <v>1609000000</v>
      </c>
      <c r="AE2827" s="28">
        <v>46781815000</v>
      </c>
      <c r="AF2827" s="28">
        <v>530813000</v>
      </c>
      <c r="AG2827" s="11"/>
    </row>
    <row r="2828">
      <c r="A2828" s="7" t="s">
        <v>4514</v>
      </c>
      <c r="B2828" s="5" t="s">
        <v>12487</v>
      </c>
      <c r="C2828" s="5" t="s">
        <v>20315</v>
      </c>
      <c r="D2828" s="5" t="str">
        <v>770803124198</v>
      </c>
      <c r="E2828" s="0" t="e">
        <f>+7 (39155) 71980
+7 (495) 1217170
+7 (495) 1277170
+7 (495) 1278170
+7 (495) 1282170
+7 (495) 1287071
+7 (495) 1287110
+7 (495) 1287170
+7 (495) 1287171
+7 (495) 1817363
+7 (495) 2314974
+7 (495) 2348006
+7 (495) 2348286
+7 (495) 2348600
+7 (495) 2348604</f>
        <v>#NAME?</v>
      </c>
      <c r="F2828" s="5" t="s">
        <v>33830</v>
      </c>
      <c r="G2828" s="5" t="s">
        <v>33831</v>
      </c>
      <c r="H2828" s="26">
        <v>23</v>
      </c>
      <c r="I2828" s="5" t="s">
        <v>33832</v>
      </c>
      <c r="J2828" s="5" t="s">
        <v>25429</v>
      </c>
      <c r="K2828" s="5" t="s">
        <v>344</v>
      </c>
      <c r="L2828" s="5" t="s">
        <v>33833</v>
      </c>
      <c r="M2828" s="27">
        <v>1208</v>
      </c>
      <c r="N2828" s="5" t="s">
        <v>53757</v>
      </c>
      <c r="O2828" s="5" t="str">
        <v>7727173908</v>
      </c>
      <c r="P2828" s="27">
        <v>100000</v>
      </c>
      <c r="Q2828" s="5" t="s">
        <v>53758</v>
      </c>
      <c r="R2828" s="5"/>
      <c r="S2828" s="5" t="s">
        <v>53759</v>
      </c>
      <c r="T2828" s="28">
        <v>539562000</v>
      </c>
      <c r="U2828" s="28"/>
      <c r="V2828" s="28">
        <v>1519085000</v>
      </c>
      <c r="W2828" s="28">
        <v>5465000</v>
      </c>
      <c r="X2828" s="28">
        <v>46070000</v>
      </c>
      <c r="Y2828" s="28">
        <v>4892094000</v>
      </c>
      <c r="Z2828" s="28">
        <v>2494943000</v>
      </c>
      <c r="AA2828" s="28"/>
      <c r="AB2828" s="28">
        <v>38751000</v>
      </c>
      <c r="AC2828" s="28">
        <v>2350316000</v>
      </c>
      <c r="AD2828" s="28">
        <v>2495043000</v>
      </c>
      <c r="AE2828" s="28">
        <v>13176784000</v>
      </c>
      <c r="AF2828" s="28">
        <v>1228338000</v>
      </c>
      <c r="AG2828" s="11"/>
    </row>
    <row r="2829">
      <c r="A2829" s="7" t="s">
        <v>4515</v>
      </c>
      <c r="B2829" s="5" t="s">
        <v>12488</v>
      </c>
      <c r="C2829" s="5" t="s">
        <v>20316</v>
      </c>
      <c r="D2829" s="5" t="str">
        <v>272106699181</v>
      </c>
      <c r="E2829" s="0" t="e">
        <f>+7 (411) 2334111
+7 (415) 2335000
+7 (421) 2355000
+7 (421) 2794279</f>
        <v>#NAME?</v>
      </c>
      <c r="F2829" s="5" t="s">
        <v>33834</v>
      </c>
      <c r="G2829" s="5"/>
      <c r="H2829" s="26">
        <v>20</v>
      </c>
      <c r="I2829" s="5" t="s">
        <v>33835</v>
      </c>
      <c r="J2829" s="5" t="s">
        <v>25429</v>
      </c>
      <c r="K2829" s="5" t="s">
        <v>344</v>
      </c>
      <c r="L2829" s="5" t="s">
        <v>33836</v>
      </c>
      <c r="M2829" s="27"/>
      <c r="N2829" s="5" t="s">
        <v>53760</v>
      </c>
      <c r="O2829" s="5" t="str">
        <v>2724069628</v>
      </c>
      <c r="P2829" s="27">
        <v>20500</v>
      </c>
      <c r="Q2829" s="5" t="s">
        <v>53761</v>
      </c>
      <c r="R2829" s="5"/>
      <c r="S2829" s="5" t="s">
        <v>53762</v>
      </c>
      <c r="T2829" s="28">
        <v>112923000</v>
      </c>
      <c r="U2829" s="28">
        <v>148945000</v>
      </c>
      <c r="V2829" s="28">
        <v>949019000</v>
      </c>
      <c r="W2829" s="28">
        <v>21500000</v>
      </c>
      <c r="X2829" s="28">
        <v>22893000</v>
      </c>
      <c r="Y2829" s="28">
        <v>3316834000</v>
      </c>
      <c r="Z2829" s="28">
        <v>1167742000</v>
      </c>
      <c r="AA2829" s="28">
        <v>503140000</v>
      </c>
      <c r="AB2829" s="28">
        <v>4108000</v>
      </c>
      <c r="AC2829" s="28">
        <v>1521206000</v>
      </c>
      <c r="AD2829" s="28">
        <v>1167763000</v>
      </c>
      <c r="AE2829" s="28">
        <v>9896981000</v>
      </c>
      <c r="AF2829" s="28">
        <v>314797000</v>
      </c>
      <c r="AG2829" s="11"/>
    </row>
    <row r="2830">
      <c r="A2830" s="7" t="s">
        <v>4516</v>
      </c>
      <c r="B2830" s="5" t="s">
        <v>12489</v>
      </c>
      <c r="C2830" s="5" t="s">
        <v>20317</v>
      </c>
      <c r="D2830" s="5" t="str">
        <v>561200817989</v>
      </c>
      <c r="E2830" s="0" t="e">
        <f>+7 (416) 2331233
+7 (495) 2801076
+7 (495) 4012434
+7 (495) 4055050
+7 (495) 4535334
+7 (495) 4565464
+7 (495) 4646465
+7 (499) 7055007
+7 (499) 7058505
+7 (383) 2078485
+7 (495) 8418417
+7 (499) 7055055
+7 (499) 7505050
+7 (499) 7695160
+7 (499) 9300084</f>
        <v>#NAME?</v>
      </c>
      <c r="F2830" s="5" t="s">
        <v>33837</v>
      </c>
      <c r="G2830" s="5" t="s">
        <v>33838</v>
      </c>
      <c r="H2830" s="26">
        <v>18</v>
      </c>
      <c r="I2830" s="5" t="s">
        <v>33839</v>
      </c>
      <c r="J2830" s="5" t="s">
        <v>26767</v>
      </c>
      <c r="K2830" s="5" t="s">
        <v>344</v>
      </c>
      <c r="L2830" s="5" t="s">
        <v>33840</v>
      </c>
      <c r="M2830" s="27"/>
      <c r="N2830" s="5" t="s">
        <v>53763</v>
      </c>
      <c r="O2830" s="5" t="str">
        <v>7704543951</v>
      </c>
      <c r="P2830" s="27">
        <v>1000000</v>
      </c>
      <c r="Q2830" s="5" t="s">
        <v>53764</v>
      </c>
      <c r="R2830" s="5"/>
      <c r="S2830" s="5" t="s">
        <v>53765</v>
      </c>
      <c r="T2830" s="28">
        <v>342338000</v>
      </c>
      <c r="U2830" s="28"/>
      <c r="V2830" s="28">
        <v>2404025000</v>
      </c>
      <c r="W2830" s="28"/>
      <c r="X2830" s="28">
        <v>252323000</v>
      </c>
      <c r="Y2830" s="28">
        <v>4890300000</v>
      </c>
      <c r="Z2830" s="28">
        <v>1333143000</v>
      </c>
      <c r="AA2830" s="28">
        <v>492600000</v>
      </c>
      <c r="AB2830" s="28">
        <v>972255000</v>
      </c>
      <c r="AC2830" s="28">
        <v>2795763000</v>
      </c>
      <c r="AD2830" s="28">
        <v>1334143000</v>
      </c>
      <c r="AE2830" s="28">
        <v>8583754000</v>
      </c>
      <c r="AF2830" s="28">
        <v>933444000</v>
      </c>
      <c r="AG2830" s="11"/>
    </row>
    <row r="2831">
      <c r="A2831" s="7" t="s">
        <v>4517</v>
      </c>
      <c r="B2831" s="5" t="s">
        <v>12490</v>
      </c>
      <c r="C2831" s="5" t="s">
        <v>20318</v>
      </c>
      <c r="D2831" s="5" t="str">
        <v>420600192918</v>
      </c>
      <c r="E2831" s="0" t="e">
        <f>+7 (384) 2452369
+7 (923) 6163793
+7 (923) 5233535
+7 (923) 6179125</f>
        <v>#NAME?</v>
      </c>
      <c r="F2831" s="5" t="s">
        <v>33841</v>
      </c>
      <c r="G2831" s="5"/>
      <c r="H2831" s="26">
        <v>14</v>
      </c>
      <c r="I2831" s="5" t="s">
        <v>33842</v>
      </c>
      <c r="J2831" s="5" t="s">
        <v>27115</v>
      </c>
      <c r="K2831" s="5" t="s">
        <v>344</v>
      </c>
      <c r="L2831" s="5" t="s">
        <v>33843</v>
      </c>
      <c r="M2831" s="27">
        <v>85000</v>
      </c>
      <c r="N2831" s="5" t="s">
        <v>53766</v>
      </c>
      <c r="O2831" s="5" t="str">
        <v>4205172880</v>
      </c>
      <c r="P2831" s="27">
        <v>300000</v>
      </c>
      <c r="Q2831" s="5" t="s">
        <v>53767</v>
      </c>
      <c r="R2831" s="5"/>
      <c r="S2831" s="5" t="s">
        <v>53768</v>
      </c>
      <c r="T2831" s="28">
        <v>197666000</v>
      </c>
      <c r="U2831" s="28">
        <v>290000</v>
      </c>
      <c r="V2831" s="28">
        <v>322621000</v>
      </c>
      <c r="W2831" s="28"/>
      <c r="X2831" s="28">
        <v>46562000</v>
      </c>
      <c r="Y2831" s="28">
        <v>1807240000</v>
      </c>
      <c r="Z2831" s="28">
        <v>44720000</v>
      </c>
      <c r="AA2831" s="28">
        <v>290191000</v>
      </c>
      <c r="AB2831" s="28">
        <v>300459000</v>
      </c>
      <c r="AC2831" s="28">
        <v>1472028000</v>
      </c>
      <c r="AD2831" s="28">
        <v>45020000</v>
      </c>
      <c r="AE2831" s="28">
        <v>8262791000</v>
      </c>
      <c r="AF2831" s="28">
        <v>9620000</v>
      </c>
      <c r="AG2831" s="11"/>
    </row>
    <row r="2832">
      <c r="A2832" s="7" t="s">
        <v>4518</v>
      </c>
      <c r="B2832" s="5" t="s">
        <v>12491</v>
      </c>
      <c r="C2832" s="5" t="s">
        <v>20319</v>
      </c>
      <c r="D2832" s="5" t="str">
        <v>182806139140</v>
      </c>
      <c r="E2832" s="0" t="e">
        <f>+7 (925) 6232943</f>
        <v>#NAME?</v>
      </c>
      <c r="F2832" s="5"/>
      <c r="G2832" s="5"/>
      <c r="H2832" s="26">
        <v>5.5</v>
      </c>
      <c r="I2832" s="5" t="s">
        <v>33844</v>
      </c>
      <c r="J2832" s="5" t="s">
        <v>27956</v>
      </c>
      <c r="K2832" s="5" t="s">
        <v>344</v>
      </c>
      <c r="L2832" s="5" t="s">
        <v>33845</v>
      </c>
      <c r="M2832" s="27"/>
      <c r="N2832" s="5"/>
      <c r="O2832" s="5" t="str">
        <v>9721050558</v>
      </c>
      <c r="P2832" s="27">
        <v>550000</v>
      </c>
      <c r="Q2832" s="5" t="s">
        <v>49009</v>
      </c>
      <c r="R2832" s="5"/>
      <c r="S2832" s="5" t="s">
        <v>49066</v>
      </c>
      <c r="T2832" s="28">
        <v>9000</v>
      </c>
      <c r="U2832" s="28"/>
      <c r="V2832" s="28">
        <v>190230000</v>
      </c>
      <c r="W2832" s="28">
        <v>1154000</v>
      </c>
      <c r="X2832" s="28">
        <v>45241000</v>
      </c>
      <c r="Y2832" s="28">
        <v>263182000</v>
      </c>
      <c r="Z2832" s="28">
        <v>180933000</v>
      </c>
      <c r="AA2832" s="28"/>
      <c r="AB2832" s="28">
        <v>53265000</v>
      </c>
      <c r="AC2832" s="28">
        <v>81699000</v>
      </c>
      <c r="AD2832" s="28">
        <v>181489000</v>
      </c>
      <c r="AE2832" s="28">
        <v>3976924000</v>
      </c>
      <c r="AF2832" s="28">
        <v>65972000</v>
      </c>
      <c r="AG2832" s="11"/>
    </row>
    <row r="2833">
      <c r="A2833" s="7" t="s">
        <v>4519</v>
      </c>
      <c r="B2833" s="5" t="s">
        <v>12492</v>
      </c>
      <c r="C2833" s="5" t="s">
        <v>20320</v>
      </c>
      <c r="D2833" s="5" t="str">
        <v>263204882600</v>
      </c>
      <c r="F2833" s="5"/>
      <c r="G2833" s="5" t="s">
        <v>33846</v>
      </c>
      <c r="H2833" s="26">
        <v>6.5</v>
      </c>
      <c r="I2833" s="5" t="s">
        <v>33847</v>
      </c>
      <c r="J2833" s="5" t="s">
        <v>26125</v>
      </c>
      <c r="K2833" s="5" t="s">
        <v>355</v>
      </c>
      <c r="L2833" s="5" t="s">
        <v>33342</v>
      </c>
      <c r="M2833" s="27">
        <v>1014978</v>
      </c>
      <c r="N2833" s="5" t="s">
        <v>53769</v>
      </c>
      <c r="O2833" s="5" t="str">
        <v>7722380019</v>
      </c>
      <c r="P2833" s="27">
        <v>10000000</v>
      </c>
      <c r="Q2833" s="5" t="s">
        <v>49059</v>
      </c>
      <c r="R2833" s="5"/>
      <c r="S2833" s="5" t="s">
        <v>49045</v>
      </c>
      <c r="T2833" s="28">
        <v>273000</v>
      </c>
      <c r="U2833" s="28">
        <v>344515000</v>
      </c>
      <c r="V2833" s="28">
        <v>534837000</v>
      </c>
      <c r="W2833" s="28">
        <v>32878000</v>
      </c>
      <c r="X2833" s="28">
        <v>3300000</v>
      </c>
      <c r="Y2833" s="28">
        <v>2550523000</v>
      </c>
      <c r="Z2833" s="28">
        <v>111258000</v>
      </c>
      <c r="AA2833" s="28">
        <v>288425000</v>
      </c>
      <c r="AB2833" s="28">
        <v>1653381000</v>
      </c>
      <c r="AC2833" s="28">
        <v>2140840000</v>
      </c>
      <c r="AD2833" s="28">
        <v>121258000</v>
      </c>
      <c r="AE2833" s="28">
        <v>5265804000</v>
      </c>
      <c r="AF2833" s="28">
        <v>18446000</v>
      </c>
      <c r="AG2833" s="11"/>
    </row>
    <row r="2834">
      <c r="A2834" s="7" t="s">
        <v>4520</v>
      </c>
      <c r="B2834" s="5" t="s">
        <v>12493</v>
      </c>
      <c r="C2834" s="5" t="s">
        <v>20321</v>
      </c>
      <c r="D2834" s="5" t="str">
        <v>667210548376</v>
      </c>
      <c r="E2834" s="0" t="e">
        <f>+7 (343) 2103286
+7 (343) 2166250
+7 (343) 2166260
+7 (343) 2166261
+7 (343) 2166262
+7 (343) 2166266
+7 (343) 2602683</f>
        <v>#NAME?</v>
      </c>
      <c r="F2834" s="5" t="s">
        <v>33848</v>
      </c>
      <c r="G2834" s="5" t="s">
        <v>33849</v>
      </c>
      <c r="H2834" s="26">
        <v>26</v>
      </c>
      <c r="I2834" s="5"/>
      <c r="J2834" s="5" t="s">
        <v>1059</v>
      </c>
      <c r="K2834" s="5" t="s">
        <v>344</v>
      </c>
      <c r="L2834" s="5" t="s">
        <v>33850</v>
      </c>
      <c r="M2834" s="27"/>
      <c r="N2834" s="5" t="s">
        <v>53770</v>
      </c>
      <c r="O2834" s="5" t="str">
        <v>6661064100</v>
      </c>
      <c r="P2834" s="27">
        <v>10000053</v>
      </c>
      <c r="Q2834" s="5" t="s">
        <v>49207</v>
      </c>
      <c r="R2834" s="5"/>
      <c r="S2834" s="5" t="s">
        <v>50918</v>
      </c>
      <c r="T2834" s="28">
        <v>84393000</v>
      </c>
      <c r="U2834" s="28">
        <v>12400000</v>
      </c>
      <c r="V2834" s="28">
        <v>573992000</v>
      </c>
      <c r="W2834" s="28">
        <v>50000000</v>
      </c>
      <c r="X2834" s="28">
        <v>524000</v>
      </c>
      <c r="Y2834" s="28">
        <v>832778000</v>
      </c>
      <c r="Z2834" s="28">
        <v>426532000</v>
      </c>
      <c r="AA2834" s="28"/>
      <c r="AB2834" s="28">
        <v>65064000</v>
      </c>
      <c r="AC2834" s="28">
        <v>383604000</v>
      </c>
      <c r="AD2834" s="28">
        <v>437032000</v>
      </c>
      <c r="AE2834" s="28">
        <v>3585554000</v>
      </c>
      <c r="AF2834" s="28">
        <v>54097000</v>
      </c>
      <c r="AG2834" s="11"/>
    </row>
    <row r="2835">
      <c r="A2835" s="7" t="s">
        <v>4521</v>
      </c>
      <c r="B2835" s="5" t="s">
        <v>12494</v>
      </c>
      <c r="C2835" s="5" t="s">
        <v>20322</v>
      </c>
      <c r="D2835" s="5" t="str">
        <v>402502965180</v>
      </c>
      <c r="F2835" s="5" t="s">
        <v>33851</v>
      </c>
      <c r="G2835" s="5"/>
      <c r="H2835" s="26">
        <v>3.5</v>
      </c>
      <c r="I2835" s="5" t="s">
        <v>33852</v>
      </c>
      <c r="J2835" s="5" t="s">
        <v>26887</v>
      </c>
      <c r="K2835" s="5" t="s">
        <v>344</v>
      </c>
      <c r="L2835" s="5"/>
      <c r="M2835" s="27"/>
      <c r="N2835" s="5"/>
      <c r="O2835" s="5" t="str">
        <v>7113015219</v>
      </c>
      <c r="P2835" s="27">
        <v>580000000</v>
      </c>
      <c r="Q2835" s="5" t="s">
        <v>49059</v>
      </c>
      <c r="R2835" s="5"/>
      <c r="S2835" s="5" t="s">
        <v>49029</v>
      </c>
      <c r="T2835" s="28">
        <v>1843061000</v>
      </c>
      <c r="U2835" s="28"/>
      <c r="V2835" s="28">
        <v>947837000</v>
      </c>
      <c r="W2835" s="28"/>
      <c r="X2835" s="28">
        <v>138550000</v>
      </c>
      <c r="Y2835" s="28">
        <v>4158791000</v>
      </c>
      <c r="Z2835" s="28">
        <v>1139881000</v>
      </c>
      <c r="AA2835" s="28">
        <v>642224000</v>
      </c>
      <c r="AB2835" s="28">
        <v>66050000</v>
      </c>
      <c r="AC2835" s="28">
        <v>1777836000</v>
      </c>
      <c r="AD2835" s="28">
        <v>1719881000</v>
      </c>
      <c r="AE2835" s="28">
        <v>4283188000</v>
      </c>
      <c r="AF2835" s="28">
        <v>199914000</v>
      </c>
      <c r="AG2835" s="11"/>
    </row>
    <row r="2836">
      <c r="A2836" s="7" t="s">
        <v>4522</v>
      </c>
      <c r="B2836" s="5" t="s">
        <v>12495</v>
      </c>
      <c r="C2836" s="5" t="s">
        <v>20323</v>
      </c>
      <c r="D2836" s="5" t="str">
        <v>503403154404</v>
      </c>
      <c r="E2836" s="0" t="e">
        <f>+7 (495) 6622732
+7 (495) 7374058
+7 (915) 3627888</f>
        <v>#NAME?</v>
      </c>
      <c r="F2836" s="5" t="s">
        <v>33853</v>
      </c>
      <c r="G2836" s="5" t="s">
        <v>33854</v>
      </c>
      <c r="H2836" s="26">
        <v>17</v>
      </c>
      <c r="I2836" s="5" t="s">
        <v>33855</v>
      </c>
      <c r="J2836" s="5" t="s">
        <v>25327</v>
      </c>
      <c r="K2836" s="5" t="s">
        <v>344</v>
      </c>
      <c r="L2836" s="5"/>
      <c r="M2836" s="27"/>
      <c r="N2836" s="5" t="s">
        <v>53771</v>
      </c>
      <c r="O2836" s="5" t="str">
        <v>5035033768</v>
      </c>
      <c r="P2836" s="27">
        <v>1000000</v>
      </c>
      <c r="Q2836" s="5" t="s">
        <v>49057</v>
      </c>
      <c r="R2836" s="5"/>
      <c r="S2836" s="5" t="s">
        <v>53772</v>
      </c>
      <c r="T2836" s="28">
        <v>322924000</v>
      </c>
      <c r="U2836" s="28">
        <v>156297000</v>
      </c>
      <c r="V2836" s="28">
        <v>460317000</v>
      </c>
      <c r="W2836" s="28"/>
      <c r="X2836" s="28">
        <v>20022000</v>
      </c>
      <c r="Y2836" s="28">
        <v>1033105000</v>
      </c>
      <c r="Z2836" s="28">
        <v>150525000</v>
      </c>
      <c r="AA2836" s="28">
        <v>4800000</v>
      </c>
      <c r="AB2836" s="28"/>
      <c r="AC2836" s="28">
        <v>210618000</v>
      </c>
      <c r="AD2836" s="28">
        <v>151525000</v>
      </c>
      <c r="AE2836" s="28">
        <v>13610143000</v>
      </c>
      <c r="AF2836" s="28">
        <v>43842000</v>
      </c>
      <c r="AG2836" s="11"/>
    </row>
    <row r="2837">
      <c r="A2837" s="7" t="s">
        <v>4523</v>
      </c>
      <c r="B2837" s="5" t="s">
        <v>12496</v>
      </c>
      <c r="C2837" s="5" t="s">
        <v>20324</v>
      </c>
      <c r="D2837" s="5" t="str">
        <v>772981853815</v>
      </c>
      <c r="E2837" s="0" t="e">
        <f>+7 (495) 7555226
+7 (926) 8000174
+7 (34997) 47091
+7 (495) 2581536
+7 (926) 2490320</f>
        <v>#NAME?</v>
      </c>
      <c r="F2837" s="5" t="s">
        <v>33856</v>
      </c>
      <c r="G2837" s="5" t="s">
        <v>33857</v>
      </c>
      <c r="H2837" s="26">
        <v>11.5</v>
      </c>
      <c r="I2837" s="5" t="s">
        <v>33858</v>
      </c>
      <c r="J2837" s="5" t="s">
        <v>373</v>
      </c>
      <c r="K2837" s="5" t="s">
        <v>355</v>
      </c>
      <c r="L2837" s="5" t="s">
        <v>33859</v>
      </c>
      <c r="M2837" s="27"/>
      <c r="N2837" s="5" t="s">
        <v>53773</v>
      </c>
      <c r="O2837" s="5" t="str">
        <v>7729694984</v>
      </c>
      <c r="P2837" s="27">
        <v>10000</v>
      </c>
      <c r="Q2837" s="5" t="s">
        <v>49057</v>
      </c>
      <c r="R2837" s="5"/>
      <c r="S2837" s="5" t="s">
        <v>49101</v>
      </c>
      <c r="T2837" s="28">
        <v>650000</v>
      </c>
      <c r="U2837" s="28"/>
      <c r="V2837" s="28">
        <v>1551837000</v>
      </c>
      <c r="W2837" s="28"/>
      <c r="X2837" s="28">
        <v>6097000</v>
      </c>
      <c r="Y2837" s="28">
        <v>2191589000</v>
      </c>
      <c r="Z2837" s="28">
        <v>385727000</v>
      </c>
      <c r="AA2837" s="28">
        <v>249922000</v>
      </c>
      <c r="AB2837" s="28">
        <v>224734000</v>
      </c>
      <c r="AC2837" s="28">
        <v>1555855000</v>
      </c>
      <c r="AD2837" s="28">
        <v>385737000</v>
      </c>
      <c r="AE2837" s="28">
        <v>9868674000</v>
      </c>
      <c r="AF2837" s="28">
        <v>88320000</v>
      </c>
      <c r="AG2837" s="11"/>
    </row>
    <row r="2838">
      <c r="A2838" s="7" t="s">
        <v>4524</v>
      </c>
      <c r="B2838" s="5" t="s">
        <v>12497</v>
      </c>
      <c r="C2838" s="5" t="s">
        <v>20325</v>
      </c>
      <c r="D2838" s="5" t="str">
        <v>504209680750</v>
      </c>
      <c r="E2838" s="0" t="e">
        <f>+7 (495) 7272862</f>
        <v>#NAME?</v>
      </c>
      <c r="F2838" s="5" t="s">
        <v>33860</v>
      </c>
      <c r="G2838" s="5"/>
      <c r="H2838" s="26">
        <v>2.5</v>
      </c>
      <c r="I2838" s="5" t="s">
        <v>33861</v>
      </c>
      <c r="J2838" s="5" t="s">
        <v>32521</v>
      </c>
      <c r="K2838" s="5" t="s">
        <v>344</v>
      </c>
      <c r="L2838" s="5" t="s">
        <v>33862</v>
      </c>
      <c r="M2838" s="27"/>
      <c r="N2838" s="5"/>
      <c r="O2838" s="5" t="str">
        <v>9729299508</v>
      </c>
      <c r="P2838" s="27">
        <v>60000</v>
      </c>
      <c r="Q2838" s="5"/>
      <c r="R2838" s="5"/>
      <c r="S2838" s="5" t="s">
        <v>49029</v>
      </c>
      <c r="T2838" s="28"/>
      <c r="U2838" s="28"/>
      <c r="V2838" s="28">
        <v>111946000</v>
      </c>
      <c r="W2838" s="28">
        <v>150000000</v>
      </c>
      <c r="X2838" s="28">
        <v>3290000</v>
      </c>
      <c r="Y2838" s="28">
        <v>462624000</v>
      </c>
      <c r="Z2838" s="28">
        <v>22718000</v>
      </c>
      <c r="AA2838" s="28"/>
      <c r="AB2838" s="28"/>
      <c r="AC2838" s="28">
        <v>244453000</v>
      </c>
      <c r="AD2838" s="28">
        <v>22818000</v>
      </c>
      <c r="AE2838" s="28">
        <v>3356302000</v>
      </c>
      <c r="AF2838" s="28">
        <v>19581000</v>
      </c>
      <c r="AG2838" s="11"/>
    </row>
    <row r="2839">
      <c r="A2839" s="7" t="s">
        <v>4524</v>
      </c>
      <c r="B2839" s="5" t="s">
        <v>12498</v>
      </c>
      <c r="C2839" s="5" t="s">
        <v>20326</v>
      </c>
      <c r="D2839" s="5" t="str">
        <v>230809289140</v>
      </c>
      <c r="E2839" s="0" t="e">
        <f>+7 (861) 9912340
+7 (861) 9912342
+7 (988) 1390139</f>
        <v>#NAME?</v>
      </c>
      <c r="F2839" s="5" t="s">
        <v>33863</v>
      </c>
      <c r="G2839" s="5"/>
      <c r="H2839" s="26">
        <v>3.5</v>
      </c>
      <c r="I2839" s="5" t="s">
        <v>33864</v>
      </c>
      <c r="J2839" s="5" t="s">
        <v>693</v>
      </c>
      <c r="K2839" s="5" t="s">
        <v>344</v>
      </c>
      <c r="L2839" s="5" t="s">
        <v>29619</v>
      </c>
      <c r="M2839" s="27"/>
      <c r="N2839" s="5" t="s">
        <v>53774</v>
      </c>
      <c r="O2839" s="5" t="str">
        <v>2312287546</v>
      </c>
      <c r="P2839" s="27">
        <v>20000</v>
      </c>
      <c r="Q2839" s="5" t="s">
        <v>53775</v>
      </c>
      <c r="R2839" s="5"/>
      <c r="S2839" s="5" t="s">
        <v>53776</v>
      </c>
      <c r="T2839" s="28">
        <v>103109000</v>
      </c>
      <c r="U2839" s="28"/>
      <c r="V2839" s="28">
        <v>1337670000</v>
      </c>
      <c r="W2839" s="28">
        <v>5049000</v>
      </c>
      <c r="X2839" s="28">
        <v>81844000</v>
      </c>
      <c r="Y2839" s="28">
        <v>1890615000</v>
      </c>
      <c r="Z2839" s="28">
        <v>75066000</v>
      </c>
      <c r="AA2839" s="28">
        <v>200000000</v>
      </c>
      <c r="AB2839" s="28">
        <v>1953000</v>
      </c>
      <c r="AC2839" s="28">
        <v>1481785000</v>
      </c>
      <c r="AD2839" s="28">
        <v>75086000</v>
      </c>
      <c r="AE2839" s="28">
        <v>5682053000</v>
      </c>
      <c r="AF2839" s="28">
        <v>53751000</v>
      </c>
      <c r="AG2839" s="11"/>
    </row>
    <row r="2840">
      <c r="A2840" s="7" t="s">
        <v>4525</v>
      </c>
      <c r="B2840" s="5" t="s">
        <v>12499</v>
      </c>
      <c r="C2840" s="5" t="s">
        <v>20327</v>
      </c>
      <c r="D2840" s="5" t="str">
        <v>471401853282</v>
      </c>
      <c r="E2840" s="0" t="e">
        <f>+7 (812) 6111044
+7 (81369) 42870</f>
        <v>#NAME?</v>
      </c>
      <c r="F2840" s="5" t="s">
        <v>33865</v>
      </c>
      <c r="G2840" s="5" t="s">
        <v>33866</v>
      </c>
      <c r="H2840" s="26">
        <v>9</v>
      </c>
      <c r="I2840" s="5" t="s">
        <v>33867</v>
      </c>
      <c r="J2840" s="5" t="s">
        <v>25612</v>
      </c>
      <c r="K2840" s="5" t="s">
        <v>344</v>
      </c>
      <c r="L2840" s="5" t="s">
        <v>33868</v>
      </c>
      <c r="M2840" s="27">
        <v>3614456</v>
      </c>
      <c r="N2840" s="5" t="s">
        <v>53777</v>
      </c>
      <c r="O2840" s="5" t="str">
        <v>7801625511</v>
      </c>
      <c r="P2840" s="27">
        <v>300000</v>
      </c>
      <c r="Q2840" s="5" t="s">
        <v>53778</v>
      </c>
      <c r="R2840" s="5"/>
      <c r="S2840" s="5" t="s">
        <v>53779</v>
      </c>
      <c r="T2840" s="28">
        <v>33716000</v>
      </c>
      <c r="U2840" s="28">
        <v>5165000</v>
      </c>
      <c r="V2840" s="28">
        <v>3191891000</v>
      </c>
      <c r="W2840" s="28">
        <v>255070000</v>
      </c>
      <c r="X2840" s="28">
        <v>210029000</v>
      </c>
      <c r="Y2840" s="28">
        <v>4148513000</v>
      </c>
      <c r="Z2840" s="28">
        <v>1193601000</v>
      </c>
      <c r="AA2840" s="28"/>
      <c r="AB2840" s="28"/>
      <c r="AC2840" s="28">
        <v>2908631000</v>
      </c>
      <c r="AD2840" s="28">
        <v>1193901000</v>
      </c>
      <c r="AE2840" s="28">
        <v>5333558000</v>
      </c>
      <c r="AF2840" s="28">
        <v>915053000</v>
      </c>
      <c r="AG2840" s="11"/>
    </row>
    <row r="2841">
      <c r="A2841" s="7" t="s">
        <v>4526</v>
      </c>
      <c r="B2841" s="5" t="s">
        <v>12500</v>
      </c>
      <c r="C2841" s="5" t="s">
        <v>20328</v>
      </c>
      <c r="D2841" s="5" t="str">
        <v>251101652474</v>
      </c>
      <c r="E2841" s="0" t="e">
        <f>+7 (421) 2325956
+7 (4234) 324459
+7 (4234) 324479
+7 (4234) 325602
+7 (4234) 325956
+7 (4234) 345668
+7 (4234) 345790
+7 (4234) 358123
+7 (4234) 358330</f>
        <v>#NAME?</v>
      </c>
      <c r="F2841" s="5" t="s">
        <v>33869</v>
      </c>
      <c r="G2841" s="5"/>
      <c r="H2841" s="26">
        <v>23</v>
      </c>
      <c r="I2841" s="5" t="s">
        <v>33870</v>
      </c>
      <c r="J2841" s="5" t="s">
        <v>25327</v>
      </c>
      <c r="K2841" s="5" t="s">
        <v>344</v>
      </c>
      <c r="L2841" s="5" t="s">
        <v>33871</v>
      </c>
      <c r="M2841" s="27"/>
      <c r="N2841" s="5" t="s">
        <v>53780</v>
      </c>
      <c r="O2841" s="5" t="str">
        <v>2511036120</v>
      </c>
      <c r="P2841" s="27">
        <v>10000</v>
      </c>
      <c r="Q2841" s="5" t="s">
        <v>53781</v>
      </c>
      <c r="R2841" s="5"/>
      <c r="S2841" s="5" t="s">
        <v>53782</v>
      </c>
      <c r="T2841" s="28">
        <v>187135000</v>
      </c>
      <c r="U2841" s="28"/>
      <c r="V2841" s="28">
        <v>403137000</v>
      </c>
      <c r="W2841" s="28"/>
      <c r="X2841" s="28">
        <v>4071000</v>
      </c>
      <c r="Y2841" s="28">
        <v>799228000</v>
      </c>
      <c r="Z2841" s="28">
        <v>442687000</v>
      </c>
      <c r="AA2841" s="28"/>
      <c r="AB2841" s="28">
        <v>270042000</v>
      </c>
      <c r="AC2841" s="28">
        <v>356531000</v>
      </c>
      <c r="AD2841" s="28">
        <v>442697000</v>
      </c>
      <c r="AE2841" s="28">
        <v>3975142000</v>
      </c>
      <c r="AF2841" s="28">
        <v>116035000</v>
      </c>
      <c r="AG2841" s="11"/>
    </row>
    <row r="2842">
      <c r="A2842" s="7" t="s">
        <v>4527</v>
      </c>
      <c r="B2842" s="5" t="s">
        <v>12501</v>
      </c>
      <c r="C2842" s="5" t="s">
        <v>20329</v>
      </c>
      <c r="D2842" s="5" t="str">
        <v>772732234371</v>
      </c>
      <c r="E2842" s="0" t="e">
        <f>+7 (3012) 230161
+7 (3022) 324903
+7 (3412) 377545
+7 (3412) 377664
+7 (345) 2342270
+7 (3519) 294914
+7 (35324) 4607
+7 (35324) 4608
+7 (381) 2210300
+7 (381) 2595503
+7 (382) 2902703
+7 (384) 2592202
+7 (384) 2657460
+7 (3843) 464644
+7 (3843) 600518</f>
        <v>#NAME?</v>
      </c>
      <c r="F2842" s="5" t="s">
        <v>33872</v>
      </c>
      <c r="G2842" s="5"/>
      <c r="H2842" s="26">
        <v>30</v>
      </c>
      <c r="I2842" s="5"/>
      <c r="J2842" s="5" t="s">
        <v>25429</v>
      </c>
      <c r="K2842" s="5" t="s">
        <v>344</v>
      </c>
      <c r="L2842" s="5" t="s">
        <v>33873</v>
      </c>
      <c r="M2842" s="27"/>
      <c r="N2842" s="5" t="s">
        <v>53783</v>
      </c>
      <c r="O2842" s="5" t="str">
        <v>7703012997</v>
      </c>
      <c r="P2842" s="27">
        <v>1000000</v>
      </c>
      <c r="Q2842" s="5"/>
      <c r="R2842" s="5"/>
      <c r="S2842" s="5" t="s">
        <v>49110</v>
      </c>
      <c r="T2842" s="28">
        <v>140743000</v>
      </c>
      <c r="U2842" s="28"/>
      <c r="V2842" s="28">
        <v>687939000</v>
      </c>
      <c r="W2842" s="28"/>
      <c r="X2842" s="28">
        <v>884282000</v>
      </c>
      <c r="Y2842" s="28">
        <v>2242608000</v>
      </c>
      <c r="Z2842" s="28">
        <v>1873215000</v>
      </c>
      <c r="AA2842" s="28"/>
      <c r="AB2842" s="28"/>
      <c r="AC2842" s="28">
        <v>280876000</v>
      </c>
      <c r="AD2842" s="28">
        <v>1874241000</v>
      </c>
      <c r="AE2842" s="28">
        <v>4085453000</v>
      </c>
      <c r="AF2842" s="28">
        <v>281900000</v>
      </c>
      <c r="AG2842" s="11"/>
    </row>
    <row r="2843">
      <c r="A2843" s="7" t="s">
        <v>4528</v>
      </c>
      <c r="B2843" s="5" t="s">
        <v>12502</v>
      </c>
      <c r="C2843" s="5" t="s">
        <v>20330</v>
      </c>
      <c r="D2843" s="5" t="str">
        <v>280117912950</v>
      </c>
      <c r="E2843" s="0" t="e">
        <f>+7 (961) 9505037</f>
        <v>#NAME?</v>
      </c>
      <c r="F2843" s="5"/>
      <c r="G2843" s="5"/>
      <c r="H2843" s="26">
        <v>5</v>
      </c>
      <c r="I2843" s="5" t="s">
        <v>33874</v>
      </c>
      <c r="J2843" s="5" t="s">
        <v>26268</v>
      </c>
      <c r="K2843" s="5" t="s">
        <v>344</v>
      </c>
      <c r="L2843" s="5" t="s">
        <v>33875</v>
      </c>
      <c r="M2843" s="27">
        <v>1058156</v>
      </c>
      <c r="N2843" s="5"/>
      <c r="O2843" s="5" t="str">
        <v>9723041076</v>
      </c>
      <c r="P2843" s="27">
        <v>10000</v>
      </c>
      <c r="Q2843" s="5" t="s">
        <v>53784</v>
      </c>
      <c r="R2843" s="5"/>
      <c r="S2843" s="5" t="s">
        <v>53785</v>
      </c>
      <c r="T2843" s="28">
        <v>5449000</v>
      </c>
      <c r="U2843" s="28"/>
      <c r="V2843" s="28">
        <v>306158000</v>
      </c>
      <c r="W2843" s="28">
        <v>93000000</v>
      </c>
      <c r="X2843" s="28">
        <v>45482000</v>
      </c>
      <c r="Y2843" s="28">
        <v>1503234000</v>
      </c>
      <c r="Z2843" s="28">
        <v>823833000</v>
      </c>
      <c r="AA2843" s="28">
        <v>364934000</v>
      </c>
      <c r="AB2843" s="28">
        <v>5187000</v>
      </c>
      <c r="AC2843" s="28">
        <v>306808000</v>
      </c>
      <c r="AD2843" s="28">
        <v>823843000</v>
      </c>
      <c r="AE2843" s="28">
        <v>3083004000</v>
      </c>
      <c r="AF2843" s="28">
        <v>537300000</v>
      </c>
      <c r="AG2843" s="11"/>
    </row>
    <row r="2844">
      <c r="A2844" s="7" t="s">
        <v>4529</v>
      </c>
      <c r="B2844" s="5" t="s">
        <v>12503</v>
      </c>
      <c r="C2844" s="5" t="s">
        <v>20331</v>
      </c>
      <c r="D2844" s="5" t="str">
        <v>212908949159</v>
      </c>
      <c r="E2844" s="0" t="e">
        <f>+7 (8352) 220020
+7 (8352) 222543
+7 (8352) 574065
+7 (8352) 574085
+7 (8352) 574090
+7 (8352) 627640</f>
        <v>#NAME?</v>
      </c>
      <c r="F2844" s="5"/>
      <c r="G2844" s="5" t="s">
        <v>33876</v>
      </c>
      <c r="H2844" s="26">
        <v>18</v>
      </c>
      <c r="I2844" s="5" t="s">
        <v>33877</v>
      </c>
      <c r="J2844" s="5" t="s">
        <v>641</v>
      </c>
      <c r="K2844" s="5" t="s">
        <v>344</v>
      </c>
      <c r="L2844" s="5" t="s">
        <v>33878</v>
      </c>
      <c r="M2844" s="27"/>
      <c r="N2844" s="5" t="s">
        <v>53786</v>
      </c>
      <c r="O2844" s="5" t="str">
        <v>2128701349</v>
      </c>
      <c r="P2844" s="27">
        <v>600000</v>
      </c>
      <c r="Q2844" s="5" t="s">
        <v>53787</v>
      </c>
      <c r="R2844" s="5"/>
      <c r="S2844" s="5" t="s">
        <v>51668</v>
      </c>
      <c r="T2844" s="28">
        <v>3956000</v>
      </c>
      <c r="U2844" s="28"/>
      <c r="V2844" s="28">
        <v>654124000</v>
      </c>
      <c r="W2844" s="28"/>
      <c r="X2844" s="28">
        <v>646597000</v>
      </c>
      <c r="Y2844" s="28">
        <v>1421785000</v>
      </c>
      <c r="Z2844" s="28">
        <v>512730000</v>
      </c>
      <c r="AA2844" s="28"/>
      <c r="AB2844" s="28"/>
      <c r="AC2844" s="28">
        <v>908068000</v>
      </c>
      <c r="AD2844" s="28">
        <v>513330000</v>
      </c>
      <c r="AE2844" s="28">
        <v>3405874000</v>
      </c>
      <c r="AF2844" s="28">
        <v>626763000</v>
      </c>
      <c r="AG2844" s="11"/>
    </row>
    <row r="2845">
      <c r="A2845" s="7" t="s">
        <v>4530</v>
      </c>
      <c r="B2845" s="5" t="s">
        <v>12504</v>
      </c>
      <c r="C2845" s="5" t="s">
        <v>20332</v>
      </c>
      <c r="D2845" s="5" t="str">
        <v>772132072150</v>
      </c>
      <c r="E2845" s="0" t="e">
        <f>+7 (495) 2490005
+7 (495) 2873052
+7 (495) 2873053
+7 (495) 6656445
+7 (495) 7452527</f>
        <v>#NAME?</v>
      </c>
      <c r="F2845" s="5"/>
      <c r="G2845" s="5" t="s">
        <v>33879</v>
      </c>
      <c r="H2845" s="26">
        <v>14.5</v>
      </c>
      <c r="I2845" s="5" t="s">
        <v>33880</v>
      </c>
      <c r="J2845" s="5" t="s">
        <v>1026</v>
      </c>
      <c r="K2845" s="5" t="s">
        <v>344</v>
      </c>
      <c r="L2845" s="5" t="s">
        <v>33881</v>
      </c>
      <c r="M2845" s="27"/>
      <c r="N2845" s="5" t="s">
        <v>53788</v>
      </c>
      <c r="O2845" s="5" t="str">
        <v>5003082667</v>
      </c>
      <c r="P2845" s="27">
        <v>21000</v>
      </c>
      <c r="Q2845" s="5" t="s">
        <v>53789</v>
      </c>
      <c r="R2845" s="5"/>
      <c r="S2845" s="5" t="s">
        <v>49361</v>
      </c>
      <c r="T2845" s="28">
        <v>4861000</v>
      </c>
      <c r="U2845" s="28"/>
      <c r="V2845" s="28">
        <v>681866000</v>
      </c>
      <c r="W2845" s="28">
        <v>1142394000</v>
      </c>
      <c r="X2845" s="28">
        <v>77270000</v>
      </c>
      <c r="Y2845" s="28">
        <v>2857901000</v>
      </c>
      <c r="Z2845" s="28">
        <v>2240152000</v>
      </c>
      <c r="AA2845" s="28"/>
      <c r="AB2845" s="28"/>
      <c r="AC2845" s="28">
        <v>607842000</v>
      </c>
      <c r="AD2845" s="28">
        <v>2240173000</v>
      </c>
      <c r="AE2845" s="28">
        <v>7810125000</v>
      </c>
      <c r="AF2845" s="28">
        <v>1154250000</v>
      </c>
      <c r="AG2845" s="11"/>
    </row>
    <row r="2846">
      <c r="A2846" s="7" t="s">
        <v>4531</v>
      </c>
      <c r="B2846" s="5" t="s">
        <v>12505</v>
      </c>
      <c r="C2846" s="5" t="s">
        <v>20333</v>
      </c>
      <c r="D2846" s="5"/>
      <c r="E2846" s="0" t="e">
        <f>+7 (495) 2217805
+7 (495) 2347760
+7 (495) 9950901</f>
        <v>#NAME?</v>
      </c>
      <c r="F2846" s="5" t="s">
        <v>33882</v>
      </c>
      <c r="G2846" s="5" t="s">
        <v>33883</v>
      </c>
      <c r="H2846" s="26">
        <v>29.5</v>
      </c>
      <c r="I2846" s="5"/>
      <c r="J2846" s="5" t="s">
        <v>678</v>
      </c>
      <c r="K2846" s="5" t="s">
        <v>344</v>
      </c>
      <c r="L2846" s="5" t="s">
        <v>33884</v>
      </c>
      <c r="M2846" s="27"/>
      <c r="N2846" s="5" t="s">
        <v>53790</v>
      </c>
      <c r="O2846" s="5" t="str">
        <v>7713005406</v>
      </c>
      <c r="P2846" s="27">
        <v>4000</v>
      </c>
      <c r="Q2846" s="5" t="s">
        <v>49009</v>
      </c>
      <c r="R2846" s="5"/>
      <c r="S2846" s="5" t="s">
        <v>49045</v>
      </c>
      <c r="T2846" s="28">
        <v>2435000</v>
      </c>
      <c r="U2846" s="28">
        <v>1015800000</v>
      </c>
      <c r="V2846" s="28">
        <v>643028000</v>
      </c>
      <c r="W2846" s="28"/>
      <c r="X2846" s="28">
        <v>1352789000</v>
      </c>
      <c r="Y2846" s="28">
        <v>6336843000</v>
      </c>
      <c r="Z2846" s="28">
        <v>4109678000</v>
      </c>
      <c r="AA2846" s="28"/>
      <c r="AB2846" s="28">
        <v>752200000</v>
      </c>
      <c r="AC2846" s="28">
        <v>2221748000</v>
      </c>
      <c r="AD2846" s="28">
        <v>4109683000</v>
      </c>
      <c r="AE2846" s="28">
        <v>15135894000</v>
      </c>
      <c r="AF2846" s="28">
        <v>594187000</v>
      </c>
      <c r="AG2846" s="11"/>
    </row>
    <row r="2847">
      <c r="A2847" s="7" t="s">
        <v>4532</v>
      </c>
      <c r="B2847" s="5" t="s">
        <v>12506</v>
      </c>
      <c r="C2847" s="5" t="s">
        <v>20334</v>
      </c>
      <c r="D2847" s="5" t="str">
        <v>502480577988</v>
      </c>
      <c r="E2847" s="0" t="e">
        <f>+7 (495) 7251541
+7 (926) 6648484</f>
        <v>#NAME?</v>
      </c>
      <c r="F2847" s="5" t="s">
        <v>33885</v>
      </c>
      <c r="G2847" s="5" t="s">
        <v>33886</v>
      </c>
      <c r="H2847" s="26">
        <v>15.5</v>
      </c>
      <c r="I2847" s="5" t="s">
        <v>33887</v>
      </c>
      <c r="J2847" s="5" t="s">
        <v>710</v>
      </c>
      <c r="K2847" s="5" t="s">
        <v>344</v>
      </c>
      <c r="L2847" s="5" t="s">
        <v>33888</v>
      </c>
      <c r="M2847" s="27"/>
      <c r="N2847" s="5" t="s">
        <v>53791</v>
      </c>
      <c r="O2847" s="5" t="str">
        <v>5032171417</v>
      </c>
      <c r="P2847" s="27">
        <v>30000</v>
      </c>
      <c r="Q2847" s="5" t="s">
        <v>53792</v>
      </c>
      <c r="R2847" s="5"/>
      <c r="S2847" s="5" t="s">
        <v>53793</v>
      </c>
      <c r="T2847" s="28">
        <v>4103000</v>
      </c>
      <c r="U2847" s="28">
        <v>20000000</v>
      </c>
      <c r="V2847" s="28">
        <v>1219597000</v>
      </c>
      <c r="W2847" s="28">
        <v>32727000</v>
      </c>
      <c r="X2847" s="28">
        <v>194457000</v>
      </c>
      <c r="Y2847" s="28">
        <v>2015828000</v>
      </c>
      <c r="Z2847" s="28">
        <v>205325000</v>
      </c>
      <c r="AA2847" s="28"/>
      <c r="AB2847" s="28">
        <v>817000</v>
      </c>
      <c r="AC2847" s="28">
        <v>1809931000</v>
      </c>
      <c r="AD2847" s="28">
        <v>205355000</v>
      </c>
      <c r="AE2847" s="28">
        <v>3675336000</v>
      </c>
      <c r="AF2847" s="28">
        <v>72097000</v>
      </c>
      <c r="AG2847" s="11"/>
    </row>
    <row r="2848">
      <c r="A2848" s="7" t="s">
        <v>4533</v>
      </c>
      <c r="B2848" s="5" t="s">
        <v>12507</v>
      </c>
      <c r="C2848" s="5" t="s">
        <v>20335</v>
      </c>
      <c r="D2848" s="5" t="str">
        <v>772978938890</v>
      </c>
      <c r="E2848" s="0" t="e">
        <f>+7 (929) 1555314</f>
        <v>#NAME?</v>
      </c>
      <c r="F2848" s="5" t="s">
        <v>33889</v>
      </c>
      <c r="G2848" s="5" t="s">
        <v>33890</v>
      </c>
      <c r="H2848" s="26">
        <v>7</v>
      </c>
      <c r="I2848" s="5" t="s">
        <v>33891</v>
      </c>
      <c r="J2848" s="5" t="s">
        <v>414</v>
      </c>
      <c r="K2848" s="5" t="s">
        <v>344</v>
      </c>
      <c r="L2848" s="5" t="s">
        <v>33892</v>
      </c>
      <c r="M2848" s="27"/>
      <c r="N2848" s="5" t="s">
        <v>53794</v>
      </c>
      <c r="O2848" s="5" t="str">
        <v>7723435408</v>
      </c>
      <c r="P2848" s="27">
        <v>120000</v>
      </c>
      <c r="Q2848" s="5" t="s">
        <v>53795</v>
      </c>
      <c r="R2848" s="5"/>
      <c r="S2848" s="5" t="s">
        <v>53796</v>
      </c>
      <c r="T2848" s="28">
        <v>18000000</v>
      </c>
      <c r="U2848" s="28">
        <v>10000</v>
      </c>
      <c r="V2848" s="28">
        <v>112462000</v>
      </c>
      <c r="W2848" s="28"/>
      <c r="X2848" s="28">
        <v>53460000</v>
      </c>
      <c r="Y2848" s="28">
        <v>623416000</v>
      </c>
      <c r="Z2848" s="28">
        <v>17718000</v>
      </c>
      <c r="AA2848" s="28"/>
      <c r="AB2848" s="28">
        <v>92529000</v>
      </c>
      <c r="AC2848" s="28">
        <v>601945000</v>
      </c>
      <c r="AD2848" s="28">
        <v>17838000</v>
      </c>
      <c r="AE2848" s="28">
        <v>3043872000</v>
      </c>
      <c r="AF2848" s="28">
        <v>10303000</v>
      </c>
      <c r="AG2848" s="11"/>
    </row>
    <row r="2849">
      <c r="A2849" s="7" t="s">
        <v>4534</v>
      </c>
      <c r="B2849" s="5" t="s">
        <v>12508</v>
      </c>
      <c r="C2849" s="5" t="s">
        <v>20336</v>
      </c>
      <c r="D2849" s="5" t="str">
        <v>744905187780</v>
      </c>
      <c r="E2849" s="0" t="e">
        <f>+7 (3512) 475051
+7 (800) 5119151
+7 (919) 3416002</f>
        <v>#NAME?</v>
      </c>
      <c r="F2849" s="5" t="s">
        <v>33893</v>
      </c>
      <c r="G2849" s="5" t="s">
        <v>33894</v>
      </c>
      <c r="H2849" s="26">
        <v>9.5</v>
      </c>
      <c r="I2849" s="5" t="s">
        <v>33895</v>
      </c>
      <c r="J2849" s="5" t="s">
        <v>25259</v>
      </c>
      <c r="K2849" s="5" t="s">
        <v>344</v>
      </c>
      <c r="L2849" s="5" t="s">
        <v>33896</v>
      </c>
      <c r="M2849" s="27">
        <v>151522</v>
      </c>
      <c r="N2849" s="5" t="s">
        <v>53797</v>
      </c>
      <c r="O2849" s="5" t="str">
        <v>7451360496</v>
      </c>
      <c r="P2849" s="27">
        <v>35000000</v>
      </c>
      <c r="Q2849" s="5" t="s">
        <v>53798</v>
      </c>
      <c r="R2849" s="5"/>
      <c r="S2849" s="5" t="s">
        <v>49802</v>
      </c>
      <c r="T2849" s="28">
        <v>90436000</v>
      </c>
      <c r="U2849" s="28"/>
      <c r="V2849" s="28">
        <v>533697000</v>
      </c>
      <c r="W2849" s="28"/>
      <c r="X2849" s="28">
        <v>7149000</v>
      </c>
      <c r="Y2849" s="28">
        <v>2100811000</v>
      </c>
      <c r="Z2849" s="28">
        <v>822432000</v>
      </c>
      <c r="AA2849" s="28">
        <v>142935000</v>
      </c>
      <c r="AB2849" s="28">
        <v>353830000</v>
      </c>
      <c r="AC2849" s="28">
        <v>1053723000</v>
      </c>
      <c r="AD2849" s="28">
        <v>857432000</v>
      </c>
      <c r="AE2849" s="28">
        <v>3581647000</v>
      </c>
      <c r="AF2849" s="28">
        <v>487057000</v>
      </c>
      <c r="AG2849" s="11"/>
    </row>
    <row r="2850">
      <c r="A2850" s="7" t="s">
        <v>4535</v>
      </c>
      <c r="B2850" s="5" t="s">
        <v>12509</v>
      </c>
      <c r="C2850" s="5" t="s">
        <v>20337</v>
      </c>
      <c r="D2850" s="5" t="str">
        <v>505400658478</v>
      </c>
      <c r="E2850" s="0" t="e">
        <f>+7 (3412) 902197
+7 (3422) 60110
+7 (3422) 335650
+7 (345) 2550842
+7 (345) 2550852
+7 (3472) 925008
+7 (3472) 925010
+7 (3512) 537502
+7 (3517) 992025
+7 (3517) 992079
+7 (3517) 992088
+7 (381) 2409580
+7 (382) 2900092
+7 (3513) 520020
+7 (3522) 600587</f>
        <v>#NAME?</v>
      </c>
      <c r="F2850" s="5" t="s">
        <v>33897</v>
      </c>
      <c r="G2850" s="5" t="s">
        <v>33898</v>
      </c>
      <c r="H2850" s="26">
        <v>10</v>
      </c>
      <c r="I2850" s="5" t="s">
        <v>33899</v>
      </c>
      <c r="J2850" s="5" t="s">
        <v>678</v>
      </c>
      <c r="K2850" s="5" t="s">
        <v>344</v>
      </c>
      <c r="L2850" s="5" t="s">
        <v>33900</v>
      </c>
      <c r="M2850" s="27">
        <v>16129519</v>
      </c>
      <c r="N2850" s="5" t="s">
        <v>53799</v>
      </c>
      <c r="O2850" s="5" t="str">
        <v>7721793895</v>
      </c>
      <c r="P2850" s="27">
        <v>1000000</v>
      </c>
      <c r="Q2850" s="5" t="s">
        <v>53800</v>
      </c>
      <c r="R2850" s="5"/>
      <c r="S2850" s="5" t="s">
        <v>50290</v>
      </c>
      <c r="T2850" s="28">
        <v>1508109000</v>
      </c>
      <c r="U2850" s="28"/>
      <c r="V2850" s="28">
        <v>10026467000</v>
      </c>
      <c r="W2850" s="28">
        <v>9133817000</v>
      </c>
      <c r="X2850" s="28">
        <v>15775000</v>
      </c>
      <c r="Y2850" s="28">
        <v>34579488000</v>
      </c>
      <c r="Z2850" s="28">
        <v>15125973000</v>
      </c>
      <c r="AA2850" s="28"/>
      <c r="AB2850" s="28">
        <v>131888000</v>
      </c>
      <c r="AC2850" s="28">
        <v>19415103000</v>
      </c>
      <c r="AD2850" s="28">
        <v>15127013000</v>
      </c>
      <c r="AE2850" s="28">
        <v>96211954000</v>
      </c>
      <c r="AF2850" s="28">
        <v>6527419000</v>
      </c>
      <c r="AG2850" s="11"/>
    </row>
    <row r="2851">
      <c r="A2851" s="7" t="s">
        <v>4536</v>
      </c>
      <c r="B2851" s="5" t="s">
        <v>12510</v>
      </c>
      <c r="C2851" s="5" t="s">
        <v>20338</v>
      </c>
      <c r="D2851" s="5" t="str">
        <v>325301770451</v>
      </c>
      <c r="E2851" s="0" t="e">
        <f>+7 (495) 7399958
+7 (495) 9565566
+7 (965) 1549636</f>
        <v>#NAME?</v>
      </c>
      <c r="F2851" s="5" t="s">
        <v>33901</v>
      </c>
      <c r="G2851" s="5" t="s">
        <v>33902</v>
      </c>
      <c r="H2851" s="26">
        <v>13</v>
      </c>
      <c r="I2851" s="5" t="s">
        <v>33903</v>
      </c>
      <c r="J2851" s="5" t="s">
        <v>25424</v>
      </c>
      <c r="K2851" s="5" t="s">
        <v>344</v>
      </c>
      <c r="L2851" s="5" t="s">
        <v>33904</v>
      </c>
      <c r="M2851" s="27"/>
      <c r="N2851" s="5"/>
      <c r="O2851" s="5" t="str">
        <v>5031089054</v>
      </c>
      <c r="P2851" s="27">
        <v>10000000</v>
      </c>
      <c r="Q2851" s="5" t="s">
        <v>53801</v>
      </c>
      <c r="R2851" s="5"/>
      <c r="S2851" s="5" t="s">
        <v>53802</v>
      </c>
      <c r="T2851" s="28">
        <v>133572000</v>
      </c>
      <c r="U2851" s="28"/>
      <c r="V2851" s="28">
        <v>654390000</v>
      </c>
      <c r="W2851" s="28"/>
      <c r="X2851" s="28">
        <v>10830000</v>
      </c>
      <c r="Y2851" s="28">
        <v>1560381000</v>
      </c>
      <c r="Z2851" s="28">
        <v>240150000</v>
      </c>
      <c r="AA2851" s="28">
        <v>834200000</v>
      </c>
      <c r="AB2851" s="28">
        <v>29017000</v>
      </c>
      <c r="AC2851" s="28">
        <v>372875000</v>
      </c>
      <c r="AD2851" s="28">
        <v>250150000</v>
      </c>
      <c r="AE2851" s="28">
        <v>3246462000</v>
      </c>
      <c r="AF2851" s="28">
        <v>61289000</v>
      </c>
      <c r="AG2851" s="11"/>
    </row>
    <row r="2852">
      <c r="A2852" s="7" t="s">
        <v>4537</v>
      </c>
      <c r="B2852" s="5" t="s">
        <v>12511</v>
      </c>
      <c r="C2852" s="5" t="s">
        <v>20339</v>
      </c>
      <c r="D2852" s="5" t="str">
        <v>745301772607</v>
      </c>
      <c r="E2852" s="0" t="e">
        <f>+7 (351) 2168299
+7 (351) 2751064
+7 (351) 2751065
+7 (351) 7751065
+7 (3512) 168016
+7 (3512) 168080
+7 (3512) 168222
+7 (3512) 168392
+7 (3512) 188080
+7 (3512) 751062
+7 (3517) 751063
+7 (3517) 752206
+7 (911) 2219132</f>
        <v>#NAME?</v>
      </c>
      <c r="F2852" s="5" t="s">
        <v>33905</v>
      </c>
      <c r="G2852" s="5" t="s">
        <v>33906</v>
      </c>
      <c r="H2852" s="26">
        <v>29</v>
      </c>
      <c r="I2852" s="5"/>
      <c r="J2852" s="5" t="s">
        <v>28954</v>
      </c>
      <c r="K2852" s="5" t="s">
        <v>344</v>
      </c>
      <c r="L2852" s="5"/>
      <c r="M2852" s="27">
        <v>197812427</v>
      </c>
      <c r="N2852" s="5" t="s">
        <v>53803</v>
      </c>
      <c r="O2852" s="5" t="str">
        <v>7451064592</v>
      </c>
      <c r="P2852" s="27">
        <v>30006450</v>
      </c>
      <c r="Q2852" s="5" t="s">
        <v>53804</v>
      </c>
      <c r="R2852" s="5"/>
      <c r="S2852" s="5" t="s">
        <v>53805</v>
      </c>
      <c r="T2852" s="28">
        <v>2678939000</v>
      </c>
      <c r="U2852" s="28">
        <v>4122695000</v>
      </c>
      <c r="V2852" s="28">
        <v>13439792000</v>
      </c>
      <c r="W2852" s="28">
        <v>1308573000</v>
      </c>
      <c r="X2852" s="28">
        <v>1315279000</v>
      </c>
      <c r="Y2852" s="28">
        <v>28135914000</v>
      </c>
      <c r="Z2852" s="28">
        <v>8898218000</v>
      </c>
      <c r="AA2852" s="28">
        <v>5265460000</v>
      </c>
      <c r="AB2852" s="28">
        <v>2133599000</v>
      </c>
      <c r="AC2852" s="28">
        <v>11345434000</v>
      </c>
      <c r="AD2852" s="28">
        <v>9110869000</v>
      </c>
      <c r="AE2852" s="28">
        <v>15381995000</v>
      </c>
      <c r="AF2852" s="28">
        <v>141806000</v>
      </c>
      <c r="AG2852" s="11"/>
    </row>
    <row r="2853">
      <c r="A2853" s="7" t="s">
        <v>4538</v>
      </c>
      <c r="B2853" s="5" t="s">
        <v>12512</v>
      </c>
      <c r="C2853" s="5" t="s">
        <v>20340</v>
      </c>
      <c r="D2853" s="5" t="str">
        <v>260751158845</v>
      </c>
      <c r="E2853" s="0" t="e">
        <f>+7 (861) 2774554</f>
        <v>#NAME?</v>
      </c>
      <c r="F2853" s="5"/>
      <c r="G2853" s="5"/>
      <c r="H2853" s="26">
        <v>6.5</v>
      </c>
      <c r="I2853" s="5" t="s">
        <v>33907</v>
      </c>
      <c r="J2853" s="5" t="s">
        <v>25287</v>
      </c>
      <c r="K2853" s="5" t="s">
        <v>344</v>
      </c>
      <c r="L2853" s="5" t="s">
        <v>31705</v>
      </c>
      <c r="M2853" s="27"/>
      <c r="N2853" s="5"/>
      <c r="O2853" s="5" t="str">
        <v>2311223910</v>
      </c>
      <c r="P2853" s="27">
        <v>10000</v>
      </c>
      <c r="Q2853" s="5"/>
      <c r="R2853" s="5"/>
      <c r="S2853" s="5" t="s">
        <v>49029</v>
      </c>
      <c r="T2853" s="28">
        <v>1699200000</v>
      </c>
      <c r="U2853" s="28"/>
      <c r="V2853" s="28">
        <v>243457000</v>
      </c>
      <c r="W2853" s="28"/>
      <c r="X2853" s="28">
        <v>259000</v>
      </c>
      <c r="Y2853" s="28">
        <v>2512232000</v>
      </c>
      <c r="Z2853" s="28">
        <v>350002000</v>
      </c>
      <c r="AA2853" s="28">
        <v>1326316000</v>
      </c>
      <c r="AB2853" s="28">
        <v>431695000</v>
      </c>
      <c r="AC2853" s="28">
        <v>811426000</v>
      </c>
      <c r="AD2853" s="28">
        <v>350012000</v>
      </c>
      <c r="AE2853" s="28">
        <v>3670275000</v>
      </c>
      <c r="AF2853" s="28">
        <v>333759000</v>
      </c>
      <c r="AG2853" s="11"/>
    </row>
    <row r="2854">
      <c r="A2854" s="7" t="s">
        <v>4539</v>
      </c>
      <c r="B2854" s="5" t="s">
        <v>12513</v>
      </c>
      <c r="C2854" s="5" t="s">
        <v>20240</v>
      </c>
      <c r="D2854" s="5"/>
      <c r="E2854" s="0" t="e">
        <f>+7 (8422) 240940</f>
        <v>#NAME?</v>
      </c>
      <c r="F2854" s="5" t="s">
        <v>33908</v>
      </c>
      <c r="G2854" s="5" t="s">
        <v>33909</v>
      </c>
      <c r="H2854" s="26">
        <v>8</v>
      </c>
      <c r="I2854" s="5" t="s">
        <v>33910</v>
      </c>
      <c r="J2854" s="5" t="s">
        <v>29202</v>
      </c>
      <c r="K2854" s="5" t="s">
        <v>344</v>
      </c>
      <c r="L2854" s="5" t="s">
        <v>33911</v>
      </c>
      <c r="M2854" s="27">
        <v>145171632</v>
      </c>
      <c r="N2854" s="5"/>
      <c r="O2854" s="5" t="str">
        <v>7326048875</v>
      </c>
      <c r="P2854" s="27">
        <v>100000</v>
      </c>
      <c r="Q2854" s="5"/>
      <c r="R2854" s="5"/>
      <c r="S2854" s="5" t="s">
        <v>49029</v>
      </c>
      <c r="T2854" s="28">
        <v>400123000</v>
      </c>
      <c r="U2854" s="28"/>
      <c r="V2854" s="28">
        <v>1277732000</v>
      </c>
      <c r="W2854" s="28"/>
      <c r="X2854" s="28">
        <v>340942000</v>
      </c>
      <c r="Y2854" s="28">
        <v>2385902000</v>
      </c>
      <c r="Z2854" s="28">
        <v>960815000</v>
      </c>
      <c r="AA2854" s="28"/>
      <c r="AB2854" s="28"/>
      <c r="AC2854" s="28">
        <v>1302510000</v>
      </c>
      <c r="AD2854" s="28">
        <v>960915000</v>
      </c>
      <c r="AE2854" s="28">
        <v>4163031000</v>
      </c>
      <c r="AF2854" s="28">
        <v>723384000</v>
      </c>
      <c r="AG2854" s="11"/>
    </row>
    <row r="2855">
      <c r="A2855" s="7" t="s">
        <v>4540</v>
      </c>
      <c r="B2855" s="5" t="s">
        <v>12514</v>
      </c>
      <c r="C2855" s="5" t="s">
        <v>18842</v>
      </c>
      <c r="D2855" s="5"/>
      <c r="E2855" s="0" t="e">
        <f>+7 (495) 2644310
+7 (495) 2644978
+7 (495) 2647838
+7 (495) 7306902
+7 (495) 7306989
+7 (495) 7851838
+7 (495) 7851839
+7 (495) 9825669
+7 (495) 9825710
+7 (495) 9825711
+7 (495) 9825773
+7 (499) 2641744
+7 (499) 2644310
+7 (499) 2644978
+7 (499) 9825601</f>
        <v>#NAME?</v>
      </c>
      <c r="F2855" s="5" t="s">
        <v>33912</v>
      </c>
      <c r="G2855" s="5" t="s">
        <v>33913</v>
      </c>
      <c r="H2855" s="26">
        <v>29</v>
      </c>
      <c r="I2855" s="5" t="s">
        <v>33914</v>
      </c>
      <c r="J2855" s="5" t="s">
        <v>29202</v>
      </c>
      <c r="K2855" s="5" t="s">
        <v>355</v>
      </c>
      <c r="L2855" s="5"/>
      <c r="M2855" s="27">
        <v>85096</v>
      </c>
      <c r="N2855" s="5"/>
      <c r="O2855" s="5" t="str">
        <v>7708029391</v>
      </c>
      <c r="P2855" s="27">
        <v>2874639</v>
      </c>
      <c r="Q2855" s="5" t="s">
        <v>49009</v>
      </c>
      <c r="R2855" s="5"/>
      <c r="S2855" s="5" t="s">
        <v>49028</v>
      </c>
      <c r="T2855" s="28">
        <v>934150000</v>
      </c>
      <c r="U2855" s="28">
        <v>7537190000</v>
      </c>
      <c r="V2855" s="28">
        <v>3297243000</v>
      </c>
      <c r="W2855" s="28">
        <v>3710000</v>
      </c>
      <c r="X2855" s="28">
        <v>74849000</v>
      </c>
      <c r="Y2855" s="28">
        <v>13857532000</v>
      </c>
      <c r="Z2855" s="28">
        <v>4340967000</v>
      </c>
      <c r="AA2855" s="28">
        <v>3940314000</v>
      </c>
      <c r="AB2855" s="28"/>
      <c r="AC2855" s="28">
        <v>5618051000</v>
      </c>
      <c r="AD2855" s="28">
        <v>4247412000</v>
      </c>
      <c r="AE2855" s="28">
        <v>13155986000</v>
      </c>
      <c r="AF2855" s="28">
        <v>1051081000</v>
      </c>
      <c r="AG2855" s="11"/>
    </row>
    <row r="2856">
      <c r="A2856" s="7" t="s">
        <v>4541</v>
      </c>
      <c r="B2856" s="5" t="s">
        <v>12515</v>
      </c>
      <c r="C2856" s="5" t="s">
        <v>20341</v>
      </c>
      <c r="D2856" s="5"/>
      <c r="E2856" s="0" t="e">
        <f>+7 (81451) 36117
+7 (921) 6295145
+7 (81451) 36064
+7 (81451) 36083
+7 (81451) 36500
+7 (81451) 79285</f>
        <v>#NAME?</v>
      </c>
      <c r="F2856" s="5" t="s">
        <v>33915</v>
      </c>
      <c r="G2856" s="5" t="s">
        <v>33916</v>
      </c>
      <c r="H2856" s="26">
        <v>4.5</v>
      </c>
      <c r="I2856" s="5"/>
      <c r="J2856" s="5" t="s">
        <v>26536</v>
      </c>
      <c r="K2856" s="5" t="s">
        <v>344</v>
      </c>
      <c r="L2856" s="5" t="s">
        <v>33917</v>
      </c>
      <c r="M2856" s="27">
        <v>2118288</v>
      </c>
      <c r="N2856" s="5" t="s">
        <v>52205</v>
      </c>
      <c r="O2856" s="5" t="str">
        <v>1003018230</v>
      </c>
      <c r="P2856" s="27">
        <v>6916276000</v>
      </c>
      <c r="Q2856" s="5" t="s">
        <v>53807</v>
      </c>
      <c r="R2856" s="5"/>
      <c r="S2856" s="5" t="s">
        <v>51813</v>
      </c>
      <c r="T2856" s="28">
        <v>6743111000</v>
      </c>
      <c r="U2856" s="28"/>
      <c r="V2856" s="28">
        <v>5205570000</v>
      </c>
      <c r="W2856" s="28"/>
      <c r="X2856" s="28">
        <v>131768000</v>
      </c>
      <c r="Y2856" s="28">
        <v>18964292000</v>
      </c>
      <c r="Z2856" s="28">
        <v>3243548000</v>
      </c>
      <c r="AA2856" s="28">
        <v>46850000</v>
      </c>
      <c r="AB2856" s="28">
        <v>3951600000</v>
      </c>
      <c r="AC2856" s="28">
        <v>5996732000</v>
      </c>
      <c r="AD2856" s="28">
        <v>11597797000</v>
      </c>
      <c r="AE2856" s="28">
        <v>29523596000</v>
      </c>
      <c r="AF2856" s="28">
        <v>1672044000</v>
      </c>
      <c r="AG2856" s="11"/>
    </row>
    <row r="2857">
      <c r="A2857" s="7" t="s">
        <v>4542</v>
      </c>
      <c r="B2857" s="5" t="s">
        <v>12516</v>
      </c>
      <c r="C2857" s="5" t="s">
        <v>20342</v>
      </c>
      <c r="D2857" s="5" t="str">
        <v>673000706988</v>
      </c>
      <c r="E2857" s="0" t="e">
        <f>+7 (481) 2310006
+7 (481) 2310025
+7 (481) 2311181
+7 (481) 2311423
+7 (481) 2311869
+7 (481) 2312567
+7 (481) 2313468
+7 (481) 2317372
+7 (481) 2357847
+7 (481) 2520878
+7 (481) 2611105
+7 (920) 3266117</f>
        <v>#NAME?</v>
      </c>
      <c r="F2857" s="5"/>
      <c r="G2857" s="5" t="s">
        <v>33918</v>
      </c>
      <c r="H2857" s="26">
        <v>31.5</v>
      </c>
      <c r="I2857" s="5" t="s">
        <v>33919</v>
      </c>
      <c r="J2857" s="5" t="s">
        <v>655</v>
      </c>
      <c r="K2857" s="5" t="s">
        <v>344</v>
      </c>
      <c r="L2857" s="5" t="s">
        <v>33920</v>
      </c>
      <c r="M2857" s="27"/>
      <c r="N2857" s="5"/>
      <c r="O2857" s="5" t="str">
        <v>6730005732</v>
      </c>
      <c r="P2857" s="27">
        <v>600000</v>
      </c>
      <c r="Q2857" s="5"/>
      <c r="R2857" s="5"/>
      <c r="S2857" s="5" t="s">
        <v>49029</v>
      </c>
      <c r="T2857" s="28">
        <v>216378000</v>
      </c>
      <c r="U2857" s="28"/>
      <c r="V2857" s="28">
        <v>696530000</v>
      </c>
      <c r="W2857" s="28"/>
      <c r="X2857" s="28">
        <v>276434000</v>
      </c>
      <c r="Y2857" s="28">
        <v>1673917000</v>
      </c>
      <c r="Z2857" s="28">
        <v>965074000</v>
      </c>
      <c r="AA2857" s="28"/>
      <c r="AB2857" s="28"/>
      <c r="AC2857" s="28">
        <v>697085000</v>
      </c>
      <c r="AD2857" s="28">
        <v>976158000</v>
      </c>
      <c r="AE2857" s="28">
        <v>10949227000</v>
      </c>
      <c r="AF2857" s="28">
        <v>274424000</v>
      </c>
      <c r="AG2857" s="11"/>
    </row>
    <row r="2858">
      <c r="A2858" s="7" t="s">
        <v>4543</v>
      </c>
      <c r="B2858" s="5" t="s">
        <v>12517</v>
      </c>
      <c r="C2858" s="5" t="s">
        <v>20343</v>
      </c>
      <c r="D2858" s="5" t="str">
        <v>744501943262</v>
      </c>
      <c r="E2858" s="0" t="e">
        <f>+7 (3519) 348514
+7 (906) 5763645
+7 (919) 1144485
+7 (912) 7726281
+7 (912) 8052072
+7 (912) 8060068</f>
        <v>#NAME?</v>
      </c>
      <c r="F2858" s="5" t="s">
        <v>33921</v>
      </c>
      <c r="G2858" s="5"/>
      <c r="H2858" s="26">
        <v>21</v>
      </c>
      <c r="I2858" s="5" t="s">
        <v>33922</v>
      </c>
      <c r="J2858" s="5" t="s">
        <v>27486</v>
      </c>
      <c r="K2858" s="5" t="s">
        <v>344</v>
      </c>
      <c r="L2858" s="5" t="s">
        <v>33923</v>
      </c>
      <c r="M2858" s="27"/>
      <c r="N2858" s="5" t="s">
        <v>53808</v>
      </c>
      <c r="O2858" s="5" t="str">
        <v>7446038068</v>
      </c>
      <c r="P2858" s="27">
        <v>51200000</v>
      </c>
      <c r="Q2858" s="5" t="s">
        <v>1685</v>
      </c>
      <c r="R2858" s="5"/>
      <c r="S2858" s="5" t="s">
        <v>53809</v>
      </c>
      <c r="T2858" s="28">
        <v>38691000</v>
      </c>
      <c r="U2858" s="28"/>
      <c r="V2858" s="28">
        <v>371410000</v>
      </c>
      <c r="W2858" s="28">
        <v>120790000</v>
      </c>
      <c r="X2858" s="28">
        <v>23794000</v>
      </c>
      <c r="Y2858" s="28">
        <v>1885832000</v>
      </c>
      <c r="Z2858" s="28">
        <v>308089000</v>
      </c>
      <c r="AA2858" s="28">
        <v>425000000</v>
      </c>
      <c r="AB2858" s="28">
        <v>308223000</v>
      </c>
      <c r="AC2858" s="28">
        <v>1099610000</v>
      </c>
      <c r="AD2858" s="28">
        <v>359289000</v>
      </c>
      <c r="AE2858" s="28">
        <v>4733128000</v>
      </c>
      <c r="AF2858" s="28">
        <v>36868000</v>
      </c>
      <c r="AG2858" s="11"/>
    </row>
    <row r="2859">
      <c r="A2859" s="7" t="s">
        <v>4544</v>
      </c>
      <c r="B2859" s="5" t="s">
        <v>12518</v>
      </c>
      <c r="C2859" s="5" t="s">
        <v>20344</v>
      </c>
      <c r="D2859" s="5" t="str">
        <v>233401465275</v>
      </c>
      <c r="E2859" s="0" t="e">
        <f>+7 (86164) 76558
+7 (86164) 76456
+7 (86164) 76458
+7 (86164) 76582</f>
        <v>#NAME?</v>
      </c>
      <c r="F2859" s="5" t="s">
        <v>33924</v>
      </c>
      <c r="G2859" s="5"/>
      <c r="H2859" s="26">
        <v>20</v>
      </c>
      <c r="I2859" s="5" t="s">
        <v>33925</v>
      </c>
      <c r="J2859" s="5" t="s">
        <v>28306</v>
      </c>
      <c r="K2859" s="5" t="s">
        <v>344</v>
      </c>
      <c r="L2859" s="5" t="s">
        <v>33926</v>
      </c>
      <c r="M2859" s="27">
        <v>47393004</v>
      </c>
      <c r="N2859" s="5" t="s">
        <v>53810</v>
      </c>
      <c r="O2859" s="5" t="str">
        <v>2334018297</v>
      </c>
      <c r="P2859" s="27">
        <v>60010000</v>
      </c>
      <c r="Q2859" s="5"/>
      <c r="R2859" s="5"/>
      <c r="S2859" s="5" t="s">
        <v>49425</v>
      </c>
      <c r="T2859" s="28">
        <v>595178000</v>
      </c>
      <c r="U2859" s="28"/>
      <c r="V2859" s="28">
        <v>559162000</v>
      </c>
      <c r="W2859" s="28"/>
      <c r="X2859" s="28">
        <v>4648000</v>
      </c>
      <c r="Y2859" s="28">
        <v>2624885000</v>
      </c>
      <c r="Z2859" s="28">
        <v>1194344000</v>
      </c>
      <c r="AA2859" s="28"/>
      <c r="AB2859" s="28">
        <v>850000000</v>
      </c>
      <c r="AC2859" s="28">
        <v>1348257000</v>
      </c>
      <c r="AD2859" s="28">
        <v>1254354000</v>
      </c>
      <c r="AE2859" s="28">
        <v>4348058000</v>
      </c>
      <c r="AF2859" s="28">
        <v>927845000</v>
      </c>
      <c r="AG2859" s="11"/>
    </row>
    <row r="2860">
      <c r="A2860" s="7" t="s">
        <v>4545</v>
      </c>
      <c r="B2860" s="5" t="s">
        <v>12519</v>
      </c>
      <c r="C2860" s="5" t="s">
        <v>20345</v>
      </c>
      <c r="D2860" s="5" t="str">
        <v>420513427881</v>
      </c>
      <c r="E2860" s="0" t="e">
        <f>+7 (961) 7094865
+7 (495) 1346634</f>
        <v>#NAME?</v>
      </c>
      <c r="F2860" s="5" t="s">
        <v>33927</v>
      </c>
      <c r="G2860" s="5"/>
      <c r="H2860" s="26">
        <v>13</v>
      </c>
      <c r="I2860" s="5" t="s">
        <v>33928</v>
      </c>
      <c r="J2860" s="5" t="s">
        <v>373</v>
      </c>
      <c r="K2860" s="5" t="s">
        <v>344</v>
      </c>
      <c r="L2860" s="5" t="s">
        <v>33929</v>
      </c>
      <c r="M2860" s="27"/>
      <c r="N2860" s="5"/>
      <c r="O2860" s="5" t="str">
        <v>7716656967</v>
      </c>
      <c r="P2860" s="27">
        <v>30000</v>
      </c>
      <c r="Q2860" s="5" t="s">
        <v>49057</v>
      </c>
      <c r="R2860" s="5"/>
      <c r="S2860" s="5" t="s">
        <v>53811</v>
      </c>
      <c r="T2860" s="28">
        <v>2487000</v>
      </c>
      <c r="U2860" s="28"/>
      <c r="V2860" s="28">
        <v>15128954000</v>
      </c>
      <c r="W2860" s="28">
        <v>2122209000</v>
      </c>
      <c r="X2860" s="28">
        <v>2388000</v>
      </c>
      <c r="Y2860" s="28">
        <v>18319859000</v>
      </c>
      <c r="Z2860" s="28">
        <v>237262000</v>
      </c>
      <c r="AA2860" s="28"/>
      <c r="AB2860" s="28">
        <v>15175500000</v>
      </c>
      <c r="AC2860" s="28">
        <v>18052998000</v>
      </c>
      <c r="AD2860" s="28">
        <v>237292000</v>
      </c>
      <c r="AE2860" s="28">
        <v>28087410000</v>
      </c>
      <c r="AF2860" s="28">
        <v>117468000</v>
      </c>
      <c r="AG2860" s="11"/>
    </row>
    <row r="2861">
      <c r="A2861" s="7" t="s">
        <v>4546</v>
      </c>
      <c r="B2861" s="5" t="s">
        <v>12520</v>
      </c>
      <c r="C2861" s="5" t="s">
        <v>20346</v>
      </c>
      <c r="D2861" s="5" t="str">
        <v>235300968999</v>
      </c>
      <c r="E2861" s="0" t="e">
        <f>+7 (86130) 23500
+7 (86130) 44185</f>
        <v>#NAME?</v>
      </c>
      <c r="F2861" s="5" t="s">
        <v>33930</v>
      </c>
      <c r="G2861" s="5" t="s">
        <v>33931</v>
      </c>
      <c r="H2861" s="26">
        <v>26</v>
      </c>
      <c r="I2861" s="5"/>
      <c r="J2861" s="5" t="s">
        <v>30320</v>
      </c>
      <c r="K2861" s="5" t="s">
        <v>344</v>
      </c>
      <c r="L2861" s="5"/>
      <c r="M2861" s="27"/>
      <c r="N2861" s="5"/>
      <c r="O2861" s="5" t="str">
        <v>2353014851</v>
      </c>
      <c r="P2861" s="27">
        <v>103807000</v>
      </c>
      <c r="Q2861" s="5" t="s">
        <v>49207</v>
      </c>
      <c r="R2861" s="5"/>
      <c r="S2861" s="5" t="s">
        <v>50911</v>
      </c>
      <c r="T2861" s="28">
        <v>1157177000</v>
      </c>
      <c r="U2861" s="28"/>
      <c r="V2861" s="28">
        <v>808177000</v>
      </c>
      <c r="W2861" s="28"/>
      <c r="X2861" s="28">
        <v>219897000</v>
      </c>
      <c r="Y2861" s="28">
        <v>3262729000</v>
      </c>
      <c r="Z2861" s="28">
        <v>1603936000</v>
      </c>
      <c r="AA2861" s="28"/>
      <c r="AB2861" s="28">
        <v>378157000</v>
      </c>
      <c r="AC2861" s="28">
        <v>1347549000</v>
      </c>
      <c r="AD2861" s="28">
        <v>1712958000</v>
      </c>
      <c r="AE2861" s="28">
        <v>5123923000</v>
      </c>
      <c r="AF2861" s="28">
        <v>398804000</v>
      </c>
      <c r="AG2861" s="11"/>
    </row>
    <row r="2862">
      <c r="A2862" s="7" t="s">
        <v>4547</v>
      </c>
      <c r="B2862" s="5" t="s">
        <v>12521</v>
      </c>
      <c r="C2862" s="5" t="s">
        <v>20347</v>
      </c>
      <c r="D2862" s="5" t="str">
        <v>770406735070</v>
      </c>
      <c r="E2862" s="0" t="e">
        <f>+7 (926) 6155686
+7 (495) 1233985
+7 (499) 5503455
+7 (905) 5382774
+7 (905) 5428961
+7 (929) 5900078</f>
        <v>#NAME?</v>
      </c>
      <c r="F2862" s="5" t="s">
        <v>33932</v>
      </c>
      <c r="G2862" s="5" t="s">
        <v>33933</v>
      </c>
      <c r="H2862" s="26">
        <v>7</v>
      </c>
      <c r="I2862" s="5" t="s">
        <v>33934</v>
      </c>
      <c r="J2862" s="5" t="s">
        <v>364</v>
      </c>
      <c r="K2862" s="5" t="s">
        <v>355</v>
      </c>
      <c r="L2862" s="5"/>
      <c r="M2862" s="27"/>
      <c r="N2862" s="5"/>
      <c r="O2862" s="5" t="str">
        <v>9718005160</v>
      </c>
      <c r="P2862" s="27">
        <v>10000</v>
      </c>
      <c r="Q2862" s="5" t="s">
        <v>52260</v>
      </c>
      <c r="R2862" s="5"/>
      <c r="S2862" s="5" t="s">
        <v>53812</v>
      </c>
      <c r="T2862" s="28">
        <v>36639000</v>
      </c>
      <c r="U2862" s="28"/>
      <c r="V2862" s="28">
        <v>5872485000</v>
      </c>
      <c r="W2862" s="28">
        <v>80000000</v>
      </c>
      <c r="X2862" s="28">
        <v>13554000</v>
      </c>
      <c r="Y2862" s="28">
        <v>6688327000</v>
      </c>
      <c r="Z2862" s="28">
        <v>169863000</v>
      </c>
      <c r="AA2862" s="28"/>
      <c r="AB2862" s="28"/>
      <c r="AC2862" s="28">
        <v>6501711000</v>
      </c>
      <c r="AD2862" s="28">
        <v>169873000</v>
      </c>
      <c r="AE2862" s="28">
        <v>5230188000</v>
      </c>
      <c r="AF2862" s="28">
        <v>35887000</v>
      </c>
      <c r="AG2862" s="11"/>
    </row>
    <row r="2863">
      <c r="A2863" s="7" t="s">
        <v>4548</v>
      </c>
      <c r="B2863" s="5" t="s">
        <v>12522</v>
      </c>
      <c r="C2863" s="5" t="s">
        <v>20348</v>
      </c>
      <c r="D2863" s="5" t="str">
        <v>770702742991</v>
      </c>
      <c r="E2863" s="0" t="e">
        <f>+7 (495) 6202000
+7 (495) 2520993
+7 (495) 6202000</f>
        <v>#NAME?</v>
      </c>
      <c r="F2863" s="5" t="s">
        <v>33935</v>
      </c>
      <c r="G2863" s="5" t="s">
        <v>33936</v>
      </c>
      <c r="H2863" s="26">
        <v>6.5</v>
      </c>
      <c r="I2863" s="5" t="s">
        <v>33937</v>
      </c>
      <c r="J2863" s="5" t="s">
        <v>33938</v>
      </c>
      <c r="K2863" s="5" t="s">
        <v>344</v>
      </c>
      <c r="L2863" s="5" t="s">
        <v>33939</v>
      </c>
      <c r="M2863" s="27"/>
      <c r="N2863" s="5" t="s">
        <v>53813</v>
      </c>
      <c r="O2863" s="5" t="str">
        <v>9710015375</v>
      </c>
      <c r="P2863" s="27">
        <v>159780000</v>
      </c>
      <c r="Q2863" s="5" t="s">
        <v>53814</v>
      </c>
      <c r="R2863" s="5"/>
      <c r="S2863" s="5" t="s">
        <v>53815</v>
      </c>
      <c r="T2863" s="28">
        <v>919353000</v>
      </c>
      <c r="U2863" s="28"/>
      <c r="V2863" s="28">
        <v>743615000</v>
      </c>
      <c r="W2863" s="28"/>
      <c r="X2863" s="28">
        <v>122801000</v>
      </c>
      <c r="Y2863" s="28">
        <v>1835235000</v>
      </c>
      <c r="Z2863" s="28">
        <v>465052000</v>
      </c>
      <c r="AA2863" s="28">
        <v>446316000</v>
      </c>
      <c r="AB2863" s="28"/>
      <c r="AC2863" s="28">
        <v>679161000</v>
      </c>
      <c r="AD2863" s="28">
        <v>708816000</v>
      </c>
      <c r="AE2863" s="28">
        <v>5029861000</v>
      </c>
      <c r="AF2863" s="28">
        <v>39827000</v>
      </c>
      <c r="AG2863" s="11"/>
    </row>
    <row r="2864">
      <c r="A2864" s="7" t="s">
        <v>4549</v>
      </c>
      <c r="B2864" s="5" t="s">
        <v>12523</v>
      </c>
      <c r="C2864" s="5" t="s">
        <v>20349</v>
      </c>
      <c r="D2864" s="5" t="str">
        <v>772130134997</v>
      </c>
      <c r="E2864" s="0" t="e">
        <f>+7 (8362) 415561
+7 (8362) 450670
+7 (8362) 451064
+7 (8362) 452790
+7 (8362) 454231
+7 (8362) 641471
+7 (8362) 641473
+7 (8362) 641588
+7 (8362) 688621
+7 (8362) 688628
+7 (8362) 688631
+7 (8362) 688662
+7 (8362) 688671
+7 (8362) 688688
+7 (8362) 688718</f>
        <v>#NAME?</v>
      </c>
      <c r="F2864" s="5" t="s">
        <v>33940</v>
      </c>
      <c r="G2864" s="5" t="s">
        <v>33941</v>
      </c>
      <c r="H2864" s="26">
        <v>26.5</v>
      </c>
      <c r="I2864" s="5"/>
      <c r="J2864" s="5" t="s">
        <v>28323</v>
      </c>
      <c r="K2864" s="5" t="s">
        <v>344</v>
      </c>
      <c r="L2864" s="5"/>
      <c r="M2864" s="27">
        <v>11690809</v>
      </c>
      <c r="N2864" s="5" t="s">
        <v>53816</v>
      </c>
      <c r="O2864" s="5" t="str">
        <v>1215013114</v>
      </c>
      <c r="P2864" s="27">
        <v>129604000</v>
      </c>
      <c r="Q2864" s="5"/>
      <c r="R2864" s="5"/>
      <c r="S2864" s="5" t="s">
        <v>49399</v>
      </c>
      <c r="T2864" s="28">
        <v>621018000</v>
      </c>
      <c r="U2864" s="28"/>
      <c r="V2864" s="28">
        <v>2949557000</v>
      </c>
      <c r="W2864" s="28">
        <v>325000000</v>
      </c>
      <c r="X2864" s="28">
        <v>208854000</v>
      </c>
      <c r="Y2864" s="28">
        <v>5694839000</v>
      </c>
      <c r="Z2864" s="28">
        <v>4281227000</v>
      </c>
      <c r="AA2864" s="28"/>
      <c r="AB2864" s="28">
        <v>77545000</v>
      </c>
      <c r="AC2864" s="28">
        <v>1148922000</v>
      </c>
      <c r="AD2864" s="28">
        <v>4505077000</v>
      </c>
      <c r="AE2864" s="28">
        <v>8995437000</v>
      </c>
      <c r="AF2864" s="28">
        <v>1636388000</v>
      </c>
      <c r="AG2864" s="11"/>
    </row>
    <row r="2865">
      <c r="A2865" s="7" t="s">
        <v>4550</v>
      </c>
      <c r="B2865" s="5" t="s">
        <v>12524</v>
      </c>
      <c r="C2865" s="5" t="s">
        <v>20350</v>
      </c>
      <c r="D2865" s="5" t="str">
        <v>330500333020</v>
      </c>
      <c r="E2865" s="0" t="e">
        <f>+7 (49232) 96930
+7 (49232) 96950
+7 (49232) 99630
+7 (495) 9250047</f>
        <v>#NAME?</v>
      </c>
      <c r="F2865" s="5" t="s">
        <v>33942</v>
      </c>
      <c r="G2865" s="5" t="s">
        <v>33943</v>
      </c>
      <c r="H2865" s="26">
        <v>15</v>
      </c>
      <c r="I2865" s="5" t="s">
        <v>33944</v>
      </c>
      <c r="J2865" s="5" t="s">
        <v>26561</v>
      </c>
      <c r="K2865" s="5" t="s">
        <v>344</v>
      </c>
      <c r="L2865" s="5" t="s">
        <v>33945</v>
      </c>
      <c r="M2865" s="27"/>
      <c r="N2865" s="5"/>
      <c r="O2865" s="5" t="str">
        <v>3305060955</v>
      </c>
      <c r="P2865" s="27">
        <v>27297620</v>
      </c>
      <c r="Q2865" s="5" t="s">
        <v>49009</v>
      </c>
      <c r="R2865" s="5"/>
      <c r="S2865" s="5" t="s">
        <v>49066</v>
      </c>
      <c r="T2865" s="28">
        <v>565307000</v>
      </c>
      <c r="U2865" s="28"/>
      <c r="V2865" s="28">
        <v>42612000</v>
      </c>
      <c r="W2865" s="28"/>
      <c r="X2865" s="28">
        <v>267220000</v>
      </c>
      <c r="Y2865" s="28">
        <v>1357559000</v>
      </c>
      <c r="Z2865" s="28">
        <v>868845000</v>
      </c>
      <c r="AA2865" s="28">
        <v>127873000</v>
      </c>
      <c r="AB2865" s="28">
        <v>107409000</v>
      </c>
      <c r="AC2865" s="28">
        <v>311620000</v>
      </c>
      <c r="AD2865" s="28">
        <v>896143000</v>
      </c>
      <c r="AE2865" s="28">
        <v>3550498000</v>
      </c>
      <c r="AF2865" s="28">
        <v>297657000</v>
      </c>
      <c r="AG2865" s="11"/>
    </row>
    <row r="2866">
      <c r="A2866" s="7" t="s">
        <v>4551</v>
      </c>
      <c r="B2866" s="5" t="s">
        <v>12525</v>
      </c>
      <c r="C2866" s="5" t="s">
        <v>20351</v>
      </c>
      <c r="D2866" s="5"/>
      <c r="E2866" s="0" t="e">
        <f>+7 (471) 2730257
+7 (4712) 561099
+7 (4712) 567895
+7 (4712) 567900
+7 (4712) 568645
+7 (4712) 568647
+7 (4712) 705743
+7 (4712) 707786
+7 (4712) 708279
+7 (4712) 708285
+7 (4712) 730268
+7 (4712) 730269
+7 (4712) 730280
+7 (4712) 735030
+7 (4712) 735468</f>
        <v>#NAME?</v>
      </c>
      <c r="F2866" s="5" t="s">
        <v>33946</v>
      </c>
      <c r="G2866" s="5" t="s">
        <v>33947</v>
      </c>
      <c r="H2866" s="26">
        <v>24.5</v>
      </c>
      <c r="I2866" s="5"/>
      <c r="J2866" s="5" t="s">
        <v>25287</v>
      </c>
      <c r="K2866" s="5" t="s">
        <v>344</v>
      </c>
      <c r="L2866" s="5" t="s">
        <v>33948</v>
      </c>
      <c r="M2866" s="27"/>
      <c r="N2866" s="5"/>
      <c r="O2866" s="5" t="str">
        <v>4629046141</v>
      </c>
      <c r="P2866" s="27">
        <v>155729300</v>
      </c>
      <c r="Q2866" s="5" t="s">
        <v>49009</v>
      </c>
      <c r="R2866" s="5"/>
      <c r="S2866" s="5" t="s">
        <v>49066</v>
      </c>
      <c r="T2866" s="28">
        <v>5076948000</v>
      </c>
      <c r="U2866" s="28">
        <v>104349000</v>
      </c>
      <c r="V2866" s="28">
        <v>1476104000</v>
      </c>
      <c r="W2866" s="28"/>
      <c r="X2866" s="28">
        <v>327937000</v>
      </c>
      <c r="Y2866" s="28">
        <v>10260867000</v>
      </c>
      <c r="Z2866" s="28">
        <v>869697000</v>
      </c>
      <c r="AA2866" s="28">
        <v>1145679000</v>
      </c>
      <c r="AB2866" s="28">
        <v>4616996000</v>
      </c>
      <c r="AC2866" s="28">
        <v>6807959000</v>
      </c>
      <c r="AD2866" s="28">
        <v>1670310000</v>
      </c>
      <c r="AE2866" s="28">
        <v>15377947000</v>
      </c>
      <c r="AF2866" s="28">
        <v>180616000</v>
      </c>
      <c r="AG2866" s="11"/>
    </row>
    <row r="2867">
      <c r="A2867" s="7" t="s">
        <v>4552</v>
      </c>
      <c r="B2867" s="5" t="s">
        <v>12526</v>
      </c>
      <c r="C2867" s="5" t="s">
        <v>20352</v>
      </c>
      <c r="D2867" s="5" t="str">
        <v>402405821578</v>
      </c>
      <c r="E2867" s="0" t="e">
        <f>+7 (926) 8048434
+7 (926) 8049434
+7 (499) 4900777
+7 (985) 1569148</f>
        <v>#NAME?</v>
      </c>
      <c r="F2867" s="5" t="s">
        <v>33949</v>
      </c>
      <c r="G2867" s="5" t="s">
        <v>33950</v>
      </c>
      <c r="H2867" s="26">
        <v>8</v>
      </c>
      <c r="I2867" s="5" t="s">
        <v>33951</v>
      </c>
      <c r="J2867" s="5" t="s">
        <v>364</v>
      </c>
      <c r="K2867" s="5" t="s">
        <v>344</v>
      </c>
      <c r="L2867" s="5" t="s">
        <v>33952</v>
      </c>
      <c r="M2867" s="27"/>
      <c r="N2867" s="5" t="s">
        <v>53817</v>
      </c>
      <c r="O2867" s="5" t="str">
        <v>7730122318</v>
      </c>
      <c r="P2867" s="27">
        <v>10000</v>
      </c>
      <c r="Q2867" s="5" t="s">
        <v>53818</v>
      </c>
      <c r="R2867" s="5"/>
      <c r="S2867" s="5" t="s">
        <v>53819</v>
      </c>
      <c r="T2867" s="28">
        <v>155346000</v>
      </c>
      <c r="U2867" s="28"/>
      <c r="V2867" s="28">
        <v>1087991000</v>
      </c>
      <c r="W2867" s="28">
        <v>12220000</v>
      </c>
      <c r="X2867" s="28">
        <v>1873995000</v>
      </c>
      <c r="Y2867" s="28">
        <v>3184260000</v>
      </c>
      <c r="Z2867" s="28">
        <v>974074000</v>
      </c>
      <c r="AA2867" s="28"/>
      <c r="AB2867" s="28"/>
      <c r="AC2867" s="28">
        <v>2209728000</v>
      </c>
      <c r="AD2867" s="28">
        <v>974084000</v>
      </c>
      <c r="AE2867" s="28">
        <v>5085590000</v>
      </c>
      <c r="AF2867" s="28">
        <v>486379000</v>
      </c>
      <c r="AG2867" s="11"/>
    </row>
    <row r="2868">
      <c r="A2868" s="7" t="s">
        <v>4552</v>
      </c>
      <c r="B2868" s="5" t="s">
        <v>12527</v>
      </c>
      <c r="C2868" s="5" t="s">
        <v>20353</v>
      </c>
      <c r="D2868" s="5" t="str">
        <v>246301998828</v>
      </c>
      <c r="E2868" s="0" t="e">
        <f>+7 (3843) 991095
+7 (391) 2555552
+7 (902) 9428265
+7 (391) 2652221
+7 (391) 2652222</f>
        <v>#NAME?</v>
      </c>
      <c r="F2868" s="5" t="s">
        <v>33953</v>
      </c>
      <c r="G2868" s="5"/>
      <c r="H2868" s="26">
        <v>24.5</v>
      </c>
      <c r="I2868" s="5" t="s">
        <v>33954</v>
      </c>
      <c r="J2868" s="5" t="s">
        <v>33955</v>
      </c>
      <c r="K2868" s="5" t="s">
        <v>344</v>
      </c>
      <c r="L2868" s="5" t="s">
        <v>33956</v>
      </c>
      <c r="M2868" s="27"/>
      <c r="N2868" s="5" t="s">
        <v>53820</v>
      </c>
      <c r="O2868" s="5" t="str">
        <v>2463043654</v>
      </c>
      <c r="P2868" s="27">
        <v>10300000</v>
      </c>
      <c r="Q2868" s="5" t="s">
        <v>53822</v>
      </c>
      <c r="R2868" s="5"/>
      <c r="S2868" s="5" t="s">
        <v>49173</v>
      </c>
      <c r="T2868" s="28">
        <v>234738000</v>
      </c>
      <c r="U2868" s="28">
        <v>45034000</v>
      </c>
      <c r="V2868" s="28">
        <v>1143125000</v>
      </c>
      <c r="W2868" s="28">
        <v>182000</v>
      </c>
      <c r="X2868" s="28">
        <v>54282000</v>
      </c>
      <c r="Y2868" s="28">
        <v>2200503000</v>
      </c>
      <c r="Z2868" s="28">
        <v>1646763000</v>
      </c>
      <c r="AA2868" s="28"/>
      <c r="AB2868" s="28">
        <v>155853000</v>
      </c>
      <c r="AC2868" s="28">
        <v>534979000</v>
      </c>
      <c r="AD2868" s="28">
        <v>1657063000</v>
      </c>
      <c r="AE2868" s="28">
        <v>11806544000</v>
      </c>
      <c r="AF2868" s="28">
        <v>178562000</v>
      </c>
      <c r="AG2868" s="11"/>
    </row>
    <row r="2869">
      <c r="A2869" s="7" t="s">
        <v>4553</v>
      </c>
      <c r="B2869" s="5" t="s">
        <v>12528</v>
      </c>
      <c r="C2869" s="5" t="s">
        <v>20354</v>
      </c>
      <c r="D2869" s="5" t="str">
        <v>540208308989</v>
      </c>
      <c r="E2869" s="0" t="e">
        <f>+7 (383) 3630961</f>
        <v>#NAME?</v>
      </c>
      <c r="F2869" s="5"/>
      <c r="G2869" s="5"/>
      <c r="H2869" s="26">
        <v>15</v>
      </c>
      <c r="I2869" s="5" t="s">
        <v>33957</v>
      </c>
      <c r="J2869" s="5" t="s">
        <v>641</v>
      </c>
      <c r="K2869" s="5" t="s">
        <v>344</v>
      </c>
      <c r="L2869" s="5" t="s">
        <v>33958</v>
      </c>
      <c r="M2869" s="27"/>
      <c r="N2869" s="5"/>
      <c r="O2869" s="5" t="str">
        <v>5410017991</v>
      </c>
      <c r="P2869" s="27">
        <v>10000</v>
      </c>
      <c r="Q2869" s="5" t="s">
        <v>49009</v>
      </c>
      <c r="R2869" s="5"/>
      <c r="S2869" s="5" t="s">
        <v>49028</v>
      </c>
      <c r="T2869" s="28"/>
      <c r="U2869" s="28"/>
      <c r="V2869" s="28">
        <v>865882000</v>
      </c>
      <c r="W2869" s="28"/>
      <c r="X2869" s="28">
        <v>507493000</v>
      </c>
      <c r="Y2869" s="28">
        <v>1385028000</v>
      </c>
      <c r="Z2869" s="28">
        <v>886269000</v>
      </c>
      <c r="AA2869" s="28"/>
      <c r="AB2869" s="28"/>
      <c r="AC2869" s="28">
        <v>498749000</v>
      </c>
      <c r="AD2869" s="28">
        <v>886279000</v>
      </c>
      <c r="AE2869" s="28">
        <v>4705302000</v>
      </c>
      <c r="AF2869" s="28">
        <v>378503000</v>
      </c>
      <c r="AG2869" s="11"/>
    </row>
    <row r="2870">
      <c r="A2870" s="7" t="s">
        <v>4554</v>
      </c>
      <c r="B2870" s="5" t="s">
        <v>12529</v>
      </c>
      <c r="C2870" s="5" t="s">
        <v>20355</v>
      </c>
      <c r="D2870" s="5" t="str">
        <v>623010795350</v>
      </c>
      <c r="E2870" s="0" t="e">
        <f>+7 (484) 2211620
+7 (484) 2411600
+7 (484) 2717259
+7 (965) 7071214</f>
        <v>#NAME?</v>
      </c>
      <c r="F2870" s="5" t="s">
        <v>33959</v>
      </c>
      <c r="G2870" s="5" t="s">
        <v>33960</v>
      </c>
      <c r="H2870" s="26">
        <v>11.5</v>
      </c>
      <c r="I2870" s="5" t="s">
        <v>33961</v>
      </c>
      <c r="J2870" s="5" t="s">
        <v>26281</v>
      </c>
      <c r="K2870" s="5" t="s">
        <v>344</v>
      </c>
      <c r="L2870" s="5" t="s">
        <v>33962</v>
      </c>
      <c r="M2870" s="27"/>
      <c r="N2870" s="5"/>
      <c r="O2870" s="5" t="str">
        <v>4027105304</v>
      </c>
      <c r="P2870" s="27">
        <v>10000000</v>
      </c>
      <c r="Q2870" s="5"/>
      <c r="R2870" s="5"/>
      <c r="S2870" s="5" t="s">
        <v>49029</v>
      </c>
      <c r="T2870" s="28">
        <v>9080230000</v>
      </c>
      <c r="U2870" s="28">
        <v>52127000</v>
      </c>
      <c r="V2870" s="28">
        <v>848043000</v>
      </c>
      <c r="W2870" s="28"/>
      <c r="X2870" s="28">
        <v>436380000</v>
      </c>
      <c r="Y2870" s="28">
        <v>15414082000</v>
      </c>
      <c r="Z2870" s="28">
        <v>-5025810000</v>
      </c>
      <c r="AA2870" s="28"/>
      <c r="AB2870" s="28"/>
      <c r="AC2870" s="28">
        <v>1658445000</v>
      </c>
      <c r="AD2870" s="28">
        <v>13718381000</v>
      </c>
      <c r="AE2870" s="28">
        <v>5408721000</v>
      </c>
      <c r="AF2870" s="28">
        <v>1106020000</v>
      </c>
      <c r="AG2870" s="11"/>
    </row>
    <row r="2871">
      <c r="A2871" s="7" t="s">
        <v>4555</v>
      </c>
      <c r="B2871" s="5" t="s">
        <v>12530</v>
      </c>
      <c r="C2871" s="5" t="s">
        <v>20356</v>
      </c>
      <c r="D2871" s="5" t="str">
        <v>860308023635</v>
      </c>
      <c r="E2871" s="0" t="e">
        <f>+7 (495) 7876735
+7 (495) 7876736
+7 (499) 1163537
+7 (800) 3503669
+7 (800) 5557706
+7 (903) 9746968</f>
        <v>#NAME?</v>
      </c>
      <c r="F2871" s="5" t="s">
        <v>33963</v>
      </c>
      <c r="G2871" s="5" t="s">
        <v>33964</v>
      </c>
      <c r="H2871" s="26">
        <v>18</v>
      </c>
      <c r="I2871" s="5" t="s">
        <v>33965</v>
      </c>
      <c r="J2871" s="5" t="s">
        <v>25259</v>
      </c>
      <c r="K2871" s="5" t="s">
        <v>344</v>
      </c>
      <c r="L2871" s="5" t="s">
        <v>33966</v>
      </c>
      <c r="M2871" s="27"/>
      <c r="N2871" s="5"/>
      <c r="O2871" s="5" t="str">
        <v>7706560230</v>
      </c>
      <c r="P2871" s="27">
        <v>1513000000</v>
      </c>
      <c r="Q2871" s="5" t="s">
        <v>49009</v>
      </c>
      <c r="R2871" s="5"/>
      <c r="S2871" s="5" t="s">
        <v>49010</v>
      </c>
      <c r="T2871" s="28">
        <v>377809000</v>
      </c>
      <c r="U2871" s="28"/>
      <c r="V2871" s="28">
        <v>2265224000</v>
      </c>
      <c r="W2871" s="28"/>
      <c r="X2871" s="28">
        <v>4577895000</v>
      </c>
      <c r="Y2871" s="28">
        <v>7861943000</v>
      </c>
      <c r="Z2871" s="28">
        <v>4568372000</v>
      </c>
      <c r="AA2871" s="28"/>
      <c r="AB2871" s="28"/>
      <c r="AC2871" s="28">
        <v>1491414000</v>
      </c>
      <c r="AD2871" s="28">
        <v>6081372000</v>
      </c>
      <c r="AE2871" s="28">
        <v>9845811000</v>
      </c>
      <c r="AF2871" s="28">
        <v>415264000</v>
      </c>
      <c r="AG2871" s="11"/>
    </row>
    <row r="2872">
      <c r="A2872" s="7" t="s">
        <v>4556</v>
      </c>
      <c r="B2872" s="5" t="s">
        <v>12531</v>
      </c>
      <c r="C2872" s="5" t="s">
        <v>20357</v>
      </c>
      <c r="D2872" s="5" t="str">
        <v>660900031542</v>
      </c>
      <c r="E2872" s="0" t="e">
        <f>+7 (912) 2400578
+7 (391) 2699101
+7 (812) 2456262</f>
        <v>#NAME?</v>
      </c>
      <c r="F2872" s="5" t="s">
        <v>33967</v>
      </c>
      <c r="G2872" s="5" t="s">
        <v>33968</v>
      </c>
      <c r="H2872" s="26">
        <v>28.5</v>
      </c>
      <c r="I2872" s="5" t="s">
        <v>33969</v>
      </c>
      <c r="J2872" s="5" t="s">
        <v>26880</v>
      </c>
      <c r="K2872" s="5" t="s">
        <v>344</v>
      </c>
      <c r="L2872" s="5" t="s">
        <v>33970</v>
      </c>
      <c r="M2872" s="27"/>
      <c r="N2872" s="5" t="s">
        <v>53824</v>
      </c>
      <c r="O2872" s="5" t="str">
        <v>6609002301</v>
      </c>
      <c r="P2872" s="27">
        <v>810000</v>
      </c>
      <c r="Q2872" s="5" t="s">
        <v>53825</v>
      </c>
      <c r="R2872" s="5"/>
      <c r="S2872" s="5" t="s">
        <v>53826</v>
      </c>
      <c r="T2872" s="28">
        <v>582713000</v>
      </c>
      <c r="U2872" s="28">
        <v>177000</v>
      </c>
      <c r="V2872" s="28">
        <v>1847017000</v>
      </c>
      <c r="W2872" s="28">
        <v>8410000</v>
      </c>
      <c r="X2872" s="28">
        <v>299139000</v>
      </c>
      <c r="Y2872" s="28">
        <v>7456525000</v>
      </c>
      <c r="Z2872" s="28">
        <v>4947333000</v>
      </c>
      <c r="AA2872" s="28"/>
      <c r="AB2872" s="28">
        <v>1357893000</v>
      </c>
      <c r="AC2872" s="28">
        <v>2261761000</v>
      </c>
      <c r="AD2872" s="28">
        <v>4948265000</v>
      </c>
      <c r="AE2872" s="28">
        <v>15747857000</v>
      </c>
      <c r="AF2872" s="28">
        <v>711324000</v>
      </c>
      <c r="AG2872" s="11"/>
    </row>
    <row r="2873">
      <c r="A2873" s="7" t="s">
        <v>4557</v>
      </c>
      <c r="B2873" s="5" t="s">
        <v>12532</v>
      </c>
      <c r="C2873" s="5" t="s">
        <v>20358</v>
      </c>
      <c r="D2873" s="5" t="str">
        <v>773600176171</v>
      </c>
      <c r="E2873" s="0" t="e">
        <f>+7 (495) 251936
+7 (49657) 75455
+7 (495) 6310845
+7 (495) 6841900
+7 (495) 6841904
+7 (495) 6841908
+7 (495) 6841915
+7 (495) 6841935
+7 (495) 6841946
+7 (495) 7029788
+7 (495) 7456087
+7 (49657) 54154
+7 (49657) 54963
+7 (49657) 59135
+7 (49657) 75445</f>
        <v>#NAME?</v>
      </c>
      <c r="F2873" s="5" t="s">
        <v>33971</v>
      </c>
      <c r="G2873" s="5" t="s">
        <v>33972</v>
      </c>
      <c r="H2873" s="26">
        <v>30</v>
      </c>
      <c r="I2873" s="5"/>
      <c r="J2873" s="5" t="s">
        <v>678</v>
      </c>
      <c r="K2873" s="5" t="s">
        <v>344</v>
      </c>
      <c r="L2873" s="5" t="s">
        <v>33973</v>
      </c>
      <c r="M2873" s="27"/>
      <c r="N2873" s="5" t="s">
        <v>53827</v>
      </c>
      <c r="O2873" s="5" t="str">
        <v>7702060490</v>
      </c>
      <c r="P2873" s="27">
        <v>6546000</v>
      </c>
      <c r="Q2873" s="5" t="s">
        <v>53828</v>
      </c>
      <c r="R2873" s="5"/>
      <c r="S2873" s="5" t="s">
        <v>50836</v>
      </c>
      <c r="T2873" s="28">
        <v>209329000</v>
      </c>
      <c r="U2873" s="28">
        <v>360000</v>
      </c>
      <c r="V2873" s="28">
        <v>1162351000</v>
      </c>
      <c r="W2873" s="28">
        <v>13878000</v>
      </c>
      <c r="X2873" s="28">
        <v>740151000</v>
      </c>
      <c r="Y2873" s="28">
        <v>2280291000</v>
      </c>
      <c r="Z2873" s="28">
        <v>568973000</v>
      </c>
      <c r="AA2873" s="28"/>
      <c r="AB2873" s="28"/>
      <c r="AC2873" s="28">
        <v>1631310000</v>
      </c>
      <c r="AD2873" s="28">
        <v>638583000</v>
      </c>
      <c r="AE2873" s="28">
        <v>3469971000</v>
      </c>
      <c r="AF2873" s="28">
        <v>161434000</v>
      </c>
      <c r="AG2873" s="11"/>
    </row>
    <row r="2874">
      <c r="A2874" s="7" t="s">
        <v>4558</v>
      </c>
      <c r="B2874" s="5" t="s">
        <v>12533</v>
      </c>
      <c r="C2874" s="5" t="s">
        <v>20359</v>
      </c>
      <c r="D2874" s="5" t="str">
        <v>773506202307</v>
      </c>
      <c r="F2874" s="5" t="s">
        <v>33974</v>
      </c>
      <c r="G2874" s="5"/>
      <c r="H2874" s="26">
        <v>8.5</v>
      </c>
      <c r="I2874" s="5" t="s">
        <v>33975</v>
      </c>
      <c r="J2874" s="5" t="s">
        <v>26918</v>
      </c>
      <c r="K2874" s="5" t="s">
        <v>355</v>
      </c>
      <c r="L2874" s="5" t="s">
        <v>33976</v>
      </c>
      <c r="M2874" s="27">
        <v>5730968</v>
      </c>
      <c r="N2874" s="5" t="s">
        <v>53829</v>
      </c>
      <c r="O2874" s="5" t="str">
        <v>7714949365</v>
      </c>
      <c r="P2874" s="27">
        <v>10000</v>
      </c>
      <c r="Q2874" s="5"/>
      <c r="R2874" s="5"/>
      <c r="S2874" s="5" t="s">
        <v>50836</v>
      </c>
      <c r="T2874" s="28">
        <v>1155000</v>
      </c>
      <c r="U2874" s="28"/>
      <c r="V2874" s="28">
        <v>3983484000</v>
      </c>
      <c r="W2874" s="28"/>
      <c r="X2874" s="28">
        <v>42315000</v>
      </c>
      <c r="Y2874" s="28">
        <v>4556627000</v>
      </c>
      <c r="Z2874" s="28">
        <v>-57321000</v>
      </c>
      <c r="AA2874" s="28"/>
      <c r="AB2874" s="28"/>
      <c r="AC2874" s="28">
        <v>4612225000</v>
      </c>
      <c r="AD2874" s="28">
        <v>-57311000</v>
      </c>
      <c r="AE2874" s="28">
        <v>3179608000</v>
      </c>
      <c r="AF2874" s="28">
        <v>-143271000</v>
      </c>
      <c r="AG2874" s="11"/>
    </row>
    <row r="2875">
      <c r="A2875" s="7" t="s">
        <v>4559</v>
      </c>
      <c r="B2875" s="5" t="s">
        <v>12534</v>
      </c>
      <c r="C2875" s="5" t="s">
        <v>19130</v>
      </c>
      <c r="D2875" s="5" t="str">
        <v>781609254370</v>
      </c>
      <c r="E2875" s="0" t="e">
        <f>+7 (499) 6433441
+7 (812) 4263410
+7 (499) 9221010
+7 (812) 9011010
+7 (831) 2352526
+7 (921) 9513979</f>
        <v>#NAME?</v>
      </c>
      <c r="F2875" s="5" t="s">
        <v>33977</v>
      </c>
      <c r="G2875" s="5"/>
      <c r="H2875" s="26">
        <v>14</v>
      </c>
      <c r="I2875" s="5" t="s">
        <v>33978</v>
      </c>
      <c r="J2875" s="5" t="s">
        <v>25670</v>
      </c>
      <c r="K2875" s="5" t="s">
        <v>355</v>
      </c>
      <c r="L2875" s="5" t="s">
        <v>33979</v>
      </c>
      <c r="M2875" s="27">
        <v>98515735</v>
      </c>
      <c r="N2875" s="5"/>
      <c r="O2875" s="5" t="str">
        <v>7805485840</v>
      </c>
      <c r="P2875" s="27">
        <v>491500000</v>
      </c>
      <c r="Q2875" s="5" t="s">
        <v>50809</v>
      </c>
      <c r="R2875" s="5" t="s">
        <v>53830</v>
      </c>
      <c r="S2875" s="5" t="s">
        <v>51905</v>
      </c>
      <c r="T2875" s="28">
        <v>70239000</v>
      </c>
      <c r="U2875" s="28">
        <v>192000</v>
      </c>
      <c r="V2875" s="28">
        <v>24612512000</v>
      </c>
      <c r="W2875" s="28">
        <v>3500000</v>
      </c>
      <c r="X2875" s="28">
        <v>952703000</v>
      </c>
      <c r="Y2875" s="28">
        <v>31652200000</v>
      </c>
      <c r="Z2875" s="28">
        <v>706335000</v>
      </c>
      <c r="AA2875" s="28">
        <v>16165326000</v>
      </c>
      <c r="AB2875" s="28">
        <v>10697940000</v>
      </c>
      <c r="AC2875" s="28">
        <v>13526023000</v>
      </c>
      <c r="AD2875" s="28">
        <v>1418949000</v>
      </c>
      <c r="AE2875" s="28">
        <v>8402315000</v>
      </c>
      <c r="AF2875" s="28">
        <v>305370000</v>
      </c>
      <c r="AG2875" s="11"/>
    </row>
    <row r="2876">
      <c r="A2876" s="7" t="s">
        <v>4560</v>
      </c>
      <c r="B2876" s="5" t="s">
        <v>12535</v>
      </c>
      <c r="C2876" s="5" t="s">
        <v>20360</v>
      </c>
      <c r="D2876" s="5" t="str">
        <v>780157773030</v>
      </c>
      <c r="E2876" s="0" t="e">
        <f>+7 (921) 9392080
+7 (812) 4905436
+7 (812) 4905466
+7 (812) 4905789
+7 (812) 4905815</f>
        <v>#NAME?</v>
      </c>
      <c r="F2876" s="5" t="s">
        <v>33980</v>
      </c>
      <c r="G2876" s="5" t="s">
        <v>33981</v>
      </c>
      <c r="H2876" s="26">
        <v>22</v>
      </c>
      <c r="I2876" s="5" t="s">
        <v>33982</v>
      </c>
      <c r="J2876" s="5" t="s">
        <v>555</v>
      </c>
      <c r="K2876" s="5" t="s">
        <v>380</v>
      </c>
      <c r="L2876" s="5" t="s">
        <v>33983</v>
      </c>
      <c r="M2876" s="27">
        <v>19032854</v>
      </c>
      <c r="N2876" s="5" t="s">
        <v>53831</v>
      </c>
      <c r="O2876" s="5" t="str">
        <v>7810220078</v>
      </c>
      <c r="P2876" s="27">
        <v>30000</v>
      </c>
      <c r="Q2876" s="5" t="s">
        <v>49009</v>
      </c>
      <c r="R2876" s="5"/>
      <c r="S2876" s="5" t="s">
        <v>49028</v>
      </c>
      <c r="T2876" s="28">
        <v>2519953000</v>
      </c>
      <c r="U2876" s="28"/>
      <c r="V2876" s="28">
        <v>794979000</v>
      </c>
      <c r="W2876" s="28">
        <v>1020777000</v>
      </c>
      <c r="X2876" s="28">
        <v>2642000</v>
      </c>
      <c r="Y2876" s="28">
        <v>5444468000</v>
      </c>
      <c r="Z2876" s="28">
        <v>875086000</v>
      </c>
      <c r="AA2876" s="28"/>
      <c r="AB2876" s="28"/>
      <c r="AC2876" s="28">
        <v>2818155000</v>
      </c>
      <c r="AD2876" s="28">
        <v>875116000</v>
      </c>
      <c r="AE2876" s="28">
        <v>17427253000</v>
      </c>
      <c r="AF2876" s="28">
        <v>-127838000</v>
      </c>
      <c r="AG2876" s="11"/>
    </row>
    <row r="2877">
      <c r="A2877" s="7" t="s">
        <v>4561</v>
      </c>
      <c r="B2877" s="5" t="s">
        <v>12536</v>
      </c>
      <c r="C2877" s="5" t="s">
        <v>20361</v>
      </c>
      <c r="D2877" s="5" t="str">
        <v>322700981804</v>
      </c>
      <c r="E2877" s="0" t="e">
        <f>+7 (495) 3504971
+7 (495) 6430572
+7 (495) 7823778
+7 (916) 6297519
+7 (916) 6927519
+7 (916) 6929519</f>
        <v>#NAME?</v>
      </c>
      <c r="F2877" s="5"/>
      <c r="G2877" s="5" t="s">
        <v>33984</v>
      </c>
      <c r="H2877" s="26">
        <v>8.5</v>
      </c>
      <c r="I2877" s="5" t="s">
        <v>33985</v>
      </c>
      <c r="J2877" s="5" t="s">
        <v>33986</v>
      </c>
      <c r="K2877" s="5" t="s">
        <v>355</v>
      </c>
      <c r="L2877" s="5" t="s">
        <v>33987</v>
      </c>
      <c r="M2877" s="27"/>
      <c r="N2877" s="5"/>
      <c r="O2877" s="5" t="str">
        <v>7723920806</v>
      </c>
      <c r="P2877" s="27">
        <v>1000000</v>
      </c>
      <c r="Q2877" s="5" t="s">
        <v>49021</v>
      </c>
      <c r="R2877" s="5"/>
      <c r="S2877" s="5" t="s">
        <v>49033</v>
      </c>
      <c r="T2877" s="28">
        <v>34508000</v>
      </c>
      <c r="U2877" s="28"/>
      <c r="V2877" s="28">
        <v>560022000</v>
      </c>
      <c r="W2877" s="28">
        <v>104430000</v>
      </c>
      <c r="X2877" s="28">
        <v>3012000</v>
      </c>
      <c r="Y2877" s="28">
        <v>2008257000</v>
      </c>
      <c r="Z2877" s="28">
        <v>679647000</v>
      </c>
      <c r="AA2877" s="28">
        <v>475005000</v>
      </c>
      <c r="AB2877" s="28">
        <v>107552000</v>
      </c>
      <c r="AC2877" s="28">
        <v>844087000</v>
      </c>
      <c r="AD2877" s="28">
        <v>680647000</v>
      </c>
      <c r="AE2877" s="28">
        <v>4133086000</v>
      </c>
      <c r="AF2877" s="28">
        <v>45981000</v>
      </c>
      <c r="AG2877" s="11"/>
    </row>
    <row r="2878">
      <c r="A2878" s="7" t="s">
        <v>4562</v>
      </c>
      <c r="B2878" s="5" t="s">
        <v>12537</v>
      </c>
      <c r="C2878" s="5" t="s">
        <v>20362</v>
      </c>
      <c r="D2878" s="5" t="str">
        <v>781013660327</v>
      </c>
      <c r="E2878" s="0" t="e">
        <f>+7 (812) 3038700
+7 (812) 3038704</f>
        <v>#NAME?</v>
      </c>
      <c r="F2878" s="5" t="s">
        <v>33988</v>
      </c>
      <c r="G2878" s="5" t="s">
        <v>33989</v>
      </c>
      <c r="H2878" s="26">
        <v>22.5</v>
      </c>
      <c r="I2878" s="5"/>
      <c r="J2878" s="5" t="s">
        <v>30320</v>
      </c>
      <c r="K2878" s="5" t="s">
        <v>344</v>
      </c>
      <c r="L2878" s="5" t="s">
        <v>33990</v>
      </c>
      <c r="M2878" s="27"/>
      <c r="N2878" s="5"/>
      <c r="O2878" s="5" t="str">
        <v>7806109091</v>
      </c>
      <c r="P2878" s="27">
        <v>208020839</v>
      </c>
      <c r="Q2878" s="5" t="s">
        <v>49009</v>
      </c>
      <c r="R2878" s="5"/>
      <c r="S2878" s="5" t="s">
        <v>49581</v>
      </c>
      <c r="T2878" s="28">
        <v>461108000</v>
      </c>
      <c r="U2878" s="28">
        <v>67694000</v>
      </c>
      <c r="V2878" s="28">
        <v>585045000</v>
      </c>
      <c r="W2878" s="28"/>
      <c r="X2878" s="28">
        <v>27326000</v>
      </c>
      <c r="Y2878" s="28">
        <v>1786967000</v>
      </c>
      <c r="Z2878" s="28">
        <v>418506000</v>
      </c>
      <c r="AA2878" s="28"/>
      <c r="AB2878" s="28">
        <v>200707000</v>
      </c>
      <c r="AC2878" s="28">
        <v>775957000</v>
      </c>
      <c r="AD2878" s="28">
        <v>766209000</v>
      </c>
      <c r="AE2878" s="28">
        <v>4399235000</v>
      </c>
      <c r="AF2878" s="28">
        <v>269432000</v>
      </c>
      <c r="AG2878" s="11"/>
    </row>
    <row r="2879">
      <c r="A2879" s="7" t="s">
        <v>4563</v>
      </c>
      <c r="B2879" s="5" t="s">
        <v>12538</v>
      </c>
      <c r="C2879" s="5" t="s">
        <v>20363</v>
      </c>
      <c r="D2879" s="5" t="str">
        <v>772152671219</v>
      </c>
      <c r="E2879" s="0" t="e">
        <f>+7 (499) 6494509
+7 (800) 3338363
+7 (812) 3221122
+7 (812) 3221130
+7 (903) 2657278</f>
        <v>#NAME?</v>
      </c>
      <c r="F2879" s="5" t="s">
        <v>33991</v>
      </c>
      <c r="G2879" s="5" t="s">
        <v>33992</v>
      </c>
      <c r="H2879" s="26">
        <v>13.5</v>
      </c>
      <c r="I2879" s="5" t="s">
        <v>33993</v>
      </c>
      <c r="J2879" s="5" t="s">
        <v>25195</v>
      </c>
      <c r="K2879" s="5" t="s">
        <v>380</v>
      </c>
      <c r="L2879" s="5"/>
      <c r="M2879" s="27">
        <v>46400138</v>
      </c>
      <c r="N2879" s="5"/>
      <c r="O2879" s="5" t="str">
        <v>7801506440</v>
      </c>
      <c r="P2879" s="27">
        <v>10500</v>
      </c>
      <c r="Q2879" s="5"/>
      <c r="R2879" s="5"/>
      <c r="S2879" s="5" t="s">
        <v>49029</v>
      </c>
      <c r="T2879" s="28">
        <v>646716000</v>
      </c>
      <c r="U2879" s="28"/>
      <c r="V2879" s="28">
        <v>395423000</v>
      </c>
      <c r="W2879" s="28"/>
      <c r="X2879" s="28">
        <v>206048000</v>
      </c>
      <c r="Y2879" s="28">
        <v>4179959000</v>
      </c>
      <c r="Z2879" s="28">
        <v>-2882864000</v>
      </c>
      <c r="AA2879" s="28">
        <v>2469257000</v>
      </c>
      <c r="AB2879" s="28">
        <v>1135627000</v>
      </c>
      <c r="AC2879" s="28">
        <v>4135308000</v>
      </c>
      <c r="AD2879" s="28">
        <v>-2882853000</v>
      </c>
      <c r="AE2879" s="28">
        <v>6423460000</v>
      </c>
      <c r="AF2879" s="28">
        <v>-613270000</v>
      </c>
      <c r="AG2879" s="11"/>
    </row>
    <row r="2880">
      <c r="A2880" s="7" t="s">
        <v>4564</v>
      </c>
      <c r="B2880" s="5" t="s">
        <v>9787</v>
      </c>
      <c r="C2880" s="5" t="s">
        <v>20364</v>
      </c>
      <c r="D2880" s="5" t="str">
        <v>773105029398</v>
      </c>
      <c r="E2880" s="0" t="e">
        <f>+7 (495) 1864974</f>
        <v>#NAME?</v>
      </c>
      <c r="F2880" s="5" t="s">
        <v>33994</v>
      </c>
      <c r="G2880" s="5" t="s">
        <v>33995</v>
      </c>
      <c r="H2880" s="26">
        <v>19.5</v>
      </c>
      <c r="I2880" s="5" t="s">
        <v>33996</v>
      </c>
      <c r="J2880" s="5" t="s">
        <v>364</v>
      </c>
      <c r="K2880" s="5" t="s">
        <v>344</v>
      </c>
      <c r="L2880" s="5"/>
      <c r="M2880" s="27"/>
      <c r="N2880" s="5" t="s">
        <v>53832</v>
      </c>
      <c r="O2880" s="5" t="str">
        <v>7714947625</v>
      </c>
      <c r="P2880" s="27">
        <v>100000</v>
      </c>
      <c r="Q2880" s="5" t="s">
        <v>53833</v>
      </c>
      <c r="R2880" s="5"/>
      <c r="S2880" s="5" t="s">
        <v>53834</v>
      </c>
      <c r="T2880" s="28">
        <v>1900723000</v>
      </c>
      <c r="U2880" s="28">
        <v>4590000</v>
      </c>
      <c r="V2880" s="28">
        <v>34299960000</v>
      </c>
      <c r="W2880" s="28">
        <v>724000000</v>
      </c>
      <c r="X2880" s="28">
        <v>2720472000</v>
      </c>
      <c r="Y2880" s="28">
        <v>41160415000</v>
      </c>
      <c r="Z2880" s="28">
        <v>2703478000</v>
      </c>
      <c r="AA2880" s="28">
        <v>2806865000</v>
      </c>
      <c r="AB2880" s="28">
        <v>693019000</v>
      </c>
      <c r="AC2880" s="28">
        <v>35648400000</v>
      </c>
      <c r="AD2880" s="28">
        <v>2703578000</v>
      </c>
      <c r="AE2880" s="28">
        <v>22445646000</v>
      </c>
      <c r="AF2880" s="28">
        <v>84359000</v>
      </c>
      <c r="AG2880" s="11"/>
    </row>
    <row r="2881">
      <c r="A2881" s="7" t="s">
        <v>4565</v>
      </c>
      <c r="B2881" s="5" t="s">
        <v>12539</v>
      </c>
      <c r="C2881" s="5" t="s">
        <v>20365</v>
      </c>
      <c r="D2881" s="5" t="str">
        <v>616108041616</v>
      </c>
      <c r="E2881" s="0" t="e">
        <f>+7 (861) 6474630
+7 (86132) 65058
+7 (928) 1623498</f>
        <v>#NAME?</v>
      </c>
      <c r="F2881" s="5" t="s">
        <v>33997</v>
      </c>
      <c r="G2881" s="5"/>
      <c r="H2881" s="26">
        <v>11</v>
      </c>
      <c r="I2881" s="5" t="s">
        <v>33998</v>
      </c>
      <c r="J2881" s="5" t="s">
        <v>25850</v>
      </c>
      <c r="K2881" s="5" t="s">
        <v>380</v>
      </c>
      <c r="L2881" s="5" t="s">
        <v>33999</v>
      </c>
      <c r="M2881" s="27">
        <v>1114377437</v>
      </c>
      <c r="N2881" s="5"/>
      <c r="O2881" s="5" t="str">
        <v>2334023970</v>
      </c>
      <c r="P2881" s="27">
        <v>20000</v>
      </c>
      <c r="Q2881" s="5"/>
      <c r="R2881" s="5" t="s">
        <v>53835</v>
      </c>
      <c r="S2881" s="5" t="s">
        <v>49123</v>
      </c>
      <c r="T2881" s="28">
        <v>4842000</v>
      </c>
      <c r="U2881" s="28">
        <v>554554000</v>
      </c>
      <c r="V2881" s="28">
        <v>910163000</v>
      </c>
      <c r="W2881" s="28">
        <v>809761000</v>
      </c>
      <c r="X2881" s="28">
        <v>267492000</v>
      </c>
      <c r="Y2881" s="28">
        <v>2981993000</v>
      </c>
      <c r="Z2881" s="28">
        <v>-663970000</v>
      </c>
      <c r="AA2881" s="28"/>
      <c r="AB2881" s="28">
        <v>590332000</v>
      </c>
      <c r="AC2881" s="28">
        <v>3645684000</v>
      </c>
      <c r="AD2881" s="28">
        <v>-663950000</v>
      </c>
      <c r="AE2881" s="28">
        <v>7100927000</v>
      </c>
      <c r="AF2881" s="28">
        <v>-1007523000</v>
      </c>
      <c r="AG2881" s="11"/>
    </row>
    <row r="2882">
      <c r="A2882" s="7" t="s">
        <v>4565</v>
      </c>
      <c r="B2882" s="5" t="s">
        <v>12540</v>
      </c>
      <c r="C2882" s="5" t="s">
        <v>20366</v>
      </c>
      <c r="D2882" s="5" t="str">
        <v>611102198851</v>
      </c>
      <c r="E2882" s="0" t="e">
        <f>+7 (86164) 72493</f>
        <v>#NAME?</v>
      </c>
      <c r="F2882" s="5" t="s">
        <v>34000</v>
      </c>
      <c r="G2882" s="5"/>
      <c r="H2882" s="26">
        <v>0.5</v>
      </c>
      <c r="I2882" s="5" t="s">
        <v>34001</v>
      </c>
      <c r="J2882" s="5" t="s">
        <v>25850</v>
      </c>
      <c r="K2882" s="5" t="s">
        <v>344</v>
      </c>
      <c r="L2882" s="5"/>
      <c r="M2882" s="27">
        <v>21383031</v>
      </c>
      <c r="N2882" s="5"/>
      <c r="O2882" s="5" t="str">
        <v>2363002189</v>
      </c>
      <c r="P2882" s="27">
        <v>10000000</v>
      </c>
      <c r="Q2882" s="5" t="s">
        <v>49059</v>
      </c>
      <c r="R2882" s="5"/>
      <c r="S2882" s="5" t="s">
        <v>49029</v>
      </c>
      <c r="T2882" s="28"/>
      <c r="U2882" s="28"/>
      <c r="V2882" s="28">
        <v>659388000</v>
      </c>
      <c r="W2882" s="28">
        <v>25000000</v>
      </c>
      <c r="X2882" s="28">
        <v>250351000</v>
      </c>
      <c r="Y2882" s="28">
        <v>1414834000</v>
      </c>
      <c r="Z2882" s="28">
        <v>54920000</v>
      </c>
      <c r="AA2882" s="28"/>
      <c r="AB2882" s="28"/>
      <c r="AC2882" s="28">
        <v>1339029000</v>
      </c>
      <c r="AD2882" s="28">
        <v>64920000</v>
      </c>
      <c r="AE2882" s="28">
        <v>4358523000</v>
      </c>
      <c r="AF2882" s="28">
        <v>54920000</v>
      </c>
      <c r="AG2882" s="11"/>
    </row>
    <row r="2883">
      <c r="A2883" s="7" t="s">
        <v>4566</v>
      </c>
      <c r="B2883" s="5" t="s">
        <v>12541</v>
      </c>
      <c r="C2883" s="5" t="s">
        <v>20367</v>
      </c>
      <c r="D2883" s="5" t="str">
        <v>502712726343</v>
      </c>
      <c r="E2883" s="0" t="e">
        <f>+7 (495) 9957643
+7 (495) 7716756
+7 (495) 7716758
+7 (495) 7847600
+7 (495) 7847622
+7 (495) 9358890</f>
        <v>#NAME?</v>
      </c>
      <c r="F2883" s="5" t="s">
        <v>34002</v>
      </c>
      <c r="G2883" s="5"/>
      <c r="H2883" s="26">
        <v>22.5</v>
      </c>
      <c r="I2883" s="5" t="s">
        <v>34003</v>
      </c>
      <c r="J2883" s="5" t="s">
        <v>28108</v>
      </c>
      <c r="K2883" s="5" t="s">
        <v>344</v>
      </c>
      <c r="L2883" s="5"/>
      <c r="M2883" s="27"/>
      <c r="N2883" s="5"/>
      <c r="O2883" s="5" t="str">
        <v>5032152372</v>
      </c>
      <c r="P2883" s="27">
        <v>64777121186</v>
      </c>
      <c r="Q2883" s="5" t="s">
        <v>49059</v>
      </c>
      <c r="R2883" s="5" t="s">
        <v>53836</v>
      </c>
      <c r="S2883" s="5" t="s">
        <v>49121</v>
      </c>
      <c r="T2883" s="28">
        <v>917839000</v>
      </c>
      <c r="U2883" s="28">
        <v>175121389000</v>
      </c>
      <c r="V2883" s="28">
        <v>17963582000</v>
      </c>
      <c r="W2883" s="28">
        <v>167813863000</v>
      </c>
      <c r="X2883" s="28">
        <v>1650560000</v>
      </c>
      <c r="Y2883" s="28">
        <v>369993425000</v>
      </c>
      <c r="Z2883" s="28">
        <v>5289471000</v>
      </c>
      <c r="AA2883" s="28">
        <v>150000000000</v>
      </c>
      <c r="AB2883" s="28">
        <v>53527465000</v>
      </c>
      <c r="AC2883" s="28">
        <v>56002334000</v>
      </c>
      <c r="AD2883" s="28">
        <v>158830089000</v>
      </c>
      <c r="AE2883" s="28">
        <v>35512035000</v>
      </c>
      <c r="AF2883" s="28">
        <v>5290240000</v>
      </c>
      <c r="AG2883" s="11"/>
    </row>
    <row r="2884">
      <c r="A2884" s="7" t="s">
        <v>4567</v>
      </c>
      <c r="B2884" s="5" t="s">
        <v>10910</v>
      </c>
      <c r="C2884" s="5" t="s">
        <v>20368</v>
      </c>
      <c r="D2884" s="5" t="str">
        <v>614307365474</v>
      </c>
      <c r="E2884" s="0" t="e">
        <f>+7 (34365) 71089
+7 (34377) 30403
+7 (34377) 36023
+7 (34377) 36055
+7 (34377) 36066
+7 (34377) 36278
+7 (34377) 36359
+7 (34377) 36494
+7 (34377) 36734
+7 (34377) 36790
+7 (34377) 38008
+7 (34377) 38036
+7 (34377) 38038
+7 (34377) 38095
+7 (34377) 38105</f>
        <v>#NAME?</v>
      </c>
      <c r="F2884" s="5" t="s">
        <v>34004</v>
      </c>
      <c r="G2884" s="5" t="s">
        <v>34005</v>
      </c>
      <c r="H2884" s="26">
        <v>14.5</v>
      </c>
      <c r="I2884" s="5"/>
      <c r="J2884" s="5" t="s">
        <v>27448</v>
      </c>
      <c r="K2884" s="5" t="s">
        <v>344</v>
      </c>
      <c r="L2884" s="5" t="s">
        <v>34006</v>
      </c>
      <c r="M2884" s="27">
        <v>113524422</v>
      </c>
      <c r="N2884" s="5" t="s">
        <v>53837</v>
      </c>
      <c r="O2884" s="5" t="str">
        <v>7721632827</v>
      </c>
      <c r="P2884" s="27">
        <v>830285973674</v>
      </c>
      <c r="Q2884" s="5" t="s">
        <v>53838</v>
      </c>
      <c r="R2884" s="5"/>
      <c r="S2884" s="5" t="s">
        <v>53839</v>
      </c>
      <c r="T2884" s="28">
        <v>1616641891000</v>
      </c>
      <c r="U2884" s="28">
        <v>85742326000</v>
      </c>
      <c r="V2884" s="28">
        <v>71074752000</v>
      </c>
      <c r="W2884" s="28">
        <v>479492580000</v>
      </c>
      <c r="X2884" s="28">
        <v>4794544000</v>
      </c>
      <c r="Y2884" s="28">
        <v>2423140807000</v>
      </c>
      <c r="Z2884" s="28">
        <v>1104724416000</v>
      </c>
      <c r="AA2884" s="28"/>
      <c r="AB2884" s="28">
        <v>13998981000</v>
      </c>
      <c r="AC2884" s="28">
        <v>115688608000</v>
      </c>
      <c r="AD2884" s="28">
        <v>2141139106000</v>
      </c>
      <c r="AE2884" s="28">
        <v>540970742000</v>
      </c>
      <c r="AF2884" s="28">
        <v>123995817000</v>
      </c>
      <c r="AG2884" s="11"/>
    </row>
    <row r="2885">
      <c r="A2885" s="7" t="s">
        <v>4568</v>
      </c>
      <c r="B2885" s="5" t="s">
        <v>12542</v>
      </c>
      <c r="C2885" s="5" t="s">
        <v>20369</v>
      </c>
      <c r="D2885" s="5" t="str">
        <v>344405899080</v>
      </c>
      <c r="E2885" s="0" t="e">
        <f>+7 (844) 2203020
+7 (844) 2245689
+7 (844) 2292929
+7 (844) 2299679
+7 (844) 2320080
+7 (844) 2325050
+7 (844) 2333002
+7 (844) 2334785
+7 (844) 2353740
+7 (844) 2377565
+7 (844) 2381920
+7 (844) 2262527
+7 (844) 2344303
+7 (844) 2376320
+7 (844) 2386154</f>
        <v>#NAME?</v>
      </c>
      <c r="F2885" s="5" t="s">
        <v>34007</v>
      </c>
      <c r="G2885" s="5" t="s">
        <v>34008</v>
      </c>
      <c r="H2885" s="26">
        <v>8</v>
      </c>
      <c r="I2885" s="5" t="s">
        <v>34009</v>
      </c>
      <c r="J2885" s="5" t="s">
        <v>34010</v>
      </c>
      <c r="K2885" s="5" t="s">
        <v>344</v>
      </c>
      <c r="L2885" s="5"/>
      <c r="M2885" s="27">
        <v>22774171</v>
      </c>
      <c r="N2885" s="5" t="s">
        <v>53840</v>
      </c>
      <c r="O2885" s="5" t="str">
        <v>3460019060</v>
      </c>
      <c r="P2885" s="27">
        <v>58010000</v>
      </c>
      <c r="Q2885" s="5" t="s">
        <v>53841</v>
      </c>
      <c r="R2885" s="5"/>
      <c r="S2885" s="5" t="s">
        <v>49271</v>
      </c>
      <c r="T2885" s="28">
        <v>6208689000</v>
      </c>
      <c r="U2885" s="28">
        <v>102000</v>
      </c>
      <c r="V2885" s="28">
        <v>1858234000</v>
      </c>
      <c r="W2885" s="28"/>
      <c r="X2885" s="28">
        <v>748226000</v>
      </c>
      <c r="Y2885" s="28">
        <v>9589627000</v>
      </c>
      <c r="Z2885" s="28">
        <v>-2004739000</v>
      </c>
      <c r="AA2885" s="28">
        <v>8536142000</v>
      </c>
      <c r="AB2885" s="28"/>
      <c r="AC2885" s="28">
        <v>2545225000</v>
      </c>
      <c r="AD2885" s="28">
        <v>-1132249000</v>
      </c>
      <c r="AE2885" s="28">
        <v>3780966000</v>
      </c>
      <c r="AF2885" s="28">
        <v>7410000</v>
      </c>
      <c r="AG2885" s="11"/>
    </row>
    <row r="2886">
      <c r="A2886" s="7" t="s">
        <v>4569</v>
      </c>
      <c r="B2886" s="5" t="s">
        <v>12543</v>
      </c>
      <c r="C2886" s="5" t="s">
        <v>20369</v>
      </c>
      <c r="D2886" s="5" t="str">
        <v>344405899080</v>
      </c>
      <c r="E2886" s="0" t="e">
        <f>+7 (844) 2262600
+7 (844) 2267651
+7 (844) 2338796
+7 (844) 2338969
+7 (844) 2365462
+7 (844) 2411473
+7 (844) 2457698
+7 (844) 2505070
+7 (844) 2580380
+7 (844) 2586939
+7 (844) 2700700
+7 (844) 2741233
+7 (844) 2264723
+7 (844) 2267416
+7 (844) 2900294</f>
        <v>#NAME?</v>
      </c>
      <c r="F2886" s="5" t="s">
        <v>34011</v>
      </c>
      <c r="G2886" s="5"/>
      <c r="H2886" s="26">
        <v>6.5</v>
      </c>
      <c r="I2886" s="5" t="s">
        <v>34012</v>
      </c>
      <c r="J2886" s="5" t="s">
        <v>27642</v>
      </c>
      <c r="K2886" s="5" t="s">
        <v>355</v>
      </c>
      <c r="L2886" s="5"/>
      <c r="M2886" s="27">
        <v>168828232</v>
      </c>
      <c r="N2886" s="5" t="s">
        <v>53842</v>
      </c>
      <c r="O2886" s="5" t="str">
        <v>3444259579</v>
      </c>
      <c r="P2886" s="27">
        <v>1000000</v>
      </c>
      <c r="Q2886" s="5" t="s">
        <v>53844</v>
      </c>
      <c r="R2886" s="5"/>
      <c r="S2886" s="5" t="s">
        <v>49271</v>
      </c>
      <c r="T2886" s="28">
        <v>6519811000</v>
      </c>
      <c r="U2886" s="28">
        <v>19527000</v>
      </c>
      <c r="V2886" s="28">
        <v>3230017000</v>
      </c>
      <c r="W2886" s="28">
        <v>219862000</v>
      </c>
      <c r="X2886" s="28">
        <v>294770000</v>
      </c>
      <c r="Y2886" s="28">
        <v>11362001000</v>
      </c>
      <c r="Z2886" s="28">
        <v>-2455469000</v>
      </c>
      <c r="AA2886" s="28">
        <v>10248524000</v>
      </c>
      <c r="AB2886" s="28"/>
      <c r="AC2886" s="28">
        <v>2782729000</v>
      </c>
      <c r="AD2886" s="28">
        <v>-937281000</v>
      </c>
      <c r="AE2886" s="28">
        <v>7484194000</v>
      </c>
      <c r="AF2886" s="28">
        <v>-1540367000</v>
      </c>
      <c r="AG2886" s="11"/>
    </row>
    <row r="2887">
      <c r="A2887" s="7" t="s">
        <v>4570</v>
      </c>
      <c r="B2887" s="5" t="s">
        <v>12544</v>
      </c>
      <c r="C2887" s="5" t="s">
        <v>20370</v>
      </c>
      <c r="D2887" s="5" t="str">
        <v>780430689720</v>
      </c>
      <c r="E2887" s="0" t="e">
        <f>+7 (495) 6277254
+7 (495) 6277255
+7 (495) 6277256
+7 (495) 5867524
+7 (495) 7288080
+7 (495) 7807014</f>
        <v>#NAME?</v>
      </c>
      <c r="F2887" s="5" t="s">
        <v>34013</v>
      </c>
      <c r="G2887" s="5"/>
      <c r="H2887" s="26">
        <v>29</v>
      </c>
      <c r="I2887" s="5" t="s">
        <v>34014</v>
      </c>
      <c r="J2887" s="5" t="s">
        <v>33468</v>
      </c>
      <c r="K2887" s="5" t="s">
        <v>344</v>
      </c>
      <c r="L2887" s="5" t="s">
        <v>34015</v>
      </c>
      <c r="M2887" s="27"/>
      <c r="N2887" s="5"/>
      <c r="O2887" s="5" t="str">
        <v>5029015168</v>
      </c>
      <c r="P2887" s="27">
        <v>6560490</v>
      </c>
      <c r="Q2887" s="5" t="s">
        <v>49009</v>
      </c>
      <c r="R2887" s="5"/>
      <c r="S2887" s="5" t="s">
        <v>49066</v>
      </c>
      <c r="T2887" s="28">
        <v>156336000</v>
      </c>
      <c r="U2887" s="28">
        <v>9583000</v>
      </c>
      <c r="V2887" s="28">
        <v>651694000</v>
      </c>
      <c r="W2887" s="28"/>
      <c r="X2887" s="28">
        <v>86077000</v>
      </c>
      <c r="Y2887" s="28">
        <v>2034794000</v>
      </c>
      <c r="Z2887" s="28">
        <v>1624761000</v>
      </c>
      <c r="AA2887" s="28"/>
      <c r="AB2887" s="28">
        <v>99925000</v>
      </c>
      <c r="AC2887" s="28">
        <v>349569000</v>
      </c>
      <c r="AD2887" s="28">
        <v>1631330000</v>
      </c>
      <c r="AE2887" s="28">
        <v>3126296000</v>
      </c>
      <c r="AF2887" s="28">
        <v>647791000</v>
      </c>
      <c r="AG2887" s="11"/>
    </row>
    <row r="2888">
      <c r="A2888" s="7" t="s">
        <v>4571</v>
      </c>
      <c r="B2888" s="5" t="s">
        <v>12545</v>
      </c>
      <c r="C2888" s="5" t="s">
        <v>20371</v>
      </c>
      <c r="D2888" s="5" t="str">
        <v>560914150346</v>
      </c>
      <c r="E2888" s="0" t="e">
        <f>+7 (495) 6628888
+7 (495) 7921656</f>
        <v>#NAME?</v>
      </c>
      <c r="F2888" s="5"/>
      <c r="G2888" s="5"/>
      <c r="H2888" s="26">
        <v>19</v>
      </c>
      <c r="I2888" s="5" t="s">
        <v>34016</v>
      </c>
      <c r="J2888" s="5" t="s">
        <v>25219</v>
      </c>
      <c r="K2888" s="5" t="s">
        <v>344</v>
      </c>
      <c r="L2888" s="5"/>
      <c r="M2888" s="27">
        <v>15413284</v>
      </c>
      <c r="N2888" s="5" t="s">
        <v>53845</v>
      </c>
      <c r="O2888" s="5" t="str">
        <v>5027098120</v>
      </c>
      <c r="P2888" s="27">
        <v>1138330000</v>
      </c>
      <c r="Q2888" s="5" t="s">
        <v>49009</v>
      </c>
      <c r="R2888" s="5"/>
      <c r="S2888" s="5" t="s">
        <v>49028</v>
      </c>
      <c r="T2888" s="28">
        <v>3774504000</v>
      </c>
      <c r="U2888" s="28">
        <v>3276519000</v>
      </c>
      <c r="V2888" s="28">
        <v>399728000</v>
      </c>
      <c r="W2888" s="28"/>
      <c r="X2888" s="28">
        <v>165057000</v>
      </c>
      <c r="Y2888" s="28">
        <v>9597479000</v>
      </c>
      <c r="Z2888" s="28">
        <v>-2684457000</v>
      </c>
      <c r="AA2888" s="28"/>
      <c r="AB2888" s="28"/>
      <c r="AC2888" s="28">
        <v>1127954000</v>
      </c>
      <c r="AD2888" s="28">
        <v>5765038000</v>
      </c>
      <c r="AE2888" s="28">
        <v>12715434000</v>
      </c>
      <c r="AF2888" s="28">
        <v>397380000</v>
      </c>
      <c r="AG2888" s="11"/>
    </row>
    <row r="2889">
      <c r="A2889" s="7" t="s">
        <v>4572</v>
      </c>
      <c r="B2889" s="5" t="s">
        <v>12546</v>
      </c>
      <c r="C2889" s="5" t="s">
        <v>20372</v>
      </c>
      <c r="D2889" s="5" t="str">
        <v>504706427910</v>
      </c>
      <c r="E2889" s="0" t="e">
        <f>+7 (495) 6146221
+7 (495) 6628888
+7 (495) 7771288</f>
        <v>#NAME?</v>
      </c>
      <c r="F2889" s="5" t="s">
        <v>34017</v>
      </c>
      <c r="G2889" s="5" t="s">
        <v>34018</v>
      </c>
      <c r="H2889" s="26">
        <v>24.5</v>
      </c>
      <c r="I2889" s="5" t="s">
        <v>34019</v>
      </c>
      <c r="J2889" s="5" t="s">
        <v>25219</v>
      </c>
      <c r="K2889" s="5" t="s">
        <v>344</v>
      </c>
      <c r="L2889" s="5" t="s">
        <v>34020</v>
      </c>
      <c r="M2889" s="27">
        <v>39256874</v>
      </c>
      <c r="N2889" s="5" t="s">
        <v>53845</v>
      </c>
      <c r="O2889" s="5" t="str">
        <v>7715196234</v>
      </c>
      <c r="P2889" s="27">
        <v>123302000</v>
      </c>
      <c r="Q2889" s="5" t="s">
        <v>49009</v>
      </c>
      <c r="R2889" s="5"/>
      <c r="S2889" s="5" t="s">
        <v>49420</v>
      </c>
      <c r="T2889" s="28">
        <v>8832141000</v>
      </c>
      <c r="U2889" s="28">
        <v>9083504000</v>
      </c>
      <c r="V2889" s="28">
        <v>22466605000</v>
      </c>
      <c r="W2889" s="28"/>
      <c r="X2889" s="28">
        <v>301647000</v>
      </c>
      <c r="Y2889" s="28">
        <v>47728529000</v>
      </c>
      <c r="Z2889" s="28">
        <v>3766839000</v>
      </c>
      <c r="AA2889" s="28"/>
      <c r="AB2889" s="28"/>
      <c r="AC2889" s="28">
        <v>30081495000</v>
      </c>
      <c r="AD2889" s="28">
        <v>11494405000</v>
      </c>
      <c r="AE2889" s="28">
        <v>161471604000</v>
      </c>
      <c r="AF2889" s="28">
        <v>3079540000</v>
      </c>
      <c r="AG2889" s="11"/>
    </row>
    <row r="2890">
      <c r="A2890" s="7" t="s">
        <v>4573</v>
      </c>
      <c r="B2890" s="5" t="s">
        <v>12547</v>
      </c>
      <c r="C2890" s="5" t="s">
        <v>20373</v>
      </c>
      <c r="D2890" s="5" t="str">
        <v>633006627600</v>
      </c>
      <c r="E2890" s="0" t="e">
        <f>+7 (919) 3454198</f>
        <v>#NAME?</v>
      </c>
      <c r="F2890" s="5"/>
      <c r="G2890" s="5"/>
      <c r="H2890" s="26">
        <v>17</v>
      </c>
      <c r="I2890" s="5" t="s">
        <v>34021</v>
      </c>
      <c r="J2890" s="5" t="s">
        <v>27855</v>
      </c>
      <c r="K2890" s="5" t="s">
        <v>344</v>
      </c>
      <c r="L2890" s="5" t="s">
        <v>34022</v>
      </c>
      <c r="M2890" s="27">
        <v>523098</v>
      </c>
      <c r="N2890" s="5" t="s">
        <v>53845</v>
      </c>
      <c r="O2890" s="5" t="str">
        <v>5254032848</v>
      </c>
      <c r="P2890" s="27">
        <v>6500650</v>
      </c>
      <c r="Q2890" s="5" t="s">
        <v>49009</v>
      </c>
      <c r="R2890" s="5"/>
      <c r="S2890" s="5" t="s">
        <v>49487</v>
      </c>
      <c r="T2890" s="28">
        <v>3358287000</v>
      </c>
      <c r="U2890" s="28">
        <v>683540000</v>
      </c>
      <c r="V2890" s="28">
        <v>51842000</v>
      </c>
      <c r="W2890" s="28"/>
      <c r="X2890" s="28">
        <v>235456000</v>
      </c>
      <c r="Y2890" s="28">
        <v>5324998000</v>
      </c>
      <c r="Z2890" s="28">
        <v>866622000</v>
      </c>
      <c r="AA2890" s="28">
        <v>19175000</v>
      </c>
      <c r="AB2890" s="28">
        <v>6107000</v>
      </c>
      <c r="AC2890" s="28">
        <v>1743329000</v>
      </c>
      <c r="AD2890" s="28">
        <v>1437658000</v>
      </c>
      <c r="AE2890" s="28">
        <v>14419388000</v>
      </c>
      <c r="AF2890" s="28">
        <v>567216000</v>
      </c>
      <c r="AG2890" s="11"/>
    </row>
    <row r="2891">
      <c r="A2891" s="7" t="s">
        <v>4574</v>
      </c>
      <c r="B2891" s="5" t="s">
        <v>12548</v>
      </c>
      <c r="C2891" s="5" t="s">
        <v>20374</v>
      </c>
      <c r="D2891" s="5" t="str">
        <v>741205000600</v>
      </c>
      <c r="E2891" s="0" t="e">
        <f>+7 (35139) 73304
+7 (35139) 73953
+7 (35139) 40315
+7 (35139) 40334
+7 (35139) 73303
+7 (35139) 73404
+7 (35139) 75037
+7 (35139) 75062
+7 (35139) 92838
+7 (35139) 92883
+7 (35139) 92909
+7 (35139) 92943
+7 (35139) 92995
+7 (908) 8283498</f>
        <v>#NAME?</v>
      </c>
      <c r="F2891" s="5" t="s">
        <v>34023</v>
      </c>
      <c r="G2891" s="5" t="s">
        <v>34024</v>
      </c>
      <c r="H2891" s="26">
        <v>29.5</v>
      </c>
      <c r="I2891" s="5" t="s">
        <v>34025</v>
      </c>
      <c r="J2891" s="5" t="s">
        <v>27991</v>
      </c>
      <c r="K2891" s="5" t="s">
        <v>344</v>
      </c>
      <c r="L2891" s="5"/>
      <c r="M2891" s="27"/>
      <c r="N2891" s="5" t="s">
        <v>53846</v>
      </c>
      <c r="O2891" s="5" t="str">
        <v>7411005872</v>
      </c>
      <c r="P2891" s="27">
        <v>10026021</v>
      </c>
      <c r="Q2891" s="5" t="s">
        <v>49009</v>
      </c>
      <c r="R2891" s="5"/>
      <c r="S2891" s="5" t="s">
        <v>49576</v>
      </c>
      <c r="T2891" s="28">
        <v>4621109000</v>
      </c>
      <c r="U2891" s="28">
        <v>68254000</v>
      </c>
      <c r="V2891" s="28">
        <v>638659000</v>
      </c>
      <c r="W2891" s="28"/>
      <c r="X2891" s="28">
        <v>2269285000</v>
      </c>
      <c r="Y2891" s="28">
        <v>13123503000</v>
      </c>
      <c r="Z2891" s="28">
        <v>4223335000</v>
      </c>
      <c r="AA2891" s="28">
        <v>1590562000</v>
      </c>
      <c r="AB2891" s="28">
        <v>982626000</v>
      </c>
      <c r="AC2891" s="28">
        <v>6686218000</v>
      </c>
      <c r="AD2891" s="28">
        <v>4556992000</v>
      </c>
      <c r="AE2891" s="28">
        <v>5948310000</v>
      </c>
      <c r="AF2891" s="28">
        <v>332970000</v>
      </c>
      <c r="AG2891" s="11"/>
    </row>
    <row r="2892">
      <c r="A2892" s="7" t="s">
        <v>4575</v>
      </c>
      <c r="B2892" s="5" t="s">
        <v>12549</v>
      </c>
      <c r="C2892" s="5" t="s">
        <v>20375</v>
      </c>
      <c r="D2892" s="5" t="str">
        <v>773412604307</v>
      </c>
      <c r="E2892" s="0" t="e">
        <f>+7 (495) 2321003
+7 (495) 9567855
+7 (495) 2258322
+7 (495) 2321002
+7 (495) 9566102
+7 (495) 9567854</f>
        <v>#NAME?</v>
      </c>
      <c r="F2892" s="5" t="s">
        <v>34026</v>
      </c>
      <c r="G2892" s="5" t="s">
        <v>34027</v>
      </c>
      <c r="H2892" s="26">
        <v>18.5</v>
      </c>
      <c r="I2892" s="5"/>
      <c r="J2892" s="5" t="s">
        <v>25612</v>
      </c>
      <c r="K2892" s="5" t="s">
        <v>344</v>
      </c>
      <c r="L2892" s="5"/>
      <c r="M2892" s="27"/>
      <c r="N2892" s="5" t="s">
        <v>53848</v>
      </c>
      <c r="O2892" s="5" t="str">
        <v>9701165166</v>
      </c>
      <c r="P2892" s="27">
        <v>1000000</v>
      </c>
      <c r="Q2892" s="5" t="s">
        <v>49059</v>
      </c>
      <c r="R2892" s="5" t="s">
        <v>53849</v>
      </c>
      <c r="S2892" s="5" t="s">
        <v>49576</v>
      </c>
      <c r="T2892" s="28">
        <v>326639000</v>
      </c>
      <c r="U2892" s="28">
        <v>12746000</v>
      </c>
      <c r="V2892" s="28">
        <v>2499554000</v>
      </c>
      <c r="W2892" s="28">
        <v>14970000</v>
      </c>
      <c r="X2892" s="28">
        <v>1665080000</v>
      </c>
      <c r="Y2892" s="28">
        <v>9943692000</v>
      </c>
      <c r="Z2892" s="28">
        <v>1392914000</v>
      </c>
      <c r="AA2892" s="28"/>
      <c r="AB2892" s="28"/>
      <c r="AC2892" s="28">
        <v>8477196000</v>
      </c>
      <c r="AD2892" s="28">
        <v>1394414000</v>
      </c>
      <c r="AE2892" s="28">
        <v>8845445000</v>
      </c>
      <c r="AF2892" s="28">
        <v>1307265000</v>
      </c>
      <c r="AG2892" s="11"/>
    </row>
    <row r="2893">
      <c r="A2893" s="7" t="s">
        <v>4576</v>
      </c>
      <c r="B2893" s="5" t="s">
        <v>12550</v>
      </c>
      <c r="C2893" s="5" t="s">
        <v>20376</v>
      </c>
      <c r="D2893" s="5" t="str">
        <v>032500522470</v>
      </c>
      <c r="E2893" s="0" t="e">
        <f>+7 (3022) 217839
+7 (3022) 327663
+7 (3022) 995018
+7 (983) 3358678</f>
        <v>#NAME?</v>
      </c>
      <c r="F2893" s="5" t="s">
        <v>34028</v>
      </c>
      <c r="G2893" s="5"/>
      <c r="H2893" s="26">
        <v>8.5</v>
      </c>
      <c r="I2893" s="5" t="s">
        <v>34029</v>
      </c>
      <c r="J2893" s="5" t="s">
        <v>26846</v>
      </c>
      <c r="K2893" s="5" t="s">
        <v>344</v>
      </c>
      <c r="L2893" s="5" t="s">
        <v>34030</v>
      </c>
      <c r="M2893" s="27"/>
      <c r="N2893" s="5" t="s">
        <v>53850</v>
      </c>
      <c r="O2893" s="5" t="str">
        <v>7536144864</v>
      </c>
      <c r="P2893" s="27">
        <v>10000</v>
      </c>
      <c r="Q2893" s="5" t="s">
        <v>49059</v>
      </c>
      <c r="R2893" s="5"/>
      <c r="S2893" s="5" t="s">
        <v>49110</v>
      </c>
      <c r="T2893" s="28">
        <v>10317000</v>
      </c>
      <c r="U2893" s="28"/>
      <c r="V2893" s="28">
        <v>398598000</v>
      </c>
      <c r="W2893" s="28">
        <v>12136000</v>
      </c>
      <c r="X2893" s="28">
        <v>1979000</v>
      </c>
      <c r="Y2893" s="28">
        <v>660083000</v>
      </c>
      <c r="Z2893" s="28">
        <v>65122000</v>
      </c>
      <c r="AA2893" s="28"/>
      <c r="AB2893" s="28">
        <v>348310000</v>
      </c>
      <c r="AC2893" s="28">
        <v>594951000</v>
      </c>
      <c r="AD2893" s="28">
        <v>65132000</v>
      </c>
      <c r="AE2893" s="28">
        <v>4671765000</v>
      </c>
      <c r="AF2893" s="28">
        <v>25959000</v>
      </c>
      <c r="AG2893" s="11"/>
    </row>
    <row r="2894">
      <c r="A2894" s="7" t="s">
        <v>4576</v>
      </c>
      <c r="B2894" s="5" t="s">
        <v>12551</v>
      </c>
      <c r="C2894" s="5" t="s">
        <v>20377</v>
      </c>
      <c r="D2894" s="5" t="str">
        <v>770771069777</v>
      </c>
      <c r="E2894" s="0" t="e">
        <f>+7 (910) 6470127
+7 (915) 7005518
+7 (910) 9378228
+7 (482) 2452767
+7 (48231) 23291
+7 (48231) 51101
+7 (48231) 51102
+7 (985) 9044002</f>
        <v>#NAME?</v>
      </c>
      <c r="F2894" s="5" t="s">
        <v>34031</v>
      </c>
      <c r="G2894" s="5" t="s">
        <v>34032</v>
      </c>
      <c r="H2894" s="26">
        <v>13</v>
      </c>
      <c r="I2894" s="5" t="s">
        <v>34033</v>
      </c>
      <c r="J2894" s="5" t="s">
        <v>27002</v>
      </c>
      <c r="K2894" s="5" t="s">
        <v>380</v>
      </c>
      <c r="L2894" s="5"/>
      <c r="M2894" s="27">
        <v>412068896</v>
      </c>
      <c r="N2894" s="5"/>
      <c r="O2894" s="5" t="str">
        <v>6906011193</v>
      </c>
      <c r="P2894" s="27">
        <v>256305000</v>
      </c>
      <c r="Q2894" s="5"/>
      <c r="R2894" s="5"/>
      <c r="S2894" s="5" t="s">
        <v>49123</v>
      </c>
      <c r="T2894" s="28">
        <v>22452826000</v>
      </c>
      <c r="U2894" s="28">
        <v>174000000</v>
      </c>
      <c r="V2894" s="28">
        <v>533589000</v>
      </c>
      <c r="W2894" s="28"/>
      <c r="X2894" s="28">
        <v>46591000</v>
      </c>
      <c r="Y2894" s="28">
        <v>27378695000</v>
      </c>
      <c r="Z2894" s="28">
        <v>390824000</v>
      </c>
      <c r="AA2894" s="28">
        <v>20914112000</v>
      </c>
      <c r="AB2894" s="28">
        <v>1000000000</v>
      </c>
      <c r="AC2894" s="28">
        <v>4284375000</v>
      </c>
      <c r="AD2894" s="28">
        <v>2180208000</v>
      </c>
      <c r="AE2894" s="28">
        <v>4673586000</v>
      </c>
      <c r="AF2894" s="28">
        <v>-889629000</v>
      </c>
      <c r="AG2894" s="11"/>
    </row>
    <row r="2895">
      <c r="A2895" s="7" t="s">
        <v>4577</v>
      </c>
      <c r="B2895" s="5" t="s">
        <v>12552</v>
      </c>
      <c r="C2895" s="5" t="s">
        <v>20378</v>
      </c>
      <c r="D2895" s="5" t="str">
        <v>772486357650</v>
      </c>
      <c r="E2895" s="0" t="e">
        <f>+7 (495) 3320362</f>
        <v>#NAME?</v>
      </c>
      <c r="F2895" s="5" t="s">
        <v>34034</v>
      </c>
      <c r="G2895" s="5" t="s">
        <v>34035</v>
      </c>
      <c r="H2895" s="26">
        <v>12.5</v>
      </c>
      <c r="I2895" s="5" t="s">
        <v>34036</v>
      </c>
      <c r="J2895" s="5" t="s">
        <v>25612</v>
      </c>
      <c r="K2895" s="5" t="s">
        <v>344</v>
      </c>
      <c r="L2895" s="5" t="s">
        <v>34037</v>
      </c>
      <c r="M2895" s="27"/>
      <c r="N2895" s="5" t="s">
        <v>53851</v>
      </c>
      <c r="O2895" s="5" t="str">
        <v>7718815073</v>
      </c>
      <c r="P2895" s="27">
        <v>50000</v>
      </c>
      <c r="Q2895" s="5" t="s">
        <v>53852</v>
      </c>
      <c r="R2895" s="5"/>
      <c r="S2895" s="5" t="s">
        <v>49496</v>
      </c>
      <c r="T2895" s="28"/>
      <c r="U2895" s="28"/>
      <c r="V2895" s="28">
        <v>1297037000</v>
      </c>
      <c r="W2895" s="28"/>
      <c r="X2895" s="28">
        <v>465591000</v>
      </c>
      <c r="Y2895" s="28">
        <v>1769044000</v>
      </c>
      <c r="Z2895" s="28">
        <v>258716000</v>
      </c>
      <c r="AA2895" s="28"/>
      <c r="AB2895" s="28"/>
      <c r="AC2895" s="28">
        <v>1510278000</v>
      </c>
      <c r="AD2895" s="28">
        <v>258766000</v>
      </c>
      <c r="AE2895" s="28">
        <v>4369466000</v>
      </c>
      <c r="AF2895" s="28">
        <v>758320000</v>
      </c>
      <c r="AG2895" s="11"/>
    </row>
    <row r="2896">
      <c r="A2896" s="7" t="s">
        <v>4578</v>
      </c>
      <c r="B2896" s="5" t="s">
        <v>12553</v>
      </c>
      <c r="C2896" s="5" t="s">
        <v>20379</v>
      </c>
      <c r="D2896" s="5" t="str">
        <v>183113984594</v>
      </c>
      <c r="E2896" s="0" t="e">
        <f>+7 (903) 7959698
+7 (926) 2238563</f>
        <v>#NAME?</v>
      </c>
      <c r="F2896" s="5"/>
      <c r="G2896" s="5"/>
      <c r="H2896" s="26">
        <v>7</v>
      </c>
      <c r="I2896" s="5" t="s">
        <v>34038</v>
      </c>
      <c r="J2896" s="5" t="s">
        <v>947</v>
      </c>
      <c r="K2896" s="5" t="s">
        <v>344</v>
      </c>
      <c r="L2896" s="5" t="s">
        <v>34039</v>
      </c>
      <c r="M2896" s="27">
        <v>33684377</v>
      </c>
      <c r="N2896" s="5" t="s">
        <v>50353</v>
      </c>
      <c r="O2896" s="5" t="str">
        <v>7721383352</v>
      </c>
      <c r="P2896" s="27">
        <v>47341</v>
      </c>
      <c r="Q2896" s="5" t="s">
        <v>53853</v>
      </c>
      <c r="R2896" s="5"/>
      <c r="S2896" s="5" t="s">
        <v>53854</v>
      </c>
      <c r="T2896" s="28">
        <v>24659000</v>
      </c>
      <c r="U2896" s="28"/>
      <c r="V2896" s="28">
        <v>1593290000</v>
      </c>
      <c r="W2896" s="28"/>
      <c r="X2896" s="28">
        <v>42887000</v>
      </c>
      <c r="Y2896" s="28">
        <v>3520939000</v>
      </c>
      <c r="Z2896" s="28">
        <v>144343000</v>
      </c>
      <c r="AA2896" s="28"/>
      <c r="AB2896" s="28">
        <v>301253000</v>
      </c>
      <c r="AC2896" s="28">
        <v>2895539000</v>
      </c>
      <c r="AD2896" s="28">
        <v>354388000</v>
      </c>
      <c r="AE2896" s="28">
        <v>4802428000</v>
      </c>
      <c r="AF2896" s="28">
        <v>66101000</v>
      </c>
      <c r="AG2896" s="11"/>
    </row>
    <row r="2897">
      <c r="A2897" s="7" t="s">
        <v>4579</v>
      </c>
      <c r="B2897" s="5" t="s">
        <v>12554</v>
      </c>
      <c r="C2897" s="5" t="s">
        <v>20380</v>
      </c>
      <c r="D2897" s="5" t="str">
        <v>519053756100</v>
      </c>
      <c r="E2897" s="0" t="e">
        <f>+7 (815) 2443532
+7 (815) 2567980
+7 (921) 2717700</f>
        <v>#NAME?</v>
      </c>
      <c r="F2897" s="5" t="s">
        <v>34040</v>
      </c>
      <c r="G2897" s="5" t="s">
        <v>34041</v>
      </c>
      <c r="H2897" s="26">
        <v>10.5</v>
      </c>
      <c r="I2897" s="5" t="s">
        <v>34042</v>
      </c>
      <c r="J2897" s="5" t="s">
        <v>28577</v>
      </c>
      <c r="K2897" s="5" t="s">
        <v>344</v>
      </c>
      <c r="L2897" s="5"/>
      <c r="M2897" s="27"/>
      <c r="N2897" s="5" t="s">
        <v>53855</v>
      </c>
      <c r="O2897" s="5" t="str">
        <v>5190010691</v>
      </c>
      <c r="P2897" s="27">
        <v>1010000</v>
      </c>
      <c r="Q2897" s="5" t="s">
        <v>53856</v>
      </c>
      <c r="R2897" s="5"/>
      <c r="S2897" s="5" t="s">
        <v>53782</v>
      </c>
      <c r="T2897" s="28">
        <v>15154000</v>
      </c>
      <c r="U2897" s="28"/>
      <c r="V2897" s="28">
        <v>843092000</v>
      </c>
      <c r="W2897" s="28">
        <v>182553000</v>
      </c>
      <c r="X2897" s="28">
        <v>151667000</v>
      </c>
      <c r="Y2897" s="28">
        <v>1425240000</v>
      </c>
      <c r="Z2897" s="28">
        <v>161111000</v>
      </c>
      <c r="AA2897" s="28"/>
      <c r="AB2897" s="28"/>
      <c r="AC2897" s="28">
        <v>1204127000</v>
      </c>
      <c r="AD2897" s="28">
        <v>221113000</v>
      </c>
      <c r="AE2897" s="28">
        <v>3785544000</v>
      </c>
      <c r="AF2897" s="28">
        <v>175703000</v>
      </c>
      <c r="AG2897" s="11"/>
    </row>
    <row r="2898">
      <c r="A2898" s="7" t="s">
        <v>4580</v>
      </c>
      <c r="B2898" s="5" t="s">
        <v>12555</v>
      </c>
      <c r="C2898" s="5" t="s">
        <v>20381</v>
      </c>
      <c r="D2898" s="5" t="str">
        <v>233502192521</v>
      </c>
      <c r="E2898" s="0" t="e">
        <f>+7 (918) 3339693
+7 (918) 9691649</f>
        <v>#NAME?</v>
      </c>
      <c r="F2898" s="5" t="s">
        <v>34043</v>
      </c>
      <c r="G2898" s="5"/>
      <c r="H2898" s="26">
        <v>6</v>
      </c>
      <c r="I2898" s="5" t="s">
        <v>34044</v>
      </c>
      <c r="J2898" s="5" t="s">
        <v>34045</v>
      </c>
      <c r="K2898" s="5" t="s">
        <v>344</v>
      </c>
      <c r="L2898" s="5"/>
      <c r="M2898" s="27"/>
      <c r="N2898" s="5"/>
      <c r="O2898" s="5" t="str">
        <v>2373011986</v>
      </c>
      <c r="P2898" s="27">
        <v>10000000</v>
      </c>
      <c r="Q2898" s="5" t="s">
        <v>49009</v>
      </c>
      <c r="R2898" s="5"/>
      <c r="S2898" s="5" t="s">
        <v>49066</v>
      </c>
      <c r="T2898" s="28">
        <v>1158398000</v>
      </c>
      <c r="U2898" s="28"/>
      <c r="V2898" s="28">
        <v>151800000</v>
      </c>
      <c r="W2898" s="28">
        <v>261000000</v>
      </c>
      <c r="X2898" s="28">
        <v>12342000</v>
      </c>
      <c r="Y2898" s="28">
        <v>2750628000</v>
      </c>
      <c r="Z2898" s="28">
        <v>959887000</v>
      </c>
      <c r="AA2898" s="28">
        <v>744536000</v>
      </c>
      <c r="AB2898" s="28">
        <v>636680000</v>
      </c>
      <c r="AC2898" s="28">
        <v>978769000</v>
      </c>
      <c r="AD2898" s="28">
        <v>969965000</v>
      </c>
      <c r="AE2898" s="28">
        <v>3127378000</v>
      </c>
      <c r="AF2898" s="28">
        <v>707463000</v>
      </c>
      <c r="AG2898" s="11"/>
    </row>
    <row r="2899">
      <c r="A2899" s="7" t="s">
        <v>4581</v>
      </c>
      <c r="B2899" s="5" t="s">
        <v>12556</v>
      </c>
      <c r="C2899" s="5" t="s">
        <v>20382</v>
      </c>
      <c r="D2899" s="5" t="str">
        <v>366106987560</v>
      </c>
      <c r="E2899" s="0" t="e">
        <f>+7 (474) 2223699
+7 (474) 2223899
+7 (474) 2232823
+7 (474) 2240105
+7 (474) 2355676
+7 (474) 2356248
+7 (960) 1459527</f>
        <v>#NAME?</v>
      </c>
      <c r="F2899" s="5" t="s">
        <v>34046</v>
      </c>
      <c r="G2899" s="5"/>
      <c r="H2899" s="26">
        <v>16</v>
      </c>
      <c r="I2899" s="5" t="s">
        <v>34047</v>
      </c>
      <c r="J2899" s="5" t="s">
        <v>25219</v>
      </c>
      <c r="K2899" s="5" t="s">
        <v>344</v>
      </c>
      <c r="L2899" s="5" t="s">
        <v>34048</v>
      </c>
      <c r="M2899" s="27">
        <v>260000</v>
      </c>
      <c r="N2899" s="5"/>
      <c r="O2899" s="5" t="str">
        <v>4824038842</v>
      </c>
      <c r="P2899" s="27">
        <v>766300</v>
      </c>
      <c r="Q2899" s="5"/>
      <c r="R2899" s="5"/>
      <c r="S2899" s="5" t="s">
        <v>49029</v>
      </c>
      <c r="T2899" s="28">
        <v>413659000</v>
      </c>
      <c r="U2899" s="28"/>
      <c r="V2899" s="28">
        <v>184349000</v>
      </c>
      <c r="W2899" s="28">
        <v>60495000</v>
      </c>
      <c r="X2899" s="28">
        <v>50385000</v>
      </c>
      <c r="Y2899" s="28">
        <v>768134000</v>
      </c>
      <c r="Z2899" s="28">
        <v>246301000</v>
      </c>
      <c r="AA2899" s="28">
        <v>248200000</v>
      </c>
      <c r="AB2899" s="28">
        <v>59000</v>
      </c>
      <c r="AC2899" s="28">
        <v>268428000</v>
      </c>
      <c r="AD2899" s="28">
        <v>247067000</v>
      </c>
      <c r="AE2899" s="28">
        <v>3668289000</v>
      </c>
      <c r="AF2899" s="28">
        <v>12117000</v>
      </c>
      <c r="AG2899" s="11"/>
    </row>
    <row r="2900">
      <c r="A2900" s="7" t="s">
        <v>4582</v>
      </c>
      <c r="B2900" s="5" t="s">
        <v>12557</v>
      </c>
      <c r="C2900" s="5" t="s">
        <v>20383</v>
      </c>
      <c r="D2900" s="5" t="str">
        <v>165022831665</v>
      </c>
      <c r="E2900" s="0" t="e">
        <f>+7 (855) 2537787
+7 (855) 2200093
+7 (855) 2911600
+7 (3422) 593468
+7 (343) 3469547
+7 (3472) 986758
+7 (3512) 163478
+7 (800) 2004630
+7 (800) 5505630
+7 (83141) 43217
+7 (855) 2537781
+7 (855) 2910600
+7 (855) 2910602
+7 (861) 9440746
+7 (900) 3299818</f>
        <v>#NAME?</v>
      </c>
      <c r="F2900" s="5" t="s">
        <v>34049</v>
      </c>
      <c r="G2900" s="5"/>
      <c r="H2900" s="26">
        <v>10.5</v>
      </c>
      <c r="I2900" s="5" t="s">
        <v>34050</v>
      </c>
      <c r="J2900" s="5" t="s">
        <v>26185</v>
      </c>
      <c r="K2900" s="5" t="s">
        <v>344</v>
      </c>
      <c r="L2900" s="5" t="s">
        <v>34051</v>
      </c>
      <c r="M2900" s="27">
        <v>887824</v>
      </c>
      <c r="N2900" s="5" t="s">
        <v>53857</v>
      </c>
      <c r="O2900" s="5" t="str">
        <v>1650243860</v>
      </c>
      <c r="P2900" s="27">
        <v>10000</v>
      </c>
      <c r="Q2900" s="5" t="s">
        <v>53858</v>
      </c>
      <c r="R2900" s="5"/>
      <c r="S2900" s="5" t="s">
        <v>53859</v>
      </c>
      <c r="T2900" s="28">
        <v>45010000</v>
      </c>
      <c r="U2900" s="28">
        <v>203680000</v>
      </c>
      <c r="V2900" s="28">
        <v>1324722000</v>
      </c>
      <c r="W2900" s="28">
        <v>47250000</v>
      </c>
      <c r="X2900" s="28">
        <v>567000</v>
      </c>
      <c r="Y2900" s="28">
        <v>2937549000</v>
      </c>
      <c r="Z2900" s="28">
        <v>794670000</v>
      </c>
      <c r="AA2900" s="28"/>
      <c r="AB2900" s="28">
        <v>1005979000</v>
      </c>
      <c r="AC2900" s="28">
        <v>2140521000</v>
      </c>
      <c r="AD2900" s="28">
        <v>794680000</v>
      </c>
      <c r="AE2900" s="28">
        <v>8997124000</v>
      </c>
      <c r="AF2900" s="28">
        <v>257069000</v>
      </c>
      <c r="AG2900" s="11"/>
    </row>
    <row r="2901">
      <c r="A2901" s="7" t="s">
        <v>4583</v>
      </c>
      <c r="B2901" s="5" t="s">
        <v>12558</v>
      </c>
      <c r="C2901" s="5" t="s">
        <v>20384</v>
      </c>
      <c r="D2901" s="5" t="str">
        <v>772202510393</v>
      </c>
      <c r="E2901" s="0" t="e">
        <f>+7 (495) 5140864
+7 (962) 9667947
+7 (495) 1092179</f>
        <v>#NAME?</v>
      </c>
      <c r="F2901" s="5" t="s">
        <v>34052</v>
      </c>
      <c r="G2901" s="5" t="s">
        <v>34053</v>
      </c>
      <c r="H2901" s="26">
        <v>15.5</v>
      </c>
      <c r="I2901" s="5" t="s">
        <v>34054</v>
      </c>
      <c r="J2901" s="5" t="s">
        <v>25312</v>
      </c>
      <c r="K2901" s="5" t="s">
        <v>344</v>
      </c>
      <c r="L2901" s="5" t="s">
        <v>34055</v>
      </c>
      <c r="M2901" s="27"/>
      <c r="N2901" s="5" t="s">
        <v>53860</v>
      </c>
      <c r="O2901" s="5" t="str">
        <v>7743649983</v>
      </c>
      <c r="P2901" s="27">
        <v>5100000</v>
      </c>
      <c r="Q2901" s="5"/>
      <c r="R2901" s="5"/>
      <c r="S2901" s="5" t="s">
        <v>49047</v>
      </c>
      <c r="T2901" s="28">
        <v>4169000</v>
      </c>
      <c r="U2901" s="28"/>
      <c r="V2901" s="28">
        <v>575855000</v>
      </c>
      <c r="W2901" s="28"/>
      <c r="X2901" s="28">
        <v>66734000</v>
      </c>
      <c r="Y2901" s="28">
        <v>1579122000</v>
      </c>
      <c r="Z2901" s="28">
        <v>1045038000</v>
      </c>
      <c r="AA2901" s="28"/>
      <c r="AB2901" s="28">
        <v>341806000</v>
      </c>
      <c r="AC2901" s="28">
        <v>528053000</v>
      </c>
      <c r="AD2901" s="28">
        <v>1050138000</v>
      </c>
      <c r="AE2901" s="28">
        <v>4522721000</v>
      </c>
      <c r="AF2901" s="28">
        <v>216575000</v>
      </c>
      <c r="AG2901" s="11"/>
    </row>
    <row r="2902">
      <c r="A2902" s="7" t="s">
        <v>4584</v>
      </c>
      <c r="B2902" s="5" t="s">
        <v>12559</v>
      </c>
      <c r="C2902" s="5" t="s">
        <v>20385</v>
      </c>
      <c r="D2902" s="5" t="str">
        <v>532114855380</v>
      </c>
      <c r="E2902" s="0" t="e">
        <f>+7 (3512) 168030
+7 (3512) 223000
+7 (3512) 454020
+7 (3512) 454023
+7 (3517) 995454</f>
        <v>#NAME?</v>
      </c>
      <c r="F2902" s="5" t="s">
        <v>34056</v>
      </c>
      <c r="G2902" s="5" t="s">
        <v>34057</v>
      </c>
      <c r="H2902" s="26">
        <v>11</v>
      </c>
      <c r="I2902" s="5" t="s">
        <v>34058</v>
      </c>
      <c r="J2902" s="5" t="s">
        <v>26328</v>
      </c>
      <c r="K2902" s="5" t="s">
        <v>344</v>
      </c>
      <c r="L2902" s="5" t="s">
        <v>34059</v>
      </c>
      <c r="M2902" s="27"/>
      <c r="N2902" s="5"/>
      <c r="O2902" s="5" t="str">
        <v>7460000605</v>
      </c>
      <c r="P2902" s="27">
        <v>289750000</v>
      </c>
      <c r="Q2902" s="5" t="s">
        <v>53861</v>
      </c>
      <c r="R2902" s="5"/>
      <c r="S2902" s="5" t="s">
        <v>49160</v>
      </c>
      <c r="T2902" s="28">
        <v>610033000</v>
      </c>
      <c r="U2902" s="28"/>
      <c r="V2902" s="28">
        <v>2689867000</v>
      </c>
      <c r="W2902" s="28"/>
      <c r="X2902" s="28">
        <v>47256000</v>
      </c>
      <c r="Y2902" s="28">
        <v>5394350000</v>
      </c>
      <c r="Z2902" s="28">
        <v>1739760000</v>
      </c>
      <c r="AA2902" s="28"/>
      <c r="AB2902" s="28">
        <v>92898000</v>
      </c>
      <c r="AC2902" s="28">
        <v>2824570000</v>
      </c>
      <c r="AD2902" s="28">
        <v>2029510000</v>
      </c>
      <c r="AE2902" s="28">
        <v>5814311000</v>
      </c>
      <c r="AF2902" s="28">
        <v>377311000</v>
      </c>
      <c r="AG2902" s="11"/>
    </row>
    <row r="2903">
      <c r="A2903" s="7" t="s">
        <v>4585</v>
      </c>
      <c r="B2903" s="5" t="s">
        <v>12560</v>
      </c>
      <c r="C2903" s="5" t="s">
        <v>20385</v>
      </c>
      <c r="D2903" s="5" t="str">
        <v>532114855380</v>
      </c>
      <c r="E2903" s="0" t="e">
        <f>+7 (351) 7751065
+7 (3512) 168200</f>
        <v>#NAME?</v>
      </c>
      <c r="F2903" s="5" t="s">
        <v>34056</v>
      </c>
      <c r="G2903" s="5"/>
      <c r="H2903" s="26">
        <v>27.5</v>
      </c>
      <c r="I2903" s="5" t="s">
        <v>34060</v>
      </c>
      <c r="J2903" s="5" t="s">
        <v>678</v>
      </c>
      <c r="K2903" s="5" t="s">
        <v>344</v>
      </c>
      <c r="L2903" s="5" t="s">
        <v>34061</v>
      </c>
      <c r="M2903" s="27"/>
      <c r="N2903" s="5" t="s">
        <v>53862</v>
      </c>
      <c r="O2903" s="5" t="str">
        <v>7451055140</v>
      </c>
      <c r="P2903" s="27">
        <v>3000000</v>
      </c>
      <c r="Q2903" s="5" t="s">
        <v>53863</v>
      </c>
      <c r="R2903" s="5"/>
      <c r="S2903" s="5" t="s">
        <v>50918</v>
      </c>
      <c r="T2903" s="28"/>
      <c r="U2903" s="28"/>
      <c r="V2903" s="28">
        <v>923302000</v>
      </c>
      <c r="W2903" s="28"/>
      <c r="X2903" s="28">
        <v>93787000</v>
      </c>
      <c r="Y2903" s="28">
        <v>1017114000</v>
      </c>
      <c r="Z2903" s="28">
        <v>122666000</v>
      </c>
      <c r="AA2903" s="28"/>
      <c r="AB2903" s="28"/>
      <c r="AC2903" s="28">
        <v>890448000</v>
      </c>
      <c r="AD2903" s="28">
        <v>126666000</v>
      </c>
      <c r="AE2903" s="28">
        <v>3143544000</v>
      </c>
      <c r="AF2903" s="28">
        <v>85859000</v>
      </c>
      <c r="AG2903" s="11"/>
    </row>
    <row r="2904">
      <c r="A2904" s="7" t="s">
        <v>4586</v>
      </c>
      <c r="B2904" s="5" t="s">
        <v>12561</v>
      </c>
      <c r="C2904" s="5" t="s">
        <v>20386</v>
      </c>
      <c r="D2904" s="5" t="str">
        <v>667471847356</v>
      </c>
      <c r="E2904" s="0" t="e">
        <f>+7 (845) 2247735
+7 (845) 2247734
+7 (845) 2338295
+7 (937) 8100780
+7 (937) 8110384
+7 (937) 8110721</f>
        <v>#NAME?</v>
      </c>
      <c r="F2904" s="5"/>
      <c r="G2904" s="5"/>
      <c r="H2904" s="26">
        <v>12</v>
      </c>
      <c r="I2904" s="5" t="s">
        <v>34062</v>
      </c>
      <c r="J2904" s="5" t="s">
        <v>31765</v>
      </c>
      <c r="K2904" s="5" t="s">
        <v>344</v>
      </c>
      <c r="L2904" s="5" t="s">
        <v>34063</v>
      </c>
      <c r="M2904" s="27">
        <v>36552</v>
      </c>
      <c r="N2904" s="5"/>
      <c r="O2904" s="5" t="str">
        <v>6432009756</v>
      </c>
      <c r="P2904" s="27">
        <v>1000000</v>
      </c>
      <c r="Q2904" s="5"/>
      <c r="R2904" s="5"/>
      <c r="S2904" s="5" t="s">
        <v>49029</v>
      </c>
      <c r="T2904" s="28">
        <v>70311000</v>
      </c>
      <c r="U2904" s="28"/>
      <c r="V2904" s="28">
        <v>518586000</v>
      </c>
      <c r="W2904" s="28"/>
      <c r="X2904" s="28">
        <v>3156000</v>
      </c>
      <c r="Y2904" s="28">
        <v>1463336000</v>
      </c>
      <c r="Z2904" s="28">
        <v>431774000</v>
      </c>
      <c r="AA2904" s="28"/>
      <c r="AB2904" s="28">
        <v>150572000</v>
      </c>
      <c r="AC2904" s="28">
        <v>1018236000</v>
      </c>
      <c r="AD2904" s="28">
        <v>432774000</v>
      </c>
      <c r="AE2904" s="28">
        <v>6579943000</v>
      </c>
      <c r="AF2904" s="28">
        <v>159375000</v>
      </c>
      <c r="AG2904" s="11"/>
    </row>
    <row r="2905">
      <c r="A2905" s="7" t="s">
        <v>4587</v>
      </c>
      <c r="B2905" s="5" t="s">
        <v>12562</v>
      </c>
      <c r="C2905" s="5" t="s">
        <v>20387</v>
      </c>
      <c r="D2905" s="5" t="str">
        <v>662317019190</v>
      </c>
      <c r="E2905" s="0" t="e">
        <f>+7 (343) 3110010</f>
        <v>#NAME?</v>
      </c>
      <c r="F2905" s="5" t="s">
        <v>34064</v>
      </c>
      <c r="G2905" s="5" t="s">
        <v>34065</v>
      </c>
      <c r="H2905" s="26">
        <v>8</v>
      </c>
      <c r="I2905" s="5" t="s">
        <v>34066</v>
      </c>
      <c r="J2905" s="5" t="s">
        <v>25253</v>
      </c>
      <c r="K2905" s="5" t="s">
        <v>344</v>
      </c>
      <c r="L2905" s="5" t="s">
        <v>34067</v>
      </c>
      <c r="M2905" s="27"/>
      <c r="N2905" s="5" t="s">
        <v>53865</v>
      </c>
      <c r="O2905" s="5" t="str">
        <v>6678058320</v>
      </c>
      <c r="P2905" s="27">
        <v>205000</v>
      </c>
      <c r="Q2905" s="5" t="s">
        <v>49009</v>
      </c>
      <c r="R2905" s="5"/>
      <c r="S2905" s="5" t="s">
        <v>53866</v>
      </c>
      <c r="T2905" s="28">
        <v>23477000</v>
      </c>
      <c r="U2905" s="28"/>
      <c r="V2905" s="28">
        <v>1716614000</v>
      </c>
      <c r="W2905" s="28"/>
      <c r="X2905" s="28">
        <v>2678000</v>
      </c>
      <c r="Y2905" s="28">
        <v>2024765000</v>
      </c>
      <c r="Z2905" s="28">
        <v>795587000</v>
      </c>
      <c r="AA2905" s="28">
        <v>50000000</v>
      </c>
      <c r="AB2905" s="28">
        <v>13000</v>
      </c>
      <c r="AC2905" s="28">
        <v>1178973000</v>
      </c>
      <c r="AD2905" s="28">
        <v>795792000</v>
      </c>
      <c r="AE2905" s="28">
        <v>7680203000</v>
      </c>
      <c r="AF2905" s="28">
        <v>150074000</v>
      </c>
      <c r="AG2905" s="11"/>
    </row>
    <row r="2906">
      <c r="A2906" s="7" t="s">
        <v>4588</v>
      </c>
      <c r="B2906" s="5" t="s">
        <v>12563</v>
      </c>
      <c r="C2906" s="5" t="s">
        <v>20388</v>
      </c>
      <c r="D2906" s="5" t="str">
        <v>711110076320</v>
      </c>
      <c r="E2906" s="0" t="e">
        <f>+7 (926) 9031514
+7 (495) 1180888
+7 (495) 6417417
+7 (495) 6644145
+7 (903) 2426005</f>
        <v>#NAME?</v>
      </c>
      <c r="F2906" s="5"/>
      <c r="G2906" s="5" t="s">
        <v>34068</v>
      </c>
      <c r="H2906" s="26">
        <v>11.5</v>
      </c>
      <c r="I2906" s="5" t="s">
        <v>34069</v>
      </c>
      <c r="J2906" s="5" t="s">
        <v>34070</v>
      </c>
      <c r="K2906" s="5" t="s">
        <v>344</v>
      </c>
      <c r="L2906" s="5" t="s">
        <v>34071</v>
      </c>
      <c r="M2906" s="27"/>
      <c r="N2906" s="5"/>
      <c r="O2906" s="5" t="str">
        <v>7707759733</v>
      </c>
      <c r="P2906" s="27">
        <v>10000</v>
      </c>
      <c r="Q2906" s="5" t="s">
        <v>49009</v>
      </c>
      <c r="R2906" s="5"/>
      <c r="S2906" s="5" t="s">
        <v>53867</v>
      </c>
      <c r="T2906" s="28">
        <v>711136000</v>
      </c>
      <c r="U2906" s="28">
        <v>15731000</v>
      </c>
      <c r="V2906" s="28">
        <v>483092000</v>
      </c>
      <c r="W2906" s="28"/>
      <c r="X2906" s="28">
        <v>2758000</v>
      </c>
      <c r="Y2906" s="28">
        <v>1696153000</v>
      </c>
      <c r="Z2906" s="28">
        <v>407778000</v>
      </c>
      <c r="AA2906" s="28">
        <v>205191000</v>
      </c>
      <c r="AB2906" s="28">
        <v>255022000</v>
      </c>
      <c r="AC2906" s="28">
        <v>875374000</v>
      </c>
      <c r="AD2906" s="28">
        <v>407788000</v>
      </c>
      <c r="AE2906" s="28">
        <v>6831172000</v>
      </c>
      <c r="AF2906" s="28">
        <v>134278000</v>
      </c>
      <c r="AG2906" s="11"/>
    </row>
    <row r="2907">
      <c r="A2907" s="7" t="s">
        <v>4589</v>
      </c>
      <c r="B2907" s="5" t="s">
        <v>12564</v>
      </c>
      <c r="C2907" s="5" t="s">
        <v>20389</v>
      </c>
      <c r="D2907" s="5" t="str">
        <v>228600238400</v>
      </c>
      <c r="E2907" s="0" t="e">
        <f>+7 (38569) 22082
+7 (38569) 22300
+7 (38569) 24392
+7 (38569) 24502
+7 (38569) 24562
+7 (38569) 24607
+7 (38569) 24640
+7 (38569) 24661
+7 (38569) 24747</f>
        <v>#NAME?</v>
      </c>
      <c r="F2907" s="5" t="s">
        <v>34072</v>
      </c>
      <c r="G2907" s="5"/>
      <c r="H2907" s="26">
        <v>29</v>
      </c>
      <c r="I2907" s="5"/>
      <c r="J2907" s="5" t="s">
        <v>26526</v>
      </c>
      <c r="K2907" s="5" t="s">
        <v>344</v>
      </c>
      <c r="L2907" s="5" t="s">
        <v>34073</v>
      </c>
      <c r="M2907" s="27">
        <v>38267</v>
      </c>
      <c r="N2907" s="5" t="s">
        <v>49675</v>
      </c>
      <c r="O2907" s="5" t="str">
        <v>2286001269</v>
      </c>
      <c r="P2907" s="27">
        <v>44280</v>
      </c>
      <c r="Q2907" s="5" t="s">
        <v>53868</v>
      </c>
      <c r="R2907" s="5"/>
      <c r="S2907" s="5" t="s">
        <v>49586</v>
      </c>
      <c r="T2907" s="28">
        <v>320945000</v>
      </c>
      <c r="U2907" s="28">
        <v>26790000</v>
      </c>
      <c r="V2907" s="28">
        <v>260638000</v>
      </c>
      <c r="W2907" s="28"/>
      <c r="X2907" s="28">
        <v>555967000</v>
      </c>
      <c r="Y2907" s="28">
        <v>1258871000</v>
      </c>
      <c r="Z2907" s="28">
        <v>715204000</v>
      </c>
      <c r="AA2907" s="28"/>
      <c r="AB2907" s="28"/>
      <c r="AC2907" s="28">
        <v>353665000</v>
      </c>
      <c r="AD2907" s="28">
        <v>758637000</v>
      </c>
      <c r="AE2907" s="28">
        <v>3424847000</v>
      </c>
      <c r="AF2907" s="28">
        <v>129672000</v>
      </c>
      <c r="AG2907" s="11"/>
    </row>
    <row r="2908">
      <c r="A2908" s="7" t="s">
        <v>4590</v>
      </c>
      <c r="B2908" s="5" t="s">
        <v>12565</v>
      </c>
      <c r="C2908" s="5"/>
      <c r="D2908" s="5"/>
      <c r="E2908" s="0" t="e">
        <f>+7 (495) 6654340
+7 (495) 9575470
+7 (985) 7114446</f>
        <v>#NAME?</v>
      </c>
      <c r="F2908" s="5" t="s">
        <v>34074</v>
      </c>
      <c r="G2908" s="5" t="s">
        <v>34075</v>
      </c>
      <c r="H2908" s="26">
        <v>11</v>
      </c>
      <c r="I2908" s="5"/>
      <c r="J2908" s="5" t="s">
        <v>34076</v>
      </c>
      <c r="K2908" s="5"/>
      <c r="L2908" s="5"/>
      <c r="M2908" s="27"/>
      <c r="N2908" s="5" t="s">
        <v>53869</v>
      </c>
      <c r="O2908" s="5" t="str">
        <v>7736128605</v>
      </c>
      <c r="P2908" s="27"/>
      <c r="Q2908" s="5" t="s">
        <v>53870</v>
      </c>
      <c r="R2908" s="5"/>
      <c r="S2908" s="5" t="s">
        <v>53871</v>
      </c>
      <c r="T2908" s="28">
        <v>3546846000</v>
      </c>
      <c r="U2908" s="28"/>
      <c r="V2908" s="28">
        <v>455318000</v>
      </c>
      <c r="W2908" s="28"/>
      <c r="X2908" s="28">
        <v>362351000</v>
      </c>
      <c r="Y2908" s="28">
        <v>4896730000</v>
      </c>
      <c r="Z2908" s="28"/>
      <c r="AA2908" s="28"/>
      <c r="AB2908" s="28"/>
      <c r="AC2908" s="28">
        <v>1157887000</v>
      </c>
      <c r="AD2908" s="28">
        <v>1633717000</v>
      </c>
      <c r="AE2908" s="28">
        <v>4089152000</v>
      </c>
      <c r="AF2908" s="28">
        <v>-144234000</v>
      </c>
      <c r="AG2908" s="11"/>
    </row>
    <row r="2909">
      <c r="A2909" s="7" t="s">
        <v>4591</v>
      </c>
      <c r="B2909" s="5" t="s">
        <v>11959</v>
      </c>
      <c r="C2909" s="5" t="s">
        <v>20390</v>
      </c>
      <c r="D2909" s="5" t="str">
        <v>772733527469</v>
      </c>
      <c r="E2909" s="0" t="e">
        <f>+7 (495) 6628888
+7 (495) 9551419
+7 (495) 9551420
+7 (800) 5555505</f>
        <v>#NAME?</v>
      </c>
      <c r="F2909" s="5"/>
      <c r="G2909" s="5" t="s">
        <v>34077</v>
      </c>
      <c r="H2909" s="26">
        <v>15.5</v>
      </c>
      <c r="I2909" s="5" t="s">
        <v>34078</v>
      </c>
      <c r="J2909" s="5" t="s">
        <v>25219</v>
      </c>
      <c r="K2909" s="5" t="s">
        <v>355</v>
      </c>
      <c r="L2909" s="5" t="s">
        <v>34079</v>
      </c>
      <c r="M2909" s="27"/>
      <c r="N2909" s="5"/>
      <c r="O2909" s="5" t="str">
        <v>7728632689</v>
      </c>
      <c r="P2909" s="27">
        <v>316180690769</v>
      </c>
      <c r="Q2909" s="5" t="s">
        <v>49009</v>
      </c>
      <c r="R2909" s="5" t="s">
        <v>52145</v>
      </c>
      <c r="S2909" s="5" t="s">
        <v>53872</v>
      </c>
      <c r="T2909" s="28">
        <v>4432595000</v>
      </c>
      <c r="U2909" s="28">
        <v>515459670000</v>
      </c>
      <c r="V2909" s="28">
        <v>18124049000</v>
      </c>
      <c r="W2909" s="28">
        <v>16856028000</v>
      </c>
      <c r="X2909" s="28">
        <v>25331000</v>
      </c>
      <c r="Y2909" s="28">
        <v>559220953000</v>
      </c>
      <c r="Z2909" s="28">
        <v>136751089000</v>
      </c>
      <c r="AA2909" s="28">
        <v>20171618000</v>
      </c>
      <c r="AB2909" s="28">
        <v>44736309000</v>
      </c>
      <c r="AC2909" s="28">
        <v>71285364000</v>
      </c>
      <c r="AD2909" s="28">
        <v>466680010000</v>
      </c>
      <c r="AE2909" s="28">
        <v>38173259000</v>
      </c>
      <c r="AF2909" s="28">
        <v>3705861000</v>
      </c>
      <c r="AG2909" s="11"/>
    </row>
    <row r="2910">
      <c r="A2910" s="7" t="s">
        <v>4592</v>
      </c>
      <c r="B2910" s="5" t="s">
        <v>12566</v>
      </c>
      <c r="C2910" s="5" t="s">
        <v>20391</v>
      </c>
      <c r="D2910" s="5" t="str">
        <v>230901260351</v>
      </c>
      <c r="E2910" s="0" t="e">
        <f>+7 (495) 9888168
+7 (861) 2000005
+7 (861) 2007762
+7 (861) 2007777
+7 (861) 2007972
+7 (861) 2342410</f>
        <v>#NAME?</v>
      </c>
      <c r="F2910" s="5" t="s">
        <v>34080</v>
      </c>
      <c r="G2910" s="5" t="s">
        <v>34081</v>
      </c>
      <c r="H2910" s="26">
        <v>20</v>
      </c>
      <c r="I2910" s="5" t="s">
        <v>34082</v>
      </c>
      <c r="J2910" s="5" t="s">
        <v>710</v>
      </c>
      <c r="K2910" s="5" t="s">
        <v>355</v>
      </c>
      <c r="L2910" s="5" t="s">
        <v>34083</v>
      </c>
      <c r="M2910" s="27">
        <v>376881782</v>
      </c>
      <c r="N2910" s="5" t="s">
        <v>53873</v>
      </c>
      <c r="O2910" s="5" t="str">
        <v>2312065504</v>
      </c>
      <c r="P2910" s="27">
        <v>55000</v>
      </c>
      <c r="Q2910" s="5" t="s">
        <v>447</v>
      </c>
      <c r="R2910" s="5"/>
      <c r="S2910" s="5" t="s">
        <v>53874</v>
      </c>
      <c r="T2910" s="28">
        <v>5604705000</v>
      </c>
      <c r="U2910" s="28">
        <v>66083000</v>
      </c>
      <c r="V2910" s="28">
        <v>14102699000</v>
      </c>
      <c r="W2910" s="28">
        <v>254533000</v>
      </c>
      <c r="X2910" s="28">
        <v>3781428000</v>
      </c>
      <c r="Y2910" s="28">
        <v>32605287000</v>
      </c>
      <c r="Z2910" s="28">
        <v>11180725000</v>
      </c>
      <c r="AA2910" s="28">
        <v>531817000</v>
      </c>
      <c r="AB2910" s="28">
        <v>362717000</v>
      </c>
      <c r="AC2910" s="28">
        <v>20213955000</v>
      </c>
      <c r="AD2910" s="28">
        <v>11333150000</v>
      </c>
      <c r="AE2910" s="28">
        <v>19505876000</v>
      </c>
      <c r="AF2910" s="28">
        <v>908573000</v>
      </c>
      <c r="AG2910" s="11"/>
    </row>
    <row r="2911">
      <c r="A2911" s="7" t="s">
        <v>4593</v>
      </c>
      <c r="B2911" s="5" t="s">
        <v>12567</v>
      </c>
      <c r="C2911" s="5" t="s">
        <v>20392</v>
      </c>
      <c r="D2911" s="5" t="str">
        <v>666004048305</v>
      </c>
      <c r="E2911" s="0" t="e">
        <f>+7 (3432) 669329
+7 (3433) 118992</f>
        <v>#NAME?</v>
      </c>
      <c r="F2911" s="5" t="s">
        <v>34084</v>
      </c>
      <c r="G2911" s="5" t="s">
        <v>34085</v>
      </c>
      <c r="H2911" s="26">
        <v>18</v>
      </c>
      <c r="I2911" s="5" t="s">
        <v>34086</v>
      </c>
      <c r="J2911" s="5" t="s">
        <v>364</v>
      </c>
      <c r="K2911" s="5" t="s">
        <v>344</v>
      </c>
      <c r="L2911" s="5"/>
      <c r="M2911" s="27">
        <v>36470292</v>
      </c>
      <c r="N2911" s="5" t="s">
        <v>53875</v>
      </c>
      <c r="O2911" s="5" t="str">
        <v>6672184222</v>
      </c>
      <c r="P2911" s="27">
        <v>800000000</v>
      </c>
      <c r="Q2911" s="5" t="s">
        <v>53876</v>
      </c>
      <c r="R2911" s="5"/>
      <c r="S2911" s="5" t="s">
        <v>53877</v>
      </c>
      <c r="T2911" s="28">
        <v>759474000</v>
      </c>
      <c r="U2911" s="28">
        <v>68337000</v>
      </c>
      <c r="V2911" s="28">
        <v>5702562000</v>
      </c>
      <c r="W2911" s="28">
        <v>552240000</v>
      </c>
      <c r="X2911" s="28">
        <v>2273276000</v>
      </c>
      <c r="Y2911" s="28">
        <v>15228527000</v>
      </c>
      <c r="Z2911" s="28">
        <v>2742564000</v>
      </c>
      <c r="AA2911" s="28">
        <v>2239943000</v>
      </c>
      <c r="AB2911" s="28">
        <v>130347000</v>
      </c>
      <c r="AC2911" s="28">
        <v>9396371000</v>
      </c>
      <c r="AD2911" s="28">
        <v>4752308000</v>
      </c>
      <c r="AE2911" s="28">
        <v>7590989000</v>
      </c>
      <c r="AF2911" s="28">
        <v>93877000</v>
      </c>
      <c r="AG2911" s="11"/>
    </row>
    <row r="2912">
      <c r="A2912" s="7" t="s">
        <v>4594</v>
      </c>
      <c r="B2912" s="5" t="s">
        <v>11333</v>
      </c>
      <c r="C2912" s="5" t="s">
        <v>20393</v>
      </c>
      <c r="D2912" s="5" t="str">
        <v>616400321203</v>
      </c>
      <c r="E2912" s="0" t="e">
        <f>+7 (495) 8788282
+7 (800) 5008282
+7 (8632) 168901
+7 (8632) 518901
+7 (8632) 608902
+7 (8632) 618901
+7 (8632) 618902
+7 (8632) 619802
+7 (8632) 918901
+7 (8632) 918902
+7 (8636) 218901</f>
        <v>#NAME?</v>
      </c>
      <c r="F2912" s="5" t="s">
        <v>34087</v>
      </c>
      <c r="G2912" s="5" t="s">
        <v>30284</v>
      </c>
      <c r="H2912" s="26">
        <v>26</v>
      </c>
      <c r="I2912" s="5"/>
      <c r="J2912" s="5" t="s">
        <v>34088</v>
      </c>
      <c r="K2912" s="5" t="s">
        <v>344</v>
      </c>
      <c r="L2912" s="5" t="s">
        <v>34089</v>
      </c>
      <c r="M2912" s="27">
        <v>853245</v>
      </c>
      <c r="N2912" s="5"/>
      <c r="O2912" s="5" t="str">
        <v>6166034397</v>
      </c>
      <c r="P2912" s="27">
        <v>43087409</v>
      </c>
      <c r="Q2912" s="5" t="s">
        <v>49021</v>
      </c>
      <c r="R2912" s="5"/>
      <c r="S2912" s="5" t="s">
        <v>53878</v>
      </c>
      <c r="T2912" s="28">
        <v>7635671000</v>
      </c>
      <c r="U2912" s="28">
        <v>67266000</v>
      </c>
      <c r="V2912" s="28">
        <v>38149958000</v>
      </c>
      <c r="W2912" s="28">
        <v>1769600000</v>
      </c>
      <c r="X2912" s="28">
        <v>46527000</v>
      </c>
      <c r="Y2912" s="28">
        <v>65385587000</v>
      </c>
      <c r="Z2912" s="28">
        <v>32202711000</v>
      </c>
      <c r="AA2912" s="28">
        <v>809572000</v>
      </c>
      <c r="AB2912" s="28">
        <v>23350000000</v>
      </c>
      <c r="AC2912" s="28">
        <v>31001801000</v>
      </c>
      <c r="AD2912" s="28">
        <v>32250316000</v>
      </c>
      <c r="AE2912" s="28">
        <v>57690304000</v>
      </c>
      <c r="AF2912" s="28">
        <v>6141660000</v>
      </c>
      <c r="AG2912" s="11"/>
    </row>
    <row r="2913">
      <c r="A2913" s="7" t="s">
        <v>4595</v>
      </c>
      <c r="B2913" s="5" t="s">
        <v>12568</v>
      </c>
      <c r="C2913" s="5" t="s">
        <v>20394</v>
      </c>
      <c r="D2913" s="5" t="str">
        <v>321401952257</v>
      </c>
      <c r="E2913" s="0" t="e">
        <f>+7 (4712) 331246
+7 (4712) 331247
+7 (4712) 399659
+7 (4712) 399669
+7 (4712) 514541
+7 (4712) 521303
+7 (4712) 521311
+7 (4712) 563022
+7 (4712) 563023
+7 (4712) 563712
+7 (4712) 708395
+7 (4712) 708539
+7 (4712) 733200
+7 (4712) 733300
+7 (4712) 733506</f>
        <v>#NAME?</v>
      </c>
      <c r="F2913" s="5" t="s">
        <v>34090</v>
      </c>
      <c r="G2913" s="5" t="s">
        <v>34091</v>
      </c>
      <c r="H2913" s="26">
        <v>25</v>
      </c>
      <c r="I2913" s="5"/>
      <c r="J2913" s="5" t="s">
        <v>27855</v>
      </c>
      <c r="K2913" s="5" t="s">
        <v>344</v>
      </c>
      <c r="L2913" s="5" t="s">
        <v>34092</v>
      </c>
      <c r="M2913" s="27">
        <v>4771674</v>
      </c>
      <c r="N2913" s="5" t="s">
        <v>53879</v>
      </c>
      <c r="O2913" s="5" t="str">
        <v>4629045050</v>
      </c>
      <c r="P2913" s="27">
        <v>313989702</v>
      </c>
      <c r="Q2913" s="5" t="s">
        <v>49009</v>
      </c>
      <c r="R2913" s="5"/>
      <c r="S2913" s="5" t="s">
        <v>49487</v>
      </c>
      <c r="T2913" s="28">
        <v>27090587000</v>
      </c>
      <c r="U2913" s="28">
        <v>1373712000</v>
      </c>
      <c r="V2913" s="28">
        <v>310739000</v>
      </c>
      <c r="W2913" s="28"/>
      <c r="X2913" s="28">
        <v>1140556000</v>
      </c>
      <c r="Y2913" s="28">
        <v>42210942000</v>
      </c>
      <c r="Z2913" s="28">
        <v>3602638000</v>
      </c>
      <c r="AA2913" s="28">
        <v>19876870000</v>
      </c>
      <c r="AB2913" s="28">
        <v>2015114000</v>
      </c>
      <c r="AC2913" s="28">
        <v>5870589000</v>
      </c>
      <c r="AD2913" s="28">
        <v>9570468000</v>
      </c>
      <c r="AE2913" s="28">
        <v>24641264000</v>
      </c>
      <c r="AF2913" s="28">
        <v>552368000</v>
      </c>
      <c r="AG2913" s="11"/>
    </row>
    <row r="2914">
      <c r="A2914" s="7" t="s">
        <v>4596</v>
      </c>
      <c r="B2914" s="5" t="s">
        <v>12569</v>
      </c>
      <c r="C2914" s="5" t="s">
        <v>20395</v>
      </c>
      <c r="D2914" s="5" t="str">
        <v>683103614975</v>
      </c>
      <c r="E2914" s="0" t="e">
        <f>+7 (937) 4041632
+7 (953) 1246405
+7 (475) 2432030
+7 (475) 2720496
+7 (475) 2720649
+7 (475) 2722062
+7 (475) 2724315
+7 (475) 2732822
+7 (953) 7037322</f>
        <v>#NAME?</v>
      </c>
      <c r="F2914" s="5" t="s">
        <v>34093</v>
      </c>
      <c r="G2914" s="5" t="s">
        <v>34094</v>
      </c>
      <c r="H2914" s="26">
        <v>25</v>
      </c>
      <c r="I2914" s="5"/>
      <c r="J2914" s="5" t="s">
        <v>25262</v>
      </c>
      <c r="K2914" s="5" t="s">
        <v>344</v>
      </c>
      <c r="L2914" s="5" t="s">
        <v>34095</v>
      </c>
      <c r="M2914" s="27">
        <v>377369</v>
      </c>
      <c r="N2914" s="5" t="s">
        <v>53880</v>
      </c>
      <c r="O2914" s="5" t="str">
        <v>6832030103</v>
      </c>
      <c r="P2914" s="27">
        <v>8640</v>
      </c>
      <c r="Q2914" s="5" t="s">
        <v>49059</v>
      </c>
      <c r="R2914" s="5"/>
      <c r="S2914" s="5" t="s">
        <v>50096</v>
      </c>
      <c r="T2914" s="28">
        <v>104109000</v>
      </c>
      <c r="U2914" s="28"/>
      <c r="V2914" s="28">
        <v>1878966000</v>
      </c>
      <c r="W2914" s="28"/>
      <c r="X2914" s="28">
        <v>23773000</v>
      </c>
      <c r="Y2914" s="28">
        <v>3923767000</v>
      </c>
      <c r="Z2914" s="28">
        <v>1146815000</v>
      </c>
      <c r="AA2914" s="28">
        <v>239667000</v>
      </c>
      <c r="AB2914" s="28">
        <v>1457479000</v>
      </c>
      <c r="AC2914" s="28">
        <v>2537277000</v>
      </c>
      <c r="AD2914" s="28">
        <v>1146823000</v>
      </c>
      <c r="AE2914" s="28">
        <v>4907905000</v>
      </c>
      <c r="AF2914" s="28">
        <v>583978000</v>
      </c>
      <c r="AG2914" s="11"/>
    </row>
    <row r="2915">
      <c r="A2915" s="7" t="s">
        <v>4597</v>
      </c>
      <c r="B2915" s="5" t="s">
        <v>12570</v>
      </c>
      <c r="C2915" s="5" t="s">
        <v>20396</v>
      </c>
      <c r="D2915" s="5" t="str">
        <v>366604600752</v>
      </c>
      <c r="E2915" s="0" t="e">
        <f>+7 (472) 2502211
+7 (473) 2502210
+7 (47396) 50506
+7 (920) 4051102
+7 (951) 8693807
+7 (473) 2075555</f>
        <v>#NAME?</v>
      </c>
      <c r="F2915" s="5" t="s">
        <v>34096</v>
      </c>
      <c r="G2915" s="5" t="s">
        <v>34097</v>
      </c>
      <c r="H2915" s="26">
        <v>8</v>
      </c>
      <c r="I2915" s="5" t="s">
        <v>34098</v>
      </c>
      <c r="J2915" s="5" t="s">
        <v>678</v>
      </c>
      <c r="K2915" s="5" t="s">
        <v>344</v>
      </c>
      <c r="L2915" s="5" t="s">
        <v>34099</v>
      </c>
      <c r="M2915" s="27"/>
      <c r="N2915" s="5" t="s">
        <v>53881</v>
      </c>
      <c r="O2915" s="5" t="str">
        <v>3663108050</v>
      </c>
      <c r="P2915" s="27">
        <v>30479361</v>
      </c>
      <c r="Q2915" s="5" t="s">
        <v>49009</v>
      </c>
      <c r="R2915" s="5"/>
      <c r="S2915" s="5" t="s">
        <v>49256</v>
      </c>
      <c r="T2915" s="28">
        <v>50600000</v>
      </c>
      <c r="U2915" s="28"/>
      <c r="V2915" s="28">
        <v>443850000</v>
      </c>
      <c r="W2915" s="28"/>
      <c r="X2915" s="28">
        <v>7494000</v>
      </c>
      <c r="Y2915" s="28">
        <v>1133880000</v>
      </c>
      <c r="Z2915" s="28">
        <v>521315000</v>
      </c>
      <c r="AA2915" s="28"/>
      <c r="AB2915" s="28">
        <v>339405000</v>
      </c>
      <c r="AC2915" s="28">
        <v>579097000</v>
      </c>
      <c r="AD2915" s="28">
        <v>554370000</v>
      </c>
      <c r="AE2915" s="28">
        <v>4177201000</v>
      </c>
      <c r="AF2915" s="28">
        <v>11675000</v>
      </c>
      <c r="AG2915" s="11"/>
    </row>
    <row r="2916">
      <c r="A2916" s="7" t="s">
        <v>4598</v>
      </c>
      <c r="B2916" s="5" t="s">
        <v>12571</v>
      </c>
      <c r="C2916" s="5" t="s">
        <v>20397</v>
      </c>
      <c r="D2916" s="5" t="str">
        <v>773301169560</v>
      </c>
      <c r="E2916" s="0" t="e">
        <f>+7 (499) 3710550
+7 (499) 3710101</f>
        <v>#NAME?</v>
      </c>
      <c r="F2916" s="5" t="s">
        <v>34100</v>
      </c>
      <c r="G2916" s="5" t="s">
        <v>34101</v>
      </c>
      <c r="H2916" s="26">
        <v>8</v>
      </c>
      <c r="I2916" s="5" t="s">
        <v>34102</v>
      </c>
      <c r="J2916" s="5" t="s">
        <v>364</v>
      </c>
      <c r="K2916" s="5" t="s">
        <v>344</v>
      </c>
      <c r="L2916" s="5" t="s">
        <v>31705</v>
      </c>
      <c r="M2916" s="27"/>
      <c r="N2916" s="5" t="s">
        <v>53882</v>
      </c>
      <c r="O2916" s="5" t="str">
        <v>7734345499</v>
      </c>
      <c r="P2916" s="27">
        <v>1000000</v>
      </c>
      <c r="Q2916" s="5" t="s">
        <v>53883</v>
      </c>
      <c r="R2916" s="5"/>
      <c r="S2916" s="5" t="s">
        <v>53884</v>
      </c>
      <c r="T2916" s="28">
        <v>507550000</v>
      </c>
      <c r="U2916" s="28">
        <v>131316000</v>
      </c>
      <c r="V2916" s="28">
        <v>1778456000</v>
      </c>
      <c r="W2916" s="28">
        <v>12316000</v>
      </c>
      <c r="X2916" s="28">
        <v>475000</v>
      </c>
      <c r="Y2916" s="28">
        <v>2613487000</v>
      </c>
      <c r="Z2916" s="28">
        <v>28559000</v>
      </c>
      <c r="AA2916" s="28">
        <v>1275774000</v>
      </c>
      <c r="AB2916" s="28"/>
      <c r="AC2916" s="28">
        <v>715867000</v>
      </c>
      <c r="AD2916" s="28">
        <v>29559000</v>
      </c>
      <c r="AE2916" s="28">
        <v>3452477000</v>
      </c>
      <c r="AF2916" s="28">
        <v>11392000</v>
      </c>
      <c r="AG2916" s="11"/>
    </row>
    <row r="2917">
      <c r="A2917" s="7" t="s">
        <v>4599</v>
      </c>
      <c r="B2917" s="5" t="s">
        <v>12572</v>
      </c>
      <c r="C2917" s="5" t="s">
        <v>20398</v>
      </c>
      <c r="D2917" s="5" t="str">
        <v>780206034860</v>
      </c>
      <c r="E2917" s="0" t="e">
        <f>+7 (812) 3341694
+7 (3456) 343105
+7 (495) 6407698
+7 (812) 4495754
+7 (812) 4495765</f>
        <v>#NAME?</v>
      </c>
      <c r="F2917" s="5" t="s">
        <v>34103</v>
      </c>
      <c r="G2917" s="5" t="s">
        <v>34104</v>
      </c>
      <c r="H2917" s="26">
        <v>15</v>
      </c>
      <c r="I2917" s="5" t="s">
        <v>34105</v>
      </c>
      <c r="J2917" s="5" t="s">
        <v>29432</v>
      </c>
      <c r="K2917" s="5" t="s">
        <v>344</v>
      </c>
      <c r="L2917" s="5" t="s">
        <v>34106</v>
      </c>
      <c r="M2917" s="27">
        <v>3034249</v>
      </c>
      <c r="N2917" s="5" t="s">
        <v>53885</v>
      </c>
      <c r="O2917" s="5" t="str">
        <v>7814406725</v>
      </c>
      <c r="P2917" s="27">
        <v>100000</v>
      </c>
      <c r="Q2917" s="5" t="s">
        <v>53886</v>
      </c>
      <c r="R2917" s="5"/>
      <c r="S2917" s="5" t="s">
        <v>53887</v>
      </c>
      <c r="T2917" s="28">
        <v>800413000</v>
      </c>
      <c r="U2917" s="28">
        <v>295732000</v>
      </c>
      <c r="V2917" s="28">
        <v>3947330000</v>
      </c>
      <c r="W2917" s="28"/>
      <c r="X2917" s="28">
        <v>38476000</v>
      </c>
      <c r="Y2917" s="28">
        <v>5792589000</v>
      </c>
      <c r="Z2917" s="28">
        <v>2709922000</v>
      </c>
      <c r="AA2917" s="28"/>
      <c r="AB2917" s="28">
        <v>1213497000</v>
      </c>
      <c r="AC2917" s="28">
        <v>2999554000</v>
      </c>
      <c r="AD2917" s="28">
        <v>2710022000</v>
      </c>
      <c r="AE2917" s="28">
        <v>4693496000</v>
      </c>
      <c r="AF2917" s="28">
        <v>914144000</v>
      </c>
      <c r="AG2917" s="11"/>
    </row>
    <row r="2918">
      <c r="A2918" s="7" t="s">
        <v>4600</v>
      </c>
      <c r="B2918" s="5" t="s">
        <v>12573</v>
      </c>
      <c r="C2918" s="5" t="s">
        <v>20399</v>
      </c>
      <c r="D2918" s="5" t="str">
        <v>772200150498</v>
      </c>
      <c r="E2918" s="0" t="e">
        <f>+7 (345) 2682633
+7 (384) 2680805
+7 (495) 662791
+7 (495) 6516739
+7 (495) 7812154</f>
        <v>#NAME?</v>
      </c>
      <c r="F2918" s="5" t="s">
        <v>34107</v>
      </c>
      <c r="G2918" s="5" t="s">
        <v>34108</v>
      </c>
      <c r="H2918" s="26">
        <v>23.5</v>
      </c>
      <c r="I2918" s="5" t="s">
        <v>34109</v>
      </c>
      <c r="J2918" s="5" t="s">
        <v>25446</v>
      </c>
      <c r="K2918" s="5" t="s">
        <v>344</v>
      </c>
      <c r="L2918" s="5" t="s">
        <v>34110</v>
      </c>
      <c r="M2918" s="27"/>
      <c r="N2918" s="5" t="s">
        <v>53888</v>
      </c>
      <c r="O2918" s="5" t="str">
        <v>7722184374</v>
      </c>
      <c r="P2918" s="27">
        <v>20000</v>
      </c>
      <c r="Q2918" s="5" t="s">
        <v>53889</v>
      </c>
      <c r="R2918" s="5"/>
      <c r="S2918" s="5" t="s">
        <v>53890</v>
      </c>
      <c r="T2918" s="28">
        <v>41549000</v>
      </c>
      <c r="U2918" s="28"/>
      <c r="V2918" s="28">
        <v>361684000</v>
      </c>
      <c r="W2918" s="28">
        <v>469200000</v>
      </c>
      <c r="X2918" s="28">
        <v>521355000</v>
      </c>
      <c r="Y2918" s="28">
        <v>2182878000</v>
      </c>
      <c r="Z2918" s="28">
        <v>1694044000</v>
      </c>
      <c r="AA2918" s="28"/>
      <c r="AB2918" s="28"/>
      <c r="AC2918" s="28">
        <v>480920000</v>
      </c>
      <c r="AD2918" s="28">
        <v>1694064000</v>
      </c>
      <c r="AE2918" s="28">
        <v>4183688000</v>
      </c>
      <c r="AF2918" s="28">
        <v>580990000</v>
      </c>
      <c r="AG2918" s="11"/>
    </row>
    <row r="2919">
      <c r="A2919" s="7" t="s">
        <v>4601</v>
      </c>
      <c r="B2919" s="5" t="s">
        <v>12574</v>
      </c>
      <c r="C2919" s="5" t="s">
        <v>20400</v>
      </c>
      <c r="D2919" s="5"/>
      <c r="E2919" s="0" t="e">
        <f>+7 (487) 2711088
+7 (487) 2711888
+7 (919) 822311</f>
        <v>#NAME?</v>
      </c>
      <c r="F2919" s="5"/>
      <c r="G2919" s="5"/>
      <c r="H2919" s="26">
        <v>4.5</v>
      </c>
      <c r="I2919" s="5" t="s">
        <v>34111</v>
      </c>
      <c r="J2919" s="5" t="s">
        <v>389</v>
      </c>
      <c r="K2919" s="5" t="s">
        <v>344</v>
      </c>
      <c r="L2919" s="5" t="s">
        <v>34112</v>
      </c>
      <c r="M2919" s="27"/>
      <c r="N2919" s="5" t="s">
        <v>53891</v>
      </c>
      <c r="O2919" s="5" t="str">
        <v>7116156715</v>
      </c>
      <c r="P2919" s="27">
        <v>10000</v>
      </c>
      <c r="Q2919" s="5"/>
      <c r="R2919" s="5"/>
      <c r="S2919" s="5" t="s">
        <v>49991</v>
      </c>
      <c r="T2919" s="28">
        <v>15340000</v>
      </c>
      <c r="U2919" s="28"/>
      <c r="V2919" s="28">
        <v>254341000</v>
      </c>
      <c r="W2919" s="28"/>
      <c r="X2919" s="28">
        <v>52656000</v>
      </c>
      <c r="Y2919" s="28">
        <v>834251000</v>
      </c>
      <c r="Z2919" s="28">
        <v>239227000</v>
      </c>
      <c r="AA2919" s="28"/>
      <c r="AB2919" s="28">
        <v>559775000</v>
      </c>
      <c r="AC2919" s="28">
        <v>594085000</v>
      </c>
      <c r="AD2919" s="28">
        <v>239237000</v>
      </c>
      <c r="AE2919" s="28">
        <v>3021898000</v>
      </c>
      <c r="AF2919" s="28">
        <v>31331000</v>
      </c>
      <c r="AG2919" s="11"/>
    </row>
    <row r="2920">
      <c r="A2920" s="7" t="s">
        <v>4602</v>
      </c>
      <c r="B2920" s="5" t="s">
        <v>12575</v>
      </c>
      <c r="C2920" s="5" t="s">
        <v>20401</v>
      </c>
      <c r="D2920" s="5" t="str">
        <v>261502008601</v>
      </c>
      <c r="E2920" s="0" t="e">
        <f>+7 (86544) 67444</f>
        <v>#NAME?</v>
      </c>
      <c r="F2920" s="5" t="s">
        <v>34113</v>
      </c>
      <c r="G2920" s="5"/>
      <c r="H2920" s="26">
        <v>13.5</v>
      </c>
      <c r="I2920" s="5" t="s">
        <v>34114</v>
      </c>
      <c r="J2920" s="5" t="s">
        <v>25837</v>
      </c>
      <c r="K2920" s="5" t="s">
        <v>344</v>
      </c>
      <c r="L2920" s="5" t="s">
        <v>34115</v>
      </c>
      <c r="M2920" s="27"/>
      <c r="N2920" s="5"/>
      <c r="O2920" s="5" t="str">
        <v>2615014717</v>
      </c>
      <c r="P2920" s="27">
        <v>12000</v>
      </c>
      <c r="Q2920" s="5"/>
      <c r="R2920" s="5"/>
      <c r="S2920" s="5" t="s">
        <v>49029</v>
      </c>
      <c r="T2920" s="28">
        <v>32102000</v>
      </c>
      <c r="U2920" s="28"/>
      <c r="V2920" s="28">
        <v>949086000</v>
      </c>
      <c r="W2920" s="28">
        <v>2144163000</v>
      </c>
      <c r="X2920" s="28">
        <v>25153000</v>
      </c>
      <c r="Y2920" s="28">
        <v>4068077000</v>
      </c>
      <c r="Z2920" s="28">
        <v>268806000</v>
      </c>
      <c r="AA2920" s="28"/>
      <c r="AB2920" s="28">
        <v>250375000</v>
      </c>
      <c r="AC2920" s="28">
        <v>3799259000</v>
      </c>
      <c r="AD2920" s="28">
        <v>268818000</v>
      </c>
      <c r="AE2920" s="28">
        <v>7120674000</v>
      </c>
      <c r="AF2920" s="28">
        <v>83550000</v>
      </c>
      <c r="AG2920" s="11"/>
    </row>
    <row r="2921">
      <c r="A2921" s="7" t="s">
        <v>4603</v>
      </c>
      <c r="B2921" s="5" t="s">
        <v>12576</v>
      </c>
      <c r="C2921" s="5" t="s">
        <v>20402</v>
      </c>
      <c r="D2921" s="5" t="str">
        <v>616600458653</v>
      </c>
      <c r="E2921" s="0" t="e">
        <f>+7 (863) 2917305
+7 (863) 2917716
+7 (8632) 907157</f>
        <v>#NAME?</v>
      </c>
      <c r="F2921" s="5" t="s">
        <v>34116</v>
      </c>
      <c r="G2921" s="5"/>
      <c r="H2921" s="26">
        <v>20.5</v>
      </c>
      <c r="I2921" s="5" t="s">
        <v>34117</v>
      </c>
      <c r="J2921" s="5" t="s">
        <v>25327</v>
      </c>
      <c r="K2921" s="5" t="s">
        <v>344</v>
      </c>
      <c r="L2921" s="5"/>
      <c r="M2921" s="27"/>
      <c r="N2921" s="5"/>
      <c r="O2921" s="5" t="str">
        <v>6101922443</v>
      </c>
      <c r="P2921" s="27">
        <v>10000</v>
      </c>
      <c r="Q2921" s="5" t="s">
        <v>49057</v>
      </c>
      <c r="R2921" s="5"/>
      <c r="S2921" s="5" t="s">
        <v>50822</v>
      </c>
      <c r="T2921" s="28">
        <v>66510000</v>
      </c>
      <c r="U2921" s="28"/>
      <c r="V2921" s="28">
        <v>460952000</v>
      </c>
      <c r="W2921" s="28">
        <v>20811000</v>
      </c>
      <c r="X2921" s="28">
        <v>425000</v>
      </c>
      <c r="Y2921" s="28">
        <v>769632000</v>
      </c>
      <c r="Z2921" s="28">
        <v>208475000</v>
      </c>
      <c r="AA2921" s="28">
        <v>457900000</v>
      </c>
      <c r="AB2921" s="28"/>
      <c r="AC2921" s="28">
        <v>48397000</v>
      </c>
      <c r="AD2921" s="28">
        <v>208485000</v>
      </c>
      <c r="AE2921" s="28">
        <v>7228967000</v>
      </c>
      <c r="AF2921" s="28">
        <v>75578000</v>
      </c>
      <c r="AG2921" s="11"/>
    </row>
    <row r="2922">
      <c r="A2922" s="7" t="s">
        <v>4604</v>
      </c>
      <c r="B2922" s="5" t="s">
        <v>12577</v>
      </c>
      <c r="C2922" s="5" t="s">
        <v>20403</v>
      </c>
      <c r="D2922" s="5" t="str">
        <v>234602644660</v>
      </c>
      <c r="E2922" s="0" t="e">
        <f>+7 (863) 2689405
+7 (863) 9289278
+7 (8632) 689406
+7 (8632) 689411
+7 (8632) 689412
+7 (8632) 689512
+7 (928) 9278422</f>
        <v>#NAME?</v>
      </c>
      <c r="F2922" s="5" t="s">
        <v>34118</v>
      </c>
      <c r="G2922" s="5" t="s">
        <v>34119</v>
      </c>
      <c r="H2922" s="26">
        <v>12.5</v>
      </c>
      <c r="I2922" s="5" t="s">
        <v>34120</v>
      </c>
      <c r="J2922" s="5" t="s">
        <v>25837</v>
      </c>
      <c r="K2922" s="5" t="s">
        <v>344</v>
      </c>
      <c r="L2922" s="5"/>
      <c r="M2922" s="27"/>
      <c r="N2922" s="5" t="s">
        <v>53892</v>
      </c>
      <c r="O2922" s="5" t="str">
        <v>6163104945</v>
      </c>
      <c r="P2922" s="27">
        <v>10000</v>
      </c>
      <c r="Q2922" s="5" t="s">
        <v>49021</v>
      </c>
      <c r="R2922" s="5"/>
      <c r="S2922" s="5" t="s">
        <v>53893</v>
      </c>
      <c r="T2922" s="28">
        <v>3965000</v>
      </c>
      <c r="U2922" s="28">
        <v>110000000</v>
      </c>
      <c r="V2922" s="28">
        <v>4155911000</v>
      </c>
      <c r="W2922" s="28">
        <v>164795000</v>
      </c>
      <c r="X2922" s="28">
        <v>1687329000</v>
      </c>
      <c r="Y2922" s="28">
        <v>8765308000</v>
      </c>
      <c r="Z2922" s="28">
        <v>3283101000</v>
      </c>
      <c r="AA2922" s="28"/>
      <c r="AB2922" s="28"/>
      <c r="AC2922" s="28">
        <v>5445095000</v>
      </c>
      <c r="AD2922" s="28">
        <v>3319850000</v>
      </c>
      <c r="AE2922" s="28">
        <v>16431368000</v>
      </c>
      <c r="AF2922" s="28">
        <v>3232603000</v>
      </c>
      <c r="AG2922" s="11"/>
    </row>
    <row r="2923">
      <c r="A2923" s="7" t="s">
        <v>4605</v>
      </c>
      <c r="B2923" s="5" t="s">
        <v>12578</v>
      </c>
      <c r="C2923" s="5" t="s">
        <v>20404</v>
      </c>
      <c r="D2923" s="5" t="str">
        <v>263406935710</v>
      </c>
      <c r="E2923" s="0" t="e">
        <f>+7 (495) 9244238</f>
        <v>#NAME?</v>
      </c>
      <c r="F2923" s="5" t="s">
        <v>34121</v>
      </c>
      <c r="G2923" s="5" t="s">
        <v>34122</v>
      </c>
      <c r="H2923" s="26">
        <v>6.5</v>
      </c>
      <c r="I2923" s="5" t="s">
        <v>34123</v>
      </c>
      <c r="J2923" s="5" t="s">
        <v>373</v>
      </c>
      <c r="K2923" s="5" t="s">
        <v>344</v>
      </c>
      <c r="L2923" s="5" t="s">
        <v>34124</v>
      </c>
      <c r="M2923" s="27"/>
      <c r="N2923" s="5"/>
      <c r="O2923" s="5" t="str">
        <v>7736275279</v>
      </c>
      <c r="P2923" s="27">
        <v>50000</v>
      </c>
      <c r="Q2923" s="5" t="s">
        <v>49057</v>
      </c>
      <c r="R2923" s="5"/>
      <c r="S2923" s="5" t="s">
        <v>49452</v>
      </c>
      <c r="T2923" s="28">
        <v>24000</v>
      </c>
      <c r="U2923" s="28"/>
      <c r="V2923" s="28">
        <v>164236000</v>
      </c>
      <c r="W2923" s="28">
        <v>18400000</v>
      </c>
      <c r="X2923" s="28">
        <v>306000</v>
      </c>
      <c r="Y2923" s="28">
        <v>225439000</v>
      </c>
      <c r="Z2923" s="28">
        <v>65886000</v>
      </c>
      <c r="AA2923" s="28">
        <v>46109000</v>
      </c>
      <c r="AB2923" s="28"/>
      <c r="AC2923" s="28">
        <v>113394000</v>
      </c>
      <c r="AD2923" s="28">
        <v>65936000</v>
      </c>
      <c r="AE2923" s="28">
        <v>3314401000</v>
      </c>
      <c r="AF2923" s="28">
        <v>46760000</v>
      </c>
      <c r="AG2923" s="11"/>
    </row>
    <row r="2924">
      <c r="A2924" s="7" t="s">
        <v>4606</v>
      </c>
      <c r="B2924" s="5" t="s">
        <v>12579</v>
      </c>
      <c r="C2924" s="5"/>
      <c r="D2924" s="5"/>
      <c r="E2924" s="0" t="e">
        <f>+7 (495) 2281405
+7 (926) 1111158</f>
        <v>#NAME?</v>
      </c>
      <c r="F2924" s="5" t="s">
        <v>34125</v>
      </c>
      <c r="G2924" s="5" t="s">
        <v>34126</v>
      </c>
      <c r="H2924" s="26">
        <v>17.5</v>
      </c>
      <c r="I2924" s="5"/>
      <c r="J2924" s="5" t="s">
        <v>881</v>
      </c>
      <c r="K2924" s="5" t="s">
        <v>344</v>
      </c>
      <c r="L2924" s="5" t="s">
        <v>34127</v>
      </c>
      <c r="M2924" s="27">
        <v>1890264</v>
      </c>
      <c r="N2924" s="5" t="s">
        <v>53894</v>
      </c>
      <c r="O2924" s="5" t="str">
        <v>7801392271</v>
      </c>
      <c r="P2924" s="27">
        <v>190020000</v>
      </c>
      <c r="Q2924" s="5" t="s">
        <v>53896</v>
      </c>
      <c r="R2924" s="5"/>
      <c r="S2924" s="5" t="s">
        <v>50475</v>
      </c>
      <c r="T2924" s="28">
        <v>304198000</v>
      </c>
      <c r="U2924" s="28">
        <v>4950000</v>
      </c>
      <c r="V2924" s="28">
        <v>652560000</v>
      </c>
      <c r="W2924" s="28">
        <v>2100000</v>
      </c>
      <c r="X2924" s="28">
        <v>625751000</v>
      </c>
      <c r="Y2924" s="28">
        <v>2306345000</v>
      </c>
      <c r="Z2924" s="28">
        <v>1572278000</v>
      </c>
      <c r="AA2924" s="28"/>
      <c r="AB2924" s="28"/>
      <c r="AC2924" s="28">
        <v>534047000</v>
      </c>
      <c r="AD2924" s="28">
        <v>1772298000</v>
      </c>
      <c r="AE2924" s="28">
        <v>3823339000</v>
      </c>
      <c r="AF2924" s="28">
        <v>-123519000</v>
      </c>
      <c r="AG2924" s="11"/>
    </row>
    <row r="2925">
      <c r="A2925" s="7" t="s">
        <v>4607</v>
      </c>
      <c r="B2925" s="5" t="s">
        <v>12580</v>
      </c>
      <c r="C2925" s="5" t="s">
        <v>20405</v>
      </c>
      <c r="D2925" s="5" t="str">
        <v>772344043271</v>
      </c>
      <c r="E2925" s="0" t="e">
        <f>+7 (495) 7480416
+7 (499) 7543303
+7 (800) 7757393</f>
        <v>#NAME?</v>
      </c>
      <c r="F2925" s="5"/>
      <c r="G2925" s="5" t="s">
        <v>34128</v>
      </c>
      <c r="H2925" s="26">
        <v>14.5</v>
      </c>
      <c r="I2925" s="5" t="s">
        <v>34129</v>
      </c>
      <c r="J2925" s="5" t="s">
        <v>25190</v>
      </c>
      <c r="K2925" s="5" t="s">
        <v>344</v>
      </c>
      <c r="L2925" s="5" t="s">
        <v>34130</v>
      </c>
      <c r="M2925" s="27"/>
      <c r="N2925" s="5" t="s">
        <v>53897</v>
      </c>
      <c r="O2925" s="5" t="str">
        <v>7728668928</v>
      </c>
      <c r="P2925" s="27">
        <v>4510000</v>
      </c>
      <c r="Q2925" s="5" t="s">
        <v>49021</v>
      </c>
      <c r="R2925" s="5"/>
      <c r="S2925" s="5" t="s">
        <v>53898</v>
      </c>
      <c r="T2925" s="28">
        <v>104000</v>
      </c>
      <c r="U2925" s="28">
        <v>50590000</v>
      </c>
      <c r="V2925" s="28">
        <v>505245000</v>
      </c>
      <c r="W2925" s="28">
        <v>36880000</v>
      </c>
      <c r="X2925" s="28">
        <v>1314246000</v>
      </c>
      <c r="Y2925" s="28">
        <v>1966336000</v>
      </c>
      <c r="Z2925" s="28">
        <v>416124000</v>
      </c>
      <c r="AA2925" s="28"/>
      <c r="AB2925" s="28"/>
      <c r="AC2925" s="28">
        <v>1545701000</v>
      </c>
      <c r="AD2925" s="28">
        <v>420634000</v>
      </c>
      <c r="AE2925" s="28">
        <v>4357686000</v>
      </c>
      <c r="AF2925" s="28">
        <v>269218000</v>
      </c>
      <c r="AG2925" s="11"/>
    </row>
    <row r="2926">
      <c r="A2926" s="7" t="s">
        <v>4608</v>
      </c>
      <c r="B2926" s="5" t="s">
        <v>12581</v>
      </c>
      <c r="C2926" s="5" t="s">
        <v>20406</v>
      </c>
      <c r="D2926" s="5" t="str">
        <v>773127456481</v>
      </c>
      <c r="E2926" s="0" t="e">
        <f>+7 (415) 2264826
+7 (415) 2422846
+7 (415) 2432846
+7 (415) 2445877
+7 (415) 2462816
+7 (909) 8322117
+7 (415) 2172757
+7 (415) 2452846
+7 (415) 2462637
+7 (415) 2462646
+7 (415) 2462681
+7 (415) 2462684
+7 (415) 2462695
+7 (415) 2462701
+7 (909) 8348230</f>
        <v>#NAME?</v>
      </c>
      <c r="F2926" s="5" t="s">
        <v>34131</v>
      </c>
      <c r="G2926" s="5" t="s">
        <v>34132</v>
      </c>
      <c r="H2926" s="26">
        <v>17.5</v>
      </c>
      <c r="I2926" s="5"/>
      <c r="J2926" s="5" t="s">
        <v>34133</v>
      </c>
      <c r="K2926" s="5" t="s">
        <v>355</v>
      </c>
      <c r="L2926" s="5" t="s">
        <v>34134</v>
      </c>
      <c r="M2926" s="27">
        <v>22808757</v>
      </c>
      <c r="N2926" s="5" t="s">
        <v>53899</v>
      </c>
      <c r="O2926" s="5" t="str">
        <v>8202010020</v>
      </c>
      <c r="P2926" s="27">
        <v>475000000</v>
      </c>
      <c r="Q2926" s="5" t="s">
        <v>53900</v>
      </c>
      <c r="R2926" s="5"/>
      <c r="S2926" s="5" t="s">
        <v>51145</v>
      </c>
      <c r="T2926" s="28">
        <v>1400376000</v>
      </c>
      <c r="U2926" s="28"/>
      <c r="V2926" s="28">
        <v>711236000</v>
      </c>
      <c r="W2926" s="28">
        <v>11179000</v>
      </c>
      <c r="X2926" s="28">
        <v>19061000</v>
      </c>
      <c r="Y2926" s="28">
        <v>3588639000</v>
      </c>
      <c r="Z2926" s="28">
        <v>1408341000</v>
      </c>
      <c r="AA2926" s="28">
        <v>100000000</v>
      </c>
      <c r="AB2926" s="28">
        <v>413628000</v>
      </c>
      <c r="AC2926" s="28">
        <v>1574787000</v>
      </c>
      <c r="AD2926" s="28">
        <v>1907091000</v>
      </c>
      <c r="AE2926" s="28">
        <v>4696367000</v>
      </c>
      <c r="AF2926" s="28">
        <v>15243000</v>
      </c>
      <c r="AG2926" s="11"/>
    </row>
    <row r="2927">
      <c r="A2927" s="7" t="s">
        <v>4609</v>
      </c>
      <c r="B2927" s="5" t="s">
        <v>12582</v>
      </c>
      <c r="C2927" s="5" t="s">
        <v>20407</v>
      </c>
      <c r="D2927" s="5" t="str">
        <v>366506257223</v>
      </c>
      <c r="E2927" s="0" t="e">
        <f>+7 (473) 2216421
+7 (473) 2216422
+7 (473) 2216423
+7 (473) 2216424
+7 (473) 2343850
+7 (473) 2462055
+7 (473) 2462686
+7 (473) 2462688
+7 (473) 2479107
+7 (473) 2479147
+7 (473) 2479504
+7 (473) 2479511
+7 (473) 2479520
+7 (473) 2479525
+7 (473) 2479531</f>
        <v>#NAME?</v>
      </c>
      <c r="F2927" s="5"/>
      <c r="G2927" s="5" t="s">
        <v>34135</v>
      </c>
      <c r="H2927" s="26">
        <v>28.5</v>
      </c>
      <c r="I2927" s="5" t="s">
        <v>34136</v>
      </c>
      <c r="J2927" s="5" t="s">
        <v>26799</v>
      </c>
      <c r="K2927" s="5" t="s">
        <v>344</v>
      </c>
      <c r="L2927" s="5" t="s">
        <v>34137</v>
      </c>
      <c r="M2927" s="27">
        <v>9549177</v>
      </c>
      <c r="N2927" s="5" t="s">
        <v>53901</v>
      </c>
      <c r="O2927" s="5" t="str">
        <v>3663019523</v>
      </c>
      <c r="P2927" s="27">
        <v>250000</v>
      </c>
      <c r="Q2927" s="5" t="s">
        <v>53902</v>
      </c>
      <c r="R2927" s="5"/>
      <c r="S2927" s="5" t="s">
        <v>53903</v>
      </c>
      <c r="T2927" s="28">
        <v>262152000</v>
      </c>
      <c r="U2927" s="28">
        <v>9935000</v>
      </c>
      <c r="V2927" s="28">
        <v>2312722000</v>
      </c>
      <c r="W2927" s="28"/>
      <c r="X2927" s="28">
        <v>241341000</v>
      </c>
      <c r="Y2927" s="28">
        <v>4971171000</v>
      </c>
      <c r="Z2927" s="28">
        <v>2901447000</v>
      </c>
      <c r="AA2927" s="28"/>
      <c r="AB2927" s="28"/>
      <c r="AC2927" s="28">
        <v>2067015000</v>
      </c>
      <c r="AD2927" s="28">
        <v>2901697000</v>
      </c>
      <c r="AE2927" s="28">
        <v>6548859000</v>
      </c>
      <c r="AF2927" s="28">
        <v>392506000</v>
      </c>
      <c r="AG2927" s="11"/>
    </row>
    <row r="2928">
      <c r="A2928" s="7" t="s">
        <v>4610</v>
      </c>
      <c r="B2928" s="5" t="s">
        <v>12583</v>
      </c>
      <c r="C2928" s="5" t="s">
        <v>20408</v>
      </c>
      <c r="D2928" s="5" t="str">
        <v>772730355395</v>
      </c>
      <c r="E2928" s="0" t="e">
        <f>+7 (391) 2906408
+7 (495) 2574147
+7 (495) 4956440
+7 (495) 5644003
+7 (495) 6440321
+7 (495) 6440332
+7 (495) 6660031
+7 (495) 9567937
+7 (920) 232057
+7 (963) 2847589
+7 (495) 6440032
+7 (495) 6444003
+7 (499) 6440031
+7 (945) 6440031</f>
        <v>#NAME?</v>
      </c>
      <c r="F2928" s="5" t="s">
        <v>34138</v>
      </c>
      <c r="G2928" s="5" t="s">
        <v>34139</v>
      </c>
      <c r="H2928" s="26">
        <v>16.5</v>
      </c>
      <c r="I2928" s="5" t="s">
        <v>34140</v>
      </c>
      <c r="J2928" s="5" t="s">
        <v>25429</v>
      </c>
      <c r="K2928" s="5" t="s">
        <v>344</v>
      </c>
      <c r="L2928" s="5" t="s">
        <v>34141</v>
      </c>
      <c r="M2928" s="27">
        <v>34699532</v>
      </c>
      <c r="N2928" s="5" t="s">
        <v>53904</v>
      </c>
      <c r="O2928" s="5" t="str">
        <v>7718599175</v>
      </c>
      <c r="P2928" s="27">
        <v>100000000</v>
      </c>
      <c r="Q2928" s="5" t="s">
        <v>53905</v>
      </c>
      <c r="R2928" s="5" t="s">
        <v>53906</v>
      </c>
      <c r="S2928" s="5" t="s">
        <v>53907</v>
      </c>
      <c r="T2928" s="28">
        <v>98391000</v>
      </c>
      <c r="U2928" s="28">
        <v>3860000</v>
      </c>
      <c r="V2928" s="28">
        <v>2682006000</v>
      </c>
      <c r="W2928" s="28"/>
      <c r="X2928" s="28">
        <v>8016000</v>
      </c>
      <c r="Y2928" s="28">
        <v>4027434000</v>
      </c>
      <c r="Z2928" s="28">
        <v>1019025000</v>
      </c>
      <c r="AA2928" s="28"/>
      <c r="AB2928" s="28">
        <v>1343324000</v>
      </c>
      <c r="AC2928" s="28">
        <v>2856198000</v>
      </c>
      <c r="AD2928" s="28">
        <v>1119025000</v>
      </c>
      <c r="AE2928" s="28">
        <v>5058035000</v>
      </c>
      <c r="AF2928" s="28">
        <v>158959000</v>
      </c>
      <c r="AG2928" s="11"/>
    </row>
    <row r="2929">
      <c r="A2929" s="7" t="s">
        <v>4611</v>
      </c>
      <c r="B2929" s="5" t="s">
        <v>12584</v>
      </c>
      <c r="C2929" s="5" t="s">
        <v>20409</v>
      </c>
      <c r="D2929" s="5"/>
      <c r="E2929" s="0" t="e">
        <f>+7 (424) 2440120
+7 (474) 2440120
+7 (484) 2440120
+7 (494) 2223546
+7 (494) 2225392
+7 (494) 2226832
+7 (494) 2318198
+7 (494) 2321266
+7 (494) 2324919
+7 (494) 2371401
+7 (494) 2371505
+7 (494) 2410120
+7 (494) 2414131
+7 (494) 2425355
+7 (494) 2373928</f>
        <v>#NAME?</v>
      </c>
      <c r="F2929" s="5" t="s">
        <v>34142</v>
      </c>
      <c r="G2929" s="5" t="s">
        <v>34143</v>
      </c>
      <c r="H2929" s="26">
        <v>18</v>
      </c>
      <c r="I2929" s="5" t="s">
        <v>34144</v>
      </c>
      <c r="J2929" s="5" t="s">
        <v>26623</v>
      </c>
      <c r="K2929" s="5" t="s">
        <v>355</v>
      </c>
      <c r="L2929" s="5"/>
      <c r="M2929" s="27">
        <v>536798242</v>
      </c>
      <c r="N2929" s="5" t="s">
        <v>53908</v>
      </c>
      <c r="O2929" s="5" t="str">
        <v>4401050567</v>
      </c>
      <c r="P2929" s="27">
        <v>40213274</v>
      </c>
      <c r="Q2929" s="5" t="s">
        <v>53909</v>
      </c>
      <c r="R2929" s="5"/>
      <c r="S2929" s="5" t="s">
        <v>49361</v>
      </c>
      <c r="T2929" s="28">
        <v>189443000</v>
      </c>
      <c r="U2929" s="28"/>
      <c r="V2929" s="28">
        <v>1549825000</v>
      </c>
      <c r="W2929" s="28"/>
      <c r="X2929" s="28">
        <v>259435000</v>
      </c>
      <c r="Y2929" s="28">
        <v>2030884000</v>
      </c>
      <c r="Z2929" s="28">
        <v>322333000</v>
      </c>
      <c r="AA2929" s="28"/>
      <c r="AB2929" s="28">
        <v>240650000</v>
      </c>
      <c r="AC2929" s="28">
        <v>1367657000</v>
      </c>
      <c r="AD2929" s="28">
        <v>657715000</v>
      </c>
      <c r="AE2929" s="28">
        <v>9729146000</v>
      </c>
      <c r="AF2929" s="28">
        <v>40283000</v>
      </c>
      <c r="AG2929" s="11"/>
    </row>
    <row r="2930">
      <c r="A2930" s="7" t="s">
        <v>4612</v>
      </c>
      <c r="B2930" s="5" t="s">
        <v>12585</v>
      </c>
      <c r="C2930" s="5" t="s">
        <v>20410</v>
      </c>
      <c r="D2930" s="5" t="str">
        <v>773464034104</v>
      </c>
      <c r="E2930" s="0" t="e">
        <f>+7 (495) 2324600
+7 (495) 9136799
+7 (495) 9758117</f>
        <v>#NAME?</v>
      </c>
      <c r="F2930" s="5"/>
      <c r="G2930" s="5" t="s">
        <v>34145</v>
      </c>
      <c r="H2930" s="26">
        <v>15.5</v>
      </c>
      <c r="I2930" s="5" t="s">
        <v>34146</v>
      </c>
      <c r="J2930" s="5" t="s">
        <v>25419</v>
      </c>
      <c r="K2930" s="5" t="s">
        <v>344</v>
      </c>
      <c r="L2930" s="5" t="s">
        <v>34147</v>
      </c>
      <c r="M2930" s="27"/>
      <c r="N2930" s="5"/>
      <c r="O2930" s="5" t="str">
        <v>7725614988</v>
      </c>
      <c r="P2930" s="27">
        <v>21660000</v>
      </c>
      <c r="Q2930" s="5" t="s">
        <v>49009</v>
      </c>
      <c r="R2930" s="5"/>
      <c r="S2930" s="5" t="s">
        <v>49010</v>
      </c>
      <c r="T2930" s="28">
        <v>63383000</v>
      </c>
      <c r="U2930" s="28"/>
      <c r="V2930" s="28">
        <v>1577752000</v>
      </c>
      <c r="W2930" s="28"/>
      <c r="X2930" s="28">
        <v>45466000</v>
      </c>
      <c r="Y2930" s="28">
        <v>2136952000</v>
      </c>
      <c r="Z2930" s="28">
        <v>1428094000</v>
      </c>
      <c r="AA2930" s="28"/>
      <c r="AB2930" s="28"/>
      <c r="AC2930" s="28">
        <v>278187000</v>
      </c>
      <c r="AD2930" s="28">
        <v>1820164000</v>
      </c>
      <c r="AE2930" s="28">
        <v>4282253000</v>
      </c>
      <c r="AF2930" s="28">
        <v>708386000</v>
      </c>
      <c r="AG2930" s="11"/>
    </row>
    <row r="2931">
      <c r="A2931" s="7" t="s">
        <v>4613</v>
      </c>
      <c r="B2931" s="5" t="s">
        <v>12586</v>
      </c>
      <c r="C2931" s="5" t="s">
        <v>20411</v>
      </c>
      <c r="D2931" s="5" t="str">
        <v>550300131289</v>
      </c>
      <c r="E2931" s="0" t="e">
        <f>+7 (495) 7300777
+7 (495) 2296803
+7 (495) 9898040
+7 (925) 8000343</f>
        <v>#NAME?</v>
      </c>
      <c r="F2931" s="5" t="s">
        <v>34148</v>
      </c>
      <c r="G2931" s="5" t="s">
        <v>34149</v>
      </c>
      <c r="H2931" s="26">
        <v>13</v>
      </c>
      <c r="I2931" s="5" t="s">
        <v>34150</v>
      </c>
      <c r="J2931" s="5" t="s">
        <v>25424</v>
      </c>
      <c r="K2931" s="5" t="s">
        <v>344</v>
      </c>
      <c r="L2931" s="5" t="s">
        <v>34151</v>
      </c>
      <c r="M2931" s="27">
        <v>2293011</v>
      </c>
      <c r="N2931" s="5" t="s">
        <v>53910</v>
      </c>
      <c r="O2931" s="5" t="str">
        <v>7720676268</v>
      </c>
      <c r="P2931" s="27">
        <v>100000000</v>
      </c>
      <c r="Q2931" s="5" t="s">
        <v>50809</v>
      </c>
      <c r="R2931" s="5"/>
      <c r="S2931" s="5" t="s">
        <v>53911</v>
      </c>
      <c r="T2931" s="28">
        <v>314267000</v>
      </c>
      <c r="U2931" s="28">
        <v>52507000</v>
      </c>
      <c r="V2931" s="28">
        <v>4075722000</v>
      </c>
      <c r="W2931" s="28"/>
      <c r="X2931" s="28">
        <v>49061000</v>
      </c>
      <c r="Y2931" s="28">
        <v>8610158000</v>
      </c>
      <c r="Z2931" s="28">
        <v>1964731000</v>
      </c>
      <c r="AA2931" s="28">
        <v>1634000000</v>
      </c>
      <c r="AB2931" s="28">
        <v>2558662000</v>
      </c>
      <c r="AC2931" s="28">
        <v>4532399000</v>
      </c>
      <c r="AD2931" s="28">
        <v>2064731000</v>
      </c>
      <c r="AE2931" s="28">
        <v>20519311000</v>
      </c>
      <c r="AF2931" s="28">
        <v>431316000</v>
      </c>
      <c r="AG2931" s="11"/>
    </row>
    <row r="2932">
      <c r="A2932" s="7" t="s">
        <v>4613</v>
      </c>
      <c r="B2932" s="5" t="s">
        <v>12587</v>
      </c>
      <c r="C2932" s="5" t="s">
        <v>20412</v>
      </c>
      <c r="D2932" s="5" t="str">
        <v>165909817777</v>
      </c>
      <c r="E2932" s="0" t="e">
        <f>+7 (495) 7300777</f>
        <v>#NAME?</v>
      </c>
      <c r="F2932" s="5" t="s">
        <v>34152</v>
      </c>
      <c r="G2932" s="5"/>
      <c r="H2932" s="26">
        <v>8</v>
      </c>
      <c r="I2932" s="5" t="s">
        <v>34153</v>
      </c>
      <c r="J2932" s="5" t="s">
        <v>31349</v>
      </c>
      <c r="K2932" s="5" t="s">
        <v>344</v>
      </c>
      <c r="L2932" s="5" t="s">
        <v>34154</v>
      </c>
      <c r="M2932" s="27">
        <v>3170656</v>
      </c>
      <c r="N2932" s="5"/>
      <c r="O2932" s="5" t="str">
        <v>5001102766</v>
      </c>
      <c r="P2932" s="27">
        <v>11111</v>
      </c>
      <c r="Q2932" s="5"/>
      <c r="R2932" s="5"/>
      <c r="S2932" s="5" t="s">
        <v>53913</v>
      </c>
      <c r="T2932" s="28">
        <v>3365769000</v>
      </c>
      <c r="U2932" s="28">
        <v>1800000</v>
      </c>
      <c r="V2932" s="28">
        <v>3128082000</v>
      </c>
      <c r="W2932" s="28"/>
      <c r="X2932" s="28">
        <v>305749000</v>
      </c>
      <c r="Y2932" s="28">
        <v>10685906000</v>
      </c>
      <c r="Z2932" s="28">
        <v>2032835000</v>
      </c>
      <c r="AA2932" s="28">
        <v>2458678000</v>
      </c>
      <c r="AB2932" s="28">
        <v>1754956000</v>
      </c>
      <c r="AC2932" s="28">
        <v>4308032000</v>
      </c>
      <c r="AD2932" s="28">
        <v>2035825000</v>
      </c>
      <c r="AE2932" s="28">
        <v>13263087000</v>
      </c>
      <c r="AF2932" s="28">
        <v>1183125000</v>
      </c>
      <c r="AG2932" s="11"/>
    </row>
    <row r="2933">
      <c r="A2933" s="7" t="s">
        <v>4614</v>
      </c>
      <c r="B2933" s="5" t="s">
        <v>12588</v>
      </c>
      <c r="C2933" s="5" t="s">
        <v>20413</v>
      </c>
      <c r="D2933" s="5" t="str">
        <v>771548320203</v>
      </c>
      <c r="E2933" s="0" t="e">
        <f>+7 (903) 6647734
+7 (495) 2584584
+7 (495) 6452159
+7 (495) 6518520</f>
        <v>#NAME?</v>
      </c>
      <c r="F2933" s="5" t="s">
        <v>34155</v>
      </c>
      <c r="G2933" s="5" t="s">
        <v>34156</v>
      </c>
      <c r="H2933" s="26">
        <v>5</v>
      </c>
      <c r="I2933" s="5" t="s">
        <v>34157</v>
      </c>
      <c r="J2933" s="5" t="s">
        <v>25312</v>
      </c>
      <c r="K2933" s="5" t="s">
        <v>344</v>
      </c>
      <c r="L2933" s="5" t="s">
        <v>34158</v>
      </c>
      <c r="M2933" s="27"/>
      <c r="N2933" s="5" t="s">
        <v>53914</v>
      </c>
      <c r="O2933" s="5" t="str">
        <v>7703444475</v>
      </c>
      <c r="P2933" s="27">
        <v>10000</v>
      </c>
      <c r="Q2933" s="5" t="s">
        <v>53915</v>
      </c>
      <c r="R2933" s="5"/>
      <c r="S2933" s="5" t="s">
        <v>49053</v>
      </c>
      <c r="T2933" s="28">
        <v>254317000</v>
      </c>
      <c r="U2933" s="28"/>
      <c r="V2933" s="28">
        <v>1498760000</v>
      </c>
      <c r="W2933" s="28">
        <v>600000000</v>
      </c>
      <c r="X2933" s="28">
        <v>544404000</v>
      </c>
      <c r="Y2933" s="28">
        <v>3142891000</v>
      </c>
      <c r="Z2933" s="28">
        <v>559795000</v>
      </c>
      <c r="AA2933" s="28"/>
      <c r="AB2933" s="28"/>
      <c r="AC2933" s="28">
        <v>2427779000</v>
      </c>
      <c r="AD2933" s="28">
        <v>559805000</v>
      </c>
      <c r="AE2933" s="28">
        <v>5220919000</v>
      </c>
      <c r="AF2933" s="28">
        <v>253385000</v>
      </c>
      <c r="AG2933" s="11"/>
    </row>
    <row r="2934">
      <c r="A2934" s="7" t="s">
        <v>4615</v>
      </c>
      <c r="B2934" s="5" t="s">
        <v>12589</v>
      </c>
      <c r="C2934" s="5" t="s">
        <v>20414</v>
      </c>
      <c r="D2934" s="5" t="str">
        <v>773126494614</v>
      </c>
      <c r="E2934" s="0" t="e">
        <f>+7 (495) 7482605
+7 (495) 7482672
+7 (495) 7716281
+7 (495) 7716282
+7 (985) 2107583
+7 (495) 5257766
+7 (495) 5257767
+7 (495) 7482671</f>
        <v>#NAME?</v>
      </c>
      <c r="F2934" s="5" t="s">
        <v>34159</v>
      </c>
      <c r="G2934" s="5" t="s">
        <v>34160</v>
      </c>
      <c r="H2934" s="26">
        <v>22.5</v>
      </c>
      <c r="I2934" s="5" t="s">
        <v>34161</v>
      </c>
      <c r="J2934" s="5" t="s">
        <v>27194</v>
      </c>
      <c r="K2934" s="5" t="s">
        <v>344</v>
      </c>
      <c r="L2934" s="5" t="s">
        <v>34162</v>
      </c>
      <c r="M2934" s="27"/>
      <c r="N2934" s="5"/>
      <c r="O2934" s="5" t="str">
        <v>5012019936</v>
      </c>
      <c r="P2934" s="27">
        <v>261122000</v>
      </c>
      <c r="Q2934" s="5" t="s">
        <v>49009</v>
      </c>
      <c r="R2934" s="5"/>
      <c r="S2934" s="5" t="s">
        <v>49066</v>
      </c>
      <c r="T2934" s="28">
        <v>1152854000</v>
      </c>
      <c r="U2934" s="28"/>
      <c r="V2934" s="28">
        <v>2395934000</v>
      </c>
      <c r="W2934" s="28"/>
      <c r="X2934" s="28">
        <v>1460469000</v>
      </c>
      <c r="Y2934" s="28">
        <v>6339832000</v>
      </c>
      <c r="Z2934" s="28">
        <v>1605236000</v>
      </c>
      <c r="AA2934" s="28"/>
      <c r="AB2934" s="28"/>
      <c r="AC2934" s="28">
        <v>4357404000</v>
      </c>
      <c r="AD2934" s="28">
        <v>1871322000</v>
      </c>
      <c r="AE2934" s="28">
        <v>6893793000</v>
      </c>
      <c r="AF2934" s="28">
        <v>1061127000</v>
      </c>
      <c r="AG2934" s="11"/>
    </row>
    <row r="2935">
      <c r="A2935" s="7" t="s">
        <v>4616</v>
      </c>
      <c r="B2935" s="5" t="s">
        <v>12590</v>
      </c>
      <c r="C2935" s="5" t="s">
        <v>20415</v>
      </c>
      <c r="D2935" s="5" t="str">
        <v>772913175047</v>
      </c>
      <c r="E2935" s="0" t="e">
        <f>+7 (985) 9990961
+7 (48536) 90950
+7 (495) 6399112
+7 (495) 6399113
+7 (495) 6399117
+7 (495) 6399462
+7 (495) 9990961
+7 (916) 7005657</f>
        <v>#NAME?</v>
      </c>
      <c r="F2935" s="5" t="s">
        <v>34163</v>
      </c>
      <c r="G2935" s="5" t="s">
        <v>34164</v>
      </c>
      <c r="H2935" s="26">
        <v>23</v>
      </c>
      <c r="I2935" s="5" t="s">
        <v>34165</v>
      </c>
      <c r="J2935" s="5" t="s">
        <v>33293</v>
      </c>
      <c r="K2935" s="5" t="s">
        <v>344</v>
      </c>
      <c r="L2935" s="5"/>
      <c r="M2935" s="27"/>
      <c r="N2935" s="5" t="s">
        <v>53916</v>
      </c>
      <c r="O2935" s="5" t="str">
        <v>7710334402</v>
      </c>
      <c r="P2935" s="27">
        <v>1000000</v>
      </c>
      <c r="Q2935" s="5" t="s">
        <v>49021</v>
      </c>
      <c r="R2935" s="5"/>
      <c r="S2935" s="5" t="s">
        <v>53917</v>
      </c>
      <c r="T2935" s="28">
        <v>416229000</v>
      </c>
      <c r="U2935" s="28">
        <v>346976000</v>
      </c>
      <c r="V2935" s="28">
        <v>863777000</v>
      </c>
      <c r="W2935" s="28">
        <v>47837000</v>
      </c>
      <c r="X2935" s="28">
        <v>525000</v>
      </c>
      <c r="Y2935" s="28">
        <v>2596705000</v>
      </c>
      <c r="Z2935" s="28">
        <v>493201000</v>
      </c>
      <c r="AA2935" s="28">
        <v>249381000</v>
      </c>
      <c r="AB2935" s="28">
        <v>82218000</v>
      </c>
      <c r="AC2935" s="28">
        <v>1480029000</v>
      </c>
      <c r="AD2935" s="28">
        <v>494201000</v>
      </c>
      <c r="AE2935" s="28">
        <v>4111504000</v>
      </c>
      <c r="AF2935" s="28">
        <v>157737000</v>
      </c>
      <c r="AG2935" s="11"/>
    </row>
    <row r="2936">
      <c r="A2936" s="7" t="s">
        <v>4617</v>
      </c>
      <c r="B2936" s="5" t="s">
        <v>12591</v>
      </c>
      <c r="C2936" s="5" t="s">
        <v>20416</v>
      </c>
      <c r="D2936" s="5" t="str">
        <v>772329900348</v>
      </c>
      <c r="E2936" s="0" t="e">
        <f>+7 (495) 6458228
+7 (965) 4443344</f>
        <v>#NAME?</v>
      </c>
      <c r="F2936" s="5" t="s">
        <v>34166</v>
      </c>
      <c r="G2936" s="5" t="s">
        <v>34167</v>
      </c>
      <c r="H2936" s="26">
        <v>22</v>
      </c>
      <c r="I2936" s="5" t="s">
        <v>34168</v>
      </c>
      <c r="J2936" s="5" t="s">
        <v>25419</v>
      </c>
      <c r="K2936" s="5" t="s">
        <v>344</v>
      </c>
      <c r="L2936" s="5" t="s">
        <v>34169</v>
      </c>
      <c r="M2936" s="27"/>
      <c r="N2936" s="5"/>
      <c r="O2936" s="5" t="str">
        <v>7702319464</v>
      </c>
      <c r="P2936" s="27">
        <v>200000</v>
      </c>
      <c r="Q2936" s="5" t="s">
        <v>49535</v>
      </c>
      <c r="R2936" s="5"/>
      <c r="S2936" s="5" t="s">
        <v>52176</v>
      </c>
      <c r="T2936" s="28">
        <v>130344000</v>
      </c>
      <c r="U2936" s="28"/>
      <c r="V2936" s="28">
        <v>1272666000</v>
      </c>
      <c r="W2936" s="28">
        <v>187910000</v>
      </c>
      <c r="X2936" s="28">
        <v>107999000</v>
      </c>
      <c r="Y2936" s="28">
        <v>3741911000</v>
      </c>
      <c r="Z2936" s="28">
        <v>777897000</v>
      </c>
      <c r="AA2936" s="28"/>
      <c r="AB2936" s="28"/>
      <c r="AC2936" s="28">
        <v>2803706000</v>
      </c>
      <c r="AD2936" s="28">
        <v>778097000</v>
      </c>
      <c r="AE2936" s="28">
        <v>8983476000</v>
      </c>
      <c r="AF2936" s="28">
        <v>862068000</v>
      </c>
      <c r="AG2936" s="11"/>
    </row>
    <row r="2937">
      <c r="A2937" s="7" t="s">
        <v>4618</v>
      </c>
      <c r="B2937" s="5" t="s">
        <v>12592</v>
      </c>
      <c r="C2937" s="5" t="s">
        <v>20417</v>
      </c>
      <c r="D2937" s="5" t="str">
        <v>614702208306</v>
      </c>
      <c r="E2937" s="0" t="e">
        <f>+7 (473) 2697418
+7 (473) 2697419
+7 (851) 2522768
+7 (861) 2195737
+7 (861) 2195738</f>
        <v>#NAME?</v>
      </c>
      <c r="F2937" s="5" t="s">
        <v>34170</v>
      </c>
      <c r="G2937" s="5" t="s">
        <v>34171</v>
      </c>
      <c r="H2937" s="26">
        <v>13</v>
      </c>
      <c r="I2937" s="5" t="s">
        <v>34172</v>
      </c>
      <c r="J2937" s="5" t="s">
        <v>25837</v>
      </c>
      <c r="K2937" s="5" t="s">
        <v>344</v>
      </c>
      <c r="L2937" s="5"/>
      <c r="M2937" s="27">
        <v>54612</v>
      </c>
      <c r="N2937" s="5"/>
      <c r="O2937" s="5" t="str">
        <v>3666161905</v>
      </c>
      <c r="P2937" s="27">
        <v>1930072000</v>
      </c>
      <c r="Q2937" s="5" t="s">
        <v>49009</v>
      </c>
      <c r="R2937" s="5"/>
      <c r="S2937" s="5" t="s">
        <v>49028</v>
      </c>
      <c r="T2937" s="28">
        <v>167481000</v>
      </c>
      <c r="U2937" s="28"/>
      <c r="V2937" s="28">
        <v>96907000</v>
      </c>
      <c r="W2937" s="28"/>
      <c r="X2937" s="28">
        <v>122626000</v>
      </c>
      <c r="Y2937" s="28">
        <v>843784000</v>
      </c>
      <c r="Z2937" s="28">
        <v>-1614301000</v>
      </c>
      <c r="AA2937" s="28">
        <v>484203000</v>
      </c>
      <c r="AB2937" s="28">
        <v>16350000</v>
      </c>
      <c r="AC2937" s="28">
        <v>30325000</v>
      </c>
      <c r="AD2937" s="28">
        <v>315771000</v>
      </c>
      <c r="AE2937" s="28">
        <v>3979986000</v>
      </c>
      <c r="AF2937" s="28">
        <v>-77614000</v>
      </c>
      <c r="AG2937" s="11"/>
    </row>
    <row r="2938">
      <c r="A2938" s="7" t="s">
        <v>4619</v>
      </c>
      <c r="B2938" s="5" t="s">
        <v>12593</v>
      </c>
      <c r="C2938" s="5" t="s">
        <v>20418</v>
      </c>
      <c r="D2938" s="5" t="str">
        <v>342512868020</v>
      </c>
      <c r="E2938" s="0" t="e">
        <f>+7 (4912) 241269
+7 (4912) 312626
+7 (910) 6115647
+7 (910) 6427670
+7 (915) 5920832</f>
        <v>#NAME?</v>
      </c>
      <c r="F2938" s="5" t="s">
        <v>34173</v>
      </c>
      <c r="G2938" s="5"/>
      <c r="H2938" s="26">
        <v>24.5</v>
      </c>
      <c r="I2938" s="5"/>
      <c r="J2938" s="5" t="s">
        <v>25946</v>
      </c>
      <c r="K2938" s="5" t="s">
        <v>380</v>
      </c>
      <c r="L2938" s="5" t="s">
        <v>34174</v>
      </c>
      <c r="M2938" s="27">
        <v>3248856</v>
      </c>
      <c r="N2938" s="5"/>
      <c r="O2938" s="5" t="str">
        <v>6230030113</v>
      </c>
      <c r="P2938" s="27">
        <v>5000000</v>
      </c>
      <c r="Q2938" s="5" t="s">
        <v>49009</v>
      </c>
      <c r="R2938" s="5" t="s">
        <v>53918</v>
      </c>
      <c r="S2938" s="5" t="s">
        <v>49010</v>
      </c>
      <c r="T2938" s="28">
        <v>84428000</v>
      </c>
      <c r="U2938" s="28"/>
      <c r="V2938" s="28">
        <v>2277083000</v>
      </c>
      <c r="W2938" s="28"/>
      <c r="X2938" s="28">
        <v>46411000</v>
      </c>
      <c r="Y2938" s="28">
        <v>3391762000</v>
      </c>
      <c r="Z2938" s="28">
        <v>-110926000</v>
      </c>
      <c r="AA2938" s="28">
        <v>125087000</v>
      </c>
      <c r="AB2938" s="28">
        <v>229550000</v>
      </c>
      <c r="AC2938" s="28">
        <v>3269352000</v>
      </c>
      <c r="AD2938" s="28">
        <v>-38785000</v>
      </c>
      <c r="AE2938" s="28">
        <v>5266469000</v>
      </c>
      <c r="AF2938" s="28">
        <v>-13368000</v>
      </c>
      <c r="AG2938" s="11"/>
    </row>
    <row r="2939">
      <c r="A2939" s="7" t="s">
        <v>4620</v>
      </c>
      <c r="B2939" s="5" t="s">
        <v>12594</v>
      </c>
      <c r="C2939" s="5" t="s">
        <v>20419</v>
      </c>
      <c r="D2939" s="5" t="str">
        <v>290220179451</v>
      </c>
      <c r="E2939" s="0" t="e">
        <f>+7 (499) 3993951
+7 (861) 2040040</f>
        <v>#NAME?</v>
      </c>
      <c r="F2939" s="5" t="s">
        <v>34175</v>
      </c>
      <c r="G2939" s="5"/>
      <c r="H2939" s="26">
        <v>5</v>
      </c>
      <c r="I2939" s="5" t="s">
        <v>34176</v>
      </c>
      <c r="J2939" s="5" t="s">
        <v>25800</v>
      </c>
      <c r="K2939" s="5" t="s">
        <v>344</v>
      </c>
      <c r="L2939" s="5" t="s">
        <v>26628</v>
      </c>
      <c r="M2939" s="27"/>
      <c r="N2939" s="5"/>
      <c r="O2939" s="5" t="str">
        <v>6949110488</v>
      </c>
      <c r="P2939" s="27">
        <v>100000</v>
      </c>
      <c r="Q2939" s="5"/>
      <c r="R2939" s="5"/>
      <c r="S2939" s="5" t="s">
        <v>49029</v>
      </c>
      <c r="T2939" s="28">
        <v>169081000</v>
      </c>
      <c r="U2939" s="28"/>
      <c r="V2939" s="28">
        <v>251338000</v>
      </c>
      <c r="W2939" s="28">
        <v>170000000</v>
      </c>
      <c r="X2939" s="28">
        <v>86654000</v>
      </c>
      <c r="Y2939" s="28">
        <v>945058000</v>
      </c>
      <c r="Z2939" s="28">
        <v>392529000</v>
      </c>
      <c r="AA2939" s="28">
        <v>8489000</v>
      </c>
      <c r="AB2939" s="28">
        <v>1181000</v>
      </c>
      <c r="AC2939" s="28">
        <v>386571000</v>
      </c>
      <c r="AD2939" s="28">
        <v>548156000</v>
      </c>
      <c r="AE2939" s="28">
        <v>4994432000</v>
      </c>
      <c r="AF2939" s="28">
        <v>281767000</v>
      </c>
      <c r="AG2939" s="11"/>
    </row>
    <row r="2940">
      <c r="A2940" s="7" t="s">
        <v>4621</v>
      </c>
      <c r="B2940" s="5" t="s">
        <v>12595</v>
      </c>
      <c r="C2940" s="5" t="s">
        <v>20420</v>
      </c>
      <c r="D2940" s="5"/>
      <c r="E2940" s="0" t="e">
        <f>+7 (926) 3539394
+7 (495) 2253135</f>
        <v>#NAME?</v>
      </c>
      <c r="F2940" s="5" t="s">
        <v>34177</v>
      </c>
      <c r="G2940" s="5"/>
      <c r="H2940" s="26">
        <v>4.5</v>
      </c>
      <c r="I2940" s="5" t="s">
        <v>34178</v>
      </c>
      <c r="J2940" s="5" t="s">
        <v>33220</v>
      </c>
      <c r="K2940" s="5" t="s">
        <v>344</v>
      </c>
      <c r="L2940" s="5" t="s">
        <v>34179</v>
      </c>
      <c r="M2940" s="27"/>
      <c r="N2940" s="5" t="s">
        <v>53919</v>
      </c>
      <c r="O2940" s="5" t="str">
        <v>5011037650</v>
      </c>
      <c r="P2940" s="27">
        <v>10000</v>
      </c>
      <c r="Q2940" s="5" t="s">
        <v>53920</v>
      </c>
      <c r="R2940" s="5"/>
      <c r="S2940" s="5" t="s">
        <v>53921</v>
      </c>
      <c r="T2940" s="28">
        <v>5690257000</v>
      </c>
      <c r="U2940" s="28"/>
      <c r="V2940" s="28">
        <v>901741000</v>
      </c>
      <c r="W2940" s="28">
        <v>1558315000</v>
      </c>
      <c r="X2940" s="28">
        <v>735000</v>
      </c>
      <c r="Y2940" s="28">
        <v>8634489000</v>
      </c>
      <c r="Z2940" s="28">
        <v>355364000</v>
      </c>
      <c r="AA2940" s="28">
        <v>5505412000</v>
      </c>
      <c r="AB2940" s="28">
        <v>1131270000</v>
      </c>
      <c r="AC2940" s="28">
        <v>2667322000</v>
      </c>
      <c r="AD2940" s="28">
        <v>1108399000</v>
      </c>
      <c r="AE2940" s="28">
        <v>3191209000</v>
      </c>
      <c r="AF2940" s="28">
        <v>66164000</v>
      </c>
      <c r="AG2940" s="11"/>
    </row>
    <row r="2941">
      <c r="A2941" s="7" t="s">
        <v>4622</v>
      </c>
      <c r="B2941" s="5" t="s">
        <v>12596</v>
      </c>
      <c r="C2941" s="5" t="s">
        <v>20421</v>
      </c>
      <c r="D2941" s="5" t="str">
        <v>743301465070</v>
      </c>
      <c r="E2941" s="0" t="e">
        <f>+7 (919) 3368300
+7 (351) 7752866
+7 (3512) 695332
+7 (3513) 626460
+7 (3513) 626500</f>
        <v>#NAME?</v>
      </c>
      <c r="F2941" s="5" t="s">
        <v>34180</v>
      </c>
      <c r="G2941" s="5"/>
      <c r="H2941" s="26">
        <v>20</v>
      </c>
      <c r="I2941" s="5" t="s">
        <v>34181</v>
      </c>
      <c r="J2941" s="5" t="s">
        <v>25759</v>
      </c>
      <c r="K2941" s="5" t="s">
        <v>344</v>
      </c>
      <c r="L2941" s="5" t="s">
        <v>26163</v>
      </c>
      <c r="M2941" s="27"/>
      <c r="N2941" s="5" t="s">
        <v>53922</v>
      </c>
      <c r="O2941" s="5" t="str">
        <v>7453097610</v>
      </c>
      <c r="P2941" s="27">
        <v>1000000</v>
      </c>
      <c r="Q2941" s="5" t="s">
        <v>49009</v>
      </c>
      <c r="R2941" s="5"/>
      <c r="S2941" s="5" t="s">
        <v>49120</v>
      </c>
      <c r="T2941" s="28">
        <v>15371000</v>
      </c>
      <c r="U2941" s="28"/>
      <c r="V2941" s="28">
        <v>212445000</v>
      </c>
      <c r="W2941" s="28"/>
      <c r="X2941" s="28">
        <v>12767000</v>
      </c>
      <c r="Y2941" s="28">
        <v>885159000</v>
      </c>
      <c r="Z2941" s="28">
        <v>197655000</v>
      </c>
      <c r="AA2941" s="28">
        <v>138350000</v>
      </c>
      <c r="AB2941" s="28">
        <v>413313000</v>
      </c>
      <c r="AC2941" s="28">
        <v>548154000</v>
      </c>
      <c r="AD2941" s="28">
        <v>198655000</v>
      </c>
      <c r="AE2941" s="28">
        <v>3364393000</v>
      </c>
      <c r="AF2941" s="28">
        <v>21789000</v>
      </c>
      <c r="AG2941" s="11"/>
    </row>
    <row r="2942">
      <c r="A2942" s="7" t="s">
        <v>4623</v>
      </c>
      <c r="B2942" s="5" t="s">
        <v>12597</v>
      </c>
      <c r="C2942" s="5" t="s">
        <v>20422</v>
      </c>
      <c r="D2942" s="5" t="str">
        <v>771705435623</v>
      </c>
      <c r="E2942" s="0" t="e">
        <f>+7 (495) 6166677
+7 (495) 6166679
+7 (495) 6167587
+7 (495) 7751309
+7 (495) 9569801</f>
        <v>#NAME?</v>
      </c>
      <c r="F2942" s="5" t="s">
        <v>34182</v>
      </c>
      <c r="G2942" s="5" t="s">
        <v>34183</v>
      </c>
      <c r="H2942" s="26">
        <v>31</v>
      </c>
      <c r="I2942" s="5" t="s">
        <v>34184</v>
      </c>
      <c r="J2942" s="5" t="s">
        <v>26846</v>
      </c>
      <c r="K2942" s="5" t="s">
        <v>344</v>
      </c>
      <c r="L2942" s="5" t="s">
        <v>34185</v>
      </c>
      <c r="M2942" s="27"/>
      <c r="N2942" s="5"/>
      <c r="O2942" s="5" t="str">
        <v>7715021474</v>
      </c>
      <c r="P2942" s="27">
        <v>10000</v>
      </c>
      <c r="Q2942" s="5" t="s">
        <v>49535</v>
      </c>
      <c r="R2942" s="5"/>
      <c r="S2942" s="5" t="s">
        <v>52176</v>
      </c>
      <c r="T2942" s="28">
        <v>18991000</v>
      </c>
      <c r="U2942" s="28">
        <v>1020000</v>
      </c>
      <c r="V2942" s="28">
        <v>1628811000</v>
      </c>
      <c r="W2942" s="28"/>
      <c r="X2942" s="28">
        <v>23981000</v>
      </c>
      <c r="Y2942" s="28">
        <v>2829991000</v>
      </c>
      <c r="Z2942" s="28">
        <v>1145607000</v>
      </c>
      <c r="AA2942" s="28">
        <v>229749000</v>
      </c>
      <c r="AB2942" s="28"/>
      <c r="AC2942" s="28">
        <v>1423862000</v>
      </c>
      <c r="AD2942" s="28">
        <v>1145777000</v>
      </c>
      <c r="AE2942" s="28">
        <v>8007431000</v>
      </c>
      <c r="AF2942" s="28">
        <v>35669000</v>
      </c>
      <c r="AG2942" s="11"/>
    </row>
    <row r="2943">
      <c r="A2943" s="7" t="s">
        <v>4624</v>
      </c>
      <c r="B2943" s="5" t="s">
        <v>12598</v>
      </c>
      <c r="C2943" s="5" t="s">
        <v>20423</v>
      </c>
      <c r="D2943" s="5" t="str">
        <v>245400090305</v>
      </c>
      <c r="E2943" s="0" t="e">
        <f>+7 (391) 2192504
+7 (391) 2788880
+7 (391) 2802882
+7 (39143) 75482
+7 (391) 2118545
+7 (391) 2190413
+7 (391) 2190422
+7 (391) 2213011
+7 (391) 2231547
+7 (391) 2911661
+7 (39149) 21634
+7 (39163) 22561
+7 (39164) 21015
+7 (39167) 90165</f>
        <v>#NAME?</v>
      </c>
      <c r="F2943" s="5" t="s">
        <v>34186</v>
      </c>
      <c r="G2943" s="5" t="s">
        <v>34187</v>
      </c>
      <c r="H2943" s="26">
        <v>22.5</v>
      </c>
      <c r="I2943" s="5" t="s">
        <v>34188</v>
      </c>
      <c r="J2943" s="5" t="s">
        <v>25603</v>
      </c>
      <c r="K2943" s="5" t="s">
        <v>344</v>
      </c>
      <c r="L2943" s="5"/>
      <c r="M2943" s="27">
        <v>8252840</v>
      </c>
      <c r="N2943" s="5" t="s">
        <v>53923</v>
      </c>
      <c r="O2943" s="5" t="str">
        <v>2460113649</v>
      </c>
      <c r="P2943" s="27">
        <v>1096358000</v>
      </c>
      <c r="Q2943" s="5" t="s">
        <v>53924</v>
      </c>
      <c r="R2943" s="5"/>
      <c r="S2943" s="5" t="s">
        <v>53925</v>
      </c>
      <c r="T2943" s="28">
        <v>2295640000</v>
      </c>
      <c r="U2943" s="28">
        <v>14275000</v>
      </c>
      <c r="V2943" s="28">
        <v>587491000</v>
      </c>
      <c r="W2943" s="28"/>
      <c r="X2943" s="28">
        <v>82397000</v>
      </c>
      <c r="Y2943" s="28">
        <v>4095045000</v>
      </c>
      <c r="Z2943" s="28">
        <v>399000000</v>
      </c>
      <c r="AA2943" s="28">
        <v>215925000</v>
      </c>
      <c r="AB2943" s="28">
        <v>1053207000</v>
      </c>
      <c r="AC2943" s="28">
        <v>2049577000</v>
      </c>
      <c r="AD2943" s="28">
        <v>1502803000</v>
      </c>
      <c r="AE2943" s="28">
        <v>5471464000</v>
      </c>
      <c r="AF2943" s="28">
        <v>28293000</v>
      </c>
      <c r="AG2943" s="11"/>
    </row>
    <row r="2944">
      <c r="A2944" s="7" t="s">
        <v>4625</v>
      </c>
      <c r="B2944" s="5" t="s">
        <v>12599</v>
      </c>
      <c r="C2944" s="5" t="s">
        <v>20424</v>
      </c>
      <c r="D2944" s="5" t="str">
        <v>230808191505</v>
      </c>
      <c r="E2944" s="0" t="e">
        <f>+7 (800) 2000700
+7 (800) 4002735
+7 (800) 4442435
+7 (800) 4442735
+7 (800) 4444273
+7 (800) 4444473
+7 (800) 4447235
+7 (800) 4447273
+7 (800) 4448735
+7 (8632) 194765
+7 (877) 2570678
+7 (915) 82665</f>
        <v>#NAME?</v>
      </c>
      <c r="F2944" s="5" t="s">
        <v>34189</v>
      </c>
      <c r="G2944" s="5" t="s">
        <v>34190</v>
      </c>
      <c r="H2944" s="26">
        <v>21.5</v>
      </c>
      <c r="I2944" s="5"/>
      <c r="J2944" s="5" t="s">
        <v>930</v>
      </c>
      <c r="K2944" s="5" t="s">
        <v>380</v>
      </c>
      <c r="L2944" s="5" t="s">
        <v>34191</v>
      </c>
      <c r="M2944" s="27">
        <v>1189015161</v>
      </c>
      <c r="N2944" s="5" t="s">
        <v>53926</v>
      </c>
      <c r="O2944" s="5" t="str">
        <v>2308124997</v>
      </c>
      <c r="P2944" s="27">
        <v>571229000</v>
      </c>
      <c r="Q2944" s="5" t="s">
        <v>1685</v>
      </c>
      <c r="R2944" s="5" t="s">
        <v>53927</v>
      </c>
      <c r="S2944" s="5" t="s">
        <v>53928</v>
      </c>
      <c r="T2944" s="28">
        <v>865632000</v>
      </c>
      <c r="U2944" s="28"/>
      <c r="V2944" s="28">
        <v>905172000</v>
      </c>
      <c r="W2944" s="28">
        <v>20000000</v>
      </c>
      <c r="X2944" s="28">
        <v>17946000</v>
      </c>
      <c r="Y2944" s="28">
        <v>2173505000</v>
      </c>
      <c r="Z2944" s="28">
        <v>-1178054000</v>
      </c>
      <c r="AA2944" s="28"/>
      <c r="AB2944" s="28"/>
      <c r="AC2944" s="28">
        <v>1345237000</v>
      </c>
      <c r="AD2944" s="28">
        <v>800054000</v>
      </c>
      <c r="AE2944" s="28">
        <v>3594300000</v>
      </c>
      <c r="AF2944" s="28">
        <v>-575926000</v>
      </c>
      <c r="AG2944" s="11"/>
    </row>
    <row r="2945">
      <c r="A2945" s="7" t="s">
        <v>4626</v>
      </c>
      <c r="B2945" s="5" t="s">
        <v>12600</v>
      </c>
      <c r="C2945" s="5" t="s">
        <v>20425</v>
      </c>
      <c r="D2945" s="5" t="str">
        <v>263507420273</v>
      </c>
      <c r="E2945" s="0" t="e">
        <f>+7 (8352) 747400
+7 (84656) 23555
+7 (8652) 220120
+7 (8652) 222633
+7 (8652) 238216
+7 (8652) 254254
+7 (8652) 261153
+7 (8652) 266897
+7 (8652) 422522
+7 (8652) 452222
+7 (8652) 452855
+7 (8652) 455525
+7 (8652) 521555
+7 (8652) 304258
+7 (8652) 435800</f>
        <v>#NAME?</v>
      </c>
      <c r="F2945" s="5" t="s">
        <v>34192</v>
      </c>
      <c r="G2945" s="5" t="s">
        <v>34193</v>
      </c>
      <c r="H2945" s="26">
        <v>21</v>
      </c>
      <c r="I2945" s="5" t="s">
        <v>34194</v>
      </c>
      <c r="J2945" s="5" t="s">
        <v>28968</v>
      </c>
      <c r="K2945" s="5" t="s">
        <v>355</v>
      </c>
      <c r="L2945" s="5"/>
      <c r="M2945" s="27">
        <v>841177839</v>
      </c>
      <c r="N2945" s="5" t="s">
        <v>53929</v>
      </c>
      <c r="O2945" s="5" t="str">
        <v>2635060510</v>
      </c>
      <c r="P2945" s="27">
        <v>396566563</v>
      </c>
      <c r="Q2945" s="5" t="s">
        <v>53930</v>
      </c>
      <c r="R2945" s="5" t="s">
        <v>53931</v>
      </c>
      <c r="S2945" s="5" t="s">
        <v>51199</v>
      </c>
      <c r="T2945" s="28">
        <v>920778000</v>
      </c>
      <c r="U2945" s="28"/>
      <c r="V2945" s="28">
        <v>1381102000</v>
      </c>
      <c r="W2945" s="28">
        <v>1200000</v>
      </c>
      <c r="X2945" s="28">
        <v>223243000</v>
      </c>
      <c r="Y2945" s="28">
        <v>2834162000</v>
      </c>
      <c r="Z2945" s="28">
        <v>-1083839000</v>
      </c>
      <c r="AA2945" s="28">
        <v>865452000</v>
      </c>
      <c r="AB2945" s="28">
        <v>899000</v>
      </c>
      <c r="AC2945" s="28">
        <v>1416715000</v>
      </c>
      <c r="AD2945" s="28">
        <v>473078000</v>
      </c>
      <c r="AE2945" s="28">
        <v>3557870000</v>
      </c>
      <c r="AF2945" s="28">
        <v>-326379000</v>
      </c>
      <c r="AG2945" s="11"/>
    </row>
    <row r="2946">
      <c r="A2946" s="7" t="s">
        <v>4627</v>
      </c>
      <c r="B2946" s="5" t="s">
        <v>12601</v>
      </c>
      <c r="C2946" s="5" t="s">
        <v>20426</v>
      </c>
      <c r="D2946" s="5" t="str">
        <v>246200124936</v>
      </c>
      <c r="E2946" s="0" t="e">
        <f>+7 (391) 2319753
+7 (391) 2546824
+7 (391) 2639657
+7 (391) 2639661
+7 (950) 4000292</f>
        <v>#NAME?</v>
      </c>
      <c r="F2946" s="5"/>
      <c r="G2946" s="5"/>
      <c r="H2946" s="26">
        <v>12</v>
      </c>
      <c r="I2946" s="5" t="s">
        <v>34195</v>
      </c>
      <c r="J2946" s="5" t="s">
        <v>678</v>
      </c>
      <c r="K2946" s="5" t="s">
        <v>344</v>
      </c>
      <c r="L2946" s="5" t="s">
        <v>34196</v>
      </c>
      <c r="M2946" s="27"/>
      <c r="N2946" s="5"/>
      <c r="O2946" s="5" t="str">
        <v>2463226175</v>
      </c>
      <c r="P2946" s="27">
        <v>10000</v>
      </c>
      <c r="Q2946" s="5" t="s">
        <v>49021</v>
      </c>
      <c r="R2946" s="5"/>
      <c r="S2946" s="5" t="s">
        <v>53932</v>
      </c>
      <c r="T2946" s="28">
        <v>4276000</v>
      </c>
      <c r="U2946" s="28"/>
      <c r="V2946" s="28">
        <v>1262715000</v>
      </c>
      <c r="W2946" s="28"/>
      <c r="X2946" s="28">
        <v>812371000</v>
      </c>
      <c r="Y2946" s="28">
        <v>3389847000</v>
      </c>
      <c r="Z2946" s="28">
        <v>590034000</v>
      </c>
      <c r="AA2946" s="28">
        <v>1102600000</v>
      </c>
      <c r="AB2946" s="28">
        <v>1495350000</v>
      </c>
      <c r="AC2946" s="28">
        <v>1696944000</v>
      </c>
      <c r="AD2946" s="28">
        <v>590044000</v>
      </c>
      <c r="AE2946" s="28">
        <v>8039333000</v>
      </c>
      <c r="AF2946" s="28">
        <v>18403000</v>
      </c>
      <c r="AG2946" s="11"/>
    </row>
    <row r="2947">
      <c r="A2947" s="7" t="s">
        <v>4628</v>
      </c>
      <c r="B2947" s="5" t="s">
        <v>12602</v>
      </c>
      <c r="C2947" s="5" t="s">
        <v>18793</v>
      </c>
      <c r="D2947" s="5" t="str">
        <v>246405723271</v>
      </c>
      <c r="E2947" s="0" t="e">
        <f>+7 (391) 2918412
+7 (391) 2918698
+7 (391) 2918798
+7 (391) 2008417
+7 (391) 2008433
+7 (391) 2918180
+7 (391) 2918181
+7 (391) 2918184
+7 (391) 2918189
+7 (391) 2918411
+7 (391) 2918713
+7 (391) 2918716
+7 (391) 2918718
+7 (391) 3322230
+7 (391) 3322295</f>
        <v>#NAME?</v>
      </c>
      <c r="F2947" s="5" t="s">
        <v>34197</v>
      </c>
      <c r="G2947" s="5" t="s">
        <v>34198</v>
      </c>
      <c r="H2947" s="26">
        <v>21</v>
      </c>
      <c r="I2947" s="5" t="s">
        <v>34199</v>
      </c>
      <c r="J2947" s="5" t="s">
        <v>25454</v>
      </c>
      <c r="K2947" s="5" t="s">
        <v>344</v>
      </c>
      <c r="L2947" s="5"/>
      <c r="M2947" s="27">
        <v>154865</v>
      </c>
      <c r="N2947" s="5" t="s">
        <v>53933</v>
      </c>
      <c r="O2947" s="5" t="str">
        <v>2465177981</v>
      </c>
      <c r="P2947" s="27">
        <v>914972000</v>
      </c>
      <c r="Q2947" s="5" t="s">
        <v>53934</v>
      </c>
      <c r="R2947" s="5"/>
      <c r="S2947" s="5" t="s">
        <v>53935</v>
      </c>
      <c r="T2947" s="28">
        <v>4354145000</v>
      </c>
      <c r="U2947" s="28"/>
      <c r="V2947" s="28">
        <v>663030000</v>
      </c>
      <c r="W2947" s="28">
        <v>191100000</v>
      </c>
      <c r="X2947" s="28">
        <v>211412000</v>
      </c>
      <c r="Y2947" s="28">
        <v>6877495000</v>
      </c>
      <c r="Z2947" s="28">
        <v>1055824000</v>
      </c>
      <c r="AA2947" s="28">
        <v>497600000</v>
      </c>
      <c r="AB2947" s="28">
        <v>3684000</v>
      </c>
      <c r="AC2947" s="28">
        <v>2477587000</v>
      </c>
      <c r="AD2947" s="28">
        <v>3302149000</v>
      </c>
      <c r="AE2947" s="28">
        <v>6552069000</v>
      </c>
      <c r="AF2947" s="28">
        <v>944679000</v>
      </c>
      <c r="AG2947" s="11"/>
    </row>
    <row r="2948">
      <c r="A2948" s="7" t="s">
        <v>4629</v>
      </c>
      <c r="B2948" s="5" t="s">
        <v>12603</v>
      </c>
      <c r="C2948" s="5" t="s">
        <v>20427</v>
      </c>
      <c r="D2948" s="5" t="str">
        <v>246312348902</v>
      </c>
      <c r="E2948" s="0" t="e">
        <f>+7 (908) 2121717
+7 (391) 2115400
+7 (391) 2115619
+7 (391) 2117377
+7 (391) 2117460
+7 (391) 2117900
+7 (391) 2118030
+7 (391) 2144097
+7 (923) 2702544</f>
        <v>#NAME?</v>
      </c>
      <c r="F2948" s="5" t="s">
        <v>34200</v>
      </c>
      <c r="G2948" s="5" t="s">
        <v>34201</v>
      </c>
      <c r="H2948" s="26">
        <v>14.5</v>
      </c>
      <c r="I2948" s="5" t="s">
        <v>34202</v>
      </c>
      <c r="J2948" s="5" t="s">
        <v>364</v>
      </c>
      <c r="K2948" s="5" t="s">
        <v>355</v>
      </c>
      <c r="L2948" s="5"/>
      <c r="M2948" s="27"/>
      <c r="N2948" s="5" t="s">
        <v>53936</v>
      </c>
      <c r="O2948" s="5" t="str">
        <v>2463209701</v>
      </c>
      <c r="P2948" s="27">
        <v>15840000</v>
      </c>
      <c r="Q2948" s="5"/>
      <c r="R2948" s="5" t="s">
        <v>53937</v>
      </c>
      <c r="S2948" s="5" t="s">
        <v>53938</v>
      </c>
      <c r="T2948" s="28">
        <v>3639857000</v>
      </c>
      <c r="U2948" s="28"/>
      <c r="V2948" s="28">
        <v>947319000</v>
      </c>
      <c r="W2948" s="28">
        <v>41028000</v>
      </c>
      <c r="X2948" s="28">
        <v>1003859000</v>
      </c>
      <c r="Y2948" s="28">
        <v>9086282000</v>
      </c>
      <c r="Z2948" s="28">
        <v>790098000</v>
      </c>
      <c r="AA2948" s="28"/>
      <c r="AB2948" s="28"/>
      <c r="AC2948" s="28">
        <v>8116081000</v>
      </c>
      <c r="AD2948" s="28">
        <v>811908000</v>
      </c>
      <c r="AE2948" s="28">
        <v>3148050000</v>
      </c>
      <c r="AF2948" s="28">
        <v>968900000</v>
      </c>
      <c r="AG2948" s="11"/>
    </row>
    <row r="2949">
      <c r="A2949" s="7" t="s">
        <v>4630</v>
      </c>
      <c r="B2949" s="5" t="s">
        <v>12604</v>
      </c>
      <c r="C2949" s="5" t="s">
        <v>20428</v>
      </c>
      <c r="D2949" s="5" t="str">
        <v>246300100223</v>
      </c>
      <c r="E2949" s="0" t="e">
        <f>+7 (391) 2022020
+7 (391) 2025557
+7 (391) 2041212
+7 (391) 2113939
+7 (391) 2114050
+7 (391) 2124561
+7 (391) 2200989
+7 (391) 2208595
+7 (391) 2211213
+7 (391) 2221211
+7 (391) 2223907
+7 (391) 2113963
+7 (391) 2113999
+7 (391) 2218551
+7 (391) 2221936</f>
        <v>#NAME?</v>
      </c>
      <c r="F2949" s="5" t="s">
        <v>34203</v>
      </c>
      <c r="G2949" s="5" t="s">
        <v>34204</v>
      </c>
      <c r="H2949" s="26">
        <v>19</v>
      </c>
      <c r="I2949" s="5" t="s">
        <v>34205</v>
      </c>
      <c r="J2949" s="5" t="s">
        <v>34010</v>
      </c>
      <c r="K2949" s="5" t="s">
        <v>344</v>
      </c>
      <c r="L2949" s="5" t="s">
        <v>34206</v>
      </c>
      <c r="M2949" s="27">
        <v>536802376</v>
      </c>
      <c r="N2949" s="5" t="s">
        <v>53939</v>
      </c>
      <c r="O2949" s="5" t="str">
        <v>2466114215</v>
      </c>
      <c r="P2949" s="27">
        <v>10000000</v>
      </c>
      <c r="Q2949" s="5" t="s">
        <v>53941</v>
      </c>
      <c r="R2949" s="5"/>
      <c r="S2949" s="5" t="s">
        <v>50475</v>
      </c>
      <c r="T2949" s="28">
        <v>5476709000</v>
      </c>
      <c r="U2949" s="28"/>
      <c r="V2949" s="28">
        <v>831408000</v>
      </c>
      <c r="W2949" s="28"/>
      <c r="X2949" s="28">
        <v>708733000</v>
      </c>
      <c r="Y2949" s="28">
        <v>7319865000</v>
      </c>
      <c r="Z2949" s="28">
        <v>4231725000</v>
      </c>
      <c r="AA2949" s="28"/>
      <c r="AB2949" s="28"/>
      <c r="AC2949" s="28">
        <v>1551233000</v>
      </c>
      <c r="AD2949" s="28">
        <v>4241725000</v>
      </c>
      <c r="AE2949" s="28">
        <v>5372920000</v>
      </c>
      <c r="AF2949" s="28">
        <v>819070000</v>
      </c>
      <c r="AG2949" s="11"/>
    </row>
    <row r="2950">
      <c r="A2950" s="7" t="s">
        <v>4631</v>
      </c>
      <c r="B2950" s="5" t="s">
        <v>12605</v>
      </c>
      <c r="C2950" s="5" t="s">
        <v>20429</v>
      </c>
      <c r="D2950" s="5" t="str">
        <v>352501717378</v>
      </c>
      <c r="E2950" s="0" t="e">
        <f>+7 (800) 6006067
+7 (391) 2631414
+7 (391) 2707414
+7 (391) 2707461
+7 (391) 2911191</f>
        <v>#NAME?</v>
      </c>
      <c r="F2950" s="5" t="s">
        <v>34207</v>
      </c>
      <c r="G2950" s="5" t="s">
        <v>34208</v>
      </c>
      <c r="H2950" s="26">
        <v>15</v>
      </c>
      <c r="I2950" s="5"/>
      <c r="J2950" s="5" t="s">
        <v>26924</v>
      </c>
      <c r="K2950" s="5" t="s">
        <v>380</v>
      </c>
      <c r="L2950" s="5"/>
      <c r="M2950" s="27">
        <v>173068080</v>
      </c>
      <c r="N2950" s="5"/>
      <c r="O2950" s="5" t="str">
        <v>2460205089</v>
      </c>
      <c r="P2950" s="27">
        <v>32290890000</v>
      </c>
      <c r="Q2950" s="5" t="s">
        <v>53942</v>
      </c>
      <c r="R2950" s="5"/>
      <c r="S2950" s="5" t="s">
        <v>51010</v>
      </c>
      <c r="T2950" s="28">
        <v>15172246000</v>
      </c>
      <c r="U2950" s="28"/>
      <c r="V2950" s="28">
        <v>541615000</v>
      </c>
      <c r="W2950" s="28">
        <v>500000</v>
      </c>
      <c r="X2950" s="28">
        <v>451098000</v>
      </c>
      <c r="Y2950" s="28">
        <v>21917046000</v>
      </c>
      <c r="Z2950" s="28">
        <v>-14058258000</v>
      </c>
      <c r="AA2950" s="28"/>
      <c r="AB2950" s="28">
        <v>378929000</v>
      </c>
      <c r="AC2950" s="28">
        <v>1775693000</v>
      </c>
      <c r="AD2950" s="28">
        <v>18232632000</v>
      </c>
      <c r="AE2950" s="28">
        <v>4715555000</v>
      </c>
      <c r="AF2950" s="28">
        <v>-925064000</v>
      </c>
      <c r="AG2950" s="11"/>
    </row>
    <row r="2951">
      <c r="A2951" s="7" t="s">
        <v>4632</v>
      </c>
      <c r="B2951" s="5" t="s">
        <v>12606</v>
      </c>
      <c r="C2951" s="5" t="s">
        <v>20430</v>
      </c>
      <c r="D2951" s="5" t="str">
        <v>772903030405</v>
      </c>
      <c r="E2951" s="0" t="e">
        <f>+7 (862) 5551078
+7 (8622) 437000
+7 (8622) 437001
+7 (8622) 595903
+7 (8622) 910205
+7 (495) 7301101
+7 (8622) 437002
+7 (8622) 439110
+7 (928) 2332619
+7 (928) 2941712
+7 (928) 4560003
+7 (938) 4000231
+7 (938) 4577707
+7 (938) 4684791</f>
        <v>#NAME?</v>
      </c>
      <c r="F2951" s="5" t="s">
        <v>34209</v>
      </c>
      <c r="G2951" s="5" t="s">
        <v>34210</v>
      </c>
      <c r="H2951" s="26">
        <v>21.5</v>
      </c>
      <c r="I2951" s="5"/>
      <c r="J2951" s="5" t="s">
        <v>34211</v>
      </c>
      <c r="K2951" s="5" t="s">
        <v>355</v>
      </c>
      <c r="L2951" s="5"/>
      <c r="M2951" s="27">
        <v>45557192</v>
      </c>
      <c r="N2951" s="5" t="s">
        <v>53943</v>
      </c>
      <c r="O2951" s="5" t="str">
        <v>2320102816</v>
      </c>
      <c r="P2951" s="27">
        <v>2775700000</v>
      </c>
      <c r="Q2951" s="5" t="s">
        <v>49059</v>
      </c>
      <c r="R2951" s="5" t="s">
        <v>53945</v>
      </c>
      <c r="S2951" s="5" t="s">
        <v>49175</v>
      </c>
      <c r="T2951" s="28">
        <v>44072492000</v>
      </c>
      <c r="U2951" s="28">
        <v>240993000</v>
      </c>
      <c r="V2951" s="28">
        <v>1784279000</v>
      </c>
      <c r="W2951" s="28"/>
      <c r="X2951" s="28">
        <v>167542000</v>
      </c>
      <c r="Y2951" s="28">
        <v>54673117000</v>
      </c>
      <c r="Z2951" s="28">
        <v>-54744585000</v>
      </c>
      <c r="AA2951" s="28">
        <v>58500121000</v>
      </c>
      <c r="AB2951" s="28">
        <v>7568624000</v>
      </c>
      <c r="AC2951" s="28">
        <v>10551053000</v>
      </c>
      <c r="AD2951" s="28">
        <v>-17165431000</v>
      </c>
      <c r="AE2951" s="28">
        <v>8815047000</v>
      </c>
      <c r="AF2951" s="28">
        <v>-2996947000</v>
      </c>
      <c r="AG2951" s="11"/>
    </row>
    <row r="2952">
      <c r="A2952" s="7" t="s">
        <v>4633</v>
      </c>
      <c r="B2952" s="5" t="s">
        <v>12607</v>
      </c>
      <c r="C2952" s="5" t="s">
        <v>20431</v>
      </c>
      <c r="D2952" s="5" t="str">
        <v>233603583296</v>
      </c>
      <c r="E2952" s="0" t="e">
        <f>+7 (918) 6279470</f>
        <v>#NAME?</v>
      </c>
      <c r="F2952" s="5" t="s">
        <v>34212</v>
      </c>
      <c r="G2952" s="5" t="s">
        <v>34213</v>
      </c>
      <c r="H2952" s="26">
        <v>16</v>
      </c>
      <c r="I2952" s="5" t="s">
        <v>34214</v>
      </c>
      <c r="J2952" s="5" t="s">
        <v>467</v>
      </c>
      <c r="K2952" s="5" t="s">
        <v>344</v>
      </c>
      <c r="L2952" s="5"/>
      <c r="M2952" s="27">
        <v>7936560</v>
      </c>
      <c r="N2952" s="5" t="s">
        <v>53946</v>
      </c>
      <c r="O2952" s="5" t="str">
        <v>2336018775</v>
      </c>
      <c r="P2952" s="27">
        <v>90900</v>
      </c>
      <c r="Q2952" s="5" t="s">
        <v>53947</v>
      </c>
      <c r="R2952" s="5"/>
      <c r="S2952" s="5" t="s">
        <v>53948</v>
      </c>
      <c r="T2952" s="28">
        <v>380957000</v>
      </c>
      <c r="U2952" s="28">
        <v>24400000</v>
      </c>
      <c r="V2952" s="28">
        <v>139623000</v>
      </c>
      <c r="W2952" s="28">
        <v>1235099000</v>
      </c>
      <c r="X2952" s="28">
        <v>64782000</v>
      </c>
      <c r="Y2952" s="28">
        <v>2708494000</v>
      </c>
      <c r="Z2952" s="28">
        <v>2429272000</v>
      </c>
      <c r="AA2952" s="28"/>
      <c r="AB2952" s="28"/>
      <c r="AC2952" s="28">
        <v>277201000</v>
      </c>
      <c r="AD2952" s="28">
        <v>2429363000</v>
      </c>
      <c r="AE2952" s="28">
        <v>4189840000</v>
      </c>
      <c r="AF2952" s="28">
        <v>99106000</v>
      </c>
      <c r="AG2952" s="11"/>
    </row>
    <row r="2953">
      <c r="A2953" s="7" t="s">
        <v>4634</v>
      </c>
      <c r="B2953" s="5" t="s">
        <v>12608</v>
      </c>
      <c r="C2953" s="5" t="s">
        <v>20432</v>
      </c>
      <c r="D2953" s="5" t="str">
        <v>482601585293</v>
      </c>
      <c r="E2953" s="0" t="e">
        <f>+7 (487) 2205416
+7 (487) 2704325
+7 (48744) 23804
+7 (48744) 23805
+7 (48744) 23806
+7 (48744) 23807
+7 (495) 7823990</f>
        <v>#NAME?</v>
      </c>
      <c r="F2953" s="5" t="s">
        <v>34215</v>
      </c>
      <c r="G2953" s="5"/>
      <c r="H2953" s="26">
        <v>23</v>
      </c>
      <c r="I2953" s="5"/>
      <c r="J2953" s="5" t="s">
        <v>25450</v>
      </c>
      <c r="K2953" s="5" t="s">
        <v>380</v>
      </c>
      <c r="L2953" s="5"/>
      <c r="M2953" s="27"/>
      <c r="N2953" s="5"/>
      <c r="O2953" s="5" t="str">
        <v>7130010740</v>
      </c>
      <c r="P2953" s="27">
        <v>79230</v>
      </c>
      <c r="Q2953" s="5" t="s">
        <v>49009</v>
      </c>
      <c r="R2953" s="5" t="s">
        <v>53949</v>
      </c>
      <c r="S2953" s="5" t="s">
        <v>49408</v>
      </c>
      <c r="T2953" s="28">
        <v>1550883000</v>
      </c>
      <c r="U2953" s="28"/>
      <c r="V2953" s="28">
        <v>106413000</v>
      </c>
      <c r="W2953" s="28"/>
      <c r="X2953" s="28">
        <v>3139000</v>
      </c>
      <c r="Y2953" s="28">
        <v>1777000000</v>
      </c>
      <c r="Z2953" s="28">
        <v>-409060000</v>
      </c>
      <c r="AA2953" s="28"/>
      <c r="AB2953" s="28">
        <v>800241000</v>
      </c>
      <c r="AC2953" s="28">
        <v>1261453000</v>
      </c>
      <c r="AD2953" s="28">
        <v>515547000</v>
      </c>
      <c r="AE2953" s="28">
        <v>4140494000</v>
      </c>
      <c r="AF2953" s="28">
        <v>-580626000</v>
      </c>
      <c r="AG2953" s="11"/>
    </row>
    <row r="2954">
      <c r="A2954" s="7" t="s">
        <v>4635</v>
      </c>
      <c r="B2954" s="5" t="s">
        <v>12609</v>
      </c>
      <c r="C2954" s="5" t="s">
        <v>17814</v>
      </c>
      <c r="D2954" s="5"/>
      <c r="E2954" s="0" t="e">
        <f>+7 (812) 2799198
+7 (812) 3318356
+7 (812) 4483010</f>
        <v>#NAME?</v>
      </c>
      <c r="F2954" s="5"/>
      <c r="G2954" s="5"/>
      <c r="H2954" s="26">
        <v>19.5</v>
      </c>
      <c r="I2954" s="5" t="s">
        <v>34216</v>
      </c>
      <c r="J2954" s="5" t="s">
        <v>26148</v>
      </c>
      <c r="K2954" s="5" t="s">
        <v>355</v>
      </c>
      <c r="L2954" s="5" t="s">
        <v>34217</v>
      </c>
      <c r="M2954" s="27">
        <v>14277103</v>
      </c>
      <c r="N2954" s="5" t="s">
        <v>53845</v>
      </c>
      <c r="O2954" s="5" t="str">
        <v>7801237357</v>
      </c>
      <c r="P2954" s="27">
        <v>1005098400</v>
      </c>
      <c r="Q2954" s="5" t="s">
        <v>49009</v>
      </c>
      <c r="R2954" s="5"/>
      <c r="S2954" s="5" t="s">
        <v>49010</v>
      </c>
      <c r="T2954" s="28">
        <v>9364359000</v>
      </c>
      <c r="U2954" s="28"/>
      <c r="V2954" s="28">
        <v>1579165000</v>
      </c>
      <c r="W2954" s="28"/>
      <c r="X2954" s="28"/>
      <c r="Y2954" s="28">
        <v>11506147000</v>
      </c>
      <c r="Z2954" s="28">
        <v>93342000</v>
      </c>
      <c r="AA2954" s="28">
        <v>4821083000</v>
      </c>
      <c r="AB2954" s="28">
        <v>2526432000</v>
      </c>
      <c r="AC2954" s="28">
        <v>3927714000</v>
      </c>
      <c r="AD2954" s="28">
        <v>2576045000</v>
      </c>
      <c r="AE2954" s="28">
        <v>3160462000</v>
      </c>
      <c r="AF2954" s="28">
        <v>678462000</v>
      </c>
      <c r="AG2954" s="11"/>
    </row>
    <row r="2955">
      <c r="A2955" s="7" t="s">
        <v>4636</v>
      </c>
      <c r="B2955" s="5" t="s">
        <v>12610</v>
      </c>
      <c r="C2955" s="5" t="s">
        <v>20433</v>
      </c>
      <c r="D2955" s="5" t="str">
        <v>010201850163</v>
      </c>
      <c r="E2955" s="0" t="e">
        <f>+7 (87778) 52420
+7 (918) 1200033
+7 (918) 6884743
+7 (961) 8288615</f>
        <v>#NAME?</v>
      </c>
      <c r="F2955" s="5" t="s">
        <v>34218</v>
      </c>
      <c r="G2955" s="5" t="s">
        <v>34219</v>
      </c>
      <c r="H2955" s="26">
        <v>14.5</v>
      </c>
      <c r="I2955" s="5" t="s">
        <v>34220</v>
      </c>
      <c r="J2955" s="5" t="s">
        <v>25499</v>
      </c>
      <c r="K2955" s="5" t="s">
        <v>344</v>
      </c>
      <c r="L2955" s="5" t="s">
        <v>34221</v>
      </c>
      <c r="M2955" s="27"/>
      <c r="N2955" s="5"/>
      <c r="O2955" s="5" t="str">
        <v>0101008461</v>
      </c>
      <c r="P2955" s="27">
        <v>47547000</v>
      </c>
      <c r="Q2955" s="5"/>
      <c r="R2955" s="5"/>
      <c r="S2955" s="5" t="s">
        <v>49121</v>
      </c>
      <c r="T2955" s="28">
        <v>237419000</v>
      </c>
      <c r="U2955" s="28"/>
      <c r="V2955" s="28">
        <v>232844000</v>
      </c>
      <c r="W2955" s="28">
        <v>20016000</v>
      </c>
      <c r="X2955" s="28">
        <v>270327000</v>
      </c>
      <c r="Y2955" s="28">
        <v>826412000</v>
      </c>
      <c r="Z2955" s="28">
        <v>564714000</v>
      </c>
      <c r="AA2955" s="28"/>
      <c r="AB2955" s="28">
        <v>130000000</v>
      </c>
      <c r="AC2955" s="28">
        <v>200249000</v>
      </c>
      <c r="AD2955" s="28">
        <v>612261000</v>
      </c>
      <c r="AE2955" s="28">
        <v>4164431000</v>
      </c>
      <c r="AF2955" s="28">
        <v>155307000</v>
      </c>
      <c r="AG2955" s="11"/>
    </row>
    <row r="2956">
      <c r="A2956" s="7" t="s">
        <v>4637</v>
      </c>
      <c r="B2956" s="5" t="s">
        <v>12611</v>
      </c>
      <c r="C2956" s="5" t="s">
        <v>17734</v>
      </c>
      <c r="D2956" s="5" t="str">
        <v>770404666520</v>
      </c>
      <c r="E2956" s="0" t="e">
        <f>+7 (495) 7805533
+7 (911) 7281727
+7 (929) 9263372
+7 (495) 7887019
+7 (812) 3261010</f>
        <v>#NAME?</v>
      </c>
      <c r="F2956" s="5" t="s">
        <v>34222</v>
      </c>
      <c r="G2956" s="5" t="s">
        <v>34223</v>
      </c>
      <c r="H2956" s="26">
        <v>15.5</v>
      </c>
      <c r="I2956" s="5" t="s">
        <v>34224</v>
      </c>
      <c r="J2956" s="5" t="s">
        <v>389</v>
      </c>
      <c r="K2956" s="5" t="s">
        <v>344</v>
      </c>
      <c r="L2956" s="5" t="s">
        <v>34225</v>
      </c>
      <c r="M2956" s="27">
        <v>1761538</v>
      </c>
      <c r="N2956" s="5" t="s">
        <v>53950</v>
      </c>
      <c r="O2956" s="5" t="str">
        <v>5024089078</v>
      </c>
      <c r="P2956" s="27">
        <v>10000000</v>
      </c>
      <c r="Q2956" s="5" t="s">
        <v>53951</v>
      </c>
      <c r="R2956" s="5"/>
      <c r="S2956" s="5" t="s">
        <v>49173</v>
      </c>
      <c r="T2956" s="28">
        <v>24780000</v>
      </c>
      <c r="U2956" s="28">
        <v>253215000</v>
      </c>
      <c r="V2956" s="28">
        <v>844039000</v>
      </c>
      <c r="W2956" s="28"/>
      <c r="X2956" s="28">
        <v>580137000</v>
      </c>
      <c r="Y2956" s="28">
        <v>2684245000</v>
      </c>
      <c r="Z2956" s="28">
        <v>767812000</v>
      </c>
      <c r="AA2956" s="28">
        <v>696100000</v>
      </c>
      <c r="AB2956" s="28">
        <v>16609000</v>
      </c>
      <c r="AC2956" s="28">
        <v>1209240000</v>
      </c>
      <c r="AD2956" s="28">
        <v>777812000</v>
      </c>
      <c r="AE2956" s="28">
        <v>5460871000</v>
      </c>
      <c r="AF2956" s="28">
        <v>481549000</v>
      </c>
      <c r="AG2956" s="11"/>
    </row>
    <row r="2957">
      <c r="A2957" s="7" t="s">
        <v>4638</v>
      </c>
      <c r="B2957" s="5" t="s">
        <v>12612</v>
      </c>
      <c r="C2957" s="5" t="s">
        <v>20434</v>
      </c>
      <c r="D2957" s="5" t="str">
        <v>701714541824</v>
      </c>
      <c r="E2957" s="0" t="e">
        <f>+7 (495) 5620377
+7 (495) 5629807
+7 (495) 5680296
+7 (499) 5920115
+7 (495) 5620002
+7 (495) 5620296
+7 (495) 5626056
+7 (495) 5628038
+7 (495) 5628165
+7 (495) 5628230
+7 (495) 5628706
+7 (495) 5920115
+7 (903) 5273434</f>
        <v>#NAME?</v>
      </c>
      <c r="F2957" s="5" t="s">
        <v>34226</v>
      </c>
      <c r="G2957" s="5" t="s">
        <v>34227</v>
      </c>
      <c r="H2957" s="26">
        <v>22</v>
      </c>
      <c r="I2957" s="5"/>
      <c r="J2957" s="5" t="s">
        <v>27642</v>
      </c>
      <c r="K2957" s="5" t="s">
        <v>380</v>
      </c>
      <c r="L2957" s="5"/>
      <c r="M2957" s="27">
        <v>139371609</v>
      </c>
      <c r="N2957" s="5" t="s">
        <v>53952</v>
      </c>
      <c r="O2957" s="5" t="str">
        <v>5024047494</v>
      </c>
      <c r="P2957" s="27">
        <v>507639730</v>
      </c>
      <c r="Q2957" s="5" t="s">
        <v>53953</v>
      </c>
      <c r="R2957" s="5" t="s">
        <v>53954</v>
      </c>
      <c r="S2957" s="5" t="s">
        <v>53955</v>
      </c>
      <c r="T2957" s="28">
        <v>738938000</v>
      </c>
      <c r="U2957" s="28"/>
      <c r="V2957" s="28">
        <v>1784082000</v>
      </c>
      <c r="W2957" s="28">
        <v>5983000</v>
      </c>
      <c r="X2957" s="28">
        <v>24735000</v>
      </c>
      <c r="Y2957" s="28">
        <v>2821619000</v>
      </c>
      <c r="Z2957" s="28">
        <v>-716993000</v>
      </c>
      <c r="AA2957" s="28"/>
      <c r="AB2957" s="28"/>
      <c r="AC2957" s="28">
        <v>2245515000</v>
      </c>
      <c r="AD2957" s="28">
        <v>509786000</v>
      </c>
      <c r="AE2957" s="28">
        <v>3450338000</v>
      </c>
      <c r="AF2957" s="28">
        <v>-267595000</v>
      </c>
      <c r="AG2957" s="11"/>
    </row>
    <row r="2958">
      <c r="A2958" s="7" t="s">
        <v>4639</v>
      </c>
      <c r="B2958" s="5" t="s">
        <v>12613</v>
      </c>
      <c r="C2958" s="5" t="s">
        <v>20435</v>
      </c>
      <c r="D2958" s="5" t="str">
        <v>165715148260</v>
      </c>
      <c r="E2958" s="0" t="e">
        <f>+7 (83645) 65000
+7 (83645) 65005
+7 (83645) 61700
+7 (83645) 63399
+7 (83645) 65006
+7 (83645) 65008
+7 (83645) 65014
+7 (83645) 65015
+7 (83645) 65016
+7 (83645) 65017
+7 (83645) 65018
+7 (83645) 65020
+7 (83645) 65128
+7 (83645) 69080
+7 (83645) 69165</f>
        <v>#NAME?</v>
      </c>
      <c r="F2958" s="5" t="s">
        <v>34228</v>
      </c>
      <c r="G2958" s="5" t="s">
        <v>34229</v>
      </c>
      <c r="H2958" s="26">
        <v>30</v>
      </c>
      <c r="I2958" s="5" t="s">
        <v>34230</v>
      </c>
      <c r="J2958" s="5" t="s">
        <v>414</v>
      </c>
      <c r="K2958" s="5" t="s">
        <v>344</v>
      </c>
      <c r="L2958" s="5" t="s">
        <v>34231</v>
      </c>
      <c r="M2958" s="27"/>
      <c r="N2958" s="5" t="s">
        <v>53956</v>
      </c>
      <c r="O2958" s="5" t="str">
        <v>1203000128</v>
      </c>
      <c r="P2958" s="27">
        <v>23484240</v>
      </c>
      <c r="Q2958" s="5" t="s">
        <v>53957</v>
      </c>
      <c r="R2958" s="5"/>
      <c r="S2958" s="5" t="s">
        <v>53958</v>
      </c>
      <c r="T2958" s="28">
        <v>981938000</v>
      </c>
      <c r="U2958" s="28">
        <v>842346000</v>
      </c>
      <c r="V2958" s="28">
        <v>2873009000</v>
      </c>
      <c r="W2958" s="28"/>
      <c r="X2958" s="28">
        <v>1029468000</v>
      </c>
      <c r="Y2958" s="28">
        <v>6973988000</v>
      </c>
      <c r="Z2958" s="28">
        <v>3962974000</v>
      </c>
      <c r="AA2958" s="28">
        <v>496000000</v>
      </c>
      <c r="AB2958" s="28">
        <v>1494000</v>
      </c>
      <c r="AC2958" s="28">
        <v>2469790000</v>
      </c>
      <c r="AD2958" s="28">
        <v>3991155000</v>
      </c>
      <c r="AE2958" s="28">
        <v>5689934000</v>
      </c>
      <c r="AF2958" s="28">
        <v>360545000</v>
      </c>
      <c r="AG2958" s="11"/>
    </row>
    <row r="2959">
      <c r="A2959" s="7" t="s">
        <v>4640</v>
      </c>
      <c r="B2959" s="5" t="s">
        <v>12614</v>
      </c>
      <c r="C2959" s="5" t="s">
        <v>20436</v>
      </c>
      <c r="D2959" s="5" t="str">
        <v>772815860894</v>
      </c>
      <c r="E2959" s="0" t="e">
        <f>+7 (495) 5639139
+7 (495) 5639200
+7 (495) 7059371
+7 (495) 7059373
+7 (495) 7059379
+7 (495) 7059381
+7 (495) 7059386
+7 (495) 7775428</f>
        <v>#NAME?</v>
      </c>
      <c r="F2959" s="5" t="s">
        <v>34232</v>
      </c>
      <c r="G2959" s="5" t="s">
        <v>34233</v>
      </c>
      <c r="H2959" s="26">
        <v>30</v>
      </c>
      <c r="I2959" s="5"/>
      <c r="J2959" s="5" t="s">
        <v>28030</v>
      </c>
      <c r="K2959" s="5" t="s">
        <v>344</v>
      </c>
      <c r="L2959" s="5" t="s">
        <v>34234</v>
      </c>
      <c r="M2959" s="27"/>
      <c r="N2959" s="5"/>
      <c r="O2959" s="5" t="str">
        <v>5024011071</v>
      </c>
      <c r="P2959" s="27">
        <v>86385636</v>
      </c>
      <c r="Q2959" s="5"/>
      <c r="R2959" s="5"/>
      <c r="S2959" s="5" t="s">
        <v>49029</v>
      </c>
      <c r="T2959" s="28">
        <v>662867000</v>
      </c>
      <c r="U2959" s="28"/>
      <c r="V2959" s="28">
        <v>1739206000</v>
      </c>
      <c r="W2959" s="28"/>
      <c r="X2959" s="28">
        <v>254444000</v>
      </c>
      <c r="Y2959" s="28">
        <v>3819298000</v>
      </c>
      <c r="Z2959" s="28">
        <v>2663630000</v>
      </c>
      <c r="AA2959" s="28"/>
      <c r="AB2959" s="28">
        <v>401373000</v>
      </c>
      <c r="AC2959" s="28">
        <v>1007776000</v>
      </c>
      <c r="AD2959" s="28">
        <v>2781066000</v>
      </c>
      <c r="AE2959" s="28">
        <v>3250603000</v>
      </c>
      <c r="AF2959" s="28">
        <v>662083000</v>
      </c>
      <c r="AG2959" s="11"/>
    </row>
    <row r="2960">
      <c r="A2960" s="7" t="s">
        <v>4641</v>
      </c>
      <c r="B2960" s="5" t="s">
        <v>12615</v>
      </c>
      <c r="C2960" s="5" t="s">
        <v>20437</v>
      </c>
      <c r="D2960" s="5" t="str">
        <v>222312747992</v>
      </c>
      <c r="E2960" s="0" t="e">
        <f>+7 (800) 2003646
+7 (800) 2004636
+7 (861) 2003646
+7 (861) 2115555
+7 (861) 2141111
+7 (861) 2222223
+7 (861) 2254789
+7 (861) 2256652
+7 (861) 2292087
+7 (861) 2292987
+7 (861) 2170333
+7 (861) 2203381
+7 (861) 2204709
+7 (861) 2264281
+7 (861) 2266023</f>
        <v>#NAME?</v>
      </c>
      <c r="F2960" s="5" t="s">
        <v>34235</v>
      </c>
      <c r="G2960" s="5"/>
      <c r="H2960" s="26">
        <v>17.5</v>
      </c>
      <c r="I2960" s="5" t="s">
        <v>34236</v>
      </c>
      <c r="J2960" s="5" t="s">
        <v>34010</v>
      </c>
      <c r="K2960" s="5" t="s">
        <v>344</v>
      </c>
      <c r="L2960" s="5" t="s">
        <v>34237</v>
      </c>
      <c r="M2960" s="27">
        <v>25179726</v>
      </c>
      <c r="N2960" s="5" t="s">
        <v>53959</v>
      </c>
      <c r="O2960" s="5" t="str">
        <v>2308111927</v>
      </c>
      <c r="P2960" s="27">
        <v>10000</v>
      </c>
      <c r="Q2960" s="5" t="s">
        <v>53960</v>
      </c>
      <c r="R2960" s="5"/>
      <c r="S2960" s="5" t="s">
        <v>53961</v>
      </c>
      <c r="T2960" s="28">
        <v>4604686000</v>
      </c>
      <c r="U2960" s="28">
        <v>695002000</v>
      </c>
      <c r="V2960" s="28">
        <v>1230825000</v>
      </c>
      <c r="W2960" s="28"/>
      <c r="X2960" s="28">
        <v>863031000</v>
      </c>
      <c r="Y2960" s="28">
        <v>7594223000</v>
      </c>
      <c r="Z2960" s="28">
        <v>4718670000</v>
      </c>
      <c r="AA2960" s="28">
        <v>142074000</v>
      </c>
      <c r="AB2960" s="28">
        <v>40942000</v>
      </c>
      <c r="AC2960" s="28">
        <v>2147075000</v>
      </c>
      <c r="AD2960" s="28">
        <v>4718680000</v>
      </c>
      <c r="AE2960" s="28">
        <v>4779757000</v>
      </c>
      <c r="AF2960" s="28">
        <v>885918000</v>
      </c>
      <c r="AG2960" s="11"/>
    </row>
    <row r="2961">
      <c r="A2961" s="7" t="s">
        <v>4642</v>
      </c>
      <c r="B2961" s="5" t="s">
        <v>12616</v>
      </c>
      <c r="C2961" s="5" t="s">
        <v>20438</v>
      </c>
      <c r="D2961" s="5" t="str">
        <v>234605992793</v>
      </c>
      <c r="E2961" s="0" t="e">
        <f>+7 (861) 2100939
+7 (861) 2310454
+7 (861) 2313586
+7 (861) 2318286
+7 (918) 1129611</f>
        <v>#NAME?</v>
      </c>
      <c r="F2961" s="5" t="s">
        <v>34238</v>
      </c>
      <c r="G2961" s="5" t="s">
        <v>34239</v>
      </c>
      <c r="H2961" s="26">
        <v>28.5</v>
      </c>
      <c r="I2961" s="5"/>
      <c r="J2961" s="5" t="s">
        <v>25429</v>
      </c>
      <c r="K2961" s="5" t="s">
        <v>344</v>
      </c>
      <c r="L2961" s="5" t="s">
        <v>34240</v>
      </c>
      <c r="M2961" s="27">
        <v>787239</v>
      </c>
      <c r="N2961" s="5" t="s">
        <v>53962</v>
      </c>
      <c r="O2961" s="5" t="str">
        <v>2312054742</v>
      </c>
      <c r="P2961" s="27">
        <v>5070</v>
      </c>
      <c r="Q2961" s="5" t="s">
        <v>53963</v>
      </c>
      <c r="R2961" s="5"/>
      <c r="S2961" s="5" t="s">
        <v>49062</v>
      </c>
      <c r="T2961" s="28">
        <v>213406000</v>
      </c>
      <c r="U2961" s="28"/>
      <c r="V2961" s="28">
        <v>289943000</v>
      </c>
      <c r="W2961" s="28"/>
      <c r="X2961" s="28">
        <v>32236000</v>
      </c>
      <c r="Y2961" s="28">
        <v>1154559000</v>
      </c>
      <c r="Z2961" s="28">
        <v>537433000</v>
      </c>
      <c r="AA2961" s="28"/>
      <c r="AB2961" s="28"/>
      <c r="AC2961" s="28">
        <v>614259000</v>
      </c>
      <c r="AD2961" s="28">
        <v>539993000</v>
      </c>
      <c r="AE2961" s="28">
        <v>3852456000</v>
      </c>
      <c r="AF2961" s="28">
        <v>81531000</v>
      </c>
      <c r="AG2961" s="11"/>
    </row>
    <row r="2962">
      <c r="A2962" s="7" t="s">
        <v>4643</v>
      </c>
      <c r="B2962" s="5" t="s">
        <v>12617</v>
      </c>
      <c r="C2962" s="5" t="s">
        <v>20439</v>
      </c>
      <c r="D2962" s="5" t="str">
        <v>010703782608</v>
      </c>
      <c r="E2962" s="0" t="e">
        <f>+7 (861) 2748997
+7 (988) 2433546</f>
        <v>#NAME?</v>
      </c>
      <c r="F2962" s="5" t="s">
        <v>34241</v>
      </c>
      <c r="G2962" s="5" t="s">
        <v>34242</v>
      </c>
      <c r="H2962" s="26">
        <v>17.5</v>
      </c>
      <c r="I2962" s="5" t="s">
        <v>34243</v>
      </c>
      <c r="J2962" s="5" t="s">
        <v>364</v>
      </c>
      <c r="K2962" s="5" t="s">
        <v>344</v>
      </c>
      <c r="L2962" s="5" t="s">
        <v>34244</v>
      </c>
      <c r="M2962" s="27"/>
      <c r="N2962" s="5" t="s">
        <v>53964</v>
      </c>
      <c r="O2962" s="5" t="str">
        <v>2311084448</v>
      </c>
      <c r="P2962" s="27">
        <v>99590000</v>
      </c>
      <c r="Q2962" s="5" t="s">
        <v>53965</v>
      </c>
      <c r="R2962" s="5"/>
      <c r="S2962" s="5" t="s">
        <v>52354</v>
      </c>
      <c r="T2962" s="28"/>
      <c r="U2962" s="28">
        <v>115906000</v>
      </c>
      <c r="V2962" s="28">
        <v>1529978000</v>
      </c>
      <c r="W2962" s="28">
        <v>5044000</v>
      </c>
      <c r="X2962" s="28">
        <v>251039000</v>
      </c>
      <c r="Y2962" s="28">
        <v>3130137000</v>
      </c>
      <c r="Z2962" s="28">
        <v>1060636000</v>
      </c>
      <c r="AA2962" s="28">
        <v>1684500000</v>
      </c>
      <c r="AB2962" s="28">
        <v>17526000</v>
      </c>
      <c r="AC2962" s="28">
        <v>270473000</v>
      </c>
      <c r="AD2962" s="28">
        <v>1175164000</v>
      </c>
      <c r="AE2962" s="28">
        <v>4014418000</v>
      </c>
      <c r="AF2962" s="28">
        <v>727565000</v>
      </c>
      <c r="AG2962" s="11"/>
    </row>
    <row r="2963">
      <c r="A2963" s="7" t="s">
        <v>4644</v>
      </c>
      <c r="B2963" s="5" t="s">
        <v>12618</v>
      </c>
      <c r="C2963" s="5" t="s">
        <v>20440</v>
      </c>
      <c r="D2963" s="5" t="str">
        <v>331403169087</v>
      </c>
      <c r="E2963" s="0" t="e">
        <f>+7 (49241) 25302
+7 (49241) 50452
+7 (49241) 93117
+7 (49241) 93153
+7 (49241) 93168
+7 (49241) 93189
+7 (49241) 93202
+7 (49241) 93283
+7 (49241) 93308
+7 (49241) 93434
+7 (494) 2193117</f>
        <v>#NAME?</v>
      </c>
      <c r="F2963" s="5" t="s">
        <v>34245</v>
      </c>
      <c r="G2963" s="5" t="s">
        <v>34246</v>
      </c>
      <c r="H2963" s="26">
        <v>18</v>
      </c>
      <c r="I2963" s="5" t="s">
        <v>34247</v>
      </c>
      <c r="J2963" s="5" t="s">
        <v>33361</v>
      </c>
      <c r="K2963" s="5" t="s">
        <v>344</v>
      </c>
      <c r="L2963" s="5" t="s">
        <v>34248</v>
      </c>
      <c r="M2963" s="27">
        <v>4611116</v>
      </c>
      <c r="N2963" s="5" t="s">
        <v>53966</v>
      </c>
      <c r="O2963" s="5" t="str">
        <v>3314006390</v>
      </c>
      <c r="P2963" s="27">
        <v>400000</v>
      </c>
      <c r="Q2963" s="5" t="s">
        <v>49324</v>
      </c>
      <c r="R2963" s="5"/>
      <c r="S2963" s="5" t="s">
        <v>52146</v>
      </c>
      <c r="T2963" s="28">
        <v>2503080000</v>
      </c>
      <c r="U2963" s="28">
        <v>68000</v>
      </c>
      <c r="V2963" s="28">
        <v>565085000</v>
      </c>
      <c r="W2963" s="28"/>
      <c r="X2963" s="28">
        <v>1165868000</v>
      </c>
      <c r="Y2963" s="28">
        <v>5117226000</v>
      </c>
      <c r="Z2963" s="28">
        <v>4165996000</v>
      </c>
      <c r="AA2963" s="28">
        <v>16553000</v>
      </c>
      <c r="AB2963" s="28">
        <v>73200000</v>
      </c>
      <c r="AC2963" s="28">
        <v>772059000</v>
      </c>
      <c r="AD2963" s="28">
        <v>4196082000</v>
      </c>
      <c r="AE2963" s="28">
        <v>5445183000</v>
      </c>
      <c r="AF2963" s="28">
        <v>1057275000</v>
      </c>
      <c r="AG2963" s="11"/>
    </row>
    <row r="2964">
      <c r="A2964" s="7" t="s">
        <v>4645</v>
      </c>
      <c r="B2964" s="5" t="s">
        <v>12619</v>
      </c>
      <c r="C2964" s="5" t="s">
        <v>20441</v>
      </c>
      <c r="D2964" s="5" t="str">
        <v>422000277539</v>
      </c>
      <c r="E2964" s="0" t="e">
        <f>+7 (38464) 34015
+7 (38464) 34051</f>
        <v>#NAME?</v>
      </c>
      <c r="F2964" s="5" t="s">
        <v>34249</v>
      </c>
      <c r="G2964" s="5"/>
      <c r="H2964" s="26">
        <v>5.5</v>
      </c>
      <c r="I2964" s="5" t="s">
        <v>34250</v>
      </c>
      <c r="J2964" s="5" t="s">
        <v>31248</v>
      </c>
      <c r="K2964" s="5" t="s">
        <v>344</v>
      </c>
      <c r="L2964" s="5"/>
      <c r="M2964" s="27"/>
      <c r="N2964" s="5"/>
      <c r="O2964" s="5" t="str">
        <v>4223119624</v>
      </c>
      <c r="P2964" s="27">
        <v>10000</v>
      </c>
      <c r="Q2964" s="5" t="s">
        <v>53967</v>
      </c>
      <c r="R2964" s="5"/>
      <c r="S2964" s="5" t="s">
        <v>49332</v>
      </c>
      <c r="T2964" s="28">
        <v>1412948000</v>
      </c>
      <c r="U2964" s="28">
        <v>557754000</v>
      </c>
      <c r="V2964" s="28">
        <v>3241636000</v>
      </c>
      <c r="W2964" s="28"/>
      <c r="X2964" s="28">
        <v>379208000</v>
      </c>
      <c r="Y2964" s="28">
        <v>6384513000</v>
      </c>
      <c r="Z2964" s="28">
        <v>2527972000</v>
      </c>
      <c r="AA2964" s="28"/>
      <c r="AB2964" s="28"/>
      <c r="AC2964" s="28">
        <v>3582708000</v>
      </c>
      <c r="AD2964" s="28">
        <v>2527982000</v>
      </c>
      <c r="AE2964" s="28">
        <v>8759893000</v>
      </c>
      <c r="AF2964" s="28">
        <v>840804000</v>
      </c>
      <c r="AG2964" s="11"/>
    </row>
    <row r="2965">
      <c r="A2965" s="7" t="s">
        <v>4646</v>
      </c>
      <c r="B2965" s="5" t="s">
        <v>12620</v>
      </c>
      <c r="C2965" s="5" t="s">
        <v>20442</v>
      </c>
      <c r="D2965" s="5" t="str">
        <v>244305700100</v>
      </c>
      <c r="E2965" s="0" t="e">
        <f>+7 (391) 2699909</f>
        <v>#NAME?</v>
      </c>
      <c r="F2965" s="5" t="s">
        <v>34251</v>
      </c>
      <c r="G2965" s="5"/>
      <c r="H2965" s="26">
        <v>8</v>
      </c>
      <c r="I2965" s="5" t="s">
        <v>34252</v>
      </c>
      <c r="J2965" s="5" t="s">
        <v>30115</v>
      </c>
      <c r="K2965" s="5" t="s">
        <v>344</v>
      </c>
      <c r="L2965" s="5" t="s">
        <v>34253</v>
      </c>
      <c r="M2965" s="27"/>
      <c r="N2965" s="5" t="s">
        <v>53968</v>
      </c>
      <c r="O2965" s="5" t="str">
        <v>2460089080</v>
      </c>
      <c r="P2965" s="27">
        <v>10000</v>
      </c>
      <c r="Q2965" s="5" t="s">
        <v>53969</v>
      </c>
      <c r="R2965" s="5"/>
      <c r="S2965" s="5" t="s">
        <v>49085</v>
      </c>
      <c r="T2965" s="28">
        <v>8684000</v>
      </c>
      <c r="U2965" s="28"/>
      <c r="V2965" s="28">
        <v>974731000</v>
      </c>
      <c r="W2965" s="28">
        <v>164849000</v>
      </c>
      <c r="X2965" s="28">
        <v>11258000</v>
      </c>
      <c r="Y2965" s="28">
        <v>1957246000</v>
      </c>
      <c r="Z2965" s="28">
        <v>588740000</v>
      </c>
      <c r="AA2965" s="28"/>
      <c r="AB2965" s="28">
        <v>615219000</v>
      </c>
      <c r="AC2965" s="28">
        <v>1367800000</v>
      </c>
      <c r="AD2965" s="28">
        <v>588752000</v>
      </c>
      <c r="AE2965" s="28">
        <v>7569701000</v>
      </c>
      <c r="AF2965" s="28">
        <v>25660000</v>
      </c>
      <c r="AG2965" s="11"/>
    </row>
    <row r="2966">
      <c r="A2966" s="7" t="s">
        <v>4647</v>
      </c>
      <c r="B2966" s="5" t="s">
        <v>12621</v>
      </c>
      <c r="C2966" s="5" t="s">
        <v>20443</v>
      </c>
      <c r="D2966" s="5" t="str">
        <v>380807172039</v>
      </c>
      <c r="E2966" s="0" t="e">
        <f>+7 (391) 4493359
+7 (39144) 22134
+7 (39144) 33130
+7 (39144) 37134
+7 (39144) 63342
+7 (39144) 63359</f>
        <v>#NAME?</v>
      </c>
      <c r="F2966" s="5" t="s">
        <v>34254</v>
      </c>
      <c r="G2966" s="5"/>
      <c r="H2966" s="26">
        <v>26.5</v>
      </c>
      <c r="I2966" s="5" t="s">
        <v>34255</v>
      </c>
      <c r="J2966" s="5" t="s">
        <v>28287</v>
      </c>
      <c r="K2966" s="5" t="s">
        <v>344</v>
      </c>
      <c r="L2966" s="5" t="s">
        <v>34256</v>
      </c>
      <c r="M2966" s="27"/>
      <c r="N2966" s="5"/>
      <c r="O2966" s="5" t="str">
        <v>2446000322</v>
      </c>
      <c r="P2966" s="27">
        <v>385520317</v>
      </c>
      <c r="Q2966" s="5"/>
      <c r="R2966" s="5" t="s">
        <v>53970</v>
      </c>
      <c r="S2966" s="5" t="s">
        <v>50404</v>
      </c>
      <c r="T2966" s="28">
        <v>21671826000</v>
      </c>
      <c r="U2966" s="28">
        <v>4129715000</v>
      </c>
      <c r="V2966" s="28">
        <v>2078705000</v>
      </c>
      <c r="W2966" s="28"/>
      <c r="X2966" s="28">
        <v>6954000</v>
      </c>
      <c r="Y2966" s="28">
        <v>28191614000</v>
      </c>
      <c r="Z2966" s="28">
        <v>7101734000</v>
      </c>
      <c r="AA2966" s="28"/>
      <c r="AB2966" s="28"/>
      <c r="AC2966" s="28">
        <v>335213000</v>
      </c>
      <c r="AD2966" s="28">
        <v>24684148000</v>
      </c>
      <c r="AE2966" s="28">
        <v>4287499000</v>
      </c>
      <c r="AF2966" s="28">
        <v>2380689000</v>
      </c>
      <c r="AG2966" s="11"/>
    </row>
    <row r="2967">
      <c r="A2967" s="7" t="s">
        <v>4648</v>
      </c>
      <c r="B2967" s="5" t="s">
        <v>12622</v>
      </c>
      <c r="C2967" s="5" t="s">
        <v>17665</v>
      </c>
      <c r="D2967" s="5"/>
      <c r="E2967" s="0" t="e">
        <f>+7 (495) 2588300
+7 (391) 2648989
+7 (391) 2744059</f>
        <v>#NAME?</v>
      </c>
      <c r="F2967" s="5" t="s">
        <v>34257</v>
      </c>
      <c r="G2967" s="5" t="s">
        <v>34258</v>
      </c>
      <c r="H2967" s="26">
        <v>11</v>
      </c>
      <c r="I2967" s="5" t="s">
        <v>34259</v>
      </c>
      <c r="J2967" s="5" t="s">
        <v>33236</v>
      </c>
      <c r="K2967" s="5" t="s">
        <v>344</v>
      </c>
      <c r="L2967" s="5"/>
      <c r="M2967" s="27"/>
      <c r="N2967" s="5"/>
      <c r="O2967" s="5" t="str">
        <v>2460237926</v>
      </c>
      <c r="P2967" s="27">
        <v>159149000</v>
      </c>
      <c r="Q2967" s="5" t="s">
        <v>53971</v>
      </c>
      <c r="R2967" s="5" t="s">
        <v>52647</v>
      </c>
      <c r="S2967" s="5" t="s">
        <v>49271</v>
      </c>
      <c r="T2967" s="28">
        <v>1177180000</v>
      </c>
      <c r="U2967" s="28"/>
      <c r="V2967" s="28">
        <v>1047961000</v>
      </c>
      <c r="W2967" s="28"/>
      <c r="X2967" s="28">
        <v>118168000</v>
      </c>
      <c r="Y2967" s="28">
        <v>2583790000</v>
      </c>
      <c r="Z2967" s="28">
        <v>-1023966000</v>
      </c>
      <c r="AA2967" s="28"/>
      <c r="AB2967" s="28">
        <v>2530049000</v>
      </c>
      <c r="AC2967" s="28">
        <v>3404486000</v>
      </c>
      <c r="AD2967" s="28">
        <v>-856851000</v>
      </c>
      <c r="AE2967" s="28">
        <v>5471331000</v>
      </c>
      <c r="AF2967" s="28">
        <v>722890000</v>
      </c>
      <c r="AG2967" s="11"/>
    </row>
    <row r="2968">
      <c r="A2968" s="7" t="s">
        <v>4649</v>
      </c>
      <c r="B2968" s="5" t="s">
        <v>12623</v>
      </c>
      <c r="C2968" s="5" t="s">
        <v>18146</v>
      </c>
      <c r="D2968" s="5"/>
      <c r="E2968" s="0" t="e">
        <f>+7 (391) 2052976
+7 (391) 2052989
+7 (391) 2560012
+7 (391) 2696169</f>
        <v>#NAME?</v>
      </c>
      <c r="F2968" s="5" t="s">
        <v>34260</v>
      </c>
      <c r="G2968" s="5"/>
      <c r="H2968" s="26">
        <v>19</v>
      </c>
      <c r="I2968" s="5" t="s">
        <v>34261</v>
      </c>
      <c r="J2968" s="5" t="s">
        <v>29086</v>
      </c>
      <c r="K2968" s="5" t="s">
        <v>355</v>
      </c>
      <c r="L2968" s="5" t="s">
        <v>34262</v>
      </c>
      <c r="M2968" s="27">
        <v>1650701</v>
      </c>
      <c r="N2968" s="5"/>
      <c r="O2968" s="5" t="str">
        <v>2464054271</v>
      </c>
      <c r="P2968" s="27">
        <v>540000000</v>
      </c>
      <c r="Q2968" s="5"/>
      <c r="R2968" s="5"/>
      <c r="S2968" s="5" t="s">
        <v>49029</v>
      </c>
      <c r="T2968" s="28">
        <v>6213783000</v>
      </c>
      <c r="U2968" s="28">
        <v>2010301000</v>
      </c>
      <c r="V2968" s="28">
        <v>208860000</v>
      </c>
      <c r="W2968" s="28"/>
      <c r="X2968" s="28">
        <v>61536000</v>
      </c>
      <c r="Y2968" s="28">
        <v>9740570000</v>
      </c>
      <c r="Z2968" s="28">
        <v>5271127000</v>
      </c>
      <c r="AA2968" s="28">
        <v>1507047000</v>
      </c>
      <c r="AB2968" s="28">
        <v>1551322000</v>
      </c>
      <c r="AC2968" s="28">
        <v>2155105000</v>
      </c>
      <c r="AD2968" s="28">
        <v>5811127000</v>
      </c>
      <c r="AE2968" s="28">
        <v>3943666000</v>
      </c>
      <c r="AF2968" s="28">
        <v>403880000</v>
      </c>
      <c r="AG2968" s="11"/>
    </row>
    <row r="2969">
      <c r="A2969" s="7" t="s">
        <v>4650</v>
      </c>
      <c r="B2969" s="5" t="s">
        <v>12624</v>
      </c>
      <c r="C2969" s="5" t="s">
        <v>20444</v>
      </c>
      <c r="D2969" s="5" t="str">
        <v>246302468929</v>
      </c>
      <c r="E2969" s="0" t="e">
        <f>+7 (391) 2417676
+7 (391) 2456011
+7 (391) 2456136
+7 (391) 2477888
+7 (391) 2477999
+7 (391) 2682020
+7 (391) 2683079
+7 (391) 2811000</f>
        <v>#NAME?</v>
      </c>
      <c r="F2969" s="5" t="s">
        <v>34263</v>
      </c>
      <c r="G2969" s="5" t="s">
        <v>34264</v>
      </c>
      <c r="H2969" s="26">
        <v>25</v>
      </c>
      <c r="I2969" s="5" t="s">
        <v>34265</v>
      </c>
      <c r="J2969" s="5" t="s">
        <v>34266</v>
      </c>
      <c r="K2969" s="5" t="s">
        <v>344</v>
      </c>
      <c r="L2969" s="5" t="s">
        <v>34267</v>
      </c>
      <c r="M2969" s="27"/>
      <c r="N2969" s="5"/>
      <c r="O2969" s="5" t="str">
        <v>2463042026</v>
      </c>
      <c r="P2969" s="27">
        <v>100000</v>
      </c>
      <c r="Q2969" s="5"/>
      <c r="R2969" s="5"/>
      <c r="S2969" s="5" t="s">
        <v>49425</v>
      </c>
      <c r="T2969" s="28">
        <v>450055000</v>
      </c>
      <c r="U2969" s="28"/>
      <c r="V2969" s="28">
        <v>531036000</v>
      </c>
      <c r="W2969" s="28"/>
      <c r="X2969" s="28">
        <v>123063000</v>
      </c>
      <c r="Y2969" s="28">
        <v>1636031000</v>
      </c>
      <c r="Z2969" s="28">
        <v>1320496000</v>
      </c>
      <c r="AA2969" s="28"/>
      <c r="AB2969" s="28">
        <v>900000</v>
      </c>
      <c r="AC2969" s="28">
        <v>279324000</v>
      </c>
      <c r="AD2969" s="28">
        <v>1320596000</v>
      </c>
      <c r="AE2969" s="28">
        <v>3543476000</v>
      </c>
      <c r="AF2969" s="28">
        <v>484724000</v>
      </c>
      <c r="AG2969" s="11"/>
    </row>
    <row r="2970">
      <c r="A2970" s="7" t="s">
        <v>4651</v>
      </c>
      <c r="B2970" s="5" t="s">
        <v>12625</v>
      </c>
      <c r="C2970" s="5" t="s">
        <v>19567</v>
      </c>
      <c r="D2970" s="5"/>
      <c r="E2970" s="0" t="e">
        <f>+7 (34145) 62964
+7 (381) 2639825
+7 (383) 2225525
+7 (391) 2006018
+7 (391) 2061842
+7 (391) 2114356
+7 (391) 2120502
+7 (391) 2122019
+7 (391) 2200819
+7 (391) 2207898
+7 (381) 3222019
+7 (391) 2120098
+7 (391) 2120452
+7 (391) 2120580
+7 (391) 2120851</f>
        <v>#NAME?</v>
      </c>
      <c r="F2970" s="5" t="s">
        <v>34268</v>
      </c>
      <c r="G2970" s="5" t="s">
        <v>34269</v>
      </c>
      <c r="H2970" s="26">
        <v>17.5</v>
      </c>
      <c r="I2970" s="5" t="s">
        <v>34270</v>
      </c>
      <c r="J2970" s="5" t="s">
        <v>29005</v>
      </c>
      <c r="K2970" s="5" t="s">
        <v>344</v>
      </c>
      <c r="L2970" s="5"/>
      <c r="M2970" s="27">
        <v>2896161500</v>
      </c>
      <c r="N2970" s="5" t="s">
        <v>53972</v>
      </c>
      <c r="O2970" s="5" t="str">
        <v>2466132221</v>
      </c>
      <c r="P2970" s="27">
        <v>15300659</v>
      </c>
      <c r="Q2970" s="5" t="s">
        <v>53973</v>
      </c>
      <c r="R2970" s="5"/>
      <c r="S2970" s="5" t="s">
        <v>53974</v>
      </c>
      <c r="T2970" s="28">
        <v>1859752000</v>
      </c>
      <c r="U2970" s="28"/>
      <c r="V2970" s="28">
        <v>3018352000</v>
      </c>
      <c r="W2970" s="28"/>
      <c r="X2970" s="28">
        <v>2516870000</v>
      </c>
      <c r="Y2970" s="28">
        <v>8134748000</v>
      </c>
      <c r="Z2970" s="28">
        <v>3171577000</v>
      </c>
      <c r="AA2970" s="28">
        <v>11681000</v>
      </c>
      <c r="AB2970" s="28">
        <v>3357000</v>
      </c>
      <c r="AC2970" s="28">
        <v>4747283000</v>
      </c>
      <c r="AD2970" s="28">
        <v>3315736000</v>
      </c>
      <c r="AE2970" s="28">
        <v>40095176000</v>
      </c>
      <c r="AF2970" s="28">
        <v>1306173000</v>
      </c>
      <c r="AG2970" s="11"/>
    </row>
    <row r="2971">
      <c r="A2971" s="7" t="s">
        <v>4652</v>
      </c>
      <c r="B2971" s="5" t="s">
        <v>12626</v>
      </c>
      <c r="C2971" s="5" t="s">
        <v>20445</v>
      </c>
      <c r="D2971" s="5" t="str">
        <v>310259242604</v>
      </c>
      <c r="E2971" s="0" t="e">
        <f>+7 (47232) 55550
+7 (47232) 55868
+7 (47263) 45121
+7 (47263) 45128
+7 (47263) 45471
+7 (47263) 45671
+7 (47263) 45732
+7 (47263) 45855
+7 (47263) 46549
+7 (920) 5719731</f>
        <v>#NAME?</v>
      </c>
      <c r="F2971" s="5" t="s">
        <v>34271</v>
      </c>
      <c r="G2971" s="5" t="s">
        <v>34272</v>
      </c>
      <c r="H2971" s="26">
        <v>16</v>
      </c>
      <c r="I2971" s="5"/>
      <c r="J2971" s="5" t="s">
        <v>725</v>
      </c>
      <c r="K2971" s="5" t="s">
        <v>344</v>
      </c>
      <c r="L2971" s="5" t="s">
        <v>34273</v>
      </c>
      <c r="M2971" s="27">
        <v>39784379</v>
      </c>
      <c r="N2971" s="5" t="s">
        <v>53975</v>
      </c>
      <c r="O2971" s="5" t="str">
        <v>3113001402</v>
      </c>
      <c r="P2971" s="27">
        <v>100000</v>
      </c>
      <c r="Q2971" s="5" t="s">
        <v>53976</v>
      </c>
      <c r="R2971" s="5"/>
      <c r="S2971" s="5" t="s">
        <v>49542</v>
      </c>
      <c r="T2971" s="28">
        <v>4220345000</v>
      </c>
      <c r="U2971" s="28"/>
      <c r="V2971" s="28">
        <v>181803000</v>
      </c>
      <c r="W2971" s="28"/>
      <c r="X2971" s="28">
        <v>1181644000</v>
      </c>
      <c r="Y2971" s="28">
        <v>9598157000</v>
      </c>
      <c r="Z2971" s="28">
        <v>4704304000</v>
      </c>
      <c r="AA2971" s="28">
        <v>1132446000</v>
      </c>
      <c r="AB2971" s="28">
        <v>1555796000</v>
      </c>
      <c r="AC2971" s="28">
        <v>2269183000</v>
      </c>
      <c r="AD2971" s="28">
        <v>4704404000</v>
      </c>
      <c r="AE2971" s="28">
        <v>5027269000</v>
      </c>
      <c r="AF2971" s="28">
        <v>1699135000</v>
      </c>
      <c r="AG2971" s="11"/>
    </row>
    <row r="2972">
      <c r="A2972" s="7" t="s">
        <v>4653</v>
      </c>
      <c r="B2972" s="5" t="s">
        <v>12627</v>
      </c>
      <c r="C2972" s="5" t="s">
        <v>19628</v>
      </c>
      <c r="D2972" s="5"/>
      <c r="E2972" s="0" t="e">
        <f>+7 (47263) 45470
+7 (47263) 45491
+7 (47263) 45595
+7 (47263) 46245
+7 (495) 9334400</f>
        <v>#NAME?</v>
      </c>
      <c r="F2972" s="5" t="s">
        <v>34274</v>
      </c>
      <c r="G2972" s="5"/>
      <c r="H2972" s="26">
        <v>16.5</v>
      </c>
      <c r="I2972" s="5" t="s">
        <v>34275</v>
      </c>
      <c r="J2972" s="5" t="s">
        <v>25994</v>
      </c>
      <c r="K2972" s="5" t="s">
        <v>344</v>
      </c>
      <c r="L2972" s="5" t="s">
        <v>34276</v>
      </c>
      <c r="M2972" s="27"/>
      <c r="N2972" s="5"/>
      <c r="O2972" s="5" t="str">
        <v>3113001360</v>
      </c>
      <c r="P2972" s="27">
        <v>55500000</v>
      </c>
      <c r="Q2972" s="5"/>
      <c r="R2972" s="5"/>
      <c r="S2972" s="5" t="s">
        <v>49029</v>
      </c>
      <c r="T2972" s="28">
        <v>54021000</v>
      </c>
      <c r="U2972" s="28"/>
      <c r="V2972" s="28">
        <v>1715362000</v>
      </c>
      <c r="W2972" s="28">
        <v>30000</v>
      </c>
      <c r="X2972" s="28">
        <v>280000</v>
      </c>
      <c r="Y2972" s="28">
        <v>2358941000</v>
      </c>
      <c r="Z2972" s="28">
        <v>1051847000</v>
      </c>
      <c r="AA2972" s="28">
        <v>3488000</v>
      </c>
      <c r="AB2972" s="28">
        <v>500062000</v>
      </c>
      <c r="AC2972" s="28">
        <v>1225955000</v>
      </c>
      <c r="AD2972" s="28">
        <v>1107347000</v>
      </c>
      <c r="AE2972" s="28">
        <v>3621218000</v>
      </c>
      <c r="AF2972" s="28">
        <v>844437000</v>
      </c>
      <c r="AG2972" s="11"/>
    </row>
    <row r="2973">
      <c r="A2973" s="7" t="s">
        <v>4654</v>
      </c>
      <c r="B2973" s="5" t="s">
        <v>12628</v>
      </c>
      <c r="C2973" s="5" t="s">
        <v>20446</v>
      </c>
      <c r="D2973" s="5" t="str">
        <v>772765276271</v>
      </c>
      <c r="E2973" s="0" t="e">
        <f>+7 (495) 6466464
+7 (916) 3341185
+7 (495) 6463452
+7 (495) 6463464
+7 (495) 7254683
+7 (499) 5570446
+7 (499) 5570447
+7 (800) 3003030</f>
        <v>#NAME?</v>
      </c>
      <c r="F2973" s="5" t="s">
        <v>34277</v>
      </c>
      <c r="G2973" s="5" t="s">
        <v>34278</v>
      </c>
      <c r="H2973" s="26">
        <v>15.5</v>
      </c>
      <c r="I2973" s="5" t="s">
        <v>34279</v>
      </c>
      <c r="J2973" s="5" t="s">
        <v>34280</v>
      </c>
      <c r="K2973" s="5" t="s">
        <v>344</v>
      </c>
      <c r="L2973" s="5"/>
      <c r="M2973" s="27"/>
      <c r="N2973" s="5" t="s">
        <v>53977</v>
      </c>
      <c r="O2973" s="5" t="str">
        <v>7717595474</v>
      </c>
      <c r="P2973" s="27">
        <v>2700000</v>
      </c>
      <c r="Q2973" s="5" t="s">
        <v>53978</v>
      </c>
      <c r="R2973" s="5"/>
      <c r="S2973" s="5" t="s">
        <v>53979</v>
      </c>
      <c r="T2973" s="28">
        <v>241052000</v>
      </c>
      <c r="U2973" s="28">
        <v>3000</v>
      </c>
      <c r="V2973" s="28">
        <v>1974883000</v>
      </c>
      <c r="W2973" s="28">
        <v>234020000</v>
      </c>
      <c r="X2973" s="28">
        <v>4062379000</v>
      </c>
      <c r="Y2973" s="28">
        <v>8388720000</v>
      </c>
      <c r="Z2973" s="28">
        <v>5488120000</v>
      </c>
      <c r="AA2973" s="28"/>
      <c r="AB2973" s="28"/>
      <c r="AC2973" s="28">
        <v>2760074000</v>
      </c>
      <c r="AD2973" s="28">
        <v>5497792000</v>
      </c>
      <c r="AE2973" s="28">
        <v>3275669000</v>
      </c>
      <c r="AF2973" s="28">
        <v>-391596000</v>
      </c>
      <c r="AG2973" s="11"/>
    </row>
    <row r="2974">
      <c r="A2974" s="7" t="s">
        <v>4655</v>
      </c>
      <c r="B2974" s="5" t="s">
        <v>12629</v>
      </c>
      <c r="C2974" s="5" t="s">
        <v>18842</v>
      </c>
      <c r="D2974" s="5"/>
      <c r="E2974" s="0" t="e">
        <f>+7 (495) 9825601
+7 (495) 9825602
+7 (495) 9883651
+7 (495) 2300733
+7 (495) 2300866
+7 (495) 7306902
+7 (495) 9825632
+7 (495) 9825699
+7 (495) 9883618</f>
        <v>#NAME?</v>
      </c>
      <c r="F2974" s="5" t="s">
        <v>34281</v>
      </c>
      <c r="G2974" s="5" t="s">
        <v>34282</v>
      </c>
      <c r="H2974" s="26">
        <v>30</v>
      </c>
      <c r="I2974" s="5" t="s">
        <v>34283</v>
      </c>
      <c r="J2974" s="5" t="s">
        <v>25287</v>
      </c>
      <c r="K2974" s="5" t="s">
        <v>344</v>
      </c>
      <c r="L2974" s="5"/>
      <c r="M2974" s="27">
        <v>46971</v>
      </c>
      <c r="N2974" s="5"/>
      <c r="O2974" s="5" t="str">
        <v>7706043263</v>
      </c>
      <c r="P2974" s="27">
        <v>11022816</v>
      </c>
      <c r="Q2974" s="5" t="s">
        <v>49009</v>
      </c>
      <c r="R2974" s="5"/>
      <c r="S2974" s="5" t="s">
        <v>49028</v>
      </c>
      <c r="T2974" s="28">
        <v>1341032000</v>
      </c>
      <c r="U2974" s="28">
        <v>7778666000</v>
      </c>
      <c r="V2974" s="28">
        <v>6331066000</v>
      </c>
      <c r="W2974" s="28"/>
      <c r="X2974" s="28">
        <v>14353000</v>
      </c>
      <c r="Y2974" s="28">
        <v>18091279000</v>
      </c>
      <c r="Z2974" s="28">
        <v>11955307000</v>
      </c>
      <c r="AA2974" s="28"/>
      <c r="AB2974" s="28"/>
      <c r="AC2974" s="28">
        <v>4486766000</v>
      </c>
      <c r="AD2974" s="28">
        <v>12740642000</v>
      </c>
      <c r="AE2974" s="28">
        <v>16184111000</v>
      </c>
      <c r="AF2974" s="28">
        <v>874081000</v>
      </c>
      <c r="AG2974" s="11"/>
    </row>
    <row r="2975">
      <c r="A2975" s="7" t="s">
        <v>4656</v>
      </c>
      <c r="B2975" s="5" t="s">
        <v>12630</v>
      </c>
      <c r="C2975" s="5" t="s">
        <v>20447</v>
      </c>
      <c r="D2975" s="5" t="str">
        <v>183203488569</v>
      </c>
      <c r="E2975" s="0" t="e">
        <f>+7 (8332) 214587
+7 (8332) 254787
+7 (8332) 432201
+7 (8332) 432203
+7 (8332) 432216
+7 (8332) 432218
+7 (8332) 694093
+7 (8332) 432205
+7 (83362) 43534
+7 (83362) 44081
+7 (83362) 44570
+7 (83362) 94246</f>
        <v>#NAME?</v>
      </c>
      <c r="F2975" s="5" t="s">
        <v>34284</v>
      </c>
      <c r="G2975" s="5" t="s">
        <v>34285</v>
      </c>
      <c r="H2975" s="26">
        <v>24.5</v>
      </c>
      <c r="I2975" s="5"/>
      <c r="J2975" s="5" t="s">
        <v>27221</v>
      </c>
      <c r="K2975" s="5" t="s">
        <v>344</v>
      </c>
      <c r="L2975" s="5" t="s">
        <v>34286</v>
      </c>
      <c r="M2975" s="27"/>
      <c r="N2975" s="5" t="s">
        <v>53980</v>
      </c>
      <c r="O2975" s="5" t="str">
        <v>4343004720</v>
      </c>
      <c r="P2975" s="27">
        <v>853900</v>
      </c>
      <c r="Q2975" s="5"/>
      <c r="R2975" s="5"/>
      <c r="S2975" s="5" t="s">
        <v>49029</v>
      </c>
      <c r="T2975" s="28">
        <v>1347395000</v>
      </c>
      <c r="U2975" s="28">
        <v>1033061000</v>
      </c>
      <c r="V2975" s="28">
        <v>3719203000</v>
      </c>
      <c r="W2975" s="28">
        <v>439282000</v>
      </c>
      <c r="X2975" s="28">
        <v>214810000</v>
      </c>
      <c r="Y2975" s="28">
        <v>7836306000</v>
      </c>
      <c r="Z2975" s="28">
        <v>4483163000</v>
      </c>
      <c r="AA2975" s="28">
        <v>1830160000</v>
      </c>
      <c r="AB2975" s="28">
        <v>430378000</v>
      </c>
      <c r="AC2975" s="28">
        <v>1125227000</v>
      </c>
      <c r="AD2975" s="28">
        <v>4600608000</v>
      </c>
      <c r="AE2975" s="28">
        <v>4719403000</v>
      </c>
      <c r="AF2975" s="28">
        <v>828644000</v>
      </c>
      <c r="AG2975" s="11"/>
    </row>
    <row r="2976">
      <c r="A2976" s="7" t="s">
        <v>4657</v>
      </c>
      <c r="B2976" s="5" t="s">
        <v>12631</v>
      </c>
      <c r="C2976" s="5" t="s">
        <v>20448</v>
      </c>
      <c r="D2976" s="5"/>
      <c r="E2976" s="0" t="e">
        <f>+7 (3843) 352602
+7 (381) 2218427
+7 (3843) 321316
+7 (3843) 322601
+7 (38456) 27503
+7 (38456) 28241
+7 (3952) 722817
+7 (499) 4586947
+7 (906) 3655588
+7 (383) 2352602
+7 (384) 2352601
+7 (3843) 774763
+7 (3843) 776190
+7 (391) 2646006
+7 (3952) 792817</f>
        <v>#NAME?</v>
      </c>
      <c r="F2976" s="5" t="s">
        <v>34287</v>
      </c>
      <c r="G2976" s="5"/>
      <c r="H2976" s="26">
        <v>13</v>
      </c>
      <c r="I2976" s="5" t="s">
        <v>34288</v>
      </c>
      <c r="J2976" s="5" t="s">
        <v>25337</v>
      </c>
      <c r="K2976" s="5" t="s">
        <v>344</v>
      </c>
      <c r="L2976" s="5"/>
      <c r="M2976" s="27"/>
      <c r="N2976" s="5" t="s">
        <v>53981</v>
      </c>
      <c r="O2976" s="5" t="str">
        <v>4217121858</v>
      </c>
      <c r="P2976" s="27">
        <v>100000</v>
      </c>
      <c r="Q2976" s="5" t="s">
        <v>53982</v>
      </c>
      <c r="R2976" s="5"/>
      <c r="S2976" s="5" t="s">
        <v>53983</v>
      </c>
      <c r="T2976" s="28">
        <v>146659000</v>
      </c>
      <c r="U2976" s="28"/>
      <c r="V2976" s="28">
        <v>849129000</v>
      </c>
      <c r="W2976" s="28">
        <v>4869000</v>
      </c>
      <c r="X2976" s="28">
        <v>14191000</v>
      </c>
      <c r="Y2976" s="28">
        <v>2311259000</v>
      </c>
      <c r="Z2976" s="28">
        <v>527112000</v>
      </c>
      <c r="AA2976" s="28">
        <v>334000000</v>
      </c>
      <c r="AB2976" s="28">
        <v>771710000</v>
      </c>
      <c r="AC2976" s="28">
        <v>1143567000</v>
      </c>
      <c r="AD2976" s="28">
        <v>817914000</v>
      </c>
      <c r="AE2976" s="28">
        <v>5989599000</v>
      </c>
      <c r="AF2976" s="28">
        <v>37794000</v>
      </c>
      <c r="AG2976" s="11"/>
    </row>
    <row r="2977">
      <c r="A2977" s="7" t="s">
        <v>4658</v>
      </c>
      <c r="B2977" s="5" t="s">
        <v>12632</v>
      </c>
      <c r="C2977" s="5" t="s">
        <v>20449</v>
      </c>
      <c r="D2977" s="5" t="str">
        <v>246202545739</v>
      </c>
      <c r="F2977" s="5"/>
      <c r="G2977" s="5" t="s">
        <v>34289</v>
      </c>
      <c r="H2977" s="26">
        <v>11.5</v>
      </c>
      <c r="I2977" s="5" t="s">
        <v>34290</v>
      </c>
      <c r="J2977" s="5" t="s">
        <v>25738</v>
      </c>
      <c r="K2977" s="5" t="s">
        <v>355</v>
      </c>
      <c r="L2977" s="5" t="s">
        <v>34291</v>
      </c>
      <c r="M2977" s="27">
        <v>13235378</v>
      </c>
      <c r="N2977" s="5"/>
      <c r="O2977" s="5" t="str">
        <v>2462218044</v>
      </c>
      <c r="P2977" s="27">
        <v>1000000</v>
      </c>
      <c r="Q2977" s="5" t="s">
        <v>49009</v>
      </c>
      <c r="R2977" s="5"/>
      <c r="S2977" s="5" t="s">
        <v>49545</v>
      </c>
      <c r="T2977" s="28">
        <v>5442402000</v>
      </c>
      <c r="U2977" s="28"/>
      <c r="V2977" s="28">
        <v>244835000</v>
      </c>
      <c r="W2977" s="28">
        <v>782708000</v>
      </c>
      <c r="X2977" s="28">
        <v>334026000</v>
      </c>
      <c r="Y2977" s="28">
        <v>10043133000</v>
      </c>
      <c r="Z2977" s="28">
        <v>231907000</v>
      </c>
      <c r="AA2977" s="28"/>
      <c r="AB2977" s="28"/>
      <c r="AC2977" s="28">
        <v>4848559000</v>
      </c>
      <c r="AD2977" s="28">
        <v>232907000</v>
      </c>
      <c r="AE2977" s="28">
        <v>16851849000</v>
      </c>
      <c r="AF2977" s="28">
        <v>768666000</v>
      </c>
      <c r="AG2977" s="11"/>
    </row>
    <row r="2978">
      <c r="A2978" s="7" t="s">
        <v>4659</v>
      </c>
      <c r="B2978" s="5" t="s">
        <v>12633</v>
      </c>
      <c r="C2978" s="5" t="s">
        <v>20450</v>
      </c>
      <c r="D2978" s="5" t="str">
        <v>503702535207</v>
      </c>
      <c r="E2978" s="0" t="e">
        <f>+7 (391) 2593211
+7 (391) 2629414
+7 (913) 5341468
+7 (391) 2642832
+7 (391) 2230125
+7 (391) 2238031
+7 (391) 2238036
+7 (391) 2593333
+7 (391) 2628248
+7 (391) 2629837
+7 (391) 2642444
+7 (391) 2646762
+7 (800) 7007030</f>
        <v>#NAME?</v>
      </c>
      <c r="F2978" s="5" t="s">
        <v>34292</v>
      </c>
      <c r="G2978" s="5" t="s">
        <v>34293</v>
      </c>
      <c r="H2978" s="26">
        <v>28</v>
      </c>
      <c r="I2978" s="5" t="s">
        <v>34294</v>
      </c>
      <c r="J2978" s="5" t="s">
        <v>25779</v>
      </c>
      <c r="K2978" s="5" t="s">
        <v>344</v>
      </c>
      <c r="L2978" s="5" t="s">
        <v>34295</v>
      </c>
      <c r="M2978" s="27">
        <v>30519548</v>
      </c>
      <c r="N2978" s="5" t="s">
        <v>53984</v>
      </c>
      <c r="O2978" s="5" t="str">
        <v>2451000818</v>
      </c>
      <c r="P2978" s="27">
        <v>101898225</v>
      </c>
      <c r="Q2978" s="5" t="s">
        <v>53985</v>
      </c>
      <c r="R2978" s="5"/>
      <c r="S2978" s="5" t="s">
        <v>53986</v>
      </c>
      <c r="T2978" s="28">
        <v>7378184000</v>
      </c>
      <c r="U2978" s="28">
        <v>176721000</v>
      </c>
      <c r="V2978" s="28">
        <v>4326745000</v>
      </c>
      <c r="W2978" s="28">
        <v>323100000</v>
      </c>
      <c r="X2978" s="28">
        <v>5897520000</v>
      </c>
      <c r="Y2978" s="28">
        <v>51809466000</v>
      </c>
      <c r="Z2978" s="28">
        <v>41755085000</v>
      </c>
      <c r="AA2978" s="28">
        <v>129163000</v>
      </c>
      <c r="AB2978" s="28">
        <v>6717140000</v>
      </c>
      <c r="AC2978" s="28">
        <v>9096233000</v>
      </c>
      <c r="AD2978" s="28">
        <v>41896254000</v>
      </c>
      <c r="AE2978" s="28">
        <v>72482758000</v>
      </c>
      <c r="AF2978" s="28">
        <v>119552000</v>
      </c>
      <c r="AG2978" s="11"/>
    </row>
    <row r="2979">
      <c r="A2979" s="7" t="s">
        <v>4660</v>
      </c>
      <c r="B2979" s="5" t="s">
        <v>12634</v>
      </c>
      <c r="C2979" s="5" t="s">
        <v>20451</v>
      </c>
      <c r="D2979" s="5" t="str">
        <v>245504457653</v>
      </c>
      <c r="E2979" s="0" t="e">
        <f>+7 (391) 2228620
+7 (391) 2236207
+7 (391) 2256222
+7 (391) 2286007
+7 (391) 2286205
+7 (391) 2286266
+7 (391) 2286270
+7 (391) 2312458
+7 (391) 2422862
+7 (391) 2425487
+7 (391) 2445825
+7 (391) 2478512
+7 (391) 2568678
+7 (39143) 72035
+7 (391) 2286201</f>
        <v>#NAME?</v>
      </c>
      <c r="F2979" s="5" t="s">
        <v>34296</v>
      </c>
      <c r="G2979" s="5" t="s">
        <v>34297</v>
      </c>
      <c r="H2979" s="26">
        <v>8</v>
      </c>
      <c r="I2979" s="5" t="s">
        <v>34298</v>
      </c>
      <c r="J2979" s="5" t="s">
        <v>27802</v>
      </c>
      <c r="K2979" s="5" t="s">
        <v>344</v>
      </c>
      <c r="L2979" s="5"/>
      <c r="M2979" s="27">
        <v>87745318</v>
      </c>
      <c r="N2979" s="5" t="s">
        <v>53987</v>
      </c>
      <c r="O2979" s="5" t="str">
        <v>2460087269</v>
      </c>
      <c r="P2979" s="27">
        <v>8598143000</v>
      </c>
      <c r="Q2979" s="5" t="s">
        <v>53989</v>
      </c>
      <c r="R2979" s="5" t="s">
        <v>53990</v>
      </c>
      <c r="S2979" s="5" t="s">
        <v>52842</v>
      </c>
      <c r="T2979" s="28">
        <v>10236913000</v>
      </c>
      <c r="U2979" s="28">
        <v>55841000</v>
      </c>
      <c r="V2979" s="28">
        <v>4477541000</v>
      </c>
      <c r="W2979" s="28"/>
      <c r="X2979" s="28">
        <v>445710000</v>
      </c>
      <c r="Y2979" s="28">
        <v>18692140000</v>
      </c>
      <c r="Z2979" s="28">
        <v>3440663000</v>
      </c>
      <c r="AA2979" s="28">
        <v>1140054000</v>
      </c>
      <c r="AB2979" s="28">
        <v>85968000</v>
      </c>
      <c r="AC2979" s="28">
        <v>4898578000</v>
      </c>
      <c r="AD2979" s="28">
        <v>12180537000</v>
      </c>
      <c r="AE2979" s="28">
        <v>9386187000</v>
      </c>
      <c r="AF2979" s="28">
        <v>5373000</v>
      </c>
      <c r="AG2979" s="11"/>
    </row>
    <row r="2980">
      <c r="A2980" s="7" t="s">
        <v>4661</v>
      </c>
      <c r="B2980" s="5" t="s">
        <v>12635</v>
      </c>
      <c r="C2980" s="5" t="s">
        <v>20452</v>
      </c>
      <c r="D2980" s="5" t="str">
        <v>245302046731</v>
      </c>
      <c r="E2980" s="0" t="e">
        <f>+7 (391) 2746660
+7 (391) 2902506
+7 (3919) 391972
+7 (39197) 15011
+7 (39197) 15500
+7 (39197) 15501
+7 (39197) 15505
+7 (39197) 15510
+7 (39197) 15511
+7 (39197) 25013
+7 (39197) 25727
+7 (39197) 44020
+7 (39197) 45007
+7 (39197) 45084
+7 (39197) 45150</f>
        <v>#NAME?</v>
      </c>
      <c r="F2980" s="5" t="s">
        <v>34299</v>
      </c>
      <c r="G2980" s="5"/>
      <c r="H2980" s="26">
        <v>12.5</v>
      </c>
      <c r="I2980" s="5" t="s">
        <v>34300</v>
      </c>
      <c r="J2980" s="5" t="s">
        <v>27642</v>
      </c>
      <c r="K2980" s="5" t="s">
        <v>344</v>
      </c>
      <c r="L2980" s="5"/>
      <c r="M2980" s="27">
        <v>65026773</v>
      </c>
      <c r="N2980" s="5" t="s">
        <v>53991</v>
      </c>
      <c r="O2980" s="5" t="str">
        <v>2460225783</v>
      </c>
      <c r="P2980" s="27">
        <v>10000</v>
      </c>
      <c r="Q2980" s="5" t="s">
        <v>53992</v>
      </c>
      <c r="R2980" s="5" t="s">
        <v>53993</v>
      </c>
      <c r="S2980" s="5" t="s">
        <v>49271</v>
      </c>
      <c r="T2980" s="28">
        <v>488308000</v>
      </c>
      <c r="U2980" s="28"/>
      <c r="V2980" s="28">
        <v>1748268000</v>
      </c>
      <c r="W2980" s="28"/>
      <c r="X2980" s="28">
        <v>64889000</v>
      </c>
      <c r="Y2980" s="28">
        <v>2772706000</v>
      </c>
      <c r="Z2980" s="28">
        <v>-95976000</v>
      </c>
      <c r="AA2980" s="28"/>
      <c r="AB2980" s="28"/>
      <c r="AC2980" s="28">
        <v>1581300000</v>
      </c>
      <c r="AD2980" s="28">
        <v>-95966000</v>
      </c>
      <c r="AE2980" s="28">
        <v>3007205000</v>
      </c>
      <c r="AF2980" s="28">
        <v>218200000</v>
      </c>
      <c r="AG2980" s="11"/>
    </row>
    <row r="2981">
      <c r="A2981" s="7" t="s">
        <v>4662</v>
      </c>
      <c r="B2981" s="5" t="s">
        <v>12636</v>
      </c>
      <c r="C2981" s="5" t="s">
        <v>20453</v>
      </c>
      <c r="D2981" s="5" t="str">
        <v>490202098205</v>
      </c>
      <c r="E2981" s="0" t="e">
        <f>+7 (41346) 57191
+7 (914) 8500255
+7 (41346) 91184
+7 (41346) 91450
+7 (41346) 91893
+7 (41346) 92080
+7 (41346) 92343</f>
        <v>#NAME?</v>
      </c>
      <c r="F2981" s="5"/>
      <c r="G2981" s="5"/>
      <c r="H2981" s="26">
        <v>21.5</v>
      </c>
      <c r="I2981" s="5" t="s">
        <v>34301</v>
      </c>
      <c r="J2981" s="5" t="s">
        <v>364</v>
      </c>
      <c r="K2981" s="5" t="s">
        <v>344</v>
      </c>
      <c r="L2981" s="5" t="s">
        <v>34302</v>
      </c>
      <c r="M2981" s="27"/>
      <c r="N2981" s="5" t="s">
        <v>53994</v>
      </c>
      <c r="O2981" s="5" t="str">
        <v>4902009859</v>
      </c>
      <c r="P2981" s="27">
        <v>10000</v>
      </c>
      <c r="Q2981" s="5" t="s">
        <v>53995</v>
      </c>
      <c r="R2981" s="5"/>
      <c r="S2981" s="5" t="s">
        <v>49065</v>
      </c>
      <c r="T2981" s="28">
        <v>1199624000</v>
      </c>
      <c r="U2981" s="28"/>
      <c r="V2981" s="28">
        <v>964367000</v>
      </c>
      <c r="W2981" s="28">
        <v>897830000</v>
      </c>
      <c r="X2981" s="28">
        <v>9629000</v>
      </c>
      <c r="Y2981" s="28">
        <v>3146165000</v>
      </c>
      <c r="Z2981" s="28">
        <v>1705048000</v>
      </c>
      <c r="AA2981" s="28"/>
      <c r="AB2981" s="28"/>
      <c r="AC2981" s="28">
        <v>1370615000</v>
      </c>
      <c r="AD2981" s="28">
        <v>1705058000</v>
      </c>
      <c r="AE2981" s="28">
        <v>4537831000</v>
      </c>
      <c r="AF2981" s="28">
        <v>1549302000</v>
      </c>
      <c r="AG2981" s="11"/>
    </row>
    <row r="2982">
      <c r="A2982" s="7" t="s">
        <v>4663</v>
      </c>
      <c r="B2982" s="5" t="s">
        <v>12637</v>
      </c>
      <c r="C2982" s="5" t="s">
        <v>20454</v>
      </c>
      <c r="D2982" s="5" t="str">
        <v>301507646539</v>
      </c>
      <c r="E2982" s="0" t="e">
        <f>+7 (495) 1080366
+7 (916) 3790520</f>
        <v>#NAME?</v>
      </c>
      <c r="F2982" s="5"/>
      <c r="G2982" s="5" t="s">
        <v>34303</v>
      </c>
      <c r="H2982" s="26">
        <v>11</v>
      </c>
      <c r="I2982" s="5" t="s">
        <v>34304</v>
      </c>
      <c r="J2982" s="5" t="s">
        <v>599</v>
      </c>
      <c r="K2982" s="5" t="s">
        <v>344</v>
      </c>
      <c r="L2982" s="5" t="s">
        <v>34305</v>
      </c>
      <c r="M2982" s="27"/>
      <c r="N2982" s="5"/>
      <c r="O2982" s="5" t="str">
        <v>7718877464</v>
      </c>
      <c r="P2982" s="27">
        <v>100000</v>
      </c>
      <c r="Q2982" s="5" t="s">
        <v>49009</v>
      </c>
      <c r="R2982" s="5"/>
      <c r="S2982" s="5" t="s">
        <v>49045</v>
      </c>
      <c r="T2982" s="28">
        <v>594000</v>
      </c>
      <c r="U2982" s="28"/>
      <c r="V2982" s="28">
        <v>847975000</v>
      </c>
      <c r="W2982" s="28"/>
      <c r="X2982" s="28">
        <v>25905000</v>
      </c>
      <c r="Y2982" s="28">
        <v>878895000</v>
      </c>
      <c r="Z2982" s="28">
        <v>57658000</v>
      </c>
      <c r="AA2982" s="28"/>
      <c r="AB2982" s="28"/>
      <c r="AC2982" s="28">
        <v>796013000</v>
      </c>
      <c r="AD2982" s="28">
        <v>57758000</v>
      </c>
      <c r="AE2982" s="28">
        <v>4939264000</v>
      </c>
      <c r="AF2982" s="28">
        <v>56882000</v>
      </c>
      <c r="AG2982" s="11"/>
    </row>
    <row r="2983">
      <c r="A2983" s="7" t="s">
        <v>4664</v>
      </c>
      <c r="B2983" s="5" t="s">
        <v>12638</v>
      </c>
      <c r="C2983" s="5" t="s">
        <v>20455</v>
      </c>
      <c r="D2983" s="5" t="str">
        <v>230808771915</v>
      </c>
      <c r="E2983" s="0" t="e">
        <f>+7 (800) 3330057
+7 (812) 3311166
+7 (812) 3466796
+7 (812) 9601414
+7 (812) 9601415
+7 (812) 9607892
+7 (929) 9745956</f>
        <v>#NAME?</v>
      </c>
      <c r="F2983" s="5" t="s">
        <v>34306</v>
      </c>
      <c r="G2983" s="5" t="s">
        <v>34307</v>
      </c>
      <c r="H2983" s="26">
        <v>18.5</v>
      </c>
      <c r="I2983" s="5" t="s">
        <v>34308</v>
      </c>
      <c r="J2983" s="5" t="s">
        <v>27654</v>
      </c>
      <c r="K2983" s="5" t="s">
        <v>344</v>
      </c>
      <c r="L2983" s="5"/>
      <c r="M2983" s="27"/>
      <c r="N2983" s="5"/>
      <c r="O2983" s="5" t="str">
        <v>7804307179</v>
      </c>
      <c r="P2983" s="27">
        <v>1431040000</v>
      </c>
      <c r="Q2983" s="5" t="s">
        <v>49009</v>
      </c>
      <c r="R2983" s="5"/>
      <c r="S2983" s="5" t="s">
        <v>49045</v>
      </c>
      <c r="T2983" s="28">
        <v>295907000</v>
      </c>
      <c r="U2983" s="28">
        <v>2290346000</v>
      </c>
      <c r="V2983" s="28">
        <v>4034203000</v>
      </c>
      <c r="W2983" s="28"/>
      <c r="X2983" s="28">
        <v>2559202000</v>
      </c>
      <c r="Y2983" s="28">
        <v>11506156000</v>
      </c>
      <c r="Z2983" s="28">
        <v>2879931000</v>
      </c>
      <c r="AA2983" s="28"/>
      <c r="AB2983" s="28">
        <v>650000000</v>
      </c>
      <c r="AC2983" s="28">
        <v>6882943000</v>
      </c>
      <c r="AD2983" s="28">
        <v>4310971000</v>
      </c>
      <c r="AE2983" s="28">
        <v>23006517000</v>
      </c>
      <c r="AF2983" s="28">
        <v>1689783000</v>
      </c>
      <c r="AG2983" s="11"/>
    </row>
    <row r="2984">
      <c r="A2984" s="7" t="s">
        <v>4665</v>
      </c>
      <c r="B2984" s="5" t="s">
        <v>12639</v>
      </c>
      <c r="C2984" s="5" t="s">
        <v>20456</v>
      </c>
      <c r="D2984" s="5" t="str">
        <v>230801651489</v>
      </c>
      <c r="E2984" s="0" t="e">
        <f>+7 (47548) 24600
+7 (47548) 24612
+7 (47548) 69218
+7 (47548) 69232
+7 (47548) 69235
+7 (47548) 69256
+7 (47548) 69300
+7 (47548) 69450</f>
        <v>#NAME?</v>
      </c>
      <c r="F2984" s="5" t="s">
        <v>34309</v>
      </c>
      <c r="G2984" s="5"/>
      <c r="H2984" s="26">
        <v>30.5</v>
      </c>
      <c r="I2984" s="5"/>
      <c r="J2984" s="5" t="s">
        <v>26858</v>
      </c>
      <c r="K2984" s="5" t="s">
        <v>344</v>
      </c>
      <c r="L2984" s="5" t="s">
        <v>34310</v>
      </c>
      <c r="M2984" s="27"/>
      <c r="N2984" s="5"/>
      <c r="O2984" s="5" t="str">
        <v>6812000220</v>
      </c>
      <c r="P2984" s="27">
        <v>18878</v>
      </c>
      <c r="Q2984" s="5" t="s">
        <v>49059</v>
      </c>
      <c r="R2984" s="5" t="s">
        <v>53996</v>
      </c>
      <c r="S2984" s="5" t="s">
        <v>49425</v>
      </c>
      <c r="T2984" s="28">
        <v>500454000</v>
      </c>
      <c r="U2984" s="28"/>
      <c r="V2984" s="28">
        <v>863363000</v>
      </c>
      <c r="W2984" s="28"/>
      <c r="X2984" s="28">
        <v>946834000</v>
      </c>
      <c r="Y2984" s="28">
        <v>2562317000</v>
      </c>
      <c r="Z2984" s="28">
        <v>1456229000</v>
      </c>
      <c r="AA2984" s="28">
        <v>34828000</v>
      </c>
      <c r="AB2984" s="28">
        <v>450000000</v>
      </c>
      <c r="AC2984" s="28">
        <v>1029735000</v>
      </c>
      <c r="AD2984" s="28">
        <v>1497754000</v>
      </c>
      <c r="AE2984" s="28">
        <v>4917817000</v>
      </c>
      <c r="AF2984" s="28">
        <v>1459507000</v>
      </c>
      <c r="AG2984" s="11"/>
    </row>
    <row r="2985">
      <c r="A2985" s="7" t="s">
        <v>4666</v>
      </c>
      <c r="B2985" s="5" t="s">
        <v>12640</v>
      </c>
      <c r="C2985" s="5" t="s">
        <v>20457</v>
      </c>
      <c r="D2985" s="5" t="str">
        <v>615425459427</v>
      </c>
      <c r="E2985" s="0" t="e">
        <f>+7 (879) 2233002
+7 (879) 2233115
+7 (879) 2233045
+7 (879) 2233119
+7 (879) 2260126
+7 (879) 2263907
+7 (879) 2267409</f>
        <v>#NAME?</v>
      </c>
      <c r="F2985" s="5" t="s">
        <v>34311</v>
      </c>
      <c r="G2985" s="5" t="s">
        <v>34312</v>
      </c>
      <c r="H2985" s="26">
        <v>22</v>
      </c>
      <c r="I2985" s="5" t="s">
        <v>34313</v>
      </c>
      <c r="J2985" s="5" t="s">
        <v>27534</v>
      </c>
      <c r="K2985" s="5" t="s">
        <v>344</v>
      </c>
      <c r="L2985" s="5" t="s">
        <v>34314</v>
      </c>
      <c r="M2985" s="27">
        <v>414595</v>
      </c>
      <c r="N2985" s="5" t="s">
        <v>53997</v>
      </c>
      <c r="O2985" s="5" t="str">
        <v>2722035038</v>
      </c>
      <c r="P2985" s="27">
        <v>35000000</v>
      </c>
      <c r="Q2985" s="5" t="s">
        <v>53998</v>
      </c>
      <c r="R2985" s="5"/>
      <c r="S2985" s="5" t="s">
        <v>51039</v>
      </c>
      <c r="T2985" s="28">
        <v>1515680000</v>
      </c>
      <c r="U2985" s="28">
        <v>90000000</v>
      </c>
      <c r="V2985" s="28">
        <v>272201000</v>
      </c>
      <c r="W2985" s="28">
        <v>631083000</v>
      </c>
      <c r="X2985" s="28">
        <v>1057511000</v>
      </c>
      <c r="Y2985" s="28">
        <v>4033515000</v>
      </c>
      <c r="Z2985" s="28">
        <v>3258331000</v>
      </c>
      <c r="AA2985" s="28"/>
      <c r="AB2985" s="28"/>
      <c r="AC2985" s="28">
        <v>639595000</v>
      </c>
      <c r="AD2985" s="28">
        <v>3293331000</v>
      </c>
      <c r="AE2985" s="28">
        <v>7849505000</v>
      </c>
      <c r="AF2985" s="28">
        <v>777229000</v>
      </c>
      <c r="AG2985" s="11"/>
    </row>
    <row r="2986">
      <c r="A2986" s="7" t="s">
        <v>4667</v>
      </c>
      <c r="B2986" s="5" t="s">
        <v>12641</v>
      </c>
      <c r="C2986" s="5" t="s">
        <v>20458</v>
      </c>
      <c r="D2986" s="5" t="str">
        <v>780708568601</v>
      </c>
      <c r="E2986" s="0" t="e">
        <f>+7 (812) 7184235</f>
        <v>#NAME?</v>
      </c>
      <c r="F2986" s="5" t="s">
        <v>34315</v>
      </c>
      <c r="G2986" s="5" t="s">
        <v>34316</v>
      </c>
      <c r="H2986" s="26">
        <v>24.5</v>
      </c>
      <c r="I2986" s="5" t="s">
        <v>34317</v>
      </c>
      <c r="J2986" s="5" t="s">
        <v>27742</v>
      </c>
      <c r="K2986" s="5" t="s">
        <v>355</v>
      </c>
      <c r="L2986" s="5"/>
      <c r="M2986" s="27"/>
      <c r="N2986" s="5"/>
      <c r="O2986" s="5" t="str">
        <v>4720011412</v>
      </c>
      <c r="P2986" s="27">
        <v>124552217</v>
      </c>
      <c r="Q2986" s="5" t="s">
        <v>49009</v>
      </c>
      <c r="R2986" s="5"/>
      <c r="S2986" s="5" t="s">
        <v>49010</v>
      </c>
      <c r="T2986" s="28">
        <v>662282000</v>
      </c>
      <c r="U2986" s="28"/>
      <c r="V2986" s="28">
        <v>392425000</v>
      </c>
      <c r="W2986" s="28"/>
      <c r="X2986" s="28">
        <v>125555000</v>
      </c>
      <c r="Y2986" s="28">
        <v>4572842000</v>
      </c>
      <c r="Z2986" s="28">
        <v>565075000</v>
      </c>
      <c r="AA2986" s="28"/>
      <c r="AB2986" s="28">
        <v>1591384000</v>
      </c>
      <c r="AC2986" s="28">
        <v>3846528000</v>
      </c>
      <c r="AD2986" s="28">
        <v>708310000</v>
      </c>
      <c r="AE2986" s="28">
        <v>6478666000</v>
      </c>
      <c r="AF2986" s="28">
        <v>-1210851000</v>
      </c>
      <c r="AG2986" s="11"/>
    </row>
    <row r="2987">
      <c r="A2987" s="7" t="s">
        <v>4668</v>
      </c>
      <c r="B2987" s="5" t="s">
        <v>12642</v>
      </c>
      <c r="C2987" s="5" t="s">
        <v>20459</v>
      </c>
      <c r="D2987" s="5" t="str">
        <v>234206395749</v>
      </c>
      <c r="E2987" s="0" t="e">
        <f>+7 (920) 7194958</f>
        <v>#NAME?</v>
      </c>
      <c r="F2987" s="5" t="s">
        <v>34318</v>
      </c>
      <c r="G2987" s="5"/>
      <c r="H2987" s="26">
        <v>20</v>
      </c>
      <c r="I2987" s="5" t="s">
        <v>34319</v>
      </c>
      <c r="J2987" s="5" t="s">
        <v>25994</v>
      </c>
      <c r="K2987" s="5" t="s">
        <v>380</v>
      </c>
      <c r="L2987" s="5"/>
      <c r="M2987" s="27">
        <v>2444321</v>
      </c>
      <c r="N2987" s="5"/>
      <c r="O2987" s="5" t="str">
        <v>4614002688</v>
      </c>
      <c r="P2987" s="27">
        <v>108000000</v>
      </c>
      <c r="Q2987" s="5"/>
      <c r="R2987" s="5"/>
      <c r="S2987" s="5" t="s">
        <v>49425</v>
      </c>
      <c r="T2987" s="28">
        <v>1682726000</v>
      </c>
      <c r="U2987" s="28"/>
      <c r="V2987" s="28">
        <v>2031780000</v>
      </c>
      <c r="W2987" s="28">
        <v>2461000</v>
      </c>
      <c r="X2987" s="28">
        <v>197000</v>
      </c>
      <c r="Y2987" s="28">
        <v>4233812000</v>
      </c>
      <c r="Z2987" s="28">
        <v>-429870000</v>
      </c>
      <c r="AA2987" s="28">
        <v>2584000</v>
      </c>
      <c r="AB2987" s="28">
        <v>2167416000</v>
      </c>
      <c r="AC2987" s="28">
        <v>4194756000</v>
      </c>
      <c r="AD2987" s="28">
        <v>-29314000</v>
      </c>
      <c r="AE2987" s="28">
        <v>3682143000</v>
      </c>
      <c r="AF2987" s="28">
        <v>11575000</v>
      </c>
      <c r="AG2987" s="11"/>
    </row>
    <row r="2988">
      <c r="A2988" s="7" t="s">
        <v>4669</v>
      </c>
      <c r="B2988" s="5" t="s">
        <v>12643</v>
      </c>
      <c r="C2988" s="5" t="s">
        <v>20460</v>
      </c>
      <c r="D2988" s="5" t="str">
        <v>524600328968</v>
      </c>
      <c r="E2988" s="0" t="e">
        <f>+7 (831) 2817777
+7 (83142) 90777</f>
        <v>#NAME?</v>
      </c>
      <c r="F2988" s="5" t="s">
        <v>34320</v>
      </c>
      <c r="G2988" s="5"/>
      <c r="H2988" s="26">
        <v>16.5</v>
      </c>
      <c r="I2988" s="5" t="s">
        <v>34321</v>
      </c>
      <c r="J2988" s="5" t="s">
        <v>26846</v>
      </c>
      <c r="K2988" s="5" t="s">
        <v>344</v>
      </c>
      <c r="L2988" s="5" t="s">
        <v>34322</v>
      </c>
      <c r="M2988" s="27"/>
      <c r="N2988" s="5"/>
      <c r="O2988" s="5" t="str">
        <v>5261051009</v>
      </c>
      <c r="P2988" s="27">
        <v>100000</v>
      </c>
      <c r="Q2988" s="5" t="s">
        <v>49059</v>
      </c>
      <c r="R2988" s="5"/>
      <c r="S2988" s="5" t="s">
        <v>49010</v>
      </c>
      <c r="T2988" s="28">
        <v>3156000</v>
      </c>
      <c r="U2988" s="28"/>
      <c r="V2988" s="28">
        <v>168271000</v>
      </c>
      <c r="W2988" s="28"/>
      <c r="X2988" s="28">
        <v>83464000</v>
      </c>
      <c r="Y2988" s="28">
        <v>1704724000</v>
      </c>
      <c r="Z2988" s="28">
        <v>626286000</v>
      </c>
      <c r="AA2988" s="28">
        <v>210000000</v>
      </c>
      <c r="AB2988" s="28">
        <v>720637000</v>
      </c>
      <c r="AC2988" s="28">
        <v>868338000</v>
      </c>
      <c r="AD2988" s="28">
        <v>626386000</v>
      </c>
      <c r="AE2988" s="28">
        <v>10279001000</v>
      </c>
      <c r="AF2988" s="28">
        <v>25747000</v>
      </c>
      <c r="AG2988" s="11"/>
    </row>
    <row r="2989">
      <c r="A2989" s="7" t="s">
        <v>4670</v>
      </c>
      <c r="B2989" s="5" t="s">
        <v>12644</v>
      </c>
      <c r="C2989" s="5" t="s">
        <v>20461</v>
      </c>
      <c r="D2989" s="5" t="str">
        <v>720205624869</v>
      </c>
      <c r="E2989" s="0" t="e">
        <f>+7 (495) 9831847
+7 (812) 6050860</f>
        <v>#NAME?</v>
      </c>
      <c r="F2989" s="5"/>
      <c r="G2989" s="5"/>
      <c r="H2989" s="26">
        <v>9</v>
      </c>
      <c r="I2989" s="5" t="s">
        <v>34323</v>
      </c>
      <c r="J2989" s="5" t="s">
        <v>29776</v>
      </c>
      <c r="K2989" s="5" t="s">
        <v>344</v>
      </c>
      <c r="L2989" s="5"/>
      <c r="M2989" s="27"/>
      <c r="N2989" s="5"/>
      <c r="O2989" s="5" t="str">
        <v>7728863750</v>
      </c>
      <c r="P2989" s="27">
        <v>5300000000</v>
      </c>
      <c r="Q2989" s="5" t="s">
        <v>53999</v>
      </c>
      <c r="R2989" s="5"/>
      <c r="S2989" s="5" t="s">
        <v>51145</v>
      </c>
      <c r="T2989" s="28">
        <v>44414949000</v>
      </c>
      <c r="U2989" s="28"/>
      <c r="V2989" s="28">
        <v>2902998000</v>
      </c>
      <c r="W2989" s="28">
        <v>650000</v>
      </c>
      <c r="X2989" s="28">
        <v>3855354000</v>
      </c>
      <c r="Y2989" s="28">
        <v>54981270000</v>
      </c>
      <c r="Z2989" s="28">
        <v>19801119000</v>
      </c>
      <c r="AA2989" s="28">
        <v>18637857000</v>
      </c>
      <c r="AB2989" s="28">
        <v>4597979000</v>
      </c>
      <c r="AC2989" s="28">
        <v>5026594000</v>
      </c>
      <c r="AD2989" s="28">
        <v>27101119000</v>
      </c>
      <c r="AE2989" s="28">
        <v>40141462000</v>
      </c>
      <c r="AF2989" s="28">
        <v>26414562000</v>
      </c>
      <c r="AG2989" s="11"/>
    </row>
    <row r="2990">
      <c r="A2990" s="7" t="s">
        <v>4671</v>
      </c>
      <c r="B2990" s="5" t="s">
        <v>12645</v>
      </c>
      <c r="C2990" s="5" t="s">
        <v>20462</v>
      </c>
      <c r="D2990" s="5" t="str">
        <v>773003653455</v>
      </c>
      <c r="E2990" s="0" t="e">
        <f>+7 (495) 6602330
+7 (495) 7804820
+7 (495) 9840789
+7 (495) 9840790
+7 (495) 9954820
+7 (495) 9954821</f>
        <v>#NAME?</v>
      </c>
      <c r="F2990" s="5" t="s">
        <v>34324</v>
      </c>
      <c r="G2990" s="5" t="s">
        <v>34325</v>
      </c>
      <c r="H2990" s="26">
        <v>23.5</v>
      </c>
      <c r="I2990" s="5" t="s">
        <v>34326</v>
      </c>
      <c r="J2990" s="5" t="s">
        <v>881</v>
      </c>
      <c r="K2990" s="5" t="s">
        <v>344</v>
      </c>
      <c r="L2990" s="5" t="s">
        <v>34327</v>
      </c>
      <c r="M2990" s="27"/>
      <c r="N2990" s="5" t="s">
        <v>54000</v>
      </c>
      <c r="O2990" s="5" t="str">
        <v>7717107991</v>
      </c>
      <c r="P2990" s="27">
        <v>90990756</v>
      </c>
      <c r="Q2990" s="5" t="s">
        <v>54001</v>
      </c>
      <c r="R2990" s="5"/>
      <c r="S2990" s="5" t="s">
        <v>50179</v>
      </c>
      <c r="T2990" s="28">
        <v>101974000</v>
      </c>
      <c r="U2990" s="28">
        <v>2780000</v>
      </c>
      <c r="V2990" s="28">
        <v>847101000</v>
      </c>
      <c r="W2990" s="28">
        <v>1549000000</v>
      </c>
      <c r="X2990" s="28">
        <v>57758000</v>
      </c>
      <c r="Y2990" s="28">
        <v>2742580000</v>
      </c>
      <c r="Z2990" s="28">
        <v>616958000</v>
      </c>
      <c r="AA2990" s="28"/>
      <c r="AB2990" s="28"/>
      <c r="AC2990" s="28">
        <v>1926069000</v>
      </c>
      <c r="AD2990" s="28">
        <v>926129000</v>
      </c>
      <c r="AE2990" s="28">
        <v>3514300000</v>
      </c>
      <c r="AF2990" s="28">
        <v>1818311000</v>
      </c>
      <c r="AG2990" s="11"/>
    </row>
    <row r="2991">
      <c r="A2991" s="7" t="s">
        <v>4672</v>
      </c>
      <c r="B2991" s="5" t="s">
        <v>12646</v>
      </c>
      <c r="C2991" s="5" t="s">
        <v>20463</v>
      </c>
      <c r="D2991" s="5" t="str">
        <v>366511672641</v>
      </c>
      <c r="E2991" s="0" t="e">
        <f>+7 (499) 7043537</f>
        <v>#NAME?</v>
      </c>
      <c r="F2991" s="5"/>
      <c r="G2991" s="5" t="s">
        <v>34328</v>
      </c>
      <c r="H2991" s="26">
        <v>6</v>
      </c>
      <c r="I2991" s="5" t="s">
        <v>34329</v>
      </c>
      <c r="J2991" s="5" t="s">
        <v>26447</v>
      </c>
      <c r="K2991" s="5" t="s">
        <v>355</v>
      </c>
      <c r="L2991" s="5" t="s">
        <v>34330</v>
      </c>
      <c r="M2991" s="27"/>
      <c r="N2991" s="5"/>
      <c r="O2991" s="5" t="str">
        <v>5003122140</v>
      </c>
      <c r="P2991" s="27">
        <v>120000</v>
      </c>
      <c r="Q2991" s="5" t="s">
        <v>49059</v>
      </c>
      <c r="R2991" s="5"/>
      <c r="S2991" s="5" t="s">
        <v>49121</v>
      </c>
      <c r="T2991" s="28">
        <v>6785000</v>
      </c>
      <c r="U2991" s="28">
        <v>294800000</v>
      </c>
      <c r="V2991" s="28">
        <v>1733128000</v>
      </c>
      <c r="W2991" s="28"/>
      <c r="X2991" s="28">
        <v>9805000</v>
      </c>
      <c r="Y2991" s="28">
        <v>2649936000</v>
      </c>
      <c r="Z2991" s="28">
        <v>111438000</v>
      </c>
      <c r="AA2991" s="28">
        <v>17000</v>
      </c>
      <c r="AB2991" s="28"/>
      <c r="AC2991" s="28">
        <v>2538328000</v>
      </c>
      <c r="AD2991" s="28">
        <v>111558000</v>
      </c>
      <c r="AE2991" s="28">
        <v>3462213000</v>
      </c>
      <c r="AF2991" s="28">
        <v>16298000</v>
      </c>
      <c r="AG2991" s="11"/>
    </row>
    <row r="2992">
      <c r="A2992" s="7" t="s">
        <v>4673</v>
      </c>
      <c r="B2992" s="5" t="s">
        <v>12647</v>
      </c>
      <c r="C2992" s="5" t="s">
        <v>19628</v>
      </c>
      <c r="D2992" s="5"/>
      <c r="E2992" s="0" t="e">
        <f>+7 (47363) 44037
+7 (47363) 44359
+7 (47363) 21830
+7 (47363) 30050
+7 (47363) 30051
+7 (47363) 30052
+7 (47363) 30053
+7 (47363) 30054
+7 (47363) 30055
+7 (47363) 30056
+7 (47363) 30057
+7 (47363) 44061
+7 (47363) 44234
+7 (47363) 45007
+7 (495) 9334400</f>
        <v>#NAME?</v>
      </c>
      <c r="F2992" s="5" t="s">
        <v>34331</v>
      </c>
      <c r="G2992" s="5" t="s">
        <v>34332</v>
      </c>
      <c r="H2992" s="26">
        <v>30.5</v>
      </c>
      <c r="I2992" s="5"/>
      <c r="J2992" s="5" t="s">
        <v>25994</v>
      </c>
      <c r="K2992" s="5" t="s">
        <v>344</v>
      </c>
      <c r="L2992" s="5" t="s">
        <v>34333</v>
      </c>
      <c r="M2992" s="27"/>
      <c r="N2992" s="5"/>
      <c r="O2992" s="5" t="str">
        <v>3610001120</v>
      </c>
      <c r="P2992" s="27">
        <v>53553</v>
      </c>
      <c r="Q2992" s="5" t="s">
        <v>49009</v>
      </c>
      <c r="R2992" s="5"/>
      <c r="S2992" s="5" t="s">
        <v>49066</v>
      </c>
      <c r="T2992" s="28">
        <v>97335000</v>
      </c>
      <c r="U2992" s="28">
        <v>9160000</v>
      </c>
      <c r="V2992" s="28">
        <v>1107271000</v>
      </c>
      <c r="W2992" s="28">
        <v>152579000</v>
      </c>
      <c r="X2992" s="28">
        <v>176000</v>
      </c>
      <c r="Y2992" s="28">
        <v>2216730000</v>
      </c>
      <c r="Z2992" s="28">
        <v>659928000</v>
      </c>
      <c r="AA2992" s="28">
        <v>4517000</v>
      </c>
      <c r="AB2992" s="28">
        <v>806505000</v>
      </c>
      <c r="AC2992" s="28">
        <v>1368428000</v>
      </c>
      <c r="AD2992" s="28">
        <v>757476000</v>
      </c>
      <c r="AE2992" s="28">
        <v>3233250000</v>
      </c>
      <c r="AF2992" s="28">
        <v>657447000</v>
      </c>
      <c r="AG2992" s="11"/>
    </row>
    <row r="2993">
      <c r="A2993" s="7" t="s">
        <v>4674</v>
      </c>
      <c r="B2993" s="5" t="s">
        <v>12648</v>
      </c>
      <c r="C2993" s="5" t="s">
        <v>20464</v>
      </c>
      <c r="D2993" s="5" t="str">
        <v>682401382911</v>
      </c>
      <c r="E2993" s="0" t="e">
        <f>+7 (47537) 38092
+7 (47537) 38293
+7 (47537) 38390
+7 (47537) 38576
+7 (47537) 38583
+7 (47537) 38598
+7 (47537) 38634
+7 (47537) 38703
+7 (495) 6401215</f>
        <v>#NAME?</v>
      </c>
      <c r="F2993" s="5" t="s">
        <v>34334</v>
      </c>
      <c r="G2993" s="5" t="s">
        <v>34335</v>
      </c>
      <c r="H2993" s="26">
        <v>13.5</v>
      </c>
      <c r="I2993" s="5" t="s">
        <v>34336</v>
      </c>
      <c r="J2993" s="5" t="s">
        <v>25994</v>
      </c>
      <c r="K2993" s="5" t="s">
        <v>355</v>
      </c>
      <c r="L2993" s="5" t="s">
        <v>34337</v>
      </c>
      <c r="M2993" s="27">
        <v>510589384</v>
      </c>
      <c r="N2993" s="5"/>
      <c r="O2993" s="5" t="str">
        <v>6824004406</v>
      </c>
      <c r="P2993" s="27">
        <v>20000</v>
      </c>
      <c r="Q2993" s="5"/>
      <c r="R2993" s="5" t="s">
        <v>54002</v>
      </c>
      <c r="S2993" s="5" t="s">
        <v>49425</v>
      </c>
      <c r="T2993" s="28">
        <v>1468939000</v>
      </c>
      <c r="U2993" s="28"/>
      <c r="V2993" s="28">
        <v>2960663000</v>
      </c>
      <c r="W2993" s="28">
        <v>3613777000</v>
      </c>
      <c r="X2993" s="28">
        <v>837000</v>
      </c>
      <c r="Y2993" s="28">
        <v>38015846000</v>
      </c>
      <c r="Z2993" s="28">
        <v>2100142000</v>
      </c>
      <c r="AA2993" s="28">
        <v>5281923000</v>
      </c>
      <c r="AB2993" s="28"/>
      <c r="AC2993" s="28">
        <v>30626995000</v>
      </c>
      <c r="AD2993" s="28">
        <v>2100162000</v>
      </c>
      <c r="AE2993" s="28">
        <v>12414638000</v>
      </c>
      <c r="AF2993" s="28">
        <v>914705000</v>
      </c>
      <c r="AG2993" s="11"/>
    </row>
    <row r="2994">
      <c r="A2994" s="7" t="s">
        <v>4674</v>
      </c>
      <c r="B2994" s="5" t="s">
        <v>12649</v>
      </c>
      <c r="C2994" s="5" t="s">
        <v>20465</v>
      </c>
      <c r="D2994" s="5" t="str">
        <v>235612395302</v>
      </c>
      <c r="E2994" s="0" t="e">
        <f>+7 (918) 2391899
+7 (86130) 41733
+7 (988) 3889111</f>
        <v>#NAME?</v>
      </c>
      <c r="F2994" s="5" t="s">
        <v>34338</v>
      </c>
      <c r="G2994" s="5" t="s">
        <v>34339</v>
      </c>
      <c r="H2994" s="26">
        <v>13.5</v>
      </c>
      <c r="I2994" s="5" t="s">
        <v>34340</v>
      </c>
      <c r="J2994" s="5" t="s">
        <v>25262</v>
      </c>
      <c r="K2994" s="5" t="s">
        <v>344</v>
      </c>
      <c r="L2994" s="5" t="s">
        <v>34341</v>
      </c>
      <c r="M2994" s="27"/>
      <c r="N2994" s="5" t="s">
        <v>54003</v>
      </c>
      <c r="O2994" s="5" t="str">
        <v>2353024793</v>
      </c>
      <c r="P2994" s="27">
        <v>10000</v>
      </c>
      <c r="Q2994" s="5" t="s">
        <v>50493</v>
      </c>
      <c r="R2994" s="5" t="s">
        <v>54004</v>
      </c>
      <c r="S2994" s="5" t="s">
        <v>54005</v>
      </c>
      <c r="T2994" s="28">
        <v>110722000</v>
      </c>
      <c r="U2994" s="28"/>
      <c r="V2994" s="28">
        <v>985894000</v>
      </c>
      <c r="W2994" s="28">
        <v>13150000</v>
      </c>
      <c r="X2994" s="28">
        <v>59780000</v>
      </c>
      <c r="Y2994" s="28">
        <v>1377612000</v>
      </c>
      <c r="Z2994" s="28">
        <v>800477000</v>
      </c>
      <c r="AA2994" s="28"/>
      <c r="AB2994" s="28">
        <v>176000</v>
      </c>
      <c r="AC2994" s="28">
        <v>376431000</v>
      </c>
      <c r="AD2994" s="28">
        <v>1000487000</v>
      </c>
      <c r="AE2994" s="28">
        <v>3151803000</v>
      </c>
      <c r="AF2994" s="28">
        <v>600746000</v>
      </c>
      <c r="AG2994" s="11"/>
    </row>
    <row r="2995">
      <c r="A2995" s="7" t="s">
        <v>4675</v>
      </c>
      <c r="B2995" s="5" t="s">
        <v>12650</v>
      </c>
      <c r="C2995" s="5" t="s">
        <v>20466</v>
      </c>
      <c r="D2995" s="5" t="str">
        <v>234307740751</v>
      </c>
      <c r="E2995" s="0" t="e">
        <f>+7 (918) 1703100
+7 (86195) 31946
+7 (86195) 32266
+7 (86195) 80078</f>
        <v>#NAME?</v>
      </c>
      <c r="F2995" s="5" t="s">
        <v>34342</v>
      </c>
      <c r="G2995" s="5" t="s">
        <v>34343</v>
      </c>
      <c r="H2995" s="26">
        <v>30</v>
      </c>
      <c r="I2995" s="5" t="s">
        <v>34344</v>
      </c>
      <c r="J2995" s="5" t="s">
        <v>25994</v>
      </c>
      <c r="K2995" s="5" t="s">
        <v>344</v>
      </c>
      <c r="L2995" s="5" t="s">
        <v>34345</v>
      </c>
      <c r="M2995" s="27"/>
      <c r="N2995" s="5" t="s">
        <v>54006</v>
      </c>
      <c r="O2995" s="5" t="str">
        <v>2343000063</v>
      </c>
      <c r="P2995" s="27">
        <v>40920000</v>
      </c>
      <c r="Q2995" s="5"/>
      <c r="R2995" s="5"/>
      <c r="S2995" s="5" t="s">
        <v>49425</v>
      </c>
      <c r="T2995" s="28">
        <v>242454000</v>
      </c>
      <c r="U2995" s="28">
        <v>205393000</v>
      </c>
      <c r="V2995" s="28">
        <v>1794837000</v>
      </c>
      <c r="W2995" s="28"/>
      <c r="X2995" s="28">
        <v>450312000</v>
      </c>
      <c r="Y2995" s="28">
        <v>3293349000</v>
      </c>
      <c r="Z2995" s="28">
        <v>2166828000</v>
      </c>
      <c r="AA2995" s="28">
        <v>53161000</v>
      </c>
      <c r="AB2995" s="28">
        <v>780209000</v>
      </c>
      <c r="AC2995" s="28">
        <v>960242000</v>
      </c>
      <c r="AD2995" s="28">
        <v>2227064000</v>
      </c>
      <c r="AE2995" s="28">
        <v>4337195000</v>
      </c>
      <c r="AF2995" s="28">
        <v>697719000</v>
      </c>
      <c r="AG2995" s="11"/>
    </row>
    <row r="2996">
      <c r="A2996" s="7" t="s">
        <v>4676</v>
      </c>
      <c r="B2996" s="5" t="s">
        <v>12651</v>
      </c>
      <c r="C2996" s="5" t="s">
        <v>20467</v>
      </c>
      <c r="D2996" s="5" t="str">
        <v>771905042725</v>
      </c>
      <c r="E2996" s="0" t="e">
        <f>+7 (495) 9374499</f>
        <v>#NAME?</v>
      </c>
      <c r="F2996" s="5" t="s">
        <v>34346</v>
      </c>
      <c r="G2996" s="5" t="s">
        <v>34347</v>
      </c>
      <c r="H2996" s="26">
        <v>31</v>
      </c>
      <c r="I2996" s="5" t="s">
        <v>34348</v>
      </c>
      <c r="J2996" s="5" t="s">
        <v>31358</v>
      </c>
      <c r="K2996" s="5" t="s">
        <v>344</v>
      </c>
      <c r="L2996" s="5" t="s">
        <v>34349</v>
      </c>
      <c r="M2996" s="27"/>
      <c r="N2996" s="5" t="s">
        <v>54007</v>
      </c>
      <c r="O2996" s="5" t="str">
        <v>7702019950</v>
      </c>
      <c r="P2996" s="27">
        <v>10000000</v>
      </c>
      <c r="Q2996" s="5" t="s">
        <v>54009</v>
      </c>
      <c r="R2996" s="5"/>
      <c r="S2996" s="5" t="s">
        <v>53958</v>
      </c>
      <c r="T2996" s="28">
        <v>706257000</v>
      </c>
      <c r="U2996" s="28">
        <v>116486000</v>
      </c>
      <c r="V2996" s="28">
        <v>1560905000</v>
      </c>
      <c r="W2996" s="28">
        <v>173148000</v>
      </c>
      <c r="X2996" s="28">
        <v>3785595000</v>
      </c>
      <c r="Y2996" s="28">
        <v>7416093000</v>
      </c>
      <c r="Z2996" s="28">
        <v>2315247000</v>
      </c>
      <c r="AA2996" s="28"/>
      <c r="AB2996" s="28"/>
      <c r="AC2996" s="28">
        <v>4853875000</v>
      </c>
      <c r="AD2996" s="28">
        <v>2326747000</v>
      </c>
      <c r="AE2996" s="28">
        <v>11737587000</v>
      </c>
      <c r="AF2996" s="28">
        <v>1120034000</v>
      </c>
      <c r="AG2996" s="11"/>
    </row>
    <row r="2997">
      <c r="A2997" s="7" t="s">
        <v>4677</v>
      </c>
      <c r="B2997" s="5" t="s">
        <v>12652</v>
      </c>
      <c r="C2997" s="5" t="s">
        <v>20468</v>
      </c>
      <c r="D2997" s="5" t="str">
        <v>232506009084</v>
      </c>
      <c r="E2997" s="0" t="e">
        <f>+7 (918) 4435214
+7 (918) 1090039</f>
        <v>#NAME?</v>
      </c>
      <c r="F2997" s="5" t="s">
        <v>34350</v>
      </c>
      <c r="G2997" s="5"/>
      <c r="H2997" s="26">
        <v>6</v>
      </c>
      <c r="I2997" s="5" t="s">
        <v>34351</v>
      </c>
      <c r="J2997" s="5" t="s">
        <v>30218</v>
      </c>
      <c r="K2997" s="5" t="s">
        <v>344</v>
      </c>
      <c r="L2997" s="5" t="s">
        <v>34352</v>
      </c>
      <c r="M2997" s="27"/>
      <c r="N2997" s="5" t="s">
        <v>49112</v>
      </c>
      <c r="O2997" s="5" t="str">
        <v>2325024625</v>
      </c>
      <c r="P2997" s="27">
        <v>50000</v>
      </c>
      <c r="Q2997" s="5"/>
      <c r="R2997" s="5"/>
      <c r="S2997" s="5" t="s">
        <v>49110</v>
      </c>
      <c r="T2997" s="28">
        <v>98294000</v>
      </c>
      <c r="U2997" s="28"/>
      <c r="V2997" s="28">
        <v>241567000</v>
      </c>
      <c r="W2997" s="28"/>
      <c r="X2997" s="28">
        <v>34552000</v>
      </c>
      <c r="Y2997" s="28">
        <v>845055000</v>
      </c>
      <c r="Z2997" s="28">
        <v>155400000</v>
      </c>
      <c r="AA2997" s="28">
        <v>50462000</v>
      </c>
      <c r="AB2997" s="28">
        <v>497422000</v>
      </c>
      <c r="AC2997" s="28">
        <v>635222000</v>
      </c>
      <c r="AD2997" s="28">
        <v>155450000</v>
      </c>
      <c r="AE2997" s="28">
        <v>3691603000</v>
      </c>
      <c r="AF2997" s="28">
        <v>57390000</v>
      </c>
      <c r="AG2997" s="11"/>
    </row>
    <row r="2998">
      <c r="A2998" s="7" t="s">
        <v>4678</v>
      </c>
      <c r="B2998" s="5" t="s">
        <v>12653</v>
      </c>
      <c r="C2998" s="5" t="s">
        <v>20469</v>
      </c>
      <c r="D2998" s="5" t="str">
        <v>583800476800</v>
      </c>
      <c r="E2998" s="0" t="e">
        <f>+7 (495) 9330889
+7 (495) 5648306
+7 (495) 7396611
+7 (495) 9811087
+7 (495) 9811088
+7 (495) 9811095
+7 (905) 7891141</f>
        <v>#NAME?</v>
      </c>
      <c r="F2998" s="5" t="s">
        <v>34353</v>
      </c>
      <c r="G2998" s="5" t="s">
        <v>34354</v>
      </c>
      <c r="H2998" s="26">
        <v>23</v>
      </c>
      <c r="I2998" s="5" t="s">
        <v>34355</v>
      </c>
      <c r="J2998" s="5" t="s">
        <v>25429</v>
      </c>
      <c r="K2998" s="5" t="s">
        <v>344</v>
      </c>
      <c r="L2998" s="5" t="s">
        <v>34356</v>
      </c>
      <c r="M2998" s="27"/>
      <c r="N2998" s="5"/>
      <c r="O2998" s="5" t="str">
        <v>5042060699</v>
      </c>
      <c r="P2998" s="27">
        <v>753874800</v>
      </c>
      <c r="Q2998" s="5" t="s">
        <v>49009</v>
      </c>
      <c r="R2998" s="5"/>
      <c r="S2998" s="5" t="s">
        <v>49010</v>
      </c>
      <c r="T2998" s="28">
        <v>1387136000</v>
      </c>
      <c r="U2998" s="28">
        <v>4324000</v>
      </c>
      <c r="V2998" s="28">
        <v>10884971000</v>
      </c>
      <c r="W2998" s="28">
        <v>1384000</v>
      </c>
      <c r="X2998" s="28">
        <v>719024000</v>
      </c>
      <c r="Y2998" s="28">
        <v>15290544000</v>
      </c>
      <c r="Z2998" s="28">
        <v>3386013000</v>
      </c>
      <c r="AA2998" s="28"/>
      <c r="AB2998" s="28"/>
      <c r="AC2998" s="28">
        <v>11099421000</v>
      </c>
      <c r="AD2998" s="28">
        <v>4139888000</v>
      </c>
      <c r="AE2998" s="28">
        <v>30943273000</v>
      </c>
      <c r="AF2998" s="28">
        <v>664573000</v>
      </c>
      <c r="AG2998" s="11"/>
    </row>
    <row r="2999">
      <c r="A2999" s="7" t="s">
        <v>4679</v>
      </c>
      <c r="B2999" s="5" t="s">
        <v>12653</v>
      </c>
      <c r="C2999" s="5" t="s">
        <v>20470</v>
      </c>
      <c r="D2999" s="5" t="str">
        <v>501716551364</v>
      </c>
      <c r="E2999" s="0" t="e">
        <f>+7 (495) 9947070
+7 (495) 9947073
+7 (495) 9947077
+7 (495) 9947078
+7 (495) 9947080
+7 (4983) 141070</f>
        <v>#NAME?</v>
      </c>
      <c r="F2999" s="5" t="s">
        <v>34357</v>
      </c>
      <c r="G2999" s="5" t="s">
        <v>34354</v>
      </c>
      <c r="H2999" s="26">
        <v>24</v>
      </c>
      <c r="I2999" s="5" t="s">
        <v>34358</v>
      </c>
      <c r="J2999" s="5" t="s">
        <v>28030</v>
      </c>
      <c r="K2999" s="5" t="s">
        <v>344</v>
      </c>
      <c r="L2999" s="5" t="s">
        <v>34359</v>
      </c>
      <c r="M2999" s="27"/>
      <c r="N2999" s="5"/>
      <c r="O2999" s="5" t="str">
        <v>5017036276</v>
      </c>
      <c r="P2999" s="27">
        <v>5361374765</v>
      </c>
      <c r="Q2999" s="5" t="s">
        <v>49009</v>
      </c>
      <c r="R2999" s="5"/>
      <c r="S2999" s="5" t="s">
        <v>49066</v>
      </c>
      <c r="T2999" s="28">
        <v>7275804000</v>
      </c>
      <c r="U2999" s="28">
        <v>804000</v>
      </c>
      <c r="V2999" s="28">
        <v>4914098000</v>
      </c>
      <c r="W2999" s="28">
        <v>259000</v>
      </c>
      <c r="X2999" s="28">
        <v>1618848000</v>
      </c>
      <c r="Y2999" s="28">
        <v>21152742000</v>
      </c>
      <c r="Z2999" s="28">
        <v>9141095000</v>
      </c>
      <c r="AA2999" s="28"/>
      <c r="AB2999" s="28"/>
      <c r="AC2999" s="28">
        <v>6602973000</v>
      </c>
      <c r="AD2999" s="28">
        <v>14502470000</v>
      </c>
      <c r="AE2999" s="28">
        <v>16103279000</v>
      </c>
      <c r="AF2999" s="28">
        <v>975053000</v>
      </c>
      <c r="AG2999" s="11"/>
    </row>
    <row r="3000">
      <c r="A3000" s="7" t="s">
        <v>4680</v>
      </c>
      <c r="B3000" s="5" t="s">
        <v>12654</v>
      </c>
      <c r="C3000" s="5" t="s">
        <v>20471</v>
      </c>
      <c r="D3000" s="5" t="str">
        <v>027202029424</v>
      </c>
      <c r="E3000" s="0" t="e">
        <f>+7 (347) 2398799
+7 (347) 2399058
+7 (3472) 260400
+7 (3472) 267110
+7 (3472) 920400</f>
        <v>#NAME?</v>
      </c>
      <c r="F3000" s="5" t="s">
        <v>34360</v>
      </c>
      <c r="G3000" s="5" t="s">
        <v>34361</v>
      </c>
      <c r="H3000" s="26">
        <v>29</v>
      </c>
      <c r="I3000" s="5"/>
      <c r="J3000" s="5" t="s">
        <v>34362</v>
      </c>
      <c r="K3000" s="5" t="s">
        <v>344</v>
      </c>
      <c r="L3000" s="5" t="s">
        <v>34363</v>
      </c>
      <c r="M3000" s="27"/>
      <c r="N3000" s="5" t="s">
        <v>54010</v>
      </c>
      <c r="O3000" s="5" t="str">
        <v>0274043510</v>
      </c>
      <c r="P3000" s="27">
        <v>201500</v>
      </c>
      <c r="Q3000" s="5" t="s">
        <v>49009</v>
      </c>
      <c r="R3000" s="5"/>
      <c r="S3000" s="5" t="s">
        <v>52448</v>
      </c>
      <c r="T3000" s="28">
        <v>105978000</v>
      </c>
      <c r="U3000" s="28">
        <v>210064000</v>
      </c>
      <c r="V3000" s="28">
        <v>1535610000</v>
      </c>
      <c r="W3000" s="28">
        <v>96800000</v>
      </c>
      <c r="X3000" s="28">
        <v>263664000</v>
      </c>
      <c r="Y3000" s="28">
        <v>2689837000</v>
      </c>
      <c r="Z3000" s="28">
        <v>2107174000</v>
      </c>
      <c r="AA3000" s="28"/>
      <c r="AB3000" s="28"/>
      <c r="AC3000" s="28">
        <v>577683000</v>
      </c>
      <c r="AD3000" s="28">
        <v>2110327000</v>
      </c>
      <c r="AE3000" s="28">
        <v>5547065000</v>
      </c>
      <c r="AF3000" s="28">
        <v>1499276000</v>
      </c>
      <c r="AG3000" s="11"/>
    </row>
    <row r="3001">
      <c r="A3001" s="7" t="s">
        <v>4681</v>
      </c>
      <c r="B3001" s="5" t="s">
        <v>12655</v>
      </c>
      <c r="C3001" s="5" t="s">
        <v>20472</v>
      </c>
      <c r="D3001" s="5" t="str">
        <v>773103791603</v>
      </c>
      <c r="F3001" s="5" t="s">
        <v>34364</v>
      </c>
      <c r="G3001" s="5"/>
      <c r="H3001" s="26">
        <v>5</v>
      </c>
      <c r="I3001" s="5" t="s">
        <v>34365</v>
      </c>
      <c r="J3001" s="5" t="s">
        <v>34366</v>
      </c>
      <c r="K3001" s="5" t="s">
        <v>344</v>
      </c>
      <c r="L3001" s="5" t="s">
        <v>34367</v>
      </c>
      <c r="M3001" s="27"/>
      <c r="N3001" s="5" t="s">
        <v>54011</v>
      </c>
      <c r="O3001" s="5" t="str">
        <v>0274933880</v>
      </c>
      <c r="P3001" s="27">
        <v>300000</v>
      </c>
      <c r="Q3001" s="5" t="s">
        <v>54012</v>
      </c>
      <c r="R3001" s="5"/>
      <c r="S3001" s="5" t="s">
        <v>54013</v>
      </c>
      <c r="T3001" s="28">
        <v>37000</v>
      </c>
      <c r="U3001" s="28"/>
      <c r="V3001" s="28">
        <v>1973944000</v>
      </c>
      <c r="W3001" s="28"/>
      <c r="X3001" s="28">
        <v>9552000</v>
      </c>
      <c r="Y3001" s="28">
        <v>1983533000</v>
      </c>
      <c r="Z3001" s="28">
        <v>433535000</v>
      </c>
      <c r="AA3001" s="28"/>
      <c r="AB3001" s="28">
        <v>869000</v>
      </c>
      <c r="AC3001" s="28">
        <v>1549697000</v>
      </c>
      <c r="AD3001" s="28">
        <v>433835000</v>
      </c>
      <c r="AE3001" s="28">
        <v>6401127000</v>
      </c>
      <c r="AF3001" s="28">
        <v>1242244000</v>
      </c>
      <c r="AG3001" s="11"/>
    </row>
    <row r="3002">
      <c r="A3002" s="7" t="s">
        <v>4682</v>
      </c>
      <c r="B3002" s="5" t="s">
        <v>12656</v>
      </c>
      <c r="C3002" s="5" t="s">
        <v>20473</v>
      </c>
      <c r="D3002" s="5" t="str">
        <v>230906819604</v>
      </c>
      <c r="F3002" s="5"/>
      <c r="G3002" s="5"/>
      <c r="H3002" s="26">
        <v>6</v>
      </c>
      <c r="I3002" s="5" t="s">
        <v>34368</v>
      </c>
      <c r="J3002" s="5" t="s">
        <v>25190</v>
      </c>
      <c r="K3002" s="5" t="s">
        <v>344</v>
      </c>
      <c r="L3002" s="5" t="s">
        <v>34369</v>
      </c>
      <c r="M3002" s="27"/>
      <c r="N3002" s="5" t="s">
        <v>54014</v>
      </c>
      <c r="O3002" s="5" t="str">
        <v>2309154828</v>
      </c>
      <c r="P3002" s="27">
        <v>10000</v>
      </c>
      <c r="Q3002" s="5"/>
      <c r="R3002" s="5"/>
      <c r="S3002" s="5" t="s">
        <v>49047</v>
      </c>
      <c r="T3002" s="28">
        <v>1938000</v>
      </c>
      <c r="U3002" s="28"/>
      <c r="V3002" s="28">
        <v>83090000</v>
      </c>
      <c r="W3002" s="28"/>
      <c r="X3002" s="28">
        <v>14693000</v>
      </c>
      <c r="Y3002" s="28">
        <v>480900000</v>
      </c>
      <c r="Z3002" s="28">
        <v>141589000</v>
      </c>
      <c r="AA3002" s="28"/>
      <c r="AB3002" s="28"/>
      <c r="AC3002" s="28">
        <v>339301000</v>
      </c>
      <c r="AD3002" s="28">
        <v>141599000</v>
      </c>
      <c r="AE3002" s="28">
        <v>5040608000</v>
      </c>
      <c r="AF3002" s="28">
        <v>58441000</v>
      </c>
      <c r="AG3002" s="11"/>
    </row>
    <row r="3003">
      <c r="A3003" s="7" t="s">
        <v>4683</v>
      </c>
      <c r="B3003" s="5" t="s">
        <v>12657</v>
      </c>
      <c r="C3003" s="5" t="s">
        <v>20474</v>
      </c>
      <c r="D3003" s="5" t="str">
        <v>665894946682</v>
      </c>
      <c r="E3003" s="0" t="e">
        <f>+7 (383) 2819047
+7 (482) 2415484
+7 (483) 2320325
+7 (484) 2926587
+7 (484) 2926588
+7 (487) 2525525
+7 (4912) 704000
+7 (493) 2938222
+7 (494) 2452572
+7 (495) 4780101
+7 (8452) 255277
+7 (861) 2123000
+7 (8617) 306299
+7 (863) 3335001
+7 (913) 7342736</f>
        <v>#NAME?</v>
      </c>
      <c r="F3003" s="5"/>
      <c r="G3003" s="5" t="s">
        <v>34370</v>
      </c>
      <c r="H3003" s="26">
        <v>8.5</v>
      </c>
      <c r="I3003" s="5" t="s">
        <v>34371</v>
      </c>
      <c r="J3003" s="5" t="s">
        <v>25190</v>
      </c>
      <c r="K3003" s="5" t="s">
        <v>344</v>
      </c>
      <c r="L3003" s="5" t="s">
        <v>34372</v>
      </c>
      <c r="M3003" s="27"/>
      <c r="N3003" s="5" t="s">
        <v>54015</v>
      </c>
      <c r="O3003" s="5" t="str">
        <v>7721844518</v>
      </c>
      <c r="P3003" s="27">
        <v>23529</v>
      </c>
      <c r="Q3003" s="5" t="s">
        <v>49009</v>
      </c>
      <c r="R3003" s="5"/>
      <c r="S3003" s="5" t="s">
        <v>52628</v>
      </c>
      <c r="T3003" s="28">
        <v>111771000</v>
      </c>
      <c r="U3003" s="28"/>
      <c r="V3003" s="28">
        <v>344804000</v>
      </c>
      <c r="W3003" s="28">
        <v>93000</v>
      </c>
      <c r="X3003" s="28">
        <v>24776000</v>
      </c>
      <c r="Y3003" s="28">
        <v>615268000</v>
      </c>
      <c r="Z3003" s="28">
        <v>322086000</v>
      </c>
      <c r="AA3003" s="28"/>
      <c r="AB3003" s="28">
        <v>474000</v>
      </c>
      <c r="AC3003" s="28">
        <v>263918000</v>
      </c>
      <c r="AD3003" s="28">
        <v>342849000</v>
      </c>
      <c r="AE3003" s="28">
        <v>7502042000</v>
      </c>
      <c r="AF3003" s="28">
        <v>449467000</v>
      </c>
      <c r="AG3003" s="11"/>
    </row>
    <row r="3004">
      <c r="A3004" s="7" t="s">
        <v>4684</v>
      </c>
      <c r="B3004" s="5" t="s">
        <v>12658</v>
      </c>
      <c r="C3004" s="5" t="s">
        <v>20475</v>
      </c>
      <c r="D3004" s="5" t="str">
        <v>246305616156</v>
      </c>
      <c r="E3004" s="0" t="e">
        <f>+7 (391) 2225289
+7 (391) 2650448
+7 (391) 2680907
+7 (950) 4245013</f>
        <v>#NAME?</v>
      </c>
      <c r="F3004" s="5" t="s">
        <v>34373</v>
      </c>
      <c r="G3004" s="5"/>
      <c r="H3004" s="26">
        <v>24.5</v>
      </c>
      <c r="I3004" s="5" t="s">
        <v>34374</v>
      </c>
      <c r="J3004" s="5" t="s">
        <v>25327</v>
      </c>
      <c r="K3004" s="5" t="s">
        <v>344</v>
      </c>
      <c r="L3004" s="5" t="s">
        <v>34375</v>
      </c>
      <c r="M3004" s="27">
        <v>13804137</v>
      </c>
      <c r="N3004" s="5" t="s">
        <v>54016</v>
      </c>
      <c r="O3004" s="5" t="str">
        <v>2460035158</v>
      </c>
      <c r="P3004" s="27">
        <v>15000</v>
      </c>
      <c r="Q3004" s="5" t="s">
        <v>54017</v>
      </c>
      <c r="R3004" s="5"/>
      <c r="S3004" s="5" t="s">
        <v>54018</v>
      </c>
      <c r="T3004" s="28">
        <v>698685000</v>
      </c>
      <c r="U3004" s="28"/>
      <c r="V3004" s="28">
        <v>1119221000</v>
      </c>
      <c r="W3004" s="28">
        <v>23563000</v>
      </c>
      <c r="X3004" s="28">
        <v>45216000</v>
      </c>
      <c r="Y3004" s="28">
        <v>2470285000</v>
      </c>
      <c r="Z3004" s="28">
        <v>434778000</v>
      </c>
      <c r="AA3004" s="28">
        <v>1626193000</v>
      </c>
      <c r="AB3004" s="28">
        <v>138000000</v>
      </c>
      <c r="AC3004" s="28">
        <v>409299000</v>
      </c>
      <c r="AD3004" s="28">
        <v>434793000</v>
      </c>
      <c r="AE3004" s="28">
        <v>4294271000</v>
      </c>
      <c r="AF3004" s="28">
        <v>42157000</v>
      </c>
      <c r="AG3004" s="11"/>
    </row>
    <row r="3005">
      <c r="A3005" s="7" t="s">
        <v>4685</v>
      </c>
      <c r="B3005" s="5" t="s">
        <v>12659</v>
      </c>
      <c r="C3005" s="5" t="s">
        <v>20476</v>
      </c>
      <c r="D3005" s="5" t="str">
        <v>771810700292</v>
      </c>
      <c r="E3005" s="0" t="e">
        <f>+7 (495) 9744274
+7 (499) 9742274
+7 (495) 9742274</f>
        <v>#NAME?</v>
      </c>
      <c r="F3005" s="5" t="s">
        <v>34376</v>
      </c>
      <c r="G3005" s="5" t="s">
        <v>34377</v>
      </c>
      <c r="H3005" s="26">
        <v>31</v>
      </c>
      <c r="I3005" s="5"/>
      <c r="J3005" s="5" t="s">
        <v>1026</v>
      </c>
      <c r="K3005" s="5" t="s">
        <v>344</v>
      </c>
      <c r="L3005" s="5" t="s">
        <v>34378</v>
      </c>
      <c r="M3005" s="27">
        <v>18326772</v>
      </c>
      <c r="N3005" s="5" t="s">
        <v>54019</v>
      </c>
      <c r="O3005" s="5" t="str">
        <v>7701004101</v>
      </c>
      <c r="P3005" s="27">
        <v>169140500</v>
      </c>
      <c r="Q3005" s="5" t="s">
        <v>54020</v>
      </c>
      <c r="R3005" s="5"/>
      <c r="S3005" s="5" t="s">
        <v>54021</v>
      </c>
      <c r="T3005" s="28">
        <v>3209685000</v>
      </c>
      <c r="U3005" s="28"/>
      <c r="V3005" s="28">
        <v>9778476000</v>
      </c>
      <c r="W3005" s="28"/>
      <c r="X3005" s="28">
        <v>2446121000</v>
      </c>
      <c r="Y3005" s="28">
        <v>21383679000</v>
      </c>
      <c r="Z3005" s="28">
        <v>4439071000</v>
      </c>
      <c r="AA3005" s="28">
        <v>2314068000</v>
      </c>
      <c r="AB3005" s="28">
        <v>2870747000</v>
      </c>
      <c r="AC3005" s="28">
        <v>13929026000</v>
      </c>
      <c r="AD3005" s="28">
        <v>4616669000</v>
      </c>
      <c r="AE3005" s="28">
        <v>25221445000</v>
      </c>
      <c r="AF3005" s="28">
        <v>516714000</v>
      </c>
      <c r="AG3005" s="11"/>
    </row>
    <row r="3006">
      <c r="A3006" s="7" t="s">
        <v>4686</v>
      </c>
      <c r="B3006" s="5" t="s">
        <v>12660</v>
      </c>
      <c r="C3006" s="5" t="s">
        <v>20477</v>
      </c>
      <c r="D3006" s="5" t="str">
        <v>770300102688</v>
      </c>
      <c r="E3006" s="0" t="e">
        <f>+7 (473) 2330456
+7 (473) 2330460
+7 (495) 2361315
+7 (495) 7271717
+7 (495) 7272424
+7 (495) 7272497
+7 (495) 7272582
+7 (495) 7272625
+7 (495) 7274242
+7 (495) 7506454
+7 (495) 7586869
+7 (495) 7605454
+7 (495) 7606554
+7 (495) 9263142
+7 (495) 9427171</f>
        <v>#NAME?</v>
      </c>
      <c r="F3006" s="5" t="s">
        <v>34379</v>
      </c>
      <c r="G3006" s="5" t="s">
        <v>34380</v>
      </c>
      <c r="H3006" s="26">
        <v>29</v>
      </c>
      <c r="I3006" s="5"/>
      <c r="J3006" s="5" t="s">
        <v>26148</v>
      </c>
      <c r="K3006" s="5" t="s">
        <v>380</v>
      </c>
      <c r="L3006" s="5"/>
      <c r="M3006" s="27">
        <v>259516708</v>
      </c>
      <c r="N3006" s="5" t="s">
        <v>54022</v>
      </c>
      <c r="O3006" s="5" t="str">
        <v>7728115183</v>
      </c>
      <c r="P3006" s="27">
        <v>5410000</v>
      </c>
      <c r="Q3006" s="5" t="s">
        <v>54023</v>
      </c>
      <c r="R3006" s="5" t="s">
        <v>50627</v>
      </c>
      <c r="S3006" s="5" t="s">
        <v>54024</v>
      </c>
      <c r="T3006" s="28">
        <v>172447496000</v>
      </c>
      <c r="U3006" s="28">
        <v>10226743000</v>
      </c>
      <c r="V3006" s="28">
        <v>30823062000</v>
      </c>
      <c r="W3006" s="28">
        <v>9132676000</v>
      </c>
      <c r="X3006" s="28">
        <v>10793660000</v>
      </c>
      <c r="Y3006" s="28">
        <v>280264396000</v>
      </c>
      <c r="Z3006" s="28">
        <v>-43288751000</v>
      </c>
      <c r="AA3006" s="28">
        <v>71769146000</v>
      </c>
      <c r="AB3006" s="28">
        <v>37545416000</v>
      </c>
      <c r="AC3006" s="28">
        <v>86409913000</v>
      </c>
      <c r="AD3006" s="28">
        <v>66653438000</v>
      </c>
      <c r="AE3006" s="28">
        <v>47223746000</v>
      </c>
      <c r="AF3006" s="28">
        <v>-6722305000</v>
      </c>
      <c r="AG3006" s="11"/>
    </row>
    <row r="3007">
      <c r="A3007" s="7" t="s">
        <v>4687</v>
      </c>
      <c r="B3007" s="5" t="s">
        <v>12661</v>
      </c>
      <c r="C3007" s="5" t="s">
        <v>20478</v>
      </c>
      <c r="D3007" s="5" t="str">
        <v>860102611094</v>
      </c>
      <c r="E3007" s="0" t="e">
        <f>+7 (800) 6007486
+7 (902) 8190750
+7 (909) 450299
+7 (922) 4427777
+7 (932) 4242421</f>
        <v>#NAME?</v>
      </c>
      <c r="F3007" s="5"/>
      <c r="G3007" s="5" t="s">
        <v>34381</v>
      </c>
      <c r="H3007" s="26">
        <v>10</v>
      </c>
      <c r="I3007" s="5" t="s">
        <v>34382</v>
      </c>
      <c r="J3007" s="5" t="s">
        <v>30025</v>
      </c>
      <c r="K3007" s="5" t="s">
        <v>344</v>
      </c>
      <c r="L3007" s="5" t="s">
        <v>34383</v>
      </c>
      <c r="M3007" s="27">
        <v>6200600</v>
      </c>
      <c r="N3007" s="5"/>
      <c r="O3007" s="5" t="str">
        <v>8601048636</v>
      </c>
      <c r="P3007" s="27">
        <v>12500</v>
      </c>
      <c r="Q3007" s="5" t="s">
        <v>49561</v>
      </c>
      <c r="R3007" s="5"/>
      <c r="S3007" s="5" t="s">
        <v>54025</v>
      </c>
      <c r="T3007" s="28">
        <v>292877000</v>
      </c>
      <c r="U3007" s="28"/>
      <c r="V3007" s="28">
        <v>1530227000</v>
      </c>
      <c r="W3007" s="28">
        <v>45320000</v>
      </c>
      <c r="X3007" s="28">
        <v>267265000</v>
      </c>
      <c r="Y3007" s="28">
        <v>2522451000</v>
      </c>
      <c r="Z3007" s="28">
        <v>174254000</v>
      </c>
      <c r="AA3007" s="28">
        <v>82000</v>
      </c>
      <c r="AB3007" s="28"/>
      <c r="AC3007" s="28">
        <v>1170654000</v>
      </c>
      <c r="AD3007" s="28">
        <v>174267000</v>
      </c>
      <c r="AE3007" s="28">
        <v>3347307000</v>
      </c>
      <c r="AF3007" s="28">
        <v>139721000</v>
      </c>
      <c r="AG3007" s="11"/>
    </row>
    <row r="3008">
      <c r="A3008" s="7" t="s">
        <v>4688</v>
      </c>
      <c r="B3008" s="5" t="s">
        <v>12662</v>
      </c>
      <c r="C3008" s="5" t="s">
        <v>20479</v>
      </c>
      <c r="D3008" s="5" t="str">
        <v>591107502905</v>
      </c>
      <c r="E3008" s="0" t="e">
        <f>+7 (3422) 177176
+7 (3422) 198198
+7 (3422) 198883
+7 (3422) 595398</f>
        <v>#NAME?</v>
      </c>
      <c r="F3008" s="5" t="s">
        <v>34384</v>
      </c>
      <c r="G3008" s="5"/>
      <c r="H3008" s="26">
        <v>14.5</v>
      </c>
      <c r="I3008" s="5" t="s">
        <v>34385</v>
      </c>
      <c r="J3008" s="5" t="s">
        <v>25429</v>
      </c>
      <c r="K3008" s="5" t="s">
        <v>344</v>
      </c>
      <c r="L3008" s="5" t="s">
        <v>34386</v>
      </c>
      <c r="M3008" s="27"/>
      <c r="N3008" s="5" t="s">
        <v>54026</v>
      </c>
      <c r="O3008" s="5" t="str">
        <v>5903090220</v>
      </c>
      <c r="P3008" s="27">
        <v>10000</v>
      </c>
      <c r="Q3008" s="5" t="s">
        <v>49009</v>
      </c>
      <c r="R3008" s="5"/>
      <c r="S3008" s="5" t="s">
        <v>49028</v>
      </c>
      <c r="T3008" s="28">
        <v>222509000</v>
      </c>
      <c r="U3008" s="28"/>
      <c r="V3008" s="28">
        <v>804648000</v>
      </c>
      <c r="W3008" s="28"/>
      <c r="X3008" s="28">
        <v>1544496000</v>
      </c>
      <c r="Y3008" s="28">
        <v>5656656000</v>
      </c>
      <c r="Z3008" s="28">
        <v>338321000</v>
      </c>
      <c r="AA3008" s="28"/>
      <c r="AB3008" s="28">
        <v>3242294000</v>
      </c>
      <c r="AC3008" s="28">
        <v>5059513000</v>
      </c>
      <c r="AD3008" s="28">
        <v>338331000</v>
      </c>
      <c r="AE3008" s="28">
        <v>15487928000</v>
      </c>
      <c r="AF3008" s="28">
        <v>338508000</v>
      </c>
      <c r="AG3008" s="11"/>
    </row>
    <row r="3009">
      <c r="A3009" s="7" t="s">
        <v>4689</v>
      </c>
      <c r="B3009" s="5" t="s">
        <v>12663</v>
      </c>
      <c r="C3009" s="5" t="s">
        <v>20480</v>
      </c>
      <c r="D3009" s="5" t="str">
        <v>732606689214</v>
      </c>
      <c r="E3009" s="0" t="e">
        <f>+7 (937) 2788330
+7 (842) 2617702
+7 (8422) 443602
+7 (937) 2740838</f>
        <v>#NAME?</v>
      </c>
      <c r="F3009" s="5" t="s">
        <v>34387</v>
      </c>
      <c r="G3009" s="5" t="s">
        <v>34388</v>
      </c>
      <c r="H3009" s="26">
        <v>11.5</v>
      </c>
      <c r="I3009" s="5" t="s">
        <v>34389</v>
      </c>
      <c r="J3009" s="5" t="s">
        <v>25327</v>
      </c>
      <c r="K3009" s="5" t="s">
        <v>344</v>
      </c>
      <c r="L3009" s="5" t="s">
        <v>34390</v>
      </c>
      <c r="M3009" s="27"/>
      <c r="N3009" s="5"/>
      <c r="O3009" s="5" t="str">
        <v>7327059580</v>
      </c>
      <c r="P3009" s="27">
        <v>10000</v>
      </c>
      <c r="Q3009" s="5" t="s">
        <v>50437</v>
      </c>
      <c r="R3009" s="5"/>
      <c r="S3009" s="5" t="s">
        <v>54027</v>
      </c>
      <c r="T3009" s="28">
        <v>239284000</v>
      </c>
      <c r="U3009" s="28"/>
      <c r="V3009" s="28">
        <v>421412000</v>
      </c>
      <c r="W3009" s="28">
        <v>25000000</v>
      </c>
      <c r="X3009" s="28">
        <v>1163000</v>
      </c>
      <c r="Y3009" s="28">
        <v>881414000</v>
      </c>
      <c r="Z3009" s="28">
        <v>408961000</v>
      </c>
      <c r="AA3009" s="28">
        <v>232715000</v>
      </c>
      <c r="AB3009" s="28"/>
      <c r="AC3009" s="28">
        <v>239728000</v>
      </c>
      <c r="AD3009" s="28">
        <v>408971000</v>
      </c>
      <c r="AE3009" s="28">
        <v>4419103000</v>
      </c>
      <c r="AF3009" s="28">
        <v>350462000</v>
      </c>
      <c r="AG3009" s="11"/>
    </row>
    <row r="3010">
      <c r="A3010" s="7" t="s">
        <v>4690</v>
      </c>
      <c r="B3010" s="5" t="s">
        <v>12664</v>
      </c>
      <c r="C3010" s="5" t="s">
        <v>20481</v>
      </c>
      <c r="D3010" s="5" t="str">
        <v>772640131055</v>
      </c>
      <c r="E3010" s="0" t="e">
        <f>+7 (495) 6277999
+7 (495) 6404401</f>
        <v>#NAME?</v>
      </c>
      <c r="F3010" s="5" t="s">
        <v>34391</v>
      </c>
      <c r="G3010" s="5"/>
      <c r="H3010" s="26">
        <v>10.5</v>
      </c>
      <c r="I3010" s="5" t="s">
        <v>34392</v>
      </c>
      <c r="J3010" s="5" t="s">
        <v>25190</v>
      </c>
      <c r="K3010" s="5" t="s">
        <v>344</v>
      </c>
      <c r="L3010" s="5" t="s">
        <v>29389</v>
      </c>
      <c r="M3010" s="27">
        <v>434825</v>
      </c>
      <c r="N3010" s="5" t="s">
        <v>54028</v>
      </c>
      <c r="O3010" s="5" t="str">
        <v>5047133372</v>
      </c>
      <c r="P3010" s="27">
        <v>25000</v>
      </c>
      <c r="Q3010" s="5" t="s">
        <v>54029</v>
      </c>
      <c r="R3010" s="5"/>
      <c r="S3010" s="5" t="s">
        <v>54030</v>
      </c>
      <c r="T3010" s="28">
        <v>57717000</v>
      </c>
      <c r="U3010" s="28"/>
      <c r="V3010" s="28">
        <v>1283941000</v>
      </c>
      <c r="W3010" s="28">
        <v>5000</v>
      </c>
      <c r="X3010" s="28">
        <v>39633000</v>
      </c>
      <c r="Y3010" s="28">
        <v>1420875000</v>
      </c>
      <c r="Z3010" s="28">
        <v>110592000</v>
      </c>
      <c r="AA3010" s="28"/>
      <c r="AB3010" s="28"/>
      <c r="AC3010" s="28">
        <v>1304979000</v>
      </c>
      <c r="AD3010" s="28">
        <v>110617000</v>
      </c>
      <c r="AE3010" s="28">
        <v>6264889000</v>
      </c>
      <c r="AF3010" s="28">
        <v>18112000</v>
      </c>
      <c r="AG3010" s="11"/>
    </row>
    <row r="3011">
      <c r="A3011" s="7" t="s">
        <v>4691</v>
      </c>
      <c r="B3011" s="5" t="s">
        <v>12665</v>
      </c>
      <c r="C3011" s="5" t="s">
        <v>20482</v>
      </c>
      <c r="D3011" s="5"/>
      <c r="E3011" s="0" t="e">
        <f>+7 (3472) 268886
+7 (495) 9700107
+7 (812) 3245719</f>
        <v>#NAME?</v>
      </c>
      <c r="F3011" s="5" t="s">
        <v>34393</v>
      </c>
      <c r="G3011" s="5"/>
      <c r="H3011" s="26">
        <v>10.5</v>
      </c>
      <c r="I3011" s="5" t="s">
        <v>34394</v>
      </c>
      <c r="J3011" s="5" t="s">
        <v>27221</v>
      </c>
      <c r="K3011" s="5" t="s">
        <v>355</v>
      </c>
      <c r="L3011" s="5" t="s">
        <v>34395</v>
      </c>
      <c r="M3011" s="27">
        <v>888410</v>
      </c>
      <c r="N3011" s="5"/>
      <c r="O3011" s="5" t="str">
        <v>0245023615</v>
      </c>
      <c r="P3011" s="27">
        <v>10430940000</v>
      </c>
      <c r="Q3011" s="5" t="s">
        <v>49324</v>
      </c>
      <c r="R3011" s="5"/>
      <c r="S3011" s="5" t="s">
        <v>50562</v>
      </c>
      <c r="T3011" s="28">
        <v>11808588000</v>
      </c>
      <c r="U3011" s="28"/>
      <c r="V3011" s="28">
        <v>314562000</v>
      </c>
      <c r="W3011" s="28"/>
      <c r="X3011" s="28">
        <v>2096047000</v>
      </c>
      <c r="Y3011" s="28">
        <v>16776691000</v>
      </c>
      <c r="Z3011" s="28">
        <v>-2496251000</v>
      </c>
      <c r="AA3011" s="28">
        <v>6959802000</v>
      </c>
      <c r="AB3011" s="28">
        <v>528755000</v>
      </c>
      <c r="AC3011" s="28">
        <v>1711088000</v>
      </c>
      <c r="AD3011" s="28">
        <v>7934689000</v>
      </c>
      <c r="AE3011" s="28">
        <v>11932573000</v>
      </c>
      <c r="AF3011" s="28">
        <v>1752419000</v>
      </c>
      <c r="AG3011" s="11"/>
    </row>
    <row r="3012">
      <c r="A3012" s="7" t="s">
        <v>4692</v>
      </c>
      <c r="B3012" s="5" t="s">
        <v>12666</v>
      </c>
      <c r="C3012" s="5" t="s">
        <v>20482</v>
      </c>
      <c r="D3012" s="5"/>
      <c r="E3012" s="0" t="e">
        <f>+7 (495) 9700107</f>
        <v>#NAME?</v>
      </c>
      <c r="F3012" s="5" t="s">
        <v>34396</v>
      </c>
      <c r="G3012" s="5"/>
      <c r="H3012" s="26">
        <v>7</v>
      </c>
      <c r="I3012" s="5" t="s">
        <v>34397</v>
      </c>
      <c r="J3012" s="5" t="s">
        <v>27221</v>
      </c>
      <c r="K3012" s="5" t="s">
        <v>380</v>
      </c>
      <c r="L3012" s="5" t="s">
        <v>34398</v>
      </c>
      <c r="M3012" s="27">
        <v>35340447</v>
      </c>
      <c r="N3012" s="5"/>
      <c r="O3012" s="5" t="str">
        <v>4024015860</v>
      </c>
      <c r="P3012" s="27">
        <v>4334177529</v>
      </c>
      <c r="Q3012" s="5"/>
      <c r="R3012" s="5"/>
      <c r="S3012" s="5" t="s">
        <v>49121</v>
      </c>
      <c r="T3012" s="28">
        <v>20748491000</v>
      </c>
      <c r="U3012" s="28"/>
      <c r="V3012" s="28">
        <v>956677000</v>
      </c>
      <c r="W3012" s="28"/>
      <c r="X3012" s="28">
        <v>17809000</v>
      </c>
      <c r="Y3012" s="28">
        <v>25264963000</v>
      </c>
      <c r="Z3012" s="28">
        <v>-62143000</v>
      </c>
      <c r="AA3012" s="28">
        <v>14739750000</v>
      </c>
      <c r="AB3012" s="28">
        <v>61079000</v>
      </c>
      <c r="AC3012" s="28">
        <v>4425724000</v>
      </c>
      <c r="AD3012" s="28">
        <v>4272035000</v>
      </c>
      <c r="AE3012" s="28">
        <v>4244554000</v>
      </c>
      <c r="AF3012" s="28">
        <v>401676000</v>
      </c>
      <c r="AG3012" s="11"/>
    </row>
    <row r="3013">
      <c r="A3013" s="7" t="s">
        <v>4693</v>
      </c>
      <c r="B3013" s="5" t="s">
        <v>12667</v>
      </c>
      <c r="C3013" s="5" t="s">
        <v>20482</v>
      </c>
      <c r="D3013" s="5"/>
      <c r="E3013" s="0" t="e">
        <f>+7 (495) 9700107</f>
        <v>#NAME?</v>
      </c>
      <c r="F3013" s="5"/>
      <c r="G3013" s="5"/>
      <c r="H3013" s="26">
        <v>7</v>
      </c>
      <c r="I3013" s="5" t="s">
        <v>34399</v>
      </c>
      <c r="J3013" s="5" t="s">
        <v>27221</v>
      </c>
      <c r="K3013" s="5" t="s">
        <v>355</v>
      </c>
      <c r="L3013" s="5" t="s">
        <v>34400</v>
      </c>
      <c r="M3013" s="27"/>
      <c r="N3013" s="5"/>
      <c r="O3013" s="5" t="str">
        <v>0272903150</v>
      </c>
      <c r="P3013" s="27">
        <v>3465774000</v>
      </c>
      <c r="Q3013" s="5" t="s">
        <v>49324</v>
      </c>
      <c r="R3013" s="5"/>
      <c r="S3013" s="5" t="s">
        <v>50562</v>
      </c>
      <c r="T3013" s="28">
        <v>13743411000</v>
      </c>
      <c r="U3013" s="28"/>
      <c r="V3013" s="28">
        <v>803620000</v>
      </c>
      <c r="W3013" s="28"/>
      <c r="X3013" s="28">
        <v>817468000</v>
      </c>
      <c r="Y3013" s="28">
        <v>16390137000</v>
      </c>
      <c r="Z3013" s="28">
        <v>2690861000</v>
      </c>
      <c r="AA3013" s="28">
        <v>8493864000</v>
      </c>
      <c r="AB3013" s="28">
        <v>498967000</v>
      </c>
      <c r="AC3013" s="28">
        <v>1532978000</v>
      </c>
      <c r="AD3013" s="28">
        <v>6156635000</v>
      </c>
      <c r="AE3013" s="28">
        <v>9066767000</v>
      </c>
      <c r="AF3013" s="28">
        <v>2026827000</v>
      </c>
      <c r="AG3013" s="11"/>
    </row>
    <row r="3014">
      <c r="A3014" s="7" t="s">
        <v>4694</v>
      </c>
      <c r="B3014" s="5" t="s">
        <v>12668</v>
      </c>
      <c r="C3014" s="5" t="s">
        <v>20482</v>
      </c>
      <c r="D3014" s="5"/>
      <c r="E3014" s="0" t="e">
        <f>+7 (495) 7788683
+7 (495) 7888683
+7 (3472) 268885
+7 (3472) 268886
+7 (495) 9700107
+7 (495) 9801007
+7 (495) 9874007
+7 (8412) 652100
+7 (961) 3610958</f>
        <v>#NAME?</v>
      </c>
      <c r="F3014" s="5" t="s">
        <v>34401</v>
      </c>
      <c r="G3014" s="5" t="s">
        <v>34402</v>
      </c>
      <c r="H3014" s="26">
        <v>21</v>
      </c>
      <c r="I3014" s="5" t="s">
        <v>34403</v>
      </c>
      <c r="J3014" s="5" t="s">
        <v>27221</v>
      </c>
      <c r="K3014" s="5" t="s">
        <v>344</v>
      </c>
      <c r="L3014" s="5" t="s">
        <v>34404</v>
      </c>
      <c r="M3014" s="27">
        <v>1942500</v>
      </c>
      <c r="N3014" s="5"/>
      <c r="O3014" s="5" t="str">
        <v>5011021227</v>
      </c>
      <c r="P3014" s="27">
        <v>6691242000</v>
      </c>
      <c r="Q3014" s="5" t="s">
        <v>49324</v>
      </c>
      <c r="R3014" s="5"/>
      <c r="S3014" s="5" t="s">
        <v>54031</v>
      </c>
      <c r="T3014" s="28">
        <v>21816817000</v>
      </c>
      <c r="U3014" s="28"/>
      <c r="V3014" s="28">
        <v>3573946000</v>
      </c>
      <c r="W3014" s="28">
        <v>8741169000</v>
      </c>
      <c r="X3014" s="28">
        <v>3702385000</v>
      </c>
      <c r="Y3014" s="28">
        <v>44105956000</v>
      </c>
      <c r="Z3014" s="28">
        <v>25833640000</v>
      </c>
      <c r="AA3014" s="28">
        <v>3840284000</v>
      </c>
      <c r="AB3014" s="28"/>
      <c r="AC3014" s="28">
        <v>2719171000</v>
      </c>
      <c r="AD3014" s="28">
        <v>37447542000</v>
      </c>
      <c r="AE3014" s="28">
        <v>40937786000</v>
      </c>
      <c r="AF3014" s="28">
        <v>6600364000</v>
      </c>
      <c r="AG3014" s="11"/>
    </row>
    <row r="3015">
      <c r="A3015" s="7" t="s">
        <v>4695</v>
      </c>
      <c r="B3015" s="5" t="s">
        <v>12669</v>
      </c>
      <c r="C3015" s="5" t="s">
        <v>20483</v>
      </c>
      <c r="D3015" s="5" t="str">
        <v>771504579329</v>
      </c>
      <c r="E3015" s="0" t="e">
        <f>+7 (495) 7418864</f>
        <v>#NAME?</v>
      </c>
      <c r="F3015" s="5" t="s">
        <v>34405</v>
      </c>
      <c r="G3015" s="5" t="s">
        <v>34406</v>
      </c>
      <c r="H3015" s="26">
        <v>11.5</v>
      </c>
      <c r="I3015" s="5" t="s">
        <v>34407</v>
      </c>
      <c r="J3015" s="5" t="s">
        <v>748</v>
      </c>
      <c r="K3015" s="5" t="s">
        <v>344</v>
      </c>
      <c r="L3015" s="5" t="s">
        <v>34408</v>
      </c>
      <c r="M3015" s="27"/>
      <c r="N3015" s="5" t="s">
        <v>54032</v>
      </c>
      <c r="O3015" s="5" t="str">
        <v>7707756806</v>
      </c>
      <c r="P3015" s="27">
        <v>10000</v>
      </c>
      <c r="Q3015" s="5" t="s">
        <v>54033</v>
      </c>
      <c r="R3015" s="5"/>
      <c r="S3015" s="5" t="s">
        <v>54034</v>
      </c>
      <c r="T3015" s="28">
        <v>40893000</v>
      </c>
      <c r="U3015" s="28">
        <v>46567000</v>
      </c>
      <c r="V3015" s="28">
        <v>820178000</v>
      </c>
      <c r="W3015" s="28">
        <v>7076000</v>
      </c>
      <c r="X3015" s="28">
        <v>433991000</v>
      </c>
      <c r="Y3015" s="28">
        <v>2358651000</v>
      </c>
      <c r="Z3015" s="28">
        <v>406851000</v>
      </c>
      <c r="AA3015" s="28"/>
      <c r="AB3015" s="28"/>
      <c r="AC3015" s="28">
        <v>1950630000</v>
      </c>
      <c r="AD3015" s="28">
        <v>1543144000</v>
      </c>
      <c r="AE3015" s="28">
        <v>3008131000</v>
      </c>
      <c r="AF3015" s="28">
        <v>362176000</v>
      </c>
      <c r="AG3015" s="11"/>
    </row>
    <row r="3016">
      <c r="A3016" s="7" t="s">
        <v>4696</v>
      </c>
      <c r="B3016" s="5" t="s">
        <v>12670</v>
      </c>
      <c r="C3016" s="5" t="s">
        <v>20484</v>
      </c>
      <c r="D3016" s="5" t="str">
        <v>771897138678</v>
      </c>
      <c r="F3016" s="5"/>
      <c r="G3016" s="5"/>
      <c r="H3016" s="26">
        <v>3.5</v>
      </c>
      <c r="I3016" s="5" t="s">
        <v>34409</v>
      </c>
      <c r="J3016" s="5" t="s">
        <v>25938</v>
      </c>
      <c r="K3016" s="5" t="s">
        <v>344</v>
      </c>
      <c r="L3016" s="5" t="s">
        <v>34410</v>
      </c>
      <c r="M3016" s="27">
        <v>367107</v>
      </c>
      <c r="N3016" s="5"/>
      <c r="O3016" s="5" t="str">
        <v>9702007042</v>
      </c>
      <c r="P3016" s="27">
        <v>100000</v>
      </c>
      <c r="Q3016" s="5" t="s">
        <v>49059</v>
      </c>
      <c r="R3016" s="5"/>
      <c r="S3016" s="5" t="s">
        <v>52767</v>
      </c>
      <c r="T3016" s="28">
        <v>781000</v>
      </c>
      <c r="U3016" s="28"/>
      <c r="V3016" s="28">
        <v>192082000</v>
      </c>
      <c r="W3016" s="28"/>
      <c r="X3016" s="28">
        <v>12020000</v>
      </c>
      <c r="Y3016" s="28">
        <v>420344000</v>
      </c>
      <c r="Z3016" s="28">
        <v>69842000</v>
      </c>
      <c r="AA3016" s="28"/>
      <c r="AB3016" s="28">
        <v>698000</v>
      </c>
      <c r="AC3016" s="28">
        <v>342589000</v>
      </c>
      <c r="AD3016" s="28">
        <v>69942000</v>
      </c>
      <c r="AE3016" s="28">
        <v>3026399000</v>
      </c>
      <c r="AF3016" s="28">
        <v>39559000</v>
      </c>
      <c r="AG3016" s="11"/>
    </row>
    <row r="3017">
      <c r="A3017" s="7" t="s">
        <v>844</v>
      </c>
      <c r="B3017" s="5" t="s">
        <v>845</v>
      </c>
      <c r="C3017" s="5" t="s">
        <v>846</v>
      </c>
      <c r="D3017" s="5" t="str">
        <v>772163935777</v>
      </c>
      <c r="E3017" s="0" t="e">
        <f>+7 (495) 7258045
+7 (495) 7258046
+7 (499) 1562140
+7 (499) 6730860</f>
        <v>#NAME?</v>
      </c>
      <c r="F3017" s="5" t="s">
        <v>848</v>
      </c>
      <c r="G3017" s="5" t="s">
        <v>34411</v>
      </c>
      <c r="H3017" s="26">
        <v>24.5</v>
      </c>
      <c r="I3017" s="5" t="s">
        <v>849</v>
      </c>
      <c r="J3017" s="5" t="s">
        <v>364</v>
      </c>
      <c r="K3017" s="5" t="s">
        <v>344</v>
      </c>
      <c r="L3017" s="5" t="s">
        <v>850</v>
      </c>
      <c r="M3017" s="27">
        <v>55185</v>
      </c>
      <c r="N3017" s="5" t="s">
        <v>54035</v>
      </c>
      <c r="O3017" s="5" t="str">
        <v>7712101996</v>
      </c>
      <c r="P3017" s="27">
        <v>10000</v>
      </c>
      <c r="Q3017" s="5" t="s">
        <v>54037</v>
      </c>
      <c r="R3017" s="5" t="s">
        <v>54038</v>
      </c>
      <c r="S3017" s="5" t="s">
        <v>54039</v>
      </c>
      <c r="T3017" s="28">
        <v>84822000</v>
      </c>
      <c r="U3017" s="28"/>
      <c r="V3017" s="28">
        <v>7634747000</v>
      </c>
      <c r="W3017" s="28"/>
      <c r="X3017" s="28">
        <v>15512000</v>
      </c>
      <c r="Y3017" s="28">
        <v>19755516000</v>
      </c>
      <c r="Z3017" s="28">
        <v>168798000</v>
      </c>
      <c r="AA3017" s="28">
        <v>1416820000</v>
      </c>
      <c r="AB3017" s="28">
        <v>3132901000</v>
      </c>
      <c r="AC3017" s="28">
        <v>18135322000</v>
      </c>
      <c r="AD3017" s="28">
        <v>168808000</v>
      </c>
      <c r="AE3017" s="28">
        <v>9981605000</v>
      </c>
      <c r="AF3017" s="28">
        <v>14722000</v>
      </c>
      <c r="AG3017" s="11"/>
    </row>
    <row r="3018">
      <c r="A3018" s="7" t="s">
        <v>4697</v>
      </c>
      <c r="B3018" s="5" t="s">
        <v>12671</v>
      </c>
      <c r="C3018" s="5" t="s">
        <v>20485</v>
      </c>
      <c r="D3018" s="5" t="str">
        <v>771535746107</v>
      </c>
      <c r="E3018" s="0" t="e">
        <f>+7 (495) 5486471
+7 (495) 5486552
+7 (495) 7272687
+7 (495) 5466313
+7 (495) 7271642</f>
        <v>#NAME?</v>
      </c>
      <c r="F3018" s="5" t="s">
        <v>34412</v>
      </c>
      <c r="G3018" s="5" t="s">
        <v>34413</v>
      </c>
      <c r="H3018" s="26">
        <v>26.5</v>
      </c>
      <c r="I3018" s="5"/>
      <c r="J3018" s="5" t="s">
        <v>25738</v>
      </c>
      <c r="K3018" s="5" t="s">
        <v>380</v>
      </c>
      <c r="L3018" s="5"/>
      <c r="M3018" s="27">
        <v>49153351</v>
      </c>
      <c r="N3018" s="5"/>
      <c r="O3018" s="5" t="str">
        <v>7727067057</v>
      </c>
      <c r="P3018" s="27">
        <v>25920000</v>
      </c>
      <c r="Q3018" s="5" t="s">
        <v>49009</v>
      </c>
      <c r="R3018" s="5"/>
      <c r="S3018" s="5" t="s">
        <v>49028</v>
      </c>
      <c r="T3018" s="28">
        <v>5995485000</v>
      </c>
      <c r="U3018" s="28">
        <v>807249000</v>
      </c>
      <c r="V3018" s="28">
        <v>1225404000</v>
      </c>
      <c r="W3018" s="28"/>
      <c r="X3018" s="28">
        <v>80449000</v>
      </c>
      <c r="Y3018" s="28">
        <v>16337217000</v>
      </c>
      <c r="Z3018" s="28">
        <v>-2872339000</v>
      </c>
      <c r="AA3018" s="28">
        <v>6099340000</v>
      </c>
      <c r="AB3018" s="28">
        <v>533331000</v>
      </c>
      <c r="AC3018" s="28">
        <v>2348203000</v>
      </c>
      <c r="AD3018" s="28">
        <v>5283331000</v>
      </c>
      <c r="AE3018" s="28">
        <v>3316221000</v>
      </c>
      <c r="AF3018" s="28">
        <v>-615380000</v>
      </c>
      <c r="AG3018" s="11"/>
    </row>
    <row r="3019">
      <c r="A3019" s="7" t="s">
        <v>4698</v>
      </c>
      <c r="B3019" s="5" t="s">
        <v>12672</v>
      </c>
      <c r="C3019" s="5" t="s">
        <v>20486</v>
      </c>
      <c r="D3019" s="5" t="str">
        <v>164300365674</v>
      </c>
      <c r="E3019" s="0" t="e">
        <f>+7 (8553) 388303</f>
        <v>#NAME?</v>
      </c>
      <c r="F3019" s="5" t="s">
        <v>34414</v>
      </c>
      <c r="G3019" s="5"/>
      <c r="H3019" s="26">
        <v>2.5</v>
      </c>
      <c r="I3019" s="5" t="s">
        <v>34415</v>
      </c>
      <c r="J3019" s="5" t="s">
        <v>26799</v>
      </c>
      <c r="K3019" s="5" t="s">
        <v>380</v>
      </c>
      <c r="L3019" s="5"/>
      <c r="M3019" s="27"/>
      <c r="N3019" s="5"/>
      <c r="O3019" s="5" t="str">
        <v>1644096656</v>
      </c>
      <c r="P3019" s="27">
        <v>100000</v>
      </c>
      <c r="Q3019" s="5" t="s">
        <v>49009</v>
      </c>
      <c r="R3019" s="5"/>
      <c r="S3019" s="5" t="s">
        <v>49010</v>
      </c>
      <c r="T3019" s="28">
        <v>984910000</v>
      </c>
      <c r="U3019" s="28"/>
      <c r="V3019" s="28">
        <v>1071669000</v>
      </c>
      <c r="W3019" s="28"/>
      <c r="X3019" s="28">
        <v>4000</v>
      </c>
      <c r="Y3019" s="28">
        <v>2322227000</v>
      </c>
      <c r="Z3019" s="28">
        <v>-68957000</v>
      </c>
      <c r="AA3019" s="28"/>
      <c r="AB3019" s="28">
        <v>1240349000</v>
      </c>
      <c r="AC3019" s="28">
        <v>2372515000</v>
      </c>
      <c r="AD3019" s="28">
        <v>-68857000</v>
      </c>
      <c r="AE3019" s="28">
        <v>3157923000</v>
      </c>
      <c r="AF3019" s="28">
        <v>-7496000</v>
      </c>
      <c r="AG3019" s="11"/>
    </row>
    <row r="3020">
      <c r="A3020" s="7" t="s">
        <v>4699</v>
      </c>
      <c r="B3020" s="5" t="s">
        <v>12673</v>
      </c>
      <c r="C3020" s="5" t="s">
        <v>20487</v>
      </c>
      <c r="D3020" s="5"/>
      <c r="E3020" s="0" t="e">
        <f>+7 (4712) 381205
+7 (4712) 381850
+7 (471) 2571571
+7 (4712) 370208
+7 (4712) 371571
+7 (4712) 377866
+7 (4712) 378349
+7 (4712) 381208
+7 (4712) 381298
+7 (4712) 381840
+7 (4712) 730340
+7 (495) 2581428
+7 (800) 5059870</f>
        <v>#NAME?</v>
      </c>
      <c r="F3020" s="5" t="s">
        <v>34416</v>
      </c>
      <c r="G3020" s="5" t="s">
        <v>34417</v>
      </c>
      <c r="H3020" s="26">
        <v>31</v>
      </c>
      <c r="I3020" s="5"/>
      <c r="J3020" s="5" t="s">
        <v>32827</v>
      </c>
      <c r="K3020" s="5" t="s">
        <v>344</v>
      </c>
      <c r="L3020" s="5" t="s">
        <v>34418</v>
      </c>
      <c r="M3020" s="27">
        <v>650270</v>
      </c>
      <c r="N3020" s="5" t="s">
        <v>54040</v>
      </c>
      <c r="O3020" s="5" t="str">
        <v>4632001454</v>
      </c>
      <c r="P3020" s="27">
        <v>54125907</v>
      </c>
      <c r="Q3020" s="5" t="s">
        <v>49009</v>
      </c>
      <c r="R3020" s="5"/>
      <c r="S3020" s="5" t="s">
        <v>49576</v>
      </c>
      <c r="T3020" s="28">
        <v>1203980000</v>
      </c>
      <c r="U3020" s="28">
        <v>112000</v>
      </c>
      <c r="V3020" s="28">
        <v>868606000</v>
      </c>
      <c r="W3020" s="28"/>
      <c r="X3020" s="28">
        <v>46977000</v>
      </c>
      <c r="Y3020" s="28">
        <v>3771362000</v>
      </c>
      <c r="Z3020" s="28">
        <v>1652957000</v>
      </c>
      <c r="AA3020" s="28"/>
      <c r="AB3020" s="28">
        <v>575423000</v>
      </c>
      <c r="AC3020" s="28">
        <v>1651838000</v>
      </c>
      <c r="AD3020" s="28">
        <v>1962683000</v>
      </c>
      <c r="AE3020" s="28">
        <v>9559804000</v>
      </c>
      <c r="AF3020" s="28">
        <v>1871138000</v>
      </c>
      <c r="AG3020" s="11"/>
    </row>
    <row r="3021">
      <c r="A3021" s="7" t="s">
        <v>4700</v>
      </c>
      <c r="B3021" s="5" t="s">
        <v>12674</v>
      </c>
      <c r="C3021" s="5" t="s">
        <v>20488</v>
      </c>
      <c r="D3021" s="5" t="str">
        <v>420206216790</v>
      </c>
      <c r="E3021" s="0" t="e">
        <f>+7 (384) 2440200
+7 (384) 2440445
+7 (384) 2496033
+7 (384) 2523329
+7 (384) 2524610
+7 (3846) 648311</f>
        <v>#NAME?</v>
      </c>
      <c r="F3021" s="5" t="s">
        <v>34419</v>
      </c>
      <c r="G3021" s="5" t="s">
        <v>34420</v>
      </c>
      <c r="H3021" s="26">
        <v>20.5</v>
      </c>
      <c r="I3021" s="5" t="s">
        <v>34421</v>
      </c>
      <c r="J3021" s="5" t="s">
        <v>28484</v>
      </c>
      <c r="K3021" s="5" t="s">
        <v>344</v>
      </c>
      <c r="L3021" s="5" t="s">
        <v>34422</v>
      </c>
      <c r="M3021" s="27">
        <v>7404153</v>
      </c>
      <c r="N3021" s="5"/>
      <c r="O3021" s="5" t="str">
        <v>4234009327</v>
      </c>
      <c r="P3021" s="27">
        <v>47000</v>
      </c>
      <c r="Q3021" s="5" t="s">
        <v>49009</v>
      </c>
      <c r="R3021" s="5"/>
      <c r="S3021" s="5" t="s">
        <v>49066</v>
      </c>
      <c r="T3021" s="28">
        <v>890330000</v>
      </c>
      <c r="U3021" s="28">
        <v>19809000</v>
      </c>
      <c r="V3021" s="28">
        <v>506349000</v>
      </c>
      <c r="W3021" s="28"/>
      <c r="X3021" s="28">
        <v>7742000</v>
      </c>
      <c r="Y3021" s="28">
        <v>2160562000</v>
      </c>
      <c r="Z3021" s="28">
        <v>1254200000</v>
      </c>
      <c r="AA3021" s="28"/>
      <c r="AB3021" s="28"/>
      <c r="AC3021" s="28">
        <v>871291000</v>
      </c>
      <c r="AD3021" s="28">
        <v>1254247000</v>
      </c>
      <c r="AE3021" s="28">
        <v>14816613000</v>
      </c>
      <c r="AF3021" s="28">
        <v>923744000</v>
      </c>
      <c r="AG3021" s="11"/>
    </row>
    <row r="3022">
      <c r="A3022" s="7" t="s">
        <v>4701</v>
      </c>
      <c r="B3022" s="5" t="s">
        <v>12675</v>
      </c>
      <c r="C3022" s="5" t="s">
        <v>20489</v>
      </c>
      <c r="D3022" s="5" t="str">
        <v>771523215285</v>
      </c>
      <c r="E3022" s="0" t="e">
        <f>+7 (495) 1004222
+7 (495) 1204418
+7 (985) 8075728</f>
        <v>#NAME?</v>
      </c>
      <c r="F3022" s="5"/>
      <c r="G3022" s="5"/>
      <c r="H3022" s="26">
        <v>8.5</v>
      </c>
      <c r="I3022" s="5" t="s">
        <v>34423</v>
      </c>
      <c r="J3022" s="5" t="s">
        <v>25874</v>
      </c>
      <c r="K3022" s="5" t="s">
        <v>344</v>
      </c>
      <c r="L3022" s="5" t="s">
        <v>34424</v>
      </c>
      <c r="M3022" s="27"/>
      <c r="N3022" s="5"/>
      <c r="O3022" s="5" t="str">
        <v>7714940309</v>
      </c>
      <c r="P3022" s="27">
        <v>100000</v>
      </c>
      <c r="Q3022" s="5" t="s">
        <v>49009</v>
      </c>
      <c r="R3022" s="5"/>
      <c r="S3022" s="5" t="s">
        <v>49066</v>
      </c>
      <c r="T3022" s="28">
        <v>69639000</v>
      </c>
      <c r="U3022" s="28"/>
      <c r="V3022" s="28">
        <v>927976000</v>
      </c>
      <c r="W3022" s="28"/>
      <c r="X3022" s="28">
        <v>14322000</v>
      </c>
      <c r="Y3022" s="28">
        <v>2566202000</v>
      </c>
      <c r="Z3022" s="28">
        <v>1433971000</v>
      </c>
      <c r="AA3022" s="28"/>
      <c r="AB3022" s="28">
        <v>642497000</v>
      </c>
      <c r="AC3022" s="28">
        <v>1094703000</v>
      </c>
      <c r="AD3022" s="28">
        <v>1434071000</v>
      </c>
      <c r="AE3022" s="28">
        <v>5479447000</v>
      </c>
      <c r="AF3022" s="28">
        <v>714586000</v>
      </c>
      <c r="AG3022" s="11"/>
    </row>
    <row r="3023">
      <c r="A3023" s="7" t="s">
        <v>4702</v>
      </c>
      <c r="B3023" s="5" t="s">
        <v>11892</v>
      </c>
      <c r="C3023" s="5" t="s">
        <v>20490</v>
      </c>
      <c r="D3023" s="5" t="str">
        <v>362805053157</v>
      </c>
      <c r="E3023" s="0" t="e">
        <f>+7 (47234) 33537
+7 (47234) 31368
+7 (47234) 33357
+7 (47234) 33435
+7 (47234) 34639
+7 (863) 3001140
+7 (910) 2458516
+7 (988) 3224872</f>
        <v>#NAME?</v>
      </c>
      <c r="F3023" s="5" t="s">
        <v>34425</v>
      </c>
      <c r="G3023" s="5" t="s">
        <v>34426</v>
      </c>
      <c r="H3023" s="26">
        <v>19</v>
      </c>
      <c r="I3023" s="5" t="s">
        <v>31494</v>
      </c>
      <c r="J3023" s="5" t="s">
        <v>29195</v>
      </c>
      <c r="K3023" s="5" t="s">
        <v>344</v>
      </c>
      <c r="L3023" s="5" t="s">
        <v>34427</v>
      </c>
      <c r="M3023" s="27">
        <v>4673372</v>
      </c>
      <c r="N3023" s="5" t="s">
        <v>54041</v>
      </c>
      <c r="O3023" s="5" t="str">
        <v>3122503751</v>
      </c>
      <c r="P3023" s="27">
        <v>10000</v>
      </c>
      <c r="Q3023" s="5" t="s">
        <v>49009</v>
      </c>
      <c r="R3023" s="5"/>
      <c r="S3023" s="5" t="s">
        <v>54042</v>
      </c>
      <c r="T3023" s="28">
        <v>131973000</v>
      </c>
      <c r="U3023" s="28"/>
      <c r="V3023" s="28">
        <v>61205240000</v>
      </c>
      <c r="W3023" s="28">
        <v>8464469000</v>
      </c>
      <c r="X3023" s="28">
        <v>1123137000</v>
      </c>
      <c r="Y3023" s="28">
        <v>85695401000</v>
      </c>
      <c r="Z3023" s="28">
        <v>6746679000</v>
      </c>
      <c r="AA3023" s="28">
        <v>21643337000</v>
      </c>
      <c r="AB3023" s="28">
        <v>23152056000</v>
      </c>
      <c r="AC3023" s="28">
        <v>56875415000</v>
      </c>
      <c r="AD3023" s="28">
        <v>6756870000</v>
      </c>
      <c r="AE3023" s="28">
        <v>262667429000</v>
      </c>
      <c r="AF3023" s="28">
        <v>4438122000</v>
      </c>
      <c r="AG3023" s="11"/>
    </row>
    <row r="3024">
      <c r="A3024" s="7" t="s">
        <v>4703</v>
      </c>
      <c r="B3024" s="5" t="s">
        <v>12676</v>
      </c>
      <c r="C3024" s="5" t="s">
        <v>20491</v>
      </c>
      <c r="D3024" s="5" t="str">
        <v>910817073624</v>
      </c>
      <c r="E3024" s="0" t="e">
        <f>+7 (978) 7969450
+7 (978) 8009105</f>
        <v>#NAME?</v>
      </c>
      <c r="F3024" s="5" t="s">
        <v>34428</v>
      </c>
      <c r="G3024" s="5"/>
      <c r="H3024" s="26">
        <v>21.5</v>
      </c>
      <c r="I3024" s="5" t="s">
        <v>34429</v>
      </c>
      <c r="J3024" s="5" t="s">
        <v>25484</v>
      </c>
      <c r="K3024" s="5" t="s">
        <v>344</v>
      </c>
      <c r="L3024" s="5" t="s">
        <v>34430</v>
      </c>
      <c r="M3024" s="27"/>
      <c r="N3024" s="5"/>
      <c r="O3024" s="5" t="str">
        <v>9204009463</v>
      </c>
      <c r="P3024" s="27">
        <v>2722320</v>
      </c>
      <c r="Q3024" s="5"/>
      <c r="R3024" s="5"/>
      <c r="S3024" s="5" t="s">
        <v>49110</v>
      </c>
      <c r="T3024" s="28">
        <v>67545000</v>
      </c>
      <c r="U3024" s="28"/>
      <c r="V3024" s="28">
        <v>971923000</v>
      </c>
      <c r="W3024" s="28"/>
      <c r="X3024" s="28">
        <v>20246000</v>
      </c>
      <c r="Y3024" s="28">
        <v>1182006000</v>
      </c>
      <c r="Z3024" s="28">
        <v>404985000</v>
      </c>
      <c r="AA3024" s="28"/>
      <c r="AB3024" s="28"/>
      <c r="AC3024" s="28">
        <v>777011000</v>
      </c>
      <c r="AD3024" s="28">
        <v>404995000</v>
      </c>
      <c r="AE3024" s="28">
        <v>3539609000</v>
      </c>
      <c r="AF3024" s="28">
        <v>402588000</v>
      </c>
      <c r="AG3024" s="11"/>
    </row>
    <row r="3025">
      <c r="A3025" s="7" t="s">
        <v>4704</v>
      </c>
      <c r="B3025" s="5" t="s">
        <v>12677</v>
      </c>
      <c r="C3025" s="5" t="s">
        <v>20492</v>
      </c>
      <c r="D3025" s="5" t="str">
        <v>543802387822</v>
      </c>
      <c r="E3025" s="0" t="e">
        <f>+7 (3652) 692259
+7 (3652) 692592
+7 (36554) 42663
+7 (36557) 61489
+7 (36563) 23689
+7 (36563) 24452
+7 (36565) 23528
+7 (911) 1907190
+7 (978) 389737
+7 (978) 1128795
+7 (978) 5445465
+7 (978) 5645655
+7 (978) 5676543
+7 (3652) 692529
+7 (3652) 692534</f>
        <v>#NAME?</v>
      </c>
      <c r="F3025" s="5" t="s">
        <v>34431</v>
      </c>
      <c r="G3025" s="5" t="s">
        <v>34432</v>
      </c>
      <c r="H3025" s="26">
        <v>8</v>
      </c>
      <c r="I3025" s="5" t="s">
        <v>34433</v>
      </c>
      <c r="J3025" s="5" t="s">
        <v>467</v>
      </c>
      <c r="K3025" s="5" t="s">
        <v>344</v>
      </c>
      <c r="L3025" s="5"/>
      <c r="M3025" s="27">
        <v>101865943</v>
      </c>
      <c r="N3025" s="5" t="s">
        <v>54043</v>
      </c>
      <c r="O3025" s="5" t="str">
        <v>9102161282</v>
      </c>
      <c r="P3025" s="27">
        <v>113353476</v>
      </c>
      <c r="Q3025" s="5" t="s">
        <v>54044</v>
      </c>
      <c r="R3025" s="5" t="s">
        <v>54045</v>
      </c>
      <c r="S3025" s="5" t="s">
        <v>54046</v>
      </c>
      <c r="T3025" s="28">
        <v>1040853000</v>
      </c>
      <c r="U3025" s="28"/>
      <c r="V3025" s="28">
        <v>123715000</v>
      </c>
      <c r="W3025" s="28">
        <v>4900000</v>
      </c>
      <c r="X3025" s="28">
        <v>107075000</v>
      </c>
      <c r="Y3025" s="28">
        <v>1644032000</v>
      </c>
      <c r="Z3025" s="28">
        <v>-431852000</v>
      </c>
      <c r="AA3025" s="28"/>
      <c r="AB3025" s="28"/>
      <c r="AC3025" s="28">
        <v>959636000</v>
      </c>
      <c r="AD3025" s="28">
        <v>753148000</v>
      </c>
      <c r="AE3025" s="28">
        <v>3815704000</v>
      </c>
      <c r="AF3025" s="28">
        <v>23625000</v>
      </c>
      <c r="AG3025" s="11"/>
    </row>
    <row r="3026">
      <c r="A3026" s="7" t="s">
        <v>4705</v>
      </c>
      <c r="B3026" s="5" t="s">
        <v>12678</v>
      </c>
      <c r="C3026" s="5" t="s">
        <v>20493</v>
      </c>
      <c r="D3026" s="5" t="str">
        <v>910707813570</v>
      </c>
      <c r="E3026" s="0" t="e">
        <f>+7 (3652) 221738
+7 (3652) 222885
+7 (3652) 255542
+7 (3652) 256229
+7 (3652) 256289
+7 (3652) 231720
+7 (3652) 252029
+7 (3652) 254555
+7 (3652) 255511
+7 (3652) 256239
+7 (3652) 256467
+7 (3652) 259450
+7 (3652) 259465
+7 (3652) 270544
+7 (3652) 271090</f>
        <v>#NAME?</v>
      </c>
      <c r="F3026" s="5" t="s">
        <v>34434</v>
      </c>
      <c r="G3026" s="5"/>
      <c r="H3026" s="26">
        <v>8.5</v>
      </c>
      <c r="I3026" s="5" t="s">
        <v>34435</v>
      </c>
      <c r="J3026" s="5" t="s">
        <v>29513</v>
      </c>
      <c r="K3026" s="5" t="s">
        <v>344</v>
      </c>
      <c r="L3026" s="5"/>
      <c r="M3026" s="27">
        <v>3796456</v>
      </c>
      <c r="N3026" s="5" t="s">
        <v>54047</v>
      </c>
      <c r="O3026" s="5" t="str">
        <v>9102016743</v>
      </c>
      <c r="P3026" s="27">
        <v>2315840719</v>
      </c>
      <c r="Q3026" s="5" t="s">
        <v>54048</v>
      </c>
      <c r="R3026" s="5"/>
      <c r="S3026" s="5" t="s">
        <v>51430</v>
      </c>
      <c r="T3026" s="28">
        <v>21957722000</v>
      </c>
      <c r="U3026" s="28">
        <v>510000</v>
      </c>
      <c r="V3026" s="28">
        <v>1653357000</v>
      </c>
      <c r="W3026" s="28"/>
      <c r="X3026" s="28">
        <v>2229415000</v>
      </c>
      <c r="Y3026" s="28">
        <v>26780077000</v>
      </c>
      <c r="Z3026" s="28">
        <v>-1833192000</v>
      </c>
      <c r="AA3026" s="28"/>
      <c r="AB3026" s="28">
        <v>400927000</v>
      </c>
      <c r="AC3026" s="28">
        <v>5540176000</v>
      </c>
      <c r="AD3026" s="28">
        <v>16015770000</v>
      </c>
      <c r="AE3026" s="28">
        <v>6222278000</v>
      </c>
      <c r="AF3026" s="28">
        <v>872815000</v>
      </c>
      <c r="AG3026" s="11"/>
    </row>
    <row r="3027">
      <c r="A3027" s="7" t="s">
        <v>4706</v>
      </c>
      <c r="B3027" s="5" t="s">
        <v>12679</v>
      </c>
      <c r="C3027" s="5" t="s">
        <v>20494</v>
      </c>
      <c r="D3027" s="5" t="str">
        <v>910510896160</v>
      </c>
      <c r="E3027" s="0" t="e">
        <f>+7 (345) 2534085
+7 (3652) 221980
+7 (3652) 223484
+7 (3652) 226854
+7 (3652) 256478
+7 (3652) 256985
+7 (3652) 270559
+7 (3652) 276712
+7 (3652) 334085
+7 (3652) 445679
+7 (365) 3276712
+7 (3652) 255066
+7 (3652) 274279
+7 (3652) 396874
+7 (3652) 441479</f>
        <v>#NAME?</v>
      </c>
      <c r="F3027" s="5" t="s">
        <v>34436</v>
      </c>
      <c r="G3027" s="5"/>
      <c r="H3027" s="26">
        <v>8.5</v>
      </c>
      <c r="I3027" s="5" t="s">
        <v>34437</v>
      </c>
      <c r="J3027" s="5" t="s">
        <v>26435</v>
      </c>
      <c r="K3027" s="5" t="s">
        <v>344</v>
      </c>
      <c r="L3027" s="5"/>
      <c r="M3027" s="27">
        <v>202275442</v>
      </c>
      <c r="N3027" s="5" t="s">
        <v>54049</v>
      </c>
      <c r="O3027" s="5" t="str">
        <v>9102028499</v>
      </c>
      <c r="P3027" s="27">
        <v>131498548</v>
      </c>
      <c r="Q3027" s="5" t="s">
        <v>54050</v>
      </c>
      <c r="R3027" s="5"/>
      <c r="S3027" s="5" t="s">
        <v>49288</v>
      </c>
      <c r="T3027" s="28">
        <v>1607824000</v>
      </c>
      <c r="U3027" s="28"/>
      <c r="V3027" s="28">
        <v>1203096000</v>
      </c>
      <c r="W3027" s="28"/>
      <c r="X3027" s="28">
        <v>434018000</v>
      </c>
      <c r="Y3027" s="28">
        <v>3601924000</v>
      </c>
      <c r="Z3027" s="28">
        <v>-666018000</v>
      </c>
      <c r="AA3027" s="28">
        <v>98681000</v>
      </c>
      <c r="AB3027" s="28">
        <v>100508000</v>
      </c>
      <c r="AC3027" s="28">
        <v>2466746000</v>
      </c>
      <c r="AD3027" s="28">
        <v>1300333000</v>
      </c>
      <c r="AE3027" s="28">
        <v>3552213000</v>
      </c>
      <c r="AF3027" s="28">
        <v>-197143000</v>
      </c>
      <c r="AG3027" s="11"/>
    </row>
    <row r="3028">
      <c r="A3028" s="7" t="s">
        <v>4707</v>
      </c>
      <c r="B3028" s="5" t="s">
        <v>12680</v>
      </c>
      <c r="C3028" s="5" t="s">
        <v>20495</v>
      </c>
      <c r="D3028" s="5" t="str">
        <v>910914362244</v>
      </c>
      <c r="E3028" s="0" t="e">
        <f>+7 (3652) 553363
+7 (3652) 553410
+7 (3652) 553429
+7 (3652) 553439
+7 (3652) 553456
+7 (3652) 553477
+7 (3652) 553479
+7 (3652) 553483
+7 (3652) 553528
+7 (3652) 553675
+7 (3652) 602692
+7 (3652) 774052
+7 (3652) 553414
+7 (3652) 553467
+7 (3652) 553543</f>
        <v>#NAME?</v>
      </c>
      <c r="F3028" s="5" t="s">
        <v>34438</v>
      </c>
      <c r="G3028" s="5" t="s">
        <v>34439</v>
      </c>
      <c r="H3028" s="26">
        <v>20</v>
      </c>
      <c r="I3028" s="5"/>
      <c r="J3028" s="5" t="s">
        <v>25295</v>
      </c>
      <c r="K3028" s="5" t="s">
        <v>344</v>
      </c>
      <c r="L3028" s="5"/>
      <c r="M3028" s="27">
        <v>567156610</v>
      </c>
      <c r="N3028" s="5" t="s">
        <v>54051</v>
      </c>
      <c r="O3028" s="5" t="str">
        <v>9102070194</v>
      </c>
      <c r="P3028" s="27">
        <v>1667621657</v>
      </c>
      <c r="Q3028" s="5" t="s">
        <v>54052</v>
      </c>
      <c r="R3028" s="5"/>
      <c r="S3028" s="5" t="s">
        <v>49288</v>
      </c>
      <c r="T3028" s="28">
        <v>13208543000</v>
      </c>
      <c r="U3028" s="28">
        <v>187474000</v>
      </c>
      <c r="V3028" s="28">
        <v>1144759000</v>
      </c>
      <c r="W3028" s="28">
        <v>67000000</v>
      </c>
      <c r="X3028" s="28">
        <v>459794000</v>
      </c>
      <c r="Y3028" s="28">
        <v>16136657000</v>
      </c>
      <c r="Z3028" s="28">
        <v>268317000</v>
      </c>
      <c r="AA3028" s="28">
        <v>12004312000</v>
      </c>
      <c r="AB3028" s="28">
        <v>972877000</v>
      </c>
      <c r="AC3028" s="28">
        <v>1483057000</v>
      </c>
      <c r="AD3028" s="28">
        <v>1970250000</v>
      </c>
      <c r="AE3028" s="28">
        <v>5782827000</v>
      </c>
      <c r="AF3028" s="28">
        <v>5380000</v>
      </c>
      <c r="AG3028" s="11"/>
    </row>
    <row r="3029">
      <c r="A3029" s="7" t="s">
        <v>4708</v>
      </c>
      <c r="B3029" s="5" t="s">
        <v>12681</v>
      </c>
      <c r="C3029" s="5" t="s">
        <v>20496</v>
      </c>
      <c r="D3029" s="5" t="str">
        <v>910215439913</v>
      </c>
      <c r="F3029" s="5" t="s">
        <v>34440</v>
      </c>
      <c r="G3029" s="5"/>
      <c r="H3029" s="26">
        <v>25.5</v>
      </c>
      <c r="I3029" s="5" t="s">
        <v>34441</v>
      </c>
      <c r="J3029" s="5" t="s">
        <v>25938</v>
      </c>
      <c r="K3029" s="5" t="s">
        <v>355</v>
      </c>
      <c r="L3029" s="5" t="s">
        <v>34442</v>
      </c>
      <c r="M3029" s="27"/>
      <c r="N3029" s="5"/>
      <c r="O3029" s="5" t="str">
        <v>9102050261</v>
      </c>
      <c r="P3029" s="27">
        <v>18000000</v>
      </c>
      <c r="Q3029" s="5" t="s">
        <v>49434</v>
      </c>
      <c r="R3029" s="5"/>
      <c r="S3029" s="5" t="s">
        <v>54053</v>
      </c>
      <c r="T3029" s="28">
        <v>60159000</v>
      </c>
      <c r="U3029" s="28">
        <v>1168160000</v>
      </c>
      <c r="V3029" s="28">
        <v>102415000</v>
      </c>
      <c r="W3029" s="28">
        <v>55260000</v>
      </c>
      <c r="X3029" s="28">
        <v>9000</v>
      </c>
      <c r="Y3029" s="28">
        <v>1922745000</v>
      </c>
      <c r="Z3029" s="28">
        <v>277856000</v>
      </c>
      <c r="AA3029" s="28">
        <v>738637000</v>
      </c>
      <c r="AB3029" s="28">
        <v>522402000</v>
      </c>
      <c r="AC3029" s="28">
        <v>885548000</v>
      </c>
      <c r="AD3029" s="28">
        <v>295856000</v>
      </c>
      <c r="AE3029" s="28">
        <v>7419069000</v>
      </c>
      <c r="AF3029" s="28">
        <v>90621000</v>
      </c>
      <c r="AG3029" s="11"/>
    </row>
    <row r="3030">
      <c r="A3030" s="7" t="s">
        <v>4709</v>
      </c>
      <c r="B3030" s="5" t="s">
        <v>12682</v>
      </c>
      <c r="C3030" s="5" t="s">
        <v>20497</v>
      </c>
      <c r="D3030" s="5" t="str">
        <v>910403109210</v>
      </c>
      <c r="E3030" s="0" t="e">
        <f>+7 (3652) 550482
+7 (36564) 31431
+7 (36569) 32242
+7 (978) 5551888
+7 (978) 7303363
+7 (3652) 550160
+7 (3652) 550466
+7 (3652) 550475
+7 (3652) 550488
+7 (3654) 394960
+7 (36562) 57740
+7 (36569) 40012
+7 (8652) 550460
+7 (978) 24844
+7 (978) 7303322</f>
        <v>#NAME?</v>
      </c>
      <c r="F3030" s="5" t="s">
        <v>34443</v>
      </c>
      <c r="G3030" s="5"/>
      <c r="H3030" s="26">
        <v>8</v>
      </c>
      <c r="I3030" s="5"/>
      <c r="J3030" s="5" t="s">
        <v>27695</v>
      </c>
      <c r="K3030" s="5" t="s">
        <v>344</v>
      </c>
      <c r="L3030" s="5"/>
      <c r="M3030" s="27"/>
      <c r="N3030" s="5" t="s">
        <v>54054</v>
      </c>
      <c r="O3030" s="5" t="str">
        <v>9102256223</v>
      </c>
      <c r="P3030" s="27">
        <v>1089312900</v>
      </c>
      <c r="Q3030" s="5" t="s">
        <v>54056</v>
      </c>
      <c r="R3030" s="5"/>
      <c r="S3030" s="5" t="s">
        <v>54057</v>
      </c>
      <c r="T3030" s="28">
        <v>852668000</v>
      </c>
      <c r="U3030" s="28"/>
      <c r="V3030" s="28">
        <v>159204000</v>
      </c>
      <c r="W3030" s="28"/>
      <c r="X3030" s="28">
        <v>18484000</v>
      </c>
      <c r="Y3030" s="28">
        <v>1547678000</v>
      </c>
      <c r="Z3030" s="28">
        <v>33323000</v>
      </c>
      <c r="AA3030" s="28"/>
      <c r="AB3030" s="28">
        <v>195910000</v>
      </c>
      <c r="AC3030" s="28">
        <v>389205000</v>
      </c>
      <c r="AD3030" s="28">
        <v>1127244000</v>
      </c>
      <c r="AE3030" s="28">
        <v>3276769000</v>
      </c>
      <c r="AF3030" s="28">
        <v>25053000</v>
      </c>
      <c r="AG3030" s="11"/>
    </row>
    <row r="3031">
      <c r="A3031" s="7" t="s">
        <v>4710</v>
      </c>
      <c r="B3031" s="5" t="s">
        <v>12683</v>
      </c>
      <c r="C3031" s="5" t="s">
        <v>20498</v>
      </c>
      <c r="D3031" s="5" t="str">
        <v>910208792123</v>
      </c>
      <c r="E3031" s="0" t="e">
        <f>+7 (3652) 255194
+7 (3652) 262626
+7 (3652) 271516
+7 (3652) 272428
+7 (3652) 272488
+7 (3652) 273364
+7 (3652) 274515
+7 (3652) 276601
+7 (3652) 277979
+7 (3652) 278851
+7 (365) 9591359
+7 (3652) 248501
+7 (3652) 269813
+7 (3652) 272324
+7 (3652) 325743</f>
        <v>#NAME?</v>
      </c>
      <c r="F3031" s="5" t="s">
        <v>34444</v>
      </c>
      <c r="G3031" s="5"/>
      <c r="H3031" s="26">
        <v>9</v>
      </c>
      <c r="I3031" s="5" t="s">
        <v>34445</v>
      </c>
      <c r="J3031" s="5" t="s">
        <v>27802</v>
      </c>
      <c r="K3031" s="5" t="s">
        <v>344</v>
      </c>
      <c r="L3031" s="5"/>
      <c r="M3031" s="27">
        <v>580116142</v>
      </c>
      <c r="N3031" s="5" t="s">
        <v>54058</v>
      </c>
      <c r="O3031" s="5" t="str">
        <v>9102002878</v>
      </c>
      <c r="P3031" s="27">
        <v>2756656165</v>
      </c>
      <c r="Q3031" s="5" t="s">
        <v>54059</v>
      </c>
      <c r="R3031" s="5"/>
      <c r="S3031" s="5" t="s">
        <v>51565</v>
      </c>
      <c r="T3031" s="28">
        <v>23233058000</v>
      </c>
      <c r="U3031" s="28"/>
      <c r="V3031" s="28">
        <v>2199991000</v>
      </c>
      <c r="W3031" s="28"/>
      <c r="X3031" s="28">
        <v>302007000</v>
      </c>
      <c r="Y3031" s="28">
        <v>31720207000</v>
      </c>
      <c r="Z3031" s="28">
        <v>7598279000</v>
      </c>
      <c r="AA3031" s="28"/>
      <c r="AB3031" s="28">
        <v>2863090000</v>
      </c>
      <c r="AC3031" s="28">
        <v>10100425000</v>
      </c>
      <c r="AD3031" s="28">
        <v>19096317000</v>
      </c>
      <c r="AE3031" s="28">
        <v>26306992000</v>
      </c>
      <c r="AF3031" s="28">
        <v>-1355943000</v>
      </c>
      <c r="AG3031" s="11"/>
    </row>
    <row r="3032">
      <c r="A3032" s="7" t="s">
        <v>4711</v>
      </c>
      <c r="B3032" s="5" t="s">
        <v>12684</v>
      </c>
      <c r="C3032" s="5" t="s">
        <v>20499</v>
      </c>
      <c r="D3032" s="5" t="str">
        <v>244301848716</v>
      </c>
      <c r="E3032" s="0" t="e">
        <f>+7 (426) 2220177
+7 (426) 2220643
+7 (426) 2231370
+7 (426) 2241349
+7 (495) 7756630
+7 (924) 6497101</f>
        <v>#NAME?</v>
      </c>
      <c r="F3032" s="5" t="s">
        <v>34446</v>
      </c>
      <c r="G3032" s="5" t="s">
        <v>26497</v>
      </c>
      <c r="H3032" s="26">
        <v>18.5</v>
      </c>
      <c r="I3032" s="5" t="s">
        <v>34447</v>
      </c>
      <c r="J3032" s="5" t="s">
        <v>28627</v>
      </c>
      <c r="K3032" s="5" t="s">
        <v>355</v>
      </c>
      <c r="L3032" s="5" t="s">
        <v>34448</v>
      </c>
      <c r="M3032" s="27">
        <v>827981</v>
      </c>
      <c r="N3032" s="5"/>
      <c r="O3032" s="5" t="str">
        <v>7703525082</v>
      </c>
      <c r="P3032" s="27">
        <v>14943755727</v>
      </c>
      <c r="Q3032" s="5"/>
      <c r="R3032" s="5"/>
      <c r="S3032" s="5" t="s">
        <v>49095</v>
      </c>
      <c r="T3032" s="28">
        <v>21612356000</v>
      </c>
      <c r="U3032" s="28"/>
      <c r="V3032" s="28">
        <v>2243276000</v>
      </c>
      <c r="W3032" s="28">
        <v>699346000</v>
      </c>
      <c r="X3032" s="28">
        <v>484793000</v>
      </c>
      <c r="Y3032" s="28">
        <v>31861217000</v>
      </c>
      <c r="Z3032" s="28">
        <v>4981716000</v>
      </c>
      <c r="AA3032" s="28">
        <v>4808039000</v>
      </c>
      <c r="AB3032" s="28">
        <v>776336000</v>
      </c>
      <c r="AC3032" s="28">
        <v>2073076000</v>
      </c>
      <c r="AD3032" s="28">
        <v>22459697000</v>
      </c>
      <c r="AE3032" s="28">
        <v>18510946000</v>
      </c>
      <c r="AF3032" s="28">
        <v>6720165000</v>
      </c>
      <c r="AG3032" s="11"/>
    </row>
    <row r="3033">
      <c r="A3033" s="7" t="s">
        <v>4712</v>
      </c>
      <c r="B3033" s="5" t="s">
        <v>12685</v>
      </c>
      <c r="C3033" s="5" t="s">
        <v>20500</v>
      </c>
      <c r="D3033" s="5" t="str">
        <v>583511767085</v>
      </c>
      <c r="E3033" s="0" t="e">
        <f>+7 (495) 4116534
+7 (495) 4118060
+7 (495) 4230365
+7 (495) 5489585
+7 (495) 9854785
+7 (49641) 25060
+7 (49642) 34015
+7 (49642) 35889
+7 (495) 9150860
+7 (49641) 16534
+7 (49641) 18060
+7 (49641) 20553
+7 (49641) 23719
+7 (49641) 61311
+7 (49642) 30354</f>
        <v>#NAME?</v>
      </c>
      <c r="F3033" s="5" t="s">
        <v>34449</v>
      </c>
      <c r="G3033" s="5" t="s">
        <v>34450</v>
      </c>
      <c r="H3033" s="26">
        <v>28</v>
      </c>
      <c r="I3033" s="5" t="s">
        <v>34451</v>
      </c>
      <c r="J3033" s="5" t="s">
        <v>29042</v>
      </c>
      <c r="K3033" s="5" t="s">
        <v>344</v>
      </c>
      <c r="L3033" s="5"/>
      <c r="M3033" s="27">
        <v>122636989</v>
      </c>
      <c r="N3033" s="5" t="s">
        <v>54061</v>
      </c>
      <c r="O3033" s="5" t="str">
        <v>5034065171</v>
      </c>
      <c r="P3033" s="27">
        <v>3514079797</v>
      </c>
      <c r="Q3033" s="5" t="s">
        <v>54062</v>
      </c>
      <c r="R3033" s="5"/>
      <c r="S3033" s="5" t="s">
        <v>54063</v>
      </c>
      <c r="T3033" s="28">
        <v>16200399000</v>
      </c>
      <c r="U3033" s="28">
        <v>114702000</v>
      </c>
      <c r="V3033" s="28">
        <v>5611877000</v>
      </c>
      <c r="W3033" s="28"/>
      <c r="X3033" s="28">
        <v>14977079000</v>
      </c>
      <c r="Y3033" s="28">
        <v>37120212000</v>
      </c>
      <c r="Z3033" s="28">
        <v>-343761000</v>
      </c>
      <c r="AA3033" s="28">
        <v>1413752000</v>
      </c>
      <c r="AB3033" s="28">
        <v>4299000</v>
      </c>
      <c r="AC3033" s="28">
        <v>32155098000</v>
      </c>
      <c r="AD3033" s="28">
        <v>33812397000</v>
      </c>
      <c r="AE3033" s="28">
        <v>3048221000</v>
      </c>
      <c r="AF3033" s="28">
        <v>1017000</v>
      </c>
      <c r="AG3033" s="11"/>
    </row>
    <row r="3034">
      <c r="A3034" s="7" t="s">
        <v>4713</v>
      </c>
      <c r="B3034" s="5" t="s">
        <v>12686</v>
      </c>
      <c r="C3034" s="5" t="s">
        <v>20501</v>
      </c>
      <c r="D3034" s="5" t="str">
        <v>701724397721</v>
      </c>
      <c r="E3034" s="0" t="e">
        <f>+7 (345) 2220072
+7 (345) 2220075
+7 (345) 2220091
+7 (345) 2333055
+7 (345) 2537000
+7 (345) 2537013
+7 (345) 2537031
+7 (345) 2537038
+7 (345) 2537138
+7 (345) 2792952</f>
        <v>#NAME?</v>
      </c>
      <c r="F3034" s="5" t="s">
        <v>34452</v>
      </c>
      <c r="G3034" s="5" t="s">
        <v>34453</v>
      </c>
      <c r="H3034" s="26">
        <v>19.5</v>
      </c>
      <c r="I3034" s="5" t="s">
        <v>34454</v>
      </c>
      <c r="J3034" s="5" t="s">
        <v>28226</v>
      </c>
      <c r="K3034" s="5" t="s">
        <v>344</v>
      </c>
      <c r="L3034" s="5" t="s">
        <v>34455</v>
      </c>
      <c r="M3034" s="27"/>
      <c r="N3034" s="5" t="s">
        <v>51298</v>
      </c>
      <c r="O3034" s="5" t="str">
        <v>6501145128</v>
      </c>
      <c r="P3034" s="27">
        <v>20600000</v>
      </c>
      <c r="Q3034" s="5" t="s">
        <v>54065</v>
      </c>
      <c r="R3034" s="5"/>
      <c r="S3034" s="5" t="s">
        <v>49496</v>
      </c>
      <c r="T3034" s="28">
        <v>1403712000</v>
      </c>
      <c r="U3034" s="28">
        <v>5126000</v>
      </c>
      <c r="V3034" s="28">
        <v>2640987000</v>
      </c>
      <c r="W3034" s="28">
        <v>1220000000</v>
      </c>
      <c r="X3034" s="28">
        <v>48624000</v>
      </c>
      <c r="Y3034" s="28">
        <v>7106275000</v>
      </c>
      <c r="Z3034" s="28">
        <v>4121329000</v>
      </c>
      <c r="AA3034" s="28"/>
      <c r="AB3034" s="28"/>
      <c r="AC3034" s="28">
        <v>2938184000</v>
      </c>
      <c r="AD3034" s="28">
        <v>4911316000</v>
      </c>
      <c r="AE3034" s="28">
        <v>10969785000</v>
      </c>
      <c r="AF3034" s="28">
        <v>2654321000</v>
      </c>
      <c r="AG3034" s="11"/>
    </row>
    <row r="3035">
      <c r="A3035" s="7" t="s">
        <v>4714</v>
      </c>
      <c r="B3035" s="5" t="s">
        <v>12687</v>
      </c>
      <c r="C3035" s="5" t="s">
        <v>20502</v>
      </c>
      <c r="D3035" s="5" t="str">
        <v>772861478640</v>
      </c>
      <c r="E3035" s="0" t="e">
        <f>+7 (302) 4162922
+7 (3022) 217100
+7 (3022) 263761
+7 (30241) 65203
+7 (30241) 65356
+7 (495) 5874440
+7 (903) 7908501</f>
        <v>#NAME?</v>
      </c>
      <c r="F3035" s="5" t="s">
        <v>34456</v>
      </c>
      <c r="G3035" s="5"/>
      <c r="H3035" s="26">
        <v>30.5</v>
      </c>
      <c r="I3035" s="5"/>
      <c r="J3035" s="5" t="s">
        <v>26499</v>
      </c>
      <c r="K3035" s="5" t="s">
        <v>355</v>
      </c>
      <c r="L3035" s="5" t="s">
        <v>34457</v>
      </c>
      <c r="M3035" s="27">
        <v>50000</v>
      </c>
      <c r="N3035" s="5"/>
      <c r="O3035" s="5" t="str">
        <v>7512000197</v>
      </c>
      <c r="P3035" s="27">
        <v>80000</v>
      </c>
      <c r="Q3035" s="5" t="s">
        <v>49009</v>
      </c>
      <c r="R3035" s="5"/>
      <c r="S3035" s="5" t="s">
        <v>49120</v>
      </c>
      <c r="T3035" s="28">
        <v>505375000</v>
      </c>
      <c r="U3035" s="28">
        <v>87012000</v>
      </c>
      <c r="V3035" s="28">
        <v>511934000</v>
      </c>
      <c r="W3035" s="28">
        <v>60597000</v>
      </c>
      <c r="X3035" s="28">
        <v>66369000</v>
      </c>
      <c r="Y3035" s="28">
        <v>3775296000</v>
      </c>
      <c r="Z3035" s="28">
        <v>2038412000</v>
      </c>
      <c r="AA3035" s="28"/>
      <c r="AB3035" s="28">
        <v>1034471000</v>
      </c>
      <c r="AC3035" s="28">
        <v>1356262000</v>
      </c>
      <c r="AD3035" s="28">
        <v>2038497000</v>
      </c>
      <c r="AE3035" s="28">
        <v>3631667000</v>
      </c>
      <c r="AF3035" s="28">
        <v>506821000</v>
      </c>
      <c r="AG3035" s="11"/>
    </row>
    <row r="3036">
      <c r="A3036" s="7" t="s">
        <v>4715</v>
      </c>
      <c r="B3036" s="5" t="s">
        <v>12688</v>
      </c>
      <c r="C3036" s="5" t="s">
        <v>20503</v>
      </c>
      <c r="D3036" s="5" t="str">
        <v>470504239629</v>
      </c>
      <c r="E3036" s="0" t="e">
        <f>+7 (495) 9563711
+7 (921) 9610362
+7 (495) 2326666
+7 (495) 3563700
+7 (495) 7806292
+7 (495) 9563701
+7 (495) 9563706
+7 (495) 9563712
+7 (495) 9564350
+7 (985) 7630416</f>
        <v>#NAME?</v>
      </c>
      <c r="F3036" s="5" t="s">
        <v>34458</v>
      </c>
      <c r="G3036" s="5" t="s">
        <v>34459</v>
      </c>
      <c r="H3036" s="26">
        <v>29.5</v>
      </c>
      <c r="I3036" s="5" t="s">
        <v>34460</v>
      </c>
      <c r="J3036" s="5" t="s">
        <v>29860</v>
      </c>
      <c r="K3036" s="5" t="s">
        <v>344</v>
      </c>
      <c r="L3036" s="5" t="s">
        <v>34461</v>
      </c>
      <c r="M3036" s="27"/>
      <c r="N3036" s="5" t="s">
        <v>54066</v>
      </c>
      <c r="O3036" s="5" t="str">
        <v>7705029530</v>
      </c>
      <c r="P3036" s="27">
        <v>495000830</v>
      </c>
      <c r="Q3036" s="5" t="s">
        <v>54067</v>
      </c>
      <c r="R3036" s="5"/>
      <c r="S3036" s="5" t="s">
        <v>54068</v>
      </c>
      <c r="T3036" s="28">
        <v>6580000</v>
      </c>
      <c r="U3036" s="28"/>
      <c r="V3036" s="28">
        <v>418663000</v>
      </c>
      <c r="W3036" s="28">
        <v>357238000</v>
      </c>
      <c r="X3036" s="28">
        <v>725196000</v>
      </c>
      <c r="Y3036" s="28">
        <v>2013772000</v>
      </c>
      <c r="Z3036" s="28">
        <v>957349000</v>
      </c>
      <c r="AA3036" s="28"/>
      <c r="AB3036" s="28"/>
      <c r="AC3036" s="28">
        <v>535491000</v>
      </c>
      <c r="AD3036" s="28">
        <v>1463339000</v>
      </c>
      <c r="AE3036" s="28">
        <v>6950527000</v>
      </c>
      <c r="AF3036" s="28">
        <v>-257771000</v>
      </c>
      <c r="AG3036" s="11"/>
    </row>
    <row r="3037">
      <c r="A3037" s="7" t="s">
        <v>4716</v>
      </c>
      <c r="B3037" s="5" t="s">
        <v>12689</v>
      </c>
      <c r="C3037" s="5" t="s">
        <v>20504</v>
      </c>
      <c r="D3037" s="5" t="str">
        <v>332604246167</v>
      </c>
      <c r="F3037" s="5"/>
      <c r="G3037" s="5"/>
      <c r="H3037" s="26">
        <v>2.5</v>
      </c>
      <c r="I3037" s="5" t="s">
        <v>34462</v>
      </c>
      <c r="J3037" s="5" t="s">
        <v>467</v>
      </c>
      <c r="K3037" s="5" t="s">
        <v>344</v>
      </c>
      <c r="L3037" s="5"/>
      <c r="M3037" s="27"/>
      <c r="N3037" s="5"/>
      <c r="O3037" s="5" t="str">
        <v>9702020269</v>
      </c>
      <c r="P3037" s="27">
        <v>10000</v>
      </c>
      <c r="Q3037" s="5" t="s">
        <v>54069</v>
      </c>
      <c r="R3037" s="5"/>
      <c r="S3037" s="5" t="s">
        <v>50865</v>
      </c>
      <c r="T3037" s="28"/>
      <c r="U3037" s="28"/>
      <c r="V3037" s="28">
        <v>10046696000</v>
      </c>
      <c r="W3037" s="28"/>
      <c r="X3037" s="28">
        <v>663023000</v>
      </c>
      <c r="Y3037" s="28">
        <v>11227275000</v>
      </c>
      <c r="Z3037" s="28">
        <v>41147000</v>
      </c>
      <c r="AA3037" s="28"/>
      <c r="AB3037" s="28">
        <v>88396000</v>
      </c>
      <c r="AC3037" s="28">
        <v>10666046000</v>
      </c>
      <c r="AD3037" s="28">
        <v>41157000</v>
      </c>
      <c r="AE3037" s="28">
        <v>17342102000</v>
      </c>
      <c r="AF3037" s="28">
        <v>35552000</v>
      </c>
      <c r="AG3037" s="11"/>
    </row>
    <row r="3038">
      <c r="A3038" s="7" t="s">
        <v>4717</v>
      </c>
      <c r="B3038" s="5" t="s">
        <v>12690</v>
      </c>
      <c r="C3038" s="5" t="s">
        <v>20505</v>
      </c>
      <c r="D3038" s="5" t="str">
        <v>502479764856</v>
      </c>
      <c r="E3038" s="0" t="e">
        <f>+7 (977) 8582199</f>
        <v>#NAME?</v>
      </c>
      <c r="F3038" s="5"/>
      <c r="G3038" s="5"/>
      <c r="H3038" s="26">
        <v>5</v>
      </c>
      <c r="I3038" s="5" t="s">
        <v>34463</v>
      </c>
      <c r="J3038" s="5" t="s">
        <v>364</v>
      </c>
      <c r="K3038" s="5" t="s">
        <v>355</v>
      </c>
      <c r="L3038" s="5" t="s">
        <v>34464</v>
      </c>
      <c r="M3038" s="27">
        <v>11403863</v>
      </c>
      <c r="N3038" s="5"/>
      <c r="O3038" s="5" t="str">
        <v>5024184170</v>
      </c>
      <c r="P3038" s="27">
        <v>50000</v>
      </c>
      <c r="Q3038" s="5" t="s">
        <v>49009</v>
      </c>
      <c r="R3038" s="5" t="s">
        <v>54070</v>
      </c>
      <c r="S3038" s="5" t="s">
        <v>49010</v>
      </c>
      <c r="T3038" s="28">
        <v>51842000</v>
      </c>
      <c r="U3038" s="28"/>
      <c r="V3038" s="28">
        <v>1558786000</v>
      </c>
      <c r="W3038" s="28">
        <v>8894000</v>
      </c>
      <c r="X3038" s="28">
        <v>33014000</v>
      </c>
      <c r="Y3038" s="28">
        <v>7487656000</v>
      </c>
      <c r="Z3038" s="28">
        <v>17625000</v>
      </c>
      <c r="AA3038" s="28"/>
      <c r="AB3038" s="28">
        <v>609084000</v>
      </c>
      <c r="AC3038" s="28">
        <v>7412181000</v>
      </c>
      <c r="AD3038" s="28">
        <v>17675000</v>
      </c>
      <c r="AE3038" s="28">
        <v>5398383000</v>
      </c>
      <c r="AF3038" s="28">
        <v>4021000</v>
      </c>
      <c r="AG3038" s="11"/>
    </row>
    <row r="3039">
      <c r="A3039" s="7" t="s">
        <v>4718</v>
      </c>
      <c r="B3039" s="5" t="s">
        <v>12691</v>
      </c>
      <c r="C3039" s="5" t="s">
        <v>20506</v>
      </c>
      <c r="D3039" s="5" t="str">
        <v>231580853704</v>
      </c>
      <c r="E3039" s="0" t="e">
        <f>+7 (8617) 301864
+7 (8617) 301926</f>
        <v>#NAME?</v>
      </c>
      <c r="F3039" s="5"/>
      <c r="G3039" s="5"/>
      <c r="H3039" s="26">
        <v>30</v>
      </c>
      <c r="I3039" s="5"/>
      <c r="J3039" s="5" t="s">
        <v>26905</v>
      </c>
      <c r="K3039" s="5" t="s">
        <v>344</v>
      </c>
      <c r="L3039" s="5" t="s">
        <v>34465</v>
      </c>
      <c r="M3039" s="27"/>
      <c r="N3039" s="5"/>
      <c r="O3039" s="5" t="str">
        <v>2315006923</v>
      </c>
      <c r="P3039" s="27">
        <v>7650000</v>
      </c>
      <c r="Q3039" s="5" t="s">
        <v>49579</v>
      </c>
      <c r="R3039" s="5"/>
      <c r="S3039" s="5" t="s">
        <v>54071</v>
      </c>
      <c r="T3039" s="28">
        <v>6483102000</v>
      </c>
      <c r="U3039" s="28"/>
      <c r="V3039" s="28">
        <v>61902000</v>
      </c>
      <c r="W3039" s="28">
        <v>750000000</v>
      </c>
      <c r="X3039" s="28">
        <v>2404227000</v>
      </c>
      <c r="Y3039" s="28">
        <v>10043403000</v>
      </c>
      <c r="Z3039" s="28">
        <v>5697029000</v>
      </c>
      <c r="AA3039" s="28">
        <v>1893618000</v>
      </c>
      <c r="AB3039" s="28">
        <v>1208907000</v>
      </c>
      <c r="AC3039" s="28">
        <v>1746007000</v>
      </c>
      <c r="AD3039" s="28">
        <v>5714754000</v>
      </c>
      <c r="AE3039" s="28">
        <v>7422237000</v>
      </c>
      <c r="AF3039" s="28">
        <v>4736906000</v>
      </c>
      <c r="AG3039" s="11"/>
    </row>
    <row r="3040">
      <c r="A3040" s="7" t="s">
        <v>4719</v>
      </c>
      <c r="B3040" s="5" t="s">
        <v>12692</v>
      </c>
      <c r="C3040" s="5" t="s">
        <v>20507</v>
      </c>
      <c r="D3040" s="5" t="str">
        <v>165108015411</v>
      </c>
      <c r="E3040" s="0" t="e">
        <f>+7 (999) 7587358
+7 (843) 2997998
+7 (987) 648848</f>
        <v>#NAME?</v>
      </c>
      <c r="F3040" s="5" t="s">
        <v>34466</v>
      </c>
      <c r="G3040" s="5"/>
      <c r="H3040" s="26">
        <v>17</v>
      </c>
      <c r="I3040" s="5" t="s">
        <v>34467</v>
      </c>
      <c r="J3040" s="5" t="s">
        <v>364</v>
      </c>
      <c r="K3040" s="5" t="s">
        <v>344</v>
      </c>
      <c r="L3040" s="5" t="s">
        <v>34468</v>
      </c>
      <c r="M3040" s="27">
        <v>639453</v>
      </c>
      <c r="N3040" s="5" t="s">
        <v>54072</v>
      </c>
      <c r="O3040" s="5" t="str">
        <v>1655107194</v>
      </c>
      <c r="P3040" s="27">
        <v>1210000</v>
      </c>
      <c r="Q3040" s="5" t="s">
        <v>54073</v>
      </c>
      <c r="R3040" s="5"/>
      <c r="S3040" s="5" t="s">
        <v>54074</v>
      </c>
      <c r="T3040" s="28">
        <v>59000</v>
      </c>
      <c r="U3040" s="28"/>
      <c r="V3040" s="28">
        <v>428726000</v>
      </c>
      <c r="W3040" s="28">
        <v>58285000</v>
      </c>
      <c r="X3040" s="28">
        <v>335246000</v>
      </c>
      <c r="Y3040" s="28">
        <v>1280142000</v>
      </c>
      <c r="Z3040" s="28">
        <v>38814000</v>
      </c>
      <c r="AA3040" s="28"/>
      <c r="AB3040" s="28"/>
      <c r="AC3040" s="28">
        <v>1212397000</v>
      </c>
      <c r="AD3040" s="28">
        <v>67745000</v>
      </c>
      <c r="AE3040" s="28">
        <v>3429348000</v>
      </c>
      <c r="AF3040" s="28">
        <v>12625000</v>
      </c>
      <c r="AG3040" s="11"/>
    </row>
    <row r="3041">
      <c r="A3041" s="7" t="s">
        <v>4720</v>
      </c>
      <c r="B3041" s="5" t="s">
        <v>12693</v>
      </c>
      <c r="C3041" s="5" t="s">
        <v>20508</v>
      </c>
      <c r="D3041" s="5" t="str">
        <v>151000378991</v>
      </c>
      <c r="E3041" s="0" t="e">
        <f>+7 (86554) 95829
+7 (86554) 96009
+7 (928) 9187997
+7 (999) 3785354</f>
        <v>#NAME?</v>
      </c>
      <c r="F3041" s="5" t="s">
        <v>34469</v>
      </c>
      <c r="G3041" s="5" t="s">
        <v>34470</v>
      </c>
      <c r="H3041" s="26">
        <v>14</v>
      </c>
      <c r="I3041" s="5" t="s">
        <v>34471</v>
      </c>
      <c r="J3041" s="5" t="s">
        <v>25850</v>
      </c>
      <c r="K3041" s="5" t="s">
        <v>344</v>
      </c>
      <c r="L3041" s="5" t="s">
        <v>34472</v>
      </c>
      <c r="M3041" s="27"/>
      <c r="N3041" s="5"/>
      <c r="O3041" s="5" t="str">
        <v>2631039074</v>
      </c>
      <c r="P3041" s="27">
        <v>30168310</v>
      </c>
      <c r="Q3041" s="5" t="s">
        <v>49059</v>
      </c>
      <c r="R3041" s="5"/>
      <c r="S3041" s="5" t="s">
        <v>50822</v>
      </c>
      <c r="T3041" s="28">
        <v>50867000</v>
      </c>
      <c r="U3041" s="28"/>
      <c r="V3041" s="28">
        <v>162523000</v>
      </c>
      <c r="W3041" s="28">
        <v>6989000</v>
      </c>
      <c r="X3041" s="28">
        <v>24518000</v>
      </c>
      <c r="Y3041" s="28">
        <v>486020000</v>
      </c>
      <c r="Z3041" s="28">
        <v>236366000</v>
      </c>
      <c r="AA3041" s="28">
        <v>61905000</v>
      </c>
      <c r="AB3041" s="28">
        <v>37379000</v>
      </c>
      <c r="AC3041" s="28">
        <v>156346000</v>
      </c>
      <c r="AD3041" s="28">
        <v>266534000</v>
      </c>
      <c r="AE3041" s="28">
        <v>3353333000</v>
      </c>
      <c r="AF3041" s="28">
        <v>117352000</v>
      </c>
      <c r="AG3041" s="11"/>
    </row>
    <row r="3042">
      <c r="A3042" s="7" t="s">
        <v>4721</v>
      </c>
      <c r="B3042" s="5" t="s">
        <v>12694</v>
      </c>
      <c r="C3042" s="5" t="s">
        <v>20509</v>
      </c>
      <c r="D3042" s="5" t="str">
        <v>400303698346</v>
      </c>
      <c r="E3042" s="0" t="e">
        <f>+7 (499) 1105305
+7 (916) 5779539</f>
        <v>#NAME?</v>
      </c>
      <c r="F3042" s="5" t="s">
        <v>34473</v>
      </c>
      <c r="G3042" s="5" t="s">
        <v>34474</v>
      </c>
      <c r="H3042" s="26">
        <v>7</v>
      </c>
      <c r="I3042" s="5"/>
      <c r="J3042" s="5" t="s">
        <v>678</v>
      </c>
      <c r="K3042" s="5" t="s">
        <v>344</v>
      </c>
      <c r="L3042" s="5" t="s">
        <v>34475</v>
      </c>
      <c r="M3042" s="27"/>
      <c r="N3042" s="5" t="s">
        <v>54075</v>
      </c>
      <c r="O3042" s="5" t="str">
        <v>7709478470</v>
      </c>
      <c r="P3042" s="27">
        <v>320000</v>
      </c>
      <c r="Q3042" s="5" t="s">
        <v>54076</v>
      </c>
      <c r="R3042" s="5"/>
      <c r="S3042" s="5" t="s">
        <v>54077</v>
      </c>
      <c r="T3042" s="28">
        <v>2605000</v>
      </c>
      <c r="U3042" s="28"/>
      <c r="V3042" s="28">
        <v>1765994000</v>
      </c>
      <c r="W3042" s="28"/>
      <c r="X3042" s="28">
        <v>939880000</v>
      </c>
      <c r="Y3042" s="28">
        <v>2952455000</v>
      </c>
      <c r="Z3042" s="28">
        <v>861232000</v>
      </c>
      <c r="AA3042" s="28"/>
      <c r="AB3042" s="28"/>
      <c r="AC3042" s="28">
        <v>2090684000</v>
      </c>
      <c r="AD3042" s="28">
        <v>861570000</v>
      </c>
      <c r="AE3042" s="28">
        <v>8315208000</v>
      </c>
      <c r="AF3042" s="28">
        <v>772413000</v>
      </c>
      <c r="AG3042" s="11"/>
    </row>
    <row r="3043">
      <c r="A3043" s="7" t="s">
        <v>4722</v>
      </c>
      <c r="B3043" s="5" t="s">
        <v>12695</v>
      </c>
      <c r="C3043" s="5" t="s">
        <v>20510</v>
      </c>
      <c r="D3043" s="5" t="str">
        <v>773118822967</v>
      </c>
      <c r="F3043" s="5"/>
      <c r="G3043" s="5"/>
      <c r="H3043" s="26">
        <v>2.5</v>
      </c>
      <c r="I3043" s="5" t="s">
        <v>34476</v>
      </c>
      <c r="J3043" s="5" t="s">
        <v>34477</v>
      </c>
      <c r="K3043" s="5" t="s">
        <v>344</v>
      </c>
      <c r="L3043" s="5" t="s">
        <v>34478</v>
      </c>
      <c r="M3043" s="27"/>
      <c r="N3043" s="5"/>
      <c r="O3043" s="5" t="str">
        <v>5034059160</v>
      </c>
      <c r="P3043" s="27">
        <v>10000</v>
      </c>
      <c r="Q3043" s="5" t="s">
        <v>54078</v>
      </c>
      <c r="R3043" s="5"/>
      <c r="S3043" s="5" t="s">
        <v>54079</v>
      </c>
      <c r="T3043" s="28">
        <v>1155497000</v>
      </c>
      <c r="U3043" s="28"/>
      <c r="V3043" s="28">
        <v>682915000</v>
      </c>
      <c r="W3043" s="28"/>
      <c r="X3043" s="28">
        <v>3564000</v>
      </c>
      <c r="Y3043" s="28">
        <v>2243943000</v>
      </c>
      <c r="Z3043" s="28">
        <v>1214924000</v>
      </c>
      <c r="AA3043" s="28">
        <v>138906000</v>
      </c>
      <c r="AB3043" s="28">
        <v>31000</v>
      </c>
      <c r="AC3043" s="28">
        <v>874370000</v>
      </c>
      <c r="AD3043" s="28">
        <v>1223862000</v>
      </c>
      <c r="AE3043" s="28">
        <v>3258842000</v>
      </c>
      <c r="AF3043" s="28">
        <v>847404000</v>
      </c>
      <c r="AG3043" s="11"/>
    </row>
    <row r="3044">
      <c r="A3044" s="7" t="s">
        <v>4722</v>
      </c>
      <c r="B3044" s="5" t="s">
        <v>12696</v>
      </c>
      <c r="C3044" s="5" t="s">
        <v>19628</v>
      </c>
      <c r="D3044" s="5"/>
      <c r="E3044" s="0" t="e">
        <f>+7 (47136) 24331
+7 (47151) 23065
+7 (495) 9334400</f>
        <v>#NAME?</v>
      </c>
      <c r="F3044" s="5" t="s">
        <v>34479</v>
      </c>
      <c r="G3044" s="5"/>
      <c r="H3044" s="26">
        <v>7.5</v>
      </c>
      <c r="I3044" s="5" t="s">
        <v>34480</v>
      </c>
      <c r="J3044" s="5" t="s">
        <v>25994</v>
      </c>
      <c r="K3044" s="5" t="s">
        <v>344</v>
      </c>
      <c r="L3044" s="5" t="s">
        <v>34481</v>
      </c>
      <c r="M3044" s="27">
        <v>5347352</v>
      </c>
      <c r="N3044" s="5"/>
      <c r="O3044" s="5" t="str">
        <v>3611009179</v>
      </c>
      <c r="P3044" s="27">
        <v>150000000</v>
      </c>
      <c r="Q3044" s="5"/>
      <c r="R3044" s="5"/>
      <c r="S3044" s="5" t="s">
        <v>49029</v>
      </c>
      <c r="T3044" s="28">
        <v>4381606000</v>
      </c>
      <c r="U3044" s="28"/>
      <c r="V3044" s="28">
        <v>1424988000</v>
      </c>
      <c r="W3044" s="28">
        <v>82660000</v>
      </c>
      <c r="X3044" s="28">
        <v>472000</v>
      </c>
      <c r="Y3044" s="28">
        <v>10026779000</v>
      </c>
      <c r="Z3044" s="28">
        <v>4719996000</v>
      </c>
      <c r="AA3044" s="28">
        <v>1464676000</v>
      </c>
      <c r="AB3044" s="28">
        <v>1004083000</v>
      </c>
      <c r="AC3044" s="28">
        <v>3547540000</v>
      </c>
      <c r="AD3044" s="28">
        <v>4918417000</v>
      </c>
      <c r="AE3044" s="28">
        <v>8563825000</v>
      </c>
      <c r="AF3044" s="28">
        <v>1750431000</v>
      </c>
      <c r="AG3044" s="11"/>
    </row>
    <row r="3045">
      <c r="A3045" s="7" t="s">
        <v>4723</v>
      </c>
      <c r="B3045" s="5" t="s">
        <v>12697</v>
      </c>
      <c r="C3045" s="5" t="s">
        <v>20511</v>
      </c>
      <c r="D3045" s="5" t="str">
        <v>027400222571</v>
      </c>
      <c r="E3045" s="0" t="e">
        <f>+7 (495) 9373997
+7 (495) 9892305
+7 (499) 6730389
+7 (3472) 861684
+7 (495) 7288080
+7 (499) 6730388</f>
        <v>#NAME?</v>
      </c>
      <c r="F3045" s="5" t="s">
        <v>34482</v>
      </c>
      <c r="G3045" s="5" t="s">
        <v>34483</v>
      </c>
      <c r="H3045" s="26">
        <v>8</v>
      </c>
      <c r="I3045" s="5" t="s">
        <v>34484</v>
      </c>
      <c r="J3045" s="5" t="s">
        <v>26918</v>
      </c>
      <c r="K3045" s="5" t="s">
        <v>344</v>
      </c>
      <c r="L3045" s="5"/>
      <c r="M3045" s="27"/>
      <c r="N3045" s="5" t="s">
        <v>54080</v>
      </c>
      <c r="O3045" s="5" t="str">
        <v>5038111252</v>
      </c>
      <c r="P3045" s="27">
        <v>100000</v>
      </c>
      <c r="Q3045" s="5" t="s">
        <v>54081</v>
      </c>
      <c r="R3045" s="5" t="s">
        <v>54082</v>
      </c>
      <c r="S3045" s="5" t="s">
        <v>54083</v>
      </c>
      <c r="T3045" s="28">
        <v>20840000</v>
      </c>
      <c r="U3045" s="28">
        <v>895000</v>
      </c>
      <c r="V3045" s="28">
        <v>704479000</v>
      </c>
      <c r="W3045" s="28">
        <v>361792000</v>
      </c>
      <c r="X3045" s="28">
        <v>194096000</v>
      </c>
      <c r="Y3045" s="28">
        <v>1775604000</v>
      </c>
      <c r="Z3045" s="28">
        <v>168859000</v>
      </c>
      <c r="AA3045" s="28">
        <v>201932000</v>
      </c>
      <c r="AB3045" s="28">
        <v>77570000</v>
      </c>
      <c r="AC3045" s="28">
        <v>1400273000</v>
      </c>
      <c r="AD3045" s="28">
        <v>168959000</v>
      </c>
      <c r="AE3045" s="28">
        <v>3130982000</v>
      </c>
      <c r="AF3045" s="28">
        <v>132337000</v>
      </c>
      <c r="AG3045" s="11"/>
    </row>
    <row r="3046">
      <c r="A3046" s="7" t="s">
        <v>4724</v>
      </c>
      <c r="B3046" s="5" t="s">
        <v>12698</v>
      </c>
      <c r="C3046" s="5" t="s">
        <v>20512</v>
      </c>
      <c r="D3046" s="5" t="str">
        <v>100602048161</v>
      </c>
      <c r="F3046" s="5"/>
      <c r="G3046" s="5"/>
      <c r="H3046" s="26">
        <v>4</v>
      </c>
      <c r="I3046" s="5" t="s">
        <v>34485</v>
      </c>
      <c r="J3046" s="5" t="s">
        <v>678</v>
      </c>
      <c r="K3046" s="5" t="s">
        <v>344</v>
      </c>
      <c r="L3046" s="5" t="s">
        <v>34486</v>
      </c>
      <c r="M3046" s="27">
        <v>20643</v>
      </c>
      <c r="N3046" s="5"/>
      <c r="O3046" s="5" t="str">
        <v>1001338789</v>
      </c>
      <c r="P3046" s="27">
        <v>10000</v>
      </c>
      <c r="Q3046" s="5" t="s">
        <v>49059</v>
      </c>
      <c r="R3046" s="5"/>
      <c r="S3046" s="5" t="s">
        <v>54084</v>
      </c>
      <c r="T3046" s="28">
        <v>5068000</v>
      </c>
      <c r="U3046" s="28"/>
      <c r="V3046" s="28">
        <v>652061000</v>
      </c>
      <c r="W3046" s="28">
        <v>206355000</v>
      </c>
      <c r="X3046" s="28">
        <v>25294000</v>
      </c>
      <c r="Y3046" s="28">
        <v>1597696000</v>
      </c>
      <c r="Z3046" s="28">
        <v>16098000</v>
      </c>
      <c r="AA3046" s="28">
        <v>14846000</v>
      </c>
      <c r="AB3046" s="28">
        <v>28000</v>
      </c>
      <c r="AC3046" s="28">
        <v>1566364000</v>
      </c>
      <c r="AD3046" s="28">
        <v>16108000</v>
      </c>
      <c r="AE3046" s="28">
        <v>3977218000</v>
      </c>
      <c r="AF3046" s="28">
        <v>9800000</v>
      </c>
      <c r="AG3046" s="11"/>
    </row>
    <row r="3047">
      <c r="A3047" s="7" t="s">
        <v>4725</v>
      </c>
      <c r="B3047" s="5" t="s">
        <v>12699</v>
      </c>
      <c r="C3047" s="5" t="s">
        <v>20513</v>
      </c>
      <c r="D3047" s="5" t="str">
        <v>781711737964</v>
      </c>
      <c r="E3047" s="0" t="e">
        <f>+7 (812) 3300500
+7 (921) 9630065</f>
        <v>#NAME?</v>
      </c>
      <c r="F3047" s="5" t="s">
        <v>34487</v>
      </c>
      <c r="G3047" s="5"/>
      <c r="H3047" s="26">
        <v>7.5</v>
      </c>
      <c r="I3047" s="5" t="s">
        <v>34488</v>
      </c>
      <c r="J3047" s="5" t="s">
        <v>27977</v>
      </c>
      <c r="K3047" s="5" t="s">
        <v>344</v>
      </c>
      <c r="L3047" s="5" t="s">
        <v>34489</v>
      </c>
      <c r="M3047" s="27">
        <v>1621473</v>
      </c>
      <c r="N3047" s="5"/>
      <c r="O3047" s="5" t="str">
        <v>7817054863</v>
      </c>
      <c r="P3047" s="27">
        <v>70000</v>
      </c>
      <c r="Q3047" s="5" t="s">
        <v>54085</v>
      </c>
      <c r="R3047" s="5"/>
      <c r="S3047" s="5" t="s">
        <v>54086</v>
      </c>
      <c r="T3047" s="28">
        <v>400467000</v>
      </c>
      <c r="U3047" s="28"/>
      <c r="V3047" s="28">
        <v>765403000</v>
      </c>
      <c r="W3047" s="28">
        <v>9000</v>
      </c>
      <c r="X3047" s="28">
        <v>52030000</v>
      </c>
      <c r="Y3047" s="28">
        <v>1836689000</v>
      </c>
      <c r="Z3047" s="28">
        <v>1009774000</v>
      </c>
      <c r="AA3047" s="28"/>
      <c r="AB3047" s="28">
        <v>165223000</v>
      </c>
      <c r="AC3047" s="28">
        <v>620267000</v>
      </c>
      <c r="AD3047" s="28">
        <v>1009847000</v>
      </c>
      <c r="AE3047" s="28">
        <v>4540064000</v>
      </c>
      <c r="AF3047" s="28">
        <v>527783000</v>
      </c>
      <c r="AG3047" s="11"/>
    </row>
    <row r="3048">
      <c r="A3048" s="7" t="s">
        <v>4726</v>
      </c>
      <c r="B3048" s="5" t="s">
        <v>12700</v>
      </c>
      <c r="C3048" s="5" t="s">
        <v>20029</v>
      </c>
      <c r="D3048" s="5"/>
      <c r="E3048" s="0" t="e">
        <f>+7 (978) 5550166
+7 (978) 6855055
+7 (499) 7052089
+7 (800) 5050387
+7 (903) 6875618
+7 (905) 7243307
+7 (978) 5550555</f>
        <v>#NAME?</v>
      </c>
      <c r="F3048" s="5" t="s">
        <v>34490</v>
      </c>
      <c r="G3048" s="5" t="s">
        <v>34491</v>
      </c>
      <c r="H3048" s="26">
        <v>8.5</v>
      </c>
      <c r="I3048" s="5" t="s">
        <v>34492</v>
      </c>
      <c r="J3048" s="5" t="s">
        <v>32921</v>
      </c>
      <c r="K3048" s="5" t="s">
        <v>344</v>
      </c>
      <c r="L3048" s="5" t="s">
        <v>34493</v>
      </c>
      <c r="M3048" s="27"/>
      <c r="N3048" s="5" t="s">
        <v>54087</v>
      </c>
      <c r="O3048" s="5" t="str">
        <v>7718999159</v>
      </c>
      <c r="P3048" s="27">
        <v>100000</v>
      </c>
      <c r="Q3048" s="5"/>
      <c r="R3048" s="5"/>
      <c r="S3048" s="5" t="s">
        <v>49991</v>
      </c>
      <c r="T3048" s="28">
        <v>283938000</v>
      </c>
      <c r="U3048" s="28"/>
      <c r="V3048" s="28">
        <v>1378880000</v>
      </c>
      <c r="W3048" s="28">
        <v>2569175000</v>
      </c>
      <c r="X3048" s="28">
        <v>535495000</v>
      </c>
      <c r="Y3048" s="28">
        <v>5396873000</v>
      </c>
      <c r="Z3048" s="28">
        <v>4368302000</v>
      </c>
      <c r="AA3048" s="28"/>
      <c r="AB3048" s="28"/>
      <c r="AC3048" s="28">
        <v>952844000</v>
      </c>
      <c r="AD3048" s="28">
        <v>4368802000</v>
      </c>
      <c r="AE3048" s="28">
        <v>5626311000</v>
      </c>
      <c r="AF3048" s="28">
        <v>1529814000</v>
      </c>
      <c r="AG3048" s="11"/>
    </row>
    <row r="3049">
      <c r="A3049" s="7" t="s">
        <v>4727</v>
      </c>
      <c r="B3049" s="5" t="s">
        <v>12701</v>
      </c>
      <c r="C3049" s="5" t="s">
        <v>20514</v>
      </c>
      <c r="D3049" s="5" t="str">
        <v>390702352802</v>
      </c>
      <c r="E3049" s="0" t="e">
        <f>+7 (401) 2566033
+7 (401) 2566035
+7 (401) 2566007
+7 (401) 2566008
+7 (401) 2566034
+7 (401) 2566046
+7 (401) 2566055
+7 (401) 2566124
+7 (401) 2642611
+7 (401) 2644402
+7 (401) 2647765
+7 (401) 2648150
+7 (401) 2655867
+7 (401) 2692611
+7 (499) 5190231</f>
        <v>#NAME?</v>
      </c>
      <c r="F3049" s="5" t="s">
        <v>34494</v>
      </c>
      <c r="G3049" s="5" t="s">
        <v>34495</v>
      </c>
      <c r="H3049" s="26">
        <v>22</v>
      </c>
      <c r="I3049" s="5"/>
      <c r="J3049" s="5" t="s">
        <v>27486</v>
      </c>
      <c r="K3049" s="5" t="s">
        <v>344</v>
      </c>
      <c r="L3049" s="5" t="s">
        <v>34496</v>
      </c>
      <c r="M3049" s="27"/>
      <c r="N3049" s="5"/>
      <c r="O3049" s="5" t="str">
        <v>3907009603</v>
      </c>
      <c r="P3049" s="27">
        <v>88700</v>
      </c>
      <c r="Q3049" s="5" t="s">
        <v>49009</v>
      </c>
      <c r="R3049" s="5"/>
      <c r="S3049" s="5" t="s">
        <v>49884</v>
      </c>
      <c r="T3049" s="28">
        <v>787897000</v>
      </c>
      <c r="U3049" s="28">
        <v>1222699000</v>
      </c>
      <c r="V3049" s="28">
        <v>1190780000</v>
      </c>
      <c r="W3049" s="28"/>
      <c r="X3049" s="28">
        <v>220319000</v>
      </c>
      <c r="Y3049" s="28">
        <v>4740116000</v>
      </c>
      <c r="Z3049" s="28">
        <v>1832147000</v>
      </c>
      <c r="AA3049" s="28">
        <v>338935000</v>
      </c>
      <c r="AB3049" s="28">
        <v>99833000</v>
      </c>
      <c r="AC3049" s="28">
        <v>2528114000</v>
      </c>
      <c r="AD3049" s="28">
        <v>1834411000</v>
      </c>
      <c r="AE3049" s="28">
        <v>8168356000</v>
      </c>
      <c r="AF3049" s="28">
        <v>879972000</v>
      </c>
      <c r="AG3049" s="11"/>
    </row>
    <row r="3050">
      <c r="A3050" s="7" t="s">
        <v>4727</v>
      </c>
      <c r="B3050" s="5" t="s">
        <v>12702</v>
      </c>
      <c r="C3050" s="5" t="s">
        <v>20515</v>
      </c>
      <c r="D3050" s="5" t="str">
        <v>232204212107</v>
      </c>
      <c r="E3050" s="0" t="e">
        <f>+7 (495) 7876804
+7 (384) 2364762
+7 (384) 2771880
+7 (800) 6009191</f>
        <v>#NAME?</v>
      </c>
      <c r="F3050" s="5" t="s">
        <v>34497</v>
      </c>
      <c r="G3050" s="5" t="s">
        <v>34498</v>
      </c>
      <c r="H3050" s="26">
        <v>23</v>
      </c>
      <c r="I3050" s="5"/>
      <c r="J3050" s="5" t="s">
        <v>28484</v>
      </c>
      <c r="K3050" s="5" t="s">
        <v>344</v>
      </c>
      <c r="L3050" s="5"/>
      <c r="M3050" s="27">
        <v>1730000</v>
      </c>
      <c r="N3050" s="5" t="s">
        <v>54088</v>
      </c>
      <c r="O3050" s="5" t="str">
        <v>4205003440</v>
      </c>
      <c r="P3050" s="27">
        <v>19851700</v>
      </c>
      <c r="Q3050" s="5" t="s">
        <v>54089</v>
      </c>
      <c r="R3050" s="5" t="s">
        <v>54090</v>
      </c>
      <c r="S3050" s="5" t="s">
        <v>54091</v>
      </c>
      <c r="T3050" s="28">
        <v>10348620000</v>
      </c>
      <c r="U3050" s="28">
        <v>765970000</v>
      </c>
      <c r="V3050" s="28">
        <v>15022864000</v>
      </c>
      <c r="W3050" s="28">
        <v>55000000</v>
      </c>
      <c r="X3050" s="28">
        <v>101689000</v>
      </c>
      <c r="Y3050" s="28">
        <v>30236000000</v>
      </c>
      <c r="Z3050" s="28">
        <v>18105775000</v>
      </c>
      <c r="AA3050" s="28">
        <v>687260000</v>
      </c>
      <c r="AB3050" s="28"/>
      <c r="AC3050" s="28">
        <v>6358191000</v>
      </c>
      <c r="AD3050" s="28">
        <v>21069937000</v>
      </c>
      <c r="AE3050" s="28">
        <v>33894877000</v>
      </c>
      <c r="AF3050" s="28">
        <v>2274287000</v>
      </c>
      <c r="AG3050" s="11"/>
    </row>
    <row r="3051">
      <c r="A3051" s="7" t="s">
        <v>4727</v>
      </c>
      <c r="B3051" s="5" t="s">
        <v>12703</v>
      </c>
      <c r="C3051" s="5" t="s">
        <v>20516</v>
      </c>
      <c r="D3051" s="5"/>
      <c r="E3051" s="0" t="e">
        <f>+7 (812) 4094638
+7 (8212) 291163
+7 (8212) 348800
+7 (821) 2310640
+7 (821) 2311681
+7 (8212) 390801
+7 (8212) 390802
+7 (8212) 390805
+7 (8212) 390808
+7 (8212) 390811
+7 (8212) 390814
+7 (8212) 390822
+7 (8212) 390831
+7 (8212) 390837
+7 (8212) 390844</f>
        <v>#NAME?</v>
      </c>
      <c r="F3051" s="5" t="s">
        <v>34499</v>
      </c>
      <c r="G3051" s="5" t="s">
        <v>34500</v>
      </c>
      <c r="H3051" s="26">
        <v>18.5</v>
      </c>
      <c r="I3051" s="5" t="s">
        <v>34501</v>
      </c>
      <c r="J3051" s="5" t="s">
        <v>27642</v>
      </c>
      <c r="K3051" s="5" t="s">
        <v>355</v>
      </c>
      <c r="L3051" s="5"/>
      <c r="M3051" s="27">
        <v>59541585</v>
      </c>
      <c r="N3051" s="5" t="s">
        <v>54092</v>
      </c>
      <c r="O3051" s="5" t="str">
        <v>1101205461</v>
      </c>
      <c r="P3051" s="27">
        <v>963199000</v>
      </c>
      <c r="Q3051" s="5" t="s">
        <v>54094</v>
      </c>
      <c r="R3051" s="5" t="s">
        <v>54095</v>
      </c>
      <c r="S3051" s="5" t="s">
        <v>54096</v>
      </c>
      <c r="T3051" s="28">
        <v>1077598000</v>
      </c>
      <c r="U3051" s="28">
        <v>20000</v>
      </c>
      <c r="V3051" s="28">
        <v>552885000</v>
      </c>
      <c r="W3051" s="28">
        <v>32192000</v>
      </c>
      <c r="X3051" s="28">
        <v>78496000</v>
      </c>
      <c r="Y3051" s="28">
        <v>2412498000</v>
      </c>
      <c r="Z3051" s="28">
        <v>-877882000</v>
      </c>
      <c r="AA3051" s="28">
        <v>86635000</v>
      </c>
      <c r="AB3051" s="28">
        <v>390265000</v>
      </c>
      <c r="AC3051" s="28">
        <v>1811865000</v>
      </c>
      <c r="AD3051" s="28">
        <v>95563000</v>
      </c>
      <c r="AE3051" s="28">
        <v>4415927000</v>
      </c>
      <c r="AF3051" s="28">
        <v>297959000</v>
      </c>
      <c r="AG3051" s="11"/>
    </row>
    <row r="3052">
      <c r="A3052" s="7" t="s">
        <v>4728</v>
      </c>
      <c r="B3052" s="5" t="s">
        <v>12704</v>
      </c>
      <c r="C3052" s="5" t="s">
        <v>20517</v>
      </c>
      <c r="D3052" s="5" t="str">
        <v>781105903516</v>
      </c>
      <c r="E3052" s="0" t="e">
        <f>+7 (921) 9357220</f>
        <v>#NAME?</v>
      </c>
      <c r="F3052" s="5" t="s">
        <v>34502</v>
      </c>
      <c r="G3052" s="5" t="s">
        <v>34503</v>
      </c>
      <c r="H3052" s="26">
        <v>16</v>
      </c>
      <c r="I3052" s="5" t="s">
        <v>34504</v>
      </c>
      <c r="J3052" s="5" t="s">
        <v>373</v>
      </c>
      <c r="K3052" s="5" t="s">
        <v>344</v>
      </c>
      <c r="L3052" s="5" t="s">
        <v>34505</v>
      </c>
      <c r="M3052" s="27">
        <v>43567</v>
      </c>
      <c r="N3052" s="5" t="s">
        <v>54097</v>
      </c>
      <c r="O3052" s="5" t="str">
        <v>7816413291</v>
      </c>
      <c r="P3052" s="27">
        <v>15000000</v>
      </c>
      <c r="Q3052" s="5" t="s">
        <v>54098</v>
      </c>
      <c r="R3052" s="5"/>
      <c r="S3052" s="5" t="s">
        <v>53003</v>
      </c>
      <c r="T3052" s="28">
        <v>1876000</v>
      </c>
      <c r="U3052" s="28"/>
      <c r="V3052" s="28">
        <v>125794000</v>
      </c>
      <c r="W3052" s="28"/>
      <c r="X3052" s="28">
        <v>752000</v>
      </c>
      <c r="Y3052" s="28">
        <v>196982000</v>
      </c>
      <c r="Z3052" s="28">
        <v>123426000</v>
      </c>
      <c r="AA3052" s="28"/>
      <c r="AB3052" s="28">
        <v>45306000</v>
      </c>
      <c r="AC3052" s="28">
        <v>54788000</v>
      </c>
      <c r="AD3052" s="28">
        <v>138426000</v>
      </c>
      <c r="AE3052" s="28">
        <v>3617862000</v>
      </c>
      <c r="AF3052" s="28">
        <v>53957000</v>
      </c>
      <c r="AG3052" s="11"/>
    </row>
    <row r="3053">
      <c r="A3053" s="7" t="s">
        <v>4729</v>
      </c>
      <c r="B3053" s="5" t="s">
        <v>12705</v>
      </c>
      <c r="C3053" s="5" t="s">
        <v>20518</v>
      </c>
      <c r="D3053" s="5" t="str">
        <v>720314163671</v>
      </c>
      <c r="E3053" s="0" t="e">
        <f>+7 (495) 7458770
+7 (495) 7458772
+7 (495) 9665000
+7 (851) 2311400
+7 (851) 2311499
+7 (861) 2166000
+7 (8617) 294009
+7 (8617) 294300
+7 (8617) 458770
+7 (8617) 611564
+7 (8617) 642552</f>
        <v>#NAME?</v>
      </c>
      <c r="F3053" s="5" t="s">
        <v>34506</v>
      </c>
      <c r="G3053" s="5" t="s">
        <v>34507</v>
      </c>
      <c r="H3053" s="26">
        <v>26</v>
      </c>
      <c r="I3053" s="5"/>
      <c r="J3053" s="5" t="s">
        <v>34508</v>
      </c>
      <c r="K3053" s="5" t="s">
        <v>344</v>
      </c>
      <c r="L3053" s="5" t="s">
        <v>34509</v>
      </c>
      <c r="M3053" s="27">
        <v>49016096</v>
      </c>
      <c r="N3053" s="5"/>
      <c r="O3053" s="5" t="str">
        <v>2310040800</v>
      </c>
      <c r="P3053" s="27">
        <v>1127000</v>
      </c>
      <c r="Q3053" s="5" t="s">
        <v>49009</v>
      </c>
      <c r="R3053" s="5" t="s">
        <v>54099</v>
      </c>
      <c r="S3053" s="5" t="s">
        <v>49010</v>
      </c>
      <c r="T3053" s="28">
        <v>270442559000</v>
      </c>
      <c r="U3053" s="28"/>
      <c r="V3053" s="28">
        <v>3191442000</v>
      </c>
      <c r="W3053" s="28"/>
      <c r="X3053" s="28">
        <v>18008582000</v>
      </c>
      <c r="Y3053" s="28">
        <v>300966118000</v>
      </c>
      <c r="Z3053" s="28">
        <v>69222758000</v>
      </c>
      <c r="AA3053" s="28"/>
      <c r="AB3053" s="28"/>
      <c r="AC3053" s="28">
        <v>20283346000</v>
      </c>
      <c r="AD3053" s="28">
        <v>245347054000</v>
      </c>
      <c r="AE3053" s="28">
        <v>116249118000</v>
      </c>
      <c r="AF3053" s="28">
        <v>40247666000</v>
      </c>
      <c r="AG3053" s="11"/>
    </row>
    <row r="3054">
      <c r="A3054" s="7" t="s">
        <v>4730</v>
      </c>
      <c r="B3054" s="5" t="s">
        <v>12706</v>
      </c>
      <c r="C3054" s="5" t="s">
        <v>20519</v>
      </c>
      <c r="D3054" s="5"/>
      <c r="E3054" s="0" t="e">
        <f>+7 (812) 3242181
+7 (812) 3357111
+7 (812) 3357267
+7 (812) 3357557
+7 (812) 4958119</f>
        <v>#NAME?</v>
      </c>
      <c r="F3054" s="5" t="s">
        <v>34510</v>
      </c>
      <c r="G3054" s="5" t="s">
        <v>34511</v>
      </c>
      <c r="H3054" s="26">
        <v>24</v>
      </c>
      <c r="I3054" s="5"/>
      <c r="J3054" s="5" t="s">
        <v>34512</v>
      </c>
      <c r="K3054" s="5" t="s">
        <v>344</v>
      </c>
      <c r="L3054" s="5" t="s">
        <v>34513</v>
      </c>
      <c r="M3054" s="27">
        <v>1437407</v>
      </c>
      <c r="N3054" s="5"/>
      <c r="O3054" s="5" t="str">
        <v>7805124273</v>
      </c>
      <c r="P3054" s="27">
        <v>3600000</v>
      </c>
      <c r="Q3054" s="5" t="s">
        <v>54100</v>
      </c>
      <c r="R3054" s="5"/>
      <c r="S3054" s="5" t="s">
        <v>54101</v>
      </c>
      <c r="T3054" s="28">
        <v>7261117000</v>
      </c>
      <c r="U3054" s="28"/>
      <c r="V3054" s="28">
        <v>472877000</v>
      </c>
      <c r="W3054" s="28"/>
      <c r="X3054" s="28">
        <v>4433777000</v>
      </c>
      <c r="Y3054" s="28">
        <v>12671532000</v>
      </c>
      <c r="Z3054" s="28">
        <v>6877053000</v>
      </c>
      <c r="AA3054" s="28">
        <v>2911765000</v>
      </c>
      <c r="AB3054" s="28">
        <v>1059732000</v>
      </c>
      <c r="AC3054" s="28">
        <v>1522771000</v>
      </c>
      <c r="AD3054" s="28">
        <v>6881553000</v>
      </c>
      <c r="AE3054" s="28">
        <v>5397132000</v>
      </c>
      <c r="AF3054" s="28">
        <v>1852128000</v>
      </c>
      <c r="AG3054" s="11"/>
    </row>
    <row r="3055">
      <c r="A3055" s="7" t="s">
        <v>4731</v>
      </c>
      <c r="B3055" s="5" t="s">
        <v>12707</v>
      </c>
      <c r="C3055" s="5" t="s">
        <v>20520</v>
      </c>
      <c r="D3055" s="5" t="str">
        <v>782608812151</v>
      </c>
      <c r="E3055" s="0" t="e">
        <f>+7 (921) 9538445</f>
        <v>#NAME?</v>
      </c>
      <c r="F3055" s="5" t="s">
        <v>34514</v>
      </c>
      <c r="G3055" s="5"/>
      <c r="H3055" s="26">
        <v>20.5</v>
      </c>
      <c r="I3055" s="5" t="s">
        <v>34515</v>
      </c>
      <c r="J3055" s="5" t="s">
        <v>373</v>
      </c>
      <c r="K3055" s="5" t="s">
        <v>344</v>
      </c>
      <c r="L3055" s="5" t="s">
        <v>34516</v>
      </c>
      <c r="M3055" s="27">
        <v>31959389</v>
      </c>
      <c r="N3055" s="5" t="s">
        <v>52188</v>
      </c>
      <c r="O3055" s="5" t="str">
        <v>7825482220</v>
      </c>
      <c r="P3055" s="27">
        <v>20000</v>
      </c>
      <c r="Q3055" s="5" t="s">
        <v>49057</v>
      </c>
      <c r="R3055" s="5"/>
      <c r="S3055" s="5" t="s">
        <v>54102</v>
      </c>
      <c r="T3055" s="28">
        <v>74288000</v>
      </c>
      <c r="U3055" s="28">
        <v>75000000</v>
      </c>
      <c r="V3055" s="28">
        <v>7030951000</v>
      </c>
      <c r="W3055" s="28"/>
      <c r="X3055" s="28">
        <v>135850000</v>
      </c>
      <c r="Y3055" s="28">
        <v>8144112000</v>
      </c>
      <c r="Z3055" s="28">
        <v>2123948000</v>
      </c>
      <c r="AA3055" s="28"/>
      <c r="AB3055" s="28">
        <v>3201299000</v>
      </c>
      <c r="AC3055" s="28">
        <v>5977368000</v>
      </c>
      <c r="AD3055" s="28">
        <v>2123968000</v>
      </c>
      <c r="AE3055" s="28">
        <v>54460426000</v>
      </c>
      <c r="AF3055" s="28">
        <v>1424570000</v>
      </c>
      <c r="AG3055" s="11"/>
    </row>
    <row r="3056">
      <c r="A3056" s="7" t="s">
        <v>4732</v>
      </c>
      <c r="B3056" s="5" t="s">
        <v>12708</v>
      </c>
      <c r="C3056" s="5" t="s">
        <v>20521</v>
      </c>
      <c r="D3056" s="5" t="str">
        <v>710302620172</v>
      </c>
      <c r="E3056" s="0" t="e">
        <f>+7 (861) 2625405
+7 (861) 2312393
+7 (861) 2623742
+7 (918) 3873033
+7 (988) 2460068</f>
        <v>#NAME?</v>
      </c>
      <c r="F3056" s="5" t="s">
        <v>34517</v>
      </c>
      <c r="G3056" s="5" t="s">
        <v>34518</v>
      </c>
      <c r="H3056" s="26">
        <v>30</v>
      </c>
      <c r="I3056" s="5" t="s">
        <v>34519</v>
      </c>
      <c r="J3056" s="5" t="s">
        <v>28755</v>
      </c>
      <c r="K3056" s="5" t="s">
        <v>344</v>
      </c>
      <c r="L3056" s="5"/>
      <c r="M3056" s="27">
        <v>479291</v>
      </c>
      <c r="N3056" s="5" t="s">
        <v>54103</v>
      </c>
      <c r="O3056" s="5" t="str">
        <v>2310013042</v>
      </c>
      <c r="P3056" s="27">
        <v>93020251</v>
      </c>
      <c r="Q3056" s="5" t="s">
        <v>54104</v>
      </c>
      <c r="R3056" s="5"/>
      <c r="S3056" s="5" t="s">
        <v>54105</v>
      </c>
      <c r="T3056" s="28">
        <v>3634803000</v>
      </c>
      <c r="U3056" s="28"/>
      <c r="V3056" s="28">
        <v>119030000</v>
      </c>
      <c r="W3056" s="28">
        <v>10000</v>
      </c>
      <c r="X3056" s="28">
        <v>193701000</v>
      </c>
      <c r="Y3056" s="28">
        <v>4416685000</v>
      </c>
      <c r="Z3056" s="28">
        <v>-584932000</v>
      </c>
      <c r="AA3056" s="28"/>
      <c r="AB3056" s="28">
        <v>1000</v>
      </c>
      <c r="AC3056" s="28">
        <v>366718000</v>
      </c>
      <c r="AD3056" s="28">
        <v>3997978000</v>
      </c>
      <c r="AE3056" s="28">
        <v>3466607000</v>
      </c>
      <c r="AF3056" s="28">
        <v>-429013000</v>
      </c>
      <c r="AG3056" s="11"/>
    </row>
    <row r="3057">
      <c r="A3057" s="7" t="s">
        <v>4733</v>
      </c>
      <c r="B3057" s="5" t="s">
        <v>12709</v>
      </c>
      <c r="C3057" s="5" t="s">
        <v>20522</v>
      </c>
      <c r="D3057" s="5" t="str">
        <v>732713279702</v>
      </c>
      <c r="E3057" s="0" t="e">
        <f>+7 (8422) 407430
+7 (913) 3427405
+7 (842) 2407133
+7 (8422) 407100
+7 (8422) 407155
+7 (8422) 407172
+7 (8422) 617676</f>
        <v>#NAME?</v>
      </c>
      <c r="F3057" s="5"/>
      <c r="G3057" s="5" t="s">
        <v>34520</v>
      </c>
      <c r="H3057" s="26">
        <v>30</v>
      </c>
      <c r="I3057" s="5"/>
      <c r="J3057" s="5" t="s">
        <v>445</v>
      </c>
      <c r="K3057" s="5" t="s">
        <v>355</v>
      </c>
      <c r="L3057" s="5"/>
      <c r="M3057" s="27">
        <v>44783079</v>
      </c>
      <c r="N3057" s="5" t="s">
        <v>54106</v>
      </c>
      <c r="O3057" s="5" t="str">
        <v>7327002626</v>
      </c>
      <c r="P3057" s="27">
        <v>7800000</v>
      </c>
      <c r="Q3057" s="5" t="s">
        <v>54107</v>
      </c>
      <c r="R3057" s="5"/>
      <c r="S3057" s="5" t="s">
        <v>54108</v>
      </c>
      <c r="T3057" s="28">
        <v>2243873000</v>
      </c>
      <c r="U3057" s="28"/>
      <c r="V3057" s="28">
        <v>2623797000</v>
      </c>
      <c r="W3057" s="28"/>
      <c r="X3057" s="28">
        <v>12829000</v>
      </c>
      <c r="Y3057" s="28">
        <v>7537840000</v>
      </c>
      <c r="Z3057" s="28">
        <v>3138585000</v>
      </c>
      <c r="AA3057" s="28"/>
      <c r="AB3057" s="28">
        <v>1573540000</v>
      </c>
      <c r="AC3057" s="28">
        <v>4190645000</v>
      </c>
      <c r="AD3057" s="28">
        <v>3148399000</v>
      </c>
      <c r="AE3057" s="28">
        <v>3792121000</v>
      </c>
      <c r="AF3057" s="28">
        <v>2014000</v>
      </c>
      <c r="AG3057" s="11"/>
    </row>
    <row r="3058">
      <c r="A3058" s="7" t="s">
        <v>4734</v>
      </c>
      <c r="B3058" s="5" t="s">
        <v>12710</v>
      </c>
      <c r="C3058" s="5" t="s">
        <v>20523</v>
      </c>
      <c r="D3058" s="5" t="str">
        <v>860201030453</v>
      </c>
      <c r="E3058" s="0" t="e">
        <f>+7 (861) 2051761
+7 (861) 2061010
+7 (861) 2069110
+7 (861) 2194646
+7 (861) 2254685
+7 (861) 2578388
+7 (861) 2601010
+7 (86166) 29510
+7 (953) 1109266</f>
        <v>#NAME?</v>
      </c>
      <c r="F3058" s="5" t="s">
        <v>34521</v>
      </c>
      <c r="G3058" s="5" t="s">
        <v>34522</v>
      </c>
      <c r="H3058" s="26">
        <v>1.5</v>
      </c>
      <c r="I3058" s="5" t="s">
        <v>34523</v>
      </c>
      <c r="J3058" s="5" t="s">
        <v>28968</v>
      </c>
      <c r="K3058" s="5" t="s">
        <v>355</v>
      </c>
      <c r="L3058" s="5"/>
      <c r="M3058" s="27">
        <v>6383121</v>
      </c>
      <c r="N3058" s="5" t="s">
        <v>54109</v>
      </c>
      <c r="O3058" s="5" t="str">
        <v>2311322773</v>
      </c>
      <c r="P3058" s="27">
        <v>10000</v>
      </c>
      <c r="Q3058" s="5" t="s">
        <v>54111</v>
      </c>
      <c r="R3058" s="5"/>
      <c r="S3058" s="5" t="s">
        <v>49032</v>
      </c>
      <c r="T3058" s="28">
        <v>1213738000</v>
      </c>
      <c r="U3058" s="28"/>
      <c r="V3058" s="28">
        <v>1906616000</v>
      </c>
      <c r="W3058" s="28"/>
      <c r="X3058" s="28">
        <v>24191000</v>
      </c>
      <c r="Y3058" s="28">
        <v>3534646000</v>
      </c>
      <c r="Z3058" s="28">
        <v>16304000</v>
      </c>
      <c r="AA3058" s="28"/>
      <c r="AB3058" s="28">
        <v>259825000</v>
      </c>
      <c r="AC3058" s="28">
        <v>1950906000</v>
      </c>
      <c r="AD3058" s="28">
        <v>16314000</v>
      </c>
      <c r="AE3058" s="28">
        <v>4179506000</v>
      </c>
      <c r="AF3058" s="28">
        <v>16571000</v>
      </c>
      <c r="AG3058" s="11"/>
    </row>
    <row r="3059">
      <c r="A3059" s="7" t="s">
        <v>4735</v>
      </c>
      <c r="B3059" s="5" t="s">
        <v>12711</v>
      </c>
      <c r="C3059" s="5" t="s">
        <v>20524</v>
      </c>
      <c r="D3059" s="5" t="str">
        <v>232804506187</v>
      </c>
      <c r="E3059" s="0" t="e">
        <f>+7 (86191) 51600
+7 (86157) 74644
+7 (86191) 52412
+7 (86191) 52512</f>
        <v>#NAME?</v>
      </c>
      <c r="F3059" s="5" t="s">
        <v>34524</v>
      </c>
      <c r="G3059" s="5"/>
      <c r="H3059" s="26">
        <v>18</v>
      </c>
      <c r="I3059" s="5"/>
      <c r="J3059" s="5" t="s">
        <v>25371</v>
      </c>
      <c r="K3059" s="5" t="s">
        <v>380</v>
      </c>
      <c r="L3059" s="5" t="s">
        <v>34525</v>
      </c>
      <c r="M3059" s="27">
        <v>130377</v>
      </c>
      <c r="N3059" s="5"/>
      <c r="O3059" s="5" t="str">
        <v>2360011837</v>
      </c>
      <c r="P3059" s="27">
        <v>12001000000</v>
      </c>
      <c r="Q3059" s="5" t="s">
        <v>49059</v>
      </c>
      <c r="R3059" s="5" t="s">
        <v>54112</v>
      </c>
      <c r="S3059" s="5" t="s">
        <v>49029</v>
      </c>
      <c r="T3059" s="28">
        <v>2743327000</v>
      </c>
      <c r="U3059" s="28">
        <v>23979567000</v>
      </c>
      <c r="V3059" s="28">
        <v>10650609000</v>
      </c>
      <c r="W3059" s="28"/>
      <c r="X3059" s="28">
        <v>31538000</v>
      </c>
      <c r="Y3059" s="28">
        <v>38095650000</v>
      </c>
      <c r="Z3059" s="28">
        <v>4316578000</v>
      </c>
      <c r="AA3059" s="28">
        <v>8998023000</v>
      </c>
      <c r="AB3059" s="28">
        <v>5794888000</v>
      </c>
      <c r="AC3059" s="28">
        <v>7640957000</v>
      </c>
      <c r="AD3059" s="28">
        <v>16317578000</v>
      </c>
      <c r="AE3059" s="28">
        <v>3057476000</v>
      </c>
      <c r="AF3059" s="28">
        <v>1798851000</v>
      </c>
      <c r="AG3059" s="11"/>
    </row>
    <row r="3060">
      <c r="A3060" s="7" t="s">
        <v>4736</v>
      </c>
      <c r="B3060" s="5" t="s">
        <v>12712</v>
      </c>
      <c r="C3060" s="5" t="s">
        <v>20525</v>
      </c>
      <c r="D3060" s="5" t="str">
        <v>231305384220</v>
      </c>
      <c r="E3060" s="0" t="e">
        <f>+7 (861) 2774554</f>
        <v>#NAME?</v>
      </c>
      <c r="F3060" s="5"/>
      <c r="G3060" s="5"/>
      <c r="H3060" s="26">
        <v>6.5</v>
      </c>
      <c r="I3060" s="5" t="s">
        <v>33907</v>
      </c>
      <c r="J3060" s="5" t="s">
        <v>26410</v>
      </c>
      <c r="K3060" s="5" t="s">
        <v>355</v>
      </c>
      <c r="L3060" s="5"/>
      <c r="M3060" s="27">
        <v>108616524</v>
      </c>
      <c r="N3060" s="5"/>
      <c r="O3060" s="5" t="str">
        <v>2311223966</v>
      </c>
      <c r="P3060" s="27">
        <v>10000</v>
      </c>
      <c r="Q3060" s="5"/>
      <c r="R3060" s="5"/>
      <c r="S3060" s="5" t="s">
        <v>49029</v>
      </c>
      <c r="T3060" s="28">
        <v>1968679000</v>
      </c>
      <c r="U3060" s="28"/>
      <c r="V3060" s="28">
        <v>248139000</v>
      </c>
      <c r="W3060" s="28"/>
      <c r="X3060" s="28">
        <v>108000</v>
      </c>
      <c r="Y3060" s="28">
        <v>2977321000</v>
      </c>
      <c r="Z3060" s="28">
        <v>-306617000</v>
      </c>
      <c r="AA3060" s="28">
        <v>1245732000</v>
      </c>
      <c r="AB3060" s="28">
        <v>1647459000</v>
      </c>
      <c r="AC3060" s="28">
        <v>2018003000</v>
      </c>
      <c r="AD3060" s="28">
        <v>-306498000</v>
      </c>
      <c r="AE3060" s="28">
        <v>4559238000</v>
      </c>
      <c r="AF3060" s="28">
        <v>317967000</v>
      </c>
      <c r="AG3060" s="11"/>
    </row>
    <row r="3061">
      <c r="A3061" s="7" t="s">
        <v>4737</v>
      </c>
      <c r="B3061" s="5" t="s">
        <v>12713</v>
      </c>
      <c r="C3061" s="5" t="s">
        <v>20526</v>
      </c>
      <c r="D3061" s="5" t="str">
        <v>231304158860</v>
      </c>
      <c r="E3061" s="0" t="e">
        <f>+7 (910) 7329177</f>
        <v>#NAME?</v>
      </c>
      <c r="F3061" s="5" t="s">
        <v>34526</v>
      </c>
      <c r="G3061" s="5"/>
      <c r="H3061" s="26">
        <v>6.5</v>
      </c>
      <c r="I3061" s="5" t="s">
        <v>31494</v>
      </c>
      <c r="J3061" s="5" t="s">
        <v>25812</v>
      </c>
      <c r="K3061" s="5" t="s">
        <v>344</v>
      </c>
      <c r="L3061" s="5"/>
      <c r="M3061" s="27"/>
      <c r="N3061" s="5"/>
      <c r="O3061" s="5" t="str">
        <v>2364014275</v>
      </c>
      <c r="P3061" s="27">
        <v>10000</v>
      </c>
      <c r="Q3061" s="5"/>
      <c r="R3061" s="5" t="s">
        <v>54113</v>
      </c>
      <c r="S3061" s="5" t="s">
        <v>49425</v>
      </c>
      <c r="T3061" s="28">
        <v>3773364000</v>
      </c>
      <c r="U3061" s="28"/>
      <c r="V3061" s="28">
        <v>5209378000</v>
      </c>
      <c r="W3061" s="28">
        <v>316000</v>
      </c>
      <c r="X3061" s="28">
        <v>345000</v>
      </c>
      <c r="Y3061" s="28">
        <v>10893963000</v>
      </c>
      <c r="Z3061" s="28">
        <v>3523153000</v>
      </c>
      <c r="AA3061" s="28">
        <v>2682068000</v>
      </c>
      <c r="AB3061" s="28">
        <v>544539000</v>
      </c>
      <c r="AC3061" s="28">
        <v>4688411000</v>
      </c>
      <c r="AD3061" s="28">
        <v>3523163000</v>
      </c>
      <c r="AE3061" s="28">
        <v>19723402000</v>
      </c>
      <c r="AF3061" s="28">
        <v>2374548000</v>
      </c>
      <c r="AG3061" s="11"/>
    </row>
    <row r="3062">
      <c r="A3062" s="7" t="s">
        <v>4738</v>
      </c>
      <c r="B3062" s="5" t="s">
        <v>12714</v>
      </c>
      <c r="C3062" s="5" t="s">
        <v>20527</v>
      </c>
      <c r="D3062" s="5" t="str">
        <v>090500085948</v>
      </c>
      <c r="E3062" s="0" t="e">
        <f>+7 (878) 2266393
+7 (878) 2213840
+7 (878) 2214230
+7 (878) 2239407
+7 (878) 2261225
+7 (878) 2263528
+7 (87879) 57621
+7 (87879) 57671
+7 (918) 7139058
+7 (928) 3913918</f>
        <v>#NAME?</v>
      </c>
      <c r="F3062" s="5" t="s">
        <v>34527</v>
      </c>
      <c r="G3062" s="5"/>
      <c r="H3062" s="26">
        <v>20</v>
      </c>
      <c r="I3062" s="5" t="s">
        <v>34528</v>
      </c>
      <c r="J3062" s="5" t="s">
        <v>467</v>
      </c>
      <c r="K3062" s="5" t="s">
        <v>344</v>
      </c>
      <c r="L3062" s="5" t="s">
        <v>34529</v>
      </c>
      <c r="M3062" s="27"/>
      <c r="N3062" s="5" t="s">
        <v>54114</v>
      </c>
      <c r="O3062" s="5" t="str">
        <v>0901050864</v>
      </c>
      <c r="P3062" s="27">
        <v>95053000</v>
      </c>
      <c r="Q3062" s="5" t="s">
        <v>54115</v>
      </c>
      <c r="R3062" s="5"/>
      <c r="S3062" s="5" t="s">
        <v>54116</v>
      </c>
      <c r="T3062" s="28">
        <v>634277000</v>
      </c>
      <c r="U3062" s="28">
        <v>734794000</v>
      </c>
      <c r="V3062" s="28">
        <v>5246634000</v>
      </c>
      <c r="W3062" s="28"/>
      <c r="X3062" s="28">
        <v>3212064000</v>
      </c>
      <c r="Y3062" s="28">
        <v>13480466000</v>
      </c>
      <c r="Z3062" s="28">
        <v>1691255000</v>
      </c>
      <c r="AA3062" s="28">
        <v>1666541000</v>
      </c>
      <c r="AB3062" s="28"/>
      <c r="AC3062" s="28">
        <v>9660536000</v>
      </c>
      <c r="AD3062" s="28">
        <v>2153389000</v>
      </c>
      <c r="AE3062" s="28">
        <v>9185931000</v>
      </c>
      <c r="AF3062" s="28">
        <v>471533000</v>
      </c>
      <c r="AG3062" s="11"/>
    </row>
    <row r="3063">
      <c r="A3063" s="7" t="s">
        <v>4739</v>
      </c>
      <c r="B3063" s="5" t="s">
        <v>12715</v>
      </c>
      <c r="C3063" s="5" t="s">
        <v>20528</v>
      </c>
      <c r="D3063" s="5" t="str">
        <v>235202382300</v>
      </c>
      <c r="E3063" s="0" t="e">
        <f>+7 (861) 2006291
+7 (861) 2981560
+7 (86148) 31209
+7 (86148) 91666</f>
        <v>#NAME?</v>
      </c>
      <c r="F3063" s="5" t="s">
        <v>34530</v>
      </c>
      <c r="G3063" s="5" t="s">
        <v>34531</v>
      </c>
      <c r="H3063" s="26">
        <v>20</v>
      </c>
      <c r="I3063" s="5" t="s">
        <v>34532</v>
      </c>
      <c r="J3063" s="5" t="s">
        <v>25316</v>
      </c>
      <c r="K3063" s="5" t="s">
        <v>355</v>
      </c>
      <c r="L3063" s="5" t="s">
        <v>34533</v>
      </c>
      <c r="M3063" s="27"/>
      <c r="N3063" s="5"/>
      <c r="O3063" s="5" t="str">
        <v>2352034598</v>
      </c>
      <c r="P3063" s="27">
        <v>1254010000</v>
      </c>
      <c r="Q3063" s="5"/>
      <c r="R3063" s="5"/>
      <c r="S3063" s="5" t="s">
        <v>49029</v>
      </c>
      <c r="T3063" s="28">
        <v>4740115000</v>
      </c>
      <c r="U3063" s="28"/>
      <c r="V3063" s="28">
        <v>3171211000</v>
      </c>
      <c r="W3063" s="28">
        <v>27298000</v>
      </c>
      <c r="X3063" s="28">
        <v>878184000</v>
      </c>
      <c r="Y3063" s="28">
        <v>16094013000</v>
      </c>
      <c r="Z3063" s="28">
        <v>1830540000</v>
      </c>
      <c r="AA3063" s="28">
        <v>2288249000</v>
      </c>
      <c r="AB3063" s="28">
        <v>3803659000</v>
      </c>
      <c r="AC3063" s="28">
        <v>10439302000</v>
      </c>
      <c r="AD3063" s="28">
        <v>3084550000</v>
      </c>
      <c r="AE3063" s="28">
        <v>11423676000</v>
      </c>
      <c r="AF3063" s="28">
        <v>950331000</v>
      </c>
      <c r="AG3063" s="11"/>
    </row>
    <row r="3064">
      <c r="A3064" s="7" t="s">
        <v>4740</v>
      </c>
      <c r="B3064" s="5" t="s">
        <v>12716</v>
      </c>
      <c r="C3064" s="5" t="s">
        <v>20529</v>
      </c>
      <c r="D3064" s="5" t="str">
        <v>231004455301</v>
      </c>
      <c r="E3064" s="0" t="e">
        <f>+7 (861) 2281772</f>
        <v>#NAME?</v>
      </c>
      <c r="F3064" s="5"/>
      <c r="G3064" s="5"/>
      <c r="H3064" s="26">
        <v>19</v>
      </c>
      <c r="I3064" s="5" t="s">
        <v>34534</v>
      </c>
      <c r="J3064" s="5" t="s">
        <v>26536</v>
      </c>
      <c r="K3064" s="5" t="s">
        <v>344</v>
      </c>
      <c r="L3064" s="5" t="s">
        <v>34535</v>
      </c>
      <c r="M3064" s="27"/>
      <c r="N3064" s="5"/>
      <c r="O3064" s="5" t="str">
        <v>2310088954</v>
      </c>
      <c r="P3064" s="27">
        <v>151886000</v>
      </c>
      <c r="Q3064" s="5"/>
      <c r="R3064" s="5"/>
      <c r="S3064" s="5" t="s">
        <v>49029</v>
      </c>
      <c r="T3064" s="28">
        <v>602187000</v>
      </c>
      <c r="U3064" s="28">
        <v>46910000</v>
      </c>
      <c r="V3064" s="28">
        <v>625280000</v>
      </c>
      <c r="W3064" s="28">
        <v>360000000</v>
      </c>
      <c r="X3064" s="28">
        <v>746000</v>
      </c>
      <c r="Y3064" s="28">
        <v>2192296000</v>
      </c>
      <c r="Z3064" s="28">
        <v>1679813000</v>
      </c>
      <c r="AA3064" s="28"/>
      <c r="AB3064" s="28"/>
      <c r="AC3064" s="28">
        <v>306380000</v>
      </c>
      <c r="AD3064" s="28">
        <v>1831702000</v>
      </c>
      <c r="AE3064" s="28">
        <v>3521745000</v>
      </c>
      <c r="AF3064" s="28">
        <v>470059000</v>
      </c>
      <c r="AG3064" s="11"/>
    </row>
    <row r="3065">
      <c r="A3065" s="7" t="s">
        <v>4741</v>
      </c>
      <c r="B3065" s="5" t="s">
        <v>12717</v>
      </c>
      <c r="C3065" s="5" t="s">
        <v>20530</v>
      </c>
      <c r="D3065" s="5" t="str">
        <v>230807272381</v>
      </c>
      <c r="E3065" s="0" t="e">
        <f>+7 (861) 2150245
+7 (918) 263416
+7 (918) 1204477
+7 (861) 2748938
+7 (861) 2748963
+7 (861) 2749204</f>
        <v>#NAME?</v>
      </c>
      <c r="F3065" s="5" t="s">
        <v>34536</v>
      </c>
      <c r="G3065" s="5" t="s">
        <v>34537</v>
      </c>
      <c r="H3065" s="26">
        <v>12</v>
      </c>
      <c r="I3065" s="5" t="s">
        <v>34538</v>
      </c>
      <c r="J3065" s="5" t="s">
        <v>623</v>
      </c>
      <c r="K3065" s="5" t="s">
        <v>344</v>
      </c>
      <c r="L3065" s="5" t="s">
        <v>34539</v>
      </c>
      <c r="M3065" s="27"/>
      <c r="N3065" s="5" t="s">
        <v>49153</v>
      </c>
      <c r="O3065" s="5" t="str">
        <v>2311132412</v>
      </c>
      <c r="P3065" s="27">
        <v>400008400</v>
      </c>
      <c r="Q3065" s="5" t="s">
        <v>49688</v>
      </c>
      <c r="R3065" s="5" t="s">
        <v>54117</v>
      </c>
      <c r="S3065" s="5" t="s">
        <v>54118</v>
      </c>
      <c r="T3065" s="28"/>
      <c r="U3065" s="28">
        <v>470300000</v>
      </c>
      <c r="V3065" s="28">
        <v>1575744000</v>
      </c>
      <c r="W3065" s="28">
        <v>5548000</v>
      </c>
      <c r="X3065" s="28">
        <v>34616000</v>
      </c>
      <c r="Y3065" s="28">
        <v>4148002000</v>
      </c>
      <c r="Z3065" s="28">
        <v>2444820000</v>
      </c>
      <c r="AA3065" s="28"/>
      <c r="AB3065" s="28">
        <v>802861000</v>
      </c>
      <c r="AC3065" s="28">
        <v>1303174000</v>
      </c>
      <c r="AD3065" s="28">
        <v>2844828000</v>
      </c>
      <c r="AE3065" s="28">
        <v>3177482000</v>
      </c>
      <c r="AF3065" s="28">
        <v>1796675000</v>
      </c>
      <c r="AG3065" s="11"/>
    </row>
    <row r="3066">
      <c r="A3066" s="7" t="s">
        <v>4742</v>
      </c>
      <c r="B3066" s="5" t="s">
        <v>12718</v>
      </c>
      <c r="C3066" s="5" t="s">
        <v>20531</v>
      </c>
      <c r="D3066" s="5" t="str">
        <v>231000018244</v>
      </c>
      <c r="E3066" s="0" t="e">
        <f>+7 (812) 7185511
+7 (86155) 32642
+7 (918) 2133777</f>
        <v>#NAME?</v>
      </c>
      <c r="F3066" s="5" t="s">
        <v>34540</v>
      </c>
      <c r="G3066" s="5" t="s">
        <v>34541</v>
      </c>
      <c r="H3066" s="26">
        <v>13.5</v>
      </c>
      <c r="I3066" s="5" t="s">
        <v>34542</v>
      </c>
      <c r="J3066" s="5" t="s">
        <v>27890</v>
      </c>
      <c r="K3066" s="5" t="s">
        <v>344</v>
      </c>
      <c r="L3066" s="5" t="s">
        <v>34543</v>
      </c>
      <c r="M3066" s="27"/>
      <c r="N3066" s="5"/>
      <c r="O3066" s="5" t="str">
        <v>2368000347</v>
      </c>
      <c r="P3066" s="27">
        <v>1165047000</v>
      </c>
      <c r="Q3066" s="5"/>
      <c r="R3066" s="5"/>
      <c r="S3066" s="5" t="s">
        <v>49425</v>
      </c>
      <c r="T3066" s="28">
        <v>1047965000</v>
      </c>
      <c r="U3066" s="28">
        <v>16475000</v>
      </c>
      <c r="V3066" s="28">
        <v>2176689000</v>
      </c>
      <c r="W3066" s="28">
        <v>20166000</v>
      </c>
      <c r="X3066" s="28">
        <v>124737000</v>
      </c>
      <c r="Y3066" s="28">
        <v>5532913000</v>
      </c>
      <c r="Z3066" s="28">
        <v>1770888000</v>
      </c>
      <c r="AA3066" s="28">
        <v>1414912000</v>
      </c>
      <c r="AB3066" s="28">
        <v>403381000</v>
      </c>
      <c r="AC3066" s="28">
        <v>1135869000</v>
      </c>
      <c r="AD3066" s="28">
        <v>2935935000</v>
      </c>
      <c r="AE3066" s="28">
        <v>6478244000</v>
      </c>
      <c r="AF3066" s="28">
        <v>1692334000</v>
      </c>
      <c r="AG3066" s="11"/>
    </row>
    <row r="3067">
      <c r="A3067" s="7" t="s">
        <v>4743</v>
      </c>
      <c r="B3067" s="5" t="s">
        <v>12719</v>
      </c>
      <c r="C3067" s="5" t="s">
        <v>20532</v>
      </c>
      <c r="D3067" s="5" t="str">
        <v>262809540409</v>
      </c>
      <c r="E3067" s="0" t="e">
        <f>+7 (861) 2400380
+7 (918) 3222437</f>
        <v>#NAME?</v>
      </c>
      <c r="F3067" s="5" t="s">
        <v>34544</v>
      </c>
      <c r="G3067" s="5"/>
      <c r="H3067" s="26">
        <v>18</v>
      </c>
      <c r="I3067" s="5" t="s">
        <v>34545</v>
      </c>
      <c r="J3067" s="5" t="s">
        <v>25837</v>
      </c>
      <c r="K3067" s="5" t="s">
        <v>344</v>
      </c>
      <c r="L3067" s="5"/>
      <c r="M3067" s="27"/>
      <c r="N3067" s="5"/>
      <c r="O3067" s="5" t="str">
        <v>2308103203</v>
      </c>
      <c r="P3067" s="27">
        <v>50000</v>
      </c>
      <c r="Q3067" s="5" t="s">
        <v>49059</v>
      </c>
      <c r="R3067" s="5"/>
      <c r="S3067" s="5" t="s">
        <v>49160</v>
      </c>
      <c r="T3067" s="28">
        <v>17491000</v>
      </c>
      <c r="U3067" s="28"/>
      <c r="V3067" s="28">
        <v>1324513000</v>
      </c>
      <c r="W3067" s="28"/>
      <c r="X3067" s="28">
        <v>3393000</v>
      </c>
      <c r="Y3067" s="28">
        <v>2170817000</v>
      </c>
      <c r="Z3067" s="28">
        <v>164976000</v>
      </c>
      <c r="AA3067" s="28">
        <v>6316000</v>
      </c>
      <c r="AB3067" s="28">
        <v>568083000</v>
      </c>
      <c r="AC3067" s="28">
        <v>1999475000</v>
      </c>
      <c r="AD3067" s="28">
        <v>165026000</v>
      </c>
      <c r="AE3067" s="28">
        <v>3650871000</v>
      </c>
      <c r="AF3067" s="28">
        <v>161661000</v>
      </c>
      <c r="AG3067" s="11"/>
    </row>
    <row r="3068">
      <c r="A3068" s="7" t="s">
        <v>4744</v>
      </c>
      <c r="B3068" s="5" t="s">
        <v>12720</v>
      </c>
      <c r="C3068" s="5" t="s">
        <v>20533</v>
      </c>
      <c r="D3068" s="5" t="str">
        <v>231295382278</v>
      </c>
      <c r="E3068" s="0" t="e">
        <f>+7 (988) 4603154
+7 (918) 2897100</f>
        <v>#NAME?</v>
      </c>
      <c r="F3068" s="5" t="s">
        <v>34546</v>
      </c>
      <c r="G3068" s="5"/>
      <c r="H3068" s="26">
        <v>7</v>
      </c>
      <c r="I3068" s="5" t="s">
        <v>34547</v>
      </c>
      <c r="J3068" s="5" t="s">
        <v>1059</v>
      </c>
      <c r="K3068" s="5" t="s">
        <v>344</v>
      </c>
      <c r="L3068" s="5" t="s">
        <v>33464</v>
      </c>
      <c r="M3068" s="27"/>
      <c r="N3068" s="5" t="s">
        <v>54119</v>
      </c>
      <c r="O3068" s="5" t="str">
        <v>2312242432</v>
      </c>
      <c r="P3068" s="27">
        <v>10010000</v>
      </c>
      <c r="Q3068" s="5" t="s">
        <v>49009</v>
      </c>
      <c r="R3068" s="5"/>
      <c r="S3068" s="5" t="s">
        <v>49012</v>
      </c>
      <c r="T3068" s="28">
        <v>17179000</v>
      </c>
      <c r="U3068" s="28"/>
      <c r="V3068" s="28">
        <v>1132998000</v>
      </c>
      <c r="W3068" s="28">
        <v>474219000</v>
      </c>
      <c r="X3068" s="28">
        <v>40664000</v>
      </c>
      <c r="Y3068" s="28">
        <v>1963075000</v>
      </c>
      <c r="Z3068" s="28">
        <v>13050000</v>
      </c>
      <c r="AA3068" s="28"/>
      <c r="AB3068" s="28">
        <v>1063437000</v>
      </c>
      <c r="AC3068" s="28">
        <v>1940015000</v>
      </c>
      <c r="AD3068" s="28">
        <v>23060000</v>
      </c>
      <c r="AE3068" s="28">
        <v>4088191000</v>
      </c>
      <c r="AF3068" s="28">
        <v>2333000</v>
      </c>
      <c r="AG3068" s="11"/>
    </row>
    <row r="3069">
      <c r="A3069" s="7" t="s">
        <v>4745</v>
      </c>
      <c r="B3069" s="5" t="s">
        <v>12721</v>
      </c>
      <c r="C3069" s="5" t="s">
        <v>20534</v>
      </c>
      <c r="D3069" s="5" t="str">
        <v>231104144500</v>
      </c>
      <c r="E3069" s="0" t="e">
        <f>+7 (48741) 28411
+7 (48741) 28440
+7 (48741) 28573
+7 (48741) 28598
+7 (48741) 28667
+7 (910) 1666605</f>
        <v>#NAME?</v>
      </c>
      <c r="F3069" s="5" t="s">
        <v>34548</v>
      </c>
      <c r="G3069" s="5" t="s">
        <v>34549</v>
      </c>
      <c r="H3069" s="26">
        <v>20.5</v>
      </c>
      <c r="I3069" s="5" t="s">
        <v>34550</v>
      </c>
      <c r="J3069" s="5" t="s">
        <v>25812</v>
      </c>
      <c r="K3069" s="5" t="s">
        <v>344</v>
      </c>
      <c r="L3069" s="5" t="s">
        <v>34551</v>
      </c>
      <c r="M3069" s="27"/>
      <c r="N3069" s="5"/>
      <c r="O3069" s="5" t="str">
        <v>7113021283</v>
      </c>
      <c r="P3069" s="27">
        <v>15000</v>
      </c>
      <c r="Q3069" s="5"/>
      <c r="R3069" s="5"/>
      <c r="S3069" s="5" t="s">
        <v>49425</v>
      </c>
      <c r="T3069" s="28">
        <v>632435000</v>
      </c>
      <c r="U3069" s="28">
        <v>10000</v>
      </c>
      <c r="V3069" s="28">
        <v>2244188000</v>
      </c>
      <c r="W3069" s="28">
        <v>25837000</v>
      </c>
      <c r="X3069" s="28">
        <v>927911000</v>
      </c>
      <c r="Y3069" s="28">
        <v>6383207000</v>
      </c>
      <c r="Z3069" s="28">
        <v>2451138000</v>
      </c>
      <c r="AA3069" s="28">
        <v>640000000</v>
      </c>
      <c r="AB3069" s="28">
        <v>3015523000</v>
      </c>
      <c r="AC3069" s="28">
        <v>3220846000</v>
      </c>
      <c r="AD3069" s="28">
        <v>2451153000</v>
      </c>
      <c r="AE3069" s="28">
        <v>8614285000</v>
      </c>
      <c r="AF3069" s="28">
        <v>330043000</v>
      </c>
      <c r="AG3069" s="11"/>
    </row>
    <row r="3070">
      <c r="A3070" s="7" t="s">
        <v>4746</v>
      </c>
      <c r="B3070" s="5" t="s">
        <v>12722</v>
      </c>
      <c r="C3070" s="5" t="s">
        <v>20535</v>
      </c>
      <c r="D3070" s="5" t="str">
        <v>230211952074</v>
      </c>
      <c r="E3070" s="0" t="e">
        <f>+7 (918) 2238572
+7 (861) 2125417</f>
        <v>#NAME?</v>
      </c>
      <c r="F3070" s="5"/>
      <c r="G3070" s="5"/>
      <c r="H3070" s="26">
        <v>30.5</v>
      </c>
      <c r="I3070" s="5"/>
      <c r="J3070" s="5" t="s">
        <v>25822</v>
      </c>
      <c r="K3070" s="5" t="s">
        <v>355</v>
      </c>
      <c r="L3070" s="5"/>
      <c r="M3070" s="27">
        <v>522899</v>
      </c>
      <c r="N3070" s="5" t="s">
        <v>54120</v>
      </c>
      <c r="O3070" s="5" t="str">
        <v>2312018180</v>
      </c>
      <c r="P3070" s="27">
        <v>44261654</v>
      </c>
      <c r="Q3070" s="5"/>
      <c r="R3070" s="5"/>
      <c r="S3070" s="5" t="s">
        <v>53903</v>
      </c>
      <c r="T3070" s="28">
        <v>697524000</v>
      </c>
      <c r="U3070" s="28">
        <v>26905000</v>
      </c>
      <c r="V3070" s="28">
        <v>4431813000</v>
      </c>
      <c r="W3070" s="28">
        <v>959516000</v>
      </c>
      <c r="X3070" s="28">
        <v>358716000</v>
      </c>
      <c r="Y3070" s="28">
        <v>8839665000</v>
      </c>
      <c r="Z3070" s="28">
        <v>447485000</v>
      </c>
      <c r="AA3070" s="28">
        <v>2657603000</v>
      </c>
      <c r="AB3070" s="28">
        <v>1456300000</v>
      </c>
      <c r="AC3070" s="28">
        <v>5689308000</v>
      </c>
      <c r="AD3070" s="28">
        <v>492754000</v>
      </c>
      <c r="AE3070" s="28">
        <v>6312968000</v>
      </c>
      <c r="AF3070" s="28">
        <v>-202648000</v>
      </c>
      <c r="AG3070" s="11"/>
    </row>
    <row r="3071">
      <c r="A3071" s="7" t="s">
        <v>4747</v>
      </c>
      <c r="B3071" s="5" t="s">
        <v>10588</v>
      </c>
      <c r="C3071" s="5" t="s">
        <v>20536</v>
      </c>
      <c r="D3071" s="5" t="str">
        <v>772913084752</v>
      </c>
      <c r="E3071" s="0" t="e">
        <f>+7 (968) 8675499
+7 (495) 6414051
+7 (495) 6414152</f>
        <v>#NAME?</v>
      </c>
      <c r="F3071" s="5" t="s">
        <v>34552</v>
      </c>
      <c r="G3071" s="5" t="s">
        <v>34553</v>
      </c>
      <c r="H3071" s="26">
        <v>19</v>
      </c>
      <c r="I3071" s="5" t="s">
        <v>34554</v>
      </c>
      <c r="J3071" s="5" t="s">
        <v>34555</v>
      </c>
      <c r="K3071" s="5" t="s">
        <v>344</v>
      </c>
      <c r="L3071" s="5" t="s">
        <v>34556</v>
      </c>
      <c r="M3071" s="27">
        <v>25269604</v>
      </c>
      <c r="N3071" s="5"/>
      <c r="O3071" s="5" t="str">
        <v>7743526935</v>
      </c>
      <c r="P3071" s="27">
        <v>22500000</v>
      </c>
      <c r="Q3071" s="5" t="s">
        <v>49009</v>
      </c>
      <c r="R3071" s="5"/>
      <c r="S3071" s="5" t="s">
        <v>49093</v>
      </c>
      <c r="T3071" s="28">
        <v>40309000</v>
      </c>
      <c r="U3071" s="28"/>
      <c r="V3071" s="28">
        <v>703114000</v>
      </c>
      <c r="W3071" s="28"/>
      <c r="X3071" s="28">
        <v>2825872000</v>
      </c>
      <c r="Y3071" s="28">
        <v>11464000000</v>
      </c>
      <c r="Z3071" s="28">
        <v>6764165000</v>
      </c>
      <c r="AA3071" s="28">
        <v>2283369000</v>
      </c>
      <c r="AB3071" s="28"/>
      <c r="AC3071" s="28">
        <v>1783919000</v>
      </c>
      <c r="AD3071" s="28">
        <v>6787362000</v>
      </c>
      <c r="AE3071" s="28">
        <v>6333787000</v>
      </c>
      <c r="AF3071" s="28">
        <v>4201543000</v>
      </c>
      <c r="AG3071" s="11"/>
    </row>
    <row r="3072">
      <c r="A3072" s="7" t="s">
        <v>4748</v>
      </c>
      <c r="B3072" s="5" t="s">
        <v>12723</v>
      </c>
      <c r="C3072" s="5" t="s">
        <v>20537</v>
      </c>
      <c r="D3072" s="5" t="str">
        <v>661208532642</v>
      </c>
      <c r="E3072" s="0" t="e">
        <f>+7 (343) 9396613
+7 (343) 2272440
+7 (3439) 396628
+7 (3439) 396633
+7 (3439) 396635
+7 (3439) 396646</f>
        <v>#NAME?</v>
      </c>
      <c r="F3072" s="5" t="s">
        <v>34557</v>
      </c>
      <c r="G3072" s="5" t="s">
        <v>34558</v>
      </c>
      <c r="H3072" s="26">
        <v>14.5</v>
      </c>
      <c r="I3072" s="5" t="s">
        <v>34559</v>
      </c>
      <c r="J3072" s="5" t="s">
        <v>354</v>
      </c>
      <c r="K3072" s="5" t="s">
        <v>355</v>
      </c>
      <c r="L3072" s="5"/>
      <c r="M3072" s="27">
        <v>1225273</v>
      </c>
      <c r="N3072" s="5" t="s">
        <v>54121</v>
      </c>
      <c r="O3072" s="5" t="str">
        <v>6612027056</v>
      </c>
      <c r="P3072" s="27">
        <v>10000</v>
      </c>
      <c r="Q3072" s="5" t="s">
        <v>49009</v>
      </c>
      <c r="R3072" s="5" t="s">
        <v>54122</v>
      </c>
      <c r="S3072" s="5" t="s">
        <v>49045</v>
      </c>
      <c r="T3072" s="28">
        <v>2110000</v>
      </c>
      <c r="U3072" s="28"/>
      <c r="V3072" s="28">
        <v>453082000</v>
      </c>
      <c r="W3072" s="28"/>
      <c r="X3072" s="28">
        <v>380366000</v>
      </c>
      <c r="Y3072" s="28">
        <v>979225000</v>
      </c>
      <c r="Z3072" s="28">
        <v>-1123283000</v>
      </c>
      <c r="AA3072" s="28"/>
      <c r="AB3072" s="28"/>
      <c r="AC3072" s="28">
        <v>2102059000</v>
      </c>
      <c r="AD3072" s="28">
        <v>-12605000</v>
      </c>
      <c r="AE3072" s="28">
        <v>3757633000</v>
      </c>
      <c r="AF3072" s="28">
        <v>-139009000</v>
      </c>
      <c r="AG3072" s="11"/>
    </row>
    <row r="3073">
      <c r="A3073" s="7" t="s">
        <v>4749</v>
      </c>
      <c r="B3073" s="5" t="s">
        <v>12724</v>
      </c>
      <c r="C3073" s="5" t="s">
        <v>17806</v>
      </c>
      <c r="D3073" s="5"/>
      <c r="E3073" s="0" t="e">
        <f>+7 (383) 2892833
+7 (383) 2892840
+7 (383) 2892841
+7 (383) 2892842
+7 (383) 2892844
+7 (383) 2892858
+7 (383) 2892859
+7 (383) 2900010</f>
        <v>#NAME?</v>
      </c>
      <c r="F3073" s="5" t="s">
        <v>34560</v>
      </c>
      <c r="G3073" s="5"/>
      <c r="H3073" s="26">
        <v>15</v>
      </c>
      <c r="I3073" s="5" t="s">
        <v>34561</v>
      </c>
      <c r="J3073" s="5" t="s">
        <v>32041</v>
      </c>
      <c r="K3073" s="5" t="s">
        <v>355</v>
      </c>
      <c r="L3073" s="5"/>
      <c r="M3073" s="27"/>
      <c r="N3073" s="5"/>
      <c r="O3073" s="5" t="str">
        <v>5433171911</v>
      </c>
      <c r="P3073" s="27">
        <v>26810000</v>
      </c>
      <c r="Q3073" s="5"/>
      <c r="R3073" s="5"/>
      <c r="S3073" s="5" t="s">
        <v>49029</v>
      </c>
      <c r="T3073" s="28">
        <v>134520000</v>
      </c>
      <c r="U3073" s="28"/>
      <c r="V3073" s="28">
        <v>1864361000</v>
      </c>
      <c r="W3073" s="28">
        <v>670323000</v>
      </c>
      <c r="X3073" s="28">
        <v>16945000</v>
      </c>
      <c r="Y3073" s="28">
        <v>3264934000</v>
      </c>
      <c r="Z3073" s="28">
        <v>434751000</v>
      </c>
      <c r="AA3073" s="28"/>
      <c r="AB3073" s="28">
        <v>1162325000</v>
      </c>
      <c r="AC3073" s="28">
        <v>2798759000</v>
      </c>
      <c r="AD3073" s="28">
        <v>462902000</v>
      </c>
      <c r="AE3073" s="28">
        <v>11953342000</v>
      </c>
      <c r="AF3073" s="28">
        <v>21202000</v>
      </c>
      <c r="AG3073" s="11"/>
    </row>
    <row r="3074">
      <c r="A3074" s="7" t="s">
        <v>4750</v>
      </c>
      <c r="B3074" s="5" t="s">
        <v>12725</v>
      </c>
      <c r="C3074" s="5" t="s">
        <v>17806</v>
      </c>
      <c r="D3074" s="5"/>
      <c r="E3074" s="0" t="e">
        <f>+7 (383) 2900020
+7 (383) 2900028
+7 (383) 2972275
+7 (383) 2974991</f>
        <v>#NAME?</v>
      </c>
      <c r="F3074" s="5" t="s">
        <v>34562</v>
      </c>
      <c r="G3074" s="5"/>
      <c r="H3074" s="26">
        <v>22</v>
      </c>
      <c r="I3074" s="5"/>
      <c r="J3074" s="5" t="s">
        <v>25371</v>
      </c>
      <c r="K3074" s="5" t="s">
        <v>380</v>
      </c>
      <c r="L3074" s="5" t="s">
        <v>34563</v>
      </c>
      <c r="M3074" s="27">
        <v>120412358</v>
      </c>
      <c r="N3074" s="5" t="s">
        <v>49923</v>
      </c>
      <c r="O3074" s="5" t="str">
        <v>5433142195</v>
      </c>
      <c r="P3074" s="27">
        <v>123226000</v>
      </c>
      <c r="Q3074" s="5" t="s">
        <v>49009</v>
      </c>
      <c r="R3074" s="5"/>
      <c r="S3074" s="5" t="s">
        <v>49028</v>
      </c>
      <c r="T3074" s="28">
        <v>10473083000</v>
      </c>
      <c r="U3074" s="28">
        <v>199709000</v>
      </c>
      <c r="V3074" s="28">
        <v>2949707000</v>
      </c>
      <c r="W3074" s="28">
        <v>1350223000</v>
      </c>
      <c r="X3074" s="28">
        <v>3473000</v>
      </c>
      <c r="Y3074" s="28">
        <v>20985473000</v>
      </c>
      <c r="Z3074" s="28">
        <v>7101315000</v>
      </c>
      <c r="AA3074" s="28">
        <v>7164413000</v>
      </c>
      <c r="AB3074" s="28">
        <v>3403107000</v>
      </c>
      <c r="AC3074" s="28">
        <v>6375886000</v>
      </c>
      <c r="AD3074" s="28">
        <v>7663773000</v>
      </c>
      <c r="AE3074" s="28">
        <v>10746570000</v>
      </c>
      <c r="AF3074" s="28">
        <v>1049773000</v>
      </c>
      <c r="AG3074" s="11"/>
    </row>
    <row r="3075">
      <c r="A3075" s="7" t="s">
        <v>4751</v>
      </c>
      <c r="B3075" s="5" t="s">
        <v>12726</v>
      </c>
      <c r="C3075" s="5" t="s">
        <v>20538</v>
      </c>
      <c r="D3075" s="5" t="str">
        <v>182799193440</v>
      </c>
      <c r="E3075" s="0" t="e">
        <f>+7 (987) 5501812
+7 (83142) 21523
+7 (83142) 21529
+7 (83142) 21537
+7 (83170) 32040
+7 (83170) 32041
+7 (83170) 32042
+7 (83170) 32043
+7 (83170) 32083
+7 (83170) 33319
+7 (83170) 33364
+7 (902) 6814351</f>
        <v>#NAME?</v>
      </c>
      <c r="F3075" s="5" t="s">
        <v>34564</v>
      </c>
      <c r="G3075" s="5"/>
      <c r="H3075" s="26">
        <v>10.5</v>
      </c>
      <c r="I3075" s="5" t="s">
        <v>34565</v>
      </c>
      <c r="J3075" s="5" t="s">
        <v>28603</v>
      </c>
      <c r="K3075" s="5" t="s">
        <v>344</v>
      </c>
      <c r="L3075" s="5"/>
      <c r="M3075" s="27">
        <v>8540100</v>
      </c>
      <c r="N3075" s="5" t="s">
        <v>54125</v>
      </c>
      <c r="O3075" s="5" t="str">
        <v>5260339860</v>
      </c>
      <c r="P3075" s="27">
        <v>100000</v>
      </c>
      <c r="Q3075" s="5" t="s">
        <v>49057</v>
      </c>
      <c r="R3075" s="5" t="s">
        <v>54126</v>
      </c>
      <c r="S3075" s="5" t="s">
        <v>50961</v>
      </c>
      <c r="T3075" s="28">
        <v>193877000</v>
      </c>
      <c r="U3075" s="28"/>
      <c r="V3075" s="28">
        <v>758235000</v>
      </c>
      <c r="W3075" s="28">
        <v>105700000</v>
      </c>
      <c r="X3075" s="28">
        <v>34013000</v>
      </c>
      <c r="Y3075" s="28">
        <v>1380403000</v>
      </c>
      <c r="Z3075" s="28">
        <v>47114000</v>
      </c>
      <c r="AA3075" s="28">
        <v>366051000</v>
      </c>
      <c r="AB3075" s="28">
        <v>414456000</v>
      </c>
      <c r="AC3075" s="28">
        <v>920466000</v>
      </c>
      <c r="AD3075" s="28">
        <v>75643000</v>
      </c>
      <c r="AE3075" s="28">
        <v>4053500000</v>
      </c>
      <c r="AF3075" s="28">
        <v>93363000</v>
      </c>
      <c r="AG3075" s="11"/>
    </row>
    <row r="3076">
      <c r="A3076" s="7" t="s">
        <v>4752</v>
      </c>
      <c r="B3076" s="5" t="s">
        <v>12727</v>
      </c>
      <c r="C3076" s="5" t="s">
        <v>20539</v>
      </c>
      <c r="D3076" s="5" t="str">
        <v>593901210842</v>
      </c>
      <c r="E3076" s="0" t="e">
        <f>+7 (34262) 31662
+7 (34262) 31716
+7 (34262) 31732
+7 (34262) 31762
+7 (34262) 35463</f>
        <v>#NAME?</v>
      </c>
      <c r="F3076" s="5" t="s">
        <v>34566</v>
      </c>
      <c r="G3076" s="5"/>
      <c r="H3076" s="26">
        <v>17.5</v>
      </c>
      <c r="I3076" s="5" t="s">
        <v>34567</v>
      </c>
      <c r="J3076" s="5" t="s">
        <v>26128</v>
      </c>
      <c r="K3076" s="5" t="s">
        <v>355</v>
      </c>
      <c r="L3076" s="5" t="s">
        <v>34568</v>
      </c>
      <c r="M3076" s="27"/>
      <c r="N3076" s="5"/>
      <c r="O3076" s="5" t="str">
        <v>5957004185</v>
      </c>
      <c r="P3076" s="27">
        <v>7200000</v>
      </c>
      <c r="Q3076" s="5"/>
      <c r="R3076" s="5"/>
      <c r="S3076" s="5" t="s">
        <v>49425</v>
      </c>
      <c r="T3076" s="28">
        <v>333720000</v>
      </c>
      <c r="U3076" s="28">
        <v>194840000</v>
      </c>
      <c r="V3076" s="28">
        <v>242070000</v>
      </c>
      <c r="W3076" s="28"/>
      <c r="X3076" s="28">
        <v>28755000</v>
      </c>
      <c r="Y3076" s="28">
        <v>803419000</v>
      </c>
      <c r="Z3076" s="28">
        <v>84563000</v>
      </c>
      <c r="AA3076" s="28"/>
      <c r="AB3076" s="28">
        <v>71100000</v>
      </c>
      <c r="AC3076" s="28">
        <v>711656000</v>
      </c>
      <c r="AD3076" s="28">
        <v>91763000</v>
      </c>
      <c r="AE3076" s="28">
        <v>3171481000</v>
      </c>
      <c r="AF3076" s="28">
        <v>24028000</v>
      </c>
      <c r="AG3076" s="11"/>
    </row>
    <row r="3077">
      <c r="A3077" s="7" t="s">
        <v>4753</v>
      </c>
      <c r="B3077" s="5" t="s">
        <v>12728</v>
      </c>
      <c r="C3077" s="5" t="s">
        <v>20540</v>
      </c>
      <c r="D3077" s="5" t="str">
        <v>420211778403</v>
      </c>
      <c r="E3077" s="0" t="e">
        <f>+7 (3843) 756486
+7 (960) 9133377
+7 (962) 6990644</f>
        <v>#NAME?</v>
      </c>
      <c r="F3077" s="5" t="s">
        <v>34569</v>
      </c>
      <c r="G3077" s="5"/>
      <c r="H3077" s="26">
        <v>6.5</v>
      </c>
      <c r="I3077" s="5" t="s">
        <v>34570</v>
      </c>
      <c r="J3077" s="5" t="s">
        <v>533</v>
      </c>
      <c r="K3077" s="5" t="s">
        <v>355</v>
      </c>
      <c r="L3077" s="5" t="s">
        <v>34571</v>
      </c>
      <c r="M3077" s="27">
        <v>24665576</v>
      </c>
      <c r="N3077" s="5"/>
      <c r="O3077" s="5" t="str">
        <v>5405984792</v>
      </c>
      <c r="P3077" s="27">
        <v>10000</v>
      </c>
      <c r="Q3077" s="5"/>
      <c r="R3077" s="5"/>
      <c r="S3077" s="5" t="s">
        <v>49121</v>
      </c>
      <c r="T3077" s="28">
        <v>5160000</v>
      </c>
      <c r="U3077" s="28"/>
      <c r="V3077" s="28">
        <v>203983000</v>
      </c>
      <c r="W3077" s="28">
        <v>485723000</v>
      </c>
      <c r="X3077" s="28">
        <v>49000</v>
      </c>
      <c r="Y3077" s="28">
        <v>2869302000</v>
      </c>
      <c r="Z3077" s="28">
        <v>123226000</v>
      </c>
      <c r="AA3077" s="28">
        <v>54736000</v>
      </c>
      <c r="AB3077" s="28">
        <v>221923000</v>
      </c>
      <c r="AC3077" s="28">
        <v>2691330000</v>
      </c>
      <c r="AD3077" s="28">
        <v>123236000</v>
      </c>
      <c r="AE3077" s="28">
        <v>3229987000</v>
      </c>
      <c r="AF3077" s="28">
        <v>8087000</v>
      </c>
      <c r="AG3077" s="11"/>
    </row>
    <row r="3078">
      <c r="A3078" s="7" t="s">
        <v>4754</v>
      </c>
      <c r="B3078" s="5" t="s">
        <v>12729</v>
      </c>
      <c r="C3078" s="5" t="s">
        <v>20541</v>
      </c>
      <c r="D3078" s="5" t="str">
        <v>781122081584</v>
      </c>
      <c r="E3078" s="0" t="e">
        <f>+7 (8142) 766725
+7 (8142) 772849</f>
        <v>#NAME?</v>
      </c>
      <c r="F3078" s="5" t="s">
        <v>34572</v>
      </c>
      <c r="G3078" s="5"/>
      <c r="H3078" s="26">
        <v>20.5</v>
      </c>
      <c r="I3078" s="5" t="s">
        <v>34573</v>
      </c>
      <c r="J3078" s="5" t="s">
        <v>34574</v>
      </c>
      <c r="K3078" s="5" t="s">
        <v>355</v>
      </c>
      <c r="L3078" s="5"/>
      <c r="M3078" s="27">
        <v>848420</v>
      </c>
      <c r="N3078" s="5"/>
      <c r="O3078" s="5" t="str">
        <v>1001138331</v>
      </c>
      <c r="P3078" s="27">
        <v>902820</v>
      </c>
      <c r="Q3078" s="5" t="s">
        <v>54128</v>
      </c>
      <c r="R3078" s="5"/>
      <c r="S3078" s="5" t="s">
        <v>53177</v>
      </c>
      <c r="T3078" s="28">
        <v>3737452000</v>
      </c>
      <c r="U3078" s="28"/>
      <c r="V3078" s="28">
        <v>8527857000</v>
      </c>
      <c r="W3078" s="28"/>
      <c r="X3078" s="28">
        <v>147694000</v>
      </c>
      <c r="Y3078" s="28">
        <v>13736405000</v>
      </c>
      <c r="Z3078" s="28">
        <v>4599279000</v>
      </c>
      <c r="AA3078" s="28"/>
      <c r="AB3078" s="28"/>
      <c r="AC3078" s="28">
        <v>8845721000</v>
      </c>
      <c r="AD3078" s="28">
        <v>4600182000</v>
      </c>
      <c r="AE3078" s="28">
        <v>19357917000</v>
      </c>
      <c r="AF3078" s="28">
        <v>1464864000</v>
      </c>
      <c r="AG3078" s="11"/>
    </row>
    <row r="3079">
      <c r="A3079" s="7" t="s">
        <v>4755</v>
      </c>
      <c r="B3079" s="5" t="s">
        <v>12730</v>
      </c>
      <c r="C3079" s="5" t="s">
        <v>20542</v>
      </c>
      <c r="D3079" s="5" t="str">
        <v>420502925596</v>
      </c>
      <c r="E3079" s="0" t="e">
        <f>+7 (951) 5792154
+7 (384) 2455879
+7 (960) 9104282</f>
        <v>#NAME?</v>
      </c>
      <c r="F3079" s="5" t="s">
        <v>34575</v>
      </c>
      <c r="G3079" s="5"/>
      <c r="H3079" s="26">
        <v>21</v>
      </c>
      <c r="I3079" s="5" t="s">
        <v>34576</v>
      </c>
      <c r="J3079" s="5" t="s">
        <v>467</v>
      </c>
      <c r="K3079" s="5" t="s">
        <v>344</v>
      </c>
      <c r="L3079" s="5" t="s">
        <v>34577</v>
      </c>
      <c r="M3079" s="27">
        <v>1631263</v>
      </c>
      <c r="N3079" s="5" t="s">
        <v>54129</v>
      </c>
      <c r="O3079" s="5" t="str">
        <v>4205028501</v>
      </c>
      <c r="P3079" s="27">
        <v>20000</v>
      </c>
      <c r="Q3079" s="5" t="s">
        <v>54130</v>
      </c>
      <c r="R3079" s="5"/>
      <c r="S3079" s="5" t="s">
        <v>54131</v>
      </c>
      <c r="T3079" s="28">
        <v>791427000</v>
      </c>
      <c r="U3079" s="28">
        <v>223456000</v>
      </c>
      <c r="V3079" s="28">
        <v>1078149000</v>
      </c>
      <c r="W3079" s="28"/>
      <c r="X3079" s="28">
        <v>1424827000</v>
      </c>
      <c r="Y3079" s="28">
        <v>4840424000</v>
      </c>
      <c r="Z3079" s="28">
        <v>3418614000</v>
      </c>
      <c r="AA3079" s="28"/>
      <c r="AB3079" s="28">
        <v>6244000</v>
      </c>
      <c r="AC3079" s="28">
        <v>1017869000</v>
      </c>
      <c r="AD3079" s="28">
        <v>3418637000</v>
      </c>
      <c r="AE3079" s="28">
        <v>4207497000</v>
      </c>
      <c r="AF3079" s="28">
        <v>483178000</v>
      </c>
      <c r="AG3079" s="11"/>
    </row>
    <row r="3080">
      <c r="A3080" s="7" t="s">
        <v>4756</v>
      </c>
      <c r="B3080" s="5" t="s">
        <v>12731</v>
      </c>
      <c r="C3080" s="5" t="s">
        <v>18146</v>
      </c>
      <c r="D3080" s="5"/>
      <c r="E3080" s="0" t="e">
        <f>+7 (383) 3250073
+7 (383) 3250880
+7 (383) 3250076</f>
        <v>#NAME?</v>
      </c>
      <c r="F3080" s="5" t="s">
        <v>34578</v>
      </c>
      <c r="G3080" s="5" t="s">
        <v>34579</v>
      </c>
      <c r="H3080" s="26">
        <v>21.5</v>
      </c>
      <c r="I3080" s="5" t="s">
        <v>34580</v>
      </c>
      <c r="J3080" s="5" t="s">
        <v>26325</v>
      </c>
      <c r="K3080" s="5" t="s">
        <v>344</v>
      </c>
      <c r="L3080" s="5" t="s">
        <v>34581</v>
      </c>
      <c r="M3080" s="27"/>
      <c r="N3080" s="5" t="s">
        <v>54132</v>
      </c>
      <c r="O3080" s="5" t="str">
        <v>4229004820</v>
      </c>
      <c r="P3080" s="27">
        <v>207000000</v>
      </c>
      <c r="Q3080" s="5" t="s">
        <v>54133</v>
      </c>
      <c r="R3080" s="5"/>
      <c r="S3080" s="5" t="s">
        <v>54134</v>
      </c>
      <c r="T3080" s="28">
        <v>6327485000</v>
      </c>
      <c r="U3080" s="28"/>
      <c r="V3080" s="28">
        <v>530966000</v>
      </c>
      <c r="W3080" s="28"/>
      <c r="X3080" s="28">
        <v>28241000</v>
      </c>
      <c r="Y3080" s="28">
        <v>6956462000</v>
      </c>
      <c r="Z3080" s="28">
        <v>2145251000</v>
      </c>
      <c r="AA3080" s="28"/>
      <c r="AB3080" s="28">
        <v>3000</v>
      </c>
      <c r="AC3080" s="28">
        <v>1046485000</v>
      </c>
      <c r="AD3080" s="28">
        <v>2352251000</v>
      </c>
      <c r="AE3080" s="28">
        <v>5841184000</v>
      </c>
      <c r="AF3080" s="28">
        <v>984014000</v>
      </c>
      <c r="AG3080" s="11"/>
    </row>
    <row r="3081">
      <c r="A3081" s="7" t="s">
        <v>4757</v>
      </c>
      <c r="B3081" s="5" t="s">
        <v>12732</v>
      </c>
      <c r="C3081" s="5" t="s">
        <v>20543</v>
      </c>
      <c r="D3081" s="5" t="str">
        <v>772019195784</v>
      </c>
      <c r="E3081" s="0" t="e">
        <f>+7 (926) 2028442
+7 (499) 7501664</f>
        <v>#NAME?</v>
      </c>
      <c r="F3081" s="5" t="s">
        <v>34582</v>
      </c>
      <c r="G3081" s="5"/>
      <c r="H3081" s="26">
        <v>8</v>
      </c>
      <c r="I3081" s="5" t="s">
        <v>34583</v>
      </c>
      <c r="J3081" s="5" t="s">
        <v>27296</v>
      </c>
      <c r="K3081" s="5" t="s">
        <v>344</v>
      </c>
      <c r="L3081" s="5" t="s">
        <v>34584</v>
      </c>
      <c r="M3081" s="27"/>
      <c r="N3081" s="5"/>
      <c r="O3081" s="5" t="str">
        <v>7710490842</v>
      </c>
      <c r="P3081" s="27">
        <v>100000</v>
      </c>
      <c r="Q3081" s="5" t="s">
        <v>49009</v>
      </c>
      <c r="R3081" s="5"/>
      <c r="S3081" s="5" t="s">
        <v>49010</v>
      </c>
      <c r="T3081" s="28">
        <v>106625000</v>
      </c>
      <c r="U3081" s="28">
        <v>756030000</v>
      </c>
      <c r="V3081" s="28">
        <v>407066000</v>
      </c>
      <c r="W3081" s="28"/>
      <c r="X3081" s="28">
        <v>2342000</v>
      </c>
      <c r="Y3081" s="28">
        <v>1344962000</v>
      </c>
      <c r="Z3081" s="28">
        <v>474000</v>
      </c>
      <c r="AA3081" s="28"/>
      <c r="AB3081" s="28"/>
      <c r="AC3081" s="28">
        <v>1335241000</v>
      </c>
      <c r="AD3081" s="28">
        <v>574000</v>
      </c>
      <c r="AE3081" s="28">
        <v>8211927000</v>
      </c>
      <c r="AF3081" s="28">
        <v>601735000</v>
      </c>
      <c r="AG3081" s="11"/>
    </row>
    <row r="3082">
      <c r="A3082" s="7" t="s">
        <v>4758</v>
      </c>
      <c r="B3082" s="5" t="s">
        <v>12320</v>
      </c>
      <c r="C3082" s="5" t="s">
        <v>17665</v>
      </c>
      <c r="D3082" s="5"/>
      <c r="E3082" s="0" t="e">
        <f>+7 (384) 2313636
+7 (384) 2366848
+7 (384) 2453304
+7 (384) 2455025
+7 (38452) 61339
+7 (38452) 70269
+7 (38452) 92916
+7 (38452) 96319
+7 (38452) 97096
+7 (38452) 97527
+7 (38452) 97530
+7 (384) 2454081
+7 (384) 2455856
+7 (3843) 454634
+7 (3843) 455540</f>
        <v>#NAME?</v>
      </c>
      <c r="F3082" s="5" t="s">
        <v>34585</v>
      </c>
      <c r="G3082" s="5" t="s">
        <v>34586</v>
      </c>
      <c r="H3082" s="26">
        <v>29</v>
      </c>
      <c r="I3082" s="5"/>
      <c r="J3082" s="5" t="s">
        <v>25295</v>
      </c>
      <c r="K3082" s="5" t="s">
        <v>344</v>
      </c>
      <c r="L3082" s="5" t="s">
        <v>34587</v>
      </c>
      <c r="M3082" s="27">
        <v>8158123</v>
      </c>
      <c r="N3082" s="5" t="s">
        <v>54135</v>
      </c>
      <c r="O3082" s="5" t="str">
        <v>4200000333</v>
      </c>
      <c r="P3082" s="27">
        <v>888975152</v>
      </c>
      <c r="Q3082" s="5" t="s">
        <v>54136</v>
      </c>
      <c r="R3082" s="5" t="s">
        <v>54137</v>
      </c>
      <c r="S3082" s="5" t="s">
        <v>49288</v>
      </c>
      <c r="T3082" s="28">
        <v>61523182000</v>
      </c>
      <c r="U3082" s="28">
        <v>36818968000</v>
      </c>
      <c r="V3082" s="28">
        <v>6988263000</v>
      </c>
      <c r="W3082" s="28"/>
      <c r="X3082" s="28">
        <v>195962000</v>
      </c>
      <c r="Y3082" s="28">
        <v>122646260000</v>
      </c>
      <c r="Z3082" s="28">
        <v>24846572000</v>
      </c>
      <c r="AA3082" s="28">
        <v>24425293000</v>
      </c>
      <c r="AB3082" s="28">
        <v>54009436000</v>
      </c>
      <c r="AC3082" s="28">
        <v>62780636000</v>
      </c>
      <c r="AD3082" s="28">
        <v>25999880000</v>
      </c>
      <c r="AE3082" s="28">
        <v>77434631000</v>
      </c>
      <c r="AF3082" s="28">
        <v>12295876000</v>
      </c>
      <c r="AG3082" s="11"/>
    </row>
    <row r="3083">
      <c r="A3083" s="7" t="s">
        <v>4759</v>
      </c>
      <c r="B3083" s="5" t="s">
        <v>12733</v>
      </c>
      <c r="C3083" s="5" t="s">
        <v>20544</v>
      </c>
      <c r="D3083" s="5" t="str">
        <v>420525333518</v>
      </c>
      <c r="E3083" s="0" t="e">
        <f>+7 (3517) 252434
+7 (3517) 254241
+7 (383) 2931962
+7 (384) 2303030
+7 (384) 2349574
+7 (384) 2358144
+7 (384) 2360829
+7 (384) 2364589
+7 (384) 2365875
+7 (384) 2453017
+7 (384) 2326254
+7 (384) 2350647
+7 (384) 2351284
+7 (384) 2453023
+7 (384) 2453042</f>
        <v>#NAME?</v>
      </c>
      <c r="F3083" s="5" t="s">
        <v>34588</v>
      </c>
      <c r="G3083" s="5" t="s">
        <v>34589</v>
      </c>
      <c r="H3083" s="26">
        <v>29</v>
      </c>
      <c r="I3083" s="5" t="s">
        <v>34590</v>
      </c>
      <c r="J3083" s="5" t="s">
        <v>26623</v>
      </c>
      <c r="K3083" s="5" t="s">
        <v>344</v>
      </c>
      <c r="L3083" s="5" t="s">
        <v>34591</v>
      </c>
      <c r="M3083" s="27">
        <v>15133409</v>
      </c>
      <c r="N3083" s="5" t="s">
        <v>54138</v>
      </c>
      <c r="O3083" s="5" t="str">
        <v>4205109214</v>
      </c>
      <c r="P3083" s="27">
        <v>30308190</v>
      </c>
      <c r="Q3083" s="5" t="s">
        <v>54139</v>
      </c>
      <c r="R3083" s="5"/>
      <c r="S3083" s="5" t="s">
        <v>49271</v>
      </c>
      <c r="T3083" s="28">
        <v>653047000</v>
      </c>
      <c r="U3083" s="28">
        <v>100000000</v>
      </c>
      <c r="V3083" s="28">
        <v>3249310000</v>
      </c>
      <c r="W3083" s="28"/>
      <c r="X3083" s="28">
        <v>7729466000</v>
      </c>
      <c r="Y3083" s="28">
        <v>11856948000</v>
      </c>
      <c r="Z3083" s="28">
        <v>9021621000</v>
      </c>
      <c r="AA3083" s="28"/>
      <c r="AB3083" s="28"/>
      <c r="AC3083" s="28">
        <v>2551235000</v>
      </c>
      <c r="AD3083" s="28">
        <v>9053444000</v>
      </c>
      <c r="AE3083" s="28">
        <v>30164796000</v>
      </c>
      <c r="AF3083" s="28">
        <v>1013167000</v>
      </c>
      <c r="AG3083" s="11"/>
    </row>
    <row r="3084">
      <c r="A3084" s="7" t="s">
        <v>4760</v>
      </c>
      <c r="B3084" s="5" t="s">
        <v>12320</v>
      </c>
      <c r="C3084" s="5" t="s">
        <v>17665</v>
      </c>
      <c r="D3084" s="5"/>
      <c r="E3084" s="0" t="e">
        <f>+7 (384) 2351598
+7 (384) 2453513
+7 (384) 2453559
+7 (384) 2454040
+7 (3843) 351598
+7 (3843) 353701
+7 (3843) 357566
+7 (3843) 370682
+7 (3843) 375138
+7 (3843) 394354
+7 (3843) 454000
+7 (3843) 469400
+7 (384) 2353709
+7 (384) 2453777
+7 (3843) 371792</f>
        <v>#NAME?</v>
      </c>
      <c r="F3084" s="5" t="s">
        <v>34592</v>
      </c>
      <c r="G3084" s="5" t="s">
        <v>34593</v>
      </c>
      <c r="H3084" s="26">
        <v>11</v>
      </c>
      <c r="I3084" s="5"/>
      <c r="J3084" s="5" t="s">
        <v>25295</v>
      </c>
      <c r="K3084" s="5" t="s">
        <v>355</v>
      </c>
      <c r="L3084" s="5"/>
      <c r="M3084" s="27"/>
      <c r="N3084" s="5" t="s">
        <v>54140</v>
      </c>
      <c r="O3084" s="5" t="str">
        <v>4205243178</v>
      </c>
      <c r="P3084" s="27">
        <v>706759848</v>
      </c>
      <c r="Q3084" s="5" t="s">
        <v>54141</v>
      </c>
      <c r="R3084" s="5"/>
      <c r="S3084" s="5" t="s">
        <v>49032</v>
      </c>
      <c r="T3084" s="28">
        <v>3352707000</v>
      </c>
      <c r="U3084" s="28"/>
      <c r="V3084" s="28">
        <v>584568000</v>
      </c>
      <c r="W3084" s="28"/>
      <c r="X3084" s="28">
        <v>1527000</v>
      </c>
      <c r="Y3084" s="28">
        <v>4146471000</v>
      </c>
      <c r="Z3084" s="28">
        <v>1036039000</v>
      </c>
      <c r="AA3084" s="28"/>
      <c r="AB3084" s="28">
        <v>298036000</v>
      </c>
      <c r="AC3084" s="28">
        <v>887933000</v>
      </c>
      <c r="AD3084" s="28">
        <v>3057730000</v>
      </c>
      <c r="AE3084" s="28">
        <v>3258896000</v>
      </c>
      <c r="AF3084" s="28">
        <v>-474583000</v>
      </c>
      <c r="AG3084" s="11"/>
    </row>
    <row r="3085">
      <c r="A3085" s="7" t="s">
        <v>4761</v>
      </c>
      <c r="B3085" s="5" t="s">
        <v>12734</v>
      </c>
      <c r="C3085" s="5" t="s">
        <v>20545</v>
      </c>
      <c r="D3085" s="5" t="str">
        <v>421700493163</v>
      </c>
      <c r="E3085" s="0" t="e">
        <f>+7 (3843) 450990
+7 (3843) 320016
+7 (3843) 324256
+7 (3843) 324258
+7 (3843) 324266
+7 (3843) 324270
+7 (3843) 324276
+7 (3843) 527827
+7 (950) 5794909</f>
        <v>#NAME?</v>
      </c>
      <c r="F3085" s="5" t="s">
        <v>34594</v>
      </c>
      <c r="G3085" s="5" t="s">
        <v>34595</v>
      </c>
      <c r="H3085" s="26">
        <v>26</v>
      </c>
      <c r="I3085" s="5" t="s">
        <v>34596</v>
      </c>
      <c r="J3085" s="5" t="s">
        <v>445</v>
      </c>
      <c r="K3085" s="5" t="s">
        <v>344</v>
      </c>
      <c r="L3085" s="5"/>
      <c r="M3085" s="27">
        <v>36071</v>
      </c>
      <c r="N3085" s="5" t="s">
        <v>54142</v>
      </c>
      <c r="O3085" s="5" t="str">
        <v>4217031675</v>
      </c>
      <c r="P3085" s="27">
        <v>8400</v>
      </c>
      <c r="Q3085" s="5" t="s">
        <v>54143</v>
      </c>
      <c r="R3085" s="5"/>
      <c r="S3085" s="5" t="s">
        <v>54144</v>
      </c>
      <c r="T3085" s="28">
        <v>85134000</v>
      </c>
      <c r="U3085" s="28">
        <v>75000</v>
      </c>
      <c r="V3085" s="28">
        <v>359575000</v>
      </c>
      <c r="W3085" s="28">
        <v>304000</v>
      </c>
      <c r="X3085" s="28">
        <v>128942000</v>
      </c>
      <c r="Y3085" s="28">
        <v>1501071000</v>
      </c>
      <c r="Z3085" s="28">
        <v>346324000</v>
      </c>
      <c r="AA3085" s="28">
        <v>20000000</v>
      </c>
      <c r="AB3085" s="28">
        <v>31000</v>
      </c>
      <c r="AC3085" s="28">
        <v>1002171000</v>
      </c>
      <c r="AD3085" s="28">
        <v>346332000</v>
      </c>
      <c r="AE3085" s="28">
        <v>3011040000</v>
      </c>
      <c r="AF3085" s="28">
        <v>115251000</v>
      </c>
      <c r="AG3085" s="11"/>
    </row>
    <row r="3086">
      <c r="A3086" s="7" t="s">
        <v>4762</v>
      </c>
      <c r="B3086" s="5" t="s">
        <v>12735</v>
      </c>
      <c r="C3086" s="5" t="s">
        <v>20546</v>
      </c>
      <c r="D3086" s="5" t="str">
        <v>620901005525</v>
      </c>
      <c r="E3086" s="0" t="e">
        <f>+7 (495) 6604150
+7 (8412) 302182
+7 (927) 3604111</f>
        <v>#NAME?</v>
      </c>
      <c r="F3086" s="5" t="s">
        <v>34597</v>
      </c>
      <c r="G3086" s="5" t="s">
        <v>34598</v>
      </c>
      <c r="H3086" s="26">
        <v>7</v>
      </c>
      <c r="I3086" s="5" t="s">
        <v>34599</v>
      </c>
      <c r="J3086" s="5" t="s">
        <v>26851</v>
      </c>
      <c r="K3086" s="5" t="s">
        <v>344</v>
      </c>
      <c r="L3086" s="5"/>
      <c r="M3086" s="27"/>
      <c r="N3086" s="5" t="s">
        <v>54145</v>
      </c>
      <c r="O3086" s="5" t="str">
        <v>5803027055</v>
      </c>
      <c r="P3086" s="27">
        <v>1600000000</v>
      </c>
      <c r="Q3086" s="5"/>
      <c r="R3086" s="5"/>
      <c r="S3086" s="5" t="s">
        <v>49425</v>
      </c>
      <c r="T3086" s="28">
        <v>3851905000</v>
      </c>
      <c r="U3086" s="28">
        <v>10080000</v>
      </c>
      <c r="V3086" s="28">
        <v>385246000</v>
      </c>
      <c r="W3086" s="28">
        <v>10000000</v>
      </c>
      <c r="X3086" s="28">
        <v>266697000</v>
      </c>
      <c r="Y3086" s="28">
        <v>5357142000</v>
      </c>
      <c r="Z3086" s="28">
        <v>-528267000</v>
      </c>
      <c r="AA3086" s="28">
        <v>1837943000</v>
      </c>
      <c r="AB3086" s="28">
        <v>508181000</v>
      </c>
      <c r="AC3086" s="28">
        <v>2306259000</v>
      </c>
      <c r="AD3086" s="28">
        <v>1071733000</v>
      </c>
      <c r="AE3086" s="28">
        <v>4643540000</v>
      </c>
      <c r="AF3086" s="28">
        <v>-150760000</v>
      </c>
      <c r="AG3086" s="11"/>
    </row>
    <row r="3087">
      <c r="A3087" s="7" t="s">
        <v>4763</v>
      </c>
      <c r="B3087" s="5" t="s">
        <v>12736</v>
      </c>
      <c r="C3087" s="5" t="s">
        <v>20547</v>
      </c>
      <c r="D3087" s="5" t="str">
        <v>422201348980</v>
      </c>
      <c r="E3087" s="0" t="e">
        <f>+7 (3843) 464033
+7 (3843) 538044
+7 (3843) 538844
+7 (3843) 369492
+7 (3843) 781555
+7 (3843) 993390
+7 (961) 7281815</f>
        <v>#NAME?</v>
      </c>
      <c r="F3087" s="5" t="s">
        <v>34600</v>
      </c>
      <c r="G3087" s="5" t="s">
        <v>34601</v>
      </c>
      <c r="H3087" s="26">
        <v>20.5</v>
      </c>
      <c r="I3087" s="5"/>
      <c r="J3087" s="5" t="s">
        <v>28484</v>
      </c>
      <c r="K3087" s="5" t="s">
        <v>344</v>
      </c>
      <c r="L3087" s="5" t="s">
        <v>34602</v>
      </c>
      <c r="M3087" s="27"/>
      <c r="N3087" s="5" t="s">
        <v>54146</v>
      </c>
      <c r="O3087" s="5" t="str">
        <v>4220014581</v>
      </c>
      <c r="P3087" s="27">
        <v>110000000</v>
      </c>
      <c r="Q3087" s="5"/>
      <c r="R3087" s="5"/>
      <c r="S3087" s="5" t="s">
        <v>49047</v>
      </c>
      <c r="T3087" s="28">
        <v>4844518000</v>
      </c>
      <c r="U3087" s="28">
        <v>296144000</v>
      </c>
      <c r="V3087" s="28">
        <v>1842272000</v>
      </c>
      <c r="W3087" s="28"/>
      <c r="X3087" s="28">
        <v>685866000</v>
      </c>
      <c r="Y3087" s="28">
        <v>9882437000</v>
      </c>
      <c r="Z3087" s="28">
        <v>3340433000</v>
      </c>
      <c r="AA3087" s="28">
        <v>393132000</v>
      </c>
      <c r="AB3087" s="28">
        <v>1588947000</v>
      </c>
      <c r="AC3087" s="28">
        <v>4310289000</v>
      </c>
      <c r="AD3087" s="28">
        <v>4406239000</v>
      </c>
      <c r="AE3087" s="28">
        <v>10905212000</v>
      </c>
      <c r="AF3087" s="28">
        <v>1440601000</v>
      </c>
      <c r="AG3087" s="11"/>
    </row>
    <row r="3088">
      <c r="A3088" s="7" t="s">
        <v>4764</v>
      </c>
      <c r="B3088" s="5" t="s">
        <v>12737</v>
      </c>
      <c r="C3088" s="5" t="s">
        <v>20548</v>
      </c>
      <c r="D3088" s="5"/>
      <c r="E3088" s="0" t="e">
        <f>+7 (912) 7708686
+7 (902) 3621228
+7 (937) 5621765
+7 (966) 7891564</f>
        <v>#NAME?</v>
      </c>
      <c r="F3088" s="5" t="s">
        <v>34603</v>
      </c>
      <c r="G3088" s="5" t="s">
        <v>34604</v>
      </c>
      <c r="H3088" s="26">
        <v>5</v>
      </c>
      <c r="I3088" s="5" t="s">
        <v>34605</v>
      </c>
      <c r="J3088" s="5" t="s">
        <v>34606</v>
      </c>
      <c r="K3088" s="5" t="s">
        <v>355</v>
      </c>
      <c r="L3088" s="5"/>
      <c r="M3088" s="27"/>
      <c r="N3088" s="5"/>
      <c r="O3088" s="5" t="str">
        <v>3453005281</v>
      </c>
      <c r="P3088" s="27">
        <v>10000000</v>
      </c>
      <c r="Q3088" s="5"/>
      <c r="R3088" s="5"/>
      <c r="S3088" s="5" t="s">
        <v>49053</v>
      </c>
      <c r="T3088" s="28">
        <v>992392000</v>
      </c>
      <c r="U3088" s="28"/>
      <c r="V3088" s="28">
        <v>419235000</v>
      </c>
      <c r="W3088" s="28"/>
      <c r="X3088" s="28">
        <v>434736000</v>
      </c>
      <c r="Y3088" s="28">
        <v>3156930000</v>
      </c>
      <c r="Z3088" s="28">
        <v>-191448000</v>
      </c>
      <c r="AA3088" s="28">
        <v>300000000</v>
      </c>
      <c r="AB3088" s="28">
        <v>340683000</v>
      </c>
      <c r="AC3088" s="28">
        <v>1755771000</v>
      </c>
      <c r="AD3088" s="28">
        <v>238552000</v>
      </c>
      <c r="AE3088" s="28">
        <v>3847460000</v>
      </c>
      <c r="AF3088" s="28">
        <v>14724000</v>
      </c>
      <c r="AG3088" s="11"/>
    </row>
    <row r="3089">
      <c r="A3089" s="7" t="s">
        <v>4764</v>
      </c>
      <c r="B3089" s="5" t="s">
        <v>12738</v>
      </c>
      <c r="C3089" s="5" t="s">
        <v>20549</v>
      </c>
      <c r="D3089" s="5" t="str">
        <v>774316242261</v>
      </c>
      <c r="E3089" s="0" t="e">
        <f>+7 (487) 2718352
+7 (905) 6660091
+7 (495) 6222606
+7 (495) 6262606
+7 (905) 7920202</f>
        <v>#NAME?</v>
      </c>
      <c r="F3089" s="5" t="s">
        <v>34607</v>
      </c>
      <c r="G3089" s="5"/>
      <c r="H3089" s="26">
        <v>13</v>
      </c>
      <c r="I3089" s="5" t="s">
        <v>34608</v>
      </c>
      <c r="J3089" s="5" t="s">
        <v>25842</v>
      </c>
      <c r="K3089" s="5" t="s">
        <v>344</v>
      </c>
      <c r="L3089" s="5" t="s">
        <v>34609</v>
      </c>
      <c r="M3089" s="27">
        <v>47447157</v>
      </c>
      <c r="N3089" s="5" t="s">
        <v>54147</v>
      </c>
      <c r="O3089" s="5" t="str">
        <v>9715005130</v>
      </c>
      <c r="P3089" s="27">
        <v>2000000</v>
      </c>
      <c r="Q3089" s="5"/>
      <c r="R3089" s="5"/>
      <c r="S3089" s="5" t="s">
        <v>50836</v>
      </c>
      <c r="T3089" s="28">
        <v>96262000</v>
      </c>
      <c r="U3089" s="28"/>
      <c r="V3089" s="28">
        <v>867685000</v>
      </c>
      <c r="W3089" s="28">
        <v>79465000</v>
      </c>
      <c r="X3089" s="28">
        <v>7506000</v>
      </c>
      <c r="Y3089" s="28">
        <v>1664168000</v>
      </c>
      <c r="Z3089" s="28">
        <v>452227000</v>
      </c>
      <c r="AA3089" s="28"/>
      <c r="AB3089" s="28">
        <v>12970000</v>
      </c>
      <c r="AC3089" s="28">
        <v>1198838000</v>
      </c>
      <c r="AD3089" s="28">
        <v>454227000</v>
      </c>
      <c r="AE3089" s="28">
        <v>4209309000</v>
      </c>
      <c r="AF3089" s="28">
        <v>497460000</v>
      </c>
      <c r="AG3089" s="11"/>
    </row>
    <row r="3090">
      <c r="A3090" s="7" t="s">
        <v>4765</v>
      </c>
      <c r="B3090" s="5" t="s">
        <v>12739</v>
      </c>
      <c r="C3090" s="5" t="s">
        <v>20550</v>
      </c>
      <c r="D3090" s="5" t="str">
        <v>780108653559</v>
      </c>
      <c r="E3090" s="0" t="e">
        <f>+7 (3439) 336000
+7 (3439) 336002
+7 (3439) 336003
+7 (3439) 336022
+7 (3439) 336051
+7 (3439) 336055
+7 (3439) 336075
+7 (3439) 336082
+7 (3439) 336113
+7 (3439) 336118
+7 (3439) 336503
+7 (3439) 365500
+7 (3439) 368500
+7 (3439) 368510
+7 (3439) 368556</f>
        <v>#NAME?</v>
      </c>
      <c r="F3090" s="5" t="s">
        <v>34610</v>
      </c>
      <c r="G3090" s="5"/>
      <c r="H3090" s="26">
        <v>30.5</v>
      </c>
      <c r="I3090" s="5"/>
      <c r="J3090" s="5" t="s">
        <v>32455</v>
      </c>
      <c r="K3090" s="5" t="s">
        <v>355</v>
      </c>
      <c r="L3090" s="5"/>
      <c r="M3090" s="27">
        <v>11856428</v>
      </c>
      <c r="N3090" s="5" t="s">
        <v>54148</v>
      </c>
      <c r="O3090" s="5" t="str">
        <v>6666003414</v>
      </c>
      <c r="P3090" s="27">
        <v>50326222</v>
      </c>
      <c r="Q3090" s="5" t="s">
        <v>54149</v>
      </c>
      <c r="R3090" s="5"/>
      <c r="S3090" s="5" t="s">
        <v>51937</v>
      </c>
      <c r="T3090" s="28">
        <v>735617000</v>
      </c>
      <c r="U3090" s="28"/>
      <c r="V3090" s="28">
        <v>638222000</v>
      </c>
      <c r="W3090" s="28"/>
      <c r="X3090" s="28">
        <v>419824000</v>
      </c>
      <c r="Y3090" s="28">
        <v>3652916000</v>
      </c>
      <c r="Z3090" s="28">
        <v>1380385000</v>
      </c>
      <c r="AA3090" s="28">
        <v>33074000</v>
      </c>
      <c r="AB3090" s="28">
        <v>952401000</v>
      </c>
      <c r="AC3090" s="28">
        <v>2030459000</v>
      </c>
      <c r="AD3090" s="28">
        <v>1530055000</v>
      </c>
      <c r="AE3090" s="28">
        <v>10119690000</v>
      </c>
      <c r="AF3090" s="28">
        <v>1123216000</v>
      </c>
      <c r="AG3090" s="11"/>
    </row>
    <row r="3091">
      <c r="A3091" s="7" t="s">
        <v>4766</v>
      </c>
      <c r="B3091" s="5" t="s">
        <v>12740</v>
      </c>
      <c r="C3091" s="5" t="s">
        <v>20551</v>
      </c>
      <c r="D3091" s="5" t="str">
        <v>650500286331</v>
      </c>
      <c r="E3091" s="0" t="e">
        <f>+7 (424) 2466061
+7 (424) 2312121
+7 (424) 2420873
+7 (424) 2429488</f>
        <v>#NAME?</v>
      </c>
      <c r="F3091" s="5"/>
      <c r="G3091" s="5"/>
      <c r="H3091" s="26">
        <v>29.5</v>
      </c>
      <c r="I3091" s="5" t="s">
        <v>34611</v>
      </c>
      <c r="J3091" s="5" t="s">
        <v>26424</v>
      </c>
      <c r="K3091" s="5" t="s">
        <v>344</v>
      </c>
      <c r="L3091" s="5"/>
      <c r="M3091" s="27"/>
      <c r="N3091" s="5"/>
      <c r="O3091" s="5" t="str">
        <v>6501231095</v>
      </c>
      <c r="P3091" s="27">
        <v>36800</v>
      </c>
      <c r="Q3091" s="5"/>
      <c r="R3091" s="5" t="s">
        <v>50768</v>
      </c>
      <c r="S3091" s="5" t="s">
        <v>49425</v>
      </c>
      <c r="T3091" s="28">
        <v>241642000</v>
      </c>
      <c r="U3091" s="28">
        <v>648130000</v>
      </c>
      <c r="V3091" s="28">
        <v>2193696000</v>
      </c>
      <c r="W3091" s="28">
        <v>2094000000</v>
      </c>
      <c r="X3091" s="28">
        <v>6944525000</v>
      </c>
      <c r="Y3091" s="28">
        <v>12747495000</v>
      </c>
      <c r="Z3091" s="28">
        <v>4891708000</v>
      </c>
      <c r="AA3091" s="28">
        <v>720540000</v>
      </c>
      <c r="AB3091" s="28"/>
      <c r="AC3091" s="28">
        <v>6910915000</v>
      </c>
      <c r="AD3091" s="28">
        <v>4956866000</v>
      </c>
      <c r="AE3091" s="28">
        <v>3779225000</v>
      </c>
      <c r="AF3091" s="28">
        <v>678269000</v>
      </c>
      <c r="AG3091" s="11"/>
    </row>
    <row r="3092">
      <c r="A3092" s="7" t="s">
        <v>4767</v>
      </c>
      <c r="B3092" s="5" t="s">
        <v>12741</v>
      </c>
      <c r="C3092" s="5" t="s">
        <v>20552</v>
      </c>
      <c r="D3092" s="5" t="str">
        <v>162301067853</v>
      </c>
      <c r="E3092" s="0" t="e">
        <f>+7 (84364) 21242
+7 (84364) 26241
+7 (84364) 26242
+7 (84364) 28286</f>
        <v>#NAME?</v>
      </c>
      <c r="F3092" s="5" t="s">
        <v>34612</v>
      </c>
      <c r="G3092" s="5" t="s">
        <v>34613</v>
      </c>
      <c r="H3092" s="26">
        <v>24.5</v>
      </c>
      <c r="I3092" s="5"/>
      <c r="J3092" s="5" t="s">
        <v>34614</v>
      </c>
      <c r="K3092" s="5" t="s">
        <v>344</v>
      </c>
      <c r="L3092" s="5" t="s">
        <v>34615</v>
      </c>
      <c r="M3092" s="27"/>
      <c r="N3092" s="5"/>
      <c r="O3092" s="5" t="str">
        <v>1623000219</v>
      </c>
      <c r="P3092" s="27">
        <v>1075600</v>
      </c>
      <c r="Q3092" s="5" t="s">
        <v>49059</v>
      </c>
      <c r="R3092" s="5"/>
      <c r="S3092" s="5" t="s">
        <v>49066</v>
      </c>
      <c r="T3092" s="28">
        <v>686634000</v>
      </c>
      <c r="U3092" s="28">
        <v>30242000</v>
      </c>
      <c r="V3092" s="28">
        <v>1937427000</v>
      </c>
      <c r="W3092" s="28">
        <v>28636000</v>
      </c>
      <c r="X3092" s="28">
        <v>19857000</v>
      </c>
      <c r="Y3092" s="28">
        <v>3535975000</v>
      </c>
      <c r="Z3092" s="28">
        <v>2821619000</v>
      </c>
      <c r="AA3092" s="28">
        <v>300000000</v>
      </c>
      <c r="AB3092" s="28">
        <v>2102000</v>
      </c>
      <c r="AC3092" s="28">
        <v>402070000</v>
      </c>
      <c r="AD3092" s="28">
        <v>2822748000</v>
      </c>
      <c r="AE3092" s="28">
        <v>4330121000</v>
      </c>
      <c r="AF3092" s="28">
        <v>199220000</v>
      </c>
      <c r="AG3092" s="11"/>
    </row>
    <row r="3093">
      <c r="A3093" s="7" t="s">
        <v>4768</v>
      </c>
      <c r="B3093" s="5" t="s">
        <v>12742</v>
      </c>
      <c r="C3093" s="5" t="s">
        <v>20553</v>
      </c>
      <c r="D3093" s="5" t="str">
        <v>320500674697</v>
      </c>
      <c r="E3093" s="0" t="e">
        <f>+7 (483) 2355211
+7 (483) 2322289
+7 (483) 2322908
+7 (483) 2717592</f>
        <v>#NAME?</v>
      </c>
      <c r="F3093" s="5" t="s">
        <v>34616</v>
      </c>
      <c r="G3093" s="5"/>
      <c r="H3093" s="26">
        <v>14</v>
      </c>
      <c r="I3093" s="5" t="s">
        <v>34617</v>
      </c>
      <c r="J3093" s="5" t="s">
        <v>26367</v>
      </c>
      <c r="K3093" s="5" t="s">
        <v>344</v>
      </c>
      <c r="L3093" s="5" t="s">
        <v>34618</v>
      </c>
      <c r="M3093" s="27"/>
      <c r="N3093" s="5"/>
      <c r="O3093" s="5" t="str">
        <v>3250510962</v>
      </c>
      <c r="P3093" s="27">
        <v>10000000</v>
      </c>
      <c r="Q3093" s="5" t="s">
        <v>49009</v>
      </c>
      <c r="R3093" s="5"/>
      <c r="S3093" s="5" t="s">
        <v>49010</v>
      </c>
      <c r="T3093" s="28">
        <v>48281000</v>
      </c>
      <c r="U3093" s="28"/>
      <c r="V3093" s="28">
        <v>1257273000</v>
      </c>
      <c r="W3093" s="28"/>
      <c r="X3093" s="28">
        <v>26091000</v>
      </c>
      <c r="Y3093" s="28">
        <v>1528348000</v>
      </c>
      <c r="Z3093" s="28">
        <v>227766000</v>
      </c>
      <c r="AA3093" s="28"/>
      <c r="AB3093" s="28">
        <v>186000000</v>
      </c>
      <c r="AC3093" s="28">
        <v>1234993000</v>
      </c>
      <c r="AD3093" s="28">
        <v>239151000</v>
      </c>
      <c r="AE3093" s="28">
        <v>4135868000</v>
      </c>
      <c r="AF3093" s="28">
        <v>43748000</v>
      </c>
      <c r="AG3093" s="11"/>
    </row>
    <row r="3094">
      <c r="A3094" s="7" t="s">
        <v>4769</v>
      </c>
      <c r="B3094" s="5" t="s">
        <v>12743</v>
      </c>
      <c r="C3094" s="5"/>
      <c r="D3094" s="5"/>
      <c r="E3094" s="0" t="e">
        <f>+7 (343) 2121212
+7 (343) 7895696
+7 (3439) 395018
+7 (3439) 395056
+7 (3439) 395060
+7 (3439) 395070
+7 (3439) 395075
+7 (3439) 395077
+7 (3439) 395078
+7 (3439) 395095
+7 (3439) 395097
+7 (3439) 395102
+7 (3439) 395119
+7 (3439) 395134
+7 (3439) 395210</f>
        <v>#NAME?</v>
      </c>
      <c r="F3094" s="5" t="s">
        <v>34619</v>
      </c>
      <c r="G3094" s="5" t="s">
        <v>34620</v>
      </c>
      <c r="H3094" s="26">
        <v>30</v>
      </c>
      <c r="I3094" s="5"/>
      <c r="J3094" s="5" t="s">
        <v>25353</v>
      </c>
      <c r="K3094" s="5" t="s">
        <v>344</v>
      </c>
      <c r="L3094" s="5"/>
      <c r="M3094" s="27">
        <v>112993143</v>
      </c>
      <c r="N3094" s="5" t="s">
        <v>54150</v>
      </c>
      <c r="O3094" s="5" t="str">
        <v>6665002150</v>
      </c>
      <c r="P3094" s="27">
        <v>10694600</v>
      </c>
      <c r="Q3094" s="5" t="s">
        <v>54151</v>
      </c>
      <c r="R3094" s="5" t="s">
        <v>54152</v>
      </c>
      <c r="S3094" s="5" t="s">
        <v>51593</v>
      </c>
      <c r="T3094" s="28">
        <v>45719340000</v>
      </c>
      <c r="U3094" s="28">
        <v>1239415000</v>
      </c>
      <c r="V3094" s="28">
        <v>6865485000</v>
      </c>
      <c r="W3094" s="28">
        <v>738331000</v>
      </c>
      <c r="X3094" s="28">
        <v>1247082000</v>
      </c>
      <c r="Y3094" s="28">
        <v>67373454000</v>
      </c>
      <c r="Z3094" s="28">
        <v>9153763000</v>
      </c>
      <c r="AA3094" s="28">
        <v>28237585000</v>
      </c>
      <c r="AB3094" s="28">
        <v>11362739000</v>
      </c>
      <c r="AC3094" s="28">
        <v>22912729000</v>
      </c>
      <c r="AD3094" s="28">
        <v>11038162000</v>
      </c>
      <c r="AE3094" s="28">
        <v>34164552000</v>
      </c>
      <c r="AF3094" s="28">
        <v>339229000</v>
      </c>
      <c r="AG3094" s="11"/>
    </row>
    <row r="3095">
      <c r="A3095" s="7" t="s">
        <v>4770</v>
      </c>
      <c r="B3095" s="5" t="s">
        <v>12744</v>
      </c>
      <c r="C3095" s="5" t="s">
        <v>20554</v>
      </c>
      <c r="D3095" s="5" t="str">
        <v>667001332609</v>
      </c>
      <c r="E3095" s="0" t="e">
        <f>+7 (495) 3180054
+7 (495) 3189000
+7 (495) 3189077
+7 (495) 3189190
+7 (495) 3189227
+7 (495) 3191177
+7 (495) 7676074
+7 (495) 9958015
+7 (963) 6579871</f>
        <v>#NAME?</v>
      </c>
      <c r="F3095" s="5" t="s">
        <v>34621</v>
      </c>
      <c r="G3095" s="5" t="s">
        <v>34622</v>
      </c>
      <c r="H3095" s="26">
        <v>13.5</v>
      </c>
      <c r="I3095" s="5" t="s">
        <v>34623</v>
      </c>
      <c r="J3095" s="5" t="s">
        <v>25429</v>
      </c>
      <c r="K3095" s="5" t="s">
        <v>344</v>
      </c>
      <c r="L3095" s="5" t="s">
        <v>34624</v>
      </c>
      <c r="M3095" s="27"/>
      <c r="N3095" s="5" t="s">
        <v>54153</v>
      </c>
      <c r="O3095" s="5" t="str">
        <v>7727694065</v>
      </c>
      <c r="P3095" s="27">
        <v>230000</v>
      </c>
      <c r="Q3095" s="5"/>
      <c r="R3095" s="5"/>
      <c r="S3095" s="5" t="s">
        <v>49047</v>
      </c>
      <c r="T3095" s="28">
        <v>39206000</v>
      </c>
      <c r="U3095" s="28"/>
      <c r="V3095" s="28">
        <v>336793000</v>
      </c>
      <c r="W3095" s="28"/>
      <c r="X3095" s="28">
        <v>484515000</v>
      </c>
      <c r="Y3095" s="28">
        <v>1554169000</v>
      </c>
      <c r="Z3095" s="28">
        <v>1000348000</v>
      </c>
      <c r="AA3095" s="28">
        <v>288268000</v>
      </c>
      <c r="AB3095" s="28">
        <v>121427000</v>
      </c>
      <c r="AC3095" s="28">
        <v>242328000</v>
      </c>
      <c r="AD3095" s="28">
        <v>1000578000</v>
      </c>
      <c r="AE3095" s="28">
        <v>3095820000</v>
      </c>
      <c r="AF3095" s="28">
        <v>578174000</v>
      </c>
      <c r="AG3095" s="11"/>
    </row>
    <row r="3096">
      <c r="A3096" s="7" t="s">
        <v>4771</v>
      </c>
      <c r="B3096" s="5" t="s">
        <v>12745</v>
      </c>
      <c r="C3096" s="5" t="s">
        <v>20555</v>
      </c>
      <c r="D3096" s="5" t="str">
        <v>770372468723</v>
      </c>
      <c r="E3096" s="0" t="e">
        <f>+7 (495) 3636393
+7 (800) 5559232
+7 (495) 1340040
+7 (495) 6408065
+7 (495) 6408068
+7 (499) 5004959
+7 (499) 5004970
+7 (499) 5007970
+7 (499) 7501450
+7 (84342) 90018
+7 (985) 7766233</f>
        <v>#NAME?</v>
      </c>
      <c r="F3096" s="5" t="s">
        <v>34625</v>
      </c>
      <c r="G3096" s="5" t="s">
        <v>34626</v>
      </c>
      <c r="H3096" s="26">
        <v>12</v>
      </c>
      <c r="I3096" s="5" t="s">
        <v>34627</v>
      </c>
      <c r="J3096" s="5" t="s">
        <v>28568</v>
      </c>
      <c r="K3096" s="5" t="s">
        <v>344</v>
      </c>
      <c r="L3096" s="5"/>
      <c r="M3096" s="27">
        <v>9713861</v>
      </c>
      <c r="N3096" s="5"/>
      <c r="O3096" s="5" t="str">
        <v>7705935687</v>
      </c>
      <c r="P3096" s="27">
        <v>10000</v>
      </c>
      <c r="Q3096" s="5" t="s">
        <v>49009</v>
      </c>
      <c r="R3096" s="5"/>
      <c r="S3096" s="5" t="s">
        <v>49120</v>
      </c>
      <c r="T3096" s="28">
        <v>9790210000</v>
      </c>
      <c r="U3096" s="28">
        <v>24849000</v>
      </c>
      <c r="V3096" s="28">
        <v>3825129000</v>
      </c>
      <c r="W3096" s="28">
        <v>15510000</v>
      </c>
      <c r="X3096" s="28">
        <v>6180216000</v>
      </c>
      <c r="Y3096" s="28">
        <v>32037331000</v>
      </c>
      <c r="Z3096" s="28">
        <v>6909792000</v>
      </c>
      <c r="AA3096" s="28"/>
      <c r="AB3096" s="28"/>
      <c r="AC3096" s="28">
        <v>13753112000</v>
      </c>
      <c r="AD3096" s="28">
        <v>12316243000</v>
      </c>
      <c r="AE3096" s="28">
        <v>61303438000</v>
      </c>
      <c r="AF3096" s="28">
        <v>10742026000</v>
      </c>
      <c r="AG3096" s="11"/>
    </row>
    <row r="3097">
      <c r="A3097" s="7" t="s">
        <v>4772</v>
      </c>
      <c r="B3097" s="5" t="s">
        <v>12746</v>
      </c>
      <c r="C3097" s="5" t="s">
        <v>20556</v>
      </c>
      <c r="D3097" s="5" t="str">
        <v>561403748346</v>
      </c>
      <c r="E3097" s="0" t="e">
        <f>+7 (912) 6203575
+7 (932) 1191333
+7 (932) 1197352
+7 (932) 1197426
+7 (932) 1197501</f>
        <v>#NAME?</v>
      </c>
      <c r="F3097" s="5" t="s">
        <v>34628</v>
      </c>
      <c r="G3097" s="5"/>
      <c r="H3097" s="26">
        <v>8</v>
      </c>
      <c r="I3097" s="5" t="s">
        <v>34629</v>
      </c>
      <c r="J3097" s="5" t="s">
        <v>25450</v>
      </c>
      <c r="K3097" s="5" t="s">
        <v>344</v>
      </c>
      <c r="L3097" s="5" t="s">
        <v>34630</v>
      </c>
      <c r="M3097" s="27">
        <v>353749</v>
      </c>
      <c r="N3097" s="5" t="s">
        <v>54154</v>
      </c>
      <c r="O3097" s="5" t="str">
        <v>6682007310</v>
      </c>
      <c r="P3097" s="27">
        <v>1000000</v>
      </c>
      <c r="Q3097" s="5"/>
      <c r="R3097" s="5"/>
      <c r="S3097" s="5" t="s">
        <v>49425</v>
      </c>
      <c r="T3097" s="28">
        <v>38005000</v>
      </c>
      <c r="U3097" s="28"/>
      <c r="V3097" s="28">
        <v>1147481000</v>
      </c>
      <c r="W3097" s="28">
        <v>249965000</v>
      </c>
      <c r="X3097" s="28">
        <v>553562000</v>
      </c>
      <c r="Y3097" s="28">
        <v>2330696000</v>
      </c>
      <c r="Z3097" s="28">
        <v>1386536000</v>
      </c>
      <c r="AA3097" s="28">
        <v>124235000</v>
      </c>
      <c r="AB3097" s="28">
        <v>550168000</v>
      </c>
      <c r="AC3097" s="28">
        <v>818925000</v>
      </c>
      <c r="AD3097" s="28">
        <v>1387536000</v>
      </c>
      <c r="AE3097" s="28">
        <v>3607319000</v>
      </c>
      <c r="AF3097" s="28">
        <v>210375000</v>
      </c>
      <c r="AG3097" s="11"/>
    </row>
    <row r="3098">
      <c r="A3098" s="7" t="s">
        <v>4773</v>
      </c>
      <c r="B3098" s="5" t="s">
        <v>12747</v>
      </c>
      <c r="C3098" s="5" t="s">
        <v>20557</v>
      </c>
      <c r="D3098" s="5" t="str">
        <v>263400741620</v>
      </c>
      <c r="E3098" s="0" t="e">
        <f>+7 (352) 2436026
+7 (3522) 635005
+7 (3522) 635058
+7 (3522) 635059
+7 (3522) 635115
+7 (3522) 635128
+7 (3522) 635142
+7 (3522) 635368</f>
        <v>#NAME?</v>
      </c>
      <c r="F3098" s="5" t="s">
        <v>34631</v>
      </c>
      <c r="G3098" s="5" t="s">
        <v>34632</v>
      </c>
      <c r="H3098" s="26">
        <v>17</v>
      </c>
      <c r="I3098" s="5" t="s">
        <v>34633</v>
      </c>
      <c r="J3098" s="5" t="s">
        <v>27640</v>
      </c>
      <c r="K3098" s="5" t="s">
        <v>344</v>
      </c>
      <c r="L3098" s="5"/>
      <c r="M3098" s="27">
        <v>13036062</v>
      </c>
      <c r="N3098" s="5"/>
      <c r="O3098" s="5" t="str">
        <v>4501121003</v>
      </c>
      <c r="P3098" s="27">
        <v>1212255700</v>
      </c>
      <c r="Q3098" s="5" t="s">
        <v>54155</v>
      </c>
      <c r="R3098" s="5"/>
      <c r="S3098" s="5" t="s">
        <v>50951</v>
      </c>
      <c r="T3098" s="28">
        <v>16100262000</v>
      </c>
      <c r="U3098" s="28"/>
      <c r="V3098" s="28">
        <v>2069526000</v>
      </c>
      <c r="W3098" s="28">
        <v>2706000</v>
      </c>
      <c r="X3098" s="28">
        <v>662842000</v>
      </c>
      <c r="Y3098" s="28">
        <v>25834333000</v>
      </c>
      <c r="Z3098" s="28">
        <v>3786207000</v>
      </c>
      <c r="AA3098" s="28">
        <v>9486418000</v>
      </c>
      <c r="AB3098" s="28">
        <v>1345438000</v>
      </c>
      <c r="AC3098" s="28">
        <v>2212559000</v>
      </c>
      <c r="AD3098" s="28">
        <v>11042019000</v>
      </c>
      <c r="AE3098" s="28">
        <v>4298485000</v>
      </c>
      <c r="AF3098" s="28">
        <v>60486000</v>
      </c>
      <c r="AG3098" s="11"/>
    </row>
    <row r="3099">
      <c r="A3099" s="7" t="s">
        <v>4774</v>
      </c>
      <c r="B3099" s="5" t="s">
        <v>12748</v>
      </c>
      <c r="C3099" s="5" t="s">
        <v>20558</v>
      </c>
      <c r="D3099" s="5" t="str">
        <v>450111310498</v>
      </c>
      <c r="E3099" s="0" t="e">
        <f>+7 (3522) 479078
+7 (48352) 24781
+7 (3522) 478015
+7 (3522) 478058
+7 (3522) 478069
+7 (3522) 478074
+7 (3522) 478078
+7 (3522) 478117
+7 (3522) 478149
+7 (3522) 478171
+7 (3522) 478180</f>
        <v>#NAME?</v>
      </c>
      <c r="F3099" s="5" t="s">
        <v>34634</v>
      </c>
      <c r="G3099" s="5" t="s">
        <v>34635</v>
      </c>
      <c r="H3099" s="26">
        <v>29</v>
      </c>
      <c r="I3099" s="5"/>
      <c r="J3099" s="5" t="s">
        <v>445</v>
      </c>
      <c r="K3099" s="5" t="s">
        <v>344</v>
      </c>
      <c r="L3099" s="5" t="s">
        <v>34636</v>
      </c>
      <c r="M3099" s="27">
        <v>9769103</v>
      </c>
      <c r="N3099" s="5" t="s">
        <v>54156</v>
      </c>
      <c r="O3099" s="5" t="str">
        <v>4501001235</v>
      </c>
      <c r="P3099" s="27">
        <v>386500</v>
      </c>
      <c r="Q3099" s="5" t="s">
        <v>54158</v>
      </c>
      <c r="R3099" s="5"/>
      <c r="S3099" s="5" t="s">
        <v>50753</v>
      </c>
      <c r="T3099" s="28">
        <v>1628424000</v>
      </c>
      <c r="U3099" s="28">
        <v>244641000</v>
      </c>
      <c r="V3099" s="28">
        <v>14035262000</v>
      </c>
      <c r="W3099" s="28"/>
      <c r="X3099" s="28">
        <v>531761000</v>
      </c>
      <c r="Y3099" s="28">
        <v>23748545000</v>
      </c>
      <c r="Z3099" s="28">
        <v>4810503000</v>
      </c>
      <c r="AA3099" s="28"/>
      <c r="AB3099" s="28">
        <v>1045741000</v>
      </c>
      <c r="AC3099" s="28">
        <v>18553048000</v>
      </c>
      <c r="AD3099" s="28">
        <v>4932359000</v>
      </c>
      <c r="AE3099" s="28">
        <v>24143429000</v>
      </c>
      <c r="AF3099" s="28">
        <v>901110000</v>
      </c>
      <c r="AG3099" s="11"/>
    </row>
    <row r="3100">
      <c r="A3100" s="7" t="s">
        <v>4775</v>
      </c>
      <c r="B3100" s="5" t="s">
        <v>12749</v>
      </c>
      <c r="C3100" s="5" t="s">
        <v>20559</v>
      </c>
      <c r="D3100" s="5" t="str">
        <v>381109210543</v>
      </c>
      <c r="E3100" s="0" t="e">
        <f>+7 (345) 2677577
+7 (3522) 477464
+7 (3522) 477525
+7 (3522) 477538
+7 (3522) 477592
+7 (3522) 477601</f>
        <v>#NAME?</v>
      </c>
      <c r="F3100" s="5" t="s">
        <v>34637</v>
      </c>
      <c r="G3100" s="5"/>
      <c r="H3100" s="26">
        <v>10</v>
      </c>
      <c r="I3100" s="5" t="s">
        <v>34638</v>
      </c>
      <c r="J3100" s="5" t="s">
        <v>30725</v>
      </c>
      <c r="K3100" s="5" t="s">
        <v>355</v>
      </c>
      <c r="L3100" s="5" t="s">
        <v>34639</v>
      </c>
      <c r="M3100" s="27">
        <v>9195591</v>
      </c>
      <c r="N3100" s="5"/>
      <c r="O3100" s="5" t="str">
        <v>4501184300</v>
      </c>
      <c r="P3100" s="27">
        <v>432977439</v>
      </c>
      <c r="Q3100" s="5" t="s">
        <v>49207</v>
      </c>
      <c r="R3100" s="5" t="s">
        <v>54159</v>
      </c>
      <c r="S3100" s="5" t="s">
        <v>54160</v>
      </c>
      <c r="T3100" s="28">
        <v>645256000</v>
      </c>
      <c r="U3100" s="28"/>
      <c r="V3100" s="28">
        <v>1618359000</v>
      </c>
      <c r="W3100" s="28"/>
      <c r="X3100" s="28">
        <v>825498000</v>
      </c>
      <c r="Y3100" s="28">
        <v>4546036000</v>
      </c>
      <c r="Z3100" s="28">
        <v>1201107000</v>
      </c>
      <c r="AA3100" s="28"/>
      <c r="AB3100" s="28">
        <v>750236000</v>
      </c>
      <c r="AC3100" s="28">
        <v>2831229000</v>
      </c>
      <c r="AD3100" s="28">
        <v>1646770000</v>
      </c>
      <c r="AE3100" s="28">
        <v>3569477000</v>
      </c>
      <c r="AF3100" s="28">
        <v>185191000</v>
      </c>
      <c r="AG3100" s="11"/>
    </row>
    <row r="3101">
      <c r="A3101" s="7" t="s">
        <v>4776</v>
      </c>
      <c r="B3101" s="5" t="s">
        <v>12750</v>
      </c>
      <c r="C3101" s="5" t="s">
        <v>20560</v>
      </c>
      <c r="D3101" s="5" t="str">
        <v>519034434700</v>
      </c>
      <c r="E3101" s="0" t="e">
        <f>+7 (424) 2456331
+7 (424) 2456333
+7 (424) 2456477
+7 (424) 2457777
+7 (424) 2795679
+7 (42454) 99271
+7 (42454) 99291
+7 (42454) 99295
+7 (42454) 99320
+7 (42454) 99456</f>
        <v>#NAME?</v>
      </c>
      <c r="F3101" s="5" t="s">
        <v>34640</v>
      </c>
      <c r="G3101" s="5" t="s">
        <v>30077</v>
      </c>
      <c r="H3101" s="26">
        <v>30</v>
      </c>
      <c r="I3101" s="5"/>
      <c r="J3101" s="5" t="s">
        <v>26424</v>
      </c>
      <c r="K3101" s="5" t="s">
        <v>344</v>
      </c>
      <c r="L3101" s="5" t="s">
        <v>34641</v>
      </c>
      <c r="M3101" s="27">
        <v>43038</v>
      </c>
      <c r="N3101" s="5"/>
      <c r="O3101" s="5" t="str">
        <v>6511000178</v>
      </c>
      <c r="P3101" s="27">
        <v>8000000</v>
      </c>
      <c r="Q3101" s="5" t="s">
        <v>49009</v>
      </c>
      <c r="R3101" s="5" t="s">
        <v>54161</v>
      </c>
      <c r="S3101" s="5" t="s">
        <v>49045</v>
      </c>
      <c r="T3101" s="28">
        <v>18039371000</v>
      </c>
      <c r="U3101" s="28">
        <v>3450177000</v>
      </c>
      <c r="V3101" s="28">
        <v>5361585000</v>
      </c>
      <c r="W3101" s="28">
        <v>139000000</v>
      </c>
      <c r="X3101" s="28">
        <v>206026000</v>
      </c>
      <c r="Y3101" s="28">
        <v>30781148000</v>
      </c>
      <c r="Z3101" s="28">
        <v>26959956000</v>
      </c>
      <c r="AA3101" s="28"/>
      <c r="AB3101" s="28"/>
      <c r="AC3101" s="28">
        <v>2635128000</v>
      </c>
      <c r="AD3101" s="28">
        <v>27163923000</v>
      </c>
      <c r="AE3101" s="28">
        <v>15764401000</v>
      </c>
      <c r="AF3101" s="28">
        <v>7183680000</v>
      </c>
      <c r="AG3101" s="11"/>
    </row>
    <row r="3102">
      <c r="A3102" s="7" t="s">
        <v>4777</v>
      </c>
      <c r="B3102" s="5" t="s">
        <v>12751</v>
      </c>
      <c r="C3102" s="5" t="s">
        <v>20561</v>
      </c>
      <c r="D3102" s="5" t="str">
        <v>235104240900</v>
      </c>
      <c r="E3102" s="0" t="e">
        <f>+7 (495) 5179344
+7 (495) 3186555
+7 (495) 3189221
+7 (495) 9371231</f>
        <v>#NAME?</v>
      </c>
      <c r="F3102" s="5" t="s">
        <v>34642</v>
      </c>
      <c r="G3102" s="5"/>
      <c r="H3102" s="26">
        <v>14.5</v>
      </c>
      <c r="I3102" s="5" t="s">
        <v>34643</v>
      </c>
      <c r="J3102" s="5" t="s">
        <v>27085</v>
      </c>
      <c r="K3102" s="5" t="s">
        <v>344</v>
      </c>
      <c r="L3102" s="5" t="s">
        <v>34644</v>
      </c>
      <c r="M3102" s="27"/>
      <c r="N3102" s="5"/>
      <c r="O3102" s="5" t="str">
        <v>7736580441</v>
      </c>
      <c r="P3102" s="27">
        <v>525000000</v>
      </c>
      <c r="Q3102" s="5" t="s">
        <v>54162</v>
      </c>
      <c r="R3102" s="5"/>
      <c r="S3102" s="5" t="s">
        <v>50509</v>
      </c>
      <c r="T3102" s="28">
        <v>133490000</v>
      </c>
      <c r="U3102" s="28"/>
      <c r="V3102" s="28">
        <v>7651537000</v>
      </c>
      <c r="W3102" s="28"/>
      <c r="X3102" s="28">
        <v>57050000</v>
      </c>
      <c r="Y3102" s="28">
        <v>11241638000</v>
      </c>
      <c r="Z3102" s="28">
        <v>2826679000</v>
      </c>
      <c r="AA3102" s="28">
        <v>6000000000</v>
      </c>
      <c r="AB3102" s="28">
        <v>71175000</v>
      </c>
      <c r="AC3102" s="28">
        <v>1729281000</v>
      </c>
      <c r="AD3102" s="28">
        <v>3351679000</v>
      </c>
      <c r="AE3102" s="28">
        <v>12340103000</v>
      </c>
      <c r="AF3102" s="28">
        <v>23376000</v>
      </c>
      <c r="AG3102" s="11"/>
    </row>
    <row r="3103">
      <c r="A3103" s="7" t="s">
        <v>4778</v>
      </c>
      <c r="B3103" s="5" t="s">
        <v>12752</v>
      </c>
      <c r="C3103" s="5" t="s">
        <v>20562</v>
      </c>
      <c r="D3103" s="5" t="str">
        <v>463225659252</v>
      </c>
      <c r="E3103" s="0" t="e">
        <f>+7 (471) 2567989
+7 (471) 2595559
+7 (4712) 740052</f>
        <v>#NAME?</v>
      </c>
      <c r="F3103" s="5" t="s">
        <v>34645</v>
      </c>
      <c r="G3103" s="5"/>
      <c r="H3103" s="26">
        <v>14</v>
      </c>
      <c r="I3103" s="5" t="s">
        <v>34646</v>
      </c>
      <c r="J3103" s="5" t="s">
        <v>841</v>
      </c>
      <c r="K3103" s="5" t="s">
        <v>355</v>
      </c>
      <c r="L3103" s="5" t="s">
        <v>34647</v>
      </c>
      <c r="M3103" s="27">
        <v>6244952</v>
      </c>
      <c r="N3103" s="5"/>
      <c r="O3103" s="5" t="str">
        <v>4611010458</v>
      </c>
      <c r="P3103" s="27">
        <v>10000</v>
      </c>
      <c r="Q3103" s="5"/>
      <c r="R3103" s="5" t="s">
        <v>54163</v>
      </c>
      <c r="S3103" s="5" t="s">
        <v>49123</v>
      </c>
      <c r="T3103" s="28">
        <v>11341482000</v>
      </c>
      <c r="U3103" s="28">
        <v>704200000</v>
      </c>
      <c r="V3103" s="28">
        <v>2890787000</v>
      </c>
      <c r="W3103" s="28">
        <v>529000000</v>
      </c>
      <c r="X3103" s="28">
        <v>964699000</v>
      </c>
      <c r="Y3103" s="28">
        <v>21003306000</v>
      </c>
      <c r="Z3103" s="28">
        <v>4312028000</v>
      </c>
      <c r="AA3103" s="28">
        <v>2555835000</v>
      </c>
      <c r="AB3103" s="28">
        <v>4374644000</v>
      </c>
      <c r="AC3103" s="28">
        <v>6208436000</v>
      </c>
      <c r="AD3103" s="28">
        <v>8373731000</v>
      </c>
      <c r="AE3103" s="28">
        <v>8864651000</v>
      </c>
      <c r="AF3103" s="28">
        <v>286900000</v>
      </c>
      <c r="AG3103" s="11"/>
    </row>
    <row r="3104">
      <c r="A3104" s="7" t="s">
        <v>4779</v>
      </c>
      <c r="B3104" s="5" t="s">
        <v>12696</v>
      </c>
      <c r="C3104" s="5" t="s">
        <v>20563</v>
      </c>
      <c r="D3104" s="5" t="str">
        <v>771675555430</v>
      </c>
      <c r="E3104" s="0" t="e">
        <f>+7 (4712) 731207
+7 (47144) 21097
+7 (47151) 21365
+7 (47151) 22290
+7 (47159) 33223
+7 (495) 9334400
+7 (906) 5767431
+7 (951) 8617156
+7 (962) 3801059</f>
        <v>#NAME?</v>
      </c>
      <c r="F3104" s="5" t="s">
        <v>34648</v>
      </c>
      <c r="G3104" s="5"/>
      <c r="H3104" s="26">
        <v>14</v>
      </c>
      <c r="I3104" s="5" t="s">
        <v>34649</v>
      </c>
      <c r="J3104" s="5" t="s">
        <v>841</v>
      </c>
      <c r="K3104" s="5" t="s">
        <v>344</v>
      </c>
      <c r="L3104" s="5" t="s">
        <v>34650</v>
      </c>
      <c r="M3104" s="27">
        <v>145182466</v>
      </c>
      <c r="N3104" s="5" t="s">
        <v>54164</v>
      </c>
      <c r="O3104" s="5" t="str">
        <v>4625005659</v>
      </c>
      <c r="P3104" s="27">
        <v>937569700</v>
      </c>
      <c r="Q3104" s="5" t="s">
        <v>54165</v>
      </c>
      <c r="R3104" s="5" t="s">
        <v>54166</v>
      </c>
      <c r="S3104" s="5" t="s">
        <v>49399</v>
      </c>
      <c r="T3104" s="28">
        <v>8374091000</v>
      </c>
      <c r="U3104" s="28"/>
      <c r="V3104" s="28">
        <v>3169366000</v>
      </c>
      <c r="W3104" s="28">
        <v>57725000</v>
      </c>
      <c r="X3104" s="28">
        <v>1476000</v>
      </c>
      <c r="Y3104" s="28">
        <v>17395102000</v>
      </c>
      <c r="Z3104" s="28">
        <v>9907214000</v>
      </c>
      <c r="AA3104" s="28">
        <v>2627440000</v>
      </c>
      <c r="AB3104" s="28">
        <v>1518265000</v>
      </c>
      <c r="AC3104" s="28">
        <v>2757660000</v>
      </c>
      <c r="AD3104" s="28">
        <v>10844784000</v>
      </c>
      <c r="AE3104" s="28">
        <v>13654143000</v>
      </c>
      <c r="AF3104" s="28">
        <v>4996825000</v>
      </c>
      <c r="AG3104" s="11"/>
    </row>
    <row r="3105">
      <c r="A3105" s="7" t="s">
        <v>4780</v>
      </c>
      <c r="B3105" s="5" t="s">
        <v>12753</v>
      </c>
      <c r="C3105" s="5" t="s">
        <v>17852</v>
      </c>
      <c r="D3105" s="5"/>
      <c r="E3105" s="0" t="e">
        <f>+7 (401) 2305544</f>
        <v>#NAME?</v>
      </c>
      <c r="F3105" s="5" t="s">
        <v>34651</v>
      </c>
      <c r="G3105" s="5"/>
      <c r="H3105" s="26">
        <v>4</v>
      </c>
      <c r="I3105" s="5" t="s">
        <v>34652</v>
      </c>
      <c r="J3105" s="5" t="s">
        <v>25800</v>
      </c>
      <c r="K3105" s="5" t="s">
        <v>355</v>
      </c>
      <c r="L3105" s="5"/>
      <c r="M3105" s="27">
        <v>394884954</v>
      </c>
      <c r="N3105" s="5"/>
      <c r="O3105" s="5" t="str">
        <v>4632250443</v>
      </c>
      <c r="P3105" s="27">
        <v>10000</v>
      </c>
      <c r="Q3105" s="5"/>
      <c r="R3105" s="5"/>
      <c r="S3105" s="5" t="s">
        <v>49121</v>
      </c>
      <c r="T3105" s="28">
        <v>30175626000</v>
      </c>
      <c r="U3105" s="28">
        <v>300021000</v>
      </c>
      <c r="V3105" s="28">
        <v>5454056000</v>
      </c>
      <c r="W3105" s="28">
        <v>712600000</v>
      </c>
      <c r="X3105" s="28">
        <v>6518000</v>
      </c>
      <c r="Y3105" s="28">
        <v>41465043000</v>
      </c>
      <c r="Z3105" s="28">
        <v>-1795672000</v>
      </c>
      <c r="AA3105" s="28">
        <v>24395399000</v>
      </c>
      <c r="AB3105" s="28">
        <v>4538240000</v>
      </c>
      <c r="AC3105" s="28">
        <v>18219165000</v>
      </c>
      <c r="AD3105" s="28">
        <v>-1381756000</v>
      </c>
      <c r="AE3105" s="28">
        <v>8647417000</v>
      </c>
      <c r="AF3105" s="28">
        <v>-1757432000</v>
      </c>
      <c r="AG3105" s="11"/>
    </row>
    <row r="3106">
      <c r="A3106" s="7" t="s">
        <v>4781</v>
      </c>
      <c r="B3106" s="5" t="s">
        <v>12754</v>
      </c>
      <c r="C3106" s="5" t="s">
        <v>20564</v>
      </c>
      <c r="D3106" s="5" t="str">
        <v>463204619139</v>
      </c>
      <c r="E3106" s="0" t="e">
        <f>+7 (4712) 577649
+7 (4712) 577650
+7 (4712) 377138
+7 (4712) 377156
+7 (4712) 377240
+7 (4712) 377649
+7 (4712) 377650
+7 (4712) 377708
+7 (4712) 378026
+7 (4712) 378273
+7 (4712) 579772</f>
        <v>#NAME?</v>
      </c>
      <c r="F3106" s="5" t="s">
        <v>34653</v>
      </c>
      <c r="G3106" s="5" t="s">
        <v>34654</v>
      </c>
      <c r="H3106" s="26">
        <v>30</v>
      </c>
      <c r="I3106" s="5"/>
      <c r="J3106" s="5" t="s">
        <v>34655</v>
      </c>
      <c r="K3106" s="5" t="s">
        <v>344</v>
      </c>
      <c r="L3106" s="5" t="s">
        <v>34656</v>
      </c>
      <c r="M3106" s="27"/>
      <c r="N3106" s="5" t="s">
        <v>54167</v>
      </c>
      <c r="O3106" s="5" t="str">
        <v>4630005929</v>
      </c>
      <c r="P3106" s="27">
        <v>4198000</v>
      </c>
      <c r="Q3106" s="5" t="s">
        <v>54169</v>
      </c>
      <c r="R3106" s="5"/>
      <c r="S3106" s="5" t="s">
        <v>54170</v>
      </c>
      <c r="T3106" s="28">
        <v>4888472000</v>
      </c>
      <c r="U3106" s="28">
        <v>10000</v>
      </c>
      <c r="V3106" s="28">
        <v>2803960000</v>
      </c>
      <c r="W3106" s="28">
        <v>2125000000</v>
      </c>
      <c r="X3106" s="28">
        <v>452254000</v>
      </c>
      <c r="Y3106" s="28">
        <v>20130580000</v>
      </c>
      <c r="Z3106" s="28">
        <v>19039117000</v>
      </c>
      <c r="AA3106" s="28"/>
      <c r="AB3106" s="28"/>
      <c r="AC3106" s="28">
        <v>1020559000</v>
      </c>
      <c r="AD3106" s="28">
        <v>19081237000</v>
      </c>
      <c r="AE3106" s="28">
        <v>6703223000</v>
      </c>
      <c r="AF3106" s="28">
        <v>1406386000</v>
      </c>
      <c r="AG3106" s="11"/>
    </row>
    <row r="3107">
      <c r="A3107" s="7" t="s">
        <v>4782</v>
      </c>
      <c r="B3107" s="5" t="s">
        <v>12755</v>
      </c>
      <c r="C3107" s="5" t="s">
        <v>20565</v>
      </c>
      <c r="D3107" s="5" t="str">
        <v>222311139215</v>
      </c>
      <c r="E3107" s="0" t="e">
        <f>+7 (495) 3745379</f>
        <v>#NAME?</v>
      </c>
      <c r="F3107" s="5"/>
      <c r="G3107" s="5"/>
      <c r="H3107" s="26">
        <v>9.5</v>
      </c>
      <c r="I3107" s="5" t="s">
        <v>34657</v>
      </c>
      <c r="J3107" s="5" t="s">
        <v>34658</v>
      </c>
      <c r="K3107" s="5" t="s">
        <v>380</v>
      </c>
      <c r="L3107" s="5" t="s">
        <v>34659</v>
      </c>
      <c r="M3107" s="27"/>
      <c r="N3107" s="5" t="s">
        <v>54171</v>
      </c>
      <c r="O3107" s="5" t="str">
        <v>7729745149</v>
      </c>
      <c r="P3107" s="27">
        <v>10000</v>
      </c>
      <c r="Q3107" s="5" t="s">
        <v>49016</v>
      </c>
      <c r="R3107" s="5"/>
      <c r="S3107" s="5" t="s">
        <v>54172</v>
      </c>
      <c r="T3107" s="28">
        <v>281572000</v>
      </c>
      <c r="U3107" s="28">
        <v>229960000</v>
      </c>
      <c r="V3107" s="28">
        <v>1491954000</v>
      </c>
      <c r="W3107" s="28">
        <v>339245000</v>
      </c>
      <c r="X3107" s="28">
        <v>103542000</v>
      </c>
      <c r="Y3107" s="28">
        <v>2663591000</v>
      </c>
      <c r="Z3107" s="28">
        <v>-32016000</v>
      </c>
      <c r="AA3107" s="28"/>
      <c r="AB3107" s="28"/>
      <c r="AC3107" s="28">
        <v>2553435000</v>
      </c>
      <c r="AD3107" s="28">
        <v>-32006000</v>
      </c>
      <c r="AE3107" s="28">
        <v>4010423000</v>
      </c>
      <c r="AF3107" s="28">
        <v>-52512000</v>
      </c>
      <c r="AG3107" s="11"/>
    </row>
    <row r="3108">
      <c r="A3108" s="7" t="s">
        <v>4783</v>
      </c>
      <c r="B3108" s="5" t="s">
        <v>12756</v>
      </c>
      <c r="C3108" s="5" t="s">
        <v>20566</v>
      </c>
      <c r="D3108" s="5" t="str">
        <v>631200623169</v>
      </c>
      <c r="E3108" s="0" t="e">
        <f>+7 (499) 7559939
+7 (846) 2014444
+7 (846) 2442818
+7 (84699) 79431
+7 (84699) 79437
+7 (84699) 79438
+7 (916) 8130060</f>
        <v>#NAME?</v>
      </c>
      <c r="F3108" s="5" t="s">
        <v>34660</v>
      </c>
      <c r="G3108" s="5" t="s">
        <v>34661</v>
      </c>
      <c r="H3108" s="26">
        <v>19</v>
      </c>
      <c r="I3108" s="5" t="s">
        <v>34662</v>
      </c>
      <c r="J3108" s="5" t="s">
        <v>34663</v>
      </c>
      <c r="K3108" s="5" t="s">
        <v>344</v>
      </c>
      <c r="L3108" s="5" t="s">
        <v>34664</v>
      </c>
      <c r="M3108" s="27"/>
      <c r="N3108" s="5" t="s">
        <v>54173</v>
      </c>
      <c r="O3108" s="5" t="str">
        <v>6367043313</v>
      </c>
      <c r="P3108" s="27">
        <v>10000</v>
      </c>
      <c r="Q3108" s="5" t="s">
        <v>49009</v>
      </c>
      <c r="R3108" s="5"/>
      <c r="S3108" s="5" t="s">
        <v>49884</v>
      </c>
      <c r="T3108" s="28">
        <v>1221657000</v>
      </c>
      <c r="U3108" s="28"/>
      <c r="V3108" s="28">
        <v>1217389000</v>
      </c>
      <c r="W3108" s="28"/>
      <c r="X3108" s="28">
        <v>219712000</v>
      </c>
      <c r="Y3108" s="28">
        <v>4449425000</v>
      </c>
      <c r="Z3108" s="28">
        <v>1622677000</v>
      </c>
      <c r="AA3108" s="28">
        <v>200000000</v>
      </c>
      <c r="AB3108" s="28">
        <v>693000</v>
      </c>
      <c r="AC3108" s="28">
        <v>612965000</v>
      </c>
      <c r="AD3108" s="28">
        <v>2920130000</v>
      </c>
      <c r="AE3108" s="28">
        <v>5296111000</v>
      </c>
      <c r="AF3108" s="28">
        <v>628451000</v>
      </c>
      <c r="AG3108" s="11"/>
    </row>
    <row r="3109">
      <c r="A3109" s="7" t="s">
        <v>4784</v>
      </c>
      <c r="B3109" s="5" t="s">
        <v>12757</v>
      </c>
      <c r="C3109" s="5" t="s">
        <v>20567</v>
      </c>
      <c r="D3109" s="5" t="str">
        <v>312318450384</v>
      </c>
      <c r="E3109" s="0" t="e">
        <f>+7 (472) 2200416
+7 (472) 2200423
+7 (472) 2202305
+7 (472) 2202306
+7 (472) 2269095
+7 (472) 2314248
+7 (472) 2340334
+7 (472) 2341551
+7 (472) 2343123
+7 (472) 2349418
+7 (472) 2349420
+7 (472) 2349422
+7 (472) 2357359
+7 (472) 2359057
+7 (472) 2359453</f>
        <v>#NAME?</v>
      </c>
      <c r="F3109" s="5"/>
      <c r="G3109" s="5" t="s">
        <v>34665</v>
      </c>
      <c r="H3109" s="26">
        <v>30</v>
      </c>
      <c r="I3109" s="5" t="s">
        <v>34666</v>
      </c>
      <c r="J3109" s="5" t="s">
        <v>26410</v>
      </c>
      <c r="K3109" s="5" t="s">
        <v>344</v>
      </c>
      <c r="L3109" s="5"/>
      <c r="M3109" s="27"/>
      <c r="N3109" s="5"/>
      <c r="O3109" s="5" t="str">
        <v>3123001994</v>
      </c>
      <c r="P3109" s="27">
        <v>351700</v>
      </c>
      <c r="Q3109" s="5"/>
      <c r="R3109" s="5"/>
      <c r="S3109" s="5" t="s">
        <v>49029</v>
      </c>
      <c r="T3109" s="28">
        <v>627052000</v>
      </c>
      <c r="U3109" s="28">
        <v>11000000</v>
      </c>
      <c r="V3109" s="28">
        <v>775521000</v>
      </c>
      <c r="W3109" s="28">
        <v>99000</v>
      </c>
      <c r="X3109" s="28">
        <v>93000</v>
      </c>
      <c r="Y3109" s="28">
        <v>1604909000</v>
      </c>
      <c r="Z3109" s="28">
        <v>1059940000</v>
      </c>
      <c r="AA3109" s="28">
        <v>100441000</v>
      </c>
      <c r="AB3109" s="28">
        <v>90411000</v>
      </c>
      <c r="AC3109" s="28">
        <v>321159000</v>
      </c>
      <c r="AD3109" s="28">
        <v>1060310000</v>
      </c>
      <c r="AE3109" s="28">
        <v>3171244000</v>
      </c>
      <c r="AF3109" s="28">
        <v>303402000</v>
      </c>
      <c r="AG3109" s="11"/>
    </row>
    <row r="3110">
      <c r="A3110" s="7" t="s">
        <v>4785</v>
      </c>
      <c r="B3110" s="5" t="s">
        <v>12758</v>
      </c>
      <c r="C3110" s="5" t="s">
        <v>20568</v>
      </c>
      <c r="D3110" s="5" t="str">
        <v>421811122492</v>
      </c>
      <c r="E3110" s="0" t="e">
        <f>+7 (3512) 642583
+7 (3512) 646492
+7 (3512) 647837
+7 (3512) 670439
+7 (3512) 670497
+7 (3512) 670543
+7 (3512) 671115
+7 (3512) 671125
+7 (3517) 916865
+7 (3843) 373918
+7 (3843) 398120
+7 (3843) 398127</f>
        <v>#NAME?</v>
      </c>
      <c r="F3110" s="5" t="s">
        <v>34667</v>
      </c>
      <c r="G3110" s="5" t="s">
        <v>34668</v>
      </c>
      <c r="H3110" s="26">
        <v>27</v>
      </c>
      <c r="I3110" s="5" t="s">
        <v>34669</v>
      </c>
      <c r="J3110" s="5" t="s">
        <v>31498</v>
      </c>
      <c r="K3110" s="5" t="s">
        <v>344</v>
      </c>
      <c r="L3110" s="5" t="s">
        <v>34670</v>
      </c>
      <c r="M3110" s="27">
        <v>40791069</v>
      </c>
      <c r="N3110" s="5" t="s">
        <v>54174</v>
      </c>
      <c r="O3110" s="5" t="str">
        <v>4216001565</v>
      </c>
      <c r="P3110" s="27">
        <v>4030334340</v>
      </c>
      <c r="Q3110" s="5" t="s">
        <v>49009</v>
      </c>
      <c r="R3110" s="5"/>
      <c r="S3110" s="5" t="s">
        <v>54175</v>
      </c>
      <c r="T3110" s="28">
        <v>4752105000</v>
      </c>
      <c r="U3110" s="28"/>
      <c r="V3110" s="28">
        <v>1157108000</v>
      </c>
      <c r="W3110" s="28"/>
      <c r="X3110" s="28">
        <v>12072529000</v>
      </c>
      <c r="Y3110" s="28">
        <v>20434656000</v>
      </c>
      <c r="Z3110" s="28">
        <v>2709829000</v>
      </c>
      <c r="AA3110" s="28"/>
      <c r="AB3110" s="28">
        <v>9749431000</v>
      </c>
      <c r="AC3110" s="28">
        <v>12173869000</v>
      </c>
      <c r="AD3110" s="28">
        <v>7806070000</v>
      </c>
      <c r="AE3110" s="28">
        <v>36517400000</v>
      </c>
      <c r="AF3110" s="28">
        <v>2709829000</v>
      </c>
      <c r="AG3110" s="11"/>
    </row>
    <row r="3111">
      <c r="A3111" s="7" t="s">
        <v>4786</v>
      </c>
      <c r="B3111" s="5" t="s">
        <v>12759</v>
      </c>
      <c r="C3111" s="5" t="s">
        <v>20569</v>
      </c>
      <c r="D3111" s="5" t="str">
        <v>463001243709</v>
      </c>
      <c r="E3111" s="0" t="e">
        <f>+7 (471) 242248
+7 (471) 2242248
+7 (471) 2249915
+7 (471) 2499124
+7 (4712) 327884
+7 (4712) 327909
+7 (4712) 328522
+7 (4712) 329298
+7 (807) 7122248</f>
        <v>#NAME?</v>
      </c>
      <c r="F3111" s="5" t="s">
        <v>34671</v>
      </c>
      <c r="G3111" s="5"/>
      <c r="H3111" s="26">
        <v>28.5</v>
      </c>
      <c r="I3111" s="5" t="s">
        <v>34672</v>
      </c>
      <c r="J3111" s="5" t="s">
        <v>32827</v>
      </c>
      <c r="K3111" s="5" t="s">
        <v>344</v>
      </c>
      <c r="L3111" s="5" t="s">
        <v>34673</v>
      </c>
      <c r="M3111" s="27"/>
      <c r="N3111" s="5"/>
      <c r="O3111" s="5" t="str">
        <v>4630012490</v>
      </c>
      <c r="P3111" s="27">
        <v>5000000</v>
      </c>
      <c r="Q3111" s="5"/>
      <c r="R3111" s="5"/>
      <c r="S3111" s="5" t="s">
        <v>49425</v>
      </c>
      <c r="T3111" s="28">
        <v>305304000</v>
      </c>
      <c r="U3111" s="28">
        <v>116000</v>
      </c>
      <c r="V3111" s="28">
        <v>354022000</v>
      </c>
      <c r="W3111" s="28">
        <v>200000000</v>
      </c>
      <c r="X3111" s="28">
        <v>15194000</v>
      </c>
      <c r="Y3111" s="28">
        <v>1255600000</v>
      </c>
      <c r="Z3111" s="28">
        <v>1040082000</v>
      </c>
      <c r="AA3111" s="28"/>
      <c r="AB3111" s="28">
        <v>83326000</v>
      </c>
      <c r="AC3111" s="28">
        <v>182725000</v>
      </c>
      <c r="AD3111" s="28">
        <v>1070434000</v>
      </c>
      <c r="AE3111" s="28">
        <v>3106286000</v>
      </c>
      <c r="AF3111" s="28">
        <v>615228000</v>
      </c>
      <c r="AG3111" s="11"/>
    </row>
    <row r="3112">
      <c r="A3112" s="7" t="s">
        <v>4787</v>
      </c>
      <c r="B3112" s="5" t="s">
        <v>12760</v>
      </c>
      <c r="C3112" s="5" t="s">
        <v>20570</v>
      </c>
      <c r="D3112" s="5" t="str">
        <v>740304782837</v>
      </c>
      <c r="E3112" s="0" t="e">
        <f>+7 (861) 2025044
+7 (86196) 21835</f>
        <v>#NAME?</v>
      </c>
      <c r="F3112" s="5" t="s">
        <v>34674</v>
      </c>
      <c r="G3112" s="5"/>
      <c r="H3112" s="26">
        <v>29.5</v>
      </c>
      <c r="I3112" s="5" t="s">
        <v>34675</v>
      </c>
      <c r="J3112" s="5" t="s">
        <v>26526</v>
      </c>
      <c r="K3112" s="5" t="s">
        <v>344</v>
      </c>
      <c r="L3112" s="5" t="s">
        <v>34676</v>
      </c>
      <c r="M3112" s="27">
        <v>4482812</v>
      </c>
      <c r="N3112" s="5" t="s">
        <v>54176</v>
      </c>
      <c r="O3112" s="5" t="str">
        <v>2321003663</v>
      </c>
      <c r="P3112" s="27">
        <v>103700</v>
      </c>
      <c r="Q3112" s="5" t="s">
        <v>54177</v>
      </c>
      <c r="R3112" s="5" t="s">
        <v>53187</v>
      </c>
      <c r="S3112" s="5" t="s">
        <v>54178</v>
      </c>
      <c r="T3112" s="28">
        <v>342235000</v>
      </c>
      <c r="U3112" s="28">
        <v>185000000</v>
      </c>
      <c r="V3112" s="28">
        <v>378087000</v>
      </c>
      <c r="W3112" s="28"/>
      <c r="X3112" s="28">
        <v>177311000</v>
      </c>
      <c r="Y3112" s="28">
        <v>1686265000</v>
      </c>
      <c r="Z3112" s="28">
        <v>540286000</v>
      </c>
      <c r="AA3112" s="28">
        <v>147966000</v>
      </c>
      <c r="AB3112" s="28">
        <v>801905000</v>
      </c>
      <c r="AC3112" s="28">
        <v>961091000</v>
      </c>
      <c r="AD3112" s="28">
        <v>540395000</v>
      </c>
      <c r="AE3112" s="28">
        <v>3395484000</v>
      </c>
      <c r="AF3112" s="28">
        <v>215636000</v>
      </c>
      <c r="AG3112" s="11"/>
    </row>
    <row r="3113">
      <c r="A3113" s="7" t="s">
        <v>4788</v>
      </c>
      <c r="B3113" s="5" t="s">
        <v>12761</v>
      </c>
      <c r="C3113" s="5" t="s">
        <v>20197</v>
      </c>
      <c r="D3113" s="5"/>
      <c r="E3113" s="0" t="e">
        <f>+7 (4725) 469950
+7 (4725) 469951
+7 (4725) 469952
+7 (4725) 469953
+7 (4725) 469954
+7 (4725) 469956
+7 (4725) 469957
+7 (4725) 469965
+7 (4725) 469966
+7 (4725) 469977
+7 (4725) 469978
+7 (4725) 469983
+7 (4725) 469984
+7 (4725) 469988
+7 (4725) 469992</f>
        <v>#NAME?</v>
      </c>
      <c r="F3113" s="5" t="s">
        <v>34677</v>
      </c>
      <c r="G3113" s="5" t="s">
        <v>33476</v>
      </c>
      <c r="H3113" s="26">
        <v>23</v>
      </c>
      <c r="I3113" s="5"/>
      <c r="J3113" s="5" t="s">
        <v>26526</v>
      </c>
      <c r="K3113" s="5" t="s">
        <v>344</v>
      </c>
      <c r="L3113" s="5" t="s">
        <v>34678</v>
      </c>
      <c r="M3113" s="27"/>
      <c r="N3113" s="5"/>
      <c r="O3113" s="5" t="str">
        <v>3128033189</v>
      </c>
      <c r="P3113" s="27">
        <v>74000000</v>
      </c>
      <c r="Q3113" s="5"/>
      <c r="R3113" s="5"/>
      <c r="S3113" s="5" t="s">
        <v>49029</v>
      </c>
      <c r="T3113" s="28">
        <v>276942000</v>
      </c>
      <c r="U3113" s="28">
        <v>301000000</v>
      </c>
      <c r="V3113" s="28">
        <v>1057267000</v>
      </c>
      <c r="W3113" s="28">
        <v>262238000</v>
      </c>
      <c r="X3113" s="28">
        <v>6407000</v>
      </c>
      <c r="Y3113" s="28">
        <v>2494600000</v>
      </c>
      <c r="Z3113" s="28">
        <v>516406000</v>
      </c>
      <c r="AA3113" s="28">
        <v>391097000</v>
      </c>
      <c r="AB3113" s="28">
        <v>1060091000</v>
      </c>
      <c r="AC3113" s="28">
        <v>1271040000</v>
      </c>
      <c r="AD3113" s="28">
        <v>821931000</v>
      </c>
      <c r="AE3113" s="28">
        <v>5887954000</v>
      </c>
      <c r="AF3113" s="28">
        <v>297622000</v>
      </c>
      <c r="AG3113" s="11"/>
    </row>
    <row r="3114">
      <c r="A3114" s="7" t="s">
        <v>4789</v>
      </c>
      <c r="B3114" s="5" t="s">
        <v>12762</v>
      </c>
      <c r="C3114" s="5" t="s">
        <v>20571</v>
      </c>
      <c r="D3114" s="5" t="str">
        <v>683306690643</v>
      </c>
      <c r="E3114" s="0" t="e">
        <f>+7 (495) 2279157
+7 (495) 2346101
+7 (495) 2361564
+7 (495) 2801604
+7 (495) 2801605
+7 (495) 2801663
+7 (495) 5406010
+7 (495) 5616437
+7 (495) 6219729
+7 (495) 6231906
+7 (495) 7301808
+7 (495) 7305521
+7 (495) 9308724
+7 (495) 9370477
+7 (495) 9382900</f>
        <v>#NAME?</v>
      </c>
      <c r="F3114" s="5" t="s">
        <v>34679</v>
      </c>
      <c r="G3114" s="5"/>
      <c r="H3114" s="26">
        <v>5</v>
      </c>
      <c r="I3114" s="5"/>
      <c r="J3114" s="5" t="s">
        <v>34680</v>
      </c>
      <c r="K3114" s="5" t="s">
        <v>344</v>
      </c>
      <c r="L3114" s="5" t="s">
        <v>34681</v>
      </c>
      <c r="M3114" s="27"/>
      <c r="N3114" s="5"/>
      <c r="O3114" s="5" t="str">
        <v>6950218905</v>
      </c>
      <c r="P3114" s="27">
        <v>20000000</v>
      </c>
      <c r="Q3114" s="5" t="s">
        <v>49009</v>
      </c>
      <c r="R3114" s="5" t="s">
        <v>54179</v>
      </c>
      <c r="S3114" s="5" t="s">
        <v>49045</v>
      </c>
      <c r="T3114" s="28">
        <v>3230160000</v>
      </c>
      <c r="U3114" s="28"/>
      <c r="V3114" s="28">
        <v>927777000</v>
      </c>
      <c r="W3114" s="28">
        <v>989602000</v>
      </c>
      <c r="X3114" s="28">
        <v>453183000</v>
      </c>
      <c r="Y3114" s="28">
        <v>7687906000</v>
      </c>
      <c r="Z3114" s="28">
        <v>1897360000</v>
      </c>
      <c r="AA3114" s="28">
        <v>43914000</v>
      </c>
      <c r="AB3114" s="28"/>
      <c r="AC3114" s="28">
        <v>1825348000</v>
      </c>
      <c r="AD3114" s="28">
        <v>1917360000</v>
      </c>
      <c r="AE3114" s="28">
        <v>8008043000</v>
      </c>
      <c r="AF3114" s="28">
        <v>1443581000</v>
      </c>
      <c r="AG3114" s="11"/>
    </row>
    <row r="3115">
      <c r="A3115" s="7" t="s">
        <v>4790</v>
      </c>
      <c r="B3115" s="5" t="s">
        <v>12763</v>
      </c>
      <c r="C3115" s="5" t="s">
        <v>20572</v>
      </c>
      <c r="D3115" s="5" t="str">
        <v>504213701820</v>
      </c>
      <c r="E3115" s="0" t="e">
        <f>+7 (495) 7800005
+7 (495) 5750758
+7 (495) 7800003
+7 (495) 7802095</f>
        <v>#NAME?</v>
      </c>
      <c r="F3115" s="5" t="s">
        <v>34682</v>
      </c>
      <c r="G3115" s="5" t="s">
        <v>34683</v>
      </c>
      <c r="H3115" s="26">
        <v>13</v>
      </c>
      <c r="I3115" s="5" t="s">
        <v>34684</v>
      </c>
      <c r="J3115" s="5" t="s">
        <v>25674</v>
      </c>
      <c r="K3115" s="5" t="s">
        <v>355</v>
      </c>
      <c r="L3115" s="5" t="s">
        <v>34685</v>
      </c>
      <c r="M3115" s="27"/>
      <c r="N3115" s="5" t="s">
        <v>54180</v>
      </c>
      <c r="O3115" s="5" t="str">
        <v>5047111019</v>
      </c>
      <c r="P3115" s="27">
        <v>10000</v>
      </c>
      <c r="Q3115" s="5" t="s">
        <v>49021</v>
      </c>
      <c r="R3115" s="5"/>
      <c r="S3115" s="5" t="s">
        <v>54181</v>
      </c>
      <c r="T3115" s="28">
        <v>231137000</v>
      </c>
      <c r="U3115" s="28"/>
      <c r="V3115" s="28">
        <v>189720000</v>
      </c>
      <c r="W3115" s="28">
        <v>271849000</v>
      </c>
      <c r="X3115" s="28">
        <v>2479000</v>
      </c>
      <c r="Y3115" s="28">
        <v>1179696000</v>
      </c>
      <c r="Z3115" s="28">
        <v>314897000</v>
      </c>
      <c r="AA3115" s="28"/>
      <c r="AB3115" s="28">
        <v>493356000</v>
      </c>
      <c r="AC3115" s="28">
        <v>864635000</v>
      </c>
      <c r="AD3115" s="28">
        <v>314907000</v>
      </c>
      <c r="AE3115" s="28">
        <v>5251092000</v>
      </c>
      <c r="AF3115" s="28">
        <v>102537000</v>
      </c>
      <c r="AG3115" s="11"/>
    </row>
    <row r="3116">
      <c r="A3116" s="7" t="s">
        <v>4791</v>
      </c>
      <c r="B3116" s="5" t="s">
        <v>12764</v>
      </c>
      <c r="C3116" s="5" t="s">
        <v>18656</v>
      </c>
      <c r="D3116" s="5" t="str">
        <v>773387267912</v>
      </c>
      <c r="E3116" s="0" t="e">
        <f>+7 (926) 5279492
+7 (474) 2423000
+7 (474) 2423001
+7 (474) 2423002
+7 (474) 2726873
+7 (474) 2768701
+7 (474) 2908000
+7 (985) 5600865</f>
        <v>#NAME?</v>
      </c>
      <c r="F3116" s="5" t="s">
        <v>34686</v>
      </c>
      <c r="G3116" s="5" t="s">
        <v>34687</v>
      </c>
      <c r="H3116" s="26">
        <v>20.5</v>
      </c>
      <c r="I3116" s="5" t="s">
        <v>34688</v>
      </c>
      <c r="J3116" s="5" t="s">
        <v>25450</v>
      </c>
      <c r="K3116" s="5" t="s">
        <v>355</v>
      </c>
      <c r="L3116" s="5" t="s">
        <v>34689</v>
      </c>
      <c r="M3116" s="27">
        <v>5840881</v>
      </c>
      <c r="N3116" s="5" t="s">
        <v>54182</v>
      </c>
      <c r="O3116" s="5" t="str">
        <v>4813007240</v>
      </c>
      <c r="P3116" s="27">
        <v>1554257800</v>
      </c>
      <c r="Q3116" s="5" t="s">
        <v>49009</v>
      </c>
      <c r="R3116" s="5" t="s">
        <v>54184</v>
      </c>
      <c r="S3116" s="5" t="s">
        <v>49504</v>
      </c>
      <c r="T3116" s="28">
        <v>32387928000</v>
      </c>
      <c r="U3116" s="28">
        <v>1308472000</v>
      </c>
      <c r="V3116" s="28">
        <v>6283491000</v>
      </c>
      <c r="W3116" s="28"/>
      <c r="X3116" s="28">
        <v>16494000</v>
      </c>
      <c r="Y3116" s="28">
        <v>53223122000</v>
      </c>
      <c r="Z3116" s="28">
        <v>11993692000</v>
      </c>
      <c r="AA3116" s="28">
        <v>2335654000</v>
      </c>
      <c r="AB3116" s="28">
        <v>15344618000</v>
      </c>
      <c r="AC3116" s="28">
        <v>31051700000</v>
      </c>
      <c r="AD3116" s="28">
        <v>18431312000</v>
      </c>
      <c r="AE3116" s="28">
        <v>79791613000</v>
      </c>
      <c r="AF3116" s="28">
        <v>9541845000</v>
      </c>
      <c r="AG3116" s="11"/>
    </row>
    <row r="3117">
      <c r="A3117" s="7" t="s">
        <v>4792</v>
      </c>
      <c r="B3117" s="5" t="s">
        <v>12765</v>
      </c>
      <c r="C3117" s="5" t="s">
        <v>20573</v>
      </c>
      <c r="D3117" s="5" t="str">
        <v>332908540065</v>
      </c>
      <c r="E3117" s="0" t="e">
        <f>+7 (495) 5617936
+7 (495) 9923810
+7 (49624) 68234
+7 (49624) 68821
+7 (4983) 149215
+7 (4985) 684878
+7 (915) 3912804
+7 (916) 907754
+7 (985) 2694391</f>
        <v>#NAME?</v>
      </c>
      <c r="F3117" s="5" t="s">
        <v>34690</v>
      </c>
      <c r="G3117" s="5"/>
      <c r="H3117" s="26">
        <v>11.5</v>
      </c>
      <c r="I3117" s="5" t="s">
        <v>34691</v>
      </c>
      <c r="J3117" s="5" t="s">
        <v>34692</v>
      </c>
      <c r="K3117" s="5"/>
      <c r="L3117" s="5"/>
      <c r="M3117" s="27"/>
      <c r="N3117" s="5"/>
      <c r="O3117" s="5" t="str">
        <v>5017091830</v>
      </c>
      <c r="P3117" s="27"/>
      <c r="Q3117" s="5"/>
      <c r="R3117" s="5" t="s">
        <v>52127</v>
      </c>
      <c r="S3117" s="5" t="s">
        <v>50404</v>
      </c>
      <c r="T3117" s="28">
        <v>960513268000</v>
      </c>
      <c r="U3117" s="28"/>
      <c r="V3117" s="28">
        <v>611965312000</v>
      </c>
      <c r="W3117" s="28"/>
      <c r="X3117" s="28">
        <v>115824691000</v>
      </c>
      <c r="Y3117" s="28">
        <v>2084940085000</v>
      </c>
      <c r="Z3117" s="28"/>
      <c r="AA3117" s="28"/>
      <c r="AB3117" s="28"/>
      <c r="AC3117" s="28">
        <v>2084940085000</v>
      </c>
      <c r="AD3117" s="28">
        <v>669695831000</v>
      </c>
      <c r="AE3117" s="28">
        <v>210615775000</v>
      </c>
      <c r="AF3117" s="28">
        <v>-501417964000</v>
      </c>
      <c r="AG3117" s="11"/>
    </row>
    <row r="3118">
      <c r="A3118" s="7" t="s">
        <v>4793</v>
      </c>
      <c r="B3118" s="5" t="s">
        <v>12766</v>
      </c>
      <c r="C3118" s="5" t="s">
        <v>20574</v>
      </c>
      <c r="D3118" s="5" t="str">
        <v>431207869582</v>
      </c>
      <c r="E3118" s="0" t="e">
        <f>+7 (83361) 51406
+7 (8332) 761520
+7 (83361) 24844
+7 (83361) 34302
+7 (83361) 34308
+7 (83361) 35401
+7 (83361) 35408
+7 (83361) 52067
+7 (83361) 52090
+7 (83361) 53408
+7 (83361) 54060
+7 (83361) 92824
+7 (83361) 92844
+7 (922) 9429694</f>
        <v>#NAME?</v>
      </c>
      <c r="F3118" s="5" t="s">
        <v>34693</v>
      </c>
      <c r="G3118" s="5" t="s">
        <v>34694</v>
      </c>
      <c r="H3118" s="26">
        <v>15</v>
      </c>
      <c r="I3118" s="5" t="s">
        <v>34695</v>
      </c>
      <c r="J3118" s="5" t="s">
        <v>25512</v>
      </c>
      <c r="K3118" s="5" t="s">
        <v>344</v>
      </c>
      <c r="L3118" s="5" t="s">
        <v>34696</v>
      </c>
      <c r="M3118" s="27"/>
      <c r="N3118" s="5" t="s">
        <v>54185</v>
      </c>
      <c r="O3118" s="5" t="str">
        <v>4312138026</v>
      </c>
      <c r="P3118" s="27">
        <v>20000</v>
      </c>
      <c r="Q3118" s="5"/>
      <c r="R3118" s="5"/>
      <c r="S3118" s="5" t="s">
        <v>49047</v>
      </c>
      <c r="T3118" s="28">
        <v>101772000</v>
      </c>
      <c r="U3118" s="28"/>
      <c r="V3118" s="28">
        <v>922782000</v>
      </c>
      <c r="W3118" s="28">
        <v>110800000</v>
      </c>
      <c r="X3118" s="28">
        <v>379906000</v>
      </c>
      <c r="Y3118" s="28">
        <v>4366233000</v>
      </c>
      <c r="Z3118" s="28">
        <v>1697759000</v>
      </c>
      <c r="AA3118" s="28">
        <v>644587000</v>
      </c>
      <c r="AB3118" s="28">
        <v>220191000</v>
      </c>
      <c r="AC3118" s="28">
        <v>1923466000</v>
      </c>
      <c r="AD3118" s="28">
        <v>1697779000</v>
      </c>
      <c r="AE3118" s="28">
        <v>4602844000</v>
      </c>
      <c r="AF3118" s="28">
        <v>628514000</v>
      </c>
      <c r="AG3118" s="11"/>
    </row>
    <row r="3119">
      <c r="A3119" s="7" t="s">
        <v>4794</v>
      </c>
      <c r="B3119" s="5" t="s">
        <v>12767</v>
      </c>
      <c r="C3119" s="5" t="s">
        <v>20575</v>
      </c>
      <c r="D3119" s="5" t="str">
        <v>770705945703</v>
      </c>
      <c r="E3119" s="0" t="e">
        <f>+7 (343) 2537769
+7 (812) 9830241
+7 (495) 1222290
+7 (495) 6650277
+7 (495) 9830240
+7 (495) 9830241
+7 (495) 9873710
+7 (911) 9268701</f>
        <v>#NAME?</v>
      </c>
      <c r="F3119" s="5" t="s">
        <v>34697</v>
      </c>
      <c r="G3119" s="5" t="s">
        <v>34698</v>
      </c>
      <c r="H3119" s="26">
        <v>19</v>
      </c>
      <c r="I3119" s="5" t="s">
        <v>34699</v>
      </c>
      <c r="J3119" s="5" t="s">
        <v>31552</v>
      </c>
      <c r="K3119" s="5" t="s">
        <v>344</v>
      </c>
      <c r="L3119" s="5" t="s">
        <v>34700</v>
      </c>
      <c r="M3119" s="27"/>
      <c r="N3119" s="5" t="s">
        <v>54186</v>
      </c>
      <c r="O3119" s="5" t="str">
        <v>7704514742</v>
      </c>
      <c r="P3119" s="27">
        <v>8251077</v>
      </c>
      <c r="Q3119" s="5" t="s">
        <v>54187</v>
      </c>
      <c r="R3119" s="5"/>
      <c r="S3119" s="5" t="s">
        <v>54188</v>
      </c>
      <c r="T3119" s="28">
        <v>393337000</v>
      </c>
      <c r="U3119" s="28"/>
      <c r="V3119" s="28">
        <v>4316660000</v>
      </c>
      <c r="W3119" s="28">
        <v>3414000</v>
      </c>
      <c r="X3119" s="28">
        <v>2500656000</v>
      </c>
      <c r="Y3119" s="28">
        <v>8675515000</v>
      </c>
      <c r="Z3119" s="28">
        <v>5078757000</v>
      </c>
      <c r="AA3119" s="28">
        <v>1262271000</v>
      </c>
      <c r="AB3119" s="28">
        <v>24175000</v>
      </c>
      <c r="AC3119" s="28">
        <v>2134206000</v>
      </c>
      <c r="AD3119" s="28">
        <v>5087009000</v>
      </c>
      <c r="AE3119" s="28">
        <v>6655034000</v>
      </c>
      <c r="AF3119" s="28">
        <v>817819000</v>
      </c>
      <c r="AG3119" s="11"/>
    </row>
    <row r="3120">
      <c r="A3120" s="7" t="s">
        <v>4795</v>
      </c>
      <c r="B3120" s="5" t="s">
        <v>12768</v>
      </c>
      <c r="C3120" s="5" t="s">
        <v>20576</v>
      </c>
      <c r="D3120" s="5" t="str">
        <v>344205729910</v>
      </c>
      <c r="E3120" s="0" t="e">
        <f>+7 (495) 7855150
+7 (495) 2299147
+7 (49636) 28437
+7 (49636) 44740
+7 (86352) 33433</f>
        <v>#NAME?</v>
      </c>
      <c r="F3120" s="5" t="s">
        <v>34701</v>
      </c>
      <c r="G3120" s="5" t="s">
        <v>34702</v>
      </c>
      <c r="H3120" s="26">
        <v>30</v>
      </c>
      <c r="I3120" s="5" t="s">
        <v>34703</v>
      </c>
      <c r="J3120" s="5" t="s">
        <v>27486</v>
      </c>
      <c r="K3120" s="5" t="s">
        <v>344</v>
      </c>
      <c r="L3120" s="5" t="s">
        <v>34704</v>
      </c>
      <c r="M3120" s="27"/>
      <c r="N3120" s="5"/>
      <c r="O3120" s="5" t="str">
        <v>5004016145</v>
      </c>
      <c r="P3120" s="27">
        <v>1192422000</v>
      </c>
      <c r="Q3120" s="5"/>
      <c r="R3120" s="5"/>
      <c r="S3120" s="5" t="s">
        <v>50509</v>
      </c>
      <c r="T3120" s="28">
        <v>6028853000</v>
      </c>
      <c r="U3120" s="28">
        <v>1737000</v>
      </c>
      <c r="V3120" s="28">
        <v>6700820000</v>
      </c>
      <c r="W3120" s="28">
        <v>2078000</v>
      </c>
      <c r="X3120" s="28">
        <v>2075973000</v>
      </c>
      <c r="Y3120" s="28">
        <v>18510588000</v>
      </c>
      <c r="Z3120" s="28">
        <v>7465601000</v>
      </c>
      <c r="AA3120" s="28"/>
      <c r="AB3120" s="28">
        <v>3163562000</v>
      </c>
      <c r="AC3120" s="28">
        <v>9325815000</v>
      </c>
      <c r="AD3120" s="28">
        <v>8706440000</v>
      </c>
      <c r="AE3120" s="28">
        <v>22486709000</v>
      </c>
      <c r="AF3120" s="28">
        <v>885414000</v>
      </c>
      <c r="AG3120" s="11"/>
    </row>
    <row r="3121">
      <c r="A3121" s="7" t="s">
        <v>4796</v>
      </c>
      <c r="B3121" s="5" t="s">
        <v>12769</v>
      </c>
      <c r="C3121" s="5" t="s">
        <v>20577</v>
      </c>
      <c r="D3121" s="5" t="str">
        <v>420509228749</v>
      </c>
      <c r="E3121" s="0" t="e">
        <f>+7 (384) 2340008
+7 (384) 2364718
+7 (384) 2442173
+7 (384) 2442182
+7 (3843) 364719
+7 (38471) 52869
+7 (900) 1040599
+7 (962) 7340374
+7 (384) 2390205
+7 (384) 2442176
+7 (38447) 32159
+7 (38449) 28496
+7 (38452) 20903
+7 (38454) 46070
+7 (38473) 30370</f>
        <v>#NAME?</v>
      </c>
      <c r="F3121" s="5" t="s">
        <v>34705</v>
      </c>
      <c r="G3121" s="5" t="s">
        <v>34706</v>
      </c>
      <c r="H3121" s="26">
        <v>16.5</v>
      </c>
      <c r="I3121" s="5" t="s">
        <v>34707</v>
      </c>
      <c r="J3121" s="5" t="s">
        <v>27802</v>
      </c>
      <c r="K3121" s="5" t="s">
        <v>355</v>
      </c>
      <c r="L3121" s="5"/>
      <c r="M3121" s="27">
        <v>621298</v>
      </c>
      <c r="N3121" s="5" t="s">
        <v>54189</v>
      </c>
      <c r="O3121" s="5" t="str">
        <v>4205109750</v>
      </c>
      <c r="P3121" s="27">
        <v>102000</v>
      </c>
      <c r="Q3121" s="5" t="s">
        <v>54191</v>
      </c>
      <c r="R3121" s="5"/>
      <c r="S3121" s="5" t="s">
        <v>51199</v>
      </c>
      <c r="T3121" s="28">
        <v>11662202000</v>
      </c>
      <c r="U3121" s="28">
        <v>198000</v>
      </c>
      <c r="V3121" s="28">
        <v>459606000</v>
      </c>
      <c r="W3121" s="28">
        <v>179000</v>
      </c>
      <c r="X3121" s="28">
        <v>74824000</v>
      </c>
      <c r="Y3121" s="28">
        <v>13968730000</v>
      </c>
      <c r="Z3121" s="28">
        <v>2174060000</v>
      </c>
      <c r="AA3121" s="28"/>
      <c r="AB3121" s="28">
        <v>3420100000</v>
      </c>
      <c r="AC3121" s="28">
        <v>5332024000</v>
      </c>
      <c r="AD3121" s="28">
        <v>5061566000</v>
      </c>
      <c r="AE3121" s="28">
        <v>3971613000</v>
      </c>
      <c r="AF3121" s="28">
        <v>-1843468000</v>
      </c>
      <c r="AG3121" s="11"/>
    </row>
    <row r="3122">
      <c r="A3122" s="7" t="s">
        <v>4797</v>
      </c>
      <c r="B3122" s="5" t="s">
        <v>12770</v>
      </c>
      <c r="C3122" s="5" t="s">
        <v>20578</v>
      </c>
      <c r="D3122" s="5" t="str">
        <v>770100080204</v>
      </c>
      <c r="E3122" s="0" t="e">
        <f>+7 (985) 7607638</f>
        <v>#NAME?</v>
      </c>
      <c r="F3122" s="5"/>
      <c r="G3122" s="5" t="s">
        <v>34708</v>
      </c>
      <c r="H3122" s="26">
        <v>8</v>
      </c>
      <c r="I3122" s="5" t="s">
        <v>34709</v>
      </c>
      <c r="J3122" s="5" t="s">
        <v>502</v>
      </c>
      <c r="K3122" s="5" t="s">
        <v>344</v>
      </c>
      <c r="L3122" s="5" t="s">
        <v>34710</v>
      </c>
      <c r="M3122" s="27"/>
      <c r="N3122" s="5" t="s">
        <v>54192</v>
      </c>
      <c r="O3122" s="5" t="str">
        <v>7703041155</v>
      </c>
      <c r="P3122" s="27">
        <v>10000000</v>
      </c>
      <c r="Q3122" s="5" t="s">
        <v>54193</v>
      </c>
      <c r="R3122" s="5"/>
      <c r="S3122" s="5" t="s">
        <v>51668</v>
      </c>
      <c r="T3122" s="28">
        <v>251047000</v>
      </c>
      <c r="U3122" s="28">
        <v>16108000</v>
      </c>
      <c r="V3122" s="28">
        <v>1218206000</v>
      </c>
      <c r="W3122" s="28">
        <v>193309000</v>
      </c>
      <c r="X3122" s="28">
        <v>878116000</v>
      </c>
      <c r="Y3122" s="28">
        <v>2684952000</v>
      </c>
      <c r="Z3122" s="28">
        <v>507302000</v>
      </c>
      <c r="AA3122" s="28">
        <v>23896000</v>
      </c>
      <c r="AB3122" s="28">
        <v>102627000</v>
      </c>
      <c r="AC3122" s="28">
        <v>2059662000</v>
      </c>
      <c r="AD3122" s="28">
        <v>517302000</v>
      </c>
      <c r="AE3122" s="28">
        <v>4032698000</v>
      </c>
      <c r="AF3122" s="28">
        <v>84342000</v>
      </c>
      <c r="AG3122" s="11"/>
    </row>
    <row r="3123">
      <c r="A3123" s="7" t="s">
        <v>4798</v>
      </c>
      <c r="B3123" s="5" t="s">
        <v>12771</v>
      </c>
      <c r="C3123" s="5" t="s">
        <v>20579</v>
      </c>
      <c r="D3123" s="5" t="str">
        <v>773383948815</v>
      </c>
      <c r="E3123" s="0" t="e">
        <f>+7 (861) 2689278
+7 (861) 2015276
+7 (861) 2170376
+7 (918) 3801913</f>
        <v>#NAME?</v>
      </c>
      <c r="F3123" s="5" t="s">
        <v>34711</v>
      </c>
      <c r="G3123" s="5" t="s">
        <v>34712</v>
      </c>
      <c r="H3123" s="26">
        <v>15</v>
      </c>
      <c r="I3123" s="5" t="s">
        <v>34713</v>
      </c>
      <c r="J3123" s="5" t="s">
        <v>26623</v>
      </c>
      <c r="K3123" s="5" t="s">
        <v>344</v>
      </c>
      <c r="L3123" s="5" t="s">
        <v>34714</v>
      </c>
      <c r="M3123" s="27">
        <v>67888487</v>
      </c>
      <c r="N3123" s="5" t="s">
        <v>54194</v>
      </c>
      <c r="O3123" s="5" t="str">
        <v>2308138781</v>
      </c>
      <c r="P3123" s="27">
        <v>163431800</v>
      </c>
      <c r="Q3123" s="5" t="s">
        <v>54195</v>
      </c>
      <c r="R3123" s="5"/>
      <c r="S3123" s="5" t="s">
        <v>54196</v>
      </c>
      <c r="T3123" s="28">
        <v>98000000</v>
      </c>
      <c r="U3123" s="28"/>
      <c r="V3123" s="28">
        <v>1691087000</v>
      </c>
      <c r="W3123" s="28">
        <v>220000</v>
      </c>
      <c r="X3123" s="28">
        <v>2379000</v>
      </c>
      <c r="Y3123" s="28">
        <v>1809363000</v>
      </c>
      <c r="Z3123" s="28">
        <v>175543000</v>
      </c>
      <c r="AA3123" s="28"/>
      <c r="AB3123" s="28">
        <v>317969000</v>
      </c>
      <c r="AC3123" s="28">
        <v>1428290000</v>
      </c>
      <c r="AD3123" s="28">
        <v>338974000</v>
      </c>
      <c r="AE3123" s="28">
        <v>14931989000</v>
      </c>
      <c r="AF3123" s="28">
        <v>101379000</v>
      </c>
      <c r="AG3123" s="11"/>
    </row>
    <row r="3124">
      <c r="A3124" s="7" t="s">
        <v>4799</v>
      </c>
      <c r="B3124" s="5" t="s">
        <v>12772</v>
      </c>
      <c r="C3124" s="5" t="s">
        <v>20580</v>
      </c>
      <c r="D3124" s="5" t="str">
        <v>590606588906</v>
      </c>
      <c r="E3124" s="0" t="e">
        <f>+7 (3422) 609387
+7 (3422) 609676
+7 (34271) 20030
+7 (34273) 45085</f>
        <v>#NAME?</v>
      </c>
      <c r="F3124" s="5" t="s">
        <v>34715</v>
      </c>
      <c r="G3124" s="5" t="s">
        <v>34716</v>
      </c>
      <c r="H3124" s="26">
        <v>18.5</v>
      </c>
      <c r="I3124" s="5"/>
      <c r="J3124" s="5" t="s">
        <v>26623</v>
      </c>
      <c r="K3124" s="5" t="s">
        <v>344</v>
      </c>
      <c r="L3124" s="5" t="s">
        <v>34717</v>
      </c>
      <c r="M3124" s="27"/>
      <c r="N3124" s="5" t="s">
        <v>50288</v>
      </c>
      <c r="O3124" s="5" t="str">
        <v>7727513174</v>
      </c>
      <c r="P3124" s="27">
        <v>10000</v>
      </c>
      <c r="Q3124" s="5" t="s">
        <v>49009</v>
      </c>
      <c r="R3124" s="5"/>
      <c r="S3124" s="5" t="s">
        <v>49120</v>
      </c>
      <c r="T3124" s="28"/>
      <c r="U3124" s="28"/>
      <c r="V3124" s="28">
        <v>387617000</v>
      </c>
      <c r="W3124" s="28"/>
      <c r="X3124" s="28">
        <v>180000</v>
      </c>
      <c r="Y3124" s="28">
        <v>387860000</v>
      </c>
      <c r="Z3124" s="28">
        <v>120273000</v>
      </c>
      <c r="AA3124" s="28"/>
      <c r="AB3124" s="28"/>
      <c r="AC3124" s="28">
        <v>264354000</v>
      </c>
      <c r="AD3124" s="28">
        <v>120284000</v>
      </c>
      <c r="AE3124" s="28">
        <v>3369917000</v>
      </c>
      <c r="AF3124" s="28">
        <v>209908000</v>
      </c>
      <c r="AG3124" s="11"/>
    </row>
    <row r="3125">
      <c r="A3125" s="7" t="s">
        <v>4800</v>
      </c>
      <c r="B3125" s="5" t="s">
        <v>12773</v>
      </c>
      <c r="C3125" s="5" t="s">
        <v>20581</v>
      </c>
      <c r="D3125" s="5" t="str">
        <v>026909460672</v>
      </c>
      <c r="E3125" s="0" t="e">
        <f>+7 (8555) 494776
+7 (8555) 494701
+7 (8555) 745410</f>
        <v>#NAME?</v>
      </c>
      <c r="F3125" s="5" t="s">
        <v>34718</v>
      </c>
      <c r="G3125" s="5" t="s">
        <v>34719</v>
      </c>
      <c r="H3125" s="26">
        <v>19.5</v>
      </c>
      <c r="I3125" s="5" t="s">
        <v>34720</v>
      </c>
      <c r="J3125" s="5" t="s">
        <v>991</v>
      </c>
      <c r="K3125" s="5" t="s">
        <v>344</v>
      </c>
      <c r="L3125" s="5" t="s">
        <v>34721</v>
      </c>
      <c r="M3125" s="27"/>
      <c r="N3125" s="5" t="s">
        <v>54197</v>
      </c>
      <c r="O3125" s="5" t="str">
        <v>1651037732</v>
      </c>
      <c r="P3125" s="27">
        <v>151773000</v>
      </c>
      <c r="Q3125" s="5" t="s">
        <v>54198</v>
      </c>
      <c r="R3125" s="5"/>
      <c r="S3125" s="5" t="s">
        <v>50538</v>
      </c>
      <c r="T3125" s="28">
        <v>685850000</v>
      </c>
      <c r="U3125" s="28"/>
      <c r="V3125" s="28">
        <v>224859000</v>
      </c>
      <c r="W3125" s="28">
        <v>899000</v>
      </c>
      <c r="X3125" s="28">
        <v>53033000</v>
      </c>
      <c r="Y3125" s="28">
        <v>1399181000</v>
      </c>
      <c r="Z3125" s="28">
        <v>484785000</v>
      </c>
      <c r="AA3125" s="28">
        <v>300000000</v>
      </c>
      <c r="AB3125" s="28">
        <v>90000</v>
      </c>
      <c r="AC3125" s="28">
        <v>405295000</v>
      </c>
      <c r="AD3125" s="28">
        <v>644142000</v>
      </c>
      <c r="AE3125" s="28">
        <v>3150602000</v>
      </c>
      <c r="AF3125" s="28">
        <v>241776000</v>
      </c>
      <c r="AG3125" s="11"/>
    </row>
    <row r="3126">
      <c r="A3126" s="7" t="s">
        <v>4801</v>
      </c>
      <c r="B3126" s="5" t="s">
        <v>12774</v>
      </c>
      <c r="C3126" s="5" t="s">
        <v>20582</v>
      </c>
      <c r="D3126" s="5" t="str">
        <v>360401402056</v>
      </c>
      <c r="E3126" s="0" t="e">
        <f>+7 (495) 7397476
+7 (495) 2761117
+7 (495) 7397534</f>
        <v>#NAME?</v>
      </c>
      <c r="F3126" s="5" t="s">
        <v>34722</v>
      </c>
      <c r="G3126" s="5"/>
      <c r="H3126" s="26">
        <v>17</v>
      </c>
      <c r="I3126" s="5" t="s">
        <v>34723</v>
      </c>
      <c r="J3126" s="5" t="s">
        <v>25559</v>
      </c>
      <c r="K3126" s="5" t="s">
        <v>344</v>
      </c>
      <c r="L3126" s="5" t="s">
        <v>34724</v>
      </c>
      <c r="M3126" s="27"/>
      <c r="N3126" s="5" t="s">
        <v>54199</v>
      </c>
      <c r="O3126" s="5" t="str">
        <v>5003058583</v>
      </c>
      <c r="P3126" s="27">
        <v>3580488</v>
      </c>
      <c r="Q3126" s="5" t="s">
        <v>49009</v>
      </c>
      <c r="R3126" s="5"/>
      <c r="S3126" s="5" t="s">
        <v>49545</v>
      </c>
      <c r="T3126" s="28">
        <v>911055000</v>
      </c>
      <c r="U3126" s="28">
        <v>877000</v>
      </c>
      <c r="V3126" s="28">
        <v>1749935000</v>
      </c>
      <c r="W3126" s="28">
        <v>166000000</v>
      </c>
      <c r="X3126" s="28">
        <v>468893000</v>
      </c>
      <c r="Y3126" s="28">
        <v>10676462000</v>
      </c>
      <c r="Z3126" s="28">
        <v>7220890000</v>
      </c>
      <c r="AA3126" s="28">
        <v>1100000000</v>
      </c>
      <c r="AB3126" s="28">
        <v>26312000</v>
      </c>
      <c r="AC3126" s="28">
        <v>1520791000</v>
      </c>
      <c r="AD3126" s="28">
        <v>7225806000</v>
      </c>
      <c r="AE3126" s="28">
        <v>22409084000</v>
      </c>
      <c r="AF3126" s="28">
        <v>4733533000</v>
      </c>
      <c r="AG3126" s="11"/>
    </row>
    <row r="3127">
      <c r="A3127" s="7" t="s">
        <v>4802</v>
      </c>
      <c r="B3127" s="5" t="s">
        <v>12775</v>
      </c>
      <c r="C3127" s="5" t="s">
        <v>20583</v>
      </c>
      <c r="D3127" s="5" t="str">
        <v>440120171149</v>
      </c>
      <c r="E3127" s="0" t="e">
        <f>+7 (494) 2394321
+7 (812) 3093986</f>
        <v>#NAME?</v>
      </c>
      <c r="F3127" s="5" t="s">
        <v>34725</v>
      </c>
      <c r="G3127" s="5"/>
      <c r="H3127" s="26">
        <v>6.5</v>
      </c>
      <c r="I3127" s="5" t="s">
        <v>34726</v>
      </c>
      <c r="J3127" s="5" t="s">
        <v>34727</v>
      </c>
      <c r="K3127" s="5" t="s">
        <v>344</v>
      </c>
      <c r="L3127" s="5" t="s">
        <v>34728</v>
      </c>
      <c r="M3127" s="27"/>
      <c r="N3127" s="5"/>
      <c r="O3127" s="5" t="str">
        <v>9717029673</v>
      </c>
      <c r="P3127" s="27">
        <v>620000</v>
      </c>
      <c r="Q3127" s="5" t="s">
        <v>49021</v>
      </c>
      <c r="R3127" s="5"/>
      <c r="S3127" s="5" t="s">
        <v>54200</v>
      </c>
      <c r="T3127" s="28">
        <v>3372000</v>
      </c>
      <c r="U3127" s="28"/>
      <c r="V3127" s="28">
        <v>665268000</v>
      </c>
      <c r="W3127" s="28"/>
      <c r="X3127" s="28">
        <v>38111000</v>
      </c>
      <c r="Y3127" s="28">
        <v>3138104000</v>
      </c>
      <c r="Z3127" s="28">
        <v>181555000</v>
      </c>
      <c r="AA3127" s="28">
        <v>252425000</v>
      </c>
      <c r="AB3127" s="28">
        <v>60268000</v>
      </c>
      <c r="AC3127" s="28">
        <v>2702299000</v>
      </c>
      <c r="AD3127" s="28">
        <v>182175000</v>
      </c>
      <c r="AE3127" s="28">
        <v>3647425000</v>
      </c>
      <c r="AF3127" s="28">
        <v>103552000</v>
      </c>
      <c r="AG3127" s="11"/>
    </row>
    <row r="3128">
      <c r="A3128" s="7" t="s">
        <v>4803</v>
      </c>
      <c r="B3128" s="5" t="s">
        <v>12776</v>
      </c>
      <c r="C3128" s="5" t="s">
        <v>20584</v>
      </c>
      <c r="D3128" s="5" t="str">
        <v>781010033991</v>
      </c>
      <c r="E3128" s="0" t="e">
        <f>+7 (999) 2149187
+7 (812) 3131221
+7 (911) 9204868</f>
        <v>#NAME?</v>
      </c>
      <c r="F3128" s="5" t="s">
        <v>34729</v>
      </c>
      <c r="G3128" s="5" t="s">
        <v>34730</v>
      </c>
      <c r="H3128" s="26">
        <v>13.5</v>
      </c>
      <c r="I3128" s="5"/>
      <c r="J3128" s="5" t="s">
        <v>26367</v>
      </c>
      <c r="K3128" s="5" t="s">
        <v>344</v>
      </c>
      <c r="L3128" s="5" t="s">
        <v>34731</v>
      </c>
      <c r="M3128" s="27">
        <v>33624520</v>
      </c>
      <c r="N3128" s="5" t="s">
        <v>54201</v>
      </c>
      <c r="O3128" s="5" t="str">
        <v>7810558903</v>
      </c>
      <c r="P3128" s="27">
        <v>10000000</v>
      </c>
      <c r="Q3128" s="5"/>
      <c r="R3128" s="5"/>
      <c r="S3128" s="5" t="s">
        <v>51813</v>
      </c>
      <c r="T3128" s="28">
        <v>1655791000</v>
      </c>
      <c r="U3128" s="28">
        <v>15760000</v>
      </c>
      <c r="V3128" s="28">
        <v>4531664000</v>
      </c>
      <c r="W3128" s="28">
        <v>74186000</v>
      </c>
      <c r="X3128" s="28">
        <v>525242000</v>
      </c>
      <c r="Y3128" s="28">
        <v>10590755000</v>
      </c>
      <c r="Z3128" s="28">
        <v>1851105000</v>
      </c>
      <c r="AA3128" s="28">
        <v>1250000000</v>
      </c>
      <c r="AB3128" s="28">
        <v>273038000</v>
      </c>
      <c r="AC3128" s="28">
        <v>5243763000</v>
      </c>
      <c r="AD3128" s="28">
        <v>1862845000</v>
      </c>
      <c r="AE3128" s="28">
        <v>19279785000</v>
      </c>
      <c r="AF3128" s="28">
        <v>469122000</v>
      </c>
      <c r="AG3128" s="11"/>
    </row>
    <row r="3129">
      <c r="A3129" s="7" t="s">
        <v>4804</v>
      </c>
      <c r="B3129" s="5" t="s">
        <v>12777</v>
      </c>
      <c r="C3129" s="5" t="s">
        <v>20585</v>
      </c>
      <c r="D3129" s="5" t="str">
        <v>772703811786</v>
      </c>
      <c r="E3129" s="0" t="e">
        <f>+7 (495) 5140558
+7 (495) 5140559
+7 (495) 5403589
+7 (800) 7004021
+7 (800) 7004502</f>
        <v>#NAME?</v>
      </c>
      <c r="F3129" s="5" t="s">
        <v>34732</v>
      </c>
      <c r="G3129" s="5" t="s">
        <v>34733</v>
      </c>
      <c r="H3129" s="26">
        <v>16.5</v>
      </c>
      <c r="I3129" s="5" t="s">
        <v>34734</v>
      </c>
      <c r="J3129" s="5" t="s">
        <v>26660</v>
      </c>
      <c r="K3129" s="5" t="s">
        <v>344</v>
      </c>
      <c r="L3129" s="5" t="s">
        <v>34735</v>
      </c>
      <c r="M3129" s="27"/>
      <c r="N3129" s="5"/>
      <c r="O3129" s="5" t="str">
        <v>7707591760</v>
      </c>
      <c r="P3129" s="27">
        <v>6810000</v>
      </c>
      <c r="Q3129" s="5" t="s">
        <v>49009</v>
      </c>
      <c r="R3129" s="5"/>
      <c r="S3129" s="5" t="s">
        <v>49045</v>
      </c>
      <c r="T3129" s="28">
        <v>1780558000</v>
      </c>
      <c r="U3129" s="28"/>
      <c r="V3129" s="28">
        <v>1104578000</v>
      </c>
      <c r="W3129" s="28"/>
      <c r="X3129" s="28">
        <v>566879000</v>
      </c>
      <c r="Y3129" s="28">
        <v>5302927000</v>
      </c>
      <c r="Z3129" s="28">
        <v>1419501000</v>
      </c>
      <c r="AA3129" s="28"/>
      <c r="AB3129" s="28"/>
      <c r="AC3129" s="28">
        <v>1809498000</v>
      </c>
      <c r="AD3129" s="28">
        <v>1893844000</v>
      </c>
      <c r="AE3129" s="28">
        <v>6016646000</v>
      </c>
      <c r="AF3129" s="28">
        <v>838640000</v>
      </c>
      <c r="AG3129" s="11"/>
    </row>
    <row r="3130">
      <c r="A3130" s="7" t="s">
        <v>4805</v>
      </c>
      <c r="B3130" s="5" t="s">
        <v>12778</v>
      </c>
      <c r="C3130" s="5" t="s">
        <v>20586</v>
      </c>
      <c r="D3130" s="5" t="str">
        <v>390800594503</v>
      </c>
      <c r="E3130" s="0" t="e">
        <f>+7 (495) 2583185
+7 (495) 2583169
+7 (495) 2583191
+7 (495) 7256380
+7 (800) 2004005
+7 (800) 5001488
+7 (800) 5003200</f>
        <v>#NAME?</v>
      </c>
      <c r="F3130" s="5" t="s">
        <v>34736</v>
      </c>
      <c r="G3130" s="5" t="s">
        <v>34737</v>
      </c>
      <c r="H3130" s="26">
        <v>30</v>
      </c>
      <c r="I3130" s="5"/>
      <c r="J3130" s="5" t="s">
        <v>27085</v>
      </c>
      <c r="K3130" s="5" t="s">
        <v>344</v>
      </c>
      <c r="L3130" s="5" t="s">
        <v>34738</v>
      </c>
      <c r="M3130" s="27"/>
      <c r="N3130" s="5"/>
      <c r="O3130" s="5" t="str">
        <v>7726059896</v>
      </c>
      <c r="P3130" s="27">
        <v>498224000</v>
      </c>
      <c r="Q3130" s="5" t="s">
        <v>49009</v>
      </c>
      <c r="R3130" s="5"/>
      <c r="S3130" s="5" t="s">
        <v>49066</v>
      </c>
      <c r="T3130" s="28">
        <v>3715094000</v>
      </c>
      <c r="U3130" s="28"/>
      <c r="V3130" s="28">
        <v>4796897000</v>
      </c>
      <c r="W3130" s="28">
        <v>4000000000</v>
      </c>
      <c r="X3130" s="28">
        <v>20278375000</v>
      </c>
      <c r="Y3130" s="28">
        <v>39731712000</v>
      </c>
      <c r="Z3130" s="28">
        <v>23519270000</v>
      </c>
      <c r="AA3130" s="28"/>
      <c r="AB3130" s="28"/>
      <c r="AC3130" s="28">
        <v>15670210000</v>
      </c>
      <c r="AD3130" s="28">
        <v>24061502000</v>
      </c>
      <c r="AE3130" s="28">
        <v>60198960000</v>
      </c>
      <c r="AF3130" s="28">
        <v>10627369000</v>
      </c>
      <c r="AG3130" s="11"/>
    </row>
    <row r="3131">
      <c r="A3131" s="7" t="s">
        <v>4806</v>
      </c>
      <c r="B3131" s="5" t="s">
        <v>12779</v>
      </c>
      <c r="C3131" s="5" t="s">
        <v>18615</v>
      </c>
      <c r="D3131" s="5" t="str">
        <v>519100677709</v>
      </c>
      <c r="E3131" s="0" t="e">
        <f>+7 (474) 2470718
+7 (474) 2470721
+7 (474) 2555077
+7 (474) 2555888
+7 (474) 2559161
+7 (495) 5405111</f>
        <v>#NAME?</v>
      </c>
      <c r="F3131" s="5" t="s">
        <v>28473</v>
      </c>
      <c r="G3131" s="5" t="s">
        <v>34739</v>
      </c>
      <c r="H3131" s="26">
        <v>16.5</v>
      </c>
      <c r="I3131" s="5" t="s">
        <v>34740</v>
      </c>
      <c r="J3131" s="5" t="s">
        <v>27070</v>
      </c>
      <c r="K3131" s="5" t="s">
        <v>344</v>
      </c>
      <c r="L3131" s="5" t="s">
        <v>34741</v>
      </c>
      <c r="M3131" s="27"/>
      <c r="N3131" s="5"/>
      <c r="O3131" s="5" t="str">
        <v>4825047455</v>
      </c>
      <c r="P3131" s="27">
        <v>100000</v>
      </c>
      <c r="Q3131" s="5" t="s">
        <v>49009</v>
      </c>
      <c r="R3131" s="5"/>
      <c r="S3131" s="5" t="s">
        <v>49066</v>
      </c>
      <c r="T3131" s="28">
        <v>21195000</v>
      </c>
      <c r="U3131" s="28"/>
      <c r="V3131" s="28">
        <v>2105749000</v>
      </c>
      <c r="W3131" s="28">
        <v>700000</v>
      </c>
      <c r="X3131" s="28">
        <v>3447000</v>
      </c>
      <c r="Y3131" s="28">
        <v>3046485000</v>
      </c>
      <c r="Z3131" s="28">
        <v>265945000</v>
      </c>
      <c r="AA3131" s="28"/>
      <c r="AB3131" s="28">
        <v>15050000</v>
      </c>
      <c r="AC3131" s="28">
        <v>1771817000</v>
      </c>
      <c r="AD3131" s="28">
        <v>1274417000</v>
      </c>
      <c r="AE3131" s="28">
        <v>3695265000</v>
      </c>
      <c r="AF3131" s="28">
        <v>101251000</v>
      </c>
      <c r="AG3131" s="11"/>
    </row>
    <row r="3132">
      <c r="A3132" s="7" t="s">
        <v>4807</v>
      </c>
      <c r="B3132" s="5" t="s">
        <v>12780</v>
      </c>
      <c r="C3132" s="5" t="s">
        <v>20587</v>
      </c>
      <c r="D3132" s="5" t="str">
        <v>772504779400</v>
      </c>
      <c r="E3132" s="0" t="e">
        <f>+7 (495) 6171152
+7 (800) 2001581
+7 (800) 5551581
+7 (800) 7077544</f>
        <v>#NAME?</v>
      </c>
      <c r="F3132" s="5" t="s">
        <v>34742</v>
      </c>
      <c r="G3132" s="5" t="s">
        <v>34743</v>
      </c>
      <c r="H3132" s="26">
        <v>31</v>
      </c>
      <c r="I3132" s="5"/>
      <c r="J3132" s="5" t="s">
        <v>31429</v>
      </c>
      <c r="K3132" s="5" t="s">
        <v>344</v>
      </c>
      <c r="L3132" s="5" t="s">
        <v>34744</v>
      </c>
      <c r="M3132" s="27"/>
      <c r="N3132" s="5"/>
      <c r="O3132" s="5" t="str">
        <v>7706029903</v>
      </c>
      <c r="P3132" s="27">
        <v>20500000</v>
      </c>
      <c r="Q3132" s="5" t="s">
        <v>54203</v>
      </c>
      <c r="R3132" s="5"/>
      <c r="S3132" s="5" t="s">
        <v>50630</v>
      </c>
      <c r="T3132" s="28">
        <v>95113000</v>
      </c>
      <c r="U3132" s="28"/>
      <c r="V3132" s="28">
        <v>1290679000</v>
      </c>
      <c r="W3132" s="28"/>
      <c r="X3132" s="28">
        <v>321132000</v>
      </c>
      <c r="Y3132" s="28">
        <v>2141146000</v>
      </c>
      <c r="Z3132" s="28">
        <v>1265739000</v>
      </c>
      <c r="AA3132" s="28"/>
      <c r="AB3132" s="28"/>
      <c r="AC3132" s="28">
        <v>814748000</v>
      </c>
      <c r="AD3132" s="28">
        <v>1287333000</v>
      </c>
      <c r="AE3132" s="28">
        <v>8012432000</v>
      </c>
      <c r="AF3132" s="28">
        <v>401969000</v>
      </c>
      <c r="AG3132" s="11"/>
    </row>
    <row r="3133">
      <c r="A3133" s="7" t="s">
        <v>4808</v>
      </c>
      <c r="B3133" s="5" t="s">
        <v>12781</v>
      </c>
      <c r="C3133" s="5" t="s">
        <v>20588</v>
      </c>
      <c r="D3133" s="5" t="str">
        <v>780221751559</v>
      </c>
      <c r="E3133" s="0" t="e">
        <f>+7 (495) 7953030
+7 (495) 7863402
+7 (495) 7863414
+7 (800) 5557535</f>
        <v>#NAME?</v>
      </c>
      <c r="F3133" s="5" t="s">
        <v>34745</v>
      </c>
      <c r="G3133" s="5" t="s">
        <v>34746</v>
      </c>
      <c r="H3133" s="26">
        <v>17</v>
      </c>
      <c r="I3133" s="5" t="s">
        <v>34747</v>
      </c>
      <c r="J3133" s="5" t="s">
        <v>34748</v>
      </c>
      <c r="K3133" s="5" t="s">
        <v>344</v>
      </c>
      <c r="L3133" s="5"/>
      <c r="M3133" s="27"/>
      <c r="N3133" s="5"/>
      <c r="O3133" s="5" t="str">
        <v>7710616929</v>
      </c>
      <c r="P3133" s="27">
        <v>2730000</v>
      </c>
      <c r="Q3133" s="5"/>
      <c r="R3133" s="5"/>
      <c r="S3133" s="5" t="s">
        <v>49110</v>
      </c>
      <c r="T3133" s="28">
        <v>19593000</v>
      </c>
      <c r="U3133" s="28"/>
      <c r="V3133" s="28">
        <v>163774000</v>
      </c>
      <c r="W3133" s="28"/>
      <c r="X3133" s="28">
        <v>435684000</v>
      </c>
      <c r="Y3133" s="28">
        <v>955918000</v>
      </c>
      <c r="Z3133" s="28">
        <v>188608000</v>
      </c>
      <c r="AA3133" s="28"/>
      <c r="AB3133" s="28"/>
      <c r="AC3133" s="28">
        <v>752343000</v>
      </c>
      <c r="AD3133" s="28">
        <v>191345000</v>
      </c>
      <c r="AE3133" s="28">
        <v>3424701000</v>
      </c>
      <c r="AF3133" s="28">
        <v>287804000</v>
      </c>
      <c r="AG3133" s="11"/>
    </row>
    <row r="3134">
      <c r="A3134" s="7" t="s">
        <v>4809</v>
      </c>
      <c r="B3134" s="5" t="s">
        <v>12782</v>
      </c>
      <c r="C3134" s="5" t="s">
        <v>20589</v>
      </c>
      <c r="D3134" s="5" t="str">
        <v>771407081827</v>
      </c>
      <c r="E3134" s="0" t="e">
        <f>+7 (812) 3262293
+7 (3432) 537731
+7 (4232) 543551
+7 (495) 4118329
+7 (495) 7256020
+7 (495) 7452231
+7 (495) 7452234
+7 (495) 7455589
+7 (495) 7950592
+7 (495) 7955588
+7 (49679) 50595
+7 (499) 7950595
+7 (812) 3261646
+7 (812) 3291961
+7 (812) 3311597</f>
        <v>#NAME?</v>
      </c>
      <c r="F3134" s="5" t="s">
        <v>34749</v>
      </c>
      <c r="G3134" s="5" t="s">
        <v>34750</v>
      </c>
      <c r="H3134" s="26">
        <v>14</v>
      </c>
      <c r="I3134" s="5" t="s">
        <v>34751</v>
      </c>
      <c r="J3134" s="5" t="s">
        <v>34752</v>
      </c>
      <c r="K3134" s="5" t="s">
        <v>344</v>
      </c>
      <c r="L3134" s="5" t="s">
        <v>34753</v>
      </c>
      <c r="M3134" s="27"/>
      <c r="N3134" s="5" t="s">
        <v>54204</v>
      </c>
      <c r="O3134" s="5" t="str">
        <v>7702691545</v>
      </c>
      <c r="P3134" s="27">
        <v>124503281</v>
      </c>
      <c r="Q3134" s="5" t="s">
        <v>49009</v>
      </c>
      <c r="R3134" s="5" t="s">
        <v>54205</v>
      </c>
      <c r="S3134" s="5" t="s">
        <v>49581</v>
      </c>
      <c r="T3134" s="28">
        <v>13436227000</v>
      </c>
      <c r="U3134" s="28"/>
      <c r="V3134" s="28">
        <v>5334372000</v>
      </c>
      <c r="W3134" s="28"/>
      <c r="X3134" s="28">
        <v>10491398000</v>
      </c>
      <c r="Y3134" s="28">
        <v>47853839000</v>
      </c>
      <c r="Z3134" s="28">
        <v>34389585000</v>
      </c>
      <c r="AA3134" s="28"/>
      <c r="AB3134" s="28">
        <v>5000</v>
      </c>
      <c r="AC3134" s="28">
        <v>12768451000</v>
      </c>
      <c r="AD3134" s="28">
        <v>34812751000</v>
      </c>
      <c r="AE3134" s="28">
        <v>91461010000</v>
      </c>
      <c r="AF3134" s="28">
        <v>13401335000</v>
      </c>
      <c r="AG3134" s="11"/>
    </row>
    <row r="3135">
      <c r="A3135" s="7" t="s">
        <v>4810</v>
      </c>
      <c r="B3135" s="5" t="s">
        <v>12783</v>
      </c>
      <c r="C3135" s="5" t="s">
        <v>20590</v>
      </c>
      <c r="D3135" s="5" t="str">
        <v>744809909289</v>
      </c>
      <c r="E3135" s="0" t="e">
        <f>+7 (831) 2829763</f>
        <v>#NAME?</v>
      </c>
      <c r="F3135" s="5" t="s">
        <v>34754</v>
      </c>
      <c r="G3135" s="5"/>
      <c r="H3135" s="26">
        <v>9</v>
      </c>
      <c r="I3135" s="5" t="s">
        <v>26739</v>
      </c>
      <c r="J3135" s="5" t="s">
        <v>26655</v>
      </c>
      <c r="K3135" s="5" t="s">
        <v>344</v>
      </c>
      <c r="L3135" s="5"/>
      <c r="M3135" s="27">
        <v>196436</v>
      </c>
      <c r="N3135" s="5" t="s">
        <v>54206</v>
      </c>
      <c r="O3135" s="5" t="str">
        <v>5260374864</v>
      </c>
      <c r="P3135" s="27">
        <v>500000</v>
      </c>
      <c r="Q3135" s="5" t="s">
        <v>49059</v>
      </c>
      <c r="R3135" s="5"/>
      <c r="S3135" s="5" t="s">
        <v>49047</v>
      </c>
      <c r="T3135" s="28">
        <v>1810954000</v>
      </c>
      <c r="U3135" s="28"/>
      <c r="V3135" s="28">
        <v>16286000</v>
      </c>
      <c r="W3135" s="28"/>
      <c r="X3135" s="28">
        <v>677181000</v>
      </c>
      <c r="Y3135" s="28">
        <v>5253044000</v>
      </c>
      <c r="Z3135" s="28">
        <v>386860000</v>
      </c>
      <c r="AA3135" s="28"/>
      <c r="AB3135" s="28"/>
      <c r="AC3135" s="28">
        <v>3308960000</v>
      </c>
      <c r="AD3135" s="28">
        <v>387360000</v>
      </c>
      <c r="AE3135" s="28">
        <v>36525013000</v>
      </c>
      <c r="AF3135" s="28">
        <v>1650596000</v>
      </c>
      <c r="AG3135" s="11"/>
    </row>
    <row r="3136">
      <c r="A3136" s="7" t="s">
        <v>4811</v>
      </c>
      <c r="B3136" s="5" t="s">
        <v>12784</v>
      </c>
      <c r="C3136" s="5" t="s">
        <v>20591</v>
      </c>
      <c r="D3136" s="5" t="str">
        <v>745111305481</v>
      </c>
      <c r="E3136" s="0" t="e">
        <f>+7 (3512) 102202
+7 (929) 2075538</f>
        <v>#NAME?</v>
      </c>
      <c r="F3136" s="5" t="s">
        <v>34755</v>
      </c>
      <c r="G3136" s="5" t="s">
        <v>26762</v>
      </c>
      <c r="H3136" s="26">
        <v>11</v>
      </c>
      <c r="I3136" s="5" t="s">
        <v>26724</v>
      </c>
      <c r="J3136" s="5" t="s">
        <v>26655</v>
      </c>
      <c r="K3136" s="5" t="s">
        <v>344</v>
      </c>
      <c r="L3136" s="5" t="s">
        <v>34756</v>
      </c>
      <c r="M3136" s="27"/>
      <c r="N3136" s="5"/>
      <c r="O3136" s="5" t="str">
        <v>7727777402</v>
      </c>
      <c r="P3136" s="27">
        <v>1000000</v>
      </c>
      <c r="Q3136" s="5" t="s">
        <v>49059</v>
      </c>
      <c r="R3136" s="5"/>
      <c r="S3136" s="5" t="s">
        <v>49010</v>
      </c>
      <c r="T3136" s="28">
        <v>854985000</v>
      </c>
      <c r="U3136" s="28"/>
      <c r="V3136" s="28">
        <v>28931000</v>
      </c>
      <c r="W3136" s="28"/>
      <c r="X3136" s="28">
        <v>256660000</v>
      </c>
      <c r="Y3136" s="28">
        <v>2228050000</v>
      </c>
      <c r="Z3136" s="28">
        <v>195550000</v>
      </c>
      <c r="AA3136" s="28"/>
      <c r="AB3136" s="28"/>
      <c r="AC3136" s="28">
        <v>1161650000</v>
      </c>
      <c r="AD3136" s="28">
        <v>196550000</v>
      </c>
      <c r="AE3136" s="28">
        <v>14297531000</v>
      </c>
      <c r="AF3136" s="28">
        <v>678123000</v>
      </c>
      <c r="AG3136" s="11"/>
    </row>
    <row r="3137">
      <c r="A3137" s="7" t="s">
        <v>4812</v>
      </c>
      <c r="B3137" s="5" t="s">
        <v>12785</v>
      </c>
      <c r="C3137" s="5" t="s">
        <v>20592</v>
      </c>
      <c r="D3137" s="5" t="str">
        <v>773507011513</v>
      </c>
      <c r="E3137" s="0" t="e">
        <f>+7 (495) 6760863</f>
        <v>#NAME?</v>
      </c>
      <c r="F3137" s="5"/>
      <c r="G3137" s="5" t="s">
        <v>34757</v>
      </c>
      <c r="H3137" s="26">
        <v>15</v>
      </c>
      <c r="I3137" s="5" t="s">
        <v>34758</v>
      </c>
      <c r="J3137" s="5" t="s">
        <v>28568</v>
      </c>
      <c r="K3137" s="5" t="s">
        <v>344</v>
      </c>
      <c r="L3137" s="5"/>
      <c r="M3137" s="27">
        <v>1200000</v>
      </c>
      <c r="N3137" s="5"/>
      <c r="O3137" s="5" t="str">
        <v>7728644571</v>
      </c>
      <c r="P3137" s="27">
        <v>10000</v>
      </c>
      <c r="Q3137" s="5" t="s">
        <v>49021</v>
      </c>
      <c r="R3137" s="5"/>
      <c r="S3137" s="5" t="s">
        <v>49235</v>
      </c>
      <c r="T3137" s="28">
        <v>42567000</v>
      </c>
      <c r="U3137" s="28"/>
      <c r="V3137" s="28">
        <v>333373000</v>
      </c>
      <c r="W3137" s="28">
        <v>50000</v>
      </c>
      <c r="X3137" s="28">
        <v>499000</v>
      </c>
      <c r="Y3137" s="28">
        <v>1074868000</v>
      </c>
      <c r="Z3137" s="28">
        <v>-35977000</v>
      </c>
      <c r="AA3137" s="28"/>
      <c r="AB3137" s="28"/>
      <c r="AC3137" s="28">
        <v>1055431000</v>
      </c>
      <c r="AD3137" s="28">
        <v>-35967000</v>
      </c>
      <c r="AE3137" s="28">
        <v>7223839000</v>
      </c>
      <c r="AF3137" s="28">
        <v>2738000</v>
      </c>
      <c r="AG3137" s="11"/>
    </row>
    <row r="3138">
      <c r="A3138" s="7" t="s">
        <v>4813</v>
      </c>
      <c r="B3138" s="5" t="s">
        <v>12786</v>
      </c>
      <c r="C3138" s="5" t="s">
        <v>20593</v>
      </c>
      <c r="D3138" s="5" t="str">
        <v>346001274143</v>
      </c>
      <c r="F3138" s="5" t="s">
        <v>34759</v>
      </c>
      <c r="G3138" s="5"/>
      <c r="H3138" s="26">
        <v>0.5</v>
      </c>
      <c r="I3138" s="5" t="s">
        <v>34760</v>
      </c>
      <c r="J3138" s="5" t="s">
        <v>881</v>
      </c>
      <c r="K3138" s="5" t="s">
        <v>344</v>
      </c>
      <c r="L3138" s="5"/>
      <c r="M3138" s="27"/>
      <c r="N3138" s="5"/>
      <c r="O3138" s="5" t="str">
        <v>9705173070</v>
      </c>
      <c r="P3138" s="27">
        <v>10000</v>
      </c>
      <c r="Q3138" s="5"/>
      <c r="R3138" s="5"/>
      <c r="S3138" s="5" t="s">
        <v>49029</v>
      </c>
      <c r="T3138" s="28">
        <v>1004000</v>
      </c>
      <c r="U3138" s="28">
        <v>46722000</v>
      </c>
      <c r="V3138" s="28">
        <v>12986752000</v>
      </c>
      <c r="W3138" s="28"/>
      <c r="X3138" s="28">
        <v>880788000</v>
      </c>
      <c r="Y3138" s="28">
        <v>18182414000</v>
      </c>
      <c r="Z3138" s="28">
        <v>2601185000</v>
      </c>
      <c r="AA3138" s="28"/>
      <c r="AB3138" s="28">
        <v>4020000000</v>
      </c>
      <c r="AC3138" s="28">
        <v>15581202000</v>
      </c>
      <c r="AD3138" s="28">
        <v>2601195000</v>
      </c>
      <c r="AE3138" s="28">
        <v>12017198000</v>
      </c>
      <c r="AF3138" s="28">
        <v>2601185000</v>
      </c>
      <c r="AG3138" s="11"/>
    </row>
    <row r="3139">
      <c r="A3139" s="7" t="s">
        <v>4814</v>
      </c>
      <c r="B3139" s="5" t="s">
        <v>12787</v>
      </c>
      <c r="C3139" s="5" t="s">
        <v>20594</v>
      </c>
      <c r="D3139" s="5" t="str">
        <v>470402577629</v>
      </c>
      <c r="E3139" s="0" t="e">
        <f>+7 (812) 4560445
+7 (812) 4560448</f>
        <v>#NAME?</v>
      </c>
      <c r="F3139" s="5" t="s">
        <v>34761</v>
      </c>
      <c r="G3139" s="5" t="s">
        <v>34762</v>
      </c>
      <c r="H3139" s="26">
        <v>11.5</v>
      </c>
      <c r="I3139" s="5" t="s">
        <v>34763</v>
      </c>
      <c r="J3139" s="5" t="s">
        <v>881</v>
      </c>
      <c r="K3139" s="5" t="s">
        <v>344</v>
      </c>
      <c r="L3139" s="5" t="s">
        <v>34764</v>
      </c>
      <c r="M3139" s="27"/>
      <c r="N3139" s="5" t="s">
        <v>54207</v>
      </c>
      <c r="O3139" s="5" t="str">
        <v>7810840970</v>
      </c>
      <c r="P3139" s="27">
        <v>10000</v>
      </c>
      <c r="Q3139" s="5" t="s">
        <v>54208</v>
      </c>
      <c r="R3139" s="5" t="s">
        <v>50518</v>
      </c>
      <c r="S3139" s="5" t="s">
        <v>54209</v>
      </c>
      <c r="T3139" s="28">
        <v>68834000</v>
      </c>
      <c r="U3139" s="28">
        <v>520000</v>
      </c>
      <c r="V3139" s="28">
        <v>2420294000</v>
      </c>
      <c r="W3139" s="28">
        <v>714829000</v>
      </c>
      <c r="X3139" s="28">
        <v>140059000</v>
      </c>
      <c r="Y3139" s="28">
        <v>3752648000</v>
      </c>
      <c r="Z3139" s="28">
        <v>1042289000</v>
      </c>
      <c r="AA3139" s="28"/>
      <c r="AB3139" s="28">
        <v>66056000</v>
      </c>
      <c r="AC3139" s="28">
        <v>2645252000</v>
      </c>
      <c r="AD3139" s="28">
        <v>1042299000</v>
      </c>
      <c r="AE3139" s="28">
        <v>7961363000</v>
      </c>
      <c r="AF3139" s="28">
        <v>974802000</v>
      </c>
      <c r="AG3139" s="11"/>
    </row>
    <row r="3140">
      <c r="A3140" s="7" t="s">
        <v>4815</v>
      </c>
      <c r="B3140" s="5" t="s">
        <v>12788</v>
      </c>
      <c r="C3140" s="5" t="s">
        <v>20595</v>
      </c>
      <c r="D3140" s="5" t="str">
        <v>773404282247</v>
      </c>
      <c r="E3140" s="0" t="e">
        <f>+7 (499) 3466013
+7 (383) 2892121
+7 (49653) 60517
+7 (499) 2633227
+7 (800) 5001313
+7 (911) 9345505
+7 (920) 26897
+7 (920) 785765
+7 (495) 1919013
+7 (495) 2254858
+7 (495) 2254868
+7 (495) 5231313
+7 (495) 9679567
+7 (499) 6730579
+7 (499) 6734891</f>
        <v>#NAME?</v>
      </c>
      <c r="F3140" s="5" t="s">
        <v>34765</v>
      </c>
      <c r="G3140" s="5" t="s">
        <v>34766</v>
      </c>
      <c r="H3140" s="26">
        <v>20.5</v>
      </c>
      <c r="I3140" s="5" t="s">
        <v>34767</v>
      </c>
      <c r="J3140" s="5" t="s">
        <v>32400</v>
      </c>
      <c r="K3140" s="5" t="s">
        <v>344</v>
      </c>
      <c r="L3140" s="5" t="s">
        <v>34768</v>
      </c>
      <c r="M3140" s="27">
        <v>1680000</v>
      </c>
      <c r="N3140" s="5" t="s">
        <v>54210</v>
      </c>
      <c r="O3140" s="5" t="str">
        <v>7709383571</v>
      </c>
      <c r="P3140" s="27">
        <v>12500000</v>
      </c>
      <c r="Q3140" s="5" t="s">
        <v>54211</v>
      </c>
      <c r="R3140" s="5"/>
      <c r="S3140" s="5" t="s">
        <v>54212</v>
      </c>
      <c r="T3140" s="28">
        <v>1908956000</v>
      </c>
      <c r="U3140" s="28">
        <v>290637000</v>
      </c>
      <c r="V3140" s="28">
        <v>8822257000</v>
      </c>
      <c r="W3140" s="28"/>
      <c r="X3140" s="28">
        <v>591039000</v>
      </c>
      <c r="Y3140" s="28">
        <v>12674238000</v>
      </c>
      <c r="Z3140" s="28">
        <v>11207418000</v>
      </c>
      <c r="AA3140" s="28"/>
      <c r="AB3140" s="28"/>
      <c r="AC3140" s="28">
        <v>860804000</v>
      </c>
      <c r="AD3140" s="28">
        <v>11629444000</v>
      </c>
      <c r="AE3140" s="28">
        <v>13825010000</v>
      </c>
      <c r="AF3140" s="28">
        <v>3102124000</v>
      </c>
      <c r="AG3140" s="11"/>
    </row>
    <row r="3141">
      <c r="A3141" s="7" t="s">
        <v>4816</v>
      </c>
      <c r="B3141" s="5" t="s">
        <v>12789</v>
      </c>
      <c r="C3141" s="5" t="s">
        <v>20596</v>
      </c>
      <c r="D3141" s="5" t="str">
        <v>773304640227</v>
      </c>
      <c r="E3141" s="0" t="e">
        <f>+7 (495) 7373412
+7 (495) 9567000
+7 (495) 6638149
+7 (495) 7978700
+7 (495) 7978709
+7 (855) 8062104
+7 (866) 5633099
+7 (86632) 85700
+7 (968) 9647384</f>
        <v>#NAME?</v>
      </c>
      <c r="F3141" s="5" t="s">
        <v>34769</v>
      </c>
      <c r="G3141" s="5" t="s">
        <v>34770</v>
      </c>
      <c r="H3141" s="26">
        <v>25.5</v>
      </c>
      <c r="I3141" s="5" t="s">
        <v>34771</v>
      </c>
      <c r="J3141" s="5" t="s">
        <v>881</v>
      </c>
      <c r="K3141" s="5" t="s">
        <v>344</v>
      </c>
      <c r="L3141" s="5"/>
      <c r="M3141" s="27"/>
      <c r="N3141" s="5" t="s">
        <v>54213</v>
      </c>
      <c r="O3141" s="5" t="str">
        <v>7713140469</v>
      </c>
      <c r="P3141" s="27">
        <v>100000</v>
      </c>
      <c r="Q3141" s="5" t="s">
        <v>54214</v>
      </c>
      <c r="R3141" s="5"/>
      <c r="S3141" s="5" t="s">
        <v>54215</v>
      </c>
      <c r="T3141" s="28">
        <v>5359948000</v>
      </c>
      <c r="U3141" s="28">
        <v>7490258000</v>
      </c>
      <c r="V3141" s="28">
        <v>23847318000</v>
      </c>
      <c r="W3141" s="28">
        <v>3554106000</v>
      </c>
      <c r="X3141" s="28">
        <v>2525592000</v>
      </c>
      <c r="Y3141" s="28">
        <v>45557388000</v>
      </c>
      <c r="Z3141" s="28">
        <v>34316962000</v>
      </c>
      <c r="AA3141" s="28">
        <v>501759000</v>
      </c>
      <c r="AB3141" s="28">
        <v>93000</v>
      </c>
      <c r="AC3141" s="28">
        <v>10605545000</v>
      </c>
      <c r="AD3141" s="28">
        <v>34317077000</v>
      </c>
      <c r="AE3141" s="28">
        <v>36439120000</v>
      </c>
      <c r="AF3141" s="28">
        <v>71070000</v>
      </c>
      <c r="AG3141" s="11"/>
    </row>
    <row r="3142">
      <c r="A3142" s="7" t="s">
        <v>4817</v>
      </c>
      <c r="B3142" s="5" t="s">
        <v>12790</v>
      </c>
      <c r="C3142" s="5" t="s">
        <v>20597</v>
      </c>
      <c r="D3142" s="5" t="str">
        <v>540506184721</v>
      </c>
      <c r="E3142" s="0" t="e">
        <f>+7 (383) 2183329
+7 (383) 3484838
+7 (383) 2181060
+7 (383) 3281060</f>
        <v>#NAME?</v>
      </c>
      <c r="F3142" s="5" t="s">
        <v>34772</v>
      </c>
      <c r="G3142" s="5"/>
      <c r="H3142" s="26">
        <v>22.5</v>
      </c>
      <c r="I3142" s="5" t="s">
        <v>34773</v>
      </c>
      <c r="J3142" s="5" t="s">
        <v>34774</v>
      </c>
      <c r="K3142" s="5" t="s">
        <v>344</v>
      </c>
      <c r="L3142" s="5" t="s">
        <v>34775</v>
      </c>
      <c r="M3142" s="27"/>
      <c r="N3142" s="5"/>
      <c r="O3142" s="5" t="str">
        <v>5403144156</v>
      </c>
      <c r="P3142" s="27">
        <v>19461</v>
      </c>
      <c r="Q3142" s="5" t="s">
        <v>49059</v>
      </c>
      <c r="R3142" s="5"/>
      <c r="S3142" s="5" t="s">
        <v>49029</v>
      </c>
      <c r="T3142" s="28">
        <v>221023000</v>
      </c>
      <c r="U3142" s="28"/>
      <c r="V3142" s="28">
        <v>652111000</v>
      </c>
      <c r="W3142" s="28"/>
      <c r="X3142" s="28">
        <v>146000</v>
      </c>
      <c r="Y3142" s="28">
        <v>2366199000</v>
      </c>
      <c r="Z3142" s="28">
        <v>807905000</v>
      </c>
      <c r="AA3142" s="28">
        <v>619041000</v>
      </c>
      <c r="AB3142" s="28">
        <v>14248000</v>
      </c>
      <c r="AC3142" s="28">
        <v>861189000</v>
      </c>
      <c r="AD3142" s="28">
        <v>807924000</v>
      </c>
      <c r="AE3142" s="28">
        <v>3496862000</v>
      </c>
      <c r="AF3142" s="28">
        <v>303600000</v>
      </c>
      <c r="AG3142" s="11"/>
    </row>
    <row r="3143">
      <c r="A3143" s="7" t="s">
        <v>4818</v>
      </c>
      <c r="B3143" s="5" t="s">
        <v>12791</v>
      </c>
      <c r="C3143" s="5" t="s">
        <v>20598</v>
      </c>
      <c r="D3143" s="5" t="str">
        <v>773112533302</v>
      </c>
      <c r="E3143" s="0" t="e">
        <f>+7 (495) 7362326
+7 (48131) 24748
+7 (48131) 27932
+7 (48131) 51890
+7 (48131) 52578
+7 (48131) 57628
+7 (495) 2325259
+7 (495) 2342728
+7 (495) 6465657
+7 (831) 2180172
+7 (903) 6303919</f>
        <v>#NAME?</v>
      </c>
      <c r="F3143" s="5" t="s">
        <v>34776</v>
      </c>
      <c r="G3143" s="5" t="s">
        <v>34777</v>
      </c>
      <c r="H3143" s="26">
        <v>19</v>
      </c>
      <c r="I3143" s="5" t="s">
        <v>34778</v>
      </c>
      <c r="J3143" s="5" t="s">
        <v>28520</v>
      </c>
      <c r="K3143" s="5" t="s">
        <v>344</v>
      </c>
      <c r="L3143" s="5" t="s">
        <v>34779</v>
      </c>
      <c r="M3143" s="27"/>
      <c r="N3143" s="5"/>
      <c r="O3143" s="5" t="str">
        <v>6722016177</v>
      </c>
      <c r="P3143" s="27">
        <v>311116000</v>
      </c>
      <c r="Q3143" s="5" t="s">
        <v>49009</v>
      </c>
      <c r="R3143" s="5"/>
      <c r="S3143" s="5" t="s">
        <v>49066</v>
      </c>
      <c r="T3143" s="28">
        <v>562369000</v>
      </c>
      <c r="U3143" s="28">
        <v>115450000</v>
      </c>
      <c r="V3143" s="28">
        <v>357493000</v>
      </c>
      <c r="W3143" s="28">
        <v>12100000</v>
      </c>
      <c r="X3143" s="28">
        <v>72161000</v>
      </c>
      <c r="Y3143" s="28">
        <v>1449907000</v>
      </c>
      <c r="Z3143" s="28">
        <v>427676000</v>
      </c>
      <c r="AA3143" s="28">
        <v>398780000</v>
      </c>
      <c r="AB3143" s="28">
        <v>138427000</v>
      </c>
      <c r="AC3143" s="28">
        <v>276924000</v>
      </c>
      <c r="AD3143" s="28">
        <v>738792000</v>
      </c>
      <c r="AE3143" s="28">
        <v>3994007000</v>
      </c>
      <c r="AF3143" s="28">
        <v>149769000</v>
      </c>
      <c r="AG3143" s="11"/>
    </row>
    <row r="3144">
      <c r="A3144" s="7" t="s">
        <v>4819</v>
      </c>
      <c r="B3144" s="5" t="s">
        <v>12792</v>
      </c>
      <c r="C3144" s="5" t="s">
        <v>20599</v>
      </c>
      <c r="D3144" s="5" t="str">
        <v>632109921305</v>
      </c>
      <c r="E3144" s="0" t="e">
        <f>+7 (3412) 648503
+7 (341) 2648731
+7 (3412) 348103
+7 (3412) 463611
+7 (3412) 648009
+7 (3412) 648110
+7 (3412) 648436
+7 (3412) 648650
+7 (3412) 648887
+7 (912) 4641864</f>
        <v>#NAME?</v>
      </c>
      <c r="F3144" s="5" t="s">
        <v>34780</v>
      </c>
      <c r="G3144" s="5" t="s">
        <v>34781</v>
      </c>
      <c r="H3144" s="26">
        <v>13</v>
      </c>
      <c r="I3144" s="5" t="s">
        <v>34782</v>
      </c>
      <c r="J3144" s="5" t="s">
        <v>26229</v>
      </c>
      <c r="K3144" s="5" t="s">
        <v>380</v>
      </c>
      <c r="L3144" s="5"/>
      <c r="M3144" s="27">
        <v>11370327</v>
      </c>
      <c r="N3144" s="5" t="s">
        <v>49923</v>
      </c>
      <c r="O3144" s="5" t="str">
        <v>1834051678</v>
      </c>
      <c r="P3144" s="27">
        <v>1700015000</v>
      </c>
      <c r="Q3144" s="5"/>
      <c r="R3144" s="5"/>
      <c r="S3144" s="5" t="s">
        <v>49029</v>
      </c>
      <c r="T3144" s="28">
        <v>4356720000</v>
      </c>
      <c r="U3144" s="28">
        <v>280139000</v>
      </c>
      <c r="V3144" s="28">
        <v>219446000</v>
      </c>
      <c r="W3144" s="28"/>
      <c r="X3144" s="28">
        <v>19553000</v>
      </c>
      <c r="Y3144" s="28">
        <v>7112403000</v>
      </c>
      <c r="Z3144" s="28">
        <v>-5153571000</v>
      </c>
      <c r="AA3144" s="28">
        <v>7208301000</v>
      </c>
      <c r="AB3144" s="28"/>
      <c r="AC3144" s="28">
        <v>1313777000</v>
      </c>
      <c r="AD3144" s="28">
        <v>-1717869000</v>
      </c>
      <c r="AE3144" s="28">
        <v>3104859000</v>
      </c>
      <c r="AF3144" s="28">
        <v>-3644528000</v>
      </c>
      <c r="AG3144" s="11"/>
    </row>
    <row r="3145">
      <c r="A3145" s="7" t="s">
        <v>4820</v>
      </c>
      <c r="B3145" s="5" t="s">
        <v>12793</v>
      </c>
      <c r="C3145" s="5" t="s">
        <v>20600</v>
      </c>
      <c r="D3145" s="5" t="str">
        <v>690141415749</v>
      </c>
      <c r="E3145" s="0" t="e">
        <f>+7 (495) 2760845
+7 (800) 2005232
+7 (800) 7005232
+7 (8482) 759210
+7 (8482) 759710</f>
        <v>#NAME?</v>
      </c>
      <c r="F3145" s="5" t="s">
        <v>34783</v>
      </c>
      <c r="G3145" s="5" t="s">
        <v>34784</v>
      </c>
      <c r="H3145" s="26">
        <v>19.5</v>
      </c>
      <c r="I3145" s="5"/>
      <c r="J3145" s="5" t="s">
        <v>25259</v>
      </c>
      <c r="K3145" s="5" t="s">
        <v>344</v>
      </c>
      <c r="L3145" s="5" t="s">
        <v>34785</v>
      </c>
      <c r="M3145" s="27"/>
      <c r="N3145" s="5"/>
      <c r="O3145" s="5" t="str">
        <v>6321124263</v>
      </c>
      <c r="P3145" s="27">
        <v>15300000</v>
      </c>
      <c r="Q3145" s="5"/>
      <c r="R3145" s="5"/>
      <c r="S3145" s="5" t="s">
        <v>49125</v>
      </c>
      <c r="T3145" s="28">
        <v>1825125000</v>
      </c>
      <c r="U3145" s="28"/>
      <c r="V3145" s="28">
        <v>1719664000</v>
      </c>
      <c r="W3145" s="28"/>
      <c r="X3145" s="28">
        <v>496296000</v>
      </c>
      <c r="Y3145" s="28">
        <v>11037134000</v>
      </c>
      <c r="Z3145" s="28">
        <v>1043169000</v>
      </c>
      <c r="AA3145" s="28"/>
      <c r="AB3145" s="28">
        <v>726466000</v>
      </c>
      <c r="AC3145" s="28">
        <v>6455259000</v>
      </c>
      <c r="AD3145" s="28">
        <v>3412972000</v>
      </c>
      <c r="AE3145" s="28">
        <v>27690644000</v>
      </c>
      <c r="AF3145" s="28">
        <v>1419011000</v>
      </c>
      <c r="AG3145" s="11"/>
    </row>
    <row r="3146">
      <c r="A3146" s="7" t="s">
        <v>4821</v>
      </c>
      <c r="B3146" s="5" t="s">
        <v>12794</v>
      </c>
      <c r="C3146" s="5" t="s">
        <v>20601</v>
      </c>
      <c r="D3146" s="5" t="str">
        <v>183200584666</v>
      </c>
      <c r="E3146" s="0" t="e">
        <f>+7 (84650) 23695
+7 (848) 2506315
+7 (8482) 693320
+7 (8482) 759162
+7 (927) 7836488
+7 (8482) 345011
+7 (8482) 375541
+7 (8482) 502369
+7 (8482) 502395</f>
        <v>#NAME?</v>
      </c>
      <c r="F3146" s="5" t="s">
        <v>34786</v>
      </c>
      <c r="G3146" s="5"/>
      <c r="H3146" s="26">
        <v>26.5</v>
      </c>
      <c r="I3146" s="5" t="s">
        <v>34787</v>
      </c>
      <c r="J3146" s="5" t="s">
        <v>389</v>
      </c>
      <c r="K3146" s="5" t="s">
        <v>344</v>
      </c>
      <c r="L3146" s="5" t="s">
        <v>34788</v>
      </c>
      <c r="M3146" s="27"/>
      <c r="N3146" s="5" t="s">
        <v>54216</v>
      </c>
      <c r="O3146" s="5" t="str">
        <v>6320005312</v>
      </c>
      <c r="P3146" s="27">
        <v>293636000</v>
      </c>
      <c r="Q3146" s="5" t="s">
        <v>54217</v>
      </c>
      <c r="R3146" s="5"/>
      <c r="S3146" s="5" t="s">
        <v>54218</v>
      </c>
      <c r="T3146" s="28">
        <v>26358000</v>
      </c>
      <c r="U3146" s="28">
        <v>235628000</v>
      </c>
      <c r="V3146" s="28">
        <v>68053000</v>
      </c>
      <c r="W3146" s="28"/>
      <c r="X3146" s="28">
        <v>339606000</v>
      </c>
      <c r="Y3146" s="28">
        <v>920090000</v>
      </c>
      <c r="Z3146" s="28">
        <v>445789000</v>
      </c>
      <c r="AA3146" s="28"/>
      <c r="AB3146" s="28">
        <v>28000</v>
      </c>
      <c r="AC3146" s="28">
        <v>101269000</v>
      </c>
      <c r="AD3146" s="28">
        <v>817934000</v>
      </c>
      <c r="AE3146" s="28">
        <v>3156234000</v>
      </c>
      <c r="AF3146" s="28">
        <v>112282000</v>
      </c>
      <c r="AG3146" s="11"/>
    </row>
    <row r="3147">
      <c r="A3147" s="7" t="s">
        <v>4822</v>
      </c>
      <c r="B3147" s="5" t="s">
        <v>12795</v>
      </c>
      <c r="C3147" s="5" t="s">
        <v>20602</v>
      </c>
      <c r="D3147" s="5" t="str">
        <v>780225190600</v>
      </c>
      <c r="E3147" s="0" t="e">
        <f>+7 (812) 3344598
+7 (812) 3344599
+7 (812) 9823453</f>
        <v>#NAME?</v>
      </c>
      <c r="F3147" s="5"/>
      <c r="G3147" s="5" t="s">
        <v>34789</v>
      </c>
      <c r="H3147" s="26">
        <v>7.5</v>
      </c>
      <c r="I3147" s="5" t="s">
        <v>34790</v>
      </c>
      <c r="J3147" s="5" t="s">
        <v>678</v>
      </c>
      <c r="K3147" s="5" t="s">
        <v>344</v>
      </c>
      <c r="L3147" s="5" t="s">
        <v>25537</v>
      </c>
      <c r="M3147" s="27"/>
      <c r="N3147" s="5"/>
      <c r="O3147" s="5" t="str">
        <v>7802544311</v>
      </c>
      <c r="P3147" s="27">
        <v>100000</v>
      </c>
      <c r="Q3147" s="5"/>
      <c r="R3147" s="5"/>
      <c r="S3147" s="5" t="s">
        <v>49029</v>
      </c>
      <c r="T3147" s="28"/>
      <c r="U3147" s="28"/>
      <c r="V3147" s="28">
        <v>570638000</v>
      </c>
      <c r="W3147" s="28">
        <v>501222000</v>
      </c>
      <c r="X3147" s="28">
        <v>6171000</v>
      </c>
      <c r="Y3147" s="28">
        <v>2671179000</v>
      </c>
      <c r="Z3147" s="28">
        <v>-81566000</v>
      </c>
      <c r="AA3147" s="28"/>
      <c r="AB3147" s="28">
        <v>2389527000</v>
      </c>
      <c r="AC3147" s="28">
        <v>2752645000</v>
      </c>
      <c r="AD3147" s="28">
        <v>-81466000</v>
      </c>
      <c r="AE3147" s="28">
        <v>3792163000</v>
      </c>
      <c r="AF3147" s="28">
        <v>-258826000</v>
      </c>
      <c r="AG3147" s="11"/>
    </row>
    <row r="3148">
      <c r="A3148" s="7" t="s">
        <v>4823</v>
      </c>
      <c r="B3148" s="5" t="s">
        <v>12796</v>
      </c>
      <c r="C3148" s="5" t="s">
        <v>20603</v>
      </c>
      <c r="D3148" s="5" t="str">
        <v>771511725919</v>
      </c>
      <c r="E3148" s="0" t="e">
        <f>+7 (495) 9692004
+7 (495) 9373377
+7 (495) 9692000
+7 (495) 9692010</f>
        <v>#NAME?</v>
      </c>
      <c r="F3148" s="5" t="s">
        <v>34791</v>
      </c>
      <c r="G3148" s="5" t="s">
        <v>34792</v>
      </c>
      <c r="H3148" s="26">
        <v>20</v>
      </c>
      <c r="I3148" s="5" t="s">
        <v>34793</v>
      </c>
      <c r="J3148" s="5" t="s">
        <v>785</v>
      </c>
      <c r="K3148" s="5" t="s">
        <v>344</v>
      </c>
      <c r="L3148" s="5"/>
      <c r="M3148" s="27"/>
      <c r="N3148" s="5"/>
      <c r="O3148" s="5" t="str">
        <v>7743068844</v>
      </c>
      <c r="P3148" s="27">
        <v>10000</v>
      </c>
      <c r="Q3148" s="5" t="s">
        <v>54219</v>
      </c>
      <c r="R3148" s="5"/>
      <c r="S3148" s="5" t="s">
        <v>49361</v>
      </c>
      <c r="T3148" s="28">
        <v>261668000</v>
      </c>
      <c r="U3148" s="28"/>
      <c r="V3148" s="28">
        <v>3655073000</v>
      </c>
      <c r="W3148" s="28">
        <v>1215000000</v>
      </c>
      <c r="X3148" s="28">
        <v>4146059000</v>
      </c>
      <c r="Y3148" s="28">
        <v>9585756000</v>
      </c>
      <c r="Z3148" s="28">
        <v>3963359000</v>
      </c>
      <c r="AA3148" s="28"/>
      <c r="AB3148" s="28"/>
      <c r="AC3148" s="28">
        <v>5363386000</v>
      </c>
      <c r="AD3148" s="28">
        <v>3963373000</v>
      </c>
      <c r="AE3148" s="28">
        <v>4225135000</v>
      </c>
      <c r="AF3148" s="28">
        <v>1592111000</v>
      </c>
      <c r="AG3148" s="11"/>
    </row>
    <row r="3149">
      <c r="A3149" s="7" t="s">
        <v>4824</v>
      </c>
      <c r="B3149" s="5" t="s">
        <v>12797</v>
      </c>
      <c r="C3149" s="5" t="s">
        <v>20604</v>
      </c>
      <c r="D3149" s="5" t="str">
        <v>666300104944</v>
      </c>
      <c r="E3149" s="0" t="e">
        <f>+7 (912) 2433946
+7 (3422) 392696
+7 (343) 2392626
+7 (343) 2106107
+7 (343) 2106159
+7 (343) 2165418
+7 (343) 2259572
+7 (343) 2283822
+7 (343) 2557320
+7 (343) 2568686</f>
        <v>#NAME?</v>
      </c>
      <c r="F3149" s="5" t="s">
        <v>34794</v>
      </c>
      <c r="G3149" s="5"/>
      <c r="H3149" s="26">
        <v>24.5</v>
      </c>
      <c r="I3149" s="5"/>
      <c r="J3149" s="5" t="s">
        <v>389</v>
      </c>
      <c r="K3149" s="5" t="s">
        <v>344</v>
      </c>
      <c r="L3149" s="5" t="s">
        <v>34795</v>
      </c>
      <c r="M3149" s="27"/>
      <c r="N3149" s="5" t="s">
        <v>54220</v>
      </c>
      <c r="O3149" s="5" t="str">
        <v>6664057781</v>
      </c>
      <c r="P3149" s="27">
        <v>10000032</v>
      </c>
      <c r="Q3149" s="5" t="s">
        <v>49009</v>
      </c>
      <c r="R3149" s="5"/>
      <c r="S3149" s="5" t="s">
        <v>49256</v>
      </c>
      <c r="T3149" s="28">
        <v>496400000</v>
      </c>
      <c r="U3149" s="28"/>
      <c r="V3149" s="28">
        <v>156064000</v>
      </c>
      <c r="W3149" s="28"/>
      <c r="X3149" s="28">
        <v>225521000</v>
      </c>
      <c r="Y3149" s="28">
        <v>1590024000</v>
      </c>
      <c r="Z3149" s="28">
        <v>911613000</v>
      </c>
      <c r="AA3149" s="28"/>
      <c r="AB3149" s="28"/>
      <c r="AC3149" s="28">
        <v>195392000</v>
      </c>
      <c r="AD3149" s="28">
        <v>922114000</v>
      </c>
      <c r="AE3149" s="28">
        <v>3839608000</v>
      </c>
      <c r="AF3149" s="28">
        <v>236721000</v>
      </c>
      <c r="AG3149" s="11"/>
    </row>
    <row r="3150">
      <c r="A3150" s="7" t="s">
        <v>4825</v>
      </c>
      <c r="B3150" s="5" t="s">
        <v>12798</v>
      </c>
      <c r="C3150" s="5" t="s">
        <v>20605</v>
      </c>
      <c r="D3150" s="5" t="str">
        <v>782614628739</v>
      </c>
      <c r="E3150" s="0" t="e">
        <f>+7 (812) 4949792
+7 (904) 5503282
+7 (911) 1588786
+7 (911) 1901705
+7 (911) 8338080
+7 (911) 9205142
+7 (913) 3091619
+7 (921) 9560602
+7 (921) 9793530
+7 (950) 217123
+7 (961) 6096850
+7 (964) 3322704
+7 (981) 8725116
+7 (981) 9335239</f>
        <v>#NAME?</v>
      </c>
      <c r="F3150" s="5" t="s">
        <v>34796</v>
      </c>
      <c r="G3150" s="5" t="s">
        <v>34797</v>
      </c>
      <c r="H3150" s="26">
        <v>7</v>
      </c>
      <c r="I3150" s="5" t="s">
        <v>34798</v>
      </c>
      <c r="J3150" s="5" t="s">
        <v>30218</v>
      </c>
      <c r="K3150" s="5" t="s">
        <v>344</v>
      </c>
      <c r="L3150" s="5" t="s">
        <v>34799</v>
      </c>
      <c r="M3150" s="27"/>
      <c r="N3150" s="5"/>
      <c r="O3150" s="5" t="str">
        <v>7810422606</v>
      </c>
      <c r="P3150" s="27">
        <v>10000</v>
      </c>
      <c r="Q3150" s="5" t="s">
        <v>49009</v>
      </c>
      <c r="R3150" s="5"/>
      <c r="S3150" s="5" t="s">
        <v>49066</v>
      </c>
      <c r="T3150" s="28">
        <v>15127000</v>
      </c>
      <c r="U3150" s="28"/>
      <c r="V3150" s="28">
        <v>856068000</v>
      </c>
      <c r="W3150" s="28">
        <v>278690000</v>
      </c>
      <c r="X3150" s="28">
        <v>104827000</v>
      </c>
      <c r="Y3150" s="28">
        <v>1985038000</v>
      </c>
      <c r="Z3150" s="28">
        <v>1000987000</v>
      </c>
      <c r="AA3150" s="28">
        <v>733318000</v>
      </c>
      <c r="AB3150" s="28">
        <v>9226000</v>
      </c>
      <c r="AC3150" s="28">
        <v>247702000</v>
      </c>
      <c r="AD3150" s="28">
        <v>1000997000</v>
      </c>
      <c r="AE3150" s="28">
        <v>3405988000</v>
      </c>
      <c r="AF3150" s="28">
        <v>269335000</v>
      </c>
      <c r="AG3150" s="11"/>
    </row>
    <row r="3151">
      <c r="A3151" s="7" t="s">
        <v>4826</v>
      </c>
      <c r="B3151" s="5" t="s">
        <v>12044</v>
      </c>
      <c r="C3151" s="5" t="s">
        <v>20606</v>
      </c>
      <c r="D3151" s="5" t="str">
        <v>772736691650</v>
      </c>
      <c r="E3151" s="0" t="e">
        <f>+7 (495) 7029649
+7 (495) 7029650
+7 (495) 9957858
+7 (49652) 40418</f>
        <v>#NAME?</v>
      </c>
      <c r="F3151" s="5" t="s">
        <v>34800</v>
      </c>
      <c r="G3151" s="5" t="s">
        <v>34801</v>
      </c>
      <c r="H3151" s="26">
        <v>26</v>
      </c>
      <c r="I3151" s="5" t="s">
        <v>34802</v>
      </c>
      <c r="J3151" s="5" t="s">
        <v>26394</v>
      </c>
      <c r="K3151" s="5" t="s">
        <v>344</v>
      </c>
      <c r="L3151" s="5" t="s">
        <v>34803</v>
      </c>
      <c r="M3151" s="27"/>
      <c r="N3151" s="5"/>
      <c r="O3151" s="5" t="str">
        <v>7702177932</v>
      </c>
      <c r="P3151" s="27">
        <v>70000</v>
      </c>
      <c r="Q3151" s="5" t="s">
        <v>49009</v>
      </c>
      <c r="R3151" s="5"/>
      <c r="S3151" s="5" t="s">
        <v>49066</v>
      </c>
      <c r="T3151" s="28">
        <v>52112000</v>
      </c>
      <c r="U3151" s="28"/>
      <c r="V3151" s="28">
        <v>789585000</v>
      </c>
      <c r="W3151" s="28"/>
      <c r="X3151" s="28">
        <v>13731000</v>
      </c>
      <c r="Y3151" s="28">
        <v>1771967000</v>
      </c>
      <c r="Z3151" s="28">
        <v>479175000</v>
      </c>
      <c r="AA3151" s="28">
        <v>648381000</v>
      </c>
      <c r="AB3151" s="28">
        <v>179257000</v>
      </c>
      <c r="AC3151" s="28">
        <v>639738000</v>
      </c>
      <c r="AD3151" s="28">
        <v>479245000</v>
      </c>
      <c r="AE3151" s="28">
        <v>4725560000</v>
      </c>
      <c r="AF3151" s="28">
        <v>14032000</v>
      </c>
      <c r="AG3151" s="11"/>
    </row>
    <row r="3152">
      <c r="A3152" s="7" t="s">
        <v>4827</v>
      </c>
      <c r="B3152" s="5" t="s">
        <v>12799</v>
      </c>
      <c r="C3152" s="5" t="s">
        <v>20607</v>
      </c>
      <c r="D3152" s="5" t="str">
        <v>501807302206</v>
      </c>
      <c r="E3152" s="0" t="e">
        <f>+7 (499) 6490000
+7 (499) 7057995
+7 (800) 1000750
+7 (905) 1000750</f>
        <v>#NAME?</v>
      </c>
      <c r="F3152" s="5" t="s">
        <v>34804</v>
      </c>
      <c r="G3152" s="5"/>
      <c r="H3152" s="26">
        <v>2</v>
      </c>
      <c r="I3152" s="5"/>
      <c r="J3152" s="5" t="s">
        <v>29967</v>
      </c>
      <c r="K3152" s="5" t="s">
        <v>344</v>
      </c>
      <c r="L3152" s="5"/>
      <c r="M3152" s="27"/>
      <c r="N3152" s="5"/>
      <c r="O3152" s="5" t="str">
        <v>7716951970</v>
      </c>
      <c r="P3152" s="27">
        <v>2000000000</v>
      </c>
      <c r="Q3152" s="5" t="s">
        <v>49021</v>
      </c>
      <c r="R3152" s="5"/>
      <c r="S3152" s="5" t="s">
        <v>54221</v>
      </c>
      <c r="T3152" s="28">
        <v>812749000</v>
      </c>
      <c r="U3152" s="28">
        <v>616450000</v>
      </c>
      <c r="V3152" s="28">
        <v>5474660000</v>
      </c>
      <c r="W3152" s="28">
        <v>272000000</v>
      </c>
      <c r="X3152" s="28">
        <v>376154000</v>
      </c>
      <c r="Y3152" s="28">
        <v>9046235000</v>
      </c>
      <c r="Z3152" s="28">
        <v>303221000</v>
      </c>
      <c r="AA3152" s="28">
        <v>200000000</v>
      </c>
      <c r="AB3152" s="28">
        <v>36988000</v>
      </c>
      <c r="AC3152" s="28">
        <v>5512780000</v>
      </c>
      <c r="AD3152" s="28">
        <v>2308742000</v>
      </c>
      <c r="AE3152" s="28">
        <v>19067185000</v>
      </c>
      <c r="AF3152" s="28">
        <v>593499000</v>
      </c>
      <c r="AG3152" s="11"/>
    </row>
    <row r="3153">
      <c r="A3153" s="7" t="s">
        <v>4828</v>
      </c>
      <c r="B3153" s="5" t="s">
        <v>12800</v>
      </c>
      <c r="C3153" s="5" t="s">
        <v>18544</v>
      </c>
      <c r="D3153" s="5" t="str">
        <v>771523000522</v>
      </c>
      <c r="E3153" s="0" t="e">
        <f>+7 (495) 7870220
+7 (495) 7870222
+7 (495) 7872220
+7 (499) 2459459
+7 (800) 2003993
+7 (812) 3318033
+7 (8652) 651575
+7 (960) 1310174
+7 (960) 1800138
+7 (960) 4617311
+7 (960) 7867443
+7 (965) 5016849</f>
        <v>#NAME?</v>
      </c>
      <c r="F3153" s="5" t="s">
        <v>34805</v>
      </c>
      <c r="G3153" s="5" t="s">
        <v>34806</v>
      </c>
      <c r="H3153" s="26">
        <v>26</v>
      </c>
      <c r="I3153" s="5"/>
      <c r="J3153" s="5" t="s">
        <v>25253</v>
      </c>
      <c r="K3153" s="5" t="s">
        <v>344</v>
      </c>
      <c r="L3153" s="5" t="s">
        <v>34807</v>
      </c>
      <c r="M3153" s="27"/>
      <c r="N3153" s="5"/>
      <c r="O3153" s="5" t="str">
        <v>7716128854</v>
      </c>
      <c r="P3153" s="27">
        <v>200649600</v>
      </c>
      <c r="Q3153" s="5" t="s">
        <v>54222</v>
      </c>
      <c r="R3153" s="5"/>
      <c r="S3153" s="5" t="s">
        <v>54223</v>
      </c>
      <c r="T3153" s="28">
        <v>51109000</v>
      </c>
      <c r="U3153" s="28"/>
      <c r="V3153" s="28">
        <v>1953714000</v>
      </c>
      <c r="W3153" s="28">
        <v>2833000000</v>
      </c>
      <c r="X3153" s="28">
        <v>2565066000</v>
      </c>
      <c r="Y3153" s="28">
        <v>7984719000</v>
      </c>
      <c r="Z3153" s="28">
        <v>4180405000</v>
      </c>
      <c r="AA3153" s="28"/>
      <c r="AB3153" s="28"/>
      <c r="AC3153" s="28">
        <v>3581255000</v>
      </c>
      <c r="AD3153" s="28">
        <v>4401120000</v>
      </c>
      <c r="AE3153" s="28">
        <v>13251550000</v>
      </c>
      <c r="AF3153" s="28">
        <v>500418000</v>
      </c>
      <c r="AG3153" s="11"/>
    </row>
    <row r="3154">
      <c r="A3154" s="7" t="s">
        <v>4829</v>
      </c>
      <c r="B3154" s="5" t="s">
        <v>12801</v>
      </c>
      <c r="C3154" s="5" t="s">
        <v>20608</v>
      </c>
      <c r="D3154" s="5" t="str">
        <v>500708064848</v>
      </c>
      <c r="E3154" s="0" t="e">
        <f>+7 (495) 7870220
+7 (495) 7870222
+7 (495) 7870223
+7 (495) 7877222</f>
        <v>#NAME?</v>
      </c>
      <c r="F3154" s="5" t="s">
        <v>34808</v>
      </c>
      <c r="G3154" s="5"/>
      <c r="H3154" s="26">
        <v>21.5</v>
      </c>
      <c r="I3154" s="5" t="s">
        <v>34809</v>
      </c>
      <c r="J3154" s="5" t="s">
        <v>27917</v>
      </c>
      <c r="K3154" s="5" t="s">
        <v>344</v>
      </c>
      <c r="L3154" s="5" t="s">
        <v>34810</v>
      </c>
      <c r="M3154" s="27"/>
      <c r="N3154" s="5"/>
      <c r="O3154" s="5" t="str">
        <v>5017044478</v>
      </c>
      <c r="P3154" s="27">
        <v>737572632</v>
      </c>
      <c r="Q3154" s="5"/>
      <c r="R3154" s="5"/>
      <c r="S3154" s="5" t="s">
        <v>49425</v>
      </c>
      <c r="T3154" s="28">
        <v>701621000</v>
      </c>
      <c r="U3154" s="28"/>
      <c r="V3154" s="28">
        <v>1958459000</v>
      </c>
      <c r="W3154" s="28"/>
      <c r="X3154" s="28">
        <v>19587000</v>
      </c>
      <c r="Y3154" s="28">
        <v>3021154000</v>
      </c>
      <c r="Z3154" s="28">
        <v>2041887000</v>
      </c>
      <c r="AA3154" s="28"/>
      <c r="AB3154" s="28"/>
      <c r="AC3154" s="28">
        <v>240962000</v>
      </c>
      <c r="AD3154" s="28">
        <v>2779935000</v>
      </c>
      <c r="AE3154" s="28">
        <v>4109436000</v>
      </c>
      <c r="AF3154" s="28">
        <v>141924000</v>
      </c>
      <c r="AG3154" s="11"/>
    </row>
    <row r="3155">
      <c r="A3155" s="7" t="s">
        <v>4830</v>
      </c>
      <c r="B3155" s="5" t="s">
        <v>12802</v>
      </c>
      <c r="C3155" s="5" t="s">
        <v>18544</v>
      </c>
      <c r="D3155" s="5" t="str">
        <v>771523000522</v>
      </c>
      <c r="E3155" s="0" t="e">
        <f>+7 (495) 6605506
+7 (495) 6605507
+7 (495) 9612939
+7 (472) 2200770
+7 (343) 3858720
+7 (495) 7870222
+7 (495) 9612933
+7 (812) 3263366</f>
        <v>#NAME?</v>
      </c>
      <c r="F3155" s="5" t="s">
        <v>34811</v>
      </c>
      <c r="G3155" s="5" t="s">
        <v>34812</v>
      </c>
      <c r="H3155" s="26">
        <v>24.5</v>
      </c>
      <c r="I3155" s="5" t="s">
        <v>34813</v>
      </c>
      <c r="J3155" s="5" t="s">
        <v>27497</v>
      </c>
      <c r="K3155" s="5" t="s">
        <v>380</v>
      </c>
      <c r="L3155" s="5" t="s">
        <v>34814</v>
      </c>
      <c r="M3155" s="27">
        <v>2208049</v>
      </c>
      <c r="N3155" s="5" t="s">
        <v>54224</v>
      </c>
      <c r="O3155" s="5" t="str">
        <v>7704191474</v>
      </c>
      <c r="P3155" s="27">
        <v>210734160</v>
      </c>
      <c r="Q3155" s="5" t="s">
        <v>49009</v>
      </c>
      <c r="R3155" s="5" t="s">
        <v>52938</v>
      </c>
      <c r="S3155" s="5" t="s">
        <v>49045</v>
      </c>
      <c r="T3155" s="28">
        <v>331277000</v>
      </c>
      <c r="U3155" s="28">
        <v>2878000</v>
      </c>
      <c r="V3155" s="28">
        <v>1197552000</v>
      </c>
      <c r="W3155" s="28"/>
      <c r="X3155" s="28">
        <v>2072355000</v>
      </c>
      <c r="Y3155" s="28">
        <v>4220561000</v>
      </c>
      <c r="Z3155" s="28">
        <v>358879000</v>
      </c>
      <c r="AA3155" s="28"/>
      <c r="AB3155" s="28"/>
      <c r="AC3155" s="28">
        <v>2219206000</v>
      </c>
      <c r="AD3155" s="28">
        <v>1991952000</v>
      </c>
      <c r="AE3155" s="28">
        <v>10733689000</v>
      </c>
      <c r="AF3155" s="28">
        <v>248734000</v>
      </c>
      <c r="AG3155" s="11"/>
    </row>
    <row r="3156">
      <c r="A3156" s="7" t="s">
        <v>4831</v>
      </c>
      <c r="B3156" s="5" t="s">
        <v>12803</v>
      </c>
      <c r="C3156" s="5" t="s">
        <v>20609</v>
      </c>
      <c r="D3156" s="5"/>
      <c r="E3156" s="0" t="e">
        <f>+7 (921) 7301575
+7 (816) 2223387
+7 (816) 2500937
+7 (816) 2500940
+7 (816) 2500961
+7 (816) 2500977
+7 (816) 2557607
+7 (816) 2557627
+7 (816) 2557640
+7 (816) 2623387
+7 (816) 2623692
+7 (816) 2629120</f>
        <v>#NAME?</v>
      </c>
      <c r="F3156" s="5" t="s">
        <v>34815</v>
      </c>
      <c r="G3156" s="5" t="s">
        <v>34816</v>
      </c>
      <c r="H3156" s="26">
        <v>30.5</v>
      </c>
      <c r="I3156" s="5"/>
      <c r="J3156" s="5" t="s">
        <v>26482</v>
      </c>
      <c r="K3156" s="5" t="s">
        <v>344</v>
      </c>
      <c r="L3156" s="5" t="s">
        <v>34817</v>
      </c>
      <c r="M3156" s="27"/>
      <c r="N3156" s="5" t="s">
        <v>54225</v>
      </c>
      <c r="O3156" s="5" t="str">
        <v>5321034579</v>
      </c>
      <c r="P3156" s="27">
        <v>19859000</v>
      </c>
      <c r="Q3156" s="5" t="s">
        <v>49535</v>
      </c>
      <c r="R3156" s="5"/>
      <c r="S3156" s="5" t="s">
        <v>54226</v>
      </c>
      <c r="T3156" s="28">
        <v>552187000</v>
      </c>
      <c r="U3156" s="28">
        <v>368564000</v>
      </c>
      <c r="V3156" s="28">
        <v>423850000</v>
      </c>
      <c r="W3156" s="28">
        <v>1130000</v>
      </c>
      <c r="X3156" s="28">
        <v>32054000</v>
      </c>
      <c r="Y3156" s="28">
        <v>1874163000</v>
      </c>
      <c r="Z3156" s="28">
        <v>236633000</v>
      </c>
      <c r="AA3156" s="28">
        <v>422064000</v>
      </c>
      <c r="AB3156" s="28">
        <v>263750000</v>
      </c>
      <c r="AC3156" s="28">
        <v>969998000</v>
      </c>
      <c r="AD3156" s="28">
        <v>381129000</v>
      </c>
      <c r="AE3156" s="28">
        <v>5635155000</v>
      </c>
      <c r="AF3156" s="28">
        <v>17425000</v>
      </c>
      <c r="AG3156" s="11"/>
    </row>
    <row r="3157">
      <c r="A3157" s="7" t="s">
        <v>4832</v>
      </c>
      <c r="B3157" s="5" t="s">
        <v>12804</v>
      </c>
      <c r="C3157" s="5" t="s">
        <v>20610</v>
      </c>
      <c r="D3157" s="5" t="str">
        <v>503611238528</v>
      </c>
      <c r="E3157" s="0" t="e">
        <f>+7 (495) 5400867
+7 (495) 2110012
+7 (495) 2210012</f>
        <v>#NAME?</v>
      </c>
      <c r="F3157" s="5" t="s">
        <v>34818</v>
      </c>
      <c r="G3157" s="5"/>
      <c r="H3157" s="26">
        <v>4.5</v>
      </c>
      <c r="I3157" s="5" t="s">
        <v>34819</v>
      </c>
      <c r="J3157" s="5" t="s">
        <v>34820</v>
      </c>
      <c r="K3157" s="5" t="s">
        <v>344</v>
      </c>
      <c r="L3157" s="5"/>
      <c r="M3157" s="27">
        <v>3152346063</v>
      </c>
      <c r="N3157" s="5"/>
      <c r="O3157" s="5" t="str">
        <v>7714435063</v>
      </c>
      <c r="P3157" s="27">
        <v>10000</v>
      </c>
      <c r="Q3157" s="5" t="s">
        <v>54227</v>
      </c>
      <c r="R3157" s="5"/>
      <c r="S3157" s="5" t="s">
        <v>49743</v>
      </c>
      <c r="T3157" s="28">
        <v>6649000</v>
      </c>
      <c r="U3157" s="28"/>
      <c r="V3157" s="28">
        <v>11339727000</v>
      </c>
      <c r="W3157" s="28">
        <v>2254800000</v>
      </c>
      <c r="X3157" s="28">
        <v>2581084000</v>
      </c>
      <c r="Y3157" s="28">
        <v>163437701000</v>
      </c>
      <c r="Z3157" s="28">
        <v>9826532000</v>
      </c>
      <c r="AA3157" s="28">
        <v>42354597000</v>
      </c>
      <c r="AB3157" s="28">
        <v>5467922000</v>
      </c>
      <c r="AC3157" s="28">
        <v>9369415000</v>
      </c>
      <c r="AD3157" s="28">
        <v>9826542000</v>
      </c>
      <c r="AE3157" s="28">
        <v>19129400000</v>
      </c>
      <c r="AF3157" s="28">
        <v>1070768000</v>
      </c>
      <c r="AG3157" s="11"/>
    </row>
    <row r="3158">
      <c r="A3158" s="7" t="s">
        <v>4833</v>
      </c>
      <c r="B3158" s="5" t="s">
        <v>12805</v>
      </c>
      <c r="C3158" s="5" t="s">
        <v>20611</v>
      </c>
      <c r="D3158" s="5" t="str">
        <v>770510978489</v>
      </c>
      <c r="F3158" s="5"/>
      <c r="G3158" s="5"/>
      <c r="H3158" s="26">
        <v>4</v>
      </c>
      <c r="I3158" s="5" t="s">
        <v>34821</v>
      </c>
      <c r="J3158" s="5" t="s">
        <v>678</v>
      </c>
      <c r="K3158" s="5" t="s">
        <v>355</v>
      </c>
      <c r="L3158" s="5"/>
      <c r="M3158" s="27"/>
      <c r="N3158" s="5"/>
      <c r="O3158" s="5" t="str">
        <v>9705128655</v>
      </c>
      <c r="P3158" s="27">
        <v>230000</v>
      </c>
      <c r="Q3158" s="5" t="s">
        <v>49057</v>
      </c>
      <c r="R3158" s="5"/>
      <c r="S3158" s="5" t="s">
        <v>49452</v>
      </c>
      <c r="T3158" s="28">
        <v>7801000</v>
      </c>
      <c r="U3158" s="28"/>
      <c r="V3158" s="28">
        <v>21307000</v>
      </c>
      <c r="W3158" s="28"/>
      <c r="X3158" s="28">
        <v>1000</v>
      </c>
      <c r="Y3158" s="28">
        <v>38254000</v>
      </c>
      <c r="Z3158" s="28">
        <v>145000</v>
      </c>
      <c r="AA3158" s="28"/>
      <c r="AB3158" s="28"/>
      <c r="AC3158" s="28">
        <v>37879000</v>
      </c>
      <c r="AD3158" s="28">
        <v>1014000</v>
      </c>
      <c r="AE3158" s="28">
        <v>3418132000</v>
      </c>
      <c r="AF3158" s="28">
        <v>27000</v>
      </c>
      <c r="AG3158" s="11"/>
    </row>
    <row r="3159">
      <c r="A3159" s="7" t="s">
        <v>4834</v>
      </c>
      <c r="B3159" s="5" t="s">
        <v>12806</v>
      </c>
      <c r="C3159" s="5" t="s">
        <v>20612</v>
      </c>
      <c r="D3159" s="5" t="str">
        <v>771404515931</v>
      </c>
      <c r="E3159" s="0" t="e">
        <f>+7 (495) 4443104
+7 (903) 2027220
+7 (495) 2583318
+7 (495) 4838492
+7 (495) 6257620
+7 (495) 6257621
+7 (495) 9257620</f>
        <v>#NAME?</v>
      </c>
      <c r="F3159" s="5" t="s">
        <v>34822</v>
      </c>
      <c r="G3159" s="5" t="s">
        <v>34823</v>
      </c>
      <c r="H3159" s="26">
        <v>26</v>
      </c>
      <c r="I3159" s="5"/>
      <c r="J3159" s="5" t="s">
        <v>1026</v>
      </c>
      <c r="K3159" s="5" t="s">
        <v>344</v>
      </c>
      <c r="L3159" s="5"/>
      <c r="M3159" s="27"/>
      <c r="N3159" s="5" t="s">
        <v>54228</v>
      </c>
      <c r="O3159" s="5" t="str">
        <v>7731253031</v>
      </c>
      <c r="P3159" s="27">
        <v>100000000</v>
      </c>
      <c r="Q3159" s="5" t="s">
        <v>49009</v>
      </c>
      <c r="R3159" s="5"/>
      <c r="S3159" s="5" t="s">
        <v>54229</v>
      </c>
      <c r="T3159" s="28">
        <v>183329000</v>
      </c>
      <c r="U3159" s="28">
        <v>20000</v>
      </c>
      <c r="V3159" s="28">
        <v>938232000</v>
      </c>
      <c r="W3159" s="28">
        <v>1889368000</v>
      </c>
      <c r="X3159" s="28">
        <v>20211000</v>
      </c>
      <c r="Y3159" s="28">
        <v>3852935000</v>
      </c>
      <c r="Z3159" s="28">
        <v>611691000</v>
      </c>
      <c r="AA3159" s="28"/>
      <c r="AB3159" s="28">
        <v>250522000</v>
      </c>
      <c r="AC3159" s="28">
        <v>2945476000</v>
      </c>
      <c r="AD3159" s="28">
        <v>726691000</v>
      </c>
      <c r="AE3159" s="28">
        <v>8328309000</v>
      </c>
      <c r="AF3159" s="28">
        <v>232731000</v>
      </c>
      <c r="AG3159" s="11"/>
    </row>
    <row r="3160">
      <c r="A3160" s="7" t="s">
        <v>4835</v>
      </c>
      <c r="B3160" s="5" t="s">
        <v>12807</v>
      </c>
      <c r="C3160" s="5" t="s">
        <v>20613</v>
      </c>
      <c r="D3160" s="5" t="str">
        <v>500108274339</v>
      </c>
      <c r="E3160" s="0" t="e">
        <f>+7 (499) 2611542
+7 (3433) 445017
+7 (495) 9840602
+7 (499) 5765545
+7 (84622) 52460</f>
        <v>#NAME?</v>
      </c>
      <c r="F3160" s="5" t="s">
        <v>34824</v>
      </c>
      <c r="G3160" s="5" t="s">
        <v>34825</v>
      </c>
      <c r="H3160" s="26">
        <v>14.5</v>
      </c>
      <c r="I3160" s="5" t="s">
        <v>34826</v>
      </c>
      <c r="J3160" s="5" t="s">
        <v>678</v>
      </c>
      <c r="K3160" s="5" t="s">
        <v>344</v>
      </c>
      <c r="L3160" s="5" t="s">
        <v>34827</v>
      </c>
      <c r="M3160" s="27">
        <v>142158</v>
      </c>
      <c r="N3160" s="5" t="s">
        <v>54230</v>
      </c>
      <c r="O3160" s="5" t="str">
        <v>5007067042</v>
      </c>
      <c r="P3160" s="27">
        <v>100000</v>
      </c>
      <c r="Q3160" s="5" t="s">
        <v>54231</v>
      </c>
      <c r="R3160" s="5"/>
      <c r="S3160" s="5" t="s">
        <v>49358</v>
      </c>
      <c r="T3160" s="28">
        <v>1474000</v>
      </c>
      <c r="U3160" s="28">
        <v>2000</v>
      </c>
      <c r="V3160" s="28">
        <v>4628082000</v>
      </c>
      <c r="W3160" s="28">
        <v>247910000</v>
      </c>
      <c r="X3160" s="28">
        <v>3220000</v>
      </c>
      <c r="Y3160" s="28">
        <v>6621195000</v>
      </c>
      <c r="Z3160" s="28">
        <v>3917404000</v>
      </c>
      <c r="AA3160" s="28"/>
      <c r="AB3160" s="28">
        <v>296688000</v>
      </c>
      <c r="AC3160" s="28">
        <v>2692092000</v>
      </c>
      <c r="AD3160" s="28">
        <v>3917504000</v>
      </c>
      <c r="AE3160" s="28">
        <v>25419685000</v>
      </c>
      <c r="AF3160" s="28">
        <v>700698000</v>
      </c>
      <c r="AG3160" s="11"/>
    </row>
    <row r="3161">
      <c r="A3161" s="7" t="s">
        <v>4836</v>
      </c>
      <c r="B3161" s="5" t="s">
        <v>12808</v>
      </c>
      <c r="C3161" s="5" t="s">
        <v>20614</v>
      </c>
      <c r="D3161" s="5" t="str">
        <v>771816382624</v>
      </c>
      <c r="E3161" s="0" t="e">
        <f>+7 (916) 2750049
+7 (495) 9676684
+7 (499) 2611542
+7 (499) 5765562
+7 (800) 7079805</f>
        <v>#NAME?</v>
      </c>
      <c r="F3161" s="5" t="s">
        <v>34828</v>
      </c>
      <c r="G3161" s="5" t="s">
        <v>34829</v>
      </c>
      <c r="H3161" s="26">
        <v>15.5</v>
      </c>
      <c r="I3161" s="5" t="s">
        <v>34830</v>
      </c>
      <c r="J3161" s="5" t="s">
        <v>32481</v>
      </c>
      <c r="K3161" s="5" t="s">
        <v>344</v>
      </c>
      <c r="L3161" s="5" t="s">
        <v>34831</v>
      </c>
      <c r="M3161" s="27"/>
      <c r="N3161" s="5" t="s">
        <v>54232</v>
      </c>
      <c r="O3161" s="5" t="str">
        <v>7722618230</v>
      </c>
      <c r="P3161" s="27">
        <v>1099975</v>
      </c>
      <c r="Q3161" s="5" t="s">
        <v>54233</v>
      </c>
      <c r="R3161" s="5"/>
      <c r="S3161" s="5" t="s">
        <v>51870</v>
      </c>
      <c r="T3161" s="28">
        <v>2580000</v>
      </c>
      <c r="U3161" s="28"/>
      <c r="V3161" s="28">
        <v>674195000</v>
      </c>
      <c r="W3161" s="28">
        <v>107500000</v>
      </c>
      <c r="X3161" s="28">
        <v>182185000</v>
      </c>
      <c r="Y3161" s="28">
        <v>1257510000</v>
      </c>
      <c r="Z3161" s="28">
        <v>739754000</v>
      </c>
      <c r="AA3161" s="28"/>
      <c r="AB3161" s="28"/>
      <c r="AC3161" s="28">
        <v>516477000</v>
      </c>
      <c r="AD3161" s="28">
        <v>740854000</v>
      </c>
      <c r="AE3161" s="28">
        <v>4209937000</v>
      </c>
      <c r="AF3161" s="28">
        <v>247519000</v>
      </c>
      <c r="AG3161" s="11"/>
    </row>
    <row r="3162">
      <c r="A3162" s="7" t="s">
        <v>4837</v>
      </c>
      <c r="B3162" s="5" t="s">
        <v>12809</v>
      </c>
      <c r="C3162" s="5" t="s">
        <v>20615</v>
      </c>
      <c r="D3162" s="5" t="str">
        <v>561213087708</v>
      </c>
      <c r="E3162" s="0" t="e">
        <f>+7 (495) 2587212
+7 (495) 2760430
+7 (495) 6786767
+7 (495) 7211939
+7 (495) 7874047
+7 (495) 9766650</f>
        <v>#NAME?</v>
      </c>
      <c r="F3162" s="5" t="s">
        <v>34832</v>
      </c>
      <c r="G3162" s="5" t="s">
        <v>34833</v>
      </c>
      <c r="H3162" s="26">
        <v>30</v>
      </c>
      <c r="I3162" s="5"/>
      <c r="J3162" s="5" t="s">
        <v>26256</v>
      </c>
      <c r="K3162" s="5" t="s">
        <v>344</v>
      </c>
      <c r="L3162" s="5" t="s">
        <v>34834</v>
      </c>
      <c r="M3162" s="27"/>
      <c r="N3162" s="5" t="s">
        <v>54234</v>
      </c>
      <c r="O3162" s="5" t="str">
        <v>7727004113</v>
      </c>
      <c r="P3162" s="27">
        <v>24000000</v>
      </c>
      <c r="Q3162" s="5" t="s">
        <v>54235</v>
      </c>
      <c r="R3162" s="5"/>
      <c r="S3162" s="5" t="s">
        <v>54236</v>
      </c>
      <c r="T3162" s="28">
        <v>178641000</v>
      </c>
      <c r="U3162" s="28">
        <v>15692000</v>
      </c>
      <c r="V3162" s="28">
        <v>4807040000</v>
      </c>
      <c r="W3162" s="28">
        <v>2410472000</v>
      </c>
      <c r="X3162" s="28">
        <v>252154000</v>
      </c>
      <c r="Y3162" s="28">
        <v>8194458000</v>
      </c>
      <c r="Z3162" s="28">
        <v>-809433000</v>
      </c>
      <c r="AA3162" s="28">
        <v>1420875000</v>
      </c>
      <c r="AB3162" s="28">
        <v>175799000</v>
      </c>
      <c r="AC3162" s="28">
        <v>4107301000</v>
      </c>
      <c r="AD3162" s="28">
        <v>2671050000</v>
      </c>
      <c r="AE3162" s="28">
        <v>11942215000</v>
      </c>
      <c r="AF3162" s="28">
        <v>801843000</v>
      </c>
      <c r="AG3162" s="11"/>
    </row>
    <row r="3163">
      <c r="A3163" s="7" t="s">
        <v>4838</v>
      </c>
      <c r="B3163" s="5" t="s">
        <v>12810</v>
      </c>
      <c r="C3163" s="5" t="s">
        <v>20616</v>
      </c>
      <c r="D3163" s="5" t="str">
        <v>502903507504</v>
      </c>
      <c r="E3163" s="0" t="e">
        <f>+7 (495) 4521245
+7 (495) 2615781</f>
        <v>#NAME?</v>
      </c>
      <c r="F3163" s="5" t="s">
        <v>34835</v>
      </c>
      <c r="G3163" s="5" t="s">
        <v>34836</v>
      </c>
      <c r="H3163" s="26">
        <v>14.5</v>
      </c>
      <c r="I3163" s="5" t="s">
        <v>34837</v>
      </c>
      <c r="J3163" s="5" t="s">
        <v>26256</v>
      </c>
      <c r="K3163" s="5" t="s">
        <v>344</v>
      </c>
      <c r="L3163" s="5"/>
      <c r="M3163" s="27">
        <v>12163708</v>
      </c>
      <c r="N3163" s="5" t="s">
        <v>54237</v>
      </c>
      <c r="O3163" s="5" t="str">
        <v>7701793872</v>
      </c>
      <c r="P3163" s="27">
        <v>5000000</v>
      </c>
      <c r="Q3163" s="5" t="s">
        <v>54238</v>
      </c>
      <c r="R3163" s="5"/>
      <c r="S3163" s="5" t="s">
        <v>54239</v>
      </c>
      <c r="T3163" s="28">
        <v>74498000</v>
      </c>
      <c r="U3163" s="28">
        <v>27000</v>
      </c>
      <c r="V3163" s="28">
        <v>13977989000</v>
      </c>
      <c r="W3163" s="28">
        <v>4152000</v>
      </c>
      <c r="X3163" s="28">
        <v>4073012000</v>
      </c>
      <c r="Y3163" s="28">
        <v>31867554000</v>
      </c>
      <c r="Z3163" s="28">
        <v>2463161000</v>
      </c>
      <c r="AA3163" s="28">
        <v>220000000</v>
      </c>
      <c r="AB3163" s="28">
        <v>2773512000</v>
      </c>
      <c r="AC3163" s="28">
        <v>29058386000</v>
      </c>
      <c r="AD3163" s="28">
        <v>2468161000</v>
      </c>
      <c r="AE3163" s="28">
        <v>15980873000</v>
      </c>
      <c r="AF3163" s="28">
        <v>1455183000</v>
      </c>
      <c r="AG3163" s="11"/>
    </row>
    <row r="3164">
      <c r="A3164" s="7" t="s">
        <v>4839</v>
      </c>
      <c r="B3164" s="5" t="s">
        <v>12811</v>
      </c>
      <c r="C3164" s="5" t="s">
        <v>20617</v>
      </c>
      <c r="D3164" s="5" t="str">
        <v>212711143026</v>
      </c>
      <c r="E3164" s="0" t="e">
        <f>+7 (495) 9091165
+7 (495) 9099163
+7 (495) 9676650</f>
        <v>#NAME?</v>
      </c>
      <c r="F3164" s="5" t="s">
        <v>34838</v>
      </c>
      <c r="G3164" s="5" t="s">
        <v>34839</v>
      </c>
      <c r="H3164" s="26">
        <v>8</v>
      </c>
      <c r="I3164" s="5" t="s">
        <v>34840</v>
      </c>
      <c r="J3164" s="5" t="s">
        <v>26256</v>
      </c>
      <c r="K3164" s="5" t="s">
        <v>344</v>
      </c>
      <c r="L3164" s="5" t="s">
        <v>34841</v>
      </c>
      <c r="M3164" s="27"/>
      <c r="N3164" s="5" t="s">
        <v>54240</v>
      </c>
      <c r="O3164" s="5" t="str">
        <v>7717152779</v>
      </c>
      <c r="P3164" s="27">
        <v>1000000</v>
      </c>
      <c r="Q3164" s="5" t="s">
        <v>54242</v>
      </c>
      <c r="R3164" s="5"/>
      <c r="S3164" s="5" t="s">
        <v>54243</v>
      </c>
      <c r="T3164" s="28">
        <v>31400000</v>
      </c>
      <c r="U3164" s="28"/>
      <c r="V3164" s="28">
        <v>1174310000</v>
      </c>
      <c r="W3164" s="28"/>
      <c r="X3164" s="28">
        <v>83093000</v>
      </c>
      <c r="Y3164" s="28">
        <v>2007155000</v>
      </c>
      <c r="Z3164" s="28">
        <v>536706000</v>
      </c>
      <c r="AA3164" s="28"/>
      <c r="AB3164" s="28">
        <v>644722000</v>
      </c>
      <c r="AC3164" s="28">
        <v>1469449000</v>
      </c>
      <c r="AD3164" s="28">
        <v>537706000</v>
      </c>
      <c r="AE3164" s="28">
        <v>4432303000</v>
      </c>
      <c r="AF3164" s="28">
        <v>177216000</v>
      </c>
      <c r="AG3164" s="11"/>
    </row>
    <row r="3165">
      <c r="A3165" s="7" t="s">
        <v>4840</v>
      </c>
      <c r="B3165" s="5" t="s">
        <v>12812</v>
      </c>
      <c r="C3165" s="5" t="s">
        <v>20618</v>
      </c>
      <c r="D3165" s="5" t="str">
        <v>501500686665</v>
      </c>
      <c r="E3165" s="0" t="e">
        <f>+7 (903) 7225404
+7 (495) 6257627
+7 (495) 6604789</f>
        <v>#NAME?</v>
      </c>
      <c r="F3165" s="5" t="s">
        <v>34842</v>
      </c>
      <c r="G3165" s="5" t="s">
        <v>34843</v>
      </c>
      <c r="H3165" s="26">
        <v>13</v>
      </c>
      <c r="I3165" s="5" t="s">
        <v>34844</v>
      </c>
      <c r="J3165" s="5" t="s">
        <v>1026</v>
      </c>
      <c r="K3165" s="5" t="s">
        <v>355</v>
      </c>
      <c r="L3165" s="5"/>
      <c r="M3165" s="27"/>
      <c r="N3165" s="5"/>
      <c r="O3165" s="5" t="str">
        <v>7701870982</v>
      </c>
      <c r="P3165" s="27">
        <v>2000000</v>
      </c>
      <c r="Q3165" s="5" t="s">
        <v>49009</v>
      </c>
      <c r="R3165" s="5"/>
      <c r="S3165" s="5" t="s">
        <v>52628</v>
      </c>
      <c r="T3165" s="28"/>
      <c r="U3165" s="28"/>
      <c r="V3165" s="28">
        <v>1662880000</v>
      </c>
      <c r="W3165" s="28">
        <v>334900000</v>
      </c>
      <c r="X3165" s="28">
        <v>1668000</v>
      </c>
      <c r="Y3165" s="28">
        <v>2200760000</v>
      </c>
      <c r="Z3165" s="28">
        <v>63938000</v>
      </c>
      <c r="AA3165" s="28"/>
      <c r="AB3165" s="28">
        <v>147751000</v>
      </c>
      <c r="AC3165" s="28">
        <v>2086149000</v>
      </c>
      <c r="AD3165" s="28">
        <v>65938000</v>
      </c>
      <c r="AE3165" s="28">
        <v>7186418000</v>
      </c>
      <c r="AF3165" s="28">
        <v>-107504000</v>
      </c>
      <c r="AG3165" s="11"/>
    </row>
    <row r="3166">
      <c r="A3166" s="7" t="s">
        <v>4841</v>
      </c>
      <c r="B3166" s="5" t="s">
        <v>12813</v>
      </c>
      <c r="C3166" s="5" t="s">
        <v>20619</v>
      </c>
      <c r="D3166" s="5" t="str">
        <v>502403369447</v>
      </c>
      <c r="E3166" s="0" t="e">
        <f>+7 (903) 196879
+7 (903) 7489064</f>
        <v>#NAME?</v>
      </c>
      <c r="F3166" s="5" t="s">
        <v>34845</v>
      </c>
      <c r="G3166" s="5" t="s">
        <v>34846</v>
      </c>
      <c r="H3166" s="26">
        <v>7</v>
      </c>
      <c r="I3166" s="5" t="s">
        <v>34847</v>
      </c>
      <c r="J3166" s="5" t="s">
        <v>32481</v>
      </c>
      <c r="K3166" s="5" t="s">
        <v>344</v>
      </c>
      <c r="L3166" s="5" t="s">
        <v>1421</v>
      </c>
      <c r="M3166" s="27"/>
      <c r="N3166" s="5" t="s">
        <v>54244</v>
      </c>
      <c r="O3166" s="5" t="str">
        <v>7751016335</v>
      </c>
      <c r="P3166" s="27">
        <v>100000</v>
      </c>
      <c r="Q3166" s="5" t="s">
        <v>54245</v>
      </c>
      <c r="R3166" s="5"/>
      <c r="S3166" s="5" t="s">
        <v>50122</v>
      </c>
      <c r="T3166" s="28"/>
      <c r="U3166" s="28"/>
      <c r="V3166" s="28">
        <v>16305606000</v>
      </c>
      <c r="W3166" s="28">
        <v>2175690000</v>
      </c>
      <c r="X3166" s="28">
        <v>5631271000</v>
      </c>
      <c r="Y3166" s="28">
        <v>31215078000</v>
      </c>
      <c r="Z3166" s="28">
        <v>1404753000</v>
      </c>
      <c r="AA3166" s="28"/>
      <c r="AB3166" s="28"/>
      <c r="AC3166" s="28">
        <v>29702944000</v>
      </c>
      <c r="AD3166" s="28">
        <v>1407853000</v>
      </c>
      <c r="AE3166" s="28">
        <v>36355588000</v>
      </c>
      <c r="AF3166" s="28">
        <v>1615810000</v>
      </c>
      <c r="AG3166" s="11"/>
    </row>
    <row r="3167">
      <c r="A3167" s="7" t="s">
        <v>4842</v>
      </c>
      <c r="B3167" s="5" t="s">
        <v>12814</v>
      </c>
      <c r="C3167" s="5" t="s">
        <v>20620</v>
      </c>
      <c r="D3167" s="5" t="str">
        <v>526100176358</v>
      </c>
      <c r="E3167" s="0" t="e">
        <f>+7 (831) 2839283
+7 (83142) 90290
+7 (83146) 17871</f>
        <v>#NAME?</v>
      </c>
      <c r="F3167" s="5" t="s">
        <v>34848</v>
      </c>
      <c r="G3167" s="5"/>
      <c r="H3167" s="26">
        <v>10.5</v>
      </c>
      <c r="I3167" s="5" t="s">
        <v>34849</v>
      </c>
      <c r="J3167" s="5" t="s">
        <v>25259</v>
      </c>
      <c r="K3167" s="5" t="s">
        <v>355</v>
      </c>
      <c r="L3167" s="5" t="s">
        <v>34850</v>
      </c>
      <c r="M3167" s="27"/>
      <c r="N3167" s="5"/>
      <c r="O3167" s="5" t="str">
        <v>5260338471</v>
      </c>
      <c r="P3167" s="27">
        <v>10000</v>
      </c>
      <c r="Q3167" s="5" t="s">
        <v>54246</v>
      </c>
      <c r="R3167" s="5"/>
      <c r="S3167" s="5" t="s">
        <v>54247</v>
      </c>
      <c r="T3167" s="28">
        <v>10969000</v>
      </c>
      <c r="U3167" s="28"/>
      <c r="V3167" s="28">
        <v>80260000</v>
      </c>
      <c r="W3167" s="28"/>
      <c r="X3167" s="28">
        <v>768000</v>
      </c>
      <c r="Y3167" s="28">
        <v>929129000</v>
      </c>
      <c r="Z3167" s="28">
        <v>162982000</v>
      </c>
      <c r="AA3167" s="28"/>
      <c r="AB3167" s="28">
        <v>259482000</v>
      </c>
      <c r="AC3167" s="28">
        <v>766125000</v>
      </c>
      <c r="AD3167" s="28">
        <v>162992000</v>
      </c>
      <c r="AE3167" s="28">
        <v>3804067000</v>
      </c>
      <c r="AF3167" s="28">
        <v>53686000</v>
      </c>
      <c r="AG3167" s="11"/>
    </row>
    <row r="3168">
      <c r="A3168" s="7" t="s">
        <v>4843</v>
      </c>
      <c r="B3168" s="5" t="s">
        <v>12815</v>
      </c>
      <c r="C3168" s="5" t="s">
        <v>20621</v>
      </c>
      <c r="D3168" s="5" t="str">
        <v>771406871808</v>
      </c>
      <c r="E3168" s="0" t="e">
        <f>+7 (345) 2561259
+7 (3512) 4719
+7 (3512) 326589
+7 (383) 2903431
+7 (390) 2215041
+7 (391) 2269992
+7 (474) 2553346
+7 (495) 1364290
+7 (495) 1518222
+7 (495) 2541741
+7 (495) 2574147
+7 (495) 2583428
+7 (495) 2589865
+7 (495) 4548645
+7 (495) 4001880</f>
        <v>#NAME?</v>
      </c>
      <c r="F3168" s="5" t="s">
        <v>34851</v>
      </c>
      <c r="G3168" s="5" t="s">
        <v>34852</v>
      </c>
      <c r="H3168" s="26">
        <v>18</v>
      </c>
      <c r="I3168" s="5"/>
      <c r="J3168" s="5" t="s">
        <v>25429</v>
      </c>
      <c r="K3168" s="5" t="s">
        <v>344</v>
      </c>
      <c r="L3168" s="5" t="s">
        <v>34853</v>
      </c>
      <c r="M3168" s="27">
        <v>1023</v>
      </c>
      <c r="N3168" s="5" t="s">
        <v>54248</v>
      </c>
      <c r="O3168" s="5" t="str">
        <v>7718538045</v>
      </c>
      <c r="P3168" s="27">
        <v>10000</v>
      </c>
      <c r="Q3168" s="5" t="s">
        <v>54249</v>
      </c>
      <c r="R3168" s="5"/>
      <c r="S3168" s="5" t="s">
        <v>54250</v>
      </c>
      <c r="T3168" s="28">
        <v>428403000</v>
      </c>
      <c r="U3168" s="28">
        <v>170000000</v>
      </c>
      <c r="V3168" s="28">
        <v>4866869000</v>
      </c>
      <c r="W3168" s="28">
        <v>1786711000</v>
      </c>
      <c r="X3168" s="28">
        <v>394295000</v>
      </c>
      <c r="Y3168" s="28">
        <v>14020814000</v>
      </c>
      <c r="Z3168" s="28">
        <v>3745930000</v>
      </c>
      <c r="AA3168" s="28">
        <v>1000000000</v>
      </c>
      <c r="AB3168" s="28">
        <v>1485600000</v>
      </c>
      <c r="AC3168" s="28">
        <v>8926424000</v>
      </c>
      <c r="AD3168" s="28">
        <v>3745940000</v>
      </c>
      <c r="AE3168" s="28">
        <v>43190803000</v>
      </c>
      <c r="AF3168" s="28">
        <v>2518484000</v>
      </c>
      <c r="AG3168" s="11"/>
    </row>
    <row r="3169">
      <c r="A3169" s="7" t="s">
        <v>4844</v>
      </c>
      <c r="B3169" s="5" t="s">
        <v>12816</v>
      </c>
      <c r="C3169" s="5" t="s">
        <v>20622</v>
      </c>
      <c r="D3169" s="5" t="str">
        <v>233006991870</v>
      </c>
      <c r="E3169" s="0" t="e">
        <f>+7 (861) 2600900
+7 (861) 2602626
+7 (861) 9910540
+7 (903) 4500081
+7 (989) 2884773</f>
        <v>#NAME?</v>
      </c>
      <c r="F3169" s="5" t="s">
        <v>34854</v>
      </c>
      <c r="G3169" s="5" t="s">
        <v>34855</v>
      </c>
      <c r="H3169" s="26">
        <v>12.5</v>
      </c>
      <c r="I3169" s="5" t="s">
        <v>34856</v>
      </c>
      <c r="J3169" s="5" t="s">
        <v>25530</v>
      </c>
      <c r="K3169" s="5" t="s">
        <v>344</v>
      </c>
      <c r="L3169" s="5" t="s">
        <v>34857</v>
      </c>
      <c r="M3169" s="27"/>
      <c r="N3169" s="5"/>
      <c r="O3169" s="5" t="str">
        <v>2312173838</v>
      </c>
      <c r="P3169" s="27">
        <v>11000</v>
      </c>
      <c r="Q3169" s="5" t="s">
        <v>49009</v>
      </c>
      <c r="R3169" s="5"/>
      <c r="S3169" s="5" t="s">
        <v>49010</v>
      </c>
      <c r="T3169" s="28"/>
      <c r="U3169" s="28"/>
      <c r="V3169" s="28">
        <v>2853071000</v>
      </c>
      <c r="W3169" s="28">
        <v>6170000</v>
      </c>
      <c r="X3169" s="28">
        <v>1555000</v>
      </c>
      <c r="Y3169" s="28">
        <v>4222526000</v>
      </c>
      <c r="Z3169" s="28">
        <v>45656000</v>
      </c>
      <c r="AA3169" s="28">
        <v>2027989000</v>
      </c>
      <c r="AB3169" s="28"/>
      <c r="AC3169" s="28">
        <v>2115130000</v>
      </c>
      <c r="AD3169" s="28">
        <v>45667000</v>
      </c>
      <c r="AE3169" s="28">
        <v>3653450000</v>
      </c>
      <c r="AF3169" s="28">
        <v>7698000</v>
      </c>
      <c r="AG3169" s="11"/>
    </row>
    <row r="3170">
      <c r="A3170" s="7" t="s">
        <v>4845</v>
      </c>
      <c r="B3170" s="5" t="s">
        <v>12817</v>
      </c>
      <c r="C3170" s="5" t="s">
        <v>20623</v>
      </c>
      <c r="D3170" s="5" t="str">
        <v>621300911453</v>
      </c>
      <c r="E3170" s="0" t="e">
        <f>+7 (86367) 50900
+7 (86368) 50923
+7 (915) 1548922</f>
        <v>#NAME?</v>
      </c>
      <c r="F3170" s="5" t="s">
        <v>34858</v>
      </c>
      <c r="G3170" s="5" t="s">
        <v>34859</v>
      </c>
      <c r="H3170" s="26">
        <v>14</v>
      </c>
      <c r="I3170" s="5" t="s">
        <v>34860</v>
      </c>
      <c r="J3170" s="5" t="s">
        <v>34861</v>
      </c>
      <c r="K3170" s="5" t="s">
        <v>355</v>
      </c>
      <c r="L3170" s="5" t="s">
        <v>34862</v>
      </c>
      <c r="M3170" s="27">
        <v>3843373</v>
      </c>
      <c r="N3170" s="5"/>
      <c r="O3170" s="5" t="str">
        <v>6148559000</v>
      </c>
      <c r="P3170" s="27">
        <v>6194599649</v>
      </c>
      <c r="Q3170" s="5" t="s">
        <v>49009</v>
      </c>
      <c r="R3170" s="5" t="s">
        <v>54251</v>
      </c>
      <c r="S3170" s="5" t="s">
        <v>49010</v>
      </c>
      <c r="T3170" s="28">
        <v>4990856000</v>
      </c>
      <c r="U3170" s="28"/>
      <c r="V3170" s="28">
        <v>725397000</v>
      </c>
      <c r="W3170" s="28">
        <v>637000000</v>
      </c>
      <c r="X3170" s="28">
        <v>253514000</v>
      </c>
      <c r="Y3170" s="28">
        <v>7588833000</v>
      </c>
      <c r="Z3170" s="28">
        <v>497815000</v>
      </c>
      <c r="AA3170" s="28"/>
      <c r="AB3170" s="28"/>
      <c r="AC3170" s="28">
        <v>645157000</v>
      </c>
      <c r="AD3170" s="28">
        <v>6691960000</v>
      </c>
      <c r="AE3170" s="28">
        <v>5680999000</v>
      </c>
      <c r="AF3170" s="28">
        <v>943032000</v>
      </c>
      <c r="AG3170" s="11"/>
    </row>
    <row r="3171">
      <c r="A3171" s="7" t="s">
        <v>4846</v>
      </c>
      <c r="B3171" s="5" t="s">
        <v>12818</v>
      </c>
      <c r="C3171" s="5" t="s">
        <v>20624</v>
      </c>
      <c r="D3171" s="5" t="str">
        <v>622805111595</v>
      </c>
      <c r="E3171" s="0" t="e">
        <f>+7 (491) 2956600
+7 (4912) 240895
+7 (4912) 956601
+7 (4912) 956605</f>
        <v>#NAME?</v>
      </c>
      <c r="F3171" s="5" t="s">
        <v>34863</v>
      </c>
      <c r="G3171" s="5" t="s">
        <v>34864</v>
      </c>
      <c r="H3171" s="26">
        <v>17.5</v>
      </c>
      <c r="I3171" s="5" t="s">
        <v>34865</v>
      </c>
      <c r="J3171" s="5" t="s">
        <v>34861</v>
      </c>
      <c r="K3171" s="5" t="s">
        <v>344</v>
      </c>
      <c r="L3171" s="5" t="s">
        <v>34866</v>
      </c>
      <c r="M3171" s="27"/>
      <c r="N3171" s="5"/>
      <c r="O3171" s="5" t="str">
        <v>6234017547</v>
      </c>
      <c r="P3171" s="27">
        <v>2123872687</v>
      </c>
      <c r="Q3171" s="5" t="s">
        <v>49009</v>
      </c>
      <c r="R3171" s="5" t="s">
        <v>54252</v>
      </c>
      <c r="S3171" s="5" t="s">
        <v>49066</v>
      </c>
      <c r="T3171" s="28">
        <v>2884221000</v>
      </c>
      <c r="U3171" s="28">
        <v>1000000000</v>
      </c>
      <c r="V3171" s="28">
        <v>1906244000</v>
      </c>
      <c r="W3171" s="28">
        <v>796000000</v>
      </c>
      <c r="X3171" s="28">
        <v>152038000</v>
      </c>
      <c r="Y3171" s="28">
        <v>7763346000</v>
      </c>
      <c r="Z3171" s="28">
        <v>4669083000</v>
      </c>
      <c r="AA3171" s="28"/>
      <c r="AB3171" s="28"/>
      <c r="AC3171" s="28">
        <v>824994000</v>
      </c>
      <c r="AD3171" s="28">
        <v>6792956000</v>
      </c>
      <c r="AE3171" s="28">
        <v>7913822000</v>
      </c>
      <c r="AF3171" s="28">
        <v>2627788000</v>
      </c>
      <c r="AG3171" s="11"/>
    </row>
    <row r="3172">
      <c r="A3172" s="7" t="s">
        <v>4847</v>
      </c>
      <c r="B3172" s="5" t="s">
        <v>12819</v>
      </c>
      <c r="C3172" s="5" t="s">
        <v>20625</v>
      </c>
      <c r="D3172" s="5" t="str">
        <v>100105535863</v>
      </c>
      <c r="E3172" s="0" t="e">
        <f>+7 (347) 2936310
+7 (3472) 462116
+7 (3472) 927717
+7 (3519) 540654
+7 (800) 2344900
+7 (919) 1242851
+7 (937) 3305851</f>
        <v>#NAME?</v>
      </c>
      <c r="F3172" s="5" t="s">
        <v>34867</v>
      </c>
      <c r="G3172" s="5" t="s">
        <v>34868</v>
      </c>
      <c r="H3172" s="26">
        <v>16.5</v>
      </c>
      <c r="I3172" s="5" t="s">
        <v>34869</v>
      </c>
      <c r="J3172" s="5" t="s">
        <v>28950</v>
      </c>
      <c r="K3172" s="5" t="s">
        <v>344</v>
      </c>
      <c r="L3172" s="5" t="s">
        <v>34870</v>
      </c>
      <c r="M3172" s="27"/>
      <c r="N3172" s="5"/>
      <c r="O3172" s="5" t="str">
        <v>0274111792</v>
      </c>
      <c r="P3172" s="27">
        <v>210010000</v>
      </c>
      <c r="Q3172" s="5"/>
      <c r="R3172" s="5"/>
      <c r="S3172" s="5" t="s">
        <v>49029</v>
      </c>
      <c r="T3172" s="28">
        <v>991673000</v>
      </c>
      <c r="U3172" s="28"/>
      <c r="V3172" s="28">
        <v>952542000</v>
      </c>
      <c r="W3172" s="28"/>
      <c r="X3172" s="28">
        <v>906537000</v>
      </c>
      <c r="Y3172" s="28">
        <v>4140434000</v>
      </c>
      <c r="Z3172" s="28">
        <v>540552000</v>
      </c>
      <c r="AA3172" s="28">
        <v>839980000</v>
      </c>
      <c r="AB3172" s="28">
        <v>135808000</v>
      </c>
      <c r="AC3172" s="28">
        <v>706795000</v>
      </c>
      <c r="AD3172" s="28">
        <v>2587298000</v>
      </c>
      <c r="AE3172" s="28">
        <v>3264231000</v>
      </c>
      <c r="AF3172" s="28">
        <v>450527000</v>
      </c>
      <c r="AG3172" s="11"/>
    </row>
    <row r="3173">
      <c r="A3173" s="7" t="s">
        <v>4848</v>
      </c>
      <c r="B3173" s="5" t="s">
        <v>12820</v>
      </c>
      <c r="C3173" s="5" t="s">
        <v>20626</v>
      </c>
      <c r="D3173" s="5" t="str">
        <v>773707660378</v>
      </c>
      <c r="E3173" s="0" t="e">
        <f>+7 (495) 6267131
+7 (495) 7457131
+7 (495) 9267131
+7 (8142) 637901
+7 (921) 4512380
+7 (921) 6252323</f>
        <v>#NAME?</v>
      </c>
      <c r="F3173" s="5" t="s">
        <v>34871</v>
      </c>
      <c r="G3173" s="5" t="s">
        <v>34872</v>
      </c>
      <c r="H3173" s="26">
        <v>9.5</v>
      </c>
      <c r="I3173" s="5" t="s">
        <v>34873</v>
      </c>
      <c r="J3173" s="5" t="s">
        <v>34574</v>
      </c>
      <c r="K3173" s="5" t="s">
        <v>344</v>
      </c>
      <c r="L3173" s="5"/>
      <c r="M3173" s="27">
        <v>3768180</v>
      </c>
      <c r="N3173" s="5"/>
      <c r="O3173" s="5" t="str">
        <v>7705155052</v>
      </c>
      <c r="P3173" s="27">
        <v>11000000</v>
      </c>
      <c r="Q3173" s="5" t="s">
        <v>49009</v>
      </c>
      <c r="R3173" s="5"/>
      <c r="S3173" s="5" t="s">
        <v>49028</v>
      </c>
      <c r="T3173" s="28">
        <v>658528000</v>
      </c>
      <c r="U3173" s="28">
        <v>85428000</v>
      </c>
      <c r="V3173" s="28">
        <v>349001000</v>
      </c>
      <c r="W3173" s="28"/>
      <c r="X3173" s="28">
        <v>100673000</v>
      </c>
      <c r="Y3173" s="28">
        <v>2217952000</v>
      </c>
      <c r="Z3173" s="28">
        <v>-1651147000</v>
      </c>
      <c r="AA3173" s="28"/>
      <c r="AB3173" s="28"/>
      <c r="AC3173" s="28">
        <v>1002034000</v>
      </c>
      <c r="AD3173" s="28">
        <v>1100780000</v>
      </c>
      <c r="AE3173" s="28">
        <v>3179743000</v>
      </c>
      <c r="AF3173" s="28">
        <v>244514000</v>
      </c>
      <c r="AG3173" s="11"/>
    </row>
    <row r="3174">
      <c r="A3174" s="7" t="s">
        <v>4849</v>
      </c>
      <c r="B3174" s="5" t="s">
        <v>12821</v>
      </c>
      <c r="C3174" s="5" t="s">
        <v>20627</v>
      </c>
      <c r="D3174" s="5" t="str">
        <v>132703444848</v>
      </c>
      <c r="E3174" s="0" t="e">
        <f>+7 (800) 2001903
+7 (8342) 242480
+7 (8342) 310101
+7 (8342) 333202
+7 (8342) 473372</f>
        <v>#NAME?</v>
      </c>
      <c r="F3174" s="5"/>
      <c r="G3174" s="5" t="s">
        <v>34874</v>
      </c>
      <c r="H3174" s="26">
        <v>15.5</v>
      </c>
      <c r="I3174" s="5" t="s">
        <v>34875</v>
      </c>
      <c r="J3174" s="5" t="s">
        <v>26503</v>
      </c>
      <c r="K3174" s="5" t="s">
        <v>355</v>
      </c>
      <c r="L3174" s="5" t="s">
        <v>34876</v>
      </c>
      <c r="M3174" s="27"/>
      <c r="N3174" s="5"/>
      <c r="O3174" s="5" t="str">
        <v>1326202276</v>
      </c>
      <c r="P3174" s="27">
        <v>80000000</v>
      </c>
      <c r="Q3174" s="5" t="s">
        <v>49009</v>
      </c>
      <c r="R3174" s="5"/>
      <c r="S3174" s="5" t="s">
        <v>49066</v>
      </c>
      <c r="T3174" s="28">
        <v>1481428000</v>
      </c>
      <c r="U3174" s="28">
        <v>3917000</v>
      </c>
      <c r="V3174" s="28">
        <v>4901861000</v>
      </c>
      <c r="W3174" s="28">
        <v>1000000</v>
      </c>
      <c r="X3174" s="28">
        <v>60403000</v>
      </c>
      <c r="Y3174" s="28">
        <v>7532509000</v>
      </c>
      <c r="Z3174" s="28">
        <v>1610019000</v>
      </c>
      <c r="AA3174" s="28">
        <v>453144000</v>
      </c>
      <c r="AB3174" s="28">
        <v>1515841000</v>
      </c>
      <c r="AC3174" s="28">
        <v>4810007000</v>
      </c>
      <c r="AD3174" s="28">
        <v>1710784000</v>
      </c>
      <c r="AE3174" s="28">
        <v>7841606000</v>
      </c>
      <c r="AF3174" s="28">
        <v>798420000</v>
      </c>
      <c r="AG3174" s="11"/>
    </row>
    <row r="3175">
      <c r="A3175" s="7" t="s">
        <v>4850</v>
      </c>
      <c r="B3175" s="5" t="s">
        <v>12822</v>
      </c>
      <c r="C3175" s="5" t="s">
        <v>20628</v>
      </c>
      <c r="D3175" s="5"/>
      <c r="E3175" s="0" t="e">
        <f>+7 (495) 9935161</f>
        <v>#NAME?</v>
      </c>
      <c r="F3175" s="5" t="s">
        <v>34877</v>
      </c>
      <c r="G3175" s="5"/>
      <c r="H3175" s="26">
        <v>28</v>
      </c>
      <c r="I3175" s="5"/>
      <c r="J3175" s="5" t="s">
        <v>26503</v>
      </c>
      <c r="K3175" s="5" t="s">
        <v>355</v>
      </c>
      <c r="L3175" s="5" t="s">
        <v>34878</v>
      </c>
      <c r="M3175" s="27">
        <v>1916439</v>
      </c>
      <c r="N3175" s="5"/>
      <c r="O3175" s="5" t="str">
        <v>5038002790</v>
      </c>
      <c r="P3175" s="27">
        <v>2193381000</v>
      </c>
      <c r="Q3175" s="5" t="s">
        <v>49217</v>
      </c>
      <c r="R3175" s="5"/>
      <c r="S3175" s="5" t="s">
        <v>54253</v>
      </c>
      <c r="T3175" s="28">
        <v>624086000</v>
      </c>
      <c r="U3175" s="28"/>
      <c r="V3175" s="28">
        <v>18083362000</v>
      </c>
      <c r="W3175" s="28">
        <v>1711411000</v>
      </c>
      <c r="X3175" s="28">
        <v>3267000</v>
      </c>
      <c r="Y3175" s="28">
        <v>21421421000</v>
      </c>
      <c r="Z3175" s="28">
        <v>-1056363000</v>
      </c>
      <c r="AA3175" s="28"/>
      <c r="AB3175" s="28">
        <v>1597170000</v>
      </c>
      <c r="AC3175" s="28">
        <v>16832397000</v>
      </c>
      <c r="AD3175" s="28">
        <v>4268461000</v>
      </c>
      <c r="AE3175" s="28">
        <v>4843292000</v>
      </c>
      <c r="AF3175" s="28">
        <v>9720000</v>
      </c>
      <c r="AG3175" s="11"/>
    </row>
    <row r="3176">
      <c r="A3176" s="7" t="s">
        <v>4851</v>
      </c>
      <c r="B3176" s="5" t="s">
        <v>12823</v>
      </c>
      <c r="C3176" s="5" t="s">
        <v>20629</v>
      </c>
      <c r="D3176" s="5" t="str">
        <v>662303995018</v>
      </c>
      <c r="E3176" s="0" t="e">
        <f>+7 (343) 3638805
+7 (800) 5553447</f>
        <v>#NAME?</v>
      </c>
      <c r="F3176" s="5" t="s">
        <v>34879</v>
      </c>
      <c r="G3176" s="5" t="s">
        <v>34880</v>
      </c>
      <c r="H3176" s="26">
        <v>4</v>
      </c>
      <c r="I3176" s="5" t="s">
        <v>34881</v>
      </c>
      <c r="J3176" s="5" t="s">
        <v>25612</v>
      </c>
      <c r="K3176" s="5" t="s">
        <v>344</v>
      </c>
      <c r="L3176" s="5" t="s">
        <v>34882</v>
      </c>
      <c r="M3176" s="27">
        <v>145000</v>
      </c>
      <c r="N3176" s="5" t="s">
        <v>54254</v>
      </c>
      <c r="O3176" s="5" t="str">
        <v>6685157956</v>
      </c>
      <c r="P3176" s="27">
        <v>100000</v>
      </c>
      <c r="Q3176" s="5" t="s">
        <v>54255</v>
      </c>
      <c r="R3176" s="5"/>
      <c r="S3176" s="5" t="s">
        <v>54256</v>
      </c>
      <c r="T3176" s="28">
        <v>29913000</v>
      </c>
      <c r="U3176" s="28"/>
      <c r="V3176" s="28">
        <v>1542898000</v>
      </c>
      <c r="W3176" s="28">
        <v>14500000</v>
      </c>
      <c r="X3176" s="28">
        <v>54946000</v>
      </c>
      <c r="Y3176" s="28">
        <v>2687896000</v>
      </c>
      <c r="Z3176" s="28">
        <v>636317000</v>
      </c>
      <c r="AA3176" s="28">
        <v>726603000</v>
      </c>
      <c r="AB3176" s="28">
        <v>661944000</v>
      </c>
      <c r="AC3176" s="28">
        <v>1318167000</v>
      </c>
      <c r="AD3176" s="28">
        <v>636417000</v>
      </c>
      <c r="AE3176" s="28">
        <v>4563114000</v>
      </c>
      <c r="AF3176" s="28">
        <v>478789000</v>
      </c>
      <c r="AG3176" s="11"/>
    </row>
    <row r="3177">
      <c r="A3177" s="7" t="s">
        <v>4852</v>
      </c>
      <c r="B3177" s="5" t="s">
        <v>12824</v>
      </c>
      <c r="C3177" s="5" t="s">
        <v>20630</v>
      </c>
      <c r="D3177" s="5" t="str">
        <v>771484339598</v>
      </c>
      <c r="E3177" s="0" t="e">
        <f>+7 (495) 7851357
+7 (800) 2007670
+7 (495) 7851310
+7 (495) 7851313
+7 (495) 9336090
+7 (495) 9336560
+7 (495) 9336565
+7 (495) 9566848
+7 (495) 9935090</f>
        <v>#NAME?</v>
      </c>
      <c r="F3177" s="5"/>
      <c r="G3177" s="5" t="s">
        <v>34883</v>
      </c>
      <c r="H3177" s="26">
        <v>18</v>
      </c>
      <c r="I3177" s="5" t="s">
        <v>34884</v>
      </c>
      <c r="J3177" s="5" t="s">
        <v>26243</v>
      </c>
      <c r="K3177" s="5" t="s">
        <v>344</v>
      </c>
      <c r="L3177" s="5" t="s">
        <v>34885</v>
      </c>
      <c r="M3177" s="27"/>
      <c r="N3177" s="5"/>
      <c r="O3177" s="5" t="str">
        <v>5075018950</v>
      </c>
      <c r="P3177" s="27">
        <v>3263090573</v>
      </c>
      <c r="Q3177" s="5" t="s">
        <v>49059</v>
      </c>
      <c r="R3177" s="5"/>
      <c r="S3177" s="5" t="s">
        <v>49066</v>
      </c>
      <c r="T3177" s="28">
        <v>9117297000</v>
      </c>
      <c r="U3177" s="28"/>
      <c r="V3177" s="28">
        <v>1240625000</v>
      </c>
      <c r="W3177" s="28">
        <v>11290697000</v>
      </c>
      <c r="X3177" s="28">
        <v>17383826000</v>
      </c>
      <c r="Y3177" s="28">
        <v>45220509000</v>
      </c>
      <c r="Z3177" s="28">
        <v>27295036000</v>
      </c>
      <c r="AA3177" s="28"/>
      <c r="AB3177" s="28"/>
      <c r="AC3177" s="28">
        <v>14582359000</v>
      </c>
      <c r="AD3177" s="28">
        <v>30558127000</v>
      </c>
      <c r="AE3177" s="28">
        <v>55431314000</v>
      </c>
      <c r="AF3177" s="28">
        <v>376401000</v>
      </c>
      <c r="AG3177" s="11"/>
    </row>
    <row r="3178">
      <c r="A3178" s="7" t="s">
        <v>4853</v>
      </c>
      <c r="B3178" s="5" t="s">
        <v>12825</v>
      </c>
      <c r="C3178" s="5" t="s">
        <v>20631</v>
      </c>
      <c r="D3178" s="5"/>
      <c r="E3178" s="0" t="e">
        <f>+7 (495) 9854788
+7 (495) 5035049
+7 (495) 5542032
+7 (495) 5543111
+7 (495) 5549166
+7 (495) 5592088
+7 (495) 5592111
+7 (495) 5593122
+7 (495) 5598155
+7 (496) 5549166</f>
        <v>#NAME?</v>
      </c>
      <c r="F3178" s="5" t="s">
        <v>34886</v>
      </c>
      <c r="G3178" s="5" t="s">
        <v>34887</v>
      </c>
      <c r="H3178" s="26">
        <v>25.5</v>
      </c>
      <c r="I3178" s="5" t="s">
        <v>34888</v>
      </c>
      <c r="J3178" s="5" t="s">
        <v>648</v>
      </c>
      <c r="K3178" s="5" t="s">
        <v>355</v>
      </c>
      <c r="L3178" s="5"/>
      <c r="M3178" s="27">
        <v>385447820</v>
      </c>
      <c r="N3178" s="5" t="s">
        <v>54257</v>
      </c>
      <c r="O3178" s="5" t="str">
        <v>5027130207</v>
      </c>
      <c r="P3178" s="27">
        <v>296250100</v>
      </c>
      <c r="Q3178" s="5" t="s">
        <v>54258</v>
      </c>
      <c r="R3178" s="5" t="s">
        <v>54259</v>
      </c>
      <c r="S3178" s="5" t="s">
        <v>54260</v>
      </c>
      <c r="T3178" s="28">
        <v>288808000</v>
      </c>
      <c r="U3178" s="28"/>
      <c r="V3178" s="28">
        <v>1579658000</v>
      </c>
      <c r="W3178" s="28">
        <v>4661000</v>
      </c>
      <c r="X3178" s="28">
        <v>17974000</v>
      </c>
      <c r="Y3178" s="28">
        <v>2048613000</v>
      </c>
      <c r="Z3178" s="28">
        <v>300571000</v>
      </c>
      <c r="AA3178" s="28"/>
      <c r="AB3178" s="28">
        <v>54570000</v>
      </c>
      <c r="AC3178" s="28">
        <v>1410290000</v>
      </c>
      <c r="AD3178" s="28">
        <v>634081000</v>
      </c>
      <c r="AE3178" s="28">
        <v>4391134000</v>
      </c>
      <c r="AF3178" s="28">
        <v>16223000</v>
      </c>
      <c r="AG3178" s="11"/>
    </row>
    <row r="3179">
      <c r="A3179" s="7" t="s">
        <v>4854</v>
      </c>
      <c r="B3179" s="5" t="s">
        <v>12826</v>
      </c>
      <c r="C3179" s="5" t="s">
        <v>20632</v>
      </c>
      <c r="D3179" s="5" t="str">
        <v>504304428060</v>
      </c>
      <c r="E3179" s="0" t="e">
        <f>+7 (495) 2120004
+7 (495) 2120472
+7 (495) 2210461
+7 (401) 2920043
+7 (401) 2920044
+7 (401) 2920048
+7 (401) 2920049
+7 (495) 2120462
+7 (495) 2120466
+7 (495) 2120476
+7 (495) 2120477
+7 (495) 2120478
+7 (495) 2120482
+7 (495) 2120774
+7 (495) 2140488</f>
        <v>#NAME?</v>
      </c>
      <c r="F3179" s="5" t="s">
        <v>34889</v>
      </c>
      <c r="G3179" s="5" t="s">
        <v>34890</v>
      </c>
      <c r="H3179" s="26">
        <v>22</v>
      </c>
      <c r="I3179" s="5"/>
      <c r="J3179" s="5" t="s">
        <v>27333</v>
      </c>
      <c r="K3179" s="5" t="s">
        <v>344</v>
      </c>
      <c r="L3179" s="5" t="s">
        <v>34891</v>
      </c>
      <c r="M3179" s="27"/>
      <c r="N3179" s="5" t="s">
        <v>54261</v>
      </c>
      <c r="O3179" s="5" t="str">
        <v>5001000041</v>
      </c>
      <c r="P3179" s="27">
        <v>2162180505</v>
      </c>
      <c r="Q3179" s="5" t="s">
        <v>54262</v>
      </c>
      <c r="R3179" s="5"/>
      <c r="S3179" s="5" t="s">
        <v>54263</v>
      </c>
      <c r="T3179" s="28">
        <v>7844215000</v>
      </c>
      <c r="U3179" s="28"/>
      <c r="V3179" s="28">
        <v>692624000</v>
      </c>
      <c r="W3179" s="28"/>
      <c r="X3179" s="28">
        <v>3850882000</v>
      </c>
      <c r="Y3179" s="28">
        <v>13474613000</v>
      </c>
      <c r="Z3179" s="28">
        <v>2791611000</v>
      </c>
      <c r="AA3179" s="28">
        <v>1953005000</v>
      </c>
      <c r="AB3179" s="28">
        <v>2886711000</v>
      </c>
      <c r="AC3179" s="28">
        <v>3679199000</v>
      </c>
      <c r="AD3179" s="28">
        <v>7153530000</v>
      </c>
      <c r="AE3179" s="28">
        <v>6519200000</v>
      </c>
      <c r="AF3179" s="28">
        <v>857514000</v>
      </c>
      <c r="AG3179" s="11"/>
    </row>
    <row r="3180">
      <c r="A3180" s="7" t="s">
        <v>4855</v>
      </c>
      <c r="B3180" s="5" t="s">
        <v>12827</v>
      </c>
      <c r="C3180" s="5" t="s">
        <v>20633</v>
      </c>
      <c r="D3180" s="5" t="str">
        <v>780706080953</v>
      </c>
      <c r="E3180" s="0" t="e">
        <f>+7 (812) 4599000
+7 (812) 4599013
+7 (812) 4599061
+7 (812) 4599064
+7 (812) 4599073</f>
        <v>#NAME?</v>
      </c>
      <c r="F3180" s="5" t="s">
        <v>34892</v>
      </c>
      <c r="G3180" s="5" t="s">
        <v>34893</v>
      </c>
      <c r="H3180" s="26">
        <v>28.5</v>
      </c>
      <c r="I3180" s="5"/>
      <c r="J3180" s="5" t="s">
        <v>947</v>
      </c>
      <c r="K3180" s="5" t="s">
        <v>355</v>
      </c>
      <c r="L3180" s="5"/>
      <c r="M3180" s="27">
        <v>5148543131</v>
      </c>
      <c r="N3180" s="5"/>
      <c r="O3180" s="5" t="str">
        <v>7806027191</v>
      </c>
      <c r="P3180" s="27">
        <v>50448</v>
      </c>
      <c r="Q3180" s="5" t="s">
        <v>54264</v>
      </c>
      <c r="R3180" s="5" t="s">
        <v>51952</v>
      </c>
      <c r="S3180" s="5" t="s">
        <v>49961</v>
      </c>
      <c r="T3180" s="28">
        <v>7404788000</v>
      </c>
      <c r="U3180" s="28"/>
      <c r="V3180" s="28">
        <v>19782494000</v>
      </c>
      <c r="W3180" s="28"/>
      <c r="X3180" s="28">
        <v>2683018000</v>
      </c>
      <c r="Y3180" s="28">
        <v>77692377000</v>
      </c>
      <c r="Z3180" s="28">
        <v>892994000</v>
      </c>
      <c r="AA3180" s="28"/>
      <c r="AB3180" s="28"/>
      <c r="AC3180" s="28">
        <v>75491126000</v>
      </c>
      <c r="AD3180" s="28">
        <v>995977000</v>
      </c>
      <c r="AE3180" s="28">
        <v>68326768000</v>
      </c>
      <c r="AF3180" s="28">
        <v>32773000</v>
      </c>
      <c r="AG3180" s="11"/>
    </row>
    <row r="3181">
      <c r="A3181" s="7" t="s">
        <v>4856</v>
      </c>
      <c r="B3181" s="5" t="s">
        <v>12828</v>
      </c>
      <c r="C3181" s="5" t="s">
        <v>20634</v>
      </c>
      <c r="D3181" s="5" t="str">
        <v>782540335911</v>
      </c>
      <c r="E3181" s="0" t="e">
        <f>+7 (812) 7024803
+7 (3422) 151155
+7 (385) 2506931
+7 (385) 2506932
+7 (385) 2506933
+7 (385) 2605933
+7 (902) 8302854
+7 (812) 2440024
+7 (812) 2440414
+7 (812) 2440415
+7 (812) 2934010
+7 (812) 2936675
+7 (812) 3743044
+7 (812) 3743074
+7 (812) 3743094</f>
        <v>#NAME?</v>
      </c>
      <c r="F3181" s="5" t="s">
        <v>34894</v>
      </c>
      <c r="G3181" s="5"/>
      <c r="H3181" s="26">
        <v>20</v>
      </c>
      <c r="I3181" s="5" t="s">
        <v>34895</v>
      </c>
      <c r="J3181" s="5" t="s">
        <v>25349</v>
      </c>
      <c r="K3181" s="5" t="s">
        <v>344</v>
      </c>
      <c r="L3181" s="5" t="s">
        <v>34896</v>
      </c>
      <c r="M3181" s="27">
        <v>16125</v>
      </c>
      <c r="N3181" s="5" t="s">
        <v>54265</v>
      </c>
      <c r="O3181" s="5" t="str">
        <v>7802290931</v>
      </c>
      <c r="P3181" s="27">
        <v>120000</v>
      </c>
      <c r="Q3181" s="5" t="s">
        <v>54266</v>
      </c>
      <c r="R3181" s="5" t="s">
        <v>54267</v>
      </c>
      <c r="S3181" s="5" t="s">
        <v>54268</v>
      </c>
      <c r="T3181" s="28">
        <v>5921424000</v>
      </c>
      <c r="U3181" s="28">
        <v>8000</v>
      </c>
      <c r="V3181" s="28">
        <v>1529210000</v>
      </c>
      <c r="W3181" s="28">
        <v>821000000</v>
      </c>
      <c r="X3181" s="28">
        <v>965920000</v>
      </c>
      <c r="Y3181" s="28">
        <v>10145878000</v>
      </c>
      <c r="Z3181" s="28">
        <v>6295547000</v>
      </c>
      <c r="AA3181" s="28">
        <v>753099000</v>
      </c>
      <c r="AB3181" s="28"/>
      <c r="AC3181" s="28">
        <v>2012242000</v>
      </c>
      <c r="AD3181" s="28">
        <v>8022065000</v>
      </c>
      <c r="AE3181" s="28">
        <v>5631568000</v>
      </c>
      <c r="AF3181" s="28">
        <v>1382083000</v>
      </c>
      <c r="AG3181" s="11"/>
    </row>
    <row r="3182">
      <c r="A3182" s="7" t="s">
        <v>4857</v>
      </c>
      <c r="B3182" s="5" t="s">
        <v>12829</v>
      </c>
      <c r="C3182" s="5" t="s">
        <v>20635</v>
      </c>
      <c r="D3182" s="5"/>
      <c r="E3182" s="0" t="e">
        <f>+7 (472) 2325256
+7 (47241) 54036
+7 (472) 1495849
+7 (472) 4124455
+7 (47241) 45403
+7 (47241) 54455
+7 (47241) 75523
+7 (47241) 91535
+7 (47241) 93948
+7 (47241) 93960
+7 (47241) 93963
+7 (47241) 94421
+7 (47241) 94455
+7 (47241) 95523
+7 (47241) 95823</f>
        <v>#NAME?</v>
      </c>
      <c r="F3182" s="5" t="s">
        <v>34897</v>
      </c>
      <c r="G3182" s="5" t="s">
        <v>34898</v>
      </c>
      <c r="H3182" s="26">
        <v>30.5</v>
      </c>
      <c r="I3182" s="5"/>
      <c r="J3182" s="5" t="s">
        <v>31501</v>
      </c>
      <c r="K3182" s="5" t="s">
        <v>344</v>
      </c>
      <c r="L3182" s="5" t="s">
        <v>34899</v>
      </c>
      <c r="M3182" s="27">
        <v>18077584</v>
      </c>
      <c r="N3182" s="5" t="s">
        <v>54269</v>
      </c>
      <c r="O3182" s="5" t="str">
        <v>3127000014</v>
      </c>
      <c r="P3182" s="27">
        <v>934900</v>
      </c>
      <c r="Q3182" s="5" t="s">
        <v>49057</v>
      </c>
      <c r="R3182" s="5" t="s">
        <v>54270</v>
      </c>
      <c r="S3182" s="5" t="s">
        <v>54271</v>
      </c>
      <c r="T3182" s="28">
        <v>76941862000</v>
      </c>
      <c r="U3182" s="28">
        <v>235025371000</v>
      </c>
      <c r="V3182" s="28">
        <v>40398791000</v>
      </c>
      <c r="W3182" s="28"/>
      <c r="X3182" s="28">
        <v>3383040000</v>
      </c>
      <c r="Y3182" s="28">
        <v>367445691000</v>
      </c>
      <c r="Z3182" s="28">
        <v>136831944000</v>
      </c>
      <c r="AA3182" s="28">
        <v>135173746000</v>
      </c>
      <c r="AB3182" s="28">
        <v>74050223000</v>
      </c>
      <c r="AC3182" s="28">
        <v>87757752000</v>
      </c>
      <c r="AD3182" s="28">
        <v>138932829000</v>
      </c>
      <c r="AE3182" s="28">
        <v>195460257000</v>
      </c>
      <c r="AF3182" s="28">
        <v>82443363000</v>
      </c>
      <c r="AG3182" s="11"/>
    </row>
    <row r="3183">
      <c r="A3183" s="7" t="s">
        <v>4858</v>
      </c>
      <c r="B3183" s="5" t="s">
        <v>12830</v>
      </c>
      <c r="C3183" s="5" t="s">
        <v>20636</v>
      </c>
      <c r="D3183" s="5" t="str">
        <v>616202044773</v>
      </c>
      <c r="E3183" s="0" t="e">
        <f>+7 (30242) 41926
+7 (3422) 182553
+7 (345) 2994909
+7 (3512) 393913
+7 (3512) 393926
+7 (35342) 55774
+7 (35342) 70335
+7 (35352) 91099
+7 (35372) 50070
+7 (35373) 57993
+7 (3652) 515078
+7 (3652) 544573
+7 (381) 2364202
+7 (383) 2195706
+7 (383) 3631775</f>
        <v>#NAME?</v>
      </c>
      <c r="F3183" s="5" t="s">
        <v>34900</v>
      </c>
      <c r="G3183" s="5"/>
      <c r="H3183" s="26">
        <v>26</v>
      </c>
      <c r="I3183" s="5"/>
      <c r="J3183" s="5" t="s">
        <v>25530</v>
      </c>
      <c r="K3183" s="5" t="s">
        <v>344</v>
      </c>
      <c r="L3183" s="5" t="s">
        <v>34901</v>
      </c>
      <c r="M3183" s="27">
        <v>1781619</v>
      </c>
      <c r="N3183" s="5" t="s">
        <v>54272</v>
      </c>
      <c r="O3183" s="5" t="str">
        <v>6162024782</v>
      </c>
      <c r="P3183" s="27">
        <v>8500</v>
      </c>
      <c r="Q3183" s="5" t="s">
        <v>49021</v>
      </c>
      <c r="R3183" s="5"/>
      <c r="S3183" s="5" t="s">
        <v>54273</v>
      </c>
      <c r="T3183" s="28">
        <v>351238000</v>
      </c>
      <c r="U3183" s="28"/>
      <c r="V3183" s="28">
        <v>430896000</v>
      </c>
      <c r="W3183" s="28"/>
      <c r="X3183" s="28">
        <v>57317000</v>
      </c>
      <c r="Y3183" s="28">
        <v>1602799000</v>
      </c>
      <c r="Z3183" s="28">
        <v>448353000</v>
      </c>
      <c r="AA3183" s="28">
        <v>175673000</v>
      </c>
      <c r="AB3183" s="28">
        <v>637351000</v>
      </c>
      <c r="AC3183" s="28">
        <v>978764000</v>
      </c>
      <c r="AD3183" s="28">
        <v>448362000</v>
      </c>
      <c r="AE3183" s="28">
        <v>3312117000</v>
      </c>
      <c r="AF3183" s="28">
        <v>76148000</v>
      </c>
      <c r="AG3183" s="11"/>
    </row>
    <row r="3184">
      <c r="A3184" s="7" t="s">
        <v>4859</v>
      </c>
      <c r="B3184" s="5" t="s">
        <v>12831</v>
      </c>
      <c r="C3184" s="5" t="s">
        <v>20637</v>
      </c>
      <c r="D3184" s="5" t="str">
        <v>481100937457</v>
      </c>
      <c r="E3184" s="0" t="e">
        <f>+7 (47466) 93240
+7 (47466) 93383
+7 (47466) 93505
+7 (47466) 93563
+7 (47466) 93948
+7 (47467) 93243</f>
        <v>#NAME?</v>
      </c>
      <c r="F3184" s="5" t="s">
        <v>34902</v>
      </c>
      <c r="G3184" s="5" t="s">
        <v>34903</v>
      </c>
      <c r="H3184" s="26">
        <v>21.5</v>
      </c>
      <c r="I3184" s="5"/>
      <c r="J3184" s="5" t="s">
        <v>25994</v>
      </c>
      <c r="K3184" s="5" t="s">
        <v>344</v>
      </c>
      <c r="L3184" s="5" t="s">
        <v>34904</v>
      </c>
      <c r="M3184" s="27">
        <v>5517485</v>
      </c>
      <c r="N3184" s="5"/>
      <c r="O3184" s="5" t="str">
        <v>4811005871</v>
      </c>
      <c r="P3184" s="27">
        <v>157000116</v>
      </c>
      <c r="Q3184" s="5" t="s">
        <v>49021</v>
      </c>
      <c r="R3184" s="5"/>
      <c r="S3184" s="5" t="s">
        <v>49033</v>
      </c>
      <c r="T3184" s="28">
        <v>1411958000</v>
      </c>
      <c r="U3184" s="28"/>
      <c r="V3184" s="28">
        <v>2707786000</v>
      </c>
      <c r="W3184" s="28"/>
      <c r="X3184" s="28">
        <v>2753785000</v>
      </c>
      <c r="Y3184" s="28">
        <v>8783149000</v>
      </c>
      <c r="Z3184" s="28">
        <v>4474109000</v>
      </c>
      <c r="AA3184" s="28">
        <v>921463000</v>
      </c>
      <c r="AB3184" s="28">
        <v>426000000</v>
      </c>
      <c r="AC3184" s="28">
        <v>2889410000</v>
      </c>
      <c r="AD3184" s="28">
        <v>4832262000</v>
      </c>
      <c r="AE3184" s="28">
        <v>7628578000</v>
      </c>
      <c r="AF3184" s="28">
        <v>1521660000</v>
      </c>
      <c r="AG3184" s="11"/>
    </row>
    <row r="3185">
      <c r="A3185" s="7" t="s">
        <v>4860</v>
      </c>
      <c r="B3185" s="5" t="s">
        <v>12832</v>
      </c>
      <c r="C3185" s="5" t="s">
        <v>20638</v>
      </c>
      <c r="D3185" s="5" t="str">
        <v>481100876927</v>
      </c>
      <c r="E3185" s="0" t="e">
        <f>+7 (474) 2288554
+7 (47466) 51456
+7 (47466) 52124
+7 (47466) 52146
+7 (47466) 52162
+7 (47466) 52322
+7 (47466) 52636
+7 (47466) 52733
+7 (47466) 53184</f>
        <v>#NAME?</v>
      </c>
      <c r="F3185" s="5" t="s">
        <v>34905</v>
      </c>
      <c r="G3185" s="5" t="s">
        <v>34906</v>
      </c>
      <c r="H3185" s="26">
        <v>22</v>
      </c>
      <c r="I3185" s="5" t="s">
        <v>34907</v>
      </c>
      <c r="J3185" s="5" t="s">
        <v>25499</v>
      </c>
      <c r="K3185" s="5" t="s">
        <v>344</v>
      </c>
      <c r="L3185" s="5" t="s">
        <v>34908</v>
      </c>
      <c r="M3185" s="27"/>
      <c r="N3185" s="5" t="s">
        <v>54274</v>
      </c>
      <c r="O3185" s="5" t="str">
        <v>4811005751</v>
      </c>
      <c r="P3185" s="27">
        <v>10000</v>
      </c>
      <c r="Q3185" s="5" t="s">
        <v>49021</v>
      </c>
      <c r="R3185" s="5"/>
      <c r="S3185" s="5" t="s">
        <v>54275</v>
      </c>
      <c r="T3185" s="28">
        <v>857839000</v>
      </c>
      <c r="U3185" s="28"/>
      <c r="V3185" s="28">
        <v>1170188000</v>
      </c>
      <c r="W3185" s="28"/>
      <c r="X3185" s="28">
        <v>54197000</v>
      </c>
      <c r="Y3185" s="28">
        <v>2569259000</v>
      </c>
      <c r="Z3185" s="28">
        <v>1073408000</v>
      </c>
      <c r="AA3185" s="28">
        <v>581623000</v>
      </c>
      <c r="AB3185" s="28">
        <v>600000000</v>
      </c>
      <c r="AC3185" s="28">
        <v>884713000</v>
      </c>
      <c r="AD3185" s="28">
        <v>1073420000</v>
      </c>
      <c r="AE3185" s="28">
        <v>9555647000</v>
      </c>
      <c r="AF3185" s="28">
        <v>790537000</v>
      </c>
      <c r="AG3185" s="11"/>
    </row>
    <row r="3186">
      <c r="A3186" s="7" t="s">
        <v>4861</v>
      </c>
      <c r="B3186" s="5" t="s">
        <v>12833</v>
      </c>
      <c r="C3186" s="5" t="s">
        <v>20639</v>
      </c>
      <c r="D3186" s="5" t="str">
        <v>661200139006</v>
      </c>
      <c r="E3186" s="0" t="e">
        <f>+7 (343) 3472880
+7 (343) 3472971
+7 (381) 2668703
+7 (343) 3472725
+7 (3433) 108658
+7 (800) 7775533
+7 (912) 2413841</f>
        <v>#NAME?</v>
      </c>
      <c r="F3186" s="5" t="s">
        <v>34909</v>
      </c>
      <c r="G3186" s="5" t="s">
        <v>34910</v>
      </c>
      <c r="H3186" s="26">
        <v>17</v>
      </c>
      <c r="I3186" s="5" t="s">
        <v>34911</v>
      </c>
      <c r="J3186" s="5" t="s">
        <v>34912</v>
      </c>
      <c r="K3186" s="5" t="s">
        <v>344</v>
      </c>
      <c r="L3186" s="5" t="s">
        <v>34913</v>
      </c>
      <c r="M3186" s="27"/>
      <c r="N3186" s="5"/>
      <c r="O3186" s="5" t="str">
        <v>6670119690</v>
      </c>
      <c r="P3186" s="27">
        <v>500000</v>
      </c>
      <c r="Q3186" s="5" t="s">
        <v>49009</v>
      </c>
      <c r="R3186" s="5"/>
      <c r="S3186" s="5" t="s">
        <v>49028</v>
      </c>
      <c r="T3186" s="28">
        <v>231435000</v>
      </c>
      <c r="U3186" s="28"/>
      <c r="V3186" s="28">
        <v>198253000</v>
      </c>
      <c r="W3186" s="28"/>
      <c r="X3186" s="28">
        <v>1139425000</v>
      </c>
      <c r="Y3186" s="28">
        <v>3095058000</v>
      </c>
      <c r="Z3186" s="28">
        <v>576465000</v>
      </c>
      <c r="AA3186" s="28"/>
      <c r="AB3186" s="28"/>
      <c r="AC3186" s="28">
        <v>2519338000</v>
      </c>
      <c r="AD3186" s="28">
        <v>575720000</v>
      </c>
      <c r="AE3186" s="28">
        <v>18168137000</v>
      </c>
      <c r="AF3186" s="28">
        <v>457915000</v>
      </c>
      <c r="AG3186" s="11"/>
    </row>
    <row r="3187">
      <c r="A3187" s="7" t="s">
        <v>4862</v>
      </c>
      <c r="B3187" s="5" t="s">
        <v>12834</v>
      </c>
      <c r="C3187" s="5" t="s">
        <v>20640</v>
      </c>
      <c r="D3187" s="5" t="str">
        <v>503105064160</v>
      </c>
      <c r="E3187" s="0" t="e">
        <f>+7 (495) 7553651
+7 (495) 7558536</f>
        <v>#NAME?</v>
      </c>
      <c r="F3187" s="5"/>
      <c r="G3187" s="5" t="s">
        <v>34914</v>
      </c>
      <c r="H3187" s="26">
        <v>14.5</v>
      </c>
      <c r="I3187" s="5" t="s">
        <v>34915</v>
      </c>
      <c r="J3187" s="5" t="s">
        <v>25195</v>
      </c>
      <c r="K3187" s="5" t="s">
        <v>355</v>
      </c>
      <c r="L3187" s="5" t="s">
        <v>34916</v>
      </c>
      <c r="M3187" s="27"/>
      <c r="N3187" s="5"/>
      <c r="O3187" s="5" t="str">
        <v>7707672105</v>
      </c>
      <c r="P3187" s="27">
        <v>140730670</v>
      </c>
      <c r="Q3187" s="5" t="s">
        <v>52334</v>
      </c>
      <c r="R3187" s="5"/>
      <c r="S3187" s="5" t="s">
        <v>54276</v>
      </c>
      <c r="T3187" s="28">
        <v>174271000</v>
      </c>
      <c r="U3187" s="28"/>
      <c r="V3187" s="28">
        <v>104091000</v>
      </c>
      <c r="W3187" s="28"/>
      <c r="X3187" s="28">
        <v>2451321000</v>
      </c>
      <c r="Y3187" s="28">
        <v>3185034000</v>
      </c>
      <c r="Z3187" s="28">
        <v>1372891000</v>
      </c>
      <c r="AA3187" s="28"/>
      <c r="AB3187" s="28"/>
      <c r="AC3187" s="28">
        <v>1508195000</v>
      </c>
      <c r="AD3187" s="28">
        <v>1674567000</v>
      </c>
      <c r="AE3187" s="28">
        <v>5208104000</v>
      </c>
      <c r="AF3187" s="28">
        <v>-175393000</v>
      </c>
      <c r="AG3187" s="11"/>
    </row>
    <row r="3188">
      <c r="A3188" s="7" t="s">
        <v>4863</v>
      </c>
      <c r="B3188" s="5" t="s">
        <v>12835</v>
      </c>
      <c r="C3188" s="5" t="s">
        <v>20641</v>
      </c>
      <c r="D3188" s="5" t="str">
        <v>631500347255</v>
      </c>
      <c r="E3188" s="0" t="e">
        <f>+7 (846) 2778900
+7 (84635) 46242
+7 (846) 2778909
+7 (846) 2778911
+7 (84635) 42930</f>
        <v>#NAME?</v>
      </c>
      <c r="F3188" s="5"/>
      <c r="G3188" s="5"/>
      <c r="H3188" s="26">
        <v>23</v>
      </c>
      <c r="I3188" s="5" t="s">
        <v>34917</v>
      </c>
      <c r="J3188" s="5" t="s">
        <v>28108</v>
      </c>
      <c r="K3188" s="5" t="s">
        <v>344</v>
      </c>
      <c r="L3188" s="5" t="s">
        <v>34918</v>
      </c>
      <c r="M3188" s="27"/>
      <c r="N3188" s="5"/>
      <c r="O3188" s="5" t="str">
        <v>6330030244</v>
      </c>
      <c r="P3188" s="27">
        <v>118371196</v>
      </c>
      <c r="Q3188" s="5" t="s">
        <v>49059</v>
      </c>
      <c r="R3188" s="5"/>
      <c r="S3188" s="5" t="s">
        <v>49010</v>
      </c>
      <c r="T3188" s="28">
        <v>3364000</v>
      </c>
      <c r="U3188" s="28">
        <v>237401179000</v>
      </c>
      <c r="V3188" s="28">
        <v>157481000</v>
      </c>
      <c r="W3188" s="28">
        <v>9039229000</v>
      </c>
      <c r="X3188" s="28">
        <v>225000</v>
      </c>
      <c r="Y3188" s="28">
        <v>246601509000</v>
      </c>
      <c r="Z3188" s="28">
        <v>197429977000</v>
      </c>
      <c r="AA3188" s="28"/>
      <c r="AB3188" s="28"/>
      <c r="AC3188" s="28">
        <v>347476000</v>
      </c>
      <c r="AD3188" s="28">
        <v>199041246000</v>
      </c>
      <c r="AE3188" s="28">
        <v>17160679000</v>
      </c>
      <c r="AF3188" s="28">
        <v>-99904466000</v>
      </c>
      <c r="AG3188" s="11"/>
    </row>
    <row r="3189">
      <c r="A3189" s="7" t="s">
        <v>4864</v>
      </c>
      <c r="B3189" s="5" t="s">
        <v>12836</v>
      </c>
      <c r="C3189" s="5" t="s">
        <v>20642</v>
      </c>
      <c r="D3189" s="5" t="str">
        <v>164905515090</v>
      </c>
      <c r="E3189" s="0" t="e">
        <f>+7 (499) 2405252
+7 (495) 1503365
+7 (499) 1651247
+7 (916) 1384918</f>
        <v>#NAME?</v>
      </c>
      <c r="F3189" s="5" t="s">
        <v>34919</v>
      </c>
      <c r="G3189" s="5" t="s">
        <v>34920</v>
      </c>
      <c r="H3189" s="26">
        <v>20.5</v>
      </c>
      <c r="I3189" s="5" t="s">
        <v>34921</v>
      </c>
      <c r="J3189" s="5" t="s">
        <v>364</v>
      </c>
      <c r="K3189" s="5" t="s">
        <v>380</v>
      </c>
      <c r="L3189" s="5" t="s">
        <v>29540</v>
      </c>
      <c r="M3189" s="27">
        <v>250437526</v>
      </c>
      <c r="N3189" s="5" t="s">
        <v>54277</v>
      </c>
      <c r="O3189" s="5" t="str">
        <v>7720269375</v>
      </c>
      <c r="P3189" s="27">
        <v>10000</v>
      </c>
      <c r="Q3189" s="5" t="s">
        <v>49561</v>
      </c>
      <c r="R3189" s="5" t="s">
        <v>54278</v>
      </c>
      <c r="S3189" s="5" t="s">
        <v>54279</v>
      </c>
      <c r="T3189" s="28">
        <v>216103000</v>
      </c>
      <c r="U3189" s="28"/>
      <c r="V3189" s="28">
        <v>1670098000</v>
      </c>
      <c r="W3189" s="28">
        <v>171279000</v>
      </c>
      <c r="X3189" s="28">
        <v>33642000</v>
      </c>
      <c r="Y3189" s="28">
        <v>7131826000</v>
      </c>
      <c r="Z3189" s="28">
        <v>139903000</v>
      </c>
      <c r="AA3189" s="28"/>
      <c r="AB3189" s="28">
        <v>159866000</v>
      </c>
      <c r="AC3189" s="28">
        <v>6529928000</v>
      </c>
      <c r="AD3189" s="28">
        <v>139913000</v>
      </c>
      <c r="AE3189" s="28">
        <v>3596250000</v>
      </c>
      <c r="AF3189" s="28">
        <v>29071000</v>
      </c>
      <c r="AG3189" s="11"/>
    </row>
    <row r="3190">
      <c r="A3190" s="7" t="s">
        <v>4865</v>
      </c>
      <c r="B3190" s="5" t="s">
        <v>9856</v>
      </c>
      <c r="C3190" s="5" t="s">
        <v>17764</v>
      </c>
      <c r="D3190" s="5" t="str">
        <v>772649128000</v>
      </c>
      <c r="E3190" s="0" t="e">
        <f>+7 (495) 7713377
+7 (818) 2462264
+7 (495) 5097699</f>
        <v>#NAME?</v>
      </c>
      <c r="F3190" s="5"/>
      <c r="G3190" s="5"/>
      <c r="H3190" s="26">
        <v>15.5</v>
      </c>
      <c r="I3190" s="5" t="s">
        <v>26866</v>
      </c>
      <c r="J3190" s="5" t="s">
        <v>389</v>
      </c>
      <c r="K3190" s="5" t="s">
        <v>344</v>
      </c>
      <c r="L3190" s="5" t="s">
        <v>34922</v>
      </c>
      <c r="M3190" s="27">
        <v>954554</v>
      </c>
      <c r="N3190" s="5" t="s">
        <v>54280</v>
      </c>
      <c r="O3190" s="5" t="str">
        <v>7730568529</v>
      </c>
      <c r="P3190" s="27">
        <v>1000000000</v>
      </c>
      <c r="Q3190" s="5" t="s">
        <v>49021</v>
      </c>
      <c r="R3190" s="5"/>
      <c r="S3190" s="5" t="s">
        <v>49302</v>
      </c>
      <c r="T3190" s="28">
        <v>36422000</v>
      </c>
      <c r="U3190" s="28"/>
      <c r="V3190" s="28">
        <v>210581000</v>
      </c>
      <c r="W3190" s="28">
        <v>1776564000</v>
      </c>
      <c r="X3190" s="28">
        <v>31927000</v>
      </c>
      <c r="Y3190" s="28">
        <v>3118316000</v>
      </c>
      <c r="Z3190" s="28">
        <v>649181000</v>
      </c>
      <c r="AA3190" s="28"/>
      <c r="AB3190" s="28">
        <v>19814000</v>
      </c>
      <c r="AC3190" s="28">
        <v>1448642000</v>
      </c>
      <c r="AD3190" s="28">
        <v>1649181000</v>
      </c>
      <c r="AE3190" s="28">
        <v>9499557000</v>
      </c>
      <c r="AF3190" s="28">
        <v>642985000</v>
      </c>
      <c r="AG3190" s="11"/>
    </row>
    <row r="3191">
      <c r="A3191" s="7" t="s">
        <v>4866</v>
      </c>
      <c r="B3191" s="5" t="s">
        <v>12837</v>
      </c>
      <c r="C3191" s="5" t="s">
        <v>20643</v>
      </c>
      <c r="D3191" s="5"/>
      <c r="F3191" s="5"/>
      <c r="G3191" s="5" t="s">
        <v>34923</v>
      </c>
      <c r="H3191" s="26">
        <v>4.5</v>
      </c>
      <c r="I3191" s="5" t="s">
        <v>34924</v>
      </c>
      <c r="J3191" s="5" t="s">
        <v>27182</v>
      </c>
      <c r="K3191" s="5" t="s">
        <v>355</v>
      </c>
      <c r="L3191" s="5" t="s">
        <v>34925</v>
      </c>
      <c r="M3191" s="27">
        <v>2468562</v>
      </c>
      <c r="N3191" s="5"/>
      <c r="O3191" s="5" t="str">
        <v>7810736377</v>
      </c>
      <c r="P3191" s="27">
        <v>2000000</v>
      </c>
      <c r="Q3191" s="5" t="s">
        <v>49207</v>
      </c>
      <c r="R3191" s="5"/>
      <c r="S3191" s="5" t="s">
        <v>50180</v>
      </c>
      <c r="T3191" s="28">
        <v>6573000</v>
      </c>
      <c r="U3191" s="28"/>
      <c r="V3191" s="28">
        <v>1912809000</v>
      </c>
      <c r="W3191" s="28">
        <v>161734000</v>
      </c>
      <c r="X3191" s="28">
        <v>266000</v>
      </c>
      <c r="Y3191" s="28">
        <v>2522520000</v>
      </c>
      <c r="Z3191" s="28">
        <v>10410000</v>
      </c>
      <c r="AA3191" s="28"/>
      <c r="AB3191" s="28">
        <v>135540000</v>
      </c>
      <c r="AC3191" s="28">
        <v>2510110000</v>
      </c>
      <c r="AD3191" s="28">
        <v>12410000</v>
      </c>
      <c r="AE3191" s="28">
        <v>5164673000</v>
      </c>
      <c r="AF3191" s="28">
        <v>22410000</v>
      </c>
      <c r="AG3191" s="11"/>
    </row>
    <row r="3192">
      <c r="A3192" s="7" t="s">
        <v>4867</v>
      </c>
      <c r="B3192" s="5" t="s">
        <v>12838</v>
      </c>
      <c r="C3192" s="5" t="s">
        <v>20644</v>
      </c>
      <c r="D3192" s="5" t="str">
        <v>773617063063</v>
      </c>
      <c r="E3192" s="0" t="e">
        <f>+7 (966) 1250357</f>
        <v>#NAME?</v>
      </c>
      <c r="F3192" s="5"/>
      <c r="G3192" s="5"/>
      <c r="H3192" s="26">
        <v>7</v>
      </c>
      <c r="I3192" s="5" t="s">
        <v>34926</v>
      </c>
      <c r="J3192" s="5" t="s">
        <v>364</v>
      </c>
      <c r="K3192" s="5" t="s">
        <v>355</v>
      </c>
      <c r="L3192" s="5" t="s">
        <v>34927</v>
      </c>
      <c r="M3192" s="27">
        <v>1541886</v>
      </c>
      <c r="N3192" s="5" t="s">
        <v>54281</v>
      </c>
      <c r="O3192" s="5" t="str">
        <v>7709486136</v>
      </c>
      <c r="P3192" s="27">
        <v>10000</v>
      </c>
      <c r="Q3192" s="5" t="s">
        <v>54282</v>
      </c>
      <c r="R3192" s="5"/>
      <c r="S3192" s="5" t="s">
        <v>54283</v>
      </c>
      <c r="T3192" s="28">
        <v>58332000</v>
      </c>
      <c r="U3192" s="28"/>
      <c r="V3192" s="28">
        <v>976482000</v>
      </c>
      <c r="W3192" s="28">
        <v>750000</v>
      </c>
      <c r="X3192" s="28">
        <v>4711000</v>
      </c>
      <c r="Y3192" s="28">
        <v>1245047000</v>
      </c>
      <c r="Z3192" s="28">
        <v>94478000</v>
      </c>
      <c r="AA3192" s="28"/>
      <c r="AB3192" s="28">
        <v>55208000</v>
      </c>
      <c r="AC3192" s="28">
        <v>1113146000</v>
      </c>
      <c r="AD3192" s="28">
        <v>94488000</v>
      </c>
      <c r="AE3192" s="28">
        <v>3070116000</v>
      </c>
      <c r="AF3192" s="28">
        <v>84901000</v>
      </c>
      <c r="AG3192" s="11"/>
    </row>
    <row r="3193">
      <c r="A3193" s="7" t="s">
        <v>4868</v>
      </c>
      <c r="B3193" s="5" t="s">
        <v>12839</v>
      </c>
      <c r="C3193" s="5" t="s">
        <v>20645</v>
      </c>
      <c r="D3193" s="5" t="str">
        <v>280132139020</v>
      </c>
      <c r="F3193" s="5" t="s">
        <v>34928</v>
      </c>
      <c r="G3193" s="5"/>
      <c r="H3193" s="26">
        <v>3.5</v>
      </c>
      <c r="I3193" s="5" t="s">
        <v>34929</v>
      </c>
      <c r="J3193" s="5" t="s">
        <v>25837</v>
      </c>
      <c r="K3193" s="5" t="s">
        <v>355</v>
      </c>
      <c r="L3193" s="5" t="s">
        <v>34930</v>
      </c>
      <c r="M3193" s="27"/>
      <c r="N3193" s="5"/>
      <c r="O3193" s="5" t="str">
        <v>2511110060</v>
      </c>
      <c r="P3193" s="27">
        <v>350000</v>
      </c>
      <c r="Q3193" s="5"/>
      <c r="R3193" s="5"/>
      <c r="S3193" s="5" t="s">
        <v>49029</v>
      </c>
      <c r="T3193" s="28">
        <v>5623000</v>
      </c>
      <c r="U3193" s="28">
        <v>57647000</v>
      </c>
      <c r="V3193" s="28">
        <v>990525000</v>
      </c>
      <c r="W3193" s="28"/>
      <c r="X3193" s="28">
        <v>235280000</v>
      </c>
      <c r="Y3193" s="28">
        <v>2551646000</v>
      </c>
      <c r="Z3193" s="28">
        <v>262347000</v>
      </c>
      <c r="AA3193" s="28">
        <v>356680000</v>
      </c>
      <c r="AB3193" s="28">
        <v>954427000</v>
      </c>
      <c r="AC3193" s="28">
        <v>1919359000</v>
      </c>
      <c r="AD3193" s="28">
        <v>262697000</v>
      </c>
      <c r="AE3193" s="28">
        <v>4556149000</v>
      </c>
      <c r="AF3193" s="28">
        <v>237271000</v>
      </c>
      <c r="AG3193" s="11"/>
    </row>
    <row r="3194">
      <c r="A3194" s="7" t="s">
        <v>4869</v>
      </c>
      <c r="B3194" s="5" t="s">
        <v>12840</v>
      </c>
      <c r="C3194" s="5" t="s">
        <v>20646</v>
      </c>
      <c r="D3194" s="5" t="str">
        <v>100113727128</v>
      </c>
      <c r="E3194" s="0" t="e">
        <f>+7 (495) 7754901
+7 (495) 7754900
+7 (499) 2724971
+7 (499) 2724994</f>
        <v>#NAME?</v>
      </c>
      <c r="F3194" s="5"/>
      <c r="G3194" s="5" t="s">
        <v>34931</v>
      </c>
      <c r="H3194" s="26">
        <v>20.5</v>
      </c>
      <c r="I3194" s="5" t="s">
        <v>34932</v>
      </c>
      <c r="J3194" s="5" t="s">
        <v>34933</v>
      </c>
      <c r="K3194" s="5" t="s">
        <v>344</v>
      </c>
      <c r="L3194" s="5" t="s">
        <v>34934</v>
      </c>
      <c r="M3194" s="27"/>
      <c r="N3194" s="5"/>
      <c r="O3194" s="5" t="str">
        <v>7707311980</v>
      </c>
      <c r="P3194" s="27">
        <v>31297000</v>
      </c>
      <c r="Q3194" s="5" t="s">
        <v>49009</v>
      </c>
      <c r="R3194" s="5"/>
      <c r="S3194" s="5" t="s">
        <v>49010</v>
      </c>
      <c r="T3194" s="28">
        <v>10982000</v>
      </c>
      <c r="U3194" s="28">
        <v>1000000000</v>
      </c>
      <c r="V3194" s="28">
        <v>239699000</v>
      </c>
      <c r="W3194" s="28">
        <v>11306000</v>
      </c>
      <c r="X3194" s="28">
        <v>1892752000</v>
      </c>
      <c r="Y3194" s="28">
        <v>3165200000</v>
      </c>
      <c r="Z3194" s="28">
        <v>885529000</v>
      </c>
      <c r="AA3194" s="28"/>
      <c r="AB3194" s="28"/>
      <c r="AC3194" s="28">
        <v>2127221000</v>
      </c>
      <c r="AD3194" s="28">
        <v>916825000</v>
      </c>
      <c r="AE3194" s="28">
        <v>3714390000</v>
      </c>
      <c r="AF3194" s="28">
        <v>-713526000</v>
      </c>
      <c r="AG3194" s="11"/>
    </row>
    <row r="3195">
      <c r="A3195" s="7" t="s">
        <v>4870</v>
      </c>
      <c r="B3195" s="5" t="s">
        <v>12841</v>
      </c>
      <c r="C3195" s="5" t="s">
        <v>20647</v>
      </c>
      <c r="D3195" s="5" t="str">
        <v>645300008058</v>
      </c>
      <c r="E3195" s="0" t="e">
        <f>+7 (845) 2521780
+7 (8452) 337433
+7 (8452) 338433
+7 (8452) 521742</f>
        <v>#NAME?</v>
      </c>
      <c r="F3195" s="5" t="s">
        <v>34935</v>
      </c>
      <c r="G3195" s="5" t="s">
        <v>34936</v>
      </c>
      <c r="H3195" s="26">
        <v>23.5</v>
      </c>
      <c r="I3195" s="5"/>
      <c r="J3195" s="5" t="s">
        <v>34362</v>
      </c>
      <c r="K3195" s="5" t="s">
        <v>344</v>
      </c>
      <c r="L3195" s="5" t="s">
        <v>34937</v>
      </c>
      <c r="M3195" s="27"/>
      <c r="N3195" s="5" t="s">
        <v>54284</v>
      </c>
      <c r="O3195" s="5" t="str">
        <v>6454044497</v>
      </c>
      <c r="P3195" s="27">
        <v>10000</v>
      </c>
      <c r="Q3195" s="5" t="s">
        <v>54285</v>
      </c>
      <c r="R3195" s="5"/>
      <c r="S3195" s="5" t="s">
        <v>54286</v>
      </c>
      <c r="T3195" s="28">
        <v>7624000</v>
      </c>
      <c r="U3195" s="28">
        <v>2829000</v>
      </c>
      <c r="V3195" s="28">
        <v>1461624000</v>
      </c>
      <c r="W3195" s="28"/>
      <c r="X3195" s="28">
        <v>186462000</v>
      </c>
      <c r="Y3195" s="28">
        <v>2067251000</v>
      </c>
      <c r="Z3195" s="28">
        <v>1658600000</v>
      </c>
      <c r="AA3195" s="28"/>
      <c r="AB3195" s="28">
        <v>59528000</v>
      </c>
      <c r="AC3195" s="28">
        <v>405348000</v>
      </c>
      <c r="AD3195" s="28">
        <v>1658695000</v>
      </c>
      <c r="AE3195" s="28">
        <v>3358434000</v>
      </c>
      <c r="AF3195" s="28">
        <v>1052328000</v>
      </c>
      <c r="AG3195" s="11"/>
    </row>
    <row r="3196">
      <c r="A3196" s="7" t="s">
        <v>4871</v>
      </c>
      <c r="B3196" s="5" t="s">
        <v>12842</v>
      </c>
      <c r="C3196" s="5" t="s">
        <v>20648</v>
      </c>
      <c r="D3196" s="5" t="str">
        <v>732807480117</v>
      </c>
      <c r="E3196" s="0" t="e">
        <f>+7 (495) 6607560
+7 (3412) 912516
+7 (3422) 493063
+7 (3472) 725689
+7 (3512) 475094
+7 (381) 2247753
+7 (384) 2490511
+7 (3952) 500849
+7 (421) 2411340
+7 (4232) 754164
+7 (473) 2280891
+7 (495) 6607550
+7 (495) 6607551
+7 (495) 6607554
+7 (495) 6607561</f>
        <v>#NAME?</v>
      </c>
      <c r="F3196" s="5"/>
      <c r="G3196" s="5" t="s">
        <v>34938</v>
      </c>
      <c r="H3196" s="26">
        <v>19.5</v>
      </c>
      <c r="I3196" s="5" t="s">
        <v>34939</v>
      </c>
      <c r="J3196" s="5" t="s">
        <v>25424</v>
      </c>
      <c r="K3196" s="5" t="s">
        <v>344</v>
      </c>
      <c r="L3196" s="5" t="s">
        <v>34940</v>
      </c>
      <c r="M3196" s="27"/>
      <c r="N3196" s="5"/>
      <c r="O3196" s="5" t="str">
        <v>7718254822</v>
      </c>
      <c r="P3196" s="27">
        <v>3675000</v>
      </c>
      <c r="Q3196" s="5" t="s">
        <v>49009</v>
      </c>
      <c r="R3196" s="5"/>
      <c r="S3196" s="5" t="s">
        <v>49884</v>
      </c>
      <c r="T3196" s="28">
        <v>2592066000</v>
      </c>
      <c r="U3196" s="28">
        <v>4993000</v>
      </c>
      <c r="V3196" s="28">
        <v>3067765000</v>
      </c>
      <c r="W3196" s="28">
        <v>284210000</v>
      </c>
      <c r="X3196" s="28">
        <v>914306000</v>
      </c>
      <c r="Y3196" s="28">
        <v>10205553000</v>
      </c>
      <c r="Z3196" s="28">
        <v>9112998000</v>
      </c>
      <c r="AA3196" s="28"/>
      <c r="AB3196" s="28"/>
      <c r="AC3196" s="28">
        <v>819702000</v>
      </c>
      <c r="AD3196" s="28">
        <v>9116673000</v>
      </c>
      <c r="AE3196" s="28">
        <v>9206702000</v>
      </c>
      <c r="AF3196" s="28">
        <v>2254566000</v>
      </c>
      <c r="AG3196" s="11"/>
    </row>
    <row r="3197">
      <c r="A3197" s="7" t="s">
        <v>4872</v>
      </c>
      <c r="B3197" s="5" t="s">
        <v>12843</v>
      </c>
      <c r="C3197" s="5" t="s">
        <v>20649</v>
      </c>
      <c r="D3197" s="5" t="str">
        <v>781009854175</v>
      </c>
      <c r="E3197" s="0" t="e">
        <f>+7 (921) 3419334
+7 (924) 7305909
+7 (938) 1187711
+7 (4232) 536596
+7 (495) 2239595
+7 (495) 2239596
+7 (495) 7853226
+7 (495) 7953226
+7 (812) 3135199
+7 (812) 3365106
+7 (8622) 261627
+7 (8622) 261642
+7 (923) 3490900</f>
        <v>#NAME?</v>
      </c>
      <c r="F3197" s="5" t="s">
        <v>34941</v>
      </c>
      <c r="G3197" s="5" t="s">
        <v>34942</v>
      </c>
      <c r="H3197" s="26">
        <v>24.5</v>
      </c>
      <c r="I3197" s="5"/>
      <c r="J3197" s="5" t="s">
        <v>25210</v>
      </c>
      <c r="K3197" s="5" t="s">
        <v>344</v>
      </c>
      <c r="L3197" s="5" t="s">
        <v>34943</v>
      </c>
      <c r="M3197" s="27">
        <v>77410010</v>
      </c>
      <c r="N3197" s="5" t="s">
        <v>54287</v>
      </c>
      <c r="O3197" s="5" t="str">
        <v>7704186604</v>
      </c>
      <c r="P3197" s="27">
        <v>7718400</v>
      </c>
      <c r="Q3197" s="5" t="s">
        <v>54288</v>
      </c>
      <c r="R3197" s="5"/>
      <c r="S3197" s="5" t="s">
        <v>53693</v>
      </c>
      <c r="T3197" s="28">
        <v>69963000</v>
      </c>
      <c r="U3197" s="28">
        <v>202952000</v>
      </c>
      <c r="V3197" s="28">
        <v>954331000</v>
      </c>
      <c r="W3197" s="28"/>
      <c r="X3197" s="28">
        <v>296992000</v>
      </c>
      <c r="Y3197" s="28">
        <v>1928391000</v>
      </c>
      <c r="Z3197" s="28">
        <v>717270000</v>
      </c>
      <c r="AA3197" s="28"/>
      <c r="AB3197" s="28"/>
      <c r="AC3197" s="28">
        <v>1202770000</v>
      </c>
      <c r="AD3197" s="28">
        <v>725621000</v>
      </c>
      <c r="AE3197" s="28">
        <v>4216402000</v>
      </c>
      <c r="AF3197" s="28">
        <v>62637000</v>
      </c>
      <c r="AG3197" s="11"/>
    </row>
    <row r="3198">
      <c r="A3198" s="7" t="s">
        <v>4873</v>
      </c>
      <c r="B3198" s="5" t="s">
        <v>12844</v>
      </c>
      <c r="C3198" s="5" t="s">
        <v>20650</v>
      </c>
      <c r="D3198" s="5" t="str">
        <v>780413562770</v>
      </c>
      <c r="E3198" s="0" t="e">
        <f>+7 (481) 2510225
+7 (481) 2510506
+7 (481) 2628600
+7 (481) 2628601
+7 (481) 2628608
+7 (481) 2628640
+7 (495) 9357070
+7 (495) 9357076</f>
        <v>#NAME?</v>
      </c>
      <c r="F3198" s="5" t="s">
        <v>34944</v>
      </c>
      <c r="G3198" s="5"/>
      <c r="H3198" s="26">
        <v>30.5</v>
      </c>
      <c r="I3198" s="5" t="s">
        <v>34945</v>
      </c>
      <c r="J3198" s="5" t="s">
        <v>34946</v>
      </c>
      <c r="K3198" s="5" t="s">
        <v>344</v>
      </c>
      <c r="L3198" s="5" t="s">
        <v>34947</v>
      </c>
      <c r="M3198" s="27"/>
      <c r="N3198" s="5"/>
      <c r="O3198" s="5" t="str">
        <v>6731002815</v>
      </c>
      <c r="P3198" s="27">
        <v>334517800</v>
      </c>
      <c r="Q3198" s="5" t="s">
        <v>49009</v>
      </c>
      <c r="R3198" s="5" t="s">
        <v>54289</v>
      </c>
      <c r="S3198" s="5" t="s">
        <v>49028</v>
      </c>
      <c r="T3198" s="28">
        <v>2105000</v>
      </c>
      <c r="U3198" s="28"/>
      <c r="V3198" s="28">
        <v>1617932000</v>
      </c>
      <c r="W3198" s="28"/>
      <c r="X3198" s="28">
        <v>199074000</v>
      </c>
      <c r="Y3198" s="28">
        <v>2772709000</v>
      </c>
      <c r="Z3198" s="28">
        <v>1449432000</v>
      </c>
      <c r="AA3198" s="28"/>
      <c r="AB3198" s="28">
        <v>200959000</v>
      </c>
      <c r="AC3198" s="28">
        <v>731925000</v>
      </c>
      <c r="AD3198" s="28">
        <v>2040784000</v>
      </c>
      <c r="AE3198" s="28">
        <v>4909552000</v>
      </c>
      <c r="AF3198" s="28">
        <v>-662871000</v>
      </c>
      <c r="AG3198" s="11"/>
    </row>
    <row r="3199">
      <c r="A3199" s="7" t="s">
        <v>4874</v>
      </c>
      <c r="B3199" s="5" t="s">
        <v>12845</v>
      </c>
      <c r="C3199" s="5" t="s">
        <v>20651</v>
      </c>
      <c r="D3199" s="5" t="str">
        <v>212901590664</v>
      </c>
      <c r="E3199" s="0" t="e">
        <f>+7 (421) 2780627
+7 (495) 1059395
+7 (495) 2574147
+7 (495) 5105966
+7 (8452) 398393
+7 (906) 6741799
+7 (495) 1059339
+7 (495) 1059393
+7 (495) 1059664
+7 (495) 7488239
+7 (906) 7417996</f>
        <v>#NAME?</v>
      </c>
      <c r="F3199" s="5" t="s">
        <v>34948</v>
      </c>
      <c r="G3199" s="5" t="s">
        <v>34949</v>
      </c>
      <c r="H3199" s="26">
        <v>6.5</v>
      </c>
      <c r="I3199" s="5" t="s">
        <v>34950</v>
      </c>
      <c r="J3199" s="5" t="s">
        <v>25429</v>
      </c>
      <c r="K3199" s="5" t="s">
        <v>344</v>
      </c>
      <c r="L3199" s="5" t="s">
        <v>34951</v>
      </c>
      <c r="M3199" s="27"/>
      <c r="N3199" s="5" t="s">
        <v>54290</v>
      </c>
      <c r="O3199" s="5" t="str">
        <v>9718030230</v>
      </c>
      <c r="P3199" s="27">
        <v>33000</v>
      </c>
      <c r="Q3199" s="5" t="s">
        <v>54291</v>
      </c>
      <c r="R3199" s="5"/>
      <c r="S3199" s="5" t="s">
        <v>54292</v>
      </c>
      <c r="T3199" s="28">
        <v>259425000</v>
      </c>
      <c r="U3199" s="28"/>
      <c r="V3199" s="28">
        <v>1919165000</v>
      </c>
      <c r="W3199" s="28">
        <v>123065000</v>
      </c>
      <c r="X3199" s="28">
        <v>24202000</v>
      </c>
      <c r="Y3199" s="28">
        <v>3232555000</v>
      </c>
      <c r="Z3199" s="28">
        <v>407958000</v>
      </c>
      <c r="AA3199" s="28">
        <v>1552558000</v>
      </c>
      <c r="AB3199" s="28"/>
      <c r="AC3199" s="28">
        <v>1122634000</v>
      </c>
      <c r="AD3199" s="28">
        <v>516346000</v>
      </c>
      <c r="AE3199" s="28">
        <v>8875596000</v>
      </c>
      <c r="AF3199" s="28">
        <v>101949000</v>
      </c>
      <c r="AG3199" s="11"/>
    </row>
    <row r="3200">
      <c r="A3200" s="7" t="s">
        <v>4875</v>
      </c>
      <c r="B3200" s="5" t="s">
        <v>12846</v>
      </c>
      <c r="C3200" s="5" t="s">
        <v>20652</v>
      </c>
      <c r="D3200" s="5" t="str">
        <v>121527691294</v>
      </c>
      <c r="E3200" s="0" t="e">
        <f>+7 (902) 4666566</f>
        <v>#NAME?</v>
      </c>
      <c r="F3200" s="5" t="s">
        <v>34952</v>
      </c>
      <c r="G3200" s="5"/>
      <c r="H3200" s="26">
        <v>1</v>
      </c>
      <c r="I3200" s="5" t="s">
        <v>34953</v>
      </c>
      <c r="J3200" s="5" t="s">
        <v>533</v>
      </c>
      <c r="K3200" s="5" t="s">
        <v>344</v>
      </c>
      <c r="L3200" s="5"/>
      <c r="M3200" s="27"/>
      <c r="N3200" s="5" t="s">
        <v>54293</v>
      </c>
      <c r="O3200" s="5" t="str">
        <v>5118005725</v>
      </c>
      <c r="P3200" s="27">
        <v>10000</v>
      </c>
      <c r="Q3200" s="5"/>
      <c r="R3200" s="5"/>
      <c r="S3200" s="5" t="s">
        <v>50104</v>
      </c>
      <c r="T3200" s="28"/>
      <c r="U3200" s="28"/>
      <c r="V3200" s="28"/>
      <c r="W3200" s="28"/>
      <c r="X3200" s="28"/>
      <c r="Y3200" s="28"/>
      <c r="Z3200" s="28"/>
      <c r="AA3200" s="28"/>
      <c r="AB3200" s="28"/>
      <c r="AC3200" s="28"/>
      <c r="AD3200" s="28"/>
      <c r="AE3200" s="28">
        <v>31122022000</v>
      </c>
      <c r="AF3200" s="28">
        <v>31122022000</v>
      </c>
      <c r="AG3200" s="11"/>
    </row>
    <row r="3201">
      <c r="A3201" s="7" t="s">
        <v>4876</v>
      </c>
      <c r="B3201" s="5" t="s">
        <v>12847</v>
      </c>
      <c r="C3201" s="5" t="s">
        <v>20653</v>
      </c>
      <c r="D3201" s="5" t="str">
        <v>772831479615</v>
      </c>
      <c r="E3201" s="0" t="e">
        <f>+7 (499) 2520189
+7 (495) 2520189
+7 (495) 7976802
+7 (495) 8110055
+7 (495) 8990103</f>
        <v>#NAME?</v>
      </c>
      <c r="F3201" s="5"/>
      <c r="G3201" s="5" t="s">
        <v>34954</v>
      </c>
      <c r="H3201" s="26">
        <v>16.5</v>
      </c>
      <c r="I3201" s="5" t="s">
        <v>34955</v>
      </c>
      <c r="J3201" s="5" t="s">
        <v>30210</v>
      </c>
      <c r="K3201" s="5" t="s">
        <v>344</v>
      </c>
      <c r="L3201" s="5" t="s">
        <v>34956</v>
      </c>
      <c r="M3201" s="27"/>
      <c r="N3201" s="5" t="s">
        <v>50052</v>
      </c>
      <c r="O3201" s="5" t="str">
        <v>5003062036</v>
      </c>
      <c r="P3201" s="27">
        <v>809000000</v>
      </c>
      <c r="Q3201" s="5" t="s">
        <v>49009</v>
      </c>
      <c r="R3201" s="5"/>
      <c r="S3201" s="5" t="s">
        <v>49045</v>
      </c>
      <c r="T3201" s="28">
        <v>367832000</v>
      </c>
      <c r="U3201" s="28"/>
      <c r="V3201" s="28">
        <v>469358000</v>
      </c>
      <c r="W3201" s="28">
        <v>1897092000</v>
      </c>
      <c r="X3201" s="28">
        <v>1700232000</v>
      </c>
      <c r="Y3201" s="28">
        <v>11864773000</v>
      </c>
      <c r="Z3201" s="28">
        <v>858797000</v>
      </c>
      <c r="AA3201" s="28"/>
      <c r="AB3201" s="28"/>
      <c r="AC3201" s="28">
        <v>9045810000</v>
      </c>
      <c r="AD3201" s="28">
        <v>2398358000</v>
      </c>
      <c r="AE3201" s="28">
        <v>5507967000</v>
      </c>
      <c r="AF3201" s="28">
        <v>1690520000</v>
      </c>
      <c r="AG3201" s="11"/>
    </row>
    <row r="3202">
      <c r="A3202" s="7" t="s">
        <v>4877</v>
      </c>
      <c r="B3202" s="5" t="s">
        <v>12848</v>
      </c>
      <c r="C3202" s="5" t="s">
        <v>20654</v>
      </c>
      <c r="D3202" s="5"/>
      <c r="E3202" s="0" t="e">
        <f>+7 (800) 2008078
+7 (8634) 312345
+7 (8634) 381911</f>
        <v>#NAME?</v>
      </c>
      <c r="F3202" s="5" t="s">
        <v>34957</v>
      </c>
      <c r="G3202" s="5" t="s">
        <v>34958</v>
      </c>
      <c r="H3202" s="26">
        <v>30.5</v>
      </c>
      <c r="I3202" s="5" t="s">
        <v>34959</v>
      </c>
      <c r="J3202" s="5" t="s">
        <v>34960</v>
      </c>
      <c r="K3202" s="5" t="s">
        <v>344</v>
      </c>
      <c r="L3202" s="5" t="s">
        <v>34961</v>
      </c>
      <c r="M3202" s="27"/>
      <c r="N3202" s="5" t="s">
        <v>54294</v>
      </c>
      <c r="O3202" s="5" t="str">
        <v>6154001478</v>
      </c>
      <c r="P3202" s="27">
        <v>2517000</v>
      </c>
      <c r="Q3202" s="5" t="s">
        <v>49009</v>
      </c>
      <c r="R3202" s="5"/>
      <c r="S3202" s="5" t="s">
        <v>49066</v>
      </c>
      <c r="T3202" s="28">
        <v>1925220000</v>
      </c>
      <c r="U3202" s="28"/>
      <c r="V3202" s="28">
        <v>875863000</v>
      </c>
      <c r="W3202" s="28"/>
      <c r="X3202" s="28">
        <v>84868000</v>
      </c>
      <c r="Y3202" s="28">
        <v>4754521000</v>
      </c>
      <c r="Z3202" s="28">
        <v>2888983000</v>
      </c>
      <c r="AA3202" s="28">
        <v>839553000</v>
      </c>
      <c r="AB3202" s="28"/>
      <c r="AC3202" s="28">
        <v>836439000</v>
      </c>
      <c r="AD3202" s="28">
        <v>3047485000</v>
      </c>
      <c r="AE3202" s="28">
        <v>6947802000</v>
      </c>
      <c r="AF3202" s="28">
        <v>919605000</v>
      </c>
      <c r="AG3202" s="11"/>
    </row>
    <row r="3203">
      <c r="A3203" s="7" t="s">
        <v>4878</v>
      </c>
      <c r="B3203" s="5" t="s">
        <v>12849</v>
      </c>
      <c r="C3203" s="5" t="s">
        <v>20655</v>
      </c>
      <c r="D3203" s="5" t="str">
        <v>225901431578</v>
      </c>
      <c r="E3203" s="0" t="e">
        <f>+7 (484) 3157000
+7 (48431) 57004
+7 (48431) 57009
+7 (495) 7863901</f>
        <v>#NAME?</v>
      </c>
      <c r="F3203" s="5" t="s">
        <v>34962</v>
      </c>
      <c r="G3203" s="5" t="s">
        <v>34963</v>
      </c>
      <c r="H3203" s="26">
        <v>17.5</v>
      </c>
      <c r="I3203" s="5" t="s">
        <v>34964</v>
      </c>
      <c r="J3203" s="5" t="s">
        <v>25864</v>
      </c>
      <c r="K3203" s="5" t="s">
        <v>344</v>
      </c>
      <c r="L3203" s="5" t="s">
        <v>34965</v>
      </c>
      <c r="M3203" s="27"/>
      <c r="N3203" s="5"/>
      <c r="O3203" s="5" t="str">
        <v>5007049244</v>
      </c>
      <c r="P3203" s="27">
        <v>710010000</v>
      </c>
      <c r="Q3203" s="5" t="s">
        <v>49059</v>
      </c>
      <c r="R3203" s="5"/>
      <c r="S3203" s="5" t="s">
        <v>49066</v>
      </c>
      <c r="T3203" s="28">
        <v>311087000</v>
      </c>
      <c r="U3203" s="28"/>
      <c r="V3203" s="28">
        <v>784220000</v>
      </c>
      <c r="W3203" s="28">
        <v>503348000</v>
      </c>
      <c r="X3203" s="28">
        <v>1016764000</v>
      </c>
      <c r="Y3203" s="28">
        <v>3286827000</v>
      </c>
      <c r="Z3203" s="28">
        <v>1097433000</v>
      </c>
      <c r="AA3203" s="28"/>
      <c r="AB3203" s="28"/>
      <c r="AC3203" s="28">
        <v>1138805000</v>
      </c>
      <c r="AD3203" s="28">
        <v>1825845000</v>
      </c>
      <c r="AE3203" s="28">
        <v>5110985000</v>
      </c>
      <c r="AF3203" s="28">
        <v>243333000</v>
      </c>
      <c r="AG3203" s="11"/>
    </row>
    <row r="3204">
      <c r="A3204" s="7" t="s">
        <v>4879</v>
      </c>
      <c r="B3204" s="5" t="s">
        <v>12850</v>
      </c>
      <c r="C3204" s="5" t="s">
        <v>20656</v>
      </c>
      <c r="D3204" s="5" t="str">
        <v>772329761101</v>
      </c>
      <c r="E3204" s="0" t="e">
        <f>+7 (812) 3162988
+7 (812) 3163601
+7 (812) 3168303
+7 (812) 3168314</f>
        <v>#NAME?</v>
      </c>
      <c r="F3204" s="5" t="s">
        <v>34966</v>
      </c>
      <c r="G3204" s="5" t="s">
        <v>34967</v>
      </c>
      <c r="H3204" s="26">
        <v>31</v>
      </c>
      <c r="I3204" s="5" t="s">
        <v>34968</v>
      </c>
      <c r="J3204" s="5" t="s">
        <v>623</v>
      </c>
      <c r="K3204" s="5" t="s">
        <v>344</v>
      </c>
      <c r="L3204" s="5" t="s">
        <v>34969</v>
      </c>
      <c r="M3204" s="27"/>
      <c r="N3204" s="5" t="s">
        <v>54295</v>
      </c>
      <c r="O3204" s="5" t="str">
        <v>7810327462</v>
      </c>
      <c r="P3204" s="27">
        <v>357000</v>
      </c>
      <c r="Q3204" s="5" t="s">
        <v>54296</v>
      </c>
      <c r="R3204" s="5"/>
      <c r="S3204" s="5" t="s">
        <v>49496</v>
      </c>
      <c r="T3204" s="28">
        <v>143671000</v>
      </c>
      <c r="U3204" s="28"/>
      <c r="V3204" s="28">
        <v>1378382000</v>
      </c>
      <c r="W3204" s="28">
        <v>1070000000</v>
      </c>
      <c r="X3204" s="28">
        <v>754138000</v>
      </c>
      <c r="Y3204" s="28">
        <v>4454025000</v>
      </c>
      <c r="Z3204" s="28">
        <v>1959008000</v>
      </c>
      <c r="AA3204" s="28"/>
      <c r="AB3204" s="28"/>
      <c r="AC3204" s="28">
        <v>1550722000</v>
      </c>
      <c r="AD3204" s="28">
        <v>1964407000</v>
      </c>
      <c r="AE3204" s="28">
        <v>3704773000</v>
      </c>
      <c r="AF3204" s="28">
        <v>658407000</v>
      </c>
      <c r="AG3204" s="11"/>
    </row>
    <row r="3205">
      <c r="A3205" s="7" t="s">
        <v>4880</v>
      </c>
      <c r="B3205" s="5" t="s">
        <v>12851</v>
      </c>
      <c r="C3205" s="5" t="s">
        <v>20657</v>
      </c>
      <c r="D3205" s="5" t="str">
        <v>753611515306</v>
      </c>
      <c r="E3205" s="0" t="e">
        <f>+7 (812) 2001520
+7 (812) 3330112
+7 (812) 3880520
+7 (812) 3885028
+7 (812) 3889388</f>
        <v>#NAME?</v>
      </c>
      <c r="F3205" s="5" t="s">
        <v>34970</v>
      </c>
      <c r="G3205" s="5" t="s">
        <v>34971</v>
      </c>
      <c r="H3205" s="26">
        <v>30</v>
      </c>
      <c r="I3205" s="5"/>
      <c r="J3205" s="5" t="s">
        <v>671</v>
      </c>
      <c r="K3205" s="5" t="s">
        <v>344</v>
      </c>
      <c r="L3205" s="5" t="s">
        <v>34972</v>
      </c>
      <c r="M3205" s="27">
        <v>4391121</v>
      </c>
      <c r="N3205" s="5" t="s">
        <v>54297</v>
      </c>
      <c r="O3205" s="5" t="str">
        <v>7810202583</v>
      </c>
      <c r="P3205" s="27">
        <v>114300</v>
      </c>
      <c r="Q3205" s="5" t="s">
        <v>54298</v>
      </c>
      <c r="R3205" s="5"/>
      <c r="S3205" s="5" t="s">
        <v>54299</v>
      </c>
      <c r="T3205" s="28">
        <v>282059000</v>
      </c>
      <c r="U3205" s="28">
        <v>4376531000</v>
      </c>
      <c r="V3205" s="28">
        <v>5956315000</v>
      </c>
      <c r="W3205" s="28"/>
      <c r="X3205" s="28">
        <v>30379000</v>
      </c>
      <c r="Y3205" s="28">
        <v>10907553000</v>
      </c>
      <c r="Z3205" s="28">
        <v>5227607000</v>
      </c>
      <c r="AA3205" s="28"/>
      <c r="AB3205" s="28">
        <v>517526000</v>
      </c>
      <c r="AC3205" s="28">
        <v>4778350000</v>
      </c>
      <c r="AD3205" s="28">
        <v>6081015000</v>
      </c>
      <c r="AE3205" s="28">
        <v>8401477000</v>
      </c>
      <c r="AF3205" s="28">
        <v>6146520000</v>
      </c>
      <c r="AG3205" s="11"/>
    </row>
    <row r="3206">
      <c r="A3206" s="7" t="s">
        <v>4881</v>
      </c>
      <c r="B3206" s="5" t="s">
        <v>12852</v>
      </c>
      <c r="C3206" s="5" t="s">
        <v>20658</v>
      </c>
      <c r="D3206" s="5" t="str">
        <v>164411816080</v>
      </c>
      <c r="E3206" s="0" t="e">
        <f>+7 (855) 9592169
+7 (855) 1592169
+7 (85595) 96503
+7 (85595) 96507</f>
        <v>#NAME?</v>
      </c>
      <c r="F3206" s="5" t="s">
        <v>34973</v>
      </c>
      <c r="G3206" s="5"/>
      <c r="H3206" s="26">
        <v>15</v>
      </c>
      <c r="I3206" s="5" t="s">
        <v>34974</v>
      </c>
      <c r="J3206" s="5" t="s">
        <v>26799</v>
      </c>
      <c r="K3206" s="5" t="s">
        <v>344</v>
      </c>
      <c r="L3206" s="5" t="s">
        <v>34975</v>
      </c>
      <c r="M3206" s="27"/>
      <c r="N3206" s="5" t="s">
        <v>50480</v>
      </c>
      <c r="O3206" s="5" t="str">
        <v>1649015690</v>
      </c>
      <c r="P3206" s="27">
        <v>100000</v>
      </c>
      <c r="Q3206" s="5" t="s">
        <v>54300</v>
      </c>
      <c r="R3206" s="5"/>
      <c r="S3206" s="5" t="s">
        <v>49180</v>
      </c>
      <c r="T3206" s="28">
        <v>3042274000</v>
      </c>
      <c r="U3206" s="28">
        <v>196000</v>
      </c>
      <c r="V3206" s="28">
        <v>2585395000</v>
      </c>
      <c r="W3206" s="28"/>
      <c r="X3206" s="28">
        <v>13692000</v>
      </c>
      <c r="Y3206" s="28">
        <v>6672338000</v>
      </c>
      <c r="Z3206" s="28">
        <v>2531929000</v>
      </c>
      <c r="AA3206" s="28"/>
      <c r="AB3206" s="28"/>
      <c r="AC3206" s="28">
        <v>2896931000</v>
      </c>
      <c r="AD3206" s="28">
        <v>2609320000</v>
      </c>
      <c r="AE3206" s="28">
        <v>9791778000</v>
      </c>
      <c r="AF3206" s="28">
        <v>654519000</v>
      </c>
      <c r="AG3206" s="11"/>
    </row>
    <row r="3207">
      <c r="A3207" s="7" t="s">
        <v>4882</v>
      </c>
      <c r="B3207" s="5" t="s">
        <v>12853</v>
      </c>
      <c r="C3207" s="5" t="s">
        <v>20659</v>
      </c>
      <c r="D3207" s="5" t="str">
        <v>781613875275</v>
      </c>
      <c r="E3207" s="0" t="e">
        <f>+7 (812) 6776091
+7 (812) 3252224
+7 (812) 3327551
+7 (812) 3466096</f>
        <v>#NAME?</v>
      </c>
      <c r="F3207" s="5"/>
      <c r="G3207" s="5"/>
      <c r="H3207" s="26">
        <v>25.5</v>
      </c>
      <c r="I3207" s="5" t="s">
        <v>34976</v>
      </c>
      <c r="J3207" s="5" t="s">
        <v>31765</v>
      </c>
      <c r="K3207" s="5" t="s">
        <v>344</v>
      </c>
      <c r="L3207" s="5" t="s">
        <v>34977</v>
      </c>
      <c r="M3207" s="27"/>
      <c r="N3207" s="5"/>
      <c r="O3207" s="5" t="str">
        <v>4720009491</v>
      </c>
      <c r="P3207" s="27">
        <v>10000</v>
      </c>
      <c r="Q3207" s="5" t="s">
        <v>49579</v>
      </c>
      <c r="R3207" s="5"/>
      <c r="S3207" s="5" t="s">
        <v>54301</v>
      </c>
      <c r="T3207" s="28">
        <v>344387000</v>
      </c>
      <c r="U3207" s="28"/>
      <c r="V3207" s="28">
        <v>230210000</v>
      </c>
      <c r="W3207" s="28"/>
      <c r="X3207" s="28">
        <v>935183000</v>
      </c>
      <c r="Y3207" s="28">
        <v>1852205000</v>
      </c>
      <c r="Z3207" s="28">
        <v>1369461000</v>
      </c>
      <c r="AA3207" s="28"/>
      <c r="AB3207" s="28"/>
      <c r="AC3207" s="28">
        <v>207612000</v>
      </c>
      <c r="AD3207" s="28">
        <v>1627561000</v>
      </c>
      <c r="AE3207" s="28">
        <v>3553016000</v>
      </c>
      <c r="AF3207" s="28">
        <v>477231000</v>
      </c>
      <c r="AG3207" s="11"/>
    </row>
    <row r="3208">
      <c r="A3208" s="7" t="s">
        <v>4883</v>
      </c>
      <c r="B3208" s="5" t="s">
        <v>12854</v>
      </c>
      <c r="C3208" s="5" t="s">
        <v>20660</v>
      </c>
      <c r="D3208" s="5" t="str">
        <v>781310311784</v>
      </c>
      <c r="E3208" s="0" t="e">
        <f>+7 (812) 3260001
+7 (812) 3550451</f>
        <v>#NAME?</v>
      </c>
      <c r="F3208" s="5" t="s">
        <v>34978</v>
      </c>
      <c r="G3208" s="5"/>
      <c r="H3208" s="26">
        <v>31.5</v>
      </c>
      <c r="I3208" s="5" t="s">
        <v>34979</v>
      </c>
      <c r="J3208" s="5" t="s">
        <v>364</v>
      </c>
      <c r="K3208" s="5" t="s">
        <v>344</v>
      </c>
      <c r="L3208" s="5" t="s">
        <v>34980</v>
      </c>
      <c r="M3208" s="27">
        <v>895344489</v>
      </c>
      <c r="N3208" s="5" t="s">
        <v>54302</v>
      </c>
      <c r="O3208" s="5" t="str">
        <v>7814003081</v>
      </c>
      <c r="P3208" s="27">
        <v>10000000</v>
      </c>
      <c r="Q3208" s="5" t="s">
        <v>54303</v>
      </c>
      <c r="R3208" s="5"/>
      <c r="S3208" s="5" t="s">
        <v>54304</v>
      </c>
      <c r="T3208" s="28">
        <v>131983000</v>
      </c>
      <c r="U3208" s="28"/>
      <c r="V3208" s="28">
        <v>2262682000</v>
      </c>
      <c r="W3208" s="28">
        <v>1332231000</v>
      </c>
      <c r="X3208" s="28">
        <v>32068000</v>
      </c>
      <c r="Y3208" s="28">
        <v>4652503000</v>
      </c>
      <c r="Z3208" s="28">
        <v>571090000</v>
      </c>
      <c r="AA3208" s="28"/>
      <c r="AB3208" s="28"/>
      <c r="AC3208" s="28">
        <v>3951690000</v>
      </c>
      <c r="AD3208" s="28">
        <v>582284000</v>
      </c>
      <c r="AE3208" s="28">
        <v>5679737000</v>
      </c>
      <c r="AF3208" s="28">
        <v>264504000</v>
      </c>
      <c r="AG3208" s="11"/>
    </row>
    <row r="3209">
      <c r="A3209" s="7" t="s">
        <v>4884</v>
      </c>
      <c r="B3209" s="5" t="s">
        <v>12855</v>
      </c>
      <c r="C3209" s="5" t="s">
        <v>20661</v>
      </c>
      <c r="D3209" s="5" t="str">
        <v>781129599720</v>
      </c>
      <c r="E3209" s="0" t="e">
        <f>+7 (812) 3484785
+7 (812) 3800523
+7 (812) 4381858
+7 (812) 6022680
+7 (911) 2835057</f>
        <v>#NAME?</v>
      </c>
      <c r="F3209" s="5" t="s">
        <v>34981</v>
      </c>
      <c r="G3209" s="5" t="s">
        <v>34982</v>
      </c>
      <c r="H3209" s="26">
        <v>17.5</v>
      </c>
      <c r="I3209" s="5" t="s">
        <v>34983</v>
      </c>
      <c r="J3209" s="5" t="s">
        <v>364</v>
      </c>
      <c r="K3209" s="5" t="s">
        <v>344</v>
      </c>
      <c r="L3209" s="5"/>
      <c r="M3209" s="27">
        <v>14924909</v>
      </c>
      <c r="N3209" s="5"/>
      <c r="O3209" s="5" t="str">
        <v>7814327270</v>
      </c>
      <c r="P3209" s="27">
        <v>16500000</v>
      </c>
      <c r="Q3209" s="5" t="s">
        <v>54305</v>
      </c>
      <c r="R3209" s="5"/>
      <c r="S3209" s="5" t="s">
        <v>54306</v>
      </c>
      <c r="T3209" s="28">
        <v>56287000</v>
      </c>
      <c r="U3209" s="28"/>
      <c r="V3209" s="28">
        <v>515505000</v>
      </c>
      <c r="W3209" s="28"/>
      <c r="X3209" s="28">
        <v>280586000</v>
      </c>
      <c r="Y3209" s="28">
        <v>3445804000</v>
      </c>
      <c r="Z3209" s="28">
        <v>113208000</v>
      </c>
      <c r="AA3209" s="28">
        <v>262469000</v>
      </c>
      <c r="AB3209" s="28">
        <v>100000000</v>
      </c>
      <c r="AC3209" s="28">
        <v>3026172000</v>
      </c>
      <c r="AD3209" s="28">
        <v>129708000</v>
      </c>
      <c r="AE3209" s="28">
        <v>3819582000</v>
      </c>
      <c r="AF3209" s="28">
        <v>35942000</v>
      </c>
      <c r="AG3209" s="11"/>
    </row>
    <row r="3210">
      <c r="A3210" s="7" t="s">
        <v>4885</v>
      </c>
      <c r="B3210" s="5" t="s">
        <v>12856</v>
      </c>
      <c r="C3210" s="5" t="s">
        <v>20662</v>
      </c>
      <c r="D3210" s="5" t="str">
        <v>780609485680</v>
      </c>
      <c r="E3210" s="0" t="e">
        <f>+7 (812) 3484091</f>
        <v>#NAME?</v>
      </c>
      <c r="F3210" s="5" t="s">
        <v>34984</v>
      </c>
      <c r="G3210" s="5"/>
      <c r="H3210" s="26">
        <v>25.5</v>
      </c>
      <c r="I3210" s="5"/>
      <c r="J3210" s="5" t="s">
        <v>364</v>
      </c>
      <c r="K3210" s="5" t="s">
        <v>344</v>
      </c>
      <c r="L3210" s="5" t="s">
        <v>34985</v>
      </c>
      <c r="M3210" s="27"/>
      <c r="N3210" s="5"/>
      <c r="O3210" s="5" t="str">
        <v>7814128330</v>
      </c>
      <c r="P3210" s="27">
        <v>10000</v>
      </c>
      <c r="Q3210" s="5" t="s">
        <v>49561</v>
      </c>
      <c r="R3210" s="5"/>
      <c r="S3210" s="5" t="s">
        <v>53622</v>
      </c>
      <c r="T3210" s="28">
        <v>42443000</v>
      </c>
      <c r="U3210" s="28"/>
      <c r="V3210" s="28">
        <v>2883665000</v>
      </c>
      <c r="W3210" s="28"/>
      <c r="X3210" s="28">
        <v>402125000</v>
      </c>
      <c r="Y3210" s="28">
        <v>6840563000</v>
      </c>
      <c r="Z3210" s="28">
        <v>430936000</v>
      </c>
      <c r="AA3210" s="28"/>
      <c r="AB3210" s="28"/>
      <c r="AC3210" s="28">
        <v>6380012000</v>
      </c>
      <c r="AD3210" s="28">
        <v>430948000</v>
      </c>
      <c r="AE3210" s="28">
        <v>4417885000</v>
      </c>
      <c r="AF3210" s="28">
        <v>55557000</v>
      </c>
      <c r="AG3210" s="11"/>
    </row>
    <row r="3211">
      <c r="A3211" s="7" t="s">
        <v>4886</v>
      </c>
      <c r="B3211" s="5" t="s">
        <v>12857</v>
      </c>
      <c r="C3211" s="5" t="s">
        <v>20663</v>
      </c>
      <c r="D3211" s="5" t="str">
        <v>583712636773</v>
      </c>
      <c r="E3211" s="0" t="e">
        <f>+7 (812) 3181709
+7 (911) 8116449</f>
        <v>#NAME?</v>
      </c>
      <c r="F3211" s="5" t="s">
        <v>34986</v>
      </c>
      <c r="G3211" s="5"/>
      <c r="H3211" s="26">
        <v>11.5</v>
      </c>
      <c r="I3211" s="5" t="s">
        <v>34987</v>
      </c>
      <c r="J3211" s="5" t="s">
        <v>364</v>
      </c>
      <c r="K3211" s="5" t="s">
        <v>344</v>
      </c>
      <c r="L3211" s="5" t="s">
        <v>34988</v>
      </c>
      <c r="M3211" s="27">
        <v>72662869</v>
      </c>
      <c r="N3211" s="5" t="s">
        <v>54307</v>
      </c>
      <c r="O3211" s="5" t="str">
        <v>7813513700</v>
      </c>
      <c r="P3211" s="27">
        <v>10000</v>
      </c>
      <c r="Q3211" s="5" t="s">
        <v>54308</v>
      </c>
      <c r="R3211" s="5"/>
      <c r="S3211" s="5" t="s">
        <v>54309</v>
      </c>
      <c r="T3211" s="28">
        <v>446584000</v>
      </c>
      <c r="U3211" s="28">
        <v>1028530000</v>
      </c>
      <c r="V3211" s="28">
        <v>1912962000</v>
      </c>
      <c r="W3211" s="28"/>
      <c r="X3211" s="28">
        <v>4072625000</v>
      </c>
      <c r="Y3211" s="28">
        <v>7693501000</v>
      </c>
      <c r="Z3211" s="28">
        <v>3322849000</v>
      </c>
      <c r="AA3211" s="28"/>
      <c r="AB3211" s="28"/>
      <c r="AC3211" s="28">
        <v>4370642000</v>
      </c>
      <c r="AD3211" s="28">
        <v>3322859000</v>
      </c>
      <c r="AE3211" s="28">
        <v>11081721000</v>
      </c>
      <c r="AF3211" s="28">
        <v>2038595000</v>
      </c>
      <c r="AG3211" s="11"/>
    </row>
    <row r="3212">
      <c r="A3212" s="7" t="s">
        <v>4887</v>
      </c>
      <c r="B3212" s="5" t="s">
        <v>12858</v>
      </c>
      <c r="C3212" s="5" t="s">
        <v>20664</v>
      </c>
      <c r="D3212" s="5" t="str">
        <v>780213396364</v>
      </c>
      <c r="E3212" s="0" t="e">
        <f>+7 (812) 2710792
+7 (812) 2716757
+7 (812) 2740142
+7 (812) 2741526
+7 (812) 2744618
+7 (812) 2748493
+7 (812) 3200688
+7 (812) 3248605
+7 (812) 3248608
+7 (812) 3248617
+7 (812) 3263911
+7 (812) 3264640
+7 (812) 3264646
+7 (812) 3269586
+7 (812) 3269587</f>
        <v>#NAME?</v>
      </c>
      <c r="F3212" s="5" t="s">
        <v>34989</v>
      </c>
      <c r="G3212" s="5" t="s">
        <v>34990</v>
      </c>
      <c r="H3212" s="26">
        <v>27.5</v>
      </c>
      <c r="I3212" s="5"/>
      <c r="J3212" s="5" t="s">
        <v>693</v>
      </c>
      <c r="K3212" s="5" t="s">
        <v>344</v>
      </c>
      <c r="L3212" s="5" t="s">
        <v>34991</v>
      </c>
      <c r="M3212" s="27">
        <v>75000</v>
      </c>
      <c r="N3212" s="5" t="s">
        <v>54310</v>
      </c>
      <c r="O3212" s="5" t="str">
        <v>7825667888</v>
      </c>
      <c r="P3212" s="27">
        <v>55000</v>
      </c>
      <c r="Q3212" s="5" t="s">
        <v>54311</v>
      </c>
      <c r="R3212" s="5"/>
      <c r="S3212" s="5" t="s">
        <v>49047</v>
      </c>
      <c r="T3212" s="28">
        <v>71093000</v>
      </c>
      <c r="U3212" s="28">
        <v>217327000</v>
      </c>
      <c r="V3212" s="28">
        <v>765043000</v>
      </c>
      <c r="W3212" s="28">
        <v>288182000</v>
      </c>
      <c r="X3212" s="28">
        <v>1250563000</v>
      </c>
      <c r="Y3212" s="28">
        <v>3021843000</v>
      </c>
      <c r="Z3212" s="28">
        <v>1793903000</v>
      </c>
      <c r="AA3212" s="28">
        <v>500000000</v>
      </c>
      <c r="AB3212" s="28">
        <v>7103000</v>
      </c>
      <c r="AC3212" s="28">
        <v>711259000</v>
      </c>
      <c r="AD3212" s="28">
        <v>1793964000</v>
      </c>
      <c r="AE3212" s="28">
        <v>8687731000</v>
      </c>
      <c r="AF3212" s="28">
        <v>673096000</v>
      </c>
      <c r="AG3212" s="11"/>
    </row>
    <row r="3213">
      <c r="A3213" s="7" t="s">
        <v>4888</v>
      </c>
      <c r="B3213" s="5" t="s">
        <v>12859</v>
      </c>
      <c r="C3213" s="5" t="s">
        <v>20665</v>
      </c>
      <c r="D3213" s="5" t="str">
        <v>772800368305</v>
      </c>
      <c r="E3213" s="0" t="e">
        <f>+7 (495) 7302168</f>
        <v>#NAME?</v>
      </c>
      <c r="F3213" s="5"/>
      <c r="G3213" s="5"/>
      <c r="H3213" s="26">
        <v>11.5</v>
      </c>
      <c r="I3213" s="5" t="s">
        <v>34992</v>
      </c>
      <c r="J3213" s="5" t="s">
        <v>28053</v>
      </c>
      <c r="K3213" s="5" t="s">
        <v>344</v>
      </c>
      <c r="L3213" s="5" t="s">
        <v>34993</v>
      </c>
      <c r="M3213" s="27"/>
      <c r="N3213" s="5"/>
      <c r="O3213" s="5" t="str">
        <v>7707760834</v>
      </c>
      <c r="P3213" s="27">
        <v>200000000</v>
      </c>
      <c r="Q3213" s="5" t="s">
        <v>49021</v>
      </c>
      <c r="R3213" s="5"/>
      <c r="S3213" s="5" t="s">
        <v>54312</v>
      </c>
      <c r="T3213" s="28">
        <v>5887000</v>
      </c>
      <c r="U3213" s="28">
        <v>1170000000</v>
      </c>
      <c r="V3213" s="28">
        <v>329470000</v>
      </c>
      <c r="W3213" s="28"/>
      <c r="X3213" s="28">
        <v>95353000</v>
      </c>
      <c r="Y3213" s="28">
        <v>1820747000</v>
      </c>
      <c r="Z3213" s="28">
        <v>624345000</v>
      </c>
      <c r="AA3213" s="28">
        <v>58882000</v>
      </c>
      <c r="AB3213" s="28"/>
      <c r="AC3213" s="28">
        <v>8520000</v>
      </c>
      <c r="AD3213" s="28">
        <v>1753345000</v>
      </c>
      <c r="AE3213" s="28">
        <v>8208520000</v>
      </c>
      <c r="AF3213" s="28">
        <v>1113000</v>
      </c>
      <c r="AG3213" s="11"/>
    </row>
    <row r="3214">
      <c r="A3214" s="7" t="s">
        <v>4889</v>
      </c>
      <c r="B3214" s="5" t="s">
        <v>12860</v>
      </c>
      <c r="C3214" s="5" t="s">
        <v>20666</v>
      </c>
      <c r="D3214" s="5" t="str">
        <v>434500891835</v>
      </c>
      <c r="E3214" s="0" t="e">
        <f>+7 (8332) 230892
+7 (8332) 230933
+7 (8332) 230947
+7 (8332) 231023
+7 (8332) 231339
+7 (8332) 231482
+7 (8332) 232310
+7 (8332) 232314
+7 (8332) 232957
+7 (8332) 233545
+7 (8332) 234888
+7 (8332) 235477
+7 (8332) 235844
+7 (8332) 236265
+7 (8332) 237074</f>
        <v>#NAME?</v>
      </c>
      <c r="F3214" s="5" t="s">
        <v>34994</v>
      </c>
      <c r="G3214" s="5" t="s">
        <v>34995</v>
      </c>
      <c r="H3214" s="26">
        <v>30</v>
      </c>
      <c r="I3214" s="5"/>
      <c r="J3214" s="5" t="s">
        <v>26637</v>
      </c>
      <c r="K3214" s="5" t="s">
        <v>344</v>
      </c>
      <c r="L3214" s="5"/>
      <c r="M3214" s="27">
        <v>12811292</v>
      </c>
      <c r="N3214" s="5" t="s">
        <v>54313</v>
      </c>
      <c r="O3214" s="5" t="str">
        <v>4345000930</v>
      </c>
      <c r="P3214" s="27">
        <v>30287000</v>
      </c>
      <c r="Q3214" s="5" t="s">
        <v>54314</v>
      </c>
      <c r="R3214" s="5"/>
      <c r="S3214" s="5" t="s">
        <v>50262</v>
      </c>
      <c r="T3214" s="28">
        <v>2449056000</v>
      </c>
      <c r="U3214" s="28">
        <v>30016000</v>
      </c>
      <c r="V3214" s="28">
        <v>1425255000</v>
      </c>
      <c r="W3214" s="28">
        <v>894946000</v>
      </c>
      <c r="X3214" s="28">
        <v>1461859000</v>
      </c>
      <c r="Y3214" s="28">
        <v>8780629000</v>
      </c>
      <c r="Z3214" s="28">
        <v>3864174000</v>
      </c>
      <c r="AA3214" s="28"/>
      <c r="AB3214" s="28"/>
      <c r="AC3214" s="28">
        <v>3888488000</v>
      </c>
      <c r="AD3214" s="28">
        <v>3899006000</v>
      </c>
      <c r="AE3214" s="28">
        <v>5725962000</v>
      </c>
      <c r="AF3214" s="28">
        <v>388946000</v>
      </c>
      <c r="AG3214" s="11"/>
    </row>
    <row r="3215">
      <c r="A3215" s="7" t="s">
        <v>4890</v>
      </c>
      <c r="B3215" s="5" t="s">
        <v>12861</v>
      </c>
      <c r="C3215" s="5" t="s">
        <v>20667</v>
      </c>
      <c r="D3215" s="5" t="str">
        <v>616607182394</v>
      </c>
      <c r="E3215" s="0" t="e">
        <f>+7 (861) 2355577
+7 (861) 2520369
+7 (861) 2526398
+7 (861) 2526958
+7 (861) 2604012
+7 (861) 2625845
+7 (86133) 30139
+7 (863) 3330123
+7 (863) 3330125
+7 (863) 3330126
+7 (863) 3330136
+7 (863) 3330169
+7 (861) 2002599
+7 (86133) 30227
+7 (863) 3330109</f>
        <v>#NAME?</v>
      </c>
      <c r="F3215" s="5" t="s">
        <v>34996</v>
      </c>
      <c r="G3215" s="5" t="s">
        <v>34997</v>
      </c>
      <c r="H3215" s="26">
        <v>15</v>
      </c>
      <c r="I3215" s="5" t="s">
        <v>34998</v>
      </c>
      <c r="J3215" s="5" t="s">
        <v>25429</v>
      </c>
      <c r="K3215" s="5" t="s">
        <v>344</v>
      </c>
      <c r="L3215" s="5" t="s">
        <v>34999</v>
      </c>
      <c r="M3215" s="27">
        <v>7669</v>
      </c>
      <c r="N3215" s="5" t="s">
        <v>54315</v>
      </c>
      <c r="O3215" s="5" t="str">
        <v>6161051021</v>
      </c>
      <c r="P3215" s="27">
        <v>1000000</v>
      </c>
      <c r="Q3215" s="5" t="s">
        <v>54316</v>
      </c>
      <c r="R3215" s="5"/>
      <c r="S3215" s="5" t="s">
        <v>49204</v>
      </c>
      <c r="T3215" s="28">
        <v>81282000</v>
      </c>
      <c r="U3215" s="28"/>
      <c r="V3215" s="28">
        <v>2340866000</v>
      </c>
      <c r="W3215" s="28"/>
      <c r="X3215" s="28">
        <v>13205000</v>
      </c>
      <c r="Y3215" s="28">
        <v>2559920000</v>
      </c>
      <c r="Z3215" s="28">
        <v>292981000</v>
      </c>
      <c r="AA3215" s="28"/>
      <c r="AB3215" s="28">
        <v>449680000</v>
      </c>
      <c r="AC3215" s="28">
        <v>2180778000</v>
      </c>
      <c r="AD3215" s="28">
        <v>293981000</v>
      </c>
      <c r="AE3215" s="28">
        <v>5669112000</v>
      </c>
      <c r="AF3215" s="28">
        <v>49186000</v>
      </c>
      <c r="AG3215" s="11"/>
    </row>
    <row r="3216">
      <c r="A3216" s="7" t="s">
        <v>4891</v>
      </c>
      <c r="B3216" s="5" t="s">
        <v>12862</v>
      </c>
      <c r="C3216" s="5" t="s">
        <v>20668</v>
      </c>
      <c r="D3216" s="5" t="str">
        <v>290119180000</v>
      </c>
      <c r="E3216" s="0" t="e">
        <f>+7 (818) 2638119
+7 (818) 2293062
+7 (818) 2293100
+7 (818) 2634308
+7 (818) 2634330
+7 (818) 2638062
+7 (818) 2638100</f>
        <v>#NAME?</v>
      </c>
      <c r="F3216" s="5" t="s">
        <v>35000</v>
      </c>
      <c r="G3216" s="5" t="s">
        <v>35001</v>
      </c>
      <c r="H3216" s="26">
        <v>24.5</v>
      </c>
      <c r="I3216" s="5" t="s">
        <v>35002</v>
      </c>
      <c r="J3216" s="5" t="s">
        <v>27291</v>
      </c>
      <c r="K3216" s="5" t="s">
        <v>355</v>
      </c>
      <c r="L3216" s="5" t="s">
        <v>35003</v>
      </c>
      <c r="M3216" s="27">
        <v>37494937</v>
      </c>
      <c r="N3216" s="5" t="s">
        <v>54317</v>
      </c>
      <c r="O3216" s="5" t="str">
        <v>2928001265</v>
      </c>
      <c r="P3216" s="27">
        <v>334560000</v>
      </c>
      <c r="Q3216" s="5"/>
      <c r="R3216" s="5"/>
      <c r="S3216" s="5" t="s">
        <v>49496</v>
      </c>
      <c r="T3216" s="28">
        <v>5072526000</v>
      </c>
      <c r="U3216" s="28">
        <v>73176000</v>
      </c>
      <c r="V3216" s="28">
        <v>1634608000</v>
      </c>
      <c r="W3216" s="28">
        <v>17691000</v>
      </c>
      <c r="X3216" s="28">
        <v>1013698000</v>
      </c>
      <c r="Y3216" s="28">
        <v>11518982000</v>
      </c>
      <c r="Z3216" s="28">
        <v>8742087000</v>
      </c>
      <c r="AA3216" s="28">
        <v>700000000</v>
      </c>
      <c r="AB3216" s="28"/>
      <c r="AC3216" s="28">
        <v>1224738000</v>
      </c>
      <c r="AD3216" s="28">
        <v>9093416000</v>
      </c>
      <c r="AE3216" s="28">
        <v>14618571000</v>
      </c>
      <c r="AF3216" s="28">
        <v>-1764585000</v>
      </c>
      <c r="AG3216" s="11"/>
    </row>
    <row r="3217">
      <c r="A3217" s="7" t="s">
        <v>4892</v>
      </c>
      <c r="B3217" s="5" t="s">
        <v>12863</v>
      </c>
      <c r="C3217" s="5" t="s">
        <v>20669</v>
      </c>
      <c r="D3217" s="5" t="str">
        <v>290114435329</v>
      </c>
      <c r="E3217" s="0" t="e">
        <f>+7 (913) 8337206
+7 (39145) 21697
+7 (39145) 61302
+7 (39145) 61697
+7 (39145) 92450</f>
        <v>#NAME?</v>
      </c>
      <c r="F3217" s="5" t="s">
        <v>35004</v>
      </c>
      <c r="G3217" s="5"/>
      <c r="H3217" s="26">
        <v>30.5</v>
      </c>
      <c r="I3217" s="5" t="s">
        <v>35005</v>
      </c>
      <c r="J3217" s="5" t="s">
        <v>27291</v>
      </c>
      <c r="K3217" s="5" t="s">
        <v>380</v>
      </c>
      <c r="L3217" s="5" t="s">
        <v>35006</v>
      </c>
      <c r="M3217" s="27">
        <v>59210581</v>
      </c>
      <c r="N3217" s="5" t="s">
        <v>54318</v>
      </c>
      <c r="O3217" s="5" t="str">
        <v>2454003302</v>
      </c>
      <c r="P3217" s="27">
        <v>10289370</v>
      </c>
      <c r="Q3217" s="5" t="s">
        <v>49059</v>
      </c>
      <c r="R3217" s="5" t="s">
        <v>54320</v>
      </c>
      <c r="S3217" s="5" t="s">
        <v>49576</v>
      </c>
      <c r="T3217" s="28">
        <v>7062607000</v>
      </c>
      <c r="U3217" s="28">
        <v>4479727000</v>
      </c>
      <c r="V3217" s="28">
        <v>5090563000</v>
      </c>
      <c r="W3217" s="28">
        <v>745047000</v>
      </c>
      <c r="X3217" s="28">
        <v>241772000</v>
      </c>
      <c r="Y3217" s="28">
        <v>21700773000</v>
      </c>
      <c r="Z3217" s="28">
        <v>-251342000</v>
      </c>
      <c r="AA3217" s="28">
        <v>1628355000</v>
      </c>
      <c r="AB3217" s="28">
        <v>2391538000</v>
      </c>
      <c r="AC3217" s="28">
        <v>7326423000</v>
      </c>
      <c r="AD3217" s="28">
        <v>10760462000</v>
      </c>
      <c r="AE3217" s="28">
        <v>14624330000</v>
      </c>
      <c r="AF3217" s="28">
        <v>-254185000</v>
      </c>
      <c r="AG3217" s="11"/>
    </row>
    <row r="3218">
      <c r="A3218" s="7" t="s">
        <v>4893</v>
      </c>
      <c r="B3218" s="5" t="s">
        <v>12864</v>
      </c>
      <c r="C3218" s="5" t="s">
        <v>20670</v>
      </c>
      <c r="D3218" s="5" t="str">
        <v>381107914223</v>
      </c>
      <c r="E3218" s="0" t="e">
        <f>+7 (3952) 780922
+7 (3952) 704155
+7 (3952) 780920
+7 (3952) 780921
+7 (39566) 62363
+7 (925) 5521757
+7 (950) 1184185</f>
        <v>#NAME?</v>
      </c>
      <c r="F3218" s="5" t="s">
        <v>35007</v>
      </c>
      <c r="G3218" s="5" t="s">
        <v>35008</v>
      </c>
      <c r="H3218" s="26">
        <v>15.5</v>
      </c>
      <c r="I3218" s="5" t="s">
        <v>35009</v>
      </c>
      <c r="J3218" s="5" t="s">
        <v>26924</v>
      </c>
      <c r="K3218" s="5" t="s">
        <v>344</v>
      </c>
      <c r="L3218" s="5" t="s">
        <v>35010</v>
      </c>
      <c r="M3218" s="27">
        <v>34974</v>
      </c>
      <c r="N3218" s="5"/>
      <c r="O3218" s="5" t="str">
        <v>3808156861</v>
      </c>
      <c r="P3218" s="27">
        <v>20000000</v>
      </c>
      <c r="Q3218" s="5" t="s">
        <v>49009</v>
      </c>
      <c r="R3218" s="5"/>
      <c r="S3218" s="5" t="s">
        <v>49371</v>
      </c>
      <c r="T3218" s="28">
        <v>1799334000</v>
      </c>
      <c r="U3218" s="28">
        <v>3489895000</v>
      </c>
      <c r="V3218" s="28">
        <v>471238000</v>
      </c>
      <c r="W3218" s="28">
        <v>651670000</v>
      </c>
      <c r="X3218" s="28">
        <v>153241000</v>
      </c>
      <c r="Y3218" s="28">
        <v>7341693000</v>
      </c>
      <c r="Z3218" s="28">
        <v>3590114000</v>
      </c>
      <c r="AA3218" s="28">
        <v>230647000</v>
      </c>
      <c r="AB3218" s="28">
        <v>614786000</v>
      </c>
      <c r="AC3218" s="28">
        <v>862210000</v>
      </c>
      <c r="AD3218" s="28">
        <v>6157320000</v>
      </c>
      <c r="AE3218" s="28">
        <v>4847434000</v>
      </c>
      <c r="AF3218" s="28">
        <v>311072000</v>
      </c>
      <c r="AG3218" s="11"/>
    </row>
    <row r="3219">
      <c r="A3219" s="7" t="s">
        <v>4894</v>
      </c>
      <c r="B3219" s="5" t="s">
        <v>12865</v>
      </c>
      <c r="C3219" s="5" t="s">
        <v>20671</v>
      </c>
      <c r="D3219" s="5" t="str">
        <v>263212231087</v>
      </c>
      <c r="F3219" s="5"/>
      <c r="G3219" s="5"/>
      <c r="H3219" s="26">
        <v>7.5</v>
      </c>
      <c r="I3219" s="5" t="s">
        <v>35011</v>
      </c>
      <c r="J3219" s="5" t="s">
        <v>27983</v>
      </c>
      <c r="K3219" s="5" t="s">
        <v>344</v>
      </c>
      <c r="L3219" s="5" t="s">
        <v>35012</v>
      </c>
      <c r="M3219" s="27">
        <v>500</v>
      </c>
      <c r="N3219" s="5"/>
      <c r="O3219" s="5" t="str">
        <v>7726358409</v>
      </c>
      <c r="P3219" s="27">
        <v>20000</v>
      </c>
      <c r="Q3219" s="5" t="s">
        <v>49021</v>
      </c>
      <c r="R3219" s="5"/>
      <c r="S3219" s="5" t="s">
        <v>54321</v>
      </c>
      <c r="T3219" s="28">
        <v>6282000</v>
      </c>
      <c r="U3219" s="28"/>
      <c r="V3219" s="28">
        <v>803818000</v>
      </c>
      <c r="W3219" s="28">
        <v>610000</v>
      </c>
      <c r="X3219" s="28">
        <v>5960000</v>
      </c>
      <c r="Y3219" s="28">
        <v>1654236000</v>
      </c>
      <c r="Z3219" s="28">
        <v>307500000</v>
      </c>
      <c r="AA3219" s="28">
        <v>43747000</v>
      </c>
      <c r="AB3219" s="28">
        <v>243000</v>
      </c>
      <c r="AC3219" s="28">
        <v>1302969000</v>
      </c>
      <c r="AD3219" s="28">
        <v>588975000</v>
      </c>
      <c r="AE3219" s="28">
        <v>3984597000</v>
      </c>
      <c r="AF3219" s="28">
        <v>188234000</v>
      </c>
      <c r="AG3219" s="11"/>
    </row>
    <row r="3220">
      <c r="A3220" s="7" t="s">
        <v>4895</v>
      </c>
      <c r="B3220" s="5" t="s">
        <v>12866</v>
      </c>
      <c r="C3220" s="5" t="s">
        <v>20672</v>
      </c>
      <c r="D3220" s="5" t="str">
        <v>482304301742</v>
      </c>
      <c r="E3220" s="0" t="e">
        <f>+7 (474) 2570009
+7 (474) 2575750
+7 (915) 8531176</f>
        <v>#NAME?</v>
      </c>
      <c r="F3220" s="5" t="s">
        <v>35013</v>
      </c>
      <c r="G3220" s="5"/>
      <c r="H3220" s="26">
        <v>8</v>
      </c>
      <c r="I3220" s="5" t="s">
        <v>35014</v>
      </c>
      <c r="J3220" s="5" t="s">
        <v>445</v>
      </c>
      <c r="K3220" s="5" t="s">
        <v>344</v>
      </c>
      <c r="L3220" s="5"/>
      <c r="M3220" s="27"/>
      <c r="N3220" s="5"/>
      <c r="O3220" s="5" t="str">
        <v>4826112499</v>
      </c>
      <c r="P3220" s="27">
        <v>13423</v>
      </c>
      <c r="Q3220" s="5"/>
      <c r="R3220" s="5"/>
      <c r="S3220" s="5" t="s">
        <v>49029</v>
      </c>
      <c r="T3220" s="28">
        <v>1056613000</v>
      </c>
      <c r="U3220" s="28"/>
      <c r="V3220" s="28">
        <v>2995947000</v>
      </c>
      <c r="W3220" s="28">
        <v>4370000</v>
      </c>
      <c r="X3220" s="28">
        <v>201000</v>
      </c>
      <c r="Y3220" s="28">
        <v>4857148000</v>
      </c>
      <c r="Z3220" s="28">
        <v>992302000</v>
      </c>
      <c r="AA3220" s="28">
        <v>360088000</v>
      </c>
      <c r="AB3220" s="28">
        <v>500000000</v>
      </c>
      <c r="AC3220" s="28">
        <v>1912460000</v>
      </c>
      <c r="AD3220" s="28">
        <v>1555258000</v>
      </c>
      <c r="AE3220" s="28">
        <v>3120455000</v>
      </c>
      <c r="AF3220" s="28">
        <v>80978000</v>
      </c>
      <c r="AG3220" s="11"/>
    </row>
    <row r="3221">
      <c r="A3221" s="7" t="s">
        <v>4896</v>
      </c>
      <c r="B3221" s="5" t="s">
        <v>12867</v>
      </c>
      <c r="C3221" s="5" t="s">
        <v>20673</v>
      </c>
      <c r="D3221" s="5" t="str">
        <v>631302377730</v>
      </c>
      <c r="E3221" s="0" t="e">
        <f>+7 (495) 9808001
+7 (84633) 13332
+7 (84633) 13355
+7 (84633) 13382</f>
        <v>#NAME?</v>
      </c>
      <c r="F3221" s="5" t="s">
        <v>35015</v>
      </c>
      <c r="G3221" s="5" t="s">
        <v>35016</v>
      </c>
      <c r="H3221" s="26">
        <v>11</v>
      </c>
      <c r="I3221" s="5" t="s">
        <v>35017</v>
      </c>
      <c r="J3221" s="5" t="s">
        <v>29486</v>
      </c>
      <c r="K3221" s="5" t="s">
        <v>344</v>
      </c>
      <c r="L3221" s="5"/>
      <c r="M3221" s="27"/>
      <c r="N3221" s="5"/>
      <c r="O3221" s="5" t="str">
        <v>6315643246</v>
      </c>
      <c r="P3221" s="27">
        <v>4000000</v>
      </c>
      <c r="Q3221" s="5"/>
      <c r="R3221" s="5"/>
      <c r="S3221" s="5" t="s">
        <v>49029</v>
      </c>
      <c r="T3221" s="28">
        <v>13697000</v>
      </c>
      <c r="U3221" s="28"/>
      <c r="V3221" s="28">
        <v>2795921000</v>
      </c>
      <c r="W3221" s="28"/>
      <c r="X3221" s="28">
        <v>180546000</v>
      </c>
      <c r="Y3221" s="28">
        <v>3026032000</v>
      </c>
      <c r="Z3221" s="28">
        <v>2251980000</v>
      </c>
      <c r="AA3221" s="28"/>
      <c r="AB3221" s="28"/>
      <c r="AC3221" s="28">
        <v>713384000</v>
      </c>
      <c r="AD3221" s="28">
        <v>2281811000</v>
      </c>
      <c r="AE3221" s="28">
        <v>4419280000</v>
      </c>
      <c r="AF3221" s="28">
        <v>696616000</v>
      </c>
      <c r="AG3221" s="11"/>
    </row>
    <row r="3222">
      <c r="A3222" s="7" t="s">
        <v>4897</v>
      </c>
      <c r="B3222" s="5" t="s">
        <v>12868</v>
      </c>
      <c r="C3222" s="5" t="s">
        <v>20674</v>
      </c>
      <c r="D3222" s="5" t="str">
        <v>312204883384</v>
      </c>
      <c r="E3222" s="0" t="e">
        <f>+7 (474) 2727273
+7 (474) 2727299
+7 (474) 2727350
+7 (474) 2780750
+7 (474) 2793050
+7 (905) 6819509</f>
        <v>#NAME?</v>
      </c>
      <c r="F3222" s="5" t="s">
        <v>35018</v>
      </c>
      <c r="G3222" s="5" t="s">
        <v>35019</v>
      </c>
      <c r="H3222" s="26">
        <v>16.5</v>
      </c>
      <c r="I3222" s="5" t="s">
        <v>35020</v>
      </c>
      <c r="J3222" s="5" t="s">
        <v>25800</v>
      </c>
      <c r="K3222" s="5" t="s">
        <v>344</v>
      </c>
      <c r="L3222" s="5" t="s">
        <v>35021</v>
      </c>
      <c r="M3222" s="27">
        <v>143500</v>
      </c>
      <c r="N3222" s="5"/>
      <c r="O3222" s="5" t="str">
        <v>4822001364</v>
      </c>
      <c r="P3222" s="27">
        <v>330071429</v>
      </c>
      <c r="Q3222" s="5"/>
      <c r="R3222" s="5"/>
      <c r="S3222" s="5" t="s">
        <v>49425</v>
      </c>
      <c r="T3222" s="28">
        <v>1141383000</v>
      </c>
      <c r="U3222" s="28"/>
      <c r="V3222" s="28">
        <v>4565299000</v>
      </c>
      <c r="W3222" s="28">
        <v>4584411000</v>
      </c>
      <c r="X3222" s="28">
        <v>195908000</v>
      </c>
      <c r="Y3222" s="28">
        <v>11709713000</v>
      </c>
      <c r="Z3222" s="28">
        <v>1616142000</v>
      </c>
      <c r="AA3222" s="28">
        <v>559609000</v>
      </c>
      <c r="AB3222" s="28">
        <v>8061815000</v>
      </c>
      <c r="AC3222" s="28">
        <v>9140079000</v>
      </c>
      <c r="AD3222" s="28">
        <v>2014278000</v>
      </c>
      <c r="AE3222" s="28">
        <v>16768668000</v>
      </c>
      <c r="AF3222" s="28">
        <v>1592838000</v>
      </c>
      <c r="AG3222" s="11"/>
    </row>
    <row r="3223">
      <c r="A3223" s="7" t="s">
        <v>4898</v>
      </c>
      <c r="B3223" s="5" t="s">
        <v>12869</v>
      </c>
      <c r="C3223" s="5" t="s">
        <v>20675</v>
      </c>
      <c r="D3223" s="5" t="str">
        <v>773013209714</v>
      </c>
      <c r="E3223" s="0" t="e">
        <f>+7 (495) 9337211
+7 (421) 2747847
+7 (495) 6456370
+7 (495) 7107410
+7 (495) 7107605
+7 (495) 7108365
+7 (495) 7108366
+7 (495) 7716610
+7 (495) 9263386
+7 (495) 9265246
+7 (495) 9265247
+7 (495) 9265253
+7 (495) 9265254
+7 (495) 9265261
+7 (495) 9265263</f>
        <v>#NAME?</v>
      </c>
      <c r="F3223" s="5" t="s">
        <v>35022</v>
      </c>
      <c r="G3223" s="5" t="s">
        <v>35023</v>
      </c>
      <c r="H3223" s="26">
        <v>22.5</v>
      </c>
      <c r="I3223" s="5" t="s">
        <v>35024</v>
      </c>
      <c r="J3223" s="5" t="s">
        <v>26918</v>
      </c>
      <c r="K3223" s="5" t="s">
        <v>344</v>
      </c>
      <c r="L3223" s="5" t="s">
        <v>35025</v>
      </c>
      <c r="M3223" s="27">
        <v>1574349</v>
      </c>
      <c r="N3223" s="5" t="s">
        <v>54322</v>
      </c>
      <c r="O3223" s="5" t="str">
        <v>7704217309</v>
      </c>
      <c r="P3223" s="27">
        <v>676080662</v>
      </c>
      <c r="Q3223" s="5" t="s">
        <v>54323</v>
      </c>
      <c r="R3223" s="5"/>
      <c r="S3223" s="5" t="s">
        <v>54324</v>
      </c>
      <c r="T3223" s="28">
        <v>4445223000</v>
      </c>
      <c r="U3223" s="28">
        <v>84762000</v>
      </c>
      <c r="V3223" s="28">
        <v>7459295000</v>
      </c>
      <c r="W3223" s="28">
        <v>194107000</v>
      </c>
      <c r="X3223" s="28">
        <v>2849644000</v>
      </c>
      <c r="Y3223" s="28">
        <v>28293275000</v>
      </c>
      <c r="Z3223" s="28">
        <v>-1599742000</v>
      </c>
      <c r="AA3223" s="28">
        <v>7020812000</v>
      </c>
      <c r="AB3223" s="28">
        <v>1326408000</v>
      </c>
      <c r="AC3223" s="28">
        <v>11403352000</v>
      </c>
      <c r="AD3223" s="28">
        <v>8856036000</v>
      </c>
      <c r="AE3223" s="28">
        <v>33813114000</v>
      </c>
      <c r="AF3223" s="28">
        <v>1631313000</v>
      </c>
      <c r="AG3223" s="11"/>
    </row>
    <row r="3224">
      <c r="A3224" s="7" t="s">
        <v>4899</v>
      </c>
      <c r="B3224" s="5" t="s">
        <v>12870</v>
      </c>
      <c r="C3224" s="5" t="s">
        <v>20676</v>
      </c>
      <c r="D3224" s="5" t="str">
        <v>362100984196</v>
      </c>
      <c r="E3224" s="0" t="e">
        <f>+7 (48663) 22086
+7 (48663) 79031
+7 (48677) 22086
+7 (48677) 79031</f>
        <v>#NAME?</v>
      </c>
      <c r="F3224" s="5" t="s">
        <v>35026</v>
      </c>
      <c r="G3224" s="5"/>
      <c r="H3224" s="26">
        <v>11.5</v>
      </c>
      <c r="I3224" s="5" t="s">
        <v>35027</v>
      </c>
      <c r="J3224" s="5" t="s">
        <v>25994</v>
      </c>
      <c r="K3224" s="5" t="s">
        <v>355</v>
      </c>
      <c r="L3224" s="5" t="s">
        <v>35028</v>
      </c>
      <c r="M3224" s="27"/>
      <c r="N3224" s="5" t="s">
        <v>54325</v>
      </c>
      <c r="O3224" s="5" t="str">
        <v>5715005623</v>
      </c>
      <c r="P3224" s="27">
        <v>30560000</v>
      </c>
      <c r="Q3224" s="5" t="s">
        <v>49059</v>
      </c>
      <c r="R3224" s="5" t="s">
        <v>54326</v>
      </c>
      <c r="S3224" s="5" t="s">
        <v>49371</v>
      </c>
      <c r="T3224" s="28">
        <v>1766233000</v>
      </c>
      <c r="U3224" s="28">
        <v>176921000</v>
      </c>
      <c r="V3224" s="28">
        <v>342211000</v>
      </c>
      <c r="W3224" s="28">
        <v>28336000</v>
      </c>
      <c r="X3224" s="28">
        <v>457195000</v>
      </c>
      <c r="Y3224" s="28">
        <v>4299560000</v>
      </c>
      <c r="Z3224" s="28">
        <v>648006000</v>
      </c>
      <c r="AA3224" s="28">
        <v>555969000</v>
      </c>
      <c r="AB3224" s="28">
        <v>77095000</v>
      </c>
      <c r="AC3224" s="28">
        <v>3060723000</v>
      </c>
      <c r="AD3224" s="28">
        <v>682868000</v>
      </c>
      <c r="AE3224" s="28">
        <v>3162879000</v>
      </c>
      <c r="AF3224" s="28">
        <v>108543000</v>
      </c>
      <c r="AG3224" s="11"/>
    </row>
    <row r="3225">
      <c r="A3225" s="7" t="s">
        <v>4900</v>
      </c>
      <c r="B3225" s="5" t="s">
        <v>12871</v>
      </c>
      <c r="C3225" s="5" t="s">
        <v>20677</v>
      </c>
      <c r="D3225" s="5" t="str">
        <v>502911155101</v>
      </c>
      <c r="E3225" s="0" t="e">
        <f>+7 (495) 6340650
+7 (495) 9286288
+7 (925) 1500041
+7 (495) 4190650
+7 (495) 9985888
+7 (910) 8959000</f>
        <v>#NAME?</v>
      </c>
      <c r="F3225" s="5" t="s">
        <v>35029</v>
      </c>
      <c r="G3225" s="5" t="s">
        <v>35030</v>
      </c>
      <c r="H3225" s="26">
        <v>9</v>
      </c>
      <c r="I3225" s="5" t="s">
        <v>35031</v>
      </c>
      <c r="J3225" s="5" t="s">
        <v>27407</v>
      </c>
      <c r="K3225" s="5" t="s">
        <v>344</v>
      </c>
      <c r="L3225" s="5" t="s">
        <v>35032</v>
      </c>
      <c r="M3225" s="27"/>
      <c r="N3225" s="5" t="s">
        <v>54327</v>
      </c>
      <c r="O3225" s="5" t="str">
        <v>7719878140</v>
      </c>
      <c r="P3225" s="27">
        <v>3000000</v>
      </c>
      <c r="Q3225" s="5" t="s">
        <v>49817</v>
      </c>
      <c r="R3225" s="5"/>
      <c r="S3225" s="5" t="s">
        <v>54328</v>
      </c>
      <c r="T3225" s="28">
        <v>189675000</v>
      </c>
      <c r="U3225" s="28"/>
      <c r="V3225" s="28">
        <v>342290000</v>
      </c>
      <c r="W3225" s="28">
        <v>1684000</v>
      </c>
      <c r="X3225" s="28">
        <v>81882000</v>
      </c>
      <c r="Y3225" s="28">
        <v>1832455000</v>
      </c>
      <c r="Z3225" s="28">
        <v>442202000</v>
      </c>
      <c r="AA3225" s="28"/>
      <c r="AB3225" s="28">
        <v>332097000</v>
      </c>
      <c r="AC3225" s="28">
        <v>1329491000</v>
      </c>
      <c r="AD3225" s="28">
        <v>445202000</v>
      </c>
      <c r="AE3225" s="28">
        <v>4857437000</v>
      </c>
      <c r="AF3225" s="28">
        <v>438277000</v>
      </c>
      <c r="AG3225" s="11"/>
    </row>
    <row r="3226">
      <c r="A3226" s="7" t="s">
        <v>4901</v>
      </c>
      <c r="B3226" s="5" t="s">
        <v>12872</v>
      </c>
      <c r="C3226" s="5" t="s">
        <v>20678</v>
      </c>
      <c r="D3226" s="5" t="str">
        <v>770904492688</v>
      </c>
      <c r="E3226" s="0" t="e">
        <f>+7 (495) 6477959
+7 (495) 3696959
+7 (495) 3748144
+7 (903) 7936499</f>
        <v>#NAME?</v>
      </c>
      <c r="F3226" s="5" t="s">
        <v>35033</v>
      </c>
      <c r="G3226" s="5"/>
      <c r="H3226" s="26">
        <v>12</v>
      </c>
      <c r="I3226" s="5" t="s">
        <v>35034</v>
      </c>
      <c r="J3226" s="5" t="s">
        <v>28738</v>
      </c>
      <c r="K3226" s="5" t="s">
        <v>344</v>
      </c>
      <c r="L3226" s="5" t="s">
        <v>35035</v>
      </c>
      <c r="M3226" s="27"/>
      <c r="N3226" s="5"/>
      <c r="O3226" s="5" t="str">
        <v>5052021995</v>
      </c>
      <c r="P3226" s="27">
        <v>1010000</v>
      </c>
      <c r="Q3226" s="5" t="s">
        <v>49009</v>
      </c>
      <c r="R3226" s="5" t="s">
        <v>54329</v>
      </c>
      <c r="S3226" s="5" t="s">
        <v>49045</v>
      </c>
      <c r="T3226" s="28">
        <v>85266000</v>
      </c>
      <c r="U3226" s="28"/>
      <c r="V3226" s="28">
        <v>127172000</v>
      </c>
      <c r="W3226" s="28"/>
      <c r="X3226" s="28">
        <v>573000</v>
      </c>
      <c r="Y3226" s="28">
        <v>763301000</v>
      </c>
      <c r="Z3226" s="28">
        <v>336632000</v>
      </c>
      <c r="AA3226" s="28"/>
      <c r="AB3226" s="28">
        <v>9891000</v>
      </c>
      <c r="AC3226" s="28">
        <v>394789000</v>
      </c>
      <c r="AD3226" s="28">
        <v>337642000</v>
      </c>
      <c r="AE3226" s="28">
        <v>3171838000</v>
      </c>
      <c r="AF3226" s="28">
        <v>247211000</v>
      </c>
      <c r="AG3226" s="11"/>
    </row>
    <row r="3227">
      <c r="A3227" s="7" t="s">
        <v>4902</v>
      </c>
      <c r="B3227" s="5" t="s">
        <v>12873</v>
      </c>
      <c r="C3227" s="5" t="s">
        <v>20679</v>
      </c>
      <c r="D3227" s="5" t="str">
        <v>780216287973</v>
      </c>
      <c r="E3227" s="0" t="e">
        <f>+7 (812) 6022910
+7 (812) 6022911</f>
        <v>#NAME?</v>
      </c>
      <c r="F3227" s="5" t="s">
        <v>35036</v>
      </c>
      <c r="G3227" s="5"/>
      <c r="H3227" s="26">
        <v>16</v>
      </c>
      <c r="I3227" s="5" t="s">
        <v>35037</v>
      </c>
      <c r="J3227" s="5" t="s">
        <v>364</v>
      </c>
      <c r="K3227" s="5" t="s">
        <v>355</v>
      </c>
      <c r="L3227" s="5"/>
      <c r="M3227" s="27">
        <v>24425773</v>
      </c>
      <c r="N3227" s="5"/>
      <c r="O3227" s="5" t="str">
        <v>7811372267</v>
      </c>
      <c r="P3227" s="27">
        <v>10000</v>
      </c>
      <c r="Q3227" s="5"/>
      <c r="R3227" s="5"/>
      <c r="S3227" s="5" t="s">
        <v>49110</v>
      </c>
      <c r="T3227" s="28">
        <v>141273000</v>
      </c>
      <c r="U3227" s="28"/>
      <c r="V3227" s="28">
        <v>3210113000</v>
      </c>
      <c r="W3227" s="28">
        <v>178977000</v>
      </c>
      <c r="X3227" s="28">
        <v>363000</v>
      </c>
      <c r="Y3227" s="28">
        <v>4483009000</v>
      </c>
      <c r="Z3227" s="28">
        <v>542529000</v>
      </c>
      <c r="AA3227" s="28">
        <v>440223000</v>
      </c>
      <c r="AB3227" s="28"/>
      <c r="AC3227" s="28">
        <v>3472554000</v>
      </c>
      <c r="AD3227" s="28">
        <v>542539000</v>
      </c>
      <c r="AE3227" s="28">
        <v>6489504000</v>
      </c>
      <c r="AF3227" s="28">
        <v>-10856000</v>
      </c>
      <c r="AG3227" s="11"/>
    </row>
    <row r="3228">
      <c r="A3228" s="7" t="s">
        <v>4902</v>
      </c>
      <c r="B3228" s="5" t="s">
        <v>12874</v>
      </c>
      <c r="C3228" s="5" t="s">
        <v>20680</v>
      </c>
      <c r="D3228" s="5" t="str">
        <v>774394379658</v>
      </c>
      <c r="E3228" s="0" t="e">
        <f>+7 (495) 78569
+7 (495) 6269089
+7 (495) 7978076
+7 (499) 7978076</f>
        <v>#NAME?</v>
      </c>
      <c r="F3228" s="5" t="s">
        <v>35038</v>
      </c>
      <c r="G3228" s="5" t="s">
        <v>35039</v>
      </c>
      <c r="H3228" s="26">
        <v>13.5</v>
      </c>
      <c r="I3228" s="5" t="s">
        <v>35040</v>
      </c>
      <c r="J3228" s="5" t="s">
        <v>678</v>
      </c>
      <c r="K3228" s="5" t="s">
        <v>344</v>
      </c>
      <c r="L3228" s="5" t="s">
        <v>35041</v>
      </c>
      <c r="M3228" s="27"/>
      <c r="N3228" s="5"/>
      <c r="O3228" s="5" t="str">
        <v>5007072395</v>
      </c>
      <c r="P3228" s="27">
        <v>100000</v>
      </c>
      <c r="Q3228" s="5" t="s">
        <v>49021</v>
      </c>
      <c r="R3228" s="5"/>
      <c r="S3228" s="5" t="s">
        <v>49033</v>
      </c>
      <c r="T3228" s="28">
        <v>6805000</v>
      </c>
      <c r="U3228" s="28"/>
      <c r="V3228" s="28">
        <v>995561000</v>
      </c>
      <c r="W3228" s="28"/>
      <c r="X3228" s="28">
        <v>2296000</v>
      </c>
      <c r="Y3228" s="28">
        <v>1575283000</v>
      </c>
      <c r="Z3228" s="28">
        <v>212653000</v>
      </c>
      <c r="AA3228" s="28">
        <v>128643000</v>
      </c>
      <c r="AB3228" s="28">
        <v>433486000</v>
      </c>
      <c r="AC3228" s="28">
        <v>1233535000</v>
      </c>
      <c r="AD3228" s="28">
        <v>212753000</v>
      </c>
      <c r="AE3228" s="28">
        <v>3537759000</v>
      </c>
      <c r="AF3228" s="28">
        <v>97499000</v>
      </c>
      <c r="AG3228" s="11"/>
    </row>
    <row r="3229">
      <c r="A3229" s="7" t="s">
        <v>4903</v>
      </c>
      <c r="B3229" s="5" t="s">
        <v>12875</v>
      </c>
      <c r="C3229" s="5" t="s">
        <v>20681</v>
      </c>
      <c r="D3229" s="5" t="str">
        <v>026509381585</v>
      </c>
      <c r="E3229" s="0" t="e">
        <f>+7 (495) 2355566
+7 (985) 7771943</f>
        <v>#NAME?</v>
      </c>
      <c r="F3229" s="5"/>
      <c r="G3229" s="5"/>
      <c r="H3229" s="26">
        <v>6</v>
      </c>
      <c r="I3229" s="5" t="s">
        <v>35042</v>
      </c>
      <c r="J3229" s="5" t="s">
        <v>26767</v>
      </c>
      <c r="K3229" s="5" t="s">
        <v>344</v>
      </c>
      <c r="L3229" s="5" t="s">
        <v>35043</v>
      </c>
      <c r="M3229" s="27"/>
      <c r="N3229" s="5" t="s">
        <v>54330</v>
      </c>
      <c r="O3229" s="5" t="str">
        <v>7728353967</v>
      </c>
      <c r="P3229" s="27">
        <v>10000</v>
      </c>
      <c r="Q3229" s="5" t="s">
        <v>49021</v>
      </c>
      <c r="R3229" s="5"/>
      <c r="S3229" s="5" t="s">
        <v>54331</v>
      </c>
      <c r="T3229" s="28">
        <v>9917000</v>
      </c>
      <c r="U3229" s="28"/>
      <c r="V3229" s="28">
        <v>2912976000</v>
      </c>
      <c r="W3229" s="28">
        <v>448300000</v>
      </c>
      <c r="X3229" s="28">
        <v>11273615000</v>
      </c>
      <c r="Y3229" s="28">
        <v>16839958000</v>
      </c>
      <c r="Z3229" s="28">
        <v>4225613000</v>
      </c>
      <c r="AA3229" s="28"/>
      <c r="AB3229" s="28"/>
      <c r="AC3229" s="28">
        <v>12604712000</v>
      </c>
      <c r="AD3229" s="28">
        <v>4225623000</v>
      </c>
      <c r="AE3229" s="28">
        <v>13676538000</v>
      </c>
      <c r="AF3229" s="28">
        <v>4427405000</v>
      </c>
      <c r="AG3229" s="11"/>
    </row>
    <row r="3230">
      <c r="A3230" s="7" t="s">
        <v>4903</v>
      </c>
      <c r="B3230" s="5" t="s">
        <v>12876</v>
      </c>
      <c r="C3230" s="5" t="s">
        <v>20681</v>
      </c>
      <c r="D3230" s="5" t="str">
        <v>026509381585</v>
      </c>
      <c r="E3230" s="0" t="e">
        <f>+7 (495) 1100560
+7 (49672) 79103
+7 (499) 1100560
+7 (499) 6425578
+7 (82144) 59013
+7 (8432) 788540
+7 (8432) 788550
+7 (8432) 788560
+7 (8435) 700239
+7 (846) 3790432
+7 (846) 3790433
+7 (846) 3790434
+7 (8553) 384215
+7 (8553) 384266
+7 (8553) 384274</f>
        <v>#NAME?</v>
      </c>
      <c r="F3230" s="5" t="s">
        <v>35044</v>
      </c>
      <c r="G3230" s="5" t="s">
        <v>35045</v>
      </c>
      <c r="H3230" s="26">
        <v>12</v>
      </c>
      <c r="I3230" s="5" t="s">
        <v>35046</v>
      </c>
      <c r="J3230" s="5" t="s">
        <v>26767</v>
      </c>
      <c r="K3230" s="5" t="s">
        <v>344</v>
      </c>
      <c r="L3230" s="5" t="s">
        <v>35047</v>
      </c>
      <c r="M3230" s="27"/>
      <c r="N3230" s="5" t="s">
        <v>54332</v>
      </c>
      <c r="O3230" s="5" t="str">
        <v>7715861096</v>
      </c>
      <c r="P3230" s="27">
        <v>510000</v>
      </c>
      <c r="Q3230" s="5" t="s">
        <v>54333</v>
      </c>
      <c r="R3230" s="5" t="s">
        <v>54334</v>
      </c>
      <c r="S3230" s="5" t="s">
        <v>54335</v>
      </c>
      <c r="T3230" s="28">
        <v>445425000</v>
      </c>
      <c r="U3230" s="28"/>
      <c r="V3230" s="28">
        <v>8548375000</v>
      </c>
      <c r="W3230" s="28">
        <v>660761000</v>
      </c>
      <c r="X3230" s="28">
        <v>1516469000</v>
      </c>
      <c r="Y3230" s="28">
        <v>14242966000</v>
      </c>
      <c r="Z3230" s="28">
        <v>3428067000</v>
      </c>
      <c r="AA3230" s="28">
        <v>80362000</v>
      </c>
      <c r="AB3230" s="28">
        <v>335871000</v>
      </c>
      <c r="AC3230" s="28">
        <v>10734017000</v>
      </c>
      <c r="AD3230" s="28">
        <v>3428587000</v>
      </c>
      <c r="AE3230" s="28">
        <v>15126879000</v>
      </c>
      <c r="AF3230" s="28">
        <v>721551000</v>
      </c>
      <c r="AG3230" s="11"/>
    </row>
    <row r="3231">
      <c r="A3231" s="7" t="s">
        <v>4904</v>
      </c>
      <c r="B3231" s="5" t="s">
        <v>12877</v>
      </c>
      <c r="C3231" s="5" t="s">
        <v>20682</v>
      </c>
      <c r="D3231" s="5" t="str">
        <v>370260725555</v>
      </c>
      <c r="E3231" s="0" t="e">
        <f>+7 (920) 3581030
+7 (920) 3601777
+7 (930) 3417174
+7 (930) 3548555</f>
        <v>#NAME?</v>
      </c>
      <c r="F3231" s="5" t="s">
        <v>35048</v>
      </c>
      <c r="G3231" s="5"/>
      <c r="H3231" s="26">
        <v>7.5</v>
      </c>
      <c r="I3231" s="5" t="s">
        <v>35049</v>
      </c>
      <c r="J3231" s="5" t="s">
        <v>35050</v>
      </c>
      <c r="K3231" s="5" t="s">
        <v>355</v>
      </c>
      <c r="L3231" s="5" t="s">
        <v>35051</v>
      </c>
      <c r="M3231" s="27"/>
      <c r="N3231" s="5" t="s">
        <v>54336</v>
      </c>
      <c r="O3231" s="5" t="str">
        <v>3711039473</v>
      </c>
      <c r="P3231" s="27">
        <v>10000</v>
      </c>
      <c r="Q3231" s="5"/>
      <c r="R3231" s="5"/>
      <c r="S3231" s="5" t="s">
        <v>49399</v>
      </c>
      <c r="T3231" s="28">
        <v>299460000</v>
      </c>
      <c r="U3231" s="28"/>
      <c r="V3231" s="28">
        <v>1663324000</v>
      </c>
      <c r="W3231" s="28">
        <v>49383000</v>
      </c>
      <c r="X3231" s="28">
        <v>6239000</v>
      </c>
      <c r="Y3231" s="28">
        <v>2694806000</v>
      </c>
      <c r="Z3231" s="28">
        <v>115327000</v>
      </c>
      <c r="AA3231" s="28">
        <v>417538000</v>
      </c>
      <c r="AB3231" s="28">
        <v>65138000</v>
      </c>
      <c r="AC3231" s="28">
        <v>2157421000</v>
      </c>
      <c r="AD3231" s="28">
        <v>115337000</v>
      </c>
      <c r="AE3231" s="28">
        <v>3785351000</v>
      </c>
      <c r="AF3231" s="28">
        <v>26326000</v>
      </c>
      <c r="AG3231" s="11"/>
    </row>
    <row r="3232">
      <c r="A3232" s="7" t="s">
        <v>4905</v>
      </c>
      <c r="B3232" s="5" t="s">
        <v>12878</v>
      </c>
      <c r="C3232" s="5" t="s">
        <v>20208</v>
      </c>
      <c r="D3232" s="5"/>
      <c r="F3232" s="5"/>
      <c r="G3232" s="5"/>
      <c r="H3232" s="26">
        <v>9.5</v>
      </c>
      <c r="I3232" s="5" t="s">
        <v>35052</v>
      </c>
      <c r="J3232" s="5" t="s">
        <v>389</v>
      </c>
      <c r="K3232" s="5" t="s">
        <v>380</v>
      </c>
      <c r="L3232" s="5" t="s">
        <v>35053</v>
      </c>
      <c r="M3232" s="27"/>
      <c r="N3232" s="5" t="s">
        <v>54337</v>
      </c>
      <c r="O3232" s="5" t="str">
        <v>2305028452</v>
      </c>
      <c r="P3232" s="27">
        <v>10000</v>
      </c>
      <c r="Q3232" s="5" t="s">
        <v>49009</v>
      </c>
      <c r="R3232" s="5"/>
      <c r="S3232" s="5" t="s">
        <v>49045</v>
      </c>
      <c r="T3232" s="28">
        <v>3731000</v>
      </c>
      <c r="U3232" s="28"/>
      <c r="V3232" s="28">
        <v>72876000</v>
      </c>
      <c r="W3232" s="28">
        <v>46877000</v>
      </c>
      <c r="X3232" s="28">
        <v>69754000</v>
      </c>
      <c r="Y3232" s="28">
        <v>910400000</v>
      </c>
      <c r="Z3232" s="28">
        <v>122399000</v>
      </c>
      <c r="AA3232" s="28"/>
      <c r="AB3232" s="28">
        <v>636470000</v>
      </c>
      <c r="AC3232" s="28">
        <v>787887000</v>
      </c>
      <c r="AD3232" s="28">
        <v>122409000</v>
      </c>
      <c r="AE3232" s="28">
        <v>10555008000</v>
      </c>
      <c r="AF3232" s="28">
        <v>-202849000</v>
      </c>
      <c r="AG3232" s="11"/>
    </row>
    <row r="3233">
      <c r="A3233" s="7" t="s">
        <v>4906</v>
      </c>
      <c r="B3233" s="5" t="s">
        <v>12879</v>
      </c>
      <c r="C3233" s="5" t="s">
        <v>20683</v>
      </c>
      <c r="D3233" s="5" t="str">
        <v>490906691700</v>
      </c>
      <c r="E3233" s="0" t="e">
        <f>+7 (495) 9687520
+7 (499) 4180018</f>
        <v>#NAME?</v>
      </c>
      <c r="F3233" s="5" t="s">
        <v>35054</v>
      </c>
      <c r="G3233" s="5" t="s">
        <v>35055</v>
      </c>
      <c r="H3233" s="26">
        <v>10.5</v>
      </c>
      <c r="I3233" s="5" t="s">
        <v>35056</v>
      </c>
      <c r="J3233" s="5" t="s">
        <v>26515</v>
      </c>
      <c r="K3233" s="5" t="s">
        <v>344</v>
      </c>
      <c r="L3233" s="5" t="s">
        <v>35057</v>
      </c>
      <c r="M3233" s="27"/>
      <c r="N3233" s="5"/>
      <c r="O3233" s="5" t="str">
        <v>7705999472</v>
      </c>
      <c r="P3233" s="27">
        <v>2304300000</v>
      </c>
      <c r="Q3233" s="5" t="s">
        <v>49009</v>
      </c>
      <c r="R3233" s="5"/>
      <c r="S3233" s="5" t="s">
        <v>49010</v>
      </c>
      <c r="T3233" s="28">
        <v>46993000</v>
      </c>
      <c r="U3233" s="28"/>
      <c r="V3233" s="28">
        <v>385671000</v>
      </c>
      <c r="W3233" s="28"/>
      <c r="X3233" s="28">
        <v>997687000</v>
      </c>
      <c r="Y3233" s="28">
        <v>5252620000</v>
      </c>
      <c r="Z3233" s="28">
        <v>1398744000</v>
      </c>
      <c r="AA3233" s="28"/>
      <c r="AB3233" s="28">
        <v>601597000</v>
      </c>
      <c r="AC3233" s="28">
        <v>1069738000</v>
      </c>
      <c r="AD3233" s="28">
        <v>3741744000</v>
      </c>
      <c r="AE3233" s="28">
        <v>3912031000</v>
      </c>
      <c r="AF3233" s="28">
        <v>675220000</v>
      </c>
      <c r="AG3233" s="11"/>
    </row>
    <row r="3234">
      <c r="A3234" s="7" t="s">
        <v>4907</v>
      </c>
      <c r="B3234" s="5" t="s">
        <v>12880</v>
      </c>
      <c r="C3234" s="5" t="s">
        <v>20684</v>
      </c>
      <c r="D3234" s="5" t="str">
        <v>774306802813</v>
      </c>
      <c r="E3234" s="0" t="e">
        <f>+7 (3422) 236145
+7 (3422) 335156
+7 (343) 3111509
+7 (495) 2035544
+7 (3412) 933592
+7 (3422) 336146
+7 (3422) 336152
+7 (3422) 336153
+7 (3422) 336155
+7 (3422) 498790
+7 (34242) 63569
+7 (34667) 26415
+7 (3512) 475015
+7 (3512) 475016
+7 (473) 3330140</f>
        <v>#NAME?</v>
      </c>
      <c r="F3234" s="5" t="s">
        <v>35058</v>
      </c>
      <c r="G3234" s="5" t="s">
        <v>35059</v>
      </c>
      <c r="H3234" s="26">
        <v>23.5</v>
      </c>
      <c r="I3234" s="5" t="s">
        <v>35060</v>
      </c>
      <c r="J3234" s="5" t="s">
        <v>373</v>
      </c>
      <c r="K3234" s="5" t="s">
        <v>344</v>
      </c>
      <c r="L3234" s="5" t="s">
        <v>35061</v>
      </c>
      <c r="M3234" s="27">
        <v>8866203</v>
      </c>
      <c r="N3234" s="5" t="s">
        <v>54338</v>
      </c>
      <c r="O3234" s="5" t="str">
        <v>3444197347</v>
      </c>
      <c r="P3234" s="27">
        <v>697000000</v>
      </c>
      <c r="Q3234" s="5" t="s">
        <v>54339</v>
      </c>
      <c r="R3234" s="5"/>
      <c r="S3234" s="5" t="s">
        <v>54340</v>
      </c>
      <c r="T3234" s="28">
        <v>2036991000</v>
      </c>
      <c r="U3234" s="28">
        <v>741243000</v>
      </c>
      <c r="V3234" s="28">
        <v>17193196000</v>
      </c>
      <c r="W3234" s="28"/>
      <c r="X3234" s="28">
        <v>440364000</v>
      </c>
      <c r="Y3234" s="28">
        <v>21475300000</v>
      </c>
      <c r="Z3234" s="28">
        <v>6687575000</v>
      </c>
      <c r="AA3234" s="28"/>
      <c r="AB3234" s="28"/>
      <c r="AC3234" s="28">
        <v>12799515000</v>
      </c>
      <c r="AD3234" s="28">
        <v>7389877000</v>
      </c>
      <c r="AE3234" s="28">
        <v>197685926000</v>
      </c>
      <c r="AF3234" s="28">
        <v>3845961000</v>
      </c>
      <c r="AG3234" s="11"/>
    </row>
    <row r="3235">
      <c r="A3235" s="7" t="s">
        <v>4908</v>
      </c>
      <c r="B3235" s="5" t="s">
        <v>12881</v>
      </c>
      <c r="C3235" s="5" t="s">
        <v>20685</v>
      </c>
      <c r="D3235" s="5" t="str">
        <v>643910639572</v>
      </c>
      <c r="E3235" s="0" t="e">
        <f>+7 (47364) 34226
+7 (495) 7716501
+7 (47364) 21202
+7 (495) 5819223
+7 (495) 5819234
+7 (495) 7265394
+7 (499) 7965394
+7 (84533) 75574</f>
        <v>#NAME?</v>
      </c>
      <c r="F3235" s="5" t="s">
        <v>35062</v>
      </c>
      <c r="G3235" s="5" t="s">
        <v>35063</v>
      </c>
      <c r="H3235" s="26">
        <v>21</v>
      </c>
      <c r="I3235" s="5" t="s">
        <v>35064</v>
      </c>
      <c r="J3235" s="5" t="s">
        <v>27448</v>
      </c>
      <c r="K3235" s="5" t="s">
        <v>344</v>
      </c>
      <c r="L3235" s="5" t="s">
        <v>35065</v>
      </c>
      <c r="M3235" s="27">
        <v>100000</v>
      </c>
      <c r="N3235" s="5" t="s">
        <v>54341</v>
      </c>
      <c r="O3235" s="5" t="str">
        <v>5029106714</v>
      </c>
      <c r="P3235" s="27">
        <v>912006000</v>
      </c>
      <c r="Q3235" s="5" t="s">
        <v>54343</v>
      </c>
      <c r="R3235" s="5"/>
      <c r="S3235" s="5" t="s">
        <v>54344</v>
      </c>
      <c r="T3235" s="28">
        <v>941528000</v>
      </c>
      <c r="U3235" s="28">
        <v>35168000</v>
      </c>
      <c r="V3235" s="28">
        <v>4152408000</v>
      </c>
      <c r="W3235" s="28">
        <v>1588000000</v>
      </c>
      <c r="X3235" s="28">
        <v>26202000</v>
      </c>
      <c r="Y3235" s="28">
        <v>7515088000</v>
      </c>
      <c r="Z3235" s="28">
        <v>2758042000</v>
      </c>
      <c r="AA3235" s="28"/>
      <c r="AB3235" s="28"/>
      <c r="AC3235" s="28">
        <v>3782056000</v>
      </c>
      <c r="AD3235" s="28">
        <v>3710277000</v>
      </c>
      <c r="AE3235" s="28">
        <v>7189596000</v>
      </c>
      <c r="AF3235" s="28">
        <v>1290855000</v>
      </c>
      <c r="AG3235" s="11"/>
    </row>
    <row r="3236">
      <c r="A3236" s="7" t="s">
        <v>4909</v>
      </c>
      <c r="B3236" s="5" t="s">
        <v>12882</v>
      </c>
      <c r="C3236" s="5" t="s">
        <v>20686</v>
      </c>
      <c r="D3236" s="5" t="str">
        <v>780411121682</v>
      </c>
      <c r="E3236" s="0" t="e">
        <f>+7 (812) 3241532
+7 (812) 3248650
+7 (812) 3248651
+7 (812) 4495701</f>
        <v>#NAME?</v>
      </c>
      <c r="F3236" s="5"/>
      <c r="G3236" s="5"/>
      <c r="H3236" s="26">
        <v>20</v>
      </c>
      <c r="I3236" s="5" t="s">
        <v>35066</v>
      </c>
      <c r="J3236" s="5" t="s">
        <v>30320</v>
      </c>
      <c r="K3236" s="5" t="s">
        <v>344</v>
      </c>
      <c r="L3236" s="5" t="s">
        <v>35067</v>
      </c>
      <c r="M3236" s="27"/>
      <c r="N3236" s="5"/>
      <c r="O3236" s="5" t="str">
        <v>7813181860</v>
      </c>
      <c r="P3236" s="27">
        <v>51000</v>
      </c>
      <c r="Q3236" s="5" t="s">
        <v>49009</v>
      </c>
      <c r="R3236" s="5"/>
      <c r="S3236" s="5" t="s">
        <v>49066</v>
      </c>
      <c r="T3236" s="28">
        <v>1044096000</v>
      </c>
      <c r="U3236" s="28">
        <v>44284000</v>
      </c>
      <c r="V3236" s="28">
        <v>1135499000</v>
      </c>
      <c r="W3236" s="28"/>
      <c r="X3236" s="28">
        <v>423000</v>
      </c>
      <c r="Y3236" s="28">
        <v>3725368000</v>
      </c>
      <c r="Z3236" s="28">
        <v>1789643000</v>
      </c>
      <c r="AA3236" s="28"/>
      <c r="AB3236" s="28">
        <v>988384000</v>
      </c>
      <c r="AC3236" s="28">
        <v>1456425000</v>
      </c>
      <c r="AD3236" s="28">
        <v>2239694000</v>
      </c>
      <c r="AE3236" s="28">
        <v>5582993000</v>
      </c>
      <c r="AF3236" s="28">
        <v>680797000</v>
      </c>
      <c r="AG3236" s="11"/>
    </row>
    <row r="3237">
      <c r="A3237" s="7" t="s">
        <v>4910</v>
      </c>
      <c r="B3237" s="5" t="s">
        <v>12883</v>
      </c>
      <c r="C3237" s="5" t="s">
        <v>20687</v>
      </c>
      <c r="D3237" s="5" t="str">
        <v>720414847114</v>
      </c>
      <c r="E3237" s="0" t="e">
        <f>+7 (495) 2585001
+7 (495) 7995575</f>
        <v>#NAME?</v>
      </c>
      <c r="F3237" s="5"/>
      <c r="G3237" s="5" t="s">
        <v>35068</v>
      </c>
      <c r="H3237" s="26">
        <v>25</v>
      </c>
      <c r="I3237" s="5" t="s">
        <v>35069</v>
      </c>
      <c r="J3237" s="5" t="s">
        <v>25429</v>
      </c>
      <c r="K3237" s="5" t="s">
        <v>344</v>
      </c>
      <c r="L3237" s="5" t="s">
        <v>35070</v>
      </c>
      <c r="M3237" s="27"/>
      <c r="N3237" s="5"/>
      <c r="O3237" s="5" t="str">
        <v>7702219484</v>
      </c>
      <c r="P3237" s="27">
        <v>545372000</v>
      </c>
      <c r="Q3237" s="5"/>
      <c r="R3237" s="5"/>
      <c r="S3237" s="5" t="s">
        <v>49029</v>
      </c>
      <c r="T3237" s="28">
        <v>28281000</v>
      </c>
      <c r="U3237" s="28"/>
      <c r="V3237" s="28">
        <v>2246768000</v>
      </c>
      <c r="W3237" s="28"/>
      <c r="X3237" s="28">
        <v>1865075000</v>
      </c>
      <c r="Y3237" s="28">
        <v>7454253000</v>
      </c>
      <c r="Z3237" s="28">
        <v>1472697000</v>
      </c>
      <c r="AA3237" s="28"/>
      <c r="AB3237" s="28">
        <v>76000</v>
      </c>
      <c r="AC3237" s="28">
        <v>2643414000</v>
      </c>
      <c r="AD3237" s="28">
        <v>4810839000</v>
      </c>
      <c r="AE3237" s="28">
        <v>8485375000</v>
      </c>
      <c r="AF3237" s="28">
        <v>327549000</v>
      </c>
      <c r="AG3237" s="11"/>
    </row>
    <row r="3238">
      <c r="A3238" s="7" t="s">
        <v>4911</v>
      </c>
      <c r="B3238" s="5" t="s">
        <v>12884</v>
      </c>
      <c r="C3238" s="5" t="s">
        <v>20688</v>
      </c>
      <c r="D3238" s="5" t="str">
        <v>772625960280</v>
      </c>
      <c r="E3238" s="0" t="e">
        <f>+7 (495) 5401100</f>
        <v>#NAME?</v>
      </c>
      <c r="F3238" s="5" t="s">
        <v>35071</v>
      </c>
      <c r="G3238" s="5" t="s">
        <v>35072</v>
      </c>
      <c r="H3238" s="26">
        <v>4</v>
      </c>
      <c r="I3238" s="5" t="s">
        <v>35073</v>
      </c>
      <c r="J3238" s="5" t="s">
        <v>364</v>
      </c>
      <c r="K3238" s="5" t="s">
        <v>355</v>
      </c>
      <c r="L3238" s="5" t="s">
        <v>35074</v>
      </c>
      <c r="M3238" s="27">
        <v>12236657</v>
      </c>
      <c r="N3238" s="5"/>
      <c r="O3238" s="5" t="str">
        <v>7703475515</v>
      </c>
      <c r="P3238" s="27">
        <v>3000000</v>
      </c>
      <c r="Q3238" s="5" t="s">
        <v>49021</v>
      </c>
      <c r="R3238" s="5"/>
      <c r="S3238" s="5" t="s">
        <v>54346</v>
      </c>
      <c r="T3238" s="28">
        <v>1691143000</v>
      </c>
      <c r="U3238" s="28">
        <v>1540000</v>
      </c>
      <c r="V3238" s="28">
        <v>10817551000</v>
      </c>
      <c r="W3238" s="28">
        <v>753733000</v>
      </c>
      <c r="X3238" s="28">
        <v>4293482000</v>
      </c>
      <c r="Y3238" s="28">
        <v>20773399000</v>
      </c>
      <c r="Z3238" s="28">
        <v>27872000</v>
      </c>
      <c r="AA3238" s="28">
        <v>200484000</v>
      </c>
      <c r="AB3238" s="28">
        <v>35249000</v>
      </c>
      <c r="AC3238" s="28">
        <v>10541187000</v>
      </c>
      <c r="AD3238" s="28">
        <v>41684000</v>
      </c>
      <c r="AE3238" s="28">
        <v>11141534000</v>
      </c>
      <c r="AF3238" s="28">
        <v>-38953000</v>
      </c>
      <c r="AG3238" s="11"/>
    </row>
    <row r="3239">
      <c r="A3239" s="7" t="s">
        <v>4912</v>
      </c>
      <c r="B3239" s="5" t="s">
        <v>12885</v>
      </c>
      <c r="C3239" s="5" t="s">
        <v>20689</v>
      </c>
      <c r="D3239" s="5" t="str">
        <v>910815436368</v>
      </c>
      <c r="E3239" s="0" t="e">
        <f>+7 (918) 406825
+7 (918) 4963637
+7 (978) 8556178</f>
        <v>#NAME?</v>
      </c>
      <c r="F3239" s="5"/>
      <c r="G3239" s="5"/>
      <c r="H3239" s="26">
        <v>8.5</v>
      </c>
      <c r="I3239" s="5" t="s">
        <v>35075</v>
      </c>
      <c r="J3239" s="5" t="s">
        <v>25190</v>
      </c>
      <c r="K3239" s="5" t="s">
        <v>344</v>
      </c>
      <c r="L3239" s="5" t="s">
        <v>35076</v>
      </c>
      <c r="M3239" s="27"/>
      <c r="N3239" s="5"/>
      <c r="O3239" s="5" t="str">
        <v>2315188166</v>
      </c>
      <c r="P3239" s="27">
        <v>10000</v>
      </c>
      <c r="Q3239" s="5" t="s">
        <v>49009</v>
      </c>
      <c r="R3239" s="5"/>
      <c r="S3239" s="5" t="s">
        <v>49010</v>
      </c>
      <c r="T3239" s="28">
        <v>71000</v>
      </c>
      <c r="U3239" s="28"/>
      <c r="V3239" s="28">
        <v>305910000</v>
      </c>
      <c r="W3239" s="28">
        <v>58400000</v>
      </c>
      <c r="X3239" s="28">
        <v>9633000</v>
      </c>
      <c r="Y3239" s="28">
        <v>479276000</v>
      </c>
      <c r="Z3239" s="28">
        <v>83694000</v>
      </c>
      <c r="AA3239" s="28"/>
      <c r="AB3239" s="28">
        <v>77603000</v>
      </c>
      <c r="AC3239" s="28">
        <v>395564000</v>
      </c>
      <c r="AD3239" s="28">
        <v>83706000</v>
      </c>
      <c r="AE3239" s="28">
        <v>4175467000</v>
      </c>
      <c r="AF3239" s="28">
        <v>256157000</v>
      </c>
      <c r="AG3239" s="11"/>
    </row>
    <row r="3240">
      <c r="A3240" s="7" t="s">
        <v>4913</v>
      </c>
      <c r="B3240" s="5" t="s">
        <v>12886</v>
      </c>
      <c r="C3240" s="5" t="s">
        <v>20690</v>
      </c>
      <c r="D3240" s="5" t="str">
        <v>772378601277</v>
      </c>
      <c r="E3240" s="0" t="e">
        <f>+7 (495) 6909359
+7 (495) 7998127
+7 (800) 6007028
+7 (963) 6916456
+7 (985) 6210184</f>
        <v>#NAME?</v>
      </c>
      <c r="F3240" s="5" t="s">
        <v>35077</v>
      </c>
      <c r="G3240" s="5" t="s">
        <v>35078</v>
      </c>
      <c r="H3240" s="26">
        <v>20</v>
      </c>
      <c r="I3240" s="5" t="s">
        <v>35079</v>
      </c>
      <c r="J3240" s="5" t="s">
        <v>26251</v>
      </c>
      <c r="K3240" s="5" t="s">
        <v>344</v>
      </c>
      <c r="L3240" s="5"/>
      <c r="M3240" s="27"/>
      <c r="N3240" s="5"/>
      <c r="O3240" s="5" t="str">
        <v>7722278262</v>
      </c>
      <c r="P3240" s="27">
        <v>418489000</v>
      </c>
      <c r="Q3240" s="5" t="s">
        <v>49059</v>
      </c>
      <c r="R3240" s="5"/>
      <c r="S3240" s="5" t="s">
        <v>49066</v>
      </c>
      <c r="T3240" s="28">
        <v>157008000</v>
      </c>
      <c r="U3240" s="28"/>
      <c r="V3240" s="28">
        <v>675077000</v>
      </c>
      <c r="W3240" s="28"/>
      <c r="X3240" s="28">
        <v>3571000</v>
      </c>
      <c r="Y3240" s="28">
        <v>1380173000</v>
      </c>
      <c r="Z3240" s="28">
        <v>175877000</v>
      </c>
      <c r="AA3240" s="28">
        <v>348279000</v>
      </c>
      <c r="AB3240" s="28">
        <v>86618000</v>
      </c>
      <c r="AC3240" s="28">
        <v>412216000</v>
      </c>
      <c r="AD3240" s="28">
        <v>599168000</v>
      </c>
      <c r="AE3240" s="28">
        <v>3525049000</v>
      </c>
      <c r="AF3240" s="28">
        <v>63517000</v>
      </c>
      <c r="AG3240" s="11"/>
    </row>
    <row r="3241">
      <c r="A3241" s="7" t="s">
        <v>4914</v>
      </c>
      <c r="B3241" s="5" t="s">
        <v>12887</v>
      </c>
      <c r="C3241" s="5" t="s">
        <v>20691</v>
      </c>
      <c r="D3241" s="5" t="str">
        <v>501106644089</v>
      </c>
      <c r="E3241" s="0" t="e">
        <f>+7 (910) 7363842
+7 (47248) 54613
+7 (47248) 54655</f>
        <v>#NAME?</v>
      </c>
      <c r="F3241" s="5"/>
      <c r="G3241" s="5"/>
      <c r="H3241" s="26">
        <v>6</v>
      </c>
      <c r="I3241" s="5" t="s">
        <v>35080</v>
      </c>
      <c r="J3241" s="5" t="s">
        <v>28927</v>
      </c>
      <c r="K3241" s="5" t="s">
        <v>344</v>
      </c>
      <c r="L3241" s="5" t="s">
        <v>35081</v>
      </c>
      <c r="M3241" s="27"/>
      <c r="N3241" s="5" t="s">
        <v>54347</v>
      </c>
      <c r="O3241" s="5" t="str">
        <v>3120102360</v>
      </c>
      <c r="P3241" s="27">
        <v>75000000</v>
      </c>
      <c r="Q3241" s="5" t="s">
        <v>49324</v>
      </c>
      <c r="R3241" s="5"/>
      <c r="S3241" s="5" t="s">
        <v>54348</v>
      </c>
      <c r="T3241" s="28">
        <v>507818000</v>
      </c>
      <c r="U3241" s="28"/>
      <c r="V3241" s="28">
        <v>196845000</v>
      </c>
      <c r="W3241" s="28">
        <v>274510000</v>
      </c>
      <c r="X3241" s="28">
        <v>257968000</v>
      </c>
      <c r="Y3241" s="28">
        <v>1916866000</v>
      </c>
      <c r="Z3241" s="28">
        <v>1526232000</v>
      </c>
      <c r="AA3241" s="28"/>
      <c r="AB3241" s="28"/>
      <c r="AC3241" s="28">
        <v>306598000</v>
      </c>
      <c r="AD3241" s="28">
        <v>1601232000</v>
      </c>
      <c r="AE3241" s="28">
        <v>5506740000</v>
      </c>
      <c r="AF3241" s="28">
        <v>1499214000</v>
      </c>
      <c r="AG3241" s="11"/>
    </row>
    <row r="3242">
      <c r="A3242" s="7" t="s">
        <v>4915</v>
      </c>
      <c r="B3242" s="5" t="s">
        <v>12888</v>
      </c>
      <c r="C3242" s="5" t="s">
        <v>20692</v>
      </c>
      <c r="D3242" s="5" t="str">
        <v>772980259101</v>
      </c>
      <c r="E3242" s="0" t="e">
        <f>+7 (474) 2236780
+7 (474) 2253403
+7 (474) 2253499
+7 (474) 2253570
+7 (474) 2266780
+7 (474) 2253211
+7 (474) 2253497
+7 (474) 2253498
+7 (474) 2253535
+7 (474) 2253536
+7 (474) 2253538
+7 (474) 2253564
+7 (474) 2253568
+7 (474) 2253585
+7 (474) 2272081</f>
        <v>#NAME?</v>
      </c>
      <c r="F3242" s="5" t="s">
        <v>35082</v>
      </c>
      <c r="G3242" s="5" t="s">
        <v>35083</v>
      </c>
      <c r="H3242" s="26">
        <v>30.5</v>
      </c>
      <c r="I3242" s="5"/>
      <c r="J3242" s="5" t="s">
        <v>35084</v>
      </c>
      <c r="K3242" s="5" t="s">
        <v>344</v>
      </c>
      <c r="L3242" s="5"/>
      <c r="M3242" s="27">
        <v>5500</v>
      </c>
      <c r="N3242" s="5" t="s">
        <v>54349</v>
      </c>
      <c r="O3242" s="5" t="str">
        <v>4826004888</v>
      </c>
      <c r="P3242" s="27">
        <v>165523</v>
      </c>
      <c r="Q3242" s="5" t="s">
        <v>54351</v>
      </c>
      <c r="R3242" s="5"/>
      <c r="S3242" s="5" t="s">
        <v>49717</v>
      </c>
      <c r="T3242" s="28">
        <v>1153892000</v>
      </c>
      <c r="U3242" s="28"/>
      <c r="V3242" s="28">
        <v>452822000</v>
      </c>
      <c r="W3242" s="28">
        <v>370000000</v>
      </c>
      <c r="X3242" s="28">
        <v>1278922000</v>
      </c>
      <c r="Y3242" s="28">
        <v>5292435000</v>
      </c>
      <c r="Z3242" s="28">
        <v>2709939000</v>
      </c>
      <c r="AA3242" s="28">
        <v>1350078000</v>
      </c>
      <c r="AB3242" s="28">
        <v>803140000</v>
      </c>
      <c r="AC3242" s="28">
        <v>1190873000</v>
      </c>
      <c r="AD3242" s="28">
        <v>2710114000</v>
      </c>
      <c r="AE3242" s="28">
        <v>7590029000</v>
      </c>
      <c r="AF3242" s="28">
        <v>286008000</v>
      </c>
      <c r="AG3242" s="11"/>
    </row>
    <row r="3243">
      <c r="A3243" s="7" t="s">
        <v>4916</v>
      </c>
      <c r="B3243" s="5" t="s">
        <v>12889</v>
      </c>
      <c r="C3243" s="5" t="s">
        <v>20693</v>
      </c>
      <c r="D3243" s="5" t="str">
        <v>390700478800</v>
      </c>
      <c r="E3243" s="0" t="e">
        <f>+7 (343) 3110618
+7 (401) 2660502
+7 (495) 2584045
+7 (495) 2584046
+7 (495) 2584047
+7 (495) 2584050
+7 (800) 2505004
+7 (812) 3725175</f>
        <v>#NAME?</v>
      </c>
      <c r="F3243" s="5"/>
      <c r="G3243" s="5" t="s">
        <v>35085</v>
      </c>
      <c r="H3243" s="26">
        <v>11.5</v>
      </c>
      <c r="I3243" s="5" t="s">
        <v>35086</v>
      </c>
      <c r="J3243" s="5" t="s">
        <v>31548</v>
      </c>
      <c r="K3243" s="5" t="s">
        <v>344</v>
      </c>
      <c r="L3243" s="5" t="s">
        <v>35087</v>
      </c>
      <c r="M3243" s="27">
        <v>1840875</v>
      </c>
      <c r="N3243" s="5" t="s">
        <v>54352</v>
      </c>
      <c r="O3243" s="5" t="str">
        <v>7717702020</v>
      </c>
      <c r="P3243" s="27">
        <v>1270588</v>
      </c>
      <c r="Q3243" s="5" t="s">
        <v>54353</v>
      </c>
      <c r="R3243" s="5"/>
      <c r="S3243" s="5" t="s">
        <v>49162</v>
      </c>
      <c r="T3243" s="28">
        <v>183414000</v>
      </c>
      <c r="U3243" s="28"/>
      <c r="V3243" s="28">
        <v>585439000</v>
      </c>
      <c r="W3243" s="28"/>
      <c r="X3243" s="28">
        <v>701392000</v>
      </c>
      <c r="Y3243" s="28">
        <v>3568239000</v>
      </c>
      <c r="Z3243" s="28">
        <v>832176000</v>
      </c>
      <c r="AA3243" s="28"/>
      <c r="AB3243" s="28"/>
      <c r="AC3243" s="28">
        <v>1046867000</v>
      </c>
      <c r="AD3243" s="28">
        <v>1043117000</v>
      </c>
      <c r="AE3243" s="28">
        <v>3058719000</v>
      </c>
      <c r="AF3243" s="28">
        <v>786025000</v>
      </c>
      <c r="AG3243" s="11"/>
    </row>
    <row r="3244">
      <c r="A3244" s="7" t="s">
        <v>4917</v>
      </c>
      <c r="B3244" s="5" t="s">
        <v>12890</v>
      </c>
      <c r="C3244" s="5" t="s">
        <v>20694</v>
      </c>
      <c r="D3244" s="5" t="str">
        <v>503200966633</v>
      </c>
      <c r="E3244" s="0" t="e">
        <f>+7 (812) 5663390
+7 (922) 7254313
+7 (800) 3024460
+7 (812) 1088686
+7 (812) 3276662
+7 (812) 3805370
+7 (812) 4483398
+7 (921) 9546540
+7 (921) 9651988
+7 (925) 8013667</f>
        <v>#NAME?</v>
      </c>
      <c r="F3244" s="5" t="s">
        <v>35088</v>
      </c>
      <c r="G3244" s="5" t="s">
        <v>35089</v>
      </c>
      <c r="H3244" s="26">
        <v>29.5</v>
      </c>
      <c r="I3244" s="5" t="s">
        <v>35090</v>
      </c>
      <c r="J3244" s="5" t="s">
        <v>35091</v>
      </c>
      <c r="K3244" s="5" t="s">
        <v>344</v>
      </c>
      <c r="L3244" s="5" t="s">
        <v>35092</v>
      </c>
      <c r="M3244" s="27"/>
      <c r="N3244" s="5" t="s">
        <v>54354</v>
      </c>
      <c r="O3244" s="5" t="str">
        <v>7816659619</v>
      </c>
      <c r="P3244" s="27">
        <v>14255976</v>
      </c>
      <c r="Q3244" s="5" t="s">
        <v>49009</v>
      </c>
      <c r="R3244" s="5"/>
      <c r="S3244" s="5" t="s">
        <v>49256</v>
      </c>
      <c r="T3244" s="28">
        <v>1217006000</v>
      </c>
      <c r="U3244" s="28"/>
      <c r="V3244" s="28">
        <v>649791000</v>
      </c>
      <c r="W3244" s="28"/>
      <c r="X3244" s="28">
        <v>339763000</v>
      </c>
      <c r="Y3244" s="28">
        <v>2702177000</v>
      </c>
      <c r="Z3244" s="28">
        <v>1444270000</v>
      </c>
      <c r="AA3244" s="28">
        <v>24491000</v>
      </c>
      <c r="AB3244" s="28"/>
      <c r="AC3244" s="28">
        <v>1161456000</v>
      </c>
      <c r="AD3244" s="28">
        <v>1461109000</v>
      </c>
      <c r="AE3244" s="28">
        <v>3120878000</v>
      </c>
      <c r="AF3244" s="28">
        <v>201874000</v>
      </c>
      <c r="AG3244" s="11"/>
    </row>
    <row r="3245">
      <c r="A3245" s="7" t="s">
        <v>4918</v>
      </c>
      <c r="B3245" s="5" t="s">
        <v>12891</v>
      </c>
      <c r="C3245" s="5" t="s">
        <v>20695</v>
      </c>
      <c r="D3245" s="5" t="str">
        <v>263107298300</v>
      </c>
      <c r="E3245" s="0" t="e">
        <f>+7 (495) 2800358</f>
        <v>#NAME?</v>
      </c>
      <c r="F3245" s="5" t="s">
        <v>35093</v>
      </c>
      <c r="G3245" s="5" t="s">
        <v>35094</v>
      </c>
      <c r="H3245" s="26">
        <v>4.5</v>
      </c>
      <c r="I3245" s="5" t="s">
        <v>35095</v>
      </c>
      <c r="J3245" s="5" t="s">
        <v>755</v>
      </c>
      <c r="K3245" s="5" t="s">
        <v>344</v>
      </c>
      <c r="L3245" s="5" t="s">
        <v>35096</v>
      </c>
      <c r="M3245" s="27"/>
      <c r="N3245" s="5"/>
      <c r="O3245" s="5" t="str">
        <v>7714434221</v>
      </c>
      <c r="P3245" s="27">
        <v>10000</v>
      </c>
      <c r="Q3245" s="5" t="s">
        <v>49021</v>
      </c>
      <c r="R3245" s="5"/>
      <c r="S3245" s="5" t="s">
        <v>54355</v>
      </c>
      <c r="T3245" s="28">
        <v>45743000</v>
      </c>
      <c r="U3245" s="28"/>
      <c r="V3245" s="28">
        <v>316707000</v>
      </c>
      <c r="W3245" s="28">
        <v>149419000</v>
      </c>
      <c r="X3245" s="28">
        <v>315103000</v>
      </c>
      <c r="Y3245" s="28">
        <v>1969047000</v>
      </c>
      <c r="Z3245" s="28">
        <v>1268631000</v>
      </c>
      <c r="AA3245" s="28"/>
      <c r="AB3245" s="28"/>
      <c r="AC3245" s="28">
        <v>632901000</v>
      </c>
      <c r="AD3245" s="28">
        <v>1268641000</v>
      </c>
      <c r="AE3245" s="28">
        <v>3472249000</v>
      </c>
      <c r="AF3245" s="28">
        <v>951819000</v>
      </c>
      <c r="AG3245" s="11"/>
    </row>
    <row r="3246">
      <c r="A3246" s="7" t="s">
        <v>4919</v>
      </c>
      <c r="B3246" s="5" t="s">
        <v>12892</v>
      </c>
      <c r="C3246" s="5" t="s">
        <v>20696</v>
      </c>
      <c r="D3246" s="5" t="str">
        <v>772280608156</v>
      </c>
      <c r="E3246" s="0" t="e">
        <f>+7 (383) 2119082
+7 (383) 2119083
+7 (383) 2301220
+7 (383) 2305033
+7 (485) 2583909
+7 (495) 2234018
+7 (495) 2258068
+7 (495) 2258429
+7 (495) 2296124
+7 (495) 2299896
+7 (495) 2361002
+7 (495) 2361035
+7 (495) 2583112
+7 (495) 2584476
+7 (495) 2807041</f>
        <v>#NAME?</v>
      </c>
      <c r="F3246" s="5" t="s">
        <v>35097</v>
      </c>
      <c r="G3246" s="5" t="s">
        <v>35098</v>
      </c>
      <c r="H3246" s="26">
        <v>24.5</v>
      </c>
      <c r="I3246" s="5" t="s">
        <v>35099</v>
      </c>
      <c r="J3246" s="5" t="s">
        <v>35100</v>
      </c>
      <c r="K3246" s="5" t="s">
        <v>355</v>
      </c>
      <c r="L3246" s="5" t="s">
        <v>27092</v>
      </c>
      <c r="M3246" s="27"/>
      <c r="N3246" s="5"/>
      <c r="O3246" s="5" t="str">
        <v>7707245632</v>
      </c>
      <c r="P3246" s="27">
        <v>105448620</v>
      </c>
      <c r="Q3246" s="5" t="s">
        <v>49009</v>
      </c>
      <c r="R3246" s="5"/>
      <c r="S3246" s="5" t="s">
        <v>49010</v>
      </c>
      <c r="T3246" s="28">
        <v>2339529000</v>
      </c>
      <c r="U3246" s="28"/>
      <c r="V3246" s="28">
        <v>75970000</v>
      </c>
      <c r="W3246" s="28"/>
      <c r="X3246" s="28">
        <v>589799000</v>
      </c>
      <c r="Y3246" s="28">
        <v>3614191000</v>
      </c>
      <c r="Z3246" s="28">
        <v>-820435000</v>
      </c>
      <c r="AA3246" s="28"/>
      <c r="AB3246" s="28"/>
      <c r="AC3246" s="28">
        <v>1168064000</v>
      </c>
      <c r="AD3246" s="28">
        <v>793248000</v>
      </c>
      <c r="AE3246" s="28">
        <v>3239530000</v>
      </c>
      <c r="AF3246" s="28">
        <v>79841000</v>
      </c>
      <c r="AG3246" s="11"/>
    </row>
    <row r="3247">
      <c r="A3247" s="7" t="s">
        <v>4920</v>
      </c>
      <c r="B3247" s="5" t="s">
        <v>12893</v>
      </c>
      <c r="C3247" s="5" t="s">
        <v>20697</v>
      </c>
      <c r="D3247" s="5" t="str">
        <v>590316379837</v>
      </c>
      <c r="E3247" s="0" t="e">
        <f>+7 (902) 4737006
+7 (922) 2628469
+7 (922) 3179172
+7 (342) 2181701
+7 (342) 2181702
+7 (3422) 553877
+7 (34242) 21817
+7 (34242) 67120</f>
        <v>#NAME?</v>
      </c>
      <c r="F3247" s="5" t="s">
        <v>35101</v>
      </c>
      <c r="G3247" s="5" t="s">
        <v>35102</v>
      </c>
      <c r="H3247" s="26">
        <v>18</v>
      </c>
      <c r="I3247" s="5" t="s">
        <v>35103</v>
      </c>
      <c r="J3247" s="5" t="s">
        <v>1073</v>
      </c>
      <c r="K3247" s="5" t="s">
        <v>344</v>
      </c>
      <c r="L3247" s="5" t="s">
        <v>35104</v>
      </c>
      <c r="M3247" s="27">
        <v>179448</v>
      </c>
      <c r="N3247" s="5" t="s">
        <v>54356</v>
      </c>
      <c r="O3247" s="5" t="str">
        <v>5903002350</v>
      </c>
      <c r="P3247" s="27">
        <v>5000000</v>
      </c>
      <c r="Q3247" s="5" t="s">
        <v>49319</v>
      </c>
      <c r="R3247" s="5"/>
      <c r="S3247" s="5" t="s">
        <v>49320</v>
      </c>
      <c r="T3247" s="28">
        <v>12796000</v>
      </c>
      <c r="U3247" s="28"/>
      <c r="V3247" s="28">
        <v>568736000</v>
      </c>
      <c r="W3247" s="28">
        <v>35137000</v>
      </c>
      <c r="X3247" s="28">
        <v>4016000</v>
      </c>
      <c r="Y3247" s="28">
        <v>1215996000</v>
      </c>
      <c r="Z3247" s="28">
        <v>197588000</v>
      </c>
      <c r="AA3247" s="28">
        <v>267717000</v>
      </c>
      <c r="AB3247" s="28">
        <v>61959000</v>
      </c>
      <c r="AC3247" s="28">
        <v>740573000</v>
      </c>
      <c r="AD3247" s="28">
        <v>202588000</v>
      </c>
      <c r="AE3247" s="28">
        <v>3071807000</v>
      </c>
      <c r="AF3247" s="28">
        <v>32375000</v>
      </c>
      <c r="AG3247" s="11"/>
    </row>
    <row r="3248">
      <c r="A3248" s="7" t="s">
        <v>4921</v>
      </c>
      <c r="B3248" s="5" t="s">
        <v>12894</v>
      </c>
      <c r="C3248" s="5" t="s">
        <v>20698</v>
      </c>
      <c r="D3248" s="5" t="str">
        <v>780610941009</v>
      </c>
      <c r="E3248" s="0" t="e">
        <f>+7 (812) 3271450
+7 (812) 3295050
+7 (911) 8407788</f>
        <v>#NAME?</v>
      </c>
      <c r="F3248" s="5"/>
      <c r="G3248" s="5"/>
      <c r="H3248" s="26">
        <v>7.5</v>
      </c>
      <c r="I3248" s="5" t="s">
        <v>35105</v>
      </c>
      <c r="J3248" s="5" t="s">
        <v>27650</v>
      </c>
      <c r="K3248" s="5" t="s">
        <v>344</v>
      </c>
      <c r="L3248" s="5" t="s">
        <v>35106</v>
      </c>
      <c r="M3248" s="27"/>
      <c r="N3248" s="5"/>
      <c r="O3248" s="5" t="str">
        <v>4703138271</v>
      </c>
      <c r="P3248" s="27">
        <v>10000</v>
      </c>
      <c r="Q3248" s="5" t="s">
        <v>49059</v>
      </c>
      <c r="R3248" s="5"/>
      <c r="S3248" s="5" t="s">
        <v>49066</v>
      </c>
      <c r="T3248" s="28">
        <v>11613000</v>
      </c>
      <c r="U3248" s="28"/>
      <c r="V3248" s="28">
        <v>701415000</v>
      </c>
      <c r="W3248" s="28">
        <v>13669000</v>
      </c>
      <c r="X3248" s="28">
        <v>23159000</v>
      </c>
      <c r="Y3248" s="28">
        <v>1631152000</v>
      </c>
      <c r="Z3248" s="28">
        <v>557424000</v>
      </c>
      <c r="AA3248" s="28"/>
      <c r="AB3248" s="28">
        <v>764945000</v>
      </c>
      <c r="AC3248" s="28">
        <v>1056106000</v>
      </c>
      <c r="AD3248" s="28">
        <v>557434000</v>
      </c>
      <c r="AE3248" s="28">
        <v>3044790000</v>
      </c>
      <c r="AF3248" s="28">
        <v>104425000</v>
      </c>
      <c r="AG3248" s="11"/>
    </row>
    <row r="3249">
      <c r="A3249" s="7" t="s">
        <v>4922</v>
      </c>
      <c r="B3249" s="5" t="s">
        <v>12895</v>
      </c>
      <c r="C3249" s="5" t="s">
        <v>20699</v>
      </c>
      <c r="D3249" s="5" t="str">
        <v>590200424946</v>
      </c>
      <c r="E3249" s="0" t="e">
        <f>+7 (3422) 595950
+7 (3422) 622205
+7 (3422) 931300</f>
        <v>#NAME?</v>
      </c>
      <c r="F3249" s="5" t="s">
        <v>35107</v>
      </c>
      <c r="G3249" s="5" t="s">
        <v>35108</v>
      </c>
      <c r="H3249" s="26">
        <v>23</v>
      </c>
      <c r="I3249" s="5" t="s">
        <v>35109</v>
      </c>
      <c r="J3249" s="5" t="s">
        <v>1059</v>
      </c>
      <c r="K3249" s="5" t="s">
        <v>344</v>
      </c>
      <c r="L3249" s="5"/>
      <c r="M3249" s="27"/>
      <c r="N3249" s="5"/>
      <c r="O3249" s="5" t="str">
        <v>5903034225</v>
      </c>
      <c r="P3249" s="27">
        <v>10000000</v>
      </c>
      <c r="Q3249" s="5" t="s">
        <v>49009</v>
      </c>
      <c r="R3249" s="5"/>
      <c r="S3249" s="5" t="s">
        <v>49010</v>
      </c>
      <c r="T3249" s="28">
        <v>11115000</v>
      </c>
      <c r="U3249" s="28">
        <v>10003000</v>
      </c>
      <c r="V3249" s="28">
        <v>1625917000</v>
      </c>
      <c r="W3249" s="28"/>
      <c r="X3249" s="28">
        <v>31696000</v>
      </c>
      <c r="Y3249" s="28">
        <v>2217382000</v>
      </c>
      <c r="Z3249" s="28">
        <v>1513767000</v>
      </c>
      <c r="AA3249" s="28"/>
      <c r="AB3249" s="28">
        <v>138000</v>
      </c>
      <c r="AC3249" s="28">
        <v>693615000</v>
      </c>
      <c r="AD3249" s="28">
        <v>1523767000</v>
      </c>
      <c r="AE3249" s="28">
        <v>3557406000</v>
      </c>
      <c r="AF3249" s="28">
        <v>-1374000</v>
      </c>
      <c r="AG3249" s="11"/>
    </row>
    <row r="3250">
      <c r="A3250" s="7" t="s">
        <v>4923</v>
      </c>
      <c r="B3250" s="5" t="s">
        <v>12896</v>
      </c>
      <c r="C3250" s="5" t="s">
        <v>20700</v>
      </c>
      <c r="D3250" s="5" t="str">
        <v>590200135503</v>
      </c>
      <c r="E3250" s="0" t="e">
        <f>+7 (342) 2366954
+7 (342) 2366255</f>
        <v>#NAME?</v>
      </c>
      <c r="F3250" s="5" t="s">
        <v>35107</v>
      </c>
      <c r="G3250" s="5" t="s">
        <v>35110</v>
      </c>
      <c r="H3250" s="26">
        <v>17.5</v>
      </c>
      <c r="I3250" s="5" t="s">
        <v>35111</v>
      </c>
      <c r="J3250" s="5" t="s">
        <v>27151</v>
      </c>
      <c r="K3250" s="5" t="s">
        <v>344</v>
      </c>
      <c r="L3250" s="5"/>
      <c r="M3250" s="27"/>
      <c r="N3250" s="5"/>
      <c r="O3250" s="5" t="str">
        <v>5903008289</v>
      </c>
      <c r="P3250" s="27">
        <v>250000</v>
      </c>
      <c r="Q3250" s="5"/>
      <c r="R3250" s="5" t="s">
        <v>54358</v>
      </c>
      <c r="S3250" s="5" t="s">
        <v>49425</v>
      </c>
      <c r="T3250" s="28">
        <v>216979000</v>
      </c>
      <c r="U3250" s="28"/>
      <c r="V3250" s="28">
        <v>158489000</v>
      </c>
      <c r="W3250" s="28">
        <v>440296000</v>
      </c>
      <c r="X3250" s="28">
        <v>76681000</v>
      </c>
      <c r="Y3250" s="28">
        <v>2002902000</v>
      </c>
      <c r="Z3250" s="28">
        <v>536615000</v>
      </c>
      <c r="AA3250" s="28"/>
      <c r="AB3250" s="28">
        <v>29000</v>
      </c>
      <c r="AC3250" s="28">
        <v>1466037000</v>
      </c>
      <c r="AD3250" s="28">
        <v>536865000</v>
      </c>
      <c r="AE3250" s="28">
        <v>6091366000</v>
      </c>
      <c r="AF3250" s="28">
        <v>-1550000</v>
      </c>
      <c r="AG3250" s="11"/>
    </row>
    <row r="3251">
      <c r="A3251" s="7" t="s">
        <v>4924</v>
      </c>
      <c r="B3251" s="5" t="s">
        <v>12897</v>
      </c>
      <c r="C3251" s="5" t="s">
        <v>522</v>
      </c>
      <c r="D3251" s="5" t="str">
        <v>532204614453</v>
      </c>
      <c r="E3251" s="0" t="e">
        <f>+7 (474) 2309721
+7 (474) 2309932
+7 (474) 2387017
+7 (474) 2387018
+7 (474) 2387019
+7 (474) 2389721
+7 (474) 2481801
+7 (474) 2481808
+7 (495) 9801100</f>
        <v>#NAME?</v>
      </c>
      <c r="F3251" s="5" t="s">
        <v>35112</v>
      </c>
      <c r="G3251" s="5"/>
      <c r="H3251" s="26">
        <v>30.5</v>
      </c>
      <c r="I3251" s="5"/>
      <c r="J3251" s="5" t="s">
        <v>26407</v>
      </c>
      <c r="K3251" s="5" t="s">
        <v>344</v>
      </c>
      <c r="L3251" s="5"/>
      <c r="M3251" s="27"/>
      <c r="N3251" s="5"/>
      <c r="O3251" s="5" t="str">
        <v>4825002609</v>
      </c>
      <c r="P3251" s="27">
        <v>58400</v>
      </c>
      <c r="Q3251" s="5" t="s">
        <v>49059</v>
      </c>
      <c r="R3251" s="5" t="s">
        <v>54359</v>
      </c>
      <c r="S3251" s="5" t="s">
        <v>49029</v>
      </c>
      <c r="T3251" s="28">
        <v>886041000</v>
      </c>
      <c r="U3251" s="28"/>
      <c r="V3251" s="28">
        <v>1347810000</v>
      </c>
      <c r="W3251" s="28"/>
      <c r="X3251" s="28">
        <v>8028000</v>
      </c>
      <c r="Y3251" s="28">
        <v>2823336000</v>
      </c>
      <c r="Z3251" s="28">
        <v>2268818000</v>
      </c>
      <c r="AA3251" s="28"/>
      <c r="AB3251" s="28"/>
      <c r="AC3251" s="28">
        <v>259241000</v>
      </c>
      <c r="AD3251" s="28">
        <v>2473329000</v>
      </c>
      <c r="AE3251" s="28">
        <v>3488822000</v>
      </c>
      <c r="AF3251" s="28">
        <v>336538000</v>
      </c>
      <c r="AG3251" s="11"/>
    </row>
    <row r="3252">
      <c r="A3252" s="7" t="s">
        <v>4925</v>
      </c>
      <c r="B3252" s="5" t="s">
        <v>12898</v>
      </c>
      <c r="C3252" s="5" t="s">
        <v>20701</v>
      </c>
      <c r="D3252" s="5" t="str">
        <v>351001809269</v>
      </c>
      <c r="E3252" s="0" t="e">
        <f>+7 (473) 2146687
+7 (47391) 31132
+7 (47391) 31184
+7 (47391) 31808
+7 (47391) 32147
+7 (47391) 34862
+7 (47391) 34875
+7 (47391) 35157
+7 (47391) 35288</f>
        <v>#NAME?</v>
      </c>
      <c r="F3252" s="5" t="s">
        <v>35113</v>
      </c>
      <c r="G3252" s="5"/>
      <c r="H3252" s="26">
        <v>26.5</v>
      </c>
      <c r="I3252" s="5"/>
      <c r="J3252" s="5" t="s">
        <v>27977</v>
      </c>
      <c r="K3252" s="5" t="s">
        <v>344</v>
      </c>
      <c r="L3252" s="5"/>
      <c r="M3252" s="27">
        <v>18136159</v>
      </c>
      <c r="N3252" s="5" t="s">
        <v>54360</v>
      </c>
      <c r="O3252" s="5" t="str">
        <v>3652000930</v>
      </c>
      <c r="P3252" s="27">
        <v>47010000</v>
      </c>
      <c r="Q3252" s="5" t="s">
        <v>54362</v>
      </c>
      <c r="R3252" s="5" t="s">
        <v>54363</v>
      </c>
      <c r="S3252" s="5" t="s">
        <v>49998</v>
      </c>
      <c r="T3252" s="28">
        <v>6974972000</v>
      </c>
      <c r="U3252" s="28">
        <v>77000</v>
      </c>
      <c r="V3252" s="28">
        <v>3635553000</v>
      </c>
      <c r="W3252" s="28">
        <v>800000000</v>
      </c>
      <c r="X3252" s="28">
        <v>339781000</v>
      </c>
      <c r="Y3252" s="28">
        <v>14511254000</v>
      </c>
      <c r="Z3252" s="28">
        <v>10491460000</v>
      </c>
      <c r="AA3252" s="28"/>
      <c r="AB3252" s="28"/>
      <c r="AC3252" s="28">
        <v>3358050000</v>
      </c>
      <c r="AD3252" s="28">
        <v>10540821000</v>
      </c>
      <c r="AE3252" s="28">
        <v>10419156000</v>
      </c>
      <c r="AF3252" s="28">
        <v>1857593000</v>
      </c>
      <c r="AG3252" s="11"/>
    </row>
    <row r="3253">
      <c r="A3253" s="7" t="s">
        <v>4926</v>
      </c>
      <c r="B3253" s="5" t="s">
        <v>12899</v>
      </c>
      <c r="C3253" s="5" t="s">
        <v>19628</v>
      </c>
      <c r="D3253" s="5"/>
      <c r="E3253" s="0" t="e">
        <f>+7 (473) 9138905
+7 (47391) 37001
+7 (47391) 37110
+7 (47391) 37571
+7 (47391) 39224
+7 (47391) 50067
+7 (47391) 50080
+7 (495) 9334400</f>
        <v>#NAME?</v>
      </c>
      <c r="F3253" s="5" t="s">
        <v>35114</v>
      </c>
      <c r="G3253" s="5" t="s">
        <v>35115</v>
      </c>
      <c r="H3253" s="26">
        <v>30</v>
      </c>
      <c r="I3253" s="5"/>
      <c r="J3253" s="5" t="s">
        <v>25994</v>
      </c>
      <c r="K3253" s="5" t="s">
        <v>344</v>
      </c>
      <c r="L3253" s="5" t="s">
        <v>35116</v>
      </c>
      <c r="M3253" s="27"/>
      <c r="N3253" s="5"/>
      <c r="O3253" s="5" t="str">
        <v>3652000739</v>
      </c>
      <c r="P3253" s="27">
        <v>34592766</v>
      </c>
      <c r="Q3253" s="5" t="s">
        <v>49009</v>
      </c>
      <c r="R3253" s="5"/>
      <c r="S3253" s="5" t="s">
        <v>49066</v>
      </c>
      <c r="T3253" s="28">
        <v>182177000</v>
      </c>
      <c r="U3253" s="28"/>
      <c r="V3253" s="28">
        <v>2177831000</v>
      </c>
      <c r="W3253" s="28"/>
      <c r="X3253" s="28">
        <v>521000</v>
      </c>
      <c r="Y3253" s="28">
        <v>4124377000</v>
      </c>
      <c r="Z3253" s="28">
        <v>1801781000</v>
      </c>
      <c r="AA3253" s="28">
        <v>2990000</v>
      </c>
      <c r="AB3253" s="28">
        <v>844835000</v>
      </c>
      <c r="AC3253" s="28">
        <v>2227423000</v>
      </c>
      <c r="AD3253" s="28">
        <v>1862605000</v>
      </c>
      <c r="AE3253" s="28">
        <v>7130711000</v>
      </c>
      <c r="AF3253" s="28">
        <v>527864000</v>
      </c>
      <c r="AG3253" s="11"/>
    </row>
    <row r="3254">
      <c r="A3254" s="7" t="s">
        <v>4927</v>
      </c>
      <c r="B3254" s="5" t="s">
        <v>12900</v>
      </c>
      <c r="C3254" s="5" t="s">
        <v>20702</v>
      </c>
      <c r="D3254" s="5" t="str">
        <v>772381480640</v>
      </c>
      <c r="E3254" s="0" t="e">
        <f>+7 (499) 5001094
+7 (499) 5001084
+7 (915) 744434</f>
        <v>#NAME?</v>
      </c>
      <c r="F3254" s="5" t="s">
        <v>35117</v>
      </c>
      <c r="G3254" s="5"/>
      <c r="H3254" s="26">
        <v>17</v>
      </c>
      <c r="I3254" s="5" t="s">
        <v>35118</v>
      </c>
      <c r="J3254" s="5" t="s">
        <v>25402</v>
      </c>
      <c r="K3254" s="5" t="s">
        <v>344</v>
      </c>
      <c r="L3254" s="5" t="s">
        <v>35119</v>
      </c>
      <c r="M3254" s="27"/>
      <c r="N3254" s="5" t="s">
        <v>54364</v>
      </c>
      <c r="O3254" s="5" t="str">
        <v>7729538600</v>
      </c>
      <c r="P3254" s="27">
        <v>5010000</v>
      </c>
      <c r="Q3254" s="5" t="s">
        <v>49021</v>
      </c>
      <c r="R3254" s="5"/>
      <c r="S3254" s="5" t="s">
        <v>54365</v>
      </c>
      <c r="T3254" s="28">
        <v>503473000</v>
      </c>
      <c r="U3254" s="28"/>
      <c r="V3254" s="28">
        <v>1294925000</v>
      </c>
      <c r="W3254" s="28"/>
      <c r="X3254" s="28">
        <v>549551000</v>
      </c>
      <c r="Y3254" s="28">
        <v>5813308000</v>
      </c>
      <c r="Z3254" s="28">
        <v>1932739000</v>
      </c>
      <c r="AA3254" s="28">
        <v>577809000</v>
      </c>
      <c r="AB3254" s="28">
        <v>2638763000</v>
      </c>
      <c r="AC3254" s="28">
        <v>3272077000</v>
      </c>
      <c r="AD3254" s="28">
        <v>1937749000</v>
      </c>
      <c r="AE3254" s="28">
        <v>3995460000</v>
      </c>
      <c r="AF3254" s="28">
        <v>834049000</v>
      </c>
      <c r="AG3254" s="11"/>
    </row>
    <row r="3255">
      <c r="A3255" s="7" t="s">
        <v>4928</v>
      </c>
      <c r="B3255" s="5" t="s">
        <v>12901</v>
      </c>
      <c r="C3255" s="5" t="s">
        <v>20703</v>
      </c>
      <c r="D3255" s="5" t="str">
        <v>771002528666</v>
      </c>
      <c r="E3255" s="0" t="e">
        <f>+7 (495) 1977658
+7 (495) 2630735
+7 (495) 7339542</f>
        <v>#NAME?</v>
      </c>
      <c r="F3255" s="5" t="s">
        <v>35120</v>
      </c>
      <c r="G3255" s="5" t="s">
        <v>35121</v>
      </c>
      <c r="H3255" s="26">
        <v>6.5</v>
      </c>
      <c r="I3255" s="5" t="s">
        <v>35122</v>
      </c>
      <c r="J3255" s="5" t="s">
        <v>26363</v>
      </c>
      <c r="K3255" s="5" t="s">
        <v>344</v>
      </c>
      <c r="L3255" s="5" t="s">
        <v>35123</v>
      </c>
      <c r="M3255" s="27"/>
      <c r="N3255" s="5" t="s">
        <v>54366</v>
      </c>
      <c r="O3255" s="5" t="str">
        <v>7709496712</v>
      </c>
      <c r="P3255" s="27">
        <v>1000000</v>
      </c>
      <c r="Q3255" s="5" t="s">
        <v>54367</v>
      </c>
      <c r="R3255" s="5" t="s">
        <v>54368</v>
      </c>
      <c r="S3255" s="5" t="s">
        <v>53693</v>
      </c>
      <c r="T3255" s="28">
        <v>617388000</v>
      </c>
      <c r="U3255" s="28"/>
      <c r="V3255" s="28">
        <v>186582000</v>
      </c>
      <c r="W3255" s="28">
        <v>522191000</v>
      </c>
      <c r="X3255" s="28">
        <v>150775000</v>
      </c>
      <c r="Y3255" s="28">
        <v>2009742000</v>
      </c>
      <c r="Z3255" s="28">
        <v>1457314000</v>
      </c>
      <c r="AA3255" s="28"/>
      <c r="AB3255" s="28"/>
      <c r="AC3255" s="28">
        <v>535748000</v>
      </c>
      <c r="AD3255" s="28">
        <v>1458314000</v>
      </c>
      <c r="AE3255" s="28">
        <v>3027901000</v>
      </c>
      <c r="AF3255" s="28">
        <v>507220000</v>
      </c>
      <c r="AG3255" s="11"/>
    </row>
    <row r="3256">
      <c r="A3256" s="7" t="s">
        <v>4929</v>
      </c>
      <c r="B3256" s="5" t="s">
        <v>12902</v>
      </c>
      <c r="C3256" s="5" t="s">
        <v>20704</v>
      </c>
      <c r="D3256" s="5" t="str">
        <v>330500757822</v>
      </c>
      <c r="E3256" s="0" t="e">
        <f>+7 (49232) 99533
+7 (49232) 99535
+7 (904) 5908602
+7 (910) 1712443
+7 (910) 7771806
+7 (920) 9154668</f>
        <v>#NAME?</v>
      </c>
      <c r="F3256" s="5" t="s">
        <v>35124</v>
      </c>
      <c r="G3256" s="5"/>
      <c r="H3256" s="26">
        <v>8</v>
      </c>
      <c r="I3256" s="5" t="s">
        <v>35125</v>
      </c>
      <c r="J3256" s="5" t="s">
        <v>31765</v>
      </c>
      <c r="K3256" s="5" t="s">
        <v>344</v>
      </c>
      <c r="L3256" s="5"/>
      <c r="M3256" s="27"/>
      <c r="N3256" s="5"/>
      <c r="O3256" s="5" t="str">
        <v>3305792187</v>
      </c>
      <c r="P3256" s="27">
        <v>20000</v>
      </c>
      <c r="Q3256" s="5"/>
      <c r="R3256" s="5" t="s">
        <v>54359</v>
      </c>
      <c r="S3256" s="5" t="s">
        <v>49121</v>
      </c>
      <c r="T3256" s="28">
        <v>567953000</v>
      </c>
      <c r="U3256" s="28">
        <v>1000</v>
      </c>
      <c r="V3256" s="28">
        <v>6848341000</v>
      </c>
      <c r="W3256" s="28"/>
      <c r="X3256" s="28">
        <v>1591041000</v>
      </c>
      <c r="Y3256" s="28">
        <v>9895589000</v>
      </c>
      <c r="Z3256" s="28">
        <v>1368596000</v>
      </c>
      <c r="AA3256" s="28">
        <v>1443647000</v>
      </c>
      <c r="AB3256" s="28"/>
      <c r="AC3256" s="28">
        <v>7029747000</v>
      </c>
      <c r="AD3256" s="28">
        <v>1368616000</v>
      </c>
      <c r="AE3256" s="28">
        <v>10477926000</v>
      </c>
      <c r="AF3256" s="28">
        <v>1552273000</v>
      </c>
      <c r="AG3256" s="11"/>
    </row>
    <row r="3257">
      <c r="A3257" s="7" t="s">
        <v>4930</v>
      </c>
      <c r="B3257" s="5" t="s">
        <v>12903</v>
      </c>
      <c r="C3257" s="5" t="s">
        <v>20705</v>
      </c>
      <c r="D3257" s="5" t="str">
        <v>772581085679</v>
      </c>
      <c r="E3257" s="0" t="e">
        <f>+7 (800) 3332737
+7 (812) 4172214
+7 (926) 2408598
+7 (929) 9070616
+7 (985) 7636613
+7 (988) 8708818
+7 (495) 6610893
+7 (495) 6619669
+7 (499) 2300440
+7 (499) 9686086
+7 (926) 2408609
+7 (926) 4453635
+7 (945) 2300040</f>
        <v>#NAME?</v>
      </c>
      <c r="F3257" s="5" t="s">
        <v>35126</v>
      </c>
      <c r="G3257" s="5" t="s">
        <v>35127</v>
      </c>
      <c r="H3257" s="26">
        <v>17.5</v>
      </c>
      <c r="I3257" s="5" t="s">
        <v>35128</v>
      </c>
      <c r="J3257" s="5" t="s">
        <v>25199</v>
      </c>
      <c r="K3257" s="5" t="s">
        <v>344</v>
      </c>
      <c r="L3257" s="5" t="s">
        <v>35129</v>
      </c>
      <c r="M3257" s="27"/>
      <c r="N3257" s="5" t="s">
        <v>54370</v>
      </c>
      <c r="O3257" s="5" t="str">
        <v>7719571260</v>
      </c>
      <c r="P3257" s="27">
        <v>3336531</v>
      </c>
      <c r="Q3257" s="5" t="s">
        <v>54371</v>
      </c>
      <c r="R3257" s="5"/>
      <c r="S3257" s="5" t="s">
        <v>54372</v>
      </c>
      <c r="T3257" s="28">
        <v>89067000</v>
      </c>
      <c r="U3257" s="28">
        <v>3857000</v>
      </c>
      <c r="V3257" s="28">
        <v>884424000</v>
      </c>
      <c r="W3257" s="28"/>
      <c r="X3257" s="28">
        <v>400671000</v>
      </c>
      <c r="Y3257" s="28">
        <v>1711564000</v>
      </c>
      <c r="Z3257" s="28">
        <v>227357000</v>
      </c>
      <c r="AA3257" s="28">
        <v>87369000</v>
      </c>
      <c r="AB3257" s="28"/>
      <c r="AC3257" s="28">
        <v>1208721000</v>
      </c>
      <c r="AD3257" s="28">
        <v>383279000</v>
      </c>
      <c r="AE3257" s="28">
        <v>5792447000</v>
      </c>
      <c r="AF3257" s="28">
        <v>524448000</v>
      </c>
      <c r="AG3257" s="11"/>
    </row>
    <row r="3258">
      <c r="A3258" s="7" t="s">
        <v>4931</v>
      </c>
      <c r="B3258" s="5" t="s">
        <v>11755</v>
      </c>
      <c r="C3258" s="5" t="s">
        <v>19605</v>
      </c>
      <c r="D3258" s="5" t="str">
        <v>263203713366</v>
      </c>
      <c r="F3258" s="5" t="s">
        <v>35130</v>
      </c>
      <c r="G3258" s="5" t="s">
        <v>35131</v>
      </c>
      <c r="H3258" s="26">
        <v>5.5</v>
      </c>
      <c r="I3258" s="5" t="s">
        <v>35132</v>
      </c>
      <c r="J3258" s="5" t="s">
        <v>25670</v>
      </c>
      <c r="K3258" s="5" t="s">
        <v>344</v>
      </c>
      <c r="L3258" s="5"/>
      <c r="M3258" s="27">
        <v>146431303</v>
      </c>
      <c r="N3258" s="5" t="s">
        <v>54373</v>
      </c>
      <c r="O3258" s="5" t="str">
        <v>9705101614</v>
      </c>
      <c r="P3258" s="27">
        <v>120000000</v>
      </c>
      <c r="Q3258" s="5" t="s">
        <v>54374</v>
      </c>
      <c r="R3258" s="5" t="s">
        <v>54375</v>
      </c>
      <c r="S3258" s="5" t="s">
        <v>54376</v>
      </c>
      <c r="T3258" s="28">
        <v>3012857000</v>
      </c>
      <c r="U3258" s="28">
        <v>2382051000</v>
      </c>
      <c r="V3258" s="28">
        <v>157998706000</v>
      </c>
      <c r="W3258" s="28">
        <v>469798000</v>
      </c>
      <c r="X3258" s="28">
        <v>9337203000</v>
      </c>
      <c r="Y3258" s="28">
        <v>189799196000</v>
      </c>
      <c r="Z3258" s="28">
        <v>24386708000</v>
      </c>
      <c r="AA3258" s="28">
        <v>85703550000</v>
      </c>
      <c r="AB3258" s="28">
        <v>57605067000</v>
      </c>
      <c r="AC3258" s="28">
        <v>64565882000</v>
      </c>
      <c r="AD3258" s="28">
        <v>25597033000</v>
      </c>
      <c r="AE3258" s="28">
        <v>32982483000</v>
      </c>
      <c r="AF3258" s="28">
        <v>8199607000</v>
      </c>
      <c r="AG3258" s="11"/>
    </row>
    <row r="3259">
      <c r="A3259" s="7" t="s">
        <v>4932</v>
      </c>
      <c r="B3259" s="5" t="s">
        <v>12904</v>
      </c>
      <c r="C3259" s="5" t="s">
        <v>20706</v>
      </c>
      <c r="D3259" s="5" t="str">
        <v>502903113281</v>
      </c>
      <c r="E3259" s="0" t="e">
        <f>+7 (495) 1466767
+7 (800) 3337575</f>
        <v>#NAME?</v>
      </c>
      <c r="F3259" s="5" t="s">
        <v>35133</v>
      </c>
      <c r="G3259" s="5"/>
      <c r="H3259" s="26">
        <v>2.5</v>
      </c>
      <c r="I3259" s="5" t="s">
        <v>35134</v>
      </c>
      <c r="J3259" s="5" t="s">
        <v>25670</v>
      </c>
      <c r="K3259" s="5" t="s">
        <v>355</v>
      </c>
      <c r="L3259" s="5" t="s">
        <v>35135</v>
      </c>
      <c r="M3259" s="27">
        <v>13359898</v>
      </c>
      <c r="N3259" s="5"/>
      <c r="O3259" s="5" t="str">
        <v>9724016636</v>
      </c>
      <c r="P3259" s="27">
        <v>300000000</v>
      </c>
      <c r="Q3259" s="5" t="s">
        <v>54377</v>
      </c>
      <c r="R3259" s="5"/>
      <c r="S3259" s="5" t="s">
        <v>54378</v>
      </c>
      <c r="T3259" s="28">
        <v>46687000</v>
      </c>
      <c r="U3259" s="28"/>
      <c r="V3259" s="28">
        <v>27025708000</v>
      </c>
      <c r="W3259" s="28"/>
      <c r="X3259" s="28">
        <v>1077513000</v>
      </c>
      <c r="Y3259" s="28">
        <v>30100473000</v>
      </c>
      <c r="Z3259" s="28">
        <v>111572000</v>
      </c>
      <c r="AA3259" s="28">
        <v>14035650000</v>
      </c>
      <c r="AB3259" s="28">
        <v>14262261000</v>
      </c>
      <c r="AC3259" s="28">
        <v>15613390000</v>
      </c>
      <c r="AD3259" s="28">
        <v>411572000</v>
      </c>
      <c r="AE3259" s="28">
        <v>5832125000</v>
      </c>
      <c r="AF3259" s="28">
        <v>273491000</v>
      </c>
      <c r="AG3259" s="11"/>
    </row>
    <row r="3260">
      <c r="A3260" s="7" t="s">
        <v>4933</v>
      </c>
      <c r="B3260" s="5" t="s">
        <v>12905</v>
      </c>
      <c r="C3260" s="5" t="s">
        <v>19059</v>
      </c>
      <c r="D3260" s="5" t="str">
        <v>772803241226</v>
      </c>
      <c r="E3260" s="0" t="e">
        <f>+7 (495) 7191396
+7 (495) 7191398
+7 (8342) 333010
+7 (927) 1839009</f>
        <v>#NAME?</v>
      </c>
      <c r="F3260" s="5"/>
      <c r="G3260" s="5"/>
      <c r="H3260" s="26">
        <v>18</v>
      </c>
      <c r="I3260" s="5" t="s">
        <v>35136</v>
      </c>
      <c r="J3260" s="5" t="s">
        <v>25670</v>
      </c>
      <c r="K3260" s="5" t="s">
        <v>380</v>
      </c>
      <c r="L3260" s="5" t="s">
        <v>35137</v>
      </c>
      <c r="M3260" s="27"/>
      <c r="N3260" s="5"/>
      <c r="O3260" s="5" t="str">
        <v>1327024435</v>
      </c>
      <c r="P3260" s="27">
        <v>50000</v>
      </c>
      <c r="Q3260" s="5" t="s">
        <v>49009</v>
      </c>
      <c r="R3260" s="5"/>
      <c r="S3260" s="5" t="s">
        <v>49010</v>
      </c>
      <c r="T3260" s="28"/>
      <c r="U3260" s="28">
        <v>423692000</v>
      </c>
      <c r="V3260" s="28">
        <v>1806190000</v>
      </c>
      <c r="W3260" s="28">
        <v>21655000</v>
      </c>
      <c r="X3260" s="28">
        <v>2473437000</v>
      </c>
      <c r="Y3260" s="28">
        <v>60638749000</v>
      </c>
      <c r="Z3260" s="28">
        <v>2072570000</v>
      </c>
      <c r="AA3260" s="28">
        <v>39857316000</v>
      </c>
      <c r="AB3260" s="28">
        <v>7536208000</v>
      </c>
      <c r="AC3260" s="28">
        <v>8847549000</v>
      </c>
      <c r="AD3260" s="28">
        <v>2072623000</v>
      </c>
      <c r="AE3260" s="28">
        <v>3074729000</v>
      </c>
      <c r="AF3260" s="28">
        <v>132350000</v>
      </c>
      <c r="AG3260" s="11"/>
    </row>
    <row r="3261">
      <c r="A3261" s="7" t="s">
        <v>4934</v>
      </c>
      <c r="B3261" s="5" t="s">
        <v>12906</v>
      </c>
      <c r="C3261" s="5" t="s">
        <v>20707</v>
      </c>
      <c r="D3261" s="5" t="str">
        <v>550721191727</v>
      </c>
      <c r="E3261" s="0" t="e">
        <f>+7 (381) 2297993
+7 (381) 2935161
+7 (381) 2935248
+7 (381) 2935280
+7 (381) 2941183
+7 (381) 2942363
+7 (381) 2947070
+7 (381) 2947228
+7 (381) 2947356
+7 (381) 2947370
+7 (381) 2947845
+7 (381) 2947905
+7 (381) 2947909
+7 (381) 2947921
+7 (381) 2947933</f>
        <v>#NAME?</v>
      </c>
      <c r="F3261" s="5" t="s">
        <v>35138</v>
      </c>
      <c r="G3261" s="5" t="s">
        <v>25978</v>
      </c>
      <c r="H3261" s="26">
        <v>29.5</v>
      </c>
      <c r="I3261" s="5"/>
      <c r="J3261" s="5" t="s">
        <v>27266</v>
      </c>
      <c r="K3261" s="5" t="s">
        <v>344</v>
      </c>
      <c r="L3261" s="5" t="s">
        <v>35139</v>
      </c>
      <c r="M3261" s="27"/>
      <c r="N3261" s="5"/>
      <c r="O3261" s="5" t="str">
        <v>5528001523</v>
      </c>
      <c r="P3261" s="27">
        <v>19510</v>
      </c>
      <c r="Q3261" s="5" t="s">
        <v>49059</v>
      </c>
      <c r="R3261" s="5"/>
      <c r="S3261" s="5" t="s">
        <v>49066</v>
      </c>
      <c r="T3261" s="28">
        <v>58962000</v>
      </c>
      <c r="U3261" s="28"/>
      <c r="V3261" s="28">
        <v>596763000</v>
      </c>
      <c r="W3261" s="28"/>
      <c r="X3261" s="28">
        <v>37907000</v>
      </c>
      <c r="Y3261" s="28">
        <v>1447960000</v>
      </c>
      <c r="Z3261" s="28">
        <v>309607000</v>
      </c>
      <c r="AA3261" s="28"/>
      <c r="AB3261" s="28">
        <v>700066000</v>
      </c>
      <c r="AC3261" s="28">
        <v>1061145000</v>
      </c>
      <c r="AD3261" s="28">
        <v>383390000</v>
      </c>
      <c r="AE3261" s="28">
        <v>4907365000</v>
      </c>
      <c r="AF3261" s="28">
        <v>104522000</v>
      </c>
      <c r="AG3261" s="11"/>
    </row>
    <row r="3262">
      <c r="A3262" s="7" t="s">
        <v>4935</v>
      </c>
      <c r="B3262" s="5" t="s">
        <v>12907</v>
      </c>
      <c r="C3262" s="5" t="s">
        <v>20708</v>
      </c>
      <c r="D3262" s="5" t="str">
        <v>504212183646</v>
      </c>
      <c r="E3262" s="0" t="e">
        <f>+7 (495) 6645576
+7 (917) 5652221</f>
        <v>#NAME?</v>
      </c>
      <c r="F3262" s="5" t="s">
        <v>35140</v>
      </c>
      <c r="G3262" s="5"/>
      <c r="H3262" s="26">
        <v>6</v>
      </c>
      <c r="I3262" s="5" t="s">
        <v>35141</v>
      </c>
      <c r="J3262" s="5" t="s">
        <v>373</v>
      </c>
      <c r="K3262" s="5" t="s">
        <v>344</v>
      </c>
      <c r="L3262" s="5" t="s">
        <v>28090</v>
      </c>
      <c r="M3262" s="27"/>
      <c r="N3262" s="5" t="s">
        <v>54379</v>
      </c>
      <c r="O3262" s="5" t="str">
        <v>7709994997</v>
      </c>
      <c r="P3262" s="27">
        <v>10000</v>
      </c>
      <c r="Q3262" s="5" t="s">
        <v>49822</v>
      </c>
      <c r="R3262" s="5"/>
      <c r="S3262" s="5" t="s">
        <v>54380</v>
      </c>
      <c r="T3262" s="28">
        <v>17851000</v>
      </c>
      <c r="U3262" s="28">
        <v>115899000</v>
      </c>
      <c r="V3262" s="28">
        <v>460280000</v>
      </c>
      <c r="W3262" s="28">
        <v>5000</v>
      </c>
      <c r="X3262" s="28">
        <v>53251000</v>
      </c>
      <c r="Y3262" s="28">
        <v>781693000</v>
      </c>
      <c r="Z3262" s="28">
        <v>481743000</v>
      </c>
      <c r="AA3262" s="28"/>
      <c r="AB3262" s="28">
        <v>3000</v>
      </c>
      <c r="AC3262" s="28">
        <v>288395000</v>
      </c>
      <c r="AD3262" s="28">
        <v>481753000</v>
      </c>
      <c r="AE3262" s="28">
        <v>3001392000</v>
      </c>
      <c r="AF3262" s="28">
        <v>282705000</v>
      </c>
      <c r="AG3262" s="11"/>
    </row>
    <row r="3263">
      <c r="A3263" s="7" t="s">
        <v>4936</v>
      </c>
      <c r="B3263" s="5" t="s">
        <v>12908</v>
      </c>
      <c r="C3263" s="5" t="s">
        <v>20709</v>
      </c>
      <c r="D3263" s="5" t="str">
        <v>540706470624</v>
      </c>
      <c r="F3263" s="5"/>
      <c r="G3263" s="5"/>
      <c r="H3263" s="26">
        <v>4</v>
      </c>
      <c r="I3263" s="5" t="s">
        <v>35142</v>
      </c>
      <c r="J3263" s="5" t="s">
        <v>27115</v>
      </c>
      <c r="K3263" s="5" t="s">
        <v>344</v>
      </c>
      <c r="L3263" s="5" t="s">
        <v>35143</v>
      </c>
      <c r="M3263" s="27"/>
      <c r="N3263" s="5"/>
      <c r="O3263" s="5" t="str">
        <v>5407973612</v>
      </c>
      <c r="P3263" s="27">
        <v>10000</v>
      </c>
      <c r="Q3263" s="5"/>
      <c r="R3263" s="5"/>
      <c r="S3263" s="5" t="s">
        <v>49110</v>
      </c>
      <c r="T3263" s="28">
        <v>5972000</v>
      </c>
      <c r="U3263" s="28"/>
      <c r="V3263" s="28">
        <v>105762000</v>
      </c>
      <c r="W3263" s="28">
        <v>162920000</v>
      </c>
      <c r="X3263" s="28">
        <v>19550000</v>
      </c>
      <c r="Y3263" s="28">
        <v>363472000</v>
      </c>
      <c r="Z3263" s="28">
        <v>214738000</v>
      </c>
      <c r="AA3263" s="28"/>
      <c r="AB3263" s="28">
        <v>101000</v>
      </c>
      <c r="AC3263" s="28">
        <v>148724000</v>
      </c>
      <c r="AD3263" s="28">
        <v>214748000</v>
      </c>
      <c r="AE3263" s="28">
        <v>4045164000</v>
      </c>
      <c r="AF3263" s="28">
        <v>132438000</v>
      </c>
      <c r="AG3263" s="11"/>
    </row>
    <row r="3264">
      <c r="A3264" s="7" t="s">
        <v>4937</v>
      </c>
      <c r="B3264" s="5" t="s">
        <v>12909</v>
      </c>
      <c r="C3264" s="5" t="s">
        <v>20710</v>
      </c>
      <c r="D3264" s="5" t="str">
        <v>780705452158</v>
      </c>
      <c r="E3264" s="0" t="e">
        <f>+7 (812) 6771807
+7 (812) 6771801
+7 (812) 6772044
+7 (812) 6773787
+7 (812) 6774707</f>
        <v>#NAME?</v>
      </c>
      <c r="F3264" s="5" t="s">
        <v>35144</v>
      </c>
      <c r="G3264" s="5" t="s">
        <v>35145</v>
      </c>
      <c r="H3264" s="26">
        <v>29</v>
      </c>
      <c r="I3264" s="5"/>
      <c r="J3264" s="5" t="s">
        <v>26526</v>
      </c>
      <c r="K3264" s="5" t="s">
        <v>344</v>
      </c>
      <c r="L3264" s="5" t="s">
        <v>35146</v>
      </c>
      <c r="M3264" s="27">
        <v>6820320</v>
      </c>
      <c r="N3264" s="5" t="s">
        <v>54381</v>
      </c>
      <c r="O3264" s="5" t="str">
        <v>7830002303</v>
      </c>
      <c r="P3264" s="27">
        <v>178862000</v>
      </c>
      <c r="Q3264" s="5" t="s">
        <v>49207</v>
      </c>
      <c r="R3264" s="5"/>
      <c r="S3264" s="5" t="s">
        <v>54382</v>
      </c>
      <c r="T3264" s="28">
        <v>1232993000</v>
      </c>
      <c r="U3264" s="28">
        <v>68000</v>
      </c>
      <c r="V3264" s="28">
        <v>958299000</v>
      </c>
      <c r="W3264" s="28">
        <v>5904000</v>
      </c>
      <c r="X3264" s="28">
        <v>600855000</v>
      </c>
      <c r="Y3264" s="28">
        <v>4478037000</v>
      </c>
      <c r="Z3264" s="28">
        <v>1104610000</v>
      </c>
      <c r="AA3264" s="28"/>
      <c r="AB3264" s="28">
        <v>1651883000</v>
      </c>
      <c r="AC3264" s="28">
        <v>2386214000</v>
      </c>
      <c r="AD3264" s="28">
        <v>2074166000</v>
      </c>
      <c r="AE3264" s="28">
        <v>10373615000</v>
      </c>
      <c r="AF3264" s="28">
        <v>793696000</v>
      </c>
      <c r="AG3264" s="11"/>
    </row>
    <row r="3265">
      <c r="A3265" s="7" t="s">
        <v>4938</v>
      </c>
      <c r="B3265" s="5" t="s">
        <v>12910</v>
      </c>
      <c r="C3265" s="5" t="s">
        <v>20688</v>
      </c>
      <c r="D3265" s="5" t="str">
        <v>772625960280</v>
      </c>
      <c r="E3265" s="0" t="e">
        <f>+7 (3472) 249770
+7 (3472) 249771
+7 (3472) 249975
+7 (3472) 249976
+7 (495) 6264050</f>
        <v>#NAME?</v>
      </c>
      <c r="F3265" s="5" t="s">
        <v>35147</v>
      </c>
      <c r="G3265" s="5"/>
      <c r="H3265" s="26">
        <v>6</v>
      </c>
      <c r="I3265" s="5" t="s">
        <v>35148</v>
      </c>
      <c r="J3265" s="5" t="s">
        <v>467</v>
      </c>
      <c r="K3265" s="5" t="s">
        <v>355</v>
      </c>
      <c r="L3265" s="5"/>
      <c r="M3265" s="27">
        <v>17876192</v>
      </c>
      <c r="N3265" s="5"/>
      <c r="O3265" s="5" t="str">
        <v>7726401862</v>
      </c>
      <c r="P3265" s="27">
        <v>250000</v>
      </c>
      <c r="Q3265" s="5" t="s">
        <v>49009</v>
      </c>
      <c r="R3265" s="5"/>
      <c r="S3265" s="5" t="s">
        <v>49066</v>
      </c>
      <c r="T3265" s="28">
        <v>1618724000</v>
      </c>
      <c r="U3265" s="28">
        <v>71500000</v>
      </c>
      <c r="V3265" s="28">
        <v>1902380000</v>
      </c>
      <c r="W3265" s="28">
        <v>434200000</v>
      </c>
      <c r="X3265" s="28">
        <v>864000</v>
      </c>
      <c r="Y3265" s="28">
        <v>5884868000</v>
      </c>
      <c r="Z3265" s="28">
        <v>454654000</v>
      </c>
      <c r="AA3265" s="28"/>
      <c r="AB3265" s="28"/>
      <c r="AC3265" s="28">
        <v>4713285000</v>
      </c>
      <c r="AD3265" s="28">
        <v>454904000</v>
      </c>
      <c r="AE3265" s="28">
        <v>8868663000</v>
      </c>
      <c r="AF3265" s="28">
        <v>167844000</v>
      </c>
      <c r="AG3265" s="11"/>
    </row>
    <row r="3266">
      <c r="A3266" s="7" t="s">
        <v>4939</v>
      </c>
      <c r="B3266" s="5" t="s">
        <v>12911</v>
      </c>
      <c r="C3266" s="5" t="s">
        <v>20711</v>
      </c>
      <c r="D3266" s="5" t="str">
        <v>770201509641</v>
      </c>
      <c r="E3266" s="0" t="e">
        <f>+7 (495) 9891017
+7 (495) 9891018
+7 (926) 2224338</f>
        <v>#NAME?</v>
      </c>
      <c r="F3266" s="5" t="s">
        <v>35149</v>
      </c>
      <c r="G3266" s="5" t="s">
        <v>35150</v>
      </c>
      <c r="H3266" s="26">
        <v>16</v>
      </c>
      <c r="I3266" s="5" t="s">
        <v>35151</v>
      </c>
      <c r="J3266" s="5" t="s">
        <v>26543</v>
      </c>
      <c r="K3266" s="5" t="s">
        <v>344</v>
      </c>
      <c r="L3266" s="5" t="s">
        <v>35152</v>
      </c>
      <c r="M3266" s="27"/>
      <c r="N3266" s="5"/>
      <c r="O3266" s="5" t="str">
        <v>5009057748</v>
      </c>
      <c r="P3266" s="27">
        <v>10000</v>
      </c>
      <c r="Q3266" s="5"/>
      <c r="R3266" s="5"/>
      <c r="S3266" s="5" t="s">
        <v>50509</v>
      </c>
      <c r="T3266" s="28">
        <v>23736000</v>
      </c>
      <c r="U3266" s="28"/>
      <c r="V3266" s="28">
        <v>867841000</v>
      </c>
      <c r="W3266" s="28">
        <v>123000000</v>
      </c>
      <c r="X3266" s="28">
        <v>392077000</v>
      </c>
      <c r="Y3266" s="28">
        <v>2184742000</v>
      </c>
      <c r="Z3266" s="28">
        <v>2133942000</v>
      </c>
      <c r="AA3266" s="28"/>
      <c r="AB3266" s="28"/>
      <c r="AC3266" s="28">
        <v>50790000</v>
      </c>
      <c r="AD3266" s="28">
        <v>2133952000</v>
      </c>
      <c r="AE3266" s="28">
        <v>3657369000</v>
      </c>
      <c r="AF3266" s="28">
        <v>226836000</v>
      </c>
      <c r="AG3266" s="11"/>
    </row>
    <row r="3267">
      <c r="A3267" s="7" t="s">
        <v>4940</v>
      </c>
      <c r="B3267" s="5" t="s">
        <v>12912</v>
      </c>
      <c r="C3267" s="5" t="s">
        <v>20712</v>
      </c>
      <c r="D3267" s="5" t="str">
        <v>540537917577</v>
      </c>
      <c r="E3267" s="0" t="e">
        <f>+7 (831) 2342951
+7 (910) 4410120
+7 (495) 6264050</f>
        <v>#NAME?</v>
      </c>
      <c r="F3267" s="5" t="s">
        <v>35153</v>
      </c>
      <c r="G3267" s="5" t="s">
        <v>35154</v>
      </c>
      <c r="H3267" s="26">
        <v>7.5</v>
      </c>
      <c r="I3267" s="5" t="s">
        <v>35155</v>
      </c>
      <c r="J3267" s="5" t="s">
        <v>364</v>
      </c>
      <c r="K3267" s="5" t="s">
        <v>344</v>
      </c>
      <c r="L3267" s="5" t="s">
        <v>35156</v>
      </c>
      <c r="M3267" s="27">
        <v>39285749</v>
      </c>
      <c r="N3267" s="5" t="s">
        <v>54384</v>
      </c>
      <c r="O3267" s="5" t="str">
        <v>7726344766</v>
      </c>
      <c r="P3267" s="27">
        <v>250000</v>
      </c>
      <c r="Q3267" s="5" t="s">
        <v>54386</v>
      </c>
      <c r="R3267" s="5"/>
      <c r="S3267" s="5" t="s">
        <v>54387</v>
      </c>
      <c r="T3267" s="28">
        <v>152356000</v>
      </c>
      <c r="U3267" s="28"/>
      <c r="V3267" s="28">
        <v>6106963000</v>
      </c>
      <c r="W3267" s="28">
        <v>966024000</v>
      </c>
      <c r="X3267" s="28">
        <v>2516139000</v>
      </c>
      <c r="Y3267" s="28">
        <v>15282014000</v>
      </c>
      <c r="Z3267" s="28">
        <v>764205000</v>
      </c>
      <c r="AA3267" s="28"/>
      <c r="AB3267" s="28">
        <v>735166000</v>
      </c>
      <c r="AC3267" s="28">
        <v>14499830000</v>
      </c>
      <c r="AD3267" s="28">
        <v>764455000</v>
      </c>
      <c r="AE3267" s="28">
        <v>22853019000</v>
      </c>
      <c r="AF3267" s="28">
        <v>524319000</v>
      </c>
      <c r="AG3267" s="11"/>
    </row>
    <row r="3268">
      <c r="A3268" s="7" t="s">
        <v>4941</v>
      </c>
      <c r="B3268" s="5" t="s">
        <v>12913</v>
      </c>
      <c r="C3268" s="5" t="s">
        <v>20713</v>
      </c>
      <c r="D3268" s="5" t="str">
        <v>772131143602</v>
      </c>
      <c r="E3268" s="0" t="e">
        <f>+7 (495) 9886445
+7 (495) 9966806
+7 (915) 3953144
+7 (962) 2365383
+7 (986) 9543959</f>
        <v>#NAME?</v>
      </c>
      <c r="F3268" s="5" t="s">
        <v>35157</v>
      </c>
      <c r="G3268" s="5"/>
      <c r="H3268" s="26">
        <v>8.5</v>
      </c>
      <c r="I3268" s="5" t="s">
        <v>35158</v>
      </c>
      <c r="J3268" s="5" t="s">
        <v>25259</v>
      </c>
      <c r="K3268" s="5" t="s">
        <v>344</v>
      </c>
      <c r="L3268" s="5" t="s">
        <v>35159</v>
      </c>
      <c r="M3268" s="27"/>
      <c r="N3268" s="5"/>
      <c r="O3268" s="5" t="str">
        <v>5040132161</v>
      </c>
      <c r="P3268" s="27">
        <v>155000</v>
      </c>
      <c r="Q3268" s="5"/>
      <c r="R3268" s="5"/>
      <c r="S3268" s="5" t="s">
        <v>49029</v>
      </c>
      <c r="T3268" s="28">
        <v>49082000</v>
      </c>
      <c r="U3268" s="28"/>
      <c r="V3268" s="28">
        <v>1191075000</v>
      </c>
      <c r="W3268" s="28"/>
      <c r="X3268" s="28">
        <v>9891000</v>
      </c>
      <c r="Y3268" s="28">
        <v>5558491000</v>
      </c>
      <c r="Z3268" s="28">
        <v>284316000</v>
      </c>
      <c r="AA3268" s="28"/>
      <c r="AB3268" s="28"/>
      <c r="AC3268" s="28">
        <v>5271440000</v>
      </c>
      <c r="AD3268" s="28">
        <v>284471000</v>
      </c>
      <c r="AE3268" s="28">
        <v>13877186000</v>
      </c>
      <c r="AF3268" s="28">
        <v>80029000</v>
      </c>
      <c r="AG3268" s="11"/>
    </row>
    <row r="3269">
      <c r="A3269" s="7" t="s">
        <v>4942</v>
      </c>
      <c r="B3269" s="5" t="s">
        <v>12914</v>
      </c>
      <c r="C3269" s="5" t="s">
        <v>20714</v>
      </c>
      <c r="D3269" s="5" t="str">
        <v>501000378493</v>
      </c>
      <c r="E3269" s="0" t="e">
        <f>+7 (495) 6376651
+7 (3919) 255001
+7 (3919) 255184
+7 (3919) 353501
+7 (495) 6376761
+7 (81536) 77537
+7 (81536) 79887</f>
        <v>#NAME?</v>
      </c>
      <c r="F3269" s="5" t="s">
        <v>35160</v>
      </c>
      <c r="G3269" s="5" t="s">
        <v>35161</v>
      </c>
      <c r="H3269" s="26">
        <v>11.5</v>
      </c>
      <c r="I3269" s="5" t="s">
        <v>35162</v>
      </c>
      <c r="J3269" s="5" t="s">
        <v>25612</v>
      </c>
      <c r="K3269" s="5" t="s">
        <v>344</v>
      </c>
      <c r="L3269" s="5" t="s">
        <v>35163</v>
      </c>
      <c r="M3269" s="27">
        <v>667814</v>
      </c>
      <c r="N3269" s="5" t="s">
        <v>54388</v>
      </c>
      <c r="O3269" s="5" t="str">
        <v>2457072569</v>
      </c>
      <c r="P3269" s="27">
        <v>17500000</v>
      </c>
      <c r="Q3269" s="5" t="s">
        <v>54389</v>
      </c>
      <c r="R3269" s="5"/>
      <c r="S3269" s="5" t="s">
        <v>54390</v>
      </c>
      <c r="T3269" s="28">
        <v>303661000</v>
      </c>
      <c r="U3269" s="28"/>
      <c r="V3269" s="28">
        <v>15428032000</v>
      </c>
      <c r="W3269" s="28"/>
      <c r="X3269" s="28">
        <v>1104948000</v>
      </c>
      <c r="Y3269" s="28">
        <v>25180706000</v>
      </c>
      <c r="Z3269" s="28">
        <v>10097945000</v>
      </c>
      <c r="AA3269" s="28">
        <v>1200000000</v>
      </c>
      <c r="AB3269" s="28">
        <v>8567000</v>
      </c>
      <c r="AC3269" s="28">
        <v>12337793000</v>
      </c>
      <c r="AD3269" s="28">
        <v>10117580000</v>
      </c>
      <c r="AE3269" s="28">
        <v>75624606000</v>
      </c>
      <c r="AF3269" s="28">
        <v>10748933000</v>
      </c>
      <c r="AG3269" s="11"/>
    </row>
    <row r="3270">
      <c r="A3270" s="7" t="s">
        <v>4943</v>
      </c>
      <c r="B3270" s="5" t="s">
        <v>12915</v>
      </c>
      <c r="C3270" s="5" t="s">
        <v>20715</v>
      </c>
      <c r="D3270" s="5" t="str">
        <v>230907020003</v>
      </c>
      <c r="E3270" s="0" t="e">
        <f>+7 (861) 2774554</f>
        <v>#NAME?</v>
      </c>
      <c r="F3270" s="5"/>
      <c r="G3270" s="5"/>
      <c r="H3270" s="26">
        <v>10.5</v>
      </c>
      <c r="I3270" s="5" t="s">
        <v>35164</v>
      </c>
      <c r="J3270" s="5" t="s">
        <v>26367</v>
      </c>
      <c r="K3270" s="5" t="s">
        <v>344</v>
      </c>
      <c r="L3270" s="5" t="s">
        <v>35165</v>
      </c>
      <c r="M3270" s="27"/>
      <c r="N3270" s="5"/>
      <c r="O3270" s="5" t="str">
        <v>2311147190</v>
      </c>
      <c r="P3270" s="27">
        <v>10000000</v>
      </c>
      <c r="Q3270" s="5" t="s">
        <v>49009</v>
      </c>
      <c r="R3270" s="5"/>
      <c r="S3270" s="5" t="s">
        <v>49010</v>
      </c>
      <c r="T3270" s="28">
        <v>7667000</v>
      </c>
      <c r="U3270" s="28"/>
      <c r="V3270" s="28">
        <v>452838000</v>
      </c>
      <c r="W3270" s="28"/>
      <c r="X3270" s="28">
        <v>455000</v>
      </c>
      <c r="Y3270" s="28">
        <v>1146622000</v>
      </c>
      <c r="Z3270" s="28">
        <v>281300000</v>
      </c>
      <c r="AA3270" s="28"/>
      <c r="AB3270" s="28">
        <v>367152000</v>
      </c>
      <c r="AC3270" s="28">
        <v>847441000</v>
      </c>
      <c r="AD3270" s="28">
        <v>291300000</v>
      </c>
      <c r="AE3270" s="28">
        <v>5143675000</v>
      </c>
      <c r="AF3270" s="28">
        <v>174034000</v>
      </c>
      <c r="AG3270" s="11"/>
    </row>
    <row r="3271">
      <c r="A3271" s="7" t="s">
        <v>4944</v>
      </c>
      <c r="B3271" s="5" t="s">
        <v>12916</v>
      </c>
      <c r="C3271" s="5" t="s">
        <v>20716</v>
      </c>
      <c r="D3271" s="5" t="str">
        <v>352808888285</v>
      </c>
      <c r="F3271" s="5"/>
      <c r="G3271" s="5"/>
      <c r="H3271" s="26">
        <v>2</v>
      </c>
      <c r="I3271" s="5" t="s">
        <v>35166</v>
      </c>
      <c r="J3271" s="5" t="s">
        <v>26905</v>
      </c>
      <c r="K3271" s="5" t="s">
        <v>355</v>
      </c>
      <c r="L3271" s="5" t="s">
        <v>34174</v>
      </c>
      <c r="M3271" s="27"/>
      <c r="N3271" s="5"/>
      <c r="O3271" s="5" t="str">
        <v>7802887051</v>
      </c>
      <c r="P3271" s="27">
        <v>500000</v>
      </c>
      <c r="Q3271" s="5"/>
      <c r="R3271" s="5"/>
      <c r="S3271" s="5" t="s">
        <v>49444</v>
      </c>
      <c r="T3271" s="28">
        <v>172233000</v>
      </c>
      <c r="U3271" s="28"/>
      <c r="V3271" s="28">
        <v>695972000</v>
      </c>
      <c r="W3271" s="28">
        <v>68150000</v>
      </c>
      <c r="X3271" s="28">
        <v>257885000</v>
      </c>
      <c r="Y3271" s="28">
        <v>1197183000</v>
      </c>
      <c r="Z3271" s="28">
        <v>49815000</v>
      </c>
      <c r="AA3271" s="28"/>
      <c r="AB3271" s="28">
        <v>245468000</v>
      </c>
      <c r="AC3271" s="28">
        <v>1068193000</v>
      </c>
      <c r="AD3271" s="28">
        <v>50315000</v>
      </c>
      <c r="AE3271" s="28">
        <v>3426548000</v>
      </c>
      <c r="AF3271" s="28">
        <v>37097000</v>
      </c>
      <c r="AG3271" s="11"/>
    </row>
    <row r="3272">
      <c r="A3272" s="7" t="s">
        <v>4945</v>
      </c>
      <c r="B3272" s="5" t="s">
        <v>12917</v>
      </c>
      <c r="C3272" s="5" t="s">
        <v>20717</v>
      </c>
      <c r="D3272" s="5" t="str">
        <v>780162360896</v>
      </c>
      <c r="E3272" s="0" t="e">
        <f>+7 (981) 8884242</f>
        <v>#NAME?</v>
      </c>
      <c r="F3272" s="5" t="s">
        <v>35167</v>
      </c>
      <c r="G3272" s="5" t="s">
        <v>35168</v>
      </c>
      <c r="H3272" s="26">
        <v>7</v>
      </c>
      <c r="I3272" s="5" t="s">
        <v>35169</v>
      </c>
      <c r="J3272" s="5" t="s">
        <v>599</v>
      </c>
      <c r="K3272" s="5" t="s">
        <v>344</v>
      </c>
      <c r="L3272" s="5" t="s">
        <v>35170</v>
      </c>
      <c r="M3272" s="27"/>
      <c r="N3272" s="5" t="s">
        <v>50926</v>
      </c>
      <c r="O3272" s="5" t="str">
        <v>7805346759</v>
      </c>
      <c r="P3272" s="27">
        <v>1000000</v>
      </c>
      <c r="Q3272" s="5" t="s">
        <v>49009</v>
      </c>
      <c r="R3272" s="5"/>
      <c r="S3272" s="5" t="s">
        <v>49010</v>
      </c>
      <c r="T3272" s="28">
        <v>29779000</v>
      </c>
      <c r="U3272" s="28"/>
      <c r="V3272" s="28">
        <v>470711000</v>
      </c>
      <c r="W3272" s="28">
        <v>5590000</v>
      </c>
      <c r="X3272" s="28">
        <v>5346000</v>
      </c>
      <c r="Y3272" s="28">
        <v>516161000</v>
      </c>
      <c r="Z3272" s="28">
        <v>134014000</v>
      </c>
      <c r="AA3272" s="28">
        <v>18931000</v>
      </c>
      <c r="AB3272" s="28">
        <v>15000</v>
      </c>
      <c r="AC3272" s="28">
        <v>341818000</v>
      </c>
      <c r="AD3272" s="28">
        <v>135014000</v>
      </c>
      <c r="AE3272" s="28">
        <v>4283938000</v>
      </c>
      <c r="AF3272" s="28">
        <v>105955000</v>
      </c>
      <c r="AG3272" s="11"/>
    </row>
    <row r="3273">
      <c r="A3273" s="7" t="s">
        <v>4946</v>
      </c>
      <c r="B3273" s="5" t="s">
        <v>12918</v>
      </c>
      <c r="C3273" s="5" t="s">
        <v>20718</v>
      </c>
      <c r="D3273" s="5" t="str">
        <v>770701592253</v>
      </c>
      <c r="E3273" s="0" t="e">
        <f>+7 (495) 7881170
+7 (495) 9745929
+7 (925) 824990
+7 (925) 829886
+7 (925) 829984
+7 (925) 830027
+7 (926) 3913212</f>
        <v>#NAME?</v>
      </c>
      <c r="F3273" s="5" t="s">
        <v>35171</v>
      </c>
      <c r="G3273" s="5" t="s">
        <v>35172</v>
      </c>
      <c r="H3273" s="26">
        <v>16.5</v>
      </c>
      <c r="I3273" s="5" t="s">
        <v>35173</v>
      </c>
      <c r="J3273" s="5" t="s">
        <v>25484</v>
      </c>
      <c r="K3273" s="5" t="s">
        <v>355</v>
      </c>
      <c r="L3273" s="5"/>
      <c r="M3273" s="27"/>
      <c r="N3273" s="5"/>
      <c r="O3273" s="5" t="str">
        <v>5040071960</v>
      </c>
      <c r="P3273" s="27">
        <v>2250100000</v>
      </c>
      <c r="Q3273" s="5"/>
      <c r="R3273" s="5"/>
      <c r="S3273" s="5" t="s">
        <v>51244</v>
      </c>
      <c r="T3273" s="28">
        <v>1402272000</v>
      </c>
      <c r="U3273" s="28"/>
      <c r="V3273" s="28">
        <v>1047084000</v>
      </c>
      <c r="W3273" s="28">
        <v>290000000</v>
      </c>
      <c r="X3273" s="28">
        <v>5714000</v>
      </c>
      <c r="Y3273" s="28">
        <v>3286654000</v>
      </c>
      <c r="Z3273" s="28">
        <v>-108862000</v>
      </c>
      <c r="AA3273" s="28"/>
      <c r="AB3273" s="28">
        <v>709691000</v>
      </c>
      <c r="AC3273" s="28">
        <v>2152732000</v>
      </c>
      <c r="AD3273" s="28">
        <v>641238000</v>
      </c>
      <c r="AE3273" s="28">
        <v>3274119000</v>
      </c>
      <c r="AF3273" s="28">
        <v>-219932000</v>
      </c>
      <c r="AG3273" s="11"/>
    </row>
    <row r="3274">
      <c r="A3274" s="7" t="s">
        <v>4947</v>
      </c>
      <c r="B3274" s="5" t="s">
        <v>12919</v>
      </c>
      <c r="C3274" s="5" t="s">
        <v>20719</v>
      </c>
      <c r="D3274" s="5" t="str">
        <v>290126144451</v>
      </c>
      <c r="E3274" s="0" t="e">
        <f>+7 (495) 8704211
+7 (495) 9789670
+7 (499) 6734210
+7 (499) 9752205
+7 (903) 1057372
+7 (915) 1056152
+7 (915) 1998235
+7 (916) 3502174</f>
        <v>#NAME?</v>
      </c>
      <c r="F3274" s="5" t="s">
        <v>35174</v>
      </c>
      <c r="G3274" s="5" t="s">
        <v>35175</v>
      </c>
      <c r="H3274" s="26">
        <v>5</v>
      </c>
      <c r="I3274" s="5" t="s">
        <v>35176</v>
      </c>
      <c r="J3274" s="5" t="s">
        <v>599</v>
      </c>
      <c r="K3274" s="5" t="s">
        <v>344</v>
      </c>
      <c r="L3274" s="5" t="s">
        <v>35177</v>
      </c>
      <c r="M3274" s="27"/>
      <c r="N3274" s="5" t="s">
        <v>54391</v>
      </c>
      <c r="O3274" s="5" t="str">
        <v>7702426787</v>
      </c>
      <c r="P3274" s="27">
        <v>1000000</v>
      </c>
      <c r="Q3274" s="5" t="s">
        <v>54392</v>
      </c>
      <c r="R3274" s="5"/>
      <c r="S3274" s="5" t="s">
        <v>51937</v>
      </c>
      <c r="T3274" s="28">
        <v>73904000</v>
      </c>
      <c r="U3274" s="28"/>
      <c r="V3274" s="28">
        <v>3778536000</v>
      </c>
      <c r="W3274" s="28">
        <v>50000000</v>
      </c>
      <c r="X3274" s="28">
        <v>130246000</v>
      </c>
      <c r="Y3274" s="28">
        <v>4373469000</v>
      </c>
      <c r="Z3274" s="28">
        <v>2353548000</v>
      </c>
      <c r="AA3274" s="28"/>
      <c r="AB3274" s="28"/>
      <c r="AC3274" s="28">
        <v>1838502000</v>
      </c>
      <c r="AD3274" s="28">
        <v>2354548000</v>
      </c>
      <c r="AE3274" s="28">
        <v>15123127000</v>
      </c>
      <c r="AF3274" s="28">
        <v>1450363000</v>
      </c>
      <c r="AG3274" s="11"/>
    </row>
    <row r="3275">
      <c r="A3275" s="7" t="s">
        <v>4948</v>
      </c>
      <c r="B3275" s="5" t="s">
        <v>12920</v>
      </c>
      <c r="C3275" s="5" t="s">
        <v>20720</v>
      </c>
      <c r="D3275" s="5" t="str">
        <v>780709105959</v>
      </c>
      <c r="E3275" s="0" t="e">
        <f>+7 (921) 8929987</f>
        <v>#NAME?</v>
      </c>
      <c r="F3275" s="5" t="s">
        <v>35178</v>
      </c>
      <c r="G3275" s="5" t="s">
        <v>35179</v>
      </c>
      <c r="H3275" s="26">
        <v>6</v>
      </c>
      <c r="I3275" s="5" t="s">
        <v>35180</v>
      </c>
      <c r="J3275" s="5" t="s">
        <v>27182</v>
      </c>
      <c r="K3275" s="5" t="s">
        <v>344</v>
      </c>
      <c r="L3275" s="5" t="s">
        <v>35181</v>
      </c>
      <c r="M3275" s="27"/>
      <c r="N3275" s="5" t="s">
        <v>49153</v>
      </c>
      <c r="O3275" s="5" t="str">
        <v>7813274970</v>
      </c>
      <c r="P3275" s="27">
        <v>800000000</v>
      </c>
      <c r="Q3275" s="5"/>
      <c r="R3275" s="5"/>
      <c r="S3275" s="5" t="s">
        <v>50104</v>
      </c>
      <c r="T3275" s="28"/>
      <c r="U3275" s="28"/>
      <c r="V3275" s="28">
        <v>5628638000</v>
      </c>
      <c r="W3275" s="28"/>
      <c r="X3275" s="28">
        <v>4107000</v>
      </c>
      <c r="Y3275" s="28">
        <v>16748571000</v>
      </c>
      <c r="Z3275" s="28">
        <v>6101895000</v>
      </c>
      <c r="AA3275" s="28">
        <v>5460102000</v>
      </c>
      <c r="AB3275" s="28">
        <v>72295000</v>
      </c>
      <c r="AC3275" s="28">
        <v>1653703000</v>
      </c>
      <c r="AD3275" s="28">
        <v>6901895000</v>
      </c>
      <c r="AE3275" s="28">
        <v>9119594000</v>
      </c>
      <c r="AF3275" s="28">
        <v>4466474000</v>
      </c>
      <c r="AG3275" s="11"/>
    </row>
    <row r="3276">
      <c r="A3276" s="7" t="s">
        <v>4949</v>
      </c>
      <c r="B3276" s="5" t="s">
        <v>12921</v>
      </c>
      <c r="C3276" s="5" t="s">
        <v>20721</v>
      </c>
      <c r="D3276" s="5" t="str">
        <v>770976952944</v>
      </c>
      <c r="E3276" s="0" t="e">
        <f>+7 (495) 5141380</f>
        <v>#NAME?</v>
      </c>
      <c r="F3276" s="5"/>
      <c r="G3276" s="5"/>
      <c r="H3276" s="26">
        <v>14</v>
      </c>
      <c r="I3276" s="5" t="s">
        <v>35182</v>
      </c>
      <c r="J3276" s="5" t="s">
        <v>25195</v>
      </c>
      <c r="K3276" s="5" t="s">
        <v>344</v>
      </c>
      <c r="L3276" s="5" t="s">
        <v>35183</v>
      </c>
      <c r="M3276" s="27"/>
      <c r="N3276" s="5"/>
      <c r="O3276" s="5" t="str">
        <v>7709828703</v>
      </c>
      <c r="P3276" s="27">
        <v>247040000</v>
      </c>
      <c r="Q3276" s="5"/>
      <c r="R3276" s="5"/>
      <c r="S3276" s="5" t="s">
        <v>49029</v>
      </c>
      <c r="T3276" s="28">
        <v>304153000</v>
      </c>
      <c r="U3276" s="28"/>
      <c r="V3276" s="28">
        <v>494180000</v>
      </c>
      <c r="W3276" s="28">
        <v>744000</v>
      </c>
      <c r="X3276" s="28">
        <v>1456133000</v>
      </c>
      <c r="Y3276" s="28">
        <v>3850990000</v>
      </c>
      <c r="Z3276" s="28">
        <v>3125736000</v>
      </c>
      <c r="AA3276" s="28"/>
      <c r="AB3276" s="28"/>
      <c r="AC3276" s="28">
        <v>471761000</v>
      </c>
      <c r="AD3276" s="28">
        <v>3372776000</v>
      </c>
      <c r="AE3276" s="28">
        <v>5575957000</v>
      </c>
      <c r="AF3276" s="28">
        <v>1136053000</v>
      </c>
      <c r="AG3276" s="11"/>
    </row>
    <row r="3277">
      <c r="A3277" s="7" t="s">
        <v>4950</v>
      </c>
      <c r="B3277" s="5" t="s">
        <v>12922</v>
      </c>
      <c r="C3277" s="5" t="s">
        <v>20722</v>
      </c>
      <c r="D3277" s="5" t="str">
        <v>774325548538</v>
      </c>
      <c r="F3277" s="5"/>
      <c r="G3277" s="5"/>
      <c r="H3277" s="26">
        <v>6.5</v>
      </c>
      <c r="I3277" s="5" t="s">
        <v>35184</v>
      </c>
      <c r="J3277" s="5" t="s">
        <v>955</v>
      </c>
      <c r="K3277" s="5" t="s">
        <v>344</v>
      </c>
      <c r="L3277" s="5" t="s">
        <v>35185</v>
      </c>
      <c r="M3277" s="27"/>
      <c r="N3277" s="5"/>
      <c r="O3277" s="5" t="str">
        <v>7736268641</v>
      </c>
      <c r="P3277" s="27">
        <v>500000</v>
      </c>
      <c r="Q3277" s="5" t="s">
        <v>54393</v>
      </c>
      <c r="R3277" s="5"/>
      <c r="S3277" s="5" t="s">
        <v>49053</v>
      </c>
      <c r="T3277" s="28">
        <v>17016000</v>
      </c>
      <c r="U3277" s="28">
        <v>27172000</v>
      </c>
      <c r="V3277" s="28">
        <v>608489000</v>
      </c>
      <c r="W3277" s="28">
        <v>845325000</v>
      </c>
      <c r="X3277" s="28">
        <v>8730000</v>
      </c>
      <c r="Y3277" s="28">
        <v>2216881000</v>
      </c>
      <c r="Z3277" s="28">
        <v>2052822000</v>
      </c>
      <c r="AA3277" s="28"/>
      <c r="AB3277" s="28"/>
      <c r="AC3277" s="28">
        <v>162537000</v>
      </c>
      <c r="AD3277" s="28">
        <v>2053322000</v>
      </c>
      <c r="AE3277" s="28">
        <v>8838306000</v>
      </c>
      <c r="AF3277" s="28">
        <v>1178036000</v>
      </c>
      <c r="AG3277" s="11"/>
    </row>
    <row r="3278">
      <c r="A3278" s="7" t="s">
        <v>4951</v>
      </c>
      <c r="B3278" s="5" t="s">
        <v>12923</v>
      </c>
      <c r="C3278" s="5" t="s">
        <v>20723</v>
      </c>
      <c r="D3278" s="5" t="str">
        <v>781300316977</v>
      </c>
      <c r="E3278" s="0" t="e">
        <f>+7 (812) 6434656</f>
        <v>#NAME?</v>
      </c>
      <c r="F3278" s="5"/>
      <c r="G3278" s="5" t="s">
        <v>35186</v>
      </c>
      <c r="H3278" s="26">
        <v>8.5</v>
      </c>
      <c r="I3278" s="5" t="s">
        <v>35187</v>
      </c>
      <c r="J3278" s="5" t="s">
        <v>373</v>
      </c>
      <c r="K3278" s="5" t="s">
        <v>344</v>
      </c>
      <c r="L3278" s="5" t="s">
        <v>27120</v>
      </c>
      <c r="M3278" s="27"/>
      <c r="N3278" s="5"/>
      <c r="O3278" s="5" t="str">
        <v>7805657257</v>
      </c>
      <c r="P3278" s="27">
        <v>10000</v>
      </c>
      <c r="Q3278" s="5" t="s">
        <v>49057</v>
      </c>
      <c r="R3278" s="5"/>
      <c r="S3278" s="5" t="s">
        <v>49450</v>
      </c>
      <c r="T3278" s="28">
        <v>13082000</v>
      </c>
      <c r="U3278" s="28"/>
      <c r="V3278" s="28">
        <v>231170000</v>
      </c>
      <c r="W3278" s="28">
        <v>15900000</v>
      </c>
      <c r="X3278" s="28">
        <v>4534000</v>
      </c>
      <c r="Y3278" s="28">
        <v>320055000</v>
      </c>
      <c r="Z3278" s="28">
        <v>23097000</v>
      </c>
      <c r="AA3278" s="28">
        <v>86000000</v>
      </c>
      <c r="AB3278" s="28">
        <v>20876000</v>
      </c>
      <c r="AC3278" s="28">
        <v>204825000</v>
      </c>
      <c r="AD3278" s="28">
        <v>23107000</v>
      </c>
      <c r="AE3278" s="28">
        <v>7050534000</v>
      </c>
      <c r="AF3278" s="28">
        <v>7501000</v>
      </c>
      <c r="AG3278" s="11"/>
    </row>
    <row r="3279">
      <c r="A3279" s="7" t="s">
        <v>4952</v>
      </c>
      <c r="B3279" s="5" t="s">
        <v>12924</v>
      </c>
      <c r="C3279" s="5" t="s">
        <v>20124</v>
      </c>
      <c r="D3279" s="5" t="str">
        <v>773100997596</v>
      </c>
      <c r="E3279" s="0" t="e">
        <f>+7 (495) 7952197
+7 (3472) 929353
+7 (35325) 8292
+7 (472) 2290109
+7 (473) 2359049
+7 (482) 2415110
+7 (484) 2277255
+7 (495) 6413841
+7 (495) 9166090
+7 (495) 9166092
+7 (495) 9166187
+7 (800) 2226937
+7 (800) 3335663
+7 (812) 7770070
+7 (812) 7770091</f>
        <v>#NAME?</v>
      </c>
      <c r="F3279" s="5" t="s">
        <v>35188</v>
      </c>
      <c r="G3279" s="5" t="s">
        <v>35189</v>
      </c>
      <c r="H3279" s="26">
        <v>29.5</v>
      </c>
      <c r="I3279" s="5"/>
      <c r="J3279" s="5" t="s">
        <v>27991</v>
      </c>
      <c r="K3279" s="5" t="s">
        <v>344</v>
      </c>
      <c r="L3279" s="5" t="s">
        <v>35190</v>
      </c>
      <c r="M3279" s="27">
        <v>12567628</v>
      </c>
      <c r="N3279" s="5" t="s">
        <v>54394</v>
      </c>
      <c r="O3279" s="5" t="str">
        <v>7714095226</v>
      </c>
      <c r="P3279" s="27">
        <v>18745000</v>
      </c>
      <c r="Q3279" s="5" t="s">
        <v>54395</v>
      </c>
      <c r="R3279" s="5"/>
      <c r="S3279" s="5" t="s">
        <v>54396</v>
      </c>
      <c r="T3279" s="28">
        <v>2419067000</v>
      </c>
      <c r="U3279" s="28"/>
      <c r="V3279" s="28">
        <v>3001265000</v>
      </c>
      <c r="W3279" s="28">
        <v>44540000</v>
      </c>
      <c r="X3279" s="28">
        <v>160805000</v>
      </c>
      <c r="Y3279" s="28">
        <v>10725804000</v>
      </c>
      <c r="Z3279" s="28">
        <v>6272213000</v>
      </c>
      <c r="AA3279" s="28"/>
      <c r="AB3279" s="28">
        <v>510500000</v>
      </c>
      <c r="AC3279" s="28">
        <v>3969634000</v>
      </c>
      <c r="AD3279" s="28">
        <v>6291505000</v>
      </c>
      <c r="AE3279" s="28">
        <v>20975911000</v>
      </c>
      <c r="AF3279" s="28">
        <v>2307275000</v>
      </c>
      <c r="AG3279" s="11"/>
    </row>
    <row r="3280">
      <c r="A3280" s="7" t="s">
        <v>4953</v>
      </c>
      <c r="B3280" s="5" t="s">
        <v>12925</v>
      </c>
      <c r="C3280" s="5" t="s">
        <v>20724</v>
      </c>
      <c r="D3280" s="5" t="str">
        <v>782614912891</v>
      </c>
      <c r="E3280" s="0" t="e">
        <f>+7 (812) 2748979
+7 (812) 2743086
+7 (812) 2743087
+7 (812) 2743088
+7 (925) 2223444</f>
        <v>#NAME?</v>
      </c>
      <c r="F3280" s="5" t="s">
        <v>35191</v>
      </c>
      <c r="G3280" s="5" t="s">
        <v>35192</v>
      </c>
      <c r="H3280" s="26">
        <v>17</v>
      </c>
      <c r="I3280" s="5" t="s">
        <v>35193</v>
      </c>
      <c r="J3280" s="5" t="s">
        <v>26846</v>
      </c>
      <c r="K3280" s="5" t="s">
        <v>344</v>
      </c>
      <c r="L3280" s="5"/>
      <c r="M3280" s="27"/>
      <c r="N3280" s="5"/>
      <c r="O3280" s="5" t="str">
        <v>7842328726</v>
      </c>
      <c r="P3280" s="27">
        <v>82997000</v>
      </c>
      <c r="Q3280" s="5" t="s">
        <v>49009</v>
      </c>
      <c r="R3280" s="5"/>
      <c r="S3280" s="5" t="s">
        <v>49010</v>
      </c>
      <c r="T3280" s="28">
        <v>9305000</v>
      </c>
      <c r="U3280" s="28"/>
      <c r="V3280" s="28">
        <v>399853000</v>
      </c>
      <c r="W3280" s="28">
        <v>50000000</v>
      </c>
      <c r="X3280" s="28">
        <v>210572000</v>
      </c>
      <c r="Y3280" s="28">
        <v>827980000</v>
      </c>
      <c r="Z3280" s="28">
        <v>256257000</v>
      </c>
      <c r="AA3280" s="28"/>
      <c r="AB3280" s="28"/>
      <c r="AC3280" s="28">
        <v>100406000</v>
      </c>
      <c r="AD3280" s="28">
        <v>726239000</v>
      </c>
      <c r="AE3280" s="28">
        <v>3059877000</v>
      </c>
      <c r="AF3280" s="28">
        <v>315073000</v>
      </c>
      <c r="AG3280" s="11"/>
    </row>
    <row r="3281">
      <c r="A3281" s="7" t="s">
        <v>4954</v>
      </c>
      <c r="B3281" s="5" t="s">
        <v>12926</v>
      </c>
      <c r="C3281" s="5" t="s">
        <v>20725</v>
      </c>
      <c r="D3281" s="5" t="str">
        <v>142800644951</v>
      </c>
      <c r="E3281" s="0" t="e">
        <f>+7 (411) 2423221
+7 (411) 2420712
+7 (914) 2709640
+7 (411) 2408009
+7 (411) 2420011
+7 (411) 2420207
+7 (411) 2421253
+7 (411) 2422374
+7 (411) 2424250
+7 (411) 2426487
+7 (981) 4741659</f>
        <v>#NAME?</v>
      </c>
      <c r="F3281" s="5" t="s">
        <v>35194</v>
      </c>
      <c r="G3281" s="5" t="s">
        <v>35195</v>
      </c>
      <c r="H3281" s="26">
        <v>28.5</v>
      </c>
      <c r="I3281" s="5" t="s">
        <v>35196</v>
      </c>
      <c r="J3281" s="5" t="s">
        <v>26992</v>
      </c>
      <c r="K3281" s="5" t="s">
        <v>344</v>
      </c>
      <c r="L3281" s="5"/>
      <c r="M3281" s="27">
        <v>965613</v>
      </c>
      <c r="N3281" s="5" t="s">
        <v>54397</v>
      </c>
      <c r="O3281" s="5" t="str">
        <v>1435029085</v>
      </c>
      <c r="P3281" s="27">
        <v>833796000</v>
      </c>
      <c r="Q3281" s="5" t="s">
        <v>54399</v>
      </c>
      <c r="R3281" s="5"/>
      <c r="S3281" s="5" t="s">
        <v>54400</v>
      </c>
      <c r="T3281" s="28">
        <v>9614966000</v>
      </c>
      <c r="U3281" s="28">
        <v>176546000</v>
      </c>
      <c r="V3281" s="28">
        <v>2144052000</v>
      </c>
      <c r="W3281" s="28">
        <v>23768000</v>
      </c>
      <c r="X3281" s="28">
        <v>525347000</v>
      </c>
      <c r="Y3281" s="28">
        <v>15551052000</v>
      </c>
      <c r="Z3281" s="28">
        <v>-485005000</v>
      </c>
      <c r="AA3281" s="28">
        <v>4396771000</v>
      </c>
      <c r="AB3281" s="28"/>
      <c r="AC3281" s="28">
        <v>4068063000</v>
      </c>
      <c r="AD3281" s="28">
        <v>5320608000</v>
      </c>
      <c r="AE3281" s="28">
        <v>8259097000</v>
      </c>
      <c r="AF3281" s="28">
        <v>57974000</v>
      </c>
      <c r="AG3281" s="11"/>
    </row>
    <row r="3282">
      <c r="A3282" s="7" t="s">
        <v>4955</v>
      </c>
      <c r="B3282" s="5" t="s">
        <v>12927</v>
      </c>
      <c r="C3282" s="5" t="s">
        <v>20726</v>
      </c>
      <c r="D3282" s="5" t="str">
        <v>234992684169</v>
      </c>
      <c r="E3282" s="0" t="e">
        <f>+7 (343) 2179797
+7 (343) 2312478
+7 (343) 2536100
+7 (343) 2536102
+7 (343) 3253610
+7 (950) 2016656</f>
        <v>#NAME?</v>
      </c>
      <c r="F3282" s="5" t="s">
        <v>35197</v>
      </c>
      <c r="G3282" s="5" t="s">
        <v>35198</v>
      </c>
      <c r="H3282" s="26">
        <v>30</v>
      </c>
      <c r="I3282" s="5"/>
      <c r="J3282" s="5" t="s">
        <v>533</v>
      </c>
      <c r="K3282" s="5" t="s">
        <v>355</v>
      </c>
      <c r="L3282" s="5"/>
      <c r="M3282" s="27">
        <v>1501641</v>
      </c>
      <c r="N3282" s="5"/>
      <c r="O3282" s="5" t="str">
        <v>6663006255</v>
      </c>
      <c r="P3282" s="27">
        <v>12000000</v>
      </c>
      <c r="Q3282" s="5" t="s">
        <v>49579</v>
      </c>
      <c r="R3282" s="5"/>
      <c r="S3282" s="5" t="s">
        <v>54402</v>
      </c>
      <c r="T3282" s="28">
        <v>1883780000</v>
      </c>
      <c r="U3282" s="28">
        <v>174893000</v>
      </c>
      <c r="V3282" s="28">
        <v>1796978000</v>
      </c>
      <c r="W3282" s="28"/>
      <c r="X3282" s="28">
        <v>115694000</v>
      </c>
      <c r="Y3282" s="28">
        <v>4312007000</v>
      </c>
      <c r="Z3282" s="28">
        <v>1783914000</v>
      </c>
      <c r="AA3282" s="28">
        <v>280040000</v>
      </c>
      <c r="AB3282" s="28">
        <v>30475000</v>
      </c>
      <c r="AC3282" s="28">
        <v>1506958000</v>
      </c>
      <c r="AD3282" s="28">
        <v>1976224000</v>
      </c>
      <c r="AE3282" s="28">
        <v>6894913000</v>
      </c>
      <c r="AF3282" s="28">
        <v>-60736000</v>
      </c>
      <c r="AG3282" s="11"/>
    </row>
    <row r="3283">
      <c r="A3283" s="7" t="s">
        <v>4956</v>
      </c>
      <c r="B3283" s="5" t="s">
        <v>12928</v>
      </c>
      <c r="C3283" s="5" t="s">
        <v>20727</v>
      </c>
      <c r="D3283" s="5" t="str">
        <v>773774729280</v>
      </c>
      <c r="E3283" s="0" t="e">
        <f>+7 (495) 5000020
+7 (905) 7016414
+7 (495) 6600644
+7 (965) 2562239</f>
        <v>#NAME?</v>
      </c>
      <c r="F3283" s="5" t="s">
        <v>35199</v>
      </c>
      <c r="G3283" s="5" t="s">
        <v>35200</v>
      </c>
      <c r="H3283" s="26">
        <v>14.5</v>
      </c>
      <c r="I3283" s="5" t="s">
        <v>35201</v>
      </c>
      <c r="J3283" s="5" t="s">
        <v>364</v>
      </c>
      <c r="K3283" s="5" t="s">
        <v>355</v>
      </c>
      <c r="L3283" s="5" t="s">
        <v>35202</v>
      </c>
      <c r="M3283" s="27"/>
      <c r="N3283" s="5" t="s">
        <v>50052</v>
      </c>
      <c r="O3283" s="5" t="str">
        <v>7729605705</v>
      </c>
      <c r="P3283" s="27">
        <v>250000</v>
      </c>
      <c r="Q3283" s="5"/>
      <c r="R3283" s="5"/>
      <c r="S3283" s="5" t="s">
        <v>49991</v>
      </c>
      <c r="T3283" s="28">
        <v>10191000</v>
      </c>
      <c r="U3283" s="28"/>
      <c r="V3283" s="28">
        <v>398917000</v>
      </c>
      <c r="W3283" s="28"/>
      <c r="X3283" s="28">
        <v>579135000</v>
      </c>
      <c r="Y3283" s="28">
        <v>33363299000</v>
      </c>
      <c r="Z3283" s="28">
        <v>-2545599000</v>
      </c>
      <c r="AA3283" s="28">
        <v>18166777000</v>
      </c>
      <c r="AB3283" s="28">
        <v>4002000</v>
      </c>
      <c r="AC3283" s="28">
        <v>17664702000</v>
      </c>
      <c r="AD3283" s="28">
        <v>-2545349000</v>
      </c>
      <c r="AE3283" s="28">
        <v>4582279000</v>
      </c>
      <c r="AF3283" s="28">
        <v>-2545558000</v>
      </c>
      <c r="AG3283" s="11"/>
    </row>
    <row r="3284">
      <c r="A3284" s="7" t="s">
        <v>4957</v>
      </c>
      <c r="B3284" s="5" t="s">
        <v>12929</v>
      </c>
      <c r="C3284" s="5" t="s">
        <v>20728</v>
      </c>
      <c r="D3284" s="5" t="str">
        <v>772791594506</v>
      </c>
      <c r="E3284" s="0" t="e">
        <f>+7 (495) 6874601
+7 (484) 5830090
+7 (495) 2874601
+7 (495) 2874610
+7 (495) 2974610
+7 (903) 6255118</f>
        <v>#NAME?</v>
      </c>
      <c r="F3284" s="5" t="s">
        <v>35203</v>
      </c>
      <c r="G3284" s="5"/>
      <c r="H3284" s="26">
        <v>16</v>
      </c>
      <c r="I3284" s="5" t="s">
        <v>35204</v>
      </c>
      <c r="J3284" s="5" t="s">
        <v>26410</v>
      </c>
      <c r="K3284" s="5" t="s">
        <v>355</v>
      </c>
      <c r="L3284" s="5"/>
      <c r="M3284" s="27"/>
      <c r="N3284" s="5"/>
      <c r="O3284" s="5" t="str">
        <v>7704644692</v>
      </c>
      <c r="P3284" s="27">
        <v>6851980400</v>
      </c>
      <c r="Q3284" s="5" t="s">
        <v>49009</v>
      </c>
      <c r="R3284" s="5"/>
      <c r="S3284" s="5" t="s">
        <v>49066</v>
      </c>
      <c r="T3284" s="28">
        <v>4654480000</v>
      </c>
      <c r="U3284" s="28"/>
      <c r="V3284" s="28">
        <v>398014000</v>
      </c>
      <c r="W3284" s="28"/>
      <c r="X3284" s="28">
        <v>956835000</v>
      </c>
      <c r="Y3284" s="28">
        <v>7040662000</v>
      </c>
      <c r="Z3284" s="28">
        <v>-3495680000</v>
      </c>
      <c r="AA3284" s="28">
        <v>984725000</v>
      </c>
      <c r="AB3284" s="28">
        <v>2044106000</v>
      </c>
      <c r="AC3284" s="28">
        <v>2483287000</v>
      </c>
      <c r="AD3284" s="28">
        <v>3356300000</v>
      </c>
      <c r="AE3284" s="28">
        <v>4171089000</v>
      </c>
      <c r="AF3284" s="28">
        <v>-108742000</v>
      </c>
      <c r="AG3284" s="11"/>
    </row>
    <row r="3285">
      <c r="A3285" s="7" t="s">
        <v>4958</v>
      </c>
      <c r="B3285" s="5" t="s">
        <v>12930</v>
      </c>
      <c r="C3285" s="5" t="s">
        <v>20729</v>
      </c>
      <c r="D3285" s="5" t="str">
        <v>770474865913</v>
      </c>
      <c r="E3285" s="0" t="e">
        <f>+7 (495) 7752704
+7 (905) 5376565
+7 (495) 2870505
+7 (495) 6262781
+7 (495) 6262783
+7 (495) 6262784
+7 (495) 6262786
+7 (495) 6264083
+7 (495) 6264614
+7 (495) 7451000
+7 (495) 7752702
+7 (499) 2413248
+7 (499) 2414147
+7 (499) 2527751
+7 (903) 1177600</f>
        <v>#NAME?</v>
      </c>
      <c r="F3285" s="5" t="s">
        <v>35205</v>
      </c>
      <c r="G3285" s="5" t="s">
        <v>35206</v>
      </c>
      <c r="H3285" s="26">
        <v>25.5</v>
      </c>
      <c r="I3285" s="5"/>
      <c r="J3285" s="5" t="s">
        <v>34211</v>
      </c>
      <c r="K3285" s="5" t="s">
        <v>344</v>
      </c>
      <c r="L3285" s="5" t="s">
        <v>35207</v>
      </c>
      <c r="M3285" s="27"/>
      <c r="N3285" s="5" t="s">
        <v>54403</v>
      </c>
      <c r="O3285" s="5" t="str">
        <v>7704169180</v>
      </c>
      <c r="P3285" s="27">
        <v>1305812000</v>
      </c>
      <c r="Q3285" s="5" t="s">
        <v>49355</v>
      </c>
      <c r="R3285" s="5"/>
      <c r="S3285" s="5" t="s">
        <v>54404</v>
      </c>
      <c r="T3285" s="28">
        <v>8087407000</v>
      </c>
      <c r="U3285" s="28"/>
      <c r="V3285" s="28">
        <v>135068000</v>
      </c>
      <c r="W3285" s="28">
        <v>2895418000</v>
      </c>
      <c r="X3285" s="28">
        <v>346548000</v>
      </c>
      <c r="Y3285" s="28">
        <v>12185400000</v>
      </c>
      <c r="Z3285" s="28">
        <v>-5181968000</v>
      </c>
      <c r="AA3285" s="28"/>
      <c r="AB3285" s="28">
        <v>7182939000</v>
      </c>
      <c r="AC3285" s="28">
        <v>7914382000</v>
      </c>
      <c r="AD3285" s="28">
        <v>3871377000</v>
      </c>
      <c r="AE3285" s="28">
        <v>3707049000</v>
      </c>
      <c r="AF3285" s="28">
        <v>-32371000</v>
      </c>
      <c r="AG3285" s="11"/>
    </row>
    <row r="3286">
      <c r="A3286" s="7" t="s">
        <v>4959</v>
      </c>
      <c r="B3286" s="5" t="s">
        <v>12931</v>
      </c>
      <c r="C3286" s="5" t="s">
        <v>20730</v>
      </c>
      <c r="D3286" s="5" t="str">
        <v>772972505427</v>
      </c>
      <c r="E3286" s="0" t="e">
        <f>+7 (800) 5504748
+7 (812) 2764207
+7 (812) 3344748
+7 (812) 3366453
+7 (812) 3366464
+7 (812) 6111405
+7 (812) 6111801
+7 (812) 6301951
+7 (81362) 62154
+7 (81362) 62156
+7 (81362) 62170
+7 (81362) 74402
+7 (81362) 76297
+7 (81363) 77080
+7 (81363) 77198</f>
        <v>#NAME?</v>
      </c>
      <c r="F3286" s="5" t="s">
        <v>35208</v>
      </c>
      <c r="G3286" s="5"/>
      <c r="H3286" s="26">
        <v>18.5</v>
      </c>
      <c r="I3286" s="5"/>
      <c r="J3286" s="5" t="s">
        <v>27802</v>
      </c>
      <c r="K3286" s="5" t="s">
        <v>355</v>
      </c>
      <c r="L3286" s="5" t="s">
        <v>35209</v>
      </c>
      <c r="M3286" s="27">
        <v>80186273</v>
      </c>
      <c r="N3286" s="5" t="s">
        <v>54405</v>
      </c>
      <c r="O3286" s="5" t="str">
        <v>4703074613</v>
      </c>
      <c r="P3286" s="27">
        <v>8016000</v>
      </c>
      <c r="Q3286" s="5" t="s">
        <v>54406</v>
      </c>
      <c r="R3286" s="5"/>
      <c r="S3286" s="5" t="s">
        <v>54407</v>
      </c>
      <c r="T3286" s="28">
        <v>27461602000</v>
      </c>
      <c r="U3286" s="28">
        <v>6086000000</v>
      </c>
      <c r="V3286" s="28">
        <v>6465121000</v>
      </c>
      <c r="W3286" s="28"/>
      <c r="X3286" s="28">
        <v>56795000</v>
      </c>
      <c r="Y3286" s="28">
        <v>42397021000</v>
      </c>
      <c r="Z3286" s="28">
        <v>17803687000</v>
      </c>
      <c r="AA3286" s="28">
        <v>11262288000</v>
      </c>
      <c r="AB3286" s="28">
        <v>3349180000</v>
      </c>
      <c r="AC3286" s="28">
        <v>8795004000</v>
      </c>
      <c r="AD3286" s="28">
        <v>18622796000</v>
      </c>
      <c r="AE3286" s="28">
        <v>7182812000</v>
      </c>
      <c r="AF3286" s="28">
        <v>1957773000</v>
      </c>
      <c r="AG3286" s="11"/>
    </row>
    <row r="3287">
      <c r="A3287" s="7" t="s">
        <v>4960</v>
      </c>
      <c r="B3287" s="5" t="s">
        <v>12932</v>
      </c>
      <c r="C3287" s="5" t="s">
        <v>20731</v>
      </c>
      <c r="D3287" s="5" t="str">
        <v>246501417140</v>
      </c>
      <c r="E3287" s="0" t="e">
        <f>+7 (3432) 131761
+7 (3432) 131762
+7 (3432) 870952
+7 (3432) 870953
+7 (3432) 870954
+7 (345) 2490523
+7 (345) 2490524
+7 (345) 2585573
+7 (346) 2212180
+7 (346) 2534130
+7 (3472) 746078
+7 (3472) 921846
+7 (3512) 720279
+7 (3512) 720280
+7 (391) 2040303</f>
        <v>#NAME?</v>
      </c>
      <c r="F3287" s="5"/>
      <c r="G3287" s="5"/>
      <c r="H3287" s="26">
        <v>22.5</v>
      </c>
      <c r="I3287" s="5" t="s">
        <v>35210</v>
      </c>
      <c r="J3287" s="5" t="s">
        <v>25353</v>
      </c>
      <c r="K3287" s="5" t="s">
        <v>344</v>
      </c>
      <c r="L3287" s="5" t="s">
        <v>35211</v>
      </c>
      <c r="M3287" s="27"/>
      <c r="N3287" s="5" t="s">
        <v>54408</v>
      </c>
      <c r="O3287" s="5" t="str">
        <v>2458008580</v>
      </c>
      <c r="P3287" s="27">
        <v>10000000</v>
      </c>
      <c r="Q3287" s="5" t="s">
        <v>54409</v>
      </c>
      <c r="R3287" s="5"/>
      <c r="S3287" s="5" t="s">
        <v>52344</v>
      </c>
      <c r="T3287" s="28">
        <v>1538977000</v>
      </c>
      <c r="U3287" s="28">
        <v>1149000</v>
      </c>
      <c r="V3287" s="28">
        <v>633865000</v>
      </c>
      <c r="W3287" s="28"/>
      <c r="X3287" s="28">
        <v>350893000</v>
      </c>
      <c r="Y3287" s="28">
        <v>3808078000</v>
      </c>
      <c r="Z3287" s="28">
        <v>2371717000</v>
      </c>
      <c r="AA3287" s="28">
        <v>200012000</v>
      </c>
      <c r="AB3287" s="28">
        <v>554000</v>
      </c>
      <c r="AC3287" s="28">
        <v>1138842000</v>
      </c>
      <c r="AD3287" s="28">
        <v>2386323000</v>
      </c>
      <c r="AE3287" s="28">
        <v>9812212000</v>
      </c>
      <c r="AF3287" s="28">
        <v>729065000</v>
      </c>
      <c r="AG3287" s="11"/>
    </row>
    <row r="3288">
      <c r="A3288" s="7" t="s">
        <v>4961</v>
      </c>
      <c r="B3288" s="5" t="s">
        <v>12933</v>
      </c>
      <c r="C3288" s="5" t="s">
        <v>20732</v>
      </c>
      <c r="D3288" s="5" t="str">
        <v>352505495140</v>
      </c>
      <c r="E3288" s="0" t="e">
        <f>+7 (817) 2720254
+7 (817) 2723755
+7 (817) 2723735</f>
        <v>#NAME?</v>
      </c>
      <c r="F3288" s="5" t="s">
        <v>35212</v>
      </c>
      <c r="G3288" s="5" t="s">
        <v>35213</v>
      </c>
      <c r="H3288" s="26">
        <v>26.5</v>
      </c>
      <c r="I3288" s="5" t="s">
        <v>35214</v>
      </c>
      <c r="J3288" s="5" t="s">
        <v>26951</v>
      </c>
      <c r="K3288" s="5" t="s">
        <v>355</v>
      </c>
      <c r="L3288" s="5"/>
      <c r="M3288" s="27">
        <v>6291652</v>
      </c>
      <c r="N3288" s="5"/>
      <c r="O3288" s="5" t="str">
        <v>3525076372</v>
      </c>
      <c r="P3288" s="27">
        <v>46516000</v>
      </c>
      <c r="Q3288" s="5"/>
      <c r="R3288" s="5" t="s">
        <v>54410</v>
      </c>
      <c r="S3288" s="5" t="s">
        <v>49125</v>
      </c>
      <c r="T3288" s="28">
        <v>2963729000</v>
      </c>
      <c r="U3288" s="28"/>
      <c r="V3288" s="28">
        <v>1682996000</v>
      </c>
      <c r="W3288" s="28">
        <v>34900000</v>
      </c>
      <c r="X3288" s="28">
        <v>696000</v>
      </c>
      <c r="Y3288" s="28">
        <v>5167496000</v>
      </c>
      <c r="Z3288" s="28">
        <v>472500000</v>
      </c>
      <c r="AA3288" s="28">
        <v>616280000</v>
      </c>
      <c r="AB3288" s="28">
        <v>1660326000</v>
      </c>
      <c r="AC3288" s="28">
        <v>3114066000</v>
      </c>
      <c r="AD3288" s="28">
        <v>519016000</v>
      </c>
      <c r="AE3288" s="28">
        <v>4104754000</v>
      </c>
      <c r="AF3288" s="28">
        <v>434834000</v>
      </c>
      <c r="AG3288" s="11"/>
    </row>
    <row r="3289">
      <c r="A3289" s="7" t="s">
        <v>4962</v>
      </c>
      <c r="B3289" s="5" t="s">
        <v>12934</v>
      </c>
      <c r="C3289" s="5" t="s">
        <v>20733</v>
      </c>
      <c r="D3289" s="5" t="str">
        <v>782509472592</v>
      </c>
      <c r="E3289" s="0" t="e">
        <f>+7 (812) 2729493
+7 (812) 4210566
+7 (812) 4210852</f>
        <v>#NAME?</v>
      </c>
      <c r="F3289" s="5" t="s">
        <v>35215</v>
      </c>
      <c r="G3289" s="5" t="s">
        <v>35216</v>
      </c>
      <c r="H3289" s="26">
        <v>22</v>
      </c>
      <c r="I3289" s="5" t="s">
        <v>35217</v>
      </c>
      <c r="J3289" s="5" t="s">
        <v>25324</v>
      </c>
      <c r="K3289" s="5" t="s">
        <v>344</v>
      </c>
      <c r="L3289" s="5"/>
      <c r="M3289" s="27"/>
      <c r="N3289" s="5" t="s">
        <v>54411</v>
      </c>
      <c r="O3289" s="5" t="str">
        <v>7811106233</v>
      </c>
      <c r="P3289" s="27">
        <v>10000</v>
      </c>
      <c r="Q3289" s="5" t="s">
        <v>54412</v>
      </c>
      <c r="R3289" s="5"/>
      <c r="S3289" s="5" t="s">
        <v>50831</v>
      </c>
      <c r="T3289" s="28">
        <v>278358000</v>
      </c>
      <c r="U3289" s="28">
        <v>13000000</v>
      </c>
      <c r="V3289" s="28">
        <v>1149996000</v>
      </c>
      <c r="W3289" s="28">
        <v>706537000</v>
      </c>
      <c r="X3289" s="28">
        <v>3149196000</v>
      </c>
      <c r="Y3289" s="28">
        <v>6100123000</v>
      </c>
      <c r="Z3289" s="28">
        <v>1347342000</v>
      </c>
      <c r="AA3289" s="28">
        <v>100427000</v>
      </c>
      <c r="AB3289" s="28"/>
      <c r="AC3289" s="28">
        <v>4652344000</v>
      </c>
      <c r="AD3289" s="28">
        <v>1347352000</v>
      </c>
      <c r="AE3289" s="28">
        <v>4810633000</v>
      </c>
      <c r="AF3289" s="28">
        <v>51272000</v>
      </c>
      <c r="AG3289" s="11"/>
    </row>
    <row r="3290">
      <c r="A3290" s="7" t="s">
        <v>4963</v>
      </c>
      <c r="B3290" s="5" t="s">
        <v>12935</v>
      </c>
      <c r="C3290" s="5" t="s">
        <v>20734</v>
      </c>
      <c r="D3290" s="5"/>
      <c r="E3290" s="0" t="e">
        <f>+7 (812) 3345244
+7 (495) 5731110
+7 (812) 3345240
+7 (812) 3345247
+7 (812) 3345270
+7 (81378) 48380
+7 (917) 5456253
+7 (925) 56951
+7 (926) 9141252</f>
        <v>#NAME?</v>
      </c>
      <c r="F3290" s="5" t="s">
        <v>35218</v>
      </c>
      <c r="G3290" s="5" t="s">
        <v>35219</v>
      </c>
      <c r="H3290" s="26">
        <v>26.5</v>
      </c>
      <c r="I3290" s="5"/>
      <c r="J3290" s="5" t="s">
        <v>693</v>
      </c>
      <c r="K3290" s="5" t="s">
        <v>344</v>
      </c>
      <c r="L3290" s="5" t="s">
        <v>35220</v>
      </c>
      <c r="M3290" s="27">
        <v>1815845</v>
      </c>
      <c r="N3290" s="5"/>
      <c r="O3290" s="5" t="str">
        <v>7810103448</v>
      </c>
      <c r="P3290" s="27">
        <v>7600</v>
      </c>
      <c r="Q3290" s="5" t="s">
        <v>49009</v>
      </c>
      <c r="R3290" s="5"/>
      <c r="S3290" s="5" t="s">
        <v>49180</v>
      </c>
      <c r="T3290" s="28">
        <v>507284000</v>
      </c>
      <c r="U3290" s="28">
        <v>163954000</v>
      </c>
      <c r="V3290" s="28">
        <v>1195490000</v>
      </c>
      <c r="W3290" s="28">
        <v>794303000</v>
      </c>
      <c r="X3290" s="28">
        <v>346719000</v>
      </c>
      <c r="Y3290" s="28">
        <v>3255703000</v>
      </c>
      <c r="Z3290" s="28">
        <v>2018946000</v>
      </c>
      <c r="AA3290" s="28"/>
      <c r="AB3290" s="28"/>
      <c r="AC3290" s="28">
        <v>1011896000</v>
      </c>
      <c r="AD3290" s="28">
        <v>2018955000</v>
      </c>
      <c r="AE3290" s="28">
        <v>5865559000</v>
      </c>
      <c r="AF3290" s="28">
        <v>385001000</v>
      </c>
      <c r="AG3290" s="11"/>
    </row>
    <row r="3291">
      <c r="A3291" s="7" t="s">
        <v>4964</v>
      </c>
      <c r="B3291" s="5" t="s">
        <v>12936</v>
      </c>
      <c r="C3291" s="5" t="s">
        <v>20735</v>
      </c>
      <c r="D3291" s="5" t="str">
        <v>860308695370</v>
      </c>
      <c r="E3291" s="0" t="e">
        <f>+7 (3466) 612027
+7 (3466) 613883
+7 (3466) 614615</f>
        <v>#NAME?</v>
      </c>
      <c r="F3291" s="5" t="s">
        <v>35221</v>
      </c>
      <c r="G3291" s="5" t="s">
        <v>35222</v>
      </c>
      <c r="H3291" s="26">
        <v>23</v>
      </c>
      <c r="I3291" s="5" t="s">
        <v>35223</v>
      </c>
      <c r="J3291" s="5" t="s">
        <v>364</v>
      </c>
      <c r="K3291" s="5" t="s">
        <v>344</v>
      </c>
      <c r="L3291" s="5"/>
      <c r="M3291" s="27"/>
      <c r="N3291" s="5" t="s">
        <v>54413</v>
      </c>
      <c r="O3291" s="5" t="str">
        <v>8603094902</v>
      </c>
      <c r="P3291" s="27">
        <v>10000</v>
      </c>
      <c r="Q3291" s="5" t="s">
        <v>54414</v>
      </c>
      <c r="R3291" s="5"/>
      <c r="S3291" s="5" t="s">
        <v>50047</v>
      </c>
      <c r="T3291" s="28">
        <v>361011000</v>
      </c>
      <c r="U3291" s="28">
        <v>17843000</v>
      </c>
      <c r="V3291" s="28">
        <v>1217967000</v>
      </c>
      <c r="W3291" s="28"/>
      <c r="X3291" s="28">
        <v>243592000</v>
      </c>
      <c r="Y3291" s="28">
        <v>2135488000</v>
      </c>
      <c r="Z3291" s="28">
        <v>1389855000</v>
      </c>
      <c r="AA3291" s="28"/>
      <c r="AB3291" s="28"/>
      <c r="AC3291" s="28">
        <v>670170000</v>
      </c>
      <c r="AD3291" s="28">
        <v>1389865000</v>
      </c>
      <c r="AE3291" s="28">
        <v>3322849000</v>
      </c>
      <c r="AF3291" s="28">
        <v>11847000</v>
      </c>
      <c r="AG3291" s="11"/>
    </row>
    <row r="3292">
      <c r="A3292" s="7" t="s">
        <v>4965</v>
      </c>
      <c r="B3292" s="5" t="s">
        <v>12937</v>
      </c>
      <c r="C3292" s="5" t="s">
        <v>20736</v>
      </c>
      <c r="D3292" s="5" t="str">
        <v>780420018875</v>
      </c>
      <c r="E3292" s="0" t="e">
        <f>+7 (812) 3205642
+7 (812) 3348718
+7 (812) 3372777
+7 (812) 7777745</f>
        <v>#NAME?</v>
      </c>
      <c r="F3292" s="5" t="s">
        <v>35224</v>
      </c>
      <c r="G3292" s="5"/>
      <c r="H3292" s="26">
        <v>11.5</v>
      </c>
      <c r="I3292" s="5"/>
      <c r="J3292" s="5" t="s">
        <v>35225</v>
      </c>
      <c r="K3292" s="5" t="s">
        <v>344</v>
      </c>
      <c r="L3292" s="5" t="s">
        <v>35226</v>
      </c>
      <c r="M3292" s="27">
        <v>2372255</v>
      </c>
      <c r="N3292" s="5" t="s">
        <v>54415</v>
      </c>
      <c r="O3292" s="5" t="str">
        <v>4703124060</v>
      </c>
      <c r="P3292" s="27">
        <v>759659000</v>
      </c>
      <c r="Q3292" s="5" t="s">
        <v>54416</v>
      </c>
      <c r="R3292" s="5" t="s">
        <v>54417</v>
      </c>
      <c r="S3292" s="5" t="s">
        <v>54418</v>
      </c>
      <c r="T3292" s="28">
        <v>3312019000</v>
      </c>
      <c r="U3292" s="28">
        <v>127789000</v>
      </c>
      <c r="V3292" s="28">
        <v>1677796000</v>
      </c>
      <c r="W3292" s="28">
        <v>122214000</v>
      </c>
      <c r="X3292" s="28">
        <v>421723000</v>
      </c>
      <c r="Y3292" s="28">
        <v>8177954000</v>
      </c>
      <c r="Z3292" s="28">
        <v>3819471000</v>
      </c>
      <c r="AA3292" s="28">
        <v>184631000</v>
      </c>
      <c r="AB3292" s="28">
        <v>499477000</v>
      </c>
      <c r="AC3292" s="28">
        <v>2781033000</v>
      </c>
      <c r="AD3292" s="28">
        <v>4969778000</v>
      </c>
      <c r="AE3292" s="28">
        <v>16587260000</v>
      </c>
      <c r="AF3292" s="28">
        <v>1028822000</v>
      </c>
      <c r="AG3292" s="11"/>
    </row>
    <row r="3293">
      <c r="A3293" s="7" t="s">
        <v>4966</v>
      </c>
      <c r="B3293" s="5" t="s">
        <v>12938</v>
      </c>
      <c r="C3293" s="5" t="s">
        <v>20737</v>
      </c>
      <c r="D3293" s="5" t="str">
        <v>781135333510</v>
      </c>
      <c r="E3293" s="0" t="e">
        <f>+7 (812) 7777745</f>
        <v>#NAME?</v>
      </c>
      <c r="F3293" s="5" t="s">
        <v>35227</v>
      </c>
      <c r="G3293" s="5"/>
      <c r="H3293" s="26">
        <v>7</v>
      </c>
      <c r="I3293" s="5" t="s">
        <v>35228</v>
      </c>
      <c r="J3293" s="5" t="s">
        <v>693</v>
      </c>
      <c r="K3293" s="5" t="s">
        <v>344</v>
      </c>
      <c r="L3293" s="5" t="s">
        <v>35229</v>
      </c>
      <c r="M3293" s="27"/>
      <c r="N3293" s="5"/>
      <c r="O3293" s="5" t="str">
        <v>7806227507</v>
      </c>
      <c r="P3293" s="27">
        <v>594810000</v>
      </c>
      <c r="Q3293" s="5" t="s">
        <v>49009</v>
      </c>
      <c r="R3293" s="5"/>
      <c r="S3293" s="5" t="s">
        <v>49066</v>
      </c>
      <c r="T3293" s="28">
        <v>267685000</v>
      </c>
      <c r="U3293" s="28"/>
      <c r="V3293" s="28">
        <v>707677000</v>
      </c>
      <c r="W3293" s="28"/>
      <c r="X3293" s="28">
        <v>49855000</v>
      </c>
      <c r="Y3293" s="28">
        <v>1140944000</v>
      </c>
      <c r="Z3293" s="28">
        <v>120529000</v>
      </c>
      <c r="AA3293" s="28"/>
      <c r="AB3293" s="28"/>
      <c r="AC3293" s="28">
        <v>326954000</v>
      </c>
      <c r="AD3293" s="28">
        <v>787815000</v>
      </c>
      <c r="AE3293" s="28">
        <v>3675630000</v>
      </c>
      <c r="AF3293" s="28">
        <v>71671000</v>
      </c>
      <c r="AG3293" s="11"/>
    </row>
    <row r="3294">
      <c r="A3294" s="7" t="s">
        <v>4967</v>
      </c>
      <c r="B3294" s="5" t="s">
        <v>12939</v>
      </c>
      <c r="C3294" s="5" t="s">
        <v>20738</v>
      </c>
      <c r="D3294" s="5" t="str">
        <v>470601189042</v>
      </c>
      <c r="E3294" s="0" t="e">
        <f>+7 (495) 2282288
+7 (800) 3250101
+7 (812) 3856150
+7 (812) 5704209</f>
        <v>#NAME?</v>
      </c>
      <c r="F3294" s="5" t="s">
        <v>35230</v>
      </c>
      <c r="G3294" s="5" t="s">
        <v>35231</v>
      </c>
      <c r="H3294" s="26">
        <v>21.5</v>
      </c>
      <c r="I3294" s="5" t="s">
        <v>35232</v>
      </c>
      <c r="J3294" s="5" t="s">
        <v>27182</v>
      </c>
      <c r="K3294" s="5" t="s">
        <v>344</v>
      </c>
      <c r="L3294" s="5" t="s">
        <v>35233</v>
      </c>
      <c r="M3294" s="27">
        <v>3554685</v>
      </c>
      <c r="N3294" s="5" t="s">
        <v>54419</v>
      </c>
      <c r="O3294" s="5" t="str">
        <v>7826090547</v>
      </c>
      <c r="P3294" s="27">
        <v>6770551399</v>
      </c>
      <c r="Q3294" s="5" t="s">
        <v>54420</v>
      </c>
      <c r="R3294" s="5" t="s">
        <v>54421</v>
      </c>
      <c r="S3294" s="5" t="s">
        <v>49857</v>
      </c>
      <c r="T3294" s="28">
        <v>655724000</v>
      </c>
      <c r="U3294" s="28">
        <v>8310000</v>
      </c>
      <c r="V3294" s="28">
        <v>72232242000</v>
      </c>
      <c r="W3294" s="28">
        <v>833711000</v>
      </c>
      <c r="X3294" s="28">
        <v>13088189000</v>
      </c>
      <c r="Y3294" s="28">
        <v>212990372000</v>
      </c>
      <c r="Z3294" s="28">
        <v>44911462000</v>
      </c>
      <c r="AA3294" s="28">
        <v>16020011000</v>
      </c>
      <c r="AB3294" s="28">
        <v>15196065000</v>
      </c>
      <c r="AC3294" s="28">
        <v>90508607000</v>
      </c>
      <c r="AD3294" s="28">
        <v>51984013000</v>
      </c>
      <c r="AE3294" s="28">
        <v>40486217000</v>
      </c>
      <c r="AF3294" s="28">
        <v>13035453000</v>
      </c>
      <c r="AG3294" s="11"/>
    </row>
    <row r="3295">
      <c r="A3295" s="7" t="s">
        <v>4968</v>
      </c>
      <c r="B3295" s="5" t="s">
        <v>12940</v>
      </c>
      <c r="C3295" s="5" t="s">
        <v>20739</v>
      </c>
      <c r="D3295" s="5" t="str">
        <v>510106836243</v>
      </c>
      <c r="E3295" s="0" t="e">
        <f>+7 (812) 3348779
+7 (812) 3348755
+7 (812) 3348772
+7 (812) 3348773
+7 (812) 3350923</f>
        <v>#NAME?</v>
      </c>
      <c r="F3295" s="5" t="s">
        <v>35234</v>
      </c>
      <c r="G3295" s="5"/>
      <c r="H3295" s="26">
        <v>8.5</v>
      </c>
      <c r="I3295" s="5" t="s">
        <v>35235</v>
      </c>
      <c r="J3295" s="5" t="s">
        <v>35236</v>
      </c>
      <c r="K3295" s="5" t="s">
        <v>344</v>
      </c>
      <c r="L3295" s="5" t="s">
        <v>35237</v>
      </c>
      <c r="M3295" s="27"/>
      <c r="N3295" s="5"/>
      <c r="O3295" s="5" t="str">
        <v>4706035757</v>
      </c>
      <c r="P3295" s="27">
        <v>3901212416</v>
      </c>
      <c r="Q3295" s="5" t="s">
        <v>49009</v>
      </c>
      <c r="R3295" s="5" t="s">
        <v>54422</v>
      </c>
      <c r="S3295" s="5" t="s">
        <v>49371</v>
      </c>
      <c r="T3295" s="28">
        <v>8884129000</v>
      </c>
      <c r="U3295" s="28"/>
      <c r="V3295" s="28">
        <v>203183000</v>
      </c>
      <c r="W3295" s="28"/>
      <c r="X3295" s="28">
        <v>277140000</v>
      </c>
      <c r="Y3295" s="28">
        <v>12278177000</v>
      </c>
      <c r="Z3295" s="28">
        <v>1365625000</v>
      </c>
      <c r="AA3295" s="28">
        <v>2765240000</v>
      </c>
      <c r="AB3295" s="28">
        <v>2641314000</v>
      </c>
      <c r="AC3295" s="28">
        <v>3640594000</v>
      </c>
      <c r="AD3295" s="28">
        <v>5305829000</v>
      </c>
      <c r="AE3295" s="28">
        <v>10129907000</v>
      </c>
      <c r="AF3295" s="28">
        <v>2343163000</v>
      </c>
      <c r="AG3295" s="11"/>
    </row>
    <row r="3296">
      <c r="A3296" s="7" t="s">
        <v>4969</v>
      </c>
      <c r="B3296" s="5" t="s">
        <v>12941</v>
      </c>
      <c r="C3296" s="5" t="s">
        <v>20740</v>
      </c>
      <c r="D3296" s="5" t="str">
        <v>780525431021</v>
      </c>
      <c r="E3296" s="0" t="e">
        <f>+7 (812) 5985283
+7 (812) 3120772
+7 (812) 3342303</f>
        <v>#NAME?</v>
      </c>
      <c r="F3296" s="5" t="s">
        <v>35238</v>
      </c>
      <c r="G3296" s="5" t="s">
        <v>35239</v>
      </c>
      <c r="H3296" s="26">
        <v>30.5</v>
      </c>
      <c r="I3296" s="5" t="s">
        <v>35240</v>
      </c>
      <c r="J3296" s="5" t="s">
        <v>34655</v>
      </c>
      <c r="K3296" s="5" t="s">
        <v>344</v>
      </c>
      <c r="L3296" s="5"/>
      <c r="M3296" s="27"/>
      <c r="N3296" s="5" t="s">
        <v>54423</v>
      </c>
      <c r="O3296" s="5" t="str">
        <v>7802862265</v>
      </c>
      <c r="P3296" s="27">
        <v>510200000</v>
      </c>
      <c r="Q3296" s="5" t="s">
        <v>54424</v>
      </c>
      <c r="R3296" s="5"/>
      <c r="S3296" s="5" t="s">
        <v>54425</v>
      </c>
      <c r="T3296" s="28">
        <v>1436710000</v>
      </c>
      <c r="U3296" s="28"/>
      <c r="V3296" s="28">
        <v>5749494000</v>
      </c>
      <c r="W3296" s="28"/>
      <c r="X3296" s="28">
        <v>33218000</v>
      </c>
      <c r="Y3296" s="28">
        <v>8386656000</v>
      </c>
      <c r="Z3296" s="28">
        <v>2253769000</v>
      </c>
      <c r="AA3296" s="28"/>
      <c r="AB3296" s="28"/>
      <c r="AC3296" s="28">
        <v>5215325000</v>
      </c>
      <c r="AD3296" s="28">
        <v>2992024000</v>
      </c>
      <c r="AE3296" s="28">
        <v>23059042000</v>
      </c>
      <c r="AF3296" s="28">
        <v>526935000</v>
      </c>
      <c r="AG3296" s="11"/>
    </row>
    <row r="3297">
      <c r="A3297" s="7" t="s">
        <v>4970</v>
      </c>
      <c r="B3297" s="5" t="s">
        <v>12942</v>
      </c>
      <c r="C3297" s="5" t="s">
        <v>20741</v>
      </c>
      <c r="D3297" s="5" t="str">
        <v>665810541114</v>
      </c>
      <c r="E3297" s="0" t="e">
        <f>+7 (912) 2871062
+7 (343) 2159932
+7 (343) 2159933
+7 (343) 2159934
+7 (343) 2159948
+7 (343) 2159954
+7 (343) 2159970
+7 (3433) 470400</f>
        <v>#NAME?</v>
      </c>
      <c r="F3297" s="5" t="s">
        <v>35241</v>
      </c>
      <c r="G3297" s="5"/>
      <c r="H3297" s="26">
        <v>30</v>
      </c>
      <c r="I3297" s="5" t="s">
        <v>35242</v>
      </c>
      <c r="J3297" s="5" t="s">
        <v>991</v>
      </c>
      <c r="K3297" s="5" t="s">
        <v>344</v>
      </c>
      <c r="L3297" s="5" t="s">
        <v>35243</v>
      </c>
      <c r="M3297" s="27">
        <v>4665659</v>
      </c>
      <c r="N3297" s="5" t="s">
        <v>54426</v>
      </c>
      <c r="O3297" s="5" t="str">
        <v>6670345033</v>
      </c>
      <c r="P3297" s="27">
        <v>273055260</v>
      </c>
      <c r="Q3297" s="5" t="s">
        <v>54428</v>
      </c>
      <c r="R3297" s="5" t="s">
        <v>54429</v>
      </c>
      <c r="S3297" s="5" t="s">
        <v>53693</v>
      </c>
      <c r="T3297" s="28">
        <v>693557000</v>
      </c>
      <c r="U3297" s="28"/>
      <c r="V3297" s="28">
        <v>2160545000</v>
      </c>
      <c r="W3297" s="28"/>
      <c r="X3297" s="28">
        <v>241282000</v>
      </c>
      <c r="Y3297" s="28">
        <v>3874456000</v>
      </c>
      <c r="Z3297" s="28">
        <v>551452000</v>
      </c>
      <c r="AA3297" s="28"/>
      <c r="AB3297" s="28">
        <v>67593000</v>
      </c>
      <c r="AC3297" s="28">
        <v>2776215000</v>
      </c>
      <c r="AD3297" s="28">
        <v>834801000</v>
      </c>
      <c r="AE3297" s="28">
        <v>9727653000</v>
      </c>
      <c r="AF3297" s="28">
        <v>-56000000</v>
      </c>
      <c r="AG3297" s="11"/>
    </row>
    <row r="3298">
      <c r="A3298" s="7" t="s">
        <v>4971</v>
      </c>
      <c r="B3298" s="5" t="s">
        <v>12943</v>
      </c>
      <c r="C3298" s="5" t="s">
        <v>20742</v>
      </c>
      <c r="D3298" s="5" t="str">
        <v>780608443687</v>
      </c>
      <c r="E3298" s="0" t="e">
        <f>+7 (921) 9969598</f>
        <v>#NAME?</v>
      </c>
      <c r="F3298" s="5" t="s">
        <v>35244</v>
      </c>
      <c r="G3298" s="5"/>
      <c r="H3298" s="26">
        <v>10.5</v>
      </c>
      <c r="I3298" s="5" t="s">
        <v>35245</v>
      </c>
      <c r="J3298" s="5" t="s">
        <v>364</v>
      </c>
      <c r="K3298" s="5" t="s">
        <v>355</v>
      </c>
      <c r="L3298" s="5"/>
      <c r="M3298" s="27">
        <v>155703</v>
      </c>
      <c r="N3298" s="5" t="s">
        <v>54430</v>
      </c>
      <c r="O3298" s="5" t="str">
        <v>7810870661</v>
      </c>
      <c r="P3298" s="27">
        <v>100000</v>
      </c>
      <c r="Q3298" s="5" t="s">
        <v>54431</v>
      </c>
      <c r="R3298" s="5"/>
      <c r="S3298" s="5" t="s">
        <v>49857</v>
      </c>
      <c r="T3298" s="28">
        <v>2506000</v>
      </c>
      <c r="U3298" s="28">
        <v>242672000</v>
      </c>
      <c r="V3298" s="28">
        <v>1177662000</v>
      </c>
      <c r="W3298" s="28">
        <v>54050000</v>
      </c>
      <c r="X3298" s="28">
        <v>814000</v>
      </c>
      <c r="Y3298" s="28">
        <v>1509810000</v>
      </c>
      <c r="Z3298" s="28">
        <v>27464000</v>
      </c>
      <c r="AA3298" s="28">
        <v>294140000</v>
      </c>
      <c r="AB3298" s="28">
        <v>29048000</v>
      </c>
      <c r="AC3298" s="28">
        <v>1185945000</v>
      </c>
      <c r="AD3298" s="28">
        <v>27564000</v>
      </c>
      <c r="AE3298" s="28">
        <v>6751007000</v>
      </c>
      <c r="AF3298" s="28">
        <v>383000</v>
      </c>
      <c r="AG3298" s="11"/>
    </row>
    <row r="3299">
      <c r="A3299" s="7" t="s">
        <v>4972</v>
      </c>
      <c r="B3299" s="5" t="s">
        <v>12944</v>
      </c>
      <c r="C3299" s="5" t="s">
        <v>20743</v>
      </c>
      <c r="D3299" s="5" t="str">
        <v>222212558783</v>
      </c>
      <c r="E3299" s="0" t="e">
        <f>+7 (385) 2506284
+7 (385) 2506528
+7 (385) 2507288
+7 (905) 837166
+7 (909) 5057390
+7 (913) 2223358
+7 (913) 2403665
+7 (913) 2413535
+7 (913) 2461335
+7 (913) 2654250
+7 (913) 2727463
+7 (913) 2769977
+7 (923) 1629893
+7 (923) 6555450
+7 (923) 6594708</f>
        <v>#NAME?</v>
      </c>
      <c r="F3299" s="5" t="s">
        <v>35246</v>
      </c>
      <c r="G3299" s="5" t="s">
        <v>35247</v>
      </c>
      <c r="H3299" s="26">
        <v>10.5</v>
      </c>
      <c r="I3299" s="5" t="s">
        <v>35248</v>
      </c>
      <c r="J3299" s="5" t="s">
        <v>26325</v>
      </c>
      <c r="K3299" s="5" t="s">
        <v>355</v>
      </c>
      <c r="L3299" s="5" t="s">
        <v>31165</v>
      </c>
      <c r="M3299" s="27">
        <v>174363257</v>
      </c>
      <c r="N3299" s="5"/>
      <c r="O3299" s="5" t="str">
        <v>5406711903</v>
      </c>
      <c r="P3299" s="27">
        <v>20000000</v>
      </c>
      <c r="Q3299" s="5" t="s">
        <v>49057</v>
      </c>
      <c r="R3299" s="5"/>
      <c r="S3299" s="5" t="s">
        <v>54432</v>
      </c>
      <c r="T3299" s="28">
        <v>275227000</v>
      </c>
      <c r="U3299" s="28">
        <v>152005000</v>
      </c>
      <c r="V3299" s="28">
        <v>1263355000</v>
      </c>
      <c r="W3299" s="28">
        <v>59200000</v>
      </c>
      <c r="X3299" s="28">
        <v>139110000</v>
      </c>
      <c r="Y3299" s="28">
        <v>2146118000</v>
      </c>
      <c r="Z3299" s="28">
        <v>463002000</v>
      </c>
      <c r="AA3299" s="28"/>
      <c r="AB3299" s="28">
        <v>112772000</v>
      </c>
      <c r="AC3299" s="28">
        <v>1477392000</v>
      </c>
      <c r="AD3299" s="28">
        <v>483002000</v>
      </c>
      <c r="AE3299" s="28">
        <v>3619670000</v>
      </c>
      <c r="AF3299" s="28">
        <v>173580000</v>
      </c>
      <c r="AG3299" s="11"/>
    </row>
    <row r="3300">
      <c r="A3300" s="7" t="s">
        <v>4973</v>
      </c>
      <c r="B3300" s="5" t="s">
        <v>12945</v>
      </c>
      <c r="C3300" s="5" t="s">
        <v>20744</v>
      </c>
      <c r="D3300" s="5" t="str">
        <v>575208791743</v>
      </c>
      <c r="E3300" s="0" t="e">
        <f>+7 (474) 2352214
+7 (474) 2352786
+7 (474) 2352792
+7 (474) 2423381
+7 (474) 2423483
+7 (474) 2557777
+7 (800) 5007277</f>
        <v>#NAME?</v>
      </c>
      <c r="F3300" s="5" t="s">
        <v>35249</v>
      </c>
      <c r="G3300" s="5" t="s">
        <v>35250</v>
      </c>
      <c r="H3300" s="26">
        <v>12</v>
      </c>
      <c r="I3300" s="5" t="s">
        <v>35251</v>
      </c>
      <c r="J3300" s="5" t="s">
        <v>35252</v>
      </c>
      <c r="K3300" s="5" t="s">
        <v>344</v>
      </c>
      <c r="L3300" s="5"/>
      <c r="M3300" s="27">
        <v>734734</v>
      </c>
      <c r="N3300" s="5" t="s">
        <v>54433</v>
      </c>
      <c r="O3300" s="5" t="str">
        <v>4825083742</v>
      </c>
      <c r="P3300" s="27">
        <v>60000</v>
      </c>
      <c r="Q3300" s="5" t="s">
        <v>49009</v>
      </c>
      <c r="R3300" s="5" t="s">
        <v>54435</v>
      </c>
      <c r="S3300" s="5" t="s">
        <v>49998</v>
      </c>
      <c r="T3300" s="28">
        <v>1470214000</v>
      </c>
      <c r="U3300" s="28">
        <v>4492000</v>
      </c>
      <c r="V3300" s="28">
        <v>400997000</v>
      </c>
      <c r="W3300" s="28">
        <v>1826000</v>
      </c>
      <c r="X3300" s="28">
        <v>429893000</v>
      </c>
      <c r="Y3300" s="28">
        <v>3316249000</v>
      </c>
      <c r="Z3300" s="28">
        <v>1249252000</v>
      </c>
      <c r="AA3300" s="28"/>
      <c r="AB3300" s="28">
        <v>166123000</v>
      </c>
      <c r="AC3300" s="28">
        <v>1337151000</v>
      </c>
      <c r="AD3300" s="28">
        <v>1249312000</v>
      </c>
      <c r="AE3300" s="28">
        <v>5795742000</v>
      </c>
      <c r="AF3300" s="28">
        <v>747964000</v>
      </c>
      <c r="AG3300" s="11"/>
    </row>
    <row r="3301">
      <c r="A3301" s="7" t="s">
        <v>4974</v>
      </c>
      <c r="B3301" s="5" t="s">
        <v>12946</v>
      </c>
      <c r="C3301" s="5" t="s">
        <v>20745</v>
      </c>
      <c r="D3301" s="5" t="str">
        <v>471909935601</v>
      </c>
      <c r="E3301" s="0" t="e">
        <f>+7 (812) 6760000</f>
        <v>#NAME?</v>
      </c>
      <c r="F3301" s="5" t="s">
        <v>35253</v>
      </c>
      <c r="G3301" s="5"/>
      <c r="H3301" s="26">
        <v>6.5</v>
      </c>
      <c r="I3301" s="5" t="s">
        <v>35254</v>
      </c>
      <c r="J3301" s="5" t="s">
        <v>364</v>
      </c>
      <c r="K3301" s="5" t="s">
        <v>344</v>
      </c>
      <c r="L3301" s="5" t="s">
        <v>35255</v>
      </c>
      <c r="M3301" s="27">
        <v>8328087</v>
      </c>
      <c r="N3301" s="5"/>
      <c r="O3301" s="5" t="str">
        <v>4703146709</v>
      </c>
      <c r="P3301" s="27">
        <v>10000</v>
      </c>
      <c r="Q3301" s="5" t="s">
        <v>49528</v>
      </c>
      <c r="R3301" s="5"/>
      <c r="S3301" s="5" t="s">
        <v>54436</v>
      </c>
      <c r="T3301" s="28">
        <v>145410000</v>
      </c>
      <c r="U3301" s="28"/>
      <c r="V3301" s="28">
        <v>2238049000</v>
      </c>
      <c r="W3301" s="28"/>
      <c r="X3301" s="28">
        <v>5473000</v>
      </c>
      <c r="Y3301" s="28">
        <v>4071225000</v>
      </c>
      <c r="Z3301" s="28">
        <v>1256548000</v>
      </c>
      <c r="AA3301" s="28">
        <v>35042000</v>
      </c>
      <c r="AB3301" s="28">
        <v>477595000</v>
      </c>
      <c r="AC3301" s="28">
        <v>2779521000</v>
      </c>
      <c r="AD3301" s="28">
        <v>1256558000</v>
      </c>
      <c r="AE3301" s="28">
        <v>12002039000</v>
      </c>
      <c r="AF3301" s="28">
        <v>440587000</v>
      </c>
      <c r="AG3301" s="11"/>
    </row>
    <row r="3302">
      <c r="A3302" s="7" t="s">
        <v>4975</v>
      </c>
      <c r="B3302" s="5" t="s">
        <v>12947</v>
      </c>
      <c r="C3302" s="5" t="s">
        <v>20746</v>
      </c>
      <c r="D3302" s="5" t="str">
        <v>772341048137</v>
      </c>
      <c r="E3302" s="0" t="e">
        <f>+7 (965) 4277434
+7 (495) 1203773
+7 (495) 4434405
+7 (495) 9169142
+7 (495) 9169216
+7 (495) 9169315
+7 (495) 9169354
+7 (495) 9944477
+7 (495) 9944497</f>
        <v>#NAME?</v>
      </c>
      <c r="F3302" s="5" t="s">
        <v>35256</v>
      </c>
      <c r="G3302" s="5" t="s">
        <v>35257</v>
      </c>
      <c r="H3302" s="26">
        <v>25</v>
      </c>
      <c r="I3302" s="5" t="s">
        <v>35258</v>
      </c>
      <c r="J3302" s="5" t="s">
        <v>25332</v>
      </c>
      <c r="K3302" s="5" t="s">
        <v>344</v>
      </c>
      <c r="L3302" s="5"/>
      <c r="M3302" s="27"/>
      <c r="N3302" s="5" t="s">
        <v>54437</v>
      </c>
      <c r="O3302" s="5" t="str">
        <v>7730107662</v>
      </c>
      <c r="P3302" s="27">
        <v>10008400</v>
      </c>
      <c r="Q3302" s="5" t="s">
        <v>54438</v>
      </c>
      <c r="R3302" s="5"/>
      <c r="S3302" s="5" t="s">
        <v>53146</v>
      </c>
      <c r="T3302" s="28">
        <v>566974000</v>
      </c>
      <c r="U3302" s="28">
        <v>3015728000</v>
      </c>
      <c r="V3302" s="28">
        <v>15821329000</v>
      </c>
      <c r="W3302" s="28">
        <v>1299524000</v>
      </c>
      <c r="X3302" s="28">
        <v>197132000</v>
      </c>
      <c r="Y3302" s="28">
        <v>25967600000</v>
      </c>
      <c r="Z3302" s="28">
        <v>11592419000</v>
      </c>
      <c r="AA3302" s="28"/>
      <c r="AB3302" s="28">
        <v>7318559000</v>
      </c>
      <c r="AC3302" s="28">
        <v>13689791000</v>
      </c>
      <c r="AD3302" s="28">
        <v>11602427000</v>
      </c>
      <c r="AE3302" s="28">
        <v>39184413000</v>
      </c>
      <c r="AF3302" s="28">
        <v>220610000</v>
      </c>
      <c r="AG3302" s="11"/>
    </row>
    <row r="3303">
      <c r="A3303" s="7" t="s">
        <v>4976</v>
      </c>
      <c r="B3303" s="5" t="s">
        <v>12948</v>
      </c>
      <c r="C3303" s="5" t="s">
        <v>20746</v>
      </c>
      <c r="D3303" s="5" t="str">
        <v>772341048137</v>
      </c>
      <c r="E3303" s="0" t="e">
        <f>+7 (495) 9169062</f>
        <v>#NAME?</v>
      </c>
      <c r="F3303" s="5" t="s">
        <v>35259</v>
      </c>
      <c r="G3303" s="5" t="s">
        <v>35257</v>
      </c>
      <c r="H3303" s="26">
        <v>21</v>
      </c>
      <c r="I3303" s="5" t="s">
        <v>35260</v>
      </c>
      <c r="J3303" s="5" t="s">
        <v>25332</v>
      </c>
      <c r="K3303" s="5" t="s">
        <v>344</v>
      </c>
      <c r="L3303" s="5" t="s">
        <v>35261</v>
      </c>
      <c r="M3303" s="27">
        <v>14975786</v>
      </c>
      <c r="N3303" s="5"/>
      <c r="O3303" s="5" t="str">
        <v>7705444495</v>
      </c>
      <c r="P3303" s="27">
        <v>10000000</v>
      </c>
      <c r="Q3303" s="5" t="s">
        <v>49021</v>
      </c>
      <c r="R3303" s="5"/>
      <c r="S3303" s="5" t="s">
        <v>54439</v>
      </c>
      <c r="T3303" s="28">
        <v>25388000</v>
      </c>
      <c r="U3303" s="28"/>
      <c r="V3303" s="28">
        <v>9458200000</v>
      </c>
      <c r="W3303" s="28">
        <v>22618000</v>
      </c>
      <c r="X3303" s="28">
        <v>15225000</v>
      </c>
      <c r="Y3303" s="28">
        <v>12889208000</v>
      </c>
      <c r="Z3303" s="28">
        <v>2453167000</v>
      </c>
      <c r="AA3303" s="28"/>
      <c r="AB3303" s="28">
        <v>2678192000</v>
      </c>
      <c r="AC3303" s="28">
        <v>10380554000</v>
      </c>
      <c r="AD3303" s="28">
        <v>2463230000</v>
      </c>
      <c r="AE3303" s="28">
        <v>15749964000</v>
      </c>
      <c r="AF3303" s="28">
        <v>888482000</v>
      </c>
      <c r="AG3303" s="11"/>
    </row>
    <row r="3304">
      <c r="A3304" s="7" t="s">
        <v>4977</v>
      </c>
      <c r="B3304" s="5" t="s">
        <v>12949</v>
      </c>
      <c r="C3304" s="5" t="s">
        <v>20747</v>
      </c>
      <c r="D3304" s="5" t="str">
        <v>772035740860</v>
      </c>
      <c r="E3304" s="0" t="e">
        <f>+7 (495) 6371665
+7 (495) 6370036
+7 (495) 6370072
+7 (495) 6370127
+7 (495) 6370135
+7 (495) 6370259
+7 (495) 6370262
+7 (495) 6370274
+7 (495) 6370287
+7 (495) 6370317
+7 (495) 6370458
+7 (495) 6370500
+7 (495) 6370513
+7 (495) 6370824
+7 (495) 6370989</f>
        <v>#NAME?</v>
      </c>
      <c r="F3304" s="5" t="s">
        <v>35262</v>
      </c>
      <c r="G3304" s="5" t="s">
        <v>35263</v>
      </c>
      <c r="H3304" s="26">
        <v>30.5</v>
      </c>
      <c r="I3304" s="5"/>
      <c r="J3304" s="5" t="s">
        <v>35264</v>
      </c>
      <c r="K3304" s="5" t="s">
        <v>355</v>
      </c>
      <c r="L3304" s="5"/>
      <c r="M3304" s="27"/>
      <c r="N3304" s="5" t="s">
        <v>54440</v>
      </c>
      <c r="O3304" s="5" t="str">
        <v>7704077210</v>
      </c>
      <c r="P3304" s="27">
        <v>30023280000</v>
      </c>
      <c r="Q3304" s="5" t="s">
        <v>54441</v>
      </c>
      <c r="R3304" s="5"/>
      <c r="S3304" s="5" t="s">
        <v>50191</v>
      </c>
      <c r="T3304" s="28">
        <v>32921799000</v>
      </c>
      <c r="U3304" s="28">
        <v>393424000</v>
      </c>
      <c r="V3304" s="28">
        <v>263083000</v>
      </c>
      <c r="W3304" s="28">
        <v>200000000</v>
      </c>
      <c r="X3304" s="28">
        <v>4695264000</v>
      </c>
      <c r="Y3304" s="28">
        <v>44692712000</v>
      </c>
      <c r="Z3304" s="28">
        <v>933506000</v>
      </c>
      <c r="AA3304" s="28"/>
      <c r="AB3304" s="28"/>
      <c r="AC3304" s="28">
        <v>6543615000</v>
      </c>
      <c r="AD3304" s="28">
        <v>38988566000</v>
      </c>
      <c r="AE3304" s="28">
        <v>3021016000</v>
      </c>
      <c r="AF3304" s="28">
        <v>-1493701000</v>
      </c>
      <c r="AG3304" s="11"/>
    </row>
    <row r="3305">
      <c r="A3305" s="7" t="s">
        <v>4978</v>
      </c>
      <c r="B3305" s="5" t="s">
        <v>12950</v>
      </c>
      <c r="C3305" s="5" t="s">
        <v>20748</v>
      </c>
      <c r="D3305" s="5" t="str">
        <v>110117978129</v>
      </c>
      <c r="E3305" s="0" t="e">
        <f>+7 (82133) 28624</f>
        <v>#NAME?</v>
      </c>
      <c r="F3305" s="5" t="s">
        <v>35265</v>
      </c>
      <c r="G3305" s="5"/>
      <c r="H3305" s="26">
        <v>25</v>
      </c>
      <c r="I3305" s="5" t="s">
        <v>35266</v>
      </c>
      <c r="J3305" s="5" t="s">
        <v>27291</v>
      </c>
      <c r="K3305" s="5" t="s">
        <v>355</v>
      </c>
      <c r="L3305" s="5" t="s">
        <v>35267</v>
      </c>
      <c r="M3305" s="27">
        <v>17427665</v>
      </c>
      <c r="N3305" s="5" t="s">
        <v>53604</v>
      </c>
      <c r="O3305" s="5" t="str">
        <v>1112003481</v>
      </c>
      <c r="P3305" s="27">
        <v>11410000</v>
      </c>
      <c r="Q3305" s="5" t="s">
        <v>54443</v>
      </c>
      <c r="R3305" s="5" t="s">
        <v>49088</v>
      </c>
      <c r="S3305" s="5" t="s">
        <v>49162</v>
      </c>
      <c r="T3305" s="28">
        <v>4697381000</v>
      </c>
      <c r="U3305" s="28">
        <v>1156040000</v>
      </c>
      <c r="V3305" s="28">
        <v>2075103000</v>
      </c>
      <c r="W3305" s="28">
        <v>310370000</v>
      </c>
      <c r="X3305" s="28">
        <v>941279000</v>
      </c>
      <c r="Y3305" s="28">
        <v>14656171000</v>
      </c>
      <c r="Z3305" s="28">
        <v>6209512000</v>
      </c>
      <c r="AA3305" s="28">
        <v>1231454000</v>
      </c>
      <c r="AB3305" s="28">
        <v>4223153000</v>
      </c>
      <c r="AC3305" s="28">
        <v>6615779000</v>
      </c>
      <c r="AD3305" s="28">
        <v>6220922000</v>
      </c>
      <c r="AE3305" s="28">
        <v>6045911000</v>
      </c>
      <c r="AF3305" s="28">
        <v>89466000</v>
      </c>
      <c r="AG3305" s="11"/>
    </row>
    <row r="3306">
      <c r="A3306" s="7" t="s">
        <v>4979</v>
      </c>
      <c r="B3306" s="5" t="s">
        <v>12951</v>
      </c>
      <c r="C3306" s="5" t="s">
        <v>20749</v>
      </c>
      <c r="D3306" s="5" t="str">
        <v>770970346320</v>
      </c>
      <c r="E3306" s="0" t="e">
        <f>+7 (495) 7213532
+7 (495) 7213533
+7 (495) 7219533
+7 (495) 7830823
+7 (812) 3633293</f>
        <v>#NAME?</v>
      </c>
      <c r="F3306" s="5"/>
      <c r="G3306" s="5" t="s">
        <v>35268</v>
      </c>
      <c r="H3306" s="26">
        <v>22</v>
      </c>
      <c r="I3306" s="5" t="s">
        <v>35269</v>
      </c>
      <c r="J3306" s="5" t="s">
        <v>27094</v>
      </c>
      <c r="K3306" s="5" t="s">
        <v>355</v>
      </c>
      <c r="L3306" s="5" t="s">
        <v>35270</v>
      </c>
      <c r="M3306" s="27"/>
      <c r="N3306" s="5"/>
      <c r="O3306" s="5" t="str">
        <v>7710378784</v>
      </c>
      <c r="P3306" s="27">
        <v>5115000</v>
      </c>
      <c r="Q3306" s="5" t="s">
        <v>49009</v>
      </c>
      <c r="R3306" s="5"/>
      <c r="S3306" s="5" t="s">
        <v>49010</v>
      </c>
      <c r="T3306" s="28">
        <v>1024154000</v>
      </c>
      <c r="U3306" s="28"/>
      <c r="V3306" s="28">
        <v>366151000</v>
      </c>
      <c r="W3306" s="28"/>
      <c r="X3306" s="28">
        <v>310296000</v>
      </c>
      <c r="Y3306" s="28">
        <v>2153887000</v>
      </c>
      <c r="Z3306" s="28">
        <v>134532000</v>
      </c>
      <c r="AA3306" s="28"/>
      <c r="AB3306" s="28">
        <v>300000000</v>
      </c>
      <c r="AC3306" s="28">
        <v>822700000</v>
      </c>
      <c r="AD3306" s="28">
        <v>500135000</v>
      </c>
      <c r="AE3306" s="28">
        <v>4638518000</v>
      </c>
      <c r="AF3306" s="28">
        <v>-950235000</v>
      </c>
      <c r="AG3306" s="11"/>
    </row>
    <row r="3307">
      <c r="A3307" s="7" t="s">
        <v>4980</v>
      </c>
      <c r="B3307" s="5" t="s">
        <v>12952</v>
      </c>
      <c r="C3307" s="5" t="s">
        <v>20750</v>
      </c>
      <c r="D3307" s="5" t="str">
        <v>526020369308</v>
      </c>
      <c r="E3307" s="0" t="e">
        <f>+7 (800) 2002402
+7 (831) 2759601
+7 (831) 2668384
+7 (831) 2792929
+7 (83146) 61111
+7 (83146) 94012
+7 (8352) 226808</f>
        <v>#NAME?</v>
      </c>
      <c r="F3307" s="5" t="s">
        <v>35271</v>
      </c>
      <c r="G3307" s="5"/>
      <c r="H3307" s="26">
        <v>27.5</v>
      </c>
      <c r="I3307" s="5" t="s">
        <v>35272</v>
      </c>
      <c r="J3307" s="5" t="s">
        <v>25641</v>
      </c>
      <c r="K3307" s="5" t="s">
        <v>344</v>
      </c>
      <c r="L3307" s="5"/>
      <c r="M3307" s="27">
        <v>6213836</v>
      </c>
      <c r="N3307" s="5" t="s">
        <v>54444</v>
      </c>
      <c r="O3307" s="5" t="str">
        <v>5260055963</v>
      </c>
      <c r="P3307" s="27">
        <v>10000</v>
      </c>
      <c r="Q3307" s="5" t="s">
        <v>54445</v>
      </c>
      <c r="R3307" s="5"/>
      <c r="S3307" s="5" t="s">
        <v>50047</v>
      </c>
      <c r="T3307" s="28">
        <v>791821000</v>
      </c>
      <c r="U3307" s="28">
        <v>5000</v>
      </c>
      <c r="V3307" s="28">
        <v>1821932000</v>
      </c>
      <c r="W3307" s="28">
        <v>1322141000</v>
      </c>
      <c r="X3307" s="28">
        <v>51862000</v>
      </c>
      <c r="Y3307" s="28">
        <v>6645360000</v>
      </c>
      <c r="Z3307" s="28">
        <v>834337000</v>
      </c>
      <c r="AA3307" s="28">
        <v>600959000</v>
      </c>
      <c r="AB3307" s="28">
        <v>1914027000</v>
      </c>
      <c r="AC3307" s="28">
        <v>5191763000</v>
      </c>
      <c r="AD3307" s="28">
        <v>834347000</v>
      </c>
      <c r="AE3307" s="28">
        <v>12199897000</v>
      </c>
      <c r="AF3307" s="28">
        <v>39822000</v>
      </c>
      <c r="AG3307" s="11"/>
    </row>
    <row r="3308">
      <c r="A3308" s="7" t="s">
        <v>4981</v>
      </c>
      <c r="B3308" s="5" t="s">
        <v>12953</v>
      </c>
      <c r="C3308" s="5" t="s">
        <v>20751</v>
      </c>
      <c r="D3308" s="5" t="str">
        <v>523600324513</v>
      </c>
      <c r="E3308" s="0" t="e">
        <f>+7 (910) 60044
+7 (910) 585070
+7 (910) 3974000
+7 (495) 9545151
+7 (83144) 69007
+7 (83144) 69008
+7 (83144) 69009
+7 (83144) 69026
+7 (83144) 69027
+7 (83144) 69028
+7 (83144) 75952
+7 (83144) 76043
+7 (83144) 76366
+7 (83146) 68032</f>
        <v>#NAME?</v>
      </c>
      <c r="F3308" s="5" t="s">
        <v>35273</v>
      </c>
      <c r="G3308" s="5" t="s">
        <v>35274</v>
      </c>
      <c r="H3308" s="26">
        <v>19</v>
      </c>
      <c r="I3308" s="5" t="s">
        <v>35275</v>
      </c>
      <c r="J3308" s="5" t="s">
        <v>28245</v>
      </c>
      <c r="K3308" s="5" t="s">
        <v>344</v>
      </c>
      <c r="L3308" s="5"/>
      <c r="M3308" s="27">
        <v>5676500</v>
      </c>
      <c r="N3308" s="5" t="s">
        <v>54446</v>
      </c>
      <c r="O3308" s="5" t="str">
        <v>5257065753</v>
      </c>
      <c r="P3308" s="27">
        <v>10000</v>
      </c>
      <c r="Q3308" s="5" t="s">
        <v>54447</v>
      </c>
      <c r="R3308" s="5"/>
      <c r="S3308" s="5" t="s">
        <v>49704</v>
      </c>
      <c r="T3308" s="28">
        <v>232506000</v>
      </c>
      <c r="U3308" s="28"/>
      <c r="V3308" s="28">
        <v>365408000</v>
      </c>
      <c r="W3308" s="28">
        <v>150227000</v>
      </c>
      <c r="X3308" s="28">
        <v>2182855000</v>
      </c>
      <c r="Y3308" s="28">
        <v>4493803000</v>
      </c>
      <c r="Z3308" s="28">
        <v>1435767000</v>
      </c>
      <c r="AA3308" s="28">
        <v>16000000</v>
      </c>
      <c r="AB3308" s="28">
        <v>855262000</v>
      </c>
      <c r="AC3308" s="28">
        <v>3039074000</v>
      </c>
      <c r="AD3308" s="28">
        <v>1435777000</v>
      </c>
      <c r="AE3308" s="28">
        <v>4673186000</v>
      </c>
      <c r="AF3308" s="28">
        <v>481545000</v>
      </c>
      <c r="AG3308" s="11"/>
    </row>
    <row r="3309">
      <c r="A3309" s="7" t="s">
        <v>4982</v>
      </c>
      <c r="B3309" s="5" t="s">
        <v>12954</v>
      </c>
      <c r="C3309" s="5" t="s">
        <v>20752</v>
      </c>
      <c r="D3309" s="5" t="str">
        <v>525700855705</v>
      </c>
      <c r="E3309" s="0" t="e">
        <f>+7 (3472) 463417
+7 (3472) 405290
+7 (3472) 405295</f>
        <v>#NAME?</v>
      </c>
      <c r="F3309" s="5" t="s">
        <v>35276</v>
      </c>
      <c r="G3309" s="5" t="s">
        <v>35277</v>
      </c>
      <c r="H3309" s="26">
        <v>10.5</v>
      </c>
      <c r="I3309" s="5" t="s">
        <v>35278</v>
      </c>
      <c r="J3309" s="5" t="s">
        <v>397</v>
      </c>
      <c r="K3309" s="5" t="s">
        <v>344</v>
      </c>
      <c r="L3309" s="5" t="s">
        <v>35279</v>
      </c>
      <c r="M3309" s="27">
        <v>1610102</v>
      </c>
      <c r="N3309" s="5" t="s">
        <v>54448</v>
      </c>
      <c r="O3309" s="5" t="str">
        <v>0273088205</v>
      </c>
      <c r="P3309" s="27">
        <v>10010000</v>
      </c>
      <c r="Q3309" s="5" t="s">
        <v>54449</v>
      </c>
      <c r="R3309" s="5"/>
      <c r="S3309" s="5" t="s">
        <v>50589</v>
      </c>
      <c r="T3309" s="28">
        <v>186929000</v>
      </c>
      <c r="U3309" s="28"/>
      <c r="V3309" s="28">
        <v>217066000</v>
      </c>
      <c r="W3309" s="28">
        <v>49000000</v>
      </c>
      <c r="X3309" s="28">
        <v>226720000</v>
      </c>
      <c r="Y3309" s="28">
        <v>1428201000</v>
      </c>
      <c r="Z3309" s="28">
        <v>605035000</v>
      </c>
      <c r="AA3309" s="28"/>
      <c r="AB3309" s="28">
        <v>90669000</v>
      </c>
      <c r="AC3309" s="28">
        <v>812849000</v>
      </c>
      <c r="AD3309" s="28">
        <v>615045000</v>
      </c>
      <c r="AE3309" s="28">
        <v>4571214000</v>
      </c>
      <c r="AF3309" s="28">
        <v>193085000</v>
      </c>
      <c r="AG3309" s="11"/>
    </row>
    <row r="3310">
      <c r="A3310" s="7" t="s">
        <v>4983</v>
      </c>
      <c r="B3310" s="5" t="s">
        <v>12955</v>
      </c>
      <c r="C3310" s="5" t="s">
        <v>20753</v>
      </c>
      <c r="D3310" s="5" t="str">
        <v>771371082341</v>
      </c>
      <c r="E3310" s="0" t="e">
        <f>+7 (495) 6376317
+7 (495) 2807750</f>
        <v>#NAME?</v>
      </c>
      <c r="F3310" s="5" t="s">
        <v>35280</v>
      </c>
      <c r="G3310" s="5"/>
      <c r="H3310" s="26">
        <v>8</v>
      </c>
      <c r="I3310" s="5" t="s">
        <v>35281</v>
      </c>
      <c r="J3310" s="5" t="s">
        <v>33774</v>
      </c>
      <c r="K3310" s="5" t="s">
        <v>344</v>
      </c>
      <c r="L3310" s="5" t="s">
        <v>35282</v>
      </c>
      <c r="M3310" s="27"/>
      <c r="N3310" s="5" t="s">
        <v>54450</v>
      </c>
      <c r="O3310" s="5" t="str">
        <v>7714334756</v>
      </c>
      <c r="P3310" s="27">
        <v>200000</v>
      </c>
      <c r="Q3310" s="5" t="s">
        <v>49009</v>
      </c>
      <c r="R3310" s="5"/>
      <c r="S3310" s="5" t="s">
        <v>49012</v>
      </c>
      <c r="T3310" s="28"/>
      <c r="U3310" s="28"/>
      <c r="V3310" s="28">
        <v>1324812000</v>
      </c>
      <c r="W3310" s="28"/>
      <c r="X3310" s="28">
        <v>327876000</v>
      </c>
      <c r="Y3310" s="28">
        <v>3138581000</v>
      </c>
      <c r="Z3310" s="28">
        <v>2118206000</v>
      </c>
      <c r="AA3310" s="28"/>
      <c r="AB3310" s="28"/>
      <c r="AC3310" s="28">
        <v>1020175000</v>
      </c>
      <c r="AD3310" s="28">
        <v>2118406000</v>
      </c>
      <c r="AE3310" s="28">
        <v>11515719000</v>
      </c>
      <c r="AF3310" s="28">
        <v>776430000</v>
      </c>
      <c r="AG3310" s="11"/>
    </row>
    <row r="3311">
      <c r="A3311" s="7" t="s">
        <v>4984</v>
      </c>
      <c r="B3311" s="5" t="s">
        <v>12956</v>
      </c>
      <c r="C3311" s="5" t="s">
        <v>20754</v>
      </c>
      <c r="D3311" s="5" t="str">
        <v>773309794238</v>
      </c>
      <c r="E3311" s="0" t="e">
        <f>+7 (495) 250255
+7 (495) 1230010</f>
        <v>#NAME?</v>
      </c>
      <c r="F3311" s="5" t="s">
        <v>35283</v>
      </c>
      <c r="G3311" s="5" t="s">
        <v>35284</v>
      </c>
      <c r="H3311" s="26">
        <v>6</v>
      </c>
      <c r="I3311" s="5" t="s">
        <v>35285</v>
      </c>
      <c r="J3311" s="5" t="s">
        <v>25674</v>
      </c>
      <c r="K3311" s="5" t="s">
        <v>344</v>
      </c>
      <c r="L3311" s="5" t="s">
        <v>35286</v>
      </c>
      <c r="M3311" s="27">
        <v>2819315</v>
      </c>
      <c r="N3311" s="5"/>
      <c r="O3311" s="5" t="str">
        <v>7702415143</v>
      </c>
      <c r="P3311" s="27">
        <v>735000000</v>
      </c>
      <c r="Q3311" s="5"/>
      <c r="R3311" s="5"/>
      <c r="S3311" s="5" t="s">
        <v>49053</v>
      </c>
      <c r="T3311" s="28">
        <v>1226861000</v>
      </c>
      <c r="U3311" s="28"/>
      <c r="V3311" s="28">
        <v>242207000</v>
      </c>
      <c r="W3311" s="28"/>
      <c r="X3311" s="28">
        <v>417555000</v>
      </c>
      <c r="Y3311" s="28">
        <v>3695483000</v>
      </c>
      <c r="Z3311" s="28">
        <v>1739805000</v>
      </c>
      <c r="AA3311" s="28"/>
      <c r="AB3311" s="28">
        <v>727546000</v>
      </c>
      <c r="AC3311" s="28">
        <v>1167626000</v>
      </c>
      <c r="AD3311" s="28">
        <v>2474977000</v>
      </c>
      <c r="AE3311" s="28">
        <v>4902183000</v>
      </c>
      <c r="AF3311" s="28">
        <v>439825000</v>
      </c>
      <c r="AG3311" s="11"/>
    </row>
    <row r="3312">
      <c r="A3312" s="7" t="s">
        <v>4985</v>
      </c>
      <c r="B3312" s="5" t="s">
        <v>12957</v>
      </c>
      <c r="C3312" s="5" t="s">
        <v>20755</v>
      </c>
      <c r="D3312" s="5" t="str">
        <v>640900594359</v>
      </c>
      <c r="E3312" s="0" t="e">
        <f>+7 (8452) 265934
+7 (8452) 265935
+7 (8452) 265936
+7 (8452) 548352</f>
        <v>#NAME?</v>
      </c>
      <c r="F3312" s="5" t="s">
        <v>35287</v>
      </c>
      <c r="G3312" s="5"/>
      <c r="H3312" s="26">
        <v>23.5</v>
      </c>
      <c r="I3312" s="5" t="s">
        <v>35288</v>
      </c>
      <c r="J3312" s="5" t="s">
        <v>26607</v>
      </c>
      <c r="K3312" s="5" t="s">
        <v>344</v>
      </c>
      <c r="L3312" s="5" t="s">
        <v>35289</v>
      </c>
      <c r="M3312" s="27"/>
      <c r="N3312" s="5"/>
      <c r="O3312" s="5" t="str">
        <v>6454044627</v>
      </c>
      <c r="P3312" s="27">
        <v>100000</v>
      </c>
      <c r="Q3312" s="5" t="s">
        <v>49009</v>
      </c>
      <c r="R3312" s="5"/>
      <c r="S3312" s="5" t="s">
        <v>49875</v>
      </c>
      <c r="T3312" s="28">
        <v>3762510000</v>
      </c>
      <c r="U3312" s="28">
        <v>3491000</v>
      </c>
      <c r="V3312" s="28">
        <v>1408910000</v>
      </c>
      <c r="W3312" s="28">
        <v>4311517000</v>
      </c>
      <c r="X3312" s="28">
        <v>1100511000</v>
      </c>
      <c r="Y3312" s="28">
        <v>10935987000</v>
      </c>
      <c r="Z3312" s="28">
        <v>9744777000</v>
      </c>
      <c r="AA3312" s="28"/>
      <c r="AB3312" s="28"/>
      <c r="AC3312" s="28">
        <v>970884000</v>
      </c>
      <c r="AD3312" s="28">
        <v>9744877000</v>
      </c>
      <c r="AE3312" s="28">
        <v>7345227000</v>
      </c>
      <c r="AF3312" s="28">
        <v>479597000</v>
      </c>
      <c r="AG3312" s="11"/>
    </row>
    <row r="3313">
      <c r="A3313" s="7" t="s">
        <v>4986</v>
      </c>
      <c r="B3313" s="5" t="s">
        <v>12958</v>
      </c>
      <c r="C3313" s="5" t="s">
        <v>20756</v>
      </c>
      <c r="D3313" s="5" t="str">
        <v>526200697523</v>
      </c>
      <c r="E3313" s="0" t="e">
        <f>+7 (495) 6219501
+7 (495) 6219906
+7 (495) 6253951
+7 (495) 6274500
+7 (495) 6274999
+7 (499) 9737911
+7 (499) 9737346</f>
        <v>#NAME?</v>
      </c>
      <c r="F3313" s="5" t="s">
        <v>35290</v>
      </c>
      <c r="G3313" s="5" t="s">
        <v>35291</v>
      </c>
      <c r="H3313" s="26">
        <v>30</v>
      </c>
      <c r="I3313" s="5"/>
      <c r="J3313" s="5" t="s">
        <v>27806</v>
      </c>
      <c r="K3313" s="5" t="s">
        <v>344</v>
      </c>
      <c r="L3313" s="5"/>
      <c r="M3313" s="27"/>
      <c r="N3313" s="5" t="s">
        <v>54451</v>
      </c>
      <c r="O3313" s="5" t="str">
        <v>7708004767</v>
      </c>
      <c r="P3313" s="27">
        <v>17321644</v>
      </c>
      <c r="Q3313" s="5" t="s">
        <v>54452</v>
      </c>
      <c r="R3313" s="5"/>
      <c r="S3313" s="5" t="s">
        <v>52242</v>
      </c>
      <c r="T3313" s="28">
        <v>4773775000</v>
      </c>
      <c r="U3313" s="28">
        <v>1333625556000</v>
      </c>
      <c r="V3313" s="28">
        <v>571730963000</v>
      </c>
      <c r="W3313" s="28">
        <v>4384570000</v>
      </c>
      <c r="X3313" s="28">
        <v>314899487000</v>
      </c>
      <c r="Y3313" s="28">
        <v>2284260472000</v>
      </c>
      <c r="Z3313" s="28">
        <v>1265884438000</v>
      </c>
      <c r="AA3313" s="28">
        <v>78389174000</v>
      </c>
      <c r="AB3313" s="28">
        <v>571192801000</v>
      </c>
      <c r="AC3313" s="28">
        <v>933934476000</v>
      </c>
      <c r="AD3313" s="28">
        <v>1265167013000</v>
      </c>
      <c r="AE3313" s="28">
        <v>2874037264000</v>
      </c>
      <c r="AF3313" s="28">
        <v>790120077000</v>
      </c>
      <c r="AG3313" s="11"/>
    </row>
    <row r="3314">
      <c r="A3314" s="7" t="s">
        <v>4987</v>
      </c>
      <c r="B3314" s="5" t="s">
        <v>12959</v>
      </c>
      <c r="C3314" s="5" t="s">
        <v>20757</v>
      </c>
      <c r="D3314" s="5" t="str">
        <v>860801069646</v>
      </c>
      <c r="E3314" s="0" t="e">
        <f>+7 (34667) 22559
+7 (34667) 51509
+7 (34667) 25601</f>
        <v>#NAME?</v>
      </c>
      <c r="F3314" s="5" t="s">
        <v>35292</v>
      </c>
      <c r="G3314" s="5"/>
      <c r="H3314" s="26">
        <v>29</v>
      </c>
      <c r="I3314" s="5" t="s">
        <v>35293</v>
      </c>
      <c r="J3314" s="5" t="s">
        <v>26607</v>
      </c>
      <c r="K3314" s="5" t="s">
        <v>344</v>
      </c>
      <c r="L3314" s="5" t="s">
        <v>35294</v>
      </c>
      <c r="M3314" s="27"/>
      <c r="N3314" s="5"/>
      <c r="O3314" s="5" t="str">
        <v>8608059605</v>
      </c>
      <c r="P3314" s="27">
        <v>124224000</v>
      </c>
      <c r="Q3314" s="5" t="s">
        <v>49059</v>
      </c>
      <c r="R3314" s="5"/>
      <c r="S3314" s="5" t="s">
        <v>49121</v>
      </c>
      <c r="T3314" s="28">
        <v>18436898000</v>
      </c>
      <c r="U3314" s="28">
        <v>1517000</v>
      </c>
      <c r="V3314" s="28">
        <v>3229640000</v>
      </c>
      <c r="W3314" s="28">
        <v>9031250000</v>
      </c>
      <c r="X3314" s="28">
        <v>116746000</v>
      </c>
      <c r="Y3314" s="28">
        <v>31766512000</v>
      </c>
      <c r="Z3314" s="28">
        <v>17783234000</v>
      </c>
      <c r="AA3314" s="28"/>
      <c r="AB3314" s="28"/>
      <c r="AC3314" s="28">
        <v>11485111000</v>
      </c>
      <c r="AD3314" s="28">
        <v>18184405000</v>
      </c>
      <c r="AE3314" s="28">
        <v>46706984000</v>
      </c>
      <c r="AF3314" s="28">
        <v>7870917000</v>
      </c>
      <c r="AG3314" s="11"/>
    </row>
    <row r="3315">
      <c r="A3315" s="7" t="s">
        <v>4988</v>
      </c>
      <c r="B3315" s="5" t="s">
        <v>12960</v>
      </c>
      <c r="C3315" s="5" t="s">
        <v>20758</v>
      </c>
      <c r="D3315" s="5" t="str">
        <v>860802088602</v>
      </c>
      <c r="E3315" s="0" t="e">
        <f>+7 (851) 2348008
+7 (851) 2471018
+7 (851) 2473245
+7 (851) 2473249
+7 (851) 2478308
+7 (851) 2478355
+7 (851) 2482209
+7 (851) 2484745
+7 (851) 2484747
+7 (851) 2484748</f>
        <v>#NAME?</v>
      </c>
      <c r="F3315" s="5" t="s">
        <v>35295</v>
      </c>
      <c r="G3315" s="5"/>
      <c r="H3315" s="26">
        <v>14</v>
      </c>
      <c r="I3315" s="5" t="s">
        <v>35296</v>
      </c>
      <c r="J3315" s="5" t="s">
        <v>25295</v>
      </c>
      <c r="K3315" s="5" t="s">
        <v>355</v>
      </c>
      <c r="L3315" s="5" t="s">
        <v>35297</v>
      </c>
      <c r="M3315" s="27"/>
      <c r="N3315" s="5" t="s">
        <v>54453</v>
      </c>
      <c r="O3315" s="5" t="str">
        <v>3016059510</v>
      </c>
      <c r="P3315" s="27">
        <v>2946920321</v>
      </c>
      <c r="Q3315" s="5" t="s">
        <v>54454</v>
      </c>
      <c r="R3315" s="5"/>
      <c r="S3315" s="5" t="s">
        <v>51430</v>
      </c>
      <c r="T3315" s="28">
        <v>836614000</v>
      </c>
      <c r="U3315" s="28">
        <v>438000</v>
      </c>
      <c r="V3315" s="28">
        <v>22149678000</v>
      </c>
      <c r="W3315" s="28"/>
      <c r="X3315" s="28">
        <v>2439000</v>
      </c>
      <c r="Y3315" s="28">
        <v>24038765000</v>
      </c>
      <c r="Z3315" s="28">
        <v>-3137008000</v>
      </c>
      <c r="AA3315" s="28"/>
      <c r="AB3315" s="28">
        <v>11358944000</v>
      </c>
      <c r="AC3315" s="28">
        <v>12074788000</v>
      </c>
      <c r="AD3315" s="28">
        <v>11871194000</v>
      </c>
      <c r="AE3315" s="28">
        <v>9537233000</v>
      </c>
      <c r="AF3315" s="28">
        <v>-6796227000</v>
      </c>
      <c r="AG3315" s="11"/>
    </row>
    <row r="3316">
      <c r="A3316" s="7" t="s">
        <v>4989</v>
      </c>
      <c r="B3316" s="5" t="s">
        <v>12961</v>
      </c>
      <c r="C3316" s="5" t="s">
        <v>20759</v>
      </c>
      <c r="D3316" s="5" t="str">
        <v>590201689550</v>
      </c>
      <c r="E3316" s="0" t="e">
        <f>+7 (495) 9803100
+7 (495) 9803111
+7 (495) 9803114
+7 (499) 6733784</f>
        <v>#NAME?</v>
      </c>
      <c r="F3316" s="5"/>
      <c r="G3316" s="5"/>
      <c r="H3316" s="26">
        <v>19.5</v>
      </c>
      <c r="I3316" s="5" t="s">
        <v>35298</v>
      </c>
      <c r="J3316" s="5" t="s">
        <v>373</v>
      </c>
      <c r="K3316" s="5" t="s">
        <v>344</v>
      </c>
      <c r="L3316" s="5" t="s">
        <v>35299</v>
      </c>
      <c r="M3316" s="27"/>
      <c r="N3316" s="5" t="s">
        <v>54455</v>
      </c>
      <c r="O3316" s="5" t="str">
        <v>7702354081</v>
      </c>
      <c r="P3316" s="27">
        <v>1437325692</v>
      </c>
      <c r="Q3316" s="5" t="s">
        <v>54456</v>
      </c>
      <c r="R3316" s="5" t="s">
        <v>54457</v>
      </c>
      <c r="S3316" s="5" t="s">
        <v>49853</v>
      </c>
      <c r="T3316" s="28">
        <v>3217885000</v>
      </c>
      <c r="U3316" s="28">
        <v>8473483000</v>
      </c>
      <c r="V3316" s="28">
        <v>15211585000</v>
      </c>
      <c r="W3316" s="28"/>
      <c r="X3316" s="28">
        <v>87000</v>
      </c>
      <c r="Y3316" s="28">
        <v>30793413000</v>
      </c>
      <c r="Z3316" s="28">
        <v>15190485000</v>
      </c>
      <c r="AA3316" s="28"/>
      <c r="AB3316" s="28"/>
      <c r="AC3316" s="28">
        <v>13985697000</v>
      </c>
      <c r="AD3316" s="28">
        <v>16633178000</v>
      </c>
      <c r="AE3316" s="28">
        <v>149455259000</v>
      </c>
      <c r="AF3316" s="28">
        <v>4591161000</v>
      </c>
      <c r="AG3316" s="11"/>
    </row>
    <row r="3317">
      <c r="A3317" s="7" t="s">
        <v>4990</v>
      </c>
      <c r="B3317" s="5" t="s">
        <v>12962</v>
      </c>
      <c r="C3317" s="5" t="s">
        <v>20760</v>
      </c>
      <c r="D3317" s="5" t="str">
        <v>860802163899</v>
      </c>
      <c r="E3317" s="0" t="e">
        <f>+7 (346) 2770564
+7 (346) 2770565
+7 (346) 2770566
+7 (346) 2770567</f>
        <v>#NAME?</v>
      </c>
      <c r="F3317" s="5" t="s">
        <v>35300</v>
      </c>
      <c r="G3317" s="5" t="s">
        <v>35301</v>
      </c>
      <c r="H3317" s="26">
        <v>12.5</v>
      </c>
      <c r="I3317" s="5" t="s">
        <v>35302</v>
      </c>
      <c r="J3317" s="5" t="s">
        <v>373</v>
      </c>
      <c r="K3317" s="5" t="s">
        <v>344</v>
      </c>
      <c r="L3317" s="5" t="s">
        <v>35303</v>
      </c>
      <c r="M3317" s="27"/>
      <c r="N3317" s="5" t="s">
        <v>50282</v>
      </c>
      <c r="O3317" s="5" t="str">
        <v>8602172040</v>
      </c>
      <c r="P3317" s="27">
        <v>479990</v>
      </c>
      <c r="Q3317" s="5" t="s">
        <v>49059</v>
      </c>
      <c r="R3317" s="5"/>
      <c r="S3317" s="5" t="s">
        <v>49032</v>
      </c>
      <c r="T3317" s="28">
        <v>196208000</v>
      </c>
      <c r="U3317" s="28">
        <v>391000</v>
      </c>
      <c r="V3317" s="28">
        <v>728847000</v>
      </c>
      <c r="W3317" s="28"/>
      <c r="X3317" s="28">
        <v>1002000</v>
      </c>
      <c r="Y3317" s="28">
        <v>1105222000</v>
      </c>
      <c r="Z3317" s="28">
        <v>527182000</v>
      </c>
      <c r="AA3317" s="28"/>
      <c r="AB3317" s="28"/>
      <c r="AC3317" s="28">
        <v>570060000</v>
      </c>
      <c r="AD3317" s="28">
        <v>526722000</v>
      </c>
      <c r="AE3317" s="28">
        <v>4752320000</v>
      </c>
      <c r="AF3317" s="28">
        <v>330055000</v>
      </c>
      <c r="AG3317" s="11"/>
    </row>
    <row r="3318">
      <c r="A3318" s="7" t="s">
        <v>4991</v>
      </c>
      <c r="B3318" s="5" t="s">
        <v>12963</v>
      </c>
      <c r="C3318" s="5" t="s">
        <v>20761</v>
      </c>
      <c r="D3318" s="5" t="str">
        <v>631605351354</v>
      </c>
      <c r="E3318" s="0" t="e">
        <f>+7 (846) 9964393
+7 (84699) 38631
+7 (846) 9665508
+7 (84699) 38633
+7 (84699) 65508</f>
        <v>#NAME?</v>
      </c>
      <c r="F3318" s="5" t="s">
        <v>35304</v>
      </c>
      <c r="G3318" s="5" t="s">
        <v>35305</v>
      </c>
      <c r="H3318" s="26">
        <v>12</v>
      </c>
      <c r="I3318" s="5" t="s">
        <v>35306</v>
      </c>
      <c r="J3318" s="5" t="s">
        <v>373</v>
      </c>
      <c r="K3318" s="5" t="s">
        <v>344</v>
      </c>
      <c r="L3318" s="5" t="s">
        <v>35307</v>
      </c>
      <c r="M3318" s="27">
        <v>162939</v>
      </c>
      <c r="N3318" s="5" t="s">
        <v>54458</v>
      </c>
      <c r="O3318" s="5" t="str">
        <v>6313538285</v>
      </c>
      <c r="P3318" s="27">
        <v>499600</v>
      </c>
      <c r="Q3318" s="5" t="s">
        <v>54459</v>
      </c>
      <c r="R3318" s="5" t="s">
        <v>54460</v>
      </c>
      <c r="S3318" s="5" t="s">
        <v>51118</v>
      </c>
      <c r="T3318" s="28">
        <v>346264000</v>
      </c>
      <c r="U3318" s="28">
        <v>1868000</v>
      </c>
      <c r="V3318" s="28">
        <v>307905000</v>
      </c>
      <c r="W3318" s="28"/>
      <c r="X3318" s="28">
        <v>1330000</v>
      </c>
      <c r="Y3318" s="28">
        <v>806673000</v>
      </c>
      <c r="Z3318" s="28">
        <v>313470000</v>
      </c>
      <c r="AA3318" s="28"/>
      <c r="AB3318" s="28"/>
      <c r="AC3318" s="28">
        <v>356929000</v>
      </c>
      <c r="AD3318" s="28">
        <v>314219000</v>
      </c>
      <c r="AE3318" s="28">
        <v>3213413000</v>
      </c>
      <c r="AF3318" s="28">
        <v>102668000</v>
      </c>
      <c r="AG3318" s="11"/>
    </row>
    <row r="3319">
      <c r="A3319" s="7" t="s">
        <v>4992</v>
      </c>
      <c r="B3319" s="5" t="s">
        <v>12107</v>
      </c>
      <c r="C3319" s="5" t="s">
        <v>20762</v>
      </c>
      <c r="D3319" s="5" t="str">
        <v>344804483648</v>
      </c>
      <c r="E3319" s="0" t="e">
        <f>+7 (844) 2963458
+7 (844) 2309992
+7 (844) 2406495
+7 (844) 2498375
+7 (844) 2556111
+7 (844) 2661133
+7 (844) 2699855
+7 (844) 2963001
+7 (844) 2963002
+7 (844) 2963265
+7 (844) 2963409
+7 (844) 2963416
+7 (844) 2963435
+7 (844) 2963490
+7 (844) 2963519</f>
        <v>#NAME?</v>
      </c>
      <c r="F3319" s="5" t="s">
        <v>35308</v>
      </c>
      <c r="G3319" s="5" t="s">
        <v>35309</v>
      </c>
      <c r="H3319" s="26">
        <v>28.5</v>
      </c>
      <c r="I3319" s="5" t="s">
        <v>35310</v>
      </c>
      <c r="J3319" s="5" t="s">
        <v>555</v>
      </c>
      <c r="K3319" s="5" t="s">
        <v>355</v>
      </c>
      <c r="L3319" s="5" t="s">
        <v>35311</v>
      </c>
      <c r="M3319" s="27">
        <v>7817543</v>
      </c>
      <c r="N3319" s="5" t="s">
        <v>54461</v>
      </c>
      <c r="O3319" s="5" t="str">
        <v>3448017919</v>
      </c>
      <c r="P3319" s="27">
        <v>501366789</v>
      </c>
      <c r="Q3319" s="5" t="s">
        <v>54462</v>
      </c>
      <c r="R3319" s="5" t="s">
        <v>54463</v>
      </c>
      <c r="S3319" s="5" t="s">
        <v>52615</v>
      </c>
      <c r="T3319" s="28">
        <v>115152505000</v>
      </c>
      <c r="U3319" s="28"/>
      <c r="V3319" s="28">
        <v>27070461000</v>
      </c>
      <c r="W3319" s="28"/>
      <c r="X3319" s="28">
        <v>155000</v>
      </c>
      <c r="Y3319" s="28">
        <v>147146409000</v>
      </c>
      <c r="Z3319" s="28">
        <v>122897330000</v>
      </c>
      <c r="AA3319" s="28"/>
      <c r="AB3319" s="28"/>
      <c r="AC3319" s="28">
        <v>14049414000</v>
      </c>
      <c r="AD3319" s="28">
        <v>123787728000</v>
      </c>
      <c r="AE3319" s="28">
        <v>61010906000</v>
      </c>
      <c r="AF3319" s="28">
        <v>8367761000</v>
      </c>
      <c r="AG3319" s="11"/>
    </row>
    <row r="3320">
      <c r="A3320" s="7" t="s">
        <v>4993</v>
      </c>
      <c r="B3320" s="5" t="s">
        <v>12964</v>
      </c>
      <c r="C3320" s="5" t="s">
        <v>20763</v>
      </c>
      <c r="D3320" s="5" t="str">
        <v>860805357620</v>
      </c>
      <c r="E3320" s="0" t="e">
        <f>+7 (844) 2252703
+7 (844) 2252753
+7 (844) 2252810
+7 (844) 2252859
+7 (844) 2252891
+7 (844) 2252895
+7 (844) 2252923
+7 (844) 2539210
+7 (844) 2539250</f>
        <v>#NAME?</v>
      </c>
      <c r="F3320" s="5" t="s">
        <v>35312</v>
      </c>
      <c r="G3320" s="5" t="s">
        <v>35313</v>
      </c>
      <c r="H3320" s="26">
        <v>14</v>
      </c>
      <c r="I3320" s="5" t="s">
        <v>35314</v>
      </c>
      <c r="J3320" s="5" t="s">
        <v>25295</v>
      </c>
      <c r="K3320" s="5" t="s">
        <v>355</v>
      </c>
      <c r="L3320" s="5" t="s">
        <v>35315</v>
      </c>
      <c r="M3320" s="27"/>
      <c r="N3320" s="5" t="s">
        <v>54464</v>
      </c>
      <c r="O3320" s="5" t="str">
        <v>3435098928</v>
      </c>
      <c r="P3320" s="27">
        <v>2982913753</v>
      </c>
      <c r="Q3320" s="5" t="s">
        <v>54466</v>
      </c>
      <c r="R3320" s="5" t="s">
        <v>51119</v>
      </c>
      <c r="S3320" s="5" t="s">
        <v>50205</v>
      </c>
      <c r="T3320" s="28">
        <v>2684817000</v>
      </c>
      <c r="U3320" s="28"/>
      <c r="V3320" s="28">
        <v>1839288000</v>
      </c>
      <c r="W3320" s="28">
        <v>59414000</v>
      </c>
      <c r="X3320" s="28">
        <v>2431000</v>
      </c>
      <c r="Y3320" s="28">
        <v>5575073000</v>
      </c>
      <c r="Z3320" s="28">
        <v>-395313000</v>
      </c>
      <c r="AA3320" s="28"/>
      <c r="AB3320" s="28">
        <v>1195647000</v>
      </c>
      <c r="AC3320" s="28">
        <v>2708050000</v>
      </c>
      <c r="AD3320" s="28">
        <v>2560470000</v>
      </c>
      <c r="AE3320" s="28">
        <v>7853324000</v>
      </c>
      <c r="AF3320" s="28">
        <v>-1083379000</v>
      </c>
      <c r="AG3320" s="11"/>
    </row>
    <row r="3321">
      <c r="A3321" s="7" t="s">
        <v>4994</v>
      </c>
      <c r="B3321" s="5" t="s">
        <v>12965</v>
      </c>
      <c r="C3321" s="5" t="s">
        <v>20764</v>
      </c>
      <c r="D3321" s="5" t="str">
        <v>860802091027</v>
      </c>
      <c r="E3321" s="0" t="e">
        <f>+7 (34667) 23990
+7 (34667) 29800
+7 (34667) 61003
+7 (34667) 61287
+7 (34667) 61397
+7 (34667) 61436
+7 (34667) 61494
+7 (34667) 61902
+7 (34667) 62002
+7 (34667) 62309
+7 (34667) 64002
+7 (34667) 65515
+7 (34667) 66080
+7 (34669) 36260
+7 (34669) 37020</f>
        <v>#NAME?</v>
      </c>
      <c r="F3321" s="5" t="s">
        <v>35316</v>
      </c>
      <c r="G3321" s="5"/>
      <c r="H3321" s="26">
        <v>26</v>
      </c>
      <c r="I3321" s="5" t="s">
        <v>35317</v>
      </c>
      <c r="J3321" s="5" t="s">
        <v>26607</v>
      </c>
      <c r="K3321" s="5" t="s">
        <v>355</v>
      </c>
      <c r="L3321" s="5" t="s">
        <v>35318</v>
      </c>
      <c r="M3321" s="27">
        <v>85034067</v>
      </c>
      <c r="N3321" s="5" t="s">
        <v>54467</v>
      </c>
      <c r="O3321" s="5" t="str">
        <v>8608048498</v>
      </c>
      <c r="P3321" s="27">
        <v>10221387748</v>
      </c>
      <c r="Q3321" s="5" t="s">
        <v>54468</v>
      </c>
      <c r="R3321" s="5" t="s">
        <v>54469</v>
      </c>
      <c r="S3321" s="5" t="s">
        <v>54470</v>
      </c>
      <c r="T3321" s="28">
        <v>803190122000</v>
      </c>
      <c r="U3321" s="28">
        <v>3850475000</v>
      </c>
      <c r="V3321" s="28">
        <v>74775887000</v>
      </c>
      <c r="W3321" s="28"/>
      <c r="X3321" s="28">
        <v>7151000</v>
      </c>
      <c r="Y3321" s="28">
        <v>989930404000</v>
      </c>
      <c r="Z3321" s="28">
        <v>759819087000</v>
      </c>
      <c r="AA3321" s="28"/>
      <c r="AB3321" s="28">
        <v>20903990000</v>
      </c>
      <c r="AC3321" s="28">
        <v>123541456000</v>
      </c>
      <c r="AD3321" s="28">
        <v>784445293000</v>
      </c>
      <c r="AE3321" s="28">
        <v>1231924446000</v>
      </c>
      <c r="AF3321" s="28">
        <v>82766678000</v>
      </c>
      <c r="AG3321" s="11"/>
    </row>
    <row r="3322">
      <c r="A3322" s="7" t="s">
        <v>4995</v>
      </c>
      <c r="B3322" s="5" t="s">
        <v>12961</v>
      </c>
      <c r="C3322" s="5" t="s">
        <v>20765</v>
      </c>
      <c r="D3322" s="5" t="str">
        <v>594400937413</v>
      </c>
      <c r="E3322" s="0" t="e">
        <f>+7 (3422) 336708
+7 (3422) 336725
+7 (3422) 336728
+7 (34667) 62954
+7 (495) 9832141
+7 (495) 9832286
+7 (495) 9832294
+7 (8216) 792901
+7 (8216) 792986
+7 (844) 2967590
+7 (844) 2967799</f>
        <v>#NAME?</v>
      </c>
      <c r="F3322" s="5" t="s">
        <v>35319</v>
      </c>
      <c r="G3322" s="5"/>
      <c r="H3322" s="26">
        <v>13</v>
      </c>
      <c r="I3322" s="5" t="s">
        <v>35320</v>
      </c>
      <c r="J3322" s="5" t="s">
        <v>35321</v>
      </c>
      <c r="K3322" s="5" t="s">
        <v>344</v>
      </c>
      <c r="L3322" s="5"/>
      <c r="M3322" s="27"/>
      <c r="N3322" s="5" t="s">
        <v>54471</v>
      </c>
      <c r="O3322" s="5" t="str">
        <v>7707717910</v>
      </c>
      <c r="P3322" s="27">
        <v>346378620</v>
      </c>
      <c r="Q3322" s="5" t="s">
        <v>54473</v>
      </c>
      <c r="R3322" s="5"/>
      <c r="S3322" s="5" t="s">
        <v>50290</v>
      </c>
      <c r="T3322" s="28">
        <v>4564303000</v>
      </c>
      <c r="U3322" s="28"/>
      <c r="V3322" s="28">
        <v>9053612000</v>
      </c>
      <c r="W3322" s="28"/>
      <c r="X3322" s="28">
        <v>3805000</v>
      </c>
      <c r="Y3322" s="28">
        <v>14564797000</v>
      </c>
      <c r="Z3322" s="28">
        <v>9253058000</v>
      </c>
      <c r="AA3322" s="28"/>
      <c r="AB3322" s="28"/>
      <c r="AC3322" s="28">
        <v>4341127000</v>
      </c>
      <c r="AD3322" s="28">
        <v>9669823000</v>
      </c>
      <c r="AE3322" s="28">
        <v>13664370000</v>
      </c>
      <c r="AF3322" s="28">
        <v>462468000</v>
      </c>
      <c r="AG3322" s="11"/>
    </row>
    <row r="3323">
      <c r="A3323" s="7" t="s">
        <v>4996</v>
      </c>
      <c r="B3323" s="5" t="s">
        <v>12966</v>
      </c>
      <c r="C3323" s="5" t="s">
        <v>20766</v>
      </c>
      <c r="D3323" s="5" t="str">
        <v>860804742919</v>
      </c>
      <c r="E3323" s="0" t="e">
        <f>+7 (844) 2423490
+7 (844) 2555200
+7 (844) 2555208
+7 (844) 2558190
+7 (844) 2963021
+7 (844) 2963744
+7 (844) 2963789</f>
        <v>#NAME?</v>
      </c>
      <c r="F3323" s="5" t="s">
        <v>35322</v>
      </c>
      <c r="G3323" s="5" t="s">
        <v>35313</v>
      </c>
      <c r="H3323" s="26">
        <v>13.5</v>
      </c>
      <c r="I3323" s="5" t="s">
        <v>35323</v>
      </c>
      <c r="J3323" s="5" t="s">
        <v>502</v>
      </c>
      <c r="K3323" s="5" t="s">
        <v>355</v>
      </c>
      <c r="L3323" s="5" t="s">
        <v>35324</v>
      </c>
      <c r="M3323" s="27"/>
      <c r="N3323" s="5"/>
      <c r="O3323" s="5" t="str">
        <v>7709840210</v>
      </c>
      <c r="P3323" s="27">
        <v>238010000</v>
      </c>
      <c r="Q3323" s="5" t="s">
        <v>49009</v>
      </c>
      <c r="R3323" s="5" t="s">
        <v>54474</v>
      </c>
      <c r="S3323" s="5" t="s">
        <v>49045</v>
      </c>
      <c r="T3323" s="28">
        <v>518648000</v>
      </c>
      <c r="U3323" s="28"/>
      <c r="V3323" s="28">
        <v>3006308000</v>
      </c>
      <c r="W3323" s="28"/>
      <c r="X3323" s="28">
        <v>160000</v>
      </c>
      <c r="Y3323" s="28">
        <v>3725889000</v>
      </c>
      <c r="Z3323" s="28">
        <v>189851000</v>
      </c>
      <c r="AA3323" s="28"/>
      <c r="AB3323" s="28"/>
      <c r="AC3323" s="28">
        <v>1857984000</v>
      </c>
      <c r="AD3323" s="28">
        <v>1306905000</v>
      </c>
      <c r="AE3323" s="28">
        <v>8310633000</v>
      </c>
      <c r="AF3323" s="28">
        <v>152048000</v>
      </c>
      <c r="AG3323" s="11"/>
    </row>
    <row r="3324">
      <c r="A3324" s="7" t="s">
        <v>4997</v>
      </c>
      <c r="B3324" s="5" t="s">
        <v>12967</v>
      </c>
      <c r="C3324" s="5" t="s">
        <v>20767</v>
      </c>
      <c r="D3324" s="5" t="str">
        <v>860800522824</v>
      </c>
      <c r="E3324" s="0" t="e">
        <f>+7 (401) 2350830
+7 (401) 2581999
+7 (40152) 30956
+7 (401) 2350842
+7 (401) 2350878
+7 (401) 2352901
+7 (401) 2352910
+7 (401) 2550819
+7 (401) 2643811
+7 (401) 2680022
+7 (401) 2681999
+7 (401) 2682191
+7 (401) 2682341</f>
        <v>#NAME?</v>
      </c>
      <c r="F3324" s="5" t="s">
        <v>35325</v>
      </c>
      <c r="G3324" s="5" t="s">
        <v>35326</v>
      </c>
      <c r="H3324" s="26">
        <v>23.5</v>
      </c>
      <c r="I3324" s="5" t="s">
        <v>35327</v>
      </c>
      <c r="J3324" s="5" t="s">
        <v>26607</v>
      </c>
      <c r="K3324" s="5" t="s">
        <v>355</v>
      </c>
      <c r="L3324" s="5" t="s">
        <v>35328</v>
      </c>
      <c r="M3324" s="27"/>
      <c r="N3324" s="5" t="s">
        <v>54475</v>
      </c>
      <c r="O3324" s="5" t="str">
        <v>3900004998</v>
      </c>
      <c r="P3324" s="27">
        <v>500578593</v>
      </c>
      <c r="Q3324" s="5" t="s">
        <v>49009</v>
      </c>
      <c r="R3324" s="5"/>
      <c r="S3324" s="5" t="s">
        <v>49358</v>
      </c>
      <c r="T3324" s="28">
        <v>40991661000</v>
      </c>
      <c r="U3324" s="28">
        <v>205549000</v>
      </c>
      <c r="V3324" s="28">
        <v>1940652000</v>
      </c>
      <c r="W3324" s="28"/>
      <c r="X3324" s="28"/>
      <c r="Y3324" s="28">
        <v>52156340000</v>
      </c>
      <c r="Z3324" s="28">
        <v>27600382000</v>
      </c>
      <c r="AA3324" s="28">
        <v>13101482000</v>
      </c>
      <c r="AB3324" s="28">
        <v>1905203000</v>
      </c>
      <c r="AC3324" s="28">
        <v>3904099000</v>
      </c>
      <c r="AD3324" s="28">
        <v>28595574000</v>
      </c>
      <c r="AE3324" s="28">
        <v>15272387000</v>
      </c>
      <c r="AF3324" s="28">
        <v>190067000</v>
      </c>
      <c r="AG3324" s="11"/>
    </row>
    <row r="3325">
      <c r="A3325" s="7" t="s">
        <v>4998</v>
      </c>
      <c r="B3325" s="5" t="s">
        <v>12968</v>
      </c>
      <c r="C3325" s="5" t="s">
        <v>20768</v>
      </c>
      <c r="D3325" s="5" t="str">
        <v>860802082907</v>
      </c>
      <c r="E3325" s="0" t="e">
        <f>+7 (82144) 41338
+7 (82144) 41980
+7 (82144) 55111
+7 (82144) 55155
+7 (82144) 55201
+7 (82144) 55305
+7 (82144) 55308
+7 (82144) 55340
+7 (82144) 55355
+7 (82144) 55360
+7 (82144) 55368
+7 (82144) 55442
+7 (82144) 55794
+7 (82144) 56599
+7 (82144) 56684</f>
        <v>#NAME?</v>
      </c>
      <c r="F3325" s="5" t="s">
        <v>35329</v>
      </c>
      <c r="G3325" s="5" t="s">
        <v>35291</v>
      </c>
      <c r="H3325" s="26">
        <v>21.5</v>
      </c>
      <c r="I3325" s="5" t="s">
        <v>35330</v>
      </c>
      <c r="J3325" s="5" t="s">
        <v>26607</v>
      </c>
      <c r="K3325" s="5" t="s">
        <v>355</v>
      </c>
      <c r="L3325" s="5" t="s">
        <v>35331</v>
      </c>
      <c r="M3325" s="27">
        <v>1325045757</v>
      </c>
      <c r="N3325" s="5" t="s">
        <v>54476</v>
      </c>
      <c r="O3325" s="5" t="str">
        <v>1106014140</v>
      </c>
      <c r="P3325" s="27">
        <v>5758304166</v>
      </c>
      <c r="Q3325" s="5" t="s">
        <v>54477</v>
      </c>
      <c r="R3325" s="5" t="s">
        <v>54478</v>
      </c>
      <c r="S3325" s="5" t="s">
        <v>54479</v>
      </c>
      <c r="T3325" s="28">
        <v>447344220000</v>
      </c>
      <c r="U3325" s="28">
        <v>11435846000</v>
      </c>
      <c r="V3325" s="28">
        <v>59939711000</v>
      </c>
      <c r="W3325" s="28"/>
      <c r="X3325" s="28">
        <v>1315000</v>
      </c>
      <c r="Y3325" s="28">
        <v>588801631000</v>
      </c>
      <c r="Z3325" s="28">
        <v>431471536000</v>
      </c>
      <c r="AA3325" s="28"/>
      <c r="AB3325" s="28">
        <v>49503016000</v>
      </c>
      <c r="AC3325" s="28">
        <v>99765579000</v>
      </c>
      <c r="AD3325" s="28">
        <v>441923918000</v>
      </c>
      <c r="AE3325" s="28">
        <v>550971599000</v>
      </c>
      <c r="AF3325" s="28">
        <v>-54143549000</v>
      </c>
      <c r="AG3325" s="11"/>
    </row>
    <row r="3326">
      <c r="A3326" s="7" t="s">
        <v>4999</v>
      </c>
      <c r="B3326" s="5" t="s">
        <v>12969</v>
      </c>
      <c r="C3326" s="5" t="s">
        <v>20769</v>
      </c>
      <c r="D3326" s="5" t="str">
        <v>231119901827</v>
      </c>
      <c r="E3326" s="0" t="e">
        <f>+7 (861) 2191314
+7 (861) 2193050
+7 (861) 2193132
+7 (861) 2193417
+7 (861) 2193528
+7 (861) 2193599
+7 (861) 2193761
+7 (861) 2193867
+7 (861) 2193923</f>
        <v>#NAME?</v>
      </c>
      <c r="F3326" s="5" t="s">
        <v>35332</v>
      </c>
      <c r="G3326" s="5" t="s">
        <v>35333</v>
      </c>
      <c r="H3326" s="26">
        <v>14</v>
      </c>
      <c r="I3326" s="5" t="s">
        <v>35334</v>
      </c>
      <c r="J3326" s="5" t="s">
        <v>25295</v>
      </c>
      <c r="K3326" s="5" t="s">
        <v>380</v>
      </c>
      <c r="L3326" s="5"/>
      <c r="M3326" s="27">
        <v>4380631</v>
      </c>
      <c r="N3326" s="5" t="s">
        <v>54480</v>
      </c>
      <c r="O3326" s="5" t="str">
        <v>2312159262</v>
      </c>
      <c r="P3326" s="27">
        <v>847652009</v>
      </c>
      <c r="Q3326" s="5" t="s">
        <v>54481</v>
      </c>
      <c r="R3326" s="5"/>
      <c r="S3326" s="5" t="s">
        <v>54482</v>
      </c>
      <c r="T3326" s="28">
        <v>8782525000</v>
      </c>
      <c r="U3326" s="28">
        <v>1353000</v>
      </c>
      <c r="V3326" s="28">
        <v>2033271000</v>
      </c>
      <c r="W3326" s="28"/>
      <c r="X3326" s="28">
        <v>1657000</v>
      </c>
      <c r="Y3326" s="28">
        <v>13216569000</v>
      </c>
      <c r="Z3326" s="28">
        <v>-4504959000</v>
      </c>
      <c r="AA3326" s="28"/>
      <c r="AB3326" s="28">
        <v>7514957000</v>
      </c>
      <c r="AC3326" s="28">
        <v>10010427000</v>
      </c>
      <c r="AD3326" s="28">
        <v>2987844000</v>
      </c>
      <c r="AE3326" s="28">
        <v>12625364000</v>
      </c>
      <c r="AF3326" s="28">
        <v>-10387450000</v>
      </c>
      <c r="AG3326" s="11"/>
    </row>
    <row r="3327">
      <c r="A3327" s="7" t="s">
        <v>5000</v>
      </c>
      <c r="B3327" s="5" t="s">
        <v>12970</v>
      </c>
      <c r="C3327" s="5" t="s">
        <v>20770</v>
      </c>
      <c r="D3327" s="5"/>
      <c r="E3327" s="0" t="e">
        <f>+7 (401) 2972000
+7 (485) 2640051
+7 (485) 2640112
+7 (495) 9832717
+7 (812) 4591722
+7 (812) 4591923
+7 (812) 4591937
+7 (812) 4591952
+7 (812) 4591961
+7 (812) 4591974
+7 (815) 2450663
+7 (815) 2450671</f>
        <v>#NAME?</v>
      </c>
      <c r="F3327" s="5" t="s">
        <v>35335</v>
      </c>
      <c r="G3327" s="5"/>
      <c r="H3327" s="26">
        <v>6</v>
      </c>
      <c r="I3327" s="5" t="s">
        <v>35336</v>
      </c>
      <c r="J3327" s="5" t="s">
        <v>373</v>
      </c>
      <c r="K3327" s="5" t="s">
        <v>344</v>
      </c>
      <c r="L3327" s="5" t="s">
        <v>35337</v>
      </c>
      <c r="M3327" s="27"/>
      <c r="N3327" s="5" t="s">
        <v>54483</v>
      </c>
      <c r="O3327" s="5" t="str">
        <v>9705083098</v>
      </c>
      <c r="P3327" s="27">
        <v>10000</v>
      </c>
      <c r="Q3327" s="5" t="s">
        <v>54484</v>
      </c>
      <c r="R3327" s="5"/>
      <c r="S3327" s="5" t="s">
        <v>49160</v>
      </c>
      <c r="T3327" s="28">
        <v>1244251000</v>
      </c>
      <c r="U3327" s="28"/>
      <c r="V3327" s="28">
        <v>7531569000</v>
      </c>
      <c r="W3327" s="28"/>
      <c r="X3327" s="28">
        <v>300046000</v>
      </c>
      <c r="Y3327" s="28">
        <v>13664245000</v>
      </c>
      <c r="Z3327" s="28">
        <v>8541492000</v>
      </c>
      <c r="AA3327" s="28"/>
      <c r="AB3327" s="28"/>
      <c r="AC3327" s="28">
        <v>4996790000</v>
      </c>
      <c r="AD3327" s="28">
        <v>8567027000</v>
      </c>
      <c r="AE3327" s="28">
        <v>45536729000</v>
      </c>
      <c r="AF3327" s="28">
        <v>2811753000</v>
      </c>
      <c r="AG3327" s="11"/>
    </row>
    <row r="3328">
      <c r="A3328" s="7" t="s">
        <v>5001</v>
      </c>
      <c r="B3328" s="5" t="s">
        <v>12971</v>
      </c>
      <c r="C3328" s="5" t="s">
        <v>20771</v>
      </c>
      <c r="D3328" s="5" t="str">
        <v>525002957104</v>
      </c>
      <c r="E3328" s="0" t="e">
        <f>+7 (495) 6738221
+7 (831) 2883145
+7 (831) 4553205
+7 (83142) 14888
+7 (83145) 53079
+7 (83145) 53287
+7 (83145) 53327
+7 (83145) 53333
+7 (83145) 53338
+7 (83145) 53427
+7 (83145) 53850
+7 (83145) 54704
+7 (83145) 54872
+7 (83145) 55051</f>
        <v>#NAME?</v>
      </c>
      <c r="F3328" s="5" t="s">
        <v>35338</v>
      </c>
      <c r="G3328" s="5"/>
      <c r="H3328" s="26">
        <v>14.5</v>
      </c>
      <c r="I3328" s="5" t="s">
        <v>35339</v>
      </c>
      <c r="J3328" s="5" t="s">
        <v>555</v>
      </c>
      <c r="K3328" s="5" t="s">
        <v>344</v>
      </c>
      <c r="L3328" s="5"/>
      <c r="M3328" s="27">
        <v>18506002</v>
      </c>
      <c r="N3328" s="5" t="s">
        <v>54485</v>
      </c>
      <c r="O3328" s="5" t="str">
        <v>5250043567</v>
      </c>
      <c r="P3328" s="27">
        <v>4812955</v>
      </c>
      <c r="Q3328" s="5" t="s">
        <v>54486</v>
      </c>
      <c r="R3328" s="5"/>
      <c r="S3328" s="5" t="s">
        <v>52615</v>
      </c>
      <c r="T3328" s="28">
        <v>138680515000</v>
      </c>
      <c r="U3328" s="28">
        <v>217609000</v>
      </c>
      <c r="V3328" s="28">
        <v>18714514000</v>
      </c>
      <c r="W3328" s="28"/>
      <c r="X3328" s="28">
        <v>733000</v>
      </c>
      <c r="Y3328" s="28">
        <v>162451486000</v>
      </c>
      <c r="Z3328" s="28">
        <v>99533547000</v>
      </c>
      <c r="AA3328" s="28">
        <v>20025811000</v>
      </c>
      <c r="AB3328" s="28"/>
      <c r="AC3328" s="28">
        <v>19306668000</v>
      </c>
      <c r="AD3328" s="28">
        <v>114234671000</v>
      </c>
      <c r="AE3328" s="28">
        <v>75188942000</v>
      </c>
      <c r="AF3328" s="28">
        <v>10349636000</v>
      </c>
      <c r="AG3328" s="11"/>
    </row>
    <row r="3329">
      <c r="A3329" s="7" t="s">
        <v>5002</v>
      </c>
      <c r="B3329" s="5" t="s">
        <v>12972</v>
      </c>
      <c r="C3329" s="5" t="s">
        <v>20772</v>
      </c>
      <c r="D3329" s="5" t="str">
        <v>860800141032</v>
      </c>
      <c r="E3329" s="0" t="e">
        <f>+7 (851) 2402720
+7 (851) 2402751
+7 (851) 2402800
+7 (851) 2402802
+7 (851) 2402873
+7 (851) 2963883
+7 (851) 2963886</f>
        <v>#NAME?</v>
      </c>
      <c r="F3329" s="5" t="s">
        <v>35340</v>
      </c>
      <c r="G3329" s="5" t="s">
        <v>35291</v>
      </c>
      <c r="H3329" s="26">
        <v>27</v>
      </c>
      <c r="I3329" s="5" t="s">
        <v>35341</v>
      </c>
      <c r="J3329" s="5" t="s">
        <v>26607</v>
      </c>
      <c r="K3329" s="5" t="s">
        <v>344</v>
      </c>
      <c r="L3329" s="5" t="s">
        <v>35342</v>
      </c>
      <c r="M3329" s="27"/>
      <c r="N3329" s="5"/>
      <c r="O3329" s="5" t="str">
        <v>3444070534</v>
      </c>
      <c r="P3329" s="27">
        <v>506683511</v>
      </c>
      <c r="Q3329" s="5" t="s">
        <v>49009</v>
      </c>
      <c r="R3329" s="5"/>
      <c r="S3329" s="5" t="s">
        <v>49045</v>
      </c>
      <c r="T3329" s="28">
        <v>331801090000</v>
      </c>
      <c r="U3329" s="28">
        <v>129431000</v>
      </c>
      <c r="V3329" s="28">
        <v>176702062000</v>
      </c>
      <c r="W3329" s="28"/>
      <c r="X3329" s="28">
        <v>834000</v>
      </c>
      <c r="Y3329" s="28">
        <v>585679575000</v>
      </c>
      <c r="Z3329" s="28">
        <v>484731853000</v>
      </c>
      <c r="AA3329" s="28"/>
      <c r="AB3329" s="28"/>
      <c r="AC3329" s="28">
        <v>18155257000</v>
      </c>
      <c r="AD3329" s="28">
        <v>499661228000</v>
      </c>
      <c r="AE3329" s="28">
        <v>334188039000</v>
      </c>
      <c r="AF3329" s="28">
        <v>172633286000</v>
      </c>
      <c r="AG3329" s="11"/>
    </row>
    <row r="3330">
      <c r="A3330" s="7" t="s">
        <v>5003</v>
      </c>
      <c r="B3330" s="5" t="s">
        <v>12973</v>
      </c>
      <c r="C3330" s="5" t="s">
        <v>20773</v>
      </c>
      <c r="D3330" s="5" t="str">
        <v>590580189982</v>
      </c>
      <c r="E3330" s="0" t="e">
        <f>+7 (3422) 353272
+7 (3422) 207284
+7 (3422) 202003
+7 (3422) 202019
+7 (3422) 202022
+7 (3422) 202222
+7 (3422) 202288
+7 (3422) 202467
+7 (3422) 202513
+7 (3422) 202593
+7 (3422) 202834
+7 (3422) 202919
+7 (3422) 207116
+7 (3422) 207188
+7 (3422) 207214</f>
        <v>#NAME?</v>
      </c>
      <c r="F3330" s="5" t="s">
        <v>35343</v>
      </c>
      <c r="G3330" s="5" t="s">
        <v>35291</v>
      </c>
      <c r="H3330" s="26">
        <v>29.5</v>
      </c>
      <c r="I3330" s="5" t="s">
        <v>35344</v>
      </c>
      <c r="J3330" s="5" t="s">
        <v>555</v>
      </c>
      <c r="K3330" s="5" t="s">
        <v>344</v>
      </c>
      <c r="L3330" s="5" t="s">
        <v>35345</v>
      </c>
      <c r="M3330" s="27">
        <v>206472057</v>
      </c>
      <c r="N3330" s="5" t="s">
        <v>54487</v>
      </c>
      <c r="O3330" s="5" t="str">
        <v>5905099475</v>
      </c>
      <c r="P3330" s="27">
        <v>270643651</v>
      </c>
      <c r="Q3330" s="5" t="s">
        <v>54488</v>
      </c>
      <c r="R3330" s="5"/>
      <c r="S3330" s="5" t="s">
        <v>52615</v>
      </c>
      <c r="T3330" s="28">
        <v>49090346000</v>
      </c>
      <c r="U3330" s="28"/>
      <c r="V3330" s="28">
        <v>77683500000</v>
      </c>
      <c r="W3330" s="28"/>
      <c r="X3330" s="28">
        <v>215000</v>
      </c>
      <c r="Y3330" s="28">
        <v>130563432000</v>
      </c>
      <c r="Z3330" s="28">
        <v>113160197000</v>
      </c>
      <c r="AA3330" s="28"/>
      <c r="AB3330" s="28"/>
      <c r="AC3330" s="28">
        <v>12789116000</v>
      </c>
      <c r="AD3330" s="28">
        <v>113889178000</v>
      </c>
      <c r="AE3330" s="28">
        <v>54621362000</v>
      </c>
      <c r="AF3330" s="28">
        <v>8296333000</v>
      </c>
      <c r="AG3330" s="11"/>
    </row>
    <row r="3331">
      <c r="A3331" s="7" t="s">
        <v>5004</v>
      </c>
      <c r="B3331" s="5" t="s">
        <v>12974</v>
      </c>
      <c r="C3331" s="5" t="s">
        <v>20774</v>
      </c>
      <c r="D3331" s="5" t="str">
        <v>860800846931</v>
      </c>
      <c r="E3331" s="0" t="e">
        <f>+7 (3422) 336697
+7 (3422) 353256
+7 (3422) 353480
+7 (3422) 353501
+7 (3422) 356101
+7 (3422) 356409
+7 (3422) 356648
+7 (3422) 356807
+7 (3422) 356823</f>
        <v>#NAME?</v>
      </c>
      <c r="F3331" s="5" t="s">
        <v>35346</v>
      </c>
      <c r="G3331" s="5" t="s">
        <v>35347</v>
      </c>
      <c r="H3331" s="26">
        <v>19</v>
      </c>
      <c r="I3331" s="5" t="s">
        <v>35348</v>
      </c>
      <c r="J3331" s="5" t="s">
        <v>26607</v>
      </c>
      <c r="K3331" s="5" t="s">
        <v>344</v>
      </c>
      <c r="L3331" s="5" t="s">
        <v>35349</v>
      </c>
      <c r="M3331" s="27">
        <v>96000</v>
      </c>
      <c r="N3331" s="5" t="s">
        <v>54489</v>
      </c>
      <c r="O3331" s="5" t="str">
        <v>5902201970</v>
      </c>
      <c r="P3331" s="27">
        <v>635858710</v>
      </c>
      <c r="Q3331" s="5" t="s">
        <v>54490</v>
      </c>
      <c r="R3331" s="5"/>
      <c r="S3331" s="5" t="s">
        <v>54491</v>
      </c>
      <c r="T3331" s="28">
        <v>220926979000</v>
      </c>
      <c r="U3331" s="28">
        <v>3021000</v>
      </c>
      <c r="V3331" s="28">
        <v>69468103000</v>
      </c>
      <c r="W3331" s="28"/>
      <c r="X3331" s="28">
        <v>2248000</v>
      </c>
      <c r="Y3331" s="28">
        <v>312559790000</v>
      </c>
      <c r="Z3331" s="28">
        <v>233557158000</v>
      </c>
      <c r="AA3331" s="28"/>
      <c r="AB3331" s="28"/>
      <c r="AC3331" s="28">
        <v>48399839000</v>
      </c>
      <c r="AD3331" s="28">
        <v>239619962000</v>
      </c>
      <c r="AE3331" s="28">
        <v>501242353000</v>
      </c>
      <c r="AF3331" s="28">
        <v>55739471000</v>
      </c>
      <c r="AG3331" s="11"/>
    </row>
    <row r="3332">
      <c r="A3332" s="7" t="s">
        <v>5005</v>
      </c>
      <c r="B3332" s="5" t="s">
        <v>12975</v>
      </c>
      <c r="C3332" s="5" t="s">
        <v>20775</v>
      </c>
      <c r="D3332" s="5" t="str">
        <v>332701931961</v>
      </c>
      <c r="E3332" s="0" t="e">
        <f>+7 (495) 9817779
+7 (800) 1000911
+7 (916) 9123369
+7 (985) 7276034
+7 (985) 9205549
+7 (495) 9817781
+7 (495) 9817788
+7 (495) 9817797</f>
        <v>#NAME?</v>
      </c>
      <c r="F3332" s="5" t="s">
        <v>35350</v>
      </c>
      <c r="G3332" s="5" t="s">
        <v>35351</v>
      </c>
      <c r="H3332" s="26">
        <v>14</v>
      </c>
      <c r="I3332" s="5" t="s">
        <v>35352</v>
      </c>
      <c r="J3332" s="5" t="s">
        <v>373</v>
      </c>
      <c r="K3332" s="5" t="s">
        <v>344</v>
      </c>
      <c r="L3332" s="5" t="s">
        <v>35353</v>
      </c>
      <c r="M3332" s="27"/>
      <c r="N3332" s="5" t="s">
        <v>54492</v>
      </c>
      <c r="O3332" s="5" t="str">
        <v>7709825967</v>
      </c>
      <c r="P3332" s="27">
        <v>50000</v>
      </c>
      <c r="Q3332" s="5" t="s">
        <v>54493</v>
      </c>
      <c r="R3332" s="5"/>
      <c r="S3332" s="5" t="s">
        <v>51738</v>
      </c>
      <c r="T3332" s="28">
        <v>195187000</v>
      </c>
      <c r="U3332" s="28"/>
      <c r="V3332" s="28">
        <v>5313642000</v>
      </c>
      <c r="W3332" s="28"/>
      <c r="X3332" s="28">
        <v>11544476000</v>
      </c>
      <c r="Y3332" s="28">
        <v>18311441000</v>
      </c>
      <c r="Z3332" s="28">
        <v>3799580000</v>
      </c>
      <c r="AA3332" s="28"/>
      <c r="AB3332" s="28">
        <v>3688692000</v>
      </c>
      <c r="AC3332" s="28">
        <v>14506261000</v>
      </c>
      <c r="AD3332" s="28">
        <v>3787779000</v>
      </c>
      <c r="AE3332" s="28">
        <v>75722161000</v>
      </c>
      <c r="AF3332" s="28">
        <v>2529859000</v>
      </c>
      <c r="AG3332" s="11"/>
    </row>
    <row r="3333">
      <c r="A3333" s="7" t="s">
        <v>5006</v>
      </c>
      <c r="B3333" s="5" t="s">
        <v>12975</v>
      </c>
      <c r="C3333" s="5" t="s">
        <v>20776</v>
      </c>
      <c r="D3333" s="5" t="str">
        <v>773413663873</v>
      </c>
      <c r="F3333" s="5" t="s">
        <v>35354</v>
      </c>
      <c r="G3333" s="5"/>
      <c r="H3333" s="26">
        <v>6</v>
      </c>
      <c r="I3333" s="5" t="s">
        <v>35355</v>
      </c>
      <c r="J3333" s="5" t="s">
        <v>373</v>
      </c>
      <c r="K3333" s="5" t="s">
        <v>344</v>
      </c>
      <c r="L3333" s="5" t="s">
        <v>35356</v>
      </c>
      <c r="M3333" s="27">
        <v>4177284</v>
      </c>
      <c r="N3333" s="5" t="s">
        <v>54494</v>
      </c>
      <c r="O3333" s="5" t="str">
        <v>9705083130</v>
      </c>
      <c r="P3333" s="27">
        <v>950000</v>
      </c>
      <c r="Q3333" s="5" t="s">
        <v>54495</v>
      </c>
      <c r="R3333" s="5"/>
      <c r="S3333" s="5" t="s">
        <v>54496</v>
      </c>
      <c r="T3333" s="28">
        <v>123870000</v>
      </c>
      <c r="U3333" s="28">
        <v>613914000</v>
      </c>
      <c r="V3333" s="28">
        <v>47577502000</v>
      </c>
      <c r="W3333" s="28"/>
      <c r="X3333" s="28">
        <v>65000</v>
      </c>
      <c r="Y3333" s="28">
        <v>49566163000</v>
      </c>
      <c r="Z3333" s="28">
        <v>5142535000</v>
      </c>
      <c r="AA3333" s="28"/>
      <c r="AB3333" s="28"/>
      <c r="AC3333" s="28">
        <v>44315194000</v>
      </c>
      <c r="AD3333" s="28">
        <v>5128663000</v>
      </c>
      <c r="AE3333" s="28">
        <v>402977895000</v>
      </c>
      <c r="AF3333" s="28">
        <v>5140681000</v>
      </c>
      <c r="AG3333" s="11"/>
    </row>
    <row r="3334">
      <c r="A3334" s="7" t="s">
        <v>5007</v>
      </c>
      <c r="B3334" s="5" t="s">
        <v>12976</v>
      </c>
      <c r="C3334" s="5" t="s">
        <v>18711</v>
      </c>
      <c r="D3334" s="5" t="str">
        <v>612504466301</v>
      </c>
      <c r="E3334" s="0" t="e">
        <f>+7 (8632) 37119
+7 (87937) 62437
+7 (87937) 95555
+7 (87937) 95563
+7 (963) 2037118
+7 (632) 2349711
+7 (8632) 37118
+7 (8632) 349711
+7 (8632) 555522
+7 (86365) 70040
+7 (86365) 70155
+7 (86365) 73528
+7 (86365) 75850
+7 (86365) 75940
+7 (918) 8548182</f>
        <v>#NAME?</v>
      </c>
      <c r="F3334" s="5" t="s">
        <v>35357</v>
      </c>
      <c r="G3334" s="5"/>
      <c r="H3334" s="26">
        <v>14</v>
      </c>
      <c r="I3334" s="5" t="s">
        <v>35358</v>
      </c>
      <c r="J3334" s="5" t="s">
        <v>25295</v>
      </c>
      <c r="K3334" s="5" t="s">
        <v>344</v>
      </c>
      <c r="L3334" s="5" t="s">
        <v>35359</v>
      </c>
      <c r="M3334" s="27"/>
      <c r="N3334" s="5" t="s">
        <v>54497</v>
      </c>
      <c r="O3334" s="5" t="str">
        <v>6164288981</v>
      </c>
      <c r="P3334" s="27">
        <v>1454769243</v>
      </c>
      <c r="Q3334" s="5" t="s">
        <v>54498</v>
      </c>
      <c r="R3334" s="5" t="s">
        <v>54166</v>
      </c>
      <c r="S3334" s="5" t="s">
        <v>54499</v>
      </c>
      <c r="T3334" s="28">
        <v>4338913000</v>
      </c>
      <c r="U3334" s="28"/>
      <c r="V3334" s="28">
        <v>1568842000</v>
      </c>
      <c r="W3334" s="28"/>
      <c r="X3334" s="28">
        <v>4850000</v>
      </c>
      <c r="Y3334" s="28">
        <v>7588133000</v>
      </c>
      <c r="Z3334" s="28">
        <v>-4255517000</v>
      </c>
      <c r="AA3334" s="28"/>
      <c r="AB3334" s="28">
        <v>4759896000</v>
      </c>
      <c r="AC3334" s="28">
        <v>5815731000</v>
      </c>
      <c r="AD3334" s="28">
        <v>1415703000</v>
      </c>
      <c r="AE3334" s="28">
        <v>8315266000</v>
      </c>
      <c r="AF3334" s="28">
        <v>84351000</v>
      </c>
      <c r="AG3334" s="11"/>
    </row>
    <row r="3335">
      <c r="A3335" s="7" t="s">
        <v>5008</v>
      </c>
      <c r="B3335" s="5" t="s">
        <v>12977</v>
      </c>
      <c r="C3335" s="5" t="s">
        <v>20777</v>
      </c>
      <c r="D3335" s="5" t="str">
        <v>590502729140</v>
      </c>
      <c r="E3335" s="0" t="e">
        <f>+7 (401) 2354930
+7 (401) 2466347
+7 (8112) 793142
+7 (8112) 793144
+7 (8112) 793145
+7 (812) 1034497
+7 (812) 3120391
+7 (812) 3468080
+7 (812) 3488080
+7 (812) 4480964
+7 (812) 4496781
+7 (812) 4496784
+7 (812) 4498642
+7 (812) 4498648
+7 (812) 4498655</f>
        <v>#NAME?</v>
      </c>
      <c r="F3335" s="5" t="s">
        <v>35360</v>
      </c>
      <c r="G3335" s="5" t="s">
        <v>35291</v>
      </c>
      <c r="H3335" s="26">
        <v>22.5</v>
      </c>
      <c r="I3335" s="5" t="s">
        <v>35361</v>
      </c>
      <c r="J3335" s="5" t="s">
        <v>27115</v>
      </c>
      <c r="K3335" s="5" t="s">
        <v>344</v>
      </c>
      <c r="L3335" s="5"/>
      <c r="M3335" s="27">
        <v>351260</v>
      </c>
      <c r="N3335" s="5" t="s">
        <v>54500</v>
      </c>
      <c r="O3335" s="5" t="str">
        <v>7825439514</v>
      </c>
      <c r="P3335" s="27">
        <v>248703538</v>
      </c>
      <c r="Q3335" s="5" t="s">
        <v>54501</v>
      </c>
      <c r="R3335" s="5" t="s">
        <v>52345</v>
      </c>
      <c r="S3335" s="5" t="s">
        <v>54502</v>
      </c>
      <c r="T3335" s="28">
        <v>9643675000</v>
      </c>
      <c r="U3335" s="28">
        <v>499000</v>
      </c>
      <c r="V3335" s="28">
        <v>11893761000</v>
      </c>
      <c r="W3335" s="28"/>
      <c r="X3335" s="28">
        <v>647583000</v>
      </c>
      <c r="Y3335" s="28">
        <v>28941846000</v>
      </c>
      <c r="Z3335" s="28">
        <v>12033704000</v>
      </c>
      <c r="AA3335" s="28"/>
      <c r="AB3335" s="28"/>
      <c r="AC3335" s="28">
        <v>16148166000</v>
      </c>
      <c r="AD3335" s="28">
        <v>12255613000</v>
      </c>
      <c r="AE3335" s="28">
        <v>109297798000</v>
      </c>
      <c r="AF3335" s="28">
        <v>7728027000</v>
      </c>
      <c r="AG3335" s="11"/>
    </row>
    <row r="3336">
      <c r="A3336" s="7" t="s">
        <v>5009</v>
      </c>
      <c r="B3336" s="5" t="s">
        <v>12978</v>
      </c>
      <c r="C3336" s="5" t="s">
        <v>18711</v>
      </c>
      <c r="D3336" s="5" t="str">
        <v>612504466301</v>
      </c>
      <c r="E3336" s="0" t="e">
        <f>+7 (87934) 95555
+7 (87934) 95563
+7 (87937) 28056
+7 (499) 1239770
+7 (8632) 555064
+7 (8632) 555522
+7 (87937) 95558
+7 (906) 4427243</f>
        <v>#NAME?</v>
      </c>
      <c r="F3336" s="5" t="s">
        <v>35362</v>
      </c>
      <c r="G3336" s="5" t="s">
        <v>35363</v>
      </c>
      <c r="H3336" s="26">
        <v>11.5</v>
      </c>
      <c r="I3336" s="5" t="s">
        <v>35364</v>
      </c>
      <c r="J3336" s="5" t="s">
        <v>25295</v>
      </c>
      <c r="K3336" s="5" t="s">
        <v>344</v>
      </c>
      <c r="L3336" s="5" t="s">
        <v>35365</v>
      </c>
      <c r="M3336" s="27"/>
      <c r="N3336" s="5" t="s">
        <v>54503</v>
      </c>
      <c r="O3336" s="5" t="str">
        <v>2624033219</v>
      </c>
      <c r="P3336" s="27">
        <v>97257960</v>
      </c>
      <c r="Q3336" s="5" t="s">
        <v>54504</v>
      </c>
      <c r="R3336" s="5"/>
      <c r="S3336" s="5" t="s">
        <v>49747</v>
      </c>
      <c r="T3336" s="28">
        <v>4794150000</v>
      </c>
      <c r="U3336" s="28"/>
      <c r="V3336" s="28">
        <v>299676000</v>
      </c>
      <c r="W3336" s="28"/>
      <c r="X3336" s="28">
        <v>52000</v>
      </c>
      <c r="Y3336" s="28">
        <v>5395807000</v>
      </c>
      <c r="Z3336" s="28">
        <v>-3225157000</v>
      </c>
      <c r="AA3336" s="28">
        <v>3345030000</v>
      </c>
      <c r="AB3336" s="28"/>
      <c r="AC3336" s="28">
        <v>287891000</v>
      </c>
      <c r="AD3336" s="28">
        <v>1449406000</v>
      </c>
      <c r="AE3336" s="28">
        <v>3258913000</v>
      </c>
      <c r="AF3336" s="28">
        <v>76097000</v>
      </c>
      <c r="AG3336" s="11"/>
    </row>
    <row r="3337">
      <c r="A3337" s="7" t="s">
        <v>5010</v>
      </c>
      <c r="B3337" s="5" t="s">
        <v>12979</v>
      </c>
      <c r="C3337" s="5" t="s">
        <v>20778</v>
      </c>
      <c r="D3337" s="5" t="str">
        <v>770104352628</v>
      </c>
      <c r="E3337" s="0" t="e">
        <f>+7 (495) 6208900
+7 (495) 6208902
+7 (495) 6274020
+7 (8443) 539270
+7 (8632) 100663
+7 (8632) 100664</f>
        <v>#NAME?</v>
      </c>
      <c r="F3337" s="5" t="s">
        <v>35366</v>
      </c>
      <c r="G3337" s="5" t="s">
        <v>35367</v>
      </c>
      <c r="H3337" s="26">
        <v>4.5</v>
      </c>
      <c r="I3337" s="5" t="s">
        <v>35368</v>
      </c>
      <c r="J3337" s="5" t="s">
        <v>25199</v>
      </c>
      <c r="K3337" s="5" t="s">
        <v>380</v>
      </c>
      <c r="L3337" s="5"/>
      <c r="M3337" s="27"/>
      <c r="N3337" s="5" t="s">
        <v>54505</v>
      </c>
      <c r="O3337" s="5" t="str">
        <v>9709038314</v>
      </c>
      <c r="P3337" s="27">
        <v>3850000000</v>
      </c>
      <c r="Q3337" s="5" t="s">
        <v>49059</v>
      </c>
      <c r="R3337" s="5"/>
      <c r="S3337" s="5" t="s">
        <v>49012</v>
      </c>
      <c r="T3337" s="28">
        <v>3715675000</v>
      </c>
      <c r="U3337" s="28"/>
      <c r="V3337" s="28">
        <v>6317638000</v>
      </c>
      <c r="W3337" s="28"/>
      <c r="X3337" s="28">
        <v>46000</v>
      </c>
      <c r="Y3337" s="28">
        <v>32376161000</v>
      </c>
      <c r="Z3337" s="28">
        <v>4068587000</v>
      </c>
      <c r="AA3337" s="28"/>
      <c r="AB3337" s="28">
        <v>13003372000</v>
      </c>
      <c r="AC3337" s="28">
        <v>23387189000</v>
      </c>
      <c r="AD3337" s="28">
        <v>7889351000</v>
      </c>
      <c r="AE3337" s="28">
        <v>10889172000</v>
      </c>
      <c r="AF3337" s="28">
        <v>-418808000</v>
      </c>
      <c r="AG3337" s="11"/>
    </row>
    <row r="3338">
      <c r="A3338" s="7" t="s">
        <v>5011</v>
      </c>
      <c r="B3338" s="5" t="s">
        <v>12975</v>
      </c>
      <c r="C3338" s="5" t="s">
        <v>20779</v>
      </c>
      <c r="D3338" s="5" t="str">
        <v>590401304381</v>
      </c>
      <c r="E3338" s="0" t="e">
        <f>+7 (495) 6164118
+7 (495) 9803300
+7 (499) 6164118
+7 (499) 6183233
+7 (85144) 30950</f>
        <v>#NAME?</v>
      </c>
      <c r="F3338" s="5" t="s">
        <v>35369</v>
      </c>
      <c r="G3338" s="5" t="s">
        <v>35313</v>
      </c>
      <c r="H3338" s="26">
        <v>29</v>
      </c>
      <c r="I3338" s="5" t="s">
        <v>35370</v>
      </c>
      <c r="J3338" s="5" t="s">
        <v>599</v>
      </c>
      <c r="K3338" s="5" t="s">
        <v>355</v>
      </c>
      <c r="L3338" s="5" t="s">
        <v>35371</v>
      </c>
      <c r="M3338" s="27">
        <v>380365</v>
      </c>
      <c r="N3338" s="5" t="s">
        <v>54506</v>
      </c>
      <c r="O3338" s="5" t="str">
        <v>7725642022</v>
      </c>
      <c r="P3338" s="27">
        <v>2385192821</v>
      </c>
      <c r="Q3338" s="5" t="s">
        <v>54507</v>
      </c>
      <c r="R3338" s="5"/>
      <c r="S3338" s="5" t="s">
        <v>50081</v>
      </c>
      <c r="T3338" s="28">
        <v>84095746000</v>
      </c>
      <c r="U3338" s="28">
        <v>321724000</v>
      </c>
      <c r="V3338" s="28">
        <v>10652898000</v>
      </c>
      <c r="W3338" s="28"/>
      <c r="X3338" s="28">
        <v>146000</v>
      </c>
      <c r="Y3338" s="28">
        <v>96495428000</v>
      </c>
      <c r="Z3338" s="28">
        <v>11846837000</v>
      </c>
      <c r="AA3338" s="28"/>
      <c r="AB3338" s="28"/>
      <c r="AC3338" s="28">
        <v>15603220000</v>
      </c>
      <c r="AD3338" s="28">
        <v>14243048000</v>
      </c>
      <c r="AE3338" s="28">
        <v>48377086000</v>
      </c>
      <c r="AF3338" s="28">
        <v>3945468000</v>
      </c>
      <c r="AG3338" s="11"/>
    </row>
    <row r="3339">
      <c r="A3339" s="7" t="s">
        <v>5012</v>
      </c>
      <c r="B3339" s="5" t="s">
        <v>12980</v>
      </c>
      <c r="C3339" s="5" t="s">
        <v>20780</v>
      </c>
      <c r="D3339" s="5" t="str">
        <v>773209559382</v>
      </c>
      <c r="E3339" s="0" t="e">
        <f>+7 (821) 4762060
+7 (82147) 32574
+7 (8216) 762060
+7 (8216) 771799</f>
        <v>#NAME?</v>
      </c>
      <c r="F3339" s="5" t="s">
        <v>35372</v>
      </c>
      <c r="G3339" s="5"/>
      <c r="H3339" s="26">
        <v>29</v>
      </c>
      <c r="I3339" s="5" t="s">
        <v>35373</v>
      </c>
      <c r="J3339" s="5" t="s">
        <v>555</v>
      </c>
      <c r="K3339" s="5" t="s">
        <v>344</v>
      </c>
      <c r="L3339" s="5" t="s">
        <v>35374</v>
      </c>
      <c r="M3339" s="27">
        <v>14229</v>
      </c>
      <c r="N3339" s="5"/>
      <c r="O3339" s="5" t="str">
        <v>1102057865</v>
      </c>
      <c r="P3339" s="27">
        <v>40316797</v>
      </c>
      <c r="Q3339" s="5" t="s">
        <v>54508</v>
      </c>
      <c r="R3339" s="5"/>
      <c r="S3339" s="5" t="s">
        <v>54509</v>
      </c>
      <c r="T3339" s="28">
        <v>9176876000</v>
      </c>
      <c r="U3339" s="28"/>
      <c r="V3339" s="28">
        <v>7386034000</v>
      </c>
      <c r="W3339" s="28"/>
      <c r="X3339" s="28">
        <v>2576000</v>
      </c>
      <c r="Y3339" s="28">
        <v>17168602000</v>
      </c>
      <c r="Z3339" s="28">
        <v>12296066000</v>
      </c>
      <c r="AA3339" s="28"/>
      <c r="AB3339" s="28"/>
      <c r="AC3339" s="28">
        <v>3737063000</v>
      </c>
      <c r="AD3339" s="28">
        <v>12470882000</v>
      </c>
      <c r="AE3339" s="28">
        <v>9386023000</v>
      </c>
      <c r="AF3339" s="28">
        <v>1375417000</v>
      </c>
      <c r="AG3339" s="11"/>
    </row>
    <row r="3340">
      <c r="A3340" s="7" t="s">
        <v>5013</v>
      </c>
      <c r="B3340" s="5" t="s">
        <v>12981</v>
      </c>
      <c r="C3340" s="5" t="s">
        <v>20781</v>
      </c>
      <c r="D3340" s="5" t="str">
        <v>027695661934</v>
      </c>
      <c r="E3340" s="0" t="e">
        <f>+7 (347) 2367821
+7 (345) 2792212
+7 (34667) 20272
+7 (34667) 49626
+7 (34667) 50128
+7 (347) 2900821
+7 (3472) 234436
+7 (3472) 267821
+7 (3472) 299532
+7 (3472) 299535
+7 (3472) 299541
+7 (3472) 299551
+7 (3472) 367803
+7 (3472) 367809
+7 (3472) 367810</f>
        <v>#NAME?</v>
      </c>
      <c r="F3340" s="5" t="s">
        <v>35375</v>
      </c>
      <c r="G3340" s="5" t="s">
        <v>35291</v>
      </c>
      <c r="H3340" s="26">
        <v>25.5</v>
      </c>
      <c r="I3340" s="5" t="s">
        <v>35376</v>
      </c>
      <c r="J3340" s="5" t="s">
        <v>27115</v>
      </c>
      <c r="K3340" s="5" t="s">
        <v>344</v>
      </c>
      <c r="L3340" s="5" t="s">
        <v>35377</v>
      </c>
      <c r="M3340" s="27">
        <v>811665</v>
      </c>
      <c r="N3340" s="5" t="s">
        <v>54510</v>
      </c>
      <c r="O3340" s="5" t="str">
        <v>7453011758</v>
      </c>
      <c r="P3340" s="27">
        <v>1181075442</v>
      </c>
      <c r="Q3340" s="5" t="s">
        <v>54511</v>
      </c>
      <c r="R3340" s="5"/>
      <c r="S3340" s="5" t="s">
        <v>50671</v>
      </c>
      <c r="T3340" s="28">
        <v>12565105000</v>
      </c>
      <c r="U3340" s="28"/>
      <c r="V3340" s="28">
        <v>22252339000</v>
      </c>
      <c r="W3340" s="28"/>
      <c r="X3340" s="28">
        <v>858440000</v>
      </c>
      <c r="Y3340" s="28">
        <v>42540934000</v>
      </c>
      <c r="Z3340" s="28">
        <v>23196681000</v>
      </c>
      <c r="AA3340" s="28"/>
      <c r="AB3340" s="28"/>
      <c r="AC3340" s="28">
        <v>16855269000</v>
      </c>
      <c r="AD3340" s="28">
        <v>24569555000</v>
      </c>
      <c r="AE3340" s="28">
        <v>171785452000</v>
      </c>
      <c r="AF3340" s="28">
        <v>12201447000</v>
      </c>
      <c r="AG3340" s="11"/>
    </row>
    <row r="3341">
      <c r="A3341" s="7" t="s">
        <v>5014</v>
      </c>
      <c r="B3341" s="5" t="s">
        <v>12982</v>
      </c>
      <c r="C3341" s="5" t="s">
        <v>20782</v>
      </c>
      <c r="D3341" s="5" t="str">
        <v>010503405401</v>
      </c>
      <c r="E3341" s="0" t="e">
        <f>+7 (495) 6232902
+7 (495) 6278888
+7 (800) 2002425
+7 (495) 6277450
+7 (495) 9803131
+7 (495) 9817679
+7 (800) 1000091
+7 (800) 1000911
+7 (495) 6271278
+7 (495) 6272823
+7 (495) 6278223
+7 (495) 9803013
+7 (495) 9817472
+7 (495) 9817481
+7 (495) 9817596</f>
        <v>#NAME?</v>
      </c>
      <c r="F3341" s="5" t="s">
        <v>35378</v>
      </c>
      <c r="G3341" s="5" t="s">
        <v>35379</v>
      </c>
      <c r="H3341" s="26">
        <v>21</v>
      </c>
      <c r="I3341" s="5" t="s">
        <v>35380</v>
      </c>
      <c r="J3341" s="5" t="s">
        <v>27115</v>
      </c>
      <c r="K3341" s="5" t="s">
        <v>344</v>
      </c>
      <c r="L3341" s="5"/>
      <c r="M3341" s="27">
        <v>8248710</v>
      </c>
      <c r="N3341" s="5" t="s">
        <v>54512</v>
      </c>
      <c r="O3341" s="5" t="str">
        <v>7701285928</v>
      </c>
      <c r="P3341" s="27">
        <v>2379785955</v>
      </c>
      <c r="Q3341" s="5" t="s">
        <v>54513</v>
      </c>
      <c r="R3341" s="5" t="s">
        <v>54514</v>
      </c>
      <c r="S3341" s="5" t="s">
        <v>54515</v>
      </c>
      <c r="T3341" s="28">
        <v>21888975000</v>
      </c>
      <c r="U3341" s="28">
        <v>2212278000</v>
      </c>
      <c r="V3341" s="28">
        <v>24650955000</v>
      </c>
      <c r="W3341" s="28"/>
      <c r="X3341" s="28">
        <v>1511312000</v>
      </c>
      <c r="Y3341" s="28">
        <v>57234116000</v>
      </c>
      <c r="Z3341" s="28">
        <v>21986365000</v>
      </c>
      <c r="AA3341" s="28"/>
      <c r="AB3341" s="28"/>
      <c r="AC3341" s="28">
        <v>28052431000</v>
      </c>
      <c r="AD3341" s="28">
        <v>27290948000</v>
      </c>
      <c r="AE3341" s="28">
        <v>209573609000</v>
      </c>
      <c r="AF3341" s="28">
        <v>16712803000</v>
      </c>
      <c r="AG3341" s="11"/>
    </row>
    <row r="3342">
      <c r="A3342" s="7" t="s">
        <v>5015</v>
      </c>
      <c r="B3342" s="5" t="s">
        <v>12983</v>
      </c>
      <c r="C3342" s="5" t="s">
        <v>20783</v>
      </c>
      <c r="D3342" s="5" t="str">
        <v>502909278610</v>
      </c>
      <c r="E3342" s="0" t="e">
        <f>+7 (863) 2555052
+7 (863) 2555071
+7 (863) 2555072
+7 (863) 2555511
+7 (8632) 109642</f>
        <v>#NAME?</v>
      </c>
      <c r="F3342" s="5" t="s">
        <v>35381</v>
      </c>
      <c r="G3342" s="5" t="s">
        <v>35382</v>
      </c>
      <c r="H3342" s="26">
        <v>13.5</v>
      </c>
      <c r="I3342" s="5" t="s">
        <v>35383</v>
      </c>
      <c r="J3342" s="5" t="s">
        <v>28287</v>
      </c>
      <c r="K3342" s="5" t="s">
        <v>355</v>
      </c>
      <c r="L3342" s="5"/>
      <c r="M3342" s="27">
        <v>445430</v>
      </c>
      <c r="N3342" s="5" t="s">
        <v>54516</v>
      </c>
      <c r="O3342" s="5" t="str">
        <v>3015087458</v>
      </c>
      <c r="P3342" s="27">
        <v>2619003868</v>
      </c>
      <c r="Q3342" s="5" t="s">
        <v>54517</v>
      </c>
      <c r="R3342" s="5" t="s">
        <v>54518</v>
      </c>
      <c r="S3342" s="5" t="s">
        <v>54519</v>
      </c>
      <c r="T3342" s="28">
        <v>8645588000</v>
      </c>
      <c r="U3342" s="28"/>
      <c r="V3342" s="28">
        <v>292235000</v>
      </c>
      <c r="W3342" s="28"/>
      <c r="X3342" s="28">
        <v>646000</v>
      </c>
      <c r="Y3342" s="28">
        <v>9029451000</v>
      </c>
      <c r="Z3342" s="28">
        <v>4777330000</v>
      </c>
      <c r="AA3342" s="28">
        <v>695756000</v>
      </c>
      <c r="AB3342" s="28"/>
      <c r="AC3342" s="28">
        <v>375703000</v>
      </c>
      <c r="AD3342" s="28">
        <v>7529185000</v>
      </c>
      <c r="AE3342" s="28">
        <v>3123402000</v>
      </c>
      <c r="AF3342" s="28">
        <v>189871000</v>
      </c>
      <c r="AG3342" s="11"/>
    </row>
    <row r="3343">
      <c r="A3343" s="7" t="s">
        <v>5016</v>
      </c>
      <c r="B3343" s="5" t="s">
        <v>12984</v>
      </c>
      <c r="C3343" s="5" t="s">
        <v>20784</v>
      </c>
      <c r="D3343" s="5"/>
      <c r="E3343" s="0" t="e">
        <f>+7 (495) 9331834
+7 (34667) 64977
+7 (34667) 65427
+7 (34676) 44690
+7 (495) 6208880
+7 (499) 2468806
+7 (499) 2553060
+7 (82144) 55508
+7 (844) 2962893
+7 (968) 8022685</f>
        <v>#NAME?</v>
      </c>
      <c r="F3343" s="5" t="s">
        <v>35384</v>
      </c>
      <c r="G3343" s="5" t="s">
        <v>35385</v>
      </c>
      <c r="H3343" s="26">
        <v>21</v>
      </c>
      <c r="I3343" s="5" t="s">
        <v>35386</v>
      </c>
      <c r="J3343" s="5" t="s">
        <v>26623</v>
      </c>
      <c r="K3343" s="5" t="s">
        <v>344</v>
      </c>
      <c r="L3343" s="5" t="s">
        <v>35387</v>
      </c>
      <c r="M3343" s="27">
        <v>323343527</v>
      </c>
      <c r="N3343" s="5" t="s">
        <v>54520</v>
      </c>
      <c r="O3343" s="5" t="str">
        <v>5030040730</v>
      </c>
      <c r="P3343" s="27">
        <v>387726466</v>
      </c>
      <c r="Q3343" s="5" t="s">
        <v>54521</v>
      </c>
      <c r="R3343" s="5" t="s">
        <v>54522</v>
      </c>
      <c r="S3343" s="5" t="s">
        <v>49162</v>
      </c>
      <c r="T3343" s="28">
        <v>1925000</v>
      </c>
      <c r="U3343" s="28"/>
      <c r="V3343" s="28">
        <v>5763513000</v>
      </c>
      <c r="W3343" s="28"/>
      <c r="X3343" s="28">
        <v>27000</v>
      </c>
      <c r="Y3343" s="28">
        <v>6100641000</v>
      </c>
      <c r="Z3343" s="28">
        <v>2555438000</v>
      </c>
      <c r="AA3343" s="28"/>
      <c r="AB3343" s="28"/>
      <c r="AC3343" s="28">
        <v>3060876000</v>
      </c>
      <c r="AD3343" s="28">
        <v>3037655000</v>
      </c>
      <c r="AE3343" s="28">
        <v>61313395000</v>
      </c>
      <c r="AF3343" s="28">
        <v>990813000</v>
      </c>
      <c r="AG3343" s="11"/>
    </row>
    <row r="3344">
      <c r="A3344" s="7" t="s">
        <v>5017</v>
      </c>
      <c r="B3344" s="5" t="s">
        <v>12985</v>
      </c>
      <c r="C3344" s="5" t="s">
        <v>20785</v>
      </c>
      <c r="D3344" s="5" t="str">
        <v>434540066780</v>
      </c>
      <c r="E3344" s="0" t="e">
        <f>+7 (346) 2365781
+7 (3422) 353883
+7 (3422) 353887
+7 (34667) 44131
+7 (34667) 60091
+7 (34667) 60161
+7 (34667) 60186
+7 (34667) 60478
+7 (34667) 60990
+7 (34667) 62902
+7 (34667) 62908
+7 (34667) 62917
+7 (34667) 62918
+7 (34667) 62930
+7 (34667) 62936</f>
        <v>#NAME?</v>
      </c>
      <c r="F3344" s="5" t="s">
        <v>35388</v>
      </c>
      <c r="G3344" s="5" t="s">
        <v>35291</v>
      </c>
      <c r="H3344" s="26">
        <v>14.5</v>
      </c>
      <c r="I3344" s="5" t="s">
        <v>35389</v>
      </c>
      <c r="J3344" s="5" t="s">
        <v>570</v>
      </c>
      <c r="K3344" s="5" t="s">
        <v>344</v>
      </c>
      <c r="L3344" s="5" t="s">
        <v>35390</v>
      </c>
      <c r="M3344" s="27">
        <v>570405946</v>
      </c>
      <c r="N3344" s="5" t="s">
        <v>54523</v>
      </c>
      <c r="O3344" s="5" t="str">
        <v>5260230051</v>
      </c>
      <c r="P3344" s="27">
        <v>100020000</v>
      </c>
      <c r="Q3344" s="5" t="s">
        <v>54524</v>
      </c>
      <c r="R3344" s="5" t="s">
        <v>54525</v>
      </c>
      <c r="S3344" s="5" t="s">
        <v>51430</v>
      </c>
      <c r="T3344" s="28">
        <v>2584669000</v>
      </c>
      <c r="U3344" s="28"/>
      <c r="V3344" s="28">
        <v>5931357000</v>
      </c>
      <c r="W3344" s="28"/>
      <c r="X3344" s="28">
        <v>20000</v>
      </c>
      <c r="Y3344" s="28">
        <v>9028594000</v>
      </c>
      <c r="Z3344" s="28">
        <v>173891000</v>
      </c>
      <c r="AA3344" s="28"/>
      <c r="AB3344" s="28"/>
      <c r="AC3344" s="28">
        <v>6476298000</v>
      </c>
      <c r="AD3344" s="28">
        <v>1072304000</v>
      </c>
      <c r="AE3344" s="28">
        <v>24237141000</v>
      </c>
      <c r="AF3344" s="28">
        <v>54142000</v>
      </c>
      <c r="AG3344" s="11"/>
    </row>
    <row r="3345">
      <c r="A3345" s="7" t="s">
        <v>5018</v>
      </c>
      <c r="B3345" s="5" t="s">
        <v>12986</v>
      </c>
      <c r="C3345" s="5" t="s">
        <v>20786</v>
      </c>
      <c r="D3345" s="5" t="str">
        <v>526017361901</v>
      </c>
      <c r="E3345" s="0" t="e">
        <f>+7 (861) 2134002
+7 (861) 2134026
+7 (861) 2134040
+7 (861) 2134064
+7 (861) 2234002
+7 (861) 2234040
+7 (861) 2314026
+7 (861) 2489490
+7 (86133) 95462
+7 (86165) 33747
+7 (86191) 51043
+7 (8622) 416487
+7 (8652) 242757
+7 (86540) 44600
+7 (877) 2536779</f>
        <v>#NAME?</v>
      </c>
      <c r="F3345" s="5" t="s">
        <v>35391</v>
      </c>
      <c r="G3345" s="5" t="s">
        <v>35291</v>
      </c>
      <c r="H3345" s="26">
        <v>25</v>
      </c>
      <c r="I3345" s="5" t="s">
        <v>35392</v>
      </c>
      <c r="J3345" s="5" t="s">
        <v>27115</v>
      </c>
      <c r="K3345" s="5" t="s">
        <v>344</v>
      </c>
      <c r="L3345" s="5"/>
      <c r="M3345" s="27">
        <v>373419</v>
      </c>
      <c r="N3345" s="5" t="s">
        <v>54526</v>
      </c>
      <c r="O3345" s="5" t="str">
        <v>2309051942</v>
      </c>
      <c r="P3345" s="27">
        <v>1790918216</v>
      </c>
      <c r="Q3345" s="5" t="s">
        <v>49057</v>
      </c>
      <c r="R3345" s="5" t="s">
        <v>53662</v>
      </c>
      <c r="S3345" s="5" t="s">
        <v>54527</v>
      </c>
      <c r="T3345" s="28">
        <v>16028618000</v>
      </c>
      <c r="U3345" s="28"/>
      <c r="V3345" s="28">
        <v>18082694000</v>
      </c>
      <c r="W3345" s="28"/>
      <c r="X3345" s="28">
        <v>888142000</v>
      </c>
      <c r="Y3345" s="28">
        <v>41829892000</v>
      </c>
      <c r="Z3345" s="28">
        <v>21816857000</v>
      </c>
      <c r="AA3345" s="28"/>
      <c r="AB3345" s="28"/>
      <c r="AC3345" s="28">
        <v>15771593000</v>
      </c>
      <c r="AD3345" s="28">
        <v>23857233000</v>
      </c>
      <c r="AE3345" s="28">
        <v>165806812000</v>
      </c>
      <c r="AF3345" s="28">
        <v>13985466000</v>
      </c>
      <c r="AG3345" s="11"/>
    </row>
    <row r="3346">
      <c r="A3346" s="7" t="s">
        <v>5019</v>
      </c>
      <c r="B3346" s="5" t="s">
        <v>12987</v>
      </c>
      <c r="C3346" s="5" t="s">
        <v>20787</v>
      </c>
      <c r="D3346" s="5" t="str">
        <v>772201162873</v>
      </c>
      <c r="E3346" s="0" t="e">
        <f>+7 (34667) 62759
+7 (495) 1121241
+7 (499) 6782588
+7 (499) 6782692
+7 (844) 2996848
+7 (86559) 51020</f>
        <v>#NAME?</v>
      </c>
      <c r="F3346" s="5" t="s">
        <v>35393</v>
      </c>
      <c r="G3346" s="5"/>
      <c r="H3346" s="26">
        <v>12</v>
      </c>
      <c r="I3346" s="5" t="s">
        <v>35394</v>
      </c>
      <c r="J3346" s="5" t="s">
        <v>35395</v>
      </c>
      <c r="K3346" s="5" t="s">
        <v>344</v>
      </c>
      <c r="L3346" s="5" t="s">
        <v>35396</v>
      </c>
      <c r="M3346" s="27"/>
      <c r="N3346" s="5" t="s">
        <v>54528</v>
      </c>
      <c r="O3346" s="5" t="str">
        <v>7724788533</v>
      </c>
      <c r="P3346" s="27">
        <v>1500000</v>
      </c>
      <c r="Q3346" s="5" t="s">
        <v>54529</v>
      </c>
      <c r="R3346" s="5"/>
      <c r="S3346" s="5" t="s">
        <v>49012</v>
      </c>
      <c r="T3346" s="28">
        <v>315326000</v>
      </c>
      <c r="U3346" s="28">
        <v>1500000</v>
      </c>
      <c r="V3346" s="28">
        <v>1357772000</v>
      </c>
      <c r="W3346" s="28">
        <v>80800000</v>
      </c>
      <c r="X3346" s="28">
        <v>767365000</v>
      </c>
      <c r="Y3346" s="28">
        <v>2792787000</v>
      </c>
      <c r="Z3346" s="28">
        <v>1474020000</v>
      </c>
      <c r="AA3346" s="28"/>
      <c r="AB3346" s="28"/>
      <c r="AC3346" s="28">
        <v>1152232000</v>
      </c>
      <c r="AD3346" s="28">
        <v>1475520000</v>
      </c>
      <c r="AE3346" s="28">
        <v>4085382000</v>
      </c>
      <c r="AF3346" s="28">
        <v>229026000</v>
      </c>
      <c r="AG3346" s="11"/>
    </row>
    <row r="3347">
      <c r="A3347" s="7" t="s">
        <v>5020</v>
      </c>
      <c r="B3347" s="5" t="s">
        <v>12988</v>
      </c>
      <c r="C3347" s="5" t="s">
        <v>20788</v>
      </c>
      <c r="D3347" s="5" t="str">
        <v>772782084403</v>
      </c>
      <c r="E3347" s="0" t="e">
        <f>+7 (482) 2493922
+7 (812) 6790000
+7 (495) 6486210
+7 (903) 6874422
+7 (495) 1230000
+7 (495) 6611000
+7 (495) 6650100
+7 (495) 7770870
+7 (903) 1382244</f>
        <v>#NAME?</v>
      </c>
      <c r="F3347" s="5" t="s">
        <v>35397</v>
      </c>
      <c r="G3347" s="5" t="s">
        <v>35398</v>
      </c>
      <c r="H3347" s="26">
        <v>17.5</v>
      </c>
      <c r="I3347" s="5" t="s">
        <v>35399</v>
      </c>
      <c r="J3347" s="5" t="s">
        <v>28593</v>
      </c>
      <c r="K3347" s="5" t="s">
        <v>344</v>
      </c>
      <c r="L3347" s="5" t="s">
        <v>35400</v>
      </c>
      <c r="M3347" s="27">
        <v>4431115</v>
      </c>
      <c r="N3347" s="5" t="s">
        <v>54530</v>
      </c>
      <c r="O3347" s="5" t="str">
        <v>7705674361</v>
      </c>
      <c r="P3347" s="27">
        <v>5000000</v>
      </c>
      <c r="Q3347" s="5" t="s">
        <v>49009</v>
      </c>
      <c r="R3347" s="5"/>
      <c r="S3347" s="5" t="s">
        <v>49012</v>
      </c>
      <c r="T3347" s="28">
        <v>194412000</v>
      </c>
      <c r="U3347" s="28"/>
      <c r="V3347" s="28">
        <v>726849000</v>
      </c>
      <c r="W3347" s="28"/>
      <c r="X3347" s="28">
        <v>103921000</v>
      </c>
      <c r="Y3347" s="28">
        <v>3341049000</v>
      </c>
      <c r="Z3347" s="28">
        <v>1914160000</v>
      </c>
      <c r="AA3347" s="28">
        <v>645500000</v>
      </c>
      <c r="AB3347" s="28">
        <v>51981000</v>
      </c>
      <c r="AC3347" s="28">
        <v>775407000</v>
      </c>
      <c r="AD3347" s="28">
        <v>1919160000</v>
      </c>
      <c r="AE3347" s="28">
        <v>10875606000</v>
      </c>
      <c r="AF3347" s="28">
        <v>623175000</v>
      </c>
      <c r="AG3347" s="11"/>
    </row>
    <row r="3348">
      <c r="A3348" s="7" t="s">
        <v>5021</v>
      </c>
      <c r="B3348" s="5" t="s">
        <v>12989</v>
      </c>
      <c r="C3348" s="5" t="s">
        <v>20789</v>
      </c>
      <c r="D3348" s="5" t="str">
        <v>170113593052</v>
      </c>
      <c r="E3348" s="0" t="e">
        <f>+7 (394) 2252642
+7 (394) 2252940
+7 (394) 2252941
+7 (913) 16662
+7 (923) 3825888
+7 (923) 5441192
+7 (929) 3581688</f>
        <v>#NAME?</v>
      </c>
      <c r="F3348" s="5" t="s">
        <v>35401</v>
      </c>
      <c r="G3348" s="5"/>
      <c r="H3348" s="26">
        <v>17</v>
      </c>
      <c r="I3348" s="5" t="s">
        <v>35402</v>
      </c>
      <c r="J3348" s="5" t="s">
        <v>35403</v>
      </c>
      <c r="K3348" s="5" t="s">
        <v>344</v>
      </c>
      <c r="L3348" s="5"/>
      <c r="M3348" s="27">
        <v>13631640</v>
      </c>
      <c r="N3348" s="5"/>
      <c r="O3348" s="5" t="str">
        <v>5406332398</v>
      </c>
      <c r="P3348" s="27">
        <v>700000000</v>
      </c>
      <c r="Q3348" s="5"/>
      <c r="R3348" s="5"/>
      <c r="S3348" s="5" t="s">
        <v>49110</v>
      </c>
      <c r="T3348" s="28">
        <v>4950416000</v>
      </c>
      <c r="U3348" s="28">
        <v>10000</v>
      </c>
      <c r="V3348" s="28">
        <v>5449464000</v>
      </c>
      <c r="W3348" s="28">
        <v>150000000</v>
      </c>
      <c r="X3348" s="28">
        <v>396167000</v>
      </c>
      <c r="Y3348" s="28">
        <v>16138196000</v>
      </c>
      <c r="Z3348" s="28">
        <v>11633005000</v>
      </c>
      <c r="AA3348" s="28">
        <v>2926239000</v>
      </c>
      <c r="AB3348" s="28">
        <v>834650000</v>
      </c>
      <c r="AC3348" s="28">
        <v>878952000</v>
      </c>
      <c r="AD3348" s="28">
        <v>12333005000</v>
      </c>
      <c r="AE3348" s="28">
        <v>17857048000</v>
      </c>
      <c r="AF3348" s="28">
        <v>7291120000</v>
      </c>
      <c r="AG3348" s="11"/>
    </row>
    <row r="3349">
      <c r="A3349" s="7" t="s">
        <v>5022</v>
      </c>
      <c r="B3349" s="5" t="s">
        <v>12990</v>
      </c>
      <c r="C3349" s="5" t="s">
        <v>20790</v>
      </c>
      <c r="D3349" s="5" t="str">
        <v>752900697283</v>
      </c>
      <c r="E3349" s="0" t="e">
        <f>+7 (42357) 20434
+7 (42357) 33822
+7 (42357) 36790
+7 (42357) 48194
+7 (42357) 48241
+7 (914) 7130918</f>
        <v>#NAME?</v>
      </c>
      <c r="F3349" s="5" t="s">
        <v>35404</v>
      </c>
      <c r="G3349" s="5" t="s">
        <v>35405</v>
      </c>
      <c r="H3349" s="26">
        <v>7.5</v>
      </c>
      <c r="I3349" s="5"/>
      <c r="J3349" s="5" t="s">
        <v>26939</v>
      </c>
      <c r="K3349" s="5" t="s">
        <v>380</v>
      </c>
      <c r="L3349" s="5"/>
      <c r="M3349" s="27">
        <v>62163</v>
      </c>
      <c r="N3349" s="5" t="s">
        <v>54531</v>
      </c>
      <c r="O3349" s="5" t="str">
        <v>2526006224</v>
      </c>
      <c r="P3349" s="27">
        <v>240000000</v>
      </c>
      <c r="Q3349" s="5" t="s">
        <v>54533</v>
      </c>
      <c r="R3349" s="5"/>
      <c r="S3349" s="5" t="s">
        <v>50205</v>
      </c>
      <c r="T3349" s="28">
        <v>5492887000</v>
      </c>
      <c r="U3349" s="28"/>
      <c r="V3349" s="28">
        <v>450658000</v>
      </c>
      <c r="W3349" s="28"/>
      <c r="X3349" s="28">
        <v>6444000</v>
      </c>
      <c r="Y3349" s="28">
        <v>6823095000</v>
      </c>
      <c r="Z3349" s="28">
        <v>2583366000</v>
      </c>
      <c r="AA3349" s="28"/>
      <c r="AB3349" s="28">
        <v>379011000</v>
      </c>
      <c r="AC3349" s="28">
        <v>1354265000</v>
      </c>
      <c r="AD3349" s="28">
        <v>2853065000</v>
      </c>
      <c r="AE3349" s="28">
        <v>6322334000</v>
      </c>
      <c r="AF3349" s="28">
        <v>-297123000</v>
      </c>
      <c r="AG3349" s="11"/>
    </row>
    <row r="3350">
      <c r="A3350" s="7" t="s">
        <v>5023</v>
      </c>
      <c r="B3350" s="5" t="s">
        <v>12991</v>
      </c>
      <c r="C3350" s="5" t="s">
        <v>20791</v>
      </c>
      <c r="D3350" s="5" t="str">
        <v>772318418975</v>
      </c>
      <c r="E3350" s="0" t="e">
        <f>+7 (346) 2774330
+7 (39169) 37122
+7 (49141) 41062
+7 (49141) 41866
+7 (499) 6535307</f>
        <v>#NAME?</v>
      </c>
      <c r="F3350" s="5" t="s">
        <v>35406</v>
      </c>
      <c r="G3350" s="5" t="s">
        <v>35407</v>
      </c>
      <c r="H3350" s="26">
        <v>14.5</v>
      </c>
      <c r="I3350" s="5" t="s">
        <v>35408</v>
      </c>
      <c r="J3350" s="5" t="s">
        <v>27640</v>
      </c>
      <c r="K3350" s="5" t="s">
        <v>355</v>
      </c>
      <c r="L3350" s="5" t="s">
        <v>35409</v>
      </c>
      <c r="M3350" s="27">
        <v>900000</v>
      </c>
      <c r="N3350" s="5" t="s">
        <v>54534</v>
      </c>
      <c r="O3350" s="5" t="str">
        <v>7733667768</v>
      </c>
      <c r="P3350" s="27">
        <v>43000000</v>
      </c>
      <c r="Q3350" s="5" t="s">
        <v>54535</v>
      </c>
      <c r="R3350" s="5" t="s">
        <v>52916</v>
      </c>
      <c r="S3350" s="5" t="s">
        <v>49288</v>
      </c>
      <c r="T3350" s="28">
        <v>786087000</v>
      </c>
      <c r="U3350" s="28"/>
      <c r="V3350" s="28">
        <v>10425274000</v>
      </c>
      <c r="W3350" s="28">
        <v>2333421000</v>
      </c>
      <c r="X3350" s="28"/>
      <c r="Y3350" s="28">
        <v>16104501000</v>
      </c>
      <c r="Z3350" s="28">
        <v>917407000</v>
      </c>
      <c r="AA3350" s="28"/>
      <c r="AB3350" s="28">
        <v>4054716000</v>
      </c>
      <c r="AC3350" s="28">
        <v>13149366000</v>
      </c>
      <c r="AD3350" s="28">
        <v>1461153000</v>
      </c>
      <c r="AE3350" s="28">
        <v>26011552000</v>
      </c>
      <c r="AF3350" s="28">
        <v>356978000</v>
      </c>
      <c r="AG3350" s="11"/>
    </row>
    <row r="3351">
      <c r="A3351" s="7" t="s">
        <v>5024</v>
      </c>
      <c r="B3351" s="5" t="s">
        <v>12992</v>
      </c>
      <c r="C3351" s="5" t="s">
        <v>19484</v>
      </c>
      <c r="D3351" s="5"/>
      <c r="E3351" s="0" t="e">
        <f>+7 (495) 9954160
+7 (495) 9954161
+7 (916) 354620</f>
        <v>#NAME?</v>
      </c>
      <c r="F3351" s="5" t="s">
        <v>31205</v>
      </c>
      <c r="G3351" s="5" t="s">
        <v>35410</v>
      </c>
      <c r="H3351" s="26">
        <v>9.5</v>
      </c>
      <c r="I3351" s="5" t="s">
        <v>35411</v>
      </c>
      <c r="J3351" s="5" t="s">
        <v>35412</v>
      </c>
      <c r="K3351" s="5" t="s">
        <v>355</v>
      </c>
      <c r="L3351" s="5"/>
      <c r="M3351" s="27"/>
      <c r="N3351" s="5"/>
      <c r="O3351" s="5" t="str">
        <v>5072003472</v>
      </c>
      <c r="P3351" s="27">
        <v>10000</v>
      </c>
      <c r="Q3351" s="5"/>
      <c r="R3351" s="5"/>
      <c r="S3351" s="5" t="s">
        <v>49029</v>
      </c>
      <c r="T3351" s="28">
        <v>15072621000</v>
      </c>
      <c r="U3351" s="28">
        <v>769947000</v>
      </c>
      <c r="V3351" s="28">
        <v>1377762000</v>
      </c>
      <c r="W3351" s="28"/>
      <c r="X3351" s="28">
        <v>28967000</v>
      </c>
      <c r="Y3351" s="28">
        <v>18190795000</v>
      </c>
      <c r="Z3351" s="28">
        <v>-1497486000</v>
      </c>
      <c r="AA3351" s="28">
        <v>12582573000</v>
      </c>
      <c r="AB3351" s="28">
        <v>1300000000</v>
      </c>
      <c r="AC3351" s="28">
        <v>1864540000</v>
      </c>
      <c r="AD3351" s="28">
        <v>2877652000</v>
      </c>
      <c r="AE3351" s="28">
        <v>3927975000</v>
      </c>
      <c r="AF3351" s="28">
        <v>-395425000</v>
      </c>
      <c r="AG3351" s="11"/>
    </row>
    <row r="3352">
      <c r="A3352" s="7" t="s">
        <v>5025</v>
      </c>
      <c r="B3352" s="5" t="s">
        <v>12993</v>
      </c>
      <c r="C3352" s="5" t="s">
        <v>20792</v>
      </c>
      <c r="D3352" s="5" t="str">
        <v>502600136064</v>
      </c>
      <c r="E3352" s="0" t="e">
        <f>+7 (495) 5223295
+7 (495) 5520924
+7 (495) 5521222
+7 (495) 5521266
+7 (495) 5521475
+7 (495) 5521486
+7 (495) 5521520
+7 (495) 5521548
+7 (495) 5521631
+7 (495) 5521749
+7 (495) 5521790
+7 (495) 5521796
+7 (495) 5523295
+7 (495) 5524460
+7 (495) 5529597</f>
        <v>#NAME?</v>
      </c>
      <c r="F3352" s="5" t="s">
        <v>35413</v>
      </c>
      <c r="G3352" s="5" t="s">
        <v>35414</v>
      </c>
      <c r="H3352" s="26">
        <v>28.5</v>
      </c>
      <c r="I3352" s="5"/>
      <c r="J3352" s="5" t="s">
        <v>35415</v>
      </c>
      <c r="K3352" s="5" t="s">
        <v>344</v>
      </c>
      <c r="L3352" s="5"/>
      <c r="M3352" s="27">
        <v>2311838</v>
      </c>
      <c r="N3352" s="5" t="s">
        <v>54536</v>
      </c>
      <c r="O3352" s="5" t="str">
        <v>5026000300</v>
      </c>
      <c r="P3352" s="27">
        <v>745438000</v>
      </c>
      <c r="Q3352" s="5" t="s">
        <v>54537</v>
      </c>
      <c r="R3352" s="5"/>
      <c r="S3352" s="5" t="s">
        <v>54538</v>
      </c>
      <c r="T3352" s="28">
        <v>3736301000</v>
      </c>
      <c r="U3352" s="28">
        <v>140000</v>
      </c>
      <c r="V3352" s="28">
        <v>3950496000</v>
      </c>
      <c r="W3352" s="28">
        <v>47000000</v>
      </c>
      <c r="X3352" s="28">
        <v>915905000</v>
      </c>
      <c r="Y3352" s="28">
        <v>13064419000</v>
      </c>
      <c r="Z3352" s="28">
        <v>1664320000</v>
      </c>
      <c r="AA3352" s="28">
        <v>296584000</v>
      </c>
      <c r="AB3352" s="28">
        <v>3301110000</v>
      </c>
      <c r="AC3352" s="28">
        <v>7926921000</v>
      </c>
      <c r="AD3352" s="28">
        <v>4587460000</v>
      </c>
      <c r="AE3352" s="28">
        <v>5904624000</v>
      </c>
      <c r="AF3352" s="28">
        <v>44569000</v>
      </c>
      <c r="AG3352" s="11"/>
    </row>
    <row r="3353">
      <c r="A3353" s="7" t="s">
        <v>5026</v>
      </c>
      <c r="B3353" s="5" t="s">
        <v>12994</v>
      </c>
      <c r="C3353" s="5" t="s">
        <v>20793</v>
      </c>
      <c r="D3353" s="5" t="str">
        <v>550705219397</v>
      </c>
      <c r="E3353" s="0" t="e">
        <f>+7 (495) 5223303
+7 (495) 5523303
+7 (495) 5523305
+7 (495) 5556033</f>
        <v>#NAME?</v>
      </c>
      <c r="F3353" s="5" t="s">
        <v>35416</v>
      </c>
      <c r="G3353" s="5"/>
      <c r="H3353" s="26">
        <v>30.5</v>
      </c>
      <c r="I3353" s="5" t="s">
        <v>35417</v>
      </c>
      <c r="J3353" s="5" t="s">
        <v>25788</v>
      </c>
      <c r="K3353" s="5" t="s">
        <v>344</v>
      </c>
      <c r="L3353" s="5" t="s">
        <v>35418</v>
      </c>
      <c r="M3353" s="27">
        <v>20000000</v>
      </c>
      <c r="N3353" s="5"/>
      <c r="O3353" s="5" t="str">
        <v>5026002114</v>
      </c>
      <c r="P3353" s="27">
        <v>20340</v>
      </c>
      <c r="Q3353" s="5" t="s">
        <v>49009</v>
      </c>
      <c r="R3353" s="5"/>
      <c r="S3353" s="5" t="s">
        <v>49066</v>
      </c>
      <c r="T3353" s="28">
        <v>1355470000</v>
      </c>
      <c r="U3353" s="28"/>
      <c r="V3353" s="28">
        <v>1199469000</v>
      </c>
      <c r="W3353" s="28"/>
      <c r="X3353" s="28">
        <v>449757000</v>
      </c>
      <c r="Y3353" s="28">
        <v>3660095000</v>
      </c>
      <c r="Z3353" s="28">
        <v>1573172000</v>
      </c>
      <c r="AA3353" s="28"/>
      <c r="AB3353" s="28"/>
      <c r="AC3353" s="28">
        <v>1315846000</v>
      </c>
      <c r="AD3353" s="28">
        <v>1786691000</v>
      </c>
      <c r="AE3353" s="28">
        <v>7295151000</v>
      </c>
      <c r="AF3353" s="28">
        <v>606176000</v>
      </c>
      <c r="AG3353" s="11"/>
    </row>
    <row r="3354">
      <c r="A3354" s="7" t="s">
        <v>5027</v>
      </c>
      <c r="B3354" s="5" t="s">
        <v>12995</v>
      </c>
      <c r="C3354" s="5" t="s">
        <v>20794</v>
      </c>
      <c r="D3354" s="5" t="str">
        <v>781105442671</v>
      </c>
      <c r="E3354" s="0" t="e">
        <f>+7 (495) 2405885
+7 (495) 6214352
+7 (499) 6840016</f>
        <v>#NAME?</v>
      </c>
      <c r="F3354" s="5" t="s">
        <v>35419</v>
      </c>
      <c r="G3354" s="5" t="s">
        <v>35420</v>
      </c>
      <c r="H3354" s="26">
        <v>13</v>
      </c>
      <c r="I3354" s="5" t="s">
        <v>35421</v>
      </c>
      <c r="J3354" s="5" t="s">
        <v>999</v>
      </c>
      <c r="K3354" s="5" t="s">
        <v>344</v>
      </c>
      <c r="L3354" s="5" t="s">
        <v>35422</v>
      </c>
      <c r="M3354" s="27">
        <v>115751652</v>
      </c>
      <c r="N3354" s="5" t="s">
        <v>54539</v>
      </c>
      <c r="O3354" s="5" t="str">
        <v>7715800287</v>
      </c>
      <c r="P3354" s="27">
        <v>10000000</v>
      </c>
      <c r="Q3354" s="5" t="s">
        <v>54540</v>
      </c>
      <c r="R3354" s="5"/>
      <c r="S3354" s="5" t="s">
        <v>54541</v>
      </c>
      <c r="T3354" s="28">
        <v>934809000</v>
      </c>
      <c r="U3354" s="28"/>
      <c r="V3354" s="28">
        <v>7623537000</v>
      </c>
      <c r="W3354" s="28"/>
      <c r="X3354" s="28">
        <v>1631183000</v>
      </c>
      <c r="Y3354" s="28">
        <v>36290038000</v>
      </c>
      <c r="Z3354" s="28">
        <v>5832384000</v>
      </c>
      <c r="AA3354" s="28"/>
      <c r="AB3354" s="28">
        <v>4630124000</v>
      </c>
      <c r="AC3354" s="28">
        <v>30395511000</v>
      </c>
      <c r="AD3354" s="28">
        <v>5842384000</v>
      </c>
      <c r="AE3354" s="28">
        <v>27538752000</v>
      </c>
      <c r="AF3354" s="28">
        <v>2406564000</v>
      </c>
      <c r="AG3354" s="11"/>
    </row>
    <row r="3355">
      <c r="A3355" s="7" t="s">
        <v>5028</v>
      </c>
      <c r="B3355" s="5" t="s">
        <v>12996</v>
      </c>
      <c r="C3355" s="5" t="s">
        <v>20795</v>
      </c>
      <c r="D3355" s="5" t="str">
        <v>482607748635</v>
      </c>
      <c r="E3355" s="0" t="e">
        <f>+7 (474) 2237272
+7 (474) 2353580
+7 (474) 2368007
+7 (474) 2420218
+7 (474) 2422060
+7 (474) 2227372
+7 (474) 2237302
+7 (474) 2237306
+7 (474) 2237343
+7 (474) 2237346
+7 (474) 2237371
+7 (474) 2237373
+7 (474) 2237376
+7 (474) 2237378
+7 (474) 2237379</f>
        <v>#NAME?</v>
      </c>
      <c r="F3355" s="5" t="s">
        <v>35423</v>
      </c>
      <c r="G3355" s="5"/>
      <c r="H3355" s="26">
        <v>18</v>
      </c>
      <c r="I3355" s="5"/>
      <c r="J3355" s="5" t="s">
        <v>26623</v>
      </c>
      <c r="K3355" s="5" t="s">
        <v>355</v>
      </c>
      <c r="L3355" s="5"/>
      <c r="M3355" s="27">
        <v>3152241264</v>
      </c>
      <c r="N3355" s="5" t="s">
        <v>54542</v>
      </c>
      <c r="O3355" s="5" t="str">
        <v>4822001244</v>
      </c>
      <c r="P3355" s="27">
        <v>34214829</v>
      </c>
      <c r="Q3355" s="5" t="s">
        <v>54543</v>
      </c>
      <c r="R3355" s="5"/>
      <c r="S3355" s="5" t="s">
        <v>50205</v>
      </c>
      <c r="T3355" s="28">
        <v>120788000</v>
      </c>
      <c r="U3355" s="28"/>
      <c r="V3355" s="28">
        <v>1350492000</v>
      </c>
      <c r="W3355" s="28">
        <v>1889000000</v>
      </c>
      <c r="X3355" s="28">
        <v>481450000</v>
      </c>
      <c r="Y3355" s="28">
        <v>3927184000</v>
      </c>
      <c r="Z3355" s="28">
        <v>2346548000</v>
      </c>
      <c r="AA3355" s="28"/>
      <c r="AB3355" s="28"/>
      <c r="AC3355" s="28">
        <v>1489392000</v>
      </c>
      <c r="AD3355" s="28">
        <v>2429961000</v>
      </c>
      <c r="AE3355" s="28">
        <v>14126081000</v>
      </c>
      <c r="AF3355" s="28">
        <v>778186000</v>
      </c>
      <c r="AG3355" s="11"/>
    </row>
    <row r="3356">
      <c r="A3356" s="7" t="s">
        <v>5029</v>
      </c>
      <c r="B3356" s="5" t="s">
        <v>12997</v>
      </c>
      <c r="C3356" s="5" t="s">
        <v>20796</v>
      </c>
      <c r="D3356" s="5" t="str">
        <v>502700484925</v>
      </c>
      <c r="E3356" s="0" t="e">
        <f>+7 (495) 9854125
+7 (921) 9048545
+7 (495) 5543476
+7 (495) 5546084
+7 (495) 5546290
+7 (495) 5547117
+7 (495) 5547342
+7 (495) 5548125
+7 (495) 5549035
+7 (495) 5596536</f>
        <v>#NAME?</v>
      </c>
      <c r="F3356" s="5" t="s">
        <v>35424</v>
      </c>
      <c r="G3356" s="5" t="s">
        <v>35425</v>
      </c>
      <c r="H3356" s="26">
        <v>15</v>
      </c>
      <c r="I3356" s="5"/>
      <c r="J3356" s="5" t="s">
        <v>28968</v>
      </c>
      <c r="K3356" s="5" t="s">
        <v>355</v>
      </c>
      <c r="L3356" s="5"/>
      <c r="M3356" s="27">
        <v>536264976</v>
      </c>
      <c r="N3356" s="5" t="s">
        <v>54544</v>
      </c>
      <c r="O3356" s="5" t="str">
        <v>5027130221</v>
      </c>
      <c r="P3356" s="27">
        <v>3115179800</v>
      </c>
      <c r="Q3356" s="5" t="s">
        <v>54545</v>
      </c>
      <c r="R3356" s="5" t="s">
        <v>54546</v>
      </c>
      <c r="S3356" s="5" t="s">
        <v>54547</v>
      </c>
      <c r="T3356" s="28">
        <v>2813292000</v>
      </c>
      <c r="U3356" s="28">
        <v>168691000</v>
      </c>
      <c r="V3356" s="28">
        <v>1704097000</v>
      </c>
      <c r="W3356" s="28">
        <v>14300000</v>
      </c>
      <c r="X3356" s="28">
        <v>133000</v>
      </c>
      <c r="Y3356" s="28">
        <v>4928527000</v>
      </c>
      <c r="Z3356" s="28">
        <v>-145877000</v>
      </c>
      <c r="AA3356" s="28">
        <v>390833000</v>
      </c>
      <c r="AB3356" s="28">
        <v>139777000</v>
      </c>
      <c r="AC3356" s="28">
        <v>1430336000</v>
      </c>
      <c r="AD3356" s="28">
        <v>3070438000</v>
      </c>
      <c r="AE3356" s="28">
        <v>4039414000</v>
      </c>
      <c r="AF3356" s="28">
        <v>1437000</v>
      </c>
      <c r="AG3356" s="11"/>
    </row>
    <row r="3357">
      <c r="A3357" s="7" t="s">
        <v>5030</v>
      </c>
      <c r="B3357" s="5" t="s">
        <v>12998</v>
      </c>
      <c r="C3357" s="5" t="s">
        <v>20797</v>
      </c>
      <c r="D3357" s="5" t="str">
        <v>551900491616</v>
      </c>
      <c r="E3357" s="0" t="e">
        <f>+7 (381) 2253713
+7 (381) 2527517
+7 (381) 2255638
+7 (381) 2255748
+7 (38175) 28234
+7 (38175) 28235
+7 (38175) 28246</f>
        <v>#NAME?</v>
      </c>
      <c r="F3357" s="5" t="s">
        <v>35426</v>
      </c>
      <c r="G3357" s="5" t="s">
        <v>35427</v>
      </c>
      <c r="H3357" s="26">
        <v>27</v>
      </c>
      <c r="I3357" s="5"/>
      <c r="J3357" s="5" t="s">
        <v>26869</v>
      </c>
      <c r="K3357" s="5" t="s">
        <v>344</v>
      </c>
      <c r="L3357" s="5"/>
      <c r="M3357" s="27"/>
      <c r="N3357" s="5"/>
      <c r="O3357" s="5" t="str">
        <v>5519000266</v>
      </c>
      <c r="P3357" s="27">
        <v>106000000</v>
      </c>
      <c r="Q3357" s="5"/>
      <c r="R3357" s="5"/>
      <c r="S3357" s="5" t="s">
        <v>49121</v>
      </c>
      <c r="T3357" s="28">
        <v>1149238000</v>
      </c>
      <c r="U3357" s="28"/>
      <c r="V3357" s="28">
        <v>1684738000</v>
      </c>
      <c r="W3357" s="28">
        <v>123555000</v>
      </c>
      <c r="X3357" s="28">
        <v>661000</v>
      </c>
      <c r="Y3357" s="28">
        <v>4436552000</v>
      </c>
      <c r="Z3357" s="28">
        <v>3578533000</v>
      </c>
      <c r="AA3357" s="28"/>
      <c r="AB3357" s="28">
        <v>466863000</v>
      </c>
      <c r="AC3357" s="28">
        <v>746436000</v>
      </c>
      <c r="AD3357" s="28">
        <v>3690116000</v>
      </c>
      <c r="AE3357" s="28">
        <v>7943284000</v>
      </c>
      <c r="AF3357" s="28">
        <v>349287000</v>
      </c>
      <c r="AG3357" s="11"/>
    </row>
    <row r="3358">
      <c r="A3358" s="7" t="s">
        <v>5031</v>
      </c>
      <c r="B3358" s="5" t="s">
        <v>12999</v>
      </c>
      <c r="C3358" s="5" t="s">
        <v>20798</v>
      </c>
      <c r="D3358" s="5"/>
      <c r="E3358" s="0" t="e">
        <f>+7 (495) 9951125
+7 (495) 9951123
+7 (495) 9951124
+7 (800) 5554665</f>
        <v>#NAME?</v>
      </c>
      <c r="F3358" s="5" t="s">
        <v>35428</v>
      </c>
      <c r="G3358" s="5" t="s">
        <v>35429</v>
      </c>
      <c r="H3358" s="26">
        <v>12.5</v>
      </c>
      <c r="I3358" s="5" t="s">
        <v>35430</v>
      </c>
      <c r="J3358" s="5" t="s">
        <v>25195</v>
      </c>
      <c r="K3358" s="5" t="s">
        <v>344</v>
      </c>
      <c r="L3358" s="5" t="s">
        <v>35431</v>
      </c>
      <c r="M3358" s="27"/>
      <c r="N3358" s="5"/>
      <c r="O3358" s="5" t="str">
        <v>7719762040</v>
      </c>
      <c r="P3358" s="27">
        <v>12500</v>
      </c>
      <c r="Q3358" s="5" t="s">
        <v>49009</v>
      </c>
      <c r="R3358" s="5" t="s">
        <v>54548</v>
      </c>
      <c r="S3358" s="5" t="s">
        <v>49066</v>
      </c>
      <c r="T3358" s="28">
        <v>753509000</v>
      </c>
      <c r="U3358" s="28"/>
      <c r="V3358" s="28">
        <v>1553467000</v>
      </c>
      <c r="W3358" s="28">
        <v>195949000</v>
      </c>
      <c r="X3358" s="28">
        <v>208424000</v>
      </c>
      <c r="Y3358" s="28">
        <v>3468957000</v>
      </c>
      <c r="Z3358" s="28">
        <v>2294092000</v>
      </c>
      <c r="AA3358" s="28"/>
      <c r="AB3358" s="28"/>
      <c r="AC3358" s="28">
        <v>406822000</v>
      </c>
      <c r="AD3358" s="28">
        <v>2294105000</v>
      </c>
      <c r="AE3358" s="28">
        <v>3576404000</v>
      </c>
      <c r="AF3358" s="28">
        <v>523418000</v>
      </c>
      <c r="AG3358" s="11"/>
    </row>
    <row r="3359">
      <c r="A3359" s="7" t="s">
        <v>5032</v>
      </c>
      <c r="B3359" s="5" t="s">
        <v>13000</v>
      </c>
      <c r="C3359" s="5" t="s">
        <v>20799</v>
      </c>
      <c r="D3359" s="5" t="str">
        <v>772479788198</v>
      </c>
      <c r="E3359" s="0" t="e">
        <f>+7 (495) 7270080</f>
        <v>#NAME?</v>
      </c>
      <c r="F3359" s="5" t="s">
        <v>35432</v>
      </c>
      <c r="G3359" s="5"/>
      <c r="H3359" s="26">
        <v>4</v>
      </c>
      <c r="I3359" s="5" t="s">
        <v>35433</v>
      </c>
      <c r="J3359" s="5" t="s">
        <v>35434</v>
      </c>
      <c r="K3359" s="5" t="s">
        <v>344</v>
      </c>
      <c r="L3359" s="5" t="s">
        <v>35435</v>
      </c>
      <c r="M3359" s="27"/>
      <c r="N3359" s="5"/>
      <c r="O3359" s="5" t="str">
        <v>5024192780</v>
      </c>
      <c r="P3359" s="27">
        <v>100000</v>
      </c>
      <c r="Q3359" s="5"/>
      <c r="R3359" s="5"/>
      <c r="S3359" s="5" t="s">
        <v>49029</v>
      </c>
      <c r="T3359" s="28">
        <v>107853000</v>
      </c>
      <c r="U3359" s="28">
        <v>70000</v>
      </c>
      <c r="V3359" s="28">
        <v>2251056000</v>
      </c>
      <c r="W3359" s="28">
        <v>36400000</v>
      </c>
      <c r="X3359" s="28">
        <v>104014000</v>
      </c>
      <c r="Y3359" s="28">
        <v>4179399000</v>
      </c>
      <c r="Z3359" s="28">
        <v>789705000</v>
      </c>
      <c r="AA3359" s="28"/>
      <c r="AB3359" s="28">
        <v>647380000</v>
      </c>
      <c r="AC3359" s="28">
        <v>3261647000</v>
      </c>
      <c r="AD3359" s="28">
        <v>789805000</v>
      </c>
      <c r="AE3359" s="28">
        <v>8864847000</v>
      </c>
      <c r="AF3359" s="28">
        <v>760574000</v>
      </c>
      <c r="AG3359" s="11"/>
    </row>
    <row r="3360">
      <c r="A3360" s="7" t="s">
        <v>5033</v>
      </c>
      <c r="B3360" s="5" t="s">
        <v>13001</v>
      </c>
      <c r="C3360" s="5" t="s">
        <v>20800</v>
      </c>
      <c r="D3360" s="5" t="str">
        <v>773365106453</v>
      </c>
      <c r="E3360" s="0" t="e">
        <f>+7 (495) 5029301</f>
        <v>#NAME?</v>
      </c>
      <c r="F3360" s="5" t="s">
        <v>35436</v>
      </c>
      <c r="G3360" s="5" t="s">
        <v>35437</v>
      </c>
      <c r="H3360" s="26">
        <v>8.5</v>
      </c>
      <c r="I3360" s="5" t="s">
        <v>35438</v>
      </c>
      <c r="J3360" s="5" t="s">
        <v>26581</v>
      </c>
      <c r="K3360" s="5" t="s">
        <v>344</v>
      </c>
      <c r="L3360" s="5"/>
      <c r="M3360" s="27"/>
      <c r="N3360" s="5" t="s">
        <v>54549</v>
      </c>
      <c r="O3360" s="5" t="str">
        <v>5029189020</v>
      </c>
      <c r="P3360" s="27">
        <v>10000</v>
      </c>
      <c r="Q3360" s="5"/>
      <c r="R3360" s="5"/>
      <c r="S3360" s="5" t="s">
        <v>51937</v>
      </c>
      <c r="T3360" s="28">
        <v>59590000</v>
      </c>
      <c r="U3360" s="28"/>
      <c r="V3360" s="28">
        <v>553763000</v>
      </c>
      <c r="W3360" s="28">
        <v>36855000</v>
      </c>
      <c r="X3360" s="28">
        <v>152000</v>
      </c>
      <c r="Y3360" s="28">
        <v>745491000</v>
      </c>
      <c r="Z3360" s="28">
        <v>137566000</v>
      </c>
      <c r="AA3360" s="28"/>
      <c r="AB3360" s="28"/>
      <c r="AC3360" s="28">
        <v>538055000</v>
      </c>
      <c r="AD3360" s="28">
        <v>137576000</v>
      </c>
      <c r="AE3360" s="28">
        <v>3207801000</v>
      </c>
      <c r="AF3360" s="28">
        <v>104654000</v>
      </c>
      <c r="AG3360" s="11"/>
    </row>
    <row r="3361">
      <c r="A3361" s="7" t="s">
        <v>5034</v>
      </c>
      <c r="B3361" s="5" t="s">
        <v>13002</v>
      </c>
      <c r="C3361" s="5" t="s">
        <v>20801</v>
      </c>
      <c r="D3361" s="5" t="str">
        <v>301701289528</v>
      </c>
      <c r="E3361" s="0" t="e">
        <f>+7 (851) 2484929
+7 (851) 2585709
+7 (851) 2585779</f>
        <v>#NAME?</v>
      </c>
      <c r="F3361" s="5" t="s">
        <v>35439</v>
      </c>
      <c r="G3361" s="5"/>
      <c r="H3361" s="26">
        <v>18</v>
      </c>
      <c r="I3361" s="5" t="s">
        <v>35440</v>
      </c>
      <c r="J3361" s="5" t="s">
        <v>25850</v>
      </c>
      <c r="K3361" s="5" t="s">
        <v>355</v>
      </c>
      <c r="L3361" s="5" t="s">
        <v>35441</v>
      </c>
      <c r="M3361" s="27">
        <v>15500845</v>
      </c>
      <c r="N3361" s="5"/>
      <c r="O3361" s="5" t="str">
        <v>5015006639</v>
      </c>
      <c r="P3361" s="27">
        <v>100000</v>
      </c>
      <c r="Q3361" s="5" t="s">
        <v>49009</v>
      </c>
      <c r="R3361" s="5"/>
      <c r="S3361" s="5" t="s">
        <v>49010</v>
      </c>
      <c r="T3361" s="28">
        <v>1255000</v>
      </c>
      <c r="U3361" s="28"/>
      <c r="V3361" s="28">
        <v>4795935000</v>
      </c>
      <c r="W3361" s="28"/>
      <c r="X3361" s="28">
        <v>8180000</v>
      </c>
      <c r="Y3361" s="28">
        <v>4846727000</v>
      </c>
      <c r="Z3361" s="28">
        <v>216445000</v>
      </c>
      <c r="AA3361" s="28"/>
      <c r="AB3361" s="28">
        <v>84756000</v>
      </c>
      <c r="AC3361" s="28">
        <v>4630182000</v>
      </c>
      <c r="AD3361" s="28">
        <v>216545000</v>
      </c>
      <c r="AE3361" s="28">
        <v>7813386000</v>
      </c>
      <c r="AF3361" s="28">
        <v>188994000</v>
      </c>
      <c r="AG3361" s="11"/>
    </row>
    <row r="3362">
      <c r="A3362" s="7" t="s">
        <v>5035</v>
      </c>
      <c r="B3362" s="5" t="s">
        <v>13003</v>
      </c>
      <c r="C3362" s="5" t="s">
        <v>20802</v>
      </c>
      <c r="D3362" s="5" t="str">
        <v>771888700241</v>
      </c>
      <c r="E3362" s="0" t="e">
        <f>+7 (962) 3679903
+7 (499) 2818180
+7 (925) 5451511
+7 (925) 7174230</f>
        <v>#NAME?</v>
      </c>
      <c r="F3362" s="5" t="s">
        <v>35442</v>
      </c>
      <c r="G3362" s="5" t="s">
        <v>35443</v>
      </c>
      <c r="H3362" s="26">
        <v>6</v>
      </c>
      <c r="I3362" s="5" t="s">
        <v>35444</v>
      </c>
      <c r="J3362" s="5" t="s">
        <v>25259</v>
      </c>
      <c r="K3362" s="5" t="s">
        <v>344</v>
      </c>
      <c r="L3362" s="5" t="s">
        <v>34925</v>
      </c>
      <c r="M3362" s="27"/>
      <c r="N3362" s="5"/>
      <c r="O3362" s="5" t="str">
        <v>7713442163</v>
      </c>
      <c r="P3362" s="27">
        <v>100000</v>
      </c>
      <c r="Q3362" s="5"/>
      <c r="R3362" s="5"/>
      <c r="S3362" s="5" t="s">
        <v>49110</v>
      </c>
      <c r="T3362" s="28">
        <v>9026000</v>
      </c>
      <c r="U3362" s="28"/>
      <c r="V3362" s="28">
        <v>311534000</v>
      </c>
      <c r="W3362" s="28"/>
      <c r="X3362" s="28">
        <v>22804000</v>
      </c>
      <c r="Y3362" s="28">
        <v>881184000</v>
      </c>
      <c r="Z3362" s="28">
        <v>25510000</v>
      </c>
      <c r="AA3362" s="28">
        <v>454775000</v>
      </c>
      <c r="AB3362" s="28">
        <v>51979000</v>
      </c>
      <c r="AC3362" s="28">
        <v>289766000</v>
      </c>
      <c r="AD3362" s="28">
        <v>128006000</v>
      </c>
      <c r="AE3362" s="28">
        <v>4755153000</v>
      </c>
      <c r="AF3362" s="28">
        <v>12388000</v>
      </c>
      <c r="AG3362" s="11"/>
    </row>
    <row r="3363">
      <c r="A3363" s="7" t="s">
        <v>5036</v>
      </c>
      <c r="B3363" s="5" t="s">
        <v>13004</v>
      </c>
      <c r="C3363" s="5" t="s">
        <v>20803</v>
      </c>
      <c r="D3363" s="5" t="str">
        <v>226900898347</v>
      </c>
      <c r="E3363" s="0" t="e">
        <f>+7 (495) 6626624
+7 (812) 2712121
+7 (812) 6771111
+7 (812) 7777200</f>
        <v>#NAME?</v>
      </c>
      <c r="F3363" s="5" t="s">
        <v>35445</v>
      </c>
      <c r="G3363" s="5"/>
      <c r="H3363" s="26">
        <v>19.5</v>
      </c>
      <c r="I3363" s="5"/>
      <c r="J3363" s="5" t="s">
        <v>25324</v>
      </c>
      <c r="K3363" s="5" t="s">
        <v>344</v>
      </c>
      <c r="L3363" s="5"/>
      <c r="M3363" s="27"/>
      <c r="N3363" s="5" t="s">
        <v>54550</v>
      </c>
      <c r="O3363" s="5" t="str">
        <v>7806144593</v>
      </c>
      <c r="P3363" s="27">
        <v>12740</v>
      </c>
      <c r="Q3363" s="5" t="s">
        <v>54551</v>
      </c>
      <c r="R3363" s="5"/>
      <c r="S3363" s="5" t="s">
        <v>49496</v>
      </c>
      <c r="T3363" s="28">
        <v>10333369000</v>
      </c>
      <c r="U3363" s="28"/>
      <c r="V3363" s="28">
        <v>455188000</v>
      </c>
      <c r="W3363" s="28"/>
      <c r="X3363" s="28">
        <v>1618012000</v>
      </c>
      <c r="Y3363" s="28">
        <v>12560181000</v>
      </c>
      <c r="Z3363" s="28">
        <v>617952000</v>
      </c>
      <c r="AA3363" s="28">
        <v>8746786000</v>
      </c>
      <c r="AB3363" s="28"/>
      <c r="AC3363" s="28">
        <v>279333000</v>
      </c>
      <c r="AD3363" s="28">
        <v>2625287000</v>
      </c>
      <c r="AE3363" s="28">
        <v>3193332000</v>
      </c>
      <c r="AF3363" s="28">
        <v>1034053000</v>
      </c>
      <c r="AG3363" s="11"/>
    </row>
    <row r="3364">
      <c r="A3364" s="7" t="s">
        <v>5037</v>
      </c>
      <c r="B3364" s="5" t="s">
        <v>13005</v>
      </c>
      <c r="C3364" s="5" t="s">
        <v>20804</v>
      </c>
      <c r="D3364" s="5" t="str">
        <v>507461367952</v>
      </c>
      <c r="E3364" s="0" t="e">
        <f>+7 (495) 6600643
+7 (495) 6600644
+7 (916) 6319445
+7 (925) 7580153
+7 (965) 2562239</f>
        <v>#NAME?</v>
      </c>
      <c r="F3364" s="5" t="s">
        <v>35446</v>
      </c>
      <c r="G3364" s="5"/>
      <c r="H3364" s="26">
        <v>10</v>
      </c>
      <c r="I3364" s="5" t="s">
        <v>35447</v>
      </c>
      <c r="J3364" s="5" t="s">
        <v>821</v>
      </c>
      <c r="K3364" s="5" t="s">
        <v>355</v>
      </c>
      <c r="L3364" s="5" t="s">
        <v>35448</v>
      </c>
      <c r="M3364" s="27"/>
      <c r="N3364" s="5"/>
      <c r="O3364" s="5" t="str">
        <v>7719838588</v>
      </c>
      <c r="P3364" s="27">
        <v>10000</v>
      </c>
      <c r="Q3364" s="5"/>
      <c r="R3364" s="5"/>
      <c r="S3364" s="5" t="s">
        <v>49029</v>
      </c>
      <c r="T3364" s="28">
        <v>168831000</v>
      </c>
      <c r="U3364" s="28"/>
      <c r="V3364" s="28">
        <v>338127000</v>
      </c>
      <c r="W3364" s="28"/>
      <c r="X3364" s="28">
        <v>20450000</v>
      </c>
      <c r="Y3364" s="28">
        <v>629935000</v>
      </c>
      <c r="Z3364" s="28">
        <v>42392000</v>
      </c>
      <c r="AA3364" s="28"/>
      <c r="AB3364" s="28">
        <v>244276000</v>
      </c>
      <c r="AC3364" s="28">
        <v>503104000</v>
      </c>
      <c r="AD3364" s="28">
        <v>102837000</v>
      </c>
      <c r="AE3364" s="28">
        <v>3069499000</v>
      </c>
      <c r="AF3364" s="28">
        <v>37562000</v>
      </c>
      <c r="AG3364" s="11"/>
    </row>
    <row r="3365">
      <c r="A3365" s="7" t="s">
        <v>5038</v>
      </c>
      <c r="B3365" s="5" t="s">
        <v>13006</v>
      </c>
      <c r="C3365" s="5" t="s">
        <v>20805</v>
      </c>
      <c r="D3365" s="5" t="str">
        <v>771405192271</v>
      </c>
      <c r="E3365" s="0" t="e">
        <f>+7 (495) 7999600</f>
        <v>#NAME?</v>
      </c>
      <c r="F3365" s="5" t="s">
        <v>35449</v>
      </c>
      <c r="G3365" s="5" t="s">
        <v>35450</v>
      </c>
      <c r="H3365" s="26">
        <v>18</v>
      </c>
      <c r="I3365" s="5" t="s">
        <v>35451</v>
      </c>
      <c r="J3365" s="5" t="s">
        <v>35452</v>
      </c>
      <c r="K3365" s="5" t="s">
        <v>344</v>
      </c>
      <c r="L3365" s="5" t="s">
        <v>35453</v>
      </c>
      <c r="M3365" s="27">
        <v>373149</v>
      </c>
      <c r="N3365" s="5" t="s">
        <v>54552</v>
      </c>
      <c r="O3365" s="5" t="str">
        <v>7743553167</v>
      </c>
      <c r="P3365" s="27">
        <v>1000000</v>
      </c>
      <c r="Q3365" s="5" t="s">
        <v>54553</v>
      </c>
      <c r="R3365" s="5"/>
      <c r="S3365" s="5" t="s">
        <v>54554</v>
      </c>
      <c r="T3365" s="28">
        <v>25452000</v>
      </c>
      <c r="U3365" s="28"/>
      <c r="V3365" s="28">
        <v>1679382000</v>
      </c>
      <c r="W3365" s="28">
        <v>10000000</v>
      </c>
      <c r="X3365" s="28">
        <v>221692000</v>
      </c>
      <c r="Y3365" s="28">
        <v>2932449000</v>
      </c>
      <c r="Z3365" s="28">
        <v>514274000</v>
      </c>
      <c r="AA3365" s="28"/>
      <c r="AB3365" s="28">
        <v>15844000</v>
      </c>
      <c r="AC3365" s="28">
        <v>2410033000</v>
      </c>
      <c r="AD3365" s="28">
        <v>515274000</v>
      </c>
      <c r="AE3365" s="28">
        <v>15645275000</v>
      </c>
      <c r="AF3365" s="28">
        <v>250348000</v>
      </c>
      <c r="AG3365" s="11"/>
    </row>
    <row r="3366">
      <c r="A3366" s="7" t="s">
        <v>5039</v>
      </c>
      <c r="B3366" s="5" t="s">
        <v>13007</v>
      </c>
      <c r="C3366" s="5" t="s">
        <v>20806</v>
      </c>
      <c r="D3366" s="5" t="str">
        <v>673101596594</v>
      </c>
      <c r="E3366" s="0" t="e">
        <f>+7 (495) 6452800
+7 (495) 1053527
+7 (495) 4233562
+7 (495) 7753370
+7 (495) 7753371
+7 (495) 2216433</f>
        <v>#NAME?</v>
      </c>
      <c r="F3366" s="5" t="s">
        <v>35454</v>
      </c>
      <c r="G3366" s="5" t="s">
        <v>35455</v>
      </c>
      <c r="H3366" s="26">
        <v>26</v>
      </c>
      <c r="I3366" s="5" t="s">
        <v>35456</v>
      </c>
      <c r="J3366" s="5" t="s">
        <v>28520</v>
      </c>
      <c r="K3366" s="5" t="s">
        <v>344</v>
      </c>
      <c r="L3366" s="5" t="s">
        <v>35457</v>
      </c>
      <c r="M3366" s="27"/>
      <c r="N3366" s="5"/>
      <c r="O3366" s="5" t="str">
        <v>7728169189</v>
      </c>
      <c r="P3366" s="27">
        <v>729000</v>
      </c>
      <c r="Q3366" s="5" t="s">
        <v>49021</v>
      </c>
      <c r="R3366" s="5" t="s">
        <v>54555</v>
      </c>
      <c r="S3366" s="5" t="s">
        <v>49953</v>
      </c>
      <c r="T3366" s="28">
        <v>969831000</v>
      </c>
      <c r="U3366" s="28">
        <v>2500000</v>
      </c>
      <c r="V3366" s="28">
        <v>740605000</v>
      </c>
      <c r="W3366" s="28">
        <v>65000000</v>
      </c>
      <c r="X3366" s="28">
        <v>141316000</v>
      </c>
      <c r="Y3366" s="28">
        <v>2474015000</v>
      </c>
      <c r="Z3366" s="28">
        <v>1823265000</v>
      </c>
      <c r="AA3366" s="28">
        <v>115000000</v>
      </c>
      <c r="AB3366" s="28">
        <v>98000</v>
      </c>
      <c r="AC3366" s="28">
        <v>468593000</v>
      </c>
      <c r="AD3366" s="28">
        <v>1823994000</v>
      </c>
      <c r="AE3366" s="28">
        <v>4007674000</v>
      </c>
      <c r="AF3366" s="28">
        <v>515712000</v>
      </c>
      <c r="AG3366" s="11"/>
    </row>
    <row r="3367">
      <c r="A3367" s="7" t="s">
        <v>5040</v>
      </c>
      <c r="B3367" s="5" t="s">
        <v>13008</v>
      </c>
      <c r="C3367" s="5" t="s">
        <v>20807</v>
      </c>
      <c r="D3367" s="5" t="str">
        <v>272104071190</v>
      </c>
      <c r="E3367" s="0" t="e">
        <f>+7 (926) 5857944</f>
        <v>#NAME?</v>
      </c>
      <c r="F3367" s="5"/>
      <c r="G3367" s="5"/>
      <c r="H3367" s="26">
        <v>6.5</v>
      </c>
      <c r="I3367" s="5" t="s">
        <v>35458</v>
      </c>
      <c r="J3367" s="5" t="s">
        <v>641</v>
      </c>
      <c r="K3367" s="5" t="s">
        <v>344</v>
      </c>
      <c r="L3367" s="5"/>
      <c r="M3367" s="27"/>
      <c r="N3367" s="5"/>
      <c r="O3367" s="5" t="str">
        <v>7727297325</v>
      </c>
      <c r="P3367" s="27">
        <v>2000000</v>
      </c>
      <c r="Q3367" s="5"/>
      <c r="R3367" s="5"/>
      <c r="S3367" s="5" t="s">
        <v>49029</v>
      </c>
      <c r="T3367" s="28">
        <v>1464000</v>
      </c>
      <c r="U3367" s="28"/>
      <c r="V3367" s="28">
        <v>852513000</v>
      </c>
      <c r="W3367" s="28"/>
      <c r="X3367" s="28">
        <v>2000000</v>
      </c>
      <c r="Y3367" s="28">
        <v>858173000</v>
      </c>
      <c r="Z3367" s="28">
        <v>389407000</v>
      </c>
      <c r="AA3367" s="28">
        <v>285000</v>
      </c>
      <c r="AB3367" s="28"/>
      <c r="AC3367" s="28">
        <v>465664000</v>
      </c>
      <c r="AD3367" s="28">
        <v>391407000</v>
      </c>
      <c r="AE3367" s="28">
        <v>3844112000</v>
      </c>
      <c r="AF3367" s="28">
        <v>1159461000</v>
      </c>
      <c r="AG3367" s="11"/>
    </row>
    <row r="3368">
      <c r="A3368" s="7" t="s">
        <v>5041</v>
      </c>
      <c r="B3368" s="5" t="s">
        <v>13009</v>
      </c>
      <c r="C3368" s="5" t="s">
        <v>20808</v>
      </c>
      <c r="D3368" s="5" t="str">
        <v>366300022309</v>
      </c>
      <c r="E3368" s="0" t="e">
        <f>+7 (473) 2388652
+7 (473) 2398826
+7 (920) 4096000
+7 (910) 3004264
+7 (915) 8889102
+7 (920) 4540497
+7 (930) 4296241
+7 (472) 2402466
+7 (473) 2395283
+7 (473) 2717149
+7 (473) 2717153
+7 (484) 2510937
+7 (910) 2400008</f>
        <v>#NAME?</v>
      </c>
      <c r="F3368" s="5" t="s">
        <v>35459</v>
      </c>
      <c r="G3368" s="5" t="s">
        <v>35460</v>
      </c>
      <c r="H3368" s="26">
        <v>16.5</v>
      </c>
      <c r="I3368" s="5" t="s">
        <v>35461</v>
      </c>
      <c r="J3368" s="5" t="s">
        <v>678</v>
      </c>
      <c r="K3368" s="5" t="s">
        <v>344</v>
      </c>
      <c r="L3368" s="5" t="s">
        <v>35462</v>
      </c>
      <c r="M3368" s="27"/>
      <c r="N3368" s="5" t="s">
        <v>54556</v>
      </c>
      <c r="O3368" s="5" t="str">
        <v>3664074710</v>
      </c>
      <c r="P3368" s="27">
        <v>20000</v>
      </c>
      <c r="Q3368" s="5" t="s">
        <v>54557</v>
      </c>
      <c r="R3368" s="5"/>
      <c r="S3368" s="5" t="s">
        <v>54558</v>
      </c>
      <c r="T3368" s="28">
        <v>7757000</v>
      </c>
      <c r="U3368" s="28"/>
      <c r="V3368" s="28">
        <v>482230000</v>
      </c>
      <c r="W3368" s="28">
        <v>1900000</v>
      </c>
      <c r="X3368" s="28">
        <v>7338000</v>
      </c>
      <c r="Y3368" s="28">
        <v>1048061000</v>
      </c>
      <c r="Z3368" s="28">
        <v>193411000</v>
      </c>
      <c r="AA3368" s="28">
        <v>100000000</v>
      </c>
      <c r="AB3368" s="28">
        <v>505212000</v>
      </c>
      <c r="AC3368" s="28">
        <v>753803000</v>
      </c>
      <c r="AD3368" s="28">
        <v>193431000</v>
      </c>
      <c r="AE3368" s="28">
        <v>4113711000</v>
      </c>
      <c r="AF3368" s="28">
        <v>110454000</v>
      </c>
      <c r="AG3368" s="11"/>
    </row>
    <row r="3369">
      <c r="A3369" s="7" t="s">
        <v>5042</v>
      </c>
      <c r="B3369" s="5" t="s">
        <v>13010</v>
      </c>
      <c r="C3369" s="5" t="s">
        <v>20809</v>
      </c>
      <c r="D3369" s="5" t="str">
        <v>773310274346</v>
      </c>
      <c r="E3369" s="0" t="e">
        <f>+7 (343) 2871022
+7 (34370) 92633
+7 (495) 1314313
+7 (495) 4564645
+7 (495) 5455465
+7 (495) 5646544
+7 (495) 7771111
+7 (495) 9213028
+7 (495) 9213086
+7 (495) 9213388
+7 (495) 9219088
+7 (800) 7778333
+7 (84633) 12135
+7 (343) 2871021
+7 (812) 3248141</f>
        <v>#NAME?</v>
      </c>
      <c r="F3369" s="5" t="s">
        <v>35463</v>
      </c>
      <c r="G3369" s="5" t="s">
        <v>35464</v>
      </c>
      <c r="H3369" s="26">
        <v>25</v>
      </c>
      <c r="I3369" s="5" t="s">
        <v>35465</v>
      </c>
      <c r="J3369" s="5" t="s">
        <v>25429</v>
      </c>
      <c r="K3369" s="5" t="s">
        <v>344</v>
      </c>
      <c r="L3369" s="5" t="s">
        <v>35466</v>
      </c>
      <c r="M3369" s="27">
        <v>28000000</v>
      </c>
      <c r="N3369" s="5" t="s">
        <v>54559</v>
      </c>
      <c r="O3369" s="5" t="str">
        <v>7734171740</v>
      </c>
      <c r="P3369" s="27">
        <v>100000</v>
      </c>
      <c r="Q3369" s="5" t="s">
        <v>54560</v>
      </c>
      <c r="R3369" s="5"/>
      <c r="S3369" s="5" t="s">
        <v>50565</v>
      </c>
      <c r="T3369" s="28">
        <v>118055000</v>
      </c>
      <c r="U3369" s="28">
        <v>1333730000</v>
      </c>
      <c r="V3369" s="28">
        <v>2008407000</v>
      </c>
      <c r="W3369" s="28">
        <v>584468000</v>
      </c>
      <c r="X3369" s="28">
        <v>321030000</v>
      </c>
      <c r="Y3369" s="28">
        <v>5129833000</v>
      </c>
      <c r="Z3369" s="28">
        <v>812589000</v>
      </c>
      <c r="AA3369" s="28"/>
      <c r="AB3369" s="28">
        <v>253000000</v>
      </c>
      <c r="AC3369" s="28">
        <v>4309805000</v>
      </c>
      <c r="AD3369" s="28">
        <v>812689000</v>
      </c>
      <c r="AE3369" s="28">
        <v>6135652000</v>
      </c>
      <c r="AF3369" s="28">
        <v>656676000</v>
      </c>
      <c r="AG3369" s="11"/>
    </row>
    <row r="3370">
      <c r="A3370" s="7" t="s">
        <v>5043</v>
      </c>
      <c r="B3370" s="5" t="s">
        <v>13011</v>
      </c>
      <c r="C3370" s="5" t="s">
        <v>20810</v>
      </c>
      <c r="D3370" s="5" t="str">
        <v>673001556870</v>
      </c>
      <c r="E3370" s="0" t="e">
        <f>+7 (481) 2304631
+7 (481) 2304632
+7 (481) 2304633
+7 (481) 2304634
+7 (481) 2304635</f>
        <v>#NAME?</v>
      </c>
      <c r="F3370" s="5"/>
      <c r="G3370" s="5"/>
      <c r="H3370" s="26">
        <v>9</v>
      </c>
      <c r="I3370" s="5" t="s">
        <v>35467</v>
      </c>
      <c r="J3370" s="5" t="s">
        <v>35468</v>
      </c>
      <c r="K3370" s="5" t="s">
        <v>344</v>
      </c>
      <c r="L3370" s="5"/>
      <c r="M3370" s="27"/>
      <c r="N3370" s="5"/>
      <c r="O3370" s="5" t="str">
        <v>3906313745</v>
      </c>
      <c r="P3370" s="27">
        <v>3500000</v>
      </c>
      <c r="Q3370" s="5" t="s">
        <v>49009</v>
      </c>
      <c r="R3370" s="5"/>
      <c r="S3370" s="5" t="s">
        <v>49010</v>
      </c>
      <c r="T3370" s="28">
        <v>1023060000</v>
      </c>
      <c r="U3370" s="28"/>
      <c r="V3370" s="28">
        <v>687466000</v>
      </c>
      <c r="W3370" s="28">
        <v>787085000</v>
      </c>
      <c r="X3370" s="28">
        <v>180167000</v>
      </c>
      <c r="Y3370" s="28">
        <v>6519019000</v>
      </c>
      <c r="Z3370" s="28">
        <v>2669743000</v>
      </c>
      <c r="AA3370" s="28"/>
      <c r="AB3370" s="28">
        <v>309939000</v>
      </c>
      <c r="AC3370" s="28">
        <v>656599000</v>
      </c>
      <c r="AD3370" s="28">
        <v>2673243000</v>
      </c>
      <c r="AE3370" s="28">
        <v>3457906000</v>
      </c>
      <c r="AF3370" s="28">
        <v>1909417000</v>
      </c>
      <c r="AG3370" s="11"/>
    </row>
    <row r="3371">
      <c r="A3371" s="7" t="s">
        <v>5044</v>
      </c>
      <c r="B3371" s="5" t="s">
        <v>13012</v>
      </c>
      <c r="C3371" s="5" t="s">
        <v>20811</v>
      </c>
      <c r="D3371" s="5" t="str">
        <v>165506904040</v>
      </c>
      <c r="E3371" s="0" t="e">
        <f>+7 (800) 3336061
+7 (800) 5559916
+7 (962) 5670198
+7 (962) 5670333
+7 (962) 5670565
+7 (962) 5672626
+7 (962) 5675303
+7 (962) 5680011
+7 (962) 5680550
+7 (962) 5682111
+7 (962) 5684004
+7 (962) 5685551
+7 (962) 5685667
+7 (962) 5687744
+7 (962) 5688181</f>
        <v>#NAME?</v>
      </c>
      <c r="F3371" s="5"/>
      <c r="G3371" s="5" t="s">
        <v>35469</v>
      </c>
      <c r="H3371" s="26">
        <v>8.5</v>
      </c>
      <c r="I3371" s="5" t="s">
        <v>35470</v>
      </c>
      <c r="J3371" s="5" t="s">
        <v>32867</v>
      </c>
      <c r="K3371" s="5" t="s">
        <v>344</v>
      </c>
      <c r="L3371" s="5" t="s">
        <v>35471</v>
      </c>
      <c r="M3371" s="27"/>
      <c r="N3371" s="5"/>
      <c r="O3371" s="5" t="str">
        <v>1639049890</v>
      </c>
      <c r="P3371" s="27">
        <v>20000</v>
      </c>
      <c r="Q3371" s="5" t="s">
        <v>49009</v>
      </c>
      <c r="R3371" s="5"/>
      <c r="S3371" s="5" t="s">
        <v>49545</v>
      </c>
      <c r="T3371" s="28">
        <v>28054000</v>
      </c>
      <c r="U3371" s="28"/>
      <c r="V3371" s="28">
        <v>822600000</v>
      </c>
      <c r="W3371" s="28">
        <v>4998005000</v>
      </c>
      <c r="X3371" s="28">
        <v>510777000</v>
      </c>
      <c r="Y3371" s="28">
        <v>6548981000</v>
      </c>
      <c r="Z3371" s="28">
        <v>2037184000</v>
      </c>
      <c r="AA3371" s="28">
        <v>9500000</v>
      </c>
      <c r="AB3371" s="28">
        <v>36376000</v>
      </c>
      <c r="AC3371" s="28">
        <v>4474226000</v>
      </c>
      <c r="AD3371" s="28">
        <v>2037204000</v>
      </c>
      <c r="AE3371" s="28">
        <v>17214227000</v>
      </c>
      <c r="AF3371" s="28">
        <v>1864835000</v>
      </c>
      <c r="AG3371" s="11"/>
    </row>
    <row r="3372">
      <c r="A3372" s="7" t="s">
        <v>5045</v>
      </c>
      <c r="B3372" s="5" t="s">
        <v>13013</v>
      </c>
      <c r="C3372" s="5" t="s">
        <v>20812</v>
      </c>
      <c r="D3372" s="5" t="str">
        <v>163400770547</v>
      </c>
      <c r="E3372" s="0" t="e">
        <f>+7 (987) 34929</f>
        <v>#NAME?</v>
      </c>
      <c r="F3372" s="5" t="s">
        <v>35472</v>
      </c>
      <c r="G3372" s="5"/>
      <c r="H3372" s="26">
        <v>4.5</v>
      </c>
      <c r="I3372" s="5" t="s">
        <v>35473</v>
      </c>
      <c r="J3372" s="5" t="s">
        <v>373</v>
      </c>
      <c r="K3372" s="5" t="s">
        <v>344</v>
      </c>
      <c r="L3372" s="5" t="s">
        <v>35474</v>
      </c>
      <c r="M3372" s="27"/>
      <c r="N3372" s="5"/>
      <c r="O3372" s="5" t="str">
        <v>1659194053</v>
      </c>
      <c r="P3372" s="27">
        <v>200000</v>
      </c>
      <c r="Q3372" s="5" t="s">
        <v>49057</v>
      </c>
      <c r="R3372" s="5"/>
      <c r="S3372" s="5" t="s">
        <v>54561</v>
      </c>
      <c r="T3372" s="28">
        <v>5157000</v>
      </c>
      <c r="U3372" s="28"/>
      <c r="V3372" s="28">
        <v>409884000</v>
      </c>
      <c r="W3372" s="28">
        <v>9633000</v>
      </c>
      <c r="X3372" s="28">
        <v>9000</v>
      </c>
      <c r="Y3372" s="28">
        <v>427319000</v>
      </c>
      <c r="Z3372" s="28">
        <v>17068000</v>
      </c>
      <c r="AA3372" s="28">
        <v>231305000</v>
      </c>
      <c r="AB3372" s="28">
        <v>100077000</v>
      </c>
      <c r="AC3372" s="28">
        <v>177554000</v>
      </c>
      <c r="AD3372" s="28">
        <v>17268000</v>
      </c>
      <c r="AE3372" s="28">
        <v>4878772000</v>
      </c>
      <c r="AF3372" s="28">
        <v>9000</v>
      </c>
      <c r="AG3372" s="11"/>
    </row>
    <row r="3373">
      <c r="A3373" s="7" t="s">
        <v>5046</v>
      </c>
      <c r="B3373" s="5" t="s">
        <v>13014</v>
      </c>
      <c r="C3373" s="5" t="s">
        <v>20813</v>
      </c>
      <c r="D3373" s="5" t="str">
        <v>300402996686</v>
      </c>
      <c r="E3373" s="0" t="e">
        <f>+7 (413) 2630035
+7 (413) 2655803
+7 (914) 8563214
+7 (924) 8537770
+7 (413) 2230050
+7 (413) 2607526
+7 (413) 2607914
+7 (413) 2621135
+7 (413) 2630050
+7 (413) 2630484
+7 (413) 2631125
+7 (413) 2631887
+7 (41346) 91321
+7 (4232) 631135
+7 (914) 8514167</f>
        <v>#NAME?</v>
      </c>
      <c r="F3373" s="5" t="s">
        <v>35475</v>
      </c>
      <c r="G3373" s="5"/>
      <c r="H3373" s="26">
        <v>21</v>
      </c>
      <c r="I3373" s="5" t="s">
        <v>35476</v>
      </c>
      <c r="J3373" s="5" t="s">
        <v>28375</v>
      </c>
      <c r="K3373" s="5" t="s">
        <v>344</v>
      </c>
      <c r="L3373" s="5" t="s">
        <v>35477</v>
      </c>
      <c r="M3373" s="27">
        <v>1950000</v>
      </c>
      <c r="N3373" s="5" t="s">
        <v>54562</v>
      </c>
      <c r="O3373" s="5" t="str">
        <v>4900009476</v>
      </c>
      <c r="P3373" s="27">
        <v>10000</v>
      </c>
      <c r="Q3373" s="5" t="s">
        <v>54563</v>
      </c>
      <c r="R3373" s="5"/>
      <c r="S3373" s="5" t="s">
        <v>49062</v>
      </c>
      <c r="T3373" s="28">
        <v>19316000</v>
      </c>
      <c r="U3373" s="28"/>
      <c r="V3373" s="28">
        <v>222192000</v>
      </c>
      <c r="W3373" s="28"/>
      <c r="X3373" s="28">
        <v>25657000</v>
      </c>
      <c r="Y3373" s="28">
        <v>314641000</v>
      </c>
      <c r="Z3373" s="28">
        <v>172419000</v>
      </c>
      <c r="AA3373" s="28"/>
      <c r="AB3373" s="28"/>
      <c r="AC3373" s="28">
        <v>142212000</v>
      </c>
      <c r="AD3373" s="28">
        <v>172429000</v>
      </c>
      <c r="AE3373" s="28">
        <v>5212701000</v>
      </c>
      <c r="AF3373" s="28">
        <v>10894000</v>
      </c>
      <c r="AG3373" s="11"/>
    </row>
    <row r="3374">
      <c r="A3374" s="7" t="s">
        <v>5047</v>
      </c>
      <c r="B3374" s="5" t="s">
        <v>13015</v>
      </c>
      <c r="C3374" s="5" t="s">
        <v>17986</v>
      </c>
      <c r="D3374" s="5" t="str">
        <v>253604415635</v>
      </c>
      <c r="E3374" s="0" t="e">
        <f>+7 (415) 2415815
+7 (415) 2415816</f>
        <v>#NAME?</v>
      </c>
      <c r="F3374" s="5" t="s">
        <v>35478</v>
      </c>
      <c r="G3374" s="5"/>
      <c r="H3374" s="26">
        <v>9.5</v>
      </c>
      <c r="I3374" s="5" t="s">
        <v>35479</v>
      </c>
      <c r="J3374" s="5" t="s">
        <v>26424</v>
      </c>
      <c r="K3374" s="5" t="s">
        <v>380</v>
      </c>
      <c r="L3374" s="5" t="s">
        <v>35480</v>
      </c>
      <c r="M3374" s="27"/>
      <c r="N3374" s="5"/>
      <c r="O3374" s="5" t="str">
        <v>4909117170</v>
      </c>
      <c r="P3374" s="27">
        <v>80610000</v>
      </c>
      <c r="Q3374" s="5"/>
      <c r="R3374" s="5"/>
      <c r="S3374" s="5" t="s">
        <v>49029</v>
      </c>
      <c r="T3374" s="28">
        <v>4742490000</v>
      </c>
      <c r="U3374" s="28"/>
      <c r="V3374" s="28">
        <v>2622843000</v>
      </c>
      <c r="W3374" s="28"/>
      <c r="X3374" s="28">
        <v>69859000</v>
      </c>
      <c r="Y3374" s="28">
        <v>11459572000</v>
      </c>
      <c r="Z3374" s="28">
        <v>1698492000</v>
      </c>
      <c r="AA3374" s="28">
        <v>5031965000</v>
      </c>
      <c r="AB3374" s="28">
        <v>1325315000</v>
      </c>
      <c r="AC3374" s="28">
        <v>4636413000</v>
      </c>
      <c r="AD3374" s="28">
        <v>1791194000</v>
      </c>
      <c r="AE3374" s="28">
        <v>7402086000</v>
      </c>
      <c r="AF3374" s="28">
        <v>240393000</v>
      </c>
      <c r="AG3374" s="11"/>
    </row>
    <row r="3375">
      <c r="A3375" s="7" t="s">
        <v>5048</v>
      </c>
      <c r="B3375" s="5" t="s">
        <v>13016</v>
      </c>
      <c r="C3375" s="5" t="s">
        <v>20814</v>
      </c>
      <c r="D3375" s="5" t="str">
        <v>490902873570</v>
      </c>
      <c r="E3375" s="0" t="e">
        <f>+7 (411) 2455232
+7 (413) 2230772
+7 (413) 2297869
+7 (413) 2620619
+7 (413) 2620781
+7 (413) 2623800
+7 (413) 2629275
+7 (413) 2629281
+7 (413) 2629423
+7 (413) 2629644
+7 (413) 2630158
+7 (413) 2630772
+7 (413) 2633369
+7 (413) 2633537
+7 (413) 2635002</f>
        <v>#NAME?</v>
      </c>
      <c r="F3375" s="5" t="s">
        <v>35481</v>
      </c>
      <c r="G3375" s="5"/>
      <c r="H3375" s="26">
        <v>30</v>
      </c>
      <c r="I3375" s="5" t="s">
        <v>35482</v>
      </c>
      <c r="J3375" s="5" t="s">
        <v>27802</v>
      </c>
      <c r="K3375" s="5" t="s">
        <v>355</v>
      </c>
      <c r="L3375" s="5"/>
      <c r="M3375" s="27">
        <v>129302664</v>
      </c>
      <c r="N3375" s="5" t="s">
        <v>54564</v>
      </c>
      <c r="O3375" s="5" t="str">
        <v>4909047148</v>
      </c>
      <c r="P3375" s="27">
        <v>609512000</v>
      </c>
      <c r="Q3375" s="5" t="s">
        <v>54565</v>
      </c>
      <c r="R3375" s="5"/>
      <c r="S3375" s="5" t="s">
        <v>51048</v>
      </c>
      <c r="T3375" s="28">
        <v>10925659000</v>
      </c>
      <c r="U3375" s="28">
        <v>274929000</v>
      </c>
      <c r="V3375" s="28">
        <v>7644674000</v>
      </c>
      <c r="W3375" s="28">
        <v>65780000</v>
      </c>
      <c r="X3375" s="28">
        <v>37903000</v>
      </c>
      <c r="Y3375" s="28">
        <v>22770754000</v>
      </c>
      <c r="Z3375" s="28">
        <v>5833234000</v>
      </c>
      <c r="AA3375" s="28">
        <v>6150672000</v>
      </c>
      <c r="AB3375" s="28">
        <v>4439124000</v>
      </c>
      <c r="AC3375" s="28">
        <v>8779325000</v>
      </c>
      <c r="AD3375" s="28">
        <v>6480138000</v>
      </c>
      <c r="AE3375" s="28">
        <v>13398774000</v>
      </c>
      <c r="AF3375" s="28">
        <v>1140000</v>
      </c>
      <c r="AG3375" s="11"/>
    </row>
    <row r="3376">
      <c r="A3376" s="7" t="s">
        <v>5049</v>
      </c>
      <c r="B3376" s="5" t="s">
        <v>13017</v>
      </c>
      <c r="C3376" s="5" t="s">
        <v>20815</v>
      </c>
      <c r="D3376" s="5" t="str">
        <v>500509821148</v>
      </c>
      <c r="E3376" s="0" t="e">
        <f>+7 (495) 6212937
+7 (495) 6213572
+7 (495) 6235789
+7 (495) 6928773
+7 (495) 7907310
+7 (495) 9958899</f>
        <v>#NAME?</v>
      </c>
      <c r="F3376" s="5"/>
      <c r="G3376" s="5"/>
      <c r="H3376" s="26">
        <v>17</v>
      </c>
      <c r="I3376" s="5" t="s">
        <v>35483</v>
      </c>
      <c r="J3376" s="5" t="s">
        <v>25195</v>
      </c>
      <c r="K3376" s="5" t="s">
        <v>344</v>
      </c>
      <c r="L3376" s="5"/>
      <c r="M3376" s="27">
        <v>28860022</v>
      </c>
      <c r="N3376" s="5" t="s">
        <v>54566</v>
      </c>
      <c r="O3376" s="5" t="str">
        <v>7710628219</v>
      </c>
      <c r="P3376" s="27">
        <v>961700000</v>
      </c>
      <c r="Q3376" s="5" t="s">
        <v>54567</v>
      </c>
      <c r="R3376" s="5" t="s">
        <v>54568</v>
      </c>
      <c r="S3376" s="5" t="s">
        <v>49012</v>
      </c>
      <c r="T3376" s="28">
        <v>791347000</v>
      </c>
      <c r="U3376" s="28"/>
      <c r="V3376" s="28">
        <v>693152000</v>
      </c>
      <c r="W3376" s="28">
        <v>527721000</v>
      </c>
      <c r="X3376" s="28">
        <v>205248000</v>
      </c>
      <c r="Y3376" s="28">
        <v>16237061000</v>
      </c>
      <c r="Z3376" s="28">
        <v>3733615000</v>
      </c>
      <c r="AA3376" s="28">
        <v>200000000</v>
      </c>
      <c r="AB3376" s="28">
        <v>6966985000</v>
      </c>
      <c r="AC3376" s="28">
        <v>11209844000</v>
      </c>
      <c r="AD3376" s="28">
        <v>4797515000</v>
      </c>
      <c r="AE3376" s="28">
        <v>15574511000</v>
      </c>
      <c r="AF3376" s="28">
        <v>79499000</v>
      </c>
      <c r="AG3376" s="11"/>
    </row>
    <row r="3377">
      <c r="A3377" s="7" t="s">
        <v>5050</v>
      </c>
      <c r="B3377" s="5" t="s">
        <v>13018</v>
      </c>
      <c r="C3377" s="5" t="s">
        <v>20816</v>
      </c>
      <c r="D3377" s="5" t="str">
        <v>773381123431</v>
      </c>
      <c r="E3377" s="0" t="e">
        <f>+7 (812) 3139100
+7 (812) 3200247
+7 (812) 6454004
+7 (812) 6454033
+7 (812) 6479234
+7 (812) 6479236</f>
        <v>#NAME?</v>
      </c>
      <c r="F3377" s="5" t="s">
        <v>35484</v>
      </c>
      <c r="G3377" s="5" t="s">
        <v>35485</v>
      </c>
      <c r="H3377" s="26">
        <v>12</v>
      </c>
      <c r="I3377" s="5" t="s">
        <v>35486</v>
      </c>
      <c r="J3377" s="5" t="s">
        <v>467</v>
      </c>
      <c r="K3377" s="5" t="s">
        <v>344</v>
      </c>
      <c r="L3377" s="5"/>
      <c r="M3377" s="27">
        <v>8905</v>
      </c>
      <c r="N3377" s="5" t="s">
        <v>54569</v>
      </c>
      <c r="O3377" s="5" t="str">
        <v>7710884741</v>
      </c>
      <c r="P3377" s="27">
        <v>300000000</v>
      </c>
      <c r="Q3377" s="5" t="s">
        <v>49009</v>
      </c>
      <c r="R3377" s="5"/>
      <c r="S3377" s="5" t="s">
        <v>50290</v>
      </c>
      <c r="T3377" s="28">
        <v>2729291000</v>
      </c>
      <c r="U3377" s="28">
        <v>11695099000</v>
      </c>
      <c r="V3377" s="28">
        <v>4411060000</v>
      </c>
      <c r="W3377" s="28">
        <v>1210333000</v>
      </c>
      <c r="X3377" s="28">
        <v>2750771000</v>
      </c>
      <c r="Y3377" s="28">
        <v>96536230000</v>
      </c>
      <c r="Z3377" s="28">
        <v>647355000</v>
      </c>
      <c r="AA3377" s="28">
        <v>77646391000</v>
      </c>
      <c r="AB3377" s="28">
        <v>4929631000</v>
      </c>
      <c r="AC3377" s="28">
        <v>9340880000</v>
      </c>
      <c r="AD3377" s="28">
        <v>1022568000</v>
      </c>
      <c r="AE3377" s="28">
        <v>16945704000</v>
      </c>
      <c r="AF3377" s="28">
        <v>453075000</v>
      </c>
      <c r="AG3377" s="11"/>
    </row>
    <row r="3378">
      <c r="A3378" s="7" t="s">
        <v>5051</v>
      </c>
      <c r="B3378" s="5" t="s">
        <v>13019</v>
      </c>
      <c r="C3378" s="5" t="s">
        <v>20817</v>
      </c>
      <c r="D3378" s="5" t="str">
        <v>583601891640</v>
      </c>
      <c r="E3378" s="0" t="e">
        <f>+7 (495) 31310
+7 (495) 959005
+7 (8412) 992243</f>
        <v>#NAME?</v>
      </c>
      <c r="F3378" s="5" t="s">
        <v>35487</v>
      </c>
      <c r="G3378" s="5"/>
      <c r="H3378" s="26">
        <v>15.5</v>
      </c>
      <c r="I3378" s="5" t="s">
        <v>35488</v>
      </c>
      <c r="J3378" s="5" t="s">
        <v>467</v>
      </c>
      <c r="K3378" s="5" t="s">
        <v>344</v>
      </c>
      <c r="L3378" s="5" t="s">
        <v>35489</v>
      </c>
      <c r="M3378" s="27">
        <v>41729665</v>
      </c>
      <c r="N3378" s="5" t="s">
        <v>54570</v>
      </c>
      <c r="O3378" s="5" t="str">
        <v>6325045051</v>
      </c>
      <c r="P3378" s="27">
        <v>101420000</v>
      </c>
      <c r="Q3378" s="5" t="s">
        <v>54571</v>
      </c>
      <c r="R3378" s="5"/>
      <c r="S3378" s="5" t="s">
        <v>54572</v>
      </c>
      <c r="T3378" s="28">
        <v>20918000</v>
      </c>
      <c r="U3378" s="28"/>
      <c r="V3378" s="28">
        <v>5020947000</v>
      </c>
      <c r="W3378" s="28">
        <v>374281000</v>
      </c>
      <c r="X3378" s="28">
        <v>180054000</v>
      </c>
      <c r="Y3378" s="28">
        <v>6454287000</v>
      </c>
      <c r="Z3378" s="28">
        <v>118457000</v>
      </c>
      <c r="AA3378" s="28"/>
      <c r="AB3378" s="28">
        <v>143568000</v>
      </c>
      <c r="AC3378" s="28">
        <v>6228710000</v>
      </c>
      <c r="AD3378" s="28">
        <v>219877000</v>
      </c>
      <c r="AE3378" s="28">
        <v>3823506000</v>
      </c>
      <c r="AF3378" s="28">
        <v>50937000</v>
      </c>
      <c r="AG3378" s="11"/>
    </row>
    <row r="3379">
      <c r="A3379" s="7" t="s">
        <v>5052</v>
      </c>
      <c r="B3379" s="5" t="s">
        <v>13020</v>
      </c>
      <c r="C3379" s="5" t="s">
        <v>20818</v>
      </c>
      <c r="D3379" s="5" t="str">
        <v>503006705052</v>
      </c>
      <c r="E3379" s="0" t="e">
        <f>+7 (495) 7107771
+7 (495) 7976802</f>
        <v>#NAME?</v>
      </c>
      <c r="F3379" s="5" t="s">
        <v>35490</v>
      </c>
      <c r="G3379" s="5" t="s">
        <v>35491</v>
      </c>
      <c r="H3379" s="26">
        <v>12.5</v>
      </c>
      <c r="I3379" s="5" t="s">
        <v>35492</v>
      </c>
      <c r="J3379" s="5" t="s">
        <v>1095</v>
      </c>
      <c r="K3379" s="5" t="s">
        <v>344</v>
      </c>
      <c r="L3379" s="5" t="s">
        <v>35493</v>
      </c>
      <c r="M3379" s="27"/>
      <c r="N3379" s="5"/>
      <c r="O3379" s="5" t="str">
        <v>5032225905</v>
      </c>
      <c r="P3379" s="27">
        <v>10000</v>
      </c>
      <c r="Q3379" s="5" t="s">
        <v>50437</v>
      </c>
      <c r="R3379" s="5"/>
      <c r="S3379" s="5" t="s">
        <v>54573</v>
      </c>
      <c r="T3379" s="28">
        <v>11196000</v>
      </c>
      <c r="U3379" s="28"/>
      <c r="V3379" s="28">
        <v>1326254000</v>
      </c>
      <c r="W3379" s="28"/>
      <c r="X3379" s="28">
        <v>13051000</v>
      </c>
      <c r="Y3379" s="28">
        <v>1384394000</v>
      </c>
      <c r="Z3379" s="28">
        <v>362876000</v>
      </c>
      <c r="AA3379" s="28"/>
      <c r="AB3379" s="28"/>
      <c r="AC3379" s="28">
        <v>731179000</v>
      </c>
      <c r="AD3379" s="28">
        <v>362886000</v>
      </c>
      <c r="AE3379" s="28">
        <v>3803230000</v>
      </c>
      <c r="AF3379" s="28">
        <v>214773000</v>
      </c>
      <c r="AG3379" s="11"/>
    </row>
    <row r="3380">
      <c r="A3380" s="7" t="s">
        <v>5053</v>
      </c>
      <c r="B3380" s="5" t="s">
        <v>13021</v>
      </c>
      <c r="C3380" s="5" t="s">
        <v>20819</v>
      </c>
      <c r="D3380" s="5" t="str">
        <v>614106539988</v>
      </c>
      <c r="E3380" s="0" t="e">
        <f>+7 (8632) 808034
+7 (918) 299666
+7 (8632) 800634
+7 (928) 1970783
+7 (938) 1089850
+7 (938) 1122865
+7 (938) 1125482</f>
        <v>#NAME?</v>
      </c>
      <c r="F3380" s="5" t="s">
        <v>35494</v>
      </c>
      <c r="G3380" s="5"/>
      <c r="H3380" s="26">
        <v>9.5</v>
      </c>
      <c r="I3380" s="5" t="s">
        <v>35495</v>
      </c>
      <c r="J3380" s="5" t="s">
        <v>678</v>
      </c>
      <c r="K3380" s="5" t="s">
        <v>344</v>
      </c>
      <c r="L3380" s="5" t="s">
        <v>35496</v>
      </c>
      <c r="M3380" s="27"/>
      <c r="N3380" s="5" t="s">
        <v>54574</v>
      </c>
      <c r="O3380" s="5" t="str">
        <v>6102059660</v>
      </c>
      <c r="P3380" s="27">
        <v>12500</v>
      </c>
      <c r="Q3380" s="5" t="s">
        <v>54575</v>
      </c>
      <c r="R3380" s="5"/>
      <c r="S3380" s="5" t="s">
        <v>54576</v>
      </c>
      <c r="T3380" s="28">
        <v>3766000</v>
      </c>
      <c r="U3380" s="28"/>
      <c r="V3380" s="28">
        <v>1360741000</v>
      </c>
      <c r="W3380" s="28">
        <v>14800000</v>
      </c>
      <c r="X3380" s="28">
        <v>26930000</v>
      </c>
      <c r="Y3380" s="28">
        <v>1520636000</v>
      </c>
      <c r="Z3380" s="28">
        <v>69708000</v>
      </c>
      <c r="AA3380" s="28"/>
      <c r="AB3380" s="28"/>
      <c r="AC3380" s="28">
        <v>1450883000</v>
      </c>
      <c r="AD3380" s="28">
        <v>69721000</v>
      </c>
      <c r="AE3380" s="28">
        <v>3975831000</v>
      </c>
      <c r="AF3380" s="28">
        <v>34112000</v>
      </c>
      <c r="AG3380" s="11"/>
    </row>
    <row r="3381">
      <c r="A3381" s="7" t="s">
        <v>5054</v>
      </c>
      <c r="B3381" s="5" t="s">
        <v>13022</v>
      </c>
      <c r="C3381" s="5" t="s">
        <v>20820</v>
      </c>
      <c r="D3381" s="5" t="str">
        <v>507271433004</v>
      </c>
      <c r="E3381" s="0" t="e">
        <f>+7 (499) 6851753
+7 (495) 1059242
+7 (495) 6385434
+7 (495) 9731307
+7 (499) 1121632
+7 (499) 1600373
+7 (499) 1674240
+7 (499) 1695411
+7 (499) 6850020
+7 (844) 2265617
+7 (844) 2268017
+7 (844) 2268018
+7 (844) 2932740
+7 (903) 7797224
+7 (906) 4019339</f>
        <v>#NAME?</v>
      </c>
      <c r="F3381" s="5" t="s">
        <v>35497</v>
      </c>
      <c r="G3381" s="5" t="s">
        <v>35498</v>
      </c>
      <c r="H3381" s="26">
        <v>28.5</v>
      </c>
      <c r="I3381" s="5"/>
      <c r="J3381" s="5" t="s">
        <v>955</v>
      </c>
      <c r="K3381" s="5" t="s">
        <v>344</v>
      </c>
      <c r="L3381" s="5" t="s">
        <v>35499</v>
      </c>
      <c r="M3381" s="27"/>
      <c r="N3381" s="5" t="s">
        <v>54577</v>
      </c>
      <c r="O3381" s="5" t="str">
        <v>7718141748</v>
      </c>
      <c r="P3381" s="27">
        <v>20000</v>
      </c>
      <c r="Q3381" s="5" t="s">
        <v>49009</v>
      </c>
      <c r="R3381" s="5"/>
      <c r="S3381" s="5" t="s">
        <v>49045</v>
      </c>
      <c r="T3381" s="28">
        <v>4464000</v>
      </c>
      <c r="U3381" s="28"/>
      <c r="V3381" s="28">
        <v>340499000</v>
      </c>
      <c r="W3381" s="28"/>
      <c r="X3381" s="28">
        <v>26491000</v>
      </c>
      <c r="Y3381" s="28">
        <v>798580000</v>
      </c>
      <c r="Z3381" s="28">
        <v>310125000</v>
      </c>
      <c r="AA3381" s="28"/>
      <c r="AB3381" s="28"/>
      <c r="AC3381" s="28">
        <v>483358000</v>
      </c>
      <c r="AD3381" s="28">
        <v>310794000</v>
      </c>
      <c r="AE3381" s="28">
        <v>3406087000</v>
      </c>
      <c r="AF3381" s="28">
        <v>42166000</v>
      </c>
      <c r="AG3381" s="11"/>
    </row>
    <row r="3382">
      <c r="A3382" s="7" t="s">
        <v>5055</v>
      </c>
      <c r="B3382" s="5" t="s">
        <v>13023</v>
      </c>
      <c r="C3382" s="5" t="s">
        <v>20821</v>
      </c>
      <c r="D3382" s="5" t="str">
        <v>132200397670</v>
      </c>
      <c r="E3382" s="0" t="e">
        <f>+7 (83437) 30320
+7 (8342) 546854
+7 (83437) 30021
+7 (83437) 30022
+7 (83437) 30023
+7 (83437) 30024
+7 (83437) 30033
+7 (83448) 23204</f>
        <v>#NAME?</v>
      </c>
      <c r="F3382" s="5" t="s">
        <v>35500</v>
      </c>
      <c r="G3382" s="5"/>
      <c r="H3382" s="26">
        <v>14.5</v>
      </c>
      <c r="I3382" s="5" t="s">
        <v>35501</v>
      </c>
      <c r="J3382" s="5" t="s">
        <v>841</v>
      </c>
      <c r="K3382" s="5" t="s">
        <v>355</v>
      </c>
      <c r="L3382" s="5" t="s">
        <v>35502</v>
      </c>
      <c r="M3382" s="27">
        <v>1577939</v>
      </c>
      <c r="N3382" s="5" t="s">
        <v>54578</v>
      </c>
      <c r="O3382" s="5" t="str">
        <v>1322122090</v>
      </c>
      <c r="P3382" s="27">
        <v>11000</v>
      </c>
      <c r="Q3382" s="5" t="s">
        <v>49057</v>
      </c>
      <c r="R3382" s="5"/>
      <c r="S3382" s="5" t="s">
        <v>49452</v>
      </c>
      <c r="T3382" s="28">
        <v>3935224000</v>
      </c>
      <c r="U3382" s="28">
        <v>328934000</v>
      </c>
      <c r="V3382" s="28">
        <v>3346518000</v>
      </c>
      <c r="W3382" s="28">
        <v>259970000</v>
      </c>
      <c r="X3382" s="28">
        <v>45468000</v>
      </c>
      <c r="Y3382" s="28">
        <v>10294023000</v>
      </c>
      <c r="Z3382" s="28">
        <v>9466025000</v>
      </c>
      <c r="AA3382" s="28">
        <v>37133000</v>
      </c>
      <c r="AB3382" s="28">
        <v>381100000</v>
      </c>
      <c r="AC3382" s="28">
        <v>581281000</v>
      </c>
      <c r="AD3382" s="28">
        <v>9466036000</v>
      </c>
      <c r="AE3382" s="28">
        <v>7188125000</v>
      </c>
      <c r="AF3382" s="28">
        <v>2876919000</v>
      </c>
      <c r="AG3382" s="11"/>
    </row>
    <row r="3383">
      <c r="A3383" s="7" t="s">
        <v>5056</v>
      </c>
      <c r="B3383" s="5" t="s">
        <v>13024</v>
      </c>
      <c r="C3383" s="5" t="s">
        <v>20822</v>
      </c>
      <c r="D3383" s="5" t="str">
        <v>132808172285</v>
      </c>
      <c r="E3383" s="0" t="e">
        <f>+7 (927) 9705657
+7 (8342) 563030
+7 (8342) 569109
+7 (8342) 572323
+7 (83437) 20066
+7 (916) 6822030</f>
        <v>#NAME?</v>
      </c>
      <c r="F3383" s="5" t="s">
        <v>35503</v>
      </c>
      <c r="G3383" s="5" t="s">
        <v>35504</v>
      </c>
      <c r="H3383" s="26">
        <v>16.5</v>
      </c>
      <c r="I3383" s="5" t="s">
        <v>35505</v>
      </c>
      <c r="J3383" s="5" t="s">
        <v>364</v>
      </c>
      <c r="K3383" s="5" t="s">
        <v>344</v>
      </c>
      <c r="L3383" s="5" t="s">
        <v>35506</v>
      </c>
      <c r="M3383" s="27"/>
      <c r="N3383" s="5" t="s">
        <v>49153</v>
      </c>
      <c r="O3383" s="5" t="str">
        <v>1327002382</v>
      </c>
      <c r="P3383" s="27">
        <v>10000</v>
      </c>
      <c r="Q3383" s="5"/>
      <c r="R3383" s="5"/>
      <c r="S3383" s="5" t="s">
        <v>49991</v>
      </c>
      <c r="T3383" s="28">
        <v>165996000</v>
      </c>
      <c r="U3383" s="28"/>
      <c r="V3383" s="28">
        <v>908777000</v>
      </c>
      <c r="W3383" s="28"/>
      <c r="X3383" s="28">
        <v>11626000</v>
      </c>
      <c r="Y3383" s="28">
        <v>1314143000</v>
      </c>
      <c r="Z3383" s="28">
        <v>193773000</v>
      </c>
      <c r="AA3383" s="28"/>
      <c r="AB3383" s="28">
        <v>690600000</v>
      </c>
      <c r="AC3383" s="28">
        <v>1119953000</v>
      </c>
      <c r="AD3383" s="28">
        <v>193783000</v>
      </c>
      <c r="AE3383" s="28">
        <v>3022646000</v>
      </c>
      <c r="AF3383" s="28">
        <v>10144000</v>
      </c>
      <c r="AG3383" s="11"/>
    </row>
    <row r="3384">
      <c r="A3384" s="7" t="s">
        <v>5057</v>
      </c>
      <c r="B3384" s="5" t="s">
        <v>13025</v>
      </c>
      <c r="C3384" s="5" t="s">
        <v>20823</v>
      </c>
      <c r="D3384" s="5" t="str">
        <v>760400273320</v>
      </c>
      <c r="E3384" s="0" t="e">
        <f>+7 (484) 2570375
+7 (484) 2761901
+7 (495) 3630209
+7 (499) 7030103
+7 (812) 3228351
+7 (812) 3228393
+7 (812) 3228492
+7 (831) 2335444
+7 (831) 2335494
+7 (831) 2905075
+7 (831) 2935443
+7 (831) 2935444
+7 (831) 2935494
+7 (831) 2986220</f>
        <v>#NAME?</v>
      </c>
      <c r="F3384" s="5" t="s">
        <v>35507</v>
      </c>
      <c r="G3384" s="5" t="s">
        <v>35508</v>
      </c>
      <c r="H3384" s="26">
        <v>15</v>
      </c>
      <c r="I3384" s="5"/>
      <c r="J3384" s="5" t="s">
        <v>31114</v>
      </c>
      <c r="K3384" s="5" t="s">
        <v>380</v>
      </c>
      <c r="L3384" s="5" t="s">
        <v>35509</v>
      </c>
      <c r="M3384" s="27">
        <v>6735173</v>
      </c>
      <c r="N3384" s="5"/>
      <c r="O3384" s="5" t="str">
        <v>5256076921</v>
      </c>
      <c r="P3384" s="27">
        <v>29714046</v>
      </c>
      <c r="Q3384" s="5"/>
      <c r="R3384" s="5"/>
      <c r="S3384" s="5" t="s">
        <v>49029</v>
      </c>
      <c r="T3384" s="28">
        <v>2448030000</v>
      </c>
      <c r="U3384" s="28"/>
      <c r="V3384" s="28">
        <v>14730000</v>
      </c>
      <c r="W3384" s="28"/>
      <c r="X3384" s="28">
        <v>1384328000</v>
      </c>
      <c r="Y3384" s="28">
        <v>4499187000</v>
      </c>
      <c r="Z3384" s="28">
        <v>-548729000</v>
      </c>
      <c r="AA3384" s="28"/>
      <c r="AB3384" s="28"/>
      <c r="AC3384" s="28">
        <v>576606000</v>
      </c>
      <c r="AD3384" s="28">
        <v>3741889000</v>
      </c>
      <c r="AE3384" s="28">
        <v>3172227000</v>
      </c>
      <c r="AF3384" s="28">
        <v>-1459307000</v>
      </c>
      <c r="AG3384" s="11"/>
    </row>
    <row r="3385">
      <c r="A3385" s="7" t="s">
        <v>5058</v>
      </c>
      <c r="B3385" s="5" t="s">
        <v>13026</v>
      </c>
      <c r="C3385" s="5" t="s">
        <v>20824</v>
      </c>
      <c r="D3385" s="5" t="str">
        <v>380500862931</v>
      </c>
      <c r="E3385" s="0" t="e">
        <f>+7 (3952) 379323
+7 (3952) 424657
+7 (3953) 305320
+7 (3953) 305326
+7 (3953) 305333
+7 (3953) 305334
+7 (3953) 305344
+7 (39535) 49454
+7 (39535) 52252
+7 (39535) 64898
+7 (495) 7205085</f>
        <v>#NAME?</v>
      </c>
      <c r="F3385" s="5"/>
      <c r="G3385" s="5"/>
      <c r="H3385" s="26">
        <v>10.5</v>
      </c>
      <c r="I3385" s="5" t="s">
        <v>35510</v>
      </c>
      <c r="J3385" s="5" t="s">
        <v>28287</v>
      </c>
      <c r="K3385" s="5" t="s">
        <v>344</v>
      </c>
      <c r="L3385" s="5"/>
      <c r="M3385" s="27">
        <v>2043800</v>
      </c>
      <c r="N3385" s="5" t="s">
        <v>54580</v>
      </c>
      <c r="O3385" s="5" t="str">
        <v>3812142445</v>
      </c>
      <c r="P3385" s="27">
        <v>12224782</v>
      </c>
      <c r="Q3385" s="5" t="s">
        <v>54581</v>
      </c>
      <c r="R3385" s="5"/>
      <c r="S3385" s="5" t="s">
        <v>49747</v>
      </c>
      <c r="T3385" s="28">
        <v>71360618000</v>
      </c>
      <c r="U3385" s="28">
        <v>173313699000</v>
      </c>
      <c r="V3385" s="28">
        <v>32520029000</v>
      </c>
      <c r="W3385" s="28">
        <v>13932324000</v>
      </c>
      <c r="X3385" s="28">
        <v>3723012000</v>
      </c>
      <c r="Y3385" s="28">
        <v>301163822000</v>
      </c>
      <c r="Z3385" s="28">
        <v>58714544000</v>
      </c>
      <c r="AA3385" s="28">
        <v>129899759000</v>
      </c>
      <c r="AB3385" s="28">
        <v>22242517000</v>
      </c>
      <c r="AC3385" s="28">
        <v>50267710000</v>
      </c>
      <c r="AD3385" s="28">
        <v>71051554000</v>
      </c>
      <c r="AE3385" s="28">
        <v>97350048000</v>
      </c>
      <c r="AF3385" s="28">
        <v>28659205000</v>
      </c>
      <c r="AG3385" s="11"/>
    </row>
    <row r="3386">
      <c r="A3386" s="7" t="s">
        <v>5059</v>
      </c>
      <c r="B3386" s="5" t="s">
        <v>13027</v>
      </c>
      <c r="C3386" s="5" t="s">
        <v>20825</v>
      </c>
      <c r="D3386" s="5" t="str">
        <v>770406336887</v>
      </c>
      <c r="E3386" s="0" t="e">
        <f>+7 (812) 3500720
+7 (861) 2192902
+7 (910) 4357377
+7 (962) 7201972
+7 (861) 2109810
+7 (966) 1363891</f>
        <v>#NAME?</v>
      </c>
      <c r="F3386" s="5" t="s">
        <v>35511</v>
      </c>
      <c r="G3386" s="5" t="s">
        <v>35512</v>
      </c>
      <c r="H3386" s="26">
        <v>5.5</v>
      </c>
      <c r="I3386" s="5" t="s">
        <v>35513</v>
      </c>
      <c r="J3386" s="5" t="s">
        <v>25429</v>
      </c>
      <c r="K3386" s="5" t="s">
        <v>355</v>
      </c>
      <c r="L3386" s="5"/>
      <c r="M3386" s="27">
        <v>1077466</v>
      </c>
      <c r="N3386" s="5" t="s">
        <v>54582</v>
      </c>
      <c r="O3386" s="5" t="str">
        <v>7702420263</v>
      </c>
      <c r="P3386" s="27">
        <v>2799553723</v>
      </c>
      <c r="Q3386" s="5" t="s">
        <v>54583</v>
      </c>
      <c r="R3386" s="5"/>
      <c r="S3386" s="5" t="s">
        <v>54584</v>
      </c>
      <c r="T3386" s="28">
        <v>2175142000</v>
      </c>
      <c r="U3386" s="28"/>
      <c r="V3386" s="28">
        <v>12412409000</v>
      </c>
      <c r="W3386" s="28"/>
      <c r="X3386" s="28">
        <v>25850000</v>
      </c>
      <c r="Y3386" s="28">
        <v>24886625000</v>
      </c>
      <c r="Z3386" s="28">
        <v>-4891766000</v>
      </c>
      <c r="AA3386" s="28"/>
      <c r="AB3386" s="28">
        <v>8860615000</v>
      </c>
      <c r="AC3386" s="28">
        <v>24619919000</v>
      </c>
      <c r="AD3386" s="28">
        <v>-2091246000</v>
      </c>
      <c r="AE3386" s="28">
        <v>37239900000</v>
      </c>
      <c r="AF3386" s="28">
        <v>-519921000</v>
      </c>
      <c r="AG3386" s="11"/>
    </row>
    <row r="3387">
      <c r="A3387" s="7" t="s">
        <v>5060</v>
      </c>
      <c r="B3387" s="5" t="s">
        <v>13028</v>
      </c>
      <c r="C3387" s="5" t="s">
        <v>20826</v>
      </c>
      <c r="D3387" s="5" t="str">
        <v>381403117080</v>
      </c>
      <c r="E3387" s="0" t="e">
        <f>+7 (381) 2252525
+7 (381) 2253518
+7 (381) 2293329
+7 (381) 2322525
+7 (381) 2325525
+7 (381) 2352323
+7 (381) 2352425
+7 (381) 2352521
+7 (381) 2352535
+7 (381) 2353535
+7 (381) 2355218
+7 (381) 2362525
+7 (381) 2793389
+7 (381) 2796679
+7 (381) 2352537</f>
        <v>#NAME?</v>
      </c>
      <c r="F3387" s="5" t="s">
        <v>35514</v>
      </c>
      <c r="G3387" s="5" t="s">
        <v>35515</v>
      </c>
      <c r="H3387" s="26">
        <v>8.5</v>
      </c>
      <c r="I3387" s="5" t="s">
        <v>35516</v>
      </c>
      <c r="J3387" s="5" t="s">
        <v>33220</v>
      </c>
      <c r="K3387" s="5" t="s">
        <v>380</v>
      </c>
      <c r="L3387" s="5"/>
      <c r="M3387" s="27">
        <v>908689</v>
      </c>
      <c r="N3387" s="5" t="s">
        <v>54585</v>
      </c>
      <c r="O3387" s="5" t="str">
        <v>5401381810</v>
      </c>
      <c r="P3387" s="27">
        <v>10000</v>
      </c>
      <c r="Q3387" s="5" t="s">
        <v>54586</v>
      </c>
      <c r="R3387" s="5"/>
      <c r="S3387" s="5" t="s">
        <v>54587</v>
      </c>
      <c r="T3387" s="28">
        <v>188771000</v>
      </c>
      <c r="U3387" s="28"/>
      <c r="V3387" s="28">
        <v>1006949000</v>
      </c>
      <c r="W3387" s="28"/>
      <c r="X3387" s="28">
        <v>27221000</v>
      </c>
      <c r="Y3387" s="28">
        <v>2233344000</v>
      </c>
      <c r="Z3387" s="28">
        <v>-4099010000</v>
      </c>
      <c r="AA3387" s="28">
        <v>14000000</v>
      </c>
      <c r="AB3387" s="28"/>
      <c r="AC3387" s="28">
        <v>6273350000</v>
      </c>
      <c r="AD3387" s="28">
        <v>-4099000000</v>
      </c>
      <c r="AE3387" s="28">
        <v>3464900000</v>
      </c>
      <c r="AF3387" s="28">
        <v>-1190004000</v>
      </c>
      <c r="AG3387" s="11"/>
    </row>
    <row r="3388">
      <c r="A3388" s="7" t="s">
        <v>5061</v>
      </c>
      <c r="B3388" s="5" t="s">
        <v>13029</v>
      </c>
      <c r="C3388" s="5" t="s">
        <v>20827</v>
      </c>
      <c r="D3388" s="5" t="str">
        <v>771403639250</v>
      </c>
      <c r="E3388" s="0" t="e">
        <f>+7 (985) 2642692
+7 (495) 2335644
+7 (495) 9330738
+7 (499) 9330706</f>
        <v>#NAME?</v>
      </c>
      <c r="F3388" s="5" t="s">
        <v>35517</v>
      </c>
      <c r="G3388" s="5" t="s">
        <v>35518</v>
      </c>
      <c r="H3388" s="26">
        <v>20</v>
      </c>
      <c r="I3388" s="5" t="s">
        <v>35519</v>
      </c>
      <c r="J3388" s="5" t="s">
        <v>364</v>
      </c>
      <c r="K3388" s="5" t="s">
        <v>355</v>
      </c>
      <c r="L3388" s="5" t="s">
        <v>35520</v>
      </c>
      <c r="M3388" s="27">
        <v>36986151</v>
      </c>
      <c r="N3388" s="5" t="s">
        <v>54588</v>
      </c>
      <c r="O3388" s="5" t="str">
        <v>7708210008</v>
      </c>
      <c r="P3388" s="27">
        <v>10000</v>
      </c>
      <c r="Q3388" s="5" t="s">
        <v>54589</v>
      </c>
      <c r="R3388" s="5" t="s">
        <v>54590</v>
      </c>
      <c r="S3388" s="5" t="s">
        <v>54591</v>
      </c>
      <c r="T3388" s="28">
        <v>127631000</v>
      </c>
      <c r="U3388" s="28"/>
      <c r="V3388" s="28">
        <v>2783893000</v>
      </c>
      <c r="W3388" s="28">
        <v>68000000</v>
      </c>
      <c r="X3388" s="28">
        <v>843099000</v>
      </c>
      <c r="Y3388" s="28">
        <v>11741521000</v>
      </c>
      <c r="Z3388" s="28">
        <v>285124000</v>
      </c>
      <c r="AA3388" s="28"/>
      <c r="AB3388" s="28">
        <v>3282307000</v>
      </c>
      <c r="AC3388" s="28">
        <v>11364842000</v>
      </c>
      <c r="AD3388" s="28">
        <v>285134000</v>
      </c>
      <c r="AE3388" s="28">
        <v>5621781000</v>
      </c>
      <c r="AF3388" s="28">
        <v>23668000</v>
      </c>
      <c r="AG3388" s="11"/>
    </row>
    <row r="3389">
      <c r="A3389" s="7" t="s">
        <v>5062</v>
      </c>
      <c r="B3389" s="5" t="s">
        <v>13030</v>
      </c>
      <c r="C3389" s="5" t="s">
        <v>20828</v>
      </c>
      <c r="D3389" s="5" t="str">
        <v>744719045203</v>
      </c>
      <c r="E3389" s="0" t="e">
        <f>+7 (909) 720439
+7 (922) 7067600
+7 (950) 7268268
+7 (950) 7440707
+7 (982) 3670283
+7 (922) 2377424</f>
        <v>#NAME?</v>
      </c>
      <c r="F3389" s="5" t="s">
        <v>35521</v>
      </c>
      <c r="G3389" s="5" t="s">
        <v>35522</v>
      </c>
      <c r="H3389" s="26">
        <v>7.5</v>
      </c>
      <c r="I3389" s="5" t="s">
        <v>35523</v>
      </c>
      <c r="J3389" s="5" t="s">
        <v>397</v>
      </c>
      <c r="K3389" s="5" t="s">
        <v>344</v>
      </c>
      <c r="L3389" s="5" t="s">
        <v>35524</v>
      </c>
      <c r="M3389" s="27">
        <v>2371450</v>
      </c>
      <c r="N3389" s="5" t="s">
        <v>54592</v>
      </c>
      <c r="O3389" s="5" t="str">
        <v>7453287509</v>
      </c>
      <c r="P3389" s="27">
        <v>20000</v>
      </c>
      <c r="Q3389" s="5" t="s">
        <v>54593</v>
      </c>
      <c r="R3389" s="5"/>
      <c r="S3389" s="5" t="s">
        <v>54594</v>
      </c>
      <c r="T3389" s="28">
        <v>41042000</v>
      </c>
      <c r="U3389" s="28"/>
      <c r="V3389" s="28">
        <v>766216000</v>
      </c>
      <c r="W3389" s="28">
        <v>539000000</v>
      </c>
      <c r="X3389" s="28">
        <v>53557000</v>
      </c>
      <c r="Y3389" s="28">
        <v>1709196000</v>
      </c>
      <c r="Z3389" s="28">
        <v>550595000</v>
      </c>
      <c r="AA3389" s="28"/>
      <c r="AB3389" s="28">
        <v>110255000</v>
      </c>
      <c r="AC3389" s="28">
        <v>1158581000</v>
      </c>
      <c r="AD3389" s="28">
        <v>550615000</v>
      </c>
      <c r="AE3389" s="28">
        <v>4851662000</v>
      </c>
      <c r="AF3389" s="28">
        <v>453643000</v>
      </c>
      <c r="AG3389" s="11"/>
    </row>
    <row r="3390">
      <c r="A3390" s="7" t="s">
        <v>5063</v>
      </c>
      <c r="B3390" s="5" t="s">
        <v>13031</v>
      </c>
      <c r="C3390" s="5" t="s">
        <v>20829</v>
      </c>
      <c r="D3390" s="5" t="str">
        <v>973301468012</v>
      </c>
      <c r="E3390" s="0" t="e">
        <f>+7 (495) 6029527</f>
        <v>#NAME?</v>
      </c>
      <c r="F3390" s="5"/>
      <c r="G3390" s="5" t="s">
        <v>35525</v>
      </c>
      <c r="H3390" s="26">
        <v>13</v>
      </c>
      <c r="I3390" s="5" t="s">
        <v>35526</v>
      </c>
      <c r="J3390" s="5" t="s">
        <v>397</v>
      </c>
      <c r="K3390" s="5" t="s">
        <v>344</v>
      </c>
      <c r="L3390" s="5" t="s">
        <v>35527</v>
      </c>
      <c r="M3390" s="27">
        <v>2997176</v>
      </c>
      <c r="N3390" s="5"/>
      <c r="O3390" s="5" t="str">
        <v>7705917705</v>
      </c>
      <c r="P3390" s="27">
        <v>194526509</v>
      </c>
      <c r="Q3390" s="5" t="s">
        <v>54595</v>
      </c>
      <c r="R3390" s="5"/>
      <c r="S3390" s="5" t="s">
        <v>50019</v>
      </c>
      <c r="T3390" s="28">
        <v>10913000</v>
      </c>
      <c r="U3390" s="28">
        <v>5000</v>
      </c>
      <c r="V3390" s="28">
        <v>9576547000</v>
      </c>
      <c r="W3390" s="28"/>
      <c r="X3390" s="28">
        <v>966330000</v>
      </c>
      <c r="Y3390" s="28">
        <v>15009810000</v>
      </c>
      <c r="Z3390" s="28">
        <v>307874000</v>
      </c>
      <c r="AA3390" s="28"/>
      <c r="AB3390" s="28">
        <v>1599168000</v>
      </c>
      <c r="AC3390" s="28">
        <v>14503038000</v>
      </c>
      <c r="AD3390" s="28">
        <v>502401000</v>
      </c>
      <c r="AE3390" s="28">
        <v>33672024000</v>
      </c>
      <c r="AF3390" s="28">
        <v>68256000</v>
      </c>
      <c r="AG3390" s="11"/>
    </row>
    <row r="3391">
      <c r="A3391" s="7" t="s">
        <v>5064</v>
      </c>
      <c r="B3391" s="5" t="s">
        <v>13032</v>
      </c>
      <c r="C3391" s="5" t="s">
        <v>20830</v>
      </c>
      <c r="D3391" s="5" t="str">
        <v>732592838537</v>
      </c>
      <c r="F3391" s="5" t="s">
        <v>35528</v>
      </c>
      <c r="G3391" s="5"/>
      <c r="H3391" s="26">
        <v>2.5</v>
      </c>
      <c r="I3391" s="5" t="s">
        <v>35529</v>
      </c>
      <c r="J3391" s="5" t="s">
        <v>423</v>
      </c>
      <c r="K3391" s="5" t="s">
        <v>344</v>
      </c>
      <c r="L3391" s="5" t="s">
        <v>35530</v>
      </c>
      <c r="M3391" s="27">
        <v>100000</v>
      </c>
      <c r="N3391" s="5"/>
      <c r="O3391" s="5" t="str">
        <v>9723106252</v>
      </c>
      <c r="P3391" s="27">
        <v>100000</v>
      </c>
      <c r="Q3391" s="5" t="s">
        <v>49021</v>
      </c>
      <c r="R3391" s="5"/>
      <c r="S3391" s="5" t="s">
        <v>54596</v>
      </c>
      <c r="T3391" s="28"/>
      <c r="U3391" s="28"/>
      <c r="V3391" s="28">
        <v>166876000</v>
      </c>
      <c r="W3391" s="28">
        <v>56239000</v>
      </c>
      <c r="X3391" s="28">
        <v>47000</v>
      </c>
      <c r="Y3391" s="28">
        <v>276940000</v>
      </c>
      <c r="Z3391" s="28">
        <v>5982000</v>
      </c>
      <c r="AA3391" s="28">
        <v>120220000</v>
      </c>
      <c r="AB3391" s="28">
        <v>4091000</v>
      </c>
      <c r="AC3391" s="28">
        <v>150638000</v>
      </c>
      <c r="AD3391" s="28">
        <v>6082000</v>
      </c>
      <c r="AE3391" s="28">
        <v>3149621000</v>
      </c>
      <c r="AF3391" s="28">
        <v>504544000</v>
      </c>
      <c r="AG3391" s="11"/>
    </row>
    <row r="3392">
      <c r="A3392" s="7" t="s">
        <v>5065</v>
      </c>
      <c r="B3392" s="5" t="s">
        <v>13033</v>
      </c>
      <c r="C3392" s="5" t="s">
        <v>20831</v>
      </c>
      <c r="D3392" s="5" t="str">
        <v>611203149089</v>
      </c>
      <c r="E3392" s="0" t="e">
        <f>+7 (86376) 32181</f>
        <v>#NAME?</v>
      </c>
      <c r="F3392" s="5" t="s">
        <v>35531</v>
      </c>
      <c r="G3392" s="5"/>
      <c r="H3392" s="26">
        <v>16</v>
      </c>
      <c r="I3392" s="5" t="s">
        <v>35532</v>
      </c>
      <c r="J3392" s="5" t="s">
        <v>25837</v>
      </c>
      <c r="K3392" s="5" t="s">
        <v>344</v>
      </c>
      <c r="L3392" s="5" t="s">
        <v>35533</v>
      </c>
      <c r="M3392" s="27"/>
      <c r="N3392" s="5"/>
      <c r="O3392" s="5" t="str">
        <v>6112913320</v>
      </c>
      <c r="P3392" s="27">
        <v>10200000</v>
      </c>
      <c r="Q3392" s="5"/>
      <c r="R3392" s="5"/>
      <c r="S3392" s="5" t="s">
        <v>49029</v>
      </c>
      <c r="T3392" s="28">
        <v>162525000</v>
      </c>
      <c r="U3392" s="28"/>
      <c r="V3392" s="28">
        <v>394753000</v>
      </c>
      <c r="W3392" s="28">
        <v>323998000</v>
      </c>
      <c r="X3392" s="28">
        <v>4560000</v>
      </c>
      <c r="Y3392" s="28">
        <v>1341799000</v>
      </c>
      <c r="Z3392" s="28">
        <v>289144000</v>
      </c>
      <c r="AA3392" s="28">
        <v>3745000</v>
      </c>
      <c r="AB3392" s="28">
        <v>690355000</v>
      </c>
      <c r="AC3392" s="28">
        <v>1038710000</v>
      </c>
      <c r="AD3392" s="28">
        <v>299344000</v>
      </c>
      <c r="AE3392" s="28">
        <v>3004600000</v>
      </c>
      <c r="AF3392" s="28">
        <v>59032000</v>
      </c>
      <c r="AG3392" s="11"/>
    </row>
    <row r="3393">
      <c r="A3393" s="7" t="s">
        <v>5066</v>
      </c>
      <c r="B3393" s="5" t="s">
        <v>13034</v>
      </c>
      <c r="C3393" s="5" t="s">
        <v>20832</v>
      </c>
      <c r="D3393" s="5" t="str">
        <v>544513012181</v>
      </c>
      <c r="E3393" s="0" t="e">
        <f>+7 (495) 3490013
+7 (495) 7755515
+7 (495) 7757505
+7 (495) 9740879
+7 (800) 3330634</f>
        <v>#NAME?</v>
      </c>
      <c r="F3393" s="5" t="s">
        <v>35534</v>
      </c>
      <c r="G3393" s="5"/>
      <c r="H3393" s="26">
        <v>25.5</v>
      </c>
      <c r="I3393" s="5" t="s">
        <v>35535</v>
      </c>
      <c r="J3393" s="5" t="s">
        <v>32531</v>
      </c>
      <c r="K3393" s="5" t="s">
        <v>344</v>
      </c>
      <c r="L3393" s="5" t="s">
        <v>35536</v>
      </c>
      <c r="M3393" s="27"/>
      <c r="N3393" s="5"/>
      <c r="O3393" s="5" t="str">
        <v>5050115503</v>
      </c>
      <c r="P3393" s="27">
        <v>503031104</v>
      </c>
      <c r="Q3393" s="5" t="s">
        <v>49324</v>
      </c>
      <c r="R3393" s="5"/>
      <c r="S3393" s="5" t="s">
        <v>54597</v>
      </c>
      <c r="T3393" s="28">
        <v>8742096000</v>
      </c>
      <c r="U3393" s="28">
        <v>215491000</v>
      </c>
      <c r="V3393" s="28">
        <v>1872897000</v>
      </c>
      <c r="W3393" s="28"/>
      <c r="X3393" s="28">
        <v>7878000</v>
      </c>
      <c r="Y3393" s="28">
        <v>10986644000</v>
      </c>
      <c r="Z3393" s="28">
        <v>-30927000</v>
      </c>
      <c r="AA3393" s="28"/>
      <c r="AB3393" s="28">
        <v>180865000</v>
      </c>
      <c r="AC3393" s="28">
        <v>3728091000</v>
      </c>
      <c r="AD3393" s="28">
        <v>5989434000</v>
      </c>
      <c r="AE3393" s="28">
        <v>3574016000</v>
      </c>
      <c r="AF3393" s="28">
        <v>940206000</v>
      </c>
      <c r="AG3393" s="11"/>
    </row>
    <row r="3394">
      <c r="A3394" s="7" t="s">
        <v>5067</v>
      </c>
      <c r="B3394" s="5" t="s">
        <v>13035</v>
      </c>
      <c r="C3394" s="5" t="s">
        <v>20833</v>
      </c>
      <c r="D3394" s="5" t="str">
        <v>544508379762</v>
      </c>
      <c r="E3394" s="0" t="e">
        <f>+7 (495) 7755515
+7 (495) 7757505</f>
        <v>#NAME?</v>
      </c>
      <c r="F3394" s="5" t="s">
        <v>35537</v>
      </c>
      <c r="G3394" s="5" t="s">
        <v>35538</v>
      </c>
      <c r="H3394" s="26">
        <v>8.5</v>
      </c>
      <c r="I3394" s="5" t="s">
        <v>35539</v>
      </c>
      <c r="J3394" s="5" t="s">
        <v>32531</v>
      </c>
      <c r="K3394" s="5" t="s">
        <v>344</v>
      </c>
      <c r="L3394" s="5" t="s">
        <v>35540</v>
      </c>
      <c r="M3394" s="27">
        <v>255737</v>
      </c>
      <c r="N3394" s="5"/>
      <c r="O3394" s="5" t="str">
        <v>7722860520</v>
      </c>
      <c r="P3394" s="27">
        <v>10010000</v>
      </c>
      <c r="Q3394" s="5" t="s">
        <v>49009</v>
      </c>
      <c r="R3394" s="5"/>
      <c r="S3394" s="5" t="s">
        <v>49093</v>
      </c>
      <c r="T3394" s="28">
        <v>113271000</v>
      </c>
      <c r="U3394" s="28"/>
      <c r="V3394" s="28">
        <v>5275971000</v>
      </c>
      <c r="W3394" s="28"/>
      <c r="X3394" s="28">
        <v>264750000</v>
      </c>
      <c r="Y3394" s="28">
        <v>9874867000</v>
      </c>
      <c r="Z3394" s="28">
        <v>684739000</v>
      </c>
      <c r="AA3394" s="28"/>
      <c r="AB3394" s="28">
        <v>5709052000</v>
      </c>
      <c r="AC3394" s="28">
        <v>9090723000</v>
      </c>
      <c r="AD3394" s="28">
        <v>694749000</v>
      </c>
      <c r="AE3394" s="28">
        <v>15489513000</v>
      </c>
      <c r="AF3394" s="28">
        <v>47132000</v>
      </c>
      <c r="AG3394" s="11"/>
    </row>
    <row r="3395">
      <c r="A3395" s="7" t="s">
        <v>5068</v>
      </c>
      <c r="B3395" s="5" t="s">
        <v>12416</v>
      </c>
      <c r="C3395" s="5" t="s">
        <v>20834</v>
      </c>
      <c r="D3395" s="5"/>
      <c r="E3395" s="0" t="e">
        <f>+7 (495) 9167171
+7 (499) 3460135
+7 (499) 3460136
+7 (963) 7531418</f>
        <v>#NAME?</v>
      </c>
      <c r="F3395" s="5" t="s">
        <v>35541</v>
      </c>
      <c r="G3395" s="5" t="s">
        <v>35542</v>
      </c>
      <c r="H3395" s="26">
        <v>18.5</v>
      </c>
      <c r="I3395" s="5" t="s">
        <v>35543</v>
      </c>
      <c r="J3395" s="5" t="s">
        <v>881</v>
      </c>
      <c r="K3395" s="5" t="s">
        <v>344</v>
      </c>
      <c r="L3395" s="5" t="s">
        <v>35544</v>
      </c>
      <c r="M3395" s="27">
        <v>13888253</v>
      </c>
      <c r="N3395" s="5" t="s">
        <v>54598</v>
      </c>
      <c r="O3395" s="5" t="str">
        <v>7743528989</v>
      </c>
      <c r="P3395" s="27">
        <v>1455500</v>
      </c>
      <c r="Q3395" s="5" t="s">
        <v>54599</v>
      </c>
      <c r="R3395" s="5"/>
      <c r="S3395" s="5" t="s">
        <v>49358</v>
      </c>
      <c r="T3395" s="28">
        <v>2002000</v>
      </c>
      <c r="U3395" s="28"/>
      <c r="V3395" s="28">
        <v>1544158000</v>
      </c>
      <c r="W3395" s="28">
        <v>1549219000</v>
      </c>
      <c r="X3395" s="28">
        <v>180542000</v>
      </c>
      <c r="Y3395" s="28">
        <v>3372049000</v>
      </c>
      <c r="Z3395" s="28">
        <v>1471610000</v>
      </c>
      <c r="AA3395" s="28"/>
      <c r="AB3395" s="28">
        <v>111727000</v>
      </c>
      <c r="AC3395" s="28">
        <v>1898983000</v>
      </c>
      <c r="AD3395" s="28">
        <v>1473066000</v>
      </c>
      <c r="AE3395" s="28">
        <v>6443219000</v>
      </c>
      <c r="AF3395" s="28">
        <v>159800000</v>
      </c>
      <c r="AG3395" s="11"/>
    </row>
    <row r="3396">
      <c r="A3396" s="7" t="s">
        <v>5069</v>
      </c>
      <c r="B3396" s="5" t="s">
        <v>13036</v>
      </c>
      <c r="C3396" s="5" t="s">
        <v>20835</v>
      </c>
      <c r="D3396" s="5" t="str">
        <v>143400741945</v>
      </c>
      <c r="E3396" s="0" t="e">
        <f>+7 (495) 6402107
+7 (495) 6402108</f>
        <v>#NAME?</v>
      </c>
      <c r="F3396" s="5"/>
      <c r="G3396" s="5" t="s">
        <v>35545</v>
      </c>
      <c r="H3396" s="26">
        <v>14</v>
      </c>
      <c r="I3396" s="5"/>
      <c r="J3396" s="5" t="s">
        <v>25446</v>
      </c>
      <c r="K3396" s="5" t="s">
        <v>344</v>
      </c>
      <c r="L3396" s="5" t="s">
        <v>35546</v>
      </c>
      <c r="M3396" s="27"/>
      <c r="N3396" s="5" t="s">
        <v>54600</v>
      </c>
      <c r="O3396" s="5" t="str">
        <v>7726625380</v>
      </c>
      <c r="P3396" s="27">
        <v>5000000</v>
      </c>
      <c r="Q3396" s="5" t="s">
        <v>54601</v>
      </c>
      <c r="R3396" s="5"/>
      <c r="S3396" s="5" t="s">
        <v>54602</v>
      </c>
      <c r="T3396" s="28">
        <v>275438000</v>
      </c>
      <c r="U3396" s="28">
        <v>500000</v>
      </c>
      <c r="V3396" s="28">
        <v>12113077000</v>
      </c>
      <c r="W3396" s="28"/>
      <c r="X3396" s="28">
        <v>255453000</v>
      </c>
      <c r="Y3396" s="28">
        <v>16697442000</v>
      </c>
      <c r="Z3396" s="28">
        <v>8256401000</v>
      </c>
      <c r="AA3396" s="28">
        <v>741940000</v>
      </c>
      <c r="AB3396" s="28">
        <v>2954328000</v>
      </c>
      <c r="AC3396" s="28">
        <v>7635308000</v>
      </c>
      <c r="AD3396" s="28">
        <v>8261401000</v>
      </c>
      <c r="AE3396" s="28">
        <v>16234634000</v>
      </c>
      <c r="AF3396" s="28">
        <v>2135236000</v>
      </c>
      <c r="AG3396" s="11"/>
    </row>
    <row r="3397">
      <c r="A3397" s="7" t="s">
        <v>5070</v>
      </c>
      <c r="B3397" s="5" t="s">
        <v>13037</v>
      </c>
      <c r="C3397" s="5" t="s">
        <v>20836</v>
      </c>
      <c r="D3397" s="5" t="str">
        <v>771476916435</v>
      </c>
      <c r="E3397" s="0" t="e">
        <f>+7 (903) 1093171
+7 (495) 250125</f>
        <v>#NAME?</v>
      </c>
      <c r="F3397" s="5" t="s">
        <v>35547</v>
      </c>
      <c r="G3397" s="5" t="s">
        <v>35548</v>
      </c>
      <c r="H3397" s="26">
        <v>6</v>
      </c>
      <c r="I3397" s="5" t="s">
        <v>35549</v>
      </c>
      <c r="J3397" s="5" t="s">
        <v>423</v>
      </c>
      <c r="K3397" s="5" t="s">
        <v>344</v>
      </c>
      <c r="L3397" s="5" t="s">
        <v>35550</v>
      </c>
      <c r="M3397" s="27"/>
      <c r="N3397" s="5" t="s">
        <v>54603</v>
      </c>
      <c r="O3397" s="5" t="str">
        <v>7704384081</v>
      </c>
      <c r="P3397" s="27">
        <v>10000</v>
      </c>
      <c r="Q3397" s="5" t="s">
        <v>54604</v>
      </c>
      <c r="R3397" s="5"/>
      <c r="S3397" s="5" t="s">
        <v>54605</v>
      </c>
      <c r="T3397" s="28">
        <v>138216000</v>
      </c>
      <c r="U3397" s="28"/>
      <c r="V3397" s="28">
        <v>2562741000</v>
      </c>
      <c r="W3397" s="28"/>
      <c r="X3397" s="28">
        <v>559964000</v>
      </c>
      <c r="Y3397" s="28">
        <v>4934342000</v>
      </c>
      <c r="Z3397" s="28">
        <v>2309431000</v>
      </c>
      <c r="AA3397" s="28"/>
      <c r="AB3397" s="28"/>
      <c r="AC3397" s="28">
        <v>2245020000</v>
      </c>
      <c r="AD3397" s="28">
        <v>2309441000</v>
      </c>
      <c r="AE3397" s="28">
        <v>8928151000</v>
      </c>
      <c r="AF3397" s="28">
        <v>1060015000</v>
      </c>
      <c r="AG3397" s="11"/>
    </row>
    <row r="3398">
      <c r="A3398" s="7" t="s">
        <v>5071</v>
      </c>
      <c r="B3398" s="5" t="s">
        <v>13038</v>
      </c>
      <c r="C3398" s="5" t="s">
        <v>18325</v>
      </c>
      <c r="D3398" s="5"/>
      <c r="E3398" s="0" t="e">
        <f>+7 (846) 9664301
+7 (846) 9664308
+7 (846) 9665208
+7 (846) 9665516
+7 (846) 9665883
+7 (846) 9664432
+7 (846) 9664457
+7 (846) 9664458
+7 (846) 9665140
+7 (846) 9665520
+7 (846) 9665563
+7 (846) 9665879
+7 (84622) 95387
+7 (84622) 95532
+7 (84699) 64457</f>
        <v>#NAME?</v>
      </c>
      <c r="F3398" s="5" t="s">
        <v>35551</v>
      </c>
      <c r="G3398" s="5" t="s">
        <v>35552</v>
      </c>
      <c r="H3398" s="26">
        <v>20.5</v>
      </c>
      <c r="I3398" s="5"/>
      <c r="J3398" s="5" t="s">
        <v>27534</v>
      </c>
      <c r="K3398" s="5" t="s">
        <v>344</v>
      </c>
      <c r="L3398" s="5" t="s">
        <v>35553</v>
      </c>
      <c r="M3398" s="27"/>
      <c r="N3398" s="5" t="s">
        <v>54606</v>
      </c>
      <c r="O3398" s="5" t="str">
        <v>6313036408</v>
      </c>
      <c r="P3398" s="27">
        <v>48500</v>
      </c>
      <c r="Q3398" s="5" t="s">
        <v>54607</v>
      </c>
      <c r="R3398" s="5"/>
      <c r="S3398" s="5" t="s">
        <v>51039</v>
      </c>
      <c r="T3398" s="28">
        <v>4483385000</v>
      </c>
      <c r="U3398" s="28">
        <v>290000000</v>
      </c>
      <c r="V3398" s="28">
        <v>188009000</v>
      </c>
      <c r="W3398" s="28"/>
      <c r="X3398" s="28">
        <v>1720588000</v>
      </c>
      <c r="Y3398" s="28">
        <v>6954708000</v>
      </c>
      <c r="Z3398" s="28">
        <v>2685318000</v>
      </c>
      <c r="AA3398" s="28">
        <v>2525815000</v>
      </c>
      <c r="AB3398" s="28">
        <v>361160000</v>
      </c>
      <c r="AC3398" s="28">
        <v>1076593000</v>
      </c>
      <c r="AD3398" s="28">
        <v>2747661000</v>
      </c>
      <c r="AE3398" s="28">
        <v>3175900000</v>
      </c>
      <c r="AF3398" s="28">
        <v>929765000</v>
      </c>
      <c r="AG3398" s="11"/>
    </row>
    <row r="3399">
      <c r="A3399" s="7" t="s">
        <v>5072</v>
      </c>
      <c r="B3399" s="5" t="s">
        <v>13039</v>
      </c>
      <c r="C3399" s="5" t="s">
        <v>20837</v>
      </c>
      <c r="D3399" s="5" t="str">
        <v>772903522703</v>
      </c>
      <c r="E3399" s="0" t="e">
        <f>+7 (495) 1280288
+7 (495) 7348188
+7 (495) 7448258</f>
        <v>#NAME?</v>
      </c>
      <c r="F3399" s="5" t="s">
        <v>35554</v>
      </c>
      <c r="G3399" s="5" t="s">
        <v>35555</v>
      </c>
      <c r="H3399" s="26">
        <v>8</v>
      </c>
      <c r="I3399" s="5" t="s">
        <v>35556</v>
      </c>
      <c r="J3399" s="5" t="s">
        <v>1026</v>
      </c>
      <c r="K3399" s="5" t="s">
        <v>344</v>
      </c>
      <c r="L3399" s="5" t="s">
        <v>35557</v>
      </c>
      <c r="M3399" s="27">
        <v>958318</v>
      </c>
      <c r="N3399" s="5" t="s">
        <v>54608</v>
      </c>
      <c r="O3399" s="5" t="str">
        <v>7729456186</v>
      </c>
      <c r="P3399" s="27">
        <v>50000</v>
      </c>
      <c r="Q3399" s="5"/>
      <c r="R3399" s="5"/>
      <c r="S3399" s="5" t="s">
        <v>50936</v>
      </c>
      <c r="T3399" s="28">
        <v>53128000</v>
      </c>
      <c r="U3399" s="28"/>
      <c r="V3399" s="28">
        <v>216910000</v>
      </c>
      <c r="W3399" s="28"/>
      <c r="X3399" s="28">
        <v>194033000</v>
      </c>
      <c r="Y3399" s="28">
        <v>548736000</v>
      </c>
      <c r="Z3399" s="28"/>
      <c r="AA3399" s="28"/>
      <c r="AB3399" s="28"/>
      <c r="AC3399" s="28">
        <v>396734000</v>
      </c>
      <c r="AD3399" s="28">
        <v>152002000</v>
      </c>
      <c r="AE3399" s="28">
        <v>3491064000</v>
      </c>
      <c r="AF3399" s="28">
        <v>106615000</v>
      </c>
      <c r="AG3399" s="11"/>
    </row>
    <row r="3400">
      <c r="A3400" s="7" t="s">
        <v>5073</v>
      </c>
      <c r="B3400" s="5" t="s">
        <v>13040</v>
      </c>
      <c r="C3400" s="5" t="s">
        <v>20838</v>
      </c>
      <c r="D3400" s="5" t="str">
        <v>772408515490</v>
      </c>
      <c r="E3400" s="0" t="e">
        <f>+7 (8452) 470429
+7 (8452) 470577
+7 (84545) 25225
+7 (84545) 25509
+7 (84545) 30201
+7 (84545) 30405
+7 (84545) 63002
+7 (84545) 63003
+7 (84545) 63004
+7 (84545) 63005
+7 (84545) 63006</f>
        <v>#NAME?</v>
      </c>
      <c r="F3400" s="5" t="s">
        <v>35558</v>
      </c>
      <c r="G3400" s="5"/>
      <c r="H3400" s="26">
        <v>18</v>
      </c>
      <c r="I3400" s="5" t="s">
        <v>35559</v>
      </c>
      <c r="J3400" s="5" t="s">
        <v>28174</v>
      </c>
      <c r="K3400" s="5" t="s">
        <v>344</v>
      </c>
      <c r="L3400" s="5" t="s">
        <v>27211</v>
      </c>
      <c r="M3400" s="27"/>
      <c r="N3400" s="5"/>
      <c r="O3400" s="5" t="str">
        <v>7724544008</v>
      </c>
      <c r="P3400" s="27">
        <v>14293000</v>
      </c>
      <c r="Q3400" s="5" t="s">
        <v>49021</v>
      </c>
      <c r="R3400" s="5"/>
      <c r="S3400" s="5" t="s">
        <v>54609</v>
      </c>
      <c r="T3400" s="28">
        <v>4121010000</v>
      </c>
      <c r="U3400" s="28"/>
      <c r="V3400" s="28">
        <v>1999059000</v>
      </c>
      <c r="W3400" s="28"/>
      <c r="X3400" s="28">
        <v>55874000</v>
      </c>
      <c r="Y3400" s="28">
        <v>6939685000</v>
      </c>
      <c r="Z3400" s="28">
        <v>5877991000</v>
      </c>
      <c r="AA3400" s="28">
        <v>82614000</v>
      </c>
      <c r="AB3400" s="28">
        <v>143109000</v>
      </c>
      <c r="AC3400" s="28">
        <v>509365000</v>
      </c>
      <c r="AD3400" s="28">
        <v>5975284000</v>
      </c>
      <c r="AE3400" s="28">
        <v>10579407000</v>
      </c>
      <c r="AF3400" s="28">
        <v>1223337000</v>
      </c>
      <c r="AG3400" s="11"/>
    </row>
    <row r="3401">
      <c r="A3401" s="7" t="s">
        <v>5074</v>
      </c>
      <c r="B3401" s="5" t="s">
        <v>13041</v>
      </c>
      <c r="C3401" s="5" t="s">
        <v>20839</v>
      </c>
      <c r="D3401" s="5" t="str">
        <v>781406779622</v>
      </c>
      <c r="E3401" s="0" t="e">
        <f>+7 (495) 9849087
+7 (903) 5848017</f>
        <v>#NAME?</v>
      </c>
      <c r="F3401" s="5"/>
      <c r="G3401" s="5"/>
      <c r="H3401" s="26">
        <v>14.5</v>
      </c>
      <c r="I3401" s="5" t="s">
        <v>35560</v>
      </c>
      <c r="J3401" s="5" t="s">
        <v>785</v>
      </c>
      <c r="K3401" s="5" t="s">
        <v>344</v>
      </c>
      <c r="L3401" s="5" t="s">
        <v>35561</v>
      </c>
      <c r="M3401" s="27"/>
      <c r="N3401" s="5"/>
      <c r="O3401" s="5" t="str">
        <v>7713656479</v>
      </c>
      <c r="P3401" s="27">
        <v>1000000</v>
      </c>
      <c r="Q3401" s="5" t="s">
        <v>54611</v>
      </c>
      <c r="R3401" s="5"/>
      <c r="S3401" s="5" t="s">
        <v>54612</v>
      </c>
      <c r="T3401" s="28">
        <v>7450000</v>
      </c>
      <c r="U3401" s="28">
        <v>1000000</v>
      </c>
      <c r="V3401" s="28">
        <v>711887000</v>
      </c>
      <c r="W3401" s="28"/>
      <c r="X3401" s="28">
        <v>17840000</v>
      </c>
      <c r="Y3401" s="28">
        <v>778580000</v>
      </c>
      <c r="Z3401" s="28">
        <v>122761000</v>
      </c>
      <c r="AA3401" s="28"/>
      <c r="AB3401" s="28">
        <v>124146000</v>
      </c>
      <c r="AC3401" s="28">
        <v>649922000</v>
      </c>
      <c r="AD3401" s="28">
        <v>123761000</v>
      </c>
      <c r="AE3401" s="28">
        <v>4715427000</v>
      </c>
      <c r="AF3401" s="28">
        <v>117172000</v>
      </c>
      <c r="AG3401" s="11"/>
    </row>
    <row r="3402">
      <c r="A3402" s="7" t="s">
        <v>5075</v>
      </c>
      <c r="B3402" s="5" t="s">
        <v>13042</v>
      </c>
      <c r="C3402" s="5" t="s">
        <v>20840</v>
      </c>
      <c r="D3402" s="5" t="str">
        <v>323408337712</v>
      </c>
      <c r="E3402" s="0" t="e">
        <f>+7 (812) 3245544
+7 (812) 3346525
+7 (812) 3241735
+7 (812) 3245513
+7 (812) 3245541
+7 (812) 3245555
+7 (812) 5341433
+7 (812) 6550525</f>
        <v>#NAME?</v>
      </c>
      <c r="F3402" s="5" t="s">
        <v>35562</v>
      </c>
      <c r="G3402" s="5" t="s">
        <v>35563</v>
      </c>
      <c r="H3402" s="26">
        <v>26</v>
      </c>
      <c r="I3402" s="5" t="s">
        <v>35564</v>
      </c>
      <c r="J3402" s="5" t="s">
        <v>25738</v>
      </c>
      <c r="K3402" s="5" t="s">
        <v>344</v>
      </c>
      <c r="L3402" s="5" t="s">
        <v>35565</v>
      </c>
      <c r="M3402" s="27">
        <v>10869554</v>
      </c>
      <c r="N3402" s="5" t="s">
        <v>54613</v>
      </c>
      <c r="O3402" s="5" t="str">
        <v>7804064663</v>
      </c>
      <c r="P3402" s="27">
        <v>100000</v>
      </c>
      <c r="Q3402" s="5" t="s">
        <v>49009</v>
      </c>
      <c r="R3402" s="5"/>
      <c r="S3402" s="5" t="s">
        <v>49545</v>
      </c>
      <c r="T3402" s="28">
        <v>18264183000</v>
      </c>
      <c r="U3402" s="28">
        <v>8481410000</v>
      </c>
      <c r="V3402" s="28">
        <v>474605000</v>
      </c>
      <c r="W3402" s="28">
        <v>850000000</v>
      </c>
      <c r="X3402" s="28">
        <v>596784000</v>
      </c>
      <c r="Y3402" s="28">
        <v>35192510000</v>
      </c>
      <c r="Z3402" s="28">
        <v>23348318000</v>
      </c>
      <c r="AA3402" s="28"/>
      <c r="AB3402" s="28"/>
      <c r="AC3402" s="28">
        <v>6511593000</v>
      </c>
      <c r="AD3402" s="28">
        <v>27604370000</v>
      </c>
      <c r="AE3402" s="28">
        <v>28338171000</v>
      </c>
      <c r="AF3402" s="28">
        <v>2588077000</v>
      </c>
      <c r="AG3402" s="11"/>
    </row>
    <row r="3403">
      <c r="A3403" s="7" t="s">
        <v>5076</v>
      </c>
      <c r="B3403" s="5" t="s">
        <v>13043</v>
      </c>
      <c r="C3403" s="5" t="s">
        <v>20841</v>
      </c>
      <c r="D3403" s="5" t="str">
        <v>773113792204</v>
      </c>
      <c r="E3403" s="0" t="e">
        <f>+7 (495) 3262115
+7 (495) 3622115
+7 (495) 3625115
+7 (495) 3632115
+7 (495) 9677373
+7 (499) 3945609
+7 (499) 6734675
+7 (800) 1003390
+7 (916) 7585927
+7 (917) 5723950</f>
        <v>#NAME?</v>
      </c>
      <c r="F3403" s="5" t="s">
        <v>35566</v>
      </c>
      <c r="G3403" s="5" t="s">
        <v>35567</v>
      </c>
      <c r="H3403" s="26">
        <v>21.5</v>
      </c>
      <c r="I3403" s="5" t="s">
        <v>35568</v>
      </c>
      <c r="J3403" s="5" t="s">
        <v>25738</v>
      </c>
      <c r="K3403" s="5" t="s">
        <v>344</v>
      </c>
      <c r="L3403" s="5" t="s">
        <v>35569</v>
      </c>
      <c r="M3403" s="27">
        <v>10465805</v>
      </c>
      <c r="N3403" s="5"/>
      <c r="O3403" s="5" t="str">
        <v>7703295463</v>
      </c>
      <c r="P3403" s="27">
        <v>10000000</v>
      </c>
      <c r="Q3403" s="5" t="s">
        <v>49009</v>
      </c>
      <c r="R3403" s="5"/>
      <c r="S3403" s="5" t="s">
        <v>49093</v>
      </c>
      <c r="T3403" s="28">
        <v>11384444000</v>
      </c>
      <c r="U3403" s="28"/>
      <c r="V3403" s="28">
        <v>1193293000</v>
      </c>
      <c r="W3403" s="28"/>
      <c r="X3403" s="28">
        <v>2156478000</v>
      </c>
      <c r="Y3403" s="28">
        <v>24989890000</v>
      </c>
      <c r="Z3403" s="28">
        <v>1306142000</v>
      </c>
      <c r="AA3403" s="28"/>
      <c r="AB3403" s="28"/>
      <c r="AC3403" s="28">
        <v>10860821000</v>
      </c>
      <c r="AD3403" s="28">
        <v>1316142000</v>
      </c>
      <c r="AE3403" s="28">
        <v>43382418000</v>
      </c>
      <c r="AF3403" s="28">
        <v>4972687000</v>
      </c>
      <c r="AG3403" s="11"/>
    </row>
    <row r="3404">
      <c r="A3404" s="7" t="s">
        <v>5077</v>
      </c>
      <c r="B3404" s="5" t="s">
        <v>13044</v>
      </c>
      <c r="C3404" s="5" t="s">
        <v>20842</v>
      </c>
      <c r="D3404" s="5" t="str">
        <v>773117010200</v>
      </c>
      <c r="E3404" s="0" t="e">
        <f>+7 (3422) 114645
+7 (423) 2760655
+7 (4232) 652278
+7 (495) 9835958</f>
        <v>#NAME?</v>
      </c>
      <c r="F3404" s="5" t="s">
        <v>35570</v>
      </c>
      <c r="G3404" s="5" t="s">
        <v>35571</v>
      </c>
      <c r="H3404" s="26">
        <v>11.5</v>
      </c>
      <c r="I3404" s="5" t="s">
        <v>35572</v>
      </c>
      <c r="J3404" s="5" t="s">
        <v>599</v>
      </c>
      <c r="K3404" s="5" t="s">
        <v>355</v>
      </c>
      <c r="L3404" s="5" t="s">
        <v>35573</v>
      </c>
      <c r="M3404" s="27"/>
      <c r="N3404" s="5" t="s">
        <v>54614</v>
      </c>
      <c r="O3404" s="5" t="str">
        <v>7709881471</v>
      </c>
      <c r="P3404" s="27">
        <v>30000000</v>
      </c>
      <c r="Q3404" s="5" t="s">
        <v>54615</v>
      </c>
      <c r="R3404" s="5"/>
      <c r="S3404" s="5" t="s">
        <v>49162</v>
      </c>
      <c r="T3404" s="28">
        <v>10166926000</v>
      </c>
      <c r="U3404" s="28">
        <v>585406000</v>
      </c>
      <c r="V3404" s="28">
        <v>1322792000</v>
      </c>
      <c r="W3404" s="28">
        <v>978783000</v>
      </c>
      <c r="X3404" s="28">
        <v>144364000</v>
      </c>
      <c r="Y3404" s="28">
        <v>15243228000</v>
      </c>
      <c r="Z3404" s="28">
        <v>1814483000</v>
      </c>
      <c r="AA3404" s="28">
        <v>1619543000</v>
      </c>
      <c r="AB3404" s="28">
        <v>624791000</v>
      </c>
      <c r="AC3404" s="28">
        <v>3412192000</v>
      </c>
      <c r="AD3404" s="28">
        <v>1861883000</v>
      </c>
      <c r="AE3404" s="28">
        <v>6576744000</v>
      </c>
      <c r="AF3404" s="28">
        <v>511374000</v>
      </c>
      <c r="AG3404" s="11"/>
    </row>
    <row r="3405">
      <c r="A3405" s="7" t="s">
        <v>5078</v>
      </c>
      <c r="B3405" s="5" t="s">
        <v>13045</v>
      </c>
      <c r="C3405" s="5" t="s">
        <v>20843</v>
      </c>
      <c r="D3405" s="5" t="str">
        <v>771533973295</v>
      </c>
      <c r="E3405" s="0" t="e">
        <f>+7 (495) 7969400
+7 (499) 1296945
+7 (499) 2342469
+7 (499) 7098285
+7 (812) 2448686</f>
        <v>#NAME?</v>
      </c>
      <c r="F3405" s="5" t="s">
        <v>35574</v>
      </c>
      <c r="G3405" s="5" t="s">
        <v>35575</v>
      </c>
      <c r="H3405" s="26">
        <v>18</v>
      </c>
      <c r="I3405" s="5" t="s">
        <v>35576</v>
      </c>
      <c r="J3405" s="5" t="s">
        <v>30822</v>
      </c>
      <c r="K3405" s="5" t="s">
        <v>344</v>
      </c>
      <c r="L3405" s="5"/>
      <c r="M3405" s="27">
        <v>10000000</v>
      </c>
      <c r="N3405" s="5" t="s">
        <v>54616</v>
      </c>
      <c r="O3405" s="5" t="str">
        <v>7703534295</v>
      </c>
      <c r="P3405" s="27">
        <v>510405</v>
      </c>
      <c r="Q3405" s="5" t="s">
        <v>54617</v>
      </c>
      <c r="R3405" s="5"/>
      <c r="S3405" s="5" t="s">
        <v>54618</v>
      </c>
      <c r="T3405" s="28">
        <v>2310709000</v>
      </c>
      <c r="U3405" s="28">
        <v>554796000</v>
      </c>
      <c r="V3405" s="28">
        <v>2313561000</v>
      </c>
      <c r="W3405" s="28">
        <v>1756000</v>
      </c>
      <c r="X3405" s="28">
        <v>268486000</v>
      </c>
      <c r="Y3405" s="28">
        <v>9381224000</v>
      </c>
      <c r="Z3405" s="28">
        <v>-1277725000</v>
      </c>
      <c r="AA3405" s="28">
        <v>2500000000</v>
      </c>
      <c r="AB3405" s="28">
        <v>3548953000</v>
      </c>
      <c r="AC3405" s="28">
        <v>6177567000</v>
      </c>
      <c r="AD3405" s="28">
        <v>396918000</v>
      </c>
      <c r="AE3405" s="28">
        <v>16665096000</v>
      </c>
      <c r="AF3405" s="28">
        <v>-565267000</v>
      </c>
      <c r="AG3405" s="11"/>
    </row>
    <row r="3406">
      <c r="A3406" s="7" t="s">
        <v>5079</v>
      </c>
      <c r="B3406" s="5" t="s">
        <v>13046</v>
      </c>
      <c r="C3406" s="5" t="s">
        <v>17795</v>
      </c>
      <c r="D3406" s="5"/>
      <c r="E3406" s="0" t="e">
        <f>+7 (812) 5011060
+7 (812) 5011900
+7 (812) 6024203
+7 (812) 7777765
+7 (950) 103544</f>
        <v>#NAME?</v>
      </c>
      <c r="F3406" s="5" t="s">
        <v>35577</v>
      </c>
      <c r="G3406" s="5" t="s">
        <v>35578</v>
      </c>
      <c r="H3406" s="26">
        <v>6</v>
      </c>
      <c r="I3406" s="5" t="s">
        <v>35579</v>
      </c>
      <c r="J3406" s="5" t="s">
        <v>389</v>
      </c>
      <c r="K3406" s="5" t="s">
        <v>344</v>
      </c>
      <c r="L3406" s="5" t="s">
        <v>35580</v>
      </c>
      <c r="M3406" s="27">
        <v>8767209</v>
      </c>
      <c r="N3406" s="5" t="s">
        <v>54619</v>
      </c>
      <c r="O3406" s="5" t="str">
        <v>7804588459</v>
      </c>
      <c r="P3406" s="27">
        <v>10000</v>
      </c>
      <c r="Q3406" s="5"/>
      <c r="R3406" s="5"/>
      <c r="S3406" s="5" t="s">
        <v>49991</v>
      </c>
      <c r="T3406" s="28">
        <v>40693000</v>
      </c>
      <c r="U3406" s="28"/>
      <c r="V3406" s="28">
        <v>186346000</v>
      </c>
      <c r="W3406" s="28">
        <v>700831000</v>
      </c>
      <c r="X3406" s="28">
        <v>26662000</v>
      </c>
      <c r="Y3406" s="28">
        <v>1270293000</v>
      </c>
      <c r="Z3406" s="28">
        <v>406166000</v>
      </c>
      <c r="AA3406" s="28">
        <v>647957000</v>
      </c>
      <c r="AB3406" s="28">
        <v>11726000</v>
      </c>
      <c r="AC3406" s="28">
        <v>214581000</v>
      </c>
      <c r="AD3406" s="28">
        <v>406176000</v>
      </c>
      <c r="AE3406" s="28">
        <v>3168257000</v>
      </c>
      <c r="AF3406" s="28">
        <v>73811000</v>
      </c>
      <c r="AG3406" s="11"/>
    </row>
    <row r="3407">
      <c r="A3407" s="7" t="s">
        <v>5080</v>
      </c>
      <c r="B3407" s="5" t="s">
        <v>13047</v>
      </c>
      <c r="C3407" s="5" t="s">
        <v>20844</v>
      </c>
      <c r="D3407" s="5" t="str">
        <v>770906909310</v>
      </c>
      <c r="E3407" s="0" t="e">
        <f>+7 (499) 2598365</f>
        <v>#NAME?</v>
      </c>
      <c r="F3407" s="5"/>
      <c r="G3407" s="5"/>
      <c r="H3407" s="26">
        <v>9</v>
      </c>
      <c r="I3407" s="5" t="s">
        <v>35581</v>
      </c>
      <c r="J3407" s="5" t="s">
        <v>31686</v>
      </c>
      <c r="K3407" s="5" t="s">
        <v>380</v>
      </c>
      <c r="L3407" s="5" t="s">
        <v>381</v>
      </c>
      <c r="M3407" s="27"/>
      <c r="N3407" s="5"/>
      <c r="O3407" s="5" t="str">
        <v>7726743760</v>
      </c>
      <c r="P3407" s="27">
        <v>10000</v>
      </c>
      <c r="Q3407" s="5" t="s">
        <v>49324</v>
      </c>
      <c r="R3407" s="5" t="s">
        <v>54620</v>
      </c>
      <c r="S3407" s="5" t="s">
        <v>49457</v>
      </c>
      <c r="T3407" s="28"/>
      <c r="U3407" s="28"/>
      <c r="V3407" s="28">
        <v>18368348000</v>
      </c>
      <c r="W3407" s="28">
        <v>3143953000</v>
      </c>
      <c r="X3407" s="28">
        <v>9000</v>
      </c>
      <c r="Y3407" s="28">
        <v>21630450000</v>
      </c>
      <c r="Z3407" s="28">
        <v>2908000</v>
      </c>
      <c r="AA3407" s="28">
        <v>68525000</v>
      </c>
      <c r="AB3407" s="28">
        <v>17976000</v>
      </c>
      <c r="AC3407" s="28">
        <v>21559007000</v>
      </c>
      <c r="AD3407" s="28">
        <v>2918000</v>
      </c>
      <c r="AE3407" s="28">
        <v>3131284000</v>
      </c>
      <c r="AF3407" s="28">
        <v>56000</v>
      </c>
      <c r="AG3407" s="11"/>
    </row>
    <row r="3408">
      <c r="A3408" s="7" t="s">
        <v>5081</v>
      </c>
      <c r="B3408" s="5" t="s">
        <v>13048</v>
      </c>
      <c r="C3408" s="5" t="s">
        <v>20845</v>
      </c>
      <c r="D3408" s="5"/>
      <c r="E3408" s="0" t="e">
        <f>+7 (351) 2470827
+7 (351) 2651927
+7 (3512) 390039
+7 (3512) 390107
+7 (3512) 390108
+7 (3512) 390157
+7 (3512) 390162
+7 (3512) 391965
+7 (3512) 391966
+7 (3512) 391969
+7 (3512) 391970
+7 (3512) 391971
+7 (3512) 391972
+7 (3512) 391973
+7 (3512) 391974</f>
        <v>#NAME?</v>
      </c>
      <c r="F3408" s="5" t="s">
        <v>35582</v>
      </c>
      <c r="G3408" s="5" t="s">
        <v>35583</v>
      </c>
      <c r="H3408" s="26">
        <v>21.5</v>
      </c>
      <c r="I3408" s="5"/>
      <c r="J3408" s="5" t="s">
        <v>26526</v>
      </c>
      <c r="K3408" s="5" t="s">
        <v>344</v>
      </c>
      <c r="L3408" s="5" t="s">
        <v>35584</v>
      </c>
      <c r="M3408" s="27">
        <v>700881</v>
      </c>
      <c r="N3408" s="5"/>
      <c r="O3408" s="5" t="str">
        <v>7438015885</v>
      </c>
      <c r="P3408" s="27">
        <v>14000000</v>
      </c>
      <c r="Q3408" s="5" t="s">
        <v>49021</v>
      </c>
      <c r="R3408" s="5" t="s">
        <v>54621</v>
      </c>
      <c r="S3408" s="5" t="s">
        <v>54622</v>
      </c>
      <c r="T3408" s="28">
        <v>6626546000</v>
      </c>
      <c r="U3408" s="28">
        <v>21685000</v>
      </c>
      <c r="V3408" s="28">
        <v>2336607000</v>
      </c>
      <c r="W3408" s="28"/>
      <c r="X3408" s="28">
        <v>7343323000</v>
      </c>
      <c r="Y3408" s="28">
        <v>21940870000</v>
      </c>
      <c r="Z3408" s="28">
        <v>10099993000</v>
      </c>
      <c r="AA3408" s="28">
        <v>2942184000</v>
      </c>
      <c r="AB3408" s="28">
        <v>6534443000</v>
      </c>
      <c r="AC3408" s="28">
        <v>7796361000</v>
      </c>
      <c r="AD3408" s="28">
        <v>10625859000</v>
      </c>
      <c r="AE3408" s="28">
        <v>25349650000</v>
      </c>
      <c r="AF3408" s="28">
        <v>2475779000</v>
      </c>
      <c r="AG3408" s="11"/>
    </row>
    <row r="3409">
      <c r="A3409" s="7" t="s">
        <v>5082</v>
      </c>
      <c r="B3409" s="5" t="s">
        <v>10110</v>
      </c>
      <c r="C3409" s="5" t="s">
        <v>18009</v>
      </c>
      <c r="D3409" s="5"/>
      <c r="E3409" s="0" t="e">
        <f>+7 (416) 2394413
+7 (416) 2390903
+7 (416) 2390993
+7 (416) 2390995
+7 (416) 2394403</f>
        <v>#NAME?</v>
      </c>
      <c r="F3409" s="5" t="s">
        <v>35585</v>
      </c>
      <c r="G3409" s="5" t="s">
        <v>26497</v>
      </c>
      <c r="H3409" s="26">
        <v>13</v>
      </c>
      <c r="I3409" s="5" t="s">
        <v>35586</v>
      </c>
      <c r="J3409" s="5" t="s">
        <v>26499</v>
      </c>
      <c r="K3409" s="5" t="s">
        <v>344</v>
      </c>
      <c r="L3409" s="5" t="s">
        <v>35587</v>
      </c>
      <c r="M3409" s="27">
        <v>1135278</v>
      </c>
      <c r="N3409" s="5"/>
      <c r="O3409" s="5" t="str">
        <v>2801147023</v>
      </c>
      <c r="P3409" s="27">
        <v>2239961460</v>
      </c>
      <c r="Q3409" s="5"/>
      <c r="R3409" s="5"/>
      <c r="S3409" s="5" t="s">
        <v>49499</v>
      </c>
      <c r="T3409" s="28">
        <v>15536085000</v>
      </c>
      <c r="U3409" s="28">
        <v>120000</v>
      </c>
      <c r="V3409" s="28">
        <v>4842390000</v>
      </c>
      <c r="W3409" s="28"/>
      <c r="X3409" s="28">
        <v>51971000</v>
      </c>
      <c r="Y3409" s="28">
        <v>28997644000</v>
      </c>
      <c r="Z3409" s="28">
        <v>16386729000</v>
      </c>
      <c r="AA3409" s="28">
        <v>2051008000</v>
      </c>
      <c r="AB3409" s="28">
        <v>2682227000</v>
      </c>
      <c r="AC3409" s="28">
        <v>6035292000</v>
      </c>
      <c r="AD3409" s="28">
        <v>19626690000</v>
      </c>
      <c r="AE3409" s="28">
        <v>17042361000</v>
      </c>
      <c r="AF3409" s="28">
        <v>3224318000</v>
      </c>
      <c r="AG3409" s="11"/>
    </row>
    <row r="3410">
      <c r="A3410" s="7" t="s">
        <v>5083</v>
      </c>
      <c r="B3410" s="5" t="s">
        <v>13049</v>
      </c>
      <c r="C3410" s="5" t="s">
        <v>20846</v>
      </c>
      <c r="D3410" s="5" t="str">
        <v>010300701109</v>
      </c>
      <c r="E3410" s="0" t="e">
        <f>+7 (918) 9208891
+7 (49139) 32
+7 (87770) 91381
+7 (918) 2233388
+7 (918) 4249891
+7 (918) 4257830
+7 (918) 4745410
+7 (918) 4960915
+7 (967) 1610073</f>
        <v>#NAME?</v>
      </c>
      <c r="F3410" s="5"/>
      <c r="G3410" s="5" t="s">
        <v>35588</v>
      </c>
      <c r="H3410" s="26">
        <v>29</v>
      </c>
      <c r="I3410" s="5" t="s">
        <v>35589</v>
      </c>
      <c r="J3410" s="5" t="s">
        <v>33745</v>
      </c>
      <c r="K3410" s="5" t="s">
        <v>344</v>
      </c>
      <c r="L3410" s="5" t="s">
        <v>35590</v>
      </c>
      <c r="M3410" s="27"/>
      <c r="N3410" s="5"/>
      <c r="O3410" s="5" t="str">
        <v>0103001599</v>
      </c>
      <c r="P3410" s="27">
        <v>7468000</v>
      </c>
      <c r="Q3410" s="5" t="s">
        <v>49009</v>
      </c>
      <c r="R3410" s="5"/>
      <c r="S3410" s="5" t="s">
        <v>49028</v>
      </c>
      <c r="T3410" s="28">
        <v>225428000</v>
      </c>
      <c r="U3410" s="28"/>
      <c r="V3410" s="28">
        <v>116659000</v>
      </c>
      <c r="W3410" s="28"/>
      <c r="X3410" s="28">
        <v>82505000</v>
      </c>
      <c r="Y3410" s="28">
        <v>459143000</v>
      </c>
      <c r="Z3410" s="28">
        <v>241862000</v>
      </c>
      <c r="AA3410" s="28">
        <v>32915000</v>
      </c>
      <c r="AB3410" s="28"/>
      <c r="AC3410" s="28">
        <v>175992000</v>
      </c>
      <c r="AD3410" s="28">
        <v>250236000</v>
      </c>
      <c r="AE3410" s="28">
        <v>3248665000</v>
      </c>
      <c r="AF3410" s="28">
        <v>123294000</v>
      </c>
      <c r="AG3410" s="11"/>
    </row>
    <row r="3411">
      <c r="A3411" s="7" t="s">
        <v>5084</v>
      </c>
      <c r="B3411" s="5" t="s">
        <v>13050</v>
      </c>
      <c r="C3411" s="5" t="s">
        <v>20847</v>
      </c>
      <c r="D3411" s="5" t="str">
        <v>500306509783</v>
      </c>
      <c r="E3411" s="0" t="e">
        <f>+7 (495) 9692514
+7 (495) 1220088
+7 (495) 1238880
+7 (495) 1238885
+7 (495) 2582945
+7 (495) 2583945
+7 (495) 2583977
+7 (495) 5582647
+7 (495) 7256593
+7 (495) 7256594
+7 (495) 7553218
+7 (495) 7753218
+7 (495) 7757715
+7 (495) 9692512
+7 (495) 9983300</f>
        <v>#NAME?</v>
      </c>
      <c r="F3411" s="5" t="s">
        <v>35591</v>
      </c>
      <c r="G3411" s="5" t="s">
        <v>35592</v>
      </c>
      <c r="H3411" s="26">
        <v>23.5</v>
      </c>
      <c r="I3411" s="5" t="s">
        <v>35593</v>
      </c>
      <c r="J3411" s="5" t="s">
        <v>423</v>
      </c>
      <c r="K3411" s="5" t="s">
        <v>344</v>
      </c>
      <c r="L3411" s="5" t="s">
        <v>35594</v>
      </c>
      <c r="M3411" s="27">
        <v>10329512</v>
      </c>
      <c r="N3411" s="5" t="s">
        <v>54623</v>
      </c>
      <c r="O3411" s="5" t="str">
        <v>7730117815</v>
      </c>
      <c r="P3411" s="27">
        <v>1500000</v>
      </c>
      <c r="Q3411" s="5" t="s">
        <v>54624</v>
      </c>
      <c r="R3411" s="5"/>
      <c r="S3411" s="5" t="s">
        <v>49173</v>
      </c>
      <c r="T3411" s="28">
        <v>664118000</v>
      </c>
      <c r="U3411" s="28"/>
      <c r="V3411" s="28">
        <v>399698000</v>
      </c>
      <c r="W3411" s="28">
        <v>900000000</v>
      </c>
      <c r="X3411" s="28">
        <v>3223077000</v>
      </c>
      <c r="Y3411" s="28">
        <v>6493853000</v>
      </c>
      <c r="Z3411" s="28">
        <v>4493650000</v>
      </c>
      <c r="AA3411" s="28"/>
      <c r="AB3411" s="28"/>
      <c r="AC3411" s="28">
        <v>531046000</v>
      </c>
      <c r="AD3411" s="28">
        <v>5883231000</v>
      </c>
      <c r="AE3411" s="28">
        <v>10557606000</v>
      </c>
      <c r="AF3411" s="28">
        <v>-850978000</v>
      </c>
      <c r="AG3411" s="11"/>
    </row>
    <row r="3412">
      <c r="A3412" s="7" t="s">
        <v>5085</v>
      </c>
      <c r="B3412" s="5" t="s">
        <v>13051</v>
      </c>
      <c r="C3412" s="5" t="s">
        <v>20848</v>
      </c>
      <c r="D3412" s="5" t="str">
        <v>781118496561</v>
      </c>
      <c r="E3412" s="0" t="e">
        <f>+7 (495) 66782</f>
        <v>#NAME?</v>
      </c>
      <c r="F3412" s="5" t="s">
        <v>35595</v>
      </c>
      <c r="G3412" s="5"/>
      <c r="H3412" s="26">
        <v>5.5</v>
      </c>
      <c r="I3412" s="5" t="s">
        <v>35596</v>
      </c>
      <c r="J3412" s="5" t="s">
        <v>25938</v>
      </c>
      <c r="K3412" s="5" t="s">
        <v>344</v>
      </c>
      <c r="L3412" s="5" t="s">
        <v>34468</v>
      </c>
      <c r="M3412" s="27"/>
      <c r="N3412" s="5"/>
      <c r="O3412" s="5" t="str">
        <v>7801335756</v>
      </c>
      <c r="P3412" s="27">
        <v>300000</v>
      </c>
      <c r="Q3412" s="5" t="s">
        <v>49009</v>
      </c>
      <c r="R3412" s="5"/>
      <c r="S3412" s="5" t="s">
        <v>49010</v>
      </c>
      <c r="T3412" s="28">
        <v>15907000</v>
      </c>
      <c r="U3412" s="28"/>
      <c r="V3412" s="28">
        <v>536180000</v>
      </c>
      <c r="W3412" s="28"/>
      <c r="X3412" s="28">
        <v>18514000</v>
      </c>
      <c r="Y3412" s="28">
        <v>1183411000</v>
      </c>
      <c r="Z3412" s="28">
        <v>48232000</v>
      </c>
      <c r="AA3412" s="28"/>
      <c r="AB3412" s="28">
        <v>314618000</v>
      </c>
      <c r="AC3412" s="28">
        <v>1134861000</v>
      </c>
      <c r="AD3412" s="28">
        <v>48532000</v>
      </c>
      <c r="AE3412" s="28">
        <v>4101133000</v>
      </c>
      <c r="AF3412" s="28">
        <v>19874000</v>
      </c>
      <c r="AG3412" s="11"/>
    </row>
    <row r="3413">
      <c r="A3413" s="7" t="s">
        <v>5086</v>
      </c>
      <c r="B3413" s="5" t="s">
        <v>13052</v>
      </c>
      <c r="C3413" s="5" t="s">
        <v>20849</v>
      </c>
      <c r="D3413" s="5" t="str">
        <v>504603161714</v>
      </c>
      <c r="E3413" s="0" t="e">
        <f>+7 (495) 7424445
+7 (495) 7453399
+7 (495) 1976652
+7 (495) 9954126
+7 (499) 2346181
+7 (800) 5555522</f>
        <v>#NAME?</v>
      </c>
      <c r="F3413" s="5" t="s">
        <v>35597</v>
      </c>
      <c r="G3413" s="5" t="s">
        <v>35598</v>
      </c>
      <c r="H3413" s="26">
        <v>19.5</v>
      </c>
      <c r="I3413" s="5" t="s">
        <v>35599</v>
      </c>
      <c r="J3413" s="5" t="s">
        <v>748</v>
      </c>
      <c r="K3413" s="5" t="s">
        <v>344</v>
      </c>
      <c r="L3413" s="5" t="s">
        <v>35600</v>
      </c>
      <c r="M3413" s="27">
        <v>126000</v>
      </c>
      <c r="N3413" s="5" t="s">
        <v>54625</v>
      </c>
      <c r="O3413" s="5" t="str">
        <v>7709501144</v>
      </c>
      <c r="P3413" s="27">
        <v>12100000</v>
      </c>
      <c r="Q3413" s="5" t="s">
        <v>49009</v>
      </c>
      <c r="R3413" s="5"/>
      <c r="S3413" s="5" t="s">
        <v>50230</v>
      </c>
      <c r="T3413" s="28">
        <v>583361000</v>
      </c>
      <c r="U3413" s="28">
        <v>1350000000</v>
      </c>
      <c r="V3413" s="28">
        <v>2166324000</v>
      </c>
      <c r="W3413" s="28">
        <v>8365791000</v>
      </c>
      <c r="X3413" s="28">
        <v>62709000</v>
      </c>
      <c r="Y3413" s="28">
        <v>12840678000</v>
      </c>
      <c r="Z3413" s="28">
        <v>2814147000</v>
      </c>
      <c r="AA3413" s="28">
        <v>8970369000</v>
      </c>
      <c r="AB3413" s="28">
        <v>25682000</v>
      </c>
      <c r="AC3413" s="28">
        <v>855691000</v>
      </c>
      <c r="AD3413" s="28">
        <v>2826247000</v>
      </c>
      <c r="AE3413" s="28">
        <v>4456104000</v>
      </c>
      <c r="AF3413" s="28">
        <v>897878000</v>
      </c>
      <c r="AG3413" s="11"/>
    </row>
    <row r="3414">
      <c r="A3414" s="7" t="s">
        <v>5087</v>
      </c>
      <c r="B3414" s="5" t="s">
        <v>13053</v>
      </c>
      <c r="C3414" s="5" t="s">
        <v>20850</v>
      </c>
      <c r="D3414" s="5" t="str">
        <v>400702949136</v>
      </c>
      <c r="E3414" s="0" t="e">
        <f>+7 (495) 2213404
+7 (495) 7377393
+7 (916) 1327140</f>
        <v>#NAME?</v>
      </c>
      <c r="F3414" s="5"/>
      <c r="G3414" s="5" t="s">
        <v>35601</v>
      </c>
      <c r="H3414" s="26">
        <v>27.5</v>
      </c>
      <c r="I3414" s="5" t="s">
        <v>35602</v>
      </c>
      <c r="J3414" s="5" t="s">
        <v>25484</v>
      </c>
      <c r="K3414" s="5" t="s">
        <v>344</v>
      </c>
      <c r="L3414" s="5" t="s">
        <v>35603</v>
      </c>
      <c r="M3414" s="27">
        <v>84897</v>
      </c>
      <c r="N3414" s="5" t="s">
        <v>54626</v>
      </c>
      <c r="O3414" s="5" t="str">
        <v>7704625234</v>
      </c>
      <c r="P3414" s="27">
        <v>85080000</v>
      </c>
      <c r="Q3414" s="5" t="s">
        <v>54627</v>
      </c>
      <c r="R3414" s="5" t="s">
        <v>54628</v>
      </c>
      <c r="S3414" s="5" t="s">
        <v>54629</v>
      </c>
      <c r="T3414" s="28">
        <v>458940000</v>
      </c>
      <c r="U3414" s="28"/>
      <c r="V3414" s="28">
        <v>434506000</v>
      </c>
      <c r="W3414" s="28">
        <v>50000</v>
      </c>
      <c r="X3414" s="28">
        <v>235000</v>
      </c>
      <c r="Y3414" s="28">
        <v>67192980000</v>
      </c>
      <c r="Z3414" s="28">
        <v>5453875000</v>
      </c>
      <c r="AA3414" s="28">
        <v>44709033000</v>
      </c>
      <c r="AB3414" s="28">
        <v>2736161000</v>
      </c>
      <c r="AC3414" s="28">
        <v>4350518000</v>
      </c>
      <c r="AD3414" s="28">
        <v>1698055000</v>
      </c>
      <c r="AE3414" s="28">
        <v>8236852000</v>
      </c>
      <c r="AF3414" s="28">
        <v>982981000</v>
      </c>
      <c r="AG3414" s="11"/>
    </row>
    <row r="3415">
      <c r="A3415" s="7" t="s">
        <v>5088</v>
      </c>
      <c r="B3415" s="5" t="s">
        <v>13054</v>
      </c>
      <c r="C3415" s="5" t="s">
        <v>20851</v>
      </c>
      <c r="D3415" s="5" t="str">
        <v>722408751249</v>
      </c>
      <c r="E3415" s="0" t="e">
        <f>+7 (495) 7427985
+7 (495) 7427988
+7 (495) 7851744
+7 (495) 7851777
+7 (916) 835393</f>
        <v>#NAME?</v>
      </c>
      <c r="F3415" s="5" t="s">
        <v>35604</v>
      </c>
      <c r="G3415" s="5" t="s">
        <v>35605</v>
      </c>
      <c r="H3415" s="26">
        <v>15.5</v>
      </c>
      <c r="I3415" s="5" t="s">
        <v>35606</v>
      </c>
      <c r="J3415" s="5" t="s">
        <v>29291</v>
      </c>
      <c r="K3415" s="5" t="s">
        <v>344</v>
      </c>
      <c r="L3415" s="5" t="s">
        <v>35607</v>
      </c>
      <c r="M3415" s="27"/>
      <c r="N3415" s="5"/>
      <c r="O3415" s="5" t="str">
        <v>7715651116</v>
      </c>
      <c r="P3415" s="27">
        <v>35930000</v>
      </c>
      <c r="Q3415" s="5" t="s">
        <v>49009</v>
      </c>
      <c r="R3415" s="5"/>
      <c r="S3415" s="5" t="s">
        <v>49010</v>
      </c>
      <c r="T3415" s="28">
        <v>56944000</v>
      </c>
      <c r="U3415" s="28"/>
      <c r="V3415" s="28">
        <v>144423000</v>
      </c>
      <c r="W3415" s="28"/>
      <c r="X3415" s="28">
        <v>1002889000</v>
      </c>
      <c r="Y3415" s="28">
        <v>1673251000</v>
      </c>
      <c r="Z3415" s="28">
        <v>982631000</v>
      </c>
      <c r="AA3415" s="28"/>
      <c r="AB3415" s="28"/>
      <c r="AC3415" s="28">
        <v>539097000</v>
      </c>
      <c r="AD3415" s="28">
        <v>1088697000</v>
      </c>
      <c r="AE3415" s="28">
        <v>3048773000</v>
      </c>
      <c r="AF3415" s="28">
        <v>286619000</v>
      </c>
      <c r="AG3415" s="11"/>
    </row>
    <row r="3416">
      <c r="A3416" s="7" t="s">
        <v>5089</v>
      </c>
      <c r="B3416" s="5" t="s">
        <v>13055</v>
      </c>
      <c r="C3416" s="5" t="s">
        <v>20852</v>
      </c>
      <c r="D3416" s="5" t="str">
        <v>524615558996</v>
      </c>
      <c r="E3416" s="0" t="e">
        <f>+7 (800) 5558882
+7 (930) 7186545
+7 (812) 6621035
+7 (831) 2317290
+7 (831) 2317291
+7 (831) 2481899
+7 (83143) 17290
+7 (83159) 20530</f>
        <v>#NAME?</v>
      </c>
      <c r="F3416" s="5" t="s">
        <v>35608</v>
      </c>
      <c r="G3416" s="5" t="s">
        <v>35609</v>
      </c>
      <c r="H3416" s="26">
        <v>22.5</v>
      </c>
      <c r="I3416" s="5" t="s">
        <v>35610</v>
      </c>
      <c r="J3416" s="5" t="s">
        <v>26173</v>
      </c>
      <c r="K3416" s="5" t="s">
        <v>344</v>
      </c>
      <c r="L3416" s="5" t="s">
        <v>35611</v>
      </c>
      <c r="M3416" s="27">
        <v>4528542</v>
      </c>
      <c r="N3416" s="5" t="s">
        <v>54630</v>
      </c>
      <c r="O3416" s="5" t="str">
        <v>7203110241</v>
      </c>
      <c r="P3416" s="27">
        <v>1246472854</v>
      </c>
      <c r="Q3416" s="5" t="s">
        <v>54631</v>
      </c>
      <c r="R3416" s="5"/>
      <c r="S3416" s="5" t="s">
        <v>53958</v>
      </c>
      <c r="T3416" s="28">
        <v>1777061000</v>
      </c>
      <c r="U3416" s="28"/>
      <c r="V3416" s="28">
        <v>2656798000</v>
      </c>
      <c r="W3416" s="28"/>
      <c r="X3416" s="28">
        <v>534685000</v>
      </c>
      <c r="Y3416" s="28">
        <v>7170722000</v>
      </c>
      <c r="Z3416" s="28">
        <v>3126246000</v>
      </c>
      <c r="AA3416" s="28"/>
      <c r="AB3416" s="28"/>
      <c r="AC3416" s="28">
        <v>2786669000</v>
      </c>
      <c r="AD3416" s="28">
        <v>4372719000</v>
      </c>
      <c r="AE3416" s="28">
        <v>8858493000</v>
      </c>
      <c r="AF3416" s="28">
        <v>120845000</v>
      </c>
      <c r="AG3416" s="11"/>
    </row>
    <row r="3417">
      <c r="A3417" s="7" t="s">
        <v>5090</v>
      </c>
      <c r="B3417" s="5" t="s">
        <v>13056</v>
      </c>
      <c r="C3417" s="5" t="s">
        <v>20853</v>
      </c>
      <c r="D3417" s="5" t="str">
        <v>781001284371</v>
      </c>
      <c r="E3417" s="0" t="e">
        <f>+7 (812) 3210100
+7 (812) 3319293
+7 (812) 4494848
+7 (812) 4495990
+7 (812) 4495991</f>
        <v>#NAME?</v>
      </c>
      <c r="F3417" s="5" t="s">
        <v>35612</v>
      </c>
      <c r="G3417" s="5" t="s">
        <v>35613</v>
      </c>
      <c r="H3417" s="26">
        <v>18.5</v>
      </c>
      <c r="I3417" s="5" t="s">
        <v>35614</v>
      </c>
      <c r="J3417" s="5" t="s">
        <v>33745</v>
      </c>
      <c r="K3417" s="5" t="s">
        <v>344</v>
      </c>
      <c r="L3417" s="5" t="s">
        <v>35615</v>
      </c>
      <c r="M3417" s="27"/>
      <c r="N3417" s="5"/>
      <c r="O3417" s="5" t="str">
        <v>7802309759</v>
      </c>
      <c r="P3417" s="27">
        <v>208400</v>
      </c>
      <c r="Q3417" s="5" t="s">
        <v>49009</v>
      </c>
      <c r="R3417" s="5"/>
      <c r="S3417" s="5" t="s">
        <v>49066</v>
      </c>
      <c r="T3417" s="28">
        <v>431194000</v>
      </c>
      <c r="U3417" s="28"/>
      <c r="V3417" s="28">
        <v>368663000</v>
      </c>
      <c r="W3417" s="28"/>
      <c r="X3417" s="28">
        <v>25472000</v>
      </c>
      <c r="Y3417" s="28">
        <v>1061919000</v>
      </c>
      <c r="Z3417" s="28">
        <v>589152000</v>
      </c>
      <c r="AA3417" s="28">
        <v>250000000</v>
      </c>
      <c r="AB3417" s="28"/>
      <c r="AC3417" s="28">
        <v>122645000</v>
      </c>
      <c r="AD3417" s="28">
        <v>618445000</v>
      </c>
      <c r="AE3417" s="28">
        <v>4447199000</v>
      </c>
      <c r="AF3417" s="28">
        <v>225026000</v>
      </c>
      <c r="AG3417" s="11"/>
    </row>
    <row r="3418">
      <c r="A3418" s="7" t="s">
        <v>5091</v>
      </c>
      <c r="B3418" s="5" t="s">
        <v>13057</v>
      </c>
      <c r="C3418" s="5" t="s">
        <v>20854</v>
      </c>
      <c r="D3418" s="5" t="str">
        <v>507704255403</v>
      </c>
      <c r="E3418" s="0" t="e">
        <f>+7 (495) 7301186
+7 (495) 7301187
+7 (42366) 99320
+7 (495) 2280700
+7 (495) 7853311
+7 (49673) 55097
+7 (49673) 55205
+7 (49673) 55325
+7 (49673) 58865
+7 (49673) 78607
+7 (49673) 78865
+7 (800) 1008181</f>
        <v>#NAME?</v>
      </c>
      <c r="F3418" s="5" t="s">
        <v>35616</v>
      </c>
      <c r="G3418" s="5" t="s">
        <v>35617</v>
      </c>
      <c r="H3418" s="26">
        <v>17</v>
      </c>
      <c r="I3418" s="5" t="s">
        <v>35618</v>
      </c>
      <c r="J3418" s="5" t="s">
        <v>28174</v>
      </c>
      <c r="K3418" s="5" t="s">
        <v>344</v>
      </c>
      <c r="L3418" s="5"/>
      <c r="M3418" s="27"/>
      <c r="N3418" s="5"/>
      <c r="O3418" s="5" t="str">
        <v>5077018948</v>
      </c>
      <c r="P3418" s="27">
        <v>991850958</v>
      </c>
      <c r="Q3418" s="5" t="s">
        <v>54632</v>
      </c>
      <c r="R3418" s="5"/>
      <c r="S3418" s="5" t="s">
        <v>49884</v>
      </c>
      <c r="T3418" s="28">
        <v>3890202000</v>
      </c>
      <c r="U3418" s="28"/>
      <c r="V3418" s="28">
        <v>3406289000</v>
      </c>
      <c r="W3418" s="28">
        <v>750000000</v>
      </c>
      <c r="X3418" s="28">
        <v>1207834000</v>
      </c>
      <c r="Y3418" s="28">
        <v>12303296000</v>
      </c>
      <c r="Z3418" s="28">
        <v>5626980000</v>
      </c>
      <c r="AA3418" s="28">
        <v>2110122000</v>
      </c>
      <c r="AB3418" s="28">
        <v>435119000</v>
      </c>
      <c r="AC3418" s="28">
        <v>2156733000</v>
      </c>
      <c r="AD3418" s="28">
        <v>7767609000</v>
      </c>
      <c r="AE3418" s="28">
        <v>26418510000</v>
      </c>
      <c r="AF3418" s="28">
        <v>4431265000</v>
      </c>
      <c r="AG3418" s="11"/>
    </row>
    <row r="3419">
      <c r="A3419" s="7" t="s">
        <v>5092</v>
      </c>
      <c r="B3419" s="5" t="s">
        <v>13058</v>
      </c>
      <c r="C3419" s="5" t="s">
        <v>20855</v>
      </c>
      <c r="D3419" s="5" t="str">
        <v>663310642760</v>
      </c>
      <c r="E3419" s="0" t="e">
        <f>+7 (38443) 52997
+7 (38443) 50601
+7 (38443) 58001
+7 (38443) 58002
+7 (38443) 58003
+7 (38443) 58004
+7 (38443) 58005
+7 (38443) 58022
+7 (38443) 58025</f>
        <v>#NAME?</v>
      </c>
      <c r="F3419" s="5" t="s">
        <v>35619</v>
      </c>
      <c r="G3419" s="5"/>
      <c r="H3419" s="26">
        <v>26.5</v>
      </c>
      <c r="I3419" s="5"/>
      <c r="J3419" s="5" t="s">
        <v>26503</v>
      </c>
      <c r="K3419" s="5" t="s">
        <v>344</v>
      </c>
      <c r="L3419" s="5" t="s">
        <v>35620</v>
      </c>
      <c r="M3419" s="27"/>
      <c r="N3419" s="5"/>
      <c r="O3419" s="5" t="str">
        <v>4213003050</v>
      </c>
      <c r="P3419" s="27">
        <v>412440000</v>
      </c>
      <c r="Q3419" s="5" t="s">
        <v>49009</v>
      </c>
      <c r="R3419" s="5"/>
      <c r="S3419" s="5" t="s">
        <v>49576</v>
      </c>
      <c r="T3419" s="28">
        <v>277102000</v>
      </c>
      <c r="U3419" s="28">
        <v>200000000</v>
      </c>
      <c r="V3419" s="28">
        <v>3717644000</v>
      </c>
      <c r="W3419" s="28"/>
      <c r="X3419" s="28">
        <v>966000</v>
      </c>
      <c r="Y3419" s="28">
        <v>5050219000</v>
      </c>
      <c r="Z3419" s="28">
        <v>738943000</v>
      </c>
      <c r="AA3419" s="28">
        <v>1706440000</v>
      </c>
      <c r="AB3419" s="28">
        <v>52876000</v>
      </c>
      <c r="AC3419" s="28">
        <v>2062061000</v>
      </c>
      <c r="AD3419" s="28">
        <v>1188859000</v>
      </c>
      <c r="AE3419" s="28">
        <v>3932755000</v>
      </c>
      <c r="AF3419" s="28">
        <v>336135000</v>
      </c>
      <c r="AG3419" s="11"/>
    </row>
    <row r="3420">
      <c r="A3420" s="7" t="s">
        <v>5093</v>
      </c>
      <c r="B3420" s="5" t="s">
        <v>13059</v>
      </c>
      <c r="C3420" s="5" t="s">
        <v>20856</v>
      </c>
      <c r="D3420" s="5" t="str">
        <v>165502602577</v>
      </c>
      <c r="E3420" s="0" t="e">
        <f>+7 (8362) 468364
+7 (8362) 245948
+7 (836) 2686101
+7 (836) 2686106
+7 (8362) 383664
+7 (8362) 535320
+7 (8362) 535352
+7 (8362) 686103
+7 (8362) 686110
+7 (83645) 66227
+7 (83645) 66247
+7 (83645) 66334
+7 (902) 3588415
+7 (927) 8892593</f>
        <v>#NAME?</v>
      </c>
      <c r="F3420" s="5" t="s">
        <v>35621</v>
      </c>
      <c r="G3420" s="5"/>
      <c r="H3420" s="26">
        <v>26.5</v>
      </c>
      <c r="I3420" s="5"/>
      <c r="J3420" s="5" t="s">
        <v>25603</v>
      </c>
      <c r="K3420" s="5" t="s">
        <v>355</v>
      </c>
      <c r="L3420" s="5" t="s">
        <v>33973</v>
      </c>
      <c r="M3420" s="27">
        <v>80061311</v>
      </c>
      <c r="N3420" s="5" t="s">
        <v>54633</v>
      </c>
      <c r="O3420" s="5" t="str">
        <v>1215147005</v>
      </c>
      <c r="P3420" s="27">
        <v>50707000</v>
      </c>
      <c r="Q3420" s="5" t="s">
        <v>447</v>
      </c>
      <c r="R3420" s="5" t="s">
        <v>54634</v>
      </c>
      <c r="S3420" s="5" t="s">
        <v>54635</v>
      </c>
      <c r="T3420" s="28">
        <v>910578000</v>
      </c>
      <c r="U3420" s="28"/>
      <c r="V3420" s="28">
        <v>1027692000</v>
      </c>
      <c r="W3420" s="28"/>
      <c r="X3420" s="28">
        <v>53473000</v>
      </c>
      <c r="Y3420" s="28">
        <v>2236414000</v>
      </c>
      <c r="Z3420" s="28">
        <v>111990000</v>
      </c>
      <c r="AA3420" s="28"/>
      <c r="AB3420" s="28">
        <v>340296000</v>
      </c>
      <c r="AC3420" s="28">
        <v>1687937000</v>
      </c>
      <c r="AD3420" s="28">
        <v>238860000</v>
      </c>
      <c r="AE3420" s="28">
        <v>3018817000</v>
      </c>
      <c r="AF3420" s="28">
        <v>20132000</v>
      </c>
      <c r="AG3420" s="11"/>
    </row>
    <row r="3421">
      <c r="A3421" s="7" t="s">
        <v>5094</v>
      </c>
      <c r="B3421" s="5" t="s">
        <v>13060</v>
      </c>
      <c r="C3421" s="5" t="s">
        <v>20857</v>
      </c>
      <c r="D3421" s="5" t="str">
        <v>410119945208</v>
      </c>
      <c r="E3421" s="0" t="e">
        <f>+7 (961) 9619961
+7 (963) 8337755
+7 (963) 8337775
+7 (4232) 393293</f>
        <v>#NAME?</v>
      </c>
      <c r="F3421" s="5" t="s">
        <v>35622</v>
      </c>
      <c r="G3421" s="5"/>
      <c r="H3421" s="26">
        <v>2.5</v>
      </c>
      <c r="I3421" s="5" t="s">
        <v>35623</v>
      </c>
      <c r="J3421" s="5" t="s">
        <v>373</v>
      </c>
      <c r="K3421" s="5" t="s">
        <v>344</v>
      </c>
      <c r="L3421" s="5" t="s">
        <v>35624</v>
      </c>
      <c r="M3421" s="27"/>
      <c r="N3421" s="5" t="s">
        <v>54636</v>
      </c>
      <c r="O3421" s="5" t="str">
        <v>2536323920</v>
      </c>
      <c r="P3421" s="27">
        <v>10000</v>
      </c>
      <c r="Q3421" s="5" t="s">
        <v>54637</v>
      </c>
      <c r="R3421" s="5"/>
      <c r="S3421" s="5" t="s">
        <v>54638</v>
      </c>
      <c r="T3421" s="28">
        <v>81000</v>
      </c>
      <c r="U3421" s="28"/>
      <c r="V3421" s="28">
        <v>770164000</v>
      </c>
      <c r="W3421" s="28">
        <v>1000000</v>
      </c>
      <c r="X3421" s="28">
        <v>8496000</v>
      </c>
      <c r="Y3421" s="28">
        <v>896586000</v>
      </c>
      <c r="Z3421" s="28">
        <v>-20530000</v>
      </c>
      <c r="AA3421" s="28">
        <v>150000000</v>
      </c>
      <c r="AB3421" s="28">
        <v>47000</v>
      </c>
      <c r="AC3421" s="28">
        <v>767106000</v>
      </c>
      <c r="AD3421" s="28">
        <v>-20520000</v>
      </c>
      <c r="AE3421" s="28">
        <v>8778847000</v>
      </c>
      <c r="AF3421" s="28">
        <v>-47658000</v>
      </c>
      <c r="AG3421" s="11"/>
    </row>
    <row r="3422">
      <c r="A3422" s="7" t="s">
        <v>5095</v>
      </c>
      <c r="B3422" s="5" t="s">
        <v>13061</v>
      </c>
      <c r="C3422" s="5" t="s">
        <v>20858</v>
      </c>
      <c r="D3422" s="5" t="str">
        <v>781307862005</v>
      </c>
      <c r="E3422" s="0" t="e">
        <f>+7 (812) 3259969
+7 (495) 7303547
+7 (812) 3103073
+7 (812) 3259972</f>
        <v>#NAME?</v>
      </c>
      <c r="F3422" s="5" t="s">
        <v>35625</v>
      </c>
      <c r="G3422" s="5" t="s">
        <v>35626</v>
      </c>
      <c r="H3422" s="26">
        <v>26</v>
      </c>
      <c r="I3422" s="5" t="s">
        <v>35627</v>
      </c>
      <c r="J3422" s="5" t="s">
        <v>25332</v>
      </c>
      <c r="K3422" s="5" t="s">
        <v>344</v>
      </c>
      <c r="L3422" s="5" t="s">
        <v>35628</v>
      </c>
      <c r="M3422" s="27"/>
      <c r="N3422" s="5"/>
      <c r="O3422" s="5" t="str">
        <v>7810106417</v>
      </c>
      <c r="P3422" s="27">
        <v>10000000</v>
      </c>
      <c r="Q3422" s="5" t="s">
        <v>49009</v>
      </c>
      <c r="R3422" s="5"/>
      <c r="S3422" s="5" t="s">
        <v>49010</v>
      </c>
      <c r="T3422" s="28">
        <v>709266000</v>
      </c>
      <c r="U3422" s="28"/>
      <c r="V3422" s="28">
        <v>1927441000</v>
      </c>
      <c r="W3422" s="28">
        <v>16500000</v>
      </c>
      <c r="X3422" s="28">
        <v>156005000</v>
      </c>
      <c r="Y3422" s="28">
        <v>4471326000</v>
      </c>
      <c r="Z3422" s="28">
        <v>2112565000</v>
      </c>
      <c r="AA3422" s="28">
        <v>9900000</v>
      </c>
      <c r="AB3422" s="28">
        <v>1463660000</v>
      </c>
      <c r="AC3422" s="28">
        <v>2192730000</v>
      </c>
      <c r="AD3422" s="28">
        <v>2122565000</v>
      </c>
      <c r="AE3422" s="28">
        <v>5816290000</v>
      </c>
      <c r="AF3422" s="28">
        <v>861219000</v>
      </c>
      <c r="AG3422" s="11"/>
    </row>
    <row r="3423">
      <c r="A3423" s="7" t="s">
        <v>5096</v>
      </c>
      <c r="B3423" s="5" t="s">
        <v>13062</v>
      </c>
      <c r="C3423" s="5" t="s">
        <v>20859</v>
      </c>
      <c r="D3423" s="5" t="str">
        <v>222500046140</v>
      </c>
      <c r="E3423" s="0" t="e">
        <f>+7 (385) 2223400
+7 (385) 2223409
+7 (385) 2223444
+7 (385) 2223450
+7 (385) 2238227
+7 (800) 1000810
+7 (800) 7009855</f>
        <v>#NAME?</v>
      </c>
      <c r="F3423" s="5" t="s">
        <v>35629</v>
      </c>
      <c r="G3423" s="5" t="s">
        <v>35630</v>
      </c>
      <c r="H3423" s="26">
        <v>30</v>
      </c>
      <c r="I3423" s="5" t="s">
        <v>35631</v>
      </c>
      <c r="J3423" s="5" t="s">
        <v>26148</v>
      </c>
      <c r="K3423" s="5" t="s">
        <v>355</v>
      </c>
      <c r="L3423" s="5" t="s">
        <v>35632</v>
      </c>
      <c r="M3423" s="27">
        <v>3149085</v>
      </c>
      <c r="N3423" s="5"/>
      <c r="O3423" s="5" t="str">
        <v>2225021331</v>
      </c>
      <c r="P3423" s="27">
        <v>1351000</v>
      </c>
      <c r="Q3423" s="5" t="s">
        <v>49009</v>
      </c>
      <c r="R3423" s="5"/>
      <c r="S3423" s="5" t="s">
        <v>54639</v>
      </c>
      <c r="T3423" s="28">
        <v>20130230000</v>
      </c>
      <c r="U3423" s="28">
        <v>106822000</v>
      </c>
      <c r="V3423" s="28">
        <v>7871708000</v>
      </c>
      <c r="W3423" s="28"/>
      <c r="X3423" s="28">
        <v>197000</v>
      </c>
      <c r="Y3423" s="28">
        <v>28355357000</v>
      </c>
      <c r="Z3423" s="28">
        <v>26256432000</v>
      </c>
      <c r="AA3423" s="28"/>
      <c r="AB3423" s="28"/>
      <c r="AC3423" s="28">
        <v>1364351000</v>
      </c>
      <c r="AD3423" s="28">
        <v>26257960000</v>
      </c>
      <c r="AE3423" s="28">
        <v>9646823000</v>
      </c>
      <c r="AF3423" s="28">
        <v>5253746000</v>
      </c>
      <c r="AG3423" s="11"/>
    </row>
    <row r="3424">
      <c r="A3424" s="7" t="s">
        <v>5097</v>
      </c>
      <c r="B3424" s="5" t="s">
        <v>10094</v>
      </c>
      <c r="C3424" s="5" t="s">
        <v>20860</v>
      </c>
      <c r="D3424" s="5" t="str">
        <v>774335650080</v>
      </c>
      <c r="E3424" s="0" t="e">
        <f>+7 (495) 9810067
+7 (495) 1082980
+7 (800) 6001969</f>
        <v>#NAME?</v>
      </c>
      <c r="F3424" s="5" t="s">
        <v>35633</v>
      </c>
      <c r="G3424" s="5" t="s">
        <v>35634</v>
      </c>
      <c r="H3424" s="26">
        <v>17.5</v>
      </c>
      <c r="I3424" s="5" t="s">
        <v>35635</v>
      </c>
      <c r="J3424" s="5" t="s">
        <v>25195</v>
      </c>
      <c r="K3424" s="5" t="s">
        <v>344</v>
      </c>
      <c r="L3424" s="5" t="s">
        <v>35636</v>
      </c>
      <c r="M3424" s="27"/>
      <c r="N3424" s="5" t="s">
        <v>54640</v>
      </c>
      <c r="O3424" s="5" t="str">
        <v>7705675358</v>
      </c>
      <c r="P3424" s="27">
        <v>43150000</v>
      </c>
      <c r="Q3424" s="5" t="s">
        <v>49009</v>
      </c>
      <c r="R3424" s="5"/>
      <c r="S3424" s="5" t="s">
        <v>49045</v>
      </c>
      <c r="T3424" s="28">
        <v>792368000</v>
      </c>
      <c r="U3424" s="28">
        <v>1300000000</v>
      </c>
      <c r="V3424" s="28">
        <v>321537000</v>
      </c>
      <c r="W3424" s="28">
        <v>106000000</v>
      </c>
      <c r="X3424" s="28">
        <v>634656000</v>
      </c>
      <c r="Y3424" s="28">
        <v>3285676000</v>
      </c>
      <c r="Z3424" s="28">
        <v>2093348000</v>
      </c>
      <c r="AA3424" s="28"/>
      <c r="AB3424" s="28">
        <v>200001000</v>
      </c>
      <c r="AC3424" s="28">
        <v>392967000</v>
      </c>
      <c r="AD3424" s="28">
        <v>2136498000</v>
      </c>
      <c r="AE3424" s="28">
        <v>5713657000</v>
      </c>
      <c r="AF3424" s="28">
        <v>2053373000</v>
      </c>
      <c r="AG3424" s="11"/>
    </row>
    <row r="3425">
      <c r="A3425" s="7" t="s">
        <v>5098</v>
      </c>
      <c r="B3425" s="5" t="s">
        <v>13063</v>
      </c>
      <c r="C3425" s="5" t="s">
        <v>20861</v>
      </c>
      <c r="D3425" s="5" t="str">
        <v>781310486150</v>
      </c>
      <c r="E3425" s="0" t="e">
        <f>+7 (812) 3725352
+7 (812) 3725350
+7 (812) 5403087
+7 (812) 5403419
+7 (812) 7031290</f>
        <v>#NAME?</v>
      </c>
      <c r="F3425" s="5" t="s">
        <v>35637</v>
      </c>
      <c r="G3425" s="5" t="s">
        <v>35638</v>
      </c>
      <c r="H3425" s="26">
        <v>27.5</v>
      </c>
      <c r="I3425" s="5" t="s">
        <v>35639</v>
      </c>
      <c r="J3425" s="5" t="s">
        <v>27497</v>
      </c>
      <c r="K3425" s="5" t="s">
        <v>344</v>
      </c>
      <c r="L3425" s="5" t="s">
        <v>35640</v>
      </c>
      <c r="M3425" s="27"/>
      <c r="N3425" s="5" t="s">
        <v>54641</v>
      </c>
      <c r="O3425" s="5" t="str">
        <v>7814039024</v>
      </c>
      <c r="P3425" s="27">
        <v>10000</v>
      </c>
      <c r="Q3425" s="5"/>
      <c r="R3425" s="5"/>
      <c r="S3425" s="5" t="s">
        <v>49399</v>
      </c>
      <c r="T3425" s="28">
        <v>181201000</v>
      </c>
      <c r="U3425" s="28">
        <v>127598000</v>
      </c>
      <c r="V3425" s="28">
        <v>708476000</v>
      </c>
      <c r="W3425" s="28"/>
      <c r="X3425" s="28">
        <v>19379000</v>
      </c>
      <c r="Y3425" s="28">
        <v>1391068000</v>
      </c>
      <c r="Z3425" s="28">
        <v>756570000</v>
      </c>
      <c r="AA3425" s="28">
        <v>10216000</v>
      </c>
      <c r="AB3425" s="28">
        <v>155661000</v>
      </c>
      <c r="AC3425" s="28">
        <v>524877000</v>
      </c>
      <c r="AD3425" s="28">
        <v>756580000</v>
      </c>
      <c r="AE3425" s="28">
        <v>6571989000</v>
      </c>
      <c r="AF3425" s="28">
        <v>164209000</v>
      </c>
      <c r="AG3425" s="11"/>
    </row>
    <row r="3426">
      <c r="A3426" s="7" t="s">
        <v>5099</v>
      </c>
      <c r="B3426" s="5" t="s">
        <v>13064</v>
      </c>
      <c r="C3426" s="5" t="s">
        <v>20862</v>
      </c>
      <c r="D3426" s="5" t="str">
        <v>620400713453</v>
      </c>
      <c r="E3426" s="0" t="e">
        <f>+7 (812) 6131717
+7 (34761) 50128
+7 (495) 4284509
+7 (495) 6501828
+7 (49656) 21136
+7 (49656) 64222
+7 (49656) 69747
+7 (84656) 23026
+7 (84656) 23030</f>
        <v>#NAME?</v>
      </c>
      <c r="F3426" s="5" t="s">
        <v>35641</v>
      </c>
      <c r="G3426" s="5"/>
      <c r="H3426" s="26">
        <v>16</v>
      </c>
      <c r="I3426" s="5" t="s">
        <v>35642</v>
      </c>
      <c r="J3426" s="5" t="s">
        <v>30715</v>
      </c>
      <c r="K3426" s="5" t="s">
        <v>344</v>
      </c>
      <c r="L3426" s="5"/>
      <c r="M3426" s="27">
        <v>10772544</v>
      </c>
      <c r="N3426" s="5" t="s">
        <v>54642</v>
      </c>
      <c r="O3426" s="5" t="str">
        <v>5003065767</v>
      </c>
      <c r="P3426" s="27">
        <v>2010000000</v>
      </c>
      <c r="Q3426" s="5" t="s">
        <v>54643</v>
      </c>
      <c r="R3426" s="5"/>
      <c r="S3426" s="5" t="s">
        <v>50324</v>
      </c>
      <c r="T3426" s="28">
        <v>21941233000</v>
      </c>
      <c r="U3426" s="28"/>
      <c r="V3426" s="28">
        <v>13040186000</v>
      </c>
      <c r="W3426" s="28"/>
      <c r="X3426" s="28">
        <v>241000</v>
      </c>
      <c r="Y3426" s="28">
        <v>38356861000</v>
      </c>
      <c r="Z3426" s="28">
        <v>16426920000</v>
      </c>
      <c r="AA3426" s="28"/>
      <c r="AB3426" s="28"/>
      <c r="AC3426" s="28">
        <v>12237625000</v>
      </c>
      <c r="AD3426" s="28">
        <v>21182400000</v>
      </c>
      <c r="AE3426" s="28">
        <v>65866607000</v>
      </c>
      <c r="AF3426" s="28">
        <v>406643000</v>
      </c>
      <c r="AG3426" s="11"/>
    </row>
    <row r="3427">
      <c r="A3427" s="7" t="s">
        <v>5100</v>
      </c>
      <c r="B3427" s="5" t="s">
        <v>13065</v>
      </c>
      <c r="C3427" s="5" t="s">
        <v>20863</v>
      </c>
      <c r="D3427" s="5" t="str">
        <v>771701942485</v>
      </c>
      <c r="E3427" s="0" t="e">
        <f>+7 (495) 7772310
+7 (800) 3016010
+7 (800) 7077670
+7 (916) 4828697</f>
        <v>#NAME?</v>
      </c>
      <c r="F3427" s="5" t="s">
        <v>35643</v>
      </c>
      <c r="G3427" s="5" t="s">
        <v>35644</v>
      </c>
      <c r="H3427" s="26">
        <v>5.5</v>
      </c>
      <c r="I3427" s="5" t="s">
        <v>35645</v>
      </c>
      <c r="J3427" s="5" t="s">
        <v>35646</v>
      </c>
      <c r="K3427" s="5" t="s">
        <v>344</v>
      </c>
      <c r="L3427" s="5" t="s">
        <v>35647</v>
      </c>
      <c r="M3427" s="27">
        <v>173364387</v>
      </c>
      <c r="N3427" s="5"/>
      <c r="O3427" s="5" t="str">
        <v>9723037680</v>
      </c>
      <c r="P3427" s="27">
        <v>100000</v>
      </c>
      <c r="Q3427" s="5" t="s">
        <v>49021</v>
      </c>
      <c r="R3427" s="5"/>
      <c r="S3427" s="5" t="s">
        <v>49033</v>
      </c>
      <c r="T3427" s="28">
        <v>62314000</v>
      </c>
      <c r="U3427" s="28"/>
      <c r="V3427" s="28">
        <v>835107000</v>
      </c>
      <c r="W3427" s="28">
        <v>1000000</v>
      </c>
      <c r="X3427" s="28">
        <v>4138000</v>
      </c>
      <c r="Y3427" s="28">
        <v>3432076000</v>
      </c>
      <c r="Z3427" s="28">
        <v>610086000</v>
      </c>
      <c r="AA3427" s="28"/>
      <c r="AB3427" s="28">
        <v>963886000</v>
      </c>
      <c r="AC3427" s="28">
        <v>2777473000</v>
      </c>
      <c r="AD3427" s="28">
        <v>610586000</v>
      </c>
      <c r="AE3427" s="28">
        <v>7028015000</v>
      </c>
      <c r="AF3427" s="28">
        <v>342407000</v>
      </c>
      <c r="AG3427" s="11"/>
    </row>
    <row r="3428">
      <c r="A3428" s="7" t="s">
        <v>5101</v>
      </c>
      <c r="B3428" s="5" t="s">
        <v>13066</v>
      </c>
      <c r="C3428" s="5" t="s">
        <v>20864</v>
      </c>
      <c r="D3428" s="5" t="str">
        <v>773135591477</v>
      </c>
      <c r="F3428" s="5" t="s">
        <v>35648</v>
      </c>
      <c r="G3428" s="5"/>
      <c r="H3428" s="26">
        <v>0.5</v>
      </c>
      <c r="I3428" s="5" t="s">
        <v>35649</v>
      </c>
      <c r="J3428" s="5" t="s">
        <v>35646</v>
      </c>
      <c r="K3428" s="5" t="s">
        <v>355</v>
      </c>
      <c r="L3428" s="5"/>
      <c r="M3428" s="27">
        <v>109367</v>
      </c>
      <c r="N3428" s="5"/>
      <c r="O3428" s="5" t="str">
        <v>9705171890</v>
      </c>
      <c r="P3428" s="27">
        <v>16180372448</v>
      </c>
      <c r="Q3428" s="5" t="s">
        <v>54644</v>
      </c>
      <c r="R3428" s="5"/>
      <c r="S3428" s="5" t="s">
        <v>49053</v>
      </c>
      <c r="T3428" s="28">
        <v>206000</v>
      </c>
      <c r="U3428" s="28"/>
      <c r="V3428" s="28">
        <v>6661913000</v>
      </c>
      <c r="W3428" s="28">
        <v>109429000</v>
      </c>
      <c r="X3428" s="28">
        <v>498650000</v>
      </c>
      <c r="Y3428" s="28">
        <v>36650207000</v>
      </c>
      <c r="Z3428" s="28">
        <v>-2254412000</v>
      </c>
      <c r="AA3428" s="28"/>
      <c r="AB3428" s="28">
        <v>9415000000</v>
      </c>
      <c r="AC3428" s="28">
        <v>19757303000</v>
      </c>
      <c r="AD3428" s="28">
        <v>16892855000</v>
      </c>
      <c r="AE3428" s="28">
        <v>25476476000</v>
      </c>
      <c r="AF3428" s="28">
        <v>-2254412000</v>
      </c>
      <c r="AG3428" s="11"/>
    </row>
    <row r="3429">
      <c r="A3429" s="7" t="s">
        <v>5102</v>
      </c>
      <c r="B3429" s="5" t="s">
        <v>13067</v>
      </c>
      <c r="C3429" s="5" t="s">
        <v>20865</v>
      </c>
      <c r="D3429" s="5" t="str">
        <v>772210041385</v>
      </c>
      <c r="E3429" s="0" t="e">
        <f>+7 (495) 5408008
+7 (495) 7418008
+7 (495) 7830888
+7 (499) 6738588
+7 (800) 5508008
+7 (800) 6000888</f>
        <v>#NAME?</v>
      </c>
      <c r="F3429" s="5" t="s">
        <v>35650</v>
      </c>
      <c r="G3429" s="5" t="s">
        <v>35651</v>
      </c>
      <c r="H3429" s="26">
        <v>6.5</v>
      </c>
      <c r="I3429" s="5"/>
      <c r="J3429" s="5" t="s">
        <v>30822</v>
      </c>
      <c r="K3429" s="5" t="s">
        <v>355</v>
      </c>
      <c r="L3429" s="5"/>
      <c r="M3429" s="27">
        <v>6188759</v>
      </c>
      <c r="N3429" s="5"/>
      <c r="O3429" s="5" t="str">
        <v>9701048328</v>
      </c>
      <c r="P3429" s="27">
        <v>4995000000</v>
      </c>
      <c r="Q3429" s="5" t="s">
        <v>49009</v>
      </c>
      <c r="R3429" s="5"/>
      <c r="S3429" s="5" t="s">
        <v>49045</v>
      </c>
      <c r="T3429" s="28">
        <v>616429000</v>
      </c>
      <c r="U3429" s="28"/>
      <c r="V3429" s="28">
        <v>2573821000</v>
      </c>
      <c r="W3429" s="28">
        <v>4688110000</v>
      </c>
      <c r="X3429" s="28">
        <v>2620166000</v>
      </c>
      <c r="Y3429" s="28">
        <v>11905932000</v>
      </c>
      <c r="Z3429" s="28">
        <v>-37802567000</v>
      </c>
      <c r="AA3429" s="28"/>
      <c r="AB3429" s="28"/>
      <c r="AC3429" s="28">
        <v>8045954000</v>
      </c>
      <c r="AD3429" s="28">
        <v>3532433000</v>
      </c>
      <c r="AE3429" s="28">
        <v>4866583000</v>
      </c>
      <c r="AF3429" s="28">
        <v>-19301174000</v>
      </c>
      <c r="AG3429" s="11"/>
    </row>
    <row r="3430">
      <c r="A3430" s="7" t="s">
        <v>5103</v>
      </c>
      <c r="B3430" s="5" t="s">
        <v>13068</v>
      </c>
      <c r="C3430" s="5" t="s">
        <v>20866</v>
      </c>
      <c r="D3430" s="5" t="str">
        <v>772814719553</v>
      </c>
      <c r="E3430" s="0" t="e">
        <f>+7 (916) 1027989
+7 (383) 2726415
+7 (495) 6638321
+7 (495) 7853944
+7 (495) 7853945
+7 (495) 7853959
+7 (4986) 964195
+7 (499) 7853940
+7 (800) 2503206
+7 (800) 2506758
+7 (812) 4565758
+7 (84699) 86451
+7 (863) 3050653
+7 (916) 1866572</f>
        <v>#NAME?</v>
      </c>
      <c r="F3430" s="5" t="s">
        <v>35652</v>
      </c>
      <c r="G3430" s="5"/>
      <c r="H3430" s="26">
        <v>21.5</v>
      </c>
      <c r="I3430" s="5" t="s">
        <v>35653</v>
      </c>
      <c r="J3430" s="5" t="s">
        <v>26887</v>
      </c>
      <c r="K3430" s="5" t="s">
        <v>344</v>
      </c>
      <c r="L3430" s="5" t="s">
        <v>35654</v>
      </c>
      <c r="M3430" s="27"/>
      <c r="N3430" s="5" t="s">
        <v>54646</v>
      </c>
      <c r="O3430" s="5" t="str">
        <v>7729409940</v>
      </c>
      <c r="P3430" s="27">
        <v>100000000</v>
      </c>
      <c r="Q3430" s="5" t="s">
        <v>49009</v>
      </c>
      <c r="R3430" s="5"/>
      <c r="S3430" s="5" t="s">
        <v>49487</v>
      </c>
      <c r="T3430" s="28">
        <v>1933440000</v>
      </c>
      <c r="U3430" s="28">
        <v>2781821000</v>
      </c>
      <c r="V3430" s="28">
        <v>1863396000</v>
      </c>
      <c r="W3430" s="28"/>
      <c r="X3430" s="28">
        <v>218053000</v>
      </c>
      <c r="Y3430" s="28">
        <v>11470517000</v>
      </c>
      <c r="Z3430" s="28">
        <v>6420206000</v>
      </c>
      <c r="AA3430" s="28">
        <v>2575274000</v>
      </c>
      <c r="AB3430" s="28">
        <v>140000000</v>
      </c>
      <c r="AC3430" s="28">
        <v>973130000</v>
      </c>
      <c r="AD3430" s="28">
        <v>6550206000</v>
      </c>
      <c r="AE3430" s="28">
        <v>21174072000</v>
      </c>
      <c r="AF3430" s="28">
        <v>794790000</v>
      </c>
      <c r="AG3430" s="11"/>
    </row>
    <row r="3431">
      <c r="A3431" s="7" t="s">
        <v>5104</v>
      </c>
      <c r="B3431" s="5" t="s">
        <v>13069</v>
      </c>
      <c r="C3431" s="5" t="s">
        <v>20867</v>
      </c>
      <c r="D3431" s="5" t="str">
        <v>504510929055</v>
      </c>
      <c r="E3431" s="0" t="e">
        <f>+7 (495) 7212120
+7 (49664) 79500
+7 (499) 2529880
+7 (383) 2119015
+7 (495) 2529500
+7 (495) 2529880
+7 (495) 7212105
+7 (495) 7212121
+7 (495) 7212129
+7 (495) 7212184
+7 (499) 2529500
+7 (800) 2009000
+7 (812) 3466050</f>
        <v>#NAME?</v>
      </c>
      <c r="F3431" s="5"/>
      <c r="G3431" s="5" t="s">
        <v>35655</v>
      </c>
      <c r="H3431" s="26">
        <v>21</v>
      </c>
      <c r="I3431" s="5" t="s">
        <v>35656</v>
      </c>
      <c r="J3431" s="5" t="s">
        <v>29202</v>
      </c>
      <c r="K3431" s="5" t="s">
        <v>344</v>
      </c>
      <c r="L3431" s="5" t="s">
        <v>35657</v>
      </c>
      <c r="M3431" s="27">
        <v>154284215</v>
      </c>
      <c r="N3431" s="5"/>
      <c r="O3431" s="5" t="str">
        <v>5045016560</v>
      </c>
      <c r="P3431" s="27">
        <v>3804404868</v>
      </c>
      <c r="Q3431" s="5" t="s">
        <v>54647</v>
      </c>
      <c r="R3431" s="5" t="s">
        <v>54648</v>
      </c>
      <c r="S3431" s="5" t="s">
        <v>50251</v>
      </c>
      <c r="T3431" s="28">
        <v>32380212000</v>
      </c>
      <c r="U3431" s="28">
        <v>14882000000</v>
      </c>
      <c r="V3431" s="28">
        <v>15481429000</v>
      </c>
      <c r="W3431" s="28"/>
      <c r="X3431" s="28">
        <v>12176983000</v>
      </c>
      <c r="Y3431" s="28">
        <v>99808476000</v>
      </c>
      <c r="Z3431" s="28">
        <v>42022153000</v>
      </c>
      <c r="AA3431" s="28"/>
      <c r="AB3431" s="28">
        <v>2081359000</v>
      </c>
      <c r="AC3431" s="28">
        <v>47634416000</v>
      </c>
      <c r="AD3431" s="28">
        <v>47279258000</v>
      </c>
      <c r="AE3431" s="28">
        <v>176513845000</v>
      </c>
      <c r="AF3431" s="28">
        <v>27200300000</v>
      </c>
      <c r="AG3431" s="11"/>
    </row>
    <row r="3432">
      <c r="A3432" s="7" t="s">
        <v>5105</v>
      </c>
      <c r="B3432" s="5" t="s">
        <v>13070</v>
      </c>
      <c r="C3432" s="5" t="s">
        <v>20868</v>
      </c>
      <c r="D3432" s="5" t="str">
        <v>772129207376</v>
      </c>
      <c r="E3432" s="0" t="e">
        <f>+7 (499) 3433531</f>
        <v>#NAME?</v>
      </c>
      <c r="F3432" s="5"/>
      <c r="G3432" s="5" t="s">
        <v>35658</v>
      </c>
      <c r="H3432" s="26">
        <v>6</v>
      </c>
      <c r="I3432" s="5" t="s">
        <v>35659</v>
      </c>
      <c r="J3432" s="5" t="s">
        <v>28069</v>
      </c>
      <c r="K3432" s="5" t="s">
        <v>344</v>
      </c>
      <c r="L3432" s="5" t="s">
        <v>35660</v>
      </c>
      <c r="M3432" s="27">
        <v>129597087</v>
      </c>
      <c r="N3432" s="5"/>
      <c r="O3432" s="5" t="str">
        <v>7714992794</v>
      </c>
      <c r="P3432" s="27">
        <v>300000</v>
      </c>
      <c r="Q3432" s="5" t="s">
        <v>49059</v>
      </c>
      <c r="R3432" s="5"/>
      <c r="S3432" s="5" t="s">
        <v>49010</v>
      </c>
      <c r="T3432" s="28"/>
      <c r="U3432" s="28"/>
      <c r="V3432" s="28">
        <v>16696673000</v>
      </c>
      <c r="W3432" s="28">
        <v>3750133000</v>
      </c>
      <c r="X3432" s="28">
        <v>60693000</v>
      </c>
      <c r="Y3432" s="28">
        <v>29829561000</v>
      </c>
      <c r="Z3432" s="28">
        <v>421894000</v>
      </c>
      <c r="AA3432" s="28"/>
      <c r="AB3432" s="28">
        <v>6487374000</v>
      </c>
      <c r="AC3432" s="28">
        <v>29350073000</v>
      </c>
      <c r="AD3432" s="28">
        <v>422194000</v>
      </c>
      <c r="AE3432" s="28">
        <v>56498827000</v>
      </c>
      <c r="AF3432" s="28">
        <v>414179000</v>
      </c>
      <c r="AG3432" s="11"/>
    </row>
    <row r="3433">
      <c r="A3433" s="7" t="s">
        <v>5106</v>
      </c>
      <c r="B3433" s="5" t="s">
        <v>13071</v>
      </c>
      <c r="C3433" s="5" t="s">
        <v>20869</v>
      </c>
      <c r="D3433" s="5" t="str">
        <v>183475336629</v>
      </c>
      <c r="E3433" s="0" t="e">
        <f>+7 (495) 2210493
+7 (495) 2210492
+7 (495) 2210494
+7 (49651) 32322
+7 (49651) 32522
+7 (49651) 32788
+7 (903) 5567643
+7 (985) 3327777</f>
        <v>#NAME?</v>
      </c>
      <c r="F3433" s="5" t="s">
        <v>35661</v>
      </c>
      <c r="G3433" s="5" t="s">
        <v>35662</v>
      </c>
      <c r="H3433" s="26">
        <v>22.5</v>
      </c>
      <c r="I3433" s="5" t="s">
        <v>35663</v>
      </c>
      <c r="J3433" s="5" t="s">
        <v>26959</v>
      </c>
      <c r="K3433" s="5" t="s">
        <v>344</v>
      </c>
      <c r="L3433" s="5" t="s">
        <v>35664</v>
      </c>
      <c r="M3433" s="27">
        <v>585439</v>
      </c>
      <c r="N3433" s="5"/>
      <c r="O3433" s="5" t="str">
        <v>5031042176</v>
      </c>
      <c r="P3433" s="27">
        <v>50010000</v>
      </c>
      <c r="Q3433" s="5"/>
      <c r="R3433" s="5"/>
      <c r="S3433" s="5" t="s">
        <v>49029</v>
      </c>
      <c r="T3433" s="28">
        <v>2483038000</v>
      </c>
      <c r="U3433" s="28">
        <v>10000</v>
      </c>
      <c r="V3433" s="28">
        <v>4050519000</v>
      </c>
      <c r="W3433" s="28">
        <v>228081000</v>
      </c>
      <c r="X3433" s="28">
        <v>3869031000</v>
      </c>
      <c r="Y3433" s="28">
        <v>15717986000</v>
      </c>
      <c r="Z3433" s="28">
        <v>3124867000</v>
      </c>
      <c r="AA3433" s="28"/>
      <c r="AB3433" s="28">
        <v>7774000</v>
      </c>
      <c r="AC3433" s="28">
        <v>12431957000</v>
      </c>
      <c r="AD3433" s="28">
        <v>3174877000</v>
      </c>
      <c r="AE3433" s="28">
        <v>14669766000</v>
      </c>
      <c r="AF3433" s="28">
        <v>609072000</v>
      </c>
      <c r="AG3433" s="11"/>
    </row>
    <row r="3434">
      <c r="A3434" s="7" t="s">
        <v>5107</v>
      </c>
      <c r="B3434" s="5" t="s">
        <v>13072</v>
      </c>
      <c r="C3434" s="5" t="s">
        <v>20870</v>
      </c>
      <c r="D3434" s="5" t="str">
        <v>772861802907</v>
      </c>
      <c r="E3434" s="0" t="e">
        <f>+7 (495) 9334170
+7 (985) 2110086
+7 (495) 7776707
+7 (495) 7879870
+7 (800) 7700767
+7 (812) 4585688</f>
        <v>#NAME?</v>
      </c>
      <c r="F3434" s="5" t="s">
        <v>35665</v>
      </c>
      <c r="G3434" s="5" t="s">
        <v>35666</v>
      </c>
      <c r="H3434" s="26">
        <v>15</v>
      </c>
      <c r="I3434" s="5" t="s">
        <v>35667</v>
      </c>
      <c r="J3434" s="5" t="s">
        <v>27085</v>
      </c>
      <c r="K3434" s="5" t="s">
        <v>344</v>
      </c>
      <c r="L3434" s="5" t="s">
        <v>35668</v>
      </c>
      <c r="M3434" s="27"/>
      <c r="N3434" s="5" t="s">
        <v>54650</v>
      </c>
      <c r="O3434" s="5" t="str">
        <v>7708656850</v>
      </c>
      <c r="P3434" s="27">
        <v>50000</v>
      </c>
      <c r="Q3434" s="5" t="s">
        <v>49009</v>
      </c>
      <c r="R3434" s="5"/>
      <c r="S3434" s="5" t="s">
        <v>49256</v>
      </c>
      <c r="T3434" s="28">
        <v>35489000</v>
      </c>
      <c r="U3434" s="28"/>
      <c r="V3434" s="28">
        <v>124270000</v>
      </c>
      <c r="W3434" s="28">
        <v>42000000</v>
      </c>
      <c r="X3434" s="28">
        <v>4774000</v>
      </c>
      <c r="Y3434" s="28">
        <v>463660000</v>
      </c>
      <c r="Z3434" s="28">
        <v>377067000</v>
      </c>
      <c r="AA3434" s="28"/>
      <c r="AB3434" s="28"/>
      <c r="AC3434" s="28">
        <v>83170000</v>
      </c>
      <c r="AD3434" s="28">
        <v>377117000</v>
      </c>
      <c r="AE3434" s="28">
        <v>3022894000</v>
      </c>
      <c r="AF3434" s="28">
        <v>718118000</v>
      </c>
      <c r="AG3434" s="11"/>
    </row>
    <row r="3435">
      <c r="A3435" s="7" t="s">
        <v>5108</v>
      </c>
      <c r="B3435" s="5" t="s">
        <v>13073</v>
      </c>
      <c r="C3435" s="5" t="s">
        <v>20871</v>
      </c>
      <c r="D3435" s="5" t="str">
        <v>770175078611</v>
      </c>
      <c r="E3435" s="0" t="e">
        <f>+7 (492) 2305592
+7 (492) 2373817
+7 (492) 2405601
+7 (492) 2405604
+7 (492) 2405631
+7 (492) 2405663
+7 (492) 2405671
+7 (903) 8306878</f>
        <v>#NAME?</v>
      </c>
      <c r="F3435" s="5" t="s">
        <v>35669</v>
      </c>
      <c r="G3435" s="5" t="s">
        <v>35670</v>
      </c>
      <c r="H3435" s="26">
        <v>14.5</v>
      </c>
      <c r="I3435" s="5" t="s">
        <v>35671</v>
      </c>
      <c r="J3435" s="5" t="s">
        <v>27977</v>
      </c>
      <c r="K3435" s="5" t="s">
        <v>344</v>
      </c>
      <c r="L3435" s="5" t="s">
        <v>35672</v>
      </c>
      <c r="M3435" s="27"/>
      <c r="N3435" s="5" t="s">
        <v>54651</v>
      </c>
      <c r="O3435" s="5" t="str">
        <v>7702681272</v>
      </c>
      <c r="P3435" s="27">
        <v>1099325256</v>
      </c>
      <c r="Q3435" s="5" t="s">
        <v>49009</v>
      </c>
      <c r="R3435" s="5"/>
      <c r="S3435" s="5" t="s">
        <v>49045</v>
      </c>
      <c r="T3435" s="28">
        <v>496775000</v>
      </c>
      <c r="U3435" s="28"/>
      <c r="V3435" s="28">
        <v>1237920000</v>
      </c>
      <c r="W3435" s="28"/>
      <c r="X3435" s="28">
        <v>568297000</v>
      </c>
      <c r="Y3435" s="28">
        <v>3566889000</v>
      </c>
      <c r="Z3435" s="28">
        <v>321884000</v>
      </c>
      <c r="AA3435" s="28">
        <v>471761000</v>
      </c>
      <c r="AB3435" s="28">
        <v>503792000</v>
      </c>
      <c r="AC3435" s="28">
        <v>1580640000</v>
      </c>
      <c r="AD3435" s="28">
        <v>1421209000</v>
      </c>
      <c r="AE3435" s="28">
        <v>4020014000</v>
      </c>
      <c r="AF3435" s="28">
        <v>347894000</v>
      </c>
      <c r="AG3435" s="11"/>
    </row>
    <row r="3436">
      <c r="A3436" s="7" t="s">
        <v>5109</v>
      </c>
      <c r="B3436" s="5" t="s">
        <v>13074</v>
      </c>
      <c r="C3436" s="5" t="s">
        <v>20872</v>
      </c>
      <c r="D3436" s="5" t="str">
        <v>772801789306</v>
      </c>
      <c r="E3436" s="0" t="e">
        <f>+7 (495) 7204915
+7 (495) 7204916
+7 (495) 7752043</f>
        <v>#NAME?</v>
      </c>
      <c r="F3436" s="5" t="s">
        <v>35673</v>
      </c>
      <c r="G3436" s="5" t="s">
        <v>35674</v>
      </c>
      <c r="H3436" s="26">
        <v>25</v>
      </c>
      <c r="I3436" s="5" t="s">
        <v>35675</v>
      </c>
      <c r="J3436" s="5" t="s">
        <v>26623</v>
      </c>
      <c r="K3436" s="5" t="s">
        <v>355</v>
      </c>
      <c r="L3436" s="5" t="s">
        <v>35676</v>
      </c>
      <c r="M3436" s="27"/>
      <c r="N3436" s="5"/>
      <c r="O3436" s="5" t="str">
        <v>7702387915</v>
      </c>
      <c r="P3436" s="27">
        <v>100010000</v>
      </c>
      <c r="Q3436" s="5" t="s">
        <v>54652</v>
      </c>
      <c r="R3436" s="5"/>
      <c r="S3436" s="5" t="s">
        <v>49496</v>
      </c>
      <c r="T3436" s="28">
        <v>398000</v>
      </c>
      <c r="U3436" s="28">
        <v>3529507000</v>
      </c>
      <c r="V3436" s="28">
        <v>2560124000</v>
      </c>
      <c r="W3436" s="28">
        <v>1195058000</v>
      </c>
      <c r="X3436" s="28">
        <v>746689000</v>
      </c>
      <c r="Y3436" s="28">
        <v>8039965000</v>
      </c>
      <c r="Z3436" s="28">
        <v>421013000</v>
      </c>
      <c r="AA3436" s="28">
        <v>4299363000</v>
      </c>
      <c r="AB3436" s="28">
        <v>59844000</v>
      </c>
      <c r="AC3436" s="28">
        <v>2282323000</v>
      </c>
      <c r="AD3436" s="28">
        <v>1301013000</v>
      </c>
      <c r="AE3436" s="28">
        <v>9342378000</v>
      </c>
      <c r="AF3436" s="28">
        <v>315463000</v>
      </c>
      <c r="AG3436" s="11"/>
    </row>
    <row r="3437">
      <c r="A3437" s="7" t="s">
        <v>5110</v>
      </c>
      <c r="B3437" s="5" t="s">
        <v>13075</v>
      </c>
      <c r="C3437" s="5" t="s">
        <v>20873</v>
      </c>
      <c r="D3437" s="5" t="str">
        <v>380100771260</v>
      </c>
      <c r="E3437" s="0" t="e">
        <f>+7 (395) 2796096
+7 (395) 2796151
+7 (3952) 796970
+7 (495) 1343316
+7 (495) 1914990
+7 (499) 6497923
+7 (800) 7759615</f>
        <v>#NAME?</v>
      </c>
      <c r="F3437" s="5" t="s">
        <v>35677</v>
      </c>
      <c r="G3437" s="5" t="s">
        <v>35678</v>
      </c>
      <c r="H3437" s="26">
        <v>9.5</v>
      </c>
      <c r="I3437" s="5" t="s">
        <v>35679</v>
      </c>
      <c r="J3437" s="5" t="s">
        <v>26770</v>
      </c>
      <c r="K3437" s="5" t="s">
        <v>344</v>
      </c>
      <c r="L3437" s="5" t="s">
        <v>35680</v>
      </c>
      <c r="M3437" s="27"/>
      <c r="N3437" s="5" t="s">
        <v>54653</v>
      </c>
      <c r="O3437" s="5" t="str">
        <v>3808229990</v>
      </c>
      <c r="P3437" s="27">
        <v>550000</v>
      </c>
      <c r="Q3437" s="5"/>
      <c r="R3437" s="5"/>
      <c r="S3437" s="5" t="s">
        <v>50096</v>
      </c>
      <c r="T3437" s="28">
        <v>153104000</v>
      </c>
      <c r="U3437" s="28">
        <v>7000000</v>
      </c>
      <c r="V3437" s="28">
        <v>511669000</v>
      </c>
      <c r="W3437" s="28">
        <v>380000</v>
      </c>
      <c r="X3437" s="28">
        <v>39116000</v>
      </c>
      <c r="Y3437" s="28">
        <v>1783405000</v>
      </c>
      <c r="Z3437" s="28">
        <v>849079000</v>
      </c>
      <c r="AA3437" s="28">
        <v>21093000</v>
      </c>
      <c r="AB3437" s="28">
        <v>414627000</v>
      </c>
      <c r="AC3437" s="28">
        <v>888813000</v>
      </c>
      <c r="AD3437" s="28">
        <v>849629000</v>
      </c>
      <c r="AE3437" s="28">
        <v>4864317000</v>
      </c>
      <c r="AF3437" s="28">
        <v>521951000</v>
      </c>
      <c r="AG3437" s="11"/>
    </row>
    <row r="3438">
      <c r="A3438" s="7" t="s">
        <v>5111</v>
      </c>
      <c r="B3438" s="5" t="s">
        <v>13076</v>
      </c>
      <c r="C3438" s="5" t="s">
        <v>20874</v>
      </c>
      <c r="D3438" s="5" t="str">
        <v>230808287013</v>
      </c>
      <c r="E3438" s="0" t="e">
        <f>+7 (861) 2164864
+7 (988) 6027093</f>
        <v>#NAME?</v>
      </c>
      <c r="F3438" s="5" t="s">
        <v>35681</v>
      </c>
      <c r="G3438" s="5" t="s">
        <v>35682</v>
      </c>
      <c r="H3438" s="26">
        <v>14.5</v>
      </c>
      <c r="I3438" s="5" t="s">
        <v>35683</v>
      </c>
      <c r="J3438" s="5" t="s">
        <v>25829</v>
      </c>
      <c r="K3438" s="5" t="s">
        <v>344</v>
      </c>
      <c r="L3438" s="5" t="s">
        <v>35684</v>
      </c>
      <c r="M3438" s="27"/>
      <c r="N3438" s="5"/>
      <c r="O3438" s="5" t="str">
        <v>2309112987</v>
      </c>
      <c r="P3438" s="27">
        <v>1830000</v>
      </c>
      <c r="Q3438" s="5"/>
      <c r="R3438" s="5"/>
      <c r="S3438" s="5" t="s">
        <v>49110</v>
      </c>
      <c r="T3438" s="28">
        <v>133437000</v>
      </c>
      <c r="U3438" s="28">
        <v>1000000</v>
      </c>
      <c r="V3438" s="28">
        <v>1867128000</v>
      </c>
      <c r="W3438" s="28">
        <v>200000000</v>
      </c>
      <c r="X3438" s="28">
        <v>130581000</v>
      </c>
      <c r="Y3438" s="28">
        <v>3499669000</v>
      </c>
      <c r="Z3438" s="28">
        <v>792446000</v>
      </c>
      <c r="AA3438" s="28"/>
      <c r="AB3438" s="28"/>
      <c r="AC3438" s="28">
        <v>2695399000</v>
      </c>
      <c r="AD3438" s="28">
        <v>794276000</v>
      </c>
      <c r="AE3438" s="28">
        <v>3073988000</v>
      </c>
      <c r="AF3438" s="28">
        <v>380763000</v>
      </c>
      <c r="AG3438" s="11"/>
    </row>
    <row r="3439">
      <c r="A3439" s="7" t="s">
        <v>5112</v>
      </c>
      <c r="B3439" s="5" t="s">
        <v>13077</v>
      </c>
      <c r="C3439" s="5" t="s">
        <v>20875</v>
      </c>
      <c r="D3439" s="5" t="str">
        <v>631300403431</v>
      </c>
      <c r="E3439" s="0" t="e">
        <f>+7 (349) 2246165
+7 (495) 2289850</f>
        <v>#NAME?</v>
      </c>
      <c r="F3439" s="5" t="s">
        <v>35685</v>
      </c>
      <c r="G3439" s="5" t="s">
        <v>35686</v>
      </c>
      <c r="H3439" s="26">
        <v>10</v>
      </c>
      <c r="I3439" s="5" t="s">
        <v>35687</v>
      </c>
      <c r="J3439" s="5" t="s">
        <v>27534</v>
      </c>
      <c r="K3439" s="5" t="s">
        <v>344</v>
      </c>
      <c r="L3439" s="5"/>
      <c r="M3439" s="27"/>
      <c r="N3439" s="5" t="s">
        <v>54654</v>
      </c>
      <c r="O3439" s="5" t="str">
        <v>8901027531</v>
      </c>
      <c r="P3439" s="27">
        <v>16954866490</v>
      </c>
      <c r="Q3439" s="5" t="s">
        <v>54655</v>
      </c>
      <c r="R3439" s="5"/>
      <c r="S3439" s="5" t="s">
        <v>49047</v>
      </c>
      <c r="T3439" s="28">
        <v>29323913000</v>
      </c>
      <c r="U3439" s="28"/>
      <c r="V3439" s="28">
        <v>1665904000</v>
      </c>
      <c r="W3439" s="28"/>
      <c r="X3439" s="28">
        <v>782036000</v>
      </c>
      <c r="Y3439" s="28">
        <v>32696929000</v>
      </c>
      <c r="Z3439" s="28">
        <v>-679603000</v>
      </c>
      <c r="AA3439" s="28">
        <v>12312196000</v>
      </c>
      <c r="AB3439" s="28"/>
      <c r="AC3439" s="28">
        <v>1765815000</v>
      </c>
      <c r="AD3439" s="28">
        <v>18103941000</v>
      </c>
      <c r="AE3439" s="28">
        <v>14884693000</v>
      </c>
      <c r="AF3439" s="28">
        <v>192695000</v>
      </c>
      <c r="AG3439" s="11"/>
    </row>
    <row r="3440">
      <c r="A3440" s="7" t="s">
        <v>5113</v>
      </c>
      <c r="B3440" s="5" t="s">
        <v>13078</v>
      </c>
      <c r="C3440" s="5" t="s">
        <v>20876</v>
      </c>
      <c r="D3440" s="5" t="str">
        <v>616201799299</v>
      </c>
      <c r="E3440" s="0" t="e">
        <f>+7 (495) 314474
+7 (8443) 203100
+7 (8443) 203101
+7 (8443) 314474
+7 (8443) 515152
+7 (8443) 525064
+7 (8443) 525065
+7 (917) 8305588</f>
        <v>#NAME?</v>
      </c>
      <c r="F3440" s="5" t="s">
        <v>35688</v>
      </c>
      <c r="G3440" s="5" t="s">
        <v>35689</v>
      </c>
      <c r="H3440" s="26">
        <v>19.5</v>
      </c>
      <c r="I3440" s="5" t="s">
        <v>35690</v>
      </c>
      <c r="J3440" s="5" t="s">
        <v>25842</v>
      </c>
      <c r="K3440" s="5" t="s">
        <v>355</v>
      </c>
      <c r="L3440" s="5" t="s">
        <v>35691</v>
      </c>
      <c r="M3440" s="27">
        <v>30396</v>
      </c>
      <c r="N3440" s="5" t="s">
        <v>54656</v>
      </c>
      <c r="O3440" s="5" t="str">
        <v>3435062470</v>
      </c>
      <c r="P3440" s="27">
        <v>11079000</v>
      </c>
      <c r="Q3440" s="5" t="s">
        <v>54657</v>
      </c>
      <c r="R3440" s="5"/>
      <c r="S3440" s="5" t="s">
        <v>49487</v>
      </c>
      <c r="T3440" s="28">
        <v>109751000</v>
      </c>
      <c r="U3440" s="28"/>
      <c r="V3440" s="28">
        <v>139564000</v>
      </c>
      <c r="W3440" s="28"/>
      <c r="X3440" s="28">
        <v>64059000</v>
      </c>
      <c r="Y3440" s="28">
        <v>1441621000</v>
      </c>
      <c r="Z3440" s="28">
        <v>372345000</v>
      </c>
      <c r="AA3440" s="28"/>
      <c r="AB3440" s="28"/>
      <c r="AC3440" s="28">
        <v>1026330000</v>
      </c>
      <c r="AD3440" s="28">
        <v>383475000</v>
      </c>
      <c r="AE3440" s="28">
        <v>3874245000</v>
      </c>
      <c r="AF3440" s="28">
        <v>-39131000</v>
      </c>
      <c r="AG3440" s="11"/>
    </row>
    <row r="3441">
      <c r="A3441" s="7" t="s">
        <v>5114</v>
      </c>
      <c r="B3441" s="5" t="s">
        <v>13079</v>
      </c>
      <c r="C3441" s="5" t="s">
        <v>20877</v>
      </c>
      <c r="D3441" s="5" t="str">
        <v>745302207333</v>
      </c>
      <c r="E3441" s="0" t="e">
        <f>+7 (985) 9990923
+7 (473) 2397650
+7 (495) 7211818</f>
        <v>#NAME?</v>
      </c>
      <c r="F3441" s="5" t="s">
        <v>35692</v>
      </c>
      <c r="G3441" s="5" t="s">
        <v>35693</v>
      </c>
      <c r="H3441" s="26">
        <v>19</v>
      </c>
      <c r="I3441" s="5" t="s">
        <v>35694</v>
      </c>
      <c r="J3441" s="5" t="s">
        <v>25812</v>
      </c>
      <c r="K3441" s="5" t="s">
        <v>344</v>
      </c>
      <c r="L3441" s="5" t="s">
        <v>35695</v>
      </c>
      <c r="M3441" s="27">
        <v>534735</v>
      </c>
      <c r="N3441" s="5"/>
      <c r="O3441" s="5" t="str">
        <v>7743084941</v>
      </c>
      <c r="P3441" s="27">
        <v>1327094477</v>
      </c>
      <c r="Q3441" s="5" t="s">
        <v>49059</v>
      </c>
      <c r="R3441" s="5"/>
      <c r="S3441" s="5" t="s">
        <v>54658</v>
      </c>
      <c r="T3441" s="28">
        <v>1867132000</v>
      </c>
      <c r="U3441" s="28"/>
      <c r="V3441" s="28">
        <v>5314961000</v>
      </c>
      <c r="W3441" s="28"/>
      <c r="X3441" s="28">
        <v>1570479000</v>
      </c>
      <c r="Y3441" s="28">
        <v>12169385000</v>
      </c>
      <c r="Z3441" s="28">
        <v>-5293475000</v>
      </c>
      <c r="AA3441" s="28">
        <v>25192000</v>
      </c>
      <c r="AB3441" s="28">
        <v>1360794000</v>
      </c>
      <c r="AC3441" s="28">
        <v>2337277000</v>
      </c>
      <c r="AD3441" s="28">
        <v>9614989000</v>
      </c>
      <c r="AE3441" s="28">
        <v>31396152000</v>
      </c>
      <c r="AF3441" s="28">
        <v>3222227000</v>
      </c>
      <c r="AG3441" s="11"/>
    </row>
    <row r="3442">
      <c r="A3442" s="7" t="s">
        <v>5115</v>
      </c>
      <c r="B3442" s="5" t="s">
        <v>13080</v>
      </c>
      <c r="C3442" s="5" t="s">
        <v>20878</v>
      </c>
      <c r="D3442" s="5" t="str">
        <v>594201270157</v>
      </c>
      <c r="E3442" s="0" t="e">
        <f>+7 (34271) 30890
+7 (34272) 30876
+7 (34272) 30890
+7 (34272) 31104
+7 (34272) 96247
+7 (34272) 96248
+7 (34272) 96261
+7 (34272) 96268
+7 (34272) 96269
+7 (902) 7903565</f>
        <v>#NAME?</v>
      </c>
      <c r="F3442" s="5" t="s">
        <v>35696</v>
      </c>
      <c r="G3442" s="5" t="s">
        <v>35697</v>
      </c>
      <c r="H3442" s="26">
        <v>17.5</v>
      </c>
      <c r="I3442" s="5" t="s">
        <v>35698</v>
      </c>
      <c r="J3442" s="5" t="s">
        <v>25231</v>
      </c>
      <c r="K3442" s="5" t="s">
        <v>344</v>
      </c>
      <c r="L3442" s="5" t="s">
        <v>35699</v>
      </c>
      <c r="M3442" s="27"/>
      <c r="N3442" s="5" t="s">
        <v>54659</v>
      </c>
      <c r="O3442" s="5" t="str">
        <v>5916015580</v>
      </c>
      <c r="P3442" s="27">
        <v>1749300</v>
      </c>
      <c r="Q3442" s="5" t="s">
        <v>54660</v>
      </c>
      <c r="R3442" s="5"/>
      <c r="S3442" s="5" t="s">
        <v>53565</v>
      </c>
      <c r="T3442" s="28">
        <v>342836000</v>
      </c>
      <c r="U3442" s="28">
        <v>10000</v>
      </c>
      <c r="V3442" s="28">
        <v>714090000</v>
      </c>
      <c r="W3442" s="28">
        <v>731300000</v>
      </c>
      <c r="X3442" s="28">
        <v>780929000</v>
      </c>
      <c r="Y3442" s="28">
        <v>2773648000</v>
      </c>
      <c r="Z3442" s="28">
        <v>1769610000</v>
      </c>
      <c r="AA3442" s="28"/>
      <c r="AB3442" s="28">
        <v>801768000</v>
      </c>
      <c r="AC3442" s="28">
        <v>986585000</v>
      </c>
      <c r="AD3442" s="28">
        <v>1771359000</v>
      </c>
      <c r="AE3442" s="28">
        <v>10821731000</v>
      </c>
      <c r="AF3442" s="28">
        <v>581496000</v>
      </c>
      <c r="AG3442" s="11"/>
    </row>
    <row r="3443">
      <c r="A3443" s="7" t="s">
        <v>5116</v>
      </c>
      <c r="B3443" s="5" t="s">
        <v>13081</v>
      </c>
      <c r="C3443" s="5" t="s">
        <v>20879</v>
      </c>
      <c r="D3443" s="5" t="str">
        <v>360407672901</v>
      </c>
      <c r="E3443" s="0" t="e">
        <f>+7 (920) 4015252
+7 (952) 1046313
+7 (47354) 51088
+7 (910) 3487878
+7 (919) 1866403</f>
        <v>#NAME?</v>
      </c>
      <c r="F3443" s="5" t="s">
        <v>35700</v>
      </c>
      <c r="G3443" s="5" t="s">
        <v>35701</v>
      </c>
      <c r="H3443" s="26">
        <v>13.5</v>
      </c>
      <c r="I3443" s="5" t="s">
        <v>35702</v>
      </c>
      <c r="J3443" s="5" t="s">
        <v>25800</v>
      </c>
      <c r="K3443" s="5" t="s">
        <v>344</v>
      </c>
      <c r="L3443" s="5" t="s">
        <v>30624</v>
      </c>
      <c r="M3443" s="27"/>
      <c r="N3443" s="5" t="s">
        <v>54661</v>
      </c>
      <c r="O3443" s="5" t="str">
        <v>3604017676</v>
      </c>
      <c r="P3443" s="27">
        <v>1000000</v>
      </c>
      <c r="Q3443" s="5" t="s">
        <v>50516</v>
      </c>
      <c r="R3443" s="5"/>
      <c r="S3443" s="5" t="s">
        <v>54662</v>
      </c>
      <c r="T3443" s="28">
        <v>876968000</v>
      </c>
      <c r="U3443" s="28"/>
      <c r="V3443" s="28">
        <v>1530010000</v>
      </c>
      <c r="W3443" s="28">
        <v>137463000</v>
      </c>
      <c r="X3443" s="28">
        <v>30370000</v>
      </c>
      <c r="Y3443" s="28">
        <v>6467668000</v>
      </c>
      <c r="Z3443" s="28">
        <v>4000310000</v>
      </c>
      <c r="AA3443" s="28">
        <v>2157453000</v>
      </c>
      <c r="AB3443" s="28"/>
      <c r="AC3443" s="28">
        <v>307918000</v>
      </c>
      <c r="AD3443" s="28">
        <v>4001310000</v>
      </c>
      <c r="AE3443" s="28">
        <v>8429444000</v>
      </c>
      <c r="AF3443" s="28">
        <v>589420000</v>
      </c>
      <c r="AG3443" s="11"/>
    </row>
    <row r="3444">
      <c r="A3444" s="7" t="s">
        <v>5117</v>
      </c>
      <c r="B3444" s="5" t="s">
        <v>13082</v>
      </c>
      <c r="C3444" s="5" t="s">
        <v>20880</v>
      </c>
      <c r="D3444" s="5" t="str">
        <v>540224540146</v>
      </c>
      <c r="E3444" s="0" t="e">
        <f>+7 (38367) 21205
+7 (38367) 21305
+7 (38367) 21405
+7 (38367) 22448
+7 (38367) 23802
+7 (913) 2839995</f>
        <v>#NAME?</v>
      </c>
      <c r="F3444" s="5" t="s">
        <v>35703</v>
      </c>
      <c r="G3444" s="5" t="s">
        <v>35704</v>
      </c>
      <c r="H3444" s="26">
        <v>25</v>
      </c>
      <c r="I3444" s="5"/>
      <c r="J3444" s="5" t="s">
        <v>25499</v>
      </c>
      <c r="K3444" s="5" t="s">
        <v>344</v>
      </c>
      <c r="L3444" s="5" t="s">
        <v>35705</v>
      </c>
      <c r="M3444" s="27"/>
      <c r="N3444" s="5"/>
      <c r="O3444" s="5" t="str">
        <v>5415100805</v>
      </c>
      <c r="P3444" s="27">
        <v>15000</v>
      </c>
      <c r="Q3444" s="5"/>
      <c r="R3444" s="5" t="s">
        <v>54663</v>
      </c>
      <c r="S3444" s="5" t="s">
        <v>49029</v>
      </c>
      <c r="T3444" s="28">
        <v>200931000</v>
      </c>
      <c r="U3444" s="28"/>
      <c r="V3444" s="28">
        <v>235223000</v>
      </c>
      <c r="W3444" s="28">
        <v>21956000</v>
      </c>
      <c r="X3444" s="28">
        <v>15617000</v>
      </c>
      <c r="Y3444" s="28">
        <v>571338000</v>
      </c>
      <c r="Z3444" s="28">
        <v>279469000</v>
      </c>
      <c r="AA3444" s="28"/>
      <c r="AB3444" s="28"/>
      <c r="AC3444" s="28">
        <v>227904000</v>
      </c>
      <c r="AD3444" s="28">
        <v>340954000</v>
      </c>
      <c r="AE3444" s="28">
        <v>3435193000</v>
      </c>
      <c r="AF3444" s="28">
        <v>134033000</v>
      </c>
      <c r="AG3444" s="11"/>
    </row>
    <row r="3445">
      <c r="A3445" s="7" t="s">
        <v>5118</v>
      </c>
      <c r="B3445" s="5" t="s">
        <v>12883</v>
      </c>
      <c r="C3445" s="5" t="s">
        <v>20881</v>
      </c>
      <c r="D3445" s="5"/>
      <c r="E3445" s="0" t="e">
        <f>+7 (495) 6431355</f>
        <v>#NAME?</v>
      </c>
      <c r="F3445" s="5"/>
      <c r="G3445" s="5" t="s">
        <v>35706</v>
      </c>
      <c r="H3445" s="26">
        <v>17</v>
      </c>
      <c r="I3445" s="5" t="s">
        <v>35707</v>
      </c>
      <c r="J3445" s="5" t="s">
        <v>25738</v>
      </c>
      <c r="K3445" s="5" t="s">
        <v>380</v>
      </c>
      <c r="L3445" s="5" t="s">
        <v>35708</v>
      </c>
      <c r="M3445" s="27">
        <v>10159320</v>
      </c>
      <c r="N3445" s="5"/>
      <c r="O3445" s="5" t="str">
        <v>7717555256</v>
      </c>
      <c r="P3445" s="27">
        <v>35910000</v>
      </c>
      <c r="Q3445" s="5" t="s">
        <v>49009</v>
      </c>
      <c r="R3445" s="5" t="s">
        <v>54664</v>
      </c>
      <c r="S3445" s="5" t="s">
        <v>49010</v>
      </c>
      <c r="T3445" s="28">
        <v>2297000</v>
      </c>
      <c r="U3445" s="28"/>
      <c r="V3445" s="28">
        <v>104097000</v>
      </c>
      <c r="W3445" s="28"/>
      <c r="X3445" s="28">
        <v>76894000</v>
      </c>
      <c r="Y3445" s="28">
        <v>289873000</v>
      </c>
      <c r="Z3445" s="28">
        <v>-426935000</v>
      </c>
      <c r="AA3445" s="28"/>
      <c r="AB3445" s="28"/>
      <c r="AC3445" s="28">
        <v>358222000</v>
      </c>
      <c r="AD3445" s="28">
        <v>-68349000</v>
      </c>
      <c r="AE3445" s="28">
        <v>3752836000</v>
      </c>
      <c r="AF3445" s="28">
        <v>-874590000</v>
      </c>
      <c r="AG3445" s="11"/>
    </row>
    <row r="3446">
      <c r="A3446" s="7" t="s">
        <v>5119</v>
      </c>
      <c r="B3446" s="5" t="s">
        <v>10345</v>
      </c>
      <c r="C3446" s="5" t="s">
        <v>20882</v>
      </c>
      <c r="D3446" s="5" t="str">
        <v>500803245530</v>
      </c>
      <c r="E3446" s="0" t="e">
        <f>+7 (495) 9269525</f>
        <v>#NAME?</v>
      </c>
      <c r="F3446" s="5" t="s">
        <v>35709</v>
      </c>
      <c r="G3446" s="5" t="s">
        <v>35710</v>
      </c>
      <c r="H3446" s="26">
        <v>8.5</v>
      </c>
      <c r="I3446" s="5" t="s">
        <v>35711</v>
      </c>
      <c r="J3446" s="5" t="s">
        <v>1026</v>
      </c>
      <c r="K3446" s="5" t="s">
        <v>344</v>
      </c>
      <c r="L3446" s="5" t="s">
        <v>35712</v>
      </c>
      <c r="M3446" s="27"/>
      <c r="N3446" s="5"/>
      <c r="O3446" s="5" t="str">
        <v>7724923510</v>
      </c>
      <c r="P3446" s="27">
        <v>700000</v>
      </c>
      <c r="Q3446" s="5" t="s">
        <v>49059</v>
      </c>
      <c r="R3446" s="5"/>
      <c r="S3446" s="5" t="s">
        <v>49028</v>
      </c>
      <c r="T3446" s="28">
        <v>19141000</v>
      </c>
      <c r="U3446" s="28"/>
      <c r="V3446" s="28">
        <v>720352000</v>
      </c>
      <c r="W3446" s="28"/>
      <c r="X3446" s="28">
        <v>90416000</v>
      </c>
      <c r="Y3446" s="28">
        <v>1127929000</v>
      </c>
      <c r="Z3446" s="28">
        <v>367657000</v>
      </c>
      <c r="AA3446" s="28"/>
      <c r="AB3446" s="28"/>
      <c r="AC3446" s="28">
        <v>740463000</v>
      </c>
      <c r="AD3446" s="28">
        <v>368357000</v>
      </c>
      <c r="AE3446" s="28">
        <v>7067902000</v>
      </c>
      <c r="AF3446" s="28">
        <v>-1797000</v>
      </c>
      <c r="AG3446" s="11"/>
    </row>
    <row r="3447">
      <c r="A3447" s="7" t="s">
        <v>5120</v>
      </c>
      <c r="B3447" s="5" t="s">
        <v>13083</v>
      </c>
      <c r="C3447" s="5" t="s">
        <v>20883</v>
      </c>
      <c r="D3447" s="5"/>
      <c r="E3447" s="0" t="e">
        <f>+7 (843) 2923239
+7 (8432) 228600
+7 (8432) 228652
+7 (8432) 228686
+7 (8432) 228700</f>
        <v>#NAME?</v>
      </c>
      <c r="F3447" s="5" t="s">
        <v>35713</v>
      </c>
      <c r="G3447" s="5" t="s">
        <v>35714</v>
      </c>
      <c r="H3447" s="26">
        <v>15.5</v>
      </c>
      <c r="I3447" s="5" t="s">
        <v>35715</v>
      </c>
      <c r="J3447" s="5" t="s">
        <v>26418</v>
      </c>
      <c r="K3447" s="5" t="s">
        <v>344</v>
      </c>
      <c r="L3447" s="5" t="s">
        <v>35716</v>
      </c>
      <c r="M3447" s="27"/>
      <c r="N3447" s="5" t="s">
        <v>54665</v>
      </c>
      <c r="O3447" s="5" t="str">
        <v>1655142978</v>
      </c>
      <c r="P3447" s="27">
        <v>100000</v>
      </c>
      <c r="Q3447" s="5" t="s">
        <v>54666</v>
      </c>
      <c r="R3447" s="5"/>
      <c r="S3447" s="5" t="s">
        <v>51456</v>
      </c>
      <c r="T3447" s="28">
        <v>188690000</v>
      </c>
      <c r="U3447" s="28"/>
      <c r="V3447" s="28">
        <v>645952000</v>
      </c>
      <c r="W3447" s="28">
        <v>1070111000</v>
      </c>
      <c r="X3447" s="28">
        <v>756477000</v>
      </c>
      <c r="Y3447" s="28">
        <v>3142203000</v>
      </c>
      <c r="Z3447" s="28">
        <v>2324026000</v>
      </c>
      <c r="AA3447" s="28"/>
      <c r="AB3447" s="28"/>
      <c r="AC3447" s="28">
        <v>673586000</v>
      </c>
      <c r="AD3447" s="28">
        <v>2324126000</v>
      </c>
      <c r="AE3447" s="28">
        <v>3673471000</v>
      </c>
      <c r="AF3447" s="28">
        <v>512826000</v>
      </c>
      <c r="AG3447" s="11"/>
    </row>
    <row r="3448">
      <c r="A3448" s="7" t="s">
        <v>5121</v>
      </c>
      <c r="B3448" s="5" t="s">
        <v>13084</v>
      </c>
      <c r="C3448" s="5" t="s">
        <v>20884</v>
      </c>
      <c r="D3448" s="5" t="str">
        <v>420300891009</v>
      </c>
      <c r="E3448" s="0" t="e">
        <f>+7 (495) 7290888</f>
        <v>#NAME?</v>
      </c>
      <c r="F3448" s="5" t="s">
        <v>35717</v>
      </c>
      <c r="G3448" s="5"/>
      <c r="H3448" s="26">
        <v>16.5</v>
      </c>
      <c r="I3448" s="5" t="s">
        <v>35718</v>
      </c>
      <c r="J3448" s="5" t="s">
        <v>35091</v>
      </c>
      <c r="K3448" s="5" t="s">
        <v>344</v>
      </c>
      <c r="L3448" s="5"/>
      <c r="M3448" s="27">
        <v>6800374</v>
      </c>
      <c r="N3448" s="5" t="s">
        <v>54667</v>
      </c>
      <c r="O3448" s="5" t="str">
        <v>7723580853</v>
      </c>
      <c r="P3448" s="27">
        <v>8751250</v>
      </c>
      <c r="Q3448" s="5" t="s">
        <v>54669</v>
      </c>
      <c r="R3448" s="5"/>
      <c r="S3448" s="5" t="s">
        <v>54670</v>
      </c>
      <c r="T3448" s="28">
        <v>1635054000</v>
      </c>
      <c r="U3448" s="28">
        <v>871097000</v>
      </c>
      <c r="V3448" s="28">
        <v>1448824000</v>
      </c>
      <c r="W3448" s="28">
        <v>1534000</v>
      </c>
      <c r="X3448" s="28">
        <v>2572000</v>
      </c>
      <c r="Y3448" s="28">
        <v>5114561000</v>
      </c>
      <c r="Z3448" s="28">
        <v>685796000</v>
      </c>
      <c r="AA3448" s="28">
        <v>453698000</v>
      </c>
      <c r="AB3448" s="28">
        <v>1434178000</v>
      </c>
      <c r="AC3448" s="28">
        <v>2273513000</v>
      </c>
      <c r="AD3448" s="28">
        <v>2039799000</v>
      </c>
      <c r="AE3448" s="28">
        <v>3089318000</v>
      </c>
      <c r="AF3448" s="28">
        <v>35503000</v>
      </c>
      <c r="AG3448" s="11"/>
    </row>
    <row r="3449">
      <c r="A3449" s="7" t="s">
        <v>5122</v>
      </c>
      <c r="B3449" s="5" t="s">
        <v>13085</v>
      </c>
      <c r="C3449" s="5" t="s">
        <v>20885</v>
      </c>
      <c r="D3449" s="5" t="str">
        <v>504008876464</v>
      </c>
      <c r="E3449" s="0" t="e">
        <f>+7 (495) 5141593
+7 (495) 9809888</f>
        <v>#NAME?</v>
      </c>
      <c r="F3449" s="5" t="s">
        <v>35719</v>
      </c>
      <c r="G3449" s="5" t="s">
        <v>35720</v>
      </c>
      <c r="H3449" s="26">
        <v>15</v>
      </c>
      <c r="I3449" s="5"/>
      <c r="J3449" s="5" t="s">
        <v>29902</v>
      </c>
      <c r="K3449" s="5" t="s">
        <v>344</v>
      </c>
      <c r="L3449" s="5" t="s">
        <v>35721</v>
      </c>
      <c r="M3449" s="27"/>
      <c r="N3449" s="5"/>
      <c r="O3449" s="5" t="str">
        <v>7725632384</v>
      </c>
      <c r="P3449" s="27">
        <v>120100000</v>
      </c>
      <c r="Q3449" s="5" t="s">
        <v>49009</v>
      </c>
      <c r="R3449" s="5"/>
      <c r="S3449" s="5" t="s">
        <v>49010</v>
      </c>
      <c r="T3449" s="28">
        <v>212719000</v>
      </c>
      <c r="U3449" s="28"/>
      <c r="V3449" s="28">
        <v>241707000</v>
      </c>
      <c r="W3449" s="28"/>
      <c r="X3449" s="28">
        <v>44418000</v>
      </c>
      <c r="Y3449" s="28">
        <v>1735667000</v>
      </c>
      <c r="Z3449" s="28">
        <v>447285000</v>
      </c>
      <c r="AA3449" s="28"/>
      <c r="AB3449" s="28"/>
      <c r="AC3449" s="28">
        <v>1104637000</v>
      </c>
      <c r="AD3449" s="28">
        <v>613040000</v>
      </c>
      <c r="AE3449" s="28">
        <v>5416209000</v>
      </c>
      <c r="AF3449" s="28">
        <v>111610000</v>
      </c>
      <c r="AG3449" s="11"/>
    </row>
    <row r="3450">
      <c r="A3450" s="7" t="s">
        <v>5123</v>
      </c>
      <c r="B3450" s="5" t="s">
        <v>13086</v>
      </c>
      <c r="C3450" s="5" t="s">
        <v>20886</v>
      </c>
      <c r="D3450" s="5" t="str">
        <v>773431367027</v>
      </c>
      <c r="E3450" s="0" t="e">
        <f>+7 (495) 9959363</f>
        <v>#NAME?</v>
      </c>
      <c r="F3450" s="5"/>
      <c r="G3450" s="5" t="s">
        <v>35722</v>
      </c>
      <c r="H3450" s="26">
        <v>18</v>
      </c>
      <c r="I3450" s="5" t="s">
        <v>35723</v>
      </c>
      <c r="J3450" s="5" t="s">
        <v>785</v>
      </c>
      <c r="K3450" s="5" t="s">
        <v>344</v>
      </c>
      <c r="L3450" s="5" t="s">
        <v>35724</v>
      </c>
      <c r="M3450" s="27"/>
      <c r="N3450" s="5" t="s">
        <v>54671</v>
      </c>
      <c r="O3450" s="5" t="str">
        <v>7701573387</v>
      </c>
      <c r="P3450" s="27">
        <v>5000000</v>
      </c>
      <c r="Q3450" s="5" t="s">
        <v>49009</v>
      </c>
      <c r="R3450" s="5"/>
      <c r="S3450" s="5" t="s">
        <v>49358</v>
      </c>
      <c r="T3450" s="28">
        <v>972000</v>
      </c>
      <c r="U3450" s="28"/>
      <c r="V3450" s="28">
        <v>954390000</v>
      </c>
      <c r="W3450" s="28">
        <v>678861000</v>
      </c>
      <c r="X3450" s="28">
        <v>1542505000</v>
      </c>
      <c r="Y3450" s="28">
        <v>3190970000</v>
      </c>
      <c r="Z3450" s="28">
        <v>1243891000</v>
      </c>
      <c r="AA3450" s="28"/>
      <c r="AB3450" s="28"/>
      <c r="AC3450" s="28">
        <v>1930112000</v>
      </c>
      <c r="AD3450" s="28">
        <v>1248893000</v>
      </c>
      <c r="AE3450" s="28">
        <v>3995212000</v>
      </c>
      <c r="AF3450" s="28">
        <v>216926000</v>
      </c>
      <c r="AG3450" s="11"/>
    </row>
    <row r="3451">
      <c r="A3451" s="7" t="s">
        <v>5124</v>
      </c>
      <c r="B3451" s="5" t="s">
        <v>13087</v>
      </c>
      <c r="C3451" s="5" t="s">
        <v>20887</v>
      </c>
      <c r="D3451" s="5" t="str">
        <v>773208080981</v>
      </c>
      <c r="E3451" s="0" t="e">
        <f>+7 (495) 7875598
+7 (3433) 511736
+7 (3512) 312669
+7 (3512) 313536
+7 (383) 2286503
+7 (482) 2577770
+7 (495) 7875599
+7 (812) 7033531
+7 (84699) 58095
+7 (8632) 209157
+7 (903) 3422288
+7 (906) 4334201
+7 (918) 3540003</f>
        <v>#NAME?</v>
      </c>
      <c r="F3451" s="5" t="s">
        <v>35725</v>
      </c>
      <c r="G3451" s="5" t="s">
        <v>35726</v>
      </c>
      <c r="H3451" s="26">
        <v>26</v>
      </c>
      <c r="I3451" s="5" t="s">
        <v>35727</v>
      </c>
      <c r="J3451" s="5" t="s">
        <v>32372</v>
      </c>
      <c r="K3451" s="5" t="s">
        <v>344</v>
      </c>
      <c r="L3451" s="5" t="s">
        <v>35728</v>
      </c>
      <c r="M3451" s="27"/>
      <c r="N3451" s="5"/>
      <c r="O3451" s="5" t="str">
        <v>7706135690</v>
      </c>
      <c r="P3451" s="27">
        <v>10000</v>
      </c>
      <c r="Q3451" s="5" t="s">
        <v>49009</v>
      </c>
      <c r="R3451" s="5"/>
      <c r="S3451" s="5" t="s">
        <v>49010</v>
      </c>
      <c r="T3451" s="28">
        <v>22310000</v>
      </c>
      <c r="U3451" s="28">
        <v>267423000</v>
      </c>
      <c r="V3451" s="28">
        <v>528078000</v>
      </c>
      <c r="W3451" s="28"/>
      <c r="X3451" s="28">
        <v>14724000</v>
      </c>
      <c r="Y3451" s="28">
        <v>1129058000</v>
      </c>
      <c r="Z3451" s="28">
        <v>834342000</v>
      </c>
      <c r="AA3451" s="28"/>
      <c r="AB3451" s="28"/>
      <c r="AC3451" s="28">
        <v>293439000</v>
      </c>
      <c r="AD3451" s="28">
        <v>834352000</v>
      </c>
      <c r="AE3451" s="28">
        <v>3001903000</v>
      </c>
      <c r="AF3451" s="28">
        <v>171136000</v>
      </c>
      <c r="AG3451" s="11"/>
    </row>
    <row r="3452">
      <c r="A3452" s="7" t="s">
        <v>5125</v>
      </c>
      <c r="B3452" s="5" t="s">
        <v>13088</v>
      </c>
      <c r="C3452" s="5" t="s">
        <v>20888</v>
      </c>
      <c r="D3452" s="5" t="str">
        <v>616812304285</v>
      </c>
      <c r="E3452" s="0" t="e">
        <f>+7 (8632) 688128</f>
        <v>#NAME?</v>
      </c>
      <c r="F3452" s="5" t="s">
        <v>35729</v>
      </c>
      <c r="G3452" s="5"/>
      <c r="H3452" s="26">
        <v>2</v>
      </c>
      <c r="I3452" s="5" t="s">
        <v>35730</v>
      </c>
      <c r="J3452" s="5" t="s">
        <v>35731</v>
      </c>
      <c r="K3452" s="5" t="s">
        <v>344</v>
      </c>
      <c r="L3452" s="5"/>
      <c r="M3452" s="27"/>
      <c r="N3452" s="5"/>
      <c r="O3452" s="5" t="str">
        <v>6164134558</v>
      </c>
      <c r="P3452" s="27">
        <v>10000</v>
      </c>
      <c r="Q3452" s="5" t="s">
        <v>49021</v>
      </c>
      <c r="R3452" s="5"/>
      <c r="S3452" s="5" t="s">
        <v>54672</v>
      </c>
      <c r="T3452" s="28">
        <v>290766000</v>
      </c>
      <c r="U3452" s="28"/>
      <c r="V3452" s="28">
        <v>780918000</v>
      </c>
      <c r="W3452" s="28">
        <v>190315000</v>
      </c>
      <c r="X3452" s="28">
        <v>201457000</v>
      </c>
      <c r="Y3452" s="28">
        <v>2006315000</v>
      </c>
      <c r="Z3452" s="28">
        <v>703257000</v>
      </c>
      <c r="AA3452" s="28"/>
      <c r="AB3452" s="28"/>
      <c r="AC3452" s="28">
        <v>999874000</v>
      </c>
      <c r="AD3452" s="28">
        <v>703267000</v>
      </c>
      <c r="AE3452" s="28">
        <v>4338794000</v>
      </c>
      <c r="AF3452" s="28">
        <v>953740000</v>
      </c>
      <c r="AG3452" s="11"/>
    </row>
    <row r="3453">
      <c r="A3453" s="7" t="s">
        <v>5126</v>
      </c>
      <c r="B3453" s="5" t="s">
        <v>13089</v>
      </c>
      <c r="C3453" s="5" t="s">
        <v>20889</v>
      </c>
      <c r="D3453" s="5" t="str">
        <v>503010641059</v>
      </c>
      <c r="E3453" s="0" t="e">
        <f>+7 (926) 7771112
+7 (495) 1375153
+7 (495) 1375880</f>
        <v>#NAME?</v>
      </c>
      <c r="F3453" s="5" t="s">
        <v>35732</v>
      </c>
      <c r="G3453" s="5" t="s">
        <v>35733</v>
      </c>
      <c r="H3453" s="26">
        <v>9.5</v>
      </c>
      <c r="I3453" s="5" t="s">
        <v>35734</v>
      </c>
      <c r="J3453" s="5" t="s">
        <v>373</v>
      </c>
      <c r="K3453" s="5" t="s">
        <v>355</v>
      </c>
      <c r="L3453" s="5"/>
      <c r="M3453" s="27"/>
      <c r="N3453" s="5" t="s">
        <v>54673</v>
      </c>
      <c r="O3453" s="5" t="str">
        <v>7707818354</v>
      </c>
      <c r="P3453" s="27">
        <v>1000000</v>
      </c>
      <c r="Q3453" s="5" t="s">
        <v>54674</v>
      </c>
      <c r="R3453" s="5"/>
      <c r="S3453" s="5" t="s">
        <v>54675</v>
      </c>
      <c r="T3453" s="28">
        <v>1383000</v>
      </c>
      <c r="U3453" s="28">
        <v>10740000</v>
      </c>
      <c r="V3453" s="28">
        <v>185597000</v>
      </c>
      <c r="W3453" s="28">
        <v>271000</v>
      </c>
      <c r="X3453" s="28">
        <v>1495000</v>
      </c>
      <c r="Y3453" s="28">
        <v>207358000</v>
      </c>
      <c r="Z3453" s="28">
        <v>7804000</v>
      </c>
      <c r="AA3453" s="28"/>
      <c r="AB3453" s="28"/>
      <c r="AC3453" s="28">
        <v>198471000</v>
      </c>
      <c r="AD3453" s="28">
        <v>8804000</v>
      </c>
      <c r="AE3453" s="28">
        <v>3091116000</v>
      </c>
      <c r="AF3453" s="28">
        <v>7704000</v>
      </c>
      <c r="AG3453" s="11"/>
    </row>
    <row r="3454">
      <c r="A3454" s="7" t="s">
        <v>5127</v>
      </c>
      <c r="B3454" s="5" t="s">
        <v>13090</v>
      </c>
      <c r="C3454" s="5" t="s">
        <v>20890</v>
      </c>
      <c r="D3454" s="5" t="str">
        <v>645005006568</v>
      </c>
      <c r="E3454" s="0" t="e">
        <f>+7 (3472) 736452
+7 (385) 2507385
+7 (39145) 63374
+7 (39155) 71980
+7 (495) 1287071
+7 (495) 2348603
+7 (495) 2574147
+7 (495) 2584897
+7 (495) 2589040
+7 (495) 2589048
+7 (495) 2589074
+7 (495) 2989047
+7 (495) 3483060
+7 (383) 2106070
+7 (495) 1980895</f>
        <v>#NAME?</v>
      </c>
      <c r="F3454" s="5" t="s">
        <v>35735</v>
      </c>
      <c r="G3454" s="5" t="s">
        <v>35736</v>
      </c>
      <c r="H3454" s="26">
        <v>14.5</v>
      </c>
      <c r="I3454" s="5"/>
      <c r="J3454" s="5" t="s">
        <v>25429</v>
      </c>
      <c r="K3454" s="5" t="s">
        <v>344</v>
      </c>
      <c r="L3454" s="5" t="s">
        <v>35737</v>
      </c>
      <c r="M3454" s="27"/>
      <c r="N3454" s="5" t="s">
        <v>54676</v>
      </c>
      <c r="O3454" s="5" t="str">
        <v>7727662722</v>
      </c>
      <c r="P3454" s="27">
        <v>100000</v>
      </c>
      <c r="Q3454" s="5" t="s">
        <v>54677</v>
      </c>
      <c r="R3454" s="5"/>
      <c r="S3454" s="5" t="s">
        <v>49777</v>
      </c>
      <c r="T3454" s="28">
        <v>35766000</v>
      </c>
      <c r="U3454" s="28"/>
      <c r="V3454" s="28">
        <v>533012000</v>
      </c>
      <c r="W3454" s="28">
        <v>20900000</v>
      </c>
      <c r="X3454" s="28">
        <v>574288000</v>
      </c>
      <c r="Y3454" s="28">
        <v>2546387000</v>
      </c>
      <c r="Z3454" s="28">
        <v>1694320000</v>
      </c>
      <c r="AA3454" s="28"/>
      <c r="AB3454" s="28"/>
      <c r="AC3454" s="28">
        <v>845590000</v>
      </c>
      <c r="AD3454" s="28">
        <v>1694435000</v>
      </c>
      <c r="AE3454" s="28">
        <v>4589620000</v>
      </c>
      <c r="AF3454" s="28">
        <v>494111000</v>
      </c>
      <c r="AG3454" s="11"/>
    </row>
    <row r="3455">
      <c r="A3455" s="7" t="s">
        <v>5128</v>
      </c>
      <c r="B3455" s="5" t="s">
        <v>13091</v>
      </c>
      <c r="C3455" s="5" t="s">
        <v>20891</v>
      </c>
      <c r="D3455" s="5" t="str">
        <v>773136956610</v>
      </c>
      <c r="E3455" s="0" t="e">
        <f>+7 (495) 7807588
+7 (495) 4450400
+7 (495) 6696797</f>
        <v>#NAME?</v>
      </c>
      <c r="F3455" s="5" t="s">
        <v>35738</v>
      </c>
      <c r="G3455" s="5" t="s">
        <v>35739</v>
      </c>
      <c r="H3455" s="26">
        <v>15.5</v>
      </c>
      <c r="I3455" s="5" t="s">
        <v>35740</v>
      </c>
      <c r="J3455" s="5" t="s">
        <v>35741</v>
      </c>
      <c r="K3455" s="5" t="s">
        <v>344</v>
      </c>
      <c r="L3455" s="5" t="s">
        <v>26955</v>
      </c>
      <c r="M3455" s="27"/>
      <c r="N3455" s="5"/>
      <c r="O3455" s="5" t="str">
        <v>7737524513</v>
      </c>
      <c r="P3455" s="27">
        <v>5000000</v>
      </c>
      <c r="Q3455" s="5" t="s">
        <v>49009</v>
      </c>
      <c r="R3455" s="5"/>
      <c r="S3455" s="5" t="s">
        <v>49045</v>
      </c>
      <c r="T3455" s="28">
        <v>19566000</v>
      </c>
      <c r="U3455" s="28"/>
      <c r="V3455" s="28">
        <v>3026957000</v>
      </c>
      <c r="W3455" s="28"/>
      <c r="X3455" s="28">
        <v>5581000</v>
      </c>
      <c r="Y3455" s="28">
        <v>5962252000</v>
      </c>
      <c r="Z3455" s="28">
        <v>1334486000</v>
      </c>
      <c r="AA3455" s="28"/>
      <c r="AB3455" s="28">
        <v>3270130000</v>
      </c>
      <c r="AC3455" s="28">
        <v>4593237000</v>
      </c>
      <c r="AD3455" s="28">
        <v>1339486000</v>
      </c>
      <c r="AE3455" s="28">
        <v>12665463000</v>
      </c>
      <c r="AF3455" s="28">
        <v>541119000</v>
      </c>
      <c r="AG3455" s="11"/>
    </row>
    <row r="3456">
      <c r="A3456" s="7" t="s">
        <v>5129</v>
      </c>
      <c r="B3456" s="5" t="s">
        <v>13092</v>
      </c>
      <c r="C3456" s="5" t="s">
        <v>20892</v>
      </c>
      <c r="D3456" s="5" t="str">
        <v>502505314221</v>
      </c>
      <c r="E3456" s="0" t="e">
        <f>+7 (3472) 295546
+7 (3472) 925712
+7 (3472) 295658
+7 (347) 2533591
+7 (3472) 295265
+7 (3472) 295605
+7 (3472) 295712
+7 (3472) 295779
+7 (3472) 295912
+7 (3472) 722420
+7 (3472) 723790
+7 (3472) 725959
+7 (3472) 728300
+7 (3472) 730609
+7 (34775) 23917</f>
        <v>#NAME?</v>
      </c>
      <c r="F3456" s="5" t="s">
        <v>35742</v>
      </c>
      <c r="G3456" s="5" t="s">
        <v>35743</v>
      </c>
      <c r="H3456" s="26">
        <v>23</v>
      </c>
      <c r="I3456" s="5"/>
      <c r="J3456" s="5" t="s">
        <v>27534</v>
      </c>
      <c r="K3456" s="5" t="s">
        <v>344</v>
      </c>
      <c r="L3456" s="5" t="s">
        <v>35744</v>
      </c>
      <c r="M3456" s="27">
        <v>13303202</v>
      </c>
      <c r="N3456" s="5" t="s">
        <v>54678</v>
      </c>
      <c r="O3456" s="5" t="str">
        <v>0274108180</v>
      </c>
      <c r="P3456" s="27">
        <v>3023017000</v>
      </c>
      <c r="Q3456" s="5" t="s">
        <v>54679</v>
      </c>
      <c r="R3456" s="5"/>
      <c r="S3456" s="5" t="s">
        <v>51118</v>
      </c>
      <c r="T3456" s="28">
        <v>5739470000</v>
      </c>
      <c r="U3456" s="28">
        <v>18344000</v>
      </c>
      <c r="V3456" s="28">
        <v>123802000</v>
      </c>
      <c r="W3456" s="28"/>
      <c r="X3456" s="28">
        <v>3418292000</v>
      </c>
      <c r="Y3456" s="28">
        <v>9875052000</v>
      </c>
      <c r="Z3456" s="28">
        <v>5738170000</v>
      </c>
      <c r="AA3456" s="28"/>
      <c r="AB3456" s="28"/>
      <c r="AC3456" s="28">
        <v>864058000</v>
      </c>
      <c r="AD3456" s="28">
        <v>8912340000</v>
      </c>
      <c r="AE3456" s="28">
        <v>7101418000</v>
      </c>
      <c r="AF3456" s="28">
        <v>1435480000</v>
      </c>
      <c r="AG3456" s="11"/>
    </row>
    <row r="3457">
      <c r="A3457" s="7" t="s">
        <v>5130</v>
      </c>
      <c r="B3457" s="5" t="s">
        <v>13093</v>
      </c>
      <c r="C3457" s="5" t="s">
        <v>20893</v>
      </c>
      <c r="D3457" s="5" t="str">
        <v>615017536546</v>
      </c>
      <c r="E3457" s="0" t="e">
        <f>+7 (86352) 20245
+7 (86352) 27885
+7 (918) 8981873
+7 (928) 1731325</f>
        <v>#NAME?</v>
      </c>
      <c r="F3457" s="5" t="s">
        <v>35745</v>
      </c>
      <c r="G3457" s="5" t="s">
        <v>35746</v>
      </c>
      <c r="H3457" s="26">
        <v>21</v>
      </c>
      <c r="I3457" s="5" t="s">
        <v>35747</v>
      </c>
      <c r="J3457" s="5" t="s">
        <v>678</v>
      </c>
      <c r="K3457" s="5" t="s">
        <v>344</v>
      </c>
      <c r="L3457" s="5" t="s">
        <v>35748</v>
      </c>
      <c r="M3457" s="27"/>
      <c r="N3457" s="5" t="s">
        <v>54680</v>
      </c>
      <c r="O3457" s="5" t="str">
        <v>6150078487</v>
      </c>
      <c r="P3457" s="27">
        <v>10000</v>
      </c>
      <c r="Q3457" s="5" t="s">
        <v>54681</v>
      </c>
      <c r="R3457" s="5"/>
      <c r="S3457" s="5" t="s">
        <v>54682</v>
      </c>
      <c r="T3457" s="28">
        <v>79240000</v>
      </c>
      <c r="U3457" s="28"/>
      <c r="V3457" s="28">
        <v>408593000</v>
      </c>
      <c r="W3457" s="28"/>
      <c r="X3457" s="28">
        <v>286342000</v>
      </c>
      <c r="Y3457" s="28">
        <v>821221000</v>
      </c>
      <c r="Z3457" s="28">
        <v>244930000</v>
      </c>
      <c r="AA3457" s="28">
        <v>98500000</v>
      </c>
      <c r="AB3457" s="28"/>
      <c r="AC3457" s="28">
        <v>477781000</v>
      </c>
      <c r="AD3457" s="28">
        <v>244940000</v>
      </c>
      <c r="AE3457" s="28">
        <v>6030225000</v>
      </c>
      <c r="AF3457" s="28">
        <v>125251000</v>
      </c>
      <c r="AG3457" s="11"/>
    </row>
    <row r="3458">
      <c r="A3458" s="7" t="s">
        <v>5131</v>
      </c>
      <c r="B3458" s="5" t="s">
        <v>13094</v>
      </c>
      <c r="C3458" s="5" t="s">
        <v>20894</v>
      </c>
      <c r="D3458" s="5" t="str">
        <v>772158108130</v>
      </c>
      <c r="F3458" s="5" t="s">
        <v>35749</v>
      </c>
      <c r="G3458" s="5" t="s">
        <v>35750</v>
      </c>
      <c r="H3458" s="26">
        <v>13.5</v>
      </c>
      <c r="I3458" s="5"/>
      <c r="J3458" s="5" t="s">
        <v>1073</v>
      </c>
      <c r="K3458" s="5" t="s">
        <v>344</v>
      </c>
      <c r="L3458" s="5" t="s">
        <v>35751</v>
      </c>
      <c r="M3458" s="27"/>
      <c r="N3458" s="5"/>
      <c r="O3458" s="5" t="str">
        <v>7710752791</v>
      </c>
      <c r="P3458" s="27">
        <v>300000</v>
      </c>
      <c r="Q3458" s="5" t="s">
        <v>49207</v>
      </c>
      <c r="R3458" s="5"/>
      <c r="S3458" s="5" t="s">
        <v>49565</v>
      </c>
      <c r="T3458" s="28">
        <v>2336000</v>
      </c>
      <c r="U3458" s="28"/>
      <c r="V3458" s="28">
        <v>2294933000</v>
      </c>
      <c r="W3458" s="28"/>
      <c r="X3458" s="28">
        <v>32000</v>
      </c>
      <c r="Y3458" s="28">
        <v>3035860000</v>
      </c>
      <c r="Z3458" s="28">
        <v>84320000</v>
      </c>
      <c r="AA3458" s="28"/>
      <c r="AB3458" s="28"/>
      <c r="AC3458" s="28">
        <v>2951000000</v>
      </c>
      <c r="AD3458" s="28">
        <v>84620000</v>
      </c>
      <c r="AE3458" s="28">
        <v>4800634000</v>
      </c>
      <c r="AF3458" s="28">
        <v>34577000</v>
      </c>
      <c r="AG3458" s="11"/>
    </row>
    <row r="3459">
      <c r="A3459" s="7" t="s">
        <v>5132</v>
      </c>
      <c r="B3459" s="5" t="s">
        <v>13095</v>
      </c>
      <c r="C3459" s="5" t="s">
        <v>20895</v>
      </c>
      <c r="D3459" s="5" t="str">
        <v>772346378040</v>
      </c>
      <c r="E3459" s="0" t="e">
        <f>+7 (499) 3700249</f>
        <v>#NAME?</v>
      </c>
      <c r="F3459" s="5"/>
      <c r="G3459" s="5"/>
      <c r="H3459" s="26">
        <v>12.5</v>
      </c>
      <c r="I3459" s="5" t="s">
        <v>35752</v>
      </c>
      <c r="J3459" s="5" t="s">
        <v>26918</v>
      </c>
      <c r="K3459" s="5" t="s">
        <v>344</v>
      </c>
      <c r="L3459" s="5" t="s">
        <v>35753</v>
      </c>
      <c r="M3459" s="27"/>
      <c r="N3459" s="5" t="s">
        <v>54683</v>
      </c>
      <c r="O3459" s="5" t="str">
        <v>7726659910</v>
      </c>
      <c r="P3459" s="27">
        <v>8520000</v>
      </c>
      <c r="Q3459" s="5" t="s">
        <v>54684</v>
      </c>
      <c r="R3459" s="5" t="s">
        <v>54685</v>
      </c>
      <c r="S3459" s="5" t="s">
        <v>54686</v>
      </c>
      <c r="T3459" s="28">
        <v>1792000</v>
      </c>
      <c r="U3459" s="28"/>
      <c r="V3459" s="28">
        <v>4052463000</v>
      </c>
      <c r="W3459" s="28"/>
      <c r="X3459" s="28">
        <v>728039000</v>
      </c>
      <c r="Y3459" s="28">
        <v>5098181000</v>
      </c>
      <c r="Z3459" s="28">
        <v>1480190000</v>
      </c>
      <c r="AA3459" s="28"/>
      <c r="AB3459" s="28">
        <v>85788000</v>
      </c>
      <c r="AC3459" s="28">
        <v>3607519000</v>
      </c>
      <c r="AD3459" s="28">
        <v>1488710000</v>
      </c>
      <c r="AE3459" s="28">
        <v>6599728000</v>
      </c>
      <c r="AF3459" s="28">
        <v>-509484000</v>
      </c>
      <c r="AG3459" s="11"/>
    </row>
    <row r="3460">
      <c r="A3460" s="7" t="s">
        <v>5133</v>
      </c>
      <c r="B3460" s="5" t="s">
        <v>13096</v>
      </c>
      <c r="C3460" s="5" t="s">
        <v>20896</v>
      </c>
      <c r="D3460" s="5" t="str">
        <v>583401514444</v>
      </c>
      <c r="E3460" s="0" t="e">
        <f>+7 (8412) 596941
+7 (8412) 639768
+7 (8412) 522353
+7 (8412) 522480
+7 (8412) 552819
+7 (8412) 552831
+7 (8412) 563288
+7 (8412) 590816
+7 (8412) 590858</f>
        <v>#NAME?</v>
      </c>
      <c r="F3460" s="5" t="s">
        <v>35754</v>
      </c>
      <c r="G3460" s="5" t="s">
        <v>35755</v>
      </c>
      <c r="H3460" s="26">
        <v>31</v>
      </c>
      <c r="I3460" s="5"/>
      <c r="J3460" s="5" t="s">
        <v>30577</v>
      </c>
      <c r="K3460" s="5" t="s">
        <v>344</v>
      </c>
      <c r="L3460" s="5" t="s">
        <v>35756</v>
      </c>
      <c r="M3460" s="27"/>
      <c r="N3460" s="5"/>
      <c r="O3460" s="5" t="str">
        <v>5834000060</v>
      </c>
      <c r="P3460" s="27">
        <v>403290</v>
      </c>
      <c r="Q3460" s="5" t="s">
        <v>49009</v>
      </c>
      <c r="R3460" s="5"/>
      <c r="S3460" s="5" t="s">
        <v>49010</v>
      </c>
      <c r="T3460" s="28">
        <v>2858751000</v>
      </c>
      <c r="U3460" s="28">
        <v>1631691000</v>
      </c>
      <c r="V3460" s="28">
        <v>1418730000</v>
      </c>
      <c r="W3460" s="28"/>
      <c r="X3460" s="28">
        <v>870558000</v>
      </c>
      <c r="Y3460" s="28">
        <v>7277335000</v>
      </c>
      <c r="Z3460" s="28">
        <v>6124656000</v>
      </c>
      <c r="AA3460" s="28">
        <v>479464000</v>
      </c>
      <c r="AB3460" s="28">
        <v>100526000</v>
      </c>
      <c r="AC3460" s="28">
        <v>484422000</v>
      </c>
      <c r="AD3460" s="28">
        <v>6137169000</v>
      </c>
      <c r="AE3460" s="28">
        <v>5179065000</v>
      </c>
      <c r="AF3460" s="28">
        <v>760709000</v>
      </c>
      <c r="AG3460" s="11"/>
    </row>
    <row r="3461">
      <c r="A3461" s="7" t="s">
        <v>5134</v>
      </c>
      <c r="B3461" s="5" t="s">
        <v>13097</v>
      </c>
      <c r="C3461" s="5" t="s">
        <v>20897</v>
      </c>
      <c r="D3461" s="5"/>
      <c r="E3461" s="0" t="e">
        <f>+7 (3952) 202421
+7 (3952) 204532
+7 (3952) 205327
+7 (3952) 206739
+7 (3952) 220850
+7 (3952) 225765
+7 (3952) 231714
+7 (3952) 232175
+7 (3952) 271504
+7 (3952) 280640
+7 (3952) 280650
+7 (3952) 303303
+7 (3952) 316975
+7 (3952) 333205
+7 (3952) 346770</f>
        <v>#NAME?</v>
      </c>
      <c r="F3461" s="5" t="s">
        <v>35757</v>
      </c>
      <c r="G3461" s="5"/>
      <c r="H3461" s="26">
        <v>14.5</v>
      </c>
      <c r="I3461" s="5" t="s">
        <v>35758</v>
      </c>
      <c r="J3461" s="5" t="s">
        <v>25853</v>
      </c>
      <c r="K3461" s="5" t="s">
        <v>344</v>
      </c>
      <c r="L3461" s="5"/>
      <c r="M3461" s="27"/>
      <c r="N3461" s="5"/>
      <c r="O3461" s="5" t="str">
        <v>3811125221</v>
      </c>
      <c r="P3461" s="27">
        <v>200320000</v>
      </c>
      <c r="Q3461" s="5" t="s">
        <v>49059</v>
      </c>
      <c r="R3461" s="5"/>
      <c r="S3461" s="5" t="s">
        <v>49028</v>
      </c>
      <c r="T3461" s="28">
        <v>8717700000</v>
      </c>
      <c r="U3461" s="28">
        <v>748979000</v>
      </c>
      <c r="V3461" s="28">
        <v>420366000</v>
      </c>
      <c r="W3461" s="28"/>
      <c r="X3461" s="28">
        <v>645740000</v>
      </c>
      <c r="Y3461" s="28">
        <v>16009830000</v>
      </c>
      <c r="Z3461" s="28">
        <v>729667000</v>
      </c>
      <c r="AA3461" s="28">
        <v>1900000000</v>
      </c>
      <c r="AB3461" s="28">
        <v>6195000</v>
      </c>
      <c r="AC3461" s="28">
        <v>4352909000</v>
      </c>
      <c r="AD3461" s="28">
        <v>930035000</v>
      </c>
      <c r="AE3461" s="28">
        <v>39620418000</v>
      </c>
      <c r="AF3461" s="28">
        <v>207826000</v>
      </c>
      <c r="AG3461" s="11"/>
    </row>
    <row r="3462">
      <c r="A3462" s="7" t="s">
        <v>5135</v>
      </c>
      <c r="B3462" s="5" t="s">
        <v>13096</v>
      </c>
      <c r="C3462" s="5" t="s">
        <v>20896</v>
      </c>
      <c r="D3462" s="5" t="str">
        <v>583401514444</v>
      </c>
      <c r="E3462" s="0" t="e">
        <f>+7 (8412) 552830
+7 (8412) 560915
+7 (8412) 590816
+7 (8412) 596924
+7 (8412) 596974
+7 (8412) 596980
+7 (8412) 620137</f>
        <v>#NAME?</v>
      </c>
      <c r="F3462" s="5" t="s">
        <v>35759</v>
      </c>
      <c r="G3462" s="5" t="s">
        <v>35760</v>
      </c>
      <c r="H3462" s="26">
        <v>16.5</v>
      </c>
      <c r="I3462" s="5" t="s">
        <v>35761</v>
      </c>
      <c r="J3462" s="5" t="s">
        <v>30577</v>
      </c>
      <c r="K3462" s="5" t="s">
        <v>344</v>
      </c>
      <c r="L3462" s="5" t="s">
        <v>35762</v>
      </c>
      <c r="M3462" s="27"/>
      <c r="N3462" s="5"/>
      <c r="O3462" s="5" t="str">
        <v>5834035232</v>
      </c>
      <c r="P3462" s="27">
        <v>256500000</v>
      </c>
      <c r="Q3462" s="5" t="s">
        <v>49009</v>
      </c>
      <c r="R3462" s="5"/>
      <c r="S3462" s="5" t="s">
        <v>49010</v>
      </c>
      <c r="T3462" s="28">
        <v>4676116000</v>
      </c>
      <c r="U3462" s="28"/>
      <c r="V3462" s="28">
        <v>801610000</v>
      </c>
      <c r="W3462" s="28"/>
      <c r="X3462" s="28">
        <v>784760000</v>
      </c>
      <c r="Y3462" s="28">
        <v>8985060000</v>
      </c>
      <c r="Z3462" s="28">
        <v>6691868000</v>
      </c>
      <c r="AA3462" s="28">
        <v>790367000</v>
      </c>
      <c r="AB3462" s="28">
        <v>3353000</v>
      </c>
      <c r="AC3462" s="28">
        <v>654780000</v>
      </c>
      <c r="AD3462" s="28">
        <v>6948368000</v>
      </c>
      <c r="AE3462" s="28">
        <v>6818828000</v>
      </c>
      <c r="AF3462" s="28">
        <v>594139000</v>
      </c>
      <c r="AG3462" s="11"/>
    </row>
    <row r="3463">
      <c r="A3463" s="7" t="s">
        <v>5136</v>
      </c>
      <c r="B3463" s="5" t="s">
        <v>13096</v>
      </c>
      <c r="C3463" s="5" t="s">
        <v>20898</v>
      </c>
      <c r="D3463" s="5" t="str">
        <v>583402485669</v>
      </c>
      <c r="E3463" s="0" t="e">
        <f>+7 (841) 2560936
+7 (841) 2596954
+7 (8142) 560594
+7 (8412) 525623
+7 (8412) 525624
+7 (8412) 560594
+7 (8412) 560599
+7 (963) 1092043</f>
        <v>#NAME?</v>
      </c>
      <c r="F3463" s="5" t="s">
        <v>35763</v>
      </c>
      <c r="G3463" s="5" t="s">
        <v>35764</v>
      </c>
      <c r="H3463" s="26">
        <v>17.5</v>
      </c>
      <c r="I3463" s="5" t="s">
        <v>35765</v>
      </c>
      <c r="J3463" s="5" t="s">
        <v>27194</v>
      </c>
      <c r="K3463" s="5" t="s">
        <v>344</v>
      </c>
      <c r="L3463" s="5" t="s">
        <v>35766</v>
      </c>
      <c r="M3463" s="27"/>
      <c r="N3463" s="5"/>
      <c r="O3463" s="5" t="str">
        <v>5834031277</v>
      </c>
      <c r="P3463" s="27">
        <v>21884457</v>
      </c>
      <c r="Q3463" s="5" t="s">
        <v>49009</v>
      </c>
      <c r="R3463" s="5"/>
      <c r="S3463" s="5" t="s">
        <v>49066</v>
      </c>
      <c r="T3463" s="28">
        <v>2037989000</v>
      </c>
      <c r="U3463" s="28"/>
      <c r="V3463" s="28">
        <v>1176691000</v>
      </c>
      <c r="W3463" s="28"/>
      <c r="X3463" s="28">
        <v>37830000</v>
      </c>
      <c r="Y3463" s="28">
        <v>3909990000</v>
      </c>
      <c r="Z3463" s="28">
        <v>2630941000</v>
      </c>
      <c r="AA3463" s="28">
        <v>436447000</v>
      </c>
      <c r="AB3463" s="28">
        <v>167600000</v>
      </c>
      <c r="AC3463" s="28">
        <v>611238000</v>
      </c>
      <c r="AD3463" s="28">
        <v>2656108000</v>
      </c>
      <c r="AE3463" s="28">
        <v>5095241000</v>
      </c>
      <c r="AF3463" s="28">
        <v>396794000</v>
      </c>
      <c r="AG3463" s="11"/>
    </row>
    <row r="3464">
      <c r="A3464" s="7" t="s">
        <v>5137</v>
      </c>
      <c r="B3464" s="5" t="s">
        <v>13098</v>
      </c>
      <c r="C3464" s="5" t="s">
        <v>20899</v>
      </c>
      <c r="D3464" s="5" t="str">
        <v>235203420702</v>
      </c>
      <c r="E3464" s="0" t="e">
        <f>+7 (495) 7303737</f>
        <v>#NAME?</v>
      </c>
      <c r="F3464" s="5"/>
      <c r="G3464" s="5"/>
      <c r="H3464" s="26">
        <v>17</v>
      </c>
      <c r="I3464" s="5" t="s">
        <v>35767</v>
      </c>
      <c r="J3464" s="5" t="s">
        <v>389</v>
      </c>
      <c r="K3464" s="5" t="s">
        <v>355</v>
      </c>
      <c r="L3464" s="5" t="s">
        <v>35768</v>
      </c>
      <c r="M3464" s="27"/>
      <c r="N3464" s="5"/>
      <c r="O3464" s="5" t="str">
        <v>7734537112</v>
      </c>
      <c r="P3464" s="27">
        <v>10000</v>
      </c>
      <c r="Q3464" s="5"/>
      <c r="R3464" s="5"/>
      <c r="S3464" s="5" t="s">
        <v>49121</v>
      </c>
      <c r="T3464" s="28">
        <v>14520000</v>
      </c>
      <c r="U3464" s="28"/>
      <c r="V3464" s="28">
        <v>367410000</v>
      </c>
      <c r="W3464" s="28">
        <v>548969000</v>
      </c>
      <c r="X3464" s="28">
        <v>1810000</v>
      </c>
      <c r="Y3464" s="28">
        <v>2149825000</v>
      </c>
      <c r="Z3464" s="28">
        <v>72297000</v>
      </c>
      <c r="AA3464" s="28">
        <v>1080901000</v>
      </c>
      <c r="AB3464" s="28">
        <v>850785000</v>
      </c>
      <c r="AC3464" s="28">
        <v>985796000</v>
      </c>
      <c r="AD3464" s="28">
        <v>72307000</v>
      </c>
      <c r="AE3464" s="28">
        <v>5324080000</v>
      </c>
      <c r="AF3464" s="28">
        <v>8396000</v>
      </c>
      <c r="AG3464" s="11"/>
    </row>
    <row r="3465">
      <c r="A3465" s="7" t="s">
        <v>5138</v>
      </c>
      <c r="B3465" s="5" t="s">
        <v>13099</v>
      </c>
      <c r="C3465" s="5" t="s">
        <v>20900</v>
      </c>
      <c r="D3465" s="5" t="str">
        <v>772801432539</v>
      </c>
      <c r="E3465" s="0" t="e">
        <f>+7 (495) 7887980
+7 (495) 7887981
+7 (495) 3361909
+7 (495) 7793777
+7 (495) 7881010
+7 (499) 2384353</f>
        <v>#NAME?</v>
      </c>
      <c r="F3465" s="5" t="s">
        <v>35769</v>
      </c>
      <c r="G3465" s="5" t="s">
        <v>35770</v>
      </c>
      <c r="H3465" s="26">
        <v>23.5</v>
      </c>
      <c r="I3465" s="5"/>
      <c r="J3465" s="5" t="s">
        <v>25674</v>
      </c>
      <c r="K3465" s="5" t="s">
        <v>344</v>
      </c>
      <c r="L3465" s="5" t="s">
        <v>35771</v>
      </c>
      <c r="M3465" s="27">
        <v>431350</v>
      </c>
      <c r="N3465" s="5" t="s">
        <v>54687</v>
      </c>
      <c r="O3465" s="5" t="str">
        <v>7704205688</v>
      </c>
      <c r="P3465" s="27">
        <v>999600</v>
      </c>
      <c r="Q3465" s="5" t="s">
        <v>49009</v>
      </c>
      <c r="R3465" s="5"/>
      <c r="S3465" s="5" t="s">
        <v>49361</v>
      </c>
      <c r="T3465" s="28">
        <v>55798000</v>
      </c>
      <c r="U3465" s="28">
        <v>217743000</v>
      </c>
      <c r="V3465" s="28">
        <v>427282000</v>
      </c>
      <c r="W3465" s="28">
        <v>412429000</v>
      </c>
      <c r="X3465" s="28">
        <v>882372000</v>
      </c>
      <c r="Y3465" s="28">
        <v>2907046000</v>
      </c>
      <c r="Z3465" s="28">
        <v>2621983000</v>
      </c>
      <c r="AA3465" s="28"/>
      <c r="AB3465" s="28"/>
      <c r="AC3465" s="28">
        <v>281400000</v>
      </c>
      <c r="AD3465" s="28">
        <v>2623033000</v>
      </c>
      <c r="AE3465" s="28">
        <v>6263699000</v>
      </c>
      <c r="AF3465" s="28">
        <v>415196000</v>
      </c>
      <c r="AG3465" s="11"/>
    </row>
    <row r="3466">
      <c r="A3466" s="7" t="s">
        <v>5139</v>
      </c>
      <c r="B3466" s="5" t="s">
        <v>13100</v>
      </c>
      <c r="C3466" s="5" t="s">
        <v>20901</v>
      </c>
      <c r="D3466" s="5" t="str">
        <v>540449898886</v>
      </c>
      <c r="E3466" s="0" t="e">
        <f>+7 (495) 3080666</f>
        <v>#NAME?</v>
      </c>
      <c r="F3466" s="5" t="s">
        <v>35772</v>
      </c>
      <c r="G3466" s="5" t="s">
        <v>35773</v>
      </c>
      <c r="H3466" s="26">
        <v>12.5</v>
      </c>
      <c r="I3466" s="5" t="s">
        <v>35774</v>
      </c>
      <c r="J3466" s="5" t="s">
        <v>389</v>
      </c>
      <c r="K3466" s="5" t="s">
        <v>344</v>
      </c>
      <c r="L3466" s="5" t="s">
        <v>35775</v>
      </c>
      <c r="M3466" s="27">
        <v>1662374</v>
      </c>
      <c r="N3466" s="5" t="s">
        <v>54688</v>
      </c>
      <c r="O3466" s="5" t="str">
        <v>7716667101</v>
      </c>
      <c r="P3466" s="27">
        <v>46010000</v>
      </c>
      <c r="Q3466" s="5" t="s">
        <v>54689</v>
      </c>
      <c r="R3466" s="5"/>
      <c r="S3466" s="5" t="s">
        <v>49012</v>
      </c>
      <c r="T3466" s="28">
        <v>50652000</v>
      </c>
      <c r="U3466" s="28">
        <v>677112000</v>
      </c>
      <c r="V3466" s="28">
        <v>470321000</v>
      </c>
      <c r="W3466" s="28"/>
      <c r="X3466" s="28">
        <v>183890000</v>
      </c>
      <c r="Y3466" s="28">
        <v>2090354000</v>
      </c>
      <c r="Z3466" s="28">
        <v>1034382000</v>
      </c>
      <c r="AA3466" s="28">
        <v>118070000</v>
      </c>
      <c r="AB3466" s="28">
        <v>694328000</v>
      </c>
      <c r="AC3466" s="28">
        <v>880405000</v>
      </c>
      <c r="AD3466" s="28">
        <v>1080392000</v>
      </c>
      <c r="AE3466" s="28">
        <v>3928476000</v>
      </c>
      <c r="AF3466" s="28">
        <v>283556000</v>
      </c>
      <c r="AG3466" s="11"/>
    </row>
    <row r="3467">
      <c r="A3467" s="7" t="s">
        <v>5140</v>
      </c>
      <c r="B3467" s="5" t="s">
        <v>13101</v>
      </c>
      <c r="C3467" s="5" t="s">
        <v>20902</v>
      </c>
      <c r="D3467" s="5" t="str">
        <v>530200934346</v>
      </c>
      <c r="E3467" s="0" t="e">
        <f>+7 (495) 1415595
+7 (495) 2128506
+7 (495) 4423077
+7 (495) 4472275
+7 (495) 4475545
+7 (495) 4475573
+7 (495) 4475574
+7 (495) 4475595
+7 (495) 6208127
+7 (495) 6535683
+7 (495) 9694409
+7 (499) 1673432
+7 (495) 4475557
+7 (495) 4475969
+7 (495) 4775575</f>
        <v>#NAME?</v>
      </c>
      <c r="F3467" s="5" t="s">
        <v>35776</v>
      </c>
      <c r="G3467" s="5" t="s">
        <v>35777</v>
      </c>
      <c r="H3467" s="26">
        <v>28</v>
      </c>
      <c r="I3467" s="5" t="s">
        <v>28630</v>
      </c>
      <c r="J3467" s="5" t="s">
        <v>25429</v>
      </c>
      <c r="K3467" s="5" t="s">
        <v>344</v>
      </c>
      <c r="L3467" s="5"/>
      <c r="M3467" s="27"/>
      <c r="N3467" s="5" t="s">
        <v>54690</v>
      </c>
      <c r="O3467" s="5" t="str">
        <v>7729101120</v>
      </c>
      <c r="P3467" s="27">
        <v>150000000</v>
      </c>
      <c r="Q3467" s="5" t="s">
        <v>54691</v>
      </c>
      <c r="R3467" s="5" t="s">
        <v>54692</v>
      </c>
      <c r="S3467" s="5" t="s">
        <v>51118</v>
      </c>
      <c r="T3467" s="28">
        <v>192869000</v>
      </c>
      <c r="U3467" s="28"/>
      <c r="V3467" s="28">
        <v>195480000</v>
      </c>
      <c r="W3467" s="28">
        <v>225000000</v>
      </c>
      <c r="X3467" s="28">
        <v>92659000</v>
      </c>
      <c r="Y3467" s="28">
        <v>1047006000</v>
      </c>
      <c r="Z3467" s="28">
        <v>117043000</v>
      </c>
      <c r="AA3467" s="28"/>
      <c r="AB3467" s="28"/>
      <c r="AC3467" s="28">
        <v>611476000</v>
      </c>
      <c r="AD3467" s="28">
        <v>311388000</v>
      </c>
      <c r="AE3467" s="28">
        <v>3790671000</v>
      </c>
      <c r="AF3467" s="28">
        <v>20174000</v>
      </c>
      <c r="AG3467" s="11"/>
    </row>
    <row r="3468">
      <c r="A3468" s="7" t="s">
        <v>5141</v>
      </c>
      <c r="B3468" s="5" t="s">
        <v>13102</v>
      </c>
      <c r="C3468" s="5" t="s">
        <v>20903</v>
      </c>
      <c r="D3468" s="5" t="str">
        <v>263505521149</v>
      </c>
      <c r="E3468" s="0" t="e">
        <f>+7 (8632) 61556
+7 (865) 2335517
+7 (865) 2385371
+7 (865) 2392742
+7 (8652) 335511
+7 (8652) 335512
+7 (8652) 335513
+7 (8652) 335515
+7 (8652) 335516
+7 (8652) 335519
+7 (8652) 951535</f>
        <v>#NAME?</v>
      </c>
      <c r="F3468" s="5" t="s">
        <v>35778</v>
      </c>
      <c r="G3468" s="5" t="s">
        <v>35779</v>
      </c>
      <c r="H3468" s="26">
        <v>15</v>
      </c>
      <c r="I3468" s="5" t="s">
        <v>35780</v>
      </c>
      <c r="J3468" s="5" t="s">
        <v>28219</v>
      </c>
      <c r="K3468" s="5" t="s">
        <v>344</v>
      </c>
      <c r="L3468" s="5" t="s">
        <v>35781</v>
      </c>
      <c r="M3468" s="27"/>
      <c r="N3468" s="5" t="s">
        <v>54693</v>
      </c>
      <c r="O3468" s="5" t="str">
        <v>2634079452</v>
      </c>
      <c r="P3468" s="27">
        <v>10000</v>
      </c>
      <c r="Q3468" s="5"/>
      <c r="R3468" s="5"/>
      <c r="S3468" s="5" t="s">
        <v>49110</v>
      </c>
      <c r="T3468" s="28">
        <v>77935000</v>
      </c>
      <c r="U3468" s="28">
        <v>255799000</v>
      </c>
      <c r="V3468" s="28">
        <v>419972000</v>
      </c>
      <c r="W3468" s="28"/>
      <c r="X3468" s="28">
        <v>90737000</v>
      </c>
      <c r="Y3468" s="28">
        <v>1210392000</v>
      </c>
      <c r="Z3468" s="28">
        <v>1069824000</v>
      </c>
      <c r="AA3468" s="28"/>
      <c r="AB3468" s="28"/>
      <c r="AC3468" s="28">
        <v>140558000</v>
      </c>
      <c r="AD3468" s="28">
        <v>1069834000</v>
      </c>
      <c r="AE3468" s="28">
        <v>3355873000</v>
      </c>
      <c r="AF3468" s="28">
        <v>365104000</v>
      </c>
      <c r="AG3468" s="11"/>
    </row>
    <row r="3469">
      <c r="A3469" s="7" t="s">
        <v>5142</v>
      </c>
      <c r="B3469" s="5" t="s">
        <v>13103</v>
      </c>
      <c r="C3469" s="5" t="s">
        <v>20904</v>
      </c>
      <c r="D3469" s="5" t="str">
        <v>781430839671</v>
      </c>
      <c r="E3469" s="0" t="e">
        <f>+7 (495) 2303019
+7 (484) 2212195
+7 (485) 2289099
+7 (495) 2151569
+7 (495) 7722641</f>
        <v>#NAME?</v>
      </c>
      <c r="F3469" s="5" t="s">
        <v>35782</v>
      </c>
      <c r="G3469" s="5" t="s">
        <v>35783</v>
      </c>
      <c r="H3469" s="26">
        <v>10</v>
      </c>
      <c r="I3469" s="5" t="s">
        <v>35784</v>
      </c>
      <c r="J3469" s="5" t="s">
        <v>25424</v>
      </c>
      <c r="K3469" s="5" t="s">
        <v>344</v>
      </c>
      <c r="L3469" s="5" t="s">
        <v>35785</v>
      </c>
      <c r="M3469" s="27"/>
      <c r="N3469" s="5"/>
      <c r="O3469" s="5" t="str">
        <v>7713767919</v>
      </c>
      <c r="P3469" s="27">
        <v>11750</v>
      </c>
      <c r="Q3469" s="5" t="s">
        <v>49009</v>
      </c>
      <c r="R3469" s="5"/>
      <c r="S3469" s="5" t="s">
        <v>49045</v>
      </c>
      <c r="T3469" s="28">
        <v>2976000</v>
      </c>
      <c r="U3469" s="28"/>
      <c r="V3469" s="28">
        <v>531999000</v>
      </c>
      <c r="W3469" s="28">
        <v>100000000</v>
      </c>
      <c r="X3469" s="28">
        <v>30171000</v>
      </c>
      <c r="Y3469" s="28">
        <v>1172992000</v>
      </c>
      <c r="Z3469" s="28">
        <v>664587000</v>
      </c>
      <c r="AA3469" s="28">
        <v>304174000</v>
      </c>
      <c r="AB3469" s="28">
        <v>1554000</v>
      </c>
      <c r="AC3469" s="28">
        <v>203265000</v>
      </c>
      <c r="AD3469" s="28">
        <v>664599000</v>
      </c>
      <c r="AE3469" s="28">
        <v>4255904000</v>
      </c>
      <c r="AF3469" s="28">
        <v>283969000</v>
      </c>
      <c r="AG3469" s="11"/>
    </row>
    <row r="3470">
      <c r="A3470" s="7" t="s">
        <v>5143</v>
      </c>
      <c r="B3470" s="5" t="s">
        <v>13104</v>
      </c>
      <c r="C3470" s="5" t="s">
        <v>20905</v>
      </c>
      <c r="D3470" s="5" t="str">
        <v>027612982630</v>
      </c>
      <c r="E3470" s="0" t="e">
        <f>+7 (3472) 448242
+7 (3472) 642599
+7 (3472) 843140
+7 (383) 2078444</f>
        <v>#NAME?</v>
      </c>
      <c r="F3470" s="5" t="s">
        <v>35786</v>
      </c>
      <c r="G3470" s="5" t="s">
        <v>35787</v>
      </c>
      <c r="H3470" s="26">
        <v>16</v>
      </c>
      <c r="I3470" s="5" t="s">
        <v>35788</v>
      </c>
      <c r="J3470" s="5" t="s">
        <v>28219</v>
      </c>
      <c r="K3470" s="5" t="s">
        <v>344</v>
      </c>
      <c r="L3470" s="5" t="s">
        <v>35789</v>
      </c>
      <c r="M3470" s="27"/>
      <c r="N3470" s="5" t="s">
        <v>54694</v>
      </c>
      <c r="O3470" s="5" t="str">
        <v>0276105593</v>
      </c>
      <c r="P3470" s="27">
        <v>10000</v>
      </c>
      <c r="Q3470" s="5" t="s">
        <v>54695</v>
      </c>
      <c r="R3470" s="5"/>
      <c r="S3470" s="5" t="s">
        <v>50936</v>
      </c>
      <c r="T3470" s="28">
        <v>372636000</v>
      </c>
      <c r="U3470" s="28"/>
      <c r="V3470" s="28">
        <v>597302000</v>
      </c>
      <c r="W3470" s="28"/>
      <c r="X3470" s="28">
        <v>15568000</v>
      </c>
      <c r="Y3470" s="28">
        <v>1540412000</v>
      </c>
      <c r="Z3470" s="28">
        <v>805961000</v>
      </c>
      <c r="AA3470" s="28"/>
      <c r="AB3470" s="28">
        <v>393734000</v>
      </c>
      <c r="AC3470" s="28">
        <v>610802000</v>
      </c>
      <c r="AD3470" s="28">
        <v>805971000</v>
      </c>
      <c r="AE3470" s="28">
        <v>3545200000</v>
      </c>
      <c r="AF3470" s="28">
        <v>175354000</v>
      </c>
      <c r="AG3470" s="11"/>
    </row>
    <row r="3471">
      <c r="A3471" s="7" t="s">
        <v>5144</v>
      </c>
      <c r="B3471" s="5" t="s">
        <v>13105</v>
      </c>
      <c r="C3471" s="5" t="s">
        <v>20906</v>
      </c>
      <c r="D3471" s="5" t="str">
        <v>500101665823</v>
      </c>
      <c r="E3471" s="0" t="e">
        <f>+7 (495) 2256436
+7 (495) 2237301
+7 (495) 2256416
+7 (495) 2256423
+7 (495) 7806960
+7 (812) 3320412
+7 (8432) 125506
+7 (861) 2022299
+7 (913) 9178056</f>
        <v>#NAME?</v>
      </c>
      <c r="F3471" s="5"/>
      <c r="G3471" s="5" t="s">
        <v>35790</v>
      </c>
      <c r="H3471" s="26">
        <v>19.5</v>
      </c>
      <c r="I3471" s="5" t="s">
        <v>35791</v>
      </c>
      <c r="J3471" s="5" t="s">
        <v>28004</v>
      </c>
      <c r="K3471" s="5" t="s">
        <v>344</v>
      </c>
      <c r="L3471" s="5" t="s">
        <v>35792</v>
      </c>
      <c r="M3471" s="27"/>
      <c r="N3471" s="5"/>
      <c r="O3471" s="5" t="str">
        <v>5074024703</v>
      </c>
      <c r="P3471" s="27">
        <v>100000000</v>
      </c>
      <c r="Q3471" s="5" t="s">
        <v>49009</v>
      </c>
      <c r="R3471" s="5"/>
      <c r="S3471" s="5" t="s">
        <v>49066</v>
      </c>
      <c r="T3471" s="28">
        <v>1020475000</v>
      </c>
      <c r="U3471" s="28"/>
      <c r="V3471" s="28">
        <v>419830000</v>
      </c>
      <c r="W3471" s="28"/>
      <c r="X3471" s="28">
        <v>919076000</v>
      </c>
      <c r="Y3471" s="28">
        <v>2914187000</v>
      </c>
      <c r="Z3471" s="28">
        <v>1453519000</v>
      </c>
      <c r="AA3471" s="28">
        <v>545000000</v>
      </c>
      <c r="AB3471" s="28">
        <v>260751000</v>
      </c>
      <c r="AC3471" s="28">
        <v>760537000</v>
      </c>
      <c r="AD3471" s="28">
        <v>1553519000</v>
      </c>
      <c r="AE3471" s="28">
        <v>4237341000</v>
      </c>
      <c r="AF3471" s="28">
        <v>809641000</v>
      </c>
      <c r="AG3471" s="11"/>
    </row>
    <row r="3472">
      <c r="A3472" s="7" t="s">
        <v>5145</v>
      </c>
      <c r="B3472" s="5" t="s">
        <v>13106</v>
      </c>
      <c r="C3472" s="5" t="s">
        <v>19360</v>
      </c>
      <c r="D3472" s="5"/>
      <c r="E3472" s="0" t="e">
        <f>+7 (921) 1745134
+7 (815) 2480253
+7 (815) 2480263
+7 (815) 2480522</f>
        <v>#NAME?</v>
      </c>
      <c r="F3472" s="5" t="s">
        <v>35793</v>
      </c>
      <c r="G3472" s="5"/>
      <c r="H3472" s="26">
        <v>23</v>
      </c>
      <c r="I3472" s="5" t="s">
        <v>35794</v>
      </c>
      <c r="J3472" s="5" t="s">
        <v>26905</v>
      </c>
      <c r="K3472" s="5" t="s">
        <v>355</v>
      </c>
      <c r="L3472" s="5" t="s">
        <v>35795</v>
      </c>
      <c r="M3472" s="27">
        <v>715945</v>
      </c>
      <c r="N3472" s="5"/>
      <c r="O3472" s="5" t="str">
        <v>5190170818</v>
      </c>
      <c r="P3472" s="27">
        <v>206500000</v>
      </c>
      <c r="Q3472" s="5" t="s">
        <v>54696</v>
      </c>
      <c r="R3472" s="5" t="s">
        <v>54697</v>
      </c>
      <c r="S3472" s="5" t="s">
        <v>50404</v>
      </c>
      <c r="T3472" s="28">
        <v>2489310000</v>
      </c>
      <c r="U3472" s="28"/>
      <c r="V3472" s="28">
        <v>338118000</v>
      </c>
      <c r="W3472" s="28">
        <v>3303393000</v>
      </c>
      <c r="X3472" s="28">
        <v>726000</v>
      </c>
      <c r="Y3472" s="28">
        <v>6214303000</v>
      </c>
      <c r="Z3472" s="28">
        <v>1908744000</v>
      </c>
      <c r="AA3472" s="28"/>
      <c r="AB3472" s="28"/>
      <c r="AC3472" s="28">
        <v>3240300000</v>
      </c>
      <c r="AD3472" s="28">
        <v>2115244000</v>
      </c>
      <c r="AE3472" s="28">
        <v>3037219000</v>
      </c>
      <c r="AF3472" s="28">
        <v>1880709000</v>
      </c>
      <c r="AG3472" s="11"/>
    </row>
    <row r="3473">
      <c r="A3473" s="7" t="s">
        <v>5146</v>
      </c>
      <c r="B3473" s="5" t="s">
        <v>13107</v>
      </c>
      <c r="C3473" s="5" t="s">
        <v>20907</v>
      </c>
      <c r="D3473" s="5" t="str">
        <v>060501084803</v>
      </c>
      <c r="E3473" s="0" t="e">
        <f>+7 (495) 6442849
+7 (800) 2502525
+7 (960) 8905959
+7 (977) 2657050
+7 (982) 1768139
+7 (985) 7500727
+7 (495) 7777775
+7 (800) 2007775
+7 (861) 2101230</f>
        <v>#NAME?</v>
      </c>
      <c r="F3473" s="5" t="s">
        <v>35796</v>
      </c>
      <c r="G3473" s="5" t="s">
        <v>35797</v>
      </c>
      <c r="H3473" s="26">
        <v>18</v>
      </c>
      <c r="I3473" s="5" t="s">
        <v>35798</v>
      </c>
      <c r="J3473" s="5" t="s">
        <v>29977</v>
      </c>
      <c r="K3473" s="5" t="s">
        <v>355</v>
      </c>
      <c r="L3473" s="5"/>
      <c r="M3473" s="27">
        <v>110110174</v>
      </c>
      <c r="N3473" s="5" t="s">
        <v>54698</v>
      </c>
      <c r="O3473" s="5" t="str">
        <v>7707548740</v>
      </c>
      <c r="P3473" s="27">
        <v>3607200000</v>
      </c>
      <c r="Q3473" s="5" t="s">
        <v>54699</v>
      </c>
      <c r="R3473" s="5"/>
      <c r="S3473" s="5" t="s">
        <v>54700</v>
      </c>
      <c r="T3473" s="28">
        <v>76671740000</v>
      </c>
      <c r="U3473" s="28">
        <v>75164919000</v>
      </c>
      <c r="V3473" s="28">
        <v>26705301000</v>
      </c>
      <c r="W3473" s="28"/>
      <c r="X3473" s="28">
        <v>29927682000</v>
      </c>
      <c r="Y3473" s="28">
        <v>361105477000</v>
      </c>
      <c r="Z3473" s="28">
        <v>11261098000</v>
      </c>
      <c r="AA3473" s="28">
        <v>18947723000</v>
      </c>
      <c r="AB3473" s="28">
        <v>83067932000</v>
      </c>
      <c r="AC3473" s="28">
        <v>267228237000</v>
      </c>
      <c r="AD3473" s="28">
        <v>17888035000</v>
      </c>
      <c r="AE3473" s="28">
        <v>401961692000</v>
      </c>
      <c r="AF3473" s="28">
        <v>-7199429000</v>
      </c>
      <c r="AG3473" s="11"/>
    </row>
    <row r="3474">
      <c r="A3474" s="7" t="s">
        <v>5147</v>
      </c>
      <c r="B3474" s="5" t="s">
        <v>13108</v>
      </c>
      <c r="C3474" s="5" t="s">
        <v>20908</v>
      </c>
      <c r="D3474" s="5" t="str">
        <v>132811082708</v>
      </c>
      <c r="E3474" s="0" t="e">
        <f>+7 (495) 9933534
+7 (985) 1605607</f>
        <v>#NAME?</v>
      </c>
      <c r="F3474" s="5"/>
      <c r="G3474" s="5"/>
      <c r="H3474" s="26">
        <v>12.5</v>
      </c>
      <c r="I3474" s="5" t="s">
        <v>35799</v>
      </c>
      <c r="J3474" s="5" t="s">
        <v>678</v>
      </c>
      <c r="K3474" s="5" t="s">
        <v>344</v>
      </c>
      <c r="L3474" s="5" t="s">
        <v>35800</v>
      </c>
      <c r="M3474" s="27"/>
      <c r="N3474" s="5"/>
      <c r="O3474" s="5" t="str">
        <v>5032228825</v>
      </c>
      <c r="P3474" s="27">
        <v>10000</v>
      </c>
      <c r="Q3474" s="5"/>
      <c r="R3474" s="5"/>
      <c r="S3474" s="5" t="s">
        <v>49110</v>
      </c>
      <c r="T3474" s="28">
        <v>45790000</v>
      </c>
      <c r="U3474" s="28"/>
      <c r="V3474" s="28">
        <v>110885000</v>
      </c>
      <c r="W3474" s="28"/>
      <c r="X3474" s="28">
        <v>12362000</v>
      </c>
      <c r="Y3474" s="28">
        <v>394885000</v>
      </c>
      <c r="Z3474" s="28">
        <v>240767000</v>
      </c>
      <c r="AA3474" s="28"/>
      <c r="AB3474" s="28"/>
      <c r="AC3474" s="28">
        <v>148880000</v>
      </c>
      <c r="AD3474" s="28">
        <v>240777000</v>
      </c>
      <c r="AE3474" s="28">
        <v>3500159000</v>
      </c>
      <c r="AF3474" s="28">
        <v>40567000</v>
      </c>
      <c r="AG3474" s="11"/>
    </row>
    <row r="3475">
      <c r="A3475" s="7" t="s">
        <v>5148</v>
      </c>
      <c r="B3475" s="5" t="s">
        <v>13109</v>
      </c>
      <c r="C3475" s="5" t="s">
        <v>20909</v>
      </c>
      <c r="D3475" s="5" t="str">
        <v>771876503866</v>
      </c>
      <c r="E3475" s="0" t="e">
        <f>+7 (495) 2294188
+7 (926) 851305</f>
        <v>#NAME?</v>
      </c>
      <c r="F3475" s="5" t="s">
        <v>35801</v>
      </c>
      <c r="G3475" s="5"/>
      <c r="H3475" s="26">
        <v>8</v>
      </c>
      <c r="I3475" s="5" t="s">
        <v>35802</v>
      </c>
      <c r="J3475" s="5" t="s">
        <v>29860</v>
      </c>
      <c r="K3475" s="5" t="s">
        <v>344</v>
      </c>
      <c r="L3475" s="5" t="s">
        <v>35803</v>
      </c>
      <c r="M3475" s="27"/>
      <c r="N3475" s="5"/>
      <c r="O3475" s="5" t="str">
        <v>7714324317</v>
      </c>
      <c r="P3475" s="27">
        <v>538406982</v>
      </c>
      <c r="Q3475" s="5" t="s">
        <v>54701</v>
      </c>
      <c r="R3475" s="5"/>
      <c r="S3475" s="5" t="s">
        <v>54702</v>
      </c>
      <c r="T3475" s="28">
        <v>309214000</v>
      </c>
      <c r="U3475" s="28">
        <v>1910220000</v>
      </c>
      <c r="V3475" s="28">
        <v>689994000</v>
      </c>
      <c r="W3475" s="28">
        <v>800000000</v>
      </c>
      <c r="X3475" s="28">
        <v>462447000</v>
      </c>
      <c r="Y3475" s="28">
        <v>7247794000</v>
      </c>
      <c r="Z3475" s="28">
        <v>2735299000</v>
      </c>
      <c r="AA3475" s="28">
        <v>1880000000</v>
      </c>
      <c r="AB3475" s="28">
        <v>85623000</v>
      </c>
      <c r="AC3475" s="28">
        <v>1265964000</v>
      </c>
      <c r="AD3475" s="28">
        <v>3608789000</v>
      </c>
      <c r="AE3475" s="28">
        <v>7662391000</v>
      </c>
      <c r="AF3475" s="28">
        <v>2877026000</v>
      </c>
      <c r="AG3475" s="11"/>
    </row>
    <row r="3476">
      <c r="A3476" s="7" t="s">
        <v>5149</v>
      </c>
      <c r="B3476" s="5" t="s">
        <v>13110</v>
      </c>
      <c r="C3476" s="5" t="s">
        <v>20910</v>
      </c>
      <c r="D3476" s="5" t="str">
        <v>301804826566</v>
      </c>
      <c r="E3476" s="0" t="e">
        <f>+7 (851) 2585709
+7 (927) 2805595</f>
        <v>#NAME?</v>
      </c>
      <c r="F3476" s="5" t="s">
        <v>35804</v>
      </c>
      <c r="G3476" s="5"/>
      <c r="H3476" s="26">
        <v>18</v>
      </c>
      <c r="I3476" s="5"/>
      <c r="J3476" s="5" t="s">
        <v>28577</v>
      </c>
      <c r="K3476" s="5" t="s">
        <v>380</v>
      </c>
      <c r="L3476" s="5" t="s">
        <v>35805</v>
      </c>
      <c r="M3476" s="27">
        <v>49111215</v>
      </c>
      <c r="N3476" s="5" t="s">
        <v>54703</v>
      </c>
      <c r="O3476" s="5" t="str">
        <v>3017041900</v>
      </c>
      <c r="P3476" s="27">
        <v>43020000</v>
      </c>
      <c r="Q3476" s="5" t="s">
        <v>49009</v>
      </c>
      <c r="R3476" s="5"/>
      <c r="S3476" s="5" t="s">
        <v>49045</v>
      </c>
      <c r="T3476" s="28">
        <v>4773664000</v>
      </c>
      <c r="U3476" s="28"/>
      <c r="V3476" s="28">
        <v>5180718000</v>
      </c>
      <c r="W3476" s="28">
        <v>1252972000</v>
      </c>
      <c r="X3476" s="28">
        <v>10522000</v>
      </c>
      <c r="Y3476" s="28">
        <v>15127143000</v>
      </c>
      <c r="Z3476" s="28">
        <v>2407096000</v>
      </c>
      <c r="AA3476" s="28">
        <v>1272727000</v>
      </c>
      <c r="AB3476" s="28">
        <v>507248000</v>
      </c>
      <c r="AC3476" s="28">
        <v>11404300000</v>
      </c>
      <c r="AD3476" s="28">
        <v>2450116000</v>
      </c>
      <c r="AE3476" s="28">
        <v>3756812000</v>
      </c>
      <c r="AF3476" s="28">
        <v>202164000</v>
      </c>
      <c r="AG3476" s="11"/>
    </row>
    <row r="3477">
      <c r="A3477" s="7" t="s">
        <v>5150</v>
      </c>
      <c r="B3477" s="5" t="s">
        <v>13111</v>
      </c>
      <c r="C3477" s="5" t="s">
        <v>20911</v>
      </c>
      <c r="D3477" s="5" t="str">
        <v>771600034624</v>
      </c>
      <c r="E3477" s="0" t="e">
        <f>+7 (495) 4119948
+7 (343) 3116502
+7 (383) 3635848
+7 (391) 2573025
+7 (4912) 460012
+7 (495) 9955559
+7 (495) 9955595
+7 (495) 9955596
+7 (800) 3332377
+7 (812) 4933810
+7 (84627) 63023
+7 (861) 2126588
+7 (863) 3101483
+7 (930) 4002567</f>
        <v>#NAME?</v>
      </c>
      <c r="F3477" s="5" t="s">
        <v>35806</v>
      </c>
      <c r="G3477" s="5" t="s">
        <v>35807</v>
      </c>
      <c r="H3477" s="26">
        <v>14.5</v>
      </c>
      <c r="I3477" s="5" t="s">
        <v>35808</v>
      </c>
      <c r="J3477" s="5" t="s">
        <v>34946</v>
      </c>
      <c r="K3477" s="5" t="s">
        <v>344</v>
      </c>
      <c r="L3477" s="5" t="s">
        <v>35809</v>
      </c>
      <c r="M3477" s="27"/>
      <c r="N3477" s="5"/>
      <c r="O3477" s="5" t="str">
        <v>7715723321</v>
      </c>
      <c r="P3477" s="27">
        <v>300000000</v>
      </c>
      <c r="Q3477" s="5" t="s">
        <v>49021</v>
      </c>
      <c r="R3477" s="5"/>
      <c r="S3477" s="5" t="s">
        <v>54704</v>
      </c>
      <c r="T3477" s="28">
        <v>1214143000</v>
      </c>
      <c r="U3477" s="28">
        <v>882274000</v>
      </c>
      <c r="V3477" s="28">
        <v>1921226000</v>
      </c>
      <c r="W3477" s="28"/>
      <c r="X3477" s="28">
        <v>287624000</v>
      </c>
      <c r="Y3477" s="28">
        <v>6423551000</v>
      </c>
      <c r="Z3477" s="28">
        <v>2786314000</v>
      </c>
      <c r="AA3477" s="28">
        <v>723148000</v>
      </c>
      <c r="AB3477" s="28">
        <v>653298000</v>
      </c>
      <c r="AC3477" s="28">
        <v>2491062000</v>
      </c>
      <c r="AD3477" s="28">
        <v>3086314000</v>
      </c>
      <c r="AE3477" s="28">
        <v>7003807000</v>
      </c>
      <c r="AF3477" s="28">
        <v>502315000</v>
      </c>
      <c r="AG3477" s="11"/>
    </row>
    <row r="3478">
      <c r="A3478" s="7" t="s">
        <v>5151</v>
      </c>
      <c r="B3478" s="5" t="s">
        <v>13112</v>
      </c>
      <c r="C3478" s="5" t="s">
        <v>20912</v>
      </c>
      <c r="D3478" s="5"/>
      <c r="E3478" s="0" t="e">
        <f>+7 (495) 5021512
+7 (495) 5021000
+7 (495) 6211293
+7 (495) 6602625
+7 (495) 6637508</f>
        <v>#NAME?</v>
      </c>
      <c r="F3478" s="5"/>
      <c r="G3478" s="5"/>
      <c r="H3478" s="26">
        <v>18.5</v>
      </c>
      <c r="I3478" s="5" t="s">
        <v>35810</v>
      </c>
      <c r="J3478" s="5" t="s">
        <v>599</v>
      </c>
      <c r="K3478" s="5" t="s">
        <v>344</v>
      </c>
      <c r="L3478" s="5"/>
      <c r="M3478" s="27">
        <v>5976192</v>
      </c>
      <c r="N3478" s="5"/>
      <c r="O3478" s="5" t="str">
        <v>7743534848</v>
      </c>
      <c r="P3478" s="27">
        <v>145485740</v>
      </c>
      <c r="Q3478" s="5" t="s">
        <v>49009</v>
      </c>
      <c r="R3478" s="5"/>
      <c r="S3478" s="5" t="s">
        <v>49066</v>
      </c>
      <c r="T3478" s="28">
        <v>3555261000</v>
      </c>
      <c r="U3478" s="28"/>
      <c r="V3478" s="28">
        <v>1701093000</v>
      </c>
      <c r="W3478" s="28"/>
      <c r="X3478" s="28">
        <v>3295000</v>
      </c>
      <c r="Y3478" s="28">
        <v>6040710000</v>
      </c>
      <c r="Z3478" s="28">
        <v>388139000</v>
      </c>
      <c r="AA3478" s="28"/>
      <c r="AB3478" s="28"/>
      <c r="AC3478" s="28">
        <v>1515312000</v>
      </c>
      <c r="AD3478" s="28">
        <v>533625000</v>
      </c>
      <c r="AE3478" s="28">
        <v>7468660000</v>
      </c>
      <c r="AF3478" s="28">
        <v>-103877000</v>
      </c>
      <c r="AG3478" s="11"/>
    </row>
    <row r="3479">
      <c r="A3479" s="7" t="s">
        <v>5152</v>
      </c>
      <c r="B3479" s="5" t="s">
        <v>13113</v>
      </c>
      <c r="C3479" s="5" t="s">
        <v>20913</v>
      </c>
      <c r="D3479" s="5" t="str">
        <v>772502358453</v>
      </c>
      <c r="E3479" s="0" t="e">
        <f>+7 (495) 3311601
+7 (495) 3311616
+7 (495) 3314527
+7 (495) 3315277
+7 (495) 3316001
+7 (495) 3317332
+7 (495) 3318510
+7 (499) 7446809</f>
        <v>#NAME?</v>
      </c>
      <c r="F3479" s="5"/>
      <c r="G3479" s="5"/>
      <c r="H3479" s="26">
        <v>23</v>
      </c>
      <c r="I3479" s="5"/>
      <c r="J3479" s="5" t="s">
        <v>25349</v>
      </c>
      <c r="K3479" s="5" t="s">
        <v>344</v>
      </c>
      <c r="L3479" s="5" t="s">
        <v>35811</v>
      </c>
      <c r="M3479" s="27"/>
      <c r="N3479" s="5"/>
      <c r="O3479" s="5" t="str">
        <v>7713244771</v>
      </c>
      <c r="P3479" s="27">
        <v>3007200</v>
      </c>
      <c r="Q3479" s="5"/>
      <c r="R3479" s="5"/>
      <c r="S3479" s="5" t="s">
        <v>49121</v>
      </c>
      <c r="T3479" s="28">
        <v>1658724000</v>
      </c>
      <c r="U3479" s="28">
        <v>233534000</v>
      </c>
      <c r="V3479" s="28">
        <v>51218000</v>
      </c>
      <c r="W3479" s="28"/>
      <c r="X3479" s="28">
        <v>471023000</v>
      </c>
      <c r="Y3479" s="28">
        <v>3464401000</v>
      </c>
      <c r="Z3479" s="28">
        <v>2469024000</v>
      </c>
      <c r="AA3479" s="28"/>
      <c r="AB3479" s="28"/>
      <c r="AC3479" s="28">
        <v>732473000</v>
      </c>
      <c r="AD3479" s="28">
        <v>2472482000</v>
      </c>
      <c r="AE3479" s="28">
        <v>3725958000</v>
      </c>
      <c r="AF3479" s="28">
        <v>1414297000</v>
      </c>
      <c r="AG3479" s="11"/>
    </row>
    <row r="3480">
      <c r="A3480" s="7" t="s">
        <v>5153</v>
      </c>
      <c r="B3480" s="5" t="s">
        <v>13114</v>
      </c>
      <c r="C3480" s="5" t="s">
        <v>20914</v>
      </c>
      <c r="D3480" s="5" t="str">
        <v>024506418723</v>
      </c>
      <c r="E3480" s="0" t="e">
        <f>+7 (917) 4423239</f>
        <v>#NAME?</v>
      </c>
      <c r="F3480" s="5" t="s">
        <v>35812</v>
      </c>
      <c r="G3480" s="5"/>
      <c r="H3480" s="26">
        <v>13.5</v>
      </c>
      <c r="I3480" s="5" t="s">
        <v>35813</v>
      </c>
      <c r="J3480" s="5" t="s">
        <v>373</v>
      </c>
      <c r="K3480" s="5" t="s">
        <v>355</v>
      </c>
      <c r="L3480" s="5" t="s">
        <v>35814</v>
      </c>
      <c r="M3480" s="27"/>
      <c r="N3480" s="5" t="s">
        <v>52188</v>
      </c>
      <c r="O3480" s="5" t="str">
        <v>0245020981</v>
      </c>
      <c r="P3480" s="27">
        <v>100000</v>
      </c>
      <c r="Q3480" s="5" t="s">
        <v>54705</v>
      </c>
      <c r="R3480" s="5"/>
      <c r="S3480" s="5" t="s">
        <v>54706</v>
      </c>
      <c r="T3480" s="28">
        <v>197000</v>
      </c>
      <c r="U3480" s="28"/>
      <c r="V3480" s="28">
        <v>303464000</v>
      </c>
      <c r="W3480" s="28"/>
      <c r="X3480" s="28">
        <v>235000</v>
      </c>
      <c r="Y3480" s="28">
        <v>304047000</v>
      </c>
      <c r="Z3480" s="28">
        <v>108571000</v>
      </c>
      <c r="AA3480" s="28"/>
      <c r="AB3480" s="28">
        <v>36000000</v>
      </c>
      <c r="AC3480" s="28">
        <v>195376000</v>
      </c>
      <c r="AD3480" s="28">
        <v>108671000</v>
      </c>
      <c r="AE3480" s="28">
        <v>4106057000</v>
      </c>
      <c r="AF3480" s="28">
        <v>55410000</v>
      </c>
      <c r="AG3480" s="11"/>
    </row>
    <row r="3481">
      <c r="A3481" s="7" t="s">
        <v>5154</v>
      </c>
      <c r="B3481" s="5" t="s">
        <v>13115</v>
      </c>
      <c r="C3481" s="5" t="s">
        <v>20915</v>
      </c>
      <c r="D3481" s="5" t="str">
        <v>151004863011</v>
      </c>
      <c r="E3481" s="0" t="e">
        <f>+7 (911) 8190231</f>
        <v>#NAME?</v>
      </c>
      <c r="F3481" s="5" t="s">
        <v>35815</v>
      </c>
      <c r="G3481" s="5"/>
      <c r="H3481" s="26">
        <v>3.5</v>
      </c>
      <c r="I3481" s="5" t="s">
        <v>35816</v>
      </c>
      <c r="J3481" s="5" t="s">
        <v>710</v>
      </c>
      <c r="K3481" s="5" t="s">
        <v>355</v>
      </c>
      <c r="L3481" s="5"/>
      <c r="M3481" s="27"/>
      <c r="N3481" s="5" t="s">
        <v>54707</v>
      </c>
      <c r="O3481" s="5" t="str">
        <v>4703166504</v>
      </c>
      <c r="P3481" s="27">
        <v>10000</v>
      </c>
      <c r="Q3481" s="5"/>
      <c r="R3481" s="5"/>
      <c r="S3481" s="5" t="s">
        <v>49110</v>
      </c>
      <c r="T3481" s="28">
        <v>1726308000</v>
      </c>
      <c r="U3481" s="28">
        <v>3040265000</v>
      </c>
      <c r="V3481" s="28">
        <v>3892422000</v>
      </c>
      <c r="W3481" s="28"/>
      <c r="X3481" s="28">
        <v>1296893000</v>
      </c>
      <c r="Y3481" s="28">
        <v>12361947000</v>
      </c>
      <c r="Z3481" s="28">
        <v>4120649000</v>
      </c>
      <c r="AA3481" s="28">
        <v>2824633000</v>
      </c>
      <c r="AB3481" s="28">
        <v>1827655000</v>
      </c>
      <c r="AC3481" s="28">
        <v>4321778000</v>
      </c>
      <c r="AD3481" s="28">
        <v>4120659000</v>
      </c>
      <c r="AE3481" s="28">
        <v>11270736000</v>
      </c>
      <c r="AF3481" s="28">
        <v>4120387000</v>
      </c>
      <c r="AG3481" s="11"/>
    </row>
    <row r="3482">
      <c r="A3482" s="7" t="s">
        <v>5155</v>
      </c>
      <c r="B3482" s="5" t="s">
        <v>13116</v>
      </c>
      <c r="C3482" s="5" t="s">
        <v>20916</v>
      </c>
      <c r="D3482" s="5" t="str">
        <v>390600398195</v>
      </c>
      <c r="E3482" s="0" t="e">
        <f>+7 (401) 2706752</f>
        <v>#NAME?</v>
      </c>
      <c r="F3482" s="5" t="s">
        <v>35817</v>
      </c>
      <c r="G3482" s="5"/>
      <c r="H3482" s="26">
        <v>17.5</v>
      </c>
      <c r="I3482" s="5" t="s">
        <v>35818</v>
      </c>
      <c r="J3482" s="5" t="s">
        <v>33208</v>
      </c>
      <c r="K3482" s="5" t="s">
        <v>344</v>
      </c>
      <c r="L3482" s="5"/>
      <c r="M3482" s="27"/>
      <c r="N3482" s="5"/>
      <c r="O3482" s="5" t="str">
        <v>3907046732</v>
      </c>
      <c r="P3482" s="27">
        <v>20000</v>
      </c>
      <c r="Q3482" s="5" t="s">
        <v>49009</v>
      </c>
      <c r="R3482" s="5" t="s">
        <v>49899</v>
      </c>
      <c r="S3482" s="5" t="s">
        <v>49066</v>
      </c>
      <c r="T3482" s="28">
        <v>5961000</v>
      </c>
      <c r="U3482" s="28"/>
      <c r="V3482" s="28">
        <v>244940000</v>
      </c>
      <c r="W3482" s="28"/>
      <c r="X3482" s="28">
        <v>34854000</v>
      </c>
      <c r="Y3482" s="28">
        <v>1961001000</v>
      </c>
      <c r="Z3482" s="28">
        <v>112111000</v>
      </c>
      <c r="AA3482" s="28"/>
      <c r="AB3482" s="28"/>
      <c r="AC3482" s="28">
        <v>1832661000</v>
      </c>
      <c r="AD3482" s="28">
        <v>116044000</v>
      </c>
      <c r="AE3482" s="28">
        <v>6095155000</v>
      </c>
      <c r="AF3482" s="28">
        <v>2541000</v>
      </c>
      <c r="AG3482" s="11"/>
    </row>
    <row r="3483">
      <c r="A3483" s="7" t="s">
        <v>5156</v>
      </c>
      <c r="B3483" s="5" t="s">
        <v>13117</v>
      </c>
      <c r="C3483" s="5" t="s">
        <v>20917</v>
      </c>
      <c r="D3483" s="5" t="str">
        <v>720301930442</v>
      </c>
      <c r="E3483" s="0" t="e">
        <f>+7 (912) 9932923
+7 (345) 2215214
+7 (345) 2602225
+7 (345) 2681135</f>
        <v>#NAME?</v>
      </c>
      <c r="F3483" s="5" t="s">
        <v>35819</v>
      </c>
      <c r="G3483" s="5"/>
      <c r="H3483" s="26">
        <v>11.5</v>
      </c>
      <c r="I3483" s="5" t="s">
        <v>35820</v>
      </c>
      <c r="J3483" s="5" t="s">
        <v>35821</v>
      </c>
      <c r="K3483" s="5" t="s">
        <v>355</v>
      </c>
      <c r="L3483" s="5" t="s">
        <v>381</v>
      </c>
      <c r="M3483" s="27"/>
      <c r="N3483" s="5"/>
      <c r="O3483" s="5" t="str">
        <v>7203270005</v>
      </c>
      <c r="P3483" s="27">
        <v>10000</v>
      </c>
      <c r="Q3483" s="5"/>
      <c r="R3483" s="5"/>
      <c r="S3483" s="5" t="s">
        <v>49110</v>
      </c>
      <c r="T3483" s="28"/>
      <c r="U3483" s="28"/>
      <c r="V3483" s="28"/>
      <c r="W3483" s="28"/>
      <c r="X3483" s="28"/>
      <c r="Y3483" s="28">
        <v>191000</v>
      </c>
      <c r="Z3483" s="28"/>
      <c r="AA3483" s="28"/>
      <c r="AB3483" s="28"/>
      <c r="AC3483" s="28"/>
      <c r="AD3483" s="28">
        <v>191000</v>
      </c>
      <c r="AE3483" s="28">
        <v>5269765000</v>
      </c>
      <c r="AF3483" s="28">
        <v>24486000</v>
      </c>
      <c r="AG3483" s="11"/>
    </row>
    <row r="3484">
      <c r="A3484" s="7" t="s">
        <v>5157</v>
      </c>
      <c r="B3484" s="5" t="s">
        <v>13118</v>
      </c>
      <c r="C3484" s="5" t="s">
        <v>20918</v>
      </c>
      <c r="D3484" s="5" t="str">
        <v>583600269959</v>
      </c>
      <c r="E3484" s="0" t="e">
        <f>+7 (8412) 653301
+7 (8412) 653303
+7 (841) 2653300
+7 (8412) 653302
+7 (8412) 653306
+7 (8412) 653322
+7 (8412) 653325</f>
        <v>#NAME?</v>
      </c>
      <c r="F3484" s="5" t="s">
        <v>35822</v>
      </c>
      <c r="G3484" s="5" t="s">
        <v>35823</v>
      </c>
      <c r="H3484" s="26">
        <v>21.5</v>
      </c>
      <c r="I3484" s="5" t="s">
        <v>35824</v>
      </c>
      <c r="J3484" s="5" t="s">
        <v>31765</v>
      </c>
      <c r="K3484" s="5" t="s">
        <v>344</v>
      </c>
      <c r="L3484" s="5" t="s">
        <v>35825</v>
      </c>
      <c r="M3484" s="27"/>
      <c r="N3484" s="5"/>
      <c r="O3484" s="5" t="str">
        <v>5834023068</v>
      </c>
      <c r="P3484" s="27">
        <v>1200000</v>
      </c>
      <c r="Q3484" s="5"/>
      <c r="R3484" s="5"/>
      <c r="S3484" s="5" t="s">
        <v>49123</v>
      </c>
      <c r="T3484" s="28">
        <v>2700041000</v>
      </c>
      <c r="U3484" s="28"/>
      <c r="V3484" s="28">
        <v>227928000</v>
      </c>
      <c r="W3484" s="28">
        <v>410000000</v>
      </c>
      <c r="X3484" s="28">
        <v>62280000</v>
      </c>
      <c r="Y3484" s="28">
        <v>4954890000</v>
      </c>
      <c r="Z3484" s="28">
        <v>4294381000</v>
      </c>
      <c r="AA3484" s="28"/>
      <c r="AB3484" s="28"/>
      <c r="AC3484" s="28">
        <v>482314000</v>
      </c>
      <c r="AD3484" s="28">
        <v>4295581000</v>
      </c>
      <c r="AE3484" s="28">
        <v>4159260000</v>
      </c>
      <c r="AF3484" s="28">
        <v>433736000</v>
      </c>
      <c r="AG3484" s="11"/>
    </row>
    <row r="3485">
      <c r="A3485" s="7" t="s">
        <v>5158</v>
      </c>
      <c r="B3485" s="5" t="s">
        <v>13119</v>
      </c>
      <c r="C3485" s="5" t="s">
        <v>20919</v>
      </c>
      <c r="D3485" s="5" t="str">
        <v>645406355862</v>
      </c>
      <c r="E3485" s="0" t="e">
        <f>+7 (495) 1149023
+7 (495) 1149025
+7 (495) 1377696
+7 (495) 1390272
+7 (495) 2361305
+7 (495) 2361327
+7 (495) 6401293
+7 (495) 6456870
+7 (495) 6456871
+7 (495) 6472066
+7 (495) 6621277
+7 (495) 6621689
+7 (495) 6623012
+7 (495) 6623013
+7 (495) 6623217</f>
        <v>#NAME?</v>
      </c>
      <c r="F3485" s="5" t="s">
        <v>35826</v>
      </c>
      <c r="G3485" s="5" t="s">
        <v>35827</v>
      </c>
      <c r="H3485" s="26">
        <v>21</v>
      </c>
      <c r="I3485" s="5" t="s">
        <v>35828</v>
      </c>
      <c r="J3485" s="5" t="s">
        <v>35829</v>
      </c>
      <c r="K3485" s="5" t="s">
        <v>344</v>
      </c>
      <c r="L3485" s="5" t="s">
        <v>35830</v>
      </c>
      <c r="M3485" s="27"/>
      <c r="N3485" s="5"/>
      <c r="O3485" s="5" t="str">
        <v>6455026772</v>
      </c>
      <c r="P3485" s="27">
        <v>107096200</v>
      </c>
      <c r="Q3485" s="5" t="s">
        <v>49009</v>
      </c>
      <c r="R3485" s="5" t="s">
        <v>54708</v>
      </c>
      <c r="S3485" s="5" t="s">
        <v>49408</v>
      </c>
      <c r="T3485" s="28">
        <v>1295957000</v>
      </c>
      <c r="U3485" s="28">
        <v>1441168000</v>
      </c>
      <c r="V3485" s="28">
        <v>1171199000</v>
      </c>
      <c r="W3485" s="28"/>
      <c r="X3485" s="28">
        <v>92689000</v>
      </c>
      <c r="Y3485" s="28">
        <v>6132174000</v>
      </c>
      <c r="Z3485" s="28">
        <v>786685000</v>
      </c>
      <c r="AA3485" s="28">
        <v>2910286000</v>
      </c>
      <c r="AB3485" s="28"/>
      <c r="AC3485" s="28">
        <v>1882616000</v>
      </c>
      <c r="AD3485" s="28">
        <v>893781000</v>
      </c>
      <c r="AE3485" s="28">
        <v>8044205000</v>
      </c>
      <c r="AF3485" s="28">
        <v>37323000</v>
      </c>
      <c r="AG3485" s="11"/>
    </row>
    <row r="3486">
      <c r="A3486" s="7" t="s">
        <v>5159</v>
      </c>
      <c r="B3486" s="5" t="s">
        <v>13120</v>
      </c>
      <c r="C3486" s="5" t="s">
        <v>20920</v>
      </c>
      <c r="D3486" s="5" t="str">
        <v>010707098043</v>
      </c>
      <c r="E3486" s="0" t="e">
        <f>+7 (495) 4284036
+7 (495) 7393370</f>
        <v>#NAME?</v>
      </c>
      <c r="F3486" s="5"/>
      <c r="G3486" s="5"/>
      <c r="H3486" s="26">
        <v>18</v>
      </c>
      <c r="I3486" s="5" t="s">
        <v>35831</v>
      </c>
      <c r="J3486" s="5" t="s">
        <v>26148</v>
      </c>
      <c r="K3486" s="5" t="s">
        <v>355</v>
      </c>
      <c r="L3486" s="5" t="s">
        <v>35832</v>
      </c>
      <c r="M3486" s="27">
        <v>398322930</v>
      </c>
      <c r="N3486" s="5"/>
      <c r="O3486" s="5" t="str">
        <v>5027108265</v>
      </c>
      <c r="P3486" s="27">
        <v>4534145394</v>
      </c>
      <c r="Q3486" s="5" t="s">
        <v>54709</v>
      </c>
      <c r="R3486" s="5"/>
      <c r="S3486" s="5" t="s">
        <v>49371</v>
      </c>
      <c r="T3486" s="28">
        <v>11854572000</v>
      </c>
      <c r="U3486" s="28"/>
      <c r="V3486" s="28">
        <v>571260000</v>
      </c>
      <c r="W3486" s="28"/>
      <c r="X3486" s="28">
        <v>1922374000</v>
      </c>
      <c r="Y3486" s="28">
        <v>14537177000</v>
      </c>
      <c r="Z3486" s="28">
        <v>5342958000</v>
      </c>
      <c r="AA3486" s="28"/>
      <c r="AB3486" s="28">
        <v>2206394000</v>
      </c>
      <c r="AC3486" s="28">
        <v>3515333000</v>
      </c>
      <c r="AD3486" s="28">
        <v>9921683000</v>
      </c>
      <c r="AE3486" s="28">
        <v>5085678000</v>
      </c>
      <c r="AF3486" s="28">
        <v>2058991000</v>
      </c>
      <c r="AG3486" s="11"/>
    </row>
    <row r="3487">
      <c r="A3487" s="7" t="s">
        <v>5160</v>
      </c>
      <c r="B3487" s="5" t="s">
        <v>13121</v>
      </c>
      <c r="C3487" s="5" t="s">
        <v>20921</v>
      </c>
      <c r="D3487" s="5" t="str">
        <v>463227102805</v>
      </c>
      <c r="E3487" s="0" t="e">
        <f>+7 (8352) 709595</f>
        <v>#NAME?</v>
      </c>
      <c r="F3487" s="5"/>
      <c r="G3487" s="5"/>
      <c r="H3487" s="26">
        <v>2</v>
      </c>
      <c r="I3487" s="5" t="s">
        <v>35833</v>
      </c>
      <c r="J3487" s="5" t="s">
        <v>25450</v>
      </c>
      <c r="K3487" s="5" t="s">
        <v>355</v>
      </c>
      <c r="L3487" s="5" t="s">
        <v>35834</v>
      </c>
      <c r="M3487" s="27">
        <v>5150981</v>
      </c>
      <c r="N3487" s="5"/>
      <c r="O3487" s="5" t="str">
        <v>2116004583</v>
      </c>
      <c r="P3487" s="27">
        <v>500000</v>
      </c>
      <c r="Q3487" s="5"/>
      <c r="R3487" s="5"/>
      <c r="S3487" s="5" t="s">
        <v>49029</v>
      </c>
      <c r="T3487" s="28">
        <v>5756449000</v>
      </c>
      <c r="U3487" s="28"/>
      <c r="V3487" s="28">
        <v>255030000</v>
      </c>
      <c r="W3487" s="28">
        <v>3552000</v>
      </c>
      <c r="X3487" s="28">
        <v>3607000</v>
      </c>
      <c r="Y3487" s="28">
        <v>6878097000</v>
      </c>
      <c r="Z3487" s="28">
        <v>-1743184000</v>
      </c>
      <c r="AA3487" s="28"/>
      <c r="AB3487" s="28">
        <v>500685000</v>
      </c>
      <c r="AC3487" s="28">
        <v>2750914000</v>
      </c>
      <c r="AD3487" s="28">
        <v>4125295000</v>
      </c>
      <c r="AE3487" s="28">
        <v>4698906000</v>
      </c>
      <c r="AF3487" s="28">
        <v>-1848994000</v>
      </c>
      <c r="AG3487" s="11"/>
    </row>
    <row r="3488">
      <c r="A3488" s="7" t="s">
        <v>5161</v>
      </c>
      <c r="B3488" s="5" t="s">
        <v>13122</v>
      </c>
      <c r="C3488" s="5" t="s">
        <v>20922</v>
      </c>
      <c r="D3488" s="5" t="str">
        <v>363202011938</v>
      </c>
      <c r="E3488" s="0" t="e">
        <f>+7 (495) 6609191
+7 (903) 1305625
+7 (929) 9654393</f>
        <v>#NAME?</v>
      </c>
      <c r="F3488" s="5"/>
      <c r="G3488" s="5" t="s">
        <v>35835</v>
      </c>
      <c r="H3488" s="26">
        <v>8.5</v>
      </c>
      <c r="I3488" s="5" t="s">
        <v>35836</v>
      </c>
      <c r="J3488" s="5" t="s">
        <v>364</v>
      </c>
      <c r="K3488" s="5" t="s">
        <v>344</v>
      </c>
      <c r="L3488" s="5"/>
      <c r="M3488" s="27"/>
      <c r="N3488" s="5"/>
      <c r="O3488" s="5" t="str">
        <v>5003111156</v>
      </c>
      <c r="P3488" s="27">
        <v>10000</v>
      </c>
      <c r="Q3488" s="5" t="s">
        <v>52380</v>
      </c>
      <c r="R3488" s="5"/>
      <c r="S3488" s="5" t="s">
        <v>54711</v>
      </c>
      <c r="T3488" s="28">
        <v>29587000</v>
      </c>
      <c r="U3488" s="28"/>
      <c r="V3488" s="28">
        <v>33930000</v>
      </c>
      <c r="W3488" s="28">
        <v>486777000</v>
      </c>
      <c r="X3488" s="28">
        <v>388000</v>
      </c>
      <c r="Y3488" s="28">
        <v>552302000</v>
      </c>
      <c r="Z3488" s="28">
        <v>379925000</v>
      </c>
      <c r="AA3488" s="28"/>
      <c r="AB3488" s="28">
        <v>2025000</v>
      </c>
      <c r="AC3488" s="28">
        <v>172366000</v>
      </c>
      <c r="AD3488" s="28">
        <v>379935000</v>
      </c>
      <c r="AE3488" s="28">
        <v>3160063000</v>
      </c>
      <c r="AF3488" s="28">
        <v>73815000</v>
      </c>
      <c r="AG3488" s="11"/>
    </row>
    <row r="3489">
      <c r="A3489" s="7" t="s">
        <v>5162</v>
      </c>
      <c r="B3489" s="5" t="s">
        <v>13123</v>
      </c>
      <c r="C3489" s="5" t="s">
        <v>20923</v>
      </c>
      <c r="D3489" s="5" t="str">
        <v>770602448668</v>
      </c>
      <c r="E3489" s="0" t="e">
        <f>+7 (495) 7455130</f>
        <v>#NAME?</v>
      </c>
      <c r="F3489" s="5" t="s">
        <v>35837</v>
      </c>
      <c r="G3489" s="5"/>
      <c r="H3489" s="26">
        <v>9.5</v>
      </c>
      <c r="I3489" s="5" t="s">
        <v>35838</v>
      </c>
      <c r="J3489" s="5" t="s">
        <v>26367</v>
      </c>
      <c r="K3489" s="5" t="s">
        <v>344</v>
      </c>
      <c r="L3489" s="5" t="s">
        <v>35839</v>
      </c>
      <c r="M3489" s="27"/>
      <c r="N3489" s="5" t="s">
        <v>54712</v>
      </c>
      <c r="O3489" s="5" t="str">
        <v>5003106773</v>
      </c>
      <c r="P3489" s="27">
        <v>301410000</v>
      </c>
      <c r="Q3489" s="5" t="s">
        <v>49009</v>
      </c>
      <c r="R3489" s="5"/>
      <c r="S3489" s="5" t="s">
        <v>49012</v>
      </c>
      <c r="T3489" s="28">
        <v>1272834000</v>
      </c>
      <c r="U3489" s="28">
        <v>29728000</v>
      </c>
      <c r="V3489" s="28">
        <v>928662000</v>
      </c>
      <c r="W3489" s="28">
        <v>3340000</v>
      </c>
      <c r="X3489" s="28">
        <v>13308000</v>
      </c>
      <c r="Y3489" s="28">
        <v>3232769000</v>
      </c>
      <c r="Z3489" s="28">
        <v>968808000</v>
      </c>
      <c r="AA3489" s="28"/>
      <c r="AB3489" s="28">
        <v>128988000</v>
      </c>
      <c r="AC3489" s="28">
        <v>1642352000</v>
      </c>
      <c r="AD3489" s="28">
        <v>1270218000</v>
      </c>
      <c r="AE3489" s="28">
        <v>18837438000</v>
      </c>
      <c r="AF3489" s="28">
        <v>444936000</v>
      </c>
      <c r="AG3489" s="11"/>
    </row>
    <row r="3490">
      <c r="A3490" s="7" t="s">
        <v>5163</v>
      </c>
      <c r="B3490" s="5" t="s">
        <v>13124</v>
      </c>
      <c r="C3490" s="5" t="s">
        <v>20924</v>
      </c>
      <c r="D3490" s="5" t="str">
        <v>780215220609</v>
      </c>
      <c r="E3490" s="0" t="e">
        <f>+7 (812) 6770523
+7 (812) 2446374
+7 (812) 6550113
+7 (812) 6557681
+7 (911) 7003809</f>
        <v>#NAME?</v>
      </c>
      <c r="F3490" s="5" t="s">
        <v>35840</v>
      </c>
      <c r="G3490" s="5" t="s">
        <v>35841</v>
      </c>
      <c r="H3490" s="26">
        <v>12</v>
      </c>
      <c r="I3490" s="5" t="s">
        <v>35842</v>
      </c>
      <c r="J3490" s="5" t="s">
        <v>364</v>
      </c>
      <c r="K3490" s="5" t="s">
        <v>344</v>
      </c>
      <c r="L3490" s="5" t="s">
        <v>35843</v>
      </c>
      <c r="M3490" s="27">
        <v>1135916</v>
      </c>
      <c r="N3490" s="5" t="s">
        <v>54713</v>
      </c>
      <c r="O3490" s="5" t="str">
        <v>7802742962</v>
      </c>
      <c r="P3490" s="27">
        <v>500000</v>
      </c>
      <c r="Q3490" s="5" t="s">
        <v>54714</v>
      </c>
      <c r="R3490" s="5" t="s">
        <v>54715</v>
      </c>
      <c r="S3490" s="5" t="s">
        <v>54716</v>
      </c>
      <c r="T3490" s="28">
        <v>456799000</v>
      </c>
      <c r="U3490" s="28">
        <v>1430321000</v>
      </c>
      <c r="V3490" s="28">
        <v>2617189000</v>
      </c>
      <c r="W3490" s="28">
        <v>3520000</v>
      </c>
      <c r="X3490" s="28">
        <v>12383226000</v>
      </c>
      <c r="Y3490" s="28">
        <v>18082259000</v>
      </c>
      <c r="Z3490" s="28">
        <v>1022383000</v>
      </c>
      <c r="AA3490" s="28">
        <v>10549000</v>
      </c>
      <c r="AB3490" s="28"/>
      <c r="AC3490" s="28">
        <v>16967172000</v>
      </c>
      <c r="AD3490" s="28">
        <v>1022883000</v>
      </c>
      <c r="AE3490" s="28">
        <v>3589876000</v>
      </c>
      <c r="AF3490" s="28">
        <v>411135000</v>
      </c>
      <c r="AG3490" s="11"/>
    </row>
    <row r="3491">
      <c r="A3491" s="7" t="s">
        <v>5164</v>
      </c>
      <c r="B3491" s="5" t="s">
        <v>13125</v>
      </c>
      <c r="C3491" s="5" t="s">
        <v>20925</v>
      </c>
      <c r="D3491" s="5" t="str">
        <v>780612800331</v>
      </c>
      <c r="F3491" s="5" t="s">
        <v>35844</v>
      </c>
      <c r="G3491" s="5" t="s">
        <v>35845</v>
      </c>
      <c r="H3491" s="26">
        <v>21</v>
      </c>
      <c r="I3491" s="5"/>
      <c r="J3491" s="5" t="s">
        <v>364</v>
      </c>
      <c r="K3491" s="5" t="s">
        <v>344</v>
      </c>
      <c r="L3491" s="5"/>
      <c r="M3491" s="27">
        <v>1122772</v>
      </c>
      <c r="N3491" s="5" t="s">
        <v>54717</v>
      </c>
      <c r="O3491" s="5" t="str">
        <v>7806122166</v>
      </c>
      <c r="P3491" s="27">
        <v>50020000</v>
      </c>
      <c r="Q3491" s="5" t="s">
        <v>54718</v>
      </c>
      <c r="R3491" s="5"/>
      <c r="S3491" s="5" t="s">
        <v>54719</v>
      </c>
      <c r="T3491" s="28">
        <v>193231000</v>
      </c>
      <c r="U3491" s="28"/>
      <c r="V3491" s="28">
        <v>384744000</v>
      </c>
      <c r="W3491" s="28">
        <v>300000</v>
      </c>
      <c r="X3491" s="28">
        <v>274869000</v>
      </c>
      <c r="Y3491" s="28">
        <v>1134290000</v>
      </c>
      <c r="Z3491" s="28">
        <v>426292000</v>
      </c>
      <c r="AA3491" s="28"/>
      <c r="AB3491" s="28">
        <v>155000</v>
      </c>
      <c r="AC3491" s="28">
        <v>292874000</v>
      </c>
      <c r="AD3491" s="28">
        <v>749059000</v>
      </c>
      <c r="AE3491" s="28">
        <v>4154520000</v>
      </c>
      <c r="AF3491" s="28">
        <v>312039000</v>
      </c>
      <c r="AG3491" s="11"/>
    </row>
    <row r="3492">
      <c r="A3492" s="7" t="s">
        <v>5165</v>
      </c>
      <c r="B3492" s="5" t="s">
        <v>13126</v>
      </c>
      <c r="C3492" s="5" t="s">
        <v>20926</v>
      </c>
      <c r="D3492" s="5" t="str">
        <v>344201058139</v>
      </c>
      <c r="E3492" s="0" t="e">
        <f>+7 (47245) 52128
+7 (495) 1233445
+7 (927) 2521330</f>
        <v>#NAME?</v>
      </c>
      <c r="F3492" s="5" t="s">
        <v>35846</v>
      </c>
      <c r="G3492" s="5" t="s">
        <v>35847</v>
      </c>
      <c r="H3492" s="26">
        <v>15.5</v>
      </c>
      <c r="I3492" s="5" t="s">
        <v>35848</v>
      </c>
      <c r="J3492" s="5" t="s">
        <v>28927</v>
      </c>
      <c r="K3492" s="5" t="s">
        <v>355</v>
      </c>
      <c r="L3492" s="5"/>
      <c r="M3492" s="27"/>
      <c r="N3492" s="5" t="s">
        <v>54720</v>
      </c>
      <c r="O3492" s="5" t="str">
        <v>3442093695</v>
      </c>
      <c r="P3492" s="27">
        <v>2030000</v>
      </c>
      <c r="Q3492" s="5" t="s">
        <v>49059</v>
      </c>
      <c r="R3492" s="5"/>
      <c r="S3492" s="5" t="s">
        <v>54721</v>
      </c>
      <c r="T3492" s="28">
        <v>794502000</v>
      </c>
      <c r="U3492" s="28">
        <v>361093000</v>
      </c>
      <c r="V3492" s="28">
        <v>4200403000</v>
      </c>
      <c r="W3492" s="28">
        <v>1096741000</v>
      </c>
      <c r="X3492" s="28">
        <v>129076000</v>
      </c>
      <c r="Y3492" s="28">
        <v>8100670000</v>
      </c>
      <c r="Z3492" s="28">
        <v>1830721000</v>
      </c>
      <c r="AA3492" s="28">
        <v>1400000000</v>
      </c>
      <c r="AB3492" s="28">
        <v>3483454000</v>
      </c>
      <c r="AC3492" s="28">
        <v>4790690000</v>
      </c>
      <c r="AD3492" s="28">
        <v>1832751000</v>
      </c>
      <c r="AE3492" s="28">
        <v>10265340000</v>
      </c>
      <c r="AF3492" s="28">
        <v>15106000</v>
      </c>
      <c r="AG3492" s="11"/>
    </row>
    <row r="3493">
      <c r="A3493" s="7" t="s">
        <v>5166</v>
      </c>
      <c r="B3493" s="5" t="s">
        <v>13127</v>
      </c>
      <c r="C3493" s="5" t="s">
        <v>20927</v>
      </c>
      <c r="D3493" s="5" t="str">
        <v>540421843598</v>
      </c>
      <c r="E3493" s="0" t="e">
        <f>+7 (495) 9333262
+7 (495) 5411387
+7 (495) 5411467
+7 (495) 5416222</f>
        <v>#NAME?</v>
      </c>
      <c r="F3493" s="5" t="s">
        <v>35849</v>
      </c>
      <c r="G3493" s="5" t="s">
        <v>35850</v>
      </c>
      <c r="H3493" s="26">
        <v>25</v>
      </c>
      <c r="I3493" s="5" t="s">
        <v>35851</v>
      </c>
      <c r="J3493" s="5" t="s">
        <v>26355</v>
      </c>
      <c r="K3493" s="5" t="s">
        <v>344</v>
      </c>
      <c r="L3493" s="5" t="s">
        <v>35852</v>
      </c>
      <c r="M3493" s="27"/>
      <c r="N3493" s="5"/>
      <c r="O3493" s="5" t="str">
        <v>5003024954</v>
      </c>
      <c r="P3493" s="27">
        <v>250243000</v>
      </c>
      <c r="Q3493" s="5" t="s">
        <v>49324</v>
      </c>
      <c r="R3493" s="5"/>
      <c r="S3493" s="5" t="s">
        <v>54722</v>
      </c>
      <c r="T3493" s="28">
        <v>706414000</v>
      </c>
      <c r="U3493" s="28">
        <v>17000</v>
      </c>
      <c r="V3493" s="28">
        <v>2099571000</v>
      </c>
      <c r="W3493" s="28"/>
      <c r="X3493" s="28">
        <v>19084000</v>
      </c>
      <c r="Y3493" s="28">
        <v>3541069000</v>
      </c>
      <c r="Z3493" s="28">
        <v>604554000</v>
      </c>
      <c r="AA3493" s="28"/>
      <c r="AB3493" s="28"/>
      <c r="AC3493" s="28">
        <v>2098102000</v>
      </c>
      <c r="AD3493" s="28">
        <v>854797000</v>
      </c>
      <c r="AE3493" s="28">
        <v>5320433000</v>
      </c>
      <c r="AF3493" s="28">
        <v>299767000</v>
      </c>
      <c r="AG3493" s="11"/>
    </row>
    <row r="3494">
      <c r="A3494" s="7" t="s">
        <v>933</v>
      </c>
      <c r="B3494" s="5" t="s">
        <v>13128</v>
      </c>
      <c r="C3494" s="5" t="s">
        <v>20928</v>
      </c>
      <c r="D3494" s="5" t="str">
        <v>772322322955</v>
      </c>
      <c r="E3494" s="0" t="e">
        <f>+7 (495) 5059733</f>
        <v>#NAME?</v>
      </c>
      <c r="F3494" s="5"/>
      <c r="G3494" s="5" t="s">
        <v>35853</v>
      </c>
      <c r="H3494" s="26">
        <v>6.5</v>
      </c>
      <c r="I3494" s="5" t="s">
        <v>35854</v>
      </c>
      <c r="J3494" s="5" t="s">
        <v>27182</v>
      </c>
      <c r="K3494" s="5" t="s">
        <v>380</v>
      </c>
      <c r="L3494" s="5" t="s">
        <v>35855</v>
      </c>
      <c r="M3494" s="27"/>
      <c r="N3494" s="5"/>
      <c r="O3494" s="5" t="str">
        <v>9721014302</v>
      </c>
      <c r="P3494" s="27">
        <v>10000</v>
      </c>
      <c r="Q3494" s="5" t="s">
        <v>49021</v>
      </c>
      <c r="R3494" s="5"/>
      <c r="S3494" s="5" t="s">
        <v>52514</v>
      </c>
      <c r="T3494" s="28">
        <v>4305000</v>
      </c>
      <c r="U3494" s="28">
        <v>3108534000</v>
      </c>
      <c r="V3494" s="28">
        <v>414971000</v>
      </c>
      <c r="W3494" s="28"/>
      <c r="X3494" s="28">
        <v>2742728000</v>
      </c>
      <c r="Y3494" s="28">
        <v>20382617000</v>
      </c>
      <c r="Z3494" s="28">
        <v>2322789000</v>
      </c>
      <c r="AA3494" s="28"/>
      <c r="AB3494" s="28"/>
      <c r="AC3494" s="28">
        <v>17388198000</v>
      </c>
      <c r="AD3494" s="28">
        <v>2994419000</v>
      </c>
      <c r="AE3494" s="28">
        <v>9129816000</v>
      </c>
      <c r="AF3494" s="28">
        <v>1174092000</v>
      </c>
      <c r="AG3494" s="11"/>
    </row>
    <row r="3495">
      <c r="A3495" s="7" t="s">
        <v>5167</v>
      </c>
      <c r="B3495" s="5" t="s">
        <v>13129</v>
      </c>
      <c r="C3495" s="5" t="s">
        <v>20929</v>
      </c>
      <c r="D3495" s="5" t="str">
        <v>712301751850</v>
      </c>
      <c r="E3495" s="0" t="e">
        <f>+7 (916) 1968449
+7 (495) 1090077</f>
        <v>#NAME?</v>
      </c>
      <c r="F3495" s="5" t="s">
        <v>35856</v>
      </c>
      <c r="G3495" s="5"/>
      <c r="H3495" s="26">
        <v>11</v>
      </c>
      <c r="I3495" s="5" t="s">
        <v>35857</v>
      </c>
      <c r="J3495" s="5" t="s">
        <v>35858</v>
      </c>
      <c r="K3495" s="5" t="s">
        <v>355</v>
      </c>
      <c r="L3495" s="5" t="s">
        <v>35859</v>
      </c>
      <c r="M3495" s="27">
        <v>8155607</v>
      </c>
      <c r="N3495" s="5"/>
      <c r="O3495" s="5" t="str">
        <v>7733800586</v>
      </c>
      <c r="P3495" s="27">
        <v>70000</v>
      </c>
      <c r="Q3495" s="5"/>
      <c r="R3495" s="5" t="s">
        <v>54723</v>
      </c>
      <c r="S3495" s="5" t="s">
        <v>49121</v>
      </c>
      <c r="T3495" s="28">
        <v>949896000</v>
      </c>
      <c r="U3495" s="28"/>
      <c r="V3495" s="28">
        <v>328264000</v>
      </c>
      <c r="W3495" s="28">
        <v>769542000</v>
      </c>
      <c r="X3495" s="28">
        <v>42803000</v>
      </c>
      <c r="Y3495" s="28">
        <v>2176305000</v>
      </c>
      <c r="Z3495" s="28">
        <v>267146000</v>
      </c>
      <c r="AA3495" s="28">
        <v>367240000</v>
      </c>
      <c r="AB3495" s="28"/>
      <c r="AC3495" s="28">
        <v>1479190000</v>
      </c>
      <c r="AD3495" s="28">
        <v>311795000</v>
      </c>
      <c r="AE3495" s="28">
        <v>3048191000</v>
      </c>
      <c r="AF3495" s="28">
        <v>100044000</v>
      </c>
      <c r="AG3495" s="11"/>
    </row>
    <row r="3496">
      <c r="A3496" s="7" t="s">
        <v>5168</v>
      </c>
      <c r="B3496" s="5" t="s">
        <v>12668</v>
      </c>
      <c r="C3496" s="5" t="s">
        <v>20930</v>
      </c>
      <c r="D3496" s="5" t="str">
        <v>501102219037</v>
      </c>
      <c r="E3496" s="0" t="e">
        <f>+7 (966) 1807703
+7 (968) 4206627</f>
        <v>#NAME?</v>
      </c>
      <c r="F3496" s="5"/>
      <c r="G3496" s="5"/>
      <c r="H3496" s="26">
        <v>9</v>
      </c>
      <c r="I3496" s="5" t="s">
        <v>35860</v>
      </c>
      <c r="J3496" s="5" t="s">
        <v>693</v>
      </c>
      <c r="K3496" s="5" t="s">
        <v>344</v>
      </c>
      <c r="L3496" s="5" t="s">
        <v>35861</v>
      </c>
      <c r="M3496" s="27"/>
      <c r="N3496" s="5"/>
      <c r="O3496" s="5" t="str">
        <v>7326046317</v>
      </c>
      <c r="P3496" s="27">
        <v>19396075</v>
      </c>
      <c r="Q3496" s="5" t="s">
        <v>49009</v>
      </c>
      <c r="R3496" s="5"/>
      <c r="S3496" s="5" t="s">
        <v>49010</v>
      </c>
      <c r="T3496" s="28">
        <v>6481000</v>
      </c>
      <c r="U3496" s="28"/>
      <c r="V3496" s="28">
        <v>144427000</v>
      </c>
      <c r="W3496" s="28"/>
      <c r="X3496" s="28">
        <v>22062000</v>
      </c>
      <c r="Y3496" s="28">
        <v>503043000</v>
      </c>
      <c r="Z3496" s="28">
        <v>228803000</v>
      </c>
      <c r="AA3496" s="28"/>
      <c r="AB3496" s="28"/>
      <c r="AC3496" s="28">
        <v>253499000</v>
      </c>
      <c r="AD3496" s="28">
        <v>248199000</v>
      </c>
      <c r="AE3496" s="28">
        <v>4213279000</v>
      </c>
      <c r="AF3496" s="28">
        <v>58639000</v>
      </c>
      <c r="AG3496" s="11"/>
    </row>
    <row r="3497">
      <c r="A3497" s="7" t="s">
        <v>98</v>
      </c>
      <c r="B3497" s="5" t="s">
        <v>13130</v>
      </c>
      <c r="C3497" s="5" t="s">
        <v>20931</v>
      </c>
      <c r="D3497" s="5" t="str">
        <v>200802768226</v>
      </c>
      <c r="E3497" s="0" t="e">
        <f>+7 (928) 35250
+7 (938) 9995066
+7 (963) 8882222
+7 (871) 2223175
+7 (871) 2225167
+7 (871) 2296519
+7 (928) 35052
+7 (928) 857456</f>
        <v>#NAME?</v>
      </c>
      <c r="F3497" s="5" t="s">
        <v>35862</v>
      </c>
      <c r="G3497" s="5" t="s">
        <v>35863</v>
      </c>
      <c r="H3497" s="26">
        <v>16</v>
      </c>
      <c r="I3497" s="5" t="s">
        <v>35864</v>
      </c>
      <c r="J3497" s="5" t="s">
        <v>364</v>
      </c>
      <c r="K3497" s="5" t="s">
        <v>344</v>
      </c>
      <c r="L3497" s="5" t="s">
        <v>35865</v>
      </c>
      <c r="M3497" s="27"/>
      <c r="N3497" s="5" t="s">
        <v>54724</v>
      </c>
      <c r="O3497" s="5" t="str">
        <v>2013431689</v>
      </c>
      <c r="P3497" s="27">
        <v>20000</v>
      </c>
      <c r="Q3497" s="5" t="s">
        <v>54725</v>
      </c>
      <c r="R3497" s="5"/>
      <c r="S3497" s="5" t="s">
        <v>54726</v>
      </c>
      <c r="T3497" s="28">
        <v>68651000</v>
      </c>
      <c r="U3497" s="28"/>
      <c r="V3497" s="28">
        <v>259504000</v>
      </c>
      <c r="W3497" s="28">
        <v>65677000</v>
      </c>
      <c r="X3497" s="28">
        <v>681727000</v>
      </c>
      <c r="Y3497" s="28">
        <v>1999087000</v>
      </c>
      <c r="Z3497" s="28">
        <v>103177000</v>
      </c>
      <c r="AA3497" s="28"/>
      <c r="AB3497" s="28"/>
      <c r="AC3497" s="28">
        <v>1895890000</v>
      </c>
      <c r="AD3497" s="28">
        <v>103197000</v>
      </c>
      <c r="AE3497" s="28">
        <v>6434627000</v>
      </c>
      <c r="AF3497" s="28">
        <v>11929000</v>
      </c>
      <c r="AG3497" s="11"/>
    </row>
    <row r="3498">
      <c r="A3498" s="7" t="s">
        <v>5169</v>
      </c>
      <c r="B3498" s="5" t="s">
        <v>13131</v>
      </c>
      <c r="C3498" s="5" t="s">
        <v>20932</v>
      </c>
      <c r="D3498" s="5" t="str">
        <v>773406735157</v>
      </c>
      <c r="E3498" s="0" t="e">
        <f>+7 (495) 3239540
+7 (495) 7488877
+7 (495) 9801949
+7 (925) 7488877
+7 (926) 2119762</f>
        <v>#NAME?</v>
      </c>
      <c r="F3498" s="5" t="s">
        <v>35866</v>
      </c>
      <c r="G3498" s="5" t="s">
        <v>35867</v>
      </c>
      <c r="H3498" s="26">
        <v>24.5</v>
      </c>
      <c r="I3498" s="5" t="s">
        <v>35868</v>
      </c>
      <c r="J3498" s="5" t="s">
        <v>27764</v>
      </c>
      <c r="K3498" s="5" t="s">
        <v>355</v>
      </c>
      <c r="L3498" s="5" t="s">
        <v>35869</v>
      </c>
      <c r="M3498" s="27">
        <v>13209201</v>
      </c>
      <c r="N3498" s="5" t="s">
        <v>54727</v>
      </c>
      <c r="O3498" s="5" t="str">
        <v>7825695758</v>
      </c>
      <c r="P3498" s="27">
        <v>1000100000</v>
      </c>
      <c r="Q3498" s="5" t="s">
        <v>49009</v>
      </c>
      <c r="R3498" s="5"/>
      <c r="S3498" s="5" t="s">
        <v>50290</v>
      </c>
      <c r="T3498" s="28">
        <v>11878642000</v>
      </c>
      <c r="U3498" s="28">
        <v>1143020000</v>
      </c>
      <c r="V3498" s="28">
        <v>2159333000</v>
      </c>
      <c r="W3498" s="28">
        <v>1088200000</v>
      </c>
      <c r="X3498" s="28">
        <v>766725000</v>
      </c>
      <c r="Y3498" s="28">
        <v>34588510000</v>
      </c>
      <c r="Z3498" s="28">
        <v>853029000</v>
      </c>
      <c r="AA3498" s="28"/>
      <c r="AB3498" s="28">
        <v>10654386000</v>
      </c>
      <c r="AC3498" s="28">
        <v>24729178000</v>
      </c>
      <c r="AD3498" s="28">
        <v>1903134000</v>
      </c>
      <c r="AE3498" s="28">
        <v>51087569000</v>
      </c>
      <c r="AF3498" s="28">
        <v>3802600000</v>
      </c>
      <c r="AG3498" s="11"/>
    </row>
    <row r="3499">
      <c r="A3499" s="7" t="s">
        <v>5170</v>
      </c>
      <c r="B3499" s="5" t="s">
        <v>13132</v>
      </c>
      <c r="C3499" s="5" t="s">
        <v>20933</v>
      </c>
      <c r="D3499" s="5" t="str">
        <v>761704523133</v>
      </c>
      <c r="F3499" s="5"/>
      <c r="G3499" s="5"/>
      <c r="H3499" s="26">
        <v>7</v>
      </c>
      <c r="I3499" s="5" t="s">
        <v>35870</v>
      </c>
      <c r="J3499" s="5" t="s">
        <v>26308</v>
      </c>
      <c r="K3499" s="5" t="s">
        <v>344</v>
      </c>
      <c r="L3499" s="5"/>
      <c r="M3499" s="27"/>
      <c r="N3499" s="5"/>
      <c r="O3499" s="5" t="str">
        <v>7617009790</v>
      </c>
      <c r="P3499" s="27">
        <v>20000</v>
      </c>
      <c r="Q3499" s="5"/>
      <c r="R3499" s="5"/>
      <c r="S3499" s="5" t="s">
        <v>49110</v>
      </c>
      <c r="T3499" s="28"/>
      <c r="U3499" s="28"/>
      <c r="V3499" s="28"/>
      <c r="W3499" s="28"/>
      <c r="X3499" s="28">
        <v>56000</v>
      </c>
      <c r="Y3499" s="28">
        <v>7138000</v>
      </c>
      <c r="Z3499" s="28">
        <v>220000</v>
      </c>
      <c r="AA3499" s="28"/>
      <c r="AB3499" s="28"/>
      <c r="AC3499" s="28">
        <v>6898000</v>
      </c>
      <c r="AD3499" s="28">
        <v>240000</v>
      </c>
      <c r="AE3499" s="28">
        <v>71617930000</v>
      </c>
      <c r="AF3499" s="28">
        <v>220600000</v>
      </c>
      <c r="AG3499" s="11"/>
    </row>
    <row r="3500">
      <c r="A3500" s="7" t="s">
        <v>5171</v>
      </c>
      <c r="B3500" s="5" t="s">
        <v>13133</v>
      </c>
      <c r="C3500" s="5" t="s">
        <v>20934</v>
      </c>
      <c r="D3500" s="5" t="str">
        <v>245703675085</v>
      </c>
      <c r="E3500" s="0" t="e">
        <f>+7 (3919) 261151
+7 (913) 5300159
+7 (913) 5301499</f>
        <v>#NAME?</v>
      </c>
      <c r="F3500" s="5" t="s">
        <v>35871</v>
      </c>
      <c r="G3500" s="5"/>
      <c r="H3500" s="26">
        <v>6.5</v>
      </c>
      <c r="I3500" s="5" t="s">
        <v>35872</v>
      </c>
      <c r="J3500" s="5" t="s">
        <v>35873</v>
      </c>
      <c r="K3500" s="5" t="s">
        <v>344</v>
      </c>
      <c r="L3500" s="5" t="s">
        <v>35874</v>
      </c>
      <c r="M3500" s="27"/>
      <c r="N3500" s="5"/>
      <c r="O3500" s="5" t="str">
        <v>2457080792</v>
      </c>
      <c r="P3500" s="27">
        <v>19953545920</v>
      </c>
      <c r="Q3500" s="5"/>
      <c r="R3500" s="5"/>
      <c r="S3500" s="5" t="s">
        <v>49121</v>
      </c>
      <c r="T3500" s="28">
        <v>58142486000</v>
      </c>
      <c r="U3500" s="28"/>
      <c r="V3500" s="28">
        <v>11499111000</v>
      </c>
      <c r="W3500" s="28">
        <v>12029310000</v>
      </c>
      <c r="X3500" s="28">
        <v>39446000</v>
      </c>
      <c r="Y3500" s="28">
        <v>102072006000</v>
      </c>
      <c r="Z3500" s="28">
        <v>53078961000</v>
      </c>
      <c r="AA3500" s="28"/>
      <c r="AB3500" s="28"/>
      <c r="AC3500" s="28">
        <v>10710518000</v>
      </c>
      <c r="AD3500" s="28">
        <v>75533036000</v>
      </c>
      <c r="AE3500" s="28">
        <v>66058558000</v>
      </c>
      <c r="AF3500" s="28">
        <v>19396325000</v>
      </c>
      <c r="AG3500" s="11"/>
    </row>
    <row r="3501">
      <c r="A3501" s="7" t="s">
        <v>5172</v>
      </c>
      <c r="B3501" s="5" t="s">
        <v>13134</v>
      </c>
      <c r="C3501" s="5" t="s">
        <v>20935</v>
      </c>
      <c r="D3501" s="5" t="str">
        <v>773462192666</v>
      </c>
      <c r="E3501" s="0" t="e">
        <f>+7 (495) 7390034
+7 (495) 7390038</f>
        <v>#NAME?</v>
      </c>
      <c r="F3501" s="5"/>
      <c r="G3501" s="5"/>
      <c r="H3501" s="26">
        <v>18.5</v>
      </c>
      <c r="I3501" s="5" t="s">
        <v>35875</v>
      </c>
      <c r="J3501" s="5" t="s">
        <v>785</v>
      </c>
      <c r="K3501" s="5" t="s">
        <v>344</v>
      </c>
      <c r="L3501" s="5" t="s">
        <v>35876</v>
      </c>
      <c r="M3501" s="27"/>
      <c r="N3501" s="5"/>
      <c r="O3501" s="5" t="str">
        <v>7708527245</v>
      </c>
      <c r="P3501" s="27">
        <v>1000000</v>
      </c>
      <c r="Q3501" s="5" t="s">
        <v>49009</v>
      </c>
      <c r="R3501" s="5"/>
      <c r="S3501" s="5" t="s">
        <v>49010</v>
      </c>
      <c r="T3501" s="28">
        <v>6244000</v>
      </c>
      <c r="U3501" s="28"/>
      <c r="V3501" s="28">
        <v>1879349000</v>
      </c>
      <c r="W3501" s="28">
        <v>25000000</v>
      </c>
      <c r="X3501" s="28">
        <v>186047000</v>
      </c>
      <c r="Y3501" s="28">
        <v>2097417000</v>
      </c>
      <c r="Z3501" s="28">
        <v>964752000</v>
      </c>
      <c r="AA3501" s="28"/>
      <c r="AB3501" s="28"/>
      <c r="AC3501" s="28">
        <v>1131167000</v>
      </c>
      <c r="AD3501" s="28">
        <v>965902000</v>
      </c>
      <c r="AE3501" s="28">
        <v>4332181000</v>
      </c>
      <c r="AF3501" s="28">
        <v>269089000</v>
      </c>
      <c r="AG3501" s="11"/>
    </row>
    <row r="3502">
      <c r="A3502" s="7" t="s">
        <v>5173</v>
      </c>
      <c r="B3502" s="5" t="s">
        <v>13135</v>
      </c>
      <c r="C3502" s="5" t="s">
        <v>20936</v>
      </c>
      <c r="D3502" s="5" t="str">
        <v>770770203998</v>
      </c>
      <c r="E3502" s="0" t="e">
        <f>+7 (495) 6204664
+7 (812) 3630332
+7 (952) 4814638
+7 (911) 1003290
+7 (495) 6271156
+7 (83142) 16359
+7 (8622) 901044</f>
        <v>#NAME?</v>
      </c>
      <c r="F3502" s="5" t="s">
        <v>35877</v>
      </c>
      <c r="G3502" s="5" t="s">
        <v>35878</v>
      </c>
      <c r="H3502" s="26">
        <v>19</v>
      </c>
      <c r="I3502" s="5"/>
      <c r="J3502" s="5" t="s">
        <v>785</v>
      </c>
      <c r="K3502" s="5" t="s">
        <v>344</v>
      </c>
      <c r="L3502" s="5"/>
      <c r="M3502" s="27"/>
      <c r="N3502" s="5" t="s">
        <v>54728</v>
      </c>
      <c r="O3502" s="5" t="str">
        <v>7717503586</v>
      </c>
      <c r="P3502" s="27">
        <v>2800000</v>
      </c>
      <c r="Q3502" s="5" t="s">
        <v>49535</v>
      </c>
      <c r="R3502" s="5" t="s">
        <v>54729</v>
      </c>
      <c r="S3502" s="5" t="s">
        <v>51894</v>
      </c>
      <c r="T3502" s="28">
        <v>30137000</v>
      </c>
      <c r="U3502" s="28">
        <v>3013485000</v>
      </c>
      <c r="V3502" s="28">
        <v>2035782000</v>
      </c>
      <c r="W3502" s="28">
        <v>1261000</v>
      </c>
      <c r="X3502" s="28">
        <v>1182967000</v>
      </c>
      <c r="Y3502" s="28">
        <v>6286485000</v>
      </c>
      <c r="Z3502" s="28">
        <v>3147717000</v>
      </c>
      <c r="AA3502" s="28"/>
      <c r="AB3502" s="28"/>
      <c r="AC3502" s="28">
        <v>1035509000</v>
      </c>
      <c r="AD3502" s="28">
        <v>5250657000</v>
      </c>
      <c r="AE3502" s="28">
        <v>3260259000</v>
      </c>
      <c r="AF3502" s="28">
        <v>187757000</v>
      </c>
      <c r="AG3502" s="11"/>
    </row>
    <row r="3503">
      <c r="A3503" s="7" t="s">
        <v>5174</v>
      </c>
      <c r="B3503" s="5" t="s">
        <v>13136</v>
      </c>
      <c r="C3503" s="5" t="s">
        <v>20937</v>
      </c>
      <c r="D3503" s="5" t="str">
        <v>772804626902</v>
      </c>
      <c r="E3503" s="0" t="e">
        <f>+7 (495) 6480941
+7 (499) 4240131</f>
        <v>#NAME?</v>
      </c>
      <c r="F3503" s="5" t="s">
        <v>35879</v>
      </c>
      <c r="G3503" s="5" t="s">
        <v>35880</v>
      </c>
      <c r="H3503" s="26">
        <v>21.5</v>
      </c>
      <c r="I3503" s="5" t="s">
        <v>35881</v>
      </c>
      <c r="J3503" s="5" t="s">
        <v>26767</v>
      </c>
      <c r="K3503" s="5" t="s">
        <v>344</v>
      </c>
      <c r="L3503" s="5" t="s">
        <v>35882</v>
      </c>
      <c r="M3503" s="27"/>
      <c r="N3503" s="5" t="s">
        <v>54730</v>
      </c>
      <c r="O3503" s="5" t="str">
        <v>7718185551</v>
      </c>
      <c r="P3503" s="27">
        <v>1000000</v>
      </c>
      <c r="Q3503" s="5" t="s">
        <v>54731</v>
      </c>
      <c r="R3503" s="5"/>
      <c r="S3503" s="5" t="s">
        <v>54732</v>
      </c>
      <c r="T3503" s="28">
        <v>7949000</v>
      </c>
      <c r="U3503" s="28"/>
      <c r="V3503" s="28">
        <v>605283000</v>
      </c>
      <c r="W3503" s="28">
        <v>415000000</v>
      </c>
      <c r="X3503" s="28">
        <v>547262000</v>
      </c>
      <c r="Y3503" s="28">
        <v>2001335000</v>
      </c>
      <c r="Z3503" s="28">
        <v>1534380000</v>
      </c>
      <c r="AA3503" s="28"/>
      <c r="AB3503" s="28"/>
      <c r="AC3503" s="28">
        <v>465952000</v>
      </c>
      <c r="AD3503" s="28">
        <v>1535380000</v>
      </c>
      <c r="AE3503" s="28">
        <v>3870886000</v>
      </c>
      <c r="AF3503" s="28">
        <v>708225000</v>
      </c>
      <c r="AG3503" s="11"/>
    </row>
    <row r="3504">
      <c r="A3504" s="7" t="s">
        <v>5175</v>
      </c>
      <c r="B3504" s="5" t="s">
        <v>13137</v>
      </c>
      <c r="C3504" s="5" t="s">
        <v>20938</v>
      </c>
      <c r="D3504" s="5" t="str">
        <v>772328381749</v>
      </c>
      <c r="E3504" s="0" t="e">
        <f>+7 (495) 7906686</f>
        <v>#NAME?</v>
      </c>
      <c r="F3504" s="5" t="s">
        <v>35883</v>
      </c>
      <c r="G3504" s="5" t="s">
        <v>35884</v>
      </c>
      <c r="H3504" s="26">
        <v>6</v>
      </c>
      <c r="I3504" s="5" t="s">
        <v>35885</v>
      </c>
      <c r="J3504" s="5" t="s">
        <v>785</v>
      </c>
      <c r="K3504" s="5" t="s">
        <v>355</v>
      </c>
      <c r="L3504" s="5" t="s">
        <v>35886</v>
      </c>
      <c r="M3504" s="27"/>
      <c r="N3504" s="5" t="s">
        <v>54733</v>
      </c>
      <c r="O3504" s="5" t="str">
        <v>7727317846</v>
      </c>
      <c r="P3504" s="27">
        <v>1000000</v>
      </c>
      <c r="Q3504" s="5" t="s">
        <v>49009</v>
      </c>
      <c r="R3504" s="5"/>
      <c r="S3504" s="5" t="s">
        <v>49045</v>
      </c>
      <c r="T3504" s="28">
        <v>65208000</v>
      </c>
      <c r="U3504" s="28">
        <v>54450000</v>
      </c>
      <c r="V3504" s="28">
        <v>2085175000</v>
      </c>
      <c r="W3504" s="28"/>
      <c r="X3504" s="28">
        <v>8907000</v>
      </c>
      <c r="Y3504" s="28">
        <v>2255289000</v>
      </c>
      <c r="Z3504" s="28">
        <v>116278000</v>
      </c>
      <c r="AA3504" s="28"/>
      <c r="AB3504" s="28"/>
      <c r="AC3504" s="28">
        <v>2084758000</v>
      </c>
      <c r="AD3504" s="28">
        <v>117278000</v>
      </c>
      <c r="AE3504" s="28">
        <v>17079816000</v>
      </c>
      <c r="AF3504" s="28">
        <v>159990000</v>
      </c>
      <c r="AG3504" s="11"/>
    </row>
    <row r="3505">
      <c r="A3505" s="7" t="s">
        <v>5176</v>
      </c>
      <c r="B3505" s="5" t="s">
        <v>13138</v>
      </c>
      <c r="C3505" s="5" t="s">
        <v>20939</v>
      </c>
      <c r="D3505" s="5" t="str">
        <v>332704234817</v>
      </c>
      <c r="E3505" s="0" t="e">
        <f>+7 (3012) 777767
+7 (492) 2551303
+7 (492) 2666667
+7 (492) 2776677
+7 (492) 2777161
+7 (492) 2777764
+7 (492) 2777787
+7 (492) 2778834
+7 (492) 2231629
+7 (492) 2381602
+7 (492) 2381650
+7 (492) 2440754
+7 (492) 2540376
+7 (492) 2777167
+7 (492) 2777776</f>
        <v>#NAME?</v>
      </c>
      <c r="F3505" s="5" t="s">
        <v>35887</v>
      </c>
      <c r="G3505" s="5" t="s">
        <v>35888</v>
      </c>
      <c r="H3505" s="26">
        <v>30.5</v>
      </c>
      <c r="I3505" s="5" t="s">
        <v>35889</v>
      </c>
      <c r="J3505" s="5" t="s">
        <v>25429</v>
      </c>
      <c r="K3505" s="5" t="s">
        <v>344</v>
      </c>
      <c r="L3505" s="5" t="s">
        <v>35890</v>
      </c>
      <c r="M3505" s="27"/>
      <c r="N3505" s="5" t="s">
        <v>54734</v>
      </c>
      <c r="O3505" s="5" t="str">
        <v>3328404610</v>
      </c>
      <c r="P3505" s="27">
        <v>10000</v>
      </c>
      <c r="Q3505" s="5" t="s">
        <v>54735</v>
      </c>
      <c r="R3505" s="5"/>
      <c r="S3505" s="5" t="s">
        <v>54736</v>
      </c>
      <c r="T3505" s="28">
        <v>305308000</v>
      </c>
      <c r="U3505" s="28">
        <v>135562000</v>
      </c>
      <c r="V3505" s="28">
        <v>2567507000</v>
      </c>
      <c r="W3505" s="28"/>
      <c r="X3505" s="28">
        <v>40365000</v>
      </c>
      <c r="Y3505" s="28">
        <v>7528307000</v>
      </c>
      <c r="Z3505" s="28">
        <v>379255000</v>
      </c>
      <c r="AA3505" s="28"/>
      <c r="AB3505" s="28">
        <v>260000000</v>
      </c>
      <c r="AC3505" s="28">
        <v>6903538000</v>
      </c>
      <c r="AD3505" s="28">
        <v>616191000</v>
      </c>
      <c r="AE3505" s="28">
        <v>9420673000</v>
      </c>
      <c r="AF3505" s="28">
        <v>58368000</v>
      </c>
      <c r="AG3505" s="11"/>
    </row>
    <row r="3506">
      <c r="A3506" s="7" t="s">
        <v>5177</v>
      </c>
      <c r="B3506" s="5" t="s">
        <v>13139</v>
      </c>
      <c r="C3506" s="5" t="s">
        <v>20940</v>
      </c>
      <c r="D3506" s="5" t="str">
        <v>772602381865</v>
      </c>
      <c r="E3506" s="0" t="e">
        <f>+7 (921) 8717923
+7 (903) 9601611
+7 (495) 1503555
+7 (495) 2326131
+7 (495) 6296411
+7 (495) 6371091
+7 (495) 6952973
+7 (495) 6972027
+7 (499) 1231586
+7 (800) 3334103
+7 (812) 2401376
+7 (812) 2425069
+7 (812) 2453921
+7 (916) 3360116</f>
        <v>#NAME?</v>
      </c>
      <c r="F3506" s="5" t="s">
        <v>35891</v>
      </c>
      <c r="G3506" s="5" t="s">
        <v>35892</v>
      </c>
      <c r="H3506" s="26">
        <v>23.5</v>
      </c>
      <c r="I3506" s="5" t="s">
        <v>35893</v>
      </c>
      <c r="J3506" s="5" t="s">
        <v>25349</v>
      </c>
      <c r="K3506" s="5" t="s">
        <v>344</v>
      </c>
      <c r="L3506" s="5" t="s">
        <v>35894</v>
      </c>
      <c r="M3506" s="27"/>
      <c r="N3506" s="5" t="s">
        <v>54737</v>
      </c>
      <c r="O3506" s="5" t="str">
        <v>7725100534</v>
      </c>
      <c r="P3506" s="27">
        <v>1025000</v>
      </c>
      <c r="Q3506" s="5" t="s">
        <v>54739</v>
      </c>
      <c r="R3506" s="5"/>
      <c r="S3506" s="5" t="s">
        <v>49065</v>
      </c>
      <c r="T3506" s="28">
        <v>2307652000</v>
      </c>
      <c r="U3506" s="28">
        <v>5914386000</v>
      </c>
      <c r="V3506" s="28">
        <v>693151000</v>
      </c>
      <c r="W3506" s="28"/>
      <c r="X3506" s="28">
        <v>510541000</v>
      </c>
      <c r="Y3506" s="28">
        <v>9611595000</v>
      </c>
      <c r="Z3506" s="28">
        <v>6260106000</v>
      </c>
      <c r="AA3506" s="28">
        <v>2055000000</v>
      </c>
      <c r="AB3506" s="28"/>
      <c r="AC3506" s="28">
        <v>259545000</v>
      </c>
      <c r="AD3506" s="28">
        <v>6810549000</v>
      </c>
      <c r="AE3506" s="28">
        <v>5020223000</v>
      </c>
      <c r="AF3506" s="28">
        <v>897566000</v>
      </c>
      <c r="AG3506" s="11"/>
    </row>
    <row r="3507">
      <c r="A3507" s="7" t="s">
        <v>5178</v>
      </c>
      <c r="B3507" s="5" t="s">
        <v>13140</v>
      </c>
      <c r="C3507" s="5" t="s">
        <v>20941</v>
      </c>
      <c r="D3507" s="5" t="str">
        <v>772445579189</v>
      </c>
      <c r="E3507" s="0" t="e">
        <f>+7 (401) 2465868
+7 (495) 4567896
+7 (495) 4922515
+7 (495) 5624578
+7 (495) 9212516
+7 (495) 9212525
+7 (495) 9213088
+7 (495) 9214515
+7 (495) 9472934
+7 (495) 9473105
+7 (495) 9478558
+7 (495) 9479098
+7 (495) 9479808
+7 (495) 9479809
+7 (495) 9479810</f>
        <v>#NAME?</v>
      </c>
      <c r="F3507" s="5" t="s">
        <v>35895</v>
      </c>
      <c r="G3507" s="5" t="s">
        <v>35896</v>
      </c>
      <c r="H3507" s="26">
        <v>29</v>
      </c>
      <c r="I3507" s="5"/>
      <c r="J3507" s="5" t="s">
        <v>25429</v>
      </c>
      <c r="K3507" s="5" t="s">
        <v>344</v>
      </c>
      <c r="L3507" s="5"/>
      <c r="M3507" s="27">
        <v>1800000</v>
      </c>
      <c r="N3507" s="5" t="s">
        <v>54740</v>
      </c>
      <c r="O3507" s="5" t="str">
        <v>7707086510</v>
      </c>
      <c r="P3507" s="27">
        <v>1100000</v>
      </c>
      <c r="Q3507" s="5" t="s">
        <v>54741</v>
      </c>
      <c r="R3507" s="5"/>
      <c r="S3507" s="5" t="s">
        <v>54742</v>
      </c>
      <c r="T3507" s="28">
        <v>1938000</v>
      </c>
      <c r="U3507" s="28">
        <v>977611000</v>
      </c>
      <c r="V3507" s="28">
        <v>1478070000</v>
      </c>
      <c r="W3507" s="28">
        <v>492188000</v>
      </c>
      <c r="X3507" s="28">
        <v>225403000</v>
      </c>
      <c r="Y3507" s="28">
        <v>4534636000</v>
      </c>
      <c r="Z3507" s="28">
        <v>711315000</v>
      </c>
      <c r="AA3507" s="28"/>
      <c r="AB3507" s="28">
        <v>249969000</v>
      </c>
      <c r="AC3507" s="28">
        <v>2495272000</v>
      </c>
      <c r="AD3507" s="28">
        <v>2039364000</v>
      </c>
      <c r="AE3507" s="28">
        <v>6878970000</v>
      </c>
      <c r="AF3507" s="28">
        <v>241376000</v>
      </c>
      <c r="AG3507" s="11"/>
    </row>
    <row r="3508">
      <c r="A3508" s="7" t="s">
        <v>5179</v>
      </c>
      <c r="B3508" s="5" t="s">
        <v>13141</v>
      </c>
      <c r="C3508" s="5" t="s">
        <v>20942</v>
      </c>
      <c r="D3508" s="5"/>
      <c r="F3508" s="5" t="s">
        <v>35897</v>
      </c>
      <c r="G3508" s="5"/>
      <c r="H3508" s="26">
        <v>1.5</v>
      </c>
      <c r="I3508" s="5" t="s">
        <v>35898</v>
      </c>
      <c r="J3508" s="5" t="s">
        <v>25429</v>
      </c>
      <c r="K3508" s="5" t="s">
        <v>344</v>
      </c>
      <c r="L3508" s="5"/>
      <c r="M3508" s="27"/>
      <c r="N3508" s="5"/>
      <c r="O3508" s="5" t="str">
        <v>9701188999</v>
      </c>
      <c r="P3508" s="27">
        <v>10000</v>
      </c>
      <c r="Q3508" s="5" t="s">
        <v>49217</v>
      </c>
      <c r="R3508" s="5"/>
      <c r="S3508" s="5" t="s">
        <v>54743</v>
      </c>
      <c r="T3508" s="28">
        <v>45624000</v>
      </c>
      <c r="U3508" s="28"/>
      <c r="V3508" s="28">
        <v>38530000</v>
      </c>
      <c r="W3508" s="28"/>
      <c r="X3508" s="28">
        <v>91570000</v>
      </c>
      <c r="Y3508" s="28">
        <v>574729000</v>
      </c>
      <c r="Z3508" s="28">
        <v>290069000</v>
      </c>
      <c r="AA3508" s="28"/>
      <c r="AB3508" s="28"/>
      <c r="AC3508" s="28">
        <v>272687000</v>
      </c>
      <c r="AD3508" s="28">
        <v>290079000</v>
      </c>
      <c r="AE3508" s="28">
        <v>3326006000</v>
      </c>
      <c r="AF3508" s="28">
        <v>290069000</v>
      </c>
      <c r="AG3508" s="11"/>
    </row>
    <row r="3509">
      <c r="A3509" s="7" t="s">
        <v>5180</v>
      </c>
      <c r="B3509" s="5" t="s">
        <v>13142</v>
      </c>
      <c r="C3509" s="5" t="s">
        <v>20943</v>
      </c>
      <c r="D3509" s="5" t="str">
        <v>772331311090</v>
      </c>
      <c r="E3509" s="0" t="e">
        <f>+7 (495) 6628495
+7 (495) 1031434
+7 (495) 2801310
+7 (495) 2808108
+7 (917) 5791772
+7 (495) 6628494
+7 (499) 4260995
+7 (800) 3339398</f>
        <v>#NAME?</v>
      </c>
      <c r="F3509" s="5" t="s">
        <v>35899</v>
      </c>
      <c r="G3509" s="5" t="s">
        <v>35900</v>
      </c>
      <c r="H3509" s="26">
        <v>3.5</v>
      </c>
      <c r="I3509" s="5" t="s">
        <v>35901</v>
      </c>
      <c r="J3509" s="5" t="s">
        <v>25429</v>
      </c>
      <c r="K3509" s="5" t="s">
        <v>344</v>
      </c>
      <c r="L3509" s="5" t="s">
        <v>35902</v>
      </c>
      <c r="M3509" s="27"/>
      <c r="N3509" s="5" t="s">
        <v>54744</v>
      </c>
      <c r="O3509" s="5" t="str">
        <v>9701145988</v>
      </c>
      <c r="P3509" s="27">
        <v>715110000</v>
      </c>
      <c r="Q3509" s="5" t="s">
        <v>54745</v>
      </c>
      <c r="R3509" s="5"/>
      <c r="S3509" s="5" t="s">
        <v>54746</v>
      </c>
      <c r="T3509" s="28">
        <v>531720000</v>
      </c>
      <c r="U3509" s="28">
        <v>715109000</v>
      </c>
      <c r="V3509" s="28">
        <v>1739871000</v>
      </c>
      <c r="W3509" s="28"/>
      <c r="X3509" s="28">
        <v>151909000</v>
      </c>
      <c r="Y3509" s="28">
        <v>5499622000</v>
      </c>
      <c r="Z3509" s="28">
        <v>928355000</v>
      </c>
      <c r="AA3509" s="28"/>
      <c r="AB3509" s="28">
        <v>425294000</v>
      </c>
      <c r="AC3509" s="28">
        <v>3521621000</v>
      </c>
      <c r="AD3509" s="28">
        <v>1643465000</v>
      </c>
      <c r="AE3509" s="28">
        <v>20779168000</v>
      </c>
      <c r="AF3509" s="28">
        <v>483675000</v>
      </c>
      <c r="AG3509" s="11"/>
    </row>
    <row r="3510">
      <c r="A3510" s="7" t="s">
        <v>104</v>
      </c>
      <c r="B3510" s="5" t="s">
        <v>13143</v>
      </c>
      <c r="C3510" s="5" t="s">
        <v>20942</v>
      </c>
      <c r="D3510" s="5"/>
      <c r="E3510" s="0" t="e">
        <f>+7 (3022) 283883
+7 (345) 2280523
+7 (345) 2456325
+7 (3519) 214599
+7 (391) 2220389
+7 (3952) 222444
+7 (481) 2645384
+7 (494) 2314263
+7 (495) 203280
+7 (495) 1236598
+7 (495) 2330022
+7 (495) 2330025
+7 (495) 2340604
+7 (495) 2365456
+7 (495) 2370522</f>
        <v>#NAME?</v>
      </c>
      <c r="F3510" s="5" t="s">
        <v>35903</v>
      </c>
      <c r="G3510" s="5"/>
      <c r="H3510" s="26">
        <v>23.5</v>
      </c>
      <c r="I3510" s="5" t="s">
        <v>35904</v>
      </c>
      <c r="J3510" s="5" t="s">
        <v>25429</v>
      </c>
      <c r="K3510" s="5" t="s">
        <v>344</v>
      </c>
      <c r="L3510" s="5"/>
      <c r="M3510" s="27"/>
      <c r="N3510" s="5" t="s">
        <v>54747</v>
      </c>
      <c r="O3510" s="5" t="str">
        <v>7701213835</v>
      </c>
      <c r="P3510" s="27">
        <v>500000</v>
      </c>
      <c r="Q3510" s="5" t="s">
        <v>54748</v>
      </c>
      <c r="R3510" s="5"/>
      <c r="S3510" s="5" t="s">
        <v>54749</v>
      </c>
      <c r="T3510" s="28">
        <v>122124000</v>
      </c>
      <c r="U3510" s="28">
        <v>711000</v>
      </c>
      <c r="V3510" s="28">
        <v>1835990000</v>
      </c>
      <c r="W3510" s="28">
        <v>287000000</v>
      </c>
      <c r="X3510" s="28">
        <v>178765000</v>
      </c>
      <c r="Y3510" s="28">
        <v>4173090000</v>
      </c>
      <c r="Z3510" s="28">
        <v>2564625000</v>
      </c>
      <c r="AA3510" s="28"/>
      <c r="AB3510" s="28">
        <v>52319000</v>
      </c>
      <c r="AC3510" s="28">
        <v>1547715000</v>
      </c>
      <c r="AD3510" s="28">
        <v>2565125000</v>
      </c>
      <c r="AE3510" s="28">
        <v>16478338000</v>
      </c>
      <c r="AF3510" s="28">
        <v>740986000</v>
      </c>
      <c r="AG3510" s="11"/>
    </row>
    <row r="3511">
      <c r="A3511" s="7" t="s">
        <v>5181</v>
      </c>
      <c r="B3511" s="5" t="s">
        <v>13144</v>
      </c>
      <c r="C3511" s="5" t="s">
        <v>20944</v>
      </c>
      <c r="D3511" s="5" t="str">
        <v>781911026020</v>
      </c>
      <c r="E3511" s="0" t="e">
        <f>+7 (812) 3465763
+7 (812) 3202790
+7 (812) 3202793</f>
        <v>#NAME?</v>
      </c>
      <c r="F3511" s="5"/>
      <c r="G3511" s="5"/>
      <c r="H3511" s="26">
        <v>24.5</v>
      </c>
      <c r="I3511" s="5" t="s">
        <v>35905</v>
      </c>
      <c r="J3511" s="5" t="s">
        <v>28577</v>
      </c>
      <c r="K3511" s="5" t="s">
        <v>355</v>
      </c>
      <c r="L3511" s="5" t="s">
        <v>35906</v>
      </c>
      <c r="M3511" s="27">
        <v>2705511</v>
      </c>
      <c r="N3511" s="5"/>
      <c r="O3511" s="5" t="str">
        <v>7805111901</v>
      </c>
      <c r="P3511" s="27">
        <v>19125000</v>
      </c>
      <c r="Q3511" s="5" t="s">
        <v>49009</v>
      </c>
      <c r="R3511" s="5"/>
      <c r="S3511" s="5" t="s">
        <v>49180</v>
      </c>
      <c r="T3511" s="28">
        <v>311327000</v>
      </c>
      <c r="U3511" s="28">
        <v>100000</v>
      </c>
      <c r="V3511" s="28">
        <v>2691269000</v>
      </c>
      <c r="W3511" s="28"/>
      <c r="X3511" s="28">
        <v>1088727000</v>
      </c>
      <c r="Y3511" s="28">
        <v>4181467000</v>
      </c>
      <c r="Z3511" s="28">
        <v>42729000</v>
      </c>
      <c r="AA3511" s="28"/>
      <c r="AB3511" s="28"/>
      <c r="AC3511" s="28">
        <v>4119613000</v>
      </c>
      <c r="AD3511" s="28">
        <v>61854000</v>
      </c>
      <c r="AE3511" s="28">
        <v>4329683000</v>
      </c>
      <c r="AF3511" s="28">
        <v>161000</v>
      </c>
      <c r="AG3511" s="11"/>
    </row>
    <row r="3512">
      <c r="A3512" s="7" t="s">
        <v>5182</v>
      </c>
      <c r="B3512" s="5" t="s">
        <v>13145</v>
      </c>
      <c r="C3512" s="5" t="s">
        <v>20945</v>
      </c>
      <c r="D3512" s="5" t="str">
        <v>770700125048</v>
      </c>
      <c r="E3512" s="0" t="e">
        <f>+7 (495) 2290003
+7 (495) 2368418
+7 (495) 2368779
+7 (495) 7757360
+7 (495) 7757477
+7 (495) 7757480
+7 (495) 9950088
+7 (499) 2504707
+7 (499) 2508496
+7 (499) 2509190
+7 (499) 2509453
+7 (499) 2515297</f>
        <v>#NAME?</v>
      </c>
      <c r="F3512" s="5" t="s">
        <v>35907</v>
      </c>
      <c r="G3512" s="5" t="s">
        <v>35908</v>
      </c>
      <c r="H3512" s="26">
        <v>31</v>
      </c>
      <c r="I3512" s="5"/>
      <c r="J3512" s="5" t="s">
        <v>29848</v>
      </c>
      <c r="K3512" s="5" t="s">
        <v>344</v>
      </c>
      <c r="L3512" s="5" t="s">
        <v>35909</v>
      </c>
      <c r="M3512" s="27"/>
      <c r="N3512" s="5" t="s">
        <v>54750</v>
      </c>
      <c r="O3512" s="5" t="str">
        <v>7729058330</v>
      </c>
      <c r="P3512" s="27">
        <v>8542400</v>
      </c>
      <c r="Q3512" s="5" t="s">
        <v>49009</v>
      </c>
      <c r="R3512" s="5"/>
      <c r="S3512" s="5" t="s">
        <v>54751</v>
      </c>
      <c r="T3512" s="28">
        <v>7865793000</v>
      </c>
      <c r="U3512" s="28">
        <v>12010000</v>
      </c>
      <c r="V3512" s="28">
        <v>1181872000</v>
      </c>
      <c r="W3512" s="28">
        <v>4292000</v>
      </c>
      <c r="X3512" s="28">
        <v>2244592000</v>
      </c>
      <c r="Y3512" s="28">
        <v>12368787000</v>
      </c>
      <c r="Z3512" s="28">
        <v>6289696000</v>
      </c>
      <c r="AA3512" s="28">
        <v>2293338000</v>
      </c>
      <c r="AB3512" s="28">
        <v>432070000</v>
      </c>
      <c r="AC3512" s="28">
        <v>2002658000</v>
      </c>
      <c r="AD3512" s="28">
        <v>6393964000</v>
      </c>
      <c r="AE3512" s="28">
        <v>6029919000</v>
      </c>
      <c r="AF3512" s="28">
        <v>1136807000</v>
      </c>
      <c r="AG3512" s="11"/>
    </row>
    <row r="3513">
      <c r="A3513" s="7" t="s">
        <v>5183</v>
      </c>
      <c r="B3513" s="5" t="s">
        <v>13146</v>
      </c>
      <c r="C3513" s="5" t="s">
        <v>20946</v>
      </c>
      <c r="D3513" s="5" t="str">
        <v>666002497295</v>
      </c>
      <c r="E3513" s="0" t="e">
        <f>+7 (962) 4049080</f>
        <v>#NAME?</v>
      </c>
      <c r="F3513" s="5"/>
      <c r="G3513" s="5"/>
      <c r="H3513" s="26">
        <v>4.5</v>
      </c>
      <c r="I3513" s="5" t="s">
        <v>35910</v>
      </c>
      <c r="J3513" s="5" t="s">
        <v>25429</v>
      </c>
      <c r="K3513" s="5" t="s">
        <v>355</v>
      </c>
      <c r="L3513" s="5" t="s">
        <v>35911</v>
      </c>
      <c r="M3513" s="27">
        <v>411222</v>
      </c>
      <c r="N3513" s="5"/>
      <c r="O3513" s="5" t="str">
        <v>7806549991</v>
      </c>
      <c r="P3513" s="27">
        <v>10000</v>
      </c>
      <c r="Q3513" s="5" t="s">
        <v>49207</v>
      </c>
      <c r="R3513" s="5"/>
      <c r="S3513" s="5" t="s">
        <v>49565</v>
      </c>
      <c r="T3513" s="28">
        <v>20420000</v>
      </c>
      <c r="U3513" s="28"/>
      <c r="V3513" s="28">
        <v>490460000</v>
      </c>
      <c r="W3513" s="28">
        <v>408352000</v>
      </c>
      <c r="X3513" s="28">
        <v>23370000</v>
      </c>
      <c r="Y3513" s="28">
        <v>1241443000</v>
      </c>
      <c r="Z3513" s="28">
        <v>11865000</v>
      </c>
      <c r="AA3513" s="28">
        <v>5185000</v>
      </c>
      <c r="AB3513" s="28">
        <v>13000</v>
      </c>
      <c r="AC3513" s="28">
        <v>1222494000</v>
      </c>
      <c r="AD3513" s="28">
        <v>11875000</v>
      </c>
      <c r="AE3513" s="28">
        <v>3500928000</v>
      </c>
      <c r="AF3513" s="28">
        <v>4857000</v>
      </c>
      <c r="AG3513" s="11"/>
    </row>
    <row r="3514">
      <c r="A3514" s="7" t="s">
        <v>5184</v>
      </c>
      <c r="B3514" s="5" t="s">
        <v>13147</v>
      </c>
      <c r="C3514" s="5" t="s">
        <v>20947</v>
      </c>
      <c r="D3514" s="5" t="str">
        <v>772008282611</v>
      </c>
      <c r="E3514" s="0" t="e">
        <f>+7 (495) 7238110
+7 (495) 9178141
+7 (499) 2551073</f>
        <v>#NAME?</v>
      </c>
      <c r="F3514" s="5" t="s">
        <v>35912</v>
      </c>
      <c r="G3514" s="5"/>
      <c r="H3514" s="26">
        <v>20</v>
      </c>
      <c r="I3514" s="5"/>
      <c r="J3514" s="5" t="s">
        <v>29848</v>
      </c>
      <c r="K3514" s="5" t="s">
        <v>344</v>
      </c>
      <c r="L3514" s="5" t="s">
        <v>35913</v>
      </c>
      <c r="M3514" s="27"/>
      <c r="N3514" s="5"/>
      <c r="O3514" s="5" t="str">
        <v>7704261185</v>
      </c>
      <c r="P3514" s="27">
        <v>829073700</v>
      </c>
      <c r="Q3514" s="5" t="s">
        <v>49009</v>
      </c>
      <c r="R3514" s="5"/>
      <c r="S3514" s="5" t="s">
        <v>49010</v>
      </c>
      <c r="T3514" s="28">
        <v>2912215000</v>
      </c>
      <c r="U3514" s="28">
        <v>919410000</v>
      </c>
      <c r="V3514" s="28">
        <v>1571365000</v>
      </c>
      <c r="W3514" s="28"/>
      <c r="X3514" s="28">
        <v>353672000</v>
      </c>
      <c r="Y3514" s="28">
        <v>5920147000</v>
      </c>
      <c r="Z3514" s="28">
        <v>3714726000</v>
      </c>
      <c r="AA3514" s="28"/>
      <c r="AB3514" s="28"/>
      <c r="AC3514" s="28">
        <v>682972000</v>
      </c>
      <c r="AD3514" s="28">
        <v>5190328000</v>
      </c>
      <c r="AE3514" s="28">
        <v>5003829000</v>
      </c>
      <c r="AF3514" s="28">
        <v>1306082000</v>
      </c>
      <c r="AG3514" s="11"/>
    </row>
    <row r="3515">
      <c r="A3515" s="7" t="s">
        <v>5185</v>
      </c>
      <c r="B3515" s="5" t="s">
        <v>13148</v>
      </c>
      <c r="C3515" s="5" t="s">
        <v>20948</v>
      </c>
      <c r="D3515" s="5" t="str">
        <v>772496474032</v>
      </c>
      <c r="E3515" s="0" t="e">
        <f>+7 (3512) 888554
+7 (35326) 70331
+7 (4232) 317343
+7 (495) 2234096
+7 (495) 2288554
+7 (495) 2888554
+7 (495) 4562545
+7 (495) 7456852
+7 (495) 7978694
+7 (495) 9567937
+7 (499) 2882554
+7 (499) 2885448
+7 (499) 2885454
+7 (499) 2888459
+7 (499) 2888554</f>
        <v>#NAME?</v>
      </c>
      <c r="F3515" s="5" t="s">
        <v>35914</v>
      </c>
      <c r="G3515" s="5"/>
      <c r="H3515" s="26">
        <v>3</v>
      </c>
      <c r="I3515" s="5" t="s">
        <v>35915</v>
      </c>
      <c r="J3515" s="5" t="s">
        <v>25429</v>
      </c>
      <c r="K3515" s="5" t="s">
        <v>344</v>
      </c>
      <c r="L3515" s="5" t="s">
        <v>35916</v>
      </c>
      <c r="M3515" s="27"/>
      <c r="N3515" s="5" t="s">
        <v>54752</v>
      </c>
      <c r="O3515" s="5" t="str">
        <v>7733353730</v>
      </c>
      <c r="P3515" s="27">
        <v>10000</v>
      </c>
      <c r="Q3515" s="5" t="s">
        <v>54753</v>
      </c>
      <c r="R3515" s="5"/>
      <c r="S3515" s="5" t="s">
        <v>54754</v>
      </c>
      <c r="T3515" s="28"/>
      <c r="U3515" s="28"/>
      <c r="V3515" s="28">
        <v>700722000</v>
      </c>
      <c r="W3515" s="28"/>
      <c r="X3515" s="28">
        <v>9120000</v>
      </c>
      <c r="Y3515" s="28">
        <v>1291060000</v>
      </c>
      <c r="Z3515" s="28">
        <v>161585000</v>
      </c>
      <c r="AA3515" s="28"/>
      <c r="AB3515" s="28"/>
      <c r="AC3515" s="28">
        <v>1129099000</v>
      </c>
      <c r="AD3515" s="28">
        <v>161595000</v>
      </c>
      <c r="AE3515" s="28">
        <v>6456957000</v>
      </c>
      <c r="AF3515" s="28">
        <v>129491000</v>
      </c>
      <c r="AG3515" s="11"/>
    </row>
    <row r="3516">
      <c r="A3516" s="7" t="s">
        <v>5186</v>
      </c>
      <c r="B3516" s="5" t="s">
        <v>13149</v>
      </c>
      <c r="C3516" s="5" t="s">
        <v>20949</v>
      </c>
      <c r="D3516" s="5" t="str">
        <v>027813752203</v>
      </c>
      <c r="E3516" s="0" t="e">
        <f>+7 (347) 2329476
+7 (3472) 161616
+7 (3472) 164572
+7 (3472) 164573
+7 (3472) 165050
+7 (3472) 165325
+7 (3472) 166457
+7 (3472) 216457
+7 (3472) 547898
+7 (3472) 566882
+7 (3472) 164579
+7 (3472) 164926
+7 (3472) 165270
+7 (3472) 329374
+7 (3472) 329897</f>
        <v>#NAME?</v>
      </c>
      <c r="F3516" s="5" t="s">
        <v>35917</v>
      </c>
      <c r="G3516" s="5" t="s">
        <v>35918</v>
      </c>
      <c r="H3516" s="26">
        <v>31.5</v>
      </c>
      <c r="I3516" s="5" t="s">
        <v>35919</v>
      </c>
      <c r="J3516" s="5" t="s">
        <v>31552</v>
      </c>
      <c r="K3516" s="5" t="s">
        <v>344</v>
      </c>
      <c r="L3516" s="5" t="s">
        <v>35920</v>
      </c>
      <c r="M3516" s="27">
        <v>1110469</v>
      </c>
      <c r="N3516" s="5" t="s">
        <v>54755</v>
      </c>
      <c r="O3516" s="5" t="str">
        <v>0276918616</v>
      </c>
      <c r="P3516" s="27">
        <v>159833245</v>
      </c>
      <c r="Q3516" s="5" t="s">
        <v>54756</v>
      </c>
      <c r="R3516" s="5"/>
      <c r="S3516" s="5" t="s">
        <v>54757</v>
      </c>
      <c r="T3516" s="28">
        <v>305587000</v>
      </c>
      <c r="U3516" s="28"/>
      <c r="V3516" s="28">
        <v>487677000</v>
      </c>
      <c r="W3516" s="28">
        <v>175000000</v>
      </c>
      <c r="X3516" s="28">
        <v>326521000</v>
      </c>
      <c r="Y3516" s="28">
        <v>1444011000</v>
      </c>
      <c r="Z3516" s="28">
        <v>1075664000</v>
      </c>
      <c r="AA3516" s="28"/>
      <c r="AB3516" s="28">
        <v>78686000</v>
      </c>
      <c r="AC3516" s="28">
        <v>200503000</v>
      </c>
      <c r="AD3516" s="28">
        <v>1235497000</v>
      </c>
      <c r="AE3516" s="28">
        <v>3495671000</v>
      </c>
      <c r="AF3516" s="28">
        <v>611039000</v>
      </c>
      <c r="AG3516" s="11"/>
    </row>
    <row r="3517">
      <c r="A3517" s="7" t="s">
        <v>5187</v>
      </c>
      <c r="B3517" s="5" t="s">
        <v>13150</v>
      </c>
      <c r="C3517" s="5" t="s">
        <v>20950</v>
      </c>
      <c r="D3517" s="5" t="str">
        <v>292600331804</v>
      </c>
      <c r="E3517" s="0" t="e">
        <f>+7 (911) 3377755
+7 (815) 2441919
+7 (815) 2447824
+7 (815) 2567797</f>
        <v>#NAME?</v>
      </c>
      <c r="F3517" s="5" t="s">
        <v>35921</v>
      </c>
      <c r="G3517" s="5" t="s">
        <v>35922</v>
      </c>
      <c r="H3517" s="26">
        <v>16</v>
      </c>
      <c r="I3517" s="5" t="s">
        <v>35923</v>
      </c>
      <c r="J3517" s="5" t="s">
        <v>27164</v>
      </c>
      <c r="K3517" s="5" t="s">
        <v>344</v>
      </c>
      <c r="L3517" s="5"/>
      <c r="M3517" s="27"/>
      <c r="N3517" s="5" t="s">
        <v>54758</v>
      </c>
      <c r="O3517" s="5" t="str">
        <v>5190166321</v>
      </c>
      <c r="P3517" s="27">
        <v>10000</v>
      </c>
      <c r="Q3517" s="5" t="s">
        <v>54759</v>
      </c>
      <c r="R3517" s="5"/>
      <c r="S3517" s="5" t="s">
        <v>54760</v>
      </c>
      <c r="T3517" s="28">
        <v>534000</v>
      </c>
      <c r="U3517" s="28"/>
      <c r="V3517" s="28">
        <v>2098955000</v>
      </c>
      <c r="W3517" s="28">
        <v>355000000</v>
      </c>
      <c r="X3517" s="28">
        <v>60779000</v>
      </c>
      <c r="Y3517" s="28">
        <v>2515682000</v>
      </c>
      <c r="Z3517" s="28">
        <v>1100929000</v>
      </c>
      <c r="AA3517" s="28">
        <v>1655000</v>
      </c>
      <c r="AB3517" s="28">
        <v>395000</v>
      </c>
      <c r="AC3517" s="28">
        <v>1413088000</v>
      </c>
      <c r="AD3517" s="28">
        <v>1100939000</v>
      </c>
      <c r="AE3517" s="28">
        <v>3373530000</v>
      </c>
      <c r="AF3517" s="28">
        <v>1100930000</v>
      </c>
      <c r="AG3517" s="11"/>
    </row>
    <row r="3518">
      <c r="A3518" s="7" t="s">
        <v>5188</v>
      </c>
      <c r="B3518" s="5" t="s">
        <v>13151</v>
      </c>
      <c r="C3518" s="5" t="s">
        <v>20951</v>
      </c>
      <c r="D3518" s="5" t="str">
        <v>526301927090</v>
      </c>
      <c r="E3518" s="0" t="e">
        <f>+7 (812) 5116320
+7 (916) 6421578
+7 (965) 4719593
+7 (495) 5807377
+7 (495) 5807378
+7 (916) 1347282</f>
        <v>#NAME?</v>
      </c>
      <c r="F3518" s="5" t="s">
        <v>35924</v>
      </c>
      <c r="G3518" s="5" t="s">
        <v>35925</v>
      </c>
      <c r="H3518" s="26">
        <v>15</v>
      </c>
      <c r="I3518" s="5" t="s">
        <v>35926</v>
      </c>
      <c r="J3518" s="5" t="s">
        <v>26767</v>
      </c>
      <c r="K3518" s="5" t="s">
        <v>344</v>
      </c>
      <c r="L3518" s="5" t="s">
        <v>35927</v>
      </c>
      <c r="M3518" s="27"/>
      <c r="N3518" s="5" t="s">
        <v>54761</v>
      </c>
      <c r="O3518" s="5" t="str">
        <v>7703655356</v>
      </c>
      <c r="P3518" s="27">
        <v>109200000</v>
      </c>
      <c r="Q3518" s="5" t="s">
        <v>54762</v>
      </c>
      <c r="R3518" s="5"/>
      <c r="S3518" s="5" t="s">
        <v>50179</v>
      </c>
      <c r="T3518" s="28">
        <v>221134000</v>
      </c>
      <c r="U3518" s="28"/>
      <c r="V3518" s="28">
        <v>2236016000</v>
      </c>
      <c r="W3518" s="28"/>
      <c r="X3518" s="28">
        <v>1491664000</v>
      </c>
      <c r="Y3518" s="28">
        <v>6702826000</v>
      </c>
      <c r="Z3518" s="28">
        <v>5062835000</v>
      </c>
      <c r="AA3518" s="28">
        <v>1401000</v>
      </c>
      <c r="AB3518" s="28"/>
      <c r="AC3518" s="28">
        <v>1529390000</v>
      </c>
      <c r="AD3518" s="28">
        <v>5172035000</v>
      </c>
      <c r="AE3518" s="28">
        <v>14607597000</v>
      </c>
      <c r="AF3518" s="28">
        <v>1242646000</v>
      </c>
      <c r="AG3518" s="11"/>
    </row>
    <row r="3519">
      <c r="A3519" s="7" t="s">
        <v>5189</v>
      </c>
      <c r="B3519" s="5" t="s">
        <v>13152</v>
      </c>
      <c r="C3519" s="5" t="s">
        <v>20952</v>
      </c>
      <c r="D3519" s="5" t="str">
        <v>263601813000</v>
      </c>
      <c r="E3519" s="0" t="e">
        <f>+7 (865) 2280047
+7 (865) 2280059
+7 (8652) 561782
+7 (962) 4400738</f>
        <v>#NAME?</v>
      </c>
      <c r="F3519" s="5" t="s">
        <v>35928</v>
      </c>
      <c r="G3519" s="5" t="s">
        <v>35929</v>
      </c>
      <c r="H3519" s="26">
        <v>23</v>
      </c>
      <c r="I3519" s="5" t="s">
        <v>35930</v>
      </c>
      <c r="J3519" s="5" t="s">
        <v>25429</v>
      </c>
      <c r="K3519" s="5" t="s">
        <v>344</v>
      </c>
      <c r="L3519" s="5"/>
      <c r="M3519" s="27">
        <v>3000000</v>
      </c>
      <c r="N3519" s="5"/>
      <c r="O3519" s="5" t="str">
        <v>2634047098</v>
      </c>
      <c r="P3519" s="27">
        <v>27000000</v>
      </c>
      <c r="Q3519" s="5" t="s">
        <v>49009</v>
      </c>
      <c r="R3519" s="5"/>
      <c r="S3519" s="5" t="s">
        <v>49045</v>
      </c>
      <c r="T3519" s="28">
        <v>8987000</v>
      </c>
      <c r="U3519" s="28"/>
      <c r="V3519" s="28">
        <v>133808000</v>
      </c>
      <c r="W3519" s="28"/>
      <c r="X3519" s="28">
        <v>24027000</v>
      </c>
      <c r="Y3519" s="28">
        <v>750154000</v>
      </c>
      <c r="Z3519" s="28">
        <v>308635000</v>
      </c>
      <c r="AA3519" s="28"/>
      <c r="AB3519" s="28"/>
      <c r="AC3519" s="28">
        <v>414519000</v>
      </c>
      <c r="AD3519" s="28">
        <v>335635000</v>
      </c>
      <c r="AE3519" s="28">
        <v>4565403000</v>
      </c>
      <c r="AF3519" s="28">
        <v>57693000</v>
      </c>
      <c r="AG3519" s="11"/>
    </row>
    <row r="3520">
      <c r="A3520" s="7" t="s">
        <v>5190</v>
      </c>
      <c r="B3520" s="5" t="s">
        <v>13153</v>
      </c>
      <c r="C3520" s="5" t="s">
        <v>20953</v>
      </c>
      <c r="D3520" s="5" t="str">
        <v>550304591382</v>
      </c>
      <c r="E3520" s="0" t="e">
        <f>+7 (383) 3633703
+7 (903) 9918635
+7 (923) 6118574
+7 (984) 2657599
+7 (923) 6851137</f>
        <v>#NAME?</v>
      </c>
      <c r="F3520" s="5" t="s">
        <v>35931</v>
      </c>
      <c r="G3520" s="5" t="s">
        <v>35932</v>
      </c>
      <c r="H3520" s="26">
        <v>15</v>
      </c>
      <c r="I3520" s="5" t="s">
        <v>35933</v>
      </c>
      <c r="J3520" s="5" t="s">
        <v>25429</v>
      </c>
      <c r="K3520" s="5" t="s">
        <v>344</v>
      </c>
      <c r="L3520" s="5" t="s">
        <v>29868</v>
      </c>
      <c r="M3520" s="27"/>
      <c r="N3520" s="5" t="s">
        <v>54763</v>
      </c>
      <c r="O3520" s="5" t="str">
        <v>5404356555</v>
      </c>
      <c r="P3520" s="27">
        <v>20000</v>
      </c>
      <c r="Q3520" s="5" t="s">
        <v>54764</v>
      </c>
      <c r="R3520" s="5"/>
      <c r="S3520" s="5" t="s">
        <v>54765</v>
      </c>
      <c r="T3520" s="28">
        <v>208890000</v>
      </c>
      <c r="U3520" s="28">
        <v>3683000</v>
      </c>
      <c r="V3520" s="28">
        <v>2247584000</v>
      </c>
      <c r="W3520" s="28">
        <v>3439000</v>
      </c>
      <c r="X3520" s="28">
        <v>458955000</v>
      </c>
      <c r="Y3520" s="28">
        <v>4360143000</v>
      </c>
      <c r="Z3520" s="28">
        <v>438631000</v>
      </c>
      <c r="AA3520" s="28"/>
      <c r="AB3520" s="28"/>
      <c r="AC3520" s="28">
        <v>3826203000</v>
      </c>
      <c r="AD3520" s="28">
        <v>438651000</v>
      </c>
      <c r="AE3520" s="28">
        <v>14407009000</v>
      </c>
      <c r="AF3520" s="28">
        <v>86688000</v>
      </c>
      <c r="AG3520" s="11"/>
    </row>
    <row r="3521">
      <c r="A3521" s="7" t="s">
        <v>5191</v>
      </c>
      <c r="B3521" s="5" t="s">
        <v>13154</v>
      </c>
      <c r="C3521" s="5" t="s">
        <v>20954</v>
      </c>
      <c r="D3521" s="5" t="str">
        <v>771803829312</v>
      </c>
      <c r="E3521" s="0" t="e">
        <f>+7 (495) 9953443
+7 (495) 9959024
+7 (49643) 23421
+7 (49643) 25193
+7 (49643) 25195
+7 (49643) 25437
+7 (49643) 59171
+7 (926) 377793</f>
        <v>#NAME?</v>
      </c>
      <c r="F3521" s="5" t="s">
        <v>35934</v>
      </c>
      <c r="G3521" s="5" t="s">
        <v>35935</v>
      </c>
      <c r="H3521" s="26">
        <v>20.5</v>
      </c>
      <c r="I3521" s="5" t="s">
        <v>35936</v>
      </c>
      <c r="J3521" s="5" t="s">
        <v>25353</v>
      </c>
      <c r="K3521" s="5" t="s">
        <v>355</v>
      </c>
      <c r="L3521" s="5" t="s">
        <v>35937</v>
      </c>
      <c r="M3521" s="27"/>
      <c r="N3521" s="5" t="s">
        <v>54766</v>
      </c>
      <c r="O3521" s="5" t="str">
        <v>5035022276</v>
      </c>
      <c r="P3521" s="27">
        <v>85663000</v>
      </c>
      <c r="Q3521" s="5" t="s">
        <v>49009</v>
      </c>
      <c r="R3521" s="5" t="s">
        <v>51308</v>
      </c>
      <c r="S3521" s="5" t="s">
        <v>49066</v>
      </c>
      <c r="T3521" s="28">
        <v>1193607000</v>
      </c>
      <c r="U3521" s="28"/>
      <c r="V3521" s="28">
        <v>700991000</v>
      </c>
      <c r="W3521" s="28">
        <v>727888000</v>
      </c>
      <c r="X3521" s="28">
        <v>85645000</v>
      </c>
      <c r="Y3521" s="28">
        <v>4789081000</v>
      </c>
      <c r="Z3521" s="28">
        <v>778719000</v>
      </c>
      <c r="AA3521" s="28">
        <v>290000000</v>
      </c>
      <c r="AB3521" s="28">
        <v>1261418000</v>
      </c>
      <c r="AC3521" s="28">
        <v>3457696000</v>
      </c>
      <c r="AD3521" s="28">
        <v>864382000</v>
      </c>
      <c r="AE3521" s="28">
        <v>5397379000</v>
      </c>
      <c r="AF3521" s="28">
        <v>85419000</v>
      </c>
      <c r="AG3521" s="11"/>
    </row>
    <row r="3522">
      <c r="A3522" s="7" t="s">
        <v>5192</v>
      </c>
      <c r="B3522" s="5" t="s">
        <v>13155</v>
      </c>
      <c r="C3522" s="5" t="s">
        <v>20955</v>
      </c>
      <c r="D3522" s="5" t="str">
        <v>772749384209</v>
      </c>
      <c r="E3522" s="0" t="e">
        <f>+7 (495) 4362501
+7 (495) 4367255
+7 (495) 4367878
+7 (495) 4962374
+7 (495) 7891779
+7 (495) 9375555
+7 (499) 7752010
+7 (916) 6205639
+7 (495) 4362374
+7 (495) 6920965
+7 (968) 469446</f>
        <v>#NAME?</v>
      </c>
      <c r="F3522" s="5" t="s">
        <v>35938</v>
      </c>
      <c r="G3522" s="5" t="s">
        <v>35939</v>
      </c>
      <c r="H3522" s="26">
        <v>21</v>
      </c>
      <c r="I3522" s="5"/>
      <c r="J3522" s="5" t="s">
        <v>27534</v>
      </c>
      <c r="K3522" s="5" t="s">
        <v>344</v>
      </c>
      <c r="L3522" s="5"/>
      <c r="M3522" s="27">
        <v>120733419</v>
      </c>
      <c r="N3522" s="5" t="s">
        <v>54767</v>
      </c>
      <c r="O3522" s="5" t="str">
        <v>7710404473</v>
      </c>
      <c r="P3522" s="27">
        <v>2299088330</v>
      </c>
      <c r="Q3522" s="5" t="s">
        <v>54768</v>
      </c>
      <c r="R3522" s="5"/>
      <c r="S3522" s="5" t="s">
        <v>54769</v>
      </c>
      <c r="T3522" s="28">
        <v>33183913000</v>
      </c>
      <c r="U3522" s="28">
        <v>6286542000</v>
      </c>
      <c r="V3522" s="28">
        <v>3409587000</v>
      </c>
      <c r="W3522" s="28">
        <v>15000000</v>
      </c>
      <c r="X3522" s="28">
        <v>10732507000</v>
      </c>
      <c r="Y3522" s="28">
        <v>57080628000</v>
      </c>
      <c r="Z3522" s="28">
        <v>26993030000</v>
      </c>
      <c r="AA3522" s="28">
        <v>5943600000</v>
      </c>
      <c r="AB3522" s="28">
        <v>997873000</v>
      </c>
      <c r="AC3522" s="28">
        <v>3576743000</v>
      </c>
      <c r="AD3522" s="28">
        <v>46559055000</v>
      </c>
      <c r="AE3522" s="28">
        <v>8913222000</v>
      </c>
      <c r="AF3522" s="28">
        <v>362424000</v>
      </c>
      <c r="AG3522" s="11"/>
    </row>
    <row r="3523">
      <c r="A3523" s="7" t="s">
        <v>5193</v>
      </c>
      <c r="B3523" s="5" t="s">
        <v>13156</v>
      </c>
      <c r="C3523" s="5" t="s">
        <v>20956</v>
      </c>
      <c r="D3523" s="5" t="str">
        <v>165024465728</v>
      </c>
      <c r="E3523" s="0" t="e">
        <f>+7 (843) 2540102
+7 (843) 2678866
+7 (843) 2678895
+7 (8432) 540076
+7 (8432) 540176
+7 (8435) 240050
+7 (843) 2540095
+7 (843) 2678405
+7 (8432) 540083
+7 (8432) 540110
+7 (8432) 540186
+7 (8432) 659162
+7 (8432) 678662
+7 (8432) 678762
+7 (8432) 678807</f>
        <v>#NAME?</v>
      </c>
      <c r="F3523" s="5" t="s">
        <v>35940</v>
      </c>
      <c r="G3523" s="5" t="s">
        <v>35941</v>
      </c>
      <c r="H3523" s="26">
        <v>27</v>
      </c>
      <c r="I3523" s="5"/>
      <c r="J3523" s="5" t="s">
        <v>27564</v>
      </c>
      <c r="K3523" s="5" t="s">
        <v>344</v>
      </c>
      <c r="L3523" s="5" t="s">
        <v>35942</v>
      </c>
      <c r="M3523" s="27"/>
      <c r="N3523" s="5" t="s">
        <v>54770</v>
      </c>
      <c r="O3523" s="5" t="str">
        <v>1660000344</v>
      </c>
      <c r="P3523" s="27">
        <v>5592227100</v>
      </c>
      <c r="Q3523" s="5" t="s">
        <v>54772</v>
      </c>
      <c r="R3523" s="5"/>
      <c r="S3523" s="5" t="s">
        <v>49032</v>
      </c>
      <c r="T3523" s="28">
        <v>4874049000</v>
      </c>
      <c r="U3523" s="28"/>
      <c r="V3523" s="28">
        <v>336259000</v>
      </c>
      <c r="W3523" s="28">
        <v>3500000</v>
      </c>
      <c r="X3523" s="28">
        <v>3848534000</v>
      </c>
      <c r="Y3523" s="28">
        <v>9529869000</v>
      </c>
      <c r="Z3523" s="28">
        <v>2390019000</v>
      </c>
      <c r="AA3523" s="28"/>
      <c r="AB3523" s="28"/>
      <c r="AC3523" s="28">
        <v>655400000</v>
      </c>
      <c r="AD3523" s="28">
        <v>8196613000</v>
      </c>
      <c r="AE3523" s="28">
        <v>3690240000</v>
      </c>
      <c r="AF3523" s="28">
        <v>1285148000</v>
      </c>
      <c r="AG3523" s="11"/>
    </row>
    <row r="3524">
      <c r="A3524" s="7" t="s">
        <v>5194</v>
      </c>
      <c r="B3524" s="5" t="s">
        <v>13157</v>
      </c>
      <c r="C3524" s="5" t="s">
        <v>20957</v>
      </c>
      <c r="D3524" s="5"/>
      <c r="E3524" s="0" t="e">
        <f>+7 (8622) 411247
+7 (8622) 497279
+7 (8622) 497523
+7 (8622) 692623
+7 (800) 3331991
+7 (8622) 400032
+7 (8622) 440025
+7 (8622) 440032</f>
        <v>#NAME?</v>
      </c>
      <c r="F3524" s="5" t="s">
        <v>35943</v>
      </c>
      <c r="G3524" s="5"/>
      <c r="H3524" s="26">
        <v>16.5</v>
      </c>
      <c r="I3524" s="5"/>
      <c r="J3524" s="5" t="s">
        <v>27534</v>
      </c>
      <c r="K3524" s="5" t="s">
        <v>344</v>
      </c>
      <c r="L3524" s="5" t="s">
        <v>35944</v>
      </c>
      <c r="M3524" s="27"/>
      <c r="N3524" s="5" t="s">
        <v>54773</v>
      </c>
      <c r="O3524" s="5" t="str">
        <v>2317044843</v>
      </c>
      <c r="P3524" s="27">
        <v>3342035400</v>
      </c>
      <c r="Q3524" s="5" t="s">
        <v>54775</v>
      </c>
      <c r="R3524" s="5"/>
      <c r="S3524" s="5" t="s">
        <v>51054</v>
      </c>
      <c r="T3524" s="28">
        <v>6463220000</v>
      </c>
      <c r="U3524" s="28">
        <v>10579982000</v>
      </c>
      <c r="V3524" s="28">
        <v>883260000</v>
      </c>
      <c r="W3524" s="28">
        <v>1000000000</v>
      </c>
      <c r="X3524" s="28">
        <v>7256309000</v>
      </c>
      <c r="Y3524" s="28">
        <v>26431427000</v>
      </c>
      <c r="Z3524" s="28">
        <v>20790577000</v>
      </c>
      <c r="AA3524" s="28"/>
      <c r="AB3524" s="28"/>
      <c r="AC3524" s="28">
        <v>1511615000</v>
      </c>
      <c r="AD3524" s="28">
        <v>24311194000</v>
      </c>
      <c r="AE3524" s="28">
        <v>12631361000</v>
      </c>
      <c r="AF3524" s="28">
        <v>6786542000</v>
      </c>
      <c r="AG3524" s="11"/>
    </row>
    <row r="3525">
      <c r="A3525" s="7" t="s">
        <v>5195</v>
      </c>
      <c r="B3525" s="5" t="s">
        <v>13158</v>
      </c>
      <c r="C3525" s="5" t="s">
        <v>20958</v>
      </c>
      <c r="D3525" s="5"/>
      <c r="E3525" s="0" t="e">
        <f>+7 (38475) 43601
+7 (38475) 44411
+7 (38475) 21438
+7 (38475) 21708
+7 (38475) 26019
+7 (38475) 43197
+7 (475) 4360172</f>
        <v>#NAME?</v>
      </c>
      <c r="F3525" s="5" t="s">
        <v>35945</v>
      </c>
      <c r="G3525" s="5" t="s">
        <v>35946</v>
      </c>
      <c r="H3525" s="26">
        <v>21</v>
      </c>
      <c r="I3525" s="5"/>
      <c r="J3525" s="5" t="s">
        <v>32368</v>
      </c>
      <c r="K3525" s="5" t="s">
        <v>355</v>
      </c>
      <c r="L3525" s="5" t="s">
        <v>35947</v>
      </c>
      <c r="M3525" s="27">
        <v>307000</v>
      </c>
      <c r="N3525" s="5" t="s">
        <v>54776</v>
      </c>
      <c r="O3525" s="5" t="str">
        <v>4214000252</v>
      </c>
      <c r="P3525" s="27">
        <v>197064</v>
      </c>
      <c r="Q3525" s="5" t="s">
        <v>54777</v>
      </c>
      <c r="R3525" s="5"/>
      <c r="S3525" s="5" t="s">
        <v>50248</v>
      </c>
      <c r="T3525" s="28">
        <v>17599853000</v>
      </c>
      <c r="U3525" s="28">
        <v>91224702000</v>
      </c>
      <c r="V3525" s="28">
        <v>6436385000</v>
      </c>
      <c r="W3525" s="28">
        <v>6873700000</v>
      </c>
      <c r="X3525" s="28">
        <v>4989373000</v>
      </c>
      <c r="Y3525" s="28">
        <v>130838689000</v>
      </c>
      <c r="Z3525" s="28">
        <v>65698603000</v>
      </c>
      <c r="AA3525" s="28"/>
      <c r="AB3525" s="28">
        <v>51200942000</v>
      </c>
      <c r="AC3525" s="28">
        <v>58447663000</v>
      </c>
      <c r="AD3525" s="28">
        <v>66054735000</v>
      </c>
      <c r="AE3525" s="28">
        <v>35880837000</v>
      </c>
      <c r="AF3525" s="28">
        <v>-16637517000</v>
      </c>
      <c r="AG3525" s="11"/>
    </row>
    <row r="3526">
      <c r="A3526" s="7" t="s">
        <v>5196</v>
      </c>
      <c r="B3526" s="5" t="s">
        <v>13159</v>
      </c>
      <c r="C3526" s="5" t="s">
        <v>20959</v>
      </c>
      <c r="D3526" s="5" t="str">
        <v>701404516401</v>
      </c>
      <c r="E3526" s="0" t="e">
        <f>+7 (382) 2981223
+7 (382) 2981913
+7 (382) 2981928
+7 (382) 2981944
+7 (382) 2982085
+7 (382) 2982168
+7 (382) 2982169
+7 (382) 2982475
+7 (382) 2982777
+7 (382) 2983491</f>
        <v>#NAME?</v>
      </c>
      <c r="F3526" s="5" t="s">
        <v>35948</v>
      </c>
      <c r="G3526" s="5" t="s">
        <v>35949</v>
      </c>
      <c r="H3526" s="26">
        <v>23.5</v>
      </c>
      <c r="I3526" s="5" t="s">
        <v>35950</v>
      </c>
      <c r="J3526" s="5" t="s">
        <v>25450</v>
      </c>
      <c r="K3526" s="5" t="s">
        <v>344</v>
      </c>
      <c r="L3526" s="5" t="s">
        <v>35951</v>
      </c>
      <c r="M3526" s="27"/>
      <c r="N3526" s="5" t="s">
        <v>54778</v>
      </c>
      <c r="O3526" s="5" t="str">
        <v>7014027742</v>
      </c>
      <c r="P3526" s="27">
        <v>10000</v>
      </c>
      <c r="Q3526" s="5" t="s">
        <v>49009</v>
      </c>
      <c r="R3526" s="5"/>
      <c r="S3526" s="5" t="s">
        <v>49487</v>
      </c>
      <c r="T3526" s="28">
        <v>1562345000</v>
      </c>
      <c r="U3526" s="28">
        <v>3290851000</v>
      </c>
      <c r="V3526" s="28">
        <v>1464424000</v>
      </c>
      <c r="W3526" s="28">
        <v>202211000</v>
      </c>
      <c r="X3526" s="28">
        <v>708564000</v>
      </c>
      <c r="Y3526" s="28">
        <v>8548623000</v>
      </c>
      <c r="Z3526" s="28">
        <v>7772320000</v>
      </c>
      <c r="AA3526" s="28">
        <v>3862000</v>
      </c>
      <c r="AB3526" s="28">
        <v>596173000</v>
      </c>
      <c r="AC3526" s="28">
        <v>772431000</v>
      </c>
      <c r="AD3526" s="28">
        <v>7772330000</v>
      </c>
      <c r="AE3526" s="28">
        <v>7023609000</v>
      </c>
      <c r="AF3526" s="28">
        <v>840159000</v>
      </c>
      <c r="AG3526" s="11"/>
    </row>
    <row r="3527">
      <c r="A3527" s="7" t="s">
        <v>5197</v>
      </c>
      <c r="B3527" s="5" t="s">
        <v>13160</v>
      </c>
      <c r="C3527" s="5" t="s">
        <v>20960</v>
      </c>
      <c r="D3527" s="5" t="str">
        <v>290109045806</v>
      </c>
      <c r="E3527" s="0" t="e">
        <f>+7 (495) 5320905
+7 (495) 5663672
+7 (495) 5672333
+7 (495) 5985478
+7 (495) 7895263
+7 (495) 7962584
+7 (495) 7968005
+7 (495) 8808889
+7 (495) 9854878
+7 (495) 9857487
+7 (49653) 22389
+7 (495) 5264431
+7 (495) 5269966
+7 (49653) 20509
+7 (49653) 36004</f>
        <v>#NAME?</v>
      </c>
      <c r="F3527" s="5" t="s">
        <v>35952</v>
      </c>
      <c r="G3527" s="5" t="s">
        <v>35953</v>
      </c>
      <c r="H3527" s="26">
        <v>24.5</v>
      </c>
      <c r="I3527" s="5" t="s">
        <v>35954</v>
      </c>
      <c r="J3527" s="5" t="s">
        <v>29042</v>
      </c>
      <c r="K3527" s="5" t="s">
        <v>344</v>
      </c>
      <c r="L3527" s="5"/>
      <c r="M3527" s="27">
        <v>27063101</v>
      </c>
      <c r="N3527" s="5" t="s">
        <v>54780</v>
      </c>
      <c r="O3527" s="5" t="str">
        <v>5050025306</v>
      </c>
      <c r="P3527" s="27">
        <v>760028175</v>
      </c>
      <c r="Q3527" s="5" t="s">
        <v>54781</v>
      </c>
      <c r="R3527" s="5"/>
      <c r="S3527" s="5" t="s">
        <v>54782</v>
      </c>
      <c r="T3527" s="28">
        <v>2457380000</v>
      </c>
      <c r="U3527" s="28">
        <v>11000</v>
      </c>
      <c r="V3527" s="28">
        <v>1338428000</v>
      </c>
      <c r="W3527" s="28"/>
      <c r="X3527" s="28">
        <v>327153000</v>
      </c>
      <c r="Y3527" s="28">
        <v>4340834000</v>
      </c>
      <c r="Z3527" s="28">
        <v>148406000</v>
      </c>
      <c r="AA3527" s="28"/>
      <c r="AB3527" s="28"/>
      <c r="AC3527" s="28">
        <v>1533998000</v>
      </c>
      <c r="AD3527" s="28">
        <v>2585026000</v>
      </c>
      <c r="AE3527" s="28">
        <v>4203535000</v>
      </c>
      <c r="AF3527" s="28">
        <v>9546000</v>
      </c>
      <c r="AG3527" s="11"/>
    </row>
    <row r="3528">
      <c r="A3528" s="7" t="s">
        <v>5198</v>
      </c>
      <c r="B3528" s="5" t="s">
        <v>13161</v>
      </c>
      <c r="C3528" s="5" t="s">
        <v>20961</v>
      </c>
      <c r="D3528" s="5" t="str">
        <v>531801742658</v>
      </c>
      <c r="E3528" s="0" t="e">
        <f>+7 (495) 6610798
+7 (495) 2405801
+7 (495) 6020794
+7 (495) 6020798
+7 (495) 6480375</f>
        <v>#NAME?</v>
      </c>
      <c r="F3528" s="5" t="s">
        <v>35955</v>
      </c>
      <c r="G3528" s="5" t="s">
        <v>35956</v>
      </c>
      <c r="H3528" s="26">
        <v>18</v>
      </c>
      <c r="I3528" s="5" t="s">
        <v>35957</v>
      </c>
      <c r="J3528" s="5" t="s">
        <v>26623</v>
      </c>
      <c r="K3528" s="5" t="s">
        <v>344</v>
      </c>
      <c r="L3528" s="5" t="s">
        <v>35958</v>
      </c>
      <c r="M3528" s="27"/>
      <c r="N3528" s="5" t="s">
        <v>54783</v>
      </c>
      <c r="O3528" s="5" t="str">
        <v>7704550388</v>
      </c>
      <c r="P3528" s="27">
        <v>14070000</v>
      </c>
      <c r="Q3528" s="5"/>
      <c r="R3528" s="5"/>
      <c r="S3528" s="5" t="s">
        <v>49110</v>
      </c>
      <c r="T3528" s="28">
        <v>3184000</v>
      </c>
      <c r="U3528" s="28"/>
      <c r="V3528" s="28">
        <v>132800000</v>
      </c>
      <c r="W3528" s="28">
        <v>19000000</v>
      </c>
      <c r="X3528" s="28">
        <v>2860000</v>
      </c>
      <c r="Y3528" s="28">
        <v>158102000</v>
      </c>
      <c r="Z3528" s="28">
        <v>21695000</v>
      </c>
      <c r="AA3528" s="28"/>
      <c r="AB3528" s="28"/>
      <c r="AC3528" s="28">
        <v>122133000</v>
      </c>
      <c r="AD3528" s="28">
        <v>35765000</v>
      </c>
      <c r="AE3528" s="28">
        <v>3651051000</v>
      </c>
      <c r="AF3528" s="28">
        <v>20790000</v>
      </c>
      <c r="AG3528" s="11"/>
    </row>
    <row r="3529">
      <c r="A3529" s="7" t="s">
        <v>5199</v>
      </c>
      <c r="B3529" s="5" t="s">
        <v>13162</v>
      </c>
      <c r="C3529" s="5" t="s">
        <v>20962</v>
      </c>
      <c r="D3529" s="5" t="str">
        <v>420506660100</v>
      </c>
      <c r="E3529" s="0" t="e">
        <f>+7 (34764) 40350
+7 (34764) 42366
+7 (34764) 42400
+7 (34764) 42916
+7 (34764) 52525</f>
        <v>#NAME?</v>
      </c>
      <c r="F3529" s="5" t="s">
        <v>35959</v>
      </c>
      <c r="G3529" s="5" t="s">
        <v>35960</v>
      </c>
      <c r="H3529" s="26">
        <v>19.5</v>
      </c>
      <c r="I3529" s="5"/>
      <c r="J3529" s="5" t="s">
        <v>25275</v>
      </c>
      <c r="K3529" s="5" t="s">
        <v>344</v>
      </c>
      <c r="L3529" s="5" t="s">
        <v>35961</v>
      </c>
      <c r="M3529" s="27">
        <v>10618132</v>
      </c>
      <c r="N3529" s="5" t="s">
        <v>54784</v>
      </c>
      <c r="O3529" s="5" t="str">
        <v>0263009557</v>
      </c>
      <c r="P3529" s="27">
        <v>1105090800</v>
      </c>
      <c r="Q3529" s="5" t="s">
        <v>54785</v>
      </c>
      <c r="R3529" s="5"/>
      <c r="S3529" s="5" t="s">
        <v>54786</v>
      </c>
      <c r="T3529" s="28">
        <v>1246435000</v>
      </c>
      <c r="U3529" s="28"/>
      <c r="V3529" s="28">
        <v>1022467000</v>
      </c>
      <c r="W3529" s="28"/>
      <c r="X3529" s="28">
        <v>959303000</v>
      </c>
      <c r="Y3529" s="28">
        <v>4348757000</v>
      </c>
      <c r="Z3529" s="28">
        <v>2297328000</v>
      </c>
      <c r="AA3529" s="28"/>
      <c r="AB3529" s="28">
        <v>251260000</v>
      </c>
      <c r="AC3529" s="28">
        <v>550820000</v>
      </c>
      <c r="AD3529" s="28">
        <v>3457674000</v>
      </c>
      <c r="AE3529" s="28">
        <v>7104447000</v>
      </c>
      <c r="AF3529" s="28">
        <v>1708979000</v>
      </c>
      <c r="AG3529" s="11"/>
    </row>
    <row r="3530">
      <c r="A3530" s="7" t="s">
        <v>5200</v>
      </c>
      <c r="B3530" s="5" t="s">
        <v>13163</v>
      </c>
      <c r="C3530" s="5" t="s">
        <v>20963</v>
      </c>
      <c r="D3530" s="5" t="str">
        <v>026303087759</v>
      </c>
      <c r="E3530" s="0" t="e">
        <f>+7 (34764) 30574
+7 (34764) 30107
+7 (34764) 30547
+7 (34764) 30756
+7 (34764) 31323
+7 (34764) 31573
+7 (34764) 32078
+7 (34764) 32200
+7 (34764) 32213
+7 (34764) 35146
+7 (34764) 40282</f>
        <v>#NAME?</v>
      </c>
      <c r="F3530" s="5" t="s">
        <v>35962</v>
      </c>
      <c r="G3530" s="5" t="s">
        <v>35963</v>
      </c>
      <c r="H3530" s="26">
        <v>30</v>
      </c>
      <c r="I3530" s="5" t="s">
        <v>35964</v>
      </c>
      <c r="J3530" s="5" t="s">
        <v>33515</v>
      </c>
      <c r="K3530" s="5" t="s">
        <v>344</v>
      </c>
      <c r="L3530" s="5" t="s">
        <v>35965</v>
      </c>
      <c r="M3530" s="27"/>
      <c r="N3530" s="5" t="s">
        <v>54787</v>
      </c>
      <c r="O3530" s="5" t="str">
        <v>0263028743</v>
      </c>
      <c r="P3530" s="27">
        <v>42500000</v>
      </c>
      <c r="Q3530" s="5"/>
      <c r="R3530" s="5"/>
      <c r="S3530" s="5" t="s">
        <v>49425</v>
      </c>
      <c r="T3530" s="28">
        <v>292501000</v>
      </c>
      <c r="U3530" s="28">
        <v>3000</v>
      </c>
      <c r="V3530" s="28">
        <v>579284000</v>
      </c>
      <c r="W3530" s="28"/>
      <c r="X3530" s="28">
        <v>45578000</v>
      </c>
      <c r="Y3530" s="28">
        <v>1285351000</v>
      </c>
      <c r="Z3530" s="28">
        <v>203797000</v>
      </c>
      <c r="AA3530" s="28"/>
      <c r="AB3530" s="28">
        <v>770000000</v>
      </c>
      <c r="AC3530" s="28">
        <v>906413000</v>
      </c>
      <c r="AD3530" s="28">
        <v>354728000</v>
      </c>
      <c r="AE3530" s="28">
        <v>4687817000</v>
      </c>
      <c r="AF3530" s="28">
        <v>118818000</v>
      </c>
      <c r="AG3530" s="11"/>
    </row>
    <row r="3531">
      <c r="A3531" s="7" t="s">
        <v>5201</v>
      </c>
      <c r="B3531" s="5" t="s">
        <v>13164</v>
      </c>
      <c r="C3531" s="5" t="s">
        <v>20964</v>
      </c>
      <c r="D3531" s="5" t="str">
        <v>771805885168</v>
      </c>
      <c r="E3531" s="0" t="e">
        <f>+7 (34764) 50293
+7 (34764) 50415
+7 (34764) 53385
+7 (926) 8681439
+7 (980) 5120129</f>
        <v>#NAME?</v>
      </c>
      <c r="F3531" s="5" t="s">
        <v>35966</v>
      </c>
      <c r="G3531" s="5"/>
      <c r="H3531" s="26">
        <v>7</v>
      </c>
      <c r="I3531" s="5" t="s">
        <v>35967</v>
      </c>
      <c r="J3531" s="5" t="s">
        <v>26128</v>
      </c>
      <c r="K3531" s="5" t="s">
        <v>344</v>
      </c>
      <c r="L3531" s="5" t="s">
        <v>32459</v>
      </c>
      <c r="M3531" s="27"/>
      <c r="N3531" s="5" t="s">
        <v>54788</v>
      </c>
      <c r="O3531" s="5" t="str">
        <v>7708278398</v>
      </c>
      <c r="P3531" s="27">
        <v>100000</v>
      </c>
      <c r="Q3531" s="5" t="s">
        <v>54789</v>
      </c>
      <c r="R3531" s="5"/>
      <c r="S3531" s="5" t="s">
        <v>54790</v>
      </c>
      <c r="T3531" s="28">
        <v>48056000</v>
      </c>
      <c r="U3531" s="28">
        <v>60010000</v>
      </c>
      <c r="V3531" s="28">
        <v>548089000</v>
      </c>
      <c r="W3531" s="28">
        <v>62400000</v>
      </c>
      <c r="X3531" s="28">
        <v>98263000</v>
      </c>
      <c r="Y3531" s="28">
        <v>1117148000</v>
      </c>
      <c r="Z3531" s="28">
        <v>506933000</v>
      </c>
      <c r="AA3531" s="28"/>
      <c r="AB3531" s="28">
        <v>224780000</v>
      </c>
      <c r="AC3531" s="28">
        <v>605507000</v>
      </c>
      <c r="AD3531" s="28">
        <v>507033000</v>
      </c>
      <c r="AE3531" s="28">
        <v>4568401000</v>
      </c>
      <c r="AF3531" s="28">
        <v>303527000</v>
      </c>
      <c r="AG3531" s="11"/>
    </row>
    <row r="3532">
      <c r="A3532" s="7" t="s">
        <v>5202</v>
      </c>
      <c r="B3532" s="5" t="s">
        <v>13165</v>
      </c>
      <c r="C3532" s="5" t="s">
        <v>20965</v>
      </c>
      <c r="D3532" s="5" t="str">
        <v>772583324315</v>
      </c>
      <c r="E3532" s="0" t="e">
        <f>+7 (499) 6535210
+7 (800) 3331316
+7 (800) 7070543
+7 (903) 7094774</f>
        <v>#NAME?</v>
      </c>
      <c r="F3532" s="5" t="s">
        <v>35968</v>
      </c>
      <c r="G3532" s="5" t="s">
        <v>35969</v>
      </c>
      <c r="H3532" s="26">
        <v>11</v>
      </c>
      <c r="I3532" s="5" t="s">
        <v>35970</v>
      </c>
      <c r="J3532" s="5" t="s">
        <v>28053</v>
      </c>
      <c r="K3532" s="5" t="s">
        <v>344</v>
      </c>
      <c r="L3532" s="5" t="s">
        <v>35971</v>
      </c>
      <c r="M3532" s="27"/>
      <c r="N3532" s="5"/>
      <c r="O3532" s="5" t="str">
        <v>2540179758</v>
      </c>
      <c r="P3532" s="27">
        <v>200000000</v>
      </c>
      <c r="Q3532" s="5" t="s">
        <v>49009</v>
      </c>
      <c r="R3532" s="5"/>
      <c r="S3532" s="5" t="s">
        <v>49010</v>
      </c>
      <c r="T3532" s="28">
        <v>331880000</v>
      </c>
      <c r="U3532" s="28">
        <v>4006202000</v>
      </c>
      <c r="V3532" s="28">
        <v>341765000</v>
      </c>
      <c r="W3532" s="28"/>
      <c r="X3532" s="28">
        <v>2727147000</v>
      </c>
      <c r="Y3532" s="28">
        <v>12162354000</v>
      </c>
      <c r="Z3532" s="28">
        <v>5146178000</v>
      </c>
      <c r="AA3532" s="28">
        <v>46000000</v>
      </c>
      <c r="AB3532" s="28">
        <v>15622000</v>
      </c>
      <c r="AC3532" s="28">
        <v>45594000</v>
      </c>
      <c r="AD3532" s="28">
        <v>12070759000</v>
      </c>
      <c r="AE3532" s="28">
        <v>24040648000</v>
      </c>
      <c r="AF3532" s="28">
        <v>4103446000</v>
      </c>
      <c r="AG3532" s="11"/>
    </row>
    <row r="3533">
      <c r="A3533" s="7" t="s">
        <v>5203</v>
      </c>
      <c r="B3533" s="5" t="s">
        <v>13166</v>
      </c>
      <c r="C3533" s="5" t="s">
        <v>20966</v>
      </c>
      <c r="D3533" s="5" t="str">
        <v>780522937412</v>
      </c>
      <c r="E3533" s="0" t="e">
        <f>+7 (495) 6277581
+7 (800) 5052008
+7 (812) 6400500
+7 (812) 6405410</f>
        <v>#NAME?</v>
      </c>
      <c r="F3533" s="5" t="s">
        <v>35972</v>
      </c>
      <c r="G3533" s="5" t="s">
        <v>35973</v>
      </c>
      <c r="H3533" s="26">
        <v>18</v>
      </c>
      <c r="I3533" s="5" t="s">
        <v>35974</v>
      </c>
      <c r="J3533" s="5" t="s">
        <v>1013</v>
      </c>
      <c r="K3533" s="5" t="s">
        <v>344</v>
      </c>
      <c r="L3533" s="5" t="s">
        <v>35975</v>
      </c>
      <c r="M3533" s="27">
        <v>9338</v>
      </c>
      <c r="N3533" s="5"/>
      <c r="O3533" s="5" t="str">
        <v>7813248219</v>
      </c>
      <c r="P3533" s="27">
        <v>100000</v>
      </c>
      <c r="Q3533" s="5" t="s">
        <v>49021</v>
      </c>
      <c r="R3533" s="5"/>
      <c r="S3533" s="5" t="s">
        <v>54791</v>
      </c>
      <c r="T3533" s="28">
        <v>10047000</v>
      </c>
      <c r="U3533" s="28">
        <v>729000</v>
      </c>
      <c r="V3533" s="28">
        <v>663537000</v>
      </c>
      <c r="W3533" s="28"/>
      <c r="X3533" s="28">
        <v>1319113000</v>
      </c>
      <c r="Y3533" s="28">
        <v>2112056000</v>
      </c>
      <c r="Z3533" s="28">
        <v>686033000</v>
      </c>
      <c r="AA3533" s="28"/>
      <c r="AB3533" s="28">
        <v>286000</v>
      </c>
      <c r="AC3533" s="28">
        <v>1423225000</v>
      </c>
      <c r="AD3533" s="28">
        <v>686138000</v>
      </c>
      <c r="AE3533" s="28">
        <v>4658431000</v>
      </c>
      <c r="AF3533" s="28">
        <v>873081000</v>
      </c>
      <c r="AG3533" s="11"/>
    </row>
    <row r="3534">
      <c r="A3534" s="7" t="s">
        <v>5204</v>
      </c>
      <c r="B3534" s="5" t="s">
        <v>13167</v>
      </c>
      <c r="C3534" s="5" t="s">
        <v>20967</v>
      </c>
      <c r="D3534" s="5" t="str">
        <v>711606211303</v>
      </c>
      <c r="E3534" s="0" t="e">
        <f>+7 (812) 3130605
+7 (812) 6400500</f>
        <v>#NAME?</v>
      </c>
      <c r="F3534" s="5" t="s">
        <v>35976</v>
      </c>
      <c r="G3534" s="5" t="s">
        <v>35977</v>
      </c>
      <c r="H3534" s="26">
        <v>13</v>
      </c>
      <c r="I3534" s="5" t="s">
        <v>35978</v>
      </c>
      <c r="J3534" s="5" t="s">
        <v>897</v>
      </c>
      <c r="K3534" s="5" t="s">
        <v>344</v>
      </c>
      <c r="L3534" s="5" t="s">
        <v>35979</v>
      </c>
      <c r="M3534" s="27"/>
      <c r="N3534" s="5"/>
      <c r="O3534" s="5" t="str">
        <v>7842429918</v>
      </c>
      <c r="P3534" s="27">
        <v>20000</v>
      </c>
      <c r="Q3534" s="5" t="s">
        <v>49021</v>
      </c>
      <c r="R3534" s="5"/>
      <c r="S3534" s="5" t="s">
        <v>54793</v>
      </c>
      <c r="T3534" s="28">
        <v>84958000</v>
      </c>
      <c r="U3534" s="28">
        <v>978000</v>
      </c>
      <c r="V3534" s="28">
        <v>564103000</v>
      </c>
      <c r="W3534" s="28"/>
      <c r="X3534" s="28">
        <v>440652000</v>
      </c>
      <c r="Y3534" s="28">
        <v>1404130000</v>
      </c>
      <c r="Z3534" s="28">
        <v>368647000</v>
      </c>
      <c r="AA3534" s="28"/>
      <c r="AB3534" s="28"/>
      <c r="AC3534" s="28">
        <v>981046000</v>
      </c>
      <c r="AD3534" s="28">
        <v>368668000</v>
      </c>
      <c r="AE3534" s="28">
        <v>4177821000</v>
      </c>
      <c r="AF3534" s="28">
        <v>763531000</v>
      </c>
      <c r="AG3534" s="11"/>
    </row>
    <row r="3535">
      <c r="A3535" s="7" t="s">
        <v>5205</v>
      </c>
      <c r="B3535" s="5" t="s">
        <v>13168</v>
      </c>
      <c r="C3535" s="5" t="s">
        <v>20968</v>
      </c>
      <c r="D3535" s="5" t="str">
        <v>422304954849</v>
      </c>
      <c r="E3535" s="0" t="e">
        <f>+7 (351) 2622919
+7 (3846) 668046
+7 (3846) 668047
+7 (3846) 668054
+7 (3846) 668059
+7 (903) 9083578
+7 (903) 9087916
+7 (961) 7003404</f>
        <v>#NAME?</v>
      </c>
      <c r="F3535" s="5" t="s">
        <v>35980</v>
      </c>
      <c r="G3535" s="5" t="s">
        <v>35981</v>
      </c>
      <c r="H3535" s="26">
        <v>9.5</v>
      </c>
      <c r="I3535" s="5" t="s">
        <v>35982</v>
      </c>
      <c r="J3535" s="5" t="s">
        <v>25283</v>
      </c>
      <c r="K3535" s="5" t="s">
        <v>355</v>
      </c>
      <c r="L3535" s="5"/>
      <c r="M3535" s="27">
        <v>1579945321</v>
      </c>
      <c r="N3535" s="5" t="s">
        <v>54794</v>
      </c>
      <c r="O3535" s="5" t="str">
        <v>7451355496</v>
      </c>
      <c r="P3535" s="27">
        <v>10000</v>
      </c>
      <c r="Q3535" s="5" t="s">
        <v>54795</v>
      </c>
      <c r="R3535" s="5"/>
      <c r="S3535" s="5" t="s">
        <v>51494</v>
      </c>
      <c r="T3535" s="28">
        <v>77583000</v>
      </c>
      <c r="U3535" s="28">
        <v>31084612000</v>
      </c>
      <c r="V3535" s="28">
        <v>3661376000</v>
      </c>
      <c r="W3535" s="28"/>
      <c r="X3535" s="28">
        <v>172040000</v>
      </c>
      <c r="Y3535" s="28">
        <v>35599638000</v>
      </c>
      <c r="Z3535" s="28">
        <v>1865534000</v>
      </c>
      <c r="AA3535" s="28">
        <v>30029269000</v>
      </c>
      <c r="AB3535" s="28"/>
      <c r="AC3535" s="28">
        <v>3662697000</v>
      </c>
      <c r="AD3535" s="28">
        <v>1865544000</v>
      </c>
      <c r="AE3535" s="28">
        <v>29547671000</v>
      </c>
      <c r="AF3535" s="28">
        <v>732504000</v>
      </c>
      <c r="AG3535" s="11"/>
    </row>
    <row r="3536">
      <c r="A3536" s="7" t="s">
        <v>5206</v>
      </c>
      <c r="B3536" s="5" t="s">
        <v>13169</v>
      </c>
      <c r="C3536" s="5" t="s">
        <v>20969</v>
      </c>
      <c r="D3536" s="5" t="str">
        <v>770303764954</v>
      </c>
      <c r="E3536" s="0" t="e">
        <f>+7 (964) 7955511
+7 (495) 5301101
+7 (499) 2561121
+7 (499) 2564190
+7 (499) 2594817
+7 (499) 2595050
+7 (499) 2595112
+7 (499) 2595123
+7 (499) 2595318
+7 (499) 2595847</f>
        <v>#NAME?</v>
      </c>
      <c r="F3536" s="5" t="s">
        <v>35983</v>
      </c>
      <c r="G3536" s="5" t="s">
        <v>35984</v>
      </c>
      <c r="H3536" s="26">
        <v>28.5</v>
      </c>
      <c r="I3536" s="5"/>
      <c r="J3536" s="5" t="s">
        <v>26526</v>
      </c>
      <c r="K3536" s="5" t="s">
        <v>344</v>
      </c>
      <c r="L3536" s="5" t="s">
        <v>35985</v>
      </c>
      <c r="M3536" s="27"/>
      <c r="N3536" s="5"/>
      <c r="O3536" s="5" t="str">
        <v>7714015735</v>
      </c>
      <c r="P3536" s="27">
        <v>4035648</v>
      </c>
      <c r="Q3536" s="5" t="s">
        <v>49535</v>
      </c>
      <c r="R3536" s="5"/>
      <c r="S3536" s="5" t="s">
        <v>54796</v>
      </c>
      <c r="T3536" s="28">
        <v>810779000</v>
      </c>
      <c r="U3536" s="28">
        <v>65000</v>
      </c>
      <c r="V3536" s="28">
        <v>1128640000</v>
      </c>
      <c r="W3536" s="28"/>
      <c r="X3536" s="28">
        <v>3430782000</v>
      </c>
      <c r="Y3536" s="28">
        <v>6419933000</v>
      </c>
      <c r="Z3536" s="28">
        <v>5158459000</v>
      </c>
      <c r="AA3536" s="28"/>
      <c r="AB3536" s="28">
        <v>802123000</v>
      </c>
      <c r="AC3536" s="28">
        <v>1161750000</v>
      </c>
      <c r="AD3536" s="28">
        <v>5253986000</v>
      </c>
      <c r="AE3536" s="28">
        <v>7473411000</v>
      </c>
      <c r="AF3536" s="28">
        <v>621484000</v>
      </c>
      <c r="AG3536" s="11"/>
    </row>
    <row r="3537">
      <c r="A3537" s="7" t="s">
        <v>5207</v>
      </c>
      <c r="B3537" s="5" t="s">
        <v>13170</v>
      </c>
      <c r="C3537" s="5" t="s">
        <v>20970</v>
      </c>
      <c r="D3537" s="5" t="str">
        <v>666307435800</v>
      </c>
      <c r="E3537" s="0" t="e">
        <f>+7 (482) 2332462
+7 (482) 2338012
+7 (482) 2342061
+7 (482) 2342412
+7 (482) 2342462
+7 (482) 2343213
+7 (482) 2348005
+7 (482) 2348008
+7 (482) 2348044
+7 (482) 2348741
+7 (482) 2353741
+7 (482) 2359523
+7 (8482) 234462
+7 (910) 9365522</f>
        <v>#NAME?</v>
      </c>
      <c r="F3537" s="5" t="s">
        <v>35986</v>
      </c>
      <c r="G3537" s="5" t="s">
        <v>35987</v>
      </c>
      <c r="H3537" s="26">
        <v>29.5</v>
      </c>
      <c r="I3537" s="5" t="s">
        <v>35988</v>
      </c>
      <c r="J3537" s="5" t="s">
        <v>26526</v>
      </c>
      <c r="K3537" s="5" t="s">
        <v>344</v>
      </c>
      <c r="L3537" s="5"/>
      <c r="M3537" s="27"/>
      <c r="N3537" s="5"/>
      <c r="O3537" s="5" t="str">
        <v>6903001493</v>
      </c>
      <c r="P3537" s="27">
        <v>44285000</v>
      </c>
      <c r="Q3537" s="5" t="s">
        <v>49009</v>
      </c>
      <c r="R3537" s="5" t="s">
        <v>54797</v>
      </c>
      <c r="S3537" s="5" t="s">
        <v>49576</v>
      </c>
      <c r="T3537" s="28">
        <v>612129000</v>
      </c>
      <c r="U3537" s="28">
        <v>242810000</v>
      </c>
      <c r="V3537" s="28">
        <v>3041531000</v>
      </c>
      <c r="W3537" s="28"/>
      <c r="X3537" s="28">
        <v>29691000</v>
      </c>
      <c r="Y3537" s="28">
        <v>5891150000</v>
      </c>
      <c r="Z3537" s="28">
        <v>541845000</v>
      </c>
      <c r="AA3537" s="28">
        <v>871651000</v>
      </c>
      <c r="AB3537" s="28">
        <v>1396184000</v>
      </c>
      <c r="AC3537" s="28">
        <v>2763289000</v>
      </c>
      <c r="AD3537" s="28">
        <v>601428000</v>
      </c>
      <c r="AE3537" s="28">
        <v>10366569000</v>
      </c>
      <c r="AF3537" s="28">
        <v>466494000</v>
      </c>
      <c r="AG3537" s="11"/>
    </row>
    <row r="3538">
      <c r="A3538" s="7" t="s">
        <v>5208</v>
      </c>
      <c r="B3538" s="5" t="s">
        <v>13171</v>
      </c>
      <c r="C3538" s="5" t="s">
        <v>20971</v>
      </c>
      <c r="D3538" s="5" t="str">
        <v>780211631189</v>
      </c>
      <c r="E3538" s="0" t="e">
        <f>+7 (495) 4864701
+7 (495) 4864704
+7 (495) 4864708
+7 (495) 4864710
+7 (495) 4864715
+7 (495) 4864716
+7 (495) 4864736
+7 (495) 4864747
+7 (495) 4864792</f>
        <v>#NAME?</v>
      </c>
      <c r="F3538" s="5" t="s">
        <v>35989</v>
      </c>
      <c r="G3538" s="5" t="s">
        <v>35990</v>
      </c>
      <c r="H3538" s="26">
        <v>31</v>
      </c>
      <c r="I3538" s="5"/>
      <c r="J3538" s="5" t="s">
        <v>27650</v>
      </c>
      <c r="K3538" s="5" t="s">
        <v>344</v>
      </c>
      <c r="L3538" s="5" t="s">
        <v>35991</v>
      </c>
      <c r="M3538" s="27"/>
      <c r="N3538" s="5"/>
      <c r="O3538" s="5" t="str">
        <v>7713016180</v>
      </c>
      <c r="P3538" s="27">
        <v>207804160</v>
      </c>
      <c r="Q3538" s="5" t="s">
        <v>49021</v>
      </c>
      <c r="R3538" s="5"/>
      <c r="S3538" s="5" t="s">
        <v>54799</v>
      </c>
      <c r="T3538" s="28">
        <v>453026000</v>
      </c>
      <c r="U3538" s="28"/>
      <c r="V3538" s="28">
        <v>2114439000</v>
      </c>
      <c r="W3538" s="28"/>
      <c r="X3538" s="28">
        <v>41210000</v>
      </c>
      <c r="Y3538" s="28">
        <v>4502798000</v>
      </c>
      <c r="Z3538" s="28">
        <v>1717977000</v>
      </c>
      <c r="AA3538" s="28">
        <v>634500000</v>
      </c>
      <c r="AB3538" s="28">
        <v>1128788000</v>
      </c>
      <c r="AC3538" s="28">
        <v>1788202000</v>
      </c>
      <c r="AD3538" s="28">
        <v>2062776000</v>
      </c>
      <c r="AE3538" s="28">
        <v>8929562000</v>
      </c>
      <c r="AF3538" s="28">
        <v>730350000</v>
      </c>
      <c r="AG3538" s="11"/>
    </row>
    <row r="3539">
      <c r="A3539" s="7" t="s">
        <v>5209</v>
      </c>
      <c r="B3539" s="5" t="s">
        <v>13172</v>
      </c>
      <c r="C3539" s="5" t="s">
        <v>20972</v>
      </c>
      <c r="D3539" s="5" t="str">
        <v>701706399606</v>
      </c>
      <c r="F3539" s="5" t="s">
        <v>35992</v>
      </c>
      <c r="G3539" s="5" t="s">
        <v>35993</v>
      </c>
      <c r="H3539" s="26">
        <v>5</v>
      </c>
      <c r="I3539" s="5" t="s">
        <v>35994</v>
      </c>
      <c r="J3539" s="5" t="s">
        <v>373</v>
      </c>
      <c r="K3539" s="5" t="s">
        <v>380</v>
      </c>
      <c r="L3539" s="5"/>
      <c r="M3539" s="27">
        <v>486810900</v>
      </c>
      <c r="N3539" s="5"/>
      <c r="O3539" s="5" t="str">
        <v>7817079995</v>
      </c>
      <c r="P3539" s="27">
        <v>115000</v>
      </c>
      <c r="Q3539" s="5" t="s">
        <v>49009</v>
      </c>
      <c r="R3539" s="5"/>
      <c r="S3539" s="5" t="s">
        <v>49010</v>
      </c>
      <c r="T3539" s="28">
        <v>13576000</v>
      </c>
      <c r="U3539" s="28"/>
      <c r="V3539" s="28">
        <v>829615000</v>
      </c>
      <c r="W3539" s="28"/>
      <c r="X3539" s="28">
        <v>418000</v>
      </c>
      <c r="Y3539" s="28">
        <v>882909000</v>
      </c>
      <c r="Z3539" s="28">
        <v>-203860000</v>
      </c>
      <c r="AA3539" s="28"/>
      <c r="AB3539" s="28"/>
      <c r="AC3539" s="28">
        <v>1086593000</v>
      </c>
      <c r="AD3539" s="28">
        <v>-203745000</v>
      </c>
      <c r="AE3539" s="28">
        <v>3040227000</v>
      </c>
      <c r="AF3539" s="28">
        <v>13766000</v>
      </c>
      <c r="AG3539" s="11"/>
    </row>
    <row r="3540">
      <c r="A3540" s="7" t="s">
        <v>5209</v>
      </c>
      <c r="B3540" s="5" t="s">
        <v>13173</v>
      </c>
      <c r="C3540" s="5" t="s">
        <v>20973</v>
      </c>
      <c r="D3540" s="5" t="str">
        <v>781126599793</v>
      </c>
      <c r="E3540" s="0" t="e">
        <f>+7 (812) 6404882
+7 (495) 6498882</f>
        <v>#NAME?</v>
      </c>
      <c r="F3540" s="5" t="s">
        <v>35995</v>
      </c>
      <c r="G3540" s="5" t="s">
        <v>35996</v>
      </c>
      <c r="H3540" s="26">
        <v>18.5</v>
      </c>
      <c r="I3540" s="5" t="s">
        <v>35997</v>
      </c>
      <c r="J3540" s="5" t="s">
        <v>26511</v>
      </c>
      <c r="K3540" s="5" t="s">
        <v>344</v>
      </c>
      <c r="L3540" s="5" t="s">
        <v>35998</v>
      </c>
      <c r="M3540" s="27"/>
      <c r="N3540" s="5" t="s">
        <v>54800</v>
      </c>
      <c r="O3540" s="5" t="str">
        <v>7733531069</v>
      </c>
      <c r="P3540" s="27">
        <v>400000</v>
      </c>
      <c r="Q3540" s="5" t="s">
        <v>49009</v>
      </c>
      <c r="R3540" s="5"/>
      <c r="S3540" s="5" t="s">
        <v>49045</v>
      </c>
      <c r="T3540" s="28">
        <v>58542000</v>
      </c>
      <c r="U3540" s="28"/>
      <c r="V3540" s="28">
        <v>331660000</v>
      </c>
      <c r="W3540" s="28"/>
      <c r="X3540" s="28">
        <v>8414000</v>
      </c>
      <c r="Y3540" s="28">
        <v>695989000</v>
      </c>
      <c r="Z3540" s="28">
        <v>398983000</v>
      </c>
      <c r="AA3540" s="28">
        <v>13563000</v>
      </c>
      <c r="AB3540" s="28">
        <v>74246000</v>
      </c>
      <c r="AC3540" s="28">
        <v>280051000</v>
      </c>
      <c r="AD3540" s="28">
        <v>399383000</v>
      </c>
      <c r="AE3540" s="28">
        <v>4026548000</v>
      </c>
      <c r="AF3540" s="28">
        <v>198510000</v>
      </c>
      <c r="AG3540" s="11"/>
    </row>
    <row r="3541">
      <c r="A3541" s="7" t="s">
        <v>5209</v>
      </c>
      <c r="B3541" s="5" t="s">
        <v>13174</v>
      </c>
      <c r="C3541" s="5" t="s">
        <v>20974</v>
      </c>
      <c r="D3541" s="5" t="str">
        <v>667208632895</v>
      </c>
      <c r="E3541" s="0" t="e">
        <f>+7 (3433) 775005
+7 (922) 260715</f>
        <v>#NAME?</v>
      </c>
      <c r="F3541" s="5"/>
      <c r="G3541" s="5" t="s">
        <v>35999</v>
      </c>
      <c r="H3541" s="26">
        <v>7.5</v>
      </c>
      <c r="I3541" s="5" t="s">
        <v>36000</v>
      </c>
      <c r="J3541" s="5" t="s">
        <v>678</v>
      </c>
      <c r="K3541" s="5" t="s">
        <v>344</v>
      </c>
      <c r="L3541" s="5" t="s">
        <v>36001</v>
      </c>
      <c r="M3541" s="27"/>
      <c r="N3541" s="5"/>
      <c r="O3541" s="5" t="str">
        <v>6685095555</v>
      </c>
      <c r="P3541" s="27">
        <v>1120000</v>
      </c>
      <c r="Q3541" s="5" t="s">
        <v>54801</v>
      </c>
      <c r="R3541" s="5"/>
      <c r="S3541" s="5" t="s">
        <v>54802</v>
      </c>
      <c r="T3541" s="28">
        <v>121890000</v>
      </c>
      <c r="U3541" s="28"/>
      <c r="V3541" s="28">
        <v>163125000</v>
      </c>
      <c r="W3541" s="28">
        <v>67937000</v>
      </c>
      <c r="X3541" s="28">
        <v>1565000</v>
      </c>
      <c r="Y3541" s="28">
        <v>533430000</v>
      </c>
      <c r="Z3541" s="28">
        <v>135710000</v>
      </c>
      <c r="AA3541" s="28">
        <v>3700000</v>
      </c>
      <c r="AB3541" s="28">
        <v>94600000</v>
      </c>
      <c r="AC3541" s="28">
        <v>375272000</v>
      </c>
      <c r="AD3541" s="28">
        <v>136830000</v>
      </c>
      <c r="AE3541" s="28">
        <v>3603275000</v>
      </c>
      <c r="AF3541" s="28">
        <v>57296000</v>
      </c>
      <c r="AG3541" s="11"/>
    </row>
    <row r="3542">
      <c r="A3542" s="7" t="s">
        <v>5210</v>
      </c>
      <c r="B3542" s="5" t="s">
        <v>13175</v>
      </c>
      <c r="C3542" s="5" t="s">
        <v>20975</v>
      </c>
      <c r="D3542" s="5" t="str">
        <v>784801350438</v>
      </c>
      <c r="E3542" s="0" t="e">
        <f>+7 (484) 2200163
+7 (484) 2564210
+7 (484) 2926458
+7 (499) 2589965</f>
        <v>#NAME?</v>
      </c>
      <c r="F3542" s="5" t="s">
        <v>36002</v>
      </c>
      <c r="G3542" s="5"/>
      <c r="H3542" s="26">
        <v>14</v>
      </c>
      <c r="I3542" s="5" t="s">
        <v>36003</v>
      </c>
      <c r="J3542" s="5" t="s">
        <v>26229</v>
      </c>
      <c r="K3542" s="5" t="s">
        <v>344</v>
      </c>
      <c r="L3542" s="5" t="s">
        <v>36004</v>
      </c>
      <c r="M3542" s="27">
        <v>4845901</v>
      </c>
      <c r="N3542" s="5" t="s">
        <v>54803</v>
      </c>
      <c r="O3542" s="5" t="str">
        <v>4028043403</v>
      </c>
      <c r="P3542" s="27">
        <v>204082</v>
      </c>
      <c r="Q3542" s="5" t="s">
        <v>54804</v>
      </c>
      <c r="R3542" s="5"/>
      <c r="S3542" s="5" t="s">
        <v>54805</v>
      </c>
      <c r="T3542" s="28">
        <v>510781000</v>
      </c>
      <c r="U3542" s="28">
        <v>268000</v>
      </c>
      <c r="V3542" s="28">
        <v>3021155000</v>
      </c>
      <c r="W3542" s="28">
        <v>16334000</v>
      </c>
      <c r="X3542" s="28">
        <v>14910000</v>
      </c>
      <c r="Y3542" s="28">
        <v>6733244000</v>
      </c>
      <c r="Z3542" s="28">
        <v>1322907000</v>
      </c>
      <c r="AA3542" s="28">
        <v>180234000</v>
      </c>
      <c r="AB3542" s="28">
        <v>1334189000</v>
      </c>
      <c r="AC3542" s="28">
        <v>5133526000</v>
      </c>
      <c r="AD3542" s="28">
        <v>1323111000</v>
      </c>
      <c r="AE3542" s="28">
        <v>7002514000</v>
      </c>
      <c r="AF3542" s="28">
        <v>98656000</v>
      </c>
      <c r="AG3542" s="11"/>
    </row>
    <row r="3543">
      <c r="A3543" s="7" t="s">
        <v>5211</v>
      </c>
      <c r="B3543" s="5" t="s">
        <v>13176</v>
      </c>
      <c r="C3543" s="5" t="s">
        <v>20976</v>
      </c>
      <c r="D3543" s="5" t="str">
        <v>772707712730</v>
      </c>
      <c r="E3543" s="0" t="e">
        <f>+7 (800) 2344040
+7 (495) 6940227
+7 (495) 6940269
+7 (495) 6940284
+7 (495) 6940288</f>
        <v>#NAME?</v>
      </c>
      <c r="F3543" s="5" t="s">
        <v>36005</v>
      </c>
      <c r="G3543" s="5" t="s">
        <v>36006</v>
      </c>
      <c r="H3543" s="26">
        <v>20</v>
      </c>
      <c r="I3543" s="5" t="s">
        <v>36007</v>
      </c>
      <c r="J3543" s="5" t="s">
        <v>25747</v>
      </c>
      <c r="K3543" s="5" t="s">
        <v>355</v>
      </c>
      <c r="L3543" s="5" t="s">
        <v>36008</v>
      </c>
      <c r="M3543" s="27"/>
      <c r="N3543" s="5" t="s">
        <v>54806</v>
      </c>
      <c r="O3543" s="5" t="str">
        <v>7709401982</v>
      </c>
      <c r="P3543" s="27">
        <v>10234694</v>
      </c>
      <c r="Q3543" s="5" t="s">
        <v>54807</v>
      </c>
      <c r="R3543" s="5"/>
      <c r="S3543" s="5" t="s">
        <v>54808</v>
      </c>
      <c r="T3543" s="28">
        <v>44979000</v>
      </c>
      <c r="U3543" s="28">
        <v>1277439000</v>
      </c>
      <c r="V3543" s="28">
        <v>3710725000</v>
      </c>
      <c r="W3543" s="28">
        <v>161865000</v>
      </c>
      <c r="X3543" s="28">
        <v>607343000</v>
      </c>
      <c r="Y3543" s="28">
        <v>8637512000</v>
      </c>
      <c r="Z3543" s="28">
        <v>1892182000</v>
      </c>
      <c r="AA3543" s="28"/>
      <c r="AB3543" s="28">
        <v>3379000000</v>
      </c>
      <c r="AC3543" s="28">
        <v>6723438000</v>
      </c>
      <c r="AD3543" s="28">
        <v>2049500000</v>
      </c>
      <c r="AE3543" s="28">
        <v>10536936000</v>
      </c>
      <c r="AF3543" s="28">
        <v>105106000</v>
      </c>
      <c r="AG3543" s="11"/>
    </row>
    <row r="3544">
      <c r="A3544" s="7" t="s">
        <v>5212</v>
      </c>
      <c r="B3544" s="5" t="s">
        <v>13177</v>
      </c>
      <c r="C3544" s="5" t="s">
        <v>20977</v>
      </c>
      <c r="D3544" s="5" t="str">
        <v>771308562230</v>
      </c>
      <c r="E3544" s="0" t="e">
        <f>+7 (495) 2258889
+7 (495) 6678900
+7 (495) 7843048
+7 (495) 9333048
+7 (495) 9333205
+7 (495) 9333208
+7 (495) 9333370
+7 (495) 9333371
+7 (495) 9333372
+7 (495) 9333373
+7 (495) 9333374
+7 (495) 9333376
+7 (495) 9333378
+7 (495) 9333380
+7 (495) 9333381</f>
        <v>#NAME?</v>
      </c>
      <c r="F3544" s="5"/>
      <c r="G3544" s="5"/>
      <c r="H3544" s="26">
        <v>9</v>
      </c>
      <c r="I3544" s="5" t="s">
        <v>36009</v>
      </c>
      <c r="J3544" s="5" t="s">
        <v>25195</v>
      </c>
      <c r="K3544" s="5" t="s">
        <v>344</v>
      </c>
      <c r="L3544" s="5" t="s">
        <v>36010</v>
      </c>
      <c r="M3544" s="27">
        <v>131911777</v>
      </c>
      <c r="N3544" s="5"/>
      <c r="O3544" s="5" t="str">
        <v>5032277847</v>
      </c>
      <c r="P3544" s="27">
        <v>1000000</v>
      </c>
      <c r="Q3544" s="5"/>
      <c r="R3544" s="5"/>
      <c r="S3544" s="5" t="s">
        <v>49499</v>
      </c>
      <c r="T3544" s="28">
        <v>4433156000</v>
      </c>
      <c r="U3544" s="28">
        <v>34966000</v>
      </c>
      <c r="V3544" s="28">
        <v>14697495000</v>
      </c>
      <c r="W3544" s="28"/>
      <c r="X3544" s="28">
        <v>5288772000</v>
      </c>
      <c r="Y3544" s="28">
        <v>63905958000</v>
      </c>
      <c r="Z3544" s="28">
        <v>31757089000</v>
      </c>
      <c r="AA3544" s="28">
        <v>5240000000</v>
      </c>
      <c r="AB3544" s="28">
        <v>100680000</v>
      </c>
      <c r="AC3544" s="28">
        <v>21337146000</v>
      </c>
      <c r="AD3544" s="28">
        <v>31758089000</v>
      </c>
      <c r="AE3544" s="28">
        <v>79867935000</v>
      </c>
      <c r="AF3544" s="28">
        <v>13529460000</v>
      </c>
      <c r="AG3544" s="11"/>
    </row>
    <row r="3545">
      <c r="A3545" s="7" t="s">
        <v>5213</v>
      </c>
      <c r="B3545" s="5" t="s">
        <v>13178</v>
      </c>
      <c r="C3545" s="5" t="s">
        <v>20978</v>
      </c>
      <c r="D3545" s="5" t="str">
        <v>223502660036</v>
      </c>
      <c r="E3545" s="0" t="e">
        <f>+7 (385) 2335177
+7 (385) 2500347
+7 (385) 2500349
+7 (385) 2500358
+7 (385) 2772077
+7 (909) 5071307</f>
        <v>#NAME?</v>
      </c>
      <c r="F3545" s="5" t="s">
        <v>36011</v>
      </c>
      <c r="G3545" s="5" t="s">
        <v>36012</v>
      </c>
      <c r="H3545" s="26">
        <v>14.5</v>
      </c>
      <c r="I3545" s="5" t="s">
        <v>36013</v>
      </c>
      <c r="J3545" s="5" t="s">
        <v>25850</v>
      </c>
      <c r="K3545" s="5" t="s">
        <v>344</v>
      </c>
      <c r="L3545" s="5" t="s">
        <v>36014</v>
      </c>
      <c r="M3545" s="27"/>
      <c r="N3545" s="5"/>
      <c r="O3545" s="5" t="str">
        <v>2224125169</v>
      </c>
      <c r="P3545" s="27">
        <v>50000</v>
      </c>
      <c r="Q3545" s="5"/>
      <c r="R3545" s="5"/>
      <c r="S3545" s="5" t="s">
        <v>49029</v>
      </c>
      <c r="T3545" s="28">
        <v>13862000</v>
      </c>
      <c r="U3545" s="28"/>
      <c r="V3545" s="28">
        <v>938699000</v>
      </c>
      <c r="W3545" s="28">
        <v>436266000</v>
      </c>
      <c r="X3545" s="28">
        <v>10381000</v>
      </c>
      <c r="Y3545" s="28">
        <v>2939526000</v>
      </c>
      <c r="Z3545" s="28">
        <v>340754000</v>
      </c>
      <c r="AA3545" s="28">
        <v>1348892000</v>
      </c>
      <c r="AB3545" s="28">
        <v>164491000</v>
      </c>
      <c r="AC3545" s="28">
        <v>1014830000</v>
      </c>
      <c r="AD3545" s="28">
        <v>340804000</v>
      </c>
      <c r="AE3545" s="28">
        <v>9777340000</v>
      </c>
      <c r="AF3545" s="28">
        <v>6534000</v>
      </c>
      <c r="AG3545" s="11"/>
    </row>
    <row r="3546">
      <c r="A3546" s="7" t="s">
        <v>5214</v>
      </c>
      <c r="B3546" s="5" t="s">
        <v>13179</v>
      </c>
      <c r="C3546" s="5" t="s">
        <v>20979</v>
      </c>
      <c r="D3546" s="5" t="str">
        <v>744408358845</v>
      </c>
      <c r="E3546" s="0" t="e">
        <f>+7 (903) 1303456
+7 (929) 5887540</f>
        <v>#NAME?</v>
      </c>
      <c r="F3546" s="5" t="s">
        <v>36015</v>
      </c>
      <c r="G3546" s="5"/>
      <c r="H3546" s="26">
        <v>3.5</v>
      </c>
      <c r="I3546" s="5" t="s">
        <v>36016</v>
      </c>
      <c r="J3546" s="5" t="s">
        <v>364</v>
      </c>
      <c r="K3546" s="5" t="s">
        <v>344</v>
      </c>
      <c r="L3546" s="5" t="s">
        <v>36017</v>
      </c>
      <c r="M3546" s="27"/>
      <c r="N3546" s="5" t="s">
        <v>49787</v>
      </c>
      <c r="O3546" s="5" t="str">
        <v>5018201003</v>
      </c>
      <c r="P3546" s="27">
        <v>10000</v>
      </c>
      <c r="Q3546" s="5" t="s">
        <v>49009</v>
      </c>
      <c r="R3546" s="5"/>
      <c r="S3546" s="5" t="s">
        <v>49120</v>
      </c>
      <c r="T3546" s="28">
        <v>41983000</v>
      </c>
      <c r="U3546" s="28"/>
      <c r="V3546" s="28">
        <v>1153274000</v>
      </c>
      <c r="W3546" s="28">
        <v>26458000</v>
      </c>
      <c r="X3546" s="28">
        <v>17315000</v>
      </c>
      <c r="Y3546" s="28">
        <v>1342390000</v>
      </c>
      <c r="Z3546" s="28">
        <v>40472000</v>
      </c>
      <c r="AA3546" s="28"/>
      <c r="AB3546" s="28">
        <v>55000</v>
      </c>
      <c r="AC3546" s="28">
        <v>1292854000</v>
      </c>
      <c r="AD3546" s="28">
        <v>40482000</v>
      </c>
      <c r="AE3546" s="28">
        <v>3981538000</v>
      </c>
      <c r="AF3546" s="28">
        <v>9458000</v>
      </c>
      <c r="AG3546" s="11"/>
    </row>
    <row r="3547">
      <c r="A3547" s="7" t="s">
        <v>5214</v>
      </c>
      <c r="B3547" s="5" t="s">
        <v>13180</v>
      </c>
      <c r="C3547" s="5" t="s">
        <v>20980</v>
      </c>
      <c r="D3547" s="5" t="str">
        <v>773713294708</v>
      </c>
      <c r="F3547" s="5" t="s">
        <v>36018</v>
      </c>
      <c r="G3547" s="5"/>
      <c r="H3547" s="26">
        <v>4</v>
      </c>
      <c r="I3547" s="5" t="s">
        <v>36019</v>
      </c>
      <c r="J3547" s="5" t="s">
        <v>25938</v>
      </c>
      <c r="K3547" s="5" t="s">
        <v>355</v>
      </c>
      <c r="L3547" s="5" t="s">
        <v>36020</v>
      </c>
      <c r="M3547" s="27">
        <v>2440820</v>
      </c>
      <c r="N3547" s="5"/>
      <c r="O3547" s="5" t="str">
        <v>9731029185</v>
      </c>
      <c r="P3547" s="27">
        <v>1050000</v>
      </c>
      <c r="Q3547" s="5" t="s">
        <v>54809</v>
      </c>
      <c r="R3547" s="5"/>
      <c r="S3547" s="5" t="s">
        <v>54810</v>
      </c>
      <c r="T3547" s="28"/>
      <c r="U3547" s="28"/>
      <c r="V3547" s="28">
        <v>715030000</v>
      </c>
      <c r="W3547" s="28"/>
      <c r="X3547" s="28">
        <v>9722000</v>
      </c>
      <c r="Y3547" s="28">
        <v>741817000</v>
      </c>
      <c r="Z3547" s="28">
        <v>8436000</v>
      </c>
      <c r="AA3547" s="28">
        <v>683000</v>
      </c>
      <c r="AB3547" s="28">
        <v>32446000</v>
      </c>
      <c r="AC3547" s="28">
        <v>731649000</v>
      </c>
      <c r="AD3547" s="28">
        <v>9486000</v>
      </c>
      <c r="AE3547" s="28">
        <v>7612036000</v>
      </c>
      <c r="AF3547" s="28">
        <v>1446000</v>
      </c>
      <c r="AG3547" s="11"/>
    </row>
    <row r="3548">
      <c r="A3548" s="7" t="s">
        <v>5214</v>
      </c>
      <c r="B3548" s="5" t="s">
        <v>13181</v>
      </c>
      <c r="C3548" s="5" t="s">
        <v>20981</v>
      </c>
      <c r="D3548" s="5" t="str">
        <v>744401901854</v>
      </c>
      <c r="E3548" s="0" t="e">
        <f>+7 (3519) 393777
+7 (3519) 584661
+7 (982) 3287138</f>
        <v>#NAME?</v>
      </c>
      <c r="F3548" s="5" t="s">
        <v>36021</v>
      </c>
      <c r="G3548" s="5"/>
      <c r="H3548" s="26">
        <v>5</v>
      </c>
      <c r="I3548" s="5" t="s">
        <v>36022</v>
      </c>
      <c r="J3548" s="5" t="s">
        <v>389</v>
      </c>
      <c r="K3548" s="5" t="s">
        <v>344</v>
      </c>
      <c r="L3548" s="5" t="s">
        <v>36023</v>
      </c>
      <c r="M3548" s="27">
        <v>233011</v>
      </c>
      <c r="N3548" s="5" t="s">
        <v>54811</v>
      </c>
      <c r="O3548" s="5" t="str">
        <v>7455031799</v>
      </c>
      <c r="P3548" s="27">
        <v>1000000</v>
      </c>
      <c r="Q3548" s="5" t="s">
        <v>49207</v>
      </c>
      <c r="R3548" s="5"/>
      <c r="S3548" s="5" t="s">
        <v>54812</v>
      </c>
      <c r="T3548" s="28">
        <v>136637000</v>
      </c>
      <c r="U3548" s="28"/>
      <c r="V3548" s="28">
        <v>184971000</v>
      </c>
      <c r="W3548" s="28"/>
      <c r="X3548" s="28">
        <v>17241000</v>
      </c>
      <c r="Y3548" s="28">
        <v>1132493000</v>
      </c>
      <c r="Z3548" s="28">
        <v>93252000</v>
      </c>
      <c r="AA3548" s="28">
        <v>578578000</v>
      </c>
      <c r="AB3548" s="28">
        <v>58728000</v>
      </c>
      <c r="AC3548" s="28">
        <v>459186000</v>
      </c>
      <c r="AD3548" s="28">
        <v>94252000</v>
      </c>
      <c r="AE3548" s="28">
        <v>3319786000</v>
      </c>
      <c r="AF3548" s="28">
        <v>56447000</v>
      </c>
      <c r="AG3548" s="11"/>
    </row>
    <row r="3549">
      <c r="A3549" s="7" t="s">
        <v>5214</v>
      </c>
      <c r="B3549" s="5" t="s">
        <v>13182</v>
      </c>
      <c r="C3549" s="5" t="s">
        <v>20982</v>
      </c>
      <c r="D3549" s="5" t="str">
        <v>450300507972</v>
      </c>
      <c r="E3549" s="0" t="e">
        <f>+7 (495) 4818118
+7 (495) 4818181</f>
        <v>#NAME?</v>
      </c>
      <c r="F3549" s="5"/>
      <c r="G3549" s="5" t="s">
        <v>36024</v>
      </c>
      <c r="H3549" s="26">
        <v>15.5</v>
      </c>
      <c r="I3549" s="5" t="s">
        <v>36025</v>
      </c>
      <c r="J3549" s="5" t="s">
        <v>364</v>
      </c>
      <c r="K3549" s="5" t="s">
        <v>344</v>
      </c>
      <c r="L3549" s="5" t="s">
        <v>36026</v>
      </c>
      <c r="M3549" s="27"/>
      <c r="N3549" s="5" t="s">
        <v>54813</v>
      </c>
      <c r="O3549" s="5" t="str">
        <v>7706660749</v>
      </c>
      <c r="P3549" s="27">
        <v>3000000</v>
      </c>
      <c r="Q3549" s="5" t="s">
        <v>54814</v>
      </c>
      <c r="R3549" s="5"/>
      <c r="S3549" s="5" t="s">
        <v>54815</v>
      </c>
      <c r="T3549" s="28">
        <v>83506000</v>
      </c>
      <c r="U3549" s="28"/>
      <c r="V3549" s="28">
        <v>527682000</v>
      </c>
      <c r="W3549" s="28"/>
      <c r="X3549" s="28">
        <v>505220000</v>
      </c>
      <c r="Y3549" s="28">
        <v>1749327000</v>
      </c>
      <c r="Z3549" s="28">
        <v>368091000</v>
      </c>
      <c r="AA3549" s="28"/>
      <c r="AB3549" s="28"/>
      <c r="AC3549" s="28">
        <v>1369909000</v>
      </c>
      <c r="AD3549" s="28">
        <v>374709000</v>
      </c>
      <c r="AE3549" s="28">
        <v>3674506000</v>
      </c>
      <c r="AF3549" s="28">
        <v>269397000</v>
      </c>
      <c r="AG3549" s="11"/>
    </row>
    <row r="3550">
      <c r="A3550" s="7" t="s">
        <v>5214</v>
      </c>
      <c r="B3550" s="5" t="s">
        <v>13183</v>
      </c>
      <c r="C3550" s="5" t="s">
        <v>20983</v>
      </c>
      <c r="D3550" s="5" t="str">
        <v>410105903952</v>
      </c>
      <c r="E3550" s="0" t="e">
        <f>+7 (415) 2270201
+7 (424) 2425415</f>
        <v>#NAME?</v>
      </c>
      <c r="F3550" s="5"/>
      <c r="G3550" s="5"/>
      <c r="H3550" s="26">
        <v>5.5</v>
      </c>
      <c r="I3550" s="5" t="s">
        <v>36027</v>
      </c>
      <c r="J3550" s="5" t="s">
        <v>26424</v>
      </c>
      <c r="K3550" s="5" t="s">
        <v>344</v>
      </c>
      <c r="L3550" s="5" t="s">
        <v>36028</v>
      </c>
      <c r="M3550" s="27"/>
      <c r="N3550" s="5"/>
      <c r="O3550" s="5" t="str">
        <v>6501292475</v>
      </c>
      <c r="P3550" s="27">
        <v>10000</v>
      </c>
      <c r="Q3550" s="5"/>
      <c r="R3550" s="5"/>
      <c r="S3550" s="5" t="s">
        <v>49029</v>
      </c>
      <c r="T3550" s="28">
        <v>808267000</v>
      </c>
      <c r="U3550" s="28"/>
      <c r="V3550" s="28">
        <v>366225000</v>
      </c>
      <c r="W3550" s="28"/>
      <c r="X3550" s="28">
        <v>248045000</v>
      </c>
      <c r="Y3550" s="28">
        <v>2691486000</v>
      </c>
      <c r="Z3550" s="28">
        <v>145292000</v>
      </c>
      <c r="AA3550" s="28">
        <v>949000000</v>
      </c>
      <c r="AB3550" s="28">
        <v>395497000</v>
      </c>
      <c r="AC3550" s="28">
        <v>1118080000</v>
      </c>
      <c r="AD3550" s="28">
        <v>464302000</v>
      </c>
      <c r="AE3550" s="28">
        <v>4731555000</v>
      </c>
      <c r="AF3550" s="28">
        <v>174787000</v>
      </c>
      <c r="AG3550" s="11"/>
    </row>
    <row r="3551">
      <c r="A3551" s="7" t="s">
        <v>5215</v>
      </c>
      <c r="B3551" s="5" t="s">
        <v>13184</v>
      </c>
      <c r="C3551" s="5" t="s">
        <v>20984</v>
      </c>
      <c r="D3551" s="5" t="str">
        <v>090101143490</v>
      </c>
      <c r="E3551" s="0" t="e">
        <f>+7 (865) 2564907
+7 (8652) 764907
+7 (87933) 19933</f>
        <v>#NAME?</v>
      </c>
      <c r="F3551" s="5"/>
      <c r="G3551" s="5"/>
      <c r="H3551" s="26">
        <v>32</v>
      </c>
      <c r="I3551" s="5" t="s">
        <v>36029</v>
      </c>
      <c r="J3551" s="5" t="s">
        <v>25332</v>
      </c>
      <c r="K3551" s="5" t="s">
        <v>344</v>
      </c>
      <c r="L3551" s="5"/>
      <c r="M3551" s="27">
        <v>1923604</v>
      </c>
      <c r="N3551" s="5"/>
      <c r="O3551" s="5" t="str">
        <v>2635008013</v>
      </c>
      <c r="P3551" s="27">
        <v>10040000</v>
      </c>
      <c r="Q3551" s="5" t="s">
        <v>49059</v>
      </c>
      <c r="R3551" s="5"/>
      <c r="S3551" s="5" t="s">
        <v>49010</v>
      </c>
      <c r="T3551" s="28">
        <v>103217000</v>
      </c>
      <c r="U3551" s="28"/>
      <c r="V3551" s="28">
        <v>1955334000</v>
      </c>
      <c r="W3551" s="28">
        <v>39998000</v>
      </c>
      <c r="X3551" s="28">
        <v>34317000</v>
      </c>
      <c r="Y3551" s="28">
        <v>2313099000</v>
      </c>
      <c r="Z3551" s="28">
        <v>107590000</v>
      </c>
      <c r="AA3551" s="28">
        <v>187575000</v>
      </c>
      <c r="AB3551" s="28">
        <v>2614000</v>
      </c>
      <c r="AC3551" s="28">
        <v>1870366000</v>
      </c>
      <c r="AD3551" s="28">
        <v>248911000</v>
      </c>
      <c r="AE3551" s="28">
        <v>5075074000</v>
      </c>
      <c r="AF3551" s="28">
        <v>1945000</v>
      </c>
      <c r="AG3551" s="11"/>
    </row>
    <row r="3552">
      <c r="A3552" s="7" t="s">
        <v>5216</v>
      </c>
      <c r="B3552" s="5" t="s">
        <v>13185</v>
      </c>
      <c r="C3552" s="5" t="s">
        <v>20985</v>
      </c>
      <c r="D3552" s="5" t="str">
        <v>771675185980</v>
      </c>
      <c r="E3552" s="0" t="e">
        <f>+7 (495) 1377824
+7 (495) 9818484</f>
        <v>#NAME?</v>
      </c>
      <c r="F3552" s="5" t="s">
        <v>36030</v>
      </c>
      <c r="G3552" s="5"/>
      <c r="H3552" s="26">
        <v>20</v>
      </c>
      <c r="I3552" s="5" t="s">
        <v>36031</v>
      </c>
      <c r="J3552" s="5" t="s">
        <v>25530</v>
      </c>
      <c r="K3552" s="5" t="s">
        <v>344</v>
      </c>
      <c r="L3552" s="5" t="s">
        <v>36032</v>
      </c>
      <c r="M3552" s="27">
        <v>190625447</v>
      </c>
      <c r="N3552" s="5" t="s">
        <v>54816</v>
      </c>
      <c r="O3552" s="5" t="str">
        <v>7719269331</v>
      </c>
      <c r="P3552" s="27">
        <v>2008976000</v>
      </c>
      <c r="Q3552" s="5" t="s">
        <v>54817</v>
      </c>
      <c r="R3552" s="5"/>
      <c r="S3552" s="5" t="s">
        <v>54818</v>
      </c>
      <c r="T3552" s="28">
        <v>1062756000</v>
      </c>
      <c r="U3552" s="28">
        <v>135572000</v>
      </c>
      <c r="V3552" s="28">
        <v>23078085000</v>
      </c>
      <c r="W3552" s="28">
        <v>1888749000</v>
      </c>
      <c r="X3552" s="28">
        <v>95350000</v>
      </c>
      <c r="Y3552" s="28">
        <v>54422067000</v>
      </c>
      <c r="Z3552" s="28">
        <v>11283882000</v>
      </c>
      <c r="AA3552" s="28">
        <v>677649000</v>
      </c>
      <c r="AB3552" s="28">
        <v>657000</v>
      </c>
      <c r="AC3552" s="28">
        <v>26680497000</v>
      </c>
      <c r="AD3552" s="28">
        <v>26458863000</v>
      </c>
      <c r="AE3552" s="28">
        <v>192410229000</v>
      </c>
      <c r="AF3552" s="28">
        <v>2239137000</v>
      </c>
      <c r="AG3552" s="11"/>
    </row>
    <row r="3553">
      <c r="A3553" s="7" t="s">
        <v>5217</v>
      </c>
      <c r="B3553" s="5" t="s">
        <v>13186</v>
      </c>
      <c r="C3553" s="5" t="s">
        <v>20986</v>
      </c>
      <c r="D3553" s="5" t="str">
        <v>774318009937</v>
      </c>
      <c r="E3553" s="0" t="e">
        <f>+7 (925) 6887914
+7 (495) 2584149
+7 (495) 2584152
+7 (495) 5892325
+7 (495) 6615887
+7 (495) 7452600
+7 (495) 7452605
+7 (495) 7452606
+7 (495) 7452633
+7 (495) 7975370
+7 (495) 7979911
+7 (800) 2000206</f>
        <v>#NAME?</v>
      </c>
      <c r="F3553" s="5" t="s">
        <v>36033</v>
      </c>
      <c r="G3553" s="5" t="s">
        <v>36034</v>
      </c>
      <c r="H3553" s="26">
        <v>28.5</v>
      </c>
      <c r="I3553" s="5" t="s">
        <v>36035</v>
      </c>
      <c r="J3553" s="5" t="s">
        <v>397</v>
      </c>
      <c r="K3553" s="5" t="s">
        <v>344</v>
      </c>
      <c r="L3553" s="5" t="s">
        <v>36036</v>
      </c>
      <c r="M3553" s="27">
        <v>49680461</v>
      </c>
      <c r="N3553" s="5" t="s">
        <v>54819</v>
      </c>
      <c r="O3553" s="5" t="str">
        <v>7707016368</v>
      </c>
      <c r="P3553" s="27">
        <v>89901000</v>
      </c>
      <c r="Q3553" s="5" t="s">
        <v>54820</v>
      </c>
      <c r="R3553" s="5"/>
      <c r="S3553" s="5" t="s">
        <v>54821</v>
      </c>
      <c r="T3553" s="28">
        <v>23385731000</v>
      </c>
      <c r="U3553" s="28"/>
      <c r="V3553" s="28">
        <v>2647842000</v>
      </c>
      <c r="W3553" s="28"/>
      <c r="X3553" s="28">
        <v>4376413000</v>
      </c>
      <c r="Y3553" s="28">
        <v>45642955000</v>
      </c>
      <c r="Z3553" s="28">
        <v>28895459000</v>
      </c>
      <c r="AA3553" s="28"/>
      <c r="AB3553" s="28"/>
      <c r="AC3553" s="28">
        <v>4991709000</v>
      </c>
      <c r="AD3553" s="28">
        <v>34636451000</v>
      </c>
      <c r="AE3553" s="28">
        <v>53598323000</v>
      </c>
      <c r="AF3553" s="28">
        <v>3895064000</v>
      </c>
      <c r="AG3553" s="11"/>
    </row>
    <row r="3554">
      <c r="A3554" s="7" t="s">
        <v>5218</v>
      </c>
      <c r="B3554" s="5" t="s">
        <v>13186</v>
      </c>
      <c r="C3554" s="5" t="s">
        <v>20986</v>
      </c>
      <c r="D3554" s="5" t="str">
        <v>774318009937</v>
      </c>
      <c r="E3554" s="0" t="e">
        <f>+7 (495) 7975353
+7 (495) 7975355
+7 (915) 3611225</f>
        <v>#NAME?</v>
      </c>
      <c r="F3554" s="5" t="s">
        <v>36037</v>
      </c>
      <c r="G3554" s="5" t="s">
        <v>36038</v>
      </c>
      <c r="H3554" s="26">
        <v>23.5</v>
      </c>
      <c r="I3554" s="5" t="s">
        <v>36039</v>
      </c>
      <c r="J3554" s="5" t="s">
        <v>29853</v>
      </c>
      <c r="K3554" s="5" t="s">
        <v>380</v>
      </c>
      <c r="L3554" s="5" t="s">
        <v>36040</v>
      </c>
      <c r="M3554" s="27">
        <v>24175283</v>
      </c>
      <c r="N3554" s="5" t="s">
        <v>54822</v>
      </c>
      <c r="O3554" s="5" t="str">
        <v>7707279342</v>
      </c>
      <c r="P3554" s="27">
        <v>502047300</v>
      </c>
      <c r="Q3554" s="5" t="s">
        <v>54823</v>
      </c>
      <c r="R3554" s="5"/>
      <c r="S3554" s="5" t="s">
        <v>54824</v>
      </c>
      <c r="T3554" s="28">
        <v>227411000</v>
      </c>
      <c r="U3554" s="28"/>
      <c r="V3554" s="28">
        <v>13616101000</v>
      </c>
      <c r="W3554" s="28"/>
      <c r="X3554" s="28">
        <v>1043055000</v>
      </c>
      <c r="Y3554" s="28">
        <v>29292282000</v>
      </c>
      <c r="Z3554" s="28">
        <v>406718000</v>
      </c>
      <c r="AA3554" s="28"/>
      <c r="AB3554" s="28">
        <v>21646475000</v>
      </c>
      <c r="AC3554" s="28">
        <v>23827892000</v>
      </c>
      <c r="AD3554" s="28">
        <v>4802623000</v>
      </c>
      <c r="AE3554" s="28">
        <v>5307175000</v>
      </c>
      <c r="AF3554" s="28">
        <v>-2170040000</v>
      </c>
      <c r="AG3554" s="11"/>
    </row>
    <row r="3555">
      <c r="A3555" s="7" t="s">
        <v>5219</v>
      </c>
      <c r="B3555" s="5" t="s">
        <v>13187</v>
      </c>
      <c r="C3555" s="5" t="s">
        <v>20987</v>
      </c>
      <c r="D3555" s="5" t="str">
        <v>773002655731</v>
      </c>
      <c r="E3555" s="0" t="e">
        <f>+7 (499) 2573810
+7 (495) 2573810
+7 (495) 6607695
+7 (499) 2570234</f>
        <v>#NAME?</v>
      </c>
      <c r="F3555" s="5"/>
      <c r="G3555" s="5"/>
      <c r="H3555" s="26">
        <v>16</v>
      </c>
      <c r="I3555" s="5" t="s">
        <v>36041</v>
      </c>
      <c r="J3555" s="5" t="s">
        <v>25429</v>
      </c>
      <c r="K3555" s="5" t="s">
        <v>344</v>
      </c>
      <c r="L3555" s="5" t="s">
        <v>36042</v>
      </c>
      <c r="M3555" s="27"/>
      <c r="N3555" s="5" t="s">
        <v>54330</v>
      </c>
      <c r="O3555" s="5" t="str">
        <v>7714689244</v>
      </c>
      <c r="P3555" s="27">
        <v>17000000</v>
      </c>
      <c r="Q3555" s="5" t="s">
        <v>49009</v>
      </c>
      <c r="R3555" s="5"/>
      <c r="S3555" s="5" t="s">
        <v>49045</v>
      </c>
      <c r="T3555" s="28">
        <v>301557000</v>
      </c>
      <c r="U3555" s="28"/>
      <c r="V3555" s="28">
        <v>1241726000</v>
      </c>
      <c r="W3555" s="28"/>
      <c r="X3555" s="28">
        <v>719638000</v>
      </c>
      <c r="Y3555" s="28">
        <v>5816762000</v>
      </c>
      <c r="Z3555" s="28">
        <v>2256224000</v>
      </c>
      <c r="AA3555" s="28"/>
      <c r="AB3555" s="28"/>
      <c r="AC3555" s="28">
        <v>3543510000</v>
      </c>
      <c r="AD3555" s="28">
        <v>2273252000</v>
      </c>
      <c r="AE3555" s="28">
        <v>8611187000</v>
      </c>
      <c r="AF3555" s="28">
        <v>20033000</v>
      </c>
      <c r="AG3555" s="11"/>
    </row>
    <row r="3556">
      <c r="A3556" s="7" t="s">
        <v>5220</v>
      </c>
      <c r="B3556" s="5" t="s">
        <v>13188</v>
      </c>
      <c r="C3556" s="5" t="s">
        <v>20988</v>
      </c>
      <c r="D3556" s="5" t="str">
        <v>773671554863</v>
      </c>
      <c r="E3556" s="0" t="e">
        <f>+7 (905) 7647843</f>
        <v>#NAME?</v>
      </c>
      <c r="F3556" s="5" t="s">
        <v>36043</v>
      </c>
      <c r="G3556" s="5" t="s">
        <v>36044</v>
      </c>
      <c r="H3556" s="26">
        <v>3.5</v>
      </c>
      <c r="I3556" s="5" t="s">
        <v>36045</v>
      </c>
      <c r="J3556" s="5" t="s">
        <v>364</v>
      </c>
      <c r="K3556" s="5" t="s">
        <v>344</v>
      </c>
      <c r="L3556" s="5" t="s">
        <v>36046</v>
      </c>
      <c r="M3556" s="27">
        <v>159458</v>
      </c>
      <c r="N3556" s="5"/>
      <c r="O3556" s="5" t="str">
        <v>9705137699</v>
      </c>
      <c r="P3556" s="27">
        <v>325000</v>
      </c>
      <c r="Q3556" s="5" t="s">
        <v>54825</v>
      </c>
      <c r="R3556" s="5"/>
      <c r="S3556" s="5" t="s">
        <v>54826</v>
      </c>
      <c r="T3556" s="28">
        <v>100905000</v>
      </c>
      <c r="U3556" s="28">
        <v>1894000</v>
      </c>
      <c r="V3556" s="28">
        <v>1206493000</v>
      </c>
      <c r="W3556" s="28">
        <v>14500000</v>
      </c>
      <c r="X3556" s="28">
        <v>148006000</v>
      </c>
      <c r="Y3556" s="28">
        <v>2548514000</v>
      </c>
      <c r="Z3556" s="28">
        <v>120330000</v>
      </c>
      <c r="AA3556" s="28"/>
      <c r="AB3556" s="28">
        <v>326000</v>
      </c>
      <c r="AC3556" s="28">
        <v>2402990000</v>
      </c>
      <c r="AD3556" s="28">
        <v>120655000</v>
      </c>
      <c r="AE3556" s="28">
        <v>3942480000</v>
      </c>
      <c r="AF3556" s="28">
        <v>65713000</v>
      </c>
      <c r="AG3556" s="11"/>
    </row>
    <row r="3557">
      <c r="A3557" s="7" t="s">
        <v>5221</v>
      </c>
      <c r="B3557" s="5" t="s">
        <v>13189</v>
      </c>
      <c r="C3557" s="5" t="s">
        <v>20989</v>
      </c>
      <c r="D3557" s="5" t="str">
        <v>027809278870</v>
      </c>
      <c r="E3557" s="0" t="e">
        <f>+7 (919) 1488957</f>
        <v>#NAME?</v>
      </c>
      <c r="F3557" s="5" t="s">
        <v>36047</v>
      </c>
      <c r="G3557" s="5" t="s">
        <v>36048</v>
      </c>
      <c r="H3557" s="26">
        <v>8.5</v>
      </c>
      <c r="I3557" s="5" t="s">
        <v>36049</v>
      </c>
      <c r="J3557" s="5" t="s">
        <v>364</v>
      </c>
      <c r="K3557" s="5" t="s">
        <v>344</v>
      </c>
      <c r="L3557" s="5" t="s">
        <v>35474</v>
      </c>
      <c r="M3557" s="27"/>
      <c r="N3557" s="5"/>
      <c r="O3557" s="5" t="str">
        <v>0277139394</v>
      </c>
      <c r="P3557" s="27">
        <v>310000</v>
      </c>
      <c r="Q3557" s="5" t="s">
        <v>49561</v>
      </c>
      <c r="R3557" s="5"/>
      <c r="S3557" s="5" t="s">
        <v>54827</v>
      </c>
      <c r="T3557" s="28">
        <v>13489000</v>
      </c>
      <c r="U3557" s="28"/>
      <c r="V3557" s="28">
        <v>484231000</v>
      </c>
      <c r="W3557" s="28"/>
      <c r="X3557" s="28">
        <v>33909000</v>
      </c>
      <c r="Y3557" s="28">
        <v>586465000</v>
      </c>
      <c r="Z3557" s="28">
        <v>5309000</v>
      </c>
      <c r="AA3557" s="28"/>
      <c r="AB3557" s="28"/>
      <c r="AC3557" s="28">
        <v>580845000</v>
      </c>
      <c r="AD3557" s="28">
        <v>5619000</v>
      </c>
      <c r="AE3557" s="28">
        <v>6225914000</v>
      </c>
      <c r="AF3557" s="28">
        <v>2116000</v>
      </c>
      <c r="AG3557" s="11"/>
    </row>
    <row r="3558">
      <c r="A3558" s="7" t="s">
        <v>5222</v>
      </c>
      <c r="B3558" s="5" t="s">
        <v>13190</v>
      </c>
      <c r="C3558" s="5" t="s">
        <v>20990</v>
      </c>
      <c r="D3558" s="5" t="str">
        <v>740405038060</v>
      </c>
      <c r="E3558" s="0" t="e">
        <f>+7 (922) 1248153
+7 (3433) 794711
+7 (3433) 794729
+7 (34394) 76205</f>
        <v>#NAME?</v>
      </c>
      <c r="F3558" s="5" t="s">
        <v>36050</v>
      </c>
      <c r="G3558" s="5"/>
      <c r="H3558" s="26">
        <v>13.5</v>
      </c>
      <c r="I3558" s="5" t="s">
        <v>36051</v>
      </c>
      <c r="J3558" s="5" t="s">
        <v>28875</v>
      </c>
      <c r="K3558" s="5" t="s">
        <v>344</v>
      </c>
      <c r="L3558" s="5" t="s">
        <v>36052</v>
      </c>
      <c r="M3558" s="27"/>
      <c r="N3558" s="5"/>
      <c r="O3558" s="5" t="str">
        <v>6673202185</v>
      </c>
      <c r="P3558" s="27">
        <v>10000</v>
      </c>
      <c r="Q3558" s="5" t="s">
        <v>49579</v>
      </c>
      <c r="R3558" s="5"/>
      <c r="S3558" s="5" t="s">
        <v>49580</v>
      </c>
      <c r="T3558" s="28">
        <v>262000000</v>
      </c>
      <c r="U3558" s="28"/>
      <c r="V3558" s="28">
        <v>480978000</v>
      </c>
      <c r="W3558" s="28"/>
      <c r="X3558" s="28">
        <v>20822000</v>
      </c>
      <c r="Y3558" s="28">
        <v>973742000</v>
      </c>
      <c r="Z3558" s="28">
        <v>451323000</v>
      </c>
      <c r="AA3558" s="28"/>
      <c r="AB3558" s="28"/>
      <c r="AC3558" s="28">
        <v>219668000</v>
      </c>
      <c r="AD3558" s="28">
        <v>499333000</v>
      </c>
      <c r="AE3558" s="28">
        <v>4394914000</v>
      </c>
      <c r="AF3558" s="28">
        <v>39508000</v>
      </c>
      <c r="AG3558" s="11"/>
    </row>
    <row r="3559">
      <c r="A3559" s="7" t="s">
        <v>5223</v>
      </c>
      <c r="B3559" s="5" t="s">
        <v>13191</v>
      </c>
      <c r="C3559" s="5" t="s">
        <v>20991</v>
      </c>
      <c r="D3559" s="5" t="str">
        <v>636700217083</v>
      </c>
      <c r="E3559" s="0" t="e">
        <f>+7 (846) 9796969
+7 (84630) 4451
+7 (84656) 22084</f>
        <v>#NAME?</v>
      </c>
      <c r="F3559" s="5"/>
      <c r="G3559" s="5"/>
      <c r="H3559" s="26">
        <v>13</v>
      </c>
      <c r="I3559" s="5" t="s">
        <v>36051</v>
      </c>
      <c r="J3559" s="5" t="s">
        <v>28875</v>
      </c>
      <c r="K3559" s="5" t="s">
        <v>355</v>
      </c>
      <c r="L3559" s="5"/>
      <c r="M3559" s="27"/>
      <c r="N3559" s="5"/>
      <c r="O3559" s="5" t="str">
        <v>6311118990</v>
      </c>
      <c r="P3559" s="27">
        <v>10000</v>
      </c>
      <c r="Q3559" s="5" t="s">
        <v>49579</v>
      </c>
      <c r="R3559" s="5"/>
      <c r="S3559" s="5" t="s">
        <v>54828</v>
      </c>
      <c r="T3559" s="28">
        <v>241106000</v>
      </c>
      <c r="U3559" s="28"/>
      <c r="V3559" s="28">
        <v>75101000</v>
      </c>
      <c r="W3559" s="28"/>
      <c r="X3559" s="28">
        <v>8758000</v>
      </c>
      <c r="Y3559" s="28">
        <v>919308000</v>
      </c>
      <c r="Z3559" s="28">
        <v>-670482000</v>
      </c>
      <c r="AA3559" s="28"/>
      <c r="AB3559" s="28"/>
      <c r="AC3559" s="28">
        <v>926184000</v>
      </c>
      <c r="AD3559" s="28">
        <v>-257472000</v>
      </c>
      <c r="AE3559" s="28">
        <v>3347494000</v>
      </c>
      <c r="AF3559" s="28">
        <v>-75915000</v>
      </c>
      <c r="AG3559" s="11"/>
    </row>
    <row r="3560">
      <c r="A3560" s="7" t="s">
        <v>5224</v>
      </c>
      <c r="B3560" s="5" t="s">
        <v>13192</v>
      </c>
      <c r="C3560" s="5" t="s">
        <v>20992</v>
      </c>
      <c r="D3560" s="5" t="str">
        <v>560103692161</v>
      </c>
      <c r="E3560" s="0" t="e">
        <f>+7 (951) 8187744
+7 (909) 6625811</f>
        <v>#NAME?</v>
      </c>
      <c r="F3560" s="5"/>
      <c r="G3560" s="5"/>
      <c r="H3560" s="26">
        <v>4.5</v>
      </c>
      <c r="I3560" s="5" t="s">
        <v>36053</v>
      </c>
      <c r="J3560" s="5" t="s">
        <v>32941</v>
      </c>
      <c r="K3560" s="5" t="s">
        <v>344</v>
      </c>
      <c r="L3560" s="5" t="s">
        <v>36054</v>
      </c>
      <c r="M3560" s="27"/>
      <c r="N3560" s="5" t="s">
        <v>54829</v>
      </c>
      <c r="O3560" s="5" t="str">
        <v>0272911120</v>
      </c>
      <c r="P3560" s="27">
        <v>10000</v>
      </c>
      <c r="Q3560" s="5" t="s">
        <v>54830</v>
      </c>
      <c r="R3560" s="5"/>
      <c r="S3560" s="5" t="s">
        <v>54831</v>
      </c>
      <c r="T3560" s="28"/>
      <c r="U3560" s="28"/>
      <c r="V3560" s="28">
        <v>950000000</v>
      </c>
      <c r="W3560" s="28">
        <v>2648000</v>
      </c>
      <c r="X3560" s="28">
        <v>1536000</v>
      </c>
      <c r="Y3560" s="28">
        <v>1888654000</v>
      </c>
      <c r="Z3560" s="28">
        <v>21314000</v>
      </c>
      <c r="AA3560" s="28"/>
      <c r="AB3560" s="28">
        <v>383000</v>
      </c>
      <c r="AC3560" s="28">
        <v>1844545000</v>
      </c>
      <c r="AD3560" s="28">
        <v>21324000</v>
      </c>
      <c r="AE3560" s="28">
        <v>3522887000</v>
      </c>
      <c r="AF3560" s="28">
        <v>7026000</v>
      </c>
      <c r="AG3560" s="11"/>
    </row>
    <row r="3561">
      <c r="A3561" s="7" t="s">
        <v>5225</v>
      </c>
      <c r="B3561" s="5" t="s">
        <v>13193</v>
      </c>
      <c r="C3561" s="5" t="s">
        <v>20993</v>
      </c>
      <c r="D3561" s="5" t="str">
        <v>613602550360</v>
      </c>
      <c r="E3561" s="0" t="e">
        <f>+7 (351) 2590442
+7 (3512) 3667
+7 (3512) 254213
+7 (3512) 254218
+7 (3512) 557810
+7 (3513) 577103
+7 (35164) 33643</f>
        <v>#NAME?</v>
      </c>
      <c r="F3561" s="5"/>
      <c r="G3561" s="5"/>
      <c r="H3561" s="26">
        <v>13.5</v>
      </c>
      <c r="I3561" s="5" t="s">
        <v>36051</v>
      </c>
      <c r="J3561" s="5" t="s">
        <v>28875</v>
      </c>
      <c r="K3561" s="5" t="s">
        <v>344</v>
      </c>
      <c r="L3561" s="5" t="s">
        <v>36055</v>
      </c>
      <c r="M3561" s="27"/>
      <c r="N3561" s="5"/>
      <c r="O3561" s="5" t="str">
        <v>7451284887</v>
      </c>
      <c r="P3561" s="27">
        <v>10000</v>
      </c>
      <c r="Q3561" s="5" t="s">
        <v>49009</v>
      </c>
      <c r="R3561" s="5"/>
      <c r="S3561" s="5" t="s">
        <v>49045</v>
      </c>
      <c r="T3561" s="28">
        <v>174585000</v>
      </c>
      <c r="U3561" s="28"/>
      <c r="V3561" s="28">
        <v>616469000</v>
      </c>
      <c r="W3561" s="28"/>
      <c r="X3561" s="28">
        <v>18573000</v>
      </c>
      <c r="Y3561" s="28">
        <v>981442000</v>
      </c>
      <c r="Z3561" s="28">
        <v>454060000</v>
      </c>
      <c r="AA3561" s="28"/>
      <c r="AB3561" s="28"/>
      <c r="AC3561" s="28">
        <v>225365000</v>
      </c>
      <c r="AD3561" s="28">
        <v>574070000</v>
      </c>
      <c r="AE3561" s="28">
        <v>3473613000</v>
      </c>
      <c r="AF3561" s="28">
        <v>69011000</v>
      </c>
      <c r="AG3561" s="11"/>
    </row>
    <row r="3562">
      <c r="A3562" s="7" t="s">
        <v>5226</v>
      </c>
      <c r="B3562" s="5" t="s">
        <v>13194</v>
      </c>
      <c r="C3562" s="5" t="s">
        <v>20994</v>
      </c>
      <c r="D3562" s="5" t="str">
        <v>772337025850</v>
      </c>
      <c r="E3562" s="0" t="e">
        <f>+7 (495) 9807842
+7 (495) 9813745
+7 (495) 9807841
+7 (495) 9813746</f>
        <v>#NAME?</v>
      </c>
      <c r="F3562" s="5" t="s">
        <v>36056</v>
      </c>
      <c r="G3562" s="5" t="s">
        <v>36057</v>
      </c>
      <c r="H3562" s="26">
        <v>19</v>
      </c>
      <c r="I3562" s="5" t="s">
        <v>36058</v>
      </c>
      <c r="J3562" s="5" t="s">
        <v>35434</v>
      </c>
      <c r="K3562" s="5" t="s">
        <v>344</v>
      </c>
      <c r="L3562" s="5" t="s">
        <v>36059</v>
      </c>
      <c r="M3562" s="27"/>
      <c r="N3562" s="5"/>
      <c r="O3562" s="5" t="str">
        <v>7743520370</v>
      </c>
      <c r="P3562" s="27">
        <v>21000000</v>
      </c>
      <c r="Q3562" s="5" t="s">
        <v>49535</v>
      </c>
      <c r="R3562" s="5"/>
      <c r="S3562" s="5" t="s">
        <v>52099</v>
      </c>
      <c r="T3562" s="28">
        <v>44682000</v>
      </c>
      <c r="U3562" s="28"/>
      <c r="V3562" s="28">
        <v>324484000</v>
      </c>
      <c r="W3562" s="28"/>
      <c r="X3562" s="28">
        <v>1124799000</v>
      </c>
      <c r="Y3562" s="28">
        <v>1993984000</v>
      </c>
      <c r="Z3562" s="28">
        <v>1860974000</v>
      </c>
      <c r="AA3562" s="28"/>
      <c r="AB3562" s="28"/>
      <c r="AC3562" s="28">
        <v>111849000</v>
      </c>
      <c r="AD3562" s="28">
        <v>1882135000</v>
      </c>
      <c r="AE3562" s="28">
        <v>4802089000</v>
      </c>
      <c r="AF3562" s="28">
        <v>274271000</v>
      </c>
      <c r="AG3562" s="11"/>
    </row>
    <row r="3563">
      <c r="A3563" s="7" t="s">
        <v>949</v>
      </c>
      <c r="B3563" s="5" t="s">
        <v>950</v>
      </c>
      <c r="C3563" s="5" t="s">
        <v>951</v>
      </c>
      <c r="D3563" s="5" t="str">
        <v>231554556582</v>
      </c>
      <c r="E3563" s="0" t="e">
        <f>+7 (861) 7607423
+7 (86137) 63516
+7 (86146) 31122
+7 (86152) 26557
+7 (86169) 32283
+7 (900) 2675656
+7 (905) 4230808
+7 (908) 6779924
+7 (918) 1237001
+7 (918) 2187827
+7 (918) 2673067
+7 (918) 3266656
+7 (918) 4241734
+7 (918) 4454653
+7 (918) 4753968</f>
        <v>#NAME?</v>
      </c>
      <c r="F3563" s="5" t="s">
        <v>953</v>
      </c>
      <c r="G3563" s="5" t="s">
        <v>36060</v>
      </c>
      <c r="H3563" s="26">
        <v>24.5</v>
      </c>
      <c r="I3563" s="5" t="s">
        <v>954</v>
      </c>
      <c r="J3563" s="5" t="s">
        <v>955</v>
      </c>
      <c r="K3563" s="5" t="s">
        <v>355</v>
      </c>
      <c r="L3563" s="5" t="s">
        <v>956</v>
      </c>
      <c r="M3563" s="27">
        <v>521469</v>
      </c>
      <c r="N3563" s="5"/>
      <c r="O3563" s="5" t="str">
        <v>2315077554</v>
      </c>
      <c r="P3563" s="27">
        <v>168000</v>
      </c>
      <c r="Q3563" s="5" t="s">
        <v>54832</v>
      </c>
      <c r="R3563" s="5"/>
      <c r="S3563" s="5" t="s">
        <v>54833</v>
      </c>
      <c r="T3563" s="28">
        <v>110188000</v>
      </c>
      <c r="U3563" s="28"/>
      <c r="V3563" s="28">
        <v>689082000</v>
      </c>
      <c r="W3563" s="28"/>
      <c r="X3563" s="28">
        <v>5855000</v>
      </c>
      <c r="Y3563" s="28">
        <v>859091000</v>
      </c>
      <c r="Z3563" s="28">
        <v>68174000</v>
      </c>
      <c r="AA3563" s="28"/>
      <c r="AB3563" s="28">
        <v>62600000</v>
      </c>
      <c r="AC3563" s="28">
        <v>719829000</v>
      </c>
      <c r="AD3563" s="28">
        <v>68342000</v>
      </c>
      <c r="AE3563" s="28">
        <v>3460597000</v>
      </c>
      <c r="AF3563" s="28">
        <v>2410000</v>
      </c>
      <c r="AG3563" s="11"/>
    </row>
    <row r="3564">
      <c r="A3564" s="7" t="s">
        <v>5227</v>
      </c>
      <c r="B3564" s="5" t="s">
        <v>13195</v>
      </c>
      <c r="C3564" s="5" t="s">
        <v>20995</v>
      </c>
      <c r="D3564" s="5"/>
      <c r="E3564" s="0" t="e">
        <f>+7 (34248) 41925
+7 (495) 7830052
+7 (495) 7830053
+7 (495) 7830054
+7 (49642) 27499</f>
        <v>#NAME?</v>
      </c>
      <c r="F3564" s="5" t="s">
        <v>36061</v>
      </c>
      <c r="G3564" s="5" t="s">
        <v>36062</v>
      </c>
      <c r="H3564" s="26">
        <v>19</v>
      </c>
      <c r="I3564" s="5" t="s">
        <v>36063</v>
      </c>
      <c r="J3564" s="5" t="s">
        <v>25495</v>
      </c>
      <c r="K3564" s="5" t="s">
        <v>344</v>
      </c>
      <c r="L3564" s="5" t="s">
        <v>36064</v>
      </c>
      <c r="M3564" s="27"/>
      <c r="N3564" s="5" t="s">
        <v>54834</v>
      </c>
      <c r="O3564" s="5" t="str">
        <v>7718888882</v>
      </c>
      <c r="P3564" s="27">
        <v>1075000000</v>
      </c>
      <c r="Q3564" s="5" t="s">
        <v>54835</v>
      </c>
      <c r="R3564" s="5"/>
      <c r="S3564" s="5" t="s">
        <v>51456</v>
      </c>
      <c r="T3564" s="28">
        <v>4369585000</v>
      </c>
      <c r="U3564" s="28">
        <v>4266614000</v>
      </c>
      <c r="V3564" s="28">
        <v>727053000</v>
      </c>
      <c r="W3564" s="28">
        <v>504000000</v>
      </c>
      <c r="X3564" s="28">
        <v>636593000</v>
      </c>
      <c r="Y3564" s="28">
        <v>13018141000</v>
      </c>
      <c r="Z3564" s="28">
        <v>10423895000</v>
      </c>
      <c r="AA3564" s="28"/>
      <c r="AB3564" s="28"/>
      <c r="AC3564" s="28">
        <v>867098000</v>
      </c>
      <c r="AD3564" s="28">
        <v>11500629000</v>
      </c>
      <c r="AE3564" s="28">
        <v>19753850000</v>
      </c>
      <c r="AF3564" s="28">
        <v>2000863000</v>
      </c>
      <c r="AG3564" s="11"/>
    </row>
    <row r="3565">
      <c r="A3565" s="7" t="s">
        <v>5228</v>
      </c>
      <c r="B3565" s="5" t="s">
        <v>13196</v>
      </c>
      <c r="C3565" s="5" t="s">
        <v>20996</v>
      </c>
      <c r="D3565" s="5" t="str">
        <v>550701085456</v>
      </c>
      <c r="E3565" s="0" t="e">
        <f>+7 (381) 2504187
+7 (381) 2513851
+7 (381) 2513220
+7 (381) 2514138
+7 (908) 3198683
+7 (913) 6046171</f>
        <v>#NAME?</v>
      </c>
      <c r="F3565" s="5" t="s">
        <v>36065</v>
      </c>
      <c r="G3565" s="5"/>
      <c r="H3565" s="26">
        <v>15.5</v>
      </c>
      <c r="I3565" s="5" t="s">
        <v>36066</v>
      </c>
      <c r="J3565" s="5" t="s">
        <v>25353</v>
      </c>
      <c r="K3565" s="5" t="s">
        <v>344</v>
      </c>
      <c r="L3565" s="5" t="s">
        <v>36067</v>
      </c>
      <c r="M3565" s="27"/>
      <c r="N3565" s="5"/>
      <c r="O3565" s="5" t="str">
        <v>5507092015</v>
      </c>
      <c r="P3565" s="27">
        <v>30000</v>
      </c>
      <c r="Q3565" s="5" t="s">
        <v>49009</v>
      </c>
      <c r="R3565" s="5"/>
      <c r="S3565" s="5" t="s">
        <v>49010</v>
      </c>
      <c r="T3565" s="28">
        <v>244507000</v>
      </c>
      <c r="U3565" s="28"/>
      <c r="V3565" s="28">
        <v>190412000</v>
      </c>
      <c r="W3565" s="28">
        <v>59729000</v>
      </c>
      <c r="X3565" s="28">
        <v>34746000</v>
      </c>
      <c r="Y3565" s="28">
        <v>928170000</v>
      </c>
      <c r="Z3565" s="28">
        <v>621658000</v>
      </c>
      <c r="AA3565" s="28">
        <v>28025000</v>
      </c>
      <c r="AB3565" s="28">
        <v>227573000</v>
      </c>
      <c r="AC3565" s="28">
        <v>242637000</v>
      </c>
      <c r="AD3565" s="28">
        <v>621688000</v>
      </c>
      <c r="AE3565" s="28">
        <v>3851656000</v>
      </c>
      <c r="AF3565" s="28">
        <v>65114000</v>
      </c>
      <c r="AG3565" s="11"/>
    </row>
    <row r="3566">
      <c r="A3566" s="7" t="s">
        <v>5229</v>
      </c>
      <c r="B3566" s="5" t="s">
        <v>13197</v>
      </c>
      <c r="C3566" s="5" t="s">
        <v>20635</v>
      </c>
      <c r="D3566" s="5"/>
      <c r="E3566" s="0" t="e">
        <f>+7 (495) 9815555
+7 (925) 73242
+7 (925) 4003457</f>
        <v>#NAME?</v>
      </c>
      <c r="F3566" s="5" t="s">
        <v>36068</v>
      </c>
      <c r="G3566" s="5" t="s">
        <v>36069</v>
      </c>
      <c r="H3566" s="26">
        <v>20.5</v>
      </c>
      <c r="I3566" s="5"/>
      <c r="J3566" s="5" t="s">
        <v>25670</v>
      </c>
      <c r="K3566" s="5" t="s">
        <v>344</v>
      </c>
      <c r="L3566" s="5"/>
      <c r="M3566" s="27"/>
      <c r="N3566" s="5"/>
      <c r="O3566" s="5" t="str">
        <v>4633013903</v>
      </c>
      <c r="P3566" s="27">
        <v>3000220270</v>
      </c>
      <c r="Q3566" s="5"/>
      <c r="R3566" s="5"/>
      <c r="S3566" s="5" t="s">
        <v>54836</v>
      </c>
      <c r="T3566" s="28">
        <v>20828000</v>
      </c>
      <c r="U3566" s="28"/>
      <c r="V3566" s="28">
        <v>946542000</v>
      </c>
      <c r="W3566" s="28">
        <v>5900000000</v>
      </c>
      <c r="X3566" s="28">
        <v>121024000</v>
      </c>
      <c r="Y3566" s="28">
        <v>7953396000</v>
      </c>
      <c r="Z3566" s="28">
        <v>408708000</v>
      </c>
      <c r="AA3566" s="28"/>
      <c r="AB3566" s="28"/>
      <c r="AC3566" s="28">
        <v>1790479000</v>
      </c>
      <c r="AD3566" s="28">
        <v>5733182000</v>
      </c>
      <c r="AE3566" s="28">
        <v>17967971000</v>
      </c>
      <c r="AF3566" s="28">
        <v>415731000</v>
      </c>
      <c r="AG3566" s="11"/>
    </row>
    <row r="3567">
      <c r="A3567" s="7" t="s">
        <v>5230</v>
      </c>
      <c r="B3567" s="5" t="s">
        <v>13198</v>
      </c>
      <c r="C3567" s="5" t="s">
        <v>20997</v>
      </c>
      <c r="D3567" s="5" t="str">
        <v>060103206812</v>
      </c>
      <c r="E3567" s="0" t="e">
        <f>+7 (911) 7886437
+7 (812) 3325588</f>
        <v>#NAME?</v>
      </c>
      <c r="F3567" s="5"/>
      <c r="G3567" s="5"/>
      <c r="H3567" s="26">
        <v>10</v>
      </c>
      <c r="I3567" s="5" t="s">
        <v>36070</v>
      </c>
      <c r="J3567" s="5" t="s">
        <v>693</v>
      </c>
      <c r="K3567" s="5" t="s">
        <v>344</v>
      </c>
      <c r="L3567" s="5" t="s">
        <v>36071</v>
      </c>
      <c r="M3567" s="27">
        <v>6380272</v>
      </c>
      <c r="N3567" s="5"/>
      <c r="O3567" s="5" t="str">
        <v>7841481626</v>
      </c>
      <c r="P3567" s="27">
        <v>10000</v>
      </c>
      <c r="Q3567" s="5" t="s">
        <v>49009</v>
      </c>
      <c r="R3567" s="5"/>
      <c r="S3567" s="5" t="s">
        <v>49010</v>
      </c>
      <c r="T3567" s="28">
        <v>55856000</v>
      </c>
      <c r="U3567" s="28"/>
      <c r="V3567" s="28">
        <v>4564753000</v>
      </c>
      <c r="W3567" s="28">
        <v>33350000</v>
      </c>
      <c r="X3567" s="28">
        <v>5477000</v>
      </c>
      <c r="Y3567" s="28">
        <v>6020726000</v>
      </c>
      <c r="Z3567" s="28">
        <v>2819927000</v>
      </c>
      <c r="AA3567" s="28">
        <v>28000</v>
      </c>
      <c r="AB3567" s="28"/>
      <c r="AC3567" s="28">
        <v>3193505000</v>
      </c>
      <c r="AD3567" s="28">
        <v>2819937000</v>
      </c>
      <c r="AE3567" s="28">
        <v>7459971000</v>
      </c>
      <c r="AF3567" s="28">
        <v>1932943000</v>
      </c>
      <c r="AG3567" s="11"/>
    </row>
    <row r="3568">
      <c r="A3568" s="7" t="s">
        <v>5231</v>
      </c>
      <c r="B3568" s="5" t="s">
        <v>13199</v>
      </c>
      <c r="C3568" s="5" t="s">
        <v>20998</v>
      </c>
      <c r="D3568" s="5" t="str">
        <v>441200392748</v>
      </c>
      <c r="E3568" s="0" t="e">
        <f>+7 (483) 2726767
+7 (483) 2726782
+7 (484) 2552230
+7 (487) 2311676
+7 (48751) 48751
+7 (48751) 52702
+7 (4912) 330205
+7 (492) 2522233
+7 (495) 2322168
+7 (495) 7273974
+7 (8412) 429710
+7 (8412) 429715
+7 (844) 2531927
+7 (861) 2143419
+7 (87933) 66221</f>
        <v>#NAME?</v>
      </c>
      <c r="F3568" s="5" t="s">
        <v>36072</v>
      </c>
      <c r="G3568" s="5" t="s">
        <v>36073</v>
      </c>
      <c r="H3568" s="26">
        <v>22</v>
      </c>
      <c r="I3568" s="5"/>
      <c r="J3568" s="5" t="s">
        <v>26292</v>
      </c>
      <c r="K3568" s="5" t="s">
        <v>344</v>
      </c>
      <c r="L3568" s="5" t="s">
        <v>36074</v>
      </c>
      <c r="M3568" s="27">
        <v>32560936</v>
      </c>
      <c r="N3568" s="5" t="s">
        <v>54837</v>
      </c>
      <c r="O3568" s="5" t="str">
        <v>7118018781</v>
      </c>
      <c r="P3568" s="27">
        <v>8400</v>
      </c>
      <c r="Q3568" s="5" t="s">
        <v>54838</v>
      </c>
      <c r="R3568" s="5"/>
      <c r="S3568" s="5" t="s">
        <v>54839</v>
      </c>
      <c r="T3568" s="28">
        <v>3067120000</v>
      </c>
      <c r="U3568" s="28">
        <v>531000000</v>
      </c>
      <c r="V3568" s="28">
        <v>2917579000</v>
      </c>
      <c r="W3568" s="28"/>
      <c r="X3568" s="28">
        <v>2520956000</v>
      </c>
      <c r="Y3568" s="28">
        <v>27820453000</v>
      </c>
      <c r="Z3568" s="28">
        <v>24828835000</v>
      </c>
      <c r="AA3568" s="28"/>
      <c r="AB3568" s="28"/>
      <c r="AC3568" s="28">
        <v>2966882000</v>
      </c>
      <c r="AD3568" s="28">
        <v>24828843000</v>
      </c>
      <c r="AE3568" s="28">
        <v>66514318000</v>
      </c>
      <c r="AF3568" s="28">
        <v>2635141000</v>
      </c>
      <c r="AG3568" s="11"/>
    </row>
    <row r="3569">
      <c r="A3569" s="7" t="s">
        <v>5232</v>
      </c>
      <c r="B3569" s="5" t="s">
        <v>13200</v>
      </c>
      <c r="C3569" s="5" t="s">
        <v>20999</v>
      </c>
      <c r="D3569" s="5" t="str">
        <v>232300003000</v>
      </c>
      <c r="E3569" s="0" t="e">
        <f>+7 (926) 3286333</f>
        <v>#NAME?</v>
      </c>
      <c r="F3569" s="5" t="s">
        <v>36075</v>
      </c>
      <c r="G3569" s="5" t="s">
        <v>36076</v>
      </c>
      <c r="H3569" s="26">
        <v>5</v>
      </c>
      <c r="I3569" s="5" t="s">
        <v>36077</v>
      </c>
      <c r="J3569" s="5" t="s">
        <v>26880</v>
      </c>
      <c r="K3569" s="5" t="s">
        <v>344</v>
      </c>
      <c r="L3569" s="5"/>
      <c r="M3569" s="27"/>
      <c r="N3569" s="5"/>
      <c r="O3569" s="5" t="str">
        <v>2376000823</v>
      </c>
      <c r="P3569" s="27">
        <v>10000</v>
      </c>
      <c r="Q3569" s="5"/>
      <c r="R3569" s="5"/>
      <c r="S3569" s="5" t="s">
        <v>49110</v>
      </c>
      <c r="T3569" s="28">
        <v>110000</v>
      </c>
      <c r="U3569" s="28"/>
      <c r="V3569" s="28">
        <v>2867745000</v>
      </c>
      <c r="W3569" s="28">
        <v>29000000</v>
      </c>
      <c r="X3569" s="28">
        <v>9540000</v>
      </c>
      <c r="Y3569" s="28">
        <v>5819677000</v>
      </c>
      <c r="Z3569" s="28">
        <v>15455000</v>
      </c>
      <c r="AA3569" s="28">
        <v>162726000</v>
      </c>
      <c r="AB3569" s="28"/>
      <c r="AC3569" s="28">
        <v>5641486000</v>
      </c>
      <c r="AD3569" s="28">
        <v>15465000</v>
      </c>
      <c r="AE3569" s="28">
        <v>8210819000</v>
      </c>
      <c r="AF3569" s="28">
        <v>14166000</v>
      </c>
      <c r="AG3569" s="11"/>
    </row>
    <row r="3570">
      <c r="A3570" s="7" t="s">
        <v>5233</v>
      </c>
      <c r="B3570" s="5" t="s">
        <v>13201</v>
      </c>
      <c r="C3570" s="5" t="s">
        <v>21000</v>
      </c>
      <c r="D3570" s="5" t="str">
        <v>561402055300</v>
      </c>
      <c r="E3570" s="0" t="e">
        <f>+7 (951) 2445544</f>
        <v>#NAME?</v>
      </c>
      <c r="F3570" s="5"/>
      <c r="G3570" s="5"/>
      <c r="H3570" s="26">
        <v>8</v>
      </c>
      <c r="I3570" s="5" t="s">
        <v>36078</v>
      </c>
      <c r="J3570" s="5" t="s">
        <v>36079</v>
      </c>
      <c r="K3570" s="5" t="s">
        <v>344</v>
      </c>
      <c r="L3570" s="5" t="s">
        <v>36080</v>
      </c>
      <c r="M3570" s="27"/>
      <c r="N3570" s="5"/>
      <c r="O3570" s="5" t="str">
        <v>7456026311</v>
      </c>
      <c r="P3570" s="27">
        <v>10000</v>
      </c>
      <c r="Q3570" s="5" t="s">
        <v>49009</v>
      </c>
      <c r="R3570" s="5"/>
      <c r="S3570" s="5" t="s">
        <v>49010</v>
      </c>
      <c r="T3570" s="28"/>
      <c r="U3570" s="28"/>
      <c r="V3570" s="28">
        <v>657786000</v>
      </c>
      <c r="W3570" s="28"/>
      <c r="X3570" s="28">
        <v>473000</v>
      </c>
      <c r="Y3570" s="28">
        <v>937955000</v>
      </c>
      <c r="Z3570" s="28">
        <v>25415000</v>
      </c>
      <c r="AA3570" s="28"/>
      <c r="AB3570" s="28"/>
      <c r="AC3570" s="28">
        <v>912530000</v>
      </c>
      <c r="AD3570" s="28">
        <v>25425000</v>
      </c>
      <c r="AE3570" s="28">
        <v>7303765000</v>
      </c>
      <c r="AF3570" s="28">
        <v>6349000</v>
      </c>
      <c r="AG3570" s="11"/>
    </row>
    <row r="3571">
      <c r="A3571" s="7" t="s">
        <v>5234</v>
      </c>
      <c r="B3571" s="5" t="s">
        <v>13202</v>
      </c>
      <c r="C3571" s="5" t="s">
        <v>21001</v>
      </c>
      <c r="D3571" s="5" t="str">
        <v>771308155235</v>
      </c>
      <c r="E3571" s="0" t="e">
        <f>+7 (495) 1711525
+7 (495) 1731700
+7 (495) 6600687
+7 (495) 7271096
+7 (495) 7274100
+7 (495) 9251155
+7 (499) 1711525
+7 (499) 1731700
+7 (800) 5551155</f>
        <v>#NAME?</v>
      </c>
      <c r="F3571" s="5" t="s">
        <v>36081</v>
      </c>
      <c r="G3571" s="5" t="s">
        <v>36082</v>
      </c>
      <c r="H3571" s="26">
        <v>30</v>
      </c>
      <c r="I3571" s="5"/>
      <c r="J3571" s="5" t="s">
        <v>445</v>
      </c>
      <c r="K3571" s="5" t="s">
        <v>344</v>
      </c>
      <c r="L3571" s="5" t="s">
        <v>36083</v>
      </c>
      <c r="M3571" s="27">
        <v>328977</v>
      </c>
      <c r="N3571" s="5" t="s">
        <v>54840</v>
      </c>
      <c r="O3571" s="5" t="str">
        <v>7721040281</v>
      </c>
      <c r="P3571" s="27">
        <v>3907761</v>
      </c>
      <c r="Q3571" s="5" t="s">
        <v>54841</v>
      </c>
      <c r="R3571" s="5"/>
      <c r="S3571" s="5" t="s">
        <v>54842</v>
      </c>
      <c r="T3571" s="28">
        <v>5062609000</v>
      </c>
      <c r="U3571" s="28">
        <v>195030000</v>
      </c>
      <c r="V3571" s="28">
        <v>25709811000</v>
      </c>
      <c r="W3571" s="28">
        <v>4321321000</v>
      </c>
      <c r="X3571" s="28">
        <v>556728000</v>
      </c>
      <c r="Y3571" s="28">
        <v>56243706000</v>
      </c>
      <c r="Z3571" s="28">
        <v>29546749000</v>
      </c>
      <c r="AA3571" s="28"/>
      <c r="AB3571" s="28">
        <v>1654970000</v>
      </c>
      <c r="AC3571" s="28">
        <v>26525353000</v>
      </c>
      <c r="AD3571" s="28">
        <v>29649488000</v>
      </c>
      <c r="AE3571" s="28">
        <v>200024392000</v>
      </c>
      <c r="AF3571" s="28">
        <v>4350061000</v>
      </c>
      <c r="AG3571" s="11"/>
    </row>
    <row r="3572">
      <c r="A3572" s="7" t="s">
        <v>5235</v>
      </c>
      <c r="B3572" s="5" t="s">
        <v>13203</v>
      </c>
      <c r="C3572" s="5" t="s">
        <v>21002</v>
      </c>
      <c r="D3572" s="5" t="str">
        <v>772632165822</v>
      </c>
      <c r="E3572" s="0" t="e">
        <f>+7 (495) 9251155
+7 (499) 1731418</f>
        <v>#NAME?</v>
      </c>
      <c r="F3572" s="5" t="s">
        <v>36084</v>
      </c>
      <c r="G3572" s="5" t="s">
        <v>36082</v>
      </c>
      <c r="H3572" s="26">
        <v>16.5</v>
      </c>
      <c r="I3572" s="5" t="s">
        <v>36085</v>
      </c>
      <c r="J3572" s="5" t="s">
        <v>25337</v>
      </c>
      <c r="K3572" s="5" t="s">
        <v>344</v>
      </c>
      <c r="L3572" s="5" t="s">
        <v>36086</v>
      </c>
      <c r="M3572" s="27">
        <v>456765</v>
      </c>
      <c r="N3572" s="5" t="s">
        <v>54843</v>
      </c>
      <c r="O3572" s="5" t="str">
        <v>7721562305</v>
      </c>
      <c r="P3572" s="27">
        <v>400000</v>
      </c>
      <c r="Q3572" s="5" t="s">
        <v>49021</v>
      </c>
      <c r="R3572" s="5"/>
      <c r="S3572" s="5" t="s">
        <v>54844</v>
      </c>
      <c r="T3572" s="28">
        <v>735872000</v>
      </c>
      <c r="U3572" s="28">
        <v>227897000</v>
      </c>
      <c r="V3572" s="28">
        <v>10806819000</v>
      </c>
      <c r="W3572" s="28">
        <v>715552000</v>
      </c>
      <c r="X3572" s="28">
        <v>1195349000</v>
      </c>
      <c r="Y3572" s="28">
        <v>20686684000</v>
      </c>
      <c r="Z3572" s="28">
        <v>6352140000</v>
      </c>
      <c r="AA3572" s="28"/>
      <c r="AB3572" s="28"/>
      <c r="AC3572" s="28">
        <v>14334144000</v>
      </c>
      <c r="AD3572" s="28">
        <v>6352540000</v>
      </c>
      <c r="AE3572" s="28">
        <v>56995935000</v>
      </c>
      <c r="AF3572" s="28">
        <v>1723248000</v>
      </c>
      <c r="AG3572" s="11"/>
    </row>
    <row r="3573">
      <c r="A3573" s="7" t="s">
        <v>5236</v>
      </c>
      <c r="B3573" s="5" t="s">
        <v>13204</v>
      </c>
      <c r="C3573" s="5" t="s">
        <v>21003</v>
      </c>
      <c r="D3573" s="5"/>
      <c r="E3573" s="0" t="e">
        <f>+7 (383) 2276910
+7 (383) 3500606
+7 (383) 3508585
+7 (383) 3508888
+7 (913) 9121738</f>
        <v>#NAME?</v>
      </c>
      <c r="F3573" s="5" t="s">
        <v>36087</v>
      </c>
      <c r="G3573" s="5" t="s">
        <v>36088</v>
      </c>
      <c r="H3573" s="26">
        <v>7.5</v>
      </c>
      <c r="I3573" s="5" t="s">
        <v>36089</v>
      </c>
      <c r="J3573" s="5" t="s">
        <v>25337</v>
      </c>
      <c r="K3573" s="5" t="s">
        <v>344</v>
      </c>
      <c r="L3573" s="5" t="s">
        <v>36090</v>
      </c>
      <c r="M3573" s="27">
        <v>381154</v>
      </c>
      <c r="N3573" s="5" t="s">
        <v>54845</v>
      </c>
      <c r="O3573" s="5" t="str">
        <v>5404019486</v>
      </c>
      <c r="P3573" s="27">
        <v>300000</v>
      </c>
      <c r="Q3573" s="5" t="s">
        <v>49009</v>
      </c>
      <c r="R3573" s="5"/>
      <c r="S3573" s="5" t="s">
        <v>49045</v>
      </c>
      <c r="T3573" s="28"/>
      <c r="U3573" s="28"/>
      <c r="V3573" s="28">
        <v>876488000</v>
      </c>
      <c r="W3573" s="28"/>
      <c r="X3573" s="28">
        <v>18039000</v>
      </c>
      <c r="Y3573" s="28">
        <v>998284000</v>
      </c>
      <c r="Z3573" s="28">
        <v>198998000</v>
      </c>
      <c r="AA3573" s="28"/>
      <c r="AB3573" s="28"/>
      <c r="AC3573" s="28">
        <v>798986000</v>
      </c>
      <c r="AD3573" s="28">
        <v>199298000</v>
      </c>
      <c r="AE3573" s="28">
        <v>7152912000</v>
      </c>
      <c r="AF3573" s="28">
        <v>39233000</v>
      </c>
      <c r="AG3573" s="11"/>
    </row>
    <row r="3574">
      <c r="A3574" s="7" t="s">
        <v>5237</v>
      </c>
      <c r="B3574" s="5" t="s">
        <v>13205</v>
      </c>
      <c r="C3574" s="5" t="s">
        <v>21004</v>
      </c>
      <c r="D3574" s="5" t="str">
        <v>253708661000</v>
      </c>
      <c r="E3574" s="0" t="e">
        <f>+7 (421) 2310699
+7 (421) 2464005
+7 (421) 2268673
+7 (421) 2268674
+7 (421) 2268675
+7 (421) 2268676
+7 (421) 2268677
+7 (421) 2268678
+7 (924) 2033515</f>
        <v>#NAME?</v>
      </c>
      <c r="F3574" s="5"/>
      <c r="G3574" s="5"/>
      <c r="H3574" s="26">
        <v>15</v>
      </c>
      <c r="I3574" s="5" t="s">
        <v>36091</v>
      </c>
      <c r="J3574" s="5" t="s">
        <v>25337</v>
      </c>
      <c r="K3574" s="5" t="s">
        <v>344</v>
      </c>
      <c r="L3574" s="5" t="s">
        <v>36092</v>
      </c>
      <c r="M3574" s="27"/>
      <c r="N3574" s="5" t="s">
        <v>54846</v>
      </c>
      <c r="O3574" s="5" t="str">
        <v>2724115793</v>
      </c>
      <c r="P3574" s="27">
        <v>100000</v>
      </c>
      <c r="Q3574" s="5" t="s">
        <v>49059</v>
      </c>
      <c r="R3574" s="5"/>
      <c r="S3574" s="5" t="s">
        <v>49047</v>
      </c>
      <c r="T3574" s="28">
        <v>414000</v>
      </c>
      <c r="U3574" s="28"/>
      <c r="V3574" s="28">
        <v>214099000</v>
      </c>
      <c r="W3574" s="28"/>
      <c r="X3574" s="28">
        <v>1915000</v>
      </c>
      <c r="Y3574" s="28">
        <v>239498000</v>
      </c>
      <c r="Z3574" s="28">
        <v>76136000</v>
      </c>
      <c r="AA3574" s="28"/>
      <c r="AB3574" s="28"/>
      <c r="AC3574" s="28">
        <v>163262000</v>
      </c>
      <c r="AD3574" s="28">
        <v>76236000</v>
      </c>
      <c r="AE3574" s="28">
        <v>3166756000</v>
      </c>
      <c r="AF3574" s="28">
        <v>11327000</v>
      </c>
      <c r="AG3574" s="11"/>
    </row>
    <row r="3575">
      <c r="A3575" s="7" t="s">
        <v>5238</v>
      </c>
      <c r="B3575" s="5" t="s">
        <v>11738</v>
      </c>
      <c r="C3575" s="5" t="s">
        <v>21005</v>
      </c>
      <c r="D3575" s="5" t="str">
        <v>660901097923</v>
      </c>
      <c r="E3575" s="0" t="e">
        <f>+7 (34739) 21750
+7 (384) 2357647
+7 (3843) 357607
+7 (3843) 357764
+7 (3843) 921708
+7 (3843) 921726
+7 (3843) 921750
+7 (3843) 921751
+7 (38473) 30376
+7 (384) 2752545
+7 (38473) 23038
+7 (38473) 23651
+7 (38473) 30374
+7 (38473) 32532
+7 (38473) 34951</f>
        <v>#NAME?</v>
      </c>
      <c r="F3575" s="5" t="s">
        <v>36093</v>
      </c>
      <c r="G3575" s="5" t="s">
        <v>36094</v>
      </c>
      <c r="H3575" s="26">
        <v>23.5</v>
      </c>
      <c r="I3575" s="5" t="s">
        <v>36095</v>
      </c>
      <c r="J3575" s="5" t="s">
        <v>26623</v>
      </c>
      <c r="K3575" s="5" t="s">
        <v>344</v>
      </c>
      <c r="L3575" s="5" t="s">
        <v>36096</v>
      </c>
      <c r="M3575" s="27">
        <v>19051617</v>
      </c>
      <c r="N3575" s="5" t="s">
        <v>54847</v>
      </c>
      <c r="O3575" s="5" t="str">
        <v>4217039402</v>
      </c>
      <c r="P3575" s="27">
        <v>10000</v>
      </c>
      <c r="Q3575" s="5" t="s">
        <v>54848</v>
      </c>
      <c r="R3575" s="5"/>
      <c r="S3575" s="5" t="s">
        <v>50205</v>
      </c>
      <c r="T3575" s="28">
        <v>10872000</v>
      </c>
      <c r="U3575" s="28">
        <v>1508000</v>
      </c>
      <c r="V3575" s="28">
        <v>4787649000</v>
      </c>
      <c r="W3575" s="28">
        <v>88571000</v>
      </c>
      <c r="X3575" s="28">
        <v>2369000</v>
      </c>
      <c r="Y3575" s="28">
        <v>5295677000</v>
      </c>
      <c r="Z3575" s="28">
        <v>3489484000</v>
      </c>
      <c r="AA3575" s="28"/>
      <c r="AB3575" s="28">
        <v>3000</v>
      </c>
      <c r="AC3575" s="28">
        <v>1806053000</v>
      </c>
      <c r="AD3575" s="28">
        <v>3489497000</v>
      </c>
      <c r="AE3575" s="28">
        <v>21592523000</v>
      </c>
      <c r="AF3575" s="28">
        <v>462220000</v>
      </c>
      <c r="AG3575" s="11"/>
    </row>
    <row r="3576">
      <c r="A3576" s="7" t="s">
        <v>5239</v>
      </c>
      <c r="B3576" s="5" t="s">
        <v>13206</v>
      </c>
      <c r="C3576" s="5" t="s">
        <v>20995</v>
      </c>
      <c r="D3576" s="5"/>
      <c r="E3576" s="0" t="e">
        <f>+7 (34248) 92661
+7 (34248) 92800
+7 (34248) 44416
+7 (34248) 92899
+7 (34248) 47172
+7 (34248) 47397
+7 (34248) 92667
+7 (34248) 92877</f>
        <v>#NAME?</v>
      </c>
      <c r="F3576" s="5" t="s">
        <v>36097</v>
      </c>
      <c r="G3576" s="5" t="s">
        <v>36098</v>
      </c>
      <c r="H3576" s="26">
        <v>29.5</v>
      </c>
      <c r="I3576" s="5" t="s">
        <v>36099</v>
      </c>
      <c r="J3576" s="5" t="s">
        <v>29146</v>
      </c>
      <c r="K3576" s="5" t="s">
        <v>344</v>
      </c>
      <c r="L3576" s="5" t="s">
        <v>36100</v>
      </c>
      <c r="M3576" s="27">
        <v>638545</v>
      </c>
      <c r="N3576" s="5" t="s">
        <v>54849</v>
      </c>
      <c r="O3576" s="5" t="str">
        <v>5913001268</v>
      </c>
      <c r="P3576" s="27">
        <v>293779422</v>
      </c>
      <c r="Q3576" s="5" t="s">
        <v>54850</v>
      </c>
      <c r="R3576" s="5"/>
      <c r="S3576" s="5" t="s">
        <v>51309</v>
      </c>
      <c r="T3576" s="28">
        <v>100262034000</v>
      </c>
      <c r="U3576" s="28">
        <v>5179740000</v>
      </c>
      <c r="V3576" s="28">
        <v>2744059000</v>
      </c>
      <c r="W3576" s="28">
        <v>3570053000</v>
      </c>
      <c r="X3576" s="28">
        <v>4297024000</v>
      </c>
      <c r="Y3576" s="28">
        <v>120576414000</v>
      </c>
      <c r="Z3576" s="28">
        <v>70155023000</v>
      </c>
      <c r="AA3576" s="28">
        <v>42914648000</v>
      </c>
      <c r="AB3576" s="28">
        <v>691952000</v>
      </c>
      <c r="AC3576" s="28">
        <v>3870920000</v>
      </c>
      <c r="AD3576" s="28">
        <v>71077065000</v>
      </c>
      <c r="AE3576" s="28">
        <v>26950489000</v>
      </c>
      <c r="AF3576" s="28">
        <v>10621768000</v>
      </c>
      <c r="AG3576" s="11"/>
    </row>
    <row r="3577">
      <c r="A3577" s="7" t="s">
        <v>5240</v>
      </c>
      <c r="B3577" s="5" t="s">
        <v>13207</v>
      </c>
      <c r="C3577" s="5" t="s">
        <v>20995</v>
      </c>
      <c r="D3577" s="5"/>
      <c r="E3577" s="0" t="e">
        <f>+7 (3422) 183316
+7 (3422) 183370</f>
        <v>#NAME?</v>
      </c>
      <c r="F3577" s="5" t="s">
        <v>36101</v>
      </c>
      <c r="G3577" s="5" t="s">
        <v>36102</v>
      </c>
      <c r="H3577" s="26">
        <v>17</v>
      </c>
      <c r="I3577" s="5" t="s">
        <v>36103</v>
      </c>
      <c r="J3577" s="5" t="s">
        <v>25512</v>
      </c>
      <c r="K3577" s="5" t="s">
        <v>344</v>
      </c>
      <c r="L3577" s="5" t="s">
        <v>36104</v>
      </c>
      <c r="M3577" s="27"/>
      <c r="N3577" s="5" t="s">
        <v>51550</v>
      </c>
      <c r="O3577" s="5" t="str">
        <v>5904137150</v>
      </c>
      <c r="P3577" s="27">
        <v>3000000</v>
      </c>
      <c r="Q3577" s="5" t="s">
        <v>54851</v>
      </c>
      <c r="R3577" s="5"/>
      <c r="S3577" s="5" t="s">
        <v>49496</v>
      </c>
      <c r="T3577" s="28">
        <v>126721000</v>
      </c>
      <c r="U3577" s="28">
        <v>300717000</v>
      </c>
      <c r="V3577" s="28">
        <v>989425000</v>
      </c>
      <c r="W3577" s="28"/>
      <c r="X3577" s="28">
        <v>1113006000</v>
      </c>
      <c r="Y3577" s="28">
        <v>2638795000</v>
      </c>
      <c r="Z3577" s="28">
        <v>2142744000</v>
      </c>
      <c r="AA3577" s="28"/>
      <c r="AB3577" s="28"/>
      <c r="AC3577" s="28">
        <v>391920000</v>
      </c>
      <c r="AD3577" s="28">
        <v>2145744000</v>
      </c>
      <c r="AE3577" s="28">
        <v>14814078000</v>
      </c>
      <c r="AF3577" s="28">
        <v>434555000</v>
      </c>
      <c r="AG3577" s="11"/>
    </row>
    <row r="3578">
      <c r="A3578" s="7" t="s">
        <v>5241</v>
      </c>
      <c r="B3578" s="5" t="s">
        <v>13208</v>
      </c>
      <c r="C3578" s="5" t="s">
        <v>21006</v>
      </c>
      <c r="D3578" s="5" t="str">
        <v>434547459821</v>
      </c>
      <c r="E3578" s="0" t="e">
        <f>+7 (912) 3795175</f>
        <v>#NAME?</v>
      </c>
      <c r="F3578" s="5"/>
      <c r="G3578" s="5"/>
      <c r="H3578" s="26">
        <v>10.5</v>
      </c>
      <c r="I3578" s="5" t="s">
        <v>36105</v>
      </c>
      <c r="J3578" s="5" t="s">
        <v>25512</v>
      </c>
      <c r="K3578" s="5" t="s">
        <v>380</v>
      </c>
      <c r="L3578" s="5" t="s">
        <v>36106</v>
      </c>
      <c r="M3578" s="27">
        <v>196833</v>
      </c>
      <c r="N3578" s="5"/>
      <c r="O3578" s="5" t="str">
        <v>7720750962</v>
      </c>
      <c r="P3578" s="27">
        <v>10000</v>
      </c>
      <c r="Q3578" s="5"/>
      <c r="R3578" s="5"/>
      <c r="S3578" s="5" t="s">
        <v>49496</v>
      </c>
      <c r="T3578" s="28"/>
      <c r="U3578" s="28"/>
      <c r="V3578" s="28"/>
      <c r="W3578" s="28"/>
      <c r="X3578" s="28">
        <v>61000</v>
      </c>
      <c r="Y3578" s="28">
        <v>124915000</v>
      </c>
      <c r="Z3578" s="28">
        <v>124905000</v>
      </c>
      <c r="AA3578" s="28"/>
      <c r="AB3578" s="28"/>
      <c r="AC3578" s="28"/>
      <c r="AD3578" s="28">
        <v>124915000</v>
      </c>
      <c r="AE3578" s="28">
        <v>5043633000</v>
      </c>
      <c r="AF3578" s="28">
        <v>71833000</v>
      </c>
      <c r="AG3578" s="11"/>
    </row>
    <row r="3579">
      <c r="A3579" s="7" t="s">
        <v>5242</v>
      </c>
      <c r="B3579" s="5" t="s">
        <v>13209</v>
      </c>
      <c r="C3579" s="5" t="s">
        <v>21007</v>
      </c>
      <c r="D3579" s="5" t="str">
        <v>025605252767</v>
      </c>
      <c r="E3579" s="0" t="e">
        <f>+7 (909) 7447222
+7 (909) 938094
+7 (3519) 380171
+7 (909) 992260</f>
        <v>#NAME?</v>
      </c>
      <c r="F3579" s="5" t="s">
        <v>36107</v>
      </c>
      <c r="G3579" s="5" t="s">
        <v>36108</v>
      </c>
      <c r="H3579" s="26">
        <v>11</v>
      </c>
      <c r="I3579" s="5" t="s">
        <v>36109</v>
      </c>
      <c r="J3579" s="5" t="s">
        <v>25337</v>
      </c>
      <c r="K3579" s="5" t="s">
        <v>344</v>
      </c>
      <c r="L3579" s="5" t="s">
        <v>36110</v>
      </c>
      <c r="M3579" s="27"/>
      <c r="N3579" s="5" t="s">
        <v>54852</v>
      </c>
      <c r="O3579" s="5" t="str">
        <v>7456008520</v>
      </c>
      <c r="P3579" s="27">
        <v>210000</v>
      </c>
      <c r="Q3579" s="5"/>
      <c r="R3579" s="5"/>
      <c r="S3579" s="5" t="s">
        <v>49047</v>
      </c>
      <c r="T3579" s="28">
        <v>7268000</v>
      </c>
      <c r="U3579" s="28">
        <v>2490000</v>
      </c>
      <c r="V3579" s="28">
        <v>464983000</v>
      </c>
      <c r="W3579" s="28"/>
      <c r="X3579" s="28">
        <v>129000</v>
      </c>
      <c r="Y3579" s="28">
        <v>481430000</v>
      </c>
      <c r="Z3579" s="28">
        <v>131397000</v>
      </c>
      <c r="AA3579" s="28"/>
      <c r="AB3579" s="28">
        <v>67894000</v>
      </c>
      <c r="AC3579" s="28">
        <v>349812000</v>
      </c>
      <c r="AD3579" s="28">
        <v>131607000</v>
      </c>
      <c r="AE3579" s="28">
        <v>3520157000</v>
      </c>
      <c r="AF3579" s="28">
        <v>77605000</v>
      </c>
      <c r="AG3579" s="11"/>
    </row>
    <row r="3580">
      <c r="A3580" s="7" t="s">
        <v>5243</v>
      </c>
      <c r="B3580" s="5" t="s">
        <v>13210</v>
      </c>
      <c r="C3580" s="5" t="s">
        <v>18895</v>
      </c>
      <c r="D3580" s="5" t="str">
        <v>772647193491</v>
      </c>
      <c r="E3580" s="0" t="e">
        <f>+7 (495) 7392626
+7 (800) 5555957</f>
        <v>#NAME?</v>
      </c>
      <c r="F3580" s="5" t="s">
        <v>36111</v>
      </c>
      <c r="G3580" s="5" t="s">
        <v>36112</v>
      </c>
      <c r="H3580" s="26">
        <v>15</v>
      </c>
      <c r="I3580" s="5" t="s">
        <v>36113</v>
      </c>
      <c r="J3580" s="5" t="s">
        <v>26292</v>
      </c>
      <c r="K3580" s="5" t="s">
        <v>380</v>
      </c>
      <c r="L3580" s="5"/>
      <c r="M3580" s="27">
        <v>15155619</v>
      </c>
      <c r="N3580" s="5" t="s">
        <v>54853</v>
      </c>
      <c r="O3580" s="5" t="str">
        <v>7731585968</v>
      </c>
      <c r="P3580" s="27">
        <v>9200000</v>
      </c>
      <c r="Q3580" s="5" t="s">
        <v>49009</v>
      </c>
      <c r="R3580" s="5"/>
      <c r="S3580" s="5" t="s">
        <v>49358</v>
      </c>
      <c r="T3580" s="28">
        <v>6130000</v>
      </c>
      <c r="U3580" s="28"/>
      <c r="V3580" s="28">
        <v>885552000</v>
      </c>
      <c r="W3580" s="28"/>
      <c r="X3580" s="28">
        <v>4853039000</v>
      </c>
      <c r="Y3580" s="28">
        <v>7425536000</v>
      </c>
      <c r="Z3580" s="28">
        <v>-3476640000</v>
      </c>
      <c r="AA3580" s="28"/>
      <c r="AB3580" s="28"/>
      <c r="AC3580" s="28">
        <v>10891218000</v>
      </c>
      <c r="AD3580" s="28">
        <v>-3467371000</v>
      </c>
      <c r="AE3580" s="28">
        <v>14815679000</v>
      </c>
      <c r="AF3580" s="28">
        <v>-1873645000</v>
      </c>
      <c r="AG3580" s="11"/>
    </row>
    <row r="3581">
      <c r="A3581" s="7" t="s">
        <v>5244</v>
      </c>
      <c r="B3581" s="5" t="s">
        <v>13211</v>
      </c>
      <c r="C3581" s="5" t="s">
        <v>21008</v>
      </c>
      <c r="D3581" s="5" t="str">
        <v>500103760504</v>
      </c>
      <c r="E3581" s="0" t="e">
        <f>+7 (495) 3632472
+7 (495) 3632471
+7 (495) 3632473
+7 (495) 7839543
+7 (495) 7839564</f>
        <v>#NAME?</v>
      </c>
      <c r="F3581" s="5" t="s">
        <v>36114</v>
      </c>
      <c r="G3581" s="5" t="s">
        <v>36115</v>
      </c>
      <c r="H3581" s="26">
        <v>17</v>
      </c>
      <c r="I3581" s="5" t="s">
        <v>36116</v>
      </c>
      <c r="J3581" s="5" t="s">
        <v>25337</v>
      </c>
      <c r="K3581" s="5" t="s">
        <v>344</v>
      </c>
      <c r="L3581" s="5" t="s">
        <v>36117</v>
      </c>
      <c r="M3581" s="27">
        <v>162310</v>
      </c>
      <c r="N3581" s="5" t="s">
        <v>54854</v>
      </c>
      <c r="O3581" s="5" t="str">
        <v>7734537592</v>
      </c>
      <c r="P3581" s="27">
        <v>500000</v>
      </c>
      <c r="Q3581" s="5" t="s">
        <v>54855</v>
      </c>
      <c r="R3581" s="5"/>
      <c r="S3581" s="5" t="s">
        <v>54856</v>
      </c>
      <c r="T3581" s="28">
        <v>15111000</v>
      </c>
      <c r="U3581" s="28"/>
      <c r="V3581" s="28">
        <v>833918000</v>
      </c>
      <c r="W3581" s="28"/>
      <c r="X3581" s="28">
        <v>62116000</v>
      </c>
      <c r="Y3581" s="28">
        <v>977091000</v>
      </c>
      <c r="Z3581" s="28">
        <v>280815000</v>
      </c>
      <c r="AA3581" s="28"/>
      <c r="AB3581" s="28">
        <v>503827000</v>
      </c>
      <c r="AC3581" s="28">
        <v>627551000</v>
      </c>
      <c r="AD3581" s="28">
        <v>281315000</v>
      </c>
      <c r="AE3581" s="28">
        <v>5374221000</v>
      </c>
      <c r="AF3581" s="28">
        <v>55898000</v>
      </c>
      <c r="AG3581" s="11"/>
    </row>
    <row r="3582">
      <c r="A3582" s="7" t="s">
        <v>5245</v>
      </c>
      <c r="B3582" s="5" t="s">
        <v>13212</v>
      </c>
      <c r="C3582" s="5" t="s">
        <v>21009</v>
      </c>
      <c r="D3582" s="5" t="str">
        <v>165120109867</v>
      </c>
      <c r="E3582" s="0" t="e">
        <f>+7 (917) 8773399
+7 (8555) 447755</f>
        <v>#NAME?</v>
      </c>
      <c r="F3582" s="5" t="s">
        <v>36118</v>
      </c>
      <c r="G3582" s="5"/>
      <c r="H3582" s="26">
        <v>9</v>
      </c>
      <c r="I3582" s="5" t="s">
        <v>36119</v>
      </c>
      <c r="J3582" s="5" t="s">
        <v>373</v>
      </c>
      <c r="K3582" s="5" t="s">
        <v>344</v>
      </c>
      <c r="L3582" s="5"/>
      <c r="M3582" s="27"/>
      <c r="N3582" s="5"/>
      <c r="O3582" s="5" t="str">
        <v>1651071814</v>
      </c>
      <c r="P3582" s="27">
        <v>10000</v>
      </c>
      <c r="Q3582" s="5" t="s">
        <v>49057</v>
      </c>
      <c r="R3582" s="5"/>
      <c r="S3582" s="5" t="s">
        <v>53811</v>
      </c>
      <c r="T3582" s="28">
        <v>81322000</v>
      </c>
      <c r="U3582" s="28"/>
      <c r="V3582" s="28">
        <v>295283000</v>
      </c>
      <c r="W3582" s="28"/>
      <c r="X3582" s="28">
        <v>22000</v>
      </c>
      <c r="Y3582" s="28">
        <v>379211000</v>
      </c>
      <c r="Z3582" s="28">
        <v>163549000</v>
      </c>
      <c r="AA3582" s="28"/>
      <c r="AB3582" s="28">
        <v>91899000</v>
      </c>
      <c r="AC3582" s="28">
        <v>202454000</v>
      </c>
      <c r="AD3582" s="28">
        <v>163559000</v>
      </c>
      <c r="AE3582" s="28">
        <v>3988339000</v>
      </c>
      <c r="AF3582" s="28">
        <v>38906000</v>
      </c>
      <c r="AG3582" s="11"/>
    </row>
    <row r="3583">
      <c r="A3583" s="7" t="s">
        <v>5246</v>
      </c>
      <c r="B3583" s="5" t="s">
        <v>13213</v>
      </c>
      <c r="C3583" s="5" t="s">
        <v>21010</v>
      </c>
      <c r="D3583" s="5" t="str">
        <v>770480995886</v>
      </c>
      <c r="E3583" s="0" t="e">
        <f>+7 (495) 5021512
+7 (384) 2490600
+7 (3422) 197571
+7 (343) 2162999
+7 (482) 2798800
+7 (4862) 201800
+7 (4912) 245800
+7 (495) 1392800
+7 (495) 5021003
+7 (495) 5021009
+7 (495) 5021052
+7 (495) 5021271
+7 (495) 5021509
+7 (495) 6403422
+7 (495) 6627171</f>
        <v>#NAME?</v>
      </c>
      <c r="F3583" s="5" t="s">
        <v>36120</v>
      </c>
      <c r="G3583" s="5" t="s">
        <v>36121</v>
      </c>
      <c r="H3583" s="26">
        <v>22.5</v>
      </c>
      <c r="I3583" s="5" t="s">
        <v>36122</v>
      </c>
      <c r="J3583" s="5" t="s">
        <v>25219</v>
      </c>
      <c r="K3583" s="5" t="s">
        <v>344</v>
      </c>
      <c r="L3583" s="5" t="s">
        <v>36123</v>
      </c>
      <c r="M3583" s="27">
        <v>68277743</v>
      </c>
      <c r="N3583" s="5" t="s">
        <v>54857</v>
      </c>
      <c r="O3583" s="5" t="str">
        <v>7704218694</v>
      </c>
      <c r="P3583" s="27">
        <v>22037962355</v>
      </c>
      <c r="Q3583" s="5" t="s">
        <v>54858</v>
      </c>
      <c r="R3583" s="5" t="s">
        <v>54859</v>
      </c>
      <c r="S3583" s="5" t="s">
        <v>54860</v>
      </c>
      <c r="T3583" s="28">
        <v>50134542000</v>
      </c>
      <c r="U3583" s="28">
        <v>207421000</v>
      </c>
      <c r="V3583" s="28">
        <v>9326029000</v>
      </c>
      <c r="W3583" s="28">
        <v>35659716000</v>
      </c>
      <c r="X3583" s="28">
        <v>7039793000</v>
      </c>
      <c r="Y3583" s="28">
        <v>134776533000</v>
      </c>
      <c r="Z3583" s="28">
        <v>34522785000</v>
      </c>
      <c r="AA3583" s="28"/>
      <c r="AB3583" s="28">
        <v>324000</v>
      </c>
      <c r="AC3583" s="28">
        <v>71728385000</v>
      </c>
      <c r="AD3583" s="28">
        <v>56616643000</v>
      </c>
      <c r="AE3583" s="28">
        <v>223588709000</v>
      </c>
      <c r="AF3583" s="28">
        <v>8792649000</v>
      </c>
      <c r="AG3583" s="11"/>
    </row>
    <row r="3584">
      <c r="A3584" s="7" t="s">
        <v>5247</v>
      </c>
      <c r="B3584" s="5" t="s">
        <v>13214</v>
      </c>
      <c r="C3584" s="5" t="s">
        <v>21011</v>
      </c>
      <c r="D3584" s="5" t="str">
        <v>782572762401</v>
      </c>
      <c r="E3584" s="0" t="e">
        <f>+7 (495) 250077</f>
        <v>#NAME?</v>
      </c>
      <c r="F3584" s="5" t="s">
        <v>36124</v>
      </c>
      <c r="G3584" s="5"/>
      <c r="H3584" s="26">
        <v>4.5</v>
      </c>
      <c r="I3584" s="5" t="s">
        <v>36125</v>
      </c>
      <c r="J3584" s="5" t="s">
        <v>36126</v>
      </c>
      <c r="K3584" s="5" t="s">
        <v>344</v>
      </c>
      <c r="L3584" s="5" t="s">
        <v>36127</v>
      </c>
      <c r="M3584" s="27"/>
      <c r="N3584" s="5" t="s">
        <v>53509</v>
      </c>
      <c r="O3584" s="5" t="str">
        <v>5029231232</v>
      </c>
      <c r="P3584" s="27">
        <v>1000000</v>
      </c>
      <c r="Q3584" s="5" t="s">
        <v>54862</v>
      </c>
      <c r="R3584" s="5"/>
      <c r="S3584" s="5" t="s">
        <v>49155</v>
      </c>
      <c r="T3584" s="28">
        <v>216583000</v>
      </c>
      <c r="U3584" s="28">
        <v>50000000</v>
      </c>
      <c r="V3584" s="28">
        <v>1314015000</v>
      </c>
      <c r="W3584" s="28">
        <v>4835170000</v>
      </c>
      <c r="X3584" s="28">
        <v>1810707000</v>
      </c>
      <c r="Y3584" s="28">
        <v>10434721000</v>
      </c>
      <c r="Z3584" s="28">
        <v>1287734000</v>
      </c>
      <c r="AA3584" s="28">
        <v>1016000</v>
      </c>
      <c r="AB3584" s="28">
        <v>16276000</v>
      </c>
      <c r="AC3584" s="28">
        <v>1702917000</v>
      </c>
      <c r="AD3584" s="28">
        <v>1288734000</v>
      </c>
      <c r="AE3584" s="28">
        <v>6068705000</v>
      </c>
      <c r="AF3584" s="28">
        <v>474820000</v>
      </c>
      <c r="AG3584" s="11"/>
    </row>
    <row r="3585">
      <c r="A3585" s="7" t="s">
        <v>5248</v>
      </c>
      <c r="B3585" s="5" t="s">
        <v>13215</v>
      </c>
      <c r="C3585" s="5" t="s">
        <v>21012</v>
      </c>
      <c r="D3585" s="5" t="str">
        <v>504410556931</v>
      </c>
      <c r="E3585" s="0" t="e">
        <f>+7 (485) 2260588
+7 (485) 2599595
+7 (910) 9647777</f>
        <v>#NAME?</v>
      </c>
      <c r="F3585" s="5"/>
      <c r="G3585" s="5"/>
      <c r="H3585" s="26">
        <v>20</v>
      </c>
      <c r="I3585" s="5" t="s">
        <v>36128</v>
      </c>
      <c r="J3585" s="5" t="s">
        <v>518</v>
      </c>
      <c r="K3585" s="5" t="s">
        <v>344</v>
      </c>
      <c r="L3585" s="5" t="s">
        <v>36129</v>
      </c>
      <c r="M3585" s="27"/>
      <c r="N3585" s="5"/>
      <c r="O3585" s="5" t="str">
        <v>7607024894</v>
      </c>
      <c r="P3585" s="27">
        <v>10000</v>
      </c>
      <c r="Q3585" s="5" t="s">
        <v>49009</v>
      </c>
      <c r="R3585" s="5"/>
      <c r="S3585" s="5" t="s">
        <v>49010</v>
      </c>
      <c r="T3585" s="28">
        <v>33007000</v>
      </c>
      <c r="U3585" s="28"/>
      <c r="V3585" s="28">
        <v>546821000</v>
      </c>
      <c r="W3585" s="28"/>
      <c r="X3585" s="28">
        <v>412277000</v>
      </c>
      <c r="Y3585" s="28">
        <v>2801974000</v>
      </c>
      <c r="Z3585" s="28">
        <v>1475854000</v>
      </c>
      <c r="AA3585" s="28">
        <v>334830000</v>
      </c>
      <c r="AB3585" s="28">
        <v>306924000</v>
      </c>
      <c r="AC3585" s="28">
        <v>983560000</v>
      </c>
      <c r="AD3585" s="28">
        <v>1475864000</v>
      </c>
      <c r="AE3585" s="28">
        <v>4909369000</v>
      </c>
      <c r="AF3585" s="28">
        <v>385881000</v>
      </c>
      <c r="AG3585" s="11"/>
    </row>
    <row r="3586">
      <c r="A3586" s="7" t="s">
        <v>5249</v>
      </c>
      <c r="B3586" s="5" t="s">
        <v>13216</v>
      </c>
      <c r="C3586" s="5" t="s">
        <v>21013</v>
      </c>
      <c r="D3586" s="5" t="str">
        <v>732815066968</v>
      </c>
      <c r="F3586" s="5"/>
      <c r="G3586" s="5"/>
      <c r="H3586" s="26">
        <v>2.5</v>
      </c>
      <c r="I3586" s="5"/>
      <c r="J3586" s="5" t="s">
        <v>32442</v>
      </c>
      <c r="K3586" s="5" t="s">
        <v>380</v>
      </c>
      <c r="L3586" s="5"/>
      <c r="M3586" s="27">
        <v>141212483</v>
      </c>
      <c r="N3586" s="5"/>
      <c r="O3586" s="5" t="str">
        <v>7810799585</v>
      </c>
      <c r="P3586" s="27">
        <v>100000</v>
      </c>
      <c r="Q3586" s="5" t="s">
        <v>54863</v>
      </c>
      <c r="R3586" s="5"/>
      <c r="S3586" s="5" t="s">
        <v>49743</v>
      </c>
      <c r="T3586" s="28">
        <v>1709286000</v>
      </c>
      <c r="U3586" s="28"/>
      <c r="V3586" s="28">
        <v>4610353000</v>
      </c>
      <c r="W3586" s="28">
        <v>15000000</v>
      </c>
      <c r="X3586" s="28">
        <v>353137000</v>
      </c>
      <c r="Y3586" s="28">
        <v>8131782000</v>
      </c>
      <c r="Z3586" s="28">
        <v>309432000</v>
      </c>
      <c r="AA3586" s="28"/>
      <c r="AB3586" s="28">
        <v>16797000</v>
      </c>
      <c r="AC3586" s="28">
        <v>7095674000</v>
      </c>
      <c r="AD3586" s="28">
        <v>309532000</v>
      </c>
      <c r="AE3586" s="28">
        <v>3305599000</v>
      </c>
      <c r="AF3586" s="28">
        <v>317846000</v>
      </c>
      <c r="AG3586" s="11"/>
    </row>
    <row r="3587">
      <c r="A3587" s="7" t="s">
        <v>5250</v>
      </c>
      <c r="B3587" s="5" t="s">
        <v>13217</v>
      </c>
      <c r="C3587" s="5" t="s">
        <v>21014</v>
      </c>
      <c r="D3587" s="5" t="str">
        <v>780519255642</v>
      </c>
      <c r="E3587" s="0" t="e">
        <f>+7 (812) 3334000
+7 (812) 3334001
+7 (812) 3334011
+7 (812) 3340001</f>
        <v>#NAME?</v>
      </c>
      <c r="F3587" s="5" t="s">
        <v>36130</v>
      </c>
      <c r="G3587" s="5" t="s">
        <v>36131</v>
      </c>
      <c r="H3587" s="26">
        <v>8</v>
      </c>
      <c r="I3587" s="5" t="s">
        <v>36132</v>
      </c>
      <c r="J3587" s="5" t="s">
        <v>26918</v>
      </c>
      <c r="K3587" s="5" t="s">
        <v>344</v>
      </c>
      <c r="L3587" s="5"/>
      <c r="M3587" s="27"/>
      <c r="N3587" s="5"/>
      <c r="O3587" s="5" t="str">
        <v>7810339041</v>
      </c>
      <c r="P3587" s="27">
        <v>303299461</v>
      </c>
      <c r="Q3587" s="5" t="s">
        <v>49009</v>
      </c>
      <c r="R3587" s="5" t="s">
        <v>54864</v>
      </c>
      <c r="S3587" s="5" t="s">
        <v>49358</v>
      </c>
      <c r="T3587" s="28">
        <v>21501000</v>
      </c>
      <c r="U3587" s="28"/>
      <c r="V3587" s="28">
        <v>572538000</v>
      </c>
      <c r="W3587" s="28">
        <v>569900000</v>
      </c>
      <c r="X3587" s="28">
        <v>394364000</v>
      </c>
      <c r="Y3587" s="28">
        <v>1838231000</v>
      </c>
      <c r="Z3587" s="28">
        <v>1033563000</v>
      </c>
      <c r="AA3587" s="28"/>
      <c r="AB3587" s="28">
        <v>40000</v>
      </c>
      <c r="AC3587" s="28">
        <v>431369000</v>
      </c>
      <c r="AD3587" s="28">
        <v>1406862000</v>
      </c>
      <c r="AE3587" s="28">
        <v>6063874000</v>
      </c>
      <c r="AF3587" s="28">
        <v>-615210000</v>
      </c>
      <c r="AG3587" s="11"/>
    </row>
    <row r="3588">
      <c r="A3588" s="7" t="s">
        <v>5251</v>
      </c>
      <c r="B3588" s="5" t="s">
        <v>13218</v>
      </c>
      <c r="C3588" s="5" t="s">
        <v>21015</v>
      </c>
      <c r="D3588" s="5" t="str">
        <v>770170684200</v>
      </c>
      <c r="E3588" s="0" t="e">
        <f>+7 (3422) 442680
+7 (3422) 443652
+7 (3472) 375093
+7 (411) 2403079
+7 (473) 2298684
+7 (473) 2513507
+7 (4912) 950105
+7 (495) 2216666
+7 (495) 3636952
+7 (495) 9416930
+7 (495) 9416931
+7 (499) 9059711
+7 (8412) 543929
+7 (8412) 632308
+7 (8412) 682339</f>
        <v>#NAME?</v>
      </c>
      <c r="F3588" s="5"/>
      <c r="G3588" s="5"/>
      <c r="H3588" s="26">
        <v>16.5</v>
      </c>
      <c r="I3588" s="5" t="s">
        <v>36133</v>
      </c>
      <c r="J3588" s="5" t="s">
        <v>28738</v>
      </c>
      <c r="K3588" s="5" t="s">
        <v>344</v>
      </c>
      <c r="L3588" s="5" t="s">
        <v>36134</v>
      </c>
      <c r="M3588" s="27"/>
      <c r="N3588" s="5"/>
      <c r="O3588" s="5" t="str">
        <v>5012035977</v>
      </c>
      <c r="P3588" s="27">
        <v>100000000</v>
      </c>
      <c r="Q3588" s="5"/>
      <c r="R3588" s="5"/>
      <c r="S3588" s="5" t="s">
        <v>49029</v>
      </c>
      <c r="T3588" s="28">
        <v>796311000</v>
      </c>
      <c r="U3588" s="28"/>
      <c r="V3588" s="28">
        <v>468872000</v>
      </c>
      <c r="W3588" s="28"/>
      <c r="X3588" s="28">
        <v>4301000</v>
      </c>
      <c r="Y3588" s="28">
        <v>1970037000</v>
      </c>
      <c r="Z3588" s="28">
        <v>7385000</v>
      </c>
      <c r="AA3588" s="28"/>
      <c r="AB3588" s="28">
        <v>330524000</v>
      </c>
      <c r="AC3588" s="28">
        <v>900856000</v>
      </c>
      <c r="AD3588" s="28">
        <v>1058718000</v>
      </c>
      <c r="AE3588" s="28">
        <v>3651916000</v>
      </c>
      <c r="AF3588" s="28">
        <v>513502000</v>
      </c>
      <c r="AG3588" s="11"/>
    </row>
    <row r="3589">
      <c r="A3589" s="7" t="s">
        <v>5252</v>
      </c>
      <c r="B3589" s="5" t="s">
        <v>13219</v>
      </c>
      <c r="C3589" s="5" t="s">
        <v>21016</v>
      </c>
      <c r="D3589" s="5" t="str">
        <v>505301015500</v>
      </c>
      <c r="E3589" s="0" t="e">
        <f>+7 (495) 5770280
+7 (495) 6618257
+7 (49657) 10015
+7 (49657) 21136
+7 (49657) 29080
+7 (49657) 29170
+7 (49657) 29400
+7 (49657) 29560
+7 (49657) 31309
+7 (49657) 33507
+7 (49657) 33933
+7 (49657) 36711
+7 (49657) 39800
+7 (49657) 70280
+7 (49657) 70337</f>
        <v>#NAME?</v>
      </c>
      <c r="F3589" s="5" t="s">
        <v>36135</v>
      </c>
      <c r="G3589" s="5" t="s">
        <v>36136</v>
      </c>
      <c r="H3589" s="26">
        <v>30</v>
      </c>
      <c r="I3589" s="5"/>
      <c r="J3589" s="5" t="s">
        <v>26932</v>
      </c>
      <c r="K3589" s="5" t="s">
        <v>344</v>
      </c>
      <c r="L3589" s="5"/>
      <c r="M3589" s="27">
        <v>263848</v>
      </c>
      <c r="N3589" s="5" t="s">
        <v>54865</v>
      </c>
      <c r="O3589" s="5" t="str">
        <v>5053000797</v>
      </c>
      <c r="P3589" s="27">
        <v>672840000</v>
      </c>
      <c r="Q3589" s="5" t="s">
        <v>54866</v>
      </c>
      <c r="R3589" s="5"/>
      <c r="S3589" s="5" t="s">
        <v>54867</v>
      </c>
      <c r="T3589" s="28">
        <v>20182122000</v>
      </c>
      <c r="U3589" s="28">
        <v>3865556000</v>
      </c>
      <c r="V3589" s="28">
        <v>4994357000</v>
      </c>
      <c r="W3589" s="28">
        <v>12182000</v>
      </c>
      <c r="X3589" s="28">
        <v>2777019000</v>
      </c>
      <c r="Y3589" s="28">
        <v>35647268000</v>
      </c>
      <c r="Z3589" s="28">
        <v>2840394000</v>
      </c>
      <c r="AA3589" s="28">
        <v>12600000000</v>
      </c>
      <c r="AB3589" s="28">
        <v>23000000</v>
      </c>
      <c r="AC3589" s="28">
        <v>6660549000</v>
      </c>
      <c r="AD3589" s="28">
        <v>16386719000</v>
      </c>
      <c r="AE3589" s="28">
        <v>19130909000</v>
      </c>
      <c r="AF3589" s="28">
        <v>1713477000</v>
      </c>
      <c r="AG3589" s="11"/>
    </row>
    <row r="3590">
      <c r="A3590" s="7" t="s">
        <v>5253</v>
      </c>
      <c r="B3590" s="5" t="s">
        <v>13220</v>
      </c>
      <c r="C3590" s="5" t="s">
        <v>21017</v>
      </c>
      <c r="D3590" s="5"/>
      <c r="E3590" s="0" t="e">
        <f>+7 (81555) 38174
+7 (81555) 38360
+7 (8202) 532149
+7 (8202) 592149
+7 (8202) 592812
+7 (8202) 593111
+7 (8202) 593382
+7 (8202) 593777
+7 (921) 1530396</f>
        <v>#NAME?</v>
      </c>
      <c r="F3590" s="5"/>
      <c r="G3590" s="5"/>
      <c r="H3590" s="26">
        <v>8.5</v>
      </c>
      <c r="I3590" s="5" t="s">
        <v>36137</v>
      </c>
      <c r="J3590" s="5" t="s">
        <v>897</v>
      </c>
      <c r="K3590" s="5" t="s">
        <v>380</v>
      </c>
      <c r="L3590" s="5"/>
      <c r="M3590" s="27">
        <v>1874062</v>
      </c>
      <c r="N3590" s="5"/>
      <c r="O3590" s="5" t="str">
        <v>3528215377</v>
      </c>
      <c r="P3590" s="27">
        <v>574287800</v>
      </c>
      <c r="Q3590" s="5"/>
      <c r="R3590" s="5"/>
      <c r="S3590" s="5" t="s">
        <v>50509</v>
      </c>
      <c r="T3590" s="28">
        <v>1253436000</v>
      </c>
      <c r="U3590" s="28"/>
      <c r="V3590" s="28">
        <v>1470560000</v>
      </c>
      <c r="W3590" s="28"/>
      <c r="X3590" s="28">
        <v>526000</v>
      </c>
      <c r="Y3590" s="28">
        <v>3834931000</v>
      </c>
      <c r="Z3590" s="28">
        <v>-249613000</v>
      </c>
      <c r="AA3590" s="28"/>
      <c r="AB3590" s="28"/>
      <c r="AC3590" s="28">
        <v>2752794000</v>
      </c>
      <c r="AD3590" s="28">
        <v>324675000</v>
      </c>
      <c r="AE3590" s="28">
        <v>6087832000</v>
      </c>
      <c r="AF3590" s="28">
        <v>-143458000</v>
      </c>
      <c r="AG3590" s="11"/>
    </row>
    <row r="3591">
      <c r="A3591" s="7" t="s">
        <v>5254</v>
      </c>
      <c r="B3591" s="5" t="s">
        <v>13221</v>
      </c>
      <c r="C3591" s="5" t="s">
        <v>21018</v>
      </c>
      <c r="D3591" s="5"/>
      <c r="E3591" s="0" t="e">
        <f>+7 (351) 7254924
+7 (3517) 254902
+7 (3517) 254950</f>
        <v>#NAME?</v>
      </c>
      <c r="F3591" s="5" t="s">
        <v>36138</v>
      </c>
      <c r="G3591" s="5" t="s">
        <v>36139</v>
      </c>
      <c r="H3591" s="26">
        <v>16.5</v>
      </c>
      <c r="I3591" s="5" t="s">
        <v>36140</v>
      </c>
      <c r="J3591" s="5" t="s">
        <v>26619</v>
      </c>
      <c r="K3591" s="5" t="s">
        <v>355</v>
      </c>
      <c r="L3591" s="5" t="s">
        <v>36141</v>
      </c>
      <c r="M3591" s="27">
        <v>8238642</v>
      </c>
      <c r="N3591" s="5"/>
      <c r="O3591" s="5" t="str">
        <v>7450043423</v>
      </c>
      <c r="P3591" s="27">
        <v>63513000</v>
      </c>
      <c r="Q3591" s="5" t="s">
        <v>49009</v>
      </c>
      <c r="R3591" s="5" t="s">
        <v>54869</v>
      </c>
      <c r="S3591" s="5" t="s">
        <v>49010</v>
      </c>
      <c r="T3591" s="28">
        <v>2793617000</v>
      </c>
      <c r="U3591" s="28">
        <v>9816896000</v>
      </c>
      <c r="V3591" s="28">
        <v>1229549000</v>
      </c>
      <c r="W3591" s="28"/>
      <c r="X3591" s="28">
        <v>86118000</v>
      </c>
      <c r="Y3591" s="28">
        <v>22395041000</v>
      </c>
      <c r="Z3591" s="28">
        <v>4620950000</v>
      </c>
      <c r="AA3591" s="28">
        <v>8159057000</v>
      </c>
      <c r="AB3591" s="28">
        <v>117819000</v>
      </c>
      <c r="AC3591" s="28">
        <v>9333491000</v>
      </c>
      <c r="AD3591" s="28">
        <v>4684498000</v>
      </c>
      <c r="AE3591" s="28">
        <v>41967887000</v>
      </c>
      <c r="AF3591" s="28">
        <v>-1456776000</v>
      </c>
      <c r="AG3591" s="11"/>
    </row>
    <row r="3592">
      <c r="A3592" s="7" t="s">
        <v>5255</v>
      </c>
      <c r="B3592" s="5" t="s">
        <v>13221</v>
      </c>
      <c r="C3592" s="5" t="s">
        <v>21019</v>
      </c>
      <c r="D3592" s="5" t="str">
        <v>745001865882</v>
      </c>
      <c r="E3592" s="0" t="e">
        <f>+7 (3412) 910452
+7 (351) 7255975
+7 (3513) 697208
+7 (3517) 252254
+7 (3517) 252286
+7 (3517) 252726
+7 (3517) 252780
+7 (3517) 252989
+7 (3517) 254922
+7 (3517) 255918
+7 (3517) 255976
+7 (3517) 255985
+7 (3517) 255987
+7 (3517) 255991
+7 (3517) 785303</f>
        <v>#NAME?</v>
      </c>
      <c r="F3592" s="5"/>
      <c r="G3592" s="5"/>
      <c r="H3592" s="26">
        <v>16</v>
      </c>
      <c r="I3592" s="5" t="s">
        <v>36142</v>
      </c>
      <c r="J3592" s="5" t="s">
        <v>897</v>
      </c>
      <c r="K3592" s="5" t="s">
        <v>344</v>
      </c>
      <c r="L3592" s="5" t="s">
        <v>36143</v>
      </c>
      <c r="M3592" s="27">
        <v>123094176</v>
      </c>
      <c r="N3592" s="5" t="s">
        <v>54870</v>
      </c>
      <c r="O3592" s="5" t="str">
        <v>5003064770</v>
      </c>
      <c r="P3592" s="27">
        <v>100000</v>
      </c>
      <c r="Q3592" s="5" t="s">
        <v>49009</v>
      </c>
      <c r="R3592" s="5" t="s">
        <v>52938</v>
      </c>
      <c r="S3592" s="5" t="s">
        <v>49907</v>
      </c>
      <c r="T3592" s="28">
        <v>3315986000</v>
      </c>
      <c r="U3592" s="28">
        <v>27575000</v>
      </c>
      <c r="V3592" s="28">
        <v>881268000</v>
      </c>
      <c r="W3592" s="28"/>
      <c r="X3592" s="28">
        <v>578724000</v>
      </c>
      <c r="Y3592" s="28">
        <v>5984760000</v>
      </c>
      <c r="Z3592" s="28">
        <v>3026495000</v>
      </c>
      <c r="AA3592" s="28"/>
      <c r="AB3592" s="28"/>
      <c r="AC3592" s="28">
        <v>2538232000</v>
      </c>
      <c r="AD3592" s="28">
        <v>3136703000</v>
      </c>
      <c r="AE3592" s="28">
        <v>16427121000</v>
      </c>
      <c r="AF3592" s="28">
        <v>1510370000</v>
      </c>
      <c r="AG3592" s="11"/>
    </row>
    <row r="3593">
      <c r="A3593" s="7" t="s">
        <v>5256</v>
      </c>
      <c r="B3593" s="5" t="s">
        <v>13222</v>
      </c>
      <c r="C3593" s="5" t="s">
        <v>21020</v>
      </c>
      <c r="D3593" s="5" t="str">
        <v>027701353391</v>
      </c>
      <c r="E3593" s="0" t="e">
        <f>+7 (495) 2581838
+7 (800) 7009550</f>
        <v>#NAME?</v>
      </c>
      <c r="F3593" s="5"/>
      <c r="G3593" s="5"/>
      <c r="H3593" s="26">
        <v>18</v>
      </c>
      <c r="I3593" s="5" t="s">
        <v>36144</v>
      </c>
      <c r="J3593" s="5" t="s">
        <v>25337</v>
      </c>
      <c r="K3593" s="5" t="s">
        <v>355</v>
      </c>
      <c r="L3593" s="5" t="s">
        <v>36145</v>
      </c>
      <c r="M3593" s="27">
        <v>4937427</v>
      </c>
      <c r="N3593" s="5" t="s">
        <v>54872</v>
      </c>
      <c r="O3593" s="5" t="str">
        <v>7704555837</v>
      </c>
      <c r="P3593" s="27">
        <v>501000000</v>
      </c>
      <c r="Q3593" s="5" t="s">
        <v>54873</v>
      </c>
      <c r="R3593" s="5"/>
      <c r="S3593" s="5" t="s">
        <v>54874</v>
      </c>
      <c r="T3593" s="28">
        <v>1757499000</v>
      </c>
      <c r="U3593" s="28">
        <v>473534000</v>
      </c>
      <c r="V3593" s="28">
        <v>5339887000</v>
      </c>
      <c r="W3593" s="28"/>
      <c r="X3593" s="28">
        <v>1028593000</v>
      </c>
      <c r="Y3593" s="28">
        <v>26200287000</v>
      </c>
      <c r="Z3593" s="28">
        <v>-8073746000</v>
      </c>
      <c r="AA3593" s="28">
        <v>1174135000</v>
      </c>
      <c r="AB3593" s="28">
        <v>61368000</v>
      </c>
      <c r="AC3593" s="28">
        <v>28264798000</v>
      </c>
      <c r="AD3593" s="28">
        <v>-3530879000</v>
      </c>
      <c r="AE3593" s="28">
        <v>109770475000</v>
      </c>
      <c r="AF3593" s="28">
        <v>-4147293000</v>
      </c>
      <c r="AG3593" s="11"/>
    </row>
    <row r="3594">
      <c r="A3594" s="7" t="s">
        <v>5257</v>
      </c>
      <c r="B3594" s="5" t="s">
        <v>13223</v>
      </c>
      <c r="C3594" s="5" t="s">
        <v>21021</v>
      </c>
      <c r="D3594" s="5"/>
      <c r="E3594" s="0" t="e">
        <f>+7 (495) 9337347
+7 (495) 9337349</f>
        <v>#NAME?</v>
      </c>
      <c r="F3594" s="5" t="s">
        <v>36146</v>
      </c>
      <c r="G3594" s="5" t="s">
        <v>36139</v>
      </c>
      <c r="H3594" s="26">
        <v>21</v>
      </c>
      <c r="I3594" s="5" t="s">
        <v>36147</v>
      </c>
      <c r="J3594" s="5" t="s">
        <v>36148</v>
      </c>
      <c r="K3594" s="5" t="s">
        <v>355</v>
      </c>
      <c r="L3594" s="5" t="s">
        <v>36149</v>
      </c>
      <c r="M3594" s="27">
        <v>9315649</v>
      </c>
      <c r="N3594" s="5" t="s">
        <v>49403</v>
      </c>
      <c r="O3594" s="5" t="str">
        <v>7728246919</v>
      </c>
      <c r="P3594" s="27">
        <v>10000000</v>
      </c>
      <c r="Q3594" s="5" t="s">
        <v>54875</v>
      </c>
      <c r="R3594" s="5" t="s">
        <v>54869</v>
      </c>
      <c r="S3594" s="5" t="s">
        <v>50404</v>
      </c>
      <c r="T3594" s="28">
        <v>15766226000</v>
      </c>
      <c r="U3594" s="28">
        <v>2125798000</v>
      </c>
      <c r="V3594" s="28">
        <v>6066173000</v>
      </c>
      <c r="W3594" s="28"/>
      <c r="X3594" s="28">
        <v>218481000</v>
      </c>
      <c r="Y3594" s="28">
        <v>27915678000</v>
      </c>
      <c r="Z3594" s="28">
        <v>-702877000</v>
      </c>
      <c r="AA3594" s="28">
        <v>1283100000</v>
      </c>
      <c r="AB3594" s="28"/>
      <c r="AC3594" s="28">
        <v>12134901000</v>
      </c>
      <c r="AD3594" s="28">
        <v>677641000</v>
      </c>
      <c r="AE3594" s="28">
        <v>19748906000</v>
      </c>
      <c r="AF3594" s="28">
        <v>2017038000</v>
      </c>
      <c r="AG3594" s="11"/>
    </row>
    <row r="3595">
      <c r="A3595" s="7" t="s">
        <v>5258</v>
      </c>
      <c r="B3595" s="5" t="s">
        <v>13221</v>
      </c>
      <c r="C3595" s="5" t="s">
        <v>21022</v>
      </c>
      <c r="D3595" s="5" t="str">
        <v>744906818870</v>
      </c>
      <c r="E3595" s="0" t="e">
        <f>+7 (34792) 31599
+7 (34792) 40506
+7 (34792) 45699
+7 (35168) 29392
+7 (35168) 92397
+7 (35168) 92757
+7 (3517) 252494
+7 (3517) 252575
+7 (3412) 910405
+7 (3412) 910544
+7 (34792) 40556
+7 (34792) 40933
+7 (34792) 41472
+7 (3512) 182074
+7 (35168) 93292</f>
        <v>#NAME?</v>
      </c>
      <c r="F3595" s="5" t="s">
        <v>36150</v>
      </c>
      <c r="G3595" s="5" t="s">
        <v>36151</v>
      </c>
      <c r="H3595" s="26">
        <v>21.5</v>
      </c>
      <c r="I3595" s="5" t="s">
        <v>36142</v>
      </c>
      <c r="J3595" s="5" t="s">
        <v>26623</v>
      </c>
      <c r="K3595" s="5" t="s">
        <v>355</v>
      </c>
      <c r="L3595" s="5"/>
      <c r="M3595" s="27">
        <v>484484520</v>
      </c>
      <c r="N3595" s="5" t="s">
        <v>54876</v>
      </c>
      <c r="O3595" s="5" t="str">
        <v>7722245108</v>
      </c>
      <c r="P3595" s="27">
        <v>100000</v>
      </c>
      <c r="Q3595" s="5" t="s">
        <v>54878</v>
      </c>
      <c r="R3595" s="5" t="s">
        <v>54879</v>
      </c>
      <c r="S3595" s="5" t="s">
        <v>49271</v>
      </c>
      <c r="T3595" s="28">
        <v>544047000</v>
      </c>
      <c r="U3595" s="28">
        <v>9792262000</v>
      </c>
      <c r="V3595" s="28">
        <v>3113290000</v>
      </c>
      <c r="W3595" s="28"/>
      <c r="X3595" s="28">
        <v>168627000</v>
      </c>
      <c r="Y3595" s="28">
        <v>14014810000</v>
      </c>
      <c r="Z3595" s="28">
        <v>-2160469000</v>
      </c>
      <c r="AA3595" s="28">
        <v>9515786000</v>
      </c>
      <c r="AB3595" s="28">
        <v>61324000</v>
      </c>
      <c r="AC3595" s="28">
        <v>4153235000</v>
      </c>
      <c r="AD3595" s="28">
        <v>258389000</v>
      </c>
      <c r="AE3595" s="28">
        <v>22010565000</v>
      </c>
      <c r="AF3595" s="28">
        <v>40296000</v>
      </c>
      <c r="AG3595" s="11"/>
    </row>
    <row r="3596">
      <c r="A3596" s="7" t="s">
        <v>5259</v>
      </c>
      <c r="B3596" s="5" t="s">
        <v>13224</v>
      </c>
      <c r="C3596" s="5" t="s">
        <v>21023</v>
      </c>
      <c r="D3596" s="5" t="str">
        <v>232309194462</v>
      </c>
      <c r="E3596" s="0" t="e">
        <f>+7 (499) 6438304
+7 (845) 3331616
+7 (84536) 69000
+7 (84536) 69001
+7 (84536) 69090</f>
        <v>#NAME?</v>
      </c>
      <c r="F3596" s="5" t="s">
        <v>36152</v>
      </c>
      <c r="G3596" s="5" t="s">
        <v>36153</v>
      </c>
      <c r="H3596" s="26">
        <v>15</v>
      </c>
      <c r="I3596" s="5"/>
      <c r="J3596" s="5" t="s">
        <v>32426</v>
      </c>
      <c r="K3596" s="5" t="s">
        <v>355</v>
      </c>
      <c r="L3596" s="5" t="s">
        <v>36154</v>
      </c>
      <c r="M3596" s="27">
        <v>103472174</v>
      </c>
      <c r="N3596" s="5"/>
      <c r="O3596" s="5" t="str">
        <v>6439067450</v>
      </c>
      <c r="P3596" s="27">
        <v>500000000</v>
      </c>
      <c r="Q3596" s="5" t="s">
        <v>49009</v>
      </c>
      <c r="R3596" s="5" t="s">
        <v>54880</v>
      </c>
      <c r="S3596" s="5" t="s">
        <v>49581</v>
      </c>
      <c r="T3596" s="28">
        <v>25324957000</v>
      </c>
      <c r="U3596" s="28">
        <v>21024000</v>
      </c>
      <c r="V3596" s="28">
        <v>5413490000</v>
      </c>
      <c r="W3596" s="28"/>
      <c r="X3596" s="28">
        <v>501744000</v>
      </c>
      <c r="Y3596" s="28">
        <v>52978707000</v>
      </c>
      <c r="Z3596" s="28">
        <v>19640012000</v>
      </c>
      <c r="AA3596" s="28">
        <v>13773704000</v>
      </c>
      <c r="AB3596" s="28">
        <v>11362165000</v>
      </c>
      <c r="AC3596" s="28">
        <v>14811822000</v>
      </c>
      <c r="AD3596" s="28">
        <v>20169092000</v>
      </c>
      <c r="AE3596" s="28">
        <v>48398181000</v>
      </c>
      <c r="AF3596" s="28">
        <v>4355770000</v>
      </c>
      <c r="AG3596" s="11"/>
    </row>
    <row r="3597">
      <c r="A3597" s="7" t="s">
        <v>5260</v>
      </c>
      <c r="B3597" s="5" t="s">
        <v>13225</v>
      </c>
      <c r="C3597" s="5" t="s">
        <v>21024</v>
      </c>
      <c r="D3597" s="5" t="str">
        <v>132201530821</v>
      </c>
      <c r="E3597" s="0" t="e">
        <f>+7 (927) 1727241
+7 (834) 2270733
+7 (8342) 270375
+7 (8342) 380412
+7 (8342) 380423
+7 (8342) 380441
+7 (937) 6763996
+7 (952) 722465</f>
        <v>#NAME?</v>
      </c>
      <c r="F3597" s="5" t="s">
        <v>36155</v>
      </c>
      <c r="G3597" s="5"/>
      <c r="H3597" s="26">
        <v>9.5</v>
      </c>
      <c r="I3597" s="5" t="s">
        <v>36156</v>
      </c>
      <c r="J3597" s="5" t="s">
        <v>955</v>
      </c>
      <c r="K3597" s="5" t="s">
        <v>344</v>
      </c>
      <c r="L3597" s="5" t="s">
        <v>36157</v>
      </c>
      <c r="M3597" s="27"/>
      <c r="N3597" s="5" t="s">
        <v>54881</v>
      </c>
      <c r="O3597" s="5" t="str">
        <v>1328007320</v>
      </c>
      <c r="P3597" s="27">
        <v>10000</v>
      </c>
      <c r="Q3597" s="5" t="s">
        <v>49009</v>
      </c>
      <c r="R3597" s="5"/>
      <c r="S3597" s="5" t="s">
        <v>49116</v>
      </c>
      <c r="T3597" s="28">
        <v>77303000</v>
      </c>
      <c r="U3597" s="28"/>
      <c r="V3597" s="28">
        <v>1480357000</v>
      </c>
      <c r="W3597" s="28">
        <v>1496000</v>
      </c>
      <c r="X3597" s="28">
        <v>28022000</v>
      </c>
      <c r="Y3597" s="28">
        <v>3518282000</v>
      </c>
      <c r="Z3597" s="28">
        <v>963142000</v>
      </c>
      <c r="AA3597" s="28"/>
      <c r="AB3597" s="28"/>
      <c r="AC3597" s="28">
        <v>2549885000</v>
      </c>
      <c r="AD3597" s="28">
        <v>963152000</v>
      </c>
      <c r="AE3597" s="28">
        <v>14609368000</v>
      </c>
      <c r="AF3597" s="28">
        <v>391668000</v>
      </c>
      <c r="AG3597" s="11"/>
    </row>
    <row r="3598">
      <c r="A3598" s="7" t="s">
        <v>5261</v>
      </c>
      <c r="B3598" s="5" t="s">
        <v>13226</v>
      </c>
      <c r="C3598" s="5" t="s">
        <v>21025</v>
      </c>
      <c r="D3598" s="5" t="str">
        <v>910910743023</v>
      </c>
      <c r="E3598" s="0" t="e">
        <f>+7 (499) 1103514</f>
        <v>#NAME?</v>
      </c>
      <c r="F3598" s="5" t="s">
        <v>36158</v>
      </c>
      <c r="G3598" s="5"/>
      <c r="H3598" s="26">
        <v>8</v>
      </c>
      <c r="I3598" s="5" t="s">
        <v>36159</v>
      </c>
      <c r="J3598" s="5" t="s">
        <v>26367</v>
      </c>
      <c r="K3598" s="5" t="s">
        <v>344</v>
      </c>
      <c r="L3598" s="5" t="s">
        <v>36160</v>
      </c>
      <c r="M3598" s="27"/>
      <c r="N3598" s="5"/>
      <c r="O3598" s="5" t="str">
        <v>7723385475</v>
      </c>
      <c r="P3598" s="27">
        <v>10000000</v>
      </c>
      <c r="Q3598" s="5" t="s">
        <v>49021</v>
      </c>
      <c r="R3598" s="5"/>
      <c r="S3598" s="5" t="s">
        <v>49033</v>
      </c>
      <c r="T3598" s="28">
        <v>70837000</v>
      </c>
      <c r="U3598" s="28"/>
      <c r="V3598" s="28">
        <v>824688000</v>
      </c>
      <c r="W3598" s="28">
        <v>7000000</v>
      </c>
      <c r="X3598" s="28">
        <v>18965000</v>
      </c>
      <c r="Y3598" s="28">
        <v>1652683000</v>
      </c>
      <c r="Z3598" s="28">
        <v>18353000</v>
      </c>
      <c r="AA3598" s="28"/>
      <c r="AB3598" s="28">
        <v>10392000</v>
      </c>
      <c r="AC3598" s="28">
        <v>1566921000</v>
      </c>
      <c r="AD3598" s="28">
        <v>28353000</v>
      </c>
      <c r="AE3598" s="28">
        <v>3412407000</v>
      </c>
      <c r="AF3598" s="28">
        <v>4003000</v>
      </c>
      <c r="AG3598" s="11"/>
    </row>
    <row r="3599">
      <c r="A3599" s="7" t="s">
        <v>5262</v>
      </c>
      <c r="B3599" s="5" t="s">
        <v>13227</v>
      </c>
      <c r="C3599" s="5" t="s">
        <v>21026</v>
      </c>
      <c r="D3599" s="5" t="str">
        <v>780709807549</v>
      </c>
      <c r="E3599" s="0" t="e">
        <f>+7 (921) 4287555
+7 (499) 7033927
+7 (812) 3098118</f>
        <v>#NAME?</v>
      </c>
      <c r="F3599" s="5" t="s">
        <v>36161</v>
      </c>
      <c r="G3599" s="5" t="s">
        <v>36162</v>
      </c>
      <c r="H3599" s="26">
        <v>19</v>
      </c>
      <c r="I3599" s="5" t="s">
        <v>36163</v>
      </c>
      <c r="J3599" s="5" t="s">
        <v>36164</v>
      </c>
      <c r="K3599" s="5" t="s">
        <v>344</v>
      </c>
      <c r="L3599" s="5" t="s">
        <v>36165</v>
      </c>
      <c r="M3599" s="27"/>
      <c r="N3599" s="5" t="s">
        <v>54882</v>
      </c>
      <c r="O3599" s="5" t="str">
        <v>7813198350</v>
      </c>
      <c r="P3599" s="27">
        <v>100000</v>
      </c>
      <c r="Q3599" s="5"/>
      <c r="R3599" s="5"/>
      <c r="S3599" s="5" t="s">
        <v>49053</v>
      </c>
      <c r="T3599" s="28">
        <v>452112000</v>
      </c>
      <c r="U3599" s="28">
        <v>7980000</v>
      </c>
      <c r="V3599" s="28">
        <v>647797000</v>
      </c>
      <c r="W3599" s="28">
        <v>1562000</v>
      </c>
      <c r="X3599" s="28">
        <v>13771000</v>
      </c>
      <c r="Y3599" s="28">
        <v>1450038000</v>
      </c>
      <c r="Z3599" s="28">
        <v>545352000</v>
      </c>
      <c r="AA3599" s="28">
        <v>250819000</v>
      </c>
      <c r="AB3599" s="28"/>
      <c r="AC3599" s="28">
        <v>647697000</v>
      </c>
      <c r="AD3599" s="28">
        <v>545452000</v>
      </c>
      <c r="AE3599" s="28">
        <v>3119695000</v>
      </c>
      <c r="AF3599" s="28">
        <v>172815000</v>
      </c>
      <c r="AG3599" s="11"/>
    </row>
    <row r="3600">
      <c r="A3600" s="7" t="s">
        <v>5263</v>
      </c>
      <c r="B3600" s="5" t="s">
        <v>13228</v>
      </c>
      <c r="C3600" s="5" t="s">
        <v>21027</v>
      </c>
      <c r="D3600" s="5" t="str">
        <v>771402379137</v>
      </c>
      <c r="E3600" s="0" t="e">
        <f>+7 (963) 7507734
+7 (964) 5736177</f>
        <v>#NAME?</v>
      </c>
      <c r="F3600" s="5" t="s">
        <v>36166</v>
      </c>
      <c r="G3600" s="5"/>
      <c r="H3600" s="26">
        <v>11</v>
      </c>
      <c r="I3600" s="5" t="s">
        <v>36167</v>
      </c>
      <c r="J3600" s="5" t="s">
        <v>373</v>
      </c>
      <c r="K3600" s="5" t="s">
        <v>344</v>
      </c>
      <c r="L3600" s="5" t="s">
        <v>36168</v>
      </c>
      <c r="M3600" s="27"/>
      <c r="N3600" s="5" t="s">
        <v>54883</v>
      </c>
      <c r="O3600" s="5" t="str">
        <v>5077026628</v>
      </c>
      <c r="P3600" s="27">
        <v>140000</v>
      </c>
      <c r="Q3600" s="5" t="s">
        <v>54884</v>
      </c>
      <c r="R3600" s="5"/>
      <c r="S3600" s="5" t="s">
        <v>49752</v>
      </c>
      <c r="T3600" s="28">
        <v>17000</v>
      </c>
      <c r="U3600" s="28"/>
      <c r="V3600" s="28">
        <v>726777000</v>
      </c>
      <c r="W3600" s="28"/>
      <c r="X3600" s="28">
        <v>212918000</v>
      </c>
      <c r="Y3600" s="28">
        <v>1013016000</v>
      </c>
      <c r="Z3600" s="28">
        <v>985974000</v>
      </c>
      <c r="AA3600" s="28"/>
      <c r="AB3600" s="28"/>
      <c r="AC3600" s="28">
        <v>26902000</v>
      </c>
      <c r="AD3600" s="28">
        <v>986114000</v>
      </c>
      <c r="AE3600" s="28">
        <v>4832381000</v>
      </c>
      <c r="AF3600" s="28">
        <v>146188000</v>
      </c>
      <c r="AG3600" s="11"/>
    </row>
    <row r="3601">
      <c r="A3601" s="7" t="s">
        <v>5264</v>
      </c>
      <c r="B3601" s="5" t="s">
        <v>13229</v>
      </c>
      <c r="C3601" s="5" t="s">
        <v>21028</v>
      </c>
      <c r="D3601" s="5" t="str">
        <v>773303366701</v>
      </c>
      <c r="E3601" s="0" t="e">
        <f>+7 (495) 2709906
+7 (495) 6701390
+7 (495) 6703744
+7 (495) 6709906
+7 (495) 6760747
+7 (495) 6760860
+7 (495) 6761471
+7 (495) 6762343
+7 (495) 6770094
+7 (495) 6770105
+7 (495) 6770203
+7 (495) 6770204
+7 (495) 6770216
+7 (495) 6770228
+7 (495) 6770231</f>
        <v>#NAME?</v>
      </c>
      <c r="F3601" s="5" t="s">
        <v>36169</v>
      </c>
      <c r="G3601" s="5" t="s">
        <v>36170</v>
      </c>
      <c r="H3601" s="26">
        <v>24</v>
      </c>
      <c r="I3601" s="5"/>
      <c r="J3601" s="5" t="s">
        <v>26128</v>
      </c>
      <c r="K3601" s="5" t="s">
        <v>344</v>
      </c>
      <c r="L3601" s="5"/>
      <c r="M3601" s="27">
        <v>3533888</v>
      </c>
      <c r="N3601" s="5" t="s">
        <v>54885</v>
      </c>
      <c r="O3601" s="5" t="str">
        <v>7722169626</v>
      </c>
      <c r="P3601" s="27">
        <v>158394000</v>
      </c>
      <c r="Q3601" s="5" t="s">
        <v>49009</v>
      </c>
      <c r="R3601" s="5"/>
      <c r="S3601" s="5" t="s">
        <v>49576</v>
      </c>
      <c r="T3601" s="28">
        <v>478406000</v>
      </c>
      <c r="U3601" s="28"/>
      <c r="V3601" s="28">
        <v>757635000</v>
      </c>
      <c r="W3601" s="28"/>
      <c r="X3601" s="28">
        <v>709315000</v>
      </c>
      <c r="Y3601" s="28">
        <v>3000680000</v>
      </c>
      <c r="Z3601" s="28">
        <v>1023566000</v>
      </c>
      <c r="AA3601" s="28"/>
      <c r="AB3601" s="28">
        <v>737962000</v>
      </c>
      <c r="AC3601" s="28">
        <v>1764296000</v>
      </c>
      <c r="AD3601" s="28">
        <v>1205719000</v>
      </c>
      <c r="AE3601" s="28">
        <v>9816544000</v>
      </c>
      <c r="AF3601" s="28">
        <v>509205000</v>
      </c>
      <c r="AG3601" s="11"/>
    </row>
    <row r="3602">
      <c r="A3602" s="7" t="s">
        <v>5265</v>
      </c>
      <c r="B3602" s="5" t="s">
        <v>13230</v>
      </c>
      <c r="C3602" s="5" t="s">
        <v>21029</v>
      </c>
      <c r="D3602" s="5" t="str">
        <v>504600231297</v>
      </c>
      <c r="E3602" s="0" t="e">
        <f>+7 (495) 6692169
+7 (495) 7833677</f>
        <v>#NAME?</v>
      </c>
      <c r="F3602" s="5" t="s">
        <v>36171</v>
      </c>
      <c r="G3602" s="5" t="s">
        <v>36172</v>
      </c>
      <c r="H3602" s="26">
        <v>7</v>
      </c>
      <c r="I3602" s="5" t="s">
        <v>36173</v>
      </c>
      <c r="J3602" s="5" t="s">
        <v>25530</v>
      </c>
      <c r="K3602" s="5" t="s">
        <v>344</v>
      </c>
      <c r="L3602" s="5" t="s">
        <v>36174</v>
      </c>
      <c r="M3602" s="27"/>
      <c r="N3602" s="5" t="s">
        <v>54886</v>
      </c>
      <c r="O3602" s="5" t="str">
        <v>7708275125</v>
      </c>
      <c r="P3602" s="27">
        <v>3000000</v>
      </c>
      <c r="Q3602" s="5" t="s">
        <v>54887</v>
      </c>
      <c r="R3602" s="5"/>
      <c r="S3602" s="5" t="s">
        <v>49012</v>
      </c>
      <c r="T3602" s="28">
        <v>4073000</v>
      </c>
      <c r="U3602" s="28"/>
      <c r="V3602" s="28">
        <v>369339000</v>
      </c>
      <c r="W3602" s="28"/>
      <c r="X3602" s="28">
        <v>202947000</v>
      </c>
      <c r="Y3602" s="28">
        <v>1105539000</v>
      </c>
      <c r="Z3602" s="28">
        <v>125678000</v>
      </c>
      <c r="AA3602" s="28"/>
      <c r="AB3602" s="28"/>
      <c r="AC3602" s="28">
        <v>976854000</v>
      </c>
      <c r="AD3602" s="28">
        <v>128678000</v>
      </c>
      <c r="AE3602" s="28">
        <v>3431335000</v>
      </c>
      <c r="AF3602" s="28">
        <v>28259000</v>
      </c>
      <c r="AG3602" s="11"/>
    </row>
    <row r="3603">
      <c r="A3603" s="7" t="s">
        <v>5266</v>
      </c>
      <c r="B3603" s="5" t="s">
        <v>13231</v>
      </c>
      <c r="C3603" s="5" t="s">
        <v>21030</v>
      </c>
      <c r="D3603" s="5" t="str">
        <v>772136295609</v>
      </c>
      <c r="E3603" s="0" t="e">
        <f>+7 (495) 7458680
+7 (495) 7458990
+7 (495) 7458993
+7 (916) 2050058
+7 (495) 2418990
+7 (495) 7458991
+7 (495) 7458999
+7 (800) 2002900
+7 (812) 3320800</f>
        <v>#NAME?</v>
      </c>
      <c r="F3603" s="5" t="s">
        <v>36175</v>
      </c>
      <c r="G3603" s="5" t="s">
        <v>36176</v>
      </c>
      <c r="H3603" s="26">
        <v>24.5</v>
      </c>
      <c r="I3603" s="5" t="s">
        <v>36177</v>
      </c>
      <c r="J3603" s="5" t="s">
        <v>29940</v>
      </c>
      <c r="K3603" s="5" t="s">
        <v>344</v>
      </c>
      <c r="L3603" s="5" t="s">
        <v>36178</v>
      </c>
      <c r="M3603" s="27"/>
      <c r="N3603" s="5" t="s">
        <v>54888</v>
      </c>
      <c r="O3603" s="5" t="str">
        <v>7705213811</v>
      </c>
      <c r="P3603" s="27">
        <v>69340000</v>
      </c>
      <c r="Q3603" s="5" t="s">
        <v>49059</v>
      </c>
      <c r="R3603" s="5"/>
      <c r="S3603" s="5" t="s">
        <v>49256</v>
      </c>
      <c r="T3603" s="28">
        <v>667685000</v>
      </c>
      <c r="U3603" s="28"/>
      <c r="V3603" s="28">
        <v>159443000</v>
      </c>
      <c r="W3603" s="28">
        <v>663107000</v>
      </c>
      <c r="X3603" s="28">
        <v>472386000</v>
      </c>
      <c r="Y3603" s="28">
        <v>2408559000</v>
      </c>
      <c r="Z3603" s="28">
        <v>1705813000</v>
      </c>
      <c r="AA3603" s="28"/>
      <c r="AB3603" s="28"/>
      <c r="AC3603" s="28">
        <v>366693000</v>
      </c>
      <c r="AD3603" s="28">
        <v>1785552000</v>
      </c>
      <c r="AE3603" s="28">
        <v>3941541000</v>
      </c>
      <c r="AF3603" s="28">
        <v>116373000</v>
      </c>
      <c r="AG3603" s="11"/>
    </row>
    <row r="3604">
      <c r="A3604" s="7" t="s">
        <v>5267</v>
      </c>
      <c r="B3604" s="5" t="s">
        <v>13232</v>
      </c>
      <c r="C3604" s="5" t="s">
        <v>21031</v>
      </c>
      <c r="D3604" s="5"/>
      <c r="E3604" s="0" t="e">
        <f>+7 (918) 9698277</f>
        <v>#NAME?</v>
      </c>
      <c r="F3604" s="5" t="s">
        <v>36179</v>
      </c>
      <c r="G3604" s="5"/>
      <c r="H3604" s="26">
        <v>6</v>
      </c>
      <c r="I3604" s="5" t="s">
        <v>36180</v>
      </c>
      <c r="J3604" s="5" t="s">
        <v>27497</v>
      </c>
      <c r="K3604" s="5" t="s">
        <v>344</v>
      </c>
      <c r="L3604" s="5" t="s">
        <v>26750</v>
      </c>
      <c r="M3604" s="27"/>
      <c r="N3604" s="5" t="s">
        <v>54889</v>
      </c>
      <c r="O3604" s="5" t="str">
        <v>2372019284</v>
      </c>
      <c r="P3604" s="27">
        <v>10000</v>
      </c>
      <c r="Q3604" s="5"/>
      <c r="R3604" s="5"/>
      <c r="S3604" s="5" t="s">
        <v>49991</v>
      </c>
      <c r="T3604" s="28"/>
      <c r="U3604" s="28"/>
      <c r="V3604" s="28">
        <v>1276008000</v>
      </c>
      <c r="W3604" s="28">
        <v>246689000</v>
      </c>
      <c r="X3604" s="28">
        <v>7103000</v>
      </c>
      <c r="Y3604" s="28">
        <v>2239666000</v>
      </c>
      <c r="Z3604" s="28">
        <v>399215000</v>
      </c>
      <c r="AA3604" s="28"/>
      <c r="AB3604" s="28">
        <v>67000</v>
      </c>
      <c r="AC3604" s="28">
        <v>1840034000</v>
      </c>
      <c r="AD3604" s="28">
        <v>399225000</v>
      </c>
      <c r="AE3604" s="28">
        <v>3916389000</v>
      </c>
      <c r="AF3604" s="28">
        <v>164585000</v>
      </c>
      <c r="AG3604" s="11"/>
    </row>
    <row r="3605">
      <c r="A3605" s="7" t="s">
        <v>5268</v>
      </c>
      <c r="B3605" s="5" t="s">
        <v>13233</v>
      </c>
      <c r="C3605" s="5" t="s">
        <v>18868</v>
      </c>
      <c r="D3605" s="5"/>
      <c r="E3605" s="0" t="e">
        <f>+7 (3412) 203922
+7 (3412) 204555
+7 (3412) 204933
+7 (3412) 207599
+7 (3412) 567342
+7 (34141) 26740
+7 (3412) 204453
+7 (3412) 958257
+7 (34141) 26615
+7 (34141) 26807
+7 (34141) 66745
+7 (34147) 24251
+7 (34147) 24751
+7 (34147) 50701
+7 (34158) 31281</f>
        <v>#NAME?</v>
      </c>
      <c r="F3605" s="5" t="s">
        <v>36181</v>
      </c>
      <c r="G3605" s="5" t="s">
        <v>36182</v>
      </c>
      <c r="H3605" s="26">
        <v>30.5</v>
      </c>
      <c r="I3605" s="5"/>
      <c r="J3605" s="5" t="s">
        <v>26869</v>
      </c>
      <c r="K3605" s="5" t="s">
        <v>344</v>
      </c>
      <c r="L3605" s="5" t="s">
        <v>36183</v>
      </c>
      <c r="M3605" s="27">
        <v>4235788</v>
      </c>
      <c r="N3605" s="5" t="s">
        <v>54890</v>
      </c>
      <c r="O3605" s="5" t="str">
        <v>1834100340</v>
      </c>
      <c r="P3605" s="27">
        <v>88865320</v>
      </c>
      <c r="Q3605" s="5" t="s">
        <v>54891</v>
      </c>
      <c r="R3605" s="5"/>
      <c r="S3605" s="5" t="s">
        <v>54892</v>
      </c>
      <c r="T3605" s="28">
        <v>7179703000</v>
      </c>
      <c r="U3605" s="28">
        <v>924815000</v>
      </c>
      <c r="V3605" s="28">
        <v>4421029000</v>
      </c>
      <c r="W3605" s="28">
        <v>2486437000</v>
      </c>
      <c r="X3605" s="28">
        <v>1037100000</v>
      </c>
      <c r="Y3605" s="28">
        <v>20063054000</v>
      </c>
      <c r="Z3605" s="28">
        <v>3782900000</v>
      </c>
      <c r="AA3605" s="28">
        <v>7644372000</v>
      </c>
      <c r="AB3605" s="28">
        <v>6177978000</v>
      </c>
      <c r="AC3605" s="28">
        <v>7821889000</v>
      </c>
      <c r="AD3605" s="28">
        <v>3885095000</v>
      </c>
      <c r="AE3605" s="28">
        <v>39898272000</v>
      </c>
      <c r="AF3605" s="28">
        <v>754538000</v>
      </c>
      <c r="AG3605" s="11"/>
    </row>
    <row r="3606">
      <c r="A3606" s="7" t="s">
        <v>5269</v>
      </c>
      <c r="B3606" s="5" t="s">
        <v>13234</v>
      </c>
      <c r="C3606" s="5" t="s">
        <v>21032</v>
      </c>
      <c r="D3606" s="5" t="str">
        <v>503808440499</v>
      </c>
      <c r="E3606" s="0" t="e">
        <f>+7 (495) 2987799
+7 (495) 3691060
+7 (495) 5586296
+7 (495) 6404578
+7 (495) 6518338
+7 (495) 7711163
+7 (495) 9721891
+7 (499) 1365577
+7 (499) 1665979
+7 (499) 2716345
+7 (499) 3900643
+7 (499) 9220606
+7 (903) 5763232
+7 (915) 556176
+7 (925) 5006592</f>
        <v>#NAME?</v>
      </c>
      <c r="F3606" s="5" t="s">
        <v>36184</v>
      </c>
      <c r="G3606" s="5" t="s">
        <v>36185</v>
      </c>
      <c r="H3606" s="26">
        <v>12</v>
      </c>
      <c r="I3606" s="5" t="s">
        <v>36186</v>
      </c>
      <c r="J3606" s="5" t="s">
        <v>25231</v>
      </c>
      <c r="K3606" s="5" t="s">
        <v>344</v>
      </c>
      <c r="L3606" s="5"/>
      <c r="M3606" s="27"/>
      <c r="N3606" s="5" t="s">
        <v>54893</v>
      </c>
      <c r="O3606" s="5" t="str">
        <v>5050090739</v>
      </c>
      <c r="P3606" s="27">
        <v>10000</v>
      </c>
      <c r="Q3606" s="5" t="s">
        <v>54894</v>
      </c>
      <c r="R3606" s="5"/>
      <c r="S3606" s="5" t="s">
        <v>49487</v>
      </c>
      <c r="T3606" s="28">
        <v>295011000</v>
      </c>
      <c r="U3606" s="28">
        <v>55547000</v>
      </c>
      <c r="V3606" s="28">
        <v>994271000</v>
      </c>
      <c r="W3606" s="28"/>
      <c r="X3606" s="28">
        <v>26031000</v>
      </c>
      <c r="Y3606" s="28">
        <v>2051337000</v>
      </c>
      <c r="Z3606" s="28">
        <v>880053000</v>
      </c>
      <c r="AA3606" s="28"/>
      <c r="AB3606" s="28">
        <v>750000000</v>
      </c>
      <c r="AC3606" s="28">
        <v>1162257000</v>
      </c>
      <c r="AD3606" s="28">
        <v>880063000</v>
      </c>
      <c r="AE3606" s="28">
        <v>8195805000</v>
      </c>
      <c r="AF3606" s="28">
        <v>202658000</v>
      </c>
      <c r="AG3606" s="11"/>
    </row>
    <row r="3607">
      <c r="A3607" s="7" t="s">
        <v>5270</v>
      </c>
      <c r="B3607" s="5" t="s">
        <v>13235</v>
      </c>
      <c r="C3607" s="5" t="s">
        <v>21033</v>
      </c>
      <c r="D3607" s="5" t="str">
        <v>781431382532</v>
      </c>
      <c r="E3607" s="0" t="e">
        <f>+7 (495) 2151311</f>
        <v>#NAME?</v>
      </c>
      <c r="F3607" s="5"/>
      <c r="G3607" s="5"/>
      <c r="H3607" s="26">
        <v>5.5</v>
      </c>
      <c r="I3607" s="5" t="s">
        <v>36187</v>
      </c>
      <c r="J3607" s="5" t="s">
        <v>36188</v>
      </c>
      <c r="K3607" s="5" t="s">
        <v>344</v>
      </c>
      <c r="L3607" s="5" t="s">
        <v>36189</v>
      </c>
      <c r="M3607" s="27">
        <v>824874</v>
      </c>
      <c r="N3607" s="5"/>
      <c r="O3607" s="5" t="str">
        <v>7722413867</v>
      </c>
      <c r="P3607" s="27">
        <v>10000</v>
      </c>
      <c r="Q3607" s="5" t="s">
        <v>49009</v>
      </c>
      <c r="R3607" s="5"/>
      <c r="S3607" s="5" t="s">
        <v>49010</v>
      </c>
      <c r="T3607" s="28">
        <v>496425000</v>
      </c>
      <c r="U3607" s="28"/>
      <c r="V3607" s="28">
        <v>232826000</v>
      </c>
      <c r="W3607" s="28">
        <v>27340000</v>
      </c>
      <c r="X3607" s="28">
        <v>114666000</v>
      </c>
      <c r="Y3607" s="28">
        <v>1061174000</v>
      </c>
      <c r="Z3607" s="28">
        <v>147360000</v>
      </c>
      <c r="AA3607" s="28">
        <v>59426000</v>
      </c>
      <c r="AB3607" s="28">
        <v>161000</v>
      </c>
      <c r="AC3607" s="28">
        <v>363148000</v>
      </c>
      <c r="AD3607" s="28">
        <v>147370000</v>
      </c>
      <c r="AE3607" s="28">
        <v>5442143000</v>
      </c>
      <c r="AF3607" s="28">
        <v>97210000</v>
      </c>
      <c r="AG3607" s="11"/>
    </row>
    <row r="3608">
      <c r="A3608" s="7" t="s">
        <v>5271</v>
      </c>
      <c r="B3608" s="5" t="s">
        <v>13236</v>
      </c>
      <c r="C3608" s="5" t="s">
        <v>21034</v>
      </c>
      <c r="D3608" s="5" t="str">
        <v>772776125228</v>
      </c>
      <c r="E3608" s="0" t="e">
        <f>+7 (482) 2620080
+7 (482) 2320102
+7 (482) 2320103
+7 (482) 2779677
+7 (482) 2779684
+7 (482) 2779697
+7 (499) 7500150</f>
        <v>#NAME?</v>
      </c>
      <c r="F3608" s="5"/>
      <c r="G3608" s="5"/>
      <c r="H3608" s="26">
        <v>15</v>
      </c>
      <c r="I3608" s="5" t="s">
        <v>36190</v>
      </c>
      <c r="J3608" s="5" t="s">
        <v>32531</v>
      </c>
      <c r="K3608" s="5" t="s">
        <v>344</v>
      </c>
      <c r="L3608" s="5"/>
      <c r="M3608" s="27"/>
      <c r="N3608" s="5"/>
      <c r="O3608" s="5" t="str">
        <v>6949003920</v>
      </c>
      <c r="P3608" s="27">
        <v>209789944</v>
      </c>
      <c r="Q3608" s="5" t="s">
        <v>49059</v>
      </c>
      <c r="R3608" s="5"/>
      <c r="S3608" s="5" t="s">
        <v>49123</v>
      </c>
      <c r="T3608" s="28">
        <v>996986000</v>
      </c>
      <c r="U3608" s="28"/>
      <c r="V3608" s="28">
        <v>674851000</v>
      </c>
      <c r="W3608" s="28"/>
      <c r="X3608" s="28">
        <v>385498000</v>
      </c>
      <c r="Y3608" s="28">
        <v>3119295000</v>
      </c>
      <c r="Z3608" s="28">
        <v>188263000</v>
      </c>
      <c r="AA3608" s="28">
        <v>685000000</v>
      </c>
      <c r="AB3608" s="28"/>
      <c r="AC3608" s="28">
        <v>206946000</v>
      </c>
      <c r="AD3608" s="28">
        <v>2145735000</v>
      </c>
      <c r="AE3608" s="28">
        <v>4342996000</v>
      </c>
      <c r="AF3608" s="28">
        <v>368739000</v>
      </c>
      <c r="AG3608" s="11"/>
    </row>
    <row r="3609">
      <c r="A3609" s="7" t="s">
        <v>5272</v>
      </c>
      <c r="B3609" s="5" t="s">
        <v>13237</v>
      </c>
      <c r="C3609" s="5" t="s">
        <v>21035</v>
      </c>
      <c r="D3609" s="5" t="str">
        <v>971503133551</v>
      </c>
      <c r="E3609" s="0" t="e">
        <f>+7 (985) 2669125
+7 (499) 5536036</f>
        <v>#NAME?</v>
      </c>
      <c r="F3609" s="5" t="s">
        <v>36191</v>
      </c>
      <c r="G3609" s="5"/>
      <c r="H3609" s="26">
        <v>15.5</v>
      </c>
      <c r="I3609" s="5" t="s">
        <v>36192</v>
      </c>
      <c r="J3609" s="5" t="s">
        <v>26767</v>
      </c>
      <c r="K3609" s="5" t="s">
        <v>344</v>
      </c>
      <c r="L3609" s="5"/>
      <c r="M3609" s="27"/>
      <c r="N3609" s="5" t="s">
        <v>54896</v>
      </c>
      <c r="O3609" s="5" t="str">
        <v>7705815069</v>
      </c>
      <c r="P3609" s="27">
        <v>118240000</v>
      </c>
      <c r="Q3609" s="5" t="s">
        <v>54897</v>
      </c>
      <c r="R3609" s="5"/>
      <c r="S3609" s="5" t="s">
        <v>49361</v>
      </c>
      <c r="T3609" s="28">
        <v>50136000</v>
      </c>
      <c r="U3609" s="28"/>
      <c r="V3609" s="28">
        <v>717128000</v>
      </c>
      <c r="W3609" s="28">
        <v>55956000</v>
      </c>
      <c r="X3609" s="28">
        <v>238009000</v>
      </c>
      <c r="Y3609" s="28">
        <v>3158143000</v>
      </c>
      <c r="Z3609" s="28">
        <v>288674000</v>
      </c>
      <c r="AA3609" s="28"/>
      <c r="AB3609" s="28"/>
      <c r="AC3609" s="28">
        <v>2751229000</v>
      </c>
      <c r="AD3609" s="28">
        <v>406914000</v>
      </c>
      <c r="AE3609" s="28">
        <v>5288382000</v>
      </c>
      <c r="AF3609" s="28">
        <v>232149000</v>
      </c>
      <c r="AG3609" s="11"/>
    </row>
    <row r="3610">
      <c r="A3610" s="7" t="s">
        <v>5273</v>
      </c>
      <c r="B3610" s="5" t="s">
        <v>13238</v>
      </c>
      <c r="C3610" s="5" t="s">
        <v>18120</v>
      </c>
      <c r="D3610" s="5" t="str">
        <v>780709141731</v>
      </c>
      <c r="E3610" s="0" t="e">
        <f>+7 (343) 2877788
+7 (3512) 455455
+7 (385) 2999860
+7 (343) 2479102
+7 (3512) 455457
+7 (3513) 575748
+7 (3519) 382222
+7 (35324) 53737
+7 (383) 3034505
+7 (383) 3449000
+7 (384) 2452314
+7 (473) 2332811
+7 (812) 2446621
+7 (812) 2446622
+7 (812) 2446632</f>
        <v>#NAME?</v>
      </c>
      <c r="F3610" s="5" t="s">
        <v>36193</v>
      </c>
      <c r="G3610" s="5" t="s">
        <v>36194</v>
      </c>
      <c r="H3610" s="26">
        <v>22</v>
      </c>
      <c r="I3610" s="5" t="s">
        <v>36195</v>
      </c>
      <c r="J3610" s="5" t="s">
        <v>678</v>
      </c>
      <c r="K3610" s="5" t="s">
        <v>344</v>
      </c>
      <c r="L3610" s="5" t="s">
        <v>36196</v>
      </c>
      <c r="M3610" s="27">
        <v>1129671</v>
      </c>
      <c r="N3610" s="5" t="s">
        <v>54898</v>
      </c>
      <c r="O3610" s="5" t="str">
        <v>7810216924</v>
      </c>
      <c r="P3610" s="27">
        <v>10000</v>
      </c>
      <c r="Q3610" s="5" t="s">
        <v>54899</v>
      </c>
      <c r="R3610" s="5" t="s">
        <v>54900</v>
      </c>
      <c r="S3610" s="5" t="s">
        <v>54901</v>
      </c>
      <c r="T3610" s="28">
        <v>220907000</v>
      </c>
      <c r="U3610" s="28">
        <v>16000</v>
      </c>
      <c r="V3610" s="28">
        <v>2217909000</v>
      </c>
      <c r="W3610" s="28"/>
      <c r="X3610" s="28">
        <v>312879000</v>
      </c>
      <c r="Y3610" s="28">
        <v>5541127000</v>
      </c>
      <c r="Z3610" s="28">
        <v>824575000</v>
      </c>
      <c r="AA3610" s="28"/>
      <c r="AB3610" s="28">
        <v>637575000</v>
      </c>
      <c r="AC3610" s="28">
        <v>4716542000</v>
      </c>
      <c r="AD3610" s="28">
        <v>824585000</v>
      </c>
      <c r="AE3610" s="28">
        <v>19902206000</v>
      </c>
      <c r="AF3610" s="28">
        <v>56539000</v>
      </c>
      <c r="AG3610" s="11"/>
    </row>
    <row r="3611">
      <c r="A3611" s="7" t="s">
        <v>5274</v>
      </c>
      <c r="B3611" s="5" t="s">
        <v>13239</v>
      </c>
      <c r="C3611" s="5" t="s">
        <v>21036</v>
      </c>
      <c r="D3611" s="5" t="str">
        <v>780101963209</v>
      </c>
      <c r="E3611" s="0" t="e">
        <f>+7 (812) 6770175
+7 (812) 6773425
+7 (921) 7771769</f>
        <v>#NAME?</v>
      </c>
      <c r="F3611" s="5" t="s">
        <v>36197</v>
      </c>
      <c r="G3611" s="5"/>
      <c r="H3611" s="26">
        <v>10</v>
      </c>
      <c r="I3611" s="5" t="s">
        <v>36198</v>
      </c>
      <c r="J3611" s="5" t="s">
        <v>26511</v>
      </c>
      <c r="K3611" s="5" t="s">
        <v>344</v>
      </c>
      <c r="L3611" s="5" t="s">
        <v>36199</v>
      </c>
      <c r="M3611" s="27">
        <v>340520</v>
      </c>
      <c r="N3611" s="5"/>
      <c r="O3611" s="5" t="str">
        <v>7816556331</v>
      </c>
      <c r="P3611" s="27">
        <v>10000</v>
      </c>
      <c r="Q3611" s="5" t="s">
        <v>54902</v>
      </c>
      <c r="R3611" s="5"/>
      <c r="S3611" s="5" t="s">
        <v>54903</v>
      </c>
      <c r="T3611" s="28">
        <v>426000</v>
      </c>
      <c r="U3611" s="28"/>
      <c r="V3611" s="28">
        <v>329803000</v>
      </c>
      <c r="W3611" s="28"/>
      <c r="X3611" s="28">
        <v>9968000</v>
      </c>
      <c r="Y3611" s="28">
        <v>591265000</v>
      </c>
      <c r="Z3611" s="28">
        <v>239936000</v>
      </c>
      <c r="AA3611" s="28"/>
      <c r="AB3611" s="28">
        <v>205981000</v>
      </c>
      <c r="AC3611" s="28">
        <v>351244000</v>
      </c>
      <c r="AD3611" s="28">
        <v>239946000</v>
      </c>
      <c r="AE3611" s="28">
        <v>6715189000</v>
      </c>
      <c r="AF3611" s="28">
        <v>164090000</v>
      </c>
      <c r="AG3611" s="11"/>
    </row>
    <row r="3612">
      <c r="A3612" s="7" t="s">
        <v>5275</v>
      </c>
      <c r="B3612" s="5" t="s">
        <v>13240</v>
      </c>
      <c r="C3612" s="5" t="s">
        <v>21037</v>
      </c>
      <c r="D3612" s="5" t="str">
        <v>232526253901</v>
      </c>
      <c r="E3612" s="0" t="e">
        <f>+7 (343) 2700075
+7 (343) 3790522
+7 (383) 3110450
+7 (472) 2589760
+7 (499) 6826915
+7 (800) 7700688
+7 (812) 3254300
+7 (85557) 59401
+7 (8632) 78110
+7 (8632) 994747
+7 (903) 4356617
+7 (917) 6576000
+7 (917) 6578000
+7 (960) 2801014
+7 (985) 1281572</f>
        <v>#NAME?</v>
      </c>
      <c r="F3612" s="5"/>
      <c r="G3612" s="5"/>
      <c r="H3612" s="26">
        <v>7</v>
      </c>
      <c r="I3612" s="5" t="s">
        <v>36200</v>
      </c>
      <c r="J3612" s="5" t="s">
        <v>641</v>
      </c>
      <c r="K3612" s="5" t="s">
        <v>344</v>
      </c>
      <c r="L3612" s="5" t="s">
        <v>34505</v>
      </c>
      <c r="M3612" s="27"/>
      <c r="N3612" s="5" t="s">
        <v>54904</v>
      </c>
      <c r="O3612" s="5" t="str">
        <v>6164106790</v>
      </c>
      <c r="P3612" s="27">
        <v>10101</v>
      </c>
      <c r="Q3612" s="5" t="s">
        <v>49009</v>
      </c>
      <c r="R3612" s="5"/>
      <c r="S3612" s="5" t="s">
        <v>49045</v>
      </c>
      <c r="T3612" s="28">
        <v>6213000</v>
      </c>
      <c r="U3612" s="28"/>
      <c r="V3612" s="28">
        <v>391270000</v>
      </c>
      <c r="W3612" s="28"/>
      <c r="X3612" s="28">
        <v>238256000</v>
      </c>
      <c r="Y3612" s="28">
        <v>1097940000</v>
      </c>
      <c r="Z3612" s="28">
        <v>46943000</v>
      </c>
      <c r="AA3612" s="28">
        <v>175761000</v>
      </c>
      <c r="AB3612" s="28">
        <v>645000</v>
      </c>
      <c r="AC3612" s="28">
        <v>868004000</v>
      </c>
      <c r="AD3612" s="28">
        <v>46953000</v>
      </c>
      <c r="AE3612" s="28">
        <v>3364382000</v>
      </c>
      <c r="AF3612" s="28">
        <v>35755000</v>
      </c>
      <c r="AG3612" s="11"/>
    </row>
    <row r="3613">
      <c r="A3613" s="7" t="s">
        <v>5276</v>
      </c>
      <c r="B3613" s="5" t="s">
        <v>13241</v>
      </c>
      <c r="C3613" s="5" t="s">
        <v>21038</v>
      </c>
      <c r="D3613" s="5" t="str">
        <v>505002611304</v>
      </c>
      <c r="F3613" s="5" t="s">
        <v>36201</v>
      </c>
      <c r="G3613" s="5"/>
      <c r="H3613" s="26">
        <v>9</v>
      </c>
      <c r="I3613" s="5" t="s">
        <v>36202</v>
      </c>
      <c r="J3613" s="5" t="s">
        <v>364</v>
      </c>
      <c r="K3613" s="5" t="s">
        <v>355</v>
      </c>
      <c r="L3613" s="5"/>
      <c r="M3613" s="27">
        <v>541772660</v>
      </c>
      <c r="N3613" s="5" t="s">
        <v>54905</v>
      </c>
      <c r="O3613" s="5" t="str">
        <v>7701394860</v>
      </c>
      <c r="P3613" s="27">
        <v>10000</v>
      </c>
      <c r="Q3613" s="5" t="s">
        <v>54906</v>
      </c>
      <c r="R3613" s="5" t="s">
        <v>54907</v>
      </c>
      <c r="S3613" s="5" t="s">
        <v>54908</v>
      </c>
      <c r="T3613" s="28">
        <v>627481000</v>
      </c>
      <c r="U3613" s="28">
        <v>10661000</v>
      </c>
      <c r="V3613" s="28">
        <v>23554552000</v>
      </c>
      <c r="W3613" s="28">
        <v>1118000</v>
      </c>
      <c r="X3613" s="28">
        <v>1186014000</v>
      </c>
      <c r="Y3613" s="28">
        <v>49803304000</v>
      </c>
      <c r="Z3613" s="28">
        <v>-2996569000</v>
      </c>
      <c r="AA3613" s="28"/>
      <c r="AB3613" s="28">
        <v>161241000</v>
      </c>
      <c r="AC3613" s="28">
        <v>45847604000</v>
      </c>
      <c r="AD3613" s="28">
        <v>-2946559000</v>
      </c>
      <c r="AE3613" s="28">
        <v>46466548000</v>
      </c>
      <c r="AF3613" s="28">
        <v>1520130000</v>
      </c>
      <c r="AG3613" s="11"/>
    </row>
    <row r="3614">
      <c r="A3614" s="7" t="s">
        <v>5277</v>
      </c>
      <c r="B3614" s="5" t="s">
        <v>13242</v>
      </c>
      <c r="C3614" s="5" t="s">
        <v>21039</v>
      </c>
      <c r="D3614" s="5" t="str">
        <v>246408326709</v>
      </c>
      <c r="E3614" s="0" t="e">
        <f>+7 (495) 2251940</f>
        <v>#NAME?</v>
      </c>
      <c r="F3614" s="5" t="s">
        <v>36203</v>
      </c>
      <c r="G3614" s="5" t="s">
        <v>36204</v>
      </c>
      <c r="H3614" s="26">
        <v>9</v>
      </c>
      <c r="I3614" s="5" t="s">
        <v>36202</v>
      </c>
      <c r="J3614" s="5" t="s">
        <v>25190</v>
      </c>
      <c r="K3614" s="5" t="s">
        <v>344</v>
      </c>
      <c r="L3614" s="5" t="s">
        <v>36205</v>
      </c>
      <c r="M3614" s="27">
        <v>518199</v>
      </c>
      <c r="N3614" s="5" t="s">
        <v>54909</v>
      </c>
      <c r="O3614" s="5" t="str">
        <v>7701394885</v>
      </c>
      <c r="P3614" s="27">
        <v>10000</v>
      </c>
      <c r="Q3614" s="5" t="s">
        <v>54910</v>
      </c>
      <c r="R3614" s="5"/>
      <c r="S3614" s="5" t="s">
        <v>49271</v>
      </c>
      <c r="T3614" s="28">
        <v>35229000</v>
      </c>
      <c r="U3614" s="28"/>
      <c r="V3614" s="28">
        <v>10207947000</v>
      </c>
      <c r="W3614" s="28">
        <v>7483000</v>
      </c>
      <c r="X3614" s="28">
        <v>79713000</v>
      </c>
      <c r="Y3614" s="28">
        <v>16757217000</v>
      </c>
      <c r="Z3614" s="28">
        <v>1653595000</v>
      </c>
      <c r="AA3614" s="28"/>
      <c r="AB3614" s="28"/>
      <c r="AC3614" s="28">
        <v>15101645000</v>
      </c>
      <c r="AD3614" s="28">
        <v>1653605000</v>
      </c>
      <c r="AE3614" s="28">
        <v>12460799000</v>
      </c>
      <c r="AF3614" s="28">
        <v>787029000</v>
      </c>
      <c r="AG3614" s="11"/>
    </row>
    <row r="3615">
      <c r="A3615" s="7" t="s">
        <v>5278</v>
      </c>
      <c r="B3615" s="5" t="s">
        <v>12117</v>
      </c>
      <c r="C3615" s="5" t="s">
        <v>21040</v>
      </c>
      <c r="D3615" s="5" t="str">
        <v>772629005106</v>
      </c>
      <c r="E3615" s="0" t="e">
        <f>+7 (495) 7853317
+7 (495) 7833317
+7 (495) 7853327</f>
        <v>#NAME?</v>
      </c>
      <c r="F3615" s="5" t="s">
        <v>36206</v>
      </c>
      <c r="G3615" s="5" t="s">
        <v>36207</v>
      </c>
      <c r="H3615" s="26">
        <v>25.5</v>
      </c>
      <c r="I3615" s="5" t="s">
        <v>36208</v>
      </c>
      <c r="J3615" s="5" t="s">
        <v>25881</v>
      </c>
      <c r="K3615" s="5" t="s">
        <v>344</v>
      </c>
      <c r="L3615" s="5" t="s">
        <v>36209</v>
      </c>
      <c r="M3615" s="27"/>
      <c r="N3615" s="5"/>
      <c r="O3615" s="5" t="str">
        <v>7724189748</v>
      </c>
      <c r="P3615" s="27">
        <v>1000000</v>
      </c>
      <c r="Q3615" s="5" t="s">
        <v>53593</v>
      </c>
      <c r="R3615" s="5"/>
      <c r="S3615" s="5" t="s">
        <v>54911</v>
      </c>
      <c r="T3615" s="28">
        <v>9857000</v>
      </c>
      <c r="U3615" s="28"/>
      <c r="V3615" s="28">
        <v>712616000</v>
      </c>
      <c r="W3615" s="28"/>
      <c r="X3615" s="28">
        <v>440982000</v>
      </c>
      <c r="Y3615" s="28">
        <v>1197839000</v>
      </c>
      <c r="Z3615" s="28">
        <v>104720000</v>
      </c>
      <c r="AA3615" s="28"/>
      <c r="AB3615" s="28"/>
      <c r="AC3615" s="28">
        <v>1090910000</v>
      </c>
      <c r="AD3615" s="28">
        <v>105720000</v>
      </c>
      <c r="AE3615" s="28">
        <v>4871540000</v>
      </c>
      <c r="AF3615" s="28">
        <v>102898000</v>
      </c>
      <c r="AG3615" s="11"/>
    </row>
    <row r="3616">
      <c r="A3616" s="7" t="s">
        <v>5279</v>
      </c>
      <c r="B3616" s="5" t="s">
        <v>13243</v>
      </c>
      <c r="C3616" s="5" t="s">
        <v>21041</v>
      </c>
      <c r="D3616" s="5" t="str">
        <v>772138414604</v>
      </c>
      <c r="E3616" s="0" t="e">
        <f>+7 (3022) 720203
+7 (3412) 644244
+7 (3412) 932420
+7 (3422) 20475
+7 (3422) 943988
+7 (34273) 20411
+7 (3432) 708100
+7 (3432) 887479
+7 (3433) 112300
+7 (3433) 517317
+7 (345) 2215669
+7 (345) 2645021
+7 (346) 2319890
+7 (3472) 747027
+7 (3473) 230334</f>
        <v>#NAME?</v>
      </c>
      <c r="F3616" s="5"/>
      <c r="G3616" s="5" t="s">
        <v>36210</v>
      </c>
      <c r="H3616" s="26">
        <v>18</v>
      </c>
      <c r="I3616" s="5" t="s">
        <v>36211</v>
      </c>
      <c r="J3616" s="5" t="s">
        <v>32608</v>
      </c>
      <c r="K3616" s="5" t="s">
        <v>344</v>
      </c>
      <c r="L3616" s="5" t="s">
        <v>36212</v>
      </c>
      <c r="M3616" s="27"/>
      <c r="N3616" s="5"/>
      <c r="O3616" s="5" t="str">
        <v>7722537534</v>
      </c>
      <c r="P3616" s="27">
        <v>105500000</v>
      </c>
      <c r="Q3616" s="5" t="s">
        <v>49021</v>
      </c>
      <c r="R3616" s="5"/>
      <c r="S3616" s="5" t="s">
        <v>50742</v>
      </c>
      <c r="T3616" s="28">
        <v>1152610000</v>
      </c>
      <c r="U3616" s="28">
        <v>29460000</v>
      </c>
      <c r="V3616" s="28">
        <v>8659808000</v>
      </c>
      <c r="W3616" s="28">
        <v>1980536000</v>
      </c>
      <c r="X3616" s="28">
        <v>190011000</v>
      </c>
      <c r="Y3616" s="28">
        <v>20228659000</v>
      </c>
      <c r="Z3616" s="28">
        <v>13188378000</v>
      </c>
      <c r="AA3616" s="28">
        <v>162991000</v>
      </c>
      <c r="AB3616" s="28">
        <v>1773021000</v>
      </c>
      <c r="AC3616" s="28">
        <v>6207497000</v>
      </c>
      <c r="AD3616" s="28">
        <v>13293890000</v>
      </c>
      <c r="AE3616" s="28">
        <v>25769096000</v>
      </c>
      <c r="AF3616" s="28">
        <v>1806842000</v>
      </c>
      <c r="AG3616" s="11"/>
    </row>
    <row r="3617">
      <c r="A3617" s="7" t="s">
        <v>5280</v>
      </c>
      <c r="B3617" s="5" t="s">
        <v>13244</v>
      </c>
      <c r="C3617" s="5" t="s">
        <v>21042</v>
      </c>
      <c r="D3617" s="5" t="str">
        <v>519045110345</v>
      </c>
      <c r="E3617" s="0" t="e">
        <f>+7 (812) 3212972
+7 (812) 3330066
+7 (812) 3330067</f>
        <v>#NAME?</v>
      </c>
      <c r="F3617" s="5" t="s">
        <v>36213</v>
      </c>
      <c r="G3617" s="5" t="s">
        <v>36214</v>
      </c>
      <c r="H3617" s="26">
        <v>23.5</v>
      </c>
      <c r="I3617" s="5"/>
      <c r="J3617" s="5" t="s">
        <v>678</v>
      </c>
      <c r="K3617" s="5" t="s">
        <v>344</v>
      </c>
      <c r="L3617" s="5" t="s">
        <v>36215</v>
      </c>
      <c r="M3617" s="27">
        <v>4146955</v>
      </c>
      <c r="N3617" s="5"/>
      <c r="O3617" s="5" t="str">
        <v>7810166529</v>
      </c>
      <c r="P3617" s="27">
        <v>10000</v>
      </c>
      <c r="Q3617" s="5"/>
      <c r="R3617" s="5"/>
      <c r="S3617" s="5" t="s">
        <v>49110</v>
      </c>
      <c r="T3617" s="28">
        <v>23213000</v>
      </c>
      <c r="U3617" s="28"/>
      <c r="V3617" s="28">
        <v>418054000</v>
      </c>
      <c r="W3617" s="28"/>
      <c r="X3617" s="28">
        <v>754755000</v>
      </c>
      <c r="Y3617" s="28">
        <v>1199601000</v>
      </c>
      <c r="Z3617" s="28">
        <v>324760000</v>
      </c>
      <c r="AA3617" s="28"/>
      <c r="AB3617" s="28"/>
      <c r="AC3617" s="28">
        <v>860678000</v>
      </c>
      <c r="AD3617" s="28">
        <v>324771000</v>
      </c>
      <c r="AE3617" s="28">
        <v>4850225000</v>
      </c>
      <c r="AF3617" s="28">
        <v>204245000</v>
      </c>
      <c r="AG3617" s="11"/>
    </row>
    <row r="3618">
      <c r="A3618" s="7" t="s">
        <v>5281</v>
      </c>
      <c r="B3618" s="5" t="s">
        <v>13245</v>
      </c>
      <c r="C3618" s="5" t="s">
        <v>21043</v>
      </c>
      <c r="D3618" s="5" t="str">
        <v>440113035071</v>
      </c>
      <c r="E3618" s="0" t="e">
        <f>+7 (494) 2491245
+7 (494) 2622902
+7 (494) 2622903
+7 (494) 2622904
+7 (494) 2642132
+7 (494) 2642133
+7 (494) 2642134</f>
        <v>#NAME?</v>
      </c>
      <c r="F3618" s="5" t="s">
        <v>36216</v>
      </c>
      <c r="G3618" s="5" t="s">
        <v>36217</v>
      </c>
      <c r="H3618" s="26">
        <v>16.5</v>
      </c>
      <c r="I3618" s="5" t="s">
        <v>36218</v>
      </c>
      <c r="J3618" s="5" t="s">
        <v>26846</v>
      </c>
      <c r="K3618" s="5" t="s">
        <v>344</v>
      </c>
      <c r="L3618" s="5" t="s">
        <v>1194</v>
      </c>
      <c r="M3618" s="27"/>
      <c r="N3618" s="5"/>
      <c r="O3618" s="5" t="str">
        <v>4401066119</v>
      </c>
      <c r="P3618" s="27">
        <v>10000</v>
      </c>
      <c r="Q3618" s="5" t="s">
        <v>54912</v>
      </c>
      <c r="R3618" s="5"/>
      <c r="S3618" s="5" t="s">
        <v>54913</v>
      </c>
      <c r="T3618" s="28">
        <v>25958000</v>
      </c>
      <c r="U3618" s="28">
        <v>2585000</v>
      </c>
      <c r="V3618" s="28">
        <v>337720000</v>
      </c>
      <c r="W3618" s="28"/>
      <c r="X3618" s="28">
        <v>2455000</v>
      </c>
      <c r="Y3618" s="28">
        <v>452091000</v>
      </c>
      <c r="Z3618" s="28">
        <v>6024000</v>
      </c>
      <c r="AA3618" s="28"/>
      <c r="AB3618" s="28"/>
      <c r="AC3618" s="28">
        <v>446057000</v>
      </c>
      <c r="AD3618" s="28">
        <v>6034000</v>
      </c>
      <c r="AE3618" s="28">
        <v>3907826000</v>
      </c>
      <c r="AF3618" s="28">
        <v>2700000</v>
      </c>
      <c r="AG3618" s="11"/>
    </row>
    <row r="3619">
      <c r="A3619" s="7" t="s">
        <v>5282</v>
      </c>
      <c r="B3619" s="5" t="s">
        <v>13246</v>
      </c>
      <c r="C3619" s="5" t="s">
        <v>21044</v>
      </c>
      <c r="D3619" s="5" t="str">
        <v>245717755887</v>
      </c>
      <c r="E3619" s="0" t="e">
        <f>+7 (495) 7757601
+7 (3432) 290022
+7 (495) 7757600
+7 (495) 7771318
+7 (495) 7771320
+7 (86344) 31042
+7 (926) 2360209</f>
        <v>#NAME?</v>
      </c>
      <c r="F3619" s="5" t="s">
        <v>36219</v>
      </c>
      <c r="G3619" s="5"/>
      <c r="H3619" s="26">
        <v>18.5</v>
      </c>
      <c r="I3619" s="5" t="s">
        <v>36220</v>
      </c>
      <c r="J3619" s="5" t="s">
        <v>678</v>
      </c>
      <c r="K3619" s="5" t="s">
        <v>344</v>
      </c>
      <c r="L3619" s="5" t="s">
        <v>36221</v>
      </c>
      <c r="M3619" s="27"/>
      <c r="N3619" s="5" t="s">
        <v>54914</v>
      </c>
      <c r="O3619" s="5" t="str">
        <v>7709556545</v>
      </c>
      <c r="P3619" s="27">
        <v>1000000</v>
      </c>
      <c r="Q3619" s="5" t="s">
        <v>54915</v>
      </c>
      <c r="R3619" s="5"/>
      <c r="S3619" s="5" t="s">
        <v>49361</v>
      </c>
      <c r="T3619" s="28">
        <v>58616000</v>
      </c>
      <c r="U3619" s="28"/>
      <c r="V3619" s="28">
        <v>601375000</v>
      </c>
      <c r="W3619" s="28"/>
      <c r="X3619" s="28">
        <v>196602000</v>
      </c>
      <c r="Y3619" s="28">
        <v>1797085000</v>
      </c>
      <c r="Z3619" s="28">
        <v>197752000</v>
      </c>
      <c r="AA3619" s="28"/>
      <c r="AB3619" s="28">
        <v>303364000</v>
      </c>
      <c r="AC3619" s="28">
        <v>1559236000</v>
      </c>
      <c r="AD3619" s="28">
        <v>198752000</v>
      </c>
      <c r="AE3619" s="28">
        <v>6457212000</v>
      </c>
      <c r="AF3619" s="28">
        <v>-33305000</v>
      </c>
      <c r="AG3619" s="11"/>
    </row>
    <row r="3620">
      <c r="A3620" s="7" t="s">
        <v>5283</v>
      </c>
      <c r="B3620" s="5" t="s">
        <v>13247</v>
      </c>
      <c r="C3620" s="5" t="s">
        <v>21045</v>
      </c>
      <c r="D3620" s="5" t="str">
        <v>390403913707</v>
      </c>
      <c r="E3620" s="0" t="e">
        <f>+7 (401) 2306700
+7 (401) 2572522
+7 (401) 2572534
+7 (401) 2920100
+7 (401) 2920114
+7 (401) 2920122
+7 (401) 2920130
+7 (800) 1008087</f>
        <v>#NAME?</v>
      </c>
      <c r="F3620" s="5" t="s">
        <v>36222</v>
      </c>
      <c r="G3620" s="5" t="s">
        <v>36223</v>
      </c>
      <c r="H3620" s="26">
        <v>24</v>
      </c>
      <c r="I3620" s="5" t="s">
        <v>36224</v>
      </c>
      <c r="J3620" s="5" t="s">
        <v>25788</v>
      </c>
      <c r="K3620" s="5" t="s">
        <v>344</v>
      </c>
      <c r="L3620" s="5"/>
      <c r="M3620" s="27"/>
      <c r="N3620" s="5"/>
      <c r="O3620" s="5" t="str">
        <v>3906072585</v>
      </c>
      <c r="P3620" s="27">
        <v>1929326748</v>
      </c>
      <c r="Q3620" s="5" t="s">
        <v>49009</v>
      </c>
      <c r="R3620" s="5" t="s">
        <v>54916</v>
      </c>
      <c r="S3620" s="5" t="s">
        <v>49066</v>
      </c>
      <c r="T3620" s="28">
        <v>5453102000</v>
      </c>
      <c r="U3620" s="28"/>
      <c r="V3620" s="28">
        <v>4955760000</v>
      </c>
      <c r="W3620" s="28"/>
      <c r="X3620" s="28">
        <v>32156000</v>
      </c>
      <c r="Y3620" s="28">
        <v>14296768000</v>
      </c>
      <c r="Z3620" s="28">
        <v>6321565000</v>
      </c>
      <c r="AA3620" s="28">
        <v>3986454000</v>
      </c>
      <c r="AB3620" s="28"/>
      <c r="AC3620" s="28">
        <v>2058042000</v>
      </c>
      <c r="AD3620" s="28">
        <v>8250892000</v>
      </c>
      <c r="AE3620" s="28">
        <v>15138769000</v>
      </c>
      <c r="AF3620" s="28">
        <v>-939950000</v>
      </c>
      <c r="AG3620" s="11"/>
    </row>
    <row r="3621">
      <c r="A3621" s="7" t="s">
        <v>5284</v>
      </c>
      <c r="B3621" s="5" t="s">
        <v>13248</v>
      </c>
      <c r="C3621" s="5" t="s">
        <v>21046</v>
      </c>
      <c r="D3621" s="5" t="str">
        <v>310900635181</v>
      </c>
      <c r="E3621" s="0" t="e">
        <f>+7 (472) 2231825
+7 (472) 2586400
+7 (47242) 23487
+7 (915) 5605500</f>
        <v>#NAME?</v>
      </c>
      <c r="F3621" s="5" t="s">
        <v>36225</v>
      </c>
      <c r="G3621" s="5"/>
      <c r="H3621" s="26">
        <v>16.5</v>
      </c>
      <c r="I3621" s="5" t="s">
        <v>36226</v>
      </c>
      <c r="J3621" s="5" t="s">
        <v>27002</v>
      </c>
      <c r="K3621" s="5" t="s">
        <v>344</v>
      </c>
      <c r="L3621" s="5" t="s">
        <v>36227</v>
      </c>
      <c r="M3621" s="27">
        <v>8820220</v>
      </c>
      <c r="N3621" s="5"/>
      <c r="O3621" s="5" t="str">
        <v>3109004337</v>
      </c>
      <c r="P3621" s="27">
        <v>4990310769</v>
      </c>
      <c r="Q3621" s="5"/>
      <c r="R3621" s="5"/>
      <c r="S3621" s="5" t="s">
        <v>49121</v>
      </c>
      <c r="T3621" s="28">
        <v>8181985000</v>
      </c>
      <c r="U3621" s="28"/>
      <c r="V3621" s="28">
        <v>21272086000</v>
      </c>
      <c r="W3621" s="28"/>
      <c r="X3621" s="28">
        <v>5667000</v>
      </c>
      <c r="Y3621" s="28">
        <v>35643912000</v>
      </c>
      <c r="Z3621" s="28">
        <v>18221992000</v>
      </c>
      <c r="AA3621" s="28">
        <v>1371966000</v>
      </c>
      <c r="AB3621" s="28">
        <v>2152817000</v>
      </c>
      <c r="AC3621" s="28">
        <v>11016555000</v>
      </c>
      <c r="AD3621" s="28">
        <v>23255391000</v>
      </c>
      <c r="AE3621" s="28">
        <v>24367945000</v>
      </c>
      <c r="AF3621" s="28">
        <v>5369889000</v>
      </c>
      <c r="AG3621" s="11"/>
    </row>
    <row r="3622">
      <c r="A3622" s="7" t="s">
        <v>5285</v>
      </c>
      <c r="B3622" s="5" t="s">
        <v>13249</v>
      </c>
      <c r="C3622" s="5" t="s">
        <v>21047</v>
      </c>
      <c r="D3622" s="5" t="str">
        <v>312333956270</v>
      </c>
      <c r="E3622" s="0" t="e">
        <f>+7 (47142) 30272
+7 (47143) 21234
+7 (47143) 33238
+7 (919) 2899268</f>
        <v>#NAME?</v>
      </c>
      <c r="F3622" s="5" t="s">
        <v>36228</v>
      </c>
      <c r="G3622" s="5"/>
      <c r="H3622" s="26">
        <v>22</v>
      </c>
      <c r="I3622" s="5" t="s">
        <v>36229</v>
      </c>
      <c r="J3622" s="5" t="s">
        <v>25371</v>
      </c>
      <c r="K3622" s="5" t="s">
        <v>355</v>
      </c>
      <c r="L3622" s="5"/>
      <c r="M3622" s="27">
        <v>5411</v>
      </c>
      <c r="N3622" s="5"/>
      <c r="O3622" s="5" t="str">
        <v>4623004836</v>
      </c>
      <c r="P3622" s="27">
        <v>25915421386</v>
      </c>
      <c r="Q3622" s="5"/>
      <c r="R3622" s="5"/>
      <c r="S3622" s="5" t="s">
        <v>49029</v>
      </c>
      <c r="T3622" s="28">
        <v>100736594000</v>
      </c>
      <c r="U3622" s="28">
        <v>22236000</v>
      </c>
      <c r="V3622" s="28">
        <v>35347041000</v>
      </c>
      <c r="W3622" s="28">
        <v>1213058000</v>
      </c>
      <c r="X3622" s="28">
        <v>5698000</v>
      </c>
      <c r="Y3622" s="28">
        <v>168100728000</v>
      </c>
      <c r="Z3622" s="28">
        <v>1200898000</v>
      </c>
      <c r="AA3622" s="28">
        <v>105696249000</v>
      </c>
      <c r="AB3622" s="28">
        <v>4525045000</v>
      </c>
      <c r="AC3622" s="28">
        <v>35261026000</v>
      </c>
      <c r="AD3622" s="28">
        <v>28305802000</v>
      </c>
      <c r="AE3622" s="28">
        <v>52302470000</v>
      </c>
      <c r="AF3622" s="28">
        <v>-1926290000</v>
      </c>
      <c r="AG3622" s="11"/>
    </row>
    <row r="3623">
      <c r="A3623" s="7" t="s">
        <v>5286</v>
      </c>
      <c r="B3623" s="5" t="s">
        <v>13250</v>
      </c>
      <c r="C3623" s="5" t="s">
        <v>21048</v>
      </c>
      <c r="D3623" s="5"/>
      <c r="E3623" s="0" t="e">
        <f>+7 (919) 2890111
+7 (910) 2000011
+7 (919) 2000262
+7 (919) 2086748
+7 (930) 8252505</f>
        <v>#NAME?</v>
      </c>
      <c r="F3623" s="5" t="s">
        <v>36230</v>
      </c>
      <c r="G3623" s="5"/>
      <c r="H3623" s="26">
        <v>10</v>
      </c>
      <c r="I3623" s="5" t="s">
        <v>36231</v>
      </c>
      <c r="J3623" s="5" t="s">
        <v>25895</v>
      </c>
      <c r="K3623" s="5" t="s">
        <v>380</v>
      </c>
      <c r="L3623" s="5" t="s">
        <v>36232</v>
      </c>
      <c r="M3623" s="27">
        <v>917629</v>
      </c>
      <c r="N3623" s="5"/>
      <c r="O3623" s="5" t="str">
        <v>5720020715</v>
      </c>
      <c r="P3623" s="27">
        <v>2409456000</v>
      </c>
      <c r="Q3623" s="5" t="s">
        <v>49009</v>
      </c>
      <c r="R3623" s="5"/>
      <c r="S3623" s="5" t="s">
        <v>49066</v>
      </c>
      <c r="T3623" s="28">
        <v>9582376000</v>
      </c>
      <c r="U3623" s="28">
        <v>35224000</v>
      </c>
      <c r="V3623" s="28">
        <v>1184808000</v>
      </c>
      <c r="W3623" s="28"/>
      <c r="X3623" s="28">
        <v>13749000</v>
      </c>
      <c r="Y3623" s="28">
        <v>16308028000</v>
      </c>
      <c r="Z3623" s="28">
        <v>1661697000</v>
      </c>
      <c r="AA3623" s="28">
        <v>3419099000</v>
      </c>
      <c r="AB3623" s="28">
        <v>3022514000</v>
      </c>
      <c r="AC3623" s="28">
        <v>8642174000</v>
      </c>
      <c r="AD3623" s="28">
        <v>4300143000</v>
      </c>
      <c r="AE3623" s="28">
        <v>7380019000</v>
      </c>
      <c r="AF3623" s="28">
        <v>555875000</v>
      </c>
      <c r="AG3623" s="11"/>
    </row>
    <row r="3624">
      <c r="A3624" s="7" t="s">
        <v>5287</v>
      </c>
      <c r="B3624" s="5" t="s">
        <v>13251</v>
      </c>
      <c r="C3624" s="5" t="s">
        <v>21049</v>
      </c>
      <c r="D3624" s="5" t="str">
        <v>770465037984</v>
      </c>
      <c r="E3624" s="0" t="e">
        <f>+7 (495) 2792529
+7 (915) 1717973
+7 (495) 2799011
+7 (985) 2337481</f>
        <v>#NAME?</v>
      </c>
      <c r="F3624" s="5" t="s">
        <v>36233</v>
      </c>
      <c r="G3624" s="5" t="s">
        <v>36234</v>
      </c>
      <c r="H3624" s="26">
        <v>5</v>
      </c>
      <c r="I3624" s="5" t="s">
        <v>36235</v>
      </c>
      <c r="J3624" s="5" t="s">
        <v>26918</v>
      </c>
      <c r="K3624" s="5" t="s">
        <v>344</v>
      </c>
      <c r="L3624" s="5" t="s">
        <v>36236</v>
      </c>
      <c r="M3624" s="27"/>
      <c r="N3624" s="5" t="s">
        <v>54919</v>
      </c>
      <c r="O3624" s="5" t="str">
        <v>9717065696</v>
      </c>
      <c r="P3624" s="27">
        <v>1100000</v>
      </c>
      <c r="Q3624" s="5" t="s">
        <v>54920</v>
      </c>
      <c r="R3624" s="5"/>
      <c r="S3624" s="5" t="s">
        <v>54921</v>
      </c>
      <c r="T3624" s="28">
        <v>71276000</v>
      </c>
      <c r="U3624" s="28"/>
      <c r="V3624" s="28">
        <v>314339000</v>
      </c>
      <c r="W3624" s="28">
        <v>16225000</v>
      </c>
      <c r="X3624" s="28">
        <v>174287000</v>
      </c>
      <c r="Y3624" s="28">
        <v>1336260000</v>
      </c>
      <c r="Z3624" s="28">
        <v>889361000</v>
      </c>
      <c r="AA3624" s="28"/>
      <c r="AB3624" s="28">
        <v>222278000</v>
      </c>
      <c r="AC3624" s="28">
        <v>423622000</v>
      </c>
      <c r="AD3624" s="28">
        <v>890361000</v>
      </c>
      <c r="AE3624" s="28">
        <v>3523837000</v>
      </c>
      <c r="AF3624" s="28">
        <v>466271000</v>
      </c>
      <c r="AG3624" s="11"/>
    </row>
    <row r="3625">
      <c r="A3625" s="7" t="s">
        <v>5288</v>
      </c>
      <c r="B3625" s="5" t="s">
        <v>13252</v>
      </c>
      <c r="C3625" s="5" t="s">
        <v>21050</v>
      </c>
      <c r="D3625" s="5" t="str">
        <v>501206883595</v>
      </c>
      <c r="E3625" s="0" t="e">
        <f>+7 (495) 1144448
+7 (495) 3149111
+7 (495) 3150024
+7 (495) 3151031
+7 (985) 4575706</f>
        <v>#NAME?</v>
      </c>
      <c r="F3625" s="5"/>
      <c r="G3625" s="5" t="s">
        <v>36237</v>
      </c>
      <c r="H3625" s="26">
        <v>15.5</v>
      </c>
      <c r="I3625" s="5" t="s">
        <v>36238</v>
      </c>
      <c r="J3625" s="5" t="s">
        <v>25484</v>
      </c>
      <c r="K3625" s="5" t="s">
        <v>355</v>
      </c>
      <c r="L3625" s="5"/>
      <c r="M3625" s="27"/>
      <c r="N3625" s="5" t="s">
        <v>49923</v>
      </c>
      <c r="O3625" s="5" t="str">
        <v>7726570405</v>
      </c>
      <c r="P3625" s="27">
        <v>117315000</v>
      </c>
      <c r="Q3625" s="5" t="s">
        <v>54922</v>
      </c>
      <c r="R3625" s="5"/>
      <c r="S3625" s="5" t="s">
        <v>49358</v>
      </c>
      <c r="T3625" s="28">
        <v>369079000</v>
      </c>
      <c r="U3625" s="28"/>
      <c r="V3625" s="28">
        <v>1402991000</v>
      </c>
      <c r="W3625" s="28">
        <v>4971219000</v>
      </c>
      <c r="X3625" s="28">
        <v>2199488000</v>
      </c>
      <c r="Y3625" s="28">
        <v>51274427000</v>
      </c>
      <c r="Z3625" s="28">
        <v>10517589000</v>
      </c>
      <c r="AA3625" s="28">
        <v>31417237000</v>
      </c>
      <c r="AB3625" s="28">
        <v>7957000</v>
      </c>
      <c r="AC3625" s="28">
        <v>1604862000</v>
      </c>
      <c r="AD3625" s="28">
        <v>10860126000</v>
      </c>
      <c r="AE3625" s="28">
        <v>5225646000</v>
      </c>
      <c r="AF3625" s="28">
        <v>-280659000</v>
      </c>
      <c r="AG3625" s="11"/>
    </row>
    <row r="3626">
      <c r="A3626" s="7" t="s">
        <v>5289</v>
      </c>
      <c r="B3626" s="5" t="s">
        <v>13253</v>
      </c>
      <c r="C3626" s="5" t="s">
        <v>21051</v>
      </c>
      <c r="D3626" s="5" t="str">
        <v>263505691006</v>
      </c>
      <c r="E3626" s="0" t="e">
        <f>+7 (800) 2503388
+7 (8652) 226868
+7 (8652) 233311
+7 (962) 4460879</f>
        <v>#NAME?</v>
      </c>
      <c r="F3626" s="5" t="s">
        <v>36239</v>
      </c>
      <c r="G3626" s="5" t="s">
        <v>36240</v>
      </c>
      <c r="H3626" s="26">
        <v>10.5</v>
      </c>
      <c r="I3626" s="5" t="s">
        <v>36241</v>
      </c>
      <c r="J3626" s="5" t="s">
        <v>33774</v>
      </c>
      <c r="K3626" s="5" t="s">
        <v>344</v>
      </c>
      <c r="L3626" s="5" t="s">
        <v>36242</v>
      </c>
      <c r="M3626" s="27"/>
      <c r="N3626" s="5"/>
      <c r="O3626" s="5" t="str">
        <v>2635813531</v>
      </c>
      <c r="P3626" s="27">
        <v>2000000</v>
      </c>
      <c r="Q3626" s="5" t="s">
        <v>54923</v>
      </c>
      <c r="R3626" s="5"/>
      <c r="S3626" s="5" t="s">
        <v>54924</v>
      </c>
      <c r="T3626" s="28">
        <v>38536000</v>
      </c>
      <c r="U3626" s="28">
        <v>364400000</v>
      </c>
      <c r="V3626" s="28">
        <v>570010000</v>
      </c>
      <c r="W3626" s="28">
        <v>2470000</v>
      </c>
      <c r="X3626" s="28">
        <v>405055000</v>
      </c>
      <c r="Y3626" s="28">
        <v>1535167000</v>
      </c>
      <c r="Z3626" s="28">
        <v>875125000</v>
      </c>
      <c r="AA3626" s="28">
        <v>9964000</v>
      </c>
      <c r="AB3626" s="28">
        <v>15000</v>
      </c>
      <c r="AC3626" s="28">
        <v>630357000</v>
      </c>
      <c r="AD3626" s="28">
        <v>887013000</v>
      </c>
      <c r="AE3626" s="28">
        <v>4004663000</v>
      </c>
      <c r="AF3626" s="28">
        <v>444060000</v>
      </c>
      <c r="AG3626" s="11"/>
    </row>
    <row r="3627">
      <c r="A3627" s="7" t="s">
        <v>5289</v>
      </c>
      <c r="B3627" s="5" t="s">
        <v>13254</v>
      </c>
      <c r="C3627" s="5" t="s">
        <v>21052</v>
      </c>
      <c r="D3627" s="5" t="str">
        <v>615429313450</v>
      </c>
      <c r="E3627" s="0" t="e">
        <f>+7 (863) 4332206
+7 (904) 4489998</f>
        <v>#NAME?</v>
      </c>
      <c r="F3627" s="5"/>
      <c r="G3627" s="5"/>
      <c r="H3627" s="26">
        <v>10.5</v>
      </c>
      <c r="I3627" s="5" t="s">
        <v>36243</v>
      </c>
      <c r="J3627" s="5" t="s">
        <v>773</v>
      </c>
      <c r="K3627" s="5" t="s">
        <v>344</v>
      </c>
      <c r="L3627" s="5" t="s">
        <v>36244</v>
      </c>
      <c r="M3627" s="27"/>
      <c r="N3627" s="5"/>
      <c r="O3627" s="5" t="str">
        <v>6154125635</v>
      </c>
      <c r="P3627" s="27">
        <v>2000000</v>
      </c>
      <c r="Q3627" s="5" t="s">
        <v>54925</v>
      </c>
      <c r="R3627" s="5"/>
      <c r="S3627" s="5" t="s">
        <v>51755</v>
      </c>
      <c r="T3627" s="28">
        <v>309075000</v>
      </c>
      <c r="U3627" s="28"/>
      <c r="V3627" s="28">
        <v>670855000</v>
      </c>
      <c r="W3627" s="28">
        <v>246000000</v>
      </c>
      <c r="X3627" s="28">
        <v>64863000</v>
      </c>
      <c r="Y3627" s="28">
        <v>2265147000</v>
      </c>
      <c r="Z3627" s="28">
        <v>930887000</v>
      </c>
      <c r="AA3627" s="28">
        <v>650330000</v>
      </c>
      <c r="AB3627" s="28">
        <v>12450000</v>
      </c>
      <c r="AC3627" s="28">
        <v>595150000</v>
      </c>
      <c r="AD3627" s="28">
        <v>932887000</v>
      </c>
      <c r="AE3627" s="28">
        <v>5287766000</v>
      </c>
      <c r="AF3627" s="28">
        <v>574004000</v>
      </c>
      <c r="AG3627" s="11"/>
    </row>
    <row r="3628">
      <c r="A3628" s="7" t="s">
        <v>5290</v>
      </c>
      <c r="B3628" s="5" t="s">
        <v>13254</v>
      </c>
      <c r="C3628" s="5" t="s">
        <v>21051</v>
      </c>
      <c r="D3628" s="5" t="str">
        <v>263505691006</v>
      </c>
      <c r="E3628" s="0" t="e">
        <f>+7 (8652) 991210</f>
        <v>#NAME?</v>
      </c>
      <c r="F3628" s="5" t="s">
        <v>36245</v>
      </c>
      <c r="G3628" s="5" t="s">
        <v>36246</v>
      </c>
      <c r="H3628" s="26">
        <v>10</v>
      </c>
      <c r="I3628" s="5" t="s">
        <v>36247</v>
      </c>
      <c r="J3628" s="5" t="s">
        <v>641</v>
      </c>
      <c r="K3628" s="5" t="s">
        <v>344</v>
      </c>
      <c r="L3628" s="5" t="s">
        <v>36248</v>
      </c>
      <c r="M3628" s="27">
        <v>26660985</v>
      </c>
      <c r="N3628" s="5" t="s">
        <v>54926</v>
      </c>
      <c r="O3628" s="5" t="str">
        <v>2635819741</v>
      </c>
      <c r="P3628" s="27">
        <v>3000000</v>
      </c>
      <c r="Q3628" s="5" t="s">
        <v>54927</v>
      </c>
      <c r="R3628" s="5"/>
      <c r="S3628" s="5" t="s">
        <v>49162</v>
      </c>
      <c r="T3628" s="28">
        <v>16252000</v>
      </c>
      <c r="U3628" s="28"/>
      <c r="V3628" s="28">
        <v>656312000</v>
      </c>
      <c r="W3628" s="28"/>
      <c r="X3628" s="28">
        <v>47689000</v>
      </c>
      <c r="Y3628" s="28">
        <v>947952000</v>
      </c>
      <c r="Z3628" s="28">
        <v>293087000</v>
      </c>
      <c r="AA3628" s="28"/>
      <c r="AB3628" s="28"/>
      <c r="AC3628" s="28">
        <v>650333000</v>
      </c>
      <c r="AD3628" s="28">
        <v>296087000</v>
      </c>
      <c r="AE3628" s="28">
        <v>3291243000</v>
      </c>
      <c r="AF3628" s="28">
        <v>169056000</v>
      </c>
      <c r="AG3628" s="11"/>
    </row>
    <row r="3629">
      <c r="A3629" s="7" t="s">
        <v>5291</v>
      </c>
      <c r="B3629" s="5" t="s">
        <v>13255</v>
      </c>
      <c r="C3629" s="5" t="s">
        <v>21053</v>
      </c>
      <c r="D3629" s="5" t="str">
        <v>645054950546</v>
      </c>
      <c r="E3629" s="0" t="e">
        <f>+7 (8452) 392000
+7 (800) 5503259
+7 (800) 7751005
+7 (8452) 201111
+7 (8452) 208600</f>
        <v>#NAME?</v>
      </c>
      <c r="F3629" s="5" t="s">
        <v>36249</v>
      </c>
      <c r="G3629" s="5" t="s">
        <v>36250</v>
      </c>
      <c r="H3629" s="26">
        <v>24</v>
      </c>
      <c r="I3629" s="5" t="s">
        <v>36251</v>
      </c>
      <c r="J3629" s="5" t="s">
        <v>26918</v>
      </c>
      <c r="K3629" s="5" t="s">
        <v>344</v>
      </c>
      <c r="L3629" s="5" t="s">
        <v>36252</v>
      </c>
      <c r="M3629" s="27">
        <v>1294332</v>
      </c>
      <c r="N3629" s="5" t="s">
        <v>54928</v>
      </c>
      <c r="O3629" s="5" t="str">
        <v>6450037837</v>
      </c>
      <c r="P3629" s="27">
        <v>42222740</v>
      </c>
      <c r="Q3629" s="5" t="s">
        <v>49021</v>
      </c>
      <c r="R3629" s="5"/>
      <c r="S3629" s="5" t="s">
        <v>54929</v>
      </c>
      <c r="T3629" s="28">
        <v>339695000</v>
      </c>
      <c r="U3629" s="28">
        <v>34954000</v>
      </c>
      <c r="V3629" s="28">
        <v>873075000</v>
      </c>
      <c r="W3629" s="28">
        <v>219139000</v>
      </c>
      <c r="X3629" s="28">
        <v>54990000</v>
      </c>
      <c r="Y3629" s="28">
        <v>2616798000</v>
      </c>
      <c r="Z3629" s="28">
        <v>1447815000</v>
      </c>
      <c r="AA3629" s="28"/>
      <c r="AB3629" s="28">
        <v>176800000</v>
      </c>
      <c r="AC3629" s="28">
        <v>1117835000</v>
      </c>
      <c r="AD3629" s="28">
        <v>1490038000</v>
      </c>
      <c r="AE3629" s="28">
        <v>6761372000</v>
      </c>
      <c r="AF3629" s="28">
        <v>291035000</v>
      </c>
      <c r="AG3629" s="11"/>
    </row>
    <row r="3630">
      <c r="A3630" s="7" t="s">
        <v>5292</v>
      </c>
      <c r="B3630" s="5" t="s">
        <v>13256</v>
      </c>
      <c r="C3630" s="5" t="s">
        <v>21053</v>
      </c>
      <c r="D3630" s="5" t="str">
        <v>645054950546</v>
      </c>
      <c r="E3630" s="0" t="e">
        <f>+7 (861) 2604003</f>
        <v>#NAME?</v>
      </c>
      <c r="F3630" s="5" t="s">
        <v>36253</v>
      </c>
      <c r="G3630" s="5" t="s">
        <v>36250</v>
      </c>
      <c r="H3630" s="26">
        <v>22.5</v>
      </c>
      <c r="I3630" s="5" t="s">
        <v>36254</v>
      </c>
      <c r="J3630" s="5" t="s">
        <v>26918</v>
      </c>
      <c r="K3630" s="5" t="s">
        <v>344</v>
      </c>
      <c r="L3630" s="5" t="s">
        <v>36255</v>
      </c>
      <c r="M3630" s="27">
        <v>131329</v>
      </c>
      <c r="N3630" s="5" t="s">
        <v>54930</v>
      </c>
      <c r="O3630" s="5" t="str">
        <v>2312084602</v>
      </c>
      <c r="P3630" s="27">
        <v>69741395</v>
      </c>
      <c r="Q3630" s="5" t="s">
        <v>54931</v>
      </c>
      <c r="R3630" s="5"/>
      <c r="S3630" s="5" t="s">
        <v>54932</v>
      </c>
      <c r="T3630" s="28">
        <v>361086000</v>
      </c>
      <c r="U3630" s="28">
        <v>15013000</v>
      </c>
      <c r="V3630" s="28">
        <v>601624000</v>
      </c>
      <c r="W3630" s="28">
        <v>147987000</v>
      </c>
      <c r="X3630" s="28">
        <v>57646000</v>
      </c>
      <c r="Y3630" s="28">
        <v>2125327000</v>
      </c>
      <c r="Z3630" s="28">
        <v>1065360000</v>
      </c>
      <c r="AA3630" s="28"/>
      <c r="AB3630" s="28">
        <v>215220000</v>
      </c>
      <c r="AC3630" s="28">
        <v>989803000</v>
      </c>
      <c r="AD3630" s="28">
        <v>1135101000</v>
      </c>
      <c r="AE3630" s="28">
        <v>6569201000</v>
      </c>
      <c r="AF3630" s="28">
        <v>389812000</v>
      </c>
      <c r="AG3630" s="11"/>
    </row>
    <row r="3631">
      <c r="A3631" s="7" t="s">
        <v>5293</v>
      </c>
      <c r="B3631" s="5" t="s">
        <v>13257</v>
      </c>
      <c r="C3631" s="5" t="s">
        <v>21054</v>
      </c>
      <c r="D3631" s="5" t="str">
        <v>253603714110</v>
      </c>
      <c r="E3631" s="0" t="e">
        <f>+7 (499) 5790333</f>
        <v>#NAME?</v>
      </c>
      <c r="F3631" s="5" t="s">
        <v>36256</v>
      </c>
      <c r="G3631" s="5" t="s">
        <v>36257</v>
      </c>
      <c r="H3631" s="26">
        <v>10.5</v>
      </c>
      <c r="I3631" s="5" t="s">
        <v>36258</v>
      </c>
      <c r="J3631" s="5" t="s">
        <v>25429</v>
      </c>
      <c r="K3631" s="5" t="s">
        <v>344</v>
      </c>
      <c r="L3631" s="5" t="s">
        <v>36259</v>
      </c>
      <c r="M3631" s="27"/>
      <c r="N3631" s="5" t="s">
        <v>54933</v>
      </c>
      <c r="O3631" s="5" t="str">
        <v>7715920425</v>
      </c>
      <c r="P3631" s="27">
        <v>20000</v>
      </c>
      <c r="Q3631" s="5" t="s">
        <v>54934</v>
      </c>
      <c r="R3631" s="5"/>
      <c r="S3631" s="5" t="s">
        <v>54935</v>
      </c>
      <c r="T3631" s="28">
        <v>62542000</v>
      </c>
      <c r="U3631" s="28">
        <v>1350000</v>
      </c>
      <c r="V3631" s="28">
        <v>312473000</v>
      </c>
      <c r="W3631" s="28"/>
      <c r="X3631" s="28">
        <v>572813000</v>
      </c>
      <c r="Y3631" s="28">
        <v>1332386000</v>
      </c>
      <c r="Z3631" s="28">
        <v>615499000</v>
      </c>
      <c r="AA3631" s="28"/>
      <c r="AB3631" s="28"/>
      <c r="AC3631" s="28">
        <v>676867000</v>
      </c>
      <c r="AD3631" s="28">
        <v>615591000</v>
      </c>
      <c r="AE3631" s="28">
        <v>3248392000</v>
      </c>
      <c r="AF3631" s="28">
        <v>862455000</v>
      </c>
      <c r="AG3631" s="11"/>
    </row>
    <row r="3632">
      <c r="A3632" s="7" t="s">
        <v>5294</v>
      </c>
      <c r="B3632" s="5" t="s">
        <v>13258</v>
      </c>
      <c r="C3632" s="5" t="s">
        <v>21055</v>
      </c>
      <c r="D3632" s="5" t="str">
        <v>771400459612</v>
      </c>
      <c r="E3632" s="0" t="e">
        <f>+7 (473) 2632168
+7 (473) 2634774
+7 (495) 9373374
+7 (8452) 723880
+7 (861) 2324415
+7 (343) 2959117
+7 (343) 2959878
+7 (3472) 925349
+7 (495) 3630927
+7 (495) 5141519
+7 (495) 5762521
+7 (495) 9809783
+7 (83143) 97642
+7 (844) 2955662
+7 (846) 2072882</f>
        <v>#NAME?</v>
      </c>
      <c r="F3632" s="5" t="s">
        <v>36260</v>
      </c>
      <c r="G3632" s="5" t="s">
        <v>36261</v>
      </c>
      <c r="H3632" s="26">
        <v>26</v>
      </c>
      <c r="I3632" s="5" t="s">
        <v>36262</v>
      </c>
      <c r="J3632" s="5" t="s">
        <v>678</v>
      </c>
      <c r="K3632" s="5" t="s">
        <v>344</v>
      </c>
      <c r="L3632" s="5" t="s">
        <v>36263</v>
      </c>
      <c r="M3632" s="27">
        <v>60465</v>
      </c>
      <c r="N3632" s="5" t="s">
        <v>54936</v>
      </c>
      <c r="O3632" s="5" t="str">
        <v>7707133576</v>
      </c>
      <c r="P3632" s="27">
        <v>192000000</v>
      </c>
      <c r="Q3632" s="5" t="s">
        <v>49009</v>
      </c>
      <c r="R3632" s="5"/>
      <c r="S3632" s="5" t="s">
        <v>49012</v>
      </c>
      <c r="T3632" s="28">
        <v>97827000</v>
      </c>
      <c r="U3632" s="28">
        <v>55000000</v>
      </c>
      <c r="V3632" s="28">
        <v>419092000</v>
      </c>
      <c r="W3632" s="28">
        <v>8655000</v>
      </c>
      <c r="X3632" s="28">
        <v>62097000</v>
      </c>
      <c r="Y3632" s="28">
        <v>1076221000</v>
      </c>
      <c r="Z3632" s="28">
        <v>103110000</v>
      </c>
      <c r="AA3632" s="28"/>
      <c r="AB3632" s="28">
        <v>281538000</v>
      </c>
      <c r="AC3632" s="28">
        <v>760436000</v>
      </c>
      <c r="AD3632" s="28">
        <v>295110000</v>
      </c>
      <c r="AE3632" s="28">
        <v>3652732000</v>
      </c>
      <c r="AF3632" s="28">
        <v>12480000</v>
      </c>
      <c r="AG3632" s="11"/>
    </row>
    <row r="3633">
      <c r="A3633" s="7" t="s">
        <v>5295</v>
      </c>
      <c r="B3633" s="5" t="s">
        <v>13259</v>
      </c>
      <c r="C3633" s="5" t="s">
        <v>21056</v>
      </c>
      <c r="D3633" s="5" t="str">
        <v>771888503170</v>
      </c>
      <c r="E3633" s="0" t="e">
        <f>+7 (495) 7455154
+7 (495) 7455155
+7 (964) 7219290</f>
        <v>#NAME?</v>
      </c>
      <c r="F3633" s="5" t="s">
        <v>36264</v>
      </c>
      <c r="G3633" s="5" t="s">
        <v>36265</v>
      </c>
      <c r="H3633" s="26">
        <v>13</v>
      </c>
      <c r="I3633" s="5" t="s">
        <v>36266</v>
      </c>
      <c r="J3633" s="5" t="s">
        <v>26367</v>
      </c>
      <c r="K3633" s="5" t="s">
        <v>344</v>
      </c>
      <c r="L3633" s="5" t="s">
        <v>36267</v>
      </c>
      <c r="M3633" s="27"/>
      <c r="N3633" s="5"/>
      <c r="O3633" s="5" t="str">
        <v>7718803832</v>
      </c>
      <c r="P3633" s="27">
        <v>11136364</v>
      </c>
      <c r="Q3633" s="5" t="s">
        <v>49009</v>
      </c>
      <c r="R3633" s="5"/>
      <c r="S3633" s="5" t="s">
        <v>49010</v>
      </c>
      <c r="T3633" s="28">
        <v>325579000</v>
      </c>
      <c r="U3633" s="28">
        <v>406063000</v>
      </c>
      <c r="V3633" s="28">
        <v>1981433000</v>
      </c>
      <c r="W3633" s="28">
        <v>1661943000</v>
      </c>
      <c r="X3633" s="28">
        <v>25531000</v>
      </c>
      <c r="Y3633" s="28">
        <v>5825390000</v>
      </c>
      <c r="Z3633" s="28">
        <v>3911962000</v>
      </c>
      <c r="AA3633" s="28"/>
      <c r="AB3633" s="28">
        <v>1104000000</v>
      </c>
      <c r="AC3633" s="28">
        <v>1746962000</v>
      </c>
      <c r="AD3633" s="28">
        <v>3923099000</v>
      </c>
      <c r="AE3633" s="28">
        <v>8565820000</v>
      </c>
      <c r="AF3633" s="28">
        <v>1389600000</v>
      </c>
      <c r="AG3633" s="11"/>
    </row>
    <row r="3634">
      <c r="A3634" s="7" t="s">
        <v>5296</v>
      </c>
      <c r="B3634" s="5" t="s">
        <v>13260</v>
      </c>
      <c r="C3634" s="5" t="s">
        <v>21057</v>
      </c>
      <c r="D3634" s="5" t="str">
        <v>505004046136</v>
      </c>
      <c r="E3634" s="0" t="e">
        <f>+7 (495) 2218744
+7 (495) 2218755
+7 (495) 7417774
+7 (495) 7417888
+7 (495) 7417999
+7 (800) 5055291</f>
        <v>#NAME?</v>
      </c>
      <c r="F3634" s="5" t="s">
        <v>36268</v>
      </c>
      <c r="G3634" s="5" t="s">
        <v>36269</v>
      </c>
      <c r="H3634" s="26">
        <v>16</v>
      </c>
      <c r="I3634" s="5" t="s">
        <v>36270</v>
      </c>
      <c r="J3634" s="5" t="s">
        <v>32951</v>
      </c>
      <c r="K3634" s="5" t="s">
        <v>344</v>
      </c>
      <c r="L3634" s="5" t="s">
        <v>36271</v>
      </c>
      <c r="M3634" s="27"/>
      <c r="N3634" s="5"/>
      <c r="O3634" s="5" t="str">
        <v>7729569817</v>
      </c>
      <c r="P3634" s="27">
        <v>10000</v>
      </c>
      <c r="Q3634" s="5" t="s">
        <v>49009</v>
      </c>
      <c r="R3634" s="5"/>
      <c r="S3634" s="5" t="s">
        <v>49066</v>
      </c>
      <c r="T3634" s="28">
        <v>2303499000</v>
      </c>
      <c r="U3634" s="28">
        <v>39498000</v>
      </c>
      <c r="V3634" s="28">
        <v>1492333000</v>
      </c>
      <c r="W3634" s="28">
        <v>980000000</v>
      </c>
      <c r="X3634" s="28">
        <v>77169000</v>
      </c>
      <c r="Y3634" s="28">
        <v>6364544000</v>
      </c>
      <c r="Z3634" s="28">
        <v>3854766000</v>
      </c>
      <c r="AA3634" s="28">
        <v>1030480000</v>
      </c>
      <c r="AB3634" s="28">
        <v>444169000</v>
      </c>
      <c r="AC3634" s="28">
        <v>1336167000</v>
      </c>
      <c r="AD3634" s="28">
        <v>3854776000</v>
      </c>
      <c r="AE3634" s="28">
        <v>9028010000</v>
      </c>
      <c r="AF3634" s="28">
        <v>920503000</v>
      </c>
      <c r="AG3634" s="11"/>
    </row>
    <row r="3635">
      <c r="A3635" s="7" t="s">
        <v>5297</v>
      </c>
      <c r="B3635" s="5" t="s">
        <v>13261</v>
      </c>
      <c r="C3635" s="5" t="s">
        <v>21058</v>
      </c>
      <c r="D3635" s="5" t="str">
        <v>771201314041</v>
      </c>
      <c r="E3635" s="0" t="e">
        <f>+7 (385) 2675466
+7 (385) 2778599</f>
        <v>#NAME?</v>
      </c>
      <c r="F3635" s="5" t="s">
        <v>36272</v>
      </c>
      <c r="G3635" s="5" t="s">
        <v>36273</v>
      </c>
      <c r="H3635" s="26">
        <v>5</v>
      </c>
      <c r="I3635" s="5" t="s">
        <v>36274</v>
      </c>
      <c r="J3635" s="5" t="s">
        <v>25371</v>
      </c>
      <c r="K3635" s="5" t="s">
        <v>344</v>
      </c>
      <c r="L3635" s="5" t="s">
        <v>36275</v>
      </c>
      <c r="M3635" s="27"/>
      <c r="N3635" s="5" t="s">
        <v>54937</v>
      </c>
      <c r="O3635" s="5" t="str">
        <v>2223623683</v>
      </c>
      <c r="P3635" s="27">
        <v>390010000</v>
      </c>
      <c r="Q3635" s="5" t="s">
        <v>49009</v>
      </c>
      <c r="R3635" s="5"/>
      <c r="S3635" s="5" t="s">
        <v>49093</v>
      </c>
      <c r="T3635" s="28">
        <v>603284000</v>
      </c>
      <c r="U3635" s="28">
        <v>1078526000</v>
      </c>
      <c r="V3635" s="28">
        <v>382553000</v>
      </c>
      <c r="W3635" s="28">
        <v>104000000</v>
      </c>
      <c r="X3635" s="28">
        <v>42193000</v>
      </c>
      <c r="Y3635" s="28">
        <v>3050076000</v>
      </c>
      <c r="Z3635" s="28">
        <v>1118837000</v>
      </c>
      <c r="AA3635" s="28">
        <v>252400000</v>
      </c>
      <c r="AB3635" s="28">
        <v>622870000</v>
      </c>
      <c r="AC3635" s="28">
        <v>1159484000</v>
      </c>
      <c r="AD3635" s="28">
        <v>1509237000</v>
      </c>
      <c r="AE3635" s="28">
        <v>3206415000</v>
      </c>
      <c r="AF3635" s="28">
        <v>380284000</v>
      </c>
      <c r="AG3635" s="11"/>
    </row>
    <row r="3636">
      <c r="A3636" s="7" t="s">
        <v>5298</v>
      </c>
      <c r="B3636" s="5" t="s">
        <v>13262</v>
      </c>
      <c r="C3636" s="5" t="s">
        <v>20635</v>
      </c>
      <c r="D3636" s="5"/>
      <c r="E3636" s="0" t="e">
        <f>+7 (47148) 94127
+7 (47148) 94506
+7 (47148) 94615
+7 (471) 4824930
+7 (471) 4898144
+7 (47148) 22814
+7 (47148) 46496
+7 (47148) 91209
+7 (47148) 94005
+7 (47148) 94104
+7 (47148) 94105
+7 (47148) 94260
+7 (47148) 94534
+7 (495) 9815555</f>
        <v>#NAME?</v>
      </c>
      <c r="F3636" s="5" t="s">
        <v>36276</v>
      </c>
      <c r="G3636" s="5" t="s">
        <v>36069</v>
      </c>
      <c r="H3636" s="26">
        <v>30</v>
      </c>
      <c r="I3636" s="5"/>
      <c r="J3636" s="5" t="s">
        <v>31501</v>
      </c>
      <c r="K3636" s="5" t="s">
        <v>344</v>
      </c>
      <c r="L3636" s="5" t="s">
        <v>36277</v>
      </c>
      <c r="M3636" s="27">
        <v>25151444</v>
      </c>
      <c r="N3636" s="5" t="s">
        <v>54938</v>
      </c>
      <c r="O3636" s="5" t="str">
        <v>4633001577</v>
      </c>
      <c r="P3636" s="27">
        <v>1780000</v>
      </c>
      <c r="Q3636" s="5" t="s">
        <v>49057</v>
      </c>
      <c r="R3636" s="5"/>
      <c r="S3636" s="5" t="s">
        <v>54939</v>
      </c>
      <c r="T3636" s="28">
        <v>48557931000</v>
      </c>
      <c r="U3636" s="28">
        <v>57203950000</v>
      </c>
      <c r="V3636" s="28">
        <v>12847565000</v>
      </c>
      <c r="W3636" s="28">
        <v>60311224000</v>
      </c>
      <c r="X3636" s="28">
        <v>2976090000</v>
      </c>
      <c r="Y3636" s="28">
        <v>193239705000</v>
      </c>
      <c r="Z3636" s="28">
        <v>122442788000</v>
      </c>
      <c r="AA3636" s="28">
        <v>46097250000</v>
      </c>
      <c r="AB3636" s="28">
        <v>5026204000</v>
      </c>
      <c r="AC3636" s="28">
        <v>19482236000</v>
      </c>
      <c r="AD3636" s="28">
        <v>125417393000</v>
      </c>
      <c r="AE3636" s="28">
        <v>126788588000</v>
      </c>
      <c r="AF3636" s="28">
        <v>48747692000</v>
      </c>
      <c r="AG3636" s="11"/>
    </row>
    <row r="3637">
      <c r="A3637" s="7" t="s">
        <v>5299</v>
      </c>
      <c r="B3637" s="5" t="s">
        <v>13263</v>
      </c>
      <c r="C3637" s="5" t="s">
        <v>21059</v>
      </c>
      <c r="D3637" s="5" t="str">
        <v>026700216802</v>
      </c>
      <c r="E3637" s="0" t="e">
        <f>+7 (35142) 31002
+7 (909) 889453
+7 (343) 3652900
+7 (343) 3652939
+7 (351) 2115781
+7 (35142) 21002
+7 (35142) 21181
+7 (35142) 21619
+7 (35142) 21652
+7 (35142) 22687
+7 (35142) 22714
+7 (35142) 31024
+7 (35142) 31047
+7 (35142) 31048</f>
        <v>#NAME?</v>
      </c>
      <c r="F3637" s="5" t="s">
        <v>36278</v>
      </c>
      <c r="G3637" s="5" t="s">
        <v>36279</v>
      </c>
      <c r="H3637" s="26">
        <v>20</v>
      </c>
      <c r="I3637" s="5" t="s">
        <v>36280</v>
      </c>
      <c r="J3637" s="5" t="s">
        <v>27791</v>
      </c>
      <c r="K3637" s="5" t="s">
        <v>344</v>
      </c>
      <c r="L3637" s="5" t="s">
        <v>36281</v>
      </c>
      <c r="M3637" s="27"/>
      <c r="N3637" s="5"/>
      <c r="O3637" s="5" t="str">
        <v>7428007317</v>
      </c>
      <c r="P3637" s="27">
        <v>102000</v>
      </c>
      <c r="Q3637" s="5" t="s">
        <v>49009</v>
      </c>
      <c r="R3637" s="5"/>
      <c r="S3637" s="5" t="s">
        <v>49010</v>
      </c>
      <c r="T3637" s="28">
        <v>25140406000</v>
      </c>
      <c r="U3637" s="28">
        <v>20601643000</v>
      </c>
      <c r="V3637" s="28">
        <v>19087637000</v>
      </c>
      <c r="W3637" s="28">
        <v>6373958000</v>
      </c>
      <c r="X3637" s="28">
        <v>5843000</v>
      </c>
      <c r="Y3637" s="28">
        <v>77464152000</v>
      </c>
      <c r="Z3637" s="28">
        <v>22419674000</v>
      </c>
      <c r="AA3637" s="28">
        <v>20902197000</v>
      </c>
      <c r="AB3637" s="28">
        <v>14587752000</v>
      </c>
      <c r="AC3637" s="28">
        <v>26968505000</v>
      </c>
      <c r="AD3637" s="28">
        <v>22545791000</v>
      </c>
      <c r="AE3637" s="28">
        <v>35537545000</v>
      </c>
      <c r="AF3637" s="28">
        <v>5948987000</v>
      </c>
      <c r="AG3637" s="11"/>
    </row>
    <row r="3638">
      <c r="A3638" s="7" t="s">
        <v>5300</v>
      </c>
      <c r="B3638" s="5" t="s">
        <v>13264</v>
      </c>
      <c r="C3638" s="5" t="s">
        <v>21060</v>
      </c>
      <c r="D3638" s="5" t="str">
        <v>773183001872</v>
      </c>
      <c r="E3638" s="0" t="e">
        <f>+7 (495) 7872030
+7 (495) 7872076
+7 (495) 9679672</f>
        <v>#NAME?</v>
      </c>
      <c r="F3638" s="5"/>
      <c r="G3638" s="5" t="s">
        <v>36282</v>
      </c>
      <c r="H3638" s="26">
        <v>15</v>
      </c>
      <c r="I3638" s="5" t="s">
        <v>36283</v>
      </c>
      <c r="J3638" s="5" t="s">
        <v>26229</v>
      </c>
      <c r="K3638" s="5" t="s">
        <v>344</v>
      </c>
      <c r="L3638" s="5" t="s">
        <v>36284</v>
      </c>
      <c r="M3638" s="27"/>
      <c r="N3638" s="5"/>
      <c r="O3638" s="5" t="str">
        <v>7710698978</v>
      </c>
      <c r="P3638" s="27">
        <v>6000000</v>
      </c>
      <c r="Q3638" s="5"/>
      <c r="R3638" s="5"/>
      <c r="S3638" s="5" t="s">
        <v>49029</v>
      </c>
      <c r="T3638" s="28">
        <v>4218000</v>
      </c>
      <c r="U3638" s="28"/>
      <c r="V3638" s="28">
        <v>39076000</v>
      </c>
      <c r="W3638" s="28"/>
      <c r="X3638" s="28">
        <v>4894960000</v>
      </c>
      <c r="Y3638" s="28">
        <v>5048263000</v>
      </c>
      <c r="Z3638" s="28">
        <v>4578040000</v>
      </c>
      <c r="AA3638" s="28"/>
      <c r="AB3638" s="28"/>
      <c r="AC3638" s="28">
        <v>329855000</v>
      </c>
      <c r="AD3638" s="28">
        <v>4592540000</v>
      </c>
      <c r="AE3638" s="28">
        <v>11767008000</v>
      </c>
      <c r="AF3638" s="28">
        <v>1476633000</v>
      </c>
      <c r="AG3638" s="11"/>
    </row>
    <row r="3639">
      <c r="A3639" s="7" t="s">
        <v>5301</v>
      </c>
      <c r="B3639" s="5" t="s">
        <v>13265</v>
      </c>
      <c r="C3639" s="5" t="s">
        <v>21061</v>
      </c>
      <c r="D3639" s="5" t="str">
        <v>772316832242</v>
      </c>
      <c r="E3639" s="0" t="e">
        <f>+7 (485) 2231251
+7 (495) 5103606
+7 (495) 5582058
+7 (800) 3503606
+7 (812) 3313606</f>
        <v>#NAME?</v>
      </c>
      <c r="F3639" s="5" t="s">
        <v>36285</v>
      </c>
      <c r="G3639" s="5" t="s">
        <v>36286</v>
      </c>
      <c r="H3639" s="26">
        <v>12.5</v>
      </c>
      <c r="I3639" s="5" t="s">
        <v>36287</v>
      </c>
      <c r="J3639" s="5" t="s">
        <v>678</v>
      </c>
      <c r="K3639" s="5" t="s">
        <v>344</v>
      </c>
      <c r="L3639" s="5" t="s">
        <v>36288</v>
      </c>
      <c r="M3639" s="27"/>
      <c r="N3639" s="5"/>
      <c r="O3639" s="5" t="str">
        <v>5018144813</v>
      </c>
      <c r="P3639" s="27">
        <v>10000</v>
      </c>
      <c r="Q3639" s="5" t="s">
        <v>49009</v>
      </c>
      <c r="R3639" s="5"/>
      <c r="S3639" s="5" t="s">
        <v>49045</v>
      </c>
      <c r="T3639" s="28">
        <v>578459000</v>
      </c>
      <c r="U3639" s="28"/>
      <c r="V3639" s="28">
        <v>2742159000</v>
      </c>
      <c r="W3639" s="28"/>
      <c r="X3639" s="28">
        <v>91761000</v>
      </c>
      <c r="Y3639" s="28">
        <v>5260098000</v>
      </c>
      <c r="Z3639" s="28">
        <v>3132981000</v>
      </c>
      <c r="AA3639" s="28">
        <v>893100000</v>
      </c>
      <c r="AB3639" s="28">
        <v>300000000</v>
      </c>
      <c r="AC3639" s="28">
        <v>1229625000</v>
      </c>
      <c r="AD3639" s="28">
        <v>3132991000</v>
      </c>
      <c r="AE3639" s="28">
        <v>11121170000</v>
      </c>
      <c r="AF3639" s="28">
        <v>405803000</v>
      </c>
      <c r="AG3639" s="11"/>
    </row>
    <row r="3640">
      <c r="A3640" s="7" t="s">
        <v>5302</v>
      </c>
      <c r="B3640" s="5" t="s">
        <v>13266</v>
      </c>
      <c r="C3640" s="5" t="s">
        <v>21062</v>
      </c>
      <c r="D3640" s="5" t="str">
        <v>673005129702</v>
      </c>
      <c r="E3640" s="0" t="e">
        <f>+7 (495) 2580926
+7 (495) 2580986
+7 (485) 2580926
+7 (495) 2580927
+7 (495) 3580926
+7 (495) 9814612
+7 (49641) 73038
+7 (49641) 73261
+7 (49641) 75814
+7 (49641) 75999</f>
        <v>#NAME?</v>
      </c>
      <c r="F3640" s="5"/>
      <c r="G3640" s="5" t="s">
        <v>36289</v>
      </c>
      <c r="H3640" s="26">
        <v>22</v>
      </c>
      <c r="I3640" s="5" t="s">
        <v>36290</v>
      </c>
      <c r="J3640" s="5" t="s">
        <v>26281</v>
      </c>
      <c r="K3640" s="5" t="s">
        <v>344</v>
      </c>
      <c r="L3640" s="5" t="s">
        <v>36291</v>
      </c>
      <c r="M3640" s="27"/>
      <c r="N3640" s="5"/>
      <c r="O3640" s="5" t="str">
        <v>5073007462</v>
      </c>
      <c r="P3640" s="27">
        <v>6705818052</v>
      </c>
      <c r="Q3640" s="5" t="s">
        <v>49009</v>
      </c>
      <c r="R3640" s="5"/>
      <c r="S3640" s="5" t="s">
        <v>49066</v>
      </c>
      <c r="T3640" s="28">
        <v>3267901000</v>
      </c>
      <c r="U3640" s="28"/>
      <c r="V3640" s="28">
        <v>1004262000</v>
      </c>
      <c r="W3640" s="28"/>
      <c r="X3640" s="28">
        <v>5941701000</v>
      </c>
      <c r="Y3640" s="28">
        <v>12225360000</v>
      </c>
      <c r="Z3640" s="28">
        <v>3229776000</v>
      </c>
      <c r="AA3640" s="28"/>
      <c r="AB3640" s="28"/>
      <c r="AC3640" s="28">
        <v>2175322000</v>
      </c>
      <c r="AD3640" s="28">
        <v>9958889000</v>
      </c>
      <c r="AE3640" s="28">
        <v>14499287000</v>
      </c>
      <c r="AF3640" s="28">
        <v>5323769000</v>
      </c>
      <c r="AG3640" s="11"/>
    </row>
    <row r="3641">
      <c r="A3641" s="7" t="s">
        <v>5303</v>
      </c>
      <c r="B3641" s="5" t="s">
        <v>13267</v>
      </c>
      <c r="C3641" s="5" t="s">
        <v>21063</v>
      </c>
      <c r="D3641" s="5" t="str">
        <v>504507977267</v>
      </c>
      <c r="E3641" s="0" t="e">
        <f>+7 (495) 5654412
+7 (495) 7834381
+7 (903) 2649022</f>
        <v>#NAME?</v>
      </c>
      <c r="F3641" s="5" t="s">
        <v>36292</v>
      </c>
      <c r="G3641" s="5" t="s">
        <v>36293</v>
      </c>
      <c r="H3641" s="26">
        <v>7.5</v>
      </c>
      <c r="I3641" s="5" t="s">
        <v>36294</v>
      </c>
      <c r="J3641" s="5" t="s">
        <v>26959</v>
      </c>
      <c r="K3641" s="5" t="s">
        <v>344</v>
      </c>
      <c r="L3641" s="5" t="s">
        <v>36295</v>
      </c>
      <c r="M3641" s="27"/>
      <c r="N3641" s="5"/>
      <c r="O3641" s="5" t="str">
        <v>5045058440</v>
      </c>
      <c r="P3641" s="27">
        <v>18990</v>
      </c>
      <c r="Q3641" s="5"/>
      <c r="R3641" s="5"/>
      <c r="S3641" s="5" t="s">
        <v>49029</v>
      </c>
      <c r="T3641" s="28">
        <v>2156102000</v>
      </c>
      <c r="U3641" s="28"/>
      <c r="V3641" s="28">
        <v>1033610000</v>
      </c>
      <c r="W3641" s="28"/>
      <c r="X3641" s="28">
        <v>1726028000</v>
      </c>
      <c r="Y3641" s="28">
        <v>5393108000</v>
      </c>
      <c r="Z3641" s="28">
        <v>1453741000</v>
      </c>
      <c r="AA3641" s="28"/>
      <c r="AB3641" s="28"/>
      <c r="AC3641" s="28">
        <v>514331000</v>
      </c>
      <c r="AD3641" s="28">
        <v>4875409000</v>
      </c>
      <c r="AE3641" s="28">
        <v>4590675000</v>
      </c>
      <c r="AF3641" s="28">
        <v>676357000</v>
      </c>
      <c r="AG3641" s="11"/>
    </row>
    <row r="3642">
      <c r="A3642" s="7" t="s">
        <v>5304</v>
      </c>
      <c r="B3642" s="5" t="s">
        <v>13268</v>
      </c>
      <c r="C3642" s="5" t="s">
        <v>21064</v>
      </c>
      <c r="D3642" s="5" t="str">
        <v>422002182900</v>
      </c>
      <c r="E3642" s="0" t="e">
        <f>+7 (495) 6625465
+7 (492) 2260516
+7 (49232) 21320
+7 (49233) 22234
+7 (49234) 49926
+7 (49237) 21503
+7 (49241) 22591
+7 (49245) 22752
+7 (49246) 22414
+7 (495) 2317771
+7 (495) 5438947
+7 (495) 7300518
+7 (495) 7602701
+7 (495) 7754146
+7 (8313) 310199</f>
        <v>#NAME?</v>
      </c>
      <c r="F3642" s="5" t="s">
        <v>36296</v>
      </c>
      <c r="G3642" s="5"/>
      <c r="H3642" s="26">
        <v>12</v>
      </c>
      <c r="I3642" s="5" t="s">
        <v>36297</v>
      </c>
      <c r="J3642" s="5" t="s">
        <v>28875</v>
      </c>
      <c r="K3642" s="5" t="s">
        <v>344</v>
      </c>
      <c r="L3642" s="5" t="s">
        <v>36298</v>
      </c>
      <c r="M3642" s="27"/>
      <c r="N3642" s="5"/>
      <c r="O3642" s="5" t="str">
        <v>7705937571</v>
      </c>
      <c r="P3642" s="27">
        <v>200000</v>
      </c>
      <c r="Q3642" s="5" t="s">
        <v>49009</v>
      </c>
      <c r="R3642" s="5"/>
      <c r="S3642" s="5" t="s">
        <v>49093</v>
      </c>
      <c r="T3642" s="28">
        <v>431524000</v>
      </c>
      <c r="U3642" s="28"/>
      <c r="V3642" s="28">
        <v>1463439000</v>
      </c>
      <c r="W3642" s="28"/>
      <c r="X3642" s="28">
        <v>46862000</v>
      </c>
      <c r="Y3642" s="28">
        <v>3177159000</v>
      </c>
      <c r="Z3642" s="28">
        <v>772517000</v>
      </c>
      <c r="AA3642" s="28"/>
      <c r="AB3642" s="28">
        <v>2034875000</v>
      </c>
      <c r="AC3642" s="28">
        <v>2364167000</v>
      </c>
      <c r="AD3642" s="28">
        <v>772717000</v>
      </c>
      <c r="AE3642" s="28">
        <v>26610810000</v>
      </c>
      <c r="AF3642" s="28">
        <v>47409000</v>
      </c>
      <c r="AG3642" s="11"/>
    </row>
    <row r="3643">
      <c r="A3643" s="7" t="s">
        <v>5305</v>
      </c>
      <c r="B3643" s="5" t="s">
        <v>13269</v>
      </c>
      <c r="C3643" s="5" t="s">
        <v>21065</v>
      </c>
      <c r="D3643" s="5" t="str">
        <v>773412489936</v>
      </c>
      <c r="E3643" s="0" t="e">
        <f>+7 (495) 6171717
+7 (495) 2325562
+7 (495) 6170808
+7 (499) 3464806
+7 (499) 3503551
+7 (499) 4506755
+7 (800) 5339616
+7 (910) 8883930</f>
        <v>#NAME?</v>
      </c>
      <c r="F3643" s="5" t="s">
        <v>36299</v>
      </c>
      <c r="G3643" s="5"/>
      <c r="H3643" s="26">
        <v>5.5</v>
      </c>
      <c r="I3643" s="5" t="s">
        <v>36300</v>
      </c>
      <c r="J3643" s="5" t="s">
        <v>25337</v>
      </c>
      <c r="K3643" s="5" t="s">
        <v>344</v>
      </c>
      <c r="L3643" s="5" t="s">
        <v>36301</v>
      </c>
      <c r="M3643" s="27">
        <v>242412</v>
      </c>
      <c r="N3643" s="5" t="s">
        <v>54940</v>
      </c>
      <c r="O3643" s="5" t="str">
        <v>9715306480</v>
      </c>
      <c r="P3643" s="27">
        <v>10000000</v>
      </c>
      <c r="Q3643" s="5" t="s">
        <v>54941</v>
      </c>
      <c r="R3643" s="5"/>
      <c r="S3643" s="5" t="s">
        <v>54942</v>
      </c>
      <c r="T3643" s="28">
        <v>285198000</v>
      </c>
      <c r="U3643" s="28">
        <v>4513000</v>
      </c>
      <c r="V3643" s="28">
        <v>1391536000</v>
      </c>
      <c r="W3643" s="28">
        <v>5485000</v>
      </c>
      <c r="X3643" s="28">
        <v>19050000</v>
      </c>
      <c r="Y3643" s="28">
        <v>3598287000</v>
      </c>
      <c r="Z3643" s="28">
        <v>863146000</v>
      </c>
      <c r="AA3643" s="28"/>
      <c r="AB3643" s="28">
        <v>1063665000</v>
      </c>
      <c r="AC3643" s="28">
        <v>2685189000</v>
      </c>
      <c r="AD3643" s="28">
        <v>874019000</v>
      </c>
      <c r="AE3643" s="28">
        <v>8686476000</v>
      </c>
      <c r="AF3643" s="28">
        <v>345913000</v>
      </c>
      <c r="AG3643" s="11"/>
    </row>
    <row r="3644">
      <c r="A3644" s="7" t="s">
        <v>5306</v>
      </c>
      <c r="B3644" s="5" t="s">
        <v>13270</v>
      </c>
      <c r="C3644" s="5" t="s">
        <v>21066</v>
      </c>
      <c r="D3644" s="5" t="str">
        <v>222509864245</v>
      </c>
      <c r="E3644" s="0" t="e">
        <f>+7 (385) 5021937
+7 (38550) 21786
+7 (38550) 21896
+7 (38550) 22937
+7 (963) 5029221
+7 (983) 1829485</f>
        <v>#NAME?</v>
      </c>
      <c r="F3644" s="5" t="s">
        <v>36302</v>
      </c>
      <c r="G3644" s="5"/>
      <c r="H3644" s="26">
        <v>13.5</v>
      </c>
      <c r="I3644" s="5" t="s">
        <v>36303</v>
      </c>
      <c r="J3644" s="5" t="s">
        <v>32989</v>
      </c>
      <c r="K3644" s="5" t="s">
        <v>344</v>
      </c>
      <c r="L3644" s="5" t="s">
        <v>36304</v>
      </c>
      <c r="M3644" s="27"/>
      <c r="N3644" s="5"/>
      <c r="O3644" s="5" t="str">
        <v>2289000665</v>
      </c>
      <c r="P3644" s="27">
        <v>20000</v>
      </c>
      <c r="Q3644" s="5"/>
      <c r="R3644" s="5" t="s">
        <v>52973</v>
      </c>
      <c r="S3644" s="5" t="s">
        <v>49110</v>
      </c>
      <c r="T3644" s="28">
        <v>101224000</v>
      </c>
      <c r="U3644" s="28"/>
      <c r="V3644" s="28">
        <v>586122000</v>
      </c>
      <c r="W3644" s="28">
        <v>27480000</v>
      </c>
      <c r="X3644" s="28">
        <v>5642000</v>
      </c>
      <c r="Y3644" s="28">
        <v>2735062000</v>
      </c>
      <c r="Z3644" s="28">
        <v>355715000</v>
      </c>
      <c r="AA3644" s="28">
        <v>16000</v>
      </c>
      <c r="AB3644" s="28">
        <v>1085153000</v>
      </c>
      <c r="AC3644" s="28">
        <v>2254097000</v>
      </c>
      <c r="AD3644" s="28">
        <v>480949000</v>
      </c>
      <c r="AE3644" s="28">
        <v>5921545000</v>
      </c>
      <c r="AF3644" s="28">
        <v>182261000</v>
      </c>
      <c r="AG3644" s="11"/>
    </row>
    <row r="3645">
      <c r="A3645" s="7" t="s">
        <v>5307</v>
      </c>
      <c r="B3645" s="5" t="s">
        <v>13271</v>
      </c>
      <c r="C3645" s="5" t="s">
        <v>21067</v>
      </c>
      <c r="D3645" s="5" t="str">
        <v>540787697074</v>
      </c>
      <c r="E3645" s="0" t="e">
        <f>+7 (383) 3190499
+7 (383) 3281060
+7 (800) 2504434
+7 (800) 7002332
+7 (800) 7558755</f>
        <v>#NAME?</v>
      </c>
      <c r="F3645" s="5"/>
      <c r="G3645" s="5" t="s">
        <v>36305</v>
      </c>
      <c r="H3645" s="26">
        <v>7</v>
      </c>
      <c r="I3645" s="5" t="s">
        <v>36306</v>
      </c>
      <c r="J3645" s="5" t="s">
        <v>27654</v>
      </c>
      <c r="K3645" s="5" t="s">
        <v>344</v>
      </c>
      <c r="L3645" s="5" t="s">
        <v>36307</v>
      </c>
      <c r="M3645" s="27"/>
      <c r="N3645" s="5"/>
      <c r="O3645" s="5" t="str">
        <v>5407953006</v>
      </c>
      <c r="P3645" s="27">
        <v>10000</v>
      </c>
      <c r="Q3645" s="5" t="s">
        <v>49059</v>
      </c>
      <c r="R3645" s="5"/>
      <c r="S3645" s="5" t="s">
        <v>49010</v>
      </c>
      <c r="T3645" s="28">
        <v>27499000</v>
      </c>
      <c r="U3645" s="28">
        <v>23886000</v>
      </c>
      <c r="V3645" s="28">
        <v>1823576000</v>
      </c>
      <c r="W3645" s="28">
        <v>329482000</v>
      </c>
      <c r="X3645" s="28">
        <v>1463000</v>
      </c>
      <c r="Y3645" s="28">
        <v>2312038000</v>
      </c>
      <c r="Z3645" s="28">
        <v>992911000</v>
      </c>
      <c r="AA3645" s="28"/>
      <c r="AB3645" s="28">
        <v>125610000</v>
      </c>
      <c r="AC3645" s="28">
        <v>1319117000</v>
      </c>
      <c r="AD3645" s="28">
        <v>992921000</v>
      </c>
      <c r="AE3645" s="28">
        <v>3682709000</v>
      </c>
      <c r="AF3645" s="28">
        <v>409795000</v>
      </c>
      <c r="AG3645" s="11"/>
    </row>
    <row r="3646">
      <c r="A3646" s="7" t="s">
        <v>5308</v>
      </c>
      <c r="B3646" s="5" t="s">
        <v>13272</v>
      </c>
      <c r="C3646" s="5" t="s">
        <v>21068</v>
      </c>
      <c r="D3646" s="5" t="str">
        <v>665808693053</v>
      </c>
      <c r="E3646" s="0" t="e">
        <f>+7 (343) 3652644
+7 (343) 3652651
+7 (343) 3856583
+7 (912) 2819654</f>
        <v>#NAME?</v>
      </c>
      <c r="F3646" s="5" t="s">
        <v>36308</v>
      </c>
      <c r="G3646" s="5" t="s">
        <v>36309</v>
      </c>
      <c r="H3646" s="26">
        <v>20</v>
      </c>
      <c r="I3646" s="5" t="s">
        <v>36310</v>
      </c>
      <c r="J3646" s="5" t="s">
        <v>26733</v>
      </c>
      <c r="K3646" s="5" t="s">
        <v>344</v>
      </c>
      <c r="L3646" s="5" t="s">
        <v>36311</v>
      </c>
      <c r="M3646" s="27"/>
      <c r="N3646" s="5" t="s">
        <v>54943</v>
      </c>
      <c r="O3646" s="5" t="str">
        <v>6678049565</v>
      </c>
      <c r="P3646" s="27">
        <v>10000</v>
      </c>
      <c r="Q3646" s="5" t="s">
        <v>49009</v>
      </c>
      <c r="R3646" s="5"/>
      <c r="S3646" s="5" t="s">
        <v>49028</v>
      </c>
      <c r="T3646" s="28">
        <v>555910000</v>
      </c>
      <c r="U3646" s="28"/>
      <c r="V3646" s="28">
        <v>714303000</v>
      </c>
      <c r="W3646" s="28"/>
      <c r="X3646" s="28">
        <v>1135243000</v>
      </c>
      <c r="Y3646" s="28">
        <v>3184450000</v>
      </c>
      <c r="Z3646" s="28">
        <v>1781648000</v>
      </c>
      <c r="AA3646" s="28"/>
      <c r="AB3646" s="28"/>
      <c r="AC3646" s="28">
        <v>1066778000</v>
      </c>
      <c r="AD3646" s="28">
        <v>1781658000</v>
      </c>
      <c r="AE3646" s="28">
        <v>3451147000</v>
      </c>
      <c r="AF3646" s="28">
        <v>322046000</v>
      </c>
      <c r="AG3646" s="11"/>
    </row>
    <row r="3647">
      <c r="A3647" s="7" t="s">
        <v>5309</v>
      </c>
      <c r="B3647" s="5" t="s">
        <v>13273</v>
      </c>
      <c r="C3647" s="5" t="s">
        <v>21069</v>
      </c>
      <c r="D3647" s="5" t="str">
        <v>346003555559</v>
      </c>
      <c r="E3647" s="0" t="e">
        <f>+7 (496) 3628439
+7 (495) 5328885
+7 (988) 5839959
+7 (496) 3662031
+7 (49636) 28636
+7 (49636) 62030
+7 (49636) 62032
+7 (917) 5671800</f>
        <v>#NAME?</v>
      </c>
      <c r="F3647" s="5" t="s">
        <v>36312</v>
      </c>
      <c r="G3647" s="5"/>
      <c r="H3647" s="26">
        <v>17</v>
      </c>
      <c r="I3647" s="5" t="s">
        <v>36313</v>
      </c>
      <c r="J3647" s="5" t="s">
        <v>27866</v>
      </c>
      <c r="K3647" s="5" t="s">
        <v>355</v>
      </c>
      <c r="L3647" s="5" t="s">
        <v>36314</v>
      </c>
      <c r="M3647" s="27">
        <v>108159222</v>
      </c>
      <c r="N3647" s="5" t="s">
        <v>54944</v>
      </c>
      <c r="O3647" s="5" t="str">
        <v>5004018590</v>
      </c>
      <c r="P3647" s="27">
        <v>31858000</v>
      </c>
      <c r="Q3647" s="5" t="s">
        <v>49009</v>
      </c>
      <c r="R3647" s="5"/>
      <c r="S3647" s="5" t="s">
        <v>54945</v>
      </c>
      <c r="T3647" s="28">
        <v>295114000</v>
      </c>
      <c r="U3647" s="28"/>
      <c r="V3647" s="28">
        <v>733947000</v>
      </c>
      <c r="W3647" s="28">
        <v>20387000</v>
      </c>
      <c r="X3647" s="28">
        <v>84717000</v>
      </c>
      <c r="Y3647" s="28">
        <v>1530273000</v>
      </c>
      <c r="Z3647" s="28">
        <v>91804000</v>
      </c>
      <c r="AA3647" s="28">
        <v>76135000</v>
      </c>
      <c r="AB3647" s="28">
        <v>21000</v>
      </c>
      <c r="AC3647" s="28">
        <v>1332374000</v>
      </c>
      <c r="AD3647" s="28">
        <v>119883000</v>
      </c>
      <c r="AE3647" s="28">
        <v>3698824000</v>
      </c>
      <c r="AF3647" s="28">
        <v>40508000</v>
      </c>
      <c r="AG3647" s="11"/>
    </row>
    <row r="3648">
      <c r="A3648" s="7" t="s">
        <v>5310</v>
      </c>
      <c r="B3648" s="5" t="s">
        <v>13274</v>
      </c>
      <c r="C3648" s="5" t="s">
        <v>21070</v>
      </c>
      <c r="D3648" s="5" t="str">
        <v>591902947635</v>
      </c>
      <c r="F3648" s="5"/>
      <c r="G3648" s="5"/>
      <c r="H3648" s="26">
        <v>4.5</v>
      </c>
      <c r="I3648" s="5" t="s">
        <v>36315</v>
      </c>
      <c r="J3648" s="5" t="s">
        <v>955</v>
      </c>
      <c r="K3648" s="5" t="s">
        <v>344</v>
      </c>
      <c r="L3648" s="5" t="s">
        <v>36316</v>
      </c>
      <c r="M3648" s="27"/>
      <c r="N3648" s="5"/>
      <c r="O3648" s="5" t="str">
        <v>6678095811</v>
      </c>
      <c r="P3648" s="27">
        <v>100000</v>
      </c>
      <c r="Q3648" s="5" t="s">
        <v>49009</v>
      </c>
      <c r="R3648" s="5"/>
      <c r="S3648" s="5" t="s">
        <v>49010</v>
      </c>
      <c r="T3648" s="28">
        <v>39000</v>
      </c>
      <c r="U3648" s="28"/>
      <c r="V3648" s="28">
        <v>2937693000</v>
      </c>
      <c r="W3648" s="28">
        <v>259110000</v>
      </c>
      <c r="X3648" s="28">
        <v>144659000</v>
      </c>
      <c r="Y3648" s="28">
        <v>3516212000</v>
      </c>
      <c r="Z3648" s="28">
        <v>355447000</v>
      </c>
      <c r="AA3648" s="28"/>
      <c r="AB3648" s="28">
        <v>6267000</v>
      </c>
      <c r="AC3648" s="28">
        <v>3160665000</v>
      </c>
      <c r="AD3648" s="28">
        <v>355547000</v>
      </c>
      <c r="AE3648" s="28">
        <v>15106560000</v>
      </c>
      <c r="AF3648" s="28">
        <v>108708000</v>
      </c>
      <c r="AG3648" s="11"/>
    </row>
    <row r="3649">
      <c r="A3649" s="7" t="s">
        <v>5311</v>
      </c>
      <c r="B3649" s="5" t="s">
        <v>13275</v>
      </c>
      <c r="C3649" s="5" t="s">
        <v>21071</v>
      </c>
      <c r="D3649" s="5"/>
      <c r="E3649" s="0" t="e">
        <f>+7 (926) 2244103
+7 (495) 2151816
+7 (985) 2101559</f>
        <v>#NAME?</v>
      </c>
      <c r="F3649" s="5" t="s">
        <v>36317</v>
      </c>
      <c r="G3649" s="5" t="s">
        <v>36318</v>
      </c>
      <c r="H3649" s="26">
        <v>14</v>
      </c>
      <c r="I3649" s="5" t="s">
        <v>36319</v>
      </c>
      <c r="J3649" s="5" t="s">
        <v>33185</v>
      </c>
      <c r="K3649" s="5" t="s">
        <v>344</v>
      </c>
      <c r="L3649" s="5"/>
      <c r="M3649" s="27">
        <v>60149</v>
      </c>
      <c r="N3649" s="5" t="s">
        <v>54946</v>
      </c>
      <c r="O3649" s="5" t="str">
        <v>7722677115</v>
      </c>
      <c r="P3649" s="27">
        <v>25000000</v>
      </c>
      <c r="Q3649" s="5" t="s">
        <v>54947</v>
      </c>
      <c r="R3649" s="5"/>
      <c r="S3649" s="5" t="s">
        <v>54948</v>
      </c>
      <c r="T3649" s="28">
        <v>645947000</v>
      </c>
      <c r="U3649" s="28"/>
      <c r="V3649" s="28">
        <v>1700424000</v>
      </c>
      <c r="W3649" s="28">
        <v>36958000</v>
      </c>
      <c r="X3649" s="28">
        <v>66874000</v>
      </c>
      <c r="Y3649" s="28">
        <v>2585396000</v>
      </c>
      <c r="Z3649" s="28">
        <v>352508000</v>
      </c>
      <c r="AA3649" s="28">
        <v>783025000</v>
      </c>
      <c r="AB3649" s="28"/>
      <c r="AC3649" s="28">
        <v>925349000</v>
      </c>
      <c r="AD3649" s="28">
        <v>397159000</v>
      </c>
      <c r="AE3649" s="28">
        <v>5456543000</v>
      </c>
      <c r="AF3649" s="28">
        <v>80245000</v>
      </c>
      <c r="AG3649" s="11"/>
    </row>
    <row r="3650">
      <c r="A3650" s="7" t="s">
        <v>5312</v>
      </c>
      <c r="B3650" s="5" t="s">
        <v>13276</v>
      </c>
      <c r="C3650" s="5" t="s">
        <v>21072</v>
      </c>
      <c r="D3650" s="5"/>
      <c r="E3650" s="0" t="e">
        <f>+7 (843) 5372394
+7 (843) 5706633
+7 (903) 3404133
+7 (843) 5372393
+7 (8435) 379323
+7 (919) 6299957</f>
        <v>#NAME?</v>
      </c>
      <c r="F3650" s="5" t="s">
        <v>36320</v>
      </c>
      <c r="G3650" s="5" t="s">
        <v>36321</v>
      </c>
      <c r="H3650" s="26">
        <v>15.5</v>
      </c>
      <c r="I3650" s="5" t="s">
        <v>36322</v>
      </c>
      <c r="J3650" s="5" t="s">
        <v>25512</v>
      </c>
      <c r="K3650" s="5" t="s">
        <v>344</v>
      </c>
      <c r="L3650" s="5"/>
      <c r="M3650" s="27"/>
      <c r="N3650" s="5"/>
      <c r="O3650" s="5" t="str">
        <v>1655145961</v>
      </c>
      <c r="P3650" s="27">
        <v>6463636</v>
      </c>
      <c r="Q3650" s="5" t="s">
        <v>49009</v>
      </c>
      <c r="R3650" s="5" t="s">
        <v>54949</v>
      </c>
      <c r="S3650" s="5" t="s">
        <v>49884</v>
      </c>
      <c r="T3650" s="28">
        <v>36271000</v>
      </c>
      <c r="U3650" s="28">
        <v>51000</v>
      </c>
      <c r="V3650" s="28">
        <v>1529571000</v>
      </c>
      <c r="W3650" s="28"/>
      <c r="X3650" s="28">
        <v>468000</v>
      </c>
      <c r="Y3650" s="28">
        <v>3546526000</v>
      </c>
      <c r="Z3650" s="28">
        <v>546978000</v>
      </c>
      <c r="AA3650" s="28">
        <v>1592794000</v>
      </c>
      <c r="AB3650" s="28">
        <v>55395000</v>
      </c>
      <c r="AC3650" s="28">
        <v>1393316000</v>
      </c>
      <c r="AD3650" s="28">
        <v>553442000</v>
      </c>
      <c r="AE3650" s="28">
        <v>7082076000</v>
      </c>
      <c r="AF3650" s="28">
        <v>319566000</v>
      </c>
      <c r="AG3650" s="11"/>
    </row>
    <row r="3651">
      <c r="A3651" s="7" t="s">
        <v>5313</v>
      </c>
      <c r="B3651" s="5" t="s">
        <v>13277</v>
      </c>
      <c r="C3651" s="5" t="s">
        <v>21073</v>
      </c>
      <c r="D3651" s="5" t="str">
        <v>772000706837</v>
      </c>
      <c r="E3651" s="0" t="e">
        <f>+7 (495) 2323021
+7 (495) 2323022
+7 (495) 3233021
+7 (495) 6204703</f>
        <v>#NAME?</v>
      </c>
      <c r="F3651" s="5" t="s">
        <v>36323</v>
      </c>
      <c r="G3651" s="5" t="s">
        <v>36324</v>
      </c>
      <c r="H3651" s="26">
        <v>25.5</v>
      </c>
      <c r="I3651" s="5"/>
      <c r="J3651" s="5" t="s">
        <v>32531</v>
      </c>
      <c r="K3651" s="5" t="s">
        <v>344</v>
      </c>
      <c r="L3651" s="5"/>
      <c r="M3651" s="27"/>
      <c r="N3651" s="5"/>
      <c r="O3651" s="5" t="str">
        <v>5075011400</v>
      </c>
      <c r="P3651" s="27">
        <v>98701900</v>
      </c>
      <c r="Q3651" s="5" t="s">
        <v>49009</v>
      </c>
      <c r="R3651" s="5"/>
      <c r="S3651" s="5" t="s">
        <v>54950</v>
      </c>
      <c r="T3651" s="28">
        <v>5393310000</v>
      </c>
      <c r="U3651" s="28">
        <v>427665000</v>
      </c>
      <c r="V3651" s="28">
        <v>1072532000</v>
      </c>
      <c r="W3651" s="28"/>
      <c r="X3651" s="28">
        <v>46811000</v>
      </c>
      <c r="Y3651" s="28">
        <v>9793470000</v>
      </c>
      <c r="Z3651" s="28">
        <v>2154793000</v>
      </c>
      <c r="AA3651" s="28">
        <v>3025837000</v>
      </c>
      <c r="AB3651" s="28">
        <v>1473604000</v>
      </c>
      <c r="AC3651" s="28">
        <v>1894707000</v>
      </c>
      <c r="AD3651" s="28">
        <v>4633507000</v>
      </c>
      <c r="AE3651" s="28">
        <v>5112686000</v>
      </c>
      <c r="AF3651" s="28">
        <v>1083682000</v>
      </c>
      <c r="AG3651" s="11"/>
    </row>
    <row r="3652">
      <c r="A3652" s="7" t="s">
        <v>5314</v>
      </c>
      <c r="B3652" s="5" t="s">
        <v>13278</v>
      </c>
      <c r="C3652" s="5" t="s">
        <v>21074</v>
      </c>
      <c r="D3652" s="5" t="str">
        <v>263600335270</v>
      </c>
      <c r="E3652" s="0" t="e">
        <f>+7 (8652) 244224
+7 (8652) 247224</f>
        <v>#NAME?</v>
      </c>
      <c r="F3652" s="5" t="s">
        <v>36325</v>
      </c>
      <c r="G3652" s="5" t="s">
        <v>36326</v>
      </c>
      <c r="H3652" s="26">
        <v>30.5</v>
      </c>
      <c r="I3652" s="5"/>
      <c r="J3652" s="5" t="s">
        <v>26482</v>
      </c>
      <c r="K3652" s="5" t="s">
        <v>344</v>
      </c>
      <c r="L3652" s="5"/>
      <c r="M3652" s="27"/>
      <c r="N3652" s="5" t="s">
        <v>54951</v>
      </c>
      <c r="O3652" s="5" t="str">
        <v>2635001184</v>
      </c>
      <c r="P3652" s="27">
        <v>1009450</v>
      </c>
      <c r="Q3652" s="5"/>
      <c r="R3652" s="5"/>
      <c r="S3652" s="5" t="s">
        <v>49717</v>
      </c>
      <c r="T3652" s="28">
        <v>1145354000</v>
      </c>
      <c r="U3652" s="28"/>
      <c r="V3652" s="28">
        <v>397764000</v>
      </c>
      <c r="W3652" s="28">
        <v>60055000</v>
      </c>
      <c r="X3652" s="28">
        <v>37150000</v>
      </c>
      <c r="Y3652" s="28">
        <v>2086885000</v>
      </c>
      <c r="Z3652" s="28">
        <v>616641000</v>
      </c>
      <c r="AA3652" s="28"/>
      <c r="AB3652" s="28">
        <v>920914000</v>
      </c>
      <c r="AC3652" s="28">
        <v>1328812000</v>
      </c>
      <c r="AD3652" s="28">
        <v>694878000</v>
      </c>
      <c r="AE3652" s="28">
        <v>4421868000</v>
      </c>
      <c r="AF3652" s="28">
        <v>48141000</v>
      </c>
      <c r="AG3652" s="11"/>
    </row>
    <row r="3653">
      <c r="A3653" s="7" t="s">
        <v>5315</v>
      </c>
      <c r="B3653" s="5" t="s">
        <v>13279</v>
      </c>
      <c r="C3653" s="5" t="s">
        <v>21075</v>
      </c>
      <c r="D3653" s="5" t="str">
        <v>780108831603</v>
      </c>
      <c r="E3653" s="0" t="e">
        <f>+7 (495) 4914700
+7 (495) 4904161
+7 (495) 4904677
+7 (495) 4904700
+7 (495) 4912645</f>
        <v>#NAME?</v>
      </c>
      <c r="F3653" s="5" t="s">
        <v>36327</v>
      </c>
      <c r="G3653" s="5" t="s">
        <v>36328</v>
      </c>
      <c r="H3653" s="26">
        <v>28.5</v>
      </c>
      <c r="I3653" s="5"/>
      <c r="J3653" s="5" t="s">
        <v>27182</v>
      </c>
      <c r="K3653" s="5" t="s">
        <v>344</v>
      </c>
      <c r="L3653" s="5"/>
      <c r="M3653" s="27"/>
      <c r="N3653" s="5"/>
      <c r="O3653" s="5" t="str">
        <v>7733028923</v>
      </c>
      <c r="P3653" s="27">
        <v>5548</v>
      </c>
      <c r="Q3653" s="5" t="s">
        <v>54952</v>
      </c>
      <c r="R3653" s="5"/>
      <c r="S3653" s="5" t="s">
        <v>49802</v>
      </c>
      <c r="T3653" s="28">
        <v>85859000</v>
      </c>
      <c r="U3653" s="28"/>
      <c r="V3653" s="28">
        <v>1954093000</v>
      </c>
      <c r="W3653" s="28">
        <v>884027000</v>
      </c>
      <c r="X3653" s="28">
        <v>56445000</v>
      </c>
      <c r="Y3653" s="28">
        <v>5112656000</v>
      </c>
      <c r="Z3653" s="28">
        <v>709098000</v>
      </c>
      <c r="AA3653" s="28">
        <v>669232000</v>
      </c>
      <c r="AB3653" s="28"/>
      <c r="AC3653" s="28">
        <v>2942997000</v>
      </c>
      <c r="AD3653" s="28">
        <v>710057000</v>
      </c>
      <c r="AE3653" s="28">
        <v>4403902000</v>
      </c>
      <c r="AF3653" s="28">
        <v>2888732000</v>
      </c>
      <c r="AG3653" s="11"/>
    </row>
    <row r="3654">
      <c r="A3654" s="7" t="s">
        <v>5316</v>
      </c>
      <c r="B3654" s="5" t="s">
        <v>13280</v>
      </c>
      <c r="C3654" s="5" t="s">
        <v>21076</v>
      </c>
      <c r="D3654" s="5" t="str">
        <v>860800584531</v>
      </c>
      <c r="E3654" s="0" t="e">
        <f>+7 (495) 2807557
+7 (495) 6505635</f>
        <v>#NAME?</v>
      </c>
      <c r="F3654" s="5" t="s">
        <v>36329</v>
      </c>
      <c r="G3654" s="5" t="s">
        <v>36330</v>
      </c>
      <c r="H3654" s="26">
        <v>12.5</v>
      </c>
      <c r="I3654" s="5"/>
      <c r="J3654" s="5" t="s">
        <v>467</v>
      </c>
      <c r="K3654" s="5" t="s">
        <v>344</v>
      </c>
      <c r="L3654" s="5" t="s">
        <v>36331</v>
      </c>
      <c r="M3654" s="27">
        <v>26324710</v>
      </c>
      <c r="N3654" s="5" t="s">
        <v>54953</v>
      </c>
      <c r="O3654" s="5" t="str">
        <v>7709857542</v>
      </c>
      <c r="P3654" s="27">
        <v>100000</v>
      </c>
      <c r="Q3654" s="5" t="s">
        <v>54954</v>
      </c>
      <c r="R3654" s="5" t="s">
        <v>54955</v>
      </c>
      <c r="S3654" s="5" t="s">
        <v>52435</v>
      </c>
      <c r="T3654" s="28">
        <v>832761000</v>
      </c>
      <c r="U3654" s="28"/>
      <c r="V3654" s="28">
        <v>12766960000</v>
      </c>
      <c r="W3654" s="28">
        <v>160702000</v>
      </c>
      <c r="X3654" s="28">
        <v>7275386000</v>
      </c>
      <c r="Y3654" s="28">
        <v>23301705000</v>
      </c>
      <c r="Z3654" s="28">
        <v>1464875000</v>
      </c>
      <c r="AA3654" s="28">
        <v>599776000</v>
      </c>
      <c r="AB3654" s="28">
        <v>425031000</v>
      </c>
      <c r="AC3654" s="28">
        <v>20987318000</v>
      </c>
      <c r="AD3654" s="28">
        <v>1464980000</v>
      </c>
      <c r="AE3654" s="28">
        <v>23312716000</v>
      </c>
      <c r="AF3654" s="28">
        <v>242230000</v>
      </c>
      <c r="AG3654" s="11"/>
    </row>
    <row r="3655">
      <c r="A3655" s="7" t="s">
        <v>5317</v>
      </c>
      <c r="B3655" s="5" t="s">
        <v>13281</v>
      </c>
      <c r="C3655" s="5" t="s">
        <v>21077</v>
      </c>
      <c r="D3655" s="5" t="str">
        <v>744407695686</v>
      </c>
      <c r="E3655" s="0" t="e">
        <f>+7 (3519) 499400
+7 (3519) 499402
+7 (3519) 499434
+7 (3519) 499452</f>
        <v>#NAME?</v>
      </c>
      <c r="F3655" s="5" t="s">
        <v>36332</v>
      </c>
      <c r="G3655" s="5" t="s">
        <v>36333</v>
      </c>
      <c r="H3655" s="26">
        <v>30.5</v>
      </c>
      <c r="I3655" s="5"/>
      <c r="J3655" s="5" t="s">
        <v>26526</v>
      </c>
      <c r="K3655" s="5" t="s">
        <v>344</v>
      </c>
      <c r="L3655" s="5"/>
      <c r="M3655" s="27">
        <v>3005761</v>
      </c>
      <c r="N3655" s="5" t="s">
        <v>54956</v>
      </c>
      <c r="O3655" s="5" t="str">
        <v>7414001724</v>
      </c>
      <c r="P3655" s="27">
        <v>163800</v>
      </c>
      <c r="Q3655" s="5" t="s">
        <v>49009</v>
      </c>
      <c r="R3655" s="5"/>
      <c r="S3655" s="5" t="s">
        <v>49200</v>
      </c>
      <c r="T3655" s="28">
        <v>253019000</v>
      </c>
      <c r="U3655" s="28"/>
      <c r="V3655" s="28">
        <v>501719000</v>
      </c>
      <c r="W3655" s="28">
        <v>10000</v>
      </c>
      <c r="X3655" s="28">
        <v>25185000</v>
      </c>
      <c r="Y3655" s="28">
        <v>2765745000</v>
      </c>
      <c r="Z3655" s="28">
        <v>753135000</v>
      </c>
      <c r="AA3655" s="28"/>
      <c r="AB3655" s="28">
        <v>800000000</v>
      </c>
      <c r="AC3655" s="28">
        <v>2012446000</v>
      </c>
      <c r="AD3655" s="28">
        <v>753299000</v>
      </c>
      <c r="AE3655" s="28">
        <v>8755652000</v>
      </c>
      <c r="AF3655" s="28">
        <v>36756000</v>
      </c>
      <c r="AG3655" s="11"/>
    </row>
    <row r="3656">
      <c r="A3656" s="7" t="s">
        <v>5318</v>
      </c>
      <c r="B3656" s="5" t="s">
        <v>13282</v>
      </c>
      <c r="C3656" s="5" t="s">
        <v>21078</v>
      </c>
      <c r="D3656" s="5" t="str">
        <v>771412468227</v>
      </c>
      <c r="E3656" s="0" t="e">
        <f>+7 (495) 1505749
+7 (906) 4516102
+7 (495) 1201263
+7 (800) 5005749
+7 (950) 4564500</f>
        <v>#NAME?</v>
      </c>
      <c r="F3656" s="5"/>
      <c r="G3656" s="5" t="s">
        <v>36334</v>
      </c>
      <c r="H3656" s="26">
        <v>11.5</v>
      </c>
      <c r="I3656" s="5" t="s">
        <v>36335</v>
      </c>
      <c r="J3656" s="5" t="s">
        <v>1026</v>
      </c>
      <c r="K3656" s="5" t="s">
        <v>344</v>
      </c>
      <c r="L3656" s="5" t="s">
        <v>36336</v>
      </c>
      <c r="M3656" s="27">
        <v>1017775</v>
      </c>
      <c r="N3656" s="5" t="s">
        <v>54957</v>
      </c>
      <c r="O3656" s="5" t="str">
        <v>7714849709</v>
      </c>
      <c r="P3656" s="27">
        <v>150000</v>
      </c>
      <c r="Q3656" s="5" t="s">
        <v>54958</v>
      </c>
      <c r="R3656" s="5"/>
      <c r="S3656" s="5" t="s">
        <v>54959</v>
      </c>
      <c r="T3656" s="28">
        <v>35448000</v>
      </c>
      <c r="U3656" s="28"/>
      <c r="V3656" s="28">
        <v>1386027000</v>
      </c>
      <c r="W3656" s="28">
        <v>900000</v>
      </c>
      <c r="X3656" s="28">
        <v>14151000</v>
      </c>
      <c r="Y3656" s="28">
        <v>6018706000</v>
      </c>
      <c r="Z3656" s="28">
        <v>198369000</v>
      </c>
      <c r="AA3656" s="28">
        <v>2492765000</v>
      </c>
      <c r="AB3656" s="28">
        <v>1000000000</v>
      </c>
      <c r="AC3656" s="28">
        <v>3314368000</v>
      </c>
      <c r="AD3656" s="28">
        <v>198519000</v>
      </c>
      <c r="AE3656" s="28">
        <v>9933304000</v>
      </c>
      <c r="AF3656" s="28">
        <v>59679000</v>
      </c>
      <c r="AG3656" s="11"/>
    </row>
    <row r="3657">
      <c r="A3657" s="7" t="s">
        <v>5318</v>
      </c>
      <c r="B3657" s="5" t="s">
        <v>13283</v>
      </c>
      <c r="C3657" s="5" t="s">
        <v>21079</v>
      </c>
      <c r="D3657" s="5" t="str">
        <v>544305130748</v>
      </c>
      <c r="E3657" s="0" t="e">
        <f>+7 (383) 2758579
+7 (383) 2915290
+7 (383) 3253131
+7 (383) 3253434</f>
        <v>#NAME?</v>
      </c>
      <c r="F3657" s="5" t="s">
        <v>36337</v>
      </c>
      <c r="G3657" s="5" t="s">
        <v>36338</v>
      </c>
      <c r="H3657" s="26">
        <v>16</v>
      </c>
      <c r="I3657" s="5" t="s">
        <v>36339</v>
      </c>
      <c r="J3657" s="5" t="s">
        <v>26292</v>
      </c>
      <c r="K3657" s="5" t="s">
        <v>344</v>
      </c>
      <c r="L3657" s="5" t="s">
        <v>36340</v>
      </c>
      <c r="M3657" s="27"/>
      <c r="N3657" s="5" t="s">
        <v>54960</v>
      </c>
      <c r="O3657" s="5" t="str">
        <v>2222063541</v>
      </c>
      <c r="P3657" s="27">
        <v>160000</v>
      </c>
      <c r="Q3657" s="5"/>
      <c r="R3657" s="5" t="s">
        <v>54961</v>
      </c>
      <c r="S3657" s="5" t="s">
        <v>49110</v>
      </c>
      <c r="T3657" s="28">
        <v>81396000</v>
      </c>
      <c r="U3657" s="28"/>
      <c r="V3657" s="28">
        <v>236006000</v>
      </c>
      <c r="W3657" s="28">
        <v>74217000</v>
      </c>
      <c r="X3657" s="28">
        <v>231000</v>
      </c>
      <c r="Y3657" s="28">
        <v>1258376000</v>
      </c>
      <c r="Z3657" s="28">
        <v>732999000</v>
      </c>
      <c r="AA3657" s="28">
        <v>420000000</v>
      </c>
      <c r="AB3657" s="28"/>
      <c r="AC3657" s="28">
        <v>99287000</v>
      </c>
      <c r="AD3657" s="28">
        <v>733159000</v>
      </c>
      <c r="AE3657" s="28">
        <v>3414390000</v>
      </c>
      <c r="AF3657" s="28">
        <v>100508000</v>
      </c>
      <c r="AG3657" s="11"/>
    </row>
    <row r="3658">
      <c r="A3658" s="7" t="s">
        <v>5319</v>
      </c>
      <c r="B3658" s="5" t="s">
        <v>13284</v>
      </c>
      <c r="C3658" s="5" t="s">
        <v>21080</v>
      </c>
      <c r="D3658" s="5" t="str">
        <v>773500537755</v>
      </c>
      <c r="E3658" s="0" t="e">
        <f>+7 (495) 7390787</f>
        <v>#NAME?</v>
      </c>
      <c r="F3658" s="5" t="s">
        <v>36341</v>
      </c>
      <c r="G3658" s="5" t="s">
        <v>36342</v>
      </c>
      <c r="H3658" s="26">
        <v>20.5</v>
      </c>
      <c r="I3658" s="5" t="s">
        <v>36343</v>
      </c>
      <c r="J3658" s="5" t="s">
        <v>36344</v>
      </c>
      <c r="K3658" s="5" t="s">
        <v>344</v>
      </c>
      <c r="L3658" s="5" t="s">
        <v>36345</v>
      </c>
      <c r="M3658" s="27"/>
      <c r="N3658" s="5" t="s">
        <v>54962</v>
      </c>
      <c r="O3658" s="5" t="str">
        <v>7735114141</v>
      </c>
      <c r="P3658" s="27">
        <v>10000</v>
      </c>
      <c r="Q3658" s="5" t="s">
        <v>49009</v>
      </c>
      <c r="R3658" s="5"/>
      <c r="S3658" s="5" t="s">
        <v>49045</v>
      </c>
      <c r="T3658" s="28">
        <v>1046087000</v>
      </c>
      <c r="U3658" s="28"/>
      <c r="V3658" s="28">
        <v>685334000</v>
      </c>
      <c r="W3658" s="28">
        <v>5957000</v>
      </c>
      <c r="X3658" s="28">
        <v>345000</v>
      </c>
      <c r="Y3658" s="28">
        <v>2167664000</v>
      </c>
      <c r="Z3658" s="28">
        <v>530310000</v>
      </c>
      <c r="AA3658" s="28"/>
      <c r="AB3658" s="28">
        <v>113810000</v>
      </c>
      <c r="AC3658" s="28">
        <v>1637344000</v>
      </c>
      <c r="AD3658" s="28">
        <v>530320000</v>
      </c>
      <c r="AE3658" s="28">
        <v>3583032000</v>
      </c>
      <c r="AF3658" s="28">
        <v>55248000</v>
      </c>
      <c r="AG3658" s="11"/>
    </row>
    <row r="3659">
      <c r="A3659" s="7" t="s">
        <v>5319</v>
      </c>
      <c r="B3659" s="5" t="s">
        <v>13285</v>
      </c>
      <c r="C3659" s="5" t="s">
        <v>21081</v>
      </c>
      <c r="D3659" s="5" t="str">
        <v>772603474350</v>
      </c>
      <c r="E3659" s="0" t="e">
        <f>+7 (3512) 320140
+7 (391) 2320140
+7 (495) 1570890
+7 (495) 2320146
+7 (495) 2320241
+7 (495) 2321040
+7 (495) 2324001
+7 (495) 2340140
+7 (495) 4545534
+7 (495) 2320110
+7 (495) 2320141
+7 (495) 2320174
+7 (495) 2350140
+7 (495) 2430140
+7 (495) 3230140</f>
        <v>#NAME?</v>
      </c>
      <c r="F3659" s="5" t="s">
        <v>36346</v>
      </c>
      <c r="G3659" s="5" t="s">
        <v>36347</v>
      </c>
      <c r="H3659" s="26">
        <v>19.5</v>
      </c>
      <c r="I3659" s="5" t="s">
        <v>36348</v>
      </c>
      <c r="J3659" s="5" t="s">
        <v>25429</v>
      </c>
      <c r="K3659" s="5" t="s">
        <v>344</v>
      </c>
      <c r="L3659" s="5" t="s">
        <v>36349</v>
      </c>
      <c r="M3659" s="27"/>
      <c r="N3659" s="5" t="s">
        <v>54963</v>
      </c>
      <c r="O3659" s="5" t="str">
        <v>7733507267</v>
      </c>
      <c r="P3659" s="27">
        <v>7000000</v>
      </c>
      <c r="Q3659" s="5" t="s">
        <v>54964</v>
      </c>
      <c r="R3659" s="5"/>
      <c r="S3659" s="5" t="s">
        <v>54965</v>
      </c>
      <c r="T3659" s="28">
        <v>409417000</v>
      </c>
      <c r="U3659" s="28">
        <v>386255000</v>
      </c>
      <c r="V3659" s="28">
        <v>1089966000</v>
      </c>
      <c r="W3659" s="28">
        <v>70019000</v>
      </c>
      <c r="X3659" s="28">
        <v>1864528000</v>
      </c>
      <c r="Y3659" s="28">
        <v>4862813000</v>
      </c>
      <c r="Z3659" s="28">
        <v>2242231000</v>
      </c>
      <c r="AA3659" s="28"/>
      <c r="AB3659" s="28"/>
      <c r="AC3659" s="28">
        <v>2601318000</v>
      </c>
      <c r="AD3659" s="28">
        <v>2249231000</v>
      </c>
      <c r="AE3659" s="28">
        <v>9142854000</v>
      </c>
      <c r="AF3659" s="28">
        <v>851180000</v>
      </c>
      <c r="AG3659" s="11"/>
    </row>
    <row r="3660">
      <c r="A3660" s="7" t="s">
        <v>5320</v>
      </c>
      <c r="B3660" s="5" t="s">
        <v>13286</v>
      </c>
      <c r="C3660" s="5" t="s">
        <v>21082</v>
      </c>
      <c r="D3660" s="5" t="str">
        <v>682704614784</v>
      </c>
      <c r="E3660" s="0" t="e">
        <f>+7 (980) 7850306
+7 (475) 2559998
+7 (47545) 52092
+7 (47545) 52104
+7 (47545) 53211
+7 (47545) 56203</f>
        <v>#NAME?</v>
      </c>
      <c r="F3660" s="5" t="s">
        <v>36350</v>
      </c>
      <c r="G3660" s="5" t="s">
        <v>36351</v>
      </c>
      <c r="H3660" s="26">
        <v>28</v>
      </c>
      <c r="I3660" s="5"/>
      <c r="J3660" s="5" t="s">
        <v>27712</v>
      </c>
      <c r="K3660" s="5" t="s">
        <v>344</v>
      </c>
      <c r="L3660" s="5" t="s">
        <v>36352</v>
      </c>
      <c r="M3660" s="27">
        <v>4804612</v>
      </c>
      <c r="N3660" s="5" t="s">
        <v>54966</v>
      </c>
      <c r="O3660" s="5" t="str">
        <v>6827020780</v>
      </c>
      <c r="P3660" s="27">
        <v>120000001</v>
      </c>
      <c r="Q3660" s="5" t="s">
        <v>54968</v>
      </c>
      <c r="R3660" s="5"/>
      <c r="S3660" s="5" t="s">
        <v>54969</v>
      </c>
      <c r="T3660" s="28">
        <v>1306660000</v>
      </c>
      <c r="U3660" s="28">
        <v>210005000</v>
      </c>
      <c r="V3660" s="28">
        <v>1438126000</v>
      </c>
      <c r="W3660" s="28"/>
      <c r="X3660" s="28">
        <v>352396000</v>
      </c>
      <c r="Y3660" s="28">
        <v>4038943000</v>
      </c>
      <c r="Z3660" s="28">
        <v>1717389000</v>
      </c>
      <c r="AA3660" s="28">
        <v>949779000</v>
      </c>
      <c r="AB3660" s="28">
        <v>80869000</v>
      </c>
      <c r="AC3660" s="28">
        <v>844978000</v>
      </c>
      <c r="AD3660" s="28">
        <v>2097838000</v>
      </c>
      <c r="AE3660" s="28">
        <v>5923018000</v>
      </c>
      <c r="AF3660" s="28">
        <v>546987000</v>
      </c>
      <c r="AG3660" s="11"/>
    </row>
    <row r="3661">
      <c r="A3661" s="7" t="s">
        <v>5321</v>
      </c>
      <c r="B3661" s="5" t="s">
        <v>13287</v>
      </c>
      <c r="C3661" s="5" t="s">
        <v>21083</v>
      </c>
      <c r="D3661" s="5" t="str">
        <v>744400264810</v>
      </c>
      <c r="E3661" s="0" t="e">
        <f>+7 (34249) 22968
+7 (34249) 66367
+7 (34249) 69977
+7 (34249) 69978
+7 (34249) 92342
+7 (34249) 92979
+7 (34249) 93370</f>
        <v>#NAME?</v>
      </c>
      <c r="F3661" s="5" t="s">
        <v>36353</v>
      </c>
      <c r="G3661" s="5" t="s">
        <v>36354</v>
      </c>
      <c r="H3661" s="26">
        <v>25</v>
      </c>
      <c r="I3661" s="5" t="s">
        <v>36355</v>
      </c>
      <c r="J3661" s="5" t="s">
        <v>36356</v>
      </c>
      <c r="K3661" s="5" t="s">
        <v>355</v>
      </c>
      <c r="L3661" s="5" t="s">
        <v>36357</v>
      </c>
      <c r="M3661" s="27">
        <v>4300800</v>
      </c>
      <c r="N3661" s="5"/>
      <c r="O3661" s="5" t="str">
        <v>5918216877</v>
      </c>
      <c r="P3661" s="27">
        <v>3975042600</v>
      </c>
      <c r="Q3661" s="5" t="s">
        <v>49059</v>
      </c>
      <c r="R3661" s="5"/>
      <c r="S3661" s="5" t="s">
        <v>54970</v>
      </c>
      <c r="T3661" s="28">
        <v>5657774000</v>
      </c>
      <c r="U3661" s="28"/>
      <c r="V3661" s="28">
        <v>1302890000</v>
      </c>
      <c r="W3661" s="28">
        <v>4082800000</v>
      </c>
      <c r="X3661" s="28">
        <v>17351000</v>
      </c>
      <c r="Y3661" s="28">
        <v>14889078000</v>
      </c>
      <c r="Z3661" s="28">
        <v>7090075000</v>
      </c>
      <c r="AA3661" s="28"/>
      <c r="AB3661" s="28">
        <v>1200888000</v>
      </c>
      <c r="AC3661" s="28">
        <v>3365418000</v>
      </c>
      <c r="AD3661" s="28">
        <v>11428318000</v>
      </c>
      <c r="AE3661" s="28">
        <v>20661364000</v>
      </c>
      <c r="AF3661" s="28">
        <v>1163122000</v>
      </c>
      <c r="AG3661" s="11"/>
    </row>
    <row r="3662">
      <c r="A3662" s="7" t="s">
        <v>5322</v>
      </c>
      <c r="B3662" s="5" t="s">
        <v>13288</v>
      </c>
      <c r="C3662" s="5" t="s">
        <v>21084</v>
      </c>
      <c r="D3662" s="5" t="str">
        <v>503610303654</v>
      </c>
      <c r="E3662" s="0" t="e">
        <f>+7 (495) 3391800
+7 (495) 4240241
+7 (495) 3393100</f>
        <v>#NAME?</v>
      </c>
      <c r="F3662" s="5" t="s">
        <v>36358</v>
      </c>
      <c r="G3662" s="5"/>
      <c r="H3662" s="26">
        <v>21</v>
      </c>
      <c r="I3662" s="5" t="s">
        <v>36359</v>
      </c>
      <c r="J3662" s="5" t="s">
        <v>30277</v>
      </c>
      <c r="K3662" s="5" t="s">
        <v>344</v>
      </c>
      <c r="L3662" s="5" t="s">
        <v>36360</v>
      </c>
      <c r="M3662" s="27"/>
      <c r="N3662" s="5"/>
      <c r="O3662" s="5" t="str">
        <v>7728248578</v>
      </c>
      <c r="P3662" s="27">
        <v>100000</v>
      </c>
      <c r="Q3662" s="5" t="s">
        <v>49021</v>
      </c>
      <c r="R3662" s="5"/>
      <c r="S3662" s="5" t="s">
        <v>51713</v>
      </c>
      <c r="T3662" s="28"/>
      <c r="U3662" s="28"/>
      <c r="V3662" s="28">
        <v>763888000</v>
      </c>
      <c r="W3662" s="28">
        <v>8050000</v>
      </c>
      <c r="X3662" s="28">
        <v>217255000</v>
      </c>
      <c r="Y3662" s="28">
        <v>1719803000</v>
      </c>
      <c r="Z3662" s="28">
        <v>824782000</v>
      </c>
      <c r="AA3662" s="28">
        <v>71640000</v>
      </c>
      <c r="AB3662" s="28">
        <v>593000</v>
      </c>
      <c r="AC3662" s="28">
        <v>823281000</v>
      </c>
      <c r="AD3662" s="28">
        <v>824882000</v>
      </c>
      <c r="AE3662" s="28">
        <v>6036059000</v>
      </c>
      <c r="AF3662" s="28">
        <v>205191000</v>
      </c>
      <c r="AG3662" s="11"/>
    </row>
    <row r="3663">
      <c r="A3663" s="7" t="s">
        <v>5323</v>
      </c>
      <c r="B3663" s="5" t="s">
        <v>13289</v>
      </c>
      <c r="C3663" s="5" t="s">
        <v>21085</v>
      </c>
      <c r="D3663" s="5" t="str">
        <v>691300895407</v>
      </c>
      <c r="F3663" s="5"/>
      <c r="G3663" s="5"/>
      <c r="H3663" s="26">
        <v>4</v>
      </c>
      <c r="I3663" s="5" t="s">
        <v>36361</v>
      </c>
      <c r="J3663" s="5" t="s">
        <v>25190</v>
      </c>
      <c r="K3663" s="5" t="s">
        <v>380</v>
      </c>
      <c r="L3663" s="5" t="s">
        <v>36362</v>
      </c>
      <c r="M3663" s="27">
        <v>6334370</v>
      </c>
      <c r="N3663" s="5"/>
      <c r="O3663" s="5" t="str">
        <v>7722471354</v>
      </c>
      <c r="P3663" s="27">
        <v>500000</v>
      </c>
      <c r="Q3663" s="5"/>
      <c r="R3663" s="5"/>
      <c r="S3663" s="5" t="s">
        <v>49121</v>
      </c>
      <c r="T3663" s="28">
        <v>1302879000</v>
      </c>
      <c r="U3663" s="28"/>
      <c r="V3663" s="28">
        <v>2492981000</v>
      </c>
      <c r="W3663" s="28">
        <v>23332000</v>
      </c>
      <c r="X3663" s="28"/>
      <c r="Y3663" s="28">
        <v>4670641000</v>
      </c>
      <c r="Z3663" s="28">
        <v>69244000</v>
      </c>
      <c r="AA3663" s="28"/>
      <c r="AB3663" s="28">
        <v>191561000</v>
      </c>
      <c r="AC3663" s="28">
        <v>4326285000</v>
      </c>
      <c r="AD3663" s="28">
        <v>69744000</v>
      </c>
      <c r="AE3663" s="28">
        <v>3342452000</v>
      </c>
      <c r="AF3663" s="28">
        <v>31447000</v>
      </c>
      <c r="AG3663" s="11"/>
    </row>
    <row r="3664">
      <c r="A3664" s="7" t="s">
        <v>5324</v>
      </c>
      <c r="B3664" s="5" t="s">
        <v>13290</v>
      </c>
      <c r="C3664" s="5" t="s">
        <v>21086</v>
      </c>
      <c r="D3664" s="5" t="str">
        <v>744404738814</v>
      </c>
      <c r="E3664" s="0" t="e">
        <f>+7 (38452) 24437
+7 (384) 5240489
+7 (38452) 26229
+7 (38452) 26235
+7 (38452) 28046
+7 (38452) 28357
+7 (38452) 40345</f>
        <v>#NAME?</v>
      </c>
      <c r="F3664" s="5" t="s">
        <v>36363</v>
      </c>
      <c r="G3664" s="5" t="s">
        <v>36364</v>
      </c>
      <c r="H3664" s="26">
        <v>28.5</v>
      </c>
      <c r="I3664" s="5" t="s">
        <v>36365</v>
      </c>
      <c r="J3664" s="5" t="s">
        <v>29188</v>
      </c>
      <c r="K3664" s="5" t="s">
        <v>344</v>
      </c>
      <c r="L3664" s="5" t="s">
        <v>36366</v>
      </c>
      <c r="M3664" s="27">
        <v>39499009</v>
      </c>
      <c r="N3664" s="5"/>
      <c r="O3664" s="5" t="str">
        <v>4202050996</v>
      </c>
      <c r="P3664" s="27">
        <v>6764545730</v>
      </c>
      <c r="Q3664" s="5" t="s">
        <v>49059</v>
      </c>
      <c r="R3664" s="5"/>
      <c r="S3664" s="5" t="s">
        <v>49010</v>
      </c>
      <c r="T3664" s="28">
        <v>31751867000</v>
      </c>
      <c r="U3664" s="28">
        <v>95611000</v>
      </c>
      <c r="V3664" s="28">
        <v>5317967000</v>
      </c>
      <c r="W3664" s="28">
        <v>14926950000</v>
      </c>
      <c r="X3664" s="28">
        <v>132000</v>
      </c>
      <c r="Y3664" s="28">
        <v>59213700000</v>
      </c>
      <c r="Z3664" s="28">
        <v>38006992000</v>
      </c>
      <c r="AA3664" s="28"/>
      <c r="AB3664" s="28">
        <v>3662760000</v>
      </c>
      <c r="AC3664" s="28">
        <v>10428454000</v>
      </c>
      <c r="AD3664" s="28">
        <v>45447993000</v>
      </c>
      <c r="AE3664" s="28">
        <v>39140761000</v>
      </c>
      <c r="AF3664" s="28">
        <v>11542289000</v>
      </c>
      <c r="AG3664" s="11"/>
    </row>
    <row r="3665">
      <c r="A3665" s="7" t="s">
        <v>5325</v>
      </c>
      <c r="B3665" s="5" t="s">
        <v>13291</v>
      </c>
      <c r="C3665" s="5" t="s">
        <v>21087</v>
      </c>
      <c r="D3665" s="5" t="str">
        <v>230110430755</v>
      </c>
      <c r="E3665" s="0" t="e">
        <f>+7 (915) 4002222
+7 (495) 7851195</f>
        <v>#NAME?</v>
      </c>
      <c r="F3665" s="5" t="s">
        <v>36367</v>
      </c>
      <c r="G3665" s="5"/>
      <c r="H3665" s="26">
        <v>8</v>
      </c>
      <c r="I3665" s="5" t="s">
        <v>36368</v>
      </c>
      <c r="J3665" s="5" t="s">
        <v>1081</v>
      </c>
      <c r="K3665" s="5" t="s">
        <v>355</v>
      </c>
      <c r="L3665" s="5" t="s">
        <v>36369</v>
      </c>
      <c r="M3665" s="27">
        <v>5219311</v>
      </c>
      <c r="N3665" s="5" t="s">
        <v>54971</v>
      </c>
      <c r="O3665" s="5" t="str">
        <v>7704304569</v>
      </c>
      <c r="P3665" s="27">
        <v>500000</v>
      </c>
      <c r="Q3665" s="5" t="s">
        <v>54972</v>
      </c>
      <c r="R3665" s="5"/>
      <c r="S3665" s="5" t="s">
        <v>54973</v>
      </c>
      <c r="T3665" s="28">
        <v>593890000</v>
      </c>
      <c r="U3665" s="28"/>
      <c r="V3665" s="28">
        <v>1007540000</v>
      </c>
      <c r="W3665" s="28"/>
      <c r="X3665" s="28">
        <v>236382000</v>
      </c>
      <c r="Y3665" s="28">
        <v>2605645000</v>
      </c>
      <c r="Z3665" s="28">
        <v>196898000</v>
      </c>
      <c r="AA3665" s="28">
        <v>23569000</v>
      </c>
      <c r="AB3665" s="28">
        <v>61975000</v>
      </c>
      <c r="AC3665" s="28">
        <v>2362027000</v>
      </c>
      <c r="AD3665" s="28">
        <v>197398000</v>
      </c>
      <c r="AE3665" s="28">
        <v>4007592000</v>
      </c>
      <c r="AF3665" s="28">
        <v>84086000</v>
      </c>
      <c r="AG3665" s="11"/>
    </row>
    <row r="3666">
      <c r="A3666" s="7" t="s">
        <v>5326</v>
      </c>
      <c r="B3666" s="5" t="s">
        <v>13292</v>
      </c>
      <c r="C3666" s="5" t="s">
        <v>21088</v>
      </c>
      <c r="D3666" s="5" t="str">
        <v>661801199401</v>
      </c>
      <c r="E3666" s="0" t="e">
        <f>+7 (3537) 928100
+7 (35379) 31438
+7 (35379) 38672</f>
        <v>#NAME?</v>
      </c>
      <c r="F3666" s="5"/>
      <c r="G3666" s="5"/>
      <c r="H3666" s="26">
        <v>23</v>
      </c>
      <c r="I3666" s="5" t="s">
        <v>36370</v>
      </c>
      <c r="J3666" s="5" t="s">
        <v>32455</v>
      </c>
      <c r="K3666" s="5" t="s">
        <v>355</v>
      </c>
      <c r="L3666" s="5" t="s">
        <v>36371</v>
      </c>
      <c r="M3666" s="27">
        <v>18654979</v>
      </c>
      <c r="N3666" s="5"/>
      <c r="O3666" s="5" t="str">
        <v>5606001611</v>
      </c>
      <c r="P3666" s="27">
        <v>1735360000</v>
      </c>
      <c r="Q3666" s="5"/>
      <c r="R3666" s="5"/>
      <c r="S3666" s="5" t="s">
        <v>49121</v>
      </c>
      <c r="T3666" s="28">
        <v>5765705000</v>
      </c>
      <c r="U3666" s="28">
        <v>235000</v>
      </c>
      <c r="V3666" s="28">
        <v>854956000</v>
      </c>
      <c r="W3666" s="28"/>
      <c r="X3666" s="28">
        <v>46841000</v>
      </c>
      <c r="Y3666" s="28">
        <v>11014301000</v>
      </c>
      <c r="Z3666" s="28">
        <v>5438061000</v>
      </c>
      <c r="AA3666" s="28"/>
      <c r="AB3666" s="28">
        <v>1776881000</v>
      </c>
      <c r="AC3666" s="28">
        <v>2902141000</v>
      </c>
      <c r="AD3666" s="28">
        <v>7173421000</v>
      </c>
      <c r="AE3666" s="28">
        <v>7639478000</v>
      </c>
      <c r="AF3666" s="28">
        <v>105058000</v>
      </c>
      <c r="AG3666" s="11"/>
    </row>
    <row r="3667">
      <c r="A3667" s="7" t="s">
        <v>5327</v>
      </c>
      <c r="B3667" s="5" t="s">
        <v>13293</v>
      </c>
      <c r="C3667" s="5" t="s">
        <v>21089</v>
      </c>
      <c r="D3667" s="5" t="str">
        <v>421502463167</v>
      </c>
      <c r="E3667" s="0" t="e">
        <f>+7 (815) 2423127
+7 (815) 2480012
+7 (815) 2480021
+7 (815) 2480022
+7 (815) 2480028
+7 (815) 2480062
+7 (815) 2480125
+7 (815) 2480158
+7 (815) 2480184
+7 (815) 2480205
+7 (815) 2480240
+7 (815) 2480322
+7 (815) 2480443
+7 (815) 2480473
+7 (815) 2480481</f>
        <v>#NAME?</v>
      </c>
      <c r="F3667" s="5" t="s">
        <v>36372</v>
      </c>
      <c r="G3667" s="5"/>
      <c r="H3667" s="26">
        <v>28.5</v>
      </c>
      <c r="I3667" s="5" t="s">
        <v>36373</v>
      </c>
      <c r="J3667" s="5" t="s">
        <v>26905</v>
      </c>
      <c r="K3667" s="5" t="s">
        <v>344</v>
      </c>
      <c r="L3667" s="5" t="s">
        <v>36374</v>
      </c>
      <c r="M3667" s="27">
        <v>23167015</v>
      </c>
      <c r="N3667" s="5" t="s">
        <v>54974</v>
      </c>
      <c r="O3667" s="5" t="str">
        <v>5190400349</v>
      </c>
      <c r="P3667" s="27">
        <v>227373000</v>
      </c>
      <c r="Q3667" s="5" t="s">
        <v>54975</v>
      </c>
      <c r="R3667" s="5"/>
      <c r="S3667" s="5" t="s">
        <v>49288</v>
      </c>
      <c r="T3667" s="28">
        <v>8929216000</v>
      </c>
      <c r="U3667" s="28">
        <v>14083826000</v>
      </c>
      <c r="V3667" s="28">
        <v>4224755000</v>
      </c>
      <c r="W3667" s="28">
        <v>458470000</v>
      </c>
      <c r="X3667" s="28">
        <v>18868000</v>
      </c>
      <c r="Y3667" s="28">
        <v>28407125000</v>
      </c>
      <c r="Z3667" s="28">
        <v>7763472000</v>
      </c>
      <c r="AA3667" s="28">
        <v>11183805000</v>
      </c>
      <c r="AB3667" s="28">
        <v>5743460000</v>
      </c>
      <c r="AC3667" s="28">
        <v>7235429000</v>
      </c>
      <c r="AD3667" s="28">
        <v>8002214000</v>
      </c>
      <c r="AE3667" s="28">
        <v>10701817000</v>
      </c>
      <c r="AF3667" s="28">
        <v>7792118000</v>
      </c>
      <c r="AG3667" s="11"/>
    </row>
    <row r="3668">
      <c r="A3668" s="7" t="s">
        <v>5328</v>
      </c>
      <c r="B3668" s="5" t="s">
        <v>13294</v>
      </c>
      <c r="C3668" s="5" t="s">
        <v>21090</v>
      </c>
      <c r="D3668" s="5" t="str">
        <v>500501314805</v>
      </c>
      <c r="E3668" s="0" t="e">
        <f>+7 (495) 6152521
+7 (4912) 905851
+7 (495) 2152821
+7 (495) 3550229
+7 (495) 5229414
+7 (495) 5229903
+7 (495) 5229918
+7 (495) 5229994
+7 (495) 5552555
+7 (499) 1102095
+7 (83145) 98292</f>
        <v>#NAME?</v>
      </c>
      <c r="F3668" s="5" t="s">
        <v>36375</v>
      </c>
      <c r="G3668" s="5" t="s">
        <v>36376</v>
      </c>
      <c r="H3668" s="26">
        <v>30</v>
      </c>
      <c r="I3668" s="5"/>
      <c r="J3668" s="5" t="s">
        <v>25210</v>
      </c>
      <c r="K3668" s="5" t="s">
        <v>344</v>
      </c>
      <c r="L3668" s="5"/>
      <c r="M3668" s="27"/>
      <c r="N3668" s="5" t="s">
        <v>54976</v>
      </c>
      <c r="O3668" s="5" t="str">
        <v>7705014502</v>
      </c>
      <c r="P3668" s="27">
        <v>6068490</v>
      </c>
      <c r="Q3668" s="5" t="s">
        <v>49579</v>
      </c>
      <c r="R3668" s="5"/>
      <c r="S3668" s="5" t="s">
        <v>54977</v>
      </c>
      <c r="T3668" s="28">
        <v>69617000</v>
      </c>
      <c r="U3668" s="28"/>
      <c r="V3668" s="28">
        <v>596968000</v>
      </c>
      <c r="W3668" s="28">
        <v>866466000</v>
      </c>
      <c r="X3668" s="28">
        <v>17838000</v>
      </c>
      <c r="Y3668" s="28">
        <v>1846030000</v>
      </c>
      <c r="Z3668" s="28">
        <v>1471980000</v>
      </c>
      <c r="AA3668" s="28"/>
      <c r="AB3668" s="28"/>
      <c r="AC3668" s="28">
        <v>305718000</v>
      </c>
      <c r="AD3668" s="28">
        <v>1534151000</v>
      </c>
      <c r="AE3668" s="28">
        <v>4210909000</v>
      </c>
      <c r="AF3668" s="28">
        <v>19275000</v>
      </c>
      <c r="AG3668" s="11"/>
    </row>
    <row r="3669">
      <c r="A3669" s="7" t="s">
        <v>5329</v>
      </c>
      <c r="B3669" s="5" t="s">
        <v>13295</v>
      </c>
      <c r="C3669" s="5" t="s">
        <v>21091</v>
      </c>
      <c r="D3669" s="5" t="str">
        <v>504900071005</v>
      </c>
      <c r="E3669" s="0" t="e">
        <f>+7 (800) 2001141
+7 (812) 3098142
+7 (812) 3341344
+7 (812) 4068803
+7 (812) 4068887
+7 (812) 4068888
+7 (812) 6358867</f>
        <v>#NAME?</v>
      </c>
      <c r="F3669" s="5"/>
      <c r="G3669" s="5"/>
      <c r="H3669" s="26">
        <v>20</v>
      </c>
      <c r="I3669" s="5" t="s">
        <v>36377</v>
      </c>
      <c r="J3669" s="5" t="s">
        <v>33507</v>
      </c>
      <c r="K3669" s="5" t="s">
        <v>355</v>
      </c>
      <c r="L3669" s="5"/>
      <c r="M3669" s="27"/>
      <c r="N3669" s="5" t="s">
        <v>54978</v>
      </c>
      <c r="O3669" s="5" t="str">
        <v>7724269506</v>
      </c>
      <c r="P3669" s="27">
        <v>775000750</v>
      </c>
      <c r="Q3669" s="5"/>
      <c r="R3669" s="5"/>
      <c r="S3669" s="5" t="s">
        <v>50096</v>
      </c>
      <c r="T3669" s="28">
        <v>1895275000</v>
      </c>
      <c r="U3669" s="28">
        <v>1827000</v>
      </c>
      <c r="V3669" s="28">
        <v>519619000</v>
      </c>
      <c r="W3669" s="28">
        <v>747800000</v>
      </c>
      <c r="X3669" s="28">
        <v>46195000</v>
      </c>
      <c r="Y3669" s="28">
        <v>5174119000</v>
      </c>
      <c r="Z3669" s="28">
        <v>-1928206000</v>
      </c>
      <c r="AA3669" s="28">
        <v>2375500000</v>
      </c>
      <c r="AB3669" s="28">
        <v>87000000</v>
      </c>
      <c r="AC3669" s="28">
        <v>989599000</v>
      </c>
      <c r="AD3669" s="28">
        <v>1057274000</v>
      </c>
      <c r="AE3669" s="28">
        <v>3037243000</v>
      </c>
      <c r="AF3669" s="28">
        <v>-12673000</v>
      </c>
      <c r="AG3669" s="11"/>
    </row>
    <row r="3670">
      <c r="A3670" s="7" t="s">
        <v>5330</v>
      </c>
      <c r="B3670" s="5" t="s">
        <v>13296</v>
      </c>
      <c r="C3670" s="5" t="s">
        <v>21092</v>
      </c>
      <c r="D3670" s="5" t="str">
        <v>503601417535</v>
      </c>
      <c r="E3670" s="0" t="e">
        <f>+7 (499) 1711326
+7 (499) 1711354
+7 (499) 1715219</f>
        <v>#NAME?</v>
      </c>
      <c r="F3670" s="5"/>
      <c r="G3670" s="5"/>
      <c r="H3670" s="26">
        <v>29.5</v>
      </c>
      <c r="I3670" s="5"/>
      <c r="J3670" s="5" t="s">
        <v>28451</v>
      </c>
      <c r="K3670" s="5" t="s">
        <v>344</v>
      </c>
      <c r="L3670" s="5" t="s">
        <v>36378</v>
      </c>
      <c r="M3670" s="27"/>
      <c r="N3670" s="5"/>
      <c r="O3670" s="5" t="str">
        <v>7721037296</v>
      </c>
      <c r="P3670" s="27">
        <v>5150051</v>
      </c>
      <c r="Q3670" s="5" t="s">
        <v>49009</v>
      </c>
      <c r="R3670" s="5"/>
      <c r="S3670" s="5" t="s">
        <v>54979</v>
      </c>
      <c r="T3670" s="28">
        <v>1311005000</v>
      </c>
      <c r="U3670" s="28">
        <v>440547000</v>
      </c>
      <c r="V3670" s="28">
        <v>3400088000</v>
      </c>
      <c r="W3670" s="28">
        <v>302357000</v>
      </c>
      <c r="X3670" s="28">
        <v>2130000</v>
      </c>
      <c r="Y3670" s="28">
        <v>7041612000</v>
      </c>
      <c r="Z3670" s="28">
        <v>6339999000</v>
      </c>
      <c r="AA3670" s="28"/>
      <c r="AB3670" s="28">
        <v>419594000</v>
      </c>
      <c r="AC3670" s="28">
        <v>603147000</v>
      </c>
      <c r="AD3670" s="28">
        <v>6438452000</v>
      </c>
      <c r="AE3670" s="28">
        <v>5432989000</v>
      </c>
      <c r="AF3670" s="28">
        <v>710941000</v>
      </c>
      <c r="AG3670" s="11"/>
    </row>
    <row r="3671">
      <c r="A3671" s="7" t="s">
        <v>5331</v>
      </c>
      <c r="B3671" s="5" t="s">
        <v>13297</v>
      </c>
      <c r="C3671" s="5" t="s">
        <v>21093</v>
      </c>
      <c r="D3671" s="5"/>
      <c r="E3671" s="0" t="e">
        <f>+7 (495) 5439397
+7 (495) 7975926</f>
        <v>#NAME?</v>
      </c>
      <c r="F3671" s="5" t="s">
        <v>36379</v>
      </c>
      <c r="G3671" s="5" t="s">
        <v>36380</v>
      </c>
      <c r="H3671" s="26">
        <v>14.5</v>
      </c>
      <c r="I3671" s="5" t="s">
        <v>36381</v>
      </c>
      <c r="J3671" s="5" t="s">
        <v>26355</v>
      </c>
      <c r="K3671" s="5" t="s">
        <v>344</v>
      </c>
      <c r="L3671" s="5" t="s">
        <v>36382</v>
      </c>
      <c r="M3671" s="27">
        <v>2032256</v>
      </c>
      <c r="N3671" s="5" t="s">
        <v>54980</v>
      </c>
      <c r="O3671" s="5" t="str">
        <v>5031081930</v>
      </c>
      <c r="P3671" s="27">
        <v>100000000</v>
      </c>
      <c r="Q3671" s="5" t="s">
        <v>54981</v>
      </c>
      <c r="R3671" s="5"/>
      <c r="S3671" s="5" t="s">
        <v>49373</v>
      </c>
      <c r="T3671" s="28">
        <v>1473369000</v>
      </c>
      <c r="U3671" s="28">
        <v>9000</v>
      </c>
      <c r="V3671" s="28">
        <v>7298840000</v>
      </c>
      <c r="W3671" s="28">
        <v>286521000</v>
      </c>
      <c r="X3671" s="28">
        <v>76964000</v>
      </c>
      <c r="Y3671" s="28">
        <v>9565237000</v>
      </c>
      <c r="Z3671" s="28">
        <v>2826600000</v>
      </c>
      <c r="AA3671" s="28"/>
      <c r="AB3671" s="28">
        <v>882000000</v>
      </c>
      <c r="AC3671" s="28">
        <v>6161169000</v>
      </c>
      <c r="AD3671" s="28">
        <v>2926600000</v>
      </c>
      <c r="AE3671" s="28">
        <v>28530418000</v>
      </c>
      <c r="AF3671" s="28">
        <v>2319667000</v>
      </c>
      <c r="AG3671" s="11"/>
    </row>
    <row r="3672">
      <c r="A3672" s="7" t="s">
        <v>5332</v>
      </c>
      <c r="B3672" s="5" t="s">
        <v>13298</v>
      </c>
      <c r="C3672" s="5" t="s">
        <v>21094</v>
      </c>
      <c r="D3672" s="5" t="str">
        <v>246004774127</v>
      </c>
      <c r="E3672" s="0" t="e">
        <f>+7 (910) 4888793</f>
        <v>#NAME?</v>
      </c>
      <c r="F3672" s="5"/>
      <c r="G3672" s="5" t="s">
        <v>36383</v>
      </c>
      <c r="H3672" s="26">
        <v>3.5</v>
      </c>
      <c r="I3672" s="5" t="s">
        <v>36384</v>
      </c>
      <c r="J3672" s="5" t="s">
        <v>36385</v>
      </c>
      <c r="K3672" s="5" t="s">
        <v>344</v>
      </c>
      <c r="L3672" s="5"/>
      <c r="M3672" s="27"/>
      <c r="N3672" s="5"/>
      <c r="O3672" s="5" t="str">
        <v>9704003050</v>
      </c>
      <c r="P3672" s="27">
        <v>13726</v>
      </c>
      <c r="Q3672" s="5"/>
      <c r="R3672" s="5"/>
      <c r="S3672" s="5" t="s">
        <v>49029</v>
      </c>
      <c r="T3672" s="28">
        <v>327786000</v>
      </c>
      <c r="U3672" s="28">
        <v>10309000</v>
      </c>
      <c r="V3672" s="28">
        <v>438660000</v>
      </c>
      <c r="W3672" s="28"/>
      <c r="X3672" s="28">
        <v>33755000</v>
      </c>
      <c r="Y3672" s="28">
        <v>981170000</v>
      </c>
      <c r="Z3672" s="28">
        <v>-753481000</v>
      </c>
      <c r="AA3672" s="28">
        <v>995790000</v>
      </c>
      <c r="AB3672" s="28">
        <v>11725000</v>
      </c>
      <c r="AC3672" s="28">
        <v>430539000</v>
      </c>
      <c r="AD3672" s="28">
        <v>-624419000</v>
      </c>
      <c r="AE3672" s="28">
        <v>3105385000</v>
      </c>
      <c r="AF3672" s="28">
        <v>-249053000</v>
      </c>
      <c r="AG3672" s="11"/>
    </row>
    <row r="3673">
      <c r="A3673" s="7" t="s">
        <v>5333</v>
      </c>
      <c r="B3673" s="5" t="s">
        <v>13299</v>
      </c>
      <c r="C3673" s="5" t="s">
        <v>21095</v>
      </c>
      <c r="D3673" s="5" t="str">
        <v>732105141226</v>
      </c>
      <c r="E3673" s="0" t="e">
        <f>+7 (845) 2247735
+7 (495) 6422030
+7 (845) 2247734
+7 (903) 1301254
+7 (910) 4989584
+7 (925) 78157
+7 (925) 89445
+7 (925) 790924
+7 (925) 7061887
+7 (925) 7852924
+7 (925) 7858182
+7 (926) 163955
+7 (926) 163958
+7 (926) 163983
+7 (926) 164045</f>
        <v>#NAME?</v>
      </c>
      <c r="F3673" s="5" t="s">
        <v>36386</v>
      </c>
      <c r="G3673" s="5"/>
      <c r="H3673" s="26">
        <v>10.5</v>
      </c>
      <c r="I3673" s="5" t="s">
        <v>36387</v>
      </c>
      <c r="J3673" s="5" t="s">
        <v>25216</v>
      </c>
      <c r="K3673" s="5" t="s">
        <v>344</v>
      </c>
      <c r="L3673" s="5" t="s">
        <v>36388</v>
      </c>
      <c r="M3673" s="27"/>
      <c r="N3673" s="5"/>
      <c r="O3673" s="5" t="str">
        <v>6432016023</v>
      </c>
      <c r="P3673" s="27">
        <v>12000</v>
      </c>
      <c r="Q3673" s="5"/>
      <c r="R3673" s="5"/>
      <c r="S3673" s="5" t="s">
        <v>49125</v>
      </c>
      <c r="T3673" s="28">
        <v>30467000</v>
      </c>
      <c r="U3673" s="28">
        <v>704115000</v>
      </c>
      <c r="V3673" s="28">
        <v>2372220000</v>
      </c>
      <c r="W3673" s="28">
        <v>40000</v>
      </c>
      <c r="X3673" s="28">
        <v>104938000</v>
      </c>
      <c r="Y3673" s="28">
        <v>3718525000</v>
      </c>
      <c r="Z3673" s="28">
        <v>1037098000</v>
      </c>
      <c r="AA3673" s="28">
        <v>66830000</v>
      </c>
      <c r="AB3673" s="28">
        <v>600153000</v>
      </c>
      <c r="AC3673" s="28">
        <v>2589904000</v>
      </c>
      <c r="AD3673" s="28">
        <v>1037110000</v>
      </c>
      <c r="AE3673" s="28">
        <v>8726140000</v>
      </c>
      <c r="AF3673" s="28">
        <v>204435000</v>
      </c>
      <c r="AG3673" s="11"/>
    </row>
    <row r="3674">
      <c r="A3674" s="7" t="s">
        <v>5334</v>
      </c>
      <c r="B3674" s="5" t="s">
        <v>13300</v>
      </c>
      <c r="C3674" s="5" t="s">
        <v>18349</v>
      </c>
      <c r="D3674" s="5"/>
      <c r="E3674" s="0" t="e">
        <f>+7 (42135) 31128
+7 (42135) 31379</f>
        <v>#NAME?</v>
      </c>
      <c r="F3674" s="5"/>
      <c r="G3674" s="5"/>
      <c r="H3674" s="26">
        <v>23</v>
      </c>
      <c r="I3674" s="5"/>
      <c r="J3674" s="5" t="s">
        <v>26499</v>
      </c>
      <c r="K3674" s="5" t="s">
        <v>355</v>
      </c>
      <c r="L3674" s="5" t="s">
        <v>36389</v>
      </c>
      <c r="M3674" s="27">
        <v>362000</v>
      </c>
      <c r="N3674" s="5"/>
      <c r="O3674" s="5" t="str">
        <v>2705090529</v>
      </c>
      <c r="P3674" s="27">
        <v>10000031</v>
      </c>
      <c r="Q3674" s="5" t="s">
        <v>49009</v>
      </c>
      <c r="R3674" s="5"/>
      <c r="S3674" s="5" t="s">
        <v>50310</v>
      </c>
      <c r="T3674" s="28">
        <v>4054271000</v>
      </c>
      <c r="U3674" s="28">
        <v>13146557000</v>
      </c>
      <c r="V3674" s="28">
        <v>40343637000</v>
      </c>
      <c r="W3674" s="28"/>
      <c r="X3674" s="28">
        <v>92356000</v>
      </c>
      <c r="Y3674" s="28">
        <v>67536029000</v>
      </c>
      <c r="Z3674" s="28">
        <v>27020997000</v>
      </c>
      <c r="AA3674" s="28">
        <v>7969861000</v>
      </c>
      <c r="AB3674" s="28">
        <v>21707904000</v>
      </c>
      <c r="AC3674" s="28">
        <v>30333485000</v>
      </c>
      <c r="AD3674" s="28">
        <v>27031652000</v>
      </c>
      <c r="AE3674" s="28">
        <v>36206589000</v>
      </c>
      <c r="AF3674" s="28">
        <v>18120505000</v>
      </c>
      <c r="AG3674" s="11"/>
    </row>
    <row r="3675">
      <c r="A3675" s="7" t="s">
        <v>5335</v>
      </c>
      <c r="B3675" s="5" t="s">
        <v>13301</v>
      </c>
      <c r="C3675" s="5" t="s">
        <v>21096</v>
      </c>
      <c r="D3675" s="5" t="str">
        <v>434549512485</v>
      </c>
      <c r="E3675" s="0" t="e">
        <f>+7 (499) 3468659
+7 (912) 7307131</f>
        <v>#NAME?</v>
      </c>
      <c r="F3675" s="5" t="s">
        <v>36390</v>
      </c>
      <c r="G3675" s="5"/>
      <c r="H3675" s="26">
        <v>5.5</v>
      </c>
      <c r="I3675" s="5" t="s">
        <v>36391</v>
      </c>
      <c r="J3675" s="5" t="s">
        <v>373</v>
      </c>
      <c r="K3675" s="5" t="s">
        <v>344</v>
      </c>
      <c r="L3675" s="5" t="s">
        <v>33976</v>
      </c>
      <c r="M3675" s="27"/>
      <c r="N3675" s="5"/>
      <c r="O3675" s="5" t="str">
        <v>9705100931</v>
      </c>
      <c r="P3675" s="27">
        <v>50000</v>
      </c>
      <c r="Q3675" s="5" t="s">
        <v>49009</v>
      </c>
      <c r="R3675" s="5"/>
      <c r="S3675" s="5" t="s">
        <v>49010</v>
      </c>
      <c r="T3675" s="28"/>
      <c r="U3675" s="28"/>
      <c r="V3675" s="28"/>
      <c r="W3675" s="28"/>
      <c r="X3675" s="28">
        <v>4000</v>
      </c>
      <c r="Y3675" s="28">
        <v>142273000</v>
      </c>
      <c r="Z3675" s="28">
        <v>142223000</v>
      </c>
      <c r="AA3675" s="28"/>
      <c r="AB3675" s="28"/>
      <c r="AC3675" s="28"/>
      <c r="AD3675" s="28">
        <v>142273000</v>
      </c>
      <c r="AE3675" s="28">
        <v>4652626000</v>
      </c>
      <c r="AF3675" s="28">
        <v>58455000</v>
      </c>
      <c r="AG3675" s="11"/>
    </row>
    <row r="3676">
      <c r="A3676" s="7" t="s">
        <v>5336</v>
      </c>
      <c r="B3676" s="5" t="s">
        <v>13302</v>
      </c>
      <c r="C3676" s="5" t="s">
        <v>21097</v>
      </c>
      <c r="D3676" s="5" t="str">
        <v>027613166995</v>
      </c>
      <c r="E3676" s="0" t="e">
        <f>+7 (901) 4403969
+7 (3472) 468897</f>
        <v>#NAME?</v>
      </c>
      <c r="F3676" s="5" t="s">
        <v>36392</v>
      </c>
      <c r="G3676" s="5" t="s">
        <v>36393</v>
      </c>
      <c r="H3676" s="26">
        <v>14</v>
      </c>
      <c r="I3676" s="5" t="s">
        <v>36394</v>
      </c>
      <c r="J3676" s="5" t="s">
        <v>364</v>
      </c>
      <c r="K3676" s="5" t="s">
        <v>355</v>
      </c>
      <c r="L3676" s="5" t="s">
        <v>36395</v>
      </c>
      <c r="M3676" s="27">
        <v>342556741</v>
      </c>
      <c r="N3676" s="5"/>
      <c r="O3676" s="5" t="str">
        <v>0273072903</v>
      </c>
      <c r="P3676" s="27">
        <v>10181900</v>
      </c>
      <c r="Q3676" s="5" t="s">
        <v>49822</v>
      </c>
      <c r="R3676" s="5"/>
      <c r="S3676" s="5" t="s">
        <v>54982</v>
      </c>
      <c r="T3676" s="28">
        <v>297697000</v>
      </c>
      <c r="U3676" s="28"/>
      <c r="V3676" s="28">
        <v>630853000</v>
      </c>
      <c r="W3676" s="28">
        <v>90000000</v>
      </c>
      <c r="X3676" s="28">
        <v>350971000</v>
      </c>
      <c r="Y3676" s="28">
        <v>1524030000</v>
      </c>
      <c r="Z3676" s="28">
        <v>359643000</v>
      </c>
      <c r="AA3676" s="28"/>
      <c r="AB3676" s="28"/>
      <c r="AC3676" s="28">
        <v>1105260000</v>
      </c>
      <c r="AD3676" s="28">
        <v>369825000</v>
      </c>
      <c r="AE3676" s="28">
        <v>3747675000</v>
      </c>
      <c r="AF3676" s="28">
        <v>22892000</v>
      </c>
      <c r="AG3676" s="11"/>
    </row>
    <row r="3677">
      <c r="A3677" s="7" t="s">
        <v>5337</v>
      </c>
      <c r="B3677" s="5" t="s">
        <v>13303</v>
      </c>
      <c r="C3677" s="5" t="s">
        <v>21098</v>
      </c>
      <c r="D3677" s="5" t="str">
        <v>503609904435</v>
      </c>
      <c r="F3677" s="5"/>
      <c r="G3677" s="5" t="s">
        <v>36396</v>
      </c>
      <c r="H3677" s="26">
        <v>6</v>
      </c>
      <c r="I3677" s="5" t="s">
        <v>36397</v>
      </c>
      <c r="J3677" s="5" t="s">
        <v>32226</v>
      </c>
      <c r="K3677" s="5" t="s">
        <v>344</v>
      </c>
      <c r="L3677" s="5"/>
      <c r="M3677" s="27"/>
      <c r="N3677" s="5"/>
      <c r="O3677" s="5" t="str">
        <v>7726398970</v>
      </c>
      <c r="P3677" s="27">
        <v>10000</v>
      </c>
      <c r="Q3677" s="5"/>
      <c r="R3677" s="5"/>
      <c r="S3677" s="5" t="s">
        <v>49047</v>
      </c>
      <c r="T3677" s="28"/>
      <c r="U3677" s="28"/>
      <c r="V3677" s="28">
        <v>611580000</v>
      </c>
      <c r="W3677" s="28"/>
      <c r="X3677" s="28">
        <v>48310000</v>
      </c>
      <c r="Y3677" s="28">
        <v>891404000</v>
      </c>
      <c r="Z3677" s="28">
        <v>84379000</v>
      </c>
      <c r="AA3677" s="28"/>
      <c r="AB3677" s="28"/>
      <c r="AC3677" s="28">
        <v>788135000</v>
      </c>
      <c r="AD3677" s="28">
        <v>84499000</v>
      </c>
      <c r="AE3677" s="28">
        <v>3372265000</v>
      </c>
      <c r="AF3677" s="28">
        <v>149961000</v>
      </c>
      <c r="AG3677" s="11"/>
    </row>
    <row r="3678">
      <c r="A3678" s="7" t="s">
        <v>5338</v>
      </c>
      <c r="B3678" s="5" t="s">
        <v>13304</v>
      </c>
      <c r="C3678" s="5" t="s">
        <v>21099</v>
      </c>
      <c r="D3678" s="5" t="str">
        <v>645205939628</v>
      </c>
      <c r="E3678" s="0" t="e">
        <f>+7 (495) 5108333</f>
        <v>#NAME?</v>
      </c>
      <c r="F3678" s="5" t="s">
        <v>36398</v>
      </c>
      <c r="G3678" s="5"/>
      <c r="H3678" s="26">
        <v>17.5</v>
      </c>
      <c r="I3678" s="5" t="s">
        <v>36399</v>
      </c>
      <c r="J3678" s="5" t="s">
        <v>36400</v>
      </c>
      <c r="K3678" s="5" t="s">
        <v>344</v>
      </c>
      <c r="L3678" s="5"/>
      <c r="M3678" s="27"/>
      <c r="N3678" s="5" t="s">
        <v>54983</v>
      </c>
      <c r="O3678" s="5" t="str">
        <v>7716527136</v>
      </c>
      <c r="P3678" s="27">
        <v>10000</v>
      </c>
      <c r="Q3678" s="5"/>
      <c r="R3678" s="5"/>
      <c r="S3678" s="5" t="s">
        <v>49095</v>
      </c>
      <c r="T3678" s="28">
        <v>38000</v>
      </c>
      <c r="U3678" s="28"/>
      <c r="V3678" s="28">
        <v>20705000</v>
      </c>
      <c r="W3678" s="28"/>
      <c r="X3678" s="28">
        <v>2972000</v>
      </c>
      <c r="Y3678" s="28">
        <v>25155000</v>
      </c>
      <c r="Z3678" s="28">
        <v>5143000</v>
      </c>
      <c r="AA3678" s="28"/>
      <c r="AB3678" s="28"/>
      <c r="AC3678" s="28">
        <v>19961000</v>
      </c>
      <c r="AD3678" s="28">
        <v>5153000</v>
      </c>
      <c r="AE3678" s="28">
        <v>50508382000</v>
      </c>
      <c r="AF3678" s="28">
        <v>7496622000</v>
      </c>
      <c r="AG3678" s="11"/>
    </row>
    <row r="3679">
      <c r="A3679" s="7" t="s">
        <v>5339</v>
      </c>
      <c r="B3679" s="5" t="s">
        <v>13305</v>
      </c>
      <c r="C3679" s="5" t="s">
        <v>21100</v>
      </c>
      <c r="D3679" s="5" t="str">
        <v>772470712412</v>
      </c>
      <c r="E3679" s="0" t="e">
        <f>+7 (800) 3013010
+7 (924) 4560800
+7 (926) 2385755
+7 (968) 9632068
+7 (42455) 21155
+7 (42455) 21831
+7 (495) 7823960
+7 (495) 7823961
+7 (495) 9374260
+7 (963) 6900207
+7 (968) 9632041</f>
        <v>#NAME?</v>
      </c>
      <c r="F3679" s="5" t="s">
        <v>36401</v>
      </c>
      <c r="G3679" s="5" t="s">
        <v>36402</v>
      </c>
      <c r="H3679" s="26">
        <v>16.5</v>
      </c>
      <c r="I3679" s="5"/>
      <c r="J3679" s="5" t="s">
        <v>27640</v>
      </c>
      <c r="K3679" s="5" t="s">
        <v>344</v>
      </c>
      <c r="L3679" s="5"/>
      <c r="M3679" s="27">
        <v>5039855</v>
      </c>
      <c r="N3679" s="5" t="s">
        <v>54984</v>
      </c>
      <c r="O3679" s="5" t="str">
        <v>7706627050</v>
      </c>
      <c r="P3679" s="27">
        <v>9397920000</v>
      </c>
      <c r="Q3679" s="5" t="s">
        <v>54985</v>
      </c>
      <c r="R3679" s="5"/>
      <c r="S3679" s="5" t="s">
        <v>54986</v>
      </c>
      <c r="T3679" s="28">
        <v>3635570000</v>
      </c>
      <c r="U3679" s="28"/>
      <c r="V3679" s="28">
        <v>813224000</v>
      </c>
      <c r="W3679" s="28"/>
      <c r="X3679" s="28">
        <v>855617000</v>
      </c>
      <c r="Y3679" s="28">
        <v>10219103000</v>
      </c>
      <c r="Z3679" s="28">
        <v>176693000</v>
      </c>
      <c r="AA3679" s="28"/>
      <c r="AB3679" s="28"/>
      <c r="AC3679" s="28">
        <v>455461000</v>
      </c>
      <c r="AD3679" s="28">
        <v>9692902000</v>
      </c>
      <c r="AE3679" s="28">
        <v>4035432000</v>
      </c>
      <c r="AF3679" s="28">
        <v>65097000</v>
      </c>
      <c r="AG3679" s="11"/>
    </row>
    <row r="3680">
      <c r="A3680" s="7" t="s">
        <v>5340</v>
      </c>
      <c r="B3680" s="5" t="s">
        <v>10547</v>
      </c>
      <c r="C3680" s="5" t="s">
        <v>21101</v>
      </c>
      <c r="D3680" s="5" t="str">
        <v>644909042871</v>
      </c>
      <c r="E3680" s="0" t="e">
        <f>+7 (8453) 763253
+7 (845) 3527777
+7 (84535) 20002
+7 (84535) 28888
+7 (84535) 29999</f>
        <v>#NAME?</v>
      </c>
      <c r="F3680" s="5" t="s">
        <v>36403</v>
      </c>
      <c r="G3680" s="5"/>
      <c r="H3680" s="26">
        <v>8</v>
      </c>
      <c r="I3680" s="5" t="s">
        <v>36404</v>
      </c>
      <c r="J3680" s="5" t="s">
        <v>25231</v>
      </c>
      <c r="K3680" s="5" t="s">
        <v>380</v>
      </c>
      <c r="L3680" s="5" t="s">
        <v>33133</v>
      </c>
      <c r="M3680" s="27"/>
      <c r="N3680" s="5"/>
      <c r="O3680" s="5" t="str">
        <v>6449076937</v>
      </c>
      <c r="P3680" s="27">
        <v>2415000</v>
      </c>
      <c r="Q3680" s="5" t="s">
        <v>49319</v>
      </c>
      <c r="R3680" s="5" t="s">
        <v>54987</v>
      </c>
      <c r="S3680" s="5" t="s">
        <v>54988</v>
      </c>
      <c r="T3680" s="28">
        <v>1245048000</v>
      </c>
      <c r="U3680" s="28"/>
      <c r="V3680" s="28">
        <v>450786000</v>
      </c>
      <c r="W3680" s="28">
        <v>60000</v>
      </c>
      <c r="X3680" s="28">
        <v>1823000</v>
      </c>
      <c r="Y3680" s="28">
        <v>2446402000</v>
      </c>
      <c r="Z3680" s="28">
        <v>291188000</v>
      </c>
      <c r="AA3680" s="28">
        <v>492489000</v>
      </c>
      <c r="AB3680" s="28">
        <v>906274000</v>
      </c>
      <c r="AC3680" s="28">
        <v>1551962000</v>
      </c>
      <c r="AD3680" s="28">
        <v>340142000</v>
      </c>
      <c r="AE3680" s="28">
        <v>4254368000</v>
      </c>
      <c r="AF3680" s="28">
        <v>26583000</v>
      </c>
      <c r="AG3680" s="11"/>
    </row>
    <row r="3681">
      <c r="A3681" s="7" t="s">
        <v>5341</v>
      </c>
      <c r="B3681" s="5" t="s">
        <v>13306</v>
      </c>
      <c r="C3681" s="5" t="s">
        <v>21102</v>
      </c>
      <c r="D3681" s="5" t="str">
        <v>784303359396</v>
      </c>
      <c r="E3681" s="0" t="e">
        <f>+7 (812) 4180709
+7 (812) 2514197
+7 (812) 3328202
+7 (812) 4180710
+7 (812) 4180730
+7 (812) 4180733
+7 (812) 4180750
+7 (812) 4180784
+7 (812) 4180820
+7 (914) 2779777
+7 (921) 9837722</f>
        <v>#NAME?</v>
      </c>
      <c r="F3681" s="5" t="s">
        <v>36405</v>
      </c>
      <c r="G3681" s="5" t="s">
        <v>36406</v>
      </c>
      <c r="H3681" s="26">
        <v>15</v>
      </c>
      <c r="I3681" s="5" t="s">
        <v>36407</v>
      </c>
      <c r="J3681" s="5" t="s">
        <v>31114</v>
      </c>
      <c r="K3681" s="5" t="s">
        <v>344</v>
      </c>
      <c r="L3681" s="5" t="s">
        <v>36408</v>
      </c>
      <c r="M3681" s="27"/>
      <c r="N3681" s="5"/>
      <c r="O3681" s="5" t="str">
        <v>7801463476</v>
      </c>
      <c r="P3681" s="27">
        <v>852525000</v>
      </c>
      <c r="Q3681" s="5" t="s">
        <v>54989</v>
      </c>
      <c r="R3681" s="5"/>
      <c r="S3681" s="5" t="s">
        <v>49053</v>
      </c>
      <c r="T3681" s="28">
        <v>1204738000</v>
      </c>
      <c r="U3681" s="28"/>
      <c r="V3681" s="28">
        <v>108715000</v>
      </c>
      <c r="W3681" s="28"/>
      <c r="X3681" s="28">
        <v>2907180000</v>
      </c>
      <c r="Y3681" s="28">
        <v>7863095000</v>
      </c>
      <c r="Z3681" s="28">
        <v>-2540311000</v>
      </c>
      <c r="AA3681" s="28">
        <v>6279390000</v>
      </c>
      <c r="AB3681" s="28"/>
      <c r="AC3681" s="28">
        <v>233936000</v>
      </c>
      <c r="AD3681" s="28">
        <v>1307412000</v>
      </c>
      <c r="AE3681" s="28">
        <v>4842389000</v>
      </c>
      <c r="AF3681" s="28">
        <v>-1804139000</v>
      </c>
      <c r="AG3681" s="11"/>
    </row>
    <row r="3682">
      <c r="A3682" s="7" t="s">
        <v>5342</v>
      </c>
      <c r="B3682" s="5" t="s">
        <v>13307</v>
      </c>
      <c r="C3682" s="5" t="s">
        <v>21103</v>
      </c>
      <c r="D3682" s="5" t="str">
        <v>770380949822</v>
      </c>
      <c r="E3682" s="0" t="e">
        <f>+7 (495) 7754651
+7 (495) 7554652
+7 (495) 7754652</f>
        <v>#NAME?</v>
      </c>
      <c r="F3682" s="5"/>
      <c r="G3682" s="5"/>
      <c r="H3682" s="26">
        <v>18</v>
      </c>
      <c r="I3682" s="5" t="s">
        <v>36409</v>
      </c>
      <c r="J3682" s="5" t="s">
        <v>25550</v>
      </c>
      <c r="K3682" s="5" t="s">
        <v>344</v>
      </c>
      <c r="L3682" s="5"/>
      <c r="M3682" s="27"/>
      <c r="N3682" s="5"/>
      <c r="O3682" s="5" t="str">
        <v>7703536905</v>
      </c>
      <c r="P3682" s="27">
        <v>2850000</v>
      </c>
      <c r="Q3682" s="5" t="s">
        <v>49009</v>
      </c>
      <c r="R3682" s="5"/>
      <c r="S3682" s="5" t="s">
        <v>49010</v>
      </c>
      <c r="T3682" s="28">
        <v>1264099000</v>
      </c>
      <c r="U3682" s="28">
        <v>8525000</v>
      </c>
      <c r="V3682" s="28">
        <v>213623000</v>
      </c>
      <c r="W3682" s="28"/>
      <c r="X3682" s="28">
        <v>2457868000</v>
      </c>
      <c r="Y3682" s="28">
        <v>8967065000</v>
      </c>
      <c r="Z3682" s="28">
        <v>6333909000</v>
      </c>
      <c r="AA3682" s="28">
        <v>1361795000</v>
      </c>
      <c r="AB3682" s="28">
        <v>7519000</v>
      </c>
      <c r="AC3682" s="28">
        <v>962086000</v>
      </c>
      <c r="AD3682" s="28">
        <v>6336759000</v>
      </c>
      <c r="AE3682" s="28">
        <v>11703157000</v>
      </c>
      <c r="AF3682" s="28">
        <v>1134004000</v>
      </c>
      <c r="AG3682" s="11"/>
    </row>
    <row r="3683">
      <c r="A3683" s="7" t="s">
        <v>5343</v>
      </c>
      <c r="B3683" s="5" t="s">
        <v>13308</v>
      </c>
      <c r="C3683" s="5" t="s">
        <v>21104</v>
      </c>
      <c r="D3683" s="5" t="str">
        <v>771977333603</v>
      </c>
      <c r="E3683" s="0" t="e">
        <f>+7 (968) 9564397</f>
        <v>#NAME?</v>
      </c>
      <c r="F3683" s="5"/>
      <c r="G3683" s="5"/>
      <c r="H3683" s="26">
        <v>5.5</v>
      </c>
      <c r="I3683" s="5" t="s">
        <v>36410</v>
      </c>
      <c r="J3683" s="5" t="s">
        <v>36411</v>
      </c>
      <c r="K3683" s="5" t="s">
        <v>344</v>
      </c>
      <c r="L3683" s="5" t="s">
        <v>36412</v>
      </c>
      <c r="M3683" s="27">
        <v>19491953</v>
      </c>
      <c r="N3683" s="5" t="s">
        <v>54990</v>
      </c>
      <c r="O3683" s="5" t="str">
        <v>9705103604</v>
      </c>
      <c r="P3683" s="27">
        <v>500000</v>
      </c>
      <c r="Q3683" s="5" t="s">
        <v>52461</v>
      </c>
      <c r="R3683" s="5"/>
      <c r="S3683" s="5" t="s">
        <v>54991</v>
      </c>
      <c r="T3683" s="28">
        <v>1000</v>
      </c>
      <c r="U3683" s="28">
        <v>1066000</v>
      </c>
      <c r="V3683" s="28">
        <v>635910000</v>
      </c>
      <c r="W3683" s="28">
        <v>42969000</v>
      </c>
      <c r="X3683" s="28">
        <v>144916000</v>
      </c>
      <c r="Y3683" s="28">
        <v>873101000</v>
      </c>
      <c r="Z3683" s="28">
        <v>228650000</v>
      </c>
      <c r="AA3683" s="28"/>
      <c r="AB3683" s="28"/>
      <c r="AC3683" s="28">
        <v>624585000</v>
      </c>
      <c r="AD3683" s="28">
        <v>229150000</v>
      </c>
      <c r="AE3683" s="28">
        <v>5210645000</v>
      </c>
      <c r="AF3683" s="28">
        <v>151079000</v>
      </c>
      <c r="AG3683" s="11"/>
    </row>
    <row r="3684">
      <c r="A3684" s="7" t="s">
        <v>5344</v>
      </c>
      <c r="B3684" s="5" t="s">
        <v>13309</v>
      </c>
      <c r="C3684" s="5" t="s">
        <v>21105</v>
      </c>
      <c r="D3684" s="5" t="str">
        <v>745205021686</v>
      </c>
      <c r="E3684" s="0" t="e">
        <f>+7 (351) 2593960
+7 (351) 7728072
+7 (3512) 593535
+7 (3512) 593647
+7 (3512) 593995
+7 (912) 3104989
+7 (912) 3184865
+7 (912) 4795348
+7 (912) 7797679
+7 (912) 8916795
+7 (912) 8923968
+7 (918) 3473401
+7 (919) 1197234
+7 (919) 1197239
+7 (919) 3370721</f>
        <v>#NAME?</v>
      </c>
      <c r="F3684" s="5" t="s">
        <v>36413</v>
      </c>
      <c r="G3684" s="5" t="s">
        <v>36414</v>
      </c>
      <c r="H3684" s="26">
        <v>20.5</v>
      </c>
      <c r="I3684" s="5" t="s">
        <v>36415</v>
      </c>
      <c r="J3684" s="5" t="s">
        <v>36416</v>
      </c>
      <c r="K3684" s="5" t="s">
        <v>344</v>
      </c>
      <c r="L3684" s="5" t="s">
        <v>36417</v>
      </c>
      <c r="M3684" s="27"/>
      <c r="N3684" s="5"/>
      <c r="O3684" s="5" t="str">
        <v>7451109035</v>
      </c>
      <c r="P3684" s="27">
        <v>10000000</v>
      </c>
      <c r="Q3684" s="5" t="s">
        <v>49009</v>
      </c>
      <c r="R3684" s="5"/>
      <c r="S3684" s="5" t="s">
        <v>49929</v>
      </c>
      <c r="T3684" s="28">
        <v>2778075000</v>
      </c>
      <c r="U3684" s="28">
        <v>22169000</v>
      </c>
      <c r="V3684" s="28">
        <v>222499000</v>
      </c>
      <c r="W3684" s="28"/>
      <c r="X3684" s="28">
        <v>2651498000</v>
      </c>
      <c r="Y3684" s="28">
        <v>6275579000</v>
      </c>
      <c r="Z3684" s="28">
        <v>1149085000</v>
      </c>
      <c r="AA3684" s="28">
        <v>2179000000</v>
      </c>
      <c r="AB3684" s="28">
        <v>115826000</v>
      </c>
      <c r="AC3684" s="28">
        <v>2673456000</v>
      </c>
      <c r="AD3684" s="28">
        <v>1341472000</v>
      </c>
      <c r="AE3684" s="28">
        <v>5149998000</v>
      </c>
      <c r="AF3684" s="28">
        <v>676905000</v>
      </c>
      <c r="AG3684" s="11"/>
    </row>
    <row r="3685">
      <c r="A3685" s="7" t="s">
        <v>5345</v>
      </c>
      <c r="B3685" s="5" t="s">
        <v>13310</v>
      </c>
      <c r="C3685" s="5" t="s">
        <v>21106</v>
      </c>
      <c r="D3685" s="5" t="str">
        <v>490904439209</v>
      </c>
      <c r="E3685" s="0" t="e">
        <f>+7 (413) 2203777
+7 (413) 2600888
+7 (413) 2607579
+7 (413) 2615692
+7 (413) 2624520
+7 (413) 2633633
+7 (413) 2637761
+7 (413) 2644644
+7 (421) 2243818
+7 (424) 2457050
+7 (424) 2459500
+7 (424) 2469050
+7 (914) 7554188
+7 (923) 7755215</f>
        <v>#NAME?</v>
      </c>
      <c r="F3685" s="5" t="s">
        <v>36418</v>
      </c>
      <c r="G3685" s="5" t="s">
        <v>36419</v>
      </c>
      <c r="H3685" s="26">
        <v>13</v>
      </c>
      <c r="I3685" s="5" t="s">
        <v>36420</v>
      </c>
      <c r="J3685" s="5" t="s">
        <v>25446</v>
      </c>
      <c r="K3685" s="5" t="s">
        <v>344</v>
      </c>
      <c r="L3685" s="5" t="s">
        <v>36421</v>
      </c>
      <c r="M3685" s="27"/>
      <c r="N3685" s="5" t="s">
        <v>54992</v>
      </c>
      <c r="O3685" s="5" t="str">
        <v>4909105495</v>
      </c>
      <c r="P3685" s="27">
        <v>10000</v>
      </c>
      <c r="Q3685" s="5" t="s">
        <v>49009</v>
      </c>
      <c r="R3685" s="5"/>
      <c r="S3685" s="5" t="s">
        <v>49175</v>
      </c>
      <c r="T3685" s="28">
        <v>2358914000</v>
      </c>
      <c r="U3685" s="28">
        <v>3510000</v>
      </c>
      <c r="V3685" s="28">
        <v>4426679000</v>
      </c>
      <c r="W3685" s="28">
        <v>327500000</v>
      </c>
      <c r="X3685" s="28">
        <v>40969000</v>
      </c>
      <c r="Y3685" s="28">
        <v>16987835000</v>
      </c>
      <c r="Z3685" s="28">
        <v>7604800000</v>
      </c>
      <c r="AA3685" s="28">
        <v>2134705000</v>
      </c>
      <c r="AB3685" s="28">
        <v>673019000</v>
      </c>
      <c r="AC3685" s="28">
        <v>7093911000</v>
      </c>
      <c r="AD3685" s="28">
        <v>7604810000</v>
      </c>
      <c r="AE3685" s="28">
        <v>35521368000</v>
      </c>
      <c r="AF3685" s="28">
        <v>3176172000</v>
      </c>
      <c r="AG3685" s="11"/>
    </row>
    <row r="3686">
      <c r="A3686" s="7" t="s">
        <v>5346</v>
      </c>
      <c r="B3686" s="5" t="s">
        <v>13311</v>
      </c>
      <c r="C3686" s="5" t="s">
        <v>21107</v>
      </c>
      <c r="D3686" s="5" t="str">
        <v>623202799310</v>
      </c>
      <c r="E3686" s="0" t="e">
        <f>+7 (383) 2148042
+7 (495) 9844111
+7 (495) 9844174
+7 (800) 2007822
+7 (800) 2007827</f>
        <v>#NAME?</v>
      </c>
      <c r="F3686" s="5" t="s">
        <v>36422</v>
      </c>
      <c r="G3686" s="5"/>
      <c r="H3686" s="26">
        <v>6</v>
      </c>
      <c r="I3686" s="5" t="s">
        <v>36423</v>
      </c>
      <c r="J3686" s="5" t="s">
        <v>25738</v>
      </c>
      <c r="K3686" s="5" t="s">
        <v>355</v>
      </c>
      <c r="L3686" s="5"/>
      <c r="M3686" s="27"/>
      <c r="N3686" s="5"/>
      <c r="O3686" s="5" t="str">
        <v>9718057899</v>
      </c>
      <c r="P3686" s="27">
        <v>7510000</v>
      </c>
      <c r="Q3686" s="5" t="s">
        <v>49009</v>
      </c>
      <c r="R3686" s="5"/>
      <c r="S3686" s="5" t="s">
        <v>49901</v>
      </c>
      <c r="T3686" s="28">
        <v>1707855000</v>
      </c>
      <c r="U3686" s="28"/>
      <c r="V3686" s="28">
        <v>101381000</v>
      </c>
      <c r="W3686" s="28"/>
      <c r="X3686" s="28">
        <v>1251749000</v>
      </c>
      <c r="Y3686" s="28">
        <v>3943107000</v>
      </c>
      <c r="Z3686" s="28">
        <v>-641632000</v>
      </c>
      <c r="AA3686" s="28"/>
      <c r="AB3686" s="28">
        <v>1694553000</v>
      </c>
      <c r="AC3686" s="28">
        <v>2653372000</v>
      </c>
      <c r="AD3686" s="28">
        <v>-58459000</v>
      </c>
      <c r="AE3686" s="28">
        <v>3065674000</v>
      </c>
      <c r="AF3686" s="28">
        <v>432553000</v>
      </c>
      <c r="AG3686" s="11"/>
    </row>
    <row r="3687">
      <c r="A3687" s="7" t="s">
        <v>5347</v>
      </c>
      <c r="B3687" s="5" t="s">
        <v>13312</v>
      </c>
      <c r="C3687" s="5" t="s">
        <v>21108</v>
      </c>
      <c r="D3687" s="5" t="str">
        <v>770407515470</v>
      </c>
      <c r="E3687" s="0" t="e">
        <f>+7 (495) 6578081
+7 (495) 6578084
+7 (495) 6578085
+7 (800) 1002999
+7 (800) 1008333</f>
        <v>#NAME?</v>
      </c>
      <c r="F3687" s="5" t="s">
        <v>36424</v>
      </c>
      <c r="G3687" s="5" t="s">
        <v>36425</v>
      </c>
      <c r="H3687" s="26">
        <v>15</v>
      </c>
      <c r="I3687" s="5"/>
      <c r="J3687" s="5" t="s">
        <v>25195</v>
      </c>
      <c r="K3687" s="5" t="s">
        <v>344</v>
      </c>
      <c r="L3687" s="5"/>
      <c r="M3687" s="27">
        <v>761052</v>
      </c>
      <c r="N3687" s="5"/>
      <c r="O3687" s="5" t="str">
        <v>7708663960</v>
      </c>
      <c r="P3687" s="27">
        <v>132131100</v>
      </c>
      <c r="Q3687" s="5" t="s">
        <v>49021</v>
      </c>
      <c r="R3687" s="5"/>
      <c r="S3687" s="5" t="s">
        <v>54994</v>
      </c>
      <c r="T3687" s="28">
        <v>842063000</v>
      </c>
      <c r="U3687" s="28">
        <v>1000000</v>
      </c>
      <c r="V3687" s="28">
        <v>683928000</v>
      </c>
      <c r="W3687" s="28"/>
      <c r="X3687" s="28">
        <v>35519000</v>
      </c>
      <c r="Y3687" s="28">
        <v>4024423000</v>
      </c>
      <c r="Z3687" s="28">
        <v>-2890710000</v>
      </c>
      <c r="AA3687" s="28">
        <v>1888000000</v>
      </c>
      <c r="AB3687" s="28">
        <v>225000000</v>
      </c>
      <c r="AC3687" s="28">
        <v>678543000</v>
      </c>
      <c r="AD3687" s="28">
        <v>524746000</v>
      </c>
      <c r="AE3687" s="28">
        <v>3427488000</v>
      </c>
      <c r="AF3687" s="28">
        <v>90855000</v>
      </c>
      <c r="AG3687" s="11"/>
    </row>
    <row r="3688">
      <c r="A3688" s="7" t="s">
        <v>5348</v>
      </c>
      <c r="B3688" s="5" t="s">
        <v>13313</v>
      </c>
      <c r="C3688" s="5" t="s">
        <v>21109</v>
      </c>
      <c r="D3688" s="5" t="str">
        <v>773205738013</v>
      </c>
      <c r="F3688" s="5"/>
      <c r="G3688" s="5"/>
      <c r="H3688" s="26">
        <v>2.5</v>
      </c>
      <c r="I3688" s="5" t="s">
        <v>36426</v>
      </c>
      <c r="J3688" s="5" t="s">
        <v>364</v>
      </c>
      <c r="K3688" s="5" t="s">
        <v>344</v>
      </c>
      <c r="L3688" s="5" t="s">
        <v>36427</v>
      </c>
      <c r="M3688" s="27"/>
      <c r="N3688" s="5"/>
      <c r="O3688" s="5" t="str">
        <v>9718159643</v>
      </c>
      <c r="P3688" s="27">
        <v>200000</v>
      </c>
      <c r="Q3688" s="5" t="s">
        <v>54995</v>
      </c>
      <c r="R3688" s="5"/>
      <c r="S3688" s="5" t="s">
        <v>54996</v>
      </c>
      <c r="T3688" s="28">
        <v>32470000</v>
      </c>
      <c r="U3688" s="28"/>
      <c r="V3688" s="28">
        <v>227143000</v>
      </c>
      <c r="W3688" s="28">
        <v>10000000</v>
      </c>
      <c r="X3688" s="28">
        <v>6024000</v>
      </c>
      <c r="Y3688" s="28">
        <v>603206000</v>
      </c>
      <c r="Z3688" s="28">
        <v>216345000</v>
      </c>
      <c r="AA3688" s="28"/>
      <c r="AB3688" s="28">
        <v>769000</v>
      </c>
      <c r="AC3688" s="28">
        <v>386662000</v>
      </c>
      <c r="AD3688" s="28">
        <v>216545000</v>
      </c>
      <c r="AE3688" s="28">
        <v>4406711000</v>
      </c>
      <c r="AF3688" s="28">
        <v>527212000</v>
      </c>
      <c r="AG3688" s="11"/>
    </row>
    <row r="3689">
      <c r="A3689" s="7" t="s">
        <v>5348</v>
      </c>
      <c r="B3689" s="5" t="s">
        <v>13314</v>
      </c>
      <c r="C3689" s="5" t="s">
        <v>21110</v>
      </c>
      <c r="D3689" s="5" t="str">
        <v>780505454006</v>
      </c>
      <c r="E3689" s="0" t="e">
        <f>+7 (812) 3039141
+7 (812) 3039146
+7 (812) 3278033
+7 (343) 3278033
+7 (812) 3030914
+7 (812) 3354601
+7 (812) 2713185
+7 (812) 7405919</f>
        <v>#NAME?</v>
      </c>
      <c r="F3689" s="5" t="s">
        <v>36428</v>
      </c>
      <c r="G3689" s="5" t="s">
        <v>36429</v>
      </c>
      <c r="H3689" s="26">
        <v>30</v>
      </c>
      <c r="I3689" s="5" t="s">
        <v>36430</v>
      </c>
      <c r="J3689" s="5" t="s">
        <v>599</v>
      </c>
      <c r="K3689" s="5" t="s">
        <v>355</v>
      </c>
      <c r="L3689" s="5" t="s">
        <v>36431</v>
      </c>
      <c r="M3689" s="27">
        <v>13744830</v>
      </c>
      <c r="N3689" s="5" t="s">
        <v>54997</v>
      </c>
      <c r="O3689" s="5" t="str">
        <v>7808014367</v>
      </c>
      <c r="P3689" s="27">
        <v>20000</v>
      </c>
      <c r="Q3689" s="5" t="s">
        <v>54999</v>
      </c>
      <c r="R3689" s="5"/>
      <c r="S3689" s="5" t="s">
        <v>55000</v>
      </c>
      <c r="T3689" s="28">
        <v>4961717000</v>
      </c>
      <c r="U3689" s="28">
        <v>683866000</v>
      </c>
      <c r="V3689" s="28">
        <v>5316145000</v>
      </c>
      <c r="W3689" s="28"/>
      <c r="X3689" s="28">
        <v>31380000</v>
      </c>
      <c r="Y3689" s="28">
        <v>11908639000</v>
      </c>
      <c r="Z3689" s="28">
        <v>1890301000</v>
      </c>
      <c r="AA3689" s="28"/>
      <c r="AB3689" s="28">
        <v>1188700000</v>
      </c>
      <c r="AC3689" s="28">
        <v>7063112000</v>
      </c>
      <c r="AD3689" s="28">
        <v>1890413000</v>
      </c>
      <c r="AE3689" s="28">
        <v>21066829000</v>
      </c>
      <c r="AF3689" s="28">
        <v>230821000</v>
      </c>
      <c r="AG3689" s="11"/>
    </row>
    <row r="3690">
      <c r="A3690" s="7" t="s">
        <v>5349</v>
      </c>
      <c r="B3690" s="5" t="s">
        <v>13315</v>
      </c>
      <c r="C3690" s="5" t="s">
        <v>21111</v>
      </c>
      <c r="D3690" s="5" t="str">
        <v>773270991224</v>
      </c>
      <c r="E3690" s="0" t="e">
        <f>+7 (495) 3800853
+7 (495) 2300443
+7 (495) 3800849
+7 (495) 6275500</f>
        <v>#NAME?</v>
      </c>
      <c r="F3690" s="5" t="s">
        <v>36432</v>
      </c>
      <c r="G3690" s="5"/>
      <c r="H3690" s="26">
        <v>12</v>
      </c>
      <c r="I3690" s="5"/>
      <c r="J3690" s="5" t="s">
        <v>26325</v>
      </c>
      <c r="K3690" s="5" t="s">
        <v>344</v>
      </c>
      <c r="L3690" s="5"/>
      <c r="M3690" s="27">
        <v>289914</v>
      </c>
      <c r="N3690" s="5" t="s">
        <v>55001</v>
      </c>
      <c r="O3690" s="5" t="str">
        <v>6623074298</v>
      </c>
      <c r="P3690" s="27">
        <v>1000000</v>
      </c>
      <c r="Q3690" s="5" t="s">
        <v>55002</v>
      </c>
      <c r="R3690" s="5"/>
      <c r="S3690" s="5" t="s">
        <v>55003</v>
      </c>
      <c r="T3690" s="28">
        <v>130817110000</v>
      </c>
      <c r="U3690" s="28"/>
      <c r="V3690" s="28">
        <v>5616837000</v>
      </c>
      <c r="W3690" s="28"/>
      <c r="X3690" s="28">
        <v>23559400000</v>
      </c>
      <c r="Y3690" s="28">
        <v>199718682000</v>
      </c>
      <c r="Z3690" s="28">
        <v>22072835000</v>
      </c>
      <c r="AA3690" s="28">
        <v>2166205000</v>
      </c>
      <c r="AB3690" s="28">
        <v>254455000</v>
      </c>
      <c r="AC3690" s="28">
        <v>30684526000</v>
      </c>
      <c r="AD3690" s="28">
        <v>22073835000</v>
      </c>
      <c r="AE3690" s="28">
        <v>97659542000</v>
      </c>
      <c r="AF3690" s="28">
        <v>24185609000</v>
      </c>
      <c r="AG3690" s="11"/>
    </row>
    <row r="3691">
      <c r="A3691" s="7" t="s">
        <v>5350</v>
      </c>
      <c r="B3691" s="5" t="s">
        <v>13316</v>
      </c>
      <c r="C3691" s="5" t="s">
        <v>21112</v>
      </c>
      <c r="D3691" s="5" t="str">
        <v>861704487223</v>
      </c>
      <c r="E3691" s="0" t="e">
        <f>+7 (495) 7745885
+7 (989) 5922760
+7 (495) 6481853
+7 (495) 7470601
+7 (49627) 21850
+7 (49627) 23050
+7 (49627) 23086
+7 (49627) 23977
+7 (49627) 24177
+7 (917) 5420171</f>
        <v>#NAME?</v>
      </c>
      <c r="F3691" s="5" t="s">
        <v>36433</v>
      </c>
      <c r="G3691" s="5"/>
      <c r="H3691" s="26">
        <v>19</v>
      </c>
      <c r="I3691" s="5"/>
      <c r="J3691" s="5" t="s">
        <v>467</v>
      </c>
      <c r="K3691" s="5" t="s">
        <v>355</v>
      </c>
      <c r="L3691" s="5" t="s">
        <v>36434</v>
      </c>
      <c r="M3691" s="27">
        <v>434659619</v>
      </c>
      <c r="N3691" s="5" t="s">
        <v>55004</v>
      </c>
      <c r="O3691" s="5" t="str">
        <v>5024185328</v>
      </c>
      <c r="P3691" s="27">
        <v>449247000</v>
      </c>
      <c r="Q3691" s="5" t="s">
        <v>55005</v>
      </c>
      <c r="R3691" s="5"/>
      <c r="S3691" s="5" t="s">
        <v>55006</v>
      </c>
      <c r="T3691" s="28">
        <v>774303000</v>
      </c>
      <c r="U3691" s="28">
        <v>3484000</v>
      </c>
      <c r="V3691" s="28">
        <v>2624345000</v>
      </c>
      <c r="W3691" s="28"/>
      <c r="X3691" s="28">
        <v>392344000</v>
      </c>
      <c r="Y3691" s="28">
        <v>4854350000</v>
      </c>
      <c r="Z3691" s="28">
        <v>107296000</v>
      </c>
      <c r="AA3691" s="28"/>
      <c r="AB3691" s="28">
        <v>157500000</v>
      </c>
      <c r="AC3691" s="28">
        <v>3781426000</v>
      </c>
      <c r="AD3691" s="28">
        <v>556543000</v>
      </c>
      <c r="AE3691" s="28">
        <v>3976743000</v>
      </c>
      <c r="AF3691" s="28">
        <v>25617000</v>
      </c>
      <c r="AG3691" s="11"/>
    </row>
    <row r="3692">
      <c r="A3692" s="7" t="s">
        <v>5351</v>
      </c>
      <c r="B3692" s="5" t="s">
        <v>13317</v>
      </c>
      <c r="C3692" s="5" t="s">
        <v>21113</v>
      </c>
      <c r="D3692" s="5" t="str">
        <v>503415284278</v>
      </c>
      <c r="E3692" s="0" t="e">
        <f>+7 (916) 7953931
+7 (495) 2048588
+7 (495) 7818199
+7 (958) 1923066</f>
        <v>#NAME?</v>
      </c>
      <c r="F3692" s="5" t="s">
        <v>36435</v>
      </c>
      <c r="G3692" s="5" t="s">
        <v>36436</v>
      </c>
      <c r="H3692" s="26">
        <v>5</v>
      </c>
      <c r="I3692" s="5" t="s">
        <v>36437</v>
      </c>
      <c r="J3692" s="5" t="s">
        <v>25938</v>
      </c>
      <c r="K3692" s="5" t="s">
        <v>380</v>
      </c>
      <c r="L3692" s="5"/>
      <c r="M3692" s="27"/>
      <c r="N3692" s="5"/>
      <c r="O3692" s="5" t="str">
        <v>7722444181</v>
      </c>
      <c r="P3692" s="27">
        <v>100000</v>
      </c>
      <c r="Q3692" s="5"/>
      <c r="R3692" s="5"/>
      <c r="S3692" s="5" t="s">
        <v>49123</v>
      </c>
      <c r="T3692" s="28">
        <v>2325000</v>
      </c>
      <c r="U3692" s="28">
        <v>2665000000</v>
      </c>
      <c r="V3692" s="28">
        <v>682557000</v>
      </c>
      <c r="W3692" s="28">
        <v>470000000</v>
      </c>
      <c r="X3692" s="28">
        <v>41129000</v>
      </c>
      <c r="Y3692" s="28">
        <v>4134263000</v>
      </c>
      <c r="Z3692" s="28">
        <v>-756789000</v>
      </c>
      <c r="AA3692" s="28">
        <v>686900000</v>
      </c>
      <c r="AB3692" s="28">
        <v>2692132000</v>
      </c>
      <c r="AC3692" s="28">
        <v>4204026000</v>
      </c>
      <c r="AD3692" s="28">
        <v>-756689000</v>
      </c>
      <c r="AE3692" s="28">
        <v>9788155000</v>
      </c>
      <c r="AF3692" s="28">
        <v>4061000</v>
      </c>
      <c r="AG3692" s="11"/>
    </row>
    <row r="3693">
      <c r="A3693" s="7" t="s">
        <v>5352</v>
      </c>
      <c r="B3693" s="5" t="s">
        <v>10971</v>
      </c>
      <c r="C3693" s="5" t="s">
        <v>18845</v>
      </c>
      <c r="D3693" s="5" t="str">
        <v>366500477430</v>
      </c>
      <c r="E3693" s="0" t="e">
        <f>+7 (4232) 66800
+7 (472) 2288633
+7 (472) 2441415
+7 (473) 2020833
+7 (473) 2026800
+7 (473) 2036800
+7 (473) 2056800
+7 (473) 2060000
+7 (473) 2060680
+7 (473) 2060800
+7 (473) 2065537
+7 (473) 2065581
+7 (473) 2066300
+7 (473) 2066600
+7 (473) 2066680</f>
        <v>#NAME?</v>
      </c>
      <c r="F3693" s="5" t="s">
        <v>36438</v>
      </c>
      <c r="G3693" s="5" t="s">
        <v>36439</v>
      </c>
      <c r="H3693" s="26">
        <v>17</v>
      </c>
      <c r="I3693" s="5"/>
      <c r="J3693" s="5" t="s">
        <v>27497</v>
      </c>
      <c r="K3693" s="5" t="s">
        <v>344</v>
      </c>
      <c r="L3693" s="5" t="s">
        <v>36440</v>
      </c>
      <c r="M3693" s="27"/>
      <c r="N3693" s="5" t="s">
        <v>55007</v>
      </c>
      <c r="O3693" s="5" t="str">
        <v>3662104737</v>
      </c>
      <c r="P3693" s="27">
        <v>2000000</v>
      </c>
      <c r="Q3693" s="5" t="s">
        <v>55009</v>
      </c>
      <c r="R3693" s="5"/>
      <c r="S3693" s="5" t="s">
        <v>52682</v>
      </c>
      <c r="T3693" s="28">
        <v>286629000</v>
      </c>
      <c r="U3693" s="28">
        <v>576791000</v>
      </c>
      <c r="V3693" s="28">
        <v>2389296000</v>
      </c>
      <c r="W3693" s="28">
        <v>511145000</v>
      </c>
      <c r="X3693" s="28">
        <v>417316000</v>
      </c>
      <c r="Y3693" s="28">
        <v>4742653000</v>
      </c>
      <c r="Z3693" s="28">
        <v>219284000</v>
      </c>
      <c r="AA3693" s="28"/>
      <c r="AB3693" s="28"/>
      <c r="AC3693" s="28">
        <v>4197861000</v>
      </c>
      <c r="AD3693" s="28">
        <v>221584000</v>
      </c>
      <c r="AE3693" s="28">
        <v>28626865000</v>
      </c>
      <c r="AF3693" s="28">
        <v>208136000</v>
      </c>
      <c r="AG3693" s="11"/>
    </row>
    <row r="3694">
      <c r="A3694" s="7" t="s">
        <v>5353</v>
      </c>
      <c r="B3694" s="5" t="s">
        <v>13318</v>
      </c>
      <c r="C3694" s="5" t="s">
        <v>21114</v>
      </c>
      <c r="D3694" s="5" t="str">
        <v>010100692680</v>
      </c>
      <c r="E3694" s="0" t="e">
        <f>+7 (918) 2271395
+7 (918) 6666177
+7 (87779) 94137
+7 (918) 4234125
+7 (918) 4289701
+7 (918) 6666377
+7 (952) 8644338</f>
        <v>#NAME?</v>
      </c>
      <c r="F3694" s="5" t="s">
        <v>36441</v>
      </c>
      <c r="G3694" s="5" t="s">
        <v>36442</v>
      </c>
      <c r="H3694" s="26">
        <v>14</v>
      </c>
      <c r="I3694" s="5" t="s">
        <v>36443</v>
      </c>
      <c r="J3694" s="5" t="s">
        <v>25499</v>
      </c>
      <c r="K3694" s="5" t="s">
        <v>344</v>
      </c>
      <c r="L3694" s="5" t="s">
        <v>36444</v>
      </c>
      <c r="M3694" s="27"/>
      <c r="N3694" s="5"/>
      <c r="O3694" s="5" t="str">
        <v>0101008528</v>
      </c>
      <c r="P3694" s="27">
        <v>10000</v>
      </c>
      <c r="Q3694" s="5" t="s">
        <v>49059</v>
      </c>
      <c r="R3694" s="5"/>
      <c r="S3694" s="5" t="s">
        <v>55010</v>
      </c>
      <c r="T3694" s="28">
        <v>768268000</v>
      </c>
      <c r="U3694" s="28"/>
      <c r="V3694" s="28">
        <v>133755000</v>
      </c>
      <c r="W3694" s="28"/>
      <c r="X3694" s="28">
        <v>1688000</v>
      </c>
      <c r="Y3694" s="28">
        <v>2070400000</v>
      </c>
      <c r="Z3694" s="28">
        <v>655421000</v>
      </c>
      <c r="AA3694" s="28">
        <v>475000000</v>
      </c>
      <c r="AB3694" s="28">
        <v>390000000</v>
      </c>
      <c r="AC3694" s="28">
        <v>704844000</v>
      </c>
      <c r="AD3694" s="28">
        <v>655431000</v>
      </c>
      <c r="AE3694" s="28">
        <v>3429487000</v>
      </c>
      <c r="AF3694" s="28">
        <v>158080000</v>
      </c>
      <c r="AG3694" s="11"/>
    </row>
    <row r="3695">
      <c r="A3695" s="7" t="s">
        <v>5354</v>
      </c>
      <c r="B3695" s="5" t="s">
        <v>13319</v>
      </c>
      <c r="C3695" s="5" t="s">
        <v>21115</v>
      </c>
      <c r="D3695" s="5" t="str">
        <v>583711366933</v>
      </c>
      <c r="E3695" s="0" t="e">
        <f>+7 (800) 3330704
+7 (8412) 231400
+7 (8412) 231404
+7 (8412) 546430
+7 (8412) 547609
+7 (8412) 547689
+7 (8412) 547696
+7 (8412) 547760
+7 (8412) 547875
+7 (8412) 548689
+7 (8412) 594329</f>
        <v>#NAME?</v>
      </c>
      <c r="F3695" s="5" t="s">
        <v>36445</v>
      </c>
      <c r="G3695" s="5" t="s">
        <v>36446</v>
      </c>
      <c r="H3695" s="26">
        <v>30</v>
      </c>
      <c r="I3695" s="5" t="s">
        <v>36447</v>
      </c>
      <c r="J3695" s="5" t="s">
        <v>25231</v>
      </c>
      <c r="K3695" s="5" t="s">
        <v>344</v>
      </c>
      <c r="L3695" s="5" t="s">
        <v>36448</v>
      </c>
      <c r="M3695" s="27">
        <v>177340548</v>
      </c>
      <c r="N3695" s="5"/>
      <c r="O3695" s="5" t="str">
        <v>5837006078</v>
      </c>
      <c r="P3695" s="27">
        <v>22000</v>
      </c>
      <c r="Q3695" s="5"/>
      <c r="R3695" s="5"/>
      <c r="S3695" s="5" t="s">
        <v>49499</v>
      </c>
      <c r="T3695" s="28">
        <v>1420110000</v>
      </c>
      <c r="U3695" s="28">
        <v>624689000</v>
      </c>
      <c r="V3695" s="28">
        <v>1928663000</v>
      </c>
      <c r="W3695" s="28">
        <v>66500000</v>
      </c>
      <c r="X3695" s="28">
        <v>13108000</v>
      </c>
      <c r="Y3695" s="28">
        <v>4413176000</v>
      </c>
      <c r="Z3695" s="28">
        <v>2101031000</v>
      </c>
      <c r="AA3695" s="28">
        <v>157788000</v>
      </c>
      <c r="AB3695" s="28">
        <v>1235665000</v>
      </c>
      <c r="AC3695" s="28">
        <v>1714824000</v>
      </c>
      <c r="AD3695" s="28">
        <v>2475653000</v>
      </c>
      <c r="AE3695" s="28">
        <v>5622231000</v>
      </c>
      <c r="AF3695" s="28">
        <v>241636000</v>
      </c>
      <c r="AG3695" s="11"/>
    </row>
    <row r="3696">
      <c r="A3696" s="7" t="s">
        <v>5355</v>
      </c>
      <c r="B3696" s="5" t="s">
        <v>13320</v>
      </c>
      <c r="C3696" s="5" t="s">
        <v>21116</v>
      </c>
      <c r="D3696" s="5" t="str">
        <v>741100857780</v>
      </c>
      <c r="E3696" s="0" t="e">
        <f>+7 (351) 2669914
+7 (3512) 160083
+7 (3512) 633704
+7 (3512) 661164
+7 (3513) 255142
+7 (3513) 255145
+7 (3513) 255146
+7 (35146) 33517
+7 (35146) 33520
+7 (35146) 33560
+7 (35191) 41488
+7 (800) 2002601</f>
        <v>#NAME?</v>
      </c>
      <c r="F3696" s="5"/>
      <c r="G3696" s="5"/>
      <c r="H3696" s="26">
        <v>18</v>
      </c>
      <c r="I3696" s="5" t="s">
        <v>36449</v>
      </c>
      <c r="J3696" s="5" t="s">
        <v>25219</v>
      </c>
      <c r="K3696" s="5" t="s">
        <v>344</v>
      </c>
      <c r="L3696" s="5"/>
      <c r="M3696" s="27">
        <v>53865</v>
      </c>
      <c r="N3696" s="5"/>
      <c r="O3696" s="5" t="str">
        <v>7453142976</v>
      </c>
      <c r="P3696" s="27">
        <v>10145389</v>
      </c>
      <c r="Q3696" s="5" t="s">
        <v>54416</v>
      </c>
      <c r="R3696" s="5"/>
      <c r="S3696" s="5" t="s">
        <v>55011</v>
      </c>
      <c r="T3696" s="28">
        <v>6233279000</v>
      </c>
      <c r="U3696" s="28">
        <v>300723000</v>
      </c>
      <c r="V3696" s="28">
        <v>495054000</v>
      </c>
      <c r="W3696" s="28">
        <v>59785000</v>
      </c>
      <c r="X3696" s="28">
        <v>260580000</v>
      </c>
      <c r="Y3696" s="28">
        <v>10901739000</v>
      </c>
      <c r="Z3696" s="28">
        <v>498709000</v>
      </c>
      <c r="AA3696" s="28">
        <v>1510481000</v>
      </c>
      <c r="AB3696" s="28">
        <v>21267000</v>
      </c>
      <c r="AC3696" s="28">
        <v>2225747000</v>
      </c>
      <c r="AD3696" s="28">
        <v>508854000</v>
      </c>
      <c r="AE3696" s="28">
        <v>17671730000</v>
      </c>
      <c r="AF3696" s="28">
        <v>101850000</v>
      </c>
      <c r="AG3696" s="11"/>
    </row>
    <row r="3697">
      <c r="A3697" s="7" t="s">
        <v>5356</v>
      </c>
      <c r="B3697" s="5" t="s">
        <v>13321</v>
      </c>
      <c r="C3697" s="5" t="s">
        <v>21117</v>
      </c>
      <c r="D3697" s="5"/>
      <c r="E3697" s="0" t="e">
        <f>+7 (910) 8750374
+7 (83152) 21044
+7 (83152) 21045
+7 (83152) 25816
+7 (83152) 26459
+7 (83152) 26489
+7 (83152) 26679
+7 (83152) 26695</f>
        <v>#NAME?</v>
      </c>
      <c r="F3697" s="5" t="s">
        <v>36450</v>
      </c>
      <c r="G3697" s="5" t="s">
        <v>36451</v>
      </c>
      <c r="H3697" s="26">
        <v>30.5</v>
      </c>
      <c r="I3697" s="5"/>
      <c r="J3697" s="5" t="s">
        <v>25231</v>
      </c>
      <c r="K3697" s="5" t="s">
        <v>344</v>
      </c>
      <c r="L3697" s="5" t="s">
        <v>36452</v>
      </c>
      <c r="M3697" s="27"/>
      <c r="N3697" s="5" t="s">
        <v>55012</v>
      </c>
      <c r="O3697" s="5" t="str">
        <v>5239001108</v>
      </c>
      <c r="P3697" s="27">
        <v>10005174</v>
      </c>
      <c r="Q3697" s="5" t="s">
        <v>49009</v>
      </c>
      <c r="R3697" s="5"/>
      <c r="S3697" s="5" t="s">
        <v>49576</v>
      </c>
      <c r="T3697" s="28">
        <v>307042000</v>
      </c>
      <c r="U3697" s="28">
        <v>99829000</v>
      </c>
      <c r="V3697" s="28">
        <v>1443227000</v>
      </c>
      <c r="W3697" s="28"/>
      <c r="X3697" s="28">
        <v>2332000</v>
      </c>
      <c r="Y3697" s="28">
        <v>2457066000</v>
      </c>
      <c r="Z3697" s="28">
        <v>904289000</v>
      </c>
      <c r="AA3697" s="28">
        <v>75297000</v>
      </c>
      <c r="AB3697" s="28">
        <v>1155000000</v>
      </c>
      <c r="AC3697" s="28">
        <v>1447419000</v>
      </c>
      <c r="AD3697" s="28">
        <v>923412000</v>
      </c>
      <c r="AE3697" s="28">
        <v>5557188000</v>
      </c>
      <c r="AF3697" s="28">
        <v>264376000</v>
      </c>
      <c r="AG3697" s="11"/>
    </row>
    <row r="3698">
      <c r="A3698" s="7" t="s">
        <v>5357</v>
      </c>
      <c r="B3698" s="5" t="s">
        <v>13322</v>
      </c>
      <c r="C3698" s="5" t="s">
        <v>19474</v>
      </c>
      <c r="D3698" s="5" t="str">
        <v>771406113427</v>
      </c>
      <c r="E3698" s="0" t="e">
        <f>+7 (34764) 35141
+7 (47236) 21768
+7 (47236) 30564
+7 (47236) 31906
+7 (47236) 34488
+7 (47236) 34623
+7 (47236) 34624
+7 (47236) 34625
+7 (47236) 34626
+7 (47236) 34627
+7 (47236) 34628
+7 (47236) 34788</f>
        <v>#NAME?</v>
      </c>
      <c r="F3698" s="5" t="s">
        <v>36453</v>
      </c>
      <c r="G3698" s="5" t="s">
        <v>36454</v>
      </c>
      <c r="H3698" s="26">
        <v>30.5</v>
      </c>
      <c r="I3698" s="5" t="s">
        <v>36455</v>
      </c>
      <c r="J3698" s="5" t="s">
        <v>33515</v>
      </c>
      <c r="K3698" s="5" t="s">
        <v>344</v>
      </c>
      <c r="L3698" s="5"/>
      <c r="M3698" s="27"/>
      <c r="N3698" s="5"/>
      <c r="O3698" s="5" t="str">
        <v>3126001079</v>
      </c>
      <c r="P3698" s="27">
        <v>1057000</v>
      </c>
      <c r="Q3698" s="5"/>
      <c r="R3698" s="5"/>
      <c r="S3698" s="5" t="s">
        <v>49110</v>
      </c>
      <c r="T3698" s="28">
        <v>302960000</v>
      </c>
      <c r="U3698" s="28"/>
      <c r="V3698" s="28">
        <v>963121000</v>
      </c>
      <c r="W3698" s="28"/>
      <c r="X3698" s="28">
        <v>6028000</v>
      </c>
      <c r="Y3698" s="28">
        <v>1811236000</v>
      </c>
      <c r="Z3698" s="28">
        <v>-4140000</v>
      </c>
      <c r="AA3698" s="28">
        <v>86132000</v>
      </c>
      <c r="AB3698" s="28">
        <v>968336000</v>
      </c>
      <c r="AC3698" s="28">
        <v>1648053000</v>
      </c>
      <c r="AD3698" s="28">
        <v>52519000</v>
      </c>
      <c r="AE3698" s="28">
        <v>4566765000</v>
      </c>
      <c r="AF3698" s="28">
        <v>272000</v>
      </c>
      <c r="AG3698" s="11"/>
    </row>
    <row r="3699">
      <c r="A3699" s="7" t="s">
        <v>5358</v>
      </c>
      <c r="B3699" s="5" t="s">
        <v>13323</v>
      </c>
      <c r="C3699" s="5" t="s">
        <v>21118</v>
      </c>
      <c r="D3699" s="5" t="str">
        <v>325206486190</v>
      </c>
      <c r="E3699" s="0" t="e">
        <f>+7 (48349) 21362
+7 (48349) 21457
+7 (48349) 21533
+7 (48349) 21761
+7 (48349) 22203
+7 (48349) 23026
+7 (48349) 24133
+7 (48349) 24209
+7 (48349) 24210
+7 (812) 4481101</f>
        <v>#NAME?</v>
      </c>
      <c r="F3699" s="5" t="s">
        <v>36456</v>
      </c>
      <c r="G3699" s="5"/>
      <c r="H3699" s="26">
        <v>19.5</v>
      </c>
      <c r="I3699" s="5" t="s">
        <v>36457</v>
      </c>
      <c r="J3699" s="5" t="s">
        <v>27654</v>
      </c>
      <c r="K3699" s="5" t="s">
        <v>344</v>
      </c>
      <c r="L3699" s="5" t="s">
        <v>36458</v>
      </c>
      <c r="M3699" s="27"/>
      <c r="N3699" s="5" t="s">
        <v>55013</v>
      </c>
      <c r="O3699" s="5" t="str">
        <v>7840006106</v>
      </c>
      <c r="P3699" s="27">
        <v>10000</v>
      </c>
      <c r="Q3699" s="5" t="s">
        <v>49009</v>
      </c>
      <c r="R3699" s="5"/>
      <c r="S3699" s="5" t="s">
        <v>49045</v>
      </c>
      <c r="T3699" s="28">
        <v>221792000</v>
      </c>
      <c r="U3699" s="28"/>
      <c r="V3699" s="28">
        <v>456316000</v>
      </c>
      <c r="W3699" s="28">
        <v>5000</v>
      </c>
      <c r="X3699" s="28">
        <v>12490000</v>
      </c>
      <c r="Y3699" s="28">
        <v>887589000</v>
      </c>
      <c r="Z3699" s="28">
        <v>308139000</v>
      </c>
      <c r="AA3699" s="28"/>
      <c r="AB3699" s="28">
        <v>248292000</v>
      </c>
      <c r="AC3699" s="28">
        <v>579440000</v>
      </c>
      <c r="AD3699" s="28">
        <v>308149000</v>
      </c>
      <c r="AE3699" s="28">
        <v>3761456000</v>
      </c>
      <c r="AF3699" s="28">
        <v>70762000</v>
      </c>
      <c r="AG3699" s="11"/>
    </row>
    <row r="3700">
      <c r="A3700" s="7" t="s">
        <v>5359</v>
      </c>
      <c r="B3700" s="5" t="s">
        <v>13324</v>
      </c>
      <c r="C3700" s="5" t="s">
        <v>21119</v>
      </c>
      <c r="D3700" s="5" t="str">
        <v>772644026559</v>
      </c>
      <c r="E3700" s="0" t="e">
        <f>+7 (495) 6578008
+7 (495) 7250909
+7 (499) 6425546
+7 (917) 2787396
+7 (926) 869202</f>
        <v>#NAME?</v>
      </c>
      <c r="F3700" s="5" t="s">
        <v>36459</v>
      </c>
      <c r="G3700" s="5" t="s">
        <v>36460</v>
      </c>
      <c r="H3700" s="26">
        <v>19.5</v>
      </c>
      <c r="I3700" s="5" t="s">
        <v>36461</v>
      </c>
      <c r="J3700" s="5" t="s">
        <v>36462</v>
      </c>
      <c r="K3700" s="5" t="s">
        <v>344</v>
      </c>
      <c r="L3700" s="5"/>
      <c r="M3700" s="27"/>
      <c r="N3700" s="5"/>
      <c r="O3700" s="5" t="str">
        <v>7743513365</v>
      </c>
      <c r="P3700" s="27">
        <v>10000</v>
      </c>
      <c r="Q3700" s="5" t="s">
        <v>49009</v>
      </c>
      <c r="R3700" s="5"/>
      <c r="S3700" s="5" t="s">
        <v>49066</v>
      </c>
      <c r="T3700" s="28">
        <v>349719000</v>
      </c>
      <c r="U3700" s="28">
        <v>100000000</v>
      </c>
      <c r="V3700" s="28">
        <v>286429000</v>
      </c>
      <c r="W3700" s="28"/>
      <c r="X3700" s="28">
        <v>266289000</v>
      </c>
      <c r="Y3700" s="28">
        <v>1937463000</v>
      </c>
      <c r="Z3700" s="28">
        <v>407978000</v>
      </c>
      <c r="AA3700" s="28">
        <v>793680000</v>
      </c>
      <c r="AB3700" s="28">
        <v>20953000</v>
      </c>
      <c r="AC3700" s="28">
        <v>255545000</v>
      </c>
      <c r="AD3700" s="28">
        <v>407988000</v>
      </c>
      <c r="AE3700" s="28">
        <v>3485643000</v>
      </c>
      <c r="AF3700" s="28">
        <v>653766000</v>
      </c>
      <c r="AG3700" s="11"/>
    </row>
    <row r="3701">
      <c r="A3701" s="7" t="s">
        <v>5360</v>
      </c>
      <c r="B3701" s="5" t="s">
        <v>13325</v>
      </c>
      <c r="C3701" s="5" t="s">
        <v>21120</v>
      </c>
      <c r="D3701" s="5" t="str">
        <v>132706387806</v>
      </c>
      <c r="E3701" s="0" t="e">
        <f>+7 (495) 3631661
+7 (8422) 304042
+7 (84650) 21144
+7 (84650) 21258
+7 (84650) 21336
+7 (84650) 21412
+7 (84650) 22361
+7 (84650) 22948
+7 (84650) 23311
+7 (84650) 23501
+7 (84650) 23592</f>
        <v>#NAME?</v>
      </c>
      <c r="F3701" s="5" t="s">
        <v>36463</v>
      </c>
      <c r="G3701" s="5"/>
      <c r="H3701" s="26">
        <v>4.5</v>
      </c>
      <c r="I3701" s="5" t="s">
        <v>36464</v>
      </c>
      <c r="J3701" s="5" t="s">
        <v>30068</v>
      </c>
      <c r="K3701" s="5" t="s">
        <v>355</v>
      </c>
      <c r="L3701" s="5"/>
      <c r="M3701" s="27">
        <v>1343680</v>
      </c>
      <c r="N3701" s="5"/>
      <c r="O3701" s="5" t="str">
        <v>6381020501</v>
      </c>
      <c r="P3701" s="27">
        <v>100010000</v>
      </c>
      <c r="Q3701" s="5" t="s">
        <v>49009</v>
      </c>
      <c r="R3701" s="5"/>
      <c r="S3701" s="5" t="s">
        <v>51151</v>
      </c>
      <c r="T3701" s="28">
        <v>660199000</v>
      </c>
      <c r="U3701" s="28"/>
      <c r="V3701" s="28">
        <v>107427000</v>
      </c>
      <c r="W3701" s="28">
        <v>259681000</v>
      </c>
      <c r="X3701" s="28">
        <v>4788000</v>
      </c>
      <c r="Y3701" s="28">
        <v>2088507000</v>
      </c>
      <c r="Z3701" s="28">
        <v>-837364000</v>
      </c>
      <c r="AA3701" s="28">
        <v>99705000</v>
      </c>
      <c r="AB3701" s="28">
        <v>1576888000</v>
      </c>
      <c r="AC3701" s="28">
        <v>1965880000</v>
      </c>
      <c r="AD3701" s="28">
        <v>-7354000</v>
      </c>
      <c r="AE3701" s="28">
        <v>5286204000</v>
      </c>
      <c r="AF3701" s="28">
        <v>-244081000</v>
      </c>
      <c r="AG3701" s="11"/>
    </row>
    <row r="3702">
      <c r="A3702" s="7" t="s">
        <v>5361</v>
      </c>
      <c r="B3702" s="5" t="s">
        <v>13326</v>
      </c>
      <c r="C3702" s="5" t="s">
        <v>21121</v>
      </c>
      <c r="D3702" s="5" t="str">
        <v>667004043362</v>
      </c>
      <c r="E3702" s="0" t="e">
        <f>+7 (343) 2885776
+7 (343) 3559424
+7 (343) 3880426
+7 (343) 3880478
+7 (343) 3880500</f>
        <v>#NAME?</v>
      </c>
      <c r="F3702" s="5" t="s">
        <v>36465</v>
      </c>
      <c r="G3702" s="5" t="s">
        <v>36466</v>
      </c>
      <c r="H3702" s="26">
        <v>15</v>
      </c>
      <c r="I3702" s="5" t="s">
        <v>36467</v>
      </c>
      <c r="J3702" s="5" t="s">
        <v>26482</v>
      </c>
      <c r="K3702" s="5" t="s">
        <v>344</v>
      </c>
      <c r="L3702" s="5" t="s">
        <v>31361</v>
      </c>
      <c r="M3702" s="27"/>
      <c r="N3702" s="5" t="s">
        <v>55014</v>
      </c>
      <c r="O3702" s="5" t="str">
        <v>6659162237</v>
      </c>
      <c r="P3702" s="27">
        <v>42425000</v>
      </c>
      <c r="Q3702" s="5" t="s">
        <v>55015</v>
      </c>
      <c r="R3702" s="5"/>
      <c r="S3702" s="5" t="s">
        <v>49173</v>
      </c>
      <c r="T3702" s="28">
        <v>236083000</v>
      </c>
      <c r="U3702" s="28"/>
      <c r="V3702" s="28">
        <v>697267000</v>
      </c>
      <c r="W3702" s="28">
        <v>46108000</v>
      </c>
      <c r="X3702" s="28">
        <v>10894000</v>
      </c>
      <c r="Y3702" s="28">
        <v>1264470000</v>
      </c>
      <c r="Z3702" s="28">
        <v>20293000</v>
      </c>
      <c r="AA3702" s="28">
        <v>254639000</v>
      </c>
      <c r="AB3702" s="28">
        <v>69402000</v>
      </c>
      <c r="AC3702" s="28">
        <v>882382000</v>
      </c>
      <c r="AD3702" s="28">
        <v>66742000</v>
      </c>
      <c r="AE3702" s="28">
        <v>5118244000</v>
      </c>
      <c r="AF3702" s="28">
        <v>16422000</v>
      </c>
      <c r="AG3702" s="11"/>
    </row>
    <row r="3703">
      <c r="A3703" s="7" t="s">
        <v>5362</v>
      </c>
      <c r="B3703" s="5" t="s">
        <v>13327</v>
      </c>
      <c r="C3703" s="5" t="s">
        <v>21031</v>
      </c>
      <c r="D3703" s="5"/>
      <c r="E3703" s="0" t="e">
        <f>+7 (86137) 23949
+7 (86138) 25116
+7 (86138) 64401
+7 (86195) 49202
+7 (86195) 72896
+7 (86195) 74466
+7 (86195) 86195</f>
        <v>#NAME?</v>
      </c>
      <c r="F3703" s="5" t="s">
        <v>36468</v>
      </c>
      <c r="G3703" s="5" t="s">
        <v>36469</v>
      </c>
      <c r="H3703" s="26">
        <v>13.5</v>
      </c>
      <c r="I3703" s="5" t="s">
        <v>36180</v>
      </c>
      <c r="J3703" s="5" t="s">
        <v>25499</v>
      </c>
      <c r="K3703" s="5" t="s">
        <v>344</v>
      </c>
      <c r="L3703" s="5" t="s">
        <v>36470</v>
      </c>
      <c r="M3703" s="27"/>
      <c r="N3703" s="5" t="s">
        <v>55016</v>
      </c>
      <c r="O3703" s="5" t="str">
        <v>2302060916</v>
      </c>
      <c r="P3703" s="27">
        <v>10000</v>
      </c>
      <c r="Q3703" s="5"/>
      <c r="R3703" s="5"/>
      <c r="S3703" s="5" t="s">
        <v>49425</v>
      </c>
      <c r="T3703" s="28">
        <v>320127000</v>
      </c>
      <c r="U3703" s="28"/>
      <c r="V3703" s="28">
        <v>1013170000</v>
      </c>
      <c r="W3703" s="28">
        <v>142555000</v>
      </c>
      <c r="X3703" s="28">
        <v>921000</v>
      </c>
      <c r="Y3703" s="28">
        <v>1725764000</v>
      </c>
      <c r="Z3703" s="28">
        <v>545501000</v>
      </c>
      <c r="AA3703" s="28">
        <v>438445000</v>
      </c>
      <c r="AB3703" s="28">
        <v>2078000</v>
      </c>
      <c r="AC3703" s="28">
        <v>308290000</v>
      </c>
      <c r="AD3703" s="28">
        <v>677685000</v>
      </c>
      <c r="AE3703" s="28">
        <v>3901904000</v>
      </c>
      <c r="AF3703" s="28">
        <v>327109000</v>
      </c>
      <c r="AG3703" s="11"/>
    </row>
    <row r="3704">
      <c r="A3704" s="7" t="s">
        <v>5363</v>
      </c>
      <c r="B3704" s="5" t="s">
        <v>13328</v>
      </c>
      <c r="C3704" s="5" t="s">
        <v>21122</v>
      </c>
      <c r="D3704" s="5" t="str">
        <v>183209322506</v>
      </c>
      <c r="E3704" s="0" t="e">
        <f>+7 (965) 8406363
+7 (3412) 668570
+7 (3412) 668587
+7 (3412) 668650</f>
        <v>#NAME?</v>
      </c>
      <c r="F3704" s="5"/>
      <c r="G3704" s="5" t="s">
        <v>36471</v>
      </c>
      <c r="H3704" s="26">
        <v>10</v>
      </c>
      <c r="I3704" s="5" t="s">
        <v>36472</v>
      </c>
      <c r="J3704" s="5" t="s">
        <v>27497</v>
      </c>
      <c r="K3704" s="5" t="s">
        <v>344</v>
      </c>
      <c r="L3704" s="5"/>
      <c r="M3704" s="27"/>
      <c r="N3704" s="5" t="s">
        <v>55017</v>
      </c>
      <c r="O3704" s="5" t="str">
        <v>1832104677</v>
      </c>
      <c r="P3704" s="27">
        <v>110000</v>
      </c>
      <c r="Q3704" s="5" t="s">
        <v>55018</v>
      </c>
      <c r="R3704" s="5"/>
      <c r="S3704" s="5" t="s">
        <v>49012</v>
      </c>
      <c r="T3704" s="28">
        <v>8393000</v>
      </c>
      <c r="U3704" s="28">
        <v>1124773000</v>
      </c>
      <c r="V3704" s="28">
        <v>2767948000</v>
      </c>
      <c r="W3704" s="28"/>
      <c r="X3704" s="28">
        <v>4697000</v>
      </c>
      <c r="Y3704" s="28">
        <v>4079472000</v>
      </c>
      <c r="Z3704" s="28">
        <v>310662000</v>
      </c>
      <c r="AA3704" s="28">
        <v>851334000</v>
      </c>
      <c r="AB3704" s="28">
        <v>145129000</v>
      </c>
      <c r="AC3704" s="28">
        <v>2917366000</v>
      </c>
      <c r="AD3704" s="28">
        <v>310772000</v>
      </c>
      <c r="AE3704" s="28">
        <v>15308312000</v>
      </c>
      <c r="AF3704" s="28">
        <v>26421000</v>
      </c>
      <c r="AG3704" s="11"/>
    </row>
    <row r="3705">
      <c r="A3705" s="7" t="s">
        <v>5364</v>
      </c>
      <c r="B3705" s="5" t="s">
        <v>13329</v>
      </c>
      <c r="C3705" s="5" t="s">
        <v>21123</v>
      </c>
      <c r="D3705" s="5" t="str">
        <v>370263038374</v>
      </c>
      <c r="E3705" s="0" t="e">
        <f>+7 (493) 2932820
+7 (493) 2932200
+7 (493) 2932822</f>
        <v>#NAME?</v>
      </c>
      <c r="F3705" s="5" t="s">
        <v>36473</v>
      </c>
      <c r="G3705" s="5" t="s">
        <v>36474</v>
      </c>
      <c r="H3705" s="26">
        <v>17.5</v>
      </c>
      <c r="I3705" s="5"/>
      <c r="J3705" s="5" t="s">
        <v>25253</v>
      </c>
      <c r="K3705" s="5" t="s">
        <v>344</v>
      </c>
      <c r="L3705" s="5" t="s">
        <v>36475</v>
      </c>
      <c r="M3705" s="27"/>
      <c r="N3705" s="5"/>
      <c r="O3705" s="5" t="str">
        <v>3702076341</v>
      </c>
      <c r="P3705" s="27">
        <v>18000000</v>
      </c>
      <c r="Q3705" s="5" t="s">
        <v>49059</v>
      </c>
      <c r="R3705" s="5"/>
      <c r="S3705" s="5" t="s">
        <v>49010</v>
      </c>
      <c r="T3705" s="28">
        <v>138588000</v>
      </c>
      <c r="U3705" s="28">
        <v>135000</v>
      </c>
      <c r="V3705" s="28">
        <v>100745000</v>
      </c>
      <c r="W3705" s="28">
        <v>44400000</v>
      </c>
      <c r="X3705" s="28">
        <v>8570000</v>
      </c>
      <c r="Y3705" s="28">
        <v>816212000</v>
      </c>
      <c r="Z3705" s="28">
        <v>480198000</v>
      </c>
      <c r="AA3705" s="28"/>
      <c r="AB3705" s="28">
        <v>3400000</v>
      </c>
      <c r="AC3705" s="28">
        <v>273245000</v>
      </c>
      <c r="AD3705" s="28">
        <v>498198000</v>
      </c>
      <c r="AE3705" s="28">
        <v>3839363000</v>
      </c>
      <c r="AF3705" s="28">
        <v>212818000</v>
      </c>
      <c r="AG3705" s="11"/>
    </row>
    <row r="3706">
      <c r="A3706" s="7" t="s">
        <v>5365</v>
      </c>
      <c r="B3706" s="5" t="s">
        <v>13330</v>
      </c>
      <c r="C3706" s="5" t="s">
        <v>21124</v>
      </c>
      <c r="D3706" s="5" t="str">
        <v>141600378771</v>
      </c>
      <c r="E3706" s="0" t="e">
        <f>+7 (914) 2576690</f>
        <v>#NAME?</v>
      </c>
      <c r="F3706" s="5"/>
      <c r="G3706" s="5"/>
      <c r="H3706" s="26">
        <v>5</v>
      </c>
      <c r="I3706" s="5" t="s">
        <v>36476</v>
      </c>
      <c r="J3706" s="5" t="s">
        <v>710</v>
      </c>
      <c r="K3706" s="5" t="s">
        <v>344</v>
      </c>
      <c r="L3706" s="5"/>
      <c r="M3706" s="27"/>
      <c r="N3706" s="5"/>
      <c r="O3706" s="5" t="str">
        <v>1416001662</v>
      </c>
      <c r="P3706" s="27">
        <v>10000</v>
      </c>
      <c r="Q3706" s="5"/>
      <c r="R3706" s="5"/>
      <c r="S3706" s="5" t="s">
        <v>49110</v>
      </c>
      <c r="T3706" s="28"/>
      <c r="U3706" s="28"/>
      <c r="V3706" s="28"/>
      <c r="W3706" s="28"/>
      <c r="X3706" s="28">
        <v>162354000</v>
      </c>
      <c r="Y3706" s="28">
        <v>162354000</v>
      </c>
      <c r="Z3706" s="28"/>
      <c r="AA3706" s="28"/>
      <c r="AB3706" s="28"/>
      <c r="AC3706" s="28"/>
      <c r="AD3706" s="28">
        <v>162354000</v>
      </c>
      <c r="AE3706" s="28">
        <v>5189495000</v>
      </c>
      <c r="AF3706" s="28">
        <v>162354000</v>
      </c>
      <c r="AG3706" s="11"/>
    </row>
    <row r="3707">
      <c r="A3707" s="7" t="s">
        <v>5366</v>
      </c>
      <c r="B3707" s="5" t="s">
        <v>13331</v>
      </c>
      <c r="C3707" s="5" t="s">
        <v>21125</v>
      </c>
      <c r="D3707" s="5" t="str">
        <v>770102872082</v>
      </c>
      <c r="E3707" s="0" t="e">
        <f>+7 (495) 9602490
+7 (49243) 64108
+7 (49243) 64111
+7 (495) 7779000
+7 (495) 7832820
+7 (495) 7832829
+7 (495) 9602480
+7 (800) 5558000
+7 (816) 2943100
+7 (81665) 49618</f>
        <v>#NAME?</v>
      </c>
      <c r="F3707" s="5" t="s">
        <v>36477</v>
      </c>
      <c r="G3707" s="5" t="s">
        <v>36478</v>
      </c>
      <c r="H3707" s="26">
        <v>27</v>
      </c>
      <c r="I3707" s="5" t="s">
        <v>36479</v>
      </c>
      <c r="J3707" s="5" t="s">
        <v>29202</v>
      </c>
      <c r="K3707" s="5" t="s">
        <v>344</v>
      </c>
      <c r="L3707" s="5" t="s">
        <v>36480</v>
      </c>
      <c r="M3707" s="27"/>
      <c r="N3707" s="5"/>
      <c r="O3707" s="5" t="str">
        <v>3321020710</v>
      </c>
      <c r="P3707" s="27">
        <v>121127890</v>
      </c>
      <c r="Q3707" s="5" t="s">
        <v>49009</v>
      </c>
      <c r="R3707" s="5"/>
      <c r="S3707" s="5" t="s">
        <v>49028</v>
      </c>
      <c r="T3707" s="28">
        <v>15000842000</v>
      </c>
      <c r="U3707" s="28"/>
      <c r="V3707" s="28">
        <v>10767133000</v>
      </c>
      <c r="W3707" s="28"/>
      <c r="X3707" s="28">
        <v>18362503000</v>
      </c>
      <c r="Y3707" s="28">
        <v>51872155000</v>
      </c>
      <c r="Z3707" s="28">
        <v>33883789000</v>
      </c>
      <c r="AA3707" s="28"/>
      <c r="AB3707" s="28">
        <v>4090000</v>
      </c>
      <c r="AC3707" s="28">
        <v>13971321000</v>
      </c>
      <c r="AD3707" s="28">
        <v>37617784000</v>
      </c>
      <c r="AE3707" s="28">
        <v>91983436000</v>
      </c>
      <c r="AF3707" s="28">
        <v>27081724000</v>
      </c>
      <c r="AG3707" s="11"/>
    </row>
    <row r="3708">
      <c r="A3708" s="7" t="s">
        <v>5367</v>
      </c>
      <c r="B3708" s="5" t="s">
        <v>13332</v>
      </c>
      <c r="C3708" s="5" t="s">
        <v>21126</v>
      </c>
      <c r="D3708" s="5" t="str">
        <v>231103371187</v>
      </c>
      <c r="E3708" s="0" t="e">
        <f>+7 (3412) 772913
+7 (3422) 770077
+7 (346) 2515454
+7 (346) 2523111
+7 (346) 2560000
+7 (346) 2560075
+7 (346) 2566665
+7 (3467) 318307
+7 (3512) 473011
+7 (3412) 770077
+7 (3422) 17000
+7 (343) 3795555
+7 (343) 3795556
+7 (345) 2565007
+7 (3512) 470700</f>
        <v>#NAME?</v>
      </c>
      <c r="F3708" s="5" t="s">
        <v>36481</v>
      </c>
      <c r="G3708" s="5"/>
      <c r="H3708" s="26">
        <v>29.5</v>
      </c>
      <c r="I3708" s="5" t="s">
        <v>36482</v>
      </c>
      <c r="J3708" s="5" t="s">
        <v>27783</v>
      </c>
      <c r="K3708" s="5" t="s">
        <v>344</v>
      </c>
      <c r="L3708" s="5"/>
      <c r="M3708" s="27">
        <v>138990396</v>
      </c>
      <c r="N3708" s="5" t="s">
        <v>55019</v>
      </c>
      <c r="O3708" s="5" t="str">
        <v>7812014560</v>
      </c>
      <c r="P3708" s="27">
        <v>62000000</v>
      </c>
      <c r="Q3708" s="5" t="s">
        <v>55020</v>
      </c>
      <c r="R3708" s="5"/>
      <c r="S3708" s="5" t="s">
        <v>55021</v>
      </c>
      <c r="T3708" s="28">
        <v>186413477000</v>
      </c>
      <c r="U3708" s="28">
        <v>134667383000</v>
      </c>
      <c r="V3708" s="28">
        <v>27024033000</v>
      </c>
      <c r="W3708" s="28">
        <v>2802338000</v>
      </c>
      <c r="X3708" s="28">
        <v>4881310000</v>
      </c>
      <c r="Y3708" s="28">
        <v>622518147000</v>
      </c>
      <c r="Z3708" s="28">
        <v>63399804000</v>
      </c>
      <c r="AA3708" s="28">
        <v>164909872000</v>
      </c>
      <c r="AB3708" s="28">
        <v>114164074000</v>
      </c>
      <c r="AC3708" s="28">
        <v>213172237000</v>
      </c>
      <c r="AD3708" s="28">
        <v>65537255000</v>
      </c>
      <c r="AE3708" s="28">
        <v>321784309000</v>
      </c>
      <c r="AF3708" s="28">
        <v>43028755000</v>
      </c>
      <c r="AG3708" s="11"/>
    </row>
    <row r="3709">
      <c r="A3709" s="7" t="s">
        <v>5368</v>
      </c>
      <c r="B3709" s="5" t="s">
        <v>13333</v>
      </c>
      <c r="C3709" s="5" t="s">
        <v>21127</v>
      </c>
      <c r="D3709" s="5" t="str">
        <v>540424866709</v>
      </c>
      <c r="E3709" s="0" t="e">
        <f>+7 (383) 2078444
+7 (383) 3621585</f>
        <v>#NAME?</v>
      </c>
      <c r="F3709" s="5"/>
      <c r="G3709" s="5"/>
      <c r="H3709" s="26">
        <v>11</v>
      </c>
      <c r="I3709" s="5" t="s">
        <v>36483</v>
      </c>
      <c r="J3709" s="5" t="s">
        <v>28219</v>
      </c>
      <c r="K3709" s="5" t="s">
        <v>344</v>
      </c>
      <c r="L3709" s="5" t="s">
        <v>36484</v>
      </c>
      <c r="M3709" s="27"/>
      <c r="N3709" s="5" t="s">
        <v>55022</v>
      </c>
      <c r="O3709" s="5" t="str">
        <v>5403336669</v>
      </c>
      <c r="P3709" s="27">
        <v>10000</v>
      </c>
      <c r="Q3709" s="5"/>
      <c r="R3709" s="5"/>
      <c r="S3709" s="5" t="s">
        <v>49110</v>
      </c>
      <c r="T3709" s="28">
        <v>7317000</v>
      </c>
      <c r="U3709" s="28"/>
      <c r="V3709" s="28">
        <v>484629000</v>
      </c>
      <c r="W3709" s="28"/>
      <c r="X3709" s="28">
        <v>5247000</v>
      </c>
      <c r="Y3709" s="28">
        <v>1464977000</v>
      </c>
      <c r="Z3709" s="28">
        <v>740855000</v>
      </c>
      <c r="AA3709" s="28">
        <v>166500000</v>
      </c>
      <c r="AB3709" s="28">
        <v>365350000</v>
      </c>
      <c r="AC3709" s="28">
        <v>557550000</v>
      </c>
      <c r="AD3709" s="28">
        <v>740865000</v>
      </c>
      <c r="AE3709" s="28">
        <v>3670458000</v>
      </c>
      <c r="AF3709" s="28">
        <v>168086000</v>
      </c>
      <c r="AG3709" s="11"/>
    </row>
    <row r="3710">
      <c r="A3710" s="7" t="s">
        <v>5369</v>
      </c>
      <c r="B3710" s="5" t="s">
        <v>9787</v>
      </c>
      <c r="C3710" s="5" t="s">
        <v>21128</v>
      </c>
      <c r="D3710" s="5" t="str">
        <v>771870923409</v>
      </c>
      <c r="F3710" s="5"/>
      <c r="G3710" s="5"/>
      <c r="H3710" s="26">
        <v>12.5</v>
      </c>
      <c r="I3710" s="5" t="s">
        <v>36485</v>
      </c>
      <c r="J3710" s="5" t="s">
        <v>364</v>
      </c>
      <c r="K3710" s="5" t="s">
        <v>344</v>
      </c>
      <c r="L3710" s="5" t="s">
        <v>36486</v>
      </c>
      <c r="M3710" s="27"/>
      <c r="N3710" s="5" t="s">
        <v>49787</v>
      </c>
      <c r="O3710" s="5" t="str">
        <v>7714950480</v>
      </c>
      <c r="P3710" s="27">
        <v>50000</v>
      </c>
      <c r="Q3710" s="5" t="s">
        <v>55023</v>
      </c>
      <c r="R3710" s="5"/>
      <c r="S3710" s="5" t="s">
        <v>50630</v>
      </c>
      <c r="T3710" s="28">
        <v>11073000</v>
      </c>
      <c r="U3710" s="28">
        <v>19498000</v>
      </c>
      <c r="V3710" s="28">
        <v>22826755000</v>
      </c>
      <c r="W3710" s="28">
        <v>200000</v>
      </c>
      <c r="X3710" s="28">
        <v>847442000</v>
      </c>
      <c r="Y3710" s="28">
        <v>36501439000</v>
      </c>
      <c r="Z3710" s="28">
        <v>66777000</v>
      </c>
      <c r="AA3710" s="28">
        <v>7000000000</v>
      </c>
      <c r="AB3710" s="28">
        <v>4914731000</v>
      </c>
      <c r="AC3710" s="28">
        <v>29433973000</v>
      </c>
      <c r="AD3710" s="28">
        <v>66827000</v>
      </c>
      <c r="AE3710" s="28">
        <v>23665526000</v>
      </c>
      <c r="AF3710" s="28">
        <v>96108000</v>
      </c>
      <c r="AG3710" s="11"/>
    </row>
    <row r="3711">
      <c r="A3711" s="7" t="s">
        <v>5370</v>
      </c>
      <c r="B3711" s="5" t="s">
        <v>13334</v>
      </c>
      <c r="C3711" s="5" t="s">
        <v>21129</v>
      </c>
      <c r="D3711" s="5" t="str">
        <v>504409488003</v>
      </c>
      <c r="E3711" s="0" t="e">
        <f>+7 (495) 1208020
+7 (495) 2211006</f>
        <v>#NAME?</v>
      </c>
      <c r="F3711" s="5" t="s">
        <v>36487</v>
      </c>
      <c r="G3711" s="5" t="s">
        <v>36488</v>
      </c>
      <c r="H3711" s="26">
        <v>13.5</v>
      </c>
      <c r="I3711" s="5" t="s">
        <v>36489</v>
      </c>
      <c r="J3711" s="5" t="s">
        <v>364</v>
      </c>
      <c r="K3711" s="5" t="s">
        <v>344</v>
      </c>
      <c r="L3711" s="5" t="s">
        <v>36490</v>
      </c>
      <c r="M3711" s="27">
        <v>16846316</v>
      </c>
      <c r="N3711" s="5" t="s">
        <v>49153</v>
      </c>
      <c r="O3711" s="5" t="str">
        <v>7714947216</v>
      </c>
      <c r="P3711" s="27">
        <v>40000000</v>
      </c>
      <c r="Q3711" s="5" t="s">
        <v>49009</v>
      </c>
      <c r="R3711" s="5"/>
      <c r="S3711" s="5" t="s">
        <v>49116</v>
      </c>
      <c r="T3711" s="28">
        <v>968043000</v>
      </c>
      <c r="U3711" s="28">
        <v>111616000</v>
      </c>
      <c r="V3711" s="28">
        <v>18880851000</v>
      </c>
      <c r="W3711" s="28"/>
      <c r="X3711" s="28">
        <v>72842000</v>
      </c>
      <c r="Y3711" s="28">
        <v>31107360000</v>
      </c>
      <c r="Z3711" s="28">
        <v>503679000</v>
      </c>
      <c r="AA3711" s="28"/>
      <c r="AB3711" s="28"/>
      <c r="AC3711" s="28">
        <v>28942239000</v>
      </c>
      <c r="AD3711" s="28">
        <v>543682000</v>
      </c>
      <c r="AE3711" s="28">
        <v>9428632000</v>
      </c>
      <c r="AF3711" s="28">
        <v>558299000</v>
      </c>
      <c r="AG3711" s="11"/>
    </row>
    <row r="3712">
      <c r="A3712" s="7" t="s">
        <v>5371</v>
      </c>
      <c r="B3712" s="5" t="s">
        <v>13335</v>
      </c>
      <c r="C3712" s="5" t="s">
        <v>21130</v>
      </c>
      <c r="D3712" s="5" t="str">
        <v>532117922571</v>
      </c>
      <c r="E3712" s="0" t="e">
        <f>+7 (912) 2107909
+7 (343) 3119574
+7 (343) 3219622
+7 (922) 5985751</f>
        <v>#NAME?</v>
      </c>
      <c r="F3712" s="5" t="s">
        <v>36491</v>
      </c>
      <c r="G3712" s="5"/>
      <c r="H3712" s="26">
        <v>13</v>
      </c>
      <c r="I3712" s="5" t="s">
        <v>36492</v>
      </c>
      <c r="J3712" s="5" t="s">
        <v>26251</v>
      </c>
      <c r="K3712" s="5" t="s">
        <v>344</v>
      </c>
      <c r="L3712" s="5"/>
      <c r="M3712" s="27"/>
      <c r="N3712" s="5" t="s">
        <v>55024</v>
      </c>
      <c r="O3712" s="5" t="str">
        <v>6685148334</v>
      </c>
      <c r="P3712" s="27">
        <v>1659663500</v>
      </c>
      <c r="Q3712" s="5"/>
      <c r="R3712" s="5"/>
      <c r="S3712" s="5" t="s">
        <v>49425</v>
      </c>
      <c r="T3712" s="28">
        <v>1375659000</v>
      </c>
      <c r="U3712" s="28"/>
      <c r="V3712" s="28">
        <v>893554000</v>
      </c>
      <c r="W3712" s="28">
        <v>500000000</v>
      </c>
      <c r="X3712" s="28">
        <v>123488000</v>
      </c>
      <c r="Y3712" s="28">
        <v>3711388000</v>
      </c>
      <c r="Z3712" s="28">
        <v>1377592000</v>
      </c>
      <c r="AA3712" s="28"/>
      <c r="AB3712" s="28"/>
      <c r="AC3712" s="28">
        <v>353451000</v>
      </c>
      <c r="AD3712" s="28">
        <v>3320833000</v>
      </c>
      <c r="AE3712" s="28">
        <v>4304510000</v>
      </c>
      <c r="AF3712" s="28">
        <v>2735124000</v>
      </c>
      <c r="AG3712" s="11"/>
    </row>
    <row r="3713">
      <c r="A3713" s="7" t="s">
        <v>5372</v>
      </c>
      <c r="B3713" s="5" t="s">
        <v>13336</v>
      </c>
      <c r="C3713" s="5" t="s">
        <v>21130</v>
      </c>
      <c r="D3713" s="5" t="str">
        <v>532117922571</v>
      </c>
      <c r="E3713" s="0" t="e">
        <f>+7 (48535) 30929
+7 (48535) 31410
+7 (48535) 31617
+7 (48535) 66000
+7 (48535) 66001
+7 (985) 9933810</f>
        <v>#NAME?</v>
      </c>
      <c r="F3713" s="5" t="s">
        <v>36493</v>
      </c>
      <c r="G3713" s="5" t="s">
        <v>36494</v>
      </c>
      <c r="H3713" s="26">
        <v>29</v>
      </c>
      <c r="I3713" s="5" t="s">
        <v>36495</v>
      </c>
      <c r="J3713" s="5" t="s">
        <v>26251</v>
      </c>
      <c r="K3713" s="5" t="s">
        <v>344</v>
      </c>
      <c r="L3713" s="5"/>
      <c r="M3713" s="27"/>
      <c r="N3713" s="5"/>
      <c r="O3713" s="5" t="str">
        <v>7608021328</v>
      </c>
      <c r="P3713" s="27">
        <v>915000000</v>
      </c>
      <c r="Q3713" s="5"/>
      <c r="R3713" s="5"/>
      <c r="S3713" s="5" t="s">
        <v>49029</v>
      </c>
      <c r="T3713" s="28">
        <v>707964000</v>
      </c>
      <c r="U3713" s="28"/>
      <c r="V3713" s="28">
        <v>544806000</v>
      </c>
      <c r="W3713" s="28"/>
      <c r="X3713" s="28">
        <v>98154000</v>
      </c>
      <c r="Y3713" s="28">
        <v>2234866000</v>
      </c>
      <c r="Z3713" s="28">
        <v>3575000</v>
      </c>
      <c r="AA3713" s="28"/>
      <c r="AB3713" s="28"/>
      <c r="AC3713" s="28">
        <v>853118000</v>
      </c>
      <c r="AD3713" s="28">
        <v>1365655000</v>
      </c>
      <c r="AE3713" s="28">
        <v>5382714000</v>
      </c>
      <c r="AF3713" s="28">
        <v>664758000</v>
      </c>
      <c r="AG3713" s="11"/>
    </row>
    <row r="3714">
      <c r="A3714" s="7" t="s">
        <v>5373</v>
      </c>
      <c r="B3714" s="5" t="s">
        <v>13337</v>
      </c>
      <c r="C3714" s="5" t="s">
        <v>21131</v>
      </c>
      <c r="D3714" s="5" t="str">
        <v>110121787663</v>
      </c>
      <c r="E3714" s="0" t="e">
        <f>+7 (495) 1083718
+7 (8212) 669999
+7 (8212) 698135
+7 (8212) 698299
+7 (8212) 698436
+7 (8212) 699063
+7 (8212) 699524
+7 (8212) 699540
+7 (8212) 699555
+7 (8212) 699634
+7 (8212) 699840
+7 (8212) 699870
+7 (8212) 699973
+7 (8212) 699977</f>
        <v>#NAME?</v>
      </c>
      <c r="F3714" s="5" t="s">
        <v>36496</v>
      </c>
      <c r="G3714" s="5" t="s">
        <v>36497</v>
      </c>
      <c r="H3714" s="26">
        <v>30</v>
      </c>
      <c r="I3714" s="5"/>
      <c r="J3714" s="5" t="s">
        <v>26536</v>
      </c>
      <c r="K3714" s="5" t="s">
        <v>344</v>
      </c>
      <c r="L3714" s="5" t="s">
        <v>36498</v>
      </c>
      <c r="M3714" s="27">
        <v>106610</v>
      </c>
      <c r="N3714" s="5" t="s">
        <v>55025</v>
      </c>
      <c r="O3714" s="5" t="str">
        <v>1121003135</v>
      </c>
      <c r="P3714" s="27">
        <v>381776400</v>
      </c>
      <c r="Q3714" s="5" t="s">
        <v>55026</v>
      </c>
      <c r="R3714" s="5"/>
      <c r="S3714" s="5" t="s">
        <v>55027</v>
      </c>
      <c r="T3714" s="28">
        <v>60877130000</v>
      </c>
      <c r="U3714" s="28">
        <v>7614000</v>
      </c>
      <c r="V3714" s="28">
        <v>4724746000</v>
      </c>
      <c r="W3714" s="28"/>
      <c r="X3714" s="28">
        <v>23461308000</v>
      </c>
      <c r="Y3714" s="28">
        <v>100205816000</v>
      </c>
      <c r="Z3714" s="28">
        <v>59105512000</v>
      </c>
      <c r="AA3714" s="28"/>
      <c r="AB3714" s="28"/>
      <c r="AC3714" s="28">
        <v>21736599000</v>
      </c>
      <c r="AD3714" s="28">
        <v>70990866000</v>
      </c>
      <c r="AE3714" s="28">
        <v>77969417000</v>
      </c>
      <c r="AF3714" s="28">
        <v>22511155000</v>
      </c>
      <c r="AG3714" s="11"/>
    </row>
    <row r="3715">
      <c r="A3715" s="7" t="s">
        <v>5374</v>
      </c>
      <c r="B3715" s="5" t="s">
        <v>12740</v>
      </c>
      <c r="C3715" s="5" t="s">
        <v>21132</v>
      </c>
      <c r="D3715" s="5" t="str">
        <v>650502309062</v>
      </c>
      <c r="F3715" s="5"/>
      <c r="G3715" s="5"/>
      <c r="H3715" s="26">
        <v>11.5</v>
      </c>
      <c r="I3715" s="5" t="s">
        <v>36499</v>
      </c>
      <c r="J3715" s="5" t="s">
        <v>26424</v>
      </c>
      <c r="K3715" s="5" t="s">
        <v>344</v>
      </c>
      <c r="L3715" s="5"/>
      <c r="M3715" s="27"/>
      <c r="N3715" s="5"/>
      <c r="O3715" s="5" t="str">
        <v>6501266147</v>
      </c>
      <c r="P3715" s="27">
        <v>13169</v>
      </c>
      <c r="Q3715" s="5"/>
      <c r="R3715" s="5" t="s">
        <v>55028</v>
      </c>
      <c r="S3715" s="5" t="s">
        <v>49029</v>
      </c>
      <c r="T3715" s="28">
        <v>39828000</v>
      </c>
      <c r="U3715" s="28">
        <v>1332887000</v>
      </c>
      <c r="V3715" s="28">
        <v>3188353000</v>
      </c>
      <c r="W3715" s="28">
        <v>2048477000</v>
      </c>
      <c r="X3715" s="28">
        <v>6836421000</v>
      </c>
      <c r="Y3715" s="28">
        <v>14227041000</v>
      </c>
      <c r="Z3715" s="28">
        <v>9883385000</v>
      </c>
      <c r="AA3715" s="28"/>
      <c r="AB3715" s="28">
        <v>247000</v>
      </c>
      <c r="AC3715" s="28">
        <v>4316745000</v>
      </c>
      <c r="AD3715" s="28">
        <v>9883431000</v>
      </c>
      <c r="AE3715" s="28">
        <v>6374625000</v>
      </c>
      <c r="AF3715" s="28">
        <v>3440650000</v>
      </c>
      <c r="AG3715" s="11"/>
    </row>
    <row r="3716">
      <c r="A3716" s="7" t="s">
        <v>5375</v>
      </c>
      <c r="B3716" s="5" t="s">
        <v>13338</v>
      </c>
      <c r="C3716" s="5" t="s">
        <v>21133</v>
      </c>
      <c r="D3716" s="5" t="str">
        <v>263400561881</v>
      </c>
      <c r="E3716" s="0" t="e">
        <f>+7 (495) 9335151
+7 (8652) 237202
+7 (8652) 562946</f>
        <v>#NAME?</v>
      </c>
      <c r="F3716" s="5" t="s">
        <v>36500</v>
      </c>
      <c r="G3716" s="5" t="s">
        <v>36501</v>
      </c>
      <c r="H3716" s="26">
        <v>14.5</v>
      </c>
      <c r="I3716" s="5"/>
      <c r="J3716" s="5" t="s">
        <v>36502</v>
      </c>
      <c r="K3716" s="5" t="s">
        <v>355</v>
      </c>
      <c r="L3716" s="5"/>
      <c r="M3716" s="27"/>
      <c r="N3716" s="5"/>
      <c r="O3716" s="5" t="str">
        <v>2635116509</v>
      </c>
      <c r="P3716" s="27">
        <v>775965000</v>
      </c>
      <c r="Q3716" s="5"/>
      <c r="R3716" s="5"/>
      <c r="S3716" s="5" t="s">
        <v>49110</v>
      </c>
      <c r="T3716" s="28">
        <v>4880265000</v>
      </c>
      <c r="U3716" s="28">
        <v>2331150000</v>
      </c>
      <c r="V3716" s="28">
        <v>3939454000</v>
      </c>
      <c r="W3716" s="28">
        <v>357055000</v>
      </c>
      <c r="X3716" s="28">
        <v>7862000</v>
      </c>
      <c r="Y3716" s="28">
        <v>16677415000</v>
      </c>
      <c r="Z3716" s="28">
        <v>1705931000</v>
      </c>
      <c r="AA3716" s="28">
        <v>9045239000</v>
      </c>
      <c r="AB3716" s="28">
        <v>2434198000</v>
      </c>
      <c r="AC3716" s="28">
        <v>3222242000</v>
      </c>
      <c r="AD3716" s="28">
        <v>3778253000</v>
      </c>
      <c r="AE3716" s="28">
        <v>3476104000</v>
      </c>
      <c r="AF3716" s="28">
        <v>-328866000</v>
      </c>
      <c r="AG3716" s="11"/>
    </row>
    <row r="3717">
      <c r="A3717" s="7" t="s">
        <v>5376</v>
      </c>
      <c r="B3717" s="5" t="s">
        <v>13339</v>
      </c>
      <c r="C3717" s="5" t="s">
        <v>21134</v>
      </c>
      <c r="D3717" s="5" t="str">
        <v>263516345463</v>
      </c>
      <c r="E3717" s="0" t="e">
        <f>+7 (865) 2562392
+7 (8652) 561094
+7 (865) 2563017
+7 (8652) 237202
+7 (8652) 356740
+7 (8652) 562801
+7 (8652) 562810
+7 (8652) 951278
+7 (8652) 956462
+7 (8652) 956528
+7 (8652) 956529</f>
        <v>#NAME?</v>
      </c>
      <c r="F3717" s="5" t="s">
        <v>36500</v>
      </c>
      <c r="G3717" s="5" t="s">
        <v>36501</v>
      </c>
      <c r="H3717" s="26">
        <v>18.5</v>
      </c>
      <c r="I3717" s="5" t="s">
        <v>36503</v>
      </c>
      <c r="J3717" s="5" t="s">
        <v>678</v>
      </c>
      <c r="K3717" s="5" t="s">
        <v>344</v>
      </c>
      <c r="L3717" s="5"/>
      <c r="M3717" s="27"/>
      <c r="N3717" s="5" t="s">
        <v>55030</v>
      </c>
      <c r="O3717" s="5" t="str">
        <v>2635075274</v>
      </c>
      <c r="P3717" s="27">
        <v>500000000</v>
      </c>
      <c r="Q3717" s="5"/>
      <c r="R3717" s="5"/>
      <c r="S3717" s="5" t="s">
        <v>49047</v>
      </c>
      <c r="T3717" s="28"/>
      <c r="U3717" s="28">
        <v>313008000</v>
      </c>
      <c r="V3717" s="28">
        <v>2044057000</v>
      </c>
      <c r="W3717" s="28">
        <v>417645000</v>
      </c>
      <c r="X3717" s="28">
        <v>176419000</v>
      </c>
      <c r="Y3717" s="28">
        <v>3550205000</v>
      </c>
      <c r="Z3717" s="28">
        <v>-453283000</v>
      </c>
      <c r="AA3717" s="28">
        <v>231374000</v>
      </c>
      <c r="AB3717" s="28">
        <v>440318000</v>
      </c>
      <c r="AC3717" s="28">
        <v>3144399000</v>
      </c>
      <c r="AD3717" s="28">
        <v>46717000</v>
      </c>
      <c r="AE3717" s="28">
        <v>6835156000</v>
      </c>
      <c r="AF3717" s="28">
        <v>-133697000</v>
      </c>
      <c r="AG3717" s="11"/>
    </row>
    <row r="3718">
      <c r="A3718" s="7" t="s">
        <v>5377</v>
      </c>
      <c r="B3718" s="5" t="s">
        <v>13340</v>
      </c>
      <c r="C3718" s="5" t="s">
        <v>21135</v>
      </c>
      <c r="D3718" s="5" t="str">
        <v>551401923814</v>
      </c>
      <c r="E3718" s="0" t="e">
        <f>+7 (918) 1422181
+7 (861) 2126784</f>
        <v>#NAME?</v>
      </c>
      <c r="F3718" s="5" t="s">
        <v>36504</v>
      </c>
      <c r="G3718" s="5"/>
      <c r="H3718" s="26">
        <v>3.5</v>
      </c>
      <c r="I3718" s="5" t="s">
        <v>36505</v>
      </c>
      <c r="J3718" s="5" t="s">
        <v>671</v>
      </c>
      <c r="K3718" s="5" t="s">
        <v>355</v>
      </c>
      <c r="L3718" s="5" t="s">
        <v>26806</v>
      </c>
      <c r="M3718" s="27"/>
      <c r="N3718" s="5"/>
      <c r="O3718" s="5" t="str">
        <v>2308267988</v>
      </c>
      <c r="P3718" s="27">
        <v>10000</v>
      </c>
      <c r="Q3718" s="5" t="s">
        <v>49009</v>
      </c>
      <c r="R3718" s="5"/>
      <c r="S3718" s="5" t="s">
        <v>49010</v>
      </c>
      <c r="T3718" s="28">
        <v>2320470000</v>
      </c>
      <c r="U3718" s="28"/>
      <c r="V3718" s="28">
        <v>3008730000</v>
      </c>
      <c r="W3718" s="28">
        <v>289707000</v>
      </c>
      <c r="X3718" s="28">
        <v>5243000</v>
      </c>
      <c r="Y3718" s="28">
        <v>10142797000</v>
      </c>
      <c r="Z3718" s="28">
        <v>163396000</v>
      </c>
      <c r="AA3718" s="28">
        <v>143550000</v>
      </c>
      <c r="AB3718" s="28">
        <v>2833177000</v>
      </c>
      <c r="AC3718" s="28">
        <v>8050046000</v>
      </c>
      <c r="AD3718" s="28">
        <v>163406000</v>
      </c>
      <c r="AE3718" s="28">
        <v>12235210000</v>
      </c>
      <c r="AF3718" s="28">
        <v>173291000</v>
      </c>
      <c r="AG3718" s="11"/>
    </row>
    <row r="3719">
      <c r="A3719" s="7" t="s">
        <v>5378</v>
      </c>
      <c r="B3719" s="5" t="s">
        <v>13341</v>
      </c>
      <c r="C3719" s="5" t="s">
        <v>21136</v>
      </c>
      <c r="D3719" s="5" t="str">
        <v>500173150710</v>
      </c>
      <c r="E3719" s="0" t="e">
        <f>+7 (812) 4954070
+7 (812) 6009197
+7 (911) 9223838</f>
        <v>#NAME?</v>
      </c>
      <c r="F3719" s="5" t="s">
        <v>36506</v>
      </c>
      <c r="G3719" s="5"/>
      <c r="H3719" s="26">
        <v>11</v>
      </c>
      <c r="I3719" s="5" t="s">
        <v>36507</v>
      </c>
      <c r="J3719" s="5" t="s">
        <v>1095</v>
      </c>
      <c r="K3719" s="5" t="s">
        <v>344</v>
      </c>
      <c r="L3719" s="5" t="s">
        <v>36508</v>
      </c>
      <c r="M3719" s="27">
        <v>117052485</v>
      </c>
      <c r="N3719" s="5" t="s">
        <v>49787</v>
      </c>
      <c r="O3719" s="5" t="str">
        <v>7838473424</v>
      </c>
      <c r="P3719" s="27">
        <v>250070000</v>
      </c>
      <c r="Q3719" s="5" t="s">
        <v>55031</v>
      </c>
      <c r="R3719" s="5"/>
      <c r="S3719" s="5" t="s">
        <v>49162</v>
      </c>
      <c r="T3719" s="28">
        <v>1159606000</v>
      </c>
      <c r="U3719" s="28"/>
      <c r="V3719" s="28">
        <v>3837046000</v>
      </c>
      <c r="W3719" s="28">
        <v>45392000</v>
      </c>
      <c r="X3719" s="28">
        <v>178137000</v>
      </c>
      <c r="Y3719" s="28">
        <v>5496196000</v>
      </c>
      <c r="Z3719" s="28">
        <v>226287000</v>
      </c>
      <c r="AA3719" s="28">
        <v>243335000</v>
      </c>
      <c r="AB3719" s="28">
        <v>1728000</v>
      </c>
      <c r="AC3719" s="28">
        <v>3684165000</v>
      </c>
      <c r="AD3719" s="28">
        <v>476357000</v>
      </c>
      <c r="AE3719" s="28">
        <v>8714204000</v>
      </c>
      <c r="AF3719" s="28">
        <v>140470000</v>
      </c>
      <c r="AG3719" s="11"/>
    </row>
    <row r="3720">
      <c r="A3720" s="7" t="s">
        <v>5378</v>
      </c>
      <c r="B3720" s="5" t="s">
        <v>13342</v>
      </c>
      <c r="C3720" s="5" t="s">
        <v>21137</v>
      </c>
      <c r="D3720" s="5" t="str">
        <v>701727440213</v>
      </c>
      <c r="E3720" s="0" t="e">
        <f>+7 (923) 4124040
+7 (382) 2610354
+7 (495) 9537043</f>
        <v>#NAME?</v>
      </c>
      <c r="F3720" s="5" t="s">
        <v>36509</v>
      </c>
      <c r="G3720" s="5"/>
      <c r="H3720" s="26">
        <v>19</v>
      </c>
      <c r="I3720" s="5" t="s">
        <v>36510</v>
      </c>
      <c r="J3720" s="5" t="s">
        <v>678</v>
      </c>
      <c r="K3720" s="5" t="s">
        <v>380</v>
      </c>
      <c r="L3720" s="5" t="s">
        <v>36511</v>
      </c>
      <c r="M3720" s="27">
        <v>85303295</v>
      </c>
      <c r="N3720" s="5"/>
      <c r="O3720" s="5" t="str">
        <v>7702513119</v>
      </c>
      <c r="P3720" s="27">
        <v>10000</v>
      </c>
      <c r="Q3720" s="5" t="s">
        <v>49009</v>
      </c>
      <c r="R3720" s="5" t="s">
        <v>52999</v>
      </c>
      <c r="S3720" s="5" t="s">
        <v>49066</v>
      </c>
      <c r="T3720" s="28">
        <v>8151417000</v>
      </c>
      <c r="U3720" s="28">
        <v>1500000000</v>
      </c>
      <c r="V3720" s="28">
        <v>1773229000</v>
      </c>
      <c r="W3720" s="28"/>
      <c r="X3720" s="28">
        <v>41655000</v>
      </c>
      <c r="Y3720" s="28">
        <v>12707751000</v>
      </c>
      <c r="Z3720" s="28">
        <v>3249907000</v>
      </c>
      <c r="AA3720" s="28">
        <v>6076544000</v>
      </c>
      <c r="AB3720" s="28">
        <v>1197972000</v>
      </c>
      <c r="AC3720" s="28">
        <v>3313199000</v>
      </c>
      <c r="AD3720" s="28">
        <v>3283687000</v>
      </c>
      <c r="AE3720" s="28">
        <v>7646365000</v>
      </c>
      <c r="AF3720" s="28">
        <v>712513000</v>
      </c>
      <c r="AG3720" s="11"/>
    </row>
    <row r="3721">
      <c r="A3721" s="7" t="s">
        <v>5379</v>
      </c>
      <c r="B3721" s="5" t="s">
        <v>13343</v>
      </c>
      <c r="C3721" s="5" t="s">
        <v>21138</v>
      </c>
      <c r="D3721" s="5" t="str">
        <v>246301496024</v>
      </c>
      <c r="E3721" s="0" t="e">
        <f>+7 (391) 2555726
+7 (391) 2553435
+7 (391) 2555727</f>
        <v>#NAME?</v>
      </c>
      <c r="F3721" s="5" t="s">
        <v>36512</v>
      </c>
      <c r="G3721" s="5"/>
      <c r="H3721" s="26">
        <v>31</v>
      </c>
      <c r="I3721" s="5" t="s">
        <v>36513</v>
      </c>
      <c r="J3721" s="5" t="s">
        <v>31608</v>
      </c>
      <c r="K3721" s="5" t="s">
        <v>355</v>
      </c>
      <c r="L3721" s="5"/>
      <c r="M3721" s="27">
        <v>370065396</v>
      </c>
      <c r="N3721" s="5" t="s">
        <v>55033</v>
      </c>
      <c r="O3721" s="5" t="str">
        <v>2451000688</v>
      </c>
      <c r="P3721" s="27">
        <v>400000000</v>
      </c>
      <c r="Q3721" s="5" t="s">
        <v>55034</v>
      </c>
      <c r="R3721" s="5" t="s">
        <v>54070</v>
      </c>
      <c r="S3721" s="5" t="s">
        <v>55035</v>
      </c>
      <c r="T3721" s="28">
        <v>1462498000</v>
      </c>
      <c r="U3721" s="28">
        <v>350122000</v>
      </c>
      <c r="V3721" s="28">
        <v>9152490000</v>
      </c>
      <c r="W3721" s="28">
        <v>118365000</v>
      </c>
      <c r="X3721" s="28">
        <v>262043000</v>
      </c>
      <c r="Y3721" s="28">
        <v>17579868000</v>
      </c>
      <c r="Z3721" s="28">
        <v>901061000</v>
      </c>
      <c r="AA3721" s="28">
        <v>3184515000</v>
      </c>
      <c r="AB3721" s="28"/>
      <c r="AC3721" s="28">
        <v>13094292000</v>
      </c>
      <c r="AD3721" s="28">
        <v>1301061000</v>
      </c>
      <c r="AE3721" s="28">
        <v>8390250000</v>
      </c>
      <c r="AF3721" s="28">
        <v>20295000</v>
      </c>
      <c r="AG3721" s="11"/>
    </row>
    <row r="3722">
      <c r="A3722" s="7" t="s">
        <v>5379</v>
      </c>
      <c r="B3722" s="5" t="s">
        <v>13344</v>
      </c>
      <c r="C3722" s="5" t="s">
        <v>21139</v>
      </c>
      <c r="D3722" s="5" t="str">
        <v>615398502705</v>
      </c>
      <c r="E3722" s="0" t="e">
        <f>+7 (345) 2520562
+7 (922) 6079625</f>
        <v>#NAME?</v>
      </c>
      <c r="F3722" s="5" t="s">
        <v>36514</v>
      </c>
      <c r="G3722" s="5"/>
      <c r="H3722" s="26">
        <v>9</v>
      </c>
      <c r="I3722" s="5" t="s">
        <v>36515</v>
      </c>
      <c r="J3722" s="5" t="s">
        <v>364</v>
      </c>
      <c r="K3722" s="5" t="s">
        <v>344</v>
      </c>
      <c r="L3722" s="5" t="s">
        <v>36516</v>
      </c>
      <c r="M3722" s="27"/>
      <c r="N3722" s="5"/>
      <c r="O3722" s="5" t="str">
        <v>1646038106</v>
      </c>
      <c r="P3722" s="27">
        <v>30000</v>
      </c>
      <c r="Q3722" s="5" t="s">
        <v>447</v>
      </c>
      <c r="R3722" s="5"/>
      <c r="S3722" s="5" t="s">
        <v>55036</v>
      </c>
      <c r="T3722" s="28">
        <v>128537000</v>
      </c>
      <c r="U3722" s="28"/>
      <c r="V3722" s="28">
        <v>1039847000</v>
      </c>
      <c r="W3722" s="28">
        <v>3942000</v>
      </c>
      <c r="X3722" s="28">
        <v>240184000</v>
      </c>
      <c r="Y3722" s="28">
        <v>1545272000</v>
      </c>
      <c r="Z3722" s="28">
        <v>344443000</v>
      </c>
      <c r="AA3722" s="28"/>
      <c r="AB3722" s="28">
        <v>90531000</v>
      </c>
      <c r="AC3722" s="28">
        <v>1152304000</v>
      </c>
      <c r="AD3722" s="28">
        <v>344473000</v>
      </c>
      <c r="AE3722" s="28">
        <v>5290423000</v>
      </c>
      <c r="AF3722" s="28">
        <v>298562000</v>
      </c>
      <c r="AG3722" s="11"/>
    </row>
    <row r="3723">
      <c r="A3723" s="7" t="s">
        <v>5380</v>
      </c>
      <c r="B3723" s="5" t="s">
        <v>13345</v>
      </c>
      <c r="C3723" s="5" t="s">
        <v>21140</v>
      </c>
      <c r="D3723" s="5" t="str">
        <v>132809902618</v>
      </c>
      <c r="F3723" s="5"/>
      <c r="G3723" s="5"/>
      <c r="H3723" s="26">
        <v>5</v>
      </c>
      <c r="I3723" s="5" t="s">
        <v>36517</v>
      </c>
      <c r="J3723" s="5" t="s">
        <v>364</v>
      </c>
      <c r="K3723" s="5" t="s">
        <v>344</v>
      </c>
      <c r="L3723" s="5" t="s">
        <v>36518</v>
      </c>
      <c r="M3723" s="27">
        <v>6849215</v>
      </c>
      <c r="N3723" s="5"/>
      <c r="O3723" s="5" t="str">
        <v>7704449910</v>
      </c>
      <c r="P3723" s="27">
        <v>12000</v>
      </c>
      <c r="Q3723" s="5" t="s">
        <v>49822</v>
      </c>
      <c r="R3723" s="5"/>
      <c r="S3723" s="5" t="s">
        <v>55037</v>
      </c>
      <c r="T3723" s="28">
        <v>7438000</v>
      </c>
      <c r="U3723" s="28"/>
      <c r="V3723" s="28">
        <v>453166000</v>
      </c>
      <c r="W3723" s="28"/>
      <c r="X3723" s="28">
        <v>55216000</v>
      </c>
      <c r="Y3723" s="28">
        <v>1155190000</v>
      </c>
      <c r="Z3723" s="28">
        <v>22006000</v>
      </c>
      <c r="AA3723" s="28"/>
      <c r="AB3723" s="28"/>
      <c r="AC3723" s="28">
        <v>1132389000</v>
      </c>
      <c r="AD3723" s="28">
        <v>22018000</v>
      </c>
      <c r="AE3723" s="28">
        <v>5300203000</v>
      </c>
      <c r="AF3723" s="28">
        <v>6543000</v>
      </c>
      <c r="AG3723" s="11"/>
    </row>
    <row r="3724">
      <c r="A3724" s="7" t="s">
        <v>5381</v>
      </c>
      <c r="B3724" s="5" t="s">
        <v>13346</v>
      </c>
      <c r="C3724" s="5" t="s">
        <v>21141</v>
      </c>
      <c r="D3724" s="5"/>
      <c r="E3724" s="0" t="e">
        <f>+7 (812) 3097318
+7 (800) 5500413
+7 (812) 3266326
+7 (911) 9150
+7 (911) 2059000</f>
        <v>#NAME?</v>
      </c>
      <c r="F3724" s="5" t="s">
        <v>36519</v>
      </c>
      <c r="G3724" s="5" t="s">
        <v>36520</v>
      </c>
      <c r="H3724" s="26">
        <v>16.5</v>
      </c>
      <c r="I3724" s="5" t="s">
        <v>36521</v>
      </c>
      <c r="J3724" s="5" t="s">
        <v>866</v>
      </c>
      <c r="K3724" s="5" t="s">
        <v>355</v>
      </c>
      <c r="L3724" s="5"/>
      <c r="M3724" s="27">
        <v>96060645</v>
      </c>
      <c r="N3724" s="5"/>
      <c r="O3724" s="5" t="str">
        <v>7810071482</v>
      </c>
      <c r="P3724" s="27">
        <v>30000</v>
      </c>
      <c r="Q3724" s="5" t="s">
        <v>49021</v>
      </c>
      <c r="R3724" s="5"/>
      <c r="S3724" s="5" t="s">
        <v>52241</v>
      </c>
      <c r="T3724" s="28">
        <v>4704467000</v>
      </c>
      <c r="U3724" s="28">
        <v>25102000</v>
      </c>
      <c r="V3724" s="28">
        <v>1734972000</v>
      </c>
      <c r="W3724" s="28">
        <v>41700000</v>
      </c>
      <c r="X3724" s="28">
        <v>10301000</v>
      </c>
      <c r="Y3724" s="28">
        <v>8622997000</v>
      </c>
      <c r="Z3724" s="28">
        <v>1443856000</v>
      </c>
      <c r="AA3724" s="28">
        <v>2281700000</v>
      </c>
      <c r="AB3724" s="28">
        <v>545440000</v>
      </c>
      <c r="AC3724" s="28">
        <v>2824578000</v>
      </c>
      <c r="AD3724" s="28">
        <v>1780386000</v>
      </c>
      <c r="AE3724" s="28">
        <v>8421063000</v>
      </c>
      <c r="AF3724" s="28">
        <v>3746000</v>
      </c>
      <c r="AG3724" s="11"/>
    </row>
    <row r="3725">
      <c r="A3725" s="7" t="s">
        <v>5382</v>
      </c>
      <c r="B3725" s="5" t="s">
        <v>13346</v>
      </c>
      <c r="C3725" s="5" t="s">
        <v>21141</v>
      </c>
      <c r="D3725" s="5"/>
      <c r="E3725" s="0" t="e">
        <f>+7 (812) 3097318
+7 (911) 9202621
+7 (911) 9766876</f>
        <v>#NAME?</v>
      </c>
      <c r="F3725" s="5" t="s">
        <v>36522</v>
      </c>
      <c r="G3725" s="5"/>
      <c r="H3725" s="26">
        <v>7.5</v>
      </c>
      <c r="I3725" s="5" t="s">
        <v>36523</v>
      </c>
      <c r="J3725" s="5" t="s">
        <v>599</v>
      </c>
      <c r="K3725" s="5" t="s">
        <v>355</v>
      </c>
      <c r="L3725" s="5" t="s">
        <v>1408</v>
      </c>
      <c r="M3725" s="27">
        <v>4278846</v>
      </c>
      <c r="N3725" s="5" t="s">
        <v>55038</v>
      </c>
      <c r="O3725" s="5" t="str">
        <v>7810384750</v>
      </c>
      <c r="P3725" s="27">
        <v>10000</v>
      </c>
      <c r="Q3725" s="5" t="s">
        <v>49021</v>
      </c>
      <c r="R3725" s="5"/>
      <c r="S3725" s="5" t="s">
        <v>52348</v>
      </c>
      <c r="T3725" s="28">
        <v>6446000</v>
      </c>
      <c r="U3725" s="28">
        <v>1991963000</v>
      </c>
      <c r="V3725" s="28">
        <v>3280587000</v>
      </c>
      <c r="W3725" s="28">
        <v>4650000</v>
      </c>
      <c r="X3725" s="28">
        <v>23767000</v>
      </c>
      <c r="Y3725" s="28">
        <v>6140812000</v>
      </c>
      <c r="Z3725" s="28">
        <v>140737000</v>
      </c>
      <c r="AA3725" s="28">
        <v>700000000</v>
      </c>
      <c r="AB3725" s="28">
        <v>1648328000</v>
      </c>
      <c r="AC3725" s="28">
        <v>5142916000</v>
      </c>
      <c r="AD3725" s="28">
        <v>292247000</v>
      </c>
      <c r="AE3725" s="28">
        <v>32073380000</v>
      </c>
      <c r="AF3725" s="28">
        <v>31082000</v>
      </c>
      <c r="AG3725" s="11"/>
    </row>
    <row r="3726">
      <c r="A3726" s="7" t="s">
        <v>5383</v>
      </c>
      <c r="B3726" s="5" t="s">
        <v>13347</v>
      </c>
      <c r="C3726" s="5" t="s">
        <v>21142</v>
      </c>
      <c r="D3726" s="5" t="str">
        <v>771401216838</v>
      </c>
      <c r="E3726" s="0" t="e">
        <f>+7 (916) 9700170
+7 (495) 9673100
+7 (495) 9673113
+7 (800) 3331817
+7 (910) 4989863
+7 (985) 7731290</f>
        <v>#NAME?</v>
      </c>
      <c r="F3726" s="5" t="s">
        <v>36524</v>
      </c>
      <c r="G3726" s="5" t="s">
        <v>36525</v>
      </c>
      <c r="H3726" s="26">
        <v>21</v>
      </c>
      <c r="I3726" s="5" t="s">
        <v>36526</v>
      </c>
      <c r="J3726" s="5" t="s">
        <v>32481</v>
      </c>
      <c r="K3726" s="5" t="s">
        <v>344</v>
      </c>
      <c r="L3726" s="5" t="s">
        <v>36527</v>
      </c>
      <c r="M3726" s="27">
        <v>4451688</v>
      </c>
      <c r="N3726" s="5" t="s">
        <v>55039</v>
      </c>
      <c r="O3726" s="5" t="str">
        <v>7703313144</v>
      </c>
      <c r="P3726" s="27">
        <v>60000</v>
      </c>
      <c r="Q3726" s="5" t="s">
        <v>55040</v>
      </c>
      <c r="R3726" s="5" t="s">
        <v>55041</v>
      </c>
      <c r="S3726" s="5" t="s">
        <v>55042</v>
      </c>
      <c r="T3726" s="28">
        <v>133821000</v>
      </c>
      <c r="U3726" s="28">
        <v>89792000</v>
      </c>
      <c r="V3726" s="28">
        <v>6611206000</v>
      </c>
      <c r="W3726" s="28">
        <v>107652000</v>
      </c>
      <c r="X3726" s="28">
        <v>2097890000</v>
      </c>
      <c r="Y3726" s="28">
        <v>12741683000</v>
      </c>
      <c r="Z3726" s="28">
        <v>3257640000</v>
      </c>
      <c r="AA3726" s="28">
        <v>63619000</v>
      </c>
      <c r="AB3726" s="28">
        <v>63620000</v>
      </c>
      <c r="AC3726" s="28">
        <v>9315117000</v>
      </c>
      <c r="AD3726" s="28">
        <v>3257700000</v>
      </c>
      <c r="AE3726" s="28">
        <v>25162472000</v>
      </c>
      <c r="AF3726" s="28">
        <v>504564000</v>
      </c>
      <c r="AG3726" s="11"/>
    </row>
    <row r="3727">
      <c r="A3727" s="7" t="s">
        <v>5384</v>
      </c>
      <c r="B3727" s="5" t="s">
        <v>13348</v>
      </c>
      <c r="C3727" s="5" t="s">
        <v>21143</v>
      </c>
      <c r="D3727" s="5" t="str">
        <v>740202791769</v>
      </c>
      <c r="E3727" s="0" t="e">
        <f>+7 (951) 4444352</f>
        <v>#NAME?</v>
      </c>
      <c r="F3727" s="5" t="s">
        <v>36528</v>
      </c>
      <c r="G3727" s="5"/>
      <c r="H3727" s="26">
        <v>3</v>
      </c>
      <c r="I3727" s="5" t="s">
        <v>36529</v>
      </c>
      <c r="J3727" s="5" t="s">
        <v>947</v>
      </c>
      <c r="K3727" s="5" t="s">
        <v>344</v>
      </c>
      <c r="L3727" s="5"/>
      <c r="M3727" s="27"/>
      <c r="N3727" s="5" t="s">
        <v>55043</v>
      </c>
      <c r="O3727" s="5" t="str">
        <v>7459007444</v>
      </c>
      <c r="P3727" s="27">
        <v>10000</v>
      </c>
      <c r="Q3727" s="5"/>
      <c r="R3727" s="5"/>
      <c r="S3727" s="5" t="s">
        <v>49991</v>
      </c>
      <c r="T3727" s="28"/>
      <c r="U3727" s="28"/>
      <c r="V3727" s="28">
        <v>2986000000</v>
      </c>
      <c r="W3727" s="28"/>
      <c r="X3727" s="28">
        <v>1309654000</v>
      </c>
      <c r="Y3727" s="28">
        <v>4600214000</v>
      </c>
      <c r="Z3727" s="28"/>
      <c r="AA3727" s="28"/>
      <c r="AB3727" s="28"/>
      <c r="AC3727" s="28">
        <v>3355214000</v>
      </c>
      <c r="AD3727" s="28">
        <v>1245000000</v>
      </c>
      <c r="AE3727" s="28">
        <v>5928934000</v>
      </c>
      <c r="AF3727" s="28">
        <v>2007533000</v>
      </c>
      <c r="AG3727" s="11"/>
    </row>
    <row r="3728">
      <c r="A3728" s="7" t="s">
        <v>5385</v>
      </c>
      <c r="B3728" s="5" t="s">
        <v>13349</v>
      </c>
      <c r="C3728" s="5" t="s">
        <v>21144</v>
      </c>
      <c r="D3728" s="5" t="str">
        <v>772807003529</v>
      </c>
      <c r="E3728" s="0" t="e">
        <f>+7 (495) 7429414
+7 (985) 7671768
+7 (495) 6785495
+7 (495) 9805238
+7 (495) 9805239
+7 (495) 9811320</f>
        <v>#NAME?</v>
      </c>
      <c r="F3728" s="5" t="s">
        <v>36530</v>
      </c>
      <c r="G3728" s="5" t="s">
        <v>36531</v>
      </c>
      <c r="H3728" s="26">
        <v>29</v>
      </c>
      <c r="I3728" s="5"/>
      <c r="J3728" s="5" t="s">
        <v>25429</v>
      </c>
      <c r="K3728" s="5" t="s">
        <v>344</v>
      </c>
      <c r="L3728" s="5" t="s">
        <v>36532</v>
      </c>
      <c r="M3728" s="27"/>
      <c r="N3728" s="5" t="s">
        <v>55044</v>
      </c>
      <c r="O3728" s="5" t="str">
        <v>7726005851</v>
      </c>
      <c r="P3728" s="27">
        <v>1000000</v>
      </c>
      <c r="Q3728" s="5" t="s">
        <v>55045</v>
      </c>
      <c r="R3728" s="5"/>
      <c r="S3728" s="5" t="s">
        <v>55046</v>
      </c>
      <c r="T3728" s="28">
        <v>135909000</v>
      </c>
      <c r="U3728" s="28">
        <v>16781000</v>
      </c>
      <c r="V3728" s="28">
        <v>557063000</v>
      </c>
      <c r="W3728" s="28"/>
      <c r="X3728" s="28">
        <v>244635000</v>
      </c>
      <c r="Y3728" s="28">
        <v>1205399000</v>
      </c>
      <c r="Z3728" s="28">
        <v>670776000</v>
      </c>
      <c r="AA3728" s="28"/>
      <c r="AB3728" s="28"/>
      <c r="AC3728" s="28">
        <v>474117000</v>
      </c>
      <c r="AD3728" s="28">
        <v>672026000</v>
      </c>
      <c r="AE3728" s="28">
        <v>3675765000</v>
      </c>
      <c r="AF3728" s="28">
        <v>267159000</v>
      </c>
      <c r="AG3728" s="11"/>
    </row>
    <row r="3729">
      <c r="A3729" s="7" t="s">
        <v>5386</v>
      </c>
      <c r="B3729" s="5" t="s">
        <v>13350</v>
      </c>
      <c r="C3729" s="5" t="s">
        <v>21145</v>
      </c>
      <c r="D3729" s="5" t="str">
        <v>772735218748</v>
      </c>
      <c r="E3729" s="0" t="e">
        <f>+7 (495) 2250100
+7 (495) 2251096
+7 (495) 2251092
+7 (495) 2251093
+7 (927) 2013861</f>
        <v>#NAME?</v>
      </c>
      <c r="F3729" s="5" t="s">
        <v>36533</v>
      </c>
      <c r="G3729" s="5" t="s">
        <v>36534</v>
      </c>
      <c r="H3729" s="26">
        <v>20.5</v>
      </c>
      <c r="I3729" s="5" t="s">
        <v>36535</v>
      </c>
      <c r="J3729" s="5" t="s">
        <v>32226</v>
      </c>
      <c r="K3729" s="5" t="s">
        <v>344</v>
      </c>
      <c r="L3729" s="5" t="s">
        <v>36536</v>
      </c>
      <c r="M3729" s="27"/>
      <c r="N3729" s="5"/>
      <c r="O3729" s="5" t="str">
        <v>7704240555</v>
      </c>
      <c r="P3729" s="27">
        <v>10000</v>
      </c>
      <c r="Q3729" s="5" t="s">
        <v>49009</v>
      </c>
      <c r="R3729" s="5"/>
      <c r="S3729" s="5" t="s">
        <v>49010</v>
      </c>
      <c r="T3729" s="28">
        <v>138752000</v>
      </c>
      <c r="U3729" s="28">
        <v>61000000</v>
      </c>
      <c r="V3729" s="28">
        <v>728230000</v>
      </c>
      <c r="W3729" s="28"/>
      <c r="X3729" s="28">
        <v>13196000</v>
      </c>
      <c r="Y3729" s="28">
        <v>7435654000</v>
      </c>
      <c r="Z3729" s="28">
        <v>4930981000</v>
      </c>
      <c r="AA3729" s="28">
        <v>141968000</v>
      </c>
      <c r="AB3729" s="28">
        <v>1965021000</v>
      </c>
      <c r="AC3729" s="28">
        <v>2330890000</v>
      </c>
      <c r="AD3729" s="28">
        <v>4930992000</v>
      </c>
      <c r="AE3729" s="28">
        <v>12933419000</v>
      </c>
      <c r="AF3729" s="28">
        <v>25017000</v>
      </c>
      <c r="AG3729" s="11"/>
    </row>
    <row r="3730">
      <c r="A3730" s="7" t="s">
        <v>5387</v>
      </c>
      <c r="B3730" s="5" t="s">
        <v>13351</v>
      </c>
      <c r="C3730" s="5" t="s">
        <v>21146</v>
      </c>
      <c r="D3730" s="5" t="str">
        <v>772904169110</v>
      </c>
      <c r="E3730" s="0" t="e">
        <f>+7 (495) 6086995
+7 (495) 6087248
+7 (495) 6087478
+7 (495) 6088606
+7 (495) 6088832
+7 (495) 6088868
+7 (495) 6489580
+7 (495) 6489581
+7 (495) 6849581
+7 (499) 1321455
+7 (499) 1321456
+7 (499) 1328908
+7 (499) 1345054</f>
        <v>#NAME?</v>
      </c>
      <c r="F3730" s="5"/>
      <c r="G3730" s="5" t="s">
        <v>36537</v>
      </c>
      <c r="H3730" s="26">
        <v>23</v>
      </c>
      <c r="I3730" s="5" t="s">
        <v>36538</v>
      </c>
      <c r="J3730" s="5" t="s">
        <v>30285</v>
      </c>
      <c r="K3730" s="5" t="s">
        <v>380</v>
      </c>
      <c r="L3730" s="5"/>
      <c r="M3730" s="27"/>
      <c r="N3730" s="5"/>
      <c r="O3730" s="5" t="str">
        <v>7710323601</v>
      </c>
      <c r="P3730" s="27">
        <v>401500000</v>
      </c>
      <c r="Q3730" s="5" t="s">
        <v>49009</v>
      </c>
      <c r="R3730" s="5" t="s">
        <v>55047</v>
      </c>
      <c r="S3730" s="5" t="s">
        <v>49576</v>
      </c>
      <c r="T3730" s="28">
        <v>1421418000</v>
      </c>
      <c r="U3730" s="28"/>
      <c r="V3730" s="28">
        <v>318771000</v>
      </c>
      <c r="W3730" s="28"/>
      <c r="X3730" s="28">
        <v>46796000</v>
      </c>
      <c r="Y3730" s="28">
        <v>5567566000</v>
      </c>
      <c r="Z3730" s="28">
        <v>-8995124000</v>
      </c>
      <c r="AA3730" s="28"/>
      <c r="AB3730" s="28">
        <v>325000000</v>
      </c>
      <c r="AC3730" s="28">
        <v>513875000</v>
      </c>
      <c r="AD3730" s="28">
        <v>4016611000</v>
      </c>
      <c r="AE3730" s="28">
        <v>4198016000</v>
      </c>
      <c r="AF3730" s="28">
        <v>-3460532000</v>
      </c>
      <c r="AG3730" s="11"/>
    </row>
    <row r="3731">
      <c r="A3731" s="7" t="s">
        <v>5388</v>
      </c>
      <c r="B3731" s="5" t="s">
        <v>13352</v>
      </c>
      <c r="C3731" s="5" t="s">
        <v>21147</v>
      </c>
      <c r="D3731" s="5" t="str">
        <v>132801948709</v>
      </c>
      <c r="E3731" s="0" t="e">
        <f>+7 (3422) 234863
+7 (34253) 22854
+7 (83146) 33006
+7 (83342) 34800
+7 (83342) 34805
+7 (8342) 222325
+7 (8342) 222932
+7 (8342) 224863
+7 (8342) 224985
+7 (8342) 226595
+7 (8342) 226598
+7 (8342) 226654
+7 (8342) 231805
+7 (8342) 231862
+7 (800) 2348023</f>
        <v>#NAME?</v>
      </c>
      <c r="F3731" s="5" t="s">
        <v>36539</v>
      </c>
      <c r="G3731" s="5" t="s">
        <v>36540</v>
      </c>
      <c r="H3731" s="26">
        <v>18</v>
      </c>
      <c r="I3731" s="5" t="s">
        <v>36541</v>
      </c>
      <c r="J3731" s="5" t="s">
        <v>26623</v>
      </c>
      <c r="K3731" s="5" t="s">
        <v>344</v>
      </c>
      <c r="L3731" s="5"/>
      <c r="M3731" s="27">
        <v>644143</v>
      </c>
      <c r="N3731" s="5" t="s">
        <v>55048</v>
      </c>
      <c r="O3731" s="5" t="str">
        <v>1326192645</v>
      </c>
      <c r="P3731" s="27">
        <v>18292513</v>
      </c>
      <c r="Q3731" s="5" t="s">
        <v>55049</v>
      </c>
      <c r="R3731" s="5"/>
      <c r="S3731" s="5" t="s">
        <v>50205</v>
      </c>
      <c r="T3731" s="28">
        <v>467959000</v>
      </c>
      <c r="U3731" s="28"/>
      <c r="V3731" s="28">
        <v>809833000</v>
      </c>
      <c r="W3731" s="28">
        <v>698000</v>
      </c>
      <c r="X3731" s="28">
        <v>57624000</v>
      </c>
      <c r="Y3731" s="28">
        <v>1460662000</v>
      </c>
      <c r="Z3731" s="28">
        <v>282788000</v>
      </c>
      <c r="AA3731" s="28"/>
      <c r="AB3731" s="28">
        <v>329819000</v>
      </c>
      <c r="AC3731" s="28">
        <v>1087240000</v>
      </c>
      <c r="AD3731" s="28">
        <v>337215000</v>
      </c>
      <c r="AE3731" s="28">
        <v>6769835000</v>
      </c>
      <c r="AF3731" s="28">
        <v>96218000</v>
      </c>
      <c r="AG3731" s="11"/>
    </row>
    <row r="3732">
      <c r="A3732" s="7" t="s">
        <v>5389</v>
      </c>
      <c r="B3732" s="5" t="s">
        <v>13353</v>
      </c>
      <c r="C3732" s="5" t="s">
        <v>21148</v>
      </c>
      <c r="D3732" s="5" t="str">
        <v>130301994809</v>
      </c>
      <c r="E3732" s="0" t="e">
        <f>+7 (83437) 24175
+7 (906) 1602320
+7 (8342) 292623
+7 (8342) 292709
+7 (8342) 292746
+7 (8342) 292747
+7 (8342) 292783
+7 (8342) 293141
+7 (83431) 23851
+7 (83437) 23833
+7 (83437) 23851
+7 (83437) 23906
+7 (960) 3367103</f>
        <v>#NAME?</v>
      </c>
      <c r="F3732" s="5" t="s">
        <v>36542</v>
      </c>
      <c r="G3732" s="5" t="s">
        <v>36543</v>
      </c>
      <c r="H3732" s="26">
        <v>21.5</v>
      </c>
      <c r="I3732" s="5"/>
      <c r="J3732" s="5" t="s">
        <v>25371</v>
      </c>
      <c r="K3732" s="5" t="s">
        <v>344</v>
      </c>
      <c r="L3732" s="5" t="s">
        <v>36544</v>
      </c>
      <c r="M3732" s="27"/>
      <c r="N3732" s="5" t="s">
        <v>51195</v>
      </c>
      <c r="O3732" s="5" t="str">
        <v>1322119933</v>
      </c>
      <c r="P3732" s="27">
        <v>10000</v>
      </c>
      <c r="Q3732" s="5" t="s">
        <v>49009</v>
      </c>
      <c r="R3732" s="5"/>
      <c r="S3732" s="5" t="s">
        <v>49010</v>
      </c>
      <c r="T3732" s="28">
        <v>6714600000</v>
      </c>
      <c r="U3732" s="28"/>
      <c r="V3732" s="28">
        <v>6040471000</v>
      </c>
      <c r="W3732" s="28">
        <v>11846000</v>
      </c>
      <c r="X3732" s="28">
        <v>1107278000</v>
      </c>
      <c r="Y3732" s="28">
        <v>17017522000</v>
      </c>
      <c r="Z3732" s="28">
        <v>9291132000</v>
      </c>
      <c r="AA3732" s="28">
        <v>5254434000</v>
      </c>
      <c r="AB3732" s="28">
        <v>1875476000</v>
      </c>
      <c r="AC3732" s="28">
        <v>2354465000</v>
      </c>
      <c r="AD3732" s="28">
        <v>9327030000</v>
      </c>
      <c r="AE3732" s="28">
        <v>11868854000</v>
      </c>
      <c r="AF3732" s="28">
        <v>3583094000</v>
      </c>
      <c r="AG3732" s="11"/>
    </row>
    <row r="3733">
      <c r="A3733" s="7" t="s">
        <v>5390</v>
      </c>
      <c r="B3733" s="5" t="s">
        <v>13354</v>
      </c>
      <c r="C3733" s="5" t="s">
        <v>21149</v>
      </c>
      <c r="D3733" s="5" t="str">
        <v>132200578612</v>
      </c>
      <c r="E3733" s="0" t="e">
        <f>+7 (83437) 20594
+7 (83437) 21800
+7 (83437) 30400
+7 (83437) 30415
+7 (83437) 30420
+7 (83437) 30438
+7 (83437) 30524
+7 (83437) 30609
+7 (83437) 30700
+7 (83437) 31593
+7 (83437) 31824</f>
        <v>#NAME?</v>
      </c>
      <c r="F3733" s="5" t="s">
        <v>36545</v>
      </c>
      <c r="G3733" s="5"/>
      <c r="H3733" s="26">
        <v>28</v>
      </c>
      <c r="I3733" s="5"/>
      <c r="J3733" s="5" t="s">
        <v>26407</v>
      </c>
      <c r="K3733" s="5" t="s">
        <v>355</v>
      </c>
      <c r="L3733" s="5"/>
      <c r="M3733" s="27">
        <v>6094016</v>
      </c>
      <c r="N3733" s="5"/>
      <c r="O3733" s="5" t="str">
        <v>1322116731</v>
      </c>
      <c r="P3733" s="27">
        <v>76149000</v>
      </c>
      <c r="Q3733" s="5" t="s">
        <v>49009</v>
      </c>
      <c r="R3733" s="5" t="s">
        <v>55050</v>
      </c>
      <c r="S3733" s="5" t="s">
        <v>49093</v>
      </c>
      <c r="T3733" s="28">
        <v>10630693000</v>
      </c>
      <c r="U3733" s="28">
        <v>14784611000</v>
      </c>
      <c r="V3733" s="28">
        <v>2503065000</v>
      </c>
      <c r="W3733" s="28"/>
      <c r="X3733" s="28">
        <v>118374000</v>
      </c>
      <c r="Y3733" s="28">
        <v>31969613000</v>
      </c>
      <c r="Z3733" s="28">
        <v>2008272000</v>
      </c>
      <c r="AA3733" s="28">
        <v>23797811000</v>
      </c>
      <c r="AB3733" s="28">
        <v>492126000</v>
      </c>
      <c r="AC3733" s="28">
        <v>2203876000</v>
      </c>
      <c r="AD3733" s="28">
        <v>4900364000</v>
      </c>
      <c r="AE3733" s="28">
        <v>16170737000</v>
      </c>
      <c r="AF3733" s="28">
        <v>-1988101000</v>
      </c>
      <c r="AG3733" s="11"/>
    </row>
    <row r="3734">
      <c r="A3734" s="7" t="s">
        <v>5391</v>
      </c>
      <c r="B3734" s="5" t="s">
        <v>13355</v>
      </c>
      <c r="C3734" s="5" t="s">
        <v>21150</v>
      </c>
      <c r="D3734" s="5" t="str">
        <v>381295601541</v>
      </c>
      <c r="E3734" s="0" t="e">
        <f>+7 (395) 2560485
+7 (3012) 560485
+7 (395) 2200528</f>
        <v>#NAME?</v>
      </c>
      <c r="F3734" s="5"/>
      <c r="G3734" s="5"/>
      <c r="H3734" s="26">
        <v>22</v>
      </c>
      <c r="I3734" s="5" t="s">
        <v>36546</v>
      </c>
      <c r="J3734" s="5" t="s">
        <v>1059</v>
      </c>
      <c r="K3734" s="5" t="s">
        <v>344</v>
      </c>
      <c r="L3734" s="5" t="s">
        <v>1602</v>
      </c>
      <c r="M3734" s="27"/>
      <c r="N3734" s="5"/>
      <c r="O3734" s="5" t="str">
        <v>3811065540</v>
      </c>
      <c r="P3734" s="27">
        <v>10000000</v>
      </c>
      <c r="Q3734" s="5" t="s">
        <v>49009</v>
      </c>
      <c r="R3734" s="5"/>
      <c r="S3734" s="5" t="s">
        <v>49010</v>
      </c>
      <c r="T3734" s="28">
        <v>15342000</v>
      </c>
      <c r="U3734" s="28"/>
      <c r="V3734" s="28">
        <v>1493836000</v>
      </c>
      <c r="W3734" s="28">
        <v>1870000</v>
      </c>
      <c r="X3734" s="28">
        <v>18597000</v>
      </c>
      <c r="Y3734" s="28">
        <v>2470005000</v>
      </c>
      <c r="Z3734" s="28">
        <v>662654000</v>
      </c>
      <c r="AA3734" s="28">
        <v>508262000</v>
      </c>
      <c r="AB3734" s="28">
        <v>433000</v>
      </c>
      <c r="AC3734" s="28">
        <v>1289089000</v>
      </c>
      <c r="AD3734" s="28">
        <v>672654000</v>
      </c>
      <c r="AE3734" s="28">
        <v>4695566000</v>
      </c>
      <c r="AF3734" s="28">
        <v>49363000</v>
      </c>
      <c r="AG3734" s="11"/>
    </row>
    <row r="3735">
      <c r="A3735" s="7" t="s">
        <v>5392</v>
      </c>
      <c r="B3735" s="5" t="s">
        <v>13356</v>
      </c>
      <c r="C3735" s="5" t="s">
        <v>21151</v>
      </c>
      <c r="D3735" s="5"/>
      <c r="E3735" s="0" t="e">
        <f>+7 (8622) 960717
+7 (8622) 983349
+7 (929) 8428450</f>
        <v>#NAME?</v>
      </c>
      <c r="F3735" s="5"/>
      <c r="G3735" s="5" t="s">
        <v>36547</v>
      </c>
      <c r="H3735" s="26">
        <v>28.5</v>
      </c>
      <c r="I3735" s="5"/>
      <c r="J3735" s="5" t="s">
        <v>25484</v>
      </c>
      <c r="K3735" s="5" t="s">
        <v>344</v>
      </c>
      <c r="L3735" s="5" t="s">
        <v>36548</v>
      </c>
      <c r="M3735" s="27">
        <v>4902224</v>
      </c>
      <c r="N3735" s="5"/>
      <c r="O3735" s="5" t="str">
        <v>2320034034</v>
      </c>
      <c r="P3735" s="27">
        <v>27016319</v>
      </c>
      <c r="Q3735" s="5" t="s">
        <v>49059</v>
      </c>
      <c r="R3735" s="5"/>
      <c r="S3735" s="5" t="s">
        <v>49010</v>
      </c>
      <c r="T3735" s="28">
        <v>1650000</v>
      </c>
      <c r="U3735" s="28">
        <v>8823000</v>
      </c>
      <c r="V3735" s="28">
        <v>232187000</v>
      </c>
      <c r="W3735" s="28"/>
      <c r="X3735" s="28">
        <v>1735001000</v>
      </c>
      <c r="Y3735" s="28">
        <v>6100695000</v>
      </c>
      <c r="Z3735" s="28">
        <v>4085999000</v>
      </c>
      <c r="AA3735" s="28">
        <v>942847000</v>
      </c>
      <c r="AB3735" s="28"/>
      <c r="AC3735" s="28">
        <v>700122000</v>
      </c>
      <c r="AD3735" s="28">
        <v>4114433000</v>
      </c>
      <c r="AE3735" s="28">
        <v>3140261000</v>
      </c>
      <c r="AF3735" s="28">
        <v>1137439000</v>
      </c>
      <c r="AG3735" s="11"/>
    </row>
    <row r="3736">
      <c r="A3736" s="7" t="s">
        <v>5393</v>
      </c>
      <c r="B3736" s="5" t="s">
        <v>13357</v>
      </c>
      <c r="C3736" s="5" t="s">
        <v>21152</v>
      </c>
      <c r="D3736" s="5" t="str">
        <v>507400501897</v>
      </c>
      <c r="E3736" s="0" t="e">
        <f>+7 (495) 7923944
+7 (495) 7813402
+7 (499) 4010297
+7 (499) 4010298
+7 (499) 6535982
+7 (916) 3195331</f>
        <v>#NAME?</v>
      </c>
      <c r="F3736" s="5" t="s">
        <v>36549</v>
      </c>
      <c r="G3736" s="5" t="s">
        <v>36550</v>
      </c>
      <c r="H3736" s="26">
        <v>12</v>
      </c>
      <c r="I3736" s="5" t="s">
        <v>36551</v>
      </c>
      <c r="J3736" s="5" t="s">
        <v>26125</v>
      </c>
      <c r="K3736" s="5" t="s">
        <v>344</v>
      </c>
      <c r="L3736" s="5" t="s">
        <v>36552</v>
      </c>
      <c r="M3736" s="27"/>
      <c r="N3736" s="5"/>
      <c r="O3736" s="5" t="str">
        <v>7727734159</v>
      </c>
      <c r="P3736" s="27">
        <v>100000</v>
      </c>
      <c r="Q3736" s="5" t="s">
        <v>49059</v>
      </c>
      <c r="R3736" s="5"/>
      <c r="S3736" s="5" t="s">
        <v>49010</v>
      </c>
      <c r="T3736" s="28">
        <v>43432000</v>
      </c>
      <c r="U3736" s="28"/>
      <c r="V3736" s="28">
        <v>2073246000</v>
      </c>
      <c r="W3736" s="28"/>
      <c r="X3736" s="28">
        <v>12108000</v>
      </c>
      <c r="Y3736" s="28">
        <v>5293941000</v>
      </c>
      <c r="Z3736" s="28">
        <v>221671000</v>
      </c>
      <c r="AA3736" s="28">
        <v>1685098000</v>
      </c>
      <c r="AB3736" s="28">
        <v>2674385000</v>
      </c>
      <c r="AC3736" s="28">
        <v>3381975000</v>
      </c>
      <c r="AD3736" s="28">
        <v>221771000</v>
      </c>
      <c r="AE3736" s="28">
        <v>17372044000</v>
      </c>
      <c r="AF3736" s="28">
        <v>334426000</v>
      </c>
      <c r="AG3736" s="11"/>
    </row>
    <row r="3737">
      <c r="A3737" s="7" t="s">
        <v>5394</v>
      </c>
      <c r="B3737" s="5" t="s">
        <v>13358</v>
      </c>
      <c r="C3737" s="5" t="s">
        <v>21153</v>
      </c>
      <c r="D3737" s="5" t="str">
        <v>773705462187</v>
      </c>
      <c r="E3737" s="0" t="e">
        <f>+7 (495) 9260104
+7 (495) 9260106</f>
        <v>#NAME?</v>
      </c>
      <c r="F3737" s="5" t="s">
        <v>36553</v>
      </c>
      <c r="G3737" s="5" t="s">
        <v>36554</v>
      </c>
      <c r="H3737" s="26">
        <v>27.5</v>
      </c>
      <c r="I3737" s="5" t="s">
        <v>36555</v>
      </c>
      <c r="J3737" s="5" t="s">
        <v>26367</v>
      </c>
      <c r="K3737" s="5" t="s">
        <v>344</v>
      </c>
      <c r="L3737" s="5" t="s">
        <v>36556</v>
      </c>
      <c r="M3737" s="27">
        <v>30873</v>
      </c>
      <c r="N3737" s="5"/>
      <c r="O3737" s="5" t="str">
        <v>7726083874</v>
      </c>
      <c r="P3737" s="27">
        <v>10000000</v>
      </c>
      <c r="Q3737" s="5" t="s">
        <v>49009</v>
      </c>
      <c r="R3737" s="5"/>
      <c r="S3737" s="5" t="s">
        <v>49781</v>
      </c>
      <c r="T3737" s="28">
        <v>174240000</v>
      </c>
      <c r="U3737" s="28"/>
      <c r="V3737" s="28">
        <v>1463182000</v>
      </c>
      <c r="W3737" s="28">
        <v>15400000</v>
      </c>
      <c r="X3737" s="28">
        <v>26986000</v>
      </c>
      <c r="Y3737" s="28">
        <v>3195248000</v>
      </c>
      <c r="Z3737" s="28">
        <v>74693000</v>
      </c>
      <c r="AA3737" s="28">
        <v>917577000</v>
      </c>
      <c r="AB3737" s="28">
        <v>171665000</v>
      </c>
      <c r="AC3737" s="28">
        <v>1983612000</v>
      </c>
      <c r="AD3737" s="28">
        <v>88440000</v>
      </c>
      <c r="AE3737" s="28">
        <v>7645327000</v>
      </c>
      <c r="AF3737" s="28">
        <v>49278000</v>
      </c>
      <c r="AG3737" s="11"/>
    </row>
    <row r="3738">
      <c r="A3738" s="7" t="s">
        <v>5395</v>
      </c>
      <c r="B3738" s="5" t="s">
        <v>13359</v>
      </c>
      <c r="C3738" s="5" t="s">
        <v>21154</v>
      </c>
      <c r="D3738" s="5" t="str">
        <v>780217632284</v>
      </c>
      <c r="E3738" s="0" t="e">
        <f>+7 (812) 3218535
+7 (472) 2202877
+7 (472) 2202881
+7 (812) 3271450
+7 (812) 3348682
+7 (812) 9311008
+7 (921) 7779076
+7 (965) 8130443</f>
        <v>#NAME?</v>
      </c>
      <c r="F3738" s="5" t="s">
        <v>36557</v>
      </c>
      <c r="G3738" s="5" t="s">
        <v>36558</v>
      </c>
      <c r="H3738" s="26">
        <v>8.5</v>
      </c>
      <c r="I3738" s="5" t="s">
        <v>36559</v>
      </c>
      <c r="J3738" s="5" t="s">
        <v>26887</v>
      </c>
      <c r="K3738" s="5" t="s">
        <v>344</v>
      </c>
      <c r="L3738" s="5" t="s">
        <v>36560</v>
      </c>
      <c r="M3738" s="27">
        <v>140242318</v>
      </c>
      <c r="N3738" s="5"/>
      <c r="O3738" s="5" t="str">
        <v>4703140190</v>
      </c>
      <c r="P3738" s="27">
        <v>10020000</v>
      </c>
      <c r="Q3738" s="5" t="s">
        <v>55052</v>
      </c>
      <c r="R3738" s="5"/>
      <c r="S3738" s="5" t="s">
        <v>49884</v>
      </c>
      <c r="T3738" s="28">
        <v>302778000</v>
      </c>
      <c r="U3738" s="28"/>
      <c r="V3738" s="28">
        <v>2487798000</v>
      </c>
      <c r="W3738" s="28">
        <v>500000000</v>
      </c>
      <c r="X3738" s="28">
        <v>153910000</v>
      </c>
      <c r="Y3738" s="28">
        <v>3548222000</v>
      </c>
      <c r="Z3738" s="28">
        <v>634799000</v>
      </c>
      <c r="AA3738" s="28">
        <v>1340135000</v>
      </c>
      <c r="AB3738" s="28">
        <v>86616000</v>
      </c>
      <c r="AC3738" s="28">
        <v>1184115000</v>
      </c>
      <c r="AD3738" s="28">
        <v>644819000</v>
      </c>
      <c r="AE3738" s="28">
        <v>15973938000</v>
      </c>
      <c r="AF3738" s="28">
        <v>634802000</v>
      </c>
      <c r="AG3738" s="11"/>
    </row>
    <row r="3739">
      <c r="A3739" s="7" t="s">
        <v>5396</v>
      </c>
      <c r="B3739" s="5" t="s">
        <v>13360</v>
      </c>
      <c r="C3739" s="5" t="s">
        <v>21155</v>
      </c>
      <c r="D3739" s="5" t="str">
        <v>744504916644</v>
      </c>
      <c r="E3739" s="0" t="e">
        <f>+7 (812) 1108066
+7 (812) 7035787
+7 (81370) 35143
+7 (81370) 35568</f>
        <v>#NAME?</v>
      </c>
      <c r="F3739" s="5" t="s">
        <v>36561</v>
      </c>
      <c r="G3739" s="5"/>
      <c r="H3739" s="26">
        <v>20</v>
      </c>
      <c r="I3739" s="5"/>
      <c r="J3739" s="5" t="s">
        <v>26213</v>
      </c>
      <c r="K3739" s="5" t="s">
        <v>344</v>
      </c>
      <c r="L3739" s="5"/>
      <c r="M3739" s="27">
        <v>15500</v>
      </c>
      <c r="N3739" s="5"/>
      <c r="O3739" s="5" t="str">
        <v>4703067775</v>
      </c>
      <c r="P3739" s="27">
        <v>100000</v>
      </c>
      <c r="Q3739" s="5" t="s">
        <v>49009</v>
      </c>
      <c r="R3739" s="5"/>
      <c r="S3739" s="5" t="s">
        <v>49066</v>
      </c>
      <c r="T3739" s="28">
        <v>863891000</v>
      </c>
      <c r="U3739" s="28"/>
      <c r="V3739" s="28">
        <v>1743333000</v>
      </c>
      <c r="W3739" s="28"/>
      <c r="X3739" s="28">
        <v>7419000</v>
      </c>
      <c r="Y3739" s="28">
        <v>3604296000</v>
      </c>
      <c r="Z3739" s="28">
        <v>995583000</v>
      </c>
      <c r="AA3739" s="28"/>
      <c r="AB3739" s="28">
        <v>200341000</v>
      </c>
      <c r="AC3739" s="28">
        <v>2395554000</v>
      </c>
      <c r="AD3739" s="28">
        <v>995688000</v>
      </c>
      <c r="AE3739" s="28">
        <v>3868454000</v>
      </c>
      <c r="AF3739" s="28">
        <v>503763000</v>
      </c>
      <c r="AG3739" s="11"/>
    </row>
    <row r="3740">
      <c r="A3740" s="7" t="s">
        <v>5397</v>
      </c>
      <c r="B3740" s="5" t="s">
        <v>13361</v>
      </c>
      <c r="C3740" s="5" t="s">
        <v>20519</v>
      </c>
      <c r="D3740" s="5"/>
      <c r="E3740" s="0" t="e">
        <f>+7 (812) 2511849
+7 (812) 4958236
+7 (812) 7149219</f>
        <v>#NAME?</v>
      </c>
      <c r="F3740" s="5" t="s">
        <v>36562</v>
      </c>
      <c r="G3740" s="5" t="s">
        <v>36563</v>
      </c>
      <c r="H3740" s="26">
        <v>30</v>
      </c>
      <c r="I3740" s="5"/>
      <c r="J3740" s="5" t="s">
        <v>26180</v>
      </c>
      <c r="K3740" s="5" t="s">
        <v>344</v>
      </c>
      <c r="L3740" s="5" t="s">
        <v>36564</v>
      </c>
      <c r="M3740" s="27">
        <v>4818483</v>
      </c>
      <c r="N3740" s="5" t="s">
        <v>55053</v>
      </c>
      <c r="O3740" s="5" t="str">
        <v>7805025346</v>
      </c>
      <c r="P3740" s="27">
        <v>2214400</v>
      </c>
      <c r="Q3740" s="5" t="s">
        <v>55055</v>
      </c>
      <c r="R3740" s="5"/>
      <c r="S3740" s="5" t="s">
        <v>55056</v>
      </c>
      <c r="T3740" s="28">
        <v>8122577000</v>
      </c>
      <c r="U3740" s="28">
        <v>45675000</v>
      </c>
      <c r="V3740" s="28">
        <v>695713000</v>
      </c>
      <c r="W3740" s="28"/>
      <c r="X3740" s="28">
        <v>1666041000</v>
      </c>
      <c r="Y3740" s="28">
        <v>11876720000</v>
      </c>
      <c r="Z3740" s="28">
        <v>4423961000</v>
      </c>
      <c r="AA3740" s="28">
        <v>1267622000</v>
      </c>
      <c r="AB3740" s="28">
        <v>72101000</v>
      </c>
      <c r="AC3740" s="28">
        <v>1078975000</v>
      </c>
      <c r="AD3740" s="28">
        <v>4646174000</v>
      </c>
      <c r="AE3740" s="28">
        <v>6050448000</v>
      </c>
      <c r="AF3740" s="28">
        <v>1392887000</v>
      </c>
      <c r="AG3740" s="11"/>
    </row>
    <row r="3741">
      <c r="A3741" s="7" t="s">
        <v>5398</v>
      </c>
      <c r="B3741" s="5" t="s">
        <v>13362</v>
      </c>
      <c r="C3741" s="5" t="s">
        <v>21156</v>
      </c>
      <c r="D3741" s="5" t="str">
        <v>390404323235</v>
      </c>
      <c r="E3741" s="0" t="e">
        <f>+7 (401) 2691402
+7 (401) 2691440
+7 (401) 2691519</f>
        <v>#NAME?</v>
      </c>
      <c r="F3741" s="5" t="s">
        <v>36565</v>
      </c>
      <c r="G3741" s="5"/>
      <c r="H3741" s="26">
        <v>23</v>
      </c>
      <c r="I3741" s="5" t="s">
        <v>36566</v>
      </c>
      <c r="J3741" s="5" t="s">
        <v>26424</v>
      </c>
      <c r="K3741" s="5" t="s">
        <v>344</v>
      </c>
      <c r="L3741" s="5" t="s">
        <v>36567</v>
      </c>
      <c r="M3741" s="27"/>
      <c r="N3741" s="5" t="s">
        <v>49940</v>
      </c>
      <c r="O3741" s="5" t="str">
        <v>3903017709</v>
      </c>
      <c r="P3741" s="27">
        <v>100000</v>
      </c>
      <c r="Q3741" s="5"/>
      <c r="R3741" s="5" t="s">
        <v>55057</v>
      </c>
      <c r="S3741" s="5" t="s">
        <v>49425</v>
      </c>
      <c r="T3741" s="28">
        <v>389104000</v>
      </c>
      <c r="U3741" s="28">
        <v>756000000</v>
      </c>
      <c r="V3741" s="28">
        <v>242758000</v>
      </c>
      <c r="W3741" s="28"/>
      <c r="X3741" s="28">
        <v>363803000</v>
      </c>
      <c r="Y3741" s="28">
        <v>2838894000</v>
      </c>
      <c r="Z3741" s="28">
        <v>2572148000</v>
      </c>
      <c r="AA3741" s="28"/>
      <c r="AB3741" s="28"/>
      <c r="AC3741" s="28">
        <v>266646000</v>
      </c>
      <c r="AD3741" s="28">
        <v>2572248000</v>
      </c>
      <c r="AE3741" s="28">
        <v>4356598000</v>
      </c>
      <c r="AF3741" s="28">
        <v>1267939000</v>
      </c>
      <c r="AG3741" s="11"/>
    </row>
    <row r="3742">
      <c r="A3742" s="7" t="s">
        <v>5399</v>
      </c>
      <c r="B3742" s="5" t="s">
        <v>13363</v>
      </c>
      <c r="C3742" s="5" t="s">
        <v>21157</v>
      </c>
      <c r="D3742" s="5" t="str">
        <v>772371710397</v>
      </c>
      <c r="E3742" s="0" t="e">
        <f>+7 (960) 5900444
+7 (499) 7033613</f>
        <v>#NAME?</v>
      </c>
      <c r="F3742" s="5" t="s">
        <v>36568</v>
      </c>
      <c r="G3742" s="5"/>
      <c r="H3742" s="26">
        <v>5</v>
      </c>
      <c r="I3742" s="5" t="s">
        <v>36569</v>
      </c>
      <c r="J3742" s="5" t="s">
        <v>30218</v>
      </c>
      <c r="K3742" s="5" t="s">
        <v>344</v>
      </c>
      <c r="L3742" s="5" t="s">
        <v>36570</v>
      </c>
      <c r="M3742" s="27"/>
      <c r="N3742" s="5"/>
      <c r="O3742" s="5" t="str">
        <v>7730242460</v>
      </c>
      <c r="P3742" s="27">
        <v>30000</v>
      </c>
      <c r="Q3742" s="5" t="s">
        <v>55058</v>
      </c>
      <c r="R3742" s="5"/>
      <c r="S3742" s="5" t="s">
        <v>55059</v>
      </c>
      <c r="T3742" s="28">
        <v>325212000</v>
      </c>
      <c r="U3742" s="28"/>
      <c r="V3742" s="28">
        <v>461456000</v>
      </c>
      <c r="W3742" s="28">
        <v>4350000</v>
      </c>
      <c r="X3742" s="28">
        <v>290976000</v>
      </c>
      <c r="Y3742" s="28">
        <v>1633543000</v>
      </c>
      <c r="Z3742" s="28">
        <v>102013000</v>
      </c>
      <c r="AA3742" s="28">
        <v>275973000</v>
      </c>
      <c r="AB3742" s="28"/>
      <c r="AC3742" s="28">
        <v>1180468000</v>
      </c>
      <c r="AD3742" s="28">
        <v>102043000</v>
      </c>
      <c r="AE3742" s="28">
        <v>5198362000</v>
      </c>
      <c r="AF3742" s="28">
        <v>67423000</v>
      </c>
      <c r="AG3742" s="11"/>
    </row>
    <row r="3743">
      <c r="A3743" s="7" t="s">
        <v>5400</v>
      </c>
      <c r="B3743" s="5" t="s">
        <v>13364</v>
      </c>
      <c r="C3743" s="5" t="s">
        <v>21158</v>
      </c>
      <c r="D3743" s="5" t="str">
        <v>470401294579</v>
      </c>
      <c r="E3743" s="0" t="e">
        <f>+7 (812) 3851012
+7 (800) 7009933</f>
        <v>#NAME?</v>
      </c>
      <c r="F3743" s="5"/>
      <c r="G3743" s="5"/>
      <c r="H3743" s="26">
        <v>14.5</v>
      </c>
      <c r="I3743" s="5" t="s">
        <v>36571</v>
      </c>
      <c r="J3743" s="5" t="s">
        <v>599</v>
      </c>
      <c r="K3743" s="5" t="s">
        <v>344</v>
      </c>
      <c r="L3743" s="5" t="s">
        <v>36572</v>
      </c>
      <c r="M3743" s="27"/>
      <c r="N3743" s="5"/>
      <c r="O3743" s="5" t="str">
        <v>7805464304</v>
      </c>
      <c r="P3743" s="27">
        <v>5010000</v>
      </c>
      <c r="Q3743" s="5" t="s">
        <v>49009</v>
      </c>
      <c r="R3743" s="5" t="s">
        <v>55060</v>
      </c>
      <c r="S3743" s="5" t="s">
        <v>55061</v>
      </c>
      <c r="T3743" s="28">
        <v>76452000</v>
      </c>
      <c r="U3743" s="28">
        <v>4800000</v>
      </c>
      <c r="V3743" s="28">
        <v>1098350000</v>
      </c>
      <c r="W3743" s="28">
        <v>4600000</v>
      </c>
      <c r="X3743" s="28">
        <v>9764000</v>
      </c>
      <c r="Y3743" s="28">
        <v>1205113000</v>
      </c>
      <c r="Z3743" s="28">
        <v>243996000</v>
      </c>
      <c r="AA3743" s="28">
        <v>10000000</v>
      </c>
      <c r="AB3743" s="28">
        <v>242464000</v>
      </c>
      <c r="AC3743" s="28">
        <v>928888000</v>
      </c>
      <c r="AD3743" s="28">
        <v>249006000</v>
      </c>
      <c r="AE3743" s="28">
        <v>6575467000</v>
      </c>
      <c r="AF3743" s="28">
        <v>132573000</v>
      </c>
      <c r="AG3743" s="11"/>
    </row>
    <row r="3744">
      <c r="A3744" s="7" t="s">
        <v>5401</v>
      </c>
      <c r="B3744" s="5" t="s">
        <v>13365</v>
      </c>
      <c r="C3744" s="5" t="s">
        <v>21159</v>
      </c>
      <c r="D3744" s="5" t="str">
        <v>235211398810</v>
      </c>
      <c r="E3744" s="0" t="e">
        <f>+7 (86148) 60527
+7 (910) 240004
+7 (910) 7375688
+7 (918) 6621376
+7 (988) 3338318</f>
        <v>#NAME?</v>
      </c>
      <c r="F3744" s="5" t="s">
        <v>36573</v>
      </c>
      <c r="G3744" s="5" t="s">
        <v>36574</v>
      </c>
      <c r="H3744" s="26">
        <v>14</v>
      </c>
      <c r="I3744" s="5" t="s">
        <v>36575</v>
      </c>
      <c r="J3744" s="5" t="s">
        <v>26905</v>
      </c>
      <c r="K3744" s="5" t="s">
        <v>344</v>
      </c>
      <c r="L3744" s="5" t="s">
        <v>36576</v>
      </c>
      <c r="M3744" s="27"/>
      <c r="N3744" s="5"/>
      <c r="O3744" s="5" t="str">
        <v>2352044518</v>
      </c>
      <c r="P3744" s="27">
        <v>10000</v>
      </c>
      <c r="Q3744" s="5" t="s">
        <v>49009</v>
      </c>
      <c r="R3744" s="5"/>
      <c r="S3744" s="5" t="s">
        <v>52102</v>
      </c>
      <c r="T3744" s="28">
        <v>445390000</v>
      </c>
      <c r="U3744" s="28"/>
      <c r="V3744" s="28">
        <v>7074594000</v>
      </c>
      <c r="W3744" s="28">
        <v>1633429000</v>
      </c>
      <c r="X3744" s="28">
        <v>89701000</v>
      </c>
      <c r="Y3744" s="28">
        <v>10551771000</v>
      </c>
      <c r="Z3744" s="28">
        <v>223772000</v>
      </c>
      <c r="AA3744" s="28"/>
      <c r="AB3744" s="28"/>
      <c r="AC3744" s="28">
        <v>10313805000</v>
      </c>
      <c r="AD3744" s="28">
        <v>223782000</v>
      </c>
      <c r="AE3744" s="28">
        <v>68519506000</v>
      </c>
      <c r="AF3744" s="28">
        <v>-124984000</v>
      </c>
      <c r="AG3744" s="11"/>
    </row>
    <row r="3745">
      <c r="A3745" s="7" t="s">
        <v>5402</v>
      </c>
      <c r="B3745" s="5" t="s">
        <v>10618</v>
      </c>
      <c r="C3745" s="5" t="s">
        <v>21160</v>
      </c>
      <c r="D3745" s="5" t="str">
        <v>410105970300</v>
      </c>
      <c r="E3745" s="0" t="e">
        <f>+7 (914) 7838094
+7 (914) 9939146
+7 (984) 1496945
+7 (415) 2261785
+7 (415) 2230763
+7 (415) 2232660
+7 (415) 2233089
+7 (415) 2302013</f>
        <v>#NAME?</v>
      </c>
      <c r="F3745" s="5" t="s">
        <v>36577</v>
      </c>
      <c r="G3745" s="5" t="s">
        <v>36578</v>
      </c>
      <c r="H3745" s="26">
        <v>16</v>
      </c>
      <c r="I3745" s="5" t="s">
        <v>36579</v>
      </c>
      <c r="J3745" s="5" t="s">
        <v>36580</v>
      </c>
      <c r="K3745" s="5" t="s">
        <v>344</v>
      </c>
      <c r="L3745" s="5" t="s">
        <v>36581</v>
      </c>
      <c r="M3745" s="27">
        <v>5048802</v>
      </c>
      <c r="N3745" s="5" t="s">
        <v>55062</v>
      </c>
      <c r="O3745" s="5" t="str">
        <v>4101116320</v>
      </c>
      <c r="P3745" s="27">
        <v>10000</v>
      </c>
      <c r="Q3745" s="5" t="s">
        <v>55063</v>
      </c>
      <c r="R3745" s="5"/>
      <c r="S3745" s="5" t="s">
        <v>55064</v>
      </c>
      <c r="T3745" s="28">
        <v>122873000</v>
      </c>
      <c r="U3745" s="28"/>
      <c r="V3745" s="28">
        <v>7997925000</v>
      </c>
      <c r="W3745" s="28">
        <v>5000000</v>
      </c>
      <c r="X3745" s="28">
        <v>121984000</v>
      </c>
      <c r="Y3745" s="28">
        <v>9995092000</v>
      </c>
      <c r="Z3745" s="28">
        <v>2570740000</v>
      </c>
      <c r="AA3745" s="28">
        <v>4330129000</v>
      </c>
      <c r="AB3745" s="28">
        <v>313987000</v>
      </c>
      <c r="AC3745" s="28">
        <v>3053522000</v>
      </c>
      <c r="AD3745" s="28">
        <v>2571252000</v>
      </c>
      <c r="AE3745" s="28">
        <v>35768571000</v>
      </c>
      <c r="AF3745" s="28">
        <v>769298000</v>
      </c>
      <c r="AG3745" s="11"/>
    </row>
    <row r="3746">
      <c r="A3746" s="7" t="s">
        <v>5403</v>
      </c>
      <c r="B3746" s="5" t="s">
        <v>13366</v>
      </c>
      <c r="C3746" s="5" t="s">
        <v>21161</v>
      </c>
      <c r="D3746" s="5" t="str">
        <v>771977363855</v>
      </c>
      <c r="E3746" s="0" t="e">
        <f>+7 (495) 6600643</f>
        <v>#NAME?</v>
      </c>
      <c r="F3746" s="5" t="s">
        <v>36582</v>
      </c>
      <c r="G3746" s="5" t="s">
        <v>36583</v>
      </c>
      <c r="H3746" s="26">
        <v>22.5</v>
      </c>
      <c r="I3746" s="5" t="s">
        <v>36584</v>
      </c>
      <c r="J3746" s="5" t="s">
        <v>27182</v>
      </c>
      <c r="K3746" s="5" t="s">
        <v>355</v>
      </c>
      <c r="L3746" s="5" t="s">
        <v>36585</v>
      </c>
      <c r="M3746" s="27">
        <v>8258</v>
      </c>
      <c r="N3746" s="5" t="s">
        <v>55065</v>
      </c>
      <c r="O3746" s="5" t="str">
        <v>7714192290</v>
      </c>
      <c r="P3746" s="27">
        <v>300000</v>
      </c>
      <c r="Q3746" s="5" t="s">
        <v>55066</v>
      </c>
      <c r="R3746" s="5" t="s">
        <v>55067</v>
      </c>
      <c r="S3746" s="5" t="s">
        <v>55068</v>
      </c>
      <c r="T3746" s="28">
        <v>6320000</v>
      </c>
      <c r="U3746" s="28"/>
      <c r="V3746" s="28">
        <v>474648000</v>
      </c>
      <c r="W3746" s="28">
        <v>352420000</v>
      </c>
      <c r="X3746" s="28">
        <v>5079000</v>
      </c>
      <c r="Y3746" s="28">
        <v>4030338000</v>
      </c>
      <c r="Z3746" s="28">
        <v>-351806000</v>
      </c>
      <c r="AA3746" s="28"/>
      <c r="AB3746" s="28"/>
      <c r="AC3746" s="28">
        <v>4381148000</v>
      </c>
      <c r="AD3746" s="28">
        <v>-351506000</v>
      </c>
      <c r="AE3746" s="28">
        <v>3806909000</v>
      </c>
      <c r="AF3746" s="28">
        <v>-845479000</v>
      </c>
      <c r="AG3746" s="11"/>
    </row>
    <row r="3747">
      <c r="A3747" s="7" t="s">
        <v>5404</v>
      </c>
      <c r="B3747" s="5" t="s">
        <v>13367</v>
      </c>
      <c r="C3747" s="5" t="s">
        <v>21162</v>
      </c>
      <c r="D3747" s="5" t="str">
        <v>771900945160</v>
      </c>
      <c r="E3747" s="0" t="e">
        <f>+7 (495) 1457529
+7 (495) 9660777
+7 (499) 1450008
+7 (499) 1450110
+7 (499) 1452228
+7 (499) 1455962
+7 (499) 1457529
+7 (499) 1484823
+7 (499) 1484894
+7 (499) 1485223
+7 (499) 1487529
+7 (499) 1488890
+7 (499) 1488916</f>
        <v>#NAME?</v>
      </c>
      <c r="F3747" s="5" t="s">
        <v>36586</v>
      </c>
      <c r="G3747" s="5" t="s">
        <v>36587</v>
      </c>
      <c r="H3747" s="26">
        <v>30</v>
      </c>
      <c r="I3747" s="5" t="s">
        <v>36588</v>
      </c>
      <c r="J3747" s="5" t="s">
        <v>32400</v>
      </c>
      <c r="K3747" s="5" t="s">
        <v>344</v>
      </c>
      <c r="L3747" s="5"/>
      <c r="M3747" s="27">
        <v>975474</v>
      </c>
      <c r="N3747" s="5" t="s">
        <v>55069</v>
      </c>
      <c r="O3747" s="5" t="str">
        <v>7730036274</v>
      </c>
      <c r="P3747" s="27">
        <v>196880259</v>
      </c>
      <c r="Q3747" s="5" t="s">
        <v>55070</v>
      </c>
      <c r="R3747" s="5"/>
      <c r="S3747" s="5" t="s">
        <v>55071</v>
      </c>
      <c r="T3747" s="28">
        <v>2414849000</v>
      </c>
      <c r="U3747" s="28"/>
      <c r="V3747" s="28">
        <v>944121000</v>
      </c>
      <c r="W3747" s="28"/>
      <c r="X3747" s="28">
        <v>301041000</v>
      </c>
      <c r="Y3747" s="28">
        <v>3908175000</v>
      </c>
      <c r="Z3747" s="28">
        <v>1803490000</v>
      </c>
      <c r="AA3747" s="28"/>
      <c r="AB3747" s="28"/>
      <c r="AC3747" s="28">
        <v>1435661000</v>
      </c>
      <c r="AD3747" s="28">
        <v>2195114000</v>
      </c>
      <c r="AE3747" s="28">
        <v>8875233000</v>
      </c>
      <c r="AF3747" s="28">
        <v>-448054000</v>
      </c>
      <c r="AG3747" s="11"/>
    </row>
    <row r="3748">
      <c r="A3748" s="7" t="s">
        <v>5405</v>
      </c>
      <c r="B3748" s="5" t="s">
        <v>13368</v>
      </c>
      <c r="C3748" s="5" t="s">
        <v>21163</v>
      </c>
      <c r="D3748" s="5" t="str">
        <v>771701659206</v>
      </c>
      <c r="E3748" s="0" t="e">
        <f>+7 (800) 7759525
+7 (812) 2428110
+7 (818) 2608818
+7 (8184) 548778
+7 (861) 2033912
+7 (863) 3332830</f>
        <v>#NAME?</v>
      </c>
      <c r="F3748" s="5" t="s">
        <v>36589</v>
      </c>
      <c r="G3748" s="5" t="s">
        <v>36590</v>
      </c>
      <c r="H3748" s="26">
        <v>9</v>
      </c>
      <c r="I3748" s="5" t="s">
        <v>36591</v>
      </c>
      <c r="J3748" s="5" t="s">
        <v>25550</v>
      </c>
      <c r="K3748" s="5" t="s">
        <v>344</v>
      </c>
      <c r="L3748" s="5" t="s">
        <v>36592</v>
      </c>
      <c r="M3748" s="27">
        <v>97760</v>
      </c>
      <c r="N3748" s="5" t="s">
        <v>55072</v>
      </c>
      <c r="O3748" s="5" t="str">
        <v>7716761626</v>
      </c>
      <c r="P3748" s="27">
        <v>300000</v>
      </c>
      <c r="Q3748" s="5" t="s">
        <v>49021</v>
      </c>
      <c r="R3748" s="5"/>
      <c r="S3748" s="5" t="s">
        <v>55073</v>
      </c>
      <c r="T3748" s="28">
        <v>127955000</v>
      </c>
      <c r="U3748" s="28"/>
      <c r="V3748" s="28">
        <v>566779000</v>
      </c>
      <c r="W3748" s="28">
        <v>180000</v>
      </c>
      <c r="X3748" s="28">
        <v>75607000</v>
      </c>
      <c r="Y3748" s="28">
        <v>1238884000</v>
      </c>
      <c r="Z3748" s="28">
        <v>603592000</v>
      </c>
      <c r="AA3748" s="28">
        <v>104520000</v>
      </c>
      <c r="AB3748" s="28"/>
      <c r="AC3748" s="28">
        <v>512217000</v>
      </c>
      <c r="AD3748" s="28">
        <v>608049000</v>
      </c>
      <c r="AE3748" s="28">
        <v>5219365000</v>
      </c>
      <c r="AF3748" s="28">
        <v>431066000</v>
      </c>
      <c r="AG3748" s="11"/>
    </row>
    <row r="3749">
      <c r="A3749" s="7" t="s">
        <v>5406</v>
      </c>
      <c r="B3749" s="5" t="s">
        <v>13369</v>
      </c>
      <c r="C3749" s="5" t="s">
        <v>21164</v>
      </c>
      <c r="D3749" s="5" t="str">
        <v>772000845809</v>
      </c>
      <c r="E3749" s="0" t="e">
        <f>+7 (48135) 77134
+7 (48135) 77707
+7 (495) 2652201
+7 (495) 3487911
+7 (495) 3488161
+7 (495) 3488200
+7 (495) 6766164
+7 (495) 6822271
+7 (499) 2612380
+7 (499) 2612431
+7 (499) 2612667
+7 (499) 2613343
+7 (499) 2613542
+7 (499) 2614720
+7 (499) 2614891</f>
        <v>#NAME?</v>
      </c>
      <c r="F3749" s="5" t="s">
        <v>36593</v>
      </c>
      <c r="G3749" s="5" t="s">
        <v>36594</v>
      </c>
      <c r="H3749" s="26">
        <v>10</v>
      </c>
      <c r="I3749" s="5"/>
      <c r="J3749" s="5" t="s">
        <v>27944</v>
      </c>
      <c r="K3749" s="5" t="s">
        <v>344</v>
      </c>
      <c r="L3749" s="5" t="s">
        <v>36595</v>
      </c>
      <c r="M3749" s="27">
        <v>92718330</v>
      </c>
      <c r="N3749" s="5" t="s">
        <v>55074</v>
      </c>
      <c r="O3749" s="5" t="str">
        <v>7701984274</v>
      </c>
      <c r="P3749" s="27">
        <v>227542506934</v>
      </c>
      <c r="Q3749" s="5" t="s">
        <v>55075</v>
      </c>
      <c r="R3749" s="5" t="s">
        <v>55076</v>
      </c>
      <c r="S3749" s="5" t="s">
        <v>51027</v>
      </c>
      <c r="T3749" s="28">
        <v>311713122000</v>
      </c>
      <c r="U3749" s="28">
        <v>13840574000</v>
      </c>
      <c r="V3749" s="28">
        <v>21674552000</v>
      </c>
      <c r="W3749" s="28">
        <v>5958000000</v>
      </c>
      <c r="X3749" s="28">
        <v>22828113000</v>
      </c>
      <c r="Y3749" s="28">
        <v>470915812000</v>
      </c>
      <c r="Z3749" s="28">
        <v>110559535000</v>
      </c>
      <c r="AA3749" s="28"/>
      <c r="AB3749" s="28"/>
      <c r="AC3749" s="28">
        <v>35871229000</v>
      </c>
      <c r="AD3749" s="28">
        <v>400333382000</v>
      </c>
      <c r="AE3749" s="28">
        <v>70650538000</v>
      </c>
      <c r="AF3749" s="28">
        <v>26782028000</v>
      </c>
      <c r="AG3749" s="11"/>
    </row>
    <row r="3750">
      <c r="A3750" s="7" t="s">
        <v>5407</v>
      </c>
      <c r="B3750" s="5" t="s">
        <v>13370</v>
      </c>
      <c r="C3750" s="5" t="s">
        <v>21165</v>
      </c>
      <c r="D3750" s="5" t="str">
        <v>772732147070</v>
      </c>
      <c r="E3750" s="0" t="e">
        <f>+7 (495) 1234567
+7 (495) 2911554
+7 (495) 5310800
+7 (495) 5559988
+7 (495) 8703940
+7 (495) 9232901
+7 (495) 6253539
+7 (495) 6519441
+7 (495) 6578701
+7 (495) 6578702
+7 (495) 6578703
+7 (495) 6578705
+7 (495) 6578738
+7 (495) 9511758
+7 (495) 9519441</f>
        <v>#NAME?</v>
      </c>
      <c r="F3750" s="5" t="s">
        <v>36596</v>
      </c>
      <c r="G3750" s="5" t="s">
        <v>36597</v>
      </c>
      <c r="H3750" s="26">
        <v>31</v>
      </c>
      <c r="I3750" s="5"/>
      <c r="J3750" s="5" t="s">
        <v>29035</v>
      </c>
      <c r="K3750" s="5" t="s">
        <v>344</v>
      </c>
      <c r="L3750" s="5"/>
      <c r="M3750" s="27">
        <v>136694298</v>
      </c>
      <c r="N3750" s="5" t="s">
        <v>55077</v>
      </c>
      <c r="O3750" s="5" t="str">
        <v>7705013033</v>
      </c>
      <c r="P3750" s="27">
        <v>969880530</v>
      </c>
      <c r="Q3750" s="5" t="s">
        <v>55078</v>
      </c>
      <c r="R3750" s="5"/>
      <c r="S3750" s="5" t="s">
        <v>55079</v>
      </c>
      <c r="T3750" s="28">
        <v>98348126000</v>
      </c>
      <c r="U3750" s="28">
        <v>588018000</v>
      </c>
      <c r="V3750" s="28">
        <v>3728830000</v>
      </c>
      <c r="W3750" s="28"/>
      <c r="X3750" s="28">
        <v>10479970000</v>
      </c>
      <c r="Y3750" s="28">
        <v>116536289000</v>
      </c>
      <c r="Z3750" s="28">
        <v>30137310000</v>
      </c>
      <c r="AA3750" s="28"/>
      <c r="AB3750" s="28"/>
      <c r="AC3750" s="28">
        <v>17937314000</v>
      </c>
      <c r="AD3750" s="28">
        <v>98961833000</v>
      </c>
      <c r="AE3750" s="28">
        <v>14882868000</v>
      </c>
      <c r="AF3750" s="28">
        <v>2521511000</v>
      </c>
      <c r="AG3750" s="11"/>
    </row>
    <row r="3751">
      <c r="A3751" s="7" t="s">
        <v>5408</v>
      </c>
      <c r="B3751" s="5" t="s">
        <v>13371</v>
      </c>
      <c r="C3751" s="5" t="s">
        <v>21166</v>
      </c>
      <c r="D3751" s="5" t="str">
        <v>631107653271</v>
      </c>
      <c r="E3751" s="0" t="e">
        <f>+7 (495) 3576462
+7 (495) 5806407
+7 (499) 6088802
+7 (800) 1008032
+7 (925) 888000</f>
        <v>#NAME?</v>
      </c>
      <c r="F3751" s="5"/>
      <c r="G3751" s="5" t="s">
        <v>36598</v>
      </c>
      <c r="H3751" s="26">
        <v>11</v>
      </c>
      <c r="I3751" s="5" t="s">
        <v>36599</v>
      </c>
      <c r="J3751" s="5" t="s">
        <v>29388</v>
      </c>
      <c r="K3751" s="5" t="s">
        <v>344</v>
      </c>
      <c r="L3751" s="5" t="s">
        <v>36600</v>
      </c>
      <c r="M3751" s="27"/>
      <c r="N3751" s="5"/>
      <c r="O3751" s="5" t="str">
        <v>5027185510</v>
      </c>
      <c r="P3751" s="27">
        <v>10000</v>
      </c>
      <c r="Q3751" s="5" t="s">
        <v>49009</v>
      </c>
      <c r="R3751" s="5"/>
      <c r="S3751" s="5" t="s">
        <v>49010</v>
      </c>
      <c r="T3751" s="28">
        <v>4784000</v>
      </c>
      <c r="U3751" s="28">
        <v>5720000</v>
      </c>
      <c r="V3751" s="28">
        <v>975980000</v>
      </c>
      <c r="W3751" s="28"/>
      <c r="X3751" s="28">
        <v>19274000</v>
      </c>
      <c r="Y3751" s="28">
        <v>1646387000</v>
      </c>
      <c r="Z3751" s="28">
        <v>37575000</v>
      </c>
      <c r="AA3751" s="28"/>
      <c r="AB3751" s="28"/>
      <c r="AC3751" s="28">
        <v>1607240000</v>
      </c>
      <c r="AD3751" s="28">
        <v>37585000</v>
      </c>
      <c r="AE3751" s="28">
        <v>13005637000</v>
      </c>
      <c r="AF3751" s="28">
        <v>92204000</v>
      </c>
      <c r="AG3751" s="11"/>
    </row>
    <row r="3752">
      <c r="A3752" s="7" t="s">
        <v>5409</v>
      </c>
      <c r="B3752" s="5" t="s">
        <v>13372</v>
      </c>
      <c r="C3752" s="5" t="s">
        <v>21167</v>
      </c>
      <c r="D3752" s="5" t="str">
        <v>772433980607</v>
      </c>
      <c r="E3752" s="0" t="e">
        <f>+7 (495) 5300395
+7 (495) 6607269
+7 (495) 2879944
+7 (495) 3652381
+7 (495) 4502711
+7 (495) 4505792
+7 (495) 4712500
+7 (495) 6281200
+7 (495) 6602001
+7 (495) 6602010
+7 (495) 6874369
+7 (495) 6874373
+7 (495) 6876393
+7 (495) 7080012
+7 (495) 7080021</f>
        <v>#NAME?</v>
      </c>
      <c r="F3752" s="5" t="s">
        <v>36601</v>
      </c>
      <c r="G3752" s="5" t="s">
        <v>36602</v>
      </c>
      <c r="H3752" s="26">
        <v>10</v>
      </c>
      <c r="I3752" s="5" t="s">
        <v>36603</v>
      </c>
      <c r="J3752" s="5" t="s">
        <v>29513</v>
      </c>
      <c r="K3752" s="5" t="s">
        <v>344</v>
      </c>
      <c r="L3752" s="5" t="s">
        <v>36604</v>
      </c>
      <c r="M3752" s="27">
        <v>1022303734</v>
      </c>
      <c r="N3752" s="5" t="s">
        <v>55080</v>
      </c>
      <c r="O3752" s="5" t="str">
        <v>7709919968</v>
      </c>
      <c r="P3752" s="27">
        <v>46761528877</v>
      </c>
      <c r="Q3752" s="5" t="s">
        <v>55081</v>
      </c>
      <c r="R3752" s="5"/>
      <c r="S3752" s="5" t="s">
        <v>54407</v>
      </c>
      <c r="T3752" s="28">
        <v>83929450000</v>
      </c>
      <c r="U3752" s="28">
        <v>847000</v>
      </c>
      <c r="V3752" s="28">
        <v>3431141000</v>
      </c>
      <c r="W3752" s="28"/>
      <c r="X3752" s="28">
        <v>15554007000</v>
      </c>
      <c r="Y3752" s="28">
        <v>107938232000</v>
      </c>
      <c r="Z3752" s="28">
        <v>39139012000</v>
      </c>
      <c r="AA3752" s="28"/>
      <c r="AB3752" s="28"/>
      <c r="AC3752" s="28">
        <v>13729231000</v>
      </c>
      <c r="AD3752" s="28">
        <v>85955343000</v>
      </c>
      <c r="AE3752" s="28">
        <v>20970803000</v>
      </c>
      <c r="AF3752" s="28">
        <v>7428883000</v>
      </c>
      <c r="AG3752" s="11"/>
    </row>
    <row r="3753">
      <c r="A3753" s="7" t="s">
        <v>5410</v>
      </c>
      <c r="B3753" s="5" t="s">
        <v>13373</v>
      </c>
      <c r="C3753" s="5" t="s">
        <v>21168</v>
      </c>
      <c r="D3753" s="5" t="str">
        <v>541006818812</v>
      </c>
      <c r="E3753" s="0" t="e">
        <f>+7 (495) 2621753
+7 (495) 6867555
+7 (495) 7424452
+7 (495) 7424743
+7 (495) 7475121
+7 (499) 2623961
+7 (495) 6861418
+7 (495) 6865398
+7 (495) 6866400
+7 (495) 7424721</f>
        <v>#NAME?</v>
      </c>
      <c r="F3753" s="5" t="s">
        <v>36605</v>
      </c>
      <c r="G3753" s="5" t="s">
        <v>36606</v>
      </c>
      <c r="H3753" s="26">
        <v>30</v>
      </c>
      <c r="I3753" s="5"/>
      <c r="J3753" s="5" t="s">
        <v>671</v>
      </c>
      <c r="K3753" s="5" t="s">
        <v>344</v>
      </c>
      <c r="L3753" s="5" t="s">
        <v>36607</v>
      </c>
      <c r="M3753" s="27"/>
      <c r="N3753" s="5" t="s">
        <v>55082</v>
      </c>
      <c r="O3753" s="5" t="str">
        <v>7717023413</v>
      </c>
      <c r="P3753" s="27">
        <v>23064</v>
      </c>
      <c r="Q3753" s="5" t="s">
        <v>55083</v>
      </c>
      <c r="R3753" s="5"/>
      <c r="S3753" s="5" t="s">
        <v>49173</v>
      </c>
      <c r="T3753" s="28">
        <v>193395000</v>
      </c>
      <c r="U3753" s="28">
        <v>1395661000</v>
      </c>
      <c r="V3753" s="28">
        <v>9993068000</v>
      </c>
      <c r="W3753" s="28"/>
      <c r="X3753" s="28">
        <v>541439000</v>
      </c>
      <c r="Y3753" s="28">
        <v>12334556000</v>
      </c>
      <c r="Z3753" s="28">
        <v>4775060000</v>
      </c>
      <c r="AA3753" s="28">
        <v>886400000</v>
      </c>
      <c r="AB3753" s="28">
        <v>322982000</v>
      </c>
      <c r="AC3753" s="28">
        <v>6661193000</v>
      </c>
      <c r="AD3753" s="28">
        <v>4775432000</v>
      </c>
      <c r="AE3753" s="28">
        <v>13070019000</v>
      </c>
      <c r="AF3753" s="28">
        <v>4782567000</v>
      </c>
      <c r="AG3753" s="11"/>
    </row>
    <row r="3754">
      <c r="A3754" s="7" t="s">
        <v>5411</v>
      </c>
      <c r="B3754" s="5" t="s">
        <v>13374</v>
      </c>
      <c r="C3754" s="5" t="s">
        <v>21169</v>
      </c>
      <c r="D3754" s="5" t="str">
        <v>470302215270</v>
      </c>
      <c r="E3754" s="0" t="e">
        <f>+7 (499) 9516407
+7 (499) 9517825
+7 (495) 5360074
+7 (495) 9501401
+7 (499) 9014345
+7 (495) 3628430
+7 (495) 6135527
+7 (495) 9504247
+7 (495) 9504297
+7 (495) 9518775
+7 (495) 9530061
+7 (499) 2530535
+7 (499) 2640855
+7 (499) 9403351
+7 (499) 9504164</f>
        <v>#NAME?</v>
      </c>
      <c r="F3754" s="5" t="s">
        <v>36608</v>
      </c>
      <c r="G3754" s="5" t="s">
        <v>36609</v>
      </c>
      <c r="H3754" s="26">
        <v>30.5</v>
      </c>
      <c r="I3754" s="5" t="s">
        <v>36610</v>
      </c>
      <c r="J3754" s="5" t="s">
        <v>27776</v>
      </c>
      <c r="K3754" s="5" t="s">
        <v>344</v>
      </c>
      <c r="L3754" s="5"/>
      <c r="M3754" s="27">
        <v>162621634</v>
      </c>
      <c r="N3754" s="5" t="s">
        <v>55084</v>
      </c>
      <c r="O3754" s="5" t="str">
        <v>7705002602</v>
      </c>
      <c r="P3754" s="27">
        <v>11565815649</v>
      </c>
      <c r="Q3754" s="5" t="s">
        <v>55085</v>
      </c>
      <c r="R3754" s="5" t="s">
        <v>55086</v>
      </c>
      <c r="S3754" s="5" t="s">
        <v>55087</v>
      </c>
      <c r="T3754" s="28">
        <v>105961653000</v>
      </c>
      <c r="U3754" s="28">
        <v>24995000</v>
      </c>
      <c r="V3754" s="28">
        <v>4317666000</v>
      </c>
      <c r="W3754" s="28"/>
      <c r="X3754" s="28">
        <v>25657491000</v>
      </c>
      <c r="Y3754" s="28">
        <v>147159847000</v>
      </c>
      <c r="Z3754" s="28">
        <v>22872880000</v>
      </c>
      <c r="AA3754" s="28"/>
      <c r="AB3754" s="28"/>
      <c r="AC3754" s="28">
        <v>9590656000</v>
      </c>
      <c r="AD3754" s="28">
        <v>42244637000</v>
      </c>
      <c r="AE3754" s="28">
        <v>28725740000</v>
      </c>
      <c r="AF3754" s="28">
        <v>-2995523000</v>
      </c>
      <c r="AG3754" s="11"/>
    </row>
    <row r="3755">
      <c r="A3755" s="7" t="s">
        <v>5412</v>
      </c>
      <c r="B3755" s="5" t="s">
        <v>13375</v>
      </c>
      <c r="C3755" s="5" t="s">
        <v>21170</v>
      </c>
      <c r="D3755" s="5" t="str">
        <v>773000727331</v>
      </c>
      <c r="E3755" s="0" t="e">
        <f>+7 (812) 6556559
+7 (495) 6773402
+7 (495) 6773413
+7 (495) 6790236
+7 (495) 6790241
+7 (495) 6790245
+7 (495) 6798024
+7 (495) 6799630
+7 (495) 6799651
+7 (495) 7103822
+7 (495) 7103823</f>
        <v>#NAME?</v>
      </c>
      <c r="F3755" s="5" t="s">
        <v>36611</v>
      </c>
      <c r="G3755" s="5" t="s">
        <v>36612</v>
      </c>
      <c r="H3755" s="26">
        <v>30.5</v>
      </c>
      <c r="I3755" s="5" t="s">
        <v>36613</v>
      </c>
      <c r="J3755" s="5" t="s">
        <v>36614</v>
      </c>
      <c r="K3755" s="5" t="s">
        <v>344</v>
      </c>
      <c r="L3755" s="5" t="s">
        <v>36615</v>
      </c>
      <c r="M3755" s="27"/>
      <c r="N3755" s="5" t="s">
        <v>55088</v>
      </c>
      <c r="O3755" s="5" t="str">
        <v>7725047224</v>
      </c>
      <c r="P3755" s="27">
        <v>2300000</v>
      </c>
      <c r="Q3755" s="5" t="s">
        <v>55089</v>
      </c>
      <c r="R3755" s="5"/>
      <c r="S3755" s="5" t="s">
        <v>55090</v>
      </c>
      <c r="T3755" s="28">
        <v>39517000</v>
      </c>
      <c r="U3755" s="28"/>
      <c r="V3755" s="28">
        <v>361614000</v>
      </c>
      <c r="W3755" s="28"/>
      <c r="X3755" s="28">
        <v>3950000</v>
      </c>
      <c r="Y3755" s="28">
        <v>1145491000</v>
      </c>
      <c r="Z3755" s="28">
        <v>270772000</v>
      </c>
      <c r="AA3755" s="28">
        <v>476369000</v>
      </c>
      <c r="AB3755" s="28">
        <v>16952000</v>
      </c>
      <c r="AC3755" s="28">
        <v>359106000</v>
      </c>
      <c r="AD3755" s="28">
        <v>273072000</v>
      </c>
      <c r="AE3755" s="28">
        <v>3982958000</v>
      </c>
      <c r="AF3755" s="28">
        <v>98027000</v>
      </c>
      <c r="AG3755" s="11"/>
    </row>
    <row r="3756">
      <c r="A3756" s="7" t="s">
        <v>5413</v>
      </c>
      <c r="B3756" s="5" t="s">
        <v>13376</v>
      </c>
      <c r="C3756" s="5" t="s">
        <v>21171</v>
      </c>
      <c r="D3756" s="5" t="str">
        <v>772382831442</v>
      </c>
      <c r="E3756" s="0" t="e">
        <f>+7 (495) 2251946
+7 (495) 6234991
+7 (495) 6241242
+7 (495) 6245825
+7 (495) 6252208
+7 (495) 6255045
+7 (495) 6632014</f>
        <v>#NAME?</v>
      </c>
      <c r="F3756" s="5" t="s">
        <v>36616</v>
      </c>
      <c r="G3756" s="5" t="s">
        <v>36617</v>
      </c>
      <c r="H3756" s="26">
        <v>12.5</v>
      </c>
      <c r="I3756" s="5"/>
      <c r="J3756" s="5" t="s">
        <v>27182</v>
      </c>
      <c r="K3756" s="5" t="s">
        <v>344</v>
      </c>
      <c r="L3756" s="5"/>
      <c r="M3756" s="27">
        <v>5421769337</v>
      </c>
      <c r="N3756" s="5" t="s">
        <v>55091</v>
      </c>
      <c r="O3756" s="5" t="str">
        <v>7701885820</v>
      </c>
      <c r="P3756" s="27">
        <v>16191816400</v>
      </c>
      <c r="Q3756" s="5" t="s">
        <v>55092</v>
      </c>
      <c r="R3756" s="5"/>
      <c r="S3756" s="5" t="s">
        <v>55093</v>
      </c>
      <c r="T3756" s="28">
        <v>6644489000</v>
      </c>
      <c r="U3756" s="28">
        <v>8107063000</v>
      </c>
      <c r="V3756" s="28">
        <v>130886587000</v>
      </c>
      <c r="W3756" s="28">
        <v>24064484000</v>
      </c>
      <c r="X3756" s="28">
        <v>66229825000</v>
      </c>
      <c r="Y3756" s="28">
        <v>311639485000</v>
      </c>
      <c r="Z3756" s="28">
        <v>30263445000</v>
      </c>
      <c r="AA3756" s="28"/>
      <c r="AB3756" s="28"/>
      <c r="AC3756" s="28">
        <v>197011294000</v>
      </c>
      <c r="AD3756" s="28">
        <v>113712892000</v>
      </c>
      <c r="AE3756" s="28">
        <v>241207139000</v>
      </c>
      <c r="AF3756" s="28">
        <v>2816921000</v>
      </c>
      <c r="AG3756" s="11"/>
    </row>
    <row r="3757">
      <c r="A3757" s="7" t="s">
        <v>5414</v>
      </c>
      <c r="B3757" s="5" t="s">
        <v>13377</v>
      </c>
      <c r="C3757" s="5" t="s">
        <v>21172</v>
      </c>
      <c r="D3757" s="5" t="str">
        <v>344808756945</v>
      </c>
      <c r="E3757" s="0" t="e">
        <f>+7 (495) 3631871
+7 (926) 4202040</f>
        <v>#NAME?</v>
      </c>
      <c r="F3757" s="5" t="s">
        <v>36618</v>
      </c>
      <c r="G3757" s="5"/>
      <c r="H3757" s="26">
        <v>5</v>
      </c>
      <c r="I3757" s="5" t="s">
        <v>36619</v>
      </c>
      <c r="J3757" s="5" t="s">
        <v>364</v>
      </c>
      <c r="K3757" s="5" t="s">
        <v>355</v>
      </c>
      <c r="L3757" s="5"/>
      <c r="M3757" s="27">
        <v>2232984</v>
      </c>
      <c r="N3757" s="5" t="s">
        <v>55094</v>
      </c>
      <c r="O3757" s="5" t="str">
        <v>7714426492</v>
      </c>
      <c r="P3757" s="27">
        <v>7000000</v>
      </c>
      <c r="Q3757" s="5" t="s">
        <v>49021</v>
      </c>
      <c r="R3757" s="5"/>
      <c r="S3757" s="5" t="s">
        <v>55095</v>
      </c>
      <c r="T3757" s="28">
        <v>4816000</v>
      </c>
      <c r="U3757" s="28"/>
      <c r="V3757" s="28">
        <v>3872363000</v>
      </c>
      <c r="W3757" s="28"/>
      <c r="X3757" s="28">
        <v>2357000</v>
      </c>
      <c r="Y3757" s="28">
        <v>3959302000</v>
      </c>
      <c r="Z3757" s="28">
        <v>-102415000</v>
      </c>
      <c r="AA3757" s="28"/>
      <c r="AB3757" s="28"/>
      <c r="AC3757" s="28">
        <v>3984170000</v>
      </c>
      <c r="AD3757" s="28">
        <v>-95415000</v>
      </c>
      <c r="AE3757" s="28">
        <v>4313839000</v>
      </c>
      <c r="AF3757" s="28">
        <v>4466000</v>
      </c>
      <c r="AG3757" s="11"/>
    </row>
    <row r="3758">
      <c r="A3758" s="7" t="s">
        <v>5415</v>
      </c>
      <c r="B3758" s="5" t="s">
        <v>13377</v>
      </c>
      <c r="C3758" s="5" t="s">
        <v>21173</v>
      </c>
      <c r="D3758" s="5" t="str">
        <v>772471552698</v>
      </c>
      <c r="E3758" s="0" t="e">
        <f>+7 (495) 6922563
+7 (495) 6992427
+7 (495) 6992473
+7 (495) 6998437
+7 (495) 6090828
+7 (495) 6090988
+7 (495) 6502703
+7 (495) 6991126
+7 (495) 6991451
+7 (495) 6992088
+7 (495) 6992612
+7 (495) 6992682
+7 (495) 6994571
+7 (495) 6996224
+7 (495) 6996643</f>
        <v>#NAME?</v>
      </c>
      <c r="F3758" s="5" t="s">
        <v>36620</v>
      </c>
      <c r="G3758" s="5"/>
      <c r="H3758" s="26">
        <v>30.5</v>
      </c>
      <c r="I3758" s="5"/>
      <c r="J3758" s="5" t="s">
        <v>27182</v>
      </c>
      <c r="K3758" s="5" t="s">
        <v>355</v>
      </c>
      <c r="L3758" s="5"/>
      <c r="M3758" s="27">
        <v>116565505</v>
      </c>
      <c r="N3758" s="5" t="s">
        <v>55096</v>
      </c>
      <c r="O3758" s="5" t="str">
        <v>7710043065</v>
      </c>
      <c r="P3758" s="27">
        <v>18750000</v>
      </c>
      <c r="Q3758" s="5" t="s">
        <v>55097</v>
      </c>
      <c r="R3758" s="5" t="s">
        <v>55098</v>
      </c>
      <c r="S3758" s="5" t="s">
        <v>55099</v>
      </c>
      <c r="T3758" s="28">
        <v>8498000</v>
      </c>
      <c r="U3758" s="28">
        <v>14027000</v>
      </c>
      <c r="V3758" s="28">
        <v>37891508000</v>
      </c>
      <c r="W3758" s="28">
        <v>186970000</v>
      </c>
      <c r="X3758" s="28">
        <v>2656413000</v>
      </c>
      <c r="Y3758" s="28">
        <v>40832389000</v>
      </c>
      <c r="Z3758" s="28">
        <v>1292762000</v>
      </c>
      <c r="AA3758" s="28"/>
      <c r="AB3758" s="28"/>
      <c r="AC3758" s="28">
        <v>39266617000</v>
      </c>
      <c r="AD3758" s="28">
        <v>1546817000</v>
      </c>
      <c r="AE3758" s="28">
        <v>18774679000</v>
      </c>
      <c r="AF3758" s="28">
        <v>27630000</v>
      </c>
      <c r="AG3758" s="11"/>
    </row>
    <row r="3759">
      <c r="A3759" s="7" t="s">
        <v>5416</v>
      </c>
      <c r="B3759" s="5" t="s">
        <v>13377</v>
      </c>
      <c r="C3759" s="5" t="s">
        <v>21174</v>
      </c>
      <c r="D3759" s="5"/>
      <c r="F3759" s="5"/>
      <c r="G3759" s="5"/>
      <c r="H3759" s="26">
        <v>1.5</v>
      </c>
      <c r="I3759" s="5" t="s">
        <v>36621</v>
      </c>
      <c r="J3759" s="5" t="s">
        <v>27182</v>
      </c>
      <c r="K3759" s="5" t="s">
        <v>355</v>
      </c>
      <c r="L3759" s="5"/>
      <c r="M3759" s="27"/>
      <c r="N3759" s="5"/>
      <c r="O3759" s="5" t="str">
        <v>9704083465</v>
      </c>
      <c r="P3759" s="27">
        <v>100000</v>
      </c>
      <c r="Q3759" s="5" t="s">
        <v>49217</v>
      </c>
      <c r="R3759" s="5"/>
      <c r="S3759" s="5" t="s">
        <v>55100</v>
      </c>
      <c r="T3759" s="28"/>
      <c r="U3759" s="28"/>
      <c r="V3759" s="28">
        <v>23136904000</v>
      </c>
      <c r="W3759" s="28">
        <v>15000000</v>
      </c>
      <c r="X3759" s="28">
        <v>501420000</v>
      </c>
      <c r="Y3759" s="28">
        <v>23653362000</v>
      </c>
      <c r="Z3759" s="28">
        <v>52794000</v>
      </c>
      <c r="AA3759" s="28"/>
      <c r="AB3759" s="28"/>
      <c r="AC3759" s="28">
        <v>23600468000</v>
      </c>
      <c r="AD3759" s="28">
        <v>52894000</v>
      </c>
      <c r="AE3759" s="28">
        <v>5943659000</v>
      </c>
      <c r="AF3759" s="28">
        <v>50368000</v>
      </c>
      <c r="AG3759" s="11"/>
    </row>
    <row r="3760">
      <c r="A3760" s="7" t="s">
        <v>5417</v>
      </c>
      <c r="B3760" s="5" t="s">
        <v>13378</v>
      </c>
      <c r="C3760" s="5" t="s">
        <v>21175</v>
      </c>
      <c r="D3760" s="5" t="str">
        <v>504792376857</v>
      </c>
      <c r="E3760" s="0" t="e">
        <f>+7 (495) 7558457
+7 (495) 7558464
+7 (800) 2000700
+7 (800) 2347480</f>
        <v>#NAME?</v>
      </c>
      <c r="F3760" s="5"/>
      <c r="G3760" s="5" t="s">
        <v>36622</v>
      </c>
      <c r="H3760" s="26">
        <v>18.5</v>
      </c>
      <c r="I3760" s="5" t="s">
        <v>36623</v>
      </c>
      <c r="J3760" s="5" t="s">
        <v>28793</v>
      </c>
      <c r="K3760" s="5" t="s">
        <v>344</v>
      </c>
      <c r="L3760" s="5" t="s">
        <v>36624</v>
      </c>
      <c r="M3760" s="27">
        <v>1872755</v>
      </c>
      <c r="N3760" s="5"/>
      <c r="O3760" s="5" t="str">
        <v>7718528015</v>
      </c>
      <c r="P3760" s="27">
        <v>10000</v>
      </c>
      <c r="Q3760" s="5" t="s">
        <v>55101</v>
      </c>
      <c r="R3760" s="5"/>
      <c r="S3760" s="5" t="s">
        <v>50509</v>
      </c>
      <c r="T3760" s="28">
        <v>296621000</v>
      </c>
      <c r="U3760" s="28"/>
      <c r="V3760" s="28">
        <v>481117000</v>
      </c>
      <c r="W3760" s="28">
        <v>12126000</v>
      </c>
      <c r="X3760" s="28">
        <v>3238000</v>
      </c>
      <c r="Y3760" s="28">
        <v>1044604000</v>
      </c>
      <c r="Z3760" s="28">
        <v>371544000</v>
      </c>
      <c r="AA3760" s="28"/>
      <c r="AB3760" s="28">
        <v>177906000</v>
      </c>
      <c r="AC3760" s="28">
        <v>665608000</v>
      </c>
      <c r="AD3760" s="28">
        <v>371554000</v>
      </c>
      <c r="AE3760" s="28">
        <v>4237884000</v>
      </c>
      <c r="AF3760" s="28">
        <v>351107000</v>
      </c>
      <c r="AG3760" s="11"/>
    </row>
    <row r="3761">
      <c r="A3761" s="7" t="s">
        <v>5418</v>
      </c>
      <c r="B3761" s="5" t="s">
        <v>13379</v>
      </c>
      <c r="C3761" s="5" t="s">
        <v>21176</v>
      </c>
      <c r="D3761" s="5" t="str">
        <v>502502379742</v>
      </c>
      <c r="E3761" s="0" t="e">
        <f>+7 (495) 7770262
+7 (495) 7306060
+7 (495) 7376058
+7 (495) 7376060
+7 (495) 9951448
+7 (925) 85588</f>
        <v>#NAME?</v>
      </c>
      <c r="F3761" s="5" t="s">
        <v>36625</v>
      </c>
      <c r="G3761" s="5" t="s">
        <v>36626</v>
      </c>
      <c r="H3761" s="26">
        <v>13.5</v>
      </c>
      <c r="I3761" s="5" t="s">
        <v>36627</v>
      </c>
      <c r="J3761" s="5" t="s">
        <v>26905</v>
      </c>
      <c r="K3761" s="5" t="s">
        <v>344</v>
      </c>
      <c r="L3761" s="5" t="s">
        <v>36628</v>
      </c>
      <c r="M3761" s="27">
        <v>10536916</v>
      </c>
      <c r="N3761" s="5" t="s">
        <v>55102</v>
      </c>
      <c r="O3761" s="5" t="str">
        <v>5047109796</v>
      </c>
      <c r="P3761" s="27">
        <v>1965352138</v>
      </c>
      <c r="Q3761" s="5" t="s">
        <v>55104</v>
      </c>
      <c r="R3761" s="5"/>
      <c r="S3761" s="5" t="s">
        <v>49271</v>
      </c>
      <c r="T3761" s="28">
        <v>5672160000</v>
      </c>
      <c r="U3761" s="28"/>
      <c r="V3761" s="28">
        <v>321674000</v>
      </c>
      <c r="W3761" s="28"/>
      <c r="X3761" s="28">
        <v>1164204000</v>
      </c>
      <c r="Y3761" s="28">
        <v>7539800000</v>
      </c>
      <c r="Z3761" s="28">
        <v>3565504000</v>
      </c>
      <c r="AA3761" s="28"/>
      <c r="AB3761" s="28">
        <v>100821000</v>
      </c>
      <c r="AC3761" s="28">
        <v>1264490000</v>
      </c>
      <c r="AD3761" s="28">
        <v>5530856000</v>
      </c>
      <c r="AE3761" s="28">
        <v>5063994000</v>
      </c>
      <c r="AF3761" s="28">
        <v>1089234000</v>
      </c>
      <c r="AG3761" s="11"/>
    </row>
    <row r="3762">
      <c r="A3762" s="7" t="s">
        <v>5419</v>
      </c>
      <c r="B3762" s="5" t="s">
        <v>13380</v>
      </c>
      <c r="C3762" s="5" t="s">
        <v>21177</v>
      </c>
      <c r="D3762" s="5" t="str">
        <v>771909821105</v>
      </c>
      <c r="E3762" s="0" t="e">
        <f>+7 (916) 8794645
+7 (495) 7754056
+7 (495) 7754000
+7 (495) 7754013
+7 (495) 7754017
+7 (495) 7754035
+7 (495) 7754848
+7 (499) 7754000
+7 (499) 9295096
+7 (800) 2008080</f>
        <v>#NAME?</v>
      </c>
      <c r="F3762" s="5" t="s">
        <v>36629</v>
      </c>
      <c r="G3762" s="5" t="s">
        <v>36630</v>
      </c>
      <c r="H3762" s="26">
        <v>24.5</v>
      </c>
      <c r="I3762" s="5" t="s">
        <v>36631</v>
      </c>
      <c r="J3762" s="5" t="s">
        <v>26229</v>
      </c>
      <c r="K3762" s="5" t="s">
        <v>355</v>
      </c>
      <c r="L3762" s="5" t="s">
        <v>36632</v>
      </c>
      <c r="M3762" s="27">
        <v>756856408</v>
      </c>
      <c r="N3762" s="5"/>
      <c r="O3762" s="5" t="str">
        <v>7709259743</v>
      </c>
      <c r="P3762" s="27">
        <v>6841426980</v>
      </c>
      <c r="Q3762" s="5" t="s">
        <v>55105</v>
      </c>
      <c r="R3762" s="5"/>
      <c r="S3762" s="5" t="s">
        <v>49288</v>
      </c>
      <c r="T3762" s="28">
        <v>7120867000</v>
      </c>
      <c r="U3762" s="28"/>
      <c r="V3762" s="28">
        <v>7196380000</v>
      </c>
      <c r="W3762" s="28"/>
      <c r="X3762" s="28">
        <v>5647192000</v>
      </c>
      <c r="Y3762" s="28">
        <v>34624514000</v>
      </c>
      <c r="Z3762" s="28">
        <v>-149112000</v>
      </c>
      <c r="AA3762" s="28"/>
      <c r="AB3762" s="28"/>
      <c r="AC3762" s="28">
        <v>13713838000</v>
      </c>
      <c r="AD3762" s="28">
        <v>17562515000</v>
      </c>
      <c r="AE3762" s="28">
        <v>42600179000</v>
      </c>
      <c r="AF3762" s="28">
        <v>-2394192000</v>
      </c>
      <c r="AG3762" s="11"/>
    </row>
    <row r="3763">
      <c r="A3763" s="7" t="s">
        <v>5420</v>
      </c>
      <c r="B3763" s="5" t="s">
        <v>13381</v>
      </c>
      <c r="C3763" s="5" t="s">
        <v>17903</v>
      </c>
      <c r="D3763" s="5" t="str">
        <v>771709609119</v>
      </c>
      <c r="E3763" s="0" t="e">
        <f>+7 (495) 5179082
+7 (3519) 211248
+7 (484) 2595216
+7 (485) 2594776
+7 (487) 2526271
+7 (4912) 515944
+7 (4912) 515947
+7 (492) 2779733
+7 (495) 5179083
+7 (495) 9338993
+7 (800) 7008993
+7 (846) 2071858
+7 (900) 9679141
+7 (904) 2581068
+7 (905) 6931510</f>
        <v>#NAME?</v>
      </c>
      <c r="F3763" s="5" t="s">
        <v>36633</v>
      </c>
      <c r="G3763" s="5" t="s">
        <v>36634</v>
      </c>
      <c r="H3763" s="26">
        <v>20.5</v>
      </c>
      <c r="I3763" s="5" t="s">
        <v>36635</v>
      </c>
      <c r="J3763" s="5" t="s">
        <v>25259</v>
      </c>
      <c r="K3763" s="5" t="s">
        <v>344</v>
      </c>
      <c r="L3763" s="5" t="s">
        <v>36636</v>
      </c>
      <c r="M3763" s="27"/>
      <c r="N3763" s="5"/>
      <c r="O3763" s="5" t="str">
        <v>7701302972</v>
      </c>
      <c r="P3763" s="27">
        <v>600000</v>
      </c>
      <c r="Q3763" s="5" t="s">
        <v>49009</v>
      </c>
      <c r="R3763" s="5"/>
      <c r="S3763" s="5" t="s">
        <v>49010</v>
      </c>
      <c r="T3763" s="28">
        <v>263459000</v>
      </c>
      <c r="U3763" s="28"/>
      <c r="V3763" s="28">
        <v>1045897000</v>
      </c>
      <c r="W3763" s="28">
        <v>974964000</v>
      </c>
      <c r="X3763" s="28">
        <v>60994000</v>
      </c>
      <c r="Y3763" s="28">
        <v>4454497000</v>
      </c>
      <c r="Z3763" s="28">
        <v>1977063000</v>
      </c>
      <c r="AA3763" s="28">
        <v>870408000</v>
      </c>
      <c r="AB3763" s="28"/>
      <c r="AC3763" s="28">
        <v>1598072000</v>
      </c>
      <c r="AD3763" s="28">
        <v>1977924000</v>
      </c>
      <c r="AE3763" s="28">
        <v>8942833000</v>
      </c>
      <c r="AF3763" s="28">
        <v>907165000</v>
      </c>
      <c r="AG3763" s="11"/>
    </row>
    <row r="3764">
      <c r="A3764" s="7" t="s">
        <v>5421</v>
      </c>
      <c r="B3764" s="5" t="s">
        <v>13382</v>
      </c>
      <c r="C3764" s="5" t="s">
        <v>21178</v>
      </c>
      <c r="D3764" s="5" t="str">
        <v>519014282048</v>
      </c>
      <c r="E3764" s="0" t="e">
        <f>+7 (495) 1857591
+7 (495) 1857882
+7 (495) 6186933
+7 (495) 6221283
+7 (495) 6222562
+7 (495) 6227019
+7 (495) 6227265
+7 (495) 6227505
+7 (495) 6621001
+7 (495) 6627205
+7 (495) 6221393
+7 (495) 6227359
+7 (495) 6227502
+7 (495) 6310785
+7 (495) 6313744</f>
        <v>#NAME?</v>
      </c>
      <c r="F3764" s="5" t="s">
        <v>36637</v>
      </c>
      <c r="G3764" s="5" t="s">
        <v>36638</v>
      </c>
      <c r="H3764" s="26">
        <v>28.5</v>
      </c>
      <c r="I3764" s="5"/>
      <c r="J3764" s="5" t="s">
        <v>36639</v>
      </c>
      <c r="K3764" s="5" t="s">
        <v>344</v>
      </c>
      <c r="L3764" s="5"/>
      <c r="M3764" s="27">
        <v>1254260998</v>
      </c>
      <c r="N3764" s="5" t="s">
        <v>55106</v>
      </c>
      <c r="O3764" s="5" t="str">
        <v>7702038150</v>
      </c>
      <c r="P3764" s="27">
        <v>312991399229</v>
      </c>
      <c r="Q3764" s="5" t="s">
        <v>55107</v>
      </c>
      <c r="R3764" s="5"/>
      <c r="S3764" s="5" t="s">
        <v>55108</v>
      </c>
      <c r="T3764" s="28">
        <v>3736016601000</v>
      </c>
      <c r="U3764" s="28">
        <v>952773000</v>
      </c>
      <c r="V3764" s="28">
        <v>7519504000</v>
      </c>
      <c r="W3764" s="28"/>
      <c r="X3764" s="28">
        <v>45634458000</v>
      </c>
      <c r="Y3764" s="28">
        <v>3829063541000</v>
      </c>
      <c r="Z3764" s="28">
        <v>933298478000</v>
      </c>
      <c r="AA3764" s="28"/>
      <c r="AB3764" s="28">
        <v>6037000</v>
      </c>
      <c r="AC3764" s="28">
        <v>1082979060000</v>
      </c>
      <c r="AD3764" s="28">
        <v>2379419426000</v>
      </c>
      <c r="AE3764" s="28">
        <v>167661724000</v>
      </c>
      <c r="AF3764" s="28">
        <v>-31564344000</v>
      </c>
      <c r="AG3764" s="11"/>
    </row>
    <row r="3765">
      <c r="A3765" s="7" t="s">
        <v>5422</v>
      </c>
      <c r="B3765" s="5" t="s">
        <v>13383</v>
      </c>
      <c r="C3765" s="5" t="s">
        <v>21179</v>
      </c>
      <c r="D3765" s="5" t="str">
        <v>772738114391</v>
      </c>
      <c r="E3765" s="0" t="e">
        <f>+7 (495) 2286017
+7 (495) 2286027
+7 (495) 2286019
+7 (495) 2611048
+7 (49675) 27608
+7 (499) 2611048</f>
        <v>#NAME?</v>
      </c>
      <c r="F3765" s="5"/>
      <c r="G3765" s="5" t="s">
        <v>36640</v>
      </c>
      <c r="H3765" s="26">
        <v>30</v>
      </c>
      <c r="I3765" s="5" t="s">
        <v>36641</v>
      </c>
      <c r="J3765" s="5" t="s">
        <v>31819</v>
      </c>
      <c r="K3765" s="5" t="s">
        <v>344</v>
      </c>
      <c r="L3765" s="5" t="s">
        <v>36642</v>
      </c>
      <c r="M3765" s="27"/>
      <c r="N3765" s="5" t="s">
        <v>55109</v>
      </c>
      <c r="O3765" s="5" t="str">
        <v>7701046831</v>
      </c>
      <c r="P3765" s="27">
        <v>564000000</v>
      </c>
      <c r="Q3765" s="5" t="s">
        <v>55110</v>
      </c>
      <c r="R3765" s="5"/>
      <c r="S3765" s="5" t="s">
        <v>55111</v>
      </c>
      <c r="T3765" s="28">
        <v>684430000</v>
      </c>
      <c r="U3765" s="28"/>
      <c r="V3765" s="28">
        <v>8638969000</v>
      </c>
      <c r="W3765" s="28">
        <v>110138000</v>
      </c>
      <c r="X3765" s="28">
        <v>621627000</v>
      </c>
      <c r="Y3765" s="28">
        <v>10680422000</v>
      </c>
      <c r="Z3765" s="28">
        <v>6418373000</v>
      </c>
      <c r="AA3765" s="28"/>
      <c r="AB3765" s="28">
        <v>306563000</v>
      </c>
      <c r="AC3765" s="28">
        <v>3532166000</v>
      </c>
      <c r="AD3765" s="28">
        <v>7148256000</v>
      </c>
      <c r="AE3765" s="28">
        <v>7910891000</v>
      </c>
      <c r="AF3765" s="28">
        <v>5635118000</v>
      </c>
      <c r="AG3765" s="11"/>
    </row>
    <row r="3766">
      <c r="A3766" s="7" t="s">
        <v>5423</v>
      </c>
      <c r="B3766" s="5" t="s">
        <v>13384</v>
      </c>
      <c r="C3766" s="5" t="s">
        <v>21180</v>
      </c>
      <c r="D3766" s="5" t="str">
        <v>782505811565</v>
      </c>
      <c r="E3766" s="0" t="e">
        <f>+7 (495) 1705232
+7 (495) 3092942
+7 (495) 3092955
+7 (495) 3093760
+7 (495) 3093901
+7 (499) 3092955
+7 (499) 6237469
+7 (499) 7860395
+7 (499) 7865351
+7 (499) 7867061
+7 (499) 7867209
+7 (499) 7867424
+7 (499) 7867588</f>
        <v>#NAME?</v>
      </c>
      <c r="F3766" s="5" t="s">
        <v>36643</v>
      </c>
      <c r="G3766" s="5" t="s">
        <v>36644</v>
      </c>
      <c r="H3766" s="26">
        <v>30.5</v>
      </c>
      <c r="I3766" s="5"/>
      <c r="J3766" s="5" t="s">
        <v>27712</v>
      </c>
      <c r="K3766" s="5" t="s">
        <v>355</v>
      </c>
      <c r="L3766" s="5" t="s">
        <v>36645</v>
      </c>
      <c r="M3766" s="27">
        <v>8460091</v>
      </c>
      <c r="N3766" s="5" t="s">
        <v>55112</v>
      </c>
      <c r="O3766" s="5" t="str">
        <v>7720579828</v>
      </c>
      <c r="P3766" s="27">
        <v>946586000</v>
      </c>
      <c r="Q3766" s="5" t="s">
        <v>55113</v>
      </c>
      <c r="R3766" s="5" t="s">
        <v>55114</v>
      </c>
      <c r="S3766" s="5" t="s">
        <v>55115</v>
      </c>
      <c r="T3766" s="28">
        <v>991042000</v>
      </c>
      <c r="U3766" s="28">
        <v>874000</v>
      </c>
      <c r="V3766" s="28">
        <v>697414000</v>
      </c>
      <c r="W3766" s="28"/>
      <c r="X3766" s="28">
        <v>257339000</v>
      </c>
      <c r="Y3766" s="28">
        <v>2575497000</v>
      </c>
      <c r="Z3766" s="28">
        <v>110604000</v>
      </c>
      <c r="AA3766" s="28"/>
      <c r="AB3766" s="28"/>
      <c r="AC3766" s="28">
        <v>864498000</v>
      </c>
      <c r="AD3766" s="28">
        <v>1544173000</v>
      </c>
      <c r="AE3766" s="28">
        <v>3955615000</v>
      </c>
      <c r="AF3766" s="28">
        <v>197746000</v>
      </c>
      <c r="AG3766" s="11"/>
    </row>
    <row r="3767">
      <c r="A3767" s="7" t="s">
        <v>5424</v>
      </c>
      <c r="B3767" s="5" t="s">
        <v>13385</v>
      </c>
      <c r="C3767" s="5" t="s">
        <v>21181</v>
      </c>
      <c r="D3767" s="5" t="str">
        <v>772009273360</v>
      </c>
      <c r="E3767" s="0" t="e">
        <f>+7 (925) 7726130
+7 (965) 4290093
+7 (985) 4290193
+7 (495) 6339395
+7 (495) 6339456
+7 (495) 6339507
+7 (495) 9523443
+7 (495) 9547559
+7 (499) 9735040
+7 (499) 9784993
+7 (499) 9785429
+7 (499) 9786458
+7 (965) 4290193</f>
        <v>#NAME?</v>
      </c>
      <c r="F3767" s="5" t="s">
        <v>36646</v>
      </c>
      <c r="G3767" s="5" t="s">
        <v>36647</v>
      </c>
      <c r="H3767" s="26">
        <v>28</v>
      </c>
      <c r="I3767" s="5" t="s">
        <v>36648</v>
      </c>
      <c r="J3767" s="5" t="s">
        <v>25349</v>
      </c>
      <c r="K3767" s="5"/>
      <c r="L3767" s="5"/>
      <c r="M3767" s="27">
        <v>30440842</v>
      </c>
      <c r="N3767" s="5" t="s">
        <v>55116</v>
      </c>
      <c r="O3767" s="5" t="str">
        <v>7725034169</v>
      </c>
      <c r="P3767" s="27"/>
      <c r="Q3767" s="5" t="s">
        <v>55117</v>
      </c>
      <c r="R3767" s="5"/>
      <c r="S3767" s="5" t="s">
        <v>49875</v>
      </c>
      <c r="T3767" s="28"/>
      <c r="U3767" s="28"/>
      <c r="V3767" s="28"/>
      <c r="W3767" s="28"/>
      <c r="X3767" s="28"/>
      <c r="Y3767" s="28"/>
      <c r="Z3767" s="28"/>
      <c r="AA3767" s="28"/>
      <c r="AB3767" s="28"/>
      <c r="AC3767" s="28"/>
      <c r="AD3767" s="28"/>
      <c r="AE3767" s="28">
        <v>5897311000</v>
      </c>
      <c r="AF3767" s="28">
        <v>1847987000</v>
      </c>
      <c r="AG3767" s="11"/>
    </row>
    <row r="3768">
      <c r="A3768" s="7" t="s">
        <v>5425</v>
      </c>
      <c r="B3768" s="5" t="s">
        <v>13386</v>
      </c>
      <c r="C3768" s="5" t="s">
        <v>21018</v>
      </c>
      <c r="D3768" s="5"/>
      <c r="E3768" s="0" t="e">
        <f>+7 (495) 2218888
+7 (495) 5411339
+7 (495) 5417811</f>
        <v>#NAME?</v>
      </c>
      <c r="F3768" s="5" t="s">
        <v>36649</v>
      </c>
      <c r="G3768" s="5" t="s">
        <v>36139</v>
      </c>
      <c r="H3768" s="26">
        <v>30.5</v>
      </c>
      <c r="I3768" s="5"/>
      <c r="J3768" s="5" t="s">
        <v>26619</v>
      </c>
      <c r="K3768" s="5" t="s">
        <v>355</v>
      </c>
      <c r="L3768" s="5" t="s">
        <v>36650</v>
      </c>
      <c r="M3768" s="27">
        <v>1692667</v>
      </c>
      <c r="N3768" s="5" t="s">
        <v>55118</v>
      </c>
      <c r="O3768" s="5" t="str">
        <v>5003003915</v>
      </c>
      <c r="P3768" s="27">
        <v>89100</v>
      </c>
      <c r="Q3768" s="5" t="s">
        <v>49009</v>
      </c>
      <c r="R3768" s="5" t="s">
        <v>55119</v>
      </c>
      <c r="S3768" s="5" t="s">
        <v>49010</v>
      </c>
      <c r="T3768" s="28">
        <v>3312490000</v>
      </c>
      <c r="U3768" s="28"/>
      <c r="V3768" s="28">
        <v>412129000</v>
      </c>
      <c r="W3768" s="28"/>
      <c r="X3768" s="28">
        <v>1438682000</v>
      </c>
      <c r="Y3768" s="28">
        <v>6702640000</v>
      </c>
      <c r="Z3768" s="28">
        <v>-1114192000</v>
      </c>
      <c r="AA3768" s="28">
        <v>4567970000</v>
      </c>
      <c r="AB3768" s="28"/>
      <c r="AC3768" s="28">
        <v>501642000</v>
      </c>
      <c r="AD3768" s="28">
        <v>1344043000</v>
      </c>
      <c r="AE3768" s="28">
        <v>15067260000</v>
      </c>
      <c r="AF3768" s="28">
        <v>-2643200000</v>
      </c>
      <c r="AG3768" s="11"/>
    </row>
    <row r="3769">
      <c r="A3769" s="7" t="s">
        <v>5426</v>
      </c>
      <c r="B3769" s="5" t="s">
        <v>13387</v>
      </c>
      <c r="C3769" s="5" t="s">
        <v>21182</v>
      </c>
      <c r="D3769" s="5" t="str">
        <v>773471802903</v>
      </c>
      <c r="E3769" s="0" t="e">
        <f>+7 (499) 2624578
+7 (499) 6074540
+7 (495) 2222201</f>
        <v>#NAME?</v>
      </c>
      <c r="F3769" s="5" t="s">
        <v>36651</v>
      </c>
      <c r="G3769" s="5" t="s">
        <v>36652</v>
      </c>
      <c r="H3769" s="26">
        <v>29</v>
      </c>
      <c r="I3769" s="5"/>
      <c r="J3769" s="5" t="s">
        <v>29042</v>
      </c>
      <c r="K3769" s="5" t="s">
        <v>344</v>
      </c>
      <c r="L3769" s="5"/>
      <c r="M3769" s="27">
        <v>31320065</v>
      </c>
      <c r="N3769" s="5" t="s">
        <v>55120</v>
      </c>
      <c r="O3769" s="5" t="str">
        <v>7708389595</v>
      </c>
      <c r="P3769" s="27">
        <v>69688897000</v>
      </c>
      <c r="Q3769" s="5" t="s">
        <v>55122</v>
      </c>
      <c r="R3769" s="5" t="s">
        <v>55123</v>
      </c>
      <c r="S3769" s="5" t="s">
        <v>51118</v>
      </c>
      <c r="T3769" s="28">
        <v>69214173000</v>
      </c>
      <c r="U3769" s="28">
        <v>99000</v>
      </c>
      <c r="V3769" s="28">
        <v>1573798000</v>
      </c>
      <c r="W3769" s="28"/>
      <c r="X3769" s="28">
        <v>1620971000</v>
      </c>
      <c r="Y3769" s="28">
        <v>73631546000</v>
      </c>
      <c r="Z3769" s="28">
        <v>1478684000</v>
      </c>
      <c r="AA3769" s="28"/>
      <c r="AB3769" s="28"/>
      <c r="AC3769" s="28">
        <v>1247849000</v>
      </c>
      <c r="AD3769" s="28">
        <v>71276177000</v>
      </c>
      <c r="AE3769" s="28">
        <v>8362275000</v>
      </c>
      <c r="AF3769" s="28">
        <v>720936000</v>
      </c>
      <c r="AG3769" s="11"/>
    </row>
    <row r="3770">
      <c r="A3770" s="7" t="s">
        <v>5427</v>
      </c>
      <c r="B3770" s="5" t="s">
        <v>13388</v>
      </c>
      <c r="C3770" s="5" t="s">
        <v>21183</v>
      </c>
      <c r="D3770" s="5" t="str">
        <v>772904614499</v>
      </c>
      <c r="E3770" s="0" t="e">
        <f>+7 (499) 7550101
+7 (495) 6149163</f>
        <v>#NAME?</v>
      </c>
      <c r="F3770" s="5" t="s">
        <v>36653</v>
      </c>
      <c r="G3770" s="5" t="s">
        <v>36654</v>
      </c>
      <c r="H3770" s="26">
        <v>31.5</v>
      </c>
      <c r="I3770" s="5" t="s">
        <v>36603</v>
      </c>
      <c r="J3770" s="5" t="s">
        <v>25210</v>
      </c>
      <c r="K3770" s="5" t="s">
        <v>344</v>
      </c>
      <c r="L3770" s="5"/>
      <c r="M3770" s="27">
        <v>2075439</v>
      </c>
      <c r="N3770" s="5" t="s">
        <v>55124</v>
      </c>
      <c r="O3770" s="5" t="str">
        <v>7714941510</v>
      </c>
      <c r="P3770" s="27">
        <v>1732771500</v>
      </c>
      <c r="Q3770" s="5" t="s">
        <v>55125</v>
      </c>
      <c r="R3770" s="5"/>
      <c r="S3770" s="5" t="s">
        <v>55126</v>
      </c>
      <c r="T3770" s="28">
        <v>1477711000</v>
      </c>
      <c r="U3770" s="28"/>
      <c r="V3770" s="28">
        <v>1725978000</v>
      </c>
      <c r="W3770" s="28">
        <v>433000000</v>
      </c>
      <c r="X3770" s="28">
        <v>712920000</v>
      </c>
      <c r="Y3770" s="28">
        <v>5094736000</v>
      </c>
      <c r="Z3770" s="28">
        <v>379788000</v>
      </c>
      <c r="AA3770" s="28"/>
      <c r="AB3770" s="28"/>
      <c r="AC3770" s="28">
        <v>2711737000</v>
      </c>
      <c r="AD3770" s="28">
        <v>2137696000</v>
      </c>
      <c r="AE3770" s="28">
        <v>7088813000</v>
      </c>
      <c r="AF3770" s="28">
        <v>56500000</v>
      </c>
      <c r="AG3770" s="11"/>
    </row>
    <row r="3771">
      <c r="A3771" s="7" t="s">
        <v>5428</v>
      </c>
      <c r="B3771" s="5" t="s">
        <v>13389</v>
      </c>
      <c r="C3771" s="5" t="s">
        <v>21184</v>
      </c>
      <c r="D3771" s="5"/>
      <c r="E3771" s="0" t="e">
        <f>+7 (482) 3322048
+7 (48433) 21630
+7 (48433) 21930
+7 (48433) 22048
+7 (48433) 22133
+7 (48433) 22594
+7 (48433) 23044
+7 (48433) 23045
+7 (48433) 23050
+7 (48433) 23344
+7 (48433) 23429
+7 (930) 4014351</f>
        <v>#NAME?</v>
      </c>
      <c r="F3771" s="5" t="s">
        <v>36655</v>
      </c>
      <c r="G3771" s="5" t="s">
        <v>36656</v>
      </c>
      <c r="H3771" s="26">
        <v>29.5</v>
      </c>
      <c r="I3771" s="5"/>
      <c r="J3771" s="5" t="s">
        <v>25231</v>
      </c>
      <c r="K3771" s="5" t="s">
        <v>355</v>
      </c>
      <c r="L3771" s="5"/>
      <c r="M3771" s="27"/>
      <c r="N3771" s="5"/>
      <c r="O3771" s="5" t="str">
        <v>4012003451</v>
      </c>
      <c r="P3771" s="27">
        <v>338440954</v>
      </c>
      <c r="Q3771" s="5" t="s">
        <v>55127</v>
      </c>
      <c r="R3771" s="5"/>
      <c r="S3771" s="5" t="s">
        <v>55128</v>
      </c>
      <c r="T3771" s="28">
        <v>3419760000</v>
      </c>
      <c r="U3771" s="28"/>
      <c r="V3771" s="28">
        <v>6582196000</v>
      </c>
      <c r="W3771" s="28">
        <v>199223000</v>
      </c>
      <c r="X3771" s="28">
        <v>1533000</v>
      </c>
      <c r="Y3771" s="28">
        <v>10808235000</v>
      </c>
      <c r="Z3771" s="28">
        <v>-437299000</v>
      </c>
      <c r="AA3771" s="28">
        <v>2282821000</v>
      </c>
      <c r="AB3771" s="28">
        <v>376284000</v>
      </c>
      <c r="AC3771" s="28">
        <v>4180311000</v>
      </c>
      <c r="AD3771" s="28">
        <v>4296767000</v>
      </c>
      <c r="AE3771" s="28">
        <v>6496976000</v>
      </c>
      <c r="AF3771" s="28">
        <v>12542000</v>
      </c>
      <c r="AG3771" s="11"/>
    </row>
    <row r="3772">
      <c r="A3772" s="7" t="s">
        <v>5429</v>
      </c>
      <c r="B3772" s="5" t="s">
        <v>13390</v>
      </c>
      <c r="C3772" s="5" t="s">
        <v>21185</v>
      </c>
      <c r="D3772" s="5" t="str">
        <v>772731804879</v>
      </c>
      <c r="E3772" s="0" t="e">
        <f>+7 (495) 2767789
+7 (495) 2767777
+7 (495) 7211842</f>
        <v>#NAME?</v>
      </c>
      <c r="F3772" s="5" t="s">
        <v>36657</v>
      </c>
      <c r="G3772" s="5" t="s">
        <v>36658</v>
      </c>
      <c r="H3772" s="26">
        <v>30</v>
      </c>
      <c r="I3772" s="5" t="s">
        <v>36659</v>
      </c>
      <c r="J3772" s="5" t="s">
        <v>29432</v>
      </c>
      <c r="K3772" s="5" t="s">
        <v>355</v>
      </c>
      <c r="L3772" s="5" t="s">
        <v>36660</v>
      </c>
      <c r="M3772" s="27">
        <v>7254125</v>
      </c>
      <c r="N3772" s="5" t="s">
        <v>55129</v>
      </c>
      <c r="O3772" s="5" t="str">
        <v>7710068052</v>
      </c>
      <c r="P3772" s="27">
        <v>1576729</v>
      </c>
      <c r="Q3772" s="5" t="s">
        <v>55130</v>
      </c>
      <c r="R3772" s="5" t="s">
        <v>50591</v>
      </c>
      <c r="S3772" s="5" t="s">
        <v>55131</v>
      </c>
      <c r="T3772" s="28">
        <v>2398594000</v>
      </c>
      <c r="U3772" s="28">
        <v>2384105000</v>
      </c>
      <c r="V3772" s="28">
        <v>35792633000</v>
      </c>
      <c r="W3772" s="28">
        <v>3090063000</v>
      </c>
      <c r="X3772" s="28">
        <v>851040000</v>
      </c>
      <c r="Y3772" s="28">
        <v>49144393000</v>
      </c>
      <c r="Z3772" s="28">
        <v>-15550867000</v>
      </c>
      <c r="AA3772" s="28">
        <v>59519000</v>
      </c>
      <c r="AB3772" s="28">
        <v>3414025000</v>
      </c>
      <c r="AC3772" s="28">
        <v>36755723000</v>
      </c>
      <c r="AD3772" s="28">
        <v>12255451000</v>
      </c>
      <c r="AE3772" s="28">
        <v>30207261000</v>
      </c>
      <c r="AF3772" s="28">
        <v>702708000</v>
      </c>
      <c r="AG3772" s="11"/>
    </row>
    <row r="3773">
      <c r="A3773" s="7" t="s">
        <v>5430</v>
      </c>
      <c r="B3773" s="5" t="s">
        <v>13391</v>
      </c>
      <c r="C3773" s="5" t="s">
        <v>21186</v>
      </c>
      <c r="D3773" s="5" t="str">
        <v>246301414984</v>
      </c>
      <c r="E3773" s="0" t="e">
        <f>+7 (495) 1501533
+7 (495) 2254406
+7 (495) 3651485
+7 (495) 4521387
+7 (495) 4771034
+7 (495) 5501955
+7 (495) 5626663
+7 (495) 3651896
+7 (495) 5543328
+7 (495) 5544457
+7 (495) 5624025
+7 (495) 5626201
+7 (495) 5626544
+7 (495) 5626665
+7 (495) 5626966</f>
        <v>#NAME?</v>
      </c>
      <c r="F3773" s="5" t="s">
        <v>36661</v>
      </c>
      <c r="G3773" s="5" t="s">
        <v>36662</v>
      </c>
      <c r="H3773" s="26">
        <v>25</v>
      </c>
      <c r="I3773" s="5"/>
      <c r="J3773" s="5" t="s">
        <v>29513</v>
      </c>
      <c r="K3773" s="5" t="s">
        <v>344</v>
      </c>
      <c r="L3773" s="5" t="s">
        <v>36663</v>
      </c>
      <c r="M3773" s="27">
        <v>26843225</v>
      </c>
      <c r="N3773" s="5" t="s">
        <v>55132</v>
      </c>
      <c r="O3773" s="5" t="str">
        <v>5032292612</v>
      </c>
      <c r="P3773" s="27">
        <v>34768708000</v>
      </c>
      <c r="Q3773" s="5" t="s">
        <v>55133</v>
      </c>
      <c r="R3773" s="5"/>
      <c r="S3773" s="5" t="s">
        <v>52842</v>
      </c>
      <c r="T3773" s="28">
        <v>66771063000</v>
      </c>
      <c r="U3773" s="28">
        <v>120212000</v>
      </c>
      <c r="V3773" s="28">
        <v>9142344000</v>
      </c>
      <c r="W3773" s="28">
        <v>10000000</v>
      </c>
      <c r="X3773" s="28">
        <v>3432814000</v>
      </c>
      <c r="Y3773" s="28">
        <v>83691476000</v>
      </c>
      <c r="Z3773" s="28">
        <v>17525807000</v>
      </c>
      <c r="AA3773" s="28">
        <v>8932445000</v>
      </c>
      <c r="AB3773" s="28">
        <v>2734000</v>
      </c>
      <c r="AC3773" s="28">
        <v>16561665000</v>
      </c>
      <c r="AD3773" s="28">
        <v>52349637000</v>
      </c>
      <c r="AE3773" s="28">
        <v>49453139000</v>
      </c>
      <c r="AF3773" s="28">
        <v>4777624000</v>
      </c>
      <c r="AG3773" s="11"/>
    </row>
    <row r="3774">
      <c r="A3774" s="7" t="s">
        <v>5431</v>
      </c>
      <c r="B3774" s="5" t="s">
        <v>13392</v>
      </c>
      <c r="C3774" s="5" t="s">
        <v>21187</v>
      </c>
      <c r="D3774" s="5" t="str">
        <v>710600020879</v>
      </c>
      <c r="E3774" s="0" t="e">
        <f>+7 (916) 9011557
+7 (495) 7858080
+7 (495) 9419870
+7 (495) 9419917
+7 (4987) 858080</f>
        <v>#NAME?</v>
      </c>
      <c r="F3774" s="5" t="s">
        <v>36664</v>
      </c>
      <c r="G3774" s="5" t="s">
        <v>36665</v>
      </c>
      <c r="H3774" s="26">
        <v>11.5</v>
      </c>
      <c r="I3774" s="5" t="s">
        <v>36666</v>
      </c>
      <c r="J3774" s="5" t="s">
        <v>373</v>
      </c>
      <c r="K3774" s="5" t="s">
        <v>344</v>
      </c>
      <c r="L3774" s="5" t="s">
        <v>36667</v>
      </c>
      <c r="M3774" s="27"/>
      <c r="N3774" s="5" t="s">
        <v>55134</v>
      </c>
      <c r="O3774" s="5" t="str">
        <v>5032242379</v>
      </c>
      <c r="P3774" s="27">
        <v>10000</v>
      </c>
      <c r="Q3774" s="5" t="s">
        <v>55135</v>
      </c>
      <c r="R3774" s="5"/>
      <c r="S3774" s="5" t="s">
        <v>55136</v>
      </c>
      <c r="T3774" s="28">
        <v>9902000</v>
      </c>
      <c r="U3774" s="28"/>
      <c r="V3774" s="28">
        <v>1085524000</v>
      </c>
      <c r="W3774" s="28">
        <v>417000000</v>
      </c>
      <c r="X3774" s="28">
        <v>86983000</v>
      </c>
      <c r="Y3774" s="28">
        <v>1756124000</v>
      </c>
      <c r="Z3774" s="28">
        <v>251377000</v>
      </c>
      <c r="AA3774" s="28"/>
      <c r="AB3774" s="28"/>
      <c r="AC3774" s="28">
        <v>1504737000</v>
      </c>
      <c r="AD3774" s="28">
        <v>251387000</v>
      </c>
      <c r="AE3774" s="28">
        <v>14878883000</v>
      </c>
      <c r="AF3774" s="28">
        <v>790660000</v>
      </c>
      <c r="AG3774" s="11"/>
    </row>
    <row r="3775">
      <c r="A3775" s="7" t="s">
        <v>5432</v>
      </c>
      <c r="B3775" s="5" t="s">
        <v>13393</v>
      </c>
      <c r="C3775" s="5" t="s">
        <v>21188</v>
      </c>
      <c r="D3775" s="5" t="str">
        <v>701702384782</v>
      </c>
      <c r="E3775" s="0" t="e">
        <f>+7 (916) 549555
+7 (495) 3745191
+7 (49624) 51599
+7 (49677) 47585
+7 (916) 2480180</f>
        <v>#NAME?</v>
      </c>
      <c r="F3775" s="5" t="s">
        <v>36668</v>
      </c>
      <c r="G3775" s="5"/>
      <c r="H3775" s="26">
        <v>9.5</v>
      </c>
      <c r="I3775" s="5" t="s">
        <v>36669</v>
      </c>
      <c r="J3775" s="5" t="s">
        <v>36670</v>
      </c>
      <c r="K3775" s="5" t="s">
        <v>344</v>
      </c>
      <c r="L3775" s="5" t="s">
        <v>36671</v>
      </c>
      <c r="M3775" s="27">
        <v>1485769833</v>
      </c>
      <c r="N3775" s="5" t="s">
        <v>55137</v>
      </c>
      <c r="O3775" s="5" t="str">
        <v>5037008735</v>
      </c>
      <c r="P3775" s="27">
        <v>199203187</v>
      </c>
      <c r="Q3775" s="5" t="s">
        <v>55139</v>
      </c>
      <c r="R3775" s="5"/>
      <c r="S3775" s="5" t="s">
        <v>55140</v>
      </c>
      <c r="T3775" s="28">
        <v>991960000</v>
      </c>
      <c r="U3775" s="28"/>
      <c r="V3775" s="28">
        <v>512641000</v>
      </c>
      <c r="W3775" s="28"/>
      <c r="X3775" s="28">
        <v>3638305000</v>
      </c>
      <c r="Y3775" s="28">
        <v>5449174000</v>
      </c>
      <c r="Z3775" s="28">
        <v>600878000</v>
      </c>
      <c r="AA3775" s="28">
        <v>798911000</v>
      </c>
      <c r="AB3775" s="28">
        <v>254436000</v>
      </c>
      <c r="AC3775" s="28">
        <v>3731710000</v>
      </c>
      <c r="AD3775" s="28">
        <v>868701000</v>
      </c>
      <c r="AE3775" s="28">
        <v>5112046000</v>
      </c>
      <c r="AF3775" s="28">
        <v>259658000</v>
      </c>
      <c r="AG3775" s="11"/>
    </row>
    <row r="3776">
      <c r="A3776" s="7" t="s">
        <v>5433</v>
      </c>
      <c r="B3776" s="5" t="s">
        <v>13394</v>
      </c>
      <c r="C3776" s="5" t="s">
        <v>21189</v>
      </c>
      <c r="D3776" s="5" t="str">
        <v>616842760045</v>
      </c>
      <c r="E3776" s="0" t="e">
        <f>+7 (495) 5669493
+7 (495) 5868155
+7 (495) 6098033
+7 (495) 5502038
+7 (495) 5578216
+7 (495) 5623253
+7 (495) 5710226
+7 (495) 5712370
+7 (495) 5931894
+7 (495) 5934760
+7 (495) 5971544
+7 (495) 5973853
+7 (495) 6230420
+7 (495) 6519240
+7 (495) 7800054</f>
        <v>#NAME?</v>
      </c>
      <c r="F3776" s="5" t="s">
        <v>36672</v>
      </c>
      <c r="G3776" s="5" t="s">
        <v>36673</v>
      </c>
      <c r="H3776" s="26">
        <v>17.5</v>
      </c>
      <c r="I3776" s="5"/>
      <c r="J3776" s="5" t="s">
        <v>27802</v>
      </c>
      <c r="K3776" s="5" t="s">
        <v>344</v>
      </c>
      <c r="L3776" s="5"/>
      <c r="M3776" s="27">
        <v>369350232</v>
      </c>
      <c r="N3776" s="5" t="s">
        <v>55141</v>
      </c>
      <c r="O3776" s="5" t="str">
        <v>5032137342</v>
      </c>
      <c r="P3776" s="27">
        <v>16489413000</v>
      </c>
      <c r="Q3776" s="5" t="s">
        <v>55142</v>
      </c>
      <c r="R3776" s="5" t="s">
        <v>55143</v>
      </c>
      <c r="S3776" s="5" t="s">
        <v>51118</v>
      </c>
      <c r="T3776" s="28">
        <v>43685232000</v>
      </c>
      <c r="U3776" s="28">
        <v>1547770000</v>
      </c>
      <c r="V3776" s="28">
        <v>2491424000</v>
      </c>
      <c r="W3776" s="28"/>
      <c r="X3776" s="28">
        <v>274766000</v>
      </c>
      <c r="Y3776" s="28">
        <v>54780363000</v>
      </c>
      <c r="Z3776" s="28">
        <v>13427171000</v>
      </c>
      <c r="AA3776" s="28">
        <v>2057571000</v>
      </c>
      <c r="AB3776" s="28">
        <v>4283324000</v>
      </c>
      <c r="AC3776" s="28">
        <v>12503434000</v>
      </c>
      <c r="AD3776" s="28">
        <v>34594377000</v>
      </c>
      <c r="AE3776" s="28">
        <v>24255102000</v>
      </c>
      <c r="AF3776" s="28">
        <v>2085066000</v>
      </c>
      <c r="AG3776" s="11"/>
    </row>
    <row r="3777">
      <c r="A3777" s="7" t="s">
        <v>5434</v>
      </c>
      <c r="B3777" s="5" t="s">
        <v>13395</v>
      </c>
      <c r="C3777" s="5" t="s">
        <v>21190</v>
      </c>
      <c r="D3777" s="5" t="str">
        <v>503609444932</v>
      </c>
      <c r="E3777" s="0" t="e">
        <f>+7 (495) 7732325
+7 (495) 2551020
+7 (499) 2551020
+7 (926) 1167546</f>
        <v>#NAME?</v>
      </c>
      <c r="F3777" s="5" t="s">
        <v>36674</v>
      </c>
      <c r="G3777" s="5"/>
      <c r="H3777" s="26">
        <v>28.5</v>
      </c>
      <c r="I3777" s="5"/>
      <c r="J3777" s="5" t="s">
        <v>755</v>
      </c>
      <c r="K3777" s="5" t="s">
        <v>355</v>
      </c>
      <c r="L3777" s="5" t="s">
        <v>36675</v>
      </c>
      <c r="M3777" s="27">
        <v>1264303514</v>
      </c>
      <c r="N3777" s="5" t="s">
        <v>55144</v>
      </c>
      <c r="O3777" s="5" t="str">
        <v>7707820890</v>
      </c>
      <c r="P3777" s="27">
        <v>88838700</v>
      </c>
      <c r="Q3777" s="5" t="s">
        <v>55146</v>
      </c>
      <c r="R3777" s="5" t="s">
        <v>54590</v>
      </c>
      <c r="S3777" s="5" t="s">
        <v>55147</v>
      </c>
      <c r="T3777" s="28">
        <v>2180500000</v>
      </c>
      <c r="U3777" s="28">
        <v>9281000</v>
      </c>
      <c r="V3777" s="28">
        <v>5022050000</v>
      </c>
      <c r="W3777" s="28"/>
      <c r="X3777" s="28">
        <v>25213149000</v>
      </c>
      <c r="Y3777" s="28">
        <v>40323707000</v>
      </c>
      <c r="Z3777" s="28">
        <v>1439420000</v>
      </c>
      <c r="AA3777" s="28">
        <v>91352000</v>
      </c>
      <c r="AB3777" s="28">
        <v>737000</v>
      </c>
      <c r="AC3777" s="28">
        <v>36556392000</v>
      </c>
      <c r="AD3777" s="28">
        <v>2304676000</v>
      </c>
      <c r="AE3777" s="28">
        <v>6252766000</v>
      </c>
      <c r="AF3777" s="28">
        <v>172948000</v>
      </c>
      <c r="AG3777" s="11"/>
    </row>
    <row r="3778">
      <c r="A3778" s="7" t="s">
        <v>5435</v>
      </c>
      <c r="B3778" s="5" t="s">
        <v>13396</v>
      </c>
      <c r="C3778" s="5" t="s">
        <v>21191</v>
      </c>
      <c r="D3778" s="5" t="str">
        <v>183111347600</v>
      </c>
      <c r="E3778" s="0" t="e">
        <f>+7 (495) 6503322
+7 (495) 6504061
+7 (495) 6505075
+7 (495) 6505198
+7 (495) 6506379
+7 (495) 6507996
+7 (495) 6990391
+7 (495) 6992184
+7 (495) 6992671
+7 (495) 9516816</f>
        <v>#NAME?</v>
      </c>
      <c r="F3778" s="5" t="s">
        <v>36676</v>
      </c>
      <c r="G3778" s="5" t="s">
        <v>36677</v>
      </c>
      <c r="H3778" s="26">
        <v>29</v>
      </c>
      <c r="I3778" s="5"/>
      <c r="J3778" s="5" t="s">
        <v>364</v>
      </c>
      <c r="K3778" s="5" t="s">
        <v>380</v>
      </c>
      <c r="L3778" s="5"/>
      <c r="M3778" s="27">
        <v>279790723</v>
      </c>
      <c r="N3778" s="5" t="s">
        <v>55148</v>
      </c>
      <c r="O3778" s="5" t="str">
        <v>7710034310</v>
      </c>
      <c r="P3778" s="27">
        <v>120000000</v>
      </c>
      <c r="Q3778" s="5" t="s">
        <v>55149</v>
      </c>
      <c r="R3778" s="5" t="s">
        <v>55150</v>
      </c>
      <c r="S3778" s="5" t="s">
        <v>55151</v>
      </c>
      <c r="T3778" s="28">
        <v>4081589000</v>
      </c>
      <c r="U3778" s="28">
        <v>7801164000</v>
      </c>
      <c r="V3778" s="28">
        <v>25063982000</v>
      </c>
      <c r="W3778" s="28">
        <v>98021000</v>
      </c>
      <c r="X3778" s="28">
        <v>12399000</v>
      </c>
      <c r="Y3778" s="28">
        <v>39032511000</v>
      </c>
      <c r="Z3778" s="28">
        <v>5497995000</v>
      </c>
      <c r="AA3778" s="28">
        <v>11264414000</v>
      </c>
      <c r="AB3778" s="28">
        <v>887344000</v>
      </c>
      <c r="AC3778" s="28">
        <v>17690365000</v>
      </c>
      <c r="AD3778" s="28">
        <v>8645790000</v>
      </c>
      <c r="AE3778" s="28">
        <v>13660254000</v>
      </c>
      <c r="AF3778" s="28">
        <v>-1219471000</v>
      </c>
      <c r="AG3778" s="11"/>
    </row>
    <row r="3779">
      <c r="A3779" s="7" t="s">
        <v>5436</v>
      </c>
      <c r="B3779" s="5" t="s">
        <v>13397</v>
      </c>
      <c r="C3779" s="5" t="s">
        <v>21192</v>
      </c>
      <c r="D3779" s="5" t="str">
        <v>165905249001</v>
      </c>
      <c r="E3779" s="0" t="e">
        <f>+7 (495) 6505094
+7 (495) 6990962
+7 (495) 9391040
+7 (499) 6117166
+7 (499) 7945430
+7 (499) 7945431
+7 (965) 2739494</f>
        <v>#NAME?</v>
      </c>
      <c r="F3779" s="5" t="s">
        <v>36678</v>
      </c>
      <c r="G3779" s="5" t="s">
        <v>36677</v>
      </c>
      <c r="H3779" s="26">
        <v>22.5</v>
      </c>
      <c r="I3779" s="5" t="s">
        <v>36679</v>
      </c>
      <c r="J3779" s="5" t="s">
        <v>364</v>
      </c>
      <c r="K3779" s="5" t="s">
        <v>380</v>
      </c>
      <c r="L3779" s="5" t="s">
        <v>36680</v>
      </c>
      <c r="M3779" s="27">
        <v>62048487</v>
      </c>
      <c r="N3779" s="5"/>
      <c r="O3779" s="5" t="str">
        <v>7704218045</v>
      </c>
      <c r="P3779" s="27">
        <v>100000</v>
      </c>
      <c r="Q3779" s="5" t="s">
        <v>55152</v>
      </c>
      <c r="R3779" s="5" t="s">
        <v>55153</v>
      </c>
      <c r="S3779" s="5" t="s">
        <v>49160</v>
      </c>
      <c r="T3779" s="28">
        <v>32893000</v>
      </c>
      <c r="U3779" s="28">
        <v>818963000</v>
      </c>
      <c r="V3779" s="28">
        <v>4329681000</v>
      </c>
      <c r="W3779" s="28"/>
      <c r="X3779" s="28">
        <v>90318000</v>
      </c>
      <c r="Y3779" s="28">
        <v>11026161000</v>
      </c>
      <c r="Z3779" s="28">
        <v>40653000</v>
      </c>
      <c r="AA3779" s="28">
        <v>889209000</v>
      </c>
      <c r="AB3779" s="28">
        <v>146000</v>
      </c>
      <c r="AC3779" s="28">
        <v>9753698000</v>
      </c>
      <c r="AD3779" s="28">
        <v>40753000</v>
      </c>
      <c r="AE3779" s="28">
        <v>5290254000</v>
      </c>
      <c r="AF3779" s="28">
        <v>14449000</v>
      </c>
      <c r="AG3779" s="11"/>
    </row>
    <row r="3780">
      <c r="A3780" s="7" t="s">
        <v>5437</v>
      </c>
      <c r="B3780" s="5" t="s">
        <v>13398</v>
      </c>
      <c r="C3780" s="5" t="s">
        <v>21193</v>
      </c>
      <c r="D3780" s="5" t="str">
        <v>526103657772</v>
      </c>
      <c r="E3780" s="0" t="e">
        <f>+7 (915) 4440081</f>
        <v>#NAME?</v>
      </c>
      <c r="F3780" s="5" t="s">
        <v>36681</v>
      </c>
      <c r="G3780" s="5"/>
      <c r="H3780" s="26">
        <v>7.5</v>
      </c>
      <c r="I3780" s="5" t="s">
        <v>36682</v>
      </c>
      <c r="J3780" s="5" t="s">
        <v>373</v>
      </c>
      <c r="K3780" s="5" t="s">
        <v>344</v>
      </c>
      <c r="L3780" s="5" t="s">
        <v>35958</v>
      </c>
      <c r="M3780" s="27">
        <v>4338637</v>
      </c>
      <c r="N3780" s="5" t="s">
        <v>55154</v>
      </c>
      <c r="O3780" s="5" t="str">
        <v>7751007549</v>
      </c>
      <c r="P3780" s="27">
        <v>1010000</v>
      </c>
      <c r="Q3780" s="5" t="s">
        <v>49579</v>
      </c>
      <c r="R3780" s="5" t="s">
        <v>55155</v>
      </c>
      <c r="S3780" s="5" t="s">
        <v>55156</v>
      </c>
      <c r="T3780" s="28">
        <v>74618000</v>
      </c>
      <c r="U3780" s="28"/>
      <c r="V3780" s="28">
        <v>833497000</v>
      </c>
      <c r="W3780" s="28"/>
      <c r="X3780" s="28">
        <v>1684000</v>
      </c>
      <c r="Y3780" s="28">
        <v>923963000</v>
      </c>
      <c r="Z3780" s="28">
        <v>81956000</v>
      </c>
      <c r="AA3780" s="28">
        <v>213044000</v>
      </c>
      <c r="AB3780" s="28">
        <v>55289000</v>
      </c>
      <c r="AC3780" s="28">
        <v>605463000</v>
      </c>
      <c r="AD3780" s="28">
        <v>82966000</v>
      </c>
      <c r="AE3780" s="28">
        <v>6545218000</v>
      </c>
      <c r="AF3780" s="28">
        <v>30031000</v>
      </c>
      <c r="AG3780" s="11"/>
    </row>
    <row r="3781">
      <c r="A3781" s="7" t="s">
        <v>5438</v>
      </c>
      <c r="B3781" s="5" t="s">
        <v>13399</v>
      </c>
      <c r="C3781" s="5" t="s">
        <v>21194</v>
      </c>
      <c r="D3781" s="5" t="str">
        <v>550205810971</v>
      </c>
      <c r="E3781" s="0" t="e">
        <f>+7 (495) 7237424
+7 (499) 1354066
+7 (913) 1568327
+7 (913) 6112203</f>
        <v>#NAME?</v>
      </c>
      <c r="F3781" s="5" t="s">
        <v>36683</v>
      </c>
      <c r="G3781" s="5" t="s">
        <v>36684</v>
      </c>
      <c r="H3781" s="26">
        <v>8</v>
      </c>
      <c r="I3781" s="5" t="s">
        <v>36685</v>
      </c>
      <c r="J3781" s="5" t="s">
        <v>364</v>
      </c>
      <c r="K3781" s="5" t="s">
        <v>344</v>
      </c>
      <c r="L3781" s="5" t="s">
        <v>36686</v>
      </c>
      <c r="M3781" s="27">
        <v>10308634</v>
      </c>
      <c r="N3781" s="5" t="s">
        <v>55157</v>
      </c>
      <c r="O3781" s="5" t="str">
        <v>5504037810</v>
      </c>
      <c r="P3781" s="27">
        <v>430000000</v>
      </c>
      <c r="Q3781" s="5" t="s">
        <v>55158</v>
      </c>
      <c r="R3781" s="5"/>
      <c r="S3781" s="5" t="s">
        <v>50589</v>
      </c>
      <c r="T3781" s="28">
        <v>308338000</v>
      </c>
      <c r="U3781" s="28">
        <v>351857000</v>
      </c>
      <c r="V3781" s="28">
        <v>9381613000</v>
      </c>
      <c r="W3781" s="28">
        <v>161000000</v>
      </c>
      <c r="X3781" s="28">
        <v>1385904000</v>
      </c>
      <c r="Y3781" s="28">
        <v>14935202000</v>
      </c>
      <c r="Z3781" s="28">
        <v>77342000</v>
      </c>
      <c r="AA3781" s="28"/>
      <c r="AB3781" s="28">
        <v>495966000</v>
      </c>
      <c r="AC3781" s="28">
        <v>13551317000</v>
      </c>
      <c r="AD3781" s="28">
        <v>507342000</v>
      </c>
      <c r="AE3781" s="28">
        <v>14398261000</v>
      </c>
      <c r="AF3781" s="28">
        <v>37768000</v>
      </c>
      <c r="AG3781" s="11"/>
    </row>
    <row r="3782">
      <c r="A3782" s="7" t="s">
        <v>5439</v>
      </c>
      <c r="B3782" s="5" t="s">
        <v>13400</v>
      </c>
      <c r="C3782" s="5" t="s">
        <v>21195</v>
      </c>
      <c r="D3782" s="5" t="str">
        <v>580310430329</v>
      </c>
      <c r="E3782" s="0" t="e">
        <f>+7 (987) 735053
+7 (927) 3604937</f>
        <v>#NAME?</v>
      </c>
      <c r="F3782" s="5" t="s">
        <v>36687</v>
      </c>
      <c r="G3782" s="5"/>
      <c r="H3782" s="26">
        <v>10.5</v>
      </c>
      <c r="I3782" s="5" t="s">
        <v>36688</v>
      </c>
      <c r="J3782" s="5" t="s">
        <v>467</v>
      </c>
      <c r="K3782" s="5" t="s">
        <v>344</v>
      </c>
      <c r="L3782" s="5"/>
      <c r="M3782" s="27">
        <v>22797315</v>
      </c>
      <c r="N3782" s="5" t="s">
        <v>55159</v>
      </c>
      <c r="O3782" s="5" t="str">
        <v>5809902019</v>
      </c>
      <c r="P3782" s="27">
        <v>11000</v>
      </c>
      <c r="Q3782" s="5" t="s">
        <v>55160</v>
      </c>
      <c r="R3782" s="5"/>
      <c r="S3782" s="5" t="s">
        <v>55161</v>
      </c>
      <c r="T3782" s="28">
        <v>14029000</v>
      </c>
      <c r="U3782" s="28"/>
      <c r="V3782" s="28">
        <v>4065297000</v>
      </c>
      <c r="W3782" s="28">
        <v>94500000</v>
      </c>
      <c r="X3782" s="28">
        <v>4671484000</v>
      </c>
      <c r="Y3782" s="28">
        <v>9930435000</v>
      </c>
      <c r="Z3782" s="28">
        <v>449449000</v>
      </c>
      <c r="AA3782" s="28"/>
      <c r="AB3782" s="28">
        <v>50247000</v>
      </c>
      <c r="AC3782" s="28">
        <v>8695264000</v>
      </c>
      <c r="AD3782" s="28">
        <v>449460000</v>
      </c>
      <c r="AE3782" s="28">
        <v>4019210000</v>
      </c>
      <c r="AF3782" s="28">
        <v>449328000</v>
      </c>
      <c r="AG3782" s="11"/>
    </row>
    <row r="3783">
      <c r="A3783" s="7" t="s">
        <v>5440</v>
      </c>
      <c r="B3783" s="5" t="s">
        <v>13401</v>
      </c>
      <c r="C3783" s="5" t="s">
        <v>21196</v>
      </c>
      <c r="D3783" s="5" t="str">
        <v>770100482312</v>
      </c>
      <c r="E3783" s="0" t="e">
        <f>+7 (985) 9919255
+7 (495) 2620026
+7 (495) 2620121
+7 (495) 2629841
+7 (495) 9939462
+7 (495) 9939570
+7 (499) 9754087
+7 (916) 3519908</f>
        <v>#NAME?</v>
      </c>
      <c r="F3783" s="5" t="s">
        <v>36689</v>
      </c>
      <c r="G3783" s="5" t="s">
        <v>36690</v>
      </c>
      <c r="H3783" s="26">
        <v>29.5</v>
      </c>
      <c r="I3783" s="5"/>
      <c r="J3783" s="5" t="s">
        <v>991</v>
      </c>
      <c r="K3783" s="5" t="s">
        <v>344</v>
      </c>
      <c r="L3783" s="5" t="s">
        <v>36691</v>
      </c>
      <c r="M3783" s="27"/>
      <c r="N3783" s="5" t="s">
        <v>55162</v>
      </c>
      <c r="O3783" s="5" t="str">
        <v>7710121637</v>
      </c>
      <c r="P3783" s="27">
        <v>39300</v>
      </c>
      <c r="Q3783" s="5" t="s">
        <v>49009</v>
      </c>
      <c r="R3783" s="5"/>
      <c r="S3783" s="5" t="s">
        <v>49504</v>
      </c>
      <c r="T3783" s="28">
        <v>1658538000</v>
      </c>
      <c r="U3783" s="28">
        <v>1013000</v>
      </c>
      <c r="V3783" s="28">
        <v>368802000</v>
      </c>
      <c r="W3783" s="28">
        <v>520800000</v>
      </c>
      <c r="X3783" s="28">
        <v>311229000</v>
      </c>
      <c r="Y3783" s="28">
        <v>3917131000</v>
      </c>
      <c r="Z3783" s="28">
        <v>1973765000</v>
      </c>
      <c r="AA3783" s="28"/>
      <c r="AB3783" s="28"/>
      <c r="AC3783" s="28">
        <v>1586454000</v>
      </c>
      <c r="AD3783" s="28">
        <v>2085621000</v>
      </c>
      <c r="AE3783" s="28">
        <v>8393931000</v>
      </c>
      <c r="AF3783" s="28">
        <v>523511000</v>
      </c>
      <c r="AG3783" s="11"/>
    </row>
    <row r="3784">
      <c r="A3784" s="7" t="s">
        <v>5441</v>
      </c>
      <c r="B3784" s="5" t="s">
        <v>13402</v>
      </c>
      <c r="C3784" s="5" t="s">
        <v>21197</v>
      </c>
      <c r="D3784" s="5" t="str">
        <v>507401506665</v>
      </c>
      <c r="E3784" s="0" t="e">
        <f>+7 (985) 9234488
+7 (495) 8409152
+7 (495) 8409153
+7 (495) 8505776
+7 (495) 8505787
+7 (495) 8506009
+7 (495) 8506016
+7 (495) 8506037
+7 (495) 8506038
+7 (495) 9969151
+7 (495) 9969153
+7 (495) 9969155
+7 (499) 9171520
+7 (917) 5040326
+7 (985) 9704044</f>
        <v>#NAME?</v>
      </c>
      <c r="F3784" s="5" t="s">
        <v>36692</v>
      </c>
      <c r="G3784" s="5" t="s">
        <v>36693</v>
      </c>
      <c r="H3784" s="26">
        <v>21</v>
      </c>
      <c r="I3784" s="5" t="s">
        <v>36694</v>
      </c>
      <c r="J3784" s="5" t="s">
        <v>1081</v>
      </c>
      <c r="K3784" s="5" t="s">
        <v>344</v>
      </c>
      <c r="L3784" s="5" t="s">
        <v>36695</v>
      </c>
      <c r="M3784" s="27">
        <v>345445281</v>
      </c>
      <c r="N3784" s="5" t="s">
        <v>55164</v>
      </c>
      <c r="O3784" s="5" t="str">
        <v>7730153186</v>
      </c>
      <c r="P3784" s="27">
        <v>300000</v>
      </c>
      <c r="Q3784" s="5" t="s">
        <v>55166</v>
      </c>
      <c r="R3784" s="5"/>
      <c r="S3784" s="5" t="s">
        <v>55167</v>
      </c>
      <c r="T3784" s="28">
        <v>2235968000</v>
      </c>
      <c r="U3784" s="28"/>
      <c r="V3784" s="28">
        <v>15727510000</v>
      </c>
      <c r="W3784" s="28">
        <v>140000000</v>
      </c>
      <c r="X3784" s="28">
        <v>284239000</v>
      </c>
      <c r="Y3784" s="28">
        <v>21180517000</v>
      </c>
      <c r="Z3784" s="28">
        <v>4919592000</v>
      </c>
      <c r="AA3784" s="28">
        <v>15360000</v>
      </c>
      <c r="AB3784" s="28">
        <v>2957829000</v>
      </c>
      <c r="AC3784" s="28">
        <v>14559808000</v>
      </c>
      <c r="AD3784" s="28">
        <v>4919892000</v>
      </c>
      <c r="AE3784" s="28">
        <v>31392774000</v>
      </c>
      <c r="AF3784" s="28">
        <v>4255155000</v>
      </c>
      <c r="AG3784" s="11"/>
    </row>
    <row r="3785">
      <c r="A3785" s="7" t="s">
        <v>5442</v>
      </c>
      <c r="B3785" s="5" t="s">
        <v>13403</v>
      </c>
      <c r="C3785" s="5" t="s">
        <v>21198</v>
      </c>
      <c r="D3785" s="5" t="str">
        <v>720203658728</v>
      </c>
      <c r="E3785" s="0" t="e">
        <f>+7 (345) 2540889
+7 (346) 2248587
+7 (346) 2248603</f>
        <v>#NAME?</v>
      </c>
      <c r="F3785" s="5" t="s">
        <v>36696</v>
      </c>
      <c r="G3785" s="5" t="s">
        <v>36697</v>
      </c>
      <c r="H3785" s="26">
        <v>20.5</v>
      </c>
      <c r="I3785" s="5" t="s">
        <v>36698</v>
      </c>
      <c r="J3785" s="5" t="s">
        <v>1081</v>
      </c>
      <c r="K3785" s="5" t="s">
        <v>344</v>
      </c>
      <c r="L3785" s="5" t="s">
        <v>36699</v>
      </c>
      <c r="M3785" s="27">
        <v>27081113</v>
      </c>
      <c r="N3785" s="5" t="s">
        <v>55168</v>
      </c>
      <c r="O3785" s="5" t="str">
        <v>8617001665</v>
      </c>
      <c r="P3785" s="27">
        <v>86670000</v>
      </c>
      <c r="Q3785" s="5" t="s">
        <v>55169</v>
      </c>
      <c r="R3785" s="5"/>
      <c r="S3785" s="5" t="s">
        <v>55170</v>
      </c>
      <c r="T3785" s="28">
        <v>6733145000</v>
      </c>
      <c r="U3785" s="28">
        <v>1450671000</v>
      </c>
      <c r="V3785" s="28">
        <v>11473862000</v>
      </c>
      <c r="W3785" s="28">
        <v>2219000000</v>
      </c>
      <c r="X3785" s="28">
        <v>4742775000</v>
      </c>
      <c r="Y3785" s="28">
        <v>41661850000</v>
      </c>
      <c r="Z3785" s="28">
        <v>13098426000</v>
      </c>
      <c r="AA3785" s="28"/>
      <c r="AB3785" s="28"/>
      <c r="AC3785" s="28">
        <v>26179799000</v>
      </c>
      <c r="AD3785" s="28">
        <v>13379995000</v>
      </c>
      <c r="AE3785" s="28">
        <v>43892446000</v>
      </c>
      <c r="AF3785" s="28">
        <v>3144511000</v>
      </c>
      <c r="AG3785" s="11"/>
    </row>
    <row r="3786">
      <c r="A3786" s="7" t="s">
        <v>5443</v>
      </c>
      <c r="B3786" s="5" t="s">
        <v>13404</v>
      </c>
      <c r="C3786" s="5" t="s">
        <v>21199</v>
      </c>
      <c r="D3786" s="5" t="str">
        <v>771517689488</v>
      </c>
      <c r="E3786" s="0" t="e">
        <f>+7 (487) 2391783
+7 (487) 2391949
+7 (487) 2396410
+7 (495) 6240621</f>
        <v>#NAME?</v>
      </c>
      <c r="F3786" s="5" t="s">
        <v>36700</v>
      </c>
      <c r="G3786" s="5" t="s">
        <v>36701</v>
      </c>
      <c r="H3786" s="26">
        <v>30</v>
      </c>
      <c r="I3786" s="5" t="s">
        <v>36702</v>
      </c>
      <c r="J3786" s="5" t="s">
        <v>467</v>
      </c>
      <c r="K3786" s="5" t="s">
        <v>355</v>
      </c>
      <c r="L3786" s="5"/>
      <c r="M3786" s="27">
        <v>230206254</v>
      </c>
      <c r="N3786" s="5" t="s">
        <v>55171</v>
      </c>
      <c r="O3786" s="5" t="str">
        <v>7701045732</v>
      </c>
      <c r="P3786" s="27">
        <v>39510170</v>
      </c>
      <c r="Q3786" s="5" t="s">
        <v>55172</v>
      </c>
      <c r="R3786" s="5" t="s">
        <v>53849</v>
      </c>
      <c r="S3786" s="5" t="s">
        <v>55173</v>
      </c>
      <c r="T3786" s="28">
        <v>475482000</v>
      </c>
      <c r="U3786" s="28">
        <v>351177000</v>
      </c>
      <c r="V3786" s="28">
        <v>1890468000</v>
      </c>
      <c r="W3786" s="28">
        <v>32388000</v>
      </c>
      <c r="X3786" s="28">
        <v>2669021000</v>
      </c>
      <c r="Y3786" s="28">
        <v>7455533000</v>
      </c>
      <c r="Z3786" s="28">
        <v>3151846000</v>
      </c>
      <c r="AA3786" s="28">
        <v>74047000</v>
      </c>
      <c r="AB3786" s="28">
        <v>151291000</v>
      </c>
      <c r="AC3786" s="28">
        <v>3790963000</v>
      </c>
      <c r="AD3786" s="28">
        <v>3199240000</v>
      </c>
      <c r="AE3786" s="28">
        <v>4813753000</v>
      </c>
      <c r="AF3786" s="28">
        <v>405355000</v>
      </c>
      <c r="AG3786" s="11"/>
    </row>
    <row r="3787">
      <c r="A3787" s="7" t="s">
        <v>5444</v>
      </c>
      <c r="B3787" s="5" t="s">
        <v>13405</v>
      </c>
      <c r="C3787" s="5" t="s">
        <v>21200</v>
      </c>
      <c r="D3787" s="5" t="str">
        <v>641353893948</v>
      </c>
      <c r="E3787" s="0" t="e">
        <f>+7 (910) 3408873
+7 (915) 2314231</f>
        <v>#NAME?</v>
      </c>
      <c r="F3787" s="5"/>
      <c r="G3787" s="5" t="s">
        <v>36703</v>
      </c>
      <c r="H3787" s="26">
        <v>6.5</v>
      </c>
      <c r="I3787" s="5" t="s">
        <v>36704</v>
      </c>
      <c r="J3787" s="5" t="s">
        <v>1081</v>
      </c>
      <c r="K3787" s="5" t="s">
        <v>344</v>
      </c>
      <c r="L3787" s="5" t="s">
        <v>36705</v>
      </c>
      <c r="M3787" s="27">
        <v>27946486</v>
      </c>
      <c r="N3787" s="5"/>
      <c r="O3787" s="5" t="str">
        <v>3666212758</v>
      </c>
      <c r="P3787" s="27">
        <v>110000</v>
      </c>
      <c r="Q3787" s="5" t="s">
        <v>49009</v>
      </c>
      <c r="R3787" s="5"/>
      <c r="S3787" s="5" t="s">
        <v>49010</v>
      </c>
      <c r="T3787" s="28">
        <v>88690000</v>
      </c>
      <c r="U3787" s="28"/>
      <c r="V3787" s="28">
        <v>3372124000</v>
      </c>
      <c r="W3787" s="28">
        <v>592500000</v>
      </c>
      <c r="X3787" s="28">
        <v>28586000</v>
      </c>
      <c r="Y3787" s="28">
        <v>4783818000</v>
      </c>
      <c r="Z3787" s="28">
        <v>959285000</v>
      </c>
      <c r="AA3787" s="28"/>
      <c r="AB3787" s="28">
        <v>1443244000</v>
      </c>
      <c r="AC3787" s="28">
        <v>3821421000</v>
      </c>
      <c r="AD3787" s="28">
        <v>959395000</v>
      </c>
      <c r="AE3787" s="28">
        <v>7372569000</v>
      </c>
      <c r="AF3787" s="28">
        <v>403003000</v>
      </c>
      <c r="AG3787" s="11"/>
    </row>
    <row r="3788">
      <c r="A3788" s="7" t="s">
        <v>5445</v>
      </c>
      <c r="B3788" s="5" t="s">
        <v>13406</v>
      </c>
      <c r="C3788" s="5" t="s">
        <v>21201</v>
      </c>
      <c r="D3788" s="5" t="str">
        <v>771507334133</v>
      </c>
      <c r="E3788" s="0" t="e">
        <f>+7 (495) 5179171
+7 (495) 1501533
+7 (495) 4523689
+7 (495) 5416370
+7 (495) 6999795
+7 (495) 2006144
+7 (495) 2771747
+7 (495) 5215979
+7 (495) 5328456
+7 (495) 5547161
+7 (495) 5549233
+7 (495) 5737506
+7 (495) 5995421
+7 (495) 7400389
+7 (495) 9848532</f>
        <v>#NAME?</v>
      </c>
      <c r="F3788" s="5" t="s">
        <v>36706</v>
      </c>
      <c r="G3788" s="5" t="s">
        <v>36707</v>
      </c>
      <c r="H3788" s="26">
        <v>30</v>
      </c>
      <c r="I3788" s="5"/>
      <c r="J3788" s="5" t="s">
        <v>36708</v>
      </c>
      <c r="K3788" s="5" t="s">
        <v>355</v>
      </c>
      <c r="L3788" s="5" t="s">
        <v>36709</v>
      </c>
      <c r="M3788" s="27">
        <v>245477059</v>
      </c>
      <c r="N3788" s="5" t="s">
        <v>55174</v>
      </c>
      <c r="O3788" s="5" t="str">
        <v>5047227020</v>
      </c>
      <c r="P3788" s="27">
        <v>21495315000</v>
      </c>
      <c r="Q3788" s="5" t="s">
        <v>55175</v>
      </c>
      <c r="R3788" s="5" t="s">
        <v>55176</v>
      </c>
      <c r="S3788" s="5" t="s">
        <v>55177</v>
      </c>
      <c r="T3788" s="28">
        <v>12758299000</v>
      </c>
      <c r="U3788" s="28">
        <v>15940000</v>
      </c>
      <c r="V3788" s="28">
        <v>2225525000</v>
      </c>
      <c r="W3788" s="28"/>
      <c r="X3788" s="28">
        <v>17276848000</v>
      </c>
      <c r="Y3788" s="28">
        <v>37402546000</v>
      </c>
      <c r="Z3788" s="28">
        <v>-12321482000</v>
      </c>
      <c r="AA3788" s="28"/>
      <c r="AB3788" s="28">
        <v>718000000</v>
      </c>
      <c r="AC3788" s="28">
        <v>8449054000</v>
      </c>
      <c r="AD3788" s="28">
        <v>9779841000</v>
      </c>
      <c r="AE3788" s="28">
        <v>22201868000</v>
      </c>
      <c r="AF3788" s="28">
        <v>13866000</v>
      </c>
      <c r="AG3788" s="11"/>
    </row>
    <row r="3789">
      <c r="A3789" s="7" t="s">
        <v>5446</v>
      </c>
      <c r="B3789" s="5" t="s">
        <v>11213</v>
      </c>
      <c r="C3789" s="5" t="s">
        <v>21202</v>
      </c>
      <c r="D3789" s="5"/>
      <c r="E3789" s="0" t="e">
        <f>+7 (495) 9571082
+7 (495) 9571293
+7 (495) 9571614
+7 (495) 9571628
+7 (495) 9571957
+7 (495) 9572191
+7 (495) 9572193
+7 (495) 9572391
+7 (495) 9572538
+7 (495) 9572576
+7 (495) 9572579
+7 (495) 9572581
+7 (495) 9572617
+7 (495) 9572632
+7 (495) 9572699</f>
        <v>#NAME?</v>
      </c>
      <c r="F3789" s="5" t="s">
        <v>36710</v>
      </c>
      <c r="G3789" s="5" t="s">
        <v>36711</v>
      </c>
      <c r="H3789" s="26">
        <v>30</v>
      </c>
      <c r="I3789" s="5"/>
      <c r="J3789" s="5" t="s">
        <v>25295</v>
      </c>
      <c r="K3789" s="5" t="s">
        <v>344</v>
      </c>
      <c r="L3789" s="5"/>
      <c r="M3789" s="27">
        <v>12431207</v>
      </c>
      <c r="N3789" s="5" t="s">
        <v>55178</v>
      </c>
      <c r="O3789" s="5" t="str">
        <v>7705035012</v>
      </c>
      <c r="P3789" s="27">
        <v>39749360000</v>
      </c>
      <c r="Q3789" s="5" t="s">
        <v>55179</v>
      </c>
      <c r="R3789" s="5"/>
      <c r="S3789" s="5" t="s">
        <v>51048</v>
      </c>
      <c r="T3789" s="28">
        <v>227255323000</v>
      </c>
      <c r="U3789" s="28">
        <v>39710672000</v>
      </c>
      <c r="V3789" s="28">
        <v>38471756000</v>
      </c>
      <c r="W3789" s="28">
        <v>39048583000</v>
      </c>
      <c r="X3789" s="28"/>
      <c r="Y3789" s="28">
        <v>379854835000</v>
      </c>
      <c r="Z3789" s="28">
        <v>225771225000</v>
      </c>
      <c r="AA3789" s="28"/>
      <c r="AB3789" s="28"/>
      <c r="AC3789" s="28">
        <v>23431180000</v>
      </c>
      <c r="AD3789" s="28">
        <v>321319257000</v>
      </c>
      <c r="AE3789" s="28">
        <v>226957448000</v>
      </c>
      <c r="AF3789" s="28">
        <v>20724061000</v>
      </c>
      <c r="AG3789" s="11"/>
    </row>
    <row r="3790">
      <c r="A3790" s="7" t="s">
        <v>5447</v>
      </c>
      <c r="B3790" s="5" t="s">
        <v>13407</v>
      </c>
      <c r="C3790" s="5" t="s">
        <v>21203</v>
      </c>
      <c r="D3790" s="5" t="str">
        <v>344402643468</v>
      </c>
      <c r="E3790" s="0" t="e">
        <f>+7 (485) 2211867
+7 (495) 1311735
+7 (495) 1462178
+7 (495) 1562000
+7 (495) 2154411
+7 (495) 2211727
+7 (495) 2241700
+7 (495) 2254525
+7 (495) 2542545
+7 (495) 2549685
+7 (494) 9819819
+7 (495) 1328400
+7 (495) 1328401
+7 (495) 1328655
+7 (495) 1981763</f>
        <v>#NAME?</v>
      </c>
      <c r="F3790" s="5" t="s">
        <v>36712</v>
      </c>
      <c r="G3790" s="5"/>
      <c r="H3790" s="26">
        <v>18</v>
      </c>
      <c r="I3790" s="5"/>
      <c r="J3790" s="5" t="s">
        <v>26623</v>
      </c>
      <c r="K3790" s="5" t="s">
        <v>380</v>
      </c>
      <c r="L3790" s="5" t="s">
        <v>36713</v>
      </c>
      <c r="M3790" s="27">
        <v>351799215</v>
      </c>
      <c r="N3790" s="5" t="s">
        <v>55180</v>
      </c>
      <c r="O3790" s="5" t="str">
        <v>7736520080</v>
      </c>
      <c r="P3790" s="27">
        <v>383004819</v>
      </c>
      <c r="Q3790" s="5" t="s">
        <v>55181</v>
      </c>
      <c r="R3790" s="5"/>
      <c r="S3790" s="5" t="s">
        <v>55182</v>
      </c>
      <c r="T3790" s="28">
        <v>13798523000</v>
      </c>
      <c r="U3790" s="28">
        <v>22635082000</v>
      </c>
      <c r="V3790" s="28">
        <v>28201683000</v>
      </c>
      <c r="W3790" s="28">
        <v>2660000</v>
      </c>
      <c r="X3790" s="28">
        <v>20434756000</v>
      </c>
      <c r="Y3790" s="28">
        <v>90277015000</v>
      </c>
      <c r="Z3790" s="28">
        <v>37294191000</v>
      </c>
      <c r="AA3790" s="28">
        <v>647826000</v>
      </c>
      <c r="AB3790" s="28">
        <v>124355000</v>
      </c>
      <c r="AC3790" s="28">
        <v>47815772000</v>
      </c>
      <c r="AD3790" s="28">
        <v>41688591000</v>
      </c>
      <c r="AE3790" s="28">
        <v>448119062000</v>
      </c>
      <c r="AF3790" s="28">
        <v>9959679000</v>
      </c>
      <c r="AG3790" s="11"/>
    </row>
    <row r="3791">
      <c r="A3791" s="7" t="s">
        <v>5448</v>
      </c>
      <c r="B3791" s="5" t="s">
        <v>13408</v>
      </c>
      <c r="C3791" s="5" t="s">
        <v>21204</v>
      </c>
      <c r="D3791" s="5" t="str">
        <v>672901816462</v>
      </c>
      <c r="E3791" s="0" t="e">
        <f>+7 (481) 2623538
+7 (495) 7339978</f>
        <v>#NAME?</v>
      </c>
      <c r="F3791" s="5"/>
      <c r="G3791" s="5" t="s">
        <v>36714</v>
      </c>
      <c r="H3791" s="26">
        <v>26</v>
      </c>
      <c r="I3791" s="5" t="s">
        <v>36715</v>
      </c>
      <c r="J3791" s="5" t="s">
        <v>678</v>
      </c>
      <c r="K3791" s="5" t="s">
        <v>344</v>
      </c>
      <c r="L3791" s="5"/>
      <c r="M3791" s="27">
        <v>30055148</v>
      </c>
      <c r="N3791" s="5"/>
      <c r="O3791" s="5" t="str">
        <v>6730028521</v>
      </c>
      <c r="P3791" s="27">
        <v>25000</v>
      </c>
      <c r="Q3791" s="5" t="s">
        <v>49009</v>
      </c>
      <c r="R3791" s="5"/>
      <c r="S3791" s="5" t="s">
        <v>49545</v>
      </c>
      <c r="T3791" s="28">
        <v>63061000</v>
      </c>
      <c r="U3791" s="28"/>
      <c r="V3791" s="28">
        <v>1074759000</v>
      </c>
      <c r="W3791" s="28">
        <v>43000000</v>
      </c>
      <c r="X3791" s="28">
        <v>35220000</v>
      </c>
      <c r="Y3791" s="28">
        <v>1980709000</v>
      </c>
      <c r="Z3791" s="28">
        <v>538545000</v>
      </c>
      <c r="AA3791" s="28"/>
      <c r="AB3791" s="28">
        <v>1000000000</v>
      </c>
      <c r="AC3791" s="28">
        <v>1404633000</v>
      </c>
      <c r="AD3791" s="28">
        <v>538570000</v>
      </c>
      <c r="AE3791" s="28">
        <v>4507751000</v>
      </c>
      <c r="AF3791" s="28">
        <v>485279000</v>
      </c>
      <c r="AG3791" s="11"/>
    </row>
    <row r="3792">
      <c r="A3792" s="7" t="s">
        <v>5449</v>
      </c>
      <c r="B3792" s="5" t="s">
        <v>13409</v>
      </c>
      <c r="C3792" s="5" t="s">
        <v>21205</v>
      </c>
      <c r="D3792" s="5" t="str">
        <v>772577052007</v>
      </c>
      <c r="E3792" s="0" t="e">
        <f>+7 (483) 9369180
+7 (495) 6414082
+7 (495) 7757760
+7 (495) 7818813</f>
        <v>#NAME?</v>
      </c>
      <c r="F3792" s="5" t="s">
        <v>36716</v>
      </c>
      <c r="G3792" s="5" t="s">
        <v>36717</v>
      </c>
      <c r="H3792" s="26">
        <v>14.5</v>
      </c>
      <c r="I3792" s="5" t="s">
        <v>36718</v>
      </c>
      <c r="J3792" s="5" t="s">
        <v>785</v>
      </c>
      <c r="K3792" s="5" t="s">
        <v>344</v>
      </c>
      <c r="L3792" s="5" t="s">
        <v>36719</v>
      </c>
      <c r="M3792" s="27"/>
      <c r="N3792" s="5" t="s">
        <v>55183</v>
      </c>
      <c r="O3792" s="5" t="str">
        <v>7731596504</v>
      </c>
      <c r="P3792" s="27">
        <v>15200000</v>
      </c>
      <c r="Q3792" s="5"/>
      <c r="R3792" s="5" t="s">
        <v>55184</v>
      </c>
      <c r="S3792" s="5" t="s">
        <v>49496</v>
      </c>
      <c r="T3792" s="28">
        <v>97474000</v>
      </c>
      <c r="U3792" s="28">
        <v>52039000</v>
      </c>
      <c r="V3792" s="28">
        <v>2737240000</v>
      </c>
      <c r="W3792" s="28"/>
      <c r="X3792" s="28">
        <v>2151608000</v>
      </c>
      <c r="Y3792" s="28">
        <v>5126016000</v>
      </c>
      <c r="Z3792" s="28">
        <v>1332402000</v>
      </c>
      <c r="AA3792" s="28"/>
      <c r="AB3792" s="28">
        <v>900000000</v>
      </c>
      <c r="AC3792" s="28">
        <v>3675334000</v>
      </c>
      <c r="AD3792" s="28">
        <v>1347602000</v>
      </c>
      <c r="AE3792" s="28">
        <v>8637388000</v>
      </c>
      <c r="AF3792" s="28">
        <v>-60278000</v>
      </c>
      <c r="AG3792" s="11"/>
    </row>
    <row r="3793">
      <c r="A3793" s="7" t="s">
        <v>5450</v>
      </c>
      <c r="B3793" s="5" t="s">
        <v>13410</v>
      </c>
      <c r="C3793" s="5" t="s">
        <v>21206</v>
      </c>
      <c r="D3793" s="5" t="str">
        <v>112104631483</v>
      </c>
      <c r="F3793" s="5"/>
      <c r="G3793" s="5"/>
      <c r="H3793" s="26">
        <v>4.5</v>
      </c>
      <c r="I3793" s="5" t="s">
        <v>36720</v>
      </c>
      <c r="J3793" s="5" t="s">
        <v>533</v>
      </c>
      <c r="K3793" s="5" t="s">
        <v>355</v>
      </c>
      <c r="L3793" s="5" t="s">
        <v>36721</v>
      </c>
      <c r="M3793" s="27">
        <v>605954</v>
      </c>
      <c r="N3793" s="5"/>
      <c r="O3793" s="5" t="str">
        <v>2631039349</v>
      </c>
      <c r="P3793" s="27">
        <v>10000</v>
      </c>
      <c r="Q3793" s="5" t="s">
        <v>55185</v>
      </c>
      <c r="R3793" s="5"/>
      <c r="S3793" s="5" t="s">
        <v>55186</v>
      </c>
      <c r="T3793" s="28">
        <v>8174025000</v>
      </c>
      <c r="U3793" s="28"/>
      <c r="V3793" s="28">
        <v>758122000</v>
      </c>
      <c r="W3793" s="28"/>
      <c r="X3793" s="28">
        <v>602000</v>
      </c>
      <c r="Y3793" s="28">
        <v>9611266000</v>
      </c>
      <c r="Z3793" s="28">
        <v>66575000</v>
      </c>
      <c r="AA3793" s="28">
        <v>7904000</v>
      </c>
      <c r="AB3793" s="28">
        <v>50200000</v>
      </c>
      <c r="AC3793" s="28">
        <v>855400000</v>
      </c>
      <c r="AD3793" s="28">
        <v>66585000</v>
      </c>
      <c r="AE3793" s="28">
        <v>4870241000</v>
      </c>
      <c r="AF3793" s="28">
        <v>47696000</v>
      </c>
      <c r="AG3793" s="11"/>
    </row>
    <row r="3794">
      <c r="A3794" s="7" t="s">
        <v>5451</v>
      </c>
      <c r="B3794" s="5" t="s">
        <v>13411</v>
      </c>
      <c r="C3794" s="5" t="s">
        <v>20942</v>
      </c>
      <c r="D3794" s="5"/>
      <c r="E3794" s="0" t="e">
        <f>+7 (495) 2800108
+7 (495) 2808101
+7 (495) 2808102
+7 (495) 2808106
+7 (495) 2808108
+7 (495) 2818108
+7 (495) 2848108
+7 (495) 5280810
+7 (495) 6628494
+7 (495) 7495280
+7 (495) 9560571
+7 (495) 9567937
+7 (872) 2996747</f>
        <v>#NAME?</v>
      </c>
      <c r="F3794" s="5" t="s">
        <v>36722</v>
      </c>
      <c r="G3794" s="5"/>
      <c r="H3794" s="26">
        <v>3</v>
      </c>
      <c r="I3794" s="5" t="s">
        <v>36723</v>
      </c>
      <c r="J3794" s="5" t="s">
        <v>25429</v>
      </c>
      <c r="K3794" s="5" t="s">
        <v>344</v>
      </c>
      <c r="L3794" s="5" t="s">
        <v>36724</v>
      </c>
      <c r="M3794" s="27"/>
      <c r="N3794" s="5" t="s">
        <v>55187</v>
      </c>
      <c r="O3794" s="5" t="str">
        <v>9701158070</v>
      </c>
      <c r="P3794" s="27">
        <v>10000</v>
      </c>
      <c r="Q3794" s="5" t="s">
        <v>55188</v>
      </c>
      <c r="R3794" s="5"/>
      <c r="S3794" s="5" t="s">
        <v>55189</v>
      </c>
      <c r="T3794" s="28">
        <v>12873000</v>
      </c>
      <c r="U3794" s="28"/>
      <c r="V3794" s="28">
        <v>37996000</v>
      </c>
      <c r="W3794" s="28"/>
      <c r="X3794" s="28">
        <v>14059000</v>
      </c>
      <c r="Y3794" s="28">
        <v>64965000</v>
      </c>
      <c r="Z3794" s="28">
        <v>44443000</v>
      </c>
      <c r="AA3794" s="28"/>
      <c r="AB3794" s="28"/>
      <c r="AC3794" s="28">
        <v>9762000</v>
      </c>
      <c r="AD3794" s="28">
        <v>44453000</v>
      </c>
      <c r="AE3794" s="28">
        <v>4269089000</v>
      </c>
      <c r="AF3794" s="28">
        <v>33698000</v>
      </c>
      <c r="AG3794" s="11"/>
    </row>
    <row r="3795">
      <c r="A3795" s="7" t="s">
        <v>5452</v>
      </c>
      <c r="B3795" s="5" t="s">
        <v>13412</v>
      </c>
      <c r="C3795" s="5" t="s">
        <v>21202</v>
      </c>
      <c r="D3795" s="5"/>
      <c r="E3795" s="0" t="e">
        <f>+7 (495) 5595902
+7 (495) 5595903
+7 (495) 5627845
+7 (495) 5627892
+7 (495) 5839590
+7 (495) 5864524
+7 (495) 3595901
+7 (495) 3785939
+7 (495) 5395302
+7 (495) 5395303
+7 (495) 5395906
+7 (495) 5395908
+7 (495) 5395959
+7 (495) 5879603
+7 (495) 5879700</f>
        <v>#NAME?</v>
      </c>
      <c r="F3795" s="5" t="s">
        <v>36725</v>
      </c>
      <c r="G3795" s="5" t="s">
        <v>36726</v>
      </c>
      <c r="H3795" s="26">
        <v>18</v>
      </c>
      <c r="I3795" s="5"/>
      <c r="J3795" s="5" t="s">
        <v>26435</v>
      </c>
      <c r="K3795" s="5" t="s">
        <v>355</v>
      </c>
      <c r="L3795" s="5"/>
      <c r="M3795" s="27">
        <v>570899007</v>
      </c>
      <c r="N3795" s="5" t="s">
        <v>55190</v>
      </c>
      <c r="O3795" s="5" t="str">
        <v>7720518494</v>
      </c>
      <c r="P3795" s="27">
        <v>25627131700</v>
      </c>
      <c r="Q3795" s="5" t="s">
        <v>55191</v>
      </c>
      <c r="R3795" s="5" t="s">
        <v>54460</v>
      </c>
      <c r="S3795" s="5" t="s">
        <v>55192</v>
      </c>
      <c r="T3795" s="28">
        <v>244515168000</v>
      </c>
      <c r="U3795" s="28">
        <v>1716951000</v>
      </c>
      <c r="V3795" s="28">
        <v>55638053000</v>
      </c>
      <c r="W3795" s="28">
        <v>11946908000</v>
      </c>
      <c r="X3795" s="28">
        <v>64052000</v>
      </c>
      <c r="Y3795" s="28">
        <v>322669541000</v>
      </c>
      <c r="Z3795" s="28">
        <v>56548087000</v>
      </c>
      <c r="AA3795" s="28">
        <v>10881453000</v>
      </c>
      <c r="AB3795" s="28">
        <v>15387631000</v>
      </c>
      <c r="AC3795" s="28">
        <v>106345427000</v>
      </c>
      <c r="AD3795" s="28">
        <v>178865254000</v>
      </c>
      <c r="AE3795" s="28">
        <v>182155737000</v>
      </c>
      <c r="AF3795" s="28">
        <v>8432970000</v>
      </c>
      <c r="AG3795" s="11"/>
    </row>
    <row r="3796">
      <c r="A3796" s="7" t="s">
        <v>5453</v>
      </c>
      <c r="B3796" s="5" t="s">
        <v>13413</v>
      </c>
      <c r="C3796" s="5" t="s">
        <v>21207</v>
      </c>
      <c r="D3796" s="5" t="str">
        <v>770870297781</v>
      </c>
      <c r="E3796" s="0" t="e">
        <f>+7 (495) 6380401
+7 (495) 6380406
+7 (495) 6380408
+7 (495) 6380410
+7 (495) 6797315
+7 (495) 6797368
+7 (499) 2640604
+7 (499) 2641612
+7 (499) 2641647
+7 (499) 2641783
+7 (499) 2644335
+7 (499) 2644395
+7 (499) 2644422
+7 (499) 2644859
+7 (499) 2644860</f>
        <v>#NAME?</v>
      </c>
      <c r="F3796" s="5" t="s">
        <v>36727</v>
      </c>
      <c r="G3796" s="5" t="s">
        <v>36728</v>
      </c>
      <c r="H3796" s="26">
        <v>15</v>
      </c>
      <c r="I3796" s="5"/>
      <c r="J3796" s="5" t="s">
        <v>999</v>
      </c>
      <c r="K3796" s="5" t="s">
        <v>344</v>
      </c>
      <c r="L3796" s="5" t="s">
        <v>34115</v>
      </c>
      <c r="M3796" s="27">
        <v>101686830</v>
      </c>
      <c r="N3796" s="5" t="s">
        <v>55193</v>
      </c>
      <c r="O3796" s="5" t="str">
        <v>7708659347</v>
      </c>
      <c r="P3796" s="27">
        <v>2129351195</v>
      </c>
      <c r="Q3796" s="5" t="s">
        <v>55194</v>
      </c>
      <c r="R3796" s="5"/>
      <c r="S3796" s="5" t="s">
        <v>55195</v>
      </c>
      <c r="T3796" s="28">
        <v>1301893000</v>
      </c>
      <c r="U3796" s="28"/>
      <c r="V3796" s="28">
        <v>1828850000</v>
      </c>
      <c r="W3796" s="28"/>
      <c r="X3796" s="28">
        <v>145605000</v>
      </c>
      <c r="Y3796" s="28">
        <v>5301463000</v>
      </c>
      <c r="Z3796" s="28">
        <v>-42489000</v>
      </c>
      <c r="AA3796" s="28"/>
      <c r="AB3796" s="28">
        <v>651714000</v>
      </c>
      <c r="AC3796" s="28">
        <v>2828896000</v>
      </c>
      <c r="AD3796" s="28">
        <v>2209835000</v>
      </c>
      <c r="AE3796" s="28">
        <v>3026677000</v>
      </c>
      <c r="AF3796" s="28">
        <v>44662000</v>
      </c>
      <c r="AG3796" s="11"/>
    </row>
    <row r="3797">
      <c r="A3797" s="7" t="s">
        <v>5454</v>
      </c>
      <c r="B3797" s="5" t="s">
        <v>13414</v>
      </c>
      <c r="C3797" s="5" t="s">
        <v>21208</v>
      </c>
      <c r="D3797" s="5" t="str">
        <v>667010463301</v>
      </c>
      <c r="E3797" s="0" t="e">
        <f>+7 (495) 7981536
+7 (495) 9724541
+7 (499) 7040235</f>
        <v>#NAME?</v>
      </c>
      <c r="F3797" s="5" t="s">
        <v>36729</v>
      </c>
      <c r="G3797" s="5" t="s">
        <v>36730</v>
      </c>
      <c r="H3797" s="26">
        <v>14.5</v>
      </c>
      <c r="I3797" s="5" t="s">
        <v>36731</v>
      </c>
      <c r="J3797" s="5" t="s">
        <v>1026</v>
      </c>
      <c r="K3797" s="5" t="s">
        <v>344</v>
      </c>
      <c r="L3797" s="5" t="s">
        <v>36732</v>
      </c>
      <c r="M3797" s="27">
        <v>3076323</v>
      </c>
      <c r="N3797" s="5" t="s">
        <v>55196</v>
      </c>
      <c r="O3797" s="5" t="str">
        <v>7718726183</v>
      </c>
      <c r="P3797" s="27">
        <v>2050000</v>
      </c>
      <c r="Q3797" s="5" t="s">
        <v>55197</v>
      </c>
      <c r="R3797" s="5"/>
      <c r="S3797" s="5" t="s">
        <v>55198</v>
      </c>
      <c r="T3797" s="28">
        <v>58287000</v>
      </c>
      <c r="U3797" s="28"/>
      <c r="V3797" s="28">
        <v>2596926000</v>
      </c>
      <c r="W3797" s="28"/>
      <c r="X3797" s="28">
        <v>120148000</v>
      </c>
      <c r="Y3797" s="28">
        <v>3051698000</v>
      </c>
      <c r="Z3797" s="28">
        <v>180123000</v>
      </c>
      <c r="AA3797" s="28"/>
      <c r="AB3797" s="28">
        <v>45715000</v>
      </c>
      <c r="AC3797" s="28">
        <v>2793315000</v>
      </c>
      <c r="AD3797" s="28">
        <v>182173000</v>
      </c>
      <c r="AE3797" s="28">
        <v>10369904000</v>
      </c>
      <c r="AF3797" s="28">
        <v>130927000</v>
      </c>
      <c r="AG3797" s="11"/>
    </row>
    <row r="3798">
      <c r="A3798" s="7" t="s">
        <v>5455</v>
      </c>
      <c r="B3798" s="5" t="s">
        <v>13415</v>
      </c>
      <c r="C3798" s="5" t="s">
        <v>21209</v>
      </c>
      <c r="D3798" s="5" t="str">
        <v>143500835509</v>
      </c>
      <c r="E3798" s="0" t="e">
        <f>+7 (472) 2300244
+7 (472) 2586610
+7 (472) 2586646
+7 (472) 2586913</f>
        <v>#NAME?</v>
      </c>
      <c r="F3798" s="5" t="s">
        <v>36733</v>
      </c>
      <c r="G3798" s="5"/>
      <c r="H3798" s="26">
        <v>14.5</v>
      </c>
      <c r="I3798" s="5" t="s">
        <v>36734</v>
      </c>
      <c r="J3798" s="5" t="s">
        <v>26128</v>
      </c>
      <c r="K3798" s="5" t="s">
        <v>344</v>
      </c>
      <c r="L3798" s="5" t="s">
        <v>27417</v>
      </c>
      <c r="M3798" s="27"/>
      <c r="N3798" s="5" t="s">
        <v>55199</v>
      </c>
      <c r="O3798" s="5" t="str">
        <v>3123183960</v>
      </c>
      <c r="P3798" s="27">
        <v>10000</v>
      </c>
      <c r="Q3798" s="5" t="s">
        <v>49009</v>
      </c>
      <c r="R3798" s="5"/>
      <c r="S3798" s="5" t="s">
        <v>49576</v>
      </c>
      <c r="T3798" s="28">
        <v>2861373000</v>
      </c>
      <c r="U3798" s="28">
        <v>3442000</v>
      </c>
      <c r="V3798" s="28">
        <v>424178000</v>
      </c>
      <c r="W3798" s="28">
        <v>8061000</v>
      </c>
      <c r="X3798" s="28">
        <v>98282000</v>
      </c>
      <c r="Y3798" s="28">
        <v>4205015000</v>
      </c>
      <c r="Z3798" s="28">
        <v>572104000</v>
      </c>
      <c r="AA3798" s="28">
        <v>1644426000</v>
      </c>
      <c r="AB3798" s="28">
        <v>35904000</v>
      </c>
      <c r="AC3798" s="28">
        <v>1149630000</v>
      </c>
      <c r="AD3798" s="28">
        <v>572114000</v>
      </c>
      <c r="AE3798" s="28">
        <v>23110066000</v>
      </c>
      <c r="AF3798" s="28">
        <v>23143000</v>
      </c>
      <c r="AG3798" s="11"/>
    </row>
    <row r="3799">
      <c r="A3799" s="7" t="s">
        <v>5456</v>
      </c>
      <c r="B3799" s="5" t="s">
        <v>13416</v>
      </c>
      <c r="C3799" s="5" t="s">
        <v>21210</v>
      </c>
      <c r="D3799" s="5" t="str">
        <v>502411089010</v>
      </c>
      <c r="E3799" s="0" t="e">
        <f>+7 (495) 7752204
+7 (495) 7752208
+7 (915) 3563496
+7 (495) 1910607
+7 (495) 7752207
+7 (906) 746481
+7 (926) 7110712</f>
        <v>#NAME?</v>
      </c>
      <c r="F3799" s="5" t="s">
        <v>36735</v>
      </c>
      <c r="G3799" s="5" t="s">
        <v>36736</v>
      </c>
      <c r="H3799" s="26">
        <v>11</v>
      </c>
      <c r="I3799" s="5" t="s">
        <v>36737</v>
      </c>
      <c r="J3799" s="5" t="s">
        <v>28964</v>
      </c>
      <c r="K3799" s="5" t="s">
        <v>344</v>
      </c>
      <c r="L3799" s="5" t="s">
        <v>36738</v>
      </c>
      <c r="M3799" s="27"/>
      <c r="N3799" s="5"/>
      <c r="O3799" s="5" t="str">
        <v>7704803039</v>
      </c>
      <c r="P3799" s="27">
        <v>100000</v>
      </c>
      <c r="Q3799" s="5"/>
      <c r="R3799" s="5"/>
      <c r="S3799" s="5" t="s">
        <v>49029</v>
      </c>
      <c r="T3799" s="28">
        <v>523909000</v>
      </c>
      <c r="U3799" s="28"/>
      <c r="V3799" s="28">
        <v>66900000</v>
      </c>
      <c r="W3799" s="28"/>
      <c r="X3799" s="28">
        <v>451171000</v>
      </c>
      <c r="Y3799" s="28">
        <v>1383031000</v>
      </c>
      <c r="Z3799" s="28">
        <v>479092000</v>
      </c>
      <c r="AA3799" s="28">
        <v>150000000</v>
      </c>
      <c r="AB3799" s="28"/>
      <c r="AC3799" s="28">
        <v>157186000</v>
      </c>
      <c r="AD3799" s="28">
        <v>479192000</v>
      </c>
      <c r="AE3799" s="28">
        <v>4012854000</v>
      </c>
      <c r="AF3799" s="28">
        <v>354999000</v>
      </c>
      <c r="AG3799" s="11"/>
    </row>
    <row r="3800">
      <c r="A3800" s="7" t="s">
        <v>5457</v>
      </c>
      <c r="B3800" s="5" t="s">
        <v>13417</v>
      </c>
      <c r="C3800" s="5" t="s">
        <v>21211</v>
      </c>
      <c r="D3800" s="5" t="str">
        <v>550723104825</v>
      </c>
      <c r="E3800" s="0" t="e">
        <f>+7 (495) 9419262
+7 (495) 9419263
+7 (495) 9419264</f>
        <v>#NAME?</v>
      </c>
      <c r="F3800" s="5"/>
      <c r="G3800" s="5"/>
      <c r="H3800" s="26">
        <v>14.5</v>
      </c>
      <c r="I3800" s="5" t="s">
        <v>36739</v>
      </c>
      <c r="J3800" s="5" t="s">
        <v>25788</v>
      </c>
      <c r="K3800" s="5" t="s">
        <v>344</v>
      </c>
      <c r="L3800" s="5"/>
      <c r="M3800" s="27"/>
      <c r="N3800" s="5"/>
      <c r="O3800" s="5" t="str">
        <v>7724663372</v>
      </c>
      <c r="P3800" s="27">
        <v>200000</v>
      </c>
      <c r="Q3800" s="5"/>
      <c r="R3800" s="5"/>
      <c r="S3800" s="5" t="s">
        <v>49029</v>
      </c>
      <c r="T3800" s="28">
        <v>173092000</v>
      </c>
      <c r="U3800" s="28"/>
      <c r="V3800" s="28">
        <v>571694000</v>
      </c>
      <c r="W3800" s="28">
        <v>102400000</v>
      </c>
      <c r="X3800" s="28">
        <v>275000</v>
      </c>
      <c r="Y3800" s="28">
        <v>1353089000</v>
      </c>
      <c r="Z3800" s="28">
        <v>740939000</v>
      </c>
      <c r="AA3800" s="28"/>
      <c r="AB3800" s="28">
        <v>84116000</v>
      </c>
      <c r="AC3800" s="28">
        <v>579331000</v>
      </c>
      <c r="AD3800" s="28">
        <v>761814000</v>
      </c>
      <c r="AE3800" s="28">
        <v>3107638000</v>
      </c>
      <c r="AF3800" s="28">
        <v>79211000</v>
      </c>
      <c r="AG3800" s="11"/>
    </row>
    <row r="3801">
      <c r="A3801" s="7" t="s">
        <v>5458</v>
      </c>
      <c r="B3801" s="5" t="s">
        <v>13418</v>
      </c>
      <c r="C3801" s="5" t="s">
        <v>21212</v>
      </c>
      <c r="D3801" s="5" t="str">
        <v>770406427630</v>
      </c>
      <c r="E3801" s="0" t="e">
        <f>+7 (903) 7940156
+7 (495) 4113341
+7 (495) 5141123
+7 (929) 9305497</f>
        <v>#NAME?</v>
      </c>
      <c r="F3801" s="5" t="s">
        <v>36740</v>
      </c>
      <c r="G3801" s="5" t="s">
        <v>36741</v>
      </c>
      <c r="H3801" s="26">
        <v>6</v>
      </c>
      <c r="I3801" s="5" t="s">
        <v>36742</v>
      </c>
      <c r="J3801" s="5" t="s">
        <v>25788</v>
      </c>
      <c r="K3801" s="5" t="s">
        <v>344</v>
      </c>
      <c r="L3801" s="5" t="s">
        <v>36743</v>
      </c>
      <c r="M3801" s="27">
        <v>2162400</v>
      </c>
      <c r="N3801" s="5" t="s">
        <v>55201</v>
      </c>
      <c r="O3801" s="5" t="str">
        <v>5032277244</v>
      </c>
      <c r="P3801" s="27">
        <v>120000</v>
      </c>
      <c r="Q3801" s="5" t="s">
        <v>49009</v>
      </c>
      <c r="R3801" s="5"/>
      <c r="S3801" s="5" t="s">
        <v>49576</v>
      </c>
      <c r="T3801" s="28">
        <v>1052412000</v>
      </c>
      <c r="U3801" s="28"/>
      <c r="V3801" s="28">
        <v>1089938000</v>
      </c>
      <c r="W3801" s="28"/>
      <c r="X3801" s="28">
        <v>142159000</v>
      </c>
      <c r="Y3801" s="28">
        <v>3317911000</v>
      </c>
      <c r="Z3801" s="28">
        <v>1003339000</v>
      </c>
      <c r="AA3801" s="28"/>
      <c r="AB3801" s="28"/>
      <c r="AC3801" s="28">
        <v>2092679000</v>
      </c>
      <c r="AD3801" s="28">
        <v>1003459000</v>
      </c>
      <c r="AE3801" s="28">
        <v>12029691000</v>
      </c>
      <c r="AF3801" s="28">
        <v>204179000</v>
      </c>
      <c r="AG3801" s="11"/>
    </row>
    <row r="3802">
      <c r="A3802" s="7" t="s">
        <v>5459</v>
      </c>
      <c r="B3802" s="5" t="s">
        <v>13419</v>
      </c>
      <c r="C3802" s="5" t="s">
        <v>21212</v>
      </c>
      <c r="D3802" s="5" t="str">
        <v>770406427630</v>
      </c>
      <c r="E3802" s="0" t="e">
        <f>+7 (495) 4485415
+7 (495) 4483256
+7 (495) 4485239
+7 (495) 6478800
+7 (495) 7866441</f>
        <v>#NAME?</v>
      </c>
      <c r="F3802" s="5" t="s">
        <v>36744</v>
      </c>
      <c r="G3802" s="5" t="s">
        <v>36745</v>
      </c>
      <c r="H3802" s="26">
        <v>22</v>
      </c>
      <c r="I3802" s="5" t="s">
        <v>36746</v>
      </c>
      <c r="J3802" s="5" t="s">
        <v>25788</v>
      </c>
      <c r="K3802" s="5" t="s">
        <v>344</v>
      </c>
      <c r="L3802" s="5"/>
      <c r="M3802" s="27"/>
      <c r="N3802" s="5"/>
      <c r="O3802" s="5" t="str">
        <v>7731176387</v>
      </c>
      <c r="P3802" s="27">
        <v>280000</v>
      </c>
      <c r="Q3802" s="5" t="s">
        <v>49009</v>
      </c>
      <c r="R3802" s="5"/>
      <c r="S3802" s="5" t="s">
        <v>49066</v>
      </c>
      <c r="T3802" s="28">
        <v>253422000</v>
      </c>
      <c r="U3802" s="28">
        <v>197378000</v>
      </c>
      <c r="V3802" s="28">
        <v>236639000</v>
      </c>
      <c r="W3802" s="28">
        <v>60500000</v>
      </c>
      <c r="X3802" s="28">
        <v>282000</v>
      </c>
      <c r="Y3802" s="28">
        <v>1105418000</v>
      </c>
      <c r="Z3802" s="28">
        <v>638837000</v>
      </c>
      <c r="AA3802" s="28"/>
      <c r="AB3802" s="28">
        <v>53935000</v>
      </c>
      <c r="AC3802" s="28">
        <v>383879000</v>
      </c>
      <c r="AD3802" s="28">
        <v>721228000</v>
      </c>
      <c r="AE3802" s="28">
        <v>3241966000</v>
      </c>
      <c r="AF3802" s="28">
        <v>131277000</v>
      </c>
      <c r="AG3802" s="11"/>
    </row>
    <row r="3803">
      <c r="A3803" s="7" t="s">
        <v>5460</v>
      </c>
      <c r="B3803" s="5" t="s">
        <v>13420</v>
      </c>
      <c r="C3803" s="5" t="s">
        <v>21213</v>
      </c>
      <c r="D3803" s="5" t="str">
        <v>710702660324</v>
      </c>
      <c r="E3803" s="0" t="e">
        <f>+7 (487) 2467060
+7 (487) 2467430
+7 (487) 2707430
+7 (487) 2707431</f>
        <v>#NAME?</v>
      </c>
      <c r="F3803" s="5" t="s">
        <v>36747</v>
      </c>
      <c r="G3803" s="5"/>
      <c r="H3803" s="26">
        <v>15</v>
      </c>
      <c r="I3803" s="5" t="s">
        <v>36748</v>
      </c>
      <c r="J3803" s="5" t="s">
        <v>31212</v>
      </c>
      <c r="K3803" s="5" t="s">
        <v>344</v>
      </c>
      <c r="L3803" s="5" t="s">
        <v>36749</v>
      </c>
      <c r="M3803" s="27">
        <v>1901319</v>
      </c>
      <c r="N3803" s="5" t="s">
        <v>55203</v>
      </c>
      <c r="O3803" s="5" t="str">
        <v>7105501455</v>
      </c>
      <c r="P3803" s="27">
        <v>288497400</v>
      </c>
      <c r="Q3803" s="5" t="s">
        <v>55204</v>
      </c>
      <c r="R3803" s="5"/>
      <c r="S3803" s="5" t="s">
        <v>55205</v>
      </c>
      <c r="T3803" s="28">
        <v>744810000</v>
      </c>
      <c r="U3803" s="28">
        <v>2872000</v>
      </c>
      <c r="V3803" s="28">
        <v>449290000</v>
      </c>
      <c r="W3803" s="28">
        <v>2163000</v>
      </c>
      <c r="X3803" s="28">
        <v>22467000</v>
      </c>
      <c r="Y3803" s="28">
        <v>2531355000</v>
      </c>
      <c r="Z3803" s="28">
        <v>577951000</v>
      </c>
      <c r="AA3803" s="28">
        <v>28745000</v>
      </c>
      <c r="AB3803" s="28">
        <v>329756000</v>
      </c>
      <c r="AC3803" s="28">
        <v>1104978000</v>
      </c>
      <c r="AD3803" s="28">
        <v>1343007000</v>
      </c>
      <c r="AE3803" s="28">
        <v>6181202000</v>
      </c>
      <c r="AF3803" s="28">
        <v>361193000</v>
      </c>
      <c r="AG3803" s="11"/>
    </row>
    <row r="3804">
      <c r="A3804" s="7" t="s">
        <v>5460</v>
      </c>
      <c r="B3804" s="5" t="s">
        <v>13421</v>
      </c>
      <c r="C3804" s="5" t="s">
        <v>21214</v>
      </c>
      <c r="D3804" s="5" t="str">
        <v>732803085645</v>
      </c>
      <c r="E3804" s="0" t="e">
        <f>+7 (8422) 214399
+7 (8422) 277727
+7 (8422) 370560
+7 (8422) 370561
+7 (8422) 370562
+7 (8422) 370563
+7 (8422) 370564
+7 (8422) 370568</f>
        <v>#NAME?</v>
      </c>
      <c r="F3804" s="5" t="s">
        <v>36750</v>
      </c>
      <c r="G3804" s="5" t="s">
        <v>36751</v>
      </c>
      <c r="H3804" s="26">
        <v>12.5</v>
      </c>
      <c r="I3804" s="5" t="s">
        <v>36752</v>
      </c>
      <c r="J3804" s="5" t="s">
        <v>30277</v>
      </c>
      <c r="K3804" s="5" t="s">
        <v>344</v>
      </c>
      <c r="L3804" s="5" t="s">
        <v>36753</v>
      </c>
      <c r="M3804" s="27"/>
      <c r="N3804" s="5"/>
      <c r="O3804" s="5" t="str">
        <v>7328059946</v>
      </c>
      <c r="P3804" s="27">
        <v>10000</v>
      </c>
      <c r="Q3804" s="5" t="s">
        <v>49009</v>
      </c>
      <c r="R3804" s="5"/>
      <c r="S3804" s="5" t="s">
        <v>49045</v>
      </c>
      <c r="T3804" s="28">
        <v>736135000</v>
      </c>
      <c r="U3804" s="28"/>
      <c r="V3804" s="28">
        <v>384443000</v>
      </c>
      <c r="W3804" s="28"/>
      <c r="X3804" s="28">
        <v>2019000</v>
      </c>
      <c r="Y3804" s="28">
        <v>1985493000</v>
      </c>
      <c r="Z3804" s="28">
        <v>604285000</v>
      </c>
      <c r="AA3804" s="28">
        <v>546492000</v>
      </c>
      <c r="AB3804" s="28">
        <v>1514000</v>
      </c>
      <c r="AC3804" s="28">
        <v>800402000</v>
      </c>
      <c r="AD3804" s="28">
        <v>604295000</v>
      </c>
      <c r="AE3804" s="28">
        <v>5457810000</v>
      </c>
      <c r="AF3804" s="28">
        <v>265638000</v>
      </c>
      <c r="AG3804" s="11"/>
    </row>
    <row r="3805">
      <c r="A3805" s="7" t="s">
        <v>5461</v>
      </c>
      <c r="B3805" s="5" t="s">
        <v>13422</v>
      </c>
      <c r="C3805" s="5" t="s">
        <v>21215</v>
      </c>
      <c r="D3805" s="5" t="str">
        <v>511600459983</v>
      </c>
      <c r="E3805" s="0" t="e">
        <f>+7 (812) 3094269
+7 (812) 6400863</f>
        <v>#NAME?</v>
      </c>
      <c r="F3805" s="5" t="s">
        <v>36754</v>
      </c>
      <c r="G3805" s="5" t="s">
        <v>36755</v>
      </c>
      <c r="H3805" s="26">
        <v>17</v>
      </c>
      <c r="I3805" s="5" t="s">
        <v>36756</v>
      </c>
      <c r="J3805" s="5" t="s">
        <v>28577</v>
      </c>
      <c r="K3805" s="5" t="s">
        <v>344</v>
      </c>
      <c r="L3805" s="5" t="s">
        <v>36757</v>
      </c>
      <c r="M3805" s="27"/>
      <c r="N3805" s="5"/>
      <c r="O3805" s="5" t="str">
        <v>7804326044</v>
      </c>
      <c r="P3805" s="27">
        <v>10000</v>
      </c>
      <c r="Q3805" s="5" t="s">
        <v>55206</v>
      </c>
      <c r="R3805" s="5"/>
      <c r="S3805" s="5" t="s">
        <v>49053</v>
      </c>
      <c r="T3805" s="28">
        <v>116011000</v>
      </c>
      <c r="U3805" s="28"/>
      <c r="V3805" s="28">
        <v>1691258000</v>
      </c>
      <c r="W3805" s="28">
        <v>56510000</v>
      </c>
      <c r="X3805" s="28">
        <v>1022422000</v>
      </c>
      <c r="Y3805" s="28">
        <v>3125896000</v>
      </c>
      <c r="Z3805" s="28">
        <v>1267456000</v>
      </c>
      <c r="AA3805" s="28"/>
      <c r="AB3805" s="28">
        <v>13000</v>
      </c>
      <c r="AC3805" s="28">
        <v>1856410000</v>
      </c>
      <c r="AD3805" s="28">
        <v>1267466000</v>
      </c>
      <c r="AE3805" s="28">
        <v>5751465000</v>
      </c>
      <c r="AF3805" s="28">
        <v>1618472000</v>
      </c>
      <c r="AG3805" s="11"/>
    </row>
    <row r="3806">
      <c r="A3806" s="7" t="s">
        <v>5462</v>
      </c>
      <c r="B3806" s="5" t="s">
        <v>13423</v>
      </c>
      <c r="C3806" s="5" t="s">
        <v>21216</v>
      </c>
      <c r="D3806" s="5" t="str">
        <v>130300015320</v>
      </c>
      <c r="E3806" s="0" t="e">
        <f>+7 (8342) 291562
+7 (8342) 292796
+7 (8342) 293701
+7 (83434) 21211
+7 (83434) 22130
+7 (83434) 22140
+7 (83434) 23118
+7 (83434) 23130
+7 (83434) 23131
+7 (83456) 20123
+7 (909) 3249693
+7 (960) 3367103</f>
        <v>#NAME?</v>
      </c>
      <c r="F3806" s="5" t="s">
        <v>36758</v>
      </c>
      <c r="G3806" s="5" t="s">
        <v>36759</v>
      </c>
      <c r="H3806" s="26">
        <v>23.5</v>
      </c>
      <c r="I3806" s="5" t="s">
        <v>36760</v>
      </c>
      <c r="J3806" s="5" t="s">
        <v>27464</v>
      </c>
      <c r="K3806" s="5" t="s">
        <v>344</v>
      </c>
      <c r="L3806" s="5" t="s">
        <v>36761</v>
      </c>
      <c r="M3806" s="27"/>
      <c r="N3806" s="5"/>
      <c r="O3806" s="5" t="str">
        <v>1303066789</v>
      </c>
      <c r="P3806" s="27">
        <v>7183000</v>
      </c>
      <c r="Q3806" s="5" t="s">
        <v>49009</v>
      </c>
      <c r="R3806" s="5"/>
      <c r="S3806" s="5" t="s">
        <v>49576</v>
      </c>
      <c r="T3806" s="28">
        <v>6342075000</v>
      </c>
      <c r="U3806" s="28"/>
      <c r="V3806" s="28">
        <v>3101216000</v>
      </c>
      <c r="W3806" s="28">
        <v>5544000</v>
      </c>
      <c r="X3806" s="28">
        <v>3091590000</v>
      </c>
      <c r="Y3806" s="28">
        <v>15689244000</v>
      </c>
      <c r="Z3806" s="28">
        <v>2232442000</v>
      </c>
      <c r="AA3806" s="28">
        <v>2116695000</v>
      </c>
      <c r="AB3806" s="28">
        <v>1452001000</v>
      </c>
      <c r="AC3806" s="28">
        <v>11215508000</v>
      </c>
      <c r="AD3806" s="28">
        <v>2244945000</v>
      </c>
      <c r="AE3806" s="28">
        <v>41230680000</v>
      </c>
      <c r="AF3806" s="28">
        <v>1018628000</v>
      </c>
      <c r="AG3806" s="11"/>
    </row>
    <row r="3807">
      <c r="A3807" s="7" t="s">
        <v>5463</v>
      </c>
      <c r="B3807" s="5" t="s">
        <v>13424</v>
      </c>
      <c r="C3807" s="5" t="s">
        <v>21217</v>
      </c>
      <c r="D3807" s="5" t="str">
        <v>781141305310</v>
      </c>
      <c r="E3807" s="0" t="e">
        <f>+7 (812) 4045480
+7 (812) 4045481
+7 (812) 3465481
+7 (812) 4045483
+7 (812) 5019483
+7 (812) 8813610
+7 (81361) 48513</f>
        <v>#NAME?</v>
      </c>
      <c r="F3807" s="5" t="s">
        <v>36762</v>
      </c>
      <c r="G3807" s="5"/>
      <c r="H3807" s="26">
        <v>19</v>
      </c>
      <c r="I3807" s="5" t="s">
        <v>36763</v>
      </c>
      <c r="J3807" s="5" t="s">
        <v>28964</v>
      </c>
      <c r="K3807" s="5" t="s">
        <v>344</v>
      </c>
      <c r="L3807" s="5" t="s">
        <v>36764</v>
      </c>
      <c r="M3807" s="27"/>
      <c r="N3807" s="5"/>
      <c r="O3807" s="5" t="str">
        <v>4716020534</v>
      </c>
      <c r="P3807" s="27">
        <v>120000</v>
      </c>
      <c r="Q3807" s="5" t="s">
        <v>49324</v>
      </c>
      <c r="R3807" s="5" t="s">
        <v>55208</v>
      </c>
      <c r="S3807" s="5" t="s">
        <v>50562</v>
      </c>
      <c r="T3807" s="28">
        <v>247990000</v>
      </c>
      <c r="U3807" s="28"/>
      <c r="V3807" s="28">
        <v>312789000</v>
      </c>
      <c r="W3807" s="28"/>
      <c r="X3807" s="28">
        <v>31056000</v>
      </c>
      <c r="Y3807" s="28">
        <v>723460000</v>
      </c>
      <c r="Z3807" s="28">
        <v>289960000</v>
      </c>
      <c r="AA3807" s="28"/>
      <c r="AB3807" s="28">
        <v>305200000</v>
      </c>
      <c r="AC3807" s="28">
        <v>388867000</v>
      </c>
      <c r="AD3807" s="28">
        <v>328990000</v>
      </c>
      <c r="AE3807" s="28">
        <v>5443637000</v>
      </c>
      <c r="AF3807" s="28">
        <v>26250000</v>
      </c>
      <c r="AG3807" s="11"/>
    </row>
    <row r="3808">
      <c r="A3808" s="7" t="s">
        <v>5464</v>
      </c>
      <c r="B3808" s="5" t="s">
        <v>13425</v>
      </c>
      <c r="C3808" s="5" t="s">
        <v>21218</v>
      </c>
      <c r="D3808" s="5" t="str">
        <v>780414209800</v>
      </c>
      <c r="E3808" s="0" t="e">
        <f>+7 (495) 6441678
+7 (495) 1145434
+7 (495) 1145435
+7 (495) 6441679
+7 (495) 6601609
+7 (495) 7785433
+7 (495) 7885433
+7 (495) 9158483</f>
        <v>#NAME?</v>
      </c>
      <c r="F3808" s="5" t="s">
        <v>36765</v>
      </c>
      <c r="G3808" s="5" t="s">
        <v>36766</v>
      </c>
      <c r="H3808" s="26">
        <v>15.5</v>
      </c>
      <c r="I3808" s="5"/>
      <c r="J3808" s="5" t="s">
        <v>26962</v>
      </c>
      <c r="K3808" s="5" t="s">
        <v>344</v>
      </c>
      <c r="L3808" s="5" t="s">
        <v>36767</v>
      </c>
      <c r="M3808" s="27"/>
      <c r="N3808" s="5"/>
      <c r="O3808" s="5" t="str">
        <v>5029104266</v>
      </c>
      <c r="P3808" s="27">
        <v>423700000</v>
      </c>
      <c r="Q3808" s="5" t="s">
        <v>49009</v>
      </c>
      <c r="R3808" s="5"/>
      <c r="S3808" s="5" t="s">
        <v>49066</v>
      </c>
      <c r="T3808" s="28">
        <v>15380077000</v>
      </c>
      <c r="U3808" s="28">
        <v>166867000</v>
      </c>
      <c r="V3808" s="28">
        <v>5884530000</v>
      </c>
      <c r="W3808" s="28">
        <v>66000000</v>
      </c>
      <c r="X3808" s="28">
        <v>1464472000</v>
      </c>
      <c r="Y3808" s="28">
        <v>29564742000</v>
      </c>
      <c r="Z3808" s="28">
        <v>7814010000</v>
      </c>
      <c r="AA3808" s="28">
        <v>685000000</v>
      </c>
      <c r="AB3808" s="28">
        <v>3238744000</v>
      </c>
      <c r="AC3808" s="28">
        <v>9594620000</v>
      </c>
      <c r="AD3808" s="28">
        <v>16921941000</v>
      </c>
      <c r="AE3808" s="28">
        <v>37662836000</v>
      </c>
      <c r="AF3808" s="28">
        <v>3295713000</v>
      </c>
      <c r="AG3808" s="11"/>
    </row>
    <row r="3809">
      <c r="A3809" s="7" t="s">
        <v>5465</v>
      </c>
      <c r="B3809" s="5" t="s">
        <v>13426</v>
      </c>
      <c r="C3809" s="5" t="s">
        <v>21219</v>
      </c>
      <c r="D3809" s="5"/>
      <c r="E3809" s="0" t="e">
        <f>+7 (3519) 499316
+7 (3519) 499355
+7 (3519) 499404
+7 (3519) 499413
+7 (3519) 207355
+7 (3519) 499395
+7 (3519) 499490
+7 (3519) 499494</f>
        <v>#NAME?</v>
      </c>
      <c r="F3809" s="5" t="s">
        <v>36768</v>
      </c>
      <c r="G3809" s="5"/>
      <c r="H3809" s="26">
        <v>23.5</v>
      </c>
      <c r="I3809" s="5" t="s">
        <v>36769</v>
      </c>
      <c r="J3809" s="5" t="s">
        <v>25450</v>
      </c>
      <c r="K3809" s="5" t="s">
        <v>344</v>
      </c>
      <c r="L3809" s="5" t="s">
        <v>36770</v>
      </c>
      <c r="M3809" s="27"/>
      <c r="N3809" s="5" t="s">
        <v>55209</v>
      </c>
      <c r="O3809" s="5" t="str">
        <v>7425007693</v>
      </c>
      <c r="P3809" s="27">
        <v>8400</v>
      </c>
      <c r="Q3809" s="5" t="s">
        <v>49324</v>
      </c>
      <c r="R3809" s="5"/>
      <c r="S3809" s="5" t="s">
        <v>55210</v>
      </c>
      <c r="T3809" s="28">
        <v>807625000</v>
      </c>
      <c r="U3809" s="28">
        <v>230000</v>
      </c>
      <c r="V3809" s="28">
        <v>488928000</v>
      </c>
      <c r="W3809" s="28"/>
      <c r="X3809" s="28">
        <v>100413000</v>
      </c>
      <c r="Y3809" s="28">
        <v>2355721000</v>
      </c>
      <c r="Z3809" s="28">
        <v>371052000</v>
      </c>
      <c r="AA3809" s="28"/>
      <c r="AB3809" s="28">
        <v>1029878000</v>
      </c>
      <c r="AC3809" s="28">
        <v>1493115000</v>
      </c>
      <c r="AD3809" s="28">
        <v>862606000</v>
      </c>
      <c r="AE3809" s="28">
        <v>4182549000</v>
      </c>
      <c r="AF3809" s="28">
        <v>28642000</v>
      </c>
      <c r="AG3809" s="11"/>
    </row>
    <row r="3810">
      <c r="A3810" s="7" t="s">
        <v>5466</v>
      </c>
      <c r="B3810" s="5" t="s">
        <v>13427</v>
      </c>
      <c r="C3810" s="5" t="s">
        <v>21220</v>
      </c>
      <c r="D3810" s="5" t="str">
        <v>420506621503</v>
      </c>
      <c r="E3810" s="0" t="e">
        <f>+7 (384) 2251376
+7 (384) 2281614
+7 (384) 2284866
+7 (384) 2284988
+7 (384) 2285344
+7 (384) 2286700
+7 (384) 2287109
+7 (384) 2287264
+7 (384) 2377222
+7 (384) 2377225
+7 (384) 2377226
+7 (905) 776345</f>
        <v>#NAME?</v>
      </c>
      <c r="F3810" s="5" t="s">
        <v>36771</v>
      </c>
      <c r="G3810" s="5"/>
      <c r="H3810" s="26">
        <v>21.5</v>
      </c>
      <c r="I3810" s="5" t="s">
        <v>36772</v>
      </c>
      <c r="J3810" s="5" t="s">
        <v>25499</v>
      </c>
      <c r="K3810" s="5" t="s">
        <v>344</v>
      </c>
      <c r="L3810" s="5" t="s">
        <v>36773</v>
      </c>
      <c r="M3810" s="27">
        <v>504110</v>
      </c>
      <c r="N3810" s="5" t="s">
        <v>55211</v>
      </c>
      <c r="O3810" s="5" t="str">
        <v>4213003797</v>
      </c>
      <c r="P3810" s="27">
        <v>10000</v>
      </c>
      <c r="Q3810" s="5"/>
      <c r="R3810" s="5"/>
      <c r="S3810" s="5" t="s">
        <v>49399</v>
      </c>
      <c r="T3810" s="28">
        <v>280840000</v>
      </c>
      <c r="U3810" s="28"/>
      <c r="V3810" s="28">
        <v>225871000</v>
      </c>
      <c r="W3810" s="28">
        <v>44441000</v>
      </c>
      <c r="X3810" s="28">
        <v>70091000</v>
      </c>
      <c r="Y3810" s="28">
        <v>786550000</v>
      </c>
      <c r="Z3810" s="28">
        <v>472025000</v>
      </c>
      <c r="AA3810" s="28">
        <v>22308000</v>
      </c>
      <c r="AB3810" s="28">
        <v>1463000</v>
      </c>
      <c r="AC3810" s="28">
        <v>279619000</v>
      </c>
      <c r="AD3810" s="28">
        <v>472035000</v>
      </c>
      <c r="AE3810" s="28">
        <v>3409941000</v>
      </c>
      <c r="AF3810" s="28">
        <v>147459000</v>
      </c>
      <c r="AG3810" s="11"/>
    </row>
    <row r="3811">
      <c r="A3811" s="7" t="s">
        <v>5467</v>
      </c>
      <c r="B3811" s="5" t="s">
        <v>13428</v>
      </c>
      <c r="C3811" s="5" t="s">
        <v>21221</v>
      </c>
      <c r="D3811" s="5" t="str">
        <v>532119783250</v>
      </c>
      <c r="E3811" s="0" t="e">
        <f>+7 (989) 1691113</f>
        <v>#NAME?</v>
      </c>
      <c r="F3811" s="5"/>
      <c r="G3811" s="5"/>
      <c r="H3811" s="26">
        <v>5</v>
      </c>
      <c r="I3811" s="5" t="s">
        <v>36774</v>
      </c>
      <c r="J3811" s="5" t="s">
        <v>26128</v>
      </c>
      <c r="K3811" s="5" t="s">
        <v>344</v>
      </c>
      <c r="L3811" s="5" t="s">
        <v>36775</v>
      </c>
      <c r="M3811" s="27"/>
      <c r="N3811" s="5"/>
      <c r="O3811" s="5" t="str">
        <v>2364016547</v>
      </c>
      <c r="P3811" s="27">
        <v>400000</v>
      </c>
      <c r="Q3811" s="5" t="s">
        <v>49021</v>
      </c>
      <c r="R3811" s="5"/>
      <c r="S3811" s="5" t="s">
        <v>55212</v>
      </c>
      <c r="T3811" s="28">
        <v>299036000</v>
      </c>
      <c r="U3811" s="28"/>
      <c r="V3811" s="28">
        <v>184587000</v>
      </c>
      <c r="W3811" s="28"/>
      <c r="X3811" s="28">
        <v>18316000</v>
      </c>
      <c r="Y3811" s="28">
        <v>749230000</v>
      </c>
      <c r="Z3811" s="28">
        <v>231746000</v>
      </c>
      <c r="AA3811" s="28">
        <v>151191000</v>
      </c>
      <c r="AB3811" s="28">
        <v>99660000</v>
      </c>
      <c r="AC3811" s="28">
        <v>234488000</v>
      </c>
      <c r="AD3811" s="28">
        <v>232146000</v>
      </c>
      <c r="AE3811" s="28">
        <v>4498673000</v>
      </c>
      <c r="AF3811" s="28">
        <v>88698000</v>
      </c>
      <c r="AG3811" s="11"/>
    </row>
    <row r="3812">
      <c r="A3812" s="7" t="s">
        <v>5468</v>
      </c>
      <c r="B3812" s="5" t="s">
        <v>13429</v>
      </c>
      <c r="C3812" s="5" t="s">
        <v>21191</v>
      </c>
      <c r="D3812" s="5" t="str">
        <v>183111347600</v>
      </c>
      <c r="E3812" s="0" t="e">
        <f>+7 (499) 7341748
+7 (499) 7351761
+7 (499) 7342496
+7 (499) 7343505
+7 (499) 7343736
+7 (499) 7343740</f>
        <v>#NAME?</v>
      </c>
      <c r="F3812" s="5"/>
      <c r="G3812" s="5" t="s">
        <v>36677</v>
      </c>
      <c r="H3812" s="26">
        <v>21</v>
      </c>
      <c r="I3812" s="5" t="s">
        <v>36776</v>
      </c>
      <c r="J3812" s="5" t="s">
        <v>947</v>
      </c>
      <c r="K3812" s="5" t="s">
        <v>344</v>
      </c>
      <c r="L3812" s="5"/>
      <c r="M3812" s="27">
        <v>55694</v>
      </c>
      <c r="N3812" s="5"/>
      <c r="O3812" s="5" t="str">
        <v>7735108412</v>
      </c>
      <c r="P3812" s="27">
        <v>70586656</v>
      </c>
      <c r="Q3812" s="5"/>
      <c r="R3812" s="5"/>
      <c r="S3812" s="5" t="s">
        <v>49425</v>
      </c>
      <c r="T3812" s="28"/>
      <c r="U3812" s="28"/>
      <c r="V3812" s="28">
        <v>1346614000</v>
      </c>
      <c r="W3812" s="28">
        <v>1426333000</v>
      </c>
      <c r="X3812" s="28">
        <v>3038000</v>
      </c>
      <c r="Y3812" s="28">
        <v>2855976000</v>
      </c>
      <c r="Z3812" s="28">
        <v>147302000</v>
      </c>
      <c r="AA3812" s="28"/>
      <c r="AB3812" s="28"/>
      <c r="AC3812" s="28">
        <v>2610265000</v>
      </c>
      <c r="AD3812" s="28">
        <v>217889000</v>
      </c>
      <c r="AE3812" s="28">
        <v>3668060000</v>
      </c>
      <c r="AF3812" s="28">
        <v>212304000</v>
      </c>
      <c r="AG3812" s="11"/>
    </row>
    <row r="3813">
      <c r="A3813" s="7" t="s">
        <v>5469</v>
      </c>
      <c r="B3813" s="5" t="s">
        <v>13430</v>
      </c>
      <c r="C3813" s="5" t="s">
        <v>21222</v>
      </c>
      <c r="D3813" s="5" t="str">
        <v>771532882951</v>
      </c>
      <c r="E3813" s="0" t="e">
        <f>+7 (495) 1528358
+7 (495) 2295640
+7 (495) 9787920</f>
        <v>#NAME?</v>
      </c>
      <c r="F3813" s="5" t="s">
        <v>36777</v>
      </c>
      <c r="G3813" s="5"/>
      <c r="H3813" s="26">
        <v>12.5</v>
      </c>
      <c r="I3813" s="5" t="s">
        <v>36778</v>
      </c>
      <c r="J3813" s="5" t="s">
        <v>36779</v>
      </c>
      <c r="K3813" s="5" t="s">
        <v>355</v>
      </c>
      <c r="L3813" s="5" t="s">
        <v>36780</v>
      </c>
      <c r="M3813" s="27">
        <v>428178125</v>
      </c>
      <c r="N3813" s="5"/>
      <c r="O3813" s="5" t="str">
        <v>7704765168</v>
      </c>
      <c r="P3813" s="27">
        <v>1020000</v>
      </c>
      <c r="Q3813" s="5"/>
      <c r="R3813" s="5"/>
      <c r="S3813" s="5" t="s">
        <v>49029</v>
      </c>
      <c r="T3813" s="28">
        <v>611069000</v>
      </c>
      <c r="U3813" s="28">
        <v>10000</v>
      </c>
      <c r="V3813" s="28">
        <v>2746159000</v>
      </c>
      <c r="W3813" s="28">
        <v>2047170000</v>
      </c>
      <c r="X3813" s="28">
        <v>940320000</v>
      </c>
      <c r="Y3813" s="28">
        <v>9794154000</v>
      </c>
      <c r="Z3813" s="28">
        <v>617570000</v>
      </c>
      <c r="AA3813" s="28"/>
      <c r="AB3813" s="28"/>
      <c r="AC3813" s="28">
        <v>8675873000</v>
      </c>
      <c r="AD3813" s="28">
        <v>618590000</v>
      </c>
      <c r="AE3813" s="28">
        <v>15704477000</v>
      </c>
      <c r="AF3813" s="28">
        <v>353684000</v>
      </c>
      <c r="AG3813" s="11"/>
    </row>
    <row r="3814">
      <c r="A3814" s="7" t="s">
        <v>5470</v>
      </c>
      <c r="B3814" s="5" t="s">
        <v>13431</v>
      </c>
      <c r="C3814" s="5" t="s">
        <v>21148</v>
      </c>
      <c r="D3814" s="5" t="str">
        <v>130301994809</v>
      </c>
      <c r="E3814" s="0" t="e">
        <f>+7 (834) 2291552
+7 (83453) 22807
+7 (960) 3367103</f>
        <v>#NAME?</v>
      </c>
      <c r="F3814" s="5"/>
      <c r="G3814" s="5"/>
      <c r="H3814" s="26">
        <v>16</v>
      </c>
      <c r="I3814" s="5" t="s">
        <v>36781</v>
      </c>
      <c r="J3814" s="5" t="s">
        <v>25371</v>
      </c>
      <c r="K3814" s="5" t="s">
        <v>344</v>
      </c>
      <c r="L3814" s="5" t="s">
        <v>36782</v>
      </c>
      <c r="M3814" s="27"/>
      <c r="N3814" s="5"/>
      <c r="O3814" s="5" t="str">
        <v>5049016635</v>
      </c>
      <c r="P3814" s="27">
        <v>5000000</v>
      </c>
      <c r="Q3814" s="5"/>
      <c r="R3814" s="5"/>
      <c r="S3814" s="5" t="s">
        <v>49029</v>
      </c>
      <c r="T3814" s="28">
        <v>4143933000</v>
      </c>
      <c r="U3814" s="28"/>
      <c r="V3814" s="28">
        <v>5926302000</v>
      </c>
      <c r="W3814" s="28">
        <v>5227000</v>
      </c>
      <c r="X3814" s="28">
        <v>880379000</v>
      </c>
      <c r="Y3814" s="28">
        <v>13180347000</v>
      </c>
      <c r="Z3814" s="28">
        <v>7937816000</v>
      </c>
      <c r="AA3814" s="28">
        <v>2796750000</v>
      </c>
      <c r="AB3814" s="28">
        <v>1628532000</v>
      </c>
      <c r="AC3814" s="28">
        <v>2440281000</v>
      </c>
      <c r="AD3814" s="28">
        <v>7978518000</v>
      </c>
      <c r="AE3814" s="28">
        <v>10374541000</v>
      </c>
      <c r="AF3814" s="28">
        <v>2586126000</v>
      </c>
      <c r="AG3814" s="11"/>
    </row>
    <row r="3815">
      <c r="A3815" s="7" t="s">
        <v>5471</v>
      </c>
      <c r="B3815" s="5" t="s">
        <v>13432</v>
      </c>
      <c r="C3815" s="5" t="s">
        <v>21223</v>
      </c>
      <c r="D3815" s="5" t="str">
        <v>772496458087</v>
      </c>
      <c r="E3815" s="0" t="e">
        <f>+7 (495) 1509009
+7 (495) 7975522
+7 (495) 9660766
+7 (800) 5553222
+7 (8622) 965858
+7 (988) 2397474</f>
        <v>#NAME?</v>
      </c>
      <c r="F3815" s="5"/>
      <c r="G3815" s="5" t="s">
        <v>36783</v>
      </c>
      <c r="H3815" s="26">
        <v>17</v>
      </c>
      <c r="I3815" s="5"/>
      <c r="J3815" s="5" t="s">
        <v>29486</v>
      </c>
      <c r="K3815" s="5" t="s">
        <v>355</v>
      </c>
      <c r="L3815" s="5" t="s">
        <v>36784</v>
      </c>
      <c r="M3815" s="27">
        <v>271114</v>
      </c>
      <c r="N3815" s="5"/>
      <c r="O3815" s="5" t="str">
        <v>7714637341</v>
      </c>
      <c r="P3815" s="27">
        <v>10000</v>
      </c>
      <c r="Q3815" s="5" t="s">
        <v>55213</v>
      </c>
      <c r="R3815" s="5" t="s">
        <v>55050</v>
      </c>
      <c r="S3815" s="5" t="s">
        <v>55214</v>
      </c>
      <c r="T3815" s="28">
        <v>556863000</v>
      </c>
      <c r="U3815" s="28">
        <v>14000</v>
      </c>
      <c r="V3815" s="28">
        <v>863589000</v>
      </c>
      <c r="W3815" s="28"/>
      <c r="X3815" s="28">
        <v>615485000</v>
      </c>
      <c r="Y3815" s="28">
        <v>2194945000</v>
      </c>
      <c r="Z3815" s="28">
        <v>797354000</v>
      </c>
      <c r="AA3815" s="28"/>
      <c r="AB3815" s="28"/>
      <c r="AC3815" s="28">
        <v>1071681000</v>
      </c>
      <c r="AD3815" s="28">
        <v>797365000</v>
      </c>
      <c r="AE3815" s="28">
        <v>3346182000</v>
      </c>
      <c r="AF3815" s="28">
        <v>-62322000</v>
      </c>
      <c r="AG3815" s="11"/>
    </row>
    <row r="3816">
      <c r="A3816" s="7" t="s">
        <v>5472</v>
      </c>
      <c r="B3816" s="5" t="s">
        <v>13433</v>
      </c>
      <c r="C3816" s="5" t="s">
        <v>21224</v>
      </c>
      <c r="D3816" s="5" t="str">
        <v>672510220576</v>
      </c>
      <c r="F3816" s="5"/>
      <c r="G3816" s="5"/>
      <c r="H3816" s="26">
        <v>3.5</v>
      </c>
      <c r="I3816" s="5" t="s">
        <v>36785</v>
      </c>
      <c r="J3816" s="5" t="s">
        <v>25938</v>
      </c>
      <c r="K3816" s="5" t="s">
        <v>355</v>
      </c>
      <c r="L3816" s="5" t="s">
        <v>36786</v>
      </c>
      <c r="M3816" s="27">
        <v>153225514</v>
      </c>
      <c r="N3816" s="5"/>
      <c r="O3816" s="5" t="str">
        <v>7730253021</v>
      </c>
      <c r="P3816" s="27">
        <v>500000</v>
      </c>
      <c r="Q3816" s="5" t="s">
        <v>49009</v>
      </c>
      <c r="R3816" s="5"/>
      <c r="S3816" s="5" t="s">
        <v>49066</v>
      </c>
      <c r="T3816" s="28">
        <v>217000</v>
      </c>
      <c r="U3816" s="28"/>
      <c r="V3816" s="28">
        <v>27242513000</v>
      </c>
      <c r="W3816" s="28"/>
      <c r="X3816" s="28">
        <v>239169000</v>
      </c>
      <c r="Y3816" s="28">
        <v>28817117000</v>
      </c>
      <c r="Z3816" s="28">
        <v>233505000</v>
      </c>
      <c r="AA3816" s="28"/>
      <c r="AB3816" s="28"/>
      <c r="AC3816" s="28">
        <v>28573482000</v>
      </c>
      <c r="AD3816" s="28">
        <v>234005000</v>
      </c>
      <c r="AE3816" s="28">
        <v>13235361000</v>
      </c>
      <c r="AF3816" s="28">
        <v>142565000</v>
      </c>
      <c r="AG3816" s="11"/>
    </row>
    <row r="3817">
      <c r="A3817" s="7" t="s">
        <v>5473</v>
      </c>
      <c r="B3817" s="5" t="s">
        <v>13434</v>
      </c>
      <c r="C3817" s="5" t="s">
        <v>21225</v>
      </c>
      <c r="D3817" s="5" t="str">
        <v>781420046803</v>
      </c>
      <c r="E3817" s="0" t="e">
        <f>+7 (800) 2509795
+7 (812) 3369609
+7 (812) 3699609
+7 (812) 5291631
+7 (812) 6171901
+7 (812) 6171902
+7 (812) 6171903
+7 (812) 7108911
+7 (861) 2004661
+7 (861) 2109091
+7 (928) 4700011</f>
        <v>#NAME?</v>
      </c>
      <c r="F3817" s="5" t="s">
        <v>36787</v>
      </c>
      <c r="G3817" s="5" t="s">
        <v>36788</v>
      </c>
      <c r="H3817" s="26">
        <v>22.5</v>
      </c>
      <c r="I3817" s="5" t="s">
        <v>36789</v>
      </c>
      <c r="J3817" s="5" t="s">
        <v>364</v>
      </c>
      <c r="K3817" s="5" t="s">
        <v>344</v>
      </c>
      <c r="L3817" s="5" t="s">
        <v>36790</v>
      </c>
      <c r="M3817" s="27">
        <v>2624536</v>
      </c>
      <c r="N3817" s="5" t="s">
        <v>55215</v>
      </c>
      <c r="O3817" s="5" t="str">
        <v>7806108193</v>
      </c>
      <c r="P3817" s="27">
        <v>740000000</v>
      </c>
      <c r="Q3817" s="5" t="s">
        <v>55216</v>
      </c>
      <c r="R3817" s="5"/>
      <c r="S3817" s="5" t="s">
        <v>55217</v>
      </c>
      <c r="T3817" s="28">
        <v>77629000</v>
      </c>
      <c r="U3817" s="28"/>
      <c r="V3817" s="28">
        <v>17494465000</v>
      </c>
      <c r="W3817" s="28">
        <v>1107799000</v>
      </c>
      <c r="X3817" s="28">
        <v>11000</v>
      </c>
      <c r="Y3817" s="28">
        <v>21000462000</v>
      </c>
      <c r="Z3817" s="28">
        <v>1665799000</v>
      </c>
      <c r="AA3817" s="28"/>
      <c r="AB3817" s="28"/>
      <c r="AC3817" s="28">
        <v>16724609000</v>
      </c>
      <c r="AD3817" s="28">
        <v>2405799000</v>
      </c>
      <c r="AE3817" s="28">
        <v>25866179000</v>
      </c>
      <c r="AF3817" s="28">
        <v>715090000</v>
      </c>
      <c r="AG3817" s="11"/>
    </row>
    <row r="3818">
      <c r="A3818" s="7" t="s">
        <v>5474</v>
      </c>
      <c r="B3818" s="5" t="s">
        <v>13435</v>
      </c>
      <c r="C3818" s="5" t="s">
        <v>21226</v>
      </c>
      <c r="D3818" s="5" t="str">
        <v>744402923956</v>
      </c>
      <c r="E3818" s="0" t="e">
        <f>+7 (3519) 242383
+7 (3519) 243283
+7 (3519) 244220</f>
        <v>#NAME?</v>
      </c>
      <c r="F3818" s="5" t="s">
        <v>36791</v>
      </c>
      <c r="G3818" s="5" t="s">
        <v>36792</v>
      </c>
      <c r="H3818" s="26">
        <v>23</v>
      </c>
      <c r="I3818" s="5" t="s">
        <v>36793</v>
      </c>
      <c r="J3818" s="5" t="s">
        <v>28954</v>
      </c>
      <c r="K3818" s="5" t="s">
        <v>344</v>
      </c>
      <c r="L3818" s="5" t="s">
        <v>36794</v>
      </c>
      <c r="M3818" s="27"/>
      <c r="N3818" s="5"/>
      <c r="O3818" s="5" t="str">
        <v>7455025700</v>
      </c>
      <c r="P3818" s="27">
        <v>971196892</v>
      </c>
      <c r="Q3818" s="5"/>
      <c r="R3818" s="5"/>
      <c r="S3818" s="5" t="s">
        <v>49425</v>
      </c>
      <c r="T3818" s="28">
        <v>3183541000</v>
      </c>
      <c r="U3818" s="28">
        <v>81301000</v>
      </c>
      <c r="V3818" s="28">
        <v>1268696000</v>
      </c>
      <c r="W3818" s="28">
        <v>714650000</v>
      </c>
      <c r="X3818" s="28">
        <v>2184000</v>
      </c>
      <c r="Y3818" s="28">
        <v>7016893000</v>
      </c>
      <c r="Z3818" s="28">
        <v>3373175000</v>
      </c>
      <c r="AA3818" s="28"/>
      <c r="AB3818" s="28">
        <v>300222000</v>
      </c>
      <c r="AC3818" s="28">
        <v>2010902000</v>
      </c>
      <c r="AD3818" s="28">
        <v>4366173000</v>
      </c>
      <c r="AE3818" s="28">
        <v>11343566000</v>
      </c>
      <c r="AF3818" s="28">
        <v>746139000</v>
      </c>
      <c r="AG3818" s="11"/>
    </row>
    <row r="3819">
      <c r="A3819" s="7" t="s">
        <v>5475</v>
      </c>
      <c r="B3819" s="5" t="s">
        <v>13436</v>
      </c>
      <c r="C3819" s="5" t="s">
        <v>21227</v>
      </c>
      <c r="D3819" s="5" t="str">
        <v>165908843894</v>
      </c>
      <c r="F3819" s="5"/>
      <c r="G3819" s="5"/>
      <c r="H3819" s="26">
        <v>8</v>
      </c>
      <c r="I3819" s="5" t="s">
        <v>36795</v>
      </c>
      <c r="J3819" s="5" t="s">
        <v>25262</v>
      </c>
      <c r="K3819" s="5" t="s">
        <v>380</v>
      </c>
      <c r="L3819" s="5" t="s">
        <v>1060</v>
      </c>
      <c r="M3819" s="27"/>
      <c r="N3819" s="5"/>
      <c r="O3819" s="5" t="str">
        <v>1659155329</v>
      </c>
      <c r="P3819" s="27">
        <v>10000</v>
      </c>
      <c r="Q3819" s="5" t="s">
        <v>49009</v>
      </c>
      <c r="R3819" s="5"/>
      <c r="S3819" s="5" t="s">
        <v>51151</v>
      </c>
      <c r="T3819" s="28">
        <v>1371000</v>
      </c>
      <c r="U3819" s="28">
        <v>10003000</v>
      </c>
      <c r="V3819" s="28">
        <v>1651576000</v>
      </c>
      <c r="W3819" s="28">
        <v>154850000</v>
      </c>
      <c r="X3819" s="28">
        <v>31000</v>
      </c>
      <c r="Y3819" s="28">
        <v>1970531000</v>
      </c>
      <c r="Z3819" s="28">
        <v>125000</v>
      </c>
      <c r="AA3819" s="28"/>
      <c r="AB3819" s="28">
        <v>289875000</v>
      </c>
      <c r="AC3819" s="28">
        <v>1970396000</v>
      </c>
      <c r="AD3819" s="28">
        <v>135000</v>
      </c>
      <c r="AE3819" s="28">
        <v>3239176000</v>
      </c>
      <c r="AF3819" s="28">
        <v>6000</v>
      </c>
      <c r="AG3819" s="11"/>
    </row>
    <row r="3820">
      <c r="A3820" s="7" t="s">
        <v>5476</v>
      </c>
      <c r="B3820" s="5" t="s">
        <v>13437</v>
      </c>
      <c r="C3820" s="5" t="s">
        <v>21228</v>
      </c>
      <c r="D3820" s="5" t="str">
        <v>311501562550</v>
      </c>
      <c r="E3820" s="0" t="e">
        <f>+7 (3422) 330248
+7 (3422) 434227
+7 (3422) 434257
+7 (3422) 434543
+7 (3422) 435041
+7 (3422) 435059
+7 (3422) 435219
+7 (3422) 435589
+7 (3422) 435593
+7 (34241) 72359
+7 (34241) 72448
+7 (34242) 99359
+7 (34256) 51642
+7 (34256) 65514
+7 (34271) 63350</f>
        <v>#NAME?</v>
      </c>
      <c r="F3820" s="5" t="s">
        <v>36796</v>
      </c>
      <c r="G3820" s="5"/>
      <c r="H3820" s="26">
        <v>18</v>
      </c>
      <c r="I3820" s="5" t="s">
        <v>36797</v>
      </c>
      <c r="J3820" s="5" t="s">
        <v>27802</v>
      </c>
      <c r="K3820" s="5" t="s">
        <v>344</v>
      </c>
      <c r="L3820" s="5"/>
      <c r="M3820" s="27">
        <v>1248392866</v>
      </c>
      <c r="N3820" s="5" t="s">
        <v>55219</v>
      </c>
      <c r="O3820" s="5" t="str">
        <v>6671163413</v>
      </c>
      <c r="P3820" s="27">
        <v>8743048571</v>
      </c>
      <c r="Q3820" s="5" t="s">
        <v>55220</v>
      </c>
      <c r="R3820" s="5"/>
      <c r="S3820" s="5" t="s">
        <v>55221</v>
      </c>
      <c r="T3820" s="28">
        <v>72139960000</v>
      </c>
      <c r="U3820" s="28">
        <v>4335797000</v>
      </c>
      <c r="V3820" s="28">
        <v>8138986000</v>
      </c>
      <c r="W3820" s="28"/>
      <c r="X3820" s="28">
        <v>2643242000</v>
      </c>
      <c r="Y3820" s="28">
        <v>92678018000</v>
      </c>
      <c r="Z3820" s="28">
        <v>17935881000</v>
      </c>
      <c r="AA3820" s="28">
        <v>10486091000</v>
      </c>
      <c r="AB3820" s="28">
        <v>8295630000</v>
      </c>
      <c r="AC3820" s="28">
        <v>28826748000</v>
      </c>
      <c r="AD3820" s="28">
        <v>44395146000</v>
      </c>
      <c r="AE3820" s="28">
        <v>88722517000</v>
      </c>
      <c r="AF3820" s="28">
        <v>3269162000</v>
      </c>
      <c r="AG3820" s="11"/>
    </row>
    <row r="3821">
      <c r="A3821" s="7" t="s">
        <v>5477</v>
      </c>
      <c r="B3821" s="5" t="s">
        <v>13438</v>
      </c>
      <c r="C3821" s="5" t="s">
        <v>21229</v>
      </c>
      <c r="D3821" s="5" t="str">
        <v>701735522276</v>
      </c>
      <c r="E3821" s="0" t="e">
        <f>+7 (985) 6628418
+7 (495) 7194478
+7 (495) 7996066
+7 (499) 7194478
+7 (499) 7242020
+7 (499) 7542021
+7 (913) 9131881</f>
        <v>#NAME?</v>
      </c>
      <c r="F3821" s="5" t="s">
        <v>36798</v>
      </c>
      <c r="G3821" s="5" t="s">
        <v>36799</v>
      </c>
      <c r="H3821" s="26">
        <v>23</v>
      </c>
      <c r="I3821" s="5"/>
      <c r="J3821" s="5" t="s">
        <v>947</v>
      </c>
      <c r="K3821" s="5" t="s">
        <v>344</v>
      </c>
      <c r="L3821" s="5" t="s">
        <v>36800</v>
      </c>
      <c r="M3821" s="27">
        <v>329672614</v>
      </c>
      <c r="N3821" s="5" t="s">
        <v>55222</v>
      </c>
      <c r="O3821" s="5" t="str">
        <v>7706241963</v>
      </c>
      <c r="P3821" s="27">
        <v>10000000</v>
      </c>
      <c r="Q3821" s="5" t="s">
        <v>55223</v>
      </c>
      <c r="R3821" s="5"/>
      <c r="S3821" s="5" t="s">
        <v>55224</v>
      </c>
      <c r="T3821" s="28">
        <v>5661492000</v>
      </c>
      <c r="U3821" s="28">
        <v>5261930000</v>
      </c>
      <c r="V3821" s="28">
        <v>9605478000</v>
      </c>
      <c r="W3821" s="28">
        <v>5383000</v>
      </c>
      <c r="X3821" s="28">
        <v>3330677000</v>
      </c>
      <c r="Y3821" s="28">
        <v>26393686000</v>
      </c>
      <c r="Z3821" s="28">
        <v>11276180000</v>
      </c>
      <c r="AA3821" s="28"/>
      <c r="AB3821" s="28">
        <v>1887474000</v>
      </c>
      <c r="AC3821" s="28">
        <v>14895647000</v>
      </c>
      <c r="AD3821" s="28">
        <v>11286680000</v>
      </c>
      <c r="AE3821" s="28">
        <v>46698922000</v>
      </c>
      <c r="AF3821" s="28">
        <v>-1969130000</v>
      </c>
      <c r="AG3821" s="11"/>
    </row>
    <row r="3822">
      <c r="A3822" s="7" t="s">
        <v>5478</v>
      </c>
      <c r="B3822" s="5" t="s">
        <v>13439</v>
      </c>
      <c r="C3822" s="5" t="s">
        <v>21230</v>
      </c>
      <c r="D3822" s="5" t="str">
        <v>290121901475</v>
      </c>
      <c r="E3822" s="0" t="e">
        <f>+7 (495) 6441806
+7 (499) 7542021
+7 (818) 2295650
+7 (818) 2295652
+7 (818) 2295654
+7 (818) 2295655
+7 (818) 2295660
+7 (818) 2462909
+7 (818) 2671288</f>
        <v>#NAME?</v>
      </c>
      <c r="F3822" s="5" t="s">
        <v>36801</v>
      </c>
      <c r="G3822" s="5"/>
      <c r="H3822" s="26">
        <v>14.5</v>
      </c>
      <c r="I3822" s="5" t="s">
        <v>36802</v>
      </c>
      <c r="J3822" s="5" t="s">
        <v>445</v>
      </c>
      <c r="K3822" s="5" t="s">
        <v>380</v>
      </c>
      <c r="L3822" s="5" t="s">
        <v>36803</v>
      </c>
      <c r="M3822" s="27"/>
      <c r="N3822" s="5"/>
      <c r="O3822" s="5" t="str">
        <v>2901183674</v>
      </c>
      <c r="P3822" s="27">
        <v>110000</v>
      </c>
      <c r="Q3822" s="5"/>
      <c r="R3822" s="5" t="s">
        <v>55143</v>
      </c>
      <c r="S3822" s="5" t="s">
        <v>55225</v>
      </c>
      <c r="T3822" s="28">
        <v>794033000</v>
      </c>
      <c r="U3822" s="28">
        <v>1086405000</v>
      </c>
      <c r="V3822" s="28">
        <v>186794000</v>
      </c>
      <c r="W3822" s="28"/>
      <c r="X3822" s="28">
        <v>81722000</v>
      </c>
      <c r="Y3822" s="28">
        <v>2955096000</v>
      </c>
      <c r="Z3822" s="28">
        <v>1013820000</v>
      </c>
      <c r="AA3822" s="28">
        <v>738951000</v>
      </c>
      <c r="AB3822" s="28">
        <v>13912000</v>
      </c>
      <c r="AC3822" s="28">
        <v>1195793000</v>
      </c>
      <c r="AD3822" s="28">
        <v>1013930000</v>
      </c>
      <c r="AE3822" s="28">
        <v>5725406000</v>
      </c>
      <c r="AF3822" s="28">
        <v>-572704000</v>
      </c>
      <c r="AG3822" s="11"/>
    </row>
    <row r="3823">
      <c r="A3823" s="7" t="s">
        <v>5479</v>
      </c>
      <c r="B3823" s="5" t="s">
        <v>13440</v>
      </c>
      <c r="C3823" s="5" t="s">
        <v>21231</v>
      </c>
      <c r="D3823" s="5" t="str">
        <v>525805679359</v>
      </c>
      <c r="E3823" s="0" t="e">
        <f>+7 (343) 3761561
+7 (383) 2308380
+7 (391) 2555900
+7 (4232) 308608
+7 (4232) 385754
+7 (4862) 420356
+7 (4862) 421234
+7 (4862) 440708
+7 (495) 6440204
+7 (495) 7334000
+7 (495) 7334119
+7 (495) 7334311
+7 (495) 7377700
+7 (495) 7377737
+7 (495) 9565522</f>
        <v>#NAME?</v>
      </c>
      <c r="F3823" s="5" t="s">
        <v>36804</v>
      </c>
      <c r="G3823" s="5" t="s">
        <v>36805</v>
      </c>
      <c r="H3823" s="26">
        <v>24</v>
      </c>
      <c r="I3823" s="5" t="s">
        <v>36806</v>
      </c>
      <c r="J3823" s="5" t="s">
        <v>36807</v>
      </c>
      <c r="K3823" s="5" t="s">
        <v>344</v>
      </c>
      <c r="L3823" s="5" t="s">
        <v>36808</v>
      </c>
      <c r="M3823" s="27">
        <v>18515150</v>
      </c>
      <c r="N3823" s="5" t="s">
        <v>55226</v>
      </c>
      <c r="O3823" s="5" t="str">
        <v>7701215046</v>
      </c>
      <c r="P3823" s="27">
        <v>9526276236</v>
      </c>
      <c r="Q3823" s="5" t="s">
        <v>55227</v>
      </c>
      <c r="R3823" s="5"/>
      <c r="S3823" s="5" t="s">
        <v>55228</v>
      </c>
      <c r="T3823" s="28">
        <v>18341875000</v>
      </c>
      <c r="U3823" s="28"/>
      <c r="V3823" s="28">
        <v>7725547000</v>
      </c>
      <c r="W3823" s="28">
        <v>868136000</v>
      </c>
      <c r="X3823" s="28">
        <v>7610289000</v>
      </c>
      <c r="Y3823" s="28">
        <v>41905573000</v>
      </c>
      <c r="Z3823" s="28">
        <v>10313754000</v>
      </c>
      <c r="AA3823" s="28"/>
      <c r="AB3823" s="28"/>
      <c r="AC3823" s="28">
        <v>18841498000</v>
      </c>
      <c r="AD3823" s="28">
        <v>20342644000</v>
      </c>
      <c r="AE3823" s="28">
        <v>74207888000</v>
      </c>
      <c r="AF3823" s="28">
        <v>4594285000</v>
      </c>
      <c r="AG3823" s="11"/>
    </row>
    <row r="3824">
      <c r="A3824" s="7" t="s">
        <v>5480</v>
      </c>
      <c r="B3824" s="5" t="s">
        <v>13441</v>
      </c>
      <c r="C3824" s="5" t="s">
        <v>21232</v>
      </c>
      <c r="D3824" s="5" t="str">
        <v>504791289432</v>
      </c>
      <c r="E3824" s="0" t="e">
        <f>+7 (916) 5619999
+7 (919) 7848352</f>
        <v>#NAME?</v>
      </c>
      <c r="F3824" s="5"/>
      <c r="G3824" s="5"/>
      <c r="H3824" s="26">
        <v>7</v>
      </c>
      <c r="I3824" s="5" t="s">
        <v>36809</v>
      </c>
      <c r="J3824" s="5" t="s">
        <v>364</v>
      </c>
      <c r="K3824" s="5" t="s">
        <v>344</v>
      </c>
      <c r="L3824" s="5" t="s">
        <v>36810</v>
      </c>
      <c r="M3824" s="27"/>
      <c r="N3824" s="5"/>
      <c r="O3824" s="5" t="str">
        <v>9717008426</v>
      </c>
      <c r="P3824" s="27">
        <v>10000</v>
      </c>
      <c r="Q3824" s="5" t="s">
        <v>55229</v>
      </c>
      <c r="R3824" s="5"/>
      <c r="S3824" s="5" t="s">
        <v>55230</v>
      </c>
      <c r="T3824" s="28">
        <v>152951000</v>
      </c>
      <c r="U3824" s="28"/>
      <c r="V3824" s="28">
        <v>2445789000</v>
      </c>
      <c r="W3824" s="28"/>
      <c r="X3824" s="28">
        <v>126632000</v>
      </c>
      <c r="Y3824" s="28">
        <v>3653500000</v>
      </c>
      <c r="Z3824" s="28">
        <v>537247000</v>
      </c>
      <c r="AA3824" s="28">
        <v>18317000</v>
      </c>
      <c r="AB3824" s="28">
        <v>75000000</v>
      </c>
      <c r="AC3824" s="28">
        <v>2879141000</v>
      </c>
      <c r="AD3824" s="28">
        <v>537257000</v>
      </c>
      <c r="AE3824" s="28">
        <v>7313863000</v>
      </c>
      <c r="AF3824" s="28">
        <v>396259000</v>
      </c>
      <c r="AG3824" s="11"/>
    </row>
    <row r="3825">
      <c r="A3825" s="7" t="s">
        <v>5481</v>
      </c>
      <c r="B3825" s="5" t="s">
        <v>13442</v>
      </c>
      <c r="C3825" s="5" t="s">
        <v>18500</v>
      </c>
      <c r="D3825" s="5" t="str">
        <v>410121030085</v>
      </c>
      <c r="E3825" s="0" t="e">
        <f>+7 (963) 8336464
+7 (415) 2255772
+7 (415) 2336464</f>
        <v>#NAME?</v>
      </c>
      <c r="F3825" s="5" t="s">
        <v>36811</v>
      </c>
      <c r="G3825" s="5"/>
      <c r="H3825" s="26">
        <v>26.5</v>
      </c>
      <c r="I3825" s="5" t="s">
        <v>36812</v>
      </c>
      <c r="J3825" s="5" t="s">
        <v>28451</v>
      </c>
      <c r="K3825" s="5" t="s">
        <v>344</v>
      </c>
      <c r="L3825" s="5"/>
      <c r="M3825" s="27"/>
      <c r="N3825" s="5"/>
      <c r="O3825" s="5" t="str">
        <v>4101079325</v>
      </c>
      <c r="P3825" s="27">
        <v>10000</v>
      </c>
      <c r="Q3825" s="5"/>
      <c r="R3825" s="5"/>
      <c r="S3825" s="5" t="s">
        <v>50509</v>
      </c>
      <c r="T3825" s="28">
        <v>2393383000</v>
      </c>
      <c r="U3825" s="28"/>
      <c r="V3825" s="28">
        <v>790451000</v>
      </c>
      <c r="W3825" s="28"/>
      <c r="X3825" s="28">
        <v>502000</v>
      </c>
      <c r="Y3825" s="28">
        <v>3337657000</v>
      </c>
      <c r="Z3825" s="28">
        <v>-62328000</v>
      </c>
      <c r="AA3825" s="28">
        <v>1404406000</v>
      </c>
      <c r="AB3825" s="28">
        <v>7900000</v>
      </c>
      <c r="AC3825" s="28">
        <v>1414032000</v>
      </c>
      <c r="AD3825" s="28">
        <v>-62218000</v>
      </c>
      <c r="AE3825" s="28">
        <v>3164539000</v>
      </c>
      <c r="AF3825" s="28">
        <v>280960000</v>
      </c>
      <c r="AG3825" s="11"/>
    </row>
    <row r="3826">
      <c r="A3826" s="7" t="s">
        <v>5482</v>
      </c>
      <c r="B3826" s="5" t="s">
        <v>13443</v>
      </c>
      <c r="C3826" s="5" t="s">
        <v>21233</v>
      </c>
      <c r="D3826" s="5" t="str">
        <v>772604769452</v>
      </c>
      <c r="E3826" s="0" t="e">
        <f>+7 (499) 3227227
+7 (926) 9677277</f>
        <v>#NAME?</v>
      </c>
      <c r="F3826" s="5" t="s">
        <v>36813</v>
      </c>
      <c r="G3826" s="5" t="s">
        <v>36814</v>
      </c>
      <c r="H3826" s="26">
        <v>10</v>
      </c>
      <c r="I3826" s="5" t="s">
        <v>36815</v>
      </c>
      <c r="J3826" s="5" t="s">
        <v>28451</v>
      </c>
      <c r="K3826" s="5" t="s">
        <v>344</v>
      </c>
      <c r="L3826" s="5" t="s">
        <v>29315</v>
      </c>
      <c r="M3826" s="27"/>
      <c r="N3826" s="5"/>
      <c r="O3826" s="5" t="str">
        <v>7708781234</v>
      </c>
      <c r="P3826" s="27">
        <v>1010000</v>
      </c>
      <c r="Q3826" s="5" t="s">
        <v>49822</v>
      </c>
      <c r="R3826" s="5"/>
      <c r="S3826" s="5" t="s">
        <v>55231</v>
      </c>
      <c r="T3826" s="28">
        <v>10393000</v>
      </c>
      <c r="U3826" s="28"/>
      <c r="V3826" s="28">
        <v>362810000</v>
      </c>
      <c r="W3826" s="28">
        <v>41000000</v>
      </c>
      <c r="X3826" s="28">
        <v>402000</v>
      </c>
      <c r="Y3826" s="28">
        <v>451681000</v>
      </c>
      <c r="Z3826" s="28">
        <v>65578000</v>
      </c>
      <c r="AA3826" s="28">
        <v>239288000</v>
      </c>
      <c r="AB3826" s="28"/>
      <c r="AC3826" s="28">
        <v>136514000</v>
      </c>
      <c r="AD3826" s="28">
        <v>66578000</v>
      </c>
      <c r="AE3826" s="28">
        <v>6735645000</v>
      </c>
      <c r="AF3826" s="28">
        <v>29368000</v>
      </c>
      <c r="AG3826" s="11"/>
    </row>
    <row r="3827">
      <c r="A3827" s="7" t="s">
        <v>5483</v>
      </c>
      <c r="B3827" s="5" t="s">
        <v>13444</v>
      </c>
      <c r="C3827" s="5" t="s">
        <v>21234</v>
      </c>
      <c r="D3827" s="5" t="str">
        <v>222200598492</v>
      </c>
      <c r="E3827" s="0" t="e">
        <f>+7 (385) 2505070
+7 (385) 2507070
+7 (3952) 452312
+7 (3952) 502070
+7 (3952) 505070
+7 (3952) 507020
+7 (383) 2303838
+7 (384) 2441260
+7 (384) 2441261
+7 (3843) 991133
+7 (385) 2313770
+7 (3854) 351713
+7 (3854) 351733
+7 (3854) 351737
+7 (391) 2069600</f>
        <v>#NAME?</v>
      </c>
      <c r="F3827" s="5" t="s">
        <v>36816</v>
      </c>
      <c r="G3827" s="5"/>
      <c r="H3827" s="26">
        <v>16.5</v>
      </c>
      <c r="I3827" s="5" t="s">
        <v>36817</v>
      </c>
      <c r="J3827" s="5" t="s">
        <v>26292</v>
      </c>
      <c r="K3827" s="5" t="s">
        <v>344</v>
      </c>
      <c r="L3827" s="5" t="s">
        <v>36818</v>
      </c>
      <c r="M3827" s="27">
        <v>480539</v>
      </c>
      <c r="N3827" s="5" t="s">
        <v>55232</v>
      </c>
      <c r="O3827" s="5" t="str">
        <v>2222059457</v>
      </c>
      <c r="P3827" s="27">
        <v>17000</v>
      </c>
      <c r="Q3827" s="5" t="s">
        <v>55233</v>
      </c>
      <c r="R3827" s="5" t="s">
        <v>55234</v>
      </c>
      <c r="S3827" s="5" t="s">
        <v>55235</v>
      </c>
      <c r="T3827" s="28">
        <v>367845000</v>
      </c>
      <c r="U3827" s="28">
        <v>10509000</v>
      </c>
      <c r="V3827" s="28">
        <v>745751000</v>
      </c>
      <c r="W3827" s="28">
        <v>1100000</v>
      </c>
      <c r="X3827" s="28">
        <v>171406000</v>
      </c>
      <c r="Y3827" s="28">
        <v>3586106000</v>
      </c>
      <c r="Z3827" s="28">
        <v>2257330000</v>
      </c>
      <c r="AA3827" s="28"/>
      <c r="AB3827" s="28"/>
      <c r="AC3827" s="28">
        <v>1312511000</v>
      </c>
      <c r="AD3827" s="28">
        <v>2257347000</v>
      </c>
      <c r="AE3827" s="28">
        <v>17401244000</v>
      </c>
      <c r="AF3827" s="28">
        <v>184328000</v>
      </c>
      <c r="AG3827" s="11"/>
    </row>
    <row r="3828">
      <c r="A3828" s="7" t="s">
        <v>5484</v>
      </c>
      <c r="B3828" s="5" t="s">
        <v>13445</v>
      </c>
      <c r="C3828" s="5" t="s">
        <v>21235</v>
      </c>
      <c r="D3828" s="5" t="str">
        <v>770483834220</v>
      </c>
      <c r="E3828" s="0" t="e">
        <f>+7 (495) 9167094
+7 (495) 9167100
+7 (495) 7771267</f>
        <v>#NAME?</v>
      </c>
      <c r="F3828" s="5"/>
      <c r="G3828" s="5"/>
      <c r="H3828" s="26">
        <v>14.5</v>
      </c>
      <c r="I3828" s="5" t="s">
        <v>36819</v>
      </c>
      <c r="J3828" s="5" t="s">
        <v>25429</v>
      </c>
      <c r="K3828" s="5" t="s">
        <v>344</v>
      </c>
      <c r="L3828" s="5" t="s">
        <v>36820</v>
      </c>
      <c r="M3828" s="27"/>
      <c r="N3828" s="5"/>
      <c r="O3828" s="5" t="str">
        <v>7706701593</v>
      </c>
      <c r="P3828" s="27">
        <v>10000</v>
      </c>
      <c r="Q3828" s="5" t="s">
        <v>49009</v>
      </c>
      <c r="R3828" s="5"/>
      <c r="S3828" s="5" t="s">
        <v>49010</v>
      </c>
      <c r="T3828" s="28">
        <v>767047000</v>
      </c>
      <c r="U3828" s="28"/>
      <c r="V3828" s="28">
        <v>6875504000</v>
      </c>
      <c r="W3828" s="28"/>
      <c r="X3828" s="28">
        <v>688559000</v>
      </c>
      <c r="Y3828" s="28">
        <v>11661494000</v>
      </c>
      <c r="Z3828" s="28">
        <v>7600135000</v>
      </c>
      <c r="AA3828" s="28"/>
      <c r="AB3828" s="28">
        <v>2357313000</v>
      </c>
      <c r="AC3828" s="28">
        <v>3857887000</v>
      </c>
      <c r="AD3828" s="28">
        <v>7600145000</v>
      </c>
      <c r="AE3828" s="28">
        <v>13819363000</v>
      </c>
      <c r="AF3828" s="28">
        <v>-121505000</v>
      </c>
      <c r="AG3828" s="11"/>
    </row>
    <row r="3829">
      <c r="A3829" s="7" t="s">
        <v>5485</v>
      </c>
      <c r="B3829" s="5" t="s">
        <v>13446</v>
      </c>
      <c r="C3829" s="5" t="s">
        <v>21236</v>
      </c>
      <c r="D3829" s="5"/>
      <c r="E3829" s="0" t="e">
        <f>+7 (49234) 44417
+7 (49234) 31055
+7 (49234) 44068
+7 (49234) 44555
+7 (49234) 44572</f>
        <v>#NAME?</v>
      </c>
      <c r="F3829" s="5" t="s">
        <v>36821</v>
      </c>
      <c r="G3829" s="5" t="s">
        <v>36822</v>
      </c>
      <c r="H3829" s="26">
        <v>29.5</v>
      </c>
      <c r="I3829" s="5"/>
      <c r="J3829" s="5" t="s">
        <v>36823</v>
      </c>
      <c r="K3829" s="5" t="s">
        <v>344</v>
      </c>
      <c r="L3829" s="5" t="s">
        <v>36824</v>
      </c>
      <c r="M3829" s="27">
        <v>562920</v>
      </c>
      <c r="N3829" s="5" t="s">
        <v>55236</v>
      </c>
      <c r="O3829" s="5" t="str">
        <v>3307001803</v>
      </c>
      <c r="P3829" s="27">
        <v>443485000</v>
      </c>
      <c r="Q3829" s="5" t="s">
        <v>55238</v>
      </c>
      <c r="R3829" s="5"/>
      <c r="S3829" s="5" t="s">
        <v>55239</v>
      </c>
      <c r="T3829" s="28">
        <v>1975051000</v>
      </c>
      <c r="U3829" s="28">
        <v>390422000</v>
      </c>
      <c r="V3829" s="28">
        <v>290145000</v>
      </c>
      <c r="W3829" s="28"/>
      <c r="X3829" s="28">
        <v>97708000</v>
      </c>
      <c r="Y3829" s="28">
        <v>5025550000</v>
      </c>
      <c r="Z3829" s="28">
        <v>3062248000</v>
      </c>
      <c r="AA3829" s="28">
        <v>414756000</v>
      </c>
      <c r="AB3829" s="28">
        <v>96702000</v>
      </c>
      <c r="AC3829" s="28">
        <v>963733000</v>
      </c>
      <c r="AD3829" s="28">
        <v>3529524000</v>
      </c>
      <c r="AE3829" s="28">
        <v>7087667000</v>
      </c>
      <c r="AF3829" s="28">
        <v>372711000</v>
      </c>
      <c r="AG3829" s="11"/>
    </row>
    <row r="3830">
      <c r="A3830" s="7" t="s">
        <v>5486</v>
      </c>
      <c r="B3830" s="5" t="s">
        <v>13447</v>
      </c>
      <c r="C3830" s="5" t="s">
        <v>21237</v>
      </c>
      <c r="D3830" s="5" t="str">
        <v>772026948703</v>
      </c>
      <c r="E3830" s="0" t="e">
        <f>+7 (495) 5803252
+7 (495) 9376373</f>
        <v>#NAME?</v>
      </c>
      <c r="F3830" s="5" t="s">
        <v>36825</v>
      </c>
      <c r="G3830" s="5" t="s">
        <v>36826</v>
      </c>
      <c r="H3830" s="26">
        <v>15.5</v>
      </c>
      <c r="I3830" s="5" t="s">
        <v>36827</v>
      </c>
      <c r="J3830" s="5" t="s">
        <v>26515</v>
      </c>
      <c r="K3830" s="5" t="s">
        <v>344</v>
      </c>
      <c r="L3830" s="5" t="s">
        <v>36828</v>
      </c>
      <c r="M3830" s="27">
        <v>50001</v>
      </c>
      <c r="N3830" s="5" t="s">
        <v>55240</v>
      </c>
      <c r="O3830" s="5" t="str">
        <v>7704668333</v>
      </c>
      <c r="P3830" s="27">
        <v>278000000</v>
      </c>
      <c r="Q3830" s="5" t="s">
        <v>55241</v>
      </c>
      <c r="R3830" s="5"/>
      <c r="S3830" s="5" t="s">
        <v>55242</v>
      </c>
      <c r="T3830" s="28">
        <v>73325000</v>
      </c>
      <c r="U3830" s="28">
        <v>142570000</v>
      </c>
      <c r="V3830" s="28">
        <v>1163645000</v>
      </c>
      <c r="W3830" s="28"/>
      <c r="X3830" s="28">
        <v>921198000</v>
      </c>
      <c r="Y3830" s="28">
        <v>8438667000</v>
      </c>
      <c r="Z3830" s="28">
        <v>538443000</v>
      </c>
      <c r="AA3830" s="28">
        <v>3590111000</v>
      </c>
      <c r="AB3830" s="28">
        <v>2967747000</v>
      </c>
      <c r="AC3830" s="28">
        <v>3333755000</v>
      </c>
      <c r="AD3830" s="28">
        <v>1116443000</v>
      </c>
      <c r="AE3830" s="28">
        <v>3554370000</v>
      </c>
      <c r="AF3830" s="28">
        <v>430687000</v>
      </c>
      <c r="AG3830" s="11"/>
    </row>
    <row r="3831">
      <c r="A3831" s="7" t="s">
        <v>5487</v>
      </c>
      <c r="B3831" s="5" t="s">
        <v>13448</v>
      </c>
      <c r="C3831" s="5" t="s">
        <v>21238</v>
      </c>
      <c r="D3831" s="5" t="str">
        <v>502000335981</v>
      </c>
      <c r="E3831" s="0" t="e">
        <f>+7 (495) 6452050</f>
        <v>#NAME?</v>
      </c>
      <c r="F3831" s="5"/>
      <c r="G3831" s="5" t="s">
        <v>36829</v>
      </c>
      <c r="H3831" s="26">
        <v>12.5</v>
      </c>
      <c r="I3831" s="5" t="s">
        <v>36830</v>
      </c>
      <c r="J3831" s="5" t="s">
        <v>26511</v>
      </c>
      <c r="K3831" s="5" t="s">
        <v>344</v>
      </c>
      <c r="L3831" s="5" t="s">
        <v>36831</v>
      </c>
      <c r="M3831" s="27"/>
      <c r="N3831" s="5" t="s">
        <v>55243</v>
      </c>
      <c r="O3831" s="5" t="str">
        <v>5003088179</v>
      </c>
      <c r="P3831" s="27">
        <v>10000</v>
      </c>
      <c r="Q3831" s="5"/>
      <c r="R3831" s="5"/>
      <c r="S3831" s="5" t="s">
        <v>49110</v>
      </c>
      <c r="T3831" s="28">
        <v>480000</v>
      </c>
      <c r="U3831" s="28">
        <v>1313000</v>
      </c>
      <c r="V3831" s="28">
        <v>199340000</v>
      </c>
      <c r="W3831" s="28">
        <v>35140000</v>
      </c>
      <c r="X3831" s="28">
        <v>70872000</v>
      </c>
      <c r="Y3831" s="28">
        <v>338929000</v>
      </c>
      <c r="Z3831" s="28">
        <v>233585000</v>
      </c>
      <c r="AA3831" s="28">
        <v>40800000</v>
      </c>
      <c r="AB3831" s="28">
        <v>286000</v>
      </c>
      <c r="AC3831" s="28">
        <v>64533000</v>
      </c>
      <c r="AD3831" s="28">
        <v>233595000</v>
      </c>
      <c r="AE3831" s="28">
        <v>3108549000</v>
      </c>
      <c r="AF3831" s="28">
        <v>39322000</v>
      </c>
      <c r="AG3831" s="11"/>
    </row>
    <row r="3832">
      <c r="A3832" s="7" t="s">
        <v>5488</v>
      </c>
      <c r="B3832" s="5" t="s">
        <v>13449</v>
      </c>
      <c r="C3832" s="5" t="s">
        <v>21239</v>
      </c>
      <c r="D3832" s="5" t="str">
        <v>501885214765</v>
      </c>
      <c r="E3832" s="0" t="e">
        <f>+7 (495) 5166688
+7 (495) 5169313
+7 (495) 5059733
+7 (495) 5129451
+7 (495) 5162246
+7 (495) 5166531
+7 (495) 5166594
+7 (495) 5167914
+7 (495) 5773083
+7 (495) 5794272
+7 (495) 5794769
+7 (4986) 815518</f>
        <v>#NAME?</v>
      </c>
      <c r="F3832" s="5" t="s">
        <v>36832</v>
      </c>
      <c r="G3832" s="5" t="s">
        <v>36833</v>
      </c>
      <c r="H3832" s="26">
        <v>30</v>
      </c>
      <c r="I3832" s="5"/>
      <c r="J3832" s="5" t="s">
        <v>29005</v>
      </c>
      <c r="K3832" s="5" t="s">
        <v>344</v>
      </c>
      <c r="L3832" s="5" t="s">
        <v>36834</v>
      </c>
      <c r="M3832" s="27">
        <v>583041340</v>
      </c>
      <c r="N3832" s="5" t="s">
        <v>55244</v>
      </c>
      <c r="O3832" s="5" t="str">
        <v>5018054863</v>
      </c>
      <c r="P3832" s="27">
        <v>3249885345</v>
      </c>
      <c r="Q3832" s="5" t="s">
        <v>55245</v>
      </c>
      <c r="R3832" s="5"/>
      <c r="S3832" s="5" t="s">
        <v>49288</v>
      </c>
      <c r="T3832" s="28">
        <v>14335110000</v>
      </c>
      <c r="U3832" s="28">
        <v>218193000</v>
      </c>
      <c r="V3832" s="28">
        <v>4662579000</v>
      </c>
      <c r="W3832" s="28"/>
      <c r="X3832" s="28">
        <v>748116000</v>
      </c>
      <c r="Y3832" s="28">
        <v>31297920000</v>
      </c>
      <c r="Z3832" s="28">
        <v>8304980000</v>
      </c>
      <c r="AA3832" s="28">
        <v>8900000000</v>
      </c>
      <c r="AB3832" s="28">
        <v>245001000</v>
      </c>
      <c r="AC3832" s="28">
        <v>7632357000</v>
      </c>
      <c r="AD3832" s="28">
        <v>14633037000</v>
      </c>
      <c r="AE3832" s="28">
        <v>6037525000</v>
      </c>
      <c r="AF3832" s="28">
        <v>1894670000</v>
      </c>
      <c r="AG3832" s="11"/>
    </row>
    <row r="3833">
      <c r="A3833" s="7" t="s">
        <v>5489</v>
      </c>
      <c r="B3833" s="5" t="s">
        <v>13450</v>
      </c>
      <c r="C3833" s="5" t="s">
        <v>21240</v>
      </c>
      <c r="D3833" s="5" t="str">
        <v>632139871450</v>
      </c>
      <c r="E3833" s="0" t="e">
        <f>+7 (495) 9389461
+7 (495) 1977714
+7 (495) 7455670</f>
        <v>#NAME?</v>
      </c>
      <c r="F3833" s="5" t="s">
        <v>36835</v>
      </c>
      <c r="G3833" s="5"/>
      <c r="H3833" s="26">
        <v>17</v>
      </c>
      <c r="I3833" s="5" t="s">
        <v>36836</v>
      </c>
      <c r="J3833" s="5" t="s">
        <v>26623</v>
      </c>
      <c r="K3833" s="5" t="s">
        <v>344</v>
      </c>
      <c r="L3833" s="5" t="s">
        <v>36837</v>
      </c>
      <c r="M3833" s="27">
        <v>3930585</v>
      </c>
      <c r="N3833" s="5"/>
      <c r="O3833" s="5" t="str">
        <v>7725567512</v>
      </c>
      <c r="P3833" s="27">
        <v>500000</v>
      </c>
      <c r="Q3833" s="5" t="s">
        <v>55246</v>
      </c>
      <c r="R3833" s="5"/>
      <c r="S3833" s="5" t="s">
        <v>55247</v>
      </c>
      <c r="T3833" s="28">
        <v>67714000</v>
      </c>
      <c r="U3833" s="28"/>
      <c r="V3833" s="28">
        <v>598578000</v>
      </c>
      <c r="W3833" s="28"/>
      <c r="X3833" s="28">
        <v>70051000</v>
      </c>
      <c r="Y3833" s="28">
        <v>745040000</v>
      </c>
      <c r="Z3833" s="28">
        <v>174119000</v>
      </c>
      <c r="AA3833" s="28"/>
      <c r="AB3833" s="28"/>
      <c r="AC3833" s="28">
        <v>532140000</v>
      </c>
      <c r="AD3833" s="28">
        <v>174619000</v>
      </c>
      <c r="AE3833" s="28">
        <v>8245647000</v>
      </c>
      <c r="AF3833" s="28">
        <v>83148000</v>
      </c>
      <c r="AG3833" s="11"/>
    </row>
    <row r="3834">
      <c r="A3834" s="7" t="s">
        <v>5490</v>
      </c>
      <c r="B3834" s="5" t="s">
        <v>13446</v>
      </c>
      <c r="C3834" s="5" t="s">
        <v>21241</v>
      </c>
      <c r="D3834" s="5" t="str">
        <v>333411194980</v>
      </c>
      <c r="E3834" s="0" t="e">
        <f>+7 (49234) 29006
+7 (49234) 49270
+7 (49234) 49720
+7 (49234) 49980</f>
        <v>#NAME?</v>
      </c>
      <c r="F3834" s="5" t="s">
        <v>36838</v>
      </c>
      <c r="G3834" s="5"/>
      <c r="H3834" s="26">
        <v>16.5</v>
      </c>
      <c r="I3834" s="5" t="s">
        <v>36839</v>
      </c>
      <c r="J3834" s="5" t="s">
        <v>678</v>
      </c>
      <c r="K3834" s="5" t="s">
        <v>344</v>
      </c>
      <c r="L3834" s="5" t="s">
        <v>36840</v>
      </c>
      <c r="M3834" s="27"/>
      <c r="N3834" s="5" t="s">
        <v>55248</v>
      </c>
      <c r="O3834" s="5" t="str">
        <v>3334008029</v>
      </c>
      <c r="P3834" s="27">
        <v>6000000</v>
      </c>
      <c r="Q3834" s="5" t="s">
        <v>55249</v>
      </c>
      <c r="R3834" s="5"/>
      <c r="S3834" s="5" t="s">
        <v>55250</v>
      </c>
      <c r="T3834" s="28">
        <v>7960000</v>
      </c>
      <c r="U3834" s="28">
        <v>19000</v>
      </c>
      <c r="V3834" s="28">
        <v>835079000</v>
      </c>
      <c r="W3834" s="28"/>
      <c r="X3834" s="28">
        <v>470196000</v>
      </c>
      <c r="Y3834" s="28">
        <v>1402431000</v>
      </c>
      <c r="Z3834" s="28">
        <v>210073000</v>
      </c>
      <c r="AA3834" s="28"/>
      <c r="AB3834" s="28">
        <v>20013000</v>
      </c>
      <c r="AC3834" s="28">
        <v>1185714000</v>
      </c>
      <c r="AD3834" s="28">
        <v>216073000</v>
      </c>
      <c r="AE3834" s="28">
        <v>8839517000</v>
      </c>
      <c r="AF3834" s="28">
        <v>595469000</v>
      </c>
      <c r="AG3834" s="11"/>
    </row>
    <row r="3835">
      <c r="A3835" s="7" t="s">
        <v>5491</v>
      </c>
      <c r="B3835" s="5" t="s">
        <v>13451</v>
      </c>
      <c r="C3835" s="5" t="s">
        <v>21242</v>
      </c>
      <c r="D3835" s="5" t="str">
        <v>502900567801</v>
      </c>
      <c r="F3835" s="5" t="s">
        <v>36841</v>
      </c>
      <c r="G3835" s="5" t="s">
        <v>36842</v>
      </c>
      <c r="H3835" s="26">
        <v>1.5</v>
      </c>
      <c r="I3835" s="5" t="s">
        <v>36843</v>
      </c>
      <c r="J3835" s="5" t="s">
        <v>35829</v>
      </c>
      <c r="K3835" s="5" t="s">
        <v>344</v>
      </c>
      <c r="L3835" s="5"/>
      <c r="M3835" s="27"/>
      <c r="N3835" s="5"/>
      <c r="O3835" s="5" t="str">
        <v>5050151100</v>
      </c>
      <c r="P3835" s="27">
        <v>4655000</v>
      </c>
      <c r="Q3835" s="5" t="s">
        <v>49021</v>
      </c>
      <c r="R3835" s="5"/>
      <c r="S3835" s="5" t="s">
        <v>55252</v>
      </c>
      <c r="T3835" s="28">
        <v>4995393000</v>
      </c>
      <c r="U3835" s="28">
        <v>321585000</v>
      </c>
      <c r="V3835" s="28">
        <v>758417000</v>
      </c>
      <c r="W3835" s="28"/>
      <c r="X3835" s="28">
        <v>19150000</v>
      </c>
      <c r="Y3835" s="28">
        <v>7850420000</v>
      </c>
      <c r="Z3835" s="28">
        <v>650053000</v>
      </c>
      <c r="AA3835" s="28">
        <v>761651000</v>
      </c>
      <c r="AB3835" s="28">
        <v>7486000</v>
      </c>
      <c r="AC3835" s="28">
        <v>1131364000</v>
      </c>
      <c r="AD3835" s="28">
        <v>654708000</v>
      </c>
      <c r="AE3835" s="28">
        <v>9786254000</v>
      </c>
      <c r="AF3835" s="28">
        <v>1291386000</v>
      </c>
      <c r="AG3835" s="11"/>
    </row>
    <row r="3836">
      <c r="A3836" s="7" t="s">
        <v>5492</v>
      </c>
      <c r="B3836" s="5" t="s">
        <v>13452</v>
      </c>
      <c r="C3836" s="5" t="s">
        <v>21243</v>
      </c>
      <c r="D3836" s="5" t="str">
        <v>773134298074</v>
      </c>
      <c r="E3836" s="0" t="e">
        <f>+7 (487) 2272342
+7 (487) 2393634
+7 (487) 2507777
+7 (487) 2570000
+7 (487) 2570105
+7 (487) 2570444
+7 (487) 2570577
+7 (487) 2570770
+7 (487) 2570822
+7 (487) 2577702
+7 (487) 2580777
+7 (487) 2706086
+7 (495) 2408297
+7 (487) 2550777
+7 (495) 5368521</f>
        <v>#NAME?</v>
      </c>
      <c r="F3836" s="5" t="s">
        <v>36844</v>
      </c>
      <c r="G3836" s="5" t="s">
        <v>36845</v>
      </c>
      <c r="H3836" s="26">
        <v>10</v>
      </c>
      <c r="I3836" s="5" t="s">
        <v>36846</v>
      </c>
      <c r="J3836" s="5" t="s">
        <v>36847</v>
      </c>
      <c r="K3836" s="5" t="s">
        <v>344</v>
      </c>
      <c r="L3836" s="5"/>
      <c r="M3836" s="27">
        <v>1791935</v>
      </c>
      <c r="N3836" s="5" t="s">
        <v>55253</v>
      </c>
      <c r="O3836" s="5" t="str">
        <v>7734699480</v>
      </c>
      <c r="P3836" s="27">
        <v>10000</v>
      </c>
      <c r="Q3836" s="5" t="s">
        <v>55254</v>
      </c>
      <c r="R3836" s="5"/>
      <c r="S3836" s="5" t="s">
        <v>55255</v>
      </c>
      <c r="T3836" s="28">
        <v>2012014000</v>
      </c>
      <c r="U3836" s="28">
        <v>883164000</v>
      </c>
      <c r="V3836" s="28">
        <v>2542480000</v>
      </c>
      <c r="W3836" s="28"/>
      <c r="X3836" s="28">
        <v>74146000</v>
      </c>
      <c r="Y3836" s="28">
        <v>5884848000</v>
      </c>
      <c r="Z3836" s="28">
        <v>649913000</v>
      </c>
      <c r="AA3836" s="28">
        <v>1727517000</v>
      </c>
      <c r="AB3836" s="28">
        <v>75237000</v>
      </c>
      <c r="AC3836" s="28">
        <v>1890268000</v>
      </c>
      <c r="AD3836" s="28">
        <v>649923000</v>
      </c>
      <c r="AE3836" s="28">
        <v>8461822000</v>
      </c>
      <c r="AF3836" s="28">
        <v>32659000</v>
      </c>
      <c r="AG3836" s="11"/>
    </row>
    <row r="3837">
      <c r="A3837" s="7" t="s">
        <v>5493</v>
      </c>
      <c r="B3837" s="5" t="s">
        <v>13453</v>
      </c>
      <c r="C3837" s="5" t="s">
        <v>21244</v>
      </c>
      <c r="D3837" s="5" t="str">
        <v>745600821676</v>
      </c>
      <c r="E3837" s="0" t="e">
        <f>+7 (495) 9842400</f>
        <v>#NAME?</v>
      </c>
      <c r="F3837" s="5"/>
      <c r="G3837" s="5"/>
      <c r="H3837" s="26">
        <v>12.5</v>
      </c>
      <c r="I3837" s="5" t="s">
        <v>36848</v>
      </c>
      <c r="J3837" s="5" t="s">
        <v>25324</v>
      </c>
      <c r="K3837" s="5" t="s">
        <v>380</v>
      </c>
      <c r="L3837" s="5"/>
      <c r="M3837" s="27">
        <v>2324995</v>
      </c>
      <c r="N3837" s="5"/>
      <c r="O3837" s="5" t="str">
        <v>7710868637</v>
      </c>
      <c r="P3837" s="27">
        <v>670125294</v>
      </c>
      <c r="Q3837" s="5"/>
      <c r="R3837" s="5"/>
      <c r="S3837" s="5" t="s">
        <v>49053</v>
      </c>
      <c r="T3837" s="28">
        <v>4310544000</v>
      </c>
      <c r="U3837" s="28">
        <v>106189000</v>
      </c>
      <c r="V3837" s="28">
        <v>325205000</v>
      </c>
      <c r="W3837" s="28"/>
      <c r="X3837" s="28">
        <v>210000</v>
      </c>
      <c r="Y3837" s="28">
        <v>5046830000</v>
      </c>
      <c r="Z3837" s="28">
        <v>-345877000</v>
      </c>
      <c r="AA3837" s="28">
        <v>3030468000</v>
      </c>
      <c r="AB3837" s="28">
        <v>2040000</v>
      </c>
      <c r="AC3837" s="28">
        <v>955853000</v>
      </c>
      <c r="AD3837" s="28">
        <v>896868000</v>
      </c>
      <c r="AE3837" s="28">
        <v>3829887000</v>
      </c>
      <c r="AF3837" s="28">
        <v>850000</v>
      </c>
      <c r="AG3837" s="11"/>
    </row>
    <row r="3838">
      <c r="A3838" s="7" t="s">
        <v>5494</v>
      </c>
      <c r="B3838" s="5" t="s">
        <v>13454</v>
      </c>
      <c r="C3838" s="5" t="s">
        <v>21245</v>
      </c>
      <c r="D3838" s="5" t="str">
        <v>770503795043</v>
      </c>
      <c r="E3838" s="0" t="e">
        <f>+7 (495) 7866633
+7 (499) 6164094
+7 (499) 6167266
+7 (499) 6169884
+7 (499) 6185062
+7 (499) 7866622</f>
        <v>#NAME?</v>
      </c>
      <c r="F3838" s="5" t="s">
        <v>36849</v>
      </c>
      <c r="G3838" s="5" t="s">
        <v>36850</v>
      </c>
      <c r="H3838" s="26">
        <v>29.5</v>
      </c>
      <c r="I3838" s="5"/>
      <c r="J3838" s="5" t="s">
        <v>27182</v>
      </c>
      <c r="K3838" s="5" t="s">
        <v>355</v>
      </c>
      <c r="L3838" s="5" t="s">
        <v>36851</v>
      </c>
      <c r="M3838" s="27">
        <v>18791728</v>
      </c>
      <c r="N3838" s="5" t="s">
        <v>49923</v>
      </c>
      <c r="O3838" s="5" t="str">
        <v>7725009042</v>
      </c>
      <c r="P3838" s="27">
        <v>34524</v>
      </c>
      <c r="Q3838" s="5" t="s">
        <v>55256</v>
      </c>
      <c r="R3838" s="5"/>
      <c r="S3838" s="5" t="s">
        <v>51290</v>
      </c>
      <c r="T3838" s="28">
        <v>700229000</v>
      </c>
      <c r="U3838" s="28">
        <v>60000000</v>
      </c>
      <c r="V3838" s="28">
        <v>817511000</v>
      </c>
      <c r="W3838" s="28">
        <v>967720000</v>
      </c>
      <c r="X3838" s="28">
        <v>234824000</v>
      </c>
      <c r="Y3838" s="28">
        <v>14562260000</v>
      </c>
      <c r="Z3838" s="28">
        <v>1139675000</v>
      </c>
      <c r="AA3838" s="28">
        <v>10281032000</v>
      </c>
      <c r="AB3838" s="28">
        <v>108949000</v>
      </c>
      <c r="AC3838" s="28">
        <v>969266000</v>
      </c>
      <c r="AD3838" s="28">
        <v>2273607000</v>
      </c>
      <c r="AE3838" s="28">
        <v>7631066000</v>
      </c>
      <c r="AF3838" s="28">
        <v>1969819000</v>
      </c>
      <c r="AG3838" s="11"/>
    </row>
    <row r="3839">
      <c r="A3839" s="7" t="s">
        <v>5495</v>
      </c>
      <c r="B3839" s="5" t="s">
        <v>13455</v>
      </c>
      <c r="C3839" s="5" t="s">
        <v>21246</v>
      </c>
      <c r="D3839" s="5" t="str">
        <v>780218257244</v>
      </c>
      <c r="E3839" s="0" t="e">
        <f>+7 (499) 7779627
+7 (922) 3317707
+7 (812) 3311707
+7 (812) 3317707
+7 (812) 7779627</f>
        <v>#NAME?</v>
      </c>
      <c r="F3839" s="5" t="s">
        <v>36852</v>
      </c>
      <c r="G3839" s="5" t="s">
        <v>36853</v>
      </c>
      <c r="H3839" s="26">
        <v>15</v>
      </c>
      <c r="I3839" s="5" t="s">
        <v>36854</v>
      </c>
      <c r="J3839" s="5" t="s">
        <v>27164</v>
      </c>
      <c r="K3839" s="5" t="s">
        <v>344</v>
      </c>
      <c r="L3839" s="5" t="s">
        <v>35852</v>
      </c>
      <c r="M3839" s="27"/>
      <c r="N3839" s="5" t="s">
        <v>55257</v>
      </c>
      <c r="O3839" s="5" t="str">
        <v>7813401033</v>
      </c>
      <c r="P3839" s="27">
        <v>250000</v>
      </c>
      <c r="Q3839" s="5" t="s">
        <v>49021</v>
      </c>
      <c r="R3839" s="5"/>
      <c r="S3839" s="5" t="s">
        <v>55258</v>
      </c>
      <c r="T3839" s="28">
        <v>4052000</v>
      </c>
      <c r="U3839" s="28">
        <v>20003000</v>
      </c>
      <c r="V3839" s="28">
        <v>726212000</v>
      </c>
      <c r="W3839" s="28">
        <v>42956000</v>
      </c>
      <c r="X3839" s="28">
        <v>181057000</v>
      </c>
      <c r="Y3839" s="28">
        <v>1607453000</v>
      </c>
      <c r="Z3839" s="28">
        <v>568822000</v>
      </c>
      <c r="AA3839" s="28">
        <v>200000000</v>
      </c>
      <c r="AB3839" s="28"/>
      <c r="AC3839" s="28">
        <v>835733000</v>
      </c>
      <c r="AD3839" s="28">
        <v>569072000</v>
      </c>
      <c r="AE3839" s="28">
        <v>3097356000</v>
      </c>
      <c r="AF3839" s="28">
        <v>166526000</v>
      </c>
      <c r="AG3839" s="11"/>
    </row>
    <row r="3840">
      <c r="A3840" s="7" t="s">
        <v>5496</v>
      </c>
      <c r="B3840" s="5" t="s">
        <v>13456</v>
      </c>
      <c r="C3840" s="5" t="s">
        <v>21247</v>
      </c>
      <c r="D3840" s="5" t="str">
        <v>583506691546</v>
      </c>
      <c r="E3840" s="0" t="e">
        <f>+7 (903) 3288148
+7 (495) 4192018</f>
        <v>#NAME?</v>
      </c>
      <c r="F3840" s="5" t="s">
        <v>36855</v>
      </c>
      <c r="G3840" s="5" t="s">
        <v>36856</v>
      </c>
      <c r="H3840" s="26">
        <v>3</v>
      </c>
      <c r="I3840" s="5" t="s">
        <v>36857</v>
      </c>
      <c r="J3840" s="5" t="s">
        <v>1081</v>
      </c>
      <c r="K3840" s="5" t="s">
        <v>355</v>
      </c>
      <c r="L3840" s="5" t="s">
        <v>36858</v>
      </c>
      <c r="M3840" s="27">
        <v>6327952</v>
      </c>
      <c r="N3840" s="5" t="s">
        <v>55259</v>
      </c>
      <c r="O3840" s="5" t="str">
        <v>5032314898</v>
      </c>
      <c r="P3840" s="27">
        <v>200000</v>
      </c>
      <c r="Q3840" s="5" t="s">
        <v>49021</v>
      </c>
      <c r="R3840" s="5" t="s">
        <v>55260</v>
      </c>
      <c r="S3840" s="5" t="s">
        <v>55261</v>
      </c>
      <c r="T3840" s="28">
        <v>399388000</v>
      </c>
      <c r="U3840" s="28"/>
      <c r="V3840" s="28">
        <v>4962346000</v>
      </c>
      <c r="W3840" s="28"/>
      <c r="X3840" s="28">
        <v>5447000</v>
      </c>
      <c r="Y3840" s="28">
        <v>6284675000</v>
      </c>
      <c r="Z3840" s="28">
        <v>125512000</v>
      </c>
      <c r="AA3840" s="28">
        <v>197272000</v>
      </c>
      <c r="AB3840" s="28">
        <v>19525000</v>
      </c>
      <c r="AC3840" s="28">
        <v>5501949000</v>
      </c>
      <c r="AD3840" s="28">
        <v>125712000</v>
      </c>
      <c r="AE3840" s="28">
        <v>5225990000</v>
      </c>
      <c r="AF3840" s="28">
        <v>64553000</v>
      </c>
      <c r="AG3840" s="11"/>
    </row>
    <row r="3841">
      <c r="A3841" s="7" t="s">
        <v>5497</v>
      </c>
      <c r="B3841" s="5" t="s">
        <v>13457</v>
      </c>
      <c r="C3841" s="5" t="s">
        <v>21248</v>
      </c>
      <c r="D3841" s="5" t="str">
        <v>780230246496</v>
      </c>
      <c r="E3841" s="0" t="e">
        <f>+7 (495) 3695896</f>
        <v>#NAME?</v>
      </c>
      <c r="F3841" s="5" t="s">
        <v>36859</v>
      </c>
      <c r="G3841" s="5" t="s">
        <v>36860</v>
      </c>
      <c r="H3841" s="26">
        <v>13.5</v>
      </c>
      <c r="I3841" s="5"/>
      <c r="J3841" s="5" t="s">
        <v>27776</v>
      </c>
      <c r="K3841" s="5" t="s">
        <v>344</v>
      </c>
      <c r="L3841" s="5"/>
      <c r="M3841" s="27"/>
      <c r="N3841" s="5" t="s">
        <v>50284</v>
      </c>
      <c r="O3841" s="5" t="str">
        <v>6950104591</v>
      </c>
      <c r="P3841" s="27">
        <v>150000</v>
      </c>
      <c r="Q3841" s="5" t="s">
        <v>55262</v>
      </c>
      <c r="R3841" s="5"/>
      <c r="S3841" s="5" t="s">
        <v>50191</v>
      </c>
      <c r="T3841" s="28">
        <v>861902000</v>
      </c>
      <c r="U3841" s="28"/>
      <c r="V3841" s="28">
        <v>646365000</v>
      </c>
      <c r="W3841" s="28"/>
      <c r="X3841" s="28">
        <v>2589322000</v>
      </c>
      <c r="Y3841" s="28">
        <v>4559082000</v>
      </c>
      <c r="Z3841" s="28">
        <v>4285847000</v>
      </c>
      <c r="AA3841" s="28"/>
      <c r="AB3841" s="28"/>
      <c r="AC3841" s="28">
        <v>262340000</v>
      </c>
      <c r="AD3841" s="28">
        <v>4286010000</v>
      </c>
      <c r="AE3841" s="28">
        <v>7658736000</v>
      </c>
      <c r="AF3841" s="28">
        <v>101753000</v>
      </c>
      <c r="AG3841" s="11"/>
    </row>
    <row r="3842">
      <c r="A3842" s="7" t="s">
        <v>5498</v>
      </c>
      <c r="B3842" s="5" t="s">
        <v>13458</v>
      </c>
      <c r="C3842" s="5" t="s">
        <v>21249</v>
      </c>
      <c r="D3842" s="5" t="str">
        <v>711605034644</v>
      </c>
      <c r="E3842" s="0" t="e">
        <f>+7 (495) 2311255
+7 (495) 2311256
+7 (495) 3801416
+7 (495) 7302325
+7 (495) 7306317
+7 (499) 2311255
+7 (499) 2311256
+7 (499) 3909688</f>
        <v>#NAME?</v>
      </c>
      <c r="F3842" s="5" t="s">
        <v>36861</v>
      </c>
      <c r="G3842" s="5" t="s">
        <v>36862</v>
      </c>
      <c r="H3842" s="26">
        <v>16</v>
      </c>
      <c r="I3842" s="5" t="s">
        <v>36863</v>
      </c>
      <c r="J3842" s="5" t="s">
        <v>1095</v>
      </c>
      <c r="K3842" s="5" t="s">
        <v>355</v>
      </c>
      <c r="L3842" s="5" t="s">
        <v>36864</v>
      </c>
      <c r="M3842" s="27">
        <v>7187598405</v>
      </c>
      <c r="N3842" s="5"/>
      <c r="O3842" s="5" t="str">
        <v>7701716677</v>
      </c>
      <c r="P3842" s="27">
        <v>18000000</v>
      </c>
      <c r="Q3842" s="5" t="s">
        <v>49009</v>
      </c>
      <c r="R3842" s="5"/>
      <c r="S3842" s="5" t="s">
        <v>49066</v>
      </c>
      <c r="T3842" s="28">
        <v>242535000</v>
      </c>
      <c r="U3842" s="28"/>
      <c r="V3842" s="28">
        <v>98477044000</v>
      </c>
      <c r="W3842" s="28">
        <v>5530402000</v>
      </c>
      <c r="X3842" s="28">
        <v>2048290000</v>
      </c>
      <c r="Y3842" s="28">
        <v>115419323000</v>
      </c>
      <c r="Z3842" s="28">
        <v>12434640000</v>
      </c>
      <c r="AA3842" s="28"/>
      <c r="AB3842" s="28"/>
      <c r="AC3842" s="28">
        <v>91188464000</v>
      </c>
      <c r="AD3842" s="28">
        <v>12452640000</v>
      </c>
      <c r="AE3842" s="28">
        <v>21576228000</v>
      </c>
      <c r="AF3842" s="28">
        <v>6810496000</v>
      </c>
      <c r="AG3842" s="11"/>
    </row>
    <row r="3843">
      <c r="A3843" s="7" t="s">
        <v>5499</v>
      </c>
      <c r="B3843" s="5" t="s">
        <v>13459</v>
      </c>
      <c r="C3843" s="5" t="s">
        <v>21250</v>
      </c>
      <c r="D3843" s="5" t="str">
        <v>771313109026</v>
      </c>
      <c r="E3843" s="0" t="e">
        <f>+7 (495) 7803760
+7 (495) 7803762
+7 (495) 9787109
+7 (499) 7803760
+7 (499) 9782379
+7 (499) 9783075
+7 (499) 9783535
+7 (499) 9783536
+7 (499) 9787109</f>
        <v>#NAME?</v>
      </c>
      <c r="F3843" s="5" t="s">
        <v>36865</v>
      </c>
      <c r="G3843" s="5" t="s">
        <v>36866</v>
      </c>
      <c r="H3843" s="26">
        <v>30</v>
      </c>
      <c r="I3843" s="5"/>
      <c r="J3843" s="5" t="s">
        <v>36823</v>
      </c>
      <c r="K3843" s="5" t="s">
        <v>355</v>
      </c>
      <c r="L3843" s="5" t="s">
        <v>36867</v>
      </c>
      <c r="M3843" s="27">
        <v>51473</v>
      </c>
      <c r="N3843" s="5" t="s">
        <v>55263</v>
      </c>
      <c r="O3843" s="5" t="str">
        <v>7707019672</v>
      </c>
      <c r="P3843" s="27">
        <v>37653600</v>
      </c>
      <c r="Q3843" s="5" t="s">
        <v>55264</v>
      </c>
      <c r="R3843" s="5"/>
      <c r="S3843" s="5" t="s">
        <v>55265</v>
      </c>
      <c r="T3843" s="28">
        <v>1767419000</v>
      </c>
      <c r="U3843" s="28">
        <v>227900000</v>
      </c>
      <c r="V3843" s="28">
        <v>2371513000</v>
      </c>
      <c r="W3843" s="28">
        <v>550000000</v>
      </c>
      <c r="X3843" s="28">
        <v>9910000</v>
      </c>
      <c r="Y3843" s="28">
        <v>7433191000</v>
      </c>
      <c r="Z3843" s="28">
        <v>6584833000</v>
      </c>
      <c r="AA3843" s="28">
        <v>33190000</v>
      </c>
      <c r="AB3843" s="28">
        <v>78728000</v>
      </c>
      <c r="AC3843" s="28">
        <v>655347000</v>
      </c>
      <c r="AD3843" s="28">
        <v>6666345000</v>
      </c>
      <c r="AE3843" s="28">
        <v>5351767000</v>
      </c>
      <c r="AF3843" s="28">
        <v>100512000</v>
      </c>
      <c r="AG3843" s="11"/>
    </row>
    <row r="3844">
      <c r="A3844" s="7" t="s">
        <v>5500</v>
      </c>
      <c r="B3844" s="5" t="s">
        <v>13460</v>
      </c>
      <c r="C3844" s="5" t="s">
        <v>21251</v>
      </c>
      <c r="D3844" s="5" t="str">
        <v>575404766951</v>
      </c>
      <c r="E3844" s="0" t="e">
        <f>+7 (920) 8344844</f>
        <v>#NAME?</v>
      </c>
      <c r="F3844" s="5" t="s">
        <v>36868</v>
      </c>
      <c r="G3844" s="5" t="s">
        <v>36869</v>
      </c>
      <c r="H3844" s="26">
        <v>8</v>
      </c>
      <c r="I3844" s="5" t="s">
        <v>36870</v>
      </c>
      <c r="J3844" s="5" t="s">
        <v>25550</v>
      </c>
      <c r="K3844" s="5" t="s">
        <v>344</v>
      </c>
      <c r="L3844" s="5" t="s">
        <v>36871</v>
      </c>
      <c r="M3844" s="27">
        <v>4059</v>
      </c>
      <c r="N3844" s="5" t="s">
        <v>55266</v>
      </c>
      <c r="O3844" s="5" t="str">
        <v>5754201195</v>
      </c>
      <c r="P3844" s="27">
        <v>15000</v>
      </c>
      <c r="Q3844" s="5" t="s">
        <v>55267</v>
      </c>
      <c r="R3844" s="5"/>
      <c r="S3844" s="5" t="s">
        <v>55268</v>
      </c>
      <c r="T3844" s="28">
        <v>104623000</v>
      </c>
      <c r="U3844" s="28"/>
      <c r="V3844" s="28">
        <v>391465000</v>
      </c>
      <c r="W3844" s="28">
        <v>860000</v>
      </c>
      <c r="X3844" s="28">
        <v>1359000</v>
      </c>
      <c r="Y3844" s="28">
        <v>1440508000</v>
      </c>
      <c r="Z3844" s="28">
        <v>206314000</v>
      </c>
      <c r="AA3844" s="28"/>
      <c r="AB3844" s="28">
        <v>187550000</v>
      </c>
      <c r="AC3844" s="28">
        <v>1234179000</v>
      </c>
      <c r="AD3844" s="28">
        <v>206329000</v>
      </c>
      <c r="AE3844" s="28">
        <v>4975454000</v>
      </c>
      <c r="AF3844" s="28">
        <v>108340000</v>
      </c>
      <c r="AG3844" s="11"/>
    </row>
    <row r="3845">
      <c r="A3845" s="7" t="s">
        <v>5501</v>
      </c>
      <c r="B3845" s="5" t="s">
        <v>13461</v>
      </c>
      <c r="C3845" s="5" t="s">
        <v>21252</v>
      </c>
      <c r="D3845" s="5" t="str">
        <v>772638082298</v>
      </c>
      <c r="E3845" s="0" t="e">
        <f>+7 (812) 6400360
+7 (846) 3120505
+7 (499) 9912614
+7 (3422) 155025
+7 (3422) 871276
+7 (3432) 864224
+7 (473) 2334042
+7 (495) 1344555
+7 (495) 9912614
+7 (831) 2021284
+7 (844) 2411734
+7 (861) 2101080</f>
        <v>#NAME?</v>
      </c>
      <c r="F3845" s="5" t="s">
        <v>36872</v>
      </c>
      <c r="G3845" s="5" t="s">
        <v>36873</v>
      </c>
      <c r="H3845" s="26">
        <v>17.5</v>
      </c>
      <c r="I3845" s="5" t="s">
        <v>36874</v>
      </c>
      <c r="J3845" s="5" t="s">
        <v>36875</v>
      </c>
      <c r="K3845" s="5" t="s">
        <v>344</v>
      </c>
      <c r="L3845" s="5" t="s">
        <v>36876</v>
      </c>
      <c r="M3845" s="27"/>
      <c r="N3845" s="5" t="s">
        <v>55269</v>
      </c>
      <c r="O3845" s="5" t="str">
        <v>7731526088</v>
      </c>
      <c r="P3845" s="27">
        <v>10526</v>
      </c>
      <c r="Q3845" s="5" t="s">
        <v>55270</v>
      </c>
      <c r="R3845" s="5"/>
      <c r="S3845" s="5" t="s">
        <v>55271</v>
      </c>
      <c r="T3845" s="28">
        <v>24082000</v>
      </c>
      <c r="U3845" s="28"/>
      <c r="V3845" s="28">
        <v>556695000</v>
      </c>
      <c r="W3845" s="28"/>
      <c r="X3845" s="28">
        <v>1463000</v>
      </c>
      <c r="Y3845" s="28">
        <v>1952351000</v>
      </c>
      <c r="Z3845" s="28">
        <v>301054000</v>
      </c>
      <c r="AA3845" s="28">
        <v>420000000</v>
      </c>
      <c r="AB3845" s="28">
        <v>144919000</v>
      </c>
      <c r="AC3845" s="28">
        <v>1231286000</v>
      </c>
      <c r="AD3845" s="28">
        <v>301065000</v>
      </c>
      <c r="AE3845" s="28">
        <v>5614965000</v>
      </c>
      <c r="AF3845" s="28">
        <v>64618000</v>
      </c>
      <c r="AG3845" s="11"/>
    </row>
    <row r="3846">
      <c r="A3846" s="7" t="s">
        <v>110</v>
      </c>
      <c r="B3846" s="5" t="s">
        <v>13462</v>
      </c>
      <c r="C3846" s="5" t="s">
        <v>21253</v>
      </c>
      <c r="D3846" s="5" t="str">
        <v>771678480350</v>
      </c>
      <c r="E3846" s="0" t="e">
        <f>+7 (499) 9578181</f>
        <v>#NAME?</v>
      </c>
      <c r="F3846" s="5" t="s">
        <v>33271</v>
      </c>
      <c r="G3846" s="5"/>
      <c r="H3846" s="26">
        <v>5</v>
      </c>
      <c r="I3846" s="5" t="s">
        <v>36877</v>
      </c>
      <c r="J3846" s="5" t="s">
        <v>373</v>
      </c>
      <c r="K3846" s="5" t="s">
        <v>344</v>
      </c>
      <c r="L3846" s="5" t="s">
        <v>36878</v>
      </c>
      <c r="M3846" s="27"/>
      <c r="N3846" s="5" t="s">
        <v>51968</v>
      </c>
      <c r="O3846" s="5" t="str">
        <v>7730243295</v>
      </c>
      <c r="P3846" s="27">
        <v>10000</v>
      </c>
      <c r="Q3846" s="5" t="s">
        <v>55272</v>
      </c>
      <c r="R3846" s="5"/>
      <c r="S3846" s="5" t="s">
        <v>55273</v>
      </c>
      <c r="T3846" s="28">
        <v>663000</v>
      </c>
      <c r="U3846" s="28"/>
      <c r="V3846" s="28">
        <v>516473000</v>
      </c>
      <c r="W3846" s="28"/>
      <c r="X3846" s="28">
        <v>533422000</v>
      </c>
      <c r="Y3846" s="28">
        <v>1050822000</v>
      </c>
      <c r="Z3846" s="28">
        <v>985709000</v>
      </c>
      <c r="AA3846" s="28"/>
      <c r="AB3846" s="28"/>
      <c r="AC3846" s="28">
        <v>64739000</v>
      </c>
      <c r="AD3846" s="28">
        <v>985719000</v>
      </c>
      <c r="AE3846" s="28">
        <v>5327970000</v>
      </c>
      <c r="AF3846" s="28">
        <v>934598000</v>
      </c>
      <c r="AG3846" s="11"/>
    </row>
    <row r="3847">
      <c r="A3847" s="7" t="s">
        <v>5502</v>
      </c>
      <c r="B3847" s="5" t="s">
        <v>13463</v>
      </c>
      <c r="C3847" s="5" t="s">
        <v>21254</v>
      </c>
      <c r="D3847" s="5" t="str">
        <v>773110078633</v>
      </c>
      <c r="E3847" s="0" t="e">
        <f>+7 (495) 2251366
+7 (495) 6639502
+7 (495) 3664454
+7 (495) 3669501
+7 (495) 3669502
+7 (495) 7256061
+7 (495) 7548965
+7 (495) 7852459</f>
        <v>#NAME?</v>
      </c>
      <c r="F3847" s="5"/>
      <c r="G3847" s="5" t="s">
        <v>36879</v>
      </c>
      <c r="H3847" s="26">
        <v>25.5</v>
      </c>
      <c r="I3847" s="5"/>
      <c r="J3847" s="5" t="s">
        <v>36880</v>
      </c>
      <c r="K3847" s="5" t="s">
        <v>344</v>
      </c>
      <c r="L3847" s="5" t="s">
        <v>36881</v>
      </c>
      <c r="M3847" s="27"/>
      <c r="N3847" s="5" t="s">
        <v>55274</v>
      </c>
      <c r="O3847" s="5" t="str">
        <v>7722134310</v>
      </c>
      <c r="P3847" s="27">
        <v>1252500</v>
      </c>
      <c r="Q3847" s="5" t="s">
        <v>55275</v>
      </c>
      <c r="R3847" s="5"/>
      <c r="S3847" s="5" t="s">
        <v>55276</v>
      </c>
      <c r="T3847" s="28">
        <v>124482000</v>
      </c>
      <c r="U3847" s="28"/>
      <c r="V3847" s="28">
        <v>1787745000</v>
      </c>
      <c r="W3847" s="28">
        <v>1389700000</v>
      </c>
      <c r="X3847" s="28">
        <v>371242000</v>
      </c>
      <c r="Y3847" s="28">
        <v>5712540000</v>
      </c>
      <c r="Z3847" s="28">
        <v>4531204000</v>
      </c>
      <c r="AA3847" s="28">
        <v>500000000</v>
      </c>
      <c r="AB3847" s="28">
        <v>151000</v>
      </c>
      <c r="AC3847" s="28">
        <v>632744000</v>
      </c>
      <c r="AD3847" s="28">
        <v>4532520000</v>
      </c>
      <c r="AE3847" s="28">
        <v>5957597000</v>
      </c>
      <c r="AF3847" s="28">
        <v>1083474000</v>
      </c>
      <c r="AG3847" s="11"/>
    </row>
    <row r="3848">
      <c r="A3848" s="7" t="s">
        <v>5503</v>
      </c>
      <c r="B3848" s="5" t="s">
        <v>13464</v>
      </c>
      <c r="C3848" s="5" t="s">
        <v>21255</v>
      </c>
      <c r="D3848" s="5" t="str">
        <v>770971225046</v>
      </c>
      <c r="E3848" s="0" t="e">
        <f>+7 (495) 2365874
+7 (495) 3201485
+7 (910) 4257129
+7 (915) 550393
+7 (926) 4183847
+7 (495) 1851934
+7 (926) 4745788</f>
        <v>#NAME?</v>
      </c>
      <c r="F3848" s="5" t="s">
        <v>36882</v>
      </c>
      <c r="G3848" s="5" t="s">
        <v>36883</v>
      </c>
      <c r="H3848" s="26">
        <v>10.5</v>
      </c>
      <c r="I3848" s="5" t="s">
        <v>36884</v>
      </c>
      <c r="J3848" s="5" t="s">
        <v>27164</v>
      </c>
      <c r="K3848" s="5" t="s">
        <v>344</v>
      </c>
      <c r="L3848" s="5" t="s">
        <v>36885</v>
      </c>
      <c r="M3848" s="27"/>
      <c r="N3848" s="5" t="s">
        <v>55277</v>
      </c>
      <c r="O3848" s="5" t="str">
        <v>7706784906</v>
      </c>
      <c r="P3848" s="27">
        <v>10000</v>
      </c>
      <c r="Q3848" s="5" t="s">
        <v>55278</v>
      </c>
      <c r="R3848" s="5"/>
      <c r="S3848" s="5" t="s">
        <v>55279</v>
      </c>
      <c r="T3848" s="28">
        <v>4398000</v>
      </c>
      <c r="U3848" s="28"/>
      <c r="V3848" s="28">
        <v>2727647000</v>
      </c>
      <c r="W3848" s="28">
        <v>4725000</v>
      </c>
      <c r="X3848" s="28">
        <v>327144000</v>
      </c>
      <c r="Y3848" s="28">
        <v>3196367000</v>
      </c>
      <c r="Z3848" s="28">
        <v>524890000</v>
      </c>
      <c r="AA3848" s="28"/>
      <c r="AB3848" s="28"/>
      <c r="AC3848" s="28">
        <v>2665816000</v>
      </c>
      <c r="AD3848" s="28">
        <v>524900000</v>
      </c>
      <c r="AE3848" s="28">
        <v>6211656000</v>
      </c>
      <c r="AF3848" s="28">
        <v>71310000</v>
      </c>
      <c r="AG3848" s="11"/>
    </row>
    <row r="3849">
      <c r="A3849" s="7" t="s">
        <v>5504</v>
      </c>
      <c r="B3849" s="5" t="s">
        <v>13465</v>
      </c>
      <c r="C3849" s="5" t="s">
        <v>21256</v>
      </c>
      <c r="D3849" s="5" t="str">
        <v>343704383888</v>
      </c>
      <c r="E3849" s="0" t="e">
        <f>+7 (495) 6214881
+7 (495) 7250456
+7 (495) 9214881
+7 (495) 9214885</f>
        <v>#NAME?</v>
      </c>
      <c r="F3849" s="5"/>
      <c r="G3849" s="5" t="s">
        <v>36886</v>
      </c>
      <c r="H3849" s="26">
        <v>11</v>
      </c>
      <c r="I3849" s="5" t="s">
        <v>36887</v>
      </c>
      <c r="J3849" s="5" t="s">
        <v>881</v>
      </c>
      <c r="K3849" s="5" t="s">
        <v>355</v>
      </c>
      <c r="L3849" s="5" t="s">
        <v>36888</v>
      </c>
      <c r="M3849" s="27"/>
      <c r="N3849" s="5" t="s">
        <v>55280</v>
      </c>
      <c r="O3849" s="5" t="str">
        <v>7707767501</v>
      </c>
      <c r="P3849" s="27">
        <v>1210000</v>
      </c>
      <c r="Q3849" s="5"/>
      <c r="R3849" s="5" t="s">
        <v>55282</v>
      </c>
      <c r="S3849" s="5" t="s">
        <v>49121</v>
      </c>
      <c r="T3849" s="28">
        <v>1909229000</v>
      </c>
      <c r="U3849" s="28">
        <v>8012536000</v>
      </c>
      <c r="V3849" s="28">
        <v>2654046000</v>
      </c>
      <c r="W3849" s="28">
        <v>2007971000</v>
      </c>
      <c r="X3849" s="28">
        <v>215689000</v>
      </c>
      <c r="Y3849" s="28">
        <v>15518685000</v>
      </c>
      <c r="Z3849" s="28">
        <v>5867335000</v>
      </c>
      <c r="AA3849" s="28"/>
      <c r="AB3849" s="28">
        <v>1634470000</v>
      </c>
      <c r="AC3849" s="28">
        <v>8398379000</v>
      </c>
      <c r="AD3849" s="28">
        <v>5868606000</v>
      </c>
      <c r="AE3849" s="28">
        <v>22611590000</v>
      </c>
      <c r="AF3849" s="28">
        <v>394300000</v>
      </c>
      <c r="AG3849" s="11"/>
    </row>
    <row r="3850">
      <c r="A3850" s="7" t="s">
        <v>5505</v>
      </c>
      <c r="B3850" s="5" t="s">
        <v>13466</v>
      </c>
      <c r="C3850" s="5" t="s">
        <v>21257</v>
      </c>
      <c r="D3850" s="5" t="str">
        <v>772804220003</v>
      </c>
      <c r="E3850" s="0" t="e">
        <f>+7 (3422) 460565
+7 (3422) 460643
+7 (3422) 460722
+7 (3422) 460742
+7 (3422) 469808
+7 (343) 3729858
+7 (345) 2683101
+7 (3463) 665571
+7 (35329) 60848
+7 (385) 2601073
+7 (3919) 490065
+7 (3919) 490069
+7 (416) 2586089
+7 (4712) 302967
+7 (474) 2396961</f>
        <v>#NAME?</v>
      </c>
      <c r="F3850" s="5" t="s">
        <v>36889</v>
      </c>
      <c r="G3850" s="5" t="s">
        <v>36890</v>
      </c>
      <c r="H3850" s="26">
        <v>23</v>
      </c>
      <c r="I3850" s="5"/>
      <c r="J3850" s="5" t="s">
        <v>32921</v>
      </c>
      <c r="K3850" s="5" t="s">
        <v>355</v>
      </c>
      <c r="L3850" s="5"/>
      <c r="M3850" s="27">
        <v>491453126</v>
      </c>
      <c r="N3850" s="5" t="s">
        <v>55283</v>
      </c>
      <c r="O3850" s="5" t="str">
        <v>7740000076</v>
      </c>
      <c r="P3850" s="27">
        <v>199838158</v>
      </c>
      <c r="Q3850" s="5" t="s">
        <v>55284</v>
      </c>
      <c r="R3850" s="5" t="s">
        <v>55285</v>
      </c>
      <c r="S3850" s="5" t="s">
        <v>55286</v>
      </c>
      <c r="T3850" s="28">
        <v>423178862000</v>
      </c>
      <c r="U3850" s="28">
        <v>430081112000</v>
      </c>
      <c r="V3850" s="28">
        <v>26448546000</v>
      </c>
      <c r="W3850" s="28">
        <v>11342153000</v>
      </c>
      <c r="X3850" s="28">
        <v>16055800000</v>
      </c>
      <c r="Y3850" s="28">
        <v>1023041817000</v>
      </c>
      <c r="Z3850" s="28">
        <v>123056778000</v>
      </c>
      <c r="AA3850" s="28">
        <v>377645167000</v>
      </c>
      <c r="AB3850" s="28">
        <v>166889602000</v>
      </c>
      <c r="AC3850" s="28">
        <v>312334161000</v>
      </c>
      <c r="AD3850" s="28">
        <v>135205650000</v>
      </c>
      <c r="AE3850" s="28">
        <v>391573447000</v>
      </c>
      <c r="AF3850" s="28">
        <v>31278585000</v>
      </c>
      <c r="AG3850" s="11"/>
    </row>
    <row r="3851">
      <c r="A3851" s="7" t="s">
        <v>5506</v>
      </c>
      <c r="B3851" s="5" t="s">
        <v>13467</v>
      </c>
      <c r="C3851" s="5" t="s">
        <v>21258</v>
      </c>
      <c r="D3851" s="5" t="str">
        <v>020103908118</v>
      </c>
      <c r="E3851" s="0" t="e">
        <f>+7 (495) 6707010
+7 (36556) 25282
+7 (36569) 50469
+7 (495) 5266352
+7 (499) 7010101
+7 (499) 7990101
+7 (800) 3335385
+7 (800) 5000558
+7 (483) 2587693
+7 (495) 7090101
+7 (499) 7090100
+7 (499) 7090101
+7 (499) 7091000
+7 (800) 3333140
+7 (800) 5054831</f>
        <v>#NAME?</v>
      </c>
      <c r="F3851" s="5" t="s">
        <v>36891</v>
      </c>
      <c r="G3851" s="5" t="s">
        <v>36892</v>
      </c>
      <c r="H3851" s="26">
        <v>28.5</v>
      </c>
      <c r="I3851" s="5" t="s">
        <v>36893</v>
      </c>
      <c r="J3851" s="5" t="s">
        <v>27783</v>
      </c>
      <c r="K3851" s="5" t="s">
        <v>344</v>
      </c>
      <c r="L3851" s="5" t="s">
        <v>36894</v>
      </c>
      <c r="M3851" s="27"/>
      <c r="N3851" s="5" t="s">
        <v>55287</v>
      </c>
      <c r="O3851" s="5" t="str">
        <v>7705017253</v>
      </c>
      <c r="P3851" s="27">
        <v>1176538</v>
      </c>
      <c r="Q3851" s="5" t="s">
        <v>55288</v>
      </c>
      <c r="R3851" s="5"/>
      <c r="S3851" s="5" t="s">
        <v>55289</v>
      </c>
      <c r="T3851" s="28">
        <v>596408000</v>
      </c>
      <c r="U3851" s="28">
        <v>1164115000</v>
      </c>
      <c r="V3851" s="28">
        <v>867337000</v>
      </c>
      <c r="W3851" s="28"/>
      <c r="X3851" s="28">
        <v>190779000</v>
      </c>
      <c r="Y3851" s="28">
        <v>4142999000</v>
      </c>
      <c r="Z3851" s="28">
        <v>2720530000</v>
      </c>
      <c r="AA3851" s="28"/>
      <c r="AB3851" s="28"/>
      <c r="AC3851" s="28">
        <v>1345434000</v>
      </c>
      <c r="AD3851" s="28">
        <v>2722001000</v>
      </c>
      <c r="AE3851" s="28">
        <v>7285495000</v>
      </c>
      <c r="AF3851" s="28">
        <v>505514000</v>
      </c>
      <c r="AG3851" s="11"/>
    </row>
    <row r="3852">
      <c r="A3852" s="7" t="s">
        <v>5507</v>
      </c>
      <c r="B3852" s="5" t="s">
        <v>13468</v>
      </c>
      <c r="C3852" s="5" t="s">
        <v>21259</v>
      </c>
      <c r="D3852" s="5" t="str">
        <v>540807173360</v>
      </c>
      <c r="E3852" s="0" t="e">
        <f>+7 (495) 3355047
+7 (495) 3555047
+7 (495) 5313010
+7 (495) 6574420
+7 (926) 2480258</f>
        <v>#NAME?</v>
      </c>
      <c r="F3852" s="5" t="s">
        <v>36895</v>
      </c>
      <c r="G3852" s="5" t="s">
        <v>36896</v>
      </c>
      <c r="H3852" s="26">
        <v>11</v>
      </c>
      <c r="I3852" s="5" t="s">
        <v>36897</v>
      </c>
      <c r="J3852" s="5" t="s">
        <v>31843</v>
      </c>
      <c r="K3852" s="5" t="s">
        <v>344</v>
      </c>
      <c r="L3852" s="5" t="s">
        <v>36898</v>
      </c>
      <c r="M3852" s="27"/>
      <c r="N3852" s="5" t="s">
        <v>55290</v>
      </c>
      <c r="O3852" s="5" t="str">
        <v>7723825888</v>
      </c>
      <c r="P3852" s="27">
        <v>20000</v>
      </c>
      <c r="Q3852" s="5" t="s">
        <v>55291</v>
      </c>
      <c r="R3852" s="5" t="s">
        <v>55292</v>
      </c>
      <c r="S3852" s="5" t="s">
        <v>55293</v>
      </c>
      <c r="T3852" s="28">
        <v>242486000</v>
      </c>
      <c r="U3852" s="28">
        <v>525024000</v>
      </c>
      <c r="V3852" s="28">
        <v>1053302000</v>
      </c>
      <c r="W3852" s="28"/>
      <c r="X3852" s="28">
        <v>220751000</v>
      </c>
      <c r="Y3852" s="28">
        <v>2665888000</v>
      </c>
      <c r="Z3852" s="28">
        <v>1505195000</v>
      </c>
      <c r="AA3852" s="28"/>
      <c r="AB3852" s="28">
        <v>233999000</v>
      </c>
      <c r="AC3852" s="28">
        <v>1112903000</v>
      </c>
      <c r="AD3852" s="28">
        <v>1543328000</v>
      </c>
      <c r="AE3852" s="28">
        <v>4417396000</v>
      </c>
      <c r="AF3852" s="28">
        <v>852993000</v>
      </c>
      <c r="AG3852" s="11"/>
    </row>
    <row r="3853">
      <c r="A3853" s="7" t="s">
        <v>5508</v>
      </c>
      <c r="B3853" s="5" t="s">
        <v>13469</v>
      </c>
      <c r="C3853" s="5" t="s">
        <v>21260</v>
      </c>
      <c r="D3853" s="5" t="str">
        <v>772135937934</v>
      </c>
      <c r="E3853" s="0" t="e">
        <f>+7 (3512) 254281
+7 (35323) 8543
+7 (800) 5550075
+7 (844) 2374443
+7 (861) 2542714
+7 (3422) 570884
+7 (481) 2380337
+7 (495) 6415995
+7 (495) 7410000
+7 (8142) 765546
+7 (83143) 51424</f>
        <v>#NAME?</v>
      </c>
      <c r="F3853" s="5" t="s">
        <v>36899</v>
      </c>
      <c r="G3853" s="5" t="s">
        <v>36900</v>
      </c>
      <c r="H3853" s="26">
        <v>17</v>
      </c>
      <c r="I3853" s="5" t="s">
        <v>36901</v>
      </c>
      <c r="J3853" s="5" t="s">
        <v>36902</v>
      </c>
      <c r="K3853" s="5" t="s">
        <v>344</v>
      </c>
      <c r="L3853" s="5" t="s">
        <v>36903</v>
      </c>
      <c r="M3853" s="27">
        <v>72178</v>
      </c>
      <c r="N3853" s="5" t="s">
        <v>55294</v>
      </c>
      <c r="O3853" s="5" t="str">
        <v>7705710235</v>
      </c>
      <c r="P3853" s="27">
        <v>40000</v>
      </c>
      <c r="Q3853" s="5" t="s">
        <v>49009</v>
      </c>
      <c r="R3853" s="5"/>
      <c r="S3853" s="5" t="s">
        <v>49012</v>
      </c>
      <c r="T3853" s="28">
        <v>46758000</v>
      </c>
      <c r="U3853" s="28"/>
      <c r="V3853" s="28">
        <v>330514000</v>
      </c>
      <c r="W3853" s="28">
        <v>164000000</v>
      </c>
      <c r="X3853" s="28">
        <v>79298000</v>
      </c>
      <c r="Y3853" s="28">
        <v>1880345000</v>
      </c>
      <c r="Z3853" s="28">
        <v>766407000</v>
      </c>
      <c r="AA3853" s="28">
        <v>271444000</v>
      </c>
      <c r="AB3853" s="28">
        <v>404477000</v>
      </c>
      <c r="AC3853" s="28">
        <v>786587000</v>
      </c>
      <c r="AD3853" s="28">
        <v>783019000</v>
      </c>
      <c r="AE3853" s="28">
        <v>4912299000</v>
      </c>
      <c r="AF3853" s="28">
        <v>179856000</v>
      </c>
      <c r="AG3853" s="11"/>
    </row>
    <row r="3854">
      <c r="A3854" s="7" t="s">
        <v>5509</v>
      </c>
      <c r="B3854" s="5" t="s">
        <v>13470</v>
      </c>
      <c r="C3854" s="5" t="s">
        <v>21261</v>
      </c>
      <c r="D3854" s="5" t="str">
        <v>525805866704</v>
      </c>
      <c r="E3854" s="0" t="e">
        <f>+7 (495) 7870274
+7 (495) 9564545
+7 (495) 9569595
+7 (800) 7555000
+7 (812) 7033131
+7 (812) 7034400
+7 (812) 7034401
+7 (812) 7034410</f>
        <v>#NAME?</v>
      </c>
      <c r="F3854" s="5" t="s">
        <v>36904</v>
      </c>
      <c r="G3854" s="5"/>
      <c r="H3854" s="26">
        <v>22</v>
      </c>
      <c r="I3854" s="5"/>
      <c r="J3854" s="5" t="s">
        <v>27890</v>
      </c>
      <c r="K3854" s="5" t="s">
        <v>344</v>
      </c>
      <c r="L3854" s="5" t="s">
        <v>36905</v>
      </c>
      <c r="M3854" s="27">
        <v>263602</v>
      </c>
      <c r="N3854" s="5"/>
      <c r="O3854" s="5" t="str">
        <v>7810249327</v>
      </c>
      <c r="P3854" s="27">
        <v>2245713600</v>
      </c>
      <c r="Q3854" s="5" t="s">
        <v>49009</v>
      </c>
      <c r="R3854" s="5"/>
      <c r="S3854" s="5" t="s">
        <v>49066</v>
      </c>
      <c r="T3854" s="28">
        <v>4706318000</v>
      </c>
      <c r="U3854" s="28">
        <v>5330335000</v>
      </c>
      <c r="V3854" s="28">
        <v>7750238000</v>
      </c>
      <c r="W3854" s="28">
        <v>135788000</v>
      </c>
      <c r="X3854" s="28">
        <v>4442218000</v>
      </c>
      <c r="Y3854" s="28">
        <v>26673215000</v>
      </c>
      <c r="Z3854" s="28">
        <v>18677751000</v>
      </c>
      <c r="AA3854" s="28"/>
      <c r="AB3854" s="28"/>
      <c r="AC3854" s="28">
        <v>3688013000</v>
      </c>
      <c r="AD3854" s="28">
        <v>22354037000</v>
      </c>
      <c r="AE3854" s="28">
        <v>43000215000</v>
      </c>
      <c r="AF3854" s="28">
        <v>8182520000</v>
      </c>
      <c r="AG3854" s="11"/>
    </row>
    <row r="3855">
      <c r="A3855" s="7" t="s">
        <v>5510</v>
      </c>
      <c r="B3855" s="5" t="s">
        <v>13471</v>
      </c>
      <c r="C3855" s="5" t="s">
        <v>21262</v>
      </c>
      <c r="D3855" s="5" t="str">
        <v>773604687089</v>
      </c>
      <c r="E3855" s="0" t="e">
        <f>+7 (495) 7851515
+7 (495) 7846055
+7 (812) 3321244</f>
        <v>#NAME?</v>
      </c>
      <c r="F3855" s="5" t="s">
        <v>36906</v>
      </c>
      <c r="G3855" s="5"/>
      <c r="H3855" s="26">
        <v>27.5</v>
      </c>
      <c r="I3855" s="5" t="s">
        <v>36907</v>
      </c>
      <c r="J3855" s="5" t="s">
        <v>30822</v>
      </c>
      <c r="K3855" s="5" t="s">
        <v>344</v>
      </c>
      <c r="L3855" s="5" t="s">
        <v>36908</v>
      </c>
      <c r="M3855" s="27">
        <v>11862594</v>
      </c>
      <c r="N3855" s="5" t="s">
        <v>55295</v>
      </c>
      <c r="O3855" s="5" t="str">
        <v>7710007966</v>
      </c>
      <c r="P3855" s="27">
        <v>150556983</v>
      </c>
      <c r="Q3855" s="5" t="s">
        <v>55296</v>
      </c>
      <c r="R3855" s="5"/>
      <c r="S3855" s="5" t="s">
        <v>49271</v>
      </c>
      <c r="T3855" s="28">
        <v>540961000</v>
      </c>
      <c r="U3855" s="28">
        <v>34000</v>
      </c>
      <c r="V3855" s="28">
        <v>616616000</v>
      </c>
      <c r="W3855" s="28"/>
      <c r="X3855" s="28">
        <v>564235000</v>
      </c>
      <c r="Y3855" s="28">
        <v>2661770000</v>
      </c>
      <c r="Z3855" s="28">
        <v>917957000</v>
      </c>
      <c r="AA3855" s="28"/>
      <c r="AB3855" s="28"/>
      <c r="AC3855" s="28">
        <v>839802000</v>
      </c>
      <c r="AD3855" s="28">
        <v>1079447000</v>
      </c>
      <c r="AE3855" s="28">
        <v>6366877000</v>
      </c>
      <c r="AF3855" s="28">
        <v>569732000</v>
      </c>
      <c r="AG3855" s="11"/>
    </row>
    <row r="3856">
      <c r="A3856" s="7" t="s">
        <v>5511</v>
      </c>
      <c r="B3856" s="5" t="s">
        <v>13472</v>
      </c>
      <c r="C3856" s="5" t="s">
        <v>21263</v>
      </c>
      <c r="D3856" s="5" t="str">
        <v>772883523223</v>
      </c>
      <c r="E3856" s="0" t="e">
        <f>+7 (926) 6123220</f>
        <v>#NAME?</v>
      </c>
      <c r="F3856" s="5"/>
      <c r="G3856" s="5"/>
      <c r="H3856" s="26">
        <v>6.5</v>
      </c>
      <c r="I3856" s="5" t="s">
        <v>36909</v>
      </c>
      <c r="J3856" s="5" t="s">
        <v>27917</v>
      </c>
      <c r="K3856" s="5" t="s">
        <v>344</v>
      </c>
      <c r="L3856" s="5" t="s">
        <v>36910</v>
      </c>
      <c r="M3856" s="27">
        <v>2317423</v>
      </c>
      <c r="N3856" s="5"/>
      <c r="O3856" s="5" t="str">
        <v>7751027827</v>
      </c>
      <c r="P3856" s="27">
        <v>15000</v>
      </c>
      <c r="Q3856" s="5" t="s">
        <v>49009</v>
      </c>
      <c r="R3856" s="5"/>
      <c r="S3856" s="5" t="s">
        <v>49093</v>
      </c>
      <c r="T3856" s="28">
        <v>67068000</v>
      </c>
      <c r="U3856" s="28">
        <v>48190000</v>
      </c>
      <c r="V3856" s="28">
        <v>937909000</v>
      </c>
      <c r="W3856" s="28"/>
      <c r="X3856" s="28">
        <v>154820000</v>
      </c>
      <c r="Y3856" s="28">
        <v>2191481000</v>
      </c>
      <c r="Z3856" s="28">
        <v>749562000</v>
      </c>
      <c r="AA3856" s="28">
        <v>480410000</v>
      </c>
      <c r="AB3856" s="28">
        <v>351591000</v>
      </c>
      <c r="AC3856" s="28">
        <v>568041000</v>
      </c>
      <c r="AD3856" s="28">
        <v>749577000</v>
      </c>
      <c r="AE3856" s="28">
        <v>10666831000</v>
      </c>
      <c r="AF3856" s="28">
        <v>652336000</v>
      </c>
      <c r="AG3856" s="11"/>
    </row>
    <row r="3857">
      <c r="A3857" s="7" t="s">
        <v>5512</v>
      </c>
      <c r="B3857" s="5" t="s">
        <v>11580</v>
      </c>
      <c r="C3857" s="5" t="s">
        <v>21264</v>
      </c>
      <c r="D3857" s="5" t="str">
        <v>505401372344</v>
      </c>
      <c r="E3857" s="0" t="e">
        <f>+7 (495) 2284399
+7 (495) 9740555
+7 (800) 2007737
+7 (800) 5008883</f>
        <v>#NAME?</v>
      </c>
      <c r="F3857" s="5" t="s">
        <v>36911</v>
      </c>
      <c r="G3857" s="5" t="s">
        <v>36912</v>
      </c>
      <c r="H3857" s="26">
        <v>27</v>
      </c>
      <c r="I3857" s="5"/>
      <c r="J3857" s="5" t="s">
        <v>26564</v>
      </c>
      <c r="K3857" s="5" t="s">
        <v>344</v>
      </c>
      <c r="L3857" s="5" t="s">
        <v>36913</v>
      </c>
      <c r="M3857" s="27"/>
      <c r="N3857" s="5"/>
      <c r="O3857" s="5" t="str">
        <v>7705060700</v>
      </c>
      <c r="P3857" s="27">
        <v>30000000</v>
      </c>
      <c r="Q3857" s="5" t="s">
        <v>49009</v>
      </c>
      <c r="R3857" s="5"/>
      <c r="S3857" s="5" t="s">
        <v>49010</v>
      </c>
      <c r="T3857" s="28">
        <v>3096403000</v>
      </c>
      <c r="U3857" s="28">
        <v>12800000000</v>
      </c>
      <c r="V3857" s="28">
        <v>36568106000</v>
      </c>
      <c r="W3857" s="28"/>
      <c r="X3857" s="28">
        <v>26876806000</v>
      </c>
      <c r="Y3857" s="28">
        <v>83650063000</v>
      </c>
      <c r="Z3857" s="28">
        <v>56077665000</v>
      </c>
      <c r="AA3857" s="28"/>
      <c r="AB3857" s="28"/>
      <c r="AC3857" s="28">
        <v>26950436000</v>
      </c>
      <c r="AD3857" s="28">
        <v>56109168000</v>
      </c>
      <c r="AE3857" s="28">
        <v>247204032000</v>
      </c>
      <c r="AF3857" s="28">
        <v>12149380000</v>
      </c>
      <c r="AG3857" s="11"/>
    </row>
    <row r="3858">
      <c r="A3858" s="7" t="s">
        <v>5513</v>
      </c>
      <c r="B3858" s="5" t="s">
        <v>13473</v>
      </c>
      <c r="C3858" s="5" t="s">
        <v>21265</v>
      </c>
      <c r="D3858" s="5" t="str">
        <v>112100525004</v>
      </c>
      <c r="E3858" s="0" t="e">
        <f>+7 (8332) 326151
+7 (8332) 326162
+7 (912) 8285207</f>
        <v>#NAME?</v>
      </c>
      <c r="F3858" s="5" t="s">
        <v>36914</v>
      </c>
      <c r="G3858" s="5"/>
      <c r="H3858" s="26">
        <v>7.5</v>
      </c>
      <c r="I3858" s="5" t="s">
        <v>36915</v>
      </c>
      <c r="J3858" s="5" t="s">
        <v>29296</v>
      </c>
      <c r="K3858" s="5" t="s">
        <v>344</v>
      </c>
      <c r="L3858" s="5" t="s">
        <v>36916</v>
      </c>
      <c r="M3858" s="27">
        <v>152380</v>
      </c>
      <c r="N3858" s="5"/>
      <c r="O3858" s="5" t="str">
        <v>4318004484</v>
      </c>
      <c r="P3858" s="27">
        <v>41817000</v>
      </c>
      <c r="Q3858" s="5"/>
      <c r="R3858" s="5"/>
      <c r="S3858" s="5" t="s">
        <v>49121</v>
      </c>
      <c r="T3858" s="28">
        <v>5715952000</v>
      </c>
      <c r="U3858" s="28">
        <v>157010000</v>
      </c>
      <c r="V3858" s="28">
        <v>443399000</v>
      </c>
      <c r="W3858" s="28">
        <v>150000000</v>
      </c>
      <c r="X3858" s="28">
        <v>1431922000</v>
      </c>
      <c r="Y3858" s="28">
        <v>8524472000</v>
      </c>
      <c r="Z3858" s="28">
        <v>2769704000</v>
      </c>
      <c r="AA3858" s="28">
        <v>4322743000</v>
      </c>
      <c r="AB3858" s="28">
        <v>558400000</v>
      </c>
      <c r="AC3858" s="28">
        <v>873242000</v>
      </c>
      <c r="AD3858" s="28">
        <v>2811521000</v>
      </c>
      <c r="AE3858" s="28">
        <v>4539079000</v>
      </c>
      <c r="AF3858" s="28">
        <v>496826000</v>
      </c>
      <c r="AG3858" s="11"/>
    </row>
    <row r="3859">
      <c r="A3859" s="7" t="s">
        <v>5514</v>
      </c>
      <c r="B3859" s="5" t="s">
        <v>13474</v>
      </c>
      <c r="C3859" s="5" t="s">
        <v>21266</v>
      </c>
      <c r="D3859" s="5"/>
      <c r="E3859" s="0" t="e">
        <f>+7 (812) 7021555</f>
        <v>#NAME?</v>
      </c>
      <c r="F3859" s="5" t="s">
        <v>36917</v>
      </c>
      <c r="G3859" s="5"/>
      <c r="H3859" s="26">
        <v>4.5</v>
      </c>
      <c r="I3859" s="5" t="s">
        <v>36918</v>
      </c>
      <c r="J3859" s="5" t="s">
        <v>364</v>
      </c>
      <c r="K3859" s="5" t="s">
        <v>344</v>
      </c>
      <c r="L3859" s="5"/>
      <c r="M3859" s="27"/>
      <c r="N3859" s="5" t="s">
        <v>50052</v>
      </c>
      <c r="O3859" s="5" t="str">
        <v>7816683202</v>
      </c>
      <c r="P3859" s="27">
        <v>15000</v>
      </c>
      <c r="Q3859" s="5"/>
      <c r="R3859" s="5"/>
      <c r="S3859" s="5" t="s">
        <v>49110</v>
      </c>
      <c r="T3859" s="28"/>
      <c r="U3859" s="28"/>
      <c r="V3859" s="28">
        <v>1128917000</v>
      </c>
      <c r="W3859" s="28"/>
      <c r="X3859" s="28">
        <v>476278000</v>
      </c>
      <c r="Y3859" s="28">
        <v>2624404000</v>
      </c>
      <c r="Z3859" s="28">
        <v>987387000</v>
      </c>
      <c r="AA3859" s="28"/>
      <c r="AB3859" s="28"/>
      <c r="AC3859" s="28">
        <v>1637002000</v>
      </c>
      <c r="AD3859" s="28">
        <v>987402000</v>
      </c>
      <c r="AE3859" s="28">
        <v>5099205000</v>
      </c>
      <c r="AF3859" s="28">
        <v>3467374000</v>
      </c>
      <c r="AG3859" s="11"/>
    </row>
    <row r="3860">
      <c r="A3860" s="7" t="s">
        <v>5515</v>
      </c>
      <c r="B3860" s="5" t="s">
        <v>13475</v>
      </c>
      <c r="C3860" s="5" t="s">
        <v>21267</v>
      </c>
      <c r="D3860" s="5" t="str">
        <v>519014463622</v>
      </c>
      <c r="E3860" s="0" t="e">
        <f>+7 (815) 2260511
+7 (815) 2263910
+7 (815) 2263916
+7 (815) 2263923
+7 (815) 2263928
+7 (815) 2263931
+7 (81553) 36850
+7 (81553) 71164
+7 (81553) 71185
+7 (81553) 71609</f>
        <v>#NAME?</v>
      </c>
      <c r="F3860" s="5" t="s">
        <v>36919</v>
      </c>
      <c r="G3860" s="5" t="s">
        <v>36920</v>
      </c>
      <c r="H3860" s="26">
        <v>25.5</v>
      </c>
      <c r="I3860" s="5" t="s">
        <v>36921</v>
      </c>
      <c r="J3860" s="5" t="s">
        <v>26424</v>
      </c>
      <c r="K3860" s="5" t="s">
        <v>344</v>
      </c>
      <c r="L3860" s="5" t="s">
        <v>36922</v>
      </c>
      <c r="M3860" s="27"/>
      <c r="N3860" s="5" t="s">
        <v>55297</v>
      </c>
      <c r="O3860" s="5" t="str">
        <v>5193410761</v>
      </c>
      <c r="P3860" s="27">
        <v>48169000</v>
      </c>
      <c r="Q3860" s="5"/>
      <c r="R3860" s="5" t="s">
        <v>55298</v>
      </c>
      <c r="S3860" s="5" t="s">
        <v>49425</v>
      </c>
      <c r="T3860" s="28">
        <v>3171574000</v>
      </c>
      <c r="U3860" s="28">
        <v>981855000</v>
      </c>
      <c r="V3860" s="28">
        <v>1218646000</v>
      </c>
      <c r="W3860" s="28">
        <v>12400000</v>
      </c>
      <c r="X3860" s="28">
        <v>170581000</v>
      </c>
      <c r="Y3860" s="28">
        <v>6360533000</v>
      </c>
      <c r="Z3860" s="28">
        <v>5147828000</v>
      </c>
      <c r="AA3860" s="28">
        <v>811334000</v>
      </c>
      <c r="AB3860" s="28"/>
      <c r="AC3860" s="28">
        <v>309656000</v>
      </c>
      <c r="AD3860" s="28">
        <v>5224544000</v>
      </c>
      <c r="AE3860" s="28">
        <v>5194759000</v>
      </c>
      <c r="AF3860" s="28">
        <v>743086000</v>
      </c>
      <c r="AG3860" s="11"/>
    </row>
    <row r="3861">
      <c r="A3861" s="7" t="s">
        <v>5516</v>
      </c>
      <c r="B3861" s="5" t="s">
        <v>13476</v>
      </c>
      <c r="C3861" s="5" t="s">
        <v>21268</v>
      </c>
      <c r="D3861" s="5" t="str">
        <v>519040799146</v>
      </c>
      <c r="E3861" s="0" t="e">
        <f>+7 (815) 2280068
+7 (815) 2280075
+7 (815) 2280076
+7 (815) 2280078
+7 (815) 2280081
+7 (815) 2280082
+7 (815) 2280083
+7 (815) 2280084
+7 (815) 2280085
+7 (815) 2280086
+7 (815) 2280087
+7 (815) 2280090
+7 (815) 2280096
+7 (815) 2280097
+7 (815) 2280098</f>
        <v>#NAME?</v>
      </c>
      <c r="F3861" s="5" t="s">
        <v>36923</v>
      </c>
      <c r="G3861" s="5" t="s">
        <v>36924</v>
      </c>
      <c r="H3861" s="26">
        <v>17.5</v>
      </c>
      <c r="I3861" s="5"/>
      <c r="J3861" s="5" t="s">
        <v>27642</v>
      </c>
      <c r="K3861" s="5" t="s">
        <v>380</v>
      </c>
      <c r="L3861" s="5"/>
      <c r="M3861" s="27">
        <v>12736936</v>
      </c>
      <c r="N3861" s="5" t="s">
        <v>55299</v>
      </c>
      <c r="O3861" s="5" t="str">
        <v>5190141373</v>
      </c>
      <c r="P3861" s="27">
        <v>1872603581</v>
      </c>
      <c r="Q3861" s="5" t="s">
        <v>55300</v>
      </c>
      <c r="R3861" s="5"/>
      <c r="S3861" s="5" t="s">
        <v>55301</v>
      </c>
      <c r="T3861" s="28">
        <v>2423656000</v>
      </c>
      <c r="U3861" s="28"/>
      <c r="V3861" s="28">
        <v>1967828000</v>
      </c>
      <c r="W3861" s="28">
        <v>58608000</v>
      </c>
      <c r="X3861" s="28">
        <v>352000</v>
      </c>
      <c r="Y3861" s="28">
        <v>5687650000</v>
      </c>
      <c r="Z3861" s="28">
        <v>-1382086000</v>
      </c>
      <c r="AA3861" s="28">
        <v>1000000000</v>
      </c>
      <c r="AB3861" s="28">
        <v>3342137000</v>
      </c>
      <c r="AC3861" s="28">
        <v>3950297000</v>
      </c>
      <c r="AD3861" s="28">
        <v>585255000</v>
      </c>
      <c r="AE3861" s="28">
        <v>8345636000</v>
      </c>
      <c r="AF3861" s="28">
        <v>22982000</v>
      </c>
      <c r="AG3861" s="11"/>
    </row>
    <row r="3862">
      <c r="A3862" s="7" t="s">
        <v>5517</v>
      </c>
      <c r="B3862" s="5" t="s">
        <v>13477</v>
      </c>
      <c r="C3862" s="5" t="s">
        <v>21269</v>
      </c>
      <c r="D3862" s="5" t="str">
        <v>519043675741</v>
      </c>
      <c r="E3862" s="0" t="e">
        <f>+7 (815) 2288009
+7 (815) 2288070
+7 (815) 2288110
+7 (815) 2288111
+7 (815) 2288210
+7 (815) 2637637</f>
        <v>#NAME?</v>
      </c>
      <c r="F3862" s="5" t="s">
        <v>36925</v>
      </c>
      <c r="G3862" s="5"/>
      <c r="H3862" s="26">
        <v>30</v>
      </c>
      <c r="I3862" s="5" t="s">
        <v>36926</v>
      </c>
      <c r="J3862" s="5" t="s">
        <v>26424</v>
      </c>
      <c r="K3862" s="5" t="s">
        <v>344</v>
      </c>
      <c r="L3862" s="5" t="s">
        <v>36927</v>
      </c>
      <c r="M3862" s="27"/>
      <c r="N3862" s="5"/>
      <c r="O3862" s="5" t="str">
        <v>5100000010</v>
      </c>
      <c r="P3862" s="27">
        <v>29130875</v>
      </c>
      <c r="Q3862" s="5" t="s">
        <v>49009</v>
      </c>
      <c r="R3862" s="5"/>
      <c r="S3862" s="5" t="s">
        <v>49028</v>
      </c>
      <c r="T3862" s="28">
        <v>12193583000</v>
      </c>
      <c r="U3862" s="28">
        <v>50368607000</v>
      </c>
      <c r="V3862" s="28">
        <v>9484230000</v>
      </c>
      <c r="W3862" s="28">
        <v>4313866000</v>
      </c>
      <c r="X3862" s="28">
        <v>580131000</v>
      </c>
      <c r="Y3862" s="28">
        <v>80041067000</v>
      </c>
      <c r="Z3862" s="28">
        <v>29455724000</v>
      </c>
      <c r="AA3862" s="28">
        <v>33761149000</v>
      </c>
      <c r="AB3862" s="28">
        <v>6113957000</v>
      </c>
      <c r="AC3862" s="28">
        <v>9431250000</v>
      </c>
      <c r="AD3862" s="28">
        <v>34424322000</v>
      </c>
      <c r="AE3862" s="28">
        <v>15632079000</v>
      </c>
      <c r="AF3862" s="28">
        <v>6581574000</v>
      </c>
      <c r="AG3862" s="11"/>
    </row>
    <row r="3863">
      <c r="A3863" s="7" t="s">
        <v>5518</v>
      </c>
      <c r="B3863" s="5" t="s">
        <v>13478</v>
      </c>
      <c r="C3863" s="5" t="s">
        <v>21270</v>
      </c>
      <c r="D3863" s="5" t="str">
        <v>330701685092</v>
      </c>
      <c r="E3863" s="0" t="e">
        <f>+7 (49234) 32917
+7 (49234) 34970
+7 (49234) 34995
+7 (49234) 35720
+7 (49234) 35722
+7 (49234) 35725
+7 (49234) 35755
+7 (49234) 37183
+7 (49234) 37226
+7 (49234) 38362
+7 (49234) 91988</f>
        <v>#NAME?</v>
      </c>
      <c r="F3863" s="5" t="s">
        <v>36928</v>
      </c>
      <c r="G3863" s="5"/>
      <c r="H3863" s="26">
        <v>20.5</v>
      </c>
      <c r="I3863" s="5"/>
      <c r="J3863" s="5" t="s">
        <v>27221</v>
      </c>
      <c r="K3863" s="5" t="s">
        <v>344</v>
      </c>
      <c r="L3863" s="5" t="s">
        <v>36929</v>
      </c>
      <c r="M3863" s="27"/>
      <c r="N3863" s="5"/>
      <c r="O3863" s="5" t="str">
        <v>3307001514</v>
      </c>
      <c r="P3863" s="27">
        <v>20773333</v>
      </c>
      <c r="Q3863" s="5" t="s">
        <v>49009</v>
      </c>
      <c r="R3863" s="5"/>
      <c r="S3863" s="5" t="s">
        <v>49066</v>
      </c>
      <c r="T3863" s="28">
        <v>7877834000</v>
      </c>
      <c r="U3863" s="28">
        <v>183746000</v>
      </c>
      <c r="V3863" s="28">
        <v>2229261000</v>
      </c>
      <c r="W3863" s="28"/>
      <c r="X3863" s="28">
        <v>2880289000</v>
      </c>
      <c r="Y3863" s="28">
        <v>14651837000</v>
      </c>
      <c r="Z3863" s="28">
        <v>8459505000</v>
      </c>
      <c r="AA3863" s="28">
        <v>4862259000</v>
      </c>
      <c r="AB3863" s="28">
        <v>260002000</v>
      </c>
      <c r="AC3863" s="28">
        <v>961291000</v>
      </c>
      <c r="AD3863" s="28">
        <v>8523339000</v>
      </c>
      <c r="AE3863" s="28">
        <v>10411639000</v>
      </c>
      <c r="AF3863" s="28">
        <v>1872930000</v>
      </c>
      <c r="AG3863" s="11"/>
    </row>
    <row r="3864">
      <c r="A3864" s="7" t="s">
        <v>5519</v>
      </c>
      <c r="B3864" s="5" t="s">
        <v>13479</v>
      </c>
      <c r="C3864" s="5" t="s">
        <v>21271</v>
      </c>
      <c r="D3864" s="5" t="str">
        <v>330708392105</v>
      </c>
      <c r="E3864" s="0" t="e">
        <f>+7 (937) 2363676
+7 (49234) 60202
+7 (49234) 60262
+7 (49234) 60303
+7 (84639) 23456
+7 (84699) 38106
+7 (84699) 38107</f>
        <v>#NAME?</v>
      </c>
      <c r="F3864" s="5" t="s">
        <v>36930</v>
      </c>
      <c r="G3864" s="5"/>
      <c r="H3864" s="26">
        <v>20.5</v>
      </c>
      <c r="I3864" s="5"/>
      <c r="J3864" s="5" t="s">
        <v>26213</v>
      </c>
      <c r="K3864" s="5" t="s">
        <v>344</v>
      </c>
      <c r="L3864" s="5" t="s">
        <v>36931</v>
      </c>
      <c r="M3864" s="27"/>
      <c r="N3864" s="5"/>
      <c r="O3864" s="5" t="str">
        <v>3334001351</v>
      </c>
      <c r="P3864" s="27">
        <v>4901000</v>
      </c>
      <c r="Q3864" s="5" t="s">
        <v>49009</v>
      </c>
      <c r="R3864" s="5"/>
      <c r="S3864" s="5" t="s">
        <v>49120</v>
      </c>
      <c r="T3864" s="28">
        <v>491157000</v>
      </c>
      <c r="U3864" s="28"/>
      <c r="V3864" s="28">
        <v>1084730000</v>
      </c>
      <c r="W3864" s="28">
        <v>133500000</v>
      </c>
      <c r="X3864" s="28">
        <v>4829000</v>
      </c>
      <c r="Y3864" s="28">
        <v>2251893000</v>
      </c>
      <c r="Z3864" s="28">
        <v>590923000</v>
      </c>
      <c r="AA3864" s="28"/>
      <c r="AB3864" s="28"/>
      <c r="AC3864" s="28">
        <v>1620429000</v>
      </c>
      <c r="AD3864" s="28">
        <v>596069000</v>
      </c>
      <c r="AE3864" s="28">
        <v>3196239000</v>
      </c>
      <c r="AF3864" s="28">
        <v>842104000</v>
      </c>
      <c r="AG3864" s="11"/>
    </row>
    <row r="3865">
      <c r="A3865" s="7" t="s">
        <v>5520</v>
      </c>
      <c r="B3865" s="5" t="s">
        <v>13480</v>
      </c>
      <c r="C3865" s="5" t="s">
        <v>21272</v>
      </c>
      <c r="D3865" s="5" t="str">
        <v>522400552567</v>
      </c>
      <c r="E3865" s="0" t="e">
        <f>+7 (49234) 60170
+7 (49234) 61958
+7 (920) 720400</f>
        <v>#NAME?</v>
      </c>
      <c r="F3865" s="5" t="s">
        <v>36932</v>
      </c>
      <c r="G3865" s="5"/>
      <c r="H3865" s="26">
        <v>11</v>
      </c>
      <c r="I3865" s="5" t="s">
        <v>36933</v>
      </c>
      <c r="J3865" s="5" t="s">
        <v>30277</v>
      </c>
      <c r="K3865" s="5" t="s">
        <v>355</v>
      </c>
      <c r="L3865" s="5" t="s">
        <v>36934</v>
      </c>
      <c r="M3865" s="27"/>
      <c r="N3865" s="5"/>
      <c r="O3865" s="5" t="str">
        <v>3334017714</v>
      </c>
      <c r="P3865" s="27">
        <v>21053</v>
      </c>
      <c r="Q3865" s="5"/>
      <c r="R3865" s="5"/>
      <c r="S3865" s="5" t="s">
        <v>49029</v>
      </c>
      <c r="T3865" s="28">
        <v>3175681000</v>
      </c>
      <c r="U3865" s="28">
        <v>345640000</v>
      </c>
      <c r="V3865" s="28">
        <v>1496093000</v>
      </c>
      <c r="W3865" s="28">
        <v>255337000</v>
      </c>
      <c r="X3865" s="28">
        <v>12363000</v>
      </c>
      <c r="Y3865" s="28">
        <v>10832138000</v>
      </c>
      <c r="Z3865" s="28">
        <v>653162000</v>
      </c>
      <c r="AA3865" s="28">
        <v>1683803000</v>
      </c>
      <c r="AB3865" s="28">
        <v>310000000</v>
      </c>
      <c r="AC3865" s="28">
        <v>2241192000</v>
      </c>
      <c r="AD3865" s="28">
        <v>653183000</v>
      </c>
      <c r="AE3865" s="28">
        <v>17446304000</v>
      </c>
      <c r="AF3865" s="28">
        <v>301726000</v>
      </c>
      <c r="AG3865" s="11"/>
    </row>
    <row r="3866">
      <c r="A3866" s="7" t="s">
        <v>5521</v>
      </c>
      <c r="B3866" s="5" t="s">
        <v>13481</v>
      </c>
      <c r="C3866" s="5" t="s">
        <v>18824</v>
      </c>
      <c r="D3866" s="5"/>
      <c r="E3866" s="0" t="e">
        <f>+7 (495) 7851111
+7 (495) 1266308
+7 (495) 1543273
+7 (495) 1546368
+7 (495) 7284141
+7 (495) 7856999</f>
        <v>#NAME?</v>
      </c>
      <c r="F3866" s="5"/>
      <c r="G3866" s="5"/>
      <c r="H3866" s="26">
        <v>15.5</v>
      </c>
      <c r="I3866" s="5" t="s">
        <v>36935</v>
      </c>
      <c r="J3866" s="5" t="s">
        <v>25641</v>
      </c>
      <c r="K3866" s="5" t="s">
        <v>355</v>
      </c>
      <c r="L3866" s="5" t="s">
        <v>36936</v>
      </c>
      <c r="M3866" s="27">
        <v>892400</v>
      </c>
      <c r="N3866" s="5"/>
      <c r="O3866" s="5" t="str">
        <v>7714706838</v>
      </c>
      <c r="P3866" s="27">
        <v>41030000</v>
      </c>
      <c r="Q3866" s="5" t="s">
        <v>49009</v>
      </c>
      <c r="R3866" s="5"/>
      <c r="S3866" s="5" t="s">
        <v>49045</v>
      </c>
      <c r="T3866" s="28">
        <v>428814000</v>
      </c>
      <c r="U3866" s="28"/>
      <c r="V3866" s="28">
        <v>82476000</v>
      </c>
      <c r="W3866" s="28"/>
      <c r="X3866" s="28">
        <v>51713000</v>
      </c>
      <c r="Y3866" s="28">
        <v>1213707000</v>
      </c>
      <c r="Z3866" s="28">
        <v>90639000</v>
      </c>
      <c r="AA3866" s="28"/>
      <c r="AB3866" s="28">
        <v>253371000</v>
      </c>
      <c r="AC3866" s="28">
        <v>556180000</v>
      </c>
      <c r="AD3866" s="28">
        <v>430669000</v>
      </c>
      <c r="AE3866" s="28">
        <v>4511714000</v>
      </c>
      <c r="AF3866" s="28">
        <v>-15131000</v>
      </c>
      <c r="AG3866" s="11"/>
    </row>
    <row r="3867">
      <c r="A3867" s="7" t="s">
        <v>5522</v>
      </c>
      <c r="B3867" s="5" t="s">
        <v>13482</v>
      </c>
      <c r="C3867" s="5" t="s">
        <v>21273</v>
      </c>
      <c r="D3867" s="5" t="str">
        <v>231101116255</v>
      </c>
      <c r="E3867" s="0" t="e">
        <f>+7 (861) 2105810
+7 (861) 2112353
+7 (861) 2113355
+7 (861) 2115328
+7 (861) 2115352
+7 (861) 2115355
+7 (861) 2115362
+7 (861) 2115552
+7 (861) 2116555
+7 (861) 2125555
+7 (861) 2215555
+7 (861) 2315555
+7 (861) 2551111
+7 (861) 2115364
+7 (861) 2445555</f>
        <v>#NAME?</v>
      </c>
      <c r="F3867" s="5" t="s">
        <v>36937</v>
      </c>
      <c r="G3867" s="5" t="s">
        <v>36938</v>
      </c>
      <c r="H3867" s="26">
        <v>15.5</v>
      </c>
      <c r="I3867" s="5"/>
      <c r="J3867" s="5" t="s">
        <v>33220</v>
      </c>
      <c r="K3867" s="5" t="s">
        <v>344</v>
      </c>
      <c r="L3867" s="5" t="s">
        <v>36939</v>
      </c>
      <c r="M3867" s="27">
        <v>57000</v>
      </c>
      <c r="N3867" s="5" t="s">
        <v>55302</v>
      </c>
      <c r="O3867" s="5" t="str">
        <v>2308131994</v>
      </c>
      <c r="P3867" s="27">
        <v>100000000</v>
      </c>
      <c r="Q3867" s="5" t="s">
        <v>55303</v>
      </c>
      <c r="R3867" s="5"/>
      <c r="S3867" s="5" t="s">
        <v>55304</v>
      </c>
      <c r="T3867" s="28">
        <v>818276000</v>
      </c>
      <c r="U3867" s="28"/>
      <c r="V3867" s="28">
        <v>682677000</v>
      </c>
      <c r="W3867" s="28">
        <v>122808000</v>
      </c>
      <c r="X3867" s="28">
        <v>218556000</v>
      </c>
      <c r="Y3867" s="28">
        <v>2198502000</v>
      </c>
      <c r="Z3867" s="28">
        <v>842734000</v>
      </c>
      <c r="AA3867" s="28">
        <v>240000000</v>
      </c>
      <c r="AB3867" s="28">
        <v>497457000</v>
      </c>
      <c r="AC3867" s="28">
        <v>987164000</v>
      </c>
      <c r="AD3867" s="28">
        <v>947734000</v>
      </c>
      <c r="AE3867" s="28">
        <v>3788385000</v>
      </c>
      <c r="AF3867" s="28">
        <v>147884000</v>
      </c>
      <c r="AG3867" s="11"/>
    </row>
    <row r="3868">
      <c r="A3868" s="7" t="s">
        <v>5523</v>
      </c>
      <c r="B3868" s="5" t="s">
        <v>13483</v>
      </c>
      <c r="C3868" s="5" t="s">
        <v>21274</v>
      </c>
      <c r="D3868" s="5"/>
      <c r="E3868" s="0" t="e">
        <f>+7 (495) 9319190
+7 (909) 9811098
+7 (912) 2324693
+7 (982) 3486156</f>
        <v>#NAME?</v>
      </c>
      <c r="F3868" s="5" t="s">
        <v>36940</v>
      </c>
      <c r="G3868" s="5" t="s">
        <v>36941</v>
      </c>
      <c r="H3868" s="26">
        <v>12</v>
      </c>
      <c r="I3868" s="5" t="s">
        <v>36942</v>
      </c>
      <c r="J3868" s="5" t="s">
        <v>25312</v>
      </c>
      <c r="K3868" s="5" t="s">
        <v>380</v>
      </c>
      <c r="L3868" s="5"/>
      <c r="M3868" s="27"/>
      <c r="N3868" s="5" t="s">
        <v>55305</v>
      </c>
      <c r="O3868" s="5" t="str">
        <v>7728763032</v>
      </c>
      <c r="P3868" s="27">
        <v>8000000</v>
      </c>
      <c r="Q3868" s="5" t="s">
        <v>49021</v>
      </c>
      <c r="R3868" s="5"/>
      <c r="S3868" s="5" t="s">
        <v>55306</v>
      </c>
      <c r="T3868" s="28">
        <v>46086000</v>
      </c>
      <c r="U3868" s="28">
        <v>785799000</v>
      </c>
      <c r="V3868" s="28">
        <v>2132707000</v>
      </c>
      <c r="W3868" s="28">
        <v>28093000</v>
      </c>
      <c r="X3868" s="28">
        <v>7066000</v>
      </c>
      <c r="Y3868" s="28">
        <v>3640929000</v>
      </c>
      <c r="Z3868" s="28">
        <v>871834000</v>
      </c>
      <c r="AA3868" s="28">
        <v>784892000</v>
      </c>
      <c r="AB3868" s="28">
        <v>34332000</v>
      </c>
      <c r="AC3868" s="28">
        <v>1972184000</v>
      </c>
      <c r="AD3868" s="28">
        <v>879834000</v>
      </c>
      <c r="AE3868" s="28">
        <v>5835400000</v>
      </c>
      <c r="AF3868" s="28">
        <v>-2355000</v>
      </c>
      <c r="AG3868" s="11"/>
    </row>
    <row r="3869">
      <c r="A3869" s="7" t="s">
        <v>5524</v>
      </c>
      <c r="B3869" s="5" t="s">
        <v>13484</v>
      </c>
      <c r="C3869" s="5" t="s">
        <v>21275</v>
      </c>
      <c r="D3869" s="5" t="str">
        <v>500100254475</v>
      </c>
      <c r="E3869" s="0" t="e">
        <f>+7 (343) 2729922
+7 (383) 2868777
+7 (495) 7885236
+7 (495) 9252627
+7 (812) 3841700
+7 (8435) 806000
+7 (861) 2159111
+7 (863) 3065000
+7 (985) 2976211</f>
        <v>#NAME?</v>
      </c>
      <c r="F3869" s="5" t="s">
        <v>36943</v>
      </c>
      <c r="G3869" s="5" t="s">
        <v>36944</v>
      </c>
      <c r="H3869" s="26">
        <v>10.5</v>
      </c>
      <c r="I3869" s="5" t="s">
        <v>36945</v>
      </c>
      <c r="J3869" s="5" t="s">
        <v>36946</v>
      </c>
      <c r="K3869" s="5" t="s">
        <v>344</v>
      </c>
      <c r="L3869" s="5" t="s">
        <v>36947</v>
      </c>
      <c r="M3869" s="27"/>
      <c r="N3869" s="5"/>
      <c r="O3869" s="5" t="str">
        <v>5047135115</v>
      </c>
      <c r="P3869" s="27">
        <v>10000</v>
      </c>
      <c r="Q3869" s="5" t="s">
        <v>52461</v>
      </c>
      <c r="R3869" s="5"/>
      <c r="S3869" s="5" t="s">
        <v>52462</v>
      </c>
      <c r="T3869" s="28">
        <v>144811000</v>
      </c>
      <c r="U3869" s="28"/>
      <c r="V3869" s="28">
        <v>652142000</v>
      </c>
      <c r="W3869" s="28"/>
      <c r="X3869" s="28">
        <v>3662000</v>
      </c>
      <c r="Y3869" s="28">
        <v>1429411000</v>
      </c>
      <c r="Z3869" s="28">
        <v>629839000</v>
      </c>
      <c r="AA3869" s="28">
        <v>23160000</v>
      </c>
      <c r="AB3869" s="28">
        <v>562603000</v>
      </c>
      <c r="AC3869" s="28">
        <v>639172000</v>
      </c>
      <c r="AD3869" s="28">
        <v>629849000</v>
      </c>
      <c r="AE3869" s="28">
        <v>3468393000</v>
      </c>
      <c r="AF3869" s="28">
        <v>115604000</v>
      </c>
      <c r="AG3869" s="11"/>
    </row>
    <row r="3870">
      <c r="A3870" s="7" t="s">
        <v>5525</v>
      </c>
      <c r="B3870" s="5" t="s">
        <v>13485</v>
      </c>
      <c r="C3870" s="5" t="s">
        <v>21276</v>
      </c>
      <c r="D3870" s="5" t="str">
        <v>526211802498</v>
      </c>
      <c r="E3870" s="0" t="e">
        <f>+7 (495) 5408810
+7 (83142) 21108
+7 (83142) 21155
+7 (83142) 21161
+7 (83142) 21172
+7 (83142) 21188
+7 (83142) 21220</f>
        <v>#NAME?</v>
      </c>
      <c r="F3870" s="5" t="s">
        <v>36948</v>
      </c>
      <c r="G3870" s="5" t="s">
        <v>36949</v>
      </c>
      <c r="H3870" s="26">
        <v>18</v>
      </c>
      <c r="I3870" s="5"/>
      <c r="J3870" s="5" t="s">
        <v>881</v>
      </c>
      <c r="K3870" s="5" t="s">
        <v>344</v>
      </c>
      <c r="L3870" s="5" t="s">
        <v>36950</v>
      </c>
      <c r="M3870" s="27"/>
      <c r="N3870" s="5" t="s">
        <v>55307</v>
      </c>
      <c r="O3870" s="5" t="str">
        <v>5260146265</v>
      </c>
      <c r="P3870" s="27">
        <v>23990</v>
      </c>
      <c r="Q3870" s="5" t="s">
        <v>49009</v>
      </c>
      <c r="R3870" s="5"/>
      <c r="S3870" s="5" t="s">
        <v>55308</v>
      </c>
      <c r="T3870" s="28">
        <v>121732000</v>
      </c>
      <c r="U3870" s="28"/>
      <c r="V3870" s="28">
        <v>9849492000</v>
      </c>
      <c r="W3870" s="28">
        <v>1850000000</v>
      </c>
      <c r="X3870" s="28">
        <v>1925243000</v>
      </c>
      <c r="Y3870" s="28">
        <v>16481866000</v>
      </c>
      <c r="Z3870" s="28">
        <v>6692784000</v>
      </c>
      <c r="AA3870" s="28"/>
      <c r="AB3870" s="28"/>
      <c r="AC3870" s="28">
        <v>9736854000</v>
      </c>
      <c r="AD3870" s="28">
        <v>6692808000</v>
      </c>
      <c r="AE3870" s="28">
        <v>19757991000</v>
      </c>
      <c r="AF3870" s="28">
        <v>8194039000</v>
      </c>
      <c r="AG3870" s="11"/>
    </row>
    <row r="3871">
      <c r="A3871" s="7" t="s">
        <v>5526</v>
      </c>
      <c r="B3871" s="5" t="s">
        <v>13486</v>
      </c>
      <c r="C3871" s="5" t="s">
        <v>21277</v>
      </c>
      <c r="D3871" s="5" t="str">
        <v>771810088954</v>
      </c>
      <c r="E3871" s="0" t="e">
        <f>+7 (495) 4777003
+7 (495) 7447000
+7 (499) 7447003
+7 (383) 3356408
+7 (495) 7747003</f>
        <v>#NAME?</v>
      </c>
      <c r="F3871" s="5" t="s">
        <v>36951</v>
      </c>
      <c r="G3871" s="5" t="s">
        <v>36952</v>
      </c>
      <c r="H3871" s="26">
        <v>20</v>
      </c>
      <c r="I3871" s="5" t="s">
        <v>36953</v>
      </c>
      <c r="J3871" s="5" t="s">
        <v>25429</v>
      </c>
      <c r="K3871" s="5" t="s">
        <v>344</v>
      </c>
      <c r="L3871" s="5" t="s">
        <v>36954</v>
      </c>
      <c r="M3871" s="27"/>
      <c r="N3871" s="5" t="s">
        <v>55309</v>
      </c>
      <c r="O3871" s="5" t="str">
        <v>7705499230</v>
      </c>
      <c r="P3871" s="27">
        <v>10000</v>
      </c>
      <c r="Q3871" s="5" t="s">
        <v>55310</v>
      </c>
      <c r="R3871" s="5"/>
      <c r="S3871" s="5" t="s">
        <v>55311</v>
      </c>
      <c r="T3871" s="28">
        <v>12290000</v>
      </c>
      <c r="U3871" s="28"/>
      <c r="V3871" s="28">
        <v>99615000</v>
      </c>
      <c r="W3871" s="28">
        <v>147000000</v>
      </c>
      <c r="X3871" s="28">
        <v>3540000</v>
      </c>
      <c r="Y3871" s="28">
        <v>674187000</v>
      </c>
      <c r="Z3871" s="28">
        <v>193996000</v>
      </c>
      <c r="AA3871" s="28"/>
      <c r="AB3871" s="28"/>
      <c r="AC3871" s="28">
        <v>480181000</v>
      </c>
      <c r="AD3871" s="28">
        <v>194006000</v>
      </c>
      <c r="AE3871" s="28">
        <v>3433965000</v>
      </c>
      <c r="AF3871" s="28">
        <v>40560000</v>
      </c>
      <c r="AG3871" s="11"/>
    </row>
    <row r="3872">
      <c r="A3872" s="7" t="s">
        <v>5527</v>
      </c>
      <c r="B3872" s="5" t="s">
        <v>13487</v>
      </c>
      <c r="C3872" s="5" t="s">
        <v>21278</v>
      </c>
      <c r="D3872" s="5" t="str">
        <v>772636403500</v>
      </c>
      <c r="E3872" s="0" t="e">
        <f>+7 (495) 6203051
+7 (495) 7059340
+7 (495) 7059341
+7 (495) 5891283
+7 (495) 6290569
+7 (495) 6812373
+7 (495) 7059201
+7 (495) 7059338
+7 (495) 7059339
+7 (495) 7339201
+7 (495) 8703621
+7 (495) 8703622
+7 (495) 8704206
+7 (499) 7059339</f>
        <v>#NAME?</v>
      </c>
      <c r="F3872" s="5" t="s">
        <v>36955</v>
      </c>
      <c r="G3872" s="5" t="s">
        <v>36956</v>
      </c>
      <c r="H3872" s="26">
        <v>29</v>
      </c>
      <c r="I3872" s="5"/>
      <c r="J3872" s="5" t="s">
        <v>25195</v>
      </c>
      <c r="K3872" s="5" t="s">
        <v>344</v>
      </c>
      <c r="L3872" s="5"/>
      <c r="M3872" s="27"/>
      <c r="N3872" s="5"/>
      <c r="O3872" s="5" t="str">
        <v>7703013782</v>
      </c>
      <c r="P3872" s="27">
        <v>45000</v>
      </c>
      <c r="Q3872" s="5"/>
      <c r="R3872" s="5" t="s">
        <v>55312</v>
      </c>
      <c r="S3872" s="5" t="s">
        <v>49029</v>
      </c>
      <c r="T3872" s="28">
        <v>3477070000</v>
      </c>
      <c r="U3872" s="28">
        <v>1165241000</v>
      </c>
      <c r="V3872" s="28">
        <v>886645000</v>
      </c>
      <c r="W3872" s="28"/>
      <c r="X3872" s="28">
        <v>605743000</v>
      </c>
      <c r="Y3872" s="28">
        <v>8392930000</v>
      </c>
      <c r="Z3872" s="28">
        <v>3242100000</v>
      </c>
      <c r="AA3872" s="28"/>
      <c r="AB3872" s="28">
        <v>684968000</v>
      </c>
      <c r="AC3872" s="28">
        <v>2852974000</v>
      </c>
      <c r="AD3872" s="28">
        <v>3242304000</v>
      </c>
      <c r="AE3872" s="28">
        <v>9460689000</v>
      </c>
      <c r="AF3872" s="28">
        <v>408620000</v>
      </c>
      <c r="AG3872" s="11"/>
    </row>
    <row r="3873">
      <c r="A3873" s="7" t="s">
        <v>5528</v>
      </c>
      <c r="B3873" s="5" t="s">
        <v>13488</v>
      </c>
      <c r="C3873" s="5" t="s">
        <v>21279</v>
      </c>
      <c r="D3873" s="5" t="str">
        <v>781105077235</v>
      </c>
      <c r="E3873" s="0" t="e">
        <f>+7 (401) 2935665
+7 (495) 2574147
+7 (495) 2740269
+7 (495) 3859301
+7 (812) 3135477
+7 (812) 3659300
+7 (812) 3852300
+7 (812) 3853000
+7 (812) 3859003
+7 (812) 3859305
+7 (812) 3859330
+7 (812) 3859331
+7 (495) 1222059
+7 (812) 3859301
+7 (812) 3859307</f>
        <v>#NAME?</v>
      </c>
      <c r="F3873" s="5" t="s">
        <v>36957</v>
      </c>
      <c r="G3873" s="5"/>
      <c r="H3873" s="26">
        <v>31</v>
      </c>
      <c r="I3873" s="5"/>
      <c r="J3873" s="5" t="s">
        <v>25429</v>
      </c>
      <c r="K3873" s="5" t="s">
        <v>344</v>
      </c>
      <c r="L3873" s="5" t="s">
        <v>36958</v>
      </c>
      <c r="M3873" s="27"/>
      <c r="N3873" s="5" t="s">
        <v>50083</v>
      </c>
      <c r="O3873" s="5" t="str">
        <v>7806005744</v>
      </c>
      <c r="P3873" s="27">
        <v>4000000</v>
      </c>
      <c r="Q3873" s="5" t="s">
        <v>55313</v>
      </c>
      <c r="R3873" s="5"/>
      <c r="S3873" s="5" t="s">
        <v>55314</v>
      </c>
      <c r="T3873" s="28">
        <v>339075000</v>
      </c>
      <c r="U3873" s="28">
        <v>919000</v>
      </c>
      <c r="V3873" s="28">
        <v>2171051000</v>
      </c>
      <c r="W3873" s="28">
        <v>246786000</v>
      </c>
      <c r="X3873" s="28">
        <v>1356979000</v>
      </c>
      <c r="Y3873" s="28">
        <v>4678587000</v>
      </c>
      <c r="Z3873" s="28">
        <v>2140421000</v>
      </c>
      <c r="AA3873" s="28"/>
      <c r="AB3873" s="28"/>
      <c r="AC3873" s="28">
        <v>2520905000</v>
      </c>
      <c r="AD3873" s="28">
        <v>2144621000</v>
      </c>
      <c r="AE3873" s="28">
        <v>12363766000</v>
      </c>
      <c r="AF3873" s="28">
        <v>261810000</v>
      </c>
      <c r="AG3873" s="11"/>
    </row>
    <row r="3874">
      <c r="A3874" s="7" t="s">
        <v>5529</v>
      </c>
      <c r="B3874" s="5" t="s">
        <v>13489</v>
      </c>
      <c r="C3874" s="5" t="s">
        <v>21280</v>
      </c>
      <c r="D3874" s="5" t="str">
        <v>643911044419</v>
      </c>
      <c r="E3874" s="0" t="e">
        <f>+7 (495) 200066
+7 (499) 2345902
+7 (499) 2345912</f>
        <v>#NAME?</v>
      </c>
      <c r="F3874" s="5" t="s">
        <v>36959</v>
      </c>
      <c r="G3874" s="5"/>
      <c r="H3874" s="26">
        <v>20.5</v>
      </c>
      <c r="I3874" s="5"/>
      <c r="J3874" s="5" t="s">
        <v>364</v>
      </c>
      <c r="K3874" s="5" t="s">
        <v>355</v>
      </c>
      <c r="L3874" s="5" t="s">
        <v>31787</v>
      </c>
      <c r="M3874" s="27">
        <v>43771343</v>
      </c>
      <c r="N3874" s="5" t="s">
        <v>55315</v>
      </c>
      <c r="O3874" s="5" t="str">
        <v>7714266785</v>
      </c>
      <c r="P3874" s="27">
        <v>10000</v>
      </c>
      <c r="Q3874" s="5" t="s">
        <v>55316</v>
      </c>
      <c r="R3874" s="5" t="s">
        <v>55317</v>
      </c>
      <c r="S3874" s="5" t="s">
        <v>55318</v>
      </c>
      <c r="T3874" s="28">
        <v>29600000</v>
      </c>
      <c r="U3874" s="28">
        <v>131000</v>
      </c>
      <c r="V3874" s="28">
        <v>7769014000</v>
      </c>
      <c r="W3874" s="28">
        <v>955106000</v>
      </c>
      <c r="X3874" s="28">
        <v>513199000</v>
      </c>
      <c r="Y3874" s="28">
        <v>14446980000</v>
      </c>
      <c r="Z3874" s="28">
        <v>118083000</v>
      </c>
      <c r="AA3874" s="28"/>
      <c r="AB3874" s="28">
        <v>5196000</v>
      </c>
      <c r="AC3874" s="28">
        <v>14327729000</v>
      </c>
      <c r="AD3874" s="28">
        <v>118094000</v>
      </c>
      <c r="AE3874" s="28">
        <v>21379275000</v>
      </c>
      <c r="AF3874" s="28">
        <v>30503000</v>
      </c>
      <c r="AG3874" s="11"/>
    </row>
    <row r="3875">
      <c r="A3875" s="7" t="s">
        <v>5530</v>
      </c>
      <c r="B3875" s="5" t="s">
        <v>13490</v>
      </c>
      <c r="C3875" s="5" t="s">
        <v>21281</v>
      </c>
      <c r="D3875" s="5"/>
      <c r="E3875" s="0" t="e">
        <f>+7 (495) 7339348</f>
        <v>#NAME?</v>
      </c>
      <c r="F3875" s="5"/>
      <c r="G3875" s="5"/>
      <c r="H3875" s="26">
        <v>8</v>
      </c>
      <c r="I3875" s="5" t="s">
        <v>36960</v>
      </c>
      <c r="J3875" s="5" t="s">
        <v>1026</v>
      </c>
      <c r="K3875" s="5" t="s">
        <v>344</v>
      </c>
      <c r="L3875" s="5" t="s">
        <v>36961</v>
      </c>
      <c r="M3875" s="27"/>
      <c r="N3875" s="5" t="s">
        <v>55319</v>
      </c>
      <c r="O3875" s="5" t="str">
        <v>7717161526</v>
      </c>
      <c r="P3875" s="27">
        <v>10000</v>
      </c>
      <c r="Q3875" s="5" t="s">
        <v>55320</v>
      </c>
      <c r="R3875" s="5"/>
      <c r="S3875" s="5" t="s">
        <v>55321</v>
      </c>
      <c r="T3875" s="28">
        <v>162000</v>
      </c>
      <c r="U3875" s="28"/>
      <c r="V3875" s="28">
        <v>5733068000</v>
      </c>
      <c r="W3875" s="28"/>
      <c r="X3875" s="28">
        <v>72605000</v>
      </c>
      <c r="Y3875" s="28">
        <v>6191295000</v>
      </c>
      <c r="Z3875" s="28">
        <v>431641000</v>
      </c>
      <c r="AA3875" s="28">
        <v>1987321000</v>
      </c>
      <c r="AB3875" s="28">
        <v>861794000</v>
      </c>
      <c r="AC3875" s="28">
        <v>3704601000</v>
      </c>
      <c r="AD3875" s="28">
        <v>461653000</v>
      </c>
      <c r="AE3875" s="28">
        <v>7674200000</v>
      </c>
      <c r="AF3875" s="28">
        <v>197882000</v>
      </c>
      <c r="AG3875" s="11"/>
    </row>
    <row r="3876">
      <c r="A3876" s="7" t="s">
        <v>5531</v>
      </c>
      <c r="B3876" s="5" t="s">
        <v>13491</v>
      </c>
      <c r="C3876" s="5" t="s">
        <v>21282</v>
      </c>
      <c r="D3876" s="5" t="str">
        <v>770402550590</v>
      </c>
      <c r="E3876" s="0" t="e">
        <f>+7 (495) 7772713
+7 (499) 1240521
+7 (499) 7242541
+7 (925) 17373
+7 (495) 7772734
+7 (495) 7772771</f>
        <v>#NAME?</v>
      </c>
      <c r="F3876" s="5" t="s">
        <v>36962</v>
      </c>
      <c r="G3876" s="5" t="s">
        <v>36963</v>
      </c>
      <c r="H3876" s="26">
        <v>29.5</v>
      </c>
      <c r="I3876" s="5" t="s">
        <v>36964</v>
      </c>
      <c r="J3876" s="5" t="s">
        <v>364</v>
      </c>
      <c r="K3876" s="5" t="s">
        <v>355</v>
      </c>
      <c r="L3876" s="5"/>
      <c r="M3876" s="27">
        <v>162515553</v>
      </c>
      <c r="N3876" s="5" t="s">
        <v>55322</v>
      </c>
      <c r="O3876" s="5" t="str">
        <v>7711006612</v>
      </c>
      <c r="P3876" s="27">
        <v>4400000</v>
      </c>
      <c r="Q3876" s="5" t="s">
        <v>55323</v>
      </c>
      <c r="R3876" s="5" t="s">
        <v>55324</v>
      </c>
      <c r="S3876" s="5" t="s">
        <v>55325</v>
      </c>
      <c r="T3876" s="28">
        <v>508715000</v>
      </c>
      <c r="U3876" s="28">
        <v>522088000</v>
      </c>
      <c r="V3876" s="28">
        <v>9121009000</v>
      </c>
      <c r="W3876" s="28">
        <v>482476000</v>
      </c>
      <c r="X3876" s="28">
        <v>416900000</v>
      </c>
      <c r="Y3876" s="28">
        <v>13807082000</v>
      </c>
      <c r="Z3876" s="28">
        <v>9655708000</v>
      </c>
      <c r="AA3876" s="28"/>
      <c r="AB3876" s="28"/>
      <c r="AC3876" s="28">
        <v>3859941000</v>
      </c>
      <c r="AD3876" s="28">
        <v>9741149000</v>
      </c>
      <c r="AE3876" s="28">
        <v>3702336000</v>
      </c>
      <c r="AF3876" s="28">
        <v>6752000</v>
      </c>
      <c r="AG3876" s="11"/>
    </row>
    <row r="3877">
      <c r="A3877" s="7" t="s">
        <v>5532</v>
      </c>
      <c r="B3877" s="5" t="s">
        <v>13492</v>
      </c>
      <c r="C3877" s="5" t="s">
        <v>21283</v>
      </c>
      <c r="D3877" s="5" t="str">
        <v>770300193276</v>
      </c>
      <c r="E3877" s="0" t="e">
        <f>+7 (3952) 504402
+7 (915) 2149797</f>
        <v>#NAME?</v>
      </c>
      <c r="F3877" s="5" t="s">
        <v>36965</v>
      </c>
      <c r="G3877" s="5"/>
      <c r="H3877" s="26">
        <v>6</v>
      </c>
      <c r="I3877" s="5" t="s">
        <v>36966</v>
      </c>
      <c r="J3877" s="5" t="s">
        <v>25982</v>
      </c>
      <c r="K3877" s="5" t="s">
        <v>344</v>
      </c>
      <c r="L3877" s="5"/>
      <c r="M3877" s="27">
        <v>202388204</v>
      </c>
      <c r="N3877" s="5"/>
      <c r="O3877" s="5" t="str">
        <v>2466180754</v>
      </c>
      <c r="P3877" s="27">
        <v>5254900950</v>
      </c>
      <c r="Q3877" s="5"/>
      <c r="R3877" s="5"/>
      <c r="S3877" s="5" t="s">
        <v>49029</v>
      </c>
      <c r="T3877" s="28">
        <v>693000</v>
      </c>
      <c r="U3877" s="28">
        <v>204085000</v>
      </c>
      <c r="V3877" s="28">
        <v>2595590000</v>
      </c>
      <c r="W3877" s="28">
        <v>10400823000</v>
      </c>
      <c r="X3877" s="28">
        <v>42167000</v>
      </c>
      <c r="Y3877" s="28">
        <v>15809727000</v>
      </c>
      <c r="Z3877" s="28">
        <v>-3348050000</v>
      </c>
      <c r="AA3877" s="28"/>
      <c r="AB3877" s="28">
        <v>1419599000</v>
      </c>
      <c r="AC3877" s="28">
        <v>3404077000</v>
      </c>
      <c r="AD3877" s="28">
        <v>12357661000</v>
      </c>
      <c r="AE3877" s="28">
        <v>6514345000</v>
      </c>
      <c r="AF3877" s="28">
        <v>18388000</v>
      </c>
      <c r="AG3877" s="11"/>
    </row>
    <row r="3878">
      <c r="A3878" s="7" t="s">
        <v>5533</v>
      </c>
      <c r="B3878" s="5" t="s">
        <v>13493</v>
      </c>
      <c r="C3878" s="5" t="s">
        <v>21284</v>
      </c>
      <c r="D3878" s="5" t="str">
        <v>771526194026</v>
      </c>
      <c r="E3878" s="0" t="e">
        <f>+7 (495) 2211001
+7 (495) 7190315
+7 (499) 1269666</f>
        <v>#NAME?</v>
      </c>
      <c r="F3878" s="5" t="s">
        <v>36967</v>
      </c>
      <c r="G3878" s="5" t="s">
        <v>36968</v>
      </c>
      <c r="H3878" s="26">
        <v>27.5</v>
      </c>
      <c r="I3878" s="5" t="s">
        <v>36969</v>
      </c>
      <c r="J3878" s="5" t="s">
        <v>36970</v>
      </c>
      <c r="K3878" s="5"/>
      <c r="L3878" s="5"/>
      <c r="M3878" s="27">
        <v>2500</v>
      </c>
      <c r="N3878" s="5" t="s">
        <v>55326</v>
      </c>
      <c r="O3878" s="5" t="str">
        <v>7725082902</v>
      </c>
      <c r="P3878" s="27">
        <v>10000</v>
      </c>
      <c r="Q3878" s="5" t="s">
        <v>49009</v>
      </c>
      <c r="R3878" s="5"/>
      <c r="S3878" s="5" t="s">
        <v>49012</v>
      </c>
      <c r="T3878" s="28">
        <v>896773000</v>
      </c>
      <c r="U3878" s="28"/>
      <c r="V3878" s="28">
        <v>1138678000</v>
      </c>
      <c r="W3878" s="28">
        <v>3215309000</v>
      </c>
      <c r="X3878" s="28">
        <v>507411000</v>
      </c>
      <c r="Y3878" s="28">
        <v>5779484000</v>
      </c>
      <c r="Z3878" s="28">
        <v>4480435000</v>
      </c>
      <c r="AA3878" s="28"/>
      <c r="AB3878" s="28"/>
      <c r="AC3878" s="28">
        <v>1120700000</v>
      </c>
      <c r="AD3878" s="28">
        <v>4480445000</v>
      </c>
      <c r="AE3878" s="28">
        <v>4079264000</v>
      </c>
      <c r="AF3878" s="28">
        <v>1736273000</v>
      </c>
      <c r="AG3878" s="11"/>
    </row>
    <row r="3879">
      <c r="A3879" s="7" t="s">
        <v>5534</v>
      </c>
      <c r="B3879" s="5" t="s">
        <v>11767</v>
      </c>
      <c r="C3879" s="5" t="s">
        <v>21285</v>
      </c>
      <c r="D3879" s="5" t="str">
        <v>745300295366</v>
      </c>
      <c r="E3879" s="0" t="e">
        <f>+7 (3494) 934005
+7 (495) 5453969
+7 (495) 6631020
+7 (495) 6650296
+7 (495) 7952527
+7 (495) 7952532</f>
        <v>#NAME?</v>
      </c>
      <c r="F3879" s="5" t="s">
        <v>36971</v>
      </c>
      <c r="G3879" s="5" t="s">
        <v>36972</v>
      </c>
      <c r="H3879" s="26">
        <v>21.5</v>
      </c>
      <c r="I3879" s="5" t="s">
        <v>36973</v>
      </c>
      <c r="J3879" s="5" t="s">
        <v>36974</v>
      </c>
      <c r="K3879" s="5" t="s">
        <v>355</v>
      </c>
      <c r="L3879" s="5"/>
      <c r="M3879" s="27"/>
      <c r="N3879" s="5" t="s">
        <v>55327</v>
      </c>
      <c r="O3879" s="5" t="str">
        <v>7721230290</v>
      </c>
      <c r="P3879" s="27">
        <v>6800010000</v>
      </c>
      <c r="Q3879" s="5" t="s">
        <v>55328</v>
      </c>
      <c r="R3879" s="5"/>
      <c r="S3879" s="5" t="s">
        <v>55329</v>
      </c>
      <c r="T3879" s="28">
        <v>717965000</v>
      </c>
      <c r="U3879" s="28">
        <v>457854793000</v>
      </c>
      <c r="V3879" s="28">
        <v>342125909000</v>
      </c>
      <c r="W3879" s="28">
        <v>140690645000</v>
      </c>
      <c r="X3879" s="28">
        <v>30324129000</v>
      </c>
      <c r="Y3879" s="28">
        <v>983531179000</v>
      </c>
      <c r="Z3879" s="28">
        <v>454229477000</v>
      </c>
      <c r="AA3879" s="28">
        <v>203841248000</v>
      </c>
      <c r="AB3879" s="28">
        <v>186750034000</v>
      </c>
      <c r="AC3879" s="28">
        <v>318134553000</v>
      </c>
      <c r="AD3879" s="28">
        <v>461369487000</v>
      </c>
      <c r="AE3879" s="28">
        <v>51687963000</v>
      </c>
      <c r="AF3879" s="28">
        <v>107019434000</v>
      </c>
      <c r="AG3879" s="11"/>
    </row>
    <row r="3880">
      <c r="A3880" s="7" t="s">
        <v>5535</v>
      </c>
      <c r="B3880" s="5" t="s">
        <v>13494</v>
      </c>
      <c r="C3880" s="5" t="s">
        <v>21286</v>
      </c>
      <c r="D3880" s="5" t="str">
        <v>540534033700</v>
      </c>
      <c r="E3880" s="0" t="e">
        <f>+7 (499) 5501102
+7 (919) 1061259
+7 (495) 7270029
+7 (499) 5501112
+7 (499) 5501251</f>
        <v>#NAME?</v>
      </c>
      <c r="F3880" s="5" t="s">
        <v>36975</v>
      </c>
      <c r="G3880" s="5" t="s">
        <v>36976</v>
      </c>
      <c r="H3880" s="26">
        <v>27</v>
      </c>
      <c r="I3880" s="5"/>
      <c r="J3880" s="5" t="s">
        <v>29078</v>
      </c>
      <c r="K3880" s="5" t="s">
        <v>344</v>
      </c>
      <c r="L3880" s="5"/>
      <c r="M3880" s="27"/>
      <c r="N3880" s="5" t="s">
        <v>55330</v>
      </c>
      <c r="O3880" s="5" t="str">
        <v>7704137364</v>
      </c>
      <c r="P3880" s="27">
        <v>150000</v>
      </c>
      <c r="Q3880" s="5" t="s">
        <v>55332</v>
      </c>
      <c r="R3880" s="5"/>
      <c r="S3880" s="5" t="s">
        <v>55333</v>
      </c>
      <c r="T3880" s="28">
        <v>228074000</v>
      </c>
      <c r="U3880" s="28">
        <v>1670000</v>
      </c>
      <c r="V3880" s="28">
        <v>780032000</v>
      </c>
      <c r="W3880" s="28"/>
      <c r="X3880" s="28">
        <v>41130000</v>
      </c>
      <c r="Y3880" s="28">
        <v>1387540000</v>
      </c>
      <c r="Z3880" s="28">
        <v>514264000</v>
      </c>
      <c r="AA3880" s="28"/>
      <c r="AB3880" s="28">
        <v>327565000</v>
      </c>
      <c r="AC3880" s="28">
        <v>853209000</v>
      </c>
      <c r="AD3880" s="28">
        <v>516648000</v>
      </c>
      <c r="AE3880" s="28">
        <v>3806316000</v>
      </c>
      <c r="AF3880" s="28">
        <v>60661000</v>
      </c>
      <c r="AG3880" s="11"/>
    </row>
    <row r="3881">
      <c r="A3881" s="7" t="s">
        <v>5536</v>
      </c>
      <c r="B3881" s="5" t="s">
        <v>13495</v>
      </c>
      <c r="C3881" s="5" t="s">
        <v>21287</v>
      </c>
      <c r="D3881" s="5" t="str">
        <v>744402432531</v>
      </c>
      <c r="E3881" s="0" t="e">
        <f>+7 (3519) 228167
+7 (3519) 228168
+7 (3519) 228169
+7 (3519) 498240
+7 (3519) 498286
+7 (3519) 498298</f>
        <v>#NAME?</v>
      </c>
      <c r="F3881" s="5" t="s">
        <v>36977</v>
      </c>
      <c r="G3881" s="5" t="s">
        <v>36978</v>
      </c>
      <c r="H3881" s="26">
        <v>26</v>
      </c>
      <c r="I3881" s="5" t="s">
        <v>36979</v>
      </c>
      <c r="J3881" s="5" t="s">
        <v>26407</v>
      </c>
      <c r="K3881" s="5" t="s">
        <v>344</v>
      </c>
      <c r="L3881" s="5"/>
      <c r="M3881" s="27">
        <v>357533</v>
      </c>
      <c r="N3881" s="5" t="s">
        <v>55334</v>
      </c>
      <c r="O3881" s="5" t="str">
        <v>7456037585</v>
      </c>
      <c r="P3881" s="27">
        <v>396794100</v>
      </c>
      <c r="Q3881" s="5"/>
      <c r="R3881" s="5"/>
      <c r="S3881" s="5" t="s">
        <v>50509</v>
      </c>
      <c r="T3881" s="28">
        <v>2351347000</v>
      </c>
      <c r="U3881" s="28">
        <v>147631000</v>
      </c>
      <c r="V3881" s="28">
        <v>302911000</v>
      </c>
      <c r="W3881" s="28">
        <v>284640000</v>
      </c>
      <c r="X3881" s="28">
        <v>21043000</v>
      </c>
      <c r="Y3881" s="28">
        <v>3740050000</v>
      </c>
      <c r="Z3881" s="28">
        <v>1742457000</v>
      </c>
      <c r="AA3881" s="28"/>
      <c r="AB3881" s="28"/>
      <c r="AC3881" s="28">
        <v>329447000</v>
      </c>
      <c r="AD3881" s="28">
        <v>3078380000</v>
      </c>
      <c r="AE3881" s="28">
        <v>3979105000</v>
      </c>
      <c r="AF3881" s="28">
        <v>89890000</v>
      </c>
      <c r="AG3881" s="11"/>
    </row>
    <row r="3882">
      <c r="A3882" s="7" t="s">
        <v>5537</v>
      </c>
      <c r="B3882" s="5" t="s">
        <v>13496</v>
      </c>
      <c r="C3882" s="5" t="s">
        <v>21288</v>
      </c>
      <c r="D3882" s="5" t="str">
        <v>366605062592</v>
      </c>
      <c r="E3882" s="0" t="e">
        <f>+7 (47350) 43688
+7 (903) 6503111
+7 (960) 1280274</f>
        <v>#NAME?</v>
      </c>
      <c r="F3882" s="5" t="s">
        <v>36980</v>
      </c>
      <c r="G3882" s="5" t="s">
        <v>36981</v>
      </c>
      <c r="H3882" s="26">
        <v>4.5</v>
      </c>
      <c r="I3882" s="5" t="s">
        <v>36982</v>
      </c>
      <c r="J3882" s="5" t="s">
        <v>25388</v>
      </c>
      <c r="K3882" s="5" t="s">
        <v>344</v>
      </c>
      <c r="L3882" s="5" t="s">
        <v>36983</v>
      </c>
      <c r="M3882" s="27"/>
      <c r="N3882" s="5"/>
      <c r="O3882" s="5" t="str">
        <v>3663137686</v>
      </c>
      <c r="P3882" s="27">
        <v>500000</v>
      </c>
      <c r="Q3882" s="5" t="s">
        <v>55335</v>
      </c>
      <c r="R3882" s="5"/>
      <c r="S3882" s="5" t="s">
        <v>52559</v>
      </c>
      <c r="T3882" s="28">
        <v>63362000</v>
      </c>
      <c r="U3882" s="28"/>
      <c r="V3882" s="28">
        <v>211480000</v>
      </c>
      <c r="W3882" s="28">
        <v>600000</v>
      </c>
      <c r="X3882" s="28">
        <v>374000</v>
      </c>
      <c r="Y3882" s="28">
        <v>315795000</v>
      </c>
      <c r="Z3882" s="28">
        <v>121522000</v>
      </c>
      <c r="AA3882" s="28">
        <v>43529000</v>
      </c>
      <c r="AB3882" s="28">
        <v>23623000</v>
      </c>
      <c r="AC3882" s="28">
        <v>118074000</v>
      </c>
      <c r="AD3882" s="28">
        <v>148189000</v>
      </c>
      <c r="AE3882" s="28">
        <v>3017799000</v>
      </c>
      <c r="AF3882" s="28">
        <v>67972000</v>
      </c>
      <c r="AG3882" s="11"/>
    </row>
    <row r="3883">
      <c r="A3883" s="7" t="s">
        <v>5538</v>
      </c>
      <c r="B3883" s="5" t="s">
        <v>13497</v>
      </c>
      <c r="C3883" s="5" t="s">
        <v>21289</v>
      </c>
      <c r="D3883" s="5" t="str">
        <v>563500721706</v>
      </c>
      <c r="E3883" s="0" t="e">
        <f>+7 (495) 3801986
+7 (495) 6629242
+7 (495) 7553024</f>
        <v>#NAME?</v>
      </c>
      <c r="F3883" s="5" t="s">
        <v>36984</v>
      </c>
      <c r="G3883" s="5" t="s">
        <v>36985</v>
      </c>
      <c r="H3883" s="26">
        <v>16</v>
      </c>
      <c r="I3883" s="5" t="s">
        <v>36986</v>
      </c>
      <c r="J3883" s="5" t="s">
        <v>671</v>
      </c>
      <c r="K3883" s="5" t="s">
        <v>344</v>
      </c>
      <c r="L3883" s="5" t="s">
        <v>36987</v>
      </c>
      <c r="M3883" s="27"/>
      <c r="N3883" s="5"/>
      <c r="O3883" s="5" t="str">
        <v>7733605779</v>
      </c>
      <c r="P3883" s="27">
        <v>300000</v>
      </c>
      <c r="Q3883" s="5" t="s">
        <v>1215</v>
      </c>
      <c r="R3883" s="5"/>
      <c r="S3883" s="5" t="s">
        <v>55336</v>
      </c>
      <c r="T3883" s="28">
        <v>85980000</v>
      </c>
      <c r="U3883" s="28">
        <v>300000</v>
      </c>
      <c r="V3883" s="28">
        <v>3275147000</v>
      </c>
      <c r="W3883" s="28"/>
      <c r="X3883" s="28">
        <v>75064000</v>
      </c>
      <c r="Y3883" s="28">
        <v>3840495000</v>
      </c>
      <c r="Z3883" s="28">
        <v>640480000</v>
      </c>
      <c r="AA3883" s="28"/>
      <c r="AB3883" s="28">
        <v>180376000</v>
      </c>
      <c r="AC3883" s="28">
        <v>3150344000</v>
      </c>
      <c r="AD3883" s="28">
        <v>640780000</v>
      </c>
      <c r="AE3883" s="28">
        <v>3099947000</v>
      </c>
      <c r="AF3883" s="28">
        <v>351866000</v>
      </c>
      <c r="AG3883" s="11"/>
    </row>
    <row r="3884">
      <c r="A3884" s="7" t="s">
        <v>5539</v>
      </c>
      <c r="B3884" s="5" t="s">
        <v>13498</v>
      </c>
      <c r="C3884" s="5" t="s">
        <v>21290</v>
      </c>
      <c r="D3884" s="5" t="str">
        <v>421502072364</v>
      </c>
      <c r="E3884" s="0" t="e">
        <f>+7 (38474) 26495
+7 (38474) 26498
+7 (38474) 27205
+7 (38474) 20607
+7 (38474) 23180
+7 (38474) 26496
+7 (38474) 31105
+7 (909) 5139119
+7 (960) 9314016</f>
        <v>#NAME?</v>
      </c>
      <c r="F3884" s="5" t="s">
        <v>36988</v>
      </c>
      <c r="G3884" s="5" t="s">
        <v>36989</v>
      </c>
      <c r="H3884" s="26">
        <v>29.5</v>
      </c>
      <c r="I3884" s="5" t="s">
        <v>36990</v>
      </c>
      <c r="J3884" s="5" t="s">
        <v>25349</v>
      </c>
      <c r="K3884" s="5"/>
      <c r="L3884" s="5"/>
      <c r="M3884" s="27"/>
      <c r="N3884" s="5" t="s">
        <v>55337</v>
      </c>
      <c r="O3884" s="5" t="str">
        <v>4215001548</v>
      </c>
      <c r="P3884" s="27"/>
      <c r="Q3884" s="5" t="s">
        <v>55338</v>
      </c>
      <c r="R3884" s="5"/>
      <c r="S3884" s="5" t="s">
        <v>55339</v>
      </c>
      <c r="T3884" s="28"/>
      <c r="U3884" s="28"/>
      <c r="V3884" s="28"/>
      <c r="W3884" s="28"/>
      <c r="X3884" s="28"/>
      <c r="Y3884" s="28"/>
      <c r="Z3884" s="28"/>
      <c r="AA3884" s="28"/>
      <c r="AB3884" s="28"/>
      <c r="AC3884" s="28"/>
      <c r="AD3884" s="28"/>
      <c r="AE3884" s="28">
        <v>26034300000</v>
      </c>
      <c r="AF3884" s="28">
        <v>3294533000</v>
      </c>
      <c r="AG3884" s="11"/>
    </row>
    <row r="3885">
      <c r="A3885" s="7" t="s">
        <v>5540</v>
      </c>
      <c r="B3885" s="5" t="s">
        <v>13499</v>
      </c>
      <c r="C3885" s="5" t="s">
        <v>17797</v>
      </c>
      <c r="D3885" s="5" t="str">
        <v>280111722880</v>
      </c>
      <c r="E3885" s="0" t="e">
        <f>+7 (416) 2201060
+7 (416) 2584953
+7 (41641) 59353
+7 (41641) 92200
+7 (41641) 92221
+7 (41641) 92233
+7 (914) 5526038</f>
        <v>#NAME?</v>
      </c>
      <c r="F3885" s="5" t="s">
        <v>36991</v>
      </c>
      <c r="G3885" s="5"/>
      <c r="H3885" s="26">
        <v>8</v>
      </c>
      <c r="I3885" s="5" t="s">
        <v>36992</v>
      </c>
      <c r="J3885" s="5" t="s">
        <v>26383</v>
      </c>
      <c r="K3885" s="5" t="s">
        <v>355</v>
      </c>
      <c r="L3885" s="5" t="s">
        <v>36993</v>
      </c>
      <c r="M3885" s="27"/>
      <c r="N3885" s="5" t="s">
        <v>55340</v>
      </c>
      <c r="O3885" s="5" t="str">
        <v>2804017230</v>
      </c>
      <c r="P3885" s="27">
        <v>700000000</v>
      </c>
      <c r="Q3885" s="5" t="s">
        <v>55341</v>
      </c>
      <c r="R3885" s="5"/>
      <c r="S3885" s="5" t="s">
        <v>55342</v>
      </c>
      <c r="T3885" s="28">
        <v>4786725000</v>
      </c>
      <c r="U3885" s="28"/>
      <c r="V3885" s="28">
        <v>2723342000</v>
      </c>
      <c r="W3885" s="28"/>
      <c r="X3885" s="28">
        <v>686441000</v>
      </c>
      <c r="Y3885" s="28">
        <v>15330047000</v>
      </c>
      <c r="Z3885" s="28">
        <v>1838799000</v>
      </c>
      <c r="AA3885" s="28">
        <v>2294620000</v>
      </c>
      <c r="AB3885" s="28">
        <v>8782974000</v>
      </c>
      <c r="AC3885" s="28">
        <v>9826912000</v>
      </c>
      <c r="AD3885" s="28">
        <v>3156646000</v>
      </c>
      <c r="AE3885" s="28">
        <v>15448793000</v>
      </c>
      <c r="AF3885" s="28">
        <v>-43699000</v>
      </c>
      <c r="AG3885" s="11"/>
    </row>
    <row r="3886">
      <c r="A3886" s="7" t="s">
        <v>5541</v>
      </c>
      <c r="B3886" s="5" t="s">
        <v>11908</v>
      </c>
      <c r="C3886" s="5" t="s">
        <v>19753</v>
      </c>
      <c r="D3886" s="5" t="str">
        <v>312201869938</v>
      </c>
      <c r="E3886" s="0" t="e">
        <f>+7 (47232) 55169
+7 (47232) 56960
+7 (47236) 30403
+7 (47236) 30956
+7 (800) 5007707
+7 (861) 2192902
+7 (861) 2754575
+7 (86169) 30096
+7 (8632) 107020
+7 (8632) 107035
+7 (8632) 107040
+7 (8632) 191972
+7 (8632) 192032
+7 (8632) 532866
+7 (8632) 618291</f>
        <v>#NAME?</v>
      </c>
      <c r="F3886" s="5" t="s">
        <v>36994</v>
      </c>
      <c r="G3886" s="5" t="s">
        <v>26003</v>
      </c>
      <c r="H3886" s="26">
        <v>22.5</v>
      </c>
      <c r="I3886" s="5" t="s">
        <v>36995</v>
      </c>
      <c r="J3886" s="5" t="s">
        <v>25800</v>
      </c>
      <c r="K3886" s="5" t="s">
        <v>344</v>
      </c>
      <c r="L3886" s="5" t="s">
        <v>36996</v>
      </c>
      <c r="M3886" s="27">
        <v>140790195</v>
      </c>
      <c r="N3886" s="5"/>
      <c r="O3886" s="5" t="str">
        <v>6167055777</v>
      </c>
      <c r="P3886" s="27">
        <v>1947626</v>
      </c>
      <c r="Q3886" s="5"/>
      <c r="R3886" s="5"/>
      <c r="S3886" s="5" t="s">
        <v>51387</v>
      </c>
      <c r="T3886" s="28">
        <v>898595000</v>
      </c>
      <c r="U3886" s="28">
        <v>2942031000</v>
      </c>
      <c r="V3886" s="28">
        <v>17474128000</v>
      </c>
      <c r="W3886" s="28">
        <v>5230778000</v>
      </c>
      <c r="X3886" s="28">
        <v>2131918000</v>
      </c>
      <c r="Y3886" s="28">
        <v>47793619000</v>
      </c>
      <c r="Z3886" s="28">
        <v>4602145000</v>
      </c>
      <c r="AA3886" s="28"/>
      <c r="AB3886" s="28">
        <v>37054132000</v>
      </c>
      <c r="AC3886" s="28">
        <v>42941913000</v>
      </c>
      <c r="AD3886" s="28">
        <v>4604093000</v>
      </c>
      <c r="AE3886" s="28">
        <v>100249696000</v>
      </c>
      <c r="AF3886" s="28">
        <v>3428117000</v>
      </c>
      <c r="AG3886" s="11"/>
    </row>
    <row r="3887">
      <c r="A3887" s="7" t="s">
        <v>5542</v>
      </c>
      <c r="B3887" s="5" t="s">
        <v>13500</v>
      </c>
      <c r="C3887" s="5" t="s">
        <v>17734</v>
      </c>
      <c r="D3887" s="5" t="str">
        <v>770404666520</v>
      </c>
      <c r="F3887" s="5" t="s">
        <v>36997</v>
      </c>
      <c r="G3887" s="5" t="s">
        <v>36998</v>
      </c>
      <c r="H3887" s="26">
        <v>15.5</v>
      </c>
      <c r="I3887" s="5" t="s">
        <v>25539</v>
      </c>
      <c r="J3887" s="5" t="s">
        <v>389</v>
      </c>
      <c r="K3887" s="5" t="s">
        <v>344</v>
      </c>
      <c r="L3887" s="5" t="s">
        <v>36999</v>
      </c>
      <c r="M3887" s="27"/>
      <c r="N3887" s="5" t="s">
        <v>55343</v>
      </c>
      <c r="O3887" s="5" t="str">
        <v>7733622365</v>
      </c>
      <c r="P3887" s="27">
        <v>100000</v>
      </c>
      <c r="Q3887" s="5" t="s">
        <v>55344</v>
      </c>
      <c r="R3887" s="5"/>
      <c r="S3887" s="5" t="s">
        <v>49173</v>
      </c>
      <c r="T3887" s="28">
        <v>81446000</v>
      </c>
      <c r="U3887" s="28"/>
      <c r="V3887" s="28">
        <v>3255764000</v>
      </c>
      <c r="W3887" s="28"/>
      <c r="X3887" s="28">
        <v>215021000</v>
      </c>
      <c r="Y3887" s="28">
        <v>8541305000</v>
      </c>
      <c r="Z3887" s="28">
        <v>482119000</v>
      </c>
      <c r="AA3887" s="28">
        <v>4699650000</v>
      </c>
      <c r="AB3887" s="28">
        <v>318795000</v>
      </c>
      <c r="AC3887" s="28">
        <v>3359436000</v>
      </c>
      <c r="AD3887" s="28">
        <v>482219000</v>
      </c>
      <c r="AE3887" s="28">
        <v>13193200000</v>
      </c>
      <c r="AF3887" s="28">
        <v>49794000</v>
      </c>
      <c r="AG3887" s="11"/>
    </row>
    <row r="3888">
      <c r="A3888" s="7" t="s">
        <v>5543</v>
      </c>
      <c r="B3888" s="5" t="s">
        <v>13501</v>
      </c>
      <c r="C3888" s="5" t="s">
        <v>17734</v>
      </c>
      <c r="D3888" s="5" t="str">
        <v>770404666520</v>
      </c>
      <c r="E3888" s="0" t="e">
        <f>+7 (495) 251010</f>
        <v>#NAME?</v>
      </c>
      <c r="F3888" s="5" t="s">
        <v>37000</v>
      </c>
      <c r="G3888" s="5"/>
      <c r="H3888" s="26">
        <v>15.5</v>
      </c>
      <c r="I3888" s="5" t="s">
        <v>37001</v>
      </c>
      <c r="J3888" s="5" t="s">
        <v>389</v>
      </c>
      <c r="K3888" s="5" t="s">
        <v>344</v>
      </c>
      <c r="L3888" s="5" t="s">
        <v>37002</v>
      </c>
      <c r="M3888" s="27"/>
      <c r="N3888" s="5" t="s">
        <v>55345</v>
      </c>
      <c r="O3888" s="5" t="str">
        <v>5024089060</v>
      </c>
      <c r="P3888" s="27">
        <v>50000</v>
      </c>
      <c r="Q3888" s="5"/>
      <c r="R3888" s="5"/>
      <c r="S3888" s="5" t="s">
        <v>50936</v>
      </c>
      <c r="T3888" s="28">
        <v>20646000</v>
      </c>
      <c r="U3888" s="28"/>
      <c r="V3888" s="28">
        <v>2241536000</v>
      </c>
      <c r="W3888" s="28"/>
      <c r="X3888" s="28">
        <v>918128000</v>
      </c>
      <c r="Y3888" s="28">
        <v>4565521000</v>
      </c>
      <c r="Z3888" s="28">
        <v>563986000</v>
      </c>
      <c r="AA3888" s="28">
        <v>1615800000</v>
      </c>
      <c r="AB3888" s="28">
        <v>238917000</v>
      </c>
      <c r="AC3888" s="28">
        <v>2385685000</v>
      </c>
      <c r="AD3888" s="28">
        <v>564036000</v>
      </c>
      <c r="AE3888" s="28">
        <v>6626383000</v>
      </c>
      <c r="AF3888" s="28">
        <v>247377000</v>
      </c>
      <c r="AG3888" s="11"/>
    </row>
    <row r="3889">
      <c r="A3889" s="7" t="s">
        <v>5544</v>
      </c>
      <c r="B3889" s="5" t="s">
        <v>13502</v>
      </c>
      <c r="C3889" s="5" t="s">
        <v>17734</v>
      </c>
      <c r="D3889" s="5" t="str">
        <v>770404666520</v>
      </c>
      <c r="F3889" s="5" t="s">
        <v>37003</v>
      </c>
      <c r="G3889" s="5" t="s">
        <v>37004</v>
      </c>
      <c r="H3889" s="26">
        <v>19.5</v>
      </c>
      <c r="I3889" s="5" t="s">
        <v>37005</v>
      </c>
      <c r="J3889" s="5" t="s">
        <v>389</v>
      </c>
      <c r="K3889" s="5" t="s">
        <v>344</v>
      </c>
      <c r="L3889" s="5"/>
      <c r="M3889" s="27">
        <v>1580000</v>
      </c>
      <c r="N3889" s="5" t="s">
        <v>55346</v>
      </c>
      <c r="O3889" s="5" t="str">
        <v>7734505008</v>
      </c>
      <c r="P3889" s="27">
        <v>10010000</v>
      </c>
      <c r="Q3889" s="5" t="s">
        <v>55347</v>
      </c>
      <c r="R3889" s="5"/>
      <c r="S3889" s="5" t="s">
        <v>50669</v>
      </c>
      <c r="T3889" s="28">
        <v>52302000</v>
      </c>
      <c r="U3889" s="28">
        <v>3820450000</v>
      </c>
      <c r="V3889" s="28">
        <v>1451713000</v>
      </c>
      <c r="W3889" s="28">
        <v>283650000</v>
      </c>
      <c r="X3889" s="28">
        <v>95114000</v>
      </c>
      <c r="Y3889" s="28">
        <v>7188468000</v>
      </c>
      <c r="Z3889" s="28">
        <v>390374000</v>
      </c>
      <c r="AA3889" s="28">
        <v>4473100000</v>
      </c>
      <c r="AB3889" s="28">
        <v>102150000</v>
      </c>
      <c r="AC3889" s="28">
        <v>2324984000</v>
      </c>
      <c r="AD3889" s="28">
        <v>390384000</v>
      </c>
      <c r="AE3889" s="28">
        <v>11917920000</v>
      </c>
      <c r="AF3889" s="28">
        <v>100247000</v>
      </c>
      <c r="AG3889" s="11"/>
    </row>
    <row r="3890">
      <c r="A3890" s="7" t="s">
        <v>5545</v>
      </c>
      <c r="B3890" s="5" t="s">
        <v>13503</v>
      </c>
      <c r="C3890" s="5" t="s">
        <v>17734</v>
      </c>
      <c r="D3890" s="5" t="str">
        <v>770404666520</v>
      </c>
      <c r="E3890" s="0" t="e">
        <f>+7 (495) 1269090
+7 (495) 2299998</f>
        <v>#NAME?</v>
      </c>
      <c r="F3890" s="5" t="s">
        <v>37006</v>
      </c>
      <c r="G3890" s="5"/>
      <c r="H3890" s="26">
        <v>19.5</v>
      </c>
      <c r="I3890" s="5" t="s">
        <v>37007</v>
      </c>
      <c r="J3890" s="5" t="s">
        <v>389</v>
      </c>
      <c r="K3890" s="5" t="s">
        <v>344</v>
      </c>
      <c r="L3890" s="5" t="s">
        <v>37008</v>
      </c>
      <c r="M3890" s="27"/>
      <c r="N3890" s="5" t="s">
        <v>55348</v>
      </c>
      <c r="O3890" s="5" t="str">
        <v>7734504981</v>
      </c>
      <c r="P3890" s="27">
        <v>10000</v>
      </c>
      <c r="Q3890" s="5" t="s">
        <v>55349</v>
      </c>
      <c r="R3890" s="5"/>
      <c r="S3890" s="5" t="s">
        <v>55350</v>
      </c>
      <c r="T3890" s="28">
        <v>7566000</v>
      </c>
      <c r="U3890" s="28">
        <v>351687000</v>
      </c>
      <c r="V3890" s="28">
        <v>841278000</v>
      </c>
      <c r="W3890" s="28">
        <v>769351000</v>
      </c>
      <c r="X3890" s="28">
        <v>75809000</v>
      </c>
      <c r="Y3890" s="28">
        <v>4423414000</v>
      </c>
      <c r="Z3890" s="28">
        <v>913224000</v>
      </c>
      <c r="AA3890" s="28">
        <v>1257200000</v>
      </c>
      <c r="AB3890" s="28">
        <v>81010000</v>
      </c>
      <c r="AC3890" s="28">
        <v>2252980000</v>
      </c>
      <c r="AD3890" s="28">
        <v>913234000</v>
      </c>
      <c r="AE3890" s="28">
        <v>8885896000</v>
      </c>
      <c r="AF3890" s="28">
        <v>548729000</v>
      </c>
      <c r="AG3890" s="11"/>
    </row>
    <row r="3891">
      <c r="A3891" s="7" t="s">
        <v>5546</v>
      </c>
      <c r="B3891" s="5" t="s">
        <v>13504</v>
      </c>
      <c r="C3891" s="5" t="s">
        <v>21291</v>
      </c>
      <c r="D3891" s="5" t="str">
        <v>774316216279</v>
      </c>
      <c r="E3891" s="0" t="e">
        <f>+7 (499) 2317834
+7 (903) 7377580
+7 (910) 1223076
+7 (495) 2317834
+7 (812) 2442098</f>
        <v>#NAME?</v>
      </c>
      <c r="F3891" s="5" t="s">
        <v>37009</v>
      </c>
      <c r="G3891" s="5" t="s">
        <v>37010</v>
      </c>
      <c r="H3891" s="26">
        <v>20</v>
      </c>
      <c r="I3891" s="5" t="s">
        <v>37011</v>
      </c>
      <c r="J3891" s="5" t="s">
        <v>599</v>
      </c>
      <c r="K3891" s="5" t="s">
        <v>344</v>
      </c>
      <c r="L3891" s="5" t="s">
        <v>37012</v>
      </c>
      <c r="M3891" s="27"/>
      <c r="N3891" s="5" t="s">
        <v>55351</v>
      </c>
      <c r="O3891" s="5" t="str">
        <v>7733147600</v>
      </c>
      <c r="P3891" s="27">
        <v>1000000</v>
      </c>
      <c r="Q3891" s="5" t="s">
        <v>55352</v>
      </c>
      <c r="R3891" s="5"/>
      <c r="S3891" s="5" t="s">
        <v>49012</v>
      </c>
      <c r="T3891" s="28">
        <v>18467000</v>
      </c>
      <c r="U3891" s="28">
        <v>1696000</v>
      </c>
      <c r="V3891" s="28">
        <v>1660305000</v>
      </c>
      <c r="W3891" s="28">
        <v>89700000</v>
      </c>
      <c r="X3891" s="28">
        <v>643308000</v>
      </c>
      <c r="Y3891" s="28">
        <v>2472029000</v>
      </c>
      <c r="Z3891" s="28">
        <v>1231514000</v>
      </c>
      <c r="AA3891" s="28"/>
      <c r="AB3891" s="28"/>
      <c r="AC3891" s="28">
        <v>1215544000</v>
      </c>
      <c r="AD3891" s="28">
        <v>1232514000</v>
      </c>
      <c r="AE3891" s="28">
        <v>13174610000</v>
      </c>
      <c r="AF3891" s="28">
        <v>834995000</v>
      </c>
      <c r="AG3891" s="11"/>
    </row>
    <row r="3892">
      <c r="A3892" s="7" t="s">
        <v>5547</v>
      </c>
      <c r="B3892" s="5" t="s">
        <v>13505</v>
      </c>
      <c r="C3892" s="5" t="s">
        <v>21292</v>
      </c>
      <c r="D3892" s="5" t="str">
        <v>772150299450</v>
      </c>
      <c r="E3892" s="0" t="e">
        <f>+7 (916) 3420302
+7 (495) 6681428
+7 (903) 5891930</f>
        <v>#NAME?</v>
      </c>
      <c r="F3892" s="5" t="s">
        <v>37013</v>
      </c>
      <c r="G3892" s="5" t="s">
        <v>37014</v>
      </c>
      <c r="H3892" s="26">
        <v>15</v>
      </c>
      <c r="I3892" s="5" t="s">
        <v>37015</v>
      </c>
      <c r="J3892" s="5" t="s">
        <v>26515</v>
      </c>
      <c r="K3892" s="5" t="s">
        <v>344</v>
      </c>
      <c r="L3892" s="5" t="s">
        <v>37016</v>
      </c>
      <c r="M3892" s="27">
        <v>57257867</v>
      </c>
      <c r="N3892" s="5" t="s">
        <v>55353</v>
      </c>
      <c r="O3892" s="5" t="str">
        <v>5024093363</v>
      </c>
      <c r="P3892" s="27">
        <v>10000</v>
      </c>
      <c r="Q3892" s="5" t="s">
        <v>49009</v>
      </c>
      <c r="R3892" s="5"/>
      <c r="S3892" s="5" t="s">
        <v>49204</v>
      </c>
      <c r="T3892" s="28">
        <v>6409000</v>
      </c>
      <c r="U3892" s="28">
        <v>10000</v>
      </c>
      <c r="V3892" s="28">
        <v>803611000</v>
      </c>
      <c r="W3892" s="28"/>
      <c r="X3892" s="28">
        <v>6993000</v>
      </c>
      <c r="Y3892" s="28">
        <v>27700257000</v>
      </c>
      <c r="Z3892" s="28">
        <v>6033044000</v>
      </c>
      <c r="AA3892" s="28">
        <v>18254431000</v>
      </c>
      <c r="AB3892" s="28">
        <v>732795000</v>
      </c>
      <c r="AC3892" s="28">
        <v>3383183000</v>
      </c>
      <c r="AD3892" s="28">
        <v>6033054000</v>
      </c>
      <c r="AE3892" s="28">
        <v>4137896000</v>
      </c>
      <c r="AF3892" s="28">
        <v>6957902000</v>
      </c>
      <c r="AG3892" s="11"/>
    </row>
    <row r="3893">
      <c r="A3893" s="7" t="s">
        <v>5548</v>
      </c>
      <c r="B3893" s="5" t="s">
        <v>13505</v>
      </c>
      <c r="C3893" s="5" t="s">
        <v>21292</v>
      </c>
      <c r="D3893" s="5" t="str">
        <v>772150299450</v>
      </c>
      <c r="E3893" s="0" t="e">
        <f>+7 (495) 6681428</f>
        <v>#NAME?</v>
      </c>
      <c r="F3893" s="5"/>
      <c r="G3893" s="5"/>
      <c r="H3893" s="26">
        <v>12</v>
      </c>
      <c r="I3893" s="5" t="s">
        <v>37017</v>
      </c>
      <c r="J3893" s="5" t="s">
        <v>26515</v>
      </c>
      <c r="K3893" s="5" t="s">
        <v>380</v>
      </c>
      <c r="L3893" s="5" t="s">
        <v>931</v>
      </c>
      <c r="M3893" s="27">
        <v>969965</v>
      </c>
      <c r="N3893" s="5" t="s">
        <v>55354</v>
      </c>
      <c r="O3893" s="5" t="str">
        <v>5024117159</v>
      </c>
      <c r="P3893" s="27">
        <v>10000</v>
      </c>
      <c r="Q3893" s="5" t="s">
        <v>49009</v>
      </c>
      <c r="R3893" s="5"/>
      <c r="S3893" s="5" t="s">
        <v>49010</v>
      </c>
      <c r="T3893" s="28">
        <v>422049000</v>
      </c>
      <c r="U3893" s="28"/>
      <c r="V3893" s="28">
        <v>1367740000</v>
      </c>
      <c r="W3893" s="28"/>
      <c r="X3893" s="28">
        <v>237000</v>
      </c>
      <c r="Y3893" s="28">
        <v>5514301000</v>
      </c>
      <c r="Z3893" s="28">
        <v>1378098000</v>
      </c>
      <c r="AA3893" s="28">
        <v>2438728000</v>
      </c>
      <c r="AB3893" s="28">
        <v>22459000</v>
      </c>
      <c r="AC3893" s="28">
        <v>1624181000</v>
      </c>
      <c r="AD3893" s="28">
        <v>1378108000</v>
      </c>
      <c r="AE3893" s="28">
        <v>4998761000</v>
      </c>
      <c r="AF3893" s="28">
        <v>1361805000</v>
      </c>
      <c r="AG3893" s="11"/>
    </row>
    <row r="3894">
      <c r="A3894" s="7" t="s">
        <v>5549</v>
      </c>
      <c r="B3894" s="5" t="s">
        <v>13506</v>
      </c>
      <c r="C3894" s="5" t="s">
        <v>21293</v>
      </c>
      <c r="D3894" s="5" t="str">
        <v>402911908708</v>
      </c>
      <c r="E3894" s="0" t="e">
        <f>+7 (495) 2317834
+7 (495) 7376006
+7 (499) 2317834
+7 (499) 4909507
+7 (965) 2314179</f>
        <v>#NAME?</v>
      </c>
      <c r="F3894" s="5" t="s">
        <v>37018</v>
      </c>
      <c r="G3894" s="5" t="s">
        <v>37019</v>
      </c>
      <c r="H3894" s="26">
        <v>19</v>
      </c>
      <c r="I3894" s="5" t="s">
        <v>37020</v>
      </c>
      <c r="J3894" s="5" t="s">
        <v>28451</v>
      </c>
      <c r="K3894" s="5" t="s">
        <v>344</v>
      </c>
      <c r="L3894" s="5" t="s">
        <v>37021</v>
      </c>
      <c r="M3894" s="27"/>
      <c r="N3894" s="5"/>
      <c r="O3894" s="5" t="str">
        <v>7733518004</v>
      </c>
      <c r="P3894" s="27">
        <v>1000000</v>
      </c>
      <c r="Q3894" s="5" t="s">
        <v>49009</v>
      </c>
      <c r="R3894" s="5"/>
      <c r="S3894" s="5" t="s">
        <v>49120</v>
      </c>
      <c r="T3894" s="28">
        <v>2125000000</v>
      </c>
      <c r="U3894" s="28">
        <v>16500000</v>
      </c>
      <c r="V3894" s="28">
        <v>588978000</v>
      </c>
      <c r="W3894" s="28"/>
      <c r="X3894" s="28">
        <v>273020000</v>
      </c>
      <c r="Y3894" s="28">
        <v>3624119000</v>
      </c>
      <c r="Z3894" s="28">
        <v>795071000</v>
      </c>
      <c r="AA3894" s="28"/>
      <c r="AB3894" s="28">
        <v>200095000</v>
      </c>
      <c r="AC3894" s="28">
        <v>567926000</v>
      </c>
      <c r="AD3894" s="28">
        <v>796071000</v>
      </c>
      <c r="AE3894" s="28">
        <v>4064839000</v>
      </c>
      <c r="AF3894" s="28">
        <v>496385000</v>
      </c>
      <c r="AG3894" s="11"/>
    </row>
    <row r="3895">
      <c r="A3895" s="7" t="s">
        <v>5550</v>
      </c>
      <c r="B3895" s="5" t="s">
        <v>13507</v>
      </c>
      <c r="C3895" s="5" t="s">
        <v>21294</v>
      </c>
      <c r="D3895" s="5" t="str">
        <v>504100452308</v>
      </c>
      <c r="E3895" s="0" t="e">
        <f>+7 (3022) 398398
+7 (3412) 561797
+7 (3422) 931525
+7 (3422) 999988
+7 (3433) 840727
+7 (34551) 51346
+7 (3463) 231215
+7 (3463) 231235
+7 (34643) 94848
+7 (3467) 306550
+7 (3472) 463366
+7 (3472) 463399
+7 (349) 2273701
+7 (3494) 297200
+7 (3496) 359696</f>
        <v>#NAME?</v>
      </c>
      <c r="F3895" s="5" t="s">
        <v>37022</v>
      </c>
      <c r="G3895" s="5" t="s">
        <v>37023</v>
      </c>
      <c r="H3895" s="26">
        <v>19.5</v>
      </c>
      <c r="I3895" s="5" t="s">
        <v>37024</v>
      </c>
      <c r="J3895" s="5" t="s">
        <v>34658</v>
      </c>
      <c r="K3895" s="5" t="s">
        <v>344</v>
      </c>
      <c r="L3895" s="5" t="s">
        <v>37025</v>
      </c>
      <c r="M3895" s="27">
        <v>10874</v>
      </c>
      <c r="N3895" s="5" t="s">
        <v>55355</v>
      </c>
      <c r="O3895" s="5" t="str">
        <v>7743505170</v>
      </c>
      <c r="P3895" s="27">
        <v>10000000</v>
      </c>
      <c r="Q3895" s="5" t="s">
        <v>49009</v>
      </c>
      <c r="R3895" s="5"/>
      <c r="S3895" s="5" t="s">
        <v>49012</v>
      </c>
      <c r="T3895" s="28">
        <v>662551000</v>
      </c>
      <c r="U3895" s="28">
        <v>210000000</v>
      </c>
      <c r="V3895" s="28">
        <v>820366000</v>
      </c>
      <c r="W3895" s="28">
        <v>931000000</v>
      </c>
      <c r="X3895" s="28">
        <v>208786000</v>
      </c>
      <c r="Y3895" s="28">
        <v>2918654000</v>
      </c>
      <c r="Z3895" s="28">
        <v>2027698000</v>
      </c>
      <c r="AA3895" s="28"/>
      <c r="AB3895" s="28"/>
      <c r="AC3895" s="28">
        <v>797723000</v>
      </c>
      <c r="AD3895" s="28">
        <v>2037698000</v>
      </c>
      <c r="AE3895" s="28">
        <v>6086769000</v>
      </c>
      <c r="AF3895" s="28">
        <v>878034000</v>
      </c>
      <c r="AG3895" s="11"/>
    </row>
    <row r="3896">
      <c r="A3896" s="7" t="s">
        <v>5551</v>
      </c>
      <c r="B3896" s="5" t="s">
        <v>13508</v>
      </c>
      <c r="C3896" s="5" t="s">
        <v>17734</v>
      </c>
      <c r="D3896" s="5" t="str">
        <v>770404666520</v>
      </c>
      <c r="E3896" s="0" t="e">
        <f>+7 (495) 5882505
+7 (495) 7300009
+7 (495) 7377775
+7 (495) 7805544</f>
        <v>#NAME?</v>
      </c>
      <c r="F3896" s="5" t="s">
        <v>37026</v>
      </c>
      <c r="G3896" s="5" t="s">
        <v>37004</v>
      </c>
      <c r="H3896" s="26">
        <v>24.5</v>
      </c>
      <c r="I3896" s="5" t="s">
        <v>37007</v>
      </c>
      <c r="J3896" s="5" t="s">
        <v>389</v>
      </c>
      <c r="K3896" s="5" t="s">
        <v>344</v>
      </c>
      <c r="L3896" s="5" t="s">
        <v>37027</v>
      </c>
      <c r="M3896" s="27"/>
      <c r="N3896" s="5" t="s">
        <v>55356</v>
      </c>
      <c r="O3896" s="5" t="str">
        <v>7707244950</v>
      </c>
      <c r="P3896" s="27">
        <v>10000</v>
      </c>
      <c r="Q3896" s="5" t="s">
        <v>55357</v>
      </c>
      <c r="R3896" s="5"/>
      <c r="S3896" s="5" t="s">
        <v>49173</v>
      </c>
      <c r="T3896" s="28">
        <v>101601000</v>
      </c>
      <c r="U3896" s="28">
        <v>3165830000</v>
      </c>
      <c r="V3896" s="28">
        <v>1295736000</v>
      </c>
      <c r="W3896" s="28">
        <v>53005000</v>
      </c>
      <c r="X3896" s="28">
        <v>92963000</v>
      </c>
      <c r="Y3896" s="28">
        <v>6618543000</v>
      </c>
      <c r="Z3896" s="28">
        <v>492241000</v>
      </c>
      <c r="AA3896" s="28">
        <v>4315550000</v>
      </c>
      <c r="AB3896" s="28">
        <v>672289000</v>
      </c>
      <c r="AC3896" s="28">
        <v>1810742000</v>
      </c>
      <c r="AD3896" s="28">
        <v>492251000</v>
      </c>
      <c r="AE3896" s="28">
        <v>10168048000</v>
      </c>
      <c r="AF3896" s="28">
        <v>86647000</v>
      </c>
      <c r="AG3896" s="11"/>
    </row>
    <row r="3897">
      <c r="A3897" s="7" t="s">
        <v>5552</v>
      </c>
      <c r="B3897" s="5" t="s">
        <v>13509</v>
      </c>
      <c r="C3897" s="5" t="s">
        <v>21295</v>
      </c>
      <c r="D3897" s="5" t="str">
        <v>770408588752</v>
      </c>
      <c r="E3897" s="0" t="e">
        <f>+7 (495) 2317832
+7 (495) 2292080
+7 (910) 4049213</f>
        <v>#NAME?</v>
      </c>
      <c r="F3897" s="5" t="s">
        <v>37028</v>
      </c>
      <c r="G3897" s="5" t="s">
        <v>37004</v>
      </c>
      <c r="H3897" s="26">
        <v>11.5</v>
      </c>
      <c r="I3897" s="5" t="s">
        <v>37029</v>
      </c>
      <c r="J3897" s="5" t="s">
        <v>1143</v>
      </c>
      <c r="K3897" s="5" t="s">
        <v>344</v>
      </c>
      <c r="L3897" s="5" t="s">
        <v>37030</v>
      </c>
      <c r="M3897" s="27">
        <v>3879050</v>
      </c>
      <c r="N3897" s="5" t="s">
        <v>55358</v>
      </c>
      <c r="O3897" s="5" t="str">
        <v>7733774262</v>
      </c>
      <c r="P3897" s="27">
        <v>100000</v>
      </c>
      <c r="Q3897" s="5" t="s">
        <v>55359</v>
      </c>
      <c r="R3897" s="5"/>
      <c r="S3897" s="5" t="s">
        <v>55360</v>
      </c>
      <c r="T3897" s="28">
        <v>42727000</v>
      </c>
      <c r="U3897" s="28">
        <v>5979916000</v>
      </c>
      <c r="V3897" s="28">
        <v>1954435000</v>
      </c>
      <c r="W3897" s="28"/>
      <c r="X3897" s="28">
        <v>34849000</v>
      </c>
      <c r="Y3897" s="28">
        <v>8106497000</v>
      </c>
      <c r="Z3897" s="28">
        <v>3074399000</v>
      </c>
      <c r="AA3897" s="28">
        <v>536000000</v>
      </c>
      <c r="AB3897" s="28"/>
      <c r="AC3897" s="28">
        <v>4495998000</v>
      </c>
      <c r="AD3897" s="28">
        <v>3074499000</v>
      </c>
      <c r="AE3897" s="28">
        <v>9150410000</v>
      </c>
      <c r="AF3897" s="28">
        <v>970561000</v>
      </c>
      <c r="AG3897" s="11"/>
    </row>
    <row r="3898">
      <c r="A3898" s="7" t="s">
        <v>5553</v>
      </c>
      <c r="B3898" s="5" t="s">
        <v>13510</v>
      </c>
      <c r="C3898" s="5" t="s">
        <v>21296</v>
      </c>
      <c r="D3898" s="5" t="str">
        <v>772972319029</v>
      </c>
      <c r="E3898" s="0" t="e">
        <f>+7 (926) 8008185</f>
        <v>#NAME?</v>
      </c>
      <c r="F3898" s="5" t="s">
        <v>37031</v>
      </c>
      <c r="G3898" s="5"/>
      <c r="H3898" s="26">
        <v>3.5</v>
      </c>
      <c r="I3898" s="5" t="s">
        <v>37032</v>
      </c>
      <c r="J3898" s="5" t="s">
        <v>28290</v>
      </c>
      <c r="K3898" s="5" t="s">
        <v>344</v>
      </c>
      <c r="L3898" s="5"/>
      <c r="M3898" s="27"/>
      <c r="N3898" s="5" t="s">
        <v>55361</v>
      </c>
      <c r="O3898" s="5" t="str">
        <v>5027281252</v>
      </c>
      <c r="P3898" s="27">
        <v>40000</v>
      </c>
      <c r="Q3898" s="5"/>
      <c r="R3898" s="5"/>
      <c r="S3898" s="5" t="s">
        <v>49110</v>
      </c>
      <c r="T3898" s="28">
        <v>18543000</v>
      </c>
      <c r="U3898" s="28"/>
      <c r="V3898" s="28">
        <v>155768000</v>
      </c>
      <c r="W3898" s="28">
        <v>24350000</v>
      </c>
      <c r="X3898" s="28">
        <v>42073000</v>
      </c>
      <c r="Y3898" s="28">
        <v>299205000</v>
      </c>
      <c r="Z3898" s="28">
        <v>32501000</v>
      </c>
      <c r="AA3898" s="28"/>
      <c r="AB3898" s="28"/>
      <c r="AC3898" s="28">
        <v>259482000</v>
      </c>
      <c r="AD3898" s="28">
        <v>32541000</v>
      </c>
      <c r="AE3898" s="28">
        <v>3546215000</v>
      </c>
      <c r="AF3898" s="28">
        <v>36626000</v>
      </c>
      <c r="AG3898" s="11"/>
    </row>
    <row r="3899">
      <c r="A3899" s="7" t="s">
        <v>5554</v>
      </c>
      <c r="B3899" s="5" t="s">
        <v>13511</v>
      </c>
      <c r="C3899" s="5" t="s">
        <v>21297</v>
      </c>
      <c r="D3899" s="5" t="str">
        <v>771407262559</v>
      </c>
      <c r="E3899" s="0" t="e">
        <f>+7 (831) 2829424
+7 (8362) 380107
+7 (8362) 565812</f>
        <v>#NAME?</v>
      </c>
      <c r="F3899" s="5" t="s">
        <v>37033</v>
      </c>
      <c r="G3899" s="5" t="s">
        <v>37034</v>
      </c>
      <c r="H3899" s="26">
        <v>12.5</v>
      </c>
      <c r="I3899" s="5"/>
      <c r="J3899" s="5" t="s">
        <v>26623</v>
      </c>
      <c r="K3899" s="5" t="s">
        <v>355</v>
      </c>
      <c r="L3899" s="5" t="s">
        <v>37035</v>
      </c>
      <c r="M3899" s="27">
        <v>1237853582</v>
      </c>
      <c r="N3899" s="5" t="s">
        <v>55362</v>
      </c>
      <c r="O3899" s="5" t="str">
        <v>5904237845</v>
      </c>
      <c r="P3899" s="27">
        <v>1000000</v>
      </c>
      <c r="Q3899" s="5" t="s">
        <v>50809</v>
      </c>
      <c r="R3899" s="5"/>
      <c r="S3899" s="5" t="s">
        <v>55363</v>
      </c>
      <c r="T3899" s="28">
        <v>199034000</v>
      </c>
      <c r="U3899" s="28">
        <v>267322000</v>
      </c>
      <c r="V3899" s="28">
        <v>2655392000</v>
      </c>
      <c r="W3899" s="28">
        <v>222770000</v>
      </c>
      <c r="X3899" s="28">
        <v>16577000</v>
      </c>
      <c r="Y3899" s="28">
        <v>3426729000</v>
      </c>
      <c r="Z3899" s="28">
        <v>1176256000</v>
      </c>
      <c r="AA3899" s="28"/>
      <c r="AB3899" s="28"/>
      <c r="AC3899" s="28">
        <v>2249423000</v>
      </c>
      <c r="AD3899" s="28">
        <v>1177306000</v>
      </c>
      <c r="AE3899" s="28">
        <v>6157420000</v>
      </c>
      <c r="AF3899" s="28">
        <v>22777000</v>
      </c>
      <c r="AG3899" s="11"/>
    </row>
    <row r="3900">
      <c r="A3900" s="7" t="s">
        <v>5555</v>
      </c>
      <c r="B3900" s="5" t="s">
        <v>13512</v>
      </c>
      <c r="C3900" s="5" t="s">
        <v>21298</v>
      </c>
      <c r="D3900" s="5" t="str">
        <v>744406186326</v>
      </c>
      <c r="E3900" s="0" t="e">
        <f>+7 (3512) 630353
+7 (3519) 10203
+7 (3519) 203388
+7 (3519) 220122
+7 (3519) 223222
+7 (3519) 223322
+7 (3519) 230434
+7 (3519) 344243
+7 (3519) 233919
+7 (3519) 241189
+7 (3519) 241626
+7 (3519) 241731
+7 (3519) 242432
+7 (3519) 249261
+7 (3519) 259000</f>
        <v>#NAME?</v>
      </c>
      <c r="F3900" s="5" t="s">
        <v>37036</v>
      </c>
      <c r="G3900" s="5" t="s">
        <v>37037</v>
      </c>
      <c r="H3900" s="26">
        <v>20.5</v>
      </c>
      <c r="I3900" s="5" t="s">
        <v>37038</v>
      </c>
      <c r="J3900" s="5" t="s">
        <v>26623</v>
      </c>
      <c r="K3900" s="5" t="s">
        <v>344</v>
      </c>
      <c r="L3900" s="5" t="s">
        <v>37039</v>
      </c>
      <c r="M3900" s="27"/>
      <c r="N3900" s="5" t="s">
        <v>55364</v>
      </c>
      <c r="O3900" s="5" t="str">
        <v>7445020452</v>
      </c>
      <c r="P3900" s="27">
        <v>102350000</v>
      </c>
      <c r="Q3900" s="5" t="s">
        <v>55365</v>
      </c>
      <c r="R3900" s="5"/>
      <c r="S3900" s="5" t="s">
        <v>49271</v>
      </c>
      <c r="T3900" s="28">
        <v>1280741000</v>
      </c>
      <c r="U3900" s="28"/>
      <c r="V3900" s="28">
        <v>646111000</v>
      </c>
      <c r="W3900" s="28"/>
      <c r="X3900" s="28">
        <v>1774800000</v>
      </c>
      <c r="Y3900" s="28">
        <v>4204909000</v>
      </c>
      <c r="Z3900" s="28">
        <v>1926542000</v>
      </c>
      <c r="AA3900" s="28"/>
      <c r="AB3900" s="28"/>
      <c r="AC3900" s="28">
        <v>794927000</v>
      </c>
      <c r="AD3900" s="28">
        <v>2039127000</v>
      </c>
      <c r="AE3900" s="28">
        <v>13802664000</v>
      </c>
      <c r="AF3900" s="28">
        <v>923265000</v>
      </c>
      <c r="AG3900" s="11"/>
    </row>
    <row r="3901">
      <c r="A3901" s="7" t="s">
        <v>5556</v>
      </c>
      <c r="B3901" s="5" t="s">
        <v>13513</v>
      </c>
      <c r="C3901" s="5" t="s">
        <v>21299</v>
      </c>
      <c r="D3901" s="5" t="str">
        <v>771812704905</v>
      </c>
      <c r="E3901" s="0" t="e">
        <f>+7 (495) 2254850
+7 (495) 4620054
+7 (495) 4620142
+7 (495) 4620216
+7 (495) 4620259
+7 (495) 4621906
+7 (495) 4621909
+7 (495) 4624366
+7 (495) 4625400
+7 (495) 4625406
+7 (495) 7301826
+7 (495) 7301835
+7 (495) 7307919
+7 (499) 4002938
+7 (8432) 210801</f>
        <v>#NAME?</v>
      </c>
      <c r="F3901" s="5" t="s">
        <v>37040</v>
      </c>
      <c r="G3901" s="5" t="s">
        <v>37041</v>
      </c>
      <c r="H3901" s="26">
        <v>28.5</v>
      </c>
      <c r="I3901" s="5"/>
      <c r="J3901" s="5" t="s">
        <v>37042</v>
      </c>
      <c r="K3901" s="5" t="s">
        <v>344</v>
      </c>
      <c r="L3901" s="5" t="s">
        <v>37043</v>
      </c>
      <c r="M3901" s="27"/>
      <c r="N3901" s="5" t="s">
        <v>55366</v>
      </c>
      <c r="O3901" s="5" t="str">
        <v>7718014620</v>
      </c>
      <c r="P3901" s="27">
        <v>201973800</v>
      </c>
      <c r="Q3901" s="5" t="s">
        <v>55367</v>
      </c>
      <c r="R3901" s="5"/>
      <c r="S3901" s="5" t="s">
        <v>55368</v>
      </c>
      <c r="T3901" s="28">
        <v>464586000</v>
      </c>
      <c r="U3901" s="28">
        <v>14000</v>
      </c>
      <c r="V3901" s="28">
        <v>1532892000</v>
      </c>
      <c r="W3901" s="28">
        <v>1257400000</v>
      </c>
      <c r="X3901" s="28">
        <v>1065492000</v>
      </c>
      <c r="Y3901" s="28">
        <v>6078972000</v>
      </c>
      <c r="Z3901" s="28">
        <v>1460301000</v>
      </c>
      <c r="AA3901" s="28"/>
      <c r="AB3901" s="28"/>
      <c r="AC3901" s="28">
        <v>4139626000</v>
      </c>
      <c r="AD3901" s="28">
        <v>1737692000</v>
      </c>
      <c r="AE3901" s="28">
        <v>10112391000</v>
      </c>
      <c r="AF3901" s="28">
        <v>1495471000</v>
      </c>
      <c r="AG3901" s="11"/>
    </row>
    <row r="3902">
      <c r="A3902" s="7" t="s">
        <v>5557</v>
      </c>
      <c r="B3902" s="5" t="s">
        <v>13514</v>
      </c>
      <c r="C3902" s="5" t="s">
        <v>21300</v>
      </c>
      <c r="D3902" s="5" t="str">
        <v>781305305376</v>
      </c>
      <c r="E3902" s="0" t="e">
        <f>+7 (812) 6000354
+7 (499) 4290120
+7 (800) 2500102
+7 (800) 2503233
+7 (800) 7005714
+7 (812) 2404620
+7 (812) 2404626
+7 (812) 2424620
+7 (812) 9046240
+7 (905) 2649053
+7 (981) 1718615</f>
        <v>#NAME?</v>
      </c>
      <c r="F3902" s="5" t="s">
        <v>37044</v>
      </c>
      <c r="G3902" s="5" t="s">
        <v>37045</v>
      </c>
      <c r="H3902" s="26">
        <v>17</v>
      </c>
      <c r="I3902" s="5"/>
      <c r="J3902" s="5" t="s">
        <v>25195</v>
      </c>
      <c r="K3902" s="5" t="s">
        <v>344</v>
      </c>
      <c r="L3902" s="5" t="s">
        <v>37046</v>
      </c>
      <c r="M3902" s="27"/>
      <c r="N3902" s="5"/>
      <c r="O3902" s="5" t="str">
        <v>7839326623</v>
      </c>
      <c r="P3902" s="27">
        <v>48156000</v>
      </c>
      <c r="Q3902" s="5" t="s">
        <v>50809</v>
      </c>
      <c r="R3902" s="5"/>
      <c r="S3902" s="5" t="s">
        <v>55369</v>
      </c>
      <c r="T3902" s="28">
        <v>8438951000</v>
      </c>
      <c r="U3902" s="28">
        <v>153764000</v>
      </c>
      <c r="V3902" s="28">
        <v>1692747000</v>
      </c>
      <c r="W3902" s="28">
        <v>6000000</v>
      </c>
      <c r="X3902" s="28">
        <v>9045073000</v>
      </c>
      <c r="Y3902" s="28">
        <v>28402550000</v>
      </c>
      <c r="Z3902" s="28">
        <v>11536937000</v>
      </c>
      <c r="AA3902" s="28"/>
      <c r="AB3902" s="28"/>
      <c r="AC3902" s="28">
        <v>12036733000</v>
      </c>
      <c r="AD3902" s="28">
        <v>12196327000</v>
      </c>
      <c r="AE3902" s="28">
        <v>46069916000</v>
      </c>
      <c r="AF3902" s="28">
        <v>7296535000</v>
      </c>
      <c r="AG3902" s="11"/>
    </row>
    <row r="3903">
      <c r="A3903" s="7" t="s">
        <v>5558</v>
      </c>
      <c r="B3903" s="5" t="s">
        <v>13515</v>
      </c>
      <c r="C3903" s="5" t="s">
        <v>21301</v>
      </c>
      <c r="D3903" s="5" t="str">
        <v>771807378565</v>
      </c>
      <c r="E3903" s="0" t="e">
        <f>+7 (383) 2174949
+7 (484) 2224618
+7 (48762) 61711
+7 (495) 8990888
+7 (495) 9373373
+7 (495) 9373435
+7 (495) 9373436
+7 (800) 5056923
+7 (812) 3244646
+7 (831) 2332238
+7 (844) 2267571
+7 (84627) 33523
+7 (910) 5234356</f>
        <v>#NAME?</v>
      </c>
      <c r="F3903" s="5" t="s">
        <v>37047</v>
      </c>
      <c r="G3903" s="5" t="s">
        <v>37048</v>
      </c>
      <c r="H3903" s="26">
        <v>18.5</v>
      </c>
      <c r="I3903" s="5" t="s">
        <v>37049</v>
      </c>
      <c r="J3903" s="5" t="s">
        <v>502</v>
      </c>
      <c r="K3903" s="5" t="s">
        <v>344</v>
      </c>
      <c r="L3903" s="5"/>
      <c r="M3903" s="27"/>
      <c r="N3903" s="5"/>
      <c r="O3903" s="5" t="str">
        <v>7714572528</v>
      </c>
      <c r="P3903" s="27">
        <v>10000</v>
      </c>
      <c r="Q3903" s="5" t="s">
        <v>49355</v>
      </c>
      <c r="R3903" s="5"/>
      <c r="S3903" s="5" t="s">
        <v>53617</v>
      </c>
      <c r="T3903" s="28">
        <v>27561000</v>
      </c>
      <c r="U3903" s="28">
        <v>94353000</v>
      </c>
      <c r="V3903" s="28">
        <v>1144565000</v>
      </c>
      <c r="W3903" s="28">
        <v>96790000</v>
      </c>
      <c r="X3903" s="28">
        <v>134620000</v>
      </c>
      <c r="Y3903" s="28">
        <v>1510142000</v>
      </c>
      <c r="Z3903" s="28">
        <v>-31639000</v>
      </c>
      <c r="AA3903" s="28">
        <v>210200000</v>
      </c>
      <c r="AB3903" s="28"/>
      <c r="AC3903" s="28">
        <v>1104565000</v>
      </c>
      <c r="AD3903" s="28">
        <v>152371000</v>
      </c>
      <c r="AE3903" s="28">
        <v>6741928000</v>
      </c>
      <c r="AF3903" s="28">
        <v>1232000</v>
      </c>
      <c r="AG3903" s="11"/>
    </row>
    <row r="3904">
      <c r="A3904" s="7" t="s">
        <v>5559</v>
      </c>
      <c r="B3904" s="5" t="s">
        <v>13516</v>
      </c>
      <c r="C3904" s="5" t="s">
        <v>21302</v>
      </c>
      <c r="D3904" s="5" t="str">
        <v>772904544594</v>
      </c>
      <c r="E3904" s="0" t="e">
        <f>+7 (495) 7059393
+7 (863) 3079163
+7 (421) 2477054
+7 (495) 7059311
+7 (495) 7059399
+7 (495) 7508806
+7 (495) 9331963
+7 (800) 5002082
+7 (812) 5784575</f>
        <v>#NAME?</v>
      </c>
      <c r="F3904" s="5" t="s">
        <v>37050</v>
      </c>
      <c r="G3904" s="5" t="s">
        <v>37051</v>
      </c>
      <c r="H3904" s="26">
        <v>30.5</v>
      </c>
      <c r="I3904" s="5"/>
      <c r="J3904" s="5" t="s">
        <v>27085</v>
      </c>
      <c r="K3904" s="5" t="s">
        <v>344</v>
      </c>
      <c r="L3904" s="5"/>
      <c r="M3904" s="27"/>
      <c r="N3904" s="5"/>
      <c r="O3904" s="5" t="str">
        <v>7716027060</v>
      </c>
      <c r="P3904" s="27">
        <v>100000</v>
      </c>
      <c r="Q3904" s="5" t="s">
        <v>49009</v>
      </c>
      <c r="R3904" s="5"/>
      <c r="S3904" s="5" t="s">
        <v>49066</v>
      </c>
      <c r="T3904" s="28">
        <v>329799000</v>
      </c>
      <c r="U3904" s="28"/>
      <c r="V3904" s="28">
        <v>499483000</v>
      </c>
      <c r="W3904" s="28"/>
      <c r="X3904" s="28">
        <v>1072071000</v>
      </c>
      <c r="Y3904" s="28">
        <v>2896358000</v>
      </c>
      <c r="Z3904" s="28">
        <v>1210053000</v>
      </c>
      <c r="AA3904" s="28"/>
      <c r="AB3904" s="28"/>
      <c r="AC3904" s="28">
        <v>1596930000</v>
      </c>
      <c r="AD3904" s="28">
        <v>1211088000</v>
      </c>
      <c r="AE3904" s="28">
        <v>5171026000</v>
      </c>
      <c r="AF3904" s="28">
        <v>74013000</v>
      </c>
      <c r="AG3904" s="11"/>
    </row>
    <row r="3905">
      <c r="A3905" s="7" t="s">
        <v>5560</v>
      </c>
      <c r="B3905" s="5" t="s">
        <v>13517</v>
      </c>
      <c r="C3905" s="5" t="s">
        <v>21303</v>
      </c>
      <c r="D3905" s="5" t="str">
        <v>510100974751</v>
      </c>
      <c r="E3905" s="0" t="e">
        <f>+7 (3512) 691781
+7 (800) 2508851
+7 (812) 2691800
+7 (815) 2210605
+7 (815) 2210608
+7 (815) 2210626
+7 (815) 2210645
+7 (815) 2403700
+7 (815) 2436548
+7 (815) 2435211
+7 (815) 2435718
+7 (815) 2435752
+7 (815) 2436437
+7 (815) 2436470
+7 (815) 2439013</f>
        <v>#NAME?</v>
      </c>
      <c r="F3905" s="5" t="s">
        <v>37052</v>
      </c>
      <c r="G3905" s="5" t="s">
        <v>37053</v>
      </c>
      <c r="H3905" s="26">
        <v>13.5</v>
      </c>
      <c r="I3905" s="5" t="s">
        <v>37054</v>
      </c>
      <c r="J3905" s="5" t="s">
        <v>27642</v>
      </c>
      <c r="K3905" s="5" t="s">
        <v>380</v>
      </c>
      <c r="L3905" s="5"/>
      <c r="M3905" s="27">
        <v>10802750</v>
      </c>
      <c r="N3905" s="5" t="s">
        <v>55371</v>
      </c>
      <c r="O3905" s="5" t="str">
        <v>5190907139</v>
      </c>
      <c r="P3905" s="27">
        <v>4797171704</v>
      </c>
      <c r="Q3905" s="5" t="s">
        <v>55372</v>
      </c>
      <c r="R3905" s="5" t="s">
        <v>55373</v>
      </c>
      <c r="S3905" s="5" t="s">
        <v>55374</v>
      </c>
      <c r="T3905" s="28">
        <v>6374730000</v>
      </c>
      <c r="U3905" s="28">
        <v>8064000</v>
      </c>
      <c r="V3905" s="28">
        <v>9900725000</v>
      </c>
      <c r="W3905" s="28">
        <v>73024000</v>
      </c>
      <c r="X3905" s="28">
        <v>721853000</v>
      </c>
      <c r="Y3905" s="28">
        <v>19240300000</v>
      </c>
      <c r="Z3905" s="28">
        <v>1440242000</v>
      </c>
      <c r="AA3905" s="28">
        <v>161679000</v>
      </c>
      <c r="AB3905" s="28">
        <v>3203584000</v>
      </c>
      <c r="AC3905" s="28">
        <v>8841092000</v>
      </c>
      <c r="AD3905" s="28">
        <v>8670627000</v>
      </c>
      <c r="AE3905" s="28">
        <v>16328151000</v>
      </c>
      <c r="AF3905" s="28">
        <v>-773561000</v>
      </c>
      <c r="AG3905" s="11"/>
    </row>
    <row r="3906">
      <c r="A3906" s="7" t="s">
        <v>5561</v>
      </c>
      <c r="B3906" s="5" t="s">
        <v>13518</v>
      </c>
      <c r="C3906" s="5" t="s">
        <v>21304</v>
      </c>
      <c r="D3906" s="5" t="str">
        <v>503207120230</v>
      </c>
      <c r="E3906" s="0" t="e">
        <f>+7 (495) 6112445
+7 (495) 6601661
+7 (495) 6602445
+7 (499) 6112238
+7 (499) 6112445
+7 (499) 6112589
+7 (499) 6113056
+7 (845) 2772262
+7 (903) 2023731</f>
        <v>#NAME?</v>
      </c>
      <c r="F3906" s="5" t="s">
        <v>37055</v>
      </c>
      <c r="G3906" s="5" t="s">
        <v>37056</v>
      </c>
      <c r="H3906" s="26">
        <v>29.5</v>
      </c>
      <c r="I3906" s="5" t="s">
        <v>37057</v>
      </c>
      <c r="J3906" s="5" t="s">
        <v>34727</v>
      </c>
      <c r="K3906" s="5" t="s">
        <v>344</v>
      </c>
      <c r="L3906" s="5" t="s">
        <v>37058</v>
      </c>
      <c r="M3906" s="27">
        <v>25737048</v>
      </c>
      <c r="N3906" s="5"/>
      <c r="O3906" s="5" t="str">
        <v>7724181241</v>
      </c>
      <c r="P3906" s="27">
        <v>1052000</v>
      </c>
      <c r="Q3906" s="5" t="s">
        <v>49009</v>
      </c>
      <c r="R3906" s="5"/>
      <c r="S3906" s="5" t="s">
        <v>49901</v>
      </c>
      <c r="T3906" s="28">
        <v>2872245000</v>
      </c>
      <c r="U3906" s="28">
        <v>1346803000</v>
      </c>
      <c r="V3906" s="28">
        <v>1521879000</v>
      </c>
      <c r="W3906" s="28">
        <v>511000000</v>
      </c>
      <c r="X3906" s="28">
        <v>1068893000</v>
      </c>
      <c r="Y3906" s="28">
        <v>16178155000</v>
      </c>
      <c r="Z3906" s="28">
        <v>9637359000</v>
      </c>
      <c r="AA3906" s="28"/>
      <c r="AB3906" s="28"/>
      <c r="AC3906" s="28">
        <v>2510423000</v>
      </c>
      <c r="AD3906" s="28">
        <v>9940796000</v>
      </c>
      <c r="AE3906" s="28">
        <v>12410576000</v>
      </c>
      <c r="AF3906" s="28">
        <v>2102080000</v>
      </c>
      <c r="AG3906" s="11"/>
    </row>
    <row r="3907">
      <c r="A3907" s="7" t="s">
        <v>5562</v>
      </c>
      <c r="B3907" s="5" t="s">
        <v>13519</v>
      </c>
      <c r="C3907" s="5" t="s">
        <v>21305</v>
      </c>
      <c r="D3907" s="5" t="str">
        <v>775127537342</v>
      </c>
      <c r="E3907" s="0" t="e">
        <f>+7 (495) 4819999
+7 (916) 2583549
+7 (495) 3571090
+7 (800) 7003254</f>
        <v>#NAME?</v>
      </c>
      <c r="F3907" s="5" t="s">
        <v>37059</v>
      </c>
      <c r="G3907" s="5" t="s">
        <v>37060</v>
      </c>
      <c r="H3907" s="26">
        <v>9</v>
      </c>
      <c r="I3907" s="5" t="s">
        <v>37061</v>
      </c>
      <c r="J3907" s="5" t="s">
        <v>37062</v>
      </c>
      <c r="K3907" s="5" t="s">
        <v>344</v>
      </c>
      <c r="L3907" s="5" t="s">
        <v>37063</v>
      </c>
      <c r="M3907" s="27"/>
      <c r="N3907" s="5" t="s">
        <v>55376</v>
      </c>
      <c r="O3907" s="5" t="str">
        <v>2632811590</v>
      </c>
      <c r="P3907" s="27">
        <v>1000000</v>
      </c>
      <c r="Q3907" s="5" t="s">
        <v>55377</v>
      </c>
      <c r="R3907" s="5"/>
      <c r="S3907" s="5" t="s">
        <v>55378</v>
      </c>
      <c r="T3907" s="28">
        <v>16144000</v>
      </c>
      <c r="U3907" s="28"/>
      <c r="V3907" s="28">
        <v>1093953000</v>
      </c>
      <c r="W3907" s="28"/>
      <c r="X3907" s="28">
        <v>137497000</v>
      </c>
      <c r="Y3907" s="28">
        <v>2675791000</v>
      </c>
      <c r="Z3907" s="28">
        <v>1334559000</v>
      </c>
      <c r="AA3907" s="28"/>
      <c r="AB3907" s="28"/>
      <c r="AC3907" s="28">
        <v>1340232000</v>
      </c>
      <c r="AD3907" s="28">
        <v>1335559000</v>
      </c>
      <c r="AE3907" s="28">
        <v>5802000000</v>
      </c>
      <c r="AF3907" s="28">
        <v>921677000</v>
      </c>
      <c r="AG3907" s="11"/>
    </row>
    <row r="3908">
      <c r="A3908" s="7" t="s">
        <v>5563</v>
      </c>
      <c r="B3908" s="5" t="s">
        <v>13520</v>
      </c>
      <c r="C3908" s="5" t="s">
        <v>21306</v>
      </c>
      <c r="D3908" s="5" t="str">
        <v>740903424245</v>
      </c>
      <c r="E3908" s="0" t="e">
        <f>+7 (922) 281680
+7 (343) 3019300
+7 (908) 6304625
+7 (929) 2226397</f>
        <v>#NAME?</v>
      </c>
      <c r="F3908" s="5" t="s">
        <v>37064</v>
      </c>
      <c r="G3908" s="5" t="s">
        <v>37065</v>
      </c>
      <c r="H3908" s="26">
        <v>6.5</v>
      </c>
      <c r="I3908" s="5" t="s">
        <v>37066</v>
      </c>
      <c r="J3908" s="5" t="s">
        <v>26125</v>
      </c>
      <c r="K3908" s="5" t="s">
        <v>344</v>
      </c>
      <c r="L3908" s="5" t="s">
        <v>37067</v>
      </c>
      <c r="M3908" s="27">
        <v>96400</v>
      </c>
      <c r="N3908" s="5"/>
      <c r="O3908" s="5" t="str">
        <v>6670439588</v>
      </c>
      <c r="P3908" s="27">
        <v>10000</v>
      </c>
      <c r="Q3908" s="5"/>
      <c r="R3908" s="5"/>
      <c r="S3908" s="5" t="s">
        <v>49029</v>
      </c>
      <c r="T3908" s="28">
        <v>246921000</v>
      </c>
      <c r="U3908" s="28"/>
      <c r="V3908" s="28">
        <v>316598000</v>
      </c>
      <c r="W3908" s="28"/>
      <c r="X3908" s="28">
        <v>1953000</v>
      </c>
      <c r="Y3908" s="28">
        <v>644564000</v>
      </c>
      <c r="Z3908" s="28">
        <v>208358000</v>
      </c>
      <c r="AA3908" s="28">
        <v>176418000</v>
      </c>
      <c r="AB3908" s="28">
        <v>100000000</v>
      </c>
      <c r="AC3908" s="28">
        <v>122780000</v>
      </c>
      <c r="AD3908" s="28">
        <v>208368000</v>
      </c>
      <c r="AE3908" s="28">
        <v>3307174000</v>
      </c>
      <c r="AF3908" s="28">
        <v>49548000</v>
      </c>
      <c r="AG3908" s="11"/>
    </row>
    <row r="3909">
      <c r="A3909" s="7" t="s">
        <v>5564</v>
      </c>
      <c r="B3909" s="5" t="s">
        <v>13521</v>
      </c>
      <c r="C3909" s="5" t="s">
        <v>21307</v>
      </c>
      <c r="D3909" s="5"/>
      <c r="E3909" s="0" t="e">
        <f>+7 (492) 2533464
+7 (492) 2561068
+7 (800) 2500570
+7 (980) 7557069</f>
        <v>#NAME?</v>
      </c>
      <c r="F3909" s="5" t="s">
        <v>37068</v>
      </c>
      <c r="G3909" s="5" t="s">
        <v>37069</v>
      </c>
      <c r="H3909" s="26">
        <v>20</v>
      </c>
      <c r="I3909" s="5" t="s">
        <v>37070</v>
      </c>
      <c r="J3909" s="5" t="s">
        <v>25788</v>
      </c>
      <c r="K3909" s="5" t="s">
        <v>344</v>
      </c>
      <c r="L3909" s="5" t="s">
        <v>37071</v>
      </c>
      <c r="M3909" s="27"/>
      <c r="N3909" s="5"/>
      <c r="O3909" s="5" t="str">
        <v>3328426765</v>
      </c>
      <c r="P3909" s="27">
        <v>95384035</v>
      </c>
      <c r="Q3909" s="5" t="s">
        <v>49059</v>
      </c>
      <c r="R3909" s="5"/>
      <c r="S3909" s="5" t="s">
        <v>49029</v>
      </c>
      <c r="T3909" s="28">
        <v>1763629000</v>
      </c>
      <c r="U3909" s="28"/>
      <c r="V3909" s="28">
        <v>5308848000</v>
      </c>
      <c r="W3909" s="28"/>
      <c r="X3909" s="28">
        <v>666000</v>
      </c>
      <c r="Y3909" s="28">
        <v>7681414000</v>
      </c>
      <c r="Z3909" s="28">
        <v>1938556000</v>
      </c>
      <c r="AA3909" s="28">
        <v>1068435000</v>
      </c>
      <c r="AB3909" s="28">
        <v>3373623000</v>
      </c>
      <c r="AC3909" s="28">
        <v>4197053000</v>
      </c>
      <c r="AD3909" s="28">
        <v>2039338000</v>
      </c>
      <c r="AE3909" s="28">
        <v>16379839000</v>
      </c>
      <c r="AF3909" s="28">
        <v>386594000</v>
      </c>
      <c r="AG3909" s="11"/>
    </row>
    <row r="3910">
      <c r="A3910" s="7" t="s">
        <v>5565</v>
      </c>
      <c r="B3910" s="5" t="s">
        <v>13522</v>
      </c>
      <c r="C3910" s="5" t="s">
        <v>21308</v>
      </c>
      <c r="D3910" s="5" t="str">
        <v>525801133390</v>
      </c>
      <c r="E3910" s="0" t="e">
        <f>+7 (495) 3293567
+7 (495) 3263000
+7 (495) 3283346
+7 (495) 7862000
+7 (83146) 19171</f>
        <v>#NAME?</v>
      </c>
      <c r="F3910" s="5"/>
      <c r="G3910" s="5"/>
      <c r="H3910" s="26">
        <v>15</v>
      </c>
      <c r="I3910" s="5" t="s">
        <v>37072</v>
      </c>
      <c r="J3910" s="5" t="s">
        <v>34070</v>
      </c>
      <c r="K3910" s="5" t="s">
        <v>344</v>
      </c>
      <c r="L3910" s="5"/>
      <c r="M3910" s="27"/>
      <c r="N3910" s="5"/>
      <c r="O3910" s="5" t="str">
        <v>7737530891</v>
      </c>
      <c r="P3910" s="27">
        <v>10000000</v>
      </c>
      <c r="Q3910" s="5" t="s">
        <v>49009</v>
      </c>
      <c r="R3910" s="5"/>
      <c r="S3910" s="5" t="s">
        <v>49066</v>
      </c>
      <c r="T3910" s="28">
        <v>424260000</v>
      </c>
      <c r="U3910" s="28"/>
      <c r="V3910" s="28">
        <v>134495000</v>
      </c>
      <c r="W3910" s="28">
        <v>534351000</v>
      </c>
      <c r="X3910" s="28">
        <v>89000</v>
      </c>
      <c r="Y3910" s="28">
        <v>1344520000</v>
      </c>
      <c r="Z3910" s="28">
        <v>712577000</v>
      </c>
      <c r="AA3910" s="28"/>
      <c r="AB3910" s="28"/>
      <c r="AC3910" s="28">
        <v>499169000</v>
      </c>
      <c r="AD3910" s="28">
        <v>722577000</v>
      </c>
      <c r="AE3910" s="28">
        <v>7871737000</v>
      </c>
      <c r="AF3910" s="28">
        <v>50319000</v>
      </c>
      <c r="AG3910" s="11"/>
    </row>
    <row r="3911">
      <c r="A3911" s="7" t="s">
        <v>5566</v>
      </c>
      <c r="B3911" s="5" t="s">
        <v>13523</v>
      </c>
      <c r="C3911" s="5" t="s">
        <v>21309</v>
      </c>
      <c r="D3911" s="5" t="str">
        <v>550500315808</v>
      </c>
      <c r="E3911" s="0" t="e">
        <f>+7 (8632) 2020
+7 (8632) 6812
+7 (8632) 6815
+7 (8632) 6908
+7 (8632) 200006
+7 (8632) 345445
+7 (8632) 430587
+7 (8632) 469746
+7 (8632) 548965
+7 (8632) 976334
+7 (8632) 999506
+7 (903) 4018855
+7 (903) 4108855
+7 (8632) 6807
+7 (8632) 6813</f>
        <v>#NAME?</v>
      </c>
      <c r="F3911" s="5" t="s">
        <v>37073</v>
      </c>
      <c r="G3911" s="5" t="s">
        <v>37074</v>
      </c>
      <c r="H3911" s="26">
        <v>16</v>
      </c>
      <c r="I3911" s="5" t="s">
        <v>37075</v>
      </c>
      <c r="J3911" s="5" t="s">
        <v>25253</v>
      </c>
      <c r="K3911" s="5" t="s">
        <v>344</v>
      </c>
      <c r="L3911" s="5" t="s">
        <v>37076</v>
      </c>
      <c r="M3911" s="27">
        <v>394585</v>
      </c>
      <c r="N3911" s="5" t="s">
        <v>55380</v>
      </c>
      <c r="O3911" s="5" t="str">
        <v>6162049667</v>
      </c>
      <c r="P3911" s="27">
        <v>16000</v>
      </c>
      <c r="Q3911" s="5" t="s">
        <v>49021</v>
      </c>
      <c r="R3911" s="5"/>
      <c r="S3911" s="5" t="s">
        <v>55381</v>
      </c>
      <c r="T3911" s="28">
        <v>19374000</v>
      </c>
      <c r="U3911" s="28">
        <v>14178000</v>
      </c>
      <c r="V3911" s="28">
        <v>217846000</v>
      </c>
      <c r="W3911" s="28">
        <v>3000000</v>
      </c>
      <c r="X3911" s="28">
        <v>12753000</v>
      </c>
      <c r="Y3911" s="28">
        <v>365596000</v>
      </c>
      <c r="Z3911" s="28">
        <v>75955000</v>
      </c>
      <c r="AA3911" s="28">
        <v>1015000</v>
      </c>
      <c r="AB3911" s="28">
        <v>151799000</v>
      </c>
      <c r="AC3911" s="28">
        <v>285257000</v>
      </c>
      <c r="AD3911" s="28">
        <v>75971000</v>
      </c>
      <c r="AE3911" s="28">
        <v>3399639000</v>
      </c>
      <c r="AF3911" s="28">
        <v>10090000</v>
      </c>
      <c r="AG3911" s="11"/>
    </row>
    <row r="3912">
      <c r="A3912" s="7" t="s">
        <v>5567</v>
      </c>
      <c r="B3912" s="5" t="s">
        <v>13524</v>
      </c>
      <c r="C3912" s="5" t="s">
        <v>21310</v>
      </c>
      <c r="D3912" s="5" t="str">
        <v>312331946319</v>
      </c>
      <c r="E3912" s="0" t="e">
        <f>+7 (472) 2739360
+7 (915) 5702347</f>
        <v>#NAME?</v>
      </c>
      <c r="F3912" s="5" t="s">
        <v>37077</v>
      </c>
      <c r="G3912" s="5" t="s">
        <v>37078</v>
      </c>
      <c r="H3912" s="26">
        <v>10</v>
      </c>
      <c r="I3912" s="5" t="s">
        <v>37079</v>
      </c>
      <c r="J3912" s="5" t="s">
        <v>26128</v>
      </c>
      <c r="K3912" s="5" t="s">
        <v>355</v>
      </c>
      <c r="L3912" s="5" t="s">
        <v>37080</v>
      </c>
      <c r="M3912" s="27"/>
      <c r="N3912" s="5"/>
      <c r="O3912" s="5" t="str">
        <v>3102210309</v>
      </c>
      <c r="P3912" s="27">
        <v>300500000</v>
      </c>
      <c r="Q3912" s="5" t="s">
        <v>49009</v>
      </c>
      <c r="R3912" s="5"/>
      <c r="S3912" s="5" t="s">
        <v>49576</v>
      </c>
      <c r="T3912" s="28">
        <v>749881000</v>
      </c>
      <c r="U3912" s="28"/>
      <c r="V3912" s="28">
        <v>97343000</v>
      </c>
      <c r="W3912" s="28"/>
      <c r="X3912" s="28">
        <v>36981000</v>
      </c>
      <c r="Y3912" s="28">
        <v>1032680000</v>
      </c>
      <c r="Z3912" s="28">
        <v>-288696000</v>
      </c>
      <c r="AA3912" s="28">
        <v>665026000</v>
      </c>
      <c r="AB3912" s="28">
        <v>90000000</v>
      </c>
      <c r="AC3912" s="28">
        <v>353081000</v>
      </c>
      <c r="AD3912" s="28">
        <v>11804000</v>
      </c>
      <c r="AE3912" s="28">
        <v>3251781000</v>
      </c>
      <c r="AF3912" s="28">
        <v>-68798000</v>
      </c>
      <c r="AG3912" s="11"/>
    </row>
    <row r="3913">
      <c r="A3913" s="7" t="s">
        <v>5568</v>
      </c>
      <c r="B3913" s="5" t="s">
        <v>13525</v>
      </c>
      <c r="C3913" s="5" t="s">
        <v>21311</v>
      </c>
      <c r="D3913" s="5" t="str">
        <v>502718859205</v>
      </c>
      <c r="E3913" s="0" t="e">
        <f>+7 (903) 8515555
+7 (47350) 43463
+7 (47350) 43560
+7 (47350) 43627
+7 (47350) 43628
+7 (47350) 43629
+7 (47350) 43662
+7 (47363) 25070
+7 (47363) 44143
+7 (47363) 44495
+7 (47363) 44698</f>
        <v>#NAME?</v>
      </c>
      <c r="F3913" s="5" t="s">
        <v>37081</v>
      </c>
      <c r="G3913" s="5"/>
      <c r="H3913" s="26">
        <v>19.5</v>
      </c>
      <c r="I3913" s="5" t="s">
        <v>37082</v>
      </c>
      <c r="J3913" s="5" t="s">
        <v>25788</v>
      </c>
      <c r="K3913" s="5" t="s">
        <v>344</v>
      </c>
      <c r="L3913" s="5" t="s">
        <v>37083</v>
      </c>
      <c r="M3913" s="27">
        <v>19268512</v>
      </c>
      <c r="N3913" s="5" t="s">
        <v>55382</v>
      </c>
      <c r="O3913" s="5" t="str">
        <v>3602007714</v>
      </c>
      <c r="P3913" s="27">
        <v>1100000</v>
      </c>
      <c r="Q3913" s="5" t="s">
        <v>49009</v>
      </c>
      <c r="R3913" s="5"/>
      <c r="S3913" s="5" t="s">
        <v>49028</v>
      </c>
      <c r="T3913" s="28">
        <v>230599000</v>
      </c>
      <c r="U3913" s="28">
        <v>90000</v>
      </c>
      <c r="V3913" s="28">
        <v>1162236000</v>
      </c>
      <c r="W3913" s="28">
        <v>119323000</v>
      </c>
      <c r="X3913" s="28">
        <v>127844000</v>
      </c>
      <c r="Y3913" s="28">
        <v>2251418000</v>
      </c>
      <c r="Z3913" s="28">
        <v>78757000</v>
      </c>
      <c r="AA3913" s="28">
        <v>216914000</v>
      </c>
      <c r="AB3913" s="28">
        <v>464081000</v>
      </c>
      <c r="AC3913" s="28">
        <v>1954647000</v>
      </c>
      <c r="AD3913" s="28">
        <v>79857000</v>
      </c>
      <c r="AE3913" s="28">
        <v>8238198000</v>
      </c>
      <c r="AF3913" s="28">
        <v>2063000</v>
      </c>
      <c r="AG3913" s="11"/>
    </row>
    <row r="3914">
      <c r="A3914" s="7" t="s">
        <v>5569</v>
      </c>
      <c r="B3914" s="5" t="s">
        <v>13526</v>
      </c>
      <c r="C3914" s="5" t="s">
        <v>21312</v>
      </c>
      <c r="D3914" s="5" t="str">
        <v>591100134272</v>
      </c>
      <c r="E3914" s="0" t="e">
        <f>+7 (812) 3333369
+7 (812) 6760855</f>
        <v>#NAME?</v>
      </c>
      <c r="F3914" s="5" t="s">
        <v>37084</v>
      </c>
      <c r="G3914" s="5" t="s">
        <v>37085</v>
      </c>
      <c r="H3914" s="26">
        <v>14.5</v>
      </c>
      <c r="I3914" s="5" t="s">
        <v>37086</v>
      </c>
      <c r="J3914" s="5" t="s">
        <v>26887</v>
      </c>
      <c r="K3914" s="5" t="s">
        <v>355</v>
      </c>
      <c r="L3914" s="5"/>
      <c r="M3914" s="27"/>
      <c r="N3914" s="5"/>
      <c r="O3914" s="5" t="str">
        <v>4703108044</v>
      </c>
      <c r="P3914" s="27">
        <v>260639383</v>
      </c>
      <c r="Q3914" s="5" t="s">
        <v>49009</v>
      </c>
      <c r="R3914" s="5" t="s">
        <v>55383</v>
      </c>
      <c r="S3914" s="5" t="s">
        <v>49028</v>
      </c>
      <c r="T3914" s="28">
        <v>501219000</v>
      </c>
      <c r="U3914" s="28"/>
      <c r="V3914" s="28">
        <v>830707000</v>
      </c>
      <c r="W3914" s="28">
        <v>100000</v>
      </c>
      <c r="X3914" s="28">
        <v>17636000</v>
      </c>
      <c r="Y3914" s="28">
        <v>2269591000</v>
      </c>
      <c r="Z3914" s="28">
        <v>-837391000</v>
      </c>
      <c r="AA3914" s="28"/>
      <c r="AB3914" s="28">
        <v>24932000</v>
      </c>
      <c r="AC3914" s="28">
        <v>2828987000</v>
      </c>
      <c r="AD3914" s="28">
        <v>-562433000</v>
      </c>
      <c r="AE3914" s="28">
        <v>7265069000</v>
      </c>
      <c r="AF3914" s="28">
        <v>-314096000</v>
      </c>
      <c r="AG3914" s="11"/>
    </row>
    <row r="3915">
      <c r="A3915" s="7" t="s">
        <v>5570</v>
      </c>
      <c r="B3915" s="5" t="s">
        <v>13527</v>
      </c>
      <c r="C3915" s="5" t="s">
        <v>19534</v>
      </c>
      <c r="D3915" s="5" t="str">
        <v>010600606625</v>
      </c>
      <c r="E3915" s="0" t="e">
        <f>+7 (3652) 777720
+7 (495) 1277440
+7 (495) 3435365
+7 (499) 4566255
+7 (800) 5514045
+7 (904) 411185
+7 (916) 3553031
+7 (918) 9300012
+7 (36556) 20552
+7 (36556) 61988
+7 (36556) 62999
+7 (495) 1277400
+7 (916) 3353031
+7 (922) 2089030
+7 (926) 6832705</f>
        <v>#NAME?</v>
      </c>
      <c r="F3915" s="5" t="s">
        <v>37087</v>
      </c>
      <c r="G3915" s="5" t="s">
        <v>37088</v>
      </c>
      <c r="H3915" s="26">
        <v>8</v>
      </c>
      <c r="I3915" s="5"/>
      <c r="J3915" s="5" t="s">
        <v>25788</v>
      </c>
      <c r="K3915" s="5" t="s">
        <v>355</v>
      </c>
      <c r="L3915" s="5"/>
      <c r="M3915" s="27">
        <v>4491783</v>
      </c>
      <c r="N3915" s="5" t="s">
        <v>55384</v>
      </c>
      <c r="O3915" s="5" t="str">
        <v>9105013451</v>
      </c>
      <c r="P3915" s="27">
        <v>164405000</v>
      </c>
      <c r="Q3915" s="5" t="s">
        <v>55385</v>
      </c>
      <c r="R3915" s="5"/>
      <c r="S3915" s="5" t="s">
        <v>49089</v>
      </c>
      <c r="T3915" s="28">
        <v>162462000</v>
      </c>
      <c r="U3915" s="28"/>
      <c r="V3915" s="28">
        <v>1803381000</v>
      </c>
      <c r="W3915" s="28"/>
      <c r="X3915" s="28">
        <v>493953000</v>
      </c>
      <c r="Y3915" s="28">
        <v>3256694000</v>
      </c>
      <c r="Z3915" s="28">
        <v>294929000</v>
      </c>
      <c r="AA3915" s="28"/>
      <c r="AB3915" s="28"/>
      <c r="AC3915" s="28">
        <v>1937811000</v>
      </c>
      <c r="AD3915" s="28">
        <v>518267000</v>
      </c>
      <c r="AE3915" s="28">
        <v>13988458000</v>
      </c>
      <c r="AF3915" s="28">
        <v>-86266000</v>
      </c>
      <c r="AG3915" s="11"/>
    </row>
    <row r="3916">
      <c r="A3916" s="7" t="s">
        <v>5571</v>
      </c>
      <c r="B3916" s="5" t="s">
        <v>13528</v>
      </c>
      <c r="C3916" s="5" t="s">
        <v>21313</v>
      </c>
      <c r="D3916" s="5" t="str">
        <v>502007165947</v>
      </c>
      <c r="E3916" s="0" t="e">
        <f>+7 (495) 7755008
+7 (49624) 58981</f>
        <v>#NAME?</v>
      </c>
      <c r="F3916" s="5" t="s">
        <v>37089</v>
      </c>
      <c r="G3916" s="5" t="s">
        <v>25978</v>
      </c>
      <c r="H3916" s="26">
        <v>31</v>
      </c>
      <c r="I3916" s="5"/>
      <c r="J3916" s="5" t="s">
        <v>25788</v>
      </c>
      <c r="K3916" s="5" t="s">
        <v>344</v>
      </c>
      <c r="L3916" s="5"/>
      <c r="M3916" s="27"/>
      <c r="N3916" s="5" t="s">
        <v>55386</v>
      </c>
      <c r="O3916" s="5" t="str">
        <v>5020002260</v>
      </c>
      <c r="P3916" s="27">
        <v>193920</v>
      </c>
      <c r="Q3916" s="5" t="s">
        <v>49059</v>
      </c>
      <c r="R3916" s="5"/>
      <c r="S3916" s="5" t="s">
        <v>49028</v>
      </c>
      <c r="T3916" s="28">
        <v>777835000</v>
      </c>
      <c r="U3916" s="28"/>
      <c r="V3916" s="28">
        <v>1505757000</v>
      </c>
      <c r="W3916" s="28">
        <v>150000000</v>
      </c>
      <c r="X3916" s="28">
        <v>52980000</v>
      </c>
      <c r="Y3916" s="28">
        <v>3634651000</v>
      </c>
      <c r="Z3916" s="28">
        <v>605820000</v>
      </c>
      <c r="AA3916" s="28"/>
      <c r="AB3916" s="28">
        <v>2139426000</v>
      </c>
      <c r="AC3916" s="28">
        <v>2990825000</v>
      </c>
      <c r="AD3916" s="28">
        <v>617854000</v>
      </c>
      <c r="AE3916" s="28">
        <v>10039392000</v>
      </c>
      <c r="AF3916" s="28">
        <v>693480000</v>
      </c>
      <c r="AG3916" s="11"/>
    </row>
    <row r="3917">
      <c r="A3917" s="7" t="s">
        <v>5572</v>
      </c>
      <c r="B3917" s="5" t="s">
        <v>13529</v>
      </c>
      <c r="C3917" s="5" t="s">
        <v>18868</v>
      </c>
      <c r="D3917" s="5"/>
      <c r="E3917" s="0" t="e">
        <f>+7 (34271) 22756
+7 (34271) 23357
+7 (3412) 905197
+7 (3422) 360984
+7 (3422) 497192
+7 (3422) 497274
+7 (34271) 22793
+7 (34271) 23372
+7 (34271) 25323</f>
        <v>#NAME?</v>
      </c>
      <c r="F3917" s="5" t="s">
        <v>37090</v>
      </c>
      <c r="G3917" s="5" t="s">
        <v>37091</v>
      </c>
      <c r="H3917" s="26">
        <v>22</v>
      </c>
      <c r="I3917" s="5" t="s">
        <v>37092</v>
      </c>
      <c r="J3917" s="5" t="s">
        <v>25788</v>
      </c>
      <c r="K3917" s="5" t="s">
        <v>355</v>
      </c>
      <c r="L3917" s="5"/>
      <c r="M3917" s="27"/>
      <c r="N3917" s="5"/>
      <c r="O3917" s="5" t="str">
        <v>5902134178</v>
      </c>
      <c r="P3917" s="27">
        <v>785300000</v>
      </c>
      <c r="Q3917" s="5"/>
      <c r="R3917" s="5"/>
      <c r="S3917" s="5" t="s">
        <v>49121</v>
      </c>
      <c r="T3917" s="28">
        <v>969959000</v>
      </c>
      <c r="U3917" s="28">
        <v>1040713000</v>
      </c>
      <c r="V3917" s="28">
        <v>283260000</v>
      </c>
      <c r="W3917" s="28">
        <v>928770000</v>
      </c>
      <c r="X3917" s="28">
        <v>14655000</v>
      </c>
      <c r="Y3917" s="28">
        <v>3865665000</v>
      </c>
      <c r="Z3917" s="28">
        <v>-347975000</v>
      </c>
      <c r="AA3917" s="28">
        <v>2230027000</v>
      </c>
      <c r="AB3917" s="28">
        <v>609797000</v>
      </c>
      <c r="AC3917" s="28">
        <v>1101681000</v>
      </c>
      <c r="AD3917" s="28">
        <v>437325000</v>
      </c>
      <c r="AE3917" s="28">
        <v>5097697000</v>
      </c>
      <c r="AF3917" s="28">
        <v>-82246000</v>
      </c>
      <c r="AG3917" s="11"/>
    </row>
    <row r="3918">
      <c r="A3918" s="7" t="s">
        <v>5573</v>
      </c>
      <c r="B3918" s="5" t="s">
        <v>13530</v>
      </c>
      <c r="C3918" s="5" t="s">
        <v>21314</v>
      </c>
      <c r="D3918" s="5" t="str">
        <v>770701321670</v>
      </c>
      <c r="E3918" s="0" t="e">
        <f>+7 (495) 9926699
+7 (926) 6092544
+7 (495) 9921540
+7 (800) 1001540
+7 (909) 9096600</f>
        <v>#NAME?</v>
      </c>
      <c r="F3918" s="5" t="s">
        <v>37093</v>
      </c>
      <c r="G3918" s="5" t="s">
        <v>37094</v>
      </c>
      <c r="H3918" s="26">
        <v>22.5</v>
      </c>
      <c r="I3918" s="5" t="s">
        <v>37095</v>
      </c>
      <c r="J3918" s="5" t="s">
        <v>27464</v>
      </c>
      <c r="K3918" s="5" t="s">
        <v>344</v>
      </c>
      <c r="L3918" s="5"/>
      <c r="M3918" s="27">
        <v>123844</v>
      </c>
      <c r="N3918" s="5"/>
      <c r="O3918" s="5" t="str">
        <v>5017041244</v>
      </c>
      <c r="P3918" s="27">
        <v>110000000</v>
      </c>
      <c r="Q3918" s="5"/>
      <c r="R3918" s="5"/>
      <c r="S3918" s="5" t="s">
        <v>49499</v>
      </c>
      <c r="T3918" s="28">
        <v>1505534000</v>
      </c>
      <c r="U3918" s="28">
        <v>521849000</v>
      </c>
      <c r="V3918" s="28">
        <v>1151030000</v>
      </c>
      <c r="W3918" s="28"/>
      <c r="X3918" s="28">
        <v>660540000</v>
      </c>
      <c r="Y3918" s="28">
        <v>4442521000</v>
      </c>
      <c r="Z3918" s="28">
        <v>3415662000</v>
      </c>
      <c r="AA3918" s="28"/>
      <c r="AB3918" s="28"/>
      <c r="AC3918" s="28">
        <v>636470000</v>
      </c>
      <c r="AD3918" s="28">
        <v>3525662000</v>
      </c>
      <c r="AE3918" s="28">
        <v>8550015000</v>
      </c>
      <c r="AF3918" s="28">
        <v>725472000</v>
      </c>
      <c r="AG3918" s="11"/>
    </row>
    <row r="3919">
      <c r="A3919" s="7" t="s">
        <v>5574</v>
      </c>
      <c r="B3919" s="5" t="s">
        <v>13531</v>
      </c>
      <c r="C3919" s="5" t="s">
        <v>21315</v>
      </c>
      <c r="D3919" s="5" t="str">
        <v>502700700005</v>
      </c>
      <c r="E3919" s="0" t="e">
        <f>+7 (495) 5104510
+7 (495) 5104513
+7 (495) 5562299
+7 (495) 5562449
+7 (495) 5562598
+7 (495) 5562980
+7 (495) 6481148
+7 (495) 9925674
+7 (495) 9925675
+7 (495) 9925676
+7 (49646) 32743
+7 (49646) 36122
+7 (49646) 38846
+7 (49646) 39611
+7 (49646) 79187</f>
        <v>#NAME?</v>
      </c>
      <c r="F3919" s="5" t="s">
        <v>37096</v>
      </c>
      <c r="G3919" s="5" t="s">
        <v>37097</v>
      </c>
      <c r="H3919" s="26">
        <v>26.5</v>
      </c>
      <c r="I3919" s="5"/>
      <c r="J3919" s="5" t="s">
        <v>25788</v>
      </c>
      <c r="K3919" s="5" t="s">
        <v>344</v>
      </c>
      <c r="L3919" s="5" t="s">
        <v>37098</v>
      </c>
      <c r="M3919" s="27"/>
      <c r="N3919" s="5"/>
      <c r="O3919" s="5" t="str">
        <v>5040008446</v>
      </c>
      <c r="P3919" s="27">
        <v>20700</v>
      </c>
      <c r="Q3919" s="5" t="s">
        <v>49009</v>
      </c>
      <c r="R3919" s="5" t="s">
        <v>53090</v>
      </c>
      <c r="S3919" s="5" t="s">
        <v>49066</v>
      </c>
      <c r="T3919" s="28">
        <v>173836000</v>
      </c>
      <c r="U3919" s="28">
        <v>404000</v>
      </c>
      <c r="V3919" s="28">
        <v>1011789000</v>
      </c>
      <c r="W3919" s="28"/>
      <c r="X3919" s="28">
        <v>2242000</v>
      </c>
      <c r="Y3919" s="28">
        <v>1265920000</v>
      </c>
      <c r="Z3919" s="28">
        <v>182459000</v>
      </c>
      <c r="AA3919" s="28"/>
      <c r="AB3919" s="28">
        <v>750509000</v>
      </c>
      <c r="AC3919" s="28">
        <v>983467000</v>
      </c>
      <c r="AD3919" s="28">
        <v>182480000</v>
      </c>
      <c r="AE3919" s="28">
        <v>3834521000</v>
      </c>
      <c r="AF3919" s="28">
        <v>84501000</v>
      </c>
      <c r="AG3919" s="11"/>
    </row>
    <row r="3920">
      <c r="A3920" s="7" t="s">
        <v>5575</v>
      </c>
      <c r="B3920" s="5" t="s">
        <v>13532</v>
      </c>
      <c r="C3920" s="5" t="s">
        <v>21316</v>
      </c>
      <c r="D3920" s="5" t="str">
        <v>503804127158</v>
      </c>
      <c r="E3920" s="0" t="e">
        <f>+7 (4986) 559000
+7 (499) 6559000
+7 (916) 5517274
+7 (925) 2430570</f>
        <v>#NAME?</v>
      </c>
      <c r="F3920" s="5" t="s">
        <v>37099</v>
      </c>
      <c r="G3920" s="5"/>
      <c r="H3920" s="26">
        <v>11.5</v>
      </c>
      <c r="I3920" s="5" t="s">
        <v>37100</v>
      </c>
      <c r="J3920" s="5" t="s">
        <v>28964</v>
      </c>
      <c r="K3920" s="5" t="s">
        <v>344</v>
      </c>
      <c r="L3920" s="5" t="s">
        <v>37101</v>
      </c>
      <c r="M3920" s="27"/>
      <c r="N3920" s="5"/>
      <c r="O3920" s="5" t="str">
        <v>5007079665</v>
      </c>
      <c r="P3920" s="27">
        <v>40000</v>
      </c>
      <c r="Q3920" s="5"/>
      <c r="R3920" s="5"/>
      <c r="S3920" s="5" t="s">
        <v>49029</v>
      </c>
      <c r="T3920" s="28">
        <v>278684000</v>
      </c>
      <c r="U3920" s="28"/>
      <c r="V3920" s="28">
        <v>495125000</v>
      </c>
      <c r="W3920" s="28"/>
      <c r="X3920" s="28">
        <v>19107000</v>
      </c>
      <c r="Y3920" s="28">
        <v>1076231000</v>
      </c>
      <c r="Z3920" s="28">
        <v>203431000</v>
      </c>
      <c r="AA3920" s="28">
        <v>146500000</v>
      </c>
      <c r="AB3920" s="28">
        <v>426968000</v>
      </c>
      <c r="AC3920" s="28">
        <v>648085000</v>
      </c>
      <c r="AD3920" s="28">
        <v>203471000</v>
      </c>
      <c r="AE3920" s="28">
        <v>4209679000</v>
      </c>
      <c r="AF3920" s="28">
        <v>37254000</v>
      </c>
      <c r="AG3920" s="11"/>
    </row>
    <row r="3921">
      <c r="A3921" s="7" t="s">
        <v>5576</v>
      </c>
      <c r="B3921" s="5" t="s">
        <v>13533</v>
      </c>
      <c r="C3921" s="5" t="s">
        <v>21317</v>
      </c>
      <c r="D3921" s="5" t="str">
        <v>500601107471</v>
      </c>
      <c r="E3921" s="0" t="e">
        <f>+7 (499) 4005373
+7 (499) 4005383
+7 (926) 14440
+7 (495) 2414440
+7 (495) 3800787
+7 (495) 9966263
+7 (499) 4004440</f>
        <v>#NAME?</v>
      </c>
      <c r="F3921" s="5" t="s">
        <v>37102</v>
      </c>
      <c r="G3921" s="5" t="s">
        <v>37103</v>
      </c>
      <c r="H3921" s="26">
        <v>23.5</v>
      </c>
      <c r="I3921" s="5" t="s">
        <v>37104</v>
      </c>
      <c r="J3921" s="5" t="s">
        <v>25788</v>
      </c>
      <c r="K3921" s="5" t="s">
        <v>344</v>
      </c>
      <c r="L3921" s="5" t="s">
        <v>37105</v>
      </c>
      <c r="M3921" s="27"/>
      <c r="N3921" s="5" t="s">
        <v>55389</v>
      </c>
      <c r="O3921" s="5" t="str">
        <v>7715213200</v>
      </c>
      <c r="P3921" s="27">
        <v>300000000</v>
      </c>
      <c r="Q3921" s="5" t="s">
        <v>49009</v>
      </c>
      <c r="R3921" s="5"/>
      <c r="S3921" s="5" t="s">
        <v>49487</v>
      </c>
      <c r="T3921" s="28">
        <v>1914926000</v>
      </c>
      <c r="U3921" s="28">
        <v>10082000</v>
      </c>
      <c r="V3921" s="28">
        <v>1039840000</v>
      </c>
      <c r="W3921" s="28">
        <v>20434000</v>
      </c>
      <c r="X3921" s="28">
        <v>872495000</v>
      </c>
      <c r="Y3921" s="28">
        <v>4934400000</v>
      </c>
      <c r="Z3921" s="28">
        <v>3646399000</v>
      </c>
      <c r="AA3921" s="28"/>
      <c r="AB3921" s="28"/>
      <c r="AC3921" s="28">
        <v>813898000</v>
      </c>
      <c r="AD3921" s="28">
        <v>3946399000</v>
      </c>
      <c r="AE3921" s="28">
        <v>10617488000</v>
      </c>
      <c r="AF3921" s="28">
        <v>1918767000</v>
      </c>
      <c r="AG3921" s="11"/>
    </row>
    <row r="3922">
      <c r="A3922" s="7" t="s">
        <v>5577</v>
      </c>
      <c r="B3922" s="5" t="s">
        <v>13534</v>
      </c>
      <c r="C3922" s="5" t="s">
        <v>21318</v>
      </c>
      <c r="D3922" s="5" t="str">
        <v>233402833612</v>
      </c>
      <c r="E3922" s="0" t="e">
        <f>+7 (928) 352522
+7 (86164) 38601
+7 (86164) 41580
+7 (86164) 59001
+7 (928) 7505727</f>
        <v>#NAME?</v>
      </c>
      <c r="F3922" s="5" t="s">
        <v>37106</v>
      </c>
      <c r="G3922" s="5" t="s">
        <v>37107</v>
      </c>
      <c r="H3922" s="26">
        <v>30.5</v>
      </c>
      <c r="I3922" s="5" t="s">
        <v>37108</v>
      </c>
      <c r="J3922" s="5" t="s">
        <v>32041</v>
      </c>
      <c r="K3922" s="5" t="s">
        <v>380</v>
      </c>
      <c r="L3922" s="5" t="s">
        <v>37109</v>
      </c>
      <c r="M3922" s="27"/>
      <c r="N3922" s="5" t="s">
        <v>55391</v>
      </c>
      <c r="O3922" s="5" t="str">
        <v>2334018875</v>
      </c>
      <c r="P3922" s="27">
        <v>30000000</v>
      </c>
      <c r="Q3922" s="5" t="s">
        <v>49059</v>
      </c>
      <c r="R3922" s="5"/>
      <c r="S3922" s="5" t="s">
        <v>50347</v>
      </c>
      <c r="T3922" s="28">
        <v>118124000</v>
      </c>
      <c r="U3922" s="28">
        <v>159968000</v>
      </c>
      <c r="V3922" s="28">
        <v>463633000</v>
      </c>
      <c r="W3922" s="28">
        <v>22201000</v>
      </c>
      <c r="X3922" s="28">
        <v>98956000</v>
      </c>
      <c r="Y3922" s="28">
        <v>1138736000</v>
      </c>
      <c r="Z3922" s="28">
        <v>296301000</v>
      </c>
      <c r="AA3922" s="28"/>
      <c r="AB3922" s="28">
        <v>12987000</v>
      </c>
      <c r="AC3922" s="28">
        <v>654088000</v>
      </c>
      <c r="AD3922" s="28">
        <v>480871000</v>
      </c>
      <c r="AE3922" s="28">
        <v>4930573000</v>
      </c>
      <c r="AF3922" s="28">
        <v>23798000</v>
      </c>
      <c r="AG3922" s="11"/>
    </row>
    <row r="3923">
      <c r="A3923" s="7" t="s">
        <v>5578</v>
      </c>
      <c r="B3923" s="5" t="s">
        <v>13535</v>
      </c>
      <c r="C3923" s="5" t="s">
        <v>21319</v>
      </c>
      <c r="D3923" s="5" t="str">
        <v>232908120318</v>
      </c>
      <c r="E3923" s="0" t="e">
        <f>+7 (918) 4867408</f>
        <v>#NAME?</v>
      </c>
      <c r="F3923" s="5" t="s">
        <v>37110</v>
      </c>
      <c r="G3923" s="5"/>
      <c r="H3923" s="26">
        <v>9</v>
      </c>
      <c r="I3923" s="5" t="s">
        <v>37111</v>
      </c>
      <c r="J3923" s="5" t="s">
        <v>32041</v>
      </c>
      <c r="K3923" s="5" t="s">
        <v>344</v>
      </c>
      <c r="L3923" s="5" t="s">
        <v>37112</v>
      </c>
      <c r="M3923" s="27"/>
      <c r="N3923" s="5"/>
      <c r="O3923" s="5" t="str">
        <v>2364009998</v>
      </c>
      <c r="P3923" s="27">
        <v>10000</v>
      </c>
      <c r="Q3923" s="5"/>
      <c r="R3923" s="5"/>
      <c r="S3923" s="5" t="s">
        <v>49029</v>
      </c>
      <c r="T3923" s="28">
        <v>80058000</v>
      </c>
      <c r="U3923" s="28"/>
      <c r="V3923" s="28">
        <v>141358000</v>
      </c>
      <c r="W3923" s="28"/>
      <c r="X3923" s="28">
        <v>3338000</v>
      </c>
      <c r="Y3923" s="28">
        <v>477907000</v>
      </c>
      <c r="Z3923" s="28">
        <v>202055000</v>
      </c>
      <c r="AA3923" s="28">
        <v>115500000</v>
      </c>
      <c r="AB3923" s="28">
        <v>83000000</v>
      </c>
      <c r="AC3923" s="28">
        <v>157568000</v>
      </c>
      <c r="AD3923" s="28">
        <v>202065000</v>
      </c>
      <c r="AE3923" s="28">
        <v>3146564000</v>
      </c>
      <c r="AF3923" s="28">
        <v>66112000</v>
      </c>
      <c r="AG3923" s="11"/>
    </row>
    <row r="3924">
      <c r="A3924" s="7" t="s">
        <v>5579</v>
      </c>
      <c r="B3924" s="5" t="s">
        <v>13536</v>
      </c>
      <c r="C3924" s="5" t="s">
        <v>21320</v>
      </c>
      <c r="D3924" s="5" t="str">
        <v>500104137927</v>
      </c>
      <c r="E3924" s="0" t="e">
        <f>+7 (499) 9624367
+7 (926) 2307754</f>
        <v>#NAME?</v>
      </c>
      <c r="F3924" s="5" t="s">
        <v>37113</v>
      </c>
      <c r="G3924" s="5" t="s">
        <v>37114</v>
      </c>
      <c r="H3924" s="26">
        <v>7.5</v>
      </c>
      <c r="I3924" s="5" t="s">
        <v>37115</v>
      </c>
      <c r="J3924" s="5" t="s">
        <v>785</v>
      </c>
      <c r="K3924" s="5" t="s">
        <v>355</v>
      </c>
      <c r="L3924" s="5" t="s">
        <v>37116</v>
      </c>
      <c r="M3924" s="27"/>
      <c r="N3924" s="5"/>
      <c r="O3924" s="5" t="str">
        <v>7718283580</v>
      </c>
      <c r="P3924" s="27">
        <v>300000</v>
      </c>
      <c r="Q3924" s="5" t="s">
        <v>49059</v>
      </c>
      <c r="R3924" s="5"/>
      <c r="S3924" s="5" t="s">
        <v>49010</v>
      </c>
      <c r="T3924" s="28"/>
      <c r="U3924" s="28"/>
      <c r="V3924" s="28">
        <v>1436631000</v>
      </c>
      <c r="W3924" s="28">
        <v>5000000</v>
      </c>
      <c r="X3924" s="28">
        <v>74716000</v>
      </c>
      <c r="Y3924" s="28">
        <v>1517238000</v>
      </c>
      <c r="Z3924" s="28">
        <v>407824000</v>
      </c>
      <c r="AA3924" s="28"/>
      <c r="AB3924" s="28"/>
      <c r="AC3924" s="28">
        <v>1109114000</v>
      </c>
      <c r="AD3924" s="28">
        <v>408124000</v>
      </c>
      <c r="AE3924" s="28">
        <v>4561866000</v>
      </c>
      <c r="AF3924" s="28">
        <v>99895000</v>
      </c>
      <c r="AG3924" s="11"/>
    </row>
    <row r="3925">
      <c r="A3925" s="7" t="s">
        <v>5580</v>
      </c>
      <c r="B3925" s="5" t="s">
        <v>13537</v>
      </c>
      <c r="C3925" s="5" t="s">
        <v>17861</v>
      </c>
      <c r="D3925" s="5"/>
      <c r="E3925" s="0" t="e">
        <f>+7 (855) 2465787
+7 (855) 2467638
+7 (855) 2747832
+7 (855) 2747887
+7 (855) 2747888</f>
        <v>#NAME?</v>
      </c>
      <c r="F3925" s="5" t="s">
        <v>37117</v>
      </c>
      <c r="G3925" s="5" t="s">
        <v>37118</v>
      </c>
      <c r="H3925" s="26">
        <v>20.5</v>
      </c>
      <c r="I3925" s="5"/>
      <c r="J3925" s="5" t="s">
        <v>26057</v>
      </c>
      <c r="K3925" s="5" t="s">
        <v>355</v>
      </c>
      <c r="L3925" s="5" t="s">
        <v>446</v>
      </c>
      <c r="M3925" s="27">
        <v>933000</v>
      </c>
      <c r="N3925" s="5"/>
      <c r="O3925" s="5" t="str">
        <v>1639004674</v>
      </c>
      <c r="P3925" s="27">
        <v>350000</v>
      </c>
      <c r="Q3925" s="5"/>
      <c r="R3925" s="5"/>
      <c r="S3925" s="5" t="s">
        <v>49029</v>
      </c>
      <c r="T3925" s="28">
        <v>683358000</v>
      </c>
      <c r="U3925" s="28">
        <v>794423000</v>
      </c>
      <c r="V3925" s="28">
        <v>1260511000</v>
      </c>
      <c r="W3925" s="28">
        <v>7001000</v>
      </c>
      <c r="X3925" s="28">
        <v>8267000</v>
      </c>
      <c r="Y3925" s="28">
        <v>5832070000</v>
      </c>
      <c r="Z3925" s="28">
        <v>1589386000</v>
      </c>
      <c r="AA3925" s="28">
        <v>575390000</v>
      </c>
      <c r="AB3925" s="28">
        <v>786191000</v>
      </c>
      <c r="AC3925" s="28">
        <v>3608921000</v>
      </c>
      <c r="AD3925" s="28">
        <v>1674157000</v>
      </c>
      <c r="AE3925" s="28">
        <v>7746061000</v>
      </c>
      <c r="AF3925" s="28">
        <v>289305000</v>
      </c>
      <c r="AG3925" s="11"/>
    </row>
    <row r="3926">
      <c r="A3926" s="7" t="s">
        <v>5581</v>
      </c>
      <c r="B3926" s="5" t="s">
        <v>13538</v>
      </c>
      <c r="C3926" s="5" t="s">
        <v>21321</v>
      </c>
      <c r="D3926" s="5" t="str">
        <v>366218218355</v>
      </c>
      <c r="E3926" s="0" t="e">
        <f>+7 (473) 2631102
+7 (960) 1123622
+7 (473) 2909039
+7 (910) 7320256</f>
        <v>#NAME?</v>
      </c>
      <c r="F3926" s="5" t="s">
        <v>37119</v>
      </c>
      <c r="G3926" s="5"/>
      <c r="H3926" s="26">
        <v>14.5</v>
      </c>
      <c r="I3926" s="5" t="s">
        <v>37120</v>
      </c>
      <c r="J3926" s="5" t="s">
        <v>467</v>
      </c>
      <c r="K3926" s="5" t="s">
        <v>344</v>
      </c>
      <c r="L3926" s="5"/>
      <c r="M3926" s="27">
        <v>20062009</v>
      </c>
      <c r="N3926" s="5" t="s">
        <v>55392</v>
      </c>
      <c r="O3926" s="5" t="str">
        <v>3662138990</v>
      </c>
      <c r="P3926" s="27">
        <v>15000000</v>
      </c>
      <c r="Q3926" s="5" t="s">
        <v>55393</v>
      </c>
      <c r="R3926" s="5"/>
      <c r="S3926" s="5" t="s">
        <v>55394</v>
      </c>
      <c r="T3926" s="28">
        <v>913200000</v>
      </c>
      <c r="U3926" s="28"/>
      <c r="V3926" s="28">
        <v>1632453000</v>
      </c>
      <c r="W3926" s="28">
        <v>643000000</v>
      </c>
      <c r="X3926" s="28">
        <v>424053000</v>
      </c>
      <c r="Y3926" s="28">
        <v>4129435000</v>
      </c>
      <c r="Z3926" s="28">
        <v>623397000</v>
      </c>
      <c r="AA3926" s="28">
        <v>700000000</v>
      </c>
      <c r="AB3926" s="28"/>
      <c r="AC3926" s="28">
        <v>2067992000</v>
      </c>
      <c r="AD3926" s="28">
        <v>686562000</v>
      </c>
      <c r="AE3926" s="28">
        <v>3910530000</v>
      </c>
      <c r="AF3926" s="28">
        <v>185622000</v>
      </c>
      <c r="AG3926" s="11"/>
    </row>
    <row r="3927">
      <c r="A3927" s="7" t="s">
        <v>5582</v>
      </c>
      <c r="B3927" s="5" t="s">
        <v>13539</v>
      </c>
      <c r="C3927" s="5" t="s">
        <v>21322</v>
      </c>
      <c r="D3927" s="5" t="str">
        <v>263600392616</v>
      </c>
      <c r="E3927" s="0" t="e">
        <f>+7 (866) 2753343
+7 (905) 4144106
+7 (865) 2945701
+7 (8652) 281728
+7 (8652) 516516</f>
        <v>#NAME?</v>
      </c>
      <c r="F3927" s="5" t="s">
        <v>37121</v>
      </c>
      <c r="G3927" s="5" t="s">
        <v>37122</v>
      </c>
      <c r="H3927" s="26">
        <v>20</v>
      </c>
      <c r="I3927" s="5" t="s">
        <v>37123</v>
      </c>
      <c r="J3927" s="5" t="s">
        <v>25259</v>
      </c>
      <c r="K3927" s="5" t="s">
        <v>344</v>
      </c>
      <c r="L3927" s="5" t="s">
        <v>26983</v>
      </c>
      <c r="M3927" s="27"/>
      <c r="N3927" s="5" t="s">
        <v>55395</v>
      </c>
      <c r="O3927" s="5" t="str">
        <v>2636040789</v>
      </c>
      <c r="P3927" s="27">
        <v>30000</v>
      </c>
      <c r="Q3927" s="5" t="s">
        <v>55396</v>
      </c>
      <c r="R3927" s="5" t="s">
        <v>55397</v>
      </c>
      <c r="S3927" s="5" t="s">
        <v>55398</v>
      </c>
      <c r="T3927" s="28">
        <v>236918000</v>
      </c>
      <c r="U3927" s="28"/>
      <c r="V3927" s="28">
        <v>190012000</v>
      </c>
      <c r="W3927" s="28"/>
      <c r="X3927" s="28">
        <v>181766000</v>
      </c>
      <c r="Y3927" s="28">
        <v>653047000</v>
      </c>
      <c r="Z3927" s="28">
        <v>299142000</v>
      </c>
      <c r="AA3927" s="28">
        <v>71899000</v>
      </c>
      <c r="AB3927" s="28">
        <v>34500000</v>
      </c>
      <c r="AC3927" s="28">
        <v>281976000</v>
      </c>
      <c r="AD3927" s="28">
        <v>299172000</v>
      </c>
      <c r="AE3927" s="28">
        <v>4107208000</v>
      </c>
      <c r="AF3927" s="28">
        <v>83030000</v>
      </c>
      <c r="AG3927" s="11"/>
    </row>
    <row r="3928">
      <c r="A3928" s="7" t="s">
        <v>5583</v>
      </c>
      <c r="B3928" s="5" t="s">
        <v>13540</v>
      </c>
      <c r="C3928" s="5" t="s">
        <v>21323</v>
      </c>
      <c r="D3928" s="5" t="str">
        <v>662334012370</v>
      </c>
      <c r="E3928" s="0" t="e">
        <f>+7 (922) 7255408
+7 (929) 2075538</f>
        <v>#NAME?</v>
      </c>
      <c r="F3928" s="5"/>
      <c r="G3928" s="5"/>
      <c r="H3928" s="26">
        <v>10.5</v>
      </c>
      <c r="I3928" s="5" t="s">
        <v>37124</v>
      </c>
      <c r="J3928" s="5" t="s">
        <v>26655</v>
      </c>
      <c r="K3928" s="5" t="s">
        <v>344</v>
      </c>
      <c r="L3928" s="5" t="s">
        <v>37125</v>
      </c>
      <c r="M3928" s="27"/>
      <c r="N3928" s="5"/>
      <c r="O3928" s="5" t="str">
        <v>6682001397</v>
      </c>
      <c r="P3928" s="27">
        <v>1350000</v>
      </c>
      <c r="Q3928" s="5" t="s">
        <v>49009</v>
      </c>
      <c r="R3928" s="5" t="s">
        <v>50727</v>
      </c>
      <c r="S3928" s="5" t="s">
        <v>49010</v>
      </c>
      <c r="T3928" s="28">
        <v>380358000</v>
      </c>
      <c r="U3928" s="28"/>
      <c r="V3928" s="28">
        <v>361323000</v>
      </c>
      <c r="W3928" s="28"/>
      <c r="X3928" s="28">
        <v>82655000</v>
      </c>
      <c r="Y3928" s="28">
        <v>1187530000</v>
      </c>
      <c r="Z3928" s="28">
        <v>696652000</v>
      </c>
      <c r="AA3928" s="28"/>
      <c r="AB3928" s="28"/>
      <c r="AC3928" s="28">
        <v>168129000</v>
      </c>
      <c r="AD3928" s="28">
        <v>698002000</v>
      </c>
      <c r="AE3928" s="28">
        <v>4086725000</v>
      </c>
      <c r="AF3928" s="28">
        <v>229430000</v>
      </c>
      <c r="AG3928" s="11"/>
    </row>
    <row r="3929">
      <c r="A3929" s="7" t="s">
        <v>5584</v>
      </c>
      <c r="B3929" s="5" t="s">
        <v>13541</v>
      </c>
      <c r="C3929" s="5" t="s">
        <v>21324</v>
      </c>
      <c r="D3929" s="5" t="str">
        <v>770379709199</v>
      </c>
      <c r="E3929" s="0" t="e">
        <f>+7 (800) 5051005
+7 (495) 2580199
+7 (495) 2586055
+7 (495) 9398432</f>
        <v>#NAME?</v>
      </c>
      <c r="F3929" s="5"/>
      <c r="G3929" s="5" t="s">
        <v>37126</v>
      </c>
      <c r="H3929" s="26">
        <v>9.5</v>
      </c>
      <c r="I3929" s="5" t="s">
        <v>37127</v>
      </c>
      <c r="J3929" s="5" t="s">
        <v>26999</v>
      </c>
      <c r="K3929" s="5" t="s">
        <v>344</v>
      </c>
      <c r="L3929" s="5"/>
      <c r="M3929" s="27"/>
      <c r="N3929" s="5" t="s">
        <v>55399</v>
      </c>
      <c r="O3929" s="5" t="str">
        <v>7727810226</v>
      </c>
      <c r="P3929" s="27">
        <v>222220000</v>
      </c>
      <c r="Q3929" s="5" t="s">
        <v>55400</v>
      </c>
      <c r="R3929" s="5"/>
      <c r="S3929" s="5" t="s">
        <v>49802</v>
      </c>
      <c r="T3929" s="28">
        <v>2955000</v>
      </c>
      <c r="U3929" s="28"/>
      <c r="V3929" s="28">
        <v>31521000</v>
      </c>
      <c r="W3929" s="28"/>
      <c r="X3929" s="28">
        <v>83591000</v>
      </c>
      <c r="Y3929" s="28">
        <v>1153050000</v>
      </c>
      <c r="Z3929" s="28">
        <v>536140000</v>
      </c>
      <c r="AA3929" s="28"/>
      <c r="AB3929" s="28">
        <v>302621000</v>
      </c>
      <c r="AC3929" s="28">
        <v>387909000</v>
      </c>
      <c r="AD3929" s="28">
        <v>758360000</v>
      </c>
      <c r="AE3929" s="28">
        <v>3759803000</v>
      </c>
      <c r="AF3929" s="28">
        <v>536934000</v>
      </c>
      <c r="AG3929" s="11"/>
    </row>
    <row r="3930">
      <c r="A3930" s="7" t="s">
        <v>5585</v>
      </c>
      <c r="B3930" s="5" t="s">
        <v>13542</v>
      </c>
      <c r="C3930" s="5" t="s">
        <v>21325</v>
      </c>
      <c r="D3930" s="5" t="str">
        <v>782576998550</v>
      </c>
      <c r="E3930" s="0" t="e">
        <f>+7 (499) 9782425
+7 (495) 1507502
+7 (499) 9403672</f>
        <v>#NAME?</v>
      </c>
      <c r="F3930" s="5" t="s">
        <v>37128</v>
      </c>
      <c r="G3930" s="5"/>
      <c r="H3930" s="26">
        <v>10.5</v>
      </c>
      <c r="I3930" s="5" t="s">
        <v>37129</v>
      </c>
      <c r="J3930" s="5" t="s">
        <v>599</v>
      </c>
      <c r="K3930" s="5" t="s">
        <v>344</v>
      </c>
      <c r="L3930" s="5" t="s">
        <v>37130</v>
      </c>
      <c r="M3930" s="27">
        <v>1345692</v>
      </c>
      <c r="N3930" s="5" t="s">
        <v>55401</v>
      </c>
      <c r="O3930" s="5" t="str">
        <v>7722781853</v>
      </c>
      <c r="P3930" s="27">
        <v>3000000</v>
      </c>
      <c r="Q3930" s="5" t="s">
        <v>55402</v>
      </c>
      <c r="R3930" s="5"/>
      <c r="S3930" s="5" t="s">
        <v>55403</v>
      </c>
      <c r="T3930" s="28">
        <v>54094000</v>
      </c>
      <c r="U3930" s="28"/>
      <c r="V3930" s="28">
        <v>1248609000</v>
      </c>
      <c r="W3930" s="28">
        <v>3171000</v>
      </c>
      <c r="X3930" s="28">
        <v>24169000</v>
      </c>
      <c r="Y3930" s="28">
        <v>1397704000</v>
      </c>
      <c r="Z3930" s="28">
        <v>343027000</v>
      </c>
      <c r="AA3930" s="28"/>
      <c r="AB3930" s="28">
        <v>267480000</v>
      </c>
      <c r="AC3930" s="28">
        <v>963300000</v>
      </c>
      <c r="AD3930" s="28">
        <v>346027000</v>
      </c>
      <c r="AE3930" s="28">
        <v>5714290000</v>
      </c>
      <c r="AF3930" s="28">
        <v>136938000</v>
      </c>
      <c r="AG3930" s="11"/>
    </row>
    <row r="3931">
      <c r="A3931" s="7" t="s">
        <v>5586</v>
      </c>
      <c r="B3931" s="5" t="s">
        <v>13543</v>
      </c>
      <c r="C3931" s="5" t="s">
        <v>21326</v>
      </c>
      <c r="D3931" s="5" t="str">
        <v>781662153385</v>
      </c>
      <c r="E3931" s="0" t="e">
        <f>+7 (495) 6848555
+7 (918) 3304852</f>
        <v>#NAME?</v>
      </c>
      <c r="F3931" s="5"/>
      <c r="G3931" s="5" t="s">
        <v>37131</v>
      </c>
      <c r="H3931" s="26">
        <v>5.5</v>
      </c>
      <c r="I3931" s="5" t="s">
        <v>37132</v>
      </c>
      <c r="J3931" s="5" t="s">
        <v>32549</v>
      </c>
      <c r="K3931" s="5" t="s">
        <v>344</v>
      </c>
      <c r="L3931" s="5"/>
      <c r="M3931" s="27"/>
      <c r="N3931" s="5"/>
      <c r="O3931" s="5" t="str">
        <v>7707396952</v>
      </c>
      <c r="P3931" s="27">
        <v>500000</v>
      </c>
      <c r="Q3931" s="5" t="s">
        <v>49057</v>
      </c>
      <c r="R3931" s="5"/>
      <c r="S3931" s="5" t="s">
        <v>49452</v>
      </c>
      <c r="T3931" s="28">
        <v>44883000</v>
      </c>
      <c r="U3931" s="28"/>
      <c r="V3931" s="28">
        <v>1132962000</v>
      </c>
      <c r="W3931" s="28">
        <v>79484000</v>
      </c>
      <c r="X3931" s="28">
        <v>73000</v>
      </c>
      <c r="Y3931" s="28">
        <v>1274278000</v>
      </c>
      <c r="Z3931" s="28">
        <v>147496000</v>
      </c>
      <c r="AA3931" s="28"/>
      <c r="AB3931" s="28"/>
      <c r="AC3931" s="28">
        <v>1075068000</v>
      </c>
      <c r="AD3931" s="28">
        <v>147996000</v>
      </c>
      <c r="AE3931" s="28">
        <v>17548103000</v>
      </c>
      <c r="AF3931" s="28">
        <v>224235000</v>
      </c>
      <c r="AG3931" s="11"/>
    </row>
    <row r="3932">
      <c r="A3932" s="7" t="s">
        <v>5587</v>
      </c>
      <c r="B3932" s="5" t="s">
        <v>13544</v>
      </c>
      <c r="C3932" s="5" t="s">
        <v>21327</v>
      </c>
      <c r="D3932" s="5" t="str">
        <v>771872008204</v>
      </c>
      <c r="E3932" s="0" t="e">
        <f>+7 (495) 1132671
+7 (495) 1236716
+7 (495) 1326416
+7 (495) 1326716
+7 (495) 1326717
+7 (495) 1326760
+7 (495) 1326771
+7 (495) 1373713
+7 (495) 5132671
+7 (495) 6325845
+7 (495) 6465665
+7 (495) 7326716
+7 (495) 9567937
+7 (499) 1326716
+7 (812) 6007045</f>
        <v>#NAME?</v>
      </c>
      <c r="F3932" s="5" t="s">
        <v>37133</v>
      </c>
      <c r="G3932" s="5"/>
      <c r="H3932" s="26">
        <v>4.5</v>
      </c>
      <c r="I3932" s="5" t="s">
        <v>37134</v>
      </c>
      <c r="J3932" s="5" t="s">
        <v>25429</v>
      </c>
      <c r="K3932" s="5" t="s">
        <v>344</v>
      </c>
      <c r="L3932" s="5" t="s">
        <v>37135</v>
      </c>
      <c r="M3932" s="27"/>
      <c r="N3932" s="5" t="s">
        <v>55404</v>
      </c>
      <c r="O3932" s="5" t="str">
        <v>5036171778</v>
      </c>
      <c r="P3932" s="27">
        <v>300000</v>
      </c>
      <c r="Q3932" s="5" t="s">
        <v>55405</v>
      </c>
      <c r="R3932" s="5"/>
      <c r="S3932" s="5" t="s">
        <v>55406</v>
      </c>
      <c r="T3932" s="28">
        <v>3413000</v>
      </c>
      <c r="U3932" s="28"/>
      <c r="V3932" s="28">
        <v>161742000</v>
      </c>
      <c r="W3932" s="28"/>
      <c r="X3932" s="28">
        <v>32396000</v>
      </c>
      <c r="Y3932" s="28">
        <v>211839000</v>
      </c>
      <c r="Z3932" s="28">
        <v>35418000</v>
      </c>
      <c r="AA3932" s="28"/>
      <c r="AB3932" s="28"/>
      <c r="AC3932" s="28">
        <v>169927000</v>
      </c>
      <c r="AD3932" s="28">
        <v>35718000</v>
      </c>
      <c r="AE3932" s="28">
        <v>6680769000</v>
      </c>
      <c r="AF3932" s="28">
        <v>138959000</v>
      </c>
      <c r="AG3932" s="11"/>
    </row>
    <row r="3933">
      <c r="A3933" s="7" t="s">
        <v>5588</v>
      </c>
      <c r="B3933" s="5" t="s">
        <v>13545</v>
      </c>
      <c r="C3933" s="5" t="s">
        <v>21328</v>
      </c>
      <c r="D3933" s="5" t="str">
        <v>526306974350</v>
      </c>
      <c r="E3933" s="0" t="e">
        <f>+7 (83170) 62070
+7 (83170) 62079
+7 (83177) 78401
+7 (920) 795566</f>
        <v>#NAME?</v>
      </c>
      <c r="F3933" s="5" t="s">
        <v>37136</v>
      </c>
      <c r="G3933" s="5" t="s">
        <v>37137</v>
      </c>
      <c r="H3933" s="26">
        <v>7</v>
      </c>
      <c r="I3933" s="5" t="s">
        <v>37138</v>
      </c>
      <c r="J3933" s="5" t="s">
        <v>467</v>
      </c>
      <c r="K3933" s="5" t="s">
        <v>355</v>
      </c>
      <c r="L3933" s="5" t="s">
        <v>37139</v>
      </c>
      <c r="M3933" s="27">
        <v>51087204</v>
      </c>
      <c r="N3933" s="5" t="s">
        <v>55407</v>
      </c>
      <c r="O3933" s="5" t="str">
        <v>5260423649</v>
      </c>
      <c r="P3933" s="27">
        <v>10000</v>
      </c>
      <c r="Q3933" s="5" t="s">
        <v>55408</v>
      </c>
      <c r="R3933" s="5" t="s">
        <v>55409</v>
      </c>
      <c r="S3933" s="5" t="s">
        <v>55410</v>
      </c>
      <c r="T3933" s="28">
        <v>1110813000</v>
      </c>
      <c r="U3933" s="28">
        <v>141686000</v>
      </c>
      <c r="V3933" s="28">
        <v>445842000</v>
      </c>
      <c r="W3933" s="28">
        <v>54783000</v>
      </c>
      <c r="X3933" s="28">
        <v>676720000</v>
      </c>
      <c r="Y3933" s="28">
        <v>3789357000</v>
      </c>
      <c r="Z3933" s="28">
        <v>541799000</v>
      </c>
      <c r="AA3933" s="28"/>
      <c r="AB3933" s="28">
        <v>18005000</v>
      </c>
      <c r="AC3933" s="28">
        <v>2803049000</v>
      </c>
      <c r="AD3933" s="28">
        <v>761020000</v>
      </c>
      <c r="AE3933" s="28">
        <v>4499303000</v>
      </c>
      <c r="AF3933" s="28">
        <v>49767000</v>
      </c>
      <c r="AG3933" s="11"/>
    </row>
    <row r="3934">
      <c r="A3934" s="7" t="s">
        <v>5589</v>
      </c>
      <c r="B3934" s="5" t="s">
        <v>13546</v>
      </c>
      <c r="C3934" s="5" t="s">
        <v>21329</v>
      </c>
      <c r="D3934" s="5" t="str">
        <v>462302155116</v>
      </c>
      <c r="E3934" s="0" t="e">
        <f>+7 (930) 7668894
+7 (47143) 22563
+7 (47143) 22699
+7 (47143) 24755
+7 (47143) 24758
+7 (920) 7001881</f>
        <v>#NAME?</v>
      </c>
      <c r="F3934" s="5" t="s">
        <v>37140</v>
      </c>
      <c r="G3934" s="5" t="s">
        <v>37141</v>
      </c>
      <c r="H3934" s="26">
        <v>17</v>
      </c>
      <c r="I3934" s="5"/>
      <c r="J3934" s="5" t="s">
        <v>25371</v>
      </c>
      <c r="K3934" s="5" t="s">
        <v>344</v>
      </c>
      <c r="L3934" s="5" t="s">
        <v>37142</v>
      </c>
      <c r="M3934" s="27"/>
      <c r="N3934" s="5" t="s">
        <v>55411</v>
      </c>
      <c r="O3934" s="5" t="str">
        <v>4623006135</v>
      </c>
      <c r="P3934" s="27">
        <v>100000</v>
      </c>
      <c r="Q3934" s="5" t="s">
        <v>49009</v>
      </c>
      <c r="R3934" s="5"/>
      <c r="S3934" s="5" t="s">
        <v>49028</v>
      </c>
      <c r="T3934" s="28">
        <v>1727700000</v>
      </c>
      <c r="U3934" s="28"/>
      <c r="V3934" s="28">
        <v>318757000</v>
      </c>
      <c r="W3934" s="28">
        <v>3716805000</v>
      </c>
      <c r="X3934" s="28">
        <v>5764000</v>
      </c>
      <c r="Y3934" s="28">
        <v>6976791000</v>
      </c>
      <c r="Z3934" s="28">
        <v>5737426000</v>
      </c>
      <c r="AA3934" s="28">
        <v>123982000</v>
      </c>
      <c r="AB3934" s="28">
        <v>800000000</v>
      </c>
      <c r="AC3934" s="28">
        <v>1114008000</v>
      </c>
      <c r="AD3934" s="28">
        <v>5737626000</v>
      </c>
      <c r="AE3934" s="28">
        <v>4921541000</v>
      </c>
      <c r="AF3934" s="28">
        <v>865686000</v>
      </c>
      <c r="AG3934" s="11"/>
    </row>
    <row r="3935">
      <c r="A3935" s="7" t="s">
        <v>5590</v>
      </c>
      <c r="B3935" s="5" t="s">
        <v>13547</v>
      </c>
      <c r="C3935" s="5" t="s">
        <v>21330</v>
      </c>
      <c r="D3935" s="5" t="str">
        <v>683101421505</v>
      </c>
      <c r="E3935" s="0" t="e">
        <f>+7 (4712) 734752
+7 (472) 2202529
+7 (472) 2202559
+7 (472) 2571015
+7 (473) 2246515
+7 (475) 2444919
+7 (475) 2490288
+7 (475) 2512763
+7 (475) 2565533
+7 (472) 2202558
+7 (475) 2440803
+7 (475) 2440821
+7 (475) 2440826
+7 (475) 2440827
+7 (475) 2440856</f>
        <v>#NAME?</v>
      </c>
      <c r="F3935" s="5" t="s">
        <v>37143</v>
      </c>
      <c r="G3935" s="5" t="s">
        <v>37144</v>
      </c>
      <c r="H3935" s="26">
        <v>15</v>
      </c>
      <c r="I3935" s="5" t="s">
        <v>37145</v>
      </c>
      <c r="J3935" s="5" t="s">
        <v>25429</v>
      </c>
      <c r="K3935" s="5" t="s">
        <v>344</v>
      </c>
      <c r="L3935" s="5" t="s">
        <v>37146</v>
      </c>
      <c r="M3935" s="27"/>
      <c r="N3935" s="5" t="s">
        <v>55412</v>
      </c>
      <c r="O3935" s="5" t="str">
        <v>7728658430</v>
      </c>
      <c r="P3935" s="27">
        <v>50000</v>
      </c>
      <c r="Q3935" s="5" t="s">
        <v>55413</v>
      </c>
      <c r="R3935" s="5"/>
      <c r="S3935" s="5" t="s">
        <v>55414</v>
      </c>
      <c r="T3935" s="28">
        <v>732206000</v>
      </c>
      <c r="U3935" s="28"/>
      <c r="V3935" s="28">
        <v>1457580000</v>
      </c>
      <c r="W3935" s="28">
        <v>3390000</v>
      </c>
      <c r="X3935" s="28">
        <v>15943000</v>
      </c>
      <c r="Y3935" s="28">
        <v>5167060000</v>
      </c>
      <c r="Z3935" s="28">
        <v>1098552000</v>
      </c>
      <c r="AA3935" s="28">
        <v>1374448000</v>
      </c>
      <c r="AB3935" s="28">
        <v>372374000</v>
      </c>
      <c r="AC3935" s="28">
        <v>2608713000</v>
      </c>
      <c r="AD3935" s="28">
        <v>1153982000</v>
      </c>
      <c r="AE3935" s="28">
        <v>15880622000</v>
      </c>
      <c r="AF3935" s="28">
        <v>440415000</v>
      </c>
      <c r="AG3935" s="11"/>
    </row>
    <row r="3936">
      <c r="A3936" s="7" t="s">
        <v>5591</v>
      </c>
      <c r="B3936" s="5" t="s">
        <v>13548</v>
      </c>
      <c r="C3936" s="5" t="s">
        <v>21331</v>
      </c>
      <c r="D3936" s="5"/>
      <c r="E3936" s="0" t="e">
        <f>+7 (343) 3654254
+7 (34385) 53262
+7 (343) 1521688
+7 (343) 1537231
+7 (343) 1553529
+7 (343) 1555100
+7 (343) 1569288
+7 (343) 1569422
+7 (343) 1569474
+7 (343) 3728513
+7 (34385) 21688
+7 (34385) 53100
+7 (34385) 53412
+7 (34385) 53427
+7 (34385) 53529</f>
        <v>#NAME?</v>
      </c>
      <c r="F3936" s="5" t="s">
        <v>37147</v>
      </c>
      <c r="G3936" s="5" t="s">
        <v>37148</v>
      </c>
      <c r="H3936" s="26">
        <v>29</v>
      </c>
      <c r="I3936" s="5" t="s">
        <v>37149</v>
      </c>
      <c r="J3936" s="5" t="s">
        <v>31212</v>
      </c>
      <c r="K3936" s="5" t="s">
        <v>344</v>
      </c>
      <c r="L3936" s="5"/>
      <c r="M3936" s="27">
        <v>240000</v>
      </c>
      <c r="N3936" s="5" t="s">
        <v>55415</v>
      </c>
      <c r="O3936" s="5" t="str">
        <v>6632004667</v>
      </c>
      <c r="P3936" s="27">
        <v>261377</v>
      </c>
      <c r="Q3936" s="5" t="s">
        <v>55416</v>
      </c>
      <c r="R3936" s="5"/>
      <c r="S3936" s="5" t="s">
        <v>54658</v>
      </c>
      <c r="T3936" s="28">
        <v>7603425000</v>
      </c>
      <c r="U3936" s="28">
        <v>9000</v>
      </c>
      <c r="V3936" s="28">
        <v>2523345000</v>
      </c>
      <c r="W3936" s="28"/>
      <c r="X3936" s="28">
        <v>101461000</v>
      </c>
      <c r="Y3936" s="28">
        <v>14874803000</v>
      </c>
      <c r="Z3936" s="28">
        <v>7039901000</v>
      </c>
      <c r="AA3936" s="28"/>
      <c r="AB3936" s="28">
        <v>2161317000</v>
      </c>
      <c r="AC3936" s="28">
        <v>5316505000</v>
      </c>
      <c r="AD3936" s="28">
        <v>7040176000</v>
      </c>
      <c r="AE3936" s="28">
        <v>35074199000</v>
      </c>
      <c r="AF3936" s="28">
        <v>4638902000</v>
      </c>
      <c r="AG3936" s="11"/>
    </row>
    <row r="3937">
      <c r="A3937" s="7" t="s">
        <v>5592</v>
      </c>
      <c r="B3937" s="5" t="s">
        <v>13549</v>
      </c>
      <c r="C3937" s="5" t="s">
        <v>21332</v>
      </c>
      <c r="D3937" s="5" t="str">
        <v>245600279682</v>
      </c>
      <c r="E3937" s="0" t="e">
        <f>+7 (902) 9902220
+7 (923) 3057740
+7 (391) 2235554
+7 (391) 5532109
+7 (391) 5532413
+7 (39155) 23319
+7 (39155) 32313
+7 (39155) 50088
+7 (39155) 50528
+7 (39155) 52346
+7 (39155) 54406</f>
        <v>#NAME?</v>
      </c>
      <c r="F3937" s="5" t="s">
        <v>37150</v>
      </c>
      <c r="G3937" s="5" t="s">
        <v>37151</v>
      </c>
      <c r="H3937" s="26">
        <v>30</v>
      </c>
      <c r="I3937" s="5"/>
      <c r="J3937" s="5" t="s">
        <v>25864</v>
      </c>
      <c r="K3937" s="5" t="s">
        <v>344</v>
      </c>
      <c r="L3937" s="5" t="s">
        <v>37152</v>
      </c>
      <c r="M3937" s="27">
        <v>2864827</v>
      </c>
      <c r="N3937" s="5" t="s">
        <v>55417</v>
      </c>
      <c r="O3937" s="5" t="str">
        <v>2456000071</v>
      </c>
      <c r="P3937" s="27">
        <v>2825</v>
      </c>
      <c r="Q3937" s="5" t="s">
        <v>55418</v>
      </c>
      <c r="R3937" s="5"/>
      <c r="S3937" s="5" t="s">
        <v>55419</v>
      </c>
      <c r="T3937" s="28">
        <v>92771000</v>
      </c>
      <c r="U3937" s="28">
        <v>1146000</v>
      </c>
      <c r="V3937" s="28">
        <v>212799000</v>
      </c>
      <c r="W3937" s="28">
        <v>901778000</v>
      </c>
      <c r="X3937" s="28">
        <v>7859000</v>
      </c>
      <c r="Y3937" s="28">
        <v>2403033000</v>
      </c>
      <c r="Z3937" s="28">
        <v>2115631000</v>
      </c>
      <c r="AA3937" s="28"/>
      <c r="AB3937" s="28"/>
      <c r="AC3937" s="28">
        <v>280434000</v>
      </c>
      <c r="AD3937" s="28">
        <v>2120465000</v>
      </c>
      <c r="AE3937" s="28">
        <v>4147451000</v>
      </c>
      <c r="AF3937" s="28">
        <v>515607000</v>
      </c>
      <c r="AG3937" s="11"/>
    </row>
    <row r="3938">
      <c r="A3938" s="7" t="s">
        <v>5593</v>
      </c>
      <c r="B3938" s="5" t="s">
        <v>12622</v>
      </c>
      <c r="C3938" s="5" t="s">
        <v>17665</v>
      </c>
      <c r="D3938" s="5"/>
      <c r="E3938" s="0" t="e">
        <f>+7 (391) 2256895
+7 (391) 2456732
+7 (391) 2906408
+7 (39155) 50894
+7 (39155) 52428
+7 (39155) 54634
+7 (39155) 56403
+7 (39155) 57422
+7 (39155) 59408
+7 (39155) 59984
+7 (39155) 99217
+7 (39155) 30215
+7 (39155) 44960
+7 (39155) 51184
+7 (39155) 99286</f>
        <v>#NAME?</v>
      </c>
      <c r="F3938" s="5" t="s">
        <v>37153</v>
      </c>
      <c r="G3938" s="5" t="s">
        <v>37154</v>
      </c>
      <c r="H3938" s="26">
        <v>11</v>
      </c>
      <c r="I3938" s="5" t="s">
        <v>37155</v>
      </c>
      <c r="J3938" s="5" t="s">
        <v>25295</v>
      </c>
      <c r="K3938" s="5" t="s">
        <v>344</v>
      </c>
      <c r="L3938" s="5" t="s">
        <v>37156</v>
      </c>
      <c r="M3938" s="27"/>
      <c r="N3938" s="5" t="s">
        <v>55420</v>
      </c>
      <c r="O3938" s="5" t="str">
        <v>2460237901</v>
      </c>
      <c r="P3938" s="27">
        <v>1591491000</v>
      </c>
      <c r="Q3938" s="5" t="s">
        <v>55421</v>
      </c>
      <c r="R3938" s="5" t="s">
        <v>50005</v>
      </c>
      <c r="S3938" s="5" t="s">
        <v>50205</v>
      </c>
      <c r="T3938" s="28">
        <v>6911040000</v>
      </c>
      <c r="U3938" s="28"/>
      <c r="V3938" s="28">
        <v>734928000</v>
      </c>
      <c r="W3938" s="28"/>
      <c r="X3938" s="28">
        <v>3008000</v>
      </c>
      <c r="Y3938" s="28">
        <v>8165727000</v>
      </c>
      <c r="Z3938" s="28">
        <v>2240126000</v>
      </c>
      <c r="AA3938" s="28"/>
      <c r="AB3938" s="28">
        <v>2027889000</v>
      </c>
      <c r="AC3938" s="28">
        <v>3254338000</v>
      </c>
      <c r="AD3938" s="28">
        <v>3911192000</v>
      </c>
      <c r="AE3938" s="28">
        <v>11498051000</v>
      </c>
      <c r="AF3938" s="28">
        <v>2017429000</v>
      </c>
      <c r="AG3938" s="11"/>
    </row>
    <row r="3939">
      <c r="A3939" s="7" t="s">
        <v>5594</v>
      </c>
      <c r="B3939" s="5" t="s">
        <v>13550</v>
      </c>
      <c r="C3939" s="5" t="s">
        <v>21333</v>
      </c>
      <c r="D3939" s="5" t="str">
        <v>245601514434</v>
      </c>
      <c r="E3939" s="0" t="e">
        <f>+7 (39151) 93432
+7 (39151) 38300
+7 (39155) 32929
+7 (39155) 93153
+7 (39155) 93233
+7 (39155) 93263
+7 (39155) 93280
+7 (39155) 93331
+7 (39155) 93352
+7 (39155) 93353
+7 (39155) 93431
+7 (39155) 93432
+7 (39155) 93469
+7 (39155) 93500
+7 (923) 2845424</f>
        <v>#NAME?</v>
      </c>
      <c r="F3939" s="5" t="s">
        <v>37157</v>
      </c>
      <c r="G3939" s="5" t="s">
        <v>37158</v>
      </c>
      <c r="H3939" s="26">
        <v>30.5</v>
      </c>
      <c r="I3939" s="5"/>
      <c r="J3939" s="5" t="s">
        <v>25901</v>
      </c>
      <c r="K3939" s="5" t="s">
        <v>355</v>
      </c>
      <c r="L3939" s="5"/>
      <c r="M3939" s="27">
        <v>5151986</v>
      </c>
      <c r="N3939" s="5" t="s">
        <v>55422</v>
      </c>
      <c r="O3939" s="5" t="str">
        <v>2427000415</v>
      </c>
      <c r="P3939" s="27">
        <v>27000</v>
      </c>
      <c r="Q3939" s="5" t="s">
        <v>55423</v>
      </c>
      <c r="R3939" s="5"/>
      <c r="S3939" s="5" t="s">
        <v>49085</v>
      </c>
      <c r="T3939" s="28">
        <v>3747844000</v>
      </c>
      <c r="U3939" s="28">
        <v>50223000</v>
      </c>
      <c r="V3939" s="28">
        <v>3270361000</v>
      </c>
      <c r="W3939" s="28">
        <v>40000000</v>
      </c>
      <c r="X3939" s="28">
        <v>31375000</v>
      </c>
      <c r="Y3939" s="28">
        <v>12173650000</v>
      </c>
      <c r="Z3939" s="28">
        <v>9818391000</v>
      </c>
      <c r="AA3939" s="28">
        <v>150000000</v>
      </c>
      <c r="AB3939" s="28">
        <v>1570240000</v>
      </c>
      <c r="AC3939" s="28">
        <v>2074307000</v>
      </c>
      <c r="AD3939" s="28">
        <v>9949343000</v>
      </c>
      <c r="AE3939" s="28">
        <v>5001755000</v>
      </c>
      <c r="AF3939" s="28">
        <v>100945000</v>
      </c>
      <c r="AG3939" s="11"/>
    </row>
    <row r="3940">
      <c r="A3940" s="7" t="s">
        <v>5595</v>
      </c>
      <c r="B3940" s="5" t="s">
        <v>13551</v>
      </c>
      <c r="C3940" s="5" t="s">
        <v>21334</v>
      </c>
      <c r="D3940" s="5" t="str">
        <v>780226791604</v>
      </c>
      <c r="E3940" s="0" t="e">
        <f>+7 (495) 9267250
+7 (495) 9267252
+7 (495) 9267251</f>
        <v>#NAME?</v>
      </c>
      <c r="F3940" s="5"/>
      <c r="G3940" s="5" t="s">
        <v>37159</v>
      </c>
      <c r="H3940" s="26">
        <v>20</v>
      </c>
      <c r="I3940" s="5" t="s">
        <v>37160</v>
      </c>
      <c r="J3940" s="5" t="s">
        <v>37161</v>
      </c>
      <c r="K3940" s="5" t="s">
        <v>355</v>
      </c>
      <c r="L3940" s="5" t="s">
        <v>37162</v>
      </c>
      <c r="M3940" s="27"/>
      <c r="N3940" s="5"/>
      <c r="O3940" s="5" t="str">
        <v>7702345288</v>
      </c>
      <c r="P3940" s="27">
        <v>13000599</v>
      </c>
      <c r="Q3940" s="5" t="s">
        <v>49009</v>
      </c>
      <c r="R3940" s="5"/>
      <c r="S3940" s="5" t="s">
        <v>49010</v>
      </c>
      <c r="T3940" s="28">
        <v>32995000</v>
      </c>
      <c r="U3940" s="28">
        <v>250000000</v>
      </c>
      <c r="V3940" s="28">
        <v>1074368000</v>
      </c>
      <c r="W3940" s="28"/>
      <c r="X3940" s="28">
        <v>399267000</v>
      </c>
      <c r="Y3940" s="28">
        <v>1780954000</v>
      </c>
      <c r="Z3940" s="28">
        <v>1639117000</v>
      </c>
      <c r="AA3940" s="28"/>
      <c r="AB3940" s="28"/>
      <c r="AC3940" s="28">
        <v>129358000</v>
      </c>
      <c r="AD3940" s="28">
        <v>1651596000</v>
      </c>
      <c r="AE3940" s="28">
        <v>4448433000</v>
      </c>
      <c r="AF3940" s="28">
        <v>-1550285000</v>
      </c>
      <c r="AG3940" s="11"/>
    </row>
    <row r="3941">
      <c r="A3941" s="7" t="s">
        <v>5596</v>
      </c>
      <c r="B3941" s="5" t="s">
        <v>13552</v>
      </c>
      <c r="C3941" s="5" t="s">
        <v>21335</v>
      </c>
      <c r="D3941" s="5" t="str">
        <v>772906220309</v>
      </c>
      <c r="E3941" s="0" t="e">
        <f>+7 (495) 6440777</f>
        <v>#NAME?</v>
      </c>
      <c r="F3941" s="5" t="s">
        <v>37163</v>
      </c>
      <c r="G3941" s="5"/>
      <c r="H3941" s="26">
        <v>16</v>
      </c>
      <c r="I3941" s="5"/>
      <c r="J3941" s="5" t="s">
        <v>25484</v>
      </c>
      <c r="K3941" s="5" t="s">
        <v>344</v>
      </c>
      <c r="L3941" s="5"/>
      <c r="M3941" s="27"/>
      <c r="N3941" s="5"/>
      <c r="O3941" s="5" t="str">
        <v>5009056102</v>
      </c>
      <c r="P3941" s="27">
        <v>10000</v>
      </c>
      <c r="Q3941" s="5" t="s">
        <v>49009</v>
      </c>
      <c r="R3941" s="5"/>
      <c r="S3941" s="5" t="s">
        <v>49010</v>
      </c>
      <c r="T3941" s="28">
        <v>6383546000</v>
      </c>
      <c r="U3941" s="28">
        <v>422025000</v>
      </c>
      <c r="V3941" s="28">
        <v>661674000</v>
      </c>
      <c r="W3941" s="28">
        <v>1249000000</v>
      </c>
      <c r="X3941" s="28">
        <v>5991000</v>
      </c>
      <c r="Y3941" s="28">
        <v>11087834000</v>
      </c>
      <c r="Z3941" s="28">
        <v>-9462733000</v>
      </c>
      <c r="AA3941" s="28">
        <v>17218783000</v>
      </c>
      <c r="AB3941" s="28">
        <v>1550677000</v>
      </c>
      <c r="AC3941" s="28">
        <v>2537571000</v>
      </c>
      <c r="AD3941" s="28">
        <v>-9462723000</v>
      </c>
      <c r="AE3941" s="28">
        <v>3197090000</v>
      </c>
      <c r="AF3941" s="28">
        <v>2124023000</v>
      </c>
      <c r="AG3941" s="11"/>
    </row>
    <row r="3942">
      <c r="A3942" s="7" t="s">
        <v>5597</v>
      </c>
      <c r="B3942" s="5" t="s">
        <v>13553</v>
      </c>
      <c r="C3942" s="5" t="s">
        <v>21336</v>
      </c>
      <c r="D3942" s="5" t="str">
        <v>502708716423</v>
      </c>
      <c r="E3942" s="0" t="e">
        <f>+7 (499) 1165621
+7 (3412) 799792
+7 (3472) 464357
+7 (3512) 251993
+7 (3512) 251994
+7 (35323) 70573
+7 (391) 2025544
+7 (3952) 649933
+7 (472) 2783164
+7 (473) 3003648
+7 (492) 2601191
+7 (8332) 731100
+7 (8422) 320432
+7 (844) 2419923
+7 (8452) 750505</f>
        <v>#NAME?</v>
      </c>
      <c r="F3942" s="5" t="s">
        <v>37164</v>
      </c>
      <c r="G3942" s="5" t="s">
        <v>37165</v>
      </c>
      <c r="H3942" s="26">
        <v>12.5</v>
      </c>
      <c r="I3942" s="5" t="s">
        <v>37166</v>
      </c>
      <c r="J3942" s="5" t="s">
        <v>26173</v>
      </c>
      <c r="K3942" s="5" t="s">
        <v>344</v>
      </c>
      <c r="L3942" s="5" t="s">
        <v>37167</v>
      </c>
      <c r="M3942" s="27"/>
      <c r="N3942" s="5" t="s">
        <v>55424</v>
      </c>
      <c r="O3942" s="5" t="str">
        <v>7710868997</v>
      </c>
      <c r="P3942" s="27">
        <v>33020000</v>
      </c>
      <c r="Q3942" s="5" t="s">
        <v>55425</v>
      </c>
      <c r="R3942" s="5"/>
      <c r="S3942" s="5" t="s">
        <v>51870</v>
      </c>
      <c r="T3942" s="28">
        <v>57544000</v>
      </c>
      <c r="U3942" s="28"/>
      <c r="V3942" s="28">
        <v>531602000</v>
      </c>
      <c r="W3942" s="28">
        <v>63200000</v>
      </c>
      <c r="X3942" s="28">
        <v>29519000</v>
      </c>
      <c r="Y3942" s="28">
        <v>2503999000</v>
      </c>
      <c r="Z3942" s="28">
        <v>1010915000</v>
      </c>
      <c r="AA3942" s="28">
        <v>600000000</v>
      </c>
      <c r="AB3942" s="28">
        <v>330019000</v>
      </c>
      <c r="AC3942" s="28">
        <v>810920000</v>
      </c>
      <c r="AD3942" s="28">
        <v>1043935000</v>
      </c>
      <c r="AE3942" s="28">
        <v>3652293000</v>
      </c>
      <c r="AF3942" s="28">
        <v>276023000</v>
      </c>
      <c r="AG3942" s="11"/>
    </row>
    <row r="3943">
      <c r="A3943" s="7" t="s">
        <v>5598</v>
      </c>
      <c r="B3943" s="5" t="s">
        <v>13554</v>
      </c>
      <c r="C3943" s="5" t="s">
        <v>21337</v>
      </c>
      <c r="D3943" s="5" t="str">
        <v>770400912735</v>
      </c>
      <c r="E3943" s="0" t="e">
        <f>+7 (83354) 64300
+7 (83354) 64325
+7 (83354) 64398
+7 (495) 2482677
+7 (903) 7297750
+7 (495) 6482687</f>
        <v>#NAME?</v>
      </c>
      <c r="F3943" s="5" t="s">
        <v>37168</v>
      </c>
      <c r="G3943" s="5" t="s">
        <v>37169</v>
      </c>
      <c r="H3943" s="26">
        <v>12</v>
      </c>
      <c r="I3943" s="5" t="s">
        <v>37170</v>
      </c>
      <c r="J3943" s="5" t="s">
        <v>27316</v>
      </c>
      <c r="K3943" s="5" t="s">
        <v>344</v>
      </c>
      <c r="L3943" s="5" t="s">
        <v>37171</v>
      </c>
      <c r="M3943" s="27"/>
      <c r="N3943" s="5" t="s">
        <v>55426</v>
      </c>
      <c r="O3943" s="5" t="str">
        <v>7701917006</v>
      </c>
      <c r="P3943" s="27">
        <v>1704600000</v>
      </c>
      <c r="Q3943" s="5" t="s">
        <v>55427</v>
      </c>
      <c r="R3943" s="5"/>
      <c r="S3943" s="5" t="s">
        <v>55428</v>
      </c>
      <c r="T3943" s="28">
        <v>2855773000</v>
      </c>
      <c r="U3943" s="28">
        <v>51493000</v>
      </c>
      <c r="V3943" s="28">
        <v>6912581000</v>
      </c>
      <c r="W3943" s="28"/>
      <c r="X3943" s="28">
        <v>1042252000</v>
      </c>
      <c r="Y3943" s="28">
        <v>16600300000</v>
      </c>
      <c r="Z3943" s="28">
        <v>4251696000</v>
      </c>
      <c r="AA3943" s="28"/>
      <c r="AB3943" s="28">
        <v>2355397000</v>
      </c>
      <c r="AC3943" s="28">
        <v>8244774000</v>
      </c>
      <c r="AD3943" s="28">
        <v>7841510000</v>
      </c>
      <c r="AE3943" s="28">
        <v>18908649000</v>
      </c>
      <c r="AF3943" s="28">
        <v>2469948000</v>
      </c>
      <c r="AG3943" s="11"/>
    </row>
    <row r="3944">
      <c r="A3944" s="7" t="s">
        <v>5599</v>
      </c>
      <c r="B3944" s="5" t="s">
        <v>13555</v>
      </c>
      <c r="C3944" s="5" t="s">
        <v>21338</v>
      </c>
      <c r="D3944" s="5" t="str">
        <v>691100276270</v>
      </c>
      <c r="E3944" s="0" t="e">
        <f>+7 (499) 5536569
+7 (499) 9950465
+7 (926) 2117400</f>
        <v>#NAME?</v>
      </c>
      <c r="F3944" s="5" t="s">
        <v>37172</v>
      </c>
      <c r="G3944" s="5" t="s">
        <v>37173</v>
      </c>
      <c r="H3944" s="26">
        <v>7.5</v>
      </c>
      <c r="I3944" s="5" t="s">
        <v>37174</v>
      </c>
      <c r="J3944" s="5" t="s">
        <v>678</v>
      </c>
      <c r="K3944" s="5" t="s">
        <v>344</v>
      </c>
      <c r="L3944" s="5" t="s">
        <v>37175</v>
      </c>
      <c r="M3944" s="27"/>
      <c r="N3944" s="5"/>
      <c r="O3944" s="5" t="str">
        <v>5048035353</v>
      </c>
      <c r="P3944" s="27">
        <v>100000</v>
      </c>
      <c r="Q3944" s="5"/>
      <c r="R3944" s="5"/>
      <c r="S3944" s="5" t="s">
        <v>55429</v>
      </c>
      <c r="T3944" s="28">
        <v>3924000</v>
      </c>
      <c r="U3944" s="28"/>
      <c r="V3944" s="28">
        <v>294375000</v>
      </c>
      <c r="W3944" s="28">
        <v>32800000</v>
      </c>
      <c r="X3944" s="28">
        <v>42570000</v>
      </c>
      <c r="Y3944" s="28">
        <v>520614000</v>
      </c>
      <c r="Z3944" s="28">
        <v>114981000</v>
      </c>
      <c r="AA3944" s="28"/>
      <c r="AB3944" s="28">
        <v>27292000</v>
      </c>
      <c r="AC3944" s="28">
        <v>404807000</v>
      </c>
      <c r="AD3944" s="28">
        <v>115081000</v>
      </c>
      <c r="AE3944" s="28">
        <v>3433570000</v>
      </c>
      <c r="AF3944" s="28">
        <v>129143000</v>
      </c>
      <c r="AG3944" s="11"/>
    </row>
    <row r="3945">
      <c r="A3945" s="7" t="s">
        <v>5600</v>
      </c>
      <c r="B3945" s="5" t="s">
        <v>13556</v>
      </c>
      <c r="C3945" s="5" t="s">
        <v>21339</v>
      </c>
      <c r="D3945" s="5" t="str">
        <v>616608222931</v>
      </c>
      <c r="E3945" s="0" t="e">
        <f>+7 (495) 9567937
+7 (861) 2191005
+7 (863) 3220428
+7 (8632) 161005
+7 (8632) 165232
+7 (8632) 191015
+7 (8632) 191087
+7 (8632) 242526
+7 (8632) 320745
+7 (8632) 421147
+7 (863) 8191005
+7 (8632) 101005
+7 (8632) 191001
+7 (8632) 191050
+7 (8632) 191065</f>
        <v>#NAME?</v>
      </c>
      <c r="F3945" s="5" t="s">
        <v>37176</v>
      </c>
      <c r="G3945" s="5"/>
      <c r="H3945" s="26">
        <v>9</v>
      </c>
      <c r="I3945" s="5" t="s">
        <v>37177</v>
      </c>
      <c r="J3945" s="5" t="s">
        <v>25429</v>
      </c>
      <c r="K3945" s="5" t="s">
        <v>344</v>
      </c>
      <c r="L3945" s="5" t="s">
        <v>37178</v>
      </c>
      <c r="M3945" s="27"/>
      <c r="N3945" s="5" t="s">
        <v>55430</v>
      </c>
      <c r="O3945" s="5" t="str">
        <v>6161070578</v>
      </c>
      <c r="P3945" s="27">
        <v>10000</v>
      </c>
      <c r="Q3945" s="5" t="s">
        <v>55431</v>
      </c>
      <c r="R3945" s="5"/>
      <c r="S3945" s="5" t="s">
        <v>55432</v>
      </c>
      <c r="T3945" s="28">
        <v>5851000</v>
      </c>
      <c r="U3945" s="28"/>
      <c r="V3945" s="28">
        <v>1014783000</v>
      </c>
      <c r="W3945" s="28">
        <v>64000</v>
      </c>
      <c r="X3945" s="28">
        <v>6307000</v>
      </c>
      <c r="Y3945" s="28">
        <v>1087043000</v>
      </c>
      <c r="Z3945" s="28">
        <v>220215000</v>
      </c>
      <c r="AA3945" s="28"/>
      <c r="AB3945" s="28"/>
      <c r="AC3945" s="28">
        <v>859724000</v>
      </c>
      <c r="AD3945" s="28">
        <v>220225000</v>
      </c>
      <c r="AE3945" s="28">
        <v>4485829000</v>
      </c>
      <c r="AF3945" s="28">
        <v>220355000</v>
      </c>
      <c r="AG3945" s="11"/>
    </row>
    <row r="3946">
      <c r="A3946" s="7" t="s">
        <v>5601</v>
      </c>
      <c r="B3946" s="5" t="s">
        <v>13557</v>
      </c>
      <c r="C3946" s="5" t="s">
        <v>21340</v>
      </c>
      <c r="D3946" s="5" t="str">
        <v>780422875160</v>
      </c>
      <c r="E3946" s="0" t="e">
        <f>+7 (812) 6357755
+7 (812) 7402131
+7 (921) 9193600
+7 (951) 7805200</f>
        <v>#NAME?</v>
      </c>
      <c r="F3946" s="5" t="s">
        <v>37179</v>
      </c>
      <c r="G3946" s="5"/>
      <c r="H3946" s="26">
        <v>2.5</v>
      </c>
      <c r="I3946" s="5"/>
      <c r="J3946" s="5" t="s">
        <v>29432</v>
      </c>
      <c r="K3946" s="5" t="s">
        <v>344</v>
      </c>
      <c r="L3946" s="5"/>
      <c r="M3946" s="27">
        <v>25350134</v>
      </c>
      <c r="N3946" s="5" t="s">
        <v>55433</v>
      </c>
      <c r="O3946" s="5" t="str">
        <v>7810904590</v>
      </c>
      <c r="P3946" s="27">
        <v>100000</v>
      </c>
      <c r="Q3946" s="5" t="s">
        <v>55435</v>
      </c>
      <c r="R3946" s="5"/>
      <c r="S3946" s="5" t="s">
        <v>55436</v>
      </c>
      <c r="T3946" s="28">
        <v>1052385000</v>
      </c>
      <c r="U3946" s="28"/>
      <c r="V3946" s="28">
        <v>6480804000</v>
      </c>
      <c r="W3946" s="28"/>
      <c r="X3946" s="28">
        <v>18853054000</v>
      </c>
      <c r="Y3946" s="28">
        <v>27940059000</v>
      </c>
      <c r="Z3946" s="28">
        <v>-5881859000</v>
      </c>
      <c r="AA3946" s="28"/>
      <c r="AB3946" s="28">
        <v>1513495000</v>
      </c>
      <c r="AC3946" s="28">
        <v>12580555000</v>
      </c>
      <c r="AD3946" s="28">
        <v>15349930000</v>
      </c>
      <c r="AE3946" s="28">
        <v>7668628000</v>
      </c>
      <c r="AF3946" s="28">
        <v>-4849714000</v>
      </c>
      <c r="AG3946" s="11"/>
    </row>
    <row r="3947">
      <c r="A3947" s="7" t="s">
        <v>5602</v>
      </c>
      <c r="B3947" s="5" t="s">
        <v>13558</v>
      </c>
      <c r="C3947" s="5" t="s">
        <v>21341</v>
      </c>
      <c r="D3947" s="5" t="str">
        <v>911114611334</v>
      </c>
      <c r="E3947" s="0" t="e">
        <f>+7 (495) 6096620
+7 (499) 2571978
+7 (499) 2573750
+7 (499) 2573815
+7 (903) 7116816</f>
        <v>#NAME?</v>
      </c>
      <c r="F3947" s="5" t="s">
        <v>37180</v>
      </c>
      <c r="G3947" s="5" t="s">
        <v>37181</v>
      </c>
      <c r="H3947" s="26">
        <v>15</v>
      </c>
      <c r="I3947" s="5" t="s">
        <v>37182</v>
      </c>
      <c r="J3947" s="5" t="s">
        <v>33319</v>
      </c>
      <c r="K3947" s="5" t="s">
        <v>355</v>
      </c>
      <c r="L3947" s="5"/>
      <c r="M3947" s="27">
        <v>53628187</v>
      </c>
      <c r="N3947" s="5"/>
      <c r="O3947" s="5" t="str">
        <v>7724650447</v>
      </c>
      <c r="P3947" s="27">
        <v>333000272</v>
      </c>
      <c r="Q3947" s="5"/>
      <c r="R3947" s="5"/>
      <c r="S3947" s="5" t="s">
        <v>49110</v>
      </c>
      <c r="T3947" s="28">
        <v>189893000</v>
      </c>
      <c r="U3947" s="28">
        <v>395551000</v>
      </c>
      <c r="V3947" s="28">
        <v>2385996000</v>
      </c>
      <c r="W3947" s="28">
        <v>10570000</v>
      </c>
      <c r="X3947" s="28">
        <v>14277000</v>
      </c>
      <c r="Y3947" s="28">
        <v>4366898000</v>
      </c>
      <c r="Z3947" s="28">
        <v>101659000</v>
      </c>
      <c r="AA3947" s="28"/>
      <c r="AB3947" s="28">
        <v>308721000</v>
      </c>
      <c r="AC3947" s="28">
        <v>3792556000</v>
      </c>
      <c r="AD3947" s="28">
        <v>434659000</v>
      </c>
      <c r="AE3947" s="28">
        <v>10555395000</v>
      </c>
      <c r="AF3947" s="28">
        <v>25915000</v>
      </c>
      <c r="AG3947" s="11"/>
    </row>
    <row r="3948">
      <c r="A3948" s="7" t="s">
        <v>5603</v>
      </c>
      <c r="B3948" s="5" t="s">
        <v>13559</v>
      </c>
      <c r="C3948" s="5" t="s">
        <v>18227</v>
      </c>
      <c r="D3948" s="5" t="str">
        <v>781129299928</v>
      </c>
      <c r="E3948" s="0" t="e">
        <f>+7 (812) 3466000
+7 (812) 3466006
+7 (812) 7037802
+7 (812) 3466001
+7 (812) 3466004
+7 (812) 3466010</f>
        <v>#NAME?</v>
      </c>
      <c r="F3948" s="5" t="s">
        <v>37183</v>
      </c>
      <c r="G3948" s="5" t="s">
        <v>37184</v>
      </c>
      <c r="H3948" s="26">
        <v>15.5</v>
      </c>
      <c r="I3948" s="5" t="s">
        <v>37185</v>
      </c>
      <c r="J3948" s="5" t="s">
        <v>27497</v>
      </c>
      <c r="K3948" s="5" t="s">
        <v>344</v>
      </c>
      <c r="L3948" s="5" t="s">
        <v>37186</v>
      </c>
      <c r="M3948" s="27"/>
      <c r="N3948" s="5"/>
      <c r="O3948" s="5" t="str">
        <v>7813382535</v>
      </c>
      <c r="P3948" s="27">
        <v>134422397</v>
      </c>
      <c r="Q3948" s="5" t="s">
        <v>49009</v>
      </c>
      <c r="R3948" s="5"/>
      <c r="S3948" s="5" t="s">
        <v>49066</v>
      </c>
      <c r="T3948" s="28">
        <v>518593000</v>
      </c>
      <c r="U3948" s="28"/>
      <c r="V3948" s="28">
        <v>1283606000</v>
      </c>
      <c r="W3948" s="28"/>
      <c r="X3948" s="28">
        <v>1327000</v>
      </c>
      <c r="Y3948" s="28">
        <v>2181589000</v>
      </c>
      <c r="Z3948" s="28">
        <v>544187000</v>
      </c>
      <c r="AA3948" s="28"/>
      <c r="AB3948" s="28"/>
      <c r="AC3948" s="28">
        <v>389231000</v>
      </c>
      <c r="AD3948" s="28">
        <v>1723666000</v>
      </c>
      <c r="AE3948" s="28">
        <v>4693078000</v>
      </c>
      <c r="AF3948" s="28">
        <v>280265000</v>
      </c>
      <c r="AG3948" s="11"/>
    </row>
    <row r="3949">
      <c r="A3949" s="7" t="s">
        <v>5604</v>
      </c>
      <c r="B3949" s="5" t="s">
        <v>13560</v>
      </c>
      <c r="C3949" s="5" t="s">
        <v>21342</v>
      </c>
      <c r="D3949" s="5" t="str">
        <v>772014189988</v>
      </c>
      <c r="E3949" s="0" t="e">
        <f>+7 (495) 2282828
+7 (495) 2150544
+7 (495) 6922084
+7 (495) 6925848
+7 (495) 8705842
+7 (495) 9890599
+7 (499) 5004000
+7 (800) 2344300
+7 (812) 6333466</f>
        <v>#NAME?</v>
      </c>
      <c r="F3949" s="5"/>
      <c r="G3949" s="5" t="s">
        <v>37187</v>
      </c>
      <c r="H3949" s="26">
        <v>15.5</v>
      </c>
      <c r="I3949" s="5" t="s">
        <v>37188</v>
      </c>
      <c r="J3949" s="5" t="s">
        <v>34752</v>
      </c>
      <c r="K3949" s="5" t="s">
        <v>344</v>
      </c>
      <c r="L3949" s="5"/>
      <c r="M3949" s="27">
        <v>9844563</v>
      </c>
      <c r="N3949" s="5" t="s">
        <v>55437</v>
      </c>
      <c r="O3949" s="5" t="str">
        <v>7727615970</v>
      </c>
      <c r="P3949" s="27">
        <v>10000</v>
      </c>
      <c r="Q3949" s="5" t="s">
        <v>49009</v>
      </c>
      <c r="R3949" s="5"/>
      <c r="S3949" s="5" t="s">
        <v>49581</v>
      </c>
      <c r="T3949" s="28">
        <v>611985000</v>
      </c>
      <c r="U3949" s="28">
        <v>14000</v>
      </c>
      <c r="V3949" s="28">
        <v>2913750000</v>
      </c>
      <c r="W3949" s="28">
        <v>1098755000</v>
      </c>
      <c r="X3949" s="28">
        <v>47398000</v>
      </c>
      <c r="Y3949" s="28">
        <v>5113312000</v>
      </c>
      <c r="Z3949" s="28">
        <v>2060160000</v>
      </c>
      <c r="AA3949" s="28">
        <v>302621000</v>
      </c>
      <c r="AB3949" s="28">
        <v>19982000</v>
      </c>
      <c r="AC3949" s="28">
        <v>2072585000</v>
      </c>
      <c r="AD3949" s="28">
        <v>2060170000</v>
      </c>
      <c r="AE3949" s="28">
        <v>5111140000</v>
      </c>
      <c r="AF3949" s="28">
        <v>398937000</v>
      </c>
      <c r="AG3949" s="11"/>
    </row>
    <row r="3950">
      <c r="A3950" s="7" t="s">
        <v>5605</v>
      </c>
      <c r="B3950" s="5" t="s">
        <v>13561</v>
      </c>
      <c r="C3950" s="5" t="s">
        <v>21343</v>
      </c>
      <c r="D3950" s="5" t="str">
        <v>614305959916</v>
      </c>
      <c r="E3950" s="0" t="e">
        <f>+7 (8639) 266695
+7 (8632) 233176
+7 (8632) 233180
+7 (8634) 640648
+7 (8634) 643336
+7 (8634) 646760</f>
        <v>#NAME?</v>
      </c>
      <c r="F3950" s="5"/>
      <c r="G3950" s="5" t="s">
        <v>37189</v>
      </c>
      <c r="H3950" s="26">
        <v>18</v>
      </c>
      <c r="I3950" s="5"/>
      <c r="J3950" s="5" t="s">
        <v>28328</v>
      </c>
      <c r="K3950" s="5" t="s">
        <v>344</v>
      </c>
      <c r="L3950" s="5" t="s">
        <v>37190</v>
      </c>
      <c r="M3950" s="27"/>
      <c r="N3950" s="5" t="s">
        <v>55438</v>
      </c>
      <c r="O3950" s="5" t="str">
        <v>6143058120</v>
      </c>
      <c r="P3950" s="27">
        <v>1200000</v>
      </c>
      <c r="Q3950" s="5" t="s">
        <v>55439</v>
      </c>
      <c r="R3950" s="5"/>
      <c r="S3950" s="5" t="s">
        <v>55440</v>
      </c>
      <c r="T3950" s="28">
        <v>10608000</v>
      </c>
      <c r="U3950" s="28"/>
      <c r="V3950" s="28">
        <v>1495058000</v>
      </c>
      <c r="W3950" s="28">
        <v>2055000</v>
      </c>
      <c r="X3950" s="28">
        <v>41546000</v>
      </c>
      <c r="Y3950" s="28">
        <v>2028537000</v>
      </c>
      <c r="Z3950" s="28">
        <v>346511000</v>
      </c>
      <c r="AA3950" s="28">
        <v>299748000</v>
      </c>
      <c r="AB3950" s="28"/>
      <c r="AC3950" s="28">
        <v>1380852000</v>
      </c>
      <c r="AD3950" s="28">
        <v>347711000</v>
      </c>
      <c r="AE3950" s="28">
        <v>4081500000</v>
      </c>
      <c r="AF3950" s="28">
        <v>100576000</v>
      </c>
      <c r="AG3950" s="11"/>
    </row>
    <row r="3951">
      <c r="A3951" s="7" t="s">
        <v>5606</v>
      </c>
      <c r="B3951" s="5" t="s">
        <v>13562</v>
      </c>
      <c r="C3951" s="5" t="s">
        <v>21344</v>
      </c>
      <c r="D3951" s="5" t="str">
        <v>027315859514</v>
      </c>
      <c r="E3951" s="0" t="e">
        <f>+7 (495) 7661044</f>
        <v>#NAME?</v>
      </c>
      <c r="F3951" s="5" t="s">
        <v>37191</v>
      </c>
      <c r="G3951" s="5"/>
      <c r="H3951" s="26">
        <v>8.5</v>
      </c>
      <c r="I3951" s="5" t="s">
        <v>37192</v>
      </c>
      <c r="J3951" s="5" t="s">
        <v>25512</v>
      </c>
      <c r="K3951" s="5" t="s">
        <v>344</v>
      </c>
      <c r="L3951" s="5" t="s">
        <v>37193</v>
      </c>
      <c r="M3951" s="27"/>
      <c r="N3951" s="5"/>
      <c r="O3951" s="5" t="str">
        <v>7725845103</v>
      </c>
      <c r="P3951" s="27">
        <v>100000</v>
      </c>
      <c r="Q3951" s="5" t="s">
        <v>49057</v>
      </c>
      <c r="R3951" s="5"/>
      <c r="S3951" s="5" t="s">
        <v>49452</v>
      </c>
      <c r="T3951" s="28">
        <v>3053000</v>
      </c>
      <c r="U3951" s="28"/>
      <c r="V3951" s="28">
        <v>566241000</v>
      </c>
      <c r="W3951" s="28">
        <v>130000000</v>
      </c>
      <c r="X3951" s="28">
        <v>43959000</v>
      </c>
      <c r="Y3951" s="28">
        <v>748782000</v>
      </c>
      <c r="Z3951" s="28">
        <v>699442000</v>
      </c>
      <c r="AA3951" s="28"/>
      <c r="AB3951" s="28"/>
      <c r="AC3951" s="28">
        <v>49240000</v>
      </c>
      <c r="AD3951" s="28">
        <v>699542000</v>
      </c>
      <c r="AE3951" s="28">
        <v>4952339000</v>
      </c>
      <c r="AF3951" s="28">
        <v>525539000</v>
      </c>
      <c r="AG3951" s="11"/>
    </row>
    <row r="3952">
      <c r="A3952" s="7" t="s">
        <v>5607</v>
      </c>
      <c r="B3952" s="5" t="s">
        <v>13563</v>
      </c>
      <c r="C3952" s="5" t="s">
        <v>21345</v>
      </c>
      <c r="D3952" s="5" t="str">
        <v>550409869839</v>
      </c>
      <c r="E3952" s="0" t="e">
        <f>+7 (381) 2383177
+7 (903) 9831919</f>
        <v>#NAME?</v>
      </c>
      <c r="F3952" s="5" t="s">
        <v>37194</v>
      </c>
      <c r="G3952" s="5" t="s">
        <v>37195</v>
      </c>
      <c r="H3952" s="26">
        <v>8</v>
      </c>
      <c r="I3952" s="5" t="s">
        <v>37196</v>
      </c>
      <c r="J3952" s="5" t="s">
        <v>373</v>
      </c>
      <c r="K3952" s="5" t="s">
        <v>355</v>
      </c>
      <c r="L3952" s="5" t="s">
        <v>37197</v>
      </c>
      <c r="M3952" s="27"/>
      <c r="N3952" s="5"/>
      <c r="O3952" s="5" t="str">
        <v>5504102459</v>
      </c>
      <c r="P3952" s="27">
        <v>300000</v>
      </c>
      <c r="Q3952" s="5" t="s">
        <v>49057</v>
      </c>
      <c r="R3952" s="5"/>
      <c r="S3952" s="5" t="s">
        <v>55441</v>
      </c>
      <c r="T3952" s="28">
        <v>13014000</v>
      </c>
      <c r="U3952" s="28"/>
      <c r="V3952" s="28">
        <v>1126623000</v>
      </c>
      <c r="W3952" s="28">
        <v>5000000</v>
      </c>
      <c r="X3952" s="28">
        <v>15862000</v>
      </c>
      <c r="Y3952" s="28">
        <v>1222447000</v>
      </c>
      <c r="Z3952" s="28">
        <v>166516000</v>
      </c>
      <c r="AA3952" s="28">
        <v>44827000</v>
      </c>
      <c r="AB3952" s="28">
        <v>220911000</v>
      </c>
      <c r="AC3952" s="28">
        <v>1003179000</v>
      </c>
      <c r="AD3952" s="28">
        <v>166816000</v>
      </c>
      <c r="AE3952" s="28">
        <v>11279722000</v>
      </c>
      <c r="AF3952" s="28">
        <v>61193000</v>
      </c>
      <c r="AG3952" s="11"/>
    </row>
    <row r="3953">
      <c r="A3953" s="7" t="s">
        <v>5608</v>
      </c>
      <c r="B3953" s="5" t="s">
        <v>13564</v>
      </c>
      <c r="C3953" s="5" t="s">
        <v>21346</v>
      </c>
      <c r="D3953" s="5" t="str">
        <v>502009391740</v>
      </c>
      <c r="E3953" s="0" t="e">
        <f>+7 (495) 6324832
+7 (496) 6324832
+7 (499) 2130945
+7 (915) 2175942</f>
        <v>#NAME?</v>
      </c>
      <c r="F3953" s="5" t="s">
        <v>37198</v>
      </c>
      <c r="G3953" s="5" t="s">
        <v>37199</v>
      </c>
      <c r="H3953" s="26">
        <v>17</v>
      </c>
      <c r="I3953" s="5" t="s">
        <v>37200</v>
      </c>
      <c r="J3953" s="5" t="s">
        <v>25327</v>
      </c>
      <c r="K3953" s="5" t="s">
        <v>344</v>
      </c>
      <c r="L3953" s="5" t="s">
        <v>37201</v>
      </c>
      <c r="M3953" s="27"/>
      <c r="N3953" s="5"/>
      <c r="O3953" s="5" t="str">
        <v>5072722614</v>
      </c>
      <c r="P3953" s="27">
        <v>100000</v>
      </c>
      <c r="Q3953" s="5" t="s">
        <v>49057</v>
      </c>
      <c r="R3953" s="5"/>
      <c r="S3953" s="5" t="s">
        <v>53811</v>
      </c>
      <c r="T3953" s="28"/>
      <c r="U3953" s="28">
        <v>182700000</v>
      </c>
      <c r="V3953" s="28">
        <v>801611000</v>
      </c>
      <c r="W3953" s="28">
        <v>58500000</v>
      </c>
      <c r="X3953" s="28">
        <v>49998000</v>
      </c>
      <c r="Y3953" s="28">
        <v>1122967000</v>
      </c>
      <c r="Z3953" s="28">
        <v>355419000</v>
      </c>
      <c r="AA3953" s="28"/>
      <c r="AB3953" s="28"/>
      <c r="AC3953" s="28">
        <v>767448000</v>
      </c>
      <c r="AD3953" s="28">
        <v>355519000</v>
      </c>
      <c r="AE3953" s="28">
        <v>15557229000</v>
      </c>
      <c r="AF3953" s="28">
        <v>308767000</v>
      </c>
      <c r="AG3953" s="11"/>
    </row>
    <row r="3954">
      <c r="A3954" s="7" t="s">
        <v>5609</v>
      </c>
      <c r="B3954" s="5" t="s">
        <v>13565</v>
      </c>
      <c r="C3954" s="5" t="s">
        <v>21347</v>
      </c>
      <c r="D3954" s="5" t="str">
        <v>544511939968</v>
      </c>
      <c r="E3954" s="0" t="e">
        <f>+7 (925) 4522519
+7 (495) 7742992
+7 (926) 7881306</f>
        <v>#NAME?</v>
      </c>
      <c r="F3954" s="5" t="s">
        <v>37202</v>
      </c>
      <c r="G3954" s="5" t="s">
        <v>37203</v>
      </c>
      <c r="H3954" s="26">
        <v>7</v>
      </c>
      <c r="I3954" s="5" t="s">
        <v>37204</v>
      </c>
      <c r="J3954" s="5" t="s">
        <v>373</v>
      </c>
      <c r="K3954" s="5" t="s">
        <v>344</v>
      </c>
      <c r="L3954" s="5" t="s">
        <v>37205</v>
      </c>
      <c r="M3954" s="27"/>
      <c r="N3954" s="5" t="s">
        <v>55442</v>
      </c>
      <c r="O3954" s="5" t="str">
        <v>9715239467</v>
      </c>
      <c r="P3954" s="27">
        <v>50000</v>
      </c>
      <c r="Q3954" s="5" t="s">
        <v>55443</v>
      </c>
      <c r="R3954" s="5"/>
      <c r="S3954" s="5" t="s">
        <v>55444</v>
      </c>
      <c r="T3954" s="28">
        <v>25234000</v>
      </c>
      <c r="U3954" s="28"/>
      <c r="V3954" s="28">
        <v>2838292000</v>
      </c>
      <c r="W3954" s="28">
        <v>1150000000</v>
      </c>
      <c r="X3954" s="28">
        <v>42788000</v>
      </c>
      <c r="Y3954" s="28">
        <v>5728488000</v>
      </c>
      <c r="Z3954" s="28">
        <v>702034000</v>
      </c>
      <c r="AA3954" s="28">
        <v>1500000000</v>
      </c>
      <c r="AB3954" s="28">
        <v>486038000</v>
      </c>
      <c r="AC3954" s="28">
        <v>3512165000</v>
      </c>
      <c r="AD3954" s="28">
        <v>702084000</v>
      </c>
      <c r="AE3954" s="28">
        <v>50657415000</v>
      </c>
      <c r="AF3954" s="28">
        <v>314879000</v>
      </c>
      <c r="AG3954" s="11"/>
    </row>
    <row r="3955">
      <c r="A3955" s="7" t="s">
        <v>5610</v>
      </c>
      <c r="B3955" s="5" t="s">
        <v>13566</v>
      </c>
      <c r="C3955" s="5" t="s">
        <v>21348</v>
      </c>
      <c r="D3955" s="5" t="str">
        <v>541000188113</v>
      </c>
      <c r="F3955" s="5" t="s">
        <v>37206</v>
      </c>
      <c r="G3955" s="5" t="s">
        <v>37207</v>
      </c>
      <c r="H3955" s="26">
        <v>15</v>
      </c>
      <c r="I3955" s="5" t="s">
        <v>37208</v>
      </c>
      <c r="J3955" s="5" t="s">
        <v>373</v>
      </c>
      <c r="K3955" s="5" t="s">
        <v>344</v>
      </c>
      <c r="L3955" s="5"/>
      <c r="M3955" s="27">
        <v>175500</v>
      </c>
      <c r="N3955" s="5" t="s">
        <v>55445</v>
      </c>
      <c r="O3955" s="5" t="str">
        <v>5404345962</v>
      </c>
      <c r="P3955" s="27">
        <v>10000</v>
      </c>
      <c r="Q3955" s="5" t="s">
        <v>55446</v>
      </c>
      <c r="R3955" s="5"/>
      <c r="S3955" s="5" t="s">
        <v>55447</v>
      </c>
      <c r="T3955" s="28">
        <v>101584000</v>
      </c>
      <c r="U3955" s="28"/>
      <c r="V3955" s="28">
        <v>2447813000</v>
      </c>
      <c r="W3955" s="28">
        <v>30000000</v>
      </c>
      <c r="X3955" s="28">
        <v>26334000</v>
      </c>
      <c r="Y3955" s="28">
        <v>3420185000</v>
      </c>
      <c r="Z3955" s="28">
        <v>367142000</v>
      </c>
      <c r="AA3955" s="28">
        <v>2080818000</v>
      </c>
      <c r="AB3955" s="28">
        <v>441806000</v>
      </c>
      <c r="AC3955" s="28">
        <v>957816000</v>
      </c>
      <c r="AD3955" s="28">
        <v>367403000</v>
      </c>
      <c r="AE3955" s="28">
        <v>9721246000</v>
      </c>
      <c r="AF3955" s="28">
        <v>106849000</v>
      </c>
      <c r="AG3955" s="11"/>
    </row>
    <row r="3956">
      <c r="A3956" s="7" t="s">
        <v>5611</v>
      </c>
      <c r="B3956" s="5" t="s">
        <v>13567</v>
      </c>
      <c r="C3956" s="5" t="s">
        <v>21349</v>
      </c>
      <c r="D3956" s="5" t="str">
        <v>772203228110</v>
      </c>
      <c r="E3956" s="0" t="e">
        <f>+7 (906) 334608
+7 (495) 2582759
+7 (915) 1544571</f>
        <v>#NAME?</v>
      </c>
      <c r="F3956" s="5"/>
      <c r="G3956" s="5"/>
      <c r="H3956" s="26">
        <v>15.5</v>
      </c>
      <c r="I3956" s="5" t="s">
        <v>37209</v>
      </c>
      <c r="J3956" s="5" t="s">
        <v>599</v>
      </c>
      <c r="K3956" s="5" t="s">
        <v>344</v>
      </c>
      <c r="L3956" s="5" t="s">
        <v>37210</v>
      </c>
      <c r="M3956" s="27">
        <v>7442606</v>
      </c>
      <c r="N3956" s="5" t="s">
        <v>55448</v>
      </c>
      <c r="O3956" s="5" t="str">
        <v>7707639901</v>
      </c>
      <c r="P3956" s="27">
        <v>1010000</v>
      </c>
      <c r="Q3956" s="5" t="s">
        <v>49207</v>
      </c>
      <c r="R3956" s="5"/>
      <c r="S3956" s="5" t="s">
        <v>55449</v>
      </c>
      <c r="T3956" s="28">
        <v>7760000</v>
      </c>
      <c r="U3956" s="28"/>
      <c r="V3956" s="28">
        <v>250593000</v>
      </c>
      <c r="W3956" s="28"/>
      <c r="X3956" s="28">
        <v>110538000</v>
      </c>
      <c r="Y3956" s="28">
        <v>375197000</v>
      </c>
      <c r="Z3956" s="28">
        <v>74104000</v>
      </c>
      <c r="AA3956" s="28">
        <v>52328000</v>
      </c>
      <c r="AB3956" s="28"/>
      <c r="AC3956" s="28">
        <v>244529000</v>
      </c>
      <c r="AD3956" s="28">
        <v>75114000</v>
      </c>
      <c r="AE3956" s="28">
        <v>3050911000</v>
      </c>
      <c r="AF3956" s="28">
        <v>10604000</v>
      </c>
      <c r="AG3956" s="11"/>
    </row>
    <row r="3957">
      <c r="A3957" s="7" t="s">
        <v>5612</v>
      </c>
      <c r="B3957" s="5" t="s">
        <v>13568</v>
      </c>
      <c r="C3957" s="5" t="s">
        <v>21350</v>
      </c>
      <c r="D3957" s="5"/>
      <c r="E3957" s="0" t="e">
        <f>+7 (495) 6458401
+7 (909) 909009</f>
        <v>#NAME?</v>
      </c>
      <c r="F3957" s="5"/>
      <c r="G3957" s="5" t="s">
        <v>37211</v>
      </c>
      <c r="H3957" s="26">
        <v>8</v>
      </c>
      <c r="I3957" s="5" t="s">
        <v>37212</v>
      </c>
      <c r="J3957" s="5" t="s">
        <v>955</v>
      </c>
      <c r="K3957" s="5" t="s">
        <v>344</v>
      </c>
      <c r="L3957" s="5" t="s">
        <v>37213</v>
      </c>
      <c r="M3957" s="27">
        <v>38999</v>
      </c>
      <c r="N3957" s="5"/>
      <c r="O3957" s="5" t="str">
        <v>7703824188</v>
      </c>
      <c r="P3957" s="27">
        <v>2000000</v>
      </c>
      <c r="Q3957" s="5" t="s">
        <v>55450</v>
      </c>
      <c r="R3957" s="5"/>
      <c r="S3957" s="5" t="s">
        <v>55451</v>
      </c>
      <c r="T3957" s="28">
        <v>16030000</v>
      </c>
      <c r="U3957" s="28"/>
      <c r="V3957" s="28">
        <v>99373000</v>
      </c>
      <c r="W3957" s="28"/>
      <c r="X3957" s="28">
        <v>271874000</v>
      </c>
      <c r="Y3957" s="28">
        <v>1070784000</v>
      </c>
      <c r="Z3957" s="28">
        <v>622967000</v>
      </c>
      <c r="AA3957" s="28"/>
      <c r="AB3957" s="28">
        <v>12953000</v>
      </c>
      <c r="AC3957" s="28">
        <v>424494000</v>
      </c>
      <c r="AD3957" s="28">
        <v>625267000</v>
      </c>
      <c r="AE3957" s="28">
        <v>3283679000</v>
      </c>
      <c r="AF3957" s="28">
        <v>108322000</v>
      </c>
      <c r="AG3957" s="11"/>
    </row>
    <row r="3958">
      <c r="A3958" s="7" t="s">
        <v>5613</v>
      </c>
      <c r="B3958" s="5" t="s">
        <v>13569</v>
      </c>
      <c r="C3958" s="5" t="s">
        <v>21351</v>
      </c>
      <c r="D3958" s="5" t="str">
        <v>773171141000</v>
      </c>
      <c r="E3958" s="0" t="e">
        <f>+7 (42366) 19505
+7 (42366) 19508
+7 (42366) 19509
+7 (42366) 19517
+7 (42366) 19532
+7 (42366) 19559
+7 (42366) 19562
+7 (42366) 19659
+7 (42366) 19660
+7 (42366) 19666
+7 (42366) 19670
+7 (42366) 19700
+7 (42366) 19704
+7 (42366) 19709
+7 (42366) 19724</f>
        <v>#NAME?</v>
      </c>
      <c r="F3958" s="5" t="s">
        <v>37214</v>
      </c>
      <c r="G3958" s="5" t="s">
        <v>37215</v>
      </c>
      <c r="H3958" s="26">
        <v>30.5</v>
      </c>
      <c r="I3958" s="5"/>
      <c r="J3958" s="5" t="s">
        <v>26180</v>
      </c>
      <c r="K3958" s="5" t="s">
        <v>344</v>
      </c>
      <c r="L3958" s="5" t="s">
        <v>37216</v>
      </c>
      <c r="M3958" s="27">
        <v>2451092</v>
      </c>
      <c r="N3958" s="5" t="s">
        <v>55452</v>
      </c>
      <c r="O3958" s="5" t="str">
        <v>2508001449</v>
      </c>
      <c r="P3958" s="27">
        <v>448668840</v>
      </c>
      <c r="Q3958" s="5" t="s">
        <v>55454</v>
      </c>
      <c r="R3958" s="5"/>
      <c r="S3958" s="5" t="s">
        <v>51627</v>
      </c>
      <c r="T3958" s="28">
        <v>8362463000</v>
      </c>
      <c r="U3958" s="28">
        <v>2546000</v>
      </c>
      <c r="V3958" s="28">
        <v>13661398000</v>
      </c>
      <c r="W3958" s="28">
        <v>3516940000</v>
      </c>
      <c r="X3958" s="28">
        <v>165018000</v>
      </c>
      <c r="Y3958" s="28">
        <v>25915936000</v>
      </c>
      <c r="Z3958" s="28">
        <v>7146027000</v>
      </c>
      <c r="AA3958" s="28">
        <v>8737644000</v>
      </c>
      <c r="AB3958" s="28">
        <v>5284852000</v>
      </c>
      <c r="AC3958" s="28">
        <v>7670901000</v>
      </c>
      <c r="AD3958" s="28">
        <v>7715726000</v>
      </c>
      <c r="AE3958" s="28">
        <v>10310863000</v>
      </c>
      <c r="AF3958" s="28">
        <v>5030243000</v>
      </c>
      <c r="AG3958" s="11"/>
    </row>
    <row r="3959">
      <c r="A3959" s="7" t="s">
        <v>5614</v>
      </c>
      <c r="B3959" s="5" t="s">
        <v>13570</v>
      </c>
      <c r="C3959" s="5" t="s">
        <v>21352</v>
      </c>
      <c r="D3959" s="5" t="str">
        <v>254003200073</v>
      </c>
      <c r="E3959" s="0" t="e">
        <f>+7 (977) 8199755
+7 (495) 3499630
+7 (495) 9499630
+7 (495) 9879640
+7 (926) 6501418</f>
        <v>#NAME?</v>
      </c>
      <c r="F3959" s="5" t="s">
        <v>37217</v>
      </c>
      <c r="G3959" s="5" t="s">
        <v>37218</v>
      </c>
      <c r="H3959" s="26">
        <v>9</v>
      </c>
      <c r="I3959" s="5" t="s">
        <v>37219</v>
      </c>
      <c r="J3959" s="5" t="s">
        <v>36974</v>
      </c>
      <c r="K3959" s="5" t="s">
        <v>344</v>
      </c>
      <c r="L3959" s="5" t="s">
        <v>37220</v>
      </c>
      <c r="M3959" s="27">
        <v>9190757</v>
      </c>
      <c r="N3959" s="5" t="s">
        <v>55455</v>
      </c>
      <c r="O3959" s="5" t="str">
        <v>7703801737</v>
      </c>
      <c r="P3959" s="27">
        <v>3195022000</v>
      </c>
      <c r="Q3959" s="5" t="s">
        <v>55456</v>
      </c>
      <c r="R3959" s="5"/>
      <c r="S3959" s="5" t="s">
        <v>51984</v>
      </c>
      <c r="T3959" s="28">
        <v>453123000</v>
      </c>
      <c r="U3959" s="28">
        <v>34476939000</v>
      </c>
      <c r="V3959" s="28">
        <v>3720234000</v>
      </c>
      <c r="W3959" s="28">
        <v>1507300000</v>
      </c>
      <c r="X3959" s="28">
        <v>847593000</v>
      </c>
      <c r="Y3959" s="28">
        <v>41801089000</v>
      </c>
      <c r="Z3959" s="28">
        <v>2027670000</v>
      </c>
      <c r="AA3959" s="28">
        <v>17772630000</v>
      </c>
      <c r="AB3959" s="28">
        <v>3948669000</v>
      </c>
      <c r="AC3959" s="28">
        <v>4328919000</v>
      </c>
      <c r="AD3959" s="28">
        <v>19619159000</v>
      </c>
      <c r="AE3959" s="28">
        <v>21078266000</v>
      </c>
      <c r="AF3959" s="28">
        <v>836535000</v>
      </c>
      <c r="AG3959" s="11"/>
    </row>
    <row r="3960">
      <c r="A3960" s="7" t="s">
        <v>5615</v>
      </c>
      <c r="B3960" s="5" t="s">
        <v>13571</v>
      </c>
      <c r="C3960" s="5" t="s">
        <v>21353</v>
      </c>
      <c r="D3960" s="5"/>
      <c r="E3960" s="0" t="e">
        <f>+7 (495) 1490960
+7 (8212) 282808
+7 (915) 1353853
+7 (903) 3200092</f>
        <v>#NAME?</v>
      </c>
      <c r="F3960" s="5" t="s">
        <v>37221</v>
      </c>
      <c r="G3960" s="5"/>
      <c r="H3960" s="26">
        <v>6.5</v>
      </c>
      <c r="I3960" s="5"/>
      <c r="J3960" s="5" t="s">
        <v>34820</v>
      </c>
      <c r="K3960" s="5" t="s">
        <v>344</v>
      </c>
      <c r="L3960" s="5"/>
      <c r="M3960" s="27">
        <v>154693499</v>
      </c>
      <c r="N3960" s="5" t="s">
        <v>55457</v>
      </c>
      <c r="O3960" s="5" t="str">
        <v>7713419774</v>
      </c>
      <c r="P3960" s="27">
        <v>12288538</v>
      </c>
      <c r="Q3960" s="5" t="s">
        <v>55458</v>
      </c>
      <c r="R3960" s="5"/>
      <c r="S3960" s="5" t="s">
        <v>49047</v>
      </c>
      <c r="T3960" s="28">
        <v>17611354000</v>
      </c>
      <c r="U3960" s="28">
        <v>49662841000</v>
      </c>
      <c r="V3960" s="28">
        <v>3395030000</v>
      </c>
      <c r="W3960" s="28"/>
      <c r="X3960" s="28">
        <v>28857000</v>
      </c>
      <c r="Y3960" s="28">
        <v>96049073000</v>
      </c>
      <c r="Z3960" s="28">
        <v>8021751000</v>
      </c>
      <c r="AA3960" s="28">
        <v>48743954000</v>
      </c>
      <c r="AB3960" s="28">
        <v>44066000</v>
      </c>
      <c r="AC3960" s="28">
        <v>3013845000</v>
      </c>
      <c r="AD3960" s="28">
        <v>8035883000</v>
      </c>
      <c r="AE3960" s="28">
        <v>9085774000</v>
      </c>
      <c r="AF3960" s="28">
        <v>740348000</v>
      </c>
      <c r="AG3960" s="11"/>
    </row>
    <row r="3961">
      <c r="A3961" s="7" t="s">
        <v>5616</v>
      </c>
      <c r="B3961" s="5" t="s">
        <v>13572</v>
      </c>
      <c r="C3961" s="5" t="s">
        <v>21354</v>
      </c>
      <c r="D3961" s="5" t="str">
        <v>780418984310</v>
      </c>
      <c r="E3961" s="0" t="e">
        <f>+7 (872) 2693826
+7 (911) 1113988
+7 (981) 8287330
+7 (981) 8979774
+7 (495) 5805438
+7 (800) 5000123
+7 (812) 3320349
+7 (812) 3326868</f>
        <v>#NAME?</v>
      </c>
      <c r="F3961" s="5" t="s">
        <v>37222</v>
      </c>
      <c r="G3961" s="5" t="s">
        <v>37223</v>
      </c>
      <c r="H3961" s="26">
        <v>17.5</v>
      </c>
      <c r="I3961" s="5"/>
      <c r="J3961" s="5" t="s">
        <v>25247</v>
      </c>
      <c r="K3961" s="5" t="s">
        <v>344</v>
      </c>
      <c r="L3961" s="5" t="s">
        <v>37224</v>
      </c>
      <c r="M3961" s="27">
        <v>84000000</v>
      </c>
      <c r="N3961" s="5" t="s">
        <v>55459</v>
      </c>
      <c r="O3961" s="5" t="str">
        <v>7733547365</v>
      </c>
      <c r="P3961" s="27">
        <v>10100</v>
      </c>
      <c r="Q3961" s="5" t="s">
        <v>55460</v>
      </c>
      <c r="R3961" s="5"/>
      <c r="S3961" s="5" t="s">
        <v>55461</v>
      </c>
      <c r="T3961" s="28">
        <v>944163000</v>
      </c>
      <c r="U3961" s="28">
        <v>1984823000</v>
      </c>
      <c r="V3961" s="28">
        <v>2730998000</v>
      </c>
      <c r="W3961" s="28">
        <v>1913375000</v>
      </c>
      <c r="X3961" s="28">
        <v>8803979000</v>
      </c>
      <c r="Y3961" s="28">
        <v>19239659000</v>
      </c>
      <c r="Z3961" s="28">
        <v>9325610000</v>
      </c>
      <c r="AA3961" s="28"/>
      <c r="AB3961" s="28"/>
      <c r="AC3961" s="28">
        <v>9873327000</v>
      </c>
      <c r="AD3961" s="28">
        <v>11629758000</v>
      </c>
      <c r="AE3961" s="28">
        <v>16485950000</v>
      </c>
      <c r="AF3961" s="28">
        <v>216672000</v>
      </c>
      <c r="AG3961" s="11"/>
    </row>
    <row r="3962">
      <c r="A3962" s="7" t="s">
        <v>5617</v>
      </c>
      <c r="B3962" s="5" t="s">
        <v>13573</v>
      </c>
      <c r="C3962" s="5" t="s">
        <v>21355</v>
      </c>
      <c r="D3962" s="5" t="str">
        <v>525910423370</v>
      </c>
      <c r="E3962" s="0" t="e">
        <f>+7 (831) 4235423
+7 (831) 2435423
+7 (831) 2578080
+7 (910) 1260595
+7 (951) 9038099
+7 (951) 9089856</f>
        <v>#NAME?</v>
      </c>
      <c r="F3962" s="5" t="s">
        <v>37225</v>
      </c>
      <c r="G3962" s="5" t="s">
        <v>37226</v>
      </c>
      <c r="H3962" s="26">
        <v>11</v>
      </c>
      <c r="I3962" s="5" t="s">
        <v>37227</v>
      </c>
      <c r="J3962" s="5" t="s">
        <v>26511</v>
      </c>
      <c r="K3962" s="5" t="s">
        <v>344</v>
      </c>
      <c r="L3962" s="5" t="s">
        <v>37228</v>
      </c>
      <c r="M3962" s="27">
        <v>89714</v>
      </c>
      <c r="N3962" s="5"/>
      <c r="O3962" s="5" t="str">
        <v>5258099723</v>
      </c>
      <c r="P3962" s="27">
        <v>10000</v>
      </c>
      <c r="Q3962" s="5" t="s">
        <v>49009</v>
      </c>
      <c r="R3962" s="5"/>
      <c r="S3962" s="5" t="s">
        <v>49066</v>
      </c>
      <c r="T3962" s="28">
        <v>420071000</v>
      </c>
      <c r="U3962" s="28"/>
      <c r="V3962" s="28">
        <v>1119281000</v>
      </c>
      <c r="W3962" s="28"/>
      <c r="X3962" s="28">
        <v>462000</v>
      </c>
      <c r="Y3962" s="28">
        <v>2359714000</v>
      </c>
      <c r="Z3962" s="28">
        <v>136518000</v>
      </c>
      <c r="AA3962" s="28">
        <v>865171000</v>
      </c>
      <c r="AB3962" s="28">
        <v>360646000</v>
      </c>
      <c r="AC3962" s="28">
        <v>1290275000</v>
      </c>
      <c r="AD3962" s="28">
        <v>136528000</v>
      </c>
      <c r="AE3962" s="28">
        <v>15989523000</v>
      </c>
      <c r="AF3962" s="28">
        <v>68512000</v>
      </c>
      <c r="AG3962" s="11"/>
    </row>
    <row r="3963">
      <c r="A3963" s="7" t="s">
        <v>5618</v>
      </c>
      <c r="B3963" s="5" t="s">
        <v>13574</v>
      </c>
      <c r="C3963" s="5" t="s">
        <v>21356</v>
      </c>
      <c r="D3963" s="5" t="str">
        <v>250802534861</v>
      </c>
      <c r="E3963" s="0" t="e">
        <f>+7 (4236) 740562
+7 (42366) 29498
+7 (42366) 29779
+7 (42366) 58910
+7 (42366) 79113</f>
        <v>#NAME?</v>
      </c>
      <c r="F3963" s="5" t="s">
        <v>37229</v>
      </c>
      <c r="G3963" s="5" t="s">
        <v>37230</v>
      </c>
      <c r="H3963" s="26">
        <v>25</v>
      </c>
      <c r="I3963" s="5" t="s">
        <v>37231</v>
      </c>
      <c r="J3963" s="5" t="s">
        <v>28577</v>
      </c>
      <c r="K3963" s="5" t="s">
        <v>344</v>
      </c>
      <c r="L3963" s="5" t="s">
        <v>37232</v>
      </c>
      <c r="M3963" s="27"/>
      <c r="N3963" s="5" t="s">
        <v>55462</v>
      </c>
      <c r="O3963" s="5" t="str">
        <v>2508042212</v>
      </c>
      <c r="P3963" s="27">
        <v>10000</v>
      </c>
      <c r="Q3963" s="5" t="s">
        <v>55463</v>
      </c>
      <c r="R3963" s="5"/>
      <c r="S3963" s="5" t="s">
        <v>55464</v>
      </c>
      <c r="T3963" s="28">
        <v>1139414000</v>
      </c>
      <c r="U3963" s="28"/>
      <c r="V3963" s="28">
        <v>529524000</v>
      </c>
      <c r="W3963" s="28"/>
      <c r="X3963" s="28">
        <v>41585000</v>
      </c>
      <c r="Y3963" s="28">
        <v>2187292000</v>
      </c>
      <c r="Z3963" s="28">
        <v>1024942000</v>
      </c>
      <c r="AA3963" s="28">
        <v>908866000</v>
      </c>
      <c r="AB3963" s="28">
        <v>30351000</v>
      </c>
      <c r="AC3963" s="28">
        <v>163506000</v>
      </c>
      <c r="AD3963" s="28">
        <v>1029952000</v>
      </c>
      <c r="AE3963" s="28">
        <v>4775563000</v>
      </c>
      <c r="AF3963" s="28">
        <v>181294000</v>
      </c>
      <c r="AG3963" s="11"/>
    </row>
    <row r="3964">
      <c r="A3964" s="7" t="s">
        <v>5619</v>
      </c>
      <c r="B3964" s="5" t="s">
        <v>13575</v>
      </c>
      <c r="C3964" s="5" t="s">
        <v>21357</v>
      </c>
      <c r="D3964" s="5" t="str">
        <v>421700606480</v>
      </c>
      <c r="E3964" s="0" t="e">
        <f>+7 (906) 9961368
+7 (960) 9150206
+7 (383) 2691247</f>
        <v>#NAME?</v>
      </c>
      <c r="F3964" s="5" t="s">
        <v>37233</v>
      </c>
      <c r="G3964" s="5"/>
      <c r="H3964" s="26">
        <v>6.5</v>
      </c>
      <c r="I3964" s="5" t="s">
        <v>37234</v>
      </c>
      <c r="J3964" s="5" t="s">
        <v>32951</v>
      </c>
      <c r="K3964" s="5" t="s">
        <v>355</v>
      </c>
      <c r="L3964" s="5" t="s">
        <v>36174</v>
      </c>
      <c r="M3964" s="27"/>
      <c r="N3964" s="5" t="s">
        <v>55465</v>
      </c>
      <c r="O3964" s="5" t="str">
        <v>2222849374</v>
      </c>
      <c r="P3964" s="27">
        <v>30000</v>
      </c>
      <c r="Q3964" s="5" t="s">
        <v>55466</v>
      </c>
      <c r="R3964" s="5"/>
      <c r="S3964" s="5" t="s">
        <v>49085</v>
      </c>
      <c r="T3964" s="28">
        <v>823816000</v>
      </c>
      <c r="U3964" s="28"/>
      <c r="V3964" s="28">
        <v>248561000</v>
      </c>
      <c r="W3964" s="28"/>
      <c r="X3964" s="28">
        <v>316726000</v>
      </c>
      <c r="Y3964" s="28">
        <v>2076479000</v>
      </c>
      <c r="Z3964" s="28">
        <v>79813000</v>
      </c>
      <c r="AA3964" s="28">
        <v>184200000</v>
      </c>
      <c r="AB3964" s="28">
        <v>804284000</v>
      </c>
      <c r="AC3964" s="28">
        <v>1262235000</v>
      </c>
      <c r="AD3964" s="28">
        <v>79843000</v>
      </c>
      <c r="AE3964" s="28">
        <v>3587455000</v>
      </c>
      <c r="AF3964" s="28">
        <v>4820000</v>
      </c>
      <c r="AG3964" s="11"/>
    </row>
    <row r="3965">
      <c r="A3965" s="7" t="s">
        <v>5620</v>
      </c>
      <c r="B3965" s="5" t="s">
        <v>13576</v>
      </c>
      <c r="C3965" s="5" t="s">
        <v>21358</v>
      </c>
      <c r="D3965" s="5" t="str">
        <v>253910933700</v>
      </c>
      <c r="E3965" s="0" t="e">
        <f>+7 (4232) 215790
+7 (4232) 491802
+7 (42366) 22771
+7 (42366) 27062
+7 (42366) 69270
+7 (42366) 92601
+7 (42366) 92617
+7 (42366) 92627
+7 (42366) 92659
+7 (42366) 92699
+7 (495) 9952328</f>
        <v>#NAME?</v>
      </c>
      <c r="F3965" s="5" t="s">
        <v>37235</v>
      </c>
      <c r="G3965" s="5" t="s">
        <v>37236</v>
      </c>
      <c r="H3965" s="26">
        <v>30.5</v>
      </c>
      <c r="I3965" s="5" t="s">
        <v>37237</v>
      </c>
      <c r="J3965" s="5" t="s">
        <v>26424</v>
      </c>
      <c r="K3965" s="5" t="s">
        <v>380</v>
      </c>
      <c r="L3965" s="5" t="s">
        <v>37238</v>
      </c>
      <c r="M3965" s="27">
        <v>170849378</v>
      </c>
      <c r="N3965" s="5"/>
      <c r="O3965" s="5" t="str">
        <v>2508007948</v>
      </c>
      <c r="P3965" s="27">
        <v>115474902</v>
      </c>
      <c r="Q3965" s="5" t="s">
        <v>49009</v>
      </c>
      <c r="R3965" s="5" t="s">
        <v>55467</v>
      </c>
      <c r="S3965" s="5" t="s">
        <v>49408</v>
      </c>
      <c r="T3965" s="28">
        <v>3335513000</v>
      </c>
      <c r="U3965" s="28">
        <v>3743904000</v>
      </c>
      <c r="V3965" s="28">
        <v>5456775000</v>
      </c>
      <c r="W3965" s="28">
        <v>775974000</v>
      </c>
      <c r="X3965" s="28">
        <v>30097000</v>
      </c>
      <c r="Y3965" s="28">
        <v>18916434000</v>
      </c>
      <c r="Z3965" s="28">
        <v>6480063000</v>
      </c>
      <c r="AA3965" s="28">
        <v>2264952000</v>
      </c>
      <c r="AB3965" s="28">
        <v>5465823000</v>
      </c>
      <c r="AC3965" s="28">
        <v>9524668000</v>
      </c>
      <c r="AD3965" s="28">
        <v>6601461000</v>
      </c>
      <c r="AE3965" s="28">
        <v>13243493000</v>
      </c>
      <c r="AF3965" s="28">
        <v>730333000</v>
      </c>
      <c r="AG3965" s="11"/>
    </row>
    <row r="3966">
      <c r="A3966" s="7" t="s">
        <v>5621</v>
      </c>
      <c r="B3966" s="5" t="s">
        <v>13577</v>
      </c>
      <c r="C3966" s="5" t="s">
        <v>21359</v>
      </c>
      <c r="D3966" s="5" t="str">
        <v>774306735349</v>
      </c>
      <c r="E3966" s="0" t="e">
        <f>+7 (903) 2418400
+7 (919) 9889999
+7 (920) 2606100
+7 (920) 8257127
+7 (925) 8054055
+7 (926) 7933751
+7 (928) 4404512
+7 (930) 310200
+7 (938) 1295787
+7 (938) 1295797
+7 (938) 3311541
+7 (938) 4446644
+7 (960) 8885290</f>
        <v>#NAME?</v>
      </c>
      <c r="F3966" s="5"/>
      <c r="G3966" s="5" t="s">
        <v>37239</v>
      </c>
      <c r="H3966" s="26">
        <v>9</v>
      </c>
      <c r="I3966" s="5" t="s">
        <v>37240</v>
      </c>
      <c r="J3966" s="5" t="s">
        <v>693</v>
      </c>
      <c r="K3966" s="5" t="s">
        <v>344</v>
      </c>
      <c r="L3966" s="5" t="s">
        <v>37241</v>
      </c>
      <c r="M3966" s="27"/>
      <c r="N3966" s="5"/>
      <c r="O3966" s="5" t="str">
        <v>7725811633</v>
      </c>
      <c r="P3966" s="27">
        <v>10000</v>
      </c>
      <c r="Q3966" s="5" t="s">
        <v>55468</v>
      </c>
      <c r="R3966" s="5"/>
      <c r="S3966" s="5" t="s">
        <v>49487</v>
      </c>
      <c r="T3966" s="28">
        <v>4965000</v>
      </c>
      <c r="U3966" s="28"/>
      <c r="V3966" s="28">
        <v>186621000</v>
      </c>
      <c r="W3966" s="28">
        <v>3000000</v>
      </c>
      <c r="X3966" s="28">
        <v>63904000</v>
      </c>
      <c r="Y3966" s="28">
        <v>426861000</v>
      </c>
      <c r="Z3966" s="28">
        <v>304961000</v>
      </c>
      <c r="AA3966" s="28"/>
      <c r="AB3966" s="28"/>
      <c r="AC3966" s="28">
        <v>121890000</v>
      </c>
      <c r="AD3966" s="28">
        <v>304971000</v>
      </c>
      <c r="AE3966" s="28">
        <v>4459491000</v>
      </c>
      <c r="AF3966" s="28">
        <v>362015000</v>
      </c>
      <c r="AG3966" s="11"/>
    </row>
    <row r="3967">
      <c r="A3967" s="7" t="s">
        <v>5622</v>
      </c>
      <c r="B3967" s="5" t="s">
        <v>13578</v>
      </c>
      <c r="C3967" s="5" t="s">
        <v>21360</v>
      </c>
      <c r="D3967" s="5" t="str">
        <v>772741437201</v>
      </c>
      <c r="E3967" s="0" t="e">
        <f>+7 (495) 9896498</f>
        <v>#NAME?</v>
      </c>
      <c r="F3967" s="5" t="s">
        <v>37242</v>
      </c>
      <c r="G3967" s="5" t="s">
        <v>37243</v>
      </c>
      <c r="H3967" s="26">
        <v>11</v>
      </c>
      <c r="I3967" s="5" t="s">
        <v>37244</v>
      </c>
      <c r="J3967" s="5" t="s">
        <v>693</v>
      </c>
      <c r="K3967" s="5" t="s">
        <v>344</v>
      </c>
      <c r="L3967" s="5" t="s">
        <v>37245</v>
      </c>
      <c r="M3967" s="27"/>
      <c r="N3967" s="5"/>
      <c r="O3967" s="5" t="str">
        <v>2315171300</v>
      </c>
      <c r="P3967" s="27">
        <v>5000000</v>
      </c>
      <c r="Q3967" s="5" t="s">
        <v>49009</v>
      </c>
      <c r="R3967" s="5"/>
      <c r="S3967" s="5" t="s">
        <v>49045</v>
      </c>
      <c r="T3967" s="28">
        <v>2840519000</v>
      </c>
      <c r="U3967" s="28">
        <v>34935000</v>
      </c>
      <c r="V3967" s="28">
        <v>873229000</v>
      </c>
      <c r="W3967" s="28">
        <v>87758000</v>
      </c>
      <c r="X3967" s="28">
        <v>310877000</v>
      </c>
      <c r="Y3967" s="28">
        <v>4755800000</v>
      </c>
      <c r="Z3967" s="28">
        <v>596975000</v>
      </c>
      <c r="AA3967" s="28"/>
      <c r="AB3967" s="28"/>
      <c r="AC3967" s="28">
        <v>835128000</v>
      </c>
      <c r="AD3967" s="28">
        <v>601975000</v>
      </c>
      <c r="AE3967" s="28">
        <v>14441123000</v>
      </c>
      <c r="AF3967" s="28">
        <v>616656000</v>
      </c>
      <c r="AG3967" s="11"/>
    </row>
    <row r="3968">
      <c r="A3968" s="7" t="s">
        <v>5623</v>
      </c>
      <c r="B3968" s="5" t="s">
        <v>13579</v>
      </c>
      <c r="C3968" s="5" t="s">
        <v>21361</v>
      </c>
      <c r="D3968" s="5" t="str">
        <v>540508304150</v>
      </c>
      <c r="E3968" s="0" t="e">
        <f>+7 (967) 6030066
+7 (905) 5784050
+7 (926) 8326281
+7 (495) 2520350
+7 (495) 6411211
+7 (495) 6492444
+7 (499) 2520350
+7 (926) 8104570</f>
        <v>#NAME?</v>
      </c>
      <c r="F3968" s="5" t="s">
        <v>37246</v>
      </c>
      <c r="G3968" s="5"/>
      <c r="H3968" s="26">
        <v>15</v>
      </c>
      <c r="I3968" s="5" t="s">
        <v>37247</v>
      </c>
      <c r="J3968" s="5" t="s">
        <v>748</v>
      </c>
      <c r="K3968" s="5" t="s">
        <v>344</v>
      </c>
      <c r="L3968" s="5" t="s">
        <v>37248</v>
      </c>
      <c r="M3968" s="27"/>
      <c r="N3968" s="5" t="s">
        <v>55469</v>
      </c>
      <c r="O3968" s="5" t="str">
        <v>7725629159</v>
      </c>
      <c r="P3968" s="27">
        <v>5000000</v>
      </c>
      <c r="Q3968" s="5" t="s">
        <v>49207</v>
      </c>
      <c r="R3968" s="5"/>
      <c r="S3968" s="5" t="s">
        <v>55470</v>
      </c>
      <c r="T3968" s="28">
        <v>22250000</v>
      </c>
      <c r="U3968" s="28"/>
      <c r="V3968" s="28">
        <v>2313388000</v>
      </c>
      <c r="W3968" s="28"/>
      <c r="X3968" s="28">
        <v>140113000</v>
      </c>
      <c r="Y3968" s="28">
        <v>2854556000</v>
      </c>
      <c r="Z3968" s="28">
        <v>537684000</v>
      </c>
      <c r="AA3968" s="28"/>
      <c r="AB3968" s="28">
        <v>41297000</v>
      </c>
      <c r="AC3968" s="28">
        <v>2292784000</v>
      </c>
      <c r="AD3968" s="28">
        <v>542934000</v>
      </c>
      <c r="AE3968" s="28">
        <v>3637400000</v>
      </c>
      <c r="AF3968" s="28">
        <v>171307000</v>
      </c>
      <c r="AG3968" s="11"/>
    </row>
    <row r="3969">
      <c r="A3969" s="7" t="s">
        <v>5624</v>
      </c>
      <c r="B3969" s="5" t="s">
        <v>13580</v>
      </c>
      <c r="C3969" s="5" t="s">
        <v>18884</v>
      </c>
      <c r="D3969" s="5" t="str">
        <v>503810794400</v>
      </c>
      <c r="E3969" s="0" t="e">
        <f>+7 (499) 2605050
+7 (48351) 22862
+7 (48351) 92222
+7 (48351) 92223
+7 (48351) 92257
+7 (48351) 92302
+7 (48351) 92860
+7 (495) 9883731
+7 (495) 9883732
+7 (844) 2903912
+7 (844) 2903916
+7 (844) 2980703
+7 (84465) 62007
+7 (84465) 62141
+7 (84465) 62222</f>
        <v>#NAME?</v>
      </c>
      <c r="F3969" s="5" t="s">
        <v>37249</v>
      </c>
      <c r="G3969" s="5" t="s">
        <v>37250</v>
      </c>
      <c r="H3969" s="26">
        <v>14.5</v>
      </c>
      <c r="I3969" s="5" t="s">
        <v>37251</v>
      </c>
      <c r="J3969" s="5" t="s">
        <v>27397</v>
      </c>
      <c r="K3969" s="5" t="s">
        <v>344</v>
      </c>
      <c r="L3969" s="5" t="s">
        <v>37252</v>
      </c>
      <c r="M3969" s="27">
        <v>38478653</v>
      </c>
      <c r="N3969" s="5" t="s">
        <v>55471</v>
      </c>
      <c r="O3969" s="5" t="str">
        <v>7705845722</v>
      </c>
      <c r="P3969" s="27">
        <v>20120000</v>
      </c>
      <c r="Q3969" s="5" t="s">
        <v>55473</v>
      </c>
      <c r="R3969" s="5"/>
      <c r="S3969" s="5" t="s">
        <v>55474</v>
      </c>
      <c r="T3969" s="28">
        <v>2849507000</v>
      </c>
      <c r="U3969" s="28">
        <v>11059624000</v>
      </c>
      <c r="V3969" s="28">
        <v>5480816000</v>
      </c>
      <c r="W3969" s="28"/>
      <c r="X3969" s="28">
        <v>1145853000</v>
      </c>
      <c r="Y3969" s="28">
        <v>25895551000</v>
      </c>
      <c r="Z3969" s="28">
        <v>2923376000</v>
      </c>
      <c r="AA3969" s="28">
        <v>6239703000</v>
      </c>
      <c r="AB3969" s="28">
        <v>1181021000</v>
      </c>
      <c r="AC3969" s="28">
        <v>12409452000</v>
      </c>
      <c r="AD3969" s="28">
        <v>6360659000</v>
      </c>
      <c r="AE3969" s="28">
        <v>38064538000</v>
      </c>
      <c r="AF3969" s="28">
        <v>2439740000</v>
      </c>
      <c r="AG3969" s="11"/>
    </row>
    <row r="3970">
      <c r="A3970" s="7" t="s">
        <v>5625</v>
      </c>
      <c r="B3970" s="5" t="s">
        <v>13581</v>
      </c>
      <c r="C3970" s="5" t="s">
        <v>21362</v>
      </c>
      <c r="D3970" s="5" t="str">
        <v>781702933786</v>
      </c>
      <c r="E3970" s="0" t="e">
        <f>+7 (916) 3621122
+7 (495) 9802443</f>
        <v>#NAME?</v>
      </c>
      <c r="F3970" s="5" t="s">
        <v>37253</v>
      </c>
      <c r="G3970" s="5" t="s">
        <v>37254</v>
      </c>
      <c r="H3970" s="26">
        <v>4</v>
      </c>
      <c r="I3970" s="5"/>
      <c r="J3970" s="5" t="s">
        <v>343</v>
      </c>
      <c r="K3970" s="5"/>
      <c r="L3970" s="5"/>
      <c r="M3970" s="27"/>
      <c r="N3970" s="5" t="s">
        <v>55475</v>
      </c>
      <c r="O3970" s="5" t="str">
        <v>7704486157</v>
      </c>
      <c r="P3970" s="27"/>
      <c r="Q3970" s="5" t="s">
        <v>55476</v>
      </c>
      <c r="R3970" s="5"/>
      <c r="S3970" s="5" t="s">
        <v>55477</v>
      </c>
      <c r="T3970" s="28">
        <v>585000</v>
      </c>
      <c r="U3970" s="28">
        <v>1000</v>
      </c>
      <c r="V3970" s="28">
        <v>76224000</v>
      </c>
      <c r="W3970" s="28"/>
      <c r="X3970" s="28">
        <v>55737000</v>
      </c>
      <c r="Y3970" s="28">
        <v>284586000</v>
      </c>
      <c r="Z3970" s="28"/>
      <c r="AA3970" s="28"/>
      <c r="AB3970" s="28">
        <v>64183000</v>
      </c>
      <c r="AC3970" s="28">
        <v>321277000</v>
      </c>
      <c r="AD3970" s="28">
        <v>-37479000</v>
      </c>
      <c r="AE3970" s="28">
        <v>3061215000</v>
      </c>
      <c r="AF3970" s="28">
        <v>97702000</v>
      </c>
      <c r="AG3970" s="11"/>
    </row>
    <row r="3971">
      <c r="A3971" s="7" t="s">
        <v>5626</v>
      </c>
      <c r="B3971" s="5" t="s">
        <v>13582</v>
      </c>
      <c r="C3971" s="5" t="s">
        <v>21363</v>
      </c>
      <c r="D3971" s="5"/>
      <c r="E3971" s="0" t="e">
        <f>+7 (349) 6343306
+7 (349) 6343307
+7 (3496) 372013</f>
        <v>#NAME?</v>
      </c>
      <c r="F3971" s="5"/>
      <c r="G3971" s="5"/>
      <c r="H3971" s="26">
        <v>10</v>
      </c>
      <c r="I3971" s="5" t="s">
        <v>37255</v>
      </c>
      <c r="J3971" s="5" t="s">
        <v>28226</v>
      </c>
      <c r="K3971" s="5" t="s">
        <v>380</v>
      </c>
      <c r="L3971" s="5" t="s">
        <v>37256</v>
      </c>
      <c r="M3971" s="27">
        <v>3478963828</v>
      </c>
      <c r="N3971" s="5" t="s">
        <v>52997</v>
      </c>
      <c r="O3971" s="5" t="str">
        <v>8905053564</v>
      </c>
      <c r="P3971" s="27">
        <v>100000000</v>
      </c>
      <c r="Q3971" s="5" t="s">
        <v>55479</v>
      </c>
      <c r="R3971" s="5" t="s">
        <v>55480</v>
      </c>
      <c r="S3971" s="5" t="s">
        <v>55481</v>
      </c>
      <c r="T3971" s="28">
        <v>7504312000</v>
      </c>
      <c r="U3971" s="28">
        <v>21099000</v>
      </c>
      <c r="V3971" s="28">
        <v>2512578000</v>
      </c>
      <c r="W3971" s="28">
        <v>1350000</v>
      </c>
      <c r="X3971" s="28">
        <v>6610000</v>
      </c>
      <c r="Y3971" s="28">
        <v>10683277000</v>
      </c>
      <c r="Z3971" s="28">
        <v>1119181000</v>
      </c>
      <c r="AA3971" s="28">
        <v>360370000</v>
      </c>
      <c r="AB3971" s="28">
        <v>1566000</v>
      </c>
      <c r="AC3971" s="28">
        <v>5602398000</v>
      </c>
      <c r="AD3971" s="28">
        <v>2750850000</v>
      </c>
      <c r="AE3971" s="28">
        <v>11377892000</v>
      </c>
      <c r="AF3971" s="28">
        <v>399885000</v>
      </c>
      <c r="AG3971" s="11"/>
    </row>
    <row r="3972">
      <c r="A3972" s="7" t="s">
        <v>5627</v>
      </c>
      <c r="B3972" s="5" t="s">
        <v>13583</v>
      </c>
      <c r="C3972" s="5" t="s">
        <v>20792</v>
      </c>
      <c r="D3972" s="5" t="str">
        <v>570402177800</v>
      </c>
      <c r="E3972" s="0" t="e">
        <f>+7 (495) 9679586</f>
        <v>#NAME?</v>
      </c>
      <c r="F3972" s="5"/>
      <c r="G3972" s="5"/>
      <c r="H3972" s="26">
        <v>5.5</v>
      </c>
      <c r="I3972" s="5" t="s">
        <v>37257</v>
      </c>
      <c r="J3972" s="5" t="s">
        <v>31686</v>
      </c>
      <c r="K3972" s="5" t="s">
        <v>380</v>
      </c>
      <c r="L3972" s="5"/>
      <c r="M3972" s="27">
        <v>4278483</v>
      </c>
      <c r="N3972" s="5" t="s">
        <v>50138</v>
      </c>
      <c r="O3972" s="5" t="str">
        <v>7722411958</v>
      </c>
      <c r="P3972" s="27">
        <v>10000</v>
      </c>
      <c r="Q3972" s="5" t="s">
        <v>55482</v>
      </c>
      <c r="R3972" s="5" t="s">
        <v>52844</v>
      </c>
      <c r="S3972" s="5" t="s">
        <v>50290</v>
      </c>
      <c r="T3972" s="28">
        <v>558000</v>
      </c>
      <c r="U3972" s="28">
        <v>7865116000</v>
      </c>
      <c r="V3972" s="28">
        <v>57179697000</v>
      </c>
      <c r="W3972" s="28">
        <v>175000</v>
      </c>
      <c r="X3972" s="28">
        <v>4654000</v>
      </c>
      <c r="Y3972" s="28">
        <v>77876260000</v>
      </c>
      <c r="Z3972" s="28">
        <v>-581412000</v>
      </c>
      <c r="AA3972" s="28">
        <v>1140210000</v>
      </c>
      <c r="AB3972" s="28"/>
      <c r="AC3972" s="28">
        <v>77054492000</v>
      </c>
      <c r="AD3972" s="28">
        <v>-581402000</v>
      </c>
      <c r="AE3972" s="28">
        <v>24155609000</v>
      </c>
      <c r="AF3972" s="28">
        <v>-499466000</v>
      </c>
      <c r="AG3972" s="11"/>
    </row>
    <row r="3973">
      <c r="A3973" s="7" t="s">
        <v>5628</v>
      </c>
      <c r="B3973" s="5" t="s">
        <v>13584</v>
      </c>
      <c r="C3973" s="5" t="s">
        <v>21364</v>
      </c>
      <c r="D3973" s="5" t="str">
        <v>773012768741</v>
      </c>
      <c r="E3973" s="0" t="e">
        <f>+7 (42135) 22122
+7 (42135) 22151
+7 (42135) 22310
+7 (42135) 22550
+7 (42135) 22580
+7 (42135) 22587
+7 (42135) 22722
+7 (42135) 23349
+7 (42135) 25423
+7 (909) 8046323
+7 (913) 9020206
+7 (960) 7988587</f>
        <v>#NAME?</v>
      </c>
      <c r="F3973" s="5" t="s">
        <v>37258</v>
      </c>
      <c r="G3973" s="5"/>
      <c r="H3973" s="26">
        <v>11</v>
      </c>
      <c r="I3973" s="5" t="s">
        <v>37259</v>
      </c>
      <c r="J3973" s="5" t="s">
        <v>27806</v>
      </c>
      <c r="K3973" s="5" t="s">
        <v>344</v>
      </c>
      <c r="L3973" s="5" t="s">
        <v>37260</v>
      </c>
      <c r="M3973" s="27"/>
      <c r="N3973" s="5"/>
      <c r="O3973" s="5" t="str">
        <v>2721189780</v>
      </c>
      <c r="P3973" s="27">
        <v>407151096</v>
      </c>
      <c r="Q3973" s="5" t="s">
        <v>49021</v>
      </c>
      <c r="R3973" s="5"/>
      <c r="S3973" s="5" t="s">
        <v>55483</v>
      </c>
      <c r="T3973" s="28">
        <v>4967054000</v>
      </c>
      <c r="U3973" s="28"/>
      <c r="V3973" s="28">
        <v>124548000</v>
      </c>
      <c r="W3973" s="28"/>
      <c r="X3973" s="28">
        <v>3932000</v>
      </c>
      <c r="Y3973" s="28">
        <v>9100070000</v>
      </c>
      <c r="Z3973" s="28">
        <v>7341865000</v>
      </c>
      <c r="AA3973" s="28">
        <v>500000000</v>
      </c>
      <c r="AB3973" s="28">
        <v>475000000</v>
      </c>
      <c r="AC3973" s="28">
        <v>809027000</v>
      </c>
      <c r="AD3973" s="28">
        <v>7773336000</v>
      </c>
      <c r="AE3973" s="28">
        <v>4541642000</v>
      </c>
      <c r="AF3973" s="28">
        <v>2162220000</v>
      </c>
      <c r="AG3973" s="11"/>
    </row>
    <row r="3974">
      <c r="A3974" s="7" t="s">
        <v>5629</v>
      </c>
      <c r="B3974" s="5" t="s">
        <v>13585</v>
      </c>
      <c r="C3974" s="5" t="s">
        <v>21365</v>
      </c>
      <c r="D3974" s="5" t="str">
        <v>504217392611</v>
      </c>
      <c r="E3974" s="0" t="e">
        <f>+7 (495) 9887676
+7 (495) 9941038
+7 (495) 9941391
+7 (812) 3860176
+7 (968) 6650564</f>
        <v>#NAME?</v>
      </c>
      <c r="F3974" s="5" t="s">
        <v>37261</v>
      </c>
      <c r="G3974" s="5" t="s">
        <v>37262</v>
      </c>
      <c r="H3974" s="26">
        <v>17.5</v>
      </c>
      <c r="I3974" s="5" t="s">
        <v>37263</v>
      </c>
      <c r="J3974" s="5" t="s">
        <v>364</v>
      </c>
      <c r="K3974" s="5" t="s">
        <v>380</v>
      </c>
      <c r="L3974" s="5" t="s">
        <v>37264</v>
      </c>
      <c r="M3974" s="27">
        <v>722529408</v>
      </c>
      <c r="N3974" s="5"/>
      <c r="O3974" s="5" t="str">
        <v>7701600369</v>
      </c>
      <c r="P3974" s="27">
        <v>10000000</v>
      </c>
      <c r="Q3974" s="5" t="s">
        <v>52787</v>
      </c>
      <c r="R3974" s="5" t="s">
        <v>55484</v>
      </c>
      <c r="S3974" s="5" t="s">
        <v>55485</v>
      </c>
      <c r="T3974" s="28">
        <v>815096000</v>
      </c>
      <c r="U3974" s="28"/>
      <c r="V3974" s="28">
        <v>1297842000</v>
      </c>
      <c r="W3974" s="28">
        <v>30000</v>
      </c>
      <c r="X3974" s="28">
        <v>183000</v>
      </c>
      <c r="Y3974" s="28">
        <v>27280274000</v>
      </c>
      <c r="Z3974" s="28">
        <v>1201944000</v>
      </c>
      <c r="AA3974" s="28"/>
      <c r="AB3974" s="28">
        <v>2250727000</v>
      </c>
      <c r="AC3974" s="28">
        <v>22964599000</v>
      </c>
      <c r="AD3974" s="28">
        <v>1017096000</v>
      </c>
      <c r="AE3974" s="28">
        <v>10512089000</v>
      </c>
      <c r="AF3974" s="28">
        <v>806000</v>
      </c>
      <c r="AG3974" s="11"/>
    </row>
    <row r="3975">
      <c r="A3975" s="7" t="s">
        <v>5630</v>
      </c>
      <c r="B3975" s="5" t="s">
        <v>13586</v>
      </c>
      <c r="C3975" s="5" t="s">
        <v>21366</v>
      </c>
      <c r="D3975" s="5" t="str">
        <v>780534187789</v>
      </c>
      <c r="E3975" s="0" t="e">
        <f>+7 (812) 6710378
+7 (921) 9048585</f>
        <v>#NAME?</v>
      </c>
      <c r="F3975" s="5" t="s">
        <v>37265</v>
      </c>
      <c r="G3975" s="5"/>
      <c r="H3975" s="26">
        <v>6.5</v>
      </c>
      <c r="I3975" s="5" t="s">
        <v>37266</v>
      </c>
      <c r="J3975" s="5" t="s">
        <v>947</v>
      </c>
      <c r="K3975" s="5" t="s">
        <v>344</v>
      </c>
      <c r="L3975" s="5" t="s">
        <v>37267</v>
      </c>
      <c r="M3975" s="27"/>
      <c r="N3975" s="5" t="s">
        <v>55486</v>
      </c>
      <c r="O3975" s="5" t="str">
        <v>7813262950</v>
      </c>
      <c r="P3975" s="27">
        <v>1000000</v>
      </c>
      <c r="Q3975" s="5" t="s">
        <v>49822</v>
      </c>
      <c r="R3975" s="5" t="s">
        <v>55487</v>
      </c>
      <c r="S3975" s="5" t="s">
        <v>55488</v>
      </c>
      <c r="T3975" s="28">
        <v>90202000</v>
      </c>
      <c r="U3975" s="28"/>
      <c r="V3975" s="28">
        <v>2853461000</v>
      </c>
      <c r="W3975" s="28">
        <v>60000000</v>
      </c>
      <c r="X3975" s="28">
        <v>226171000</v>
      </c>
      <c r="Y3975" s="28">
        <v>4322776000</v>
      </c>
      <c r="Z3975" s="28">
        <v>210981000</v>
      </c>
      <c r="AA3975" s="28"/>
      <c r="AB3975" s="28">
        <v>150477000</v>
      </c>
      <c r="AC3975" s="28">
        <v>4104001000</v>
      </c>
      <c r="AD3975" s="28">
        <v>217981000</v>
      </c>
      <c r="AE3975" s="28">
        <v>4104765000</v>
      </c>
      <c r="AF3975" s="28">
        <v>121086000</v>
      </c>
      <c r="AG3975" s="11"/>
    </row>
    <row r="3976">
      <c r="A3976" s="7" t="s">
        <v>5630</v>
      </c>
      <c r="B3976" s="5" t="s">
        <v>13587</v>
      </c>
      <c r="C3976" s="5" t="s">
        <v>21367</v>
      </c>
      <c r="D3976" s="5" t="str">
        <v>026405898146</v>
      </c>
      <c r="E3976" s="0" t="e">
        <f>+7 (347) 1325373
+7 (34713) 26042
+7 (34713) 95389
+7 (34783) 20515
+7 (34783) 26042
+7 (34783) 30740
+7 (34783) 30790</f>
        <v>#NAME?</v>
      </c>
      <c r="F3976" s="5" t="s">
        <v>37268</v>
      </c>
      <c r="G3976" s="5" t="s">
        <v>37269</v>
      </c>
      <c r="H3976" s="26">
        <v>20.5</v>
      </c>
      <c r="I3976" s="5" t="s">
        <v>37270</v>
      </c>
      <c r="J3976" s="5" t="s">
        <v>947</v>
      </c>
      <c r="K3976" s="5" t="s">
        <v>344</v>
      </c>
      <c r="L3976" s="5" t="s">
        <v>37271</v>
      </c>
      <c r="M3976" s="27">
        <v>176219751</v>
      </c>
      <c r="N3976" s="5" t="s">
        <v>55489</v>
      </c>
      <c r="O3976" s="5" t="str">
        <v>0253013650</v>
      </c>
      <c r="P3976" s="27">
        <v>19200</v>
      </c>
      <c r="Q3976" s="5" t="s">
        <v>55490</v>
      </c>
      <c r="R3976" s="5" t="s">
        <v>55491</v>
      </c>
      <c r="S3976" s="5" t="s">
        <v>55492</v>
      </c>
      <c r="T3976" s="28">
        <v>387762000</v>
      </c>
      <c r="U3976" s="28"/>
      <c r="V3976" s="28">
        <v>4252951000</v>
      </c>
      <c r="W3976" s="28">
        <v>65001000</v>
      </c>
      <c r="X3976" s="28">
        <v>69673000</v>
      </c>
      <c r="Y3976" s="28">
        <v>5439203000</v>
      </c>
      <c r="Z3976" s="28">
        <v>659432000</v>
      </c>
      <c r="AA3976" s="28"/>
      <c r="AB3976" s="28">
        <v>189797000</v>
      </c>
      <c r="AC3976" s="28">
        <v>4732585000</v>
      </c>
      <c r="AD3976" s="28">
        <v>659451000</v>
      </c>
      <c r="AE3976" s="28">
        <v>9748913000</v>
      </c>
      <c r="AF3976" s="28">
        <v>35209000</v>
      </c>
      <c r="AG3976" s="11"/>
    </row>
    <row r="3977">
      <c r="A3977" s="7" t="s">
        <v>5631</v>
      </c>
      <c r="B3977" s="5" t="s">
        <v>13588</v>
      </c>
      <c r="C3977" s="5" t="s">
        <v>21368</v>
      </c>
      <c r="D3977" s="5" t="str">
        <v>250816311167</v>
      </c>
      <c r="E3977" s="0" t="e">
        <f>+7 (846) 2010300
+7 (927) 7079665
+7 (84699) 6836
+7 (917) 1460506
+7 (927) 2606836
+7 (927) 7079581
+7 (937) 2005497
+7 (937) 6404054
+7 (987) 4471010</f>
        <v>#NAME?</v>
      </c>
      <c r="F3977" s="5" t="s">
        <v>37272</v>
      </c>
      <c r="G3977" s="5"/>
      <c r="H3977" s="26">
        <v>10.5</v>
      </c>
      <c r="I3977" s="5" t="s">
        <v>37273</v>
      </c>
      <c r="J3977" s="5" t="s">
        <v>364</v>
      </c>
      <c r="K3977" s="5" t="s">
        <v>344</v>
      </c>
      <c r="L3977" s="5" t="s">
        <v>37274</v>
      </c>
      <c r="M3977" s="27">
        <v>640917</v>
      </c>
      <c r="N3977" s="5" t="s">
        <v>55493</v>
      </c>
      <c r="O3977" s="5" t="str">
        <v>6311138490</v>
      </c>
      <c r="P3977" s="27">
        <v>500000</v>
      </c>
      <c r="Q3977" s="5" t="s">
        <v>55494</v>
      </c>
      <c r="R3977" s="5"/>
      <c r="S3977" s="5" t="s">
        <v>55495</v>
      </c>
      <c r="T3977" s="28">
        <v>1234790000</v>
      </c>
      <c r="U3977" s="28"/>
      <c r="V3977" s="28">
        <v>1239157000</v>
      </c>
      <c r="W3977" s="28">
        <v>449000</v>
      </c>
      <c r="X3977" s="28">
        <v>23202000</v>
      </c>
      <c r="Y3977" s="28">
        <v>2777868000</v>
      </c>
      <c r="Z3977" s="28">
        <v>621522000</v>
      </c>
      <c r="AA3977" s="28"/>
      <c r="AB3977" s="28"/>
      <c r="AC3977" s="28">
        <v>1509397000</v>
      </c>
      <c r="AD3977" s="28">
        <v>622022000</v>
      </c>
      <c r="AE3977" s="28">
        <v>6936648000</v>
      </c>
      <c r="AF3977" s="28">
        <v>67390000</v>
      </c>
      <c r="AG3977" s="11"/>
    </row>
    <row r="3978">
      <c r="A3978" s="7" t="s">
        <v>5632</v>
      </c>
      <c r="B3978" s="5" t="s">
        <v>13589</v>
      </c>
      <c r="C3978" s="5" t="s">
        <v>21369</v>
      </c>
      <c r="D3978" s="5" t="str">
        <v>780422802789</v>
      </c>
      <c r="E3978" s="0" t="e">
        <f>+7 (812) 4494023</f>
        <v>#NAME?</v>
      </c>
      <c r="F3978" s="5" t="s">
        <v>37275</v>
      </c>
      <c r="G3978" s="5" t="s">
        <v>37276</v>
      </c>
      <c r="H3978" s="26">
        <v>9</v>
      </c>
      <c r="I3978" s="5" t="s">
        <v>37277</v>
      </c>
      <c r="J3978" s="5" t="s">
        <v>947</v>
      </c>
      <c r="K3978" s="5" t="s">
        <v>344</v>
      </c>
      <c r="L3978" s="5" t="s">
        <v>37278</v>
      </c>
      <c r="M3978" s="27">
        <v>304551494</v>
      </c>
      <c r="N3978" s="5" t="s">
        <v>55496</v>
      </c>
      <c r="O3978" s="5" t="str">
        <v>7814605287</v>
      </c>
      <c r="P3978" s="27">
        <v>10000</v>
      </c>
      <c r="Q3978" s="5" t="s">
        <v>49021</v>
      </c>
      <c r="R3978" s="5"/>
      <c r="S3978" s="5" t="s">
        <v>55497</v>
      </c>
      <c r="T3978" s="28">
        <v>370187000</v>
      </c>
      <c r="U3978" s="28"/>
      <c r="V3978" s="28">
        <v>5084904000</v>
      </c>
      <c r="W3978" s="28">
        <v>2972000</v>
      </c>
      <c r="X3978" s="28">
        <v>390298000</v>
      </c>
      <c r="Y3978" s="28">
        <v>7977289000</v>
      </c>
      <c r="Z3978" s="28">
        <v>1016907000</v>
      </c>
      <c r="AA3978" s="28"/>
      <c r="AB3978" s="28"/>
      <c r="AC3978" s="28">
        <v>6725248000</v>
      </c>
      <c r="AD3978" s="28">
        <v>1016919000</v>
      </c>
      <c r="AE3978" s="28">
        <v>9854943000</v>
      </c>
      <c r="AF3978" s="28">
        <v>731373000</v>
      </c>
      <c r="AG3978" s="11"/>
    </row>
    <row r="3979">
      <c r="A3979" s="7" t="s">
        <v>5633</v>
      </c>
      <c r="B3979" s="5" t="s">
        <v>13590</v>
      </c>
      <c r="C3979" s="5" t="s">
        <v>21370</v>
      </c>
      <c r="D3979" s="5" t="str">
        <v>666101174400</v>
      </c>
      <c r="E3979" s="0" t="e">
        <f>+7 (812) 4555656
+7 (812) 4564654
+7 (812) 7140514
+7 (812) 7170614
+7 (911) 8295124</f>
        <v>#NAME?</v>
      </c>
      <c r="F3979" s="5" t="s">
        <v>37279</v>
      </c>
      <c r="G3979" s="5" t="s">
        <v>37280</v>
      </c>
      <c r="H3979" s="26">
        <v>15</v>
      </c>
      <c r="I3979" s="5" t="s">
        <v>37281</v>
      </c>
      <c r="J3979" s="5" t="s">
        <v>25429</v>
      </c>
      <c r="K3979" s="5" t="s">
        <v>344</v>
      </c>
      <c r="L3979" s="5" t="s">
        <v>37282</v>
      </c>
      <c r="M3979" s="27"/>
      <c r="N3979" s="5" t="s">
        <v>55498</v>
      </c>
      <c r="O3979" s="5" t="str">
        <v>7801314509</v>
      </c>
      <c r="P3979" s="27">
        <v>20000</v>
      </c>
      <c r="Q3979" s="5" t="s">
        <v>55499</v>
      </c>
      <c r="R3979" s="5" t="s">
        <v>54900</v>
      </c>
      <c r="S3979" s="5" t="s">
        <v>51870</v>
      </c>
      <c r="T3979" s="28">
        <v>3805000</v>
      </c>
      <c r="U3979" s="28"/>
      <c r="V3979" s="28">
        <v>410941000</v>
      </c>
      <c r="W3979" s="28"/>
      <c r="X3979" s="28">
        <v>450514000</v>
      </c>
      <c r="Y3979" s="28">
        <v>1710863000</v>
      </c>
      <c r="Z3979" s="28">
        <v>1271477000</v>
      </c>
      <c r="AA3979" s="28"/>
      <c r="AB3979" s="28"/>
      <c r="AC3979" s="28">
        <v>439376000</v>
      </c>
      <c r="AD3979" s="28">
        <v>1271487000</v>
      </c>
      <c r="AE3979" s="28">
        <v>3407324000</v>
      </c>
      <c r="AF3979" s="28">
        <v>436699000</v>
      </c>
      <c r="AG3979" s="11"/>
    </row>
    <row r="3980">
      <c r="A3980" s="7" t="s">
        <v>5634</v>
      </c>
      <c r="B3980" s="5" t="s">
        <v>13591</v>
      </c>
      <c r="C3980" s="5" t="s">
        <v>21371</v>
      </c>
      <c r="D3980" s="5" t="str">
        <v>780541185694</v>
      </c>
      <c r="E3980" s="0" t="e">
        <f>+7 (812) 3197301
+7 (495) 2871973
+7 (495) 2871974
+7 (812) 3053555
+7 (812) 3197326
+7 (812) 3806772</f>
        <v>#NAME?</v>
      </c>
      <c r="F3980" s="5" t="s">
        <v>37283</v>
      </c>
      <c r="G3980" s="5" t="s">
        <v>37284</v>
      </c>
      <c r="H3980" s="26">
        <v>24</v>
      </c>
      <c r="I3980" s="5" t="s">
        <v>37285</v>
      </c>
      <c r="J3980" s="5" t="s">
        <v>25253</v>
      </c>
      <c r="K3980" s="5" t="s">
        <v>344</v>
      </c>
      <c r="L3980" s="5" t="s">
        <v>37286</v>
      </c>
      <c r="M3980" s="27">
        <v>184343</v>
      </c>
      <c r="N3980" s="5"/>
      <c r="O3980" s="5" t="str">
        <v>7816136062</v>
      </c>
      <c r="P3980" s="27">
        <v>10500000</v>
      </c>
      <c r="Q3980" s="5" t="s">
        <v>49009</v>
      </c>
      <c r="R3980" s="5"/>
      <c r="S3980" s="5" t="s">
        <v>49066</v>
      </c>
      <c r="T3980" s="28">
        <v>15320000</v>
      </c>
      <c r="U3980" s="28"/>
      <c r="V3980" s="28">
        <v>1849375000</v>
      </c>
      <c r="W3980" s="28">
        <v>50453000</v>
      </c>
      <c r="X3980" s="28">
        <v>38194000</v>
      </c>
      <c r="Y3980" s="28">
        <v>2440594000</v>
      </c>
      <c r="Z3980" s="28">
        <v>416969000</v>
      </c>
      <c r="AA3980" s="28">
        <v>373419000</v>
      </c>
      <c r="AB3980" s="28">
        <v>508279000</v>
      </c>
      <c r="AC3980" s="28">
        <v>1640205000</v>
      </c>
      <c r="AD3980" s="28">
        <v>426969000</v>
      </c>
      <c r="AE3980" s="28">
        <v>15660476000</v>
      </c>
      <c r="AF3980" s="28">
        <v>159235000</v>
      </c>
      <c r="AG3980" s="11"/>
    </row>
    <row r="3981">
      <c r="A3981" s="7" t="s">
        <v>5635</v>
      </c>
      <c r="B3981" s="5" t="s">
        <v>13592</v>
      </c>
      <c r="C3981" s="5" t="s">
        <v>21372</v>
      </c>
      <c r="D3981" s="5" t="str">
        <v>860221690271</v>
      </c>
      <c r="E3981" s="0" t="e">
        <f>+7 (912) 8146423</f>
        <v>#NAME?</v>
      </c>
      <c r="F3981" s="5" t="s">
        <v>37287</v>
      </c>
      <c r="G3981" s="5"/>
      <c r="H3981" s="26">
        <v>7.5</v>
      </c>
      <c r="I3981" s="5" t="s">
        <v>37288</v>
      </c>
      <c r="J3981" s="5" t="s">
        <v>30764</v>
      </c>
      <c r="K3981" s="5" t="s">
        <v>344</v>
      </c>
      <c r="L3981" s="5" t="s">
        <v>37289</v>
      </c>
      <c r="M3981" s="27"/>
      <c r="N3981" s="5" t="s">
        <v>55500</v>
      </c>
      <c r="O3981" s="5" t="str">
        <v>7801291530</v>
      </c>
      <c r="P3981" s="27">
        <v>600000</v>
      </c>
      <c r="Q3981" s="5"/>
      <c r="R3981" s="5"/>
      <c r="S3981" s="5" t="s">
        <v>49110</v>
      </c>
      <c r="T3981" s="28">
        <v>3986000</v>
      </c>
      <c r="U3981" s="28"/>
      <c r="V3981" s="28">
        <v>117501000</v>
      </c>
      <c r="W3981" s="28"/>
      <c r="X3981" s="28">
        <v>881000</v>
      </c>
      <c r="Y3981" s="28">
        <v>334947000</v>
      </c>
      <c r="Z3981" s="28">
        <v>236273000</v>
      </c>
      <c r="AA3981" s="28"/>
      <c r="AB3981" s="28">
        <v>66795000</v>
      </c>
      <c r="AC3981" s="28">
        <v>97874000</v>
      </c>
      <c r="AD3981" s="28">
        <v>236873000</v>
      </c>
      <c r="AE3981" s="28">
        <v>3149426000</v>
      </c>
      <c r="AF3981" s="28">
        <v>89295000</v>
      </c>
      <c r="AG3981" s="11"/>
    </row>
    <row r="3982">
      <c r="A3982" s="7" t="s">
        <v>5636</v>
      </c>
      <c r="B3982" s="5" t="s">
        <v>13593</v>
      </c>
      <c r="C3982" s="5" t="s">
        <v>21373</v>
      </c>
      <c r="D3982" s="5" t="str">
        <v>781428970968</v>
      </c>
      <c r="F3982" s="5" t="s">
        <v>37290</v>
      </c>
      <c r="G3982" s="5"/>
      <c r="H3982" s="26">
        <v>8</v>
      </c>
      <c r="I3982" s="5" t="s">
        <v>37291</v>
      </c>
      <c r="J3982" s="5" t="s">
        <v>641</v>
      </c>
      <c r="K3982" s="5" t="s">
        <v>355</v>
      </c>
      <c r="L3982" s="5"/>
      <c r="M3982" s="27">
        <v>17707</v>
      </c>
      <c r="N3982" s="5" t="s">
        <v>55501</v>
      </c>
      <c r="O3982" s="5" t="str">
        <v>7816151303</v>
      </c>
      <c r="P3982" s="27">
        <v>50000</v>
      </c>
      <c r="Q3982" s="5" t="s">
        <v>49021</v>
      </c>
      <c r="R3982" s="5"/>
      <c r="S3982" s="5" t="s">
        <v>55502</v>
      </c>
      <c r="T3982" s="28">
        <v>36437000</v>
      </c>
      <c r="U3982" s="28"/>
      <c r="V3982" s="28">
        <v>1549706000</v>
      </c>
      <c r="W3982" s="28">
        <v>8363000</v>
      </c>
      <c r="X3982" s="28">
        <v>38710000</v>
      </c>
      <c r="Y3982" s="28">
        <v>2629961000</v>
      </c>
      <c r="Z3982" s="28">
        <v>55445000</v>
      </c>
      <c r="AA3982" s="28"/>
      <c r="AB3982" s="28"/>
      <c r="AC3982" s="28">
        <v>2530439000</v>
      </c>
      <c r="AD3982" s="28">
        <v>96723000</v>
      </c>
      <c r="AE3982" s="28">
        <v>3567367000</v>
      </c>
      <c r="AF3982" s="28">
        <v>18840000</v>
      </c>
      <c r="AG3982" s="11"/>
    </row>
    <row r="3983">
      <c r="A3983" s="7" t="s">
        <v>5637</v>
      </c>
      <c r="B3983" s="5" t="s">
        <v>13594</v>
      </c>
      <c r="C3983" s="5" t="s">
        <v>21374</v>
      </c>
      <c r="D3983" s="5" t="str">
        <v>280700403890</v>
      </c>
      <c r="E3983" s="0" t="e">
        <f>+7 (421) 2475676
+7 (421) 2543114
+7 (421) 2573326
+7 (800) 1009948
+7 (800) 4448800
+7 (924) 1055170</f>
        <v>#NAME?</v>
      </c>
      <c r="F3983" s="5"/>
      <c r="G3983" s="5" t="s">
        <v>26754</v>
      </c>
      <c r="H3983" s="26">
        <v>17.5</v>
      </c>
      <c r="I3983" s="5" t="s">
        <v>37292</v>
      </c>
      <c r="J3983" s="5" t="s">
        <v>26511</v>
      </c>
      <c r="K3983" s="5" t="s">
        <v>355</v>
      </c>
      <c r="L3983" s="5" t="s">
        <v>37293</v>
      </c>
      <c r="M3983" s="27"/>
      <c r="N3983" s="5"/>
      <c r="O3983" s="5" t="str">
        <v>2720030404</v>
      </c>
      <c r="P3983" s="27">
        <v>33956</v>
      </c>
      <c r="Q3983" s="5" t="s">
        <v>49009</v>
      </c>
      <c r="R3983" s="5"/>
      <c r="S3983" s="5" t="s">
        <v>49010</v>
      </c>
      <c r="T3983" s="28"/>
      <c r="U3983" s="28"/>
      <c r="V3983" s="28">
        <v>346500000</v>
      </c>
      <c r="W3983" s="28">
        <v>1486590000</v>
      </c>
      <c r="X3983" s="28">
        <v>187554000</v>
      </c>
      <c r="Y3983" s="28">
        <v>2020644000</v>
      </c>
      <c r="Z3983" s="28">
        <v>4631453000</v>
      </c>
      <c r="AA3983" s="28"/>
      <c r="AB3983" s="28"/>
      <c r="AC3983" s="28">
        <v>1525843000</v>
      </c>
      <c r="AD3983" s="28">
        <v>494801000</v>
      </c>
      <c r="AE3983" s="28">
        <v>3557647000</v>
      </c>
      <c r="AF3983" s="28">
        <v>258915000</v>
      </c>
      <c r="AG3983" s="11"/>
    </row>
    <row r="3984">
      <c r="A3984" s="7" t="s">
        <v>5638</v>
      </c>
      <c r="B3984" s="5" t="s">
        <v>13595</v>
      </c>
      <c r="C3984" s="5" t="s">
        <v>21375</v>
      </c>
      <c r="D3984" s="5" t="str">
        <v>781900677220</v>
      </c>
      <c r="E3984" s="0" t="e">
        <f>+7 (812) 3323444
+7 (812) 3323555
+7 (812) 3353535
+7 (812) 4143015</f>
        <v>#NAME?</v>
      </c>
      <c r="F3984" s="5" t="s">
        <v>37294</v>
      </c>
      <c r="G3984" s="5"/>
      <c r="H3984" s="26">
        <v>16.5</v>
      </c>
      <c r="I3984" s="5" t="s">
        <v>37295</v>
      </c>
      <c r="J3984" s="5" t="s">
        <v>27085</v>
      </c>
      <c r="K3984" s="5" t="s">
        <v>344</v>
      </c>
      <c r="L3984" s="5" t="s">
        <v>37296</v>
      </c>
      <c r="M3984" s="27"/>
      <c r="N3984" s="5"/>
      <c r="O3984" s="5" t="str">
        <v>7839342960</v>
      </c>
      <c r="P3984" s="27">
        <v>21050000</v>
      </c>
      <c r="Q3984" s="5" t="s">
        <v>49021</v>
      </c>
      <c r="R3984" s="5"/>
      <c r="S3984" s="5" t="s">
        <v>55503</v>
      </c>
      <c r="T3984" s="28">
        <v>356383000</v>
      </c>
      <c r="U3984" s="28"/>
      <c r="V3984" s="28">
        <v>1051514000</v>
      </c>
      <c r="W3984" s="28"/>
      <c r="X3984" s="28">
        <v>79590000</v>
      </c>
      <c r="Y3984" s="28">
        <v>4008427000</v>
      </c>
      <c r="Z3984" s="28">
        <v>1041163000</v>
      </c>
      <c r="AA3984" s="28">
        <v>947236000</v>
      </c>
      <c r="AB3984" s="28">
        <v>964899000</v>
      </c>
      <c r="AC3984" s="28">
        <v>1804698000</v>
      </c>
      <c r="AD3984" s="28">
        <v>1062213000</v>
      </c>
      <c r="AE3984" s="28">
        <v>7296416000</v>
      </c>
      <c r="AF3984" s="28">
        <v>412896000</v>
      </c>
      <c r="AG3984" s="11"/>
    </row>
    <row r="3985">
      <c r="A3985" s="7" t="s">
        <v>5639</v>
      </c>
      <c r="B3985" s="5" t="s">
        <v>13596</v>
      </c>
      <c r="C3985" s="5" t="s">
        <v>21376</v>
      </c>
      <c r="D3985" s="5" t="str">
        <v>151403034344</v>
      </c>
      <c r="E3985" s="0" t="e">
        <f>+7 (812) 3866556
+7 (911) 9625304</f>
        <v>#NAME?</v>
      </c>
      <c r="F3985" s="5" t="s">
        <v>37297</v>
      </c>
      <c r="G3985" s="5"/>
      <c r="H3985" s="26">
        <v>7.5</v>
      </c>
      <c r="I3985" s="5" t="s">
        <v>37298</v>
      </c>
      <c r="J3985" s="5" t="s">
        <v>25938</v>
      </c>
      <c r="K3985" s="5" t="s">
        <v>344</v>
      </c>
      <c r="L3985" s="5" t="s">
        <v>37299</v>
      </c>
      <c r="M3985" s="27"/>
      <c r="N3985" s="5"/>
      <c r="O3985" s="5" t="str">
        <v>7816282585</v>
      </c>
      <c r="P3985" s="27">
        <v>10000</v>
      </c>
      <c r="Q3985" s="5" t="s">
        <v>49059</v>
      </c>
      <c r="R3985" s="5"/>
      <c r="S3985" s="5" t="s">
        <v>49066</v>
      </c>
      <c r="T3985" s="28">
        <v>72000</v>
      </c>
      <c r="U3985" s="28"/>
      <c r="V3985" s="28">
        <v>474602000</v>
      </c>
      <c r="W3985" s="28"/>
      <c r="X3985" s="28">
        <v>74898000</v>
      </c>
      <c r="Y3985" s="28">
        <v>687995000</v>
      </c>
      <c r="Z3985" s="28">
        <v>128080000</v>
      </c>
      <c r="AA3985" s="28"/>
      <c r="AB3985" s="28">
        <v>130000000</v>
      </c>
      <c r="AC3985" s="28">
        <v>559905000</v>
      </c>
      <c r="AD3985" s="28">
        <v>128090000</v>
      </c>
      <c r="AE3985" s="28">
        <v>5425218000</v>
      </c>
      <c r="AF3985" s="28">
        <v>29991000</v>
      </c>
      <c r="AG3985" s="11"/>
    </row>
    <row r="3986">
      <c r="A3986" s="7" t="s">
        <v>5640</v>
      </c>
      <c r="B3986" s="5" t="s">
        <v>13597</v>
      </c>
      <c r="C3986" s="5" t="s">
        <v>21377</v>
      </c>
      <c r="D3986" s="5" t="str">
        <v>781417853821</v>
      </c>
      <c r="E3986" s="0" t="e">
        <f>+7 (383) 2112717
+7 (495) 7975959
+7 (812) 6779334
+7 (812) 6779335
+7 (812) 7033228
+7 (831) 2745672
+7 (84627) 79767
+7 (84627) 79768
+7 (84627) 79769
+7 (8632) 324723
+7 (8632) 324878
+7 (8632) 349855
+7 (916) 7975050
+7 (916) 7975353
+7 (919) 7750188</f>
        <v>#NAME?</v>
      </c>
      <c r="F3986" s="5" t="s">
        <v>37300</v>
      </c>
      <c r="G3986" s="5" t="s">
        <v>37301</v>
      </c>
      <c r="H3986" s="26">
        <v>22.5</v>
      </c>
      <c r="I3986" s="5" t="s">
        <v>37302</v>
      </c>
      <c r="J3986" s="5" t="s">
        <v>26828</v>
      </c>
      <c r="K3986" s="5" t="s">
        <v>344</v>
      </c>
      <c r="L3986" s="5" t="s">
        <v>37303</v>
      </c>
      <c r="M3986" s="27"/>
      <c r="N3986" s="5" t="s">
        <v>55504</v>
      </c>
      <c r="O3986" s="5" t="str">
        <v>7826732473</v>
      </c>
      <c r="P3986" s="27">
        <v>10000</v>
      </c>
      <c r="Q3986" s="5" t="s">
        <v>55505</v>
      </c>
      <c r="R3986" s="5"/>
      <c r="S3986" s="5" t="s">
        <v>49361</v>
      </c>
      <c r="T3986" s="28">
        <v>599000</v>
      </c>
      <c r="U3986" s="28">
        <v>650329000</v>
      </c>
      <c r="V3986" s="28">
        <v>185500000</v>
      </c>
      <c r="W3986" s="28"/>
      <c r="X3986" s="28">
        <v>1758000</v>
      </c>
      <c r="Y3986" s="28">
        <v>991929000</v>
      </c>
      <c r="Z3986" s="28">
        <v>36200000</v>
      </c>
      <c r="AA3986" s="28"/>
      <c r="AB3986" s="28">
        <v>98902000</v>
      </c>
      <c r="AC3986" s="28">
        <v>955719000</v>
      </c>
      <c r="AD3986" s="28">
        <v>36210000</v>
      </c>
      <c r="AE3986" s="28">
        <v>3971344000</v>
      </c>
      <c r="AF3986" s="28">
        <v>70948000</v>
      </c>
      <c r="AG3986" s="11"/>
    </row>
    <row r="3987">
      <c r="A3987" s="7" t="s">
        <v>5641</v>
      </c>
      <c r="B3987" s="5" t="s">
        <v>13598</v>
      </c>
      <c r="C3987" s="5" t="s">
        <v>19764</v>
      </c>
      <c r="D3987" s="5" t="str">
        <v>781006831028</v>
      </c>
      <c r="E3987" s="0" t="e">
        <f>+7 (800) 2002040
+7 (812) 3205120
+7 (812) 3205121
+7 (812) 3205126
+7 (812) 3205129
+7 (812) 3263170
+7 (812) 3265120
+7 (812) 3265126
+7 (812) 5673787
+7 (812) 5673829
+7 (812) 5675622</f>
        <v>#NAME?</v>
      </c>
      <c r="F3987" s="5" t="s">
        <v>37304</v>
      </c>
      <c r="G3987" s="5"/>
      <c r="H3987" s="26">
        <v>30.5</v>
      </c>
      <c r="I3987" s="5" t="s">
        <v>37305</v>
      </c>
      <c r="J3987" s="5" t="s">
        <v>27147</v>
      </c>
      <c r="K3987" s="5" t="s">
        <v>344</v>
      </c>
      <c r="L3987" s="5" t="s">
        <v>37306</v>
      </c>
      <c r="M3987" s="27"/>
      <c r="N3987" s="5" t="s">
        <v>50288</v>
      </c>
      <c r="O3987" s="5" t="str">
        <v>7811038047</v>
      </c>
      <c r="P3987" s="27">
        <v>2250000</v>
      </c>
      <c r="Q3987" s="5" t="s">
        <v>49009</v>
      </c>
      <c r="R3987" s="5"/>
      <c r="S3987" s="5" t="s">
        <v>49028</v>
      </c>
      <c r="T3987" s="28">
        <v>1881768000</v>
      </c>
      <c r="U3987" s="28">
        <v>16314115000</v>
      </c>
      <c r="V3987" s="28">
        <v>1979021000</v>
      </c>
      <c r="W3987" s="28">
        <v>6568391000</v>
      </c>
      <c r="X3987" s="28">
        <v>63981000</v>
      </c>
      <c r="Y3987" s="28">
        <v>30222882000</v>
      </c>
      <c r="Z3987" s="28">
        <v>28613693000</v>
      </c>
      <c r="AA3987" s="28"/>
      <c r="AB3987" s="28">
        <v>13200000</v>
      </c>
      <c r="AC3987" s="28">
        <v>1168647000</v>
      </c>
      <c r="AD3987" s="28">
        <v>28613328000</v>
      </c>
      <c r="AE3987" s="28">
        <v>18005551000</v>
      </c>
      <c r="AF3987" s="28">
        <v>5018361000</v>
      </c>
      <c r="AG3987" s="11"/>
    </row>
    <row r="3988">
      <c r="A3988" s="7" t="s">
        <v>5642</v>
      </c>
      <c r="B3988" s="5" t="s">
        <v>13599</v>
      </c>
      <c r="C3988" s="5" t="s">
        <v>21378</v>
      </c>
      <c r="D3988" s="5" t="str">
        <v>770301104173</v>
      </c>
      <c r="E3988" s="0" t="e">
        <f>+7 (812) 7021670
+7 (812) 7021674
+7 (81375) 54002
+7 (81375) 54003
+7 (81375) 54004
+7 (81375) 54080
+7 (81375) 54084</f>
        <v>#NAME?</v>
      </c>
      <c r="F3988" s="5" t="s">
        <v>37307</v>
      </c>
      <c r="G3988" s="5"/>
      <c r="H3988" s="26">
        <v>13</v>
      </c>
      <c r="I3988" s="5" t="s">
        <v>37308</v>
      </c>
      <c r="J3988" s="5" t="s">
        <v>26180</v>
      </c>
      <c r="K3988" s="5" t="s">
        <v>344</v>
      </c>
      <c r="L3988" s="5" t="s">
        <v>37309</v>
      </c>
      <c r="M3988" s="27"/>
      <c r="N3988" s="5" t="s">
        <v>55506</v>
      </c>
      <c r="O3988" s="5" t="str">
        <v>4707029837</v>
      </c>
      <c r="P3988" s="27">
        <v>893205000</v>
      </c>
      <c r="Q3988" s="5" t="s">
        <v>55507</v>
      </c>
      <c r="R3988" s="5"/>
      <c r="S3988" s="5" t="s">
        <v>55508</v>
      </c>
      <c r="T3988" s="28">
        <v>1777025000</v>
      </c>
      <c r="U3988" s="28"/>
      <c r="V3988" s="28">
        <v>75812000</v>
      </c>
      <c r="W3988" s="28"/>
      <c r="X3988" s="28">
        <v>1369647000</v>
      </c>
      <c r="Y3988" s="28">
        <v>3545185000</v>
      </c>
      <c r="Z3988" s="28">
        <v>2312959000</v>
      </c>
      <c r="AA3988" s="28"/>
      <c r="AB3988" s="28"/>
      <c r="AC3988" s="28">
        <v>322486000</v>
      </c>
      <c r="AD3988" s="28">
        <v>3206164000</v>
      </c>
      <c r="AE3988" s="28">
        <v>6213706000</v>
      </c>
      <c r="AF3988" s="28">
        <v>4583772000</v>
      </c>
      <c r="AG3988" s="11"/>
    </row>
    <row r="3989">
      <c r="A3989" s="7" t="s">
        <v>5643</v>
      </c>
      <c r="B3989" s="5" t="s">
        <v>13600</v>
      </c>
      <c r="C3989" s="5" t="s">
        <v>21379</v>
      </c>
      <c r="D3989" s="5" t="str">
        <v>781409688109</v>
      </c>
      <c r="E3989" s="0" t="e">
        <f>+7 (812) 3197301
+7 (812) 3197326
+7 (812) 3053555
+7 (812) 3806770
+7 (812) 3806771</f>
        <v>#NAME?</v>
      </c>
      <c r="F3989" s="5"/>
      <c r="G3989" s="5" t="s">
        <v>37284</v>
      </c>
      <c r="H3989" s="26">
        <v>25.5</v>
      </c>
      <c r="I3989" s="5" t="s">
        <v>37310</v>
      </c>
      <c r="J3989" s="5" t="s">
        <v>25231</v>
      </c>
      <c r="K3989" s="5" t="s">
        <v>344</v>
      </c>
      <c r="L3989" s="5" t="s">
        <v>37311</v>
      </c>
      <c r="M3989" s="27"/>
      <c r="N3989" s="5"/>
      <c r="O3989" s="5" t="str">
        <v>7811063861</v>
      </c>
      <c r="P3989" s="27">
        <v>10000</v>
      </c>
      <c r="Q3989" s="5"/>
      <c r="R3989" s="5"/>
      <c r="S3989" s="5" t="s">
        <v>49123</v>
      </c>
      <c r="T3989" s="28">
        <v>163838000</v>
      </c>
      <c r="U3989" s="28"/>
      <c r="V3989" s="28">
        <v>99200000</v>
      </c>
      <c r="W3989" s="28"/>
      <c r="X3989" s="28">
        <v>40000</v>
      </c>
      <c r="Y3989" s="28">
        <v>310253000</v>
      </c>
      <c r="Z3989" s="28">
        <v>161987000</v>
      </c>
      <c r="AA3989" s="28"/>
      <c r="AB3989" s="28"/>
      <c r="AC3989" s="28">
        <v>148258000</v>
      </c>
      <c r="AD3989" s="28">
        <v>161995000</v>
      </c>
      <c r="AE3989" s="28">
        <v>6441127000</v>
      </c>
      <c r="AF3989" s="28">
        <v>61179000</v>
      </c>
      <c r="AG3989" s="11"/>
    </row>
    <row r="3990">
      <c r="A3990" s="7" t="s">
        <v>5644</v>
      </c>
      <c r="B3990" s="5" t="s">
        <v>13601</v>
      </c>
      <c r="C3990" s="5" t="s">
        <v>21380</v>
      </c>
      <c r="D3990" s="5" t="str">
        <v>782701496359</v>
      </c>
      <c r="E3990" s="0" t="e">
        <f>+7 (812) 3465855
+7 (812) 3465856
+7 (812) 3465857
+7 (812) 3465858</f>
        <v>#NAME?</v>
      </c>
      <c r="F3990" s="5" t="s">
        <v>37312</v>
      </c>
      <c r="G3990" s="5" t="s">
        <v>37313</v>
      </c>
      <c r="H3990" s="26">
        <v>22.5</v>
      </c>
      <c r="I3990" s="5" t="s">
        <v>37314</v>
      </c>
      <c r="J3990" s="5" t="s">
        <v>373</v>
      </c>
      <c r="K3990" s="5" t="s">
        <v>344</v>
      </c>
      <c r="L3990" s="5" t="s">
        <v>37315</v>
      </c>
      <c r="M3990" s="27">
        <v>8421901</v>
      </c>
      <c r="N3990" s="5" t="s">
        <v>55509</v>
      </c>
      <c r="O3990" s="5" t="str">
        <v>7811091700</v>
      </c>
      <c r="P3990" s="27">
        <v>30000</v>
      </c>
      <c r="Q3990" s="5" t="s">
        <v>55510</v>
      </c>
      <c r="R3990" s="5"/>
      <c r="S3990" s="5" t="s">
        <v>55511</v>
      </c>
      <c r="T3990" s="28">
        <v>59273000</v>
      </c>
      <c r="U3990" s="28"/>
      <c r="V3990" s="28">
        <v>1989281000</v>
      </c>
      <c r="W3990" s="28"/>
      <c r="X3990" s="28">
        <v>94932000</v>
      </c>
      <c r="Y3990" s="28">
        <v>2472014000</v>
      </c>
      <c r="Z3990" s="28">
        <v>846873000</v>
      </c>
      <c r="AA3990" s="28"/>
      <c r="AB3990" s="28">
        <v>977097000</v>
      </c>
      <c r="AC3990" s="28">
        <v>1561268000</v>
      </c>
      <c r="AD3990" s="28">
        <v>846903000</v>
      </c>
      <c r="AE3990" s="28">
        <v>27323637000</v>
      </c>
      <c r="AF3990" s="28">
        <v>292709000</v>
      </c>
      <c r="AG3990" s="11"/>
    </row>
    <row r="3991">
      <c r="A3991" s="7" t="s">
        <v>5645</v>
      </c>
      <c r="B3991" s="5" t="s">
        <v>13602</v>
      </c>
      <c r="C3991" s="5" t="s">
        <v>21381</v>
      </c>
      <c r="D3991" s="5" t="str">
        <v>780228470476</v>
      </c>
      <c r="E3991" s="0" t="e">
        <f>+7 (812) 6110805</f>
        <v>#NAME?</v>
      </c>
      <c r="F3991" s="5" t="s">
        <v>37316</v>
      </c>
      <c r="G3991" s="5" t="s">
        <v>37317</v>
      </c>
      <c r="H3991" s="26">
        <v>21</v>
      </c>
      <c r="I3991" s="5" t="s">
        <v>37318</v>
      </c>
      <c r="J3991" s="5" t="s">
        <v>26581</v>
      </c>
      <c r="K3991" s="5" t="s">
        <v>344</v>
      </c>
      <c r="L3991" s="5" t="s">
        <v>37319</v>
      </c>
      <c r="M3991" s="27"/>
      <c r="N3991" s="5"/>
      <c r="O3991" s="5" t="str">
        <v>7811122010</v>
      </c>
      <c r="P3991" s="27">
        <v>10010000</v>
      </c>
      <c r="Q3991" s="5" t="s">
        <v>49021</v>
      </c>
      <c r="R3991" s="5"/>
      <c r="S3991" s="5" t="s">
        <v>53331</v>
      </c>
      <c r="T3991" s="28">
        <v>302304000</v>
      </c>
      <c r="U3991" s="28">
        <v>61000</v>
      </c>
      <c r="V3991" s="28">
        <v>1348651000</v>
      </c>
      <c r="W3991" s="28">
        <v>221642000</v>
      </c>
      <c r="X3991" s="28">
        <v>1679000</v>
      </c>
      <c r="Y3991" s="28">
        <v>3102356000</v>
      </c>
      <c r="Z3991" s="28">
        <v>265125000</v>
      </c>
      <c r="AA3991" s="28">
        <v>439408000</v>
      </c>
      <c r="AB3991" s="28">
        <v>1662986000</v>
      </c>
      <c r="AC3991" s="28">
        <v>2142578000</v>
      </c>
      <c r="AD3991" s="28">
        <v>275135000</v>
      </c>
      <c r="AE3991" s="28">
        <v>4854493000</v>
      </c>
      <c r="AF3991" s="28">
        <v>55035000</v>
      </c>
      <c r="AG3991" s="11"/>
    </row>
    <row r="3992">
      <c r="A3992" s="7" t="s">
        <v>5646</v>
      </c>
      <c r="B3992" s="5" t="s">
        <v>13603</v>
      </c>
      <c r="C3992" s="5" t="s">
        <v>21382</v>
      </c>
      <c r="D3992" s="5" t="str">
        <v>333410418122</v>
      </c>
      <c r="E3992" s="0" t="e">
        <f>+7 (495) 6448840
+7 (812) 2122220
+7 (812) 2130710
+7 (812) 3050565
+7 (812) 3050655
+7 (812) 3165510
+7 (812) 3291766
+7 (812) 4326987
+7 (812) 4587027
+7 (812) 5132868
+7 (812) 5978936
+7 (812) 6463303
+7 (812) 6545555
+7 (812) 3038090
+7 (812) 4587020</f>
        <v>#NAME?</v>
      </c>
      <c r="F3992" s="5" t="s">
        <v>37320</v>
      </c>
      <c r="G3992" s="5" t="s">
        <v>37321</v>
      </c>
      <c r="H3992" s="26">
        <v>2</v>
      </c>
      <c r="I3992" s="5"/>
      <c r="J3992" s="5" t="s">
        <v>37322</v>
      </c>
      <c r="K3992" s="5" t="s">
        <v>344</v>
      </c>
      <c r="L3992" s="5"/>
      <c r="M3992" s="27"/>
      <c r="N3992" s="5" t="s">
        <v>55512</v>
      </c>
      <c r="O3992" s="5" t="str">
        <v>7804678913</v>
      </c>
      <c r="P3992" s="27">
        <v>99999996</v>
      </c>
      <c r="Q3992" s="5" t="s">
        <v>55513</v>
      </c>
      <c r="R3992" s="5"/>
      <c r="S3992" s="5" t="s">
        <v>50826</v>
      </c>
      <c r="T3992" s="28">
        <v>2250605000</v>
      </c>
      <c r="U3992" s="28"/>
      <c r="V3992" s="28">
        <v>3039514000</v>
      </c>
      <c r="W3992" s="28"/>
      <c r="X3992" s="28">
        <v>804523000</v>
      </c>
      <c r="Y3992" s="28">
        <v>6151342000</v>
      </c>
      <c r="Z3992" s="28">
        <v>1686699000</v>
      </c>
      <c r="AA3992" s="28">
        <v>1688037000</v>
      </c>
      <c r="AB3992" s="28"/>
      <c r="AC3992" s="28">
        <v>2414431000</v>
      </c>
      <c r="AD3992" s="28">
        <v>1786699000</v>
      </c>
      <c r="AE3992" s="28">
        <v>13295437000</v>
      </c>
      <c r="AF3992" s="28">
        <v>1773976000</v>
      </c>
      <c r="AG3992" s="11"/>
    </row>
    <row r="3993">
      <c r="A3993" s="7" t="s">
        <v>5647</v>
      </c>
      <c r="B3993" s="5" t="s">
        <v>13604</v>
      </c>
      <c r="C3993" s="5" t="s">
        <v>21383</v>
      </c>
      <c r="D3993" s="5" t="str">
        <v>400901144143</v>
      </c>
      <c r="E3993" s="0" t="e">
        <f>+7 (34668) 49040
+7 (346) 6649100
+7 (34668) 46939
+7 (34668) 49000
+7 (34668) 49005
+7 (34668) 49012
+7 (34668) 49026
+7 (34668) 49069
+7 (495) 2598377
+7 (499) 2598377
+7 (834) 6649100</f>
        <v>#NAME?</v>
      </c>
      <c r="F3993" s="5" t="s">
        <v>37323</v>
      </c>
      <c r="G3993" s="5"/>
      <c r="H3993" s="26">
        <v>30.5</v>
      </c>
      <c r="I3993" s="5"/>
      <c r="J3993" s="5" t="s">
        <v>26607</v>
      </c>
      <c r="K3993" s="5" t="s">
        <v>380</v>
      </c>
      <c r="L3993" s="5"/>
      <c r="M3993" s="27">
        <v>1480923</v>
      </c>
      <c r="N3993" s="5" t="s">
        <v>52205</v>
      </c>
      <c r="O3993" s="5" t="str">
        <v>8609000900</v>
      </c>
      <c r="P3993" s="27">
        <v>125000000</v>
      </c>
      <c r="Q3993" s="5" t="s">
        <v>55514</v>
      </c>
      <c r="R3993" s="5" t="s">
        <v>55515</v>
      </c>
      <c r="S3993" s="5" t="s">
        <v>55516</v>
      </c>
      <c r="T3993" s="28">
        <v>640556000</v>
      </c>
      <c r="U3993" s="28">
        <v>18441730000</v>
      </c>
      <c r="V3993" s="28">
        <v>32148722000</v>
      </c>
      <c r="W3993" s="28">
        <v>14098755000</v>
      </c>
      <c r="X3993" s="28">
        <v>1011000</v>
      </c>
      <c r="Y3993" s="28">
        <v>66715480000</v>
      </c>
      <c r="Z3993" s="28">
        <v>17019387000</v>
      </c>
      <c r="AA3993" s="28"/>
      <c r="AB3993" s="28">
        <v>6498780000</v>
      </c>
      <c r="AC3993" s="28">
        <v>48851572000</v>
      </c>
      <c r="AD3993" s="28">
        <v>17174252000</v>
      </c>
      <c r="AE3993" s="28">
        <v>7654077000</v>
      </c>
      <c r="AF3993" s="28">
        <v>2929982000</v>
      </c>
      <c r="AG3993" s="11"/>
    </row>
    <row r="3994">
      <c r="A3994" s="7" t="s">
        <v>5648</v>
      </c>
      <c r="B3994" s="5" t="s">
        <v>13605</v>
      </c>
      <c r="C3994" s="5" t="s">
        <v>21384</v>
      </c>
      <c r="D3994" s="5" t="str">
        <v>771411598103</v>
      </c>
      <c r="E3994" s="0" t="e">
        <f>+7 (495) 7858448
+7 (3432) 702212
+7 (3472) 469846
+7 (383) 3191213
+7 (391) 2160360
+7 (421) 2751900
+7 (424) 2229995
+7 (800) 5558448
+7 (812) 6555220
+7 (83141) 11558
+7 (83141) 11559
+7 (8435) 247053
+7 (844) 2260428
+7 (844) 2260429
+7 (846) 2071808</f>
        <v>#NAME?</v>
      </c>
      <c r="F3994" s="5"/>
      <c r="G3994" s="5" t="s">
        <v>37324</v>
      </c>
      <c r="H3994" s="26">
        <v>10</v>
      </c>
      <c r="I3994" s="5" t="s">
        <v>37325</v>
      </c>
      <c r="J3994" s="5" t="s">
        <v>25190</v>
      </c>
      <c r="K3994" s="5" t="s">
        <v>344</v>
      </c>
      <c r="L3994" s="5" t="s">
        <v>37326</v>
      </c>
      <c r="M3994" s="27">
        <v>177088</v>
      </c>
      <c r="N3994" s="5" t="s">
        <v>55517</v>
      </c>
      <c r="O3994" s="5" t="str">
        <v>7718915896</v>
      </c>
      <c r="P3994" s="27">
        <v>4500000</v>
      </c>
      <c r="Q3994" s="5" t="s">
        <v>49021</v>
      </c>
      <c r="R3994" s="5"/>
      <c r="S3994" s="5" t="s">
        <v>55518</v>
      </c>
      <c r="T3994" s="28">
        <v>339000</v>
      </c>
      <c r="U3994" s="28">
        <v>100925000</v>
      </c>
      <c r="V3994" s="28">
        <v>1624367000</v>
      </c>
      <c r="W3994" s="28">
        <v>98800000</v>
      </c>
      <c r="X3994" s="28">
        <v>1874894000</v>
      </c>
      <c r="Y3994" s="28">
        <v>3771099000</v>
      </c>
      <c r="Z3994" s="28">
        <v>560918000</v>
      </c>
      <c r="AA3994" s="28"/>
      <c r="AB3994" s="28"/>
      <c r="AC3994" s="28">
        <v>3205471000</v>
      </c>
      <c r="AD3994" s="28">
        <v>565418000</v>
      </c>
      <c r="AE3994" s="28">
        <v>6567431000</v>
      </c>
      <c r="AF3994" s="28">
        <v>492973000</v>
      </c>
      <c r="AG3994" s="11"/>
    </row>
    <row r="3995">
      <c r="A3995" s="7" t="s">
        <v>5649</v>
      </c>
      <c r="B3995" s="5" t="s">
        <v>13606</v>
      </c>
      <c r="C3995" s="5" t="s">
        <v>21385</v>
      </c>
      <c r="D3995" s="5" t="str">
        <v>561000666718</v>
      </c>
      <c r="E3995" s="0" t="e">
        <f>+7 (35324) 47555
+7 (35323) 5814
+7 (495) 2984863</f>
        <v>#NAME?</v>
      </c>
      <c r="F3995" s="5"/>
      <c r="G3995" s="5"/>
      <c r="H3995" s="26">
        <v>21.5</v>
      </c>
      <c r="I3995" s="5" t="s">
        <v>37327</v>
      </c>
      <c r="J3995" s="5" t="s">
        <v>26607</v>
      </c>
      <c r="K3995" s="5" t="s">
        <v>344</v>
      </c>
      <c r="L3995" s="5" t="s">
        <v>37328</v>
      </c>
      <c r="M3995" s="27"/>
      <c r="N3995" s="5" t="s">
        <v>49923</v>
      </c>
      <c r="O3995" s="5" t="str">
        <v>5610067904</v>
      </c>
      <c r="P3995" s="27">
        <v>1530000</v>
      </c>
      <c r="Q3995" s="5" t="s">
        <v>49059</v>
      </c>
      <c r="R3995" s="5"/>
      <c r="S3995" s="5" t="s">
        <v>49045</v>
      </c>
      <c r="T3995" s="28">
        <v>1595514000</v>
      </c>
      <c r="U3995" s="28">
        <v>15000</v>
      </c>
      <c r="V3995" s="28">
        <v>331229000</v>
      </c>
      <c r="W3995" s="28">
        <v>1003458000</v>
      </c>
      <c r="X3995" s="28">
        <v>880093000</v>
      </c>
      <c r="Y3995" s="28">
        <v>3840304000</v>
      </c>
      <c r="Z3995" s="28">
        <v>3162994000</v>
      </c>
      <c r="AA3995" s="28"/>
      <c r="AB3995" s="28"/>
      <c r="AC3995" s="28">
        <v>450197000</v>
      </c>
      <c r="AD3995" s="28">
        <v>3166962000</v>
      </c>
      <c r="AE3995" s="28">
        <v>3843730000</v>
      </c>
      <c r="AF3995" s="28">
        <v>179890000</v>
      </c>
      <c r="AG3995" s="11"/>
    </row>
    <row r="3996">
      <c r="A3996" s="7" t="s">
        <v>5650</v>
      </c>
      <c r="B3996" s="5" t="s">
        <v>13607</v>
      </c>
      <c r="C3996" s="5" t="s">
        <v>21386</v>
      </c>
      <c r="D3996" s="5" t="str">
        <v>664800383393</v>
      </c>
      <c r="E3996" s="0" t="e">
        <f>+7 (34356) 47101
+7 (34356) 21335
+7 (34356) 42001
+7 (34356) 47102
+7 (34356) 47103
+7 (912) 2600949</f>
        <v>#NAME?</v>
      </c>
      <c r="F3996" s="5" t="s">
        <v>37329</v>
      </c>
      <c r="G3996" s="5" t="s">
        <v>37330</v>
      </c>
      <c r="H3996" s="26">
        <v>29</v>
      </c>
      <c r="I3996" s="5" t="s">
        <v>37331</v>
      </c>
      <c r="J3996" s="5" t="s">
        <v>26499</v>
      </c>
      <c r="K3996" s="5" t="s">
        <v>344</v>
      </c>
      <c r="L3996" s="5" t="s">
        <v>37332</v>
      </c>
      <c r="M3996" s="27"/>
      <c r="N3996" s="5"/>
      <c r="O3996" s="5" t="str">
        <v>6621001424</v>
      </c>
      <c r="P3996" s="27">
        <v>534000</v>
      </c>
      <c r="Q3996" s="5" t="s">
        <v>49579</v>
      </c>
      <c r="R3996" s="5"/>
      <c r="S3996" s="5" t="s">
        <v>55519</v>
      </c>
      <c r="T3996" s="28">
        <v>1018399000</v>
      </c>
      <c r="U3996" s="28">
        <v>74559000</v>
      </c>
      <c r="V3996" s="28">
        <v>180330000</v>
      </c>
      <c r="W3996" s="28"/>
      <c r="X3996" s="28">
        <v>30331000</v>
      </c>
      <c r="Y3996" s="28">
        <v>3774315000</v>
      </c>
      <c r="Z3996" s="28">
        <v>3486795000</v>
      </c>
      <c r="AA3996" s="28"/>
      <c r="AB3996" s="28"/>
      <c r="AC3996" s="28">
        <v>49556000</v>
      </c>
      <c r="AD3996" s="28">
        <v>3494914000</v>
      </c>
      <c r="AE3996" s="28">
        <v>3835056000</v>
      </c>
      <c r="AF3996" s="28">
        <v>377769000</v>
      </c>
      <c r="AG3996" s="11"/>
    </row>
    <row r="3997">
      <c r="A3997" s="7" t="s">
        <v>5651</v>
      </c>
      <c r="B3997" s="5" t="s">
        <v>13608</v>
      </c>
      <c r="C3997" s="5" t="s">
        <v>21387</v>
      </c>
      <c r="D3997" s="5" t="str">
        <v>500307413900</v>
      </c>
      <c r="E3997" s="0" t="e">
        <f>+7 (985) 259375</f>
        <v>#NAME?</v>
      </c>
      <c r="F3997" s="5" t="s">
        <v>37333</v>
      </c>
      <c r="G3997" s="5"/>
      <c r="H3997" s="26">
        <v>6</v>
      </c>
      <c r="I3997" s="5" t="s">
        <v>37334</v>
      </c>
      <c r="J3997" s="5" t="s">
        <v>27182</v>
      </c>
      <c r="K3997" s="5" t="s">
        <v>355</v>
      </c>
      <c r="L3997" s="5"/>
      <c r="M3997" s="27"/>
      <c r="N3997" s="5"/>
      <c r="O3997" s="5" t="str">
        <v>7720372679</v>
      </c>
      <c r="P3997" s="27">
        <v>20000</v>
      </c>
      <c r="Q3997" s="5" t="s">
        <v>49207</v>
      </c>
      <c r="R3997" s="5"/>
      <c r="S3997" s="5" t="s">
        <v>49311</v>
      </c>
      <c r="T3997" s="28">
        <v>43577000</v>
      </c>
      <c r="U3997" s="28"/>
      <c r="V3997" s="28">
        <v>2835869000</v>
      </c>
      <c r="W3997" s="28"/>
      <c r="X3997" s="28">
        <v>701427000</v>
      </c>
      <c r="Y3997" s="28">
        <v>5716527000</v>
      </c>
      <c r="Z3997" s="28">
        <v>3114655000</v>
      </c>
      <c r="AA3997" s="28">
        <v>562000</v>
      </c>
      <c r="AB3997" s="28">
        <v>545091000</v>
      </c>
      <c r="AC3997" s="28">
        <v>2601300000</v>
      </c>
      <c r="AD3997" s="28">
        <v>3114665000</v>
      </c>
      <c r="AE3997" s="28">
        <v>19825365000</v>
      </c>
      <c r="AF3997" s="28">
        <v>1156091000</v>
      </c>
      <c r="AG3997" s="11"/>
    </row>
    <row r="3998">
      <c r="A3998" s="7" t="s">
        <v>5652</v>
      </c>
      <c r="B3998" s="5" t="s">
        <v>13609</v>
      </c>
      <c r="C3998" s="5" t="s">
        <v>21388</v>
      </c>
      <c r="D3998" s="5" t="str">
        <v>631606729818</v>
      </c>
      <c r="E3998" s="0" t="e">
        <f>+7 (846) 2552707
+7 (846) 2552709
+7 (846) 9735911
+7 (846) 9735938
+7 (846) 9735943
+7 (846) 9775080
+7 (84695) 52709
+7 (84695) 52714
+7 (937) 696747</f>
        <v>#NAME?</v>
      </c>
      <c r="F3998" s="5" t="s">
        <v>37335</v>
      </c>
      <c r="G3998" s="5" t="s">
        <v>37336</v>
      </c>
      <c r="H3998" s="26">
        <v>22</v>
      </c>
      <c r="I3998" s="5" t="s">
        <v>37337</v>
      </c>
      <c r="J3998" s="5" t="s">
        <v>37338</v>
      </c>
      <c r="K3998" s="5" t="s">
        <v>344</v>
      </c>
      <c r="L3998" s="5" t="s">
        <v>37339</v>
      </c>
      <c r="M3998" s="27"/>
      <c r="N3998" s="5" t="s">
        <v>55520</v>
      </c>
      <c r="O3998" s="5" t="str">
        <v>6318304749</v>
      </c>
      <c r="P3998" s="27">
        <v>200000</v>
      </c>
      <c r="Q3998" s="5" t="s">
        <v>49009</v>
      </c>
      <c r="R3998" s="5"/>
      <c r="S3998" s="5" t="s">
        <v>49884</v>
      </c>
      <c r="T3998" s="28">
        <v>1167033000</v>
      </c>
      <c r="U3998" s="28"/>
      <c r="V3998" s="28">
        <v>792433000</v>
      </c>
      <c r="W3998" s="28">
        <v>164000000</v>
      </c>
      <c r="X3998" s="28">
        <v>192383000</v>
      </c>
      <c r="Y3998" s="28">
        <v>3292877000</v>
      </c>
      <c r="Z3998" s="28">
        <v>2136513000</v>
      </c>
      <c r="AA3998" s="28"/>
      <c r="AB3998" s="28">
        <v>124908000</v>
      </c>
      <c r="AC3998" s="28">
        <v>440008000</v>
      </c>
      <c r="AD3998" s="28">
        <v>2136721000</v>
      </c>
      <c r="AE3998" s="28">
        <v>4876719000</v>
      </c>
      <c r="AF3998" s="28">
        <v>1024656000</v>
      </c>
      <c r="AG3998" s="11"/>
    </row>
    <row r="3999">
      <c r="A3999" s="7" t="s">
        <v>5653</v>
      </c>
      <c r="B3999" s="5" t="s">
        <v>13610</v>
      </c>
      <c r="C3999" s="5" t="s">
        <v>21389</v>
      </c>
      <c r="D3999" s="5" t="str">
        <v>504900159820</v>
      </c>
      <c r="F3999" s="5"/>
      <c r="G3999" s="5" t="s">
        <v>37340</v>
      </c>
      <c r="H3999" s="26">
        <v>6.5</v>
      </c>
      <c r="I3999" s="5" t="s">
        <v>37341</v>
      </c>
      <c r="J3999" s="5" t="s">
        <v>27497</v>
      </c>
      <c r="K3999" s="5" t="s">
        <v>344</v>
      </c>
      <c r="L3999" s="5" t="s">
        <v>37342</v>
      </c>
      <c r="M3999" s="27"/>
      <c r="N3999" s="5" t="s">
        <v>51979</v>
      </c>
      <c r="O3999" s="5" t="str">
        <v>5003119116</v>
      </c>
      <c r="P3999" s="27">
        <v>2000000</v>
      </c>
      <c r="Q3999" s="5" t="s">
        <v>49021</v>
      </c>
      <c r="R3999" s="5"/>
      <c r="S3999" s="5" t="s">
        <v>55521</v>
      </c>
      <c r="T3999" s="28">
        <v>39710000</v>
      </c>
      <c r="U3999" s="28"/>
      <c r="V3999" s="28">
        <v>902740000</v>
      </c>
      <c r="W3999" s="28">
        <v>21486000</v>
      </c>
      <c r="X3999" s="28">
        <v>8106000</v>
      </c>
      <c r="Y3999" s="28">
        <v>1400015000</v>
      </c>
      <c r="Z3999" s="28">
        <v>127056000</v>
      </c>
      <c r="AA3999" s="28"/>
      <c r="AB3999" s="28">
        <v>388446000</v>
      </c>
      <c r="AC3999" s="28">
        <v>1262527000</v>
      </c>
      <c r="AD3999" s="28">
        <v>129056000</v>
      </c>
      <c r="AE3999" s="28">
        <v>5556083000</v>
      </c>
      <c r="AF3999" s="28">
        <v>69000000</v>
      </c>
      <c r="AG3999" s="11"/>
    </row>
    <row r="4000">
      <c r="A4000" s="7" t="s">
        <v>5654</v>
      </c>
      <c r="B4000" s="5" t="s">
        <v>13611</v>
      </c>
      <c r="C4000" s="5" t="s">
        <v>21390</v>
      </c>
      <c r="D4000" s="5" t="str">
        <v>524903664165</v>
      </c>
      <c r="E4000" s="0" t="e">
        <f>+7 (904) 9000430
+7 (831) 2601128
+7 (8313) 320674
+7 (8313) 325761
+7 (8313) 325963
+7 (8313) 330435
+7 (8313) 336868
+7 (8313) 397500
+7 (8313) 397559
+7 (8313) 397900
+7 (8313) 536868
+7 (920) 12686</f>
        <v>#NAME?</v>
      </c>
      <c r="F4000" s="5" t="s">
        <v>37343</v>
      </c>
      <c r="G4000" s="5" t="s">
        <v>37344</v>
      </c>
      <c r="H4000" s="26">
        <v>18.5</v>
      </c>
      <c r="I4000" s="5" t="s">
        <v>37345</v>
      </c>
      <c r="J4000" s="5" t="s">
        <v>26770</v>
      </c>
      <c r="K4000" s="5" t="s">
        <v>344</v>
      </c>
      <c r="L4000" s="5" t="s">
        <v>37346</v>
      </c>
      <c r="M4000" s="27">
        <v>1774475</v>
      </c>
      <c r="N4000" s="5" t="s">
        <v>55522</v>
      </c>
      <c r="O4000" s="5" t="str">
        <v>5249072845</v>
      </c>
      <c r="P4000" s="27">
        <v>1021200</v>
      </c>
      <c r="Q4000" s="5" t="s">
        <v>55523</v>
      </c>
      <c r="R4000" s="5"/>
      <c r="S4000" s="5" t="s">
        <v>55524</v>
      </c>
      <c r="T4000" s="28">
        <v>58590000</v>
      </c>
      <c r="U4000" s="28"/>
      <c r="V4000" s="28">
        <v>1718119000</v>
      </c>
      <c r="W4000" s="28"/>
      <c r="X4000" s="28">
        <v>54607000</v>
      </c>
      <c r="Y4000" s="28">
        <v>5309144000</v>
      </c>
      <c r="Z4000" s="28">
        <v>1882920000</v>
      </c>
      <c r="AA4000" s="28"/>
      <c r="AB4000" s="28">
        <v>2192547000</v>
      </c>
      <c r="AC4000" s="28">
        <v>3367101000</v>
      </c>
      <c r="AD4000" s="28">
        <v>1883941000</v>
      </c>
      <c r="AE4000" s="28">
        <v>14915912000</v>
      </c>
      <c r="AF4000" s="28">
        <v>901817000</v>
      </c>
      <c r="AG4000" s="11"/>
    </row>
    <row r="4001">
      <c r="A4001" s="7" t="s">
        <v>5655</v>
      </c>
      <c r="B4001" s="5" t="s">
        <v>13612</v>
      </c>
      <c r="C4001" s="5" t="s">
        <v>21391</v>
      </c>
      <c r="D4001" s="5" t="str">
        <v>420516269023</v>
      </c>
      <c r="E4001" s="0" t="e">
        <f>+7 (913) 4342577
+7 (384) 2330053
+7 (384) 2597488
+7 (384) 2641651
+7 (913) 4082222</f>
        <v>#NAME?</v>
      </c>
      <c r="F4001" s="5" t="s">
        <v>37347</v>
      </c>
      <c r="G4001" s="5"/>
      <c r="H4001" s="26">
        <v>10</v>
      </c>
      <c r="I4001" s="5" t="s">
        <v>37348</v>
      </c>
      <c r="J4001" s="5" t="s">
        <v>25429</v>
      </c>
      <c r="K4001" s="5" t="s">
        <v>344</v>
      </c>
      <c r="L4001" s="5"/>
      <c r="M4001" s="27"/>
      <c r="N4001" s="5" t="s">
        <v>55525</v>
      </c>
      <c r="O4001" s="5" t="str">
        <v>4205258294</v>
      </c>
      <c r="P4001" s="27">
        <v>10000</v>
      </c>
      <c r="Q4001" s="5"/>
      <c r="R4001" s="5"/>
      <c r="S4001" s="5" t="s">
        <v>49110</v>
      </c>
      <c r="T4001" s="28"/>
      <c r="U4001" s="28"/>
      <c r="V4001" s="28"/>
      <c r="W4001" s="28"/>
      <c r="X4001" s="28">
        <v>1023000</v>
      </c>
      <c r="Y4001" s="28">
        <v>5173000</v>
      </c>
      <c r="Z4001" s="28"/>
      <c r="AA4001" s="28">
        <v>980000</v>
      </c>
      <c r="AB4001" s="28"/>
      <c r="AC4001" s="28"/>
      <c r="AD4001" s="28">
        <v>4193000</v>
      </c>
      <c r="AE4001" s="28">
        <v>32435076000</v>
      </c>
      <c r="AF4001" s="28">
        <v>66572000</v>
      </c>
      <c r="AG4001" s="11"/>
    </row>
    <row r="4002">
      <c r="A4002" s="7" t="s">
        <v>5656</v>
      </c>
      <c r="B4002" s="5" t="s">
        <v>13613</v>
      </c>
      <c r="C4002" s="5" t="s">
        <v>21392</v>
      </c>
      <c r="D4002" s="5" t="str">
        <v>613205033245</v>
      </c>
      <c r="E4002" s="0" t="e">
        <f>+7 (961) 3017733
+7 (903) 4732740
+7 (8632) 788000
+7 (8632) 903210</f>
        <v>#NAME?</v>
      </c>
      <c r="F4002" s="5" t="s">
        <v>37349</v>
      </c>
      <c r="G4002" s="5"/>
      <c r="H4002" s="26">
        <v>18.5</v>
      </c>
      <c r="I4002" s="5" t="s">
        <v>37350</v>
      </c>
      <c r="J4002" s="5" t="s">
        <v>33986</v>
      </c>
      <c r="K4002" s="5" t="s">
        <v>344</v>
      </c>
      <c r="L4002" s="5" t="s">
        <v>37351</v>
      </c>
      <c r="M4002" s="27"/>
      <c r="N4002" s="5" t="s">
        <v>55526</v>
      </c>
      <c r="O4002" s="5" t="str">
        <v>6168913763</v>
      </c>
      <c r="P4002" s="27">
        <v>40000</v>
      </c>
      <c r="Q4002" s="5" t="s">
        <v>55527</v>
      </c>
      <c r="R4002" s="5"/>
      <c r="S4002" s="5" t="s">
        <v>51290</v>
      </c>
      <c r="T4002" s="28">
        <v>489177000</v>
      </c>
      <c r="U4002" s="28"/>
      <c r="V4002" s="28">
        <v>647974000</v>
      </c>
      <c r="W4002" s="28">
        <v>34995000</v>
      </c>
      <c r="X4002" s="28">
        <v>28239000</v>
      </c>
      <c r="Y4002" s="28">
        <v>1755762000</v>
      </c>
      <c r="Z4002" s="28">
        <v>573190000</v>
      </c>
      <c r="AA4002" s="28">
        <v>419692000</v>
      </c>
      <c r="AB4002" s="28"/>
      <c r="AC4002" s="28">
        <v>762840000</v>
      </c>
      <c r="AD4002" s="28">
        <v>573230000</v>
      </c>
      <c r="AE4002" s="28">
        <v>7976256000</v>
      </c>
      <c r="AF4002" s="28">
        <v>81080000</v>
      </c>
      <c r="AG4002" s="11"/>
    </row>
    <row r="4003">
      <c r="A4003" s="7" t="s">
        <v>5657</v>
      </c>
      <c r="B4003" s="5" t="s">
        <v>13614</v>
      </c>
      <c r="C4003" s="5" t="s">
        <v>21393</v>
      </c>
      <c r="D4003" s="5" t="str">
        <v>771379505077</v>
      </c>
      <c r="E4003" s="0" t="e">
        <f>+7 (495) 2155215
+7 (495) 2255776
+7 (495) 4159714
+7 (495) 4610101
+7 (495) 5046144
+7 (495) 5404003
+7 (495) 6656287
+7 (495) 6656453
+7 (495) 9316165
+7 (800) 5551115
+7 (831) 2613783
+7 (905) 5220492
+7 (911) 323444
+7 (926) 2033131
+7 (926) 2160370</f>
        <v>#NAME?</v>
      </c>
      <c r="F4003" s="5"/>
      <c r="G4003" s="5" t="s">
        <v>37352</v>
      </c>
      <c r="H4003" s="26">
        <v>19.5</v>
      </c>
      <c r="I4003" s="5" t="s">
        <v>37353</v>
      </c>
      <c r="J4003" s="5" t="s">
        <v>26165</v>
      </c>
      <c r="K4003" s="5" t="s">
        <v>355</v>
      </c>
      <c r="L4003" s="5" t="s">
        <v>37354</v>
      </c>
      <c r="M4003" s="27"/>
      <c r="N4003" s="5" t="s">
        <v>55528</v>
      </c>
      <c r="O4003" s="5" t="str">
        <v>7732121736</v>
      </c>
      <c r="P4003" s="27">
        <v>10000</v>
      </c>
      <c r="Q4003" s="5" t="s">
        <v>49021</v>
      </c>
      <c r="R4003" s="5"/>
      <c r="S4003" s="5" t="s">
        <v>55529</v>
      </c>
      <c r="T4003" s="28">
        <v>6161675000</v>
      </c>
      <c r="U4003" s="28">
        <v>1494061000</v>
      </c>
      <c r="V4003" s="28">
        <v>5336872000</v>
      </c>
      <c r="W4003" s="28"/>
      <c r="X4003" s="28">
        <v>488856000</v>
      </c>
      <c r="Y4003" s="28">
        <v>23734084000</v>
      </c>
      <c r="Z4003" s="28">
        <v>2821138000</v>
      </c>
      <c r="AA4003" s="28"/>
      <c r="AB4003" s="28">
        <v>1893142000</v>
      </c>
      <c r="AC4003" s="28">
        <v>11849197000</v>
      </c>
      <c r="AD4003" s="28">
        <v>2821153000</v>
      </c>
      <c r="AE4003" s="28">
        <v>41445187000</v>
      </c>
      <c r="AF4003" s="28">
        <v>1029460000</v>
      </c>
      <c r="AG4003" s="11"/>
    </row>
    <row r="4004">
      <c r="A4004" s="7" t="s">
        <v>5658</v>
      </c>
      <c r="B4004" s="5" t="s">
        <v>13615</v>
      </c>
      <c r="C4004" s="5" t="s">
        <v>21394</v>
      </c>
      <c r="D4004" s="5" t="str">
        <v>771588603007</v>
      </c>
      <c r="E4004" s="0" t="e">
        <f>+7 (3022) 314151
+7 (3022) 925260
+7 (3022) 996959
+7 (3022) 995229
+7 (3022) 995260
+7 (3022) 995262
+7 (3022) 995263
+7 (3022) 996957
+7 (3412) 271056
+7 (3412) 271081
+7 (3412) 271104
+7 (3412) 271105
+7 (3422) 620747
+7 (3422) 621139
+7 (3422) 824330</f>
        <v>#NAME?</v>
      </c>
      <c r="F4004" s="5" t="s">
        <v>37355</v>
      </c>
      <c r="G4004" s="5" t="s">
        <v>37356</v>
      </c>
      <c r="H4004" s="26">
        <v>30.5</v>
      </c>
      <c r="I4004" s="5" t="s">
        <v>37357</v>
      </c>
      <c r="J4004" s="5" t="s">
        <v>26288</v>
      </c>
      <c r="K4004" s="5" t="s">
        <v>344</v>
      </c>
      <c r="L4004" s="5"/>
      <c r="M4004" s="27">
        <v>1796109</v>
      </c>
      <c r="N4004" s="5" t="s">
        <v>55530</v>
      </c>
      <c r="O4004" s="5" t="str">
        <v>7743384198</v>
      </c>
      <c r="P4004" s="27">
        <v>7112476000</v>
      </c>
      <c r="Q4004" s="5" t="s">
        <v>55532</v>
      </c>
      <c r="R4004" s="5"/>
      <c r="S4004" s="5" t="s">
        <v>55533</v>
      </c>
      <c r="T4004" s="28">
        <v>3507071000</v>
      </c>
      <c r="U4004" s="28"/>
      <c r="V4004" s="28">
        <v>623871000</v>
      </c>
      <c r="W4004" s="28"/>
      <c r="X4004" s="28">
        <v>1688960000</v>
      </c>
      <c r="Y4004" s="28">
        <v>9586371000</v>
      </c>
      <c r="Z4004" s="28">
        <v>1379184000</v>
      </c>
      <c r="AA4004" s="28"/>
      <c r="AB4004" s="28"/>
      <c r="AC4004" s="28">
        <v>859686000</v>
      </c>
      <c r="AD4004" s="28">
        <v>8526103000</v>
      </c>
      <c r="AE4004" s="28">
        <v>6080474000</v>
      </c>
      <c r="AF4004" s="28">
        <v>153490000</v>
      </c>
      <c r="AG4004" s="11"/>
    </row>
    <row r="4005">
      <c r="A4005" s="7" t="s">
        <v>5659</v>
      </c>
      <c r="B4005" s="5" t="s">
        <v>13616</v>
      </c>
      <c r="C4005" s="5" t="s">
        <v>21395</v>
      </c>
      <c r="D4005" s="5" t="str">
        <v>781600285896</v>
      </c>
      <c r="E4005" s="0" t="e">
        <f>+7 (812) 3355025
+7 (812) 4258536
+7 (812) 6100999
+7 (812) 6107725
+7 (812) 3844308
+7 (812) 4258534
+7 (812) 4258535
+7 (812) 9089008</f>
        <v>#NAME?</v>
      </c>
      <c r="F4005" s="5" t="s">
        <v>37358</v>
      </c>
      <c r="G4005" s="5" t="s">
        <v>37359</v>
      </c>
      <c r="H4005" s="26">
        <v>9</v>
      </c>
      <c r="I4005" s="5" t="s">
        <v>37360</v>
      </c>
      <c r="J4005" s="5" t="s">
        <v>31059</v>
      </c>
      <c r="K4005" s="5" t="s">
        <v>355</v>
      </c>
      <c r="L4005" s="5" t="s">
        <v>37361</v>
      </c>
      <c r="M4005" s="27"/>
      <c r="N4005" s="5" t="s">
        <v>55534</v>
      </c>
      <c r="O4005" s="5" t="str">
        <v>7811580370</v>
      </c>
      <c r="P4005" s="27">
        <v>10000</v>
      </c>
      <c r="Q4005" s="5" t="s">
        <v>447</v>
      </c>
      <c r="R4005" s="5"/>
      <c r="S4005" s="5" t="s">
        <v>55535</v>
      </c>
      <c r="T4005" s="28">
        <v>29567000</v>
      </c>
      <c r="U4005" s="28"/>
      <c r="V4005" s="28">
        <v>1032825000</v>
      </c>
      <c r="W4005" s="28"/>
      <c r="X4005" s="28">
        <v>8611000</v>
      </c>
      <c r="Y4005" s="28">
        <v>1861385000</v>
      </c>
      <c r="Z4005" s="28">
        <v>64118000</v>
      </c>
      <c r="AA4005" s="28"/>
      <c r="AB4005" s="28">
        <v>100000000</v>
      </c>
      <c r="AC4005" s="28">
        <v>1797257000</v>
      </c>
      <c r="AD4005" s="28">
        <v>64128000</v>
      </c>
      <c r="AE4005" s="28">
        <v>3215486000</v>
      </c>
      <c r="AF4005" s="28">
        <v>18761000</v>
      </c>
      <c r="AG4005" s="11"/>
    </row>
    <row r="4006">
      <c r="A4006" s="7" t="s">
        <v>5660</v>
      </c>
      <c r="B4006" s="5" t="s">
        <v>13617</v>
      </c>
      <c r="C4006" s="5" t="s">
        <v>21396</v>
      </c>
      <c r="D4006" s="5" t="str">
        <v>503218606342</v>
      </c>
      <c r="F4006" s="5"/>
      <c r="G4006" s="5"/>
      <c r="H4006" s="26">
        <v>6.5</v>
      </c>
      <c r="I4006" s="5" t="s">
        <v>37362</v>
      </c>
      <c r="J4006" s="5" t="s">
        <v>28290</v>
      </c>
      <c r="K4006" s="5" t="s">
        <v>355</v>
      </c>
      <c r="L4006" s="5"/>
      <c r="M4006" s="27"/>
      <c r="N4006" s="5"/>
      <c r="O4006" s="5" t="str">
        <v>7731327678</v>
      </c>
      <c r="P4006" s="27">
        <v>3100000</v>
      </c>
      <c r="Q4006" s="5"/>
      <c r="R4006" s="5"/>
      <c r="S4006" s="5" t="s">
        <v>49425</v>
      </c>
      <c r="T4006" s="28"/>
      <c r="U4006" s="28"/>
      <c r="V4006" s="28">
        <v>110989000</v>
      </c>
      <c r="W4006" s="28"/>
      <c r="X4006" s="28">
        <v>66596000</v>
      </c>
      <c r="Y4006" s="28">
        <v>871319000</v>
      </c>
      <c r="Z4006" s="28">
        <v>-152909000</v>
      </c>
      <c r="AA4006" s="28"/>
      <c r="AB4006" s="28"/>
      <c r="AC4006" s="28">
        <v>1008608000</v>
      </c>
      <c r="AD4006" s="28">
        <v>-149809000</v>
      </c>
      <c r="AE4006" s="28">
        <v>5440399000</v>
      </c>
      <c r="AF4006" s="28">
        <v>-161539000</v>
      </c>
      <c r="AG4006" s="11"/>
    </row>
    <row r="4007">
      <c r="A4007" s="7" t="s">
        <v>5661</v>
      </c>
      <c r="B4007" s="5" t="s">
        <v>13618</v>
      </c>
      <c r="C4007" s="5" t="s">
        <v>21397</v>
      </c>
      <c r="D4007" s="5" t="str">
        <v>641101327422</v>
      </c>
      <c r="E4007" s="0" t="e">
        <f>+7 (8482) 555657
+7 (8482) 557675
+7 (8482) 580101
+7 (987) 8199101
+7 (987) 9172310</f>
        <v>#NAME?</v>
      </c>
      <c r="F4007" s="5"/>
      <c r="G4007" s="5" t="s">
        <v>37363</v>
      </c>
      <c r="H4007" s="26">
        <v>25</v>
      </c>
      <c r="I4007" s="5" t="s">
        <v>37364</v>
      </c>
      <c r="J4007" s="5" t="s">
        <v>25853</v>
      </c>
      <c r="K4007" s="5" t="s">
        <v>344</v>
      </c>
      <c r="L4007" s="5" t="s">
        <v>37365</v>
      </c>
      <c r="M4007" s="27">
        <v>308576</v>
      </c>
      <c r="N4007" s="5" t="s">
        <v>55536</v>
      </c>
      <c r="O4007" s="5" t="str">
        <v>6321075658</v>
      </c>
      <c r="P4007" s="27">
        <v>10000000</v>
      </c>
      <c r="Q4007" s="5" t="s">
        <v>49688</v>
      </c>
      <c r="R4007" s="5"/>
      <c r="S4007" s="5" t="s">
        <v>53696</v>
      </c>
      <c r="T4007" s="28">
        <v>27373000</v>
      </c>
      <c r="U4007" s="28">
        <v>389451000</v>
      </c>
      <c r="V4007" s="28">
        <v>492062000</v>
      </c>
      <c r="W4007" s="28"/>
      <c r="X4007" s="28">
        <v>126826000</v>
      </c>
      <c r="Y4007" s="28">
        <v>1548617000</v>
      </c>
      <c r="Z4007" s="28">
        <v>118740000</v>
      </c>
      <c r="AA4007" s="28"/>
      <c r="AB4007" s="28">
        <v>99972000</v>
      </c>
      <c r="AC4007" s="28">
        <v>1393525000</v>
      </c>
      <c r="AD4007" s="28">
        <v>128740000</v>
      </c>
      <c r="AE4007" s="28">
        <v>5422154000</v>
      </c>
      <c r="AF4007" s="28">
        <v>13417000</v>
      </c>
      <c r="AG4007" s="11"/>
    </row>
    <row r="4008">
      <c r="A4008" s="7" t="s">
        <v>5662</v>
      </c>
      <c r="B4008" s="5" t="s">
        <v>13619</v>
      </c>
      <c r="C4008" s="5" t="s">
        <v>21398</v>
      </c>
      <c r="D4008" s="5" t="str">
        <v>781130986065</v>
      </c>
      <c r="F4008" s="5"/>
      <c r="G4008" s="5"/>
      <c r="H4008" s="26">
        <v>6.5</v>
      </c>
      <c r="I4008" s="5" t="s">
        <v>37366</v>
      </c>
      <c r="J4008" s="5" t="s">
        <v>26165</v>
      </c>
      <c r="K4008" s="5" t="s">
        <v>344</v>
      </c>
      <c r="L4008" s="5"/>
      <c r="M4008" s="27"/>
      <c r="N4008" s="5"/>
      <c r="O4008" s="5" t="str">
        <v>7731334851</v>
      </c>
      <c r="P4008" s="27">
        <v>10000</v>
      </c>
      <c r="Q4008" s="5" t="s">
        <v>49021</v>
      </c>
      <c r="R4008" s="5"/>
      <c r="S4008" s="5" t="s">
        <v>55538</v>
      </c>
      <c r="T4008" s="28">
        <v>1470030000</v>
      </c>
      <c r="U4008" s="28"/>
      <c r="V4008" s="28">
        <v>100352000</v>
      </c>
      <c r="W4008" s="28"/>
      <c r="X4008" s="28">
        <v>1268295000</v>
      </c>
      <c r="Y4008" s="28">
        <v>4659120000</v>
      </c>
      <c r="Z4008" s="28">
        <v>10836000</v>
      </c>
      <c r="AA4008" s="28"/>
      <c r="AB4008" s="28"/>
      <c r="AC4008" s="28">
        <v>3142201000</v>
      </c>
      <c r="AD4008" s="28">
        <v>10846000</v>
      </c>
      <c r="AE4008" s="28">
        <v>10866779000</v>
      </c>
      <c r="AF4008" s="28">
        <v>132524000</v>
      </c>
      <c r="AG4008" s="11"/>
    </row>
    <row r="4009">
      <c r="A4009" s="7" t="s">
        <v>5663</v>
      </c>
      <c r="B4009" s="5" t="s">
        <v>13620</v>
      </c>
      <c r="C4009" s="5" t="s">
        <v>21399</v>
      </c>
      <c r="D4009" s="5" t="str">
        <v>772815391843</v>
      </c>
      <c r="E4009" s="0" t="e">
        <f>+7 (495) 9842513
+7 (495) 9842514
+7 (495) 9842790
+7 (910) 4082982</f>
        <v>#NAME?</v>
      </c>
      <c r="F4009" s="5"/>
      <c r="G4009" s="5" t="s">
        <v>37367</v>
      </c>
      <c r="H4009" s="26">
        <v>14</v>
      </c>
      <c r="I4009" s="5"/>
      <c r="J4009" s="5" t="s">
        <v>881</v>
      </c>
      <c r="K4009" s="5" t="s">
        <v>344</v>
      </c>
      <c r="L4009" s="5" t="s">
        <v>37368</v>
      </c>
      <c r="M4009" s="27"/>
      <c r="N4009" s="5" t="s">
        <v>55539</v>
      </c>
      <c r="O4009" s="5" t="str">
        <v>7701839238</v>
      </c>
      <c r="P4009" s="27">
        <v>10000000</v>
      </c>
      <c r="Q4009" s="5" t="s">
        <v>55540</v>
      </c>
      <c r="R4009" s="5"/>
      <c r="S4009" s="5" t="s">
        <v>49358</v>
      </c>
      <c r="T4009" s="28">
        <v>245627000</v>
      </c>
      <c r="U4009" s="28"/>
      <c r="V4009" s="28">
        <v>460179000</v>
      </c>
      <c r="W4009" s="28"/>
      <c r="X4009" s="28">
        <v>1987214000</v>
      </c>
      <c r="Y4009" s="28">
        <v>2789465000</v>
      </c>
      <c r="Z4009" s="28">
        <v>2060790000</v>
      </c>
      <c r="AA4009" s="28"/>
      <c r="AB4009" s="28"/>
      <c r="AC4009" s="28">
        <v>599167000</v>
      </c>
      <c r="AD4009" s="28">
        <v>2071290000</v>
      </c>
      <c r="AE4009" s="28">
        <v>4232578000</v>
      </c>
      <c r="AF4009" s="28">
        <v>1144204000</v>
      </c>
      <c r="AG4009" s="11"/>
    </row>
    <row r="4010">
      <c r="A4010" s="7" t="s">
        <v>5664</v>
      </c>
      <c r="B4010" s="5" t="s">
        <v>13621</v>
      </c>
      <c r="C4010" s="5" t="s">
        <v>21400</v>
      </c>
      <c r="D4010" s="5" t="str">
        <v>380800464508</v>
      </c>
      <c r="F4010" s="5"/>
      <c r="G4010" s="5"/>
      <c r="H4010" s="26">
        <v>10</v>
      </c>
      <c r="I4010" s="5" t="s">
        <v>37369</v>
      </c>
      <c r="J4010" s="5" t="s">
        <v>25190</v>
      </c>
      <c r="K4010" s="5" t="s">
        <v>344</v>
      </c>
      <c r="L4010" s="5" t="s">
        <v>37370</v>
      </c>
      <c r="M4010" s="27"/>
      <c r="N4010" s="5" t="s">
        <v>55541</v>
      </c>
      <c r="O4010" s="5" t="str">
        <v>7726721848</v>
      </c>
      <c r="P4010" s="27">
        <v>158390459</v>
      </c>
      <c r="Q4010" s="5" t="s">
        <v>55542</v>
      </c>
      <c r="R4010" s="5"/>
      <c r="S4010" s="5" t="s">
        <v>55543</v>
      </c>
      <c r="T4010" s="28">
        <v>191041000</v>
      </c>
      <c r="U4010" s="28"/>
      <c r="V4010" s="28">
        <v>521000000</v>
      </c>
      <c r="W4010" s="28"/>
      <c r="X4010" s="28">
        <v>10797000</v>
      </c>
      <c r="Y4010" s="28">
        <v>796633000</v>
      </c>
      <c r="Z4010" s="28">
        <v>116930000</v>
      </c>
      <c r="AA4010" s="28"/>
      <c r="AB4010" s="28"/>
      <c r="AC4010" s="28">
        <v>410455000</v>
      </c>
      <c r="AD4010" s="28">
        <v>275320000</v>
      </c>
      <c r="AE4010" s="28">
        <v>3160196000</v>
      </c>
      <c r="AF4010" s="28">
        <v>27321000</v>
      </c>
      <c r="AG4010" s="11"/>
    </row>
    <row r="4011">
      <c r="A4011" s="7" t="s">
        <v>5665</v>
      </c>
      <c r="B4011" s="5" t="s">
        <v>13622</v>
      </c>
      <c r="C4011" s="5" t="s">
        <v>21401</v>
      </c>
      <c r="D4011" s="5" t="str">
        <v>665900491404</v>
      </c>
      <c r="E4011" s="0" t="e">
        <f>+7 (961) 7705610
+7 (966) 1507700
+7 (982) 6560496</f>
        <v>#NAME?</v>
      </c>
      <c r="F4011" s="5" t="s">
        <v>37371</v>
      </c>
      <c r="G4011" s="5" t="s">
        <v>37372</v>
      </c>
      <c r="H4011" s="26">
        <v>11</v>
      </c>
      <c r="I4011" s="5" t="s">
        <v>37373</v>
      </c>
      <c r="J4011" s="5" t="s">
        <v>25190</v>
      </c>
      <c r="K4011" s="5" t="s">
        <v>344</v>
      </c>
      <c r="L4011" s="5" t="s">
        <v>37374</v>
      </c>
      <c r="M4011" s="27"/>
      <c r="N4011" s="5" t="s">
        <v>55544</v>
      </c>
      <c r="O4011" s="5" t="str">
        <v>6678007406</v>
      </c>
      <c r="P4011" s="27">
        <v>10000</v>
      </c>
      <c r="Q4011" s="5" t="s">
        <v>55545</v>
      </c>
      <c r="R4011" s="5"/>
      <c r="S4011" s="5" t="s">
        <v>50936</v>
      </c>
      <c r="T4011" s="28">
        <v>45599000</v>
      </c>
      <c r="U4011" s="28"/>
      <c r="V4011" s="28">
        <v>401750000</v>
      </c>
      <c r="W4011" s="28">
        <v>4000000</v>
      </c>
      <c r="X4011" s="28">
        <v>70241000</v>
      </c>
      <c r="Y4011" s="28">
        <v>544122000</v>
      </c>
      <c r="Z4011" s="28">
        <v>61800000</v>
      </c>
      <c r="AA4011" s="28">
        <v>177640000</v>
      </c>
      <c r="AB4011" s="28">
        <v>23195000</v>
      </c>
      <c r="AC4011" s="28">
        <v>253608000</v>
      </c>
      <c r="AD4011" s="28">
        <v>61810000</v>
      </c>
      <c r="AE4011" s="28">
        <v>3564520000</v>
      </c>
      <c r="AF4011" s="28">
        <v>43990000</v>
      </c>
      <c r="AG4011" s="11"/>
    </row>
    <row r="4012">
      <c r="A4012" s="7" t="s">
        <v>5666</v>
      </c>
      <c r="B4012" s="5" t="s">
        <v>13623</v>
      </c>
      <c r="C4012" s="5" t="s">
        <v>21402</v>
      </c>
      <c r="D4012" s="5" t="str">
        <v>781650459587</v>
      </c>
      <c r="E4012" s="0" t="e">
        <f>+7 (812) 4163093
+7 (401) 2270470
+7 (401) 2270870
+7 (812) 6769800
+7 (812) 6769801
+7 (8216) 769800</f>
        <v>#NAME?</v>
      </c>
      <c r="F4012" s="5" t="s">
        <v>37375</v>
      </c>
      <c r="G4012" s="5" t="s">
        <v>37376</v>
      </c>
      <c r="H4012" s="26">
        <v>27.5</v>
      </c>
      <c r="I4012" s="5"/>
      <c r="J4012" s="5" t="s">
        <v>26367</v>
      </c>
      <c r="K4012" s="5" t="s">
        <v>344</v>
      </c>
      <c r="L4012" s="5" t="s">
        <v>37377</v>
      </c>
      <c r="M4012" s="27"/>
      <c r="N4012" s="5" t="s">
        <v>55546</v>
      </c>
      <c r="O4012" s="5" t="str">
        <v>7806045105</v>
      </c>
      <c r="P4012" s="27">
        <v>10051000</v>
      </c>
      <c r="Q4012" s="5" t="s">
        <v>49009</v>
      </c>
      <c r="R4012" s="5"/>
      <c r="S4012" s="5" t="s">
        <v>49045</v>
      </c>
      <c r="T4012" s="28">
        <v>284937000</v>
      </c>
      <c r="U4012" s="28"/>
      <c r="V4012" s="28">
        <v>1129416000</v>
      </c>
      <c r="W4012" s="28">
        <v>44000</v>
      </c>
      <c r="X4012" s="28">
        <v>13070000</v>
      </c>
      <c r="Y4012" s="28">
        <v>1759118000</v>
      </c>
      <c r="Z4012" s="28">
        <v>605590000</v>
      </c>
      <c r="AA4012" s="28"/>
      <c r="AB4012" s="28">
        <v>453345000</v>
      </c>
      <c r="AC4012" s="28">
        <v>1140952000</v>
      </c>
      <c r="AD4012" s="28">
        <v>618166000</v>
      </c>
      <c r="AE4012" s="28">
        <v>3467261000</v>
      </c>
      <c r="AF4012" s="28">
        <v>205041000</v>
      </c>
      <c r="AG4012" s="11"/>
    </row>
    <row r="4013">
      <c r="A4013" s="7" t="s">
        <v>5667</v>
      </c>
      <c r="B4013" s="5" t="s">
        <v>13624</v>
      </c>
      <c r="C4013" s="5" t="s">
        <v>21403</v>
      </c>
      <c r="D4013" s="5"/>
      <c r="E4013" s="0" t="e">
        <f>+7 (495) 6623966
+7 (909) 6910951
+7 (812) 6406133
+7 (960) 7927797
+7 (969) 7376525</f>
        <v>#NAME?</v>
      </c>
      <c r="F4013" s="5" t="s">
        <v>37378</v>
      </c>
      <c r="G4013" s="5" t="s">
        <v>37379</v>
      </c>
      <c r="H4013" s="26">
        <v>9</v>
      </c>
      <c r="I4013" s="5" t="s">
        <v>37380</v>
      </c>
      <c r="J4013" s="5" t="s">
        <v>641</v>
      </c>
      <c r="K4013" s="5" t="s">
        <v>344</v>
      </c>
      <c r="L4013" s="5" t="s">
        <v>37381</v>
      </c>
      <c r="M4013" s="27">
        <v>3714470</v>
      </c>
      <c r="N4013" s="5" t="s">
        <v>55547</v>
      </c>
      <c r="O4013" s="5" t="str">
        <v>7725819505</v>
      </c>
      <c r="P4013" s="27">
        <v>75000</v>
      </c>
      <c r="Q4013" s="5" t="s">
        <v>55548</v>
      </c>
      <c r="R4013" s="5"/>
      <c r="S4013" s="5" t="s">
        <v>49047</v>
      </c>
      <c r="T4013" s="28">
        <v>16669000</v>
      </c>
      <c r="U4013" s="28"/>
      <c r="V4013" s="28">
        <v>1950092000</v>
      </c>
      <c r="W4013" s="28">
        <v>204000000</v>
      </c>
      <c r="X4013" s="28">
        <v>1002569000</v>
      </c>
      <c r="Y4013" s="28">
        <v>4873862000</v>
      </c>
      <c r="Z4013" s="28">
        <v>1490872000</v>
      </c>
      <c r="AA4013" s="28"/>
      <c r="AB4013" s="28"/>
      <c r="AC4013" s="28">
        <v>3295831000</v>
      </c>
      <c r="AD4013" s="28">
        <v>1490947000</v>
      </c>
      <c r="AE4013" s="28">
        <v>9277473000</v>
      </c>
      <c r="AF4013" s="28">
        <v>1467776000</v>
      </c>
      <c r="AG4013" s="11"/>
    </row>
    <row r="4014">
      <c r="A4014" s="7" t="s">
        <v>5668</v>
      </c>
      <c r="B4014" s="5" t="s">
        <v>13625</v>
      </c>
      <c r="C4014" s="5" t="s">
        <v>21404</v>
      </c>
      <c r="D4014" s="5"/>
      <c r="E4014" s="0" t="e">
        <f>+7 (495) 2288008</f>
        <v>#NAME?</v>
      </c>
      <c r="F4014" s="5"/>
      <c r="G4014" s="5" t="s">
        <v>37382</v>
      </c>
      <c r="H4014" s="26">
        <v>5</v>
      </c>
      <c r="I4014" s="5" t="s">
        <v>37383</v>
      </c>
      <c r="J4014" s="5" t="s">
        <v>37384</v>
      </c>
      <c r="K4014" s="5" t="s">
        <v>344</v>
      </c>
      <c r="L4014" s="5" t="s">
        <v>37385</v>
      </c>
      <c r="M4014" s="27"/>
      <c r="N4014" s="5"/>
      <c r="O4014" s="5" t="str">
        <v>7720427342</v>
      </c>
      <c r="P4014" s="27">
        <v>1007450</v>
      </c>
      <c r="Q4014" s="5" t="s">
        <v>49009</v>
      </c>
      <c r="R4014" s="5"/>
      <c r="S4014" s="5" t="s">
        <v>49066</v>
      </c>
      <c r="T4014" s="28">
        <v>1806560000</v>
      </c>
      <c r="U4014" s="28"/>
      <c r="V4014" s="28">
        <v>496335000</v>
      </c>
      <c r="W4014" s="28">
        <v>435100000</v>
      </c>
      <c r="X4014" s="28">
        <v>131070000</v>
      </c>
      <c r="Y4014" s="28">
        <v>3329732000</v>
      </c>
      <c r="Z4014" s="28">
        <v>918331000</v>
      </c>
      <c r="AA4014" s="28">
        <v>1054425000</v>
      </c>
      <c r="AB4014" s="28">
        <v>792289000</v>
      </c>
      <c r="AC4014" s="28">
        <v>1235424000</v>
      </c>
      <c r="AD4014" s="28">
        <v>918341000</v>
      </c>
      <c r="AE4014" s="28">
        <v>3197581000</v>
      </c>
      <c r="AF4014" s="28">
        <v>102364000</v>
      </c>
      <c r="AG4014" s="11"/>
    </row>
    <row r="4015">
      <c r="A4015" s="7" t="s">
        <v>5669</v>
      </c>
      <c r="B4015" s="5" t="s">
        <v>13626</v>
      </c>
      <c r="C4015" s="5" t="s">
        <v>21405</v>
      </c>
      <c r="D4015" s="5" t="str">
        <v>773610301914</v>
      </c>
      <c r="E4015" s="0" t="e">
        <f>+7 (495) 9269347
+7 (495) 9269348</f>
        <v>#NAME?</v>
      </c>
      <c r="F4015" s="5"/>
      <c r="G4015" s="5" t="s">
        <v>37386</v>
      </c>
      <c r="H4015" s="26">
        <v>19.5</v>
      </c>
      <c r="I4015" s="5" t="s">
        <v>37387</v>
      </c>
      <c r="J4015" s="5" t="s">
        <v>25199</v>
      </c>
      <c r="K4015" s="5" t="s">
        <v>344</v>
      </c>
      <c r="L4015" s="5" t="s">
        <v>37388</v>
      </c>
      <c r="M4015" s="27"/>
      <c r="N4015" s="5"/>
      <c r="O4015" s="5" t="str">
        <v>7713511177</v>
      </c>
      <c r="P4015" s="27">
        <v>18400</v>
      </c>
      <c r="Q4015" s="5"/>
      <c r="R4015" s="5"/>
      <c r="S4015" s="5" t="s">
        <v>49110</v>
      </c>
      <c r="T4015" s="28">
        <v>233440000</v>
      </c>
      <c r="U4015" s="28">
        <v>24000</v>
      </c>
      <c r="V4015" s="28">
        <v>4186956000</v>
      </c>
      <c r="W4015" s="28"/>
      <c r="X4015" s="28">
        <v>95409000</v>
      </c>
      <c r="Y4015" s="28">
        <v>4569704000</v>
      </c>
      <c r="Z4015" s="28">
        <v>3582150000</v>
      </c>
      <c r="AA4015" s="28"/>
      <c r="AB4015" s="28"/>
      <c r="AC4015" s="28">
        <v>921626000</v>
      </c>
      <c r="AD4015" s="28">
        <v>3582168000</v>
      </c>
      <c r="AE4015" s="28">
        <v>12047986000</v>
      </c>
      <c r="AF4015" s="28">
        <v>925698000</v>
      </c>
      <c r="AG4015" s="11"/>
    </row>
    <row r="4016">
      <c r="A4016" s="7" t="s">
        <v>5670</v>
      </c>
      <c r="B4016" s="5" t="s">
        <v>13627</v>
      </c>
      <c r="C4016" s="5" t="s">
        <v>21406</v>
      </c>
      <c r="D4016" s="5" t="str">
        <v>025901405163</v>
      </c>
      <c r="E4016" s="0" t="e">
        <f>+7 (347) 2284455
+7 (347) 2284470
+7 (3472) 284411
+7 (3472) 288098
+7 (3472) 621584
+7 (3472) 798899
+7 (3472) 812214
+7 (800) 7007868</f>
        <v>#NAME?</v>
      </c>
      <c r="F4016" s="5" t="s">
        <v>37389</v>
      </c>
      <c r="G4016" s="5" t="s">
        <v>37390</v>
      </c>
      <c r="H4016" s="26">
        <v>29.5</v>
      </c>
      <c r="I4016" s="5"/>
      <c r="J4016" s="5" t="s">
        <v>748</v>
      </c>
      <c r="K4016" s="5" t="s">
        <v>344</v>
      </c>
      <c r="L4016" s="5" t="s">
        <v>37391</v>
      </c>
      <c r="M4016" s="27">
        <v>11142827</v>
      </c>
      <c r="N4016" s="5" t="s">
        <v>55550</v>
      </c>
      <c r="O4016" s="5" t="str">
        <v>0278005403</v>
      </c>
      <c r="P4016" s="27">
        <v>4678958</v>
      </c>
      <c r="Q4016" s="5" t="s">
        <v>55552</v>
      </c>
      <c r="R4016" s="5"/>
      <c r="S4016" s="5" t="s">
        <v>55553</v>
      </c>
      <c r="T4016" s="28">
        <v>280446000</v>
      </c>
      <c r="U4016" s="28">
        <v>173886000</v>
      </c>
      <c r="V4016" s="28">
        <v>3002226000</v>
      </c>
      <c r="W4016" s="28"/>
      <c r="X4016" s="28">
        <v>662520000</v>
      </c>
      <c r="Y4016" s="28">
        <v>5477107000</v>
      </c>
      <c r="Z4016" s="28">
        <v>1324809000</v>
      </c>
      <c r="AA4016" s="28"/>
      <c r="AB4016" s="28">
        <v>1006038000</v>
      </c>
      <c r="AC4016" s="28">
        <v>3921203000</v>
      </c>
      <c r="AD4016" s="28">
        <v>1480557000</v>
      </c>
      <c r="AE4016" s="28">
        <v>7085988000</v>
      </c>
      <c r="AF4016" s="28">
        <v>1123752000</v>
      </c>
      <c r="AG4016" s="11"/>
    </row>
    <row r="4017">
      <c r="A4017" s="7" t="s">
        <v>5671</v>
      </c>
      <c r="B4017" s="5" t="s">
        <v>13628</v>
      </c>
      <c r="C4017" s="5" t="s">
        <v>21407</v>
      </c>
      <c r="D4017" s="5" t="str">
        <v>230810887466</v>
      </c>
      <c r="E4017" s="0" t="e">
        <f>+7 (861) 2001849
+7 (861) 2001661
+7 (861) 2001828
+7 (861) 2001850
+7 (918) 9882016</f>
        <v>#NAME?</v>
      </c>
      <c r="F4017" s="5" t="s">
        <v>37392</v>
      </c>
      <c r="G4017" s="5"/>
      <c r="H4017" s="26">
        <v>12.5</v>
      </c>
      <c r="I4017" s="5" t="s">
        <v>37393</v>
      </c>
      <c r="J4017" s="5" t="s">
        <v>25327</v>
      </c>
      <c r="K4017" s="5" t="s">
        <v>380</v>
      </c>
      <c r="L4017" s="5" t="s">
        <v>37394</v>
      </c>
      <c r="M4017" s="27"/>
      <c r="N4017" s="5"/>
      <c r="O4017" s="5" t="str">
        <v>2348031210</v>
      </c>
      <c r="P4017" s="27">
        <v>150010000</v>
      </c>
      <c r="Q4017" s="5"/>
      <c r="R4017" s="5"/>
      <c r="S4017" s="5" t="s">
        <v>49029</v>
      </c>
      <c r="T4017" s="28">
        <v>16678000</v>
      </c>
      <c r="U4017" s="28">
        <v>127002000</v>
      </c>
      <c r="V4017" s="28">
        <v>1125267000</v>
      </c>
      <c r="W4017" s="28"/>
      <c r="X4017" s="28">
        <v>316189000</v>
      </c>
      <c r="Y4017" s="28">
        <v>2179322000</v>
      </c>
      <c r="Z4017" s="28">
        <v>-224748000</v>
      </c>
      <c r="AA4017" s="28"/>
      <c r="AB4017" s="28"/>
      <c r="AC4017" s="28">
        <v>2226310000</v>
      </c>
      <c r="AD4017" s="28">
        <v>-74738000</v>
      </c>
      <c r="AE4017" s="28">
        <v>9710939000</v>
      </c>
      <c r="AF4017" s="28">
        <v>-226305000</v>
      </c>
      <c r="AG4017" s="11"/>
    </row>
    <row r="4018">
      <c r="A4018" s="7" t="s">
        <v>5672</v>
      </c>
      <c r="B4018" s="5" t="s">
        <v>13629</v>
      </c>
      <c r="C4018" s="5" t="s">
        <v>21408</v>
      </c>
      <c r="D4018" s="5" t="str">
        <v>711611550012</v>
      </c>
      <c r="E4018" s="0" t="e">
        <f>+7 (495) 9561491
+7 (495) 6805120
+7 (495) 7486424</f>
        <v>#NAME?</v>
      </c>
      <c r="F4018" s="5" t="s">
        <v>37395</v>
      </c>
      <c r="G4018" s="5" t="s">
        <v>37396</v>
      </c>
      <c r="H4018" s="26">
        <v>20.5</v>
      </c>
      <c r="I4018" s="5"/>
      <c r="J4018" s="5" t="s">
        <v>502</v>
      </c>
      <c r="K4018" s="5" t="s">
        <v>380</v>
      </c>
      <c r="L4018" s="5"/>
      <c r="M4018" s="27"/>
      <c r="N4018" s="5"/>
      <c r="O4018" s="5" t="str">
        <v>7708201998</v>
      </c>
      <c r="P4018" s="27">
        <v>30000000</v>
      </c>
      <c r="Q4018" s="5" t="s">
        <v>55554</v>
      </c>
      <c r="R4018" s="5"/>
      <c r="S4018" s="5" t="s">
        <v>49743</v>
      </c>
      <c r="T4018" s="28">
        <v>4000</v>
      </c>
      <c r="U4018" s="28">
        <v>601791000</v>
      </c>
      <c r="V4018" s="28">
        <v>655555000</v>
      </c>
      <c r="W4018" s="28"/>
      <c r="X4018" s="28">
        <v>2022000</v>
      </c>
      <c r="Y4018" s="28">
        <v>2254042000</v>
      </c>
      <c r="Z4018" s="28">
        <v>-85942690000</v>
      </c>
      <c r="AA4018" s="28">
        <v>30323418000</v>
      </c>
      <c r="AB4018" s="28">
        <v>5505229000</v>
      </c>
      <c r="AC4018" s="28">
        <v>6010914000</v>
      </c>
      <c r="AD4018" s="28">
        <v>-34080290000</v>
      </c>
      <c r="AE4018" s="28">
        <v>4736759000</v>
      </c>
      <c r="AF4018" s="28">
        <v>91504000</v>
      </c>
      <c r="AG4018" s="11"/>
    </row>
    <row r="4019">
      <c r="A4019" s="7" t="s">
        <v>5673</v>
      </c>
      <c r="B4019" s="5" t="s">
        <v>13630</v>
      </c>
      <c r="C4019" s="5" t="s">
        <v>21409</v>
      </c>
      <c r="D4019" s="5" t="str">
        <v>402811690053</v>
      </c>
      <c r="E4019" s="0" t="e">
        <f>+7 (910) 5995449
+7 (484) 2550046
+7 (848) 4255026
+7 (920) 6114212</f>
        <v>#NAME?</v>
      </c>
      <c r="F4019" s="5" t="s">
        <v>37397</v>
      </c>
      <c r="G4019" s="5"/>
      <c r="H4019" s="26">
        <v>21</v>
      </c>
      <c r="I4019" s="5" t="s">
        <v>37398</v>
      </c>
      <c r="J4019" s="5" t="s">
        <v>364</v>
      </c>
      <c r="K4019" s="5" t="s">
        <v>380</v>
      </c>
      <c r="L4019" s="5" t="s">
        <v>32285</v>
      </c>
      <c r="M4019" s="27">
        <v>147144378</v>
      </c>
      <c r="N4019" s="5"/>
      <c r="O4019" s="5" t="str">
        <v>4028026341</v>
      </c>
      <c r="P4019" s="27">
        <v>50000</v>
      </c>
      <c r="Q4019" s="5" t="s">
        <v>55555</v>
      </c>
      <c r="R4019" s="5" t="s">
        <v>55556</v>
      </c>
      <c r="S4019" s="5" t="s">
        <v>55557</v>
      </c>
      <c r="T4019" s="28">
        <v>142557000</v>
      </c>
      <c r="U4019" s="28">
        <v>558132000</v>
      </c>
      <c r="V4019" s="28">
        <v>5694065000</v>
      </c>
      <c r="W4019" s="28">
        <v>552823000</v>
      </c>
      <c r="X4019" s="28">
        <v>597442000</v>
      </c>
      <c r="Y4019" s="28">
        <v>9210008000</v>
      </c>
      <c r="Z4019" s="28">
        <v>1875202000</v>
      </c>
      <c r="AA4019" s="28">
        <v>221600000</v>
      </c>
      <c r="AB4019" s="28">
        <v>1817730000</v>
      </c>
      <c r="AC4019" s="28">
        <v>7105307000</v>
      </c>
      <c r="AD4019" s="28">
        <v>1875252000</v>
      </c>
      <c r="AE4019" s="28">
        <v>4995498000</v>
      </c>
      <c r="AF4019" s="28">
        <v>141499000</v>
      </c>
      <c r="AG4019" s="11"/>
    </row>
    <row r="4020">
      <c r="A4020" s="7" t="s">
        <v>5674</v>
      </c>
      <c r="B4020" s="5" t="s">
        <v>13631</v>
      </c>
      <c r="C4020" s="5" t="s">
        <v>21410</v>
      </c>
      <c r="D4020" s="5" t="str">
        <v>771201008083</v>
      </c>
      <c r="E4020" s="0" t="e">
        <f>+7 (903) 7553483
+7 (495) 7894555
+7 (903) 7657592
+7 (903) 9753601</f>
        <v>#NAME?</v>
      </c>
      <c r="F4020" s="5" t="s">
        <v>37399</v>
      </c>
      <c r="G4020" s="5" t="s">
        <v>37400</v>
      </c>
      <c r="H4020" s="26">
        <v>8</v>
      </c>
      <c r="I4020" s="5" t="s">
        <v>37401</v>
      </c>
      <c r="J4020" s="5" t="s">
        <v>678</v>
      </c>
      <c r="K4020" s="5" t="s">
        <v>344</v>
      </c>
      <c r="L4020" s="5" t="s">
        <v>37402</v>
      </c>
      <c r="M4020" s="27"/>
      <c r="N4020" s="5"/>
      <c r="O4020" s="5" t="str">
        <v>7704310139</v>
      </c>
      <c r="P4020" s="27">
        <v>100000</v>
      </c>
      <c r="Q4020" s="5" t="s">
        <v>49057</v>
      </c>
      <c r="R4020" s="5"/>
      <c r="S4020" s="5" t="s">
        <v>49452</v>
      </c>
      <c r="T4020" s="28">
        <v>61000</v>
      </c>
      <c r="U4020" s="28">
        <v>120000</v>
      </c>
      <c r="V4020" s="28">
        <v>1104991000</v>
      </c>
      <c r="W4020" s="28">
        <v>735149000</v>
      </c>
      <c r="X4020" s="28">
        <v>91846000</v>
      </c>
      <c r="Y4020" s="28">
        <v>4377300000</v>
      </c>
      <c r="Z4020" s="28">
        <v>267517000</v>
      </c>
      <c r="AA4020" s="28">
        <v>3516137000</v>
      </c>
      <c r="AB4020" s="28">
        <v>517884000</v>
      </c>
      <c r="AC4020" s="28">
        <v>542514000</v>
      </c>
      <c r="AD4020" s="28">
        <v>267617000</v>
      </c>
      <c r="AE4020" s="28">
        <v>3375389000</v>
      </c>
      <c r="AF4020" s="28">
        <v>89638000</v>
      </c>
      <c r="AG4020" s="11"/>
    </row>
    <row r="4021">
      <c r="A4021" s="7" t="s">
        <v>5675</v>
      </c>
      <c r="B4021" s="5" t="s">
        <v>13632</v>
      </c>
      <c r="C4021" s="5" t="s">
        <v>21411</v>
      </c>
      <c r="D4021" s="5" t="str">
        <v>773670152248</v>
      </c>
      <c r="F4021" s="5"/>
      <c r="G4021" s="5"/>
      <c r="H4021" s="26">
        <v>11.5</v>
      </c>
      <c r="I4021" s="5" t="s">
        <v>37403</v>
      </c>
      <c r="J4021" s="5" t="s">
        <v>27115</v>
      </c>
      <c r="K4021" s="5" t="s">
        <v>355</v>
      </c>
      <c r="L4021" s="5" t="s">
        <v>31835</v>
      </c>
      <c r="M4021" s="27">
        <v>5234615</v>
      </c>
      <c r="N4021" s="5" t="s">
        <v>55558</v>
      </c>
      <c r="O4021" s="5" t="str">
        <v>7731414377</v>
      </c>
      <c r="P4021" s="27">
        <v>500000</v>
      </c>
      <c r="Q4021" s="5" t="s">
        <v>49057</v>
      </c>
      <c r="R4021" s="5"/>
      <c r="S4021" s="5" t="s">
        <v>55559</v>
      </c>
      <c r="T4021" s="28">
        <v>10306000</v>
      </c>
      <c r="U4021" s="28">
        <v>140000</v>
      </c>
      <c r="V4021" s="28">
        <v>574458000</v>
      </c>
      <c r="W4021" s="28">
        <v>58081000</v>
      </c>
      <c r="X4021" s="28">
        <v>79000</v>
      </c>
      <c r="Y4021" s="28">
        <v>1397280000</v>
      </c>
      <c r="Z4021" s="28">
        <v>131174000</v>
      </c>
      <c r="AA4021" s="28"/>
      <c r="AB4021" s="28">
        <v>804137000</v>
      </c>
      <c r="AC4021" s="28">
        <v>1253947000</v>
      </c>
      <c r="AD4021" s="28">
        <v>143226000</v>
      </c>
      <c r="AE4021" s="28">
        <v>16805608000</v>
      </c>
      <c r="AF4021" s="28">
        <v>55771000</v>
      </c>
      <c r="AG4021" s="11"/>
    </row>
    <row r="4022">
      <c r="A4022" s="7" t="s">
        <v>5676</v>
      </c>
      <c r="B4022" s="5" t="s">
        <v>13633</v>
      </c>
      <c r="C4022" s="5" t="s">
        <v>21412</v>
      </c>
      <c r="D4022" s="5" t="str">
        <v>222400422584</v>
      </c>
      <c r="E4022" s="0" t="e">
        <f>+7 (385) 2354483
+7 (385) 2354486
+7 (385) 2636294</f>
        <v>#NAME?</v>
      </c>
      <c r="F4022" s="5" t="s">
        <v>37404</v>
      </c>
      <c r="G4022" s="5"/>
      <c r="H4022" s="26">
        <v>7</v>
      </c>
      <c r="I4022" s="5" t="s">
        <v>37405</v>
      </c>
      <c r="J4022" s="5" t="s">
        <v>373</v>
      </c>
      <c r="K4022" s="5" t="s">
        <v>344</v>
      </c>
      <c r="L4022" s="5" t="s">
        <v>30876</v>
      </c>
      <c r="M4022" s="27"/>
      <c r="N4022" s="5" t="s">
        <v>55560</v>
      </c>
      <c r="O4022" s="5" t="str">
        <v>2222846091</v>
      </c>
      <c r="P4022" s="27">
        <v>10000</v>
      </c>
      <c r="Q4022" s="5" t="s">
        <v>55561</v>
      </c>
      <c r="R4022" s="5"/>
      <c r="S4022" s="5" t="s">
        <v>55562</v>
      </c>
      <c r="T4022" s="28">
        <v>4721000</v>
      </c>
      <c r="U4022" s="28"/>
      <c r="V4022" s="28">
        <v>549708000</v>
      </c>
      <c r="W4022" s="28"/>
      <c r="X4022" s="28">
        <v>2778000</v>
      </c>
      <c r="Y4022" s="28">
        <v>960427000</v>
      </c>
      <c r="Z4022" s="28">
        <v>235328000</v>
      </c>
      <c r="AA4022" s="28"/>
      <c r="AB4022" s="28">
        <v>198802000</v>
      </c>
      <c r="AC4022" s="28">
        <v>721843000</v>
      </c>
      <c r="AD4022" s="28">
        <v>235338000</v>
      </c>
      <c r="AE4022" s="28">
        <v>3729760000</v>
      </c>
      <c r="AF4022" s="28">
        <v>72180000</v>
      </c>
      <c r="AG4022" s="11"/>
    </row>
    <row r="4023">
      <c r="A4023" s="7" t="s">
        <v>5677</v>
      </c>
      <c r="B4023" s="5" t="s">
        <v>13634</v>
      </c>
      <c r="C4023" s="5" t="s">
        <v>21413</v>
      </c>
      <c r="D4023" s="5" t="str">
        <v>550702072717</v>
      </c>
      <c r="E4023" s="0" t="e">
        <f>+7 (343) 3775780
+7 (343) 3775781
+7 (3435) 491138
+7 (3466) 456400
+7 (3472) 405230
+7 (3472) 405261
+7 (3512) 399343
+7 (35373) 44619
+7 (383) 3630933
+7 (3843) 993432
+7 (390) 2305058
+7 (391) 2008050
+7 (3952) 485373
+7 (421) 2465082
+7 (421) 2465083</f>
        <v>#NAME?</v>
      </c>
      <c r="F4023" s="5"/>
      <c r="G4023" s="5"/>
      <c r="H4023" s="26">
        <v>17</v>
      </c>
      <c r="I4023" s="5"/>
      <c r="J4023" s="5" t="s">
        <v>26325</v>
      </c>
      <c r="K4023" s="5" t="s">
        <v>355</v>
      </c>
      <c r="L4023" s="5" t="s">
        <v>37406</v>
      </c>
      <c r="M4023" s="27">
        <v>202688171</v>
      </c>
      <c r="N4023" s="5" t="s">
        <v>55563</v>
      </c>
      <c r="O4023" s="5" t="str">
        <v>7731537410</v>
      </c>
      <c r="P4023" s="27">
        <v>5019702000</v>
      </c>
      <c r="Q4023" s="5" t="s">
        <v>55564</v>
      </c>
      <c r="R4023" s="5" t="s">
        <v>55565</v>
      </c>
      <c r="S4023" s="5" t="s">
        <v>49358</v>
      </c>
      <c r="T4023" s="28">
        <v>103218017000</v>
      </c>
      <c r="U4023" s="28">
        <v>4704392000</v>
      </c>
      <c r="V4023" s="28">
        <v>5834370000</v>
      </c>
      <c r="W4023" s="28">
        <v>384145000</v>
      </c>
      <c r="X4023" s="28">
        <v>1164362000</v>
      </c>
      <c r="Y4023" s="28">
        <v>119317188000</v>
      </c>
      <c r="Z4023" s="28">
        <v>19392821000</v>
      </c>
      <c r="AA4023" s="28">
        <v>53496856000</v>
      </c>
      <c r="AB4023" s="28">
        <v>9168953000</v>
      </c>
      <c r="AC4023" s="28">
        <v>18844209000</v>
      </c>
      <c r="AD4023" s="28">
        <v>24839251000</v>
      </c>
      <c r="AE4023" s="28">
        <v>90619734000</v>
      </c>
      <c r="AF4023" s="28">
        <v>14901102000</v>
      </c>
      <c r="AG4023" s="11"/>
    </row>
    <row r="4024">
      <c r="A4024" s="7" t="s">
        <v>5678</v>
      </c>
      <c r="B4024" s="5" t="s">
        <v>13635</v>
      </c>
      <c r="C4024" s="5" t="s">
        <v>21414</v>
      </c>
      <c r="D4024" s="5" t="str">
        <v>781119714090</v>
      </c>
      <c r="E4024" s="0" t="e">
        <f>+7 (921) 3424236
+7 (812) 4956977
+7 (921) 9318365
+7 (921) 9819554</f>
        <v>#NAME?</v>
      </c>
      <c r="F4024" s="5" t="s">
        <v>37407</v>
      </c>
      <c r="G4024" s="5"/>
      <c r="H4024" s="26">
        <v>10</v>
      </c>
      <c r="I4024" s="5" t="s">
        <v>37408</v>
      </c>
      <c r="J4024" s="5" t="s">
        <v>373</v>
      </c>
      <c r="K4024" s="5" t="s">
        <v>344</v>
      </c>
      <c r="L4024" s="5" t="s">
        <v>37409</v>
      </c>
      <c r="M4024" s="27"/>
      <c r="N4024" s="5" t="s">
        <v>55566</v>
      </c>
      <c r="O4024" s="5" t="str">
        <v>7801595112</v>
      </c>
      <c r="P4024" s="27">
        <v>3000000</v>
      </c>
      <c r="Q4024" s="5" t="s">
        <v>55567</v>
      </c>
      <c r="R4024" s="5"/>
      <c r="S4024" s="5" t="s">
        <v>53003</v>
      </c>
      <c r="T4024" s="28">
        <v>29669000</v>
      </c>
      <c r="U4024" s="28"/>
      <c r="V4024" s="28">
        <v>885683000</v>
      </c>
      <c r="W4024" s="28"/>
      <c r="X4024" s="28">
        <v>120367000</v>
      </c>
      <c r="Y4024" s="28">
        <v>1037961000</v>
      </c>
      <c r="Z4024" s="28">
        <v>302919000</v>
      </c>
      <c r="AA4024" s="28"/>
      <c r="AB4024" s="28">
        <v>339187000</v>
      </c>
      <c r="AC4024" s="28">
        <v>727247000</v>
      </c>
      <c r="AD4024" s="28">
        <v>305919000</v>
      </c>
      <c r="AE4024" s="28">
        <v>29054544000</v>
      </c>
      <c r="AF4024" s="28">
        <v>390118000</v>
      </c>
      <c r="AG4024" s="11"/>
    </row>
    <row r="4025">
      <c r="A4025" s="7" t="s">
        <v>5679</v>
      </c>
      <c r="B4025" s="5" t="s">
        <v>13636</v>
      </c>
      <c r="C4025" s="5" t="s">
        <v>21415</v>
      </c>
      <c r="D4025" s="5" t="str">
        <v>325300043319</v>
      </c>
      <c r="E4025" s="0" t="e">
        <f>+7 (4232) 320111
+7 (980) 3112059
+7 (483) 2320111
+7 (483) 2639888
+7 (499) 3460356
+7 (499) 7308570
+7 (499) 7308571</f>
        <v>#NAME?</v>
      </c>
      <c r="F4025" s="5" t="s">
        <v>37410</v>
      </c>
      <c r="G4025" s="5"/>
      <c r="H4025" s="26">
        <v>15.5</v>
      </c>
      <c r="I4025" s="5" t="s">
        <v>37411</v>
      </c>
      <c r="J4025" s="5" t="s">
        <v>25327</v>
      </c>
      <c r="K4025" s="5" t="s">
        <v>344</v>
      </c>
      <c r="L4025" s="5" t="s">
        <v>37412</v>
      </c>
      <c r="M4025" s="27"/>
      <c r="N4025" s="5" t="s">
        <v>55568</v>
      </c>
      <c r="O4025" s="5" t="str">
        <v>3254500725</v>
      </c>
      <c r="P4025" s="27">
        <v>10000</v>
      </c>
      <c r="Q4025" s="5" t="s">
        <v>55569</v>
      </c>
      <c r="R4025" s="5"/>
      <c r="S4025" s="5" t="s">
        <v>55570</v>
      </c>
      <c r="T4025" s="28">
        <v>75000</v>
      </c>
      <c r="U4025" s="28"/>
      <c r="V4025" s="28">
        <v>62505000</v>
      </c>
      <c r="W4025" s="28"/>
      <c r="X4025" s="28">
        <v>908000</v>
      </c>
      <c r="Y4025" s="28">
        <v>63621000</v>
      </c>
      <c r="Z4025" s="28">
        <v>-14533000</v>
      </c>
      <c r="AA4025" s="28"/>
      <c r="AB4025" s="28"/>
      <c r="AC4025" s="28">
        <v>78143000</v>
      </c>
      <c r="AD4025" s="28">
        <v>-14523000</v>
      </c>
      <c r="AE4025" s="28">
        <v>4443209000</v>
      </c>
      <c r="AF4025" s="28">
        <v>14467000</v>
      </c>
      <c r="AG4025" s="11"/>
    </row>
    <row r="4026">
      <c r="A4026" s="7" t="s">
        <v>5680</v>
      </c>
      <c r="B4026" s="5" t="s">
        <v>13637</v>
      </c>
      <c r="C4026" s="5" t="s">
        <v>21416</v>
      </c>
      <c r="D4026" s="5" t="str">
        <v>421701171962</v>
      </c>
      <c r="E4026" s="0" t="e">
        <f>+7 (3843) 721915
+7 (384) 3721935</f>
        <v>#NAME?</v>
      </c>
      <c r="F4026" s="5"/>
      <c r="G4026" s="5"/>
      <c r="H4026" s="26">
        <v>11</v>
      </c>
      <c r="I4026" s="5" t="s">
        <v>33312</v>
      </c>
      <c r="J4026" s="5" t="s">
        <v>373</v>
      </c>
      <c r="K4026" s="5" t="s">
        <v>344</v>
      </c>
      <c r="L4026" s="5" t="s">
        <v>37413</v>
      </c>
      <c r="M4026" s="27"/>
      <c r="N4026" s="5"/>
      <c r="O4026" s="5" t="str">
        <v>5405447646</v>
      </c>
      <c r="P4026" s="27">
        <v>10000</v>
      </c>
      <c r="Q4026" s="5" t="s">
        <v>49057</v>
      </c>
      <c r="R4026" s="5" t="s">
        <v>55571</v>
      </c>
      <c r="S4026" s="5" t="s">
        <v>49452</v>
      </c>
      <c r="T4026" s="28">
        <v>48000</v>
      </c>
      <c r="U4026" s="28">
        <v>439462000</v>
      </c>
      <c r="V4026" s="28">
        <v>4572437000</v>
      </c>
      <c r="W4026" s="28">
        <v>9444170000</v>
      </c>
      <c r="X4026" s="28">
        <v>101000</v>
      </c>
      <c r="Y4026" s="28">
        <v>14971087000</v>
      </c>
      <c r="Z4026" s="28">
        <v>1212245000</v>
      </c>
      <c r="AA4026" s="28">
        <v>10415613000</v>
      </c>
      <c r="AB4026" s="28">
        <v>1747924000</v>
      </c>
      <c r="AC4026" s="28">
        <v>3276533000</v>
      </c>
      <c r="AD4026" s="28">
        <v>1212255000</v>
      </c>
      <c r="AE4026" s="28">
        <v>14560766000</v>
      </c>
      <c r="AF4026" s="28">
        <v>396506000</v>
      </c>
      <c r="AG4026" s="11"/>
    </row>
    <row r="4027">
      <c r="A4027" s="7" t="s">
        <v>5681</v>
      </c>
      <c r="B4027" s="5" t="s">
        <v>13638</v>
      </c>
      <c r="C4027" s="5" t="s">
        <v>21417</v>
      </c>
      <c r="D4027" s="5" t="str">
        <v>781622069507</v>
      </c>
      <c r="E4027" s="0" t="e">
        <f>+7 (8452) 777850</f>
        <v>#NAME?</v>
      </c>
      <c r="F4027" s="5"/>
      <c r="G4027" s="5"/>
      <c r="H4027" s="26">
        <v>18</v>
      </c>
      <c r="I4027" s="5" t="s">
        <v>37414</v>
      </c>
      <c r="J4027" s="5" t="s">
        <v>947</v>
      </c>
      <c r="K4027" s="5" t="s">
        <v>344</v>
      </c>
      <c r="L4027" s="5" t="s">
        <v>37415</v>
      </c>
      <c r="M4027" s="27">
        <v>3763800</v>
      </c>
      <c r="N4027" s="5"/>
      <c r="O4027" s="5" t="str">
        <v>6450605920</v>
      </c>
      <c r="P4027" s="27">
        <v>20000</v>
      </c>
      <c r="Q4027" s="5" t="s">
        <v>49021</v>
      </c>
      <c r="R4027" s="5"/>
      <c r="S4027" s="5" t="s">
        <v>55572</v>
      </c>
      <c r="T4027" s="28">
        <v>279131000</v>
      </c>
      <c r="U4027" s="28"/>
      <c r="V4027" s="28">
        <v>2188524000</v>
      </c>
      <c r="W4027" s="28">
        <v>15735000</v>
      </c>
      <c r="X4027" s="28">
        <v>146703000</v>
      </c>
      <c r="Y4027" s="28">
        <v>3123952000</v>
      </c>
      <c r="Z4027" s="28">
        <v>357054000</v>
      </c>
      <c r="AA4027" s="28">
        <v>109793000</v>
      </c>
      <c r="AB4027" s="28">
        <v>6896000</v>
      </c>
      <c r="AC4027" s="28">
        <v>2417452000</v>
      </c>
      <c r="AD4027" s="28">
        <v>357074000</v>
      </c>
      <c r="AE4027" s="28">
        <v>3562349000</v>
      </c>
      <c r="AF4027" s="28">
        <v>398868000</v>
      </c>
      <c r="AG4027" s="11"/>
    </row>
    <row r="4028">
      <c r="A4028" s="7" t="s">
        <v>5682</v>
      </c>
      <c r="B4028" s="5" t="s">
        <v>13639</v>
      </c>
      <c r="C4028" s="5" t="s">
        <v>21418</v>
      </c>
      <c r="D4028" s="5" t="str">
        <v>563900058547</v>
      </c>
      <c r="E4028" s="0" t="e">
        <f>+7 (35342) 30105
+7 (35342) 30107
+7 (35342) 30108
+7 (35342) 30112
+7 (35342) 43561</f>
        <v>#NAME?</v>
      </c>
      <c r="F4028" s="5" t="s">
        <v>37416</v>
      </c>
      <c r="G4028" s="5"/>
      <c r="H4028" s="26">
        <v>22</v>
      </c>
      <c r="I4028" s="5"/>
      <c r="J4028" s="5" t="s">
        <v>26607</v>
      </c>
      <c r="K4028" s="5" t="s">
        <v>380</v>
      </c>
      <c r="L4028" s="5"/>
      <c r="M4028" s="27"/>
      <c r="N4028" s="5" t="s">
        <v>55573</v>
      </c>
      <c r="O4028" s="5" t="str">
        <v>5603010819</v>
      </c>
      <c r="P4028" s="27">
        <v>5500000</v>
      </c>
      <c r="Q4028" s="5" t="s">
        <v>49009</v>
      </c>
      <c r="R4028" s="5"/>
      <c r="S4028" s="5" t="s">
        <v>49010</v>
      </c>
      <c r="T4028" s="28">
        <v>403057000</v>
      </c>
      <c r="U4028" s="28">
        <v>20000</v>
      </c>
      <c r="V4028" s="28">
        <v>906387000</v>
      </c>
      <c r="W4028" s="28">
        <v>2623000</v>
      </c>
      <c r="X4028" s="28">
        <v>2770000</v>
      </c>
      <c r="Y4028" s="28">
        <v>1403918000</v>
      </c>
      <c r="Z4028" s="28">
        <v>185477000</v>
      </c>
      <c r="AA4028" s="28"/>
      <c r="AB4028" s="28">
        <v>2612000</v>
      </c>
      <c r="AC4028" s="28">
        <v>1145931000</v>
      </c>
      <c r="AD4028" s="28">
        <v>236802000</v>
      </c>
      <c r="AE4028" s="28">
        <v>13595618000</v>
      </c>
      <c r="AF4028" s="28">
        <v>32731000</v>
      </c>
      <c r="AG4028" s="11"/>
    </row>
    <row r="4029">
      <c r="A4029" s="7" t="s">
        <v>5683</v>
      </c>
      <c r="B4029" s="5" t="s">
        <v>13640</v>
      </c>
      <c r="C4029" s="5" t="s">
        <v>21419</v>
      </c>
      <c r="D4029" s="5" t="str">
        <v>471600555354</v>
      </c>
      <c r="E4029" s="0" t="e">
        <f>+7 (812) 4482209
+7 (964) 3764777
+7 (812) 3725581
+7 (812) 3725881
+7 (812) 4482206
+7 (812) 4935666
+7 (812) 5276163</f>
        <v>#NAME?</v>
      </c>
      <c r="F4029" s="5" t="s">
        <v>37417</v>
      </c>
      <c r="G4029" s="5"/>
      <c r="H4029" s="26">
        <v>15.5</v>
      </c>
      <c r="I4029" s="5"/>
      <c r="J4029" s="5" t="s">
        <v>773</v>
      </c>
      <c r="K4029" s="5" t="s">
        <v>355</v>
      </c>
      <c r="L4029" s="5"/>
      <c r="M4029" s="27"/>
      <c r="N4029" s="5" t="s">
        <v>52205</v>
      </c>
      <c r="O4029" s="5" t="str">
        <v>7806369727</v>
      </c>
      <c r="P4029" s="27">
        <v>20000000</v>
      </c>
      <c r="Q4029" s="5" t="s">
        <v>55575</v>
      </c>
      <c r="R4029" s="5" t="s">
        <v>55576</v>
      </c>
      <c r="S4029" s="5" t="s">
        <v>49961</v>
      </c>
      <c r="T4029" s="28">
        <v>5918652000</v>
      </c>
      <c r="U4029" s="28"/>
      <c r="V4029" s="28">
        <v>7262279000</v>
      </c>
      <c r="W4029" s="28">
        <v>184174000</v>
      </c>
      <c r="X4029" s="28"/>
      <c r="Y4029" s="28">
        <v>20620517000</v>
      </c>
      <c r="Z4029" s="28">
        <v>-3528168000</v>
      </c>
      <c r="AA4029" s="28"/>
      <c r="AB4029" s="28"/>
      <c r="AC4029" s="28">
        <v>23500561000</v>
      </c>
      <c r="AD4029" s="28">
        <v>-3503415000</v>
      </c>
      <c r="AE4029" s="28">
        <v>6890461000</v>
      </c>
      <c r="AF4029" s="28">
        <v>9775000</v>
      </c>
      <c r="AG4029" s="11"/>
    </row>
    <row r="4030">
      <c r="A4030" s="7" t="s">
        <v>5684</v>
      </c>
      <c r="B4030" s="5" t="s">
        <v>13641</v>
      </c>
      <c r="C4030" s="5" t="s">
        <v>21420</v>
      </c>
      <c r="D4030" s="5" t="str">
        <v>290203685391</v>
      </c>
      <c r="E4030" s="0" t="e">
        <f>+7 (499) 9737401
+7 (844) 2402730
+7 (844) 2402752
+7 (844) 2495930</f>
        <v>#NAME?</v>
      </c>
      <c r="F4030" s="5" t="s">
        <v>37418</v>
      </c>
      <c r="G4030" s="5" t="s">
        <v>37419</v>
      </c>
      <c r="H4030" s="26">
        <v>12.5</v>
      </c>
      <c r="I4030" s="5" t="s">
        <v>37420</v>
      </c>
      <c r="J4030" s="5" t="s">
        <v>34655</v>
      </c>
      <c r="K4030" s="5" t="s">
        <v>380</v>
      </c>
      <c r="L4030" s="5"/>
      <c r="M4030" s="27">
        <v>275754367</v>
      </c>
      <c r="N4030" s="5"/>
      <c r="O4030" s="5" t="str">
        <v>3448050754</v>
      </c>
      <c r="P4030" s="27">
        <v>14744198</v>
      </c>
      <c r="Q4030" s="5" t="s">
        <v>49009</v>
      </c>
      <c r="R4030" s="5" t="s">
        <v>55578</v>
      </c>
      <c r="S4030" s="5" t="s">
        <v>55579</v>
      </c>
      <c r="T4030" s="28">
        <v>1985939000</v>
      </c>
      <c r="U4030" s="28"/>
      <c r="V4030" s="28">
        <v>3950111000</v>
      </c>
      <c r="W4030" s="28">
        <v>202845000</v>
      </c>
      <c r="X4030" s="28">
        <v>344204000</v>
      </c>
      <c r="Y4030" s="28">
        <v>11981154000</v>
      </c>
      <c r="Z4030" s="28">
        <v>5060544000</v>
      </c>
      <c r="AA4030" s="28"/>
      <c r="AB4030" s="28">
        <v>457501000</v>
      </c>
      <c r="AC4030" s="28">
        <v>6299880000</v>
      </c>
      <c r="AD4030" s="28">
        <v>5079576000</v>
      </c>
      <c r="AE4030" s="28">
        <v>8262468000</v>
      </c>
      <c r="AF4030" s="28">
        <v>10823000</v>
      </c>
      <c r="AG4030" s="11"/>
    </row>
    <row r="4031">
      <c r="A4031" s="7" t="s">
        <v>5685</v>
      </c>
      <c r="B4031" s="5" t="s">
        <v>13642</v>
      </c>
      <c r="C4031" s="5" t="s">
        <v>21421</v>
      </c>
      <c r="D4031" s="5" t="str">
        <v>590420340000</v>
      </c>
      <c r="F4031" s="5"/>
      <c r="G4031" s="5" t="s">
        <v>37421</v>
      </c>
      <c r="H4031" s="26">
        <v>3</v>
      </c>
      <c r="I4031" s="5" t="s">
        <v>37422</v>
      </c>
      <c r="J4031" s="5" t="s">
        <v>27182</v>
      </c>
      <c r="K4031" s="5" t="s">
        <v>355</v>
      </c>
      <c r="L4031" s="5"/>
      <c r="M4031" s="27"/>
      <c r="N4031" s="5"/>
      <c r="O4031" s="5" t="str">
        <v>7726464372</v>
      </c>
      <c r="P4031" s="27">
        <v>10000000</v>
      </c>
      <c r="Q4031" s="5" t="s">
        <v>55580</v>
      </c>
      <c r="R4031" s="5"/>
      <c r="S4031" s="5" t="s">
        <v>54836</v>
      </c>
      <c r="T4031" s="28">
        <v>1355764000</v>
      </c>
      <c r="U4031" s="28"/>
      <c r="V4031" s="28">
        <v>13248914000</v>
      </c>
      <c r="W4031" s="28"/>
      <c r="X4031" s="28">
        <v>45836000</v>
      </c>
      <c r="Y4031" s="28">
        <v>16175793000</v>
      </c>
      <c r="Z4031" s="28">
        <v>425331000</v>
      </c>
      <c r="AA4031" s="28"/>
      <c r="AB4031" s="28"/>
      <c r="AC4031" s="28">
        <v>1096039000</v>
      </c>
      <c r="AD4031" s="28">
        <v>435331000</v>
      </c>
      <c r="AE4031" s="28">
        <v>6510119000</v>
      </c>
      <c r="AF4031" s="28">
        <v>293328000</v>
      </c>
      <c r="AG4031" s="11"/>
    </row>
    <row r="4032">
      <c r="A4032" s="7" t="s">
        <v>5686</v>
      </c>
      <c r="B4032" s="5" t="s">
        <v>13643</v>
      </c>
      <c r="C4032" s="5" t="s">
        <v>21422</v>
      </c>
      <c r="D4032" s="5" t="str">
        <v>772333416676</v>
      </c>
      <c r="E4032" s="0" t="e">
        <f>+7 (863) 2538377
+7 (345) 2568168
+7 (8632) 532866
+7 (8632) 950095</f>
        <v>#NAME?</v>
      </c>
      <c r="F4032" s="5" t="s">
        <v>37423</v>
      </c>
      <c r="G4032" s="5"/>
      <c r="H4032" s="26">
        <v>13.5</v>
      </c>
      <c r="I4032" s="5" t="s">
        <v>37424</v>
      </c>
      <c r="J4032" s="5" t="s">
        <v>26607</v>
      </c>
      <c r="K4032" s="5" t="s">
        <v>380</v>
      </c>
      <c r="L4032" s="5"/>
      <c r="M4032" s="27"/>
      <c r="N4032" s="5"/>
      <c r="O4032" s="5" t="str">
        <v>6167072123</v>
      </c>
      <c r="P4032" s="27">
        <v>100000</v>
      </c>
      <c r="Q4032" s="5" t="s">
        <v>49059</v>
      </c>
      <c r="R4032" s="5"/>
      <c r="S4032" s="5" t="s">
        <v>49093</v>
      </c>
      <c r="T4032" s="28">
        <v>11667793000</v>
      </c>
      <c r="U4032" s="28"/>
      <c r="V4032" s="28">
        <v>1792970000</v>
      </c>
      <c r="W4032" s="28"/>
      <c r="X4032" s="28">
        <v>118267000</v>
      </c>
      <c r="Y4032" s="28">
        <v>44226702000</v>
      </c>
      <c r="Z4032" s="28">
        <v>-18416185000</v>
      </c>
      <c r="AA4032" s="28">
        <v>28699570000</v>
      </c>
      <c r="AB4032" s="28">
        <v>5874132000</v>
      </c>
      <c r="AC4032" s="28">
        <v>6368271000</v>
      </c>
      <c r="AD4032" s="28">
        <v>3601398000</v>
      </c>
      <c r="AE4032" s="28">
        <v>7517589000</v>
      </c>
      <c r="AF4032" s="28">
        <v>-3446093000</v>
      </c>
      <c r="AG4032" s="11"/>
    </row>
    <row r="4033">
      <c r="A4033" s="7" t="s">
        <v>5687</v>
      </c>
      <c r="B4033" s="5" t="s">
        <v>13644</v>
      </c>
      <c r="C4033" s="5" t="s">
        <v>21423</v>
      </c>
      <c r="D4033" s="5"/>
      <c r="E4033" s="0" t="e">
        <f>+7 (86369) 51517
+7 (86367) 24191
+7 (863) 6937332
+7 (86367) 24040
+7 (86367) 37332
+7 (86369) 51500
+7 (86369) 51509</f>
        <v>#NAME?</v>
      </c>
      <c r="F4033" s="5" t="s">
        <v>37425</v>
      </c>
      <c r="G4033" s="5" t="s">
        <v>37426</v>
      </c>
      <c r="H4033" s="26">
        <v>18.5</v>
      </c>
      <c r="I4033" s="5"/>
      <c r="J4033" s="5" t="s">
        <v>555</v>
      </c>
      <c r="K4033" s="5" t="s">
        <v>344</v>
      </c>
      <c r="L4033" s="5" t="s">
        <v>37427</v>
      </c>
      <c r="M4033" s="27">
        <v>975000</v>
      </c>
      <c r="N4033" s="5"/>
      <c r="O4033" s="5" t="str">
        <v>6151012111</v>
      </c>
      <c r="P4033" s="27">
        <v>300100000</v>
      </c>
      <c r="Q4033" s="5"/>
      <c r="R4033" s="5"/>
      <c r="S4033" s="5" t="s">
        <v>49029</v>
      </c>
      <c r="T4033" s="28">
        <v>44108124000</v>
      </c>
      <c r="U4033" s="28">
        <v>4543898000</v>
      </c>
      <c r="V4033" s="28">
        <v>47990533000</v>
      </c>
      <c r="W4033" s="28">
        <v>1462991000</v>
      </c>
      <c r="X4033" s="28">
        <v>834949000</v>
      </c>
      <c r="Y4033" s="28">
        <v>105820082000</v>
      </c>
      <c r="Z4033" s="28">
        <v>7050497000</v>
      </c>
      <c r="AA4033" s="28">
        <v>58656956000</v>
      </c>
      <c r="AB4033" s="28">
        <v>16612100000</v>
      </c>
      <c r="AC4033" s="28">
        <v>35226537000</v>
      </c>
      <c r="AD4033" s="28">
        <v>9247784000</v>
      </c>
      <c r="AE4033" s="28">
        <v>132058787000</v>
      </c>
      <c r="AF4033" s="28">
        <v>123662000</v>
      </c>
      <c r="AG4033" s="11"/>
    </row>
    <row r="4034">
      <c r="A4034" s="7" t="s">
        <v>5688</v>
      </c>
      <c r="B4034" s="5" t="s">
        <v>13645</v>
      </c>
      <c r="C4034" s="5" t="s">
        <v>21424</v>
      </c>
      <c r="D4034" s="5" t="str">
        <v>541018067663</v>
      </c>
      <c r="E4034" s="0" t="e">
        <f>+7 (383) 3631328</f>
        <v>#NAME?</v>
      </c>
      <c r="F4034" s="5" t="s">
        <v>37428</v>
      </c>
      <c r="G4034" s="5" t="s">
        <v>37429</v>
      </c>
      <c r="H4034" s="26">
        <v>7.5</v>
      </c>
      <c r="I4034" s="5" t="s">
        <v>37430</v>
      </c>
      <c r="J4034" s="5" t="s">
        <v>34606</v>
      </c>
      <c r="K4034" s="5" t="s">
        <v>344</v>
      </c>
      <c r="L4034" s="5"/>
      <c r="M4034" s="27"/>
      <c r="N4034" s="5" t="s">
        <v>55581</v>
      </c>
      <c r="O4034" s="5" t="str">
        <v>5405963591</v>
      </c>
      <c r="P4034" s="27">
        <v>10000</v>
      </c>
      <c r="Q4034" s="5" t="s">
        <v>49009</v>
      </c>
      <c r="R4034" s="5"/>
      <c r="S4034" s="5" t="s">
        <v>49012</v>
      </c>
      <c r="T4034" s="28">
        <v>312717000</v>
      </c>
      <c r="U4034" s="28">
        <v>73200000</v>
      </c>
      <c r="V4034" s="28">
        <v>356844000</v>
      </c>
      <c r="W4034" s="28">
        <v>79020000</v>
      </c>
      <c r="X4034" s="28">
        <v>122530000</v>
      </c>
      <c r="Y4034" s="28">
        <v>1399505000</v>
      </c>
      <c r="Z4034" s="28">
        <v>262557000</v>
      </c>
      <c r="AA4034" s="28">
        <v>449112000</v>
      </c>
      <c r="AB4034" s="28">
        <v>192085000</v>
      </c>
      <c r="AC4034" s="28">
        <v>514390000</v>
      </c>
      <c r="AD4034" s="28">
        <v>262567000</v>
      </c>
      <c r="AE4034" s="28">
        <v>4005776000</v>
      </c>
      <c r="AF4034" s="28">
        <v>92696000</v>
      </c>
      <c r="AG4034" s="11"/>
    </row>
    <row r="4035">
      <c r="A4035" s="7" t="s">
        <v>5689</v>
      </c>
      <c r="B4035" s="5" t="s">
        <v>13646</v>
      </c>
      <c r="C4035" s="5" t="s">
        <v>19283</v>
      </c>
      <c r="D4035" s="5"/>
      <c r="E4035" s="0" t="e">
        <f>+7 (8617) 604775
+7 (8617) 602294</f>
        <v>#NAME?</v>
      </c>
      <c r="F4035" s="5" t="s">
        <v>37431</v>
      </c>
      <c r="G4035" s="5" t="s">
        <v>37432</v>
      </c>
      <c r="H4035" s="26">
        <v>17</v>
      </c>
      <c r="I4035" s="5" t="s">
        <v>37433</v>
      </c>
      <c r="J4035" s="5" t="s">
        <v>599</v>
      </c>
      <c r="K4035" s="5" t="s">
        <v>355</v>
      </c>
      <c r="L4035" s="5" t="s">
        <v>37434</v>
      </c>
      <c r="M4035" s="27"/>
      <c r="N4035" s="5"/>
      <c r="O4035" s="5" t="str">
        <v>2315996886</v>
      </c>
      <c r="P4035" s="27">
        <v>30000000</v>
      </c>
      <c r="Q4035" s="5" t="s">
        <v>55582</v>
      </c>
      <c r="R4035" s="5" t="s">
        <v>55583</v>
      </c>
      <c r="S4035" s="5" t="s">
        <v>50191</v>
      </c>
      <c r="T4035" s="28">
        <v>3366197000</v>
      </c>
      <c r="U4035" s="28">
        <v>430840000</v>
      </c>
      <c r="V4035" s="28">
        <v>2019378000</v>
      </c>
      <c r="W4035" s="28">
        <v>689000000</v>
      </c>
      <c r="X4035" s="28">
        <v>495400000</v>
      </c>
      <c r="Y4035" s="28">
        <v>10142256000</v>
      </c>
      <c r="Z4035" s="28">
        <v>-31446242000</v>
      </c>
      <c r="AA4035" s="28">
        <v>36407022000</v>
      </c>
      <c r="AB4035" s="28">
        <v>3973183000</v>
      </c>
      <c r="AC4035" s="28">
        <v>4374444000</v>
      </c>
      <c r="AD4035" s="28">
        <v>-31416242000</v>
      </c>
      <c r="AE4035" s="28">
        <v>5518120000</v>
      </c>
      <c r="AF4035" s="28">
        <v>2874504000</v>
      </c>
      <c r="AG4035" s="11"/>
    </row>
    <row r="4036">
      <c r="A4036" s="7" t="s">
        <v>5690</v>
      </c>
      <c r="B4036" s="5" t="s">
        <v>13647</v>
      </c>
      <c r="C4036" s="5" t="s">
        <v>21425</v>
      </c>
      <c r="D4036" s="5" t="str">
        <v>637700451889</v>
      </c>
      <c r="E4036" s="0" t="e">
        <f>+7 (908) 3907027
+7 (927) 7685984
+7 (939) 7538607</f>
        <v>#NAME?</v>
      </c>
      <c r="F4036" s="5" t="s">
        <v>37435</v>
      </c>
      <c r="G4036" s="5" t="s">
        <v>37436</v>
      </c>
      <c r="H4036" s="26">
        <v>6.5</v>
      </c>
      <c r="I4036" s="5" t="s">
        <v>37437</v>
      </c>
      <c r="J4036" s="5" t="s">
        <v>25812</v>
      </c>
      <c r="K4036" s="5" t="s">
        <v>344</v>
      </c>
      <c r="L4036" s="5" t="s">
        <v>37438</v>
      </c>
      <c r="M4036" s="27"/>
      <c r="N4036" s="5"/>
      <c r="O4036" s="5" t="str">
        <v>6316222709</v>
      </c>
      <c r="P4036" s="27">
        <v>250000</v>
      </c>
      <c r="Q4036" s="5"/>
      <c r="R4036" s="5"/>
      <c r="S4036" s="5" t="s">
        <v>49029</v>
      </c>
      <c r="T4036" s="28">
        <v>1244771000</v>
      </c>
      <c r="U4036" s="28"/>
      <c r="V4036" s="28">
        <v>577395000</v>
      </c>
      <c r="W4036" s="28">
        <v>100000000</v>
      </c>
      <c r="X4036" s="28">
        <v>91354000</v>
      </c>
      <c r="Y4036" s="28">
        <v>2721107000</v>
      </c>
      <c r="Z4036" s="28">
        <v>1502056000</v>
      </c>
      <c r="AA4036" s="28">
        <v>750000000</v>
      </c>
      <c r="AB4036" s="28"/>
      <c r="AC4036" s="28">
        <v>315338000</v>
      </c>
      <c r="AD4036" s="28">
        <v>1502306000</v>
      </c>
      <c r="AE4036" s="28">
        <v>7983662000</v>
      </c>
      <c r="AF4036" s="28">
        <v>801995000</v>
      </c>
      <c r="AG4036" s="11"/>
    </row>
    <row r="4037">
      <c r="A4037" s="7" t="s">
        <v>5691</v>
      </c>
      <c r="B4037" s="5" t="s">
        <v>13648</v>
      </c>
      <c r="C4037" s="5" t="s">
        <v>21426</v>
      </c>
      <c r="D4037" s="5" t="str">
        <v>780521790125</v>
      </c>
      <c r="E4037" s="0" t="e">
        <f>+7 (812) 3261060
+7 (343) 3119007
+7 (383) 3300518
+7 (495) 9806406
+7 (495) 9811937
+7 (812) 3261090</f>
        <v>#NAME?</v>
      </c>
      <c r="F4037" s="5" t="s">
        <v>37439</v>
      </c>
      <c r="G4037" s="5" t="s">
        <v>37440</v>
      </c>
      <c r="H4037" s="26">
        <v>24</v>
      </c>
      <c r="I4037" s="5" t="s">
        <v>37441</v>
      </c>
      <c r="J4037" s="5" t="s">
        <v>1026</v>
      </c>
      <c r="K4037" s="5" t="s">
        <v>344</v>
      </c>
      <c r="L4037" s="5" t="s">
        <v>37442</v>
      </c>
      <c r="M4037" s="27"/>
      <c r="N4037" s="5" t="s">
        <v>55584</v>
      </c>
      <c r="O4037" s="5" t="str">
        <v>7811076476</v>
      </c>
      <c r="P4037" s="27">
        <v>10000</v>
      </c>
      <c r="Q4037" s="5" t="s">
        <v>49009</v>
      </c>
      <c r="R4037" s="5"/>
      <c r="S4037" s="5" t="s">
        <v>49487</v>
      </c>
      <c r="T4037" s="28">
        <v>54694000</v>
      </c>
      <c r="U4037" s="28"/>
      <c r="V4037" s="28">
        <v>113013000</v>
      </c>
      <c r="W4037" s="28"/>
      <c r="X4037" s="28">
        <v>25770000</v>
      </c>
      <c r="Y4037" s="28">
        <v>1126335000</v>
      </c>
      <c r="Z4037" s="28">
        <v>303175000</v>
      </c>
      <c r="AA4037" s="28"/>
      <c r="AB4037" s="28">
        <v>115263000</v>
      </c>
      <c r="AC4037" s="28">
        <v>736649000</v>
      </c>
      <c r="AD4037" s="28">
        <v>303185000</v>
      </c>
      <c r="AE4037" s="28">
        <v>3122150000</v>
      </c>
      <c r="AF4037" s="28">
        <v>185921000</v>
      </c>
      <c r="AG4037" s="11"/>
    </row>
    <row r="4038">
      <c r="A4038" s="7" t="s">
        <v>5692</v>
      </c>
      <c r="B4038" s="5" t="s">
        <v>13649</v>
      </c>
      <c r="C4038" s="5" t="s">
        <v>21427</v>
      </c>
      <c r="D4038" s="5" t="str">
        <v>525601352926</v>
      </c>
      <c r="E4038" s="0" t="e">
        <f>+7 (831) 4693679
+7 (83145) 71141</f>
        <v>#NAME?</v>
      </c>
      <c r="F4038" s="5" t="s">
        <v>37443</v>
      </c>
      <c r="G4038" s="5" t="s">
        <v>37444</v>
      </c>
      <c r="H4038" s="26">
        <v>16</v>
      </c>
      <c r="I4038" s="5" t="s">
        <v>37445</v>
      </c>
      <c r="J4038" s="5" t="s">
        <v>467</v>
      </c>
      <c r="K4038" s="5" t="s">
        <v>344</v>
      </c>
      <c r="L4038" s="5" t="s">
        <v>37446</v>
      </c>
      <c r="M4038" s="27">
        <v>81435422</v>
      </c>
      <c r="N4038" s="5" t="s">
        <v>55585</v>
      </c>
      <c r="O4038" s="5" t="str">
        <v>5250039673</v>
      </c>
      <c r="P4038" s="27">
        <v>10000</v>
      </c>
      <c r="Q4038" s="5" t="s">
        <v>55586</v>
      </c>
      <c r="R4038" s="5" t="s">
        <v>55587</v>
      </c>
      <c r="S4038" s="5" t="s">
        <v>55588</v>
      </c>
      <c r="T4038" s="28">
        <v>377419000</v>
      </c>
      <c r="U4038" s="28">
        <v>7606000</v>
      </c>
      <c r="V4038" s="28">
        <v>254837000</v>
      </c>
      <c r="W4038" s="28">
        <v>11577000</v>
      </c>
      <c r="X4038" s="28">
        <v>2289000</v>
      </c>
      <c r="Y4038" s="28">
        <v>1147360000</v>
      </c>
      <c r="Z4038" s="28">
        <v>149497000</v>
      </c>
      <c r="AA4038" s="28">
        <v>257750000</v>
      </c>
      <c r="AB4038" s="28"/>
      <c r="AC4038" s="28">
        <v>494719000</v>
      </c>
      <c r="AD4038" s="28">
        <v>149507000</v>
      </c>
      <c r="AE4038" s="28">
        <v>4197673000</v>
      </c>
      <c r="AF4038" s="28">
        <v>13060000</v>
      </c>
      <c r="AG4038" s="11"/>
    </row>
    <row r="4039">
      <c r="A4039" s="7" t="s">
        <v>5693</v>
      </c>
      <c r="B4039" s="5" t="s">
        <v>13650</v>
      </c>
      <c r="C4039" s="5" t="s">
        <v>21428</v>
      </c>
      <c r="D4039" s="5" t="str">
        <v>525600299211</v>
      </c>
      <c r="E4039" s="0" t="e">
        <f>+7 (831) 2200512
+7 (831) 2200513
+7 (831) 2560400
+7 (831) 2959417
+7 (831) 2959418
+7 (831) 2959420
+7 (831) 2971146
+7 (951) 9014254</f>
        <v>#NAME?</v>
      </c>
      <c r="F4039" s="5" t="s">
        <v>37447</v>
      </c>
      <c r="G4039" s="5" t="s">
        <v>37448</v>
      </c>
      <c r="H4039" s="26">
        <v>23.5</v>
      </c>
      <c r="I4039" s="5" t="s">
        <v>37449</v>
      </c>
      <c r="J4039" s="5" t="s">
        <v>25259</v>
      </c>
      <c r="K4039" s="5" t="s">
        <v>344</v>
      </c>
      <c r="L4039" s="5" t="s">
        <v>37450</v>
      </c>
      <c r="M4039" s="27">
        <v>5734515</v>
      </c>
      <c r="N4039" s="5" t="s">
        <v>55589</v>
      </c>
      <c r="O4039" s="5" t="str">
        <v>5256032191</v>
      </c>
      <c r="P4039" s="27">
        <v>31400</v>
      </c>
      <c r="Q4039" s="5" t="s">
        <v>55590</v>
      </c>
      <c r="R4039" s="5" t="s">
        <v>50655</v>
      </c>
      <c r="S4039" s="5" t="s">
        <v>55591</v>
      </c>
      <c r="T4039" s="28">
        <v>741831000</v>
      </c>
      <c r="U4039" s="28"/>
      <c r="V4039" s="28">
        <v>771222000</v>
      </c>
      <c r="W4039" s="28"/>
      <c r="X4039" s="28">
        <v>33842000</v>
      </c>
      <c r="Y4039" s="28">
        <v>1909077000</v>
      </c>
      <c r="Z4039" s="28">
        <v>1271591000</v>
      </c>
      <c r="AA4039" s="28">
        <v>128550000</v>
      </c>
      <c r="AB4039" s="28">
        <v>113562000</v>
      </c>
      <c r="AC4039" s="28">
        <v>460570000</v>
      </c>
      <c r="AD4039" s="28">
        <v>1271622000</v>
      </c>
      <c r="AE4039" s="28">
        <v>9255936000</v>
      </c>
      <c r="AF4039" s="28">
        <v>355836000</v>
      </c>
      <c r="AG4039" s="11"/>
    </row>
    <row r="4040">
      <c r="A4040" s="7" t="s">
        <v>5694</v>
      </c>
      <c r="B4040" s="5" t="s">
        <v>13651</v>
      </c>
      <c r="C4040" s="5" t="s">
        <v>21429</v>
      </c>
      <c r="D4040" s="5" t="str">
        <v>503115665385</v>
      </c>
      <c r="E4040" s="0" t="e">
        <f>+7 (495) 9260303
+7 (831) 2415997
+7 (920) 2936161</f>
        <v>#NAME?</v>
      </c>
      <c r="F4040" s="5" t="s">
        <v>37451</v>
      </c>
      <c r="G4040" s="5"/>
      <c r="H4040" s="26">
        <v>6.5</v>
      </c>
      <c r="I4040" s="5" t="s">
        <v>37452</v>
      </c>
      <c r="J4040" s="5" t="s">
        <v>389</v>
      </c>
      <c r="K4040" s="5" t="s">
        <v>344</v>
      </c>
      <c r="L4040" s="5" t="s">
        <v>37453</v>
      </c>
      <c r="M4040" s="27"/>
      <c r="N4040" s="5" t="s">
        <v>55592</v>
      </c>
      <c r="O4040" s="5" t="str">
        <v>5257164835</v>
      </c>
      <c r="P4040" s="27">
        <v>10000000</v>
      </c>
      <c r="Q4040" s="5" t="s">
        <v>49021</v>
      </c>
      <c r="R4040" s="5"/>
      <c r="S4040" s="5" t="s">
        <v>55593</v>
      </c>
      <c r="T4040" s="28">
        <v>218810000</v>
      </c>
      <c r="U4040" s="28">
        <v>194394000</v>
      </c>
      <c r="V4040" s="28">
        <v>2010285000</v>
      </c>
      <c r="W4040" s="28">
        <v>1865352000</v>
      </c>
      <c r="X4040" s="28">
        <v>81849000</v>
      </c>
      <c r="Y4040" s="28">
        <v>5777788000</v>
      </c>
      <c r="Z4040" s="28">
        <v>143923000</v>
      </c>
      <c r="AA4040" s="28">
        <v>2449792000</v>
      </c>
      <c r="AB4040" s="28">
        <v>1302823000</v>
      </c>
      <c r="AC4040" s="28">
        <v>3101551000</v>
      </c>
      <c r="AD4040" s="28">
        <v>153923000</v>
      </c>
      <c r="AE4040" s="28">
        <v>8982635000</v>
      </c>
      <c r="AF4040" s="28">
        <v>34090000</v>
      </c>
      <c r="AG4040" s="11"/>
    </row>
    <row r="4041">
      <c r="A4041" s="7" t="s">
        <v>5695</v>
      </c>
      <c r="B4041" s="5" t="s">
        <v>13652</v>
      </c>
      <c r="C4041" s="5" t="s">
        <v>21429</v>
      </c>
      <c r="D4041" s="5" t="str">
        <v>503115665385</v>
      </c>
      <c r="E4041" s="0" t="e">
        <f>+7 (904) 4826664
+7 (920) 123311
+7 (931) 2415997
+7 (831) 2415997
+7 (831) 2759911</f>
        <v>#NAME?</v>
      </c>
      <c r="F4041" s="5"/>
      <c r="G4041" s="5" t="s">
        <v>37454</v>
      </c>
      <c r="H4041" s="26">
        <v>6</v>
      </c>
      <c r="I4041" s="5" t="s">
        <v>37452</v>
      </c>
      <c r="J4041" s="5" t="s">
        <v>389</v>
      </c>
      <c r="K4041" s="5" t="s">
        <v>344</v>
      </c>
      <c r="L4041" s="5" t="s">
        <v>37455</v>
      </c>
      <c r="M4041" s="27"/>
      <c r="N4041" s="5" t="s">
        <v>55594</v>
      </c>
      <c r="O4041" s="5" t="str">
        <v>5257171511</v>
      </c>
      <c r="P4041" s="27">
        <v>10000000</v>
      </c>
      <c r="Q4041" s="5" t="s">
        <v>55595</v>
      </c>
      <c r="R4041" s="5"/>
      <c r="S4041" s="5" t="s">
        <v>55596</v>
      </c>
      <c r="T4041" s="28">
        <v>174271000</v>
      </c>
      <c r="U4041" s="28">
        <v>205000000</v>
      </c>
      <c r="V4041" s="28">
        <v>586079000</v>
      </c>
      <c r="W4041" s="28">
        <v>810732000</v>
      </c>
      <c r="X4041" s="28">
        <v>8672000</v>
      </c>
      <c r="Y4041" s="28">
        <v>2025877000</v>
      </c>
      <c r="Z4041" s="28">
        <v>47704000</v>
      </c>
      <c r="AA4041" s="28">
        <v>819790000</v>
      </c>
      <c r="AB4041" s="28">
        <v>164668000</v>
      </c>
      <c r="AC4041" s="28">
        <v>738133000</v>
      </c>
      <c r="AD4041" s="28">
        <v>467704000</v>
      </c>
      <c r="AE4041" s="28">
        <v>3012905000</v>
      </c>
      <c r="AF4041" s="28">
        <v>-1167000</v>
      </c>
      <c r="AG4041" s="11"/>
    </row>
    <row r="4042">
      <c r="A4042" s="7" t="s">
        <v>5696</v>
      </c>
      <c r="B4042" s="5" t="s">
        <v>13653</v>
      </c>
      <c r="C4042" s="5"/>
      <c r="D4042" s="5"/>
      <c r="E4042" s="0" t="e">
        <f>+7 (831) 2533426
+7 (831) 2908089
+7 (831) 2909449
+7 (831) 2990999</f>
        <v>#NAME?</v>
      </c>
      <c r="F4042" s="5" t="s">
        <v>37456</v>
      </c>
      <c r="G4042" s="5"/>
      <c r="H4042" s="26">
        <v>16</v>
      </c>
      <c r="I4042" s="5" t="s">
        <v>37457</v>
      </c>
      <c r="J4042" s="5" t="s">
        <v>31114</v>
      </c>
      <c r="K4042" s="5" t="s">
        <v>355</v>
      </c>
      <c r="L4042" s="5"/>
      <c r="M4042" s="27"/>
      <c r="N4042" s="5"/>
      <c r="O4042" s="5" t="str">
        <v>5256067300</v>
      </c>
      <c r="P4042" s="27">
        <v>1913193000</v>
      </c>
      <c r="Q4042" s="5" t="s">
        <v>55597</v>
      </c>
      <c r="R4042" s="5"/>
      <c r="S4042" s="5" t="s">
        <v>55598</v>
      </c>
      <c r="T4042" s="28">
        <v>1406636000</v>
      </c>
      <c r="U4042" s="28"/>
      <c r="V4042" s="28">
        <v>864556000</v>
      </c>
      <c r="W4042" s="28"/>
      <c r="X4042" s="28">
        <v>1432792000</v>
      </c>
      <c r="Y4042" s="28">
        <v>4724387000</v>
      </c>
      <c r="Z4042" s="28">
        <v>-1174996000</v>
      </c>
      <c r="AA4042" s="28"/>
      <c r="AB4042" s="28">
        <v>1703142000</v>
      </c>
      <c r="AC4042" s="28">
        <v>3065780000</v>
      </c>
      <c r="AD4042" s="28">
        <v>1066385000</v>
      </c>
      <c r="AE4042" s="28">
        <v>6995288000</v>
      </c>
      <c r="AF4042" s="28">
        <v>-25033000</v>
      </c>
      <c r="AG4042" s="11"/>
    </row>
    <row r="4043">
      <c r="A4043" s="7" t="s">
        <v>5697</v>
      </c>
      <c r="B4043" s="5" t="s">
        <v>13654</v>
      </c>
      <c r="C4043" s="5" t="s">
        <v>21430</v>
      </c>
      <c r="D4043" s="5"/>
      <c r="E4043" s="0" t="e">
        <f>+7 (831) 2006307
+7 (831) 2008503
+7 (831) 2153535
+7 (831) 2154250
+7 (831) 2154562
+7 (831) 2250000
+7 (831) 2333399
+7 (831) 2333999
+7 (831) 2339090
+7 (831) 2359999
+7 (831) 2430000
+7 (831) 2430100
+7 (831) 2430101
+7 (831) 2270101
+7 (831) 2400079</f>
        <v>#NAME?</v>
      </c>
      <c r="F4043" s="5" t="s">
        <v>37458</v>
      </c>
      <c r="G4043" s="5" t="s">
        <v>37459</v>
      </c>
      <c r="H4043" s="26">
        <v>16</v>
      </c>
      <c r="I4043" s="5" t="s">
        <v>37460</v>
      </c>
      <c r="J4043" s="5" t="s">
        <v>27944</v>
      </c>
      <c r="K4043" s="5" t="s">
        <v>344</v>
      </c>
      <c r="L4043" s="5"/>
      <c r="M4043" s="27">
        <v>60901506</v>
      </c>
      <c r="N4043" s="5" t="s">
        <v>55599</v>
      </c>
      <c r="O4043" s="5" t="str">
        <v>5257086827</v>
      </c>
      <c r="P4043" s="27">
        <v>509311079</v>
      </c>
      <c r="Q4043" s="5" t="s">
        <v>55601</v>
      </c>
      <c r="R4043" s="5"/>
      <c r="S4043" s="5" t="s">
        <v>51054</v>
      </c>
      <c r="T4043" s="28">
        <v>4570103000</v>
      </c>
      <c r="U4043" s="28">
        <v>79851000</v>
      </c>
      <c r="V4043" s="28">
        <v>2190517000</v>
      </c>
      <c r="W4043" s="28">
        <v>1000000</v>
      </c>
      <c r="X4043" s="28">
        <v>854994000</v>
      </c>
      <c r="Y4043" s="28">
        <v>10722438000</v>
      </c>
      <c r="Z4043" s="28">
        <v>1031286000</v>
      </c>
      <c r="AA4043" s="28">
        <v>2047627000</v>
      </c>
      <c r="AB4043" s="28">
        <v>2414781000</v>
      </c>
      <c r="AC4043" s="28">
        <v>4112963000</v>
      </c>
      <c r="AD4043" s="28">
        <v>1630977000</v>
      </c>
      <c r="AE4043" s="28">
        <v>5371274000</v>
      </c>
      <c r="AF4043" s="28">
        <v>32023000</v>
      </c>
      <c r="AG4043" s="11"/>
    </row>
    <row r="4044">
      <c r="A4044" s="7" t="s">
        <v>5698</v>
      </c>
      <c r="B4044" s="5" t="s">
        <v>13655</v>
      </c>
      <c r="C4044" s="5" t="s">
        <v>21431</v>
      </c>
      <c r="D4044" s="5" t="str">
        <v>774344261026</v>
      </c>
      <c r="E4044" s="0" t="e">
        <f>+7 (831) 2259594
+7 (910) 1057152
+7 (910) 8786907
+7 (831) 2759454
+7 (83142) 37501
+7 (910) 1001000</f>
        <v>#NAME?</v>
      </c>
      <c r="F4044" s="5"/>
      <c r="G4044" s="5"/>
      <c r="H4044" s="26">
        <v>16</v>
      </c>
      <c r="I4044" s="5" t="s">
        <v>37461</v>
      </c>
      <c r="J4044" s="5" t="s">
        <v>25550</v>
      </c>
      <c r="K4044" s="5" t="s">
        <v>344</v>
      </c>
      <c r="L4044" s="5"/>
      <c r="M4044" s="27">
        <v>7138863</v>
      </c>
      <c r="N4044" s="5"/>
      <c r="O4044" s="5" t="str">
        <v>5260194759</v>
      </c>
      <c r="P4044" s="27">
        <v>1010000</v>
      </c>
      <c r="Q4044" s="5" t="s">
        <v>49009</v>
      </c>
      <c r="R4044" s="5"/>
      <c r="S4044" s="5" t="s">
        <v>49045</v>
      </c>
      <c r="T4044" s="28">
        <v>2997000</v>
      </c>
      <c r="U4044" s="28"/>
      <c r="V4044" s="28">
        <v>791792000</v>
      </c>
      <c r="W4044" s="28"/>
      <c r="X4044" s="28">
        <v>10988000</v>
      </c>
      <c r="Y4044" s="28">
        <v>1103186000</v>
      </c>
      <c r="Z4044" s="28">
        <v>-197463000</v>
      </c>
      <c r="AA4044" s="28"/>
      <c r="AB4044" s="28">
        <v>15228000</v>
      </c>
      <c r="AC4044" s="28">
        <v>1287297000</v>
      </c>
      <c r="AD4044" s="28">
        <v>-196453000</v>
      </c>
      <c r="AE4044" s="28">
        <v>8910740000</v>
      </c>
      <c r="AF4044" s="28">
        <v>79283000</v>
      </c>
      <c r="AG4044" s="11"/>
    </row>
    <row r="4045">
      <c r="A4045" s="7" t="s">
        <v>5699</v>
      </c>
      <c r="B4045" s="5" t="s">
        <v>13656</v>
      </c>
      <c r="C4045" s="5" t="s">
        <v>21432</v>
      </c>
      <c r="D4045" s="5" t="str">
        <v>165108594462</v>
      </c>
      <c r="E4045" s="0" t="e">
        <f>+7 (8555) 321659
+7 (8555) 321770
+7 (85573) 70485</f>
        <v>#NAME?</v>
      </c>
      <c r="F4045" s="5" t="s">
        <v>37462</v>
      </c>
      <c r="G4045" s="5"/>
      <c r="H4045" s="26">
        <v>13.5</v>
      </c>
      <c r="I4045" s="5" t="s">
        <v>37463</v>
      </c>
      <c r="J4045" s="5" t="s">
        <v>25295</v>
      </c>
      <c r="K4045" s="5" t="s">
        <v>380</v>
      </c>
      <c r="L4045" s="5"/>
      <c r="M4045" s="27"/>
      <c r="N4045" s="5"/>
      <c r="O4045" s="5" t="str">
        <v>1651057954</v>
      </c>
      <c r="P4045" s="27">
        <v>8488746928</v>
      </c>
      <c r="Q4045" s="5" t="s">
        <v>55602</v>
      </c>
      <c r="R4045" s="5"/>
      <c r="S4045" s="5" t="s">
        <v>55603</v>
      </c>
      <c r="T4045" s="28">
        <v>10126437000</v>
      </c>
      <c r="U4045" s="28"/>
      <c r="V4045" s="28">
        <v>1096677000</v>
      </c>
      <c r="W4045" s="28"/>
      <c r="X4045" s="28">
        <v>223000</v>
      </c>
      <c r="Y4045" s="28">
        <v>12402656000</v>
      </c>
      <c r="Z4045" s="28">
        <v>-1300072000</v>
      </c>
      <c r="AA4045" s="28"/>
      <c r="AB4045" s="28">
        <v>1238908000</v>
      </c>
      <c r="AC4045" s="28">
        <v>1914711000</v>
      </c>
      <c r="AD4045" s="28">
        <v>9373980000</v>
      </c>
      <c r="AE4045" s="28">
        <v>8861753000</v>
      </c>
      <c r="AF4045" s="28">
        <v>-693533000</v>
      </c>
      <c r="AG4045" s="11"/>
    </row>
    <row r="4046">
      <c r="A4046" s="7" t="s">
        <v>5700</v>
      </c>
      <c r="B4046" s="5" t="s">
        <v>13657</v>
      </c>
      <c r="C4046" s="5" t="s">
        <v>21433</v>
      </c>
      <c r="D4046" s="5" t="str">
        <v>165900081348</v>
      </c>
      <c r="E4046" s="0" t="e">
        <f>+7 (8555) 375491
+7 (8555) 375099
+7 (495) 9817055
+7 (8555) 371153
+7 (8555) 371195
+7 (8555) 371279
+7 (8555) 371391
+7 (8555) 371461
+7 (8555) 371813
+7 (8555) 375336
+7 (8555) 375420
+7 (8555) 375742
+7 (8555) 375988
+7 (8555) 377009
+7 (8555) 377065</f>
        <v>#NAME?</v>
      </c>
      <c r="F4046" s="5" t="s">
        <v>37464</v>
      </c>
      <c r="G4046" s="5"/>
      <c r="H4046" s="26">
        <v>21.5</v>
      </c>
      <c r="I4046" s="5"/>
      <c r="J4046" s="5" t="s">
        <v>29198</v>
      </c>
      <c r="K4046" s="5" t="s">
        <v>344</v>
      </c>
      <c r="L4046" s="5"/>
      <c r="M4046" s="27">
        <v>256005370</v>
      </c>
      <c r="N4046" s="5" t="s">
        <v>55604</v>
      </c>
      <c r="O4046" s="5" t="str">
        <v>1651000010</v>
      </c>
      <c r="P4046" s="27">
        <v>1830240000</v>
      </c>
      <c r="Q4046" s="5" t="s">
        <v>55605</v>
      </c>
      <c r="R4046" s="5"/>
      <c r="S4046" s="5" t="s">
        <v>55606</v>
      </c>
      <c r="T4046" s="28">
        <v>258175504000</v>
      </c>
      <c r="U4046" s="28">
        <v>5290694000</v>
      </c>
      <c r="V4046" s="28">
        <v>23900452000</v>
      </c>
      <c r="W4046" s="28">
        <v>22142333000</v>
      </c>
      <c r="X4046" s="28">
        <v>10866765000</v>
      </c>
      <c r="Y4046" s="28">
        <v>360195018000</v>
      </c>
      <c r="Z4046" s="28">
        <v>208667443000</v>
      </c>
      <c r="AA4046" s="28">
        <v>101171150000</v>
      </c>
      <c r="AB4046" s="28">
        <v>5161128000</v>
      </c>
      <c r="AC4046" s="28">
        <v>29765435000</v>
      </c>
      <c r="AD4046" s="28">
        <v>216813088000</v>
      </c>
      <c r="AE4046" s="28">
        <v>257488544000</v>
      </c>
      <c r="AF4046" s="28">
        <v>47844138000</v>
      </c>
      <c r="AG4046" s="11"/>
    </row>
    <row r="4047">
      <c r="A4047" s="7" t="s">
        <v>5701</v>
      </c>
      <c r="B4047" s="5" t="s">
        <v>13658</v>
      </c>
      <c r="C4047" s="5" t="s">
        <v>21434</v>
      </c>
      <c r="D4047" s="5"/>
      <c r="E4047" s="0" t="e">
        <f>+7 (8555) 340260
+7 (8555) 341652
+7 (8555) 470111
+7 (8555) 470191</f>
        <v>#NAME?</v>
      </c>
      <c r="F4047" s="5" t="s">
        <v>37465</v>
      </c>
      <c r="G4047" s="5" t="s">
        <v>37466</v>
      </c>
      <c r="H4047" s="26">
        <v>24.5</v>
      </c>
      <c r="I4047" s="5" t="s">
        <v>37467</v>
      </c>
      <c r="J4047" s="5" t="s">
        <v>28418</v>
      </c>
      <c r="K4047" s="5" t="s">
        <v>344</v>
      </c>
      <c r="L4047" s="5" t="s">
        <v>37468</v>
      </c>
      <c r="M4047" s="27"/>
      <c r="N4047" s="5"/>
      <c r="O4047" s="5" t="str">
        <v>1651000041</v>
      </c>
      <c r="P4047" s="27">
        <v>148240000</v>
      </c>
      <c r="Q4047" s="5" t="s">
        <v>49009</v>
      </c>
      <c r="R4047" s="5"/>
      <c r="S4047" s="5" t="s">
        <v>49010</v>
      </c>
      <c r="T4047" s="28">
        <v>1030015000</v>
      </c>
      <c r="U4047" s="28"/>
      <c r="V4047" s="28">
        <v>5503582000</v>
      </c>
      <c r="W4047" s="28"/>
      <c r="X4047" s="28">
        <v>2636000</v>
      </c>
      <c r="Y4047" s="28">
        <v>7103783000</v>
      </c>
      <c r="Z4047" s="28">
        <v>5991123000</v>
      </c>
      <c r="AA4047" s="28"/>
      <c r="AB4047" s="28"/>
      <c r="AC4047" s="28">
        <v>718596000</v>
      </c>
      <c r="AD4047" s="28">
        <v>6295297000</v>
      </c>
      <c r="AE4047" s="28">
        <v>9215513000</v>
      </c>
      <c r="AF4047" s="28">
        <v>1424093000</v>
      </c>
      <c r="AG4047" s="11"/>
    </row>
    <row r="4048">
      <c r="A4048" s="7" t="s">
        <v>5702</v>
      </c>
      <c r="B4048" s="5" t="s">
        <v>13659</v>
      </c>
      <c r="C4048" s="5" t="s">
        <v>21435</v>
      </c>
      <c r="D4048" s="5"/>
      <c r="E4048" s="0" t="e">
        <f>+7 (8555) 497128
+7 (812) 3369595
+7 (8555) 340822
+7 (8555) 420451
+7 (8555) 497118
+7 (8555) 497255
+7 (8555) 497338
+7 (8555) 497342
+7 (8555) 497930
+7 (85552) 41231
+7 (85552) 41570</f>
        <v>#NAME?</v>
      </c>
      <c r="F4048" s="5" t="s">
        <v>37469</v>
      </c>
      <c r="G4048" s="5" t="s">
        <v>37470</v>
      </c>
      <c r="H4048" s="26">
        <v>21.5</v>
      </c>
      <c r="I4048" s="5" t="s">
        <v>37471</v>
      </c>
      <c r="J4048" s="5" t="s">
        <v>26281</v>
      </c>
      <c r="K4048" s="5" t="s">
        <v>344</v>
      </c>
      <c r="L4048" s="5"/>
      <c r="M4048" s="27"/>
      <c r="N4048" s="5"/>
      <c r="O4048" s="5" t="str">
        <v>1651000027</v>
      </c>
      <c r="P4048" s="27">
        <v>65701081</v>
      </c>
      <c r="Q4048" s="5"/>
      <c r="R4048" s="5"/>
      <c r="S4048" s="5" t="s">
        <v>55607</v>
      </c>
      <c r="T4048" s="28">
        <v>5252114000</v>
      </c>
      <c r="U4048" s="28">
        <v>6126000</v>
      </c>
      <c r="V4048" s="28">
        <v>2678496000</v>
      </c>
      <c r="W4048" s="28"/>
      <c r="X4048" s="28">
        <v>1642000</v>
      </c>
      <c r="Y4048" s="28">
        <v>8277473000</v>
      </c>
      <c r="Z4048" s="28">
        <v>2636575000</v>
      </c>
      <c r="AA4048" s="28">
        <v>276800000</v>
      </c>
      <c r="AB4048" s="28">
        <v>420000000</v>
      </c>
      <c r="AC4048" s="28">
        <v>4444603000</v>
      </c>
      <c r="AD4048" s="28">
        <v>3301458000</v>
      </c>
      <c r="AE4048" s="28">
        <v>9587822000</v>
      </c>
      <c r="AF4048" s="28">
        <v>953143000</v>
      </c>
      <c r="AG4048" s="11"/>
    </row>
    <row r="4049">
      <c r="A4049" s="7" t="s">
        <v>5703</v>
      </c>
      <c r="B4049" s="5" t="s">
        <v>13660</v>
      </c>
      <c r="C4049" s="5" t="s">
        <v>21436</v>
      </c>
      <c r="D4049" s="5" t="str">
        <v>525204937679</v>
      </c>
      <c r="E4049" s="0" t="e">
        <f>+7 (499) 7816875
+7 (499) 7852027
+7 (831) 2430414
+7 (831) 2430804
+7 (831) 2563989
+7 (831) 2643989
+7 (831) 2652989
+7 (831) 2653939
+7 (831) 2653998
+7 (831) 2683989
+7 (831) 2693989
+7 (831) 2743044
+7 (831) 2832805
+7 (831) 2248824
+7 (831) 2653000</f>
        <v>#NAME?</v>
      </c>
      <c r="F4049" s="5" t="s">
        <v>37472</v>
      </c>
      <c r="G4049" s="5" t="s">
        <v>37473</v>
      </c>
      <c r="H4049" s="26">
        <v>8</v>
      </c>
      <c r="I4049" s="5" t="s">
        <v>37474</v>
      </c>
      <c r="J4049" s="5" t="s">
        <v>36847</v>
      </c>
      <c r="K4049" s="5" t="s">
        <v>344</v>
      </c>
      <c r="L4049" s="5"/>
      <c r="M4049" s="27">
        <v>384662</v>
      </c>
      <c r="N4049" s="5" t="s">
        <v>55608</v>
      </c>
      <c r="O4049" s="5" t="str">
        <v>5261098663</v>
      </c>
      <c r="P4049" s="27">
        <v>10000</v>
      </c>
      <c r="Q4049" s="5" t="s">
        <v>55609</v>
      </c>
      <c r="R4049" s="5"/>
      <c r="S4049" s="5" t="s">
        <v>55610</v>
      </c>
      <c r="T4049" s="28">
        <v>3208000</v>
      </c>
      <c r="U4049" s="28"/>
      <c r="V4049" s="28">
        <v>645162000</v>
      </c>
      <c r="W4049" s="28"/>
      <c r="X4049" s="28">
        <v>331301000</v>
      </c>
      <c r="Y4049" s="28">
        <v>994723000</v>
      </c>
      <c r="Z4049" s="28">
        <v>-65481000</v>
      </c>
      <c r="AA4049" s="28"/>
      <c r="AB4049" s="28"/>
      <c r="AC4049" s="28">
        <v>1060194000</v>
      </c>
      <c r="AD4049" s="28">
        <v>-65471000</v>
      </c>
      <c r="AE4049" s="28">
        <v>3207595000</v>
      </c>
      <c r="AF4049" s="28">
        <v>2599000</v>
      </c>
      <c r="AG4049" s="11"/>
    </row>
    <row r="4050">
      <c r="A4050" s="7" t="s">
        <v>5704</v>
      </c>
      <c r="B4050" s="5" t="s">
        <v>13661</v>
      </c>
      <c r="C4050" s="5" t="s">
        <v>21437</v>
      </c>
      <c r="D4050" s="5" t="str">
        <v>781410257121</v>
      </c>
      <c r="E4050" s="0" t="e">
        <f>+7 (499) 9508677</f>
        <v>#NAME?</v>
      </c>
      <c r="F4050" s="5" t="s">
        <v>37475</v>
      </c>
      <c r="G4050" s="5" t="s">
        <v>37476</v>
      </c>
      <c r="H4050" s="26">
        <v>13.5</v>
      </c>
      <c r="I4050" s="5" t="s">
        <v>37477</v>
      </c>
      <c r="J4050" s="5" t="s">
        <v>755</v>
      </c>
      <c r="K4050" s="5" t="s">
        <v>355</v>
      </c>
      <c r="L4050" s="5"/>
      <c r="M4050" s="27">
        <v>9806</v>
      </c>
      <c r="N4050" s="5" t="s">
        <v>55611</v>
      </c>
      <c r="O4050" s="5" t="str">
        <v>7736607502</v>
      </c>
      <c r="P4050" s="27">
        <v>3276810750</v>
      </c>
      <c r="Q4050" s="5" t="s">
        <v>55612</v>
      </c>
      <c r="R4050" s="5"/>
      <c r="S4050" s="5" t="s">
        <v>55613</v>
      </c>
      <c r="T4050" s="28">
        <v>6847933000</v>
      </c>
      <c r="U4050" s="28"/>
      <c r="V4050" s="28">
        <v>1281177000</v>
      </c>
      <c r="W4050" s="28"/>
      <c r="X4050" s="28">
        <v>10977000</v>
      </c>
      <c r="Y4050" s="28">
        <v>8339726000</v>
      </c>
      <c r="Z4050" s="28">
        <v>2911193000</v>
      </c>
      <c r="AA4050" s="28"/>
      <c r="AB4050" s="28"/>
      <c r="AC4050" s="28">
        <v>1160983000</v>
      </c>
      <c r="AD4050" s="28">
        <v>6887404000</v>
      </c>
      <c r="AE4050" s="28">
        <v>4913951000</v>
      </c>
      <c r="AF4050" s="28">
        <v>35878000</v>
      </c>
      <c r="AG4050" s="11"/>
    </row>
    <row r="4051">
      <c r="A4051" s="7" t="s">
        <v>5705</v>
      </c>
      <c r="B4051" s="5" t="s">
        <v>13662</v>
      </c>
      <c r="C4051" s="5" t="s">
        <v>21438</v>
      </c>
      <c r="D4051" s="5" t="str">
        <v>616303377659</v>
      </c>
      <c r="E4051" s="0" t="e">
        <f>+7 (495) 2625244
+7 (495) 2626788
+7 (495) 2627928
+7 (495) 9677701
+7 (499) 2625379
+7 (499) 2627070
+7 (499) 2627443
+7 (499) 2628883
+7 (945) 9677701</f>
        <v>#NAME?</v>
      </c>
      <c r="F4051" s="5" t="s">
        <v>37478</v>
      </c>
      <c r="G4051" s="5" t="s">
        <v>37479</v>
      </c>
      <c r="H4051" s="26">
        <v>15.5</v>
      </c>
      <c r="I4051" s="5"/>
      <c r="J4051" s="5" t="s">
        <v>755</v>
      </c>
      <c r="K4051" s="5" t="s">
        <v>344</v>
      </c>
      <c r="L4051" s="5" t="s">
        <v>37480</v>
      </c>
      <c r="M4051" s="27">
        <v>4832918</v>
      </c>
      <c r="N4051" s="5" t="s">
        <v>55614</v>
      </c>
      <c r="O4051" s="5" t="str">
        <v>7709752846</v>
      </c>
      <c r="P4051" s="27">
        <v>748979000</v>
      </c>
      <c r="Q4051" s="5" t="s">
        <v>55615</v>
      </c>
      <c r="R4051" s="5"/>
      <c r="S4051" s="5" t="s">
        <v>51048</v>
      </c>
      <c r="T4051" s="28">
        <v>619324000</v>
      </c>
      <c r="U4051" s="28">
        <v>5000</v>
      </c>
      <c r="V4051" s="28">
        <v>3891844000</v>
      </c>
      <c r="W4051" s="28"/>
      <c r="X4051" s="28">
        <v>374084000</v>
      </c>
      <c r="Y4051" s="28">
        <v>5228222000</v>
      </c>
      <c r="Z4051" s="28">
        <v>710361000</v>
      </c>
      <c r="AA4051" s="28"/>
      <c r="AB4051" s="28">
        <v>524383000</v>
      </c>
      <c r="AC4051" s="28">
        <v>3696912000</v>
      </c>
      <c r="AD4051" s="28">
        <v>1497420000</v>
      </c>
      <c r="AE4051" s="28">
        <v>7529582000</v>
      </c>
      <c r="AF4051" s="28">
        <v>134585000</v>
      </c>
      <c r="AG4051" s="11"/>
    </row>
    <row r="4052">
      <c r="A4052" s="7" t="s">
        <v>5706</v>
      </c>
      <c r="B4052" s="5" t="s">
        <v>13663</v>
      </c>
      <c r="C4052" s="5" t="s">
        <v>21439</v>
      </c>
      <c r="D4052" s="5" t="str">
        <v>781700583102</v>
      </c>
      <c r="E4052" s="0" t="e">
        <f>+7 (921) 9365744
+7 (812) 3342268
+7 (812) 4644592
+7 (812) 4644634
+7 (812) 4646593
+7 (812) 4646672
+7 (812) 4646674
+7 (812) 4646677
+7 (812) 4648604</f>
        <v>#NAME?</v>
      </c>
      <c r="F4052" s="5" t="s">
        <v>37481</v>
      </c>
      <c r="G4052" s="5" t="s">
        <v>37482</v>
      </c>
      <c r="H4052" s="26">
        <v>23</v>
      </c>
      <c r="I4052" s="5" t="s">
        <v>37483</v>
      </c>
      <c r="J4052" s="5" t="s">
        <v>773</v>
      </c>
      <c r="K4052" s="5" t="s">
        <v>344</v>
      </c>
      <c r="L4052" s="5"/>
      <c r="M4052" s="27"/>
      <c r="N4052" s="5" t="s">
        <v>55616</v>
      </c>
      <c r="O4052" s="5" t="str">
        <v>7817035596</v>
      </c>
      <c r="P4052" s="27">
        <v>10000</v>
      </c>
      <c r="Q4052" s="5" t="s">
        <v>55617</v>
      </c>
      <c r="R4052" s="5"/>
      <c r="S4052" s="5" t="s">
        <v>55618</v>
      </c>
      <c r="T4052" s="28">
        <v>54944000</v>
      </c>
      <c r="U4052" s="28"/>
      <c r="V4052" s="28">
        <v>866691000</v>
      </c>
      <c r="W4052" s="28"/>
      <c r="X4052" s="28">
        <v>183173000</v>
      </c>
      <c r="Y4052" s="28">
        <v>1576058000</v>
      </c>
      <c r="Z4052" s="28">
        <v>543574000</v>
      </c>
      <c r="AA4052" s="28"/>
      <c r="AB4052" s="28"/>
      <c r="AC4052" s="28">
        <v>1023876000</v>
      </c>
      <c r="AD4052" s="28">
        <v>543584000</v>
      </c>
      <c r="AE4052" s="28">
        <v>3222393000</v>
      </c>
      <c r="AF4052" s="28">
        <v>214623000</v>
      </c>
      <c r="AG4052" s="11"/>
    </row>
    <row r="4053">
      <c r="A4053" s="7" t="s">
        <v>5707</v>
      </c>
      <c r="B4053" s="5" t="s">
        <v>13664</v>
      </c>
      <c r="C4053" s="5" t="s">
        <v>21440</v>
      </c>
      <c r="D4053" s="5" t="str">
        <v>183400517723</v>
      </c>
      <c r="E4053" s="0" t="e">
        <f>+7 (3412) 572969
+7 (3412) 672969
+7 (482) 2399209</f>
        <v>#NAME?</v>
      </c>
      <c r="F4053" s="5"/>
      <c r="G4053" s="5"/>
      <c r="H4053" s="26">
        <v>9.5</v>
      </c>
      <c r="I4053" s="5" t="s">
        <v>37484</v>
      </c>
      <c r="J4053" s="5" t="s">
        <v>25216</v>
      </c>
      <c r="K4053" s="5" t="s">
        <v>355</v>
      </c>
      <c r="L4053" s="5" t="s">
        <v>37485</v>
      </c>
      <c r="M4053" s="27"/>
      <c r="N4053" s="5"/>
      <c r="O4053" s="5" t="str">
        <v>6950168838</v>
      </c>
      <c r="P4053" s="27">
        <v>10000</v>
      </c>
      <c r="Q4053" s="5" t="s">
        <v>49009</v>
      </c>
      <c r="R4053" s="5"/>
      <c r="S4053" s="5" t="s">
        <v>49066</v>
      </c>
      <c r="T4053" s="28">
        <v>134727000</v>
      </c>
      <c r="U4053" s="28"/>
      <c r="V4053" s="28">
        <v>1050756000</v>
      </c>
      <c r="W4053" s="28">
        <v>950434000</v>
      </c>
      <c r="X4053" s="28">
        <v>136441000</v>
      </c>
      <c r="Y4053" s="28">
        <v>2308457000</v>
      </c>
      <c r="Z4053" s="28">
        <v>290006000</v>
      </c>
      <c r="AA4053" s="28"/>
      <c r="AB4053" s="28"/>
      <c r="AC4053" s="28">
        <v>2017161000</v>
      </c>
      <c r="AD4053" s="28">
        <v>290016000</v>
      </c>
      <c r="AE4053" s="28">
        <v>3650043000</v>
      </c>
      <c r="AF4053" s="28">
        <v>34985000</v>
      </c>
      <c r="AG4053" s="11"/>
    </row>
    <row r="4054">
      <c r="A4054" s="7" t="s">
        <v>5707</v>
      </c>
      <c r="B4054" s="5" t="s">
        <v>13665</v>
      </c>
      <c r="C4054" s="5" t="s">
        <v>21440</v>
      </c>
      <c r="D4054" s="5" t="str">
        <v>183400517723</v>
      </c>
      <c r="E4054" s="0" t="e">
        <f>+7 (3412) 550000
+7 (3412) 572986</f>
        <v>#NAME?</v>
      </c>
      <c r="F4054" s="5"/>
      <c r="G4054" s="5"/>
      <c r="H4054" s="26">
        <v>6</v>
      </c>
      <c r="I4054" s="5" t="s">
        <v>37486</v>
      </c>
      <c r="J4054" s="5" t="s">
        <v>25216</v>
      </c>
      <c r="K4054" s="5" t="s">
        <v>344</v>
      </c>
      <c r="L4054" s="5" t="s">
        <v>27297</v>
      </c>
      <c r="M4054" s="27"/>
      <c r="N4054" s="5" t="s">
        <v>52863</v>
      </c>
      <c r="O4054" s="5" t="str">
        <v>7810677668</v>
      </c>
      <c r="P4054" s="27">
        <v>10000</v>
      </c>
      <c r="Q4054" s="5"/>
      <c r="R4054" s="5"/>
      <c r="S4054" s="5" t="s">
        <v>49499</v>
      </c>
      <c r="T4054" s="28">
        <v>170576000</v>
      </c>
      <c r="U4054" s="28"/>
      <c r="V4054" s="28">
        <v>1704314000</v>
      </c>
      <c r="W4054" s="28">
        <v>2501000000</v>
      </c>
      <c r="X4054" s="28">
        <v>327514000</v>
      </c>
      <c r="Y4054" s="28">
        <v>4875238000</v>
      </c>
      <c r="Z4054" s="28">
        <v>377054000</v>
      </c>
      <c r="AA4054" s="28">
        <v>10366000</v>
      </c>
      <c r="AB4054" s="28">
        <v>25227000</v>
      </c>
      <c r="AC4054" s="28">
        <v>4477054000</v>
      </c>
      <c r="AD4054" s="28">
        <v>387064000</v>
      </c>
      <c r="AE4054" s="28">
        <v>4930380000</v>
      </c>
      <c r="AF4054" s="28">
        <v>47129000</v>
      </c>
      <c r="AG4054" s="11"/>
    </row>
    <row r="4055">
      <c r="A4055" s="7" t="s">
        <v>5708</v>
      </c>
      <c r="B4055" s="5" t="s">
        <v>13666</v>
      </c>
      <c r="C4055" s="5" t="s">
        <v>21441</v>
      </c>
      <c r="D4055" s="5" t="str">
        <v>732700481559</v>
      </c>
      <c r="E4055" s="0" t="e">
        <f>+7 (967) 8580866
+7 (343) 2871107
+7 (343) 3809088</f>
        <v>#NAME?</v>
      </c>
      <c r="F4055" s="5" t="s">
        <v>37487</v>
      </c>
      <c r="G4055" s="5" t="s">
        <v>37488</v>
      </c>
      <c r="H4055" s="26">
        <v>9</v>
      </c>
      <c r="I4055" s="5" t="s">
        <v>37489</v>
      </c>
      <c r="J4055" s="5" t="s">
        <v>32652</v>
      </c>
      <c r="K4055" s="5" t="s">
        <v>344</v>
      </c>
      <c r="L4055" s="5"/>
      <c r="M4055" s="27">
        <v>9385360</v>
      </c>
      <c r="N4055" s="5" t="s">
        <v>55619</v>
      </c>
      <c r="O4055" s="5" t="str">
        <v>7734720936</v>
      </c>
      <c r="P4055" s="27">
        <v>34493506</v>
      </c>
      <c r="Q4055" s="5" t="s">
        <v>55620</v>
      </c>
      <c r="R4055" s="5"/>
      <c r="S4055" s="5" t="s">
        <v>54286</v>
      </c>
      <c r="T4055" s="28">
        <v>847288000</v>
      </c>
      <c r="U4055" s="28">
        <v>603634000</v>
      </c>
      <c r="V4055" s="28">
        <v>5604718000</v>
      </c>
      <c r="W4055" s="28">
        <v>1241892000</v>
      </c>
      <c r="X4055" s="28">
        <v>416042000</v>
      </c>
      <c r="Y4055" s="28">
        <v>11361352000</v>
      </c>
      <c r="Z4055" s="28">
        <v>1222292000</v>
      </c>
      <c r="AA4055" s="28">
        <v>4172330000</v>
      </c>
      <c r="AB4055" s="28">
        <v>1161000</v>
      </c>
      <c r="AC4055" s="28">
        <v>5606877000</v>
      </c>
      <c r="AD4055" s="28">
        <v>1256786000</v>
      </c>
      <c r="AE4055" s="28">
        <v>13533614000</v>
      </c>
      <c r="AF4055" s="28">
        <v>886000</v>
      </c>
      <c r="AG4055" s="11"/>
    </row>
    <row r="4056">
      <c r="A4056" s="7" t="s">
        <v>5709</v>
      </c>
      <c r="B4056" s="5" t="s">
        <v>13667</v>
      </c>
      <c r="C4056" s="5" t="s">
        <v>21442</v>
      </c>
      <c r="D4056" s="5" t="str">
        <v>120301595036</v>
      </c>
      <c r="E4056" s="0" t="e">
        <f>+7 (83146) 3259
+7 (83146) 4185
+7 (83146) 5971
+7 (83146) 9538
+7 (83146) 9672</f>
        <v>#NAME?</v>
      </c>
      <c r="F4056" s="5" t="s">
        <v>37490</v>
      </c>
      <c r="G4056" s="5" t="s">
        <v>37491</v>
      </c>
      <c r="H4056" s="26">
        <v>17</v>
      </c>
      <c r="I4056" s="5" t="s">
        <v>37492</v>
      </c>
      <c r="J4056" s="5" t="s">
        <v>364</v>
      </c>
      <c r="K4056" s="5" t="s">
        <v>344</v>
      </c>
      <c r="L4056" s="5" t="s">
        <v>37493</v>
      </c>
      <c r="M4056" s="27">
        <v>126593</v>
      </c>
      <c r="N4056" s="5" t="s">
        <v>55621</v>
      </c>
      <c r="O4056" s="5" t="str">
        <v>5261047845</v>
      </c>
      <c r="P4056" s="27">
        <v>15010000</v>
      </c>
      <c r="Q4056" s="5" t="s">
        <v>49009</v>
      </c>
      <c r="R4056" s="5"/>
      <c r="S4056" s="5" t="s">
        <v>49907</v>
      </c>
      <c r="T4056" s="28">
        <v>256942000</v>
      </c>
      <c r="U4056" s="28"/>
      <c r="V4056" s="28">
        <v>1949244000</v>
      </c>
      <c r="W4056" s="28">
        <v>48472000</v>
      </c>
      <c r="X4056" s="28">
        <v>685066000</v>
      </c>
      <c r="Y4056" s="28">
        <v>3057417000</v>
      </c>
      <c r="Z4056" s="28">
        <v>298975000</v>
      </c>
      <c r="AA4056" s="28">
        <v>70000000</v>
      </c>
      <c r="AB4056" s="28"/>
      <c r="AC4056" s="28">
        <v>1850932000</v>
      </c>
      <c r="AD4056" s="28">
        <v>313985000</v>
      </c>
      <c r="AE4056" s="28">
        <v>4335023000</v>
      </c>
      <c r="AF4056" s="28">
        <v>64186000</v>
      </c>
      <c r="AG4056" s="11"/>
    </row>
    <row r="4057">
      <c r="A4057" s="7" t="s">
        <v>5710</v>
      </c>
      <c r="B4057" s="5" t="s">
        <v>13668</v>
      </c>
      <c r="C4057" s="5" t="s">
        <v>21276</v>
      </c>
      <c r="D4057" s="5" t="str">
        <v>526211802498</v>
      </c>
      <c r="F4057" s="5"/>
      <c r="G4057" s="5" t="s">
        <v>37494</v>
      </c>
      <c r="H4057" s="26">
        <v>4</v>
      </c>
      <c r="I4057" s="5"/>
      <c r="J4057" s="5" t="s">
        <v>26256</v>
      </c>
      <c r="K4057" s="5" t="s">
        <v>344</v>
      </c>
      <c r="L4057" s="5" t="s">
        <v>37495</v>
      </c>
      <c r="M4057" s="27"/>
      <c r="N4057" s="5"/>
      <c r="O4057" s="5" t="str">
        <v>9731017006</v>
      </c>
      <c r="P4057" s="27">
        <v>20000</v>
      </c>
      <c r="Q4057" s="5" t="s">
        <v>49207</v>
      </c>
      <c r="R4057" s="5"/>
      <c r="S4057" s="5" t="s">
        <v>49565</v>
      </c>
      <c r="T4057" s="28">
        <v>6897000</v>
      </c>
      <c r="U4057" s="28"/>
      <c r="V4057" s="28">
        <v>1056201000</v>
      </c>
      <c r="W4057" s="28"/>
      <c r="X4057" s="28">
        <v>13093000</v>
      </c>
      <c r="Y4057" s="28">
        <v>1387765000</v>
      </c>
      <c r="Z4057" s="28">
        <v>860156000</v>
      </c>
      <c r="AA4057" s="28"/>
      <c r="AB4057" s="28"/>
      <c r="AC4057" s="28">
        <v>521010000</v>
      </c>
      <c r="AD4057" s="28">
        <v>860176000</v>
      </c>
      <c r="AE4057" s="28">
        <v>3112820000</v>
      </c>
      <c r="AF4057" s="28">
        <v>648478000</v>
      </c>
      <c r="AG4057" s="11"/>
    </row>
    <row r="4058">
      <c r="A4058" s="7" t="s">
        <v>5711</v>
      </c>
      <c r="B4058" s="5" t="s">
        <v>13669</v>
      </c>
      <c r="C4058" s="5" t="s">
        <v>21443</v>
      </c>
      <c r="D4058" s="5" t="str">
        <v>344405356912</v>
      </c>
      <c r="E4058" s="0" t="e">
        <f>+7 (495) 216691</f>
        <v>#NAME?</v>
      </c>
      <c r="F4058" s="5"/>
      <c r="G4058" s="5"/>
      <c r="H4058" s="26">
        <v>6</v>
      </c>
      <c r="I4058" s="5" t="s">
        <v>37496</v>
      </c>
      <c r="J4058" s="5" t="s">
        <v>25484</v>
      </c>
      <c r="K4058" s="5" t="s">
        <v>344</v>
      </c>
      <c r="L4058" s="5"/>
      <c r="M4058" s="27"/>
      <c r="N4058" s="5" t="s">
        <v>55622</v>
      </c>
      <c r="O4058" s="5" t="str">
        <v>7706448421</v>
      </c>
      <c r="P4058" s="27">
        <v>10000</v>
      </c>
      <c r="Q4058" s="5" t="s">
        <v>49057</v>
      </c>
      <c r="R4058" s="5"/>
      <c r="S4058" s="5" t="s">
        <v>55623</v>
      </c>
      <c r="T4058" s="28">
        <v>18372000</v>
      </c>
      <c r="U4058" s="28"/>
      <c r="V4058" s="28">
        <v>132215000</v>
      </c>
      <c r="W4058" s="28">
        <v>6850000</v>
      </c>
      <c r="X4058" s="28">
        <v>113496000</v>
      </c>
      <c r="Y4058" s="28">
        <v>280642000</v>
      </c>
      <c r="Z4058" s="28">
        <v>31508000</v>
      </c>
      <c r="AA4058" s="28">
        <v>186496000</v>
      </c>
      <c r="AB4058" s="28">
        <v>13459000</v>
      </c>
      <c r="AC4058" s="28">
        <v>60500000</v>
      </c>
      <c r="AD4058" s="28">
        <v>31518000</v>
      </c>
      <c r="AE4058" s="28">
        <v>3869541000</v>
      </c>
      <c r="AF4058" s="28">
        <v>14462000</v>
      </c>
      <c r="AG4058" s="11"/>
    </row>
    <row r="4059">
      <c r="A4059" s="7" t="s">
        <v>5712</v>
      </c>
      <c r="B4059" s="5" t="s">
        <v>13670</v>
      </c>
      <c r="C4059" s="5" t="s">
        <v>21444</v>
      </c>
      <c r="D4059" s="5" t="str">
        <v>771400464115</v>
      </c>
      <c r="E4059" s="0" t="e">
        <f>+7 (495) 9904863
+7 (499) 3227386
+7 (495) 6096202
+7 (499) 2574971
+7 (916) 6349652
+7 (495) 6096333
+7 (495) 6096383
+7 (499) 1516221
+7 (499) 2574581
+7 (499) 2574970
+7 (499) 2574974
+7 (499) 2574976</f>
        <v>#NAME?</v>
      </c>
      <c r="F4059" s="5" t="s">
        <v>37497</v>
      </c>
      <c r="G4059" s="5" t="s">
        <v>37498</v>
      </c>
      <c r="H4059" s="26">
        <v>27</v>
      </c>
      <c r="I4059" s="5" t="s">
        <v>37499</v>
      </c>
      <c r="J4059" s="5" t="s">
        <v>35100</v>
      </c>
      <c r="K4059" s="5" t="s">
        <v>344</v>
      </c>
      <c r="L4059" s="5" t="s">
        <v>37500</v>
      </c>
      <c r="M4059" s="27">
        <v>953000</v>
      </c>
      <c r="N4059" s="5" t="s">
        <v>55624</v>
      </c>
      <c r="O4059" s="5" t="str">
        <v>7713046956</v>
      </c>
      <c r="P4059" s="27">
        <v>37400</v>
      </c>
      <c r="Q4059" s="5" t="s">
        <v>49016</v>
      </c>
      <c r="R4059" s="5"/>
      <c r="S4059" s="5" t="s">
        <v>55626</v>
      </c>
      <c r="T4059" s="28">
        <v>2302641000</v>
      </c>
      <c r="U4059" s="28">
        <v>171000</v>
      </c>
      <c r="V4059" s="28">
        <v>722866000</v>
      </c>
      <c r="W4059" s="28">
        <v>89000000</v>
      </c>
      <c r="X4059" s="28">
        <v>103854000</v>
      </c>
      <c r="Y4059" s="28">
        <v>5790440000</v>
      </c>
      <c r="Z4059" s="28">
        <v>1305836000</v>
      </c>
      <c r="AA4059" s="28">
        <v>550913000</v>
      </c>
      <c r="AB4059" s="28">
        <v>1251000</v>
      </c>
      <c r="AC4059" s="28">
        <v>936843000</v>
      </c>
      <c r="AD4059" s="28">
        <v>1372416000</v>
      </c>
      <c r="AE4059" s="28">
        <v>8993508000</v>
      </c>
      <c r="AF4059" s="28">
        <v>545169000</v>
      </c>
      <c r="AG4059" s="11"/>
    </row>
    <row r="4060">
      <c r="A4060" s="7" t="s">
        <v>5713</v>
      </c>
      <c r="B4060" s="5" t="s">
        <v>13671</v>
      </c>
      <c r="C4060" s="5" t="s">
        <v>21445</v>
      </c>
      <c r="D4060" s="5" t="str">
        <v>254055621202</v>
      </c>
      <c r="E4060" s="0" t="e">
        <f>+7 (924) 4205030
+7 (423) 2268105
+7 (4232) 215707
+7 (4232) 215715
+7 (4232) 268256
+7 (4232) 269761
+7 (4232) 650200</f>
        <v>#NAME?</v>
      </c>
      <c r="F4060" s="5" t="s">
        <v>37501</v>
      </c>
      <c r="G4060" s="5" t="s">
        <v>37502</v>
      </c>
      <c r="H4060" s="26">
        <v>31.5</v>
      </c>
      <c r="I4060" s="5" t="s">
        <v>37503</v>
      </c>
      <c r="J4060" s="5" t="s">
        <v>28577</v>
      </c>
      <c r="K4060" s="5" t="s">
        <v>380</v>
      </c>
      <c r="L4060" s="5" t="s">
        <v>37504</v>
      </c>
      <c r="M4060" s="27"/>
      <c r="N4060" s="5" t="s">
        <v>55627</v>
      </c>
      <c r="O4060" s="5" t="str">
        <v>2538001527</v>
      </c>
      <c r="P4060" s="27">
        <v>556000</v>
      </c>
      <c r="Q4060" s="5"/>
      <c r="R4060" s="5"/>
      <c r="S4060" s="5" t="s">
        <v>50347</v>
      </c>
      <c r="T4060" s="28">
        <v>774483000</v>
      </c>
      <c r="U4060" s="28"/>
      <c r="V4060" s="28">
        <v>1072512000</v>
      </c>
      <c r="W4060" s="28">
        <v>689548000</v>
      </c>
      <c r="X4060" s="28">
        <v>5413000</v>
      </c>
      <c r="Y4060" s="28">
        <v>4139957000</v>
      </c>
      <c r="Z4060" s="28">
        <v>304599000</v>
      </c>
      <c r="AA4060" s="28">
        <v>169608000</v>
      </c>
      <c r="AB4060" s="28">
        <v>1525054000</v>
      </c>
      <c r="AC4060" s="28">
        <v>3657194000</v>
      </c>
      <c r="AD4060" s="28">
        <v>311555000</v>
      </c>
      <c r="AE4060" s="28">
        <v>9588953000</v>
      </c>
      <c r="AF4060" s="28">
        <v>-75394000</v>
      </c>
      <c r="AG4060" s="11"/>
    </row>
    <row r="4061">
      <c r="A4061" s="7" t="s">
        <v>5714</v>
      </c>
      <c r="B4061" s="5" t="s">
        <v>13672</v>
      </c>
      <c r="C4061" s="5" t="s">
        <v>21446</v>
      </c>
      <c r="D4061" s="5" t="str">
        <v>771509837277</v>
      </c>
      <c r="E4061" s="0" t="e">
        <f>+7 (4232) 265020
+7 (423) 2269566
+7 (4232) 611668
+7 (902) 5550557</f>
        <v>#NAME?</v>
      </c>
      <c r="F4061" s="5" t="s">
        <v>37505</v>
      </c>
      <c r="G4061" s="5"/>
      <c r="H4061" s="26">
        <v>23</v>
      </c>
      <c r="I4061" s="5" t="s">
        <v>37506</v>
      </c>
      <c r="J4061" s="5" t="s">
        <v>373</v>
      </c>
      <c r="K4061" s="5" t="s">
        <v>355</v>
      </c>
      <c r="L4061" s="5" t="s">
        <v>37507</v>
      </c>
      <c r="M4061" s="27">
        <v>834060</v>
      </c>
      <c r="N4061" s="5" t="s">
        <v>55628</v>
      </c>
      <c r="O4061" s="5" t="str">
        <v>2536092800</v>
      </c>
      <c r="P4061" s="27">
        <v>500000</v>
      </c>
      <c r="Q4061" s="5" t="s">
        <v>55629</v>
      </c>
      <c r="R4061" s="5"/>
      <c r="S4061" s="5" t="s">
        <v>55630</v>
      </c>
      <c r="T4061" s="28">
        <v>481364000</v>
      </c>
      <c r="U4061" s="28"/>
      <c r="V4061" s="28">
        <v>1234411000</v>
      </c>
      <c r="W4061" s="28"/>
      <c r="X4061" s="28">
        <v>2753000</v>
      </c>
      <c r="Y4061" s="28">
        <v>1765656000</v>
      </c>
      <c r="Z4061" s="28">
        <v>335824000</v>
      </c>
      <c r="AA4061" s="28"/>
      <c r="AB4061" s="28">
        <v>920000000</v>
      </c>
      <c r="AC4061" s="28">
        <v>1427171000</v>
      </c>
      <c r="AD4061" s="28">
        <v>336324000</v>
      </c>
      <c r="AE4061" s="28">
        <v>9244054000</v>
      </c>
      <c r="AF4061" s="28">
        <v>-12694000</v>
      </c>
      <c r="AG4061" s="11"/>
    </row>
    <row r="4062">
      <c r="A4062" s="7" t="s">
        <v>5715</v>
      </c>
      <c r="B4062" s="5" t="s">
        <v>13673</v>
      </c>
      <c r="C4062" s="5" t="s">
        <v>21447</v>
      </c>
      <c r="D4062" s="5" t="str">
        <v>402917871451</v>
      </c>
      <c r="E4062" s="0" t="e">
        <f>+7 (495) 2324306
+7 (495) 2325360
+7 (495) 9562194
+7 (496) 4448991
+7 (49644) 48996
+7 (49646) 48773
+7 (49646) 48996</f>
        <v>#NAME?</v>
      </c>
      <c r="F4062" s="5" t="s">
        <v>37508</v>
      </c>
      <c r="G4062" s="5" t="s">
        <v>37509</v>
      </c>
      <c r="H4062" s="26">
        <v>20</v>
      </c>
      <c r="I4062" s="5" t="s">
        <v>37510</v>
      </c>
      <c r="J4062" s="5" t="s">
        <v>33575</v>
      </c>
      <c r="K4062" s="5" t="s">
        <v>344</v>
      </c>
      <c r="L4062" s="5" t="s">
        <v>37511</v>
      </c>
      <c r="M4062" s="27"/>
      <c r="N4062" s="5"/>
      <c r="O4062" s="5" t="str">
        <v>5005036345</v>
      </c>
      <c r="P4062" s="27">
        <v>10010000</v>
      </c>
      <c r="Q4062" s="5" t="s">
        <v>49059</v>
      </c>
      <c r="R4062" s="5"/>
      <c r="S4062" s="5" t="s">
        <v>49029</v>
      </c>
      <c r="T4062" s="28">
        <v>36361000</v>
      </c>
      <c r="U4062" s="28"/>
      <c r="V4062" s="28">
        <v>117670000</v>
      </c>
      <c r="W4062" s="28">
        <v>1273225000</v>
      </c>
      <c r="X4062" s="28">
        <v>124000</v>
      </c>
      <c r="Y4062" s="28">
        <v>2098651000</v>
      </c>
      <c r="Z4062" s="28">
        <v>2031295000</v>
      </c>
      <c r="AA4062" s="28"/>
      <c r="AB4062" s="28"/>
      <c r="AC4062" s="28">
        <v>53299000</v>
      </c>
      <c r="AD4062" s="28">
        <v>2041305000</v>
      </c>
      <c r="AE4062" s="28">
        <v>3599828000</v>
      </c>
      <c r="AF4062" s="28">
        <v>1124321000</v>
      </c>
      <c r="AG4062" s="11"/>
    </row>
    <row r="4063">
      <c r="A4063" s="7" t="s">
        <v>5716</v>
      </c>
      <c r="B4063" s="5" t="s">
        <v>13674</v>
      </c>
      <c r="C4063" s="5" t="s">
        <v>21448</v>
      </c>
      <c r="D4063" s="5" t="str">
        <v>525816091760</v>
      </c>
      <c r="E4063" s="0" t="e">
        <f>+7 (49234) 22227
+7 (49234) 32411
+7 (831) 2411364
+7 (831) 2597711
+7 (910) 7955757
+7 (915) 7667911</f>
        <v>#NAME?</v>
      </c>
      <c r="F4063" s="5" t="s">
        <v>37512</v>
      </c>
      <c r="G4063" s="5"/>
      <c r="H4063" s="26">
        <v>20.5</v>
      </c>
      <c r="I4063" s="5" t="s">
        <v>37513</v>
      </c>
      <c r="J4063" s="5" t="s">
        <v>26536</v>
      </c>
      <c r="K4063" s="5" t="s">
        <v>344</v>
      </c>
      <c r="L4063" s="5" t="s">
        <v>37514</v>
      </c>
      <c r="M4063" s="27"/>
      <c r="N4063" s="5"/>
      <c r="O4063" s="5" t="str">
        <v>5258044065</v>
      </c>
      <c r="P4063" s="27">
        <v>260000000</v>
      </c>
      <c r="Q4063" s="5"/>
      <c r="R4063" s="5"/>
      <c r="S4063" s="5" t="s">
        <v>49029</v>
      </c>
      <c r="T4063" s="28">
        <v>607635000</v>
      </c>
      <c r="U4063" s="28"/>
      <c r="V4063" s="28">
        <v>457193000</v>
      </c>
      <c r="W4063" s="28">
        <v>100000000</v>
      </c>
      <c r="X4063" s="28">
        <v>688772000</v>
      </c>
      <c r="Y4063" s="28">
        <v>2011717000</v>
      </c>
      <c r="Z4063" s="28">
        <v>1313056000</v>
      </c>
      <c r="AA4063" s="28"/>
      <c r="AB4063" s="28"/>
      <c r="AC4063" s="28">
        <v>391029000</v>
      </c>
      <c r="AD4063" s="28">
        <v>1573056000</v>
      </c>
      <c r="AE4063" s="28">
        <v>4048339000</v>
      </c>
      <c r="AF4063" s="28">
        <v>1208109000</v>
      </c>
      <c r="AG4063" s="11"/>
    </row>
    <row r="4064">
      <c r="A4064" s="7" t="s">
        <v>5717</v>
      </c>
      <c r="B4064" s="5" t="s">
        <v>13675</v>
      </c>
      <c r="C4064" s="5" t="s">
        <v>21449</v>
      </c>
      <c r="D4064" s="5" t="str">
        <v>027720038814</v>
      </c>
      <c r="E4064" s="0" t="e">
        <f>+7 (3472) 468701
+7 (3472) 468709
+7 (3472) 538701
+7 (3472) 538704
+7 (3472) 538709
+7 (3472) 724668
+7 (3472) 730575</f>
        <v>#NAME?</v>
      </c>
      <c r="F4064" s="5" t="s">
        <v>37515</v>
      </c>
      <c r="G4064" s="5" t="s">
        <v>37516</v>
      </c>
      <c r="H4064" s="26">
        <v>22.5</v>
      </c>
      <c r="I4064" s="5" t="s">
        <v>37517</v>
      </c>
      <c r="J4064" s="5" t="s">
        <v>671</v>
      </c>
      <c r="K4064" s="5" t="s">
        <v>344</v>
      </c>
      <c r="L4064" s="5"/>
      <c r="M4064" s="27">
        <v>2910020564</v>
      </c>
      <c r="N4064" s="5"/>
      <c r="O4064" s="5" t="str">
        <v>0277046541</v>
      </c>
      <c r="P4064" s="27">
        <v>10000000</v>
      </c>
      <c r="Q4064" s="5" t="s">
        <v>55632</v>
      </c>
      <c r="R4064" s="5"/>
      <c r="S4064" s="5" t="s">
        <v>51036</v>
      </c>
      <c r="T4064" s="28">
        <v>964885000</v>
      </c>
      <c r="U4064" s="28">
        <v>233000</v>
      </c>
      <c r="V4064" s="28">
        <v>8843345000</v>
      </c>
      <c r="W4064" s="28">
        <v>1247171000</v>
      </c>
      <c r="X4064" s="28">
        <v>3213186000</v>
      </c>
      <c r="Y4064" s="28">
        <v>17856482000</v>
      </c>
      <c r="Z4064" s="28">
        <v>5990586000</v>
      </c>
      <c r="AA4064" s="28">
        <v>207452000</v>
      </c>
      <c r="AB4064" s="28"/>
      <c r="AC4064" s="28">
        <v>11437643000</v>
      </c>
      <c r="AD4064" s="28">
        <v>6000586000</v>
      </c>
      <c r="AE4064" s="28">
        <v>26544823000</v>
      </c>
      <c r="AF4064" s="28">
        <v>932347000</v>
      </c>
      <c r="AG4064" s="11"/>
    </row>
    <row r="4065">
      <c r="A4065" s="7" t="s">
        <v>5718</v>
      </c>
      <c r="B4065" s="5" t="s">
        <v>13676</v>
      </c>
      <c r="C4065" s="5" t="s">
        <v>21450</v>
      </c>
      <c r="D4065" s="5" t="str">
        <v>772633533959</v>
      </c>
      <c r="E4065" s="0" t="e">
        <f>+7 (345) 2217301
+7 (495) 7305887
+7 (861) 1557611
+7 (861) 2386060
+7 (861) 2386070
+7 (861) 2650570
+7 (861) 2750570
+7 (861) 2751485</f>
        <v>#NAME?</v>
      </c>
      <c r="F4065" s="5" t="s">
        <v>37518</v>
      </c>
      <c r="G4065" s="5" t="s">
        <v>37519</v>
      </c>
      <c r="H4065" s="26">
        <v>29</v>
      </c>
      <c r="I4065" s="5"/>
      <c r="J4065" s="5" t="s">
        <v>27182</v>
      </c>
      <c r="K4065" s="5" t="s">
        <v>355</v>
      </c>
      <c r="L4065" s="5" t="s">
        <v>37520</v>
      </c>
      <c r="M4065" s="27">
        <v>500479673</v>
      </c>
      <c r="N4065" s="5" t="s">
        <v>55633</v>
      </c>
      <c r="O4065" s="5" t="str">
        <v>2310004087</v>
      </c>
      <c r="P4065" s="27">
        <v>16209</v>
      </c>
      <c r="Q4065" s="5" t="s">
        <v>55635</v>
      </c>
      <c r="R4065" s="5"/>
      <c r="S4065" s="5" t="s">
        <v>55636</v>
      </c>
      <c r="T4065" s="28">
        <v>2445160000</v>
      </c>
      <c r="U4065" s="28">
        <v>6276212000</v>
      </c>
      <c r="V4065" s="28">
        <v>160113376000</v>
      </c>
      <c r="W4065" s="28"/>
      <c r="X4065" s="28">
        <v>6623291000</v>
      </c>
      <c r="Y4065" s="28">
        <v>213551502000</v>
      </c>
      <c r="Z4065" s="28">
        <v>11109619000</v>
      </c>
      <c r="AA4065" s="28"/>
      <c r="AB4065" s="28">
        <v>2016307000</v>
      </c>
      <c r="AC4065" s="28">
        <v>181549416000</v>
      </c>
      <c r="AD4065" s="28">
        <v>11164952000</v>
      </c>
      <c r="AE4065" s="28">
        <v>106489802000</v>
      </c>
      <c r="AF4065" s="28">
        <v>6197895000</v>
      </c>
      <c r="AG4065" s="11"/>
    </row>
    <row r="4066">
      <c r="A4066" s="7" t="s">
        <v>5719</v>
      </c>
      <c r="B4066" s="5" t="s">
        <v>13677</v>
      </c>
      <c r="C4066" s="5" t="s">
        <v>21451</v>
      </c>
      <c r="D4066" s="5" t="str">
        <v>667303284359</v>
      </c>
      <c r="E4066" s="0" t="e">
        <f>+7 (3432) 958506
+7 (904) 1701095
+7 (905) 8591628
+7 (343) 2568752
+7 (343) 2568759
+7 (343) 2958507
+7 (343) 2958558
+7 (3432) 568758
+7 (3432) 568760
+7 (3432) 568761
+7 (3432) 568767
+7 (3432) 958500
+7 (3432) 958501
+7 (3432) 958559
+7 (3432) 958560</f>
        <v>#NAME?</v>
      </c>
      <c r="F4066" s="5" t="s">
        <v>37521</v>
      </c>
      <c r="G4066" s="5" t="s">
        <v>37522</v>
      </c>
      <c r="H4066" s="26">
        <v>11</v>
      </c>
      <c r="I4066" s="5"/>
      <c r="J4066" s="5" t="s">
        <v>755</v>
      </c>
      <c r="K4066" s="5" t="s">
        <v>344</v>
      </c>
      <c r="L4066" s="5" t="s">
        <v>37523</v>
      </c>
      <c r="M4066" s="27"/>
      <c r="N4066" s="5" t="s">
        <v>55637</v>
      </c>
      <c r="O4066" s="5" t="str">
        <v>6679007712</v>
      </c>
      <c r="P4066" s="27">
        <v>10000</v>
      </c>
      <c r="Q4066" s="5" t="s">
        <v>55638</v>
      </c>
      <c r="R4066" s="5"/>
      <c r="S4066" s="5" t="s">
        <v>49907</v>
      </c>
      <c r="T4066" s="28">
        <v>1434869000</v>
      </c>
      <c r="U4066" s="28">
        <v>234739000</v>
      </c>
      <c r="V4066" s="28">
        <v>2438548000</v>
      </c>
      <c r="W4066" s="28">
        <v>25117000</v>
      </c>
      <c r="X4066" s="28">
        <v>251326000</v>
      </c>
      <c r="Y4066" s="28">
        <v>6448800000</v>
      </c>
      <c r="Z4066" s="28">
        <v>2319351000</v>
      </c>
      <c r="AA4066" s="28">
        <v>49182000</v>
      </c>
      <c r="AB4066" s="28">
        <v>1353468000</v>
      </c>
      <c r="AC4066" s="28">
        <v>3238742000</v>
      </c>
      <c r="AD4066" s="28">
        <v>2319361000</v>
      </c>
      <c r="AE4066" s="28">
        <v>10091286000</v>
      </c>
      <c r="AF4066" s="28">
        <v>499132000</v>
      </c>
      <c r="AG4066" s="11"/>
    </row>
    <row r="4067">
      <c r="A4067" s="7" t="s">
        <v>5720</v>
      </c>
      <c r="B4067" s="5" t="s">
        <v>13678</v>
      </c>
      <c r="C4067" s="5" t="s">
        <v>21452</v>
      </c>
      <c r="D4067" s="5" t="str">
        <v>222600212560</v>
      </c>
      <c r="E4067" s="0" t="e">
        <f>+7 (3854) 320714
+7 (3854) 320975
+7 (3854) 406422
+7 (3854) 406440
+7 (3854) 406522
+7 (3854) 406550
+7 (3854) 419348
+7 (905) 9830752</f>
        <v>#NAME?</v>
      </c>
      <c r="F4067" s="5"/>
      <c r="G4067" s="5"/>
      <c r="H4067" s="26">
        <v>18.5</v>
      </c>
      <c r="I4067" s="5" t="s">
        <v>37524</v>
      </c>
      <c r="J4067" s="5" t="s">
        <v>678</v>
      </c>
      <c r="K4067" s="5" t="s">
        <v>344</v>
      </c>
      <c r="L4067" s="5" t="s">
        <v>37525</v>
      </c>
      <c r="M4067" s="27"/>
      <c r="N4067" s="5" t="s">
        <v>55639</v>
      </c>
      <c r="O4067" s="5" t="str">
        <v>2204017711</v>
      </c>
      <c r="P4067" s="27">
        <v>10000</v>
      </c>
      <c r="Q4067" s="5" t="s">
        <v>49009</v>
      </c>
      <c r="R4067" s="5"/>
      <c r="S4067" s="5" t="s">
        <v>49116</v>
      </c>
      <c r="T4067" s="28">
        <v>110942000</v>
      </c>
      <c r="U4067" s="28"/>
      <c r="V4067" s="28">
        <v>588333000</v>
      </c>
      <c r="W4067" s="28">
        <v>303713000</v>
      </c>
      <c r="X4067" s="28">
        <v>198853000</v>
      </c>
      <c r="Y4067" s="28">
        <v>1979898000</v>
      </c>
      <c r="Z4067" s="28">
        <v>1658559000</v>
      </c>
      <c r="AA4067" s="28"/>
      <c r="AB4067" s="28">
        <v>94000</v>
      </c>
      <c r="AC4067" s="28">
        <v>321328000</v>
      </c>
      <c r="AD4067" s="28">
        <v>1658570000</v>
      </c>
      <c r="AE4067" s="28">
        <v>3727428000</v>
      </c>
      <c r="AF4067" s="28">
        <v>362554000</v>
      </c>
      <c r="AG4067" s="11"/>
    </row>
    <row r="4068">
      <c r="A4068" s="7" t="s">
        <v>5721</v>
      </c>
      <c r="B4068" s="5" t="s">
        <v>13679</v>
      </c>
      <c r="C4068" s="5" t="s">
        <v>21453</v>
      </c>
      <c r="D4068" s="5" t="str">
        <v>645491930750</v>
      </c>
      <c r="E4068" s="0" t="e">
        <f>+7 (495) 9612131
+7 (812) 3036301
+7 (495) 5140029
+7 (495) 5879911
+7 (495) 9612132
+7 (499) 4260630
+7 (800) 2001914
+7 (800) 2001915
+7 (800) 3335802
+7 (800) 3338469
+7 (800) 7006033
+7 (812) 3036232
+7 (812) 3036298
+7 (812) 3036299
+7 (812) 3036300</f>
        <v>#NAME?</v>
      </c>
      <c r="F4068" s="5" t="s">
        <v>37526</v>
      </c>
      <c r="G4068" s="5" t="s">
        <v>37527</v>
      </c>
      <c r="H4068" s="26">
        <v>16.5</v>
      </c>
      <c r="I4068" s="5" t="s">
        <v>37528</v>
      </c>
      <c r="J4068" s="5" t="s">
        <v>26229</v>
      </c>
      <c r="K4068" s="5" t="s">
        <v>344</v>
      </c>
      <c r="L4068" s="5" t="s">
        <v>37529</v>
      </c>
      <c r="M4068" s="27">
        <v>49362250</v>
      </c>
      <c r="N4068" s="5"/>
      <c r="O4068" s="5" t="str">
        <v>7842337791</v>
      </c>
      <c r="P4068" s="27">
        <v>31300000000</v>
      </c>
      <c r="Q4068" s="5" t="s">
        <v>49009</v>
      </c>
      <c r="R4068" s="5" t="s">
        <v>55640</v>
      </c>
      <c r="S4068" s="5" t="s">
        <v>49066</v>
      </c>
      <c r="T4068" s="28">
        <v>11874483000</v>
      </c>
      <c r="U4068" s="28"/>
      <c r="V4068" s="28">
        <v>408944000</v>
      </c>
      <c r="W4068" s="28"/>
      <c r="X4068" s="28">
        <v>12213485000</v>
      </c>
      <c r="Y4068" s="28">
        <v>31667640000</v>
      </c>
      <c r="Z4068" s="28">
        <v>-45327019000</v>
      </c>
      <c r="AA4068" s="28"/>
      <c r="AB4068" s="28"/>
      <c r="AC4068" s="28">
        <v>5619747000</v>
      </c>
      <c r="AD4068" s="28">
        <v>23265287000</v>
      </c>
      <c r="AE4068" s="28">
        <v>36707070000</v>
      </c>
      <c r="AF4068" s="28">
        <v>-6015653000</v>
      </c>
      <c r="AG4068" s="11"/>
    </row>
    <row r="4069">
      <c r="A4069" s="7" t="s">
        <v>5722</v>
      </c>
      <c r="B4069" s="5" t="s">
        <v>13680</v>
      </c>
      <c r="C4069" s="5" t="s">
        <v>21454</v>
      </c>
      <c r="D4069" s="5" t="str">
        <v>645400613884</v>
      </c>
      <c r="E4069" s="0" t="e">
        <f>+7 (8452) 338600
+7 (495) 1366255
+7 (499) 5503092
+7 (800) 7000220
+7 (8452) 493394
+7 (84533) 53052
+7 (903) 3864840
+7 (905) 319520
+7 (905) 321961
+7 (905) 322395
+7 (905) 3263316
+7 (913) 4722380
+7 (924) 6328501
+7 (927) 1043890
+7 (927) 2254900</f>
        <v>#NAME?</v>
      </c>
      <c r="F4069" s="5" t="s">
        <v>37530</v>
      </c>
      <c r="G4069" s="5" t="s">
        <v>37531</v>
      </c>
      <c r="H4069" s="26">
        <v>28</v>
      </c>
      <c r="I4069" s="5" t="s">
        <v>37532</v>
      </c>
      <c r="J4069" s="5" t="s">
        <v>28030</v>
      </c>
      <c r="K4069" s="5" t="s">
        <v>344</v>
      </c>
      <c r="L4069" s="5" t="s">
        <v>37533</v>
      </c>
      <c r="M4069" s="27"/>
      <c r="N4069" s="5"/>
      <c r="O4069" s="5" t="str">
        <v>6452109727</v>
      </c>
      <c r="P4069" s="27">
        <v>81900000</v>
      </c>
      <c r="Q4069" s="5" t="s">
        <v>49009</v>
      </c>
      <c r="R4069" s="5"/>
      <c r="S4069" s="5" t="s">
        <v>49028</v>
      </c>
      <c r="T4069" s="28">
        <v>1102785000</v>
      </c>
      <c r="U4069" s="28"/>
      <c r="V4069" s="28">
        <v>500110000</v>
      </c>
      <c r="W4069" s="28"/>
      <c r="X4069" s="28">
        <v>271185000</v>
      </c>
      <c r="Y4069" s="28">
        <v>3430082000</v>
      </c>
      <c r="Z4069" s="28">
        <v>2708598000</v>
      </c>
      <c r="AA4069" s="28">
        <v>87182000</v>
      </c>
      <c r="AB4069" s="28">
        <v>26000</v>
      </c>
      <c r="AC4069" s="28">
        <v>293202000</v>
      </c>
      <c r="AD4069" s="28">
        <v>2790498000</v>
      </c>
      <c r="AE4069" s="28">
        <v>3149152000</v>
      </c>
      <c r="AF4069" s="28">
        <v>370036000</v>
      </c>
      <c r="AG4069" s="11"/>
    </row>
    <row r="4070">
      <c r="A4070" s="7" t="s">
        <v>5723</v>
      </c>
      <c r="B4070" s="5" t="s">
        <v>13681</v>
      </c>
      <c r="C4070" s="5" t="s">
        <v>21455</v>
      </c>
      <c r="D4070" s="5" t="str">
        <v>770302700193</v>
      </c>
      <c r="E4070" s="0" t="e">
        <f>+7 (495) 7805253
+7 (499) 2670338
+7 (499) 2670339
+7 (499) 2670385
+7 (499) 2760339</f>
        <v>#NAME?</v>
      </c>
      <c r="F4070" s="5" t="s">
        <v>37534</v>
      </c>
      <c r="G4070" s="5" t="s">
        <v>37535</v>
      </c>
      <c r="H4070" s="26">
        <v>29</v>
      </c>
      <c r="I4070" s="5"/>
      <c r="J4070" s="5" t="s">
        <v>755</v>
      </c>
      <c r="K4070" s="5" t="s">
        <v>344</v>
      </c>
      <c r="L4070" s="5" t="s">
        <v>37536</v>
      </c>
      <c r="M4070" s="27"/>
      <c r="N4070" s="5"/>
      <c r="O4070" s="5" t="str">
        <v>7701035318</v>
      </c>
      <c r="P4070" s="27">
        <v>25000000</v>
      </c>
      <c r="Q4070" s="5" t="s">
        <v>50611</v>
      </c>
      <c r="R4070" s="5"/>
      <c r="S4070" s="5" t="s">
        <v>55641</v>
      </c>
      <c r="T4070" s="28">
        <v>178617000</v>
      </c>
      <c r="U4070" s="28">
        <v>324928000</v>
      </c>
      <c r="V4070" s="28">
        <v>1107109000</v>
      </c>
      <c r="W4070" s="28">
        <v>449842000</v>
      </c>
      <c r="X4070" s="28">
        <v>82356000</v>
      </c>
      <c r="Y4070" s="28">
        <v>3451926000</v>
      </c>
      <c r="Z4070" s="28">
        <v>2190505000</v>
      </c>
      <c r="AA4070" s="28">
        <v>300225000</v>
      </c>
      <c r="AB4070" s="28">
        <v>278730000</v>
      </c>
      <c r="AC4070" s="28">
        <v>770272000</v>
      </c>
      <c r="AD4070" s="28">
        <v>2219554000</v>
      </c>
      <c r="AE4070" s="28">
        <v>5547516000</v>
      </c>
      <c r="AF4070" s="28">
        <v>364322000</v>
      </c>
      <c r="AG4070" s="11"/>
    </row>
    <row r="4071">
      <c r="A4071" s="7" t="s">
        <v>5724</v>
      </c>
      <c r="B4071" s="5" t="s">
        <v>13682</v>
      </c>
      <c r="C4071" s="5" t="s">
        <v>21456</v>
      </c>
      <c r="D4071" s="5" t="str">
        <v>420208701390</v>
      </c>
      <c r="E4071" s="0" t="e">
        <f>+7 (384) 2440967
+7 (384) 2496032
+7 (384) 2496034
+7 (384) 2496035
+7 (384) 2496036
+7 (384) 2496565
+7 (905) 9151717</f>
        <v>#NAME?</v>
      </c>
      <c r="F4071" s="5" t="s">
        <v>37537</v>
      </c>
      <c r="G4071" s="5" t="s">
        <v>37538</v>
      </c>
      <c r="H4071" s="26">
        <v>16.5</v>
      </c>
      <c r="I4071" s="5"/>
      <c r="J4071" s="5" t="s">
        <v>26213</v>
      </c>
      <c r="K4071" s="5" t="s">
        <v>344</v>
      </c>
      <c r="L4071" s="5" t="s">
        <v>26500</v>
      </c>
      <c r="M4071" s="27"/>
      <c r="N4071" s="5"/>
      <c r="O4071" s="5" t="str">
        <v>4205114895</v>
      </c>
      <c r="P4071" s="27">
        <v>500000</v>
      </c>
      <c r="Q4071" s="5" t="s">
        <v>49009</v>
      </c>
      <c r="R4071" s="5"/>
      <c r="S4071" s="5" t="s">
        <v>49066</v>
      </c>
      <c r="T4071" s="28">
        <v>322107000</v>
      </c>
      <c r="U4071" s="28">
        <v>158430000</v>
      </c>
      <c r="V4071" s="28">
        <v>244700000</v>
      </c>
      <c r="W4071" s="28">
        <v>16281000</v>
      </c>
      <c r="X4071" s="28">
        <v>51960000</v>
      </c>
      <c r="Y4071" s="28">
        <v>964796000</v>
      </c>
      <c r="Z4071" s="28">
        <v>573889000</v>
      </c>
      <c r="AA4071" s="28"/>
      <c r="AB4071" s="28">
        <v>10000</v>
      </c>
      <c r="AC4071" s="28">
        <v>365200000</v>
      </c>
      <c r="AD4071" s="28">
        <v>574414000</v>
      </c>
      <c r="AE4071" s="28">
        <v>3320856000</v>
      </c>
      <c r="AF4071" s="28">
        <v>297555000</v>
      </c>
      <c r="AG4071" s="11"/>
    </row>
    <row r="4072">
      <c r="A4072" s="7" t="s">
        <v>5725</v>
      </c>
      <c r="B4072" s="5" t="s">
        <v>13683</v>
      </c>
      <c r="C4072" s="5" t="s">
        <v>21457</v>
      </c>
      <c r="D4072" s="5" t="str">
        <v>526302766060</v>
      </c>
      <c r="E4072" s="0" t="e">
        <f>+7 (909) 5500375
+7 (920) 2539481
+7 (831) 2170008
+7 (920) 2581733
+7 (831) 2725383
+7 (903) 1301048</f>
        <v>#NAME?</v>
      </c>
      <c r="F4072" s="5"/>
      <c r="G4072" s="5" t="s">
        <v>37539</v>
      </c>
      <c r="H4072" s="26">
        <v>14.5</v>
      </c>
      <c r="I4072" s="5" t="s">
        <v>37540</v>
      </c>
      <c r="J4072" s="5" t="s">
        <v>866</v>
      </c>
      <c r="K4072" s="5" t="s">
        <v>344</v>
      </c>
      <c r="L4072" s="5" t="s">
        <v>37541</v>
      </c>
      <c r="M4072" s="27">
        <v>200000</v>
      </c>
      <c r="N4072" s="5" t="s">
        <v>55642</v>
      </c>
      <c r="O4072" s="5" t="str">
        <v>5262233139</v>
      </c>
      <c r="P4072" s="27">
        <v>23605000</v>
      </c>
      <c r="Q4072" s="5" t="s">
        <v>55643</v>
      </c>
      <c r="R4072" s="5"/>
      <c r="S4072" s="5" t="s">
        <v>55644</v>
      </c>
      <c r="T4072" s="28">
        <v>2632668000</v>
      </c>
      <c r="U4072" s="28"/>
      <c r="V4072" s="28">
        <v>1712917000</v>
      </c>
      <c r="W4072" s="28">
        <v>5500000</v>
      </c>
      <c r="X4072" s="28">
        <v>62782000</v>
      </c>
      <c r="Y4072" s="28">
        <v>5656607000</v>
      </c>
      <c r="Z4072" s="28">
        <v>475074000</v>
      </c>
      <c r="AA4072" s="28">
        <v>80320000</v>
      </c>
      <c r="AB4072" s="28">
        <v>432978000</v>
      </c>
      <c r="AC4072" s="28">
        <v>2770102000</v>
      </c>
      <c r="AD4072" s="28">
        <v>498679000</v>
      </c>
      <c r="AE4072" s="28">
        <v>3371055000</v>
      </c>
      <c r="AF4072" s="28">
        <v>316443000</v>
      </c>
      <c r="AG4072" s="11"/>
    </row>
    <row r="4073">
      <c r="A4073" s="7" t="s">
        <v>5726</v>
      </c>
      <c r="B4073" s="5" t="s">
        <v>13684</v>
      </c>
      <c r="C4073" s="5" t="s">
        <v>21458</v>
      </c>
      <c r="D4073" s="5" t="str">
        <v>781400921520</v>
      </c>
      <c r="E4073" s="0" t="e">
        <f>+7 (812) 3184434
+7 (812) 9374551</f>
        <v>#NAME?</v>
      </c>
      <c r="F4073" s="5" t="s">
        <v>37542</v>
      </c>
      <c r="G4073" s="5"/>
      <c r="H4073" s="26">
        <v>31</v>
      </c>
      <c r="I4073" s="5" t="s">
        <v>37543</v>
      </c>
      <c r="J4073" s="5" t="s">
        <v>25253</v>
      </c>
      <c r="K4073" s="5" t="s">
        <v>344</v>
      </c>
      <c r="L4073" s="5" t="s">
        <v>37544</v>
      </c>
      <c r="M4073" s="27"/>
      <c r="N4073" s="5"/>
      <c r="O4073" s="5" t="str">
        <v>7811009991</v>
      </c>
      <c r="P4073" s="27">
        <v>10000</v>
      </c>
      <c r="Q4073" s="5"/>
      <c r="R4073" s="5"/>
      <c r="S4073" s="5" t="s">
        <v>49110</v>
      </c>
      <c r="T4073" s="28">
        <v>33812000</v>
      </c>
      <c r="U4073" s="28"/>
      <c r="V4073" s="28">
        <v>200570000</v>
      </c>
      <c r="W4073" s="28">
        <v>13404000</v>
      </c>
      <c r="X4073" s="28">
        <v>299293000</v>
      </c>
      <c r="Y4073" s="28">
        <v>565530000</v>
      </c>
      <c r="Z4073" s="28">
        <v>356816000</v>
      </c>
      <c r="AA4073" s="28">
        <v>51360000</v>
      </c>
      <c r="AB4073" s="28">
        <v>116389000</v>
      </c>
      <c r="AC4073" s="28">
        <v>157137000</v>
      </c>
      <c r="AD4073" s="28">
        <v>356826000</v>
      </c>
      <c r="AE4073" s="28">
        <v>4174619000</v>
      </c>
      <c r="AF4073" s="28">
        <v>119355000</v>
      </c>
      <c r="AG4073" s="11"/>
    </row>
    <row r="4074">
      <c r="A4074" s="7" t="s">
        <v>5727</v>
      </c>
      <c r="B4074" s="5" t="s">
        <v>13685</v>
      </c>
      <c r="C4074" s="5" t="s">
        <v>21459</v>
      </c>
      <c r="D4074" s="5" t="str">
        <v>380800280109</v>
      </c>
      <c r="E4074" s="0" t="e">
        <f>+7 (495) 2151500
+7 (495) 2151810
+7 (914) 8959596</f>
        <v>#NAME?</v>
      </c>
      <c r="F4074" s="5" t="s">
        <v>37545</v>
      </c>
      <c r="G4074" s="5" t="s">
        <v>37546</v>
      </c>
      <c r="H4074" s="26">
        <v>5.5</v>
      </c>
      <c r="I4074" s="5" t="s">
        <v>37547</v>
      </c>
      <c r="J4074" s="5" t="s">
        <v>678</v>
      </c>
      <c r="K4074" s="5" t="s">
        <v>344</v>
      </c>
      <c r="L4074" s="5" t="s">
        <v>37548</v>
      </c>
      <c r="M4074" s="27"/>
      <c r="N4074" s="5"/>
      <c r="O4074" s="5" t="str">
        <v>7714415483</v>
      </c>
      <c r="P4074" s="27">
        <v>125000</v>
      </c>
      <c r="Q4074" s="5" t="s">
        <v>49728</v>
      </c>
      <c r="R4074" s="5"/>
      <c r="S4074" s="5" t="s">
        <v>55645</v>
      </c>
      <c r="T4074" s="28">
        <v>11800000</v>
      </c>
      <c r="U4074" s="28">
        <v>62607000</v>
      </c>
      <c r="V4074" s="28">
        <v>662304000</v>
      </c>
      <c r="W4074" s="28">
        <v>26301000</v>
      </c>
      <c r="X4074" s="28">
        <v>881000</v>
      </c>
      <c r="Y4074" s="28">
        <v>1439900000</v>
      </c>
      <c r="Z4074" s="28">
        <v>322869000</v>
      </c>
      <c r="AA4074" s="28">
        <v>231584000</v>
      </c>
      <c r="AB4074" s="28">
        <v>643944000</v>
      </c>
      <c r="AC4074" s="28">
        <v>885323000</v>
      </c>
      <c r="AD4074" s="28">
        <v>322994000</v>
      </c>
      <c r="AE4074" s="28">
        <v>3187647000</v>
      </c>
      <c r="AF4074" s="28">
        <v>135094000</v>
      </c>
      <c r="AG4074" s="11"/>
    </row>
    <row r="4075">
      <c r="A4075" s="7" t="s">
        <v>5728</v>
      </c>
      <c r="B4075" s="5" t="s">
        <v>13686</v>
      </c>
      <c r="C4075" s="5" t="s">
        <v>21460</v>
      </c>
      <c r="D4075" s="5" t="str">
        <v>860301402225</v>
      </c>
      <c r="E4075" s="0" t="e">
        <f>+7 (495) 6632003
+7 (495) 9012222
+7 (936) 7773877</f>
        <v>#NAME?</v>
      </c>
      <c r="F4075" s="5" t="s">
        <v>37549</v>
      </c>
      <c r="G4075" s="5" t="s">
        <v>37550</v>
      </c>
      <c r="H4075" s="26">
        <v>15</v>
      </c>
      <c r="I4075" s="5"/>
      <c r="J4075" s="5" t="s">
        <v>32549</v>
      </c>
      <c r="K4075" s="5" t="s">
        <v>380</v>
      </c>
      <c r="L4075" s="5"/>
      <c r="M4075" s="27"/>
      <c r="N4075" s="5"/>
      <c r="O4075" s="5" t="str">
        <v>7704685184</v>
      </c>
      <c r="P4075" s="27">
        <v>55000000</v>
      </c>
      <c r="Q4075" s="5" t="s">
        <v>55646</v>
      </c>
      <c r="R4075" s="5"/>
      <c r="S4075" s="5" t="s">
        <v>49496</v>
      </c>
      <c r="T4075" s="28">
        <v>748753000</v>
      </c>
      <c r="U4075" s="28">
        <v>122894543000</v>
      </c>
      <c r="V4075" s="28">
        <v>49080454000</v>
      </c>
      <c r="W4075" s="28"/>
      <c r="X4075" s="28">
        <v>1800188000</v>
      </c>
      <c r="Y4075" s="28">
        <v>209034864000</v>
      </c>
      <c r="Z4075" s="28">
        <v>33347704000</v>
      </c>
      <c r="AA4075" s="28">
        <v>2511918000</v>
      </c>
      <c r="AB4075" s="28">
        <v>49853701000</v>
      </c>
      <c r="AC4075" s="28">
        <v>171446011000</v>
      </c>
      <c r="AD4075" s="28">
        <v>33405454000</v>
      </c>
      <c r="AE4075" s="28">
        <v>92753553000</v>
      </c>
      <c r="AF4075" s="28">
        <v>-7075555000</v>
      </c>
      <c r="AG4075" s="11"/>
    </row>
    <row r="4076">
      <c r="A4076" s="7" t="s">
        <v>5729</v>
      </c>
      <c r="B4076" s="5" t="s">
        <v>13687</v>
      </c>
      <c r="C4076" s="5" t="s">
        <v>21461</v>
      </c>
      <c r="D4076" s="5" t="str">
        <v>891106483775</v>
      </c>
      <c r="E4076" s="0" t="e">
        <f>+7 (34936) 52364
+7 (951) 9946933</f>
        <v>#NAME?</v>
      </c>
      <c r="F4076" s="5"/>
      <c r="G4076" s="5" t="s">
        <v>37551</v>
      </c>
      <c r="H4076" s="26">
        <v>11</v>
      </c>
      <c r="I4076" s="5" t="s">
        <v>37552</v>
      </c>
      <c r="J4076" s="5" t="s">
        <v>26607</v>
      </c>
      <c r="K4076" s="5" t="s">
        <v>355</v>
      </c>
      <c r="L4076" s="5" t="s">
        <v>37553</v>
      </c>
      <c r="M4076" s="27">
        <v>75671835</v>
      </c>
      <c r="N4076" s="5"/>
      <c r="O4076" s="5" t="str">
        <v>7718887053</v>
      </c>
      <c r="P4076" s="27">
        <v>1701851471</v>
      </c>
      <c r="Q4076" s="5" t="s">
        <v>55647</v>
      </c>
      <c r="R4076" s="5" t="s">
        <v>55648</v>
      </c>
      <c r="S4076" s="5" t="s">
        <v>55649</v>
      </c>
      <c r="T4076" s="28">
        <v>13518112000</v>
      </c>
      <c r="U4076" s="28">
        <v>296322000</v>
      </c>
      <c r="V4076" s="28">
        <v>449064000</v>
      </c>
      <c r="W4076" s="28"/>
      <c r="X4076" s="28">
        <v>26044000</v>
      </c>
      <c r="Y4076" s="28">
        <v>15801372000</v>
      </c>
      <c r="Z4076" s="28">
        <v>5746104000</v>
      </c>
      <c r="AA4076" s="28">
        <v>3156290000</v>
      </c>
      <c r="AB4076" s="28">
        <v>705042000</v>
      </c>
      <c r="AC4076" s="28">
        <v>4180361000</v>
      </c>
      <c r="AD4076" s="28">
        <v>7825875000</v>
      </c>
      <c r="AE4076" s="28">
        <v>16054598000</v>
      </c>
      <c r="AF4076" s="28">
        <v>25771000</v>
      </c>
      <c r="AG4076" s="11"/>
    </row>
    <row r="4077">
      <c r="A4077" s="7" t="s">
        <v>5730</v>
      </c>
      <c r="B4077" s="5" t="s">
        <v>13688</v>
      </c>
      <c r="C4077" s="5" t="s">
        <v>21462</v>
      </c>
      <c r="D4077" s="5" t="str">
        <v>312801974148</v>
      </c>
      <c r="E4077" s="0" t="e">
        <f>+7 (47232) 45743
+7 (47233) 44357
+7 (47233) 45743
+7 (47233) 46758
+7 (47233) 47964
+7 (47233) 47965
+7 (47235) 51033
+7 (48233) 45743</f>
        <v>#NAME?</v>
      </c>
      <c r="F4077" s="5" t="s">
        <v>37554</v>
      </c>
      <c r="G4077" s="5"/>
      <c r="H4077" s="26">
        <v>18.5</v>
      </c>
      <c r="I4077" s="5"/>
      <c r="J4077" s="5" t="s">
        <v>28927</v>
      </c>
      <c r="K4077" s="5" t="s">
        <v>344</v>
      </c>
      <c r="L4077" s="5" t="s">
        <v>37555</v>
      </c>
      <c r="M4077" s="27"/>
      <c r="N4077" s="5"/>
      <c r="O4077" s="5" t="str">
        <v>3114007982</v>
      </c>
      <c r="P4077" s="27">
        <v>10000</v>
      </c>
      <c r="Q4077" s="5" t="s">
        <v>49059</v>
      </c>
      <c r="R4077" s="5"/>
      <c r="S4077" s="5" t="s">
        <v>49125</v>
      </c>
      <c r="T4077" s="28">
        <v>243539000</v>
      </c>
      <c r="U4077" s="28">
        <v>199990000</v>
      </c>
      <c r="V4077" s="28">
        <v>828897000</v>
      </c>
      <c r="W4077" s="28"/>
      <c r="X4077" s="28">
        <v>730235000</v>
      </c>
      <c r="Y4077" s="28">
        <v>2874669000</v>
      </c>
      <c r="Z4077" s="28">
        <v>237525000</v>
      </c>
      <c r="AA4077" s="28"/>
      <c r="AB4077" s="28">
        <v>2283623000</v>
      </c>
      <c r="AC4077" s="28">
        <v>2610523000</v>
      </c>
      <c r="AD4077" s="28">
        <v>237535000</v>
      </c>
      <c r="AE4077" s="28">
        <v>12601718000</v>
      </c>
      <c r="AF4077" s="28">
        <v>37075000</v>
      </c>
      <c r="AG4077" s="11"/>
    </row>
    <row r="4078">
      <c r="A4078" s="7" t="s">
        <v>5731</v>
      </c>
      <c r="B4078" s="5" t="s">
        <v>13689</v>
      </c>
      <c r="C4078" s="5" t="s">
        <v>21463</v>
      </c>
      <c r="D4078" s="5" t="str">
        <v>773402231215</v>
      </c>
      <c r="E4078" s="0" t="e">
        <f>+7 (812) 3292236
+7 (921) 8976292
+7 (812) 3292233</f>
        <v>#NAME?</v>
      </c>
      <c r="F4078" s="5" t="s">
        <v>37556</v>
      </c>
      <c r="G4078" s="5" t="s">
        <v>37557</v>
      </c>
      <c r="H4078" s="26">
        <v>11</v>
      </c>
      <c r="I4078" s="5" t="s">
        <v>37558</v>
      </c>
      <c r="J4078" s="5" t="s">
        <v>25337</v>
      </c>
      <c r="K4078" s="5" t="s">
        <v>344</v>
      </c>
      <c r="L4078" s="5" t="s">
        <v>37559</v>
      </c>
      <c r="M4078" s="27">
        <v>32636</v>
      </c>
      <c r="N4078" s="5" t="s">
        <v>55650</v>
      </c>
      <c r="O4078" s="5" t="str">
        <v>7842470793</v>
      </c>
      <c r="P4078" s="27">
        <v>16000000</v>
      </c>
      <c r="Q4078" s="5" t="s">
        <v>49009</v>
      </c>
      <c r="R4078" s="5"/>
      <c r="S4078" s="5" t="s">
        <v>49358</v>
      </c>
      <c r="T4078" s="28">
        <v>6861000</v>
      </c>
      <c r="U4078" s="28">
        <v>1830000</v>
      </c>
      <c r="V4078" s="28">
        <v>999022000</v>
      </c>
      <c r="W4078" s="28"/>
      <c r="X4078" s="28">
        <v>167968000</v>
      </c>
      <c r="Y4078" s="28">
        <v>1534023000</v>
      </c>
      <c r="Z4078" s="28">
        <v>713651000</v>
      </c>
      <c r="AA4078" s="28">
        <v>75655000</v>
      </c>
      <c r="AB4078" s="28">
        <v>164862000</v>
      </c>
      <c r="AC4078" s="28">
        <v>714870000</v>
      </c>
      <c r="AD4078" s="28">
        <v>729651000</v>
      </c>
      <c r="AE4078" s="28">
        <v>8937291000</v>
      </c>
      <c r="AF4078" s="28">
        <v>513101000</v>
      </c>
      <c r="AG4078" s="11"/>
    </row>
    <row r="4079">
      <c r="A4079" s="7" t="s">
        <v>5732</v>
      </c>
      <c r="B4079" s="5" t="s">
        <v>13690</v>
      </c>
      <c r="C4079" s="5" t="s">
        <v>21464</v>
      </c>
      <c r="D4079" s="5"/>
      <c r="E4079" s="0" t="e">
        <f>+7 (35342) 39391
+7 (495) 7558359
+7 (499) 2846081
+7 (912) 9564321
+7 (922) 8881362
+7 (926) 1734160</f>
        <v>#NAME?</v>
      </c>
      <c r="F4079" s="5"/>
      <c r="G4079" s="5" t="s">
        <v>37560</v>
      </c>
      <c r="H4079" s="26">
        <v>7.5</v>
      </c>
      <c r="I4079" s="5" t="s">
        <v>37561</v>
      </c>
      <c r="J4079" s="5" t="s">
        <v>26607</v>
      </c>
      <c r="K4079" s="5" t="s">
        <v>344</v>
      </c>
      <c r="L4079" s="5"/>
      <c r="M4079" s="27"/>
      <c r="N4079" s="5"/>
      <c r="O4079" s="5" t="str">
        <v>5603042916</v>
      </c>
      <c r="P4079" s="27">
        <v>200000</v>
      </c>
      <c r="Q4079" s="5" t="s">
        <v>49009</v>
      </c>
      <c r="R4079" s="5" t="s">
        <v>55651</v>
      </c>
      <c r="S4079" s="5" t="s">
        <v>49120</v>
      </c>
      <c r="T4079" s="28">
        <v>17055051000</v>
      </c>
      <c r="U4079" s="28"/>
      <c r="V4079" s="28">
        <v>1830927000</v>
      </c>
      <c r="W4079" s="28"/>
      <c r="X4079" s="28">
        <v>2819899000</v>
      </c>
      <c r="Y4079" s="28">
        <v>46671030000</v>
      </c>
      <c r="Z4079" s="28">
        <v>14659068000</v>
      </c>
      <c r="AA4079" s="28">
        <v>18816357000</v>
      </c>
      <c r="AB4079" s="28">
        <v>14835000</v>
      </c>
      <c r="AC4079" s="28">
        <v>4349611000</v>
      </c>
      <c r="AD4079" s="28">
        <v>14677268000</v>
      </c>
      <c r="AE4079" s="28">
        <v>22736147000</v>
      </c>
      <c r="AF4079" s="28">
        <v>16068186000</v>
      </c>
      <c r="AG4079" s="11"/>
    </row>
    <row r="4080">
      <c r="A4080" s="7" t="s">
        <v>5733</v>
      </c>
      <c r="B4080" s="5" t="s">
        <v>13691</v>
      </c>
      <c r="C4080" s="5" t="s">
        <v>21465</v>
      </c>
      <c r="D4080" s="5" t="str">
        <v>745201732343</v>
      </c>
      <c r="E4080" s="0" t="e">
        <f>+7 (911) 906369</f>
        <v>#NAME?</v>
      </c>
      <c r="F4080" s="5"/>
      <c r="G4080" s="5"/>
      <c r="H4080" s="26">
        <v>5.5</v>
      </c>
      <c r="I4080" s="5" t="s">
        <v>37562</v>
      </c>
      <c r="J4080" s="5" t="s">
        <v>26905</v>
      </c>
      <c r="K4080" s="5" t="s">
        <v>344</v>
      </c>
      <c r="L4080" s="5" t="s">
        <v>37563</v>
      </c>
      <c r="M4080" s="27">
        <v>51851001</v>
      </c>
      <c r="N4080" s="5" t="s">
        <v>55652</v>
      </c>
      <c r="O4080" s="5" t="str">
        <v>7813283206</v>
      </c>
      <c r="P4080" s="27">
        <v>100000</v>
      </c>
      <c r="Q4080" s="5" t="s">
        <v>55653</v>
      </c>
      <c r="R4080" s="5"/>
      <c r="S4080" s="5" t="s">
        <v>55654</v>
      </c>
      <c r="T4080" s="28">
        <v>7196463000</v>
      </c>
      <c r="U4080" s="28">
        <v>20010000</v>
      </c>
      <c r="V4080" s="28">
        <v>589144000</v>
      </c>
      <c r="W4080" s="28">
        <v>2845000</v>
      </c>
      <c r="X4080" s="28">
        <v>3833099000</v>
      </c>
      <c r="Y4080" s="28">
        <v>12045959000</v>
      </c>
      <c r="Z4080" s="28">
        <v>6288030000</v>
      </c>
      <c r="AA4080" s="28"/>
      <c r="AB4080" s="28"/>
      <c r="AC4080" s="28">
        <v>4915915000</v>
      </c>
      <c r="AD4080" s="28">
        <v>6288130000</v>
      </c>
      <c r="AE4080" s="28">
        <v>9508512000</v>
      </c>
      <c r="AF4080" s="28">
        <v>3435606000</v>
      </c>
      <c r="AG4080" s="11"/>
    </row>
    <row r="4081">
      <c r="A4081" s="7" t="s">
        <v>5734</v>
      </c>
      <c r="B4081" s="5" t="s">
        <v>13692</v>
      </c>
      <c r="C4081" s="5" t="s">
        <v>21466</v>
      </c>
      <c r="D4081" s="5" t="str">
        <v>501803682807</v>
      </c>
      <c r="E4081" s="0" t="e">
        <f>+7 (8617) 678030
+7 (8617) 678041
+7 (8617) 252271
+7 (8617) 678036
+7 (8617) 698262
+7 (988) 7698262</f>
        <v>#NAME?</v>
      </c>
      <c r="F4081" s="5" t="s">
        <v>37564</v>
      </c>
      <c r="G4081" s="5" t="s">
        <v>37565</v>
      </c>
      <c r="H4081" s="26">
        <v>26.5</v>
      </c>
      <c r="I4081" s="5" t="s">
        <v>37566</v>
      </c>
      <c r="J4081" s="5" t="s">
        <v>32105</v>
      </c>
      <c r="K4081" s="5" t="s">
        <v>344</v>
      </c>
      <c r="L4081" s="5"/>
      <c r="M4081" s="27"/>
      <c r="N4081" s="5"/>
      <c r="O4081" s="5" t="str">
        <v>2315014748</v>
      </c>
      <c r="P4081" s="27">
        <v>67597000</v>
      </c>
      <c r="Q4081" s="5" t="s">
        <v>55655</v>
      </c>
      <c r="R4081" s="5"/>
      <c r="S4081" s="5" t="s">
        <v>51036</v>
      </c>
      <c r="T4081" s="28">
        <v>10366796000</v>
      </c>
      <c r="U4081" s="28">
        <v>50000</v>
      </c>
      <c r="V4081" s="28">
        <v>333408000</v>
      </c>
      <c r="W4081" s="28"/>
      <c r="X4081" s="28">
        <v>1357986000</v>
      </c>
      <c r="Y4081" s="28">
        <v>12552707000</v>
      </c>
      <c r="Z4081" s="28">
        <v>11072369000</v>
      </c>
      <c r="AA4081" s="28"/>
      <c r="AB4081" s="28">
        <v>338042000</v>
      </c>
      <c r="AC4081" s="28">
        <v>972454000</v>
      </c>
      <c r="AD4081" s="28">
        <v>11147712000</v>
      </c>
      <c r="AE4081" s="28">
        <v>5624520000</v>
      </c>
      <c r="AF4081" s="28">
        <v>1976364000</v>
      </c>
      <c r="AG4081" s="11"/>
    </row>
    <row r="4082">
      <c r="A4082" s="7" t="s">
        <v>5735</v>
      </c>
      <c r="B4082" s="5" t="s">
        <v>13693</v>
      </c>
      <c r="C4082" s="5" t="s">
        <v>21467</v>
      </c>
      <c r="D4082" s="5" t="str">
        <v>501811192860</v>
      </c>
      <c r="E4082" s="0" t="e">
        <f>+7 (985) 2041564
+7 (383) 2081306
+7 (383) 2081307
+7 (383) 2081308
+7 (383) 2081309
+7 (383) 2081310
+7 (383) 2081312
+7 (383) 2081313
+7 (383) 2081314
+7 (383) 2780202
+7 (383) 2780290
+7 (383) 2781220
+7 (800) 2500800</f>
        <v>#NAME?</v>
      </c>
      <c r="F4082" s="5"/>
      <c r="G4082" s="5"/>
      <c r="H4082" s="26">
        <v>15</v>
      </c>
      <c r="I4082" s="5" t="s">
        <v>37567</v>
      </c>
      <c r="J4082" s="5" t="s">
        <v>26959</v>
      </c>
      <c r="K4082" s="5" t="s">
        <v>344</v>
      </c>
      <c r="L4082" s="5" t="s">
        <v>37568</v>
      </c>
      <c r="M4082" s="27"/>
      <c r="N4082" s="5"/>
      <c r="O4082" s="5" t="str">
        <v>5401305707</v>
      </c>
      <c r="P4082" s="27">
        <v>10100000</v>
      </c>
      <c r="Q4082" s="5"/>
      <c r="R4082" s="5"/>
      <c r="S4082" s="5" t="s">
        <v>49029</v>
      </c>
      <c r="T4082" s="28">
        <v>500077000</v>
      </c>
      <c r="U4082" s="28">
        <v>21382000</v>
      </c>
      <c r="V4082" s="28">
        <v>1066336000</v>
      </c>
      <c r="W4082" s="28">
        <v>513785000</v>
      </c>
      <c r="X4082" s="28">
        <v>438718000</v>
      </c>
      <c r="Y4082" s="28">
        <v>4651890000</v>
      </c>
      <c r="Z4082" s="28">
        <v>2883560000</v>
      </c>
      <c r="AA4082" s="28"/>
      <c r="AB4082" s="28">
        <v>23749000</v>
      </c>
      <c r="AC4082" s="28">
        <v>1670805000</v>
      </c>
      <c r="AD4082" s="28">
        <v>2916994000</v>
      </c>
      <c r="AE4082" s="28">
        <v>8522885000</v>
      </c>
      <c r="AF4082" s="28">
        <v>1982890000</v>
      </c>
      <c r="AG4082" s="11"/>
    </row>
    <row r="4083">
      <c r="A4083" s="7" t="s">
        <v>5736</v>
      </c>
      <c r="B4083" s="5" t="s">
        <v>13694</v>
      </c>
      <c r="C4083" s="5" t="s">
        <v>21468</v>
      </c>
      <c r="D4083" s="5" t="str">
        <v>424750393120</v>
      </c>
      <c r="E4083" s="0" t="e">
        <f>+7 (8332) 309815
+7 (8332) 309800
+7 (8332) 309820
+7 (8332) 309825
+7 (8332) 309838
+7 (8332) 310050
+7 (8332) 313160</f>
        <v>#NAME?</v>
      </c>
      <c r="F4083" s="5" t="s">
        <v>37569</v>
      </c>
      <c r="G4083" s="5" t="s">
        <v>37570</v>
      </c>
      <c r="H4083" s="26">
        <v>25</v>
      </c>
      <c r="I4083" s="5"/>
      <c r="J4083" s="5" t="s">
        <v>27221</v>
      </c>
      <c r="K4083" s="5" t="s">
        <v>344</v>
      </c>
      <c r="L4083" s="5"/>
      <c r="M4083" s="27"/>
      <c r="N4083" s="5"/>
      <c r="O4083" s="5" t="str">
        <v>4349006474</v>
      </c>
      <c r="P4083" s="27">
        <v>170168000</v>
      </c>
      <c r="Q4083" s="5" t="s">
        <v>49009</v>
      </c>
      <c r="R4083" s="5"/>
      <c r="S4083" s="5" t="s">
        <v>49028</v>
      </c>
      <c r="T4083" s="28">
        <v>1096602000</v>
      </c>
      <c r="U4083" s="28">
        <v>14612000</v>
      </c>
      <c r="V4083" s="28">
        <v>1499250000</v>
      </c>
      <c r="W4083" s="28"/>
      <c r="X4083" s="28">
        <v>52391000</v>
      </c>
      <c r="Y4083" s="28">
        <v>4085120000</v>
      </c>
      <c r="Z4083" s="28">
        <v>-1748457000</v>
      </c>
      <c r="AA4083" s="28">
        <v>4341211000</v>
      </c>
      <c r="AB4083" s="28"/>
      <c r="AC4083" s="28">
        <v>898422000</v>
      </c>
      <c r="AD4083" s="28">
        <v>-1535747000</v>
      </c>
      <c r="AE4083" s="28">
        <v>6500949000</v>
      </c>
      <c r="AF4083" s="28">
        <v>1596749000</v>
      </c>
      <c r="AG4083" s="11"/>
    </row>
    <row r="4084">
      <c r="A4084" s="7" t="s">
        <v>5737</v>
      </c>
      <c r="B4084" s="5" t="s">
        <v>13695</v>
      </c>
      <c r="C4084" s="5" t="s">
        <v>21469</v>
      </c>
      <c r="D4084" s="5" t="str">
        <v>402576781149</v>
      </c>
      <c r="E4084" s="0" t="e">
        <f>+7 (484) 3957779
+7 (48438) 29736
+7 (48438) 29742
+7 (48438) 29878
+7 (48438) 29890
+7 (48438) 29897
+7 (48438) 29898
+7 (48438) 57779
+7 (48438) 57917
+7 (48439) 57917</f>
        <v>#NAME?</v>
      </c>
      <c r="F4084" s="5"/>
      <c r="G4084" s="5" t="s">
        <v>37571</v>
      </c>
      <c r="H4084" s="26">
        <v>10.5</v>
      </c>
      <c r="I4084" s="5" t="s">
        <v>37572</v>
      </c>
      <c r="J4084" s="5" t="s">
        <v>26932</v>
      </c>
      <c r="K4084" s="5" t="s">
        <v>344</v>
      </c>
      <c r="L4084" s="5" t="s">
        <v>37573</v>
      </c>
      <c r="M4084" s="27"/>
      <c r="N4084" s="5"/>
      <c r="O4084" s="5" t="str">
        <v>4003033040</v>
      </c>
      <c r="P4084" s="27">
        <v>30000000000</v>
      </c>
      <c r="Q4084" s="5" t="s">
        <v>49009</v>
      </c>
      <c r="R4084" s="5"/>
      <c r="S4084" s="5" t="s">
        <v>49010</v>
      </c>
      <c r="T4084" s="28">
        <v>26507687000</v>
      </c>
      <c r="U4084" s="28"/>
      <c r="V4084" s="28">
        <v>1449778000</v>
      </c>
      <c r="W4084" s="28">
        <v>5308579000</v>
      </c>
      <c r="X4084" s="28">
        <v>3803000</v>
      </c>
      <c r="Y4084" s="28">
        <v>38774307000</v>
      </c>
      <c r="Z4084" s="28">
        <v>4150815000</v>
      </c>
      <c r="AA4084" s="28"/>
      <c r="AB4084" s="28"/>
      <c r="AC4084" s="28">
        <v>2548997000</v>
      </c>
      <c r="AD4084" s="28">
        <v>34157398000</v>
      </c>
      <c r="AE4084" s="28">
        <v>47339048000</v>
      </c>
      <c r="AF4084" s="28">
        <v>1170414000</v>
      </c>
      <c r="AG4084" s="11"/>
    </row>
    <row r="4085">
      <c r="A4085" s="7" t="s">
        <v>5738</v>
      </c>
      <c r="B4085" s="5" t="s">
        <v>13696</v>
      </c>
      <c r="C4085" s="5" t="s">
        <v>21470</v>
      </c>
      <c r="D4085" s="5" t="str">
        <v>380402549294</v>
      </c>
      <c r="E4085" s="0" t="e">
        <f>+7 (34369) 31016
+7 (34369) 40588
+7 (34369) 45885
+7 (34369) 62240
+7 (34369) 62400
+7 (34369) 62401
+7 (34369) 62419
+7 (34369) 65200
+7 (34397) 26737</f>
        <v>#NAME?</v>
      </c>
      <c r="F4085" s="5" t="s">
        <v>37574</v>
      </c>
      <c r="G4085" s="5" t="s">
        <v>37575</v>
      </c>
      <c r="H4085" s="26">
        <v>22</v>
      </c>
      <c r="I4085" s="5" t="s">
        <v>37576</v>
      </c>
      <c r="J4085" s="5" t="s">
        <v>37577</v>
      </c>
      <c r="K4085" s="5" t="s">
        <v>344</v>
      </c>
      <c r="L4085" s="5" t="s">
        <v>37578</v>
      </c>
      <c r="M4085" s="27"/>
      <c r="N4085" s="5" t="s">
        <v>55656</v>
      </c>
      <c r="O4085" s="5" t="str">
        <v>6604029211</v>
      </c>
      <c r="P4085" s="27">
        <v>10000</v>
      </c>
      <c r="Q4085" s="5" t="s">
        <v>49009</v>
      </c>
      <c r="R4085" s="5"/>
      <c r="S4085" s="5" t="s">
        <v>49010</v>
      </c>
      <c r="T4085" s="28">
        <v>2558485000</v>
      </c>
      <c r="U4085" s="28"/>
      <c r="V4085" s="28">
        <v>1886670000</v>
      </c>
      <c r="W4085" s="28"/>
      <c r="X4085" s="28">
        <v>6758000</v>
      </c>
      <c r="Y4085" s="28">
        <v>5736131000</v>
      </c>
      <c r="Z4085" s="28">
        <v>4058440000</v>
      </c>
      <c r="AA4085" s="28"/>
      <c r="AB4085" s="28"/>
      <c r="AC4085" s="28">
        <v>1520427000</v>
      </c>
      <c r="AD4085" s="28">
        <v>4074902000</v>
      </c>
      <c r="AE4085" s="28">
        <v>15993947000</v>
      </c>
      <c r="AF4085" s="28">
        <v>617045000</v>
      </c>
      <c r="AG4085" s="11"/>
    </row>
    <row r="4086">
      <c r="A4086" s="7" t="s">
        <v>5739</v>
      </c>
      <c r="B4086" s="5" t="s">
        <v>13697</v>
      </c>
      <c r="C4086" s="5" t="s">
        <v>21471</v>
      </c>
      <c r="D4086" s="5" t="str">
        <v>662700633399</v>
      </c>
      <c r="E4086" s="0" t="e">
        <f>+7 (34397) 26097
+7 (34369) 62201
+7 (34397) 26547
+7 (34397) 26754
+7 (34397) 26849
+7 (34397) 26871
+7 (34397) 26898
+7 (34397) 26919
+7 (34397) 26923
+7 (34397) 26927
+7 (34397) 26933
+7 (34397) 33083</f>
        <v>#NAME?</v>
      </c>
      <c r="F4086" s="5" t="s">
        <v>37579</v>
      </c>
      <c r="G4086" s="5" t="s">
        <v>37580</v>
      </c>
      <c r="H4086" s="26">
        <v>22</v>
      </c>
      <c r="I4086" s="5"/>
      <c r="J4086" s="5" t="s">
        <v>31212</v>
      </c>
      <c r="K4086" s="5" t="s">
        <v>344</v>
      </c>
      <c r="L4086" s="5" t="s">
        <v>37581</v>
      </c>
      <c r="M4086" s="27"/>
      <c r="N4086" s="5" t="s">
        <v>55657</v>
      </c>
      <c r="O4086" s="5" t="str">
        <v>6646009256</v>
      </c>
      <c r="P4086" s="27">
        <v>1000000000</v>
      </c>
      <c r="Q4086" s="5" t="s">
        <v>55658</v>
      </c>
      <c r="R4086" s="5"/>
      <c r="S4086" s="5" t="s">
        <v>49371</v>
      </c>
      <c r="T4086" s="28">
        <v>17670912000</v>
      </c>
      <c r="U4086" s="28">
        <v>1685000</v>
      </c>
      <c r="V4086" s="28">
        <v>6067693000</v>
      </c>
      <c r="W4086" s="28"/>
      <c r="X4086" s="28">
        <v>4659952000</v>
      </c>
      <c r="Y4086" s="28">
        <v>37889129000</v>
      </c>
      <c r="Z4086" s="28">
        <v>29223143000</v>
      </c>
      <c r="AA4086" s="28"/>
      <c r="AB4086" s="28"/>
      <c r="AC4086" s="28">
        <v>4684088000</v>
      </c>
      <c r="AD4086" s="28">
        <v>31970643000</v>
      </c>
      <c r="AE4086" s="28">
        <v>76024775000</v>
      </c>
      <c r="AF4086" s="28">
        <v>4656174000</v>
      </c>
      <c r="AG4086" s="11"/>
    </row>
    <row r="4087">
      <c r="A4087" s="7" t="s">
        <v>5740</v>
      </c>
      <c r="B4087" s="5" t="s">
        <v>13698</v>
      </c>
      <c r="C4087" s="5" t="s">
        <v>21472</v>
      </c>
      <c r="D4087" s="5" t="str">
        <v>231514929870</v>
      </c>
      <c r="E4087" s="0" t="e">
        <f>+7 (8617) 251844
+7 (8617) 297280
+7 (8617) 600216
+7 (8617) 600401
+7 (8617) 600405
+7 (8617) 600435
+7 (8617) 600488</f>
        <v>#NAME?</v>
      </c>
      <c r="F4087" s="5" t="s">
        <v>37582</v>
      </c>
      <c r="G4087" s="5" t="s">
        <v>37583</v>
      </c>
      <c r="H4087" s="26">
        <v>30</v>
      </c>
      <c r="I4087" s="5"/>
      <c r="J4087" s="5" t="s">
        <v>26905</v>
      </c>
      <c r="K4087" s="5" t="s">
        <v>344</v>
      </c>
      <c r="L4087" s="5" t="s">
        <v>37584</v>
      </c>
      <c r="M4087" s="27">
        <v>3096446</v>
      </c>
      <c r="N4087" s="5" t="s">
        <v>55659</v>
      </c>
      <c r="O4087" s="5" t="str">
        <v>2315014794</v>
      </c>
      <c r="P4087" s="27">
        <v>37200</v>
      </c>
      <c r="Q4087" s="5" t="s">
        <v>55660</v>
      </c>
      <c r="R4087" s="5"/>
      <c r="S4087" s="5" t="s">
        <v>50404</v>
      </c>
      <c r="T4087" s="28">
        <v>7782164000</v>
      </c>
      <c r="U4087" s="28"/>
      <c r="V4087" s="28">
        <v>402493000</v>
      </c>
      <c r="W4087" s="28"/>
      <c r="X4087" s="28">
        <v>2268497000</v>
      </c>
      <c r="Y4087" s="28">
        <v>11804622000</v>
      </c>
      <c r="Z4087" s="28">
        <v>9598820000</v>
      </c>
      <c r="AA4087" s="28"/>
      <c r="AB4087" s="28"/>
      <c r="AC4087" s="28">
        <v>642123000</v>
      </c>
      <c r="AD4087" s="28">
        <v>9606577000</v>
      </c>
      <c r="AE4087" s="28">
        <v>5603870000</v>
      </c>
      <c r="AF4087" s="28">
        <v>2490760000</v>
      </c>
      <c r="AG4087" s="11"/>
    </row>
    <row r="4088">
      <c r="A4088" s="7" t="s">
        <v>5741</v>
      </c>
      <c r="B4088" s="5" t="s">
        <v>13699</v>
      </c>
      <c r="C4088" s="5" t="s">
        <v>21357</v>
      </c>
      <c r="D4088" s="5" t="str">
        <v>421700606480</v>
      </c>
      <c r="E4088" s="0" t="e">
        <f>+7 (383) 2617277
+7 (3843) 718735</f>
        <v>#NAME?</v>
      </c>
      <c r="F4088" s="5" t="s">
        <v>37585</v>
      </c>
      <c r="G4088" s="5"/>
      <c r="H4088" s="26">
        <v>14.5</v>
      </c>
      <c r="I4088" s="5" t="s">
        <v>37586</v>
      </c>
      <c r="J4088" s="5" t="s">
        <v>26526</v>
      </c>
      <c r="K4088" s="5" t="s">
        <v>344</v>
      </c>
      <c r="L4088" s="5"/>
      <c r="M4088" s="27"/>
      <c r="N4088" s="5" t="s">
        <v>55661</v>
      </c>
      <c r="O4088" s="5" t="str">
        <v>5405950881</v>
      </c>
      <c r="P4088" s="27">
        <v>10000</v>
      </c>
      <c r="Q4088" s="5"/>
      <c r="R4088" s="5"/>
      <c r="S4088" s="5" t="s">
        <v>49425</v>
      </c>
      <c r="T4088" s="28">
        <v>462968000</v>
      </c>
      <c r="U4088" s="28"/>
      <c r="V4088" s="28">
        <v>181738000</v>
      </c>
      <c r="W4088" s="28"/>
      <c r="X4088" s="28">
        <v>961090000</v>
      </c>
      <c r="Y4088" s="28">
        <v>2031888000</v>
      </c>
      <c r="Z4088" s="28">
        <v>-61965000</v>
      </c>
      <c r="AA4088" s="28">
        <v>394000000</v>
      </c>
      <c r="AB4088" s="28">
        <v>834596000</v>
      </c>
      <c r="AC4088" s="28">
        <v>1433456000</v>
      </c>
      <c r="AD4088" s="28">
        <v>-61955000</v>
      </c>
      <c r="AE4088" s="28">
        <v>3642253000</v>
      </c>
      <c r="AF4088" s="28">
        <v>71459000</v>
      </c>
      <c r="AG4088" s="11"/>
    </row>
    <row r="4089">
      <c r="A4089" s="7" t="s">
        <v>5742</v>
      </c>
      <c r="B4089" s="5" t="s">
        <v>13700</v>
      </c>
      <c r="C4089" s="5" t="s">
        <v>21473</v>
      </c>
      <c r="D4089" s="5" t="str">
        <v>770471276660</v>
      </c>
      <c r="E4089" s="0" t="e">
        <f>+7 (49654) 44645
+7 (903) 1659913
+7 (925) 4036212</f>
        <v>#NAME?</v>
      </c>
      <c r="F4089" s="5" t="s">
        <v>37587</v>
      </c>
      <c r="G4089" s="5" t="s">
        <v>37588</v>
      </c>
      <c r="H4089" s="26">
        <v>16.5</v>
      </c>
      <c r="I4089" s="5" t="s">
        <v>37589</v>
      </c>
      <c r="J4089" s="5" t="s">
        <v>27115</v>
      </c>
      <c r="K4089" s="5" t="s">
        <v>344</v>
      </c>
      <c r="L4089" s="5" t="s">
        <v>37590</v>
      </c>
      <c r="M4089" s="27"/>
      <c r="N4089" s="5" t="s">
        <v>55662</v>
      </c>
      <c r="O4089" s="5" t="str">
        <v>7722582752</v>
      </c>
      <c r="P4089" s="27">
        <v>3000000</v>
      </c>
      <c r="Q4089" s="5" t="s">
        <v>55663</v>
      </c>
      <c r="R4089" s="5"/>
      <c r="S4089" s="5" t="s">
        <v>55664</v>
      </c>
      <c r="T4089" s="28">
        <v>6999540000</v>
      </c>
      <c r="U4089" s="28"/>
      <c r="V4089" s="28">
        <v>2874515000</v>
      </c>
      <c r="W4089" s="28">
        <v>2440008000</v>
      </c>
      <c r="X4089" s="28">
        <v>156948000</v>
      </c>
      <c r="Y4089" s="28">
        <v>14282153000</v>
      </c>
      <c r="Z4089" s="28">
        <v>2596246000</v>
      </c>
      <c r="AA4089" s="28">
        <v>3309607000</v>
      </c>
      <c r="AB4089" s="28">
        <v>259335000</v>
      </c>
      <c r="AC4089" s="28">
        <v>7145628000</v>
      </c>
      <c r="AD4089" s="28">
        <v>2599246000</v>
      </c>
      <c r="AE4089" s="28">
        <v>50400623000</v>
      </c>
      <c r="AF4089" s="28">
        <v>622668000</v>
      </c>
      <c r="AG4089" s="11"/>
    </row>
    <row r="4090">
      <c r="A4090" s="7" t="s">
        <v>5743</v>
      </c>
      <c r="B4090" s="5" t="s">
        <v>13701</v>
      </c>
      <c r="C4090" s="5" t="s">
        <v>21474</v>
      </c>
      <c r="D4090" s="5" t="str">
        <v>526007384699</v>
      </c>
      <c r="E4090" s="0" t="e">
        <f>+7 (831) 2756803
+7 (800) 2500007
+7 (831) 2754319
+7 (831) 2756206
+7 (831) 2756414
+7 (831) 2756559
+7 (831) 2756605
+7 (831) 2756628
+7 (831) 2756656
+7 (831) 2756825
+7 (831) 2756933
+7 (831) 2756983
+7 (987) 8555222
+7 (987) 8598955</f>
        <v>#NAME?</v>
      </c>
      <c r="F4090" s="5" t="s">
        <v>37591</v>
      </c>
      <c r="G4090" s="5"/>
      <c r="H4090" s="26">
        <v>27.5</v>
      </c>
      <c r="I4090" s="5" t="s">
        <v>37592</v>
      </c>
      <c r="J4090" s="5" t="s">
        <v>29195</v>
      </c>
      <c r="K4090" s="5" t="s">
        <v>344</v>
      </c>
      <c r="L4090" s="5" t="s">
        <v>37593</v>
      </c>
      <c r="M4090" s="27">
        <v>2866205</v>
      </c>
      <c r="N4090" s="5" t="s">
        <v>55665</v>
      </c>
      <c r="O4090" s="5" t="str">
        <v>5259012482</v>
      </c>
      <c r="P4090" s="27">
        <v>292500</v>
      </c>
      <c r="Q4090" s="5" t="s">
        <v>49059</v>
      </c>
      <c r="R4090" s="5"/>
      <c r="S4090" s="5" t="s">
        <v>49487</v>
      </c>
      <c r="T4090" s="28">
        <v>37538000</v>
      </c>
      <c r="U4090" s="28"/>
      <c r="V4090" s="28">
        <v>10808090000</v>
      </c>
      <c r="W4090" s="28">
        <v>8000000000</v>
      </c>
      <c r="X4090" s="28">
        <v>4985530000</v>
      </c>
      <c r="Y4090" s="28">
        <v>29212040000</v>
      </c>
      <c r="Z4090" s="28">
        <v>3695023000</v>
      </c>
      <c r="AA4090" s="28"/>
      <c r="AB4090" s="28">
        <v>726501000</v>
      </c>
      <c r="AC4090" s="28">
        <v>25516652000</v>
      </c>
      <c r="AD4090" s="28">
        <v>3695388000</v>
      </c>
      <c r="AE4090" s="28">
        <v>61972154000</v>
      </c>
      <c r="AF4090" s="28">
        <v>2782534000</v>
      </c>
      <c r="AG4090" s="11"/>
    </row>
    <row r="4091">
      <c r="A4091" s="7" t="s">
        <v>5744</v>
      </c>
      <c r="B4091" s="5" t="s">
        <v>13702</v>
      </c>
      <c r="C4091" s="5" t="s">
        <v>21003</v>
      </c>
      <c r="D4091" s="5"/>
      <c r="E4091" s="0" t="e">
        <f>+7 (383) 2276910
+7 (383) 2277509
+7 (383) 3413033
+7 (383) 3413144
+7 (383) 3415798
+7 (905) 1583464</f>
        <v>#NAME?</v>
      </c>
      <c r="F4091" s="5" t="s">
        <v>37594</v>
      </c>
      <c r="G4091" s="5"/>
      <c r="H4091" s="26">
        <v>23</v>
      </c>
      <c r="I4091" s="5"/>
      <c r="J4091" s="5" t="s">
        <v>27977</v>
      </c>
      <c r="K4091" s="5" t="s">
        <v>344</v>
      </c>
      <c r="L4091" s="5" t="s">
        <v>37595</v>
      </c>
      <c r="M4091" s="27"/>
      <c r="N4091" s="5" t="s">
        <v>50288</v>
      </c>
      <c r="O4091" s="5" t="str">
        <v>5404161429</v>
      </c>
      <c r="P4091" s="27">
        <v>194445178</v>
      </c>
      <c r="Q4091" s="5" t="s">
        <v>49021</v>
      </c>
      <c r="R4091" s="5"/>
      <c r="S4091" s="5" t="s">
        <v>49033</v>
      </c>
      <c r="T4091" s="28">
        <v>1961038000</v>
      </c>
      <c r="U4091" s="28"/>
      <c r="V4091" s="28">
        <v>1279006000</v>
      </c>
      <c r="W4091" s="28"/>
      <c r="X4091" s="28">
        <v>147000</v>
      </c>
      <c r="Y4091" s="28">
        <v>6819393000</v>
      </c>
      <c r="Z4091" s="28">
        <v>3415037000</v>
      </c>
      <c r="AA4091" s="28"/>
      <c r="AB4091" s="28"/>
      <c r="AC4091" s="28">
        <v>2314274000</v>
      </c>
      <c r="AD4091" s="28">
        <v>4331392000</v>
      </c>
      <c r="AE4091" s="28">
        <v>22459432000</v>
      </c>
      <c r="AF4091" s="28">
        <v>1087580000</v>
      </c>
      <c r="AG4091" s="11"/>
    </row>
    <row r="4092">
      <c r="A4092" s="7" t="s">
        <v>5745</v>
      </c>
      <c r="B4092" s="5" t="s">
        <v>13703</v>
      </c>
      <c r="C4092" s="5" t="s">
        <v>21475</v>
      </c>
      <c r="D4092" s="5" t="str">
        <v>071308346343</v>
      </c>
      <c r="F4092" s="5"/>
      <c r="G4092" s="5"/>
      <c r="H4092" s="26">
        <v>4.5</v>
      </c>
      <c r="I4092" s="5" t="s">
        <v>37596</v>
      </c>
      <c r="J4092" s="5" t="s">
        <v>27497</v>
      </c>
      <c r="K4092" s="5" t="s">
        <v>344</v>
      </c>
      <c r="L4092" s="5" t="s">
        <v>37597</v>
      </c>
      <c r="M4092" s="27"/>
      <c r="N4092" s="5"/>
      <c r="O4092" s="5" t="str">
        <v>9729273387</v>
      </c>
      <c r="P4092" s="27">
        <v>1000000</v>
      </c>
      <c r="Q4092" s="5"/>
      <c r="R4092" s="5"/>
      <c r="S4092" s="5" t="s">
        <v>49053</v>
      </c>
      <c r="T4092" s="28"/>
      <c r="U4092" s="28"/>
      <c r="V4092" s="28">
        <v>726746000</v>
      </c>
      <c r="W4092" s="28">
        <v>187409000</v>
      </c>
      <c r="X4092" s="28">
        <v>35390000</v>
      </c>
      <c r="Y4092" s="28">
        <v>1526620000</v>
      </c>
      <c r="Z4092" s="28">
        <v>208972000</v>
      </c>
      <c r="AA4092" s="28">
        <v>110000000</v>
      </c>
      <c r="AB4092" s="28">
        <v>20354000</v>
      </c>
      <c r="AC4092" s="28">
        <v>1197288000</v>
      </c>
      <c r="AD4092" s="28">
        <v>219322000</v>
      </c>
      <c r="AE4092" s="28">
        <v>6739637000</v>
      </c>
      <c r="AF4092" s="28">
        <v>158634000</v>
      </c>
      <c r="AG4092" s="11"/>
    </row>
    <row r="4093">
      <c r="A4093" s="7" t="s">
        <v>5746</v>
      </c>
      <c r="B4093" s="5" t="s">
        <v>13704</v>
      </c>
      <c r="C4093" s="5" t="s">
        <v>21476</v>
      </c>
      <c r="D4093" s="5" t="str">
        <v>500109031554</v>
      </c>
      <c r="E4093" s="0" t="e">
        <f>+7 (495) 2907629
+7 (495) 7308142
+7 (495) 7308143</f>
        <v>#NAME?</v>
      </c>
      <c r="F4093" s="5" t="s">
        <v>37598</v>
      </c>
      <c r="G4093" s="5" t="s">
        <v>37599</v>
      </c>
      <c r="H4093" s="26">
        <v>5.5</v>
      </c>
      <c r="I4093" s="5" t="s">
        <v>37600</v>
      </c>
      <c r="J4093" s="5" t="s">
        <v>785</v>
      </c>
      <c r="K4093" s="5" t="s">
        <v>344</v>
      </c>
      <c r="L4093" s="5"/>
      <c r="M4093" s="27"/>
      <c r="N4093" s="5"/>
      <c r="O4093" s="5" t="str">
        <v>9717060786</v>
      </c>
      <c r="P4093" s="27">
        <v>500000</v>
      </c>
      <c r="Q4093" s="5" t="s">
        <v>49009</v>
      </c>
      <c r="R4093" s="5"/>
      <c r="S4093" s="5" t="s">
        <v>49010</v>
      </c>
      <c r="T4093" s="28">
        <v>1115000</v>
      </c>
      <c r="U4093" s="28"/>
      <c r="V4093" s="28">
        <v>4260929000</v>
      </c>
      <c r="W4093" s="28">
        <v>1204500000</v>
      </c>
      <c r="X4093" s="28">
        <v>14843000</v>
      </c>
      <c r="Y4093" s="28">
        <v>5482353000</v>
      </c>
      <c r="Z4093" s="28">
        <v>35144000</v>
      </c>
      <c r="AA4093" s="28"/>
      <c r="AB4093" s="28"/>
      <c r="AC4093" s="28">
        <v>5446709000</v>
      </c>
      <c r="AD4093" s="28">
        <v>35644000</v>
      </c>
      <c r="AE4093" s="28">
        <v>10101081000</v>
      </c>
      <c r="AF4093" s="28">
        <v>2072000</v>
      </c>
      <c r="AG4093" s="11"/>
    </row>
    <row r="4094">
      <c r="A4094" s="7" t="s">
        <v>5747</v>
      </c>
      <c r="B4094" s="5" t="s">
        <v>13705</v>
      </c>
      <c r="C4094" s="5" t="s">
        <v>19974</v>
      </c>
      <c r="D4094" s="5" t="str">
        <v>231513575610</v>
      </c>
      <c r="E4094" s="0" t="e">
        <f>+7 (861) 7303175
+7 (8617) 303110
+7 (8617) 303113
+7 (8617) 303124
+7 (8617) 303179
+7 (8617) 303216</f>
        <v>#NAME?</v>
      </c>
      <c r="F4094" s="5" t="s">
        <v>37601</v>
      </c>
      <c r="G4094" s="5"/>
      <c r="H4094" s="26">
        <v>14</v>
      </c>
      <c r="I4094" s="5" t="s">
        <v>37602</v>
      </c>
      <c r="J4094" s="5" t="s">
        <v>26905</v>
      </c>
      <c r="K4094" s="5" t="s">
        <v>344</v>
      </c>
      <c r="L4094" s="5" t="s">
        <v>37603</v>
      </c>
      <c r="M4094" s="27">
        <v>21348846</v>
      </c>
      <c r="N4094" s="5" t="s">
        <v>55666</v>
      </c>
      <c r="O4094" s="5" t="str">
        <v>2315153325</v>
      </c>
      <c r="P4094" s="27">
        <v>1000000002</v>
      </c>
      <c r="Q4094" s="5" t="s">
        <v>55667</v>
      </c>
      <c r="R4094" s="5"/>
      <c r="S4094" s="5" t="s">
        <v>55668</v>
      </c>
      <c r="T4094" s="28">
        <v>3587589000</v>
      </c>
      <c r="U4094" s="28"/>
      <c r="V4094" s="28">
        <v>97080000</v>
      </c>
      <c r="W4094" s="28">
        <v>27000000</v>
      </c>
      <c r="X4094" s="28">
        <v>2967417000</v>
      </c>
      <c r="Y4094" s="28">
        <v>7084433000</v>
      </c>
      <c r="Z4094" s="28">
        <v>5473549000</v>
      </c>
      <c r="AA4094" s="28"/>
      <c r="AB4094" s="28"/>
      <c r="AC4094" s="28">
        <v>210421000</v>
      </c>
      <c r="AD4094" s="28">
        <v>6473549000</v>
      </c>
      <c r="AE4094" s="28">
        <v>3247078000</v>
      </c>
      <c r="AF4094" s="28">
        <v>1219285000</v>
      </c>
      <c r="AG4094" s="11"/>
    </row>
    <row r="4095">
      <c r="A4095" s="7" t="s">
        <v>5748</v>
      </c>
      <c r="B4095" s="5" t="s">
        <v>13706</v>
      </c>
      <c r="C4095" s="5" t="s">
        <v>21477</v>
      </c>
      <c r="D4095" s="5" t="str">
        <v>262811997383</v>
      </c>
      <c r="F4095" s="5" t="s">
        <v>37604</v>
      </c>
      <c r="G4095" s="5" t="s">
        <v>37605</v>
      </c>
      <c r="H4095" s="26">
        <v>17</v>
      </c>
      <c r="I4095" s="5"/>
      <c r="J4095" s="5" t="s">
        <v>37606</v>
      </c>
      <c r="K4095" s="5"/>
      <c r="L4095" s="5"/>
      <c r="M4095" s="27"/>
      <c r="N4095" s="5" t="s">
        <v>55669</v>
      </c>
      <c r="O4095" s="5" t="str">
        <v>7707575207</v>
      </c>
      <c r="P4095" s="27"/>
      <c r="Q4095" s="5" t="s">
        <v>55670</v>
      </c>
      <c r="R4095" s="5"/>
      <c r="S4095" s="5" t="s">
        <v>55671</v>
      </c>
      <c r="T4095" s="28"/>
      <c r="U4095" s="28"/>
      <c r="V4095" s="28">
        <v>153687246000</v>
      </c>
      <c r="W4095" s="28"/>
      <c r="X4095" s="28">
        <v>397889000</v>
      </c>
      <c r="Y4095" s="28">
        <v>166838582000</v>
      </c>
      <c r="Z4095" s="28">
        <v>104992000</v>
      </c>
      <c r="AA4095" s="28"/>
      <c r="AB4095" s="28">
        <v>5188569000</v>
      </c>
      <c r="AC4095" s="28">
        <v>166733590000</v>
      </c>
      <c r="AD4095" s="28">
        <v>104992000</v>
      </c>
      <c r="AE4095" s="28">
        <v>4724371000</v>
      </c>
      <c r="AF4095" s="28">
        <v>104992000</v>
      </c>
      <c r="AG4095" s="11"/>
    </row>
    <row r="4096">
      <c r="A4096" s="7" t="s">
        <v>5749</v>
      </c>
      <c r="B4096" s="5" t="s">
        <v>13707</v>
      </c>
      <c r="C4096" s="5" t="s">
        <v>21478</v>
      </c>
      <c r="D4096" s="5" t="str">
        <v>245724286435</v>
      </c>
      <c r="E4096" s="0" t="e">
        <f>+7 (391) 9452373
+7 (3919) 248222
+7 (3919) 253944</f>
        <v>#NAME?</v>
      </c>
      <c r="F4096" s="5" t="s">
        <v>37607</v>
      </c>
      <c r="G4096" s="5"/>
      <c r="H4096" s="26">
        <v>16</v>
      </c>
      <c r="I4096" s="5" t="s">
        <v>37608</v>
      </c>
      <c r="J4096" s="5" t="s">
        <v>27806</v>
      </c>
      <c r="K4096" s="5" t="s">
        <v>355</v>
      </c>
      <c r="L4096" s="5"/>
      <c r="M4096" s="27"/>
      <c r="N4096" s="5" t="s">
        <v>55672</v>
      </c>
      <c r="O4096" s="5" t="str">
        <v>2457063268</v>
      </c>
      <c r="P4096" s="27">
        <v>526356000</v>
      </c>
      <c r="Q4096" s="5" t="s">
        <v>49817</v>
      </c>
      <c r="R4096" s="5"/>
      <c r="S4096" s="5" t="s">
        <v>55673</v>
      </c>
      <c r="T4096" s="28">
        <v>419109000</v>
      </c>
      <c r="U4096" s="28">
        <v>825000</v>
      </c>
      <c r="V4096" s="28">
        <v>1159308000</v>
      </c>
      <c r="W4096" s="28">
        <v>553290000</v>
      </c>
      <c r="X4096" s="28"/>
      <c r="Y4096" s="28">
        <v>2800374000</v>
      </c>
      <c r="Z4096" s="28">
        <v>-139901000</v>
      </c>
      <c r="AA4096" s="28"/>
      <c r="AB4096" s="28"/>
      <c r="AC4096" s="28">
        <v>1881847000</v>
      </c>
      <c r="AD4096" s="28">
        <v>788949000</v>
      </c>
      <c r="AE4096" s="28">
        <v>6206822000</v>
      </c>
      <c r="AF4096" s="28">
        <v>-33212000</v>
      </c>
      <c r="AG4096" s="11"/>
    </row>
    <row r="4097">
      <c r="A4097" s="7" t="s">
        <v>5750</v>
      </c>
      <c r="B4097" s="5" t="s">
        <v>13708</v>
      </c>
      <c r="C4097" s="5" t="s">
        <v>21479</v>
      </c>
      <c r="D4097" s="5" t="str">
        <v>253812488673</v>
      </c>
      <c r="E4097" s="0" t="e">
        <f>+7 (914) 7914693
+7 (4232) 403421
+7 (4232) 403423
+7 (4232) 403425
+7 (4232) 403426
+7 (4232) 406728
+7 (4232) 406796</f>
        <v>#NAME?</v>
      </c>
      <c r="F4097" s="5"/>
      <c r="G4097" s="5"/>
      <c r="H4097" s="26">
        <v>20.5</v>
      </c>
      <c r="I4097" s="5" t="s">
        <v>37609</v>
      </c>
      <c r="J4097" s="5" t="s">
        <v>373</v>
      </c>
      <c r="K4097" s="5" t="s">
        <v>344</v>
      </c>
      <c r="L4097" s="5" t="s">
        <v>37610</v>
      </c>
      <c r="M4097" s="27"/>
      <c r="N4097" s="5"/>
      <c r="O4097" s="5" t="str">
        <v>2540088236</v>
      </c>
      <c r="P4097" s="27">
        <v>50000</v>
      </c>
      <c r="Q4097" s="5" t="s">
        <v>55674</v>
      </c>
      <c r="R4097" s="5"/>
      <c r="S4097" s="5" t="s">
        <v>49752</v>
      </c>
      <c r="T4097" s="28">
        <v>2213000</v>
      </c>
      <c r="U4097" s="28"/>
      <c r="V4097" s="28">
        <v>2007389000</v>
      </c>
      <c r="W4097" s="28"/>
      <c r="X4097" s="28">
        <v>17272000</v>
      </c>
      <c r="Y4097" s="28">
        <v>2255886000</v>
      </c>
      <c r="Z4097" s="28">
        <v>921453000</v>
      </c>
      <c r="AA4097" s="28"/>
      <c r="AB4097" s="28"/>
      <c r="AC4097" s="28">
        <v>1328453000</v>
      </c>
      <c r="AD4097" s="28">
        <v>921503000</v>
      </c>
      <c r="AE4097" s="28">
        <v>24463982000</v>
      </c>
      <c r="AF4097" s="28">
        <v>-5065000</v>
      </c>
      <c r="AG4097" s="11"/>
    </row>
    <row r="4098">
      <c r="A4098" s="7" t="s">
        <v>5751</v>
      </c>
      <c r="B4098" s="5" t="s">
        <v>13709</v>
      </c>
      <c r="C4098" s="5" t="s">
        <v>21480</v>
      </c>
      <c r="D4098" s="5" t="str">
        <v>861201430100</v>
      </c>
      <c r="E4098" s="0" t="e">
        <f>+7 (909) 6052156</f>
        <v>#NAME?</v>
      </c>
      <c r="F4098" s="5" t="s">
        <v>37611</v>
      </c>
      <c r="G4098" s="5"/>
      <c r="H4098" s="26">
        <v>2</v>
      </c>
      <c r="I4098" s="5" t="s">
        <v>37612</v>
      </c>
      <c r="J4098" s="5" t="s">
        <v>26607</v>
      </c>
      <c r="K4098" s="5" t="s">
        <v>344</v>
      </c>
      <c r="L4098" s="5"/>
      <c r="M4098" s="27">
        <v>843172574</v>
      </c>
      <c r="N4098" s="5"/>
      <c r="O4098" s="5" t="str">
        <v>5603048611</v>
      </c>
      <c r="P4098" s="27">
        <v>10000</v>
      </c>
      <c r="Q4098" s="5"/>
      <c r="R4098" s="5"/>
      <c r="S4098" s="5" t="s">
        <v>49110</v>
      </c>
      <c r="T4098" s="28">
        <v>45957700000</v>
      </c>
      <c r="U4098" s="28">
        <v>49263932000</v>
      </c>
      <c r="V4098" s="28">
        <v>3368647000</v>
      </c>
      <c r="W4098" s="28">
        <v>27900000</v>
      </c>
      <c r="X4098" s="28">
        <v>41776000</v>
      </c>
      <c r="Y4098" s="28">
        <v>109888277000</v>
      </c>
      <c r="Z4098" s="28">
        <v>67657815000</v>
      </c>
      <c r="AA4098" s="28"/>
      <c r="AB4098" s="28"/>
      <c r="AC4098" s="28">
        <v>15905158000</v>
      </c>
      <c r="AD4098" s="28">
        <v>83452623000</v>
      </c>
      <c r="AE4098" s="28">
        <v>107346163000</v>
      </c>
      <c r="AF4098" s="28">
        <v>13608197000</v>
      </c>
      <c r="AG4098" s="11"/>
    </row>
    <row r="4099">
      <c r="A4099" s="7" t="s">
        <v>5752</v>
      </c>
      <c r="B4099" s="5" t="s">
        <v>13710</v>
      </c>
      <c r="C4099" s="5" t="s">
        <v>18018</v>
      </c>
      <c r="D4099" s="5"/>
      <c r="E4099" s="0" t="e">
        <f>+7 (401) 2307700
+7 (831) 2113022
+7 (910) 8921009
+7 (911) 4617634
+7 (950) 6063571</f>
        <v>#NAME?</v>
      </c>
      <c r="F4099" s="5" t="s">
        <v>37613</v>
      </c>
      <c r="G4099" s="5"/>
      <c r="H4099" s="26">
        <v>11</v>
      </c>
      <c r="I4099" s="5" t="s">
        <v>37614</v>
      </c>
      <c r="J4099" s="5" t="s">
        <v>25371</v>
      </c>
      <c r="K4099" s="5" t="s">
        <v>344</v>
      </c>
      <c r="L4099" s="5" t="s">
        <v>37615</v>
      </c>
      <c r="M4099" s="27"/>
      <c r="N4099" s="5"/>
      <c r="O4099" s="5" t="str">
        <v>5206002593</v>
      </c>
      <c r="P4099" s="27">
        <v>483040563</v>
      </c>
      <c r="Q4099" s="5"/>
      <c r="R4099" s="5"/>
      <c r="S4099" s="5" t="s">
        <v>49123</v>
      </c>
      <c r="T4099" s="28">
        <v>3470437000</v>
      </c>
      <c r="U4099" s="28">
        <v>764115000</v>
      </c>
      <c r="V4099" s="28">
        <v>411241000</v>
      </c>
      <c r="W4099" s="28"/>
      <c r="X4099" s="28">
        <v>291019000</v>
      </c>
      <c r="Y4099" s="28">
        <v>6761585000</v>
      </c>
      <c r="Z4099" s="28">
        <v>3472935000</v>
      </c>
      <c r="AA4099" s="28">
        <v>877525000</v>
      </c>
      <c r="AB4099" s="28">
        <v>1191827000</v>
      </c>
      <c r="AC4099" s="28">
        <v>1569908000</v>
      </c>
      <c r="AD4099" s="28">
        <v>4081695000</v>
      </c>
      <c r="AE4099" s="28">
        <v>3236444000</v>
      </c>
      <c r="AF4099" s="28">
        <v>323771000</v>
      </c>
      <c r="AG4099" s="11"/>
    </row>
    <row r="4100">
      <c r="A4100" s="7" t="s">
        <v>5753</v>
      </c>
      <c r="B4100" s="5" t="s">
        <v>13711</v>
      </c>
      <c r="C4100" s="5" t="s">
        <v>21481</v>
      </c>
      <c r="D4100" s="5" t="str">
        <v>253992232854</v>
      </c>
      <c r="E4100" s="0" t="e">
        <f>+7 (4232) 60870
+7 (914) 6532450
+7 (904) 6282958
+7 (495) 1059235
+7 (495) 1059251</f>
        <v>#NAME?</v>
      </c>
      <c r="F4100" s="5" t="s">
        <v>37616</v>
      </c>
      <c r="G4100" s="5" t="s">
        <v>37617</v>
      </c>
      <c r="H4100" s="26">
        <v>8.5</v>
      </c>
      <c r="I4100" s="5" t="s">
        <v>37618</v>
      </c>
      <c r="J4100" s="5" t="s">
        <v>373</v>
      </c>
      <c r="K4100" s="5" t="s">
        <v>344</v>
      </c>
      <c r="L4100" s="5"/>
      <c r="M4100" s="27">
        <v>301500</v>
      </c>
      <c r="N4100" s="5" t="s">
        <v>55676</v>
      </c>
      <c r="O4100" s="5" t="str">
        <v>2308214062</v>
      </c>
      <c r="P4100" s="27">
        <v>1000000</v>
      </c>
      <c r="Q4100" s="5" t="s">
        <v>55677</v>
      </c>
      <c r="R4100" s="5"/>
      <c r="S4100" s="5" t="s">
        <v>55678</v>
      </c>
      <c r="T4100" s="28">
        <v>21498000</v>
      </c>
      <c r="U4100" s="28">
        <v>490000</v>
      </c>
      <c r="V4100" s="28">
        <v>876754000</v>
      </c>
      <c r="W4100" s="28">
        <v>22860000</v>
      </c>
      <c r="X4100" s="28">
        <v>62745000</v>
      </c>
      <c r="Y4100" s="28">
        <v>1632720000</v>
      </c>
      <c r="Z4100" s="28">
        <v>30677000</v>
      </c>
      <c r="AA4100" s="28">
        <v>303578000</v>
      </c>
      <c r="AB4100" s="28">
        <v>151708000</v>
      </c>
      <c r="AC4100" s="28">
        <v>1288727000</v>
      </c>
      <c r="AD4100" s="28">
        <v>39570000</v>
      </c>
      <c r="AE4100" s="28">
        <v>4705829000</v>
      </c>
      <c r="AF4100" s="28">
        <v>14066000</v>
      </c>
      <c r="AG4100" s="11"/>
    </row>
    <row r="4101">
      <c r="A4101" s="7" t="s">
        <v>5754</v>
      </c>
      <c r="B4101" s="5" t="s">
        <v>13712</v>
      </c>
      <c r="C4101" s="5" t="s">
        <v>21482</v>
      </c>
      <c r="D4101" s="5"/>
      <c r="F4101" s="5" t="s">
        <v>37619</v>
      </c>
      <c r="G4101" s="5" t="s">
        <v>37620</v>
      </c>
      <c r="H4101" s="26">
        <v>16.5</v>
      </c>
      <c r="I4101" s="5" t="s">
        <v>37621</v>
      </c>
      <c r="J4101" s="5" t="s">
        <v>28075</v>
      </c>
      <c r="K4101" s="5" t="s">
        <v>344</v>
      </c>
      <c r="L4101" s="5" t="s">
        <v>37622</v>
      </c>
      <c r="M4101" s="27"/>
      <c r="N4101" s="5"/>
      <c r="O4101" s="5" t="str">
        <v>5038051412</v>
      </c>
      <c r="P4101" s="27">
        <v>100000</v>
      </c>
      <c r="Q4101" s="5" t="s">
        <v>49009</v>
      </c>
      <c r="R4101" s="5"/>
      <c r="S4101" s="5" t="s">
        <v>49066</v>
      </c>
      <c r="T4101" s="28">
        <v>123404000</v>
      </c>
      <c r="U4101" s="28">
        <v>3923750000</v>
      </c>
      <c r="V4101" s="28">
        <v>408541000</v>
      </c>
      <c r="W4101" s="28">
        <v>1961100000</v>
      </c>
      <c r="X4101" s="28">
        <v>3650000</v>
      </c>
      <c r="Y4101" s="28">
        <v>6613845000</v>
      </c>
      <c r="Z4101" s="28">
        <v>722502000</v>
      </c>
      <c r="AA4101" s="28">
        <v>3162547000</v>
      </c>
      <c r="AB4101" s="28">
        <v>4436000</v>
      </c>
      <c r="AC4101" s="28">
        <v>2724784000</v>
      </c>
      <c r="AD4101" s="28">
        <v>722602000</v>
      </c>
      <c r="AE4101" s="28">
        <v>4497429000</v>
      </c>
      <c r="AF4101" s="28">
        <v>266445000</v>
      </c>
      <c r="AG4101" s="11"/>
    </row>
    <row r="4102">
      <c r="A4102" s="7" t="s">
        <v>5755</v>
      </c>
      <c r="B4102" s="5" t="s">
        <v>13713</v>
      </c>
      <c r="C4102" s="5" t="s">
        <v>21483</v>
      </c>
      <c r="D4102" s="5" t="str">
        <v>631907460913</v>
      </c>
      <c r="E4102" s="0" t="e">
        <f>+7 (84635) 26007
+7 (84635) 36124
+7 (84635) 52017
+7 (84635) 36007
+7 (84635) 36227</f>
        <v>#NAME?</v>
      </c>
      <c r="F4102" s="5" t="s">
        <v>37623</v>
      </c>
      <c r="G4102" s="5" t="s">
        <v>37624</v>
      </c>
      <c r="H4102" s="26">
        <v>14</v>
      </c>
      <c r="I4102" s="5" t="s">
        <v>37625</v>
      </c>
      <c r="J4102" s="5" t="s">
        <v>947</v>
      </c>
      <c r="K4102" s="5" t="s">
        <v>344</v>
      </c>
      <c r="L4102" s="5"/>
      <c r="M4102" s="27">
        <v>30636555</v>
      </c>
      <c r="N4102" s="5"/>
      <c r="O4102" s="5" t="str">
        <v>6330037352</v>
      </c>
      <c r="P4102" s="27">
        <v>615773246</v>
      </c>
      <c r="Q4102" s="5" t="s">
        <v>55680</v>
      </c>
      <c r="R4102" s="5"/>
      <c r="S4102" s="5" t="s">
        <v>50475</v>
      </c>
      <c r="T4102" s="28">
        <v>4130159000</v>
      </c>
      <c r="U4102" s="28">
        <v>180036000</v>
      </c>
      <c r="V4102" s="28">
        <v>4073428000</v>
      </c>
      <c r="W4102" s="28"/>
      <c r="X4102" s="28">
        <v>3452598000</v>
      </c>
      <c r="Y4102" s="28">
        <v>22334435000</v>
      </c>
      <c r="Z4102" s="28">
        <v>3793457000</v>
      </c>
      <c r="AA4102" s="28"/>
      <c r="AB4102" s="28"/>
      <c r="AC4102" s="28">
        <v>17510131000</v>
      </c>
      <c r="AD4102" s="28">
        <v>4594034000</v>
      </c>
      <c r="AE4102" s="28">
        <v>26556252000</v>
      </c>
      <c r="AF4102" s="28">
        <v>505723000</v>
      </c>
      <c r="AG4102" s="11"/>
    </row>
    <row r="4103">
      <c r="A4103" s="7" t="s">
        <v>5755</v>
      </c>
      <c r="B4103" s="5" t="s">
        <v>13714</v>
      </c>
      <c r="C4103" s="5" t="s">
        <v>21484</v>
      </c>
      <c r="D4103" s="5" t="str">
        <v>773272223443</v>
      </c>
      <c r="F4103" s="5" t="s">
        <v>37626</v>
      </c>
      <c r="G4103" s="5"/>
      <c r="H4103" s="26">
        <v>2.5</v>
      </c>
      <c r="I4103" s="5" t="s">
        <v>37627</v>
      </c>
      <c r="J4103" s="5" t="s">
        <v>25559</v>
      </c>
      <c r="K4103" s="5" t="s">
        <v>344</v>
      </c>
      <c r="L4103" s="5" t="s">
        <v>563</v>
      </c>
      <c r="M4103" s="27"/>
      <c r="N4103" s="5"/>
      <c r="O4103" s="5" t="str">
        <v>9715384898</v>
      </c>
      <c r="P4103" s="27">
        <v>100000</v>
      </c>
      <c r="Q4103" s="5" t="s">
        <v>49021</v>
      </c>
      <c r="R4103" s="5"/>
      <c r="S4103" s="5" t="s">
        <v>55681</v>
      </c>
      <c r="T4103" s="28"/>
      <c r="U4103" s="28"/>
      <c r="V4103" s="28">
        <v>132665000</v>
      </c>
      <c r="W4103" s="28"/>
      <c r="X4103" s="28">
        <v>6819000</v>
      </c>
      <c r="Y4103" s="28">
        <v>152634000</v>
      </c>
      <c r="Z4103" s="28">
        <v>27431000</v>
      </c>
      <c r="AA4103" s="28">
        <v>100000000</v>
      </c>
      <c r="AB4103" s="28">
        <v>126000</v>
      </c>
      <c r="AC4103" s="28">
        <v>25103000</v>
      </c>
      <c r="AD4103" s="28">
        <v>27531000</v>
      </c>
      <c r="AE4103" s="28">
        <v>3770006000</v>
      </c>
      <c r="AF4103" s="28">
        <v>25002000</v>
      </c>
      <c r="AG4103" s="11"/>
    </row>
    <row r="4104">
      <c r="A4104" s="7" t="s">
        <v>5756</v>
      </c>
      <c r="B4104" s="5" t="s">
        <v>13715</v>
      </c>
      <c r="C4104" s="5" t="s">
        <v>18716</v>
      </c>
      <c r="D4104" s="5" t="str">
        <v>772347415305</v>
      </c>
      <c r="E4104" s="0" t="e">
        <f>+7 (495) 2865200</f>
        <v>#NAME?</v>
      </c>
      <c r="F4104" s="5" t="s">
        <v>37628</v>
      </c>
      <c r="G4104" s="5" t="s">
        <v>37629</v>
      </c>
      <c r="H4104" s="26">
        <v>5.5</v>
      </c>
      <c r="I4104" s="5"/>
      <c r="J4104" s="5" t="s">
        <v>27182</v>
      </c>
      <c r="K4104" s="5" t="s">
        <v>380</v>
      </c>
      <c r="L4104" s="5" t="s">
        <v>31950</v>
      </c>
      <c r="M4104" s="27">
        <v>9065096</v>
      </c>
      <c r="N4104" s="5" t="s">
        <v>52777</v>
      </c>
      <c r="O4104" s="5" t="str">
        <v>9701087623</v>
      </c>
      <c r="P4104" s="27">
        <v>1845905660</v>
      </c>
      <c r="Q4104" s="5" t="s">
        <v>55682</v>
      </c>
      <c r="R4104" s="5"/>
      <c r="S4104" s="5" t="s">
        <v>55683</v>
      </c>
      <c r="T4104" s="28">
        <v>1744085000</v>
      </c>
      <c r="U4104" s="28">
        <v>1081642000</v>
      </c>
      <c r="V4104" s="28">
        <v>1455987000</v>
      </c>
      <c r="W4104" s="28"/>
      <c r="X4104" s="28">
        <v>4571000</v>
      </c>
      <c r="Y4104" s="28">
        <v>8785189000</v>
      </c>
      <c r="Z4104" s="28">
        <v>741215000</v>
      </c>
      <c r="AA4104" s="28"/>
      <c r="AB4104" s="28">
        <v>2311447000</v>
      </c>
      <c r="AC4104" s="28">
        <v>5965966000</v>
      </c>
      <c r="AD4104" s="28">
        <v>2684512000</v>
      </c>
      <c r="AE4104" s="28">
        <v>3401162000</v>
      </c>
      <c r="AF4104" s="28">
        <v>-627319000</v>
      </c>
      <c r="AG4104" s="11"/>
    </row>
    <row r="4105">
      <c r="A4105" s="7" t="s">
        <v>5757</v>
      </c>
      <c r="B4105" s="5" t="s">
        <v>13716</v>
      </c>
      <c r="C4105" s="5" t="s">
        <v>21485</v>
      </c>
      <c r="D4105" s="5" t="str">
        <v>526011086078</v>
      </c>
      <c r="E4105" s="0" t="e">
        <f>+7 (831) 2578714
+7 (951) 9155775
+7 (495) 4115189
+7 (495) 5106260
+7 (831) 2436702
+7 (831) 2505000
+7 (831) 2578700
+7 (831) 2578718
+7 (831) 2578721
+7 (831) 2578733
+7 (831) 2578777
+7 (831) 2578777
+7 (83146) 90736</f>
        <v>#NAME?</v>
      </c>
      <c r="F4105" s="5" t="s">
        <v>37630</v>
      </c>
      <c r="G4105" s="5" t="s">
        <v>37631</v>
      </c>
      <c r="H4105" s="26">
        <v>27</v>
      </c>
      <c r="I4105" s="5"/>
      <c r="J4105" s="5" t="s">
        <v>37632</v>
      </c>
      <c r="K4105" s="5" t="s">
        <v>344</v>
      </c>
      <c r="L4105" s="5"/>
      <c r="M4105" s="27"/>
      <c r="N4105" s="5" t="s">
        <v>55684</v>
      </c>
      <c r="O4105" s="5" t="str">
        <v>5262045537</v>
      </c>
      <c r="P4105" s="27">
        <v>214600</v>
      </c>
      <c r="Q4105" s="5" t="s">
        <v>55685</v>
      </c>
      <c r="R4105" s="5"/>
      <c r="S4105" s="5" t="s">
        <v>55686</v>
      </c>
      <c r="T4105" s="28">
        <v>519206000</v>
      </c>
      <c r="U4105" s="28">
        <v>234800000</v>
      </c>
      <c r="V4105" s="28">
        <v>1166498000</v>
      </c>
      <c r="W4105" s="28"/>
      <c r="X4105" s="28">
        <v>724965000</v>
      </c>
      <c r="Y4105" s="28">
        <v>4250623000</v>
      </c>
      <c r="Z4105" s="28">
        <v>3178975000</v>
      </c>
      <c r="AA4105" s="28"/>
      <c r="AB4105" s="28">
        <v>10000</v>
      </c>
      <c r="AC4105" s="28">
        <v>906621000</v>
      </c>
      <c r="AD4105" s="28">
        <v>3179223000</v>
      </c>
      <c r="AE4105" s="28">
        <v>5762733000</v>
      </c>
      <c r="AF4105" s="28">
        <v>2440462000</v>
      </c>
      <c r="AG4105" s="11"/>
    </row>
    <row r="4106">
      <c r="A4106" s="7" t="s">
        <v>5758</v>
      </c>
      <c r="B4106" s="5" t="s">
        <v>13717</v>
      </c>
      <c r="C4106" s="5" t="s">
        <v>21486</v>
      </c>
      <c r="D4106" s="5" t="str">
        <v>526209839596</v>
      </c>
      <c r="E4106" s="0" t="e">
        <f>+7 (831) 2751035
+7 (831) 6021901
+7 (903) 6021901</f>
        <v>#NAME?</v>
      </c>
      <c r="F4106" s="5" t="s">
        <v>37633</v>
      </c>
      <c r="G4106" s="5"/>
      <c r="H4106" s="26">
        <v>9</v>
      </c>
      <c r="I4106" s="5" t="s">
        <v>37634</v>
      </c>
      <c r="J4106" s="5" t="s">
        <v>26767</v>
      </c>
      <c r="K4106" s="5" t="s">
        <v>344</v>
      </c>
      <c r="L4106" s="5" t="s">
        <v>37635</v>
      </c>
      <c r="M4106" s="27"/>
      <c r="N4106" s="5" t="s">
        <v>55687</v>
      </c>
      <c r="O4106" s="5" t="str">
        <v>5261089669</v>
      </c>
      <c r="P4106" s="27">
        <v>10000</v>
      </c>
      <c r="Q4106" s="5" t="s">
        <v>49219</v>
      </c>
      <c r="R4106" s="5"/>
      <c r="S4106" s="5" t="s">
        <v>55688</v>
      </c>
      <c r="T4106" s="28">
        <v>5691000</v>
      </c>
      <c r="U4106" s="28">
        <v>40000</v>
      </c>
      <c r="V4106" s="28">
        <v>1192674000</v>
      </c>
      <c r="W4106" s="28"/>
      <c r="X4106" s="28">
        <v>573141000</v>
      </c>
      <c r="Y4106" s="28">
        <v>1822448000</v>
      </c>
      <c r="Z4106" s="28">
        <v>1386155000</v>
      </c>
      <c r="AA4106" s="28"/>
      <c r="AB4106" s="28"/>
      <c r="AC4106" s="28">
        <v>436004000</v>
      </c>
      <c r="AD4106" s="28">
        <v>1386165000</v>
      </c>
      <c r="AE4106" s="28">
        <v>3619774000</v>
      </c>
      <c r="AF4106" s="28">
        <v>641650000</v>
      </c>
      <c r="AG4106" s="11"/>
    </row>
    <row r="4107">
      <c r="A4107" s="7" t="s">
        <v>5759</v>
      </c>
      <c r="B4107" s="5" t="s">
        <v>13718</v>
      </c>
      <c r="C4107" s="5" t="s">
        <v>21487</v>
      </c>
      <c r="D4107" s="5" t="str">
        <v>540629179351</v>
      </c>
      <c r="F4107" s="5" t="s">
        <v>37636</v>
      </c>
      <c r="G4107" s="5" t="s">
        <v>37637</v>
      </c>
      <c r="H4107" s="26">
        <v>18.5</v>
      </c>
      <c r="I4107" s="5"/>
      <c r="J4107" s="5" t="s">
        <v>373</v>
      </c>
      <c r="K4107" s="5" t="s">
        <v>344</v>
      </c>
      <c r="L4107" s="5" t="s">
        <v>37638</v>
      </c>
      <c r="M4107" s="27"/>
      <c r="N4107" s="5" t="s">
        <v>55689</v>
      </c>
      <c r="O4107" s="5" t="str">
        <v>7707530340</v>
      </c>
      <c r="P4107" s="27">
        <v>10000</v>
      </c>
      <c r="Q4107" s="5" t="s">
        <v>55690</v>
      </c>
      <c r="R4107" s="5"/>
      <c r="S4107" s="5" t="s">
        <v>49358</v>
      </c>
      <c r="T4107" s="28"/>
      <c r="U4107" s="28">
        <v>1413500000</v>
      </c>
      <c r="V4107" s="28">
        <v>1333125000</v>
      </c>
      <c r="W4107" s="28">
        <v>500000000</v>
      </c>
      <c r="X4107" s="28">
        <v>387290000</v>
      </c>
      <c r="Y4107" s="28">
        <v>3946654000</v>
      </c>
      <c r="Z4107" s="28">
        <v>2212171000</v>
      </c>
      <c r="AA4107" s="28">
        <v>870870000</v>
      </c>
      <c r="AB4107" s="28">
        <v>150328000</v>
      </c>
      <c r="AC4107" s="28">
        <v>863602000</v>
      </c>
      <c r="AD4107" s="28">
        <v>2212182000</v>
      </c>
      <c r="AE4107" s="28">
        <v>19583676000</v>
      </c>
      <c r="AF4107" s="28">
        <v>1474723000</v>
      </c>
      <c r="AG4107" s="11"/>
    </row>
    <row r="4108">
      <c r="A4108" s="7" t="s">
        <v>5760</v>
      </c>
      <c r="B4108" s="5" t="s">
        <v>13719</v>
      </c>
      <c r="C4108" s="5" t="s">
        <v>21488</v>
      </c>
      <c r="D4108" s="5" t="str">
        <v>781452507655</v>
      </c>
      <c r="E4108" s="0" t="e">
        <f>+7 (812) 3216180
+7 (812) 3255192
+7 (812) 3366180
+7 (812) 3369891</f>
        <v>#NAME?</v>
      </c>
      <c r="F4108" s="5" t="s">
        <v>37639</v>
      </c>
      <c r="G4108" s="5" t="s">
        <v>37640</v>
      </c>
      <c r="H4108" s="26">
        <v>12</v>
      </c>
      <c r="I4108" s="5" t="s">
        <v>37641</v>
      </c>
      <c r="J4108" s="5" t="s">
        <v>27316</v>
      </c>
      <c r="K4108" s="5" t="s">
        <v>344</v>
      </c>
      <c r="L4108" s="5"/>
      <c r="M4108" s="27"/>
      <c r="N4108" s="5"/>
      <c r="O4108" s="5" t="str">
        <v>7814494665</v>
      </c>
      <c r="P4108" s="27">
        <v>500000000</v>
      </c>
      <c r="Q4108" s="5"/>
      <c r="R4108" s="5"/>
      <c r="S4108" s="5" t="s">
        <v>50509</v>
      </c>
      <c r="T4108" s="28">
        <v>4432219000</v>
      </c>
      <c r="U4108" s="28"/>
      <c r="V4108" s="28">
        <v>3394184000</v>
      </c>
      <c r="W4108" s="28"/>
      <c r="X4108" s="28">
        <v>86388000</v>
      </c>
      <c r="Y4108" s="28">
        <v>12662326000</v>
      </c>
      <c r="Z4108" s="28">
        <v>-5934426000</v>
      </c>
      <c r="AA4108" s="28">
        <v>4550000000</v>
      </c>
      <c r="AB4108" s="28">
        <v>1750000000</v>
      </c>
      <c r="AC4108" s="28">
        <v>5594311000</v>
      </c>
      <c r="AD4108" s="28">
        <v>2365574000</v>
      </c>
      <c r="AE4108" s="28">
        <v>8366037000</v>
      </c>
      <c r="AF4108" s="28">
        <v>355037000</v>
      </c>
      <c r="AG4108" s="11"/>
    </row>
    <row r="4109">
      <c r="A4109" s="7" t="s">
        <v>5761</v>
      </c>
      <c r="B4109" s="5" t="s">
        <v>10661</v>
      </c>
      <c r="C4109" s="5" t="s">
        <v>21489</v>
      </c>
      <c r="D4109" s="5" t="str">
        <v>774305682013</v>
      </c>
      <c r="E4109" s="0" t="e">
        <f>+7 (495) 9671268
+7 (495) 9671270</f>
        <v>#NAME?</v>
      </c>
      <c r="F4109" s="5"/>
      <c r="G4109" s="5" t="s">
        <v>37640</v>
      </c>
      <c r="H4109" s="26">
        <v>16</v>
      </c>
      <c r="I4109" s="5" t="s">
        <v>37642</v>
      </c>
      <c r="J4109" s="5" t="s">
        <v>25429</v>
      </c>
      <c r="K4109" s="5" t="s">
        <v>355</v>
      </c>
      <c r="L4109" s="5"/>
      <c r="M4109" s="27"/>
      <c r="N4109" s="5"/>
      <c r="O4109" s="5" t="str">
        <v>7705772224</v>
      </c>
      <c r="P4109" s="27">
        <v>20000000</v>
      </c>
      <c r="Q4109" s="5" t="s">
        <v>55691</v>
      </c>
      <c r="R4109" s="5"/>
      <c r="S4109" s="5" t="s">
        <v>49089</v>
      </c>
      <c r="T4109" s="28">
        <v>2283663000</v>
      </c>
      <c r="U4109" s="28"/>
      <c r="V4109" s="28">
        <v>24274880000</v>
      </c>
      <c r="W4109" s="28"/>
      <c r="X4109" s="28">
        <v>3274912000</v>
      </c>
      <c r="Y4109" s="28">
        <v>36144355000</v>
      </c>
      <c r="Z4109" s="28">
        <v>-21428158000</v>
      </c>
      <c r="AA4109" s="28">
        <v>4000000000</v>
      </c>
      <c r="AB4109" s="28">
        <v>4874526000</v>
      </c>
      <c r="AC4109" s="28">
        <v>30619963000</v>
      </c>
      <c r="AD4109" s="28">
        <v>168023000</v>
      </c>
      <c r="AE4109" s="28">
        <v>47084791000</v>
      </c>
      <c r="AF4109" s="28">
        <v>-846966000</v>
      </c>
      <c r="AG4109" s="11"/>
    </row>
    <row r="4110">
      <c r="A4110" s="7" t="s">
        <v>5762</v>
      </c>
      <c r="B4110" s="5" t="s">
        <v>13720</v>
      </c>
      <c r="C4110" s="5"/>
      <c r="D4110" s="5"/>
      <c r="E4110" s="0" t="e">
        <f>+7 (36564) 30506
+7 (978) 490010
+7 (36564) 31130
+7 (36564) 32283
+7 (865) 6431130
+7 (978) 8020040</f>
        <v>#NAME?</v>
      </c>
      <c r="F4110" s="5" t="s">
        <v>37643</v>
      </c>
      <c r="G4110" s="5"/>
      <c r="H4110" s="26">
        <v>26</v>
      </c>
      <c r="I4110" s="5"/>
      <c r="J4110" s="5" t="s">
        <v>25231</v>
      </c>
      <c r="K4110" s="5" t="s">
        <v>344</v>
      </c>
      <c r="L4110" s="5"/>
      <c r="M4110" s="27"/>
      <c r="N4110" s="5" t="s">
        <v>55692</v>
      </c>
      <c r="O4110" s="5" t="str">
        <v>9105002604</v>
      </c>
      <c r="P4110" s="27">
        <v>622093606</v>
      </c>
      <c r="Q4110" s="5" t="s">
        <v>55693</v>
      </c>
      <c r="R4110" s="5" t="s">
        <v>55694</v>
      </c>
      <c r="S4110" s="5" t="s">
        <v>49379</v>
      </c>
      <c r="T4110" s="28">
        <v>1772442000</v>
      </c>
      <c r="U4110" s="28">
        <v>390000</v>
      </c>
      <c r="V4110" s="28">
        <v>593587000</v>
      </c>
      <c r="W4110" s="28"/>
      <c r="X4110" s="28">
        <v>62994000</v>
      </c>
      <c r="Y4110" s="28">
        <v>3456409000</v>
      </c>
      <c r="Z4110" s="28">
        <v>329431000</v>
      </c>
      <c r="AA4110" s="28">
        <v>725338000</v>
      </c>
      <c r="AB4110" s="28">
        <v>190626000</v>
      </c>
      <c r="AC4110" s="28">
        <v>1288466000</v>
      </c>
      <c r="AD4110" s="28">
        <v>1235835000</v>
      </c>
      <c r="AE4110" s="28">
        <v>5691236000</v>
      </c>
      <c r="AF4110" s="28">
        <v>79627000</v>
      </c>
      <c r="AG4110" s="11"/>
    </row>
    <row r="4111">
      <c r="A4111" s="7" t="s">
        <v>5763</v>
      </c>
      <c r="B4111" s="5" t="s">
        <v>13721</v>
      </c>
      <c r="C4111" s="5" t="s">
        <v>21490</v>
      </c>
      <c r="D4111" s="5" t="str">
        <v>860220015147</v>
      </c>
      <c r="E4111" s="0" t="e">
        <f>+7 (3512) 455112
+7 (3512) 455113
+7 (844) 2224205
+7 (8632) 67401</f>
        <v>#NAME?</v>
      </c>
      <c r="F4111" s="5" t="s">
        <v>37644</v>
      </c>
      <c r="G4111" s="5" t="s">
        <v>37645</v>
      </c>
      <c r="H4111" s="26">
        <v>16.5</v>
      </c>
      <c r="I4111" s="5" t="s">
        <v>37646</v>
      </c>
      <c r="J4111" s="5" t="s">
        <v>27115</v>
      </c>
      <c r="K4111" s="5" t="s">
        <v>355</v>
      </c>
      <c r="L4111" s="5"/>
      <c r="M4111" s="27">
        <v>9575</v>
      </c>
      <c r="N4111" s="5" t="s">
        <v>55695</v>
      </c>
      <c r="O4111" s="5" t="str">
        <v>8911022317</v>
      </c>
      <c r="P4111" s="27">
        <v>1066382000</v>
      </c>
      <c r="Q4111" s="5" t="s">
        <v>49057</v>
      </c>
      <c r="R4111" s="5"/>
      <c r="S4111" s="5" t="s">
        <v>55696</v>
      </c>
      <c r="T4111" s="28">
        <v>2206593000</v>
      </c>
      <c r="U4111" s="28">
        <v>20000</v>
      </c>
      <c r="V4111" s="28">
        <v>118759000</v>
      </c>
      <c r="W4111" s="28"/>
      <c r="X4111" s="28">
        <v>58338000</v>
      </c>
      <c r="Y4111" s="28">
        <v>2939477000</v>
      </c>
      <c r="Z4111" s="28">
        <v>-718346000</v>
      </c>
      <c r="AA4111" s="28">
        <v>1830000000</v>
      </c>
      <c r="AB4111" s="28"/>
      <c r="AC4111" s="28">
        <v>674240000</v>
      </c>
      <c r="AD4111" s="28">
        <v>348036000</v>
      </c>
      <c r="AE4111" s="28">
        <v>6121654000</v>
      </c>
      <c r="AF4111" s="28">
        <v>-173167000</v>
      </c>
      <c r="AG4111" s="11"/>
    </row>
    <row r="4112">
      <c r="A4112" s="7" t="s">
        <v>5764</v>
      </c>
      <c r="B4112" s="5" t="s">
        <v>13722</v>
      </c>
      <c r="C4112" s="5" t="s">
        <v>21491</v>
      </c>
      <c r="D4112" s="5" t="str">
        <v>770903731929</v>
      </c>
      <c r="E4112" s="0" t="e">
        <f>+7 (495) 7306000
+7 (495) 7306008</f>
        <v>#NAME?</v>
      </c>
      <c r="F4112" s="5"/>
      <c r="G4112" s="5"/>
      <c r="H4112" s="26">
        <v>10</v>
      </c>
      <c r="I4112" s="5" t="s">
        <v>37647</v>
      </c>
      <c r="J4112" s="5" t="s">
        <v>373</v>
      </c>
      <c r="K4112" s="5" t="s">
        <v>344</v>
      </c>
      <c r="L4112" s="5" t="s">
        <v>31297</v>
      </c>
      <c r="M4112" s="27"/>
      <c r="N4112" s="5" t="s">
        <v>55697</v>
      </c>
      <c r="O4112" s="5" t="str">
        <v>7729728577</v>
      </c>
      <c r="P4112" s="27">
        <v>540000000</v>
      </c>
      <c r="Q4112" s="5"/>
      <c r="R4112" s="5"/>
      <c r="S4112" s="5" t="s">
        <v>49496</v>
      </c>
      <c r="T4112" s="28">
        <v>123000</v>
      </c>
      <c r="U4112" s="28">
        <v>139128000</v>
      </c>
      <c r="V4112" s="28">
        <v>11723605000</v>
      </c>
      <c r="W4112" s="28"/>
      <c r="X4112" s="28">
        <v>15919000</v>
      </c>
      <c r="Y4112" s="28">
        <v>11888943000</v>
      </c>
      <c r="Z4112" s="28">
        <v>1965380000</v>
      </c>
      <c r="AA4112" s="28">
        <v>6991583000</v>
      </c>
      <c r="AB4112" s="28"/>
      <c r="AC4112" s="28">
        <v>2386088000</v>
      </c>
      <c r="AD4112" s="28">
        <v>2505380000</v>
      </c>
      <c r="AE4112" s="28">
        <v>63840413000</v>
      </c>
      <c r="AF4112" s="28">
        <v>416225000</v>
      </c>
      <c r="AG4112" s="11"/>
    </row>
    <row r="4113">
      <c r="A4113" s="7" t="s">
        <v>5765</v>
      </c>
      <c r="B4113" s="5" t="s">
        <v>13723</v>
      </c>
      <c r="C4113" s="5" t="s">
        <v>21492</v>
      </c>
      <c r="D4113" s="5" t="str">
        <v>143521768420</v>
      </c>
      <c r="E4113" s="0" t="e">
        <f>+7 (345) 2456580
+7 (345) 2456963
+7 (345) 2631824
+7 (345) 2680300
+7 (345) 2680304
+7 (345) 2680307
+7 (345) 2680333</f>
        <v>#NAME?</v>
      </c>
      <c r="F4113" s="5" t="s">
        <v>37648</v>
      </c>
      <c r="G4113" s="5"/>
      <c r="H4113" s="26">
        <v>13</v>
      </c>
      <c r="I4113" s="5" t="s">
        <v>37649</v>
      </c>
      <c r="J4113" s="5" t="s">
        <v>27806</v>
      </c>
      <c r="K4113" s="5" t="s">
        <v>380</v>
      </c>
      <c r="L4113" s="5"/>
      <c r="M4113" s="27"/>
      <c r="N4113" s="5"/>
      <c r="O4113" s="5" t="str">
        <v>7204151850</v>
      </c>
      <c r="P4113" s="27">
        <v>903970000</v>
      </c>
      <c r="Q4113" s="5" t="s">
        <v>55698</v>
      </c>
      <c r="R4113" s="5"/>
      <c r="S4113" s="5" t="s">
        <v>50378</v>
      </c>
      <c r="T4113" s="28">
        <v>6955508000</v>
      </c>
      <c r="U4113" s="28"/>
      <c r="V4113" s="28">
        <v>2134450000</v>
      </c>
      <c r="W4113" s="28">
        <v>437000</v>
      </c>
      <c r="X4113" s="28">
        <v>24000</v>
      </c>
      <c r="Y4113" s="28">
        <v>10562464000</v>
      </c>
      <c r="Z4113" s="28">
        <v>255353000</v>
      </c>
      <c r="AA4113" s="28">
        <v>8306745000</v>
      </c>
      <c r="AB4113" s="28"/>
      <c r="AC4113" s="28">
        <v>884037000</v>
      </c>
      <c r="AD4113" s="28">
        <v>1159323000</v>
      </c>
      <c r="AE4113" s="28">
        <v>5210594000</v>
      </c>
      <c r="AF4113" s="28">
        <v>-816236000</v>
      </c>
      <c r="AG4113" s="11"/>
    </row>
    <row r="4114">
      <c r="A4114" s="7" t="s">
        <v>5766</v>
      </c>
      <c r="B4114" s="5" t="s">
        <v>13724</v>
      </c>
      <c r="C4114" s="5" t="s">
        <v>21493</v>
      </c>
      <c r="D4114" s="5" t="str">
        <v>773600432474</v>
      </c>
      <c r="E4114" s="0" t="e">
        <f>+7 (494) 2371059
+7 (345) 9724479
+7 (34997) 24479
+7 (34997) 24707
+7 (34997) 24951
+7 (34997) 65365
+7 (495) 7212248
+7 (495) 7212253
+7 (495) 7212273
+7 (495) 7212288
+7 (495) 7306000
+7 (495) 7306007
+7 (495) 7306013
+7 (916) 6422341</f>
        <v>#NAME?</v>
      </c>
      <c r="F4114" s="5" t="s">
        <v>37650</v>
      </c>
      <c r="G4114" s="5" t="s">
        <v>37651</v>
      </c>
      <c r="H4114" s="26">
        <v>28.5</v>
      </c>
      <c r="I4114" s="5"/>
      <c r="J4114" s="5" t="s">
        <v>373</v>
      </c>
      <c r="K4114" s="5" t="s">
        <v>344</v>
      </c>
      <c r="L4114" s="5"/>
      <c r="M4114" s="27"/>
      <c r="N4114" s="5" t="s">
        <v>55699</v>
      </c>
      <c r="O4114" s="5" t="str">
        <v>6316031581</v>
      </c>
      <c r="P4114" s="27">
        <v>303631000</v>
      </c>
      <c r="Q4114" s="5" t="s">
        <v>55700</v>
      </c>
      <c r="R4114" s="5"/>
      <c r="S4114" s="5" t="s">
        <v>55701</v>
      </c>
      <c r="T4114" s="28">
        <v>10843585000</v>
      </c>
      <c r="U4114" s="28">
        <v>793848454000</v>
      </c>
      <c r="V4114" s="28">
        <v>848191408000</v>
      </c>
      <c r="W4114" s="28">
        <v>48338002000</v>
      </c>
      <c r="X4114" s="28">
        <v>66167110000</v>
      </c>
      <c r="Y4114" s="28">
        <v>1781796581000</v>
      </c>
      <c r="Z4114" s="28">
        <v>1513677425000</v>
      </c>
      <c r="AA4114" s="28">
        <v>85821042000</v>
      </c>
      <c r="AB4114" s="28">
        <v>21913269000</v>
      </c>
      <c r="AC4114" s="28">
        <v>151728782000</v>
      </c>
      <c r="AD4114" s="28">
        <v>1539835432000</v>
      </c>
      <c r="AE4114" s="28">
        <v>804688288000</v>
      </c>
      <c r="AF4114" s="28">
        <v>640359587000</v>
      </c>
      <c r="AG4114" s="11"/>
    </row>
    <row r="4115">
      <c r="A4115" s="7" t="s">
        <v>5767</v>
      </c>
      <c r="B4115" s="5" t="s">
        <v>13725</v>
      </c>
      <c r="C4115" s="5" t="s">
        <v>21494</v>
      </c>
      <c r="D4115" s="5" t="str">
        <v>741600478412</v>
      </c>
      <c r="E4115" s="0" t="e">
        <f>+7 (3512) 472848
+7 (3512) 474048
+7 (3512) 474728
+7 (3512) 474827
+7 (351) 2455113
+7 (3512) 161430
+7 (3512) 161457
+7 (3512) 356605
+7 (3512) 453174
+7 (3512) 472828
+7 (3512) 474767
+7 (3512) 474787
+7 (3512) 474822
+7 (3512) 474847
+7 (3512) 474848</f>
        <v>#NAME?</v>
      </c>
      <c r="F4115" s="5" t="s">
        <v>37652</v>
      </c>
      <c r="G4115" s="5" t="s">
        <v>37653</v>
      </c>
      <c r="H4115" s="26">
        <v>12.5</v>
      </c>
      <c r="I4115" s="5" t="s">
        <v>37654</v>
      </c>
      <c r="J4115" s="5" t="s">
        <v>373</v>
      </c>
      <c r="K4115" s="5" t="s">
        <v>344</v>
      </c>
      <c r="L4115" s="5"/>
      <c r="M4115" s="27">
        <v>384491933</v>
      </c>
      <c r="N4115" s="5" t="s">
        <v>55702</v>
      </c>
      <c r="O4115" s="5" t="str">
        <v>7404056114</v>
      </c>
      <c r="P4115" s="27">
        <v>2051421000</v>
      </c>
      <c r="Q4115" s="5" t="s">
        <v>55703</v>
      </c>
      <c r="R4115" s="5"/>
      <c r="S4115" s="5" t="s">
        <v>49204</v>
      </c>
      <c r="T4115" s="28">
        <v>290407000</v>
      </c>
      <c r="U4115" s="28"/>
      <c r="V4115" s="28">
        <v>7326703000</v>
      </c>
      <c r="W4115" s="28">
        <v>1671000</v>
      </c>
      <c r="X4115" s="28">
        <v>582377000</v>
      </c>
      <c r="Y4115" s="28">
        <v>8644706000</v>
      </c>
      <c r="Z4115" s="28">
        <v>331317000</v>
      </c>
      <c r="AA4115" s="28"/>
      <c r="AB4115" s="28"/>
      <c r="AC4115" s="28">
        <v>6242341000</v>
      </c>
      <c r="AD4115" s="28">
        <v>2382738000</v>
      </c>
      <c r="AE4115" s="28">
        <v>69264257000</v>
      </c>
      <c r="AF4115" s="28">
        <v>255156000</v>
      </c>
      <c r="AG4115" s="11"/>
    </row>
    <row r="4116">
      <c r="A4116" s="7" t="s">
        <v>5768</v>
      </c>
      <c r="B4116" s="5" t="s">
        <v>13726</v>
      </c>
      <c r="C4116" s="5" t="s">
        <v>21495</v>
      </c>
      <c r="D4116" s="5" t="str">
        <v>440115226434</v>
      </c>
      <c r="E4116" s="0" t="e">
        <f>+7 (494) 2395241
+7 (494) 2395313
+7 (494) 2395813
+7 (494) 2535752
+7 (494) 2395110
+7 (494) 2395176
+7 (494) 2395181
+7 (494) 2395212
+7 (494) 2395219
+7 (494) 2395230
+7 (494) 2395240
+7 (494) 2395267
+7 (494) 2650290</f>
        <v>#NAME?</v>
      </c>
      <c r="F4116" s="5" t="s">
        <v>37655</v>
      </c>
      <c r="G4116" s="5" t="s">
        <v>37656</v>
      </c>
      <c r="H4116" s="26">
        <v>23</v>
      </c>
      <c r="I4116" s="5" t="s">
        <v>37657</v>
      </c>
      <c r="J4116" s="5" t="s">
        <v>29631</v>
      </c>
      <c r="K4116" s="5" t="s">
        <v>344</v>
      </c>
      <c r="L4116" s="5"/>
      <c r="M4116" s="27"/>
      <c r="N4116" s="5" t="s">
        <v>55704</v>
      </c>
      <c r="O4116" s="5" t="str">
        <v>4401017834</v>
      </c>
      <c r="P4116" s="27">
        <v>10000</v>
      </c>
      <c r="Q4116" s="5" t="s">
        <v>55705</v>
      </c>
      <c r="R4116" s="5"/>
      <c r="S4116" s="5" t="s">
        <v>49660</v>
      </c>
      <c r="T4116" s="28">
        <v>135970000</v>
      </c>
      <c r="U4116" s="28"/>
      <c r="V4116" s="28">
        <v>2703923000</v>
      </c>
      <c r="W4116" s="28">
        <v>2006000</v>
      </c>
      <c r="X4116" s="28">
        <v>7441000</v>
      </c>
      <c r="Y4116" s="28">
        <v>2883268000</v>
      </c>
      <c r="Z4116" s="28">
        <v>2627512000</v>
      </c>
      <c r="AA4116" s="28"/>
      <c r="AB4116" s="28"/>
      <c r="AC4116" s="28">
        <v>260971000</v>
      </c>
      <c r="AD4116" s="28">
        <v>2621895000</v>
      </c>
      <c r="AE4116" s="28">
        <v>15960635000</v>
      </c>
      <c r="AF4116" s="28">
        <v>23017000</v>
      </c>
      <c r="AG4116" s="11"/>
    </row>
    <row r="4117">
      <c r="A4117" s="7" t="s">
        <v>5769</v>
      </c>
      <c r="B4117" s="5" t="s">
        <v>13727</v>
      </c>
      <c r="C4117" s="5" t="s">
        <v>21496</v>
      </c>
      <c r="D4117" s="5" t="str">
        <v>500600069865</v>
      </c>
      <c r="E4117" s="0" t="e">
        <f>+7 (495) 7306000
+7 (815) 2568068
+7 (815) 2568069
+7 (815) 2998000
+7 (81553) 71960</f>
        <v>#NAME?</v>
      </c>
      <c r="F4117" s="5" t="s">
        <v>37658</v>
      </c>
      <c r="G4117" s="5"/>
      <c r="H4117" s="26">
        <v>8</v>
      </c>
      <c r="I4117" s="5" t="s">
        <v>37659</v>
      </c>
      <c r="J4117" s="5" t="s">
        <v>37660</v>
      </c>
      <c r="K4117" s="5" t="s">
        <v>380</v>
      </c>
      <c r="L4117" s="5" t="s">
        <v>37661</v>
      </c>
      <c r="M4117" s="27"/>
      <c r="N4117" s="5"/>
      <c r="O4117" s="5" t="str">
        <v>5112000907</v>
      </c>
      <c r="P4117" s="27">
        <v>1202030000</v>
      </c>
      <c r="Q4117" s="5" t="s">
        <v>55706</v>
      </c>
      <c r="R4117" s="5"/>
      <c r="S4117" s="5" t="s">
        <v>55707</v>
      </c>
      <c r="T4117" s="28">
        <v>201274641000</v>
      </c>
      <c r="U4117" s="28"/>
      <c r="V4117" s="28">
        <v>3189562000</v>
      </c>
      <c r="W4117" s="28"/>
      <c r="X4117" s="28">
        <v>24000</v>
      </c>
      <c r="Y4117" s="28">
        <v>206233045000</v>
      </c>
      <c r="Z4117" s="28">
        <v>16375222000</v>
      </c>
      <c r="AA4117" s="28">
        <v>168165988000</v>
      </c>
      <c r="AB4117" s="28"/>
      <c r="AC4117" s="28">
        <v>4862561000</v>
      </c>
      <c r="AD4117" s="28">
        <v>27394222000</v>
      </c>
      <c r="AE4117" s="28">
        <v>21772274000</v>
      </c>
      <c r="AF4117" s="28">
        <v>11489531000</v>
      </c>
      <c r="AG4117" s="11"/>
    </row>
    <row r="4118">
      <c r="A4118" s="7" t="s">
        <v>5770</v>
      </c>
      <c r="B4118" s="5" t="s">
        <v>13728</v>
      </c>
      <c r="C4118" s="5" t="s">
        <v>21497</v>
      </c>
      <c r="D4118" s="5" t="str">
        <v>683101017701</v>
      </c>
      <c r="E4118" s="0" t="e">
        <f>+7 (342) 2115036
+7 (3422) 593841
+7 (3422) 595548</f>
        <v>#NAME?</v>
      </c>
      <c r="F4118" s="5" t="s">
        <v>37662</v>
      </c>
      <c r="G4118" s="5" t="s">
        <v>37663</v>
      </c>
      <c r="H4118" s="26">
        <v>12.5</v>
      </c>
      <c r="I4118" s="5" t="s">
        <v>37664</v>
      </c>
      <c r="J4118" s="5" t="s">
        <v>373</v>
      </c>
      <c r="K4118" s="5" t="s">
        <v>344</v>
      </c>
      <c r="L4118" s="5"/>
      <c r="M4118" s="27"/>
      <c r="N4118" s="5" t="s">
        <v>55708</v>
      </c>
      <c r="O4118" s="5" t="str">
        <v>5904230529</v>
      </c>
      <c r="P4118" s="27">
        <v>27000000</v>
      </c>
      <c r="Q4118" s="5"/>
      <c r="R4118" s="5"/>
      <c r="S4118" s="5" t="s">
        <v>49110</v>
      </c>
      <c r="T4118" s="28">
        <v>632000</v>
      </c>
      <c r="U4118" s="28"/>
      <c r="V4118" s="28">
        <v>5457030000</v>
      </c>
      <c r="W4118" s="28"/>
      <c r="X4118" s="28">
        <v>23181000</v>
      </c>
      <c r="Y4118" s="28">
        <v>5493666000</v>
      </c>
      <c r="Z4118" s="28">
        <v>5255423000</v>
      </c>
      <c r="AA4118" s="28"/>
      <c r="AB4118" s="28"/>
      <c r="AC4118" s="28">
        <v>211223000</v>
      </c>
      <c r="AD4118" s="28">
        <v>5282423000</v>
      </c>
      <c r="AE4118" s="28">
        <v>17622479000</v>
      </c>
      <c r="AF4118" s="28">
        <v>38055000</v>
      </c>
      <c r="AG4118" s="11"/>
    </row>
    <row r="4119">
      <c r="A4119" s="7" t="s">
        <v>5771</v>
      </c>
      <c r="B4119" s="5" t="s">
        <v>13729</v>
      </c>
      <c r="C4119" s="5" t="s">
        <v>21498</v>
      </c>
      <c r="D4119" s="5" t="str">
        <v>720600707160</v>
      </c>
      <c r="E4119" s="0" t="e">
        <f>+7 (34997) 24479
+7 (34997) 24951
+7 (34997) 46109
+7 (34997) 46300
+7 (34997) 46464
+7 (34997) 46486</f>
        <v>#NAME?</v>
      </c>
      <c r="F4119" s="5" t="s">
        <v>37665</v>
      </c>
      <c r="G4119" s="5"/>
      <c r="H4119" s="26">
        <v>18.5</v>
      </c>
      <c r="I4119" s="5" t="s">
        <v>37666</v>
      </c>
      <c r="J4119" s="5" t="s">
        <v>555</v>
      </c>
      <c r="K4119" s="5" t="s">
        <v>344</v>
      </c>
      <c r="L4119" s="5" t="s">
        <v>37667</v>
      </c>
      <c r="M4119" s="27"/>
      <c r="N4119" s="5" t="s">
        <v>49923</v>
      </c>
      <c r="O4119" s="5" t="str">
        <v>8911020197</v>
      </c>
      <c r="P4119" s="27">
        <v>12705336000</v>
      </c>
      <c r="Q4119" s="5" t="s">
        <v>55709</v>
      </c>
      <c r="R4119" s="5"/>
      <c r="S4119" s="5" t="s">
        <v>51023</v>
      </c>
      <c r="T4119" s="28">
        <v>8368710000</v>
      </c>
      <c r="U4119" s="28"/>
      <c r="V4119" s="28">
        <v>15850750000</v>
      </c>
      <c r="W4119" s="28">
        <v>1673000</v>
      </c>
      <c r="X4119" s="28">
        <v>3140000</v>
      </c>
      <c r="Y4119" s="28">
        <v>24757118000</v>
      </c>
      <c r="Z4119" s="28">
        <v>4953509000</v>
      </c>
      <c r="AA4119" s="28"/>
      <c r="AB4119" s="28"/>
      <c r="AC4119" s="28">
        <v>6409309000</v>
      </c>
      <c r="AD4119" s="28">
        <v>17658845000</v>
      </c>
      <c r="AE4119" s="28">
        <v>18361782000</v>
      </c>
      <c r="AF4119" s="28">
        <v>10361701000</v>
      </c>
      <c r="AG4119" s="11"/>
    </row>
    <row r="4120">
      <c r="A4120" s="7" t="s">
        <v>5772</v>
      </c>
      <c r="B4120" s="5" t="s">
        <v>13730</v>
      </c>
      <c r="C4120" s="5" t="s">
        <v>21499</v>
      </c>
      <c r="D4120" s="5" t="str">
        <v>120301787394</v>
      </c>
      <c r="E4120" s="0" t="e">
        <f>+7 (34997) 45049
+7 (34997) 21747
+7 (34997) 22661
+7 (34997) 25002
+7 (34997) 25369
+7 (34997) 45000
+7 (34997) 45001
+7 (499) 2387809</f>
        <v>#NAME?</v>
      </c>
      <c r="F4120" s="5" t="s">
        <v>37668</v>
      </c>
      <c r="G4120" s="5"/>
      <c r="H4120" s="26">
        <v>29</v>
      </c>
      <c r="I4120" s="5" t="s">
        <v>37669</v>
      </c>
      <c r="J4120" s="5" t="s">
        <v>27129</v>
      </c>
      <c r="K4120" s="5" t="s">
        <v>344</v>
      </c>
      <c r="L4120" s="5" t="s">
        <v>37670</v>
      </c>
      <c r="M4120" s="27">
        <v>86328825</v>
      </c>
      <c r="N4120" s="5" t="s">
        <v>55710</v>
      </c>
      <c r="O4120" s="5" t="str">
        <v>8911020768</v>
      </c>
      <c r="P4120" s="27">
        <v>11400227370</v>
      </c>
      <c r="Q4120" s="5" t="s">
        <v>55711</v>
      </c>
      <c r="R4120" s="5"/>
      <c r="S4120" s="5" t="s">
        <v>55712</v>
      </c>
      <c r="T4120" s="28">
        <v>190878219000</v>
      </c>
      <c r="U4120" s="28">
        <v>400000</v>
      </c>
      <c r="V4120" s="28">
        <v>16907925000</v>
      </c>
      <c r="W4120" s="28">
        <v>124000</v>
      </c>
      <c r="X4120" s="28">
        <v>7294000</v>
      </c>
      <c r="Y4120" s="28">
        <v>217342516000</v>
      </c>
      <c r="Z4120" s="28">
        <v>101394353000</v>
      </c>
      <c r="AA4120" s="28">
        <v>12735317000</v>
      </c>
      <c r="AB4120" s="28">
        <v>52932015000</v>
      </c>
      <c r="AC4120" s="28">
        <v>79378655000</v>
      </c>
      <c r="AD4120" s="28">
        <v>113378154000</v>
      </c>
      <c r="AE4120" s="28">
        <v>169897003000</v>
      </c>
      <c r="AF4120" s="28">
        <v>7290187000</v>
      </c>
      <c r="AG4120" s="11"/>
    </row>
    <row r="4121">
      <c r="A4121" s="7" t="s">
        <v>5773</v>
      </c>
      <c r="B4121" s="5" t="s">
        <v>13731</v>
      </c>
      <c r="C4121" s="5" t="s">
        <v>21500</v>
      </c>
      <c r="D4121" s="5" t="str">
        <v>323211215925</v>
      </c>
      <c r="E4121" s="0" t="e">
        <f>+7 (812) 3325987
+7 (812) 3392034
+7 (812) 6471515
+7 (81375) 40426
+7 (81375) 61001</f>
        <v>#NAME?</v>
      </c>
      <c r="F4121" s="5" t="s">
        <v>37671</v>
      </c>
      <c r="G4121" s="5"/>
      <c r="H4121" s="26">
        <v>15.5</v>
      </c>
      <c r="I4121" s="5" t="s">
        <v>37672</v>
      </c>
      <c r="J4121" s="5" t="s">
        <v>555</v>
      </c>
      <c r="K4121" s="5" t="s">
        <v>344</v>
      </c>
      <c r="L4121" s="5" t="s">
        <v>37673</v>
      </c>
      <c r="M4121" s="27">
        <v>103476</v>
      </c>
      <c r="N4121" s="5"/>
      <c r="O4121" s="5" t="str">
        <v>4707026057</v>
      </c>
      <c r="P4121" s="27">
        <v>5920010000</v>
      </c>
      <c r="Q4121" s="5" t="s">
        <v>55713</v>
      </c>
      <c r="R4121" s="5"/>
      <c r="S4121" s="5" t="s">
        <v>53805</v>
      </c>
      <c r="T4121" s="28">
        <v>62548360000</v>
      </c>
      <c r="U4121" s="28"/>
      <c r="V4121" s="28">
        <v>79513586000</v>
      </c>
      <c r="W4121" s="28">
        <v>35645425000</v>
      </c>
      <c r="X4121" s="28">
        <v>5548651000</v>
      </c>
      <c r="Y4121" s="28">
        <v>192813214000</v>
      </c>
      <c r="Z4121" s="28">
        <v>27808081000</v>
      </c>
      <c r="AA4121" s="28"/>
      <c r="AB4121" s="28">
        <v>455000000</v>
      </c>
      <c r="AC4121" s="28">
        <v>158311744000</v>
      </c>
      <c r="AD4121" s="28">
        <v>34031091000</v>
      </c>
      <c r="AE4121" s="28">
        <v>366966227000</v>
      </c>
      <c r="AF4121" s="28">
        <v>28039053000</v>
      </c>
      <c r="AG4121" s="11"/>
    </row>
    <row r="4122">
      <c r="A4122" s="7" t="s">
        <v>5774</v>
      </c>
      <c r="B4122" s="5" t="s">
        <v>13732</v>
      </c>
      <c r="C4122" s="5" t="s">
        <v>21501</v>
      </c>
      <c r="D4122" s="5" t="str">
        <v>631603849440</v>
      </c>
      <c r="E4122" s="0" t="e">
        <f>+7 (34997) 24447
+7 (34997) 25906
+7 (34997) 46250
+7 (34997) 46255
+7 (34997) 46280</f>
        <v>#NAME?</v>
      </c>
      <c r="F4122" s="5" t="s">
        <v>37674</v>
      </c>
      <c r="G4122" s="5" t="s">
        <v>37675</v>
      </c>
      <c r="H4122" s="26">
        <v>20</v>
      </c>
      <c r="I4122" s="5" t="s">
        <v>37676</v>
      </c>
      <c r="J4122" s="5" t="s">
        <v>27640</v>
      </c>
      <c r="K4122" s="5" t="s">
        <v>344</v>
      </c>
      <c r="L4122" s="5" t="s">
        <v>37677</v>
      </c>
      <c r="M4122" s="27"/>
      <c r="N4122" s="5"/>
      <c r="O4122" s="5" t="str">
        <v>8911019219</v>
      </c>
      <c r="P4122" s="27">
        <v>104166000</v>
      </c>
      <c r="Q4122" s="5" t="s">
        <v>55715</v>
      </c>
      <c r="R4122" s="5"/>
      <c r="S4122" s="5" t="s">
        <v>49743</v>
      </c>
      <c r="T4122" s="28">
        <v>580168000</v>
      </c>
      <c r="U4122" s="28"/>
      <c r="V4122" s="28">
        <v>1343846000</v>
      </c>
      <c r="W4122" s="28"/>
      <c r="X4122" s="28">
        <v>331000</v>
      </c>
      <c r="Y4122" s="28">
        <v>2505046000</v>
      </c>
      <c r="Z4122" s="28">
        <v>1146011000</v>
      </c>
      <c r="AA4122" s="28"/>
      <c r="AB4122" s="28"/>
      <c r="AC4122" s="28">
        <v>1139520000</v>
      </c>
      <c r="AD4122" s="28">
        <v>1250177000</v>
      </c>
      <c r="AE4122" s="28">
        <v>5651616000</v>
      </c>
      <c r="AF4122" s="28">
        <v>471713000</v>
      </c>
      <c r="AG4122" s="11"/>
    </row>
    <row r="4123">
      <c r="A4123" s="7" t="s">
        <v>5775</v>
      </c>
      <c r="B4123" s="5" t="s">
        <v>13733</v>
      </c>
      <c r="C4123" s="5" t="s">
        <v>21502</v>
      </c>
      <c r="D4123" s="5" t="str">
        <v>324901785151</v>
      </c>
      <c r="E4123" s="0" t="e">
        <f>+7 (349) 2222213
+7 (3494) 922213
+7 (3494) 922242
+7 (3494) 980181</f>
        <v>#NAME?</v>
      </c>
      <c r="F4123" s="5" t="s">
        <v>37678</v>
      </c>
      <c r="G4123" s="5"/>
      <c r="H4123" s="26">
        <v>24.5</v>
      </c>
      <c r="I4123" s="5" t="s">
        <v>37679</v>
      </c>
      <c r="J4123" s="5" t="s">
        <v>27129</v>
      </c>
      <c r="K4123" s="5" t="s">
        <v>344</v>
      </c>
      <c r="L4123" s="5"/>
      <c r="M4123" s="27">
        <v>32622352</v>
      </c>
      <c r="N4123" s="5"/>
      <c r="O4123" s="5" t="str">
        <v>8903021599</v>
      </c>
      <c r="P4123" s="27">
        <v>24794999085</v>
      </c>
      <c r="Q4123" s="5" t="s">
        <v>55716</v>
      </c>
      <c r="R4123" s="5" t="s">
        <v>51379</v>
      </c>
      <c r="S4123" s="5" t="s">
        <v>55717</v>
      </c>
      <c r="T4123" s="28">
        <v>130266329000</v>
      </c>
      <c r="U4123" s="28">
        <v>1485990000</v>
      </c>
      <c r="V4123" s="28">
        <v>18039161000</v>
      </c>
      <c r="W4123" s="28">
        <v>3488000</v>
      </c>
      <c r="X4123" s="28">
        <v>27392000</v>
      </c>
      <c r="Y4123" s="28">
        <v>164422114000</v>
      </c>
      <c r="Z4123" s="28">
        <v>73628793000</v>
      </c>
      <c r="AA4123" s="28">
        <v>17737000000</v>
      </c>
      <c r="AB4123" s="28"/>
      <c r="AC4123" s="28">
        <v>33815302000</v>
      </c>
      <c r="AD4123" s="28">
        <v>101316871000</v>
      </c>
      <c r="AE4123" s="28">
        <v>279093561000</v>
      </c>
      <c r="AF4123" s="28">
        <v>4652186000</v>
      </c>
      <c r="AG4123" s="11"/>
    </row>
    <row r="4124">
      <c r="A4124" s="7" t="s">
        <v>5776</v>
      </c>
      <c r="B4124" s="5" t="s">
        <v>13734</v>
      </c>
      <c r="C4124" s="5" t="s">
        <v>21503</v>
      </c>
      <c r="D4124" s="5" t="str">
        <v>920157017546</v>
      </c>
      <c r="E4124" s="0" t="e">
        <f>+7 (978) 7329389
+7 (978) 7879051
+7 (978) 8049214
+7 (978) 8603503
+7 (3652) 667626
+7 (3652) 669626
+7 (978) 7331411
+7 (978) 7829249</f>
        <v>#NAME?</v>
      </c>
      <c r="F4124" s="5" t="s">
        <v>37680</v>
      </c>
      <c r="G4124" s="5" t="s">
        <v>37681</v>
      </c>
      <c r="H4124" s="26">
        <v>9</v>
      </c>
      <c r="I4124" s="5" t="s">
        <v>37682</v>
      </c>
      <c r="J4124" s="5" t="s">
        <v>37683</v>
      </c>
      <c r="K4124" s="5" t="s">
        <v>344</v>
      </c>
      <c r="L4124" s="5" t="s">
        <v>37684</v>
      </c>
      <c r="M4124" s="27">
        <v>220598</v>
      </c>
      <c r="N4124" s="5" t="s">
        <v>55718</v>
      </c>
      <c r="O4124" s="5" t="str">
        <v>9102000091</v>
      </c>
      <c r="P4124" s="27">
        <v>100000</v>
      </c>
      <c r="Q4124" s="5" t="s">
        <v>49009</v>
      </c>
      <c r="R4124" s="5"/>
      <c r="S4124" s="5" t="s">
        <v>50230</v>
      </c>
      <c r="T4124" s="28">
        <v>762007000</v>
      </c>
      <c r="U4124" s="28">
        <v>44000000</v>
      </c>
      <c r="V4124" s="28">
        <v>1471584000</v>
      </c>
      <c r="W4124" s="28"/>
      <c r="X4124" s="28">
        <v>125710000</v>
      </c>
      <c r="Y4124" s="28">
        <v>3026535000</v>
      </c>
      <c r="Z4124" s="28">
        <v>2069923000</v>
      </c>
      <c r="AA4124" s="28"/>
      <c r="AB4124" s="28"/>
      <c r="AC4124" s="28">
        <v>746182000</v>
      </c>
      <c r="AD4124" s="28">
        <v>2070023000</v>
      </c>
      <c r="AE4124" s="28">
        <v>8371967000</v>
      </c>
      <c r="AF4124" s="28">
        <v>36731000</v>
      </c>
      <c r="AG4124" s="11"/>
    </row>
    <row r="4125">
      <c r="A4125" s="7" t="s">
        <v>5777</v>
      </c>
      <c r="B4125" s="5" t="s">
        <v>13735</v>
      </c>
      <c r="C4125" s="5" t="s">
        <v>21504</v>
      </c>
      <c r="D4125" s="5" t="str">
        <v>666001659419</v>
      </c>
      <c r="E4125" s="0" t="e">
        <f>+7 (343) 2685585
+7 (3512) 4719
+7 (3517) 417600
+7 (343) 2129000
+7 (343) 2129633
+7 (343) 2315871
+7 (343) 2335796
+7 (343) 2422530
+7 (343) 2424821
+7 (343) 2425893
+7 (343) 2463517
+7 (343) 2464934
+7 (343) 3510085
+7 (343) 3555657</f>
        <v>#NAME?</v>
      </c>
      <c r="F4125" s="5" t="s">
        <v>37685</v>
      </c>
      <c r="G4125" s="5" t="s">
        <v>37686</v>
      </c>
      <c r="H4125" s="26">
        <v>22.5</v>
      </c>
      <c r="I4125" s="5" t="s">
        <v>37687</v>
      </c>
      <c r="J4125" s="5" t="s">
        <v>25349</v>
      </c>
      <c r="K4125" s="5" t="s">
        <v>344</v>
      </c>
      <c r="L4125" s="5" t="s">
        <v>37688</v>
      </c>
      <c r="M4125" s="27">
        <v>235008</v>
      </c>
      <c r="N4125" s="5" t="s">
        <v>55720</v>
      </c>
      <c r="O4125" s="5" t="str">
        <v>6658122658</v>
      </c>
      <c r="P4125" s="27">
        <v>185320</v>
      </c>
      <c r="Q4125" s="5" t="s">
        <v>55721</v>
      </c>
      <c r="R4125" s="5"/>
      <c r="S4125" s="5" t="s">
        <v>52909</v>
      </c>
      <c r="T4125" s="28">
        <v>282275000</v>
      </c>
      <c r="U4125" s="28">
        <v>251106000</v>
      </c>
      <c r="V4125" s="28">
        <v>227669000</v>
      </c>
      <c r="W4125" s="28">
        <v>1663935000</v>
      </c>
      <c r="X4125" s="28">
        <v>14917000</v>
      </c>
      <c r="Y4125" s="28">
        <v>3113736000</v>
      </c>
      <c r="Z4125" s="28">
        <v>2786613000</v>
      </c>
      <c r="AA4125" s="28"/>
      <c r="AB4125" s="28"/>
      <c r="AC4125" s="28">
        <v>247216000</v>
      </c>
      <c r="AD4125" s="28">
        <v>2791113000</v>
      </c>
      <c r="AE4125" s="28">
        <v>3878551000</v>
      </c>
      <c r="AF4125" s="28">
        <v>418373000</v>
      </c>
      <c r="AG4125" s="11"/>
    </row>
    <row r="4126">
      <c r="A4126" s="7" t="s">
        <v>5778</v>
      </c>
      <c r="B4126" s="5" t="s">
        <v>13736</v>
      </c>
      <c r="C4126" s="5" t="s">
        <v>21505</v>
      </c>
      <c r="D4126" s="5" t="str">
        <v>421417488001</v>
      </c>
      <c r="E4126" s="0" t="e">
        <f>+7 (3843) 453534
+7 (3843) 460432
+7 (3843) 461669
+7 (3843) 464233
+7 (3843) 467329
+7 (3843) 537491
+7 (3843) 538102</f>
        <v>#NAME?</v>
      </c>
      <c r="F4126" s="5" t="s">
        <v>37689</v>
      </c>
      <c r="G4126" s="5" t="s">
        <v>37690</v>
      </c>
      <c r="H4126" s="26">
        <v>20</v>
      </c>
      <c r="I4126" s="5" t="s">
        <v>37691</v>
      </c>
      <c r="J4126" s="5" t="s">
        <v>29568</v>
      </c>
      <c r="K4126" s="5" t="s">
        <v>344</v>
      </c>
      <c r="L4126" s="5" t="s">
        <v>28356</v>
      </c>
      <c r="M4126" s="27">
        <v>74658515</v>
      </c>
      <c r="N4126" s="5"/>
      <c r="O4126" s="5" t="str">
        <v>4217055884</v>
      </c>
      <c r="P4126" s="27">
        <v>1000000</v>
      </c>
      <c r="Q4126" s="5"/>
      <c r="R4126" s="5"/>
      <c r="S4126" s="5" t="s">
        <v>49125</v>
      </c>
      <c r="T4126" s="28">
        <v>300133000</v>
      </c>
      <c r="U4126" s="28">
        <v>70000</v>
      </c>
      <c r="V4126" s="28">
        <v>11785515000</v>
      </c>
      <c r="W4126" s="28"/>
      <c r="X4126" s="28">
        <v>3286809000</v>
      </c>
      <c r="Y4126" s="28">
        <v>19840768000</v>
      </c>
      <c r="Z4126" s="28">
        <v>153901000</v>
      </c>
      <c r="AA4126" s="28"/>
      <c r="AB4126" s="28"/>
      <c r="AC4126" s="28">
        <v>19607603000</v>
      </c>
      <c r="AD4126" s="28">
        <v>454901000</v>
      </c>
      <c r="AE4126" s="28">
        <v>44571647000</v>
      </c>
      <c r="AF4126" s="28">
        <v>60736000</v>
      </c>
      <c r="AG4126" s="11"/>
    </row>
    <row r="4127">
      <c r="A4127" s="7" t="s">
        <v>5779</v>
      </c>
      <c r="B4127" s="5" t="s">
        <v>13737</v>
      </c>
      <c r="C4127" s="5" t="s">
        <v>21506</v>
      </c>
      <c r="D4127" s="5" t="str">
        <v>773365114239</v>
      </c>
      <c r="F4127" s="5"/>
      <c r="G4127" s="5" t="s">
        <v>37692</v>
      </c>
      <c r="H4127" s="26">
        <v>14</v>
      </c>
      <c r="I4127" s="5" t="s">
        <v>37693</v>
      </c>
      <c r="J4127" s="5" t="s">
        <v>678</v>
      </c>
      <c r="K4127" s="5" t="s">
        <v>344</v>
      </c>
      <c r="L4127" s="5" t="s">
        <v>37694</v>
      </c>
      <c r="M4127" s="27"/>
      <c r="N4127" s="5" t="s">
        <v>55722</v>
      </c>
      <c r="O4127" s="5" t="str">
        <v>7733691601</v>
      </c>
      <c r="P4127" s="27">
        <v>1000000</v>
      </c>
      <c r="Q4127" s="5" t="s">
        <v>49009</v>
      </c>
      <c r="R4127" s="5" t="s">
        <v>55723</v>
      </c>
      <c r="S4127" s="5" t="s">
        <v>51780</v>
      </c>
      <c r="T4127" s="28">
        <v>1819000</v>
      </c>
      <c r="U4127" s="28"/>
      <c r="V4127" s="28">
        <v>785834000</v>
      </c>
      <c r="W4127" s="28">
        <v>5094000</v>
      </c>
      <c r="X4127" s="28">
        <v>74036000</v>
      </c>
      <c r="Y4127" s="28">
        <v>3204688000</v>
      </c>
      <c r="Z4127" s="28">
        <v>351338000</v>
      </c>
      <c r="AA4127" s="28">
        <v>6300000</v>
      </c>
      <c r="AB4127" s="28">
        <v>200354000</v>
      </c>
      <c r="AC4127" s="28">
        <v>2842667000</v>
      </c>
      <c r="AD4127" s="28">
        <v>355721000</v>
      </c>
      <c r="AE4127" s="28">
        <v>4559785000</v>
      </c>
      <c r="AF4127" s="28">
        <v>7872000</v>
      </c>
      <c r="AG4127" s="11"/>
    </row>
    <row r="4128">
      <c r="A4128" s="7" t="s">
        <v>5780</v>
      </c>
      <c r="B4128" s="5" t="s">
        <v>13738</v>
      </c>
      <c r="C4128" s="5" t="s">
        <v>21507</v>
      </c>
      <c r="D4128" s="5" t="str">
        <v>780611342336</v>
      </c>
      <c r="F4128" s="5"/>
      <c r="G4128" s="5"/>
      <c r="H4128" s="26">
        <v>4.5</v>
      </c>
      <c r="I4128" s="5" t="s">
        <v>37695</v>
      </c>
      <c r="J4128" s="5" t="s">
        <v>26325</v>
      </c>
      <c r="K4128" s="5" t="s">
        <v>344</v>
      </c>
      <c r="L4128" s="5"/>
      <c r="M4128" s="27">
        <v>1918521</v>
      </c>
      <c r="N4128" s="5" t="s">
        <v>49403</v>
      </c>
      <c r="O4128" s="5" t="str">
        <v>7703467384</v>
      </c>
      <c r="P4128" s="27">
        <v>1848000000</v>
      </c>
      <c r="Q4128" s="5" t="s">
        <v>55724</v>
      </c>
      <c r="R4128" s="5"/>
      <c r="S4128" s="5" t="s">
        <v>51937</v>
      </c>
      <c r="T4128" s="28">
        <v>7505686000</v>
      </c>
      <c r="U4128" s="28"/>
      <c r="V4128" s="28">
        <v>497682000</v>
      </c>
      <c r="W4128" s="28"/>
      <c r="X4128" s="28">
        <v>636768000</v>
      </c>
      <c r="Y4128" s="28">
        <v>11359332000</v>
      </c>
      <c r="Z4128" s="28">
        <v>683714000</v>
      </c>
      <c r="AA4128" s="28"/>
      <c r="AB4128" s="28"/>
      <c r="AC4128" s="28">
        <v>631191000</v>
      </c>
      <c r="AD4128" s="28">
        <v>4431714000</v>
      </c>
      <c r="AE4128" s="28">
        <v>4283729000</v>
      </c>
      <c r="AF4128" s="28">
        <v>320719000</v>
      </c>
      <c r="AG4128" s="11"/>
    </row>
    <row r="4129">
      <c r="A4129" s="7" t="s">
        <v>5781</v>
      </c>
      <c r="B4129" s="5" t="s">
        <v>13739</v>
      </c>
      <c r="C4129" s="5" t="s">
        <v>21508</v>
      </c>
      <c r="D4129" s="5" t="str">
        <v>771811325252</v>
      </c>
      <c r="E4129" s="0" t="e">
        <f>+7 (495) 7858435
+7 (49640) 20049
+7 (49640) 20069</f>
        <v>#NAME?</v>
      </c>
      <c r="F4129" s="5" t="s">
        <v>37696</v>
      </c>
      <c r="G4129" s="5" t="s">
        <v>37697</v>
      </c>
      <c r="H4129" s="26">
        <v>21.5</v>
      </c>
      <c r="I4129" s="5"/>
      <c r="J4129" s="5" t="s">
        <v>27464</v>
      </c>
      <c r="K4129" s="5" t="s">
        <v>344</v>
      </c>
      <c r="L4129" s="5"/>
      <c r="M4129" s="27"/>
      <c r="N4129" s="5" t="s">
        <v>55725</v>
      </c>
      <c r="O4129" s="5" t="str">
        <v>7714218220</v>
      </c>
      <c r="P4129" s="27">
        <v>6000000</v>
      </c>
      <c r="Q4129" s="5"/>
      <c r="R4129" s="5"/>
      <c r="S4129" s="5" t="s">
        <v>49399</v>
      </c>
      <c r="T4129" s="28">
        <v>704122000</v>
      </c>
      <c r="U4129" s="28">
        <v>22000</v>
      </c>
      <c r="V4129" s="28">
        <v>438967000</v>
      </c>
      <c r="W4129" s="28"/>
      <c r="X4129" s="28">
        <v>231867000</v>
      </c>
      <c r="Y4129" s="28">
        <v>2096976000</v>
      </c>
      <c r="Z4129" s="28">
        <v>614443000</v>
      </c>
      <c r="AA4129" s="28">
        <v>75580000</v>
      </c>
      <c r="AB4129" s="28">
        <v>58081000</v>
      </c>
      <c r="AC4129" s="28">
        <v>772083000</v>
      </c>
      <c r="AD4129" s="28">
        <v>620792000</v>
      </c>
      <c r="AE4129" s="28">
        <v>4166558000</v>
      </c>
      <c r="AF4129" s="28">
        <v>144772000</v>
      </c>
      <c r="AG4129" s="11"/>
    </row>
    <row r="4130">
      <c r="A4130" s="7" t="s">
        <v>5782</v>
      </c>
      <c r="B4130" s="5" t="s">
        <v>13740</v>
      </c>
      <c r="C4130" s="5" t="s">
        <v>21509</v>
      </c>
      <c r="D4130" s="5" t="str">
        <v>532107655969</v>
      </c>
      <c r="E4130" s="0" t="e">
        <f>+7 (816) 2637170
+7 (817) 2771010
+7 (816) 2172306
+7 (816) 2272306
+7 (816) 2637071
+7 (816) 2731901
+7 (816) 2731902
+7 (816) 2731975
+7 (816) 2771058
+7 (816) 2771180
+7 (816) 2772306
+7 (816) 2772339
+7 (816) 2773154
+7 (816) 2776320
+7 (81666) 21625</f>
        <v>#NAME?</v>
      </c>
      <c r="F4130" s="5" t="s">
        <v>37698</v>
      </c>
      <c r="G4130" s="5" t="s">
        <v>37699</v>
      </c>
      <c r="H4130" s="26">
        <v>30</v>
      </c>
      <c r="I4130" s="5" t="s">
        <v>37700</v>
      </c>
      <c r="J4130" s="5" t="s">
        <v>27115</v>
      </c>
      <c r="K4130" s="5" t="s">
        <v>344</v>
      </c>
      <c r="L4130" s="5" t="s">
        <v>37701</v>
      </c>
      <c r="M4130" s="27"/>
      <c r="N4130" s="5" t="s">
        <v>55726</v>
      </c>
      <c r="O4130" s="5" t="str">
        <v>5321059365</v>
      </c>
      <c r="P4130" s="27">
        <v>300000</v>
      </c>
      <c r="Q4130" s="5" t="s">
        <v>55727</v>
      </c>
      <c r="R4130" s="5"/>
      <c r="S4130" s="5" t="s">
        <v>55728</v>
      </c>
      <c r="T4130" s="28">
        <v>1175683000</v>
      </c>
      <c r="U4130" s="28"/>
      <c r="V4130" s="28">
        <v>55458000</v>
      </c>
      <c r="W4130" s="28"/>
      <c r="X4130" s="28">
        <v>1067710000</v>
      </c>
      <c r="Y4130" s="28">
        <v>2709951000</v>
      </c>
      <c r="Z4130" s="28">
        <v>1723150000</v>
      </c>
      <c r="AA4130" s="28"/>
      <c r="AB4130" s="28"/>
      <c r="AC4130" s="28">
        <v>835098000</v>
      </c>
      <c r="AD4130" s="28">
        <v>1805741000</v>
      </c>
      <c r="AE4130" s="28">
        <v>8015244000</v>
      </c>
      <c r="AF4130" s="28">
        <v>533328000</v>
      </c>
      <c r="AG4130" s="11"/>
    </row>
    <row r="4131">
      <c r="A4131" s="7" t="s">
        <v>5783</v>
      </c>
      <c r="B4131" s="5" t="s">
        <v>13741</v>
      </c>
      <c r="C4131" s="5" t="s">
        <v>21510</v>
      </c>
      <c r="D4131" s="5" t="str">
        <v>532119865738</v>
      </c>
      <c r="E4131" s="0" t="e">
        <f>+7 (851) 2391415
+7 (911) 6057760
+7 (921) 8436650
+7 (816) 2335228
+7 (816) 2624914
+7 (816) 2678333
+7 (816) 2678603
+7 (816) 2782094
+7 (816) 2782095
+7 (816) 2782096
+7 (816) 2782870
+7 (816) 2782871
+7 (81652) 52234
+7 (951) 7217372</f>
        <v>#NAME?</v>
      </c>
      <c r="F4131" s="5" t="s">
        <v>37702</v>
      </c>
      <c r="G4131" s="5" t="s">
        <v>37703</v>
      </c>
      <c r="H4131" s="26">
        <v>16.5</v>
      </c>
      <c r="I4131" s="5" t="s">
        <v>37704</v>
      </c>
      <c r="J4131" s="5" t="s">
        <v>33986</v>
      </c>
      <c r="K4131" s="5" t="s">
        <v>344</v>
      </c>
      <c r="L4131" s="5" t="s">
        <v>37705</v>
      </c>
      <c r="M4131" s="27">
        <v>154500</v>
      </c>
      <c r="N4131" s="5" t="s">
        <v>55729</v>
      </c>
      <c r="O4131" s="5" t="str">
        <v>5321112210</v>
      </c>
      <c r="P4131" s="27">
        <v>400000</v>
      </c>
      <c r="Q4131" s="5"/>
      <c r="R4131" s="5"/>
      <c r="S4131" s="5" t="s">
        <v>49062</v>
      </c>
      <c r="T4131" s="28">
        <v>32567000</v>
      </c>
      <c r="U4131" s="28"/>
      <c r="V4131" s="28">
        <v>561343000</v>
      </c>
      <c r="W4131" s="28">
        <v>26367000</v>
      </c>
      <c r="X4131" s="28">
        <v>40498000</v>
      </c>
      <c r="Y4131" s="28">
        <v>744992000</v>
      </c>
      <c r="Z4131" s="28">
        <v>593314000</v>
      </c>
      <c r="AA4131" s="28"/>
      <c r="AB4131" s="28">
        <v>6563000</v>
      </c>
      <c r="AC4131" s="28">
        <v>145739000</v>
      </c>
      <c r="AD4131" s="28">
        <v>593714000</v>
      </c>
      <c r="AE4131" s="28">
        <v>17234453000</v>
      </c>
      <c r="AF4131" s="28">
        <v>165519000</v>
      </c>
      <c r="AG4131" s="11"/>
    </row>
    <row r="4132">
      <c r="A4132" s="7" t="s">
        <v>5784</v>
      </c>
      <c r="B4132" s="5" t="s">
        <v>13742</v>
      </c>
      <c r="C4132" s="5" t="s">
        <v>21511</v>
      </c>
      <c r="D4132" s="5" t="str">
        <v>532110622434</v>
      </c>
      <c r="E4132" s="0" t="e">
        <f>+7 (816) 2682644
+7 (911) 6015283
+7 (816) 2277159
+7 (816) 2682630
+7 (816) 2682631
+7 (816) 2682671
+7 (816) 2742102
+7 (816) 2746093
+7 (816) 2749716</f>
        <v>#NAME?</v>
      </c>
      <c r="F4132" s="5" t="s">
        <v>37706</v>
      </c>
      <c r="G4132" s="5" t="s">
        <v>37707</v>
      </c>
      <c r="H4132" s="26">
        <v>22.5</v>
      </c>
      <c r="I4132" s="5" t="s">
        <v>37708</v>
      </c>
      <c r="J4132" s="5" t="s">
        <v>25371</v>
      </c>
      <c r="K4132" s="5" t="s">
        <v>344</v>
      </c>
      <c r="L4132" s="5"/>
      <c r="M4132" s="27"/>
      <c r="N4132" s="5" t="s">
        <v>55730</v>
      </c>
      <c r="O4132" s="5" t="str">
        <v>5310010329</v>
      </c>
      <c r="P4132" s="27">
        <v>25076000</v>
      </c>
      <c r="Q4132" s="5" t="s">
        <v>49009</v>
      </c>
      <c r="R4132" s="5" t="s">
        <v>55731</v>
      </c>
      <c r="S4132" s="5" t="s">
        <v>55732</v>
      </c>
      <c r="T4132" s="28">
        <v>2411878000</v>
      </c>
      <c r="U4132" s="28">
        <v>211000</v>
      </c>
      <c r="V4132" s="28">
        <v>510561000</v>
      </c>
      <c r="W4132" s="28"/>
      <c r="X4132" s="28">
        <v>16102000</v>
      </c>
      <c r="Y4132" s="28">
        <v>5085577000</v>
      </c>
      <c r="Z4132" s="28">
        <v>1934633000</v>
      </c>
      <c r="AA4132" s="28">
        <v>23732000</v>
      </c>
      <c r="AB4132" s="28">
        <v>2259889000</v>
      </c>
      <c r="AC4132" s="28">
        <v>2514951000</v>
      </c>
      <c r="AD4132" s="28">
        <v>2063670000</v>
      </c>
      <c r="AE4132" s="28">
        <v>4684801000</v>
      </c>
      <c r="AF4132" s="28">
        <v>32550000</v>
      </c>
      <c r="AG4132" s="11"/>
    </row>
    <row r="4133">
      <c r="A4133" s="7" t="s">
        <v>113</v>
      </c>
      <c r="B4133" s="5" t="s">
        <v>13743</v>
      </c>
      <c r="C4133" s="5" t="s">
        <v>21512</v>
      </c>
      <c r="D4133" s="5" t="str">
        <v>344107618489</v>
      </c>
      <c r="E4133" s="0" t="e">
        <f>+7 (384) 2657150
+7 (384) 2773040
+7 (816) 2625522
+7 (816) 2703040
+7 (816) 2626367
+7 (816) 2626371
+7 (816) 2626522
+7 (816) 2626538
+7 (816) 2626701
+7 (816) 2773040
+7 (816) 2773070
+7 (816) 2773108
+7 (816) 2775045
+7 (816) 2775238
+7 (816) 2778285</f>
        <v>#NAME?</v>
      </c>
      <c r="F4133" s="5" t="s">
        <v>37709</v>
      </c>
      <c r="G4133" s="5"/>
      <c r="H4133" s="26">
        <v>31</v>
      </c>
      <c r="I4133" s="5"/>
      <c r="J4133" s="5" t="s">
        <v>25429</v>
      </c>
      <c r="K4133" s="5" t="s">
        <v>344</v>
      </c>
      <c r="L4133" s="5" t="s">
        <v>37710</v>
      </c>
      <c r="M4133" s="27">
        <v>262075</v>
      </c>
      <c r="N4133" s="5" t="s">
        <v>55733</v>
      </c>
      <c r="O4133" s="5" t="str">
        <v>5321132777</v>
      </c>
      <c r="P4133" s="27">
        <v>37338000</v>
      </c>
      <c r="Q4133" s="5" t="s">
        <v>55734</v>
      </c>
      <c r="R4133" s="5"/>
      <c r="S4133" s="5" t="s">
        <v>55735</v>
      </c>
      <c r="T4133" s="28">
        <v>37943000</v>
      </c>
      <c r="U4133" s="28"/>
      <c r="V4133" s="28">
        <v>683487000</v>
      </c>
      <c r="W4133" s="28">
        <v>102410000</v>
      </c>
      <c r="X4133" s="28">
        <v>236961000</v>
      </c>
      <c r="Y4133" s="28">
        <v>1966641000</v>
      </c>
      <c r="Z4133" s="28">
        <v>1324489000</v>
      </c>
      <c r="AA4133" s="28"/>
      <c r="AB4133" s="28"/>
      <c r="AC4133" s="28">
        <v>601065000</v>
      </c>
      <c r="AD4133" s="28">
        <v>1363694000</v>
      </c>
      <c r="AE4133" s="28">
        <v>7226223000</v>
      </c>
      <c r="AF4133" s="28">
        <v>799668000</v>
      </c>
      <c r="AG4133" s="11"/>
    </row>
    <row r="4134">
      <c r="A4134" s="7" t="s">
        <v>5785</v>
      </c>
      <c r="B4134" s="5" t="s">
        <v>13744</v>
      </c>
      <c r="C4134" s="5" t="s">
        <v>20795</v>
      </c>
      <c r="D4134" s="5" t="str">
        <v>482607748635</v>
      </c>
      <c r="E4134" s="0" t="e">
        <f>+7 (472) 2425555
+7 (474) 2220990
+7 (474) 2236204
+7 (474) 2311450
+7 (474) 2334489
+7 (474) 2425643
+7 (474) 2435265
+7 (474) 2703632
+7 (474) 2234726
+7 (474) 2234728
+7 (474) 2425597
+7 (474) 2425624
+7 (474) 2425632
+7 (474) 2743948
+7 (474) 2744740</f>
        <v>#NAME?</v>
      </c>
      <c r="F4134" s="5" t="s">
        <v>37711</v>
      </c>
      <c r="G4134" s="5" t="s">
        <v>37712</v>
      </c>
      <c r="H4134" s="26">
        <v>17</v>
      </c>
      <c r="I4134" s="5" t="s">
        <v>37713</v>
      </c>
      <c r="J4134" s="5" t="s">
        <v>26623</v>
      </c>
      <c r="K4134" s="5" t="s">
        <v>344</v>
      </c>
      <c r="L4134" s="5" t="s">
        <v>37714</v>
      </c>
      <c r="M4134" s="27">
        <v>404495916</v>
      </c>
      <c r="N4134" s="5" t="s">
        <v>55736</v>
      </c>
      <c r="O4134" s="5" t="str">
        <v>4822001340</v>
      </c>
      <c r="P4134" s="27">
        <v>3000000</v>
      </c>
      <c r="Q4134" s="5" t="s">
        <v>55737</v>
      </c>
      <c r="R4134" s="5"/>
      <c r="S4134" s="5" t="s">
        <v>55738</v>
      </c>
      <c r="T4134" s="28">
        <v>140626000</v>
      </c>
      <c r="U4134" s="28">
        <v>10000</v>
      </c>
      <c r="V4134" s="28">
        <v>1470624000</v>
      </c>
      <c r="W4134" s="28">
        <v>529400000</v>
      </c>
      <c r="X4134" s="28">
        <v>623732000</v>
      </c>
      <c r="Y4134" s="28">
        <v>2846373000</v>
      </c>
      <c r="Z4134" s="28">
        <v>931635000</v>
      </c>
      <c r="AA4134" s="28"/>
      <c r="AB4134" s="28"/>
      <c r="AC4134" s="28">
        <v>1897455000</v>
      </c>
      <c r="AD4134" s="28">
        <v>940635000</v>
      </c>
      <c r="AE4134" s="28">
        <v>23007048000</v>
      </c>
      <c r="AF4134" s="28">
        <v>347177000</v>
      </c>
      <c r="AG4134" s="11"/>
    </row>
    <row r="4135">
      <c r="A4135" s="7" t="s">
        <v>5786</v>
      </c>
      <c r="B4135" s="5" t="s">
        <v>13745</v>
      </c>
      <c r="C4135" s="5" t="s">
        <v>21513</v>
      </c>
      <c r="D4135" s="5" t="str">
        <v>504102922213</v>
      </c>
      <c r="E4135" s="0" t="e">
        <f>+7 (495) 9565013
+7 (381) 2249295
+7 (4232) 446832
+7 (495) 9561132
+7 (495) 9561133
+7 (499) 1430780
+7 (812) 3844740
+7 (8632) 509073
+7 (8632) 509074</f>
        <v>#NAME?</v>
      </c>
      <c r="F4135" s="5" t="s">
        <v>37715</v>
      </c>
      <c r="G4135" s="5" t="s">
        <v>37716</v>
      </c>
      <c r="H4135" s="26">
        <v>20</v>
      </c>
      <c r="I4135" s="5" t="s">
        <v>37717</v>
      </c>
      <c r="J4135" s="5" t="s">
        <v>25437</v>
      </c>
      <c r="K4135" s="5" t="s">
        <v>344</v>
      </c>
      <c r="L4135" s="5" t="s">
        <v>37718</v>
      </c>
      <c r="M4135" s="27"/>
      <c r="N4135" s="5"/>
      <c r="O4135" s="5" t="str">
        <v>7729427770</v>
      </c>
      <c r="P4135" s="27">
        <v>4637998522</v>
      </c>
      <c r="Q4135" s="5" t="s">
        <v>49009</v>
      </c>
      <c r="R4135" s="5"/>
      <c r="S4135" s="5" t="s">
        <v>49028</v>
      </c>
      <c r="T4135" s="28">
        <v>826157000</v>
      </c>
      <c r="U4135" s="28"/>
      <c r="V4135" s="28">
        <v>5072386000</v>
      </c>
      <c r="W4135" s="28"/>
      <c r="X4135" s="28">
        <v>102546000</v>
      </c>
      <c r="Y4135" s="28">
        <v>10509108000</v>
      </c>
      <c r="Z4135" s="28">
        <v>2492952000</v>
      </c>
      <c r="AA4135" s="28"/>
      <c r="AB4135" s="28"/>
      <c r="AC4135" s="28">
        <v>2828966000</v>
      </c>
      <c r="AD4135" s="28">
        <v>7506281000</v>
      </c>
      <c r="AE4135" s="28">
        <v>15395411000</v>
      </c>
      <c r="AF4135" s="28">
        <v>689998000</v>
      </c>
      <c r="AG4135" s="11"/>
    </row>
    <row r="4136">
      <c r="A4136" s="7" t="s">
        <v>5787</v>
      </c>
      <c r="B4136" s="5" t="s">
        <v>13746</v>
      </c>
      <c r="C4136" s="5" t="s">
        <v>21514</v>
      </c>
      <c r="D4136" s="5" t="str">
        <v>402504066196</v>
      </c>
      <c r="E4136" s="0" t="e">
        <f>+7 (48438) 60039
+7 (48438) 60740
+7 (48438) 60756
+7 (48438) 69021
+7 (83147) 59301
+7 (910) 5236938</f>
        <v>#NAME?</v>
      </c>
      <c r="F4136" s="5" t="s">
        <v>37719</v>
      </c>
      <c r="G4136" s="5"/>
      <c r="H4136" s="26">
        <v>25.5</v>
      </c>
      <c r="I4136" s="5" t="s">
        <v>37720</v>
      </c>
      <c r="J4136" s="5" t="s">
        <v>27070</v>
      </c>
      <c r="K4136" s="5" t="s">
        <v>344</v>
      </c>
      <c r="L4136" s="5" t="s">
        <v>37721</v>
      </c>
      <c r="M4136" s="27"/>
      <c r="N4136" s="5" t="s">
        <v>55739</v>
      </c>
      <c r="O4136" s="5" t="str">
        <v>4003014954</v>
      </c>
      <c r="P4136" s="27">
        <v>989405000</v>
      </c>
      <c r="Q4136" s="5" t="s">
        <v>49009</v>
      </c>
      <c r="R4136" s="5"/>
      <c r="S4136" s="5" t="s">
        <v>55740</v>
      </c>
      <c r="T4136" s="28">
        <v>3644733000</v>
      </c>
      <c r="U4136" s="28"/>
      <c r="V4136" s="28">
        <v>965426000</v>
      </c>
      <c r="W4136" s="28"/>
      <c r="X4136" s="28">
        <v>3404559000</v>
      </c>
      <c r="Y4136" s="28">
        <v>8734769000</v>
      </c>
      <c r="Z4136" s="28">
        <v>6376046000</v>
      </c>
      <c r="AA4136" s="28"/>
      <c r="AB4136" s="28"/>
      <c r="AC4136" s="28">
        <v>1095301000</v>
      </c>
      <c r="AD4136" s="28">
        <v>7382830000</v>
      </c>
      <c r="AE4136" s="28">
        <v>8243312000</v>
      </c>
      <c r="AF4136" s="28">
        <v>1171727000</v>
      </c>
      <c r="AG4136" s="11"/>
    </row>
    <row r="4137">
      <c r="A4137" s="7" t="s">
        <v>5788</v>
      </c>
      <c r="B4137" s="5" t="s">
        <v>13747</v>
      </c>
      <c r="C4137" s="5" t="s">
        <v>21515</v>
      </c>
      <c r="D4137" s="5" t="str">
        <v>543307809117</v>
      </c>
      <c r="E4137" s="0" t="e">
        <f>+7 (383) 2696521
+7 (383) 2936507
+7 (383) 2936802
+7 (383) 2937236
+7 (383) 2937279</f>
        <v>#NAME?</v>
      </c>
      <c r="F4137" s="5" t="s">
        <v>37722</v>
      </c>
      <c r="G4137" s="5"/>
      <c r="H4137" s="26">
        <v>21</v>
      </c>
      <c r="I4137" s="5"/>
      <c r="J4137" s="5" t="s">
        <v>25450</v>
      </c>
      <c r="K4137" s="5" t="s">
        <v>344</v>
      </c>
      <c r="L4137" s="5" t="s">
        <v>37723</v>
      </c>
      <c r="M4137" s="27"/>
      <c r="N4137" s="5" t="s">
        <v>55741</v>
      </c>
      <c r="O4137" s="5" t="str">
        <v>5433146993</v>
      </c>
      <c r="P4137" s="27">
        <v>10000</v>
      </c>
      <c r="Q4137" s="5" t="s">
        <v>49059</v>
      </c>
      <c r="R4137" s="5"/>
      <c r="S4137" s="5" t="s">
        <v>49425</v>
      </c>
      <c r="T4137" s="28">
        <v>1912148000</v>
      </c>
      <c r="U4137" s="28">
        <v>21693000</v>
      </c>
      <c r="V4137" s="28">
        <v>1078046000</v>
      </c>
      <c r="W4137" s="28"/>
      <c r="X4137" s="28">
        <v>329405000</v>
      </c>
      <c r="Y4137" s="28">
        <v>4535670000</v>
      </c>
      <c r="Z4137" s="28">
        <v>3831115000</v>
      </c>
      <c r="AA4137" s="28"/>
      <c r="AB4137" s="28">
        <v>508974000</v>
      </c>
      <c r="AC4137" s="28">
        <v>660430000</v>
      </c>
      <c r="AD4137" s="28">
        <v>3831125000</v>
      </c>
      <c r="AE4137" s="28">
        <v>3224946000</v>
      </c>
      <c r="AF4137" s="28">
        <v>521116000</v>
      </c>
      <c r="AG4137" s="11"/>
    </row>
    <row r="4138">
      <c r="A4138" s="7" t="s">
        <v>5789</v>
      </c>
      <c r="B4138" s="5" t="s">
        <v>12320</v>
      </c>
      <c r="C4138" s="5" t="s">
        <v>17665</v>
      </c>
      <c r="D4138" s="5"/>
      <c r="E4138" s="0" t="e">
        <f>+7 (384) 2453350
+7 (384) 2453777
+7 (384) 2571028
+7 (384) 2571050
+7 (384) 2571506</f>
        <v>#NAME?</v>
      </c>
      <c r="F4138" s="5" t="s">
        <v>37724</v>
      </c>
      <c r="G4138" s="5" t="s">
        <v>37725</v>
      </c>
      <c r="H4138" s="26">
        <v>11</v>
      </c>
      <c r="I4138" s="5"/>
      <c r="J4138" s="5" t="s">
        <v>25295</v>
      </c>
      <c r="K4138" s="5" t="s">
        <v>355</v>
      </c>
      <c r="L4138" s="5"/>
      <c r="M4138" s="27"/>
      <c r="N4138" s="5"/>
      <c r="O4138" s="5" t="str">
        <v>4205243185</v>
      </c>
      <c r="P4138" s="27">
        <v>706759848</v>
      </c>
      <c r="Q4138" s="5" t="s">
        <v>55742</v>
      </c>
      <c r="R4138" s="5"/>
      <c r="S4138" s="5" t="s">
        <v>51316</v>
      </c>
      <c r="T4138" s="28">
        <v>2971729000</v>
      </c>
      <c r="U4138" s="28"/>
      <c r="V4138" s="28">
        <v>547961000</v>
      </c>
      <c r="W4138" s="28"/>
      <c r="X4138" s="28">
        <v>1092000</v>
      </c>
      <c r="Y4138" s="28">
        <v>3804680000</v>
      </c>
      <c r="Z4138" s="28">
        <v>367933000</v>
      </c>
      <c r="AA4138" s="28"/>
      <c r="AB4138" s="28">
        <v>1389421000</v>
      </c>
      <c r="AC4138" s="28">
        <v>2147528000</v>
      </c>
      <c r="AD4138" s="28">
        <v>1142733000</v>
      </c>
      <c r="AE4138" s="28">
        <v>4745315000</v>
      </c>
      <c r="AF4138" s="28">
        <v>-133734000</v>
      </c>
      <c r="AG4138" s="11"/>
    </row>
    <row r="4139">
      <c r="A4139" s="7" t="s">
        <v>5790</v>
      </c>
      <c r="B4139" s="5" t="s">
        <v>13748</v>
      </c>
      <c r="C4139" s="5" t="s">
        <v>21516</v>
      </c>
      <c r="D4139" s="5" t="str">
        <v>623001708231</v>
      </c>
      <c r="E4139" s="0" t="e">
        <f>+7 (843) 2386168
+7 (4912) 905808
+7 (843) 2386111
+7 (8435) 902593</f>
        <v>#NAME?</v>
      </c>
      <c r="F4139" s="5" t="s">
        <v>37726</v>
      </c>
      <c r="G4139" s="5"/>
      <c r="H4139" s="26">
        <v>19</v>
      </c>
      <c r="I4139" s="5" t="s">
        <v>37727</v>
      </c>
      <c r="J4139" s="5" t="s">
        <v>25295</v>
      </c>
      <c r="K4139" s="5" t="s">
        <v>344</v>
      </c>
      <c r="L4139" s="5" t="s">
        <v>37728</v>
      </c>
      <c r="M4139" s="27">
        <v>17950304</v>
      </c>
      <c r="N4139" s="5"/>
      <c r="O4139" s="5" t="str">
        <v>1655063821</v>
      </c>
      <c r="P4139" s="27">
        <v>257456624</v>
      </c>
      <c r="Q4139" s="5" t="s">
        <v>55743</v>
      </c>
      <c r="R4139" s="5"/>
      <c r="S4139" s="5" t="s">
        <v>50378</v>
      </c>
      <c r="T4139" s="28">
        <v>1306540000</v>
      </c>
      <c r="U4139" s="28">
        <v>5000000</v>
      </c>
      <c r="V4139" s="28">
        <v>1020153000</v>
      </c>
      <c r="W4139" s="28"/>
      <c r="X4139" s="28">
        <v>250628000</v>
      </c>
      <c r="Y4139" s="28">
        <v>2741813000</v>
      </c>
      <c r="Z4139" s="28">
        <v>1530899000</v>
      </c>
      <c r="AA4139" s="28">
        <v>60000</v>
      </c>
      <c r="AB4139" s="28"/>
      <c r="AC4139" s="28">
        <v>668096000</v>
      </c>
      <c r="AD4139" s="28">
        <v>1929909000</v>
      </c>
      <c r="AE4139" s="28">
        <v>7646507000</v>
      </c>
      <c r="AF4139" s="28">
        <v>1161007000</v>
      </c>
      <c r="AG4139" s="11"/>
    </row>
    <row r="4140">
      <c r="A4140" s="7" t="s">
        <v>5791</v>
      </c>
      <c r="B4140" s="5" t="s">
        <v>13749</v>
      </c>
      <c r="C4140" s="5" t="s">
        <v>21517</v>
      </c>
      <c r="D4140" s="5" t="str">
        <v>231515082674</v>
      </c>
      <c r="E4140" s="0" t="e">
        <f>+7 (918) 4449092
+7 (8617) 300255
+7 (918) 4328864
+7 (953) 777888</f>
        <v>#NAME?</v>
      </c>
      <c r="F4140" s="5" t="s">
        <v>37729</v>
      </c>
      <c r="G4140" s="5"/>
      <c r="H4140" s="26">
        <v>14.5</v>
      </c>
      <c r="I4140" s="5" t="s">
        <v>37730</v>
      </c>
      <c r="J4140" s="5" t="s">
        <v>25850</v>
      </c>
      <c r="K4140" s="5" t="s">
        <v>344</v>
      </c>
      <c r="L4140" s="5" t="s">
        <v>37731</v>
      </c>
      <c r="M4140" s="27"/>
      <c r="N4140" s="5"/>
      <c r="O4140" s="5" t="str">
        <v>2315147709</v>
      </c>
      <c r="P4140" s="27">
        <v>33333</v>
      </c>
      <c r="Q4140" s="5" t="s">
        <v>1685</v>
      </c>
      <c r="R4140" s="5"/>
      <c r="S4140" s="5" t="s">
        <v>55744</v>
      </c>
      <c r="T4140" s="28">
        <v>195434000</v>
      </c>
      <c r="U4140" s="28"/>
      <c r="V4140" s="28">
        <v>568413000</v>
      </c>
      <c r="W4140" s="28"/>
      <c r="X4140" s="28">
        <v>86925000</v>
      </c>
      <c r="Y4140" s="28">
        <v>883462000</v>
      </c>
      <c r="Z4140" s="28">
        <v>314188000</v>
      </c>
      <c r="AA4140" s="28"/>
      <c r="AB4140" s="28">
        <v>218730000</v>
      </c>
      <c r="AC4140" s="28">
        <v>463171000</v>
      </c>
      <c r="AD4140" s="28">
        <v>343802000</v>
      </c>
      <c r="AE4140" s="28">
        <v>11268217000</v>
      </c>
      <c r="AF4140" s="28">
        <v>112854000</v>
      </c>
      <c r="AG4140" s="11"/>
    </row>
    <row r="4141">
      <c r="A4141" s="7" t="s">
        <v>5792</v>
      </c>
      <c r="B4141" s="5" t="s">
        <v>13750</v>
      </c>
      <c r="C4141" s="5" t="s">
        <v>18349</v>
      </c>
      <c r="D4141" s="5"/>
      <c r="E4141" s="0" t="e">
        <f>+7 (302) 2263871
+7 (302) 4725076
+7 (3022) 213681
+7 (3022) 338140
+7 (3022) 338141
+7 (3022) 339147
+7 (30242) 53203
+7 (30242) 53217
+7 (495) 2213681</f>
        <v>#NAME?</v>
      </c>
      <c r="F4141" s="5"/>
      <c r="G4141" s="5"/>
      <c r="H4141" s="26">
        <v>26.5</v>
      </c>
      <c r="I4141" s="5"/>
      <c r="J4141" s="5" t="s">
        <v>28278</v>
      </c>
      <c r="K4141" s="5" t="s">
        <v>344</v>
      </c>
      <c r="L4141" s="5" t="s">
        <v>37732</v>
      </c>
      <c r="M4141" s="27">
        <v>57869299</v>
      </c>
      <c r="N4141" s="5"/>
      <c r="O4141" s="5" t="str">
        <v>7504001084</v>
      </c>
      <c r="P4141" s="27">
        <v>112535430</v>
      </c>
      <c r="Q4141" s="5" t="s">
        <v>49009</v>
      </c>
      <c r="R4141" s="5"/>
      <c r="S4141" s="5" t="s">
        <v>49093</v>
      </c>
      <c r="T4141" s="28">
        <v>5777348000</v>
      </c>
      <c r="U4141" s="28">
        <v>17885751000</v>
      </c>
      <c r="V4141" s="28">
        <v>23929874000</v>
      </c>
      <c r="W4141" s="28">
        <v>3113091000</v>
      </c>
      <c r="X4141" s="28">
        <v>20541000</v>
      </c>
      <c r="Y4141" s="28">
        <v>57421348000</v>
      </c>
      <c r="Z4141" s="28">
        <v>24765563000</v>
      </c>
      <c r="AA4141" s="28">
        <v>27849423000</v>
      </c>
      <c r="AB4141" s="28">
        <v>1694363000</v>
      </c>
      <c r="AC4141" s="28">
        <v>3393785000</v>
      </c>
      <c r="AD4141" s="28">
        <v>24894883000</v>
      </c>
      <c r="AE4141" s="28">
        <v>6767934000</v>
      </c>
      <c r="AF4141" s="28">
        <v>2426898000</v>
      </c>
      <c r="AG4141" s="11"/>
    </row>
    <row r="4142">
      <c r="A4142" s="7" t="s">
        <v>5793</v>
      </c>
      <c r="B4142" s="5" t="s">
        <v>13751</v>
      </c>
      <c r="C4142" s="5" t="s">
        <v>18553</v>
      </c>
      <c r="D4142" s="5"/>
      <c r="E4142" s="0" t="e">
        <f>+7 (391) 2555701
+7 (391) 2555703
+7 (391) 2220781
+7 (391) 2247234
+7 (391) 2297234
+7 (391) 2297991
+7 (391) 2872068
+7 (39198) 72069
+7 (919) 2297234
+7 (950) 9790693</f>
        <v>#NAME?</v>
      </c>
      <c r="F4142" s="5" t="s">
        <v>37733</v>
      </c>
      <c r="G4142" s="5"/>
      <c r="H4142" s="26">
        <v>19.5</v>
      </c>
      <c r="I4142" s="5" t="s">
        <v>37734</v>
      </c>
      <c r="J4142" s="5" t="s">
        <v>30299</v>
      </c>
      <c r="K4142" s="5" t="s">
        <v>344</v>
      </c>
      <c r="L4142" s="5" t="s">
        <v>37735</v>
      </c>
      <c r="M4142" s="27">
        <v>3212048</v>
      </c>
      <c r="N4142" s="5" t="s">
        <v>55745</v>
      </c>
      <c r="O4142" s="5" t="str">
        <v>2426003607</v>
      </c>
      <c r="P4142" s="27">
        <v>5000000</v>
      </c>
      <c r="Q4142" s="5" t="s">
        <v>55746</v>
      </c>
      <c r="R4142" s="5"/>
      <c r="S4142" s="5" t="s">
        <v>55747</v>
      </c>
      <c r="T4142" s="28">
        <v>11055410000</v>
      </c>
      <c r="U4142" s="28">
        <v>37441987000</v>
      </c>
      <c r="V4142" s="28">
        <v>3157743000</v>
      </c>
      <c r="W4142" s="28"/>
      <c r="X4142" s="28">
        <v>937424000</v>
      </c>
      <c r="Y4142" s="28">
        <v>67845892000</v>
      </c>
      <c r="Z4142" s="28">
        <v>36843406000</v>
      </c>
      <c r="AA4142" s="28">
        <v>17507694000</v>
      </c>
      <c r="AB4142" s="28">
        <v>8308081000</v>
      </c>
      <c r="AC4142" s="28">
        <v>11308584000</v>
      </c>
      <c r="AD4142" s="28">
        <v>36849156000</v>
      </c>
      <c r="AE4142" s="28">
        <v>26815859000</v>
      </c>
      <c r="AF4142" s="28">
        <v>11972555000</v>
      </c>
      <c r="AG4142" s="11"/>
    </row>
    <row r="4143">
      <c r="A4143" s="7" t="s">
        <v>5794</v>
      </c>
      <c r="B4143" s="5" t="s">
        <v>13752</v>
      </c>
      <c r="C4143" s="5" t="s">
        <v>21518</v>
      </c>
      <c r="D4143" s="5" t="str">
        <v>312310817457</v>
      </c>
      <c r="E4143" s="0" t="e">
        <f>+7 (47246) 26336
+7 (47246) 26341
+7 (47246) 26342
+7 (47246) 26381
+7 (47246) 26385
+7 (47246) 26448
+7 (47246) 26468
+7 (47246) 50068
+7 (47261) 35172
+7 (47261) 35760</f>
        <v>#NAME?</v>
      </c>
      <c r="F4143" s="5" t="s">
        <v>37736</v>
      </c>
      <c r="G4143" s="5" t="s">
        <v>37737</v>
      </c>
      <c r="H4143" s="26">
        <v>30</v>
      </c>
      <c r="I4143" s="5"/>
      <c r="J4143" s="5" t="s">
        <v>32105</v>
      </c>
      <c r="K4143" s="5" t="s">
        <v>344</v>
      </c>
      <c r="L4143" s="5"/>
      <c r="M4143" s="27"/>
      <c r="N4143" s="5"/>
      <c r="O4143" s="5" t="str">
        <v>3103000209</v>
      </c>
      <c r="P4143" s="27">
        <v>14278</v>
      </c>
      <c r="Q4143" s="5" t="s">
        <v>49009</v>
      </c>
      <c r="R4143" s="5"/>
      <c r="S4143" s="5" t="s">
        <v>49408</v>
      </c>
      <c r="T4143" s="28">
        <v>434535000</v>
      </c>
      <c r="U4143" s="28"/>
      <c r="V4143" s="28">
        <v>974156000</v>
      </c>
      <c r="W4143" s="28">
        <v>176000000</v>
      </c>
      <c r="X4143" s="28">
        <v>550250000</v>
      </c>
      <c r="Y4143" s="28">
        <v>3546840000</v>
      </c>
      <c r="Z4143" s="28">
        <v>892921000</v>
      </c>
      <c r="AA4143" s="28"/>
      <c r="AB4143" s="28">
        <v>500411000</v>
      </c>
      <c r="AC4143" s="28">
        <v>2613337000</v>
      </c>
      <c r="AD4143" s="28">
        <v>892935000</v>
      </c>
      <c r="AE4143" s="28">
        <v>5538158000</v>
      </c>
      <c r="AF4143" s="28">
        <v>1025000</v>
      </c>
      <c r="AG4143" s="11"/>
    </row>
    <row r="4144">
      <c r="A4144" s="7" t="s">
        <v>5795</v>
      </c>
      <c r="B4144" s="5" t="s">
        <v>13753</v>
      </c>
      <c r="C4144" s="5" t="s">
        <v>17989</v>
      </c>
      <c r="D4144" s="5"/>
      <c r="E4144" s="0" t="e">
        <f>+7 (3422) 19860
+7 (3422) 100320
+7 (342) 2129805
+7 (342) 2363502
+7 (342) 2699954
+7 (3422) 10620
+7 (3422) 17144
+7 (3422) 19861
+7 (3422) 19885
+7 (3422) 100600
+7 (3422) 100601
+7 (3422) 100602
+7 (3422) 100616
+7 (3422) 100620
+7 (3422) 100650</f>
        <v>#NAME?</v>
      </c>
      <c r="F4144" s="5" t="s">
        <v>37738</v>
      </c>
      <c r="G4144" s="5" t="s">
        <v>37739</v>
      </c>
      <c r="H4144" s="26">
        <v>20</v>
      </c>
      <c r="I4144" s="5" t="s">
        <v>37740</v>
      </c>
      <c r="J4144" s="5" t="s">
        <v>34010</v>
      </c>
      <c r="K4144" s="5" t="s">
        <v>344</v>
      </c>
      <c r="L4144" s="5" t="s">
        <v>37741</v>
      </c>
      <c r="M4144" s="27">
        <v>19262287</v>
      </c>
      <c r="N4144" s="5" t="s">
        <v>55748</v>
      </c>
      <c r="O4144" s="5" t="str">
        <v>5902817382</v>
      </c>
      <c r="P4144" s="27">
        <v>190000000</v>
      </c>
      <c r="Q4144" s="5" t="s">
        <v>55750</v>
      </c>
      <c r="R4144" s="5"/>
      <c r="S4144" s="5" t="s">
        <v>55751</v>
      </c>
      <c r="T4144" s="28">
        <v>11720318000</v>
      </c>
      <c r="U4144" s="28"/>
      <c r="V4144" s="28">
        <v>902014000</v>
      </c>
      <c r="W4144" s="28">
        <v>24000000</v>
      </c>
      <c r="X4144" s="28">
        <v>54068000</v>
      </c>
      <c r="Y4144" s="28">
        <v>13061691000</v>
      </c>
      <c r="Z4144" s="28">
        <v>4655350000</v>
      </c>
      <c r="AA4144" s="28"/>
      <c r="AB4144" s="28">
        <v>300449000</v>
      </c>
      <c r="AC4144" s="28">
        <v>2001591000</v>
      </c>
      <c r="AD4144" s="28">
        <v>4874119000</v>
      </c>
      <c r="AE4144" s="28">
        <v>5196972000</v>
      </c>
      <c r="AF4144" s="28">
        <v>943470000</v>
      </c>
      <c r="AG4144" s="11"/>
    </row>
    <row r="4145">
      <c r="A4145" s="7" t="s">
        <v>5796</v>
      </c>
      <c r="B4145" s="5" t="s">
        <v>13754</v>
      </c>
      <c r="C4145" s="5" t="s">
        <v>21519</v>
      </c>
      <c r="D4145" s="5" t="str">
        <v>245401055127</v>
      </c>
      <c r="E4145" s="0" t="e">
        <f>+7 (39145) 33165
+7 (39145) 33894
+7 (39145) 34001
+7 (39145) 39116
+7 (39145) 39141
+7 (39145) 39193
+7 (905) 4336085</f>
        <v>#NAME?</v>
      </c>
      <c r="F4145" s="5" t="s">
        <v>37742</v>
      </c>
      <c r="G4145" s="5"/>
      <c r="H4145" s="26">
        <v>24</v>
      </c>
      <c r="I4145" s="5" t="s">
        <v>37743</v>
      </c>
      <c r="J4145" s="5" t="s">
        <v>27291</v>
      </c>
      <c r="K4145" s="5" t="s">
        <v>355</v>
      </c>
      <c r="L4145" s="5"/>
      <c r="M4145" s="27">
        <v>38618710</v>
      </c>
      <c r="N4145" s="5" t="s">
        <v>55752</v>
      </c>
      <c r="O4145" s="5" t="str">
        <v>2454012346</v>
      </c>
      <c r="P4145" s="27">
        <v>130000000</v>
      </c>
      <c r="Q4145" s="5" t="s">
        <v>49059</v>
      </c>
      <c r="R4145" s="5" t="s">
        <v>55754</v>
      </c>
      <c r="S4145" s="5" t="s">
        <v>49425</v>
      </c>
      <c r="T4145" s="28">
        <v>4415084000</v>
      </c>
      <c r="U4145" s="28"/>
      <c r="V4145" s="28">
        <v>1761964000</v>
      </c>
      <c r="W4145" s="28">
        <v>41500000</v>
      </c>
      <c r="X4145" s="28">
        <v>172926000</v>
      </c>
      <c r="Y4145" s="28">
        <v>8739464000</v>
      </c>
      <c r="Z4145" s="28">
        <v>-7476929000</v>
      </c>
      <c r="AA4145" s="28">
        <v>10431512000</v>
      </c>
      <c r="AB4145" s="28">
        <v>120401000</v>
      </c>
      <c r="AC4145" s="28">
        <v>2784232000</v>
      </c>
      <c r="AD4145" s="28">
        <v>-7346929000</v>
      </c>
      <c r="AE4145" s="28">
        <v>6643025000</v>
      </c>
      <c r="AF4145" s="28">
        <v>153373000</v>
      </c>
      <c r="AG4145" s="11"/>
    </row>
    <row r="4146">
      <c r="A4146" s="7" t="s">
        <v>5797</v>
      </c>
      <c r="B4146" s="5" t="s">
        <v>13755</v>
      </c>
      <c r="C4146" s="5" t="s">
        <v>21520</v>
      </c>
      <c r="D4146" s="5" t="str">
        <v>421708958163</v>
      </c>
      <c r="E4146" s="0" t="e">
        <f>+7 (3843) 920933
+7 (3843) 920935
+7 (3843) 920944
+7 (499) 7056381
+7 (3843) 743150
+7 (3843) 744963
+7 (3843) 910146</f>
        <v>#NAME?</v>
      </c>
      <c r="F4146" s="5" t="s">
        <v>37744</v>
      </c>
      <c r="G4146" s="5" t="s">
        <v>37745</v>
      </c>
      <c r="H4146" s="26">
        <v>13.5</v>
      </c>
      <c r="I4146" s="5" t="s">
        <v>37746</v>
      </c>
      <c r="J4146" s="5" t="s">
        <v>1013</v>
      </c>
      <c r="K4146" s="5" t="s">
        <v>355</v>
      </c>
      <c r="L4146" s="5" t="s">
        <v>37747</v>
      </c>
      <c r="M4146" s="27">
        <v>42417817</v>
      </c>
      <c r="N4146" s="5" t="s">
        <v>55755</v>
      </c>
      <c r="O4146" s="5" t="str">
        <v>4217116128</v>
      </c>
      <c r="P4146" s="27">
        <v>296583910</v>
      </c>
      <c r="Q4146" s="5" t="s">
        <v>55756</v>
      </c>
      <c r="R4146" s="5" t="s">
        <v>55757</v>
      </c>
      <c r="S4146" s="5" t="s">
        <v>50047</v>
      </c>
      <c r="T4146" s="28">
        <v>809487000</v>
      </c>
      <c r="U4146" s="28">
        <v>349676000</v>
      </c>
      <c r="V4146" s="28">
        <v>3516993000</v>
      </c>
      <c r="W4146" s="28">
        <v>587264000</v>
      </c>
      <c r="X4146" s="28">
        <v>64823000</v>
      </c>
      <c r="Y4146" s="28">
        <v>6228934000</v>
      </c>
      <c r="Z4146" s="28">
        <v>948246000</v>
      </c>
      <c r="AA4146" s="28"/>
      <c r="AB4146" s="28">
        <v>1201790000</v>
      </c>
      <c r="AC4146" s="28">
        <v>5136929000</v>
      </c>
      <c r="AD4146" s="28">
        <v>948271000</v>
      </c>
      <c r="AE4146" s="28">
        <v>4199525000</v>
      </c>
      <c r="AF4146" s="28">
        <v>539744000</v>
      </c>
      <c r="AG4146" s="11"/>
    </row>
    <row r="4147">
      <c r="A4147" s="7" t="s">
        <v>5798</v>
      </c>
      <c r="B4147" s="5" t="s">
        <v>13756</v>
      </c>
      <c r="C4147" s="5" t="s">
        <v>21521</v>
      </c>
      <c r="D4147" s="5" t="str">
        <v>590407686472</v>
      </c>
      <c r="E4147" s="0" t="e">
        <f>+7 (3422) 590743
+7 (3422) 597333
+7 (3422) 962756
+7 (3422) 997399
+7 (3422) 997599</f>
        <v>#NAME?</v>
      </c>
      <c r="F4147" s="5" t="s">
        <v>37748</v>
      </c>
      <c r="G4147" s="5" t="s">
        <v>37749</v>
      </c>
      <c r="H4147" s="26">
        <v>29</v>
      </c>
      <c r="I4147" s="5"/>
      <c r="J4147" s="5" t="s">
        <v>30421</v>
      </c>
      <c r="K4147" s="5" t="s">
        <v>344</v>
      </c>
      <c r="L4147" s="5"/>
      <c r="M4147" s="27">
        <v>257794684</v>
      </c>
      <c r="N4147" s="5" t="s">
        <v>55758</v>
      </c>
      <c r="O4147" s="5" t="str">
        <v>5904002096</v>
      </c>
      <c r="P4147" s="27">
        <v>34319</v>
      </c>
      <c r="Q4147" s="5" t="s">
        <v>55760</v>
      </c>
      <c r="R4147" s="5"/>
      <c r="S4147" s="5" t="s">
        <v>49085</v>
      </c>
      <c r="T4147" s="28">
        <v>2612847000</v>
      </c>
      <c r="U4147" s="28">
        <v>2436921000</v>
      </c>
      <c r="V4147" s="28">
        <v>23198980000</v>
      </c>
      <c r="W4147" s="28">
        <v>2586972000</v>
      </c>
      <c r="X4147" s="28">
        <v>1541814000</v>
      </c>
      <c r="Y4147" s="28">
        <v>47828879000</v>
      </c>
      <c r="Z4147" s="28">
        <v>15285656000</v>
      </c>
      <c r="AA4147" s="28">
        <v>9330900000</v>
      </c>
      <c r="AB4147" s="28">
        <v>12882984000</v>
      </c>
      <c r="AC4147" s="28">
        <v>19399416000</v>
      </c>
      <c r="AD4147" s="28">
        <v>17996624000</v>
      </c>
      <c r="AE4147" s="28">
        <v>14759590000</v>
      </c>
      <c r="AF4147" s="28">
        <v>830456000</v>
      </c>
      <c r="AG4147" s="11"/>
    </row>
    <row r="4148">
      <c r="A4148" s="7" t="s">
        <v>5799</v>
      </c>
      <c r="B4148" s="5" t="s">
        <v>13757</v>
      </c>
      <c r="C4148" s="5" t="s">
        <v>21522</v>
      </c>
      <c r="D4148" s="5" t="str">
        <v>504204494969</v>
      </c>
      <c r="E4148" s="0" t="e">
        <f>+7 (48762) 99839
+7 (48762) 99844
+7 (48762) 99838
+7 (495) 7300033
+7 (800) 9560808
+7 (916) 3330036</f>
        <v>#NAME?</v>
      </c>
      <c r="F4148" s="5" t="s">
        <v>37750</v>
      </c>
      <c r="G4148" s="5" t="s">
        <v>37751</v>
      </c>
      <c r="H4148" s="26">
        <v>22.5</v>
      </c>
      <c r="I4148" s="5"/>
      <c r="J4148" s="5" t="s">
        <v>26526</v>
      </c>
      <c r="K4148" s="5" t="s">
        <v>344</v>
      </c>
      <c r="L4148" s="5" t="s">
        <v>37752</v>
      </c>
      <c r="M4148" s="27">
        <v>362295</v>
      </c>
      <c r="N4148" s="5" t="s">
        <v>55761</v>
      </c>
      <c r="O4148" s="5" t="str">
        <v>7116012600</v>
      </c>
      <c r="P4148" s="27">
        <v>8400</v>
      </c>
      <c r="Q4148" s="5" t="s">
        <v>49009</v>
      </c>
      <c r="R4148" s="5"/>
      <c r="S4148" s="5" t="s">
        <v>49576</v>
      </c>
      <c r="T4148" s="28">
        <v>378094000</v>
      </c>
      <c r="U4148" s="28"/>
      <c r="V4148" s="28">
        <v>296081000</v>
      </c>
      <c r="W4148" s="28"/>
      <c r="X4148" s="28">
        <v>169360000</v>
      </c>
      <c r="Y4148" s="28">
        <v>1209080000</v>
      </c>
      <c r="Z4148" s="28">
        <v>354357000</v>
      </c>
      <c r="AA4148" s="28">
        <v>64000000</v>
      </c>
      <c r="AB4148" s="28">
        <v>701572000</v>
      </c>
      <c r="AC4148" s="28">
        <v>781392000</v>
      </c>
      <c r="AD4148" s="28">
        <v>354365000</v>
      </c>
      <c r="AE4148" s="28">
        <v>3883983000</v>
      </c>
      <c r="AF4148" s="28">
        <v>84472000</v>
      </c>
      <c r="AG4148" s="11"/>
    </row>
    <row r="4149">
      <c r="A4149" s="7" t="s">
        <v>5800</v>
      </c>
      <c r="B4149" s="5" t="s">
        <v>13758</v>
      </c>
      <c r="C4149" s="5" t="s">
        <v>21523</v>
      </c>
      <c r="D4149" s="5" t="str">
        <v>526022824217</v>
      </c>
      <c r="E4149" s="0" t="e">
        <f>+7 (980) 7201514
+7 (48762) 21830
+7 (48762) 21831
+7 (48762) 75002
+7 (48762) 75051</f>
        <v>#NAME?</v>
      </c>
      <c r="F4149" s="5" t="s">
        <v>37753</v>
      </c>
      <c r="G4149" s="5" t="s">
        <v>37754</v>
      </c>
      <c r="H4149" s="26">
        <v>15.5</v>
      </c>
      <c r="I4149" s="5" t="s">
        <v>37755</v>
      </c>
      <c r="J4149" s="5" t="s">
        <v>28418</v>
      </c>
      <c r="K4149" s="5" t="s">
        <v>344</v>
      </c>
      <c r="L4149" s="5" t="s">
        <v>37756</v>
      </c>
      <c r="M4149" s="27"/>
      <c r="N4149" s="5" t="s">
        <v>55762</v>
      </c>
      <c r="O4149" s="5" t="str">
        <v>7116145470</v>
      </c>
      <c r="P4149" s="27">
        <v>827626691</v>
      </c>
      <c r="Q4149" s="5" t="s">
        <v>55763</v>
      </c>
      <c r="R4149" s="5"/>
      <c r="S4149" s="5" t="s">
        <v>55764</v>
      </c>
      <c r="T4149" s="28">
        <v>2687481000</v>
      </c>
      <c r="U4149" s="28"/>
      <c r="V4149" s="28">
        <v>821325000</v>
      </c>
      <c r="W4149" s="28">
        <v>1001864000</v>
      </c>
      <c r="X4149" s="28">
        <v>5207000</v>
      </c>
      <c r="Y4149" s="28">
        <v>5383723000</v>
      </c>
      <c r="Z4149" s="28">
        <v>3501150000</v>
      </c>
      <c r="AA4149" s="28"/>
      <c r="AB4149" s="28"/>
      <c r="AC4149" s="28">
        <v>787947000</v>
      </c>
      <c r="AD4149" s="28">
        <v>4333355000</v>
      </c>
      <c r="AE4149" s="28">
        <v>5618796000</v>
      </c>
      <c r="AF4149" s="28">
        <v>1812279000</v>
      </c>
      <c r="AG4149" s="11"/>
    </row>
    <row r="4150">
      <c r="A4150" s="7" t="s">
        <v>5801</v>
      </c>
      <c r="B4150" s="5" t="s">
        <v>13759</v>
      </c>
      <c r="C4150" s="5" t="s">
        <v>21524</v>
      </c>
      <c r="D4150" s="5" t="str">
        <v>231500404801</v>
      </c>
      <c r="E4150" s="0" t="e">
        <f>+7 (86150) 44652
+7 (8617) 309566
+7 (8617) 606915
+7 (8617) 672041</f>
        <v>#NAME?</v>
      </c>
      <c r="F4150" s="5" t="s">
        <v>37757</v>
      </c>
      <c r="G4150" s="5" t="s">
        <v>37758</v>
      </c>
      <c r="H4150" s="26">
        <v>26.5</v>
      </c>
      <c r="I4150" s="5" t="s">
        <v>37759</v>
      </c>
      <c r="J4150" s="5" t="s">
        <v>26932</v>
      </c>
      <c r="K4150" s="5" t="s">
        <v>355</v>
      </c>
      <c r="L4150" s="5"/>
      <c r="M4150" s="27">
        <v>177560254</v>
      </c>
      <c r="N4150" s="5"/>
      <c r="O4150" s="5" t="str">
        <v>2315057727</v>
      </c>
      <c r="P4150" s="27">
        <v>2300240889</v>
      </c>
      <c r="Q4150" s="5" t="s">
        <v>49009</v>
      </c>
      <c r="R4150" s="5" t="s">
        <v>51852</v>
      </c>
      <c r="S4150" s="5" t="s">
        <v>50248</v>
      </c>
      <c r="T4150" s="28">
        <v>6354314000</v>
      </c>
      <c r="U4150" s="28">
        <v>4484128000</v>
      </c>
      <c r="V4150" s="28">
        <v>4849792000</v>
      </c>
      <c r="W4150" s="28"/>
      <c r="X4150" s="28">
        <v>14691000</v>
      </c>
      <c r="Y4150" s="28">
        <v>18435544000</v>
      </c>
      <c r="Z4150" s="28">
        <v>-591987000</v>
      </c>
      <c r="AA4150" s="28">
        <v>6263898000</v>
      </c>
      <c r="AB4150" s="28">
        <v>5715011000</v>
      </c>
      <c r="AC4150" s="28">
        <v>8612347000</v>
      </c>
      <c r="AD4150" s="28">
        <v>3084732000</v>
      </c>
      <c r="AE4150" s="28">
        <v>14579265000</v>
      </c>
      <c r="AF4150" s="28">
        <v>185487000</v>
      </c>
      <c r="AG4150" s="11"/>
    </row>
    <row r="4151">
      <c r="A4151" s="7" t="s">
        <v>5802</v>
      </c>
      <c r="B4151" s="5" t="s">
        <v>13760</v>
      </c>
      <c r="C4151" s="5" t="s">
        <v>21525</v>
      </c>
      <c r="D4151" s="5" t="str">
        <v>990102417853</v>
      </c>
      <c r="E4151" s="0" t="e">
        <f>+7 (863) 3033656
+7 (988) 5811818</f>
        <v>#NAME?</v>
      </c>
      <c r="F4151" s="5" t="s">
        <v>37760</v>
      </c>
      <c r="G4151" s="5" t="s">
        <v>37761</v>
      </c>
      <c r="H4151" s="26">
        <v>5.5</v>
      </c>
      <c r="I4151" s="5" t="s">
        <v>37762</v>
      </c>
      <c r="J4151" s="5" t="s">
        <v>31212</v>
      </c>
      <c r="K4151" s="5" t="s">
        <v>355</v>
      </c>
      <c r="L4151" s="5" t="s">
        <v>37763</v>
      </c>
      <c r="M4151" s="27">
        <v>257366612</v>
      </c>
      <c r="N4151" s="5"/>
      <c r="O4151" s="5" t="str">
        <v>2315995868</v>
      </c>
      <c r="P4151" s="27">
        <v>100000</v>
      </c>
      <c r="Q4151" s="5" t="s">
        <v>49009</v>
      </c>
      <c r="R4151" s="5" t="s">
        <v>55765</v>
      </c>
      <c r="S4151" s="5" t="s">
        <v>49010</v>
      </c>
      <c r="T4151" s="28">
        <v>6553828000</v>
      </c>
      <c r="U4151" s="28"/>
      <c r="V4151" s="28">
        <v>5851146000</v>
      </c>
      <c r="W4151" s="28">
        <v>14005000</v>
      </c>
      <c r="X4151" s="28">
        <v>2370000</v>
      </c>
      <c r="Y4151" s="28">
        <v>13951014000</v>
      </c>
      <c r="Z4151" s="28">
        <v>3269006000</v>
      </c>
      <c r="AA4151" s="28">
        <v>4511580000</v>
      </c>
      <c r="AB4151" s="28">
        <v>1893000</v>
      </c>
      <c r="AC4151" s="28">
        <v>4641330000</v>
      </c>
      <c r="AD4151" s="28">
        <v>4657315000</v>
      </c>
      <c r="AE4151" s="28">
        <v>20532075000</v>
      </c>
      <c r="AF4151" s="28">
        <v>126274000</v>
      </c>
      <c r="AG4151" s="11"/>
    </row>
    <row r="4152">
      <c r="A4152" s="7" t="s">
        <v>5803</v>
      </c>
      <c r="B4152" s="5" t="s">
        <v>13761</v>
      </c>
      <c r="C4152" s="5" t="s">
        <v>21526</v>
      </c>
      <c r="D4152" s="5" t="str">
        <v>701400507903</v>
      </c>
      <c r="E4152" s="0" t="e">
        <f>+7 (383) 2236415
+7 (913) 9273345</f>
        <v>#NAME?</v>
      </c>
      <c r="F4152" s="5" t="s">
        <v>37764</v>
      </c>
      <c r="G4152" s="5" t="s">
        <v>37765</v>
      </c>
      <c r="H4152" s="26">
        <v>28</v>
      </c>
      <c r="I4152" s="5"/>
      <c r="J4152" s="5" t="s">
        <v>467</v>
      </c>
      <c r="K4152" s="5" t="s">
        <v>344</v>
      </c>
      <c r="L4152" s="5"/>
      <c r="M4152" s="27">
        <v>109108007</v>
      </c>
      <c r="N4152" s="5" t="s">
        <v>55766</v>
      </c>
      <c r="O4152" s="5" t="str">
        <v>5405162714</v>
      </c>
      <c r="P4152" s="27">
        <v>49082950</v>
      </c>
      <c r="Q4152" s="5" t="s">
        <v>55768</v>
      </c>
      <c r="R4152" s="5"/>
      <c r="S4152" s="5" t="s">
        <v>55769</v>
      </c>
      <c r="T4152" s="28">
        <v>2065447000</v>
      </c>
      <c r="U4152" s="28">
        <v>321225000</v>
      </c>
      <c r="V4152" s="28">
        <v>332791000</v>
      </c>
      <c r="W4152" s="28">
        <v>1302250000</v>
      </c>
      <c r="X4152" s="28">
        <v>1057442000</v>
      </c>
      <c r="Y4152" s="28">
        <v>7496195000</v>
      </c>
      <c r="Z4152" s="28">
        <v>3612675000</v>
      </c>
      <c r="AA4152" s="28">
        <v>165886000</v>
      </c>
      <c r="AB4152" s="28">
        <v>284000</v>
      </c>
      <c r="AC4152" s="28">
        <v>3194254000</v>
      </c>
      <c r="AD4152" s="28">
        <v>3726101000</v>
      </c>
      <c r="AE4152" s="28">
        <v>17041131000</v>
      </c>
      <c r="AF4152" s="28">
        <v>821944000</v>
      </c>
      <c r="AG4152" s="11"/>
    </row>
    <row r="4153">
      <c r="A4153" s="7" t="s">
        <v>5804</v>
      </c>
      <c r="B4153" s="5" t="s">
        <v>13762</v>
      </c>
      <c r="C4153" s="5" t="s">
        <v>21527</v>
      </c>
      <c r="D4153" s="5" t="str">
        <v>543312107603</v>
      </c>
      <c r="E4153" s="0" t="e">
        <f>+7 (383) 2119696
+7 (383) 2185073
+7 (383) 2119378
+7 (383) 3555055
+7 (383) 3586310</f>
        <v>#NAME?</v>
      </c>
      <c r="F4153" s="5" t="s">
        <v>37766</v>
      </c>
      <c r="G4153" s="5"/>
      <c r="H4153" s="26">
        <v>25.5</v>
      </c>
      <c r="I4153" s="5"/>
      <c r="J4153" s="5" t="s">
        <v>25450</v>
      </c>
      <c r="K4153" s="5" t="s">
        <v>344</v>
      </c>
      <c r="L4153" s="5"/>
      <c r="M4153" s="27">
        <v>8249315</v>
      </c>
      <c r="N4153" s="5" t="s">
        <v>55770</v>
      </c>
      <c r="O4153" s="5" t="str">
        <v>5443115916</v>
      </c>
      <c r="P4153" s="27">
        <v>5193000</v>
      </c>
      <c r="Q4153" s="5" t="s">
        <v>49009</v>
      </c>
      <c r="R4153" s="5"/>
      <c r="S4153" s="5" t="s">
        <v>49028</v>
      </c>
      <c r="T4153" s="28">
        <v>2825325000</v>
      </c>
      <c r="U4153" s="28">
        <v>418192000</v>
      </c>
      <c r="V4153" s="28">
        <v>801286000</v>
      </c>
      <c r="W4153" s="28"/>
      <c r="X4153" s="28">
        <v>273099000</v>
      </c>
      <c r="Y4153" s="28">
        <v>6374693000</v>
      </c>
      <c r="Z4153" s="28">
        <v>4463197000</v>
      </c>
      <c r="AA4153" s="28">
        <v>261693000</v>
      </c>
      <c r="AB4153" s="28">
        <v>1000000000</v>
      </c>
      <c r="AC4153" s="28">
        <v>1644091000</v>
      </c>
      <c r="AD4153" s="28">
        <v>4468909000</v>
      </c>
      <c r="AE4153" s="28">
        <v>5695105000</v>
      </c>
      <c r="AF4153" s="28">
        <v>254011000</v>
      </c>
      <c r="AG4153" s="11"/>
    </row>
    <row r="4154">
      <c r="A4154" s="7" t="s">
        <v>5805</v>
      </c>
      <c r="B4154" s="5" t="s">
        <v>13763</v>
      </c>
      <c r="C4154" s="5" t="s">
        <v>21528</v>
      </c>
      <c r="D4154" s="5" t="str">
        <v>540415714509</v>
      </c>
      <c r="E4154" s="0" t="e">
        <f>+7 (383) 2231701
+7 (383) 3499206</f>
        <v>#NAME?</v>
      </c>
      <c r="F4154" s="5" t="s">
        <v>37767</v>
      </c>
      <c r="G4154" s="5" t="s">
        <v>37768</v>
      </c>
      <c r="H4154" s="26">
        <v>12.5</v>
      </c>
      <c r="I4154" s="5" t="s">
        <v>37769</v>
      </c>
      <c r="J4154" s="5" t="s">
        <v>25837</v>
      </c>
      <c r="K4154" s="5" t="s">
        <v>344</v>
      </c>
      <c r="L4154" s="5"/>
      <c r="M4154" s="27"/>
      <c r="N4154" s="5" t="s">
        <v>55772</v>
      </c>
      <c r="O4154" s="5" t="str">
        <v>5404425294</v>
      </c>
      <c r="P4154" s="27">
        <v>16500000</v>
      </c>
      <c r="Q4154" s="5" t="s">
        <v>55773</v>
      </c>
      <c r="R4154" s="5"/>
      <c r="S4154" s="5" t="s">
        <v>49089</v>
      </c>
      <c r="T4154" s="28">
        <v>30609000</v>
      </c>
      <c r="U4154" s="28"/>
      <c r="V4154" s="28">
        <v>1156960000</v>
      </c>
      <c r="W4154" s="28">
        <v>367159000</v>
      </c>
      <c r="X4154" s="28">
        <v>19565000</v>
      </c>
      <c r="Y4154" s="28">
        <v>2249943000</v>
      </c>
      <c r="Z4154" s="28">
        <v>413846000</v>
      </c>
      <c r="AA4154" s="28">
        <v>70000000</v>
      </c>
      <c r="AB4154" s="28">
        <v>725271000</v>
      </c>
      <c r="AC4154" s="28">
        <v>1630895000</v>
      </c>
      <c r="AD4154" s="28">
        <v>525650000</v>
      </c>
      <c r="AE4154" s="28">
        <v>10144813000</v>
      </c>
      <c r="AF4154" s="28">
        <v>67168000</v>
      </c>
      <c r="AG4154" s="11"/>
    </row>
    <row r="4155">
      <c r="A4155" s="7" t="s">
        <v>5806</v>
      </c>
      <c r="B4155" s="5" t="s">
        <v>13764</v>
      </c>
      <c r="C4155" s="5" t="s">
        <v>21529</v>
      </c>
      <c r="D4155" s="5" t="str">
        <v>771608615980</v>
      </c>
      <c r="E4155" s="0" t="e">
        <f>+7 (382) 2739898
+7 (383) 2222074
+7 (383) 2248355
+7 (383) 2298000
+7 (383) 2379898
+7 (383) 2379899
+7 (383) 2389898
+7 (383) 2009011
+7 (383) 2268699
+7 (383) 2292121
+7 (383) 2298607
+7 (383) 2298613
+7 (383) 2298649
+7 (383) 2298665
+7 (383) 2298989</f>
        <v>#NAME?</v>
      </c>
      <c r="F4155" s="5" t="s">
        <v>37770</v>
      </c>
      <c r="G4155" s="5" t="s">
        <v>37771</v>
      </c>
      <c r="H4155" s="26">
        <v>16</v>
      </c>
      <c r="I4155" s="5"/>
      <c r="J4155" s="5" t="s">
        <v>26623</v>
      </c>
      <c r="K4155" s="5" t="s">
        <v>344</v>
      </c>
      <c r="L4155" s="5" t="s">
        <v>37772</v>
      </c>
      <c r="M4155" s="27">
        <v>21021704</v>
      </c>
      <c r="N4155" s="5" t="s">
        <v>55774</v>
      </c>
      <c r="O4155" s="5" t="str">
        <v>5407025576</v>
      </c>
      <c r="P4155" s="27">
        <v>160664740</v>
      </c>
      <c r="Q4155" s="5" t="s">
        <v>55775</v>
      </c>
      <c r="R4155" s="5"/>
      <c r="S4155" s="5" t="s">
        <v>55776</v>
      </c>
      <c r="T4155" s="28">
        <v>777696000</v>
      </c>
      <c r="U4155" s="28">
        <v>620393000</v>
      </c>
      <c r="V4155" s="28">
        <v>275475000</v>
      </c>
      <c r="W4155" s="28">
        <v>500000</v>
      </c>
      <c r="X4155" s="28">
        <v>3514665000</v>
      </c>
      <c r="Y4155" s="28">
        <v>5871410000</v>
      </c>
      <c r="Z4155" s="28">
        <v>1485600000</v>
      </c>
      <c r="AA4155" s="28"/>
      <c r="AB4155" s="28"/>
      <c r="AC4155" s="28">
        <v>4201302000</v>
      </c>
      <c r="AD4155" s="28">
        <v>1654298000</v>
      </c>
      <c r="AE4155" s="28">
        <v>48060322000</v>
      </c>
      <c r="AF4155" s="28">
        <v>1414869000</v>
      </c>
      <c r="AG4155" s="11"/>
    </row>
    <row r="4156">
      <c r="A4156" s="7" t="s">
        <v>5807</v>
      </c>
      <c r="B4156" s="5" t="s">
        <v>13765</v>
      </c>
      <c r="C4156" s="5" t="s">
        <v>21530</v>
      </c>
      <c r="D4156" s="5" t="str">
        <v>501202279431</v>
      </c>
      <c r="E4156" s="0" t="e">
        <f>+7 (988) 3174294</f>
        <v>#NAME?</v>
      </c>
      <c r="F4156" s="5" t="s">
        <v>37773</v>
      </c>
      <c r="G4156" s="5"/>
      <c r="H4156" s="26">
        <v>5</v>
      </c>
      <c r="I4156" s="5" t="s">
        <v>37774</v>
      </c>
      <c r="J4156" s="5" t="s">
        <v>599</v>
      </c>
      <c r="K4156" s="5" t="s">
        <v>355</v>
      </c>
      <c r="L4156" s="5" t="s">
        <v>37775</v>
      </c>
      <c r="M4156" s="27"/>
      <c r="N4156" s="5"/>
      <c r="O4156" s="5" t="str">
        <v>2376000703</v>
      </c>
      <c r="P4156" s="27">
        <v>100000</v>
      </c>
      <c r="Q4156" s="5" t="s">
        <v>54995</v>
      </c>
      <c r="R4156" s="5"/>
      <c r="S4156" s="5" t="s">
        <v>54996</v>
      </c>
      <c r="T4156" s="28">
        <v>3685348000</v>
      </c>
      <c r="U4156" s="28"/>
      <c r="V4156" s="28">
        <v>2717505000</v>
      </c>
      <c r="W4156" s="28"/>
      <c r="X4156" s="28">
        <v>31044000</v>
      </c>
      <c r="Y4156" s="28">
        <v>8448296000</v>
      </c>
      <c r="Z4156" s="28">
        <v>223018000</v>
      </c>
      <c r="AA4156" s="28"/>
      <c r="AB4156" s="28">
        <v>2203000000</v>
      </c>
      <c r="AC4156" s="28">
        <v>3796360000</v>
      </c>
      <c r="AD4156" s="28">
        <v>223118000</v>
      </c>
      <c r="AE4156" s="28">
        <v>8904242000</v>
      </c>
      <c r="AF4156" s="28">
        <v>110448000</v>
      </c>
      <c r="AG4156" s="11"/>
    </row>
    <row r="4157">
      <c r="A4157" s="7" t="s">
        <v>5808</v>
      </c>
      <c r="B4157" s="5" t="s">
        <v>13766</v>
      </c>
      <c r="C4157" s="5" t="s">
        <v>21531</v>
      </c>
      <c r="D4157" s="5" t="str">
        <v>540528326338</v>
      </c>
      <c r="E4157" s="0" t="e">
        <f>+7 (983) 5100747
+7 (383) 2090994
+7 (38341) 40068
+7 (38341) 40086
+7 (38341) 40114
+7 (38341) 40549
+7 (38341) 44644
+7 (913) 9188769</f>
        <v>#NAME?</v>
      </c>
      <c r="F4157" s="5" t="s">
        <v>37776</v>
      </c>
      <c r="G4157" s="5"/>
      <c r="H4157" s="26">
        <v>19.5</v>
      </c>
      <c r="I4157" s="5" t="s">
        <v>37777</v>
      </c>
      <c r="J4157" s="5" t="s">
        <v>27783</v>
      </c>
      <c r="K4157" s="5" t="s">
        <v>344</v>
      </c>
      <c r="L4157" s="5" t="s">
        <v>37778</v>
      </c>
      <c r="M4157" s="27">
        <v>2296448</v>
      </c>
      <c r="N4157" s="5" t="s">
        <v>55777</v>
      </c>
      <c r="O4157" s="5" t="str">
        <v>5406260827</v>
      </c>
      <c r="P4157" s="27">
        <v>20000</v>
      </c>
      <c r="Q4157" s="5" t="s">
        <v>55778</v>
      </c>
      <c r="R4157" s="5" t="s">
        <v>55779</v>
      </c>
      <c r="S4157" s="5" t="s">
        <v>49256</v>
      </c>
      <c r="T4157" s="28">
        <v>1575276000</v>
      </c>
      <c r="U4157" s="28"/>
      <c r="V4157" s="28">
        <v>240076000</v>
      </c>
      <c r="W4157" s="28">
        <v>239000000</v>
      </c>
      <c r="X4157" s="28">
        <v>132297000</v>
      </c>
      <c r="Y4157" s="28">
        <v>2736611000</v>
      </c>
      <c r="Z4157" s="28">
        <v>1301093000</v>
      </c>
      <c r="AA4157" s="28"/>
      <c r="AB4157" s="28"/>
      <c r="AC4157" s="28">
        <v>1216207000</v>
      </c>
      <c r="AD4157" s="28">
        <v>1301113000</v>
      </c>
      <c r="AE4157" s="28">
        <v>3605112000</v>
      </c>
      <c r="AF4157" s="28">
        <v>1190280000</v>
      </c>
      <c r="AG4157" s="11"/>
    </row>
    <row r="4158">
      <c r="A4158" s="7" t="s">
        <v>5809</v>
      </c>
      <c r="B4158" s="5" t="s">
        <v>13767</v>
      </c>
      <c r="C4158" s="5" t="s">
        <v>21532</v>
      </c>
      <c r="D4158" s="5" t="str">
        <v>352821181262</v>
      </c>
      <c r="F4158" s="5"/>
      <c r="G4158" s="5" t="s">
        <v>37779</v>
      </c>
      <c r="H4158" s="26">
        <v>8.5</v>
      </c>
      <c r="I4158" s="5" t="s">
        <v>37780</v>
      </c>
      <c r="J4158" s="5" t="s">
        <v>27522</v>
      </c>
      <c r="K4158" s="5" t="s">
        <v>355</v>
      </c>
      <c r="L4158" s="5"/>
      <c r="M4158" s="27"/>
      <c r="N4158" s="5"/>
      <c r="O4158" s="5" t="str">
        <v>5034077850</v>
      </c>
      <c r="P4158" s="27">
        <v>200000</v>
      </c>
      <c r="Q4158" s="5" t="s">
        <v>49059</v>
      </c>
      <c r="R4158" s="5"/>
      <c r="S4158" s="5" t="s">
        <v>49110</v>
      </c>
      <c r="T4158" s="28">
        <v>6949000</v>
      </c>
      <c r="U4158" s="28"/>
      <c r="V4158" s="28">
        <v>536776000</v>
      </c>
      <c r="W4158" s="28"/>
      <c r="X4158" s="28">
        <v>44429000</v>
      </c>
      <c r="Y4158" s="28">
        <v>3233621000</v>
      </c>
      <c r="Z4158" s="28">
        <v>-148136000</v>
      </c>
      <c r="AA4158" s="28">
        <v>116865000</v>
      </c>
      <c r="AB4158" s="28">
        <v>247015000</v>
      </c>
      <c r="AC4158" s="28">
        <v>3188690000</v>
      </c>
      <c r="AD4158" s="28">
        <v>-147936000</v>
      </c>
      <c r="AE4158" s="28">
        <v>6956719000</v>
      </c>
      <c r="AF4158" s="28">
        <v>-189074000</v>
      </c>
      <c r="AG4158" s="11"/>
    </row>
    <row r="4159">
      <c r="A4159" s="7" t="s">
        <v>5810</v>
      </c>
      <c r="B4159" s="5" t="s">
        <v>13768</v>
      </c>
      <c r="C4159" s="5" t="s">
        <v>19147</v>
      </c>
      <c r="D4159" s="5" t="str">
        <v>745602270914</v>
      </c>
      <c r="E4159" s="0" t="e">
        <f>+7 (3846) 657411
+7 (384) 2322021
+7 (384) 2322050
+7 (384) 2322238
+7 (495) 9255450
+7 (495) 9255458
+7 (495) 9566036</f>
        <v>#NAME?</v>
      </c>
      <c r="F4159" s="5" t="s">
        <v>37781</v>
      </c>
      <c r="G4159" s="5" t="s">
        <v>37782</v>
      </c>
      <c r="H4159" s="26">
        <v>16</v>
      </c>
      <c r="I4159" s="5" t="s">
        <v>37783</v>
      </c>
      <c r="J4159" s="5" t="s">
        <v>30672</v>
      </c>
      <c r="K4159" s="5" t="s">
        <v>344</v>
      </c>
      <c r="L4159" s="5"/>
      <c r="M4159" s="27"/>
      <c r="N4159" s="5"/>
      <c r="O4159" s="5" t="str">
        <v>4205119220</v>
      </c>
      <c r="P4159" s="27">
        <v>900000</v>
      </c>
      <c r="Q4159" s="5" t="s">
        <v>49021</v>
      </c>
      <c r="R4159" s="5"/>
      <c r="S4159" s="5" t="s">
        <v>55780</v>
      </c>
      <c r="T4159" s="28">
        <v>29209603000</v>
      </c>
      <c r="U4159" s="28">
        <v>32937632000</v>
      </c>
      <c r="V4159" s="28">
        <v>1053030000</v>
      </c>
      <c r="W4159" s="28">
        <v>1415425000</v>
      </c>
      <c r="X4159" s="28">
        <v>6173136000</v>
      </c>
      <c r="Y4159" s="28">
        <v>71032532000</v>
      </c>
      <c r="Z4159" s="28">
        <v>30626352000</v>
      </c>
      <c r="AA4159" s="28">
        <v>30500000000</v>
      </c>
      <c r="AB4159" s="28">
        <v>3853882000</v>
      </c>
      <c r="AC4159" s="28">
        <v>6795138000</v>
      </c>
      <c r="AD4159" s="28">
        <v>30917526000</v>
      </c>
      <c r="AE4159" s="28">
        <v>19611785000</v>
      </c>
      <c r="AF4159" s="28">
        <v>17128958000</v>
      </c>
      <c r="AG4159" s="11"/>
    </row>
    <row r="4160">
      <c r="A4160" s="7" t="s">
        <v>5811</v>
      </c>
      <c r="B4160" s="5" t="s">
        <v>13769</v>
      </c>
      <c r="C4160" s="5" t="s">
        <v>21533</v>
      </c>
      <c r="D4160" s="5" t="str">
        <v>622801524922</v>
      </c>
      <c r="E4160" s="0" t="e">
        <f>+7 (800) 2221888
+7 (499) 1340032</f>
        <v>#NAME?</v>
      </c>
      <c r="F4160" s="5" t="s">
        <v>37784</v>
      </c>
      <c r="G4160" s="5" t="s">
        <v>37785</v>
      </c>
      <c r="H4160" s="26">
        <v>9</v>
      </c>
      <c r="I4160" s="5" t="s">
        <v>37786</v>
      </c>
      <c r="J4160" s="5" t="s">
        <v>881</v>
      </c>
      <c r="K4160" s="5" t="s">
        <v>344</v>
      </c>
      <c r="L4160" s="5"/>
      <c r="M4160" s="27"/>
      <c r="N4160" s="5"/>
      <c r="O4160" s="5" t="str">
        <v>7703807270</v>
      </c>
      <c r="P4160" s="27">
        <v>2000000</v>
      </c>
      <c r="Q4160" s="5"/>
      <c r="R4160" s="5"/>
      <c r="S4160" s="5" t="s">
        <v>49110</v>
      </c>
      <c r="T4160" s="28">
        <v>572252000</v>
      </c>
      <c r="U4160" s="28">
        <v>103000</v>
      </c>
      <c r="V4160" s="28">
        <v>1683084000</v>
      </c>
      <c r="W4160" s="28"/>
      <c r="X4160" s="28">
        <v>1045202000</v>
      </c>
      <c r="Y4160" s="28">
        <v>8765544000</v>
      </c>
      <c r="Z4160" s="28">
        <v>-3505840000</v>
      </c>
      <c r="AA4160" s="28">
        <v>9775954000</v>
      </c>
      <c r="AB4160" s="28">
        <v>754178000</v>
      </c>
      <c r="AC4160" s="28">
        <v>2056855000</v>
      </c>
      <c r="AD4160" s="28">
        <v>-3020962000</v>
      </c>
      <c r="AE4160" s="28">
        <v>3330002000</v>
      </c>
      <c r="AF4160" s="28">
        <v>386470000</v>
      </c>
      <c r="AG4160" s="11"/>
    </row>
    <row r="4161">
      <c r="A4161" s="7" t="s">
        <v>5812</v>
      </c>
      <c r="B4161" s="5" t="s">
        <v>13770</v>
      </c>
      <c r="C4161" s="5" t="s">
        <v>21534</v>
      </c>
      <c r="D4161" s="5" t="str">
        <v>772486854204</v>
      </c>
      <c r="E4161" s="0" t="e">
        <f>+7 (985) 7740978
+7 (495) 6170844
+7 (495) 7816518</f>
        <v>#NAME?</v>
      </c>
      <c r="F4161" s="5" t="s">
        <v>37787</v>
      </c>
      <c r="G4161" s="5" t="s">
        <v>37788</v>
      </c>
      <c r="H4161" s="26">
        <v>20</v>
      </c>
      <c r="I4161" s="5" t="s">
        <v>37789</v>
      </c>
      <c r="J4161" s="5" t="s">
        <v>364</v>
      </c>
      <c r="K4161" s="5" t="s">
        <v>344</v>
      </c>
      <c r="L4161" s="5" t="s">
        <v>37790</v>
      </c>
      <c r="M4161" s="27"/>
      <c r="N4161" s="5" t="s">
        <v>49819</v>
      </c>
      <c r="O4161" s="5" t="str">
        <v>7733161795</v>
      </c>
      <c r="P4161" s="27">
        <v>30000</v>
      </c>
      <c r="Q4161" s="5" t="s">
        <v>55781</v>
      </c>
      <c r="R4161" s="5"/>
      <c r="S4161" s="5" t="s">
        <v>55782</v>
      </c>
      <c r="T4161" s="28">
        <v>17805000</v>
      </c>
      <c r="U4161" s="28">
        <v>47903000</v>
      </c>
      <c r="V4161" s="28">
        <v>4607546000</v>
      </c>
      <c r="W4161" s="28">
        <v>261000000</v>
      </c>
      <c r="X4161" s="28">
        <v>200476000</v>
      </c>
      <c r="Y4161" s="28">
        <v>6264403000</v>
      </c>
      <c r="Z4161" s="28">
        <v>206768000</v>
      </c>
      <c r="AA4161" s="28"/>
      <c r="AB4161" s="28"/>
      <c r="AC4161" s="28">
        <v>6057153000</v>
      </c>
      <c r="AD4161" s="28">
        <v>206798000</v>
      </c>
      <c r="AE4161" s="28">
        <v>3848433000</v>
      </c>
      <c r="AF4161" s="28">
        <v>103728000</v>
      </c>
      <c r="AG4161" s="11"/>
    </row>
    <row r="4162">
      <c r="A4162" s="7" t="s">
        <v>5813</v>
      </c>
      <c r="B4162" s="5" t="s">
        <v>13771</v>
      </c>
      <c r="C4162" s="5" t="s">
        <v>21535</v>
      </c>
      <c r="D4162" s="5" t="str">
        <v>164403378918</v>
      </c>
      <c r="E4162" s="0" t="e">
        <f>+7 (84342) 54396
+7 (84342) 20428
+7 (84342) 54372</f>
        <v>#NAME?</v>
      </c>
      <c r="F4162" s="5" t="s">
        <v>37791</v>
      </c>
      <c r="G4162" s="5" t="s">
        <v>37792</v>
      </c>
      <c r="H4162" s="26">
        <v>19.5</v>
      </c>
      <c r="I4162" s="5" t="s">
        <v>37793</v>
      </c>
      <c r="J4162" s="5" t="s">
        <v>30421</v>
      </c>
      <c r="K4162" s="5" t="s">
        <v>344</v>
      </c>
      <c r="L4162" s="5"/>
      <c r="M4162" s="27">
        <v>16577929</v>
      </c>
      <c r="N4162" s="5" t="s">
        <v>55783</v>
      </c>
      <c r="O4162" s="5" t="str">
        <v>1652009537</v>
      </c>
      <c r="P4162" s="27">
        <v>1127500</v>
      </c>
      <c r="Q4162" s="5" t="s">
        <v>55785</v>
      </c>
      <c r="R4162" s="5"/>
      <c r="S4162" s="5" t="s">
        <v>49998</v>
      </c>
      <c r="T4162" s="28">
        <v>5346995000</v>
      </c>
      <c r="U4162" s="28"/>
      <c r="V4162" s="28">
        <v>3061872000</v>
      </c>
      <c r="W4162" s="28"/>
      <c r="X4162" s="28">
        <v>383527000</v>
      </c>
      <c r="Y4162" s="28">
        <v>11733723000</v>
      </c>
      <c r="Z4162" s="28">
        <v>1340092000</v>
      </c>
      <c r="AA4162" s="28">
        <v>1492531000</v>
      </c>
      <c r="AB4162" s="28">
        <v>3798027000</v>
      </c>
      <c r="AC4162" s="28">
        <v>7511008000</v>
      </c>
      <c r="AD4162" s="28">
        <v>1341220000</v>
      </c>
      <c r="AE4162" s="28">
        <v>12974979000</v>
      </c>
      <c r="AF4162" s="28">
        <v>357684000</v>
      </c>
      <c r="AG4162" s="11"/>
    </row>
    <row r="4163">
      <c r="A4163" s="7" t="s">
        <v>5813</v>
      </c>
      <c r="B4163" s="5" t="s">
        <v>13772</v>
      </c>
      <c r="C4163" s="5" t="s">
        <v>21536</v>
      </c>
      <c r="D4163" s="5" t="str">
        <v>231205073694</v>
      </c>
      <c r="E4163" s="0" t="e">
        <f>+7 (861) 9445535
+7 (903) 4115535
+7 (861) 9914070
+7 (967) 6502222
+7 (861) 2703549
+7 (861) 9445534
+7 (861) 9917909
+7 (861) 9917910
+7 (918) 3976666</f>
        <v>#NAME?</v>
      </c>
      <c r="F4163" s="5" t="s">
        <v>37794</v>
      </c>
      <c r="G4163" s="5"/>
      <c r="H4163" s="26">
        <v>13.5</v>
      </c>
      <c r="I4163" s="5" t="s">
        <v>37795</v>
      </c>
      <c r="J4163" s="5" t="s">
        <v>26410</v>
      </c>
      <c r="K4163" s="5" t="s">
        <v>344</v>
      </c>
      <c r="L4163" s="5"/>
      <c r="M4163" s="27">
        <v>3862791</v>
      </c>
      <c r="N4163" s="5" t="s">
        <v>55786</v>
      </c>
      <c r="O4163" s="5" t="str">
        <v>2310140587</v>
      </c>
      <c r="P4163" s="27">
        <v>10000</v>
      </c>
      <c r="Q4163" s="5" t="s">
        <v>49009</v>
      </c>
      <c r="R4163" s="5"/>
      <c r="S4163" s="5" t="s">
        <v>49066</v>
      </c>
      <c r="T4163" s="28">
        <v>2655716000</v>
      </c>
      <c r="U4163" s="28">
        <v>20000</v>
      </c>
      <c r="V4163" s="28">
        <v>1915837000</v>
      </c>
      <c r="W4163" s="28">
        <v>1500000</v>
      </c>
      <c r="X4163" s="28">
        <v>11832000</v>
      </c>
      <c r="Y4163" s="28">
        <v>5664837000</v>
      </c>
      <c r="Z4163" s="28">
        <v>4232263000</v>
      </c>
      <c r="AA4163" s="28"/>
      <c r="AB4163" s="28">
        <v>2000</v>
      </c>
      <c r="AC4163" s="28">
        <v>703344000</v>
      </c>
      <c r="AD4163" s="28">
        <v>4601496000</v>
      </c>
      <c r="AE4163" s="28">
        <v>7366505000</v>
      </c>
      <c r="AF4163" s="28">
        <v>501508000</v>
      </c>
      <c r="AG4163" s="11"/>
    </row>
    <row r="4164">
      <c r="A4164" s="7" t="s">
        <v>5814</v>
      </c>
      <c r="B4164" s="5" t="s">
        <v>13773</v>
      </c>
      <c r="C4164" s="5" t="s">
        <v>21537</v>
      </c>
      <c r="D4164" s="5" t="str">
        <v>771679385148</v>
      </c>
      <c r="E4164" s="0" t="e">
        <f>+7 (495) 9374685
+7 (8412) 207512
+7 (8412) 210400
+7 (8412) 210408</f>
        <v>#NAME?</v>
      </c>
      <c r="F4164" s="5" t="s">
        <v>37796</v>
      </c>
      <c r="G4164" s="5" t="s">
        <v>37797</v>
      </c>
      <c r="H4164" s="26">
        <v>10.5</v>
      </c>
      <c r="I4164" s="5" t="s">
        <v>37798</v>
      </c>
      <c r="J4164" s="5" t="s">
        <v>26125</v>
      </c>
      <c r="K4164" s="5" t="s">
        <v>355</v>
      </c>
      <c r="L4164" s="5"/>
      <c r="M4164" s="27"/>
      <c r="N4164" s="5" t="s">
        <v>55787</v>
      </c>
      <c r="O4164" s="5" t="str">
        <v>5827901723</v>
      </c>
      <c r="P4164" s="27">
        <v>20000</v>
      </c>
      <c r="Q4164" s="5" t="s">
        <v>49009</v>
      </c>
      <c r="R4164" s="5"/>
      <c r="S4164" s="5" t="s">
        <v>49045</v>
      </c>
      <c r="T4164" s="28">
        <v>481143000</v>
      </c>
      <c r="U4164" s="28">
        <v>3145725000</v>
      </c>
      <c r="V4164" s="28">
        <v>3129666000</v>
      </c>
      <c r="W4164" s="28">
        <v>46345000</v>
      </c>
      <c r="X4164" s="28">
        <v>299128000</v>
      </c>
      <c r="Y4164" s="28">
        <v>7867378000</v>
      </c>
      <c r="Z4164" s="28">
        <v>-3487123000</v>
      </c>
      <c r="AA4164" s="28">
        <v>583290000</v>
      </c>
      <c r="AB4164" s="28"/>
      <c r="AC4164" s="28">
        <v>10334965000</v>
      </c>
      <c r="AD4164" s="28">
        <v>-3487103000</v>
      </c>
      <c r="AE4164" s="28">
        <v>46707744000</v>
      </c>
      <c r="AF4164" s="28">
        <v>-1152754000</v>
      </c>
      <c r="AG4164" s="11"/>
    </row>
    <row r="4165">
      <c r="A4165" s="7" t="s">
        <v>5815</v>
      </c>
      <c r="B4165" s="5" t="s">
        <v>13774</v>
      </c>
      <c r="C4165" s="5" t="s">
        <v>21538</v>
      </c>
      <c r="D4165" s="5" t="str">
        <v>232307152273</v>
      </c>
      <c r="E4165" s="0" t="e">
        <f>+7 (800) 5517557
+7 (925) 2412639
+7 (495) 1458966
+7 (495) 2077557
+7 (495) 6077557
+7 (495) 9269136
+7 (499) 3970114
+7 (919) 7276307</f>
        <v>#NAME?</v>
      </c>
      <c r="F4165" s="5" t="s">
        <v>37799</v>
      </c>
      <c r="G4165" s="5" t="s">
        <v>37800</v>
      </c>
      <c r="H4165" s="26">
        <v>7.5</v>
      </c>
      <c r="I4165" s="5" t="s">
        <v>37801</v>
      </c>
      <c r="J4165" s="5" t="s">
        <v>1026</v>
      </c>
      <c r="K4165" s="5" t="s">
        <v>344</v>
      </c>
      <c r="L4165" s="5" t="s">
        <v>37802</v>
      </c>
      <c r="M4165" s="27">
        <v>2494357</v>
      </c>
      <c r="N4165" s="5" t="s">
        <v>55788</v>
      </c>
      <c r="O4165" s="5" t="str">
        <v>7724338125</v>
      </c>
      <c r="P4165" s="27">
        <v>100000000</v>
      </c>
      <c r="Q4165" s="5" t="s">
        <v>55789</v>
      </c>
      <c r="R4165" s="5"/>
      <c r="S4165" s="5" t="s">
        <v>55790</v>
      </c>
      <c r="T4165" s="28">
        <v>109531000</v>
      </c>
      <c r="U4165" s="28">
        <v>500000</v>
      </c>
      <c r="V4165" s="28">
        <v>11985445000</v>
      </c>
      <c r="W4165" s="28"/>
      <c r="X4165" s="28">
        <v>782021000</v>
      </c>
      <c r="Y4165" s="28">
        <v>23426863000</v>
      </c>
      <c r="Z4165" s="28">
        <v>5252385000</v>
      </c>
      <c r="AA4165" s="28">
        <v>4494392000</v>
      </c>
      <c r="AB4165" s="28">
        <v>2826865000</v>
      </c>
      <c r="AC4165" s="28">
        <v>13576744000</v>
      </c>
      <c r="AD4165" s="28">
        <v>5352385000</v>
      </c>
      <c r="AE4165" s="28">
        <v>54671815000</v>
      </c>
      <c r="AF4165" s="28">
        <v>3384457000</v>
      </c>
      <c r="AG4165" s="11"/>
    </row>
    <row r="4166">
      <c r="A4166" s="7" t="s">
        <v>5816</v>
      </c>
      <c r="B4166" s="5" t="s">
        <v>13775</v>
      </c>
      <c r="C4166" s="5" t="s">
        <v>21539</v>
      </c>
      <c r="D4166" s="5" t="str">
        <v>782064846113</v>
      </c>
      <c r="F4166" s="5"/>
      <c r="G4166" s="5"/>
      <c r="H4166" s="26">
        <v>11</v>
      </c>
      <c r="I4166" s="5" t="s">
        <v>37803</v>
      </c>
      <c r="J4166" s="5" t="s">
        <v>364</v>
      </c>
      <c r="K4166" s="5" t="s">
        <v>344</v>
      </c>
      <c r="L4166" s="5" t="s">
        <v>37804</v>
      </c>
      <c r="M4166" s="27">
        <v>4655930</v>
      </c>
      <c r="N4166" s="5"/>
      <c r="O4166" s="5" t="str">
        <v>7810868630</v>
      </c>
      <c r="P4166" s="27">
        <v>10000</v>
      </c>
      <c r="Q4166" s="5" t="s">
        <v>49009</v>
      </c>
      <c r="R4166" s="5"/>
      <c r="S4166" s="5" t="s">
        <v>49010</v>
      </c>
      <c r="T4166" s="28">
        <v>2712000</v>
      </c>
      <c r="U4166" s="28"/>
      <c r="V4166" s="28">
        <v>5594074000</v>
      </c>
      <c r="W4166" s="28">
        <v>203344000</v>
      </c>
      <c r="X4166" s="28">
        <v>19933000</v>
      </c>
      <c r="Y4166" s="28">
        <v>8426493000</v>
      </c>
      <c r="Z4166" s="28">
        <v>20893000</v>
      </c>
      <c r="AA4166" s="28">
        <v>120000</v>
      </c>
      <c r="AB4166" s="28">
        <v>472000</v>
      </c>
      <c r="AC4166" s="28">
        <v>8405470000</v>
      </c>
      <c r="AD4166" s="28">
        <v>20903000</v>
      </c>
      <c r="AE4166" s="28">
        <v>6746954000</v>
      </c>
      <c r="AF4166" s="28">
        <v>6749000</v>
      </c>
      <c r="AG4166" s="11"/>
    </row>
    <row r="4167">
      <c r="A4167" s="7" t="s">
        <v>5817</v>
      </c>
      <c r="B4167" s="5" t="s">
        <v>13776</v>
      </c>
      <c r="C4167" s="5" t="s">
        <v>21540</v>
      </c>
      <c r="D4167" s="5" t="str">
        <v>525621063538</v>
      </c>
      <c r="E4167" s="0" t="e">
        <f>+7 (831) 2561111
+7 (919) 7728668</f>
        <v>#NAME?</v>
      </c>
      <c r="F4167" s="5" t="s">
        <v>37805</v>
      </c>
      <c r="G4167" s="5" t="s">
        <v>37806</v>
      </c>
      <c r="H4167" s="26">
        <v>5</v>
      </c>
      <c r="I4167" s="5" t="s">
        <v>37807</v>
      </c>
      <c r="J4167" s="5" t="s">
        <v>26229</v>
      </c>
      <c r="K4167" s="5" t="s">
        <v>344</v>
      </c>
      <c r="L4167" s="5" t="s">
        <v>32605</v>
      </c>
      <c r="M4167" s="27"/>
      <c r="N4167" s="5" t="s">
        <v>55791</v>
      </c>
      <c r="O4167" s="5" t="str">
        <v>5256171639</v>
      </c>
      <c r="P4167" s="27">
        <v>100000</v>
      </c>
      <c r="Q4167" s="5" t="s">
        <v>49688</v>
      </c>
      <c r="R4167" s="5"/>
      <c r="S4167" s="5" t="s">
        <v>55792</v>
      </c>
      <c r="T4167" s="28">
        <v>296626000</v>
      </c>
      <c r="U4167" s="28"/>
      <c r="V4167" s="28">
        <v>820937000</v>
      </c>
      <c r="W4167" s="28">
        <v>85000000</v>
      </c>
      <c r="X4167" s="28">
        <v>45304000</v>
      </c>
      <c r="Y4167" s="28">
        <v>1436666000</v>
      </c>
      <c r="Z4167" s="28">
        <v>128236000</v>
      </c>
      <c r="AA4167" s="28"/>
      <c r="AB4167" s="28"/>
      <c r="AC4167" s="28">
        <v>1291777000</v>
      </c>
      <c r="AD4167" s="28">
        <v>128246000</v>
      </c>
      <c r="AE4167" s="28">
        <v>3277476000</v>
      </c>
      <c r="AF4167" s="28">
        <v>79406000</v>
      </c>
      <c r="AG4167" s="11"/>
    </row>
    <row r="4168">
      <c r="A4168" s="7" t="s">
        <v>5818</v>
      </c>
      <c r="B4168" s="5" t="s">
        <v>13777</v>
      </c>
      <c r="C4168" s="5" t="s">
        <v>18612</v>
      </c>
      <c r="D4168" s="5" t="str">
        <v>773720051336</v>
      </c>
      <c r="E4168" s="0" t="e">
        <f>+7 (495) 7805830</f>
        <v>#NAME?</v>
      </c>
      <c r="F4168" s="5" t="s">
        <v>37808</v>
      </c>
      <c r="G4168" s="5"/>
      <c r="H4168" s="26">
        <v>18</v>
      </c>
      <c r="I4168" s="5" t="s">
        <v>28464</v>
      </c>
      <c r="J4168" s="5" t="s">
        <v>28465</v>
      </c>
      <c r="K4168" s="5" t="s">
        <v>355</v>
      </c>
      <c r="L4168" s="5"/>
      <c r="M4168" s="27"/>
      <c r="N4168" s="5"/>
      <c r="O4168" s="5" t="str">
        <v>7702559000</v>
      </c>
      <c r="P4168" s="27">
        <v>10000</v>
      </c>
      <c r="Q4168" s="5" t="s">
        <v>49009</v>
      </c>
      <c r="R4168" s="5"/>
      <c r="S4168" s="5" t="s">
        <v>49045</v>
      </c>
      <c r="T4168" s="28">
        <v>1412957000</v>
      </c>
      <c r="U4168" s="28"/>
      <c r="V4168" s="28">
        <v>935261000</v>
      </c>
      <c r="W4168" s="28">
        <v>70914000</v>
      </c>
      <c r="X4168" s="28">
        <v>98435000</v>
      </c>
      <c r="Y4168" s="28">
        <v>4866220000</v>
      </c>
      <c r="Z4168" s="28">
        <v>-136032000</v>
      </c>
      <c r="AA4168" s="28"/>
      <c r="AB4168" s="28">
        <v>206088000</v>
      </c>
      <c r="AC4168" s="28">
        <v>3262353000</v>
      </c>
      <c r="AD4168" s="28">
        <v>-136022000</v>
      </c>
      <c r="AE4168" s="28">
        <v>5635821000</v>
      </c>
      <c r="AF4168" s="28">
        <v>50735000</v>
      </c>
      <c r="AG4168" s="11"/>
    </row>
    <row r="4169">
      <c r="A4169" s="7" t="s">
        <v>5819</v>
      </c>
      <c r="B4169" s="5" t="s">
        <v>13778</v>
      </c>
      <c r="C4169" s="5" t="s">
        <v>21541</v>
      </c>
      <c r="D4169" s="5" t="str">
        <v>222103515878</v>
      </c>
      <c r="E4169" s="0" t="e">
        <f>+7 (3843) 920592
+7 (385) 2226273
+7 (385) 2226274
+7 (385) 2226286
+7 (385) 2226368
+7 (385) 2226383
+7 (385) 2226436
+7 (385) 2226476
+7 (385) 2226498
+7 (385) 2226506
+7 (385) 2310735
+7 (385) 2310740
+7 (385) 2310742
+7 (385) 2310746
+7 (385) 2310750</f>
        <v>#NAME?</v>
      </c>
      <c r="F4169" s="5"/>
      <c r="G4169" s="5"/>
      <c r="H4169" s="26">
        <v>16.5</v>
      </c>
      <c r="I4169" s="5" t="s">
        <v>37809</v>
      </c>
      <c r="J4169" s="5" t="s">
        <v>25738</v>
      </c>
      <c r="K4169" s="5" t="s">
        <v>344</v>
      </c>
      <c r="L4169" s="5" t="s">
        <v>37810</v>
      </c>
      <c r="M4169" s="27">
        <v>53200</v>
      </c>
      <c r="N4169" s="5" t="s">
        <v>55794</v>
      </c>
      <c r="O4169" s="5" t="str">
        <v>2222058686</v>
      </c>
      <c r="P4169" s="27">
        <v>10000</v>
      </c>
      <c r="Q4169" s="5" t="s">
        <v>55795</v>
      </c>
      <c r="R4169" s="5"/>
      <c r="S4169" s="5" t="s">
        <v>49012</v>
      </c>
      <c r="T4169" s="28">
        <v>252786000</v>
      </c>
      <c r="U4169" s="28"/>
      <c r="V4169" s="28">
        <v>273797000</v>
      </c>
      <c r="W4169" s="28">
        <v>25000000</v>
      </c>
      <c r="X4169" s="28">
        <v>418337000</v>
      </c>
      <c r="Y4169" s="28">
        <v>3080402000</v>
      </c>
      <c r="Z4169" s="28">
        <v>1251402000</v>
      </c>
      <c r="AA4169" s="28"/>
      <c r="AB4169" s="28"/>
      <c r="AC4169" s="28">
        <v>1730737000</v>
      </c>
      <c r="AD4169" s="28">
        <v>1251412000</v>
      </c>
      <c r="AE4169" s="28">
        <v>10118471000</v>
      </c>
      <c r="AF4169" s="28">
        <v>6628000</v>
      </c>
      <c r="AG4169" s="11"/>
    </row>
    <row r="4170">
      <c r="A4170" s="7" t="s">
        <v>5820</v>
      </c>
      <c r="B4170" s="5" t="s">
        <v>13779</v>
      </c>
      <c r="C4170" s="5" t="s">
        <v>21542</v>
      </c>
      <c r="D4170" s="5" t="str">
        <v>772971718052</v>
      </c>
      <c r="E4170" s="0" t="e">
        <f>+7 (495) 7952000
+7 (495) 7952009</f>
        <v>#NAME?</v>
      </c>
      <c r="F4170" s="5" t="s">
        <v>37811</v>
      </c>
      <c r="G4170" s="5" t="s">
        <v>37812</v>
      </c>
      <c r="H4170" s="26">
        <v>21</v>
      </c>
      <c r="I4170" s="5" t="s">
        <v>37813</v>
      </c>
      <c r="J4170" s="5" t="s">
        <v>599</v>
      </c>
      <c r="K4170" s="5" t="s">
        <v>344</v>
      </c>
      <c r="L4170" s="5" t="s">
        <v>37814</v>
      </c>
      <c r="M4170" s="27">
        <v>4929607</v>
      </c>
      <c r="N4170" s="5" t="s">
        <v>55796</v>
      </c>
      <c r="O4170" s="5" t="str">
        <v>7710431565</v>
      </c>
      <c r="P4170" s="27">
        <v>1110036400</v>
      </c>
      <c r="Q4170" s="5" t="s">
        <v>55797</v>
      </c>
      <c r="R4170" s="5"/>
      <c r="S4170" s="5" t="s">
        <v>49361</v>
      </c>
      <c r="T4170" s="28">
        <v>1239499000</v>
      </c>
      <c r="U4170" s="28">
        <v>139747000</v>
      </c>
      <c r="V4170" s="28">
        <v>959539000</v>
      </c>
      <c r="W4170" s="28">
        <v>32410000</v>
      </c>
      <c r="X4170" s="28">
        <v>736701000</v>
      </c>
      <c r="Y4170" s="28">
        <v>3557858000</v>
      </c>
      <c r="Z4170" s="28">
        <v>602529000</v>
      </c>
      <c r="AA4170" s="28"/>
      <c r="AB4170" s="28"/>
      <c r="AC4170" s="28">
        <v>693912000</v>
      </c>
      <c r="AD4170" s="28">
        <v>1757092000</v>
      </c>
      <c r="AE4170" s="28">
        <v>6934623000</v>
      </c>
      <c r="AF4170" s="28">
        <v>-100065000</v>
      </c>
      <c r="AG4170" s="11"/>
    </row>
    <row r="4171">
      <c r="A4171" s="7" t="s">
        <v>5821</v>
      </c>
      <c r="B4171" s="5" t="s">
        <v>13780</v>
      </c>
      <c r="C4171" s="5" t="s">
        <v>21543</v>
      </c>
      <c r="D4171" s="5" t="str">
        <v>615012398652</v>
      </c>
      <c r="E4171" s="0" t="e">
        <f>+7 (495) 9337501
+7 (800) 3500703
+7 (812) 6765043</f>
        <v>#NAME?</v>
      </c>
      <c r="F4171" s="5" t="s">
        <v>37815</v>
      </c>
      <c r="G4171" s="5" t="s">
        <v>37816</v>
      </c>
      <c r="H4171" s="26">
        <v>20</v>
      </c>
      <c r="I4171" s="5" t="s">
        <v>37817</v>
      </c>
      <c r="J4171" s="5" t="s">
        <v>1026</v>
      </c>
      <c r="K4171" s="5" t="s">
        <v>344</v>
      </c>
      <c r="L4171" s="5" t="s">
        <v>37818</v>
      </c>
      <c r="M4171" s="27"/>
      <c r="N4171" s="5" t="s">
        <v>55798</v>
      </c>
      <c r="O4171" s="5" t="str">
        <v>7722291425</v>
      </c>
      <c r="P4171" s="27">
        <v>100000</v>
      </c>
      <c r="Q4171" s="5" t="s">
        <v>55799</v>
      </c>
      <c r="R4171" s="5"/>
      <c r="S4171" s="5" t="s">
        <v>49256</v>
      </c>
      <c r="T4171" s="28"/>
      <c r="U4171" s="28"/>
      <c r="V4171" s="28">
        <v>103448000</v>
      </c>
      <c r="W4171" s="28"/>
      <c r="X4171" s="28">
        <v>101805000</v>
      </c>
      <c r="Y4171" s="28">
        <v>342304000</v>
      </c>
      <c r="Z4171" s="28">
        <v>189774000</v>
      </c>
      <c r="AA4171" s="28">
        <v>20000000</v>
      </c>
      <c r="AB4171" s="28"/>
      <c r="AC4171" s="28">
        <v>132430000</v>
      </c>
      <c r="AD4171" s="28">
        <v>189874000</v>
      </c>
      <c r="AE4171" s="28">
        <v>3180989000</v>
      </c>
      <c r="AF4171" s="28">
        <v>103377000</v>
      </c>
      <c r="AG4171" s="11"/>
    </row>
    <row r="4172">
      <c r="A4172" s="7" t="s">
        <v>5822</v>
      </c>
      <c r="B4172" s="5" t="s">
        <v>13781</v>
      </c>
      <c r="C4172" s="5" t="s">
        <v>21544</v>
      </c>
      <c r="D4172" s="5" t="str">
        <v>502906678850</v>
      </c>
      <c r="E4172" s="0" t="e">
        <f>+7 (485) 2727765
+7 (485) 2200505
+7 (485) 2594589
+7 (485) 2594590
+7 (485) 2594591</f>
        <v>#NAME?</v>
      </c>
      <c r="F4172" s="5" t="s">
        <v>37819</v>
      </c>
      <c r="G4172" s="5" t="s">
        <v>37820</v>
      </c>
      <c r="H4172" s="26">
        <v>16</v>
      </c>
      <c r="I4172" s="5" t="s">
        <v>37821</v>
      </c>
      <c r="J4172" s="5" t="s">
        <v>25670</v>
      </c>
      <c r="K4172" s="5" t="s">
        <v>344</v>
      </c>
      <c r="L4172" s="5" t="s">
        <v>37822</v>
      </c>
      <c r="M4172" s="27">
        <v>741907</v>
      </c>
      <c r="N4172" s="5"/>
      <c r="O4172" s="5" t="str">
        <v>7604105513</v>
      </c>
      <c r="P4172" s="27">
        <v>120144000</v>
      </c>
      <c r="Q4172" s="5" t="s">
        <v>55800</v>
      </c>
      <c r="R4172" s="5"/>
      <c r="S4172" s="5" t="s">
        <v>49496</v>
      </c>
      <c r="T4172" s="28">
        <v>25000</v>
      </c>
      <c r="U4172" s="28">
        <v>501292000</v>
      </c>
      <c r="V4172" s="28">
        <v>37753970000</v>
      </c>
      <c r="W4172" s="28">
        <v>4182984000</v>
      </c>
      <c r="X4172" s="28">
        <v>17364000</v>
      </c>
      <c r="Y4172" s="28">
        <v>43155810000</v>
      </c>
      <c r="Z4172" s="28">
        <v>8575435000</v>
      </c>
      <c r="AA4172" s="28">
        <v>28254925000</v>
      </c>
      <c r="AB4172" s="28">
        <v>4463898000</v>
      </c>
      <c r="AC4172" s="28">
        <v>5909480000</v>
      </c>
      <c r="AD4172" s="28">
        <v>8701586000</v>
      </c>
      <c r="AE4172" s="28">
        <v>3048222000</v>
      </c>
      <c r="AF4172" s="28">
        <v>3759263000</v>
      </c>
      <c r="AG4172" s="11"/>
    </row>
    <row r="4173">
      <c r="A4173" s="7" t="s">
        <v>5823</v>
      </c>
      <c r="B4173" s="5" t="s">
        <v>13782</v>
      </c>
      <c r="C4173" s="5" t="s">
        <v>21545</v>
      </c>
      <c r="D4173" s="5" t="str">
        <v>222103026394</v>
      </c>
      <c r="E4173" s="0" t="e">
        <f>+7 (385) 2201533
+7 (800) 2345040
+7 (962) 8028888</f>
        <v>#NAME?</v>
      </c>
      <c r="F4173" s="5" t="s">
        <v>37823</v>
      </c>
      <c r="G4173" s="5"/>
      <c r="H4173" s="26">
        <v>12.5</v>
      </c>
      <c r="I4173" s="5" t="s">
        <v>37824</v>
      </c>
      <c r="J4173" s="5" t="s">
        <v>27956</v>
      </c>
      <c r="K4173" s="5" t="s">
        <v>344</v>
      </c>
      <c r="L4173" s="5" t="s">
        <v>37825</v>
      </c>
      <c r="M4173" s="27"/>
      <c r="N4173" s="5" t="s">
        <v>55801</v>
      </c>
      <c r="O4173" s="5" t="str">
        <v>2224143200</v>
      </c>
      <c r="P4173" s="27">
        <v>40000</v>
      </c>
      <c r="Q4173" s="5" t="s">
        <v>55802</v>
      </c>
      <c r="R4173" s="5"/>
      <c r="S4173" s="5" t="s">
        <v>49399</v>
      </c>
      <c r="T4173" s="28">
        <v>29833000</v>
      </c>
      <c r="U4173" s="28"/>
      <c r="V4173" s="28">
        <v>468172000</v>
      </c>
      <c r="W4173" s="28"/>
      <c r="X4173" s="28">
        <v>10000</v>
      </c>
      <c r="Y4173" s="28">
        <v>531195000</v>
      </c>
      <c r="Z4173" s="28">
        <v>328950000</v>
      </c>
      <c r="AA4173" s="28"/>
      <c r="AB4173" s="28">
        <v>65978000</v>
      </c>
      <c r="AC4173" s="28">
        <v>201784000</v>
      </c>
      <c r="AD4173" s="28">
        <v>328990000</v>
      </c>
      <c r="AE4173" s="28">
        <v>6649313000</v>
      </c>
      <c r="AF4173" s="28">
        <v>125305000</v>
      </c>
      <c r="AG4173" s="11"/>
    </row>
    <row r="4174">
      <c r="A4174" s="7" t="s">
        <v>5824</v>
      </c>
      <c r="B4174" s="5" t="s">
        <v>13783</v>
      </c>
      <c r="C4174" s="5" t="s">
        <v>21546</v>
      </c>
      <c r="D4174" s="5" t="str">
        <v>672906471405</v>
      </c>
      <c r="E4174" s="0" t="e">
        <f>+7 (812) 3648936
+7 (812) 4548540
+7 (812) 4548746</f>
        <v>#NAME?</v>
      </c>
      <c r="F4174" s="5" t="s">
        <v>37826</v>
      </c>
      <c r="G4174" s="5"/>
      <c r="H4174" s="26">
        <v>10</v>
      </c>
      <c r="I4174" s="5" t="s">
        <v>37827</v>
      </c>
      <c r="J4174" s="5" t="s">
        <v>641</v>
      </c>
      <c r="K4174" s="5" t="s">
        <v>344</v>
      </c>
      <c r="L4174" s="5" t="s">
        <v>37828</v>
      </c>
      <c r="M4174" s="27">
        <v>2254884</v>
      </c>
      <c r="N4174" s="5" t="s">
        <v>55803</v>
      </c>
      <c r="O4174" s="5" t="str">
        <v>7842489681</v>
      </c>
      <c r="P4174" s="27">
        <v>50000</v>
      </c>
      <c r="Q4174" s="5" t="s">
        <v>55804</v>
      </c>
      <c r="R4174" s="5"/>
      <c r="S4174" s="5" t="s">
        <v>55805</v>
      </c>
      <c r="T4174" s="28">
        <v>11132000</v>
      </c>
      <c r="U4174" s="28">
        <v>4587000</v>
      </c>
      <c r="V4174" s="28">
        <v>1997854000</v>
      </c>
      <c r="W4174" s="28">
        <v>11200000</v>
      </c>
      <c r="X4174" s="28">
        <v>60164000</v>
      </c>
      <c r="Y4174" s="28">
        <v>2294372000</v>
      </c>
      <c r="Z4174" s="28">
        <v>1423264000</v>
      </c>
      <c r="AA4174" s="28"/>
      <c r="AB4174" s="28">
        <v>27337000</v>
      </c>
      <c r="AC4174" s="28">
        <v>858521000</v>
      </c>
      <c r="AD4174" s="28">
        <v>1423314000</v>
      </c>
      <c r="AE4174" s="28">
        <v>3516066000</v>
      </c>
      <c r="AF4174" s="28">
        <v>695522000</v>
      </c>
      <c r="AG4174" s="11"/>
    </row>
    <row r="4175">
      <c r="A4175" s="7" t="s">
        <v>5825</v>
      </c>
      <c r="B4175" s="5" t="s">
        <v>13784</v>
      </c>
      <c r="C4175" s="5" t="s">
        <v>21547</v>
      </c>
      <c r="D4175" s="5" t="str">
        <v>540805241978</v>
      </c>
      <c r="E4175" s="0" t="e">
        <f>+7 (383) 3630239
+7 (383) 3630259</f>
        <v>#NAME?</v>
      </c>
      <c r="F4175" s="5" t="s">
        <v>37829</v>
      </c>
      <c r="G4175" s="5"/>
      <c r="H4175" s="26">
        <v>4.5</v>
      </c>
      <c r="I4175" s="5" t="s">
        <v>37830</v>
      </c>
      <c r="J4175" s="5" t="s">
        <v>30764</v>
      </c>
      <c r="K4175" s="5" t="s">
        <v>344</v>
      </c>
      <c r="L4175" s="5"/>
      <c r="M4175" s="27">
        <v>1651755</v>
      </c>
      <c r="N4175" s="5"/>
      <c r="O4175" s="5" t="str">
        <v>5404079580</v>
      </c>
      <c r="P4175" s="27">
        <v>10000</v>
      </c>
      <c r="Q4175" s="5" t="s">
        <v>49009</v>
      </c>
      <c r="R4175" s="5"/>
      <c r="S4175" s="5" t="s">
        <v>49010</v>
      </c>
      <c r="T4175" s="28"/>
      <c r="U4175" s="28"/>
      <c r="V4175" s="28">
        <v>1332382000</v>
      </c>
      <c r="W4175" s="28"/>
      <c r="X4175" s="28">
        <v>50376000</v>
      </c>
      <c r="Y4175" s="28">
        <v>1461403000</v>
      </c>
      <c r="Z4175" s="28">
        <v>13825000</v>
      </c>
      <c r="AA4175" s="28"/>
      <c r="AB4175" s="28"/>
      <c r="AC4175" s="28">
        <v>1447569000</v>
      </c>
      <c r="AD4175" s="28">
        <v>13835000</v>
      </c>
      <c r="AE4175" s="28">
        <v>4853207000</v>
      </c>
      <c r="AF4175" s="28">
        <v>48374000</v>
      </c>
      <c r="AG4175" s="11"/>
    </row>
    <row r="4176">
      <c r="A4176" s="7" t="s">
        <v>5826</v>
      </c>
      <c r="B4176" s="5" t="s">
        <v>13785</v>
      </c>
      <c r="C4176" s="5" t="s">
        <v>21548</v>
      </c>
      <c r="D4176" s="5" t="str">
        <v>505602263948</v>
      </c>
      <c r="F4176" s="5"/>
      <c r="G4176" s="5"/>
      <c r="H4176" s="26">
        <v>16.5</v>
      </c>
      <c r="I4176" s="5" t="s">
        <v>37831</v>
      </c>
      <c r="J4176" s="5" t="s">
        <v>955</v>
      </c>
      <c r="K4176" s="5" t="s">
        <v>344</v>
      </c>
      <c r="L4176" s="5" t="s">
        <v>37832</v>
      </c>
      <c r="M4176" s="27"/>
      <c r="N4176" s="5"/>
      <c r="O4176" s="5" t="str">
        <v>7734358071</v>
      </c>
      <c r="P4176" s="27">
        <v>500000</v>
      </c>
      <c r="Q4176" s="5" t="s">
        <v>49009</v>
      </c>
      <c r="R4176" s="5"/>
      <c r="S4176" s="5" t="s">
        <v>49045</v>
      </c>
      <c r="T4176" s="28">
        <v>25987000</v>
      </c>
      <c r="U4176" s="28"/>
      <c r="V4176" s="28">
        <v>3239523000</v>
      </c>
      <c r="W4176" s="28"/>
      <c r="X4176" s="28">
        <v>14290000</v>
      </c>
      <c r="Y4176" s="28">
        <v>3691995000</v>
      </c>
      <c r="Z4176" s="28">
        <v>2024046000</v>
      </c>
      <c r="AA4176" s="28"/>
      <c r="AB4176" s="28">
        <v>1487081000</v>
      </c>
      <c r="AC4176" s="28">
        <v>1657789000</v>
      </c>
      <c r="AD4176" s="28">
        <v>2024546000</v>
      </c>
      <c r="AE4176" s="28">
        <v>21549401000</v>
      </c>
      <c r="AF4176" s="28">
        <v>861725000</v>
      </c>
      <c r="AG4176" s="11"/>
    </row>
    <row r="4177">
      <c r="A4177" s="7" t="s">
        <v>5827</v>
      </c>
      <c r="B4177" s="5" t="s">
        <v>13786</v>
      </c>
      <c r="C4177" s="5" t="s">
        <v>21549</v>
      </c>
      <c r="D4177" s="5" t="str">
        <v>781101035442</v>
      </c>
      <c r="E4177" s="0" t="e">
        <f>+7 (921) 9217373
+7 (812) 3208832
+7 (812) 3333398
+7 (812) 7078833</f>
        <v>#NAME?</v>
      </c>
      <c r="F4177" s="5" t="s">
        <v>37833</v>
      </c>
      <c r="G4177" s="5"/>
      <c r="H4177" s="26">
        <v>16.5</v>
      </c>
      <c r="I4177" s="5" t="s">
        <v>37834</v>
      </c>
      <c r="J4177" s="5" t="s">
        <v>364</v>
      </c>
      <c r="K4177" s="5" t="s">
        <v>344</v>
      </c>
      <c r="L4177" s="5" t="s">
        <v>37835</v>
      </c>
      <c r="M4177" s="27">
        <v>513890</v>
      </c>
      <c r="N4177" s="5"/>
      <c r="O4177" s="5" t="str">
        <v>7816401240</v>
      </c>
      <c r="P4177" s="27">
        <v>1000000</v>
      </c>
      <c r="Q4177" s="5" t="s">
        <v>55806</v>
      </c>
      <c r="R4177" s="5"/>
      <c r="S4177" s="5" t="s">
        <v>49089</v>
      </c>
      <c r="T4177" s="28">
        <v>52843000</v>
      </c>
      <c r="U4177" s="28">
        <v>34299000</v>
      </c>
      <c r="V4177" s="28">
        <v>1518870000</v>
      </c>
      <c r="W4177" s="28">
        <v>20266000</v>
      </c>
      <c r="X4177" s="28">
        <v>237775000</v>
      </c>
      <c r="Y4177" s="28">
        <v>1917351000</v>
      </c>
      <c r="Z4177" s="28">
        <v>104820000</v>
      </c>
      <c r="AA4177" s="28"/>
      <c r="AB4177" s="28"/>
      <c r="AC4177" s="28">
        <v>1800354000</v>
      </c>
      <c r="AD4177" s="28">
        <v>105820000</v>
      </c>
      <c r="AE4177" s="28">
        <v>3168667000</v>
      </c>
      <c r="AF4177" s="28">
        <v>17119000</v>
      </c>
      <c r="AG4177" s="11"/>
    </row>
    <row r="4178">
      <c r="A4178" s="7" t="s">
        <v>5828</v>
      </c>
      <c r="B4178" s="5" t="s">
        <v>13787</v>
      </c>
      <c r="C4178" s="5" t="s">
        <v>21550</v>
      </c>
      <c r="D4178" s="5" t="str">
        <v>201485491090</v>
      </c>
      <c r="F4178" s="5"/>
      <c r="G4178" s="5"/>
      <c r="H4178" s="26">
        <v>14.5</v>
      </c>
      <c r="I4178" s="5" t="s">
        <v>37836</v>
      </c>
      <c r="J4178" s="5" t="s">
        <v>502</v>
      </c>
      <c r="K4178" s="5" t="s">
        <v>355</v>
      </c>
      <c r="L4178" s="5"/>
      <c r="M4178" s="27"/>
      <c r="N4178" s="5"/>
      <c r="O4178" s="5" t="str">
        <v>2013433319</v>
      </c>
      <c r="P4178" s="27">
        <v>20000</v>
      </c>
      <c r="Q4178" s="5"/>
      <c r="R4178" s="5"/>
      <c r="S4178" s="5" t="s">
        <v>49110</v>
      </c>
      <c r="T4178" s="28"/>
      <c r="U4178" s="28"/>
      <c r="V4178" s="28"/>
      <c r="W4178" s="28"/>
      <c r="X4178" s="28"/>
      <c r="Y4178" s="28">
        <v>20000000</v>
      </c>
      <c r="Z4178" s="28"/>
      <c r="AA4178" s="28"/>
      <c r="AB4178" s="28"/>
      <c r="AC4178" s="28"/>
      <c r="AD4178" s="28">
        <v>20000000</v>
      </c>
      <c r="AE4178" s="28">
        <v>5364608000</v>
      </c>
      <c r="AF4178" s="28">
        <v>5374608000</v>
      </c>
      <c r="AG4178" s="11"/>
    </row>
    <row r="4179">
      <c r="A4179" s="7" t="s">
        <v>5829</v>
      </c>
      <c r="B4179" s="5" t="s">
        <v>13788</v>
      </c>
      <c r="C4179" s="5" t="s">
        <v>21551</v>
      </c>
      <c r="D4179" s="5" t="str">
        <v>519010645646</v>
      </c>
      <c r="E4179" s="0" t="e">
        <f>+7 (815) 2637637
+7 (815) 2288064</f>
        <v>#NAME?</v>
      </c>
      <c r="F4179" s="5" t="s">
        <v>37837</v>
      </c>
      <c r="G4179" s="5"/>
      <c r="H4179" s="26">
        <v>13.5</v>
      </c>
      <c r="I4179" s="5"/>
      <c r="J4179" s="5" t="s">
        <v>30218</v>
      </c>
      <c r="K4179" s="5" t="s">
        <v>344</v>
      </c>
      <c r="L4179" s="5"/>
      <c r="M4179" s="27"/>
      <c r="N4179" s="5"/>
      <c r="O4179" s="5" t="str">
        <v>5190908693</v>
      </c>
      <c r="P4179" s="27">
        <v>410000000</v>
      </c>
      <c r="Q4179" s="5" t="s">
        <v>49688</v>
      </c>
      <c r="R4179" s="5"/>
      <c r="S4179" s="5" t="s">
        <v>55807</v>
      </c>
      <c r="T4179" s="28">
        <v>1086966000</v>
      </c>
      <c r="U4179" s="28"/>
      <c r="V4179" s="28">
        <v>590076000</v>
      </c>
      <c r="W4179" s="28"/>
      <c r="X4179" s="28">
        <v>515214000</v>
      </c>
      <c r="Y4179" s="28">
        <v>2810694000</v>
      </c>
      <c r="Z4179" s="28">
        <v>814902000</v>
      </c>
      <c r="AA4179" s="28">
        <v>62400000</v>
      </c>
      <c r="AB4179" s="28">
        <v>21481000</v>
      </c>
      <c r="AC4179" s="28">
        <v>1418352000</v>
      </c>
      <c r="AD4179" s="28">
        <v>1247955000</v>
      </c>
      <c r="AE4179" s="28">
        <v>7926056000</v>
      </c>
      <c r="AF4179" s="28">
        <v>359418000</v>
      </c>
      <c r="AG4179" s="11"/>
    </row>
    <row r="4180">
      <c r="A4180" s="7" t="s">
        <v>5830</v>
      </c>
      <c r="B4180" s="5" t="s">
        <v>13789</v>
      </c>
      <c r="C4180" s="5" t="s">
        <v>21552</v>
      </c>
      <c r="D4180" s="5" t="str">
        <v>245708290794</v>
      </c>
      <c r="E4180" s="0" t="e">
        <f>+7 (391) 2649249
+7 (391) 2649632
+7 (391) 9222198
+7 (391) 9340467
+7 (3919) 253144
+7 (3919) 253212</f>
        <v>#NAME?</v>
      </c>
      <c r="F4180" s="5" t="s">
        <v>37838</v>
      </c>
      <c r="G4180" s="5" t="s">
        <v>37839</v>
      </c>
      <c r="H4180" s="26">
        <v>29.5</v>
      </c>
      <c r="I4180" s="5" t="s">
        <v>37840</v>
      </c>
      <c r="J4180" s="5" t="s">
        <v>27129</v>
      </c>
      <c r="K4180" s="5" t="s">
        <v>380</v>
      </c>
      <c r="L4180" s="5"/>
      <c r="M4180" s="27">
        <v>23598359</v>
      </c>
      <c r="N4180" s="5" t="s">
        <v>55808</v>
      </c>
      <c r="O4180" s="5" t="str">
        <v>2457002628</v>
      </c>
      <c r="P4180" s="27">
        <v>7157232</v>
      </c>
      <c r="Q4180" s="5" t="s">
        <v>55809</v>
      </c>
      <c r="R4180" s="5" t="s">
        <v>55810</v>
      </c>
      <c r="S4180" s="5" t="s">
        <v>51304</v>
      </c>
      <c r="T4180" s="28">
        <v>8645657000</v>
      </c>
      <c r="U4180" s="28"/>
      <c r="V4180" s="28">
        <v>2659787000</v>
      </c>
      <c r="W4180" s="28">
        <v>2133797000</v>
      </c>
      <c r="X4180" s="28"/>
      <c r="Y4180" s="28">
        <v>14709753000</v>
      </c>
      <c r="Z4180" s="28">
        <v>-2225315000</v>
      </c>
      <c r="AA4180" s="28"/>
      <c r="AB4180" s="28"/>
      <c r="AC4180" s="28">
        <v>2526070000</v>
      </c>
      <c r="AD4180" s="28">
        <v>11832928000</v>
      </c>
      <c r="AE4180" s="28">
        <v>14789039000</v>
      </c>
      <c r="AF4180" s="28">
        <v>-524493000</v>
      </c>
      <c r="AG4180" s="11"/>
    </row>
    <row r="4181">
      <c r="A4181" s="7" t="s">
        <v>5831</v>
      </c>
      <c r="B4181" s="5" t="s">
        <v>13790</v>
      </c>
      <c r="C4181" s="5" t="s">
        <v>21553</v>
      </c>
      <c r="D4181" s="5" t="str">
        <v>245705862676</v>
      </c>
      <c r="E4181" s="0" t="e">
        <f>+7 (391) 9435912
+7 (391) 9485121
+7 (3919) 253551
+7 (3919) 428710
+7 (3919) 434414</f>
        <v>#NAME?</v>
      </c>
      <c r="F4181" s="5" t="s">
        <v>37841</v>
      </c>
      <c r="G4181" s="5"/>
      <c r="H4181" s="26">
        <v>16.5</v>
      </c>
      <c r="I4181" s="5" t="s">
        <v>37842</v>
      </c>
      <c r="J4181" s="5" t="s">
        <v>445</v>
      </c>
      <c r="K4181" s="5" t="s">
        <v>380</v>
      </c>
      <c r="L4181" s="5"/>
      <c r="M4181" s="27"/>
      <c r="N4181" s="5" t="s">
        <v>55811</v>
      </c>
      <c r="O4181" s="5" t="str">
        <v>2457061920</v>
      </c>
      <c r="P4181" s="27">
        <v>12298786396</v>
      </c>
      <c r="Q4181" s="5"/>
      <c r="R4181" s="5" t="s">
        <v>55812</v>
      </c>
      <c r="S4181" s="5" t="s">
        <v>55813</v>
      </c>
      <c r="T4181" s="28">
        <v>21063654000</v>
      </c>
      <c r="U4181" s="28"/>
      <c r="V4181" s="28">
        <v>2593880000</v>
      </c>
      <c r="W4181" s="28">
        <v>233450000</v>
      </c>
      <c r="X4181" s="28">
        <v>5776000</v>
      </c>
      <c r="Y4181" s="28">
        <v>29171157000</v>
      </c>
      <c r="Z4181" s="28">
        <v>-8698406000</v>
      </c>
      <c r="AA4181" s="28"/>
      <c r="AB4181" s="28">
        <v>2250000000</v>
      </c>
      <c r="AC4181" s="28">
        <v>8449152000</v>
      </c>
      <c r="AD4181" s="28">
        <v>19116955000</v>
      </c>
      <c r="AE4181" s="28">
        <v>19294882000</v>
      </c>
      <c r="AF4181" s="28">
        <v>-4202758000</v>
      </c>
      <c r="AG4181" s="11"/>
    </row>
    <row r="4182">
      <c r="A4182" s="7" t="s">
        <v>5832</v>
      </c>
      <c r="B4182" s="5" t="s">
        <v>13791</v>
      </c>
      <c r="C4182" s="5" t="s">
        <v>21554</v>
      </c>
      <c r="D4182" s="5" t="str">
        <v>245710675600</v>
      </c>
      <c r="E4182" s="0" t="e">
        <f>+7 (3919) 240302
+7 (3919) 251802
+7 (3919) 251909
+7 (3919) 253526
+7 (3919) 255585
+7 (3919) 255931
+7 (3919) 258829
+7 (3919) 468208</f>
        <v>#NAME?</v>
      </c>
      <c r="F4182" s="5" t="s">
        <v>37843</v>
      </c>
      <c r="G4182" s="5"/>
      <c r="H4182" s="26">
        <v>16.5</v>
      </c>
      <c r="I4182" s="5" t="s">
        <v>37844</v>
      </c>
      <c r="J4182" s="5" t="s">
        <v>897</v>
      </c>
      <c r="K4182" s="5" t="s">
        <v>380</v>
      </c>
      <c r="L4182" s="5"/>
      <c r="M4182" s="27"/>
      <c r="N4182" s="5" t="s">
        <v>55814</v>
      </c>
      <c r="O4182" s="5" t="str">
        <v>2457061937</v>
      </c>
      <c r="P4182" s="27">
        <v>2267951308</v>
      </c>
      <c r="Q4182" s="5" t="s">
        <v>55815</v>
      </c>
      <c r="R4182" s="5"/>
      <c r="S4182" s="5" t="s">
        <v>55816</v>
      </c>
      <c r="T4182" s="28">
        <v>6494900000</v>
      </c>
      <c r="U4182" s="28"/>
      <c r="V4182" s="28">
        <v>7381414000</v>
      </c>
      <c r="W4182" s="28">
        <v>293642000</v>
      </c>
      <c r="X4182" s="28">
        <v>80000</v>
      </c>
      <c r="Y4182" s="28">
        <v>17761916000</v>
      </c>
      <c r="Z4182" s="28">
        <v>-10608810000</v>
      </c>
      <c r="AA4182" s="28"/>
      <c r="AB4182" s="28"/>
      <c r="AC4182" s="28">
        <v>9991181000</v>
      </c>
      <c r="AD4182" s="28">
        <v>7490960000</v>
      </c>
      <c r="AE4182" s="28">
        <v>40827636000</v>
      </c>
      <c r="AF4182" s="28">
        <v>-7332921000</v>
      </c>
      <c r="AG4182" s="11"/>
    </row>
    <row r="4183">
      <c r="A4183" s="7" t="s">
        <v>5833</v>
      </c>
      <c r="B4183" s="5" t="s">
        <v>13792</v>
      </c>
      <c r="C4183" s="5" t="s">
        <v>21555</v>
      </c>
      <c r="D4183" s="5" t="str">
        <v>165915040224</v>
      </c>
      <c r="E4183" s="0" t="e">
        <f>+7 (3919) 253147
+7 (3919) 253212
+7 (3919) 253242</f>
        <v>#NAME?</v>
      </c>
      <c r="F4183" s="5" t="s">
        <v>37845</v>
      </c>
      <c r="G4183" s="5" t="s">
        <v>37846</v>
      </c>
      <c r="H4183" s="26">
        <v>6.5</v>
      </c>
      <c r="I4183" s="5" t="s">
        <v>37847</v>
      </c>
      <c r="J4183" s="5" t="s">
        <v>29796</v>
      </c>
      <c r="K4183" s="5" t="s">
        <v>355</v>
      </c>
      <c r="L4183" s="5"/>
      <c r="M4183" s="27">
        <v>46159737</v>
      </c>
      <c r="N4183" s="5" t="s">
        <v>55817</v>
      </c>
      <c r="O4183" s="5" t="str">
        <v>2457081355</v>
      </c>
      <c r="P4183" s="27">
        <v>17908000</v>
      </c>
      <c r="Q4183" s="5" t="s">
        <v>55819</v>
      </c>
      <c r="R4183" s="5" t="s">
        <v>55820</v>
      </c>
      <c r="S4183" s="5" t="s">
        <v>51304</v>
      </c>
      <c r="T4183" s="28">
        <v>63216019000</v>
      </c>
      <c r="U4183" s="28"/>
      <c r="V4183" s="28">
        <v>2310637000</v>
      </c>
      <c r="W4183" s="28">
        <v>371933000</v>
      </c>
      <c r="X4183" s="28">
        <v>42000</v>
      </c>
      <c r="Y4183" s="28">
        <v>67135866000</v>
      </c>
      <c r="Z4183" s="28">
        <v>-2635952000</v>
      </c>
      <c r="AA4183" s="28"/>
      <c r="AB4183" s="28"/>
      <c r="AC4183" s="28">
        <v>3094560000</v>
      </c>
      <c r="AD4183" s="28">
        <v>61387594000</v>
      </c>
      <c r="AE4183" s="28">
        <v>8353412000</v>
      </c>
      <c r="AF4183" s="28">
        <v>-3035967000</v>
      </c>
      <c r="AG4183" s="11"/>
    </row>
    <row r="4184">
      <c r="A4184" s="7" t="s">
        <v>5834</v>
      </c>
      <c r="B4184" s="5" t="s">
        <v>13793</v>
      </c>
      <c r="C4184" s="5" t="s">
        <v>21556</v>
      </c>
      <c r="D4184" s="5" t="str">
        <v>270307358011</v>
      </c>
      <c r="E4184" s="0" t="e">
        <f>+7 (4217) 591099
+7 (4217) 592660</f>
        <v>#NAME?</v>
      </c>
      <c r="F4184" s="5"/>
      <c r="G4184" s="5" t="s">
        <v>37848</v>
      </c>
      <c r="H4184" s="26">
        <v>13.5</v>
      </c>
      <c r="I4184" s="5" t="s">
        <v>37849</v>
      </c>
      <c r="J4184" s="5" t="s">
        <v>373</v>
      </c>
      <c r="K4184" s="5" t="s">
        <v>344</v>
      </c>
      <c r="L4184" s="5" t="s">
        <v>37850</v>
      </c>
      <c r="M4184" s="27"/>
      <c r="N4184" s="5" t="s">
        <v>55821</v>
      </c>
      <c r="O4184" s="5" t="str">
        <v>2703052366</v>
      </c>
      <c r="P4184" s="27">
        <v>30000</v>
      </c>
      <c r="Q4184" s="5" t="s">
        <v>55822</v>
      </c>
      <c r="R4184" s="5" t="s">
        <v>55648</v>
      </c>
      <c r="S4184" s="5" t="s">
        <v>55823</v>
      </c>
      <c r="T4184" s="28">
        <v>351293000</v>
      </c>
      <c r="U4184" s="28"/>
      <c r="V4184" s="28">
        <v>369508000</v>
      </c>
      <c r="W4184" s="28">
        <v>12996000</v>
      </c>
      <c r="X4184" s="28">
        <v>28322000</v>
      </c>
      <c r="Y4184" s="28">
        <v>852008000</v>
      </c>
      <c r="Z4184" s="28">
        <v>403004000</v>
      </c>
      <c r="AA4184" s="28">
        <v>58900000</v>
      </c>
      <c r="AB4184" s="28">
        <v>66409000</v>
      </c>
      <c r="AC4184" s="28">
        <v>220121000</v>
      </c>
      <c r="AD4184" s="28">
        <v>403034000</v>
      </c>
      <c r="AE4184" s="28">
        <v>3533322000</v>
      </c>
      <c r="AF4184" s="28">
        <v>79797000</v>
      </c>
      <c r="AG4184" s="11"/>
    </row>
    <row r="4185">
      <c r="A4185" s="7" t="s">
        <v>5835</v>
      </c>
      <c r="B4185" s="5" t="s">
        <v>13794</v>
      </c>
      <c r="C4185" s="5" t="s">
        <v>21557</v>
      </c>
      <c r="D4185" s="5" t="str">
        <v>590612440802</v>
      </c>
      <c r="E4185" s="0" t="e">
        <f>+7 (812) 4441936
+7 (812) 4442549
+7 (812) 4452008
+7 (960) 2837914</f>
        <v>#NAME?</v>
      </c>
      <c r="F4185" s="5" t="s">
        <v>37851</v>
      </c>
      <c r="G4185" s="5" t="s">
        <v>37852</v>
      </c>
      <c r="H4185" s="26">
        <v>6</v>
      </c>
      <c r="I4185" s="5" t="s">
        <v>37853</v>
      </c>
      <c r="J4185" s="5" t="s">
        <v>25219</v>
      </c>
      <c r="K4185" s="5" t="s">
        <v>344</v>
      </c>
      <c r="L4185" s="5" t="s">
        <v>37854</v>
      </c>
      <c r="M4185" s="27">
        <v>37618</v>
      </c>
      <c r="N4185" s="5"/>
      <c r="O4185" s="5" t="str">
        <v>7806258294</v>
      </c>
      <c r="P4185" s="27">
        <v>10000000</v>
      </c>
      <c r="Q4185" s="5" t="s">
        <v>49009</v>
      </c>
      <c r="R4185" s="5"/>
      <c r="S4185" s="5" t="s">
        <v>49010</v>
      </c>
      <c r="T4185" s="28">
        <v>312779000</v>
      </c>
      <c r="U4185" s="28"/>
      <c r="V4185" s="28">
        <v>120521000</v>
      </c>
      <c r="W4185" s="28"/>
      <c r="X4185" s="28">
        <v>82669000</v>
      </c>
      <c r="Y4185" s="28">
        <v>1161959000</v>
      </c>
      <c r="Z4185" s="28">
        <v>304567000</v>
      </c>
      <c r="AA4185" s="28"/>
      <c r="AB4185" s="28"/>
      <c r="AC4185" s="28">
        <v>584265000</v>
      </c>
      <c r="AD4185" s="28">
        <v>314567000</v>
      </c>
      <c r="AE4185" s="28">
        <v>4368707000</v>
      </c>
      <c r="AF4185" s="28">
        <v>218728000</v>
      </c>
      <c r="AG4185" s="11"/>
    </row>
    <row r="4186">
      <c r="A4186" s="7" t="s">
        <v>5836</v>
      </c>
      <c r="B4186" s="5" t="s">
        <v>13795</v>
      </c>
      <c r="C4186" s="5" t="s">
        <v>21558</v>
      </c>
      <c r="D4186" s="5" t="str">
        <v>366218207360</v>
      </c>
      <c r="E4186" s="0" t="e">
        <f>+7 (473) 2281184
+7 (909) 2107871
+7 (473) 2281144
+7 (473) 2349700
+7 (910) 2876715</f>
        <v>#NAME?</v>
      </c>
      <c r="F4186" s="5" t="s">
        <v>37855</v>
      </c>
      <c r="G4186" s="5" t="s">
        <v>37856</v>
      </c>
      <c r="H4186" s="26">
        <v>13.5</v>
      </c>
      <c r="I4186" s="5" t="s">
        <v>37857</v>
      </c>
      <c r="J4186" s="5" t="s">
        <v>25429</v>
      </c>
      <c r="K4186" s="5" t="s">
        <v>344</v>
      </c>
      <c r="L4186" s="5" t="s">
        <v>37858</v>
      </c>
      <c r="M4186" s="27"/>
      <c r="N4186" s="5" t="s">
        <v>55824</v>
      </c>
      <c r="O4186" s="5" t="str">
        <v>3625010992</v>
      </c>
      <c r="P4186" s="27">
        <v>11000</v>
      </c>
      <c r="Q4186" s="5" t="s">
        <v>55825</v>
      </c>
      <c r="R4186" s="5"/>
      <c r="S4186" s="5" t="s">
        <v>50630</v>
      </c>
      <c r="T4186" s="28">
        <v>89636000</v>
      </c>
      <c r="U4186" s="28"/>
      <c r="V4186" s="28">
        <v>782593000</v>
      </c>
      <c r="W4186" s="28"/>
      <c r="X4186" s="28">
        <v>33402000</v>
      </c>
      <c r="Y4186" s="28">
        <v>1701179000</v>
      </c>
      <c r="Z4186" s="28">
        <v>492281000</v>
      </c>
      <c r="AA4186" s="28"/>
      <c r="AB4186" s="28">
        <v>708178000</v>
      </c>
      <c r="AC4186" s="28">
        <v>1198360000</v>
      </c>
      <c r="AD4186" s="28">
        <v>492292000</v>
      </c>
      <c r="AE4186" s="28">
        <v>4940112000</v>
      </c>
      <c r="AF4186" s="28">
        <v>32307000</v>
      </c>
      <c r="AG4186" s="11"/>
    </row>
    <row r="4187">
      <c r="A4187" s="7" t="s">
        <v>5837</v>
      </c>
      <c r="B4187" s="5" t="s">
        <v>13796</v>
      </c>
      <c r="C4187" s="5" t="s">
        <v>21559</v>
      </c>
      <c r="D4187" s="5" t="str">
        <v>772080584701</v>
      </c>
      <c r="E4187" s="0" t="e">
        <f>+7 (3919) 493774
+7 (495) 7875080
+7 (8452) 426070
+7 (913) 5043774
+7 (925) 3886449</f>
        <v>#NAME?</v>
      </c>
      <c r="F4187" s="5" t="s">
        <v>37859</v>
      </c>
      <c r="G4187" s="5" t="s">
        <v>37860</v>
      </c>
      <c r="H4187" s="26">
        <v>13</v>
      </c>
      <c r="I4187" s="5" t="s">
        <v>37861</v>
      </c>
      <c r="J4187" s="5" t="s">
        <v>37862</v>
      </c>
      <c r="K4187" s="5" t="s">
        <v>344</v>
      </c>
      <c r="L4187" s="5" t="s">
        <v>37863</v>
      </c>
      <c r="M4187" s="27"/>
      <c r="N4187" s="5" t="s">
        <v>55826</v>
      </c>
      <c r="O4187" s="5" t="str">
        <v>7743773042</v>
      </c>
      <c r="P4187" s="27">
        <v>120749000</v>
      </c>
      <c r="Q4187" s="5" t="s">
        <v>49009</v>
      </c>
      <c r="R4187" s="5"/>
      <c r="S4187" s="5" t="s">
        <v>49998</v>
      </c>
      <c r="T4187" s="28">
        <v>1437236000</v>
      </c>
      <c r="U4187" s="28"/>
      <c r="V4187" s="28">
        <v>3438948000</v>
      </c>
      <c r="W4187" s="28">
        <v>1441393000</v>
      </c>
      <c r="X4187" s="28"/>
      <c r="Y4187" s="28">
        <v>8261110000</v>
      </c>
      <c r="Z4187" s="28">
        <v>1699355000</v>
      </c>
      <c r="AA4187" s="28"/>
      <c r="AB4187" s="28">
        <v>63679000</v>
      </c>
      <c r="AC4187" s="28">
        <v>5587284000</v>
      </c>
      <c r="AD4187" s="28">
        <v>2319063000</v>
      </c>
      <c r="AE4187" s="28">
        <v>18486038000</v>
      </c>
      <c r="AF4187" s="28">
        <v>755886000</v>
      </c>
      <c r="AG4187" s="11"/>
    </row>
    <row r="4188">
      <c r="A4188" s="7" t="s">
        <v>5838</v>
      </c>
      <c r="B4188" s="5" t="s">
        <v>13797</v>
      </c>
      <c r="C4188" s="5" t="s">
        <v>21560</v>
      </c>
      <c r="D4188" s="5" t="str">
        <v>732715203709</v>
      </c>
      <c r="E4188" s="0" t="e">
        <f>+7 (495) 7256686
+7 (495) 9156093
+7 (495) 9881923</f>
        <v>#NAME?</v>
      </c>
      <c r="F4188" s="5" t="s">
        <v>37864</v>
      </c>
      <c r="G4188" s="5" t="s">
        <v>37865</v>
      </c>
      <c r="H4188" s="26">
        <v>23</v>
      </c>
      <c r="I4188" s="5"/>
      <c r="J4188" s="5" t="s">
        <v>678</v>
      </c>
      <c r="K4188" s="5" t="s">
        <v>355</v>
      </c>
      <c r="L4188" s="5" t="s">
        <v>37866</v>
      </c>
      <c r="M4188" s="27"/>
      <c r="N4188" s="5"/>
      <c r="O4188" s="5" t="str">
        <v>7705369008</v>
      </c>
      <c r="P4188" s="27">
        <v>19999980</v>
      </c>
      <c r="Q4188" s="5" t="s">
        <v>55828</v>
      </c>
      <c r="R4188" s="5" t="s">
        <v>55829</v>
      </c>
      <c r="S4188" s="5" t="s">
        <v>55830</v>
      </c>
      <c r="T4188" s="28">
        <v>1666000</v>
      </c>
      <c r="U4188" s="28"/>
      <c r="V4188" s="28">
        <v>3416954000</v>
      </c>
      <c r="W4188" s="28">
        <v>1211958000</v>
      </c>
      <c r="X4188" s="28">
        <v>1381042000</v>
      </c>
      <c r="Y4188" s="28">
        <v>6112919000</v>
      </c>
      <c r="Z4188" s="28">
        <v>637579000</v>
      </c>
      <c r="AA4188" s="28"/>
      <c r="AB4188" s="28">
        <v>255714000</v>
      </c>
      <c r="AC4188" s="28">
        <v>5423019000</v>
      </c>
      <c r="AD4188" s="28">
        <v>658579000</v>
      </c>
      <c r="AE4188" s="28">
        <v>3668869000</v>
      </c>
      <c r="AF4188" s="28">
        <v>187717000</v>
      </c>
      <c r="AG4188" s="11"/>
    </row>
    <row r="4189">
      <c r="A4189" s="7" t="s">
        <v>5839</v>
      </c>
      <c r="B4189" s="5" t="s">
        <v>13798</v>
      </c>
      <c r="C4189" s="5" t="s">
        <v>21561</v>
      </c>
      <c r="D4189" s="5" t="str">
        <v>890408864630</v>
      </c>
      <c r="E4189" s="0" t="e">
        <f>+7 (495) 7774997
+7 (349) 2254274
+7 (3494) 932100
+7 (495) 7774970
+7 (922) 4608716</f>
        <v>#NAME?</v>
      </c>
      <c r="F4189" s="5" t="s">
        <v>37867</v>
      </c>
      <c r="G4189" s="5" t="s">
        <v>37868</v>
      </c>
      <c r="H4189" s="26">
        <v>29.5</v>
      </c>
      <c r="I4189" s="5"/>
      <c r="J4189" s="5" t="s">
        <v>27129</v>
      </c>
      <c r="K4189" s="5" t="s">
        <v>344</v>
      </c>
      <c r="L4189" s="5" t="s">
        <v>37869</v>
      </c>
      <c r="M4189" s="27">
        <v>45083030</v>
      </c>
      <c r="N4189" s="5"/>
      <c r="O4189" s="5" t="str">
        <v>8904045666</v>
      </c>
      <c r="P4189" s="27">
        <v>1876800000</v>
      </c>
      <c r="Q4189" s="5" t="s">
        <v>55831</v>
      </c>
      <c r="R4189" s="5"/>
      <c r="S4189" s="5" t="s">
        <v>52009</v>
      </c>
      <c r="T4189" s="28">
        <v>21343743000</v>
      </c>
      <c r="U4189" s="28"/>
      <c r="V4189" s="28">
        <v>1887622000</v>
      </c>
      <c r="W4189" s="28">
        <v>1608000</v>
      </c>
      <c r="X4189" s="28">
        <v>588493000</v>
      </c>
      <c r="Y4189" s="28">
        <v>25427874000</v>
      </c>
      <c r="Z4189" s="28">
        <v>17533436000</v>
      </c>
      <c r="AA4189" s="28"/>
      <c r="AB4189" s="28"/>
      <c r="AC4189" s="28">
        <v>1736951000</v>
      </c>
      <c r="AD4189" s="28">
        <v>21169985000</v>
      </c>
      <c r="AE4189" s="28">
        <v>16192134000</v>
      </c>
      <c r="AF4189" s="28">
        <v>2240047000</v>
      </c>
      <c r="AG4189" s="11"/>
    </row>
    <row r="4190">
      <c r="A4190" s="7" t="s">
        <v>5840</v>
      </c>
      <c r="B4190" s="5" t="s">
        <v>13799</v>
      </c>
      <c r="C4190" s="5" t="s">
        <v>21562</v>
      </c>
      <c r="D4190" s="5" t="str">
        <v>772803962933</v>
      </c>
      <c r="E4190" s="0" t="e">
        <f>+7 (495) 5506626
+7 (495) 6320081
+7 (499) 2554440
+7 (916) 4118109
+7 (495) 2254440
+7 (495) 9330053</f>
        <v>#NAME?</v>
      </c>
      <c r="F4190" s="5" t="s">
        <v>37870</v>
      </c>
      <c r="G4190" s="5" t="s">
        <v>37871</v>
      </c>
      <c r="H4190" s="26">
        <v>17.5</v>
      </c>
      <c r="I4190" s="5" t="s">
        <v>37872</v>
      </c>
      <c r="J4190" s="5" t="s">
        <v>25512</v>
      </c>
      <c r="K4190" s="5" t="s">
        <v>344</v>
      </c>
      <c r="L4190" s="5" t="s">
        <v>37873</v>
      </c>
      <c r="M4190" s="27"/>
      <c r="N4190" s="5" t="s">
        <v>55832</v>
      </c>
      <c r="O4190" s="5" t="str">
        <v>7701618743</v>
      </c>
      <c r="P4190" s="27">
        <v>1000000</v>
      </c>
      <c r="Q4190" s="5" t="s">
        <v>49009</v>
      </c>
      <c r="R4190" s="5"/>
      <c r="S4190" s="5" t="s">
        <v>49139</v>
      </c>
      <c r="T4190" s="28">
        <v>190418000</v>
      </c>
      <c r="U4190" s="28">
        <v>19200000</v>
      </c>
      <c r="V4190" s="28">
        <v>2948568000</v>
      </c>
      <c r="W4190" s="28"/>
      <c r="X4190" s="28">
        <v>199330000</v>
      </c>
      <c r="Y4190" s="28">
        <v>5736728000</v>
      </c>
      <c r="Z4190" s="28">
        <v>3509439000</v>
      </c>
      <c r="AA4190" s="28"/>
      <c r="AB4190" s="28">
        <v>678149000</v>
      </c>
      <c r="AC4190" s="28">
        <v>2209209000</v>
      </c>
      <c r="AD4190" s="28">
        <v>3510830000</v>
      </c>
      <c r="AE4190" s="28">
        <v>21274781000</v>
      </c>
      <c r="AF4190" s="28">
        <v>1947864000</v>
      </c>
      <c r="AG4190" s="11"/>
    </row>
    <row r="4191">
      <c r="A4191" s="7" t="s">
        <v>5841</v>
      </c>
      <c r="B4191" s="5" t="s">
        <v>13800</v>
      </c>
      <c r="C4191" s="5" t="s">
        <v>21563</v>
      </c>
      <c r="D4191" s="5" t="str">
        <v>420592813118</v>
      </c>
      <c r="E4191" s="0" t="e">
        <f>+7 (384) 2657060</f>
        <v>#NAME?</v>
      </c>
      <c r="F4191" s="5" t="s">
        <v>37874</v>
      </c>
      <c r="G4191" s="5"/>
      <c r="H4191" s="26">
        <v>6</v>
      </c>
      <c r="I4191" s="5" t="s">
        <v>37875</v>
      </c>
      <c r="J4191" s="5" t="s">
        <v>671</v>
      </c>
      <c r="K4191" s="5" t="s">
        <v>344</v>
      </c>
      <c r="L4191" s="5" t="s">
        <v>37876</v>
      </c>
      <c r="M4191" s="27"/>
      <c r="N4191" s="5"/>
      <c r="O4191" s="5" t="str">
        <v>5402027971</v>
      </c>
      <c r="P4191" s="27">
        <v>100000</v>
      </c>
      <c r="Q4191" s="5" t="s">
        <v>49207</v>
      </c>
      <c r="R4191" s="5"/>
      <c r="S4191" s="5" t="s">
        <v>55833</v>
      </c>
      <c r="T4191" s="28">
        <v>216964000</v>
      </c>
      <c r="U4191" s="28"/>
      <c r="V4191" s="28">
        <v>379889000</v>
      </c>
      <c r="W4191" s="28">
        <v>100000000</v>
      </c>
      <c r="X4191" s="28">
        <v>221006000</v>
      </c>
      <c r="Y4191" s="28">
        <v>1052073000</v>
      </c>
      <c r="Z4191" s="28">
        <v>725849000</v>
      </c>
      <c r="AA4191" s="28"/>
      <c r="AB4191" s="28"/>
      <c r="AC4191" s="28">
        <v>287475000</v>
      </c>
      <c r="AD4191" s="28">
        <v>725950000</v>
      </c>
      <c r="AE4191" s="28">
        <v>3783818000</v>
      </c>
      <c r="AF4191" s="28">
        <v>1232141000</v>
      </c>
      <c r="AG4191" s="11"/>
    </row>
    <row r="4192">
      <c r="A4192" s="7" t="s">
        <v>5842</v>
      </c>
      <c r="B4192" s="5" t="s">
        <v>13801</v>
      </c>
      <c r="C4192" s="5" t="s">
        <v>21564</v>
      </c>
      <c r="D4192" s="5" t="str">
        <v>500108126066</v>
      </c>
      <c r="E4192" s="0" t="e">
        <f>+7 (495) 6516287
+7 (495) 8703214
+7 (495) 9136670
+7 (495) 9882684</f>
        <v>#NAME?</v>
      </c>
      <c r="F4192" s="5" t="s">
        <v>37877</v>
      </c>
      <c r="G4192" s="5" t="s">
        <v>37878</v>
      </c>
      <c r="H4192" s="26">
        <v>8</v>
      </c>
      <c r="I4192" s="5" t="s">
        <v>37879</v>
      </c>
      <c r="J4192" s="5" t="s">
        <v>31191</v>
      </c>
      <c r="K4192" s="5" t="s">
        <v>355</v>
      </c>
      <c r="L4192" s="5" t="s">
        <v>37880</v>
      </c>
      <c r="M4192" s="27">
        <v>179990</v>
      </c>
      <c r="N4192" s="5" t="s">
        <v>55834</v>
      </c>
      <c r="O4192" s="5" t="str">
        <v>7701349057</v>
      </c>
      <c r="P4192" s="27">
        <v>6000000</v>
      </c>
      <c r="Q4192" s="5" t="s">
        <v>49009</v>
      </c>
      <c r="R4192" s="5"/>
      <c r="S4192" s="5" t="s">
        <v>50088</v>
      </c>
      <c r="T4192" s="28">
        <v>51630000</v>
      </c>
      <c r="U4192" s="28"/>
      <c r="V4192" s="28">
        <v>2588771000</v>
      </c>
      <c r="W4192" s="28">
        <v>1782230000</v>
      </c>
      <c r="X4192" s="28">
        <v>243039000</v>
      </c>
      <c r="Y4192" s="28">
        <v>5532498000</v>
      </c>
      <c r="Z4192" s="28">
        <v>2582780000</v>
      </c>
      <c r="AA4192" s="28">
        <v>67000</v>
      </c>
      <c r="AB4192" s="28">
        <v>1842287000</v>
      </c>
      <c r="AC4192" s="28">
        <v>2943646000</v>
      </c>
      <c r="AD4192" s="28">
        <v>2588785000</v>
      </c>
      <c r="AE4192" s="28">
        <v>9347654000</v>
      </c>
      <c r="AF4192" s="28">
        <v>737211000</v>
      </c>
      <c r="AG4192" s="11"/>
    </row>
    <row r="4193">
      <c r="A4193" s="7" t="s">
        <v>5843</v>
      </c>
      <c r="B4193" s="5" t="s">
        <v>13802</v>
      </c>
      <c r="C4193" s="5" t="s">
        <v>21565</v>
      </c>
      <c r="D4193" s="5" t="str">
        <v>780108441473</v>
      </c>
      <c r="E4193" s="0" t="e">
        <f>+7 (831) 2164563
+7 (831) 2456356
+7 (831) 2460404
+7 (831) 2490404
+7 (831) 1235253
+7 (831) 2022020
+7 (831) 2209224
+7 (831) 2209226
+7 (831) 2336334
+7 (831) 2337405
+7 (831) 2466655
+7 (831) 2466665
+7 (831) 2475233
+7 (831) 2490200
+7 (831) 2556869</f>
        <v>#NAME?</v>
      </c>
      <c r="F4193" s="5" t="s">
        <v>37881</v>
      </c>
      <c r="G4193" s="5" t="s">
        <v>37882</v>
      </c>
      <c r="H4193" s="26">
        <v>18.5</v>
      </c>
      <c r="I4193" s="5"/>
      <c r="J4193" s="5" t="s">
        <v>25429</v>
      </c>
      <c r="K4193" s="5" t="s">
        <v>344</v>
      </c>
      <c r="L4193" s="5"/>
      <c r="M4193" s="27">
        <v>3702</v>
      </c>
      <c r="N4193" s="5" t="s">
        <v>55835</v>
      </c>
      <c r="O4193" s="5" t="str">
        <v>5260136299</v>
      </c>
      <c r="P4193" s="27">
        <v>40945306</v>
      </c>
      <c r="Q4193" s="5" t="s">
        <v>55836</v>
      </c>
      <c r="R4193" s="5"/>
      <c r="S4193" s="5" t="s">
        <v>51118</v>
      </c>
      <c r="T4193" s="28">
        <v>787091000</v>
      </c>
      <c r="U4193" s="28"/>
      <c r="V4193" s="28">
        <v>2213469000</v>
      </c>
      <c r="W4193" s="28"/>
      <c r="X4193" s="28">
        <v>682071000</v>
      </c>
      <c r="Y4193" s="28">
        <v>6806392000</v>
      </c>
      <c r="Z4193" s="28">
        <v>1237131000</v>
      </c>
      <c r="AA4193" s="28"/>
      <c r="AB4193" s="28">
        <v>341514000</v>
      </c>
      <c r="AC4193" s="28">
        <v>5418406000</v>
      </c>
      <c r="AD4193" s="28">
        <v>1288280000</v>
      </c>
      <c r="AE4193" s="28">
        <v>23078077000</v>
      </c>
      <c r="AF4193" s="28">
        <v>758829000</v>
      </c>
      <c r="AG4193" s="11"/>
    </row>
    <row r="4194">
      <c r="A4194" s="7" t="s">
        <v>5844</v>
      </c>
      <c r="B4194" s="5" t="s">
        <v>13803</v>
      </c>
      <c r="C4194" s="5" t="s">
        <v>21566</v>
      </c>
      <c r="D4194" s="5" t="str">
        <v>165019637080</v>
      </c>
      <c r="E4194" s="0" t="e">
        <f>+7 (855) 2461966
+7 (855) 2791855
+7 (855) 2791948
+7 (855) 2460597
+7 (855) 2468034
+7 (855) 2778237
+7 (855) 2778586
+7 (855) 2791741
+7 (855) 2791784
+7 (855) 2791955
+7 (855) 2791956
+7 (855) 2791992
+7 (917) 2609013</f>
        <v>#NAME?</v>
      </c>
      <c r="F4194" s="5" t="s">
        <v>37883</v>
      </c>
      <c r="G4194" s="5" t="s">
        <v>37884</v>
      </c>
      <c r="H4194" s="26">
        <v>21.5</v>
      </c>
      <c r="I4194" s="5"/>
      <c r="J4194" s="5" t="s">
        <v>27070</v>
      </c>
      <c r="K4194" s="5" t="s">
        <v>344</v>
      </c>
      <c r="L4194" s="5" t="s">
        <v>37885</v>
      </c>
      <c r="M4194" s="27"/>
      <c r="N4194" s="5" t="s">
        <v>55837</v>
      </c>
      <c r="O4194" s="5" t="str">
        <v>1650017638</v>
      </c>
      <c r="P4194" s="27">
        <v>156000000</v>
      </c>
      <c r="Q4194" s="5" t="s">
        <v>49009</v>
      </c>
      <c r="R4194" s="5"/>
      <c r="S4194" s="5" t="s">
        <v>49956</v>
      </c>
      <c r="T4194" s="28">
        <v>10576830000</v>
      </c>
      <c r="U4194" s="28">
        <v>110685000</v>
      </c>
      <c r="V4194" s="28">
        <v>1155699000</v>
      </c>
      <c r="W4194" s="28">
        <v>1755000000</v>
      </c>
      <c r="X4194" s="28">
        <v>641280000</v>
      </c>
      <c r="Y4194" s="28">
        <v>18162038000</v>
      </c>
      <c r="Z4194" s="28">
        <v>15012369000</v>
      </c>
      <c r="AA4194" s="28"/>
      <c r="AB4194" s="28"/>
      <c r="AC4194" s="28">
        <v>1520946000</v>
      </c>
      <c r="AD4194" s="28">
        <v>14757425000</v>
      </c>
      <c r="AE4194" s="28">
        <v>15077727000</v>
      </c>
      <c r="AF4194" s="28">
        <v>2051018000</v>
      </c>
      <c r="AG4194" s="11"/>
    </row>
    <row r="4195">
      <c r="A4195" s="7" t="s">
        <v>5845</v>
      </c>
      <c r="B4195" s="5" t="s">
        <v>13804</v>
      </c>
      <c r="C4195" s="5" t="s">
        <v>21567</v>
      </c>
      <c r="D4195" s="5" t="str">
        <v>503611561993</v>
      </c>
      <c r="E4195" s="0" t="e">
        <f>+7 (495) 5027880
+7 (495) 5027882
+7 (495) 5027883
+7 (495) 5027884
+7 (495) 5027886
+7 (495) 5027895
+7 (495) 5027897
+7 (495) 7699164
+7 (496) 5027890
+7 (496) 5027892
+7 (496) 7636084
+7 (496) 7636114</f>
        <v>#NAME?</v>
      </c>
      <c r="F4195" s="5" t="s">
        <v>37886</v>
      </c>
      <c r="G4195" s="5" t="s">
        <v>37887</v>
      </c>
      <c r="H4195" s="26">
        <v>30.5</v>
      </c>
      <c r="I4195" s="5"/>
      <c r="J4195" s="5" t="s">
        <v>655</v>
      </c>
      <c r="K4195" s="5" t="s">
        <v>344</v>
      </c>
      <c r="L4195" s="5"/>
      <c r="M4195" s="27"/>
      <c r="N4195" s="5" t="s">
        <v>55838</v>
      </c>
      <c r="O4195" s="5" t="str">
        <v>5036002480</v>
      </c>
      <c r="P4195" s="27">
        <v>175700</v>
      </c>
      <c r="Q4195" s="5" t="s">
        <v>55839</v>
      </c>
      <c r="R4195" s="5"/>
      <c r="S4195" s="5" t="s">
        <v>55840</v>
      </c>
      <c r="T4195" s="28">
        <v>314642000</v>
      </c>
      <c r="U4195" s="28">
        <v>3339000</v>
      </c>
      <c r="V4195" s="28">
        <v>347163000</v>
      </c>
      <c r="W4195" s="28">
        <v>4718000</v>
      </c>
      <c r="X4195" s="28">
        <v>180190000</v>
      </c>
      <c r="Y4195" s="28">
        <v>1761543000</v>
      </c>
      <c r="Z4195" s="28">
        <v>551922000</v>
      </c>
      <c r="AA4195" s="28"/>
      <c r="AB4195" s="28">
        <v>164700000</v>
      </c>
      <c r="AC4195" s="28">
        <v>1074074000</v>
      </c>
      <c r="AD4195" s="28">
        <v>599544000</v>
      </c>
      <c r="AE4195" s="28">
        <v>3860725000</v>
      </c>
      <c r="AF4195" s="28">
        <v>89517000</v>
      </c>
      <c r="AG4195" s="11"/>
    </row>
    <row r="4196">
      <c r="A4196" s="7" t="s">
        <v>5846</v>
      </c>
      <c r="B4196" s="5" t="s">
        <v>13805</v>
      </c>
      <c r="C4196" s="5" t="s">
        <v>21568</v>
      </c>
      <c r="D4196" s="5" t="str">
        <v>781712646371</v>
      </c>
      <c r="E4196" s="0" t="e">
        <f>+7 (800) 1003589
+7 (812) 6104030
+7 (812) 6111221
+7 (812) 6799696
+7 (911) 7038498
+7 (921) 4416446
+7 (921) 9832257</f>
        <v>#NAME?</v>
      </c>
      <c r="F4196" s="5" t="s">
        <v>37888</v>
      </c>
      <c r="G4196" s="5" t="s">
        <v>37889</v>
      </c>
      <c r="H4196" s="26">
        <v>18</v>
      </c>
      <c r="I4196" s="5"/>
      <c r="J4196" s="5" t="s">
        <v>28520</v>
      </c>
      <c r="K4196" s="5" t="s">
        <v>344</v>
      </c>
      <c r="L4196" s="5"/>
      <c r="M4196" s="27"/>
      <c r="N4196" s="5"/>
      <c r="O4196" s="5" t="str">
        <v>7811311761</v>
      </c>
      <c r="P4196" s="27">
        <v>10000</v>
      </c>
      <c r="Q4196" s="5" t="s">
        <v>55841</v>
      </c>
      <c r="R4196" s="5"/>
      <c r="S4196" s="5" t="s">
        <v>55842</v>
      </c>
      <c r="T4196" s="28">
        <v>142981000</v>
      </c>
      <c r="U4196" s="28"/>
      <c r="V4196" s="28">
        <v>560719000</v>
      </c>
      <c r="W4196" s="28">
        <v>347600000</v>
      </c>
      <c r="X4196" s="28">
        <v>7387000</v>
      </c>
      <c r="Y4196" s="28">
        <v>1094372000</v>
      </c>
      <c r="Z4196" s="28">
        <v>944607000</v>
      </c>
      <c r="AA4196" s="28"/>
      <c r="AB4196" s="28"/>
      <c r="AC4196" s="28">
        <v>149751000</v>
      </c>
      <c r="AD4196" s="28">
        <v>944619000</v>
      </c>
      <c r="AE4196" s="28">
        <v>4093403000</v>
      </c>
      <c r="AF4196" s="28">
        <v>292992000</v>
      </c>
      <c r="AG4196" s="11"/>
    </row>
    <row r="4197">
      <c r="A4197" s="7" t="s">
        <v>5847</v>
      </c>
      <c r="B4197" s="5" t="s">
        <v>13806</v>
      </c>
      <c r="C4197" s="5" t="s">
        <v>21569</v>
      </c>
      <c r="D4197" s="5" t="str">
        <v>701739410301</v>
      </c>
      <c r="E4197" s="0" t="e">
        <f>+7 (495) 2740445
+7 (495) 5421465</f>
        <v>#NAME?</v>
      </c>
      <c r="F4197" s="5" t="s">
        <v>37890</v>
      </c>
      <c r="G4197" s="5" t="s">
        <v>37891</v>
      </c>
      <c r="H4197" s="26">
        <v>13.5</v>
      </c>
      <c r="I4197" s="5" t="s">
        <v>37892</v>
      </c>
      <c r="J4197" s="5" t="s">
        <v>364</v>
      </c>
      <c r="K4197" s="5" t="s">
        <v>344</v>
      </c>
      <c r="L4197" s="5" t="s">
        <v>37893</v>
      </c>
      <c r="M4197" s="27">
        <v>1309176601</v>
      </c>
      <c r="N4197" s="5" t="s">
        <v>55843</v>
      </c>
      <c r="O4197" s="5" t="str">
        <v>7716646447</v>
      </c>
      <c r="P4197" s="27">
        <v>10100000</v>
      </c>
      <c r="Q4197" s="5" t="s">
        <v>55844</v>
      </c>
      <c r="R4197" s="5"/>
      <c r="S4197" s="5" t="s">
        <v>49496</v>
      </c>
      <c r="T4197" s="28">
        <v>180635000</v>
      </c>
      <c r="U4197" s="28"/>
      <c r="V4197" s="28">
        <v>5193622000</v>
      </c>
      <c r="W4197" s="28"/>
      <c r="X4197" s="28">
        <v>176542000</v>
      </c>
      <c r="Y4197" s="28">
        <v>9660330000</v>
      </c>
      <c r="Z4197" s="28">
        <v>2952046000</v>
      </c>
      <c r="AA4197" s="28"/>
      <c r="AB4197" s="28">
        <v>361596000</v>
      </c>
      <c r="AC4197" s="28">
        <v>6389525000</v>
      </c>
      <c r="AD4197" s="28">
        <v>2962489000</v>
      </c>
      <c r="AE4197" s="28">
        <v>14385322000</v>
      </c>
      <c r="AF4197" s="28">
        <v>2048696000</v>
      </c>
      <c r="AG4197" s="11"/>
    </row>
    <row r="4198">
      <c r="A4198" s="7" t="s">
        <v>5848</v>
      </c>
      <c r="B4198" s="5" t="s">
        <v>13807</v>
      </c>
      <c r="C4198" s="5" t="s">
        <v>21570</v>
      </c>
      <c r="D4198" s="5" t="str">
        <v>772135745750</v>
      </c>
      <c r="E4198" s="0" t="e">
        <f>+7 (3435) 259201
+7 (3512) 110981
+7 (3512) 110982
+7 (3519) 279189
+7 (35374) 92700
+7 (35374) 97060
+7 (384) 2390570
+7 (384) 2390574
+7 (384) 2390575
+7 (3843) 539401
+7 (391) 2001608
+7 (391) 2001609
+7 (391) 2001610
+7 (3955) 573447
+7 (421) 2561490</f>
        <v>#NAME?</v>
      </c>
      <c r="F4198" s="5" t="s">
        <v>37894</v>
      </c>
      <c r="G4198" s="5" t="s">
        <v>37895</v>
      </c>
      <c r="H4198" s="26">
        <v>19.5</v>
      </c>
      <c r="I4198" s="5"/>
      <c r="J4198" s="5" t="s">
        <v>599</v>
      </c>
      <c r="K4198" s="5" t="s">
        <v>344</v>
      </c>
      <c r="L4198" s="5"/>
      <c r="M4198" s="27">
        <v>638452</v>
      </c>
      <c r="N4198" s="5" t="s">
        <v>51815</v>
      </c>
      <c r="O4198" s="5" t="str">
        <v>7705503750</v>
      </c>
      <c r="P4198" s="27">
        <v>1032000000</v>
      </c>
      <c r="Q4198" s="5" t="s">
        <v>49021</v>
      </c>
      <c r="R4198" s="5"/>
      <c r="S4198" s="5" t="s">
        <v>55845</v>
      </c>
      <c r="T4198" s="28">
        <v>44934583000</v>
      </c>
      <c r="U4198" s="28">
        <v>9080000000</v>
      </c>
      <c r="V4198" s="28">
        <v>6343590000</v>
      </c>
      <c r="W4198" s="28">
        <v>400000000</v>
      </c>
      <c r="X4198" s="28">
        <v>7579499000</v>
      </c>
      <c r="Y4198" s="28">
        <v>72600171000</v>
      </c>
      <c r="Z4198" s="28">
        <v>36914473000</v>
      </c>
      <c r="AA4198" s="28">
        <v>2799582000</v>
      </c>
      <c r="AB4198" s="28">
        <v>7511545000</v>
      </c>
      <c r="AC4198" s="28">
        <v>15052713000</v>
      </c>
      <c r="AD4198" s="28">
        <v>38407473000</v>
      </c>
      <c r="AE4198" s="28">
        <v>60754490000</v>
      </c>
      <c r="AF4198" s="28">
        <v>18526686000</v>
      </c>
      <c r="AG4198" s="11"/>
    </row>
    <row r="4199">
      <c r="A4199" s="7" t="s">
        <v>5849</v>
      </c>
      <c r="B4199" s="5" t="s">
        <v>13808</v>
      </c>
      <c r="C4199" s="5" t="s">
        <v>21571</v>
      </c>
      <c r="D4199" s="5" t="str">
        <v>540700092461</v>
      </c>
      <c r="E4199" s="0" t="e">
        <f>+7 (913) 7312122
+7 (383) 2012242
+7 (383) 2012531
+7 (383) 2012581
+7 (383) 2103040
+7 (800) 2501852
+7 (903) 745870
+7 (903) 9583423
+7 (913) 7887189
+7 (913) 8953921
+7 (913) 9177804
+7 (913) 9286840
+7 (913) 9436575</f>
        <v>#NAME?</v>
      </c>
      <c r="F4199" s="5" t="s">
        <v>37896</v>
      </c>
      <c r="G4199" s="5" t="s">
        <v>37897</v>
      </c>
      <c r="H4199" s="26">
        <v>16</v>
      </c>
      <c r="I4199" s="5" t="s">
        <v>37898</v>
      </c>
      <c r="J4199" s="5" t="s">
        <v>25805</v>
      </c>
      <c r="K4199" s="5" t="s">
        <v>344</v>
      </c>
      <c r="L4199" s="5" t="s">
        <v>37899</v>
      </c>
      <c r="M4199" s="27">
        <v>1340112</v>
      </c>
      <c r="N4199" s="5" t="s">
        <v>55846</v>
      </c>
      <c r="O4199" s="5" t="str">
        <v>5407031918</v>
      </c>
      <c r="P4199" s="27">
        <v>100000</v>
      </c>
      <c r="Q4199" s="5" t="s">
        <v>55847</v>
      </c>
      <c r="R4199" s="5"/>
      <c r="S4199" s="5" t="s">
        <v>49399</v>
      </c>
      <c r="T4199" s="28">
        <v>25447000</v>
      </c>
      <c r="U4199" s="28">
        <v>3000</v>
      </c>
      <c r="V4199" s="28">
        <v>3412937000</v>
      </c>
      <c r="W4199" s="28">
        <v>26348000</v>
      </c>
      <c r="X4199" s="28">
        <v>100991000</v>
      </c>
      <c r="Y4199" s="28">
        <v>6807287000</v>
      </c>
      <c r="Z4199" s="28">
        <v>2076533000</v>
      </c>
      <c r="AA4199" s="28"/>
      <c r="AB4199" s="28">
        <v>2089670000</v>
      </c>
      <c r="AC4199" s="28">
        <v>4714981000</v>
      </c>
      <c r="AD4199" s="28">
        <v>2082483000</v>
      </c>
      <c r="AE4199" s="28">
        <v>18139809000</v>
      </c>
      <c r="AF4199" s="28">
        <v>504956000</v>
      </c>
      <c r="AG4199" s="11"/>
    </row>
    <row r="4200">
      <c r="A4200" s="7" t="s">
        <v>5849</v>
      </c>
      <c r="B4200" s="5" t="s">
        <v>13809</v>
      </c>
      <c r="C4200" s="5" t="s">
        <v>21219</v>
      </c>
      <c r="D4200" s="5"/>
      <c r="E4200" s="0" t="e">
        <f>+7 (3519) 499377
+7 (3519) 499413
+7 (3519) 499450</f>
        <v>#NAME?</v>
      </c>
      <c r="F4200" s="5"/>
      <c r="G4200" s="5"/>
      <c r="H4200" s="26">
        <v>12.5</v>
      </c>
      <c r="I4200" s="5" t="s">
        <v>37900</v>
      </c>
      <c r="J4200" s="5" t="s">
        <v>25450</v>
      </c>
      <c r="K4200" s="5" t="s">
        <v>344</v>
      </c>
      <c r="L4200" s="5" t="s">
        <v>37901</v>
      </c>
      <c r="M4200" s="27"/>
      <c r="N4200" s="5"/>
      <c r="O4200" s="5" t="str">
        <v>7443008629</v>
      </c>
      <c r="P4200" s="27">
        <v>519459178</v>
      </c>
      <c r="Q4200" s="5"/>
      <c r="R4200" s="5"/>
      <c r="S4200" s="5" t="s">
        <v>49123</v>
      </c>
      <c r="T4200" s="28">
        <v>2292531000</v>
      </c>
      <c r="U4200" s="28">
        <v>230000</v>
      </c>
      <c r="V4200" s="28">
        <v>123130000</v>
      </c>
      <c r="W4200" s="28"/>
      <c r="X4200" s="28">
        <v>123305000</v>
      </c>
      <c r="Y4200" s="28">
        <v>3550425000</v>
      </c>
      <c r="Z4200" s="28">
        <v>500692000</v>
      </c>
      <c r="AA4200" s="28">
        <v>117328000</v>
      </c>
      <c r="AB4200" s="28">
        <v>1498439000</v>
      </c>
      <c r="AC4200" s="28">
        <v>2412946000</v>
      </c>
      <c r="AD4200" s="28">
        <v>1164201000</v>
      </c>
      <c r="AE4200" s="28">
        <v>5530919000</v>
      </c>
      <c r="AF4200" s="28">
        <v>241926000</v>
      </c>
      <c r="AG4200" s="11"/>
    </row>
    <row r="4201">
      <c r="A4201" s="7" t="s">
        <v>5850</v>
      </c>
      <c r="B4201" s="5" t="s">
        <v>13810</v>
      </c>
      <c r="C4201" s="5" t="s">
        <v>21572</v>
      </c>
      <c r="D4201" s="5" t="str">
        <v>290201123904</v>
      </c>
      <c r="E4201" s="0" t="e">
        <f>+7 (911) 5136275
+7 (817) 2209015
+7 (817) 2209016
+7 (817) 2209017
+7 (817) 2209046
+7 (817) 2218053
+7 (817) 2218055
+7 (817) 2218072
+7 (817) 2218075
+7 (817) 2502099
+7 (817) 2721637
+7 (817) 2723199
+7 (817) 2760136</f>
        <v>#NAME?</v>
      </c>
      <c r="F4201" s="5" t="s">
        <v>37902</v>
      </c>
      <c r="G4201" s="5" t="s">
        <v>37903</v>
      </c>
      <c r="H4201" s="26">
        <v>21</v>
      </c>
      <c r="I4201" s="5"/>
      <c r="J4201" s="5" t="s">
        <v>25446</v>
      </c>
      <c r="K4201" s="5" t="s">
        <v>344</v>
      </c>
      <c r="L4201" s="5" t="s">
        <v>37904</v>
      </c>
      <c r="M4201" s="27"/>
      <c r="N4201" s="5" t="s">
        <v>55848</v>
      </c>
      <c r="O4201" s="5" t="str">
        <v>3525116280</v>
      </c>
      <c r="P4201" s="27">
        <v>15000000</v>
      </c>
      <c r="Q4201" s="5" t="s">
        <v>49059</v>
      </c>
      <c r="R4201" s="5"/>
      <c r="S4201" s="5" t="s">
        <v>53903</v>
      </c>
      <c r="T4201" s="28">
        <v>88249000</v>
      </c>
      <c r="U4201" s="28"/>
      <c r="V4201" s="28">
        <v>2019766000</v>
      </c>
      <c r="W4201" s="28">
        <v>1211134000</v>
      </c>
      <c r="X4201" s="28">
        <v>95777000</v>
      </c>
      <c r="Y4201" s="28">
        <v>4479516000</v>
      </c>
      <c r="Z4201" s="28">
        <v>1621569000</v>
      </c>
      <c r="AA4201" s="28"/>
      <c r="AB4201" s="28"/>
      <c r="AC4201" s="28">
        <v>2838875000</v>
      </c>
      <c r="AD4201" s="28">
        <v>1637544000</v>
      </c>
      <c r="AE4201" s="28">
        <v>5152834000</v>
      </c>
      <c r="AF4201" s="28">
        <v>38889000</v>
      </c>
      <c r="AG4201" s="11"/>
    </row>
    <row r="4202">
      <c r="A4202" s="7" t="s">
        <v>5851</v>
      </c>
      <c r="B4202" s="5" t="s">
        <v>11357</v>
      </c>
      <c r="C4202" s="5" t="s">
        <v>21573</v>
      </c>
      <c r="D4202" s="5" t="str">
        <v>665813998460</v>
      </c>
      <c r="E4202" s="0" t="e">
        <f>+7 (343) 3500445
+7 (343) 3505099
+7 (343) 3505301
+7 (343) 2372820
+7 (343) 2372821</f>
        <v>#NAME?</v>
      </c>
      <c r="F4202" s="5" t="s">
        <v>37905</v>
      </c>
      <c r="G4202" s="5" t="s">
        <v>37906</v>
      </c>
      <c r="H4202" s="26">
        <v>19</v>
      </c>
      <c r="I4202" s="5" t="s">
        <v>37907</v>
      </c>
      <c r="J4202" s="5" t="s">
        <v>30175</v>
      </c>
      <c r="K4202" s="5" t="s">
        <v>344</v>
      </c>
      <c r="L4202" s="5" t="s">
        <v>37908</v>
      </c>
      <c r="M4202" s="27"/>
      <c r="N4202" s="5" t="s">
        <v>55849</v>
      </c>
      <c r="O4202" s="5" t="str">
        <v>6685103809</v>
      </c>
      <c r="P4202" s="27">
        <v>50000</v>
      </c>
      <c r="Q4202" s="5" t="s">
        <v>49324</v>
      </c>
      <c r="R4202" s="5"/>
      <c r="S4202" s="5" t="s">
        <v>55850</v>
      </c>
      <c r="T4202" s="28">
        <v>184175000</v>
      </c>
      <c r="U4202" s="28">
        <v>15342000</v>
      </c>
      <c r="V4202" s="28">
        <v>698404000</v>
      </c>
      <c r="W4202" s="28"/>
      <c r="X4202" s="28">
        <v>66687000</v>
      </c>
      <c r="Y4202" s="28">
        <v>1547440000</v>
      </c>
      <c r="Z4202" s="28">
        <v>230783000</v>
      </c>
      <c r="AA4202" s="28">
        <v>43487000</v>
      </c>
      <c r="AB4202" s="28"/>
      <c r="AC4202" s="28">
        <v>1269339000</v>
      </c>
      <c r="AD4202" s="28">
        <v>230833000</v>
      </c>
      <c r="AE4202" s="28">
        <v>3554310000</v>
      </c>
      <c r="AF4202" s="28">
        <v>108848000</v>
      </c>
      <c r="AG4202" s="11"/>
    </row>
    <row r="4203">
      <c r="A4203" s="7" t="s">
        <v>5852</v>
      </c>
      <c r="B4203" s="5" t="s">
        <v>13811</v>
      </c>
      <c r="C4203" s="5" t="s">
        <v>21574</v>
      </c>
      <c r="D4203" s="5" t="str">
        <v>471905823209</v>
      </c>
      <c r="E4203" s="0" t="e">
        <f>+7 (812) 2445796
+7 (812) 4486961
+7 (812) 2520914
+7 (812) 4486960
+7 (812) 4486962
+7 (812) 7465153
+7 (812) 7471160
+7 (911) 2452781</f>
        <v>#NAME?</v>
      </c>
      <c r="F4203" s="5" t="s">
        <v>37909</v>
      </c>
      <c r="G4203" s="5" t="s">
        <v>37910</v>
      </c>
      <c r="H4203" s="26">
        <v>29.5</v>
      </c>
      <c r="I4203" s="5"/>
      <c r="J4203" s="5" t="s">
        <v>28202</v>
      </c>
      <c r="K4203" s="5" t="s">
        <v>355</v>
      </c>
      <c r="L4203" s="5"/>
      <c r="M4203" s="27">
        <v>58475408</v>
      </c>
      <c r="N4203" s="5" t="s">
        <v>55851</v>
      </c>
      <c r="O4203" s="5" t="str">
        <v>7805047646</v>
      </c>
      <c r="P4203" s="27">
        <v>1673146</v>
      </c>
      <c r="Q4203" s="5" t="s">
        <v>55852</v>
      </c>
      <c r="R4203" s="5" t="s">
        <v>55853</v>
      </c>
      <c r="S4203" s="5" t="s">
        <v>55854</v>
      </c>
      <c r="T4203" s="28">
        <v>1004363000</v>
      </c>
      <c r="U4203" s="28">
        <v>26641000</v>
      </c>
      <c r="V4203" s="28">
        <v>1914202000</v>
      </c>
      <c r="W4203" s="28">
        <v>3500000</v>
      </c>
      <c r="X4203" s="28">
        <v>651153000</v>
      </c>
      <c r="Y4203" s="28">
        <v>8142844000</v>
      </c>
      <c r="Z4203" s="28">
        <v>268221000</v>
      </c>
      <c r="AA4203" s="28">
        <v>1459572000</v>
      </c>
      <c r="AB4203" s="28">
        <v>171189000</v>
      </c>
      <c r="AC4203" s="28">
        <v>5717222000</v>
      </c>
      <c r="AD4203" s="28">
        <v>295209000</v>
      </c>
      <c r="AE4203" s="28">
        <v>3371357000</v>
      </c>
      <c r="AF4203" s="28">
        <v>34141000</v>
      </c>
      <c r="AG4203" s="11"/>
    </row>
    <row r="4204">
      <c r="A4204" s="7" t="s">
        <v>5853</v>
      </c>
      <c r="B4204" s="5" t="s">
        <v>13812</v>
      </c>
      <c r="C4204" s="5" t="s">
        <v>21575</v>
      </c>
      <c r="D4204" s="5" t="str">
        <v>290203108034</v>
      </c>
      <c r="E4204" s="0" t="e">
        <f>+7 (818) 2238310
+7 (8184) 508132
+7 (8184) 508474
+7 (485) 2674480
+7 (8184) 584042
+7 (8184) 584043
+7 (8184) 584053</f>
        <v>#NAME?</v>
      </c>
      <c r="F4204" s="5" t="s">
        <v>37911</v>
      </c>
      <c r="G4204" s="5" t="s">
        <v>37912</v>
      </c>
      <c r="H4204" s="26">
        <v>24.5</v>
      </c>
      <c r="I4204" s="5" t="s">
        <v>37913</v>
      </c>
      <c r="J4204" s="5" t="s">
        <v>28418</v>
      </c>
      <c r="K4204" s="5" t="s">
        <v>344</v>
      </c>
      <c r="L4204" s="5"/>
      <c r="M4204" s="27">
        <v>2563000</v>
      </c>
      <c r="N4204" s="5" t="s">
        <v>55855</v>
      </c>
      <c r="O4204" s="5" t="str">
        <v>2902038052</v>
      </c>
      <c r="P4204" s="27">
        <v>460071000</v>
      </c>
      <c r="Q4204" s="5" t="s">
        <v>55856</v>
      </c>
      <c r="R4204" s="5"/>
      <c r="S4204" s="5" t="s">
        <v>53232</v>
      </c>
      <c r="T4204" s="28">
        <v>1344314000</v>
      </c>
      <c r="U4204" s="28">
        <v>38915000</v>
      </c>
      <c r="V4204" s="28">
        <v>631426000</v>
      </c>
      <c r="W4204" s="28">
        <v>95386000</v>
      </c>
      <c r="X4204" s="28">
        <v>22784000</v>
      </c>
      <c r="Y4204" s="28">
        <v>2387773000</v>
      </c>
      <c r="Z4204" s="28">
        <v>596399000</v>
      </c>
      <c r="AA4204" s="28">
        <v>582608000</v>
      </c>
      <c r="AB4204" s="28">
        <v>5225000</v>
      </c>
      <c r="AC4204" s="28">
        <v>748559000</v>
      </c>
      <c r="AD4204" s="28">
        <v>1056470000</v>
      </c>
      <c r="AE4204" s="28">
        <v>3255646000</v>
      </c>
      <c r="AF4204" s="28">
        <v>79484000</v>
      </c>
      <c r="AG4204" s="11"/>
    </row>
    <row r="4205">
      <c r="A4205" s="7" t="s">
        <v>5854</v>
      </c>
      <c r="B4205" s="5" t="s">
        <v>13813</v>
      </c>
      <c r="C4205" s="5" t="s">
        <v>21576</v>
      </c>
      <c r="D4205" s="5" t="str">
        <v>782580773742</v>
      </c>
      <c r="E4205" s="0" t="e">
        <f>+7 (499) 2457368
+7 (495) 7770722
+7 (49621) 22018
+7 (49621) 28851
+7 (49621) 43011
+7 (49621) 71348
+7 (49621) 71395
+7 (499) 2456365</f>
        <v>#NAME?</v>
      </c>
      <c r="F4205" s="5" t="s">
        <v>37914</v>
      </c>
      <c r="G4205" s="5" t="s">
        <v>37915</v>
      </c>
      <c r="H4205" s="26">
        <v>25.5</v>
      </c>
      <c r="I4205" s="5"/>
      <c r="J4205" s="5" t="s">
        <v>30320</v>
      </c>
      <c r="K4205" s="5" t="s">
        <v>344</v>
      </c>
      <c r="L4205" s="5" t="s">
        <v>37916</v>
      </c>
      <c r="M4205" s="27"/>
      <c r="N4205" s="5" t="s">
        <v>55857</v>
      </c>
      <c r="O4205" s="5" t="str">
        <v>5010020686</v>
      </c>
      <c r="P4205" s="27">
        <v>100000</v>
      </c>
      <c r="Q4205" s="5" t="s">
        <v>55858</v>
      </c>
      <c r="R4205" s="5"/>
      <c r="S4205" s="5" t="s">
        <v>49496</v>
      </c>
      <c r="T4205" s="28">
        <v>885582000</v>
      </c>
      <c r="U4205" s="28">
        <v>110723000</v>
      </c>
      <c r="V4205" s="28">
        <v>361463000</v>
      </c>
      <c r="W4205" s="28"/>
      <c r="X4205" s="28">
        <v>1154853000</v>
      </c>
      <c r="Y4205" s="28">
        <v>3269802000</v>
      </c>
      <c r="Z4205" s="28">
        <v>2749393000</v>
      </c>
      <c r="AA4205" s="28"/>
      <c r="AB4205" s="28"/>
      <c r="AC4205" s="28">
        <v>284306000</v>
      </c>
      <c r="AD4205" s="28">
        <v>2749498000</v>
      </c>
      <c r="AE4205" s="28">
        <v>3223205000</v>
      </c>
      <c r="AF4205" s="28">
        <v>905564000</v>
      </c>
      <c r="AG4205" s="11"/>
    </row>
    <row r="4206">
      <c r="A4206" s="7" t="s">
        <v>5855</v>
      </c>
      <c r="B4206" s="5" t="s">
        <v>13814</v>
      </c>
      <c r="C4206" s="5" t="s">
        <v>21577</v>
      </c>
      <c r="D4206" s="5" t="str">
        <v>550400902665</v>
      </c>
      <c r="E4206" s="0" t="e">
        <f>+7 (381) 2354714
+7 (381) 2354701
+7 (381) 2354710
+7 (381) 2354730
+7 (381) 2354769
+7 (381) 2618176
+7 (913) 1416171</f>
        <v>#NAME?</v>
      </c>
      <c r="F4206" s="5" t="s">
        <v>37917</v>
      </c>
      <c r="G4206" s="5" t="s">
        <v>37918</v>
      </c>
      <c r="H4206" s="26">
        <v>23.5</v>
      </c>
      <c r="I4206" s="5" t="s">
        <v>37919</v>
      </c>
      <c r="J4206" s="5" t="s">
        <v>881</v>
      </c>
      <c r="K4206" s="5" t="s">
        <v>344</v>
      </c>
      <c r="L4206" s="5" t="s">
        <v>37920</v>
      </c>
      <c r="M4206" s="27"/>
      <c r="N4206" s="5" t="s">
        <v>55859</v>
      </c>
      <c r="O4206" s="5" t="str">
        <v>5528012370</v>
      </c>
      <c r="P4206" s="27">
        <v>42300000</v>
      </c>
      <c r="Q4206" s="5" t="s">
        <v>55860</v>
      </c>
      <c r="R4206" s="5"/>
      <c r="S4206" s="5" t="s">
        <v>55861</v>
      </c>
      <c r="T4206" s="28">
        <v>474319000</v>
      </c>
      <c r="U4206" s="28"/>
      <c r="V4206" s="28">
        <v>410710000</v>
      </c>
      <c r="W4206" s="28">
        <v>100000000</v>
      </c>
      <c r="X4206" s="28">
        <v>464403000</v>
      </c>
      <c r="Y4206" s="28">
        <v>2638454000</v>
      </c>
      <c r="Z4206" s="28">
        <v>2045667000</v>
      </c>
      <c r="AA4206" s="28"/>
      <c r="AB4206" s="28">
        <v>8000</v>
      </c>
      <c r="AC4206" s="28">
        <v>447249000</v>
      </c>
      <c r="AD4206" s="28">
        <v>2097475000</v>
      </c>
      <c r="AE4206" s="28">
        <v>3028190000</v>
      </c>
      <c r="AF4206" s="28">
        <v>459373000</v>
      </c>
      <c r="AG4206" s="11"/>
    </row>
    <row r="4207">
      <c r="A4207" s="7" t="s">
        <v>5856</v>
      </c>
      <c r="B4207" s="5" t="s">
        <v>13815</v>
      </c>
      <c r="C4207" s="5" t="s">
        <v>21578</v>
      </c>
      <c r="D4207" s="5" t="str">
        <v>771474741109</v>
      </c>
      <c r="E4207" s="0" t="e">
        <f>+7 (495) 3291718
+7 (916) 9087963
+7 (495) 7307545
+7 (495) 7307560
+7 (495) 7856363
+7 (495) 9262107
+7 (495) 9842753
+7 (495) 9842754</f>
        <v>#NAME?</v>
      </c>
      <c r="F4207" s="5" t="s">
        <v>37921</v>
      </c>
      <c r="G4207" s="5" t="s">
        <v>37922</v>
      </c>
      <c r="H4207" s="26">
        <v>22.5</v>
      </c>
      <c r="I4207" s="5" t="s">
        <v>37923</v>
      </c>
      <c r="J4207" s="5" t="s">
        <v>28030</v>
      </c>
      <c r="K4207" s="5" t="s">
        <v>344</v>
      </c>
      <c r="L4207" s="5" t="s">
        <v>37924</v>
      </c>
      <c r="M4207" s="27"/>
      <c r="N4207" s="5" t="s">
        <v>55862</v>
      </c>
      <c r="O4207" s="5" t="str">
        <v>7702302492</v>
      </c>
      <c r="P4207" s="27">
        <v>5500000</v>
      </c>
      <c r="Q4207" s="5" t="s">
        <v>55863</v>
      </c>
      <c r="R4207" s="5"/>
      <c r="S4207" s="5" t="s">
        <v>55864</v>
      </c>
      <c r="T4207" s="28">
        <v>3472552000</v>
      </c>
      <c r="U4207" s="28">
        <v>2020259000</v>
      </c>
      <c r="V4207" s="28">
        <v>3410812000</v>
      </c>
      <c r="W4207" s="28"/>
      <c r="X4207" s="28">
        <v>877487000</v>
      </c>
      <c r="Y4207" s="28">
        <v>17003390000</v>
      </c>
      <c r="Z4207" s="28">
        <v>5899022000</v>
      </c>
      <c r="AA4207" s="28">
        <v>4242000000</v>
      </c>
      <c r="AB4207" s="28">
        <v>4050487000</v>
      </c>
      <c r="AC4207" s="28">
        <v>5943978000</v>
      </c>
      <c r="AD4207" s="28">
        <v>6459249000</v>
      </c>
      <c r="AE4207" s="28">
        <v>11569317000</v>
      </c>
      <c r="AF4207" s="28">
        <v>-479678000</v>
      </c>
      <c r="AG4207" s="11"/>
    </row>
    <row r="4208">
      <c r="A4208" s="7" t="s">
        <v>5857</v>
      </c>
      <c r="B4208" s="5" t="s">
        <v>13816</v>
      </c>
      <c r="C4208" s="5" t="s">
        <v>21579</v>
      </c>
      <c r="D4208" s="5" t="str">
        <v>773313947871</v>
      </c>
      <c r="E4208" s="0" t="e">
        <f>+7 (383) 3283535
+7 (391) 2061688
+7 (473) 2801094
+7 (487) 2702159
+7 (487) 2702664
+7 (495) 7774868
+7 (495) 7774884
+7 (346) 2224296
+7 (346) 2224324
+7 (3472) 715520
+7 (381) 2536427
+7 (384) 2280847
+7 (421) 2436626
+7 (48731) 58779
+7 (495) 7774838</f>
        <v>#NAME?</v>
      </c>
      <c r="F4208" s="5" t="s">
        <v>37925</v>
      </c>
      <c r="G4208" s="5"/>
      <c r="H4208" s="26">
        <v>7.5</v>
      </c>
      <c r="I4208" s="5" t="s">
        <v>37926</v>
      </c>
      <c r="J4208" s="5" t="s">
        <v>37927</v>
      </c>
      <c r="K4208" s="5" t="s">
        <v>344</v>
      </c>
      <c r="L4208" s="5" t="s">
        <v>37928</v>
      </c>
      <c r="M4208" s="27">
        <v>236665</v>
      </c>
      <c r="N4208" s="5" t="s">
        <v>55865</v>
      </c>
      <c r="O4208" s="5" t="str">
        <v>7751009218</v>
      </c>
      <c r="P4208" s="27">
        <v>681697957</v>
      </c>
      <c r="Q4208" s="5" t="s">
        <v>55867</v>
      </c>
      <c r="R4208" s="5"/>
      <c r="S4208" s="5" t="s">
        <v>50479</v>
      </c>
      <c r="T4208" s="28">
        <v>2096499000</v>
      </c>
      <c r="U4208" s="28"/>
      <c r="V4208" s="28">
        <v>4860115000</v>
      </c>
      <c r="W4208" s="28">
        <v>645257000</v>
      </c>
      <c r="X4208" s="28">
        <v>984106000</v>
      </c>
      <c r="Y4208" s="28">
        <v>11283000000</v>
      </c>
      <c r="Z4208" s="28">
        <v>7920202000</v>
      </c>
      <c r="AA4208" s="28">
        <v>1272787000</v>
      </c>
      <c r="AB4208" s="28">
        <v>76152000</v>
      </c>
      <c r="AC4208" s="28">
        <v>1243116000</v>
      </c>
      <c r="AD4208" s="28">
        <v>8601900000</v>
      </c>
      <c r="AE4208" s="28">
        <v>15253995000</v>
      </c>
      <c r="AF4208" s="28">
        <v>2236713000</v>
      </c>
      <c r="AG4208" s="11"/>
    </row>
    <row r="4209">
      <c r="A4209" s="7" t="s">
        <v>5858</v>
      </c>
      <c r="B4209" s="5" t="s">
        <v>13817</v>
      </c>
      <c r="C4209" s="5" t="s">
        <v>21580</v>
      </c>
      <c r="D4209" s="5" t="str">
        <v>590507530084</v>
      </c>
      <c r="E4209" s="0" t="e">
        <f>+7 (499) 3220140
+7 (922) 2412957</f>
        <v>#NAME?</v>
      </c>
      <c r="F4209" s="5" t="s">
        <v>37929</v>
      </c>
      <c r="G4209" s="5"/>
      <c r="H4209" s="26">
        <v>15</v>
      </c>
      <c r="I4209" s="5" t="s">
        <v>37930</v>
      </c>
      <c r="J4209" s="5" t="s">
        <v>26561</v>
      </c>
      <c r="K4209" s="5" t="s">
        <v>344</v>
      </c>
      <c r="L4209" s="5" t="s">
        <v>37931</v>
      </c>
      <c r="M4209" s="27"/>
      <c r="N4209" s="5" t="s">
        <v>55868</v>
      </c>
      <c r="O4209" s="5" t="str">
        <v>7708658093</v>
      </c>
      <c r="P4209" s="27">
        <v>10000</v>
      </c>
      <c r="Q4209" s="5" t="s">
        <v>55869</v>
      </c>
      <c r="R4209" s="5"/>
      <c r="S4209" s="5" t="s">
        <v>50831</v>
      </c>
      <c r="T4209" s="28"/>
      <c r="U4209" s="28"/>
      <c r="V4209" s="28">
        <v>161550000</v>
      </c>
      <c r="W4209" s="28">
        <v>1109000000</v>
      </c>
      <c r="X4209" s="28">
        <v>1193438000</v>
      </c>
      <c r="Y4209" s="28">
        <v>3172928000</v>
      </c>
      <c r="Z4209" s="28">
        <v>212802000</v>
      </c>
      <c r="AA4209" s="28"/>
      <c r="AB4209" s="28">
        <v>412683000</v>
      </c>
      <c r="AC4209" s="28">
        <v>2950116000</v>
      </c>
      <c r="AD4209" s="28">
        <v>222812000</v>
      </c>
      <c r="AE4209" s="28">
        <v>5834530000</v>
      </c>
      <c r="AF4209" s="28">
        <v>238826000</v>
      </c>
      <c r="AG4209" s="11"/>
    </row>
    <row r="4210">
      <c r="A4210" s="7" t="s">
        <v>5859</v>
      </c>
      <c r="B4210" s="5" t="s">
        <v>13818</v>
      </c>
      <c r="C4210" s="5" t="s">
        <v>21581</v>
      </c>
      <c r="D4210" s="5"/>
      <c r="E4210" s="0" t="e">
        <f>+7 (381) 2329124
+7 (381) 2329171
+7 (381) 2329194
+7 (381) 2329222
+7 (381) 2329507
+7 (381) 2329517
+7 (381) 2369962
+7 (381) 2395200
+7 (381) 2395214
+7 (381) 2395304
+7 (381) 2395386
+7 (381) 2399193
+7 (381) 2666305
+7 (381) 2666320
+7 (381) 2666349</f>
        <v>#NAME?</v>
      </c>
      <c r="F4210" s="5" t="s">
        <v>37932</v>
      </c>
      <c r="G4210" s="5" t="s">
        <v>37933</v>
      </c>
      <c r="H4210" s="26">
        <v>30</v>
      </c>
      <c r="I4210" s="5"/>
      <c r="J4210" s="5" t="s">
        <v>37934</v>
      </c>
      <c r="K4210" s="5" t="s">
        <v>344</v>
      </c>
      <c r="L4210" s="5"/>
      <c r="M4210" s="27"/>
      <c r="N4210" s="5" t="s">
        <v>55870</v>
      </c>
      <c r="O4210" s="5" t="str">
        <v>5508000095</v>
      </c>
      <c r="P4210" s="27">
        <v>18556000</v>
      </c>
      <c r="Q4210" s="5" t="s">
        <v>55871</v>
      </c>
      <c r="R4210" s="5"/>
      <c r="S4210" s="5" t="s">
        <v>55872</v>
      </c>
      <c r="T4210" s="28">
        <v>4526295000</v>
      </c>
      <c r="U4210" s="28">
        <v>6239000</v>
      </c>
      <c r="V4210" s="28">
        <v>3398949000</v>
      </c>
      <c r="W4210" s="28">
        <v>8000000</v>
      </c>
      <c r="X4210" s="28">
        <v>1616900000</v>
      </c>
      <c r="Y4210" s="28">
        <v>16688472000</v>
      </c>
      <c r="Z4210" s="28">
        <v>2382667000</v>
      </c>
      <c r="AA4210" s="28">
        <v>2159016000</v>
      </c>
      <c r="AB4210" s="28">
        <v>190107000</v>
      </c>
      <c r="AC4210" s="28">
        <v>7459952000</v>
      </c>
      <c r="AD4210" s="28">
        <v>7832662000</v>
      </c>
      <c r="AE4210" s="28">
        <v>6881072000</v>
      </c>
      <c r="AF4210" s="28">
        <v>166322000</v>
      </c>
      <c r="AG4210" s="11"/>
    </row>
    <row r="4211">
      <c r="A4211" s="7" t="s">
        <v>5860</v>
      </c>
      <c r="B4211" s="5" t="s">
        <v>13819</v>
      </c>
      <c r="C4211" s="5" t="s">
        <v>21582</v>
      </c>
      <c r="D4211" s="5" t="str">
        <v>772411399766</v>
      </c>
      <c r="E4211" s="0" t="e">
        <f>+7 (499) 2514030</f>
        <v>#NAME?</v>
      </c>
      <c r="F4211" s="5"/>
      <c r="G4211" s="5" t="s">
        <v>37935</v>
      </c>
      <c r="H4211" s="26">
        <v>12.5</v>
      </c>
      <c r="I4211" s="5" t="s">
        <v>37936</v>
      </c>
      <c r="J4211" s="5" t="s">
        <v>467</v>
      </c>
      <c r="K4211" s="5" t="s">
        <v>344</v>
      </c>
      <c r="L4211" s="5" t="s">
        <v>37937</v>
      </c>
      <c r="M4211" s="27"/>
      <c r="N4211" s="5" t="s">
        <v>53994</v>
      </c>
      <c r="O4211" s="5" t="str">
        <v>7710874013</v>
      </c>
      <c r="P4211" s="27">
        <v>10000</v>
      </c>
      <c r="Q4211" s="5" t="s">
        <v>55873</v>
      </c>
      <c r="R4211" s="5"/>
      <c r="S4211" s="5" t="s">
        <v>55874</v>
      </c>
      <c r="T4211" s="28">
        <v>3784000</v>
      </c>
      <c r="U4211" s="28"/>
      <c r="V4211" s="28">
        <v>109561000</v>
      </c>
      <c r="W4211" s="28">
        <v>550000</v>
      </c>
      <c r="X4211" s="28">
        <v>35366000</v>
      </c>
      <c r="Y4211" s="28">
        <v>371096000</v>
      </c>
      <c r="Z4211" s="28">
        <v>87514000</v>
      </c>
      <c r="AA4211" s="28"/>
      <c r="AB4211" s="28">
        <v>90000000</v>
      </c>
      <c r="AC4211" s="28">
        <v>282262000</v>
      </c>
      <c r="AD4211" s="28">
        <v>87524000</v>
      </c>
      <c r="AE4211" s="28">
        <v>3279556000</v>
      </c>
      <c r="AF4211" s="28">
        <v>84982000</v>
      </c>
      <c r="AG4211" s="11"/>
    </row>
    <row r="4212">
      <c r="A4212" s="7" t="s">
        <v>5861</v>
      </c>
      <c r="B4212" s="5" t="s">
        <v>13820</v>
      </c>
      <c r="C4212" s="5" t="s">
        <v>21583</v>
      </c>
      <c r="D4212" s="5" t="str">
        <v>662700253975</v>
      </c>
      <c r="E4212" s="0" t="e">
        <f>+7 (343) 2584181
+7 (343) 3584181
+7 (343) 3584627
+7 (343) 3585378
+7 (343) 3585382
+7 (343) 3585435
+7 (343) 3585742
+7 (343) 3585756
+7 (343) 3585827
+7 (343) 3801771
+7 (343) 3806771</f>
        <v>#NAME?</v>
      </c>
      <c r="F4212" s="5" t="s">
        <v>37938</v>
      </c>
      <c r="G4212" s="5" t="s">
        <v>37939</v>
      </c>
      <c r="H4212" s="26">
        <v>28.5</v>
      </c>
      <c r="I4212" s="5" t="s">
        <v>37940</v>
      </c>
      <c r="J4212" s="5" t="s">
        <v>31819</v>
      </c>
      <c r="K4212" s="5" t="s">
        <v>344</v>
      </c>
      <c r="L4212" s="5" t="s">
        <v>37941</v>
      </c>
      <c r="M4212" s="27"/>
      <c r="N4212" s="5" t="s">
        <v>55875</v>
      </c>
      <c r="O4212" s="5" t="str">
        <v>6659017039</v>
      </c>
      <c r="P4212" s="27">
        <v>2400</v>
      </c>
      <c r="Q4212" s="5" t="s">
        <v>55876</v>
      </c>
      <c r="R4212" s="5"/>
      <c r="S4212" s="5" t="s">
        <v>55877</v>
      </c>
      <c r="T4212" s="28">
        <v>140647000</v>
      </c>
      <c r="U4212" s="28">
        <v>2000000</v>
      </c>
      <c r="V4212" s="28">
        <v>936168000</v>
      </c>
      <c r="W4212" s="28"/>
      <c r="X4212" s="28">
        <v>197326000</v>
      </c>
      <c r="Y4212" s="28">
        <v>1495271000</v>
      </c>
      <c r="Z4212" s="28">
        <v>1241450000</v>
      </c>
      <c r="AA4212" s="28"/>
      <c r="AB4212" s="28"/>
      <c r="AC4212" s="28">
        <v>253819000</v>
      </c>
      <c r="AD4212" s="28">
        <v>1241452000</v>
      </c>
      <c r="AE4212" s="28">
        <v>3275899000</v>
      </c>
      <c r="AF4212" s="28">
        <v>110222000</v>
      </c>
      <c r="AG4212" s="11"/>
    </row>
    <row r="4213">
      <c r="A4213" s="7" t="s">
        <v>5862</v>
      </c>
      <c r="B4213" s="5" t="s">
        <v>13821</v>
      </c>
      <c r="C4213" s="5" t="s">
        <v>21584</v>
      </c>
      <c r="D4213" s="5" t="str">
        <v>773500632695</v>
      </c>
      <c r="E4213" s="0" t="e">
        <f>+7 (495) 5360687
+7 (495) 5360694
+7 (495) 5360701
+7 (495) 5362871
+7 (495) 5362875
+7 (495) 5363266
+7 (495) 6537500
+7 (495) 6537520
+7 (495) 6537529
+7 (495) 6537542
+7 (495) 6537586
+7 (495) 7299200
+7 (499) 7109200
+7 (499) 7299200
+7 (499) 7299849</f>
        <v>#NAME?</v>
      </c>
      <c r="F4213" s="5" t="s">
        <v>37942</v>
      </c>
      <c r="G4213" s="5"/>
      <c r="H4213" s="26">
        <v>30</v>
      </c>
      <c r="I4213" s="5"/>
      <c r="J4213" s="5" t="s">
        <v>29217</v>
      </c>
      <c r="K4213" s="5" t="s">
        <v>344</v>
      </c>
      <c r="L4213" s="5"/>
      <c r="M4213" s="27">
        <v>96903032</v>
      </c>
      <c r="N4213" s="5" t="s">
        <v>55878</v>
      </c>
      <c r="O4213" s="5" t="str">
        <v>5044000039</v>
      </c>
      <c r="P4213" s="27">
        <v>85500000</v>
      </c>
      <c r="Q4213" s="5" t="s">
        <v>55879</v>
      </c>
      <c r="R4213" s="5"/>
      <c r="S4213" s="5" t="s">
        <v>55880</v>
      </c>
      <c r="T4213" s="28">
        <v>1197987000</v>
      </c>
      <c r="U4213" s="28">
        <v>3485000</v>
      </c>
      <c r="V4213" s="28">
        <v>923003000</v>
      </c>
      <c r="W4213" s="28"/>
      <c r="X4213" s="28">
        <v>386680000</v>
      </c>
      <c r="Y4213" s="28">
        <v>3545568000</v>
      </c>
      <c r="Z4213" s="28">
        <v>1402247000</v>
      </c>
      <c r="AA4213" s="28">
        <v>922803000</v>
      </c>
      <c r="AB4213" s="28">
        <v>7731000</v>
      </c>
      <c r="AC4213" s="28">
        <v>1111261000</v>
      </c>
      <c r="AD4213" s="28">
        <v>1511501000</v>
      </c>
      <c r="AE4213" s="28">
        <v>3029538000</v>
      </c>
      <c r="AF4213" s="28">
        <v>28268000</v>
      </c>
      <c r="AG4213" s="11"/>
    </row>
    <row r="4214">
      <c r="A4214" s="7" t="s">
        <v>5863</v>
      </c>
      <c r="B4214" s="5" t="s">
        <v>13822</v>
      </c>
      <c r="C4214" s="5" t="s">
        <v>21585</v>
      </c>
      <c r="D4214" s="5" t="str">
        <v>773314670809</v>
      </c>
      <c r="E4214" s="0" t="e">
        <f>+7 (8362) 455426
+7 (8362) 455866
+7 (8362) 630158
+7 (8362) 630203</f>
        <v>#NAME?</v>
      </c>
      <c r="F4214" s="5" t="s">
        <v>37943</v>
      </c>
      <c r="G4214" s="5"/>
      <c r="H4214" s="26">
        <v>16</v>
      </c>
      <c r="I4214" s="5"/>
      <c r="J4214" s="5" t="s">
        <v>773</v>
      </c>
      <c r="K4214" s="5" t="s">
        <v>344</v>
      </c>
      <c r="L4214" s="5" t="s">
        <v>37944</v>
      </c>
      <c r="M4214" s="27"/>
      <c r="N4214" s="5"/>
      <c r="O4214" s="5" t="str">
        <v>1215120758</v>
      </c>
      <c r="P4214" s="27">
        <v>100000000</v>
      </c>
      <c r="Q4214" s="5"/>
      <c r="R4214" s="5"/>
      <c r="S4214" s="5" t="s">
        <v>49425</v>
      </c>
      <c r="T4214" s="28">
        <v>749915000</v>
      </c>
      <c r="U4214" s="28">
        <v>1226890000</v>
      </c>
      <c r="V4214" s="28">
        <v>3860027000</v>
      </c>
      <c r="W4214" s="28">
        <v>212674000</v>
      </c>
      <c r="X4214" s="28">
        <v>338876000</v>
      </c>
      <c r="Y4214" s="28">
        <v>8977181000</v>
      </c>
      <c r="Z4214" s="28">
        <v>7114397000</v>
      </c>
      <c r="AA4214" s="28"/>
      <c r="AB4214" s="28"/>
      <c r="AC4214" s="28">
        <v>1609144000</v>
      </c>
      <c r="AD4214" s="28">
        <v>7219397000</v>
      </c>
      <c r="AE4214" s="28">
        <v>6850337000</v>
      </c>
      <c r="AF4214" s="28">
        <v>1102885000</v>
      </c>
      <c r="AG4214" s="11"/>
    </row>
    <row r="4215">
      <c r="A4215" s="7" t="s">
        <v>5864</v>
      </c>
      <c r="B4215" s="5" t="s">
        <v>13823</v>
      </c>
      <c r="C4215" s="5" t="s">
        <v>21586</v>
      </c>
      <c r="D4215" s="5" t="str">
        <v>637100177715</v>
      </c>
      <c r="E4215" s="0" t="e">
        <f>+7 (84661) 22437
+7 (84661) 26575
+7 (84661) 32534
+7 (927) 2605714</f>
        <v>#NAME?</v>
      </c>
      <c r="F4215" s="5"/>
      <c r="G4215" s="5"/>
      <c r="H4215" s="26">
        <v>11.5</v>
      </c>
      <c r="I4215" s="5" t="s">
        <v>37945</v>
      </c>
      <c r="J4215" s="5" t="s">
        <v>26173</v>
      </c>
      <c r="K4215" s="5" t="s">
        <v>344</v>
      </c>
      <c r="L4215" s="5" t="s">
        <v>37946</v>
      </c>
      <c r="M4215" s="27">
        <v>19576302</v>
      </c>
      <c r="N4215" s="5"/>
      <c r="O4215" s="5" t="str">
        <v>6316164422</v>
      </c>
      <c r="P4215" s="27">
        <v>10000</v>
      </c>
      <c r="Q4215" s="5" t="s">
        <v>55882</v>
      </c>
      <c r="R4215" s="5" t="s">
        <v>55883</v>
      </c>
      <c r="S4215" s="5" t="s">
        <v>49998</v>
      </c>
      <c r="T4215" s="28">
        <v>3816751000</v>
      </c>
      <c r="U4215" s="28"/>
      <c r="V4215" s="28">
        <v>5505797000</v>
      </c>
      <c r="W4215" s="28">
        <v>53000000</v>
      </c>
      <c r="X4215" s="28">
        <v>641721000</v>
      </c>
      <c r="Y4215" s="28">
        <v>10886155000</v>
      </c>
      <c r="Z4215" s="28">
        <v>3008837000</v>
      </c>
      <c r="AA4215" s="28">
        <v>6955000</v>
      </c>
      <c r="AB4215" s="28">
        <v>160000000</v>
      </c>
      <c r="AC4215" s="28">
        <v>4978916000</v>
      </c>
      <c r="AD4215" s="28">
        <v>3008847000</v>
      </c>
      <c r="AE4215" s="28">
        <v>9735832000</v>
      </c>
      <c r="AF4215" s="28">
        <v>444517000</v>
      </c>
      <c r="AG4215" s="11"/>
    </row>
    <row r="4216">
      <c r="A4216" s="7" t="s">
        <v>5865</v>
      </c>
      <c r="B4216" s="5" t="s">
        <v>13824</v>
      </c>
      <c r="C4216" s="5" t="s">
        <v>21587</v>
      </c>
      <c r="D4216" s="5" t="str">
        <v>231201750715</v>
      </c>
      <c r="E4216" s="0" t="e">
        <f>+7 (861) 2032020
+7 (861) 2678031
+7 (861) 2678040
+7 (861) 2678045
+7 (861) 2698226
+7 (965) 4720047</f>
        <v>#NAME?</v>
      </c>
      <c r="F4216" s="5" t="s">
        <v>37947</v>
      </c>
      <c r="G4216" s="5" t="s">
        <v>37948</v>
      </c>
      <c r="H4216" s="26">
        <v>27.5</v>
      </c>
      <c r="I4216" s="5" t="s">
        <v>37949</v>
      </c>
      <c r="J4216" s="5" t="s">
        <v>755</v>
      </c>
      <c r="K4216" s="5" t="s">
        <v>344</v>
      </c>
      <c r="L4216" s="5"/>
      <c r="M4216" s="27"/>
      <c r="N4216" s="5" t="s">
        <v>52010</v>
      </c>
      <c r="O4216" s="5" t="str">
        <v>2309152771</v>
      </c>
      <c r="P4216" s="27">
        <v>19970600</v>
      </c>
      <c r="Q4216" s="5"/>
      <c r="R4216" s="5"/>
      <c r="S4216" s="5" t="s">
        <v>49110</v>
      </c>
      <c r="T4216" s="28">
        <v>187497000</v>
      </c>
      <c r="U4216" s="28">
        <v>42853000</v>
      </c>
      <c r="V4216" s="28">
        <v>305314000</v>
      </c>
      <c r="W4216" s="28">
        <v>37623000</v>
      </c>
      <c r="X4216" s="28">
        <v>575213000</v>
      </c>
      <c r="Y4216" s="28">
        <v>1571630000</v>
      </c>
      <c r="Z4216" s="28">
        <v>1221624000</v>
      </c>
      <c r="AA4216" s="28"/>
      <c r="AB4216" s="28">
        <v>138238000</v>
      </c>
      <c r="AC4216" s="28">
        <v>328682000</v>
      </c>
      <c r="AD4216" s="28">
        <v>1242948000</v>
      </c>
      <c r="AE4216" s="28">
        <v>3156467000</v>
      </c>
      <c r="AF4216" s="28">
        <v>345310000</v>
      </c>
      <c r="AG4216" s="11"/>
    </row>
    <row r="4217">
      <c r="A4217" s="7" t="s">
        <v>5866</v>
      </c>
      <c r="B4217" s="5" t="s">
        <v>13825</v>
      </c>
      <c r="C4217" s="5" t="s">
        <v>21588</v>
      </c>
      <c r="D4217" s="5" t="str">
        <v>860309573991</v>
      </c>
      <c r="E4217" s="0" t="e">
        <f>+7 (495) 2873433
+7 (495) 3550538
+7 (495) 3550592
+7 (495) 3552038
+7 (495) 3558818
+7 (495) 6873433
+7 (495) 9951468</f>
        <v>#NAME?</v>
      </c>
      <c r="F4217" s="5" t="s">
        <v>37950</v>
      </c>
      <c r="G4217" s="5" t="s">
        <v>37951</v>
      </c>
      <c r="H4217" s="26">
        <v>20</v>
      </c>
      <c r="I4217" s="5" t="s">
        <v>37952</v>
      </c>
      <c r="J4217" s="5" t="s">
        <v>26851</v>
      </c>
      <c r="K4217" s="5" t="s">
        <v>344</v>
      </c>
      <c r="L4217" s="5" t="s">
        <v>37953</v>
      </c>
      <c r="M4217" s="27"/>
      <c r="N4217" s="5"/>
      <c r="O4217" s="5" t="str">
        <v>7723332561</v>
      </c>
      <c r="P4217" s="27">
        <v>641500000</v>
      </c>
      <c r="Q4217" s="5" t="s">
        <v>49059</v>
      </c>
      <c r="R4217" s="5"/>
      <c r="S4217" s="5" t="s">
        <v>49499</v>
      </c>
      <c r="T4217" s="28">
        <v>972140000</v>
      </c>
      <c r="U4217" s="28"/>
      <c r="V4217" s="28">
        <v>329520000</v>
      </c>
      <c r="W4217" s="28"/>
      <c r="X4217" s="28">
        <v>1166677000</v>
      </c>
      <c r="Y4217" s="28">
        <v>2924488000</v>
      </c>
      <c r="Z4217" s="28">
        <v>1410757000</v>
      </c>
      <c r="AA4217" s="28"/>
      <c r="AB4217" s="28"/>
      <c r="AC4217" s="28">
        <v>741448000</v>
      </c>
      <c r="AD4217" s="28">
        <v>2077719000</v>
      </c>
      <c r="AE4217" s="28">
        <v>15869938000</v>
      </c>
      <c r="AF4217" s="28">
        <v>2306914000</v>
      </c>
      <c r="AG4217" s="11"/>
    </row>
    <row r="4218">
      <c r="A4218" s="7" t="s">
        <v>5867</v>
      </c>
      <c r="B4218" s="5" t="s">
        <v>13826</v>
      </c>
      <c r="C4218" s="5" t="s">
        <v>21589</v>
      </c>
      <c r="D4218" s="5" t="str">
        <v>771519447773</v>
      </c>
      <c r="E4218" s="0" t="e">
        <f>+7 (812) 7481281
+7 (3433) 828626
+7 (495) 2761400
+7 (495) 2761401
+7 (495) 3687341
+7 (495) 7300239
+7 (495) 7300298
+7 (495) 7300299
+7 (812) 2421443
+7 (8432) 584469
+7 (903) 3013261
+7 (912) 8782305
+7 (920) 531220
+7 (927) 4619944
+7 (962) 4853467</f>
        <v>#NAME?</v>
      </c>
      <c r="F4218" s="5" t="s">
        <v>37954</v>
      </c>
      <c r="G4218" s="5"/>
      <c r="H4218" s="26">
        <v>31</v>
      </c>
      <c r="I4218" s="5" t="s">
        <v>37955</v>
      </c>
      <c r="J4218" s="5" t="s">
        <v>26391</v>
      </c>
      <c r="K4218" s="5" t="s">
        <v>344</v>
      </c>
      <c r="L4218" s="5" t="s">
        <v>37956</v>
      </c>
      <c r="M4218" s="27"/>
      <c r="N4218" s="5"/>
      <c r="O4218" s="5" t="str">
        <v>7710962284</v>
      </c>
      <c r="P4218" s="27">
        <v>2100000</v>
      </c>
      <c r="Q4218" s="5" t="s">
        <v>49059</v>
      </c>
      <c r="R4218" s="5"/>
      <c r="S4218" s="5" t="s">
        <v>54301</v>
      </c>
      <c r="T4218" s="28">
        <v>71229000</v>
      </c>
      <c r="U4218" s="28">
        <v>506000</v>
      </c>
      <c r="V4218" s="28">
        <v>96120000</v>
      </c>
      <c r="W4218" s="28"/>
      <c r="X4218" s="28">
        <v>18943000</v>
      </c>
      <c r="Y4218" s="28">
        <v>1902797000</v>
      </c>
      <c r="Z4218" s="28">
        <v>1521923000</v>
      </c>
      <c r="AA4218" s="28"/>
      <c r="AB4218" s="28"/>
      <c r="AC4218" s="28">
        <v>333604000</v>
      </c>
      <c r="AD4218" s="28">
        <v>1525922000</v>
      </c>
      <c r="AE4218" s="28">
        <v>4288644000</v>
      </c>
      <c r="AF4218" s="28">
        <v>723767000</v>
      </c>
      <c r="AG4218" s="11"/>
    </row>
    <row r="4219">
      <c r="A4219" s="7" t="s">
        <v>5868</v>
      </c>
      <c r="B4219" s="5" t="s">
        <v>13827</v>
      </c>
      <c r="C4219" s="5" t="s">
        <v>21590</v>
      </c>
      <c r="D4219" s="5" t="str">
        <v>720322852516</v>
      </c>
      <c r="E4219" s="0" t="e">
        <f>+7 (345) 2471819
+7 (345) 2472585
+7 (345) 2472586
+7 (345) 2473800
+7 (345) 2489160
+7 (345) 2973322
+7 (912) 9226803</f>
        <v>#NAME?</v>
      </c>
      <c r="F4219" s="5" t="s">
        <v>37957</v>
      </c>
      <c r="G4219" s="5" t="s">
        <v>37958</v>
      </c>
      <c r="H4219" s="26">
        <v>26.5</v>
      </c>
      <c r="I4219" s="5" t="s">
        <v>37959</v>
      </c>
      <c r="J4219" s="5" t="s">
        <v>27991</v>
      </c>
      <c r="K4219" s="5" t="s">
        <v>344</v>
      </c>
      <c r="L4219" s="5" t="s">
        <v>37960</v>
      </c>
      <c r="M4219" s="27"/>
      <c r="N4219" s="5" t="s">
        <v>50616</v>
      </c>
      <c r="O4219" s="5" t="str">
        <v>7203258777</v>
      </c>
      <c r="P4219" s="27">
        <v>3166000</v>
      </c>
      <c r="Q4219" s="5"/>
      <c r="R4219" s="5"/>
      <c r="S4219" s="5" t="s">
        <v>50081</v>
      </c>
      <c r="T4219" s="28">
        <v>592749000</v>
      </c>
      <c r="U4219" s="28">
        <v>26000</v>
      </c>
      <c r="V4219" s="28">
        <v>1967996000</v>
      </c>
      <c r="W4219" s="28">
        <v>1437488000</v>
      </c>
      <c r="X4219" s="28">
        <v>246358000</v>
      </c>
      <c r="Y4219" s="28">
        <v>4990609000</v>
      </c>
      <c r="Z4219" s="28">
        <v>4481538000</v>
      </c>
      <c r="AA4219" s="28"/>
      <c r="AB4219" s="28"/>
      <c r="AC4219" s="28">
        <v>463286000</v>
      </c>
      <c r="AD4219" s="28">
        <v>4498272000</v>
      </c>
      <c r="AE4219" s="28">
        <v>5950275000</v>
      </c>
      <c r="AF4219" s="28">
        <v>627555000</v>
      </c>
      <c r="AG4219" s="11"/>
    </row>
    <row r="4220">
      <c r="A4220" s="7" t="s">
        <v>5869</v>
      </c>
      <c r="B4220" s="5" t="s">
        <v>13828</v>
      </c>
      <c r="C4220" s="5" t="s">
        <v>21591</v>
      </c>
      <c r="D4220" s="5" t="str">
        <v>667204529946</v>
      </c>
      <c r="E4220" s="0" t="e">
        <f>+7 (343) 2877778
+7 (343) 3859595
+7 (343) 2903534
+7 (343) 3743442
+7 (3432) 903536
+7 (3433) 741791</f>
        <v>#NAME?</v>
      </c>
      <c r="F4220" s="5" t="s">
        <v>37961</v>
      </c>
      <c r="G4220" s="5" t="s">
        <v>37962</v>
      </c>
      <c r="H4220" s="26">
        <v>23</v>
      </c>
      <c r="I4220" s="5" t="s">
        <v>37963</v>
      </c>
      <c r="J4220" s="5" t="s">
        <v>364</v>
      </c>
      <c r="K4220" s="5" t="s">
        <v>344</v>
      </c>
      <c r="L4220" s="5" t="s">
        <v>37964</v>
      </c>
      <c r="M4220" s="27">
        <v>51910</v>
      </c>
      <c r="N4220" s="5" t="s">
        <v>55884</v>
      </c>
      <c r="O4220" s="5" t="str">
        <v>6660142370</v>
      </c>
      <c r="P4220" s="27">
        <v>80113000</v>
      </c>
      <c r="Q4220" s="5" t="s">
        <v>55885</v>
      </c>
      <c r="R4220" s="5" t="s">
        <v>55886</v>
      </c>
      <c r="S4220" s="5" t="s">
        <v>55887</v>
      </c>
      <c r="T4220" s="28">
        <v>1283700000</v>
      </c>
      <c r="U4220" s="28">
        <v>2000</v>
      </c>
      <c r="V4220" s="28">
        <v>1496833000</v>
      </c>
      <c r="W4220" s="28">
        <v>89185000</v>
      </c>
      <c r="X4220" s="28">
        <v>338855000</v>
      </c>
      <c r="Y4220" s="28">
        <v>4811295000</v>
      </c>
      <c r="Z4220" s="28">
        <v>4473227000</v>
      </c>
      <c r="AA4220" s="28"/>
      <c r="AB4220" s="28"/>
      <c r="AC4220" s="28">
        <v>255774000</v>
      </c>
      <c r="AD4220" s="28">
        <v>4553340000</v>
      </c>
      <c r="AE4220" s="28">
        <v>5593477000</v>
      </c>
      <c r="AF4220" s="28">
        <v>182362000</v>
      </c>
      <c r="AG4220" s="11"/>
    </row>
    <row r="4221">
      <c r="A4221" s="7" t="s">
        <v>5870</v>
      </c>
      <c r="B4221" s="5" t="s">
        <v>13829</v>
      </c>
      <c r="C4221" s="5" t="s">
        <v>21592</v>
      </c>
      <c r="D4221" s="5" t="str">
        <v>645309744207</v>
      </c>
      <c r="E4221" s="0" t="e">
        <f>+7 (8452) 278005
+7 (8452) 740285</f>
        <v>#NAME?</v>
      </c>
      <c r="F4221" s="5" t="s">
        <v>37965</v>
      </c>
      <c r="G4221" s="5" t="s">
        <v>37966</v>
      </c>
      <c r="H4221" s="26">
        <v>33.5</v>
      </c>
      <c r="I4221" s="5" t="s">
        <v>37967</v>
      </c>
      <c r="J4221" s="5" t="s">
        <v>30361</v>
      </c>
      <c r="K4221" s="5" t="s">
        <v>344</v>
      </c>
      <c r="L4221" s="5" t="s">
        <v>37968</v>
      </c>
      <c r="M4221" s="27"/>
      <c r="N4221" s="5" t="s">
        <v>55888</v>
      </c>
      <c r="O4221" s="5" t="str">
        <v>6452003946</v>
      </c>
      <c r="P4221" s="27">
        <v>539800</v>
      </c>
      <c r="Q4221" s="5" t="s">
        <v>49021</v>
      </c>
      <c r="R4221" s="5"/>
      <c r="S4221" s="5" t="s">
        <v>55889</v>
      </c>
      <c r="T4221" s="28">
        <v>56991000</v>
      </c>
      <c r="U4221" s="28">
        <v>3509000</v>
      </c>
      <c r="V4221" s="28">
        <v>2984399000</v>
      </c>
      <c r="W4221" s="28">
        <v>83000</v>
      </c>
      <c r="X4221" s="28">
        <v>33333000</v>
      </c>
      <c r="Y4221" s="28">
        <v>3232542000</v>
      </c>
      <c r="Z4221" s="28">
        <v>1216136000</v>
      </c>
      <c r="AA4221" s="28"/>
      <c r="AB4221" s="28"/>
      <c r="AC4221" s="28">
        <v>2014978000</v>
      </c>
      <c r="AD4221" s="28">
        <v>1216883000</v>
      </c>
      <c r="AE4221" s="28">
        <v>3031459000</v>
      </c>
      <c r="AF4221" s="28">
        <v>650159000</v>
      </c>
      <c r="AG4221" s="11"/>
    </row>
    <row r="4222">
      <c r="A4222" s="7" t="s">
        <v>5871</v>
      </c>
      <c r="B4222" s="5" t="s">
        <v>13830</v>
      </c>
      <c r="C4222" s="5" t="s">
        <v>21593</v>
      </c>
      <c r="D4222" s="5" t="str">
        <v>780159282888</v>
      </c>
      <c r="E4222" s="0" t="e">
        <f>+7 (812) 4585100</f>
        <v>#NAME?</v>
      </c>
      <c r="F4222" s="5" t="s">
        <v>37969</v>
      </c>
      <c r="G4222" s="5"/>
      <c r="H4222" s="26">
        <v>20</v>
      </c>
      <c r="I4222" s="5" t="s">
        <v>37970</v>
      </c>
      <c r="J4222" s="5" t="s">
        <v>30725</v>
      </c>
      <c r="K4222" s="5" t="s">
        <v>344</v>
      </c>
      <c r="L4222" s="5" t="s">
        <v>37971</v>
      </c>
      <c r="M4222" s="27"/>
      <c r="N4222" s="5" t="s">
        <v>55890</v>
      </c>
      <c r="O4222" s="5" t="str">
        <v>7825492691</v>
      </c>
      <c r="P4222" s="27">
        <v>10000</v>
      </c>
      <c r="Q4222" s="5" t="s">
        <v>49009</v>
      </c>
      <c r="R4222" s="5"/>
      <c r="S4222" s="5" t="s">
        <v>55891</v>
      </c>
      <c r="T4222" s="28">
        <v>520064000</v>
      </c>
      <c r="U4222" s="28">
        <v>15000</v>
      </c>
      <c r="V4222" s="28">
        <v>1555205000</v>
      </c>
      <c r="W4222" s="28"/>
      <c r="X4222" s="28">
        <v>684464000</v>
      </c>
      <c r="Y4222" s="28">
        <v>3825763000</v>
      </c>
      <c r="Z4222" s="28">
        <v>3124940000</v>
      </c>
      <c r="AA4222" s="28"/>
      <c r="AB4222" s="28">
        <v>50852000</v>
      </c>
      <c r="AC4222" s="28">
        <v>666971000</v>
      </c>
      <c r="AD4222" s="28">
        <v>3124950000</v>
      </c>
      <c r="AE4222" s="28">
        <v>3377984000</v>
      </c>
      <c r="AF4222" s="28">
        <v>1063464000</v>
      </c>
      <c r="AG4222" s="11"/>
    </row>
    <row r="4223">
      <c r="A4223" s="7" t="s">
        <v>5872</v>
      </c>
      <c r="B4223" s="5" t="s">
        <v>13831</v>
      </c>
      <c r="C4223" s="5" t="s">
        <v>21594</v>
      </c>
      <c r="D4223" s="5" t="str">
        <v>667105787978</v>
      </c>
      <c r="E4223" s="0" t="e">
        <f>+7 (495) 6818461
+7 (495) 2761571
+7 (495) 6484333
+7 (495) 6810930
+7 (495) 6819300
+7 (495) 6844333
+7 (495) 6845545
+7 (495) 6884694
+7 (495) 6889378</f>
        <v>#NAME?</v>
      </c>
      <c r="F4223" s="5" t="s">
        <v>37972</v>
      </c>
      <c r="G4223" s="5" t="s">
        <v>37973</v>
      </c>
      <c r="H4223" s="26">
        <v>24</v>
      </c>
      <c r="I4223" s="5" t="s">
        <v>37974</v>
      </c>
      <c r="J4223" s="5" t="s">
        <v>25437</v>
      </c>
      <c r="K4223" s="5" t="s">
        <v>344</v>
      </c>
      <c r="L4223" s="5" t="s">
        <v>37975</v>
      </c>
      <c r="M4223" s="27"/>
      <c r="N4223" s="5" t="s">
        <v>55892</v>
      </c>
      <c r="O4223" s="5" t="str">
        <v>7709272649</v>
      </c>
      <c r="P4223" s="27">
        <v>100000</v>
      </c>
      <c r="Q4223" s="5" t="s">
        <v>49059</v>
      </c>
      <c r="R4223" s="5"/>
      <c r="S4223" s="5" t="s">
        <v>49028</v>
      </c>
      <c r="T4223" s="28">
        <v>2395054000</v>
      </c>
      <c r="U4223" s="28">
        <v>281415000</v>
      </c>
      <c r="V4223" s="28">
        <v>6311673000</v>
      </c>
      <c r="W4223" s="28">
        <v>707338000</v>
      </c>
      <c r="X4223" s="28">
        <v>703327000</v>
      </c>
      <c r="Y4223" s="28">
        <v>13390302000</v>
      </c>
      <c r="Z4223" s="28">
        <v>12353297000</v>
      </c>
      <c r="AA4223" s="28"/>
      <c r="AB4223" s="28"/>
      <c r="AC4223" s="28">
        <v>751905000</v>
      </c>
      <c r="AD4223" s="28">
        <v>12353397000</v>
      </c>
      <c r="AE4223" s="28">
        <v>12160398000</v>
      </c>
      <c r="AF4223" s="28">
        <v>2290577000</v>
      </c>
      <c r="AG4223" s="11"/>
    </row>
    <row r="4224">
      <c r="A4224" s="7" t="s">
        <v>5873</v>
      </c>
      <c r="B4224" s="5" t="s">
        <v>13832</v>
      </c>
      <c r="C4224" s="5" t="s">
        <v>21595</v>
      </c>
      <c r="D4224" s="5" t="str">
        <v>781006117960</v>
      </c>
      <c r="E4224" s="0" t="e">
        <f>+7 (812) 2323975
+7 (812) 2336600
+7 (812) 2337225
+7 (812) 2339407
+7 (812) 2339593
+7 (812) 3178825
+7 (812) 6020352
+7 (812) 6020353
+7 (812) 6020355
+7 (812) 6020357
+7 (812) 6020358
+7 (812) 6020368
+7 (812) 6020375
+7 (81372) 61383</f>
        <v>#NAME?</v>
      </c>
      <c r="F4224" s="5" t="s">
        <v>37976</v>
      </c>
      <c r="G4224" s="5" t="s">
        <v>37977</v>
      </c>
      <c r="H4224" s="26">
        <v>31</v>
      </c>
      <c r="I4224" s="5"/>
      <c r="J4224" s="5" t="s">
        <v>755</v>
      </c>
      <c r="K4224" s="5" t="s">
        <v>344</v>
      </c>
      <c r="L4224" s="5"/>
      <c r="M4224" s="27">
        <v>7394551</v>
      </c>
      <c r="N4224" s="5" t="s">
        <v>55893</v>
      </c>
      <c r="O4224" s="5" t="str">
        <v>7813113934</v>
      </c>
      <c r="P4224" s="27">
        <v>80380</v>
      </c>
      <c r="Q4224" s="5" t="s">
        <v>55894</v>
      </c>
      <c r="R4224" s="5"/>
      <c r="S4224" s="5" t="s">
        <v>51048</v>
      </c>
      <c r="T4224" s="28">
        <v>204167000</v>
      </c>
      <c r="U4224" s="28">
        <v>152000</v>
      </c>
      <c r="V4224" s="28">
        <v>3504645000</v>
      </c>
      <c r="W4224" s="28">
        <v>102310000</v>
      </c>
      <c r="X4224" s="28">
        <v>1087624000</v>
      </c>
      <c r="Y4224" s="28">
        <v>6175002000</v>
      </c>
      <c r="Z4224" s="28">
        <v>3478642000</v>
      </c>
      <c r="AA4224" s="28"/>
      <c r="AB4224" s="28"/>
      <c r="AC4224" s="28">
        <v>2082041000</v>
      </c>
      <c r="AD4224" s="28">
        <v>3478727000</v>
      </c>
      <c r="AE4224" s="28">
        <v>4415547000</v>
      </c>
      <c r="AF4224" s="28">
        <v>1477480000</v>
      </c>
      <c r="AG4224" s="11"/>
    </row>
    <row r="4225">
      <c r="A4225" s="7" t="s">
        <v>5874</v>
      </c>
      <c r="B4225" s="5" t="s">
        <v>13833</v>
      </c>
      <c r="C4225" s="5" t="s">
        <v>21596</v>
      </c>
      <c r="D4225" s="5" t="str">
        <v>781908588371</v>
      </c>
      <c r="E4225" s="0" t="e">
        <f>+7 (385) 2223294
+7 (812) 6066607
+7 (812) 6076677
+7 (8212) 328844
+7 (8432) 23647
+7 (904) 9717557
+7 (343) 2342889
+7 (495) 5056335
+7 (800) 6076607
+7 (800) 7000301
+7 (800) 7000303
+7 (812) 3091221
+7 (812) 5426842
+7 (812) 5429711
+7 (812) 6076007</f>
        <v>#NAME?</v>
      </c>
      <c r="F4225" s="5" t="s">
        <v>37978</v>
      </c>
      <c r="G4225" s="5" t="s">
        <v>37979</v>
      </c>
      <c r="H4225" s="26">
        <v>24</v>
      </c>
      <c r="I4225" s="5" t="s">
        <v>37980</v>
      </c>
      <c r="J4225" s="5" t="s">
        <v>32400</v>
      </c>
      <c r="K4225" s="5" t="s">
        <v>344</v>
      </c>
      <c r="L4225" s="5" t="s">
        <v>37981</v>
      </c>
      <c r="M4225" s="27">
        <v>206660</v>
      </c>
      <c r="N4225" s="5" t="s">
        <v>55895</v>
      </c>
      <c r="O4225" s="5" t="str">
        <v>7802122535</v>
      </c>
      <c r="P4225" s="27">
        <v>22059</v>
      </c>
      <c r="Q4225" s="5" t="s">
        <v>55897</v>
      </c>
      <c r="R4225" s="5"/>
      <c r="S4225" s="5" t="s">
        <v>49256</v>
      </c>
      <c r="T4225" s="28">
        <v>551704000</v>
      </c>
      <c r="U4225" s="28">
        <v>1403101000</v>
      </c>
      <c r="V4225" s="28">
        <v>1244948000</v>
      </c>
      <c r="W4225" s="28"/>
      <c r="X4225" s="28">
        <v>989269000</v>
      </c>
      <c r="Y4225" s="28">
        <v>6604475000</v>
      </c>
      <c r="Z4225" s="28">
        <v>3279388000</v>
      </c>
      <c r="AA4225" s="28">
        <v>801945000</v>
      </c>
      <c r="AB4225" s="28"/>
      <c r="AC4225" s="28">
        <v>1414125000</v>
      </c>
      <c r="AD4225" s="28">
        <v>4345071000</v>
      </c>
      <c r="AE4225" s="28">
        <v>11976238000</v>
      </c>
      <c r="AF4225" s="28">
        <v>96310000</v>
      </c>
      <c r="AG4225" s="11"/>
    </row>
    <row r="4226">
      <c r="A4226" s="7" t="s">
        <v>5875</v>
      </c>
      <c r="B4226" s="5" t="s">
        <v>13834</v>
      </c>
      <c r="C4226" s="5" t="s">
        <v>21597</v>
      </c>
      <c r="D4226" s="5" t="str">
        <v>772448730857</v>
      </c>
      <c r="E4226" s="0" t="e">
        <f>+7 (3433) 858310
+7 (3433) 859800
+7 (495) 2292359</f>
        <v>#NAME?</v>
      </c>
      <c r="F4226" s="5" t="s">
        <v>37982</v>
      </c>
      <c r="G4226" s="5" t="s">
        <v>37983</v>
      </c>
      <c r="H4226" s="26">
        <v>7</v>
      </c>
      <c r="I4226" s="5" t="s">
        <v>37984</v>
      </c>
      <c r="J4226" s="5" t="s">
        <v>29506</v>
      </c>
      <c r="K4226" s="5" t="s">
        <v>344</v>
      </c>
      <c r="L4226" s="5" t="s">
        <v>37985</v>
      </c>
      <c r="M4226" s="27"/>
      <c r="N4226" s="5" t="s">
        <v>55898</v>
      </c>
      <c r="O4226" s="5" t="str">
        <v>5003116972</v>
      </c>
      <c r="P4226" s="27">
        <v>1000000</v>
      </c>
      <c r="Q4226" s="5"/>
      <c r="R4226" s="5"/>
      <c r="S4226" s="5" t="s">
        <v>49399</v>
      </c>
      <c r="T4226" s="28">
        <v>687980000</v>
      </c>
      <c r="U4226" s="28"/>
      <c r="V4226" s="28">
        <v>1135332000</v>
      </c>
      <c r="W4226" s="28"/>
      <c r="X4226" s="28">
        <v>598442000</v>
      </c>
      <c r="Y4226" s="28">
        <v>2691195000</v>
      </c>
      <c r="Z4226" s="28">
        <v>2267610000</v>
      </c>
      <c r="AA4226" s="28"/>
      <c r="AB4226" s="28"/>
      <c r="AC4226" s="28">
        <v>417574000</v>
      </c>
      <c r="AD4226" s="28">
        <v>2268610000</v>
      </c>
      <c r="AE4226" s="28">
        <v>3626963000</v>
      </c>
      <c r="AF4226" s="28">
        <v>1827596000</v>
      </c>
      <c r="AG4226" s="11"/>
    </row>
    <row r="4227">
      <c r="A4227" s="7" t="s">
        <v>5876</v>
      </c>
      <c r="B4227" s="5" t="s">
        <v>13835</v>
      </c>
      <c r="C4227" s="5" t="s">
        <v>21598</v>
      </c>
      <c r="D4227" s="5" t="str">
        <v>524304283474</v>
      </c>
      <c r="E4227" s="0" t="e">
        <f>+7 (925) 100850
+7 (495) 1092545
+7 (965) 2773351</f>
        <v>#NAME?</v>
      </c>
      <c r="F4227" s="5" t="s">
        <v>37986</v>
      </c>
      <c r="G4227" s="5" t="s">
        <v>37987</v>
      </c>
      <c r="H4227" s="26">
        <v>5.5</v>
      </c>
      <c r="I4227" s="5" t="s">
        <v>37988</v>
      </c>
      <c r="J4227" s="5" t="s">
        <v>678</v>
      </c>
      <c r="K4227" s="5" t="s">
        <v>344</v>
      </c>
      <c r="L4227" s="5"/>
      <c r="M4227" s="27">
        <v>19579175</v>
      </c>
      <c r="N4227" s="5" t="s">
        <v>55899</v>
      </c>
      <c r="O4227" s="5" t="str">
        <v>9701083315</v>
      </c>
      <c r="P4227" s="27">
        <v>300000</v>
      </c>
      <c r="Q4227" s="5" t="s">
        <v>55900</v>
      </c>
      <c r="R4227" s="5"/>
      <c r="S4227" s="5" t="s">
        <v>55901</v>
      </c>
      <c r="T4227" s="28">
        <v>94000</v>
      </c>
      <c r="U4227" s="28"/>
      <c r="V4227" s="28">
        <v>3106429000</v>
      </c>
      <c r="W4227" s="28"/>
      <c r="X4227" s="28">
        <v>93662000</v>
      </c>
      <c r="Y4227" s="28">
        <v>3257481000</v>
      </c>
      <c r="Z4227" s="28">
        <v>254962000</v>
      </c>
      <c r="AA4227" s="28"/>
      <c r="AB4227" s="28">
        <v>1967791000</v>
      </c>
      <c r="AC4227" s="28">
        <v>3001509000</v>
      </c>
      <c r="AD4227" s="28">
        <v>255262000</v>
      </c>
      <c r="AE4227" s="28">
        <v>3811752000</v>
      </c>
      <c r="AF4227" s="28">
        <v>237998000</v>
      </c>
      <c r="AG4227" s="11"/>
    </row>
    <row r="4228">
      <c r="A4228" s="7" t="s">
        <v>5877</v>
      </c>
      <c r="B4228" s="5" t="s">
        <v>13836</v>
      </c>
      <c r="C4228" s="5" t="s">
        <v>21599</v>
      </c>
      <c r="D4228" s="5" t="str">
        <v>772640197955</v>
      </c>
      <c r="E4228" s="0" t="e">
        <f>+7 (495) 2051489
+7 (903) 5978907
+7 (926) 22795</f>
        <v>#NAME?</v>
      </c>
      <c r="F4228" s="5"/>
      <c r="G4228" s="5"/>
      <c r="H4228" s="26">
        <v>6.5</v>
      </c>
      <c r="I4228" s="5"/>
      <c r="J4228" s="5" t="s">
        <v>26607</v>
      </c>
      <c r="K4228" s="5" t="s">
        <v>380</v>
      </c>
      <c r="L4228" s="5"/>
      <c r="M4228" s="27">
        <v>111480911</v>
      </c>
      <c r="N4228" s="5"/>
      <c r="O4228" s="5" t="str">
        <v>7728348981</v>
      </c>
      <c r="P4228" s="27">
        <v>380696719</v>
      </c>
      <c r="Q4228" s="5"/>
      <c r="R4228" s="5" t="s">
        <v>55902</v>
      </c>
      <c r="S4228" s="5" t="s">
        <v>49121</v>
      </c>
      <c r="T4228" s="28">
        <v>133046000</v>
      </c>
      <c r="U4228" s="28"/>
      <c r="V4228" s="28">
        <v>32041404000</v>
      </c>
      <c r="W4228" s="28">
        <v>35835787000</v>
      </c>
      <c r="X4228" s="28">
        <v>42918000</v>
      </c>
      <c r="Y4228" s="28">
        <v>75315863000</v>
      </c>
      <c r="Z4228" s="28">
        <v>-562624000</v>
      </c>
      <c r="AA4228" s="28">
        <v>371783000</v>
      </c>
      <c r="AB4228" s="28"/>
      <c r="AC4228" s="28">
        <v>74892476000</v>
      </c>
      <c r="AD4228" s="28">
        <v>51472000</v>
      </c>
      <c r="AE4228" s="28">
        <v>28782740000</v>
      </c>
      <c r="AF4228" s="28">
        <v>60791000</v>
      </c>
      <c r="AG4228" s="11"/>
    </row>
    <row r="4229">
      <c r="A4229" s="7" t="s">
        <v>5878</v>
      </c>
      <c r="B4229" s="5" t="s">
        <v>13837</v>
      </c>
      <c r="C4229" s="5" t="s">
        <v>21600</v>
      </c>
      <c r="D4229" s="5" t="str">
        <v>667901686801</v>
      </c>
      <c r="F4229" s="5" t="s">
        <v>37989</v>
      </c>
      <c r="G4229" s="5" t="s">
        <v>37990</v>
      </c>
      <c r="H4229" s="26">
        <v>6.5</v>
      </c>
      <c r="I4229" s="5" t="s">
        <v>37991</v>
      </c>
      <c r="J4229" s="5" t="s">
        <v>785</v>
      </c>
      <c r="K4229" s="5" t="s">
        <v>344</v>
      </c>
      <c r="L4229" s="5" t="s">
        <v>37992</v>
      </c>
      <c r="M4229" s="27"/>
      <c r="N4229" s="5" t="s">
        <v>53612</v>
      </c>
      <c r="O4229" s="5" t="str">
        <v>7731320369</v>
      </c>
      <c r="P4229" s="27">
        <v>1000000</v>
      </c>
      <c r="Q4229" s="5" t="s">
        <v>55903</v>
      </c>
      <c r="R4229" s="5"/>
      <c r="S4229" s="5" t="s">
        <v>49139</v>
      </c>
      <c r="T4229" s="28">
        <v>189921000</v>
      </c>
      <c r="U4229" s="28"/>
      <c r="V4229" s="28">
        <v>11906249000</v>
      </c>
      <c r="W4229" s="28"/>
      <c r="X4229" s="28">
        <v>4920163000</v>
      </c>
      <c r="Y4229" s="28">
        <v>17046084000</v>
      </c>
      <c r="Z4229" s="28">
        <v>656144000</v>
      </c>
      <c r="AA4229" s="28"/>
      <c r="AB4229" s="28"/>
      <c r="AC4229" s="28">
        <v>16253704000</v>
      </c>
      <c r="AD4229" s="28">
        <v>657144000</v>
      </c>
      <c r="AE4229" s="28">
        <v>18568004000</v>
      </c>
      <c r="AF4229" s="28">
        <v>1512842000</v>
      </c>
      <c r="AG4229" s="11"/>
    </row>
    <row r="4230">
      <c r="A4230" s="7" t="s">
        <v>5879</v>
      </c>
      <c r="B4230" s="5" t="s">
        <v>13838</v>
      </c>
      <c r="C4230" s="5" t="s">
        <v>21601</v>
      </c>
      <c r="D4230" s="5" t="str">
        <v>732303138401</v>
      </c>
      <c r="E4230" s="0" t="e">
        <f>+7 (927) 8081669
+7 (84238) 22888
+7 (84238) 23396
+7 (84238) 23402
+7 (84238) 23818</f>
        <v>#NAME?</v>
      </c>
      <c r="F4230" s="5" t="s">
        <v>37993</v>
      </c>
      <c r="G4230" s="5" t="s">
        <v>37994</v>
      </c>
      <c r="H4230" s="26">
        <v>15.5</v>
      </c>
      <c r="I4230" s="5" t="s">
        <v>37995</v>
      </c>
      <c r="J4230" s="5" t="s">
        <v>555</v>
      </c>
      <c r="K4230" s="5" t="s">
        <v>344</v>
      </c>
      <c r="L4230" s="5" t="s">
        <v>37996</v>
      </c>
      <c r="M4230" s="27"/>
      <c r="N4230" s="5" t="s">
        <v>54578</v>
      </c>
      <c r="O4230" s="5" t="str">
        <v>7313005345</v>
      </c>
      <c r="P4230" s="27">
        <v>100000</v>
      </c>
      <c r="Q4230" s="5" t="s">
        <v>49059</v>
      </c>
      <c r="R4230" s="5"/>
      <c r="S4230" s="5" t="s">
        <v>49450</v>
      </c>
      <c r="T4230" s="28">
        <v>39976000</v>
      </c>
      <c r="U4230" s="28">
        <v>10000</v>
      </c>
      <c r="V4230" s="28">
        <v>2304687000</v>
      </c>
      <c r="W4230" s="28">
        <v>668738000</v>
      </c>
      <c r="X4230" s="28">
        <v>26301000</v>
      </c>
      <c r="Y4230" s="28">
        <v>3763660000</v>
      </c>
      <c r="Z4230" s="28">
        <v>1437673000</v>
      </c>
      <c r="AA4230" s="28">
        <v>1900000000</v>
      </c>
      <c r="AB4230" s="28">
        <v>18776000</v>
      </c>
      <c r="AC4230" s="28">
        <v>327609000</v>
      </c>
      <c r="AD4230" s="28">
        <v>1508072000</v>
      </c>
      <c r="AE4230" s="28">
        <v>16783753000</v>
      </c>
      <c r="AF4230" s="28">
        <v>385307000</v>
      </c>
      <c r="AG4230" s="11"/>
    </row>
    <row r="4231">
      <c r="A4231" s="7" t="s">
        <v>5880</v>
      </c>
      <c r="B4231" s="5" t="s">
        <v>13839</v>
      </c>
      <c r="C4231" s="5" t="s">
        <v>21602</v>
      </c>
      <c r="D4231" s="5" t="str">
        <v>503417787559</v>
      </c>
      <c r="E4231" s="0" t="e">
        <f>+7 (3499) 568751
+7 (495) 5453736
+7 (495) 6431022
+7 (495) 9120678
+7 (926) 9120678</f>
        <v>#NAME?</v>
      </c>
      <c r="F4231" s="5"/>
      <c r="G4231" s="5" t="s">
        <v>37997</v>
      </c>
      <c r="H4231" s="26">
        <v>25</v>
      </c>
      <c r="I4231" s="5" t="s">
        <v>37998</v>
      </c>
      <c r="J4231" s="5" t="s">
        <v>364</v>
      </c>
      <c r="K4231" s="5" t="s">
        <v>380</v>
      </c>
      <c r="L4231" s="5"/>
      <c r="M4231" s="27">
        <v>35450</v>
      </c>
      <c r="N4231" s="5"/>
      <c r="O4231" s="5" t="str">
        <v>8903018853</v>
      </c>
      <c r="P4231" s="27">
        <v>353510000</v>
      </c>
      <c r="Q4231" s="5" t="s">
        <v>55904</v>
      </c>
      <c r="R4231" s="5" t="s">
        <v>55905</v>
      </c>
      <c r="S4231" s="5" t="s">
        <v>49956</v>
      </c>
      <c r="T4231" s="28">
        <v>35018000</v>
      </c>
      <c r="U4231" s="28">
        <v>5000</v>
      </c>
      <c r="V4231" s="28">
        <v>14114274000</v>
      </c>
      <c r="W4231" s="28"/>
      <c r="X4231" s="28">
        <v>238290000</v>
      </c>
      <c r="Y4231" s="28">
        <v>15551908000</v>
      </c>
      <c r="Z4231" s="28">
        <v>-2702171000</v>
      </c>
      <c r="AA4231" s="28">
        <v>28304000</v>
      </c>
      <c r="AB4231" s="28"/>
      <c r="AC4231" s="28">
        <v>16897166000</v>
      </c>
      <c r="AD4231" s="28">
        <v>-1593500000</v>
      </c>
      <c r="AE4231" s="28">
        <v>12289498000</v>
      </c>
      <c r="AF4231" s="28">
        <v>-928627000</v>
      </c>
      <c r="AG4231" s="11"/>
    </row>
    <row r="4232">
      <c r="A4232" s="7" t="s">
        <v>5881</v>
      </c>
      <c r="B4232" s="5" t="s">
        <v>13840</v>
      </c>
      <c r="C4232" s="5" t="s">
        <v>21603</v>
      </c>
      <c r="D4232" s="5" t="str">
        <v>701714309532</v>
      </c>
      <c r="E4232" s="0" t="e">
        <f>+7 (3466) 672533
+7 (3466) 243882
+7 (3466) 422431
+7 (3466) 422463
+7 (3466) 422471
+7 (3466) 440554
+7 (3466) 613806</f>
        <v>#NAME?</v>
      </c>
      <c r="F4232" s="5" t="s">
        <v>37999</v>
      </c>
      <c r="G4232" s="5" t="s">
        <v>38000</v>
      </c>
      <c r="H4232" s="26">
        <v>25</v>
      </c>
      <c r="I4232" s="5"/>
      <c r="J4232" s="5" t="s">
        <v>364</v>
      </c>
      <c r="K4232" s="5" t="s">
        <v>355</v>
      </c>
      <c r="L4232" s="5"/>
      <c r="M4232" s="27">
        <v>94606802</v>
      </c>
      <c r="N4232" s="5" t="s">
        <v>55906</v>
      </c>
      <c r="O4232" s="5" t="str">
        <v>8603085111</v>
      </c>
      <c r="P4232" s="27">
        <v>7767000</v>
      </c>
      <c r="Q4232" s="5" t="s">
        <v>883</v>
      </c>
      <c r="R4232" s="5"/>
      <c r="S4232" s="5" t="s">
        <v>55907</v>
      </c>
      <c r="T4232" s="28">
        <v>646653000</v>
      </c>
      <c r="U4232" s="28"/>
      <c r="V4232" s="28">
        <v>251665000</v>
      </c>
      <c r="W4232" s="28"/>
      <c r="X4232" s="28">
        <v>347000</v>
      </c>
      <c r="Y4232" s="28">
        <v>4405718000</v>
      </c>
      <c r="Z4232" s="28">
        <v>3445066000</v>
      </c>
      <c r="AA4232" s="28"/>
      <c r="AB4232" s="28">
        <v>4028000</v>
      </c>
      <c r="AC4232" s="28">
        <v>933701000</v>
      </c>
      <c r="AD4232" s="28">
        <v>3453998000</v>
      </c>
      <c r="AE4232" s="28">
        <v>3092811000</v>
      </c>
      <c r="AF4232" s="28">
        <v>-302653000</v>
      </c>
      <c r="AG4232" s="11"/>
    </row>
    <row r="4233">
      <c r="A4233" s="7" t="s">
        <v>5882</v>
      </c>
      <c r="B4233" s="5" t="s">
        <v>13841</v>
      </c>
      <c r="C4233" s="5" t="s">
        <v>21604</v>
      </c>
      <c r="D4233" s="5" t="str">
        <v>701734704227</v>
      </c>
      <c r="E4233" s="0" t="e">
        <f>+7 (383) 3375527
+7 (383) 3375638
+7 (383) 3382028
+7 (383) 3382320
+7 (383) 3383250
+7 (383) 3383602</f>
        <v>#NAME?</v>
      </c>
      <c r="F4233" s="5" t="s">
        <v>38001</v>
      </c>
      <c r="G4233" s="5"/>
      <c r="H4233" s="26">
        <v>22.5</v>
      </c>
      <c r="I4233" s="5"/>
      <c r="J4233" s="5" t="s">
        <v>36823</v>
      </c>
      <c r="K4233" s="5" t="s">
        <v>344</v>
      </c>
      <c r="L4233" s="5" t="s">
        <v>27597</v>
      </c>
      <c r="M4233" s="27">
        <v>50000</v>
      </c>
      <c r="N4233" s="5" t="s">
        <v>55908</v>
      </c>
      <c r="O4233" s="5" t="str">
        <v>5409231687</v>
      </c>
      <c r="P4233" s="27">
        <v>1950197000</v>
      </c>
      <c r="Q4233" s="5" t="s">
        <v>55909</v>
      </c>
      <c r="R4233" s="5"/>
      <c r="S4233" s="5" t="s">
        <v>55613</v>
      </c>
      <c r="T4233" s="28">
        <v>3254406000</v>
      </c>
      <c r="U4233" s="28"/>
      <c r="V4233" s="28">
        <v>279743000</v>
      </c>
      <c r="W4233" s="28"/>
      <c r="X4233" s="28">
        <v>4380000</v>
      </c>
      <c r="Y4233" s="28">
        <v>6531314000</v>
      </c>
      <c r="Z4233" s="28">
        <v>1506140000</v>
      </c>
      <c r="AA4233" s="28">
        <v>352434000</v>
      </c>
      <c r="AB4233" s="28"/>
      <c r="AC4233" s="28">
        <v>1387870000</v>
      </c>
      <c r="AD4233" s="28">
        <v>4230934000</v>
      </c>
      <c r="AE4233" s="28">
        <v>7935986000</v>
      </c>
      <c r="AF4233" s="28">
        <v>613811000</v>
      </c>
      <c r="AG4233" s="11"/>
    </row>
    <row r="4234">
      <c r="A4234" s="7" t="s">
        <v>5883</v>
      </c>
      <c r="B4234" s="5" t="s">
        <v>13842</v>
      </c>
      <c r="C4234" s="5" t="s">
        <v>21605</v>
      </c>
      <c r="D4234" s="5" t="str">
        <v>772800802040</v>
      </c>
      <c r="E4234" s="0" t="e">
        <f>+7 (495) 3630047
+7 (495) 7812027
+7 (495) 7899702</f>
        <v>#NAME?</v>
      </c>
      <c r="F4234" s="5"/>
      <c r="G4234" s="5"/>
      <c r="H4234" s="26">
        <v>15.5</v>
      </c>
      <c r="I4234" s="5" t="s">
        <v>38002</v>
      </c>
      <c r="J4234" s="5" t="s">
        <v>897</v>
      </c>
      <c r="K4234" s="5" t="s">
        <v>344</v>
      </c>
      <c r="L4234" s="5" t="s">
        <v>38003</v>
      </c>
      <c r="M4234" s="27"/>
      <c r="N4234" s="5"/>
      <c r="O4234" s="5" t="str">
        <v>7725613021</v>
      </c>
      <c r="P4234" s="27">
        <v>100000000</v>
      </c>
      <c r="Q4234" s="5" t="s">
        <v>49016</v>
      </c>
      <c r="R4234" s="5"/>
      <c r="S4234" s="5" t="s">
        <v>49035</v>
      </c>
      <c r="T4234" s="28">
        <v>8754000</v>
      </c>
      <c r="U4234" s="28"/>
      <c r="V4234" s="28">
        <v>494769000</v>
      </c>
      <c r="W4234" s="28">
        <v>65000</v>
      </c>
      <c r="X4234" s="28">
        <v>121000</v>
      </c>
      <c r="Y4234" s="28">
        <v>1178649000</v>
      </c>
      <c r="Z4234" s="28">
        <v>161936000</v>
      </c>
      <c r="AA4234" s="28"/>
      <c r="AB4234" s="28">
        <v>597898000</v>
      </c>
      <c r="AC4234" s="28">
        <v>912367000</v>
      </c>
      <c r="AD4234" s="28">
        <v>261936000</v>
      </c>
      <c r="AE4234" s="28">
        <v>3972667000</v>
      </c>
      <c r="AF4234" s="28">
        <v>10853000</v>
      </c>
      <c r="AG4234" s="11"/>
    </row>
    <row r="4235">
      <c r="A4235" s="7" t="s">
        <v>5884</v>
      </c>
      <c r="B4235" s="5" t="s">
        <v>13843</v>
      </c>
      <c r="C4235" s="5" t="s">
        <v>21606</v>
      </c>
      <c r="D4235" s="5" t="str">
        <v>780523816065</v>
      </c>
      <c r="F4235" s="5"/>
      <c r="G4235" s="5"/>
      <c r="H4235" s="26">
        <v>6.5</v>
      </c>
      <c r="I4235" s="5" t="s">
        <v>38004</v>
      </c>
      <c r="J4235" s="5" t="s">
        <v>785</v>
      </c>
      <c r="K4235" s="5" t="s">
        <v>344</v>
      </c>
      <c r="L4235" s="5" t="s">
        <v>38005</v>
      </c>
      <c r="M4235" s="27"/>
      <c r="N4235" s="5" t="s">
        <v>55910</v>
      </c>
      <c r="O4235" s="5" t="str">
        <v>7731331850</v>
      </c>
      <c r="P4235" s="27">
        <v>596000000</v>
      </c>
      <c r="Q4235" s="5" t="s">
        <v>49059</v>
      </c>
      <c r="R4235" s="5"/>
      <c r="S4235" s="5" t="s">
        <v>49012</v>
      </c>
      <c r="T4235" s="28">
        <v>684836000</v>
      </c>
      <c r="U4235" s="28">
        <v>132013000</v>
      </c>
      <c r="V4235" s="28">
        <v>1925233000</v>
      </c>
      <c r="W4235" s="28"/>
      <c r="X4235" s="28">
        <v>3523257000</v>
      </c>
      <c r="Y4235" s="28">
        <v>6625179000</v>
      </c>
      <c r="Z4235" s="28">
        <v>4573807000</v>
      </c>
      <c r="AA4235" s="28"/>
      <c r="AB4235" s="28"/>
      <c r="AC4235" s="28">
        <v>1429352000</v>
      </c>
      <c r="AD4235" s="28">
        <v>5169807000</v>
      </c>
      <c r="AE4235" s="28">
        <v>14147802000</v>
      </c>
      <c r="AF4235" s="28">
        <v>8916323000</v>
      </c>
      <c r="AG4235" s="11"/>
    </row>
    <row r="4236">
      <c r="A4236" s="7" t="s">
        <v>5885</v>
      </c>
      <c r="B4236" s="5" t="s">
        <v>13844</v>
      </c>
      <c r="C4236" s="5" t="s">
        <v>21607</v>
      </c>
      <c r="D4236" s="5" t="str">
        <v>770702966230</v>
      </c>
      <c r="E4236" s="0" t="e">
        <f>+7 (495) 7371081
+7 (495) 7371190
+7 (495) 7371990
+7 (495) 7372112
+7 (812) 3240200
+7 (812) 3240201
+7 (916) 6731083</f>
        <v>#NAME?</v>
      </c>
      <c r="F4236" s="5"/>
      <c r="G4236" s="5" t="s">
        <v>38006</v>
      </c>
      <c r="H4236" s="26">
        <v>16</v>
      </c>
      <c r="I4236" s="5" t="s">
        <v>38007</v>
      </c>
      <c r="J4236" s="5" t="s">
        <v>31664</v>
      </c>
      <c r="K4236" s="5" t="s">
        <v>380</v>
      </c>
      <c r="L4236" s="5" t="s">
        <v>38008</v>
      </c>
      <c r="M4236" s="27"/>
      <c r="N4236" s="5"/>
      <c r="O4236" s="5" t="str">
        <v>7725593720</v>
      </c>
      <c r="P4236" s="27">
        <v>1120438600</v>
      </c>
      <c r="Q4236" s="5" t="s">
        <v>55911</v>
      </c>
      <c r="R4236" s="5" t="s">
        <v>55912</v>
      </c>
      <c r="S4236" s="5" t="s">
        <v>49358</v>
      </c>
      <c r="T4236" s="28">
        <v>624000</v>
      </c>
      <c r="U4236" s="28"/>
      <c r="V4236" s="28">
        <v>2610616000</v>
      </c>
      <c r="W4236" s="28"/>
      <c r="X4236" s="28">
        <v>2266597000</v>
      </c>
      <c r="Y4236" s="28">
        <v>6357126000</v>
      </c>
      <c r="Z4236" s="28">
        <v>-4229172000</v>
      </c>
      <c r="AA4236" s="28"/>
      <c r="AB4236" s="28"/>
      <c r="AC4236" s="28">
        <v>9265620000</v>
      </c>
      <c r="AD4236" s="28">
        <v>-3067580000</v>
      </c>
      <c r="AE4236" s="28">
        <v>7956836000</v>
      </c>
      <c r="AF4236" s="28">
        <v>-5225053000</v>
      </c>
      <c r="AG4236" s="11"/>
    </row>
    <row r="4237">
      <c r="A4237" s="7" t="s">
        <v>5886</v>
      </c>
      <c r="B4237" s="5" t="s">
        <v>10083</v>
      </c>
      <c r="C4237" s="5" t="s">
        <v>21608</v>
      </c>
      <c r="D4237" s="5" t="str">
        <v>026606403530</v>
      </c>
      <c r="E4237" s="0" t="e">
        <f>+7 (347) 6391741
+7 (347) 6396078
+7 (347) 6398658
+7 (3472) 391519
+7 (3472) 391741
+7 (3472) 395086
+7 (3472) 396078
+7 (34763) 91519
+7 (34763) 95086
+7 (34763) 98561</f>
        <v>#NAME?</v>
      </c>
      <c r="F4237" s="5" t="s">
        <v>38009</v>
      </c>
      <c r="G4237" s="5" t="s">
        <v>38010</v>
      </c>
      <c r="H4237" s="26">
        <v>12.5</v>
      </c>
      <c r="I4237" s="5" t="s">
        <v>38011</v>
      </c>
      <c r="J4237" s="5" t="s">
        <v>30210</v>
      </c>
      <c r="K4237" s="5" t="s">
        <v>344</v>
      </c>
      <c r="L4237" s="5"/>
      <c r="M4237" s="27"/>
      <c r="N4237" s="5"/>
      <c r="O4237" s="5" t="str">
        <v>0266033798</v>
      </c>
      <c r="P4237" s="27">
        <v>6400010000</v>
      </c>
      <c r="Q4237" s="5" t="s">
        <v>55913</v>
      </c>
      <c r="R4237" s="5"/>
      <c r="S4237" s="5" t="s">
        <v>49496</v>
      </c>
      <c r="T4237" s="28">
        <v>19434525000</v>
      </c>
      <c r="U4237" s="28"/>
      <c r="V4237" s="28">
        <v>593842000</v>
      </c>
      <c r="W4237" s="28">
        <v>54320000</v>
      </c>
      <c r="X4237" s="28"/>
      <c r="Y4237" s="28">
        <v>21300425000</v>
      </c>
      <c r="Z4237" s="28">
        <v>1922948000</v>
      </c>
      <c r="AA4237" s="28">
        <v>8732177000</v>
      </c>
      <c r="AB4237" s="28">
        <v>2668925000</v>
      </c>
      <c r="AC4237" s="28">
        <v>2943857000</v>
      </c>
      <c r="AD4237" s="28">
        <v>8322958000</v>
      </c>
      <c r="AE4237" s="28">
        <v>3332752000</v>
      </c>
      <c r="AF4237" s="28">
        <v>30642000</v>
      </c>
      <c r="AG4237" s="11"/>
    </row>
    <row r="4238">
      <c r="A4238" s="7" t="s">
        <v>5887</v>
      </c>
      <c r="B4238" s="5" t="s">
        <v>13845</v>
      </c>
      <c r="C4238" s="5" t="s">
        <v>21609</v>
      </c>
      <c r="D4238" s="5" t="str">
        <v>771700221681</v>
      </c>
      <c r="E4238" s="0" t="e">
        <f>+7 (800) 5000005
+7 (495) 2341829
+7 (495) 7059999
+7 (499) 2341829
+7 (800) 1005464</f>
        <v>#NAME?</v>
      </c>
      <c r="F4238" s="5" t="s">
        <v>38012</v>
      </c>
      <c r="G4238" s="5" t="s">
        <v>38013</v>
      </c>
      <c r="H4238" s="26">
        <v>8.5</v>
      </c>
      <c r="I4238" s="5" t="s">
        <v>38014</v>
      </c>
      <c r="J4238" s="5" t="s">
        <v>30822</v>
      </c>
      <c r="K4238" s="5" t="s">
        <v>344</v>
      </c>
      <c r="L4238" s="5" t="s">
        <v>38015</v>
      </c>
      <c r="M4238" s="27"/>
      <c r="N4238" s="5"/>
      <c r="O4238" s="5" t="str">
        <v>7706812159</v>
      </c>
      <c r="P4238" s="27">
        <v>4300000000</v>
      </c>
      <c r="Q4238" s="5" t="s">
        <v>49579</v>
      </c>
      <c r="R4238" s="5"/>
      <c r="S4238" s="5" t="s">
        <v>55519</v>
      </c>
      <c r="T4238" s="28">
        <v>6618087000</v>
      </c>
      <c r="U4238" s="28">
        <v>99200000</v>
      </c>
      <c r="V4238" s="28">
        <v>7617798000</v>
      </c>
      <c r="W4238" s="28"/>
      <c r="X4238" s="28">
        <v>52271037000</v>
      </c>
      <c r="Y4238" s="28">
        <v>69759034000</v>
      </c>
      <c r="Z4238" s="28">
        <v>44988889000</v>
      </c>
      <c r="AA4238" s="28"/>
      <c r="AB4238" s="28"/>
      <c r="AC4238" s="28">
        <v>16061993000</v>
      </c>
      <c r="AD4238" s="28">
        <v>49503889000</v>
      </c>
      <c r="AE4238" s="28">
        <v>50330768000</v>
      </c>
      <c r="AF4238" s="28">
        <v>25293939000</v>
      </c>
      <c r="AG4238" s="11"/>
    </row>
    <row r="4239">
      <c r="A4239" s="7" t="s">
        <v>5888</v>
      </c>
      <c r="B4239" s="5" t="s">
        <v>13846</v>
      </c>
      <c r="C4239" s="5" t="s">
        <v>21610</v>
      </c>
      <c r="D4239" s="5" t="str">
        <v>560700178369</v>
      </c>
      <c r="E4239" s="0" t="e">
        <f>+7 (35376) 1531
+7 (35376) 1536
+7 (35376) 1537
+7 (35376) 1539
+7 (932) 5498859</f>
        <v>#NAME?</v>
      </c>
      <c r="F4239" s="5"/>
      <c r="G4239" s="5"/>
      <c r="H4239" s="26">
        <v>6</v>
      </c>
      <c r="I4239" s="5" t="s">
        <v>38016</v>
      </c>
      <c r="J4239" s="5" t="s">
        <v>38017</v>
      </c>
      <c r="K4239" s="5" t="s">
        <v>344</v>
      </c>
      <c r="L4239" s="5" t="s">
        <v>38018</v>
      </c>
      <c r="M4239" s="27"/>
      <c r="N4239" s="5" t="s">
        <v>55914</v>
      </c>
      <c r="O4239" s="5" t="str">
        <v>5607141530</v>
      </c>
      <c r="P4239" s="27">
        <v>10000</v>
      </c>
      <c r="Q4239" s="5" t="s">
        <v>49009</v>
      </c>
      <c r="R4239" s="5"/>
      <c r="S4239" s="5" t="s">
        <v>49371</v>
      </c>
      <c r="T4239" s="28">
        <v>784087000</v>
      </c>
      <c r="U4239" s="28">
        <v>370001000</v>
      </c>
      <c r="V4239" s="28">
        <v>173112000</v>
      </c>
      <c r="W4239" s="28"/>
      <c r="X4239" s="28">
        <v>409451000</v>
      </c>
      <c r="Y4239" s="28">
        <v>2671155000</v>
      </c>
      <c r="Z4239" s="28">
        <v>2454706000</v>
      </c>
      <c r="AA4239" s="28"/>
      <c r="AB4239" s="28"/>
      <c r="AC4239" s="28">
        <v>208270000</v>
      </c>
      <c r="AD4239" s="28">
        <v>2454716000</v>
      </c>
      <c r="AE4239" s="28">
        <v>3167170000</v>
      </c>
      <c r="AF4239" s="28">
        <v>821045000</v>
      </c>
      <c r="AG4239" s="11"/>
    </row>
    <row r="4240">
      <c r="A4240" s="7" t="s">
        <v>5889</v>
      </c>
      <c r="B4240" s="5" t="s">
        <v>13847</v>
      </c>
      <c r="C4240" s="5" t="s">
        <v>21611</v>
      </c>
      <c r="D4240" s="5" t="str">
        <v>250824465570</v>
      </c>
      <c r="E4240" s="0" t="e">
        <f>+7 (423) 2697204
+7 (423) 2699053
+7 (4236) 647258
+7 (42362) 4462
+7 (42366) 22000
+7 (42366) 22037
+7 (42366) 23594
+7 (42366) 23681
+7 (42366) 97204</f>
        <v>#NAME?</v>
      </c>
      <c r="F4240" s="5" t="s">
        <v>38019</v>
      </c>
      <c r="G4240" s="5" t="s">
        <v>38020</v>
      </c>
      <c r="H4240" s="26">
        <v>30.5</v>
      </c>
      <c r="I4240" s="5" t="s">
        <v>38021</v>
      </c>
      <c r="J4240" s="5" t="s">
        <v>807</v>
      </c>
      <c r="K4240" s="5" t="s">
        <v>355</v>
      </c>
      <c r="L4240" s="5"/>
      <c r="M4240" s="27">
        <v>1830278</v>
      </c>
      <c r="N4240" s="5" t="s">
        <v>55915</v>
      </c>
      <c r="O4240" s="5" t="str">
        <v>2508001431</v>
      </c>
      <c r="P4240" s="27">
        <v>47175200</v>
      </c>
      <c r="Q4240" s="5" t="s">
        <v>55916</v>
      </c>
      <c r="R4240" s="5" t="s">
        <v>55917</v>
      </c>
      <c r="S4240" s="5" t="s">
        <v>55918</v>
      </c>
      <c r="T4240" s="28">
        <v>985004000</v>
      </c>
      <c r="U4240" s="28">
        <v>60000000</v>
      </c>
      <c r="V4240" s="28">
        <v>9934836000</v>
      </c>
      <c r="W4240" s="28">
        <v>11036000</v>
      </c>
      <c r="X4240" s="28">
        <v>486522000</v>
      </c>
      <c r="Y4240" s="28">
        <v>20327283000</v>
      </c>
      <c r="Z4240" s="28">
        <v>296245000</v>
      </c>
      <c r="AA4240" s="28">
        <v>3707300000</v>
      </c>
      <c r="AB4240" s="28">
        <v>210857000</v>
      </c>
      <c r="AC4240" s="28">
        <v>2294407000</v>
      </c>
      <c r="AD4240" s="28">
        <v>426856000</v>
      </c>
      <c r="AE4240" s="28">
        <v>5095438000</v>
      </c>
      <c r="AF4240" s="28">
        <v>94792000</v>
      </c>
      <c r="AG4240" s="11"/>
    </row>
    <row r="4241">
      <c r="A4241" s="7" t="s">
        <v>5890</v>
      </c>
      <c r="B4241" s="5" t="s">
        <v>13848</v>
      </c>
      <c r="C4241" s="5" t="s">
        <v>21612</v>
      </c>
      <c r="D4241" s="5" t="str">
        <v>860501622884</v>
      </c>
      <c r="E4241" s="0" t="e">
        <f>+7 (34643) 47255
+7 (34643) 47257
+7 (34643) 47353
+7 (34643) 47501
+7 (34643) 47612
+7 (34643) 47618
+7 (34643) 47966
+7 (34643) 47979
+7 (34643) 49263
+7 (34663) 47353
+7 (34663) 47648</f>
        <v>#NAME?</v>
      </c>
      <c r="F4241" s="5" t="s">
        <v>38022</v>
      </c>
      <c r="G4241" s="5" t="s">
        <v>38023</v>
      </c>
      <c r="H4241" s="26">
        <v>21</v>
      </c>
      <c r="I4241" s="5" t="s">
        <v>38024</v>
      </c>
      <c r="J4241" s="5" t="s">
        <v>467</v>
      </c>
      <c r="K4241" s="5" t="s">
        <v>344</v>
      </c>
      <c r="L4241" s="5" t="s">
        <v>26269</v>
      </c>
      <c r="M4241" s="27"/>
      <c r="N4241" s="5" t="s">
        <v>55919</v>
      </c>
      <c r="O4241" s="5" t="str">
        <v>8605015381</v>
      </c>
      <c r="P4241" s="27">
        <v>489000000</v>
      </c>
      <c r="Q4241" s="5" t="s">
        <v>55920</v>
      </c>
      <c r="R4241" s="5"/>
      <c r="S4241" s="5" t="s">
        <v>49348</v>
      </c>
      <c r="T4241" s="28">
        <v>936306000</v>
      </c>
      <c r="U4241" s="28"/>
      <c r="V4241" s="28">
        <v>1547300000</v>
      </c>
      <c r="W4241" s="28"/>
      <c r="X4241" s="28">
        <v>500319000</v>
      </c>
      <c r="Y4241" s="28">
        <v>3518208000</v>
      </c>
      <c r="Z4241" s="28">
        <v>1255300000</v>
      </c>
      <c r="AA4241" s="28"/>
      <c r="AB4241" s="28"/>
      <c r="AC4241" s="28">
        <v>1490928000</v>
      </c>
      <c r="AD4241" s="28">
        <v>1744300000</v>
      </c>
      <c r="AE4241" s="28">
        <v>5882327000</v>
      </c>
      <c r="AF4241" s="28">
        <v>255763000</v>
      </c>
      <c r="AG4241" s="11"/>
    </row>
    <row r="4242">
      <c r="A4242" s="7" t="s">
        <v>5891</v>
      </c>
      <c r="B4242" s="5" t="s">
        <v>13849</v>
      </c>
      <c r="C4242" s="5" t="s">
        <v>21613</v>
      </c>
      <c r="D4242" s="5" t="str">
        <v>781602103012</v>
      </c>
      <c r="E4242" s="0" t="e">
        <f>+7 (3472) 350290
+7 (34763) 50284
+7 (34763) 50285
+7 (34763) 50290
+7 (34763) 51401</f>
        <v>#NAME?</v>
      </c>
      <c r="F4242" s="5" t="s">
        <v>38025</v>
      </c>
      <c r="G4242" s="5" t="s">
        <v>38026</v>
      </c>
      <c r="H4242" s="26">
        <v>15.5</v>
      </c>
      <c r="I4242" s="5" t="s">
        <v>38027</v>
      </c>
      <c r="J4242" s="5" t="s">
        <v>25295</v>
      </c>
      <c r="K4242" s="5" t="s">
        <v>355</v>
      </c>
      <c r="L4242" s="5" t="s">
        <v>38028</v>
      </c>
      <c r="M4242" s="27">
        <v>991794</v>
      </c>
      <c r="N4242" s="5" t="s">
        <v>55921</v>
      </c>
      <c r="O4242" s="5" t="str">
        <v>0266029390</v>
      </c>
      <c r="P4242" s="27">
        <v>1626258000</v>
      </c>
      <c r="Q4242" s="5" t="s">
        <v>55922</v>
      </c>
      <c r="R4242" s="5" t="s">
        <v>55923</v>
      </c>
      <c r="S4242" s="5" t="s">
        <v>49271</v>
      </c>
      <c r="T4242" s="28">
        <v>13455706000</v>
      </c>
      <c r="U4242" s="28">
        <v>1495881000</v>
      </c>
      <c r="V4242" s="28">
        <v>1243926000</v>
      </c>
      <c r="W4242" s="28">
        <v>149722000</v>
      </c>
      <c r="X4242" s="28">
        <v>100000</v>
      </c>
      <c r="Y4242" s="28">
        <v>20307204000</v>
      </c>
      <c r="Z4242" s="28">
        <v>4248382000</v>
      </c>
      <c r="AA4242" s="28"/>
      <c r="AB4242" s="28"/>
      <c r="AC4242" s="28">
        <v>9859442000</v>
      </c>
      <c r="AD4242" s="28">
        <v>5874640000</v>
      </c>
      <c r="AE4242" s="28">
        <v>24801064000</v>
      </c>
      <c r="AF4242" s="28">
        <v>682403000</v>
      </c>
      <c r="AG4242" s="11"/>
    </row>
    <row r="4243">
      <c r="A4243" s="7" t="s">
        <v>5892</v>
      </c>
      <c r="B4243" s="5" t="s">
        <v>13850</v>
      </c>
      <c r="C4243" s="5" t="s">
        <v>21614</v>
      </c>
      <c r="D4243" s="5" t="str">
        <v>594400487490</v>
      </c>
      <c r="E4243" s="0" t="e">
        <f>+7 (342) 6592009
+7 (3422) 111250
+7 (3422) 155029
+7 (34265) 33176
+7 (34265) 92007
+7 (3463) 316227
+7 (35324) 35390</f>
        <v>#NAME?</v>
      </c>
      <c r="F4243" s="5" t="s">
        <v>38029</v>
      </c>
      <c r="G4243" s="5" t="s">
        <v>38030</v>
      </c>
      <c r="H4243" s="26">
        <v>13.5</v>
      </c>
      <c r="I4243" s="5" t="s">
        <v>38031</v>
      </c>
      <c r="J4243" s="5" t="s">
        <v>28226</v>
      </c>
      <c r="K4243" s="5" t="s">
        <v>344</v>
      </c>
      <c r="L4243" s="5" t="s">
        <v>29991</v>
      </c>
      <c r="M4243" s="27">
        <v>637403</v>
      </c>
      <c r="N4243" s="5"/>
      <c r="O4243" s="5" t="str">
        <v>5914024719</v>
      </c>
      <c r="P4243" s="27">
        <v>10000</v>
      </c>
      <c r="Q4243" s="5" t="s">
        <v>55925</v>
      </c>
      <c r="R4243" s="5"/>
      <c r="S4243" s="5" t="s">
        <v>55926</v>
      </c>
      <c r="T4243" s="28">
        <v>12404393000</v>
      </c>
      <c r="U4243" s="28">
        <v>2540273000</v>
      </c>
      <c r="V4243" s="28">
        <v>4526145000</v>
      </c>
      <c r="W4243" s="28">
        <v>322574000</v>
      </c>
      <c r="X4243" s="28">
        <v>1639968000</v>
      </c>
      <c r="Y4243" s="28">
        <v>23126894000</v>
      </c>
      <c r="Z4243" s="28">
        <v>5322461000</v>
      </c>
      <c r="AA4243" s="28">
        <v>799919000</v>
      </c>
      <c r="AB4243" s="28">
        <v>1252267000</v>
      </c>
      <c r="AC4243" s="28">
        <v>9537495000</v>
      </c>
      <c r="AD4243" s="28">
        <v>7804510000</v>
      </c>
      <c r="AE4243" s="28">
        <v>19651739000</v>
      </c>
      <c r="AF4243" s="28">
        <v>3404210000</v>
      </c>
      <c r="AG4243" s="11"/>
    </row>
    <row r="4244">
      <c r="A4244" s="7" t="s">
        <v>5893</v>
      </c>
      <c r="B4244" s="5" t="s">
        <v>13851</v>
      </c>
      <c r="C4244" s="5" t="s">
        <v>21615</v>
      </c>
      <c r="D4244" s="5" t="str">
        <v>773124476592</v>
      </c>
      <c r="E4244" s="0" t="e">
        <f>+7 (911) 2204910
+7 (914) 8651521</f>
        <v>#NAME?</v>
      </c>
      <c r="F4244" s="5" t="s">
        <v>38032</v>
      </c>
      <c r="G4244" s="5"/>
      <c r="H4244" s="26">
        <v>2.5</v>
      </c>
      <c r="I4244" s="5" t="s">
        <v>38033</v>
      </c>
      <c r="J4244" s="5" t="s">
        <v>897</v>
      </c>
      <c r="K4244" s="5" t="s">
        <v>344</v>
      </c>
      <c r="L4244" s="5" t="s">
        <v>38034</v>
      </c>
      <c r="M4244" s="27">
        <v>8176433</v>
      </c>
      <c r="N4244" s="5" t="s">
        <v>50353</v>
      </c>
      <c r="O4244" s="5" t="str">
        <v>8703011233</v>
      </c>
      <c r="P4244" s="27">
        <v>22962941</v>
      </c>
      <c r="Q4244" s="5" t="s">
        <v>55927</v>
      </c>
      <c r="R4244" s="5" t="s">
        <v>55928</v>
      </c>
      <c r="S4244" s="5" t="s">
        <v>55929</v>
      </c>
      <c r="T4244" s="28">
        <v>3748986000</v>
      </c>
      <c r="U4244" s="28"/>
      <c r="V4244" s="28">
        <v>1980901000</v>
      </c>
      <c r="W4244" s="28"/>
      <c r="X4244" s="28">
        <v>237260000</v>
      </c>
      <c r="Y4244" s="28">
        <v>8316966000</v>
      </c>
      <c r="Z4244" s="28">
        <v>-68559000</v>
      </c>
      <c r="AA4244" s="28">
        <v>237338000</v>
      </c>
      <c r="AB4244" s="28"/>
      <c r="AC4244" s="28">
        <v>8122078000</v>
      </c>
      <c r="AD4244" s="28">
        <v>-41907000</v>
      </c>
      <c r="AE4244" s="28">
        <v>8509067000</v>
      </c>
      <c r="AF4244" s="28">
        <v>1584321000</v>
      </c>
      <c r="AG4244" s="11"/>
    </row>
    <row r="4245">
      <c r="A4245" s="7" t="s">
        <v>5894</v>
      </c>
      <c r="B4245" s="5" t="s">
        <v>13852</v>
      </c>
      <c r="C4245" s="5" t="s">
        <v>21616</v>
      </c>
      <c r="D4245" s="5" t="str">
        <v>230802410461</v>
      </c>
      <c r="E4245" s="0" t="e">
        <f>+7 (926) 8357111
+7 (495) 1222466
+7 (925) 7120271</f>
        <v>#NAME?</v>
      </c>
      <c r="F4245" s="5"/>
      <c r="G4245" s="5" t="s">
        <v>38035</v>
      </c>
      <c r="H4245" s="26">
        <v>5.5</v>
      </c>
      <c r="I4245" s="5" t="s">
        <v>38036</v>
      </c>
      <c r="J4245" s="5" t="s">
        <v>748</v>
      </c>
      <c r="K4245" s="5" t="s">
        <v>344</v>
      </c>
      <c r="L4245" s="5" t="s">
        <v>34999</v>
      </c>
      <c r="M4245" s="27"/>
      <c r="N4245" s="5" t="s">
        <v>55930</v>
      </c>
      <c r="O4245" s="5" t="str">
        <v>7703436097</v>
      </c>
      <c r="P4245" s="27">
        <v>10000</v>
      </c>
      <c r="Q4245" s="5" t="s">
        <v>55931</v>
      </c>
      <c r="R4245" s="5"/>
      <c r="S4245" s="5" t="s">
        <v>55932</v>
      </c>
      <c r="T4245" s="28">
        <v>17460000</v>
      </c>
      <c r="U4245" s="28"/>
      <c r="V4245" s="28">
        <v>390520000</v>
      </c>
      <c r="W4245" s="28">
        <v>50000000</v>
      </c>
      <c r="X4245" s="28">
        <v>523047000</v>
      </c>
      <c r="Y4245" s="28">
        <v>1124155000</v>
      </c>
      <c r="Z4245" s="28">
        <v>834674000</v>
      </c>
      <c r="AA4245" s="28"/>
      <c r="AB4245" s="28"/>
      <c r="AC4245" s="28">
        <v>279924000</v>
      </c>
      <c r="AD4245" s="28">
        <v>834684000</v>
      </c>
      <c r="AE4245" s="28">
        <v>4547408000</v>
      </c>
      <c r="AF4245" s="28">
        <v>13174000</v>
      </c>
      <c r="AG4245" s="11"/>
    </row>
    <row r="4246">
      <c r="A4246" s="7" t="s">
        <v>5895</v>
      </c>
      <c r="B4246" s="5" t="s">
        <v>13853</v>
      </c>
      <c r="C4246" s="5" t="s">
        <v>21617</v>
      </c>
      <c r="D4246" s="5" t="str">
        <v>772471800710</v>
      </c>
      <c r="E4246" s="0" t="e">
        <f>+7 (925) 631412</f>
        <v>#NAME?</v>
      </c>
      <c r="F4246" s="5"/>
      <c r="G4246" s="5"/>
      <c r="H4246" s="26">
        <v>7</v>
      </c>
      <c r="I4246" s="5" t="s">
        <v>38037</v>
      </c>
      <c r="J4246" s="5" t="s">
        <v>373</v>
      </c>
      <c r="K4246" s="5" t="s">
        <v>344</v>
      </c>
      <c r="L4246" s="5" t="s">
        <v>38038</v>
      </c>
      <c r="M4246" s="27">
        <v>180000</v>
      </c>
      <c r="N4246" s="5" t="s">
        <v>50738</v>
      </c>
      <c r="O4246" s="5" t="str">
        <v>7709490090</v>
      </c>
      <c r="P4246" s="27">
        <v>1000000</v>
      </c>
      <c r="Q4246" s="5" t="s">
        <v>49057</v>
      </c>
      <c r="R4246" s="5"/>
      <c r="S4246" s="5" t="s">
        <v>55933</v>
      </c>
      <c r="T4246" s="28">
        <v>13516000</v>
      </c>
      <c r="U4246" s="28"/>
      <c r="V4246" s="28">
        <v>768184000</v>
      </c>
      <c r="W4246" s="28">
        <v>33430000</v>
      </c>
      <c r="X4246" s="28">
        <v>5382000</v>
      </c>
      <c r="Y4246" s="28">
        <v>947223000</v>
      </c>
      <c r="Z4246" s="28">
        <v>513447000</v>
      </c>
      <c r="AA4246" s="28"/>
      <c r="AB4246" s="28">
        <v>118254000</v>
      </c>
      <c r="AC4246" s="28">
        <v>430515000</v>
      </c>
      <c r="AD4246" s="28">
        <v>514447000</v>
      </c>
      <c r="AE4246" s="28">
        <v>11146343000</v>
      </c>
      <c r="AF4246" s="28">
        <v>185036000</v>
      </c>
      <c r="AG4246" s="11"/>
    </row>
    <row r="4247">
      <c r="A4247" s="7" t="s">
        <v>5896</v>
      </c>
      <c r="B4247" s="5" t="s">
        <v>13854</v>
      </c>
      <c r="C4247" s="5" t="s">
        <v>21618</v>
      </c>
      <c r="D4247" s="5" t="str">
        <v>230904283967</v>
      </c>
      <c r="E4247" s="0" t="e">
        <f>+7 (861) 2779199
+7 (800) 5501317
+7 (861) 2195526
+7 (861) 2996835
+7 (861) 2996836
+7 (861) 2996837
+7 (928) 2080400</f>
        <v>#NAME?</v>
      </c>
      <c r="F4247" s="5"/>
      <c r="G4247" s="5" t="s">
        <v>38039</v>
      </c>
      <c r="H4247" s="26">
        <v>15.5</v>
      </c>
      <c r="I4247" s="5" t="s">
        <v>38040</v>
      </c>
      <c r="J4247" s="5" t="s">
        <v>785</v>
      </c>
      <c r="K4247" s="5" t="s">
        <v>344</v>
      </c>
      <c r="L4247" s="5" t="s">
        <v>38041</v>
      </c>
      <c r="M4247" s="27"/>
      <c r="N4247" s="5" t="s">
        <v>55934</v>
      </c>
      <c r="O4247" s="5" t="str">
        <v>2311103122</v>
      </c>
      <c r="P4247" s="27">
        <v>10000</v>
      </c>
      <c r="Q4247" s="5" t="s">
        <v>49009</v>
      </c>
      <c r="R4247" s="5"/>
      <c r="S4247" s="5" t="s">
        <v>49045</v>
      </c>
      <c r="T4247" s="28">
        <v>947000</v>
      </c>
      <c r="U4247" s="28"/>
      <c r="V4247" s="28">
        <v>2097849000</v>
      </c>
      <c r="W4247" s="28"/>
      <c r="X4247" s="28">
        <v>175691000</v>
      </c>
      <c r="Y4247" s="28">
        <v>2275798000</v>
      </c>
      <c r="Z4247" s="28">
        <v>44241000</v>
      </c>
      <c r="AA4247" s="28"/>
      <c r="AB4247" s="28"/>
      <c r="AC4247" s="28">
        <v>2231506000</v>
      </c>
      <c r="AD4247" s="28">
        <v>44251000</v>
      </c>
      <c r="AE4247" s="28">
        <v>7798342000</v>
      </c>
      <c r="AF4247" s="28">
        <v>42160000</v>
      </c>
      <c r="AG4247" s="11"/>
    </row>
    <row r="4248">
      <c r="A4248" s="7" t="s">
        <v>5897</v>
      </c>
      <c r="B4248" s="5" t="s">
        <v>13855</v>
      </c>
      <c r="C4248" s="5" t="s">
        <v>21619</v>
      </c>
      <c r="D4248" s="5" t="str">
        <v>701719423599</v>
      </c>
      <c r="E4248" s="0" t="e">
        <f>+7 (346) 6634156
+7 (346) 6634224
+7 (3466) 480883
+7 (3466) 634116
+7 (3466) 634130
+7 (3466) 634132
+7 (3466) 634162
+7 (34669) 30565
+7 (34669) 32403
+7 (34669) 38667
+7 (34669) 38752
+7 (34669) 38781
+7 (34669) 38789</f>
        <v>#NAME?</v>
      </c>
      <c r="F4248" s="5" t="s">
        <v>38042</v>
      </c>
      <c r="G4248" s="5"/>
      <c r="H4248" s="26">
        <v>19</v>
      </c>
      <c r="I4248" s="5" t="s">
        <v>38043</v>
      </c>
      <c r="J4248" s="5" t="s">
        <v>27687</v>
      </c>
      <c r="K4248" s="5" t="s">
        <v>344</v>
      </c>
      <c r="L4248" s="5" t="s">
        <v>38044</v>
      </c>
      <c r="M4248" s="27"/>
      <c r="N4248" s="5"/>
      <c r="O4248" s="5" t="str">
        <v>8603115020</v>
      </c>
      <c r="P4248" s="27">
        <v>100000</v>
      </c>
      <c r="Q4248" s="5" t="s">
        <v>346</v>
      </c>
      <c r="R4248" s="5"/>
      <c r="S4248" s="5" t="s">
        <v>55935</v>
      </c>
      <c r="T4248" s="28">
        <v>1108428000</v>
      </c>
      <c r="U4248" s="28"/>
      <c r="V4248" s="28">
        <v>331962000</v>
      </c>
      <c r="W4248" s="28">
        <v>300000000</v>
      </c>
      <c r="X4248" s="28">
        <v>481453000</v>
      </c>
      <c r="Y4248" s="28">
        <v>2813365000</v>
      </c>
      <c r="Z4248" s="28">
        <v>1316566000</v>
      </c>
      <c r="AA4248" s="28">
        <v>237500000</v>
      </c>
      <c r="AB4248" s="28">
        <v>346250000</v>
      </c>
      <c r="AC4248" s="28">
        <v>803757000</v>
      </c>
      <c r="AD4248" s="28">
        <v>1316666000</v>
      </c>
      <c r="AE4248" s="28">
        <v>3870919000</v>
      </c>
      <c r="AF4248" s="28">
        <v>150017000</v>
      </c>
      <c r="AG4248" s="11"/>
    </row>
    <row r="4249">
      <c r="A4249" s="7" t="s">
        <v>5898</v>
      </c>
      <c r="B4249" s="5" t="s">
        <v>13856</v>
      </c>
      <c r="C4249" s="5" t="s">
        <v>21620</v>
      </c>
      <c r="D4249" s="5" t="str">
        <v>602707614380</v>
      </c>
      <c r="F4249" s="5"/>
      <c r="G4249" s="5"/>
      <c r="H4249" s="26">
        <v>2</v>
      </c>
      <c r="I4249" s="5"/>
      <c r="J4249" s="5" t="s">
        <v>26325</v>
      </c>
      <c r="K4249" s="5" t="s">
        <v>355</v>
      </c>
      <c r="L4249" s="5"/>
      <c r="M4249" s="27">
        <v>97715869</v>
      </c>
      <c r="N4249" s="5"/>
      <c r="O4249" s="5" t="str">
        <v>5024209089</v>
      </c>
      <c r="P4249" s="27">
        <v>10000000</v>
      </c>
      <c r="Q4249" s="5" t="s">
        <v>55936</v>
      </c>
      <c r="R4249" s="5"/>
      <c r="S4249" s="5" t="s">
        <v>49743</v>
      </c>
      <c r="T4249" s="28">
        <v>119206523000</v>
      </c>
      <c r="U4249" s="28">
        <v>321523000</v>
      </c>
      <c r="V4249" s="28">
        <v>8145652000</v>
      </c>
      <c r="W4249" s="28">
        <v>9896870000</v>
      </c>
      <c r="X4249" s="28">
        <v>1238000</v>
      </c>
      <c r="Y4249" s="28">
        <v>147655169000</v>
      </c>
      <c r="Z4249" s="28">
        <v>-5616948000</v>
      </c>
      <c r="AA4249" s="28"/>
      <c r="AB4249" s="28">
        <v>10000697000</v>
      </c>
      <c r="AC4249" s="28">
        <v>72390948000</v>
      </c>
      <c r="AD4249" s="28">
        <v>-5606448000</v>
      </c>
      <c r="AE4249" s="28">
        <v>135808516000</v>
      </c>
      <c r="AF4249" s="28">
        <v>-2466619000</v>
      </c>
      <c r="AG4249" s="11"/>
    </row>
    <row r="4250">
      <c r="A4250" s="7" t="s">
        <v>5899</v>
      </c>
      <c r="B4250" s="5" t="s">
        <v>13857</v>
      </c>
      <c r="C4250" s="5" t="s">
        <v>21621</v>
      </c>
      <c r="D4250" s="5" t="str">
        <v>731302216990</v>
      </c>
      <c r="F4250" s="5"/>
      <c r="G4250" s="5" t="s">
        <v>38045</v>
      </c>
      <c r="H4250" s="26">
        <v>2.5</v>
      </c>
      <c r="I4250" s="5" t="s">
        <v>38046</v>
      </c>
      <c r="J4250" s="5" t="s">
        <v>502</v>
      </c>
      <c r="K4250" s="5" t="s">
        <v>344</v>
      </c>
      <c r="L4250" s="5" t="s">
        <v>38047</v>
      </c>
      <c r="M4250" s="27"/>
      <c r="N4250" s="5"/>
      <c r="O4250" s="5" t="str">
        <v>7313014075</v>
      </c>
      <c r="P4250" s="27">
        <v>10000</v>
      </c>
      <c r="Q4250" s="5" t="s">
        <v>49057</v>
      </c>
      <c r="R4250" s="5"/>
      <c r="S4250" s="5" t="s">
        <v>49452</v>
      </c>
      <c r="T4250" s="28">
        <v>4261000</v>
      </c>
      <c r="U4250" s="28"/>
      <c r="V4250" s="28">
        <v>221382000</v>
      </c>
      <c r="W4250" s="28">
        <v>70000000</v>
      </c>
      <c r="X4250" s="28">
        <v>238265000</v>
      </c>
      <c r="Y4250" s="28">
        <v>681976000</v>
      </c>
      <c r="Z4250" s="28">
        <v>2708000</v>
      </c>
      <c r="AA4250" s="28"/>
      <c r="AB4250" s="28">
        <v>12262000</v>
      </c>
      <c r="AC4250" s="28">
        <v>674366000</v>
      </c>
      <c r="AD4250" s="28">
        <v>2718000</v>
      </c>
      <c r="AE4250" s="28">
        <v>9523981000</v>
      </c>
      <c r="AF4250" s="28">
        <v>33792000</v>
      </c>
      <c r="AG4250" s="11"/>
    </row>
    <row r="4251">
      <c r="A4251" s="7" t="s">
        <v>5899</v>
      </c>
      <c r="B4251" s="5" t="s">
        <v>13858</v>
      </c>
      <c r="C4251" s="5" t="s">
        <v>21622</v>
      </c>
      <c r="D4251" s="5" t="str">
        <v>263012860112</v>
      </c>
      <c r="E4251" s="0" t="e">
        <f>+7 (916) 439530
+7 (960) 1199154
+7 (965) 2019589</f>
        <v>#NAME?</v>
      </c>
      <c r="F4251" s="5" t="s">
        <v>38048</v>
      </c>
      <c r="G4251" s="5" t="s">
        <v>38049</v>
      </c>
      <c r="H4251" s="26">
        <v>5</v>
      </c>
      <c r="I4251" s="5" t="s">
        <v>38050</v>
      </c>
      <c r="J4251" s="5" t="s">
        <v>599</v>
      </c>
      <c r="K4251" s="5" t="s">
        <v>380</v>
      </c>
      <c r="L4251" s="5" t="s">
        <v>27186</v>
      </c>
      <c r="M4251" s="27"/>
      <c r="N4251" s="5" t="s">
        <v>49350</v>
      </c>
      <c r="O4251" s="5" t="str">
        <v>9701096988</v>
      </c>
      <c r="P4251" s="27">
        <v>25000</v>
      </c>
      <c r="Q4251" s="5" t="s">
        <v>346</v>
      </c>
      <c r="R4251" s="5"/>
      <c r="S4251" s="5" t="s">
        <v>55937</v>
      </c>
      <c r="T4251" s="28">
        <v>1806000</v>
      </c>
      <c r="U4251" s="28"/>
      <c r="V4251" s="28">
        <v>373540000</v>
      </c>
      <c r="W4251" s="28"/>
      <c r="X4251" s="28">
        <v>22972000</v>
      </c>
      <c r="Y4251" s="28">
        <v>400860000</v>
      </c>
      <c r="Z4251" s="28">
        <v>7548000</v>
      </c>
      <c r="AA4251" s="28"/>
      <c r="AB4251" s="28">
        <v>69651000</v>
      </c>
      <c r="AC4251" s="28">
        <v>393126000</v>
      </c>
      <c r="AD4251" s="28">
        <v>7573000</v>
      </c>
      <c r="AE4251" s="28">
        <v>3113420000</v>
      </c>
      <c r="AF4251" s="28">
        <v>-30906000</v>
      </c>
      <c r="AG4251" s="11"/>
    </row>
    <row r="4252">
      <c r="A4252" s="7" t="s">
        <v>5900</v>
      </c>
      <c r="B4252" s="5" t="s">
        <v>13859</v>
      </c>
      <c r="C4252" s="5" t="s">
        <v>21623</v>
      </c>
      <c r="D4252" s="5" t="str">
        <v>503127373066</v>
      </c>
      <c r="E4252" s="0" t="e">
        <f>+7 (495) 7374829
+7 (49651) 96171
+7 (925) 1300974
+7 (926) 6234192</f>
        <v>#NAME?</v>
      </c>
      <c r="F4252" s="5" t="s">
        <v>38051</v>
      </c>
      <c r="G4252" s="5" t="s">
        <v>38052</v>
      </c>
      <c r="H4252" s="26">
        <v>9.5</v>
      </c>
      <c r="I4252" s="5" t="s">
        <v>38053</v>
      </c>
      <c r="J4252" s="5" t="s">
        <v>27977</v>
      </c>
      <c r="K4252" s="5" t="s">
        <v>344</v>
      </c>
      <c r="L4252" s="5" t="s">
        <v>38054</v>
      </c>
      <c r="M4252" s="27">
        <v>171554</v>
      </c>
      <c r="N4252" s="5" t="s">
        <v>55938</v>
      </c>
      <c r="O4252" s="5" t="str">
        <v>5031107088</v>
      </c>
      <c r="P4252" s="27">
        <v>10000</v>
      </c>
      <c r="Q4252" s="5" t="s">
        <v>49009</v>
      </c>
      <c r="R4252" s="5"/>
      <c r="S4252" s="5" t="s">
        <v>49010</v>
      </c>
      <c r="T4252" s="28">
        <v>856233000</v>
      </c>
      <c r="U4252" s="28"/>
      <c r="V4252" s="28">
        <v>404835000</v>
      </c>
      <c r="W4252" s="28"/>
      <c r="X4252" s="28">
        <v>26134000</v>
      </c>
      <c r="Y4252" s="28">
        <v>4722250000</v>
      </c>
      <c r="Z4252" s="28">
        <v>1652845000</v>
      </c>
      <c r="AA4252" s="28">
        <v>992212000</v>
      </c>
      <c r="AB4252" s="28">
        <v>5430000</v>
      </c>
      <c r="AC4252" s="28">
        <v>1807614000</v>
      </c>
      <c r="AD4252" s="28">
        <v>1652855000</v>
      </c>
      <c r="AE4252" s="28">
        <v>8070622000</v>
      </c>
      <c r="AF4252" s="28">
        <v>-359823000</v>
      </c>
      <c r="AG4252" s="11"/>
    </row>
    <row r="4253">
      <c r="A4253" s="7" t="s">
        <v>5901</v>
      </c>
      <c r="B4253" s="5" t="s">
        <v>13860</v>
      </c>
      <c r="C4253" s="5" t="s">
        <v>21624</v>
      </c>
      <c r="D4253" s="5" t="str">
        <v>770702944324</v>
      </c>
      <c r="E4253" s="0" t="e">
        <f>+7 (925) 8012545
+7 (495) 1090710
+7 (499) 6730690
+7 (916) 9910267</f>
        <v>#NAME?</v>
      </c>
      <c r="F4253" s="5"/>
      <c r="G4253" s="5" t="s">
        <v>38055</v>
      </c>
      <c r="H4253" s="26">
        <v>12</v>
      </c>
      <c r="I4253" s="5" t="s">
        <v>38056</v>
      </c>
      <c r="J4253" s="5" t="s">
        <v>373</v>
      </c>
      <c r="K4253" s="5" t="s">
        <v>344</v>
      </c>
      <c r="L4253" s="5"/>
      <c r="M4253" s="27"/>
      <c r="N4253" s="5"/>
      <c r="O4253" s="5" t="str">
        <v>7710880786</v>
      </c>
      <c r="P4253" s="27">
        <v>100000</v>
      </c>
      <c r="Q4253" s="5" t="s">
        <v>55939</v>
      </c>
      <c r="R4253" s="5"/>
      <c r="S4253" s="5" t="s">
        <v>55940</v>
      </c>
      <c r="T4253" s="28"/>
      <c r="U4253" s="28"/>
      <c r="V4253" s="28">
        <v>499619000</v>
      </c>
      <c r="W4253" s="28">
        <v>2801000</v>
      </c>
      <c r="X4253" s="28">
        <v>635000</v>
      </c>
      <c r="Y4253" s="28">
        <v>503069000</v>
      </c>
      <c r="Z4253" s="28">
        <v>8260000</v>
      </c>
      <c r="AA4253" s="28"/>
      <c r="AB4253" s="28">
        <v>182305000</v>
      </c>
      <c r="AC4253" s="28">
        <v>494709000</v>
      </c>
      <c r="AD4253" s="28">
        <v>8360000</v>
      </c>
      <c r="AE4253" s="28">
        <v>5583358000</v>
      </c>
      <c r="AF4253" s="28">
        <v>285000</v>
      </c>
      <c r="AG4253" s="11"/>
    </row>
    <row r="4254">
      <c r="A4254" s="7" t="s">
        <v>5902</v>
      </c>
      <c r="B4254" s="5" t="s">
        <v>13861</v>
      </c>
      <c r="C4254" s="5" t="s">
        <v>21625</v>
      </c>
      <c r="D4254" s="5" t="str">
        <v>245724235960</v>
      </c>
      <c r="E4254" s="0" t="e">
        <f>+7 (913) 5318512
+7 (391) 9228121
+7 (391) 9422852
+7 (3919) 223274
+7 (3919) 251384</f>
        <v>#NAME?</v>
      </c>
      <c r="F4254" s="5" t="s">
        <v>38057</v>
      </c>
      <c r="G4254" s="5" t="s">
        <v>38058</v>
      </c>
      <c r="H4254" s="26">
        <v>11</v>
      </c>
      <c r="I4254" s="5" t="s">
        <v>38059</v>
      </c>
      <c r="J4254" s="5" t="s">
        <v>585</v>
      </c>
      <c r="K4254" s="5" t="s">
        <v>380</v>
      </c>
      <c r="L4254" s="5"/>
      <c r="M4254" s="27"/>
      <c r="N4254" s="5" t="s">
        <v>55941</v>
      </c>
      <c r="O4254" s="5" t="str">
        <v>2457073361</v>
      </c>
      <c r="P4254" s="27">
        <v>100000</v>
      </c>
      <c r="Q4254" s="5" t="s">
        <v>55942</v>
      </c>
      <c r="R4254" s="5"/>
      <c r="S4254" s="5" t="s">
        <v>50347</v>
      </c>
      <c r="T4254" s="28">
        <v>396110000</v>
      </c>
      <c r="U4254" s="28"/>
      <c r="V4254" s="28">
        <v>74124000</v>
      </c>
      <c r="W4254" s="28">
        <v>24573000</v>
      </c>
      <c r="X4254" s="28">
        <v>41680000</v>
      </c>
      <c r="Y4254" s="28">
        <v>1345875000</v>
      </c>
      <c r="Z4254" s="28">
        <v>-1764613000</v>
      </c>
      <c r="AA4254" s="28"/>
      <c r="AB4254" s="28"/>
      <c r="AC4254" s="28">
        <v>560379000</v>
      </c>
      <c r="AD4254" s="28">
        <v>783900000</v>
      </c>
      <c r="AE4254" s="28">
        <v>3693767000</v>
      </c>
      <c r="AF4254" s="28">
        <v>-396727000</v>
      </c>
      <c r="AG4254" s="11"/>
    </row>
    <row r="4255">
      <c r="A4255" s="7" t="s">
        <v>5903</v>
      </c>
      <c r="B4255" s="5" t="s">
        <v>13862</v>
      </c>
      <c r="C4255" s="5" t="s">
        <v>21626</v>
      </c>
      <c r="D4255" s="5" t="str">
        <v>773470844202</v>
      </c>
      <c r="E4255" s="0" t="e">
        <f>+7 (495) 1235041
+7 (495) 9336000
+7 (495) 9336004
+7 (495) 9336010
+7 (800) 3339282
+7 (901) 5136605
+7 (965) 3351013</f>
        <v>#NAME?</v>
      </c>
      <c r="F4255" s="5" t="s">
        <v>38060</v>
      </c>
      <c r="G4255" s="5" t="s">
        <v>38061</v>
      </c>
      <c r="H4255" s="26">
        <v>28</v>
      </c>
      <c r="I4255" s="5" t="s">
        <v>38062</v>
      </c>
      <c r="J4255" s="5" t="s">
        <v>27147</v>
      </c>
      <c r="K4255" s="5" t="s">
        <v>344</v>
      </c>
      <c r="L4255" s="5" t="s">
        <v>38063</v>
      </c>
      <c r="M4255" s="27"/>
      <c r="N4255" s="5"/>
      <c r="O4255" s="5" t="str">
        <v>7720125736</v>
      </c>
      <c r="P4255" s="27">
        <v>87010000</v>
      </c>
      <c r="Q4255" s="5" t="s">
        <v>55943</v>
      </c>
      <c r="R4255" s="5"/>
      <c r="S4255" s="5" t="s">
        <v>50850</v>
      </c>
      <c r="T4255" s="28">
        <v>1334073000</v>
      </c>
      <c r="U4255" s="28"/>
      <c r="V4255" s="28">
        <v>5901962000</v>
      </c>
      <c r="W4255" s="28">
        <v>92865000</v>
      </c>
      <c r="X4255" s="28">
        <v>3421229000</v>
      </c>
      <c r="Y4255" s="28">
        <v>15530837000</v>
      </c>
      <c r="Z4255" s="28">
        <v>2587111000</v>
      </c>
      <c r="AA4255" s="28"/>
      <c r="AB4255" s="28">
        <v>3747735000</v>
      </c>
      <c r="AC4255" s="28">
        <v>11330937000</v>
      </c>
      <c r="AD4255" s="28">
        <v>2674121000</v>
      </c>
      <c r="AE4255" s="28">
        <v>20627249000</v>
      </c>
      <c r="AF4255" s="28">
        <v>1253870000</v>
      </c>
      <c r="AG4255" s="11"/>
    </row>
    <row r="4256">
      <c r="A4256" s="7" t="s">
        <v>5904</v>
      </c>
      <c r="B4256" s="5" t="s">
        <v>13863</v>
      </c>
      <c r="C4256" s="5" t="s">
        <v>21627</v>
      </c>
      <c r="D4256" s="5" t="str">
        <v>691642876076</v>
      </c>
      <c r="E4256" s="0" t="e">
        <f>+7 (495) 9801073
+7 (495) 9801074
+7 (499) 1104923
+7 (985) 4919174</f>
        <v>#NAME?</v>
      </c>
      <c r="F4256" s="5" t="s">
        <v>38064</v>
      </c>
      <c r="G4256" s="5" t="s">
        <v>38065</v>
      </c>
      <c r="H4256" s="26">
        <v>12</v>
      </c>
      <c r="I4256" s="5" t="s">
        <v>38066</v>
      </c>
      <c r="J4256" s="5" t="s">
        <v>38067</v>
      </c>
      <c r="K4256" s="5" t="s">
        <v>344</v>
      </c>
      <c r="L4256" s="5"/>
      <c r="M4256" s="27">
        <v>17984228</v>
      </c>
      <c r="N4256" s="5" t="s">
        <v>55944</v>
      </c>
      <c r="O4256" s="5" t="str">
        <v>7731403375</v>
      </c>
      <c r="P4256" s="27">
        <v>10000000</v>
      </c>
      <c r="Q4256" s="5" t="s">
        <v>55946</v>
      </c>
      <c r="R4256" s="5" t="s">
        <v>55947</v>
      </c>
      <c r="S4256" s="5" t="s">
        <v>50191</v>
      </c>
      <c r="T4256" s="28">
        <v>4528000</v>
      </c>
      <c r="U4256" s="28"/>
      <c r="V4256" s="28">
        <v>471958000</v>
      </c>
      <c r="W4256" s="28">
        <v>60000000</v>
      </c>
      <c r="X4256" s="28">
        <v>13092000</v>
      </c>
      <c r="Y4256" s="28">
        <v>792751000</v>
      </c>
      <c r="Z4256" s="28">
        <v>68767000</v>
      </c>
      <c r="AA4256" s="28"/>
      <c r="AB4256" s="28"/>
      <c r="AC4256" s="28">
        <v>712689000</v>
      </c>
      <c r="AD4256" s="28">
        <v>79267000</v>
      </c>
      <c r="AE4256" s="28">
        <v>5426243000</v>
      </c>
      <c r="AF4256" s="28">
        <v>130778000</v>
      </c>
      <c r="AG4256" s="11"/>
    </row>
    <row r="4257">
      <c r="A4257" s="7" t="s">
        <v>5905</v>
      </c>
      <c r="B4257" s="5" t="s">
        <v>13864</v>
      </c>
      <c r="C4257" s="5" t="s">
        <v>17665</v>
      </c>
      <c r="D4257" s="5"/>
      <c r="E4257" s="0" t="e">
        <f>+7 (383) 2042437
+7 (383) 2142525
+7 (383) 2147414
+7 (383) 2236597
+7 (383) 2238491
+7 (383) 2238636
+7 (383) 2248355
+7 (383) 2311413
+7 (383) 2438803
+7 (383) 2547780
+7 (383) 2676675
+7 (383) 2739898
+7 (383) 2890147
+7 (383) 2890260
+7 (383) 2890430</f>
        <v>#NAME?</v>
      </c>
      <c r="F4257" s="5" t="s">
        <v>38068</v>
      </c>
      <c r="G4257" s="5"/>
      <c r="H4257" s="26">
        <v>4.5</v>
      </c>
      <c r="I4257" s="5" t="s">
        <v>38069</v>
      </c>
      <c r="J4257" s="5" t="s">
        <v>31714</v>
      </c>
      <c r="K4257" s="5" t="s">
        <v>344</v>
      </c>
      <c r="L4257" s="5"/>
      <c r="M4257" s="27">
        <v>19089554</v>
      </c>
      <c r="N4257" s="5" t="s">
        <v>55948</v>
      </c>
      <c r="O4257" s="5" t="str">
        <v>5406993045</v>
      </c>
      <c r="P4257" s="27">
        <v>4698167000</v>
      </c>
      <c r="Q4257" s="5" t="s">
        <v>55950</v>
      </c>
      <c r="R4257" s="5"/>
      <c r="S4257" s="5" t="s">
        <v>51483</v>
      </c>
      <c r="T4257" s="28"/>
      <c r="U4257" s="28">
        <v>70144000</v>
      </c>
      <c r="V4257" s="28">
        <v>2611511000</v>
      </c>
      <c r="W4257" s="28">
        <v>687735000</v>
      </c>
      <c r="X4257" s="28">
        <v>495087000</v>
      </c>
      <c r="Y4257" s="28">
        <v>10381455000</v>
      </c>
      <c r="Z4257" s="28">
        <v>-435671000</v>
      </c>
      <c r="AA4257" s="28">
        <v>531403000</v>
      </c>
      <c r="AB4257" s="28"/>
      <c r="AC4257" s="28">
        <v>3845992000</v>
      </c>
      <c r="AD4257" s="28">
        <v>5951461000</v>
      </c>
      <c r="AE4257" s="28">
        <v>10406997000</v>
      </c>
      <c r="AF4257" s="28">
        <v>314743000</v>
      </c>
      <c r="AG4257" s="11"/>
    </row>
    <row r="4258">
      <c r="A4258" s="7" t="s">
        <v>5906</v>
      </c>
      <c r="B4258" s="5" t="s">
        <v>13865</v>
      </c>
      <c r="C4258" s="5" t="s">
        <v>21628</v>
      </c>
      <c r="D4258" s="5" t="str">
        <v>772737864546</v>
      </c>
      <c r="E4258" s="0" t="e">
        <f>+7 (495) 3572205
+7 (495) 5874105
+7 (495) 9872105
+7 (926) 5801559</f>
        <v>#NAME?</v>
      </c>
      <c r="F4258" s="5"/>
      <c r="G4258" s="5"/>
      <c r="H4258" s="26">
        <v>8.5</v>
      </c>
      <c r="I4258" s="5" t="s">
        <v>38070</v>
      </c>
      <c r="J4258" s="5" t="s">
        <v>28573</v>
      </c>
      <c r="K4258" s="5" t="s">
        <v>344</v>
      </c>
      <c r="L4258" s="5" t="s">
        <v>38071</v>
      </c>
      <c r="M4258" s="27"/>
      <c r="N4258" s="5"/>
      <c r="O4258" s="5" t="str">
        <v>7724929270</v>
      </c>
      <c r="P4258" s="27">
        <v>10000</v>
      </c>
      <c r="Q4258" s="5"/>
      <c r="R4258" s="5" t="s">
        <v>49252</v>
      </c>
      <c r="S4258" s="5" t="s">
        <v>49053</v>
      </c>
      <c r="T4258" s="28">
        <v>33828000</v>
      </c>
      <c r="U4258" s="28"/>
      <c r="V4258" s="28">
        <v>1477433000</v>
      </c>
      <c r="W4258" s="28">
        <v>327000000</v>
      </c>
      <c r="X4258" s="28">
        <v>233209000</v>
      </c>
      <c r="Y4258" s="28">
        <v>2153800000</v>
      </c>
      <c r="Z4258" s="28">
        <v>465290000</v>
      </c>
      <c r="AA4258" s="28"/>
      <c r="AB4258" s="28">
        <v>300000000</v>
      </c>
      <c r="AC4258" s="28">
        <v>1687594000</v>
      </c>
      <c r="AD4258" s="28">
        <v>465300000</v>
      </c>
      <c r="AE4258" s="28">
        <v>5685249000</v>
      </c>
      <c r="AF4258" s="28">
        <v>486273000</v>
      </c>
      <c r="AG4258" s="11"/>
    </row>
    <row r="4259">
      <c r="A4259" s="7" t="s">
        <v>5907</v>
      </c>
      <c r="B4259" s="5" t="s">
        <v>13866</v>
      </c>
      <c r="C4259" s="5" t="s">
        <v>21629</v>
      </c>
      <c r="D4259" s="5" t="str">
        <v>781021038085</v>
      </c>
      <c r="E4259" s="0" t="e">
        <f>+7 (812) 3359575
+7 (812) 4482222
+7 (812) 7108225
+7 (812) 7646284
+7 (812) 7649663
+7 (921) 4248935
+7 (921) 8702279</f>
        <v>#NAME?</v>
      </c>
      <c r="F4259" s="5" t="s">
        <v>38072</v>
      </c>
      <c r="G4259" s="5" t="s">
        <v>38073</v>
      </c>
      <c r="H4259" s="26">
        <v>30</v>
      </c>
      <c r="I4259" s="5" t="s">
        <v>38074</v>
      </c>
      <c r="J4259" s="5" t="s">
        <v>28030</v>
      </c>
      <c r="K4259" s="5" t="s">
        <v>344</v>
      </c>
      <c r="L4259" s="5" t="s">
        <v>38075</v>
      </c>
      <c r="M4259" s="27">
        <v>879399</v>
      </c>
      <c r="N4259" s="5" t="s">
        <v>55951</v>
      </c>
      <c r="O4259" s="5" t="str">
        <v>7805023934</v>
      </c>
      <c r="P4259" s="27">
        <v>2790000</v>
      </c>
      <c r="Q4259" s="5"/>
      <c r="R4259" s="5"/>
      <c r="S4259" s="5" t="s">
        <v>49379</v>
      </c>
      <c r="T4259" s="28">
        <v>6406746000</v>
      </c>
      <c r="U4259" s="28">
        <v>88188000</v>
      </c>
      <c r="V4259" s="28">
        <v>2499348000</v>
      </c>
      <c r="W4259" s="28">
        <v>1917616000</v>
      </c>
      <c r="X4259" s="28">
        <v>123785000</v>
      </c>
      <c r="Y4259" s="28">
        <v>13768653000</v>
      </c>
      <c r="Z4259" s="28">
        <v>11064271000</v>
      </c>
      <c r="AA4259" s="28">
        <v>893302000</v>
      </c>
      <c r="AB4259" s="28">
        <v>514868000</v>
      </c>
      <c r="AC4259" s="28">
        <v>1300867000</v>
      </c>
      <c r="AD4259" s="28">
        <v>11107962000</v>
      </c>
      <c r="AE4259" s="28">
        <v>8715827000</v>
      </c>
      <c r="AF4259" s="28">
        <v>2110261000</v>
      </c>
      <c r="AG4259" s="11"/>
    </row>
    <row r="4260">
      <c r="A4260" s="7" t="s">
        <v>5908</v>
      </c>
      <c r="B4260" s="5" t="s">
        <v>13867</v>
      </c>
      <c r="C4260" s="5" t="s">
        <v>21630</v>
      </c>
      <c r="D4260" s="5" t="str">
        <v>502402273742</v>
      </c>
      <c r="E4260" s="0" t="e">
        <f>+7 (495) 9552550
+7 (495) 2480434
+7 (495) 7876090
+7 (499) 2480434
+7 (499) 7102217
+7 (499) 7297030</f>
        <v>#NAME?</v>
      </c>
      <c r="F4260" s="5" t="s">
        <v>38076</v>
      </c>
      <c r="G4260" s="5" t="s">
        <v>38077</v>
      </c>
      <c r="H4260" s="26">
        <v>23.5</v>
      </c>
      <c r="I4260" s="5" t="s">
        <v>38078</v>
      </c>
      <c r="J4260" s="5" t="s">
        <v>38079</v>
      </c>
      <c r="K4260" s="5" t="s">
        <v>344</v>
      </c>
      <c r="L4260" s="5"/>
      <c r="M4260" s="27">
        <v>361327953</v>
      </c>
      <c r="N4260" s="5" t="s">
        <v>55952</v>
      </c>
      <c r="O4260" s="5" t="str">
        <v>7726291497</v>
      </c>
      <c r="P4260" s="27">
        <v>50000</v>
      </c>
      <c r="Q4260" s="5" t="s">
        <v>55953</v>
      </c>
      <c r="R4260" s="5"/>
      <c r="S4260" s="5" t="s">
        <v>55954</v>
      </c>
      <c r="T4260" s="28">
        <v>98544000</v>
      </c>
      <c r="U4260" s="28">
        <v>3398000</v>
      </c>
      <c r="V4260" s="28">
        <v>1566481000</v>
      </c>
      <c r="W4260" s="28"/>
      <c r="X4260" s="28">
        <v>8709000</v>
      </c>
      <c r="Y4260" s="28">
        <v>4579335000</v>
      </c>
      <c r="Z4260" s="28">
        <v>1161612000</v>
      </c>
      <c r="AA4260" s="28">
        <v>150000000</v>
      </c>
      <c r="AB4260" s="28">
        <v>2250950000</v>
      </c>
      <c r="AC4260" s="28">
        <v>3186513000</v>
      </c>
      <c r="AD4260" s="28">
        <v>1161662000</v>
      </c>
      <c r="AE4260" s="28">
        <v>6194058000</v>
      </c>
      <c r="AF4260" s="28">
        <v>40858000</v>
      </c>
      <c r="AG4260" s="11"/>
    </row>
    <row r="4261">
      <c r="A4261" s="7" t="s">
        <v>5909</v>
      </c>
      <c r="B4261" s="5" t="s">
        <v>13868</v>
      </c>
      <c r="C4261" s="5" t="s">
        <v>21631</v>
      </c>
      <c r="D4261" s="5" t="str">
        <v>772492227850</v>
      </c>
      <c r="E4261" s="0" t="e">
        <f>+7 (499) 4509744</f>
        <v>#NAME?</v>
      </c>
      <c r="F4261" s="5"/>
      <c r="G4261" s="5" t="s">
        <v>38080</v>
      </c>
      <c r="H4261" s="26">
        <v>10.5</v>
      </c>
      <c r="I4261" s="5" t="s">
        <v>38081</v>
      </c>
      <c r="J4261" s="5" t="s">
        <v>28202</v>
      </c>
      <c r="K4261" s="5" t="s">
        <v>344</v>
      </c>
      <c r="L4261" s="5" t="s">
        <v>38082</v>
      </c>
      <c r="M4261" s="27"/>
      <c r="N4261" s="5" t="s">
        <v>55955</v>
      </c>
      <c r="O4261" s="5" t="str">
        <v>7717737880</v>
      </c>
      <c r="P4261" s="27">
        <v>10000</v>
      </c>
      <c r="Q4261" s="5" t="s">
        <v>55956</v>
      </c>
      <c r="R4261" s="5"/>
      <c r="S4261" s="5" t="s">
        <v>55957</v>
      </c>
      <c r="T4261" s="28">
        <v>76115000</v>
      </c>
      <c r="U4261" s="28"/>
      <c r="V4261" s="28">
        <v>1356864000</v>
      </c>
      <c r="W4261" s="28">
        <v>286841000</v>
      </c>
      <c r="X4261" s="28">
        <v>268202000</v>
      </c>
      <c r="Y4261" s="28">
        <v>3524651000</v>
      </c>
      <c r="Z4261" s="28">
        <v>673938000</v>
      </c>
      <c r="AA4261" s="28"/>
      <c r="AB4261" s="28"/>
      <c r="AC4261" s="28">
        <v>2634222000</v>
      </c>
      <c r="AD4261" s="28">
        <v>673948000</v>
      </c>
      <c r="AE4261" s="28">
        <v>4393652000</v>
      </c>
      <c r="AF4261" s="28">
        <v>320707000</v>
      </c>
      <c r="AG4261" s="11"/>
    </row>
    <row r="4262">
      <c r="A4262" s="7" t="s">
        <v>5910</v>
      </c>
      <c r="B4262" s="5" t="s">
        <v>13869</v>
      </c>
      <c r="C4262" s="5" t="s">
        <v>21632</v>
      </c>
      <c r="D4262" s="5" t="str">
        <v>390401893653</v>
      </c>
      <c r="E4262" s="0" t="e">
        <f>+7 (925) 680292
+7 (911) 4949999
+7 (966) 1823939</f>
        <v>#NAME?</v>
      </c>
      <c r="F4262" s="5" t="s">
        <v>38083</v>
      </c>
      <c r="G4262" s="5" t="s">
        <v>38084</v>
      </c>
      <c r="H4262" s="26">
        <v>9</v>
      </c>
      <c r="I4262" s="5" t="s">
        <v>38085</v>
      </c>
      <c r="J4262" s="5" t="s">
        <v>27164</v>
      </c>
      <c r="K4262" s="5" t="s">
        <v>344</v>
      </c>
      <c r="L4262" s="5" t="s">
        <v>38086</v>
      </c>
      <c r="M4262" s="27">
        <v>900957</v>
      </c>
      <c r="N4262" s="5" t="s">
        <v>55958</v>
      </c>
      <c r="O4262" s="5" t="str">
        <v>7716766374</v>
      </c>
      <c r="P4262" s="27">
        <v>100000</v>
      </c>
      <c r="Q4262" s="5" t="s">
        <v>55959</v>
      </c>
      <c r="R4262" s="5"/>
      <c r="S4262" s="5" t="s">
        <v>55960</v>
      </c>
      <c r="T4262" s="28">
        <v>3735000</v>
      </c>
      <c r="U4262" s="28"/>
      <c r="V4262" s="28">
        <v>784260000</v>
      </c>
      <c r="W4262" s="28">
        <v>101000000</v>
      </c>
      <c r="X4262" s="28">
        <v>727526000</v>
      </c>
      <c r="Y4262" s="28">
        <v>1702630000</v>
      </c>
      <c r="Z4262" s="28">
        <v>617063000</v>
      </c>
      <c r="AA4262" s="28"/>
      <c r="AB4262" s="28">
        <v>95038000</v>
      </c>
      <c r="AC4262" s="28">
        <v>1083494000</v>
      </c>
      <c r="AD4262" s="28">
        <v>617163000</v>
      </c>
      <c r="AE4262" s="28">
        <v>3792076000</v>
      </c>
      <c r="AF4262" s="28">
        <v>269069000</v>
      </c>
      <c r="AG4262" s="11"/>
    </row>
    <row r="4263">
      <c r="A4263" s="7" t="s">
        <v>5911</v>
      </c>
      <c r="B4263" s="5" t="s">
        <v>13870</v>
      </c>
      <c r="C4263" s="5" t="s">
        <v>21633</v>
      </c>
      <c r="D4263" s="5" t="str">
        <v>312819744480</v>
      </c>
      <c r="E4263" s="0" t="e">
        <f>+7 (985) 9707067
+7 (495) 7271908
+7 (495) 7271909
+7 (499) 6130218
+7 (499) 6132455</f>
        <v>#NAME?</v>
      </c>
      <c r="F4263" s="5" t="s">
        <v>38087</v>
      </c>
      <c r="G4263" s="5" t="s">
        <v>38088</v>
      </c>
      <c r="H4263" s="26">
        <v>16.5</v>
      </c>
      <c r="I4263" s="5"/>
      <c r="J4263" s="5" t="s">
        <v>755</v>
      </c>
      <c r="K4263" s="5" t="s">
        <v>344</v>
      </c>
      <c r="L4263" s="5" t="s">
        <v>38089</v>
      </c>
      <c r="M4263" s="27">
        <v>2612758</v>
      </c>
      <c r="N4263" s="5" t="s">
        <v>55961</v>
      </c>
      <c r="O4263" s="5" t="str">
        <v>7728589190</v>
      </c>
      <c r="P4263" s="27">
        <v>18811808</v>
      </c>
      <c r="Q4263" s="5" t="s">
        <v>55962</v>
      </c>
      <c r="R4263" s="5" t="s">
        <v>55963</v>
      </c>
      <c r="S4263" s="5" t="s">
        <v>55964</v>
      </c>
      <c r="T4263" s="28">
        <v>618465000</v>
      </c>
      <c r="U4263" s="28"/>
      <c r="V4263" s="28">
        <v>6231235000</v>
      </c>
      <c r="W4263" s="28"/>
      <c r="X4263" s="28">
        <v>1429872000</v>
      </c>
      <c r="Y4263" s="28">
        <v>9017315000</v>
      </c>
      <c r="Z4263" s="28">
        <v>569799000</v>
      </c>
      <c r="AA4263" s="28"/>
      <c r="AB4263" s="28"/>
      <c r="AC4263" s="28">
        <v>7131623000</v>
      </c>
      <c r="AD4263" s="28">
        <v>1667814000</v>
      </c>
      <c r="AE4263" s="28">
        <v>7853786000</v>
      </c>
      <c r="AF4263" s="28">
        <v>289145000</v>
      </c>
      <c r="AG4263" s="11"/>
    </row>
    <row r="4264">
      <c r="A4264" s="7" t="s">
        <v>5912</v>
      </c>
      <c r="B4264" s="5" t="s">
        <v>13871</v>
      </c>
      <c r="C4264" s="5" t="s">
        <v>21634</v>
      </c>
      <c r="D4264" s="5" t="str">
        <v>772850616539</v>
      </c>
      <c r="E4264" s="0" t="e">
        <f>+7 (3472) 861684
+7 (812) 2443250
+7 (916) 1218777</f>
        <v>#NAME?</v>
      </c>
      <c r="F4264" s="5" t="s">
        <v>38090</v>
      </c>
      <c r="G4264" s="5" t="s">
        <v>38091</v>
      </c>
      <c r="H4264" s="26">
        <v>7</v>
      </c>
      <c r="I4264" s="5" t="s">
        <v>38092</v>
      </c>
      <c r="J4264" s="5" t="s">
        <v>38093</v>
      </c>
      <c r="K4264" s="5" t="s">
        <v>355</v>
      </c>
      <c r="L4264" s="5"/>
      <c r="M4264" s="27">
        <v>1010113</v>
      </c>
      <c r="N4264" s="5" t="s">
        <v>55965</v>
      </c>
      <c r="O4264" s="5" t="str">
        <v>7801300320</v>
      </c>
      <c r="P4264" s="27">
        <v>100000</v>
      </c>
      <c r="Q4264" s="5" t="s">
        <v>55966</v>
      </c>
      <c r="R4264" s="5"/>
      <c r="S4264" s="5" t="s">
        <v>55967</v>
      </c>
      <c r="T4264" s="28">
        <v>157177000</v>
      </c>
      <c r="U4264" s="28">
        <v>5000</v>
      </c>
      <c r="V4264" s="28">
        <v>733053000</v>
      </c>
      <c r="W4264" s="28"/>
      <c r="X4264" s="28">
        <v>119590000</v>
      </c>
      <c r="Y4264" s="28">
        <v>3318083000</v>
      </c>
      <c r="Z4264" s="28">
        <v>1340629000</v>
      </c>
      <c r="AA4264" s="28">
        <v>15000000</v>
      </c>
      <c r="AB4264" s="28"/>
      <c r="AC4264" s="28">
        <v>1956294000</v>
      </c>
      <c r="AD4264" s="28">
        <v>1340729000</v>
      </c>
      <c r="AE4264" s="28">
        <v>4350891000</v>
      </c>
      <c r="AF4264" s="28">
        <v>5537000</v>
      </c>
      <c r="AG4264" s="11"/>
    </row>
    <row r="4265">
      <c r="A4265" s="7" t="s">
        <v>5913</v>
      </c>
      <c r="B4265" s="5" t="s">
        <v>13872</v>
      </c>
      <c r="C4265" s="5" t="s">
        <v>21635</v>
      </c>
      <c r="D4265" s="5" t="str">
        <v>773606526979</v>
      </c>
      <c r="E4265" s="0" t="e">
        <f>+7 (495) 121234
+7 (800) 5552776
+7 (912) 3570095</f>
        <v>#NAME?</v>
      </c>
      <c r="F4265" s="5" t="s">
        <v>38094</v>
      </c>
      <c r="G4265" s="5"/>
      <c r="H4265" s="26">
        <v>8.5</v>
      </c>
      <c r="I4265" s="5" t="s">
        <v>38095</v>
      </c>
      <c r="J4265" s="5" t="s">
        <v>32455</v>
      </c>
      <c r="K4265" s="5" t="s">
        <v>344</v>
      </c>
      <c r="L4265" s="5" t="s">
        <v>38096</v>
      </c>
      <c r="M4265" s="27"/>
      <c r="N4265" s="5" t="s">
        <v>55968</v>
      </c>
      <c r="O4265" s="5" t="str">
        <v>5031111246</v>
      </c>
      <c r="P4265" s="27">
        <v>24995</v>
      </c>
      <c r="Q4265" s="5" t="s">
        <v>49822</v>
      </c>
      <c r="R4265" s="5"/>
      <c r="S4265" s="5" t="s">
        <v>55969</v>
      </c>
      <c r="T4265" s="28">
        <v>72005000</v>
      </c>
      <c r="U4265" s="28"/>
      <c r="V4265" s="28">
        <v>186269000</v>
      </c>
      <c r="W4265" s="28"/>
      <c r="X4265" s="28">
        <v>715000</v>
      </c>
      <c r="Y4265" s="28">
        <v>487882000</v>
      </c>
      <c r="Z4265" s="28">
        <v>78139000</v>
      </c>
      <c r="AA4265" s="28">
        <v>186500000</v>
      </c>
      <c r="AB4265" s="28">
        <v>82722000</v>
      </c>
      <c r="AC4265" s="28">
        <v>214447000</v>
      </c>
      <c r="AD4265" s="28">
        <v>78164000</v>
      </c>
      <c r="AE4265" s="28">
        <v>5440048000</v>
      </c>
      <c r="AF4265" s="28">
        <v>17949000</v>
      </c>
      <c r="AG4265" s="11"/>
    </row>
    <row r="4266">
      <c r="A4266" s="7" t="s">
        <v>5914</v>
      </c>
      <c r="B4266" s="5" t="s">
        <v>13873</v>
      </c>
      <c r="C4266" s="5" t="s">
        <v>21636</v>
      </c>
      <c r="D4266" s="5" t="str">
        <v>190102491340</v>
      </c>
      <c r="E4266" s="0" t="e">
        <f>+7 (391) 2042342
+7 (391) 2457788
+7 (391) 2919417
+7 (39170) 31665
+7 (3919) 224842
+7 (3919) 233600
+7 (3919) 235689
+7 (3919) 253606
+7 (3919) 253636
+7 (3919) 253652
+7 (3919) 253604
+7 (3919) 253608
+7 (3919) 253631
+7 (3919) 253640
+7 (3919) 253646</f>
        <v>#NAME?</v>
      </c>
      <c r="F4266" s="5" t="s">
        <v>38097</v>
      </c>
      <c r="G4266" s="5" t="s">
        <v>38098</v>
      </c>
      <c r="H4266" s="26">
        <v>17.5</v>
      </c>
      <c r="I4266" s="5"/>
      <c r="J4266" s="5" t="s">
        <v>25295</v>
      </c>
      <c r="K4266" s="5" t="s">
        <v>380</v>
      </c>
      <c r="L4266" s="5"/>
      <c r="M4266" s="27">
        <v>805970159</v>
      </c>
      <c r="N4266" s="5" t="s">
        <v>55970</v>
      </c>
      <c r="O4266" s="5" t="str">
        <v>2457058356</v>
      </c>
      <c r="P4266" s="27">
        <v>1375765000</v>
      </c>
      <c r="Q4266" s="5" t="s">
        <v>55971</v>
      </c>
      <c r="R4266" s="5" t="s">
        <v>55972</v>
      </c>
      <c r="S4266" s="5" t="s">
        <v>55973</v>
      </c>
      <c r="T4266" s="28">
        <v>51235781000</v>
      </c>
      <c r="U4266" s="28"/>
      <c r="V4266" s="28">
        <v>9087417000</v>
      </c>
      <c r="W4266" s="28">
        <v>788218000</v>
      </c>
      <c r="X4266" s="28">
        <v>5982000</v>
      </c>
      <c r="Y4266" s="28">
        <v>67618483000</v>
      </c>
      <c r="Z4266" s="28">
        <v>-254518806000</v>
      </c>
      <c r="AA4266" s="28"/>
      <c r="AB4266" s="28"/>
      <c r="AC4266" s="28">
        <v>10819546000</v>
      </c>
      <c r="AD4266" s="28">
        <v>31664320000</v>
      </c>
      <c r="AE4266" s="28">
        <v>23194425000</v>
      </c>
      <c r="AF4266" s="28">
        <v>-32083917000</v>
      </c>
      <c r="AG4266" s="11"/>
    </row>
    <row r="4267">
      <c r="A4267" s="7" t="s">
        <v>5915</v>
      </c>
      <c r="B4267" s="5" t="s">
        <v>13874</v>
      </c>
      <c r="C4267" s="5" t="s">
        <v>21637</v>
      </c>
      <c r="D4267" s="5" t="str">
        <v>666700301908</v>
      </c>
      <c r="E4267" s="0" t="e">
        <f>+7 (3435) 230255
+7 (3435) 230256
+7 (3435) 230391
+7 (3435) 230466
+7 (3435) 230474
+7 (3435) 240102
+7 (3435) 359624
+7 (34356) 23111
+7 (3435) 439544
+7 (3435) 917127
+7 (3435) 961362
+7 (34356) 23955
+7 (495) 9805900</f>
        <v>#NAME?</v>
      </c>
      <c r="F4267" s="5" t="s">
        <v>38099</v>
      </c>
      <c r="G4267" s="5" t="s">
        <v>38100</v>
      </c>
      <c r="H4267" s="26">
        <v>6.5</v>
      </c>
      <c r="I4267" s="5"/>
      <c r="J4267" s="5" t="s">
        <v>26623</v>
      </c>
      <c r="K4267" s="5" t="s">
        <v>344</v>
      </c>
      <c r="L4267" s="5" t="s">
        <v>38101</v>
      </c>
      <c r="M4267" s="27"/>
      <c r="N4267" s="5" t="s">
        <v>55974</v>
      </c>
      <c r="O4267" s="5" t="str">
        <v>5612164639</v>
      </c>
      <c r="P4267" s="27">
        <v>1600000</v>
      </c>
      <c r="Q4267" s="5" t="s">
        <v>49009</v>
      </c>
      <c r="R4267" s="5"/>
      <c r="S4267" s="5" t="s">
        <v>49271</v>
      </c>
      <c r="T4267" s="28">
        <v>20947000</v>
      </c>
      <c r="U4267" s="28"/>
      <c r="V4267" s="28">
        <v>330347000</v>
      </c>
      <c r="W4267" s="28"/>
      <c r="X4267" s="28">
        <v>182239000</v>
      </c>
      <c r="Y4267" s="28">
        <v>858528000</v>
      </c>
      <c r="Z4267" s="28">
        <v>357084000</v>
      </c>
      <c r="AA4267" s="28"/>
      <c r="AB4267" s="28"/>
      <c r="AC4267" s="28">
        <v>435327000</v>
      </c>
      <c r="AD4267" s="28">
        <v>360150000</v>
      </c>
      <c r="AE4267" s="28">
        <v>3405393000</v>
      </c>
      <c r="AF4267" s="28">
        <v>266711000</v>
      </c>
      <c r="AG4267" s="11"/>
    </row>
    <row r="4268">
      <c r="A4268" s="7" t="s">
        <v>5916</v>
      </c>
      <c r="B4268" s="5" t="s">
        <v>13875</v>
      </c>
      <c r="C4268" s="5" t="s">
        <v>21638</v>
      </c>
      <c r="D4268" s="5" t="str">
        <v>890401362134</v>
      </c>
      <c r="E4268" s="0" t="e">
        <f>+7 (349) 2256572
+7 (349) 4930454
+7 (3494) 244260</f>
        <v>#NAME?</v>
      </c>
      <c r="F4268" s="5" t="s">
        <v>38102</v>
      </c>
      <c r="G4268" s="5"/>
      <c r="H4268" s="26">
        <v>25.5</v>
      </c>
      <c r="I4268" s="5" t="s">
        <v>38103</v>
      </c>
      <c r="J4268" s="5" t="s">
        <v>28226</v>
      </c>
      <c r="K4268" s="5" t="s">
        <v>344</v>
      </c>
      <c r="L4268" s="5" t="s">
        <v>38104</v>
      </c>
      <c r="M4268" s="27">
        <v>45534579</v>
      </c>
      <c r="N4268" s="5" t="s">
        <v>52997</v>
      </c>
      <c r="O4268" s="5" t="str">
        <v>8913003006</v>
      </c>
      <c r="P4268" s="27">
        <v>10000000</v>
      </c>
      <c r="Q4268" s="5" t="s">
        <v>55976</v>
      </c>
      <c r="R4268" s="5" t="s">
        <v>55977</v>
      </c>
      <c r="S4268" s="5" t="s">
        <v>55225</v>
      </c>
      <c r="T4268" s="28">
        <v>1823431000</v>
      </c>
      <c r="U4268" s="28">
        <v>10000</v>
      </c>
      <c r="V4268" s="28">
        <v>2352603000</v>
      </c>
      <c r="W4268" s="28">
        <v>9601000</v>
      </c>
      <c r="X4268" s="28">
        <v>67046000</v>
      </c>
      <c r="Y4268" s="28">
        <v>8735297000</v>
      </c>
      <c r="Z4268" s="28">
        <v>3672384000</v>
      </c>
      <c r="AA4268" s="28">
        <v>2200770000</v>
      </c>
      <c r="AB4268" s="28"/>
      <c r="AC4268" s="28">
        <v>2630359000</v>
      </c>
      <c r="AD4268" s="28">
        <v>3686843000</v>
      </c>
      <c r="AE4268" s="28">
        <v>7057579000</v>
      </c>
      <c r="AF4268" s="28">
        <v>524272000</v>
      </c>
      <c r="AG4268" s="11"/>
    </row>
    <row r="4269">
      <c r="A4269" s="7" t="s">
        <v>5917</v>
      </c>
      <c r="B4269" s="5" t="s">
        <v>11672</v>
      </c>
      <c r="C4269" s="5" t="s">
        <v>19364</v>
      </c>
      <c r="D4269" s="5" t="str">
        <v>771481534791</v>
      </c>
      <c r="E4269" s="0" t="e">
        <f>+7 (495) 7394809
+7 (495) 2283388
+7 (495) 4115151
+7 (800) 2003388</f>
        <v>#NAME?</v>
      </c>
      <c r="F4269" s="5" t="s">
        <v>38105</v>
      </c>
      <c r="G4269" s="5" t="s">
        <v>38106</v>
      </c>
      <c r="H4269" s="26">
        <v>22.5</v>
      </c>
      <c r="I4269" s="5" t="s">
        <v>38107</v>
      </c>
      <c r="J4269" s="5" t="s">
        <v>31429</v>
      </c>
      <c r="K4269" s="5" t="s">
        <v>344</v>
      </c>
      <c r="L4269" s="5" t="s">
        <v>38108</v>
      </c>
      <c r="M4269" s="27"/>
      <c r="N4269" s="5"/>
      <c r="O4269" s="5" t="str">
        <v>7705111270</v>
      </c>
      <c r="P4269" s="27">
        <v>6350000</v>
      </c>
      <c r="Q4269" s="5" t="s">
        <v>55978</v>
      </c>
      <c r="R4269" s="5"/>
      <c r="S4269" s="5" t="s">
        <v>50630</v>
      </c>
      <c r="T4269" s="28">
        <v>182142000</v>
      </c>
      <c r="U4269" s="28">
        <v>40342000</v>
      </c>
      <c r="V4269" s="28">
        <v>1584399000</v>
      </c>
      <c r="W4269" s="28">
        <v>1960793000</v>
      </c>
      <c r="X4269" s="28">
        <v>1166515000</v>
      </c>
      <c r="Y4269" s="28">
        <v>6663925000</v>
      </c>
      <c r="Z4269" s="28">
        <v>3250174000</v>
      </c>
      <c r="AA4269" s="28"/>
      <c r="AB4269" s="28"/>
      <c r="AC4269" s="28">
        <v>3360408000</v>
      </c>
      <c r="AD4269" s="28">
        <v>3256524000</v>
      </c>
      <c r="AE4269" s="28">
        <v>14186525000</v>
      </c>
      <c r="AF4269" s="28">
        <v>2204429000</v>
      </c>
      <c r="AG4269" s="11"/>
    </row>
    <row r="4270">
      <c r="A4270" s="7" t="s">
        <v>5918</v>
      </c>
      <c r="B4270" s="5" t="s">
        <v>13876</v>
      </c>
      <c r="C4270" s="5" t="s">
        <v>21639</v>
      </c>
      <c r="D4270" s="5" t="str">
        <v>231510290705</v>
      </c>
      <c r="E4270" s="0" t="e">
        <f>+7 (8617) 601805
+7 (8617) 678640
+7 (8617) 678641</f>
        <v>#NAME?</v>
      </c>
      <c r="F4270" s="5" t="s">
        <v>38109</v>
      </c>
      <c r="G4270" s="5"/>
      <c r="H4270" s="26">
        <v>29</v>
      </c>
      <c r="I4270" s="5" t="s">
        <v>38110</v>
      </c>
      <c r="J4270" s="5" t="s">
        <v>26905</v>
      </c>
      <c r="K4270" s="5" t="s">
        <v>344</v>
      </c>
      <c r="L4270" s="5" t="s">
        <v>38111</v>
      </c>
      <c r="M4270" s="27"/>
      <c r="N4270" s="5" t="s">
        <v>55979</v>
      </c>
      <c r="O4270" s="5" t="str">
        <v>2315024369</v>
      </c>
      <c r="P4270" s="27">
        <v>9975226</v>
      </c>
      <c r="Q4270" s="5" t="s">
        <v>55980</v>
      </c>
      <c r="R4270" s="5"/>
      <c r="S4270" s="5" t="s">
        <v>55981</v>
      </c>
      <c r="T4270" s="28">
        <v>9939950000</v>
      </c>
      <c r="U4270" s="28"/>
      <c r="V4270" s="28">
        <v>1161910000</v>
      </c>
      <c r="W4270" s="28"/>
      <c r="X4270" s="28">
        <v>955721000</v>
      </c>
      <c r="Y4270" s="28">
        <v>12971087000</v>
      </c>
      <c r="Z4270" s="28">
        <v>4143025000</v>
      </c>
      <c r="AA4270" s="28">
        <v>4827336000</v>
      </c>
      <c r="AB4270" s="28">
        <v>919190000</v>
      </c>
      <c r="AC4270" s="28">
        <v>2009076000</v>
      </c>
      <c r="AD4270" s="28">
        <v>4153499000</v>
      </c>
      <c r="AE4270" s="28">
        <v>8840686000</v>
      </c>
      <c r="AF4270" s="28">
        <v>5517181000</v>
      </c>
      <c r="AG4270" s="11"/>
    </row>
    <row r="4271">
      <c r="A4271" s="7" t="s">
        <v>5919</v>
      </c>
      <c r="B4271" s="5" t="s">
        <v>13877</v>
      </c>
      <c r="C4271" s="5" t="s">
        <v>19870</v>
      </c>
      <c r="D4271" s="5" t="str">
        <v>526314888112</v>
      </c>
      <c r="E4271" s="0" t="e">
        <f>+7 (8632) 840000
+7 (86385) 26162</f>
        <v>#NAME?</v>
      </c>
      <c r="F4271" s="5" t="s">
        <v>38112</v>
      </c>
      <c r="G4271" s="5"/>
      <c r="H4271" s="26">
        <v>3</v>
      </c>
      <c r="I4271" s="5" t="s">
        <v>32429</v>
      </c>
      <c r="J4271" s="5" t="s">
        <v>25450</v>
      </c>
      <c r="K4271" s="5" t="s">
        <v>344</v>
      </c>
      <c r="L4271" s="5"/>
      <c r="M4271" s="27">
        <v>6394131</v>
      </c>
      <c r="N4271" s="5"/>
      <c r="O4271" s="5" t="str">
        <v>6166118985</v>
      </c>
      <c r="P4271" s="27">
        <v>10000</v>
      </c>
      <c r="Q4271" s="5"/>
      <c r="R4271" s="5"/>
      <c r="S4271" s="5" t="s">
        <v>49029</v>
      </c>
      <c r="T4271" s="28">
        <v>185105000</v>
      </c>
      <c r="U4271" s="28"/>
      <c r="V4271" s="28">
        <v>325047000</v>
      </c>
      <c r="W4271" s="28">
        <v>3675476000</v>
      </c>
      <c r="X4271" s="28">
        <v>5652000</v>
      </c>
      <c r="Y4271" s="28">
        <v>4848505000</v>
      </c>
      <c r="Z4271" s="28">
        <v>-253072000</v>
      </c>
      <c r="AA4271" s="28">
        <v>460000</v>
      </c>
      <c r="AB4271" s="28">
        <v>1033836000</v>
      </c>
      <c r="AC4271" s="28">
        <v>1401347000</v>
      </c>
      <c r="AD4271" s="28">
        <v>-248034000</v>
      </c>
      <c r="AE4271" s="28">
        <v>3390937000</v>
      </c>
      <c r="AF4271" s="28">
        <v>115516000</v>
      </c>
      <c r="AG4271" s="11"/>
    </row>
    <row r="4272">
      <c r="A4272" s="7" t="s">
        <v>5920</v>
      </c>
      <c r="B4272" s="5" t="s">
        <v>13878</v>
      </c>
      <c r="C4272" s="5" t="s">
        <v>21640</v>
      </c>
      <c r="D4272" s="5" t="str">
        <v>526014649339</v>
      </c>
      <c r="E4272" s="0" t="e">
        <f>+7 (831) 2211919
+7 (831) 2759550</f>
        <v>#NAME?</v>
      </c>
      <c r="F4272" s="5" t="s">
        <v>38113</v>
      </c>
      <c r="G4272" s="5"/>
      <c r="H4272" s="26">
        <v>23</v>
      </c>
      <c r="I4272" s="5"/>
      <c r="J4272" s="5" t="s">
        <v>30175</v>
      </c>
      <c r="K4272" s="5" t="s">
        <v>344</v>
      </c>
      <c r="L4272" s="5" t="s">
        <v>38114</v>
      </c>
      <c r="M4272" s="27"/>
      <c r="N4272" s="5" t="s">
        <v>55982</v>
      </c>
      <c r="O4272" s="5" t="str">
        <v>5260083600</v>
      </c>
      <c r="P4272" s="27">
        <v>5000016</v>
      </c>
      <c r="Q4272" s="5"/>
      <c r="R4272" s="5"/>
      <c r="S4272" s="5" t="s">
        <v>49425</v>
      </c>
      <c r="T4272" s="28">
        <v>27706000</v>
      </c>
      <c r="U4272" s="28">
        <v>323370000</v>
      </c>
      <c r="V4272" s="28">
        <v>962594000</v>
      </c>
      <c r="W4272" s="28"/>
      <c r="X4272" s="28">
        <v>14523000</v>
      </c>
      <c r="Y4272" s="28">
        <v>2487175000</v>
      </c>
      <c r="Z4272" s="28">
        <v>858369000</v>
      </c>
      <c r="AA4272" s="28">
        <v>583022000</v>
      </c>
      <c r="AB4272" s="28">
        <v>846666000</v>
      </c>
      <c r="AC4272" s="28">
        <v>1037069000</v>
      </c>
      <c r="AD4272" s="28">
        <v>863369000</v>
      </c>
      <c r="AE4272" s="28">
        <v>4825137000</v>
      </c>
      <c r="AF4272" s="28">
        <v>215241000</v>
      </c>
      <c r="AG4272" s="11"/>
    </row>
    <row r="4273">
      <c r="A4273" s="7" t="s">
        <v>5921</v>
      </c>
      <c r="B4273" s="5" t="s">
        <v>13879</v>
      </c>
      <c r="C4273" s="5" t="s">
        <v>21641</v>
      </c>
      <c r="D4273" s="5" t="str">
        <v>774306752351</v>
      </c>
      <c r="E4273" s="0" t="e">
        <f>+7 (495) 2239777
+7 (495) 1202576
+7 (800) 7074512</f>
        <v>#NAME?</v>
      </c>
      <c r="F4273" s="5" t="s">
        <v>38115</v>
      </c>
      <c r="G4273" s="5"/>
      <c r="H4273" s="26">
        <v>19</v>
      </c>
      <c r="I4273" s="5"/>
      <c r="J4273" s="5" t="s">
        <v>25512</v>
      </c>
      <c r="K4273" s="5" t="s">
        <v>344</v>
      </c>
      <c r="L4273" s="5" t="s">
        <v>38116</v>
      </c>
      <c r="M4273" s="27"/>
      <c r="N4273" s="5"/>
      <c r="O4273" s="5" t="str">
        <v>7701520346</v>
      </c>
      <c r="P4273" s="27">
        <v>100000</v>
      </c>
      <c r="Q4273" s="5" t="s">
        <v>49057</v>
      </c>
      <c r="R4273" s="5"/>
      <c r="S4273" s="5" t="s">
        <v>49126</v>
      </c>
      <c r="T4273" s="28">
        <v>8258000</v>
      </c>
      <c r="U4273" s="28">
        <v>1940000</v>
      </c>
      <c r="V4273" s="28">
        <v>374596000</v>
      </c>
      <c r="W4273" s="28">
        <v>63765000</v>
      </c>
      <c r="X4273" s="28">
        <v>11311000</v>
      </c>
      <c r="Y4273" s="28">
        <v>1223741000</v>
      </c>
      <c r="Z4273" s="28">
        <v>541600000</v>
      </c>
      <c r="AA4273" s="28">
        <v>53334000</v>
      </c>
      <c r="AB4273" s="28">
        <v>325000000</v>
      </c>
      <c r="AC4273" s="28">
        <v>620049000</v>
      </c>
      <c r="AD4273" s="28">
        <v>541705000</v>
      </c>
      <c r="AE4273" s="28">
        <v>4860512000</v>
      </c>
      <c r="AF4273" s="28">
        <v>158686000</v>
      </c>
      <c r="AG4273" s="11"/>
    </row>
    <row r="4274">
      <c r="A4274" s="7" t="s">
        <v>5922</v>
      </c>
      <c r="B4274" s="5" t="s">
        <v>13880</v>
      </c>
      <c r="C4274" s="5" t="s">
        <v>21642</v>
      </c>
      <c r="D4274" s="5" t="str">
        <v>591500116415</v>
      </c>
      <c r="E4274" s="0" t="e">
        <f>+7 (34273) 46614
+7 (34273) 51121
+7 (34273) 93262
+7 (912) 7809617</f>
        <v>#NAME?</v>
      </c>
      <c r="F4274" s="5"/>
      <c r="G4274" s="5"/>
      <c r="H4274" s="26">
        <v>7</v>
      </c>
      <c r="I4274" s="5" t="s">
        <v>38117</v>
      </c>
      <c r="J4274" s="5" t="s">
        <v>373</v>
      </c>
      <c r="K4274" s="5" t="s">
        <v>344</v>
      </c>
      <c r="L4274" s="5" t="s">
        <v>38118</v>
      </c>
      <c r="M4274" s="27"/>
      <c r="N4274" s="5"/>
      <c r="O4274" s="5" t="str">
        <v>5904333838</v>
      </c>
      <c r="P4274" s="27">
        <v>10000</v>
      </c>
      <c r="Q4274" s="5" t="s">
        <v>49057</v>
      </c>
      <c r="R4274" s="5"/>
      <c r="S4274" s="5" t="s">
        <v>50961</v>
      </c>
      <c r="T4274" s="28">
        <v>19731000</v>
      </c>
      <c r="U4274" s="28"/>
      <c r="V4274" s="28">
        <v>377141000</v>
      </c>
      <c r="W4274" s="28"/>
      <c r="X4274" s="28">
        <v>2101000</v>
      </c>
      <c r="Y4274" s="28">
        <v>457975000</v>
      </c>
      <c r="Z4274" s="28">
        <v>177412000</v>
      </c>
      <c r="AA4274" s="28"/>
      <c r="AB4274" s="28"/>
      <c r="AC4274" s="28">
        <v>280553000</v>
      </c>
      <c r="AD4274" s="28">
        <v>177422000</v>
      </c>
      <c r="AE4274" s="28">
        <v>4708564000</v>
      </c>
      <c r="AF4274" s="28">
        <v>82369000</v>
      </c>
      <c r="AG4274" s="11"/>
    </row>
    <row r="4275">
      <c r="A4275" s="7" t="s">
        <v>5923</v>
      </c>
      <c r="B4275" s="5" t="s">
        <v>13881</v>
      </c>
      <c r="C4275" s="5" t="s">
        <v>21643</v>
      </c>
      <c r="D4275" s="5" t="str">
        <v>860208818243</v>
      </c>
      <c r="E4275" s="0" t="e">
        <f>+7 (843) 2769005
+7 (843) 2769192
+7 (8435) 379057
+7 (8435) 379192</f>
        <v>#NAME?</v>
      </c>
      <c r="F4275" s="5" t="s">
        <v>38119</v>
      </c>
      <c r="G4275" s="5"/>
      <c r="H4275" s="26">
        <v>15.5</v>
      </c>
      <c r="I4275" s="5" t="s">
        <v>38120</v>
      </c>
      <c r="J4275" s="5" t="s">
        <v>373</v>
      </c>
      <c r="K4275" s="5" t="s">
        <v>344</v>
      </c>
      <c r="L4275" s="5" t="s">
        <v>38121</v>
      </c>
      <c r="M4275" s="27"/>
      <c r="N4275" s="5"/>
      <c r="O4275" s="5" t="str">
        <v>1655141822</v>
      </c>
      <c r="P4275" s="27">
        <v>10000</v>
      </c>
      <c r="Q4275" s="5" t="s">
        <v>49057</v>
      </c>
      <c r="R4275" s="5"/>
      <c r="S4275" s="5" t="s">
        <v>49450</v>
      </c>
      <c r="T4275" s="28">
        <v>422000</v>
      </c>
      <c r="U4275" s="28"/>
      <c r="V4275" s="28">
        <v>230936000</v>
      </c>
      <c r="W4275" s="28"/>
      <c r="X4275" s="28">
        <v>3333000</v>
      </c>
      <c r="Y4275" s="28">
        <v>365160000</v>
      </c>
      <c r="Z4275" s="28">
        <v>129593000</v>
      </c>
      <c r="AA4275" s="28"/>
      <c r="AB4275" s="28"/>
      <c r="AC4275" s="28">
        <v>235300000</v>
      </c>
      <c r="AD4275" s="28">
        <v>129603000</v>
      </c>
      <c r="AE4275" s="28">
        <v>5353380000</v>
      </c>
      <c r="AF4275" s="28">
        <v>28880000</v>
      </c>
      <c r="AG4275" s="11"/>
    </row>
    <row r="4276">
      <c r="A4276" s="7" t="s">
        <v>5924</v>
      </c>
      <c r="B4276" s="5" t="s">
        <v>13882</v>
      </c>
      <c r="C4276" s="5" t="s">
        <v>21644</v>
      </c>
      <c r="D4276" s="5" t="str">
        <v>561103711916</v>
      </c>
      <c r="E4276" s="0" t="e">
        <f>+7 (35325) 41117
+7 (495) 500129
+7 (863) 5271821</f>
        <v>#NAME?</v>
      </c>
      <c r="F4276" s="5" t="s">
        <v>38122</v>
      </c>
      <c r="G4276" s="5"/>
      <c r="H4276" s="26">
        <v>14</v>
      </c>
      <c r="I4276" s="5" t="s">
        <v>38123</v>
      </c>
      <c r="J4276" s="5" t="s">
        <v>364</v>
      </c>
      <c r="K4276" s="5" t="s">
        <v>355</v>
      </c>
      <c r="L4276" s="5" t="s">
        <v>38124</v>
      </c>
      <c r="M4276" s="27">
        <v>1145000</v>
      </c>
      <c r="N4276" s="5" t="s">
        <v>55983</v>
      </c>
      <c r="O4276" s="5" t="str">
        <v>6125028059</v>
      </c>
      <c r="P4276" s="27">
        <v>500000</v>
      </c>
      <c r="Q4276" s="5" t="s">
        <v>55984</v>
      </c>
      <c r="R4276" s="5"/>
      <c r="S4276" s="5" t="s">
        <v>55985</v>
      </c>
      <c r="T4276" s="28">
        <v>52652000</v>
      </c>
      <c r="U4276" s="28">
        <v>10236000</v>
      </c>
      <c r="V4276" s="28">
        <v>6667444000</v>
      </c>
      <c r="W4276" s="28"/>
      <c r="X4276" s="28">
        <v>4210126000</v>
      </c>
      <c r="Y4276" s="28">
        <v>14370459000</v>
      </c>
      <c r="Z4276" s="28">
        <v>740632000</v>
      </c>
      <c r="AA4276" s="28"/>
      <c r="AB4276" s="28"/>
      <c r="AC4276" s="28">
        <v>13629327000</v>
      </c>
      <c r="AD4276" s="28">
        <v>741132000</v>
      </c>
      <c r="AE4276" s="28">
        <v>17796648000</v>
      </c>
      <c r="AF4276" s="28">
        <v>393805000</v>
      </c>
      <c r="AG4276" s="11"/>
    </row>
    <row r="4277">
      <c r="A4277" s="7" t="s">
        <v>5925</v>
      </c>
      <c r="B4277" s="5" t="s">
        <v>13883</v>
      </c>
      <c r="C4277" s="5" t="s">
        <v>21645</v>
      </c>
      <c r="D4277" s="5" t="str">
        <v>421706683308</v>
      </c>
      <c r="E4277" s="0" t="e">
        <f>+7 (3843) 384526
+7 (384) 3461392
+7 (3843) 320047
+7 (3843) 320109
+7 (3843) 993070
+7 (3843) 993080
+7 (3843) 993081
+7 (3843) 993477
+7 (3843) 993479
+7 (3843) 993977
+7 (38453) 26085
+7 (38453) 26236
+7 (38453) 33040
+7 (38453) 33041
+7 (38453) 33042</f>
        <v>#NAME?</v>
      </c>
      <c r="F4277" s="5" t="s">
        <v>38125</v>
      </c>
      <c r="G4277" s="5" t="s">
        <v>38126</v>
      </c>
      <c r="H4277" s="26">
        <v>15</v>
      </c>
      <c r="I4277" s="5"/>
      <c r="J4277" s="5" t="s">
        <v>555</v>
      </c>
      <c r="K4277" s="5" t="s">
        <v>355</v>
      </c>
      <c r="L4277" s="5" t="s">
        <v>38127</v>
      </c>
      <c r="M4277" s="27">
        <v>5984020</v>
      </c>
      <c r="N4277" s="5" t="s">
        <v>55986</v>
      </c>
      <c r="O4277" s="5" t="str">
        <v>4217102358</v>
      </c>
      <c r="P4277" s="27">
        <v>4462746667</v>
      </c>
      <c r="Q4277" s="5" t="s">
        <v>55987</v>
      </c>
      <c r="R4277" s="5"/>
      <c r="S4277" s="5" t="s">
        <v>55988</v>
      </c>
      <c r="T4277" s="28">
        <v>29463767000</v>
      </c>
      <c r="U4277" s="28">
        <v>40000</v>
      </c>
      <c r="V4277" s="28">
        <v>29236888000</v>
      </c>
      <c r="W4277" s="28">
        <v>64215000</v>
      </c>
      <c r="X4277" s="28">
        <v>622798000</v>
      </c>
      <c r="Y4277" s="28">
        <v>75469626000</v>
      </c>
      <c r="Z4277" s="28">
        <v>-10848183000</v>
      </c>
      <c r="AA4277" s="28">
        <v>27058668000</v>
      </c>
      <c r="AB4277" s="28">
        <v>22084922000</v>
      </c>
      <c r="AC4277" s="28">
        <v>38672850000</v>
      </c>
      <c r="AD4277" s="28">
        <v>7314564000</v>
      </c>
      <c r="AE4277" s="28">
        <v>114487023000</v>
      </c>
      <c r="AF4277" s="28">
        <v>20826000</v>
      </c>
      <c r="AG4277" s="11"/>
    </row>
    <row r="4278">
      <c r="A4278" s="7" t="s">
        <v>5926</v>
      </c>
      <c r="B4278" s="5" t="s">
        <v>13884</v>
      </c>
      <c r="C4278" s="5" t="s">
        <v>21646</v>
      </c>
      <c r="D4278" s="5" t="str">
        <v>781105924869</v>
      </c>
      <c r="E4278" s="0" t="e">
        <f>+7 (3422) 908741
+7 (34241) 71705
+7 (3456) 398200
+7 (3463) 460619
+7 (3466) 494177
+7 (34672) 97527
+7 (3472) 797594
+7 (3496) 397255
+7 (473) 2495070
+7 (495) 7775500
+7 (495) 9568500
+7 (800) 6008980
+7 (8482) 698451</f>
        <v>#NAME?</v>
      </c>
      <c r="F4278" s="5" t="s">
        <v>38128</v>
      </c>
      <c r="G4278" s="5" t="s">
        <v>38129</v>
      </c>
      <c r="H4278" s="26">
        <v>5</v>
      </c>
      <c r="I4278" s="5" t="s">
        <v>38130</v>
      </c>
      <c r="J4278" s="5" t="s">
        <v>599</v>
      </c>
      <c r="K4278" s="5" t="s">
        <v>344</v>
      </c>
      <c r="L4278" s="5" t="s">
        <v>38131</v>
      </c>
      <c r="M4278" s="27">
        <v>9351764</v>
      </c>
      <c r="N4278" s="5" t="s">
        <v>55989</v>
      </c>
      <c r="O4278" s="5" t="str">
        <v>7727344230</v>
      </c>
      <c r="P4278" s="27">
        <v>599500000</v>
      </c>
      <c r="Q4278" s="5" t="s">
        <v>55990</v>
      </c>
      <c r="R4278" s="5"/>
      <c r="S4278" s="5" t="s">
        <v>49747</v>
      </c>
      <c r="T4278" s="28">
        <v>16287174000</v>
      </c>
      <c r="U4278" s="28"/>
      <c r="V4278" s="28">
        <v>4039815000</v>
      </c>
      <c r="W4278" s="28"/>
      <c r="X4278" s="28">
        <v>344984000</v>
      </c>
      <c r="Y4278" s="28">
        <v>21365769000</v>
      </c>
      <c r="Z4278" s="28">
        <v>1501031000</v>
      </c>
      <c r="AA4278" s="28"/>
      <c r="AB4278" s="28"/>
      <c r="AC4278" s="28">
        <v>6354772000</v>
      </c>
      <c r="AD4278" s="28">
        <v>2698031000</v>
      </c>
      <c r="AE4278" s="28">
        <v>33135688000</v>
      </c>
      <c r="AF4278" s="28">
        <v>643782000</v>
      </c>
      <c r="AG4278" s="11"/>
    </row>
    <row r="4279">
      <c r="A4279" s="7" t="s">
        <v>5927</v>
      </c>
      <c r="B4279" s="5" t="s">
        <v>13885</v>
      </c>
      <c r="C4279" s="5" t="s">
        <v>18701</v>
      </c>
      <c r="D4279" s="5"/>
      <c r="E4279" s="0" t="e">
        <f>+7 (861) 7641860
+7 (8617) 251137
+7 (8617) 265303
+7 (8617) 611134
+7 (8617) 613518
+7 (8617) 795301</f>
        <v>#NAME?</v>
      </c>
      <c r="F4279" s="5" t="s">
        <v>38132</v>
      </c>
      <c r="G4279" s="5" t="s">
        <v>38133</v>
      </c>
      <c r="H4279" s="26">
        <v>30</v>
      </c>
      <c r="I4279" s="5"/>
      <c r="J4279" s="5" t="s">
        <v>26407</v>
      </c>
      <c r="K4279" s="5" t="s">
        <v>344</v>
      </c>
      <c r="L4279" s="5" t="s">
        <v>26944</v>
      </c>
      <c r="M4279" s="27"/>
      <c r="N4279" s="5" t="s">
        <v>55991</v>
      </c>
      <c r="O4279" s="5" t="str">
        <v>2315020195</v>
      </c>
      <c r="P4279" s="27">
        <v>233943200</v>
      </c>
      <c r="Q4279" s="5" t="s">
        <v>49009</v>
      </c>
      <c r="R4279" s="5" t="s">
        <v>55993</v>
      </c>
      <c r="S4279" s="5" t="s">
        <v>50023</v>
      </c>
      <c r="T4279" s="28">
        <v>18819263000</v>
      </c>
      <c r="U4279" s="28">
        <v>1704427000</v>
      </c>
      <c r="V4279" s="28">
        <v>2481150000</v>
      </c>
      <c r="W4279" s="28">
        <v>1287311000</v>
      </c>
      <c r="X4279" s="28">
        <v>3002125000</v>
      </c>
      <c r="Y4279" s="28">
        <v>37362856000</v>
      </c>
      <c r="Z4279" s="28">
        <v>21595881000</v>
      </c>
      <c r="AA4279" s="28">
        <v>8669889000</v>
      </c>
      <c r="AB4279" s="28">
        <v>1501110000</v>
      </c>
      <c r="AC4279" s="28">
        <v>4061946000</v>
      </c>
      <c r="AD4279" s="28">
        <v>22201936000</v>
      </c>
      <c r="AE4279" s="28">
        <v>23346789000</v>
      </c>
      <c r="AF4279" s="28">
        <v>1911293000</v>
      </c>
      <c r="AG4279" s="11"/>
    </row>
    <row r="4280">
      <c r="A4280" s="7" t="s">
        <v>5928</v>
      </c>
      <c r="B4280" s="5" t="s">
        <v>13886</v>
      </c>
      <c r="C4280" s="5" t="s">
        <v>21647</v>
      </c>
      <c r="D4280" s="5" t="str">
        <v>773002929220</v>
      </c>
      <c r="E4280" s="0" t="e">
        <f>+7 (800) 5007478
+7 (495) 1329688
+7 (495) 1386880
+7 (495) 1395880
+7 (495) 1396886
+7 (495) 1396890
+7 (495) 5139688
+7 (495) 5323092
+7 (495) 6880208
+7 (499) 5570652
+7 (968) 3343452
+7 (495) 1396880</f>
        <v>#NAME?</v>
      </c>
      <c r="F4280" s="5" t="s">
        <v>38134</v>
      </c>
      <c r="G4280" s="5"/>
      <c r="H4280" s="26">
        <v>9</v>
      </c>
      <c r="I4280" s="5" t="s">
        <v>38135</v>
      </c>
      <c r="J4280" s="5" t="s">
        <v>881</v>
      </c>
      <c r="K4280" s="5" t="s">
        <v>355</v>
      </c>
      <c r="L4280" s="5"/>
      <c r="M4280" s="27">
        <v>469070245</v>
      </c>
      <c r="N4280" s="5" t="s">
        <v>55994</v>
      </c>
      <c r="O4280" s="5" t="str">
        <v>7703810139</v>
      </c>
      <c r="P4280" s="27">
        <v>600010000</v>
      </c>
      <c r="Q4280" s="5" t="s">
        <v>55995</v>
      </c>
      <c r="R4280" s="5"/>
      <c r="S4280" s="5" t="s">
        <v>55996</v>
      </c>
      <c r="T4280" s="28">
        <v>103071000</v>
      </c>
      <c r="U4280" s="28">
        <v>494414000</v>
      </c>
      <c r="V4280" s="28">
        <v>1985015000</v>
      </c>
      <c r="W4280" s="28">
        <v>24279000</v>
      </c>
      <c r="X4280" s="28">
        <v>619956000</v>
      </c>
      <c r="Y4280" s="28">
        <v>3525190000</v>
      </c>
      <c r="Z4280" s="28">
        <v>-268942000</v>
      </c>
      <c r="AA4280" s="28"/>
      <c r="AB4280" s="28">
        <v>703855000</v>
      </c>
      <c r="AC4280" s="28">
        <v>3133433000</v>
      </c>
      <c r="AD4280" s="28">
        <v>331068000</v>
      </c>
      <c r="AE4280" s="28">
        <v>5710316000</v>
      </c>
      <c r="AF4280" s="28">
        <v>-172987000</v>
      </c>
      <c r="AG4280" s="11"/>
    </row>
    <row r="4281">
      <c r="A4281" s="7" t="s">
        <v>5929</v>
      </c>
      <c r="B4281" s="5" t="s">
        <v>13887</v>
      </c>
      <c r="C4281" s="5" t="s">
        <v>21648</v>
      </c>
      <c r="D4281" s="5" t="str">
        <v>165045593953</v>
      </c>
      <c r="E4281" s="0" t="e">
        <f>+7 (917) 8581888
+7 (495) 5043692
+7 (855) 2747981
+7 (855) 2911115
+7 (917) 2548877
+7 (917) 8920184</f>
        <v>#NAME?</v>
      </c>
      <c r="F4281" s="5" t="s">
        <v>38136</v>
      </c>
      <c r="G4281" s="5" t="s">
        <v>38137</v>
      </c>
      <c r="H4281" s="26">
        <v>6.5</v>
      </c>
      <c r="I4281" s="5" t="s">
        <v>38138</v>
      </c>
      <c r="J4281" s="5" t="s">
        <v>28954</v>
      </c>
      <c r="K4281" s="5" t="s">
        <v>344</v>
      </c>
      <c r="L4281" s="5" t="s">
        <v>38139</v>
      </c>
      <c r="M4281" s="27">
        <v>351966</v>
      </c>
      <c r="N4281" s="5" t="s">
        <v>55997</v>
      </c>
      <c r="O4281" s="5" t="str">
        <v>1650333930</v>
      </c>
      <c r="P4281" s="27">
        <v>200000</v>
      </c>
      <c r="Q4281" s="5"/>
      <c r="R4281" s="5"/>
      <c r="S4281" s="5" t="s">
        <v>49425</v>
      </c>
      <c r="T4281" s="28">
        <v>421826000</v>
      </c>
      <c r="U4281" s="28"/>
      <c r="V4281" s="28">
        <v>3551145000</v>
      </c>
      <c r="W4281" s="28">
        <v>17000000</v>
      </c>
      <c r="X4281" s="28">
        <v>15058000</v>
      </c>
      <c r="Y4281" s="28">
        <v>5709828000</v>
      </c>
      <c r="Z4281" s="28">
        <v>2376779000</v>
      </c>
      <c r="AA4281" s="28">
        <v>318289000</v>
      </c>
      <c r="AB4281" s="28">
        <v>1380771000</v>
      </c>
      <c r="AC4281" s="28">
        <v>2947534000</v>
      </c>
      <c r="AD4281" s="28">
        <v>2381268000</v>
      </c>
      <c r="AE4281" s="28">
        <v>6020233000</v>
      </c>
      <c r="AF4281" s="28">
        <v>1434572000</v>
      </c>
      <c r="AG4281" s="11"/>
    </row>
    <row r="4282">
      <c r="A4282" s="7" t="s">
        <v>5930</v>
      </c>
      <c r="B4282" s="5" t="s">
        <v>13888</v>
      </c>
      <c r="C4282" s="5" t="s">
        <v>21649</v>
      </c>
      <c r="D4282" s="5" t="str">
        <v>590402867179</v>
      </c>
      <c r="E4282" s="0" t="e">
        <f>+7 (3412) 566211
+7 (3422) 368322
+7 (3422) 369033
+7 (3422) 369064
+7 (3422) 369070
+7 (3422) 369101
+7 (3422) 369130
+7 (3422) 447222
+7 (345) 2732963
+7 (345) 2744975
+7 (3512) 232453
+7 (383) 2861283
+7 (391) 2036820
+7 (495) 9949391
+7 (812) 9234815</f>
        <v>#NAME?</v>
      </c>
      <c r="F4282" s="5" t="s">
        <v>38140</v>
      </c>
      <c r="G4282" s="5" t="s">
        <v>38141</v>
      </c>
      <c r="H4282" s="26">
        <v>18.5</v>
      </c>
      <c r="I4282" s="5" t="s">
        <v>38142</v>
      </c>
      <c r="J4282" s="5" t="s">
        <v>364</v>
      </c>
      <c r="K4282" s="5" t="s">
        <v>344</v>
      </c>
      <c r="L4282" s="5" t="s">
        <v>38143</v>
      </c>
      <c r="M4282" s="27">
        <v>31372503</v>
      </c>
      <c r="N4282" s="5" t="s">
        <v>55998</v>
      </c>
      <c r="O4282" s="5" t="str">
        <v>5903046904</v>
      </c>
      <c r="P4282" s="27">
        <v>100000</v>
      </c>
      <c r="Q4282" s="5" t="s">
        <v>55999</v>
      </c>
      <c r="R4282" s="5"/>
      <c r="S4282" s="5" t="s">
        <v>56000</v>
      </c>
      <c r="T4282" s="28">
        <v>389541000</v>
      </c>
      <c r="U4282" s="28">
        <v>49932000</v>
      </c>
      <c r="V4282" s="28">
        <v>2797384000</v>
      </c>
      <c r="W4282" s="28">
        <v>28867000</v>
      </c>
      <c r="X4282" s="28">
        <v>598753000</v>
      </c>
      <c r="Y4282" s="28">
        <v>4384228000</v>
      </c>
      <c r="Z4282" s="28">
        <v>3606653000</v>
      </c>
      <c r="AA4282" s="28">
        <v>28695000</v>
      </c>
      <c r="AB4282" s="28">
        <v>5000000</v>
      </c>
      <c r="AC4282" s="28">
        <v>730724000</v>
      </c>
      <c r="AD4282" s="28">
        <v>3606758000</v>
      </c>
      <c r="AE4282" s="28">
        <v>6453737000</v>
      </c>
      <c r="AF4282" s="28">
        <v>1110135000</v>
      </c>
      <c r="AG4282" s="11"/>
    </row>
    <row r="4283">
      <c r="A4283" s="7" t="s">
        <v>5931</v>
      </c>
      <c r="B4283" s="5" t="s">
        <v>13889</v>
      </c>
      <c r="C4283" s="5" t="s">
        <v>21650</v>
      </c>
      <c r="D4283" s="5" t="str">
        <v>770508823946</v>
      </c>
      <c r="E4283" s="0" t="e">
        <f>+7 (495) 7834423
+7 (495) 9565557
+7 (495) 9568263</f>
        <v>#NAME?</v>
      </c>
      <c r="F4283" s="5"/>
      <c r="G4283" s="5"/>
      <c r="H4283" s="26">
        <v>14</v>
      </c>
      <c r="I4283" s="5" t="s">
        <v>38144</v>
      </c>
      <c r="J4283" s="5" t="s">
        <v>25195</v>
      </c>
      <c r="K4283" s="5" t="s">
        <v>344</v>
      </c>
      <c r="L4283" s="5" t="s">
        <v>38145</v>
      </c>
      <c r="M4283" s="27"/>
      <c r="N4283" s="5"/>
      <c r="O4283" s="5" t="str">
        <v>7705886905</v>
      </c>
      <c r="P4283" s="27">
        <v>10000</v>
      </c>
      <c r="Q4283" s="5" t="s">
        <v>49009</v>
      </c>
      <c r="R4283" s="5"/>
      <c r="S4283" s="5" t="s">
        <v>49010</v>
      </c>
      <c r="T4283" s="28">
        <v>2077861000</v>
      </c>
      <c r="U4283" s="28"/>
      <c r="V4283" s="28">
        <v>1177639000</v>
      </c>
      <c r="W4283" s="28">
        <v>3477874000</v>
      </c>
      <c r="X4283" s="28">
        <v>672264000</v>
      </c>
      <c r="Y4283" s="28">
        <v>8208669000</v>
      </c>
      <c r="Z4283" s="28">
        <v>5793145000</v>
      </c>
      <c r="AA4283" s="28"/>
      <c r="AB4283" s="28"/>
      <c r="AC4283" s="28">
        <v>719282000</v>
      </c>
      <c r="AD4283" s="28">
        <v>5801155000</v>
      </c>
      <c r="AE4283" s="28">
        <v>5225613000</v>
      </c>
      <c r="AF4283" s="28">
        <v>850150000</v>
      </c>
      <c r="AG4283" s="11"/>
    </row>
    <row r="4284">
      <c r="A4284" s="7" t="s">
        <v>5932</v>
      </c>
      <c r="B4284" s="5" t="s">
        <v>13889</v>
      </c>
      <c r="C4284" s="5" t="s">
        <v>21650</v>
      </c>
      <c r="D4284" s="5" t="str">
        <v>770508823946</v>
      </c>
      <c r="E4284" s="0" t="e">
        <f>+7 (495) 7834423</f>
        <v>#NAME?</v>
      </c>
      <c r="F4284" s="5"/>
      <c r="G4284" s="5"/>
      <c r="H4284" s="26">
        <v>14</v>
      </c>
      <c r="I4284" s="5" t="s">
        <v>38146</v>
      </c>
      <c r="J4284" s="5" t="s">
        <v>27764</v>
      </c>
      <c r="K4284" s="5" t="s">
        <v>344</v>
      </c>
      <c r="L4284" s="5" t="s">
        <v>38147</v>
      </c>
      <c r="M4284" s="27"/>
      <c r="N4284" s="5"/>
      <c r="O4284" s="5" t="str">
        <v>7705886895</v>
      </c>
      <c r="P4284" s="27">
        <v>4000000</v>
      </c>
      <c r="Q4284" s="5" t="s">
        <v>49009</v>
      </c>
      <c r="R4284" s="5"/>
      <c r="S4284" s="5" t="s">
        <v>49010</v>
      </c>
      <c r="T4284" s="28">
        <v>1365418000</v>
      </c>
      <c r="U4284" s="28"/>
      <c r="V4284" s="28">
        <v>1249842000</v>
      </c>
      <c r="W4284" s="28">
        <v>4073281000</v>
      </c>
      <c r="X4284" s="28">
        <v>862177000</v>
      </c>
      <c r="Y4284" s="28">
        <v>8338705000</v>
      </c>
      <c r="Z4284" s="28">
        <v>6438079000</v>
      </c>
      <c r="AA4284" s="28"/>
      <c r="AB4284" s="28"/>
      <c r="AC4284" s="28">
        <v>755148000</v>
      </c>
      <c r="AD4284" s="28">
        <v>6442079000</v>
      </c>
      <c r="AE4284" s="28">
        <v>5514501000</v>
      </c>
      <c r="AF4284" s="28">
        <v>979442000</v>
      </c>
      <c r="AG4284" s="11"/>
    </row>
    <row r="4285">
      <c r="A4285" s="7" t="s">
        <v>5933</v>
      </c>
      <c r="B4285" s="5" t="s">
        <v>13889</v>
      </c>
      <c r="C4285" s="5" t="s">
        <v>21650</v>
      </c>
      <c r="D4285" s="5" t="str">
        <v>770508823946</v>
      </c>
      <c r="E4285" s="0" t="e">
        <f>+7 (495) 7834423
+7 (495) 8703997
+7 (495) 8703998</f>
        <v>#NAME?</v>
      </c>
      <c r="F4285" s="5" t="s">
        <v>38148</v>
      </c>
      <c r="G4285" s="5" t="s">
        <v>38149</v>
      </c>
      <c r="H4285" s="26">
        <v>14</v>
      </c>
      <c r="I4285" s="5" t="s">
        <v>38150</v>
      </c>
      <c r="J4285" s="5" t="s">
        <v>27764</v>
      </c>
      <c r="K4285" s="5" t="s">
        <v>344</v>
      </c>
      <c r="L4285" s="5" t="s">
        <v>38151</v>
      </c>
      <c r="M4285" s="27"/>
      <c r="N4285" s="5"/>
      <c r="O4285" s="5" t="str">
        <v>7705886969</v>
      </c>
      <c r="P4285" s="27">
        <v>4000000</v>
      </c>
      <c r="Q4285" s="5" t="s">
        <v>49009</v>
      </c>
      <c r="R4285" s="5"/>
      <c r="S4285" s="5" t="s">
        <v>49066</v>
      </c>
      <c r="T4285" s="28">
        <v>1891007000</v>
      </c>
      <c r="U4285" s="28"/>
      <c r="V4285" s="28">
        <v>401053000</v>
      </c>
      <c r="W4285" s="28">
        <v>7187000</v>
      </c>
      <c r="X4285" s="28">
        <v>494817000</v>
      </c>
      <c r="Y4285" s="28">
        <v>3301373000</v>
      </c>
      <c r="Z4285" s="28">
        <v>838080000</v>
      </c>
      <c r="AA4285" s="28"/>
      <c r="AB4285" s="28"/>
      <c r="AC4285" s="28">
        <v>355867000</v>
      </c>
      <c r="AD4285" s="28">
        <v>1497080000</v>
      </c>
      <c r="AE4285" s="28">
        <v>3286946000</v>
      </c>
      <c r="AF4285" s="28">
        <v>796810000</v>
      </c>
      <c r="AG4285" s="11"/>
    </row>
    <row r="4286">
      <c r="A4286" s="7" t="s">
        <v>5934</v>
      </c>
      <c r="B4286" s="5" t="s">
        <v>13890</v>
      </c>
      <c r="C4286" s="5" t="s">
        <v>21651</v>
      </c>
      <c r="D4286" s="5" t="str">
        <v>270904083018</v>
      </c>
      <c r="E4286" s="0" t="e">
        <f>+7 (42137) 60411
+7 (42137) 60405
+7 (42137) 60407
+7 (42137) 60419
+7 (42137) 60445</f>
        <v>#NAME?</v>
      </c>
      <c r="F4286" s="5" t="s">
        <v>38152</v>
      </c>
      <c r="G4286" s="5" t="s">
        <v>38153</v>
      </c>
      <c r="H4286" s="26">
        <v>4</v>
      </c>
      <c r="I4286" s="5"/>
      <c r="J4286" s="5" t="s">
        <v>26951</v>
      </c>
      <c r="K4286" s="5" t="s">
        <v>380</v>
      </c>
      <c r="L4286" s="5" t="s">
        <v>38154</v>
      </c>
      <c r="M4286" s="27"/>
      <c r="N4286" s="5"/>
      <c r="O4286" s="5" t="str">
        <v>2709016533</v>
      </c>
      <c r="P4286" s="27">
        <v>10000</v>
      </c>
      <c r="Q4286" s="5" t="s">
        <v>49021</v>
      </c>
      <c r="R4286" s="5" t="s">
        <v>56001</v>
      </c>
      <c r="S4286" s="5" t="s">
        <v>56002</v>
      </c>
      <c r="T4286" s="28">
        <v>3562673000</v>
      </c>
      <c r="U4286" s="28"/>
      <c r="V4286" s="28">
        <v>960919000</v>
      </c>
      <c r="W4286" s="28">
        <v>1500000</v>
      </c>
      <c r="X4286" s="28">
        <v>43683000</v>
      </c>
      <c r="Y4286" s="28">
        <v>5744161000</v>
      </c>
      <c r="Z4286" s="28">
        <v>749874000</v>
      </c>
      <c r="AA4286" s="28">
        <v>3767215000</v>
      </c>
      <c r="AB4286" s="28">
        <v>98977000</v>
      </c>
      <c r="AC4286" s="28">
        <v>762085000</v>
      </c>
      <c r="AD4286" s="28">
        <v>749884000</v>
      </c>
      <c r="AE4286" s="28">
        <v>5371959000</v>
      </c>
      <c r="AF4286" s="28">
        <v>-155954000</v>
      </c>
      <c r="AG4286" s="11"/>
    </row>
    <row r="4287">
      <c r="A4287" s="7" t="s">
        <v>5935</v>
      </c>
      <c r="B4287" s="5" t="s">
        <v>13891</v>
      </c>
      <c r="C4287" s="5" t="s">
        <v>21652</v>
      </c>
      <c r="D4287" s="5" t="str">
        <v>343701862040</v>
      </c>
      <c r="E4287" s="0" t="e">
        <f>+7 (84446) 37418
+7 (844) 4637448
+7 (84446) 32611</f>
        <v>#NAME?</v>
      </c>
      <c r="F4287" s="5" t="s">
        <v>38155</v>
      </c>
      <c r="G4287" s="5" t="s">
        <v>38156</v>
      </c>
      <c r="H4287" s="26">
        <v>8.5</v>
      </c>
      <c r="I4287" s="5" t="s">
        <v>38157</v>
      </c>
      <c r="J4287" s="5" t="s">
        <v>26862</v>
      </c>
      <c r="K4287" s="5" t="s">
        <v>344</v>
      </c>
      <c r="L4287" s="5"/>
      <c r="M4287" s="27">
        <v>890631</v>
      </c>
      <c r="N4287" s="5"/>
      <c r="O4287" s="5" t="str">
        <v>3457001560</v>
      </c>
      <c r="P4287" s="27">
        <v>100000</v>
      </c>
      <c r="Q4287" s="5" t="s">
        <v>49059</v>
      </c>
      <c r="R4287" s="5"/>
      <c r="S4287" s="5" t="s">
        <v>49496</v>
      </c>
      <c r="T4287" s="28">
        <v>10400987000</v>
      </c>
      <c r="U4287" s="28">
        <v>55927000</v>
      </c>
      <c r="V4287" s="28">
        <v>389716000</v>
      </c>
      <c r="W4287" s="28">
        <v>140000000</v>
      </c>
      <c r="X4287" s="28">
        <v>32868000</v>
      </c>
      <c r="Y4287" s="28">
        <v>12212898000</v>
      </c>
      <c r="Z4287" s="28">
        <v>-281048000</v>
      </c>
      <c r="AA4287" s="28">
        <v>9811480000</v>
      </c>
      <c r="AB4287" s="28">
        <v>652928000</v>
      </c>
      <c r="AC4287" s="28">
        <v>999430000</v>
      </c>
      <c r="AD4287" s="28">
        <v>1147552000</v>
      </c>
      <c r="AE4287" s="28">
        <v>4835841000</v>
      </c>
      <c r="AF4287" s="28">
        <v>1128191000</v>
      </c>
      <c r="AG4287" s="11"/>
    </row>
    <row r="4288">
      <c r="A4288" s="7" t="s">
        <v>5936</v>
      </c>
      <c r="B4288" s="5" t="s">
        <v>13892</v>
      </c>
      <c r="C4288" s="5" t="s">
        <v>21653</v>
      </c>
      <c r="D4288" s="5" t="str">
        <v>890503402001</v>
      </c>
      <c r="E4288" s="0" t="e">
        <f>+7 (495) 2252480
+7 (495) 7084525
+7 (495) 7907578
+7 (919) 7619302
+7 (495) 7084225
+7 (908) 8599342</f>
        <v>#NAME?</v>
      </c>
      <c r="F4288" s="5" t="s">
        <v>38158</v>
      </c>
      <c r="G4288" s="5"/>
      <c r="H4288" s="26">
        <v>4.5</v>
      </c>
      <c r="I4288" s="5" t="s">
        <v>38159</v>
      </c>
      <c r="J4288" s="5" t="s">
        <v>27164</v>
      </c>
      <c r="K4288" s="5" t="s">
        <v>344</v>
      </c>
      <c r="L4288" s="5" t="s">
        <v>38160</v>
      </c>
      <c r="M4288" s="27"/>
      <c r="N4288" s="5" t="s">
        <v>56003</v>
      </c>
      <c r="O4288" s="5" t="str">
        <v>9705122220</v>
      </c>
      <c r="P4288" s="27">
        <v>11500000</v>
      </c>
      <c r="Q4288" s="5" t="s">
        <v>56004</v>
      </c>
      <c r="R4288" s="5"/>
      <c r="S4288" s="5" t="s">
        <v>56005</v>
      </c>
      <c r="T4288" s="28">
        <v>49850000</v>
      </c>
      <c r="U4288" s="28"/>
      <c r="V4288" s="28">
        <v>2796859000</v>
      </c>
      <c r="W4288" s="28"/>
      <c r="X4288" s="28">
        <v>557613000</v>
      </c>
      <c r="Y4288" s="28">
        <v>3583530000</v>
      </c>
      <c r="Z4288" s="28">
        <v>1273714000</v>
      </c>
      <c r="AA4288" s="28"/>
      <c r="AB4288" s="28">
        <v>1578475000</v>
      </c>
      <c r="AC4288" s="28">
        <v>2259580000</v>
      </c>
      <c r="AD4288" s="28">
        <v>1285214000</v>
      </c>
      <c r="AE4288" s="28">
        <v>4847800000</v>
      </c>
      <c r="AF4288" s="28">
        <v>357228000</v>
      </c>
      <c r="AG4288" s="11"/>
    </row>
    <row r="4289">
      <c r="A4289" s="7" t="s">
        <v>5937</v>
      </c>
      <c r="B4289" s="5" t="s">
        <v>13893</v>
      </c>
      <c r="C4289" s="5" t="s">
        <v>21654</v>
      </c>
      <c r="D4289" s="5" t="str">
        <v>772014502470</v>
      </c>
      <c r="E4289" s="0" t="e">
        <f>+7 (495) 3636874
+7 (495) 3636875
+7 (495) 9888661
+7 (49636) 36875</f>
        <v>#NAME?</v>
      </c>
      <c r="F4289" s="5" t="s">
        <v>38161</v>
      </c>
      <c r="G4289" s="5" t="s">
        <v>38162</v>
      </c>
      <c r="H4289" s="26">
        <v>13.5</v>
      </c>
      <c r="I4289" s="5" t="s">
        <v>38163</v>
      </c>
      <c r="J4289" s="5" t="s">
        <v>27921</v>
      </c>
      <c r="K4289" s="5" t="s">
        <v>355</v>
      </c>
      <c r="L4289" s="5" t="s">
        <v>38164</v>
      </c>
      <c r="M4289" s="27">
        <v>8613117</v>
      </c>
      <c r="N4289" s="5" t="s">
        <v>56006</v>
      </c>
      <c r="O4289" s="5" t="str">
        <v>7709832820</v>
      </c>
      <c r="P4289" s="27">
        <v>10000000</v>
      </c>
      <c r="Q4289" s="5" t="s">
        <v>56007</v>
      </c>
      <c r="R4289" s="5"/>
      <c r="S4289" s="5" t="s">
        <v>49358</v>
      </c>
      <c r="T4289" s="28">
        <v>2515885000</v>
      </c>
      <c r="U4289" s="28">
        <v>5598960000</v>
      </c>
      <c r="V4289" s="28">
        <v>4270496000</v>
      </c>
      <c r="W4289" s="28">
        <v>58497000</v>
      </c>
      <c r="X4289" s="28">
        <v>83352000</v>
      </c>
      <c r="Y4289" s="28">
        <v>13475790000</v>
      </c>
      <c r="Z4289" s="28">
        <v>9132608000</v>
      </c>
      <c r="AA4289" s="28"/>
      <c r="AB4289" s="28">
        <v>2707411000</v>
      </c>
      <c r="AC4289" s="28">
        <v>4018674000</v>
      </c>
      <c r="AD4289" s="28">
        <v>9142608000</v>
      </c>
      <c r="AE4289" s="28">
        <v>5435584000</v>
      </c>
      <c r="AF4289" s="28">
        <v>-131399000</v>
      </c>
      <c r="AG4289" s="11"/>
    </row>
    <row r="4290">
      <c r="A4290" s="7" t="s">
        <v>5938</v>
      </c>
      <c r="B4290" s="5" t="s">
        <v>13894</v>
      </c>
      <c r="C4290" s="5" t="s">
        <v>21655</v>
      </c>
      <c r="D4290" s="5" t="str">
        <v>860400375452</v>
      </c>
      <c r="E4290" s="0" t="e">
        <f>+7 (3432) 571197
+7 (3463) 283000
+7 (3466) 424124
+7 (3466) 723792
+7 (384) 2723772
+7 (384) 2723792
+7 (384) 2725234</f>
        <v>#NAME?</v>
      </c>
      <c r="F4290" s="5" t="s">
        <v>38165</v>
      </c>
      <c r="G4290" s="5"/>
      <c r="H4290" s="26">
        <v>11</v>
      </c>
      <c r="I4290" s="5" t="s">
        <v>38166</v>
      </c>
      <c r="J4290" s="5" t="s">
        <v>27921</v>
      </c>
      <c r="K4290" s="5" t="s">
        <v>344</v>
      </c>
      <c r="L4290" s="5" t="s">
        <v>38167</v>
      </c>
      <c r="M4290" s="27"/>
      <c r="N4290" s="5" t="s">
        <v>50480</v>
      </c>
      <c r="O4290" s="5" t="str">
        <v>4205237960</v>
      </c>
      <c r="P4290" s="27">
        <v>12500</v>
      </c>
      <c r="Q4290" s="5" t="s">
        <v>56008</v>
      </c>
      <c r="R4290" s="5"/>
      <c r="S4290" s="5" t="s">
        <v>56009</v>
      </c>
      <c r="T4290" s="28">
        <v>1915665000</v>
      </c>
      <c r="U4290" s="28"/>
      <c r="V4290" s="28">
        <v>1692386000</v>
      </c>
      <c r="W4290" s="28">
        <v>462959000</v>
      </c>
      <c r="X4290" s="28">
        <v>291408000</v>
      </c>
      <c r="Y4290" s="28">
        <v>5631192000</v>
      </c>
      <c r="Z4290" s="28">
        <v>1741179000</v>
      </c>
      <c r="AA4290" s="28">
        <v>372158000</v>
      </c>
      <c r="AB4290" s="28">
        <v>324205000</v>
      </c>
      <c r="AC4290" s="28">
        <v>2869590000</v>
      </c>
      <c r="AD4290" s="28">
        <v>1741192000</v>
      </c>
      <c r="AE4290" s="28">
        <v>6467573000</v>
      </c>
      <c r="AF4290" s="28">
        <v>1106924000</v>
      </c>
      <c r="AG4290" s="11"/>
    </row>
    <row r="4291">
      <c r="A4291" s="7" t="s">
        <v>5939</v>
      </c>
      <c r="B4291" s="5" t="s">
        <v>13895</v>
      </c>
      <c r="C4291" s="5" t="s">
        <v>21656</v>
      </c>
      <c r="D4291" s="5" t="str">
        <v>246111645310</v>
      </c>
      <c r="E4291" s="0" t="e">
        <f>+7 (391) 2224822</f>
        <v>#NAME?</v>
      </c>
      <c r="F4291" s="5"/>
      <c r="G4291" s="5"/>
      <c r="H4291" s="26">
        <v>16.5</v>
      </c>
      <c r="I4291" s="5" t="s">
        <v>38168</v>
      </c>
      <c r="J4291" s="5" t="s">
        <v>364</v>
      </c>
      <c r="K4291" s="5" t="s">
        <v>380</v>
      </c>
      <c r="L4291" s="5" t="s">
        <v>38169</v>
      </c>
      <c r="M4291" s="27"/>
      <c r="N4291" s="5" t="s">
        <v>56010</v>
      </c>
      <c r="O4291" s="5" t="str">
        <v>2464105670</v>
      </c>
      <c r="P4291" s="27">
        <v>14000</v>
      </c>
      <c r="Q4291" s="5"/>
      <c r="R4291" s="5"/>
      <c r="S4291" s="5" t="s">
        <v>49399</v>
      </c>
      <c r="T4291" s="28">
        <v>427004000</v>
      </c>
      <c r="U4291" s="28"/>
      <c r="V4291" s="28">
        <v>1207039000</v>
      </c>
      <c r="W4291" s="28">
        <v>13595000</v>
      </c>
      <c r="X4291" s="28">
        <v>7703000</v>
      </c>
      <c r="Y4291" s="28">
        <v>1737881000</v>
      </c>
      <c r="Z4291" s="28">
        <v>200376000</v>
      </c>
      <c r="AA4291" s="28"/>
      <c r="AB4291" s="28">
        <v>120238000</v>
      </c>
      <c r="AC4291" s="28">
        <v>1350211000</v>
      </c>
      <c r="AD4291" s="28">
        <v>200390000</v>
      </c>
      <c r="AE4291" s="28">
        <v>3239370000</v>
      </c>
      <c r="AF4291" s="28">
        <v>10229000</v>
      </c>
      <c r="AG4291" s="11"/>
    </row>
    <row r="4292">
      <c r="A4292" s="7" t="s">
        <v>5940</v>
      </c>
      <c r="B4292" s="5" t="s">
        <v>13896</v>
      </c>
      <c r="C4292" s="5" t="s">
        <v>21657</v>
      </c>
      <c r="D4292" s="5" t="str">
        <v>773717965499</v>
      </c>
      <c r="E4292" s="0" t="e">
        <f>+7 (903) 5257077
+7 (495) 9809922</f>
        <v>#NAME?</v>
      </c>
      <c r="F4292" s="5" t="s">
        <v>38170</v>
      </c>
      <c r="G4292" s="5"/>
      <c r="H4292" s="26">
        <v>8</v>
      </c>
      <c r="I4292" s="5" t="s">
        <v>38171</v>
      </c>
      <c r="J4292" s="5" t="s">
        <v>38172</v>
      </c>
      <c r="K4292" s="5" t="s">
        <v>344</v>
      </c>
      <c r="L4292" s="5" t="s">
        <v>38173</v>
      </c>
      <c r="M4292" s="27"/>
      <c r="N4292" s="5"/>
      <c r="O4292" s="5" t="str">
        <v>7723372684</v>
      </c>
      <c r="P4292" s="27">
        <v>10000</v>
      </c>
      <c r="Q4292" s="5" t="s">
        <v>447</v>
      </c>
      <c r="R4292" s="5"/>
      <c r="S4292" s="5" t="s">
        <v>56011</v>
      </c>
      <c r="T4292" s="28">
        <v>102741000</v>
      </c>
      <c r="U4292" s="28"/>
      <c r="V4292" s="28">
        <v>1833109000</v>
      </c>
      <c r="W4292" s="28"/>
      <c r="X4292" s="28">
        <v>511000</v>
      </c>
      <c r="Y4292" s="28">
        <v>3736802000</v>
      </c>
      <c r="Z4292" s="28">
        <v>1995694000</v>
      </c>
      <c r="AA4292" s="28"/>
      <c r="AB4292" s="28">
        <v>746229000</v>
      </c>
      <c r="AC4292" s="28">
        <v>1536675000</v>
      </c>
      <c r="AD4292" s="28">
        <v>1995704000</v>
      </c>
      <c r="AE4292" s="28">
        <v>4898110000</v>
      </c>
      <c r="AF4292" s="28">
        <v>506475000</v>
      </c>
      <c r="AG4292" s="11"/>
    </row>
    <row r="4293">
      <c r="A4293" s="7" t="s">
        <v>5941</v>
      </c>
      <c r="B4293" s="5" t="s">
        <v>13897</v>
      </c>
      <c r="C4293" s="5" t="s">
        <v>21658</v>
      </c>
      <c r="D4293" s="5" t="str">
        <v>232306081693</v>
      </c>
      <c r="E4293" s="0" t="e">
        <f>+7 (903) 4114164
+7 (928) 6627773</f>
        <v>#NAME?</v>
      </c>
      <c r="F4293" s="5" t="s">
        <v>38174</v>
      </c>
      <c r="G4293" s="5"/>
      <c r="H4293" s="26">
        <v>4.5</v>
      </c>
      <c r="I4293" s="5" t="s">
        <v>38175</v>
      </c>
      <c r="J4293" s="5" t="s">
        <v>26623</v>
      </c>
      <c r="K4293" s="5" t="s">
        <v>344</v>
      </c>
      <c r="L4293" s="5"/>
      <c r="M4293" s="27"/>
      <c r="N4293" s="5"/>
      <c r="O4293" s="5" t="str">
        <v>2308259377</v>
      </c>
      <c r="P4293" s="27">
        <v>5000000</v>
      </c>
      <c r="Q4293" s="5"/>
      <c r="R4293" s="5"/>
      <c r="S4293" s="5" t="s">
        <v>56012</v>
      </c>
      <c r="T4293" s="28">
        <v>14316000</v>
      </c>
      <c r="U4293" s="28"/>
      <c r="V4293" s="28">
        <v>461086000</v>
      </c>
      <c r="W4293" s="28"/>
      <c r="X4293" s="28">
        <v>32427000</v>
      </c>
      <c r="Y4293" s="28">
        <v>532899000</v>
      </c>
      <c r="Z4293" s="28">
        <v>-13208000</v>
      </c>
      <c r="AA4293" s="28"/>
      <c r="AB4293" s="28">
        <v>93472000</v>
      </c>
      <c r="AC4293" s="28">
        <v>538769000</v>
      </c>
      <c r="AD4293" s="28">
        <v>-8208000</v>
      </c>
      <c r="AE4293" s="28">
        <v>4686657000</v>
      </c>
      <c r="AF4293" s="28">
        <v>57061000</v>
      </c>
      <c r="AG4293" s="11"/>
    </row>
    <row r="4294">
      <c r="A4294" s="7" t="s">
        <v>5942</v>
      </c>
      <c r="B4294" s="5" t="s">
        <v>13898</v>
      </c>
      <c r="C4294" s="5" t="s">
        <v>21659</v>
      </c>
      <c r="D4294" s="5" t="str">
        <v>773006056601</v>
      </c>
      <c r="E4294" s="0" t="e">
        <f>+7 (495) 6629545
+7 (926) 9330157
+7 (495) 6338365
+7 (8632) 784100</f>
        <v>#NAME?</v>
      </c>
      <c r="F4294" s="5" t="s">
        <v>38176</v>
      </c>
      <c r="G4294" s="5" t="s">
        <v>38177</v>
      </c>
      <c r="H4294" s="26">
        <v>24</v>
      </c>
      <c r="I4294" s="5"/>
      <c r="J4294" s="5" t="s">
        <v>30025</v>
      </c>
      <c r="K4294" s="5" t="s">
        <v>344</v>
      </c>
      <c r="L4294" s="5"/>
      <c r="M4294" s="27"/>
      <c r="N4294" s="5" t="s">
        <v>56013</v>
      </c>
      <c r="O4294" s="5" t="str">
        <v>7707277923</v>
      </c>
      <c r="P4294" s="27">
        <v>1600000</v>
      </c>
      <c r="Q4294" s="5" t="s">
        <v>56014</v>
      </c>
      <c r="R4294" s="5"/>
      <c r="S4294" s="5" t="s">
        <v>56015</v>
      </c>
      <c r="T4294" s="28">
        <v>453823000</v>
      </c>
      <c r="U4294" s="28"/>
      <c r="V4294" s="28">
        <v>7857627000</v>
      </c>
      <c r="W4294" s="28">
        <v>7587307000</v>
      </c>
      <c r="X4294" s="28">
        <v>1138982000</v>
      </c>
      <c r="Y4294" s="28">
        <v>19953598000</v>
      </c>
      <c r="Z4294" s="28">
        <v>17689411000</v>
      </c>
      <c r="AA4294" s="28"/>
      <c r="AB4294" s="28"/>
      <c r="AC4294" s="28">
        <v>2193088000</v>
      </c>
      <c r="AD4294" s="28">
        <v>17691411000</v>
      </c>
      <c r="AE4294" s="28">
        <v>24439101000</v>
      </c>
      <c r="AF4294" s="28">
        <v>9074164000</v>
      </c>
      <c r="AG4294" s="11"/>
    </row>
    <row r="4295">
      <c r="A4295" s="7" t="s">
        <v>5943</v>
      </c>
      <c r="B4295" s="5" t="s">
        <v>13899</v>
      </c>
      <c r="C4295" s="5" t="s">
        <v>21660</v>
      </c>
      <c r="D4295" s="5" t="str">
        <v>861200210825</v>
      </c>
      <c r="E4295" s="0" t="e">
        <f>+7 (800) 2002525
+7 (83143) 33846
+7 (861) 2062060
+7 (861) 2325670
+7 (861) 2341428
+7 (861) 2375989
+7 (861) 2379153
+7 (861) 2411011
+7 (861) 2447338
+7 (861) 2447742
+7 (861) 2453227
+7 (816) 2168300
+7 (861) 2168285
+7 (861) 2168300
+7 (861) 2250925</f>
        <v>#NAME?</v>
      </c>
      <c r="F4295" s="5" t="s">
        <v>38178</v>
      </c>
      <c r="G4295" s="5" t="s">
        <v>38179</v>
      </c>
      <c r="H4295" s="26">
        <v>20</v>
      </c>
      <c r="I4295" s="5" t="s">
        <v>38180</v>
      </c>
      <c r="J4295" s="5" t="s">
        <v>26623</v>
      </c>
      <c r="K4295" s="5" t="s">
        <v>344</v>
      </c>
      <c r="L4295" s="5" t="s">
        <v>38181</v>
      </c>
      <c r="M4295" s="27">
        <v>64211202</v>
      </c>
      <c r="N4295" s="5" t="s">
        <v>56016</v>
      </c>
      <c r="O4295" s="5" t="str">
        <v>2308091759</v>
      </c>
      <c r="P4295" s="27">
        <v>4070260</v>
      </c>
      <c r="Q4295" s="5" t="s">
        <v>56017</v>
      </c>
      <c r="R4295" s="5"/>
      <c r="S4295" s="5" t="s">
        <v>51445</v>
      </c>
      <c r="T4295" s="28">
        <v>1508509000</v>
      </c>
      <c r="U4295" s="28">
        <v>178606000</v>
      </c>
      <c r="V4295" s="28">
        <v>5762076000</v>
      </c>
      <c r="W4295" s="28">
        <v>11380000</v>
      </c>
      <c r="X4295" s="28">
        <v>210981000</v>
      </c>
      <c r="Y4295" s="28">
        <v>9046082000</v>
      </c>
      <c r="Z4295" s="28">
        <v>4362338000</v>
      </c>
      <c r="AA4295" s="28"/>
      <c r="AB4295" s="28"/>
      <c r="AC4295" s="28">
        <v>4185023000</v>
      </c>
      <c r="AD4295" s="28">
        <v>4370657000</v>
      </c>
      <c r="AE4295" s="28">
        <v>40522726000</v>
      </c>
      <c r="AF4295" s="28">
        <v>692232000</v>
      </c>
      <c r="AG4295" s="11"/>
    </row>
    <row r="4296">
      <c r="A4296" s="7" t="s">
        <v>5944</v>
      </c>
      <c r="B4296" s="5" t="s">
        <v>13900</v>
      </c>
      <c r="C4296" s="5" t="s">
        <v>21661</v>
      </c>
      <c r="D4296" s="5" t="str">
        <v>773800490924</v>
      </c>
      <c r="E4296" s="0" t="e">
        <f>+7 (86141) 36167
+7 (86143) 33846</f>
        <v>#NAME?</v>
      </c>
      <c r="F4296" s="5" t="s">
        <v>38182</v>
      </c>
      <c r="G4296" s="5" t="s">
        <v>38183</v>
      </c>
      <c r="H4296" s="26">
        <v>15</v>
      </c>
      <c r="I4296" s="5"/>
      <c r="J4296" s="5" t="s">
        <v>27802</v>
      </c>
      <c r="K4296" s="5" t="s">
        <v>355</v>
      </c>
      <c r="L4296" s="5" t="s">
        <v>26425</v>
      </c>
      <c r="M4296" s="27">
        <v>111247054</v>
      </c>
      <c r="N4296" s="5" t="s">
        <v>56018</v>
      </c>
      <c r="O4296" s="5" t="str">
        <v>2308139496</v>
      </c>
      <c r="P4296" s="27">
        <v>162870860</v>
      </c>
      <c r="Q4296" s="5" t="s">
        <v>56020</v>
      </c>
      <c r="R4296" s="5"/>
      <c r="S4296" s="5" t="s">
        <v>51199</v>
      </c>
      <c r="T4296" s="28">
        <v>19265009000</v>
      </c>
      <c r="U4296" s="28">
        <v>9989000</v>
      </c>
      <c r="V4296" s="28">
        <v>1301258000</v>
      </c>
      <c r="W4296" s="28">
        <v>583000</v>
      </c>
      <c r="X4296" s="28">
        <v>9835000</v>
      </c>
      <c r="Y4296" s="28">
        <v>23301075000</v>
      </c>
      <c r="Z4296" s="28">
        <v>9494737000</v>
      </c>
      <c r="AA4296" s="28">
        <v>3592171000</v>
      </c>
      <c r="AB4296" s="28">
        <v>300000000</v>
      </c>
      <c r="AC4296" s="28">
        <v>6197433000</v>
      </c>
      <c r="AD4296" s="28">
        <v>9666136000</v>
      </c>
      <c r="AE4296" s="28">
        <v>11368225000</v>
      </c>
      <c r="AF4296" s="28">
        <v>992531000</v>
      </c>
      <c r="AG4296" s="11"/>
    </row>
    <row r="4297">
      <c r="A4297" s="7" t="s">
        <v>5945</v>
      </c>
      <c r="B4297" s="5" t="s">
        <v>13901</v>
      </c>
      <c r="C4297" s="5" t="s">
        <v>21662</v>
      </c>
      <c r="D4297" s="5"/>
      <c r="E4297" s="0" t="e">
        <f>+7 (3466) 470864
+7 (34668) 61880
+7 (3466) 408508
+7 (3466) 450995
+7 (3466) 453801
+7 (3466) 453849
+7 (3466) 453867
+7 (3466) 455134
+7 (3466) 470884
+7 (3466) 491400
+7 (34668) 48096</f>
        <v>#NAME?</v>
      </c>
      <c r="F4297" s="5" t="s">
        <v>38184</v>
      </c>
      <c r="G4297" s="5" t="s">
        <v>38185</v>
      </c>
      <c r="H4297" s="26">
        <v>19.5</v>
      </c>
      <c r="I4297" s="5" t="s">
        <v>38186</v>
      </c>
      <c r="J4297" s="5" t="s">
        <v>26623</v>
      </c>
      <c r="K4297" s="5" t="s">
        <v>344</v>
      </c>
      <c r="L4297" s="5" t="s">
        <v>38187</v>
      </c>
      <c r="M4297" s="27"/>
      <c r="N4297" s="5" t="s">
        <v>56021</v>
      </c>
      <c r="O4297" s="5" t="str">
        <v>8603109926</v>
      </c>
      <c r="P4297" s="27">
        <v>10000</v>
      </c>
      <c r="Q4297" s="5" t="s">
        <v>56022</v>
      </c>
      <c r="R4297" s="5"/>
      <c r="S4297" s="5" t="s">
        <v>50205</v>
      </c>
      <c r="T4297" s="28">
        <v>99933000</v>
      </c>
      <c r="U4297" s="28">
        <v>392520000</v>
      </c>
      <c r="V4297" s="28">
        <v>416017000</v>
      </c>
      <c r="W4297" s="28">
        <v>27500000</v>
      </c>
      <c r="X4297" s="28">
        <v>20984000</v>
      </c>
      <c r="Y4297" s="28">
        <v>1009779000</v>
      </c>
      <c r="Z4297" s="28">
        <v>231548000</v>
      </c>
      <c r="AA4297" s="28">
        <v>200000000</v>
      </c>
      <c r="AB4297" s="28">
        <v>95000000</v>
      </c>
      <c r="AC4297" s="28">
        <v>548326000</v>
      </c>
      <c r="AD4297" s="28">
        <v>235459000</v>
      </c>
      <c r="AE4297" s="28">
        <v>3102037000</v>
      </c>
      <c r="AF4297" s="28">
        <v>216230000</v>
      </c>
      <c r="AG4297" s="11"/>
    </row>
    <row r="4298">
      <c r="A4298" s="7" t="s">
        <v>5946</v>
      </c>
      <c r="B4298" s="5" t="s">
        <v>13902</v>
      </c>
      <c r="C4298" s="5" t="s">
        <v>21663</v>
      </c>
      <c r="D4298" s="5"/>
      <c r="E4298" s="0" t="e">
        <f>+7 (349) 9746200
+7 (34997) 24390
+7 (34997) 46205
+7 (34997) 46222
+7 (34997) 61061
+7 (34997) 63228
+7 (34997) 64711
+7 (34997) 64717
+7 (34997) 64718
+7 (34997) 64884
+7 (34997) 64885
+7 (34997) 65050
+7 (34997) 65402</f>
        <v>#NAME?</v>
      </c>
      <c r="F4298" s="5" t="s">
        <v>38188</v>
      </c>
      <c r="G4298" s="5"/>
      <c r="H4298" s="26">
        <v>20</v>
      </c>
      <c r="I4298" s="5" t="s">
        <v>38189</v>
      </c>
      <c r="J4298" s="5" t="s">
        <v>28226</v>
      </c>
      <c r="K4298" s="5" t="s">
        <v>380</v>
      </c>
      <c r="L4298" s="5" t="s">
        <v>38190</v>
      </c>
      <c r="M4298" s="27">
        <v>610235934</v>
      </c>
      <c r="N4298" s="5" t="s">
        <v>56023</v>
      </c>
      <c r="O4298" s="5" t="str">
        <v>8911019233</v>
      </c>
      <c r="P4298" s="27">
        <v>300000000</v>
      </c>
      <c r="Q4298" s="5" t="s">
        <v>49009</v>
      </c>
      <c r="R4298" s="5" t="s">
        <v>51952</v>
      </c>
      <c r="S4298" s="5" t="s">
        <v>49120</v>
      </c>
      <c r="T4298" s="28">
        <v>4463371000</v>
      </c>
      <c r="U4298" s="28">
        <v>1010000</v>
      </c>
      <c r="V4298" s="28">
        <v>2312652000</v>
      </c>
      <c r="W4298" s="28"/>
      <c r="X4298" s="28">
        <v>449000</v>
      </c>
      <c r="Y4298" s="28">
        <v>9754491000</v>
      </c>
      <c r="Z4298" s="28">
        <v>-1904080000</v>
      </c>
      <c r="AA4298" s="28">
        <v>4518000</v>
      </c>
      <c r="AB4298" s="28">
        <v>2019508000</v>
      </c>
      <c r="AC4298" s="28">
        <v>7194622000</v>
      </c>
      <c r="AD4298" s="28">
        <v>566900000</v>
      </c>
      <c r="AE4298" s="28">
        <v>5850546000</v>
      </c>
      <c r="AF4298" s="28">
        <v>-826378000</v>
      </c>
      <c r="AG4298" s="11"/>
    </row>
    <row r="4299">
      <c r="A4299" s="7" t="s">
        <v>5947</v>
      </c>
      <c r="B4299" s="5" t="s">
        <v>13903</v>
      </c>
      <c r="C4299" s="5" t="s">
        <v>21664</v>
      </c>
      <c r="D4299" s="5" t="str">
        <v>165503262500</v>
      </c>
      <c r="E4299" s="0" t="e">
        <f>+7 (800) 2008055
+7 (843) 2773490
+7 (843) 2789400
+7 (8432) 215959
+7 (843) 5704235
+7 (8435) 704191
+7 (8435) 704196
+7 (8435) 704203
+7 (8435) 704227
+7 (8435) 704251
+7 (8435) 704268
+7 (8435) 704274
+7 (8435) 704277</f>
        <v>#NAME?</v>
      </c>
      <c r="F4299" s="5" t="s">
        <v>38191</v>
      </c>
      <c r="G4299" s="5" t="s">
        <v>38192</v>
      </c>
      <c r="H4299" s="26">
        <v>30</v>
      </c>
      <c r="I4299" s="5"/>
      <c r="J4299" s="5" t="s">
        <v>38193</v>
      </c>
      <c r="K4299" s="5" t="s">
        <v>344</v>
      </c>
      <c r="L4299" s="5" t="s">
        <v>38194</v>
      </c>
      <c r="M4299" s="27">
        <v>40981211</v>
      </c>
      <c r="N4299" s="5" t="s">
        <v>56024</v>
      </c>
      <c r="O4299" s="5" t="str">
        <v>1653005126</v>
      </c>
      <c r="P4299" s="27">
        <v>63060050</v>
      </c>
      <c r="Q4299" s="5" t="s">
        <v>49009</v>
      </c>
      <c r="R4299" s="5" t="s">
        <v>56025</v>
      </c>
      <c r="S4299" s="5" t="s">
        <v>49576</v>
      </c>
      <c r="T4299" s="28">
        <v>3896961000</v>
      </c>
      <c r="U4299" s="28">
        <v>15722417000</v>
      </c>
      <c r="V4299" s="28">
        <v>8545028000</v>
      </c>
      <c r="W4299" s="28">
        <v>4348611000</v>
      </c>
      <c r="X4299" s="28">
        <v>477225000</v>
      </c>
      <c r="Y4299" s="28">
        <v>37863830000</v>
      </c>
      <c r="Z4299" s="28">
        <v>11639577000</v>
      </c>
      <c r="AA4299" s="28">
        <v>19768097000</v>
      </c>
      <c r="AB4299" s="28">
        <v>1040000000</v>
      </c>
      <c r="AC4299" s="28">
        <v>6108313000</v>
      </c>
      <c r="AD4299" s="28">
        <v>11713731000</v>
      </c>
      <c r="AE4299" s="28">
        <v>28482662000</v>
      </c>
      <c r="AF4299" s="28">
        <v>3667884000</v>
      </c>
      <c r="AG4299" s="11"/>
    </row>
    <row r="4300">
      <c r="A4300" s="7" t="s">
        <v>5948</v>
      </c>
      <c r="B4300" s="5" t="s">
        <v>13904</v>
      </c>
      <c r="C4300" s="5" t="s">
        <v>19501</v>
      </c>
      <c r="D4300" s="5"/>
      <c r="E4300" s="0" t="e">
        <f>+7 (812) 3133667
+7 (812) 4483509
+7 (812) 4495470
+7 (812) 4495782
+7 (812) 4495786
+7 (812) 7037103
+7 (8482) 540001</f>
        <v>#NAME?</v>
      </c>
      <c r="F4300" s="5" t="s">
        <v>38195</v>
      </c>
      <c r="G4300" s="5" t="s">
        <v>38196</v>
      </c>
      <c r="H4300" s="26">
        <v>21.5</v>
      </c>
      <c r="I4300" s="5" t="s">
        <v>38197</v>
      </c>
      <c r="J4300" s="5" t="s">
        <v>25219</v>
      </c>
      <c r="K4300" s="5" t="s">
        <v>380</v>
      </c>
      <c r="L4300" s="5"/>
      <c r="M4300" s="27">
        <v>18178250</v>
      </c>
      <c r="N4300" s="5" t="s">
        <v>56026</v>
      </c>
      <c r="O4300" s="5" t="str">
        <v>7826087713</v>
      </c>
      <c r="P4300" s="27">
        <v>13740000</v>
      </c>
      <c r="Q4300" s="5" t="s">
        <v>56027</v>
      </c>
      <c r="R4300" s="5"/>
      <c r="S4300" s="5" t="s">
        <v>56028</v>
      </c>
      <c r="T4300" s="28">
        <v>38459926000</v>
      </c>
      <c r="U4300" s="28">
        <v>42840434000</v>
      </c>
      <c r="V4300" s="28">
        <v>3602617000</v>
      </c>
      <c r="W4300" s="28">
        <v>5084153000</v>
      </c>
      <c r="X4300" s="28">
        <v>2721514000</v>
      </c>
      <c r="Y4300" s="28">
        <v>120168098000</v>
      </c>
      <c r="Z4300" s="28">
        <v>13393119000</v>
      </c>
      <c r="AA4300" s="28">
        <v>33160005000</v>
      </c>
      <c r="AB4300" s="28">
        <v>7874973000</v>
      </c>
      <c r="AC4300" s="28">
        <v>42098937000</v>
      </c>
      <c r="AD4300" s="28">
        <v>13406859000</v>
      </c>
      <c r="AE4300" s="28">
        <v>152014070000</v>
      </c>
      <c r="AF4300" s="28">
        <v>359867000</v>
      </c>
      <c r="AG4300" s="11"/>
    </row>
    <row r="4301">
      <c r="A4301" s="7" t="s">
        <v>5949</v>
      </c>
      <c r="B4301" s="5" t="s">
        <v>13905</v>
      </c>
      <c r="C4301" s="5" t="s">
        <v>21665</v>
      </c>
      <c r="D4301" s="5" t="str">
        <v>781607111144</v>
      </c>
      <c r="E4301" s="0" t="e">
        <f>+7 (812) 4956259
+7 (931) 3353894</f>
        <v>#NAME?</v>
      </c>
      <c r="F4301" s="5" t="s">
        <v>38198</v>
      </c>
      <c r="G4301" s="5" t="s">
        <v>38199</v>
      </c>
      <c r="H4301" s="26">
        <v>10.5</v>
      </c>
      <c r="I4301" s="5" t="s">
        <v>38200</v>
      </c>
      <c r="J4301" s="5" t="s">
        <v>32481</v>
      </c>
      <c r="K4301" s="5" t="s">
        <v>344</v>
      </c>
      <c r="L4301" s="5"/>
      <c r="M4301" s="27"/>
      <c r="N4301" s="5" t="s">
        <v>56029</v>
      </c>
      <c r="O4301" s="5" t="str">
        <v>7838478091</v>
      </c>
      <c r="P4301" s="27">
        <v>54530000</v>
      </c>
      <c r="Q4301" s="5" t="s">
        <v>56030</v>
      </c>
      <c r="R4301" s="5" t="s">
        <v>56031</v>
      </c>
      <c r="S4301" s="5" t="s">
        <v>49361</v>
      </c>
      <c r="T4301" s="28"/>
      <c r="U4301" s="28"/>
      <c r="V4301" s="28">
        <v>1126360000</v>
      </c>
      <c r="W4301" s="28">
        <v>1338000</v>
      </c>
      <c r="X4301" s="28">
        <v>17169000</v>
      </c>
      <c r="Y4301" s="28">
        <v>1212177000</v>
      </c>
      <c r="Z4301" s="28">
        <v>222943000</v>
      </c>
      <c r="AA4301" s="28"/>
      <c r="AB4301" s="28"/>
      <c r="AC4301" s="28">
        <v>934648000</v>
      </c>
      <c r="AD4301" s="28">
        <v>277473000</v>
      </c>
      <c r="AE4301" s="28">
        <v>3132888000</v>
      </c>
      <c r="AF4301" s="28">
        <v>25570000</v>
      </c>
      <c r="AG4301" s="11"/>
    </row>
    <row r="4302">
      <c r="A4302" s="7" t="s">
        <v>5950</v>
      </c>
      <c r="B4302" s="5" t="s">
        <v>13906</v>
      </c>
      <c r="C4302" s="5" t="s">
        <v>21666</v>
      </c>
      <c r="D4302" s="5" t="str">
        <v>027508417456</v>
      </c>
      <c r="E4302" s="0" t="e">
        <f>+7 (812) 3242875
+7 (343) 2862291
+7 (383) 3510185
+7 (383) 3632795
+7 (473) 2281188
+7 (495) 7813718
+7 (495) 9952575
+7 (495) 9952576
+7 (499) 9952575
+7 (800) 5553999
+7 (812) 3242870
+7 (812) 3243860
+7 (812) 3800303</f>
        <v>#NAME?</v>
      </c>
      <c r="F4302" s="5" t="s">
        <v>38201</v>
      </c>
      <c r="G4302" s="5" t="s">
        <v>38202</v>
      </c>
      <c r="H4302" s="26">
        <v>19.5</v>
      </c>
      <c r="I4302" s="5" t="s">
        <v>38203</v>
      </c>
      <c r="J4302" s="5" t="s">
        <v>1026</v>
      </c>
      <c r="K4302" s="5" t="s">
        <v>344</v>
      </c>
      <c r="L4302" s="5" t="s">
        <v>38204</v>
      </c>
      <c r="M4302" s="27">
        <v>24674527</v>
      </c>
      <c r="N4302" s="5" t="s">
        <v>56032</v>
      </c>
      <c r="O4302" s="5" t="str">
        <v>7701341820</v>
      </c>
      <c r="P4302" s="27">
        <v>1595910013</v>
      </c>
      <c r="Q4302" s="5" t="s">
        <v>56033</v>
      </c>
      <c r="R4302" s="5"/>
      <c r="S4302" s="5" t="s">
        <v>56034</v>
      </c>
      <c r="T4302" s="28">
        <v>211200000</v>
      </c>
      <c r="U4302" s="28">
        <v>30328000</v>
      </c>
      <c r="V4302" s="28">
        <v>30739128000</v>
      </c>
      <c r="W4302" s="28">
        <v>780000000</v>
      </c>
      <c r="X4302" s="28">
        <v>8139883000</v>
      </c>
      <c r="Y4302" s="28">
        <v>54101387000</v>
      </c>
      <c r="Z4302" s="28">
        <v>13175259000</v>
      </c>
      <c r="AA4302" s="28">
        <v>1128228000</v>
      </c>
      <c r="AB4302" s="28">
        <v>3254112000</v>
      </c>
      <c r="AC4302" s="28">
        <v>37968752000</v>
      </c>
      <c r="AD4302" s="28">
        <v>15384657000</v>
      </c>
      <c r="AE4302" s="28">
        <v>142015059000</v>
      </c>
      <c r="AF4302" s="28">
        <v>2053797000</v>
      </c>
      <c r="AG4302" s="11"/>
    </row>
    <row r="4303">
      <c r="A4303" s="7" t="s">
        <v>5951</v>
      </c>
      <c r="B4303" s="5" t="s">
        <v>13907</v>
      </c>
      <c r="C4303" s="5" t="s">
        <v>21667</v>
      </c>
      <c r="D4303" s="5" t="str">
        <v>742402764607</v>
      </c>
      <c r="E4303" s="0" t="e">
        <f>+7 (831) 2585112
+7 (3512) 102202
+7 (929) 2075538</f>
        <v>#NAME?</v>
      </c>
      <c r="F4303" s="5" t="s">
        <v>38205</v>
      </c>
      <c r="G4303" s="5"/>
      <c r="H4303" s="26">
        <v>8</v>
      </c>
      <c r="I4303" s="5" t="s">
        <v>38206</v>
      </c>
      <c r="J4303" s="5" t="s">
        <v>25332</v>
      </c>
      <c r="K4303" s="5" t="s">
        <v>355</v>
      </c>
      <c r="L4303" s="5" t="s">
        <v>38207</v>
      </c>
      <c r="M4303" s="27">
        <v>394997</v>
      </c>
      <c r="N4303" s="5"/>
      <c r="O4303" s="5" t="str">
        <v>0274192135</v>
      </c>
      <c r="P4303" s="27">
        <v>30000000</v>
      </c>
      <c r="Q4303" s="5" t="s">
        <v>49009</v>
      </c>
      <c r="R4303" s="5" t="s">
        <v>56035</v>
      </c>
      <c r="S4303" s="5" t="s">
        <v>49066</v>
      </c>
      <c r="T4303" s="28">
        <v>7106857000</v>
      </c>
      <c r="U4303" s="28"/>
      <c r="V4303" s="28">
        <v>18995891000</v>
      </c>
      <c r="W4303" s="28"/>
      <c r="X4303" s="28">
        <v>75029000</v>
      </c>
      <c r="Y4303" s="28">
        <v>56873367000</v>
      </c>
      <c r="Z4303" s="28">
        <v>343691000</v>
      </c>
      <c r="AA4303" s="28"/>
      <c r="AB4303" s="28">
        <v>14971973000</v>
      </c>
      <c r="AC4303" s="28">
        <v>48319405000</v>
      </c>
      <c r="AD4303" s="28">
        <v>373691000</v>
      </c>
      <c r="AE4303" s="28">
        <v>258588653000</v>
      </c>
      <c r="AF4303" s="28">
        <v>1754659000</v>
      </c>
      <c r="AG4303" s="11"/>
    </row>
    <row r="4304">
      <c r="A4304" s="7" t="s">
        <v>5952</v>
      </c>
      <c r="B4304" s="5" t="s">
        <v>13908</v>
      </c>
      <c r="C4304" s="5" t="s">
        <v>21668</v>
      </c>
      <c r="D4304" s="5" t="str">
        <v>744502639184</v>
      </c>
      <c r="E4304" s="0" t="e">
        <f>+7 (3512) 4719
+7 (3512) 105716
+7 (3512) 154845
+7 (3512) 154875
+7 (3512) 158485
+7 (3512) 252531
+7 (3512) 355469
+7 (3512) 405605
+7 (3512) 515487
+7 (351) 2694035
+7 (351) 2804401
+7 (3512) 102226
+7 (3512) 102227
+7 (3512) 328185
+7 (3512) 445059</f>
        <v>#NAME?</v>
      </c>
      <c r="F4304" s="5" t="s">
        <v>38208</v>
      </c>
      <c r="G4304" s="5" t="s">
        <v>38209</v>
      </c>
      <c r="H4304" s="26">
        <v>10.5</v>
      </c>
      <c r="I4304" s="5" t="s">
        <v>38210</v>
      </c>
      <c r="J4304" s="5" t="s">
        <v>25429</v>
      </c>
      <c r="K4304" s="5" t="s">
        <v>344</v>
      </c>
      <c r="L4304" s="5"/>
      <c r="M4304" s="27">
        <v>33227</v>
      </c>
      <c r="N4304" s="5" t="s">
        <v>56036</v>
      </c>
      <c r="O4304" s="5" t="str">
        <v>7451344670</v>
      </c>
      <c r="P4304" s="27">
        <v>602894000</v>
      </c>
      <c r="Q4304" s="5" t="s">
        <v>56038</v>
      </c>
      <c r="R4304" s="5"/>
      <c r="S4304" s="5" t="s">
        <v>56039</v>
      </c>
      <c r="T4304" s="28">
        <v>983523000</v>
      </c>
      <c r="U4304" s="28"/>
      <c r="V4304" s="28">
        <v>114960000</v>
      </c>
      <c r="W4304" s="28"/>
      <c r="X4304" s="28">
        <v>617989000</v>
      </c>
      <c r="Y4304" s="28">
        <v>2572696000</v>
      </c>
      <c r="Z4304" s="28">
        <v>347573000</v>
      </c>
      <c r="AA4304" s="28"/>
      <c r="AB4304" s="28"/>
      <c r="AC4304" s="28">
        <v>1328906000</v>
      </c>
      <c r="AD4304" s="28">
        <v>970360000</v>
      </c>
      <c r="AE4304" s="28">
        <v>7751057000</v>
      </c>
      <c r="AF4304" s="28">
        <v>28184000</v>
      </c>
      <c r="AG4304" s="11"/>
    </row>
    <row r="4305">
      <c r="A4305" s="7" t="s">
        <v>5953</v>
      </c>
      <c r="B4305" s="5" t="s">
        <v>13909</v>
      </c>
      <c r="C4305" s="5" t="s">
        <v>21669</v>
      </c>
      <c r="D4305" s="5" t="str">
        <v>230802858221</v>
      </c>
      <c r="E4305" s="0" t="e">
        <f>+7 (861) 2315157
+7 (861) 2315582
+7 (861) 2637014
+7 (988) 2456463</f>
        <v>#NAME?</v>
      </c>
      <c r="F4305" s="5" t="s">
        <v>38211</v>
      </c>
      <c r="G4305" s="5" t="s">
        <v>30702</v>
      </c>
      <c r="H4305" s="26">
        <v>26</v>
      </c>
      <c r="I4305" s="5"/>
      <c r="J4305" s="5" t="s">
        <v>991</v>
      </c>
      <c r="K4305" s="5" t="s">
        <v>344</v>
      </c>
      <c r="L4305" s="5"/>
      <c r="M4305" s="27"/>
      <c r="N4305" s="5" t="s">
        <v>56040</v>
      </c>
      <c r="O4305" s="5" t="str">
        <v>2312016730</v>
      </c>
      <c r="P4305" s="27">
        <v>3313000</v>
      </c>
      <c r="Q4305" s="5" t="s">
        <v>56041</v>
      </c>
      <c r="R4305" s="5"/>
      <c r="S4305" s="5" t="s">
        <v>50753</v>
      </c>
      <c r="T4305" s="28">
        <v>597958000</v>
      </c>
      <c r="U4305" s="28">
        <v>438224000</v>
      </c>
      <c r="V4305" s="28">
        <v>1265287000</v>
      </c>
      <c r="W4305" s="28">
        <v>7800000</v>
      </c>
      <c r="X4305" s="28">
        <v>588439000</v>
      </c>
      <c r="Y4305" s="28">
        <v>3503808000</v>
      </c>
      <c r="Z4305" s="28">
        <v>813439000</v>
      </c>
      <c r="AA4305" s="28">
        <v>515678000</v>
      </c>
      <c r="AB4305" s="28">
        <v>406682000</v>
      </c>
      <c r="AC4305" s="28">
        <v>1893545000</v>
      </c>
      <c r="AD4305" s="28">
        <v>982485000</v>
      </c>
      <c r="AE4305" s="28">
        <v>4359907000</v>
      </c>
      <c r="AF4305" s="28">
        <v>67704000</v>
      </c>
      <c r="AG4305" s="11"/>
    </row>
    <row r="4306">
      <c r="A4306" s="7" t="s">
        <v>5954</v>
      </c>
      <c r="B4306" s="5" t="s">
        <v>13910</v>
      </c>
      <c r="C4306" s="5" t="s">
        <v>21670</v>
      </c>
      <c r="D4306" s="5" t="str">
        <v>773374833381</v>
      </c>
      <c r="E4306" s="0" t="e">
        <f>+7 (495) 9334680
+7 (495) 9334681</f>
        <v>#NAME?</v>
      </c>
      <c r="F4306" s="5" t="s">
        <v>38212</v>
      </c>
      <c r="G4306" s="5"/>
      <c r="H4306" s="26">
        <v>10.5</v>
      </c>
      <c r="I4306" s="5" t="s">
        <v>38213</v>
      </c>
      <c r="J4306" s="5" t="s">
        <v>1073</v>
      </c>
      <c r="K4306" s="5" t="s">
        <v>355</v>
      </c>
      <c r="L4306" s="5"/>
      <c r="M4306" s="27"/>
      <c r="N4306" s="5"/>
      <c r="O4306" s="5" t="str">
        <v>7714873934</v>
      </c>
      <c r="P4306" s="27">
        <v>100000</v>
      </c>
      <c r="Q4306" s="5" t="s">
        <v>49009</v>
      </c>
      <c r="R4306" s="5"/>
      <c r="S4306" s="5" t="s">
        <v>49010</v>
      </c>
      <c r="T4306" s="28">
        <v>11669000</v>
      </c>
      <c r="U4306" s="28"/>
      <c r="V4306" s="28">
        <v>2038425000</v>
      </c>
      <c r="W4306" s="28"/>
      <c r="X4306" s="28">
        <v>1886000</v>
      </c>
      <c r="Y4306" s="28">
        <v>3383330000</v>
      </c>
      <c r="Z4306" s="28">
        <v>1401031000</v>
      </c>
      <c r="AA4306" s="28">
        <v>205239000</v>
      </c>
      <c r="AB4306" s="28"/>
      <c r="AC4306" s="28">
        <v>1735919000</v>
      </c>
      <c r="AD4306" s="28">
        <v>1401131000</v>
      </c>
      <c r="AE4306" s="28">
        <v>3830487000</v>
      </c>
      <c r="AF4306" s="28">
        <v>1173979000</v>
      </c>
      <c r="AG4306" s="11"/>
    </row>
    <row r="4307">
      <c r="A4307" s="7" t="s">
        <v>5955</v>
      </c>
      <c r="B4307" s="5" t="s">
        <v>13911</v>
      </c>
      <c r="C4307" s="5" t="s">
        <v>21671</v>
      </c>
      <c r="D4307" s="5" t="str">
        <v>053900491101</v>
      </c>
      <c r="E4307" s="0" t="e">
        <f>+7 (495) 7777575
+7 (495) 9334680
+7 (495) 9334681
+7 (800) 5008080
+7 (926) 6489876
+7 (963) 6489178</f>
        <v>#NAME?</v>
      </c>
      <c r="F4307" s="5" t="s">
        <v>38212</v>
      </c>
      <c r="G4307" s="5" t="s">
        <v>38214</v>
      </c>
      <c r="H4307" s="26">
        <v>20.5</v>
      </c>
      <c r="I4307" s="5" t="s">
        <v>38215</v>
      </c>
      <c r="J4307" s="5" t="s">
        <v>27416</v>
      </c>
      <c r="K4307" s="5" t="s">
        <v>355</v>
      </c>
      <c r="L4307" s="5"/>
      <c r="M4307" s="27">
        <v>418120186</v>
      </c>
      <c r="N4307" s="5" t="s">
        <v>56042</v>
      </c>
      <c r="O4307" s="5" t="str">
        <v>7710439772</v>
      </c>
      <c r="P4307" s="27">
        <v>343405800</v>
      </c>
      <c r="Q4307" s="5" t="s">
        <v>49009</v>
      </c>
      <c r="R4307" s="5" t="s">
        <v>56043</v>
      </c>
      <c r="S4307" s="5" t="s">
        <v>49045</v>
      </c>
      <c r="T4307" s="28">
        <v>4990460000</v>
      </c>
      <c r="U4307" s="28"/>
      <c r="V4307" s="28">
        <v>6957866000</v>
      </c>
      <c r="W4307" s="28">
        <v>1765300000</v>
      </c>
      <c r="X4307" s="28">
        <v>150953000</v>
      </c>
      <c r="Y4307" s="28">
        <v>19695043000</v>
      </c>
      <c r="Z4307" s="28">
        <v>-2063227000</v>
      </c>
      <c r="AA4307" s="28"/>
      <c r="AB4307" s="28"/>
      <c r="AC4307" s="28">
        <v>5392080000</v>
      </c>
      <c r="AD4307" s="28">
        <v>7091863000</v>
      </c>
      <c r="AE4307" s="28">
        <v>11395006000</v>
      </c>
      <c r="AF4307" s="28">
        <v>5089068000</v>
      </c>
      <c r="AG4307" s="11"/>
    </row>
    <row r="4308">
      <c r="A4308" s="7" t="s">
        <v>5956</v>
      </c>
      <c r="B4308" s="5" t="s">
        <v>13912</v>
      </c>
      <c r="C4308" s="5" t="s">
        <v>21672</v>
      </c>
      <c r="D4308" s="5" t="str">
        <v>701736082155</v>
      </c>
      <c r="E4308" s="0" t="e">
        <f>+7 (382) 2408637
+7 (382) 2903513
+7 (382) 2516029</f>
        <v>#NAME?</v>
      </c>
      <c r="F4308" s="5" t="s">
        <v>38216</v>
      </c>
      <c r="G4308" s="5" t="s">
        <v>38217</v>
      </c>
      <c r="H4308" s="26">
        <v>13</v>
      </c>
      <c r="I4308" s="5" t="s">
        <v>38218</v>
      </c>
      <c r="J4308" s="5" t="s">
        <v>25603</v>
      </c>
      <c r="K4308" s="5" t="s">
        <v>344</v>
      </c>
      <c r="L4308" s="5"/>
      <c r="M4308" s="27">
        <v>17110736</v>
      </c>
      <c r="N4308" s="5" t="s">
        <v>56044</v>
      </c>
      <c r="O4308" s="5" t="str">
        <v>7017253147</v>
      </c>
      <c r="P4308" s="27">
        <v>176306670</v>
      </c>
      <c r="Q4308" s="5" t="s">
        <v>56045</v>
      </c>
      <c r="R4308" s="5" t="s">
        <v>56046</v>
      </c>
      <c r="S4308" s="5" t="s">
        <v>56047</v>
      </c>
      <c r="T4308" s="28">
        <v>1202688000</v>
      </c>
      <c r="U4308" s="28"/>
      <c r="V4308" s="28">
        <v>136042000</v>
      </c>
      <c r="W4308" s="28">
        <v>3038000</v>
      </c>
      <c r="X4308" s="28">
        <v>150971000</v>
      </c>
      <c r="Y4308" s="28">
        <v>2263480000</v>
      </c>
      <c r="Z4308" s="28">
        <v>559375000</v>
      </c>
      <c r="AA4308" s="28"/>
      <c r="AB4308" s="28">
        <v>249989000</v>
      </c>
      <c r="AC4308" s="28">
        <v>1478688000</v>
      </c>
      <c r="AD4308" s="28">
        <v>753389000</v>
      </c>
      <c r="AE4308" s="28">
        <v>3794720000</v>
      </c>
      <c r="AF4308" s="28">
        <v>-262453000</v>
      </c>
      <c r="AG4308" s="11"/>
    </row>
    <row r="4309">
      <c r="A4309" s="7" t="s">
        <v>5957</v>
      </c>
      <c r="B4309" s="5" t="s">
        <v>13913</v>
      </c>
      <c r="C4309" s="5"/>
      <c r="D4309" s="5"/>
      <c r="E4309" s="0" t="e">
        <f>+7 (495) 2601082</f>
        <v>#NAME?</v>
      </c>
      <c r="F4309" s="5" t="s">
        <v>38219</v>
      </c>
      <c r="G4309" s="5"/>
      <c r="H4309" s="26">
        <v>6.5</v>
      </c>
      <c r="I4309" s="5"/>
      <c r="J4309" s="5" t="s">
        <v>30822</v>
      </c>
      <c r="K4309" s="5" t="s">
        <v>344</v>
      </c>
      <c r="L4309" s="5"/>
      <c r="M4309" s="27"/>
      <c r="N4309" s="5" t="s">
        <v>56048</v>
      </c>
      <c r="O4309" s="5" t="str">
        <v>7736279160</v>
      </c>
      <c r="P4309" s="27">
        <v>5616895000</v>
      </c>
      <c r="Q4309" s="5" t="s">
        <v>56049</v>
      </c>
      <c r="R4309" s="5"/>
      <c r="S4309" s="5" t="s">
        <v>56050</v>
      </c>
      <c r="T4309" s="28">
        <v>27661290000</v>
      </c>
      <c r="U4309" s="28"/>
      <c r="V4309" s="28">
        <v>2061555000</v>
      </c>
      <c r="W4309" s="28"/>
      <c r="X4309" s="28">
        <v>8588701000</v>
      </c>
      <c r="Y4309" s="28">
        <v>40880818000</v>
      </c>
      <c r="Z4309" s="28">
        <v>1287331000</v>
      </c>
      <c r="AA4309" s="28"/>
      <c r="AB4309" s="28"/>
      <c r="AC4309" s="28">
        <v>3794036000</v>
      </c>
      <c r="AD4309" s="28">
        <v>28612529000</v>
      </c>
      <c r="AE4309" s="28">
        <v>15603744000</v>
      </c>
      <c r="AF4309" s="28">
        <v>2339720000</v>
      </c>
      <c r="AG4309" s="11"/>
    </row>
    <row r="4310">
      <c r="A4310" s="7" t="s">
        <v>5958</v>
      </c>
      <c r="B4310" s="5" t="s">
        <v>13914</v>
      </c>
      <c r="C4310" s="5" t="s">
        <v>21673</v>
      </c>
      <c r="D4310" s="5" t="str">
        <v>183100195497</v>
      </c>
      <c r="E4310" s="0" t="e">
        <f>+7 (3435) 363350
+7 (34371) 22282
+7 (3435) 455549
+7 (34362) 20290</f>
        <v>#NAME?</v>
      </c>
      <c r="F4310" s="5" t="s">
        <v>38220</v>
      </c>
      <c r="G4310" s="5" t="s">
        <v>38221</v>
      </c>
      <c r="H4310" s="26">
        <v>7</v>
      </c>
      <c r="I4310" s="5"/>
      <c r="J4310" s="5" t="s">
        <v>27802</v>
      </c>
      <c r="K4310" s="5" t="s">
        <v>344</v>
      </c>
      <c r="L4310" s="5" t="s">
        <v>38222</v>
      </c>
      <c r="M4310" s="27">
        <v>34129072</v>
      </c>
      <c r="N4310" s="5" t="s">
        <v>56051</v>
      </c>
      <c r="O4310" s="5" t="str">
        <v>6671028735</v>
      </c>
      <c r="P4310" s="27">
        <v>2839693546</v>
      </c>
      <c r="Q4310" s="5" t="s">
        <v>56053</v>
      </c>
      <c r="R4310" s="5"/>
      <c r="S4310" s="5" t="s">
        <v>51199</v>
      </c>
      <c r="T4310" s="28">
        <v>11060798000</v>
      </c>
      <c r="U4310" s="28">
        <v>396264000</v>
      </c>
      <c r="V4310" s="28">
        <v>3093060000</v>
      </c>
      <c r="W4310" s="28"/>
      <c r="X4310" s="28">
        <v>50473000</v>
      </c>
      <c r="Y4310" s="28">
        <v>15560534000</v>
      </c>
      <c r="Z4310" s="28">
        <v>3522136000</v>
      </c>
      <c r="AA4310" s="28">
        <v>3026189000</v>
      </c>
      <c r="AB4310" s="28">
        <v>7172000</v>
      </c>
      <c r="AC4310" s="28">
        <v>1256655000</v>
      </c>
      <c r="AD4310" s="28">
        <v>9215654000</v>
      </c>
      <c r="AE4310" s="28">
        <v>5999517000</v>
      </c>
      <c r="AF4310" s="28">
        <v>948528000</v>
      </c>
      <c r="AG4310" s="11"/>
    </row>
    <row r="4311">
      <c r="A4311" s="7" t="s">
        <v>5959</v>
      </c>
      <c r="B4311" s="5" t="s">
        <v>13915</v>
      </c>
      <c r="C4311" s="5" t="s">
        <v>21674</v>
      </c>
      <c r="D4311" s="5" t="str">
        <v>380803203504</v>
      </c>
      <c r="E4311" s="0" t="e">
        <f>+7 (395) 2504800
+7 (3952) 247573
+7 (3952) 247934
+7 (39541) 32174
+7 (39546) 52110
+7 (39553) 55590
+7 (39557) 71072
+7 (39563) 24496</f>
        <v>#NAME?</v>
      </c>
      <c r="F4311" s="5" t="s">
        <v>38223</v>
      </c>
      <c r="G4311" s="5"/>
      <c r="H4311" s="26">
        <v>31</v>
      </c>
      <c r="I4311" s="5" t="s">
        <v>38224</v>
      </c>
      <c r="J4311" s="5" t="s">
        <v>29005</v>
      </c>
      <c r="K4311" s="5" t="s">
        <v>344</v>
      </c>
      <c r="L4311" s="5"/>
      <c r="M4311" s="27">
        <v>28043690</v>
      </c>
      <c r="N4311" s="5" t="s">
        <v>56054</v>
      </c>
      <c r="O4311" s="5" t="str">
        <v>3800000252</v>
      </c>
      <c r="P4311" s="27">
        <v>850000000</v>
      </c>
      <c r="Q4311" s="5" t="s">
        <v>56055</v>
      </c>
      <c r="R4311" s="5" t="s">
        <v>56056</v>
      </c>
      <c r="S4311" s="5" t="s">
        <v>51023</v>
      </c>
      <c r="T4311" s="28">
        <v>26563426000</v>
      </c>
      <c r="U4311" s="28"/>
      <c r="V4311" s="28">
        <v>1019684000</v>
      </c>
      <c r="W4311" s="28">
        <v>200850000</v>
      </c>
      <c r="X4311" s="28">
        <v>21599000</v>
      </c>
      <c r="Y4311" s="28">
        <v>27936255000</v>
      </c>
      <c r="Z4311" s="28">
        <v>16330933000</v>
      </c>
      <c r="AA4311" s="28"/>
      <c r="AB4311" s="28"/>
      <c r="AC4311" s="28">
        <v>819054000</v>
      </c>
      <c r="AD4311" s="28">
        <v>22409984000</v>
      </c>
      <c r="AE4311" s="28">
        <v>5147568000</v>
      </c>
      <c r="AF4311" s="28">
        <v>-959291000</v>
      </c>
      <c r="AG4311" s="11"/>
    </row>
    <row r="4312">
      <c r="A4312" s="7" t="s">
        <v>5960</v>
      </c>
      <c r="B4312" s="5" t="s">
        <v>11048</v>
      </c>
      <c r="C4312" s="5" t="s">
        <v>21675</v>
      </c>
      <c r="D4312" s="5" t="str">
        <v>380203279212</v>
      </c>
      <c r="E4312" s="0" t="e">
        <f>+7 (913) 5322947</f>
        <v>#NAME?</v>
      </c>
      <c r="F4312" s="5"/>
      <c r="G4312" s="5"/>
      <c r="H4312" s="26">
        <v>6</v>
      </c>
      <c r="I4312" s="5" t="s">
        <v>38225</v>
      </c>
      <c r="J4312" s="5" t="s">
        <v>25779</v>
      </c>
      <c r="K4312" s="5" t="s">
        <v>344</v>
      </c>
      <c r="L4312" s="5" t="s">
        <v>38226</v>
      </c>
      <c r="M4312" s="27"/>
      <c r="N4312" s="5"/>
      <c r="O4312" s="5" t="str">
        <v>3802018015</v>
      </c>
      <c r="P4312" s="27">
        <v>100000</v>
      </c>
      <c r="Q4312" s="5" t="s">
        <v>49009</v>
      </c>
      <c r="R4312" s="5"/>
      <c r="S4312" s="5" t="s">
        <v>49010</v>
      </c>
      <c r="T4312" s="28">
        <v>5948573000</v>
      </c>
      <c r="U4312" s="28">
        <v>1754406000</v>
      </c>
      <c r="V4312" s="28">
        <v>1126713000</v>
      </c>
      <c r="W4312" s="28"/>
      <c r="X4312" s="28">
        <v>2067000</v>
      </c>
      <c r="Y4312" s="28">
        <v>20013361000</v>
      </c>
      <c r="Z4312" s="28">
        <v>14514898000</v>
      </c>
      <c r="AA4312" s="28"/>
      <c r="AB4312" s="28"/>
      <c r="AC4312" s="28">
        <v>2908894000</v>
      </c>
      <c r="AD4312" s="28">
        <v>14514998000</v>
      </c>
      <c r="AE4312" s="28">
        <v>10031477000</v>
      </c>
      <c r="AF4312" s="28">
        <v>2311670000</v>
      </c>
      <c r="AG4312" s="11"/>
    </row>
    <row r="4313">
      <c r="A4313" s="7" t="s">
        <v>5961</v>
      </c>
      <c r="B4313" s="5" t="s">
        <v>13916</v>
      </c>
      <c r="C4313" s="5" t="s">
        <v>21676</v>
      </c>
      <c r="D4313" s="5" t="str">
        <v>774306812392</v>
      </c>
      <c r="E4313" s="0" t="e">
        <f>+7 (495) 6460603
+7 (495) 6510679
+7 (499) 4551208
+7 (800) 7074430</f>
        <v>#NAME?</v>
      </c>
      <c r="F4313" s="5"/>
      <c r="G4313" s="5"/>
      <c r="H4313" s="26">
        <v>13.5</v>
      </c>
      <c r="I4313" s="5" t="s">
        <v>38227</v>
      </c>
      <c r="J4313" s="5" t="s">
        <v>533</v>
      </c>
      <c r="K4313" s="5" t="s">
        <v>344</v>
      </c>
      <c r="L4313" s="5" t="s">
        <v>38228</v>
      </c>
      <c r="M4313" s="27">
        <v>3804812</v>
      </c>
      <c r="N4313" s="5" t="s">
        <v>56057</v>
      </c>
      <c r="O4313" s="5" t="str">
        <v>7726630679</v>
      </c>
      <c r="P4313" s="27">
        <v>10430000</v>
      </c>
      <c r="Q4313" s="5" t="s">
        <v>50809</v>
      </c>
      <c r="R4313" s="5"/>
      <c r="S4313" s="5" t="s">
        <v>56058</v>
      </c>
      <c r="T4313" s="28">
        <v>1081000</v>
      </c>
      <c r="U4313" s="28">
        <v>891253000</v>
      </c>
      <c r="V4313" s="28">
        <v>1201864000</v>
      </c>
      <c r="W4313" s="28">
        <v>3000000</v>
      </c>
      <c r="X4313" s="28">
        <v>672000</v>
      </c>
      <c r="Y4313" s="28">
        <v>2475324000</v>
      </c>
      <c r="Z4313" s="28">
        <v>66102000</v>
      </c>
      <c r="AA4313" s="28">
        <v>1861288000</v>
      </c>
      <c r="AB4313" s="28">
        <v>55100000</v>
      </c>
      <c r="AC4313" s="28">
        <v>536533000</v>
      </c>
      <c r="AD4313" s="28">
        <v>76532000</v>
      </c>
      <c r="AE4313" s="28">
        <v>4086408000</v>
      </c>
      <c r="AF4313" s="28">
        <v>10522000</v>
      </c>
      <c r="AG4313" s="11"/>
    </row>
    <row r="4314">
      <c r="A4314" s="7" t="s">
        <v>5962</v>
      </c>
      <c r="B4314" s="5" t="s">
        <v>13917</v>
      </c>
      <c r="C4314" s="5" t="s">
        <v>21677</v>
      </c>
      <c r="D4314" s="5" t="str">
        <v>540861285136</v>
      </c>
      <c r="F4314" s="5"/>
      <c r="G4314" s="5"/>
      <c r="H4314" s="26">
        <v>9</v>
      </c>
      <c r="I4314" s="5"/>
      <c r="J4314" s="5" t="s">
        <v>38229</v>
      </c>
      <c r="K4314" s="5"/>
      <c r="L4314" s="5"/>
      <c r="M4314" s="27"/>
      <c r="N4314" s="5" t="s">
        <v>56059</v>
      </c>
      <c r="O4314" s="5" t="str">
        <v>7704282033</v>
      </c>
      <c r="P4314" s="27"/>
      <c r="Q4314" s="5"/>
      <c r="R4314" s="5"/>
      <c r="S4314" s="5" t="s">
        <v>49047</v>
      </c>
      <c r="T4314" s="28">
        <v>11007000</v>
      </c>
      <c r="U4314" s="28"/>
      <c r="V4314" s="28">
        <v>563170000</v>
      </c>
      <c r="W4314" s="28"/>
      <c r="X4314" s="28">
        <v>1336575000</v>
      </c>
      <c r="Y4314" s="28">
        <v>2344092000</v>
      </c>
      <c r="Z4314" s="28">
        <v>654039000</v>
      </c>
      <c r="AA4314" s="28"/>
      <c r="AB4314" s="28"/>
      <c r="AC4314" s="28">
        <v>1670926000</v>
      </c>
      <c r="AD4314" s="28">
        <v>659690000</v>
      </c>
      <c r="AE4314" s="28">
        <v>4065805000</v>
      </c>
      <c r="AF4314" s="28">
        <v>839216000</v>
      </c>
      <c r="AG4314" s="11"/>
    </row>
    <row r="4315">
      <c r="A4315" s="7" t="s">
        <v>5963</v>
      </c>
      <c r="B4315" s="5" t="s">
        <v>13918</v>
      </c>
      <c r="C4315" s="5" t="s">
        <v>21678</v>
      </c>
      <c r="D4315" s="5" t="str">
        <v>720704824126</v>
      </c>
      <c r="E4315" s="0" t="e">
        <f>+7 (345) 2200113
+7 (345) 2203390
+7 (345) 2209434
+7 (345) 2229434
+7 (345) 2494019
+7 (345) 2517182
+7 (345) 2517184
+7 (345) 2517185
+7 (34531) 26526
+7 (34535) 33126
+7 (34537) 22132
+7 (34542) 61115
+7 (34544) 29008
+7 (34545) 22789
+7 (34551) 58262</f>
        <v>#NAME?</v>
      </c>
      <c r="F4315" s="5" t="s">
        <v>38230</v>
      </c>
      <c r="G4315" s="5"/>
      <c r="H4315" s="26">
        <v>27.5</v>
      </c>
      <c r="I4315" s="5" t="s">
        <v>38231</v>
      </c>
      <c r="J4315" s="5" t="s">
        <v>38232</v>
      </c>
      <c r="K4315" s="5"/>
      <c r="L4315" s="5"/>
      <c r="M4315" s="27"/>
      <c r="N4315" s="5"/>
      <c r="O4315" s="5" t="str">
        <v>7203058175</v>
      </c>
      <c r="P4315" s="27"/>
      <c r="Q4315" s="5" t="s">
        <v>56060</v>
      </c>
      <c r="R4315" s="5"/>
      <c r="S4315" s="5" t="s">
        <v>52597</v>
      </c>
      <c r="T4315" s="28">
        <v>79462064000</v>
      </c>
      <c r="U4315" s="28"/>
      <c r="V4315" s="28">
        <v>666423736000</v>
      </c>
      <c r="W4315" s="28"/>
      <c r="X4315" s="28">
        <v>5630786000</v>
      </c>
      <c r="Y4315" s="28">
        <v>764299461000</v>
      </c>
      <c r="Z4315" s="28"/>
      <c r="AA4315" s="28"/>
      <c r="AB4315" s="28"/>
      <c r="AC4315" s="28">
        <v>764299461000</v>
      </c>
      <c r="AD4315" s="28">
        <v>663741364000</v>
      </c>
      <c r="AE4315" s="28">
        <v>252946237000</v>
      </c>
      <c r="AF4315" s="28">
        <v>-5651366000</v>
      </c>
      <c r="AG4315" s="11"/>
    </row>
    <row r="4316">
      <c r="A4316" s="7" t="s">
        <v>5964</v>
      </c>
      <c r="B4316" s="5" t="s">
        <v>13919</v>
      </c>
      <c r="C4316" s="5" t="s">
        <v>21679</v>
      </c>
      <c r="D4316" s="5" t="str">
        <v>745300481370</v>
      </c>
      <c r="E4316" s="0" t="e">
        <f>+7 (351) 2420388
+7 (351) 2422402
+7 (3517) 420388
+7 (3517) 422402
+7 (3517) 495611
+7 (3517) 495629</f>
        <v>#NAME?</v>
      </c>
      <c r="F4316" s="5" t="s">
        <v>38233</v>
      </c>
      <c r="G4316" s="5" t="s">
        <v>38234</v>
      </c>
      <c r="H4316" s="26">
        <v>30</v>
      </c>
      <c r="I4316" s="5"/>
      <c r="J4316" s="5" t="s">
        <v>31645</v>
      </c>
      <c r="K4316" s="5" t="s">
        <v>344</v>
      </c>
      <c r="L4316" s="5" t="s">
        <v>38235</v>
      </c>
      <c r="M4316" s="27"/>
      <c r="N4316" s="5"/>
      <c r="O4316" s="5" t="str">
        <v>7448008453</v>
      </c>
      <c r="P4316" s="27">
        <v>15000000</v>
      </c>
      <c r="Q4316" s="5" t="s">
        <v>49009</v>
      </c>
      <c r="R4316" s="5"/>
      <c r="S4316" s="5" t="s">
        <v>49028</v>
      </c>
      <c r="T4316" s="28">
        <v>525420000</v>
      </c>
      <c r="U4316" s="28">
        <v>1111000</v>
      </c>
      <c r="V4316" s="28">
        <v>1542880000</v>
      </c>
      <c r="W4316" s="28">
        <v>187700000</v>
      </c>
      <c r="X4316" s="28">
        <v>11662000</v>
      </c>
      <c r="Y4316" s="28">
        <v>3791526000</v>
      </c>
      <c r="Z4316" s="28">
        <v>1970553000</v>
      </c>
      <c r="AA4316" s="28">
        <v>210000000</v>
      </c>
      <c r="AB4316" s="28">
        <v>269008000</v>
      </c>
      <c r="AC4316" s="28">
        <v>1546038000</v>
      </c>
      <c r="AD4316" s="28">
        <v>2015812000</v>
      </c>
      <c r="AE4316" s="28">
        <v>3778506000</v>
      </c>
      <c r="AF4316" s="28">
        <v>592301000</v>
      </c>
      <c r="AG4316" s="11"/>
    </row>
    <row r="4317">
      <c r="A4317" s="7" t="s">
        <v>5965</v>
      </c>
      <c r="B4317" s="5" t="s">
        <v>13920</v>
      </c>
      <c r="C4317" s="5" t="s">
        <v>21680</v>
      </c>
      <c r="D4317" s="5" t="str">
        <v>771512278364</v>
      </c>
      <c r="E4317" s="0" t="e">
        <f>+7 (4725) 372679
+7 (4725) 374116</f>
        <v>#NAME?</v>
      </c>
      <c r="F4317" s="5" t="s">
        <v>38236</v>
      </c>
      <c r="G4317" s="5" t="s">
        <v>38237</v>
      </c>
      <c r="H4317" s="26">
        <v>19.5</v>
      </c>
      <c r="I4317" s="5" t="s">
        <v>38238</v>
      </c>
      <c r="J4317" s="5" t="s">
        <v>27464</v>
      </c>
      <c r="K4317" s="5" t="s">
        <v>344</v>
      </c>
      <c r="L4317" s="5" t="s">
        <v>36174</v>
      </c>
      <c r="M4317" s="27">
        <v>19413866</v>
      </c>
      <c r="N4317" s="5"/>
      <c r="O4317" s="5" t="str">
        <v>3128043162</v>
      </c>
      <c r="P4317" s="27">
        <v>17010000</v>
      </c>
      <c r="Q4317" s="5" t="s">
        <v>49324</v>
      </c>
      <c r="R4317" s="5" t="s">
        <v>56061</v>
      </c>
      <c r="S4317" s="5" t="s">
        <v>52146</v>
      </c>
      <c r="T4317" s="28">
        <v>19816000</v>
      </c>
      <c r="U4317" s="28"/>
      <c r="V4317" s="28">
        <v>217704000</v>
      </c>
      <c r="W4317" s="28">
        <v>95987000</v>
      </c>
      <c r="X4317" s="28">
        <v>10453000</v>
      </c>
      <c r="Y4317" s="28">
        <v>428072000</v>
      </c>
      <c r="Z4317" s="28">
        <v>107610000</v>
      </c>
      <c r="AA4317" s="28"/>
      <c r="AB4317" s="28">
        <v>211169000</v>
      </c>
      <c r="AC4317" s="28">
        <v>295340000</v>
      </c>
      <c r="AD4317" s="28">
        <v>124620000</v>
      </c>
      <c r="AE4317" s="28">
        <v>4837883000</v>
      </c>
      <c r="AF4317" s="28">
        <v>6482000</v>
      </c>
      <c r="AG4317" s="11"/>
    </row>
    <row r="4318">
      <c r="A4318" s="7" t="s">
        <v>5966</v>
      </c>
      <c r="B4318" s="5" t="s">
        <v>11649</v>
      </c>
      <c r="C4318" s="5" t="s">
        <v>19499</v>
      </c>
      <c r="D4318" s="5" t="str">
        <v>771579074117</v>
      </c>
      <c r="E4318" s="0" t="e">
        <f>+7 (863) 7756225</f>
        <v>#NAME?</v>
      </c>
      <c r="F4318" s="5" t="s">
        <v>38239</v>
      </c>
      <c r="G4318" s="5"/>
      <c r="H4318" s="26">
        <v>18</v>
      </c>
      <c r="I4318" s="5" t="s">
        <v>38240</v>
      </c>
      <c r="J4318" s="5" t="s">
        <v>26596</v>
      </c>
      <c r="K4318" s="5" t="s">
        <v>344</v>
      </c>
      <c r="L4318" s="5" t="s">
        <v>38241</v>
      </c>
      <c r="M4318" s="27">
        <v>267145310</v>
      </c>
      <c r="N4318" s="5" t="s">
        <v>56062</v>
      </c>
      <c r="O4318" s="5" t="str">
        <v>6148251543</v>
      </c>
      <c r="P4318" s="27">
        <v>21355</v>
      </c>
      <c r="Q4318" s="5" t="s">
        <v>56063</v>
      </c>
      <c r="R4318" s="5" t="s">
        <v>56064</v>
      </c>
      <c r="S4318" s="5" t="s">
        <v>56065</v>
      </c>
      <c r="T4318" s="28">
        <v>1113568000</v>
      </c>
      <c r="U4318" s="28"/>
      <c r="V4318" s="28">
        <v>1236377000</v>
      </c>
      <c r="W4318" s="28">
        <v>1158281000</v>
      </c>
      <c r="X4318" s="28">
        <v>633936000</v>
      </c>
      <c r="Y4318" s="28">
        <v>4616217000</v>
      </c>
      <c r="Z4318" s="28">
        <v>2332503000</v>
      </c>
      <c r="AA4318" s="28"/>
      <c r="AB4318" s="28">
        <v>635826000</v>
      </c>
      <c r="AC4318" s="28">
        <v>1721826000</v>
      </c>
      <c r="AD4318" s="28">
        <v>2332524000</v>
      </c>
      <c r="AE4318" s="28">
        <v>9038741000</v>
      </c>
      <c r="AF4318" s="28">
        <v>1546365000</v>
      </c>
      <c r="AG4318" s="11"/>
    </row>
    <row r="4319">
      <c r="A4319" s="7" t="s">
        <v>5967</v>
      </c>
      <c r="B4319" s="5" t="s">
        <v>13921</v>
      </c>
      <c r="C4319" s="5" t="s">
        <v>21681</v>
      </c>
      <c r="D4319" s="5" t="str">
        <v>772448420301</v>
      </c>
      <c r="E4319" s="0" t="e">
        <f>+7 (495) 9170720
+7 (495) 9804805
+7 (499) 2461596
+7 (955) 9804805</f>
        <v>#NAME?</v>
      </c>
      <c r="F4319" s="5" t="s">
        <v>38242</v>
      </c>
      <c r="G4319" s="5" t="s">
        <v>38243</v>
      </c>
      <c r="H4319" s="26">
        <v>29.5</v>
      </c>
      <c r="I4319" s="5"/>
      <c r="J4319" s="5" t="s">
        <v>1081</v>
      </c>
      <c r="K4319" s="5" t="s">
        <v>344</v>
      </c>
      <c r="L4319" s="5" t="s">
        <v>38244</v>
      </c>
      <c r="M4319" s="27">
        <v>288422583</v>
      </c>
      <c r="N4319" s="5" t="s">
        <v>56066</v>
      </c>
      <c r="O4319" s="5" t="str">
        <v>7709022737</v>
      </c>
      <c r="P4319" s="27">
        <v>12152000</v>
      </c>
      <c r="Q4319" s="5" t="s">
        <v>56067</v>
      </c>
      <c r="R4319" s="5"/>
      <c r="S4319" s="5" t="s">
        <v>56068</v>
      </c>
      <c r="T4319" s="28">
        <v>947153000</v>
      </c>
      <c r="U4319" s="28">
        <v>2778384000</v>
      </c>
      <c r="V4319" s="28">
        <v>4038633000</v>
      </c>
      <c r="W4319" s="28"/>
      <c r="X4319" s="28">
        <v>3645737000</v>
      </c>
      <c r="Y4319" s="28">
        <v>12113142000</v>
      </c>
      <c r="Z4319" s="28">
        <v>2578061000</v>
      </c>
      <c r="AA4319" s="28">
        <v>663900000</v>
      </c>
      <c r="AB4319" s="28">
        <v>347000</v>
      </c>
      <c r="AC4319" s="28">
        <v>7970360000</v>
      </c>
      <c r="AD4319" s="28">
        <v>2590820000</v>
      </c>
      <c r="AE4319" s="28">
        <v>40464994000</v>
      </c>
      <c r="AF4319" s="28">
        <v>1144560000</v>
      </c>
      <c r="AG4319" s="11"/>
    </row>
    <row r="4320">
      <c r="A4320" s="7" t="s">
        <v>5968</v>
      </c>
      <c r="B4320" s="5" t="s">
        <v>13922</v>
      </c>
      <c r="C4320" s="5" t="s">
        <v>21682</v>
      </c>
      <c r="D4320" s="5" t="str">
        <v>745301887125</v>
      </c>
      <c r="E4320" s="0" t="e">
        <f>+7 (3466) 675876
+7 (3512) 176162
+7 (3517) 421600
+7 (3512) 421660
+7 (3512) 647281
+7 (3512) 658891
+7 (3512) 804508
+7 (3512) 804510
+7 (3512) 804546
+7 (3512) 804801
+7 (3512) 804856
+7 (3512) 804878
+7 (35142) 26010
+7 (3517) 421517
+7 (3517) 421660</f>
        <v>#NAME?</v>
      </c>
      <c r="F4320" s="5" t="s">
        <v>38245</v>
      </c>
      <c r="G4320" s="5" t="s">
        <v>38246</v>
      </c>
      <c r="H4320" s="26">
        <v>9</v>
      </c>
      <c r="I4320" s="5" t="s">
        <v>38247</v>
      </c>
      <c r="J4320" s="5" t="s">
        <v>28174</v>
      </c>
      <c r="K4320" s="5" t="s">
        <v>344</v>
      </c>
      <c r="L4320" s="5" t="s">
        <v>38248</v>
      </c>
      <c r="M4320" s="27">
        <v>69028</v>
      </c>
      <c r="N4320" s="5" t="s">
        <v>56069</v>
      </c>
      <c r="O4320" s="5" t="str">
        <v>7453268150</v>
      </c>
      <c r="P4320" s="27">
        <v>462585</v>
      </c>
      <c r="Q4320" s="5" t="s">
        <v>56071</v>
      </c>
      <c r="R4320" s="5"/>
      <c r="S4320" s="5" t="s">
        <v>56072</v>
      </c>
      <c r="T4320" s="28">
        <v>2662154000</v>
      </c>
      <c r="U4320" s="28">
        <v>185265000</v>
      </c>
      <c r="V4320" s="28">
        <v>1577436000</v>
      </c>
      <c r="W4320" s="28">
        <v>2536625000</v>
      </c>
      <c r="X4320" s="28">
        <v>405742000</v>
      </c>
      <c r="Y4320" s="28">
        <v>10142438000</v>
      </c>
      <c r="Z4320" s="28">
        <v>7719232000</v>
      </c>
      <c r="AA4320" s="28">
        <v>54866000</v>
      </c>
      <c r="AB4320" s="28">
        <v>1585568000</v>
      </c>
      <c r="AC4320" s="28">
        <v>2314793000</v>
      </c>
      <c r="AD4320" s="28">
        <v>7719695000</v>
      </c>
      <c r="AE4320" s="28">
        <v>12328000000</v>
      </c>
      <c r="AF4320" s="28">
        <v>1672795000</v>
      </c>
      <c r="AG4320" s="11"/>
    </row>
    <row r="4321">
      <c r="A4321" s="7" t="s">
        <v>5969</v>
      </c>
      <c r="B4321" s="5" t="s">
        <v>13923</v>
      </c>
      <c r="C4321" s="5" t="s">
        <v>21683</v>
      </c>
      <c r="D4321" s="5" t="str">
        <v>330510482912</v>
      </c>
      <c r="E4321" s="0" t="e">
        <f>+7 (495) 2335634
+7 (49234) 20127
+7 (49234) 31994
+7 (49234) 36890
+7 (49234) 36891
+7 (49234) 36900
+7 (49234) 36934
+7 (49234) 36960
+7 (49234) 51115
+7 (49234) 51128
+7 (49234) 51134
+7 (920) 9019154
+7 (920) 9487027
+7 (930) 7462572
+7 (930) 7488321</f>
        <v>#NAME?</v>
      </c>
      <c r="F4321" s="5" t="s">
        <v>38249</v>
      </c>
      <c r="G4321" s="5"/>
      <c r="H4321" s="26">
        <v>8</v>
      </c>
      <c r="I4321" s="5" t="s">
        <v>38250</v>
      </c>
      <c r="J4321" s="5" t="s">
        <v>30277</v>
      </c>
      <c r="K4321" s="5" t="s">
        <v>380</v>
      </c>
      <c r="L4321" s="5" t="s">
        <v>38251</v>
      </c>
      <c r="M4321" s="27"/>
      <c r="N4321" s="5"/>
      <c r="O4321" s="5" t="str">
        <v>3334022880</v>
      </c>
      <c r="P4321" s="27">
        <v>1000000</v>
      </c>
      <c r="Q4321" s="5" t="s">
        <v>49009</v>
      </c>
      <c r="R4321" s="5"/>
      <c r="S4321" s="5" t="s">
        <v>49010</v>
      </c>
      <c r="T4321" s="28">
        <v>5911714000</v>
      </c>
      <c r="U4321" s="28">
        <v>120000000</v>
      </c>
      <c r="V4321" s="28">
        <v>1561611000</v>
      </c>
      <c r="W4321" s="28">
        <v>200000000</v>
      </c>
      <c r="X4321" s="28">
        <v>675413000</v>
      </c>
      <c r="Y4321" s="28">
        <v>12028832000</v>
      </c>
      <c r="Z4321" s="28">
        <v>-486038000</v>
      </c>
      <c r="AA4321" s="28">
        <v>4266238000</v>
      </c>
      <c r="AB4321" s="28">
        <v>3987846000</v>
      </c>
      <c r="AC4321" s="28">
        <v>8232854000</v>
      </c>
      <c r="AD4321" s="28">
        <v>-480557000</v>
      </c>
      <c r="AE4321" s="28">
        <v>11686816000</v>
      </c>
      <c r="AF4321" s="28">
        <v>-1722463000</v>
      </c>
      <c r="AG4321" s="11"/>
    </row>
    <row r="4322">
      <c r="A4322" s="7" t="s">
        <v>5970</v>
      </c>
      <c r="B4322" s="5" t="s">
        <v>13924</v>
      </c>
      <c r="C4322" s="5" t="s">
        <v>21684</v>
      </c>
      <c r="D4322" s="5" t="str">
        <v>504806910430</v>
      </c>
      <c r="E4322" s="0" t="e">
        <f>+7 (495) 7306902
+7 (495) 2288064
+7 (495) 7306946
+7 (495) 7306994
+7 (800) 2005599</f>
        <v>#NAME?</v>
      </c>
      <c r="F4322" s="5" t="s">
        <v>38252</v>
      </c>
      <c r="G4322" s="5"/>
      <c r="H4322" s="26">
        <v>20.5</v>
      </c>
      <c r="I4322" s="5" t="s">
        <v>38253</v>
      </c>
      <c r="J4322" s="5" t="s">
        <v>30947</v>
      </c>
      <c r="K4322" s="5" t="s">
        <v>344</v>
      </c>
      <c r="L4322" s="5" t="s">
        <v>38254</v>
      </c>
      <c r="M4322" s="27">
        <v>204113</v>
      </c>
      <c r="N4322" s="5" t="s">
        <v>56073</v>
      </c>
      <c r="O4322" s="5" t="str">
        <v>7705475711</v>
      </c>
      <c r="P4322" s="27">
        <v>506000000</v>
      </c>
      <c r="Q4322" s="5" t="s">
        <v>49009</v>
      </c>
      <c r="R4322" s="5"/>
      <c r="S4322" s="5" t="s">
        <v>56074</v>
      </c>
      <c r="T4322" s="28">
        <v>72909000</v>
      </c>
      <c r="U4322" s="28">
        <v>453942000</v>
      </c>
      <c r="V4322" s="28">
        <v>18162789000</v>
      </c>
      <c r="W4322" s="28"/>
      <c r="X4322" s="28">
        <v>1974451000</v>
      </c>
      <c r="Y4322" s="28">
        <v>24471143000</v>
      </c>
      <c r="Z4322" s="28">
        <v>3641991000</v>
      </c>
      <c r="AA4322" s="28">
        <v>3853376000</v>
      </c>
      <c r="AB4322" s="28">
        <v>6458202000</v>
      </c>
      <c r="AC4322" s="28">
        <v>16450681000</v>
      </c>
      <c r="AD4322" s="28">
        <v>4147991000</v>
      </c>
      <c r="AE4322" s="28">
        <v>71212230000</v>
      </c>
      <c r="AF4322" s="28">
        <v>2078876000</v>
      </c>
      <c r="AG4322" s="11"/>
    </row>
    <row r="4323">
      <c r="A4323" s="7" t="s">
        <v>5971</v>
      </c>
      <c r="B4323" s="5" t="s">
        <v>13925</v>
      </c>
      <c r="C4323" s="5" t="s">
        <v>21685</v>
      </c>
      <c r="D4323" s="5" t="str">
        <v>773316898541</v>
      </c>
      <c r="E4323" s="0" t="e">
        <f>+7 (8412) 200564
+7 (8412) 208908
+7 (8412) 282200
+7 (8412) 632894
+7 (8412) 677252
+7 (8412) 677253
+7 (8412) 677259
+7 (8412) 679191
+7 (84154) 41192
+7 (84154) 44557
+7 (84157) 24469
+7 (960) 3204676
+7 (965) 6342129
+7 (965) 6390063</f>
        <v>#NAME?</v>
      </c>
      <c r="F4323" s="5" t="s">
        <v>38255</v>
      </c>
      <c r="G4323" s="5" t="s">
        <v>38256</v>
      </c>
      <c r="H4323" s="26">
        <v>17.5</v>
      </c>
      <c r="I4323" s="5" t="s">
        <v>38257</v>
      </c>
      <c r="J4323" s="5" t="s">
        <v>26503</v>
      </c>
      <c r="K4323" s="5" t="s">
        <v>344</v>
      </c>
      <c r="L4323" s="5"/>
      <c r="M4323" s="27"/>
      <c r="N4323" s="5"/>
      <c r="O4323" s="5" t="str">
        <v>5837025458</v>
      </c>
      <c r="P4323" s="27">
        <v>170182423</v>
      </c>
      <c r="Q4323" s="5" t="s">
        <v>49021</v>
      </c>
      <c r="R4323" s="5"/>
      <c r="S4323" s="5" t="s">
        <v>56076</v>
      </c>
      <c r="T4323" s="28">
        <v>2102708000</v>
      </c>
      <c r="U4323" s="28"/>
      <c r="V4323" s="28">
        <v>3345797000</v>
      </c>
      <c r="W4323" s="28">
        <v>590000000</v>
      </c>
      <c r="X4323" s="28">
        <v>10128000</v>
      </c>
      <c r="Y4323" s="28">
        <v>7317653000</v>
      </c>
      <c r="Z4323" s="28">
        <v>520769000</v>
      </c>
      <c r="AA4323" s="28">
        <v>180000000</v>
      </c>
      <c r="AB4323" s="28">
        <v>297800000</v>
      </c>
      <c r="AC4323" s="28">
        <v>6389528000</v>
      </c>
      <c r="AD4323" s="28">
        <v>748125000</v>
      </c>
      <c r="AE4323" s="28">
        <v>7238135000</v>
      </c>
      <c r="AF4323" s="28">
        <v>86789000</v>
      </c>
      <c r="AG4323" s="11"/>
    </row>
    <row r="4324">
      <c r="A4324" s="7" t="s">
        <v>5972</v>
      </c>
      <c r="B4324" s="5" t="s">
        <v>13926</v>
      </c>
      <c r="C4324" s="5" t="s">
        <v>21686</v>
      </c>
      <c r="D4324" s="5" t="str">
        <v>344500847205</v>
      </c>
      <c r="E4324" s="0" t="e">
        <f>+7 (8443) 210510
+7 (8443) 210511
+7 (8443) 210517
+7 (969) 2890495
+7 (844) 2912159
+7 (8443) 259711</f>
        <v>#NAME?</v>
      </c>
      <c r="F4324" s="5" t="s">
        <v>38258</v>
      </c>
      <c r="G4324" s="5" t="s">
        <v>38259</v>
      </c>
      <c r="H4324" s="26">
        <v>18.5</v>
      </c>
      <c r="I4324" s="5" t="s">
        <v>38260</v>
      </c>
      <c r="J4324" s="5" t="s">
        <v>25910</v>
      </c>
      <c r="K4324" s="5" t="s">
        <v>344</v>
      </c>
      <c r="L4324" s="5"/>
      <c r="M4324" s="27">
        <v>399886</v>
      </c>
      <c r="N4324" s="5" t="s">
        <v>51391</v>
      </c>
      <c r="O4324" s="5" t="str">
        <v>3435701575</v>
      </c>
      <c r="P4324" s="27">
        <v>18394800</v>
      </c>
      <c r="Q4324" s="5" t="s">
        <v>49009</v>
      </c>
      <c r="R4324" s="5"/>
      <c r="S4324" s="5" t="s">
        <v>49576</v>
      </c>
      <c r="T4324" s="28">
        <v>9288185000</v>
      </c>
      <c r="U4324" s="28"/>
      <c r="V4324" s="28">
        <v>688719000</v>
      </c>
      <c r="W4324" s="28">
        <v>103000000</v>
      </c>
      <c r="X4324" s="28">
        <v>10937000</v>
      </c>
      <c r="Y4324" s="28">
        <v>11240886000</v>
      </c>
      <c r="Z4324" s="28">
        <v>277514000</v>
      </c>
      <c r="AA4324" s="28">
        <v>7843301000</v>
      </c>
      <c r="AB4324" s="28">
        <v>2295459000</v>
      </c>
      <c r="AC4324" s="28">
        <v>2626792000</v>
      </c>
      <c r="AD4324" s="28">
        <v>333919000</v>
      </c>
      <c r="AE4324" s="28">
        <v>4439213000</v>
      </c>
      <c r="AF4324" s="28">
        <v>344000</v>
      </c>
      <c r="AG4324" s="11"/>
    </row>
    <row r="4325">
      <c r="A4325" s="7" t="s">
        <v>5973</v>
      </c>
      <c r="B4325" s="5" t="s">
        <v>13927</v>
      </c>
      <c r="C4325" s="5" t="s">
        <v>21202</v>
      </c>
      <c r="D4325" s="5"/>
      <c r="E4325" s="0" t="e">
        <f>+7 (346) 2764359
+7 (35163) 32725
+7 (35163) 33510
+7 (35163) 34905
+7 (35163) 59359
+7 (39169) 96124
+7 (49141) 41818
+7 (49141) 41821
+7 (49141) 42637
+7 (495) 4284222
+7 (495) 4284223
+7 (495) 4284224
+7 (495) 4285301
+7 (495) 4285344
+7 (495) 4285411</f>
        <v>#NAME?</v>
      </c>
      <c r="F4325" s="5" t="s">
        <v>38261</v>
      </c>
      <c r="G4325" s="5" t="s">
        <v>38262</v>
      </c>
      <c r="H4325" s="26">
        <v>18</v>
      </c>
      <c r="I4325" s="5"/>
      <c r="J4325" s="5" t="s">
        <v>25295</v>
      </c>
      <c r="K4325" s="5" t="s">
        <v>344</v>
      </c>
      <c r="L4325" s="5"/>
      <c r="M4325" s="27">
        <v>542381906</v>
      </c>
      <c r="N4325" s="5" t="s">
        <v>56077</v>
      </c>
      <c r="O4325" s="5" t="str">
        <v>2607018122</v>
      </c>
      <c r="P4325" s="27">
        <v>40057009048</v>
      </c>
      <c r="Q4325" s="5" t="s">
        <v>56078</v>
      </c>
      <c r="R4325" s="5"/>
      <c r="S4325" s="5" t="s">
        <v>56079</v>
      </c>
      <c r="T4325" s="28">
        <v>127913653000</v>
      </c>
      <c r="U4325" s="28">
        <v>20127679000</v>
      </c>
      <c r="V4325" s="28">
        <v>15553684000</v>
      </c>
      <c r="W4325" s="28">
        <v>6154546000</v>
      </c>
      <c r="X4325" s="28"/>
      <c r="Y4325" s="28">
        <v>201296754000</v>
      </c>
      <c r="Z4325" s="28">
        <v>46145282000</v>
      </c>
      <c r="AA4325" s="28">
        <v>5734152000</v>
      </c>
      <c r="AB4325" s="28">
        <v>25807939000</v>
      </c>
      <c r="AC4325" s="28">
        <v>38802904000</v>
      </c>
      <c r="AD4325" s="28">
        <v>143007425000</v>
      </c>
      <c r="AE4325" s="28">
        <v>142920792000</v>
      </c>
      <c r="AF4325" s="28">
        <v>12094131000</v>
      </c>
      <c r="AG4325" s="11"/>
    </row>
    <row r="4326">
      <c r="A4326" s="7" t="s">
        <v>5974</v>
      </c>
      <c r="B4326" s="5" t="s">
        <v>13928</v>
      </c>
      <c r="C4326" s="5" t="s">
        <v>21687</v>
      </c>
      <c r="D4326" s="5" t="str">
        <v>744504274901</v>
      </c>
      <c r="E4326" s="0" t="e">
        <f>+7 (3519) 242155
+7 (3519) 244118
+7 (3519) 244178
+7 (3519) 247157
+7 (3519) 247995</f>
        <v>#NAME?</v>
      </c>
      <c r="F4326" s="5"/>
      <c r="G4326" s="5" t="s">
        <v>38263</v>
      </c>
      <c r="H4326" s="26">
        <v>16</v>
      </c>
      <c r="I4326" s="5" t="s">
        <v>38264</v>
      </c>
      <c r="J4326" s="5" t="s">
        <v>28232</v>
      </c>
      <c r="K4326" s="5" t="s">
        <v>344</v>
      </c>
      <c r="L4326" s="5"/>
      <c r="M4326" s="27"/>
      <c r="N4326" s="5"/>
      <c r="O4326" s="5" t="str">
        <v>7445034462</v>
      </c>
      <c r="P4326" s="27">
        <v>326046623</v>
      </c>
      <c r="Q4326" s="5" t="s">
        <v>49009</v>
      </c>
      <c r="R4326" s="5"/>
      <c r="S4326" s="5" t="s">
        <v>49371</v>
      </c>
      <c r="T4326" s="28">
        <v>845056000</v>
      </c>
      <c r="U4326" s="28">
        <v>122000</v>
      </c>
      <c r="V4326" s="28">
        <v>579309000</v>
      </c>
      <c r="W4326" s="28">
        <v>1031140000</v>
      </c>
      <c r="X4326" s="28">
        <v>3138000</v>
      </c>
      <c r="Y4326" s="28">
        <v>3179094000</v>
      </c>
      <c r="Z4326" s="28">
        <v>2245682000</v>
      </c>
      <c r="AA4326" s="28"/>
      <c r="AB4326" s="28"/>
      <c r="AC4326" s="28">
        <v>468425000</v>
      </c>
      <c r="AD4326" s="28">
        <v>2604334000</v>
      </c>
      <c r="AE4326" s="28">
        <v>5771661000</v>
      </c>
      <c r="AF4326" s="28">
        <v>579086000</v>
      </c>
      <c r="AG4326" s="11"/>
    </row>
    <row r="4327">
      <c r="A4327" s="7" t="s">
        <v>5975</v>
      </c>
      <c r="B4327" s="5" t="s">
        <v>13929</v>
      </c>
      <c r="C4327" s="5" t="s">
        <v>21688</v>
      </c>
      <c r="D4327" s="5" t="str">
        <v>666307131200</v>
      </c>
      <c r="E4327" s="0" t="e">
        <f>+7 (34376) 21361
+7 (34376) 21460
+7 (34376) 47000
+7 (34376) 47212
+7 (34376) 47214
+7 (34376) 47215
+7 (34376) 47236
+7 (34376) 47245
+7 (34376) 47248
+7 (34376) 47260
+7 (34376) 47263
+7 (34376) 47266
+7 (34376) 47271
+7 (34376) 47414
+7 (34376) 47625</f>
        <v>#NAME?</v>
      </c>
      <c r="F4327" s="5" t="s">
        <v>38265</v>
      </c>
      <c r="G4327" s="5" t="s">
        <v>38266</v>
      </c>
      <c r="H4327" s="26">
        <v>30</v>
      </c>
      <c r="I4327" s="5" t="s">
        <v>38267</v>
      </c>
      <c r="J4327" s="5" t="s">
        <v>28232</v>
      </c>
      <c r="K4327" s="5" t="s">
        <v>344</v>
      </c>
      <c r="L4327" s="5"/>
      <c r="M4327" s="27"/>
      <c r="N4327" s="5" t="s">
        <v>56080</v>
      </c>
      <c r="O4327" s="5" t="str">
        <v>6605001321</v>
      </c>
      <c r="P4327" s="27">
        <v>103517000</v>
      </c>
      <c r="Q4327" s="5"/>
      <c r="R4327" s="5"/>
      <c r="S4327" s="5" t="s">
        <v>50836</v>
      </c>
      <c r="T4327" s="28">
        <v>665732000</v>
      </c>
      <c r="U4327" s="28">
        <v>164000</v>
      </c>
      <c r="V4327" s="28">
        <v>474750000</v>
      </c>
      <c r="W4327" s="28">
        <v>352900000</v>
      </c>
      <c r="X4327" s="28">
        <v>420912000</v>
      </c>
      <c r="Y4327" s="28">
        <v>3729917000</v>
      </c>
      <c r="Z4327" s="28">
        <v>2896931000</v>
      </c>
      <c r="AA4327" s="28"/>
      <c r="AB4327" s="28"/>
      <c r="AC4327" s="28">
        <v>511504000</v>
      </c>
      <c r="AD4327" s="28">
        <v>3095030000</v>
      </c>
      <c r="AE4327" s="28">
        <v>4654741000</v>
      </c>
      <c r="AF4327" s="28">
        <v>581191000</v>
      </c>
      <c r="AG4327" s="11"/>
    </row>
    <row r="4328">
      <c r="A4328" s="7" t="s">
        <v>5976</v>
      </c>
      <c r="B4328" s="5" t="s">
        <v>13930</v>
      </c>
      <c r="C4328" s="5" t="s">
        <v>21689</v>
      </c>
      <c r="D4328" s="5" t="str">
        <v>220914305726</v>
      </c>
      <c r="E4328" s="0" t="e">
        <f>+7 (495) 6171019
+7 (495) 6428046
+7 (495) 9844111
+7 (800) 7005700
+7 (965) 1291689
+7 (965) 4186871</f>
        <v>#NAME?</v>
      </c>
      <c r="F4328" s="5" t="s">
        <v>38268</v>
      </c>
      <c r="G4328" s="5" t="s">
        <v>38269</v>
      </c>
      <c r="H4328" s="26">
        <v>17</v>
      </c>
      <c r="I4328" s="5"/>
      <c r="J4328" s="5" t="s">
        <v>25195</v>
      </c>
      <c r="K4328" s="5" t="s">
        <v>344</v>
      </c>
      <c r="L4328" s="5"/>
      <c r="M4328" s="27">
        <v>12304</v>
      </c>
      <c r="N4328" s="5"/>
      <c r="O4328" s="5" t="str">
        <v>7708589562</v>
      </c>
      <c r="P4328" s="27">
        <v>10100000</v>
      </c>
      <c r="Q4328" s="5" t="s">
        <v>49021</v>
      </c>
      <c r="R4328" s="5"/>
      <c r="S4328" s="5" t="s">
        <v>56082</v>
      </c>
      <c r="T4328" s="28">
        <v>2859308000</v>
      </c>
      <c r="U4328" s="28"/>
      <c r="V4328" s="28">
        <v>377347000</v>
      </c>
      <c r="W4328" s="28">
        <v>962000</v>
      </c>
      <c r="X4328" s="28">
        <v>173661000</v>
      </c>
      <c r="Y4328" s="28">
        <v>8095228000</v>
      </c>
      <c r="Z4328" s="28">
        <v>-2994299000</v>
      </c>
      <c r="AA4328" s="28">
        <v>1555173000</v>
      </c>
      <c r="AB4328" s="28">
        <v>10269000</v>
      </c>
      <c r="AC4328" s="28">
        <v>2529250000</v>
      </c>
      <c r="AD4328" s="28">
        <v>2225901000</v>
      </c>
      <c r="AE4328" s="28">
        <v>9254267000</v>
      </c>
      <c r="AF4328" s="28">
        <v>219236000</v>
      </c>
      <c r="AG4328" s="11"/>
    </row>
    <row r="4329">
      <c r="A4329" s="7" t="s">
        <v>5977</v>
      </c>
      <c r="B4329" s="5" t="s">
        <v>13931</v>
      </c>
      <c r="C4329" s="5" t="s">
        <v>21690</v>
      </c>
      <c r="D4329" s="5"/>
      <c r="E4329" s="0" t="e">
        <f>+7 (495) 3367600
+7 (495) 7883101
+7 (495) 7883242</f>
        <v>#NAME?</v>
      </c>
      <c r="F4329" s="5"/>
      <c r="G4329" s="5"/>
      <c r="H4329" s="26">
        <v>3.5</v>
      </c>
      <c r="I4329" s="5" t="s">
        <v>38270</v>
      </c>
      <c r="J4329" s="5" t="s">
        <v>27640</v>
      </c>
      <c r="K4329" s="5" t="s">
        <v>344</v>
      </c>
      <c r="L4329" s="5"/>
      <c r="M4329" s="27"/>
      <c r="N4329" s="5"/>
      <c r="O4329" s="5" t="str">
        <v>7703476830</v>
      </c>
      <c r="P4329" s="27">
        <v>58000000</v>
      </c>
      <c r="Q4329" s="5" t="s">
        <v>56083</v>
      </c>
      <c r="R4329" s="5"/>
      <c r="S4329" s="5" t="s">
        <v>56084</v>
      </c>
      <c r="T4329" s="28">
        <v>15470495000</v>
      </c>
      <c r="U4329" s="28"/>
      <c r="V4329" s="28">
        <v>412513000</v>
      </c>
      <c r="W4329" s="28"/>
      <c r="X4329" s="28">
        <v>913025000</v>
      </c>
      <c r="Y4329" s="28">
        <v>17080755000</v>
      </c>
      <c r="Z4329" s="28">
        <v>537269000</v>
      </c>
      <c r="AA4329" s="28">
        <v>10575237000</v>
      </c>
      <c r="AB4329" s="28">
        <v>653657000</v>
      </c>
      <c r="AC4329" s="28">
        <v>1289171000</v>
      </c>
      <c r="AD4329" s="28">
        <v>1117269000</v>
      </c>
      <c r="AE4329" s="28">
        <v>3679507000</v>
      </c>
      <c r="AF4329" s="28">
        <v>344600000</v>
      </c>
      <c r="AG4329" s="11"/>
    </row>
    <row r="4330">
      <c r="A4330" s="7" t="s">
        <v>5978</v>
      </c>
      <c r="B4330" s="5" t="s">
        <v>13932</v>
      </c>
      <c r="C4330" s="5" t="s">
        <v>21691</v>
      </c>
      <c r="D4330" s="5" t="str">
        <v>504503003802</v>
      </c>
      <c r="E4330" s="0" t="e">
        <f>+7 (495) 4116636
+7 (495) 7212154
+7 (495) 4116638
+7 (495) 5982341
+7 (800) 7009000
+7 (916) 567970</f>
        <v>#NAME?</v>
      </c>
      <c r="F4330" s="5" t="s">
        <v>38271</v>
      </c>
      <c r="G4330" s="5"/>
      <c r="H4330" s="26">
        <v>23.5</v>
      </c>
      <c r="I4330" s="5" t="s">
        <v>38272</v>
      </c>
      <c r="J4330" s="5" t="s">
        <v>25287</v>
      </c>
      <c r="K4330" s="5" t="s">
        <v>344</v>
      </c>
      <c r="L4330" s="5"/>
      <c r="M4330" s="27"/>
      <c r="N4330" s="5"/>
      <c r="O4330" s="5" t="str">
        <v>5032056319</v>
      </c>
      <c r="P4330" s="27">
        <v>93457549</v>
      </c>
      <c r="Q4330" s="5" t="s">
        <v>49009</v>
      </c>
      <c r="R4330" s="5"/>
      <c r="S4330" s="5" t="s">
        <v>49066</v>
      </c>
      <c r="T4330" s="28">
        <v>2010688000</v>
      </c>
      <c r="U4330" s="28"/>
      <c r="V4330" s="28">
        <v>775729000</v>
      </c>
      <c r="W4330" s="28"/>
      <c r="X4330" s="28">
        <v>308893000</v>
      </c>
      <c r="Y4330" s="28">
        <v>3479170000</v>
      </c>
      <c r="Z4330" s="28">
        <v>735859000</v>
      </c>
      <c r="AA4330" s="28">
        <v>1300000000</v>
      </c>
      <c r="AB4330" s="28">
        <v>106808000</v>
      </c>
      <c r="AC4330" s="28">
        <v>1240870000</v>
      </c>
      <c r="AD4330" s="28">
        <v>831788000</v>
      </c>
      <c r="AE4330" s="28">
        <v>4658218000</v>
      </c>
      <c r="AF4330" s="28">
        <v>276290000</v>
      </c>
      <c r="AG4330" s="11"/>
    </row>
    <row r="4331">
      <c r="A4331" s="7" t="s">
        <v>5979</v>
      </c>
      <c r="B4331" s="5" t="s">
        <v>13933</v>
      </c>
      <c r="C4331" s="5" t="s">
        <v>21692</v>
      </c>
      <c r="D4331" s="5" t="str">
        <v>201600531949</v>
      </c>
      <c r="E4331" s="0" t="e">
        <f>+7 (871) 2224557
+7 (925) 5888889
+7 (928) 5888889
+7 (928) 7882341
+7 (931) 2905861
+7 (925) 1032580</f>
        <v>#NAME?</v>
      </c>
      <c r="F4331" s="5" t="s">
        <v>38273</v>
      </c>
      <c r="G4331" s="5"/>
      <c r="H4331" s="26">
        <v>22.5</v>
      </c>
      <c r="I4331" s="5" t="s">
        <v>38274</v>
      </c>
      <c r="J4331" s="5" t="s">
        <v>1095</v>
      </c>
      <c r="K4331" s="5" t="s">
        <v>344</v>
      </c>
      <c r="L4331" s="5"/>
      <c r="M4331" s="27"/>
      <c r="N4331" s="5" t="s">
        <v>56085</v>
      </c>
      <c r="O4331" s="5" t="str">
        <v>2016001733</v>
      </c>
      <c r="P4331" s="27">
        <v>5000000</v>
      </c>
      <c r="Q4331" s="5" t="s">
        <v>56086</v>
      </c>
      <c r="R4331" s="5" t="s">
        <v>56087</v>
      </c>
      <c r="S4331" s="5" t="s">
        <v>56088</v>
      </c>
      <c r="T4331" s="28">
        <v>116150000</v>
      </c>
      <c r="U4331" s="28">
        <v>173343000</v>
      </c>
      <c r="V4331" s="28">
        <v>1989362000</v>
      </c>
      <c r="W4331" s="28"/>
      <c r="X4331" s="28">
        <v>2331386000</v>
      </c>
      <c r="Y4331" s="28">
        <v>5716600000</v>
      </c>
      <c r="Z4331" s="28">
        <v>-24092000</v>
      </c>
      <c r="AA4331" s="28">
        <v>1416039000</v>
      </c>
      <c r="AB4331" s="28"/>
      <c r="AC4331" s="28">
        <v>4147755000</v>
      </c>
      <c r="AD4331" s="28">
        <v>143634000</v>
      </c>
      <c r="AE4331" s="28">
        <v>3118901000</v>
      </c>
      <c r="AF4331" s="28">
        <v>636000</v>
      </c>
      <c r="AG4331" s="11"/>
    </row>
    <row r="4332">
      <c r="A4332" s="7" t="s">
        <v>5980</v>
      </c>
      <c r="B4332" s="5" t="s">
        <v>13934</v>
      </c>
      <c r="C4332" s="5" t="s">
        <v>21693</v>
      </c>
      <c r="D4332" s="5" t="str">
        <v>052901502900</v>
      </c>
      <c r="E4332" s="0" t="e">
        <f>+7 (495) 9098952</f>
        <v>#NAME?</v>
      </c>
      <c r="F4332" s="5"/>
      <c r="G4332" s="5"/>
      <c r="H4332" s="26">
        <v>7</v>
      </c>
      <c r="I4332" s="5" t="s">
        <v>38275</v>
      </c>
      <c r="J4332" s="5" t="s">
        <v>26125</v>
      </c>
      <c r="K4332" s="5" t="s">
        <v>344</v>
      </c>
      <c r="L4332" s="5" t="s">
        <v>38276</v>
      </c>
      <c r="M4332" s="27">
        <v>6348945</v>
      </c>
      <c r="N4332" s="5"/>
      <c r="O4332" s="5" t="str">
        <v>7716821040</v>
      </c>
      <c r="P4332" s="27">
        <v>30000</v>
      </c>
      <c r="Q4332" s="5"/>
      <c r="R4332" s="5"/>
      <c r="S4332" s="5" t="s">
        <v>49425</v>
      </c>
      <c r="T4332" s="28">
        <v>135613000</v>
      </c>
      <c r="U4332" s="28"/>
      <c r="V4332" s="28">
        <v>1214634000</v>
      </c>
      <c r="W4332" s="28"/>
      <c r="X4332" s="28">
        <v>1016000</v>
      </c>
      <c r="Y4332" s="28">
        <v>1628613000</v>
      </c>
      <c r="Z4332" s="28">
        <v>577700000</v>
      </c>
      <c r="AA4332" s="28"/>
      <c r="AB4332" s="28">
        <v>197011000</v>
      </c>
      <c r="AC4332" s="28">
        <v>1050826000</v>
      </c>
      <c r="AD4332" s="28">
        <v>577730000</v>
      </c>
      <c r="AE4332" s="28">
        <v>15579189000</v>
      </c>
      <c r="AF4332" s="28">
        <v>201408000</v>
      </c>
      <c r="AG4332" s="11"/>
    </row>
    <row r="4333">
      <c r="A4333" s="7" t="s">
        <v>5981</v>
      </c>
      <c r="B4333" s="5" t="s">
        <v>13935</v>
      </c>
      <c r="C4333" s="5" t="s">
        <v>21694</v>
      </c>
      <c r="D4333" s="5" t="str">
        <v>682962730917</v>
      </c>
      <c r="E4333" s="0" t="e">
        <f>+7 (844) 2397786
+7 (863) 3222264
+7 (8632) 121812
+7 (937) 7402500
+7 (965) 3357776
+7 (985) 2282641</f>
        <v>#NAME?</v>
      </c>
      <c r="F4333" s="5" t="s">
        <v>38277</v>
      </c>
      <c r="G4333" s="5" t="s">
        <v>38278</v>
      </c>
      <c r="H4333" s="26">
        <v>9.5</v>
      </c>
      <c r="I4333" s="5" t="s">
        <v>38279</v>
      </c>
      <c r="J4333" s="5" t="s">
        <v>25837</v>
      </c>
      <c r="K4333" s="5" t="s">
        <v>344</v>
      </c>
      <c r="L4333" s="5"/>
      <c r="M4333" s="27"/>
      <c r="N4333" s="5" t="s">
        <v>49422</v>
      </c>
      <c r="O4333" s="5" t="str">
        <v>2310170817</v>
      </c>
      <c r="P4333" s="27">
        <v>10000</v>
      </c>
      <c r="Q4333" s="5" t="s">
        <v>56089</v>
      </c>
      <c r="R4333" s="5"/>
      <c r="S4333" s="5" t="s">
        <v>56090</v>
      </c>
      <c r="T4333" s="28">
        <v>67283000</v>
      </c>
      <c r="U4333" s="28">
        <v>4106000</v>
      </c>
      <c r="V4333" s="28">
        <v>27638405000</v>
      </c>
      <c r="W4333" s="28">
        <v>4985890000</v>
      </c>
      <c r="X4333" s="28">
        <v>1864448000</v>
      </c>
      <c r="Y4333" s="28">
        <v>40865020000</v>
      </c>
      <c r="Z4333" s="28">
        <v>2124457000</v>
      </c>
      <c r="AA4333" s="28"/>
      <c r="AB4333" s="28">
        <v>26765135000</v>
      </c>
      <c r="AC4333" s="28">
        <v>38231849000</v>
      </c>
      <c r="AD4333" s="28">
        <v>2124469000</v>
      </c>
      <c r="AE4333" s="28">
        <v>66921605000</v>
      </c>
      <c r="AF4333" s="28">
        <v>1295042000</v>
      </c>
      <c r="AG4333" s="11"/>
    </row>
    <row r="4334">
      <c r="A4334" s="7" t="s">
        <v>5982</v>
      </c>
      <c r="B4334" s="5" t="s">
        <v>13936</v>
      </c>
      <c r="C4334" s="5" t="s">
        <v>21695</v>
      </c>
      <c r="D4334" s="5" t="str">
        <v>344307911357</v>
      </c>
      <c r="E4334" s="0" t="e">
        <f>+7 (985) 7223737
+7 (910) 7563665
+7 (926) 5200499</f>
        <v>#NAME?</v>
      </c>
      <c r="F4334" s="5" t="s">
        <v>38280</v>
      </c>
      <c r="G4334" s="5"/>
      <c r="H4334" s="26">
        <v>9.5</v>
      </c>
      <c r="I4334" s="5" t="s">
        <v>38279</v>
      </c>
      <c r="J4334" s="5" t="s">
        <v>25837</v>
      </c>
      <c r="K4334" s="5" t="s">
        <v>355</v>
      </c>
      <c r="L4334" s="5"/>
      <c r="M4334" s="27"/>
      <c r="N4334" s="5"/>
      <c r="O4334" s="5" t="str">
        <v>6829091890</v>
      </c>
      <c r="P4334" s="27">
        <v>10000</v>
      </c>
      <c r="Q4334" s="5"/>
      <c r="R4334" s="5"/>
      <c r="S4334" s="5" t="s">
        <v>49425</v>
      </c>
      <c r="T4334" s="28">
        <v>7812000</v>
      </c>
      <c r="U4334" s="28">
        <v>271000</v>
      </c>
      <c r="V4334" s="28">
        <v>522762000</v>
      </c>
      <c r="W4334" s="28"/>
      <c r="X4334" s="28">
        <v>136392000</v>
      </c>
      <c r="Y4334" s="28">
        <v>1047336000</v>
      </c>
      <c r="Z4334" s="28">
        <v>109857000</v>
      </c>
      <c r="AA4334" s="28"/>
      <c r="AB4334" s="28">
        <v>520673000</v>
      </c>
      <c r="AC4334" s="28">
        <v>915895000</v>
      </c>
      <c r="AD4334" s="28">
        <v>129099000</v>
      </c>
      <c r="AE4334" s="28">
        <v>4818239000</v>
      </c>
      <c r="AF4334" s="28">
        <v>109858000</v>
      </c>
      <c r="AG4334" s="11"/>
    </row>
    <row r="4335">
      <c r="A4335" s="7" t="s">
        <v>5983</v>
      </c>
      <c r="B4335" s="5" t="s">
        <v>13937</v>
      </c>
      <c r="C4335" s="5" t="s">
        <v>21696</v>
      </c>
      <c r="D4335" s="5" t="str">
        <v>027409486804</v>
      </c>
      <c r="E4335" s="0" t="e">
        <f>+7 (34767) 95010</f>
        <v>#NAME?</v>
      </c>
      <c r="F4335" s="5" t="s">
        <v>38281</v>
      </c>
      <c r="G4335" s="5" t="s">
        <v>38282</v>
      </c>
      <c r="H4335" s="26">
        <v>10.5</v>
      </c>
      <c r="I4335" s="5"/>
      <c r="J4335" s="5" t="s">
        <v>31819</v>
      </c>
      <c r="K4335" s="5" t="s">
        <v>344</v>
      </c>
      <c r="L4335" s="5" t="s">
        <v>38283</v>
      </c>
      <c r="M4335" s="27">
        <v>2923401</v>
      </c>
      <c r="N4335" s="5" t="s">
        <v>56091</v>
      </c>
      <c r="O4335" s="5" t="str">
        <v>0265037983</v>
      </c>
      <c r="P4335" s="27">
        <v>86232533</v>
      </c>
      <c r="Q4335" s="5" t="s">
        <v>56092</v>
      </c>
      <c r="R4335" s="5"/>
      <c r="S4335" s="5" t="s">
        <v>56093</v>
      </c>
      <c r="T4335" s="28">
        <v>785119000</v>
      </c>
      <c r="U4335" s="28"/>
      <c r="V4335" s="28">
        <v>1077498000</v>
      </c>
      <c r="W4335" s="28">
        <v>678131000</v>
      </c>
      <c r="X4335" s="28">
        <v>294516000</v>
      </c>
      <c r="Y4335" s="28">
        <v>3971665000</v>
      </c>
      <c r="Z4335" s="28">
        <v>2494873000</v>
      </c>
      <c r="AA4335" s="28"/>
      <c r="AB4335" s="28"/>
      <c r="AC4335" s="28">
        <v>1339032000</v>
      </c>
      <c r="AD4335" s="28">
        <v>2589827000</v>
      </c>
      <c r="AE4335" s="28">
        <v>5057050000</v>
      </c>
      <c r="AF4335" s="28">
        <v>328980000</v>
      </c>
      <c r="AG4335" s="11"/>
    </row>
    <row r="4336">
      <c r="A4336" s="7" t="s">
        <v>5984</v>
      </c>
      <c r="B4336" s="5" t="s">
        <v>13938</v>
      </c>
      <c r="C4336" s="5" t="s">
        <v>21697</v>
      </c>
      <c r="D4336" s="5"/>
      <c r="E4336" s="0" t="e">
        <f>+7 (8482) 379337
+7 (84862) 71854
+7 (987) 4599993
+7 (987) 4599994</f>
        <v>#NAME?</v>
      </c>
      <c r="F4336" s="5"/>
      <c r="G4336" s="5"/>
      <c r="H4336" s="26">
        <v>11</v>
      </c>
      <c r="I4336" s="5" t="s">
        <v>38284</v>
      </c>
      <c r="J4336" s="5" t="s">
        <v>25437</v>
      </c>
      <c r="K4336" s="5" t="s">
        <v>344</v>
      </c>
      <c r="L4336" s="5" t="s">
        <v>38285</v>
      </c>
      <c r="M4336" s="27"/>
      <c r="N4336" s="5" t="s">
        <v>56094</v>
      </c>
      <c r="O4336" s="5" t="str">
        <v>6345022831</v>
      </c>
      <c r="P4336" s="27">
        <v>10000</v>
      </c>
      <c r="Q4336" s="5"/>
      <c r="R4336" s="5"/>
      <c r="S4336" s="5" t="s">
        <v>50538</v>
      </c>
      <c r="T4336" s="28">
        <v>3572672000</v>
      </c>
      <c r="U4336" s="28"/>
      <c r="V4336" s="28">
        <v>1654310000</v>
      </c>
      <c r="W4336" s="28"/>
      <c r="X4336" s="28">
        <v>96863000</v>
      </c>
      <c r="Y4336" s="28">
        <v>7735388000</v>
      </c>
      <c r="Z4336" s="28">
        <v>3208671000</v>
      </c>
      <c r="AA4336" s="28">
        <v>1865353000</v>
      </c>
      <c r="AB4336" s="28">
        <v>1817159000</v>
      </c>
      <c r="AC4336" s="28">
        <v>2128492000</v>
      </c>
      <c r="AD4336" s="28">
        <v>3713764000</v>
      </c>
      <c r="AE4336" s="28">
        <v>3625869000</v>
      </c>
      <c r="AF4336" s="28">
        <v>1418631000</v>
      </c>
      <c r="AG4336" s="11"/>
    </row>
    <row r="4337">
      <c r="A4337" s="7" t="s">
        <v>5985</v>
      </c>
      <c r="B4337" s="5" t="s">
        <v>13939</v>
      </c>
      <c r="C4337" s="5" t="s">
        <v>21698</v>
      </c>
      <c r="D4337" s="5" t="str">
        <v>780423395310</v>
      </c>
      <c r="E4337" s="0" t="e">
        <f>+7 (921) 9399986
+7 (81371) 11231
+7 (81371) 21532
+7 (81371) 31998
+7 (81371) 32266
+7 (81371) 36060
+7 (81371) 90558
+7 (81371) 91812
+7 (81371) 99244</f>
        <v>#NAME?</v>
      </c>
      <c r="F4337" s="5" t="s">
        <v>38286</v>
      </c>
      <c r="G4337" s="5" t="s">
        <v>38287</v>
      </c>
      <c r="H4337" s="26">
        <v>21</v>
      </c>
      <c r="I4337" s="5" t="s">
        <v>38288</v>
      </c>
      <c r="J4337" s="5" t="s">
        <v>445</v>
      </c>
      <c r="K4337" s="5" t="s">
        <v>344</v>
      </c>
      <c r="L4337" s="5" t="s">
        <v>38289</v>
      </c>
      <c r="M4337" s="27"/>
      <c r="N4337" s="5" t="s">
        <v>56095</v>
      </c>
      <c r="O4337" s="5" t="str">
        <v>4705023029</v>
      </c>
      <c r="P4337" s="27">
        <v>1000000</v>
      </c>
      <c r="Q4337" s="5" t="s">
        <v>56096</v>
      </c>
      <c r="R4337" s="5"/>
      <c r="S4337" s="5" t="s">
        <v>56097</v>
      </c>
      <c r="T4337" s="28">
        <v>263972000</v>
      </c>
      <c r="U4337" s="28"/>
      <c r="V4337" s="28">
        <v>3248387000</v>
      </c>
      <c r="W4337" s="28">
        <v>83547000</v>
      </c>
      <c r="X4337" s="28">
        <v>832518000</v>
      </c>
      <c r="Y4337" s="28">
        <v>5639704000</v>
      </c>
      <c r="Z4337" s="28">
        <v>680088000</v>
      </c>
      <c r="AA4337" s="28"/>
      <c r="AB4337" s="28"/>
      <c r="AC4337" s="28">
        <v>4888386000</v>
      </c>
      <c r="AD4337" s="28">
        <v>681088000</v>
      </c>
      <c r="AE4337" s="28">
        <v>5174043000</v>
      </c>
      <c r="AF4337" s="28">
        <v>205403000</v>
      </c>
      <c r="AG4337" s="11"/>
    </row>
    <row r="4338">
      <c r="A4338" s="7" t="s">
        <v>5986</v>
      </c>
      <c r="B4338" s="5" t="s">
        <v>13940</v>
      </c>
      <c r="C4338" s="5" t="s">
        <v>21699</v>
      </c>
      <c r="D4338" s="5"/>
      <c r="E4338" s="0" t="e">
        <f>+7 (345) 2363946
+7 (345) 2581100
+7 (345) 2581106
+7 (345) 2581110
+7 (495) 7966241
+7 (498) 5050239
+7 (4985) 50240</f>
        <v>#NAME?</v>
      </c>
      <c r="F4338" s="5" t="s">
        <v>38290</v>
      </c>
      <c r="G4338" s="5" t="s">
        <v>38291</v>
      </c>
      <c r="H4338" s="26">
        <v>29.5</v>
      </c>
      <c r="I4338" s="5" t="s">
        <v>38292</v>
      </c>
      <c r="J4338" s="5" t="s">
        <v>26992</v>
      </c>
      <c r="K4338" s="5" t="s">
        <v>344</v>
      </c>
      <c r="L4338" s="5" t="s">
        <v>38293</v>
      </c>
      <c r="M4338" s="27"/>
      <c r="N4338" s="5" t="s">
        <v>56098</v>
      </c>
      <c r="O4338" s="5" t="str">
        <v>7202029735</v>
      </c>
      <c r="P4338" s="27">
        <v>444240</v>
      </c>
      <c r="Q4338" s="5" t="s">
        <v>56099</v>
      </c>
      <c r="R4338" s="5"/>
      <c r="S4338" s="5" t="s">
        <v>56100</v>
      </c>
      <c r="T4338" s="28">
        <v>1668530000</v>
      </c>
      <c r="U4338" s="28">
        <v>1380390000</v>
      </c>
      <c r="V4338" s="28">
        <v>1350079000</v>
      </c>
      <c r="W4338" s="28"/>
      <c r="X4338" s="28">
        <v>1422428000</v>
      </c>
      <c r="Y4338" s="28">
        <v>6248204000</v>
      </c>
      <c r="Z4338" s="28">
        <v>5073831000</v>
      </c>
      <c r="AA4338" s="28">
        <v>115631000</v>
      </c>
      <c r="AB4338" s="28">
        <v>264443000</v>
      </c>
      <c r="AC4338" s="28">
        <v>899527000</v>
      </c>
      <c r="AD4338" s="28">
        <v>5078045000</v>
      </c>
      <c r="AE4338" s="28">
        <v>4926983000</v>
      </c>
      <c r="AF4338" s="28">
        <v>1007153000</v>
      </c>
      <c r="AG4338" s="11"/>
    </row>
    <row r="4339">
      <c r="A4339" s="7" t="s">
        <v>5987</v>
      </c>
      <c r="B4339" s="5" t="s">
        <v>13941</v>
      </c>
      <c r="C4339" s="5" t="s">
        <v>21700</v>
      </c>
      <c r="D4339" s="5"/>
      <c r="E4339" s="0" t="e">
        <f>+7 (910) 4827522
+7 (926) 1745023
+7 (495) 5022137
+7 (916) 6590404
+7 (926) 1745089</f>
        <v>#NAME?</v>
      </c>
      <c r="F4339" s="5" t="s">
        <v>38294</v>
      </c>
      <c r="G4339" s="5" t="s">
        <v>38295</v>
      </c>
      <c r="H4339" s="26">
        <v>11</v>
      </c>
      <c r="I4339" s="5" t="s">
        <v>38296</v>
      </c>
      <c r="J4339" s="5" t="s">
        <v>373</v>
      </c>
      <c r="K4339" s="5" t="s">
        <v>344</v>
      </c>
      <c r="L4339" s="5" t="s">
        <v>38297</v>
      </c>
      <c r="M4339" s="27">
        <v>85323323</v>
      </c>
      <c r="N4339" s="5" t="s">
        <v>56101</v>
      </c>
      <c r="O4339" s="5" t="str">
        <v>4012004991</v>
      </c>
      <c r="P4339" s="27">
        <v>1000000</v>
      </c>
      <c r="Q4339" s="5" t="s">
        <v>56102</v>
      </c>
      <c r="R4339" s="5"/>
      <c r="S4339" s="5" t="s">
        <v>56103</v>
      </c>
      <c r="T4339" s="28">
        <v>2359000</v>
      </c>
      <c r="U4339" s="28"/>
      <c r="V4339" s="28">
        <v>576025000</v>
      </c>
      <c r="W4339" s="28">
        <v>45070000</v>
      </c>
      <c r="X4339" s="28">
        <v>7233000</v>
      </c>
      <c r="Y4339" s="28">
        <v>1425205000</v>
      </c>
      <c r="Z4339" s="28">
        <v>445900000</v>
      </c>
      <c r="AA4339" s="28">
        <v>49993000</v>
      </c>
      <c r="AB4339" s="28">
        <v>345172000</v>
      </c>
      <c r="AC4339" s="28">
        <v>909775000</v>
      </c>
      <c r="AD4339" s="28">
        <v>446900000</v>
      </c>
      <c r="AE4339" s="28">
        <v>8285257000</v>
      </c>
      <c r="AF4339" s="28">
        <v>112604000</v>
      </c>
      <c r="AG4339" s="11"/>
    </row>
    <row r="4340">
      <c r="A4340" s="7" t="s">
        <v>5988</v>
      </c>
      <c r="B4340" s="5" t="s">
        <v>13942</v>
      </c>
      <c r="C4340" s="5" t="s">
        <v>21701</v>
      </c>
      <c r="D4340" s="5" t="str">
        <v>026824332706</v>
      </c>
      <c r="F4340" s="5" t="s">
        <v>38298</v>
      </c>
      <c r="G4340" s="5" t="s">
        <v>38299</v>
      </c>
      <c r="H4340" s="26">
        <v>13</v>
      </c>
      <c r="I4340" s="5" t="s">
        <v>38300</v>
      </c>
      <c r="J4340" s="5" t="s">
        <v>25327</v>
      </c>
      <c r="K4340" s="5" t="s">
        <v>344</v>
      </c>
      <c r="L4340" s="5"/>
      <c r="M4340" s="27"/>
      <c r="N4340" s="5"/>
      <c r="O4340" s="5" t="str">
        <v>7728731619</v>
      </c>
      <c r="P4340" s="27">
        <v>10000</v>
      </c>
      <c r="Q4340" s="5" t="s">
        <v>49009</v>
      </c>
      <c r="R4340" s="5"/>
      <c r="S4340" s="5" t="s">
        <v>49010</v>
      </c>
      <c r="T4340" s="28">
        <v>1839000</v>
      </c>
      <c r="U4340" s="28">
        <v>3968386000</v>
      </c>
      <c r="V4340" s="28">
        <v>31536970000</v>
      </c>
      <c r="W4340" s="28"/>
      <c r="X4340" s="28">
        <v>2538838000</v>
      </c>
      <c r="Y4340" s="28">
        <v>56520282000</v>
      </c>
      <c r="Z4340" s="28">
        <v>-14036179000</v>
      </c>
      <c r="AA4340" s="28">
        <v>12048814000</v>
      </c>
      <c r="AB4340" s="28">
        <v>14561500000</v>
      </c>
      <c r="AC4340" s="28">
        <v>55592035000</v>
      </c>
      <c r="AD4340" s="28">
        <v>-14036064000</v>
      </c>
      <c r="AE4340" s="28">
        <v>294382838000</v>
      </c>
      <c r="AF4340" s="28">
        <v>18139559000</v>
      </c>
      <c r="AG4340" s="11"/>
    </row>
    <row r="4341">
      <c r="A4341" s="7" t="s">
        <v>5989</v>
      </c>
      <c r="B4341" s="5" t="s">
        <v>13943</v>
      </c>
      <c r="C4341" s="5" t="s">
        <v>21702</v>
      </c>
      <c r="D4341" s="5" t="str">
        <v>026508552799</v>
      </c>
      <c r="E4341" s="0" t="e">
        <f>+7 (34767) 67376
+7 (937) 8452362
+7 (937) 3044138</f>
        <v>#NAME?</v>
      </c>
      <c r="F4341" s="5" t="s">
        <v>38301</v>
      </c>
      <c r="G4341" s="5"/>
      <c r="H4341" s="26">
        <v>16.5</v>
      </c>
      <c r="I4341" s="5" t="s">
        <v>38302</v>
      </c>
      <c r="J4341" s="5" t="s">
        <v>26799</v>
      </c>
      <c r="K4341" s="5" t="s">
        <v>355</v>
      </c>
      <c r="L4341" s="5"/>
      <c r="M4341" s="27">
        <v>4174328</v>
      </c>
      <c r="N4341" s="5" t="s">
        <v>52997</v>
      </c>
      <c r="O4341" s="5" t="str">
        <v>0265028636</v>
      </c>
      <c r="P4341" s="27">
        <v>2510000</v>
      </c>
      <c r="Q4341" s="5" t="s">
        <v>56105</v>
      </c>
      <c r="R4341" s="5"/>
      <c r="S4341" s="5" t="s">
        <v>49496</v>
      </c>
      <c r="T4341" s="28">
        <v>898304000</v>
      </c>
      <c r="U4341" s="28"/>
      <c r="V4341" s="28">
        <v>856244000</v>
      </c>
      <c r="W4341" s="28"/>
      <c r="X4341" s="28">
        <v>99152000</v>
      </c>
      <c r="Y4341" s="28">
        <v>2403181000</v>
      </c>
      <c r="Z4341" s="28">
        <v>1320788000</v>
      </c>
      <c r="AA4341" s="28"/>
      <c r="AB4341" s="28"/>
      <c r="AC4341" s="28">
        <v>925205000</v>
      </c>
      <c r="AD4341" s="28">
        <v>1326845000</v>
      </c>
      <c r="AE4341" s="28">
        <v>3411254000</v>
      </c>
      <c r="AF4341" s="28">
        <v>71478000</v>
      </c>
      <c r="AG4341" s="11"/>
    </row>
    <row r="4342">
      <c r="A4342" s="7" t="s">
        <v>5990</v>
      </c>
      <c r="B4342" s="5" t="s">
        <v>13944</v>
      </c>
      <c r="C4342" s="5" t="s">
        <v>19115</v>
      </c>
      <c r="D4342" s="5" t="str">
        <v>027718139004</v>
      </c>
      <c r="E4342" s="0" t="e">
        <f>+7 (353) 2755400
+7 (353) 2645494
+7 (353) 2771888
+7 (353) 2780883</f>
        <v>#NAME?</v>
      </c>
      <c r="F4342" s="5" t="s">
        <v>38303</v>
      </c>
      <c r="G4342" s="5"/>
      <c r="H4342" s="26">
        <v>25</v>
      </c>
      <c r="I4342" s="5"/>
      <c r="J4342" s="5" t="s">
        <v>26607</v>
      </c>
      <c r="K4342" s="5" t="s">
        <v>380</v>
      </c>
      <c r="L4342" s="5" t="s">
        <v>38304</v>
      </c>
      <c r="M4342" s="27"/>
      <c r="N4342" s="5"/>
      <c r="O4342" s="5" t="str">
        <v>5638015430</v>
      </c>
      <c r="P4342" s="27">
        <v>802000</v>
      </c>
      <c r="Q4342" s="5" t="s">
        <v>49009</v>
      </c>
      <c r="R4342" s="5"/>
      <c r="S4342" s="5" t="s">
        <v>49093</v>
      </c>
      <c r="T4342" s="28">
        <v>7543993000</v>
      </c>
      <c r="U4342" s="28">
        <v>32702000</v>
      </c>
      <c r="V4342" s="28">
        <v>2550474000</v>
      </c>
      <c r="W4342" s="28"/>
      <c r="X4342" s="28">
        <v>300000</v>
      </c>
      <c r="Y4342" s="28">
        <v>11862227000</v>
      </c>
      <c r="Z4342" s="28">
        <v>4809871000</v>
      </c>
      <c r="AA4342" s="28">
        <v>50062000</v>
      </c>
      <c r="AB4342" s="28"/>
      <c r="AC4342" s="28">
        <v>5995030000</v>
      </c>
      <c r="AD4342" s="28">
        <v>4810713000</v>
      </c>
      <c r="AE4342" s="28">
        <v>23823950000</v>
      </c>
      <c r="AF4342" s="28">
        <v>82312000</v>
      </c>
      <c r="AG4342" s="11"/>
    </row>
    <row r="4343">
      <c r="A4343" s="7" t="s">
        <v>5991</v>
      </c>
      <c r="B4343" s="5" t="s">
        <v>13945</v>
      </c>
      <c r="C4343" s="5" t="s">
        <v>21703</v>
      </c>
      <c r="D4343" s="5" t="str">
        <v>860312308633</v>
      </c>
      <c r="E4343" s="0" t="e">
        <f>+7 (3466) 310100
+7 (3466) 612514
+7 (3466) 612614
+7 (982) 5314999
+7 (982) 5453589</f>
        <v>#NAME?</v>
      </c>
      <c r="F4343" s="5" t="s">
        <v>38305</v>
      </c>
      <c r="G4343" s="5"/>
      <c r="H4343" s="26">
        <v>21</v>
      </c>
      <c r="I4343" s="5" t="s">
        <v>38306</v>
      </c>
      <c r="J4343" s="5" t="s">
        <v>26799</v>
      </c>
      <c r="K4343" s="5" t="s">
        <v>355</v>
      </c>
      <c r="L4343" s="5" t="s">
        <v>38307</v>
      </c>
      <c r="M4343" s="27">
        <v>1616652</v>
      </c>
      <c r="N4343" s="5" t="s">
        <v>56106</v>
      </c>
      <c r="O4343" s="5" t="str">
        <v>8603104156</v>
      </c>
      <c r="P4343" s="27">
        <v>10000</v>
      </c>
      <c r="Q4343" s="5" t="s">
        <v>56107</v>
      </c>
      <c r="R4343" s="5"/>
      <c r="S4343" s="5" t="s">
        <v>56108</v>
      </c>
      <c r="T4343" s="28">
        <v>412286000</v>
      </c>
      <c r="U4343" s="28"/>
      <c r="V4343" s="28">
        <v>1437292000</v>
      </c>
      <c r="W4343" s="28"/>
      <c r="X4343" s="28">
        <v>186902000</v>
      </c>
      <c r="Y4343" s="28">
        <v>3828646000</v>
      </c>
      <c r="Z4343" s="28">
        <v>859362000</v>
      </c>
      <c r="AA4343" s="28"/>
      <c r="AB4343" s="28">
        <v>1678542000</v>
      </c>
      <c r="AC4343" s="28">
        <v>2968646000</v>
      </c>
      <c r="AD4343" s="28">
        <v>859372000</v>
      </c>
      <c r="AE4343" s="28">
        <v>3128788000</v>
      </c>
      <c r="AF4343" s="28">
        <v>-178740000</v>
      </c>
      <c r="AG4343" s="11"/>
    </row>
    <row r="4344">
      <c r="A4344" s="7" t="s">
        <v>5992</v>
      </c>
      <c r="B4344" s="5" t="s">
        <v>13946</v>
      </c>
      <c r="C4344" s="5" t="s">
        <v>21704</v>
      </c>
      <c r="D4344" s="5" t="str">
        <v>201600750210</v>
      </c>
      <c r="E4344" s="0" t="e">
        <f>+7 (495) 9990020</f>
        <v>#NAME?</v>
      </c>
      <c r="F4344" s="5" t="s">
        <v>38308</v>
      </c>
      <c r="G4344" s="5"/>
      <c r="H4344" s="26">
        <v>4.5</v>
      </c>
      <c r="I4344" s="5" t="s">
        <v>38309</v>
      </c>
      <c r="J4344" s="5" t="s">
        <v>27296</v>
      </c>
      <c r="K4344" s="5" t="s">
        <v>344</v>
      </c>
      <c r="L4344" s="5" t="s">
        <v>38310</v>
      </c>
      <c r="M4344" s="27"/>
      <c r="N4344" s="5" t="s">
        <v>56109</v>
      </c>
      <c r="O4344" s="5" t="str">
        <v>7716924038</v>
      </c>
      <c r="P4344" s="27">
        <v>10000</v>
      </c>
      <c r="Q4344" s="5" t="s">
        <v>56110</v>
      </c>
      <c r="R4344" s="5"/>
      <c r="S4344" s="5" t="s">
        <v>56111</v>
      </c>
      <c r="T4344" s="28">
        <v>48000</v>
      </c>
      <c r="U4344" s="28"/>
      <c r="V4344" s="28">
        <v>99481000</v>
      </c>
      <c r="W4344" s="28"/>
      <c r="X4344" s="28">
        <v>460000</v>
      </c>
      <c r="Y4344" s="28">
        <v>100822000</v>
      </c>
      <c r="Z4344" s="28">
        <v>11067000</v>
      </c>
      <c r="AA4344" s="28"/>
      <c r="AB4344" s="28">
        <v>10000000</v>
      </c>
      <c r="AC4344" s="28">
        <v>90281000</v>
      </c>
      <c r="AD4344" s="28">
        <v>11077000</v>
      </c>
      <c r="AE4344" s="28">
        <v>5240190000</v>
      </c>
      <c r="AF4344" s="28">
        <v>32443000</v>
      </c>
      <c r="AG4344" s="11"/>
    </row>
    <row r="4345">
      <c r="A4345" s="7" t="s">
        <v>5993</v>
      </c>
      <c r="B4345" s="5" t="s">
        <v>13947</v>
      </c>
      <c r="C4345" s="5" t="s">
        <v>21705</v>
      </c>
      <c r="D4345" s="5" t="str">
        <v>171701717571</v>
      </c>
      <c r="E4345" s="0" t="e">
        <f>+7 (394) 2253905
+7 (394) 2225570
+7 (394) 2225572
+7 (394) 2225573
+7 (394) 2225574
+7 (394) 2253552
+7 (394) 2253908
+7 (394) 2253920
+7 (394) 2253937</f>
        <v>#NAME?</v>
      </c>
      <c r="F4345" s="5" t="s">
        <v>38311</v>
      </c>
      <c r="G4345" s="5" t="s">
        <v>38312</v>
      </c>
      <c r="H4345" s="26">
        <v>23</v>
      </c>
      <c r="I4345" s="5" t="s">
        <v>38313</v>
      </c>
      <c r="J4345" s="5" t="s">
        <v>26499</v>
      </c>
      <c r="K4345" s="5" t="s">
        <v>355</v>
      </c>
      <c r="L4345" s="5" t="s">
        <v>38314</v>
      </c>
      <c r="M4345" s="27"/>
      <c r="N4345" s="5"/>
      <c r="O4345" s="5" t="str">
        <v>1705001887</v>
      </c>
      <c r="P4345" s="27">
        <v>120000000</v>
      </c>
      <c r="Q4345" s="5" t="s">
        <v>49009</v>
      </c>
      <c r="R4345" s="5"/>
      <c r="S4345" s="5" t="s">
        <v>49010</v>
      </c>
      <c r="T4345" s="28">
        <v>753345000</v>
      </c>
      <c r="U4345" s="28">
        <v>1000000</v>
      </c>
      <c r="V4345" s="28">
        <v>116407000</v>
      </c>
      <c r="W4345" s="28">
        <v>371000000</v>
      </c>
      <c r="X4345" s="28">
        <v>438702000</v>
      </c>
      <c r="Y4345" s="28">
        <v>2103100000</v>
      </c>
      <c r="Z4345" s="28">
        <v>197885000</v>
      </c>
      <c r="AA4345" s="28"/>
      <c r="AB4345" s="28">
        <v>687172000</v>
      </c>
      <c r="AC4345" s="28">
        <v>895837000</v>
      </c>
      <c r="AD4345" s="28">
        <v>1194816000</v>
      </c>
      <c r="AE4345" s="28">
        <v>4746971000</v>
      </c>
      <c r="AF4345" s="28">
        <v>165536000</v>
      </c>
      <c r="AG4345" s="11"/>
    </row>
    <row r="4346">
      <c r="A4346" s="7" t="s">
        <v>5994</v>
      </c>
      <c r="B4346" s="5" t="s">
        <v>13948</v>
      </c>
      <c r="C4346" s="5" t="s">
        <v>21706</v>
      </c>
      <c r="D4346" s="5" t="str">
        <v>770700055464</v>
      </c>
      <c r="E4346" s="0" t="e">
        <f>+7 (3843) 900262
+7 (3843) 900263
+7 (3843) 975140
+7 (3843) 975142</f>
        <v>#NAME?</v>
      </c>
      <c r="F4346" s="5" t="s">
        <v>38315</v>
      </c>
      <c r="G4346" s="5" t="s">
        <v>38316</v>
      </c>
      <c r="H4346" s="26">
        <v>12.5</v>
      </c>
      <c r="I4346" s="5" t="s">
        <v>38317</v>
      </c>
      <c r="J4346" s="5" t="s">
        <v>364</v>
      </c>
      <c r="K4346" s="5" t="s">
        <v>344</v>
      </c>
      <c r="L4346" s="5" t="s">
        <v>38318</v>
      </c>
      <c r="M4346" s="27">
        <v>66801331</v>
      </c>
      <c r="N4346" s="5" t="s">
        <v>56112</v>
      </c>
      <c r="O4346" s="5" t="str">
        <v>4217126461</v>
      </c>
      <c r="P4346" s="27">
        <v>74400000</v>
      </c>
      <c r="Q4346" s="5" t="s">
        <v>56113</v>
      </c>
      <c r="R4346" s="5"/>
      <c r="S4346" s="5" t="s">
        <v>56114</v>
      </c>
      <c r="T4346" s="28">
        <v>63225000</v>
      </c>
      <c r="U4346" s="28">
        <v>355753000</v>
      </c>
      <c r="V4346" s="28">
        <v>2479274000</v>
      </c>
      <c r="W4346" s="28"/>
      <c r="X4346" s="28">
        <v>8085000</v>
      </c>
      <c r="Y4346" s="28">
        <v>2998707000</v>
      </c>
      <c r="Z4346" s="28">
        <v>250812000</v>
      </c>
      <c r="AA4346" s="28">
        <v>458743000</v>
      </c>
      <c r="AB4346" s="28">
        <v>1410000</v>
      </c>
      <c r="AC4346" s="28">
        <v>2214752000</v>
      </c>
      <c r="AD4346" s="28">
        <v>325212000</v>
      </c>
      <c r="AE4346" s="28">
        <v>3722746000</v>
      </c>
      <c r="AF4346" s="28">
        <v>20882000</v>
      </c>
      <c r="AG4346" s="11"/>
    </row>
    <row r="4347">
      <c r="A4347" s="7" t="s">
        <v>5995</v>
      </c>
      <c r="B4347" s="5" t="s">
        <v>13949</v>
      </c>
      <c r="C4347" s="5" t="s">
        <v>20053</v>
      </c>
      <c r="D4347" s="5"/>
      <c r="E4347" s="0" t="e">
        <f>+7 (4912) 427123
+7 (473) 2679777
+7 (49138) 71048
+7 (49138) 71052
+7 (49138) 71516
+7 (49138) 79444
+7 (49138) 79450
+7 (49138) 79455
+7 (49138) 79460
+7 (49147) 27135
+7 (49147) 27137
+7 (49148) 37477
+7 (920) 2148910
+7 (985) 3649133</f>
        <v>#NAME?</v>
      </c>
      <c r="F4347" s="5" t="s">
        <v>38319</v>
      </c>
      <c r="G4347" s="5" t="s">
        <v>38320</v>
      </c>
      <c r="H4347" s="26">
        <v>25.5</v>
      </c>
      <c r="I4347" s="5" t="s">
        <v>38321</v>
      </c>
      <c r="J4347" s="5" t="s">
        <v>725</v>
      </c>
      <c r="K4347" s="5" t="s">
        <v>344</v>
      </c>
      <c r="L4347" s="5" t="s">
        <v>38322</v>
      </c>
      <c r="M4347" s="27"/>
      <c r="N4347" s="5"/>
      <c r="O4347" s="5" t="str">
        <v>6223002073</v>
      </c>
      <c r="P4347" s="27">
        <v>165929473</v>
      </c>
      <c r="Q4347" s="5"/>
      <c r="R4347" s="5"/>
      <c r="S4347" s="5" t="s">
        <v>49029</v>
      </c>
      <c r="T4347" s="28">
        <v>8525984000</v>
      </c>
      <c r="U4347" s="28"/>
      <c r="V4347" s="28">
        <v>7458944000</v>
      </c>
      <c r="W4347" s="28">
        <v>308750000</v>
      </c>
      <c r="X4347" s="28">
        <v>4274000</v>
      </c>
      <c r="Y4347" s="28">
        <v>19036844000</v>
      </c>
      <c r="Z4347" s="28">
        <v>4558817000</v>
      </c>
      <c r="AA4347" s="28">
        <v>9185050000</v>
      </c>
      <c r="AB4347" s="28">
        <v>1052269000</v>
      </c>
      <c r="AC4347" s="28">
        <v>2868862000</v>
      </c>
      <c r="AD4347" s="28">
        <v>5607850000</v>
      </c>
      <c r="AE4347" s="28">
        <v>8663564000</v>
      </c>
      <c r="AF4347" s="28">
        <v>1661334000</v>
      </c>
      <c r="AG4347" s="11"/>
    </row>
    <row r="4348">
      <c r="A4348" s="7" t="s">
        <v>5996</v>
      </c>
      <c r="B4348" s="5" t="s">
        <v>13950</v>
      </c>
      <c r="C4348" s="5" t="s">
        <v>21707</v>
      </c>
      <c r="D4348" s="5" t="str">
        <v>524925805500</v>
      </c>
      <c r="E4348" s="0" t="e">
        <f>+7 (812) 4077160
+7 (831) 2578878
+7 (831) 2748826
+7 (831) 2749987
+7 (8313) 310035
+7 (8313) 310075
+7 (8313) 310151
+7 (8313) 310155
+7 (8313) 314413
+7 (8313) 353377
+7 (8313) 397730
+7 (8313) 397770
+7 (84627) 69993
+7 (84627) 70545
+7 (84631) 20139</f>
        <v>#NAME?</v>
      </c>
      <c r="F4348" s="5" t="s">
        <v>38323</v>
      </c>
      <c r="G4348" s="5" t="s">
        <v>38324</v>
      </c>
      <c r="H4348" s="26">
        <v>19.5</v>
      </c>
      <c r="I4348" s="5" t="s">
        <v>38325</v>
      </c>
      <c r="J4348" s="5" t="s">
        <v>26770</v>
      </c>
      <c r="K4348" s="5" t="s">
        <v>344</v>
      </c>
      <c r="L4348" s="5" t="s">
        <v>38326</v>
      </c>
      <c r="M4348" s="27"/>
      <c r="N4348" s="5" t="s">
        <v>56116</v>
      </c>
      <c r="O4348" s="5" t="str">
        <v>5249069585</v>
      </c>
      <c r="P4348" s="27">
        <v>10000</v>
      </c>
      <c r="Q4348" s="5" t="s">
        <v>56117</v>
      </c>
      <c r="R4348" s="5"/>
      <c r="S4348" s="5" t="s">
        <v>56118</v>
      </c>
      <c r="T4348" s="28">
        <v>59436000</v>
      </c>
      <c r="U4348" s="28"/>
      <c r="V4348" s="28">
        <v>247111000</v>
      </c>
      <c r="W4348" s="28"/>
      <c r="X4348" s="28">
        <v>20063000</v>
      </c>
      <c r="Y4348" s="28">
        <v>965012000</v>
      </c>
      <c r="Z4348" s="28"/>
      <c r="AA4348" s="28"/>
      <c r="AB4348" s="28"/>
      <c r="AC4348" s="28">
        <v>270442000</v>
      </c>
      <c r="AD4348" s="28">
        <v>694570000</v>
      </c>
      <c r="AE4348" s="28">
        <v>4283840000</v>
      </c>
      <c r="AF4348" s="28">
        <v>213938000</v>
      </c>
      <c r="AG4348" s="11"/>
    </row>
    <row r="4349">
      <c r="A4349" s="7" t="s">
        <v>5997</v>
      </c>
      <c r="B4349" s="5" t="s">
        <v>13951</v>
      </c>
      <c r="C4349" s="5" t="s">
        <v>21708</v>
      </c>
      <c r="D4349" s="5" t="str">
        <v>246511549177</v>
      </c>
      <c r="E4349" s="0" t="e">
        <f>+7 (388) 2224275
+7 (388) 2223696
+7 (388) 2225564
+7 (388) 2238822
+7 (391) 2722250
+7 (391) 2752250
+7 (391) 2752257</f>
        <v>#NAME?</v>
      </c>
      <c r="F4349" s="5"/>
      <c r="G4349" s="5" t="s">
        <v>38327</v>
      </c>
      <c r="H4349" s="26">
        <v>18.5</v>
      </c>
      <c r="I4349" s="5"/>
      <c r="J4349" s="5" t="s">
        <v>26799</v>
      </c>
      <c r="K4349" s="5" t="s">
        <v>355</v>
      </c>
      <c r="L4349" s="5" t="s">
        <v>38328</v>
      </c>
      <c r="M4349" s="27"/>
      <c r="N4349" s="5" t="s">
        <v>56119</v>
      </c>
      <c r="O4349" s="5" t="str">
        <v>0411117534</v>
      </c>
      <c r="P4349" s="27">
        <v>22000000</v>
      </c>
      <c r="Q4349" s="5" t="s">
        <v>56120</v>
      </c>
      <c r="R4349" s="5"/>
      <c r="S4349" s="5" t="s">
        <v>49160</v>
      </c>
      <c r="T4349" s="28">
        <v>526303000</v>
      </c>
      <c r="U4349" s="28">
        <v>35500000</v>
      </c>
      <c r="V4349" s="28">
        <v>1493002000</v>
      </c>
      <c r="W4349" s="28">
        <v>565003000</v>
      </c>
      <c r="X4349" s="28">
        <v>225827000</v>
      </c>
      <c r="Y4349" s="28">
        <v>4685358000</v>
      </c>
      <c r="Z4349" s="28">
        <v>3471807000</v>
      </c>
      <c r="AA4349" s="28"/>
      <c r="AB4349" s="28"/>
      <c r="AC4349" s="28">
        <v>1123903000</v>
      </c>
      <c r="AD4349" s="28">
        <v>3495457000</v>
      </c>
      <c r="AE4349" s="28">
        <v>4404123000</v>
      </c>
      <c r="AF4349" s="28">
        <v>1279140000</v>
      </c>
      <c r="AG4349" s="11"/>
    </row>
    <row r="4350">
      <c r="A4350" s="7" t="s">
        <v>5998</v>
      </c>
      <c r="B4350" s="5" t="s">
        <v>13952</v>
      </c>
      <c r="C4350" s="5" t="s">
        <v>21709</v>
      </c>
      <c r="D4350" s="5" t="str">
        <v>410100393183</v>
      </c>
      <c r="E4350" s="0" t="e">
        <f>+7 (415) 2201195
+7 (415) 2218116
+7 (415) 2218304
+7 (415) 2218316
+7 (415) 2218323
+7 (415) 2218354
+7 (415) 2218366
+7 (415) 2218367
+7 (415) 2218379
+7 (415) 2218381
+7 (415) 2412497
+7 (415) 2412740
+7 (415) 2415033
+7 (415) 2425610
+7 (415) 2425681</f>
        <v>#NAME?</v>
      </c>
      <c r="F4350" s="5" t="s">
        <v>38329</v>
      </c>
      <c r="G4350" s="5" t="s">
        <v>38330</v>
      </c>
      <c r="H4350" s="26">
        <v>30</v>
      </c>
      <c r="I4350" s="5"/>
      <c r="J4350" s="5" t="s">
        <v>26424</v>
      </c>
      <c r="K4350" s="5" t="s">
        <v>344</v>
      </c>
      <c r="L4350" s="5" t="s">
        <v>38331</v>
      </c>
      <c r="M4350" s="27"/>
      <c r="N4350" s="5" t="s">
        <v>56121</v>
      </c>
      <c r="O4350" s="5" t="str">
        <v>4100000530</v>
      </c>
      <c r="P4350" s="27">
        <v>3026900</v>
      </c>
      <c r="Q4350" s="5" t="s">
        <v>49009</v>
      </c>
      <c r="R4350" s="5" t="s">
        <v>56122</v>
      </c>
      <c r="S4350" s="5" t="s">
        <v>49487</v>
      </c>
      <c r="T4350" s="28">
        <v>18829161000</v>
      </c>
      <c r="U4350" s="28">
        <v>11151695000</v>
      </c>
      <c r="V4350" s="28">
        <v>3028517000</v>
      </c>
      <c r="W4350" s="28">
        <v>20735000</v>
      </c>
      <c r="X4350" s="28">
        <v>976824000</v>
      </c>
      <c r="Y4350" s="28">
        <v>39763264000</v>
      </c>
      <c r="Z4350" s="28">
        <v>10001069000</v>
      </c>
      <c r="AA4350" s="28">
        <v>21975327000</v>
      </c>
      <c r="AB4350" s="28">
        <v>1634457000</v>
      </c>
      <c r="AC4350" s="28">
        <v>6052661000</v>
      </c>
      <c r="AD4350" s="28">
        <v>10099784000</v>
      </c>
      <c r="AE4350" s="28">
        <v>26125684000</v>
      </c>
      <c r="AF4350" s="28">
        <v>3452691000</v>
      </c>
      <c r="AG4350" s="11"/>
    </row>
    <row r="4351">
      <c r="A4351" s="7" t="s">
        <v>5999</v>
      </c>
      <c r="B4351" s="5" t="s">
        <v>13953</v>
      </c>
      <c r="C4351" s="5" t="s">
        <v>21710</v>
      </c>
      <c r="D4351" s="5" t="str">
        <v>780404433296</v>
      </c>
      <c r="E4351" s="0" t="e">
        <f>+7 (381) 2362069
+7 (495) 2693993
+7 (846) 2673830
+7 (812) 3248650
+7 (812) 3248651
+7 (812) 4495701
+7 (816) 2335140</f>
        <v>#NAME?</v>
      </c>
      <c r="F4351" s="5" t="s">
        <v>38332</v>
      </c>
      <c r="G4351" s="5"/>
      <c r="H4351" s="26">
        <v>20</v>
      </c>
      <c r="I4351" s="5" t="s">
        <v>38333</v>
      </c>
      <c r="J4351" s="5" t="s">
        <v>678</v>
      </c>
      <c r="K4351" s="5" t="s">
        <v>344</v>
      </c>
      <c r="L4351" s="5"/>
      <c r="M4351" s="27"/>
      <c r="N4351" s="5" t="s">
        <v>56123</v>
      </c>
      <c r="O4351" s="5" t="str">
        <v>7814138755</v>
      </c>
      <c r="P4351" s="27">
        <v>50000</v>
      </c>
      <c r="Q4351" s="5"/>
      <c r="R4351" s="5"/>
      <c r="S4351" s="5" t="s">
        <v>49047</v>
      </c>
      <c r="T4351" s="28">
        <v>15707000</v>
      </c>
      <c r="U4351" s="28">
        <v>390000</v>
      </c>
      <c r="V4351" s="28">
        <v>726571000</v>
      </c>
      <c r="W4351" s="28"/>
      <c r="X4351" s="28">
        <v>20979000</v>
      </c>
      <c r="Y4351" s="28">
        <v>777548000</v>
      </c>
      <c r="Z4351" s="28">
        <v>110246000</v>
      </c>
      <c r="AA4351" s="28"/>
      <c r="AB4351" s="28"/>
      <c r="AC4351" s="28">
        <v>653664000</v>
      </c>
      <c r="AD4351" s="28">
        <v>110296000</v>
      </c>
      <c r="AE4351" s="28">
        <v>6629594000</v>
      </c>
      <c r="AF4351" s="28">
        <v>105403000</v>
      </c>
      <c r="AG4351" s="11"/>
    </row>
    <row r="4352">
      <c r="A4352" s="7" t="s">
        <v>6000</v>
      </c>
      <c r="B4352" s="5" t="s">
        <v>13954</v>
      </c>
      <c r="C4352" s="5" t="s">
        <v>21711</v>
      </c>
      <c r="D4352" s="5" t="str">
        <v>780218603984</v>
      </c>
      <c r="E4352" s="0" t="e">
        <f>+7 (495) 2335340
+7 (981) 1537603
+7 (981) 7232705</f>
        <v>#NAME?</v>
      </c>
      <c r="F4352" s="5" t="s">
        <v>38334</v>
      </c>
      <c r="G4352" s="5"/>
      <c r="H4352" s="26">
        <v>8</v>
      </c>
      <c r="I4352" s="5" t="s">
        <v>38335</v>
      </c>
      <c r="J4352" s="5" t="s">
        <v>599</v>
      </c>
      <c r="K4352" s="5" t="s">
        <v>355</v>
      </c>
      <c r="L4352" s="5"/>
      <c r="M4352" s="27">
        <v>34869</v>
      </c>
      <c r="N4352" s="5"/>
      <c r="O4352" s="5" t="str">
        <v>7810917359</v>
      </c>
      <c r="P4352" s="27">
        <v>10000</v>
      </c>
      <c r="Q4352" s="5" t="s">
        <v>49009</v>
      </c>
      <c r="R4352" s="5" t="s">
        <v>56125</v>
      </c>
      <c r="S4352" s="5" t="s">
        <v>49010</v>
      </c>
      <c r="T4352" s="28">
        <v>9508209000</v>
      </c>
      <c r="U4352" s="28">
        <v>10000</v>
      </c>
      <c r="V4352" s="28">
        <v>3144498000</v>
      </c>
      <c r="W4352" s="28"/>
      <c r="X4352" s="28">
        <v>34000</v>
      </c>
      <c r="Y4352" s="28">
        <v>15634085000</v>
      </c>
      <c r="Z4352" s="28">
        <v>271528000</v>
      </c>
      <c r="AA4352" s="28"/>
      <c r="AB4352" s="28"/>
      <c r="AC4352" s="28">
        <v>7790969000</v>
      </c>
      <c r="AD4352" s="28">
        <v>271541000</v>
      </c>
      <c r="AE4352" s="28">
        <v>16153260000</v>
      </c>
      <c r="AF4352" s="28">
        <v>202315000</v>
      </c>
      <c r="AG4352" s="11"/>
    </row>
    <row r="4353">
      <c r="A4353" s="7" t="s">
        <v>6001</v>
      </c>
      <c r="B4353" s="5" t="s">
        <v>13955</v>
      </c>
      <c r="C4353" s="5" t="s">
        <v>21712</v>
      </c>
      <c r="D4353" s="5" t="str">
        <v>773708935963</v>
      </c>
      <c r="E4353" s="0" t="e">
        <f>+7 (800) 2000093
+7 (495) 6175373
+7 (499) 3914260
+7 (905) 7129505</f>
        <v>#NAME?</v>
      </c>
      <c r="F4353" s="5" t="s">
        <v>38336</v>
      </c>
      <c r="G4353" s="5"/>
      <c r="H4353" s="26">
        <v>13</v>
      </c>
      <c r="I4353" s="5" t="s">
        <v>38337</v>
      </c>
      <c r="J4353" s="5" t="s">
        <v>33774</v>
      </c>
      <c r="K4353" s="5" t="s">
        <v>344</v>
      </c>
      <c r="L4353" s="5" t="s">
        <v>38338</v>
      </c>
      <c r="M4353" s="27"/>
      <c r="N4353" s="5" t="s">
        <v>56126</v>
      </c>
      <c r="O4353" s="5" t="str">
        <v>7722709590</v>
      </c>
      <c r="P4353" s="27">
        <v>10000000</v>
      </c>
      <c r="Q4353" s="5" t="s">
        <v>56127</v>
      </c>
      <c r="R4353" s="5"/>
      <c r="S4353" s="5" t="s">
        <v>53232</v>
      </c>
      <c r="T4353" s="28">
        <v>42894000</v>
      </c>
      <c r="U4353" s="28">
        <v>3175000</v>
      </c>
      <c r="V4353" s="28">
        <v>824667000</v>
      </c>
      <c r="W4353" s="28"/>
      <c r="X4353" s="28">
        <v>3092248000</v>
      </c>
      <c r="Y4353" s="28">
        <v>4617828000</v>
      </c>
      <c r="Z4353" s="28">
        <v>1426847000</v>
      </c>
      <c r="AA4353" s="28"/>
      <c r="AB4353" s="28"/>
      <c r="AC4353" s="28">
        <v>3144381000</v>
      </c>
      <c r="AD4353" s="28">
        <v>1436847000</v>
      </c>
      <c r="AE4353" s="28">
        <v>3496916000</v>
      </c>
      <c r="AF4353" s="28">
        <v>544361000</v>
      </c>
      <c r="AG4353" s="11"/>
    </row>
    <row r="4354">
      <c r="A4354" s="7" t="s">
        <v>6002</v>
      </c>
      <c r="B4354" s="5" t="s">
        <v>13956</v>
      </c>
      <c r="C4354" s="5" t="s">
        <v>21713</v>
      </c>
      <c r="D4354" s="5" t="str">
        <v>771531594510</v>
      </c>
      <c r="E4354" s="0" t="e">
        <f>+7 (916) 6355747
+7 (495) 6216086
+7 (495) 6600243
+7 (495) 9216086
+7 (495) 9330193</f>
        <v>#NAME?</v>
      </c>
      <c r="F4354" s="5" t="s">
        <v>38339</v>
      </c>
      <c r="G4354" s="5"/>
      <c r="H4354" s="26">
        <v>10</v>
      </c>
      <c r="I4354" s="5"/>
      <c r="J4354" s="5" t="s">
        <v>28108</v>
      </c>
      <c r="K4354" s="5" t="s">
        <v>344</v>
      </c>
      <c r="L4354" s="5"/>
      <c r="M4354" s="27"/>
      <c r="N4354" s="5"/>
      <c r="O4354" s="5" t="str">
        <v>7708776756</v>
      </c>
      <c r="P4354" s="27">
        <v>23718856000</v>
      </c>
      <c r="Q4354" s="5" t="s">
        <v>49009</v>
      </c>
      <c r="R4354" s="5"/>
      <c r="S4354" s="5" t="s">
        <v>49093</v>
      </c>
      <c r="T4354" s="28"/>
      <c r="U4354" s="28"/>
      <c r="V4354" s="28">
        <v>449120000</v>
      </c>
      <c r="W4354" s="28">
        <v>20388585000</v>
      </c>
      <c r="X4354" s="28">
        <v>18232000</v>
      </c>
      <c r="Y4354" s="28">
        <v>21003830000</v>
      </c>
      <c r="Z4354" s="28">
        <v>-3545934000</v>
      </c>
      <c r="AA4354" s="28"/>
      <c r="AB4354" s="28"/>
      <c r="AC4354" s="28">
        <v>228440000</v>
      </c>
      <c r="AD4354" s="28">
        <v>20741905000</v>
      </c>
      <c r="AE4354" s="28">
        <v>6061186000</v>
      </c>
      <c r="AF4354" s="28">
        <v>1049774000</v>
      </c>
      <c r="AG4354" s="11"/>
    </row>
    <row r="4355">
      <c r="A4355" s="7" t="s">
        <v>6003</v>
      </c>
      <c r="B4355" s="5" t="s">
        <v>13957</v>
      </c>
      <c r="C4355" s="5" t="s">
        <v>21714</v>
      </c>
      <c r="D4355" s="5" t="str">
        <v>622804776131</v>
      </c>
      <c r="E4355" s="0" t="e">
        <f>+7 (4912) 512262
+7 (4912) 243447
+7 (930) 8880002
+7 (491) 2268320
+7 (4912) 243305
+7 (4912) 293465
+7 (4912) 293466
+7 (930) 8880047</f>
        <v>#NAME?</v>
      </c>
      <c r="F4355" s="5" t="s">
        <v>38340</v>
      </c>
      <c r="G4355" s="5" t="s">
        <v>38341</v>
      </c>
      <c r="H4355" s="26">
        <v>30</v>
      </c>
      <c r="I4355" s="5"/>
      <c r="J4355" s="5" t="s">
        <v>25450</v>
      </c>
      <c r="K4355" s="5" t="s">
        <v>344</v>
      </c>
      <c r="L4355" s="5" t="s">
        <v>38342</v>
      </c>
      <c r="M4355" s="27">
        <v>1102390</v>
      </c>
      <c r="N4355" s="5"/>
      <c r="O4355" s="5" t="str">
        <v>6215000428</v>
      </c>
      <c r="P4355" s="27">
        <v>22800</v>
      </c>
      <c r="Q4355" s="5" t="s">
        <v>49009</v>
      </c>
      <c r="R4355" s="5"/>
      <c r="S4355" s="5" t="s">
        <v>49028</v>
      </c>
      <c r="T4355" s="28">
        <v>4826763000</v>
      </c>
      <c r="U4355" s="28">
        <v>57587000</v>
      </c>
      <c r="V4355" s="28">
        <v>1597076000</v>
      </c>
      <c r="W4355" s="28"/>
      <c r="X4355" s="28">
        <v>904297000</v>
      </c>
      <c r="Y4355" s="28">
        <v>9450915000</v>
      </c>
      <c r="Z4355" s="28">
        <v>7417616000</v>
      </c>
      <c r="AA4355" s="28">
        <v>795261000</v>
      </c>
      <c r="AB4355" s="28">
        <v>800918000</v>
      </c>
      <c r="AC4355" s="28">
        <v>1238009000</v>
      </c>
      <c r="AD4355" s="28">
        <v>7417645000</v>
      </c>
      <c r="AE4355" s="28">
        <v>7385719000</v>
      </c>
      <c r="AF4355" s="28">
        <v>1174091000</v>
      </c>
      <c r="AG4355" s="11"/>
    </row>
    <row r="4356">
      <c r="A4356" s="7" t="s">
        <v>6004</v>
      </c>
      <c r="B4356" s="5" t="s">
        <v>13958</v>
      </c>
      <c r="C4356" s="5" t="s">
        <v>21715</v>
      </c>
      <c r="D4356" s="5" t="str">
        <v>770200813977</v>
      </c>
      <c r="E4356" s="0" t="e">
        <f>+7 (495) 7488204</f>
        <v>#NAME?</v>
      </c>
      <c r="F4356" s="5"/>
      <c r="G4356" s="5"/>
      <c r="H4356" s="26">
        <v>9</v>
      </c>
      <c r="I4356" s="5" t="s">
        <v>38343</v>
      </c>
      <c r="J4356" s="5" t="s">
        <v>373</v>
      </c>
      <c r="K4356" s="5" t="s">
        <v>344</v>
      </c>
      <c r="L4356" s="5" t="s">
        <v>1421</v>
      </c>
      <c r="M4356" s="27"/>
      <c r="N4356" s="5" t="s">
        <v>56128</v>
      </c>
      <c r="O4356" s="5" t="str">
        <v>7710961259</v>
      </c>
      <c r="P4356" s="27">
        <v>36000</v>
      </c>
      <c r="Q4356" s="5" t="s">
        <v>49057</v>
      </c>
      <c r="R4356" s="5"/>
      <c r="S4356" s="5" t="s">
        <v>49456</v>
      </c>
      <c r="T4356" s="28"/>
      <c r="U4356" s="28"/>
      <c r="V4356" s="28">
        <v>11233000</v>
      </c>
      <c r="W4356" s="28"/>
      <c r="X4356" s="28">
        <v>24381000</v>
      </c>
      <c r="Y4356" s="28">
        <v>35630000</v>
      </c>
      <c r="Z4356" s="28">
        <v>31431000</v>
      </c>
      <c r="AA4356" s="28"/>
      <c r="AB4356" s="28"/>
      <c r="AC4356" s="28">
        <v>4163000</v>
      </c>
      <c r="AD4356" s="28">
        <v>31467000</v>
      </c>
      <c r="AE4356" s="28">
        <v>3434987000</v>
      </c>
      <c r="AF4356" s="28">
        <v>25731000</v>
      </c>
      <c r="AG4356" s="11"/>
    </row>
    <row r="4357">
      <c r="A4357" s="7" t="s">
        <v>6005</v>
      </c>
      <c r="B4357" s="5" t="s">
        <v>13959</v>
      </c>
      <c r="C4357" s="5" t="s">
        <v>21716</v>
      </c>
      <c r="D4357" s="5" t="str">
        <v>772700243060</v>
      </c>
      <c r="E4357" s="0" t="e">
        <f>+7 (495) 6003239
+7 (495) 7376399</f>
        <v>#NAME?</v>
      </c>
      <c r="F4357" s="5"/>
      <c r="G4357" s="5"/>
      <c r="H4357" s="26">
        <v>20</v>
      </c>
      <c r="I4357" s="5" t="s">
        <v>38344</v>
      </c>
      <c r="J4357" s="5" t="s">
        <v>27695</v>
      </c>
      <c r="K4357" s="5" t="s">
        <v>344</v>
      </c>
      <c r="L4357" s="5" t="s">
        <v>38345</v>
      </c>
      <c r="M4357" s="27"/>
      <c r="N4357" s="5"/>
      <c r="O4357" s="5" t="str">
        <v>7715371197</v>
      </c>
      <c r="P4357" s="27">
        <v>10000</v>
      </c>
      <c r="Q4357" s="5"/>
      <c r="R4357" s="5"/>
      <c r="S4357" s="5" t="s">
        <v>49029</v>
      </c>
      <c r="T4357" s="28">
        <v>1014723000</v>
      </c>
      <c r="U4357" s="28">
        <v>1030734000</v>
      </c>
      <c r="V4357" s="28">
        <v>622949000</v>
      </c>
      <c r="W4357" s="28"/>
      <c r="X4357" s="28">
        <v>213703000</v>
      </c>
      <c r="Y4357" s="28">
        <v>3338090000</v>
      </c>
      <c r="Z4357" s="28">
        <v>2153207000</v>
      </c>
      <c r="AA4357" s="28"/>
      <c r="AB4357" s="28">
        <v>231428000</v>
      </c>
      <c r="AC4357" s="28">
        <v>889778000</v>
      </c>
      <c r="AD4357" s="28">
        <v>2153217000</v>
      </c>
      <c r="AE4357" s="28">
        <v>6744142000</v>
      </c>
      <c r="AF4357" s="28">
        <v>727596000</v>
      </c>
      <c r="AG4357" s="11"/>
    </row>
    <row r="4358">
      <c r="A4358" s="7" t="s">
        <v>6006</v>
      </c>
      <c r="B4358" s="5" t="s">
        <v>13960</v>
      </c>
      <c r="C4358" s="5" t="s">
        <v>21717</v>
      </c>
      <c r="D4358" s="5" t="str">
        <v>502988051031</v>
      </c>
      <c r="E4358" s="0" t="e">
        <f>+7 (963) 6266151
+7 (495) 1081874
+7 (495) 6281874
+7 (495) 6411917
+7 (495) 6411931
+7 (495) 6411933
+7 (495) 6420553
+7 (495) 6424446
+7 (495) 9958844
+7 (985) 9938715</f>
        <v>#NAME?</v>
      </c>
      <c r="F4358" s="5" t="s">
        <v>38346</v>
      </c>
      <c r="G4358" s="5" t="s">
        <v>38347</v>
      </c>
      <c r="H4358" s="26">
        <v>17.5</v>
      </c>
      <c r="I4358" s="5" t="s">
        <v>38348</v>
      </c>
      <c r="J4358" s="5" t="s">
        <v>25738</v>
      </c>
      <c r="K4358" s="5" t="s">
        <v>344</v>
      </c>
      <c r="L4358" s="5" t="s">
        <v>38349</v>
      </c>
      <c r="M4358" s="27">
        <v>175752727</v>
      </c>
      <c r="N4358" s="5" t="s">
        <v>56129</v>
      </c>
      <c r="O4358" s="5" t="str">
        <v>5029086747</v>
      </c>
      <c r="P4358" s="27">
        <v>3950000000</v>
      </c>
      <c r="Q4358" s="5" t="s">
        <v>49009</v>
      </c>
      <c r="R4358" s="5"/>
      <c r="S4358" s="5" t="s">
        <v>49408</v>
      </c>
      <c r="T4358" s="28"/>
      <c r="U4358" s="28"/>
      <c r="V4358" s="28">
        <v>2400684000</v>
      </c>
      <c r="W4358" s="28"/>
      <c r="X4358" s="28">
        <v>1659667000</v>
      </c>
      <c r="Y4358" s="28">
        <v>5551438000</v>
      </c>
      <c r="Z4358" s="28">
        <v>-4903887000</v>
      </c>
      <c r="AA4358" s="28"/>
      <c r="AB4358" s="28"/>
      <c r="AC4358" s="28">
        <v>5210783000</v>
      </c>
      <c r="AD4358" s="28">
        <v>-953887000</v>
      </c>
      <c r="AE4358" s="28">
        <v>15344082000</v>
      </c>
      <c r="AF4358" s="28">
        <v>-7629586000</v>
      </c>
      <c r="AG4358" s="11"/>
    </row>
    <row r="4359">
      <c r="A4359" s="7" t="s">
        <v>6007</v>
      </c>
      <c r="B4359" s="5" t="s">
        <v>13961</v>
      </c>
      <c r="C4359" s="5" t="s">
        <v>21718</v>
      </c>
      <c r="D4359" s="5" t="str">
        <v>543310016076</v>
      </c>
      <c r="E4359" s="0" t="e">
        <f>+7 (383) 2682470
+7 (383) 2696569
+7 (383) 2442470
+7 (383) 2696526
+7 (383) 2696564
+7 (38349) 56221</f>
        <v>#NAME?</v>
      </c>
      <c r="F4359" s="5" t="s">
        <v>38350</v>
      </c>
      <c r="G4359" s="5"/>
      <c r="H4359" s="26">
        <v>25.5</v>
      </c>
      <c r="I4359" s="5"/>
      <c r="J4359" s="5" t="s">
        <v>29158</v>
      </c>
      <c r="K4359" s="5" t="s">
        <v>344</v>
      </c>
      <c r="L4359" s="5"/>
      <c r="M4359" s="27"/>
      <c r="N4359" s="5" t="s">
        <v>56130</v>
      </c>
      <c r="O4359" s="5" t="str">
        <v>5433128031</v>
      </c>
      <c r="P4359" s="27">
        <v>41850</v>
      </c>
      <c r="Q4359" s="5" t="s">
        <v>49009</v>
      </c>
      <c r="R4359" s="5"/>
      <c r="S4359" s="5" t="s">
        <v>49884</v>
      </c>
      <c r="T4359" s="28">
        <v>202973000</v>
      </c>
      <c r="U4359" s="28">
        <v>59700000</v>
      </c>
      <c r="V4359" s="28">
        <v>302824000</v>
      </c>
      <c r="W4359" s="28">
        <v>27700000</v>
      </c>
      <c r="X4359" s="28">
        <v>590441000</v>
      </c>
      <c r="Y4359" s="28">
        <v>2267257000</v>
      </c>
      <c r="Z4359" s="28">
        <v>292820000</v>
      </c>
      <c r="AA4359" s="28"/>
      <c r="AB4359" s="28"/>
      <c r="AC4359" s="28">
        <v>1028151000</v>
      </c>
      <c r="AD4359" s="28">
        <v>292864000</v>
      </c>
      <c r="AE4359" s="28">
        <v>4262625000</v>
      </c>
      <c r="AF4359" s="28">
        <v>1454000</v>
      </c>
      <c r="AG4359" s="11"/>
    </row>
    <row r="4360">
      <c r="A4360" s="7" t="s">
        <v>6008</v>
      </c>
      <c r="B4360" s="5" t="s">
        <v>13962</v>
      </c>
      <c r="C4360" s="5" t="s">
        <v>21719</v>
      </c>
      <c r="D4360" s="5" t="str">
        <v>890505317270</v>
      </c>
      <c r="E4360" s="0" t="e">
        <f>+7 (34767) 55060
+7 (34767) 55292
+7 (34767) 59892
+7 (927) 2373517
+7 (927) 3266027
+7 (927) 9449937
+7 (937) 1637591
+7 (937) 8318283
+7 (937) 8444996</f>
        <v>#NAME?</v>
      </c>
      <c r="F4360" s="5" t="s">
        <v>38351</v>
      </c>
      <c r="G4360" s="5" t="s">
        <v>38352</v>
      </c>
      <c r="H4360" s="26">
        <v>8.5</v>
      </c>
      <c r="I4360" s="5" t="s">
        <v>38353</v>
      </c>
      <c r="J4360" s="5" t="s">
        <v>28226</v>
      </c>
      <c r="K4360" s="5" t="s">
        <v>344</v>
      </c>
      <c r="L4360" s="5" t="s">
        <v>38354</v>
      </c>
      <c r="M4360" s="27">
        <v>88380</v>
      </c>
      <c r="N4360" s="5"/>
      <c r="O4360" s="5" t="str">
        <v>0265041242</v>
      </c>
      <c r="P4360" s="27">
        <v>1000000</v>
      </c>
      <c r="Q4360" s="5" t="s">
        <v>56131</v>
      </c>
      <c r="R4360" s="5" t="s">
        <v>56132</v>
      </c>
      <c r="S4360" s="5" t="s">
        <v>56133</v>
      </c>
      <c r="T4360" s="28">
        <v>541135000</v>
      </c>
      <c r="U4360" s="28"/>
      <c r="V4360" s="28">
        <v>765420000</v>
      </c>
      <c r="W4360" s="28">
        <v>10000000</v>
      </c>
      <c r="X4360" s="28">
        <v>36740000</v>
      </c>
      <c r="Y4360" s="28">
        <v>1776660000</v>
      </c>
      <c r="Z4360" s="28">
        <v>202928000</v>
      </c>
      <c r="AA4360" s="28">
        <v>284288000</v>
      </c>
      <c r="AB4360" s="28">
        <v>395950000</v>
      </c>
      <c r="AC4360" s="28">
        <v>1180609000</v>
      </c>
      <c r="AD4360" s="28">
        <v>203928000</v>
      </c>
      <c r="AE4360" s="28">
        <v>3510967000</v>
      </c>
      <c r="AF4360" s="28">
        <v>119808000</v>
      </c>
      <c r="AG4360" s="11"/>
    </row>
    <row r="4361">
      <c r="A4361" s="7" t="s">
        <v>6009</v>
      </c>
      <c r="B4361" s="5" t="s">
        <v>9991</v>
      </c>
      <c r="C4361" s="5" t="s">
        <v>21720</v>
      </c>
      <c r="D4361" s="5" t="str">
        <v>683210161328</v>
      </c>
      <c r="E4361" s="0" t="e">
        <f>+7 (475) 2658871
+7 (475) 2658895
+7 (475) 2658907
+7 (475) 2668383
+7 (475) 2721133
+7 (475) 2756437
+7 (915) 6771401
+7 (980) 6759910</f>
        <v>#NAME?</v>
      </c>
      <c r="F4361" s="5" t="s">
        <v>38355</v>
      </c>
      <c r="G4361" s="5" t="s">
        <v>38356</v>
      </c>
      <c r="H4361" s="26">
        <v>26.5</v>
      </c>
      <c r="I4361" s="5"/>
      <c r="J4361" s="5" t="s">
        <v>25842</v>
      </c>
      <c r="K4361" s="5" t="s">
        <v>344</v>
      </c>
      <c r="L4361" s="5" t="s">
        <v>38357</v>
      </c>
      <c r="M4361" s="27"/>
      <c r="N4361" s="5" t="s">
        <v>56134</v>
      </c>
      <c r="O4361" s="5" t="str">
        <v>6820010695</v>
      </c>
      <c r="P4361" s="27">
        <v>3067000000</v>
      </c>
      <c r="Q4361" s="5" t="s">
        <v>56135</v>
      </c>
      <c r="R4361" s="5"/>
      <c r="S4361" s="5" t="s">
        <v>56136</v>
      </c>
      <c r="T4361" s="28">
        <v>427914000</v>
      </c>
      <c r="U4361" s="28">
        <v>2610000</v>
      </c>
      <c r="V4361" s="28">
        <v>441101000</v>
      </c>
      <c r="W4361" s="28">
        <v>119000000</v>
      </c>
      <c r="X4361" s="28">
        <v>1228000</v>
      </c>
      <c r="Y4361" s="28">
        <v>1900140000</v>
      </c>
      <c r="Z4361" s="28">
        <v>640453000</v>
      </c>
      <c r="AA4361" s="28">
        <v>100081000</v>
      </c>
      <c r="AB4361" s="28">
        <v>280086000</v>
      </c>
      <c r="AC4361" s="28">
        <v>1087415000</v>
      </c>
      <c r="AD4361" s="28">
        <v>657198000</v>
      </c>
      <c r="AE4361" s="28">
        <v>6912041000</v>
      </c>
      <c r="AF4361" s="28">
        <v>251905000</v>
      </c>
      <c r="AG4361" s="11"/>
    </row>
    <row r="4362">
      <c r="A4362" s="7" t="s">
        <v>6010</v>
      </c>
      <c r="B4362" s="5" t="s">
        <v>13963</v>
      </c>
      <c r="C4362" s="5" t="s">
        <v>21721</v>
      </c>
      <c r="D4362" s="5" t="str">
        <v>463300301518</v>
      </c>
      <c r="E4362" s="0" t="e">
        <f>+7 (812) 3362728
+7 (812) 3362700
+7 (812) 3362701
+7 (812) 3362722
+7 (812) 3362729
+7 (812) 3362748
+7 (812) 3806423
+7 (812) 3806425
+7 (81657) 23012
+7 (81657) 24428</f>
        <v>#NAME?</v>
      </c>
      <c r="F4362" s="5" t="s">
        <v>38358</v>
      </c>
      <c r="G4362" s="5" t="s">
        <v>38359</v>
      </c>
      <c r="H4362" s="26">
        <v>28</v>
      </c>
      <c r="I4362" s="5" t="s">
        <v>38360</v>
      </c>
      <c r="J4362" s="5" t="s">
        <v>26536</v>
      </c>
      <c r="K4362" s="5" t="s">
        <v>344</v>
      </c>
      <c r="L4362" s="5" t="s">
        <v>38361</v>
      </c>
      <c r="M4362" s="27"/>
      <c r="N4362" s="5" t="s">
        <v>56137</v>
      </c>
      <c r="O4362" s="5" t="str">
        <v>7810600834</v>
      </c>
      <c r="P4362" s="27">
        <v>30000</v>
      </c>
      <c r="Q4362" s="5" t="s">
        <v>49324</v>
      </c>
      <c r="R4362" s="5"/>
      <c r="S4362" s="5" t="s">
        <v>56138</v>
      </c>
      <c r="T4362" s="28">
        <v>646138000</v>
      </c>
      <c r="U4362" s="28">
        <v>2492000</v>
      </c>
      <c r="V4362" s="28">
        <v>460102000</v>
      </c>
      <c r="W4362" s="28"/>
      <c r="X4362" s="28">
        <v>556931000</v>
      </c>
      <c r="Y4362" s="28">
        <v>2191803000</v>
      </c>
      <c r="Z4362" s="28">
        <v>1513370000</v>
      </c>
      <c r="AA4362" s="28">
        <v>297694000</v>
      </c>
      <c r="AB4362" s="28">
        <v>242000</v>
      </c>
      <c r="AC4362" s="28">
        <v>272403000</v>
      </c>
      <c r="AD4362" s="28">
        <v>1513421000</v>
      </c>
      <c r="AE4362" s="28">
        <v>3257371000</v>
      </c>
      <c r="AF4362" s="28">
        <v>219500000</v>
      </c>
      <c r="AG4362" s="11"/>
    </row>
    <row r="4363">
      <c r="A4363" s="7" t="s">
        <v>6011</v>
      </c>
      <c r="B4363" s="5" t="s">
        <v>13964</v>
      </c>
      <c r="C4363" s="5" t="s">
        <v>21722</v>
      </c>
      <c r="D4363" s="5" t="str">
        <v>502415783902</v>
      </c>
      <c r="E4363" s="0" t="e">
        <f>+7 (3439) 632750
+7 (495) 7896395
+7 (495) 7899395</f>
        <v>#NAME?</v>
      </c>
      <c r="F4363" s="5"/>
      <c r="G4363" s="5"/>
      <c r="H4363" s="26">
        <v>16.5</v>
      </c>
      <c r="I4363" s="5" t="s">
        <v>38362</v>
      </c>
      <c r="J4363" s="5" t="s">
        <v>33745</v>
      </c>
      <c r="K4363" s="5" t="s">
        <v>344</v>
      </c>
      <c r="L4363" s="5" t="s">
        <v>38363</v>
      </c>
      <c r="M4363" s="27"/>
      <c r="N4363" s="5"/>
      <c r="O4363" s="5" t="str">
        <v>7707597514</v>
      </c>
      <c r="P4363" s="27">
        <v>20000</v>
      </c>
      <c r="Q4363" s="5" t="s">
        <v>49009</v>
      </c>
      <c r="R4363" s="5"/>
      <c r="S4363" s="5" t="s">
        <v>49066</v>
      </c>
      <c r="T4363" s="28">
        <v>452364000</v>
      </c>
      <c r="U4363" s="28"/>
      <c r="V4363" s="28">
        <v>692677000</v>
      </c>
      <c r="W4363" s="28"/>
      <c r="X4363" s="28">
        <v>510148000</v>
      </c>
      <c r="Y4363" s="28">
        <v>2379981000</v>
      </c>
      <c r="Z4363" s="28">
        <v>402381000</v>
      </c>
      <c r="AA4363" s="28"/>
      <c r="AB4363" s="28"/>
      <c r="AC4363" s="28">
        <v>381551000</v>
      </c>
      <c r="AD4363" s="28">
        <v>1789479000</v>
      </c>
      <c r="AE4363" s="28">
        <v>4817510000</v>
      </c>
      <c r="AF4363" s="28">
        <v>71920000</v>
      </c>
      <c r="AG4363" s="11"/>
    </row>
    <row r="4364">
      <c r="A4364" s="7" t="s">
        <v>6012</v>
      </c>
      <c r="B4364" s="5" t="s">
        <v>13965</v>
      </c>
      <c r="C4364" s="5" t="s">
        <v>17850</v>
      </c>
      <c r="D4364" s="5" t="str">
        <v>615418872601</v>
      </c>
      <c r="E4364" s="0" t="e">
        <f>+7 (8634) 379805
+7 (928) 2130389</f>
        <v>#NAME?</v>
      </c>
      <c r="F4364" s="5" t="s">
        <v>38364</v>
      </c>
      <c r="G4364" s="5"/>
      <c r="H4364" s="26">
        <v>20</v>
      </c>
      <c r="I4364" s="5" t="s">
        <v>38365</v>
      </c>
      <c r="J4364" s="5" t="s">
        <v>25837</v>
      </c>
      <c r="K4364" s="5" t="s">
        <v>344</v>
      </c>
      <c r="L4364" s="5" t="s">
        <v>38366</v>
      </c>
      <c r="M4364" s="27"/>
      <c r="N4364" s="5" t="s">
        <v>56139</v>
      </c>
      <c r="O4364" s="5" t="str">
        <v>6154084178</v>
      </c>
      <c r="P4364" s="27">
        <v>10000</v>
      </c>
      <c r="Q4364" s="5"/>
      <c r="R4364" s="5"/>
      <c r="S4364" s="5" t="s">
        <v>53269</v>
      </c>
      <c r="T4364" s="28">
        <v>11377000</v>
      </c>
      <c r="U4364" s="28"/>
      <c r="V4364" s="28">
        <v>957917000</v>
      </c>
      <c r="W4364" s="28"/>
      <c r="X4364" s="28">
        <v>1364000</v>
      </c>
      <c r="Y4364" s="28">
        <v>988108000</v>
      </c>
      <c r="Z4364" s="28">
        <v>388032000</v>
      </c>
      <c r="AA4364" s="28"/>
      <c r="AB4364" s="28">
        <v>472883000</v>
      </c>
      <c r="AC4364" s="28">
        <v>599792000</v>
      </c>
      <c r="AD4364" s="28">
        <v>388042000</v>
      </c>
      <c r="AE4364" s="28">
        <v>3376409000</v>
      </c>
      <c r="AF4364" s="28">
        <v>40852000</v>
      </c>
      <c r="AG4364" s="11"/>
    </row>
    <row r="4365">
      <c r="A4365" s="7" t="s">
        <v>6013</v>
      </c>
      <c r="B4365" s="5" t="s">
        <v>13966</v>
      </c>
      <c r="C4365" s="5" t="s">
        <v>21723</v>
      </c>
      <c r="D4365" s="5" t="str">
        <v>402501703217</v>
      </c>
      <c r="E4365" s="0" t="e">
        <f>+7 (495) 7108883
+7 (903) 7982031</f>
        <v>#NAME?</v>
      </c>
      <c r="F4365" s="5"/>
      <c r="G4365" s="5"/>
      <c r="H4365" s="26">
        <v>17.5</v>
      </c>
      <c r="I4365" s="5" t="s">
        <v>38367</v>
      </c>
      <c r="J4365" s="5" t="s">
        <v>32226</v>
      </c>
      <c r="K4365" s="5" t="s">
        <v>344</v>
      </c>
      <c r="L4365" s="5" t="s">
        <v>38368</v>
      </c>
      <c r="M4365" s="27">
        <v>14116150</v>
      </c>
      <c r="N4365" s="5" t="s">
        <v>56140</v>
      </c>
      <c r="O4365" s="5" t="str">
        <v>7707563515</v>
      </c>
      <c r="P4365" s="27">
        <v>50010002</v>
      </c>
      <c r="Q4365" s="5" t="s">
        <v>56141</v>
      </c>
      <c r="R4365" s="5"/>
      <c r="S4365" s="5" t="s">
        <v>56142</v>
      </c>
      <c r="T4365" s="28">
        <v>40066000</v>
      </c>
      <c r="U4365" s="28">
        <v>9110000</v>
      </c>
      <c r="V4365" s="28">
        <v>4279053000</v>
      </c>
      <c r="W4365" s="28"/>
      <c r="X4365" s="28">
        <v>46934000</v>
      </c>
      <c r="Y4365" s="28">
        <v>5517206000</v>
      </c>
      <c r="Z4365" s="28">
        <v>1063473000</v>
      </c>
      <c r="AA4365" s="28">
        <v>300000000</v>
      </c>
      <c r="AB4365" s="28">
        <v>3175220000</v>
      </c>
      <c r="AC4365" s="28">
        <v>4068297000</v>
      </c>
      <c r="AD4365" s="28">
        <v>1120524000</v>
      </c>
      <c r="AE4365" s="28">
        <v>28764264000</v>
      </c>
      <c r="AF4365" s="28">
        <v>78740000</v>
      </c>
      <c r="AG4365" s="11"/>
    </row>
    <row r="4366">
      <c r="A4366" s="7" t="s">
        <v>6013</v>
      </c>
      <c r="B4366" s="5" t="s">
        <v>13967</v>
      </c>
      <c r="C4366" s="5" t="s">
        <v>21724</v>
      </c>
      <c r="D4366" s="5" t="str">
        <v>590406681062</v>
      </c>
      <c r="E4366" s="0" t="e">
        <f>+7 (912) 7816124</f>
        <v>#NAME?</v>
      </c>
      <c r="F4366" s="5" t="s">
        <v>38369</v>
      </c>
      <c r="G4366" s="5"/>
      <c r="H4366" s="26">
        <v>9</v>
      </c>
      <c r="I4366" s="5" t="s">
        <v>38370</v>
      </c>
      <c r="J4366" s="5" t="s">
        <v>27151</v>
      </c>
      <c r="K4366" s="5" t="s">
        <v>344</v>
      </c>
      <c r="L4366" s="5"/>
      <c r="M4366" s="27"/>
      <c r="N4366" s="5"/>
      <c r="O4366" s="5" t="str">
        <v>5906996076</v>
      </c>
      <c r="P4366" s="27">
        <v>250000</v>
      </c>
      <c r="Q4366" s="5" t="s">
        <v>49009</v>
      </c>
      <c r="R4366" s="5"/>
      <c r="S4366" s="5" t="s">
        <v>49010</v>
      </c>
      <c r="T4366" s="28">
        <v>18049000</v>
      </c>
      <c r="U4366" s="28"/>
      <c r="V4366" s="28">
        <v>28493000</v>
      </c>
      <c r="W4366" s="28">
        <v>81905000</v>
      </c>
      <c r="X4366" s="28">
        <v>35321000</v>
      </c>
      <c r="Y4366" s="28">
        <v>662368000</v>
      </c>
      <c r="Z4366" s="28">
        <v>85250000</v>
      </c>
      <c r="AA4366" s="28">
        <v>88931000</v>
      </c>
      <c r="AB4366" s="28">
        <v>1166000</v>
      </c>
      <c r="AC4366" s="28">
        <v>487937000</v>
      </c>
      <c r="AD4366" s="28">
        <v>85500000</v>
      </c>
      <c r="AE4366" s="28">
        <v>3045443000</v>
      </c>
      <c r="AF4366" s="28">
        <v>-2047000</v>
      </c>
      <c r="AG4366" s="11"/>
    </row>
    <row r="4367">
      <c r="A4367" s="7" t="s">
        <v>6014</v>
      </c>
      <c r="B4367" s="5" t="s">
        <v>13968</v>
      </c>
      <c r="C4367" s="5" t="s">
        <v>21725</v>
      </c>
      <c r="D4367" s="5" t="str">
        <v>503201338448</v>
      </c>
      <c r="E4367" s="0" t="e">
        <f>+7 (495) 7267077
+7 (495) 2306889
+7 (495) 6638477
+7 (495) 6638479
+7 (495) 6638484
+7 (495) 6638487
+7 (495) 7302157
+7 (495) 7354889
+7 (495) 9260777
+7 (495) 9267077
+7 (495) 9561954
+7 (495) 9566691
+7 (495) 9582276
+7 (495) 9582277
+7 (495) 9582278</f>
        <v>#NAME?</v>
      </c>
      <c r="F4367" s="5" t="s">
        <v>38371</v>
      </c>
      <c r="G4367" s="5" t="s">
        <v>38372</v>
      </c>
      <c r="H4367" s="26">
        <v>30</v>
      </c>
      <c r="I4367" s="5" t="s">
        <v>38373</v>
      </c>
      <c r="J4367" s="5" t="s">
        <v>27164</v>
      </c>
      <c r="K4367" s="5" t="s">
        <v>344</v>
      </c>
      <c r="L4367" s="5" t="s">
        <v>38374</v>
      </c>
      <c r="M4367" s="27"/>
      <c r="N4367" s="5" t="s">
        <v>56143</v>
      </c>
      <c r="O4367" s="5" t="str">
        <v>7703026005</v>
      </c>
      <c r="P4367" s="27">
        <v>35049000</v>
      </c>
      <c r="Q4367" s="5" t="s">
        <v>56144</v>
      </c>
      <c r="R4367" s="5"/>
      <c r="S4367" s="5" t="s">
        <v>49256</v>
      </c>
      <c r="T4367" s="28">
        <v>186465000</v>
      </c>
      <c r="U4367" s="28"/>
      <c r="V4367" s="28">
        <v>387095000</v>
      </c>
      <c r="W4367" s="28"/>
      <c r="X4367" s="28">
        <v>1423794000</v>
      </c>
      <c r="Y4367" s="28">
        <v>4579383000</v>
      </c>
      <c r="Z4367" s="28">
        <v>2991966000</v>
      </c>
      <c r="AA4367" s="28"/>
      <c r="AB4367" s="28"/>
      <c r="AC4367" s="28">
        <v>1441330000</v>
      </c>
      <c r="AD4367" s="28">
        <v>3116544000</v>
      </c>
      <c r="AE4367" s="28">
        <v>7673899000</v>
      </c>
      <c r="AF4367" s="28">
        <v>-71158000</v>
      </c>
      <c r="AG4367" s="11"/>
    </row>
    <row r="4368">
      <c r="A4368" s="7" t="s">
        <v>6015</v>
      </c>
      <c r="B4368" s="5" t="s">
        <v>13969</v>
      </c>
      <c r="C4368" s="5" t="s">
        <v>21726</v>
      </c>
      <c r="D4368" s="5" t="str">
        <v>402402584576</v>
      </c>
      <c r="E4368" s="0" t="e">
        <f>+7 (495) 1091109</f>
        <v>#NAME?</v>
      </c>
      <c r="F4368" s="5" t="s">
        <v>38375</v>
      </c>
      <c r="G4368" s="5"/>
      <c r="H4368" s="26">
        <v>17</v>
      </c>
      <c r="I4368" s="5" t="s">
        <v>38376</v>
      </c>
      <c r="J4368" s="5" t="s">
        <v>364</v>
      </c>
      <c r="K4368" s="5" t="s">
        <v>344</v>
      </c>
      <c r="L4368" s="5" t="s">
        <v>38377</v>
      </c>
      <c r="M4368" s="27">
        <v>10781636</v>
      </c>
      <c r="N4368" s="5" t="s">
        <v>56145</v>
      </c>
      <c r="O4368" s="5" t="str">
        <v>7719585979</v>
      </c>
      <c r="P4368" s="27">
        <v>500000</v>
      </c>
      <c r="Q4368" s="5" t="s">
        <v>56146</v>
      </c>
      <c r="R4368" s="5"/>
      <c r="S4368" s="5" t="s">
        <v>50630</v>
      </c>
      <c r="T4368" s="28">
        <v>758665000</v>
      </c>
      <c r="U4368" s="28">
        <v>500000</v>
      </c>
      <c r="V4368" s="28">
        <v>13142431000</v>
      </c>
      <c r="W4368" s="28">
        <v>9101250000</v>
      </c>
      <c r="X4368" s="28">
        <v>3439516000</v>
      </c>
      <c r="Y4368" s="28">
        <v>42287251000</v>
      </c>
      <c r="Z4368" s="28">
        <v>4447723000</v>
      </c>
      <c r="AA4368" s="28"/>
      <c r="AB4368" s="28"/>
      <c r="AC4368" s="28">
        <v>37810068000</v>
      </c>
      <c r="AD4368" s="28">
        <v>4448298000</v>
      </c>
      <c r="AE4368" s="28">
        <v>18274514000</v>
      </c>
      <c r="AF4368" s="28">
        <v>2298527000</v>
      </c>
      <c r="AG4368" s="11"/>
    </row>
    <row r="4369">
      <c r="A4369" s="7" t="s">
        <v>6016</v>
      </c>
      <c r="B4369" s="5" t="s">
        <v>13970</v>
      </c>
      <c r="C4369" s="5" t="s">
        <v>21727</v>
      </c>
      <c r="D4369" s="5" t="str">
        <v>772273202356</v>
      </c>
      <c r="E4369" s="0" t="e">
        <f>+7 (495) 9807114
+7 (495) 2582525
+7 (495) 9807115</f>
        <v>#NAME?</v>
      </c>
      <c r="F4369" s="5" t="s">
        <v>38378</v>
      </c>
      <c r="G4369" s="5" t="s">
        <v>38379</v>
      </c>
      <c r="H4369" s="26">
        <v>26</v>
      </c>
      <c r="I4369" s="5" t="s">
        <v>38380</v>
      </c>
      <c r="J4369" s="5" t="s">
        <v>25949</v>
      </c>
      <c r="K4369" s="5" t="s">
        <v>344</v>
      </c>
      <c r="L4369" s="5" t="s">
        <v>38381</v>
      </c>
      <c r="M4369" s="27"/>
      <c r="N4369" s="5" t="s">
        <v>56147</v>
      </c>
      <c r="O4369" s="5" t="str">
        <v>7708093125</v>
      </c>
      <c r="P4369" s="27">
        <v>89500</v>
      </c>
      <c r="Q4369" s="5" t="s">
        <v>56148</v>
      </c>
      <c r="R4369" s="5"/>
      <c r="S4369" s="5" t="s">
        <v>56149</v>
      </c>
      <c r="T4369" s="28">
        <v>165695000</v>
      </c>
      <c r="U4369" s="28"/>
      <c r="V4369" s="28">
        <v>789668000</v>
      </c>
      <c r="W4369" s="28"/>
      <c r="X4369" s="28">
        <v>2740000</v>
      </c>
      <c r="Y4369" s="28">
        <v>2066486000</v>
      </c>
      <c r="Z4369" s="28">
        <v>458021000</v>
      </c>
      <c r="AA4369" s="28"/>
      <c r="AB4369" s="28"/>
      <c r="AC4369" s="28">
        <v>1425051000</v>
      </c>
      <c r="AD4369" s="28">
        <v>458115000</v>
      </c>
      <c r="AE4369" s="28">
        <v>3332614000</v>
      </c>
      <c r="AF4369" s="28">
        <v>300588000</v>
      </c>
      <c r="AG4369" s="11"/>
    </row>
    <row r="4370">
      <c r="A4370" s="7" t="s">
        <v>6017</v>
      </c>
      <c r="B4370" s="5" t="s">
        <v>13971</v>
      </c>
      <c r="C4370" s="5" t="s">
        <v>21728</v>
      </c>
      <c r="D4370" s="5" t="str">
        <v>366520908406</v>
      </c>
      <c r="E4370" s="0" t="e">
        <f>+7 (47341) 53288
+7 (47341) 53565
+7 (47341) 53655
+7 (47341) 54263
+7 (47341) 54375
+7 (47341) 55920
+7 (47341) 56208
+7 (47341) 57479</f>
        <v>#NAME?</v>
      </c>
      <c r="F4370" s="5" t="s">
        <v>38382</v>
      </c>
      <c r="G4370" s="5"/>
      <c r="H4370" s="26">
        <v>12</v>
      </c>
      <c r="I4370" s="5" t="s">
        <v>38383</v>
      </c>
      <c r="J4370" s="5" t="s">
        <v>25800</v>
      </c>
      <c r="K4370" s="5" t="s">
        <v>355</v>
      </c>
      <c r="L4370" s="5" t="s">
        <v>38384</v>
      </c>
      <c r="M4370" s="27">
        <v>875861</v>
      </c>
      <c r="N4370" s="5"/>
      <c r="O4370" s="5" t="str">
        <v>3666170875</v>
      </c>
      <c r="P4370" s="27">
        <v>345318848</v>
      </c>
      <c r="Q4370" s="5"/>
      <c r="R4370" s="5"/>
      <c r="S4370" s="5" t="s">
        <v>49029</v>
      </c>
      <c r="T4370" s="28">
        <v>684900000</v>
      </c>
      <c r="U4370" s="28"/>
      <c r="V4370" s="28">
        <v>342526000</v>
      </c>
      <c r="W4370" s="28">
        <v>626119000</v>
      </c>
      <c r="X4370" s="28">
        <v>19631000</v>
      </c>
      <c r="Y4370" s="28">
        <v>2388148000</v>
      </c>
      <c r="Z4370" s="28">
        <v>847122000</v>
      </c>
      <c r="AA4370" s="28"/>
      <c r="AB4370" s="28">
        <v>1000000000</v>
      </c>
      <c r="AC4370" s="28">
        <v>1154507000</v>
      </c>
      <c r="AD4370" s="28">
        <v>1192441000</v>
      </c>
      <c r="AE4370" s="28">
        <v>3025463000</v>
      </c>
      <c r="AF4370" s="28">
        <v>90387000</v>
      </c>
      <c r="AG4370" s="11"/>
    </row>
    <row r="4371">
      <c r="A4371" s="7" t="s">
        <v>6018</v>
      </c>
      <c r="B4371" s="5" t="s">
        <v>13972</v>
      </c>
      <c r="C4371" s="5" t="s">
        <v>21729</v>
      </c>
      <c r="D4371" s="5"/>
      <c r="E4371" s="0" t="e">
        <f>+7 (47157) 66706
+7 (905) 1583464</f>
        <v>#NAME?</v>
      </c>
      <c r="F4371" s="5"/>
      <c r="G4371" s="5"/>
      <c r="H4371" s="26">
        <v>14</v>
      </c>
      <c r="I4371" s="5" t="s">
        <v>38385</v>
      </c>
      <c r="J4371" s="5" t="s">
        <v>25994</v>
      </c>
      <c r="K4371" s="5" t="s">
        <v>344</v>
      </c>
      <c r="L4371" s="5"/>
      <c r="M4371" s="27"/>
      <c r="N4371" s="5"/>
      <c r="O4371" s="5" t="str">
        <v>4608005793</v>
      </c>
      <c r="P4371" s="27">
        <v>100000</v>
      </c>
      <c r="Q4371" s="5" t="s">
        <v>49009</v>
      </c>
      <c r="R4371" s="5"/>
      <c r="S4371" s="5" t="s">
        <v>49066</v>
      </c>
      <c r="T4371" s="28">
        <v>415271000</v>
      </c>
      <c r="U4371" s="28"/>
      <c r="V4371" s="28">
        <v>1715051000</v>
      </c>
      <c r="W4371" s="28">
        <v>254524000</v>
      </c>
      <c r="X4371" s="28">
        <v>497000</v>
      </c>
      <c r="Y4371" s="28">
        <v>3432289000</v>
      </c>
      <c r="Z4371" s="28">
        <v>250743000</v>
      </c>
      <c r="AA4371" s="28"/>
      <c r="AB4371" s="28"/>
      <c r="AC4371" s="28">
        <v>3181446000</v>
      </c>
      <c r="AD4371" s="28">
        <v>250843000</v>
      </c>
      <c r="AE4371" s="28">
        <v>3841833000</v>
      </c>
      <c r="AF4371" s="28">
        <v>2752000</v>
      </c>
      <c r="AG4371" s="11"/>
    </row>
    <row r="4372">
      <c r="A4372" s="7" t="s">
        <v>6019</v>
      </c>
      <c r="B4372" s="5" t="s">
        <v>13973</v>
      </c>
      <c r="C4372" s="5" t="s">
        <v>18069</v>
      </c>
      <c r="D4372" s="5" t="str">
        <v>519030320149</v>
      </c>
      <c r="E4372" s="0" t="e">
        <f>+7 (818) 2210411</f>
        <v>#NAME?</v>
      </c>
      <c r="F4372" s="5" t="s">
        <v>38386</v>
      </c>
      <c r="G4372" s="5"/>
      <c r="H4372" s="26">
        <v>23.5</v>
      </c>
      <c r="I4372" s="5"/>
      <c r="J4372" s="5" t="s">
        <v>26424</v>
      </c>
      <c r="K4372" s="5" t="s">
        <v>344</v>
      </c>
      <c r="L4372" s="5" t="s">
        <v>38387</v>
      </c>
      <c r="M4372" s="27"/>
      <c r="N4372" s="5" t="s">
        <v>56150</v>
      </c>
      <c r="O4372" s="5" t="str">
        <v>2917001834</v>
      </c>
      <c r="P4372" s="27">
        <v>99456</v>
      </c>
      <c r="Q4372" s="5"/>
      <c r="R4372" s="5" t="s">
        <v>56151</v>
      </c>
      <c r="S4372" s="5" t="s">
        <v>49425</v>
      </c>
      <c r="T4372" s="28">
        <v>1726254000</v>
      </c>
      <c r="U4372" s="28">
        <v>1485371000</v>
      </c>
      <c r="V4372" s="28">
        <v>3336726000</v>
      </c>
      <c r="W4372" s="28"/>
      <c r="X4372" s="28">
        <v>1101960000</v>
      </c>
      <c r="Y4372" s="28">
        <v>7903355000</v>
      </c>
      <c r="Z4372" s="28">
        <v>3127775000</v>
      </c>
      <c r="AA4372" s="28">
        <v>1161125000</v>
      </c>
      <c r="AB4372" s="28">
        <v>952704000</v>
      </c>
      <c r="AC4372" s="28">
        <v>2415664000</v>
      </c>
      <c r="AD4372" s="28">
        <v>3127889000</v>
      </c>
      <c r="AE4372" s="28">
        <v>3988246000</v>
      </c>
      <c r="AF4372" s="28">
        <v>866616000</v>
      </c>
      <c r="AG4372" s="11"/>
    </row>
    <row r="4373">
      <c r="A4373" s="7" t="s">
        <v>6020</v>
      </c>
      <c r="B4373" s="5" t="s">
        <v>13974</v>
      </c>
      <c r="C4373" s="5" t="s">
        <v>18637</v>
      </c>
      <c r="D4373" s="5"/>
      <c r="E4373" s="0" t="e">
        <f>+7 (495) 9882264</f>
        <v>#NAME?</v>
      </c>
      <c r="F4373" s="5"/>
      <c r="G4373" s="5"/>
      <c r="H4373" s="26">
        <v>8.5</v>
      </c>
      <c r="I4373" s="5" t="s">
        <v>38388</v>
      </c>
      <c r="J4373" s="5" t="s">
        <v>748</v>
      </c>
      <c r="K4373" s="5" t="s">
        <v>344</v>
      </c>
      <c r="L4373" s="5" t="s">
        <v>38389</v>
      </c>
      <c r="M4373" s="27"/>
      <c r="N4373" s="5"/>
      <c r="O4373" s="5" t="str">
        <v>7707846111</v>
      </c>
      <c r="P4373" s="27">
        <v>95090000</v>
      </c>
      <c r="Q4373" s="5" t="s">
        <v>49059</v>
      </c>
      <c r="R4373" s="5"/>
      <c r="S4373" s="5" t="s">
        <v>49010</v>
      </c>
      <c r="T4373" s="28"/>
      <c r="U4373" s="28">
        <v>9308000</v>
      </c>
      <c r="V4373" s="28">
        <v>2927583000</v>
      </c>
      <c r="W4373" s="28">
        <v>126756000</v>
      </c>
      <c r="X4373" s="28">
        <v>92519000</v>
      </c>
      <c r="Y4373" s="28">
        <v>3532365000</v>
      </c>
      <c r="Z4373" s="28">
        <v>1880185000</v>
      </c>
      <c r="AA4373" s="28"/>
      <c r="AB4373" s="28"/>
      <c r="AC4373" s="28">
        <v>842929000</v>
      </c>
      <c r="AD4373" s="28">
        <v>2687067000</v>
      </c>
      <c r="AE4373" s="28">
        <v>5544292000</v>
      </c>
      <c r="AF4373" s="28">
        <v>834241000</v>
      </c>
      <c r="AG4373" s="11"/>
    </row>
    <row r="4374">
      <c r="A4374" s="7" t="s">
        <v>6021</v>
      </c>
      <c r="B4374" s="5" t="s">
        <v>13975</v>
      </c>
      <c r="C4374" s="5" t="s">
        <v>21730</v>
      </c>
      <c r="D4374" s="5" t="str">
        <v>502710881061</v>
      </c>
      <c r="E4374" s="0" t="e">
        <f>+7 (495) 2201613
+7 (495) 7771111
+7 (495) 9258185
+7 (499) 2500146
+7 (499) 2500487
+7 (499) 2500832
+7 (499) 2502769
+7 (499) 2503145
+7 (499) 2511027
+7 (499) 2512001
+7 (499) 2513374
+7 (499) 2516387</f>
        <v>#NAME?</v>
      </c>
      <c r="F4374" s="5" t="s">
        <v>38390</v>
      </c>
      <c r="G4374" s="5" t="s">
        <v>38391</v>
      </c>
      <c r="H4374" s="26">
        <v>30</v>
      </c>
      <c r="I4374" s="5" t="s">
        <v>38392</v>
      </c>
      <c r="J4374" s="5" t="s">
        <v>25429</v>
      </c>
      <c r="K4374" s="5" t="s">
        <v>344</v>
      </c>
      <c r="L4374" s="5" t="s">
        <v>38393</v>
      </c>
      <c r="M4374" s="27"/>
      <c r="N4374" s="5" t="s">
        <v>56152</v>
      </c>
      <c r="O4374" s="5" t="str">
        <v>7730039620</v>
      </c>
      <c r="P4374" s="27">
        <v>44357000</v>
      </c>
      <c r="Q4374" s="5" t="s">
        <v>56153</v>
      </c>
      <c r="R4374" s="5"/>
      <c r="S4374" s="5" t="s">
        <v>56154</v>
      </c>
      <c r="T4374" s="28">
        <v>80225000</v>
      </c>
      <c r="U4374" s="28">
        <v>25807000</v>
      </c>
      <c r="V4374" s="28">
        <v>763086000</v>
      </c>
      <c r="W4374" s="28"/>
      <c r="X4374" s="28">
        <v>379694000</v>
      </c>
      <c r="Y4374" s="28">
        <v>1759581000</v>
      </c>
      <c r="Z4374" s="28">
        <v>1307153000</v>
      </c>
      <c r="AA4374" s="28"/>
      <c r="AB4374" s="28"/>
      <c r="AC4374" s="28">
        <v>303834000</v>
      </c>
      <c r="AD4374" s="28">
        <v>1351510000</v>
      </c>
      <c r="AE4374" s="28">
        <v>3365280000</v>
      </c>
      <c r="AF4374" s="28">
        <v>316414000</v>
      </c>
      <c r="AG4374" s="11"/>
    </row>
    <row r="4375">
      <c r="A4375" s="7" t="s">
        <v>6022</v>
      </c>
      <c r="B4375" s="5" t="s">
        <v>13976</v>
      </c>
      <c r="C4375" s="5" t="s">
        <v>21731</v>
      </c>
      <c r="D4375" s="5" t="str">
        <v>773386984635</v>
      </c>
      <c r="E4375" s="0" t="e">
        <f>+7 (495) 9880878</f>
        <v>#NAME?</v>
      </c>
      <c r="F4375" s="5"/>
      <c r="G4375" s="5"/>
      <c r="H4375" s="26">
        <v>6</v>
      </c>
      <c r="I4375" s="5" t="s">
        <v>38394</v>
      </c>
      <c r="J4375" s="5" t="s">
        <v>785</v>
      </c>
      <c r="K4375" s="5" t="s">
        <v>344</v>
      </c>
      <c r="L4375" s="5" t="s">
        <v>38395</v>
      </c>
      <c r="M4375" s="27"/>
      <c r="N4375" s="5"/>
      <c r="O4375" s="5" t="str">
        <v>7727306097</v>
      </c>
      <c r="P4375" s="27">
        <v>1000000</v>
      </c>
      <c r="Q4375" s="5" t="s">
        <v>49059</v>
      </c>
      <c r="R4375" s="5"/>
      <c r="S4375" s="5" t="s">
        <v>49010</v>
      </c>
      <c r="T4375" s="28">
        <v>8455000</v>
      </c>
      <c r="U4375" s="28"/>
      <c r="V4375" s="28">
        <v>1252430000</v>
      </c>
      <c r="W4375" s="28">
        <v>385000000</v>
      </c>
      <c r="X4375" s="28">
        <v>1484000</v>
      </c>
      <c r="Y4375" s="28">
        <v>1649303000</v>
      </c>
      <c r="Z4375" s="28">
        <v>213178000</v>
      </c>
      <c r="AA4375" s="28"/>
      <c r="AB4375" s="28"/>
      <c r="AC4375" s="28">
        <v>1434414000</v>
      </c>
      <c r="AD4375" s="28">
        <v>214178000</v>
      </c>
      <c r="AE4375" s="28">
        <v>9049180000</v>
      </c>
      <c r="AF4375" s="28">
        <v>18101000</v>
      </c>
      <c r="AG4375" s="11"/>
    </row>
    <row r="4376">
      <c r="A4376" s="7" t="s">
        <v>6023</v>
      </c>
      <c r="B4376" s="5" t="s">
        <v>13977</v>
      </c>
      <c r="C4376" s="5" t="s">
        <v>21732</v>
      </c>
      <c r="D4376" s="5" t="str">
        <v>772171279550</v>
      </c>
      <c r="E4376" s="0" t="e">
        <f>+7 (49675) 55251
+7 (495) 3341438
+7 (495) 3341671
+7 (8362) 512288
+7 (903) 1541530</f>
        <v>#NAME?</v>
      </c>
      <c r="F4376" s="5" t="s">
        <v>38396</v>
      </c>
      <c r="G4376" s="5" t="s">
        <v>38397</v>
      </c>
      <c r="H4376" s="26">
        <v>11.5</v>
      </c>
      <c r="I4376" s="5" t="s">
        <v>38398</v>
      </c>
      <c r="J4376" s="5" t="s">
        <v>25337</v>
      </c>
      <c r="K4376" s="5" t="s">
        <v>344</v>
      </c>
      <c r="L4376" s="5" t="s">
        <v>38399</v>
      </c>
      <c r="M4376" s="27"/>
      <c r="N4376" s="5" t="s">
        <v>56155</v>
      </c>
      <c r="O4376" s="5" t="str">
        <v>7728781514</v>
      </c>
      <c r="P4376" s="27">
        <v>220800000</v>
      </c>
      <c r="Q4376" s="5" t="s">
        <v>49009</v>
      </c>
      <c r="R4376" s="5"/>
      <c r="S4376" s="5" t="s">
        <v>49045</v>
      </c>
      <c r="T4376" s="28"/>
      <c r="U4376" s="28"/>
      <c r="V4376" s="28">
        <v>414944000</v>
      </c>
      <c r="W4376" s="28">
        <v>2000000</v>
      </c>
      <c r="X4376" s="28">
        <v>435003000</v>
      </c>
      <c r="Y4376" s="28">
        <v>993896000</v>
      </c>
      <c r="Z4376" s="28">
        <v>633275000</v>
      </c>
      <c r="AA4376" s="28"/>
      <c r="AB4376" s="28"/>
      <c r="AC4376" s="28">
        <v>139821000</v>
      </c>
      <c r="AD4376" s="28">
        <v>854075000</v>
      </c>
      <c r="AE4376" s="28">
        <v>5299642000</v>
      </c>
      <c r="AF4376" s="28">
        <v>61475000</v>
      </c>
      <c r="AG4376" s="11"/>
    </row>
    <row r="4377">
      <c r="A4377" s="7" t="s">
        <v>6024</v>
      </c>
      <c r="B4377" s="5" t="s">
        <v>13978</v>
      </c>
      <c r="C4377" s="5" t="s">
        <v>21733</v>
      </c>
      <c r="D4377" s="5" t="str">
        <v>645201900718</v>
      </c>
      <c r="E4377" s="0" t="e">
        <f>+7 (84540) 41660
+7 (84545) 45100</f>
        <v>#NAME?</v>
      </c>
      <c r="F4377" s="5"/>
      <c r="G4377" s="5"/>
      <c r="H4377" s="26">
        <v>5.5</v>
      </c>
      <c r="I4377" s="5" t="s">
        <v>38400</v>
      </c>
      <c r="J4377" s="5" t="s">
        <v>1059</v>
      </c>
      <c r="K4377" s="5" t="s">
        <v>355</v>
      </c>
      <c r="L4377" s="5" t="s">
        <v>25801</v>
      </c>
      <c r="M4377" s="27"/>
      <c r="N4377" s="5"/>
      <c r="O4377" s="5" t="str">
        <v>6452129642</v>
      </c>
      <c r="P4377" s="27">
        <v>10000</v>
      </c>
      <c r="Q4377" s="5" t="s">
        <v>49059</v>
      </c>
      <c r="R4377" s="5"/>
      <c r="S4377" s="5" t="s">
        <v>49010</v>
      </c>
      <c r="T4377" s="28">
        <v>1796000</v>
      </c>
      <c r="U4377" s="28"/>
      <c r="V4377" s="28">
        <v>306123000</v>
      </c>
      <c r="W4377" s="28">
        <v>642344000</v>
      </c>
      <c r="X4377" s="28">
        <v>98829000</v>
      </c>
      <c r="Y4377" s="28">
        <v>1164365000</v>
      </c>
      <c r="Z4377" s="28">
        <v>71405000</v>
      </c>
      <c r="AA4377" s="28"/>
      <c r="AB4377" s="28">
        <v>530599000</v>
      </c>
      <c r="AC4377" s="28">
        <v>1092950000</v>
      </c>
      <c r="AD4377" s="28">
        <v>71415000</v>
      </c>
      <c r="AE4377" s="28">
        <v>4688304000</v>
      </c>
      <c r="AF4377" s="28">
        <v>16322000</v>
      </c>
      <c r="AG4377" s="11"/>
    </row>
    <row r="4378">
      <c r="A4378" s="7" t="s">
        <v>6025</v>
      </c>
      <c r="B4378" s="5" t="s">
        <v>13979</v>
      </c>
      <c r="C4378" s="5" t="s">
        <v>21734</v>
      </c>
      <c r="D4378" s="5" t="str">
        <v>773416252409</v>
      </c>
      <c r="F4378" s="5"/>
      <c r="G4378" s="5"/>
      <c r="H4378" s="26">
        <v>1.5</v>
      </c>
      <c r="I4378" s="5" t="s">
        <v>38401</v>
      </c>
      <c r="J4378" s="5" t="s">
        <v>373</v>
      </c>
      <c r="K4378" s="5" t="s">
        <v>355</v>
      </c>
      <c r="L4378" s="5"/>
      <c r="M4378" s="27"/>
      <c r="N4378" s="5"/>
      <c r="O4378" s="5" t="str">
        <v>9725063406</v>
      </c>
      <c r="P4378" s="27">
        <v>100000</v>
      </c>
      <c r="Q4378" s="5" t="s">
        <v>56156</v>
      </c>
      <c r="R4378" s="5"/>
      <c r="S4378" s="5" t="s">
        <v>50865</v>
      </c>
      <c r="T4378" s="28"/>
      <c r="U4378" s="28">
        <v>2399600000</v>
      </c>
      <c r="V4378" s="28">
        <v>16691794000</v>
      </c>
      <c r="W4378" s="28"/>
      <c r="X4378" s="28">
        <v>31009000</v>
      </c>
      <c r="Y4378" s="28">
        <v>19145145000</v>
      </c>
      <c r="Z4378" s="28">
        <v>806732000</v>
      </c>
      <c r="AA4378" s="28">
        <v>1709170000</v>
      </c>
      <c r="AB4378" s="28">
        <v>7599996000</v>
      </c>
      <c r="AC4378" s="28">
        <v>16441285000</v>
      </c>
      <c r="AD4378" s="28">
        <v>806832000</v>
      </c>
      <c r="AE4378" s="28">
        <v>8336553000</v>
      </c>
      <c r="AF4378" s="28">
        <v>806555000</v>
      </c>
      <c r="AG4378" s="11"/>
    </row>
    <row r="4379">
      <c r="A4379" s="7" t="s">
        <v>6026</v>
      </c>
      <c r="B4379" s="5" t="s">
        <v>13980</v>
      </c>
      <c r="C4379" s="5" t="s">
        <v>21735</v>
      </c>
      <c r="D4379" s="5" t="str">
        <v>440128671048</v>
      </c>
      <c r="E4379" s="0" t="e">
        <f>+7 (495) 5085240
+7 (495) 7444404
+7 (495) 7448470
+7 (495) 7448471
+7 (495) 9735999
+7 (916) 2332323</f>
        <v>#NAME?</v>
      </c>
      <c r="F4379" s="5" t="s">
        <v>38402</v>
      </c>
      <c r="G4379" s="5" t="s">
        <v>38403</v>
      </c>
      <c r="H4379" s="26">
        <v>16</v>
      </c>
      <c r="I4379" s="5" t="s">
        <v>38404</v>
      </c>
      <c r="J4379" s="5" t="s">
        <v>748</v>
      </c>
      <c r="K4379" s="5" t="s">
        <v>344</v>
      </c>
      <c r="L4379" s="5" t="s">
        <v>38405</v>
      </c>
      <c r="M4379" s="27"/>
      <c r="N4379" s="5" t="s">
        <v>56157</v>
      </c>
      <c r="O4379" s="5" t="str">
        <v>7743620310</v>
      </c>
      <c r="P4379" s="27">
        <v>100000</v>
      </c>
      <c r="Q4379" s="5" t="s">
        <v>56158</v>
      </c>
      <c r="R4379" s="5"/>
      <c r="S4379" s="5" t="s">
        <v>56159</v>
      </c>
      <c r="T4379" s="28">
        <v>4269000</v>
      </c>
      <c r="U4379" s="28">
        <v>127353000</v>
      </c>
      <c r="V4379" s="28">
        <v>563672000</v>
      </c>
      <c r="W4379" s="28">
        <v>430000000</v>
      </c>
      <c r="X4379" s="28">
        <v>176733000</v>
      </c>
      <c r="Y4379" s="28">
        <v>1308844000</v>
      </c>
      <c r="Z4379" s="28">
        <v>254817000</v>
      </c>
      <c r="AA4379" s="28"/>
      <c r="AB4379" s="28">
        <v>59072000</v>
      </c>
      <c r="AC4379" s="28">
        <v>1053825000</v>
      </c>
      <c r="AD4379" s="28">
        <v>254917000</v>
      </c>
      <c r="AE4379" s="28">
        <v>3600869000</v>
      </c>
      <c r="AF4379" s="28">
        <v>198572000</v>
      </c>
      <c r="AG4379" s="11"/>
    </row>
    <row r="4380">
      <c r="A4380" s="7" t="s">
        <v>6027</v>
      </c>
      <c r="B4380" s="5" t="s">
        <v>13981</v>
      </c>
      <c r="C4380" s="5" t="s">
        <v>21736</v>
      </c>
      <c r="D4380" s="5" t="str">
        <v>550300957621</v>
      </c>
      <c r="E4380" s="0" t="e">
        <f>+7 (381) 2520634
+7 (381) 2520644
+7 (381) 2520672
+7 (381) 2520681
+7 (381) 2520690
+7 (381) 2630409
+7 (381) 2630463
+7 (381) 2630881
+7 (381) 2631109
+7 (381) 2631155
+7 (381) 2631218
+7 (381) 2647277
+7 (913) 9787686</f>
        <v>#NAME?</v>
      </c>
      <c r="F4380" s="5" t="s">
        <v>38406</v>
      </c>
      <c r="G4380" s="5" t="s">
        <v>38407</v>
      </c>
      <c r="H4380" s="26">
        <v>30</v>
      </c>
      <c r="I4380" s="5"/>
      <c r="J4380" s="5" t="s">
        <v>445</v>
      </c>
      <c r="K4380" s="5" t="s">
        <v>344</v>
      </c>
      <c r="L4380" s="5" t="s">
        <v>38408</v>
      </c>
      <c r="M4380" s="27"/>
      <c r="N4380" s="5" t="s">
        <v>56160</v>
      </c>
      <c r="O4380" s="5" t="str">
        <v>5501004870</v>
      </c>
      <c r="P4380" s="27">
        <v>5000000</v>
      </c>
      <c r="Q4380" s="5"/>
      <c r="R4380" s="5"/>
      <c r="S4380" s="5" t="s">
        <v>49496</v>
      </c>
      <c r="T4380" s="28">
        <v>139225000</v>
      </c>
      <c r="U4380" s="28"/>
      <c r="V4380" s="28">
        <v>300044000</v>
      </c>
      <c r="W4380" s="28">
        <v>972754000</v>
      </c>
      <c r="X4380" s="28">
        <v>524886000</v>
      </c>
      <c r="Y4380" s="28">
        <v>2213886000</v>
      </c>
      <c r="Z4380" s="28">
        <v>1753032000</v>
      </c>
      <c r="AA4380" s="28"/>
      <c r="AB4380" s="28"/>
      <c r="AC4380" s="28">
        <v>409518000</v>
      </c>
      <c r="AD4380" s="28">
        <v>1793282000</v>
      </c>
      <c r="AE4380" s="28">
        <v>3000827000</v>
      </c>
      <c r="AF4380" s="28">
        <v>414140000</v>
      </c>
      <c r="AG4380" s="11"/>
    </row>
    <row r="4381">
      <c r="A4381" s="7" t="s">
        <v>6028</v>
      </c>
      <c r="B4381" s="5" t="s">
        <v>13982</v>
      </c>
      <c r="C4381" s="5" t="s">
        <v>21737</v>
      </c>
      <c r="D4381" s="5" t="str">
        <v>772902116000</v>
      </c>
      <c r="E4381" s="0" t="e">
        <f>+7 (495) 7866335
+7 (495) 9565639
+7 (495) 7866330</f>
        <v>#NAME?</v>
      </c>
      <c r="F4381" s="5" t="s">
        <v>38409</v>
      </c>
      <c r="G4381" s="5" t="s">
        <v>38410</v>
      </c>
      <c r="H4381" s="26">
        <v>19.5</v>
      </c>
      <c r="I4381" s="5" t="s">
        <v>38411</v>
      </c>
      <c r="J4381" s="5" t="s">
        <v>38412</v>
      </c>
      <c r="K4381" s="5" t="s">
        <v>344</v>
      </c>
      <c r="L4381" s="5" t="s">
        <v>38413</v>
      </c>
      <c r="M4381" s="27">
        <v>57497230</v>
      </c>
      <c r="N4381" s="5" t="s">
        <v>56161</v>
      </c>
      <c r="O4381" s="5" t="str">
        <v>7708508323</v>
      </c>
      <c r="P4381" s="27">
        <v>3023949850</v>
      </c>
      <c r="Q4381" s="5" t="s">
        <v>56162</v>
      </c>
      <c r="R4381" s="5"/>
      <c r="S4381" s="5" t="s">
        <v>49379</v>
      </c>
      <c r="T4381" s="28">
        <v>2646918000</v>
      </c>
      <c r="U4381" s="28">
        <v>562353000</v>
      </c>
      <c r="V4381" s="28">
        <v>854253000</v>
      </c>
      <c r="W4381" s="28"/>
      <c r="X4381" s="28">
        <v>1620582000</v>
      </c>
      <c r="Y4381" s="28">
        <v>6872866000</v>
      </c>
      <c r="Z4381" s="28">
        <v>-2643276000</v>
      </c>
      <c r="AA4381" s="28">
        <v>1644624000</v>
      </c>
      <c r="AB4381" s="28">
        <v>226275000</v>
      </c>
      <c r="AC4381" s="28">
        <v>1044054000</v>
      </c>
      <c r="AD4381" s="28">
        <v>4132764000</v>
      </c>
      <c r="AE4381" s="28">
        <v>5288586000</v>
      </c>
      <c r="AF4381" s="28">
        <v>353129000</v>
      </c>
      <c r="AG4381" s="11"/>
    </row>
    <row r="4382">
      <c r="A4382" s="7" t="s">
        <v>6029</v>
      </c>
      <c r="B4382" s="5" t="s">
        <v>13983</v>
      </c>
      <c r="C4382" s="5" t="s">
        <v>21738</v>
      </c>
      <c r="D4382" s="5" t="str">
        <v>502205648544</v>
      </c>
      <c r="E4382" s="0" t="e">
        <f>+7 (495) 7453875
+7 (49656) 27508
+7 (83177) 93629</f>
        <v>#NAME?</v>
      </c>
      <c r="F4382" s="5" t="s">
        <v>38414</v>
      </c>
      <c r="G4382" s="5" t="s">
        <v>38415</v>
      </c>
      <c r="H4382" s="26">
        <v>28.5</v>
      </c>
      <c r="I4382" s="5" t="s">
        <v>38416</v>
      </c>
      <c r="J4382" s="5" t="s">
        <v>26292</v>
      </c>
      <c r="K4382" s="5" t="s">
        <v>355</v>
      </c>
      <c r="L4382" s="5" t="s">
        <v>38417</v>
      </c>
      <c r="M4382" s="27"/>
      <c r="N4382" s="5" t="s">
        <v>56163</v>
      </c>
      <c r="O4382" s="5" t="str">
        <v>5050008290</v>
      </c>
      <c r="P4382" s="27">
        <v>205800</v>
      </c>
      <c r="Q4382" s="5" t="s">
        <v>56164</v>
      </c>
      <c r="R4382" s="5"/>
      <c r="S4382" s="5" t="s">
        <v>49747</v>
      </c>
      <c r="T4382" s="28">
        <v>339284000</v>
      </c>
      <c r="U4382" s="28"/>
      <c r="V4382" s="28">
        <v>852845000</v>
      </c>
      <c r="W4382" s="28"/>
      <c r="X4382" s="28">
        <v>142000</v>
      </c>
      <c r="Y4382" s="28">
        <v>3016374000</v>
      </c>
      <c r="Z4382" s="28">
        <v>793162000</v>
      </c>
      <c r="AA4382" s="28"/>
      <c r="AB4382" s="28">
        <v>1251055000</v>
      </c>
      <c r="AC4382" s="28">
        <v>2151971000</v>
      </c>
      <c r="AD4382" s="28">
        <v>854702000</v>
      </c>
      <c r="AE4382" s="28">
        <v>12186028000</v>
      </c>
      <c r="AF4382" s="28">
        <v>-252483000</v>
      </c>
      <c r="AG4382" s="11"/>
    </row>
    <row r="4383">
      <c r="A4383" s="7" t="s">
        <v>6030</v>
      </c>
      <c r="B4383" s="5" t="s">
        <v>13984</v>
      </c>
      <c r="C4383" s="5" t="s">
        <v>21739</v>
      </c>
      <c r="D4383" s="5" t="str">
        <v>434533763300</v>
      </c>
      <c r="E4383" s="0" t="e">
        <f>+7 (833) 2715309
+7 (343) 3861951
+7 (3432) 233838
+7 (3432) 715309
+7 (833) 2233838
+7 (912) 7034092</f>
        <v>#NAME?</v>
      </c>
      <c r="F4383" s="5" t="s">
        <v>38418</v>
      </c>
      <c r="G4383" s="5"/>
      <c r="H4383" s="26">
        <v>22.5</v>
      </c>
      <c r="I4383" s="5" t="s">
        <v>38419</v>
      </c>
      <c r="J4383" s="5" t="s">
        <v>1123</v>
      </c>
      <c r="K4383" s="5" t="s">
        <v>344</v>
      </c>
      <c r="L4383" s="5" t="s">
        <v>38420</v>
      </c>
      <c r="M4383" s="27"/>
      <c r="N4383" s="5" t="s">
        <v>56165</v>
      </c>
      <c r="O4383" s="5" t="str">
        <v>4345011635</v>
      </c>
      <c r="P4383" s="27">
        <v>38400</v>
      </c>
      <c r="Q4383" s="5"/>
      <c r="R4383" s="5"/>
      <c r="S4383" s="5" t="s">
        <v>49047</v>
      </c>
      <c r="T4383" s="28"/>
      <c r="U4383" s="28"/>
      <c r="V4383" s="28"/>
      <c r="W4383" s="28"/>
      <c r="X4383" s="28">
        <v>224000</v>
      </c>
      <c r="Y4383" s="28">
        <v>90720000</v>
      </c>
      <c r="Z4383" s="28">
        <v>90682000</v>
      </c>
      <c r="AA4383" s="28"/>
      <c r="AB4383" s="28"/>
      <c r="AC4383" s="28"/>
      <c r="AD4383" s="28">
        <v>90720000</v>
      </c>
      <c r="AE4383" s="28">
        <v>4810826000</v>
      </c>
      <c r="AF4383" s="28">
        <v>42632000</v>
      </c>
      <c r="AG4383" s="11"/>
    </row>
    <row r="4384">
      <c r="A4384" s="7" t="s">
        <v>6031</v>
      </c>
      <c r="B4384" s="5" t="s">
        <v>13985</v>
      </c>
      <c r="C4384" s="5" t="s">
        <v>21740</v>
      </c>
      <c r="D4384" s="5" t="str">
        <v>225614800207</v>
      </c>
      <c r="E4384" s="0" t="e">
        <f>+7 (413) 2299815
+7 (413) 2299857
+7 (413) 2607848
+7 (413) 2697500
+7 (413) 2697512
+7 (41348) 22194
+7 (914) 8594454
+7 (914) 8598708
+7 (964) 4597880</f>
        <v>#NAME?</v>
      </c>
      <c r="F4384" s="5" t="s">
        <v>38421</v>
      </c>
      <c r="G4384" s="5" t="s">
        <v>32067</v>
      </c>
      <c r="H4384" s="26">
        <v>30</v>
      </c>
      <c r="I4384" s="5" t="s">
        <v>38422</v>
      </c>
      <c r="J4384" s="5" t="s">
        <v>26499</v>
      </c>
      <c r="K4384" s="5" t="s">
        <v>344</v>
      </c>
      <c r="L4384" s="5" t="s">
        <v>38423</v>
      </c>
      <c r="M4384" s="27"/>
      <c r="N4384" s="5"/>
      <c r="O4384" s="5" t="str">
        <v>4909109130</v>
      </c>
      <c r="P4384" s="27">
        <v>229987826</v>
      </c>
      <c r="Q4384" s="5" t="s">
        <v>56166</v>
      </c>
      <c r="R4384" s="5"/>
      <c r="S4384" s="5" t="s">
        <v>56167</v>
      </c>
      <c r="T4384" s="28">
        <v>4264878000</v>
      </c>
      <c r="U4384" s="28">
        <v>10346140000</v>
      </c>
      <c r="V4384" s="28">
        <v>7802208000</v>
      </c>
      <c r="W4384" s="28"/>
      <c r="X4384" s="28">
        <v>1542304000</v>
      </c>
      <c r="Y4384" s="28">
        <v>37223767000</v>
      </c>
      <c r="Z4384" s="28">
        <v>27778694000</v>
      </c>
      <c r="AA4384" s="28">
        <v>2873708000</v>
      </c>
      <c r="AB4384" s="28">
        <v>328143000</v>
      </c>
      <c r="AC4384" s="28">
        <v>3198885000</v>
      </c>
      <c r="AD4384" s="28">
        <v>29113113000</v>
      </c>
      <c r="AE4384" s="28">
        <v>22827657000</v>
      </c>
      <c r="AF4384" s="28">
        <v>3099551000</v>
      </c>
      <c r="AG4384" s="11"/>
    </row>
    <row r="4385">
      <c r="A4385" s="7" t="s">
        <v>6032</v>
      </c>
      <c r="B4385" s="5" t="s">
        <v>13986</v>
      </c>
      <c r="C4385" s="5" t="s">
        <v>21741</v>
      </c>
      <c r="D4385" s="5" t="str">
        <v>501000370060</v>
      </c>
      <c r="E4385" s="0" t="e">
        <f>+7 (495) 9805386
+7 (495) 4866420
+7 (495) 6190312
+7 (495) 6396236
+7 (495) 6397227
+7 (495) 9796236
+7 (495) 9797227
+7 (495) 9805390</f>
        <v>#NAME?</v>
      </c>
      <c r="F4385" s="5" t="s">
        <v>38424</v>
      </c>
      <c r="G4385" s="5" t="s">
        <v>38425</v>
      </c>
      <c r="H4385" s="26">
        <v>30</v>
      </c>
      <c r="I4385" s="5"/>
      <c r="J4385" s="5" t="s">
        <v>26128</v>
      </c>
      <c r="K4385" s="5" t="s">
        <v>344</v>
      </c>
      <c r="L4385" s="5"/>
      <c r="M4385" s="27"/>
      <c r="N4385" s="5"/>
      <c r="O4385" s="5" t="str">
        <v>7715034360</v>
      </c>
      <c r="P4385" s="27">
        <v>1017091230</v>
      </c>
      <c r="Q4385" s="5" t="s">
        <v>49009</v>
      </c>
      <c r="R4385" s="5"/>
      <c r="S4385" s="5" t="s">
        <v>49576</v>
      </c>
      <c r="T4385" s="28">
        <v>5878643000</v>
      </c>
      <c r="U4385" s="28"/>
      <c r="V4385" s="28">
        <v>6682811000</v>
      </c>
      <c r="W4385" s="28">
        <v>2817042000</v>
      </c>
      <c r="X4385" s="28">
        <v>29738000</v>
      </c>
      <c r="Y4385" s="28">
        <v>18601303000</v>
      </c>
      <c r="Z4385" s="28">
        <v>14846816000</v>
      </c>
      <c r="AA4385" s="28"/>
      <c r="AB4385" s="28">
        <v>185000000</v>
      </c>
      <c r="AC4385" s="28">
        <v>2285785000</v>
      </c>
      <c r="AD4385" s="28">
        <v>15949648000</v>
      </c>
      <c r="AE4385" s="28">
        <v>59453498000</v>
      </c>
      <c r="AF4385" s="28">
        <v>5839111000</v>
      </c>
      <c r="AG4385" s="11"/>
    </row>
    <row r="4386">
      <c r="A4386" s="7" t="s">
        <v>6033</v>
      </c>
      <c r="B4386" s="5" t="s">
        <v>13987</v>
      </c>
      <c r="C4386" s="5" t="s">
        <v>21742</v>
      </c>
      <c r="D4386" s="5" t="str">
        <v>771310878457</v>
      </c>
      <c r="E4386" s="0" t="e">
        <f>+7 (916) 8250495
+7 (495) 7923718
+7 (495) 9538497
+7 (499) 2300487
+7 (499) 2362515
+7 (499) 2430667
+7 (499) 2431391
+7 (916) 9160384</f>
        <v>#NAME?</v>
      </c>
      <c r="F4386" s="5" t="s">
        <v>38426</v>
      </c>
      <c r="G4386" s="5"/>
      <c r="H4386" s="26">
        <v>15</v>
      </c>
      <c r="I4386" s="5" t="s">
        <v>38427</v>
      </c>
      <c r="J4386" s="5" t="s">
        <v>38428</v>
      </c>
      <c r="K4386" s="5" t="s">
        <v>344</v>
      </c>
      <c r="L4386" s="5" t="s">
        <v>38429</v>
      </c>
      <c r="M4386" s="27"/>
      <c r="N4386" s="5" t="s">
        <v>56168</v>
      </c>
      <c r="O4386" s="5" t="str">
        <v>7707649265</v>
      </c>
      <c r="P4386" s="27">
        <v>1000000</v>
      </c>
      <c r="Q4386" s="5" t="s">
        <v>56170</v>
      </c>
      <c r="R4386" s="5"/>
      <c r="S4386" s="5" t="s">
        <v>56171</v>
      </c>
      <c r="T4386" s="28">
        <v>641796000</v>
      </c>
      <c r="U4386" s="28">
        <v>281560000</v>
      </c>
      <c r="V4386" s="28">
        <v>3458913000</v>
      </c>
      <c r="W4386" s="28">
        <v>520886000</v>
      </c>
      <c r="X4386" s="28">
        <v>45190000</v>
      </c>
      <c r="Y4386" s="28">
        <v>5509510000</v>
      </c>
      <c r="Z4386" s="28">
        <v>233256000</v>
      </c>
      <c r="AA4386" s="28">
        <v>854557000</v>
      </c>
      <c r="AB4386" s="28">
        <v>518077000</v>
      </c>
      <c r="AC4386" s="28">
        <v>4334625000</v>
      </c>
      <c r="AD4386" s="28">
        <v>234256000</v>
      </c>
      <c r="AE4386" s="28">
        <v>5818504000</v>
      </c>
      <c r="AF4386" s="28">
        <v>78941000</v>
      </c>
      <c r="AG4386" s="11"/>
    </row>
    <row r="4387">
      <c r="A4387" s="7" t="s">
        <v>6034</v>
      </c>
      <c r="B4387" s="5" t="s">
        <v>13988</v>
      </c>
      <c r="C4387" s="5" t="s">
        <v>21743</v>
      </c>
      <c r="D4387" s="5" t="str">
        <v>550404554850</v>
      </c>
      <c r="E4387" s="0" t="e">
        <f>+7 (381) 2203957
+7 (381) 2345415
+7 (381) 2944548
+7 (381) 2945342
+7 (381) 2945412
+7 (381) 2345488
+7 (381) 2414770
+7 (381) 2419220
+7 (381) 2419231
+7 (381) 2657720
+7 (381) 2706512
+7 (381) 2944632
+7 (381) 2945064
+7 (381) 2945279
+7 (381) 2945439</f>
        <v>#NAME?</v>
      </c>
      <c r="F4387" s="5" t="s">
        <v>38430</v>
      </c>
      <c r="G4387" s="5"/>
      <c r="H4387" s="26">
        <v>9</v>
      </c>
      <c r="I4387" s="5"/>
      <c r="J4387" s="5" t="s">
        <v>28968</v>
      </c>
      <c r="K4387" s="5" t="s">
        <v>355</v>
      </c>
      <c r="L4387" s="5"/>
      <c r="M4387" s="27">
        <v>2275926</v>
      </c>
      <c r="N4387" s="5" t="s">
        <v>56172</v>
      </c>
      <c r="O4387" s="5" t="str">
        <v>5503249258</v>
      </c>
      <c r="P4387" s="27">
        <v>164174167</v>
      </c>
      <c r="Q4387" s="5" t="s">
        <v>56173</v>
      </c>
      <c r="R4387" s="5"/>
      <c r="S4387" s="5" t="s">
        <v>50205</v>
      </c>
      <c r="T4387" s="28">
        <v>2638695000</v>
      </c>
      <c r="U4387" s="28"/>
      <c r="V4387" s="28">
        <v>1849306000</v>
      </c>
      <c r="W4387" s="28"/>
      <c r="X4387" s="28">
        <v>70819000</v>
      </c>
      <c r="Y4387" s="28">
        <v>4854488000</v>
      </c>
      <c r="Z4387" s="28">
        <v>178414000</v>
      </c>
      <c r="AA4387" s="28">
        <v>90255000</v>
      </c>
      <c r="AB4387" s="28">
        <v>476148000</v>
      </c>
      <c r="AC4387" s="28">
        <v>4089505000</v>
      </c>
      <c r="AD4387" s="28">
        <v>357950000</v>
      </c>
      <c r="AE4387" s="28">
        <v>10972741000</v>
      </c>
      <c r="AF4387" s="28">
        <v>-395721000</v>
      </c>
      <c r="AG4387" s="11"/>
    </row>
    <row r="4388">
      <c r="A4388" s="7" t="s">
        <v>6035</v>
      </c>
      <c r="B4388" s="5" t="s">
        <v>13989</v>
      </c>
      <c r="C4388" s="5" t="s">
        <v>21744</v>
      </c>
      <c r="D4388" s="5"/>
      <c r="E4388" s="0" t="e">
        <f>+7 (381) 2231296
+7 (381) 2244555
+7 (381) 2284322
+7 (381) 2409832
+7 (381) 2614032
+7 (381) 2616285
+7 (381) 2619032
+7 (381) 2927804
+7 (381) 2927859
+7 (381) 2927887</f>
        <v>#NAME?</v>
      </c>
      <c r="F4388" s="5" t="s">
        <v>38431</v>
      </c>
      <c r="G4388" s="5"/>
      <c r="H4388" s="26">
        <v>30</v>
      </c>
      <c r="I4388" s="5" t="s">
        <v>38432</v>
      </c>
      <c r="J4388" s="5" t="s">
        <v>26503</v>
      </c>
      <c r="K4388" s="5" t="s">
        <v>344</v>
      </c>
      <c r="L4388" s="5" t="s">
        <v>38433</v>
      </c>
      <c r="M4388" s="27">
        <v>5060000</v>
      </c>
      <c r="N4388" s="5"/>
      <c r="O4388" s="5" t="str">
        <v>5506006782</v>
      </c>
      <c r="P4388" s="27">
        <v>80000000</v>
      </c>
      <c r="Q4388" s="5" t="s">
        <v>49009</v>
      </c>
      <c r="R4388" s="5"/>
      <c r="S4388" s="5" t="s">
        <v>56174</v>
      </c>
      <c r="T4388" s="28">
        <v>373726000</v>
      </c>
      <c r="U4388" s="28"/>
      <c r="V4388" s="28">
        <v>6407379000</v>
      </c>
      <c r="W4388" s="28"/>
      <c r="X4388" s="28">
        <v>530000</v>
      </c>
      <c r="Y4388" s="28">
        <v>7377030000</v>
      </c>
      <c r="Z4388" s="28">
        <v>2599989000</v>
      </c>
      <c r="AA4388" s="28">
        <v>64162000</v>
      </c>
      <c r="AB4388" s="28">
        <v>811328000</v>
      </c>
      <c r="AC4388" s="28">
        <v>4616644000</v>
      </c>
      <c r="AD4388" s="28">
        <v>2696224000</v>
      </c>
      <c r="AE4388" s="28">
        <v>5889196000</v>
      </c>
      <c r="AF4388" s="28">
        <v>141207000</v>
      </c>
      <c r="AG4388" s="11"/>
    </row>
    <row r="4389">
      <c r="A4389" s="7" t="s">
        <v>6036</v>
      </c>
      <c r="B4389" s="5" t="s">
        <v>13990</v>
      </c>
      <c r="C4389" s="5" t="s">
        <v>21745</v>
      </c>
      <c r="D4389" s="5" t="str">
        <v>550501440230</v>
      </c>
      <c r="E4389" s="0" t="e">
        <f>+7 (381) 2226532
+7 (381) 2242424
+7 (381) 2304724
+7 (381) 2303549
+7 (381) 2310048
+7 (381) 2310196
+7 (381) 2311760
+7 (381) 2313304
+7 (381) 2313355
+7 (381) 2313456
+7 (381) 2314210
+7 (381) 2314229
+7 (381) 2314602
+7 (381) 2314641
+7 (381) 2317134</f>
        <v>#NAME?</v>
      </c>
      <c r="F4389" s="5" t="s">
        <v>38434</v>
      </c>
      <c r="G4389" s="5"/>
      <c r="H4389" s="26">
        <v>18</v>
      </c>
      <c r="I4389" s="5"/>
      <c r="J4389" s="5" t="s">
        <v>29035</v>
      </c>
      <c r="K4389" s="5" t="s">
        <v>344</v>
      </c>
      <c r="L4389" s="5" t="s">
        <v>38435</v>
      </c>
      <c r="M4389" s="27">
        <v>16800250</v>
      </c>
      <c r="N4389" s="5" t="s">
        <v>56175</v>
      </c>
      <c r="O4389" s="5" t="str">
        <v>5504097128</v>
      </c>
      <c r="P4389" s="27">
        <v>200000000</v>
      </c>
      <c r="Q4389" s="5" t="s">
        <v>56177</v>
      </c>
      <c r="R4389" s="5"/>
      <c r="S4389" s="5" t="s">
        <v>49271</v>
      </c>
      <c r="T4389" s="28">
        <v>5981299000</v>
      </c>
      <c r="U4389" s="28"/>
      <c r="V4389" s="28">
        <v>610647000</v>
      </c>
      <c r="W4389" s="28"/>
      <c r="X4389" s="28">
        <v>2607583000</v>
      </c>
      <c r="Y4389" s="28">
        <v>9416476000</v>
      </c>
      <c r="Z4389" s="28">
        <v>5687150000</v>
      </c>
      <c r="AA4389" s="28"/>
      <c r="AB4389" s="28"/>
      <c r="AC4389" s="28">
        <v>2178748000</v>
      </c>
      <c r="AD4389" s="28">
        <v>5897150000</v>
      </c>
      <c r="AE4389" s="28">
        <v>4513022000</v>
      </c>
      <c r="AF4389" s="28">
        <v>663792000</v>
      </c>
      <c r="AG4389" s="11"/>
    </row>
    <row r="4390">
      <c r="A4390" s="7" t="s">
        <v>6037</v>
      </c>
      <c r="B4390" s="5" t="s">
        <v>13991</v>
      </c>
      <c r="C4390" s="5" t="s">
        <v>21746</v>
      </c>
      <c r="D4390" s="5" t="str">
        <v>550109356530</v>
      </c>
      <c r="E4390" s="0" t="e">
        <f>+7 (381) 2285610
+7 (381) 2556733
+7 (381) 2630809
+7 (381) 2630909
+7 (381) 2641011
+7 (381) 2644156
+7 (381) 2644562
+7 (381) 2697042
+7 (381) 2697058
+7 (381) 2697137
+7 (381) 2697190
+7 (381) 2697200
+7 (381) 2697235
+7 (381) 2697240
+7 (381) 2697364</f>
        <v>#NAME?</v>
      </c>
      <c r="F4390" s="5" t="s">
        <v>38436</v>
      </c>
      <c r="G4390" s="5" t="s">
        <v>38437</v>
      </c>
      <c r="H4390" s="26">
        <v>29.5</v>
      </c>
      <c r="I4390" s="5" t="s">
        <v>38438</v>
      </c>
      <c r="J4390" s="5" t="s">
        <v>38439</v>
      </c>
      <c r="K4390" s="5" t="s">
        <v>344</v>
      </c>
      <c r="L4390" s="5"/>
      <c r="M4390" s="27">
        <v>2214530</v>
      </c>
      <c r="N4390" s="5" t="s">
        <v>56178</v>
      </c>
      <c r="O4390" s="5" t="str">
        <v>5501023216</v>
      </c>
      <c r="P4390" s="27">
        <v>36315375</v>
      </c>
      <c r="Q4390" s="5"/>
      <c r="R4390" s="5" t="s">
        <v>56179</v>
      </c>
      <c r="S4390" s="5" t="s">
        <v>56180</v>
      </c>
      <c r="T4390" s="28">
        <v>9237544000</v>
      </c>
      <c r="U4390" s="28">
        <v>764451000</v>
      </c>
      <c r="V4390" s="28">
        <v>2046660000</v>
      </c>
      <c r="W4390" s="28"/>
      <c r="X4390" s="28">
        <v>26174000</v>
      </c>
      <c r="Y4390" s="28">
        <v>14673176000</v>
      </c>
      <c r="Z4390" s="28">
        <v>678210000</v>
      </c>
      <c r="AA4390" s="28">
        <v>7119598000</v>
      </c>
      <c r="AB4390" s="28">
        <v>312971000</v>
      </c>
      <c r="AC4390" s="28">
        <v>3161998000</v>
      </c>
      <c r="AD4390" s="28">
        <v>2865306000</v>
      </c>
      <c r="AE4390" s="28">
        <v>16994507000</v>
      </c>
      <c r="AF4390" s="28">
        <v>850038000</v>
      </c>
      <c r="AG4390" s="11"/>
    </row>
    <row r="4391">
      <c r="A4391" s="7" t="s">
        <v>6038</v>
      </c>
      <c r="B4391" s="5" t="s">
        <v>13992</v>
      </c>
      <c r="C4391" s="5" t="s">
        <v>21747</v>
      </c>
      <c r="D4391" s="5" t="str">
        <v>550524161770</v>
      </c>
      <c r="E4391" s="0" t="e">
        <f>+7 (381) 2331200
+7 (904) 3280476
+7 (381) 2331201
+7 (381) 2331204
+7 (381) 2331205
+7 (381) 2331206
+7 (381) 2331207
+7 (381) 2711311
+7 (381) 2741311
+7 (381) 2741314
+7 (381) 2746356
+7 (381) 2747381
+7 (381) 2903580
+7 (983) 1160186</f>
        <v>#NAME?</v>
      </c>
      <c r="F4391" s="5" t="s">
        <v>38440</v>
      </c>
      <c r="G4391" s="5" t="s">
        <v>38441</v>
      </c>
      <c r="H4391" s="26">
        <v>30</v>
      </c>
      <c r="I4391" s="5"/>
      <c r="J4391" s="5" t="s">
        <v>445</v>
      </c>
      <c r="K4391" s="5" t="s">
        <v>344</v>
      </c>
      <c r="L4391" s="5" t="s">
        <v>38442</v>
      </c>
      <c r="M4391" s="27">
        <v>1240632</v>
      </c>
      <c r="N4391" s="5" t="s">
        <v>56181</v>
      </c>
      <c r="O4391" s="5" t="str">
        <v>5507001265</v>
      </c>
      <c r="P4391" s="27">
        <v>10832706</v>
      </c>
      <c r="Q4391" s="5" t="s">
        <v>56182</v>
      </c>
      <c r="R4391" s="5"/>
      <c r="S4391" s="5" t="s">
        <v>56183</v>
      </c>
      <c r="T4391" s="28">
        <v>885575000</v>
      </c>
      <c r="U4391" s="28">
        <v>20000</v>
      </c>
      <c r="V4391" s="28">
        <v>735691000</v>
      </c>
      <c r="W4391" s="28">
        <v>1732000</v>
      </c>
      <c r="X4391" s="28">
        <v>195513000</v>
      </c>
      <c r="Y4391" s="28">
        <v>2815806000</v>
      </c>
      <c r="Z4391" s="28">
        <v>900537000</v>
      </c>
      <c r="AA4391" s="28">
        <v>57417000</v>
      </c>
      <c r="AB4391" s="28">
        <v>656205000</v>
      </c>
      <c r="AC4391" s="28">
        <v>1753526000</v>
      </c>
      <c r="AD4391" s="28">
        <v>929056000</v>
      </c>
      <c r="AE4391" s="28">
        <v>5443771000</v>
      </c>
      <c r="AF4391" s="28">
        <v>546248000</v>
      </c>
      <c r="AG4391" s="11"/>
    </row>
    <row r="4392">
      <c r="A4392" s="7" t="s">
        <v>6039</v>
      </c>
      <c r="B4392" s="5" t="s">
        <v>13993</v>
      </c>
      <c r="C4392" s="5" t="s">
        <v>21748</v>
      </c>
      <c r="D4392" s="5" t="str">
        <v>550310321169</v>
      </c>
      <c r="E4392" s="0" t="e">
        <f>+7 (381) 2910401
+7 (381) 2910577
+7 (381) 2311758
+7 (381) 2325316
+7 (381) 2325336
+7 (381) 2371632
+7 (381) 2420263
+7 (381) 2420272
+7 (381) 2420345
+7 (381) 2420411
+7 (381) 2420519
+7 (381) 2427200
+7 (381) 2427217
+7 (381) 2427642
+7 (381) 2910137</f>
        <v>#NAME?</v>
      </c>
      <c r="F4392" s="5" t="s">
        <v>38443</v>
      </c>
      <c r="G4392" s="5" t="s">
        <v>38444</v>
      </c>
      <c r="H4392" s="26">
        <v>16.5</v>
      </c>
      <c r="I4392" s="5" t="s">
        <v>38445</v>
      </c>
      <c r="J4392" s="5" t="s">
        <v>32652</v>
      </c>
      <c r="K4392" s="5" t="s">
        <v>344</v>
      </c>
      <c r="L4392" s="5" t="s">
        <v>38446</v>
      </c>
      <c r="M4392" s="27"/>
      <c r="N4392" s="5" t="s">
        <v>56184</v>
      </c>
      <c r="O4392" s="5" t="str">
        <v>5506066492</v>
      </c>
      <c r="P4392" s="27">
        <v>338858322</v>
      </c>
      <c r="Q4392" s="5" t="s">
        <v>49057</v>
      </c>
      <c r="R4392" s="5"/>
      <c r="S4392" s="5" t="s">
        <v>56185</v>
      </c>
      <c r="T4392" s="28">
        <v>5301592000</v>
      </c>
      <c r="U4392" s="28">
        <v>7983286000</v>
      </c>
      <c r="V4392" s="28">
        <v>12345441000</v>
      </c>
      <c r="W4392" s="28">
        <v>1814641000</v>
      </c>
      <c r="X4392" s="28">
        <v>1323125000</v>
      </c>
      <c r="Y4392" s="28">
        <v>36288356000</v>
      </c>
      <c r="Z4392" s="28">
        <v>26662990000</v>
      </c>
      <c r="AA4392" s="28">
        <v>791300000</v>
      </c>
      <c r="AB4392" s="28"/>
      <c r="AC4392" s="28">
        <v>2745439000</v>
      </c>
      <c r="AD4392" s="28">
        <v>27001890000</v>
      </c>
      <c r="AE4392" s="28">
        <v>35143894000</v>
      </c>
      <c r="AF4392" s="28">
        <v>2082100000</v>
      </c>
      <c r="AG4392" s="11"/>
    </row>
    <row r="4393">
      <c r="A4393" s="7" t="s">
        <v>6040</v>
      </c>
      <c r="B4393" s="5" t="s">
        <v>13994</v>
      </c>
      <c r="C4393" s="5" t="s">
        <v>21749</v>
      </c>
      <c r="D4393" s="5" t="str">
        <v>666400264860</v>
      </c>
      <c r="E4393" s="0" t="e">
        <f>+7 (381) 2217721
+7 (381) 2293329
+7 (381) 2522457
+7 (381) 2231879
+7 (381) 2322181
+7 (381) 2322192
+7 (381) 2322193
+7 (381) 2322215
+7 (381) 2322224
+7 (381) 2322235
+7 (381) 2322282
+7 (381) 2409484
+7 (381) 2536035
+7 (381) 2536051
+7 (381) 2536200</f>
        <v>#NAME?</v>
      </c>
      <c r="F4393" s="5" t="s">
        <v>38447</v>
      </c>
      <c r="G4393" s="5" t="s">
        <v>38448</v>
      </c>
      <c r="H4393" s="26">
        <v>29.5</v>
      </c>
      <c r="I4393" s="5" t="s">
        <v>38449</v>
      </c>
      <c r="J4393" s="5" t="s">
        <v>27802</v>
      </c>
      <c r="K4393" s="5" t="s">
        <v>355</v>
      </c>
      <c r="L4393" s="5" t="s">
        <v>38450</v>
      </c>
      <c r="M4393" s="27">
        <v>111454876</v>
      </c>
      <c r="N4393" s="5" t="s">
        <v>56186</v>
      </c>
      <c r="O4393" s="5" t="str">
        <v>5506225921</v>
      </c>
      <c r="P4393" s="27">
        <v>419374000</v>
      </c>
      <c r="Q4393" s="5" t="s">
        <v>56187</v>
      </c>
      <c r="R4393" s="5"/>
      <c r="S4393" s="5" t="s">
        <v>56188</v>
      </c>
      <c r="T4393" s="28">
        <v>10707160000</v>
      </c>
      <c r="U4393" s="28"/>
      <c r="V4393" s="28">
        <v>487506000</v>
      </c>
      <c r="W4393" s="28"/>
      <c r="X4393" s="28">
        <v>28662000</v>
      </c>
      <c r="Y4393" s="28">
        <v>11796941000</v>
      </c>
      <c r="Z4393" s="28">
        <v>1110664000</v>
      </c>
      <c r="AA4393" s="28">
        <v>323076000</v>
      </c>
      <c r="AB4393" s="28">
        <v>276395000</v>
      </c>
      <c r="AC4393" s="28">
        <v>1415382000</v>
      </c>
      <c r="AD4393" s="28">
        <v>8235643000</v>
      </c>
      <c r="AE4393" s="28">
        <v>3753817000</v>
      </c>
      <c r="AF4393" s="28">
        <v>97213000</v>
      </c>
      <c r="AG4393" s="11"/>
    </row>
    <row r="4394">
      <c r="A4394" s="7" t="s">
        <v>6041</v>
      </c>
      <c r="B4394" s="5" t="s">
        <v>13995</v>
      </c>
      <c r="C4394" s="5" t="s">
        <v>21750</v>
      </c>
      <c r="D4394" s="5" t="str">
        <v>550204577105</v>
      </c>
      <c r="E4394" s="0" t="e">
        <f>+7 (381) 2641074
+7 (381) 2642047
+7 (381) 2648544
+7 (381) 2649227
+7 (913) 6287274</f>
        <v>#NAME?</v>
      </c>
      <c r="F4394" s="5" t="s">
        <v>38451</v>
      </c>
      <c r="G4394" s="5" t="s">
        <v>38452</v>
      </c>
      <c r="H4394" s="26">
        <v>30</v>
      </c>
      <c r="I4394" s="5"/>
      <c r="J4394" s="5" t="s">
        <v>36779</v>
      </c>
      <c r="K4394" s="5" t="s">
        <v>344</v>
      </c>
      <c r="L4394" s="5"/>
      <c r="M4394" s="27">
        <v>9478516</v>
      </c>
      <c r="N4394" s="5"/>
      <c r="O4394" s="5" t="str">
        <v>5501020374</v>
      </c>
      <c r="P4394" s="27">
        <v>4230</v>
      </c>
      <c r="Q4394" s="5" t="s">
        <v>56190</v>
      </c>
      <c r="R4394" s="5" t="s">
        <v>56191</v>
      </c>
      <c r="S4394" s="5" t="s">
        <v>56192</v>
      </c>
      <c r="T4394" s="28">
        <v>331942000</v>
      </c>
      <c r="U4394" s="28"/>
      <c r="V4394" s="28">
        <v>876116000</v>
      </c>
      <c r="W4394" s="28"/>
      <c r="X4394" s="28">
        <v>725747000</v>
      </c>
      <c r="Y4394" s="28">
        <v>3004811000</v>
      </c>
      <c r="Z4394" s="28">
        <v>779862000</v>
      </c>
      <c r="AA4394" s="28"/>
      <c r="AB4394" s="28"/>
      <c r="AC4394" s="28">
        <v>2165671000</v>
      </c>
      <c r="AD4394" s="28">
        <v>779866000</v>
      </c>
      <c r="AE4394" s="28">
        <v>4590468000</v>
      </c>
      <c r="AF4394" s="28">
        <v>657000</v>
      </c>
      <c r="AG4394" s="11"/>
    </row>
    <row r="4395">
      <c r="A4395" s="7" t="s">
        <v>6042</v>
      </c>
      <c r="B4395" s="5" t="s">
        <v>13996</v>
      </c>
      <c r="C4395" s="5" t="s">
        <v>21751</v>
      </c>
      <c r="D4395" s="5" t="str">
        <v>772321476744</v>
      </c>
      <c r="E4395" s="0" t="e">
        <f>+7 (495) 6615900
+7 (495) 6656701
+7 (495) 6848302
+7 (495) 9373177
+7 (495) 9536262</f>
        <v>#NAME?</v>
      </c>
      <c r="F4395" s="5" t="s">
        <v>38453</v>
      </c>
      <c r="G4395" s="5"/>
      <c r="H4395" s="26">
        <v>28.5</v>
      </c>
      <c r="I4395" s="5" t="s">
        <v>38454</v>
      </c>
      <c r="J4395" s="5" t="s">
        <v>25190</v>
      </c>
      <c r="K4395" s="5" t="s">
        <v>344</v>
      </c>
      <c r="L4395" s="5" t="s">
        <v>38455</v>
      </c>
      <c r="M4395" s="27"/>
      <c r="N4395" s="5"/>
      <c r="O4395" s="5" t="str">
        <v>7728193865</v>
      </c>
      <c r="P4395" s="27">
        <v>22140000</v>
      </c>
      <c r="Q4395" s="5"/>
      <c r="R4395" s="5"/>
      <c r="S4395" s="5" t="s">
        <v>49029</v>
      </c>
      <c r="T4395" s="28">
        <v>5945000</v>
      </c>
      <c r="U4395" s="28"/>
      <c r="V4395" s="28">
        <v>213232000</v>
      </c>
      <c r="W4395" s="28"/>
      <c r="X4395" s="28">
        <v>804927000</v>
      </c>
      <c r="Y4395" s="28">
        <v>1391457000</v>
      </c>
      <c r="Z4395" s="28">
        <v>449993000</v>
      </c>
      <c r="AA4395" s="28"/>
      <c r="AB4395" s="28"/>
      <c r="AC4395" s="28">
        <v>900784000</v>
      </c>
      <c r="AD4395" s="28">
        <v>490666000</v>
      </c>
      <c r="AE4395" s="28">
        <v>5048848000</v>
      </c>
      <c r="AF4395" s="28">
        <v>381732000</v>
      </c>
      <c r="AG4395" s="11"/>
    </row>
    <row r="4396">
      <c r="A4396" s="7" t="s">
        <v>6043</v>
      </c>
      <c r="B4396" s="5" t="s">
        <v>13997</v>
      </c>
      <c r="C4396" s="5" t="s">
        <v>21752</v>
      </c>
      <c r="D4396" s="5" t="str">
        <v>532101822660</v>
      </c>
      <c r="E4396" s="0" t="e">
        <f>+7 (83141) 85832
+7 (495) 6616900
+7 (831) 2959899
+7 (83141) 85833
+7 (910) 1462848</f>
        <v>#NAME?</v>
      </c>
      <c r="F4396" s="5" t="s">
        <v>38456</v>
      </c>
      <c r="G4396" s="5" t="s">
        <v>38457</v>
      </c>
      <c r="H4396" s="26">
        <v>16</v>
      </c>
      <c r="I4396" s="5" t="s">
        <v>38458</v>
      </c>
      <c r="J4396" s="5" t="s">
        <v>26536</v>
      </c>
      <c r="K4396" s="5" t="s">
        <v>344</v>
      </c>
      <c r="L4396" s="5" t="s">
        <v>38459</v>
      </c>
      <c r="M4396" s="27">
        <v>194365</v>
      </c>
      <c r="N4396" s="5"/>
      <c r="O4396" s="5" t="str">
        <v>5256065574</v>
      </c>
      <c r="P4396" s="27">
        <v>100000000</v>
      </c>
      <c r="Q4396" s="5"/>
      <c r="R4396" s="5"/>
      <c r="S4396" s="5" t="s">
        <v>49029</v>
      </c>
      <c r="T4396" s="28">
        <v>602205000</v>
      </c>
      <c r="U4396" s="28"/>
      <c r="V4396" s="28">
        <v>253445000</v>
      </c>
      <c r="W4396" s="28"/>
      <c r="X4396" s="28">
        <v>252824000</v>
      </c>
      <c r="Y4396" s="28">
        <v>1798396000</v>
      </c>
      <c r="Z4396" s="28">
        <v>885979000</v>
      </c>
      <c r="AA4396" s="28"/>
      <c r="AB4396" s="28"/>
      <c r="AC4396" s="28">
        <v>798767000</v>
      </c>
      <c r="AD4396" s="28">
        <v>985979000</v>
      </c>
      <c r="AE4396" s="28">
        <v>3280880000</v>
      </c>
      <c r="AF4396" s="28">
        <v>595225000</v>
      </c>
      <c r="AG4396" s="11"/>
    </row>
    <row r="4397">
      <c r="A4397" s="7" t="s">
        <v>6044</v>
      </c>
      <c r="B4397" s="5" t="s">
        <v>13998</v>
      </c>
      <c r="C4397" s="5" t="s">
        <v>21753</v>
      </c>
      <c r="D4397" s="5" t="str">
        <v>290600157944</v>
      </c>
      <c r="E4397" s="0" t="e">
        <f>+7 (81839) 72148
+7 (818) 3972145
+7 (81839) 42148
+7 (81839) 77104
+7 (81839) 77144
+7 (81839) 77148
+7 (81839) 77323
+7 (81839) 78207</f>
        <v>#NAME?</v>
      </c>
      <c r="F4397" s="5" t="s">
        <v>38460</v>
      </c>
      <c r="G4397" s="5"/>
      <c r="H4397" s="26">
        <v>30.5</v>
      </c>
      <c r="I4397" s="5" t="s">
        <v>38461</v>
      </c>
      <c r="J4397" s="5" t="s">
        <v>27291</v>
      </c>
      <c r="K4397" s="5" t="s">
        <v>380</v>
      </c>
      <c r="L4397" s="5" t="s">
        <v>38462</v>
      </c>
      <c r="M4397" s="27">
        <v>42104715</v>
      </c>
      <c r="N4397" s="5" t="s">
        <v>56193</v>
      </c>
      <c r="O4397" s="5" t="str">
        <v>2906000194</v>
      </c>
      <c r="P4397" s="27">
        <v>200000000</v>
      </c>
      <c r="Q4397" s="5" t="s">
        <v>49009</v>
      </c>
      <c r="R4397" s="5" t="s">
        <v>51179</v>
      </c>
      <c r="S4397" s="5" t="s">
        <v>50290</v>
      </c>
      <c r="T4397" s="28">
        <v>3662926000</v>
      </c>
      <c r="U4397" s="28">
        <v>31846000</v>
      </c>
      <c r="V4397" s="28">
        <v>1043762000</v>
      </c>
      <c r="W4397" s="28">
        <v>294000000</v>
      </c>
      <c r="X4397" s="28">
        <v>32138000</v>
      </c>
      <c r="Y4397" s="28">
        <v>6232032000</v>
      </c>
      <c r="Z4397" s="28">
        <v>-452346000</v>
      </c>
      <c r="AA4397" s="28">
        <v>1677071000</v>
      </c>
      <c r="AB4397" s="28">
        <v>1040520000</v>
      </c>
      <c r="AC4397" s="28">
        <v>2899740000</v>
      </c>
      <c r="AD4397" s="28">
        <v>784785000</v>
      </c>
      <c r="AE4397" s="28">
        <v>4025989000</v>
      </c>
      <c r="AF4397" s="28">
        <v>-566616000</v>
      </c>
      <c r="AG4397" s="11"/>
    </row>
    <row r="4398">
      <c r="A4398" s="7" t="s">
        <v>6045</v>
      </c>
      <c r="B4398" s="5" t="s">
        <v>13999</v>
      </c>
      <c r="C4398" s="5" t="s">
        <v>21754</v>
      </c>
      <c r="D4398" s="5" t="str">
        <v>540505842304</v>
      </c>
      <c r="E4398" s="0" t="e">
        <f>+7 (383) 2727135
+7 (383) 2449242
+7 (383) 3047208
+7 (383) 3048027
+7 (383) 3449241
+7 (383) 3449242
+7 (913) 8901084</f>
        <v>#NAME?</v>
      </c>
      <c r="F4398" s="5" t="s">
        <v>38463</v>
      </c>
      <c r="G4398" s="5" t="s">
        <v>38464</v>
      </c>
      <c r="H4398" s="26">
        <v>15.5</v>
      </c>
      <c r="I4398" s="5" t="s">
        <v>38465</v>
      </c>
      <c r="J4398" s="5" t="s">
        <v>25850</v>
      </c>
      <c r="K4398" s="5" t="s">
        <v>344</v>
      </c>
      <c r="L4398" s="5" t="s">
        <v>38466</v>
      </c>
      <c r="M4398" s="27"/>
      <c r="N4398" s="5"/>
      <c r="O4398" s="5" t="str">
        <v>5410015151</v>
      </c>
      <c r="P4398" s="27">
        <v>20000</v>
      </c>
      <c r="Q4398" s="5"/>
      <c r="R4398" s="5"/>
      <c r="S4398" s="5" t="s">
        <v>49425</v>
      </c>
      <c r="T4398" s="28">
        <v>122697000</v>
      </c>
      <c r="U4398" s="28"/>
      <c r="V4398" s="28">
        <v>543946000</v>
      </c>
      <c r="W4398" s="28">
        <v>1500000</v>
      </c>
      <c r="X4398" s="28">
        <v>139000</v>
      </c>
      <c r="Y4398" s="28">
        <v>1214376000</v>
      </c>
      <c r="Z4398" s="28">
        <v>372141000</v>
      </c>
      <c r="AA4398" s="28">
        <v>596769000</v>
      </c>
      <c r="AB4398" s="28">
        <v>1486000</v>
      </c>
      <c r="AC4398" s="28">
        <v>244257000</v>
      </c>
      <c r="AD4398" s="28">
        <v>372162000</v>
      </c>
      <c r="AE4398" s="28">
        <v>3234763000</v>
      </c>
      <c r="AF4398" s="28">
        <v>132939000</v>
      </c>
      <c r="AG4398" s="11"/>
    </row>
    <row r="4399">
      <c r="A4399" s="7" t="s">
        <v>6046</v>
      </c>
      <c r="B4399" s="5" t="s">
        <v>14000</v>
      </c>
      <c r="C4399" s="5" t="s">
        <v>21755</v>
      </c>
      <c r="D4399" s="5" t="str">
        <v>501304642069</v>
      </c>
      <c r="E4399" s="0" t="e">
        <f>+7 (800) 702035
+7 (920) 3035573
+7 (925) 1722838
+7 (926) 9777</f>
        <v>#NAME?</v>
      </c>
      <c r="F4399" s="5" t="s">
        <v>38467</v>
      </c>
      <c r="G4399" s="5"/>
      <c r="H4399" s="26">
        <v>8.5</v>
      </c>
      <c r="I4399" s="5" t="s">
        <v>38468</v>
      </c>
      <c r="J4399" s="5" t="s">
        <v>373</v>
      </c>
      <c r="K4399" s="5" t="s">
        <v>344</v>
      </c>
      <c r="L4399" s="5" t="s">
        <v>38469</v>
      </c>
      <c r="M4399" s="27">
        <v>1376046</v>
      </c>
      <c r="N4399" s="5" t="s">
        <v>56194</v>
      </c>
      <c r="O4399" s="5" t="str">
        <v>6732075238</v>
      </c>
      <c r="P4399" s="27">
        <v>6000000</v>
      </c>
      <c r="Q4399" s="5" t="s">
        <v>49009</v>
      </c>
      <c r="R4399" s="5"/>
      <c r="S4399" s="5" t="s">
        <v>49012</v>
      </c>
      <c r="T4399" s="28">
        <v>99311000</v>
      </c>
      <c r="U4399" s="28">
        <v>177958000</v>
      </c>
      <c r="V4399" s="28">
        <v>2220461000</v>
      </c>
      <c r="W4399" s="28">
        <v>59499000</v>
      </c>
      <c r="X4399" s="28">
        <v>75501000</v>
      </c>
      <c r="Y4399" s="28">
        <v>2741281000</v>
      </c>
      <c r="Z4399" s="28">
        <v>363964000</v>
      </c>
      <c r="AA4399" s="28"/>
      <c r="AB4399" s="28">
        <v>838727000</v>
      </c>
      <c r="AC4399" s="28">
        <v>2274043000</v>
      </c>
      <c r="AD4399" s="28">
        <v>416984000</v>
      </c>
      <c r="AE4399" s="28">
        <v>44708622000</v>
      </c>
      <c r="AF4399" s="28">
        <v>460775000</v>
      </c>
      <c r="AG4399" s="11"/>
    </row>
    <row r="4400">
      <c r="A4400" s="7" t="s">
        <v>6047</v>
      </c>
      <c r="B4400" s="5" t="s">
        <v>14001</v>
      </c>
      <c r="C4400" s="5" t="s">
        <v>21756</v>
      </c>
      <c r="D4400" s="5" t="str">
        <v>773500592481</v>
      </c>
      <c r="E4400" s="0" t="e">
        <f>+7 (499) 7995599
+7 (926) 1662460
+7 (495) 1500171
+7 (495) 2259522
+7 (495) 7374748
+7 (991) 3005487
+7 (991) 3073093
+7 (991) 3073243
+7 (991) 3073269
+7 (991) 3073376</f>
        <v>#NAME?</v>
      </c>
      <c r="F4400" s="5" t="s">
        <v>38470</v>
      </c>
      <c r="G4400" s="5" t="s">
        <v>38471</v>
      </c>
      <c r="H4400" s="26">
        <v>24.5</v>
      </c>
      <c r="I4400" s="5" t="s">
        <v>38472</v>
      </c>
      <c r="J4400" s="5" t="s">
        <v>35646</v>
      </c>
      <c r="K4400" s="5" t="s">
        <v>344</v>
      </c>
      <c r="L4400" s="5"/>
      <c r="M4400" s="27">
        <v>240000</v>
      </c>
      <c r="N4400" s="5" t="s">
        <v>56195</v>
      </c>
      <c r="O4400" s="5" t="str">
        <v>7735092378</v>
      </c>
      <c r="P4400" s="27">
        <v>1000000</v>
      </c>
      <c r="Q4400" s="5" t="s">
        <v>49207</v>
      </c>
      <c r="R4400" s="5"/>
      <c r="S4400" s="5" t="s">
        <v>56196</v>
      </c>
      <c r="T4400" s="28">
        <v>1177229000</v>
      </c>
      <c r="U4400" s="28"/>
      <c r="V4400" s="28">
        <v>510695000</v>
      </c>
      <c r="W4400" s="28"/>
      <c r="X4400" s="28">
        <v>232901000</v>
      </c>
      <c r="Y4400" s="28">
        <v>8498634000</v>
      </c>
      <c r="Z4400" s="28">
        <v>2206248000</v>
      </c>
      <c r="AA4400" s="28"/>
      <c r="AB4400" s="28">
        <v>1824436000</v>
      </c>
      <c r="AC4400" s="28">
        <v>6232432000</v>
      </c>
      <c r="AD4400" s="28">
        <v>2207248000</v>
      </c>
      <c r="AE4400" s="28">
        <v>28212742000</v>
      </c>
      <c r="AF4400" s="28">
        <v>902456000</v>
      </c>
      <c r="AG4400" s="11"/>
    </row>
    <row r="4401">
      <c r="A4401" s="7" t="s">
        <v>6048</v>
      </c>
      <c r="B4401" s="5" t="s">
        <v>14002</v>
      </c>
      <c r="C4401" s="5" t="s">
        <v>21757</v>
      </c>
      <c r="D4401" s="5" t="str">
        <v>504402785776</v>
      </c>
      <c r="E4401" s="0" t="e">
        <f>+7 (495) 6633195</f>
        <v>#NAME?</v>
      </c>
      <c r="F4401" s="5"/>
      <c r="G4401" s="5"/>
      <c r="H4401" s="26">
        <v>8</v>
      </c>
      <c r="I4401" s="5" t="s">
        <v>38473</v>
      </c>
      <c r="J4401" s="5" t="s">
        <v>1026</v>
      </c>
      <c r="K4401" s="5" t="s">
        <v>344</v>
      </c>
      <c r="L4401" s="5" t="s">
        <v>38474</v>
      </c>
      <c r="M4401" s="27"/>
      <c r="N4401" s="5"/>
      <c r="O4401" s="5" t="str">
        <v>7727137650</v>
      </c>
      <c r="P4401" s="27">
        <v>100000</v>
      </c>
      <c r="Q4401" s="5" t="s">
        <v>49009</v>
      </c>
      <c r="R4401" s="5"/>
      <c r="S4401" s="5" t="s">
        <v>49010</v>
      </c>
      <c r="T4401" s="28">
        <v>567000</v>
      </c>
      <c r="U4401" s="28"/>
      <c r="V4401" s="28">
        <v>487570000</v>
      </c>
      <c r="W4401" s="28"/>
      <c r="X4401" s="28">
        <v>40340000</v>
      </c>
      <c r="Y4401" s="28">
        <v>1025199000</v>
      </c>
      <c r="Z4401" s="28">
        <v>333162000</v>
      </c>
      <c r="AA4401" s="28">
        <v>145243000</v>
      </c>
      <c r="AB4401" s="28">
        <v>8004000</v>
      </c>
      <c r="AC4401" s="28">
        <v>546547000</v>
      </c>
      <c r="AD4401" s="28">
        <v>333262000</v>
      </c>
      <c r="AE4401" s="28">
        <v>3718934000</v>
      </c>
      <c r="AF4401" s="28">
        <v>294279000</v>
      </c>
      <c r="AG4401" s="11"/>
    </row>
    <row r="4402">
      <c r="A4402" s="7" t="s">
        <v>6049</v>
      </c>
      <c r="B4402" s="5" t="s">
        <v>14003</v>
      </c>
      <c r="C4402" s="5" t="s">
        <v>17814</v>
      </c>
      <c r="D4402" s="5"/>
      <c r="E4402" s="0" t="e">
        <f>+7 (495) 6628888
+7 (495) 7975777</f>
        <v>#NAME?</v>
      </c>
      <c r="F4402" s="5"/>
      <c r="G4402" s="5"/>
      <c r="H4402" s="26">
        <v>1.5</v>
      </c>
      <c r="I4402" s="5" t="s">
        <v>38475</v>
      </c>
      <c r="J4402" s="5" t="s">
        <v>35646</v>
      </c>
      <c r="K4402" s="5" t="s">
        <v>355</v>
      </c>
      <c r="L4402" s="5"/>
      <c r="M4402" s="27">
        <v>146551</v>
      </c>
      <c r="N4402" s="5"/>
      <c r="O4402" s="5" t="str">
        <v>9722004963</v>
      </c>
      <c r="P4402" s="27">
        <v>1500000000</v>
      </c>
      <c r="Q4402" s="5"/>
      <c r="R4402" s="5"/>
      <c r="S4402" s="5" t="s">
        <v>50509</v>
      </c>
      <c r="T4402" s="28">
        <v>9279114000</v>
      </c>
      <c r="U4402" s="28">
        <v>3392722000</v>
      </c>
      <c r="V4402" s="28">
        <v>638940000</v>
      </c>
      <c r="W4402" s="28"/>
      <c r="X4402" s="28">
        <v>241193000</v>
      </c>
      <c r="Y4402" s="28">
        <v>16270250000</v>
      </c>
      <c r="Z4402" s="28">
        <v>-4922109000</v>
      </c>
      <c r="AA4402" s="28"/>
      <c r="AB4402" s="28"/>
      <c r="AC4402" s="28">
        <v>8491571000</v>
      </c>
      <c r="AD4402" s="28">
        <v>1697891000</v>
      </c>
      <c r="AE4402" s="28">
        <v>20229136000</v>
      </c>
      <c r="AF4402" s="28">
        <v>-4816543000</v>
      </c>
      <c r="AG4402" s="11"/>
    </row>
    <row r="4403">
      <c r="A4403" s="7" t="s">
        <v>6050</v>
      </c>
      <c r="B4403" s="5" t="s">
        <v>14004</v>
      </c>
      <c r="C4403" s="5" t="s">
        <v>21758</v>
      </c>
      <c r="D4403" s="5" t="str">
        <v>525703213791</v>
      </c>
      <c r="E4403" s="0" t="e">
        <f>+7 (495) 6469221
+7 (495) 9138961
+7 (495) 6004245
+7 (495) 9932011
+7 (495) 9932012
+7 (495) 9932013
+7 (495) 9932014
+7 (495) 9932015
+7 (495) 9932016
+7 (495) 9932017
+7 (495) 9932018
+7 (495) 9932019
+7 (495) 9932020
+7 (985) 7202679</f>
        <v>#NAME?</v>
      </c>
      <c r="F4403" s="5" t="s">
        <v>38476</v>
      </c>
      <c r="G4403" s="5" t="s">
        <v>38477</v>
      </c>
      <c r="H4403" s="26">
        <v>18</v>
      </c>
      <c r="I4403" s="5" t="s">
        <v>38478</v>
      </c>
      <c r="J4403" s="5" t="s">
        <v>31349</v>
      </c>
      <c r="K4403" s="5" t="s">
        <v>344</v>
      </c>
      <c r="L4403" s="5" t="s">
        <v>38479</v>
      </c>
      <c r="M4403" s="27"/>
      <c r="N4403" s="5"/>
      <c r="O4403" s="5" t="str">
        <v>5044046964</v>
      </c>
      <c r="P4403" s="27">
        <v>672425478</v>
      </c>
      <c r="Q4403" s="5" t="s">
        <v>49009</v>
      </c>
      <c r="R4403" s="5"/>
      <c r="S4403" s="5" t="s">
        <v>49028</v>
      </c>
      <c r="T4403" s="28">
        <v>2358442000</v>
      </c>
      <c r="U4403" s="28"/>
      <c r="V4403" s="28">
        <v>2009661000</v>
      </c>
      <c r="W4403" s="28"/>
      <c r="X4403" s="28">
        <v>1737026000</v>
      </c>
      <c r="Y4403" s="28">
        <v>8319666000</v>
      </c>
      <c r="Z4403" s="28">
        <v>4805473000</v>
      </c>
      <c r="AA4403" s="28">
        <v>352740000</v>
      </c>
      <c r="AB4403" s="28"/>
      <c r="AC4403" s="28">
        <v>1673213000</v>
      </c>
      <c r="AD4403" s="28">
        <v>5478281000</v>
      </c>
      <c r="AE4403" s="28">
        <v>11107030000</v>
      </c>
      <c r="AF4403" s="28">
        <v>1834148000</v>
      </c>
      <c r="AG4403" s="11"/>
    </row>
    <row r="4404">
      <c r="A4404" s="7" t="s">
        <v>6051</v>
      </c>
      <c r="B4404" s="5" t="s">
        <v>14005</v>
      </c>
      <c r="C4404" s="5" t="s">
        <v>21759</v>
      </c>
      <c r="D4404" s="5"/>
      <c r="E4404" s="0" t="e">
        <f>+7 (812) 3193658
+7 (495) 3800241
+7 (812) 3193659</f>
        <v>#NAME?</v>
      </c>
      <c r="F4404" s="5" t="s">
        <v>38480</v>
      </c>
      <c r="G4404" s="5"/>
      <c r="H4404" s="26">
        <v>16</v>
      </c>
      <c r="I4404" s="5" t="s">
        <v>38481</v>
      </c>
      <c r="J4404" s="5" t="s">
        <v>26846</v>
      </c>
      <c r="K4404" s="5" t="s">
        <v>344</v>
      </c>
      <c r="L4404" s="5" t="s">
        <v>38482</v>
      </c>
      <c r="M4404" s="27"/>
      <c r="N4404" s="5" t="s">
        <v>56198</v>
      </c>
      <c r="O4404" s="5" t="str">
        <v>7801433658</v>
      </c>
      <c r="P4404" s="27">
        <v>3500000</v>
      </c>
      <c r="Q4404" s="5"/>
      <c r="R4404" s="5"/>
      <c r="S4404" s="5" t="s">
        <v>49399</v>
      </c>
      <c r="T4404" s="28">
        <v>12405000</v>
      </c>
      <c r="U4404" s="28"/>
      <c r="V4404" s="28">
        <v>187320000</v>
      </c>
      <c r="W4404" s="28"/>
      <c r="X4404" s="28">
        <v>43714000</v>
      </c>
      <c r="Y4404" s="28">
        <v>796785000</v>
      </c>
      <c r="Z4404" s="28">
        <v>552964000</v>
      </c>
      <c r="AA4404" s="28"/>
      <c r="AB4404" s="28"/>
      <c r="AC4404" s="28">
        <v>237372000</v>
      </c>
      <c r="AD4404" s="28">
        <v>556464000</v>
      </c>
      <c r="AE4404" s="28">
        <v>3351673000</v>
      </c>
      <c r="AF4404" s="28">
        <v>236321000</v>
      </c>
      <c r="AG4404" s="11"/>
    </row>
    <row r="4405">
      <c r="A4405" s="7" t="s">
        <v>6052</v>
      </c>
      <c r="B4405" s="5" t="s">
        <v>14006</v>
      </c>
      <c r="C4405" s="5" t="s">
        <v>21760</v>
      </c>
      <c r="D4405" s="5" t="str">
        <v>370266022598</v>
      </c>
      <c r="E4405" s="0" t="e">
        <f>+7 (493) 2371656
+7 (930) 3491453</f>
        <v>#NAME?</v>
      </c>
      <c r="F4405" s="5"/>
      <c r="G4405" s="5"/>
      <c r="H4405" s="26">
        <v>6.5</v>
      </c>
      <c r="I4405" s="5" t="s">
        <v>38483</v>
      </c>
      <c r="J4405" s="5" t="s">
        <v>38484</v>
      </c>
      <c r="K4405" s="5" t="s">
        <v>344</v>
      </c>
      <c r="L4405" s="5" t="s">
        <v>38485</v>
      </c>
      <c r="M4405" s="27"/>
      <c r="N4405" s="5"/>
      <c r="O4405" s="5" t="str">
        <v>3702157311</v>
      </c>
      <c r="P4405" s="27">
        <v>100000</v>
      </c>
      <c r="Q4405" s="5"/>
      <c r="R4405" s="5"/>
      <c r="S4405" s="5" t="s">
        <v>49029</v>
      </c>
      <c r="T4405" s="28">
        <v>269139000</v>
      </c>
      <c r="U4405" s="28"/>
      <c r="V4405" s="28">
        <v>171020000</v>
      </c>
      <c r="W4405" s="28"/>
      <c r="X4405" s="28">
        <v>10001000</v>
      </c>
      <c r="Y4405" s="28">
        <v>655603000</v>
      </c>
      <c r="Z4405" s="28">
        <v>340804000</v>
      </c>
      <c r="AA4405" s="28"/>
      <c r="AB4405" s="28"/>
      <c r="AC4405" s="28">
        <v>190929000</v>
      </c>
      <c r="AD4405" s="28">
        <v>340904000</v>
      </c>
      <c r="AE4405" s="28">
        <v>3026149000</v>
      </c>
      <c r="AF4405" s="28">
        <v>153409000</v>
      </c>
      <c r="AG4405" s="11"/>
    </row>
    <row r="4406">
      <c r="A4406" s="7" t="s">
        <v>6053</v>
      </c>
      <c r="B4406" s="5" t="s">
        <v>14007</v>
      </c>
      <c r="C4406" s="5" t="s">
        <v>21761</v>
      </c>
      <c r="D4406" s="5" t="str">
        <v>503222484009</v>
      </c>
      <c r="E4406" s="0" t="e">
        <f>+7 (474) 2480394
+7 (474) 2480690
+7 (474) 2483587
+7 (474) 2483590
+7 (474) 2510482</f>
        <v>#NAME?</v>
      </c>
      <c r="F4406" s="5"/>
      <c r="G4406" s="5"/>
      <c r="H4406" s="26">
        <v>18.5</v>
      </c>
      <c r="I4406" s="5"/>
      <c r="J4406" s="5" t="s">
        <v>26561</v>
      </c>
      <c r="K4406" s="5" t="s">
        <v>344</v>
      </c>
      <c r="L4406" s="5" t="s">
        <v>38486</v>
      </c>
      <c r="M4406" s="27"/>
      <c r="N4406" s="5"/>
      <c r="O4406" s="5" t="str">
        <v>4826044200</v>
      </c>
      <c r="P4406" s="27">
        <v>10000</v>
      </c>
      <c r="Q4406" s="5" t="s">
        <v>49009</v>
      </c>
      <c r="R4406" s="5"/>
      <c r="S4406" s="5" t="s">
        <v>49066</v>
      </c>
      <c r="T4406" s="28">
        <v>30746000</v>
      </c>
      <c r="U4406" s="28"/>
      <c r="V4406" s="28">
        <v>263696000</v>
      </c>
      <c r="W4406" s="28"/>
      <c r="X4406" s="28">
        <v>6857000</v>
      </c>
      <c r="Y4406" s="28">
        <v>685163000</v>
      </c>
      <c r="Z4406" s="28">
        <v>117785000</v>
      </c>
      <c r="AA4406" s="28"/>
      <c r="AB4406" s="28"/>
      <c r="AC4406" s="28">
        <v>565402000</v>
      </c>
      <c r="AD4406" s="28">
        <v>117795000</v>
      </c>
      <c r="AE4406" s="28">
        <v>3944972000</v>
      </c>
      <c r="AF4406" s="28">
        <v>35493000</v>
      </c>
      <c r="AG4406" s="11"/>
    </row>
    <row r="4407">
      <c r="A4407" s="7" t="s">
        <v>6054</v>
      </c>
      <c r="B4407" s="5" t="s">
        <v>14008</v>
      </c>
      <c r="C4407" s="5" t="s">
        <v>21762</v>
      </c>
      <c r="D4407" s="5" t="str">
        <v>771504388807</v>
      </c>
      <c r="E4407" s="0" t="e">
        <f>+7 (495) 7021072
+7 (495) 7819691
+7 (916) 5009797</f>
        <v>#NAME?</v>
      </c>
      <c r="F4407" s="5" t="s">
        <v>38487</v>
      </c>
      <c r="G4407" s="5" t="s">
        <v>38488</v>
      </c>
      <c r="H4407" s="26">
        <v>15</v>
      </c>
      <c r="I4407" s="5" t="s">
        <v>38489</v>
      </c>
      <c r="J4407" s="5" t="s">
        <v>30822</v>
      </c>
      <c r="K4407" s="5" t="s">
        <v>344</v>
      </c>
      <c r="L4407" s="5" t="s">
        <v>38490</v>
      </c>
      <c r="M4407" s="27"/>
      <c r="N4407" s="5" t="s">
        <v>56199</v>
      </c>
      <c r="O4407" s="5" t="str">
        <v>7802417592</v>
      </c>
      <c r="P4407" s="27">
        <v>132510000</v>
      </c>
      <c r="Q4407" s="5" t="s">
        <v>56200</v>
      </c>
      <c r="R4407" s="5"/>
      <c r="S4407" s="5" t="s">
        <v>49358</v>
      </c>
      <c r="T4407" s="28">
        <v>662000</v>
      </c>
      <c r="U4407" s="28">
        <v>8000</v>
      </c>
      <c r="V4407" s="28">
        <v>1913769000</v>
      </c>
      <c r="W4407" s="28">
        <v>454793000</v>
      </c>
      <c r="X4407" s="28">
        <v>51723000</v>
      </c>
      <c r="Y4407" s="28">
        <v>2987020000</v>
      </c>
      <c r="Z4407" s="28">
        <v>370932000</v>
      </c>
      <c r="AA4407" s="28"/>
      <c r="AB4407" s="28">
        <v>79736000</v>
      </c>
      <c r="AC4407" s="28">
        <v>2479365000</v>
      </c>
      <c r="AD4407" s="28">
        <v>503442000</v>
      </c>
      <c r="AE4407" s="28">
        <v>5095896000</v>
      </c>
      <c r="AF4407" s="28">
        <v>208552000</v>
      </c>
      <c r="AG4407" s="11"/>
    </row>
    <row r="4408">
      <c r="A4408" s="7" t="s">
        <v>6055</v>
      </c>
      <c r="B4408" s="5" t="s">
        <v>14009</v>
      </c>
      <c r="C4408" s="5" t="s">
        <v>21763</v>
      </c>
      <c r="D4408" s="5" t="str">
        <v>772157754927</v>
      </c>
      <c r="E4408" s="0" t="e">
        <f>+7 (985) 3647889
+7 (49670) 45211</f>
        <v>#NAME?</v>
      </c>
      <c r="F4408" s="5" t="s">
        <v>38491</v>
      </c>
      <c r="G4408" s="5"/>
      <c r="H4408" s="26">
        <v>21</v>
      </c>
      <c r="I4408" s="5"/>
      <c r="J4408" s="5" t="s">
        <v>28328</v>
      </c>
      <c r="K4408" s="5" t="s">
        <v>344</v>
      </c>
      <c r="L4408" s="5" t="s">
        <v>38492</v>
      </c>
      <c r="M4408" s="27"/>
      <c r="N4408" s="5"/>
      <c r="O4408" s="5" t="str">
        <v>5033008854</v>
      </c>
      <c r="P4408" s="27">
        <v>116850000</v>
      </c>
      <c r="Q4408" s="5" t="s">
        <v>49009</v>
      </c>
      <c r="R4408" s="5"/>
      <c r="S4408" s="5" t="s">
        <v>49066</v>
      </c>
      <c r="T4408" s="28">
        <v>250794000</v>
      </c>
      <c r="U4408" s="28">
        <v>6033000</v>
      </c>
      <c r="V4408" s="28">
        <v>1870205000</v>
      </c>
      <c r="W4408" s="28"/>
      <c r="X4408" s="28">
        <v>26629000</v>
      </c>
      <c r="Y4408" s="28">
        <v>2806290000</v>
      </c>
      <c r="Z4408" s="28">
        <v>952311000</v>
      </c>
      <c r="AA4408" s="28"/>
      <c r="AB4408" s="28">
        <v>191345000</v>
      </c>
      <c r="AC4408" s="28">
        <v>1631129000</v>
      </c>
      <c r="AD4408" s="28">
        <v>1175477000</v>
      </c>
      <c r="AE4408" s="28">
        <v>5217401000</v>
      </c>
      <c r="AF4408" s="28">
        <v>696989000</v>
      </c>
      <c r="AG4408" s="11"/>
    </row>
    <row r="4409">
      <c r="A4409" s="7" t="s">
        <v>1020</v>
      </c>
      <c r="B4409" s="5" t="s">
        <v>14010</v>
      </c>
      <c r="C4409" s="5" t="s">
        <v>21764</v>
      </c>
      <c r="D4409" s="5" t="str">
        <v>503504598759</v>
      </c>
      <c r="E4409" s="0" t="e">
        <f>+7 (495) 6662414</f>
        <v>#NAME?</v>
      </c>
      <c r="F4409" s="5"/>
      <c r="G4409" s="5"/>
      <c r="H4409" s="26">
        <v>8</v>
      </c>
      <c r="I4409" s="5" t="s">
        <v>38493</v>
      </c>
      <c r="J4409" s="5" t="s">
        <v>34477</v>
      </c>
      <c r="K4409" s="5" t="s">
        <v>355</v>
      </c>
      <c r="L4409" s="5"/>
      <c r="M4409" s="27"/>
      <c r="N4409" s="5"/>
      <c r="O4409" s="5" t="str">
        <v>1655325210</v>
      </c>
      <c r="P4409" s="27">
        <v>1010000</v>
      </c>
      <c r="Q4409" s="5" t="s">
        <v>49059</v>
      </c>
      <c r="R4409" s="5"/>
      <c r="S4409" s="5" t="s">
        <v>49029</v>
      </c>
      <c r="T4409" s="28">
        <v>149098000</v>
      </c>
      <c r="U4409" s="28"/>
      <c r="V4409" s="28">
        <v>1648913000</v>
      </c>
      <c r="W4409" s="28">
        <v>56034000</v>
      </c>
      <c r="X4409" s="28">
        <v>10370000</v>
      </c>
      <c r="Y4409" s="28">
        <v>2746780000</v>
      </c>
      <c r="Z4409" s="28">
        <v>135037000</v>
      </c>
      <c r="AA4409" s="28">
        <v>182586000</v>
      </c>
      <c r="AB4409" s="28"/>
      <c r="AC4409" s="28">
        <v>913939000</v>
      </c>
      <c r="AD4409" s="28">
        <v>1636047000</v>
      </c>
      <c r="AE4409" s="28">
        <v>3166157000</v>
      </c>
      <c r="AF4409" s="28">
        <v>96455000</v>
      </c>
      <c r="AG4409" s="11"/>
    </row>
    <row r="4410">
      <c r="A4410" s="7" t="s">
        <v>6056</v>
      </c>
      <c r="B4410" s="5" t="s">
        <v>14011</v>
      </c>
      <c r="C4410" s="5" t="s">
        <v>21765</v>
      </c>
      <c r="D4410" s="5" t="str">
        <v>771319666778</v>
      </c>
      <c r="E4410" s="0" t="e">
        <f>+7 (495) 6638290</f>
        <v>#NAME?</v>
      </c>
      <c r="F4410" s="5" t="s">
        <v>38494</v>
      </c>
      <c r="G4410" s="5"/>
      <c r="H4410" s="26">
        <v>8.5</v>
      </c>
      <c r="I4410" s="5" t="s">
        <v>38495</v>
      </c>
      <c r="J4410" s="5" t="s">
        <v>27296</v>
      </c>
      <c r="K4410" s="5" t="s">
        <v>344</v>
      </c>
      <c r="L4410" s="5" t="s">
        <v>38496</v>
      </c>
      <c r="M4410" s="27"/>
      <c r="N4410" s="5"/>
      <c r="O4410" s="5" t="str">
        <v>7720820930</v>
      </c>
      <c r="P4410" s="27">
        <v>50000000</v>
      </c>
      <c r="Q4410" s="5" t="s">
        <v>49057</v>
      </c>
      <c r="R4410" s="5"/>
      <c r="S4410" s="5" t="s">
        <v>49526</v>
      </c>
      <c r="T4410" s="28">
        <v>3087000</v>
      </c>
      <c r="U4410" s="28"/>
      <c r="V4410" s="28">
        <v>571723000</v>
      </c>
      <c r="W4410" s="28">
        <v>5102000</v>
      </c>
      <c r="X4410" s="28">
        <v>1718000</v>
      </c>
      <c r="Y4410" s="28">
        <v>581762000</v>
      </c>
      <c r="Z4410" s="28">
        <v>182964000</v>
      </c>
      <c r="AA4410" s="28">
        <v>77795000</v>
      </c>
      <c r="AB4410" s="28">
        <v>227566000</v>
      </c>
      <c r="AC4410" s="28">
        <v>271003000</v>
      </c>
      <c r="AD4410" s="28">
        <v>232964000</v>
      </c>
      <c r="AE4410" s="28">
        <v>8398887000</v>
      </c>
      <c r="AF4410" s="28">
        <v>86471000</v>
      </c>
      <c r="AG4410" s="11"/>
    </row>
    <row r="4411">
      <c r="A4411" s="7" t="s">
        <v>6057</v>
      </c>
      <c r="B4411" s="5" t="s">
        <v>14012</v>
      </c>
      <c r="C4411" s="5" t="s">
        <v>21766</v>
      </c>
      <c r="D4411" s="5" t="str">
        <v>165900784206</v>
      </c>
      <c r="F4411" s="5" t="s">
        <v>38497</v>
      </c>
      <c r="G4411" s="5"/>
      <c r="H4411" s="26">
        <v>18</v>
      </c>
      <c r="I4411" s="5" t="s">
        <v>38498</v>
      </c>
      <c r="J4411" s="5" t="s">
        <v>373</v>
      </c>
      <c r="K4411" s="5" t="s">
        <v>344</v>
      </c>
      <c r="L4411" s="5" t="s">
        <v>38499</v>
      </c>
      <c r="M4411" s="27">
        <v>73500</v>
      </c>
      <c r="N4411" s="5"/>
      <c r="O4411" s="5" t="str">
        <v>1619004010</v>
      </c>
      <c r="P4411" s="27">
        <v>300000</v>
      </c>
      <c r="Q4411" s="5" t="s">
        <v>49057</v>
      </c>
      <c r="R4411" s="5"/>
      <c r="S4411" s="5" t="s">
        <v>56201</v>
      </c>
      <c r="T4411" s="28">
        <v>1447000</v>
      </c>
      <c r="U4411" s="28"/>
      <c r="V4411" s="28">
        <v>259524000</v>
      </c>
      <c r="W4411" s="28">
        <v>16758000</v>
      </c>
      <c r="X4411" s="28">
        <v>2610000</v>
      </c>
      <c r="Y4411" s="28">
        <v>397765000</v>
      </c>
      <c r="Z4411" s="28">
        <v>47395000</v>
      </c>
      <c r="AA4411" s="28">
        <v>124306000</v>
      </c>
      <c r="AB4411" s="28">
        <v>22189000</v>
      </c>
      <c r="AC4411" s="28">
        <v>225764000</v>
      </c>
      <c r="AD4411" s="28">
        <v>47695000</v>
      </c>
      <c r="AE4411" s="28">
        <v>4395318000</v>
      </c>
      <c r="AF4411" s="28">
        <v>4504000</v>
      </c>
      <c r="AG4411" s="11"/>
    </row>
    <row r="4412">
      <c r="A4412" s="7" t="s">
        <v>6058</v>
      </c>
      <c r="B4412" s="5" t="s">
        <v>14013</v>
      </c>
      <c r="C4412" s="5" t="s">
        <v>21767</v>
      </c>
      <c r="D4412" s="5" t="str">
        <v>026906839180</v>
      </c>
      <c r="E4412" s="0" t="e">
        <f>+7 (347) 2267788
+7 (3472) 267676
+7 (3472) 267766
+7 (3472) 642642</f>
        <v>#NAME?</v>
      </c>
      <c r="F4412" s="5" t="s">
        <v>38500</v>
      </c>
      <c r="G4412" s="5" t="s">
        <v>38501</v>
      </c>
      <c r="H4412" s="26">
        <v>19.5</v>
      </c>
      <c r="I4412" s="5" t="s">
        <v>38502</v>
      </c>
      <c r="J4412" s="5" t="s">
        <v>373</v>
      </c>
      <c r="K4412" s="5" t="s">
        <v>344</v>
      </c>
      <c r="L4412" s="5" t="s">
        <v>38503</v>
      </c>
      <c r="M4412" s="27">
        <v>602021</v>
      </c>
      <c r="N4412" s="5" t="s">
        <v>56202</v>
      </c>
      <c r="O4412" s="5" t="str">
        <v>0278096577</v>
      </c>
      <c r="P4412" s="27">
        <v>500000</v>
      </c>
      <c r="Q4412" s="5" t="s">
        <v>49057</v>
      </c>
      <c r="R4412" s="5"/>
      <c r="S4412" s="5" t="s">
        <v>56203</v>
      </c>
      <c r="T4412" s="28">
        <v>36602000</v>
      </c>
      <c r="U4412" s="28"/>
      <c r="V4412" s="28">
        <v>392289000</v>
      </c>
      <c r="W4412" s="28"/>
      <c r="X4412" s="28">
        <v>6133000</v>
      </c>
      <c r="Y4412" s="28">
        <v>456608000</v>
      </c>
      <c r="Z4412" s="28">
        <v>119130000</v>
      </c>
      <c r="AA4412" s="28"/>
      <c r="AB4412" s="28">
        <v>169809000</v>
      </c>
      <c r="AC4412" s="28">
        <v>326193000</v>
      </c>
      <c r="AD4412" s="28">
        <v>119630000</v>
      </c>
      <c r="AE4412" s="28">
        <v>5207448000</v>
      </c>
      <c r="AF4412" s="28">
        <v>13187000</v>
      </c>
      <c r="AG4412" s="11"/>
    </row>
    <row r="4413">
      <c r="A4413" s="7" t="s">
        <v>6059</v>
      </c>
      <c r="B4413" s="5" t="s">
        <v>14014</v>
      </c>
      <c r="C4413" s="5" t="s">
        <v>21768</v>
      </c>
      <c r="D4413" s="5" t="str">
        <v>772147234069</v>
      </c>
      <c r="E4413" s="0" t="e">
        <f>+7 (495) 2311001
+7 (495) 9525637
+7 (495) 9541160
+7 (495) 9546044
+7 (800) 4444044
+7 (800) 7002126</f>
        <v>#NAME?</v>
      </c>
      <c r="F4413" s="5" t="s">
        <v>38504</v>
      </c>
      <c r="G4413" s="5"/>
      <c r="H4413" s="26">
        <v>22</v>
      </c>
      <c r="I4413" s="5" t="s">
        <v>38505</v>
      </c>
      <c r="J4413" s="5" t="s">
        <v>26288</v>
      </c>
      <c r="K4413" s="5" t="s">
        <v>344</v>
      </c>
      <c r="L4413" s="5"/>
      <c r="M4413" s="27"/>
      <c r="N4413" s="5" t="s">
        <v>56204</v>
      </c>
      <c r="O4413" s="5" t="str">
        <v>7725135625</v>
      </c>
      <c r="P4413" s="27">
        <v>445000000</v>
      </c>
      <c r="Q4413" s="5" t="s">
        <v>49009</v>
      </c>
      <c r="R4413" s="5"/>
      <c r="S4413" s="5" t="s">
        <v>49116</v>
      </c>
      <c r="T4413" s="28">
        <v>540514000</v>
      </c>
      <c r="U4413" s="28"/>
      <c r="V4413" s="28">
        <v>273378000</v>
      </c>
      <c r="W4413" s="28"/>
      <c r="X4413" s="28">
        <v>194821000</v>
      </c>
      <c r="Y4413" s="28">
        <v>1907065000</v>
      </c>
      <c r="Z4413" s="28">
        <v>43795000</v>
      </c>
      <c r="AA4413" s="28"/>
      <c r="AB4413" s="28"/>
      <c r="AC4413" s="28">
        <v>1312148000</v>
      </c>
      <c r="AD4413" s="28">
        <v>490067000</v>
      </c>
      <c r="AE4413" s="28">
        <v>3776563000</v>
      </c>
      <c r="AF4413" s="28">
        <v>96039000</v>
      </c>
      <c r="AG4413" s="11"/>
    </row>
    <row r="4414">
      <c r="A4414" s="7" t="s">
        <v>6060</v>
      </c>
      <c r="B4414" s="5" t="s">
        <v>14015</v>
      </c>
      <c r="C4414" s="5" t="s">
        <v>21769</v>
      </c>
      <c r="D4414" s="5" t="str">
        <v>773128384906</v>
      </c>
      <c r="E4414" s="0" t="e">
        <f>+7 (495) 2582167
+7 (495) 9333979
+7 (495) 2582168</f>
        <v>#NAME?</v>
      </c>
      <c r="F4414" s="5" t="s">
        <v>38506</v>
      </c>
      <c r="G4414" s="5"/>
      <c r="H4414" s="26">
        <v>19.5</v>
      </c>
      <c r="I4414" s="5" t="s">
        <v>38507</v>
      </c>
      <c r="J4414" s="5" t="s">
        <v>678</v>
      </c>
      <c r="K4414" s="5" t="s">
        <v>344</v>
      </c>
      <c r="L4414" s="5" t="s">
        <v>38508</v>
      </c>
      <c r="M4414" s="27"/>
      <c r="N4414" s="5" t="s">
        <v>56205</v>
      </c>
      <c r="O4414" s="5" t="str">
        <v>7731274560</v>
      </c>
      <c r="P4414" s="27">
        <v>5787350</v>
      </c>
      <c r="Q4414" s="5" t="s">
        <v>49009</v>
      </c>
      <c r="R4414" s="5"/>
      <c r="S4414" s="5" t="s">
        <v>49361</v>
      </c>
      <c r="T4414" s="28">
        <v>45860000</v>
      </c>
      <c r="U4414" s="28"/>
      <c r="V4414" s="28">
        <v>911197000</v>
      </c>
      <c r="W4414" s="28"/>
      <c r="X4414" s="28">
        <v>282534000</v>
      </c>
      <c r="Y4414" s="28">
        <v>2494599000</v>
      </c>
      <c r="Z4414" s="28">
        <v>1365131000</v>
      </c>
      <c r="AA4414" s="28"/>
      <c r="AB4414" s="28"/>
      <c r="AC4414" s="28">
        <v>1102292000</v>
      </c>
      <c r="AD4414" s="28">
        <v>1370918000</v>
      </c>
      <c r="AE4414" s="28">
        <v>5073957000</v>
      </c>
      <c r="AF4414" s="28">
        <v>388174000</v>
      </c>
      <c r="AG4414" s="11"/>
    </row>
    <row r="4415">
      <c r="A4415" s="7" t="s">
        <v>6061</v>
      </c>
      <c r="B4415" s="5" t="s">
        <v>14016</v>
      </c>
      <c r="C4415" s="5" t="s">
        <v>21770</v>
      </c>
      <c r="D4415" s="5" t="str">
        <v>773405743388</v>
      </c>
      <c r="E4415" s="0" t="e">
        <f>+7 (495) 3000023
+7 (495) 4222993
+7 (831) 2827744
+7 (846) 2335777
+7 (862) 3000023
+7 (909) 6506611</f>
        <v>#NAME?</v>
      </c>
      <c r="F4415" s="5" t="s">
        <v>38509</v>
      </c>
      <c r="G4415" s="5" t="s">
        <v>38510</v>
      </c>
      <c r="H4415" s="26">
        <v>18</v>
      </c>
      <c r="I4415" s="5"/>
      <c r="J4415" s="5" t="s">
        <v>678</v>
      </c>
      <c r="K4415" s="5" t="s">
        <v>344</v>
      </c>
      <c r="L4415" s="5" t="s">
        <v>38511</v>
      </c>
      <c r="M4415" s="27"/>
      <c r="N4415" s="5" t="s">
        <v>56206</v>
      </c>
      <c r="O4415" s="5" t="str">
        <v>7734523776</v>
      </c>
      <c r="P4415" s="27">
        <v>10000</v>
      </c>
      <c r="Q4415" s="5" t="s">
        <v>56207</v>
      </c>
      <c r="R4415" s="5"/>
      <c r="S4415" s="5" t="s">
        <v>56208</v>
      </c>
      <c r="T4415" s="28">
        <v>62745000</v>
      </c>
      <c r="U4415" s="28"/>
      <c r="V4415" s="28">
        <v>1534539000</v>
      </c>
      <c r="W4415" s="28">
        <v>1303535000</v>
      </c>
      <c r="X4415" s="28">
        <v>168260000</v>
      </c>
      <c r="Y4415" s="28">
        <v>4374780000</v>
      </c>
      <c r="Z4415" s="28">
        <v>2796271000</v>
      </c>
      <c r="AA4415" s="28"/>
      <c r="AB4415" s="28">
        <v>499999000</v>
      </c>
      <c r="AC4415" s="28">
        <v>1578499000</v>
      </c>
      <c r="AD4415" s="28">
        <v>2796281000</v>
      </c>
      <c r="AE4415" s="28">
        <v>13695695000</v>
      </c>
      <c r="AF4415" s="28">
        <v>928037000</v>
      </c>
      <c r="AG4415" s="11"/>
    </row>
    <row r="4416">
      <c r="A4416" s="7" t="s">
        <v>6062</v>
      </c>
      <c r="B4416" s="5" t="s">
        <v>14017</v>
      </c>
      <c r="C4416" s="5" t="s">
        <v>21771</v>
      </c>
      <c r="D4416" s="5" t="str">
        <v>540709758749</v>
      </c>
      <c r="E4416" s="0" t="e">
        <f>+7 (383) 2078464
+7 (495) 6385024
+7 (495) 6490833
+7 (495) 7219031
+7 (495) 9267665
+7 (495) 9891095
+7 (495) 9895334
+7 (800) 2005024
+7 (800) 2007718
+7 (800) 7754312
+7 (812) 4498345
+7 (812) 6451515
+7 (812) 6485024
+7 (812) 6490833
+7 (923) 1145324</f>
        <v>#NAME?</v>
      </c>
      <c r="F4416" s="5" t="s">
        <v>38512</v>
      </c>
      <c r="G4416" s="5" t="s">
        <v>38513</v>
      </c>
      <c r="H4416" s="26">
        <v>15.5</v>
      </c>
      <c r="I4416" s="5" t="s">
        <v>38514</v>
      </c>
      <c r="J4416" s="5" t="s">
        <v>25429</v>
      </c>
      <c r="K4416" s="5" t="s">
        <v>344</v>
      </c>
      <c r="L4416" s="5" t="s">
        <v>38515</v>
      </c>
      <c r="M4416" s="27"/>
      <c r="N4416" s="5" t="s">
        <v>56209</v>
      </c>
      <c r="O4416" s="5" t="str">
        <v>5405346944</v>
      </c>
      <c r="P4416" s="27">
        <v>1000000</v>
      </c>
      <c r="Q4416" s="5" t="s">
        <v>49009</v>
      </c>
      <c r="R4416" s="5"/>
      <c r="S4416" s="5" t="s">
        <v>49358</v>
      </c>
      <c r="T4416" s="28">
        <v>170327000</v>
      </c>
      <c r="U4416" s="28"/>
      <c r="V4416" s="28">
        <v>300137000</v>
      </c>
      <c r="W4416" s="28"/>
      <c r="X4416" s="28">
        <v>229975000</v>
      </c>
      <c r="Y4416" s="28">
        <v>1297729000</v>
      </c>
      <c r="Z4416" s="28">
        <v>747862000</v>
      </c>
      <c r="AA4416" s="28"/>
      <c r="AB4416" s="28"/>
      <c r="AC4416" s="28">
        <v>342557000</v>
      </c>
      <c r="AD4416" s="28">
        <v>748862000</v>
      </c>
      <c r="AE4416" s="28">
        <v>3205484000</v>
      </c>
      <c r="AF4416" s="28">
        <v>237383000</v>
      </c>
      <c r="AG4416" s="11"/>
    </row>
    <row r="4417">
      <c r="A4417" s="7" t="s">
        <v>6063</v>
      </c>
      <c r="B4417" s="5" t="s">
        <v>14018</v>
      </c>
      <c r="C4417" s="5" t="s">
        <v>21772</v>
      </c>
      <c r="D4417" s="5" t="str">
        <v>366301138070</v>
      </c>
      <c r="E4417" s="0" t="e">
        <f>+7 (499) 2492424
+7 (800) 5005322
+7 (903) 5349702
+7 (495) 2492424
+7 (499) 1102424
+7 (926) 1002100
+7 (977) 6862342
+7 (977) 6862343</f>
        <v>#NAME?</v>
      </c>
      <c r="F4417" s="5" t="s">
        <v>38516</v>
      </c>
      <c r="G4417" s="5" t="s">
        <v>38517</v>
      </c>
      <c r="H4417" s="26">
        <v>14</v>
      </c>
      <c r="I4417" s="5" t="s">
        <v>38518</v>
      </c>
      <c r="J4417" s="5" t="s">
        <v>599</v>
      </c>
      <c r="K4417" s="5" t="s">
        <v>344</v>
      </c>
      <c r="L4417" s="5" t="s">
        <v>38519</v>
      </c>
      <c r="M4417" s="27"/>
      <c r="N4417" s="5"/>
      <c r="O4417" s="5" t="str">
        <v>7716640565</v>
      </c>
      <c r="P4417" s="27">
        <v>1000000</v>
      </c>
      <c r="Q4417" s="5" t="s">
        <v>49059</v>
      </c>
      <c r="R4417" s="5"/>
      <c r="S4417" s="5" t="s">
        <v>49010</v>
      </c>
      <c r="T4417" s="28">
        <v>37814000</v>
      </c>
      <c r="U4417" s="28"/>
      <c r="V4417" s="28">
        <v>217080000</v>
      </c>
      <c r="W4417" s="28">
        <v>137399000</v>
      </c>
      <c r="X4417" s="28">
        <v>45050000</v>
      </c>
      <c r="Y4417" s="28">
        <v>443139000</v>
      </c>
      <c r="Z4417" s="28">
        <v>151116000</v>
      </c>
      <c r="AA4417" s="28"/>
      <c r="AB4417" s="28"/>
      <c r="AC4417" s="28">
        <v>277444000</v>
      </c>
      <c r="AD4417" s="28">
        <v>152116000</v>
      </c>
      <c r="AE4417" s="28">
        <v>3916502000</v>
      </c>
      <c r="AF4417" s="28">
        <v>305607000</v>
      </c>
      <c r="AG4417" s="11"/>
    </row>
    <row r="4418">
      <c r="A4418" s="7" t="s">
        <v>6064</v>
      </c>
      <c r="B4418" s="5" t="s">
        <v>14019</v>
      </c>
      <c r="C4418" s="5" t="s">
        <v>21773</v>
      </c>
      <c r="D4418" s="5" t="str">
        <v>772811883918</v>
      </c>
      <c r="E4418" s="0" t="e">
        <f>+7 (495) 7487981
+7 (495) 7488711
+7 (495) 7805808
+7 (905) 7611018</f>
        <v>#NAME?</v>
      </c>
      <c r="F4418" s="5" t="s">
        <v>38520</v>
      </c>
      <c r="G4418" s="5" t="s">
        <v>38521</v>
      </c>
      <c r="H4418" s="26">
        <v>14.5</v>
      </c>
      <c r="I4418" s="5" t="s">
        <v>38522</v>
      </c>
      <c r="J4418" s="5" t="s">
        <v>678</v>
      </c>
      <c r="K4418" s="5" t="s">
        <v>344</v>
      </c>
      <c r="L4418" s="5" t="s">
        <v>38523</v>
      </c>
      <c r="M4418" s="27">
        <v>301620</v>
      </c>
      <c r="N4418" s="5" t="s">
        <v>56210</v>
      </c>
      <c r="O4418" s="5" t="str">
        <v>5054090112</v>
      </c>
      <c r="P4418" s="27">
        <v>4772808</v>
      </c>
      <c r="Q4418" s="5"/>
      <c r="R4418" s="5"/>
      <c r="S4418" s="5" t="s">
        <v>49399</v>
      </c>
      <c r="T4418" s="28">
        <v>15331000</v>
      </c>
      <c r="U4418" s="28">
        <v>26497000</v>
      </c>
      <c r="V4418" s="28">
        <v>616933000</v>
      </c>
      <c r="W4418" s="28">
        <v>466160000</v>
      </c>
      <c r="X4418" s="28">
        <v>339000</v>
      </c>
      <c r="Y4418" s="28">
        <v>1695128000</v>
      </c>
      <c r="Z4418" s="28">
        <v>345248000</v>
      </c>
      <c r="AA4418" s="28"/>
      <c r="AB4418" s="28">
        <v>431393000</v>
      </c>
      <c r="AC4418" s="28">
        <v>1325248000</v>
      </c>
      <c r="AD4418" s="28">
        <v>362402000</v>
      </c>
      <c r="AE4418" s="28">
        <v>3287042000</v>
      </c>
      <c r="AF4418" s="28">
        <v>54223000</v>
      </c>
      <c r="AG4418" s="11"/>
    </row>
    <row r="4419">
      <c r="A4419" s="7" t="s">
        <v>6065</v>
      </c>
      <c r="B4419" s="5" t="s">
        <v>14020</v>
      </c>
      <c r="C4419" s="5" t="s">
        <v>21774</v>
      </c>
      <c r="D4419" s="5" t="str">
        <v>744900649583</v>
      </c>
      <c r="E4419" s="0" t="e">
        <f>+7 (416) 2427172
+7 (4232) 317343
+7 (495) 1045974
+7 (495) 1816373
+7 (495) 1817363
+7 (495) 7888878
+7 (495) 7894619
+7 (495) 9515188
+7 (495) 9585188
+7 (499) 7994711
+7 (914) 7994711
+7 (915) 2378119
+7 (921) 1101010
+7 (925) 1045941
+7 (925) 1045974</f>
        <v>#NAME?</v>
      </c>
      <c r="F4419" s="5" t="s">
        <v>38524</v>
      </c>
      <c r="G4419" s="5"/>
      <c r="H4419" s="26">
        <v>4</v>
      </c>
      <c r="I4419" s="5" t="s">
        <v>38525</v>
      </c>
      <c r="J4419" s="5" t="s">
        <v>25429</v>
      </c>
      <c r="K4419" s="5" t="s">
        <v>344</v>
      </c>
      <c r="L4419" s="5" t="s">
        <v>38526</v>
      </c>
      <c r="M4419" s="27"/>
      <c r="N4419" s="5" t="s">
        <v>56211</v>
      </c>
      <c r="O4419" s="5" t="str">
        <v>9721075471</v>
      </c>
      <c r="P4419" s="27">
        <v>10000</v>
      </c>
      <c r="Q4419" s="5" t="s">
        <v>56212</v>
      </c>
      <c r="R4419" s="5"/>
      <c r="S4419" s="5" t="s">
        <v>56213</v>
      </c>
      <c r="T4419" s="28">
        <v>2076000</v>
      </c>
      <c r="U4419" s="28"/>
      <c r="V4419" s="28">
        <v>292033000</v>
      </c>
      <c r="W4419" s="28"/>
      <c r="X4419" s="28">
        <v>10053000</v>
      </c>
      <c r="Y4419" s="28">
        <v>849335000</v>
      </c>
      <c r="Z4419" s="28">
        <v>11663000</v>
      </c>
      <c r="AA4419" s="28"/>
      <c r="AB4419" s="28"/>
      <c r="AC4419" s="28">
        <v>835243000</v>
      </c>
      <c r="AD4419" s="28">
        <v>11673000</v>
      </c>
      <c r="AE4419" s="28">
        <v>3974934000</v>
      </c>
      <c r="AF4419" s="28">
        <v>7805000</v>
      </c>
      <c r="AG4419" s="11"/>
    </row>
    <row r="4420">
      <c r="A4420" s="7" t="s">
        <v>6065</v>
      </c>
      <c r="B4420" s="5" t="s">
        <v>14021</v>
      </c>
      <c r="C4420" s="5" t="s">
        <v>21775</v>
      </c>
      <c r="D4420" s="5" t="str">
        <v>633007012013</v>
      </c>
      <c r="F4420" s="5"/>
      <c r="G4420" s="5"/>
      <c r="H4420" s="26">
        <v>7</v>
      </c>
      <c r="I4420" s="5" t="s">
        <v>38527</v>
      </c>
      <c r="J4420" s="5" t="s">
        <v>28108</v>
      </c>
      <c r="K4420" s="5" t="s">
        <v>355</v>
      </c>
      <c r="L4420" s="5" t="s">
        <v>38528</v>
      </c>
      <c r="M4420" s="27"/>
      <c r="N4420" s="5"/>
      <c r="O4420" s="5" t="str">
        <v>7729487530</v>
      </c>
      <c r="P4420" s="27">
        <v>1751590142</v>
      </c>
      <c r="Q4420" s="5" t="s">
        <v>56214</v>
      </c>
      <c r="R4420" s="5"/>
      <c r="S4420" s="5" t="s">
        <v>49053</v>
      </c>
      <c r="T4420" s="28"/>
      <c r="U4420" s="28">
        <v>107704379000</v>
      </c>
      <c r="V4420" s="28">
        <v>612000</v>
      </c>
      <c r="W4420" s="28">
        <v>1390900000</v>
      </c>
      <c r="X4420" s="28">
        <v>72000</v>
      </c>
      <c r="Y4420" s="28">
        <v>109096010000</v>
      </c>
      <c r="Z4420" s="28">
        <v>87004896000</v>
      </c>
      <c r="AA4420" s="28"/>
      <c r="AB4420" s="28"/>
      <c r="AC4420" s="28">
        <v>4173000</v>
      </c>
      <c r="AD4420" s="28">
        <v>94169486000</v>
      </c>
      <c r="AE4420" s="28">
        <v>5393353000</v>
      </c>
      <c r="AF4420" s="28">
        <v>-32166666000</v>
      </c>
      <c r="AG4420" s="11"/>
    </row>
    <row r="4421">
      <c r="A4421" s="7" t="s">
        <v>6065</v>
      </c>
      <c r="B4421" s="5" t="s">
        <v>14022</v>
      </c>
      <c r="C4421" s="5" t="s">
        <v>21776</v>
      </c>
      <c r="D4421" s="5" t="str">
        <v>773380868093</v>
      </c>
      <c r="E4421" s="0" t="e">
        <f>+7 (495) 2805050
+7 (495) 6805050</f>
        <v>#NAME?</v>
      </c>
      <c r="F4421" s="5"/>
      <c r="G4421" s="5"/>
      <c r="H4421" s="26">
        <v>16</v>
      </c>
      <c r="I4421" s="5" t="s">
        <v>38529</v>
      </c>
      <c r="J4421" s="5" t="s">
        <v>678</v>
      </c>
      <c r="K4421" s="5" t="s">
        <v>344</v>
      </c>
      <c r="L4421" s="5" t="s">
        <v>38530</v>
      </c>
      <c r="M4421" s="27"/>
      <c r="N4421" s="5"/>
      <c r="O4421" s="5" t="str">
        <v>7717579708</v>
      </c>
      <c r="P4421" s="27">
        <v>2020203</v>
      </c>
      <c r="Q4421" s="5" t="s">
        <v>49009</v>
      </c>
      <c r="R4421" s="5"/>
      <c r="S4421" s="5" t="s">
        <v>49010</v>
      </c>
      <c r="T4421" s="28">
        <v>1180000</v>
      </c>
      <c r="U4421" s="28"/>
      <c r="V4421" s="28">
        <v>1572680000</v>
      </c>
      <c r="W4421" s="28">
        <v>190000000</v>
      </c>
      <c r="X4421" s="28">
        <v>5508000</v>
      </c>
      <c r="Y4421" s="28">
        <v>2523943000</v>
      </c>
      <c r="Z4421" s="28">
        <v>779708000</v>
      </c>
      <c r="AA4421" s="28">
        <v>1097569000</v>
      </c>
      <c r="AB4421" s="28">
        <v>38731000</v>
      </c>
      <c r="AC4421" s="28">
        <v>921457000</v>
      </c>
      <c r="AD4421" s="28">
        <v>504917000</v>
      </c>
      <c r="AE4421" s="28">
        <v>8396922000</v>
      </c>
      <c r="AF4421" s="28">
        <v>499268000</v>
      </c>
      <c r="AG4421" s="11"/>
    </row>
    <row r="4422">
      <c r="A4422" s="7" t="s">
        <v>6066</v>
      </c>
      <c r="B4422" s="5" t="s">
        <v>14023</v>
      </c>
      <c r="C4422" s="5" t="s">
        <v>21777</v>
      </c>
      <c r="D4422" s="5" t="str">
        <v>782509835920</v>
      </c>
      <c r="E4422" s="0" t="e">
        <f>+7 (800) 2200220
+7 (8112) 597305
+7 (8112) 597373
+7 (8112) 597386
+7 (8112) 597394
+7 (8112) 597937
+7 (8112) 597953
+7 (812) 3051010
+7 (812) 3051013
+7 (812) 3051024
+7 (812) 3051026
+7 (812) 3051046
+7 (812) 3051047
+7 (812) 3051050
+7 (812) 3051058</f>
        <v>#NAME?</v>
      </c>
      <c r="F4422" s="5" t="s">
        <v>38531</v>
      </c>
      <c r="G4422" s="5" t="s">
        <v>38532</v>
      </c>
      <c r="H4422" s="26">
        <v>18</v>
      </c>
      <c r="I4422" s="5" t="s">
        <v>38533</v>
      </c>
      <c r="J4422" s="5" t="s">
        <v>27802</v>
      </c>
      <c r="K4422" s="5" t="s">
        <v>380</v>
      </c>
      <c r="L4422" s="5"/>
      <c r="M4422" s="27">
        <v>534914838</v>
      </c>
      <c r="N4422" s="5" t="s">
        <v>56215</v>
      </c>
      <c r="O4422" s="5" t="str">
        <v>7802312751</v>
      </c>
      <c r="P4422" s="27">
        <v>9578592314</v>
      </c>
      <c r="Q4422" s="5" t="s">
        <v>56216</v>
      </c>
      <c r="R4422" s="5" t="s">
        <v>56217</v>
      </c>
      <c r="S4422" s="5" t="s">
        <v>51118</v>
      </c>
      <c r="T4422" s="28">
        <v>40844303000</v>
      </c>
      <c r="U4422" s="28">
        <v>245596000</v>
      </c>
      <c r="V4422" s="28">
        <v>5144993000</v>
      </c>
      <c r="W4422" s="28">
        <v>4692000</v>
      </c>
      <c r="X4422" s="28">
        <v>3352554000</v>
      </c>
      <c r="Y4422" s="28">
        <v>55622458000</v>
      </c>
      <c r="Z4422" s="28">
        <v>9257739000</v>
      </c>
      <c r="AA4422" s="28">
        <v>4697000000</v>
      </c>
      <c r="AB4422" s="28">
        <v>12612652000</v>
      </c>
      <c r="AC4422" s="28">
        <v>24353927000</v>
      </c>
      <c r="AD4422" s="28">
        <v>20709523000</v>
      </c>
      <c r="AE4422" s="28">
        <v>47781163000</v>
      </c>
      <c r="AF4422" s="28">
        <v>-455244000</v>
      </c>
      <c r="AG4422" s="11"/>
    </row>
    <row r="4423">
      <c r="A4423" s="7" t="s">
        <v>6067</v>
      </c>
      <c r="B4423" s="5" t="s">
        <v>14024</v>
      </c>
      <c r="C4423" s="5" t="s">
        <v>21778</v>
      </c>
      <c r="D4423" s="5" t="str">
        <v>780725182492</v>
      </c>
      <c r="F4423" s="5"/>
      <c r="G4423" s="5" t="s">
        <v>38534</v>
      </c>
      <c r="H4423" s="26">
        <v>5</v>
      </c>
      <c r="I4423" s="5" t="s">
        <v>38535</v>
      </c>
      <c r="J4423" s="5" t="s">
        <v>36411</v>
      </c>
      <c r="K4423" s="5" t="s">
        <v>344</v>
      </c>
      <c r="L4423" s="5" t="s">
        <v>38536</v>
      </c>
      <c r="M4423" s="27">
        <v>2232901</v>
      </c>
      <c r="N4423" s="5"/>
      <c r="O4423" s="5" t="str">
        <v>7839094362</v>
      </c>
      <c r="P4423" s="27">
        <v>50000</v>
      </c>
      <c r="Q4423" s="5" t="s">
        <v>49021</v>
      </c>
      <c r="R4423" s="5"/>
      <c r="S4423" s="5" t="s">
        <v>56218</v>
      </c>
      <c r="T4423" s="28">
        <v>1040000</v>
      </c>
      <c r="U4423" s="28"/>
      <c r="V4423" s="28">
        <v>960155000</v>
      </c>
      <c r="W4423" s="28"/>
      <c r="X4423" s="28">
        <v>47429000</v>
      </c>
      <c r="Y4423" s="28">
        <v>1020515000</v>
      </c>
      <c r="Z4423" s="28">
        <v>203229000</v>
      </c>
      <c r="AA4423" s="28"/>
      <c r="AB4423" s="28">
        <v>600546000</v>
      </c>
      <c r="AC4423" s="28">
        <v>817236000</v>
      </c>
      <c r="AD4423" s="28">
        <v>203279000</v>
      </c>
      <c r="AE4423" s="28">
        <v>5899022000</v>
      </c>
      <c r="AF4423" s="28">
        <v>54574000</v>
      </c>
      <c r="AG4423" s="11"/>
    </row>
    <row r="4424">
      <c r="A4424" s="7" t="s">
        <v>6068</v>
      </c>
      <c r="B4424" s="5" t="s">
        <v>14025</v>
      </c>
      <c r="C4424" s="5" t="s">
        <v>21779</v>
      </c>
      <c r="D4424" s="5" t="str">
        <v>583681804601</v>
      </c>
      <c r="E4424" s="0" t="e">
        <f>+7 (4712) 730410
+7 (4987) 679905
+7 (800) 2001610
+7 (800) 2348808
+7 (8412) 202808</f>
        <v>#NAME?</v>
      </c>
      <c r="F4424" s="5"/>
      <c r="G4424" s="5" t="s">
        <v>38537</v>
      </c>
      <c r="H4424" s="26">
        <v>10</v>
      </c>
      <c r="I4424" s="5" t="s">
        <v>38538</v>
      </c>
      <c r="J4424" s="5" t="s">
        <v>1123</v>
      </c>
      <c r="K4424" s="5" t="s">
        <v>344</v>
      </c>
      <c r="L4424" s="5" t="s">
        <v>38539</v>
      </c>
      <c r="M4424" s="27"/>
      <c r="N4424" s="5"/>
      <c r="O4424" s="5" t="str">
        <v>5835099479</v>
      </c>
      <c r="P4424" s="27">
        <v>500000</v>
      </c>
      <c r="Q4424" s="5" t="s">
        <v>49207</v>
      </c>
      <c r="R4424" s="5"/>
      <c r="S4424" s="5" t="s">
        <v>50911</v>
      </c>
      <c r="T4424" s="28">
        <v>92134000</v>
      </c>
      <c r="U4424" s="28"/>
      <c r="V4424" s="28">
        <v>252507000</v>
      </c>
      <c r="W4424" s="28">
        <v>127400000</v>
      </c>
      <c r="X4424" s="28">
        <v>6212000</v>
      </c>
      <c r="Y4424" s="28">
        <v>1469294000</v>
      </c>
      <c r="Z4424" s="28">
        <v>527437000</v>
      </c>
      <c r="AA4424" s="28"/>
      <c r="AB4424" s="28">
        <v>200282000</v>
      </c>
      <c r="AC4424" s="28">
        <v>918666000</v>
      </c>
      <c r="AD4424" s="28">
        <v>527937000</v>
      </c>
      <c r="AE4424" s="28">
        <v>6015839000</v>
      </c>
      <c r="AF4424" s="28">
        <v>133486000</v>
      </c>
      <c r="AG4424" s="11"/>
    </row>
    <row r="4425">
      <c r="A4425" s="7" t="s">
        <v>6069</v>
      </c>
      <c r="B4425" s="5" t="s">
        <v>14026</v>
      </c>
      <c r="C4425" s="5" t="s">
        <v>21780</v>
      </c>
      <c r="D4425" s="5" t="str">
        <v>772508391880</v>
      </c>
      <c r="E4425" s="0" t="e">
        <f>+7 (495) 6268604</f>
        <v>#NAME?</v>
      </c>
      <c r="F4425" s="5" t="s">
        <v>38540</v>
      </c>
      <c r="G4425" s="5" t="s">
        <v>38541</v>
      </c>
      <c r="H4425" s="26">
        <v>6.5</v>
      </c>
      <c r="I4425" s="5" t="s">
        <v>38542</v>
      </c>
      <c r="J4425" s="5" t="s">
        <v>27522</v>
      </c>
      <c r="K4425" s="5" t="s">
        <v>344</v>
      </c>
      <c r="L4425" s="5" t="s">
        <v>38543</v>
      </c>
      <c r="M4425" s="27"/>
      <c r="N4425" s="5"/>
      <c r="O4425" s="5" t="str">
        <v>9718015070</v>
      </c>
      <c r="P4425" s="27">
        <v>10000</v>
      </c>
      <c r="Q4425" s="5"/>
      <c r="R4425" s="5"/>
      <c r="S4425" s="5" t="s">
        <v>49110</v>
      </c>
      <c r="T4425" s="28">
        <v>18209000</v>
      </c>
      <c r="U4425" s="28"/>
      <c r="V4425" s="28">
        <v>287753000</v>
      </c>
      <c r="W4425" s="28"/>
      <c r="X4425" s="28">
        <v>8498000</v>
      </c>
      <c r="Y4425" s="28">
        <v>1775955000</v>
      </c>
      <c r="Z4425" s="28">
        <v>192217000</v>
      </c>
      <c r="AA4425" s="28">
        <v>230000000</v>
      </c>
      <c r="AB4425" s="28">
        <v>158012000</v>
      </c>
      <c r="AC4425" s="28">
        <v>1351551000</v>
      </c>
      <c r="AD4425" s="28">
        <v>192227000</v>
      </c>
      <c r="AE4425" s="28">
        <v>4251843000</v>
      </c>
      <c r="AF4425" s="28">
        <v>66479000</v>
      </c>
      <c r="AG4425" s="11"/>
    </row>
    <row r="4426">
      <c r="A4426" s="7" t="s">
        <v>6070</v>
      </c>
      <c r="B4426" s="5" t="s">
        <v>14027</v>
      </c>
      <c r="C4426" s="5" t="s">
        <v>21781</v>
      </c>
      <c r="D4426" s="5" t="str">
        <v>583715320094</v>
      </c>
      <c r="E4426" s="0" t="e">
        <f>+7 (937) 4459949
+7 (8412) 209230</f>
        <v>#NAME?</v>
      </c>
      <c r="F4426" s="5"/>
      <c r="G4426" s="5"/>
      <c r="H4426" s="26">
        <v>5</v>
      </c>
      <c r="I4426" s="5" t="s">
        <v>38544</v>
      </c>
      <c r="J4426" s="5" t="s">
        <v>33955</v>
      </c>
      <c r="K4426" s="5" t="s">
        <v>344</v>
      </c>
      <c r="L4426" s="5" t="s">
        <v>38545</v>
      </c>
      <c r="M4426" s="27"/>
      <c r="N4426" s="5" t="s">
        <v>56219</v>
      </c>
      <c r="O4426" s="5" t="str">
        <v>5837072592</v>
      </c>
      <c r="P4426" s="27">
        <v>10000</v>
      </c>
      <c r="Q4426" s="5"/>
      <c r="R4426" s="5"/>
      <c r="S4426" s="5" t="s">
        <v>49425</v>
      </c>
      <c r="T4426" s="28">
        <v>803000</v>
      </c>
      <c r="U4426" s="28"/>
      <c r="V4426" s="28">
        <v>951161000</v>
      </c>
      <c r="W4426" s="28">
        <v>11737000</v>
      </c>
      <c r="X4426" s="28">
        <v>3610000</v>
      </c>
      <c r="Y4426" s="28">
        <v>1377614000</v>
      </c>
      <c r="Z4426" s="28">
        <v>32160000</v>
      </c>
      <c r="AA4426" s="28"/>
      <c r="AB4426" s="28"/>
      <c r="AC4426" s="28">
        <v>1345444000</v>
      </c>
      <c r="AD4426" s="28">
        <v>32170000</v>
      </c>
      <c r="AE4426" s="28">
        <v>8342105000</v>
      </c>
      <c r="AF4426" s="28">
        <v>22729000</v>
      </c>
      <c r="AG4426" s="11"/>
    </row>
    <row r="4427">
      <c r="A4427" s="7" t="s">
        <v>6071</v>
      </c>
      <c r="B4427" s="5" t="s">
        <v>14028</v>
      </c>
      <c r="C4427" s="5" t="s">
        <v>21782</v>
      </c>
      <c r="D4427" s="5" t="str">
        <v>663208997955</v>
      </c>
      <c r="E4427" s="0" t="e">
        <f>+7 (904) 9869075</f>
        <v>#NAME?</v>
      </c>
      <c r="F4427" s="5"/>
      <c r="G4427" s="5"/>
      <c r="H4427" s="26">
        <v>7</v>
      </c>
      <c r="I4427" s="5" t="s">
        <v>38546</v>
      </c>
      <c r="J4427" s="5" t="s">
        <v>25253</v>
      </c>
      <c r="K4427" s="5" t="s">
        <v>355</v>
      </c>
      <c r="L4427" s="5"/>
      <c r="M4427" s="27"/>
      <c r="N4427" s="5" t="s">
        <v>56220</v>
      </c>
      <c r="O4427" s="5" t="str">
        <v>6670358829</v>
      </c>
      <c r="P4427" s="27">
        <v>10000</v>
      </c>
      <c r="Q4427" s="5"/>
      <c r="R4427" s="5"/>
      <c r="S4427" s="5" t="s">
        <v>49110</v>
      </c>
      <c r="T4427" s="28"/>
      <c r="U4427" s="28"/>
      <c r="V4427" s="28">
        <v>1213923000</v>
      </c>
      <c r="W4427" s="28"/>
      <c r="X4427" s="28">
        <v>380748000</v>
      </c>
      <c r="Y4427" s="28">
        <v>2067328000</v>
      </c>
      <c r="Z4427" s="28"/>
      <c r="AA4427" s="28"/>
      <c r="AB4427" s="28"/>
      <c r="AC4427" s="28">
        <v>773565000</v>
      </c>
      <c r="AD4427" s="28">
        <v>1293763000</v>
      </c>
      <c r="AE4427" s="28">
        <v>28813607000</v>
      </c>
      <c r="AF4427" s="28">
        <v>1283763000</v>
      </c>
      <c r="AG4427" s="11"/>
    </row>
    <row r="4428">
      <c r="A4428" s="7" t="s">
        <v>6072</v>
      </c>
      <c r="B4428" s="5" t="s">
        <v>14029</v>
      </c>
      <c r="C4428" s="5" t="s">
        <v>21783</v>
      </c>
      <c r="D4428" s="5" t="str">
        <v>330800724754</v>
      </c>
      <c r="E4428" s="0" t="e">
        <f>+7 (495) 9261137
+7 (495) 4658010
+7 (952) 9051471
+7 (495) 1909190
+7 (3432) 133133
+7 (383) 3632411
+7 (3952) 780250
+7 (421) 2913057
+7 (473) 2396222
+7 (495) 1919190
+7 (495) 5441830
+7 (495) 6444625
+7 (495) 6602506
+7 (846) 2129750
+7 (8632) 37060</f>
        <v>#NAME?</v>
      </c>
      <c r="F4428" s="5" t="s">
        <v>38547</v>
      </c>
      <c r="G4428" s="5" t="s">
        <v>38548</v>
      </c>
      <c r="H4428" s="26">
        <v>20.5</v>
      </c>
      <c r="I4428" s="5" t="s">
        <v>38549</v>
      </c>
      <c r="J4428" s="5" t="s">
        <v>38550</v>
      </c>
      <c r="K4428" s="5" t="s">
        <v>344</v>
      </c>
      <c r="L4428" s="5" t="s">
        <v>38551</v>
      </c>
      <c r="M4428" s="27"/>
      <c r="N4428" s="5" t="s">
        <v>56221</v>
      </c>
      <c r="O4428" s="5" t="str">
        <v>7724246940</v>
      </c>
      <c r="P4428" s="27">
        <v>92088000</v>
      </c>
      <c r="Q4428" s="5" t="s">
        <v>49009</v>
      </c>
      <c r="R4428" s="5"/>
      <c r="S4428" s="5" t="s">
        <v>49200</v>
      </c>
      <c r="T4428" s="28">
        <v>417503000</v>
      </c>
      <c r="U4428" s="28"/>
      <c r="V4428" s="28">
        <v>1576733000</v>
      </c>
      <c r="W4428" s="28"/>
      <c r="X4428" s="28">
        <v>113806000</v>
      </c>
      <c r="Y4428" s="28">
        <v>3513746000</v>
      </c>
      <c r="Z4428" s="28">
        <v>790241000</v>
      </c>
      <c r="AA4428" s="28"/>
      <c r="AB4428" s="28"/>
      <c r="AC4428" s="28">
        <v>2399144000</v>
      </c>
      <c r="AD4428" s="28">
        <v>882329000</v>
      </c>
      <c r="AE4428" s="28">
        <v>8527372000</v>
      </c>
      <c r="AF4428" s="28">
        <v>170975000</v>
      </c>
      <c r="AG4428" s="11"/>
    </row>
    <row r="4429">
      <c r="A4429" s="7" t="s">
        <v>6073</v>
      </c>
      <c r="B4429" s="5" t="s">
        <v>14030</v>
      </c>
      <c r="C4429" s="5" t="s">
        <v>21784</v>
      </c>
      <c r="D4429" s="5" t="str">
        <v>770765903578</v>
      </c>
      <c r="E4429" s="0" t="e">
        <f>+7 (495) 2589960
+7 (812) 3268588
+7 (914) 10549
+7 (343) 2679638
+7 (401) 2572020
+7 (401) 2572050
+7 (495) 6209282
+7 (800) 2345121
+7 (800) 5009851
+7 (812) 3268585
+7 (831) 2758565
+7 (831) 2759889</f>
        <v>#NAME?</v>
      </c>
      <c r="F4429" s="5" t="s">
        <v>38552</v>
      </c>
      <c r="G4429" s="5" t="s">
        <v>38553</v>
      </c>
      <c r="H4429" s="26">
        <v>24.5</v>
      </c>
      <c r="I4429" s="5" t="s">
        <v>38554</v>
      </c>
      <c r="J4429" s="5" t="s">
        <v>26962</v>
      </c>
      <c r="K4429" s="5" t="s">
        <v>344</v>
      </c>
      <c r="L4429" s="5" t="s">
        <v>38555</v>
      </c>
      <c r="M4429" s="27"/>
      <c r="N4429" s="5"/>
      <c r="O4429" s="5" t="str">
        <v>7802118578</v>
      </c>
      <c r="P4429" s="27">
        <v>1348671227</v>
      </c>
      <c r="Q4429" s="5" t="s">
        <v>49009</v>
      </c>
      <c r="R4429" s="5"/>
      <c r="S4429" s="5" t="s">
        <v>49028</v>
      </c>
      <c r="T4429" s="28">
        <v>15105200000</v>
      </c>
      <c r="U4429" s="28"/>
      <c r="V4429" s="28">
        <v>4841682000</v>
      </c>
      <c r="W4429" s="28"/>
      <c r="X4429" s="28">
        <v>4029148000</v>
      </c>
      <c r="Y4429" s="28">
        <v>29536267000</v>
      </c>
      <c r="Z4429" s="28">
        <v>-1749000000</v>
      </c>
      <c r="AA4429" s="28"/>
      <c r="AB4429" s="28">
        <v>7522541000</v>
      </c>
      <c r="AC4429" s="28">
        <v>21749299000</v>
      </c>
      <c r="AD4429" s="28">
        <v>7295038000</v>
      </c>
      <c r="AE4429" s="28">
        <v>41978653000</v>
      </c>
      <c r="AF4429" s="28">
        <v>2494531000</v>
      </c>
      <c r="AG4429" s="11"/>
    </row>
    <row r="4430">
      <c r="A4430" s="7" t="s">
        <v>6074</v>
      </c>
      <c r="B4430" s="5" t="s">
        <v>14031</v>
      </c>
      <c r="C4430" s="5" t="s">
        <v>21785</v>
      </c>
      <c r="D4430" s="5" t="str">
        <v>667351396408</v>
      </c>
      <c r="E4430" s="0" t="e">
        <f>+7 (3433) 110006</f>
        <v>#NAME?</v>
      </c>
      <c r="F4430" s="5"/>
      <c r="G4430" s="5"/>
      <c r="H4430" s="26">
        <v>6</v>
      </c>
      <c r="I4430" s="5" t="s">
        <v>38556</v>
      </c>
      <c r="J4430" s="5" t="s">
        <v>25231</v>
      </c>
      <c r="K4430" s="5" t="s">
        <v>355</v>
      </c>
      <c r="L4430" s="5"/>
      <c r="M4430" s="27"/>
      <c r="N4430" s="5"/>
      <c r="O4430" s="5" t="str">
        <v>6678082347</v>
      </c>
      <c r="P4430" s="27">
        <v>10000</v>
      </c>
      <c r="Q4430" s="5" t="s">
        <v>49009</v>
      </c>
      <c r="R4430" s="5"/>
      <c r="S4430" s="5" t="s">
        <v>49066</v>
      </c>
      <c r="T4430" s="28">
        <v>911482000</v>
      </c>
      <c r="U4430" s="28"/>
      <c r="V4430" s="28">
        <v>876246000</v>
      </c>
      <c r="W4430" s="28"/>
      <c r="X4430" s="28">
        <v>31054000</v>
      </c>
      <c r="Y4430" s="28">
        <v>2671769000</v>
      </c>
      <c r="Z4430" s="28">
        <v>86077000</v>
      </c>
      <c r="AA4430" s="28">
        <v>805967000</v>
      </c>
      <c r="AB4430" s="28">
        <v>1527331000</v>
      </c>
      <c r="AC4430" s="28">
        <v>1779715000</v>
      </c>
      <c r="AD4430" s="28">
        <v>86115000</v>
      </c>
      <c r="AE4430" s="28">
        <v>4977288000</v>
      </c>
      <c r="AF4430" s="28">
        <v>44809000</v>
      </c>
      <c r="AG4430" s="11"/>
    </row>
    <row r="4431">
      <c r="A4431" s="7" t="s">
        <v>6075</v>
      </c>
      <c r="B4431" s="5" t="s">
        <v>14032</v>
      </c>
      <c r="C4431" s="5" t="s">
        <v>21786</v>
      </c>
      <c r="D4431" s="5" t="str">
        <v>222402643564</v>
      </c>
      <c r="E4431" s="0" t="e">
        <f>+7 (385) 2500316
+7 (385) 2500318
+7 (385) 2772077
+7 (38581) 27290
+7 (38581) 27340
+7 (38582) 24334
+7 (38590) 22787</f>
        <v>#NAME?</v>
      </c>
      <c r="F4431" s="5" t="s">
        <v>38557</v>
      </c>
      <c r="G4431" s="5"/>
      <c r="H4431" s="26">
        <v>16.5</v>
      </c>
      <c r="I4431" s="5"/>
      <c r="J4431" s="5" t="s">
        <v>841</v>
      </c>
      <c r="K4431" s="5" t="s">
        <v>344</v>
      </c>
      <c r="L4431" s="5" t="s">
        <v>38558</v>
      </c>
      <c r="M4431" s="27"/>
      <c r="N4431" s="5"/>
      <c r="O4431" s="5" t="str">
        <v>2282003900</v>
      </c>
      <c r="P4431" s="27">
        <v>419797000</v>
      </c>
      <c r="Q4431" s="5" t="s">
        <v>49059</v>
      </c>
      <c r="R4431" s="5"/>
      <c r="S4431" s="5" t="s">
        <v>49029</v>
      </c>
      <c r="T4431" s="28">
        <v>1213358000</v>
      </c>
      <c r="U4431" s="28"/>
      <c r="V4431" s="28">
        <v>1545827000</v>
      </c>
      <c r="W4431" s="28">
        <v>1775773000</v>
      </c>
      <c r="X4431" s="28">
        <v>835000</v>
      </c>
      <c r="Y4431" s="28">
        <v>6823505000</v>
      </c>
      <c r="Z4431" s="28">
        <v>3218024000</v>
      </c>
      <c r="AA4431" s="28">
        <v>1080202000</v>
      </c>
      <c r="AB4431" s="28">
        <v>1400615000</v>
      </c>
      <c r="AC4431" s="28">
        <v>2105482000</v>
      </c>
      <c r="AD4431" s="28">
        <v>3637821000</v>
      </c>
      <c r="AE4431" s="28">
        <v>3981234000</v>
      </c>
      <c r="AF4431" s="28">
        <v>1919698000</v>
      </c>
      <c r="AG4431" s="11"/>
    </row>
    <row r="4432">
      <c r="A4432" s="7" t="s">
        <v>6076</v>
      </c>
      <c r="B4432" s="5" t="s">
        <v>14033</v>
      </c>
      <c r="C4432" s="5" t="s">
        <v>21787</v>
      </c>
      <c r="D4432" s="5"/>
      <c r="E4432" s="0" t="e">
        <f>+7 (967) 2042039
+7 (495) 5042849
+7 (926) 3042138
+7 (966) 625084</f>
        <v>#NAME?</v>
      </c>
      <c r="F4432" s="5" t="s">
        <v>38559</v>
      </c>
      <c r="G4432" s="5" t="s">
        <v>38560</v>
      </c>
      <c r="H4432" s="26">
        <v>28</v>
      </c>
      <c r="I4432" s="5" t="s">
        <v>38561</v>
      </c>
      <c r="J4432" s="5" t="s">
        <v>890</v>
      </c>
      <c r="K4432" s="5" t="s">
        <v>355</v>
      </c>
      <c r="L4432" s="5"/>
      <c r="M4432" s="27">
        <v>133620473</v>
      </c>
      <c r="N4432" s="5" t="s">
        <v>56222</v>
      </c>
      <c r="O4432" s="5" t="str">
        <v>7704037955</v>
      </c>
      <c r="P4432" s="27">
        <v>51000000</v>
      </c>
      <c r="Q4432" s="5" t="s">
        <v>56223</v>
      </c>
      <c r="R4432" s="5"/>
      <c r="S4432" s="5" t="s">
        <v>56224</v>
      </c>
      <c r="T4432" s="28">
        <v>50613000</v>
      </c>
      <c r="U4432" s="28"/>
      <c r="V4432" s="28">
        <v>619474000</v>
      </c>
      <c r="W4432" s="28"/>
      <c r="X4432" s="28">
        <v>121900000</v>
      </c>
      <c r="Y4432" s="28">
        <v>2332734000</v>
      </c>
      <c r="Z4432" s="28">
        <v>-597822000</v>
      </c>
      <c r="AA4432" s="28"/>
      <c r="AB4432" s="28">
        <v>566639000</v>
      </c>
      <c r="AC4432" s="28">
        <v>2514256000</v>
      </c>
      <c r="AD4432" s="28">
        <v>-498866000</v>
      </c>
      <c r="AE4432" s="28">
        <v>3920448000</v>
      </c>
      <c r="AF4432" s="28">
        <v>1444000</v>
      </c>
      <c r="AG4432" s="11"/>
    </row>
    <row r="4433">
      <c r="A4433" s="7" t="s">
        <v>6077</v>
      </c>
      <c r="B4433" s="5" t="s">
        <v>14034</v>
      </c>
      <c r="C4433" s="5" t="s">
        <v>21788</v>
      </c>
      <c r="D4433" s="5" t="str">
        <v>773370962403</v>
      </c>
      <c r="E4433" s="0" t="e">
        <f>+7 (495) 2876100
+7 (495) 4285005
+7 (495) 9137474
+7 (495) 9137999
+7 (495) 9804141
+7 (495) 9804313
+7 (495) 9831800
+7 (800) 1000089
+7 (800) 1001189</f>
        <v>#NAME?</v>
      </c>
      <c r="F4433" s="5"/>
      <c r="G4433" s="5" t="s">
        <v>38562</v>
      </c>
      <c r="H4433" s="26">
        <v>4.5</v>
      </c>
      <c r="I4433" s="5" t="s">
        <v>38563</v>
      </c>
      <c r="J4433" s="5" t="s">
        <v>28108</v>
      </c>
      <c r="K4433" s="5" t="s">
        <v>355</v>
      </c>
      <c r="L4433" s="5"/>
      <c r="M4433" s="27"/>
      <c r="N4433" s="5"/>
      <c r="O4433" s="5" t="str">
        <v>7727391751</v>
      </c>
      <c r="P4433" s="27">
        <v>9061959420</v>
      </c>
      <c r="Q4433" s="5" t="s">
        <v>56225</v>
      </c>
      <c r="R4433" s="5"/>
      <c r="S4433" s="5" t="s">
        <v>49053</v>
      </c>
      <c r="T4433" s="28"/>
      <c r="U4433" s="28">
        <v>4718384000</v>
      </c>
      <c r="V4433" s="28">
        <v>3488958000</v>
      </c>
      <c r="W4433" s="28">
        <v>170000000</v>
      </c>
      <c r="X4433" s="28">
        <v>368989000</v>
      </c>
      <c r="Y4433" s="28">
        <v>8809599000</v>
      </c>
      <c r="Z4433" s="28">
        <v>274621000</v>
      </c>
      <c r="AA4433" s="28"/>
      <c r="AB4433" s="28"/>
      <c r="AC4433" s="28">
        <v>389000</v>
      </c>
      <c r="AD4433" s="28">
        <v>8809210000</v>
      </c>
      <c r="AE4433" s="28">
        <v>3737913000</v>
      </c>
      <c r="AF4433" s="28">
        <v>-10583000</v>
      </c>
      <c r="AG4433" s="11"/>
    </row>
    <row r="4434">
      <c r="A4434" s="7" t="s">
        <v>6078</v>
      </c>
      <c r="B4434" s="5" t="s">
        <v>14035</v>
      </c>
      <c r="C4434" s="5" t="s">
        <v>21789</v>
      </c>
      <c r="D4434" s="5" t="str">
        <v>232203900407</v>
      </c>
      <c r="E4434" s="0" t="e">
        <f>+7 (495) 7256638
+7 (81657) 23055
+7 (81657) 23213
+7 (81657) 29000</f>
        <v>#NAME?</v>
      </c>
      <c r="F4434" s="5" t="s">
        <v>38564</v>
      </c>
      <c r="G4434" s="5" t="s">
        <v>38565</v>
      </c>
      <c r="H4434" s="26">
        <v>14</v>
      </c>
      <c r="I4434" s="5" t="s">
        <v>38566</v>
      </c>
      <c r="J4434" s="5" t="s">
        <v>27147</v>
      </c>
      <c r="K4434" s="5" t="s">
        <v>344</v>
      </c>
      <c r="L4434" s="5" t="s">
        <v>38567</v>
      </c>
      <c r="M4434" s="27"/>
      <c r="N4434" s="5"/>
      <c r="O4434" s="5" t="str">
        <v>7730610523</v>
      </c>
      <c r="P4434" s="27">
        <v>10000000</v>
      </c>
      <c r="Q4434" s="5" t="s">
        <v>49059</v>
      </c>
      <c r="R4434" s="5"/>
      <c r="S4434" s="5" t="s">
        <v>49066</v>
      </c>
      <c r="T4434" s="28">
        <v>585595000</v>
      </c>
      <c r="U4434" s="28">
        <v>630987000</v>
      </c>
      <c r="V4434" s="28">
        <v>931328000</v>
      </c>
      <c r="W4434" s="28">
        <v>5609000</v>
      </c>
      <c r="X4434" s="28">
        <v>1346000</v>
      </c>
      <c r="Y4434" s="28">
        <v>3135355000</v>
      </c>
      <c r="Z4434" s="28">
        <v>846268000</v>
      </c>
      <c r="AA4434" s="28">
        <v>510524000</v>
      </c>
      <c r="AB4434" s="28">
        <v>1134471000</v>
      </c>
      <c r="AC4434" s="28">
        <v>1686634000</v>
      </c>
      <c r="AD4434" s="28">
        <v>856306000</v>
      </c>
      <c r="AE4434" s="28">
        <v>4717507000</v>
      </c>
      <c r="AF4434" s="28">
        <v>490608000</v>
      </c>
      <c r="AG4434" s="11"/>
    </row>
    <row r="4435">
      <c r="A4435" s="7" t="s">
        <v>6079</v>
      </c>
      <c r="B4435" s="5" t="s">
        <v>14036</v>
      </c>
      <c r="C4435" s="5" t="s">
        <v>21790</v>
      </c>
      <c r="D4435" s="5" t="str">
        <v>434537332791</v>
      </c>
      <c r="E4435" s="0" t="e">
        <f>+7 (812) 4095132</f>
        <v>#NAME?</v>
      </c>
      <c r="F4435" s="5"/>
      <c r="G4435" s="5"/>
      <c r="H4435" s="26">
        <v>7</v>
      </c>
      <c r="I4435" s="5" t="s">
        <v>38568</v>
      </c>
      <c r="J4435" s="5" t="s">
        <v>25512</v>
      </c>
      <c r="K4435" s="5" t="s">
        <v>344</v>
      </c>
      <c r="L4435" s="5" t="s">
        <v>38569</v>
      </c>
      <c r="M4435" s="27"/>
      <c r="N4435" s="5" t="s">
        <v>56226</v>
      </c>
      <c r="O4435" s="5" t="str">
        <v>7810422123</v>
      </c>
      <c r="P4435" s="27">
        <v>10000</v>
      </c>
      <c r="Q4435" s="5" t="s">
        <v>49009</v>
      </c>
      <c r="R4435" s="5"/>
      <c r="S4435" s="5" t="s">
        <v>49045</v>
      </c>
      <c r="T4435" s="28"/>
      <c r="U4435" s="28"/>
      <c r="V4435" s="28"/>
      <c r="W4435" s="28"/>
      <c r="X4435" s="28"/>
      <c r="Y4435" s="28">
        <v>139057000</v>
      </c>
      <c r="Z4435" s="28">
        <v>139047000</v>
      </c>
      <c r="AA4435" s="28"/>
      <c r="AB4435" s="28"/>
      <c r="AC4435" s="28"/>
      <c r="AD4435" s="28">
        <v>139057000</v>
      </c>
      <c r="AE4435" s="28">
        <v>3136827000</v>
      </c>
      <c r="AF4435" s="28">
        <v>65084000</v>
      </c>
      <c r="AG4435" s="11"/>
    </row>
    <row r="4436">
      <c r="A4436" s="7" t="s">
        <v>6080</v>
      </c>
      <c r="B4436" s="5" t="s">
        <v>14037</v>
      </c>
      <c r="C4436" s="5" t="s">
        <v>20208</v>
      </c>
      <c r="D4436" s="5"/>
      <c r="E4436" s="0" t="e">
        <f>+7 (812) 2751349
+7 (916) 7650445
+7 (921) 9035805
+7 (495) 7851111
+7 (812) 1683760
+7 (812) 3656186
+7 (812) 3656204
+7 (812) 3656447
+7 (812) 3656479</f>
        <v>#NAME?</v>
      </c>
      <c r="F4436" s="5" t="s">
        <v>38570</v>
      </c>
      <c r="G4436" s="5"/>
      <c r="H4436" s="26">
        <v>19</v>
      </c>
      <c r="I4436" s="5" t="s">
        <v>38571</v>
      </c>
      <c r="J4436" s="5" t="s">
        <v>389</v>
      </c>
      <c r="K4436" s="5" t="s">
        <v>344</v>
      </c>
      <c r="L4436" s="5" t="s">
        <v>38572</v>
      </c>
      <c r="M4436" s="27"/>
      <c r="N4436" s="5" t="s">
        <v>56227</v>
      </c>
      <c r="O4436" s="5" t="str">
        <v>7838013787</v>
      </c>
      <c r="P4436" s="27">
        <v>256000000</v>
      </c>
      <c r="Q4436" s="5" t="s">
        <v>49009</v>
      </c>
      <c r="R4436" s="5"/>
      <c r="S4436" s="5" t="s">
        <v>49045</v>
      </c>
      <c r="T4436" s="28">
        <v>293323000</v>
      </c>
      <c r="U4436" s="28"/>
      <c r="V4436" s="28">
        <v>94664000</v>
      </c>
      <c r="W4436" s="28">
        <v>19606000</v>
      </c>
      <c r="X4436" s="28">
        <v>71692000</v>
      </c>
      <c r="Y4436" s="28">
        <v>1019451000</v>
      </c>
      <c r="Z4436" s="28">
        <v>471165000</v>
      </c>
      <c r="AA4436" s="28"/>
      <c r="AB4436" s="28">
        <v>94249000</v>
      </c>
      <c r="AC4436" s="28">
        <v>292286000</v>
      </c>
      <c r="AD4436" s="28">
        <v>727165000</v>
      </c>
      <c r="AE4436" s="28">
        <v>3287433000</v>
      </c>
      <c r="AF4436" s="28">
        <v>73068000</v>
      </c>
      <c r="AG4436" s="11"/>
    </row>
    <row r="4437">
      <c r="A4437" s="7" t="s">
        <v>6081</v>
      </c>
      <c r="B4437" s="5" t="s">
        <v>14038</v>
      </c>
      <c r="C4437" s="5" t="s">
        <v>21791</v>
      </c>
      <c r="D4437" s="5" t="str">
        <v>245907183451</v>
      </c>
      <c r="E4437" s="0" t="e">
        <f>+7 (923) 3350255
+7 (391) 2140101</f>
        <v>#NAME?</v>
      </c>
      <c r="F4437" s="5" t="s">
        <v>38573</v>
      </c>
      <c r="G4437" s="5" t="s">
        <v>38574</v>
      </c>
      <c r="H4437" s="26">
        <v>6.5</v>
      </c>
      <c r="I4437" s="5" t="s">
        <v>38575</v>
      </c>
      <c r="J4437" s="5" t="s">
        <v>533</v>
      </c>
      <c r="K4437" s="5" t="s">
        <v>344</v>
      </c>
      <c r="L4437" s="5" t="s">
        <v>28044</v>
      </c>
      <c r="M4437" s="27">
        <v>1460637</v>
      </c>
      <c r="N4437" s="5" t="s">
        <v>56228</v>
      </c>
      <c r="O4437" s="5" t="str">
        <v>2459020189</v>
      </c>
      <c r="P4437" s="27">
        <v>1000000</v>
      </c>
      <c r="Q4437" s="5" t="s">
        <v>49009</v>
      </c>
      <c r="R4437" s="5"/>
      <c r="S4437" s="5" t="s">
        <v>49120</v>
      </c>
      <c r="T4437" s="28">
        <v>4153907000</v>
      </c>
      <c r="U4437" s="28">
        <v>534450000</v>
      </c>
      <c r="V4437" s="28">
        <v>793416000</v>
      </c>
      <c r="W4437" s="28"/>
      <c r="X4437" s="28">
        <v>5738000</v>
      </c>
      <c r="Y4437" s="28">
        <v>6617815000</v>
      </c>
      <c r="Z4437" s="28">
        <v>505614000</v>
      </c>
      <c r="AA4437" s="28">
        <v>1313422000</v>
      </c>
      <c r="AB4437" s="28">
        <v>198259000</v>
      </c>
      <c r="AC4437" s="28">
        <v>1143117000</v>
      </c>
      <c r="AD4437" s="28">
        <v>506614000</v>
      </c>
      <c r="AE4437" s="28">
        <v>3756967000</v>
      </c>
      <c r="AF4437" s="28">
        <v>90767000</v>
      </c>
      <c r="AG4437" s="11"/>
    </row>
    <row r="4438">
      <c r="A4438" s="7" t="s">
        <v>6082</v>
      </c>
      <c r="B4438" s="5" t="s">
        <v>14039</v>
      </c>
      <c r="C4438" s="5" t="s">
        <v>21048</v>
      </c>
      <c r="D4438" s="5"/>
      <c r="E4438" s="0" t="e">
        <f>+7 (4862) 255168
+7 (4862) 420060
+7 (4862) 421810
+7 (4862) 421931
+7 (4862) 421932
+7 (4862) 421941
+7 (48643) 25482
+7 (910) 3699630
+7 (919) 1704126</f>
        <v>#NAME?</v>
      </c>
      <c r="F4438" s="5" t="s">
        <v>38576</v>
      </c>
      <c r="G4438" s="5"/>
      <c r="H4438" s="26">
        <v>12</v>
      </c>
      <c r="I4438" s="5" t="s">
        <v>38577</v>
      </c>
      <c r="J4438" s="5" t="s">
        <v>725</v>
      </c>
      <c r="K4438" s="5" t="s">
        <v>344</v>
      </c>
      <c r="L4438" s="5" t="s">
        <v>38578</v>
      </c>
      <c r="M4438" s="27">
        <v>2315505</v>
      </c>
      <c r="N4438" s="5"/>
      <c r="O4438" s="5" t="str">
        <v>5714005846</v>
      </c>
      <c r="P4438" s="27">
        <v>220090200</v>
      </c>
      <c r="Q4438" s="5"/>
      <c r="R4438" s="5"/>
      <c r="S4438" s="5" t="s">
        <v>49425</v>
      </c>
      <c r="T4438" s="28">
        <v>4065758000</v>
      </c>
      <c r="U4438" s="28"/>
      <c r="V4438" s="28">
        <v>3581041000</v>
      </c>
      <c r="W4438" s="28"/>
      <c r="X4438" s="28">
        <v>883000</v>
      </c>
      <c r="Y4438" s="28">
        <v>11696061000</v>
      </c>
      <c r="Z4438" s="28">
        <v>6124203000</v>
      </c>
      <c r="AA4438" s="28">
        <v>1470124000</v>
      </c>
      <c r="AB4438" s="28">
        <v>1758791000</v>
      </c>
      <c r="AC4438" s="28">
        <v>3528410000</v>
      </c>
      <c r="AD4438" s="28">
        <v>6690911000</v>
      </c>
      <c r="AE4438" s="28">
        <v>6817149000</v>
      </c>
      <c r="AF4438" s="28">
        <v>2249837000</v>
      </c>
      <c r="AG4438" s="11"/>
    </row>
    <row r="4439">
      <c r="A4439" s="7" t="s">
        <v>6083</v>
      </c>
      <c r="B4439" s="5" t="s">
        <v>14040</v>
      </c>
      <c r="C4439" s="5" t="s">
        <v>21792</v>
      </c>
      <c r="D4439" s="5" t="str">
        <v>772800533911</v>
      </c>
      <c r="E4439" s="0" t="e">
        <f>+7 (4862) 721868
+7 (4862) 722132
+7 (4862) 724685
+7 (4862) 724700
+7 (4862) 724701
+7 (495) 9952700</f>
        <v>#NAME?</v>
      </c>
      <c r="F4439" s="5" t="s">
        <v>38579</v>
      </c>
      <c r="G4439" s="5" t="s">
        <v>38580</v>
      </c>
      <c r="H4439" s="26">
        <v>30.5</v>
      </c>
      <c r="I4439" s="5" t="s">
        <v>38581</v>
      </c>
      <c r="J4439" s="5" t="s">
        <v>25800</v>
      </c>
      <c r="K4439" s="5" t="s">
        <v>344</v>
      </c>
      <c r="L4439" s="5" t="s">
        <v>38582</v>
      </c>
      <c r="M4439" s="27"/>
      <c r="N4439" s="5" t="s">
        <v>56230</v>
      </c>
      <c r="O4439" s="5" t="str">
        <v>5752002910</v>
      </c>
      <c r="P4439" s="27">
        <v>35988</v>
      </c>
      <c r="Q4439" s="5" t="s">
        <v>49009</v>
      </c>
      <c r="R4439" s="5"/>
      <c r="S4439" s="5" t="s">
        <v>49487</v>
      </c>
      <c r="T4439" s="28">
        <v>2533823000</v>
      </c>
      <c r="U4439" s="28">
        <v>109000</v>
      </c>
      <c r="V4439" s="28">
        <v>3497230000</v>
      </c>
      <c r="W4439" s="28">
        <v>100000</v>
      </c>
      <c r="X4439" s="28">
        <v>17437000</v>
      </c>
      <c r="Y4439" s="28">
        <v>8507444000</v>
      </c>
      <c r="Z4439" s="28">
        <v>2123519000</v>
      </c>
      <c r="AA4439" s="28">
        <v>1341126000</v>
      </c>
      <c r="AB4439" s="28">
        <v>4605810000</v>
      </c>
      <c r="AC4439" s="28">
        <v>4821199000</v>
      </c>
      <c r="AD4439" s="28">
        <v>2252260000</v>
      </c>
      <c r="AE4439" s="28">
        <v>18672357000</v>
      </c>
      <c r="AF4439" s="28">
        <v>1628049000</v>
      </c>
      <c r="AG4439" s="11"/>
    </row>
    <row r="4440">
      <c r="A4440" s="7" t="s">
        <v>6084</v>
      </c>
      <c r="B4440" s="5" t="s">
        <v>14040</v>
      </c>
      <c r="C4440" s="5" t="s">
        <v>21793</v>
      </c>
      <c r="D4440" s="5" t="str">
        <v>772900976307</v>
      </c>
      <c r="E4440" s="0" t="e">
        <f>+7 (84627) 24700</f>
        <v>#NAME?</v>
      </c>
      <c r="F4440" s="5" t="s">
        <v>38583</v>
      </c>
      <c r="G4440" s="5"/>
      <c r="H4440" s="26">
        <v>11</v>
      </c>
      <c r="I4440" s="5" t="s">
        <v>38584</v>
      </c>
      <c r="J4440" s="5" t="s">
        <v>38585</v>
      </c>
      <c r="K4440" s="5" t="s">
        <v>344</v>
      </c>
      <c r="L4440" s="5" t="s">
        <v>38586</v>
      </c>
      <c r="M4440" s="27"/>
      <c r="N4440" s="5"/>
      <c r="O4440" s="5" t="str">
        <v>5752056560</v>
      </c>
      <c r="P4440" s="27">
        <v>10000</v>
      </c>
      <c r="Q4440" s="5" t="s">
        <v>49009</v>
      </c>
      <c r="R4440" s="5"/>
      <c r="S4440" s="5" t="s">
        <v>49010</v>
      </c>
      <c r="T4440" s="28"/>
      <c r="U4440" s="28">
        <v>10000</v>
      </c>
      <c r="V4440" s="28">
        <v>1036291000</v>
      </c>
      <c r="W4440" s="28">
        <v>839966000</v>
      </c>
      <c r="X4440" s="28">
        <v>34531000</v>
      </c>
      <c r="Y4440" s="28">
        <v>2765896000</v>
      </c>
      <c r="Z4440" s="28">
        <v>109875000</v>
      </c>
      <c r="AA4440" s="28"/>
      <c r="AB4440" s="28"/>
      <c r="AC4440" s="28">
        <v>2638300000</v>
      </c>
      <c r="AD4440" s="28">
        <v>109885000</v>
      </c>
      <c r="AE4440" s="28">
        <v>9397419000</v>
      </c>
      <c r="AF4440" s="28">
        <v>4019000</v>
      </c>
      <c r="AG4440" s="11"/>
    </row>
    <row r="4441">
      <c r="A4441" s="7" t="s">
        <v>6085</v>
      </c>
      <c r="B4441" s="5" t="s">
        <v>14041</v>
      </c>
      <c r="C4441" s="5" t="s">
        <v>21794</v>
      </c>
      <c r="D4441" s="5" t="str">
        <v>774333515350</v>
      </c>
      <c r="E4441" s="0" t="e">
        <f>+7 (495) 9377577
+7 (48646) 20741
+7 (48646) 25817
+7 (48646) 25837
+7 (48646) 40747</f>
        <v>#NAME?</v>
      </c>
      <c r="F4441" s="5"/>
      <c r="G4441" s="5"/>
      <c r="H4441" s="26">
        <v>21</v>
      </c>
      <c r="I4441" s="5"/>
      <c r="J4441" s="5" t="s">
        <v>26040</v>
      </c>
      <c r="K4441" s="5" t="s">
        <v>344</v>
      </c>
      <c r="L4441" s="5" t="s">
        <v>38587</v>
      </c>
      <c r="M4441" s="27"/>
      <c r="N4441" s="5"/>
      <c r="O4441" s="5" t="str">
        <v>5717001550</v>
      </c>
      <c r="P4441" s="27">
        <v>52183000</v>
      </c>
      <c r="Q4441" s="5" t="s">
        <v>49009</v>
      </c>
      <c r="R4441" s="5"/>
      <c r="S4441" s="5" t="s">
        <v>49066</v>
      </c>
      <c r="T4441" s="28">
        <v>4073000</v>
      </c>
      <c r="U4441" s="28">
        <v>311000</v>
      </c>
      <c r="V4441" s="28">
        <v>433929000</v>
      </c>
      <c r="W4441" s="28">
        <v>7120000</v>
      </c>
      <c r="X4441" s="28">
        <v>19656000</v>
      </c>
      <c r="Y4441" s="28">
        <v>960817000</v>
      </c>
      <c r="Z4441" s="28">
        <v>239485000</v>
      </c>
      <c r="AA4441" s="28"/>
      <c r="AB4441" s="28"/>
      <c r="AC4441" s="28">
        <v>667098000</v>
      </c>
      <c r="AD4441" s="28">
        <v>291668000</v>
      </c>
      <c r="AE4441" s="28">
        <v>3403724000</v>
      </c>
      <c r="AF4441" s="28">
        <v>239321000</v>
      </c>
      <c r="AG4441" s="11"/>
    </row>
    <row r="4442">
      <c r="A4442" s="7" t="s">
        <v>6086</v>
      </c>
      <c r="B4442" s="5" t="s">
        <v>14042</v>
      </c>
      <c r="C4442" s="5" t="s">
        <v>21795</v>
      </c>
      <c r="D4442" s="5" t="str">
        <v>561017167700</v>
      </c>
      <c r="F4442" s="5"/>
      <c r="G4442" s="5"/>
      <c r="H4442" s="26">
        <v>13</v>
      </c>
      <c r="I4442" s="5" t="s">
        <v>38588</v>
      </c>
      <c r="J4442" s="5" t="s">
        <v>28520</v>
      </c>
      <c r="K4442" s="5" t="s">
        <v>355</v>
      </c>
      <c r="L4442" s="5" t="s">
        <v>38589</v>
      </c>
      <c r="M4442" s="27"/>
      <c r="N4442" s="5" t="s">
        <v>56231</v>
      </c>
      <c r="O4442" s="5" t="str">
        <v>5609075530</v>
      </c>
      <c r="P4442" s="27">
        <v>10000</v>
      </c>
      <c r="Q4442" s="5" t="s">
        <v>56232</v>
      </c>
      <c r="R4442" s="5"/>
      <c r="S4442" s="5" t="s">
        <v>56233</v>
      </c>
      <c r="T4442" s="28">
        <v>1568780000</v>
      </c>
      <c r="U4442" s="28"/>
      <c r="V4442" s="28">
        <v>768187000</v>
      </c>
      <c r="W4442" s="28"/>
      <c r="X4442" s="28">
        <v>12809000</v>
      </c>
      <c r="Y4442" s="28">
        <v>2354885000</v>
      </c>
      <c r="Z4442" s="28">
        <v>585410000</v>
      </c>
      <c r="AA4442" s="28"/>
      <c r="AB4442" s="28">
        <v>10155000</v>
      </c>
      <c r="AC4442" s="28">
        <v>1715141000</v>
      </c>
      <c r="AD4442" s="28">
        <v>585420000</v>
      </c>
      <c r="AE4442" s="28">
        <v>14069468000</v>
      </c>
      <c r="AF4442" s="28">
        <v>1009140000</v>
      </c>
      <c r="AG4442" s="11"/>
    </row>
    <row r="4443">
      <c r="A4443" s="7" t="s">
        <v>6087</v>
      </c>
      <c r="B4443" s="5" t="s">
        <v>14043</v>
      </c>
      <c r="C4443" s="5" t="s">
        <v>21796</v>
      </c>
      <c r="D4443" s="5" t="str">
        <v>564305804510</v>
      </c>
      <c r="E4443" s="0" t="e">
        <f>+7 (35333) 65014
+7 (912) 674587
+7 (987) 7715001
+7 (35326) 84325
+7 (35329) 95392
+7 (35333) 65015
+7 (35333) 65043
+7 (800) 2341056</f>
        <v>#NAME?</v>
      </c>
      <c r="F4443" s="5" t="s">
        <v>38590</v>
      </c>
      <c r="G4443" s="5" t="s">
        <v>38591</v>
      </c>
      <c r="H4443" s="26">
        <v>13</v>
      </c>
      <c r="I4443" s="5" t="s">
        <v>38592</v>
      </c>
      <c r="J4443" s="5" t="s">
        <v>28964</v>
      </c>
      <c r="K4443" s="5" t="s">
        <v>355</v>
      </c>
      <c r="L4443" s="5"/>
      <c r="M4443" s="27">
        <v>3188434</v>
      </c>
      <c r="N4443" s="5"/>
      <c r="O4443" s="5" t="str">
        <v>5643020813</v>
      </c>
      <c r="P4443" s="27">
        <v>942857143</v>
      </c>
      <c r="Q4443" s="5" t="s">
        <v>49009</v>
      </c>
      <c r="R4443" s="5"/>
      <c r="S4443" s="5" t="s">
        <v>49066</v>
      </c>
      <c r="T4443" s="28">
        <v>2681085000</v>
      </c>
      <c r="U4443" s="28">
        <v>319689000</v>
      </c>
      <c r="V4443" s="28">
        <v>1117501000</v>
      </c>
      <c r="W4443" s="28">
        <v>287230000</v>
      </c>
      <c r="X4443" s="28">
        <v>30005000</v>
      </c>
      <c r="Y4443" s="28">
        <v>5088240000</v>
      </c>
      <c r="Z4443" s="28">
        <v>-1188421000</v>
      </c>
      <c r="AA4443" s="28">
        <v>600000000</v>
      </c>
      <c r="AB4443" s="28">
        <v>196978000</v>
      </c>
      <c r="AC4443" s="28">
        <v>705109000</v>
      </c>
      <c r="AD4443" s="28">
        <v>3638519000</v>
      </c>
      <c r="AE4443" s="28">
        <v>4141799000</v>
      </c>
      <c r="AF4443" s="28">
        <v>-158040000</v>
      </c>
      <c r="AG4443" s="11"/>
    </row>
    <row r="4444">
      <c r="A4444" s="7" t="s">
        <v>6088</v>
      </c>
      <c r="B4444" s="5" t="s">
        <v>14044</v>
      </c>
      <c r="C4444" s="5" t="s">
        <v>21797</v>
      </c>
      <c r="D4444" s="5" t="str">
        <v>561009641394</v>
      </c>
      <c r="E4444" s="0" t="e">
        <f>+7 (922) 6256363
+7 (3532) 300028
+7 (35323) 11
+7 (35323) 37
+7 (35323) 46
+7 (35323) 47</f>
        <v>#NAME?</v>
      </c>
      <c r="F4444" s="5" t="s">
        <v>38593</v>
      </c>
      <c r="G4444" s="5"/>
      <c r="H4444" s="26">
        <v>15</v>
      </c>
      <c r="I4444" s="5" t="s">
        <v>38594</v>
      </c>
      <c r="J4444" s="5" t="s">
        <v>27687</v>
      </c>
      <c r="K4444" s="5" t="s">
        <v>344</v>
      </c>
      <c r="L4444" s="5" t="s">
        <v>38595</v>
      </c>
      <c r="M4444" s="27"/>
      <c r="N4444" s="5" t="s">
        <v>56234</v>
      </c>
      <c r="O4444" s="5" t="str">
        <v>5612065701</v>
      </c>
      <c r="P4444" s="27">
        <v>10000</v>
      </c>
      <c r="Q4444" s="5" t="s">
        <v>56236</v>
      </c>
      <c r="R4444" s="5" t="s">
        <v>56237</v>
      </c>
      <c r="S4444" s="5" t="s">
        <v>56238</v>
      </c>
      <c r="T4444" s="28">
        <v>5741809000</v>
      </c>
      <c r="U4444" s="28"/>
      <c r="V4444" s="28">
        <v>1521464000</v>
      </c>
      <c r="W4444" s="28">
        <v>101036000</v>
      </c>
      <c r="X4444" s="28">
        <v>22260000</v>
      </c>
      <c r="Y4444" s="28">
        <v>8149966000</v>
      </c>
      <c r="Z4444" s="28">
        <v>1210769000</v>
      </c>
      <c r="AA4444" s="28">
        <v>685832000</v>
      </c>
      <c r="AB4444" s="28">
        <v>8259000</v>
      </c>
      <c r="AC4444" s="28">
        <v>958179000</v>
      </c>
      <c r="AD4444" s="28">
        <v>1210779000</v>
      </c>
      <c r="AE4444" s="28">
        <v>13065902000</v>
      </c>
      <c r="AF4444" s="28">
        <v>338112000</v>
      </c>
      <c r="AG4444" s="11"/>
    </row>
    <row r="4445">
      <c r="A4445" s="7" t="s">
        <v>6089</v>
      </c>
      <c r="B4445" s="5" t="s">
        <v>14045</v>
      </c>
      <c r="C4445" s="5" t="s">
        <v>21798</v>
      </c>
      <c r="D4445" s="5" t="str">
        <v>561002225780</v>
      </c>
      <c r="E4445" s="0" t="e">
        <f>+7 (35324) 48507
+7 (35327) 79898
+7 (35323) 41926
+7 (35355) 27586
+7 (35372) 20008
+7 (35324) 48544
+7 (35327) 7014
+7 (817) 2728510</f>
        <v>#NAME?</v>
      </c>
      <c r="F4445" s="5" t="s">
        <v>38596</v>
      </c>
      <c r="G4445" s="5"/>
      <c r="H4445" s="26">
        <v>27</v>
      </c>
      <c r="I4445" s="5" t="s">
        <v>38597</v>
      </c>
      <c r="J4445" s="5" t="s">
        <v>27802</v>
      </c>
      <c r="K4445" s="5" t="s">
        <v>344</v>
      </c>
      <c r="L4445" s="5"/>
      <c r="M4445" s="27">
        <v>6058833</v>
      </c>
      <c r="N4445" s="5" t="s">
        <v>56239</v>
      </c>
      <c r="O4445" s="5" t="str">
        <v>5610247047</v>
      </c>
      <c r="P4445" s="27">
        <v>5579421000</v>
      </c>
      <c r="Q4445" s="5" t="s">
        <v>56241</v>
      </c>
      <c r="R4445" s="5" t="s">
        <v>54900</v>
      </c>
      <c r="S4445" s="5" t="s">
        <v>56242</v>
      </c>
      <c r="T4445" s="28">
        <v>6036505000</v>
      </c>
      <c r="U4445" s="28"/>
      <c r="V4445" s="28">
        <v>401580000</v>
      </c>
      <c r="W4445" s="28">
        <v>110000000</v>
      </c>
      <c r="X4445" s="28">
        <v>39114000</v>
      </c>
      <c r="Y4445" s="28">
        <v>7800179000</v>
      </c>
      <c r="Z4445" s="28">
        <v>1264460000</v>
      </c>
      <c r="AA4445" s="28"/>
      <c r="AB4445" s="28"/>
      <c r="AC4445" s="28">
        <v>434851000</v>
      </c>
      <c r="AD4445" s="28">
        <v>6875341000</v>
      </c>
      <c r="AE4445" s="28">
        <v>3916352000</v>
      </c>
      <c r="AF4445" s="28">
        <v>219108000</v>
      </c>
      <c r="AG4445" s="11"/>
    </row>
    <row r="4446">
      <c r="A4446" s="7" t="s">
        <v>6090</v>
      </c>
      <c r="B4446" s="5" t="s">
        <v>14046</v>
      </c>
      <c r="C4446" s="5" t="s">
        <v>21799</v>
      </c>
      <c r="D4446" s="5"/>
      <c r="F4446" s="5"/>
      <c r="G4446" s="5"/>
      <c r="H4446" s="26">
        <v>24</v>
      </c>
      <c r="I4446" s="5"/>
      <c r="J4446" s="5" t="s">
        <v>26607</v>
      </c>
      <c r="K4446" s="5" t="s">
        <v>380</v>
      </c>
      <c r="L4446" s="5" t="s">
        <v>38598</v>
      </c>
      <c r="M4446" s="27">
        <v>7650575</v>
      </c>
      <c r="N4446" s="5"/>
      <c r="O4446" s="5" t="str">
        <v>5645001990</v>
      </c>
      <c r="P4446" s="27">
        <v>13120000</v>
      </c>
      <c r="Q4446" s="5" t="s">
        <v>56243</v>
      </c>
      <c r="R4446" s="5"/>
      <c r="S4446" s="5" t="s">
        <v>50404</v>
      </c>
      <c r="T4446" s="28">
        <v>1123510000</v>
      </c>
      <c r="U4446" s="28"/>
      <c r="V4446" s="28">
        <v>191822000</v>
      </c>
      <c r="W4446" s="28"/>
      <c r="X4446" s="28">
        <v>73000</v>
      </c>
      <c r="Y4446" s="28">
        <v>1523283000</v>
      </c>
      <c r="Z4446" s="28">
        <v>1045710000</v>
      </c>
      <c r="AA4446" s="28"/>
      <c r="AB4446" s="28">
        <v>38072000</v>
      </c>
      <c r="AC4446" s="28">
        <v>255654000</v>
      </c>
      <c r="AD4446" s="28">
        <v>1059486000</v>
      </c>
      <c r="AE4446" s="28">
        <v>3744521000</v>
      </c>
      <c r="AF4446" s="28">
        <v>-150580000</v>
      </c>
      <c r="AG4446" s="11"/>
    </row>
    <row r="4447">
      <c r="A4447" s="7" t="s">
        <v>6091</v>
      </c>
      <c r="B4447" s="5" t="s">
        <v>14047</v>
      </c>
      <c r="C4447" s="5" t="s">
        <v>21800</v>
      </c>
      <c r="D4447" s="5" t="str">
        <v>667209197677</v>
      </c>
      <c r="E4447" s="0" t="e">
        <f>+7 (35327) 4846
+7 (35327) 7133
+7 (35327) 28899
+7 (35327) 2125
+7 (35327) 2846
+7 (35327) 3022
+7 (35327) 4851
+7 (35327) 5608
+7 (35336) 29087
+7 (35339) 27103
+7 (35342) 22851
+7 (35351) 21749
+7 (35358) 21452
+7 (35364) 21003
+7 (35374) 46551</f>
        <v>#NAME?</v>
      </c>
      <c r="F4447" s="5" t="s">
        <v>38599</v>
      </c>
      <c r="G4447" s="5" t="s">
        <v>38600</v>
      </c>
      <c r="H4447" s="26">
        <v>19</v>
      </c>
      <c r="I4447" s="5" t="s">
        <v>38601</v>
      </c>
      <c r="J4447" s="5" t="s">
        <v>25603</v>
      </c>
      <c r="K4447" s="5" t="s">
        <v>344</v>
      </c>
      <c r="L4447" s="5"/>
      <c r="M4447" s="27">
        <v>32787033</v>
      </c>
      <c r="N4447" s="5" t="s">
        <v>56244</v>
      </c>
      <c r="O4447" s="5" t="str">
        <v>5610080648</v>
      </c>
      <c r="P4447" s="27">
        <v>250000000</v>
      </c>
      <c r="Q4447" s="5" t="s">
        <v>56245</v>
      </c>
      <c r="R4447" s="5"/>
      <c r="S4447" s="5" t="s">
        <v>56246</v>
      </c>
      <c r="T4447" s="28">
        <v>2716230000</v>
      </c>
      <c r="U4447" s="28">
        <v>1815000</v>
      </c>
      <c r="V4447" s="28">
        <v>1552363000</v>
      </c>
      <c r="W4447" s="28">
        <v>20066000</v>
      </c>
      <c r="X4447" s="28">
        <v>147939000</v>
      </c>
      <c r="Y4447" s="28">
        <v>4988763000</v>
      </c>
      <c r="Z4447" s="28">
        <v>1457492000</v>
      </c>
      <c r="AA4447" s="28">
        <v>140492000</v>
      </c>
      <c r="AB4447" s="28">
        <v>355171000</v>
      </c>
      <c r="AC4447" s="28">
        <v>2929895000</v>
      </c>
      <c r="AD4447" s="28">
        <v>1720227000</v>
      </c>
      <c r="AE4447" s="28">
        <v>13453016000</v>
      </c>
      <c r="AF4447" s="28">
        <v>54696000</v>
      </c>
      <c r="AG4447" s="11"/>
    </row>
    <row r="4448">
      <c r="A4448" s="7" t="s">
        <v>6092</v>
      </c>
      <c r="B4448" s="5" t="s">
        <v>14048</v>
      </c>
      <c r="C4448" s="5" t="s">
        <v>21801</v>
      </c>
      <c r="D4448" s="5" t="str">
        <v>561803003316</v>
      </c>
      <c r="E4448" s="0" t="e">
        <f>+7 (987) 2964343
+7 (35368) 20160
+7 (35368) 20161
+7 (35368) 20342
+7 (35368) 20344
+7 (35368) 20717
+7 (35368) 20725
+7 (35368) 22450
+7 (35368) 28849
+7 (83536) 20161
+7 (966) 804340</f>
        <v>#NAME?</v>
      </c>
      <c r="F4448" s="5" t="s">
        <v>38602</v>
      </c>
      <c r="G4448" s="5" t="s">
        <v>38603</v>
      </c>
      <c r="H4448" s="26">
        <v>30</v>
      </c>
      <c r="I4448" s="5"/>
      <c r="J4448" s="5" t="s">
        <v>38604</v>
      </c>
      <c r="K4448" s="5" t="s">
        <v>344</v>
      </c>
      <c r="L4448" s="5" t="s">
        <v>38605</v>
      </c>
      <c r="M4448" s="27">
        <v>1292418</v>
      </c>
      <c r="N4448" s="5" t="s">
        <v>56247</v>
      </c>
      <c r="O4448" s="5" t="str">
        <v>5618000027</v>
      </c>
      <c r="P4448" s="27">
        <v>3736488</v>
      </c>
      <c r="Q4448" s="5" t="s">
        <v>56249</v>
      </c>
      <c r="R4448" s="5"/>
      <c r="S4448" s="5" t="s">
        <v>56250</v>
      </c>
      <c r="T4448" s="28">
        <v>2401533000</v>
      </c>
      <c r="U4448" s="28">
        <v>1863400000</v>
      </c>
      <c r="V4448" s="28">
        <v>3202806000</v>
      </c>
      <c r="W4448" s="28">
        <v>318954000</v>
      </c>
      <c r="X4448" s="28">
        <v>2754601000</v>
      </c>
      <c r="Y4448" s="28">
        <v>12458091000</v>
      </c>
      <c r="Z4448" s="28">
        <v>10620168000</v>
      </c>
      <c r="AA4448" s="28">
        <v>611850000</v>
      </c>
      <c r="AB4448" s="28">
        <v>1054000</v>
      </c>
      <c r="AC4448" s="28">
        <v>679043000</v>
      </c>
      <c r="AD4448" s="28">
        <v>10689263000</v>
      </c>
      <c r="AE4448" s="28">
        <v>6752232000</v>
      </c>
      <c r="AF4448" s="28">
        <v>-867147000</v>
      </c>
      <c r="AG4448" s="11"/>
    </row>
    <row r="4449">
      <c r="A4449" s="7" t="s">
        <v>6093</v>
      </c>
      <c r="B4449" s="5" t="s">
        <v>14049</v>
      </c>
      <c r="C4449" s="5" t="s">
        <v>21802</v>
      </c>
      <c r="D4449" s="5" t="str">
        <v>010700379510</v>
      </c>
      <c r="E4449" s="0" t="e">
        <f>+7 (861) 2227242
+7 (861) 2224136
+7 (861) 2224299
+7 (861) 2125460
+7 (861) 2224999
+7 (861) 2225299
+7 (861) 2773179
+7 (861) 2773181
+7 (861) 2773182
+7 (918) 2180003</f>
        <v>#NAME?</v>
      </c>
      <c r="F4449" s="5" t="s">
        <v>38606</v>
      </c>
      <c r="G4449" s="5" t="s">
        <v>38607</v>
      </c>
      <c r="H4449" s="26">
        <v>20.5</v>
      </c>
      <c r="I4449" s="5"/>
      <c r="J4449" s="5" t="s">
        <v>25783</v>
      </c>
      <c r="K4449" s="5" t="s">
        <v>344</v>
      </c>
      <c r="L4449" s="5" t="s">
        <v>38608</v>
      </c>
      <c r="M4449" s="27"/>
      <c r="N4449" s="5"/>
      <c r="O4449" s="5" t="str">
        <v>2308060905</v>
      </c>
      <c r="P4449" s="27">
        <v>20090000</v>
      </c>
      <c r="Q4449" s="5" t="s">
        <v>49009</v>
      </c>
      <c r="R4449" s="5"/>
      <c r="S4449" s="5" t="s">
        <v>56251</v>
      </c>
      <c r="T4449" s="28">
        <v>179283000</v>
      </c>
      <c r="U4449" s="28">
        <v>101647000</v>
      </c>
      <c r="V4449" s="28">
        <v>756056000</v>
      </c>
      <c r="W4449" s="28"/>
      <c r="X4449" s="28">
        <v>39452000</v>
      </c>
      <c r="Y4449" s="28">
        <v>2286502000</v>
      </c>
      <c r="Z4449" s="28">
        <v>350077000</v>
      </c>
      <c r="AA4449" s="28">
        <v>483008000</v>
      </c>
      <c r="AB4449" s="28">
        <v>798962000</v>
      </c>
      <c r="AC4449" s="28">
        <v>1377347000</v>
      </c>
      <c r="AD4449" s="28">
        <v>408270000</v>
      </c>
      <c r="AE4449" s="28">
        <v>4568354000</v>
      </c>
      <c r="AF4449" s="28">
        <v>47208000</v>
      </c>
      <c r="AG4449" s="11"/>
    </row>
    <row r="4450">
      <c r="A4450" s="7" t="s">
        <v>6094</v>
      </c>
      <c r="B4450" s="5" t="s">
        <v>14050</v>
      </c>
      <c r="C4450" s="5" t="s">
        <v>21803</v>
      </c>
      <c r="D4450" s="5" t="str">
        <v>774348906814</v>
      </c>
      <c r="E4450" s="0" t="e">
        <f>+7 (495) 6411164
+7 (495) 6411165</f>
        <v>#NAME?</v>
      </c>
      <c r="F4450" s="5"/>
      <c r="G4450" s="5" t="s">
        <v>38609</v>
      </c>
      <c r="H4450" s="26">
        <v>29.5</v>
      </c>
      <c r="I4450" s="5" t="s">
        <v>38610</v>
      </c>
      <c r="J4450" s="5" t="s">
        <v>32761</v>
      </c>
      <c r="K4450" s="5" t="s">
        <v>344</v>
      </c>
      <c r="L4450" s="5" t="s">
        <v>38611</v>
      </c>
      <c r="M4450" s="27">
        <v>9691477</v>
      </c>
      <c r="N4450" s="5"/>
      <c r="O4450" s="5" t="str">
        <v>7725054253</v>
      </c>
      <c r="P4450" s="27">
        <v>1330025508</v>
      </c>
      <c r="Q4450" s="5" t="s">
        <v>56252</v>
      </c>
      <c r="R4450" s="5"/>
      <c r="S4450" s="5" t="s">
        <v>49884</v>
      </c>
      <c r="T4450" s="28">
        <v>1730274000</v>
      </c>
      <c r="U4450" s="28">
        <v>39972000</v>
      </c>
      <c r="V4450" s="28">
        <v>1569224000</v>
      </c>
      <c r="W4450" s="28">
        <v>120000</v>
      </c>
      <c r="X4450" s="28">
        <v>107776000</v>
      </c>
      <c r="Y4450" s="28">
        <v>5414723000</v>
      </c>
      <c r="Z4450" s="28">
        <v>3137345000</v>
      </c>
      <c r="AA4450" s="28"/>
      <c r="AB4450" s="28"/>
      <c r="AC4450" s="28">
        <v>931985000</v>
      </c>
      <c r="AD4450" s="28">
        <v>4467424000</v>
      </c>
      <c r="AE4450" s="28">
        <v>9071005000</v>
      </c>
      <c r="AF4450" s="28">
        <v>2057576000</v>
      </c>
      <c r="AG4450" s="11"/>
    </row>
    <row r="4451">
      <c r="A4451" s="7" t="s">
        <v>6095</v>
      </c>
      <c r="B4451" s="5" t="s">
        <v>14051</v>
      </c>
      <c r="C4451" s="5" t="s">
        <v>21804</v>
      </c>
      <c r="D4451" s="5"/>
      <c r="E4451" s="0" t="e">
        <f>+7 (812) 7486121</f>
        <v>#NAME?</v>
      </c>
      <c r="F4451" s="5" t="s">
        <v>38612</v>
      </c>
      <c r="G4451" s="5" t="s">
        <v>38613</v>
      </c>
      <c r="H4451" s="26">
        <v>3</v>
      </c>
      <c r="I4451" s="5" t="s">
        <v>38614</v>
      </c>
      <c r="J4451" s="5" t="s">
        <v>32531</v>
      </c>
      <c r="K4451" s="5" t="s">
        <v>344</v>
      </c>
      <c r="L4451" s="5" t="s">
        <v>38615</v>
      </c>
      <c r="M4451" s="27"/>
      <c r="N4451" s="5"/>
      <c r="O4451" s="5" t="str">
        <v>4703174640</v>
      </c>
      <c r="P4451" s="27">
        <v>1000000000</v>
      </c>
      <c r="Q4451" s="5"/>
      <c r="R4451" s="5"/>
      <c r="S4451" s="5" t="s">
        <v>50509</v>
      </c>
      <c r="T4451" s="28">
        <v>5526571000</v>
      </c>
      <c r="U4451" s="28"/>
      <c r="V4451" s="28">
        <v>3379759000</v>
      </c>
      <c r="W4451" s="28"/>
      <c r="X4451" s="28">
        <v>1451038000</v>
      </c>
      <c r="Y4451" s="28">
        <v>14054762000</v>
      </c>
      <c r="Z4451" s="28">
        <v>4330765000</v>
      </c>
      <c r="AA4451" s="28"/>
      <c r="AB4451" s="28"/>
      <c r="AC4451" s="28">
        <v>1697616000</v>
      </c>
      <c r="AD4451" s="28">
        <v>12330765000</v>
      </c>
      <c r="AE4451" s="28">
        <v>10214115000</v>
      </c>
      <c r="AF4451" s="28">
        <v>2174618000</v>
      </c>
      <c r="AG4451" s="11"/>
    </row>
    <row r="4452">
      <c r="A4452" s="7" t="s">
        <v>6096</v>
      </c>
      <c r="B4452" s="5" t="s">
        <v>14052</v>
      </c>
      <c r="C4452" s="5" t="s">
        <v>21805</v>
      </c>
      <c r="D4452" s="5" t="str">
        <v>780201333049</v>
      </c>
      <c r="E4452" s="0" t="e">
        <f>+7 (812) 3366523
+7 (812) 3468240
+7 (812) 5421501
+7 (812) 5426463
+7 (812) 6050267
+7 (812) 6342351</f>
        <v>#NAME?</v>
      </c>
      <c r="F4452" s="5" t="s">
        <v>38616</v>
      </c>
      <c r="G4452" s="5" t="s">
        <v>38617</v>
      </c>
      <c r="H4452" s="26">
        <v>25.5</v>
      </c>
      <c r="I4452" s="5" t="s">
        <v>38618</v>
      </c>
      <c r="J4452" s="5" t="s">
        <v>25419</v>
      </c>
      <c r="K4452" s="5" t="s">
        <v>344</v>
      </c>
      <c r="L4452" s="5" t="s">
        <v>38619</v>
      </c>
      <c r="M4452" s="27"/>
      <c r="N4452" s="5" t="s">
        <v>56253</v>
      </c>
      <c r="O4452" s="5" t="str">
        <v>7804069580</v>
      </c>
      <c r="P4452" s="27">
        <v>100000</v>
      </c>
      <c r="Q4452" s="5" t="s">
        <v>56254</v>
      </c>
      <c r="R4452" s="5"/>
      <c r="S4452" s="5" t="s">
        <v>50538</v>
      </c>
      <c r="T4452" s="28">
        <v>137363000</v>
      </c>
      <c r="U4452" s="28">
        <v>16905789000</v>
      </c>
      <c r="V4452" s="28">
        <v>5892990000</v>
      </c>
      <c r="W4452" s="28"/>
      <c r="X4452" s="28">
        <v>832763000</v>
      </c>
      <c r="Y4452" s="28">
        <v>24112644000</v>
      </c>
      <c r="Z4452" s="28">
        <v>6461981000</v>
      </c>
      <c r="AA4452" s="28">
        <v>10360088000</v>
      </c>
      <c r="AB4452" s="28"/>
      <c r="AC4452" s="28">
        <v>7266373000</v>
      </c>
      <c r="AD4452" s="28">
        <v>6462081000</v>
      </c>
      <c r="AE4452" s="28">
        <v>45724965000</v>
      </c>
      <c r="AF4452" s="28">
        <v>10076615000</v>
      </c>
      <c r="AG4452" s="11"/>
    </row>
    <row r="4453">
      <c r="A4453" s="7" t="s">
        <v>6097</v>
      </c>
      <c r="B4453" s="5" t="s">
        <v>14053</v>
      </c>
      <c r="C4453" s="5" t="s">
        <v>21806</v>
      </c>
      <c r="D4453" s="5" t="str">
        <v>780210330774</v>
      </c>
      <c r="E4453" s="0" t="e">
        <f>+7 (812) 6050267</f>
        <v>#NAME?</v>
      </c>
      <c r="F4453" s="5" t="s">
        <v>38620</v>
      </c>
      <c r="G4453" s="5" t="s">
        <v>38613</v>
      </c>
      <c r="H4453" s="26">
        <v>12.5</v>
      </c>
      <c r="I4453" s="5" t="s">
        <v>38621</v>
      </c>
      <c r="J4453" s="5" t="s">
        <v>25419</v>
      </c>
      <c r="K4453" s="5" t="s">
        <v>344</v>
      </c>
      <c r="L4453" s="5"/>
      <c r="M4453" s="27"/>
      <c r="N4453" s="5" t="s">
        <v>56255</v>
      </c>
      <c r="O4453" s="5" t="str">
        <v>7804445411</v>
      </c>
      <c r="P4453" s="27">
        <v>1000000</v>
      </c>
      <c r="Q4453" s="5" t="s">
        <v>49009</v>
      </c>
      <c r="R4453" s="5"/>
      <c r="S4453" s="5" t="s">
        <v>49045</v>
      </c>
      <c r="T4453" s="28">
        <v>690174000</v>
      </c>
      <c r="U4453" s="28"/>
      <c r="V4453" s="28">
        <v>489342000</v>
      </c>
      <c r="W4453" s="28"/>
      <c r="X4453" s="28">
        <v>22352000</v>
      </c>
      <c r="Y4453" s="28">
        <v>1274520000</v>
      </c>
      <c r="Z4453" s="28">
        <v>743270000</v>
      </c>
      <c r="AA4453" s="28"/>
      <c r="AB4453" s="28"/>
      <c r="AC4453" s="28">
        <v>430540000</v>
      </c>
      <c r="AD4453" s="28">
        <v>744270000</v>
      </c>
      <c r="AE4453" s="28">
        <v>6143981000</v>
      </c>
      <c r="AF4453" s="28">
        <v>495682000</v>
      </c>
      <c r="AG4453" s="11"/>
    </row>
    <row r="4454">
      <c r="A4454" s="7" t="s">
        <v>6098</v>
      </c>
      <c r="B4454" s="5" t="s">
        <v>14054</v>
      </c>
      <c r="C4454" s="5" t="s">
        <v>21807</v>
      </c>
      <c r="D4454" s="5" t="str">
        <v>782509540877</v>
      </c>
      <c r="E4454" s="0" t="e">
        <f>+7 (812) 5427023
+7 (812) 6050267</f>
        <v>#NAME?</v>
      </c>
      <c r="F4454" s="5"/>
      <c r="G4454" s="5" t="s">
        <v>38613</v>
      </c>
      <c r="H4454" s="26">
        <v>24.5</v>
      </c>
      <c r="I4454" s="5" t="s">
        <v>38622</v>
      </c>
      <c r="J4454" s="5" t="s">
        <v>25419</v>
      </c>
      <c r="K4454" s="5" t="s">
        <v>344</v>
      </c>
      <c r="L4454" s="5" t="s">
        <v>38623</v>
      </c>
      <c r="M4454" s="27"/>
      <c r="N4454" s="5"/>
      <c r="O4454" s="5" t="str">
        <v>7804078345</v>
      </c>
      <c r="P4454" s="27">
        <v>10000</v>
      </c>
      <c r="Q4454" s="5" t="s">
        <v>49009</v>
      </c>
      <c r="R4454" s="5"/>
      <c r="S4454" s="5" t="s">
        <v>49010</v>
      </c>
      <c r="T4454" s="28">
        <v>5645000</v>
      </c>
      <c r="U4454" s="28"/>
      <c r="V4454" s="28">
        <v>573074000</v>
      </c>
      <c r="W4454" s="28"/>
      <c r="X4454" s="28">
        <v>90043000</v>
      </c>
      <c r="Y4454" s="28">
        <v>882405000</v>
      </c>
      <c r="Z4454" s="28">
        <v>682147000</v>
      </c>
      <c r="AA4454" s="28"/>
      <c r="AB4454" s="28"/>
      <c r="AC4454" s="28">
        <v>193076000</v>
      </c>
      <c r="AD4454" s="28">
        <v>682157000</v>
      </c>
      <c r="AE4454" s="28">
        <v>7096761000</v>
      </c>
      <c r="AF4454" s="28">
        <v>625372000</v>
      </c>
      <c r="AG4454" s="11"/>
    </row>
    <row r="4455">
      <c r="A4455" s="7" t="s">
        <v>6099</v>
      </c>
      <c r="B4455" s="5" t="s">
        <v>14052</v>
      </c>
      <c r="C4455" s="5" t="s">
        <v>21808</v>
      </c>
      <c r="D4455" s="5" t="str">
        <v>780414646286</v>
      </c>
      <c r="E4455" s="0" t="e">
        <f>+7 (81370) 77812
+7 (800) 3335400
+7 (812) 3271093
+7 (812) 3366523
+7 (812) 3468240
+7 (812) 6050267
+7 (812) 6557590
+7 (812) 9601330
+7 (81370) 73301
+7 (81370) 73302
+7 (81370) 73333
+7 (81370) 73375
+7 (81370) 77055
+7 (81370) 77866</f>
        <v>#NAME?</v>
      </c>
      <c r="F4455" s="5" t="s">
        <v>38612</v>
      </c>
      <c r="G4455" s="5" t="s">
        <v>38613</v>
      </c>
      <c r="H4455" s="26">
        <v>23.5</v>
      </c>
      <c r="I4455" s="5" t="s">
        <v>38624</v>
      </c>
      <c r="J4455" s="5" t="s">
        <v>32531</v>
      </c>
      <c r="K4455" s="5" t="s">
        <v>344</v>
      </c>
      <c r="L4455" s="5" t="s">
        <v>38625</v>
      </c>
      <c r="M4455" s="27"/>
      <c r="N4455" s="5"/>
      <c r="O4455" s="5" t="str">
        <v>4703044256</v>
      </c>
      <c r="P4455" s="27">
        <v>2672900000</v>
      </c>
      <c r="Q4455" s="5" t="s">
        <v>49009</v>
      </c>
      <c r="R4455" s="5"/>
      <c r="S4455" s="5" t="s">
        <v>49066</v>
      </c>
      <c r="T4455" s="28">
        <v>6771155000</v>
      </c>
      <c r="U4455" s="28"/>
      <c r="V4455" s="28">
        <v>5304340000</v>
      </c>
      <c r="W4455" s="28"/>
      <c r="X4455" s="28">
        <v>2866606000</v>
      </c>
      <c r="Y4455" s="28">
        <v>22992933000</v>
      </c>
      <c r="Z4455" s="28">
        <v>13230021000</v>
      </c>
      <c r="AA4455" s="28"/>
      <c r="AB4455" s="28"/>
      <c r="AC4455" s="28">
        <v>1381505000</v>
      </c>
      <c r="AD4455" s="28">
        <v>20853511000</v>
      </c>
      <c r="AE4455" s="28">
        <v>33349923000</v>
      </c>
      <c r="AF4455" s="28">
        <v>4116642000</v>
      </c>
      <c r="AG4455" s="11"/>
    </row>
    <row r="4456">
      <c r="A4456" s="7" t="s">
        <v>6100</v>
      </c>
      <c r="B4456" s="5" t="s">
        <v>14055</v>
      </c>
      <c r="C4456" s="5" t="s">
        <v>21809</v>
      </c>
      <c r="D4456" s="5" t="str">
        <v>772836725448</v>
      </c>
      <c r="E4456" s="0" t="e">
        <f>+7 (495) 7810603
+7 (495) 7810609
+7 (495) 7810610
+7 (495) 7811774
+7 (495) 7879909
+7 (495) 9871285
+7 (495) 9871480
+7 (495) 9871485</f>
        <v>#NAME?</v>
      </c>
      <c r="F4456" s="5" t="s">
        <v>38626</v>
      </c>
      <c r="G4456" s="5" t="s">
        <v>38627</v>
      </c>
      <c r="H4456" s="26">
        <v>16</v>
      </c>
      <c r="I4456" s="5" t="s">
        <v>38628</v>
      </c>
      <c r="J4456" s="5" t="s">
        <v>26410</v>
      </c>
      <c r="K4456" s="5" t="s">
        <v>344</v>
      </c>
      <c r="L4456" s="5" t="s">
        <v>38629</v>
      </c>
      <c r="M4456" s="27"/>
      <c r="N4456" s="5"/>
      <c r="O4456" s="5" t="str">
        <v>7728607080</v>
      </c>
      <c r="P4456" s="27">
        <v>4421437066</v>
      </c>
      <c r="Q4456" s="5" t="s">
        <v>49009</v>
      </c>
      <c r="R4456" s="5"/>
      <c r="S4456" s="5" t="s">
        <v>49066</v>
      </c>
      <c r="T4456" s="28">
        <v>7405961000</v>
      </c>
      <c r="U4456" s="28"/>
      <c r="V4456" s="28">
        <v>1170993000</v>
      </c>
      <c r="W4456" s="28"/>
      <c r="X4456" s="28">
        <v>821439000</v>
      </c>
      <c r="Y4456" s="28">
        <v>11075430000</v>
      </c>
      <c r="Z4456" s="28">
        <v>3867442000</v>
      </c>
      <c r="AA4456" s="28"/>
      <c r="AB4456" s="28">
        <v>759555000</v>
      </c>
      <c r="AC4456" s="28">
        <v>1988626000</v>
      </c>
      <c r="AD4456" s="28">
        <v>8941091000</v>
      </c>
      <c r="AE4456" s="28">
        <v>10876438000</v>
      </c>
      <c r="AF4456" s="28">
        <v>1497701000</v>
      </c>
      <c r="AG4456" s="11"/>
    </row>
    <row r="4457">
      <c r="A4457" s="7" t="s">
        <v>6101</v>
      </c>
      <c r="B4457" s="5" t="s">
        <v>14056</v>
      </c>
      <c r="C4457" s="5" t="s">
        <v>21810</v>
      </c>
      <c r="D4457" s="5" t="str">
        <v>773313165955</v>
      </c>
      <c r="E4457" s="0" t="e">
        <f>+7 (495) 3635071
+7 (916) 3650623
+7 (495) 3635072
+7 (495) 3635073
+7 (495) 3635076</f>
        <v>#NAME?</v>
      </c>
      <c r="F4457" s="5"/>
      <c r="G4457" s="5"/>
      <c r="H4457" s="26">
        <v>16</v>
      </c>
      <c r="I4457" s="5" t="s">
        <v>38630</v>
      </c>
      <c r="J4457" s="5" t="s">
        <v>25429</v>
      </c>
      <c r="K4457" s="5" t="s">
        <v>344</v>
      </c>
      <c r="L4457" s="5" t="s">
        <v>38631</v>
      </c>
      <c r="M4457" s="27"/>
      <c r="N4457" s="5"/>
      <c r="O4457" s="5" t="str">
        <v>7704642198</v>
      </c>
      <c r="P4457" s="27">
        <v>100000</v>
      </c>
      <c r="Q4457" s="5" t="s">
        <v>49009</v>
      </c>
      <c r="R4457" s="5"/>
      <c r="S4457" s="5" t="s">
        <v>49010</v>
      </c>
      <c r="T4457" s="28">
        <v>37595000</v>
      </c>
      <c r="U4457" s="28"/>
      <c r="V4457" s="28">
        <v>262283000</v>
      </c>
      <c r="W4457" s="28"/>
      <c r="X4457" s="28">
        <v>416159000</v>
      </c>
      <c r="Y4457" s="28">
        <v>1627730000</v>
      </c>
      <c r="Z4457" s="28">
        <v>749263000</v>
      </c>
      <c r="AA4457" s="28"/>
      <c r="AB4457" s="28"/>
      <c r="AC4457" s="28">
        <v>863031000</v>
      </c>
      <c r="AD4457" s="28">
        <v>749364000</v>
      </c>
      <c r="AE4457" s="28">
        <v>3342426000</v>
      </c>
      <c r="AF4457" s="28">
        <v>7264000</v>
      </c>
      <c r="AG4457" s="11"/>
    </row>
    <row r="4458">
      <c r="A4458" s="7" t="s">
        <v>6102</v>
      </c>
      <c r="B4458" s="5" t="s">
        <v>13244</v>
      </c>
      <c r="C4458" s="5" t="s">
        <v>21811</v>
      </c>
      <c r="D4458" s="5" t="str">
        <v>470307893800</v>
      </c>
      <c r="E4458" s="0" t="e">
        <f>+7 (812) 3212971
+7 (812) 3212973
+7 (812) 3330066
+7 (812) 3330067
+7 (812) 7770066</f>
        <v>#NAME?</v>
      </c>
      <c r="F4458" s="5" t="s">
        <v>38632</v>
      </c>
      <c r="G4458" s="5" t="s">
        <v>36214</v>
      </c>
      <c r="H4458" s="26">
        <v>20.5</v>
      </c>
      <c r="I4458" s="5" t="s">
        <v>38633</v>
      </c>
      <c r="J4458" s="5" t="s">
        <v>26251</v>
      </c>
      <c r="K4458" s="5" t="s">
        <v>344</v>
      </c>
      <c r="L4458" s="5" t="s">
        <v>38634</v>
      </c>
      <c r="M4458" s="27"/>
      <c r="N4458" s="5"/>
      <c r="O4458" s="5" t="str">
        <v>4703050281</v>
      </c>
      <c r="P4458" s="27">
        <v>269211431</v>
      </c>
      <c r="Q4458" s="5"/>
      <c r="R4458" s="5"/>
      <c r="S4458" s="5" t="s">
        <v>49425</v>
      </c>
      <c r="T4458" s="28">
        <v>1640765000</v>
      </c>
      <c r="U4458" s="28"/>
      <c r="V4458" s="28">
        <v>864333000</v>
      </c>
      <c r="W4458" s="28"/>
      <c r="X4458" s="28">
        <v>1659000</v>
      </c>
      <c r="Y4458" s="28">
        <v>3510752000</v>
      </c>
      <c r="Z4458" s="28">
        <v>1030958000</v>
      </c>
      <c r="AA4458" s="28"/>
      <c r="AB4458" s="28"/>
      <c r="AC4458" s="28">
        <v>1494747000</v>
      </c>
      <c r="AD4458" s="28">
        <v>1300169000</v>
      </c>
      <c r="AE4458" s="28">
        <v>3905454000</v>
      </c>
      <c r="AF4458" s="28">
        <v>234648000</v>
      </c>
      <c r="AG4458" s="11"/>
    </row>
    <row r="4459">
      <c r="A4459" s="7" t="s">
        <v>6102</v>
      </c>
      <c r="B4459" s="5" t="s">
        <v>14057</v>
      </c>
      <c r="C4459" s="5" t="s">
        <v>21812</v>
      </c>
      <c r="D4459" s="5" t="str">
        <v>773708154600</v>
      </c>
      <c r="E4459" s="0" t="e">
        <f>+7 (495) 7392565
+7 (495) 7393565</f>
        <v>#NAME?</v>
      </c>
      <c r="F4459" s="5" t="s">
        <v>38635</v>
      </c>
      <c r="G4459" s="5"/>
      <c r="H4459" s="26">
        <v>16</v>
      </c>
      <c r="I4459" s="5" t="s">
        <v>38636</v>
      </c>
      <c r="J4459" s="5" t="s">
        <v>678</v>
      </c>
      <c r="K4459" s="5" t="s">
        <v>344</v>
      </c>
      <c r="L4459" s="5" t="s">
        <v>38637</v>
      </c>
      <c r="M4459" s="27"/>
      <c r="N4459" s="5"/>
      <c r="O4459" s="5" t="str">
        <v>5032161850</v>
      </c>
      <c r="P4459" s="27">
        <v>1098901</v>
      </c>
      <c r="Q4459" s="5" t="s">
        <v>49021</v>
      </c>
      <c r="R4459" s="5" t="s">
        <v>56256</v>
      </c>
      <c r="S4459" s="5" t="s">
        <v>56257</v>
      </c>
      <c r="T4459" s="28">
        <v>3391000</v>
      </c>
      <c r="U4459" s="28">
        <v>418134000</v>
      </c>
      <c r="V4459" s="28">
        <v>1655002000</v>
      </c>
      <c r="W4459" s="28">
        <v>87720000</v>
      </c>
      <c r="X4459" s="28">
        <v>83318000</v>
      </c>
      <c r="Y4459" s="28">
        <v>8156414000</v>
      </c>
      <c r="Z4459" s="28">
        <v>1243479000</v>
      </c>
      <c r="AA4459" s="28"/>
      <c r="AB4459" s="28"/>
      <c r="AC4459" s="28">
        <v>6032161000</v>
      </c>
      <c r="AD4459" s="28">
        <v>2123086000</v>
      </c>
      <c r="AE4459" s="28">
        <v>12237398000</v>
      </c>
      <c r="AF4459" s="28">
        <v>549029000</v>
      </c>
      <c r="AG4459" s="11"/>
    </row>
    <row r="4460">
      <c r="A4460" s="7" t="s">
        <v>6103</v>
      </c>
      <c r="B4460" s="5" t="s">
        <v>14058</v>
      </c>
      <c r="C4460" s="5" t="s">
        <v>21813</v>
      </c>
      <c r="D4460" s="5" t="str">
        <v>201579706985</v>
      </c>
      <c r="E4460" s="0" t="e">
        <f>+7 (812) 9282431
+7 (905) 2230203
+7 (921) 9282431</f>
        <v>#NAME?</v>
      </c>
      <c r="F4460" s="5" t="s">
        <v>38638</v>
      </c>
      <c r="G4460" s="5" t="s">
        <v>38639</v>
      </c>
      <c r="H4460" s="26">
        <v>8</v>
      </c>
      <c r="I4460" s="5" t="s">
        <v>38640</v>
      </c>
      <c r="J4460" s="5" t="s">
        <v>623</v>
      </c>
      <c r="K4460" s="5" t="s">
        <v>380</v>
      </c>
      <c r="L4460" s="5"/>
      <c r="M4460" s="27">
        <v>80000</v>
      </c>
      <c r="N4460" s="5" t="s">
        <v>56258</v>
      </c>
      <c r="O4460" s="5" t="str">
        <v>7810347170</v>
      </c>
      <c r="P4460" s="27">
        <v>10000</v>
      </c>
      <c r="Q4460" s="5"/>
      <c r="R4460" s="5"/>
      <c r="S4460" s="5" t="s">
        <v>49991</v>
      </c>
      <c r="T4460" s="28">
        <v>14573000</v>
      </c>
      <c r="U4460" s="28"/>
      <c r="V4460" s="28"/>
      <c r="W4460" s="28"/>
      <c r="X4460" s="28">
        <v>14010000</v>
      </c>
      <c r="Y4460" s="28">
        <v>14310514000</v>
      </c>
      <c r="Z4460" s="28">
        <v>6183532000</v>
      </c>
      <c r="AA4460" s="28"/>
      <c r="AB4460" s="28">
        <v>480068000</v>
      </c>
      <c r="AC4460" s="28">
        <v>5442057000</v>
      </c>
      <c r="AD4460" s="28">
        <v>6183532000</v>
      </c>
      <c r="AE4460" s="28">
        <v>17578182000</v>
      </c>
      <c r="AF4460" s="28">
        <v>6183532000</v>
      </c>
      <c r="AG4460" s="11"/>
    </row>
    <row r="4461">
      <c r="A4461" s="7" t="s">
        <v>6104</v>
      </c>
      <c r="B4461" s="5" t="s">
        <v>14059</v>
      </c>
      <c r="C4461" s="5" t="s">
        <v>21814</v>
      </c>
      <c r="D4461" s="5" t="str">
        <v>246405241158</v>
      </c>
      <c r="E4461" s="0" t="e">
        <f>+7 (391) 2555267
+7 (39145) 22012
+7 (967) 6125555</f>
        <v>#NAME?</v>
      </c>
      <c r="F4461" s="5" t="s">
        <v>38641</v>
      </c>
      <c r="G4461" s="5" t="s">
        <v>38642</v>
      </c>
      <c r="H4461" s="26">
        <v>25</v>
      </c>
      <c r="I4461" s="5" t="s">
        <v>38643</v>
      </c>
      <c r="J4461" s="5" t="s">
        <v>25641</v>
      </c>
      <c r="K4461" s="5" t="s">
        <v>344</v>
      </c>
      <c r="L4461" s="5"/>
      <c r="M4461" s="27">
        <v>4170000</v>
      </c>
      <c r="N4461" s="5" t="s">
        <v>56259</v>
      </c>
      <c r="O4461" s="5" t="str">
        <v>2465047767</v>
      </c>
      <c r="P4461" s="27">
        <v>30000</v>
      </c>
      <c r="Q4461" s="5" t="s">
        <v>56260</v>
      </c>
      <c r="R4461" s="5"/>
      <c r="S4461" s="5" t="s">
        <v>56261</v>
      </c>
      <c r="T4461" s="28">
        <v>108637000</v>
      </c>
      <c r="U4461" s="28"/>
      <c r="V4461" s="28">
        <v>244192000</v>
      </c>
      <c r="W4461" s="28">
        <v>666513000</v>
      </c>
      <c r="X4461" s="28">
        <v>14766000</v>
      </c>
      <c r="Y4461" s="28">
        <v>1434618000</v>
      </c>
      <c r="Z4461" s="28">
        <v>916981000</v>
      </c>
      <c r="AA4461" s="28"/>
      <c r="AB4461" s="28">
        <v>134380000</v>
      </c>
      <c r="AC4461" s="28">
        <v>515894000</v>
      </c>
      <c r="AD4461" s="28">
        <v>917011000</v>
      </c>
      <c r="AE4461" s="28">
        <v>4595385000</v>
      </c>
      <c r="AF4461" s="28">
        <v>230181000</v>
      </c>
      <c r="AG4461" s="11"/>
    </row>
    <row r="4462">
      <c r="A4462" s="7" t="s">
        <v>6105</v>
      </c>
      <c r="B4462" s="5" t="s">
        <v>14060</v>
      </c>
      <c r="C4462" s="5" t="s">
        <v>21815</v>
      </c>
      <c r="D4462" s="5" t="str">
        <v>771200690195</v>
      </c>
      <c r="E4462" s="0" t="e">
        <f>+7 (800) 5551415
+7 (985) 7730940
+7 (901) 3854425
+7 (495) 5500578
+7 (495) 5500580
+7 (495) 7839754
+7 (495) 9942450</f>
        <v>#NAME?</v>
      </c>
      <c r="F4462" s="5" t="s">
        <v>38644</v>
      </c>
      <c r="G4462" s="5" t="s">
        <v>38645</v>
      </c>
      <c r="H4462" s="26">
        <v>22</v>
      </c>
      <c r="I4462" s="5" t="s">
        <v>38646</v>
      </c>
      <c r="J4462" s="5" t="s">
        <v>38647</v>
      </c>
      <c r="K4462" s="5" t="s">
        <v>344</v>
      </c>
      <c r="L4462" s="5" t="s">
        <v>38648</v>
      </c>
      <c r="M4462" s="27"/>
      <c r="N4462" s="5" t="s">
        <v>56262</v>
      </c>
      <c r="O4462" s="5" t="str">
        <v>7725146955</v>
      </c>
      <c r="P4462" s="27">
        <v>10000</v>
      </c>
      <c r="Q4462" s="5" t="s">
        <v>56263</v>
      </c>
      <c r="R4462" s="5"/>
      <c r="S4462" s="5" t="s">
        <v>55205</v>
      </c>
      <c r="T4462" s="28">
        <v>644911000</v>
      </c>
      <c r="U4462" s="28"/>
      <c r="V4462" s="28">
        <v>895360000</v>
      </c>
      <c r="W4462" s="28"/>
      <c r="X4462" s="28">
        <v>38796000</v>
      </c>
      <c r="Y4462" s="28">
        <v>2135181000</v>
      </c>
      <c r="Z4462" s="28">
        <v>1382289000</v>
      </c>
      <c r="AA4462" s="28">
        <v>179101000</v>
      </c>
      <c r="AB4462" s="28">
        <v>125000000</v>
      </c>
      <c r="AC4462" s="28">
        <v>320994000</v>
      </c>
      <c r="AD4462" s="28">
        <v>1382299000</v>
      </c>
      <c r="AE4462" s="28">
        <v>8331296000</v>
      </c>
      <c r="AF4462" s="28">
        <v>258564000</v>
      </c>
      <c r="AG4462" s="11"/>
    </row>
    <row r="4463">
      <c r="A4463" s="7" t="s">
        <v>6106</v>
      </c>
      <c r="B4463" s="5" t="s">
        <v>14061</v>
      </c>
      <c r="C4463" s="5" t="s">
        <v>21816</v>
      </c>
      <c r="D4463" s="5" t="str">
        <v>770482451264</v>
      </c>
      <c r="E4463" s="0" t="e">
        <f>+7 (800) 7754444
+7 (846) 3736052
+7 (846) 3736054
+7 (861) 2100137
+7 (861) 2100138
+7 (861) 2100164
+7 (861) 2100165
+7 (495) 2465143
+7 (495) 6265353
+7 (495) 6565353
+7 (495) 9265353
+7 (495) 9265363
+7 (499) 2465143
+7 (499) 2645143</f>
        <v>#NAME?</v>
      </c>
      <c r="F4463" s="5" t="s">
        <v>38649</v>
      </c>
      <c r="G4463" s="5" t="s">
        <v>38650</v>
      </c>
      <c r="H4463" s="26">
        <v>19</v>
      </c>
      <c r="I4463" s="5" t="s">
        <v>38651</v>
      </c>
      <c r="J4463" s="5" t="s">
        <v>26660</v>
      </c>
      <c r="K4463" s="5" t="s">
        <v>344</v>
      </c>
      <c r="L4463" s="5"/>
      <c r="M4463" s="27"/>
      <c r="N4463" s="5"/>
      <c r="O4463" s="5" t="str">
        <v>7704270172</v>
      </c>
      <c r="P4463" s="27">
        <v>201108000</v>
      </c>
      <c r="Q4463" s="5" t="s">
        <v>49009</v>
      </c>
      <c r="R4463" s="5"/>
      <c r="S4463" s="5" t="s">
        <v>49010</v>
      </c>
      <c r="T4463" s="28">
        <v>703615000</v>
      </c>
      <c r="U4463" s="28"/>
      <c r="V4463" s="28">
        <v>357049000</v>
      </c>
      <c r="W4463" s="28"/>
      <c r="X4463" s="28">
        <v>525860000</v>
      </c>
      <c r="Y4463" s="28">
        <v>2959120000</v>
      </c>
      <c r="Z4463" s="28">
        <v>849885000</v>
      </c>
      <c r="AA4463" s="28"/>
      <c r="AB4463" s="28"/>
      <c r="AC4463" s="28">
        <v>1908127000</v>
      </c>
      <c r="AD4463" s="28">
        <v>1050993000</v>
      </c>
      <c r="AE4463" s="28">
        <v>12638726000</v>
      </c>
      <c r="AF4463" s="28">
        <v>981407000</v>
      </c>
      <c r="AG4463" s="11"/>
    </row>
    <row r="4464">
      <c r="A4464" s="7" t="s">
        <v>6107</v>
      </c>
      <c r="B4464" s="5" t="s">
        <v>14062</v>
      </c>
      <c r="C4464" s="5" t="s">
        <v>21817</v>
      </c>
      <c r="D4464" s="5" t="str">
        <v>575301185176</v>
      </c>
      <c r="E4464" s="0" t="e">
        <f>+7 (426) 2255599
+7 (484) 2735151
+7 (4862) 221376
+7 (4862) 255559
+7 (4862) 255999
+7 (4862) 401191
+7 (4862) 425129
+7 (4862) 425729
+7 (4862) 434363
+7 (4862) 470676
+7 (4862) 540612
+7 (486) 8735151
+7 (4862) 255577
+7 (4862) 255599
+7 (4862) 540761</f>
        <v>#NAME?</v>
      </c>
      <c r="F4464" s="5" t="s">
        <v>38652</v>
      </c>
      <c r="G4464" s="5"/>
      <c r="H4464" s="26">
        <v>11.5</v>
      </c>
      <c r="I4464" s="5" t="s">
        <v>38653</v>
      </c>
      <c r="J4464" s="5" t="s">
        <v>26623</v>
      </c>
      <c r="K4464" s="5" t="s">
        <v>344</v>
      </c>
      <c r="L4464" s="5" t="s">
        <v>38654</v>
      </c>
      <c r="M4464" s="27">
        <v>14663275</v>
      </c>
      <c r="N4464" s="5" t="s">
        <v>56264</v>
      </c>
      <c r="O4464" s="5" t="str">
        <v>5754020600</v>
      </c>
      <c r="P4464" s="27">
        <v>60000000</v>
      </c>
      <c r="Q4464" s="5" t="s">
        <v>56265</v>
      </c>
      <c r="R4464" s="5"/>
      <c r="S4464" s="5" t="s">
        <v>56266</v>
      </c>
      <c r="T4464" s="28">
        <v>278481000</v>
      </c>
      <c r="U4464" s="28">
        <v>19529000</v>
      </c>
      <c r="V4464" s="28">
        <v>859559000</v>
      </c>
      <c r="W4464" s="28">
        <v>580000</v>
      </c>
      <c r="X4464" s="28">
        <v>946581000</v>
      </c>
      <c r="Y4464" s="28">
        <v>2210646000</v>
      </c>
      <c r="Z4464" s="28">
        <v>1132287000</v>
      </c>
      <c r="AA4464" s="28">
        <v>18528000</v>
      </c>
      <c r="AB4464" s="28">
        <v>4595000</v>
      </c>
      <c r="AC4464" s="28">
        <v>983528000</v>
      </c>
      <c r="AD4464" s="28">
        <v>1195537000</v>
      </c>
      <c r="AE4464" s="28">
        <v>10750546000</v>
      </c>
      <c r="AF4464" s="28">
        <v>417692000</v>
      </c>
      <c r="AG4464" s="11"/>
    </row>
    <row r="4465">
      <c r="A4465" s="7" t="s">
        <v>6108</v>
      </c>
      <c r="B4465" s="5" t="s">
        <v>14063</v>
      </c>
      <c r="C4465" s="5" t="s">
        <v>21818</v>
      </c>
      <c r="D4465" s="5" t="str">
        <v>501707825587</v>
      </c>
      <c r="E4465" s="0" t="e">
        <f>+7 (915) 8393160
+7 (495) 2312001
+7 (499) 2312001</f>
        <v>#NAME?</v>
      </c>
      <c r="F4465" s="5" t="s">
        <v>38655</v>
      </c>
      <c r="G4465" s="5" t="s">
        <v>38656</v>
      </c>
      <c r="H4465" s="26">
        <v>7</v>
      </c>
      <c r="I4465" s="5" t="s">
        <v>38657</v>
      </c>
      <c r="J4465" s="5" t="s">
        <v>27273</v>
      </c>
      <c r="K4465" s="5" t="s">
        <v>344</v>
      </c>
      <c r="L4465" s="5" t="s">
        <v>38658</v>
      </c>
      <c r="M4465" s="27"/>
      <c r="N4465" s="5"/>
      <c r="O4465" s="5" t="str">
        <v>7724353571</v>
      </c>
      <c r="P4465" s="27">
        <v>20000</v>
      </c>
      <c r="Q4465" s="5"/>
      <c r="R4465" s="5"/>
      <c r="S4465" s="5" t="s">
        <v>49029</v>
      </c>
      <c r="T4465" s="28">
        <v>873086000</v>
      </c>
      <c r="U4465" s="28"/>
      <c r="V4465" s="28">
        <v>714781000</v>
      </c>
      <c r="W4465" s="28">
        <v>4446000</v>
      </c>
      <c r="X4465" s="28">
        <v>60122000</v>
      </c>
      <c r="Y4465" s="28">
        <v>2336617000</v>
      </c>
      <c r="Z4465" s="28">
        <v>1183408000</v>
      </c>
      <c r="AA4465" s="28">
        <v>16000000</v>
      </c>
      <c r="AB4465" s="28"/>
      <c r="AC4465" s="28">
        <v>742717000</v>
      </c>
      <c r="AD4465" s="28">
        <v>1183428000</v>
      </c>
      <c r="AE4465" s="28">
        <v>8409916000</v>
      </c>
      <c r="AF4465" s="28">
        <v>525398000</v>
      </c>
      <c r="AG4465" s="11"/>
    </row>
    <row r="4466">
      <c r="A4466" s="7" t="s">
        <v>6109</v>
      </c>
      <c r="B4466" s="5" t="s">
        <v>14064</v>
      </c>
      <c r="C4466" s="5" t="s">
        <v>21819</v>
      </c>
      <c r="D4466" s="5" t="str">
        <v>771910167825</v>
      </c>
      <c r="E4466" s="0" t="e">
        <f>+7 (495) 9830858
+7 (499) 2312010
+7 (343) 2863788
+7 (343) 2863799
+7 (345) 2515979
+7 (3472) 246469
+7 (383) 2337662
+7 (384) 2900526
+7 (39198) 76218
+7 (473) 2331934
+7 (493) 2353429
+7 (495) 2312001
+7 (812) 3398975
+7 (812) 3894108
+7 (83141) 85845</f>
        <v>#NAME?</v>
      </c>
      <c r="F4466" s="5" t="s">
        <v>38659</v>
      </c>
      <c r="G4466" s="5" t="s">
        <v>38660</v>
      </c>
      <c r="H4466" s="26">
        <v>9.5</v>
      </c>
      <c r="I4466" s="5"/>
      <c r="J4466" s="5" t="s">
        <v>25216</v>
      </c>
      <c r="K4466" s="5" t="s">
        <v>344</v>
      </c>
      <c r="L4466" s="5" t="s">
        <v>38661</v>
      </c>
      <c r="M4466" s="27"/>
      <c r="N4466" s="5" t="s">
        <v>56268</v>
      </c>
      <c r="O4466" s="5" t="str">
        <v>7724890784</v>
      </c>
      <c r="P4466" s="27">
        <v>10000</v>
      </c>
      <c r="Q4466" s="5" t="s">
        <v>49009</v>
      </c>
      <c r="R4466" s="5" t="s">
        <v>55282</v>
      </c>
      <c r="S4466" s="5" t="s">
        <v>49545</v>
      </c>
      <c r="T4466" s="28">
        <v>33746000</v>
      </c>
      <c r="U4466" s="28"/>
      <c r="V4466" s="28">
        <v>1127115000</v>
      </c>
      <c r="W4466" s="28">
        <v>376987000</v>
      </c>
      <c r="X4466" s="28">
        <v>104372000</v>
      </c>
      <c r="Y4466" s="28">
        <v>2783325000</v>
      </c>
      <c r="Z4466" s="28">
        <v>919456000</v>
      </c>
      <c r="AA4466" s="28"/>
      <c r="AB4466" s="28"/>
      <c r="AC4466" s="28">
        <v>1849479000</v>
      </c>
      <c r="AD4466" s="28">
        <v>919467000</v>
      </c>
      <c r="AE4466" s="28">
        <v>16200977000</v>
      </c>
      <c r="AF4466" s="28">
        <v>445324000</v>
      </c>
      <c r="AG4466" s="11"/>
    </row>
    <row r="4467">
      <c r="A4467" s="7" t="s">
        <v>6110</v>
      </c>
      <c r="B4467" s="5" t="s">
        <v>14065</v>
      </c>
      <c r="C4467" s="5" t="s">
        <v>21820</v>
      </c>
      <c r="D4467" s="5" t="str">
        <v>771521877607</v>
      </c>
      <c r="E4467" s="0" t="e">
        <f>+7 (812) 3151080
+7 (812) 3200919
+7 (812) 3244201
+7 (812) 3244255
+7 (812) 3247417</f>
        <v>#NAME?</v>
      </c>
      <c r="F4467" s="5" t="s">
        <v>38662</v>
      </c>
      <c r="G4467" s="5" t="s">
        <v>38663</v>
      </c>
      <c r="H4467" s="26">
        <v>31</v>
      </c>
      <c r="I4467" s="5" t="s">
        <v>38664</v>
      </c>
      <c r="J4467" s="5" t="s">
        <v>25429</v>
      </c>
      <c r="K4467" s="5" t="s">
        <v>344</v>
      </c>
      <c r="L4467" s="5" t="s">
        <v>38665</v>
      </c>
      <c r="M4467" s="27"/>
      <c r="N4467" s="5" t="s">
        <v>54330</v>
      </c>
      <c r="O4467" s="5" t="str">
        <v>7806182285</v>
      </c>
      <c r="P4467" s="27">
        <v>10000000</v>
      </c>
      <c r="Q4467" s="5"/>
      <c r="R4467" s="5"/>
      <c r="S4467" s="5" t="s">
        <v>49110</v>
      </c>
      <c r="T4467" s="28">
        <v>258526000</v>
      </c>
      <c r="U4467" s="28">
        <v>181002000</v>
      </c>
      <c r="V4467" s="28">
        <v>1268342000</v>
      </c>
      <c r="W4467" s="28"/>
      <c r="X4467" s="28">
        <v>1255506000</v>
      </c>
      <c r="Y4467" s="28">
        <v>3780203000</v>
      </c>
      <c r="Z4467" s="28">
        <v>3147803000</v>
      </c>
      <c r="AA4467" s="28"/>
      <c r="AB4467" s="28"/>
      <c r="AC4467" s="28">
        <v>518211000</v>
      </c>
      <c r="AD4467" s="28">
        <v>3170401000</v>
      </c>
      <c r="AE4467" s="28">
        <v>3566596000</v>
      </c>
      <c r="AF4467" s="28">
        <v>905927000</v>
      </c>
      <c r="AG4467" s="11"/>
    </row>
    <row r="4468">
      <c r="A4468" s="7" t="s">
        <v>6111</v>
      </c>
      <c r="B4468" s="5" t="s">
        <v>14066</v>
      </c>
      <c r="C4468" s="5" t="s">
        <v>21821</v>
      </c>
      <c r="D4468" s="5" t="str">
        <v>027414023400</v>
      </c>
      <c r="E4468" s="0" t="e">
        <f>+7 (3537) 343334
+7 (353) 7250305
+7 (353) 7292404
+7 (3537) 342396
+7 (3537) 342451
+7 (3537) 342909
+7 (35372) 12339
+7 (35372) 30535
+7 (35372) 53137
+7 (35372) 53282
+7 (35372) 53284
+7 (35372) 92909
+7 (35373) 42111
+7 (35373) 42681
+7 (35373) 42714</f>
        <v>#NAME?</v>
      </c>
      <c r="F4468" s="5" t="s">
        <v>38666</v>
      </c>
      <c r="G4468" s="5" t="s">
        <v>38667</v>
      </c>
      <c r="H4468" s="26">
        <v>29</v>
      </c>
      <c r="I4468" s="5" t="s">
        <v>38668</v>
      </c>
      <c r="J4468" s="5" t="s">
        <v>555</v>
      </c>
      <c r="K4468" s="5" t="s">
        <v>344</v>
      </c>
      <c r="L4468" s="5"/>
      <c r="M4468" s="27">
        <v>1259797</v>
      </c>
      <c r="N4468" s="5" t="s">
        <v>52248</v>
      </c>
      <c r="O4468" s="5" t="str">
        <v>5615002700</v>
      </c>
      <c r="P4468" s="27">
        <v>953497</v>
      </c>
      <c r="Q4468" s="5"/>
      <c r="R4468" s="5"/>
      <c r="S4468" s="5" t="s">
        <v>49499</v>
      </c>
      <c r="T4468" s="28">
        <v>67399987000</v>
      </c>
      <c r="U4468" s="28">
        <v>1813000</v>
      </c>
      <c r="V4468" s="28">
        <v>21598266000</v>
      </c>
      <c r="W4468" s="28">
        <v>2739120000</v>
      </c>
      <c r="X4468" s="28">
        <v>7533000</v>
      </c>
      <c r="Y4468" s="28">
        <v>112955177000</v>
      </c>
      <c r="Z4468" s="28">
        <v>-10608206000</v>
      </c>
      <c r="AA4468" s="28">
        <v>75807025000</v>
      </c>
      <c r="AB4468" s="28">
        <v>8815384000</v>
      </c>
      <c r="AC4468" s="28">
        <v>13964831000</v>
      </c>
      <c r="AD4468" s="28">
        <v>9478696000</v>
      </c>
      <c r="AE4468" s="28">
        <v>21281934000</v>
      </c>
      <c r="AF4468" s="28">
        <v>3876861000</v>
      </c>
      <c r="AG4468" s="11"/>
    </row>
    <row r="4469">
      <c r="A4469" s="7" t="s">
        <v>6112</v>
      </c>
      <c r="B4469" s="5" t="s">
        <v>14067</v>
      </c>
      <c r="C4469" s="5" t="s">
        <v>21822</v>
      </c>
      <c r="D4469" s="5" t="str">
        <v>773012775717</v>
      </c>
      <c r="E4469" s="0" t="e">
        <f>+7 (495) 2340402
+7 (495) 2344916
+7 (495) 2440401
+7 (495) 2444916
+7 (495) 2340401
+7 (495) 2340403
+7 (495) 2349798
+7 (499) 2340403
+7 (499) 2349798</f>
        <v>#NAME?</v>
      </c>
      <c r="F4469" s="5" t="s">
        <v>38669</v>
      </c>
      <c r="G4469" s="5" t="s">
        <v>38670</v>
      </c>
      <c r="H4469" s="26">
        <v>28.5</v>
      </c>
      <c r="I4469" s="5"/>
      <c r="J4469" s="5" t="s">
        <v>25429</v>
      </c>
      <c r="K4469" s="5" t="s">
        <v>344</v>
      </c>
      <c r="L4469" s="5" t="s">
        <v>38671</v>
      </c>
      <c r="M4469" s="27"/>
      <c r="N4469" s="5"/>
      <c r="O4469" s="5" t="str">
        <v>7726018829</v>
      </c>
      <c r="P4469" s="27">
        <v>5000000</v>
      </c>
      <c r="Q4469" s="5"/>
      <c r="R4469" s="5"/>
      <c r="S4469" s="5" t="s">
        <v>49110</v>
      </c>
      <c r="T4469" s="28">
        <v>200011000</v>
      </c>
      <c r="U4469" s="28"/>
      <c r="V4469" s="28">
        <v>1102867000</v>
      </c>
      <c r="W4469" s="28"/>
      <c r="X4469" s="28">
        <v>1498719000</v>
      </c>
      <c r="Y4469" s="28">
        <v>3647693000</v>
      </c>
      <c r="Z4469" s="28">
        <v>473945000</v>
      </c>
      <c r="AA4469" s="28"/>
      <c r="AB4469" s="28">
        <v>13503000</v>
      </c>
      <c r="AC4469" s="28">
        <v>3008570000</v>
      </c>
      <c r="AD4469" s="28">
        <v>479695000</v>
      </c>
      <c r="AE4469" s="28">
        <v>5700711000</v>
      </c>
      <c r="AF4469" s="28">
        <v>278583000</v>
      </c>
      <c r="AG4469" s="11"/>
    </row>
    <row r="4470">
      <c r="A4470" s="7" t="s">
        <v>6113</v>
      </c>
      <c r="B4470" s="5" t="s">
        <v>14068</v>
      </c>
      <c r="C4470" s="5" t="s">
        <v>21823</v>
      </c>
      <c r="D4470" s="5" t="str">
        <v>263400720387</v>
      </c>
      <c r="E4470" s="0" t="e">
        <f>+7 (865) 2284621
+7 (8652) 510412
+7 (8652) 512727
+7 (8652) 572727</f>
        <v>#NAME?</v>
      </c>
      <c r="F4470" s="5" t="s">
        <v>38672</v>
      </c>
      <c r="G4470" s="5" t="s">
        <v>38673</v>
      </c>
      <c r="H4470" s="26">
        <v>32</v>
      </c>
      <c r="I4470" s="5" t="s">
        <v>38674</v>
      </c>
      <c r="J4470" s="5" t="s">
        <v>30320</v>
      </c>
      <c r="K4470" s="5" t="s">
        <v>344</v>
      </c>
      <c r="L4470" s="5" t="s">
        <v>38675</v>
      </c>
      <c r="M4470" s="27"/>
      <c r="N4470" s="5" t="s">
        <v>52020</v>
      </c>
      <c r="O4470" s="5" t="str">
        <v>2636031417</v>
      </c>
      <c r="P4470" s="27">
        <v>10000</v>
      </c>
      <c r="Q4470" s="5" t="s">
        <v>49009</v>
      </c>
      <c r="R4470" s="5"/>
      <c r="S4470" s="5" t="s">
        <v>49581</v>
      </c>
      <c r="T4470" s="28">
        <v>770537000</v>
      </c>
      <c r="U4470" s="28"/>
      <c r="V4470" s="28">
        <v>552364000</v>
      </c>
      <c r="W4470" s="28"/>
      <c r="X4470" s="28">
        <v>30198000</v>
      </c>
      <c r="Y4470" s="28">
        <v>2366491000</v>
      </c>
      <c r="Z4470" s="28">
        <v>1790514000</v>
      </c>
      <c r="AA4470" s="28">
        <v>214771000</v>
      </c>
      <c r="AB4470" s="28">
        <v>1391000</v>
      </c>
      <c r="AC4470" s="28">
        <v>239960000</v>
      </c>
      <c r="AD4470" s="28">
        <v>1792383000</v>
      </c>
      <c r="AE4470" s="28">
        <v>5289374000</v>
      </c>
      <c r="AF4470" s="28">
        <v>1120984000</v>
      </c>
      <c r="AG4470" s="11"/>
    </row>
    <row r="4471">
      <c r="A4471" s="7" t="s">
        <v>6114</v>
      </c>
      <c r="B4471" s="5" t="s">
        <v>14069</v>
      </c>
      <c r="C4471" s="5" t="s">
        <v>21824</v>
      </c>
      <c r="D4471" s="5" t="str">
        <v>773316576375</v>
      </c>
      <c r="E4471" s="0" t="e">
        <f>+7 (492) 4193384
+7 (49241) 25304
+7 (49241) 25400
+7 (49241) 37799
+7 (49241) 93110
+7 (49241) 93125
+7 (49241) 93162
+7 (49241) 93201
+7 (49241) 93225
+7 (49241) 93311
+7 (920) 6255365
+7 (920) 6256794</f>
        <v>#NAME?</v>
      </c>
      <c r="F4471" s="5" t="s">
        <v>38676</v>
      </c>
      <c r="G4471" s="5" t="s">
        <v>38677</v>
      </c>
      <c r="H4471" s="26">
        <v>24</v>
      </c>
      <c r="I4471" s="5" t="s">
        <v>38678</v>
      </c>
      <c r="J4471" s="5" t="s">
        <v>33361</v>
      </c>
      <c r="K4471" s="5" t="s">
        <v>344</v>
      </c>
      <c r="L4471" s="5" t="s">
        <v>38679</v>
      </c>
      <c r="M4471" s="27"/>
      <c r="N4471" s="5" t="s">
        <v>52205</v>
      </c>
      <c r="O4471" s="5" t="str">
        <v>3304005609</v>
      </c>
      <c r="P4471" s="27">
        <v>5450000</v>
      </c>
      <c r="Q4471" s="5" t="s">
        <v>49009</v>
      </c>
      <c r="R4471" s="5"/>
      <c r="S4471" s="5" t="s">
        <v>49010</v>
      </c>
      <c r="T4471" s="28">
        <v>1811720000</v>
      </c>
      <c r="U4471" s="28"/>
      <c r="V4471" s="28">
        <v>350453000</v>
      </c>
      <c r="W4471" s="28"/>
      <c r="X4471" s="28">
        <v>1477040000</v>
      </c>
      <c r="Y4471" s="28">
        <v>4561908000</v>
      </c>
      <c r="Z4471" s="28">
        <v>3952669000</v>
      </c>
      <c r="AA4471" s="28"/>
      <c r="AB4471" s="28"/>
      <c r="AC4471" s="28">
        <v>535433000</v>
      </c>
      <c r="AD4471" s="28">
        <v>3961633000</v>
      </c>
      <c r="AE4471" s="28">
        <v>4210384000</v>
      </c>
      <c r="AF4471" s="28">
        <v>544230000</v>
      </c>
      <c r="AG4471" s="11"/>
    </row>
    <row r="4472">
      <c r="A4472" s="7" t="s">
        <v>6115</v>
      </c>
      <c r="B4472" s="5" t="s">
        <v>14070</v>
      </c>
      <c r="C4472" s="5" t="s">
        <v>21825</v>
      </c>
      <c r="D4472" s="5" t="str">
        <v>310206202365</v>
      </c>
      <c r="E4472" s="0" t="e">
        <f>+7 (475) 2710595
+7 (926) 8853797</f>
        <v>#NAME?</v>
      </c>
      <c r="F4472" s="5"/>
      <c r="G4472" s="5"/>
      <c r="H4472" s="26">
        <v>6.5</v>
      </c>
      <c r="I4472" s="5" t="s">
        <v>38680</v>
      </c>
      <c r="J4472" s="5" t="s">
        <v>29195</v>
      </c>
      <c r="K4472" s="5" t="s">
        <v>380</v>
      </c>
      <c r="L4472" s="5"/>
      <c r="M4472" s="27">
        <v>3747053</v>
      </c>
      <c r="N4472" s="5"/>
      <c r="O4472" s="5" t="str">
        <v>6829126623</v>
      </c>
      <c r="P4472" s="27">
        <v>9000000</v>
      </c>
      <c r="Q4472" s="5" t="s">
        <v>49009</v>
      </c>
      <c r="R4472" s="5"/>
      <c r="S4472" s="5" t="s">
        <v>49576</v>
      </c>
      <c r="T4472" s="28">
        <v>2537000</v>
      </c>
      <c r="U4472" s="28"/>
      <c r="V4472" s="28">
        <v>3038125000</v>
      </c>
      <c r="W4472" s="28">
        <v>1006000</v>
      </c>
      <c r="X4472" s="28">
        <v>56654000</v>
      </c>
      <c r="Y4472" s="28">
        <v>4627662000</v>
      </c>
      <c r="Z4472" s="28">
        <v>-697404000</v>
      </c>
      <c r="AA4472" s="28"/>
      <c r="AB4472" s="28"/>
      <c r="AC4472" s="28">
        <v>5190824000</v>
      </c>
      <c r="AD4472" s="28">
        <v>-688404000</v>
      </c>
      <c r="AE4472" s="28">
        <v>3279859000</v>
      </c>
      <c r="AF4472" s="28">
        <v>-713930000</v>
      </c>
      <c r="AG4472" s="11"/>
    </row>
    <row r="4473">
      <c r="A4473" s="7" t="s">
        <v>6116</v>
      </c>
      <c r="B4473" s="5" t="s">
        <v>14071</v>
      </c>
      <c r="C4473" s="5" t="s">
        <v>21826</v>
      </c>
      <c r="D4473" s="5" t="str">
        <v>667105125170</v>
      </c>
      <c r="E4473" s="0" t="e">
        <f>+7 (985) 6041973
+7 (985) 7629281</f>
        <v>#NAME?</v>
      </c>
      <c r="F4473" s="5" t="s">
        <v>38681</v>
      </c>
      <c r="G4473" s="5"/>
      <c r="H4473" s="26">
        <v>15.5</v>
      </c>
      <c r="I4473" s="5" t="s">
        <v>38682</v>
      </c>
      <c r="J4473" s="5" t="s">
        <v>29432</v>
      </c>
      <c r="K4473" s="5" t="s">
        <v>344</v>
      </c>
      <c r="L4473" s="5" t="s">
        <v>38683</v>
      </c>
      <c r="M4473" s="27">
        <v>574492018</v>
      </c>
      <c r="N4473" s="5" t="s">
        <v>56271</v>
      </c>
      <c r="O4473" s="5" t="str">
        <v>7701753020</v>
      </c>
      <c r="P4473" s="27">
        <v>100000</v>
      </c>
      <c r="Q4473" s="5" t="s">
        <v>56272</v>
      </c>
      <c r="R4473" s="5"/>
      <c r="S4473" s="5" t="s">
        <v>56273</v>
      </c>
      <c r="T4473" s="28">
        <v>2245928000</v>
      </c>
      <c r="U4473" s="28">
        <v>130145000</v>
      </c>
      <c r="V4473" s="28">
        <v>42749853000</v>
      </c>
      <c r="W4473" s="28"/>
      <c r="X4473" s="28">
        <v>6106861000</v>
      </c>
      <c r="Y4473" s="28">
        <v>53725442000</v>
      </c>
      <c r="Z4473" s="28">
        <v>11823040000</v>
      </c>
      <c r="AA4473" s="28"/>
      <c r="AB4473" s="28">
        <v>4332871000</v>
      </c>
      <c r="AC4473" s="28">
        <v>41038924000</v>
      </c>
      <c r="AD4473" s="28">
        <v>11823140000</v>
      </c>
      <c r="AE4473" s="28">
        <v>78095897000</v>
      </c>
      <c r="AF4473" s="28">
        <v>12410567000</v>
      </c>
      <c r="AG4473" s="11"/>
    </row>
    <row r="4474">
      <c r="A4474" s="7" t="s">
        <v>6117</v>
      </c>
      <c r="B4474" s="5" t="s">
        <v>14072</v>
      </c>
      <c r="C4474" s="5" t="s">
        <v>21827</v>
      </c>
      <c r="D4474" s="5" t="str">
        <v>583600842288</v>
      </c>
      <c r="E4474" s="0" t="e">
        <f>+7 (388) 2232365
+7 (903) 9192726</f>
        <v>#NAME?</v>
      </c>
      <c r="F4474" s="5" t="s">
        <v>38684</v>
      </c>
      <c r="G4474" s="5"/>
      <c r="H4474" s="26">
        <v>21.5</v>
      </c>
      <c r="I4474" s="5"/>
      <c r="J4474" s="5" t="s">
        <v>28108</v>
      </c>
      <c r="K4474" s="5" t="s">
        <v>344</v>
      </c>
      <c r="L4474" s="5" t="s">
        <v>38685</v>
      </c>
      <c r="M4474" s="27"/>
      <c r="N4474" s="5"/>
      <c r="O4474" s="5" t="str">
        <v>0411101502</v>
      </c>
      <c r="P4474" s="27">
        <v>30100000</v>
      </c>
      <c r="Q4474" s="5" t="s">
        <v>49009</v>
      </c>
      <c r="R4474" s="5" t="s">
        <v>56274</v>
      </c>
      <c r="S4474" s="5" t="s">
        <v>49010</v>
      </c>
      <c r="T4474" s="28"/>
      <c r="U4474" s="28">
        <v>13179369000</v>
      </c>
      <c r="V4474" s="28">
        <v>6713023000</v>
      </c>
      <c r="W4474" s="28">
        <v>14952252000</v>
      </c>
      <c r="X4474" s="28">
        <v>74000</v>
      </c>
      <c r="Y4474" s="28">
        <v>34936496000</v>
      </c>
      <c r="Z4474" s="28">
        <v>34682121000</v>
      </c>
      <c r="AA4474" s="28"/>
      <c r="AB4474" s="28">
        <v>1265000</v>
      </c>
      <c r="AC4474" s="28">
        <v>70312000</v>
      </c>
      <c r="AD4474" s="28">
        <v>34749447000</v>
      </c>
      <c r="AE4474" s="28">
        <v>28485394000</v>
      </c>
      <c r="AF4474" s="28">
        <v>30347992000</v>
      </c>
      <c r="AG4474" s="11"/>
    </row>
    <row r="4475">
      <c r="A4475" s="7" t="s">
        <v>6117</v>
      </c>
      <c r="B4475" s="5" t="s">
        <v>14073</v>
      </c>
      <c r="C4475" s="5" t="s">
        <v>19628</v>
      </c>
      <c r="D4475" s="5"/>
      <c r="E4475" s="0" t="e">
        <f>+7 (473) 9551642
+7 (47395) 40634
+7 (47395) 40642
+7 (47395) 51043
+7 (47395) 51301
+7 (47395) 51975
+7 (495) 9334400</f>
        <v>#NAME?</v>
      </c>
      <c r="F4475" s="5" t="s">
        <v>38686</v>
      </c>
      <c r="G4475" s="5" t="s">
        <v>38687</v>
      </c>
      <c r="H4475" s="26">
        <v>21</v>
      </c>
      <c r="I4475" s="5"/>
      <c r="J4475" s="5" t="s">
        <v>25994</v>
      </c>
      <c r="K4475" s="5" t="s">
        <v>344</v>
      </c>
      <c r="L4475" s="5" t="s">
        <v>38688</v>
      </c>
      <c r="M4475" s="27"/>
      <c r="N4475" s="5"/>
      <c r="O4475" s="5" t="str">
        <v>3618003708</v>
      </c>
      <c r="P4475" s="27">
        <v>500000000</v>
      </c>
      <c r="Q4475" s="5" t="s">
        <v>49009</v>
      </c>
      <c r="R4475" s="5"/>
      <c r="S4475" s="5" t="s">
        <v>49010</v>
      </c>
      <c r="T4475" s="28">
        <v>1158243000</v>
      </c>
      <c r="U4475" s="28">
        <v>725000000</v>
      </c>
      <c r="V4475" s="28">
        <v>2204687000</v>
      </c>
      <c r="W4475" s="28">
        <v>86197000</v>
      </c>
      <c r="X4475" s="28">
        <v>552000</v>
      </c>
      <c r="Y4475" s="28">
        <v>7413422000</v>
      </c>
      <c r="Z4475" s="28">
        <v>3875769000</v>
      </c>
      <c r="AA4475" s="28">
        <v>187322000</v>
      </c>
      <c r="AB4475" s="28">
        <v>885118000</v>
      </c>
      <c r="AC4475" s="28">
        <v>2713702000</v>
      </c>
      <c r="AD4475" s="28">
        <v>4450780000</v>
      </c>
      <c r="AE4475" s="28">
        <v>11286926000</v>
      </c>
      <c r="AF4475" s="28">
        <v>1859676000</v>
      </c>
      <c r="AG4475" s="11"/>
    </row>
    <row r="4476">
      <c r="A4476" s="7" t="s">
        <v>6118</v>
      </c>
      <c r="B4476" s="5" t="s">
        <v>14074</v>
      </c>
      <c r="C4476" s="5" t="s">
        <v>21828</v>
      </c>
      <c r="D4476" s="5" t="str">
        <v>772639297458</v>
      </c>
      <c r="E4476" s="0" t="e">
        <f>+7 (495) 7303140
+7 (495) 7800465
+7 (495) 9124118</f>
        <v>#NAME?</v>
      </c>
      <c r="F4476" s="5" t="s">
        <v>38689</v>
      </c>
      <c r="G4476" s="5" t="s">
        <v>38690</v>
      </c>
      <c r="H4476" s="26">
        <v>11</v>
      </c>
      <c r="I4476" s="5" t="s">
        <v>38691</v>
      </c>
      <c r="J4476" s="5" t="s">
        <v>38692</v>
      </c>
      <c r="K4476" s="5" t="s">
        <v>344</v>
      </c>
      <c r="L4476" s="5" t="s">
        <v>38693</v>
      </c>
      <c r="M4476" s="27"/>
      <c r="N4476" s="5"/>
      <c r="O4476" s="5" t="str">
        <v>7709902139</v>
      </c>
      <c r="P4476" s="27">
        <v>1500000</v>
      </c>
      <c r="Q4476" s="5" t="s">
        <v>49579</v>
      </c>
      <c r="R4476" s="5"/>
      <c r="S4476" s="5" t="s">
        <v>56275</v>
      </c>
      <c r="T4476" s="28">
        <v>7042000</v>
      </c>
      <c r="U4476" s="28">
        <v>3683000</v>
      </c>
      <c r="V4476" s="28">
        <v>2738332000</v>
      </c>
      <c r="W4476" s="28">
        <v>227252000</v>
      </c>
      <c r="X4476" s="28">
        <v>7464000</v>
      </c>
      <c r="Y4476" s="28">
        <v>4555507000</v>
      </c>
      <c r="Z4476" s="28">
        <v>6636000</v>
      </c>
      <c r="AA4476" s="28"/>
      <c r="AB4476" s="28">
        <v>328990000</v>
      </c>
      <c r="AC4476" s="28">
        <v>4547368000</v>
      </c>
      <c r="AD4476" s="28">
        <v>8136000</v>
      </c>
      <c r="AE4476" s="28">
        <v>30158047000</v>
      </c>
      <c r="AF4476" s="28">
        <v>386715000</v>
      </c>
      <c r="AG4476" s="11"/>
    </row>
    <row r="4477">
      <c r="A4477" s="7" t="s">
        <v>6119</v>
      </c>
      <c r="B4477" s="5" t="s">
        <v>14075</v>
      </c>
      <c r="C4477" s="5" t="s">
        <v>21307</v>
      </c>
      <c r="D4477" s="5"/>
      <c r="E4477" s="0" t="e">
        <f>+7 (492) 2474143
+7 (900) 4747064
+7 (904) 2560301
+7 (905) 1470333
+7 (905) 1484789
+7 (905) 1495252
+7 (905) 6116464
+7 (905) 6119494
+7 (905) 6137165
+7 (905) 6138844
+7 (905) 6492020
+7 (910) 7794363
+7 (960) 7324411
+7 (961) 1129191
+7 (961) 2568585</f>
        <v>#NAME?</v>
      </c>
      <c r="F4477" s="5"/>
      <c r="G4477" s="5"/>
      <c r="H4477" s="26">
        <v>20</v>
      </c>
      <c r="I4477" s="5" t="s">
        <v>38694</v>
      </c>
      <c r="J4477" s="5" t="s">
        <v>364</v>
      </c>
      <c r="K4477" s="5" t="s">
        <v>355</v>
      </c>
      <c r="L4477" s="5" t="s">
        <v>38695</v>
      </c>
      <c r="M4477" s="27">
        <v>5033188</v>
      </c>
      <c r="N4477" s="5"/>
      <c r="O4477" s="5" t="str">
        <v>3328426099</v>
      </c>
      <c r="P4477" s="27">
        <v>20000</v>
      </c>
      <c r="Q4477" s="5"/>
      <c r="R4477" s="5"/>
      <c r="S4477" s="5" t="s">
        <v>52009</v>
      </c>
      <c r="T4477" s="28">
        <v>26771000</v>
      </c>
      <c r="U4477" s="28"/>
      <c r="V4477" s="28">
        <v>1588550000</v>
      </c>
      <c r="W4477" s="28"/>
      <c r="X4477" s="28">
        <v>144000</v>
      </c>
      <c r="Y4477" s="28">
        <v>2673050000</v>
      </c>
      <c r="Z4477" s="28">
        <v>71201000</v>
      </c>
      <c r="AA4477" s="28"/>
      <c r="AB4477" s="28">
        <v>43600000</v>
      </c>
      <c r="AC4477" s="28">
        <v>2589789000</v>
      </c>
      <c r="AD4477" s="28">
        <v>71224000</v>
      </c>
      <c r="AE4477" s="28">
        <v>3328444000</v>
      </c>
      <c r="AF4477" s="28">
        <v>16064000</v>
      </c>
      <c r="AG4477" s="11"/>
    </row>
    <row r="4478">
      <c r="A4478" s="7" t="s">
        <v>6119</v>
      </c>
      <c r="B4478" s="5" t="s">
        <v>14076</v>
      </c>
      <c r="C4478" s="5" t="s">
        <v>21829</v>
      </c>
      <c r="D4478" s="5" t="str">
        <v>503202300694</v>
      </c>
      <c r="E4478" s="0" t="e">
        <f>+7 (495) 6096080
+7 (800) 2222131</f>
        <v>#NAME?</v>
      </c>
      <c r="F4478" s="5" t="s">
        <v>38696</v>
      </c>
      <c r="G4478" s="5"/>
      <c r="H4478" s="26">
        <v>18</v>
      </c>
      <c r="I4478" s="5" t="s">
        <v>38697</v>
      </c>
      <c r="J4478" s="5" t="s">
        <v>26276</v>
      </c>
      <c r="K4478" s="5" t="s">
        <v>344</v>
      </c>
      <c r="L4478" s="5" t="s">
        <v>38698</v>
      </c>
      <c r="M4478" s="27"/>
      <c r="N4478" s="5" t="s">
        <v>56276</v>
      </c>
      <c r="O4478" s="5" t="str">
        <v>7705658056</v>
      </c>
      <c r="P4478" s="27">
        <v>5100000</v>
      </c>
      <c r="Q4478" s="5" t="s">
        <v>56277</v>
      </c>
      <c r="R4478" s="5"/>
      <c r="S4478" s="5" t="s">
        <v>56278</v>
      </c>
      <c r="T4478" s="28">
        <v>107817000</v>
      </c>
      <c r="U4478" s="28">
        <v>8058000</v>
      </c>
      <c r="V4478" s="28">
        <v>1519201000</v>
      </c>
      <c r="W4478" s="28">
        <v>687521000</v>
      </c>
      <c r="X4478" s="28">
        <v>13566000</v>
      </c>
      <c r="Y4478" s="28">
        <v>2457698000</v>
      </c>
      <c r="Z4478" s="28">
        <v>1331729000</v>
      </c>
      <c r="AA4478" s="28"/>
      <c r="AB4478" s="28"/>
      <c r="AC4478" s="28">
        <v>1061532000</v>
      </c>
      <c r="AD4478" s="28">
        <v>1354419000</v>
      </c>
      <c r="AE4478" s="28">
        <v>8984433000</v>
      </c>
      <c r="AF4478" s="28">
        <v>798743000</v>
      </c>
      <c r="AG4478" s="11"/>
    </row>
    <row r="4479">
      <c r="A4479" s="7" t="s">
        <v>6120</v>
      </c>
      <c r="B4479" s="5" t="s">
        <v>14077</v>
      </c>
      <c r="C4479" s="5" t="s">
        <v>21830</v>
      </c>
      <c r="D4479" s="5" t="str">
        <v>771872091890</v>
      </c>
      <c r="E4479" s="0" t="e">
        <f>+7 (905) 7883124
+7 (495) 9843217
+7 (915) 314701
+7 (967) 2273280</f>
        <v>#NAME?</v>
      </c>
      <c r="F4479" s="5" t="s">
        <v>38699</v>
      </c>
      <c r="G4479" s="5" t="s">
        <v>38700</v>
      </c>
      <c r="H4479" s="26">
        <v>10</v>
      </c>
      <c r="I4479" s="5" t="s">
        <v>38701</v>
      </c>
      <c r="J4479" s="5" t="s">
        <v>364</v>
      </c>
      <c r="K4479" s="5" t="s">
        <v>344</v>
      </c>
      <c r="L4479" s="5" t="s">
        <v>38702</v>
      </c>
      <c r="M4479" s="27">
        <v>12952153</v>
      </c>
      <c r="N4479" s="5" t="s">
        <v>54281</v>
      </c>
      <c r="O4479" s="5" t="str">
        <v>7734691114</v>
      </c>
      <c r="P4479" s="27">
        <v>510000</v>
      </c>
      <c r="Q4479" s="5" t="s">
        <v>56279</v>
      </c>
      <c r="R4479" s="5" t="s">
        <v>56280</v>
      </c>
      <c r="S4479" s="5" t="s">
        <v>49089</v>
      </c>
      <c r="T4479" s="28">
        <v>220400000</v>
      </c>
      <c r="U4479" s="28"/>
      <c r="V4479" s="28">
        <v>528822000</v>
      </c>
      <c r="W4479" s="28">
        <v>272647000</v>
      </c>
      <c r="X4479" s="28">
        <v>582844000</v>
      </c>
      <c r="Y4479" s="28">
        <v>2408926000</v>
      </c>
      <c r="Z4479" s="28">
        <v>486560000</v>
      </c>
      <c r="AA4479" s="28"/>
      <c r="AB4479" s="28"/>
      <c r="AC4479" s="28">
        <v>1896774000</v>
      </c>
      <c r="AD4479" s="28">
        <v>487070000</v>
      </c>
      <c r="AE4479" s="28">
        <v>3058718000</v>
      </c>
      <c r="AF4479" s="28">
        <v>290103000</v>
      </c>
      <c r="AG4479" s="11"/>
    </row>
    <row r="4480">
      <c r="A4480" s="7" t="s">
        <v>6121</v>
      </c>
      <c r="B4480" s="5" t="s">
        <v>14078</v>
      </c>
      <c r="C4480" s="5" t="s">
        <v>21831</v>
      </c>
      <c r="D4480" s="5" t="str">
        <v>352800774102</v>
      </c>
      <c r="E4480" s="0" t="e">
        <f>+7 (800) 1000432
+7 (495) 9884727
+7 (473) 2622563
+7 (47471) 25000
+7 (47471) 25001
+7 (47471) 25020
+7 (47471) 25030
+7 (47471) 25039
+7 (47471) 25040
+7 (47471) 25051
+7 (47471) 25062
+7 (47471) 25066
+7 (47471) 25080
+7 (47471) 25085
+7 (495) 9884726</f>
        <v>#NAME?</v>
      </c>
      <c r="F4480" s="5" t="s">
        <v>38703</v>
      </c>
      <c r="G4480" s="5" t="s">
        <v>38704</v>
      </c>
      <c r="H4480" s="26">
        <v>12</v>
      </c>
      <c r="I4480" s="5" t="s">
        <v>38705</v>
      </c>
      <c r="J4480" s="5" t="s">
        <v>38706</v>
      </c>
      <c r="K4480" s="5" t="s">
        <v>344</v>
      </c>
      <c r="L4480" s="5" t="s">
        <v>38707</v>
      </c>
      <c r="M4480" s="27">
        <v>2091943</v>
      </c>
      <c r="N4480" s="5" t="s">
        <v>56281</v>
      </c>
      <c r="O4480" s="5" t="str">
        <v>7703744408</v>
      </c>
      <c r="P4480" s="27">
        <v>4000000</v>
      </c>
      <c r="Q4480" s="5" t="s">
        <v>56282</v>
      </c>
      <c r="R4480" s="5"/>
      <c r="S4480" s="5" t="s">
        <v>49162</v>
      </c>
      <c r="T4480" s="28">
        <v>675435000</v>
      </c>
      <c r="U4480" s="28"/>
      <c r="V4480" s="28">
        <v>1242248000</v>
      </c>
      <c r="W4480" s="28">
        <v>101164000</v>
      </c>
      <c r="X4480" s="28">
        <v>2926186000</v>
      </c>
      <c r="Y4480" s="28">
        <v>5368079000</v>
      </c>
      <c r="Z4480" s="28">
        <v>3974670000</v>
      </c>
      <c r="AA4480" s="28"/>
      <c r="AB4480" s="28"/>
      <c r="AC4480" s="28">
        <v>1273496000</v>
      </c>
      <c r="AD4480" s="28">
        <v>3978670000</v>
      </c>
      <c r="AE4480" s="28">
        <v>8027853000</v>
      </c>
      <c r="AF4480" s="28">
        <v>1349992000</v>
      </c>
      <c r="AG4480" s="11"/>
    </row>
    <row r="4481">
      <c r="A4481" s="7" t="s">
        <v>6122</v>
      </c>
      <c r="B4481" s="5" t="s">
        <v>14079</v>
      </c>
      <c r="C4481" s="5" t="s">
        <v>21832</v>
      </c>
      <c r="D4481" s="5" t="str">
        <v>772584171703</v>
      </c>
      <c r="E4481" s="0" t="e">
        <f>+7 (346) 2797958
+7 (381) 2292015
+7 (381) 2292017
+7 (381) 2292018
+7 (383) 3543212
+7 (391) 2709977
+7 (391) 2737156
+7 (495) 1253005
+7 (495) 7399925
+7 (499) 9228976
+7 (812) 3390970
+7 (8482) 701570
+7 (8482) 957799
+7 (8652) 452453
+7 (913) 9320991</f>
        <v>#NAME?</v>
      </c>
      <c r="F4481" s="5" t="s">
        <v>38708</v>
      </c>
      <c r="G4481" s="5" t="s">
        <v>38709</v>
      </c>
      <c r="H4481" s="26">
        <v>17.5</v>
      </c>
      <c r="I4481" s="5" t="s">
        <v>38710</v>
      </c>
      <c r="J4481" s="5" t="s">
        <v>25429</v>
      </c>
      <c r="K4481" s="5" t="s">
        <v>344</v>
      </c>
      <c r="L4481" s="5" t="s">
        <v>35207</v>
      </c>
      <c r="M4481" s="27"/>
      <c r="N4481" s="5" t="s">
        <v>56283</v>
      </c>
      <c r="O4481" s="5" t="str">
        <v>7724556324</v>
      </c>
      <c r="P4481" s="27">
        <v>189397250</v>
      </c>
      <c r="Q4481" s="5" t="s">
        <v>49009</v>
      </c>
      <c r="R4481" s="5"/>
      <c r="S4481" s="5" t="s">
        <v>49012</v>
      </c>
      <c r="T4481" s="28">
        <v>36438000</v>
      </c>
      <c r="U4481" s="28"/>
      <c r="V4481" s="28">
        <v>194614000</v>
      </c>
      <c r="W4481" s="28"/>
      <c r="X4481" s="28">
        <v>565677000</v>
      </c>
      <c r="Y4481" s="28">
        <v>1716388000</v>
      </c>
      <c r="Z4481" s="28">
        <v>909721000</v>
      </c>
      <c r="AA4481" s="28"/>
      <c r="AB4481" s="28"/>
      <c r="AC4481" s="28">
        <v>595099000</v>
      </c>
      <c r="AD4481" s="28">
        <v>1109346000</v>
      </c>
      <c r="AE4481" s="28">
        <v>4435472000</v>
      </c>
      <c r="AF4481" s="28">
        <v>631426000</v>
      </c>
      <c r="AG4481" s="11"/>
    </row>
    <row r="4482">
      <c r="A4482" s="7" t="s">
        <v>6123</v>
      </c>
      <c r="B4482" s="5" t="s">
        <v>14080</v>
      </c>
      <c r="C4482" s="5" t="s">
        <v>21833</v>
      </c>
      <c r="D4482" s="5" t="str">
        <v>772012034700</v>
      </c>
      <c r="E4482" s="0" t="e">
        <f>+7 (495) 7558190
+7 (495) 7774999
+7 (495) 9747522
+7 (495) 9747872
+7 (495) 9747962
+7 (800) 7700101
+7 (800) 7774999</f>
        <v>#NAME?</v>
      </c>
      <c r="F4482" s="5" t="s">
        <v>38711</v>
      </c>
      <c r="G4482" s="5" t="s">
        <v>38712</v>
      </c>
      <c r="H4482" s="26">
        <v>17.5</v>
      </c>
      <c r="I4482" s="5" t="s">
        <v>38713</v>
      </c>
      <c r="J4482" s="5" t="s">
        <v>30285</v>
      </c>
      <c r="K4482" s="5" t="s">
        <v>355</v>
      </c>
      <c r="L4482" s="5" t="s">
        <v>38714</v>
      </c>
      <c r="M4482" s="27">
        <v>64219325</v>
      </c>
      <c r="N4482" s="5"/>
      <c r="O4482" s="5" t="str">
        <v>7728551510</v>
      </c>
      <c r="P4482" s="27">
        <v>135464345</v>
      </c>
      <c r="Q4482" s="5" t="s">
        <v>54416</v>
      </c>
      <c r="R4482" s="5"/>
      <c r="S4482" s="5" t="s">
        <v>56284</v>
      </c>
      <c r="T4482" s="28">
        <v>14490608000</v>
      </c>
      <c r="U4482" s="28"/>
      <c r="V4482" s="28">
        <v>3005374000</v>
      </c>
      <c r="W4482" s="28">
        <v>1834000</v>
      </c>
      <c r="X4482" s="28">
        <v>4201251000</v>
      </c>
      <c r="Y4482" s="28">
        <v>33214441000</v>
      </c>
      <c r="Z4482" s="28">
        <v>7735107000</v>
      </c>
      <c r="AA4482" s="28"/>
      <c r="AB4482" s="28">
        <v>4000170000</v>
      </c>
      <c r="AC4482" s="28">
        <v>25343843000</v>
      </c>
      <c r="AD4482" s="28">
        <v>7871118000</v>
      </c>
      <c r="AE4482" s="28">
        <v>52101592000</v>
      </c>
      <c r="AF4482" s="28">
        <v>9012180000</v>
      </c>
      <c r="AG4482" s="11"/>
    </row>
    <row r="4483">
      <c r="A4483" s="7" t="s">
        <v>6124</v>
      </c>
      <c r="B4483" s="5" t="s">
        <v>14081</v>
      </c>
      <c r="C4483" s="5" t="s">
        <v>21834</v>
      </c>
      <c r="D4483" s="5" t="str">
        <v>650108797196</v>
      </c>
      <c r="E4483" s="0" t="e">
        <f>+7 (424) 2466201
+7 (424) 2466207
+7 (424) 2735611
+7 (424) 2466202
+7 (424) 2466232
+7 (424) 2466302
+7 (424) 2553732</f>
        <v>#NAME?</v>
      </c>
      <c r="F4483" s="5" t="s">
        <v>38715</v>
      </c>
      <c r="G4483" s="5"/>
      <c r="H4483" s="26">
        <v>27.5</v>
      </c>
      <c r="I4483" s="5"/>
      <c r="J4483" s="5" t="s">
        <v>26424</v>
      </c>
      <c r="K4483" s="5" t="s">
        <v>355</v>
      </c>
      <c r="L4483" s="5" t="s">
        <v>38716</v>
      </c>
      <c r="M4483" s="27"/>
      <c r="N4483" s="5"/>
      <c r="O4483" s="5" t="str">
        <v>6501074974</v>
      </c>
      <c r="P4483" s="27">
        <v>67000</v>
      </c>
      <c r="Q4483" s="5"/>
      <c r="R4483" s="5" t="s">
        <v>49329</v>
      </c>
      <c r="S4483" s="5" t="s">
        <v>49029</v>
      </c>
      <c r="T4483" s="28">
        <v>710912000</v>
      </c>
      <c r="U4483" s="28">
        <v>33330774000</v>
      </c>
      <c r="V4483" s="28">
        <v>1816001000</v>
      </c>
      <c r="W4483" s="28">
        <v>308003000</v>
      </c>
      <c r="X4483" s="28">
        <v>72876000</v>
      </c>
      <c r="Y4483" s="28">
        <v>36740821000</v>
      </c>
      <c r="Z4483" s="28">
        <v>18447208000</v>
      </c>
      <c r="AA4483" s="28">
        <v>6816349000</v>
      </c>
      <c r="AB4483" s="28">
        <v>2878302000</v>
      </c>
      <c r="AC4483" s="28">
        <v>3153268000</v>
      </c>
      <c r="AD4483" s="28">
        <v>26656042000</v>
      </c>
      <c r="AE4483" s="28">
        <v>4226802000</v>
      </c>
      <c r="AF4483" s="28">
        <v>3795910000</v>
      </c>
      <c r="AG4483" s="11"/>
    </row>
    <row r="4484">
      <c r="A4484" s="7" t="s">
        <v>6125</v>
      </c>
      <c r="B4484" s="5" t="s">
        <v>14082</v>
      </c>
      <c r="C4484" s="5" t="s">
        <v>21835</v>
      </c>
      <c r="D4484" s="5" t="str">
        <v>780616824943</v>
      </c>
      <c r="E4484" s="0" t="e">
        <f>+7 (495) 3747900
+7 (812) 6481737
+7 (495) 6481737
+7 (812) 3359526
+7 (812) 4444319</f>
        <v>#NAME?</v>
      </c>
      <c r="F4484" s="5" t="s">
        <v>38717</v>
      </c>
      <c r="G4484" s="5" t="s">
        <v>38718</v>
      </c>
      <c r="H4484" s="26">
        <v>21</v>
      </c>
      <c r="I4484" s="5" t="s">
        <v>38719</v>
      </c>
      <c r="J4484" s="5" t="s">
        <v>30218</v>
      </c>
      <c r="K4484" s="5" t="s">
        <v>344</v>
      </c>
      <c r="L4484" s="5" t="s">
        <v>38720</v>
      </c>
      <c r="M4484" s="27"/>
      <c r="N4484" s="5"/>
      <c r="O4484" s="5" t="str">
        <v>7819025427</v>
      </c>
      <c r="P4484" s="27">
        <v>30000000</v>
      </c>
      <c r="Q4484" s="5" t="s">
        <v>49009</v>
      </c>
      <c r="R4484" s="5"/>
      <c r="S4484" s="5" t="s">
        <v>49010</v>
      </c>
      <c r="T4484" s="28">
        <v>44466000</v>
      </c>
      <c r="U4484" s="28">
        <v>238000000</v>
      </c>
      <c r="V4484" s="28">
        <v>2277733000</v>
      </c>
      <c r="W4484" s="28"/>
      <c r="X4484" s="28">
        <v>38420000</v>
      </c>
      <c r="Y4484" s="28">
        <v>4197269000</v>
      </c>
      <c r="Z4484" s="28">
        <v>1621778000</v>
      </c>
      <c r="AA4484" s="28">
        <v>793454000</v>
      </c>
      <c r="AB4484" s="28">
        <v>1298729000</v>
      </c>
      <c r="AC4484" s="28">
        <v>1711843000</v>
      </c>
      <c r="AD4484" s="28">
        <v>1690220000</v>
      </c>
      <c r="AE4484" s="28">
        <v>11136340000</v>
      </c>
      <c r="AF4484" s="28">
        <v>667237000</v>
      </c>
      <c r="AG4484" s="11"/>
    </row>
    <row r="4485">
      <c r="A4485" s="7" t="s">
        <v>6126</v>
      </c>
      <c r="B4485" s="5" t="s">
        <v>14083</v>
      </c>
      <c r="C4485" s="5" t="s">
        <v>21836</v>
      </c>
      <c r="D4485" s="5" t="str">
        <v>253810036738</v>
      </c>
      <c r="E4485" s="0" t="e">
        <f>+7 (994) 140896
+7 (4232) 222382
+7 (42455) 20121
+7 (42455) 96506
+7 (42455) 96513
+7 (42455) 96549
+7 (42455) 96607
+7 (495) 1183327
+7 (914) 6937922</f>
        <v>#NAME?</v>
      </c>
      <c r="F4485" s="5" t="s">
        <v>38721</v>
      </c>
      <c r="G4485" s="5"/>
      <c r="H4485" s="26">
        <v>6</v>
      </c>
      <c r="I4485" s="5" t="s">
        <v>38722</v>
      </c>
      <c r="J4485" s="5" t="s">
        <v>26424</v>
      </c>
      <c r="K4485" s="5" t="s">
        <v>344</v>
      </c>
      <c r="L4485" s="5"/>
      <c r="M4485" s="27"/>
      <c r="N4485" s="5"/>
      <c r="O4485" s="5" t="str">
        <v>6501289105</v>
      </c>
      <c r="P4485" s="27">
        <v>23414000</v>
      </c>
      <c r="Q4485" s="5"/>
      <c r="R4485" s="5" t="s">
        <v>55928</v>
      </c>
      <c r="S4485" s="5" t="s">
        <v>49029</v>
      </c>
      <c r="T4485" s="28">
        <v>4768302000</v>
      </c>
      <c r="U4485" s="28"/>
      <c r="V4485" s="28">
        <v>967704000</v>
      </c>
      <c r="W4485" s="28"/>
      <c r="X4485" s="28">
        <v>2504000</v>
      </c>
      <c r="Y4485" s="28">
        <v>11373206000</v>
      </c>
      <c r="Z4485" s="28">
        <v>3297999000</v>
      </c>
      <c r="AA4485" s="28"/>
      <c r="AB4485" s="28">
        <v>95000</v>
      </c>
      <c r="AC4485" s="28">
        <v>7640589000</v>
      </c>
      <c r="AD4485" s="28">
        <v>3596413000</v>
      </c>
      <c r="AE4485" s="28">
        <v>7898127000</v>
      </c>
      <c r="AF4485" s="28">
        <v>1615927000</v>
      </c>
      <c r="AG4485" s="11"/>
    </row>
    <row r="4486">
      <c r="A4486" s="7" t="s">
        <v>6127</v>
      </c>
      <c r="B4486" s="5" t="s">
        <v>14084</v>
      </c>
      <c r="C4486" s="5" t="s">
        <v>21837</v>
      </c>
      <c r="D4486" s="5" t="str">
        <v>572700814783</v>
      </c>
      <c r="E4486" s="0" t="e">
        <f>+7 (4862) 458965
+7 (4862) 478988
+7 (4862) 633024
+7 (4862) 999478
+7 (909) 908484
+7 (910) 3080539
+7 (4862) 331721
+7 (4862) 331791
+7 (4862) 439054
+7 (4862) 478982
+7 (4862) 478989
+7 (4862) 554782
+7 (48646) 21406
+7 (903) 6373041</f>
        <v>#NAME?</v>
      </c>
      <c r="F4486" s="5" t="s">
        <v>38723</v>
      </c>
      <c r="G4486" s="5"/>
      <c r="H4486" s="26">
        <v>24</v>
      </c>
      <c r="I4486" s="5" t="s">
        <v>38724</v>
      </c>
      <c r="J4486" s="5" t="s">
        <v>364</v>
      </c>
      <c r="K4486" s="5" t="s">
        <v>355</v>
      </c>
      <c r="L4486" s="5"/>
      <c r="M4486" s="27">
        <v>2749974</v>
      </c>
      <c r="N4486" s="5" t="s">
        <v>56285</v>
      </c>
      <c r="O4486" s="5" t="str">
        <v>5720009052</v>
      </c>
      <c r="P4486" s="27">
        <v>2549288</v>
      </c>
      <c r="Q4486" s="5" t="s">
        <v>56286</v>
      </c>
      <c r="R4486" s="5"/>
      <c r="S4486" s="5" t="s">
        <v>49227</v>
      </c>
      <c r="T4486" s="28">
        <v>257772000</v>
      </c>
      <c r="U4486" s="28">
        <v>149823000</v>
      </c>
      <c r="V4486" s="28">
        <v>344589000</v>
      </c>
      <c r="W4486" s="28">
        <v>134473000</v>
      </c>
      <c r="X4486" s="28">
        <v>31609000</v>
      </c>
      <c r="Y4486" s="28">
        <v>1691251000</v>
      </c>
      <c r="Z4486" s="28">
        <v>-244014000</v>
      </c>
      <c r="AA4486" s="28"/>
      <c r="AB4486" s="28">
        <v>168000000</v>
      </c>
      <c r="AC4486" s="28">
        <v>1452694000</v>
      </c>
      <c r="AD4486" s="28">
        <v>175712000</v>
      </c>
      <c r="AE4486" s="28">
        <v>3415517000</v>
      </c>
      <c r="AF4486" s="28">
        <v>-33375000</v>
      </c>
      <c r="AG4486" s="11"/>
    </row>
    <row r="4487">
      <c r="A4487" s="7" t="s">
        <v>6128</v>
      </c>
      <c r="B4487" s="5" t="s">
        <v>14085</v>
      </c>
      <c r="C4487" s="5" t="s">
        <v>21838</v>
      </c>
      <c r="D4487" s="5" t="str">
        <v>667219767044</v>
      </c>
      <c r="E4487" s="0" t="e">
        <f>+7 (343) 2669329
+7 (343) 2669345
+7 (343) 3335369
+7 (3432) 669300
+7 (3432) 669301</f>
        <v>#NAME?</v>
      </c>
      <c r="F4487" s="5" t="s">
        <v>38725</v>
      </c>
      <c r="G4487" s="5"/>
      <c r="H4487" s="26">
        <v>19</v>
      </c>
      <c r="I4487" s="5" t="s">
        <v>38726</v>
      </c>
      <c r="J4487" s="5" t="s">
        <v>364</v>
      </c>
      <c r="K4487" s="5" t="s">
        <v>344</v>
      </c>
      <c r="L4487" s="5" t="s">
        <v>38727</v>
      </c>
      <c r="M4487" s="27">
        <v>385845</v>
      </c>
      <c r="N4487" s="5"/>
      <c r="O4487" s="5" t="str">
        <v>6672164120</v>
      </c>
      <c r="P4487" s="27">
        <v>10000</v>
      </c>
      <c r="Q4487" s="5"/>
      <c r="R4487" s="5"/>
      <c r="S4487" s="5" t="s">
        <v>49110</v>
      </c>
      <c r="T4487" s="28">
        <v>4764000</v>
      </c>
      <c r="U4487" s="28"/>
      <c r="V4487" s="28">
        <v>610756000</v>
      </c>
      <c r="W4487" s="28">
        <v>39142000</v>
      </c>
      <c r="X4487" s="28">
        <v>4602000</v>
      </c>
      <c r="Y4487" s="28">
        <v>784132000</v>
      </c>
      <c r="Z4487" s="28">
        <v>21139000</v>
      </c>
      <c r="AA4487" s="28"/>
      <c r="AB4487" s="28">
        <v>25029000</v>
      </c>
      <c r="AC4487" s="28">
        <v>762982000</v>
      </c>
      <c r="AD4487" s="28">
        <v>21150000</v>
      </c>
      <c r="AE4487" s="28">
        <v>4559422000</v>
      </c>
      <c r="AF4487" s="28">
        <v>21139000</v>
      </c>
      <c r="AG4487" s="11"/>
    </row>
    <row r="4488">
      <c r="A4488" s="7" t="s">
        <v>6129</v>
      </c>
      <c r="B4488" s="5" t="s">
        <v>13522</v>
      </c>
      <c r="C4488" s="5" t="s">
        <v>21308</v>
      </c>
      <c r="D4488" s="5" t="str">
        <v>525801133390</v>
      </c>
      <c r="E4488" s="0" t="e">
        <f>+7 (495) 3283346
+7 (495) 4249515
+7 (495) 3263000</f>
        <v>#NAME?</v>
      </c>
      <c r="F4488" s="5"/>
      <c r="G4488" s="5" t="s">
        <v>38728</v>
      </c>
      <c r="H4488" s="26">
        <v>15</v>
      </c>
      <c r="I4488" s="5" t="s">
        <v>38729</v>
      </c>
      <c r="J4488" s="5" t="s">
        <v>25219</v>
      </c>
      <c r="K4488" s="5" t="s">
        <v>344</v>
      </c>
      <c r="L4488" s="5" t="s">
        <v>38730</v>
      </c>
      <c r="M4488" s="27"/>
      <c r="N4488" s="5"/>
      <c r="O4488" s="5" t="str">
        <v>7737531091</v>
      </c>
      <c r="P4488" s="27">
        <v>26663334</v>
      </c>
      <c r="Q4488" s="5" t="s">
        <v>49009</v>
      </c>
      <c r="R4488" s="5"/>
      <c r="S4488" s="5" t="s">
        <v>49408</v>
      </c>
      <c r="T4488" s="28">
        <v>6527495000</v>
      </c>
      <c r="U4488" s="28">
        <v>21110000</v>
      </c>
      <c r="V4488" s="28">
        <v>2702917000</v>
      </c>
      <c r="W4488" s="28"/>
      <c r="X4488" s="28">
        <v>1330375000</v>
      </c>
      <c r="Y4488" s="28">
        <v>13361399000</v>
      </c>
      <c r="Z4488" s="28">
        <v>2488951000</v>
      </c>
      <c r="AA4488" s="28"/>
      <c r="AB4488" s="28">
        <v>655769000</v>
      </c>
      <c r="AC4488" s="28">
        <v>4537945000</v>
      </c>
      <c r="AD4488" s="28">
        <v>2515614000</v>
      </c>
      <c r="AE4488" s="28">
        <v>31430269000</v>
      </c>
      <c r="AF4488" s="28">
        <v>638514000</v>
      </c>
      <c r="AG4488" s="11"/>
    </row>
    <row r="4489">
      <c r="A4489" s="7" t="s">
        <v>6130</v>
      </c>
      <c r="B4489" s="5" t="s">
        <v>14086</v>
      </c>
      <c r="C4489" s="5" t="s">
        <v>21839</v>
      </c>
      <c r="D4489" s="5" t="str">
        <v>771806962224</v>
      </c>
      <c r="E4489" s="0" t="e">
        <f>+7 (401) 2567800
+7 (401) 2566576
+7 (401) 2567808
+7 (401) 5721301
+7 (40157) 21447
+7 (916) 1183889
+7 (929) 1684277
+7 (931) 6022575
+7 (963) 9789285</f>
        <v>#NAME?</v>
      </c>
      <c r="F4489" s="5" t="s">
        <v>38731</v>
      </c>
      <c r="G4489" s="5"/>
      <c r="H4489" s="26">
        <v>23.5</v>
      </c>
      <c r="I4489" s="5" t="s">
        <v>38732</v>
      </c>
      <c r="J4489" s="5" t="s">
        <v>25788</v>
      </c>
      <c r="K4489" s="5" t="s">
        <v>344</v>
      </c>
      <c r="L4489" s="5"/>
      <c r="M4489" s="27"/>
      <c r="N4489" s="5"/>
      <c r="O4489" s="5" t="str">
        <v>3923002806</v>
      </c>
      <c r="P4489" s="27">
        <v>59685921</v>
      </c>
      <c r="Q4489" s="5"/>
      <c r="R4489" s="5" t="s">
        <v>56288</v>
      </c>
      <c r="S4489" s="5" t="s">
        <v>49029</v>
      </c>
      <c r="T4489" s="28">
        <v>1070436000</v>
      </c>
      <c r="U4489" s="28">
        <v>117614000</v>
      </c>
      <c r="V4489" s="28">
        <v>4693785000</v>
      </c>
      <c r="W4489" s="28"/>
      <c r="X4489" s="28">
        <v>75968000</v>
      </c>
      <c r="Y4489" s="28">
        <v>7340008000</v>
      </c>
      <c r="Z4489" s="28">
        <v>5965862000</v>
      </c>
      <c r="AA4489" s="28"/>
      <c r="AB4489" s="28"/>
      <c r="AC4489" s="28">
        <v>981313000</v>
      </c>
      <c r="AD4489" s="28">
        <v>6025612000</v>
      </c>
      <c r="AE4489" s="28">
        <v>5362112000</v>
      </c>
      <c r="AF4489" s="28">
        <v>769450000</v>
      </c>
      <c r="AG4489" s="11"/>
    </row>
    <row r="4490">
      <c r="A4490" s="7" t="s">
        <v>6131</v>
      </c>
      <c r="B4490" s="5" t="s">
        <v>14087</v>
      </c>
      <c r="C4490" s="5" t="s">
        <v>21840</v>
      </c>
      <c r="D4490" s="5" t="str">
        <v>773607488645</v>
      </c>
      <c r="E4490" s="0" t="e">
        <f>+7 (3472) 723315
+7 (495) 2211800
+7 (495) 2211802
+7 (495) 4388509
+7 (495) 9700030
+7 (989) 9514014
+7 (989) 9515154
+7 (989) 9520820
+7 (989) 9521160
+7 (989) 9525207</f>
        <v>#NAME?</v>
      </c>
      <c r="F4490" s="5" t="s">
        <v>38733</v>
      </c>
      <c r="G4490" s="5" t="s">
        <v>38734</v>
      </c>
      <c r="H4490" s="26">
        <v>9</v>
      </c>
      <c r="I4490" s="5"/>
      <c r="J4490" s="5" t="s">
        <v>25429</v>
      </c>
      <c r="K4490" s="5" t="s">
        <v>344</v>
      </c>
      <c r="L4490" s="5"/>
      <c r="M4490" s="27"/>
      <c r="N4490" s="5"/>
      <c r="O4490" s="5" t="str">
        <v>5047149534</v>
      </c>
      <c r="P4490" s="27">
        <v>14542273</v>
      </c>
      <c r="Q4490" s="5" t="s">
        <v>49009</v>
      </c>
      <c r="R4490" s="5"/>
      <c r="S4490" s="5" t="s">
        <v>49010</v>
      </c>
      <c r="T4490" s="28">
        <v>206444000</v>
      </c>
      <c r="U4490" s="28">
        <v>12050794000</v>
      </c>
      <c r="V4490" s="28">
        <v>46565066000</v>
      </c>
      <c r="W4490" s="28">
        <v>2472362000</v>
      </c>
      <c r="X4490" s="28">
        <v>32970612000</v>
      </c>
      <c r="Y4490" s="28">
        <v>103615810000</v>
      </c>
      <c r="Z4490" s="28">
        <v>98059279000</v>
      </c>
      <c r="AA4490" s="28"/>
      <c r="AB4490" s="28"/>
      <c r="AC4490" s="28">
        <v>4881698000</v>
      </c>
      <c r="AD4490" s="28">
        <v>98074548000</v>
      </c>
      <c r="AE4490" s="28">
        <v>44250035000</v>
      </c>
      <c r="AF4490" s="28">
        <v>22255556000</v>
      </c>
      <c r="AG4490" s="11"/>
    </row>
    <row r="4491">
      <c r="A4491" s="7" t="s">
        <v>6132</v>
      </c>
      <c r="B4491" s="5" t="s">
        <v>14088</v>
      </c>
      <c r="C4491" s="5" t="s">
        <v>21841</v>
      </c>
      <c r="D4491" s="5" t="str">
        <v>772728812326</v>
      </c>
      <c r="E4491" s="0" t="e">
        <f>+7 (495) 7877027
+7 (495) 7877028</f>
        <v>#NAME?</v>
      </c>
      <c r="F4491" s="5" t="s">
        <v>38735</v>
      </c>
      <c r="G4491" s="5" t="s">
        <v>38736</v>
      </c>
      <c r="H4491" s="26">
        <v>24.5</v>
      </c>
      <c r="I4491" s="5"/>
      <c r="J4491" s="5" t="s">
        <v>1026</v>
      </c>
      <c r="K4491" s="5" t="s">
        <v>344</v>
      </c>
      <c r="L4491" s="5" t="s">
        <v>38737</v>
      </c>
      <c r="M4491" s="27"/>
      <c r="N4491" s="5" t="s">
        <v>56289</v>
      </c>
      <c r="O4491" s="5" t="str">
        <v>7729376075</v>
      </c>
      <c r="P4491" s="27">
        <v>5040000</v>
      </c>
      <c r="Q4491" s="5" t="s">
        <v>56290</v>
      </c>
      <c r="R4491" s="5"/>
      <c r="S4491" s="5" t="s">
        <v>56291</v>
      </c>
      <c r="T4491" s="28">
        <v>136443000</v>
      </c>
      <c r="U4491" s="28">
        <v>9999000</v>
      </c>
      <c r="V4491" s="28">
        <v>984515000</v>
      </c>
      <c r="W4491" s="28"/>
      <c r="X4491" s="28">
        <v>411917000</v>
      </c>
      <c r="Y4491" s="28">
        <v>3790005000</v>
      </c>
      <c r="Z4491" s="28">
        <v>1221299000</v>
      </c>
      <c r="AA4491" s="28"/>
      <c r="AB4491" s="28">
        <v>869623000</v>
      </c>
      <c r="AC4491" s="28">
        <v>2557250000</v>
      </c>
      <c r="AD4491" s="28">
        <v>1227606000</v>
      </c>
      <c r="AE4491" s="28">
        <v>3111089000</v>
      </c>
      <c r="AF4491" s="28">
        <v>41706000</v>
      </c>
      <c r="AG4491" s="11"/>
    </row>
    <row r="4492">
      <c r="A4492" s="7" t="s">
        <v>6133</v>
      </c>
      <c r="B4492" s="5" t="s">
        <v>14089</v>
      </c>
      <c r="C4492" s="5" t="s">
        <v>21842</v>
      </c>
      <c r="D4492" s="5" t="str">
        <v>540628938905</v>
      </c>
      <c r="E4492" s="0" t="e">
        <f>+7 (800) 6003234
+7 (913) 5508384
+7 (951) 1685369</f>
        <v>#NAME?</v>
      </c>
      <c r="F4492" s="5" t="s">
        <v>38738</v>
      </c>
      <c r="G4492" s="5" t="s">
        <v>38739</v>
      </c>
      <c r="H4492" s="26">
        <v>19.5</v>
      </c>
      <c r="I4492" s="5" t="s">
        <v>38740</v>
      </c>
      <c r="J4492" s="5" t="s">
        <v>36400</v>
      </c>
      <c r="K4492" s="5" t="s">
        <v>344</v>
      </c>
      <c r="L4492" s="5" t="s">
        <v>38741</v>
      </c>
      <c r="M4492" s="27"/>
      <c r="N4492" s="5" t="s">
        <v>56292</v>
      </c>
      <c r="O4492" s="5" t="str">
        <v>5405255422</v>
      </c>
      <c r="P4492" s="27">
        <v>13333</v>
      </c>
      <c r="Q4492" s="5" t="s">
        <v>49355</v>
      </c>
      <c r="R4492" s="5" t="s">
        <v>56293</v>
      </c>
      <c r="S4492" s="5" t="s">
        <v>56294</v>
      </c>
      <c r="T4492" s="28">
        <v>143314000</v>
      </c>
      <c r="U4492" s="28"/>
      <c r="V4492" s="28">
        <v>248314000</v>
      </c>
      <c r="W4492" s="28">
        <v>16700000</v>
      </c>
      <c r="X4492" s="28">
        <v>41488000</v>
      </c>
      <c r="Y4492" s="28">
        <v>1110512000</v>
      </c>
      <c r="Z4492" s="28">
        <v>576395000</v>
      </c>
      <c r="AA4492" s="28"/>
      <c r="AB4492" s="28"/>
      <c r="AC4492" s="28">
        <v>399574000</v>
      </c>
      <c r="AD4492" s="28">
        <v>576408000</v>
      </c>
      <c r="AE4492" s="28">
        <v>4387672000</v>
      </c>
      <c r="AF4492" s="28">
        <v>164370000</v>
      </c>
      <c r="AG4492" s="11"/>
    </row>
    <row r="4493">
      <c r="A4493" s="7" t="s">
        <v>6134</v>
      </c>
      <c r="B4493" s="5" t="s">
        <v>14090</v>
      </c>
      <c r="C4493" s="5"/>
      <c r="D4493" s="5"/>
      <c r="E4493" s="0" t="e">
        <f>+7 (925) 4638799
+7 (495) 2131828
+7 (495) 6131828</f>
        <v>#NAME?</v>
      </c>
      <c r="F4493" s="5" t="s">
        <v>38742</v>
      </c>
      <c r="G4493" s="5"/>
      <c r="H4493" s="26">
        <v>13</v>
      </c>
      <c r="I4493" s="5"/>
      <c r="J4493" s="5" t="s">
        <v>25670</v>
      </c>
      <c r="K4493" s="5" t="s">
        <v>344</v>
      </c>
      <c r="L4493" s="5" t="s">
        <v>38743</v>
      </c>
      <c r="M4493" s="27"/>
      <c r="N4493" s="5"/>
      <c r="O4493" s="5" t="str">
        <v>7705906164</v>
      </c>
      <c r="P4493" s="27">
        <v>180000000</v>
      </c>
      <c r="Q4493" s="5" t="s">
        <v>49009</v>
      </c>
      <c r="R4493" s="5"/>
      <c r="S4493" s="5" t="s">
        <v>49010</v>
      </c>
      <c r="T4493" s="28">
        <v>8141000</v>
      </c>
      <c r="U4493" s="28"/>
      <c r="V4493" s="28">
        <v>19340394000</v>
      </c>
      <c r="W4493" s="28"/>
      <c r="X4493" s="28">
        <v>2057175000</v>
      </c>
      <c r="Y4493" s="28">
        <v>25913370000</v>
      </c>
      <c r="Z4493" s="28">
        <v>712695000</v>
      </c>
      <c r="AA4493" s="28">
        <v>16685888000</v>
      </c>
      <c r="AB4493" s="28">
        <v>3058214000</v>
      </c>
      <c r="AC4493" s="28">
        <v>4002887000</v>
      </c>
      <c r="AD4493" s="28">
        <v>909195000</v>
      </c>
      <c r="AE4493" s="28">
        <v>3162022000</v>
      </c>
      <c r="AF4493" s="28">
        <v>410900000</v>
      </c>
      <c r="AG4493" s="11"/>
    </row>
    <row r="4494">
      <c r="A4494" s="7" t="s">
        <v>6135</v>
      </c>
      <c r="B4494" s="5" t="s">
        <v>14091</v>
      </c>
      <c r="C4494" s="5" t="s">
        <v>21843</v>
      </c>
      <c r="D4494" s="5" t="str">
        <v>770804277165</v>
      </c>
      <c r="E4494" s="0" t="e">
        <f>+7 (495) 9959591</f>
        <v>#NAME?</v>
      </c>
      <c r="F4494" s="5" t="s">
        <v>38744</v>
      </c>
      <c r="G4494" s="5" t="s">
        <v>38745</v>
      </c>
      <c r="H4494" s="26">
        <v>5</v>
      </c>
      <c r="I4494" s="5"/>
      <c r="J4494" s="5" t="s">
        <v>599</v>
      </c>
      <c r="K4494" s="5" t="s">
        <v>344</v>
      </c>
      <c r="L4494" s="5" t="s">
        <v>38746</v>
      </c>
      <c r="M4494" s="27"/>
      <c r="N4494" s="5"/>
      <c r="O4494" s="5" t="str">
        <v>9701104646</v>
      </c>
      <c r="P4494" s="27">
        <v>98127000</v>
      </c>
      <c r="Q4494" s="5" t="s">
        <v>56295</v>
      </c>
      <c r="R4494" s="5"/>
      <c r="S4494" s="5" t="s">
        <v>49743</v>
      </c>
      <c r="T4494" s="28">
        <v>25552000</v>
      </c>
      <c r="U4494" s="28"/>
      <c r="V4494" s="28">
        <v>3857475000</v>
      </c>
      <c r="W4494" s="28"/>
      <c r="X4494" s="28">
        <v>4486569000</v>
      </c>
      <c r="Y4494" s="28">
        <v>19470515000</v>
      </c>
      <c r="Z4494" s="28">
        <v>7807583000</v>
      </c>
      <c r="AA4494" s="28"/>
      <c r="AB4494" s="28">
        <v>159000000</v>
      </c>
      <c r="AC4494" s="28">
        <v>5181277000</v>
      </c>
      <c r="AD4494" s="28">
        <v>7910617000</v>
      </c>
      <c r="AE4494" s="28">
        <v>55577083000</v>
      </c>
      <c r="AF4494" s="28">
        <v>4815270000</v>
      </c>
      <c r="AG4494" s="11"/>
    </row>
    <row r="4495">
      <c r="A4495" s="7" t="s">
        <v>6136</v>
      </c>
      <c r="B4495" s="5" t="s">
        <v>14092</v>
      </c>
      <c r="C4495" s="5" t="s">
        <v>21844</v>
      </c>
      <c r="D4495" s="5" t="str">
        <v>502909412496</v>
      </c>
      <c r="E4495" s="0" t="e">
        <f>+7 (495) 2230787</f>
        <v>#NAME?</v>
      </c>
      <c r="F4495" s="5" t="s">
        <v>38747</v>
      </c>
      <c r="G4495" s="5" t="s">
        <v>38748</v>
      </c>
      <c r="H4495" s="26">
        <v>22.5</v>
      </c>
      <c r="I4495" s="5" t="s">
        <v>38749</v>
      </c>
      <c r="J4495" s="5" t="s">
        <v>881</v>
      </c>
      <c r="K4495" s="5" t="s">
        <v>344</v>
      </c>
      <c r="L4495" s="5" t="s">
        <v>38750</v>
      </c>
      <c r="M4495" s="27">
        <v>329541044</v>
      </c>
      <c r="N4495" s="5" t="s">
        <v>56296</v>
      </c>
      <c r="O4495" s="5" t="str">
        <v>7718162032</v>
      </c>
      <c r="P4495" s="27">
        <v>100000000</v>
      </c>
      <c r="Q4495" s="5" t="s">
        <v>56298</v>
      </c>
      <c r="R4495" s="5"/>
      <c r="S4495" s="5" t="s">
        <v>56299</v>
      </c>
      <c r="T4495" s="28">
        <v>25384000</v>
      </c>
      <c r="U4495" s="28"/>
      <c r="V4495" s="28">
        <v>247423000</v>
      </c>
      <c r="W4495" s="28">
        <v>1077498000</v>
      </c>
      <c r="X4495" s="28">
        <v>1819327000</v>
      </c>
      <c r="Y4495" s="28">
        <v>4536503000</v>
      </c>
      <c r="Z4495" s="28">
        <v>208724000</v>
      </c>
      <c r="AA4495" s="28"/>
      <c r="AB4495" s="28">
        <v>2563442000</v>
      </c>
      <c r="AC4495" s="28">
        <v>3908279000</v>
      </c>
      <c r="AD4495" s="28">
        <v>628224000</v>
      </c>
      <c r="AE4495" s="28">
        <v>6891573000</v>
      </c>
      <c r="AF4495" s="28">
        <v>169216000</v>
      </c>
      <c r="AG4495" s="11"/>
    </row>
    <row r="4496">
      <c r="A4496" s="7" t="s">
        <v>6137</v>
      </c>
      <c r="B4496" s="5" t="s">
        <v>14093</v>
      </c>
      <c r="C4496" s="5" t="s">
        <v>21845</v>
      </c>
      <c r="D4496" s="5" t="str">
        <v>231000512862</v>
      </c>
      <c r="E4496" s="0" t="e">
        <f>+7 (918) 2327588
+7 (918) 232758</f>
        <v>#NAME?</v>
      </c>
      <c r="F4496" s="5"/>
      <c r="G4496" s="5"/>
      <c r="H4496" s="26">
        <v>9</v>
      </c>
      <c r="I4496" s="5" t="s">
        <v>38751</v>
      </c>
      <c r="J4496" s="5" t="s">
        <v>25429</v>
      </c>
      <c r="K4496" s="5" t="s">
        <v>344</v>
      </c>
      <c r="L4496" s="5" t="s">
        <v>32335</v>
      </c>
      <c r="M4496" s="27"/>
      <c r="N4496" s="5" t="s">
        <v>56300</v>
      </c>
      <c r="O4496" s="5" t="str">
        <v>2309139749</v>
      </c>
      <c r="P4496" s="27">
        <v>10000</v>
      </c>
      <c r="Q4496" s="5" t="s">
        <v>49009</v>
      </c>
      <c r="R4496" s="5"/>
      <c r="S4496" s="5" t="s">
        <v>56301</v>
      </c>
      <c r="T4496" s="28">
        <v>675284000</v>
      </c>
      <c r="U4496" s="28">
        <v>6886000</v>
      </c>
      <c r="V4496" s="28">
        <v>2908205000</v>
      </c>
      <c r="W4496" s="28"/>
      <c r="X4496" s="28">
        <v>14495000</v>
      </c>
      <c r="Y4496" s="28">
        <v>8364762000</v>
      </c>
      <c r="Z4496" s="28">
        <v>280914000</v>
      </c>
      <c r="AA4496" s="28"/>
      <c r="AB4496" s="28">
        <v>526776000</v>
      </c>
      <c r="AC4496" s="28">
        <v>7632955000</v>
      </c>
      <c r="AD4496" s="28">
        <v>280924000</v>
      </c>
      <c r="AE4496" s="28">
        <v>23556346000</v>
      </c>
      <c r="AF4496" s="28">
        <v>190598000</v>
      </c>
      <c r="AG4496" s="11"/>
    </row>
    <row r="4497">
      <c r="A4497" s="7" t="s">
        <v>6138</v>
      </c>
      <c r="B4497" s="5" t="s">
        <v>14094</v>
      </c>
      <c r="C4497" s="5" t="s">
        <v>21846</v>
      </c>
      <c r="D4497" s="5"/>
      <c r="E4497" s="0" t="e">
        <f>+7 (84661) 20123
+7 (84661) 40757
+7 (84699) 35464</f>
        <v>#NAME?</v>
      </c>
      <c r="F4497" s="5" t="s">
        <v>38752</v>
      </c>
      <c r="G4497" s="5" t="s">
        <v>38753</v>
      </c>
      <c r="H4497" s="26">
        <v>19</v>
      </c>
      <c r="I4497" s="5" t="s">
        <v>38754</v>
      </c>
      <c r="J4497" s="5" t="s">
        <v>28226</v>
      </c>
      <c r="K4497" s="5" t="s">
        <v>380</v>
      </c>
      <c r="L4497" s="5" t="s">
        <v>38755</v>
      </c>
      <c r="M4497" s="27">
        <v>192531462</v>
      </c>
      <c r="N4497" s="5" t="s">
        <v>56302</v>
      </c>
      <c r="O4497" s="5" t="str">
        <v>6340008625</v>
      </c>
      <c r="P4497" s="27">
        <v>10000</v>
      </c>
      <c r="Q4497" s="5" t="s">
        <v>56303</v>
      </c>
      <c r="R4497" s="5"/>
      <c r="S4497" s="5" t="s">
        <v>56304</v>
      </c>
      <c r="T4497" s="28">
        <v>290334000</v>
      </c>
      <c r="U4497" s="28">
        <v>18000</v>
      </c>
      <c r="V4497" s="28">
        <v>2214046000</v>
      </c>
      <c r="W4497" s="28">
        <v>33597000</v>
      </c>
      <c r="X4497" s="28">
        <v>410957000</v>
      </c>
      <c r="Y4497" s="28">
        <v>4026119000</v>
      </c>
      <c r="Z4497" s="28">
        <v>1045880000</v>
      </c>
      <c r="AA4497" s="28">
        <v>347949000</v>
      </c>
      <c r="AB4497" s="28">
        <v>418046000</v>
      </c>
      <c r="AC4497" s="28">
        <v>2518251000</v>
      </c>
      <c r="AD4497" s="28">
        <v>1092674000</v>
      </c>
      <c r="AE4497" s="28">
        <v>5280010000</v>
      </c>
      <c r="AF4497" s="28">
        <v>66731000</v>
      </c>
      <c r="AG4497" s="11"/>
    </row>
    <row r="4498">
      <c r="A4498" s="7" t="s">
        <v>6139</v>
      </c>
      <c r="B4498" s="5" t="s">
        <v>14095</v>
      </c>
      <c r="C4498" s="5" t="s">
        <v>21847</v>
      </c>
      <c r="D4498" s="5" t="str">
        <v>773372178586</v>
      </c>
      <c r="E4498" s="0" t="e">
        <f>+7 (495) 6486843
+7 (4985) 690714</f>
        <v>#NAME?</v>
      </c>
      <c r="F4498" s="5" t="s">
        <v>38756</v>
      </c>
      <c r="G4498" s="5" t="s">
        <v>38757</v>
      </c>
      <c r="H4498" s="26">
        <v>7.5</v>
      </c>
      <c r="I4498" s="5" t="s">
        <v>38758</v>
      </c>
      <c r="J4498" s="5" t="s">
        <v>373</v>
      </c>
      <c r="K4498" s="5" t="s">
        <v>355</v>
      </c>
      <c r="L4498" s="5" t="s">
        <v>38759</v>
      </c>
      <c r="M4498" s="27"/>
      <c r="N4498" s="5" t="s">
        <v>56305</v>
      </c>
      <c r="O4498" s="5" t="str">
        <v>7704330015</v>
      </c>
      <c r="P4498" s="27">
        <v>1000000</v>
      </c>
      <c r="Q4498" s="5" t="s">
        <v>56306</v>
      </c>
      <c r="R4498" s="5"/>
      <c r="S4498" s="5" t="s">
        <v>56307</v>
      </c>
      <c r="T4498" s="28">
        <v>355388000</v>
      </c>
      <c r="U4498" s="28"/>
      <c r="V4498" s="28">
        <v>1432033000</v>
      </c>
      <c r="W4498" s="28">
        <v>12100000</v>
      </c>
      <c r="X4498" s="28">
        <v>15385000</v>
      </c>
      <c r="Y4498" s="28">
        <v>3115822000</v>
      </c>
      <c r="Z4498" s="28">
        <v>335037000</v>
      </c>
      <c r="AA4498" s="28">
        <v>350000000</v>
      </c>
      <c r="AB4498" s="28">
        <v>918656000</v>
      </c>
      <c r="AC4498" s="28">
        <v>2411064000</v>
      </c>
      <c r="AD4498" s="28">
        <v>335937000</v>
      </c>
      <c r="AE4498" s="28">
        <v>9212593000</v>
      </c>
      <c r="AF4498" s="28">
        <v>86307000</v>
      </c>
      <c r="AG4498" s="11"/>
    </row>
    <row r="4499">
      <c r="A4499" s="7" t="s">
        <v>6140</v>
      </c>
      <c r="B4499" s="5" t="s">
        <v>14096</v>
      </c>
      <c r="C4499" s="5" t="s">
        <v>21848</v>
      </c>
      <c r="D4499" s="5" t="str">
        <v>323210744556</v>
      </c>
      <c r="E4499" s="0" t="e">
        <f>+7 (495) 9883614
+7 (495) 7256626
+7 (495) 9883913
+7 (495) 9884507
+7 (903) 1221753
+7 (985) 1047370</f>
        <v>#NAME?</v>
      </c>
      <c r="F4499" s="5" t="s">
        <v>38760</v>
      </c>
      <c r="G4499" s="5" t="s">
        <v>38761</v>
      </c>
      <c r="H4499" s="26">
        <v>7</v>
      </c>
      <c r="I4499" s="5" t="s">
        <v>38762</v>
      </c>
      <c r="J4499" s="5" t="s">
        <v>599</v>
      </c>
      <c r="K4499" s="5" t="s">
        <v>355</v>
      </c>
      <c r="L4499" s="5"/>
      <c r="M4499" s="27">
        <v>5414497</v>
      </c>
      <c r="N4499" s="5" t="s">
        <v>56308</v>
      </c>
      <c r="O4499" s="5" t="str">
        <v>5053042571</v>
      </c>
      <c r="P4499" s="27">
        <v>10000000</v>
      </c>
      <c r="Q4499" s="5" t="s">
        <v>49059</v>
      </c>
      <c r="R4499" s="5"/>
      <c r="S4499" s="5" t="s">
        <v>49110</v>
      </c>
      <c r="T4499" s="28">
        <v>11783310000</v>
      </c>
      <c r="U4499" s="28">
        <v>62312000</v>
      </c>
      <c r="V4499" s="28">
        <v>566165000</v>
      </c>
      <c r="W4499" s="28"/>
      <c r="X4499" s="28">
        <v>247718000</v>
      </c>
      <c r="Y4499" s="28">
        <v>14222307000</v>
      </c>
      <c r="Z4499" s="28">
        <v>825858000</v>
      </c>
      <c r="AA4499" s="28">
        <v>10927521000</v>
      </c>
      <c r="AB4499" s="28">
        <v>1350913000</v>
      </c>
      <c r="AC4499" s="28">
        <v>1859131000</v>
      </c>
      <c r="AD4499" s="28">
        <v>835858000</v>
      </c>
      <c r="AE4499" s="28">
        <v>4417848000</v>
      </c>
      <c r="AF4499" s="28">
        <v>940166000</v>
      </c>
      <c r="AG4499" s="11"/>
    </row>
    <row r="4500">
      <c r="A4500" s="7" t="s">
        <v>6141</v>
      </c>
      <c r="B4500" s="5" t="s">
        <v>14097</v>
      </c>
      <c r="C4500" s="5" t="s">
        <v>21849</v>
      </c>
      <c r="D4500" s="5" t="str">
        <v>773317510440</v>
      </c>
      <c r="E4500" s="0" t="e">
        <f>+7 (495) 4568360
+7 (495) 5643860</f>
        <v>#NAME?</v>
      </c>
      <c r="F4500" s="5" t="s">
        <v>38763</v>
      </c>
      <c r="G4500" s="5" t="s">
        <v>38764</v>
      </c>
      <c r="H4500" s="26">
        <v>24.5</v>
      </c>
      <c r="I4500" s="5" t="s">
        <v>38765</v>
      </c>
      <c r="J4500" s="5" t="s">
        <v>26767</v>
      </c>
      <c r="K4500" s="5" t="s">
        <v>344</v>
      </c>
      <c r="L4500" s="5" t="s">
        <v>38766</v>
      </c>
      <c r="M4500" s="27"/>
      <c r="N4500" s="5" t="s">
        <v>56309</v>
      </c>
      <c r="O4500" s="5" t="str">
        <v>7725093020</v>
      </c>
      <c r="P4500" s="27">
        <v>10500000</v>
      </c>
      <c r="Q4500" s="5" t="s">
        <v>56310</v>
      </c>
      <c r="R4500" s="5"/>
      <c r="S4500" s="5" t="s">
        <v>49173</v>
      </c>
      <c r="T4500" s="28">
        <v>92605000</v>
      </c>
      <c r="U4500" s="28">
        <v>500000</v>
      </c>
      <c r="V4500" s="28">
        <v>142914000</v>
      </c>
      <c r="W4500" s="28"/>
      <c r="X4500" s="28">
        <v>1095429000</v>
      </c>
      <c r="Y4500" s="28">
        <v>2060508000</v>
      </c>
      <c r="Z4500" s="28">
        <v>1246269000</v>
      </c>
      <c r="AA4500" s="28"/>
      <c r="AB4500" s="28"/>
      <c r="AC4500" s="28">
        <v>755781000</v>
      </c>
      <c r="AD4500" s="28">
        <v>1256769000</v>
      </c>
      <c r="AE4500" s="28">
        <v>4058133000</v>
      </c>
      <c r="AF4500" s="28">
        <v>477369000</v>
      </c>
      <c r="AG4500" s="11"/>
    </row>
    <row r="4501">
      <c r="A4501" s="7" t="s">
        <v>6142</v>
      </c>
      <c r="B4501" s="5" t="s">
        <v>14098</v>
      </c>
      <c r="C4501" s="5" t="s">
        <v>20850</v>
      </c>
      <c r="D4501" s="5" t="str">
        <v>400702949136</v>
      </c>
      <c r="E4501" s="0" t="e">
        <f>+7 (495) 7487906</f>
        <v>#NAME?</v>
      </c>
      <c r="F4501" s="5"/>
      <c r="G4501" s="5"/>
      <c r="H4501" s="26">
        <v>6.5</v>
      </c>
      <c r="I4501" s="5" t="s">
        <v>38767</v>
      </c>
      <c r="J4501" s="5" t="s">
        <v>25484</v>
      </c>
      <c r="K4501" s="5" t="s">
        <v>355</v>
      </c>
      <c r="L4501" s="5" t="s">
        <v>38768</v>
      </c>
      <c r="M4501" s="27">
        <v>82706282</v>
      </c>
      <c r="N4501" s="5"/>
      <c r="O4501" s="5" t="str">
        <v>7708300861</v>
      </c>
      <c r="P4501" s="27">
        <v>10100000</v>
      </c>
      <c r="Q4501" s="5" t="s">
        <v>56311</v>
      </c>
      <c r="R4501" s="5" t="s">
        <v>56312</v>
      </c>
      <c r="S4501" s="5" t="s">
        <v>56313</v>
      </c>
      <c r="T4501" s="28"/>
      <c r="U4501" s="28"/>
      <c r="V4501" s="28">
        <v>2528237000</v>
      </c>
      <c r="W4501" s="28"/>
      <c r="X4501" s="28">
        <v>440000</v>
      </c>
      <c r="Y4501" s="28">
        <v>46723507000</v>
      </c>
      <c r="Z4501" s="28">
        <v>18371834000</v>
      </c>
      <c r="AA4501" s="28">
        <v>21346683000</v>
      </c>
      <c r="AB4501" s="28">
        <v>474507000</v>
      </c>
      <c r="AC4501" s="28">
        <v>1159979000</v>
      </c>
      <c r="AD4501" s="28">
        <v>17530838000</v>
      </c>
      <c r="AE4501" s="28">
        <v>5063312000</v>
      </c>
      <c r="AF4501" s="28">
        <v>815078000</v>
      </c>
      <c r="AG4501" s="11"/>
    </row>
    <row r="4502">
      <c r="A4502" s="7" t="s">
        <v>6143</v>
      </c>
      <c r="B4502" s="5" t="s">
        <v>14099</v>
      </c>
      <c r="C4502" s="5" t="s">
        <v>21850</v>
      </c>
      <c r="D4502" s="5" t="str">
        <v>771800824098</v>
      </c>
      <c r="E4502" s="0" t="e">
        <f>+7 (495) 7870925
+7 (495) 7870926
+7 (495) 7870927
+7 (495) 7870930
+7 (495) 7870901
+7 (499) 2423244
+7 (499) 2466829</f>
        <v>#NAME?</v>
      </c>
      <c r="F4502" s="5" t="s">
        <v>38769</v>
      </c>
      <c r="G4502" s="5"/>
      <c r="H4502" s="26">
        <v>20.5</v>
      </c>
      <c r="I4502" s="5"/>
      <c r="J4502" s="5" t="s">
        <v>502</v>
      </c>
      <c r="K4502" s="5" t="s">
        <v>344</v>
      </c>
      <c r="L4502" s="5"/>
      <c r="M4502" s="27"/>
      <c r="N4502" s="5"/>
      <c r="O4502" s="5" t="str">
        <v>7713321151</v>
      </c>
      <c r="P4502" s="27">
        <v>2004900000</v>
      </c>
      <c r="Q4502" s="5" t="s">
        <v>56314</v>
      </c>
      <c r="R4502" s="5"/>
      <c r="S4502" s="5" t="s">
        <v>51188</v>
      </c>
      <c r="T4502" s="28">
        <v>1439952000</v>
      </c>
      <c r="U4502" s="28">
        <v>9426978000</v>
      </c>
      <c r="V4502" s="28">
        <v>2878727000</v>
      </c>
      <c r="W4502" s="28">
        <v>670550000</v>
      </c>
      <c r="X4502" s="28">
        <v>663466000</v>
      </c>
      <c r="Y4502" s="28">
        <v>19252171000</v>
      </c>
      <c r="Z4502" s="28">
        <v>-2816419000</v>
      </c>
      <c r="AA4502" s="28">
        <v>10071655000</v>
      </c>
      <c r="AB4502" s="28">
        <v>51985000</v>
      </c>
      <c r="AC4502" s="28">
        <v>1475853000</v>
      </c>
      <c r="AD4502" s="28">
        <v>7666242000</v>
      </c>
      <c r="AE4502" s="28">
        <v>5992026000</v>
      </c>
      <c r="AF4502" s="28">
        <v>292925000</v>
      </c>
      <c r="AG4502" s="11"/>
    </row>
    <row r="4503">
      <c r="A4503" s="7" t="s">
        <v>6144</v>
      </c>
      <c r="B4503" s="5" t="s">
        <v>14100</v>
      </c>
      <c r="C4503" s="5" t="s">
        <v>21851</v>
      </c>
      <c r="D4503" s="5" t="str">
        <v>613919271750</v>
      </c>
      <c r="E4503" s="0" t="e">
        <f>+7 (861) 4841391
+7 (495) 7870901
+7 (861) 7870901
+7 (86148) 60963
+7 (86148) 60973
+7 (86148) 86148</f>
        <v>#NAME?</v>
      </c>
      <c r="F4503" s="5" t="s">
        <v>38770</v>
      </c>
      <c r="G4503" s="5"/>
      <c r="H4503" s="26">
        <v>16.5</v>
      </c>
      <c r="I4503" s="5" t="s">
        <v>38771</v>
      </c>
      <c r="J4503" s="5" t="s">
        <v>26905</v>
      </c>
      <c r="K4503" s="5" t="s">
        <v>344</v>
      </c>
      <c r="L4503" s="5" t="s">
        <v>38772</v>
      </c>
      <c r="M4503" s="27">
        <v>7207141</v>
      </c>
      <c r="N4503" s="5"/>
      <c r="O4503" s="5" t="str">
        <v>2352039652</v>
      </c>
      <c r="P4503" s="27">
        <v>7489861832</v>
      </c>
      <c r="Q4503" s="5" t="s">
        <v>56315</v>
      </c>
      <c r="R4503" s="5"/>
      <c r="S4503" s="5" t="s">
        <v>52597</v>
      </c>
      <c r="T4503" s="28">
        <v>236295742000</v>
      </c>
      <c r="U4503" s="28">
        <v>46448539000</v>
      </c>
      <c r="V4503" s="28">
        <v>3047093000</v>
      </c>
      <c r="W4503" s="28">
        <v>58000000</v>
      </c>
      <c r="X4503" s="28">
        <v>27065216000</v>
      </c>
      <c r="Y4503" s="28">
        <v>326702230000</v>
      </c>
      <c r="Z4503" s="28">
        <v>79532700000</v>
      </c>
      <c r="AA4503" s="28">
        <v>140698214000</v>
      </c>
      <c r="AB4503" s="28">
        <v>8517275000</v>
      </c>
      <c r="AC4503" s="28">
        <v>51183296000</v>
      </c>
      <c r="AD4503" s="28">
        <v>120800701000</v>
      </c>
      <c r="AE4503" s="28">
        <v>84428864000</v>
      </c>
      <c r="AF4503" s="28">
        <v>60119641000</v>
      </c>
      <c r="AG4503" s="11"/>
    </row>
    <row r="4504">
      <c r="A4504" s="7" t="s">
        <v>6145</v>
      </c>
      <c r="B4504" s="5" t="s">
        <v>14100</v>
      </c>
      <c r="C4504" s="5" t="s">
        <v>21852</v>
      </c>
      <c r="D4504" s="5" t="str">
        <v>233701681580</v>
      </c>
      <c r="E4504" s="0" t="e">
        <f>+7 (495) 7862657
+7 (86148) 60953</f>
        <v>#NAME?</v>
      </c>
      <c r="F4504" s="5"/>
      <c r="G4504" s="5" t="s">
        <v>38773</v>
      </c>
      <c r="H4504" s="26">
        <v>16.5</v>
      </c>
      <c r="I4504" s="5" t="s">
        <v>38774</v>
      </c>
      <c r="J4504" s="5" t="s">
        <v>38775</v>
      </c>
      <c r="K4504" s="5" t="s">
        <v>344</v>
      </c>
      <c r="L4504" s="5" t="s">
        <v>38776</v>
      </c>
      <c r="M4504" s="27"/>
      <c r="N4504" s="5"/>
      <c r="O4504" s="5" t="str">
        <v>2352039660</v>
      </c>
      <c r="P4504" s="27">
        <v>380061000</v>
      </c>
      <c r="Q4504" s="5"/>
      <c r="R4504" s="5"/>
      <c r="S4504" s="5" t="s">
        <v>49121</v>
      </c>
      <c r="T4504" s="28">
        <v>8349051000</v>
      </c>
      <c r="U4504" s="28">
        <v>510000</v>
      </c>
      <c r="V4504" s="28">
        <v>363997000</v>
      </c>
      <c r="W4504" s="28"/>
      <c r="X4504" s="28">
        <v>778040000</v>
      </c>
      <c r="Y4504" s="28">
        <v>13702381000</v>
      </c>
      <c r="Z4504" s="28">
        <v>1188669000</v>
      </c>
      <c r="AA4504" s="28">
        <v>3166072000</v>
      </c>
      <c r="AB4504" s="28">
        <v>826838000</v>
      </c>
      <c r="AC4504" s="28">
        <v>5060029000</v>
      </c>
      <c r="AD4504" s="28">
        <v>4681202000</v>
      </c>
      <c r="AE4504" s="28">
        <v>3263525000</v>
      </c>
      <c r="AF4504" s="28">
        <v>388862000</v>
      </c>
      <c r="AG4504" s="11"/>
    </row>
    <row r="4505">
      <c r="A4505" s="7" t="s">
        <v>6146</v>
      </c>
      <c r="B4505" s="5" t="s">
        <v>14101</v>
      </c>
      <c r="C4505" s="5" t="s">
        <v>21853</v>
      </c>
      <c r="D4505" s="5"/>
      <c r="E4505" s="0" t="e">
        <f>+7 (3843) 997061
+7 (3843) 321193
+7 (384) 3997377
+7 (3843) 310027
+7 (3843) 310047
+7 (3843) 745089</f>
        <v>#NAME?</v>
      </c>
      <c r="F4505" s="5" t="s">
        <v>38777</v>
      </c>
      <c r="G4505" s="5"/>
      <c r="H4505" s="26">
        <v>20</v>
      </c>
      <c r="I4505" s="5" t="s">
        <v>38778</v>
      </c>
      <c r="J4505" s="5" t="s">
        <v>38779</v>
      </c>
      <c r="K4505" s="5" t="s">
        <v>344</v>
      </c>
      <c r="L4505" s="5" t="s">
        <v>38780</v>
      </c>
      <c r="M4505" s="27">
        <v>5379379</v>
      </c>
      <c r="N4505" s="5" t="s">
        <v>51195</v>
      </c>
      <c r="O4505" s="5" t="str">
        <v>4216008176</v>
      </c>
      <c r="P4505" s="27">
        <v>1366000</v>
      </c>
      <c r="Q4505" s="5"/>
      <c r="R4505" s="5" t="s">
        <v>56316</v>
      </c>
      <c r="S4505" s="5" t="s">
        <v>49425</v>
      </c>
      <c r="T4505" s="28">
        <v>9856391000</v>
      </c>
      <c r="U4505" s="28">
        <v>13347447000</v>
      </c>
      <c r="V4505" s="28">
        <v>4902003000</v>
      </c>
      <c r="W4505" s="28">
        <v>254219000</v>
      </c>
      <c r="X4505" s="28">
        <v>6088000</v>
      </c>
      <c r="Y4505" s="28">
        <v>31497083000</v>
      </c>
      <c r="Z4505" s="28">
        <v>18411652000</v>
      </c>
      <c r="AA4505" s="28"/>
      <c r="AB4505" s="28"/>
      <c r="AC4505" s="28">
        <v>2429766000</v>
      </c>
      <c r="AD4505" s="28">
        <v>25630479000</v>
      </c>
      <c r="AE4505" s="28">
        <v>10220588000</v>
      </c>
      <c r="AF4505" s="28">
        <v>861259000</v>
      </c>
      <c r="AG4505" s="11"/>
    </row>
    <row r="4506">
      <c r="A4506" s="7" t="s">
        <v>6147</v>
      </c>
      <c r="B4506" s="5" t="s">
        <v>14102</v>
      </c>
      <c r="C4506" s="5" t="s">
        <v>21854</v>
      </c>
      <c r="D4506" s="5" t="str">
        <v>781613498813</v>
      </c>
      <c r="E4506" s="0" t="e">
        <f>+7 (800) 2001070
+7 (812) 2685357
+7 (812) 3466121
+7 (812) 3525315
+7 (812) 4491111
+7 (812) 4499111
+7 (812) 4499504
+7 (812) 4499559
+7 (812) 4987635
+7 (812) 6066253
+7 (812) 1665278
+7 (812) 4479932
+7 (812) 4499327
+7 (812) 4499411
+7 (812) 4932919</f>
        <v>#NAME?</v>
      </c>
      <c r="F4506" s="5" t="s">
        <v>38781</v>
      </c>
      <c r="G4506" s="5" t="s">
        <v>38782</v>
      </c>
      <c r="H4506" s="26">
        <v>24.5</v>
      </c>
      <c r="I4506" s="5" t="s">
        <v>38783</v>
      </c>
      <c r="J4506" s="5" t="s">
        <v>373</v>
      </c>
      <c r="K4506" s="5" t="s">
        <v>344</v>
      </c>
      <c r="L4506" s="5"/>
      <c r="M4506" s="27">
        <v>1900336</v>
      </c>
      <c r="N4506" s="5" t="s">
        <v>56317</v>
      </c>
      <c r="O4506" s="5" t="str">
        <v>4710011460</v>
      </c>
      <c r="P4506" s="27">
        <v>2000000</v>
      </c>
      <c r="Q4506" s="5" t="s">
        <v>56318</v>
      </c>
      <c r="R4506" s="5"/>
      <c r="S4506" s="5" t="s">
        <v>56319</v>
      </c>
      <c r="T4506" s="28">
        <v>185000</v>
      </c>
      <c r="U4506" s="28"/>
      <c r="V4506" s="28">
        <v>737761000</v>
      </c>
      <c r="W4506" s="28"/>
      <c r="X4506" s="28">
        <v>19607000</v>
      </c>
      <c r="Y4506" s="28">
        <v>846908000</v>
      </c>
      <c r="Z4506" s="28">
        <v>64069000</v>
      </c>
      <c r="AA4506" s="28"/>
      <c r="AB4506" s="28">
        <v>461266000</v>
      </c>
      <c r="AC4506" s="28">
        <v>780839000</v>
      </c>
      <c r="AD4506" s="28">
        <v>66069000</v>
      </c>
      <c r="AE4506" s="28">
        <v>3514736000</v>
      </c>
      <c r="AF4506" s="28">
        <v>38260000</v>
      </c>
      <c r="AG4506" s="11"/>
    </row>
    <row r="4507">
      <c r="A4507" s="7" t="s">
        <v>6148</v>
      </c>
      <c r="B4507" s="5" t="s">
        <v>14103</v>
      </c>
      <c r="C4507" s="5" t="s">
        <v>21855</v>
      </c>
      <c r="D4507" s="5" t="str">
        <v>502909518189</v>
      </c>
      <c r="E4507" s="0" t="e">
        <f>+7 (495) 2343794
+7 (499) 2343794
+7 (903) 7554204
+7 (903) 7730932
+7 (903) 9714482</f>
        <v>#NAME?</v>
      </c>
      <c r="F4507" s="5"/>
      <c r="G4507" s="5" t="s">
        <v>38784</v>
      </c>
      <c r="H4507" s="26">
        <v>28.5</v>
      </c>
      <c r="I4507" s="5"/>
      <c r="J4507" s="5" t="s">
        <v>38785</v>
      </c>
      <c r="K4507" s="5" t="s">
        <v>344</v>
      </c>
      <c r="L4507" s="5" t="s">
        <v>38786</v>
      </c>
      <c r="M4507" s="27"/>
      <c r="N4507" s="5"/>
      <c r="O4507" s="5" t="str">
        <v>7707030771</v>
      </c>
      <c r="P4507" s="27">
        <v>5000000</v>
      </c>
      <c r="Q4507" s="5" t="s">
        <v>49009</v>
      </c>
      <c r="R4507" s="5"/>
      <c r="S4507" s="5" t="s">
        <v>49045</v>
      </c>
      <c r="T4507" s="28">
        <v>227704000</v>
      </c>
      <c r="U4507" s="28">
        <v>45509000</v>
      </c>
      <c r="V4507" s="28">
        <v>772743000</v>
      </c>
      <c r="W4507" s="28">
        <v>60000000</v>
      </c>
      <c r="X4507" s="28">
        <v>20795000</v>
      </c>
      <c r="Y4507" s="28">
        <v>2913774000</v>
      </c>
      <c r="Z4507" s="28">
        <v>231004000</v>
      </c>
      <c r="AA4507" s="28">
        <v>393930000</v>
      </c>
      <c r="AB4507" s="28">
        <v>767098000</v>
      </c>
      <c r="AC4507" s="28">
        <v>1802712000</v>
      </c>
      <c r="AD4507" s="28">
        <v>563554000</v>
      </c>
      <c r="AE4507" s="28">
        <v>5129646000</v>
      </c>
      <c r="AF4507" s="28">
        <v>156204000</v>
      </c>
      <c r="AG4507" s="11"/>
    </row>
    <row r="4508">
      <c r="A4508" s="7" t="s">
        <v>6149</v>
      </c>
      <c r="B4508" s="5" t="s">
        <v>14104</v>
      </c>
      <c r="C4508" s="5" t="s">
        <v>21856</v>
      </c>
      <c r="D4508" s="5" t="str">
        <v>366600142004</v>
      </c>
      <c r="E4508" s="0" t="e">
        <f>+7 (473) 2502938
+7 (473) 2463981
+7 (473) 2463989
+7 (473) 2670536
+7 (473) 2200538
+7 (473) 2425825
+7 (473) 2475828
+7 (473) 2502914
+7 (905) 7673034</f>
        <v>#NAME?</v>
      </c>
      <c r="F4508" s="5"/>
      <c r="G4508" s="5"/>
      <c r="H4508" s="26">
        <v>15.5</v>
      </c>
      <c r="I4508" s="5" t="s">
        <v>38787</v>
      </c>
      <c r="J4508" s="5" t="s">
        <v>38785</v>
      </c>
      <c r="K4508" s="5" t="s">
        <v>344</v>
      </c>
      <c r="L4508" s="5" t="s">
        <v>38788</v>
      </c>
      <c r="M4508" s="27"/>
      <c r="N4508" s="5"/>
      <c r="O4508" s="5" t="str">
        <v>3666147178</v>
      </c>
      <c r="P4508" s="27">
        <v>6000000</v>
      </c>
      <c r="Q4508" s="5"/>
      <c r="R4508" s="5"/>
      <c r="S4508" s="5" t="s">
        <v>49110</v>
      </c>
      <c r="T4508" s="28">
        <v>23000</v>
      </c>
      <c r="U4508" s="28"/>
      <c r="V4508" s="28">
        <v>1030676000</v>
      </c>
      <c r="W4508" s="28"/>
      <c r="X4508" s="28">
        <v>22567000</v>
      </c>
      <c r="Y4508" s="28">
        <v>1869023000</v>
      </c>
      <c r="Z4508" s="28">
        <v>398486000</v>
      </c>
      <c r="AA4508" s="28"/>
      <c r="AB4508" s="28">
        <v>426217000</v>
      </c>
      <c r="AC4508" s="28">
        <v>1464147000</v>
      </c>
      <c r="AD4508" s="28">
        <v>404486000</v>
      </c>
      <c r="AE4508" s="28">
        <v>6751105000</v>
      </c>
      <c r="AF4508" s="28">
        <v>159712000</v>
      </c>
      <c r="AG4508" s="11"/>
    </row>
    <row r="4509">
      <c r="A4509" s="7" t="s">
        <v>6150</v>
      </c>
      <c r="B4509" s="5" t="s">
        <v>14105</v>
      </c>
      <c r="C4509" s="5" t="s">
        <v>21856</v>
      </c>
      <c r="D4509" s="5" t="str">
        <v>366600142004</v>
      </c>
      <c r="E4509" s="0" t="e">
        <f>+7 (473) 2425814
+7 (4712) 349595
+7 (4712) 773188
+7 (473) 2008824
+7 (473) 2502894
+7 (473) 2502950
+7 (473) 2646554
+7 (473) 2658947
+7 (473) 2425811
+7 (473) 2425812
+7 (473) 2425813
+7 (473) 2502226
+7 (473) 2502502
+7 (473) 2502686
+7 (473) 2502953</f>
        <v>#NAME?</v>
      </c>
      <c r="F4509" s="5" t="s">
        <v>38789</v>
      </c>
      <c r="G4509" s="5" t="s">
        <v>38790</v>
      </c>
      <c r="H4509" s="26">
        <v>19</v>
      </c>
      <c r="I4509" s="5" t="s">
        <v>38791</v>
      </c>
      <c r="J4509" s="5" t="s">
        <v>38785</v>
      </c>
      <c r="K4509" s="5" t="s">
        <v>344</v>
      </c>
      <c r="L4509" s="5" t="s">
        <v>38792</v>
      </c>
      <c r="M4509" s="27"/>
      <c r="N4509" s="5" t="s">
        <v>56320</v>
      </c>
      <c r="O4509" s="5" t="str">
        <v>3666113066</v>
      </c>
      <c r="P4509" s="27">
        <v>1226500</v>
      </c>
      <c r="Q4509" s="5" t="s">
        <v>56321</v>
      </c>
      <c r="R4509" s="5" t="s">
        <v>56322</v>
      </c>
      <c r="S4509" s="5" t="s">
        <v>49504</v>
      </c>
      <c r="T4509" s="28">
        <v>2243124000</v>
      </c>
      <c r="U4509" s="28">
        <v>10000</v>
      </c>
      <c r="V4509" s="28">
        <v>3902036000</v>
      </c>
      <c r="W4509" s="28"/>
      <c r="X4509" s="28">
        <v>62646000</v>
      </c>
      <c r="Y4509" s="28">
        <v>11715473000</v>
      </c>
      <c r="Z4509" s="28">
        <v>3181450000</v>
      </c>
      <c r="AA4509" s="28">
        <v>27000000</v>
      </c>
      <c r="AB4509" s="28">
        <v>2401193000</v>
      </c>
      <c r="AC4509" s="28">
        <v>6707134000</v>
      </c>
      <c r="AD4509" s="28">
        <v>3182677000</v>
      </c>
      <c r="AE4509" s="28">
        <v>30069441000</v>
      </c>
      <c r="AF4509" s="28">
        <v>711463000</v>
      </c>
      <c r="AG4509" s="11"/>
    </row>
    <row r="4510">
      <c r="A4510" s="7" t="s">
        <v>6150</v>
      </c>
      <c r="B4510" s="5" t="s">
        <v>14106</v>
      </c>
      <c r="C4510" s="5" t="s">
        <v>21857</v>
      </c>
      <c r="D4510" s="5" t="str">
        <v>500900040480</v>
      </c>
      <c r="E4510" s="0" t="e">
        <f>+7 (951) 5471034
+7 (495) 6396370
+7 (495) 6458324
+7 (495) 6458326
+7 (495) 6458327
+7 (495) 9796370
+7 (916) 7889006</f>
        <v>#NAME?</v>
      </c>
      <c r="F4510" s="5" t="s">
        <v>38793</v>
      </c>
      <c r="G4510" s="5" t="s">
        <v>38794</v>
      </c>
      <c r="H4510" s="26">
        <v>15</v>
      </c>
      <c r="I4510" s="5" t="s">
        <v>38795</v>
      </c>
      <c r="J4510" s="5" t="s">
        <v>38785</v>
      </c>
      <c r="K4510" s="5" t="s">
        <v>344</v>
      </c>
      <c r="L4510" s="5" t="s">
        <v>38796</v>
      </c>
      <c r="M4510" s="27">
        <v>14679600</v>
      </c>
      <c r="N4510" s="5" t="s">
        <v>56323</v>
      </c>
      <c r="O4510" s="5" t="str">
        <v>5009062762</v>
      </c>
      <c r="P4510" s="27">
        <v>1000000</v>
      </c>
      <c r="Q4510" s="5" t="s">
        <v>49009</v>
      </c>
      <c r="R4510" s="5"/>
      <c r="S4510" s="5" t="s">
        <v>49256</v>
      </c>
      <c r="T4510" s="28">
        <v>40684000</v>
      </c>
      <c r="U4510" s="28"/>
      <c r="V4510" s="28">
        <v>484041000</v>
      </c>
      <c r="W4510" s="28"/>
      <c r="X4510" s="28">
        <v>2451000</v>
      </c>
      <c r="Y4510" s="28">
        <v>1237640000</v>
      </c>
      <c r="Z4510" s="28">
        <v>1057643000</v>
      </c>
      <c r="AA4510" s="28"/>
      <c r="AB4510" s="28"/>
      <c r="AC4510" s="28">
        <v>175643000</v>
      </c>
      <c r="AD4510" s="28">
        <v>1058643000</v>
      </c>
      <c r="AE4510" s="28">
        <v>6175069000</v>
      </c>
      <c r="AF4510" s="28">
        <v>539513000</v>
      </c>
      <c r="AG4510" s="11"/>
    </row>
    <row r="4511">
      <c r="A4511" s="7" t="s">
        <v>6151</v>
      </c>
      <c r="B4511" s="5" t="s">
        <v>14107</v>
      </c>
      <c r="C4511" s="5" t="s">
        <v>21858</v>
      </c>
      <c r="D4511" s="5" t="str">
        <v>344103325749</v>
      </c>
      <c r="E4511" s="0" t="e">
        <f>+7 (8443) 310333
+7 (844) 2310331
+7 (844) 2310332
+7 (844) 2310340
+7 (844) 2310343
+7 (844) 2310350
+7 (844) 2456990</f>
        <v>#NAME?</v>
      </c>
      <c r="F4511" s="5" t="s">
        <v>38797</v>
      </c>
      <c r="G4511" s="5" t="s">
        <v>38794</v>
      </c>
      <c r="H4511" s="26">
        <v>22</v>
      </c>
      <c r="I4511" s="5" t="s">
        <v>38798</v>
      </c>
      <c r="J4511" s="5" t="s">
        <v>38785</v>
      </c>
      <c r="K4511" s="5" t="s">
        <v>344</v>
      </c>
      <c r="L4511" s="5" t="s">
        <v>38799</v>
      </c>
      <c r="M4511" s="27"/>
      <c r="N4511" s="5" t="s">
        <v>56324</v>
      </c>
      <c r="O4511" s="5" t="str">
        <v>3446012104</v>
      </c>
      <c r="P4511" s="27">
        <v>10000</v>
      </c>
      <c r="Q4511" s="5" t="s">
        <v>49009</v>
      </c>
      <c r="R4511" s="5"/>
      <c r="S4511" s="5" t="s">
        <v>49256</v>
      </c>
      <c r="T4511" s="28">
        <v>1614000</v>
      </c>
      <c r="U4511" s="28"/>
      <c r="V4511" s="28">
        <v>320090000</v>
      </c>
      <c r="W4511" s="28"/>
      <c r="X4511" s="28">
        <v>5527000</v>
      </c>
      <c r="Y4511" s="28">
        <v>723856000</v>
      </c>
      <c r="Z4511" s="28">
        <v>684262000</v>
      </c>
      <c r="AA4511" s="28"/>
      <c r="AB4511" s="28"/>
      <c r="AC4511" s="28">
        <v>39489000</v>
      </c>
      <c r="AD4511" s="28">
        <v>684272000</v>
      </c>
      <c r="AE4511" s="28">
        <v>3480861000</v>
      </c>
      <c r="AF4511" s="28">
        <v>206303000</v>
      </c>
      <c r="AG4511" s="11"/>
    </row>
    <row r="4512">
      <c r="A4512" s="7" t="s">
        <v>6152</v>
      </c>
      <c r="B4512" s="5" t="s">
        <v>14108</v>
      </c>
      <c r="C4512" s="5" t="s">
        <v>21859</v>
      </c>
      <c r="D4512" s="5" t="str">
        <v>366490003630</v>
      </c>
      <c r="E4512" s="0" t="e">
        <f>+7 (473) 2670536
+7 (4862) 444005
+7 (8412) 461122
+7 (86554) 95657
+7 (47391) 50060
+7 (48762) 60880</f>
        <v>#NAME?</v>
      </c>
      <c r="F4512" s="5" t="s">
        <v>38800</v>
      </c>
      <c r="G4512" s="5" t="s">
        <v>38801</v>
      </c>
      <c r="H4512" s="26">
        <v>13</v>
      </c>
      <c r="I4512" s="5" t="s">
        <v>38802</v>
      </c>
      <c r="J4512" s="5" t="s">
        <v>28089</v>
      </c>
      <c r="K4512" s="5" t="s">
        <v>344</v>
      </c>
      <c r="L4512" s="5"/>
      <c r="M4512" s="27">
        <v>82454</v>
      </c>
      <c r="N4512" s="5" t="s">
        <v>56325</v>
      </c>
      <c r="O4512" s="5" t="str">
        <v>3662149706</v>
      </c>
      <c r="P4512" s="27">
        <v>10000</v>
      </c>
      <c r="Q4512" s="5" t="s">
        <v>49009</v>
      </c>
      <c r="R4512" s="5"/>
      <c r="S4512" s="5" t="s">
        <v>49012</v>
      </c>
      <c r="T4512" s="28">
        <v>270950000</v>
      </c>
      <c r="U4512" s="28"/>
      <c r="V4512" s="28">
        <v>111987000</v>
      </c>
      <c r="W4512" s="28"/>
      <c r="X4512" s="28">
        <v>91457000</v>
      </c>
      <c r="Y4512" s="28">
        <v>1834080000</v>
      </c>
      <c r="Z4512" s="28">
        <v>584886000</v>
      </c>
      <c r="AA4512" s="28"/>
      <c r="AB4512" s="28">
        <v>23157000</v>
      </c>
      <c r="AC4512" s="28">
        <v>1249167000</v>
      </c>
      <c r="AD4512" s="28">
        <v>584896000</v>
      </c>
      <c r="AE4512" s="28">
        <v>5540816000</v>
      </c>
      <c r="AF4512" s="28">
        <v>486060000</v>
      </c>
      <c r="AG4512" s="11"/>
    </row>
    <row r="4513">
      <c r="A4513" s="7" t="s">
        <v>6153</v>
      </c>
      <c r="B4513" s="5" t="s">
        <v>14109</v>
      </c>
      <c r="C4513" s="5" t="s">
        <v>21860</v>
      </c>
      <c r="D4513" s="5" t="str">
        <v>772878615503</v>
      </c>
      <c r="E4513" s="0" t="e">
        <f>+7 (495) 7817782
+7 (495) 9285711
+7 (495) 9285712
+7 (910) 4013083
+7 (985) 9285711</f>
        <v>#NAME?</v>
      </c>
      <c r="F4513" s="5"/>
      <c r="G4513" s="5" t="s">
        <v>38803</v>
      </c>
      <c r="H4513" s="26">
        <v>8.5</v>
      </c>
      <c r="I4513" s="5" t="s">
        <v>38804</v>
      </c>
      <c r="J4513" s="5" t="s">
        <v>25195</v>
      </c>
      <c r="K4513" s="5" t="s">
        <v>355</v>
      </c>
      <c r="L4513" s="5" t="s">
        <v>38805</v>
      </c>
      <c r="M4513" s="27"/>
      <c r="N4513" s="5"/>
      <c r="O4513" s="5" t="str">
        <v>7725844967</v>
      </c>
      <c r="P4513" s="27">
        <v>10000</v>
      </c>
      <c r="Q4513" s="5" t="s">
        <v>56327</v>
      </c>
      <c r="R4513" s="5"/>
      <c r="S4513" s="5" t="s">
        <v>56328</v>
      </c>
      <c r="T4513" s="28">
        <v>825438000</v>
      </c>
      <c r="U4513" s="28">
        <v>1672000</v>
      </c>
      <c r="V4513" s="28">
        <v>177487000</v>
      </c>
      <c r="W4513" s="28"/>
      <c r="X4513" s="28">
        <v>93396000</v>
      </c>
      <c r="Y4513" s="28">
        <v>2309676000</v>
      </c>
      <c r="Z4513" s="28">
        <v>595249000</v>
      </c>
      <c r="AA4513" s="28">
        <v>2000000</v>
      </c>
      <c r="AB4513" s="28">
        <v>428599000</v>
      </c>
      <c r="AC4513" s="28">
        <v>1393390000</v>
      </c>
      <c r="AD4513" s="28">
        <v>595259000</v>
      </c>
      <c r="AE4513" s="28">
        <v>3401438000</v>
      </c>
      <c r="AF4513" s="28">
        <v>194914000</v>
      </c>
      <c r="AG4513" s="11"/>
    </row>
    <row r="4514">
      <c r="A4514" s="7" t="s">
        <v>6154</v>
      </c>
      <c r="B4514" s="5" t="s">
        <v>14110</v>
      </c>
      <c r="C4514" s="5" t="s">
        <v>21861</v>
      </c>
      <c r="D4514" s="5" t="str">
        <v>440120097625</v>
      </c>
      <c r="E4514" s="0" t="e">
        <f>+7 (812) 3360412
+7 (494) 2325559
+7 (494) 2624601
+7 (494) 2624624
+7 (494) 2624626
+7 (494) 2624634
+7 (494) 2629222</f>
        <v>#NAME?</v>
      </c>
      <c r="F4514" s="5" t="s">
        <v>38806</v>
      </c>
      <c r="G4514" s="5"/>
      <c r="H4514" s="26">
        <v>16.5</v>
      </c>
      <c r="I4514" s="5" t="s">
        <v>38807</v>
      </c>
      <c r="J4514" s="5" t="s">
        <v>678</v>
      </c>
      <c r="K4514" s="5" t="s">
        <v>344</v>
      </c>
      <c r="L4514" s="5"/>
      <c r="M4514" s="27"/>
      <c r="N4514" s="5" t="s">
        <v>56329</v>
      </c>
      <c r="O4514" s="5" t="str">
        <v>4401069575</v>
      </c>
      <c r="P4514" s="27">
        <v>12500</v>
      </c>
      <c r="Q4514" s="5" t="s">
        <v>49009</v>
      </c>
      <c r="R4514" s="5"/>
      <c r="S4514" s="5" t="s">
        <v>49256</v>
      </c>
      <c r="T4514" s="28">
        <v>11314000</v>
      </c>
      <c r="U4514" s="28"/>
      <c r="V4514" s="28">
        <v>1109730000</v>
      </c>
      <c r="W4514" s="28">
        <v>750951000</v>
      </c>
      <c r="X4514" s="28">
        <v>16449000</v>
      </c>
      <c r="Y4514" s="28">
        <v>5041006000</v>
      </c>
      <c r="Z4514" s="28">
        <v>1224303000</v>
      </c>
      <c r="AA4514" s="28">
        <v>1200000000</v>
      </c>
      <c r="AB4514" s="28">
        <v>1461037000</v>
      </c>
      <c r="AC4514" s="28">
        <v>2594104000</v>
      </c>
      <c r="AD4514" s="28">
        <v>1224316000</v>
      </c>
      <c r="AE4514" s="28">
        <v>3346031000</v>
      </c>
      <c r="AF4514" s="28">
        <v>153647000</v>
      </c>
      <c r="AG4514" s="11"/>
    </row>
    <row r="4515">
      <c r="A4515" s="7" t="s">
        <v>6155</v>
      </c>
      <c r="B4515" s="5" t="s">
        <v>14111</v>
      </c>
      <c r="C4515" s="5" t="s">
        <v>21862</v>
      </c>
      <c r="D4515" s="5" t="str">
        <v>270506807279</v>
      </c>
      <c r="E4515" s="0" t="e">
        <f>+7 (421) 2292560
+7 (421) 2358645
+7 (421) 2911690
+7 (421) 4191438</f>
        <v>#NAME?</v>
      </c>
      <c r="F4515" s="5" t="s">
        <v>38808</v>
      </c>
      <c r="G4515" s="5" t="s">
        <v>38809</v>
      </c>
      <c r="H4515" s="26">
        <v>11</v>
      </c>
      <c r="I4515" s="5"/>
      <c r="J4515" s="5" t="s">
        <v>26499</v>
      </c>
      <c r="K4515" s="5" t="s">
        <v>344</v>
      </c>
      <c r="L4515" s="5" t="s">
        <v>38810</v>
      </c>
      <c r="M4515" s="27">
        <v>6095856</v>
      </c>
      <c r="N4515" s="5"/>
      <c r="O4515" s="5" t="str">
        <v>2715006558</v>
      </c>
      <c r="P4515" s="27">
        <v>452740000</v>
      </c>
      <c r="Q4515" s="5" t="s">
        <v>49059</v>
      </c>
      <c r="R4515" s="5"/>
      <c r="S4515" s="5" t="s">
        <v>56330</v>
      </c>
      <c r="T4515" s="28">
        <v>1194240000</v>
      </c>
      <c r="U4515" s="28">
        <v>166974000</v>
      </c>
      <c r="V4515" s="28">
        <v>939288000</v>
      </c>
      <c r="W4515" s="28">
        <v>128528000</v>
      </c>
      <c r="X4515" s="28">
        <v>1114482000</v>
      </c>
      <c r="Y4515" s="28">
        <v>11465090000</v>
      </c>
      <c r="Z4515" s="28">
        <v>9094812000</v>
      </c>
      <c r="AA4515" s="28"/>
      <c r="AB4515" s="28"/>
      <c r="AC4515" s="28">
        <v>427380000</v>
      </c>
      <c r="AD4515" s="28">
        <v>10043023000</v>
      </c>
      <c r="AE4515" s="28">
        <v>6349445000</v>
      </c>
      <c r="AF4515" s="28">
        <v>1054060000</v>
      </c>
      <c r="AG4515" s="11"/>
    </row>
    <row r="4516">
      <c r="A4516" s="7" t="s">
        <v>6156</v>
      </c>
      <c r="B4516" s="5" t="s">
        <v>14112</v>
      </c>
      <c r="C4516" s="5" t="s">
        <v>21863</v>
      </c>
      <c r="D4516" s="5" t="str">
        <v>161600257480</v>
      </c>
      <c r="E4516" s="0" t="e">
        <f>+7 (3012) 402461
+7 (3012) 439669
+7 (3012) 439767
+7 (3022) 322603
+7 (3022) 322693
+7 (3022) 359271
+7 (3022) 400410
+7 (3022) 410110
+7 (3022) 414010
+7 (3412) 507654
+7 (3422) 462540
+7 (3012) 217715
+7 (30245) 26364
+7 (34253) 21808
+7 (34260) 47900</f>
        <v>#NAME?</v>
      </c>
      <c r="F4516" s="5" t="s">
        <v>38811</v>
      </c>
      <c r="G4516" s="5" t="s">
        <v>38812</v>
      </c>
      <c r="H4516" s="26">
        <v>17.5</v>
      </c>
      <c r="I4516" s="5" t="s">
        <v>28630</v>
      </c>
      <c r="J4516" s="5" t="s">
        <v>38813</v>
      </c>
      <c r="K4516" s="5" t="s">
        <v>344</v>
      </c>
      <c r="L4516" s="5"/>
      <c r="M4516" s="27">
        <v>11959862</v>
      </c>
      <c r="N4516" s="5" t="s">
        <v>56331</v>
      </c>
      <c r="O4516" s="5" t="str">
        <v>7719555477</v>
      </c>
      <c r="P4516" s="27">
        <v>450000000</v>
      </c>
      <c r="Q4516" s="5" t="s">
        <v>56332</v>
      </c>
      <c r="R4516" s="5"/>
      <c r="S4516" s="5" t="s">
        <v>56333</v>
      </c>
      <c r="T4516" s="28">
        <v>3906850000</v>
      </c>
      <c r="U4516" s="28"/>
      <c r="V4516" s="28">
        <v>4513467000</v>
      </c>
      <c r="W4516" s="28"/>
      <c r="X4516" s="28">
        <v>12111050000</v>
      </c>
      <c r="Y4516" s="28">
        <v>22524688000</v>
      </c>
      <c r="Z4516" s="28">
        <v>13557364000</v>
      </c>
      <c r="AA4516" s="28"/>
      <c r="AB4516" s="28"/>
      <c r="AC4516" s="28">
        <v>5716032000</v>
      </c>
      <c r="AD4516" s="28">
        <v>15208706000</v>
      </c>
      <c r="AE4516" s="28">
        <v>40332173000</v>
      </c>
      <c r="AF4516" s="28">
        <v>2261710000</v>
      </c>
      <c r="AG4516" s="11"/>
    </row>
    <row r="4517">
      <c r="A4517" s="7" t="s">
        <v>6157</v>
      </c>
      <c r="B4517" s="5" t="s">
        <v>14113</v>
      </c>
      <c r="C4517" s="5" t="s">
        <v>21864</v>
      </c>
      <c r="D4517" s="5" t="str">
        <v>781303729154</v>
      </c>
      <c r="E4517" s="0" t="e">
        <f>+7 (499) 2600890
+7 (499) 2600185
+7 (499) 2600409</f>
        <v>#NAME?</v>
      </c>
      <c r="F4517" s="5" t="s">
        <v>38814</v>
      </c>
      <c r="G4517" s="5"/>
      <c r="H4517" s="26">
        <v>23</v>
      </c>
      <c r="I4517" s="5" t="s">
        <v>38815</v>
      </c>
      <c r="J4517" s="5" t="s">
        <v>881</v>
      </c>
      <c r="K4517" s="5" t="s">
        <v>355</v>
      </c>
      <c r="L4517" s="5" t="s">
        <v>38816</v>
      </c>
      <c r="M4517" s="27"/>
      <c r="N4517" s="5" t="s">
        <v>56334</v>
      </c>
      <c r="O4517" s="5" t="str">
        <v>5042060280</v>
      </c>
      <c r="P4517" s="27">
        <v>10000</v>
      </c>
      <c r="Q4517" s="5" t="s">
        <v>56335</v>
      </c>
      <c r="R4517" s="5"/>
      <c r="S4517" s="5" t="s">
        <v>56336</v>
      </c>
      <c r="T4517" s="28">
        <v>499792000</v>
      </c>
      <c r="U4517" s="28">
        <v>3000</v>
      </c>
      <c r="V4517" s="28">
        <v>2288856000</v>
      </c>
      <c r="W4517" s="28"/>
      <c r="X4517" s="28">
        <v>55629000</v>
      </c>
      <c r="Y4517" s="28">
        <v>3948873000</v>
      </c>
      <c r="Z4517" s="28">
        <v>1214436000</v>
      </c>
      <c r="AA4517" s="28"/>
      <c r="AB4517" s="28">
        <v>562018000</v>
      </c>
      <c r="AC4517" s="28">
        <v>2552533000</v>
      </c>
      <c r="AD4517" s="28">
        <v>1214447000</v>
      </c>
      <c r="AE4517" s="28">
        <v>3777157000</v>
      </c>
      <c r="AF4517" s="28">
        <v>141550000</v>
      </c>
      <c r="AG4517" s="11"/>
    </row>
    <row r="4518">
      <c r="A4518" s="7" t="s">
        <v>6158</v>
      </c>
      <c r="B4518" s="5" t="s">
        <v>14114</v>
      </c>
      <c r="C4518" s="5" t="s">
        <v>21865</v>
      </c>
      <c r="D4518" s="5" t="str">
        <v>500308993620</v>
      </c>
      <c r="E4518" s="0" t="e">
        <f>+7 (495) 7853900
+7 (495) 7853911
+7 (495) 7853912
+7 (495) 7853925
+7 (495) 7853930
+7 (495) 7853933
+7 (495) 7853939
+7 (800) 1007777
+7 (800) 7377731</f>
        <v>#NAME?</v>
      </c>
      <c r="F4518" s="5" t="s">
        <v>38817</v>
      </c>
      <c r="G4518" s="5" t="s">
        <v>38818</v>
      </c>
      <c r="H4518" s="26">
        <v>30</v>
      </c>
      <c r="I4518" s="5"/>
      <c r="J4518" s="5" t="s">
        <v>26962</v>
      </c>
      <c r="K4518" s="5" t="s">
        <v>344</v>
      </c>
      <c r="L4518" s="5"/>
      <c r="M4518" s="27"/>
      <c r="N4518" s="5"/>
      <c r="O4518" s="5" t="str">
        <v>7729101200</v>
      </c>
      <c r="P4518" s="27">
        <v>159750000</v>
      </c>
      <c r="Q4518" s="5" t="s">
        <v>49009</v>
      </c>
      <c r="R4518" s="5"/>
      <c r="S4518" s="5" t="s">
        <v>49066</v>
      </c>
      <c r="T4518" s="28">
        <v>7030272000</v>
      </c>
      <c r="U4518" s="28">
        <v>1593974000</v>
      </c>
      <c r="V4518" s="28">
        <v>2629116000</v>
      </c>
      <c r="W4518" s="28"/>
      <c r="X4518" s="28">
        <v>930578000</v>
      </c>
      <c r="Y4518" s="28">
        <v>17320272000</v>
      </c>
      <c r="Z4518" s="28">
        <v>11001659000</v>
      </c>
      <c r="AA4518" s="28"/>
      <c r="AB4518" s="28"/>
      <c r="AC4518" s="28">
        <v>2736390000</v>
      </c>
      <c r="AD4518" s="28">
        <v>13775041000</v>
      </c>
      <c r="AE4518" s="28">
        <v>17944269000</v>
      </c>
      <c r="AF4518" s="28">
        <v>795810000</v>
      </c>
      <c r="AG4518" s="11"/>
    </row>
    <row r="4519">
      <c r="A4519" s="7" t="s">
        <v>6159</v>
      </c>
      <c r="B4519" s="5" t="s">
        <v>14115</v>
      </c>
      <c r="C4519" s="5" t="s">
        <v>21866</v>
      </c>
      <c r="D4519" s="5" t="str">
        <v>461301196132</v>
      </c>
      <c r="E4519" s="0" t="e">
        <f>+7 (381) 2293329
+7 (495) 6399906
+7 (495) 6579708
+7 (495) 1253566
+7 (495) 2216014
+7 (495) 2281922
+7 (495) 6230418
+7 (495) 6579100
+7 (495) 6647001
+7 (495) 7309076</f>
        <v>#NAME?</v>
      </c>
      <c r="F4519" s="5" t="s">
        <v>38819</v>
      </c>
      <c r="G4519" s="5"/>
      <c r="H4519" s="26">
        <v>18</v>
      </c>
      <c r="I4519" s="5"/>
      <c r="J4519" s="5" t="s">
        <v>27802</v>
      </c>
      <c r="K4519" s="5" t="s">
        <v>344</v>
      </c>
      <c r="L4519" s="5"/>
      <c r="M4519" s="27">
        <v>385224690</v>
      </c>
      <c r="N4519" s="5" t="s">
        <v>56337</v>
      </c>
      <c r="O4519" s="5" t="str">
        <v>7720522853</v>
      </c>
      <c r="P4519" s="27">
        <v>44371232000</v>
      </c>
      <c r="Q4519" s="5" t="s">
        <v>56338</v>
      </c>
      <c r="R4519" s="5"/>
      <c r="S4519" s="5" t="s">
        <v>56339</v>
      </c>
      <c r="T4519" s="28">
        <v>191605152000</v>
      </c>
      <c r="U4519" s="28">
        <v>83400000</v>
      </c>
      <c r="V4519" s="28">
        <v>9546722000</v>
      </c>
      <c r="W4519" s="28"/>
      <c r="X4519" s="28">
        <v>13032774000</v>
      </c>
      <c r="Y4519" s="28">
        <v>229862406000</v>
      </c>
      <c r="Z4519" s="28">
        <v>32430658000</v>
      </c>
      <c r="AA4519" s="28">
        <v>37156457000</v>
      </c>
      <c r="AB4519" s="28">
        <v>9925530000</v>
      </c>
      <c r="AC4519" s="28">
        <v>42693718000</v>
      </c>
      <c r="AD4519" s="28">
        <v>148638880000</v>
      </c>
      <c r="AE4519" s="28">
        <v>42541698000</v>
      </c>
      <c r="AF4519" s="28">
        <v>10110745000</v>
      </c>
      <c r="AG4519" s="11"/>
    </row>
    <row r="4520">
      <c r="A4520" s="7" t="s">
        <v>6159</v>
      </c>
      <c r="B4520" s="5" t="s">
        <v>14116</v>
      </c>
      <c r="C4520" s="5" t="s">
        <v>21867</v>
      </c>
      <c r="D4520" s="5" t="str">
        <v>281300598608</v>
      </c>
      <c r="E4520" s="0" t="e">
        <f>+7 (47364) 92040
+7 (495) 2283585
+7 (495) 6443377
+7 (495) 6627705
+7 (910) 2476954
+7 (980) 3427536
+7 (980) 5490591</f>
        <v>#NAME?</v>
      </c>
      <c r="F4520" s="5" t="s">
        <v>38820</v>
      </c>
      <c r="G4520" s="5"/>
      <c r="H4520" s="26">
        <v>17.5</v>
      </c>
      <c r="I4520" s="5"/>
      <c r="J4520" s="5" t="s">
        <v>364</v>
      </c>
      <c r="K4520" s="5" t="s">
        <v>355</v>
      </c>
      <c r="L4520" s="5" t="s">
        <v>38821</v>
      </c>
      <c r="M4520" s="27">
        <v>768717862</v>
      </c>
      <c r="N4520" s="5" t="s">
        <v>56340</v>
      </c>
      <c r="O4520" s="5" t="str">
        <v>7703567364</v>
      </c>
      <c r="P4520" s="27">
        <v>70203800</v>
      </c>
      <c r="Q4520" s="5" t="s">
        <v>447</v>
      </c>
      <c r="R4520" s="5" t="s">
        <v>56341</v>
      </c>
      <c r="S4520" s="5" t="s">
        <v>56342</v>
      </c>
      <c r="T4520" s="28">
        <v>8277067000</v>
      </c>
      <c r="U4520" s="28">
        <v>489000</v>
      </c>
      <c r="V4520" s="28">
        <v>33049758000</v>
      </c>
      <c r="W4520" s="28">
        <v>175063000</v>
      </c>
      <c r="X4520" s="28">
        <v>23686902000</v>
      </c>
      <c r="Y4520" s="28">
        <v>79792086000</v>
      </c>
      <c r="Z4520" s="28">
        <v>1375469000</v>
      </c>
      <c r="AA4520" s="28">
        <v>199989000</v>
      </c>
      <c r="AB4520" s="28">
        <v>308508000</v>
      </c>
      <c r="AC4520" s="28">
        <v>78079687000</v>
      </c>
      <c r="AD4520" s="28">
        <v>1448675000</v>
      </c>
      <c r="AE4520" s="28">
        <v>12780510000</v>
      </c>
      <c r="AF4520" s="28">
        <v>599321000</v>
      </c>
      <c r="AG4520" s="11"/>
    </row>
    <row r="4521">
      <c r="A4521" s="7" t="s">
        <v>6160</v>
      </c>
      <c r="B4521" s="5" t="s">
        <v>14117</v>
      </c>
      <c r="C4521" s="5" t="s">
        <v>21868</v>
      </c>
      <c r="D4521" s="5" t="str">
        <v>552300945806</v>
      </c>
      <c r="E4521" s="0" t="e">
        <f>+7 (381) 2217721
+7 (381) 2223922
+7 (381) 2239929
+7 (381) 2247041
+7 (381) 2292329
+7 (381) 2293029
+7 (381) 2293259
+7 (381) 2293264
+7 (381) 2293267
+7 (381) 2293269
+7 (381) 2203329
+7 (381) 2223329
+7 (381) 2224557
+7 (381) 2233329
+7 (381) 2293262</f>
        <v>#NAME?</v>
      </c>
      <c r="F4521" s="5" t="s">
        <v>38822</v>
      </c>
      <c r="G4521" s="5" t="s">
        <v>38823</v>
      </c>
      <c r="H4521" s="26">
        <v>9</v>
      </c>
      <c r="I4521" s="5" t="s">
        <v>38824</v>
      </c>
      <c r="J4521" s="5" t="s">
        <v>26623</v>
      </c>
      <c r="K4521" s="5" t="s">
        <v>344</v>
      </c>
      <c r="L4521" s="5" t="s">
        <v>38825</v>
      </c>
      <c r="M4521" s="27">
        <v>26224402</v>
      </c>
      <c r="N4521" s="5" t="s">
        <v>56343</v>
      </c>
      <c r="O4521" s="5" t="str">
        <v>5503248039</v>
      </c>
      <c r="P4521" s="27">
        <v>10000</v>
      </c>
      <c r="Q4521" s="5" t="s">
        <v>56344</v>
      </c>
      <c r="R4521" s="5"/>
      <c r="S4521" s="5" t="s">
        <v>51350</v>
      </c>
      <c r="T4521" s="28">
        <v>532522000</v>
      </c>
      <c r="U4521" s="28">
        <v>19998000</v>
      </c>
      <c r="V4521" s="28">
        <v>1319800000</v>
      </c>
      <c r="W4521" s="28"/>
      <c r="X4521" s="28">
        <v>1313515000</v>
      </c>
      <c r="Y4521" s="28">
        <v>3440229000</v>
      </c>
      <c r="Z4521" s="28">
        <v>844675000</v>
      </c>
      <c r="AA4521" s="28">
        <v>130578000</v>
      </c>
      <c r="AB4521" s="28">
        <v>53982000</v>
      </c>
      <c r="AC4521" s="28">
        <v>2423087000</v>
      </c>
      <c r="AD4521" s="28">
        <v>870992000</v>
      </c>
      <c r="AE4521" s="28">
        <v>22763914000</v>
      </c>
      <c r="AF4521" s="28">
        <v>379764000</v>
      </c>
      <c r="AG4521" s="11"/>
    </row>
    <row r="4522">
      <c r="A4522" s="7" t="s">
        <v>6161</v>
      </c>
      <c r="B4522" s="5" t="s">
        <v>14118</v>
      </c>
      <c r="C4522" s="5" t="s">
        <v>20635</v>
      </c>
      <c r="D4522" s="5"/>
      <c r="E4522" s="0" t="e">
        <f>+7 (4725) 373759
+7 (4725) 374700
+7 (4725) 373317
+7 (4725) 373604
+7 (4725) 375034
+7 (472) 5374253
+7 (4725) 329429
+7 (4725) 372517
+7 (4725) 372707
+7 (4725) 373230
+7 (4725) 373780
+7 (4725) 374300
+7 (4725) 374832
+7 (4725) 374895
+7 (4725) 375009</f>
        <v>#NAME?</v>
      </c>
      <c r="F4522" s="5" t="s">
        <v>38826</v>
      </c>
      <c r="G4522" s="5" t="s">
        <v>38827</v>
      </c>
      <c r="H4522" s="26">
        <v>30</v>
      </c>
      <c r="I4522" s="5"/>
      <c r="J4522" s="5" t="s">
        <v>31212</v>
      </c>
      <c r="K4522" s="5" t="s">
        <v>344</v>
      </c>
      <c r="L4522" s="5"/>
      <c r="M4522" s="27">
        <v>6909782</v>
      </c>
      <c r="N4522" s="5" t="s">
        <v>56345</v>
      </c>
      <c r="O4522" s="5" t="str">
        <v>3128005752</v>
      </c>
      <c r="P4522" s="27">
        <v>4266000</v>
      </c>
      <c r="Q4522" s="5"/>
      <c r="R4522" s="5"/>
      <c r="S4522" s="5" t="s">
        <v>49132</v>
      </c>
      <c r="T4522" s="28">
        <v>31245836000</v>
      </c>
      <c r="U4522" s="28">
        <v>9845688000</v>
      </c>
      <c r="V4522" s="28">
        <v>17868744000</v>
      </c>
      <c r="W4522" s="28">
        <v>3861750000</v>
      </c>
      <c r="X4522" s="28">
        <v>9329301000</v>
      </c>
      <c r="Y4522" s="28">
        <v>88273548000</v>
      </c>
      <c r="Z4522" s="28">
        <v>30786146000</v>
      </c>
      <c r="AA4522" s="28">
        <v>15460407000</v>
      </c>
      <c r="AB4522" s="28">
        <v>6932581000</v>
      </c>
      <c r="AC4522" s="28">
        <v>22095314000</v>
      </c>
      <c r="AD4522" s="28">
        <v>46920056000</v>
      </c>
      <c r="AE4522" s="28">
        <v>147026159000</v>
      </c>
      <c r="AF4522" s="28">
        <v>15959256000</v>
      </c>
      <c r="AG4522" s="11"/>
    </row>
    <row r="4523">
      <c r="A4523" s="7" t="s">
        <v>6162</v>
      </c>
      <c r="B4523" s="5" t="s">
        <v>14119</v>
      </c>
      <c r="C4523" s="5" t="s">
        <v>21869</v>
      </c>
      <c r="D4523" s="5" t="str">
        <v>771812767285</v>
      </c>
      <c r="E4523" s="0" t="e">
        <f>+7 (985) 7127553</f>
        <v>#NAME?</v>
      </c>
      <c r="F4523" s="5" t="s">
        <v>38828</v>
      </c>
      <c r="G4523" s="5"/>
      <c r="H4523" s="26">
        <v>4</v>
      </c>
      <c r="I4523" s="5" t="s">
        <v>38829</v>
      </c>
      <c r="J4523" s="5" t="s">
        <v>678</v>
      </c>
      <c r="K4523" s="5" t="s">
        <v>344</v>
      </c>
      <c r="L4523" s="5" t="s">
        <v>38830</v>
      </c>
      <c r="M4523" s="27"/>
      <c r="N4523" s="5"/>
      <c r="O4523" s="5" t="str">
        <v>7734420298</v>
      </c>
      <c r="P4523" s="27">
        <v>150000</v>
      </c>
      <c r="Q4523" s="5" t="s">
        <v>49207</v>
      </c>
      <c r="R4523" s="5"/>
      <c r="S4523" s="5" t="s">
        <v>49565</v>
      </c>
      <c r="T4523" s="28">
        <v>54751000</v>
      </c>
      <c r="U4523" s="28"/>
      <c r="V4523" s="28">
        <v>516311000</v>
      </c>
      <c r="W4523" s="28"/>
      <c r="X4523" s="28">
        <v>7719000</v>
      </c>
      <c r="Y4523" s="28">
        <v>1033123000</v>
      </c>
      <c r="Z4523" s="28">
        <v>287609000</v>
      </c>
      <c r="AA4523" s="28"/>
      <c r="AB4523" s="28">
        <v>157964000</v>
      </c>
      <c r="AC4523" s="28">
        <v>688236000</v>
      </c>
      <c r="AD4523" s="28">
        <v>287759000</v>
      </c>
      <c r="AE4523" s="28">
        <v>3131345000</v>
      </c>
      <c r="AF4523" s="28">
        <v>94204000</v>
      </c>
      <c r="AG4523" s="11"/>
    </row>
    <row r="4524">
      <c r="A4524" s="7" t="s">
        <v>6163</v>
      </c>
      <c r="B4524" s="5" t="s">
        <v>14120</v>
      </c>
      <c r="C4524" s="5" t="s">
        <v>21870</v>
      </c>
      <c r="D4524" s="5" t="str">
        <v>504200116885</v>
      </c>
      <c r="E4524" s="0" t="e">
        <f>+7 (495) 4657910
+7 (495) 7974542
+7 (495) 7974562
+7 (499) 6459870</f>
        <v>#NAME?</v>
      </c>
      <c r="F4524" s="5" t="s">
        <v>38831</v>
      </c>
      <c r="G4524" s="5" t="s">
        <v>38832</v>
      </c>
      <c r="H4524" s="26">
        <v>21.5</v>
      </c>
      <c r="I4524" s="5" t="s">
        <v>38833</v>
      </c>
      <c r="J4524" s="5" t="s">
        <v>30108</v>
      </c>
      <c r="K4524" s="5" t="s">
        <v>344</v>
      </c>
      <c r="L4524" s="5"/>
      <c r="M4524" s="27"/>
      <c r="N4524" s="5"/>
      <c r="O4524" s="5" t="str">
        <v>7705407550</v>
      </c>
      <c r="P4524" s="27">
        <v>1120000</v>
      </c>
      <c r="Q4524" s="5"/>
      <c r="R4524" s="5"/>
      <c r="S4524" s="5" t="s">
        <v>49029</v>
      </c>
      <c r="T4524" s="28">
        <v>96676000</v>
      </c>
      <c r="U4524" s="28"/>
      <c r="V4524" s="28">
        <v>1294248000</v>
      </c>
      <c r="W4524" s="28">
        <v>4000000</v>
      </c>
      <c r="X4524" s="28">
        <v>33745000</v>
      </c>
      <c r="Y4524" s="28">
        <v>1603205000</v>
      </c>
      <c r="Z4524" s="28">
        <v>17154000</v>
      </c>
      <c r="AA4524" s="28"/>
      <c r="AB4524" s="28">
        <v>921663000</v>
      </c>
      <c r="AC4524" s="28">
        <v>1487689000</v>
      </c>
      <c r="AD4524" s="28">
        <v>86546000</v>
      </c>
      <c r="AE4524" s="28">
        <v>3065143000</v>
      </c>
      <c r="AF4524" s="28">
        <v>9941000</v>
      </c>
      <c r="AG4524" s="11"/>
    </row>
    <row r="4525">
      <c r="A4525" s="7" t="s">
        <v>6164</v>
      </c>
      <c r="B4525" s="5" t="s">
        <v>14121</v>
      </c>
      <c r="C4525" s="5" t="s">
        <v>21871</v>
      </c>
      <c r="D4525" s="5" t="str">
        <v>490200659600</v>
      </c>
      <c r="E4525" s="0" t="e">
        <f>+7 (413) 2617666
+7 (413) 2621287
+7 (413) 2621292
+7 (413) 2650304
+7 (413) 2650306</f>
        <v>#NAME?</v>
      </c>
      <c r="F4525" s="5" t="s">
        <v>38834</v>
      </c>
      <c r="G4525" s="5" t="s">
        <v>38835</v>
      </c>
      <c r="H4525" s="26">
        <v>28</v>
      </c>
      <c r="I4525" s="5"/>
      <c r="J4525" s="5" t="s">
        <v>26499</v>
      </c>
      <c r="K4525" s="5" t="s">
        <v>355</v>
      </c>
      <c r="L4525" s="5"/>
      <c r="M4525" s="27">
        <v>14268268</v>
      </c>
      <c r="N4525" s="5" t="s">
        <v>53256</v>
      </c>
      <c r="O4525" s="5" t="str">
        <v>4900000681</v>
      </c>
      <c r="P4525" s="27">
        <v>713258</v>
      </c>
      <c r="Q4525" s="5" t="s">
        <v>49009</v>
      </c>
      <c r="R4525" s="5"/>
      <c r="S4525" s="5" t="s">
        <v>52619</v>
      </c>
      <c r="T4525" s="28">
        <v>35890526000</v>
      </c>
      <c r="U4525" s="28"/>
      <c r="V4525" s="28">
        <v>5210316000</v>
      </c>
      <c r="W4525" s="28"/>
      <c r="X4525" s="28">
        <v>864960000</v>
      </c>
      <c r="Y4525" s="28">
        <v>86501493000</v>
      </c>
      <c r="Z4525" s="28">
        <v>-22303830000</v>
      </c>
      <c r="AA4525" s="28">
        <v>99326295000</v>
      </c>
      <c r="AB4525" s="28">
        <v>3442416000</v>
      </c>
      <c r="AC4525" s="28">
        <v>7760247000</v>
      </c>
      <c r="AD4525" s="28">
        <v>-22303020000</v>
      </c>
      <c r="AE4525" s="28">
        <v>27585890000</v>
      </c>
      <c r="AF4525" s="28">
        <v>-3634781000</v>
      </c>
      <c r="AG4525" s="11"/>
    </row>
    <row r="4526">
      <c r="A4526" s="7" t="s">
        <v>6165</v>
      </c>
      <c r="B4526" s="5" t="s">
        <v>14122</v>
      </c>
      <c r="C4526" s="5" t="s">
        <v>21872</v>
      </c>
      <c r="D4526" s="5" t="str">
        <v>362000058000</v>
      </c>
      <c r="E4526" s="0" t="e">
        <f>+7 (47362) 20231
+7 (47362) 20233
+7 (47362) 20240
+7 (47362) 20447
+7 (47362) 21425
+7 (47362) 22883
+7 (47362) 23450
+7 (47362) 23550
+7 (47362) 31296
+7 (47362) 31423</f>
        <v>#NAME?</v>
      </c>
      <c r="F4526" s="5" t="s">
        <v>38836</v>
      </c>
      <c r="G4526" s="5" t="s">
        <v>38837</v>
      </c>
      <c r="H4526" s="26">
        <v>25</v>
      </c>
      <c r="I4526" s="5"/>
      <c r="J4526" s="5" t="s">
        <v>38838</v>
      </c>
      <c r="K4526" s="5" t="s">
        <v>344</v>
      </c>
      <c r="L4526" s="5" t="s">
        <v>38839</v>
      </c>
      <c r="M4526" s="27"/>
      <c r="N4526" s="5" t="s">
        <v>56346</v>
      </c>
      <c r="O4526" s="5" t="str">
        <v>3620005854</v>
      </c>
      <c r="P4526" s="27">
        <v>2258325</v>
      </c>
      <c r="Q4526" s="5"/>
      <c r="R4526" s="5"/>
      <c r="S4526" s="5" t="s">
        <v>49425</v>
      </c>
      <c r="T4526" s="28">
        <v>1020780000</v>
      </c>
      <c r="U4526" s="28">
        <v>354000</v>
      </c>
      <c r="V4526" s="28">
        <v>591349000</v>
      </c>
      <c r="W4526" s="28">
        <v>569165000</v>
      </c>
      <c r="X4526" s="28">
        <v>346797000</v>
      </c>
      <c r="Y4526" s="28">
        <v>7496547000</v>
      </c>
      <c r="Z4526" s="28">
        <v>2676229000</v>
      </c>
      <c r="AA4526" s="28">
        <v>662586000</v>
      </c>
      <c r="AB4526" s="28">
        <v>3145813000</v>
      </c>
      <c r="AC4526" s="28">
        <v>3865441000</v>
      </c>
      <c r="AD4526" s="28">
        <v>2900106000</v>
      </c>
      <c r="AE4526" s="28">
        <v>10925513000</v>
      </c>
      <c r="AF4526" s="28">
        <v>397896000</v>
      </c>
      <c r="AG4526" s="11"/>
    </row>
    <row r="4527">
      <c r="A4527" s="7" t="s">
        <v>6166</v>
      </c>
      <c r="B4527" s="5" t="s">
        <v>14123</v>
      </c>
      <c r="C4527" s="5" t="s">
        <v>21873</v>
      </c>
      <c r="D4527" s="5"/>
      <c r="E4527" s="0" t="e">
        <f>+7 (831) 2600030
+7 (83171) 37169
+7 (83171) 37705
+7 (83171) 37812
+7 (83171) 37816
+7 (83171) 37822
+7 (83171) 37923
+7 (83171) 63716
+7 (83171) 63923</f>
        <v>#NAME?</v>
      </c>
      <c r="F4527" s="5" t="s">
        <v>38840</v>
      </c>
      <c r="G4527" s="5"/>
      <c r="H4527" s="26">
        <v>22.5</v>
      </c>
      <c r="I4527" s="5" t="s">
        <v>38841</v>
      </c>
      <c r="J4527" s="5" t="s">
        <v>25949</v>
      </c>
      <c r="K4527" s="5" t="s">
        <v>355</v>
      </c>
      <c r="L4527" s="5" t="s">
        <v>922</v>
      </c>
      <c r="M4527" s="27"/>
      <c r="N4527" s="5" t="s">
        <v>56347</v>
      </c>
      <c r="O4527" s="5" t="str">
        <v>5252011169</v>
      </c>
      <c r="P4527" s="27">
        <v>32749600</v>
      </c>
      <c r="Q4527" s="5" t="s">
        <v>49009</v>
      </c>
      <c r="R4527" s="5"/>
      <c r="S4527" s="5" t="s">
        <v>49581</v>
      </c>
      <c r="T4527" s="28">
        <v>493017000</v>
      </c>
      <c r="U4527" s="28">
        <v>80768000</v>
      </c>
      <c r="V4527" s="28">
        <v>849847000</v>
      </c>
      <c r="W4527" s="28">
        <v>298147000</v>
      </c>
      <c r="X4527" s="28">
        <v>16242000</v>
      </c>
      <c r="Y4527" s="28">
        <v>2541160000</v>
      </c>
      <c r="Z4527" s="28">
        <v>288452000</v>
      </c>
      <c r="AA4527" s="28">
        <v>558835000</v>
      </c>
      <c r="AB4527" s="28">
        <v>821145000</v>
      </c>
      <c r="AC4527" s="28">
        <v>1652912000</v>
      </c>
      <c r="AD4527" s="28">
        <v>321202000</v>
      </c>
      <c r="AE4527" s="28">
        <v>3781742000</v>
      </c>
      <c r="AF4527" s="28">
        <v>31238000</v>
      </c>
      <c r="AG4527" s="11"/>
    </row>
    <row r="4528">
      <c r="A4528" s="7" t="s">
        <v>6167</v>
      </c>
      <c r="B4528" s="5" t="s">
        <v>14124</v>
      </c>
      <c r="C4528" s="5" t="s">
        <v>21873</v>
      </c>
      <c r="D4528" s="5"/>
      <c r="E4528" s="0" t="e">
        <f>+7 (831) 2600030
+7 (83171) 70618
+7 (83171) 70671</f>
        <v>#NAME?</v>
      </c>
      <c r="F4528" s="5" t="s">
        <v>38842</v>
      </c>
      <c r="G4528" s="5"/>
      <c r="H4528" s="26">
        <v>13</v>
      </c>
      <c r="I4528" s="5" t="s">
        <v>38843</v>
      </c>
      <c r="J4528" s="5" t="s">
        <v>25450</v>
      </c>
      <c r="K4528" s="5" t="s">
        <v>344</v>
      </c>
      <c r="L4528" s="5" t="s">
        <v>38844</v>
      </c>
      <c r="M4528" s="27">
        <v>375000</v>
      </c>
      <c r="N4528" s="5" t="s">
        <v>50866</v>
      </c>
      <c r="O4528" s="5" t="str">
        <v>5252025796</v>
      </c>
      <c r="P4528" s="27">
        <v>3080646</v>
      </c>
      <c r="Q4528" s="5" t="s">
        <v>49207</v>
      </c>
      <c r="R4528" s="5"/>
      <c r="S4528" s="5" t="s">
        <v>56196</v>
      </c>
      <c r="T4528" s="28">
        <v>1781344000</v>
      </c>
      <c r="U4528" s="28">
        <v>19368000</v>
      </c>
      <c r="V4528" s="28">
        <v>1962627000</v>
      </c>
      <c r="W4528" s="28">
        <v>73317000</v>
      </c>
      <c r="X4528" s="28">
        <v>698314000</v>
      </c>
      <c r="Y4528" s="28">
        <v>5353991000</v>
      </c>
      <c r="Z4528" s="28">
        <v>2380668000</v>
      </c>
      <c r="AA4528" s="28">
        <v>458629000</v>
      </c>
      <c r="AB4528" s="28">
        <v>1517426000</v>
      </c>
      <c r="AC4528" s="28">
        <v>2479475000</v>
      </c>
      <c r="AD4528" s="28">
        <v>2409429000</v>
      </c>
      <c r="AE4528" s="28">
        <v>7194987000</v>
      </c>
      <c r="AF4528" s="28">
        <v>531704000</v>
      </c>
      <c r="AG4528" s="11"/>
    </row>
    <row r="4529">
      <c r="A4529" s="7" t="s">
        <v>6168</v>
      </c>
      <c r="B4529" s="5" t="s">
        <v>14125</v>
      </c>
      <c r="C4529" s="5" t="s">
        <v>21874</v>
      </c>
      <c r="D4529" s="5" t="str">
        <v>381452557430</v>
      </c>
      <c r="E4529" s="0" t="e">
        <f>+7 (38581) 27006
+7 (38581) 27012
+7 (38581) 27033
+7 (38581) 27036
+7 (38581) 27046
+7 (38581) 27052
+7 (38581) 27053
+7 (38581) 27054
+7 (38581) 27057
+7 (38581) 27064
+7 (963) 5199925</f>
        <v>#NAME?</v>
      </c>
      <c r="F4529" s="5" t="s">
        <v>38845</v>
      </c>
      <c r="G4529" s="5"/>
      <c r="H4529" s="26">
        <v>8</v>
      </c>
      <c r="I4529" s="5" t="s">
        <v>38846</v>
      </c>
      <c r="J4529" s="5" t="s">
        <v>27221</v>
      </c>
      <c r="K4529" s="5" t="s">
        <v>344</v>
      </c>
      <c r="L4529" s="5"/>
      <c r="M4529" s="27"/>
      <c r="N4529" s="5"/>
      <c r="O4529" s="5" t="str">
        <v>2261004123</v>
      </c>
      <c r="P4529" s="27">
        <v>20000000</v>
      </c>
      <c r="Q4529" s="5" t="s">
        <v>49057</v>
      </c>
      <c r="R4529" s="5"/>
      <c r="S4529" s="5" t="s">
        <v>53811</v>
      </c>
      <c r="T4529" s="28">
        <v>3954080000</v>
      </c>
      <c r="U4529" s="28">
        <v>81600000</v>
      </c>
      <c r="V4529" s="28">
        <v>468318000</v>
      </c>
      <c r="W4529" s="28">
        <v>327811000</v>
      </c>
      <c r="X4529" s="28">
        <v>521797000</v>
      </c>
      <c r="Y4529" s="28">
        <v>6465392000</v>
      </c>
      <c r="Z4529" s="28">
        <v>690273000</v>
      </c>
      <c r="AA4529" s="28">
        <v>3396325000</v>
      </c>
      <c r="AB4529" s="28">
        <v>707278000</v>
      </c>
      <c r="AC4529" s="28">
        <v>1640757000</v>
      </c>
      <c r="AD4529" s="28">
        <v>1188773000</v>
      </c>
      <c r="AE4529" s="28">
        <v>4196155000</v>
      </c>
      <c r="AF4529" s="28">
        <v>133814000</v>
      </c>
      <c r="AG4529" s="11"/>
    </row>
    <row r="4530">
      <c r="A4530" s="7" t="s">
        <v>6169</v>
      </c>
      <c r="B4530" s="5" t="s">
        <v>14126</v>
      </c>
      <c r="C4530" s="5" t="s">
        <v>21875</v>
      </c>
      <c r="D4530" s="5" t="str">
        <v>525708735008</v>
      </c>
      <c r="E4530" s="0" t="e">
        <f>+7 (831) 2144146
+7 (83171) 37584
+7 (83171) 37623
+7 (83171) 38297
+7 (83171) 39297
+7 (83171) 63580</f>
        <v>#NAME?</v>
      </c>
      <c r="F4530" s="5" t="s">
        <v>38847</v>
      </c>
      <c r="G4530" s="5" t="s">
        <v>38848</v>
      </c>
      <c r="H4530" s="26">
        <v>30.5</v>
      </c>
      <c r="I4530" s="5" t="s">
        <v>38849</v>
      </c>
      <c r="J4530" s="5" t="s">
        <v>25499</v>
      </c>
      <c r="K4530" s="5" t="s">
        <v>355</v>
      </c>
      <c r="L4530" s="5"/>
      <c r="M4530" s="27">
        <v>23951956</v>
      </c>
      <c r="N4530" s="5" t="s">
        <v>56349</v>
      </c>
      <c r="O4530" s="5" t="str">
        <v>5252000632</v>
      </c>
      <c r="P4530" s="27">
        <v>1587000</v>
      </c>
      <c r="Q4530" s="5"/>
      <c r="R4530" s="5"/>
      <c r="S4530" s="5" t="s">
        <v>49425</v>
      </c>
      <c r="T4530" s="28">
        <v>748049000</v>
      </c>
      <c r="U4530" s="28"/>
      <c r="V4530" s="28">
        <v>540036000</v>
      </c>
      <c r="W4530" s="28">
        <v>8000</v>
      </c>
      <c r="X4530" s="28">
        <v>3979000</v>
      </c>
      <c r="Y4530" s="28">
        <v>1593780000</v>
      </c>
      <c r="Z4530" s="28">
        <v>368630000</v>
      </c>
      <c r="AA4530" s="28">
        <v>534680000</v>
      </c>
      <c r="AB4530" s="28">
        <v>402951000</v>
      </c>
      <c r="AC4530" s="28">
        <v>683764000</v>
      </c>
      <c r="AD4530" s="28">
        <v>372080000</v>
      </c>
      <c r="AE4530" s="28">
        <v>3620043000</v>
      </c>
      <c r="AF4530" s="28">
        <v>47845000</v>
      </c>
      <c r="AG4530" s="11"/>
    </row>
    <row r="4531">
      <c r="A4531" s="7" t="s">
        <v>6170</v>
      </c>
      <c r="B4531" s="5" t="s">
        <v>14127</v>
      </c>
      <c r="C4531" s="5" t="s">
        <v>21876</v>
      </c>
      <c r="D4531" s="5" t="str">
        <v>615503522855</v>
      </c>
      <c r="E4531" s="0" t="e">
        <f>+7 (86191) 21289
+7 (86191) 23848
+7 (86191) 33648</f>
        <v>#NAME?</v>
      </c>
      <c r="F4531" s="5" t="s">
        <v>38850</v>
      </c>
      <c r="G4531" s="5"/>
      <c r="H4531" s="26">
        <v>26.5</v>
      </c>
      <c r="I4531" s="5"/>
      <c r="J4531" s="5" t="s">
        <v>26128</v>
      </c>
      <c r="K4531" s="5" t="s">
        <v>344</v>
      </c>
      <c r="L4531" s="5" t="s">
        <v>38851</v>
      </c>
      <c r="M4531" s="27">
        <v>48602810</v>
      </c>
      <c r="N4531" s="5"/>
      <c r="O4531" s="5" t="str">
        <v>2346011610</v>
      </c>
      <c r="P4531" s="27">
        <v>500000</v>
      </c>
      <c r="Q4531" s="5" t="s">
        <v>49059</v>
      </c>
      <c r="R4531" s="5"/>
      <c r="S4531" s="5" t="s">
        <v>49029</v>
      </c>
      <c r="T4531" s="28">
        <v>158723000</v>
      </c>
      <c r="U4531" s="28"/>
      <c r="V4531" s="28">
        <v>655921000</v>
      </c>
      <c r="W4531" s="28">
        <v>100000</v>
      </c>
      <c r="X4531" s="28">
        <v>7601000</v>
      </c>
      <c r="Y4531" s="28">
        <v>862919000</v>
      </c>
      <c r="Z4531" s="28">
        <v>232982000</v>
      </c>
      <c r="AA4531" s="28"/>
      <c r="AB4531" s="28"/>
      <c r="AC4531" s="28">
        <v>580690000</v>
      </c>
      <c r="AD4531" s="28">
        <v>267340000</v>
      </c>
      <c r="AE4531" s="28">
        <v>3778138000</v>
      </c>
      <c r="AF4531" s="28">
        <v>51621000</v>
      </c>
      <c r="AG4531" s="11"/>
    </row>
    <row r="4532">
      <c r="A4532" s="7" t="s">
        <v>6171</v>
      </c>
      <c r="B4532" s="5" t="s">
        <v>14128</v>
      </c>
      <c r="C4532" s="5" t="s">
        <v>21877</v>
      </c>
      <c r="D4532" s="5" t="str">
        <v>232901526816</v>
      </c>
      <c r="E4532" s="0" t="e">
        <f>+7 (86157) 78333
+7 (86191) 31535</f>
        <v>#NAME?</v>
      </c>
      <c r="F4532" s="5" t="s">
        <v>38852</v>
      </c>
      <c r="G4532" s="5" t="s">
        <v>38853</v>
      </c>
      <c r="H4532" s="26">
        <v>9</v>
      </c>
      <c r="I4532" s="5" t="s">
        <v>38854</v>
      </c>
      <c r="J4532" s="5" t="s">
        <v>25994</v>
      </c>
      <c r="K4532" s="5" t="s">
        <v>344</v>
      </c>
      <c r="L4532" s="5" t="s">
        <v>38855</v>
      </c>
      <c r="M4532" s="27"/>
      <c r="N4532" s="5"/>
      <c r="O4532" s="5" t="str">
        <v>2309140864</v>
      </c>
      <c r="P4532" s="27">
        <v>10000</v>
      </c>
      <c r="Q4532" s="5" t="s">
        <v>49021</v>
      </c>
      <c r="R4532" s="5"/>
      <c r="S4532" s="5" t="s">
        <v>56350</v>
      </c>
      <c r="T4532" s="28">
        <v>1417785000</v>
      </c>
      <c r="U4532" s="28"/>
      <c r="V4532" s="28">
        <v>209948000</v>
      </c>
      <c r="W4532" s="28">
        <v>315087000</v>
      </c>
      <c r="X4532" s="28">
        <v>1692000</v>
      </c>
      <c r="Y4532" s="28">
        <v>3665394000</v>
      </c>
      <c r="Z4532" s="28">
        <v>1486143000</v>
      </c>
      <c r="AA4532" s="28">
        <v>218303000</v>
      </c>
      <c r="AB4532" s="28">
        <v>838028000</v>
      </c>
      <c r="AC4532" s="28">
        <v>1191675000</v>
      </c>
      <c r="AD4532" s="28">
        <v>1486153000</v>
      </c>
      <c r="AE4532" s="28">
        <v>4844923000</v>
      </c>
      <c r="AF4532" s="28">
        <v>1217134000</v>
      </c>
      <c r="AG4532" s="11"/>
    </row>
    <row r="4533">
      <c r="A4533" s="7" t="s">
        <v>6172</v>
      </c>
      <c r="B4533" s="5" t="s">
        <v>14129</v>
      </c>
      <c r="C4533" s="5" t="s">
        <v>21878</v>
      </c>
      <c r="D4533" s="5" t="str">
        <v>161403671808</v>
      </c>
      <c r="E4533" s="0" t="e">
        <f>+7 (906) 3301486
+7 (855) 2203625
+7 (855) 2203627
+7 (855) 2203630
+7 (855) 2203635
+7 (855) 2397023
+7 (855) 2530677</f>
        <v>#NAME?</v>
      </c>
      <c r="F4533" s="5" t="s">
        <v>38856</v>
      </c>
      <c r="G4533" s="5" t="s">
        <v>38857</v>
      </c>
      <c r="H4533" s="26">
        <v>25.5</v>
      </c>
      <c r="I4533" s="5" t="s">
        <v>38858</v>
      </c>
      <c r="J4533" s="5" t="s">
        <v>467</v>
      </c>
      <c r="K4533" s="5" t="s">
        <v>344</v>
      </c>
      <c r="L4533" s="5"/>
      <c r="M4533" s="27"/>
      <c r="N4533" s="5" t="s">
        <v>56351</v>
      </c>
      <c r="O4533" s="5" t="str">
        <v>1650052791</v>
      </c>
      <c r="P4533" s="27">
        <v>27333777</v>
      </c>
      <c r="Q4533" s="5" t="s">
        <v>56352</v>
      </c>
      <c r="R4533" s="5"/>
      <c r="S4533" s="5" t="s">
        <v>51984</v>
      </c>
      <c r="T4533" s="28">
        <v>57065000</v>
      </c>
      <c r="U4533" s="28"/>
      <c r="V4533" s="28">
        <v>91458000</v>
      </c>
      <c r="W4533" s="28">
        <v>7287000</v>
      </c>
      <c r="X4533" s="28">
        <v>61246000</v>
      </c>
      <c r="Y4533" s="28">
        <v>518992000</v>
      </c>
      <c r="Z4533" s="28">
        <v>-148953000</v>
      </c>
      <c r="AA4533" s="28"/>
      <c r="AB4533" s="28">
        <v>72422000</v>
      </c>
      <c r="AC4533" s="28">
        <v>629481000</v>
      </c>
      <c r="AD4533" s="28">
        <v>-112126000</v>
      </c>
      <c r="AE4533" s="28">
        <v>3543830000</v>
      </c>
      <c r="AF4533" s="28">
        <v>117000</v>
      </c>
      <c r="AG4533" s="11"/>
    </row>
    <row r="4534">
      <c r="A4534" s="7" t="s">
        <v>6173</v>
      </c>
      <c r="B4534" s="5" t="s">
        <v>14130</v>
      </c>
      <c r="C4534" s="5" t="s">
        <v>21879</v>
      </c>
      <c r="D4534" s="5"/>
      <c r="E4534" s="0" t="e">
        <f>+7 (346) 2236490
+7 (346) 2249371
+7 (346) 2556995
+7 (3467) 330793
+7 (3496) 335839
+7 (495) 2694922
+7 (495) 6633107
+7 (499) 5028036</f>
        <v>#NAME?</v>
      </c>
      <c r="F4534" s="5" t="s">
        <v>38859</v>
      </c>
      <c r="G4534" s="5" t="s">
        <v>38860</v>
      </c>
      <c r="H4534" s="26">
        <v>16.5</v>
      </c>
      <c r="I4534" s="5" t="s">
        <v>38861</v>
      </c>
      <c r="J4534" s="5" t="s">
        <v>27921</v>
      </c>
      <c r="K4534" s="5" t="s">
        <v>344</v>
      </c>
      <c r="L4534" s="5" t="s">
        <v>38862</v>
      </c>
      <c r="M4534" s="27">
        <v>228570829</v>
      </c>
      <c r="N4534" s="5" t="s">
        <v>56353</v>
      </c>
      <c r="O4534" s="5" t="str">
        <v>7718607570</v>
      </c>
      <c r="P4534" s="27">
        <v>300000</v>
      </c>
      <c r="Q4534" s="5" t="s">
        <v>56355</v>
      </c>
      <c r="R4534" s="5"/>
      <c r="S4534" s="5" t="s">
        <v>56356</v>
      </c>
      <c r="T4534" s="28">
        <v>2637000000</v>
      </c>
      <c r="U4534" s="28">
        <v>703000</v>
      </c>
      <c r="V4534" s="28">
        <v>3524072000</v>
      </c>
      <c r="W4534" s="28"/>
      <c r="X4534" s="28">
        <v>1703693000</v>
      </c>
      <c r="Y4534" s="28">
        <v>9718862000</v>
      </c>
      <c r="Z4534" s="28">
        <v>6460791000</v>
      </c>
      <c r="AA4534" s="28"/>
      <c r="AB4534" s="28">
        <v>501096000</v>
      </c>
      <c r="AC4534" s="28">
        <v>2765313000</v>
      </c>
      <c r="AD4534" s="28">
        <v>6461091000</v>
      </c>
      <c r="AE4534" s="28">
        <v>9936361000</v>
      </c>
      <c r="AF4534" s="28">
        <v>649265000</v>
      </c>
      <c r="AG4534" s="11"/>
    </row>
    <row r="4535">
      <c r="A4535" s="7" t="s">
        <v>6174</v>
      </c>
      <c r="B4535" s="5" t="s">
        <v>14131</v>
      </c>
      <c r="C4535" s="5" t="s">
        <v>21880</v>
      </c>
      <c r="D4535" s="5" t="str">
        <v>500111144033</v>
      </c>
      <c r="E4535" s="0" t="e">
        <f>+7 (495) 9373025
+7 (495) 9373026
+7 (495) 2373225
+7 (495) 9373016
+7 (499) 2373225</f>
        <v>#NAME?</v>
      </c>
      <c r="F4535" s="5"/>
      <c r="G4535" s="5" t="s">
        <v>38863</v>
      </c>
      <c r="H4535" s="26">
        <v>22</v>
      </c>
      <c r="I4535" s="5" t="s">
        <v>38864</v>
      </c>
      <c r="J4535" s="5" t="s">
        <v>26251</v>
      </c>
      <c r="K4535" s="5" t="s">
        <v>344</v>
      </c>
      <c r="L4535" s="5" t="s">
        <v>32847</v>
      </c>
      <c r="M4535" s="27">
        <v>3768358</v>
      </c>
      <c r="N4535" s="5" t="s">
        <v>56357</v>
      </c>
      <c r="O4535" s="5" t="str">
        <v>7733115679</v>
      </c>
      <c r="P4535" s="27">
        <v>620255108</v>
      </c>
      <c r="Q4535" s="5" t="s">
        <v>49009</v>
      </c>
      <c r="R4535" s="5"/>
      <c r="S4535" s="5" t="s">
        <v>49487</v>
      </c>
      <c r="T4535" s="28">
        <v>404406000</v>
      </c>
      <c r="U4535" s="28">
        <v>12000</v>
      </c>
      <c r="V4535" s="28">
        <v>347083000</v>
      </c>
      <c r="W4535" s="28"/>
      <c r="X4535" s="28">
        <v>24487000</v>
      </c>
      <c r="Y4535" s="28">
        <v>1528087000</v>
      </c>
      <c r="Z4535" s="28">
        <v>-203681000</v>
      </c>
      <c r="AA4535" s="28">
        <v>778795000</v>
      </c>
      <c r="AB4535" s="28">
        <v>1050000</v>
      </c>
      <c r="AC4535" s="28">
        <v>332710000</v>
      </c>
      <c r="AD4535" s="28">
        <v>416574000</v>
      </c>
      <c r="AE4535" s="28">
        <v>4264696000</v>
      </c>
      <c r="AF4535" s="28">
        <v>133207000</v>
      </c>
      <c r="AG4535" s="11"/>
    </row>
    <row r="4536">
      <c r="A4536" s="7" t="s">
        <v>6175</v>
      </c>
      <c r="B4536" s="5" t="s">
        <v>14132</v>
      </c>
      <c r="C4536" s="5" t="s">
        <v>21881</v>
      </c>
      <c r="D4536" s="5" t="str">
        <v>165047706708</v>
      </c>
      <c r="E4536" s="0" t="e">
        <f>+7 (495) 9880199
+7 (499) 2657704
+7 (499) 2657706</f>
        <v>#NAME?</v>
      </c>
      <c r="F4536" s="5" t="s">
        <v>38865</v>
      </c>
      <c r="G4536" s="5"/>
      <c r="H4536" s="26">
        <v>23.5</v>
      </c>
      <c r="I4536" s="5" t="s">
        <v>38866</v>
      </c>
      <c r="J4536" s="5" t="s">
        <v>678</v>
      </c>
      <c r="K4536" s="5" t="s">
        <v>344</v>
      </c>
      <c r="L4536" s="5" t="s">
        <v>38867</v>
      </c>
      <c r="M4536" s="27"/>
      <c r="N4536" s="5"/>
      <c r="O4536" s="5" t="str">
        <v>7718146400</v>
      </c>
      <c r="P4536" s="27">
        <v>94440000</v>
      </c>
      <c r="Q4536" s="5"/>
      <c r="R4536" s="5"/>
      <c r="S4536" s="5" t="s">
        <v>49029</v>
      </c>
      <c r="T4536" s="28">
        <v>191047000</v>
      </c>
      <c r="U4536" s="28"/>
      <c r="V4536" s="28">
        <v>1285437000</v>
      </c>
      <c r="W4536" s="28"/>
      <c r="X4536" s="28">
        <v>29000</v>
      </c>
      <c r="Y4536" s="28">
        <v>1619671000</v>
      </c>
      <c r="Z4536" s="28">
        <v>840883000</v>
      </c>
      <c r="AA4536" s="28"/>
      <c r="AB4536" s="28">
        <v>70811000</v>
      </c>
      <c r="AC4536" s="28">
        <v>640012000</v>
      </c>
      <c r="AD4536" s="28">
        <v>841883000</v>
      </c>
      <c r="AE4536" s="28">
        <v>4670160000</v>
      </c>
      <c r="AF4536" s="28">
        <v>114739000</v>
      </c>
      <c r="AG4536" s="11"/>
    </row>
    <row r="4537">
      <c r="A4537" s="7" t="s">
        <v>6176</v>
      </c>
      <c r="B4537" s="5" t="s">
        <v>14133</v>
      </c>
      <c r="C4537" s="5" t="s">
        <v>21882</v>
      </c>
      <c r="D4537" s="5" t="str">
        <v>771512109454</v>
      </c>
      <c r="E4537" s="0" t="e">
        <f>+7 (35325) 67337
+7 (495) 5740581
+7 (916) 5740583</f>
        <v>#NAME?</v>
      </c>
      <c r="F4537" s="5"/>
      <c r="G4537" s="5"/>
      <c r="H4537" s="26">
        <v>16.5</v>
      </c>
      <c r="I4537" s="5" t="s">
        <v>38868</v>
      </c>
      <c r="J4537" s="5" t="s">
        <v>28064</v>
      </c>
      <c r="K4537" s="5" t="s">
        <v>344</v>
      </c>
      <c r="L4537" s="5" t="s">
        <v>38869</v>
      </c>
      <c r="M4537" s="27"/>
      <c r="N4537" s="5" t="s">
        <v>56358</v>
      </c>
      <c r="O4537" s="5" t="str">
        <v>5047077270</v>
      </c>
      <c r="P4537" s="27">
        <v>2000000</v>
      </c>
      <c r="Q4537" s="5" t="s">
        <v>49009</v>
      </c>
      <c r="R4537" s="5"/>
      <c r="S4537" s="5" t="s">
        <v>49200</v>
      </c>
      <c r="T4537" s="28">
        <v>83888000</v>
      </c>
      <c r="U4537" s="28"/>
      <c r="V4537" s="28">
        <v>524317000</v>
      </c>
      <c r="W4537" s="28"/>
      <c r="X4537" s="28">
        <v>102526000</v>
      </c>
      <c r="Y4537" s="28">
        <v>1353133000</v>
      </c>
      <c r="Z4537" s="28">
        <v>820154000</v>
      </c>
      <c r="AA4537" s="28"/>
      <c r="AB4537" s="28"/>
      <c r="AC4537" s="28">
        <v>451584000</v>
      </c>
      <c r="AD4537" s="28">
        <v>822154000</v>
      </c>
      <c r="AE4537" s="28">
        <v>3658939000</v>
      </c>
      <c r="AF4537" s="28">
        <v>488760000</v>
      </c>
      <c r="AG4537" s="11"/>
    </row>
    <row r="4538">
      <c r="A4538" s="7" t="s">
        <v>6177</v>
      </c>
      <c r="B4538" s="5" t="s">
        <v>14134</v>
      </c>
      <c r="C4538" s="5" t="s">
        <v>21883</v>
      </c>
      <c r="D4538" s="5" t="str">
        <v>614109969001</v>
      </c>
      <c r="E4538" s="0" t="e">
        <f>+7 (961) 3178278</f>
        <v>#NAME?</v>
      </c>
      <c r="F4538" s="5" t="s">
        <v>38870</v>
      </c>
      <c r="G4538" s="5"/>
      <c r="H4538" s="26">
        <v>1</v>
      </c>
      <c r="I4538" s="5" t="s">
        <v>38871</v>
      </c>
      <c r="J4538" s="5" t="s">
        <v>25837</v>
      </c>
      <c r="K4538" s="5" t="s">
        <v>344</v>
      </c>
      <c r="L4538" s="5"/>
      <c r="M4538" s="27"/>
      <c r="N4538" s="5"/>
      <c r="O4538" s="5" t="str">
        <v>6161095847</v>
      </c>
      <c r="P4538" s="27">
        <v>20000</v>
      </c>
      <c r="Q4538" s="5"/>
      <c r="R4538" s="5"/>
      <c r="S4538" s="5" t="s">
        <v>49029</v>
      </c>
      <c r="T4538" s="28">
        <v>125000</v>
      </c>
      <c r="U4538" s="28"/>
      <c r="V4538" s="28">
        <v>15373368000</v>
      </c>
      <c r="W4538" s="28"/>
      <c r="X4538" s="28">
        <v>433527000</v>
      </c>
      <c r="Y4538" s="28">
        <v>16867569000</v>
      </c>
      <c r="Z4538" s="28">
        <v>1334877000</v>
      </c>
      <c r="AA4538" s="28"/>
      <c r="AB4538" s="28">
        <v>5083773000</v>
      </c>
      <c r="AC4538" s="28">
        <v>15081056000</v>
      </c>
      <c r="AD4538" s="28">
        <v>1334897000</v>
      </c>
      <c r="AE4538" s="28">
        <v>21525886000</v>
      </c>
      <c r="AF4538" s="28">
        <v>1334877000</v>
      </c>
      <c r="AG4538" s="11"/>
    </row>
    <row r="4539">
      <c r="A4539" s="7" t="s">
        <v>6178</v>
      </c>
      <c r="B4539" s="5" t="s">
        <v>14135</v>
      </c>
      <c r="C4539" s="5" t="s">
        <v>21884</v>
      </c>
      <c r="D4539" s="5" t="str">
        <v>230812042094</v>
      </c>
      <c r="E4539" s="0" t="e">
        <f>+7 (938) 5012585</f>
        <v>#NAME?</v>
      </c>
      <c r="F4539" s="5" t="s">
        <v>38872</v>
      </c>
      <c r="G4539" s="5"/>
      <c r="H4539" s="26">
        <v>3.5</v>
      </c>
      <c r="I4539" s="5" t="s">
        <v>38873</v>
      </c>
      <c r="J4539" s="5" t="s">
        <v>25938</v>
      </c>
      <c r="K4539" s="5" t="s">
        <v>344</v>
      </c>
      <c r="L4539" s="5" t="s">
        <v>38634</v>
      </c>
      <c r="M4539" s="27"/>
      <c r="N4539" s="5"/>
      <c r="O4539" s="5" t="str">
        <v>2312286493</v>
      </c>
      <c r="P4539" s="27">
        <v>10000</v>
      </c>
      <c r="Q4539" s="5"/>
      <c r="R4539" s="5"/>
      <c r="S4539" s="5" t="s">
        <v>49029</v>
      </c>
      <c r="T4539" s="28"/>
      <c r="U4539" s="28"/>
      <c r="V4539" s="28">
        <v>319403000</v>
      </c>
      <c r="W4539" s="28"/>
      <c r="X4539" s="28">
        <v>20057000</v>
      </c>
      <c r="Y4539" s="28">
        <v>686603000</v>
      </c>
      <c r="Z4539" s="28">
        <v>47869000</v>
      </c>
      <c r="AA4539" s="28"/>
      <c r="AB4539" s="28"/>
      <c r="AC4539" s="28">
        <v>633709000</v>
      </c>
      <c r="AD4539" s="28">
        <v>47879000</v>
      </c>
      <c r="AE4539" s="28">
        <v>4865300000</v>
      </c>
      <c r="AF4539" s="28">
        <v>7710000</v>
      </c>
      <c r="AG4539" s="11"/>
    </row>
    <row r="4540">
      <c r="A4540" s="7" t="s">
        <v>6179</v>
      </c>
      <c r="B4540" s="5" t="s">
        <v>14136</v>
      </c>
      <c r="C4540" s="5" t="s">
        <v>21885</v>
      </c>
      <c r="D4540" s="5" t="str">
        <v>263403146890</v>
      </c>
      <c r="E4540" s="0" t="e">
        <f>+7 (800) 3020686
+7 (8652) 500520</f>
        <v>#NAME?</v>
      </c>
      <c r="F4540" s="5" t="s">
        <v>38874</v>
      </c>
      <c r="G4540" s="5" t="s">
        <v>38875</v>
      </c>
      <c r="H4540" s="26">
        <v>28</v>
      </c>
      <c r="I4540" s="5" t="s">
        <v>38876</v>
      </c>
      <c r="J4540" s="5" t="s">
        <v>25259</v>
      </c>
      <c r="K4540" s="5" t="s">
        <v>344</v>
      </c>
      <c r="L4540" s="5" t="s">
        <v>38877</v>
      </c>
      <c r="M4540" s="27">
        <v>85303827</v>
      </c>
      <c r="N4540" s="5" t="s">
        <v>56359</v>
      </c>
      <c r="O4540" s="5" t="str">
        <v>2635030266</v>
      </c>
      <c r="P4540" s="27">
        <v>10697000</v>
      </c>
      <c r="Q4540" s="5" t="s">
        <v>56360</v>
      </c>
      <c r="R4540" s="5"/>
      <c r="S4540" s="5" t="s">
        <v>56361</v>
      </c>
      <c r="T4540" s="28">
        <v>31597000</v>
      </c>
      <c r="U4540" s="28"/>
      <c r="V4540" s="28">
        <v>1567685000</v>
      </c>
      <c r="W4540" s="28"/>
      <c r="X4540" s="28">
        <v>9698000</v>
      </c>
      <c r="Y4540" s="28">
        <v>2798374000</v>
      </c>
      <c r="Z4540" s="28">
        <v>161974000</v>
      </c>
      <c r="AA4540" s="28">
        <v>772000000</v>
      </c>
      <c r="AB4540" s="28">
        <v>1162000</v>
      </c>
      <c r="AC4540" s="28">
        <v>1833703000</v>
      </c>
      <c r="AD4540" s="28">
        <v>192671000</v>
      </c>
      <c r="AE4540" s="28">
        <v>3721959000</v>
      </c>
      <c r="AF4540" s="28">
        <v>26200000</v>
      </c>
      <c r="AG4540" s="11"/>
    </row>
    <row r="4541">
      <c r="A4541" s="7" t="s">
        <v>6180</v>
      </c>
      <c r="B4541" s="5" t="s">
        <v>14137</v>
      </c>
      <c r="C4541" s="5" t="s">
        <v>21886</v>
      </c>
      <c r="D4541" s="5" t="str">
        <v>773414689507</v>
      </c>
      <c r="E4541" s="0" t="e">
        <f>+7 (495) 7393920
+7 (499) 9951573</f>
        <v>#NAME?</v>
      </c>
      <c r="F4541" s="5" t="s">
        <v>38878</v>
      </c>
      <c r="G4541" s="5" t="s">
        <v>38879</v>
      </c>
      <c r="H4541" s="26">
        <v>11</v>
      </c>
      <c r="I4541" s="5" t="s">
        <v>38880</v>
      </c>
      <c r="J4541" s="5" t="s">
        <v>27522</v>
      </c>
      <c r="K4541" s="5" t="s">
        <v>344</v>
      </c>
      <c r="L4541" s="5" t="s">
        <v>38881</v>
      </c>
      <c r="M4541" s="27"/>
      <c r="N4541" s="5"/>
      <c r="O4541" s="5" t="str">
        <v>5047132153</v>
      </c>
      <c r="P4541" s="27">
        <v>100000</v>
      </c>
      <c r="Q4541" s="5" t="s">
        <v>56362</v>
      </c>
      <c r="R4541" s="5"/>
      <c r="S4541" s="5" t="s">
        <v>50509</v>
      </c>
      <c r="T4541" s="28">
        <v>6900000</v>
      </c>
      <c r="U4541" s="28">
        <v>100000</v>
      </c>
      <c r="V4541" s="28">
        <v>609554000</v>
      </c>
      <c r="W4541" s="28"/>
      <c r="X4541" s="28">
        <v>29009000</v>
      </c>
      <c r="Y4541" s="28">
        <v>1097578000</v>
      </c>
      <c r="Z4541" s="28">
        <v>117399000</v>
      </c>
      <c r="AA4541" s="28"/>
      <c r="AB4541" s="28"/>
      <c r="AC4541" s="28">
        <v>969741000</v>
      </c>
      <c r="AD4541" s="28">
        <v>117499000</v>
      </c>
      <c r="AE4541" s="28">
        <v>3836063000</v>
      </c>
      <c r="AF4541" s="28">
        <v>126902000</v>
      </c>
      <c r="AG4541" s="11"/>
    </row>
    <row r="4542">
      <c r="A4542" s="7" t="s">
        <v>6181</v>
      </c>
      <c r="B4542" s="5" t="s">
        <v>14138</v>
      </c>
      <c r="C4542" s="5" t="s">
        <v>21887</v>
      </c>
      <c r="D4542" s="5" t="str">
        <v>772705777668</v>
      </c>
      <c r="E4542" s="0" t="e">
        <f>+7 (495) 7805555
+7 (495) 9741312
+7 (495) 9746266
+7 (495) 9746268
+7 (495) 9747968
+7 (495) 7907777</f>
        <v>#NAME?</v>
      </c>
      <c r="F4542" s="5" t="s">
        <v>38882</v>
      </c>
      <c r="G4542" s="5" t="s">
        <v>38883</v>
      </c>
      <c r="H4542" s="26">
        <v>16</v>
      </c>
      <c r="I4542" s="5" t="s">
        <v>38884</v>
      </c>
      <c r="J4542" s="5" t="s">
        <v>397</v>
      </c>
      <c r="K4542" s="5" t="s">
        <v>344</v>
      </c>
      <c r="L4542" s="5" t="s">
        <v>38885</v>
      </c>
      <c r="M4542" s="27">
        <v>27864842</v>
      </c>
      <c r="N4542" s="5" t="s">
        <v>56363</v>
      </c>
      <c r="O4542" s="5" t="str">
        <v>7703618121</v>
      </c>
      <c r="P4542" s="27">
        <v>2900000</v>
      </c>
      <c r="Q4542" s="5" t="s">
        <v>49009</v>
      </c>
      <c r="R4542" s="5"/>
      <c r="S4542" s="5" t="s">
        <v>50934</v>
      </c>
      <c r="T4542" s="28">
        <v>2089769000</v>
      </c>
      <c r="U4542" s="28"/>
      <c r="V4542" s="28">
        <v>962467000</v>
      </c>
      <c r="W4542" s="28">
        <v>400000</v>
      </c>
      <c r="X4542" s="28">
        <v>207216000</v>
      </c>
      <c r="Y4542" s="28">
        <v>5357063000</v>
      </c>
      <c r="Z4542" s="28">
        <v>2833356000</v>
      </c>
      <c r="AA4542" s="28"/>
      <c r="AB4542" s="28">
        <v>100155000</v>
      </c>
      <c r="AC4542" s="28">
        <v>578366000</v>
      </c>
      <c r="AD4542" s="28">
        <v>3143256000</v>
      </c>
      <c r="AE4542" s="28">
        <v>13914584000</v>
      </c>
      <c r="AF4542" s="28">
        <v>918744000</v>
      </c>
      <c r="AG4542" s="11"/>
    </row>
    <row r="4543">
      <c r="A4543" s="7" t="s">
        <v>6182</v>
      </c>
      <c r="B4543" s="5" t="s">
        <v>14139</v>
      </c>
      <c r="C4543" s="5" t="s">
        <v>21888</v>
      </c>
      <c r="D4543" s="5" t="str">
        <v>363100872590</v>
      </c>
      <c r="E4543" s="0" t="e">
        <f>+7 (473) 2332760</f>
        <v>#NAME?</v>
      </c>
      <c r="F4543" s="5" t="s">
        <v>38886</v>
      </c>
      <c r="G4543" s="5"/>
      <c r="H4543" s="26">
        <v>11.5</v>
      </c>
      <c r="I4543" s="5" t="s">
        <v>38887</v>
      </c>
      <c r="J4543" s="5" t="s">
        <v>25850</v>
      </c>
      <c r="K4543" s="5" t="s">
        <v>344</v>
      </c>
      <c r="L4543" s="5" t="s">
        <v>36721</v>
      </c>
      <c r="M4543" s="27"/>
      <c r="N4543" s="5"/>
      <c r="O4543" s="5" t="str">
        <v>3616014609</v>
      </c>
      <c r="P4543" s="27">
        <v>10100</v>
      </c>
      <c r="Q4543" s="5"/>
      <c r="R4543" s="5"/>
      <c r="S4543" s="5" t="s">
        <v>49029</v>
      </c>
      <c r="T4543" s="28">
        <v>15528000</v>
      </c>
      <c r="U4543" s="28"/>
      <c r="V4543" s="28">
        <v>1271631000</v>
      </c>
      <c r="W4543" s="28"/>
      <c r="X4543" s="28">
        <v>337294000</v>
      </c>
      <c r="Y4543" s="28">
        <v>1785331000</v>
      </c>
      <c r="Z4543" s="28">
        <v>109636000</v>
      </c>
      <c r="AA4543" s="28"/>
      <c r="AB4543" s="28"/>
      <c r="AC4543" s="28">
        <v>1646138000</v>
      </c>
      <c r="AD4543" s="28">
        <v>109646000</v>
      </c>
      <c r="AE4543" s="28">
        <v>3901508000</v>
      </c>
      <c r="AF4543" s="28">
        <v>83543000</v>
      </c>
      <c r="AG4543" s="11"/>
    </row>
    <row r="4544">
      <c r="A4544" s="7" t="s">
        <v>6183</v>
      </c>
      <c r="B4544" s="5" t="s">
        <v>14140</v>
      </c>
      <c r="C4544" s="5" t="s">
        <v>21889</v>
      </c>
      <c r="D4544" s="5" t="str">
        <v>531000007498</v>
      </c>
      <c r="E4544" s="0" t="e">
        <f>+7 (816) 2940888
+7 (816) 2643177
+7 (816) 2643204
+7 (816) 2643205
+7 (816) 2643206
+7 (816) 2940526
+7 (816) 2940894</f>
        <v>#NAME?</v>
      </c>
      <c r="F4544" s="5" t="s">
        <v>38888</v>
      </c>
      <c r="G4544" s="5" t="s">
        <v>38889</v>
      </c>
      <c r="H4544" s="26">
        <v>23.5</v>
      </c>
      <c r="I4544" s="5" t="s">
        <v>38890</v>
      </c>
      <c r="J4544" s="5" t="s">
        <v>36462</v>
      </c>
      <c r="K4544" s="5" t="s">
        <v>344</v>
      </c>
      <c r="L4544" s="5" t="s">
        <v>38891</v>
      </c>
      <c r="M4544" s="27"/>
      <c r="N4544" s="5"/>
      <c r="O4544" s="5" t="str">
        <v>5321070760</v>
      </c>
      <c r="P4544" s="27">
        <v>125757000</v>
      </c>
      <c r="Q4544" s="5"/>
      <c r="R4544" s="5"/>
      <c r="S4544" s="5" t="s">
        <v>49029</v>
      </c>
      <c r="T4544" s="28">
        <v>1407701000</v>
      </c>
      <c r="U4544" s="28"/>
      <c r="V4544" s="28">
        <v>1081747000</v>
      </c>
      <c r="W4544" s="28"/>
      <c r="X4544" s="28">
        <v>2258673000</v>
      </c>
      <c r="Y4544" s="28">
        <v>5515328000</v>
      </c>
      <c r="Z4544" s="28">
        <v>4269668000</v>
      </c>
      <c r="AA4544" s="28"/>
      <c r="AB4544" s="28"/>
      <c r="AC4544" s="28">
        <v>483489000</v>
      </c>
      <c r="AD4544" s="28">
        <v>4914596000</v>
      </c>
      <c r="AE4544" s="28">
        <v>7985928000</v>
      </c>
      <c r="AF4544" s="28">
        <v>1246943000</v>
      </c>
      <c r="AG4544" s="11"/>
    </row>
    <row r="4545">
      <c r="A4545" s="7" t="s">
        <v>6184</v>
      </c>
      <c r="B4545" s="5" t="s">
        <v>14141</v>
      </c>
      <c r="C4545" s="5" t="s">
        <v>21890</v>
      </c>
      <c r="D4545" s="5" t="str">
        <v>532121902095</v>
      </c>
      <c r="E4545" s="0" t="e">
        <f>+7 (816) 2339350
+7 (816) 2680674
+7 (816) 2680680
+7 (965) 8077417</f>
        <v>#NAME?</v>
      </c>
      <c r="F4545" s="5" t="s">
        <v>38892</v>
      </c>
      <c r="G4545" s="5" t="s">
        <v>38889</v>
      </c>
      <c r="H4545" s="26">
        <v>18.5</v>
      </c>
      <c r="I4545" s="5" t="s">
        <v>38893</v>
      </c>
      <c r="J4545" s="5" t="s">
        <v>30320</v>
      </c>
      <c r="K4545" s="5" t="s">
        <v>344</v>
      </c>
      <c r="L4545" s="5" t="s">
        <v>38894</v>
      </c>
      <c r="M4545" s="27"/>
      <c r="N4545" s="5"/>
      <c r="O4545" s="5" t="str">
        <v>5321099632</v>
      </c>
      <c r="P4545" s="27">
        <v>201552000</v>
      </c>
      <c r="Q4545" s="5" t="s">
        <v>49009</v>
      </c>
      <c r="R4545" s="5"/>
      <c r="S4545" s="5" t="s">
        <v>49066</v>
      </c>
      <c r="T4545" s="28">
        <v>973294000</v>
      </c>
      <c r="U4545" s="28"/>
      <c r="V4545" s="28">
        <v>2111307000</v>
      </c>
      <c r="W4545" s="28">
        <v>1700000000</v>
      </c>
      <c r="X4545" s="28">
        <v>974709000</v>
      </c>
      <c r="Y4545" s="28">
        <v>6927230000</v>
      </c>
      <c r="Z4545" s="28">
        <v>5337664000</v>
      </c>
      <c r="AA4545" s="28"/>
      <c r="AB4545" s="28"/>
      <c r="AC4545" s="28">
        <v>1017545000</v>
      </c>
      <c r="AD4545" s="28">
        <v>5829216000</v>
      </c>
      <c r="AE4545" s="28">
        <v>8889230000</v>
      </c>
      <c r="AF4545" s="28">
        <v>1605488000</v>
      </c>
      <c r="AG4545" s="11"/>
    </row>
    <row r="4546">
      <c r="A4546" s="7" t="s">
        <v>6185</v>
      </c>
      <c r="B4546" s="5" t="s">
        <v>14142</v>
      </c>
      <c r="C4546" s="5" t="s">
        <v>21891</v>
      </c>
      <c r="D4546" s="5" t="str">
        <v>772841746796</v>
      </c>
      <c r="E4546" s="0" t="e">
        <f>+7 (495) 4578523
+7 (499) 1453000
+7 (499) 1453008
+7 (8652) 588978
+7 (8652) 784525
+7 (8652) 785689
+7 (878) 2268197
+7 (915) 4861233
+7 (919) 9991334
+7 (925) 7779902
+7 (927) 2802242
+7 (977) 3268191
+7 (977) 3268197
+7 (977) 8268197
+7 (962) 7425859</f>
        <v>#NAME?</v>
      </c>
      <c r="F4546" s="5" t="s">
        <v>38895</v>
      </c>
      <c r="G4546" s="5"/>
      <c r="H4546" s="26">
        <v>5.5</v>
      </c>
      <c r="I4546" s="5" t="s">
        <v>38896</v>
      </c>
      <c r="J4546" s="5" t="s">
        <v>25429</v>
      </c>
      <c r="K4546" s="5" t="s">
        <v>344</v>
      </c>
      <c r="L4546" s="5" t="s">
        <v>38897</v>
      </c>
      <c r="M4546" s="27"/>
      <c r="N4546" s="5" t="s">
        <v>56364</v>
      </c>
      <c r="O4546" s="5" t="str">
        <v>2635230089</v>
      </c>
      <c r="P4546" s="27">
        <v>132000</v>
      </c>
      <c r="Q4546" s="5" t="s">
        <v>56365</v>
      </c>
      <c r="R4546" s="5"/>
      <c r="S4546" s="5" t="s">
        <v>56366</v>
      </c>
      <c r="T4546" s="28">
        <v>15542000</v>
      </c>
      <c r="U4546" s="28"/>
      <c r="V4546" s="28">
        <v>379556000</v>
      </c>
      <c r="W4546" s="28"/>
      <c r="X4546" s="28">
        <v>154120000</v>
      </c>
      <c r="Y4546" s="28">
        <v>821705000</v>
      </c>
      <c r="Z4546" s="28">
        <v>108268000</v>
      </c>
      <c r="AA4546" s="28"/>
      <c r="AB4546" s="28"/>
      <c r="AC4546" s="28">
        <v>697122000</v>
      </c>
      <c r="AD4546" s="28">
        <v>108400000</v>
      </c>
      <c r="AE4546" s="28">
        <v>3379855000</v>
      </c>
      <c r="AF4546" s="28">
        <v>85259000</v>
      </c>
      <c r="AG4546" s="11"/>
    </row>
    <row r="4547">
      <c r="A4547" s="7" t="s">
        <v>6186</v>
      </c>
      <c r="B4547" s="5" t="s">
        <v>14143</v>
      </c>
      <c r="C4547" s="5" t="s">
        <v>21892</v>
      </c>
      <c r="D4547" s="5" t="str">
        <v>090701550828</v>
      </c>
      <c r="E4547" s="0" t="e">
        <f>+7 (861) 2334546</f>
        <v>#NAME?</v>
      </c>
      <c r="F4547" s="5"/>
      <c r="G4547" s="5" t="s">
        <v>38898</v>
      </c>
      <c r="H4547" s="26">
        <v>29.5</v>
      </c>
      <c r="I4547" s="5" t="s">
        <v>38899</v>
      </c>
      <c r="J4547" s="5" t="s">
        <v>25327</v>
      </c>
      <c r="K4547" s="5" t="s">
        <v>344</v>
      </c>
      <c r="L4547" s="5"/>
      <c r="M4547" s="27">
        <v>480170</v>
      </c>
      <c r="N4547" s="5" t="s">
        <v>56367</v>
      </c>
      <c r="O4547" s="5" t="str">
        <v>2308003520</v>
      </c>
      <c r="P4547" s="27">
        <v>200000</v>
      </c>
      <c r="Q4547" s="5" t="s">
        <v>49057</v>
      </c>
      <c r="R4547" s="5"/>
      <c r="S4547" s="5" t="s">
        <v>56368</v>
      </c>
      <c r="T4547" s="28">
        <v>1374079000</v>
      </c>
      <c r="U4547" s="28"/>
      <c r="V4547" s="28">
        <v>521839000</v>
      </c>
      <c r="W4547" s="28">
        <v>280790000</v>
      </c>
      <c r="X4547" s="28">
        <v>78387000</v>
      </c>
      <c r="Y4547" s="28">
        <v>2684032000</v>
      </c>
      <c r="Z4547" s="28">
        <v>1501313000</v>
      </c>
      <c r="AA4547" s="28">
        <v>535974000</v>
      </c>
      <c r="AB4547" s="28">
        <v>296464000</v>
      </c>
      <c r="AC4547" s="28">
        <v>620907000</v>
      </c>
      <c r="AD4547" s="28">
        <v>1501711000</v>
      </c>
      <c r="AE4547" s="28">
        <v>8188212000</v>
      </c>
      <c r="AF4547" s="28">
        <v>564690000</v>
      </c>
      <c r="AG4547" s="11"/>
    </row>
    <row r="4548">
      <c r="A4548" s="7" t="s">
        <v>6187</v>
      </c>
      <c r="B4548" s="5" t="s">
        <v>11790</v>
      </c>
      <c r="C4548" s="5" t="s">
        <v>21893</v>
      </c>
      <c r="D4548" s="5" t="str">
        <v>183400928748</v>
      </c>
      <c r="E4548" s="0" t="e">
        <f>+7 (3022) 231123
+7 (3022) 314421
+7 (3012) 344005
+7 (3012) 344047
+7 (3012) 344050
+7 (3012) 344160
+7 (3012) 344336
+7 (3012) 344359
+7 (3012) 344501
+7 (3012) 453040
+7 (3012) 453073
+7 (3022) 388535
+7 (3022) 388654
+7 (3022) 388658
+7 (3022) 388801</f>
        <v>#NAME?</v>
      </c>
      <c r="F4548" s="5" t="s">
        <v>38900</v>
      </c>
      <c r="G4548" s="5"/>
      <c r="H4548" s="26">
        <v>17.5</v>
      </c>
      <c r="I4548" s="5" t="s">
        <v>38901</v>
      </c>
      <c r="J4548" s="5" t="s">
        <v>27802</v>
      </c>
      <c r="K4548" s="5" t="s">
        <v>355</v>
      </c>
      <c r="L4548" s="5"/>
      <c r="M4548" s="27">
        <v>3549058839</v>
      </c>
      <c r="N4548" s="5" t="s">
        <v>56369</v>
      </c>
      <c r="O4548" s="5" t="str">
        <v>2460069527</v>
      </c>
      <c r="P4548" s="27">
        <v>9988619382</v>
      </c>
      <c r="Q4548" s="5" t="s">
        <v>56370</v>
      </c>
      <c r="R4548" s="5" t="s">
        <v>49159</v>
      </c>
      <c r="S4548" s="5" t="s">
        <v>51118</v>
      </c>
      <c r="T4548" s="28">
        <v>62594984000</v>
      </c>
      <c r="U4548" s="28">
        <v>126322000</v>
      </c>
      <c r="V4548" s="28">
        <v>17729286000</v>
      </c>
      <c r="W4548" s="28"/>
      <c r="X4548" s="28">
        <v>2101838000</v>
      </c>
      <c r="Y4548" s="28">
        <v>87948623000</v>
      </c>
      <c r="Z4548" s="28">
        <v>-12411417000</v>
      </c>
      <c r="AA4548" s="28">
        <v>13775946000</v>
      </c>
      <c r="AB4548" s="28">
        <v>26488166000</v>
      </c>
      <c r="AC4548" s="28">
        <v>45135139000</v>
      </c>
      <c r="AD4548" s="28">
        <v>21532806000</v>
      </c>
      <c r="AE4548" s="28">
        <v>64629111000</v>
      </c>
      <c r="AF4548" s="28">
        <v>-207039000</v>
      </c>
      <c r="AG4548" s="11"/>
    </row>
    <row r="4549">
      <c r="A4549" s="7" t="s">
        <v>6188</v>
      </c>
      <c r="B4549" s="5" t="s">
        <v>11846</v>
      </c>
      <c r="C4549" s="5" t="s">
        <v>21894</v>
      </c>
      <c r="D4549" s="5" t="str">
        <v>770970564818</v>
      </c>
      <c r="E4549" s="0" t="e">
        <f>+7 (495) 2878838
+7 (495) 6870333
+7 (495) 6878838
+7 (800) 7008338
+7 (915) 2056909
+7 (916) 4260175
+7 (916) 4741327</f>
        <v>#NAME?</v>
      </c>
      <c r="F4549" s="5" t="s">
        <v>38902</v>
      </c>
      <c r="G4549" s="5" t="s">
        <v>38903</v>
      </c>
      <c r="H4549" s="26">
        <v>13</v>
      </c>
      <c r="I4549" s="5"/>
      <c r="J4549" s="5" t="s">
        <v>25193</v>
      </c>
      <c r="K4549" s="5" t="s">
        <v>355</v>
      </c>
      <c r="L4549" s="5"/>
      <c r="M4549" s="27">
        <v>68507536</v>
      </c>
      <c r="N4549" s="5" t="s">
        <v>56371</v>
      </c>
      <c r="O4549" s="5" t="str">
        <v>7743765161</v>
      </c>
      <c r="P4549" s="27">
        <v>5000000</v>
      </c>
      <c r="Q4549" s="5" t="s">
        <v>49009</v>
      </c>
      <c r="R4549" s="5" t="s">
        <v>56372</v>
      </c>
      <c r="S4549" s="5" t="s">
        <v>49010</v>
      </c>
      <c r="T4549" s="28">
        <v>595722000</v>
      </c>
      <c r="U4549" s="28"/>
      <c r="V4549" s="28">
        <v>9084083000</v>
      </c>
      <c r="W4549" s="28"/>
      <c r="X4549" s="28">
        <v>293095000</v>
      </c>
      <c r="Y4549" s="28">
        <v>11455518000</v>
      </c>
      <c r="Z4549" s="28">
        <v>3808276000</v>
      </c>
      <c r="AA4549" s="28">
        <v>4930524000</v>
      </c>
      <c r="AB4549" s="28">
        <v>1140388000</v>
      </c>
      <c r="AC4549" s="28">
        <v>2162946000</v>
      </c>
      <c r="AD4549" s="28">
        <v>3818001000</v>
      </c>
      <c r="AE4549" s="28">
        <v>3009060000</v>
      </c>
      <c r="AF4549" s="28">
        <v>104601000</v>
      </c>
      <c r="AG4549" s="11"/>
    </row>
    <row r="4550">
      <c r="A4550" s="7" t="s">
        <v>6189</v>
      </c>
      <c r="B4550" s="5" t="s">
        <v>14144</v>
      </c>
      <c r="C4550" s="5" t="s">
        <v>21895</v>
      </c>
      <c r="D4550" s="5" t="str">
        <v>910805469879</v>
      </c>
      <c r="E4550" s="0" t="e">
        <f>+7 (978) 5791377
+7 (978) 9179333
+7 (978) 8168855
+7 (3654) 233424
+7 (3654) 261775
+7 (36560) 22854
+7 (36560) 22930
+7 (36566) 31284
+7 (36566) 38016
+7 (918) 6291587
+7 (978) 7008239
+7 (978) 7288620
+7 (978) 7602238
+7 (978) 7681335
+7 (978) 9157099</f>
        <v>#NAME?</v>
      </c>
      <c r="F4550" s="5" t="s">
        <v>38904</v>
      </c>
      <c r="G4550" s="5" t="s">
        <v>38905</v>
      </c>
      <c r="H4550" s="26">
        <v>8.5</v>
      </c>
      <c r="I4550" s="5"/>
      <c r="J4550" s="5" t="s">
        <v>25316</v>
      </c>
      <c r="K4550" s="5" t="s">
        <v>344</v>
      </c>
      <c r="L4550" s="5" t="s">
        <v>38906</v>
      </c>
      <c r="M4550" s="27">
        <v>3357188</v>
      </c>
      <c r="N4550" s="5" t="s">
        <v>56373</v>
      </c>
      <c r="O4550" s="5" t="str">
        <v>9103094582</v>
      </c>
      <c r="P4550" s="27">
        <v>3575899662</v>
      </c>
      <c r="Q4550" s="5" t="s">
        <v>56375</v>
      </c>
      <c r="R4550" s="5"/>
      <c r="S4550" s="5" t="s">
        <v>56376</v>
      </c>
      <c r="T4550" s="28">
        <v>4013828000</v>
      </c>
      <c r="U4550" s="28"/>
      <c r="V4550" s="28">
        <v>1705849000</v>
      </c>
      <c r="W4550" s="28"/>
      <c r="X4550" s="28">
        <v>65890000</v>
      </c>
      <c r="Y4550" s="28">
        <v>9806281000</v>
      </c>
      <c r="Z4550" s="28">
        <v>1792640000</v>
      </c>
      <c r="AA4550" s="28">
        <v>1117089000</v>
      </c>
      <c r="AB4550" s="28">
        <v>173103000</v>
      </c>
      <c r="AC4550" s="28">
        <v>810225000</v>
      </c>
      <c r="AD4550" s="28">
        <v>5401180000</v>
      </c>
      <c r="AE4550" s="28">
        <v>3639928000</v>
      </c>
      <c r="AF4550" s="28">
        <v>906052000</v>
      </c>
      <c r="AG4550" s="11"/>
    </row>
    <row r="4551">
      <c r="A4551" s="7" t="s">
        <v>6190</v>
      </c>
      <c r="B4551" s="5" t="s">
        <v>14145</v>
      </c>
      <c r="C4551" s="5" t="s">
        <v>21896</v>
      </c>
      <c r="D4551" s="5" t="str">
        <v>772444885105</v>
      </c>
      <c r="E4551" s="0" t="e">
        <f>+7 (917) 2576484
+7 (343) 3102081
+7 (383) 2022160
+7 (495) 2041704
+7 (495) 6601567
+7 (495) 6601568
+7 (495) 6601569
+7 (499) 3808081
+7 (812) 2442408
+7 (812) 2442409
+7 (831) 2141958
+7 (863) 3090226
+7 (8652) 334482</f>
        <v>#NAME?</v>
      </c>
      <c r="F4551" s="5" t="s">
        <v>38907</v>
      </c>
      <c r="G4551" s="5" t="s">
        <v>38908</v>
      </c>
      <c r="H4551" s="26">
        <v>4</v>
      </c>
      <c r="I4551" s="5" t="s">
        <v>38909</v>
      </c>
      <c r="J4551" s="5" t="s">
        <v>26828</v>
      </c>
      <c r="K4551" s="5" t="s">
        <v>344</v>
      </c>
      <c r="L4551" s="5" t="s">
        <v>38910</v>
      </c>
      <c r="M4551" s="27"/>
      <c r="N4551" s="5" t="s">
        <v>56377</v>
      </c>
      <c r="O4551" s="5" t="str">
        <v>9723083012</v>
      </c>
      <c r="P4551" s="27">
        <v>10000</v>
      </c>
      <c r="Q4551" s="5" t="s">
        <v>56378</v>
      </c>
      <c r="R4551" s="5"/>
      <c r="S4551" s="5" t="s">
        <v>56379</v>
      </c>
      <c r="T4551" s="28">
        <v>25750000</v>
      </c>
      <c r="U4551" s="28">
        <v>189162000</v>
      </c>
      <c r="V4551" s="28">
        <v>1201651000</v>
      </c>
      <c r="W4551" s="28"/>
      <c r="X4551" s="28">
        <v>73432000</v>
      </c>
      <c r="Y4551" s="28">
        <v>3019208000</v>
      </c>
      <c r="Z4551" s="28">
        <v>664828000</v>
      </c>
      <c r="AA4551" s="28">
        <v>1095704000</v>
      </c>
      <c r="AB4551" s="28">
        <v>285184000</v>
      </c>
      <c r="AC4551" s="28">
        <v>1258666000</v>
      </c>
      <c r="AD4551" s="28">
        <v>664838000</v>
      </c>
      <c r="AE4551" s="28">
        <v>14288691000</v>
      </c>
      <c r="AF4551" s="28">
        <v>474011000</v>
      </c>
      <c r="AG4551" s="11"/>
    </row>
    <row r="4552">
      <c r="A4552" s="7" t="s">
        <v>6191</v>
      </c>
      <c r="B4552" s="5" t="s">
        <v>14146</v>
      </c>
      <c r="C4552" s="5" t="s">
        <v>21897</v>
      </c>
      <c r="D4552" s="5" t="str">
        <v>010604412028</v>
      </c>
      <c r="E4552" s="0" t="e">
        <f>+7 (861) 2160864
+7 (861) 2282095</f>
        <v>#NAME?</v>
      </c>
      <c r="F4552" s="5" t="s">
        <v>38911</v>
      </c>
      <c r="G4552" s="5" t="s">
        <v>38912</v>
      </c>
      <c r="H4552" s="26">
        <v>16.5</v>
      </c>
      <c r="I4552" s="5" t="s">
        <v>38913</v>
      </c>
      <c r="J4552" s="5" t="s">
        <v>26828</v>
      </c>
      <c r="K4552" s="5" t="s">
        <v>344</v>
      </c>
      <c r="L4552" s="5" t="s">
        <v>38914</v>
      </c>
      <c r="M4552" s="27"/>
      <c r="N4552" s="5" t="s">
        <v>56380</v>
      </c>
      <c r="O4552" s="5" t="str">
        <v>2311091741</v>
      </c>
      <c r="P4552" s="27">
        <v>10000</v>
      </c>
      <c r="Q4552" s="5" t="s">
        <v>49009</v>
      </c>
      <c r="R4552" s="5"/>
      <c r="S4552" s="5" t="s">
        <v>49045</v>
      </c>
      <c r="T4552" s="28">
        <v>16007000</v>
      </c>
      <c r="U4552" s="28"/>
      <c r="V4552" s="28">
        <v>1029344000</v>
      </c>
      <c r="W4552" s="28"/>
      <c r="X4552" s="28">
        <v>6888000</v>
      </c>
      <c r="Y4552" s="28">
        <v>1098792000</v>
      </c>
      <c r="Z4552" s="28">
        <v>392766000</v>
      </c>
      <c r="AA4552" s="28"/>
      <c r="AB4552" s="28">
        <v>40000000</v>
      </c>
      <c r="AC4552" s="28">
        <v>705404000</v>
      </c>
      <c r="AD4552" s="28">
        <v>392776000</v>
      </c>
      <c r="AE4552" s="28">
        <v>5129289000</v>
      </c>
      <c r="AF4552" s="28">
        <v>384989000</v>
      </c>
      <c r="AG4552" s="11"/>
    </row>
    <row r="4553">
      <c r="A4553" s="7" t="s">
        <v>6192</v>
      </c>
      <c r="B4553" s="5" t="s">
        <v>14147</v>
      </c>
      <c r="C4553" s="5" t="s">
        <v>21898</v>
      </c>
      <c r="D4553" s="5"/>
      <c r="E4553" s="0" t="e">
        <f>+7 (800) 2007887
+7 (8636) 268388</f>
        <v>#NAME?</v>
      </c>
      <c r="F4553" s="5" t="s">
        <v>38915</v>
      </c>
      <c r="G4553" s="5" t="s">
        <v>38916</v>
      </c>
      <c r="H4553" s="26">
        <v>10.5</v>
      </c>
      <c r="I4553" s="5" t="s">
        <v>38917</v>
      </c>
      <c r="J4553" s="5" t="s">
        <v>693</v>
      </c>
      <c r="K4553" s="5" t="s">
        <v>344</v>
      </c>
      <c r="L4553" s="5" t="s">
        <v>38918</v>
      </c>
      <c r="M4553" s="27"/>
      <c r="N4553" s="5"/>
      <c r="O4553" s="5" t="str">
        <v>7709909416</v>
      </c>
      <c r="P4553" s="27">
        <v>100000</v>
      </c>
      <c r="Q4553" s="5" t="s">
        <v>49009</v>
      </c>
      <c r="R4553" s="5"/>
      <c r="S4553" s="5" t="s">
        <v>49010</v>
      </c>
      <c r="T4553" s="28">
        <v>306507000</v>
      </c>
      <c r="U4553" s="28"/>
      <c r="V4553" s="28">
        <v>1691912000</v>
      </c>
      <c r="W4553" s="28">
        <v>838350000</v>
      </c>
      <c r="X4553" s="28">
        <v>30052000</v>
      </c>
      <c r="Y4553" s="28">
        <v>5047105000</v>
      </c>
      <c r="Z4553" s="28">
        <v>1423189000</v>
      </c>
      <c r="AA4553" s="28"/>
      <c r="AB4553" s="28"/>
      <c r="AC4553" s="28">
        <v>2825262000</v>
      </c>
      <c r="AD4553" s="28">
        <v>2056003000</v>
      </c>
      <c r="AE4553" s="28">
        <v>9193736000</v>
      </c>
      <c r="AF4553" s="28">
        <v>702245000</v>
      </c>
      <c r="AG4553" s="11"/>
    </row>
    <row r="4554">
      <c r="A4554" s="7" t="s">
        <v>6193</v>
      </c>
      <c r="B4554" s="5" t="s">
        <v>14148</v>
      </c>
      <c r="C4554" s="5" t="s">
        <v>21899</v>
      </c>
      <c r="D4554" s="5" t="str">
        <v>781696263040</v>
      </c>
      <c r="E4554" s="0" t="e">
        <f>+7 (495) 9455025
+7 (911) 7917998
+7 (916) 3418502
+7 (963) 3120287</f>
        <v>#NAME?</v>
      </c>
      <c r="F4554" s="5" t="s">
        <v>38919</v>
      </c>
      <c r="G4554" s="5"/>
      <c r="H4554" s="26">
        <v>7.5</v>
      </c>
      <c r="I4554" s="5" t="s">
        <v>38920</v>
      </c>
      <c r="J4554" s="5" t="s">
        <v>999</v>
      </c>
      <c r="K4554" s="5" t="s">
        <v>380</v>
      </c>
      <c r="L4554" s="5" t="s">
        <v>38921</v>
      </c>
      <c r="M4554" s="27">
        <v>39157448</v>
      </c>
      <c r="N4554" s="5" t="s">
        <v>56381</v>
      </c>
      <c r="O4554" s="5" t="str">
        <v>7735145630</v>
      </c>
      <c r="P4554" s="27">
        <v>10000</v>
      </c>
      <c r="Q4554" s="5" t="s">
        <v>56382</v>
      </c>
      <c r="R4554" s="5"/>
      <c r="S4554" s="5" t="s">
        <v>56383</v>
      </c>
      <c r="T4554" s="28">
        <v>107000</v>
      </c>
      <c r="U4554" s="28"/>
      <c r="V4554" s="28">
        <v>448040000</v>
      </c>
      <c r="W4554" s="28">
        <v>23000000</v>
      </c>
      <c r="X4554" s="28">
        <v>961469000</v>
      </c>
      <c r="Y4554" s="28">
        <v>1455338000</v>
      </c>
      <c r="Z4554" s="28">
        <v>257571000</v>
      </c>
      <c r="AA4554" s="28"/>
      <c r="AB4554" s="28"/>
      <c r="AC4554" s="28">
        <v>1197757000</v>
      </c>
      <c r="AD4554" s="28">
        <v>257581000</v>
      </c>
      <c r="AE4554" s="28">
        <v>3278960000</v>
      </c>
      <c r="AF4554" s="28">
        <v>195157000</v>
      </c>
      <c r="AG4554" s="11"/>
    </row>
    <row r="4555">
      <c r="A4555" s="7" t="s">
        <v>6194</v>
      </c>
      <c r="B4555" s="5" t="s">
        <v>14149</v>
      </c>
      <c r="C4555" s="5" t="s">
        <v>21900</v>
      </c>
      <c r="D4555" s="5" t="str">
        <v>772577372342</v>
      </c>
      <c r="F4555" s="5"/>
      <c r="G4555" s="5"/>
      <c r="H4555" s="26">
        <v>8.5</v>
      </c>
      <c r="I4555" s="5" t="s">
        <v>38922</v>
      </c>
      <c r="J4555" s="5" t="s">
        <v>26165</v>
      </c>
      <c r="K4555" s="5" t="s">
        <v>355</v>
      </c>
      <c r="L4555" s="5" t="s">
        <v>38923</v>
      </c>
      <c r="M4555" s="27"/>
      <c r="N4555" s="5"/>
      <c r="O4555" s="5" t="str">
        <v>7734732748</v>
      </c>
      <c r="P4555" s="27">
        <v>10000</v>
      </c>
      <c r="Q4555" s="5" t="s">
        <v>49009</v>
      </c>
      <c r="R4555" s="5"/>
      <c r="S4555" s="5" t="s">
        <v>49045</v>
      </c>
      <c r="T4555" s="28">
        <v>581753000</v>
      </c>
      <c r="U4555" s="28"/>
      <c r="V4555" s="28">
        <v>108918000</v>
      </c>
      <c r="W4555" s="28"/>
      <c r="X4555" s="28">
        <v>418642000</v>
      </c>
      <c r="Y4555" s="28">
        <v>1773437000</v>
      </c>
      <c r="Z4555" s="28">
        <v>52902000</v>
      </c>
      <c r="AA4555" s="28"/>
      <c r="AB4555" s="28"/>
      <c r="AC4555" s="28">
        <v>1119801000</v>
      </c>
      <c r="AD4555" s="28">
        <v>52912000</v>
      </c>
      <c r="AE4555" s="28">
        <v>5608767000</v>
      </c>
      <c r="AF4555" s="28">
        <v>253744000</v>
      </c>
      <c r="AG4555" s="11"/>
    </row>
    <row r="4556">
      <c r="A4556" s="7" t="s">
        <v>6195</v>
      </c>
      <c r="B4556" s="5" t="s">
        <v>14150</v>
      </c>
      <c r="C4556" s="5" t="s">
        <v>21901</v>
      </c>
      <c r="D4556" s="5" t="str">
        <v>760213633460</v>
      </c>
      <c r="E4556" s="0" t="e">
        <f>+7 (915) 9698884
+7 (985) 3194283</f>
        <v>#NAME?</v>
      </c>
      <c r="F4556" s="5"/>
      <c r="G4556" s="5" t="s">
        <v>38924</v>
      </c>
      <c r="H4556" s="26">
        <v>5</v>
      </c>
      <c r="I4556" s="5" t="s">
        <v>38925</v>
      </c>
      <c r="J4556" s="5" t="s">
        <v>25190</v>
      </c>
      <c r="K4556" s="5" t="s">
        <v>344</v>
      </c>
      <c r="L4556" s="5" t="s">
        <v>38926</v>
      </c>
      <c r="M4556" s="27">
        <v>70383</v>
      </c>
      <c r="N4556" s="5" t="s">
        <v>56384</v>
      </c>
      <c r="O4556" s="5" t="str">
        <v>7726425616</v>
      </c>
      <c r="P4556" s="27">
        <v>10000</v>
      </c>
      <c r="Q4556" s="5"/>
      <c r="R4556" s="5"/>
      <c r="S4556" s="5" t="s">
        <v>49047</v>
      </c>
      <c r="T4556" s="28">
        <v>137694000</v>
      </c>
      <c r="U4556" s="28"/>
      <c r="V4556" s="28">
        <v>989499000</v>
      </c>
      <c r="W4556" s="28">
        <v>16067000</v>
      </c>
      <c r="X4556" s="28">
        <v>41972000</v>
      </c>
      <c r="Y4556" s="28">
        <v>3217460000</v>
      </c>
      <c r="Z4556" s="28">
        <v>251184000</v>
      </c>
      <c r="AA4556" s="28"/>
      <c r="AB4556" s="28">
        <v>600000</v>
      </c>
      <c r="AC4556" s="28">
        <v>2829083000</v>
      </c>
      <c r="AD4556" s="28">
        <v>251194000</v>
      </c>
      <c r="AE4556" s="28">
        <v>8309790000</v>
      </c>
      <c r="AF4556" s="28">
        <v>146941000</v>
      </c>
      <c r="AG4556" s="11"/>
    </row>
    <row r="4557">
      <c r="A4557" s="7" t="s">
        <v>6196</v>
      </c>
      <c r="B4557" s="5" t="s">
        <v>14151</v>
      </c>
      <c r="C4557" s="5" t="s">
        <v>21902</v>
      </c>
      <c r="D4557" s="5" t="str">
        <v>771531814003</v>
      </c>
      <c r="E4557" s="0" t="e">
        <f>+7 (3512) 4719
+7 (3512) 305264
+7 (3512) 326589
+7 (3512) 406015
+7 (3512) 479419
+7 (3512) 563569
+7 (3512) 567216
+7 (3512) 567248
+7 (3512) 635000
+7 (3512) 744014
+7 (3512) 744026
+7 (3512) 744064
+7 (3512) 833033
+7 (343) 2723074
+7 (3512) 649378</f>
        <v>#NAME?</v>
      </c>
      <c r="F4557" s="5" t="s">
        <v>38927</v>
      </c>
      <c r="G4557" s="5" t="s">
        <v>38928</v>
      </c>
      <c r="H4557" s="26">
        <v>28</v>
      </c>
      <c r="I4557" s="5" t="s">
        <v>38929</v>
      </c>
      <c r="J4557" s="5" t="s">
        <v>807</v>
      </c>
      <c r="K4557" s="5" t="s">
        <v>344</v>
      </c>
      <c r="L4557" s="5" t="s">
        <v>38930</v>
      </c>
      <c r="M4557" s="27"/>
      <c r="N4557" s="5" t="s">
        <v>56385</v>
      </c>
      <c r="O4557" s="5" t="str">
        <v>7604032720</v>
      </c>
      <c r="P4557" s="27">
        <v>10000000</v>
      </c>
      <c r="Q4557" s="5" t="s">
        <v>56386</v>
      </c>
      <c r="R4557" s="5"/>
      <c r="S4557" s="5" t="s">
        <v>56387</v>
      </c>
      <c r="T4557" s="28">
        <v>47132000</v>
      </c>
      <c r="U4557" s="28"/>
      <c r="V4557" s="28">
        <v>267199000</v>
      </c>
      <c r="W4557" s="28"/>
      <c r="X4557" s="28">
        <v>66342000</v>
      </c>
      <c r="Y4557" s="28">
        <v>1221308000</v>
      </c>
      <c r="Z4557" s="28">
        <v>614458000</v>
      </c>
      <c r="AA4557" s="28"/>
      <c r="AB4557" s="28">
        <v>94000000</v>
      </c>
      <c r="AC4557" s="28">
        <v>596637000</v>
      </c>
      <c r="AD4557" s="28">
        <v>624470000</v>
      </c>
      <c r="AE4557" s="28">
        <v>3359689000</v>
      </c>
      <c r="AF4557" s="28">
        <v>155449000</v>
      </c>
      <c r="AG4557" s="11"/>
    </row>
    <row r="4558">
      <c r="A4558" s="7" t="s">
        <v>6197</v>
      </c>
      <c r="B4558" s="5" t="s">
        <v>14152</v>
      </c>
      <c r="C4558" s="5" t="s">
        <v>21903</v>
      </c>
      <c r="D4558" s="5" t="str">
        <v>500308047622</v>
      </c>
      <c r="E4558" s="0" t="e">
        <f>+7 (499) 9387451
+7 (985) 9209528</f>
        <v>#NAME?</v>
      </c>
      <c r="F4558" s="5" t="s">
        <v>38931</v>
      </c>
      <c r="G4558" s="5"/>
      <c r="H4558" s="26">
        <v>2</v>
      </c>
      <c r="I4558" s="5" t="s">
        <v>38932</v>
      </c>
      <c r="J4558" s="5" t="s">
        <v>671</v>
      </c>
      <c r="K4558" s="5" t="s">
        <v>344</v>
      </c>
      <c r="L4558" s="5"/>
      <c r="M4558" s="27">
        <v>131050561</v>
      </c>
      <c r="N4558" s="5" t="s">
        <v>56388</v>
      </c>
      <c r="O4558" s="5" t="str">
        <v>2367017468</v>
      </c>
      <c r="P4558" s="27">
        <v>100000</v>
      </c>
      <c r="Q4558" s="5"/>
      <c r="R4558" s="5"/>
      <c r="S4558" s="5" t="s">
        <v>49110</v>
      </c>
      <c r="T4558" s="28">
        <v>95688000</v>
      </c>
      <c r="U4558" s="28"/>
      <c r="V4558" s="28">
        <v>1473992000</v>
      </c>
      <c r="W4558" s="28">
        <v>17000000</v>
      </c>
      <c r="X4558" s="28">
        <v>119844000</v>
      </c>
      <c r="Y4558" s="28">
        <v>4042984000</v>
      </c>
      <c r="Z4558" s="28">
        <v>416665000</v>
      </c>
      <c r="AA4558" s="28"/>
      <c r="AB4558" s="28"/>
      <c r="AC4558" s="28">
        <v>3625931000</v>
      </c>
      <c r="AD4558" s="28">
        <v>416765000</v>
      </c>
      <c r="AE4558" s="28">
        <v>5793171000</v>
      </c>
      <c r="AF4558" s="28">
        <v>386868000</v>
      </c>
      <c r="AG4558" s="11"/>
    </row>
    <row r="4559">
      <c r="A4559" s="7" t="s">
        <v>6198</v>
      </c>
      <c r="B4559" s="5" t="s">
        <v>14153</v>
      </c>
      <c r="C4559" s="5" t="s">
        <v>21904</v>
      </c>
      <c r="D4559" s="5" t="str">
        <v>773002399904</v>
      </c>
      <c r="E4559" s="0" t="e">
        <f>+7 (495) 6075960
+7 (495) 6662617
+7 (3463) 232908
+7 (4217) 227171
+7 (495) 6072275
+7 (495) 6073356
+7 (495) 6206200
+7 (84622) 69090
+7 (84622) 69091
+7 (914) 3191883</f>
        <v>#NAME?</v>
      </c>
      <c r="F4559" s="5" t="s">
        <v>38933</v>
      </c>
      <c r="G4559" s="5" t="s">
        <v>38934</v>
      </c>
      <c r="H4559" s="26">
        <v>17</v>
      </c>
      <c r="I4559" s="5" t="s">
        <v>38935</v>
      </c>
      <c r="J4559" s="5" t="s">
        <v>364</v>
      </c>
      <c r="K4559" s="5" t="s">
        <v>344</v>
      </c>
      <c r="L4559" s="5" t="s">
        <v>38936</v>
      </c>
      <c r="M4559" s="27">
        <v>85382157</v>
      </c>
      <c r="N4559" s="5" t="s">
        <v>56389</v>
      </c>
      <c r="O4559" s="5" t="str">
        <v>7709667598</v>
      </c>
      <c r="P4559" s="27">
        <v>1000000</v>
      </c>
      <c r="Q4559" s="5" t="s">
        <v>56390</v>
      </c>
      <c r="R4559" s="5" t="s">
        <v>51124</v>
      </c>
      <c r="S4559" s="5" t="s">
        <v>51316</v>
      </c>
      <c r="T4559" s="28">
        <v>1325282000</v>
      </c>
      <c r="U4559" s="28">
        <v>6000</v>
      </c>
      <c r="V4559" s="28">
        <v>5129133000</v>
      </c>
      <c r="W4559" s="28"/>
      <c r="X4559" s="28">
        <v>706654000</v>
      </c>
      <c r="Y4559" s="28">
        <v>13387911000</v>
      </c>
      <c r="Z4559" s="28">
        <v>2060411000</v>
      </c>
      <c r="AA4559" s="28"/>
      <c r="AB4559" s="28">
        <v>1516142000</v>
      </c>
      <c r="AC4559" s="28">
        <v>10442977000</v>
      </c>
      <c r="AD4559" s="28">
        <v>2061411000</v>
      </c>
      <c r="AE4559" s="28">
        <v>8363245000</v>
      </c>
      <c r="AF4559" s="28">
        <v>226168000</v>
      </c>
      <c r="AG4559" s="11"/>
    </row>
    <row r="4560">
      <c r="A4560" s="7" t="s">
        <v>6199</v>
      </c>
      <c r="B4560" s="5" t="s">
        <v>14154</v>
      </c>
      <c r="C4560" s="5" t="s">
        <v>21905</v>
      </c>
      <c r="D4560" s="5" t="str">
        <v>543624620698</v>
      </c>
      <c r="F4560" s="5" t="s">
        <v>38937</v>
      </c>
      <c r="G4560" s="5"/>
      <c r="H4560" s="26">
        <v>9</v>
      </c>
      <c r="I4560" s="5" t="s">
        <v>38938</v>
      </c>
      <c r="J4560" s="5" t="s">
        <v>28568</v>
      </c>
      <c r="K4560" s="5" t="s">
        <v>344</v>
      </c>
      <c r="L4560" s="5" t="s">
        <v>38939</v>
      </c>
      <c r="M4560" s="27"/>
      <c r="N4560" s="5"/>
      <c r="O4560" s="5" t="str">
        <v>5403357570</v>
      </c>
      <c r="P4560" s="27">
        <v>10101</v>
      </c>
      <c r="Q4560" s="5" t="s">
        <v>49009</v>
      </c>
      <c r="R4560" s="5"/>
      <c r="S4560" s="5" t="s">
        <v>49010</v>
      </c>
      <c r="T4560" s="28">
        <v>2081000</v>
      </c>
      <c r="U4560" s="28"/>
      <c r="V4560" s="28">
        <v>498754000</v>
      </c>
      <c r="W4560" s="28"/>
      <c r="X4560" s="28">
        <v>7285000</v>
      </c>
      <c r="Y4560" s="28">
        <v>535929000</v>
      </c>
      <c r="Z4560" s="28">
        <v>459468000</v>
      </c>
      <c r="AA4560" s="28"/>
      <c r="AB4560" s="28"/>
      <c r="AC4560" s="28">
        <v>76451000</v>
      </c>
      <c r="AD4560" s="28">
        <v>459478000</v>
      </c>
      <c r="AE4560" s="28">
        <v>4699616000</v>
      </c>
      <c r="AF4560" s="28">
        <v>238422000</v>
      </c>
      <c r="AG4560" s="11"/>
    </row>
    <row r="4561">
      <c r="A4561" s="7" t="s">
        <v>6200</v>
      </c>
      <c r="B4561" s="5" t="s">
        <v>14155</v>
      </c>
      <c r="C4561" s="5" t="s">
        <v>21906</v>
      </c>
      <c r="D4561" s="5" t="str">
        <v>771206601804</v>
      </c>
      <c r="E4561" s="0" t="e">
        <f>+7 (495) 7339166
+7 (495) 7339168</f>
        <v>#NAME?</v>
      </c>
      <c r="F4561" s="5" t="s">
        <v>38940</v>
      </c>
      <c r="G4561" s="5"/>
      <c r="H4561" s="26">
        <v>21</v>
      </c>
      <c r="I4561" s="5" t="s">
        <v>38941</v>
      </c>
      <c r="J4561" s="5" t="s">
        <v>27946</v>
      </c>
      <c r="K4561" s="5" t="s">
        <v>355</v>
      </c>
      <c r="L4561" s="5" t="s">
        <v>38942</v>
      </c>
      <c r="M4561" s="27">
        <v>48094251</v>
      </c>
      <c r="N4561" s="5"/>
      <c r="O4561" s="5" t="str">
        <v>7705446686</v>
      </c>
      <c r="P4561" s="27">
        <v>20000</v>
      </c>
      <c r="Q4561" s="5" t="s">
        <v>49009</v>
      </c>
      <c r="R4561" s="5" t="s">
        <v>54038</v>
      </c>
      <c r="S4561" s="5" t="s">
        <v>49010</v>
      </c>
      <c r="T4561" s="28">
        <v>1246614000</v>
      </c>
      <c r="U4561" s="28"/>
      <c r="V4561" s="28">
        <v>6915776000</v>
      </c>
      <c r="W4561" s="28"/>
      <c r="X4561" s="28">
        <v>2049000</v>
      </c>
      <c r="Y4561" s="28">
        <v>11531302000</v>
      </c>
      <c r="Z4561" s="28">
        <v>-73346000</v>
      </c>
      <c r="AA4561" s="28"/>
      <c r="AB4561" s="28">
        <v>48293000</v>
      </c>
      <c r="AC4561" s="28">
        <v>10334994000</v>
      </c>
      <c r="AD4561" s="28">
        <v>-73326000</v>
      </c>
      <c r="AE4561" s="28">
        <v>13740589000</v>
      </c>
      <c r="AF4561" s="28">
        <v>-121631000</v>
      </c>
      <c r="AG4561" s="11"/>
    </row>
    <row r="4562">
      <c r="A4562" s="7" t="s">
        <v>6201</v>
      </c>
      <c r="B4562" s="5" t="s">
        <v>14156</v>
      </c>
      <c r="C4562" s="5" t="s">
        <v>21907</v>
      </c>
      <c r="D4562" s="5" t="str">
        <v>410106906258</v>
      </c>
      <c r="E4562" s="0" t="e">
        <f>+7 (415) 2257889
+7 (415) 2257965
+7 (415) 2257983
+7 (415) 2258074
+7 (415) 2258129
+7 (41535) 30181</f>
        <v>#NAME?</v>
      </c>
      <c r="F4562" s="5"/>
      <c r="G4562" s="5"/>
      <c r="H4562" s="26">
        <v>8.5</v>
      </c>
      <c r="I4562" s="5" t="s">
        <v>38943</v>
      </c>
      <c r="J4562" s="5" t="s">
        <v>26564</v>
      </c>
      <c r="K4562" s="5" t="s">
        <v>344</v>
      </c>
      <c r="L4562" s="5" t="s">
        <v>25392</v>
      </c>
      <c r="M4562" s="27"/>
      <c r="N4562" s="5"/>
      <c r="O4562" s="5" t="str">
        <v>4101165662</v>
      </c>
      <c r="P4562" s="27">
        <v>28571</v>
      </c>
      <c r="Q4562" s="5"/>
      <c r="R4562" s="5"/>
      <c r="S4562" s="5" t="s">
        <v>49029</v>
      </c>
      <c r="T4562" s="28">
        <v>10375000</v>
      </c>
      <c r="U4562" s="28"/>
      <c r="V4562" s="28">
        <v>414744000</v>
      </c>
      <c r="W4562" s="28">
        <v>900000</v>
      </c>
      <c r="X4562" s="28">
        <v>3091000</v>
      </c>
      <c r="Y4562" s="28">
        <v>681345000</v>
      </c>
      <c r="Z4562" s="28">
        <v>4369000</v>
      </c>
      <c r="AA4562" s="28">
        <v>225000000</v>
      </c>
      <c r="AB4562" s="28">
        <v>162004000</v>
      </c>
      <c r="AC4562" s="28">
        <v>451947000</v>
      </c>
      <c r="AD4562" s="28">
        <v>4398000</v>
      </c>
      <c r="AE4562" s="28">
        <v>3823719000</v>
      </c>
      <c r="AF4562" s="28">
        <v>2261000</v>
      </c>
      <c r="AG4562" s="11"/>
    </row>
    <row r="4563">
      <c r="A4563" s="7" t="s">
        <v>6201</v>
      </c>
      <c r="B4563" s="5" t="s">
        <v>14157</v>
      </c>
      <c r="C4563" s="5" t="s">
        <v>21908</v>
      </c>
      <c r="D4563" s="5" t="str">
        <v>772131510330</v>
      </c>
      <c r="E4563" s="0" t="e">
        <f>+7 (495) 5041755
+7 (495) 9958470</f>
        <v>#NAME?</v>
      </c>
      <c r="F4563" s="5"/>
      <c r="G4563" s="5"/>
      <c r="H4563" s="26">
        <v>12</v>
      </c>
      <c r="I4563" s="5" t="s">
        <v>38944</v>
      </c>
      <c r="J4563" s="5" t="s">
        <v>30947</v>
      </c>
      <c r="K4563" s="5" t="s">
        <v>344</v>
      </c>
      <c r="L4563" s="5" t="s">
        <v>38945</v>
      </c>
      <c r="M4563" s="27"/>
      <c r="N4563" s="5"/>
      <c r="O4563" s="5" t="str">
        <v>7733757796</v>
      </c>
      <c r="P4563" s="27">
        <v>16500000</v>
      </c>
      <c r="Q4563" s="5" t="s">
        <v>49009</v>
      </c>
      <c r="R4563" s="5"/>
      <c r="S4563" s="5" t="s">
        <v>49010</v>
      </c>
      <c r="T4563" s="28">
        <v>62000</v>
      </c>
      <c r="U4563" s="28"/>
      <c r="V4563" s="28">
        <v>1442841000</v>
      </c>
      <c r="W4563" s="28">
        <v>54560000</v>
      </c>
      <c r="X4563" s="28">
        <v>7386000</v>
      </c>
      <c r="Y4563" s="28">
        <v>1684429000</v>
      </c>
      <c r="Z4563" s="28">
        <v>840989000</v>
      </c>
      <c r="AA4563" s="28"/>
      <c r="AB4563" s="28"/>
      <c r="AC4563" s="28">
        <v>826855000</v>
      </c>
      <c r="AD4563" s="28">
        <v>863886000</v>
      </c>
      <c r="AE4563" s="28">
        <v>5247196000</v>
      </c>
      <c r="AF4563" s="28">
        <v>173056000</v>
      </c>
      <c r="AG4563" s="11"/>
    </row>
    <row r="4564">
      <c r="A4564" s="7" t="s">
        <v>6201</v>
      </c>
      <c r="B4564" s="5" t="s">
        <v>14158</v>
      </c>
      <c r="C4564" s="5" t="s">
        <v>21909</v>
      </c>
      <c r="D4564" s="5" t="str">
        <v>402708761938</v>
      </c>
      <c r="E4564" s="0" t="e">
        <f>+7 (495) 4119158
+7 (495) 5029008
+7 (916) 9717299</f>
        <v>#NAME?</v>
      </c>
      <c r="F4564" s="5" t="s">
        <v>38946</v>
      </c>
      <c r="G4564" s="5" t="s">
        <v>38947</v>
      </c>
      <c r="H4564" s="26">
        <v>19</v>
      </c>
      <c r="I4564" s="5" t="s">
        <v>38948</v>
      </c>
      <c r="J4564" s="5" t="s">
        <v>28004</v>
      </c>
      <c r="K4564" s="5" t="s">
        <v>344</v>
      </c>
      <c r="L4564" s="5" t="s">
        <v>38949</v>
      </c>
      <c r="M4564" s="27"/>
      <c r="N4564" s="5"/>
      <c r="O4564" s="5" t="str">
        <v>7713523119</v>
      </c>
      <c r="P4564" s="27">
        <v>10000</v>
      </c>
      <c r="Q4564" s="5" t="s">
        <v>49009</v>
      </c>
      <c r="R4564" s="5"/>
      <c r="S4564" s="5" t="s">
        <v>52546</v>
      </c>
      <c r="T4564" s="28">
        <v>207337000</v>
      </c>
      <c r="U4564" s="28"/>
      <c r="V4564" s="28">
        <v>180695000</v>
      </c>
      <c r="W4564" s="28"/>
      <c r="X4564" s="28">
        <v>169140000</v>
      </c>
      <c r="Y4564" s="28">
        <v>663247000</v>
      </c>
      <c r="Z4564" s="28">
        <v>160119000</v>
      </c>
      <c r="AA4564" s="28"/>
      <c r="AB4564" s="28">
        <v>8000</v>
      </c>
      <c r="AC4564" s="28">
        <v>375209000</v>
      </c>
      <c r="AD4564" s="28">
        <v>160129000</v>
      </c>
      <c r="AE4564" s="28">
        <v>3904950000</v>
      </c>
      <c r="AF4564" s="28">
        <v>75192000</v>
      </c>
      <c r="AG4564" s="11"/>
    </row>
    <row r="4565">
      <c r="A4565" s="7" t="s">
        <v>6202</v>
      </c>
      <c r="B4565" s="5" t="s">
        <v>14159</v>
      </c>
      <c r="C4565" s="5" t="s">
        <v>21910</v>
      </c>
      <c r="D4565" s="5"/>
      <c r="E4565" s="0" t="e">
        <f>+7 (933) 3201496
+7 (913) 5205166</f>
        <v>#NAME?</v>
      </c>
      <c r="F4565" s="5"/>
      <c r="G4565" s="5" t="s">
        <v>38950</v>
      </c>
      <c r="H4565" s="26">
        <v>11.5</v>
      </c>
      <c r="I4565" s="5" t="s">
        <v>38951</v>
      </c>
      <c r="J4565" s="5" t="s">
        <v>585</v>
      </c>
      <c r="K4565" s="5" t="s">
        <v>344</v>
      </c>
      <c r="L4565" s="5" t="s">
        <v>38952</v>
      </c>
      <c r="M4565" s="27">
        <v>11426287</v>
      </c>
      <c r="N4565" s="5" t="s">
        <v>56391</v>
      </c>
      <c r="O4565" s="5" t="str">
        <v>2466244158</v>
      </c>
      <c r="P4565" s="27">
        <v>100000</v>
      </c>
      <c r="Q4565" s="5"/>
      <c r="R4565" s="5"/>
      <c r="S4565" s="5" t="s">
        <v>56393</v>
      </c>
      <c r="T4565" s="28">
        <v>485560000</v>
      </c>
      <c r="U4565" s="28"/>
      <c r="V4565" s="28">
        <v>687188000</v>
      </c>
      <c r="W4565" s="28"/>
      <c r="X4565" s="28">
        <v>19291000</v>
      </c>
      <c r="Y4565" s="28">
        <v>2056748000</v>
      </c>
      <c r="Z4565" s="28">
        <v>567069000</v>
      </c>
      <c r="AA4565" s="28"/>
      <c r="AB4565" s="28">
        <v>122291000</v>
      </c>
      <c r="AC4565" s="28">
        <v>1451869000</v>
      </c>
      <c r="AD4565" s="28">
        <v>567169000</v>
      </c>
      <c r="AE4565" s="28">
        <v>7383575000</v>
      </c>
      <c r="AF4565" s="28">
        <v>68170000</v>
      </c>
      <c r="AG4565" s="11"/>
    </row>
    <row r="4566">
      <c r="A4566" s="7" t="s">
        <v>6203</v>
      </c>
      <c r="B4566" s="5" t="s">
        <v>14160</v>
      </c>
      <c r="C4566" s="5" t="s">
        <v>21911</v>
      </c>
      <c r="D4566" s="5" t="str">
        <v>420531111760</v>
      </c>
      <c r="E4566" s="0" t="e">
        <f>+7 (913) 335323
+7 (913) 2866063</f>
        <v>#NAME?</v>
      </c>
      <c r="F4566" s="5" t="s">
        <v>38953</v>
      </c>
      <c r="G4566" s="5"/>
      <c r="H4566" s="26">
        <v>16.5</v>
      </c>
      <c r="I4566" s="5" t="s">
        <v>38954</v>
      </c>
      <c r="J4566" s="5" t="s">
        <v>585</v>
      </c>
      <c r="K4566" s="5" t="s">
        <v>355</v>
      </c>
      <c r="L4566" s="5" t="s">
        <v>38955</v>
      </c>
      <c r="M4566" s="27">
        <v>11751371</v>
      </c>
      <c r="N4566" s="5" t="s">
        <v>56394</v>
      </c>
      <c r="O4566" s="5" t="str">
        <v>8905039143</v>
      </c>
      <c r="P4566" s="27">
        <v>10000</v>
      </c>
      <c r="Q4566" s="5" t="s">
        <v>56396</v>
      </c>
      <c r="R4566" s="5"/>
      <c r="S4566" s="5" t="s">
        <v>56397</v>
      </c>
      <c r="T4566" s="28">
        <v>267357000</v>
      </c>
      <c r="U4566" s="28">
        <v>40000</v>
      </c>
      <c r="V4566" s="28">
        <v>2468768000</v>
      </c>
      <c r="W4566" s="28">
        <v>431747000</v>
      </c>
      <c r="X4566" s="28">
        <v>851768000</v>
      </c>
      <c r="Y4566" s="28">
        <v>6544716000</v>
      </c>
      <c r="Z4566" s="28">
        <v>502871000</v>
      </c>
      <c r="AA4566" s="28">
        <v>1088104000</v>
      </c>
      <c r="AB4566" s="28">
        <v>170898000</v>
      </c>
      <c r="AC4566" s="28">
        <v>4949991000</v>
      </c>
      <c r="AD4566" s="28">
        <v>504516000</v>
      </c>
      <c r="AE4566" s="28">
        <v>12568746000</v>
      </c>
      <c r="AF4566" s="28">
        <v>311055000</v>
      </c>
      <c r="AG4566" s="11"/>
    </row>
    <row r="4567">
      <c r="A4567" s="7" t="s">
        <v>6204</v>
      </c>
      <c r="B4567" s="5" t="s">
        <v>14161</v>
      </c>
      <c r="C4567" s="5" t="s">
        <v>21912</v>
      </c>
      <c r="D4567" s="5" t="str">
        <v>615006772005</v>
      </c>
      <c r="F4567" s="5"/>
      <c r="G4567" s="5"/>
      <c r="H4567" s="26">
        <v>6.5</v>
      </c>
      <c r="I4567" s="5" t="s">
        <v>38956</v>
      </c>
      <c r="J4567" s="5" t="s">
        <v>585</v>
      </c>
      <c r="K4567" s="5" t="s">
        <v>344</v>
      </c>
      <c r="L4567" s="5" t="s">
        <v>38957</v>
      </c>
      <c r="M4567" s="27">
        <v>6372710</v>
      </c>
      <c r="N4567" s="5" t="s">
        <v>56398</v>
      </c>
      <c r="O4567" s="5" t="str">
        <v>7804570839</v>
      </c>
      <c r="P4567" s="27">
        <v>10000000</v>
      </c>
      <c r="Q4567" s="5" t="s">
        <v>49009</v>
      </c>
      <c r="R4567" s="5"/>
      <c r="S4567" s="5" t="s">
        <v>49028</v>
      </c>
      <c r="T4567" s="28">
        <v>2331000</v>
      </c>
      <c r="U4567" s="28"/>
      <c r="V4567" s="28">
        <v>2085355000</v>
      </c>
      <c r="W4567" s="28"/>
      <c r="X4567" s="28">
        <v>1712000</v>
      </c>
      <c r="Y4567" s="28">
        <v>2261419000</v>
      </c>
      <c r="Z4567" s="28">
        <v>919752000</v>
      </c>
      <c r="AA4567" s="28">
        <v>22121000</v>
      </c>
      <c r="AB4567" s="28">
        <v>323209000</v>
      </c>
      <c r="AC4567" s="28">
        <v>1307137000</v>
      </c>
      <c r="AD4567" s="28">
        <v>929752000</v>
      </c>
      <c r="AE4567" s="28">
        <v>7726276000</v>
      </c>
      <c r="AF4567" s="28">
        <v>589443000</v>
      </c>
      <c r="AG4567" s="11"/>
    </row>
    <row r="4568">
      <c r="A4568" s="7" t="s">
        <v>6205</v>
      </c>
      <c r="B4568" s="5" t="s">
        <v>14162</v>
      </c>
      <c r="C4568" s="5" t="s">
        <v>20071</v>
      </c>
      <c r="D4568" s="5"/>
      <c r="E4568" s="0" t="e">
        <f>+7 (4232) 643737</f>
        <v>#NAME?</v>
      </c>
      <c r="F4568" s="5" t="s">
        <v>33065</v>
      </c>
      <c r="G4568" s="5"/>
      <c r="H4568" s="26">
        <v>4.5</v>
      </c>
      <c r="I4568" s="5" t="s">
        <v>33066</v>
      </c>
      <c r="J4568" s="5" t="s">
        <v>26424</v>
      </c>
      <c r="K4568" s="5" t="s">
        <v>355</v>
      </c>
      <c r="L4568" s="5" t="s">
        <v>38958</v>
      </c>
      <c r="M4568" s="27"/>
      <c r="N4568" s="5"/>
      <c r="O4568" s="5" t="str">
        <v>2536312213</v>
      </c>
      <c r="P4568" s="27">
        <v>10000</v>
      </c>
      <c r="Q4568" s="5"/>
      <c r="R4568" s="5"/>
      <c r="S4568" s="5" t="s">
        <v>49029</v>
      </c>
      <c r="T4568" s="28">
        <v>7501739000</v>
      </c>
      <c r="U4568" s="28">
        <v>14170378000</v>
      </c>
      <c r="V4568" s="28">
        <v>2655653000</v>
      </c>
      <c r="W4568" s="28"/>
      <c r="X4568" s="28">
        <v>611863000</v>
      </c>
      <c r="Y4568" s="28">
        <v>41059143000</v>
      </c>
      <c r="Z4568" s="28">
        <v>7875559000</v>
      </c>
      <c r="AA4568" s="28">
        <v>26564710000</v>
      </c>
      <c r="AB4568" s="28">
        <v>3573286000</v>
      </c>
      <c r="AC4568" s="28">
        <v>4318834000</v>
      </c>
      <c r="AD4568" s="28">
        <v>10175599000</v>
      </c>
      <c r="AE4568" s="28">
        <v>9257570000</v>
      </c>
      <c r="AF4568" s="28">
        <v>6749809000</v>
      </c>
      <c r="AG4568" s="11"/>
    </row>
    <row r="4569">
      <c r="A4569" s="7" t="s">
        <v>6206</v>
      </c>
      <c r="B4569" s="5" t="s">
        <v>14163</v>
      </c>
      <c r="C4569" s="5" t="s">
        <v>21913</v>
      </c>
      <c r="D4569" s="5" t="str">
        <v>772203829552</v>
      </c>
      <c r="E4569" s="0" t="e">
        <f>+7 (495) 9613388
+7 (473) 2394444
+7 (495) 4620005
+7 (495) 4620022
+7 (495) 4620123
+7 (495) 4624389
+7 (495) 7206699
+7 (499) 1692070
+7 (800) 7752905
+7 (831) 2628762
+7 (83141) 46140
+7 (83146) 39756
+7 (916) 9811118</f>
        <v>#NAME?</v>
      </c>
      <c r="F4569" s="5" t="s">
        <v>38959</v>
      </c>
      <c r="G4569" s="5" t="s">
        <v>38960</v>
      </c>
      <c r="H4569" s="26">
        <v>26</v>
      </c>
      <c r="I4569" s="5" t="s">
        <v>38961</v>
      </c>
      <c r="J4569" s="5" t="s">
        <v>25550</v>
      </c>
      <c r="K4569" s="5" t="s">
        <v>344</v>
      </c>
      <c r="L4569" s="5" t="s">
        <v>38962</v>
      </c>
      <c r="M4569" s="27"/>
      <c r="N4569" s="5"/>
      <c r="O4569" s="5" t="str">
        <v>7719146925</v>
      </c>
      <c r="P4569" s="27">
        <v>56000000</v>
      </c>
      <c r="Q4569" s="5" t="s">
        <v>49021</v>
      </c>
      <c r="R4569" s="5"/>
      <c r="S4569" s="5" t="s">
        <v>49033</v>
      </c>
      <c r="T4569" s="28">
        <v>204215000</v>
      </c>
      <c r="U4569" s="28"/>
      <c r="V4569" s="28">
        <v>118357000</v>
      </c>
      <c r="W4569" s="28"/>
      <c r="X4569" s="28">
        <v>23588000</v>
      </c>
      <c r="Y4569" s="28">
        <v>1691542000</v>
      </c>
      <c r="Z4569" s="28">
        <v>827092000</v>
      </c>
      <c r="AA4569" s="28"/>
      <c r="AB4569" s="28">
        <v>190662000</v>
      </c>
      <c r="AC4569" s="28">
        <v>643181000</v>
      </c>
      <c r="AD4569" s="28">
        <v>1043092000</v>
      </c>
      <c r="AE4569" s="28">
        <v>4786947000</v>
      </c>
      <c r="AF4569" s="28">
        <v>258691000</v>
      </c>
      <c r="AG4569" s="11"/>
    </row>
    <row r="4570">
      <c r="A4570" s="7" t="s">
        <v>6207</v>
      </c>
      <c r="B4570" s="5" t="s">
        <v>14164</v>
      </c>
      <c r="C4570" s="5" t="s">
        <v>21914</v>
      </c>
      <c r="D4570" s="5" t="str">
        <v>780604567995</v>
      </c>
      <c r="E4570" s="0" t="e">
        <f>+7 (921) 9529586
+7 (981) 7415233
+7 (812) 2253044
+7 (812) 2254077
+7 (812) 3317030
+7 (812) 3317065
+7 (812) 3317070
+7 (812) 3317074
+7 (812) 4587575
+7 (812) 5401998
+7 (812) 5422121
+7 (812) 5423459
+7 (812) 5425325
+7 (812) 5917929
+7 (812) 6030456</f>
        <v>#NAME?</v>
      </c>
      <c r="F4570" s="5" t="s">
        <v>38963</v>
      </c>
      <c r="G4570" s="5"/>
      <c r="H4570" s="26">
        <v>28</v>
      </c>
      <c r="I4570" s="5"/>
      <c r="J4570" s="5" t="s">
        <v>36708</v>
      </c>
      <c r="K4570" s="5" t="s">
        <v>344</v>
      </c>
      <c r="L4570" s="5"/>
      <c r="M4570" s="27">
        <v>24733465</v>
      </c>
      <c r="N4570" s="5" t="s">
        <v>56400</v>
      </c>
      <c r="O4570" s="5" t="str">
        <v>7830001758</v>
      </c>
      <c r="P4570" s="27">
        <v>15233039547</v>
      </c>
      <c r="Q4570" s="5" t="s">
        <v>56401</v>
      </c>
      <c r="R4570" s="5"/>
      <c r="S4570" s="5" t="s">
        <v>51373</v>
      </c>
      <c r="T4570" s="28">
        <v>19624583000</v>
      </c>
      <c r="U4570" s="28"/>
      <c r="V4570" s="28">
        <v>414345000</v>
      </c>
      <c r="W4570" s="28"/>
      <c r="X4570" s="28">
        <v>14018452000</v>
      </c>
      <c r="Y4570" s="28">
        <v>34958360000</v>
      </c>
      <c r="Z4570" s="28">
        <v>3394866000</v>
      </c>
      <c r="AA4570" s="28"/>
      <c r="AB4570" s="28"/>
      <c r="AC4570" s="28">
        <v>2659157000</v>
      </c>
      <c r="AD4570" s="28">
        <v>30944101000</v>
      </c>
      <c r="AE4570" s="28">
        <v>18899506000</v>
      </c>
      <c r="AF4570" s="28">
        <v>-390927000</v>
      </c>
      <c r="AG4570" s="11"/>
    </row>
    <row r="4571">
      <c r="A4571" s="7" t="s">
        <v>6208</v>
      </c>
      <c r="B4571" s="5" t="s">
        <v>14165</v>
      </c>
      <c r="C4571" s="5" t="s">
        <v>21915</v>
      </c>
      <c r="D4571" s="5" t="str">
        <v>770502675829</v>
      </c>
      <c r="E4571" s="0" t="e">
        <f>+7 (383) 2868676
+7 (985) 9999941
+7 (495) 5793019
+7 (495) 7969960
+7 (495) 7969961
+7 (495) 7969967</f>
        <v>#NAME?</v>
      </c>
      <c r="F4571" s="5" t="s">
        <v>38964</v>
      </c>
      <c r="G4571" s="5" t="s">
        <v>38965</v>
      </c>
      <c r="H4571" s="26">
        <v>25.5</v>
      </c>
      <c r="I4571" s="5" t="s">
        <v>38966</v>
      </c>
      <c r="J4571" s="5" t="s">
        <v>26767</v>
      </c>
      <c r="K4571" s="5" t="s">
        <v>344</v>
      </c>
      <c r="L4571" s="5"/>
      <c r="M4571" s="27"/>
      <c r="N4571" s="5" t="s">
        <v>56402</v>
      </c>
      <c r="O4571" s="5" t="str">
        <v>7710258600</v>
      </c>
      <c r="P4571" s="27">
        <v>1005000000</v>
      </c>
      <c r="Q4571" s="5" t="s">
        <v>56403</v>
      </c>
      <c r="R4571" s="5"/>
      <c r="S4571" s="5" t="s">
        <v>49704</v>
      </c>
      <c r="T4571" s="28">
        <v>546226000</v>
      </c>
      <c r="U4571" s="28"/>
      <c r="V4571" s="28">
        <v>815589000</v>
      </c>
      <c r="W4571" s="28"/>
      <c r="X4571" s="28">
        <v>1631991000</v>
      </c>
      <c r="Y4571" s="28">
        <v>3762122000</v>
      </c>
      <c r="Z4571" s="28">
        <v>1887725000</v>
      </c>
      <c r="AA4571" s="28"/>
      <c r="AB4571" s="28"/>
      <c r="AC4571" s="28">
        <v>763366000</v>
      </c>
      <c r="AD4571" s="28">
        <v>2892725000</v>
      </c>
      <c r="AE4571" s="28">
        <v>4574190000</v>
      </c>
      <c r="AF4571" s="28">
        <v>360268000</v>
      </c>
      <c r="AG4571" s="11"/>
    </row>
    <row r="4572">
      <c r="A4572" s="7" t="s">
        <v>6209</v>
      </c>
      <c r="B4572" s="5" t="s">
        <v>14166</v>
      </c>
      <c r="C4572" s="5" t="s">
        <v>21916</v>
      </c>
      <c r="D4572" s="5" t="str">
        <v>772607648706</v>
      </c>
      <c r="E4572" s="0" t="e">
        <f>+7 (495) 7894225
+7 (495) 3800055
+7 (495) 3800077
+7 (495) 7276827
+7 (495) 7410007
+7 (495) 7893789
+7 (800) 1001741</f>
        <v>#NAME?</v>
      </c>
      <c r="F4572" s="5" t="s">
        <v>38967</v>
      </c>
      <c r="G4572" s="5" t="s">
        <v>38968</v>
      </c>
      <c r="H4572" s="26">
        <v>22.5</v>
      </c>
      <c r="I4572" s="5" t="s">
        <v>38969</v>
      </c>
      <c r="J4572" s="5" t="s">
        <v>25559</v>
      </c>
      <c r="K4572" s="5" t="s">
        <v>344</v>
      </c>
      <c r="L4572" s="5" t="s">
        <v>38970</v>
      </c>
      <c r="M4572" s="27"/>
      <c r="N4572" s="5" t="s">
        <v>56404</v>
      </c>
      <c r="O4572" s="5" t="str">
        <v>7703247653</v>
      </c>
      <c r="P4572" s="27">
        <v>50000000</v>
      </c>
      <c r="Q4572" s="5" t="s">
        <v>49009</v>
      </c>
      <c r="R4572" s="5"/>
      <c r="S4572" s="5" t="s">
        <v>49045</v>
      </c>
      <c r="T4572" s="28">
        <v>946229000</v>
      </c>
      <c r="U4572" s="28">
        <v>416376000</v>
      </c>
      <c r="V4572" s="28">
        <v>2231415000</v>
      </c>
      <c r="W4572" s="28"/>
      <c r="X4572" s="28">
        <v>76534000</v>
      </c>
      <c r="Y4572" s="28">
        <v>14914943000</v>
      </c>
      <c r="Z4572" s="28">
        <v>3593531000</v>
      </c>
      <c r="AA4572" s="28"/>
      <c r="AB4572" s="28">
        <v>2999000000</v>
      </c>
      <c r="AC4572" s="28">
        <v>11184344000</v>
      </c>
      <c r="AD4572" s="28">
        <v>3710584000</v>
      </c>
      <c r="AE4572" s="28">
        <v>31354326000</v>
      </c>
      <c r="AF4572" s="28">
        <v>2568492000</v>
      </c>
      <c r="AG4572" s="11"/>
    </row>
    <row r="4573">
      <c r="A4573" s="7" t="s">
        <v>6210</v>
      </c>
      <c r="B4573" s="5" t="s">
        <v>14167</v>
      </c>
      <c r="C4573" s="5" t="s">
        <v>21917</v>
      </c>
      <c r="D4573" s="5" t="str">
        <v>665806272324</v>
      </c>
      <c r="E4573" s="0" t="e">
        <f>+7 (922) 1502415
+7 (922) 1993838</f>
        <v>#NAME?</v>
      </c>
      <c r="F4573" s="5"/>
      <c r="G4573" s="5"/>
      <c r="H4573" s="26">
        <v>7.5</v>
      </c>
      <c r="I4573" s="5" t="s">
        <v>38971</v>
      </c>
      <c r="J4573" s="5" t="s">
        <v>25612</v>
      </c>
      <c r="K4573" s="5" t="s">
        <v>344</v>
      </c>
      <c r="L4573" s="5" t="s">
        <v>38972</v>
      </c>
      <c r="M4573" s="27"/>
      <c r="N4573" s="5"/>
      <c r="O4573" s="5" t="str">
        <v>6671025854</v>
      </c>
      <c r="P4573" s="27">
        <v>400000</v>
      </c>
      <c r="Q4573" s="5" t="s">
        <v>49319</v>
      </c>
      <c r="R4573" s="5"/>
      <c r="S4573" s="5" t="s">
        <v>49774</v>
      </c>
      <c r="T4573" s="28">
        <v>18541000</v>
      </c>
      <c r="U4573" s="28"/>
      <c r="V4573" s="28">
        <v>1174062000</v>
      </c>
      <c r="W4573" s="28"/>
      <c r="X4573" s="28">
        <v>62148000</v>
      </c>
      <c r="Y4573" s="28">
        <v>1386781000</v>
      </c>
      <c r="Z4573" s="28">
        <v>101222000</v>
      </c>
      <c r="AA4573" s="28"/>
      <c r="AB4573" s="28">
        <v>200876000</v>
      </c>
      <c r="AC4573" s="28">
        <v>1253072000</v>
      </c>
      <c r="AD4573" s="28">
        <v>101629000</v>
      </c>
      <c r="AE4573" s="28">
        <v>5285299000</v>
      </c>
      <c r="AF4573" s="28">
        <v>83851000</v>
      </c>
      <c r="AG4573" s="11"/>
    </row>
    <row r="4574">
      <c r="A4574" s="7" t="s">
        <v>6211</v>
      </c>
      <c r="B4574" s="5" t="s">
        <v>14168</v>
      </c>
      <c r="C4574" s="5" t="s">
        <v>21918</v>
      </c>
      <c r="D4574" s="5"/>
      <c r="E4574" s="0" t="e">
        <f>+7 (841) 2207512
+7 (8412) 205211
+7 (8412) 205216
+7 (8412) 207513
+7 (84143) 58245
+7 (84152) 31356</f>
        <v>#NAME?</v>
      </c>
      <c r="F4574" s="5" t="s">
        <v>38973</v>
      </c>
      <c r="G4574" s="5"/>
      <c r="H4574" s="26">
        <v>11</v>
      </c>
      <c r="I4574" s="5" t="s">
        <v>38974</v>
      </c>
      <c r="J4574" s="5" t="s">
        <v>38975</v>
      </c>
      <c r="K4574" s="5" t="s">
        <v>355</v>
      </c>
      <c r="L4574" s="5" t="s">
        <v>38976</v>
      </c>
      <c r="M4574" s="27">
        <v>624424</v>
      </c>
      <c r="N4574" s="5"/>
      <c r="O4574" s="5" t="str">
        <v>5828901130</v>
      </c>
      <c r="P4574" s="27">
        <v>10000</v>
      </c>
      <c r="Q4574" s="5"/>
      <c r="R4574" s="5"/>
      <c r="S4574" s="5" t="s">
        <v>49425</v>
      </c>
      <c r="T4574" s="28">
        <v>9926644000</v>
      </c>
      <c r="U4574" s="28">
        <v>252799000</v>
      </c>
      <c r="V4574" s="28">
        <v>1367722000</v>
      </c>
      <c r="W4574" s="28">
        <v>1530000000</v>
      </c>
      <c r="X4574" s="28">
        <v>45153000</v>
      </c>
      <c r="Y4574" s="28">
        <v>16872312000</v>
      </c>
      <c r="Z4574" s="28">
        <v>5261748000</v>
      </c>
      <c r="AA4574" s="28">
        <v>7241274000</v>
      </c>
      <c r="AB4574" s="28">
        <v>2416293000</v>
      </c>
      <c r="AC4574" s="28">
        <v>4292422000</v>
      </c>
      <c r="AD4574" s="28">
        <v>5261758000</v>
      </c>
      <c r="AE4574" s="28">
        <v>7748608000</v>
      </c>
      <c r="AF4574" s="28">
        <v>1449615000</v>
      </c>
      <c r="AG4574" s="11"/>
    </row>
    <row r="4575">
      <c r="A4575" s="7" t="s">
        <v>6212</v>
      </c>
      <c r="B4575" s="5" t="s">
        <v>14169</v>
      </c>
      <c r="C4575" s="5" t="s">
        <v>21919</v>
      </c>
      <c r="D4575" s="5" t="str">
        <v>644909050583</v>
      </c>
      <c r="E4575" s="0" t="e">
        <f>+7 (495) 9339938
+7 (800) 5005000
+7 (918) 2335694
+7 (920) 5978329
+7 (926) 7922568
+7 (927) 6000334
+7 (495) 5624833
+7 (495) 6465000</f>
        <v>#NAME?</v>
      </c>
      <c r="F4575" s="5" t="s">
        <v>38977</v>
      </c>
      <c r="G4575" s="5" t="s">
        <v>38978</v>
      </c>
      <c r="H4575" s="26">
        <v>5.5</v>
      </c>
      <c r="I4575" s="5"/>
      <c r="J4575" s="5" t="s">
        <v>25484</v>
      </c>
      <c r="K4575" s="5" t="s">
        <v>355</v>
      </c>
      <c r="L4575" s="5"/>
      <c r="M4575" s="27">
        <v>6209824</v>
      </c>
      <c r="N4575" s="5" t="s">
        <v>56405</v>
      </c>
      <c r="O4575" s="5" t="str">
        <v>7707387700</v>
      </c>
      <c r="P4575" s="27">
        <v>5335255</v>
      </c>
      <c r="Q4575" s="5" t="s">
        <v>49009</v>
      </c>
      <c r="R4575" s="5"/>
      <c r="S4575" s="5" t="s">
        <v>50230</v>
      </c>
      <c r="T4575" s="28">
        <v>41947872000</v>
      </c>
      <c r="U4575" s="28">
        <v>32936100000</v>
      </c>
      <c r="V4575" s="28">
        <v>2184603000</v>
      </c>
      <c r="W4575" s="28"/>
      <c r="X4575" s="28">
        <v>316186000</v>
      </c>
      <c r="Y4575" s="28">
        <v>85039659000</v>
      </c>
      <c r="Z4575" s="28">
        <v>3292224000</v>
      </c>
      <c r="AA4575" s="28">
        <v>56592413000</v>
      </c>
      <c r="AB4575" s="28">
        <v>6140876000</v>
      </c>
      <c r="AC4575" s="28">
        <v>9988091000</v>
      </c>
      <c r="AD4575" s="28">
        <v>3297809000</v>
      </c>
      <c r="AE4575" s="28">
        <v>14904344000</v>
      </c>
      <c r="AF4575" s="28">
        <v>3116101000</v>
      </c>
      <c r="AG4575" s="11"/>
    </row>
    <row r="4576">
      <c r="A4576" s="7" t="s">
        <v>6213</v>
      </c>
      <c r="B4576" s="5" t="s">
        <v>14170</v>
      </c>
      <c r="C4576" s="5" t="s">
        <v>21920</v>
      </c>
      <c r="D4576" s="5" t="str">
        <v>910214807593</v>
      </c>
      <c r="E4576" s="0" t="e">
        <f>+7 (3652) 548203
+7 (3652) 548207
+7 (3652) 548208
+7 (978) 8171771</f>
        <v>#NAME?</v>
      </c>
      <c r="F4576" s="5" t="s">
        <v>38979</v>
      </c>
      <c r="G4576" s="5"/>
      <c r="H4576" s="26">
        <v>27</v>
      </c>
      <c r="I4576" s="5"/>
      <c r="J4576" s="5" t="s">
        <v>26962</v>
      </c>
      <c r="K4576" s="5" t="s">
        <v>344</v>
      </c>
      <c r="L4576" s="5" t="s">
        <v>38980</v>
      </c>
      <c r="M4576" s="27"/>
      <c r="N4576" s="5" t="s">
        <v>56406</v>
      </c>
      <c r="O4576" s="5" t="str">
        <v>9102154817</v>
      </c>
      <c r="P4576" s="27">
        <v>80043458</v>
      </c>
      <c r="Q4576" s="5" t="s">
        <v>49434</v>
      </c>
      <c r="R4576" s="5"/>
      <c r="S4576" s="5" t="s">
        <v>56407</v>
      </c>
      <c r="T4576" s="28">
        <v>1292860000</v>
      </c>
      <c r="U4576" s="28">
        <v>300000</v>
      </c>
      <c r="V4576" s="28">
        <v>3930370000</v>
      </c>
      <c r="W4576" s="28"/>
      <c r="X4576" s="28">
        <v>766392000</v>
      </c>
      <c r="Y4576" s="28">
        <v>6997942000</v>
      </c>
      <c r="Z4576" s="28">
        <v>6048366000</v>
      </c>
      <c r="AA4576" s="28"/>
      <c r="AB4576" s="28"/>
      <c r="AC4576" s="28">
        <v>769395000</v>
      </c>
      <c r="AD4576" s="28">
        <v>6218486000</v>
      </c>
      <c r="AE4576" s="28">
        <v>4558801000</v>
      </c>
      <c r="AF4576" s="28">
        <v>795068000</v>
      </c>
      <c r="AG4576" s="11"/>
    </row>
    <row r="4577">
      <c r="A4577" s="7" t="s">
        <v>6214</v>
      </c>
      <c r="B4577" s="5" t="s">
        <v>14171</v>
      </c>
      <c r="C4577" s="5" t="s">
        <v>21921</v>
      </c>
      <c r="D4577" s="5" t="str">
        <v>250303419623</v>
      </c>
      <c r="E4577" s="0" t="e">
        <f>+7 (423) 7794364
+7 (42377) 24105
+7 (42377) 24110
+7 (42377) 24125
+7 (42377) 24215
+7 (42377) 24271
+7 (42377) 24288
+7 (42377) 25110
+7 (42377) 91284</f>
        <v>#NAME?</v>
      </c>
      <c r="F4577" s="5" t="s">
        <v>38981</v>
      </c>
      <c r="G4577" s="5" t="s">
        <v>38982</v>
      </c>
      <c r="H4577" s="26">
        <v>30</v>
      </c>
      <c r="I4577" s="5" t="s">
        <v>38983</v>
      </c>
      <c r="J4577" s="5" t="s">
        <v>26424</v>
      </c>
      <c r="K4577" s="5" t="s">
        <v>344</v>
      </c>
      <c r="L4577" s="5" t="s">
        <v>38984</v>
      </c>
      <c r="M4577" s="27"/>
      <c r="N4577" s="5" t="s">
        <v>56408</v>
      </c>
      <c r="O4577" s="5" t="str">
        <v>2518000814</v>
      </c>
      <c r="P4577" s="27">
        <v>848506</v>
      </c>
      <c r="Q4577" s="5"/>
      <c r="R4577" s="5" t="s">
        <v>56410</v>
      </c>
      <c r="S4577" s="5" t="s">
        <v>49425</v>
      </c>
      <c r="T4577" s="28">
        <v>6177244000</v>
      </c>
      <c r="U4577" s="28">
        <v>12000</v>
      </c>
      <c r="V4577" s="28">
        <v>3830628000</v>
      </c>
      <c r="W4577" s="28">
        <v>222800000</v>
      </c>
      <c r="X4577" s="28">
        <v>127184000</v>
      </c>
      <c r="Y4577" s="28">
        <v>12590079000</v>
      </c>
      <c r="Z4577" s="28">
        <v>11000239000</v>
      </c>
      <c r="AA4577" s="28"/>
      <c r="AB4577" s="28">
        <v>511153000</v>
      </c>
      <c r="AC4577" s="28">
        <v>1465967000</v>
      </c>
      <c r="AD4577" s="28">
        <v>11001088000</v>
      </c>
      <c r="AE4577" s="28">
        <v>10934625000</v>
      </c>
      <c r="AF4577" s="28">
        <v>1029428000</v>
      </c>
      <c r="AG4577" s="11"/>
    </row>
    <row r="4578">
      <c r="A4578" s="7" t="s">
        <v>6215</v>
      </c>
      <c r="B4578" s="5" t="s">
        <v>14172</v>
      </c>
      <c r="C4578" s="5" t="s">
        <v>21922</v>
      </c>
      <c r="D4578" s="5" t="str">
        <v>500907817670</v>
      </c>
      <c r="E4578" s="0" t="e">
        <f>+7 (820) 2586879
+7 (909) 8300420</f>
        <v>#NAME?</v>
      </c>
      <c r="F4578" s="5" t="s">
        <v>38985</v>
      </c>
      <c r="G4578" s="5"/>
      <c r="H4578" s="26">
        <v>13</v>
      </c>
      <c r="I4578" s="5" t="s">
        <v>38986</v>
      </c>
      <c r="J4578" s="5" t="s">
        <v>25889</v>
      </c>
      <c r="K4578" s="5" t="s">
        <v>344</v>
      </c>
      <c r="L4578" s="5"/>
      <c r="M4578" s="27">
        <v>63572066</v>
      </c>
      <c r="N4578" s="5" t="s">
        <v>49923</v>
      </c>
      <c r="O4578" s="5" t="str">
        <v>7715790751</v>
      </c>
      <c r="P4578" s="27">
        <v>50000000</v>
      </c>
      <c r="Q4578" s="5" t="s">
        <v>56411</v>
      </c>
      <c r="R4578" s="5"/>
      <c r="S4578" s="5" t="s">
        <v>56412</v>
      </c>
      <c r="T4578" s="28">
        <v>805449000</v>
      </c>
      <c r="U4578" s="28"/>
      <c r="V4578" s="28">
        <v>181521000</v>
      </c>
      <c r="W4578" s="28">
        <v>2400000000</v>
      </c>
      <c r="X4578" s="28">
        <v>1072624000</v>
      </c>
      <c r="Y4578" s="28">
        <v>4596009000</v>
      </c>
      <c r="Z4578" s="28">
        <v>3448602000</v>
      </c>
      <c r="AA4578" s="28"/>
      <c r="AB4578" s="28"/>
      <c r="AC4578" s="28">
        <v>453521000</v>
      </c>
      <c r="AD4578" s="28">
        <v>3598940000</v>
      </c>
      <c r="AE4578" s="28">
        <v>5562254000</v>
      </c>
      <c r="AF4578" s="28">
        <v>2310373000</v>
      </c>
      <c r="AG4578" s="11"/>
    </row>
    <row r="4579">
      <c r="A4579" s="7" t="s">
        <v>6216</v>
      </c>
      <c r="B4579" s="5" t="s">
        <v>14173</v>
      </c>
      <c r="C4579" s="5" t="s">
        <v>21923</v>
      </c>
      <c r="D4579" s="5" t="str">
        <v>343601279540</v>
      </c>
      <c r="E4579" s="0" t="e">
        <f>+7 (3433) 20525
+7 (35336) 22101
+7 (35342) 30125</f>
        <v>#NAME?</v>
      </c>
      <c r="F4579" s="5"/>
      <c r="G4579" s="5"/>
      <c r="H4579" s="26">
        <v>6</v>
      </c>
      <c r="I4579" s="5" t="s">
        <v>38987</v>
      </c>
      <c r="J4579" s="5" t="s">
        <v>26655</v>
      </c>
      <c r="K4579" s="5" t="s">
        <v>355</v>
      </c>
      <c r="L4579" s="5"/>
      <c r="M4579" s="27">
        <v>26670039</v>
      </c>
      <c r="N4579" s="5"/>
      <c r="O4579" s="5" t="str">
        <v>5610223448</v>
      </c>
      <c r="P4579" s="27">
        <v>300000</v>
      </c>
      <c r="Q4579" s="5" t="s">
        <v>49009</v>
      </c>
      <c r="R4579" s="5"/>
      <c r="S4579" s="5" t="s">
        <v>49045</v>
      </c>
      <c r="T4579" s="28">
        <v>24300000</v>
      </c>
      <c r="U4579" s="28">
        <v>986000</v>
      </c>
      <c r="V4579" s="28">
        <v>99968000</v>
      </c>
      <c r="W4579" s="28">
        <v>27400000</v>
      </c>
      <c r="X4579" s="28">
        <v>139883000</v>
      </c>
      <c r="Y4579" s="28">
        <v>1602604000</v>
      </c>
      <c r="Z4579" s="28">
        <v>229000</v>
      </c>
      <c r="AA4579" s="28">
        <v>85737000</v>
      </c>
      <c r="AB4579" s="28">
        <v>2858000</v>
      </c>
      <c r="AC4579" s="28">
        <v>1499592000</v>
      </c>
      <c r="AD4579" s="28">
        <v>529000</v>
      </c>
      <c r="AE4579" s="28">
        <v>3877143000</v>
      </c>
      <c r="AF4579" s="28">
        <v>6286000</v>
      </c>
      <c r="AG4579" s="11"/>
    </row>
    <row r="4580">
      <c r="A4580" s="7" t="s">
        <v>6217</v>
      </c>
      <c r="B4580" s="5" t="s">
        <v>14174</v>
      </c>
      <c r="C4580" s="5" t="s">
        <v>21924</v>
      </c>
      <c r="D4580" s="5" t="str">
        <v>422304380915</v>
      </c>
      <c r="E4580" s="0" t="e">
        <f>+7 (932) 1231513
+7 (3433) 20525</f>
        <v>#NAME?</v>
      </c>
      <c r="F4580" s="5"/>
      <c r="G4580" s="5"/>
      <c r="H4580" s="26">
        <v>5</v>
      </c>
      <c r="I4580" s="5" t="s">
        <v>38988</v>
      </c>
      <c r="J4580" s="5" t="s">
        <v>26655</v>
      </c>
      <c r="K4580" s="5" t="s">
        <v>344</v>
      </c>
      <c r="L4580" s="5" t="s">
        <v>38989</v>
      </c>
      <c r="M4580" s="27">
        <v>22801</v>
      </c>
      <c r="N4580" s="5" t="s">
        <v>56413</v>
      </c>
      <c r="O4580" s="5" t="str">
        <v>6213013439</v>
      </c>
      <c r="P4580" s="27">
        <v>1000000</v>
      </c>
      <c r="Q4580" s="5"/>
      <c r="R4580" s="5"/>
      <c r="S4580" s="5" t="s">
        <v>49110</v>
      </c>
      <c r="T4580" s="28">
        <v>110939000</v>
      </c>
      <c r="U4580" s="28"/>
      <c r="V4580" s="28">
        <v>171826000</v>
      </c>
      <c r="W4580" s="28">
        <v>550412000</v>
      </c>
      <c r="X4580" s="28">
        <v>234577000</v>
      </c>
      <c r="Y4580" s="28">
        <v>1969049000</v>
      </c>
      <c r="Z4580" s="28">
        <v>118713000</v>
      </c>
      <c r="AA4580" s="28">
        <v>24200000</v>
      </c>
      <c r="AB4580" s="28">
        <v>3603000</v>
      </c>
      <c r="AC4580" s="28">
        <v>1808477000</v>
      </c>
      <c r="AD4580" s="28">
        <v>119713000</v>
      </c>
      <c r="AE4580" s="28">
        <v>7449512000</v>
      </c>
      <c r="AF4580" s="28">
        <v>36004000</v>
      </c>
      <c r="AG4580" s="11"/>
    </row>
    <row r="4581">
      <c r="A4581" s="7" t="s">
        <v>6218</v>
      </c>
      <c r="B4581" s="5" t="s">
        <v>14175</v>
      </c>
      <c r="C4581" s="5" t="s">
        <v>20958</v>
      </c>
      <c r="D4581" s="5"/>
      <c r="E4581" s="0" t="e">
        <f>+7 (38475) 47012
+7 (38475) 47503</f>
        <v>#NAME?</v>
      </c>
      <c r="F4581" s="5" t="s">
        <v>38990</v>
      </c>
      <c r="G4581" s="5"/>
      <c r="H4581" s="26">
        <v>17.5</v>
      </c>
      <c r="I4581" s="5" t="s">
        <v>38991</v>
      </c>
      <c r="J4581" s="5" t="s">
        <v>26213</v>
      </c>
      <c r="K4581" s="5" t="s">
        <v>344</v>
      </c>
      <c r="L4581" s="5" t="s">
        <v>38992</v>
      </c>
      <c r="M4581" s="27"/>
      <c r="N4581" s="5"/>
      <c r="O4581" s="5" t="str">
        <v>7723540635</v>
      </c>
      <c r="P4581" s="27">
        <v>10000</v>
      </c>
      <c r="Q4581" s="5" t="s">
        <v>49059</v>
      </c>
      <c r="R4581" s="5"/>
      <c r="S4581" s="5" t="s">
        <v>49132</v>
      </c>
      <c r="T4581" s="28">
        <v>196769000</v>
      </c>
      <c r="U4581" s="28"/>
      <c r="V4581" s="28">
        <v>1149514000</v>
      </c>
      <c r="W4581" s="28"/>
      <c r="X4581" s="28">
        <v>913000</v>
      </c>
      <c r="Y4581" s="28">
        <v>1438712000</v>
      </c>
      <c r="Z4581" s="28">
        <v>1264698000</v>
      </c>
      <c r="AA4581" s="28"/>
      <c r="AB4581" s="28"/>
      <c r="AC4581" s="28">
        <v>162509000</v>
      </c>
      <c r="AD4581" s="28">
        <v>1264708000</v>
      </c>
      <c r="AE4581" s="28">
        <v>3965590000</v>
      </c>
      <c r="AF4581" s="28">
        <v>268407000</v>
      </c>
      <c r="AG4581" s="11"/>
    </row>
    <row r="4582">
      <c r="A4582" s="7" t="s">
        <v>6219</v>
      </c>
      <c r="B4582" s="5" t="s">
        <v>14176</v>
      </c>
      <c r="C4582" s="5" t="s">
        <v>21925</v>
      </c>
      <c r="D4582" s="5" t="str">
        <v>320500971033</v>
      </c>
      <c r="E4582" s="0" t="e">
        <f>+7 (3466) 229098
+7 (3466) 425210
+7 (3466) 425220
+7 (3466) 465186
+7 (3466) 612126
+7 (34663) 11645
+7 (34672) 40268
+7 (3496) 335213</f>
        <v>#NAME?</v>
      </c>
      <c r="F4582" s="5" t="s">
        <v>38993</v>
      </c>
      <c r="G4582" s="5"/>
      <c r="H4582" s="26">
        <v>31.5</v>
      </c>
      <c r="I4582" s="5" t="s">
        <v>38994</v>
      </c>
      <c r="J4582" s="5" t="s">
        <v>26799</v>
      </c>
      <c r="K4582" s="5" t="s">
        <v>355</v>
      </c>
      <c r="L4582" s="5"/>
      <c r="M4582" s="27">
        <v>84038334</v>
      </c>
      <c r="N4582" s="5" t="s">
        <v>56414</v>
      </c>
      <c r="O4582" s="5" t="str">
        <v>8603132996</v>
      </c>
      <c r="P4582" s="27">
        <v>10000</v>
      </c>
      <c r="Q4582" s="5" t="s">
        <v>56415</v>
      </c>
      <c r="R4582" s="5" t="s">
        <v>56416</v>
      </c>
      <c r="S4582" s="5" t="s">
        <v>56417</v>
      </c>
      <c r="T4582" s="28">
        <v>582687000</v>
      </c>
      <c r="U4582" s="28"/>
      <c r="V4582" s="28">
        <v>1302052000</v>
      </c>
      <c r="W4582" s="28">
        <v>498956000</v>
      </c>
      <c r="X4582" s="28">
        <v>240458000</v>
      </c>
      <c r="Y4582" s="28">
        <v>2648091000</v>
      </c>
      <c r="Z4582" s="28">
        <v>280627000</v>
      </c>
      <c r="AA4582" s="28"/>
      <c r="AB4582" s="28"/>
      <c r="AC4582" s="28">
        <v>2344796000</v>
      </c>
      <c r="AD4582" s="28">
        <v>303295000</v>
      </c>
      <c r="AE4582" s="28">
        <v>4000450000</v>
      </c>
      <c r="AF4582" s="28">
        <v>57131000</v>
      </c>
      <c r="AG4582" s="11"/>
    </row>
    <row r="4583">
      <c r="A4583" s="7" t="s">
        <v>6220</v>
      </c>
      <c r="B4583" s="5" t="s">
        <v>14177</v>
      </c>
      <c r="C4583" s="5" t="s">
        <v>21926</v>
      </c>
      <c r="D4583" s="5" t="str">
        <v>745300748506</v>
      </c>
      <c r="E4583" s="0" t="e">
        <f>+7 (351) 2471544
+7 (3512) 424444
+7 (3512) 471515
+7 (3512) 471583
+7 (3512) 471602
+7 (3512) 471641
+7 (3512) 471642
+7 (3512) 479026
+7 (3517) 995151
+7 (3517) 995590</f>
        <v>#NAME?</v>
      </c>
      <c r="F4583" s="5" t="s">
        <v>38995</v>
      </c>
      <c r="G4583" s="5" t="s">
        <v>38996</v>
      </c>
      <c r="H4583" s="26">
        <v>23.5</v>
      </c>
      <c r="I4583" s="5" t="s">
        <v>38997</v>
      </c>
      <c r="J4583" s="5" t="s">
        <v>30361</v>
      </c>
      <c r="K4583" s="5" t="s">
        <v>344</v>
      </c>
      <c r="L4583" s="5" t="s">
        <v>38998</v>
      </c>
      <c r="M4583" s="27"/>
      <c r="N4583" s="5" t="s">
        <v>56418</v>
      </c>
      <c r="O4583" s="5" t="str">
        <v>7448024720</v>
      </c>
      <c r="P4583" s="27">
        <v>1074000</v>
      </c>
      <c r="Q4583" s="5" t="s">
        <v>49009</v>
      </c>
      <c r="R4583" s="5" t="s">
        <v>56419</v>
      </c>
      <c r="S4583" s="5" t="s">
        <v>52179</v>
      </c>
      <c r="T4583" s="28">
        <v>1563354000</v>
      </c>
      <c r="U4583" s="28">
        <v>10000</v>
      </c>
      <c r="V4583" s="28">
        <v>928913000</v>
      </c>
      <c r="W4583" s="28">
        <v>6311134000</v>
      </c>
      <c r="X4583" s="28">
        <v>431542000</v>
      </c>
      <c r="Y4583" s="28">
        <v>9858342000</v>
      </c>
      <c r="Z4583" s="28">
        <v>8312094000</v>
      </c>
      <c r="AA4583" s="28"/>
      <c r="AB4583" s="28">
        <v>581131000</v>
      </c>
      <c r="AC4583" s="28">
        <v>1351337000</v>
      </c>
      <c r="AD4583" s="28">
        <v>8395886000</v>
      </c>
      <c r="AE4583" s="28">
        <v>4180003000</v>
      </c>
      <c r="AF4583" s="28">
        <v>379479000</v>
      </c>
      <c r="AG4583" s="11"/>
    </row>
    <row r="4584">
      <c r="A4584" s="7" t="s">
        <v>6221</v>
      </c>
      <c r="B4584" s="5" t="s">
        <v>14178</v>
      </c>
      <c r="C4584" s="5" t="s">
        <v>19619</v>
      </c>
      <c r="D4584" s="5"/>
      <c r="E4584" s="0" t="e">
        <f>+7 (495) 7952527
+7 (495) 7952532
+7 (812) 7528727
+7 (812) 7593312
+7 (81375) 28727
+7 (81375) 93312
+7 (81375) 95252
+7 (81375) 95312
+7 (81375) 95507
+7 (81375) 95727</f>
        <v>#NAME?</v>
      </c>
      <c r="F4584" s="5" t="s">
        <v>38999</v>
      </c>
      <c r="G4584" s="5" t="s">
        <v>31626</v>
      </c>
      <c r="H4584" s="26">
        <v>21.5</v>
      </c>
      <c r="I4584" s="5" t="s">
        <v>39000</v>
      </c>
      <c r="J4584" s="5" t="s">
        <v>28418</v>
      </c>
      <c r="K4584" s="5" t="s">
        <v>344</v>
      </c>
      <c r="L4584" s="5" t="s">
        <v>39001</v>
      </c>
      <c r="M4584" s="27">
        <v>5236436</v>
      </c>
      <c r="N4584" s="5"/>
      <c r="O4584" s="5" t="str">
        <v>4707017905</v>
      </c>
      <c r="P4584" s="27">
        <v>16642110000</v>
      </c>
      <c r="Q4584" s="5" t="s">
        <v>49009</v>
      </c>
      <c r="R4584" s="5"/>
      <c r="S4584" s="5" t="s">
        <v>49066</v>
      </c>
      <c r="T4584" s="28">
        <v>18144982000</v>
      </c>
      <c r="U4584" s="28"/>
      <c r="V4584" s="28">
        <v>12940613000</v>
      </c>
      <c r="W4584" s="28">
        <v>55867827000</v>
      </c>
      <c r="X4584" s="28">
        <v>8924000</v>
      </c>
      <c r="Y4584" s="28">
        <v>90922473000</v>
      </c>
      <c r="Z4584" s="28">
        <v>5346846000</v>
      </c>
      <c r="AA4584" s="28"/>
      <c r="AB4584" s="28">
        <v>10353000</v>
      </c>
      <c r="AC4584" s="28">
        <v>67319459000</v>
      </c>
      <c r="AD4584" s="28">
        <v>21988956000</v>
      </c>
      <c r="AE4584" s="28">
        <v>61837406000</v>
      </c>
      <c r="AF4584" s="28">
        <v>8107553000</v>
      </c>
      <c r="AG4584" s="11"/>
    </row>
    <row r="4585">
      <c r="A4585" s="7" t="s">
        <v>6222</v>
      </c>
      <c r="B4585" s="5" t="s">
        <v>14179</v>
      </c>
      <c r="C4585" s="5" t="s">
        <v>21927</v>
      </c>
      <c r="D4585" s="5" t="str">
        <v>771503823567</v>
      </c>
      <c r="E4585" s="0" t="e">
        <f>+7 (343) 3805320
+7 (495) 6630101
+7 (495) 7265926
+7 (831) 2600021
+7 (831) 2600022</f>
        <v>#NAME?</v>
      </c>
      <c r="F4585" s="5" t="s">
        <v>39002</v>
      </c>
      <c r="G4585" s="5" t="s">
        <v>39003</v>
      </c>
      <c r="H4585" s="26">
        <v>21.5</v>
      </c>
      <c r="I4585" s="5"/>
      <c r="J4585" s="5" t="s">
        <v>26325</v>
      </c>
      <c r="K4585" s="5" t="s">
        <v>344</v>
      </c>
      <c r="L4585" s="5"/>
      <c r="M4585" s="27">
        <v>13885676</v>
      </c>
      <c r="N4585" s="5" t="s">
        <v>56420</v>
      </c>
      <c r="O4585" s="5" t="str">
        <v>7725806898</v>
      </c>
      <c r="P4585" s="27">
        <v>31346364597</v>
      </c>
      <c r="Q4585" s="5" t="s">
        <v>56421</v>
      </c>
      <c r="R4585" s="5"/>
      <c r="S4585" s="5" t="s">
        <v>56422</v>
      </c>
      <c r="T4585" s="28">
        <v>137422703000</v>
      </c>
      <c r="U4585" s="28">
        <v>1305362000</v>
      </c>
      <c r="V4585" s="28">
        <v>35003724000</v>
      </c>
      <c r="W4585" s="28"/>
      <c r="X4585" s="28">
        <v>31475623000</v>
      </c>
      <c r="Y4585" s="28">
        <v>217950330000</v>
      </c>
      <c r="Z4585" s="28">
        <v>119108746000</v>
      </c>
      <c r="AA4585" s="28"/>
      <c r="AB4585" s="28"/>
      <c r="AC4585" s="28">
        <v>22579211000</v>
      </c>
      <c r="AD4585" s="28">
        <v>152022429000</v>
      </c>
      <c r="AE4585" s="28">
        <v>105769809000</v>
      </c>
      <c r="AF4585" s="28">
        <v>38382014000</v>
      </c>
      <c r="AG4585" s="11"/>
    </row>
    <row r="4586">
      <c r="A4586" s="7" t="s">
        <v>6223</v>
      </c>
      <c r="B4586" s="5" t="s">
        <v>14180</v>
      </c>
      <c r="C4586" s="5" t="s">
        <v>21928</v>
      </c>
      <c r="D4586" s="5" t="str">
        <v>771500616594</v>
      </c>
      <c r="E4586" s="0" t="e">
        <f>+7 (495) 6463755
+7 (495) 9137474
+7 (495) 9567937
+7 (499) 1993814
+7 (499) 8007787
+7 (926) 1648889</f>
        <v>#NAME?</v>
      </c>
      <c r="F4586" s="5" t="s">
        <v>39004</v>
      </c>
      <c r="G4586" s="5" t="s">
        <v>39005</v>
      </c>
      <c r="H4586" s="26">
        <v>3</v>
      </c>
      <c r="I4586" s="5" t="s">
        <v>39006</v>
      </c>
      <c r="J4586" s="5" t="s">
        <v>25429</v>
      </c>
      <c r="K4586" s="5" t="s">
        <v>344</v>
      </c>
      <c r="L4586" s="5" t="s">
        <v>39007</v>
      </c>
      <c r="M4586" s="27"/>
      <c r="N4586" s="5" t="s">
        <v>56423</v>
      </c>
      <c r="O4586" s="5" t="str">
        <v>7727440550</v>
      </c>
      <c r="P4586" s="27">
        <v>10000</v>
      </c>
      <c r="Q4586" s="5" t="s">
        <v>56424</v>
      </c>
      <c r="R4586" s="5"/>
      <c r="S4586" s="5" t="s">
        <v>50122</v>
      </c>
      <c r="T4586" s="28">
        <v>337000</v>
      </c>
      <c r="U4586" s="28"/>
      <c r="V4586" s="28">
        <v>176228000</v>
      </c>
      <c r="W4586" s="28"/>
      <c r="X4586" s="28">
        <v>8171000</v>
      </c>
      <c r="Y4586" s="28">
        <v>199838000</v>
      </c>
      <c r="Z4586" s="28">
        <v>43063000</v>
      </c>
      <c r="AA4586" s="28"/>
      <c r="AB4586" s="28"/>
      <c r="AC4586" s="28">
        <v>156765000</v>
      </c>
      <c r="AD4586" s="28">
        <v>43073000</v>
      </c>
      <c r="AE4586" s="28">
        <v>3672600000</v>
      </c>
      <c r="AF4586" s="28">
        <v>31245000</v>
      </c>
      <c r="AG4586" s="11"/>
    </row>
    <row r="4587">
      <c r="A4587" s="7" t="s">
        <v>6224</v>
      </c>
      <c r="B4587" s="5" t="s">
        <v>14181</v>
      </c>
      <c r="C4587" s="5" t="s">
        <v>21929</v>
      </c>
      <c r="D4587" s="5" t="str">
        <v>631904498210</v>
      </c>
      <c r="E4587" s="0" t="e">
        <f>+7 (846) 9777735
+7 (846) 9777736
+7 (846) 9777737
+7 (84622) 62063
+7 (927) 6001038
+7 (927) 6082234
+7 (927) 7222985
+7 (927) 7599365</f>
        <v>#NAME?</v>
      </c>
      <c r="F4587" s="5"/>
      <c r="G4587" s="5"/>
      <c r="H4587" s="26">
        <v>12.5</v>
      </c>
      <c r="I4587" s="5" t="s">
        <v>39008</v>
      </c>
      <c r="J4587" s="5" t="s">
        <v>30520</v>
      </c>
      <c r="K4587" s="5" t="s">
        <v>344</v>
      </c>
      <c r="L4587" s="5" t="s">
        <v>39009</v>
      </c>
      <c r="M4587" s="27"/>
      <c r="N4587" s="5" t="s">
        <v>56425</v>
      </c>
      <c r="O4587" s="5" t="str">
        <v>6330041285</v>
      </c>
      <c r="P4587" s="27">
        <v>10000</v>
      </c>
      <c r="Q4587" s="5" t="s">
        <v>56426</v>
      </c>
      <c r="R4587" s="5"/>
      <c r="S4587" s="5" t="s">
        <v>50347</v>
      </c>
      <c r="T4587" s="28">
        <v>2488354000</v>
      </c>
      <c r="U4587" s="28">
        <v>1570687000</v>
      </c>
      <c r="V4587" s="28">
        <v>2157906000</v>
      </c>
      <c r="W4587" s="28">
        <v>250000000</v>
      </c>
      <c r="X4587" s="28">
        <v>2827993000</v>
      </c>
      <c r="Y4587" s="28">
        <v>12890782000</v>
      </c>
      <c r="Z4587" s="28">
        <v>10399220000</v>
      </c>
      <c r="AA4587" s="28"/>
      <c r="AB4587" s="28"/>
      <c r="AC4587" s="28">
        <v>1633776000</v>
      </c>
      <c r="AD4587" s="28">
        <v>10473084000</v>
      </c>
      <c r="AE4587" s="28">
        <v>9177079000</v>
      </c>
      <c r="AF4587" s="28">
        <v>4139165000</v>
      </c>
      <c r="AG4587" s="11"/>
    </row>
    <row r="4588">
      <c r="A4588" s="7" t="s">
        <v>6225</v>
      </c>
      <c r="B4588" s="5" t="s">
        <v>14182</v>
      </c>
      <c r="C4588" s="5" t="s">
        <v>21930</v>
      </c>
      <c r="D4588" s="5" t="str">
        <v>501304364492</v>
      </c>
      <c r="E4588" s="0" t="e">
        <f>+7 (495) 9374230
+7 (800) 1001150
+7 (495) 9811410
+7 (495) 9811411
+7 (495) 9811413
+7 (800) 5555335</f>
        <v>#NAME?</v>
      </c>
      <c r="F4588" s="5" t="s">
        <v>39010</v>
      </c>
      <c r="G4588" s="5" t="s">
        <v>39011</v>
      </c>
      <c r="H4588" s="26">
        <v>19</v>
      </c>
      <c r="I4588" s="5" t="s">
        <v>39012</v>
      </c>
      <c r="J4588" s="5" t="s">
        <v>397</v>
      </c>
      <c r="K4588" s="5" t="s">
        <v>344</v>
      </c>
      <c r="L4588" s="5" t="s">
        <v>39013</v>
      </c>
      <c r="M4588" s="27"/>
      <c r="N4588" s="5"/>
      <c r="O4588" s="5" t="str">
        <v>7701534807</v>
      </c>
      <c r="P4588" s="27">
        <v>2074850500</v>
      </c>
      <c r="Q4588" s="5" t="s">
        <v>49535</v>
      </c>
      <c r="R4588" s="5"/>
      <c r="S4588" s="5" t="s">
        <v>52176</v>
      </c>
      <c r="T4588" s="28">
        <v>622477000</v>
      </c>
      <c r="U4588" s="28">
        <v>6550000000</v>
      </c>
      <c r="V4588" s="28">
        <v>1570269000</v>
      </c>
      <c r="W4588" s="28">
        <v>8000000</v>
      </c>
      <c r="X4588" s="28">
        <v>1792512000</v>
      </c>
      <c r="Y4588" s="28">
        <v>11553581000</v>
      </c>
      <c r="Z4588" s="28">
        <v>7999490000</v>
      </c>
      <c r="AA4588" s="28"/>
      <c r="AB4588" s="28"/>
      <c r="AC4588" s="28">
        <v>945678000</v>
      </c>
      <c r="AD4588" s="28">
        <v>10074700000</v>
      </c>
      <c r="AE4588" s="28">
        <v>13441014000</v>
      </c>
      <c r="AF4588" s="28">
        <v>3563339000</v>
      </c>
      <c r="AG4588" s="11"/>
    </row>
    <row r="4589">
      <c r="A4589" s="7" t="s">
        <v>6226</v>
      </c>
      <c r="B4589" s="5" t="s">
        <v>14183</v>
      </c>
      <c r="C4589" s="5" t="s">
        <v>21931</v>
      </c>
      <c r="D4589" s="5" t="str">
        <v>504302566629</v>
      </c>
      <c r="E4589" s="0" t="e">
        <f>+7 (495) 7471949</f>
        <v>#NAME?</v>
      </c>
      <c r="F4589" s="5"/>
      <c r="G4589" s="5" t="s">
        <v>39014</v>
      </c>
      <c r="H4589" s="26">
        <v>25.5</v>
      </c>
      <c r="I4589" s="5" t="s">
        <v>39015</v>
      </c>
      <c r="J4589" s="5" t="s">
        <v>1081</v>
      </c>
      <c r="K4589" s="5" t="s">
        <v>344</v>
      </c>
      <c r="L4589" s="5" t="s">
        <v>39016</v>
      </c>
      <c r="M4589" s="27">
        <v>102486303</v>
      </c>
      <c r="N4589" s="5" t="s">
        <v>56427</v>
      </c>
      <c r="O4589" s="5" t="str">
        <v>7716137136</v>
      </c>
      <c r="P4589" s="27">
        <v>10000</v>
      </c>
      <c r="Q4589" s="5" t="s">
        <v>56428</v>
      </c>
      <c r="R4589" s="5" t="s">
        <v>56429</v>
      </c>
      <c r="S4589" s="5" t="s">
        <v>56430</v>
      </c>
      <c r="T4589" s="28">
        <v>410959000</v>
      </c>
      <c r="U4589" s="28">
        <v>31622000</v>
      </c>
      <c r="V4589" s="28">
        <v>393880000</v>
      </c>
      <c r="W4589" s="28">
        <v>10132000</v>
      </c>
      <c r="X4589" s="28">
        <v>1024206000</v>
      </c>
      <c r="Y4589" s="28">
        <v>2679658000</v>
      </c>
      <c r="Z4589" s="28">
        <v>288137000</v>
      </c>
      <c r="AA4589" s="28"/>
      <c r="AB4589" s="28">
        <v>73947000</v>
      </c>
      <c r="AC4589" s="28">
        <v>2126888000</v>
      </c>
      <c r="AD4589" s="28">
        <v>385990000</v>
      </c>
      <c r="AE4589" s="28">
        <v>3563281000</v>
      </c>
      <c r="AF4589" s="28">
        <v>40406000</v>
      </c>
      <c r="AG4589" s="11"/>
    </row>
    <row r="4590">
      <c r="A4590" s="7" t="s">
        <v>6227</v>
      </c>
      <c r="B4590" s="5" t="s">
        <v>14184</v>
      </c>
      <c r="C4590" s="5" t="s">
        <v>21932</v>
      </c>
      <c r="D4590" s="5" t="str">
        <v>121503446670</v>
      </c>
      <c r="E4590" s="0" t="e">
        <f>+7 (8412) 205211
+7 (8412) 210400
+7 (8412) 210404
+7 (8412) 210408
+7 (8412) 210610
+7 (84146) 22320
+7 (84154) 46988</f>
        <v>#NAME?</v>
      </c>
      <c r="F4590" s="5" t="s">
        <v>39017</v>
      </c>
      <c r="G4590" s="5"/>
      <c r="H4590" s="26">
        <v>15.5</v>
      </c>
      <c r="I4590" s="5" t="s">
        <v>39018</v>
      </c>
      <c r="J4590" s="5" t="s">
        <v>39019</v>
      </c>
      <c r="K4590" s="5" t="s">
        <v>380</v>
      </c>
      <c r="L4590" s="5"/>
      <c r="M4590" s="27">
        <v>254596</v>
      </c>
      <c r="N4590" s="5"/>
      <c r="O4590" s="5" t="str">
        <v>5828003909</v>
      </c>
      <c r="P4590" s="27">
        <v>524143000</v>
      </c>
      <c r="Q4590" s="5"/>
      <c r="R4590" s="5" t="s">
        <v>56432</v>
      </c>
      <c r="S4590" s="5" t="s">
        <v>52199</v>
      </c>
      <c r="T4590" s="28">
        <v>50187883000</v>
      </c>
      <c r="U4590" s="28">
        <v>971364000</v>
      </c>
      <c r="V4590" s="28">
        <v>9015642000</v>
      </c>
      <c r="W4590" s="28">
        <v>52266000</v>
      </c>
      <c r="X4590" s="28">
        <v>391280000</v>
      </c>
      <c r="Y4590" s="28">
        <v>69055131000</v>
      </c>
      <c r="Z4590" s="28">
        <v>772989000</v>
      </c>
      <c r="AA4590" s="28">
        <v>39494972000</v>
      </c>
      <c r="AB4590" s="28">
        <v>18882330000</v>
      </c>
      <c r="AC4590" s="28">
        <v>24717738000</v>
      </c>
      <c r="AD4590" s="28">
        <v>4026808000</v>
      </c>
      <c r="AE4590" s="28">
        <v>30891761000</v>
      </c>
      <c r="AF4590" s="28">
        <v>-833319000</v>
      </c>
      <c r="AG4590" s="11"/>
    </row>
    <row r="4591">
      <c r="A4591" s="7" t="s">
        <v>6228</v>
      </c>
      <c r="B4591" s="5" t="s">
        <v>14185</v>
      </c>
      <c r="C4591" s="5" t="s">
        <v>18842</v>
      </c>
      <c r="D4591" s="5"/>
      <c r="E4591" s="0" t="e">
        <f>+7 (903) 2206203
+7 (841) 2335525
+7 (8412) 322500
+7 (8412) 324586
+7 (8412) 325525
+7 (8412) 350300
+7 (8412) 350447
+7 (8412) 351981</f>
        <v>#NAME?</v>
      </c>
      <c r="F4591" s="5" t="s">
        <v>39020</v>
      </c>
      <c r="G4591" s="5" t="s">
        <v>39021</v>
      </c>
      <c r="H4591" s="26">
        <v>24.5</v>
      </c>
      <c r="I4591" s="5"/>
      <c r="J4591" s="5" t="s">
        <v>25287</v>
      </c>
      <c r="K4591" s="5" t="s">
        <v>344</v>
      </c>
      <c r="L4591" s="5" t="s">
        <v>39022</v>
      </c>
      <c r="M4591" s="27">
        <v>691769</v>
      </c>
      <c r="N4591" s="5" t="s">
        <v>56433</v>
      </c>
      <c r="O4591" s="5" t="str">
        <v>5837003461</v>
      </c>
      <c r="P4591" s="27">
        <v>925400</v>
      </c>
      <c r="Q4591" s="5" t="s">
        <v>49009</v>
      </c>
      <c r="R4591" s="5"/>
      <c r="S4591" s="5" t="s">
        <v>49200</v>
      </c>
      <c r="T4591" s="28">
        <v>319664000</v>
      </c>
      <c r="U4591" s="28">
        <v>995154000</v>
      </c>
      <c r="V4591" s="28">
        <v>1659591000</v>
      </c>
      <c r="W4591" s="28">
        <v>45150000</v>
      </c>
      <c r="X4591" s="28">
        <v>9990000</v>
      </c>
      <c r="Y4591" s="28">
        <v>3395916000</v>
      </c>
      <c r="Z4591" s="28">
        <v>1733623000</v>
      </c>
      <c r="AA4591" s="28">
        <v>213191000</v>
      </c>
      <c r="AB4591" s="28"/>
      <c r="AC4591" s="28">
        <v>1396704000</v>
      </c>
      <c r="AD4591" s="28">
        <v>1757975000</v>
      </c>
      <c r="AE4591" s="28">
        <v>3864766000</v>
      </c>
      <c r="AF4591" s="28">
        <v>296725000</v>
      </c>
      <c r="AG4591" s="11"/>
    </row>
    <row r="4592">
      <c r="A4592" s="7" t="s">
        <v>6229</v>
      </c>
      <c r="B4592" s="5" t="s">
        <v>14186</v>
      </c>
      <c r="C4592" s="5" t="s">
        <v>21933</v>
      </c>
      <c r="D4592" s="5" t="str">
        <v>582902257228</v>
      </c>
      <c r="E4592" s="0" t="e">
        <f>+7 (8412) 573600
+7 (8412) 573639
+7 (8412) 210071
+7 (8412) 573608
+7 (8412) 573674
+7 (8412) 573683
+7 (963) 1080234</f>
        <v>#NAME?</v>
      </c>
      <c r="F4592" s="5" t="s">
        <v>39023</v>
      </c>
      <c r="G4592" s="5"/>
      <c r="H4592" s="26">
        <v>30</v>
      </c>
      <c r="I4592" s="5"/>
      <c r="J4592" s="5" t="s">
        <v>27266</v>
      </c>
      <c r="K4592" s="5" t="s">
        <v>344</v>
      </c>
      <c r="L4592" s="5" t="s">
        <v>32729</v>
      </c>
      <c r="M4592" s="27"/>
      <c r="N4592" s="5"/>
      <c r="O4592" s="5" t="str">
        <v>5834002580</v>
      </c>
      <c r="P4592" s="27">
        <v>93400</v>
      </c>
      <c r="Q4592" s="5" t="s">
        <v>49009</v>
      </c>
      <c r="R4592" s="5"/>
      <c r="S4592" s="5" t="s">
        <v>49066</v>
      </c>
      <c r="T4592" s="28">
        <v>269694000</v>
      </c>
      <c r="U4592" s="28"/>
      <c r="V4592" s="28">
        <v>1162745000</v>
      </c>
      <c r="W4592" s="28"/>
      <c r="X4592" s="28">
        <v>454000</v>
      </c>
      <c r="Y4592" s="28">
        <v>2308257000</v>
      </c>
      <c r="Z4592" s="28">
        <v>10526000</v>
      </c>
      <c r="AA4592" s="28"/>
      <c r="AB4592" s="28"/>
      <c r="AC4592" s="28">
        <v>2072318000</v>
      </c>
      <c r="AD4592" s="28">
        <v>233154000</v>
      </c>
      <c r="AE4592" s="28">
        <v>8500883000</v>
      </c>
      <c r="AF4592" s="28">
        <v>149802000</v>
      </c>
      <c r="AG4592" s="11"/>
    </row>
    <row r="4593">
      <c r="A4593" s="7" t="s">
        <v>6230</v>
      </c>
      <c r="B4593" s="5" t="s">
        <v>14187</v>
      </c>
      <c r="C4593" s="5" t="s">
        <v>21934</v>
      </c>
      <c r="D4593" s="5" t="str">
        <v>392101806766</v>
      </c>
      <c r="E4593" s="0" t="e">
        <f>+7 (4712) 557068
+7 (4712) 557186
+7 (4712) 557202
+7 (4712) 557350
+7 (4712) 557359
+7 (4712) 557367
+7 (4712) 587272
+7 (47140) 24117
+7 (472) 2283046
+7 (472) 2283047
+7 (472) 2283049
+7 (472) 2304144
+7 (472) 2304149
+7 (472) 2304153
+7 (472) 2304242</f>
        <v>#NAME?</v>
      </c>
      <c r="F4593" s="5" t="s">
        <v>39024</v>
      </c>
      <c r="G4593" s="5"/>
      <c r="H4593" s="26">
        <v>18</v>
      </c>
      <c r="I4593" s="5" t="s">
        <v>39025</v>
      </c>
      <c r="J4593" s="5" t="s">
        <v>27802</v>
      </c>
      <c r="K4593" s="5" t="s">
        <v>380</v>
      </c>
      <c r="L4593" s="5"/>
      <c r="M4593" s="27">
        <v>3908955622</v>
      </c>
      <c r="N4593" s="5" t="s">
        <v>56434</v>
      </c>
      <c r="O4593" s="5" t="str">
        <v>6901067107</v>
      </c>
      <c r="P4593" s="27">
        <v>4221794147</v>
      </c>
      <c r="Q4593" s="5" t="s">
        <v>56435</v>
      </c>
      <c r="R4593" s="5" t="s">
        <v>56436</v>
      </c>
      <c r="S4593" s="5" t="s">
        <v>56437</v>
      </c>
      <c r="T4593" s="28">
        <v>103556071000</v>
      </c>
      <c r="U4593" s="28">
        <v>1427290000</v>
      </c>
      <c r="V4593" s="28">
        <v>16565530000</v>
      </c>
      <c r="W4593" s="28">
        <v>748789000</v>
      </c>
      <c r="X4593" s="28">
        <v>6174793000</v>
      </c>
      <c r="Y4593" s="28">
        <v>140848047000</v>
      </c>
      <c r="Z4593" s="28">
        <v>50752324000</v>
      </c>
      <c r="AA4593" s="28">
        <v>21467242000</v>
      </c>
      <c r="AB4593" s="28">
        <v>17776587000</v>
      </c>
      <c r="AC4593" s="28">
        <v>47265383000</v>
      </c>
      <c r="AD4593" s="28">
        <v>55254957000</v>
      </c>
      <c r="AE4593" s="28">
        <v>109702035000</v>
      </c>
      <c r="AF4593" s="28">
        <v>4537756000</v>
      </c>
      <c r="AG4593" s="11"/>
    </row>
    <row r="4594">
      <c r="A4594" s="7" t="s">
        <v>6231</v>
      </c>
      <c r="B4594" s="5" t="s">
        <v>14188</v>
      </c>
      <c r="C4594" s="5" t="s">
        <v>18658</v>
      </c>
      <c r="D4594" s="5" t="str">
        <v>773301679508</v>
      </c>
      <c r="E4594" s="0" t="e">
        <f>+7 (343) 3659060
+7 (35324) 40972
+7 (495) 7976100
+7 (495) 7976101
+7 (495) 9370550
+7 (495) 9370555
+7 (800) 5007737
+7 (84627) 39413
+7 (8622) 625158</f>
        <v>#NAME?</v>
      </c>
      <c r="F4594" s="5" t="s">
        <v>39026</v>
      </c>
      <c r="G4594" s="5" t="s">
        <v>39027</v>
      </c>
      <c r="H4594" s="26">
        <v>21</v>
      </c>
      <c r="I4594" s="5" t="s">
        <v>39028</v>
      </c>
      <c r="J4594" s="5" t="s">
        <v>36807</v>
      </c>
      <c r="K4594" s="5" t="s">
        <v>344</v>
      </c>
      <c r="L4594" s="5" t="s">
        <v>39029</v>
      </c>
      <c r="M4594" s="27">
        <v>1324890</v>
      </c>
      <c r="N4594" s="5" t="s">
        <v>56438</v>
      </c>
      <c r="O4594" s="5" t="str">
        <v>7705034202</v>
      </c>
      <c r="P4594" s="27">
        <v>12488419823</v>
      </c>
      <c r="Q4594" s="5" t="s">
        <v>56439</v>
      </c>
      <c r="R4594" s="5"/>
      <c r="S4594" s="5" t="s">
        <v>56440</v>
      </c>
      <c r="T4594" s="28">
        <v>23719687000</v>
      </c>
      <c r="U4594" s="28">
        <v>18663894000</v>
      </c>
      <c r="V4594" s="28">
        <v>20680332000</v>
      </c>
      <c r="W4594" s="28"/>
      <c r="X4594" s="28">
        <v>25457708000</v>
      </c>
      <c r="Y4594" s="28">
        <v>110785327000</v>
      </c>
      <c r="Z4594" s="28">
        <v>35922625000</v>
      </c>
      <c r="AA4594" s="28">
        <v>6919000000</v>
      </c>
      <c r="AB4594" s="28">
        <v>73111000</v>
      </c>
      <c r="AC4594" s="28">
        <v>32668984000</v>
      </c>
      <c r="AD4594" s="28">
        <v>69445682000</v>
      </c>
      <c r="AE4594" s="28">
        <v>186556834000</v>
      </c>
      <c r="AF4594" s="28">
        <v>37758142000</v>
      </c>
      <c r="AG4594" s="11"/>
    </row>
    <row r="4595">
      <c r="A4595" s="7" t="s">
        <v>6232</v>
      </c>
      <c r="B4595" s="5" t="s">
        <v>14189</v>
      </c>
      <c r="C4595" s="5" t="s">
        <v>21935</v>
      </c>
      <c r="D4595" s="5" t="str">
        <v>666301271320</v>
      </c>
      <c r="E4595" s="0" t="e">
        <f>+7 (912) 6034083
+7 (343) 3110000
+7 (343) 3110001
+7 (343) 3110006</f>
        <v>#NAME?</v>
      </c>
      <c r="F4595" s="5" t="s">
        <v>39030</v>
      </c>
      <c r="G4595" s="5"/>
      <c r="H4595" s="26">
        <v>12</v>
      </c>
      <c r="I4595" s="5" t="s">
        <v>38556</v>
      </c>
      <c r="J4595" s="5" t="s">
        <v>25231</v>
      </c>
      <c r="K4595" s="5" t="s">
        <v>344</v>
      </c>
      <c r="L4595" s="5" t="s">
        <v>39031</v>
      </c>
      <c r="M4595" s="27"/>
      <c r="N4595" s="5" t="s">
        <v>56441</v>
      </c>
      <c r="O4595" s="5" t="str">
        <v>6672327720</v>
      </c>
      <c r="P4595" s="27">
        <v>10000</v>
      </c>
      <c r="Q4595" s="5"/>
      <c r="R4595" s="5"/>
      <c r="S4595" s="5" t="s">
        <v>49499</v>
      </c>
      <c r="T4595" s="28">
        <v>436808000</v>
      </c>
      <c r="U4595" s="28">
        <v>20000000</v>
      </c>
      <c r="V4595" s="28">
        <v>1376142000</v>
      </c>
      <c r="W4595" s="28"/>
      <c r="X4595" s="28"/>
      <c r="Y4595" s="28">
        <v>2297377000</v>
      </c>
      <c r="Z4595" s="28">
        <v>742056000</v>
      </c>
      <c r="AA4595" s="28">
        <v>107402000</v>
      </c>
      <c r="AB4595" s="28"/>
      <c r="AC4595" s="28">
        <v>1447791000</v>
      </c>
      <c r="AD4595" s="28">
        <v>742066000</v>
      </c>
      <c r="AE4595" s="28">
        <v>6672554000</v>
      </c>
      <c r="AF4595" s="28">
        <v>131083000</v>
      </c>
      <c r="AG4595" s="11"/>
    </row>
    <row r="4596">
      <c r="A4596" s="7" t="s">
        <v>6233</v>
      </c>
      <c r="B4596" s="5" t="s">
        <v>14190</v>
      </c>
      <c r="C4596" s="5" t="s">
        <v>21936</v>
      </c>
      <c r="D4596" s="5" t="str">
        <v>771206759333</v>
      </c>
      <c r="E4596" s="0" t="e">
        <f>+7 (495) 9561719
+7 (926) 2742355
+7 (495) 5025223
+7 (495) 7270100
+7 (495) 9849749
+7 (495) 9886341
+7 (495) 9886376
+7 (499) 2308805
+7 (499) 2308820
+7 (499) 2373612
+7 (499) 2374151
+7 (8332) 510138
+7 (8332) 523668
+7 (8422) 411132
+7 (8422) 417226</f>
        <v>#NAME?</v>
      </c>
      <c r="F4596" s="5" t="s">
        <v>39032</v>
      </c>
      <c r="G4596" s="5"/>
      <c r="H4596" s="26">
        <v>17</v>
      </c>
      <c r="I4596" s="5"/>
      <c r="J4596" s="5" t="s">
        <v>30108</v>
      </c>
      <c r="K4596" s="5" t="s">
        <v>344</v>
      </c>
      <c r="L4596" s="5"/>
      <c r="M4596" s="27">
        <v>119140</v>
      </c>
      <c r="N4596" s="5" t="s">
        <v>56442</v>
      </c>
      <c r="O4596" s="5" t="str">
        <v>7705709543</v>
      </c>
      <c r="P4596" s="27">
        <v>1565775600</v>
      </c>
      <c r="Q4596" s="5" t="s">
        <v>56443</v>
      </c>
      <c r="R4596" s="5"/>
      <c r="S4596" s="5" t="s">
        <v>56444</v>
      </c>
      <c r="T4596" s="28">
        <v>2722174000</v>
      </c>
      <c r="U4596" s="28">
        <v>1298940000</v>
      </c>
      <c r="V4596" s="28">
        <v>366282000</v>
      </c>
      <c r="W4596" s="28">
        <v>51910000</v>
      </c>
      <c r="X4596" s="28">
        <v>655839000</v>
      </c>
      <c r="Y4596" s="28">
        <v>5996391000</v>
      </c>
      <c r="Z4596" s="28">
        <v>1127895000</v>
      </c>
      <c r="AA4596" s="28">
        <v>325568000</v>
      </c>
      <c r="AB4596" s="28">
        <v>16000000</v>
      </c>
      <c r="AC4596" s="28">
        <v>1512352000</v>
      </c>
      <c r="AD4596" s="28">
        <v>4005074000</v>
      </c>
      <c r="AE4596" s="28">
        <v>5467975000</v>
      </c>
      <c r="AF4596" s="28">
        <v>148391000</v>
      </c>
      <c r="AG4596" s="11"/>
    </row>
    <row r="4597">
      <c r="A4597" s="7" t="s">
        <v>6234</v>
      </c>
      <c r="B4597" s="5" t="s">
        <v>14191</v>
      </c>
      <c r="C4597" s="5" t="s">
        <v>21342</v>
      </c>
      <c r="D4597" s="5" t="str">
        <v>772014189988</v>
      </c>
      <c r="E4597" s="0" t="e">
        <f>+7 (3422) 62996
+7 (3433) 122799
+7 (3472) 163468
+7 (3519) 396243
+7 (35325) 41740
+7 (383) 2093320
+7 (384) 2900939
+7 (391) 2768688
+7 (3952) 488907
+7 (4712) 733318
+7 (473) 2615851
+7 (483) 2367425
+7 (485) 2674346
+7 (493) 2933122
+7 (495) 2296143</f>
        <v>#NAME?</v>
      </c>
      <c r="F4597" s="5"/>
      <c r="G4597" s="5" t="s">
        <v>39033</v>
      </c>
      <c r="H4597" s="26">
        <v>21</v>
      </c>
      <c r="I4597" s="5" t="s">
        <v>37188</v>
      </c>
      <c r="J4597" s="5" t="s">
        <v>27147</v>
      </c>
      <c r="K4597" s="5" t="s">
        <v>380</v>
      </c>
      <c r="L4597" s="5"/>
      <c r="M4597" s="27">
        <v>4578398495</v>
      </c>
      <c r="N4597" s="5"/>
      <c r="O4597" s="5" t="str">
        <v>7701298966</v>
      </c>
      <c r="P4597" s="27">
        <v>10000</v>
      </c>
      <c r="Q4597" s="5" t="s">
        <v>49021</v>
      </c>
      <c r="R4597" s="5"/>
      <c r="S4597" s="5" t="s">
        <v>56445</v>
      </c>
      <c r="T4597" s="28">
        <v>274790000</v>
      </c>
      <c r="U4597" s="28">
        <v>2000</v>
      </c>
      <c r="V4597" s="28">
        <v>3859516000</v>
      </c>
      <c r="W4597" s="28"/>
      <c r="X4597" s="28">
        <v>14253000</v>
      </c>
      <c r="Y4597" s="28">
        <v>6394651000</v>
      </c>
      <c r="Z4597" s="28">
        <v>-134264000</v>
      </c>
      <c r="AA4597" s="28">
        <v>764119000</v>
      </c>
      <c r="AB4597" s="28">
        <v>1184023000</v>
      </c>
      <c r="AC4597" s="28">
        <v>5375542000</v>
      </c>
      <c r="AD4597" s="28">
        <v>-134254000</v>
      </c>
      <c r="AE4597" s="28">
        <v>5216474000</v>
      </c>
      <c r="AF4597" s="28">
        <v>238563000</v>
      </c>
      <c r="AG4597" s="11"/>
    </row>
    <row r="4598">
      <c r="A4598" s="7" t="s">
        <v>6235</v>
      </c>
      <c r="B4598" s="5" t="s">
        <v>14192</v>
      </c>
      <c r="C4598" s="5" t="s">
        <v>21937</v>
      </c>
      <c r="D4598" s="5" t="str">
        <v>253801884210</v>
      </c>
      <c r="E4598" s="0" t="e">
        <f>+7 (423) 2972213
+7 (4232) 270244
+7 (4232) 270514
+7 (4232) 270684
+7 (4232) 271024
+7 (4232) 271360</f>
        <v>#NAME?</v>
      </c>
      <c r="F4598" s="5" t="s">
        <v>39034</v>
      </c>
      <c r="G4598" s="5" t="s">
        <v>39035</v>
      </c>
      <c r="H4598" s="26">
        <v>17.5</v>
      </c>
      <c r="I4598" s="5" t="s">
        <v>39036</v>
      </c>
      <c r="J4598" s="5" t="s">
        <v>28577</v>
      </c>
      <c r="K4598" s="5" t="s">
        <v>344</v>
      </c>
      <c r="L4598" s="5" t="s">
        <v>39037</v>
      </c>
      <c r="M4598" s="27">
        <v>746471</v>
      </c>
      <c r="N4598" s="5" t="s">
        <v>56446</v>
      </c>
      <c r="O4598" s="5" t="str">
        <v>2537074836</v>
      </c>
      <c r="P4598" s="27">
        <v>10000000</v>
      </c>
      <c r="Q4598" s="5"/>
      <c r="R4598" s="5" t="s">
        <v>56447</v>
      </c>
      <c r="S4598" s="5" t="s">
        <v>49110</v>
      </c>
      <c r="T4598" s="28">
        <v>775918000</v>
      </c>
      <c r="U4598" s="28"/>
      <c r="V4598" s="28">
        <v>921882000</v>
      </c>
      <c r="W4598" s="28">
        <v>2440000</v>
      </c>
      <c r="X4598" s="28">
        <v>723258000</v>
      </c>
      <c r="Y4598" s="28">
        <v>2441763000</v>
      </c>
      <c r="Z4598" s="28">
        <v>2013671000</v>
      </c>
      <c r="AA4598" s="28"/>
      <c r="AB4598" s="28"/>
      <c r="AC4598" s="28">
        <v>387962000</v>
      </c>
      <c r="AD4598" s="28">
        <v>2024396000</v>
      </c>
      <c r="AE4598" s="28">
        <v>4846558000</v>
      </c>
      <c r="AF4598" s="28">
        <v>1758404000</v>
      </c>
      <c r="AG4598" s="11"/>
    </row>
    <row r="4599">
      <c r="A4599" s="7" t="s">
        <v>6236</v>
      </c>
      <c r="B4599" s="5" t="s">
        <v>14193</v>
      </c>
      <c r="C4599" s="5" t="s">
        <v>21938</v>
      </c>
      <c r="D4599" s="5" t="str">
        <v>666001151865</v>
      </c>
      <c r="E4599" s="0" t="e">
        <f>+7 (343) 2870112
+7 (912) 2300883
+7 (343) 3420291
+7 (343) 3726083
+7 (343) 3728240
+7 (343) 3728280
+7 (343) 3728491</f>
        <v>#NAME?</v>
      </c>
      <c r="F4599" s="5" t="s">
        <v>39038</v>
      </c>
      <c r="G4599" s="5" t="s">
        <v>39039</v>
      </c>
      <c r="H4599" s="26">
        <v>17.5</v>
      </c>
      <c r="I4599" s="5"/>
      <c r="J4599" s="5" t="s">
        <v>693</v>
      </c>
      <c r="K4599" s="5" t="s">
        <v>344</v>
      </c>
      <c r="L4599" s="5" t="s">
        <v>39040</v>
      </c>
      <c r="M4599" s="27">
        <v>16936400</v>
      </c>
      <c r="N4599" s="5" t="s">
        <v>56448</v>
      </c>
      <c r="O4599" s="5" t="str">
        <v>6658214997</v>
      </c>
      <c r="P4599" s="27">
        <v>200000</v>
      </c>
      <c r="Q4599" s="5" t="s">
        <v>56449</v>
      </c>
      <c r="R4599" s="5"/>
      <c r="S4599" s="5" t="s">
        <v>51738</v>
      </c>
      <c r="T4599" s="28">
        <v>170724000</v>
      </c>
      <c r="U4599" s="28">
        <v>12000</v>
      </c>
      <c r="V4599" s="28">
        <v>1560231000</v>
      </c>
      <c r="W4599" s="28"/>
      <c r="X4599" s="28">
        <v>338836000</v>
      </c>
      <c r="Y4599" s="28">
        <v>2225453000</v>
      </c>
      <c r="Z4599" s="28">
        <v>951318000</v>
      </c>
      <c r="AA4599" s="28"/>
      <c r="AB4599" s="28">
        <v>134192000</v>
      </c>
      <c r="AC4599" s="28">
        <v>1144408000</v>
      </c>
      <c r="AD4599" s="28">
        <v>951611000</v>
      </c>
      <c r="AE4599" s="28">
        <v>7306086000</v>
      </c>
      <c r="AF4599" s="28">
        <v>296199000</v>
      </c>
      <c r="AG4599" s="11"/>
    </row>
    <row r="4600">
      <c r="A4600" s="7" t="s">
        <v>6237</v>
      </c>
      <c r="B4600" s="5" t="s">
        <v>14194</v>
      </c>
      <c r="C4600" s="5" t="s">
        <v>21939</v>
      </c>
      <c r="D4600" s="5" t="str">
        <v>780417116907</v>
      </c>
      <c r="E4600" s="0" t="e">
        <f>+7 (495) 2762667
+7 (495) 2862667
+7 (985) 1646164
+7 (495) 6648805
+7 (495) 6648823</f>
        <v>#NAME?</v>
      </c>
      <c r="F4600" s="5" t="s">
        <v>39041</v>
      </c>
      <c r="G4600" s="5" t="s">
        <v>39042</v>
      </c>
      <c r="H4600" s="26">
        <v>16.5</v>
      </c>
      <c r="I4600" s="5" t="s">
        <v>39043</v>
      </c>
      <c r="J4600" s="5" t="s">
        <v>364</v>
      </c>
      <c r="K4600" s="5" t="s">
        <v>344</v>
      </c>
      <c r="L4600" s="5"/>
      <c r="M4600" s="27">
        <v>17125103</v>
      </c>
      <c r="N4600" s="5" t="s">
        <v>56450</v>
      </c>
      <c r="O4600" s="5" t="str">
        <v>7726551032</v>
      </c>
      <c r="P4600" s="27">
        <v>2083560000</v>
      </c>
      <c r="Q4600" s="5" t="s">
        <v>56451</v>
      </c>
      <c r="R4600" s="5" t="s">
        <v>56452</v>
      </c>
      <c r="S4600" s="5" t="s">
        <v>56453</v>
      </c>
      <c r="T4600" s="28">
        <v>122153000</v>
      </c>
      <c r="U4600" s="28">
        <v>1350700000</v>
      </c>
      <c r="V4600" s="28">
        <v>16750630000</v>
      </c>
      <c r="W4600" s="28">
        <v>4403610000</v>
      </c>
      <c r="X4600" s="28">
        <v>402498000</v>
      </c>
      <c r="Y4600" s="28">
        <v>25540368000</v>
      </c>
      <c r="Z4600" s="28">
        <v>-1416636000</v>
      </c>
      <c r="AA4600" s="28">
        <v>8559324000</v>
      </c>
      <c r="AB4600" s="28">
        <v>1073067000</v>
      </c>
      <c r="AC4600" s="28">
        <v>15246972000</v>
      </c>
      <c r="AD4600" s="28">
        <v>1269779000</v>
      </c>
      <c r="AE4600" s="28">
        <v>30403964000</v>
      </c>
      <c r="AF4600" s="28">
        <v>1012000</v>
      </c>
      <c r="AG4600" s="11"/>
    </row>
    <row r="4601">
      <c r="A4601" s="7" t="s">
        <v>6238</v>
      </c>
      <c r="B4601" s="5" t="s">
        <v>14195</v>
      </c>
      <c r="C4601" s="5" t="s">
        <v>21940</v>
      </c>
      <c r="D4601" s="5" t="str">
        <v>402710243605</v>
      </c>
      <c r="E4601" s="0" t="e">
        <f>+7 (48434) 74340
+7 (48434) 74475
+7 (903) 7433994
+7 (910) 8635496
+7 (926) 7362888
+7 (985) 7397396</f>
        <v>#NAME?</v>
      </c>
      <c r="F4601" s="5" t="s">
        <v>39044</v>
      </c>
      <c r="G4601" s="5" t="s">
        <v>39045</v>
      </c>
      <c r="H4601" s="26">
        <v>12.5</v>
      </c>
      <c r="I4601" s="5" t="s">
        <v>39046</v>
      </c>
      <c r="J4601" s="5" t="s">
        <v>555</v>
      </c>
      <c r="K4601" s="5" t="s">
        <v>380</v>
      </c>
      <c r="L4601" s="5" t="s">
        <v>39047</v>
      </c>
      <c r="M4601" s="27">
        <v>441033494</v>
      </c>
      <c r="N4601" s="5"/>
      <c r="O4601" s="5" t="str">
        <v>7701879760</v>
      </c>
      <c r="P4601" s="27">
        <v>562000000</v>
      </c>
      <c r="Q4601" s="5" t="s">
        <v>49021</v>
      </c>
      <c r="R4601" s="5" t="s">
        <v>56454</v>
      </c>
      <c r="S4601" s="5" t="s">
        <v>56455</v>
      </c>
      <c r="T4601" s="28">
        <v>8485899000</v>
      </c>
      <c r="U4601" s="28">
        <v>2000</v>
      </c>
      <c r="V4601" s="28">
        <v>9010494000</v>
      </c>
      <c r="W4601" s="28"/>
      <c r="X4601" s="28">
        <v>416787000</v>
      </c>
      <c r="Y4601" s="28">
        <v>23276518000</v>
      </c>
      <c r="Z4601" s="28">
        <v>513056000</v>
      </c>
      <c r="AA4601" s="28">
        <v>3382089000</v>
      </c>
      <c r="AB4601" s="28">
        <v>7025813000</v>
      </c>
      <c r="AC4601" s="28">
        <v>15252356000</v>
      </c>
      <c r="AD4601" s="28">
        <v>1075056000</v>
      </c>
      <c r="AE4601" s="28">
        <v>37081174000</v>
      </c>
      <c r="AF4601" s="28">
        <v>512846000</v>
      </c>
      <c r="AG4601" s="11"/>
    </row>
    <row r="4602">
      <c r="A4602" s="7" t="s">
        <v>6239</v>
      </c>
      <c r="B4602" s="5" t="s">
        <v>14196</v>
      </c>
      <c r="C4602" s="5" t="s">
        <v>21941</v>
      </c>
      <c r="D4602" s="5" t="str">
        <v>744702363279</v>
      </c>
      <c r="E4602" s="0" t="e">
        <f>+7 (351) 2390152
+7 (3512) 390102
+7 (3512) 390190
+7 (3512) 666130
+7 (383) 3732543</f>
        <v>#NAME?</v>
      </c>
      <c r="F4602" s="5" t="s">
        <v>39048</v>
      </c>
      <c r="G4602" s="5"/>
      <c r="H4602" s="26">
        <v>29</v>
      </c>
      <c r="I4602" s="5"/>
      <c r="J4602" s="5" t="s">
        <v>27695</v>
      </c>
      <c r="K4602" s="5" t="s">
        <v>344</v>
      </c>
      <c r="L4602" s="5" t="s">
        <v>39049</v>
      </c>
      <c r="M4602" s="27"/>
      <c r="N4602" s="5" t="s">
        <v>56456</v>
      </c>
      <c r="O4602" s="5" t="str">
        <v>7453018129</v>
      </c>
      <c r="P4602" s="27">
        <v>4121810</v>
      </c>
      <c r="Q4602" s="5" t="s">
        <v>49021</v>
      </c>
      <c r="R4602" s="5" t="s">
        <v>56457</v>
      </c>
      <c r="S4602" s="5" t="s">
        <v>56458</v>
      </c>
      <c r="T4602" s="28">
        <v>1444074000</v>
      </c>
      <c r="U4602" s="28"/>
      <c r="V4602" s="28">
        <v>417768000</v>
      </c>
      <c r="W4602" s="28">
        <v>201362000</v>
      </c>
      <c r="X4602" s="28">
        <v>1222564000</v>
      </c>
      <c r="Y4602" s="28">
        <v>3666316000</v>
      </c>
      <c r="Z4602" s="28">
        <v>2758680000</v>
      </c>
      <c r="AA4602" s="28"/>
      <c r="AB4602" s="28">
        <v>398524000</v>
      </c>
      <c r="AC4602" s="28">
        <v>785144000</v>
      </c>
      <c r="AD4602" s="28">
        <v>2759154000</v>
      </c>
      <c r="AE4602" s="28">
        <v>6130190000</v>
      </c>
      <c r="AF4602" s="28">
        <v>461113000</v>
      </c>
      <c r="AG4602" s="11"/>
    </row>
    <row r="4603">
      <c r="A4603" s="7" t="s">
        <v>6240</v>
      </c>
      <c r="B4603" s="5" t="s">
        <v>11959</v>
      </c>
      <c r="C4603" s="5" t="s">
        <v>17814</v>
      </c>
      <c r="D4603" s="5"/>
      <c r="E4603" s="0" t="e">
        <f>+7 (495) 6628888</f>
        <v>#NAME?</v>
      </c>
      <c r="F4603" s="5"/>
      <c r="G4603" s="5"/>
      <c r="H4603" s="26">
        <v>14.5</v>
      </c>
      <c r="I4603" s="5" t="s">
        <v>39050</v>
      </c>
      <c r="J4603" s="5" t="s">
        <v>34070</v>
      </c>
      <c r="K4603" s="5" t="s">
        <v>380</v>
      </c>
      <c r="L4603" s="5"/>
      <c r="M4603" s="27"/>
      <c r="N4603" s="5"/>
      <c r="O4603" s="5" t="str">
        <v>7714744400</v>
      </c>
      <c r="P4603" s="27">
        <v>100000</v>
      </c>
      <c r="Q4603" s="5"/>
      <c r="R4603" s="5"/>
      <c r="S4603" s="5" t="s">
        <v>49029</v>
      </c>
      <c r="T4603" s="28">
        <v>1686377000</v>
      </c>
      <c r="U4603" s="28"/>
      <c r="V4603" s="28">
        <v>1343344000</v>
      </c>
      <c r="W4603" s="28"/>
      <c r="X4603" s="28"/>
      <c r="Y4603" s="28">
        <v>3442165000</v>
      </c>
      <c r="Z4603" s="28">
        <v>-1363328000</v>
      </c>
      <c r="AA4603" s="28"/>
      <c r="AB4603" s="28">
        <v>1194479000</v>
      </c>
      <c r="AC4603" s="28">
        <v>3220702000</v>
      </c>
      <c r="AD4603" s="28">
        <v>-1313228000</v>
      </c>
      <c r="AE4603" s="28">
        <v>4545287000</v>
      </c>
      <c r="AF4603" s="28">
        <v>-1251577000</v>
      </c>
      <c r="AG4603" s="11"/>
    </row>
    <row r="4604">
      <c r="A4604" s="7" t="s">
        <v>6241</v>
      </c>
      <c r="B4604" s="5" t="s">
        <v>11959</v>
      </c>
      <c r="C4604" s="5" t="s">
        <v>17814</v>
      </c>
      <c r="D4604" s="5"/>
      <c r="E4604" s="0" t="e">
        <f>+7 (495) 2325924
+7 (495) 2325936</f>
        <v>#NAME?</v>
      </c>
      <c r="F4604" s="5"/>
      <c r="G4604" s="5"/>
      <c r="H4604" s="26">
        <v>24.5</v>
      </c>
      <c r="I4604" s="5" t="s">
        <v>39051</v>
      </c>
      <c r="J4604" s="5" t="s">
        <v>678</v>
      </c>
      <c r="K4604" s="5" t="s">
        <v>355</v>
      </c>
      <c r="L4604" s="5"/>
      <c r="M4604" s="27">
        <v>6972031</v>
      </c>
      <c r="N4604" s="5"/>
      <c r="O4604" s="5" t="str">
        <v>7707265357</v>
      </c>
      <c r="P4604" s="27">
        <v>10010000</v>
      </c>
      <c r="Q4604" s="5" t="s">
        <v>49009</v>
      </c>
      <c r="R4604" s="5"/>
      <c r="S4604" s="5" t="s">
        <v>49028</v>
      </c>
      <c r="T4604" s="28">
        <v>11232630000</v>
      </c>
      <c r="U4604" s="28">
        <v>4872704000</v>
      </c>
      <c r="V4604" s="28">
        <v>2335584000</v>
      </c>
      <c r="W4604" s="28"/>
      <c r="X4604" s="28"/>
      <c r="Y4604" s="28">
        <v>19575100000</v>
      </c>
      <c r="Z4604" s="28">
        <v>5236418000</v>
      </c>
      <c r="AA4604" s="28"/>
      <c r="AB4604" s="28">
        <v>4195000</v>
      </c>
      <c r="AC4604" s="28">
        <v>5563159000</v>
      </c>
      <c r="AD4604" s="28">
        <v>13082970000</v>
      </c>
      <c r="AE4604" s="28">
        <v>4376007000</v>
      </c>
      <c r="AF4604" s="28">
        <v>1799939000</v>
      </c>
      <c r="AG4604" s="11"/>
    </row>
    <row r="4605">
      <c r="A4605" s="7" t="s">
        <v>6242</v>
      </c>
      <c r="B4605" s="5" t="s">
        <v>14197</v>
      </c>
      <c r="C4605" s="5" t="s">
        <v>19628</v>
      </c>
      <c r="D4605" s="5"/>
      <c r="E4605" s="0" t="e">
        <f>+7 (473) 4452688
+7 (47344) 46400
+7 (47344) 46404
+7 (47344) 46409
+7 (47344) 46413
+7 (47344) 51086
+7 (495) 9334400</f>
        <v>#NAME?</v>
      </c>
      <c r="F4605" s="5" t="s">
        <v>39052</v>
      </c>
      <c r="G4605" s="5"/>
      <c r="H4605" s="26">
        <v>21</v>
      </c>
      <c r="I4605" s="5" t="s">
        <v>39053</v>
      </c>
      <c r="J4605" s="5" t="s">
        <v>25994</v>
      </c>
      <c r="K4605" s="5" t="s">
        <v>344</v>
      </c>
      <c r="L4605" s="5" t="s">
        <v>39054</v>
      </c>
      <c r="M4605" s="27"/>
      <c r="N4605" s="5"/>
      <c r="O4605" s="5" t="str">
        <v>3621005470</v>
      </c>
      <c r="P4605" s="27">
        <v>95000000</v>
      </c>
      <c r="Q4605" s="5" t="s">
        <v>49009</v>
      </c>
      <c r="R4605" s="5"/>
      <c r="S4605" s="5" t="s">
        <v>49010</v>
      </c>
      <c r="T4605" s="28">
        <v>1384409000</v>
      </c>
      <c r="U4605" s="28"/>
      <c r="V4605" s="28">
        <v>284387000</v>
      </c>
      <c r="W4605" s="28">
        <v>62000</v>
      </c>
      <c r="X4605" s="28">
        <v>1135000</v>
      </c>
      <c r="Y4605" s="28">
        <v>4025869000</v>
      </c>
      <c r="Z4605" s="28">
        <v>1842579000</v>
      </c>
      <c r="AA4605" s="28">
        <v>256861000</v>
      </c>
      <c r="AB4605" s="28">
        <v>98751000</v>
      </c>
      <c r="AC4605" s="28">
        <v>1759217000</v>
      </c>
      <c r="AD4605" s="28">
        <v>1937579000</v>
      </c>
      <c r="AE4605" s="28">
        <v>4758167000</v>
      </c>
      <c r="AF4605" s="28">
        <v>797918000</v>
      </c>
      <c r="AG4605" s="11"/>
    </row>
    <row r="4606">
      <c r="A4606" s="7" t="s">
        <v>6243</v>
      </c>
      <c r="B4606" s="5" t="s">
        <v>14198</v>
      </c>
      <c r="C4606" s="5" t="s">
        <v>21942</v>
      </c>
      <c r="D4606" s="5" t="str">
        <v>503122144979</v>
      </c>
      <c r="E4606" s="0" t="e">
        <f>+7 (343) 2862946
+7 (3512) 401883
+7 (3952) 799916
+7 (401) 2600090
+7 (421) 2474088
+7 (495) 2238844
+7 (495) 6426444
+7 (495) 6428113
+7 (495) 6428114
+7 (495) 6428140
+7 (800) 7008794
+7 (812) 3257244
+7 (8432) 39519
+7 (84626) 73050
+7 (861) 2388393</f>
        <v>#NAME?</v>
      </c>
      <c r="F4606" s="5" t="s">
        <v>39055</v>
      </c>
      <c r="G4606" s="5" t="s">
        <v>39056</v>
      </c>
      <c r="H4606" s="26">
        <v>17.5</v>
      </c>
      <c r="I4606" s="5" t="s">
        <v>39057</v>
      </c>
      <c r="J4606" s="5" t="s">
        <v>26918</v>
      </c>
      <c r="K4606" s="5" t="s">
        <v>344</v>
      </c>
      <c r="L4606" s="5"/>
      <c r="M4606" s="27">
        <v>84271</v>
      </c>
      <c r="N4606" s="5" t="s">
        <v>56459</v>
      </c>
      <c r="O4606" s="5" t="str">
        <v>7703564677</v>
      </c>
      <c r="P4606" s="27">
        <v>111000000</v>
      </c>
      <c r="Q4606" s="5" t="s">
        <v>56460</v>
      </c>
      <c r="R4606" s="5"/>
      <c r="S4606" s="5" t="s">
        <v>50707</v>
      </c>
      <c r="T4606" s="28">
        <v>600013000</v>
      </c>
      <c r="U4606" s="28">
        <v>1250000000</v>
      </c>
      <c r="V4606" s="28">
        <v>1792722000</v>
      </c>
      <c r="W4606" s="28"/>
      <c r="X4606" s="28">
        <v>682835000</v>
      </c>
      <c r="Y4606" s="28">
        <v>5424128000</v>
      </c>
      <c r="Z4606" s="28">
        <v>2840682000</v>
      </c>
      <c r="AA4606" s="28"/>
      <c r="AB4606" s="28">
        <v>1046310000</v>
      </c>
      <c r="AC4606" s="28">
        <v>2472446000</v>
      </c>
      <c r="AD4606" s="28">
        <v>2951682000</v>
      </c>
      <c r="AE4606" s="28">
        <v>8054912000</v>
      </c>
      <c r="AF4606" s="28">
        <v>1038156000</v>
      </c>
      <c r="AG4606" s="11"/>
    </row>
    <row r="4607">
      <c r="A4607" s="7" t="s">
        <v>6244</v>
      </c>
      <c r="B4607" s="5" t="s">
        <v>14199</v>
      </c>
      <c r="C4607" s="5" t="s">
        <v>21003</v>
      </c>
      <c r="D4607" s="5"/>
      <c r="E4607" s="0" t="e">
        <f>+7 (342) 2689016
+7 (3422) 195709
+7 (3422) 195710
+7 (3422) 195713
+7 (3422) 195714
+7 (3422) 490904
+7 (3422) 490909</f>
        <v>#NAME?</v>
      </c>
      <c r="F4607" s="5" t="s">
        <v>39058</v>
      </c>
      <c r="G4607" s="5" t="s">
        <v>39059</v>
      </c>
      <c r="H4607" s="26">
        <v>30.5</v>
      </c>
      <c r="I4607" s="5"/>
      <c r="J4607" s="5" t="s">
        <v>26292</v>
      </c>
      <c r="K4607" s="5" t="s">
        <v>355</v>
      </c>
      <c r="L4607" s="5"/>
      <c r="M4607" s="27">
        <v>2724514</v>
      </c>
      <c r="N4607" s="5" t="s">
        <v>56461</v>
      </c>
      <c r="O4607" s="5" t="str">
        <v>5904015659</v>
      </c>
      <c r="P4607" s="27">
        <v>1708770</v>
      </c>
      <c r="Q4607" s="5" t="s">
        <v>481</v>
      </c>
      <c r="R4607" s="5"/>
      <c r="S4607" s="5" t="s">
        <v>56462</v>
      </c>
      <c r="T4607" s="28">
        <v>235920000</v>
      </c>
      <c r="U4607" s="28">
        <v>5000000</v>
      </c>
      <c r="V4607" s="28">
        <v>669287000</v>
      </c>
      <c r="W4607" s="28"/>
      <c r="X4607" s="28">
        <v>149387000</v>
      </c>
      <c r="Y4607" s="28">
        <v>1130654000</v>
      </c>
      <c r="Z4607" s="28">
        <v>331197000</v>
      </c>
      <c r="AA4607" s="28"/>
      <c r="AB4607" s="28"/>
      <c r="AC4607" s="28">
        <v>772497000</v>
      </c>
      <c r="AD4607" s="28">
        <v>357133000</v>
      </c>
      <c r="AE4607" s="28">
        <v>3783479000</v>
      </c>
      <c r="AF4607" s="28">
        <v>24370000</v>
      </c>
      <c r="AG4607" s="11"/>
    </row>
    <row r="4608">
      <c r="A4608" s="7" t="s">
        <v>6245</v>
      </c>
      <c r="B4608" s="5" t="s">
        <v>14200</v>
      </c>
      <c r="C4608" s="5" t="s">
        <v>21943</v>
      </c>
      <c r="D4608" s="5" t="str">
        <v>591114033490</v>
      </c>
      <c r="E4608" s="0" t="e">
        <f>+7 (34265) 92733
+7 (342) 6592614
+7 (34244) 20050
+7 (34265) 38735
+7 (34265) 45153
+7 (34265) 74629
+7 (34268) 30301</f>
        <v>#NAME?</v>
      </c>
      <c r="F4608" s="5" t="s">
        <v>39060</v>
      </c>
      <c r="G4608" s="5" t="s">
        <v>39061</v>
      </c>
      <c r="H4608" s="26">
        <v>22</v>
      </c>
      <c r="I4608" s="5" t="s">
        <v>39062</v>
      </c>
      <c r="J4608" s="5" t="s">
        <v>32462</v>
      </c>
      <c r="K4608" s="5" t="s">
        <v>355</v>
      </c>
      <c r="L4608" s="5"/>
      <c r="M4608" s="27">
        <v>610075</v>
      </c>
      <c r="N4608" s="5"/>
      <c r="O4608" s="5" t="str">
        <v>5914016154</v>
      </c>
      <c r="P4608" s="27">
        <v>10490000</v>
      </c>
      <c r="Q4608" s="5" t="s">
        <v>49324</v>
      </c>
      <c r="R4608" s="5"/>
      <c r="S4608" s="5" t="s">
        <v>56464</v>
      </c>
      <c r="T4608" s="28">
        <v>707329000</v>
      </c>
      <c r="U4608" s="28"/>
      <c r="V4608" s="28">
        <v>906520000</v>
      </c>
      <c r="W4608" s="28"/>
      <c r="X4608" s="28">
        <v>53821000</v>
      </c>
      <c r="Y4608" s="28">
        <v>1812084000</v>
      </c>
      <c r="Z4608" s="28">
        <v>562996000</v>
      </c>
      <c r="AA4608" s="28"/>
      <c r="AB4608" s="28">
        <v>221451000</v>
      </c>
      <c r="AC4608" s="28">
        <v>1190811000</v>
      </c>
      <c r="AD4608" s="28">
        <v>578195000</v>
      </c>
      <c r="AE4608" s="28">
        <v>3297631000</v>
      </c>
      <c r="AF4608" s="28">
        <v>159027000</v>
      </c>
      <c r="AG4608" s="11"/>
    </row>
    <row r="4609">
      <c r="A4609" s="7" t="s">
        <v>6246</v>
      </c>
      <c r="B4609" s="5" t="s">
        <v>14201</v>
      </c>
      <c r="C4609" s="5" t="s">
        <v>21944</v>
      </c>
      <c r="D4609" s="5" t="str">
        <v>590415887101</v>
      </c>
      <c r="E4609" s="0" t="e">
        <f>+7 (342) 2335109
+7 (3422) 363809
+7 (3422) 371531
+7 (3422) 376510
+7 (3422) 386503
+7 (3422) 386510
+7 (3422) 386517
+7 (3422) 386535
+7 (3422) 386547
+7 (3422) 386568
+7 (3422) 386597
+7 (3422) 386684
+7 (3422) 396510</f>
        <v>#NAME?</v>
      </c>
      <c r="F4609" s="5" t="s">
        <v>39063</v>
      </c>
      <c r="G4609" s="5" t="s">
        <v>39064</v>
      </c>
      <c r="H4609" s="26">
        <v>28.5</v>
      </c>
      <c r="I4609" s="5"/>
      <c r="J4609" s="5" t="s">
        <v>26526</v>
      </c>
      <c r="K4609" s="5" t="s">
        <v>344</v>
      </c>
      <c r="L4609" s="5" t="s">
        <v>39065</v>
      </c>
      <c r="M4609" s="27"/>
      <c r="N4609" s="5"/>
      <c r="O4609" s="5" t="str">
        <v>5903003690</v>
      </c>
      <c r="P4609" s="27">
        <v>40300</v>
      </c>
      <c r="Q4609" s="5"/>
      <c r="R4609" s="5"/>
      <c r="S4609" s="5" t="s">
        <v>49160</v>
      </c>
      <c r="T4609" s="28">
        <v>777515000</v>
      </c>
      <c r="U4609" s="28">
        <v>1000000</v>
      </c>
      <c r="V4609" s="28">
        <v>209366000</v>
      </c>
      <c r="W4609" s="28"/>
      <c r="X4609" s="28">
        <v>327716000</v>
      </c>
      <c r="Y4609" s="28">
        <v>1935829000</v>
      </c>
      <c r="Z4609" s="28">
        <v>738846000</v>
      </c>
      <c r="AA4609" s="28"/>
      <c r="AB4609" s="28">
        <v>500042000</v>
      </c>
      <c r="AC4609" s="28">
        <v>623202000</v>
      </c>
      <c r="AD4609" s="28">
        <v>1291197000</v>
      </c>
      <c r="AE4609" s="28">
        <v>3254946000</v>
      </c>
      <c r="AF4609" s="28">
        <v>80370000</v>
      </c>
      <c r="AG4609" s="11"/>
    </row>
    <row r="4610">
      <c r="A4610" s="7" t="s">
        <v>6247</v>
      </c>
      <c r="B4610" s="5" t="s">
        <v>14202</v>
      </c>
      <c r="C4610" s="5" t="s">
        <v>21945</v>
      </c>
      <c r="D4610" s="5" t="str">
        <v>590202930401</v>
      </c>
      <c r="E4610" s="0" t="e">
        <f>+7 (3422) 126659
+7 (3422) 6300
+7 (3422) 106234
+7 (3422) 106324
+7 (3422) 106502
+7 (3422) 106622
+7 (3422) 106642
+7 (3422) 106750
+7 (3422) 106833
+7 (3422) 107150
+7 (3422) 107174
+7 (3422) 107177
+7 (3422) 160165
+7 (3422) 160874
+7 (3422) 161006</f>
        <v>#NAME?</v>
      </c>
      <c r="F4610" s="5" t="s">
        <v>39066</v>
      </c>
      <c r="G4610" s="5" t="s">
        <v>39067</v>
      </c>
      <c r="H4610" s="26">
        <v>18</v>
      </c>
      <c r="I4610" s="5" t="s">
        <v>39068</v>
      </c>
      <c r="J4610" s="5" t="s">
        <v>26623</v>
      </c>
      <c r="K4610" s="5" t="s">
        <v>344</v>
      </c>
      <c r="L4610" s="5"/>
      <c r="M4610" s="27">
        <v>121913073</v>
      </c>
      <c r="N4610" s="5" t="s">
        <v>56465</v>
      </c>
      <c r="O4610" s="5" t="str">
        <v>5904123809</v>
      </c>
      <c r="P4610" s="27">
        <v>154584495</v>
      </c>
      <c r="Q4610" s="5" t="s">
        <v>56466</v>
      </c>
      <c r="R4610" s="5"/>
      <c r="S4610" s="5" t="s">
        <v>56467</v>
      </c>
      <c r="T4610" s="28">
        <v>619414000</v>
      </c>
      <c r="U4610" s="28">
        <v>145795000</v>
      </c>
      <c r="V4610" s="28">
        <v>3921480000</v>
      </c>
      <c r="W4610" s="28">
        <v>184647000</v>
      </c>
      <c r="X4610" s="28">
        <v>2989364000</v>
      </c>
      <c r="Y4610" s="28">
        <v>8219296000</v>
      </c>
      <c r="Z4610" s="28">
        <v>2557753000</v>
      </c>
      <c r="AA4610" s="28"/>
      <c r="AB4610" s="28"/>
      <c r="AC4610" s="28">
        <v>5175918000</v>
      </c>
      <c r="AD4610" s="28">
        <v>2946135000</v>
      </c>
      <c r="AE4610" s="28">
        <v>42011335000</v>
      </c>
      <c r="AF4610" s="28">
        <v>1083888000</v>
      </c>
      <c r="AG4610" s="11"/>
    </row>
    <row r="4611">
      <c r="A4611" s="7" t="s">
        <v>6248</v>
      </c>
      <c r="B4611" s="5" t="s">
        <v>14203</v>
      </c>
      <c r="C4611" s="5" t="s">
        <v>21946</v>
      </c>
      <c r="D4611" s="5" t="str">
        <v>702102185378</v>
      </c>
      <c r="E4611" s="0" t="e">
        <f>+7 (913) 8293431</f>
        <v>#NAME?</v>
      </c>
      <c r="F4611" s="5"/>
      <c r="G4611" s="5"/>
      <c r="H4611" s="26">
        <v>11.5</v>
      </c>
      <c r="I4611" s="5" t="s">
        <v>39069</v>
      </c>
      <c r="J4611" s="5" t="s">
        <v>25738</v>
      </c>
      <c r="K4611" s="5" t="s">
        <v>355</v>
      </c>
      <c r="L4611" s="5" t="s">
        <v>39070</v>
      </c>
      <c r="M4611" s="27"/>
      <c r="N4611" s="5"/>
      <c r="O4611" s="5" t="str">
        <v>7017361618</v>
      </c>
      <c r="P4611" s="27">
        <v>1000000</v>
      </c>
      <c r="Q4611" s="5" t="s">
        <v>49207</v>
      </c>
      <c r="R4611" s="5"/>
      <c r="S4611" s="5" t="s">
        <v>50911</v>
      </c>
      <c r="T4611" s="28">
        <v>2541698000</v>
      </c>
      <c r="U4611" s="28">
        <v>116677000</v>
      </c>
      <c r="V4611" s="28">
        <v>157840000</v>
      </c>
      <c r="W4611" s="28">
        <v>298000000</v>
      </c>
      <c r="X4611" s="28">
        <v>267346000</v>
      </c>
      <c r="Y4611" s="28">
        <v>4819278000</v>
      </c>
      <c r="Z4611" s="28">
        <v>93764000</v>
      </c>
      <c r="AA4611" s="28">
        <v>67140000</v>
      </c>
      <c r="AB4611" s="28">
        <v>1023193000</v>
      </c>
      <c r="AC4611" s="28">
        <v>1904019000</v>
      </c>
      <c r="AD4611" s="28">
        <v>94764000</v>
      </c>
      <c r="AE4611" s="28">
        <v>5993149000</v>
      </c>
      <c r="AF4611" s="28">
        <v>31941000</v>
      </c>
      <c r="AG4611" s="11"/>
    </row>
    <row r="4612">
      <c r="A4612" s="7" t="s">
        <v>6248</v>
      </c>
      <c r="B4612" s="5" t="s">
        <v>14204</v>
      </c>
      <c r="C4612" s="5" t="s">
        <v>21947</v>
      </c>
      <c r="D4612" s="5" t="str">
        <v>770101124623</v>
      </c>
      <c r="E4612" s="0" t="e">
        <f>+7 (499) 4266415
+7 (499) 4266416
+7 (499) 9686211
+7 (911) 7962624
+7 (916) 6816228</f>
        <v>#NAME?</v>
      </c>
      <c r="F4612" s="5"/>
      <c r="G4612" s="5" t="s">
        <v>39071</v>
      </c>
      <c r="H4612" s="26">
        <v>14</v>
      </c>
      <c r="I4612" s="5" t="s">
        <v>39072</v>
      </c>
      <c r="J4612" s="5" t="s">
        <v>26367</v>
      </c>
      <c r="K4612" s="5" t="s">
        <v>344</v>
      </c>
      <c r="L4612" s="5"/>
      <c r="M4612" s="27"/>
      <c r="N4612" s="5"/>
      <c r="O4612" s="5" t="str">
        <v>4705044950</v>
      </c>
      <c r="P4612" s="27">
        <v>10010010</v>
      </c>
      <c r="Q4612" s="5" t="s">
        <v>49009</v>
      </c>
      <c r="R4612" s="5"/>
      <c r="S4612" s="5" t="s">
        <v>49010</v>
      </c>
      <c r="T4612" s="28">
        <v>174454000</v>
      </c>
      <c r="U4612" s="28"/>
      <c r="V4612" s="28">
        <v>2993814000</v>
      </c>
      <c r="W4612" s="28">
        <v>412300000</v>
      </c>
      <c r="X4612" s="28">
        <v>4767000</v>
      </c>
      <c r="Y4612" s="28">
        <v>4812093000</v>
      </c>
      <c r="Z4612" s="28">
        <v>970630000</v>
      </c>
      <c r="AA4612" s="28">
        <v>100610000</v>
      </c>
      <c r="AB4612" s="28">
        <v>32805000</v>
      </c>
      <c r="AC4612" s="28">
        <v>3598856000</v>
      </c>
      <c r="AD4612" s="28">
        <v>980640000</v>
      </c>
      <c r="AE4612" s="28">
        <v>9968970000</v>
      </c>
      <c r="AF4612" s="28">
        <v>1047317000</v>
      </c>
      <c r="AG4612" s="11"/>
    </row>
    <row r="4613">
      <c r="A4613" s="7" t="s">
        <v>6248</v>
      </c>
      <c r="B4613" s="5" t="s">
        <v>14205</v>
      </c>
      <c r="C4613" s="5" t="s">
        <v>21948</v>
      </c>
      <c r="D4613" s="5" t="str">
        <v>860307764101</v>
      </c>
      <c r="E4613" s="0" t="e">
        <f>+7 (921) 7301133</f>
        <v>#NAME?</v>
      </c>
      <c r="F4613" s="5"/>
      <c r="G4613" s="5"/>
      <c r="H4613" s="26">
        <v>8</v>
      </c>
      <c r="I4613" s="5" t="s">
        <v>39073</v>
      </c>
      <c r="J4613" s="5" t="s">
        <v>585</v>
      </c>
      <c r="K4613" s="5" t="s">
        <v>344</v>
      </c>
      <c r="L4613" s="5" t="s">
        <v>39074</v>
      </c>
      <c r="M4613" s="27">
        <v>1068589</v>
      </c>
      <c r="N4613" s="5" t="s">
        <v>50111</v>
      </c>
      <c r="O4613" s="5" t="str">
        <v>5321172547</v>
      </c>
      <c r="P4613" s="27">
        <v>450000</v>
      </c>
      <c r="Q4613" s="5" t="s">
        <v>49009</v>
      </c>
      <c r="R4613" s="5"/>
      <c r="S4613" s="5" t="s">
        <v>49045</v>
      </c>
      <c r="T4613" s="28">
        <v>16651000</v>
      </c>
      <c r="U4613" s="28"/>
      <c r="V4613" s="28">
        <v>1098325000</v>
      </c>
      <c r="W4613" s="28"/>
      <c r="X4613" s="28">
        <v>56447000</v>
      </c>
      <c r="Y4613" s="28">
        <v>1353899000</v>
      </c>
      <c r="Z4613" s="28">
        <v>806436000</v>
      </c>
      <c r="AA4613" s="28"/>
      <c r="AB4613" s="28"/>
      <c r="AC4613" s="28">
        <v>535863000</v>
      </c>
      <c r="AD4613" s="28">
        <v>806886000</v>
      </c>
      <c r="AE4613" s="28">
        <v>5220550000</v>
      </c>
      <c r="AF4613" s="28">
        <v>336550000</v>
      </c>
      <c r="AG4613" s="11"/>
    </row>
    <row r="4614">
      <c r="A4614" s="7" t="s">
        <v>6249</v>
      </c>
      <c r="B4614" s="5" t="s">
        <v>14206</v>
      </c>
      <c r="C4614" s="5" t="s">
        <v>21949</v>
      </c>
      <c r="D4614" s="5" t="str">
        <v>142000105460</v>
      </c>
      <c r="E4614" s="0" t="e">
        <f>+7 (495) 7947320
+7 (499) 3508520</f>
        <v>#NAME?</v>
      </c>
      <c r="F4614" s="5" t="s">
        <v>39075</v>
      </c>
      <c r="G4614" s="5" t="s">
        <v>39076</v>
      </c>
      <c r="H4614" s="26">
        <v>18.5</v>
      </c>
      <c r="I4614" s="5" t="s">
        <v>39077</v>
      </c>
      <c r="J4614" s="5" t="s">
        <v>641</v>
      </c>
      <c r="K4614" s="5" t="s">
        <v>344</v>
      </c>
      <c r="L4614" s="5" t="s">
        <v>39078</v>
      </c>
      <c r="M4614" s="27"/>
      <c r="N4614" s="5" t="s">
        <v>56468</v>
      </c>
      <c r="O4614" s="5" t="str">
        <v>7716513528</v>
      </c>
      <c r="P4614" s="27">
        <v>10000</v>
      </c>
      <c r="Q4614" s="5" t="s">
        <v>56469</v>
      </c>
      <c r="R4614" s="5"/>
      <c r="S4614" s="5" t="s">
        <v>53222</v>
      </c>
      <c r="T4614" s="28">
        <v>4653000</v>
      </c>
      <c r="U4614" s="28">
        <v>6496000</v>
      </c>
      <c r="V4614" s="28">
        <v>516404000</v>
      </c>
      <c r="W4614" s="28">
        <v>5728000</v>
      </c>
      <c r="X4614" s="28">
        <v>511676000</v>
      </c>
      <c r="Y4614" s="28">
        <v>1075883000</v>
      </c>
      <c r="Z4614" s="28">
        <v>465624000</v>
      </c>
      <c r="AA4614" s="28"/>
      <c r="AB4614" s="28"/>
      <c r="AC4614" s="28">
        <v>604437000</v>
      </c>
      <c r="AD4614" s="28">
        <v>465634000</v>
      </c>
      <c r="AE4614" s="28">
        <v>4761329000</v>
      </c>
      <c r="AF4614" s="28">
        <v>565002000</v>
      </c>
      <c r="AG4614" s="11"/>
    </row>
    <row r="4615">
      <c r="A4615" s="7" t="s">
        <v>6250</v>
      </c>
      <c r="B4615" s="5" t="s">
        <v>14207</v>
      </c>
      <c r="C4615" s="5" t="s">
        <v>21950</v>
      </c>
      <c r="D4615" s="5" t="str">
        <v>770482352707</v>
      </c>
      <c r="E4615" s="0" t="e">
        <f>+7 (495) 7863910
+7 (495) 9602800
+7 (495) 9602839
+7 (916) 5907221</f>
        <v>#NAME?</v>
      </c>
      <c r="F4615" s="5" t="s">
        <v>39079</v>
      </c>
      <c r="G4615" s="5"/>
      <c r="H4615" s="26">
        <v>19.5</v>
      </c>
      <c r="I4615" s="5" t="s">
        <v>39080</v>
      </c>
      <c r="J4615" s="5" t="s">
        <v>25287</v>
      </c>
      <c r="K4615" s="5" t="s">
        <v>344</v>
      </c>
      <c r="L4615" s="5" t="s">
        <v>39081</v>
      </c>
      <c r="M4615" s="27">
        <v>214266</v>
      </c>
      <c r="N4615" s="5"/>
      <c r="O4615" s="5" t="str">
        <v>5017051394</v>
      </c>
      <c r="P4615" s="27">
        <v>3402795921</v>
      </c>
      <c r="Q4615" s="5"/>
      <c r="R4615" s="5"/>
      <c r="S4615" s="5" t="s">
        <v>49029</v>
      </c>
      <c r="T4615" s="28">
        <v>3236055000</v>
      </c>
      <c r="U4615" s="28"/>
      <c r="V4615" s="28">
        <v>2841100000</v>
      </c>
      <c r="W4615" s="28"/>
      <c r="X4615" s="28">
        <v>2569002000</v>
      </c>
      <c r="Y4615" s="28">
        <v>12135620000</v>
      </c>
      <c r="Z4615" s="28">
        <v>5174109000</v>
      </c>
      <c r="AA4615" s="28"/>
      <c r="AB4615" s="28">
        <v>810181000</v>
      </c>
      <c r="AC4615" s="28">
        <v>3296383000</v>
      </c>
      <c r="AD4615" s="28">
        <v>8597951000</v>
      </c>
      <c r="AE4615" s="28">
        <v>18444020000</v>
      </c>
      <c r="AF4615" s="28">
        <v>4206051000</v>
      </c>
      <c r="AG4615" s="11"/>
    </row>
    <row r="4616">
      <c r="A4616" s="7" t="s">
        <v>6251</v>
      </c>
      <c r="B4616" s="5" t="s">
        <v>14208</v>
      </c>
      <c r="C4616" s="5" t="s">
        <v>21951</v>
      </c>
      <c r="D4616" s="5" t="str">
        <v>636400588520</v>
      </c>
      <c r="E4616" s="0" t="e">
        <f>+7 (84674) 21266
+7 (84674) 21536
+7 (84674) 22180
+7 (84674) 22238
+7 (84674) 22399
+7 (84695) 37720</f>
        <v>#NAME?</v>
      </c>
      <c r="F4616" s="5" t="s">
        <v>39082</v>
      </c>
      <c r="G4616" s="5"/>
      <c r="H4616" s="26">
        <v>30</v>
      </c>
      <c r="I4616" s="5" t="s">
        <v>39083</v>
      </c>
      <c r="J4616" s="5" t="s">
        <v>26482</v>
      </c>
      <c r="K4616" s="5" t="s">
        <v>344</v>
      </c>
      <c r="L4616" s="5" t="s">
        <v>39084</v>
      </c>
      <c r="M4616" s="27"/>
      <c r="N4616" s="5"/>
      <c r="O4616" s="5" t="str">
        <v>6375000296</v>
      </c>
      <c r="P4616" s="27">
        <v>863000</v>
      </c>
      <c r="Q4616" s="5"/>
      <c r="R4616" s="5"/>
      <c r="S4616" s="5" t="s">
        <v>49121</v>
      </c>
      <c r="T4616" s="28">
        <v>453819000</v>
      </c>
      <c r="U4616" s="28"/>
      <c r="V4616" s="28">
        <v>1321260000</v>
      </c>
      <c r="W4616" s="28"/>
      <c r="X4616" s="28">
        <v>153000</v>
      </c>
      <c r="Y4616" s="28">
        <v>1946926000</v>
      </c>
      <c r="Z4616" s="28">
        <v>896010000</v>
      </c>
      <c r="AA4616" s="28">
        <v>67240000</v>
      </c>
      <c r="AB4616" s="28">
        <v>902600000</v>
      </c>
      <c r="AC4616" s="28">
        <v>966757000</v>
      </c>
      <c r="AD4616" s="28">
        <v>896873000</v>
      </c>
      <c r="AE4616" s="28">
        <v>3921095000</v>
      </c>
      <c r="AF4616" s="28">
        <v>238987000</v>
      </c>
      <c r="AG4616" s="11"/>
    </row>
    <row r="4617">
      <c r="A4617" s="7" t="s">
        <v>6252</v>
      </c>
      <c r="B4617" s="5" t="s">
        <v>14209</v>
      </c>
      <c r="C4617" s="5" t="s">
        <v>21952</v>
      </c>
      <c r="D4617" s="5" t="str">
        <v>165916295112</v>
      </c>
      <c r="E4617" s="0" t="e">
        <f>+7 (917) 9239839
+7 (960) 395321</f>
        <v>#NAME?</v>
      </c>
      <c r="F4617" s="5" t="s">
        <v>39085</v>
      </c>
      <c r="G4617" s="5"/>
      <c r="H4617" s="26">
        <v>6.5</v>
      </c>
      <c r="I4617" s="5" t="s">
        <v>39086</v>
      </c>
      <c r="J4617" s="5" t="s">
        <v>26125</v>
      </c>
      <c r="K4617" s="5" t="s">
        <v>355</v>
      </c>
      <c r="L4617" s="5"/>
      <c r="M4617" s="27"/>
      <c r="N4617" s="5" t="s">
        <v>56470</v>
      </c>
      <c r="O4617" s="5" t="str">
        <v>1648044514</v>
      </c>
      <c r="P4617" s="27">
        <v>10000</v>
      </c>
      <c r="Q4617" s="5" t="s">
        <v>56471</v>
      </c>
      <c r="R4617" s="5"/>
      <c r="S4617" s="5" t="s">
        <v>49047</v>
      </c>
      <c r="T4617" s="28">
        <v>11704000</v>
      </c>
      <c r="U4617" s="28"/>
      <c r="V4617" s="28">
        <v>132685000</v>
      </c>
      <c r="W4617" s="28"/>
      <c r="X4617" s="28">
        <v>10186000</v>
      </c>
      <c r="Y4617" s="28">
        <v>232511000</v>
      </c>
      <c r="Z4617" s="28">
        <v>-492615000</v>
      </c>
      <c r="AA4617" s="28"/>
      <c r="AB4617" s="28"/>
      <c r="AC4617" s="28">
        <v>716375000</v>
      </c>
      <c r="AD4617" s="28">
        <v>-492605000</v>
      </c>
      <c r="AE4617" s="28">
        <v>6362351000</v>
      </c>
      <c r="AF4617" s="28">
        <v>-194098000</v>
      </c>
      <c r="AG4617" s="11"/>
    </row>
    <row r="4618">
      <c r="A4618" s="7" t="s">
        <v>6253</v>
      </c>
      <c r="B4618" s="5" t="s">
        <v>14210</v>
      </c>
      <c r="C4618" s="5" t="s">
        <v>21953</v>
      </c>
      <c r="D4618" s="5" t="str">
        <v>771206597940</v>
      </c>
      <c r="E4618" s="0" t="e">
        <f>+7 (495) 1202211
+7 (800) 5552211
+7 (495) 1235160
+7 (495) 5807002
+7 (495) 7511115
+7 (495) 7596336
+7 (499) 1354069
+7 (499) 1354401
+7 (499) 1359400
+7 (499) 7672043
+7 (499) 7672061</f>
        <v>#NAME?</v>
      </c>
      <c r="F4618" s="5" t="s">
        <v>39087</v>
      </c>
      <c r="G4618" s="5" t="s">
        <v>39088</v>
      </c>
      <c r="H4618" s="26">
        <v>13</v>
      </c>
      <c r="I4618" s="5" t="s">
        <v>39089</v>
      </c>
      <c r="J4618" s="5" t="s">
        <v>32342</v>
      </c>
      <c r="K4618" s="5" t="s">
        <v>355</v>
      </c>
      <c r="L4618" s="5"/>
      <c r="M4618" s="27"/>
      <c r="N4618" s="5"/>
      <c r="O4618" s="5" t="str">
        <v>7726650932</v>
      </c>
      <c r="P4618" s="27">
        <v>226000000</v>
      </c>
      <c r="Q4618" s="5" t="s">
        <v>49688</v>
      </c>
      <c r="R4618" s="5"/>
      <c r="S4618" s="5" t="s">
        <v>56472</v>
      </c>
      <c r="T4618" s="28">
        <v>2160416000</v>
      </c>
      <c r="U4618" s="28">
        <v>1900000</v>
      </c>
      <c r="V4618" s="28">
        <v>744711000</v>
      </c>
      <c r="W4618" s="28">
        <v>38000000</v>
      </c>
      <c r="X4618" s="28">
        <v>104030000</v>
      </c>
      <c r="Y4618" s="28">
        <v>4483579000</v>
      </c>
      <c r="Z4618" s="28">
        <v>-109908000</v>
      </c>
      <c r="AA4618" s="28"/>
      <c r="AB4618" s="28">
        <v>713712000</v>
      </c>
      <c r="AC4618" s="28">
        <v>2901340000</v>
      </c>
      <c r="AD4618" s="28">
        <v>116106000</v>
      </c>
      <c r="AE4618" s="28">
        <v>6712478000</v>
      </c>
      <c r="AF4618" s="28">
        <v>35368000</v>
      </c>
      <c r="AG4618" s="11"/>
    </row>
    <row r="4619">
      <c r="A4619" s="7" t="s">
        <v>6254</v>
      </c>
      <c r="B4619" s="5" t="s">
        <v>14211</v>
      </c>
      <c r="C4619" s="5" t="s">
        <v>21954</v>
      </c>
      <c r="D4619" s="5" t="str">
        <v>402808476740</v>
      </c>
      <c r="E4619" s="0" t="e">
        <f>+7 (812) 7183665
+7 (812) 7183667</f>
        <v>#NAME?</v>
      </c>
      <c r="F4619" s="5" t="s">
        <v>39090</v>
      </c>
      <c r="G4619" s="5" t="s">
        <v>39091</v>
      </c>
      <c r="H4619" s="26">
        <v>28</v>
      </c>
      <c r="I4619" s="5" t="s">
        <v>39092</v>
      </c>
      <c r="J4619" s="5" t="s">
        <v>39093</v>
      </c>
      <c r="K4619" s="5" t="s">
        <v>344</v>
      </c>
      <c r="L4619" s="5" t="s">
        <v>39094</v>
      </c>
      <c r="M4619" s="27"/>
      <c r="N4619" s="5"/>
      <c r="O4619" s="5" t="str">
        <v>7820068471</v>
      </c>
      <c r="P4619" s="27">
        <v>584836000</v>
      </c>
      <c r="Q4619" s="5"/>
      <c r="R4619" s="5"/>
      <c r="S4619" s="5" t="s">
        <v>49029</v>
      </c>
      <c r="T4619" s="28">
        <v>1191575000</v>
      </c>
      <c r="U4619" s="28"/>
      <c r="V4619" s="28">
        <v>566382000</v>
      </c>
      <c r="W4619" s="28"/>
      <c r="X4619" s="28">
        <v>1699085000</v>
      </c>
      <c r="Y4619" s="28">
        <v>4065585000</v>
      </c>
      <c r="Z4619" s="28">
        <v>2664785000</v>
      </c>
      <c r="AA4619" s="28"/>
      <c r="AB4619" s="28"/>
      <c r="AC4619" s="28">
        <v>730874000</v>
      </c>
      <c r="AD4619" s="28">
        <v>3283148000</v>
      </c>
      <c r="AE4619" s="28">
        <v>4290334000</v>
      </c>
      <c r="AF4619" s="28">
        <v>883723000</v>
      </c>
      <c r="AG4619" s="11"/>
    </row>
    <row r="4620">
      <c r="A4620" s="7" t="s">
        <v>6255</v>
      </c>
      <c r="B4620" s="5" t="s">
        <v>14212</v>
      </c>
      <c r="C4620" s="5" t="s">
        <v>21955</v>
      </c>
      <c r="D4620" s="5" t="str">
        <v>782512080355</v>
      </c>
      <c r="E4620" s="0" t="e">
        <f>+7 (812) 4954823
+7 (911) 276112
+7 (812) 2404861
+7 (812) 3203998
+7 (812) 3355944
+7 (812) 3650121
+7 (812) 4030493
+7 (812) 4122301
+7 (812) 4347210
+7 (812) 4488498
+7 (812) 4585419
+7 (812) 4954666
+7 (812) 6100404
+7 (812) 6802728
+7 (812) 7640125</f>
        <v>#NAME?</v>
      </c>
      <c r="F4620" s="5" t="s">
        <v>39095</v>
      </c>
      <c r="G4620" s="5" t="s">
        <v>39096</v>
      </c>
      <c r="H4620" s="26">
        <v>19</v>
      </c>
      <c r="I4620" s="5" t="s">
        <v>39097</v>
      </c>
      <c r="J4620" s="5" t="s">
        <v>29513</v>
      </c>
      <c r="K4620" s="5" t="s">
        <v>344</v>
      </c>
      <c r="L4620" s="5" t="s">
        <v>39098</v>
      </c>
      <c r="M4620" s="27">
        <v>35855</v>
      </c>
      <c r="N4620" s="5" t="s">
        <v>56473</v>
      </c>
      <c r="O4620" s="5" t="str">
        <v>7838017541</v>
      </c>
      <c r="P4620" s="27">
        <v>10000</v>
      </c>
      <c r="Q4620" s="5" t="s">
        <v>56475</v>
      </c>
      <c r="R4620" s="5"/>
      <c r="S4620" s="5" t="s">
        <v>51067</v>
      </c>
      <c r="T4620" s="28">
        <v>22741520000</v>
      </c>
      <c r="U4620" s="28">
        <v>85141000</v>
      </c>
      <c r="V4620" s="28">
        <v>1537369000</v>
      </c>
      <c r="W4620" s="28"/>
      <c r="X4620" s="28">
        <v>3687367000</v>
      </c>
      <c r="Y4620" s="28">
        <v>28557118000</v>
      </c>
      <c r="Z4620" s="28">
        <v>23780432000</v>
      </c>
      <c r="AA4620" s="28"/>
      <c r="AB4620" s="28"/>
      <c r="AC4620" s="28">
        <v>3015660000</v>
      </c>
      <c r="AD4620" s="28">
        <v>23780443000</v>
      </c>
      <c r="AE4620" s="28">
        <v>9811462000</v>
      </c>
      <c r="AF4620" s="28">
        <v>2248974000</v>
      </c>
      <c r="AG4620" s="11"/>
    </row>
    <row r="4621">
      <c r="A4621" s="7" t="s">
        <v>6256</v>
      </c>
      <c r="B4621" s="5" t="s">
        <v>14213</v>
      </c>
      <c r="C4621" s="5" t="s">
        <v>21956</v>
      </c>
      <c r="D4621" s="5" t="str">
        <v>780163013623</v>
      </c>
      <c r="E4621" s="0" t="e">
        <f>+7 (381) 2321326
+7 (800) 2200220
+7 (812) 2951401
+7 (812) 3030696
+7 (812) 3036936
+7 (812) 3036939
+7 (812) 3039370
+7 (812) 3066969
+7 (812) 3096969
+7 (812) 3099703
+7 (812) 3204585
+7 (812) 3204586
+7 (812) 3270037
+7 (812) 3311434
+7 (812) 3039682</f>
        <v>#NAME?</v>
      </c>
      <c r="F4621" s="5" t="s">
        <v>39099</v>
      </c>
      <c r="G4621" s="5" t="s">
        <v>39100</v>
      </c>
      <c r="H4621" s="26">
        <v>17.5</v>
      </c>
      <c r="I4621" s="5"/>
      <c r="J4621" s="5" t="s">
        <v>26623</v>
      </c>
      <c r="K4621" s="5" t="s">
        <v>344</v>
      </c>
      <c r="L4621" s="5" t="s">
        <v>39101</v>
      </c>
      <c r="M4621" s="27">
        <v>27145439</v>
      </c>
      <c r="N4621" s="5" t="s">
        <v>56476</v>
      </c>
      <c r="O4621" s="5" t="str">
        <v>7841322249</v>
      </c>
      <c r="P4621" s="27">
        <v>179472602</v>
      </c>
      <c r="Q4621" s="5" t="s">
        <v>56477</v>
      </c>
      <c r="R4621" s="5"/>
      <c r="S4621" s="5" t="s">
        <v>49760</v>
      </c>
      <c r="T4621" s="28">
        <v>5526000000</v>
      </c>
      <c r="U4621" s="28">
        <v>456224000</v>
      </c>
      <c r="V4621" s="28">
        <v>12314998000</v>
      </c>
      <c r="W4621" s="28">
        <v>2797000</v>
      </c>
      <c r="X4621" s="28">
        <v>2503158000</v>
      </c>
      <c r="Y4621" s="28">
        <v>22064909000</v>
      </c>
      <c r="Z4621" s="28">
        <v>7696829000</v>
      </c>
      <c r="AA4621" s="28">
        <v>520462000</v>
      </c>
      <c r="AB4621" s="28">
        <v>151025000</v>
      </c>
      <c r="AC4621" s="28">
        <v>13521101000</v>
      </c>
      <c r="AD4621" s="28">
        <v>7937313000</v>
      </c>
      <c r="AE4621" s="28">
        <v>152134823000</v>
      </c>
      <c r="AF4621" s="28">
        <v>2270276000</v>
      </c>
      <c r="AG4621" s="11"/>
    </row>
    <row r="4622">
      <c r="A4622" s="7" t="s">
        <v>6257</v>
      </c>
      <c r="B4622" s="5" t="s">
        <v>14214</v>
      </c>
      <c r="C4622" s="5" t="s">
        <v>21957</v>
      </c>
      <c r="D4622" s="5" t="str">
        <v>782506823482</v>
      </c>
      <c r="E4622" s="0" t="e">
        <f>+7 (812) 3108467
+7 (812) 6356545
+7 (812) 6707695
+7 (921) 9565146</f>
        <v>#NAME?</v>
      </c>
      <c r="F4622" s="5" t="s">
        <v>39102</v>
      </c>
      <c r="G4622" s="5" t="s">
        <v>39103</v>
      </c>
      <c r="H4622" s="26">
        <v>30.5</v>
      </c>
      <c r="I4622" s="5" t="s">
        <v>39104</v>
      </c>
      <c r="J4622" s="5" t="s">
        <v>26165</v>
      </c>
      <c r="K4622" s="5" t="s">
        <v>344</v>
      </c>
      <c r="L4622" s="5" t="s">
        <v>39105</v>
      </c>
      <c r="M4622" s="27"/>
      <c r="N4622" s="5" t="s">
        <v>56478</v>
      </c>
      <c r="O4622" s="5" t="str">
        <v>7840411560</v>
      </c>
      <c r="P4622" s="27">
        <v>23091000</v>
      </c>
      <c r="Q4622" s="5" t="s">
        <v>56479</v>
      </c>
      <c r="R4622" s="5"/>
      <c r="S4622" s="5" t="s">
        <v>50392</v>
      </c>
      <c r="T4622" s="28">
        <v>482424000</v>
      </c>
      <c r="U4622" s="28">
        <v>15000</v>
      </c>
      <c r="V4622" s="28">
        <v>134420000</v>
      </c>
      <c r="W4622" s="28"/>
      <c r="X4622" s="28">
        <v>571121000</v>
      </c>
      <c r="Y4622" s="28">
        <v>2164006000</v>
      </c>
      <c r="Z4622" s="28">
        <v>337095000</v>
      </c>
      <c r="AA4622" s="28"/>
      <c r="AB4622" s="28"/>
      <c r="AC4622" s="28">
        <v>1538800000</v>
      </c>
      <c r="AD4622" s="28">
        <v>361347000</v>
      </c>
      <c r="AE4622" s="28">
        <v>8509548000</v>
      </c>
      <c r="AF4622" s="28">
        <v>60416000</v>
      </c>
      <c r="AG4622" s="11"/>
    </row>
    <row r="4623">
      <c r="A4623" s="7" t="s">
        <v>6258</v>
      </c>
      <c r="B4623" s="5" t="s">
        <v>14215</v>
      </c>
      <c r="C4623" s="5" t="s">
        <v>21958</v>
      </c>
      <c r="D4623" s="5" t="str">
        <v>782572828927</v>
      </c>
      <c r="E4623" s="0" t="e">
        <f>+7 (812) 1221948
+7 (812) 4136314
+7 (812) 4136348
+7 (812) 4136405
+7 (812) 4136563
+7 (812) 4136663
+7 (812) 4136681
+7 (812) 4136729
+7 (812) 7220072
+7 (812) 7220081
+7 (812) 7221948
+7 (812) 7223663</f>
        <v>#NAME?</v>
      </c>
      <c r="F4623" s="5" t="s">
        <v>39106</v>
      </c>
      <c r="G4623" s="5" t="s">
        <v>35145</v>
      </c>
      <c r="H4623" s="26">
        <v>30</v>
      </c>
      <c r="I4623" s="5"/>
      <c r="J4623" s="5" t="s">
        <v>26526</v>
      </c>
      <c r="K4623" s="5" t="s">
        <v>344</v>
      </c>
      <c r="L4623" s="5" t="s">
        <v>39107</v>
      </c>
      <c r="M4623" s="27"/>
      <c r="N4623" s="5"/>
      <c r="O4623" s="5" t="str">
        <v>7810229592</v>
      </c>
      <c r="P4623" s="27">
        <v>244500000</v>
      </c>
      <c r="Q4623" s="5" t="s">
        <v>49324</v>
      </c>
      <c r="R4623" s="5"/>
      <c r="S4623" s="5" t="s">
        <v>50255</v>
      </c>
      <c r="T4623" s="28">
        <v>895055000</v>
      </c>
      <c r="U4623" s="28">
        <v>278671000</v>
      </c>
      <c r="V4623" s="28">
        <v>846558000</v>
      </c>
      <c r="W4623" s="28">
        <v>18000000</v>
      </c>
      <c r="X4623" s="28">
        <v>1255034000</v>
      </c>
      <c r="Y4623" s="28">
        <v>4581525000</v>
      </c>
      <c r="Z4623" s="28">
        <v>1195789000</v>
      </c>
      <c r="AA4623" s="28">
        <v>88800000</v>
      </c>
      <c r="AB4623" s="28">
        <v>1515019000</v>
      </c>
      <c r="AC4623" s="28">
        <v>1997255000</v>
      </c>
      <c r="AD4623" s="28">
        <v>2273639000</v>
      </c>
      <c r="AE4623" s="28">
        <v>6869914000</v>
      </c>
      <c r="AF4623" s="28">
        <v>532588000</v>
      </c>
      <c r="AG4623" s="11"/>
    </row>
    <row r="4624">
      <c r="A4624" s="7" t="s">
        <v>6259</v>
      </c>
      <c r="B4624" s="5" t="s">
        <v>14216</v>
      </c>
      <c r="C4624" s="5" t="s">
        <v>21959</v>
      </c>
      <c r="D4624" s="5" t="str">
        <v>781308947100</v>
      </c>
      <c r="E4624" s="0" t="e">
        <f>+7 (812) 2415245
+7 (812) 3019709
+7 (800) 3501155
+7 (812) 2516558
+7 (812) 2516668
+7 (812) 3019706
+7 (812) 3019726
+7 (812) 3019728
+7 (812) 3019833
+7 (812) 3019858
+7 (812) 3019888
+7 (812) 3019898
+7 (812) 3145045
+7 (812) 3161441
+7 (812) 3501434</f>
        <v>#NAME?</v>
      </c>
      <c r="F4624" s="5" t="s">
        <v>39108</v>
      </c>
      <c r="G4624" s="5"/>
      <c r="H4624" s="26">
        <v>30</v>
      </c>
      <c r="I4624" s="5" t="s">
        <v>39109</v>
      </c>
      <c r="J4624" s="5" t="s">
        <v>36639</v>
      </c>
      <c r="K4624" s="5" t="s">
        <v>344</v>
      </c>
      <c r="L4624" s="5"/>
      <c r="M4624" s="27">
        <v>149996201</v>
      </c>
      <c r="N4624" s="5" t="s">
        <v>56480</v>
      </c>
      <c r="O4624" s="5" t="str">
        <v>7830000970</v>
      </c>
      <c r="P4624" s="27">
        <v>156052018580</v>
      </c>
      <c r="Q4624" s="5" t="s">
        <v>56481</v>
      </c>
      <c r="R4624" s="5"/>
      <c r="S4624" s="5" t="s">
        <v>51039</v>
      </c>
      <c r="T4624" s="28">
        <v>483367514000</v>
      </c>
      <c r="U4624" s="28">
        <v>126509000</v>
      </c>
      <c r="V4624" s="28">
        <v>7516766000</v>
      </c>
      <c r="W4624" s="28"/>
      <c r="X4624" s="28">
        <v>3708663000</v>
      </c>
      <c r="Y4624" s="28">
        <v>500320219000</v>
      </c>
      <c r="Z4624" s="28">
        <v>2854372000</v>
      </c>
      <c r="AA4624" s="28">
        <v>3963799000</v>
      </c>
      <c r="AB4624" s="28">
        <v>4063020000</v>
      </c>
      <c r="AC4624" s="28">
        <v>19320177000</v>
      </c>
      <c r="AD4624" s="28">
        <v>433531816000</v>
      </c>
      <c r="AE4624" s="28">
        <v>53422553000</v>
      </c>
      <c r="AF4624" s="28">
        <v>847512000</v>
      </c>
      <c r="AG4624" s="11"/>
    </row>
    <row r="4625">
      <c r="A4625" s="7" t="s">
        <v>6260</v>
      </c>
      <c r="B4625" s="5" t="s">
        <v>14217</v>
      </c>
      <c r="C4625" s="5" t="s">
        <v>21960</v>
      </c>
      <c r="D4625" s="5" t="str">
        <v>344205003236</v>
      </c>
      <c r="E4625" s="0" t="e">
        <f>+7 (800) 2225550
+7 (800) 2225750
+7 (800) 2225752
+7 (812) 2225750
+7 (812) 2320008
+7 (812) 2323233
+7 (812) 2456322
+7 (812) 2951401
+7 (812) 3126700
+7 (812) 2305128
+7 (812) 2305343
+7 (812) 2305484
+7 (812) 2305641
+7 (812) 2330008
+7 (812) 2546578</f>
        <v>#NAME?</v>
      </c>
      <c r="F4625" s="5" t="s">
        <v>39110</v>
      </c>
      <c r="G4625" s="5"/>
      <c r="H4625" s="26">
        <v>19</v>
      </c>
      <c r="I4625" s="5" t="s">
        <v>39111</v>
      </c>
      <c r="J4625" s="5" t="s">
        <v>28968</v>
      </c>
      <c r="K4625" s="5" t="s">
        <v>344</v>
      </c>
      <c r="L4625" s="5" t="s">
        <v>39112</v>
      </c>
      <c r="M4625" s="27">
        <v>2912154</v>
      </c>
      <c r="N4625" s="5" t="s">
        <v>56482</v>
      </c>
      <c r="O4625" s="5" t="str">
        <v>7838024362</v>
      </c>
      <c r="P4625" s="27">
        <v>775140000</v>
      </c>
      <c r="Q4625" s="5" t="s">
        <v>56483</v>
      </c>
      <c r="R4625" s="5" t="s">
        <v>53480</v>
      </c>
      <c r="S4625" s="5" t="s">
        <v>49271</v>
      </c>
      <c r="T4625" s="28">
        <v>5033329000</v>
      </c>
      <c r="U4625" s="28"/>
      <c r="V4625" s="28">
        <v>6139993000</v>
      </c>
      <c r="W4625" s="28">
        <v>2022283000</v>
      </c>
      <c r="X4625" s="28">
        <v>109000</v>
      </c>
      <c r="Y4625" s="28">
        <v>16087568000</v>
      </c>
      <c r="Z4625" s="28">
        <v>6538031000</v>
      </c>
      <c r="AA4625" s="28">
        <v>4269214000</v>
      </c>
      <c r="AB4625" s="28">
        <v>346569000</v>
      </c>
      <c r="AC4625" s="28">
        <v>3089832000</v>
      </c>
      <c r="AD4625" s="28">
        <v>7313171000</v>
      </c>
      <c r="AE4625" s="28">
        <v>9002577000</v>
      </c>
      <c r="AF4625" s="28">
        <v>438828000</v>
      </c>
      <c r="AG4625" s="11"/>
    </row>
    <row r="4626">
      <c r="A4626" s="7" t="s">
        <v>6261</v>
      </c>
      <c r="B4626" s="5" t="s">
        <v>14218</v>
      </c>
      <c r="C4626" s="5" t="s">
        <v>21961</v>
      </c>
      <c r="D4626" s="5" t="str">
        <v>711100381163</v>
      </c>
      <c r="E4626" s="0" t="e">
        <f>+7 (81374) 72400
+7 (81374) 72401
+7 (81374) 72403
+7 (81374) 72418
+7 (921) 3010087
+7 (921) 7690681</f>
        <v>#NAME?</v>
      </c>
      <c r="F4626" s="5" t="s">
        <v>39113</v>
      </c>
      <c r="G4626" s="5"/>
      <c r="H4626" s="26">
        <v>17.5</v>
      </c>
      <c r="I4626" s="5" t="s">
        <v>39114</v>
      </c>
      <c r="J4626" s="5" t="s">
        <v>26407</v>
      </c>
      <c r="K4626" s="5" t="s">
        <v>344</v>
      </c>
      <c r="L4626" s="5"/>
      <c r="M4626" s="27">
        <v>866046</v>
      </c>
      <c r="N4626" s="5"/>
      <c r="O4626" s="5" t="str">
        <v>4713008017</v>
      </c>
      <c r="P4626" s="27">
        <v>5501000000</v>
      </c>
      <c r="Q4626" s="5"/>
      <c r="R4626" s="5"/>
      <c r="S4626" s="5" t="s">
        <v>49121</v>
      </c>
      <c r="T4626" s="28">
        <v>6056008000</v>
      </c>
      <c r="U4626" s="28"/>
      <c r="V4626" s="28">
        <v>237778000</v>
      </c>
      <c r="W4626" s="28"/>
      <c r="X4626" s="28">
        <v>3573000</v>
      </c>
      <c r="Y4626" s="28">
        <v>10985972000</v>
      </c>
      <c r="Z4626" s="28">
        <v>-13696202000</v>
      </c>
      <c r="AA4626" s="28">
        <v>12248909000</v>
      </c>
      <c r="AB4626" s="28">
        <v>878434000</v>
      </c>
      <c r="AC4626" s="28">
        <v>1367126000</v>
      </c>
      <c r="AD4626" s="28">
        <v>-3366460000</v>
      </c>
      <c r="AE4626" s="28">
        <v>5718889000</v>
      </c>
      <c r="AF4626" s="28">
        <v>1128965000</v>
      </c>
      <c r="AG4626" s="11"/>
    </row>
    <row r="4627">
      <c r="A4627" s="7" t="s">
        <v>6262</v>
      </c>
      <c r="B4627" s="5" t="s">
        <v>14219</v>
      </c>
      <c r="C4627" s="5" t="s">
        <v>21962</v>
      </c>
      <c r="D4627" s="5" t="str">
        <v>027311183306</v>
      </c>
      <c r="E4627" s="0" t="e">
        <f>+7 (3472) 468709</f>
        <v>#NAME?</v>
      </c>
      <c r="F4627" s="5" t="s">
        <v>39115</v>
      </c>
      <c r="G4627" s="5"/>
      <c r="H4627" s="26">
        <v>6.5</v>
      </c>
      <c r="I4627" s="5" t="s">
        <v>39116</v>
      </c>
      <c r="J4627" s="5" t="s">
        <v>38093</v>
      </c>
      <c r="K4627" s="5" t="s">
        <v>344</v>
      </c>
      <c r="L4627" s="5"/>
      <c r="M4627" s="27">
        <v>290925216</v>
      </c>
      <c r="N4627" s="5"/>
      <c r="O4627" s="5" t="str">
        <v>0274920024</v>
      </c>
      <c r="P4627" s="27">
        <v>100000</v>
      </c>
      <c r="Q4627" s="5" t="s">
        <v>55514</v>
      </c>
      <c r="R4627" s="5"/>
      <c r="S4627" s="5" t="s">
        <v>56484</v>
      </c>
      <c r="T4627" s="28">
        <v>334565000</v>
      </c>
      <c r="U4627" s="28">
        <v>107000</v>
      </c>
      <c r="V4627" s="28">
        <v>6312823000</v>
      </c>
      <c r="W4627" s="28">
        <v>7000000</v>
      </c>
      <c r="X4627" s="28">
        <v>178589000</v>
      </c>
      <c r="Y4627" s="28">
        <v>8840777000</v>
      </c>
      <c r="Z4627" s="28">
        <v>2249086000</v>
      </c>
      <c r="AA4627" s="28"/>
      <c r="AB4627" s="28"/>
      <c r="AC4627" s="28">
        <v>6216805000</v>
      </c>
      <c r="AD4627" s="28">
        <v>2249186000</v>
      </c>
      <c r="AE4627" s="28">
        <v>14154645000</v>
      </c>
      <c r="AF4627" s="28">
        <v>2943000</v>
      </c>
      <c r="AG4627" s="11"/>
    </row>
    <row r="4628">
      <c r="A4628" s="7" t="s">
        <v>6263</v>
      </c>
      <c r="B4628" s="5" t="s">
        <v>14220</v>
      </c>
      <c r="C4628" s="5" t="s">
        <v>20458</v>
      </c>
      <c r="D4628" s="5" t="str">
        <v>780708568601</v>
      </c>
      <c r="E4628" s="0" t="e">
        <f>+7 (812) 3323800
+7 (812) 3325136</f>
        <v>#NAME?</v>
      </c>
      <c r="F4628" s="5" t="s">
        <v>39117</v>
      </c>
      <c r="G4628" s="5" t="s">
        <v>39118</v>
      </c>
      <c r="H4628" s="26">
        <v>20</v>
      </c>
      <c r="I4628" s="5" t="s">
        <v>39119</v>
      </c>
      <c r="J4628" s="5" t="s">
        <v>27742</v>
      </c>
      <c r="K4628" s="5" t="s">
        <v>355</v>
      </c>
      <c r="L4628" s="5" t="s">
        <v>39120</v>
      </c>
      <c r="M4628" s="27"/>
      <c r="N4628" s="5"/>
      <c r="O4628" s="5" t="str">
        <v>7834005168</v>
      </c>
      <c r="P4628" s="27">
        <v>328439124</v>
      </c>
      <c r="Q4628" s="5" t="s">
        <v>49009</v>
      </c>
      <c r="R4628" s="5"/>
      <c r="S4628" s="5" t="s">
        <v>49066</v>
      </c>
      <c r="T4628" s="28">
        <v>12167495000</v>
      </c>
      <c r="U4628" s="28">
        <v>27373000</v>
      </c>
      <c r="V4628" s="28">
        <v>24289948000</v>
      </c>
      <c r="W4628" s="28"/>
      <c r="X4628" s="28">
        <v>148996000</v>
      </c>
      <c r="Y4628" s="28">
        <v>52520001000</v>
      </c>
      <c r="Z4628" s="28">
        <v>10016126000</v>
      </c>
      <c r="AA4628" s="28"/>
      <c r="AB4628" s="28">
        <v>5207872000</v>
      </c>
      <c r="AC4628" s="28">
        <v>40468334000</v>
      </c>
      <c r="AD4628" s="28">
        <v>10866159000</v>
      </c>
      <c r="AE4628" s="28">
        <v>55878989000</v>
      </c>
      <c r="AF4628" s="28">
        <v>-1433630000</v>
      </c>
      <c r="AG4628" s="11"/>
    </row>
    <row r="4629">
      <c r="A4629" s="7" t="s">
        <v>6264</v>
      </c>
      <c r="B4629" s="5" t="s">
        <v>14221</v>
      </c>
      <c r="C4629" s="5" t="s">
        <v>21963</v>
      </c>
      <c r="D4629" s="5" t="str">
        <v>526318530529</v>
      </c>
      <c r="E4629" s="0" t="e">
        <f>+7 (926) 7378319
+7 (495) 6656115
+7 (499) 5508866
+7 (903) 7289673
+7 (985) 84500</f>
        <v>#NAME?</v>
      </c>
      <c r="F4629" s="5" t="s">
        <v>39121</v>
      </c>
      <c r="G4629" s="5"/>
      <c r="H4629" s="26">
        <v>17.5</v>
      </c>
      <c r="I4629" s="5" t="s">
        <v>39122</v>
      </c>
      <c r="J4629" s="5" t="s">
        <v>25210</v>
      </c>
      <c r="K4629" s="5" t="s">
        <v>380</v>
      </c>
      <c r="L4629" s="5"/>
      <c r="M4629" s="27">
        <v>13618067</v>
      </c>
      <c r="N4629" s="5" t="s">
        <v>56485</v>
      </c>
      <c r="O4629" s="5" t="str">
        <v>7727551998</v>
      </c>
      <c r="P4629" s="27">
        <v>31330722</v>
      </c>
      <c r="Q4629" s="5" t="s">
        <v>56486</v>
      </c>
      <c r="R4629" s="5"/>
      <c r="S4629" s="5" t="s">
        <v>56487</v>
      </c>
      <c r="T4629" s="28">
        <v>1020158000</v>
      </c>
      <c r="U4629" s="28">
        <v>181000</v>
      </c>
      <c r="V4629" s="28">
        <v>14391296000</v>
      </c>
      <c r="W4629" s="28"/>
      <c r="X4629" s="28">
        <v>284299000</v>
      </c>
      <c r="Y4629" s="28">
        <v>25455830000</v>
      </c>
      <c r="Z4629" s="28">
        <v>-6869602000</v>
      </c>
      <c r="AA4629" s="28">
        <v>1371581000</v>
      </c>
      <c r="AB4629" s="28">
        <v>1215848000</v>
      </c>
      <c r="AC4629" s="28">
        <v>27615715000</v>
      </c>
      <c r="AD4629" s="28">
        <v>-3618943000</v>
      </c>
      <c r="AE4629" s="28">
        <v>7520633000</v>
      </c>
      <c r="AF4629" s="28">
        <v>47963000</v>
      </c>
      <c r="AG4629" s="11"/>
    </row>
    <row r="4630">
      <c r="A4630" s="7" t="s">
        <v>6265</v>
      </c>
      <c r="B4630" s="5" t="s">
        <v>14222</v>
      </c>
      <c r="C4630" s="5" t="s">
        <v>21964</v>
      </c>
      <c r="D4630" s="5" t="str">
        <v>780516169900</v>
      </c>
      <c r="F4630" s="5" t="s">
        <v>39123</v>
      </c>
      <c r="G4630" s="5"/>
      <c r="H4630" s="26">
        <v>1</v>
      </c>
      <c r="I4630" s="5" t="s">
        <v>39124</v>
      </c>
      <c r="J4630" s="5" t="s">
        <v>26828</v>
      </c>
      <c r="K4630" s="5" t="s">
        <v>344</v>
      </c>
      <c r="L4630" s="5"/>
      <c r="M4630" s="27"/>
      <c r="N4630" s="5" t="s">
        <v>56488</v>
      </c>
      <c r="O4630" s="5" t="str">
        <v>7813659184</v>
      </c>
      <c r="P4630" s="27">
        <v>200000</v>
      </c>
      <c r="Q4630" s="5" t="s">
        <v>56489</v>
      </c>
      <c r="R4630" s="5"/>
      <c r="S4630" s="5" t="s">
        <v>49047</v>
      </c>
      <c r="T4630" s="28">
        <v>11461000</v>
      </c>
      <c r="U4630" s="28"/>
      <c r="V4630" s="28">
        <v>275897000</v>
      </c>
      <c r="W4630" s="28">
        <v>309357000</v>
      </c>
      <c r="X4630" s="28">
        <v>31378000</v>
      </c>
      <c r="Y4630" s="28">
        <v>1447234000</v>
      </c>
      <c r="Z4630" s="28">
        <v>318998000</v>
      </c>
      <c r="AA4630" s="28"/>
      <c r="AB4630" s="28"/>
      <c r="AC4630" s="28">
        <v>1126126000</v>
      </c>
      <c r="AD4630" s="28">
        <v>319198000</v>
      </c>
      <c r="AE4630" s="28">
        <v>5996786000</v>
      </c>
      <c r="AF4630" s="28">
        <v>489284000</v>
      </c>
      <c r="AG4630" s="11"/>
    </row>
    <row r="4631">
      <c r="A4631" s="7" t="s">
        <v>6266</v>
      </c>
      <c r="B4631" s="5" t="s">
        <v>14223</v>
      </c>
      <c r="C4631" s="5" t="s">
        <v>21965</v>
      </c>
      <c r="D4631" s="5" t="str">
        <v>771513444800</v>
      </c>
      <c r="E4631" s="0" t="e">
        <f>+7 (495) 7770800
+7 (812) 7184900</f>
        <v>#NAME?</v>
      </c>
      <c r="F4631" s="5" t="s">
        <v>39125</v>
      </c>
      <c r="G4631" s="5" t="s">
        <v>39126</v>
      </c>
      <c r="H4631" s="26">
        <v>20</v>
      </c>
      <c r="I4631" s="5" t="s">
        <v>39127</v>
      </c>
      <c r="J4631" s="5" t="s">
        <v>31664</v>
      </c>
      <c r="K4631" s="5" t="s">
        <v>344</v>
      </c>
      <c r="L4631" s="5"/>
      <c r="M4631" s="27"/>
      <c r="N4631" s="5" t="s">
        <v>56490</v>
      </c>
      <c r="O4631" s="5" t="str">
        <v>7710456087</v>
      </c>
      <c r="P4631" s="27">
        <v>14831874</v>
      </c>
      <c r="Q4631" s="5" t="s">
        <v>56491</v>
      </c>
      <c r="R4631" s="5"/>
      <c r="S4631" s="5" t="s">
        <v>56492</v>
      </c>
      <c r="T4631" s="28">
        <v>2844837000</v>
      </c>
      <c r="U4631" s="28">
        <v>324000</v>
      </c>
      <c r="V4631" s="28">
        <v>1182575000</v>
      </c>
      <c r="W4631" s="28"/>
      <c r="X4631" s="28">
        <v>32808000</v>
      </c>
      <c r="Y4631" s="28">
        <v>4557618000</v>
      </c>
      <c r="Z4631" s="28">
        <v>-1126092000</v>
      </c>
      <c r="AA4631" s="28"/>
      <c r="AB4631" s="28">
        <v>127166000</v>
      </c>
      <c r="AC4631" s="28">
        <v>1496473000</v>
      </c>
      <c r="AD4631" s="28">
        <v>1773668000</v>
      </c>
      <c r="AE4631" s="28">
        <v>8319536000</v>
      </c>
      <c r="AF4631" s="28">
        <v>-403097000</v>
      </c>
      <c r="AG4631" s="11"/>
    </row>
    <row r="4632">
      <c r="A4632" s="7" t="s">
        <v>6267</v>
      </c>
      <c r="B4632" s="5" t="s">
        <v>14224</v>
      </c>
      <c r="C4632" s="5" t="s">
        <v>21966</v>
      </c>
      <c r="D4632" s="5" t="str">
        <v>470601541708</v>
      </c>
      <c r="E4632" s="0" t="e">
        <f>+7 (812) 3257700
+7 (965) 482051</f>
        <v>#NAME?</v>
      </c>
      <c r="F4632" s="5" t="s">
        <v>39128</v>
      </c>
      <c r="G4632" s="5" t="s">
        <v>39129</v>
      </c>
      <c r="H4632" s="26">
        <v>15.5</v>
      </c>
      <c r="I4632" s="5" t="s">
        <v>39130</v>
      </c>
      <c r="J4632" s="5" t="s">
        <v>389</v>
      </c>
      <c r="K4632" s="5" t="s">
        <v>344</v>
      </c>
      <c r="L4632" s="5" t="s">
        <v>882</v>
      </c>
      <c r="M4632" s="27"/>
      <c r="N4632" s="5" t="s">
        <v>56493</v>
      </c>
      <c r="O4632" s="5" t="str">
        <v>7813382729</v>
      </c>
      <c r="P4632" s="27">
        <v>45000000</v>
      </c>
      <c r="Q4632" s="5" t="s">
        <v>53593</v>
      </c>
      <c r="R4632" s="5"/>
      <c r="S4632" s="5" t="s">
        <v>56494</v>
      </c>
      <c r="T4632" s="28">
        <v>668014000</v>
      </c>
      <c r="U4632" s="28"/>
      <c r="V4632" s="28">
        <v>86999000</v>
      </c>
      <c r="W4632" s="28"/>
      <c r="X4632" s="28">
        <v>8277000</v>
      </c>
      <c r="Y4632" s="28">
        <v>1428812000</v>
      </c>
      <c r="Z4632" s="28">
        <v>392214000</v>
      </c>
      <c r="AA4632" s="28">
        <v>373272000</v>
      </c>
      <c r="AB4632" s="28">
        <v>155089000</v>
      </c>
      <c r="AC4632" s="28">
        <v>474491000</v>
      </c>
      <c r="AD4632" s="28">
        <v>473153000</v>
      </c>
      <c r="AE4632" s="28">
        <v>4748180000</v>
      </c>
      <c r="AF4632" s="28">
        <v>347000</v>
      </c>
      <c r="AG4632" s="11"/>
    </row>
    <row r="4633">
      <c r="A4633" s="7" t="s">
        <v>6268</v>
      </c>
      <c r="B4633" s="5" t="s">
        <v>14225</v>
      </c>
      <c r="C4633" s="5" t="s">
        <v>21967</v>
      </c>
      <c r="D4633" s="5" t="str">
        <v>526020112775</v>
      </c>
      <c r="E4633" s="0" t="e">
        <f>+7 (916) 3681646
+7 (903) 5000075
+7 (915) 149487</f>
        <v>#NAME?</v>
      </c>
      <c r="F4633" s="5" t="s">
        <v>39131</v>
      </c>
      <c r="G4633" s="5"/>
      <c r="H4633" s="26">
        <v>9</v>
      </c>
      <c r="I4633" s="5" t="s">
        <v>39132</v>
      </c>
      <c r="J4633" s="5" t="s">
        <v>373</v>
      </c>
      <c r="K4633" s="5" t="s">
        <v>344</v>
      </c>
      <c r="L4633" s="5"/>
      <c r="M4633" s="27"/>
      <c r="N4633" s="5"/>
      <c r="O4633" s="5" t="str">
        <v>7705874931</v>
      </c>
      <c r="P4633" s="27">
        <v>20000</v>
      </c>
      <c r="Q4633" s="5" t="s">
        <v>49057</v>
      </c>
      <c r="R4633" s="5"/>
      <c r="S4633" s="5" t="s">
        <v>49452</v>
      </c>
      <c r="T4633" s="28">
        <v>37477000</v>
      </c>
      <c r="U4633" s="28"/>
      <c r="V4633" s="28">
        <v>1085276000</v>
      </c>
      <c r="W4633" s="28"/>
      <c r="X4633" s="28">
        <v>2265000</v>
      </c>
      <c r="Y4633" s="28">
        <v>1662088000</v>
      </c>
      <c r="Z4633" s="28">
        <v>42535000</v>
      </c>
      <c r="AA4633" s="28"/>
      <c r="AB4633" s="28">
        <v>499694000</v>
      </c>
      <c r="AC4633" s="28">
        <v>1589917000</v>
      </c>
      <c r="AD4633" s="28">
        <v>42555000</v>
      </c>
      <c r="AE4633" s="28">
        <v>7879368000</v>
      </c>
      <c r="AF4633" s="28">
        <v>3595000</v>
      </c>
      <c r="AG4633" s="11"/>
    </row>
    <row r="4634">
      <c r="A4634" s="7" t="s">
        <v>6269</v>
      </c>
      <c r="B4634" s="5" t="s">
        <v>14226</v>
      </c>
      <c r="C4634" s="5" t="s">
        <v>21968</v>
      </c>
      <c r="D4634" s="5" t="str">
        <v>233504816373</v>
      </c>
      <c r="E4634" s="0" t="e">
        <f>+7 (499) 3720707
+7 (812) 7777080</f>
        <v>#NAME?</v>
      </c>
      <c r="F4634" s="5" t="s">
        <v>39133</v>
      </c>
      <c r="G4634" s="5" t="s">
        <v>39134</v>
      </c>
      <c r="H4634" s="26">
        <v>14</v>
      </c>
      <c r="I4634" s="5" t="s">
        <v>39135</v>
      </c>
      <c r="J4634" s="5" t="s">
        <v>25446</v>
      </c>
      <c r="K4634" s="5" t="s">
        <v>344</v>
      </c>
      <c r="L4634" s="5" t="s">
        <v>39136</v>
      </c>
      <c r="M4634" s="27"/>
      <c r="N4634" s="5" t="s">
        <v>56495</v>
      </c>
      <c r="O4634" s="5" t="str">
        <v>7728679260</v>
      </c>
      <c r="P4634" s="27">
        <v>20000000</v>
      </c>
      <c r="Q4634" s="5" t="s">
        <v>56496</v>
      </c>
      <c r="R4634" s="5"/>
      <c r="S4634" s="5" t="s">
        <v>56497</v>
      </c>
      <c r="T4634" s="28">
        <v>296596000</v>
      </c>
      <c r="U4634" s="28"/>
      <c r="V4634" s="28">
        <v>2881691000</v>
      </c>
      <c r="W4634" s="28">
        <v>1300000</v>
      </c>
      <c r="X4634" s="28">
        <v>90555000</v>
      </c>
      <c r="Y4634" s="28">
        <v>4363401000</v>
      </c>
      <c r="Z4634" s="28">
        <v>2133784000</v>
      </c>
      <c r="AA4634" s="28"/>
      <c r="AB4634" s="28">
        <v>1205316000</v>
      </c>
      <c r="AC4634" s="28">
        <v>2114940000</v>
      </c>
      <c r="AD4634" s="28">
        <v>2153786000</v>
      </c>
      <c r="AE4634" s="28">
        <v>5697234000</v>
      </c>
      <c r="AF4634" s="28">
        <v>377962000</v>
      </c>
      <c r="AG4634" s="11"/>
    </row>
    <row r="4635">
      <c r="A4635" s="7" t="s">
        <v>6270</v>
      </c>
      <c r="B4635" s="5" t="s">
        <v>14227</v>
      </c>
      <c r="C4635" s="5" t="s">
        <v>21969</v>
      </c>
      <c r="D4635" s="5"/>
      <c r="E4635" s="0" t="e">
        <f>+7 (8553) 319097
+7 (8553) 393901
+7 (8553) 371082
+7 (8553) 393904</f>
        <v>#NAME?</v>
      </c>
      <c r="F4635" s="5" t="s">
        <v>39137</v>
      </c>
      <c r="G4635" s="5"/>
      <c r="H4635" s="26">
        <v>20</v>
      </c>
      <c r="I4635" s="5" t="s">
        <v>39138</v>
      </c>
      <c r="J4635" s="5" t="s">
        <v>27921</v>
      </c>
      <c r="K4635" s="5" t="s">
        <v>344</v>
      </c>
      <c r="L4635" s="5" t="s">
        <v>39139</v>
      </c>
      <c r="M4635" s="27"/>
      <c r="N4635" s="5" t="s">
        <v>50480</v>
      </c>
      <c r="O4635" s="5" t="str">
        <v>1644026433</v>
      </c>
      <c r="P4635" s="27">
        <v>10000</v>
      </c>
      <c r="Q4635" s="5"/>
      <c r="R4635" s="5"/>
      <c r="S4635" s="5" t="s">
        <v>49195</v>
      </c>
      <c r="T4635" s="28">
        <v>1844619000</v>
      </c>
      <c r="U4635" s="28"/>
      <c r="V4635" s="28">
        <v>1189744000</v>
      </c>
      <c r="W4635" s="28"/>
      <c r="X4635" s="28">
        <v>88640000</v>
      </c>
      <c r="Y4635" s="28">
        <v>3522514000</v>
      </c>
      <c r="Z4635" s="28">
        <v>1343137000</v>
      </c>
      <c r="AA4635" s="28">
        <v>1323917000</v>
      </c>
      <c r="AB4635" s="28">
        <v>212623000</v>
      </c>
      <c r="AC4635" s="28">
        <v>724593000</v>
      </c>
      <c r="AD4635" s="28">
        <v>1343147000</v>
      </c>
      <c r="AE4635" s="28">
        <v>3095316000</v>
      </c>
      <c r="AF4635" s="28">
        <v>98936000</v>
      </c>
      <c r="AG4635" s="11"/>
    </row>
    <row r="4636">
      <c r="A4636" s="7" t="s">
        <v>6271</v>
      </c>
      <c r="B4636" s="5" t="s">
        <v>14228</v>
      </c>
      <c r="C4636" s="5" t="s">
        <v>18875</v>
      </c>
      <c r="D4636" s="5"/>
      <c r="E4636" s="0" t="e">
        <f>+7 (812) 3323010
+7 (812) 3323022
+7 (812) 3323001
+7 (812) 3638600
+7 (812) 3638604
+7 (812) 3638660
+7 (812) 3638700
+7 (812) 3638737
+7 (812) 3638779
+7 (812) 3638780
+7 (812) 3638799
+7 (812) 4594244</f>
        <v>#NAME?</v>
      </c>
      <c r="F4636" s="5" t="s">
        <v>39140</v>
      </c>
      <c r="G4636" s="5" t="s">
        <v>39141</v>
      </c>
      <c r="H4636" s="26">
        <v>30</v>
      </c>
      <c r="I4636" s="5"/>
      <c r="J4636" s="5" t="s">
        <v>26905</v>
      </c>
      <c r="K4636" s="5" t="s">
        <v>355</v>
      </c>
      <c r="L4636" s="5" t="s">
        <v>39142</v>
      </c>
      <c r="M4636" s="27"/>
      <c r="N4636" s="5"/>
      <c r="O4636" s="5" t="str">
        <v>7805014746</v>
      </c>
      <c r="P4636" s="27">
        <v>47547200</v>
      </c>
      <c r="Q4636" s="5" t="s">
        <v>56498</v>
      </c>
      <c r="R4636" s="5"/>
      <c r="S4636" s="5" t="s">
        <v>49288</v>
      </c>
      <c r="T4636" s="28">
        <v>8113117000</v>
      </c>
      <c r="U4636" s="28">
        <v>49535342000</v>
      </c>
      <c r="V4636" s="28">
        <v>399950000</v>
      </c>
      <c r="W4636" s="28"/>
      <c r="X4636" s="28">
        <v>501491000</v>
      </c>
      <c r="Y4636" s="28">
        <v>61925882000</v>
      </c>
      <c r="Z4636" s="28">
        <v>15895638000</v>
      </c>
      <c r="AA4636" s="28">
        <v>41051536000</v>
      </c>
      <c r="AB4636" s="28">
        <v>2279454000</v>
      </c>
      <c r="AC4636" s="28">
        <v>2839216000</v>
      </c>
      <c r="AD4636" s="28">
        <v>16136793000</v>
      </c>
      <c r="AE4636" s="28">
        <v>3913570000</v>
      </c>
      <c r="AF4636" s="28">
        <v>-2452488000</v>
      </c>
      <c r="AG4636" s="11"/>
    </row>
    <row r="4637">
      <c r="A4637" s="7" t="s">
        <v>6272</v>
      </c>
      <c r="B4637" s="5" t="s">
        <v>14229</v>
      </c>
      <c r="C4637" s="5" t="s">
        <v>21970</v>
      </c>
      <c r="D4637" s="5" t="str">
        <v>550205788980</v>
      </c>
      <c r="E4637" s="0" t="e">
        <f>+7 (495) 6151676
+7 (495) 2151626
+7 (495) 2151676</f>
        <v>#NAME?</v>
      </c>
      <c r="F4637" s="5" t="s">
        <v>39143</v>
      </c>
      <c r="G4637" s="5" t="s">
        <v>39144</v>
      </c>
      <c r="H4637" s="26">
        <v>10</v>
      </c>
      <c r="I4637" s="5" t="s">
        <v>39145</v>
      </c>
      <c r="J4637" s="5" t="s">
        <v>373</v>
      </c>
      <c r="K4637" s="5" t="s">
        <v>344</v>
      </c>
      <c r="L4637" s="5" t="s">
        <v>39146</v>
      </c>
      <c r="M4637" s="27">
        <v>3872396</v>
      </c>
      <c r="N4637" s="5" t="s">
        <v>56499</v>
      </c>
      <c r="O4637" s="5" t="str">
        <v>7736655834</v>
      </c>
      <c r="P4637" s="27">
        <v>300000</v>
      </c>
      <c r="Q4637" s="5" t="s">
        <v>56500</v>
      </c>
      <c r="R4637" s="5"/>
      <c r="S4637" s="5" t="s">
        <v>56501</v>
      </c>
      <c r="T4637" s="28">
        <v>53238000</v>
      </c>
      <c r="U4637" s="28">
        <v>20346000</v>
      </c>
      <c r="V4637" s="28">
        <v>4587625000</v>
      </c>
      <c r="W4637" s="28"/>
      <c r="X4637" s="28">
        <v>66497000</v>
      </c>
      <c r="Y4637" s="28">
        <v>5218612000</v>
      </c>
      <c r="Z4637" s="28">
        <v>712163000</v>
      </c>
      <c r="AA4637" s="28">
        <v>80600000</v>
      </c>
      <c r="AB4637" s="28">
        <v>2421879000</v>
      </c>
      <c r="AC4637" s="28">
        <v>4359769000</v>
      </c>
      <c r="AD4637" s="28">
        <v>712463000</v>
      </c>
      <c r="AE4637" s="28">
        <v>42545704000</v>
      </c>
      <c r="AF4637" s="28">
        <v>158931000</v>
      </c>
      <c r="AG4637" s="11"/>
    </row>
    <row r="4638">
      <c r="A4638" s="7" t="s">
        <v>6273</v>
      </c>
      <c r="B4638" s="5" t="s">
        <v>14230</v>
      </c>
      <c r="C4638" s="5" t="s">
        <v>21971</v>
      </c>
      <c r="D4638" s="5" t="str">
        <v>772015019280</v>
      </c>
      <c r="F4638" s="5"/>
      <c r="G4638" s="5"/>
      <c r="H4638" s="26">
        <v>6.5</v>
      </c>
      <c r="I4638" s="5" t="s">
        <v>39147</v>
      </c>
      <c r="J4638" s="5" t="s">
        <v>373</v>
      </c>
      <c r="K4638" s="5" t="s">
        <v>344</v>
      </c>
      <c r="L4638" s="5" t="s">
        <v>39148</v>
      </c>
      <c r="M4638" s="27"/>
      <c r="N4638" s="5"/>
      <c r="O4638" s="5" t="str">
        <v>7724389747</v>
      </c>
      <c r="P4638" s="27">
        <v>150000</v>
      </c>
      <c r="Q4638" s="5" t="s">
        <v>49009</v>
      </c>
      <c r="R4638" s="5"/>
      <c r="S4638" s="5" t="s">
        <v>49010</v>
      </c>
      <c r="T4638" s="28"/>
      <c r="U4638" s="28"/>
      <c r="V4638" s="28">
        <v>526819000</v>
      </c>
      <c r="W4638" s="28">
        <v>76085000</v>
      </c>
      <c r="X4638" s="28">
        <v>571000</v>
      </c>
      <c r="Y4638" s="28">
        <v>1080127000</v>
      </c>
      <c r="Z4638" s="28">
        <v>33971000</v>
      </c>
      <c r="AA4638" s="28"/>
      <c r="AB4638" s="28"/>
      <c r="AC4638" s="28">
        <v>1046006000</v>
      </c>
      <c r="AD4638" s="28">
        <v>34121000</v>
      </c>
      <c r="AE4638" s="28">
        <v>3120534000</v>
      </c>
      <c r="AF4638" s="28">
        <v>3275000</v>
      </c>
      <c r="AG4638" s="11"/>
    </row>
    <row r="4639">
      <c r="A4639" s="7" t="s">
        <v>6274</v>
      </c>
      <c r="B4639" s="5" t="s">
        <v>14231</v>
      </c>
      <c r="C4639" s="5" t="s">
        <v>21972</v>
      </c>
      <c r="D4639" s="5" t="str">
        <v>772974530771</v>
      </c>
      <c r="F4639" s="5"/>
      <c r="G4639" s="5"/>
      <c r="H4639" s="26">
        <v>14.5</v>
      </c>
      <c r="I4639" s="5" t="s">
        <v>39149</v>
      </c>
      <c r="J4639" s="5" t="s">
        <v>373</v>
      </c>
      <c r="K4639" s="5" t="s">
        <v>355</v>
      </c>
      <c r="L4639" s="5"/>
      <c r="M4639" s="27">
        <v>1913760</v>
      </c>
      <c r="N4639" s="5" t="s">
        <v>56502</v>
      </c>
      <c r="O4639" s="5" t="str">
        <v>7726599877</v>
      </c>
      <c r="P4639" s="27">
        <v>300000</v>
      </c>
      <c r="Q4639" s="5" t="s">
        <v>49059</v>
      </c>
      <c r="R4639" s="5"/>
      <c r="S4639" s="5" t="s">
        <v>49126</v>
      </c>
      <c r="T4639" s="28">
        <v>28362000</v>
      </c>
      <c r="U4639" s="28">
        <v>24700000</v>
      </c>
      <c r="V4639" s="28">
        <v>282872000</v>
      </c>
      <c r="W4639" s="28"/>
      <c r="X4639" s="28">
        <v>17862000</v>
      </c>
      <c r="Y4639" s="28">
        <v>635036000</v>
      </c>
      <c r="Z4639" s="28">
        <v>275758000</v>
      </c>
      <c r="AA4639" s="28">
        <v>85000000</v>
      </c>
      <c r="AB4639" s="28">
        <v>94955000</v>
      </c>
      <c r="AC4639" s="28">
        <v>273978000</v>
      </c>
      <c r="AD4639" s="28">
        <v>276058000</v>
      </c>
      <c r="AE4639" s="28">
        <v>6038091000</v>
      </c>
      <c r="AF4639" s="28">
        <v>195490000</v>
      </c>
      <c r="AG4639" s="11"/>
    </row>
    <row r="4640">
      <c r="A4640" s="7" t="s">
        <v>6275</v>
      </c>
      <c r="B4640" s="5" t="s">
        <v>14232</v>
      </c>
      <c r="C4640" s="5" t="s">
        <v>21973</v>
      </c>
      <c r="D4640" s="5" t="str">
        <v>782702978108</v>
      </c>
      <c r="E4640" s="0" t="e">
        <f>+7 (812) 2940612
+7 (812) 6121188</f>
        <v>#NAME?</v>
      </c>
      <c r="F4640" s="5" t="s">
        <v>39150</v>
      </c>
      <c r="G4640" s="5" t="s">
        <v>39151</v>
      </c>
      <c r="H4640" s="26">
        <v>22</v>
      </c>
      <c r="I4640" s="5" t="s">
        <v>39152</v>
      </c>
      <c r="J4640" s="5" t="s">
        <v>31043</v>
      </c>
      <c r="K4640" s="5" t="s">
        <v>344</v>
      </c>
      <c r="L4640" s="5" t="s">
        <v>39153</v>
      </c>
      <c r="M4640" s="27"/>
      <c r="N4640" s="5"/>
      <c r="O4640" s="5" t="str">
        <v>7813600046</v>
      </c>
      <c r="P4640" s="27">
        <v>2500000</v>
      </c>
      <c r="Q4640" s="5" t="s">
        <v>49009</v>
      </c>
      <c r="R4640" s="5"/>
      <c r="S4640" s="5" t="s">
        <v>49010</v>
      </c>
      <c r="T4640" s="28">
        <v>6976000</v>
      </c>
      <c r="U4640" s="28"/>
      <c r="V4640" s="28">
        <v>167403000</v>
      </c>
      <c r="W4640" s="28"/>
      <c r="X4640" s="28">
        <v>9159000</v>
      </c>
      <c r="Y4640" s="28">
        <v>247243000</v>
      </c>
      <c r="Z4640" s="28">
        <v>36079000</v>
      </c>
      <c r="AA4640" s="28">
        <v>115000000</v>
      </c>
      <c r="AB4640" s="28">
        <v>50000000</v>
      </c>
      <c r="AC4640" s="28">
        <v>93664000</v>
      </c>
      <c r="AD4640" s="28">
        <v>38580000</v>
      </c>
      <c r="AE4640" s="28">
        <v>4527307000</v>
      </c>
      <c r="AF4640" s="28">
        <v>-25224000</v>
      </c>
      <c r="AG4640" s="11"/>
    </row>
    <row r="4641">
      <c r="A4641" s="7" t="s">
        <v>6276</v>
      </c>
      <c r="B4641" s="5" t="s">
        <v>14233</v>
      </c>
      <c r="C4641" s="5" t="s">
        <v>21974</v>
      </c>
      <c r="D4641" s="5" t="str">
        <v>780216177635</v>
      </c>
      <c r="E4641" s="0" t="e">
        <f>+7 (812) 1023105
+7 (812) 4497031</f>
        <v>#NAME?</v>
      </c>
      <c r="F4641" s="5" t="s">
        <v>39154</v>
      </c>
      <c r="G4641" s="5" t="s">
        <v>39155</v>
      </c>
      <c r="H4641" s="26">
        <v>19</v>
      </c>
      <c r="I4641" s="5" t="s">
        <v>39156</v>
      </c>
      <c r="J4641" s="5" t="s">
        <v>364</v>
      </c>
      <c r="K4641" s="5" t="s">
        <v>344</v>
      </c>
      <c r="L4641" s="5" t="s">
        <v>39157</v>
      </c>
      <c r="M4641" s="27">
        <v>45091184</v>
      </c>
      <c r="N4641" s="5" t="s">
        <v>56503</v>
      </c>
      <c r="O4641" s="5" t="str">
        <v>7811147430</v>
      </c>
      <c r="P4641" s="27">
        <v>61924520</v>
      </c>
      <c r="Q4641" s="5" t="s">
        <v>49822</v>
      </c>
      <c r="R4641" s="5" t="s">
        <v>56504</v>
      </c>
      <c r="S4641" s="5" t="s">
        <v>56505</v>
      </c>
      <c r="T4641" s="28">
        <v>444344000</v>
      </c>
      <c r="U4641" s="28">
        <v>1500000</v>
      </c>
      <c r="V4641" s="28">
        <v>3021130000</v>
      </c>
      <c r="W4641" s="28">
        <v>230274000</v>
      </c>
      <c r="X4641" s="28">
        <v>134429000</v>
      </c>
      <c r="Y4641" s="28">
        <v>8699162000</v>
      </c>
      <c r="Z4641" s="28">
        <v>522473000</v>
      </c>
      <c r="AA4641" s="28"/>
      <c r="AB4641" s="28"/>
      <c r="AC4641" s="28">
        <v>7864899000</v>
      </c>
      <c r="AD4641" s="28">
        <v>704623000</v>
      </c>
      <c r="AE4641" s="28">
        <v>4577164000</v>
      </c>
      <c r="AF4641" s="28">
        <v>78806000</v>
      </c>
      <c r="AG4641" s="11"/>
    </row>
    <row r="4642">
      <c r="A4642" s="7" t="s">
        <v>6277</v>
      </c>
      <c r="B4642" s="5" t="s">
        <v>14234</v>
      </c>
      <c r="C4642" s="5" t="s">
        <v>21975</v>
      </c>
      <c r="D4642" s="5" t="str">
        <v>772610951565</v>
      </c>
      <c r="F4642" s="5" t="s">
        <v>39158</v>
      </c>
      <c r="G4642" s="5" t="s">
        <v>39159</v>
      </c>
      <c r="H4642" s="26">
        <v>19.5</v>
      </c>
      <c r="I4642" s="5" t="s">
        <v>39160</v>
      </c>
      <c r="J4642" s="5" t="s">
        <v>27407</v>
      </c>
      <c r="K4642" s="5" t="s">
        <v>355</v>
      </c>
      <c r="L4642" s="5"/>
      <c r="M4642" s="27"/>
      <c r="N4642" s="5"/>
      <c r="O4642" s="5" t="str">
        <v>7707334402</v>
      </c>
      <c r="P4642" s="27">
        <v>100000</v>
      </c>
      <c r="Q4642" s="5" t="s">
        <v>49057</v>
      </c>
      <c r="R4642" s="5"/>
      <c r="S4642" s="5" t="s">
        <v>50822</v>
      </c>
      <c r="T4642" s="28">
        <v>4722000</v>
      </c>
      <c r="U4642" s="28"/>
      <c r="V4642" s="28">
        <v>654614000</v>
      </c>
      <c r="W4642" s="28"/>
      <c r="X4642" s="28">
        <v>2482000</v>
      </c>
      <c r="Y4642" s="28">
        <v>1127069000</v>
      </c>
      <c r="Z4642" s="28">
        <v>40374000</v>
      </c>
      <c r="AA4642" s="28"/>
      <c r="AB4642" s="28"/>
      <c r="AC4642" s="28">
        <v>1086133000</v>
      </c>
      <c r="AD4642" s="28">
        <v>40474000</v>
      </c>
      <c r="AE4642" s="28">
        <v>5768723000</v>
      </c>
      <c r="AF4642" s="28">
        <v>39241000</v>
      </c>
      <c r="AG4642" s="11"/>
    </row>
    <row r="4643">
      <c r="A4643" s="7" t="s">
        <v>6278</v>
      </c>
      <c r="B4643" s="5" t="s">
        <v>14235</v>
      </c>
      <c r="C4643" s="5" t="s">
        <v>21976</v>
      </c>
      <c r="D4643" s="5" t="str">
        <v>772636328718</v>
      </c>
      <c r="E4643" s="0" t="e">
        <f>+7 (495) 9896153
+7 (919) 6770777
+7 (495) 2801618
+7 (495) 7868279</f>
        <v>#NAME?</v>
      </c>
      <c r="F4643" s="5" t="s">
        <v>39161</v>
      </c>
      <c r="G4643" s="5" t="s">
        <v>39162</v>
      </c>
      <c r="H4643" s="26">
        <v>16</v>
      </c>
      <c r="I4643" s="5" t="s">
        <v>39163</v>
      </c>
      <c r="J4643" s="5" t="s">
        <v>25512</v>
      </c>
      <c r="K4643" s="5" t="s">
        <v>344</v>
      </c>
      <c r="L4643" s="5" t="s">
        <v>39164</v>
      </c>
      <c r="M4643" s="27"/>
      <c r="N4643" s="5" t="s">
        <v>56506</v>
      </c>
      <c r="O4643" s="5" t="str">
        <v>7714682986</v>
      </c>
      <c r="P4643" s="27">
        <v>300000</v>
      </c>
      <c r="Q4643" s="5" t="s">
        <v>49057</v>
      </c>
      <c r="R4643" s="5"/>
      <c r="S4643" s="5" t="s">
        <v>56507</v>
      </c>
      <c r="T4643" s="28">
        <v>33338000</v>
      </c>
      <c r="U4643" s="28"/>
      <c r="V4643" s="28">
        <v>117973000</v>
      </c>
      <c r="W4643" s="28"/>
      <c r="X4643" s="28">
        <v>320000</v>
      </c>
      <c r="Y4643" s="28">
        <v>232531000</v>
      </c>
      <c r="Z4643" s="28">
        <v>47879000</v>
      </c>
      <c r="AA4643" s="28">
        <v>55998000</v>
      </c>
      <c r="AB4643" s="28">
        <v>62800000</v>
      </c>
      <c r="AC4643" s="28">
        <v>128354000</v>
      </c>
      <c r="AD4643" s="28">
        <v>48179000</v>
      </c>
      <c r="AE4643" s="28">
        <v>5339995000</v>
      </c>
      <c r="AF4643" s="28">
        <v>4188000</v>
      </c>
      <c r="AG4643" s="11"/>
    </row>
    <row r="4644">
      <c r="A4644" s="7" t="s">
        <v>6279</v>
      </c>
      <c r="B4644" s="5" t="s">
        <v>14236</v>
      </c>
      <c r="C4644" s="5" t="s">
        <v>21977</v>
      </c>
      <c r="D4644" s="5" t="str">
        <v>503818382630</v>
      </c>
      <c r="E4644" s="0" t="e">
        <f>+7 (495) 2252212
+7 (495) 9257516</f>
        <v>#NAME?</v>
      </c>
      <c r="F4644" s="5" t="s">
        <v>39165</v>
      </c>
      <c r="G4644" s="5"/>
      <c r="H4644" s="26">
        <v>7.5</v>
      </c>
      <c r="I4644" s="5" t="s">
        <v>39166</v>
      </c>
      <c r="J4644" s="5" t="s">
        <v>373</v>
      </c>
      <c r="K4644" s="5" t="s">
        <v>344</v>
      </c>
      <c r="L4644" s="5" t="s">
        <v>39167</v>
      </c>
      <c r="M4644" s="27">
        <v>15000</v>
      </c>
      <c r="N4644" s="5"/>
      <c r="O4644" s="5" t="str">
        <v>9715219566</v>
      </c>
      <c r="P4644" s="27">
        <v>1000000</v>
      </c>
      <c r="Q4644" s="5" t="s">
        <v>49057</v>
      </c>
      <c r="R4644" s="5"/>
      <c r="S4644" s="5" t="s">
        <v>49452</v>
      </c>
      <c r="T4644" s="28"/>
      <c r="U4644" s="28"/>
      <c r="V4644" s="28">
        <v>284366000</v>
      </c>
      <c r="W4644" s="28"/>
      <c r="X4644" s="28">
        <v>241752000</v>
      </c>
      <c r="Y4644" s="28">
        <v>526182000</v>
      </c>
      <c r="Z4644" s="28">
        <v>446919000</v>
      </c>
      <c r="AA4644" s="28"/>
      <c r="AB4644" s="28"/>
      <c r="AC4644" s="28">
        <v>78263000</v>
      </c>
      <c r="AD4644" s="28">
        <v>447919000</v>
      </c>
      <c r="AE4644" s="28">
        <v>3038575000</v>
      </c>
      <c r="AF4644" s="28">
        <v>40460000</v>
      </c>
      <c r="AG4644" s="11"/>
    </row>
    <row r="4645">
      <c r="A4645" s="7" t="s">
        <v>6280</v>
      </c>
      <c r="B4645" s="5" t="s">
        <v>14237</v>
      </c>
      <c r="C4645" s="5" t="s">
        <v>21978</v>
      </c>
      <c r="D4645" s="5" t="str">
        <v>771004561154</v>
      </c>
      <c r="F4645" s="5" t="s">
        <v>39168</v>
      </c>
      <c r="G4645" s="5"/>
      <c r="H4645" s="26">
        <v>10.5</v>
      </c>
      <c r="I4645" s="5" t="s">
        <v>39169</v>
      </c>
      <c r="J4645" s="5" t="s">
        <v>678</v>
      </c>
      <c r="K4645" s="5" t="s">
        <v>344</v>
      </c>
      <c r="L4645" s="5" t="s">
        <v>39170</v>
      </c>
      <c r="M4645" s="27"/>
      <c r="N4645" s="5"/>
      <c r="O4645" s="5" t="str">
        <v>7701969893</v>
      </c>
      <c r="P4645" s="27">
        <v>265000</v>
      </c>
      <c r="Q4645" s="5" t="s">
        <v>49059</v>
      </c>
      <c r="R4645" s="5"/>
      <c r="S4645" s="5" t="s">
        <v>49010</v>
      </c>
      <c r="T4645" s="28"/>
      <c r="U4645" s="28"/>
      <c r="V4645" s="28">
        <v>930303000</v>
      </c>
      <c r="W4645" s="28"/>
      <c r="X4645" s="28">
        <v>10106000</v>
      </c>
      <c r="Y4645" s="28">
        <v>946654000</v>
      </c>
      <c r="Z4645" s="28">
        <v>264577000</v>
      </c>
      <c r="AA4645" s="28"/>
      <c r="AB4645" s="28"/>
      <c r="AC4645" s="28">
        <v>681812000</v>
      </c>
      <c r="AD4645" s="28">
        <v>264842000</v>
      </c>
      <c r="AE4645" s="28">
        <v>16714343000</v>
      </c>
      <c r="AF4645" s="28">
        <v>232503000</v>
      </c>
      <c r="AG4645" s="11"/>
    </row>
    <row r="4646">
      <c r="A4646" s="7" t="s">
        <v>6281</v>
      </c>
      <c r="B4646" s="5" t="s">
        <v>14238</v>
      </c>
      <c r="C4646" s="5" t="s">
        <v>21979</v>
      </c>
      <c r="D4646" s="5" t="str">
        <v>503506196950</v>
      </c>
      <c r="E4646" s="0" t="e">
        <f>+7 (499) 2726285</f>
        <v>#NAME?</v>
      </c>
      <c r="F4646" s="5" t="s">
        <v>39171</v>
      </c>
      <c r="G4646" s="5"/>
      <c r="H4646" s="26">
        <v>9</v>
      </c>
      <c r="I4646" s="5" t="s">
        <v>39172</v>
      </c>
      <c r="J4646" s="5" t="s">
        <v>373</v>
      </c>
      <c r="K4646" s="5" t="s">
        <v>344</v>
      </c>
      <c r="L4646" s="5" t="s">
        <v>39173</v>
      </c>
      <c r="M4646" s="27">
        <v>806500</v>
      </c>
      <c r="N4646" s="5" t="s">
        <v>56508</v>
      </c>
      <c r="O4646" s="5" t="str">
        <v>7735600286</v>
      </c>
      <c r="P4646" s="27">
        <v>1000000</v>
      </c>
      <c r="Q4646" s="5" t="s">
        <v>56509</v>
      </c>
      <c r="R4646" s="5"/>
      <c r="S4646" s="5" t="s">
        <v>56510</v>
      </c>
      <c r="T4646" s="28">
        <v>7801000</v>
      </c>
      <c r="U4646" s="28"/>
      <c r="V4646" s="28">
        <v>4165867000</v>
      </c>
      <c r="W4646" s="28">
        <v>36000000</v>
      </c>
      <c r="X4646" s="28">
        <v>1679365000</v>
      </c>
      <c r="Y4646" s="28">
        <v>7636615000</v>
      </c>
      <c r="Z4646" s="28">
        <v>2347870000</v>
      </c>
      <c r="AA4646" s="28">
        <v>2348493000</v>
      </c>
      <c r="AB4646" s="28">
        <v>349000</v>
      </c>
      <c r="AC4646" s="28">
        <v>2088489000</v>
      </c>
      <c r="AD4646" s="28">
        <v>2348870000</v>
      </c>
      <c r="AE4646" s="28">
        <v>31108040000</v>
      </c>
      <c r="AF4646" s="28">
        <v>1601097000</v>
      </c>
      <c r="AG4646" s="11"/>
    </row>
    <row r="4647">
      <c r="A4647" s="7" t="s">
        <v>6282</v>
      </c>
      <c r="B4647" s="5" t="s">
        <v>14239</v>
      </c>
      <c r="C4647" s="5" t="s">
        <v>21980</v>
      </c>
      <c r="D4647" s="5" t="str">
        <v>771319569904</v>
      </c>
      <c r="E4647" s="0" t="e">
        <f>+7 (495) 6132269
+7 (495) 2132254
+7 (495) 6122572
+7 (495) 6132254
+7 (495) 6132825
+7 (495) 6132828
+7 (495) 6142850
+7 (495) 6146159</f>
        <v>#NAME?</v>
      </c>
      <c r="F4647" s="5" t="s">
        <v>39174</v>
      </c>
      <c r="G4647" s="5"/>
      <c r="H4647" s="26">
        <v>17.5</v>
      </c>
      <c r="I4647" s="5" t="s">
        <v>39175</v>
      </c>
      <c r="J4647" s="5" t="s">
        <v>39176</v>
      </c>
      <c r="K4647" s="5" t="s">
        <v>344</v>
      </c>
      <c r="L4647" s="5" t="s">
        <v>39177</v>
      </c>
      <c r="M4647" s="27"/>
      <c r="N4647" s="5" t="s">
        <v>56511</v>
      </c>
      <c r="O4647" s="5" t="str">
        <v>7714623370</v>
      </c>
      <c r="P4647" s="27">
        <v>10000</v>
      </c>
      <c r="Q4647" s="5" t="s">
        <v>56512</v>
      </c>
      <c r="R4647" s="5"/>
      <c r="S4647" s="5" t="s">
        <v>49195</v>
      </c>
      <c r="T4647" s="28">
        <v>338923000</v>
      </c>
      <c r="U4647" s="28"/>
      <c r="V4647" s="28">
        <v>262309000</v>
      </c>
      <c r="W4647" s="28">
        <v>429480000</v>
      </c>
      <c r="X4647" s="28">
        <v>960189000</v>
      </c>
      <c r="Y4647" s="28">
        <v>2041562000</v>
      </c>
      <c r="Z4647" s="28">
        <v>396135000</v>
      </c>
      <c r="AA4647" s="28">
        <v>78200000</v>
      </c>
      <c r="AB4647" s="28">
        <v>986337000</v>
      </c>
      <c r="AC4647" s="28">
        <v>1495501000</v>
      </c>
      <c r="AD4647" s="28">
        <v>396145000</v>
      </c>
      <c r="AE4647" s="28">
        <v>3059139000</v>
      </c>
      <c r="AF4647" s="28">
        <v>16647000</v>
      </c>
      <c r="AG4647" s="11"/>
    </row>
    <row r="4648">
      <c r="A4648" s="7" t="s">
        <v>6283</v>
      </c>
      <c r="B4648" s="5" t="s">
        <v>14240</v>
      </c>
      <c r="C4648" s="5" t="s">
        <v>21981</v>
      </c>
      <c r="D4648" s="5" t="str">
        <v>232300471601</v>
      </c>
      <c r="E4648" s="0" t="e">
        <f>+7 (861) 2773438
+7 (861) 2773439
+7 (861) 9921361</f>
        <v>#NAME?</v>
      </c>
      <c r="F4648" s="5" t="s">
        <v>39178</v>
      </c>
      <c r="G4648" s="5" t="s">
        <v>39179</v>
      </c>
      <c r="H4648" s="26">
        <v>17</v>
      </c>
      <c r="I4648" s="5" t="s">
        <v>39180</v>
      </c>
      <c r="J4648" s="5" t="s">
        <v>25837</v>
      </c>
      <c r="K4648" s="5" t="s">
        <v>344</v>
      </c>
      <c r="L4648" s="5" t="s">
        <v>39181</v>
      </c>
      <c r="M4648" s="27"/>
      <c r="N4648" s="5" t="s">
        <v>49422</v>
      </c>
      <c r="O4648" s="5" t="str">
        <v>2310109650</v>
      </c>
      <c r="P4648" s="27">
        <v>500000</v>
      </c>
      <c r="Q4648" s="5" t="s">
        <v>56513</v>
      </c>
      <c r="R4648" s="5"/>
      <c r="S4648" s="5" t="s">
        <v>49160</v>
      </c>
      <c r="T4648" s="28">
        <v>4349783000</v>
      </c>
      <c r="U4648" s="28"/>
      <c r="V4648" s="28">
        <v>2432494000</v>
      </c>
      <c r="W4648" s="28"/>
      <c r="X4648" s="28">
        <v>81023000</v>
      </c>
      <c r="Y4648" s="28">
        <v>10058539000</v>
      </c>
      <c r="Z4648" s="28">
        <v>673819000</v>
      </c>
      <c r="AA4648" s="28"/>
      <c r="AB4648" s="28">
        <v>1813842000</v>
      </c>
      <c r="AC4648" s="28">
        <v>4180690000</v>
      </c>
      <c r="AD4648" s="28">
        <v>674319000</v>
      </c>
      <c r="AE4648" s="28">
        <v>26299738000</v>
      </c>
      <c r="AF4648" s="28">
        <v>311524000</v>
      </c>
      <c r="AG4648" s="11"/>
    </row>
    <row r="4649">
      <c r="A4649" s="7" t="s">
        <v>6284</v>
      </c>
      <c r="B4649" s="5" t="s">
        <v>14241</v>
      </c>
      <c r="C4649" s="5" t="s">
        <v>21982</v>
      </c>
      <c r="D4649" s="5" t="str">
        <v>503112554373</v>
      </c>
      <c r="E4649" s="0" t="e">
        <f>+7 (495) 7773657
+7 (472) 2581175
+7 (474) 2561100
+7 (48432) 51201
+7 (495) 7773660
+7 (495) 9932770
+7 (495) 9932792
+7 (499) 6850164
+7 (861) 2001740
+7 (861) 2001742
+7 (861) 2001744</f>
        <v>#NAME?</v>
      </c>
      <c r="F4649" s="5" t="s">
        <v>39182</v>
      </c>
      <c r="G4649" s="5" t="s">
        <v>39183</v>
      </c>
      <c r="H4649" s="26">
        <v>18.5</v>
      </c>
      <c r="I4649" s="5" t="s">
        <v>39184</v>
      </c>
      <c r="J4649" s="5" t="s">
        <v>26251</v>
      </c>
      <c r="K4649" s="5" t="s">
        <v>344</v>
      </c>
      <c r="L4649" s="5" t="s">
        <v>39185</v>
      </c>
      <c r="M4649" s="27"/>
      <c r="N4649" s="5"/>
      <c r="O4649" s="5" t="str">
        <v>7704521059</v>
      </c>
      <c r="P4649" s="27">
        <v>2176917000</v>
      </c>
      <c r="Q4649" s="5" t="s">
        <v>49009</v>
      </c>
      <c r="R4649" s="5" t="s">
        <v>54329</v>
      </c>
      <c r="S4649" s="5" t="s">
        <v>49487</v>
      </c>
      <c r="T4649" s="28">
        <v>3753346000</v>
      </c>
      <c r="U4649" s="28">
        <v>288020000</v>
      </c>
      <c r="V4649" s="28">
        <v>3897148000</v>
      </c>
      <c r="W4649" s="28">
        <v>1116804000</v>
      </c>
      <c r="X4649" s="28">
        <v>71927000</v>
      </c>
      <c r="Y4649" s="28">
        <v>11688688000</v>
      </c>
      <c r="Z4649" s="28">
        <v>3560790000</v>
      </c>
      <c r="AA4649" s="28">
        <v>932475000</v>
      </c>
      <c r="AB4649" s="28">
        <v>709000</v>
      </c>
      <c r="AC4649" s="28">
        <v>3182598000</v>
      </c>
      <c r="AD4649" s="28">
        <v>6983828000</v>
      </c>
      <c r="AE4649" s="28">
        <v>24324647000</v>
      </c>
      <c r="AF4649" s="28">
        <v>2115736000</v>
      </c>
      <c r="AG4649" s="11"/>
    </row>
    <row r="4650">
      <c r="A4650" s="7" t="s">
        <v>6285</v>
      </c>
      <c r="B4650" s="5" t="s">
        <v>14242</v>
      </c>
      <c r="C4650" s="5" t="s">
        <v>21983</v>
      </c>
      <c r="D4650" s="5" t="str">
        <v>400401918222</v>
      </c>
      <c r="E4650" s="0" t="e">
        <f>+7 (48434) 32034
+7 (910) 6082838
+7 (48434) 32043
+7 (48434) 33732
+7 (48434) 33824
+7 (48434) 74240
+7 (48434) 74242
+7 (48434) 74864
+7 (800) 2341646
+7 (910) 6071577
+7 (910) 9109798
+7 (910) 9180064
+7 (910) 9180078
+7 (910) 9180095
+7 (920) 6129961</f>
        <v>#NAME?</v>
      </c>
      <c r="F4650" s="5" t="s">
        <v>39186</v>
      </c>
      <c r="G4650" s="5"/>
      <c r="H4650" s="26">
        <v>10.5</v>
      </c>
      <c r="I4650" s="5" t="s">
        <v>39187</v>
      </c>
      <c r="J4650" s="5" t="s">
        <v>26536</v>
      </c>
      <c r="K4650" s="5" t="s">
        <v>344</v>
      </c>
      <c r="L4650" s="5" t="s">
        <v>39188</v>
      </c>
      <c r="M4650" s="27">
        <v>97453</v>
      </c>
      <c r="N4650" s="5" t="s">
        <v>56514</v>
      </c>
      <c r="O4650" s="5" t="str">
        <v>4028051436</v>
      </c>
      <c r="P4650" s="27">
        <v>12500</v>
      </c>
      <c r="Q4650" s="5" t="s">
        <v>49009</v>
      </c>
      <c r="R4650" s="5" t="s">
        <v>49962</v>
      </c>
      <c r="S4650" s="5" t="s">
        <v>49884</v>
      </c>
      <c r="T4650" s="28">
        <v>1574647000</v>
      </c>
      <c r="U4650" s="28">
        <v>2900000000</v>
      </c>
      <c r="V4650" s="28">
        <v>323096000</v>
      </c>
      <c r="W4650" s="28"/>
      <c r="X4650" s="28">
        <v>708000</v>
      </c>
      <c r="Y4650" s="28">
        <v>5582930000</v>
      </c>
      <c r="Z4650" s="28">
        <v>1355874000</v>
      </c>
      <c r="AA4650" s="28">
        <v>3207643000</v>
      </c>
      <c r="AB4650" s="28">
        <v>383005000</v>
      </c>
      <c r="AC4650" s="28">
        <v>728896000</v>
      </c>
      <c r="AD4650" s="28">
        <v>1355887000</v>
      </c>
      <c r="AE4650" s="28">
        <v>3478603000</v>
      </c>
      <c r="AF4650" s="28">
        <v>45046000</v>
      </c>
      <c r="AG4650" s="11"/>
    </row>
    <row r="4651">
      <c r="A4651" s="7" t="s">
        <v>6286</v>
      </c>
      <c r="B4651" s="5" t="s">
        <v>14243</v>
      </c>
      <c r="C4651" s="5" t="s">
        <v>21984</v>
      </c>
      <c r="D4651" s="5" t="str">
        <v>500111090331</v>
      </c>
      <c r="E4651" s="0" t="e">
        <f>+7 (495) 4019575
+7 (495) 4019576
+7 (49621) 55536
+7 (499) 3221888
+7 (499) 3914444
+7 (800) 3335121
+7 (800) 5002243
+7 (925) 3067771
+7 (925) 8475050
+7 (985) 1394009</f>
        <v>#NAME?</v>
      </c>
      <c r="F4651" s="5"/>
      <c r="G4651" s="5"/>
      <c r="H4651" s="26">
        <v>9</v>
      </c>
      <c r="I4651" s="5" t="s">
        <v>39189</v>
      </c>
      <c r="J4651" s="5" t="s">
        <v>28954</v>
      </c>
      <c r="K4651" s="5" t="s">
        <v>344</v>
      </c>
      <c r="L4651" s="5" t="s">
        <v>39190</v>
      </c>
      <c r="M4651" s="27">
        <v>1603786</v>
      </c>
      <c r="N4651" s="5"/>
      <c r="O4651" s="5" t="str">
        <v>5038101920</v>
      </c>
      <c r="P4651" s="27">
        <v>1000000</v>
      </c>
      <c r="Q4651" s="5" t="s">
        <v>49059</v>
      </c>
      <c r="R4651" s="5"/>
      <c r="S4651" s="5" t="s">
        <v>49066</v>
      </c>
      <c r="T4651" s="28">
        <v>111061000</v>
      </c>
      <c r="U4651" s="28"/>
      <c r="V4651" s="28">
        <v>217925000</v>
      </c>
      <c r="W4651" s="28">
        <v>2453000</v>
      </c>
      <c r="X4651" s="28">
        <v>844000</v>
      </c>
      <c r="Y4651" s="28">
        <v>743019000</v>
      </c>
      <c r="Z4651" s="28">
        <v>237713000</v>
      </c>
      <c r="AA4651" s="28"/>
      <c r="AB4651" s="28">
        <v>126512000</v>
      </c>
      <c r="AC4651" s="28">
        <v>460396000</v>
      </c>
      <c r="AD4651" s="28">
        <v>238713000</v>
      </c>
      <c r="AE4651" s="28">
        <v>4590379000</v>
      </c>
      <c r="AF4651" s="28">
        <v>80181000</v>
      </c>
      <c r="AG4651" s="11"/>
    </row>
    <row r="4652">
      <c r="A4652" s="7" t="s">
        <v>6287</v>
      </c>
      <c r="B4652" s="5" t="s">
        <v>14244</v>
      </c>
      <c r="C4652" s="5" t="s">
        <v>21985</v>
      </c>
      <c r="D4652" s="5" t="str">
        <v>590301312950</v>
      </c>
      <c r="E4652" s="0" t="e">
        <f>+7 (3422) 136964
+7 (3422) 137147
+7 (3422) 137180
+7 (3422) 137310
+7 (3422) 197703
+7 (3422) 701177</f>
        <v>#NAME?</v>
      </c>
      <c r="F4652" s="5" t="s">
        <v>39191</v>
      </c>
      <c r="G4652" s="5"/>
      <c r="H4652" s="26">
        <v>30</v>
      </c>
      <c r="I4652" s="5"/>
      <c r="J4652" s="5" t="s">
        <v>991</v>
      </c>
      <c r="K4652" s="5" t="s">
        <v>344</v>
      </c>
      <c r="L4652" s="5"/>
      <c r="M4652" s="27">
        <v>577538</v>
      </c>
      <c r="N4652" s="5" t="s">
        <v>56515</v>
      </c>
      <c r="O4652" s="5" t="str">
        <v>5903004541</v>
      </c>
      <c r="P4652" s="27">
        <v>150000237</v>
      </c>
      <c r="Q4652" s="5" t="s">
        <v>56517</v>
      </c>
      <c r="R4652" s="5"/>
      <c r="S4652" s="5" t="s">
        <v>56518</v>
      </c>
      <c r="T4652" s="28">
        <v>2052981000</v>
      </c>
      <c r="U4652" s="28">
        <v>889776000</v>
      </c>
      <c r="V4652" s="28">
        <v>2247272000</v>
      </c>
      <c r="W4652" s="28">
        <v>103139000</v>
      </c>
      <c r="X4652" s="28">
        <v>13991000</v>
      </c>
      <c r="Y4652" s="28">
        <v>6618043000</v>
      </c>
      <c r="Z4652" s="28">
        <v>2652858000</v>
      </c>
      <c r="AA4652" s="28">
        <v>926884000</v>
      </c>
      <c r="AB4652" s="28">
        <v>386010000</v>
      </c>
      <c r="AC4652" s="28">
        <v>1754118000</v>
      </c>
      <c r="AD4652" s="28">
        <v>3261467000</v>
      </c>
      <c r="AE4652" s="28">
        <v>3103043000</v>
      </c>
      <c r="AF4652" s="28">
        <v>304514000</v>
      </c>
      <c r="AG4652" s="11"/>
    </row>
    <row r="4653">
      <c r="A4653" s="7" t="s">
        <v>6288</v>
      </c>
      <c r="B4653" s="5" t="s">
        <v>14245</v>
      </c>
      <c r="C4653" s="5" t="s">
        <v>21986</v>
      </c>
      <c r="D4653" s="5" t="str">
        <v>246207136828</v>
      </c>
      <c r="E4653" s="0" t="e">
        <f>+7 (491) 3122967
+7 (49131) 20549
+7 (49131) 30040
+7 (49131) 30049
+7 (49131) 30058
+7 (49131) 31969
+7 (49131) 31982
+7 (49131) 31983
+7 (49131) 31984
+7 (49131) 31985
+7 (49131) 31989
+7 (49131) 31992
+7 (49131) 32000</f>
        <v>#NAME?</v>
      </c>
      <c r="F4653" s="5" t="s">
        <v>39192</v>
      </c>
      <c r="G4653" s="5"/>
      <c r="H4653" s="26">
        <v>30.5</v>
      </c>
      <c r="I4653" s="5" t="s">
        <v>39193</v>
      </c>
      <c r="J4653" s="5" t="s">
        <v>25779</v>
      </c>
      <c r="K4653" s="5" t="s">
        <v>344</v>
      </c>
      <c r="L4653" s="5" t="s">
        <v>39194</v>
      </c>
      <c r="M4653" s="27"/>
      <c r="N4653" s="5" t="s">
        <v>56519</v>
      </c>
      <c r="O4653" s="5" t="str">
        <v>6226006397</v>
      </c>
      <c r="P4653" s="27">
        <v>611412000</v>
      </c>
      <c r="Q4653" s="5" t="s">
        <v>56520</v>
      </c>
      <c r="R4653" s="5"/>
      <c r="S4653" s="5" t="s">
        <v>56521</v>
      </c>
      <c r="T4653" s="28">
        <v>681078000</v>
      </c>
      <c r="U4653" s="28">
        <v>72382000</v>
      </c>
      <c r="V4653" s="28">
        <v>64973000</v>
      </c>
      <c r="W4653" s="28"/>
      <c r="X4653" s="28">
        <v>1037000</v>
      </c>
      <c r="Y4653" s="28">
        <v>2400050000</v>
      </c>
      <c r="Z4653" s="28">
        <v>1380738000</v>
      </c>
      <c r="AA4653" s="28"/>
      <c r="AB4653" s="28">
        <v>198950000</v>
      </c>
      <c r="AC4653" s="28">
        <v>358347000</v>
      </c>
      <c r="AD4653" s="28">
        <v>2022721000</v>
      </c>
      <c r="AE4653" s="28">
        <v>3225064000</v>
      </c>
      <c r="AF4653" s="28">
        <v>102278000</v>
      </c>
      <c r="AG4653" s="11"/>
    </row>
    <row r="4654">
      <c r="A4654" s="7" t="s">
        <v>6289</v>
      </c>
      <c r="B4654" s="5" t="s">
        <v>14246</v>
      </c>
      <c r="C4654" s="5" t="s">
        <v>21987</v>
      </c>
      <c r="D4654" s="5" t="str">
        <v>781423558260</v>
      </c>
      <c r="E4654" s="0" t="e">
        <f>+7 (495) 6477595
+7 (812) 3266267
+7 (812) 3266637
+7 (800) 3333303
+7 (812) 3259325
+7 (812) 3297864
+7 (812) 3299100
+7 (812) 3299101
+7 (812) 3299147
+7 (812) 3299148
+7 (812) 4489100
+7 (909) 5825408
+7 (963) 3030541</f>
        <v>#NAME?</v>
      </c>
      <c r="F4654" s="5" t="s">
        <v>39195</v>
      </c>
      <c r="G4654" s="5" t="s">
        <v>39196</v>
      </c>
      <c r="H4654" s="26">
        <v>9</v>
      </c>
      <c r="I4654" s="5" t="s">
        <v>39197</v>
      </c>
      <c r="J4654" s="5" t="s">
        <v>26962</v>
      </c>
      <c r="K4654" s="5" t="s">
        <v>344</v>
      </c>
      <c r="L4654" s="5" t="s">
        <v>39198</v>
      </c>
      <c r="M4654" s="27">
        <v>68690198</v>
      </c>
      <c r="N4654" s="5" t="s">
        <v>56522</v>
      </c>
      <c r="O4654" s="5" t="str">
        <v>7802849641</v>
      </c>
      <c r="P4654" s="27">
        <v>174087093</v>
      </c>
      <c r="Q4654" s="5" t="s">
        <v>56523</v>
      </c>
      <c r="R4654" s="5"/>
      <c r="S4654" s="5" t="s">
        <v>56524</v>
      </c>
      <c r="T4654" s="28">
        <v>18507588000</v>
      </c>
      <c r="U4654" s="28">
        <v>40793045000</v>
      </c>
      <c r="V4654" s="28">
        <v>8803929000</v>
      </c>
      <c r="W4654" s="28">
        <v>5196141000</v>
      </c>
      <c r="X4654" s="28">
        <v>11913418000</v>
      </c>
      <c r="Y4654" s="28">
        <v>96775689000</v>
      </c>
      <c r="Z4654" s="28">
        <v>47296529000</v>
      </c>
      <c r="AA4654" s="28"/>
      <c r="AB4654" s="28"/>
      <c r="AC4654" s="28">
        <v>34094110000</v>
      </c>
      <c r="AD4654" s="28">
        <v>62096262000</v>
      </c>
      <c r="AE4654" s="28">
        <v>100724465000</v>
      </c>
      <c r="AF4654" s="28">
        <v>9952520000</v>
      </c>
      <c r="AG4654" s="11"/>
    </row>
    <row r="4655">
      <c r="A4655" s="7" t="s">
        <v>6290</v>
      </c>
      <c r="B4655" s="5" t="s">
        <v>14247</v>
      </c>
      <c r="C4655" s="5" t="s">
        <v>21988</v>
      </c>
      <c r="D4655" s="5"/>
      <c r="E4655" s="0" t="e">
        <f>+7 (472) 2232894
+7 (472) 2257139
+7 (4725) 248573</f>
        <v>#NAME?</v>
      </c>
      <c r="F4655" s="5"/>
      <c r="G4655" s="5"/>
      <c r="H4655" s="26">
        <v>19</v>
      </c>
      <c r="I4655" s="5" t="s">
        <v>39199</v>
      </c>
      <c r="J4655" s="5" t="s">
        <v>1059</v>
      </c>
      <c r="K4655" s="5" t="s">
        <v>344</v>
      </c>
      <c r="L4655" s="5" t="s">
        <v>39200</v>
      </c>
      <c r="M4655" s="27">
        <v>917166</v>
      </c>
      <c r="N4655" s="5" t="s">
        <v>56525</v>
      </c>
      <c r="O4655" s="5" t="str">
        <v>3128045000</v>
      </c>
      <c r="P4655" s="27">
        <v>10030000</v>
      </c>
      <c r="Q4655" s="5" t="s">
        <v>56527</v>
      </c>
      <c r="R4655" s="5" t="s">
        <v>56528</v>
      </c>
      <c r="S4655" s="5" t="s">
        <v>56529</v>
      </c>
      <c r="T4655" s="28">
        <v>54095000</v>
      </c>
      <c r="U4655" s="28"/>
      <c r="V4655" s="28">
        <v>540192000</v>
      </c>
      <c r="W4655" s="28">
        <v>20090000</v>
      </c>
      <c r="X4655" s="28">
        <v>25438000</v>
      </c>
      <c r="Y4655" s="28">
        <v>1150323000</v>
      </c>
      <c r="Z4655" s="28">
        <v>117420000</v>
      </c>
      <c r="AA4655" s="28">
        <v>300669000</v>
      </c>
      <c r="AB4655" s="28">
        <v>20683000</v>
      </c>
      <c r="AC4655" s="28">
        <v>654769000</v>
      </c>
      <c r="AD4655" s="28">
        <v>194885000</v>
      </c>
      <c r="AE4655" s="28">
        <v>5724776000</v>
      </c>
      <c r="AF4655" s="28">
        <v>49694000</v>
      </c>
      <c r="AG4655" s="11"/>
    </row>
    <row r="4656">
      <c r="A4656" s="7" t="s">
        <v>6291</v>
      </c>
      <c r="B4656" s="5" t="s">
        <v>14248</v>
      </c>
      <c r="C4656" s="5" t="s">
        <v>21989</v>
      </c>
      <c r="D4656" s="5" t="str">
        <v>770670017282</v>
      </c>
      <c r="E4656" s="0" t="e">
        <f>+7 (48439) 59393
+7 (48439) 92787
+7 (48439) 92790
+7 (48439) 92792
+7 (48439) 99899
+7 (48753) 40887
+7 (495) 1167697
+7 (495) 2299010
+7 (495) 2299011
+7 (495) 2299029
+7 (495) 4492296
+7 (495) 5000020
+7 (495) 5058989
+7 (495) 5059733
+7 (495) 6621164</f>
        <v>#NAME?</v>
      </c>
      <c r="F4656" s="5" t="s">
        <v>39201</v>
      </c>
      <c r="G4656" s="5" t="s">
        <v>39202</v>
      </c>
      <c r="H4656" s="26">
        <v>28.5</v>
      </c>
      <c r="I4656" s="5" t="s">
        <v>39203</v>
      </c>
      <c r="J4656" s="5" t="s">
        <v>364</v>
      </c>
      <c r="K4656" s="5" t="s">
        <v>344</v>
      </c>
      <c r="L4656" s="5"/>
      <c r="M4656" s="27">
        <v>24509723</v>
      </c>
      <c r="N4656" s="5" t="s">
        <v>56530</v>
      </c>
      <c r="O4656" s="5" t="str">
        <v>7713011336</v>
      </c>
      <c r="P4656" s="27">
        <v>41281084000</v>
      </c>
      <c r="Q4656" s="5" t="s">
        <v>56531</v>
      </c>
      <c r="R4656" s="5" t="s">
        <v>50151</v>
      </c>
      <c r="S4656" s="5" t="s">
        <v>56532</v>
      </c>
      <c r="T4656" s="28">
        <v>1735247000</v>
      </c>
      <c r="U4656" s="28">
        <v>101471334000</v>
      </c>
      <c r="V4656" s="28">
        <v>72573795000</v>
      </c>
      <c r="W4656" s="28">
        <v>8068157000</v>
      </c>
      <c r="X4656" s="28">
        <v>1699957000</v>
      </c>
      <c r="Y4656" s="28">
        <v>213252071000</v>
      </c>
      <c r="Z4656" s="28">
        <v>110269574000</v>
      </c>
      <c r="AA4656" s="28">
        <v>32282644000</v>
      </c>
      <c r="AB4656" s="28">
        <v>164514000</v>
      </c>
      <c r="AC4656" s="28">
        <v>22234181000</v>
      </c>
      <c r="AD4656" s="28">
        <v>156412496000</v>
      </c>
      <c r="AE4656" s="28">
        <v>22621435000</v>
      </c>
      <c r="AF4656" s="28">
        <v>49933398000</v>
      </c>
      <c r="AG4656" s="11"/>
    </row>
    <row r="4657">
      <c r="A4657" s="7" t="s">
        <v>6292</v>
      </c>
      <c r="B4657" s="5" t="s">
        <v>14249</v>
      </c>
      <c r="C4657" s="5" t="s">
        <v>21990</v>
      </c>
      <c r="D4657" s="5" t="str">
        <v>525900925501</v>
      </c>
      <c r="E4657" s="0" t="e">
        <f>+7 (83141) 29741
+7 (920) 157222</f>
        <v>#NAME?</v>
      </c>
      <c r="F4657" s="5" t="s">
        <v>39204</v>
      </c>
      <c r="G4657" s="5" t="s">
        <v>39205</v>
      </c>
      <c r="H4657" s="26">
        <v>31.5</v>
      </c>
      <c r="I4657" s="5" t="s">
        <v>39206</v>
      </c>
      <c r="J4657" s="5" t="s">
        <v>467</v>
      </c>
      <c r="K4657" s="5" t="s">
        <v>344</v>
      </c>
      <c r="L4657" s="5" t="s">
        <v>39207</v>
      </c>
      <c r="M4657" s="27">
        <v>154000</v>
      </c>
      <c r="N4657" s="5" t="s">
        <v>56533</v>
      </c>
      <c r="O4657" s="5" t="str">
        <v>5257002344</v>
      </c>
      <c r="P4657" s="27">
        <v>1005000</v>
      </c>
      <c r="Q4657" s="5" t="s">
        <v>56534</v>
      </c>
      <c r="R4657" s="5" t="s">
        <v>56535</v>
      </c>
      <c r="S4657" s="5" t="s">
        <v>56536</v>
      </c>
      <c r="T4657" s="28">
        <v>586118000</v>
      </c>
      <c r="U4657" s="28">
        <v>310000000</v>
      </c>
      <c r="V4657" s="28">
        <v>905970000</v>
      </c>
      <c r="W4657" s="28">
        <v>814000</v>
      </c>
      <c r="X4657" s="28">
        <v>108242000</v>
      </c>
      <c r="Y4657" s="28">
        <v>3218095000</v>
      </c>
      <c r="Z4657" s="28">
        <v>866668000</v>
      </c>
      <c r="AA4657" s="28"/>
      <c r="AB4657" s="28">
        <v>991657000</v>
      </c>
      <c r="AC4657" s="28">
        <v>2094193000</v>
      </c>
      <c r="AD4657" s="28">
        <v>867673000</v>
      </c>
      <c r="AE4657" s="28">
        <v>5399050000</v>
      </c>
      <c r="AF4657" s="28">
        <v>195661000</v>
      </c>
      <c r="AG4657" s="11"/>
    </row>
    <row r="4658">
      <c r="A4658" s="7" t="s">
        <v>6293</v>
      </c>
      <c r="B4658" s="5" t="s">
        <v>14248</v>
      </c>
      <c r="C4658" s="5" t="s">
        <v>21991</v>
      </c>
      <c r="D4658" s="5" t="str">
        <v>774305648887</v>
      </c>
      <c r="E4658" s="0" t="e">
        <f>+7 (985) 9974364</f>
        <v>#NAME?</v>
      </c>
      <c r="F4658" s="5" t="s">
        <v>39208</v>
      </c>
      <c r="G4658" s="5"/>
      <c r="H4658" s="26">
        <v>6</v>
      </c>
      <c r="I4658" s="5" t="s">
        <v>39209</v>
      </c>
      <c r="J4658" s="5" t="s">
        <v>28108</v>
      </c>
      <c r="K4658" s="5" t="s">
        <v>380</v>
      </c>
      <c r="L4658" s="5" t="s">
        <v>39210</v>
      </c>
      <c r="M4658" s="27"/>
      <c r="N4658" s="5" t="s">
        <v>49153</v>
      </c>
      <c r="O4658" s="5" t="str">
        <v>7703421301</v>
      </c>
      <c r="P4658" s="27">
        <v>70476565000</v>
      </c>
      <c r="Q4658" s="5" t="s">
        <v>56537</v>
      </c>
      <c r="R4658" s="5"/>
      <c r="S4658" s="5" t="s">
        <v>56538</v>
      </c>
      <c r="T4658" s="28">
        <v>362000</v>
      </c>
      <c r="U4658" s="28">
        <v>509281226000</v>
      </c>
      <c r="V4658" s="28">
        <v>129774362000</v>
      </c>
      <c r="W4658" s="28">
        <v>58623734000</v>
      </c>
      <c r="X4658" s="28">
        <v>48472915000</v>
      </c>
      <c r="Y4658" s="28">
        <v>759498694000</v>
      </c>
      <c r="Z4658" s="28">
        <v>28789231000</v>
      </c>
      <c r="AA4658" s="28">
        <v>311568445000</v>
      </c>
      <c r="AB4658" s="28">
        <v>89910027000</v>
      </c>
      <c r="AC4658" s="28">
        <v>178761436000</v>
      </c>
      <c r="AD4658" s="28">
        <v>268311808000</v>
      </c>
      <c r="AE4658" s="28">
        <v>43853941000</v>
      </c>
      <c r="AF4658" s="28">
        <v>45466860000</v>
      </c>
      <c r="AG4658" s="11"/>
    </row>
    <row r="4659">
      <c r="A4659" s="7" t="s">
        <v>6294</v>
      </c>
      <c r="B4659" s="5" t="s">
        <v>14250</v>
      </c>
      <c r="C4659" s="5" t="s">
        <v>21992</v>
      </c>
      <c r="D4659" s="5" t="str">
        <v>463309374221</v>
      </c>
      <c r="E4659" s="0" t="e">
        <f>+7 (495) 4352111
+7 (495) 4422607
+7 (495) 4492707
+7 (495) 7410688
+7 (495) 7410692</f>
        <v>#NAME?</v>
      </c>
      <c r="F4659" s="5" t="s">
        <v>39211</v>
      </c>
      <c r="G4659" s="5"/>
      <c r="H4659" s="26">
        <v>9.5</v>
      </c>
      <c r="I4659" s="5"/>
      <c r="J4659" s="5" t="s">
        <v>364</v>
      </c>
      <c r="K4659" s="5" t="s">
        <v>344</v>
      </c>
      <c r="L4659" s="5" t="s">
        <v>39212</v>
      </c>
      <c r="M4659" s="27">
        <v>44809818</v>
      </c>
      <c r="N4659" s="5" t="s">
        <v>56539</v>
      </c>
      <c r="O4659" s="5" t="str">
        <v>7729755852</v>
      </c>
      <c r="P4659" s="27">
        <v>875102562</v>
      </c>
      <c r="Q4659" s="5" t="s">
        <v>49009</v>
      </c>
      <c r="R4659" s="5"/>
      <c r="S4659" s="5" t="s">
        <v>49028</v>
      </c>
      <c r="T4659" s="28">
        <v>6910488000</v>
      </c>
      <c r="U4659" s="28">
        <v>84286000</v>
      </c>
      <c r="V4659" s="28">
        <v>16499094000</v>
      </c>
      <c r="W4659" s="28">
        <v>1850000</v>
      </c>
      <c r="X4659" s="28">
        <v>645780000</v>
      </c>
      <c r="Y4659" s="28">
        <v>29855224000</v>
      </c>
      <c r="Z4659" s="28">
        <v>-3929000000</v>
      </c>
      <c r="AA4659" s="28"/>
      <c r="AB4659" s="28"/>
      <c r="AC4659" s="28">
        <v>13232145000</v>
      </c>
      <c r="AD4659" s="28">
        <v>16381995000</v>
      </c>
      <c r="AE4659" s="28">
        <v>37337834000</v>
      </c>
      <c r="AF4659" s="28">
        <v>-2502704000</v>
      </c>
      <c r="AG4659" s="11"/>
    </row>
    <row r="4660">
      <c r="A4660" s="7" t="s">
        <v>6295</v>
      </c>
      <c r="B4660" s="5" t="s">
        <v>14251</v>
      </c>
      <c r="C4660" s="5" t="s">
        <v>21993</v>
      </c>
      <c r="D4660" s="5" t="str">
        <v>505201952387</v>
      </c>
      <c r="E4660" s="0" t="e">
        <f>+7 (495) 5103974
+7 (800) 2342222
+7 (916) 1926980
+7 (495) 1233369
+7 (495) 1233922
+7 (495) 4242639
+7 (495) 9334287
+7 (499) 5103970
+7 (499) 6088933</f>
        <v>#NAME?</v>
      </c>
      <c r="F4660" s="5" t="s">
        <v>39213</v>
      </c>
      <c r="G4660" s="5" t="s">
        <v>39214</v>
      </c>
      <c r="H4660" s="26">
        <v>24</v>
      </c>
      <c r="I4660" s="5" t="s">
        <v>39215</v>
      </c>
      <c r="J4660" s="5" t="s">
        <v>354</v>
      </c>
      <c r="K4660" s="5" t="s">
        <v>380</v>
      </c>
      <c r="L4660" s="5"/>
      <c r="M4660" s="27">
        <v>1024110922</v>
      </c>
      <c r="N4660" s="5" t="s">
        <v>56540</v>
      </c>
      <c r="O4660" s="5" t="str">
        <v>7701208190</v>
      </c>
      <c r="P4660" s="27">
        <v>100034000</v>
      </c>
      <c r="Q4660" s="5" t="s">
        <v>49009</v>
      </c>
      <c r="R4660" s="5" t="s">
        <v>56541</v>
      </c>
      <c r="S4660" s="5" t="s">
        <v>49012</v>
      </c>
      <c r="T4660" s="28">
        <v>127469000</v>
      </c>
      <c r="U4660" s="28">
        <v>2500000</v>
      </c>
      <c r="V4660" s="28">
        <v>4731532000</v>
      </c>
      <c r="W4660" s="28">
        <v>1000</v>
      </c>
      <c r="X4660" s="28">
        <v>490020000</v>
      </c>
      <c r="Y4660" s="28">
        <v>6214287000</v>
      </c>
      <c r="Z4660" s="28">
        <v>-2223557000</v>
      </c>
      <c r="AA4660" s="28"/>
      <c r="AB4660" s="28">
        <v>113252000</v>
      </c>
      <c r="AC4660" s="28">
        <v>5600915000</v>
      </c>
      <c r="AD4660" s="28">
        <v>342172000</v>
      </c>
      <c r="AE4660" s="28">
        <v>14367241000</v>
      </c>
      <c r="AF4660" s="28">
        <v>-2688155000</v>
      </c>
      <c r="AG4660" s="11"/>
    </row>
    <row r="4661">
      <c r="A4661" s="7" t="s">
        <v>6296</v>
      </c>
      <c r="B4661" s="5" t="s">
        <v>14252</v>
      </c>
      <c r="C4661" s="5" t="s">
        <v>21994</v>
      </c>
      <c r="D4661" s="5" t="str">
        <v>772800990682</v>
      </c>
      <c r="E4661" s="0" t="e">
        <f>+7 (910) 4946360
+7 (916) 8167704
+7 (925) 860706</f>
        <v>#NAME?</v>
      </c>
      <c r="F4661" s="5"/>
      <c r="G4661" s="5"/>
      <c r="H4661" s="26">
        <v>5.5</v>
      </c>
      <c r="I4661" s="5" t="s">
        <v>39216</v>
      </c>
      <c r="J4661" s="5" t="s">
        <v>445</v>
      </c>
      <c r="K4661" s="5" t="s">
        <v>380</v>
      </c>
      <c r="L4661" s="5"/>
      <c r="M4661" s="27">
        <v>70392889</v>
      </c>
      <c r="N4661" s="5"/>
      <c r="O4661" s="5" t="str">
        <v>9729159290</v>
      </c>
      <c r="P4661" s="27">
        <v>50000000</v>
      </c>
      <c r="Q4661" s="5" t="s">
        <v>49009</v>
      </c>
      <c r="R4661" s="5"/>
      <c r="S4661" s="5" t="s">
        <v>49066</v>
      </c>
      <c r="T4661" s="28">
        <v>631826000</v>
      </c>
      <c r="U4661" s="28">
        <v>2000</v>
      </c>
      <c r="V4661" s="28">
        <v>3642845000</v>
      </c>
      <c r="W4661" s="28">
        <v>130000</v>
      </c>
      <c r="X4661" s="28">
        <v>172852000</v>
      </c>
      <c r="Y4661" s="28">
        <v>9038710000</v>
      </c>
      <c r="Z4661" s="28">
        <v>-191419000</v>
      </c>
      <c r="AA4661" s="28"/>
      <c r="AB4661" s="28">
        <v>953078000</v>
      </c>
      <c r="AC4661" s="28">
        <v>4637926000</v>
      </c>
      <c r="AD4661" s="28">
        <v>4238594000</v>
      </c>
      <c r="AE4661" s="28">
        <v>6616194000</v>
      </c>
      <c r="AF4661" s="28">
        <v>-211194000</v>
      </c>
      <c r="AG4661" s="11"/>
    </row>
    <row r="4662">
      <c r="A4662" s="7" t="s">
        <v>6297</v>
      </c>
      <c r="B4662" s="5" t="s">
        <v>14253</v>
      </c>
      <c r="C4662" s="5" t="s">
        <v>19877</v>
      </c>
      <c r="D4662" s="5" t="str">
        <v>771814968290</v>
      </c>
      <c r="E4662" s="0" t="e">
        <f>+7 (495) 3009856
+7 (495) 4414127
+7 (495) 4422279
+7 (495) 4422561
+7 (495) 4422829
+7 (495) 4424069
+7 (495) 4427235
+7 (495) 4428329
+7 (499) 3009856
+7 (925) 5457754</f>
        <v>#NAME?</v>
      </c>
      <c r="F4662" s="5" t="s">
        <v>39217</v>
      </c>
      <c r="G4662" s="5" t="s">
        <v>39218</v>
      </c>
      <c r="H4662" s="26">
        <v>25.5</v>
      </c>
      <c r="I4662" s="5" t="s">
        <v>39219</v>
      </c>
      <c r="J4662" s="5" t="s">
        <v>26268</v>
      </c>
      <c r="K4662" s="5" t="s">
        <v>380</v>
      </c>
      <c r="L4662" s="5"/>
      <c r="M4662" s="27">
        <v>180079487</v>
      </c>
      <c r="N4662" s="5"/>
      <c r="O4662" s="5" t="str">
        <v>7713153394</v>
      </c>
      <c r="P4662" s="27">
        <v>207025000</v>
      </c>
      <c r="Q4662" s="5" t="s">
        <v>49009</v>
      </c>
      <c r="R4662" s="5" t="s">
        <v>56544</v>
      </c>
      <c r="S4662" s="5" t="s">
        <v>49066</v>
      </c>
      <c r="T4662" s="28">
        <v>12388000</v>
      </c>
      <c r="U4662" s="28"/>
      <c r="V4662" s="28">
        <v>2371217000</v>
      </c>
      <c r="W4662" s="28"/>
      <c r="X4662" s="28">
        <v>43666000</v>
      </c>
      <c r="Y4662" s="28">
        <v>5550439000</v>
      </c>
      <c r="Z4662" s="28">
        <v>-594756000</v>
      </c>
      <c r="AA4662" s="28">
        <v>1898683000</v>
      </c>
      <c r="AB4662" s="28">
        <v>3418000</v>
      </c>
      <c r="AC4662" s="28">
        <v>3733540000</v>
      </c>
      <c r="AD4662" s="28">
        <v>-88132000</v>
      </c>
      <c r="AE4662" s="28">
        <v>8677558000</v>
      </c>
      <c r="AF4662" s="28">
        <v>-324816000</v>
      </c>
      <c r="AG4662" s="11"/>
    </row>
    <row r="4663">
      <c r="A4663" s="7" t="s">
        <v>6298</v>
      </c>
      <c r="B4663" s="5" t="s">
        <v>14254</v>
      </c>
      <c r="C4663" s="5" t="s">
        <v>21995</v>
      </c>
      <c r="D4663" s="5" t="str">
        <v>773008102042</v>
      </c>
      <c r="E4663" s="0" t="e">
        <f>+7 (495) 2360002
+7 (812) 2449252
+7 (812) 5063457
+7 (812) 9889121
+7 (901) 2360002
+7 (925) 1882151
+7 (929) 6809813
+7 (965) 3688909
+7 (926) 8009490
+7 (495) 6313591
+7 (495) 9713591</f>
        <v>#NAME?</v>
      </c>
      <c r="F4663" s="5" t="s">
        <v>39220</v>
      </c>
      <c r="G4663" s="5"/>
      <c r="H4663" s="26">
        <v>8.5</v>
      </c>
      <c r="I4663" s="5" t="s">
        <v>39221</v>
      </c>
      <c r="J4663" s="5" t="s">
        <v>28069</v>
      </c>
      <c r="K4663" s="5" t="s">
        <v>344</v>
      </c>
      <c r="L4663" s="5" t="s">
        <v>1546</v>
      </c>
      <c r="M4663" s="27"/>
      <c r="N4663" s="5" t="s">
        <v>56545</v>
      </c>
      <c r="O4663" s="5" t="str">
        <v>7717790098</v>
      </c>
      <c r="P4663" s="27">
        <v>1000000</v>
      </c>
      <c r="Q4663" s="5" t="s">
        <v>56546</v>
      </c>
      <c r="R4663" s="5"/>
      <c r="S4663" s="5" t="s">
        <v>56547</v>
      </c>
      <c r="T4663" s="28">
        <v>810000</v>
      </c>
      <c r="U4663" s="28"/>
      <c r="V4663" s="28">
        <v>5433678000</v>
      </c>
      <c r="W4663" s="28">
        <v>580000</v>
      </c>
      <c r="X4663" s="28">
        <v>367428000</v>
      </c>
      <c r="Y4663" s="28">
        <v>6913667000</v>
      </c>
      <c r="Z4663" s="28">
        <v>297590000</v>
      </c>
      <c r="AA4663" s="28"/>
      <c r="AB4663" s="28">
        <v>16000</v>
      </c>
      <c r="AC4663" s="28">
        <v>6613770000</v>
      </c>
      <c r="AD4663" s="28">
        <v>298590000</v>
      </c>
      <c r="AE4663" s="28">
        <v>7625414000</v>
      </c>
      <c r="AF4663" s="28">
        <v>295324000</v>
      </c>
      <c r="AG4663" s="11"/>
    </row>
    <row r="4664">
      <c r="A4664" s="7" t="s">
        <v>6299</v>
      </c>
      <c r="B4664" s="5" t="s">
        <v>14255</v>
      </c>
      <c r="C4664" s="5" t="s">
        <v>21996</v>
      </c>
      <c r="D4664" s="5"/>
      <c r="E4664" s="0" t="e">
        <f>+7 (495) 6319646
+7 (495) 6319647
+7 (900) 1404500
+7 (495) 6298400
+7 (495) 9719647</f>
        <v>#NAME?</v>
      </c>
      <c r="F4664" s="5" t="s">
        <v>39222</v>
      </c>
      <c r="G4664" s="5" t="s">
        <v>39223</v>
      </c>
      <c r="H4664" s="26">
        <v>13</v>
      </c>
      <c r="I4664" s="5" t="s">
        <v>39224</v>
      </c>
      <c r="J4664" s="5" t="s">
        <v>27783</v>
      </c>
      <c r="K4664" s="5" t="s">
        <v>344</v>
      </c>
      <c r="L4664" s="5" t="s">
        <v>39225</v>
      </c>
      <c r="M4664" s="27">
        <v>12</v>
      </c>
      <c r="N4664" s="5"/>
      <c r="O4664" s="5" t="str">
        <v>7703711642</v>
      </c>
      <c r="P4664" s="27">
        <v>3000100000</v>
      </c>
      <c r="Q4664" s="5" t="s">
        <v>49009</v>
      </c>
      <c r="R4664" s="5" t="s">
        <v>56548</v>
      </c>
      <c r="S4664" s="5" t="s">
        <v>49012</v>
      </c>
      <c r="T4664" s="28">
        <v>3163088000</v>
      </c>
      <c r="U4664" s="28"/>
      <c r="V4664" s="28">
        <v>461744000</v>
      </c>
      <c r="W4664" s="28"/>
      <c r="X4664" s="28">
        <v>269677000</v>
      </c>
      <c r="Y4664" s="28">
        <v>4015087000</v>
      </c>
      <c r="Z4664" s="28">
        <v>-2364920000</v>
      </c>
      <c r="AA4664" s="28">
        <v>549150000</v>
      </c>
      <c r="AB4664" s="28">
        <v>4810000</v>
      </c>
      <c r="AC4664" s="28">
        <v>590755000</v>
      </c>
      <c r="AD4664" s="28">
        <v>1629180000</v>
      </c>
      <c r="AE4664" s="28">
        <v>3968771000</v>
      </c>
      <c r="AF4664" s="28">
        <v>1012741000</v>
      </c>
      <c r="AG4664" s="11"/>
    </row>
    <row r="4665">
      <c r="A4665" s="7" t="s">
        <v>6300</v>
      </c>
      <c r="B4665" s="5" t="s">
        <v>14081</v>
      </c>
      <c r="C4665" s="5" t="s">
        <v>21834</v>
      </c>
      <c r="D4665" s="5" t="str">
        <v>650108797196</v>
      </c>
      <c r="E4665" s="0" t="e">
        <f>+7 (424) 2466207
+7 (424) 2466201
+7 (424) 2466202
+7 (424) 2551478
+7 (424) 2735611</f>
        <v>#NAME?</v>
      </c>
      <c r="F4665" s="5" t="s">
        <v>38715</v>
      </c>
      <c r="G4665" s="5"/>
      <c r="H4665" s="26">
        <v>31</v>
      </c>
      <c r="I4665" s="5"/>
      <c r="J4665" s="5" t="s">
        <v>26424</v>
      </c>
      <c r="K4665" s="5" t="s">
        <v>344</v>
      </c>
      <c r="L4665" s="5" t="s">
        <v>39226</v>
      </c>
      <c r="M4665" s="27">
        <v>751637</v>
      </c>
      <c r="N4665" s="5"/>
      <c r="O4665" s="5" t="str">
        <v>6501012632</v>
      </c>
      <c r="P4665" s="27">
        <v>1200000</v>
      </c>
      <c r="Q4665" s="5"/>
      <c r="R4665" s="5" t="s">
        <v>49329</v>
      </c>
      <c r="S4665" s="5" t="s">
        <v>49029</v>
      </c>
      <c r="T4665" s="28">
        <v>560671000</v>
      </c>
      <c r="U4665" s="28"/>
      <c r="V4665" s="28">
        <v>5306322000</v>
      </c>
      <c r="W4665" s="28">
        <v>31000000</v>
      </c>
      <c r="X4665" s="28">
        <v>78851000</v>
      </c>
      <c r="Y4665" s="28">
        <v>6398926000</v>
      </c>
      <c r="Z4665" s="28">
        <v>6041640000</v>
      </c>
      <c r="AA4665" s="28"/>
      <c r="AB4665" s="28"/>
      <c r="AC4665" s="28">
        <v>247348000</v>
      </c>
      <c r="AD4665" s="28">
        <v>6065391000</v>
      </c>
      <c r="AE4665" s="28">
        <v>3324240000</v>
      </c>
      <c r="AF4665" s="28">
        <v>497182000</v>
      </c>
      <c r="AG4665" s="11"/>
    </row>
    <row r="4666">
      <c r="A4666" s="7" t="s">
        <v>6301</v>
      </c>
      <c r="B4666" s="5" t="s">
        <v>14256</v>
      </c>
      <c r="C4666" s="5" t="s">
        <v>21997</v>
      </c>
      <c r="D4666" s="5" t="str">
        <v>222109038163</v>
      </c>
      <c r="E4666" s="0" t="e">
        <f>+7 (906) 9451445
+7 (385) 2229966
+7 (385) 2399139
+7 (385) 2505288
+7 (385) 2506276
+7 (385) 2506288
+7 (385) 2506555
+7 (385) 2555145
+7 (385) 2631151
+7 (963) 5228149
+7 (983) 1058535</f>
        <v>#NAME?</v>
      </c>
      <c r="F4666" s="5" t="s">
        <v>39227</v>
      </c>
      <c r="G4666" s="5" t="s">
        <v>39228</v>
      </c>
      <c r="H4666" s="26">
        <v>15.5</v>
      </c>
      <c r="I4666" s="5" t="s">
        <v>39229</v>
      </c>
      <c r="J4666" s="5" t="s">
        <v>26770</v>
      </c>
      <c r="K4666" s="5" t="s">
        <v>344</v>
      </c>
      <c r="L4666" s="5" t="s">
        <v>28389</v>
      </c>
      <c r="M4666" s="27">
        <v>6434780</v>
      </c>
      <c r="N4666" s="5" t="s">
        <v>56549</v>
      </c>
      <c r="O4666" s="5" t="str">
        <v>2225089570</v>
      </c>
      <c r="P4666" s="27">
        <v>20408</v>
      </c>
      <c r="Q4666" s="5" t="s">
        <v>50809</v>
      </c>
      <c r="R4666" s="5"/>
      <c r="S4666" s="5" t="s">
        <v>56550</v>
      </c>
      <c r="T4666" s="28">
        <v>11541000</v>
      </c>
      <c r="U4666" s="28"/>
      <c r="V4666" s="28">
        <v>438629000</v>
      </c>
      <c r="W4666" s="28">
        <v>47500000</v>
      </c>
      <c r="X4666" s="28">
        <v>972000</v>
      </c>
      <c r="Y4666" s="28">
        <v>1065793000</v>
      </c>
      <c r="Z4666" s="28">
        <v>242476000</v>
      </c>
      <c r="AA4666" s="28"/>
      <c r="AB4666" s="28">
        <v>142328000</v>
      </c>
      <c r="AC4666" s="28">
        <v>810067000</v>
      </c>
      <c r="AD4666" s="28">
        <v>242496000</v>
      </c>
      <c r="AE4666" s="28">
        <v>3045656000</v>
      </c>
      <c r="AF4666" s="28">
        <v>36314000</v>
      </c>
      <c r="AG4666" s="11"/>
    </row>
    <row r="4667">
      <c r="A4667" s="7" t="s">
        <v>6302</v>
      </c>
      <c r="B4667" s="5" t="s">
        <v>14257</v>
      </c>
      <c r="C4667" s="5" t="s">
        <v>21998</v>
      </c>
      <c r="D4667" s="5" t="str">
        <v>526014244974</v>
      </c>
      <c r="F4667" s="5"/>
      <c r="G4667" s="5" t="s">
        <v>39230</v>
      </c>
      <c r="H4667" s="26">
        <v>13</v>
      </c>
      <c r="I4667" s="5" t="s">
        <v>39231</v>
      </c>
      <c r="J4667" s="5" t="s">
        <v>423</v>
      </c>
      <c r="K4667" s="5" t="s">
        <v>344</v>
      </c>
      <c r="L4667" s="5" t="s">
        <v>39232</v>
      </c>
      <c r="M4667" s="27"/>
      <c r="N4667" s="5" t="s">
        <v>56551</v>
      </c>
      <c r="O4667" s="5" t="str">
        <v>7841422483</v>
      </c>
      <c r="P4667" s="27">
        <v>45000000</v>
      </c>
      <c r="Q4667" s="5" t="s">
        <v>49207</v>
      </c>
      <c r="R4667" s="5"/>
      <c r="S4667" s="5" t="s">
        <v>52322</v>
      </c>
      <c r="T4667" s="28">
        <v>267868000</v>
      </c>
      <c r="U4667" s="28"/>
      <c r="V4667" s="28">
        <v>2009272000</v>
      </c>
      <c r="W4667" s="28">
        <v>137160000</v>
      </c>
      <c r="X4667" s="28">
        <v>5762000</v>
      </c>
      <c r="Y4667" s="28">
        <v>3135259000</v>
      </c>
      <c r="Z4667" s="28">
        <v>31660000</v>
      </c>
      <c r="AA4667" s="28">
        <v>4500000</v>
      </c>
      <c r="AB4667" s="28">
        <v>1603604000</v>
      </c>
      <c r="AC4667" s="28">
        <v>2617739000</v>
      </c>
      <c r="AD4667" s="28">
        <v>46660000</v>
      </c>
      <c r="AE4667" s="28">
        <v>3034419000</v>
      </c>
      <c r="AF4667" s="28">
        <v>23355000</v>
      </c>
      <c r="AG4667" s="11"/>
    </row>
    <row r="4668">
      <c r="A4668" s="7" t="s">
        <v>6303</v>
      </c>
      <c r="B4668" s="5" t="s">
        <v>14258</v>
      </c>
      <c r="C4668" s="5" t="s">
        <v>21999</v>
      </c>
      <c r="D4668" s="5" t="str">
        <v>771405631458</v>
      </c>
      <c r="E4668" s="0" t="e">
        <f>+7 (495) 7349916
+7 (3433) 449194
+7 (495) 3497412
+7 (812) 3209005
+7 (812) 4016959
+7 (831) 2725342</f>
        <v>#NAME?</v>
      </c>
      <c r="F4668" s="5"/>
      <c r="G4668" s="5" t="s">
        <v>39233</v>
      </c>
      <c r="H4668" s="26">
        <v>22</v>
      </c>
      <c r="I4668" s="5" t="s">
        <v>39234</v>
      </c>
      <c r="J4668" s="5" t="s">
        <v>25253</v>
      </c>
      <c r="K4668" s="5" t="s">
        <v>344</v>
      </c>
      <c r="L4668" s="5"/>
      <c r="M4668" s="27"/>
      <c r="N4668" s="5"/>
      <c r="O4668" s="5" t="str">
        <v>7723183670</v>
      </c>
      <c r="P4668" s="27">
        <v>1000000</v>
      </c>
      <c r="Q4668" s="5"/>
      <c r="R4668" s="5"/>
      <c r="S4668" s="5" t="s">
        <v>49425</v>
      </c>
      <c r="T4668" s="28">
        <v>99079000</v>
      </c>
      <c r="U4668" s="28">
        <v>1000</v>
      </c>
      <c r="V4668" s="28">
        <v>1570063000</v>
      </c>
      <c r="W4668" s="28">
        <v>15500000</v>
      </c>
      <c r="X4668" s="28">
        <v>87947000</v>
      </c>
      <c r="Y4668" s="28">
        <v>2483139000</v>
      </c>
      <c r="Z4668" s="28">
        <v>-815505000</v>
      </c>
      <c r="AA4668" s="28">
        <v>2017821000</v>
      </c>
      <c r="AB4668" s="28">
        <v>398988000</v>
      </c>
      <c r="AC4668" s="28">
        <v>1191740000</v>
      </c>
      <c r="AD4668" s="28">
        <v>-814505000</v>
      </c>
      <c r="AE4668" s="28">
        <v>8897613000</v>
      </c>
      <c r="AF4668" s="28">
        <v>-153795000</v>
      </c>
      <c r="AG4668" s="11"/>
    </row>
    <row r="4669">
      <c r="A4669" s="7" t="s">
        <v>6304</v>
      </c>
      <c r="B4669" s="5" t="s">
        <v>14259</v>
      </c>
      <c r="C4669" s="5" t="s">
        <v>22000</v>
      </c>
      <c r="D4669" s="5" t="str">
        <v>773301932849</v>
      </c>
      <c r="E4669" s="0" t="e">
        <f>+7 (495) 2874440
+7 (495) 6874440</f>
        <v>#NAME?</v>
      </c>
      <c r="F4669" s="5" t="s">
        <v>39235</v>
      </c>
      <c r="G4669" s="5" t="s">
        <v>39236</v>
      </c>
      <c r="H4669" s="26">
        <v>20.5</v>
      </c>
      <c r="I4669" s="5" t="s">
        <v>39234</v>
      </c>
      <c r="J4669" s="5" t="s">
        <v>39237</v>
      </c>
      <c r="K4669" s="5" t="s">
        <v>344</v>
      </c>
      <c r="L4669" s="5"/>
      <c r="M4669" s="27"/>
      <c r="N4669" s="5"/>
      <c r="O4669" s="5" t="str">
        <v>7721244422</v>
      </c>
      <c r="P4669" s="27">
        <v>1000000</v>
      </c>
      <c r="Q4669" s="5" t="s">
        <v>49009</v>
      </c>
      <c r="R4669" s="5"/>
      <c r="S4669" s="5" t="s">
        <v>49581</v>
      </c>
      <c r="T4669" s="28">
        <v>353043000</v>
      </c>
      <c r="U4669" s="28"/>
      <c r="V4669" s="28">
        <v>1561857000</v>
      </c>
      <c r="W4669" s="28"/>
      <c r="X4669" s="28">
        <v>10331000</v>
      </c>
      <c r="Y4669" s="28">
        <v>3310863000</v>
      </c>
      <c r="Z4669" s="28">
        <v>-38335000</v>
      </c>
      <c r="AA4669" s="28">
        <v>715851000</v>
      </c>
      <c r="AB4669" s="28">
        <v>1266627000</v>
      </c>
      <c r="AC4669" s="28">
        <v>2519251000</v>
      </c>
      <c r="AD4669" s="28">
        <v>-6998000</v>
      </c>
      <c r="AE4669" s="28">
        <v>12251552000</v>
      </c>
      <c r="AF4669" s="28">
        <v>221457000</v>
      </c>
      <c r="AG4669" s="11"/>
    </row>
    <row r="4670">
      <c r="A4670" s="7" t="s">
        <v>6305</v>
      </c>
      <c r="B4670" s="5" t="s">
        <v>14260</v>
      </c>
      <c r="C4670" s="5" t="s">
        <v>22001</v>
      </c>
      <c r="D4670" s="5" t="str">
        <v>770475788450</v>
      </c>
      <c r="E4670" s="0" t="e">
        <f>+7 (473) 2445538
+7 (495) 9337000
+7 (495) 9513500
+7 (499) 9222006
+7 (499) 9222040
+7 (499) 9510000
+7 (499) 9513500
+7 (800) 7009009</f>
        <v>#NAME?</v>
      </c>
      <c r="F4670" s="5"/>
      <c r="G4670" s="5" t="s">
        <v>39238</v>
      </c>
      <c r="H4670" s="26">
        <v>11.5</v>
      </c>
      <c r="I4670" s="5" t="s">
        <v>39239</v>
      </c>
      <c r="J4670" s="5" t="s">
        <v>26281</v>
      </c>
      <c r="K4670" s="5" t="s">
        <v>344</v>
      </c>
      <c r="L4670" s="5" t="s">
        <v>39240</v>
      </c>
      <c r="M4670" s="27"/>
      <c r="N4670" s="5" t="s">
        <v>56552</v>
      </c>
      <c r="O4670" s="5" t="str">
        <v>7704787370</v>
      </c>
      <c r="P4670" s="27">
        <v>6153846</v>
      </c>
      <c r="Q4670" s="5" t="s">
        <v>49009</v>
      </c>
      <c r="R4670" s="5"/>
      <c r="S4670" s="5" t="s">
        <v>49901</v>
      </c>
      <c r="T4670" s="28">
        <v>97873000</v>
      </c>
      <c r="U4670" s="28">
        <v>9077769000</v>
      </c>
      <c r="V4670" s="28">
        <v>8175257000</v>
      </c>
      <c r="W4670" s="28"/>
      <c r="X4670" s="28">
        <v>784979000</v>
      </c>
      <c r="Y4670" s="28">
        <v>23393100000</v>
      </c>
      <c r="Z4670" s="28">
        <v>1801399000</v>
      </c>
      <c r="AA4670" s="28">
        <v>4788939000</v>
      </c>
      <c r="AB4670" s="28">
        <v>2415099000</v>
      </c>
      <c r="AC4670" s="28">
        <v>8413313000</v>
      </c>
      <c r="AD4670" s="28">
        <v>10135829000</v>
      </c>
      <c r="AE4670" s="28">
        <v>26633076000</v>
      </c>
      <c r="AF4670" s="28">
        <v>2566016000</v>
      </c>
      <c r="AG4670" s="11"/>
    </row>
    <row r="4671">
      <c r="A4671" s="7" t="s">
        <v>6306</v>
      </c>
      <c r="B4671" s="5" t="s">
        <v>14261</v>
      </c>
      <c r="C4671" s="5" t="s">
        <v>22002</v>
      </c>
      <c r="D4671" s="5" t="str">
        <v>780603034401</v>
      </c>
      <c r="E4671" s="0" t="e">
        <f>+7 (812) 4413701
+7 (812) 4382739
+7 (812) 4413700
+7 (812) 4413708
+7 (812) 4413710
+7 (812) 4413711
+7 (812) 4413714
+7 (812) 4413722</f>
        <v>#NAME?</v>
      </c>
      <c r="F4671" s="5" t="s">
        <v>39241</v>
      </c>
      <c r="G4671" s="5" t="s">
        <v>39242</v>
      </c>
      <c r="H4671" s="26">
        <v>19</v>
      </c>
      <c r="I4671" s="5" t="s">
        <v>39243</v>
      </c>
      <c r="J4671" s="5" t="s">
        <v>26482</v>
      </c>
      <c r="K4671" s="5" t="s">
        <v>344</v>
      </c>
      <c r="L4671" s="5" t="s">
        <v>39244</v>
      </c>
      <c r="M4671" s="27"/>
      <c r="N4671" s="5" t="s">
        <v>56349</v>
      </c>
      <c r="O4671" s="5" t="str">
        <v>7806150011</v>
      </c>
      <c r="P4671" s="27">
        <v>3600000</v>
      </c>
      <c r="Q4671" s="5" t="s">
        <v>49059</v>
      </c>
      <c r="R4671" s="5"/>
      <c r="S4671" s="5" t="s">
        <v>49399</v>
      </c>
      <c r="T4671" s="28">
        <v>603899000</v>
      </c>
      <c r="U4671" s="28">
        <v>167780000</v>
      </c>
      <c r="V4671" s="28">
        <v>523918000</v>
      </c>
      <c r="W4671" s="28"/>
      <c r="X4671" s="28">
        <v>2027620000</v>
      </c>
      <c r="Y4671" s="28">
        <v>3675922000</v>
      </c>
      <c r="Z4671" s="28">
        <v>3131703000</v>
      </c>
      <c r="AA4671" s="28"/>
      <c r="AB4671" s="28"/>
      <c r="AC4671" s="28">
        <v>276563000</v>
      </c>
      <c r="AD4671" s="28">
        <v>3399359000</v>
      </c>
      <c r="AE4671" s="28">
        <v>10495143000</v>
      </c>
      <c r="AF4671" s="28">
        <v>904878000</v>
      </c>
      <c r="AG4671" s="11"/>
    </row>
    <row r="4672">
      <c r="A4672" s="7" t="s">
        <v>6307</v>
      </c>
      <c r="B4672" s="5" t="s">
        <v>14262</v>
      </c>
      <c r="C4672" s="5" t="s">
        <v>21312</v>
      </c>
      <c r="D4672" s="5" t="str">
        <v>591100134272</v>
      </c>
      <c r="E4672" s="0" t="e">
        <f>+7 (812) 3136746
+7 (812) 3366888
+7 (812) 3465749
+7 (812) 5676276
+7 (812) 5677023
+7 (812) 5677024
+7 (812) 6264154
+7 (81362) 64143
+7 (81362) 64154</f>
        <v>#NAME?</v>
      </c>
      <c r="F4672" s="5" t="s">
        <v>39245</v>
      </c>
      <c r="G4672" s="5"/>
      <c r="H4672" s="26">
        <v>22</v>
      </c>
      <c r="I4672" s="5" t="s">
        <v>39246</v>
      </c>
      <c r="J4672" s="5" t="s">
        <v>31454</v>
      </c>
      <c r="K4672" s="5" t="s">
        <v>355</v>
      </c>
      <c r="L4672" s="5"/>
      <c r="M4672" s="27">
        <v>3422867</v>
      </c>
      <c r="N4672" s="5"/>
      <c r="O4672" s="5" t="str">
        <v>4703058668</v>
      </c>
      <c r="P4672" s="27">
        <v>462442000</v>
      </c>
      <c r="Q4672" s="5" t="s">
        <v>49009</v>
      </c>
      <c r="R4672" s="5"/>
      <c r="S4672" s="5" t="s">
        <v>49028</v>
      </c>
      <c r="T4672" s="28">
        <v>1614046000</v>
      </c>
      <c r="U4672" s="28"/>
      <c r="V4672" s="28">
        <v>963158000</v>
      </c>
      <c r="W4672" s="28"/>
      <c r="X4672" s="28">
        <v>1740000</v>
      </c>
      <c r="Y4672" s="28">
        <v>4223238000</v>
      </c>
      <c r="Z4672" s="28">
        <v>-3183842000</v>
      </c>
      <c r="AA4672" s="28"/>
      <c r="AB4672" s="28">
        <v>31398000</v>
      </c>
      <c r="AC4672" s="28">
        <v>1281857000</v>
      </c>
      <c r="AD4672" s="28">
        <v>2894188000</v>
      </c>
      <c r="AE4672" s="28">
        <v>5230352000</v>
      </c>
      <c r="AF4672" s="28">
        <v>-77382000</v>
      </c>
      <c r="AG4672" s="11"/>
    </row>
    <row r="4673">
      <c r="A4673" s="7" t="s">
        <v>6308</v>
      </c>
      <c r="B4673" s="5" t="s">
        <v>14263</v>
      </c>
      <c r="C4673" s="5" t="s">
        <v>22003</v>
      </c>
      <c r="D4673" s="5" t="str">
        <v>010507662720</v>
      </c>
      <c r="E4673" s="0" t="e">
        <f>+7 (495) 6041081
+7 (812) 2441081
+7 (877) 2528269
+7 (961) 8586440</f>
        <v>#NAME?</v>
      </c>
      <c r="F4673" s="5" t="s">
        <v>39247</v>
      </c>
      <c r="G4673" s="5"/>
      <c r="H4673" s="26">
        <v>18</v>
      </c>
      <c r="I4673" s="5" t="s">
        <v>39248</v>
      </c>
      <c r="J4673" s="5" t="s">
        <v>39249</v>
      </c>
      <c r="K4673" s="5" t="s">
        <v>344</v>
      </c>
      <c r="L4673" s="5" t="s">
        <v>39250</v>
      </c>
      <c r="M4673" s="27">
        <v>809679</v>
      </c>
      <c r="N4673" s="5"/>
      <c r="O4673" s="5" t="str">
        <v>0105044397</v>
      </c>
      <c r="P4673" s="27">
        <v>80014294</v>
      </c>
      <c r="Q4673" s="5" t="s">
        <v>49009</v>
      </c>
      <c r="R4673" s="5"/>
      <c r="S4673" s="5" t="s">
        <v>49066</v>
      </c>
      <c r="T4673" s="28">
        <v>414673000</v>
      </c>
      <c r="U4673" s="28">
        <v>217817000</v>
      </c>
      <c r="V4673" s="28">
        <v>1598938000</v>
      </c>
      <c r="W4673" s="28"/>
      <c r="X4673" s="28">
        <v>236296000</v>
      </c>
      <c r="Y4673" s="28">
        <v>2993579000</v>
      </c>
      <c r="Z4673" s="28">
        <v>367553000</v>
      </c>
      <c r="AA4673" s="28">
        <v>688000000</v>
      </c>
      <c r="AB4673" s="28">
        <v>690000000</v>
      </c>
      <c r="AC4673" s="28">
        <v>1499844000</v>
      </c>
      <c r="AD4673" s="28">
        <v>447567000</v>
      </c>
      <c r="AE4673" s="28">
        <v>3267661000</v>
      </c>
      <c r="AF4673" s="28">
        <v>89642000</v>
      </c>
      <c r="AG4673" s="11"/>
    </row>
    <row r="4674">
      <c r="A4674" s="7" t="s">
        <v>6309</v>
      </c>
      <c r="B4674" s="5" t="s">
        <v>14264</v>
      </c>
      <c r="C4674" s="5" t="s">
        <v>22004</v>
      </c>
      <c r="D4674" s="5" t="str">
        <v>780500672579</v>
      </c>
      <c r="E4674" s="0" t="e">
        <f>+7 (812) 3091010
+7 (800) 5054404
+7 (812) 4120456
+7 (812) 4125715
+7 (812) 6770717
+7 (812) 6773268</f>
        <v>#NAME?</v>
      </c>
      <c r="F4674" s="5" t="s">
        <v>28752</v>
      </c>
      <c r="G4674" s="5" t="s">
        <v>39251</v>
      </c>
      <c r="H4674" s="26">
        <v>20</v>
      </c>
      <c r="I4674" s="5" t="s">
        <v>39252</v>
      </c>
      <c r="J4674" s="5" t="s">
        <v>27776</v>
      </c>
      <c r="K4674" s="5" t="s">
        <v>355</v>
      </c>
      <c r="L4674" s="5"/>
      <c r="M4674" s="27">
        <v>5059535</v>
      </c>
      <c r="N4674" s="5" t="s">
        <v>50908</v>
      </c>
      <c r="O4674" s="5" t="str">
        <v>7819027463</v>
      </c>
      <c r="P4674" s="27">
        <v>291424200</v>
      </c>
      <c r="Q4674" s="5" t="s">
        <v>56554</v>
      </c>
      <c r="R4674" s="5"/>
      <c r="S4674" s="5" t="s">
        <v>49065</v>
      </c>
      <c r="T4674" s="28">
        <v>2793826000</v>
      </c>
      <c r="U4674" s="28">
        <v>12965000</v>
      </c>
      <c r="V4674" s="28">
        <v>505299000</v>
      </c>
      <c r="W4674" s="28">
        <v>65800000</v>
      </c>
      <c r="X4674" s="28">
        <v>24721000</v>
      </c>
      <c r="Y4674" s="28">
        <v>4822669000</v>
      </c>
      <c r="Z4674" s="28">
        <v>-695498000</v>
      </c>
      <c r="AA4674" s="28">
        <v>100000000</v>
      </c>
      <c r="AB4674" s="28">
        <v>409601000</v>
      </c>
      <c r="AC4674" s="28">
        <v>1568673000</v>
      </c>
      <c r="AD4674" s="28">
        <v>-404074000</v>
      </c>
      <c r="AE4674" s="28">
        <v>3505026000</v>
      </c>
      <c r="AF4674" s="28">
        <v>-542484000</v>
      </c>
      <c r="AG4674" s="11"/>
    </row>
    <row r="4675">
      <c r="A4675" s="7" t="s">
        <v>6310</v>
      </c>
      <c r="B4675" s="5" t="s">
        <v>14265</v>
      </c>
      <c r="C4675" s="5" t="s">
        <v>22005</v>
      </c>
      <c r="D4675" s="5" t="str">
        <v>772506712313</v>
      </c>
      <c r="E4675" s="0" t="e">
        <f>+7 (812) 3632817
+7 (812) 4480625
+7 (921) 7441753
+7 (812) 3344215
+7 (921) 4199356
+7 (921) 4390824</f>
        <v>#NAME?</v>
      </c>
      <c r="F4675" s="5" t="s">
        <v>39253</v>
      </c>
      <c r="G4675" s="5"/>
      <c r="H4675" s="26">
        <v>7</v>
      </c>
      <c r="I4675" s="5" t="s">
        <v>39254</v>
      </c>
      <c r="J4675" s="5" t="s">
        <v>397</v>
      </c>
      <c r="K4675" s="5" t="s">
        <v>380</v>
      </c>
      <c r="L4675" s="5" t="s">
        <v>39255</v>
      </c>
      <c r="M4675" s="27">
        <v>477748</v>
      </c>
      <c r="N4675" s="5" t="s">
        <v>56555</v>
      </c>
      <c r="O4675" s="5" t="str">
        <v>4716041799</v>
      </c>
      <c r="P4675" s="27">
        <v>10000</v>
      </c>
      <c r="Q4675" s="5" t="s">
        <v>56556</v>
      </c>
      <c r="R4675" s="5"/>
      <c r="S4675" s="5" t="s">
        <v>50589</v>
      </c>
      <c r="T4675" s="28">
        <v>138495000</v>
      </c>
      <c r="U4675" s="28"/>
      <c r="V4675" s="28">
        <v>318368000</v>
      </c>
      <c r="W4675" s="28">
        <v>7678000</v>
      </c>
      <c r="X4675" s="28">
        <v>126000</v>
      </c>
      <c r="Y4675" s="28">
        <v>1127942000</v>
      </c>
      <c r="Z4675" s="28">
        <v>153426000</v>
      </c>
      <c r="AA4675" s="28"/>
      <c r="AB4675" s="28">
        <v>953000</v>
      </c>
      <c r="AC4675" s="28">
        <v>974486000</v>
      </c>
      <c r="AD4675" s="28">
        <v>153436000</v>
      </c>
      <c r="AE4675" s="28">
        <v>3100246000</v>
      </c>
      <c r="AF4675" s="28">
        <v>44991000</v>
      </c>
      <c r="AG4675" s="11"/>
    </row>
    <row r="4676">
      <c r="A4676" s="7" t="s">
        <v>6311</v>
      </c>
      <c r="B4676" s="5" t="s">
        <v>14266</v>
      </c>
      <c r="C4676" s="5" t="s">
        <v>22006</v>
      </c>
      <c r="D4676" s="5" t="str">
        <v>780100692651</v>
      </c>
      <c r="E4676" s="0" t="e">
        <f>+7 (812) 6002064
+7 (921) 9198866</f>
        <v>#NAME?</v>
      </c>
      <c r="F4676" s="5" t="s">
        <v>39256</v>
      </c>
      <c r="G4676" s="5" t="s">
        <v>39257</v>
      </c>
      <c r="H4676" s="26">
        <v>7</v>
      </c>
      <c r="I4676" s="5" t="s">
        <v>39258</v>
      </c>
      <c r="J4676" s="5" t="s">
        <v>364</v>
      </c>
      <c r="K4676" s="5" t="s">
        <v>344</v>
      </c>
      <c r="L4676" s="5" t="s">
        <v>33737</v>
      </c>
      <c r="M4676" s="27">
        <v>1119482</v>
      </c>
      <c r="N4676" s="5" t="s">
        <v>56557</v>
      </c>
      <c r="O4676" s="5" t="str">
        <v>7813240241</v>
      </c>
      <c r="P4676" s="27">
        <v>12000</v>
      </c>
      <c r="Q4676" s="5" t="s">
        <v>56558</v>
      </c>
      <c r="R4676" s="5"/>
      <c r="S4676" s="5" t="s">
        <v>56559</v>
      </c>
      <c r="T4676" s="28">
        <v>138754000</v>
      </c>
      <c r="U4676" s="28"/>
      <c r="V4676" s="28">
        <v>1715178000</v>
      </c>
      <c r="W4676" s="28">
        <v>98329000</v>
      </c>
      <c r="X4676" s="28">
        <v>24149000</v>
      </c>
      <c r="Y4676" s="28">
        <v>2463472000</v>
      </c>
      <c r="Z4676" s="28">
        <v>618828000</v>
      </c>
      <c r="AA4676" s="28"/>
      <c r="AB4676" s="28"/>
      <c r="AC4676" s="28">
        <v>1832578000</v>
      </c>
      <c r="AD4676" s="28">
        <v>618840000</v>
      </c>
      <c r="AE4676" s="28">
        <v>7738310000</v>
      </c>
      <c r="AF4676" s="28">
        <v>552692000</v>
      </c>
      <c r="AG4676" s="11"/>
    </row>
    <row r="4677">
      <c r="A4677" s="7" t="s">
        <v>6312</v>
      </c>
      <c r="B4677" s="5" t="s">
        <v>14267</v>
      </c>
      <c r="C4677" s="5" t="s">
        <v>22007</v>
      </c>
      <c r="D4677" s="5" t="str">
        <v>775130824932</v>
      </c>
      <c r="E4677" s="0" t="e">
        <f>+7 (495) 4788810
+7 (495) 2691234
+7 (495) 7176809
+7 (499) 2727632
+7 (499) 6579676
+7 (800) 3331616</f>
        <v>#NAME?</v>
      </c>
      <c r="F4677" s="5" t="s">
        <v>39259</v>
      </c>
      <c r="G4677" s="5" t="s">
        <v>39260</v>
      </c>
      <c r="H4677" s="26">
        <v>10</v>
      </c>
      <c r="I4677" s="5" t="s">
        <v>39261</v>
      </c>
      <c r="J4677" s="5" t="s">
        <v>26308</v>
      </c>
      <c r="K4677" s="5" t="s">
        <v>380</v>
      </c>
      <c r="L4677" s="5"/>
      <c r="M4677" s="27">
        <v>30048648</v>
      </c>
      <c r="N4677" s="5"/>
      <c r="O4677" s="5" t="str">
        <v>7736652262</v>
      </c>
      <c r="P4677" s="27">
        <v>282100000</v>
      </c>
      <c r="Q4677" s="5" t="s">
        <v>49009</v>
      </c>
      <c r="R4677" s="5"/>
      <c r="S4677" s="5" t="s">
        <v>49010</v>
      </c>
      <c r="T4677" s="28">
        <v>435083000</v>
      </c>
      <c r="U4677" s="28"/>
      <c r="V4677" s="28">
        <v>285166000</v>
      </c>
      <c r="W4677" s="28"/>
      <c r="X4677" s="28">
        <v>14410000</v>
      </c>
      <c r="Y4677" s="28">
        <v>1272178000</v>
      </c>
      <c r="Z4677" s="28">
        <v>-1349925000</v>
      </c>
      <c r="AA4677" s="28">
        <v>745719000</v>
      </c>
      <c r="AB4677" s="28">
        <v>1949000</v>
      </c>
      <c r="AC4677" s="28">
        <v>1590164000</v>
      </c>
      <c r="AD4677" s="28">
        <v>-1067429000</v>
      </c>
      <c r="AE4677" s="28">
        <v>3050377000</v>
      </c>
      <c r="AF4677" s="28">
        <v>1666418000</v>
      </c>
      <c r="AG4677" s="11"/>
    </row>
    <row r="4678">
      <c r="A4678" s="7" t="s">
        <v>6313</v>
      </c>
      <c r="B4678" s="5" t="s">
        <v>14268</v>
      </c>
      <c r="C4678" s="5" t="s">
        <v>22008</v>
      </c>
      <c r="D4678" s="5" t="str">
        <v>312261974302</v>
      </c>
      <c r="E4678" s="0" t="e">
        <f>+7 (800) 5050302
+7 (861) 2009181
+7 (861) 2010210
+7 (918) 493083
+7 (918) 638967
+7 (918) 6320097</f>
        <v>#NAME?</v>
      </c>
      <c r="F4678" s="5" t="s">
        <v>39262</v>
      </c>
      <c r="G4678" s="5" t="s">
        <v>39263</v>
      </c>
      <c r="H4678" s="26">
        <v>17</v>
      </c>
      <c r="I4678" s="5" t="s">
        <v>39264</v>
      </c>
      <c r="J4678" s="5" t="s">
        <v>33745</v>
      </c>
      <c r="K4678" s="5" t="s">
        <v>344</v>
      </c>
      <c r="L4678" s="5" t="s">
        <v>39265</v>
      </c>
      <c r="M4678" s="27">
        <v>661323</v>
      </c>
      <c r="N4678" s="5"/>
      <c r="O4678" s="5" t="str">
        <v>2352038521</v>
      </c>
      <c r="P4678" s="27">
        <v>170000000</v>
      </c>
      <c r="Q4678" s="5"/>
      <c r="R4678" s="5"/>
      <c r="S4678" s="5" t="s">
        <v>49029</v>
      </c>
      <c r="T4678" s="28">
        <v>1376527000</v>
      </c>
      <c r="U4678" s="28">
        <v>497000</v>
      </c>
      <c r="V4678" s="28">
        <v>9385452000</v>
      </c>
      <c r="W4678" s="28">
        <v>4433327000</v>
      </c>
      <c r="X4678" s="28">
        <v>1322000</v>
      </c>
      <c r="Y4678" s="28">
        <v>17874981000</v>
      </c>
      <c r="Z4678" s="28">
        <v>2361500000</v>
      </c>
      <c r="AA4678" s="28">
        <v>695216000</v>
      </c>
      <c r="AB4678" s="28">
        <v>21192000</v>
      </c>
      <c r="AC4678" s="28">
        <v>14623537000</v>
      </c>
      <c r="AD4678" s="28">
        <v>2531500000</v>
      </c>
      <c r="AE4678" s="28">
        <v>66306207000</v>
      </c>
      <c r="AF4678" s="28">
        <v>1129040000</v>
      </c>
      <c r="AG4678" s="11"/>
    </row>
    <row r="4679">
      <c r="A4679" s="7" t="s">
        <v>6314</v>
      </c>
      <c r="B4679" s="5" t="s">
        <v>14269</v>
      </c>
      <c r="C4679" s="5" t="s">
        <v>21093</v>
      </c>
      <c r="D4679" s="5"/>
      <c r="E4679" s="0" t="e">
        <f>+7 (495) 5439397
+7 (495) 5439398</f>
        <v>#NAME?</v>
      </c>
      <c r="F4679" s="5" t="s">
        <v>39266</v>
      </c>
      <c r="G4679" s="5"/>
      <c r="H4679" s="26">
        <v>12.5</v>
      </c>
      <c r="I4679" s="5" t="s">
        <v>39267</v>
      </c>
      <c r="J4679" s="5" t="s">
        <v>26355</v>
      </c>
      <c r="K4679" s="5" t="s">
        <v>344</v>
      </c>
      <c r="L4679" s="5" t="s">
        <v>39268</v>
      </c>
      <c r="M4679" s="27"/>
      <c r="N4679" s="5"/>
      <c r="O4679" s="5" t="str">
        <v>3316017655</v>
      </c>
      <c r="P4679" s="27">
        <v>10000</v>
      </c>
      <c r="Q4679" s="5" t="s">
        <v>49009</v>
      </c>
      <c r="R4679" s="5"/>
      <c r="S4679" s="5" t="s">
        <v>49066</v>
      </c>
      <c r="T4679" s="28">
        <v>3274819000</v>
      </c>
      <c r="U4679" s="28"/>
      <c r="V4679" s="28">
        <v>2880744000</v>
      </c>
      <c r="W4679" s="28"/>
      <c r="X4679" s="28">
        <v>34556000</v>
      </c>
      <c r="Y4679" s="28">
        <v>8512526000</v>
      </c>
      <c r="Z4679" s="28">
        <v>1594526000</v>
      </c>
      <c r="AA4679" s="28"/>
      <c r="AB4679" s="28">
        <v>1499988000</v>
      </c>
      <c r="AC4679" s="28">
        <v>4226652000</v>
      </c>
      <c r="AD4679" s="28">
        <v>1594536000</v>
      </c>
      <c r="AE4679" s="28">
        <v>16404944000</v>
      </c>
      <c r="AF4679" s="28">
        <v>1230094000</v>
      </c>
      <c r="AG4679" s="11"/>
    </row>
    <row r="4680">
      <c r="A4680" s="7" t="s">
        <v>6315</v>
      </c>
      <c r="B4680" s="5" t="s">
        <v>14270</v>
      </c>
      <c r="C4680" s="5" t="s">
        <v>22009</v>
      </c>
      <c r="D4680" s="5" t="str">
        <v>222108586343</v>
      </c>
      <c r="E4680" s="0" t="e">
        <f>+7 (385) 2465144
+7 (385) 2222963
+7 (385) 2223549
+7 (385) 2465107
+7 (385) 2465253
+7 (385) 2555616</f>
        <v>#NAME?</v>
      </c>
      <c r="F4680" s="5" t="s">
        <v>39269</v>
      </c>
      <c r="G4680" s="5" t="s">
        <v>39270</v>
      </c>
      <c r="H4680" s="26">
        <v>14</v>
      </c>
      <c r="I4680" s="5" t="s">
        <v>39271</v>
      </c>
      <c r="J4680" s="5" t="s">
        <v>39272</v>
      </c>
      <c r="K4680" s="5" t="s">
        <v>344</v>
      </c>
      <c r="L4680" s="5" t="s">
        <v>39273</v>
      </c>
      <c r="M4680" s="27"/>
      <c r="N4680" s="5" t="s">
        <v>56561</v>
      </c>
      <c r="O4680" s="5" t="str">
        <v>2263025129</v>
      </c>
      <c r="P4680" s="27">
        <v>100000</v>
      </c>
      <c r="Q4680" s="5"/>
      <c r="R4680" s="5"/>
      <c r="S4680" s="5" t="s">
        <v>49425</v>
      </c>
      <c r="T4680" s="28">
        <v>261307000</v>
      </c>
      <c r="U4680" s="28"/>
      <c r="V4680" s="28">
        <v>716876000</v>
      </c>
      <c r="W4680" s="28"/>
      <c r="X4680" s="28">
        <v>352967000</v>
      </c>
      <c r="Y4680" s="28">
        <v>1981799000</v>
      </c>
      <c r="Z4680" s="28">
        <v>722724000</v>
      </c>
      <c r="AA4680" s="28">
        <v>718141000</v>
      </c>
      <c r="AB4680" s="28">
        <v>24593000</v>
      </c>
      <c r="AC4680" s="28">
        <v>540834000</v>
      </c>
      <c r="AD4680" s="28">
        <v>722824000</v>
      </c>
      <c r="AE4680" s="28">
        <v>4383327000</v>
      </c>
      <c r="AF4680" s="28">
        <v>170245000</v>
      </c>
      <c r="AG4680" s="11"/>
    </row>
    <row r="4681">
      <c r="A4681" s="7" t="s">
        <v>6316</v>
      </c>
      <c r="B4681" s="5" t="s">
        <v>14271</v>
      </c>
      <c r="C4681" s="5" t="s">
        <v>22010</v>
      </c>
      <c r="D4681" s="5" t="str">
        <v>504029492243</v>
      </c>
      <c r="E4681" s="0" t="e">
        <f>+7 (495) 5012322
+7 (495) 5019709
+7 (495) 5019700
+7 (495) 5019722
+7 (495) 5019736
+7 (495) 5019755
+7 (495) 5019901
+7 (499) 5019754</f>
        <v>#NAME?</v>
      </c>
      <c r="F4681" s="5" t="s">
        <v>39274</v>
      </c>
      <c r="G4681" s="5"/>
      <c r="H4681" s="26">
        <v>23.5</v>
      </c>
      <c r="I4681" s="5" t="s">
        <v>39275</v>
      </c>
      <c r="J4681" s="5" t="s">
        <v>26355</v>
      </c>
      <c r="K4681" s="5" t="s">
        <v>344</v>
      </c>
      <c r="L4681" s="5" t="s">
        <v>39276</v>
      </c>
      <c r="M4681" s="27"/>
      <c r="N4681" s="5"/>
      <c r="O4681" s="5" t="str">
        <v>5027073220</v>
      </c>
      <c r="P4681" s="27">
        <v>383837000</v>
      </c>
      <c r="Q4681" s="5" t="s">
        <v>49324</v>
      </c>
      <c r="R4681" s="5"/>
      <c r="S4681" s="5" t="s">
        <v>56562</v>
      </c>
      <c r="T4681" s="28">
        <v>596465000</v>
      </c>
      <c r="U4681" s="28"/>
      <c r="V4681" s="28">
        <v>1959939000</v>
      </c>
      <c r="W4681" s="28">
        <v>45000000</v>
      </c>
      <c r="X4681" s="28">
        <v>17667000</v>
      </c>
      <c r="Y4681" s="28">
        <v>3316321000</v>
      </c>
      <c r="Z4681" s="28">
        <v>2055752000</v>
      </c>
      <c r="AA4681" s="28"/>
      <c r="AB4681" s="28">
        <v>485000000</v>
      </c>
      <c r="AC4681" s="28">
        <v>867558000</v>
      </c>
      <c r="AD4681" s="28">
        <v>2439589000</v>
      </c>
      <c r="AE4681" s="28">
        <v>4008887000</v>
      </c>
      <c r="AF4681" s="28">
        <v>733712000</v>
      </c>
      <c r="AG4681" s="11"/>
    </row>
    <row r="4682">
      <c r="A4682" s="7" t="s">
        <v>6317</v>
      </c>
      <c r="B4682" s="5" t="s">
        <v>14272</v>
      </c>
      <c r="C4682" s="5" t="s">
        <v>22011</v>
      </c>
      <c r="D4682" s="5" t="str">
        <v>780152605473</v>
      </c>
      <c r="E4682" s="0" t="e">
        <f>+7 (921) 9655445
+7 (3432) 875270
+7 (40150) 33722
+7 (40150) 33723
+7 (40150) 33724
+7 (495) 6406316
+7 (495) 6406318
+7 (812) 6772294
+7 (812) 6775572
+7 (812) 6775573
+7 (911) 8589190
+7 (921) 2695780</f>
        <v>#NAME?</v>
      </c>
      <c r="F4682" s="5" t="s">
        <v>39277</v>
      </c>
      <c r="G4682" s="5" t="s">
        <v>39278</v>
      </c>
      <c r="H4682" s="26">
        <v>7</v>
      </c>
      <c r="I4682" s="5" t="s">
        <v>39279</v>
      </c>
      <c r="J4682" s="5" t="s">
        <v>36462</v>
      </c>
      <c r="K4682" s="5" t="s">
        <v>344</v>
      </c>
      <c r="L4682" s="5" t="s">
        <v>39280</v>
      </c>
      <c r="M4682" s="27"/>
      <c r="N4682" s="5" t="s">
        <v>56563</v>
      </c>
      <c r="O4682" s="5" t="str">
        <v>3906984091</v>
      </c>
      <c r="P4682" s="27">
        <v>50000</v>
      </c>
      <c r="Q4682" s="5"/>
      <c r="R4682" s="5"/>
      <c r="S4682" s="5" t="s">
        <v>49399</v>
      </c>
      <c r="T4682" s="28">
        <v>193396000</v>
      </c>
      <c r="U4682" s="28"/>
      <c r="V4682" s="28">
        <v>469525000</v>
      </c>
      <c r="W4682" s="28"/>
      <c r="X4682" s="28">
        <v>334000</v>
      </c>
      <c r="Y4682" s="28">
        <v>906364000</v>
      </c>
      <c r="Z4682" s="28">
        <v>572888000</v>
      </c>
      <c r="AA4682" s="28"/>
      <c r="AB4682" s="28"/>
      <c r="AC4682" s="28">
        <v>208151000</v>
      </c>
      <c r="AD4682" s="28">
        <v>572938000</v>
      </c>
      <c r="AE4682" s="28">
        <v>3019741000</v>
      </c>
      <c r="AF4682" s="28">
        <v>572805000</v>
      </c>
      <c r="AG4682" s="11"/>
    </row>
    <row r="4683">
      <c r="A4683" s="7" t="s">
        <v>6318</v>
      </c>
      <c r="B4683" s="5" t="s">
        <v>14273</v>
      </c>
      <c r="C4683" s="5" t="s">
        <v>22012</v>
      </c>
      <c r="D4683" s="5" t="str">
        <v>212910394779</v>
      </c>
      <c r="E4683" s="0" t="e">
        <f>+7 (8352) 304492
+7 (8352) 304512
+7 (8352) 304038
+7 (8352) 304041
+7 (8352) 304088
+7 (8352) 304180
+7 (8352) 304528
+7 (8352) 304563
+7 (8352) 304585
+7 (8352) 304831
+7 (8352) 304949
+7 (8352) 307030
+7 (8352) 307359
+7 (8352) 307382
+7 (8352) 307411</f>
        <v>#NAME?</v>
      </c>
      <c r="F4683" s="5" t="s">
        <v>39281</v>
      </c>
      <c r="G4683" s="5" t="s">
        <v>39282</v>
      </c>
      <c r="H4683" s="26">
        <v>16.5</v>
      </c>
      <c r="I4683" s="5" t="s">
        <v>39283</v>
      </c>
      <c r="J4683" s="5" t="s">
        <v>27991</v>
      </c>
      <c r="K4683" s="5" t="s">
        <v>344</v>
      </c>
      <c r="L4683" s="5"/>
      <c r="M4683" s="27"/>
      <c r="N4683" s="5" t="s">
        <v>56564</v>
      </c>
      <c r="O4683" s="5" t="str">
        <v>2130006695</v>
      </c>
      <c r="P4683" s="27">
        <v>50000</v>
      </c>
      <c r="Q4683" s="5"/>
      <c r="R4683" s="5"/>
      <c r="S4683" s="5" t="s">
        <v>49399</v>
      </c>
      <c r="T4683" s="28">
        <v>1140694000</v>
      </c>
      <c r="U4683" s="28"/>
      <c r="V4683" s="28">
        <v>3974905000</v>
      </c>
      <c r="W4683" s="28">
        <v>53488000</v>
      </c>
      <c r="X4683" s="28">
        <v>6040000</v>
      </c>
      <c r="Y4683" s="28">
        <v>9481387000</v>
      </c>
      <c r="Z4683" s="28">
        <v>1749488000</v>
      </c>
      <c r="AA4683" s="28">
        <v>1076356000</v>
      </c>
      <c r="AB4683" s="28">
        <v>3087896000</v>
      </c>
      <c r="AC4683" s="28">
        <v>5983163000</v>
      </c>
      <c r="AD4683" s="28">
        <v>1749556000</v>
      </c>
      <c r="AE4683" s="28">
        <v>14518389000</v>
      </c>
      <c r="AF4683" s="28">
        <v>1742231000</v>
      </c>
      <c r="AG4683" s="11"/>
    </row>
    <row r="4684">
      <c r="A4684" s="7" t="s">
        <v>6319</v>
      </c>
      <c r="B4684" s="5" t="s">
        <v>14274</v>
      </c>
      <c r="C4684" s="5" t="s">
        <v>22013</v>
      </c>
      <c r="D4684" s="5" t="str">
        <v>401107823000</v>
      </c>
      <c r="E4684" s="0" t="e">
        <f>+7 (48439) 97263
+7 (910) 5229714
+7 (925) 4879738
+7 (930) 7566888</f>
        <v>#NAME?</v>
      </c>
      <c r="F4684" s="5"/>
      <c r="G4684" s="5"/>
      <c r="H4684" s="26">
        <v>6</v>
      </c>
      <c r="I4684" s="5" t="s">
        <v>39284</v>
      </c>
      <c r="J4684" s="5" t="s">
        <v>25353</v>
      </c>
      <c r="K4684" s="5" t="s">
        <v>344</v>
      </c>
      <c r="L4684" s="5" t="s">
        <v>39285</v>
      </c>
      <c r="M4684" s="27">
        <v>3133</v>
      </c>
      <c r="N4684" s="5"/>
      <c r="O4684" s="5" t="str">
        <v>5030091075</v>
      </c>
      <c r="P4684" s="27">
        <v>35000</v>
      </c>
      <c r="Q4684" s="5" t="s">
        <v>49009</v>
      </c>
      <c r="R4684" s="5"/>
      <c r="S4684" s="5" t="s">
        <v>49066</v>
      </c>
      <c r="T4684" s="28">
        <v>107000</v>
      </c>
      <c r="U4684" s="28"/>
      <c r="V4684" s="28">
        <v>302767000</v>
      </c>
      <c r="W4684" s="28"/>
      <c r="X4684" s="28">
        <v>323281000</v>
      </c>
      <c r="Y4684" s="28">
        <v>1537345000</v>
      </c>
      <c r="Z4684" s="28">
        <v>995602000</v>
      </c>
      <c r="AA4684" s="28"/>
      <c r="AB4684" s="28"/>
      <c r="AC4684" s="28">
        <v>537937000</v>
      </c>
      <c r="AD4684" s="28">
        <v>995637000</v>
      </c>
      <c r="AE4684" s="28">
        <v>5441776000</v>
      </c>
      <c r="AF4684" s="28">
        <v>741060000</v>
      </c>
      <c r="AG4684" s="11"/>
    </row>
    <row r="4685">
      <c r="A4685" s="7" t="s">
        <v>6320</v>
      </c>
      <c r="B4685" s="5" t="s">
        <v>14275</v>
      </c>
      <c r="C4685" s="5" t="s">
        <v>22014</v>
      </c>
      <c r="D4685" s="5" t="str">
        <v>504000449502</v>
      </c>
      <c r="E4685" s="0" t="e">
        <f>+7 (383) 2278663
+7 (495) 2218760
+7 (495) 2218761
+7 (495) 7774169
+7 (915) 2499991
+7 (916) 6255710</f>
        <v>#NAME?</v>
      </c>
      <c r="F4685" s="5"/>
      <c r="G4685" s="5"/>
      <c r="H4685" s="26">
        <v>7.5</v>
      </c>
      <c r="I4685" s="5" t="s">
        <v>39286</v>
      </c>
      <c r="J4685" s="5" t="s">
        <v>25525</v>
      </c>
      <c r="K4685" s="5" t="s">
        <v>344</v>
      </c>
      <c r="L4685" s="5" t="s">
        <v>32453</v>
      </c>
      <c r="M4685" s="27"/>
      <c r="N4685" s="5"/>
      <c r="O4685" s="5" t="str">
        <v>5027231290</v>
      </c>
      <c r="P4685" s="27">
        <v>10000</v>
      </c>
      <c r="Q4685" s="5" t="s">
        <v>49009</v>
      </c>
      <c r="R4685" s="5" t="s">
        <v>56566</v>
      </c>
      <c r="S4685" s="5" t="s">
        <v>49781</v>
      </c>
      <c r="T4685" s="28">
        <v>95167000</v>
      </c>
      <c r="U4685" s="28"/>
      <c r="V4685" s="28">
        <v>221714000</v>
      </c>
      <c r="W4685" s="28">
        <v>142141000</v>
      </c>
      <c r="X4685" s="28">
        <v>77471000</v>
      </c>
      <c r="Y4685" s="28">
        <v>903361000</v>
      </c>
      <c r="Z4685" s="28">
        <v>157406000</v>
      </c>
      <c r="AA4685" s="28"/>
      <c r="AB4685" s="28">
        <v>306945000</v>
      </c>
      <c r="AC4685" s="28">
        <v>745945000</v>
      </c>
      <c r="AD4685" s="28">
        <v>157416000</v>
      </c>
      <c r="AE4685" s="28">
        <v>3751756000</v>
      </c>
      <c r="AF4685" s="28">
        <v>131162000</v>
      </c>
      <c r="AG4685" s="11"/>
    </row>
    <row r="4686">
      <c r="A4686" s="7" t="s">
        <v>6321</v>
      </c>
      <c r="B4686" s="5" t="s">
        <v>14276</v>
      </c>
      <c r="C4686" s="5" t="s">
        <v>22015</v>
      </c>
      <c r="D4686" s="5" t="str">
        <v>771306061670</v>
      </c>
      <c r="E4686" s="0" t="e">
        <f>+7 (495) 2595810
+7 (495) 5044078
+7 (495) 5044080
+7 (495) 5044088
+7 (495) 5044092</f>
        <v>#NAME?</v>
      </c>
      <c r="F4686" s="5"/>
      <c r="G4686" s="5" t="s">
        <v>39287</v>
      </c>
      <c r="H4686" s="26">
        <v>11</v>
      </c>
      <c r="I4686" s="5" t="s">
        <v>39288</v>
      </c>
      <c r="J4686" s="5" t="s">
        <v>678</v>
      </c>
      <c r="K4686" s="5" t="s">
        <v>344</v>
      </c>
      <c r="L4686" s="5" t="s">
        <v>39289</v>
      </c>
      <c r="M4686" s="27"/>
      <c r="N4686" s="5"/>
      <c r="O4686" s="5" t="str">
        <v>7702783394</v>
      </c>
      <c r="P4686" s="27">
        <v>49534691</v>
      </c>
      <c r="Q4686" s="5" t="s">
        <v>49009</v>
      </c>
      <c r="R4686" s="5"/>
      <c r="S4686" s="5" t="s">
        <v>49120</v>
      </c>
      <c r="T4686" s="28">
        <v>296318000</v>
      </c>
      <c r="U4686" s="28"/>
      <c r="V4686" s="28">
        <v>314182000</v>
      </c>
      <c r="W4686" s="28"/>
      <c r="X4686" s="28">
        <v>312756000</v>
      </c>
      <c r="Y4686" s="28">
        <v>1698057000</v>
      </c>
      <c r="Z4686" s="28">
        <v>806090000</v>
      </c>
      <c r="AA4686" s="28">
        <v>140200000</v>
      </c>
      <c r="AB4686" s="28">
        <v>1012000</v>
      </c>
      <c r="AC4686" s="28">
        <v>600223000</v>
      </c>
      <c r="AD4686" s="28">
        <v>855625000</v>
      </c>
      <c r="AE4686" s="28">
        <v>5748909000</v>
      </c>
      <c r="AF4686" s="28">
        <v>213901000</v>
      </c>
      <c r="AG4686" s="11"/>
    </row>
    <row r="4687">
      <c r="A4687" s="7" t="s">
        <v>6322</v>
      </c>
      <c r="B4687" s="5" t="s">
        <v>14277</v>
      </c>
      <c r="C4687" s="5" t="s">
        <v>22016</v>
      </c>
      <c r="D4687" s="5" t="str">
        <v>231103501333</v>
      </c>
      <c r="E4687" s="0" t="e">
        <f>+7 (861) 2667400
+7 (861) 2383257
+7 (861) 2630321
+7 (861) 2666543</f>
        <v>#NAME?</v>
      </c>
      <c r="F4687" s="5" t="s">
        <v>39290</v>
      </c>
      <c r="G4687" s="5"/>
      <c r="H4687" s="26">
        <v>26.5</v>
      </c>
      <c r="I4687" s="5" t="s">
        <v>39291</v>
      </c>
      <c r="J4687" s="5" t="s">
        <v>31059</v>
      </c>
      <c r="K4687" s="5" t="s">
        <v>355</v>
      </c>
      <c r="L4687" s="5" t="s">
        <v>39292</v>
      </c>
      <c r="M4687" s="27"/>
      <c r="N4687" s="5" t="s">
        <v>56567</v>
      </c>
      <c r="O4687" s="5" t="str">
        <v>2312058673</v>
      </c>
      <c r="P4687" s="27">
        <v>15549886</v>
      </c>
      <c r="Q4687" s="5"/>
      <c r="R4687" s="5"/>
      <c r="S4687" s="5" t="s">
        <v>50509</v>
      </c>
      <c r="T4687" s="28">
        <v>155038000</v>
      </c>
      <c r="U4687" s="28"/>
      <c r="V4687" s="28">
        <v>1496714000</v>
      </c>
      <c r="W4687" s="28"/>
      <c r="X4687" s="28">
        <v>163185000</v>
      </c>
      <c r="Y4687" s="28">
        <v>3044020000</v>
      </c>
      <c r="Z4687" s="28">
        <v>566631000</v>
      </c>
      <c r="AA4687" s="28">
        <v>300000000</v>
      </c>
      <c r="AB4687" s="28">
        <v>100000000</v>
      </c>
      <c r="AC4687" s="28">
        <v>2159208000</v>
      </c>
      <c r="AD4687" s="28">
        <v>584812000</v>
      </c>
      <c r="AE4687" s="28">
        <v>6384071000</v>
      </c>
      <c r="AF4687" s="28">
        <v>100894000</v>
      </c>
      <c r="AG4687" s="11"/>
    </row>
    <row r="4688">
      <c r="A4688" s="7" t="s">
        <v>6323</v>
      </c>
      <c r="B4688" s="5" t="s">
        <v>14278</v>
      </c>
      <c r="C4688" s="5" t="s">
        <v>22017</v>
      </c>
      <c r="D4688" s="5" t="str">
        <v>645500855647</v>
      </c>
      <c r="E4688" s="0" t="e">
        <f>+7 (495) 7778200
+7 (495) 7778263
+7 (495) 7778205
+7 (495) 7778209
+7 (495) 7778211
+7 (495) 9631119</f>
        <v>#NAME?</v>
      </c>
      <c r="F4688" s="5" t="s">
        <v>39293</v>
      </c>
      <c r="G4688" s="5" t="s">
        <v>39294</v>
      </c>
      <c r="H4688" s="26">
        <v>22</v>
      </c>
      <c r="I4688" s="5"/>
      <c r="J4688" s="5" t="s">
        <v>30175</v>
      </c>
      <c r="K4688" s="5" t="s">
        <v>355</v>
      </c>
      <c r="L4688" s="5"/>
      <c r="M4688" s="27">
        <v>73584195</v>
      </c>
      <c r="N4688" s="5" t="s">
        <v>56568</v>
      </c>
      <c r="O4688" s="5" t="str">
        <v>7718183890</v>
      </c>
      <c r="P4688" s="27">
        <v>290232403</v>
      </c>
      <c r="Q4688" s="5" t="s">
        <v>50611</v>
      </c>
      <c r="R4688" s="5"/>
      <c r="S4688" s="5" t="s">
        <v>56569</v>
      </c>
      <c r="T4688" s="28">
        <v>410052000</v>
      </c>
      <c r="U4688" s="28">
        <v>1148068000</v>
      </c>
      <c r="V4688" s="28">
        <v>342591000</v>
      </c>
      <c r="W4688" s="28"/>
      <c r="X4688" s="28">
        <v>25529000</v>
      </c>
      <c r="Y4688" s="28">
        <v>4022745000</v>
      </c>
      <c r="Z4688" s="28">
        <v>688162000</v>
      </c>
      <c r="AA4688" s="28"/>
      <c r="AB4688" s="28">
        <v>647056000</v>
      </c>
      <c r="AC4688" s="28">
        <v>2915544000</v>
      </c>
      <c r="AD4688" s="28">
        <v>1063102000</v>
      </c>
      <c r="AE4688" s="28">
        <v>3017000000</v>
      </c>
      <c r="AF4688" s="28">
        <v>-112387000</v>
      </c>
      <c r="AG4688" s="11"/>
    </row>
    <row r="4689">
      <c r="A4689" s="7" t="s">
        <v>6324</v>
      </c>
      <c r="B4689" s="5" t="s">
        <v>14279</v>
      </c>
      <c r="C4689" s="5" t="s">
        <v>20320</v>
      </c>
      <c r="D4689" s="5" t="str">
        <v>263204882600</v>
      </c>
      <c r="E4689" s="0" t="e">
        <f>+7 (495) 1911102</f>
        <v>#NAME?</v>
      </c>
      <c r="F4689" s="5" t="s">
        <v>39295</v>
      </c>
      <c r="G4689" s="5"/>
      <c r="H4689" s="26">
        <v>7.5</v>
      </c>
      <c r="I4689" s="5" t="s">
        <v>39296</v>
      </c>
      <c r="J4689" s="5" t="s">
        <v>25788</v>
      </c>
      <c r="K4689" s="5" t="s">
        <v>344</v>
      </c>
      <c r="L4689" s="5" t="s">
        <v>365</v>
      </c>
      <c r="M4689" s="27">
        <v>166236</v>
      </c>
      <c r="N4689" s="5"/>
      <c r="O4689" s="5" t="str">
        <v>7706428016</v>
      </c>
      <c r="P4689" s="27">
        <v>300000</v>
      </c>
      <c r="Q4689" s="5"/>
      <c r="R4689" s="5"/>
      <c r="S4689" s="5" t="s">
        <v>49029</v>
      </c>
      <c r="T4689" s="28">
        <v>2781644000</v>
      </c>
      <c r="U4689" s="28"/>
      <c r="V4689" s="28">
        <v>110564000</v>
      </c>
      <c r="W4689" s="28"/>
      <c r="X4689" s="28">
        <v>4957000</v>
      </c>
      <c r="Y4689" s="28">
        <v>3326160000</v>
      </c>
      <c r="Z4689" s="28">
        <v>25873000</v>
      </c>
      <c r="AA4689" s="28">
        <v>2871476000</v>
      </c>
      <c r="AB4689" s="28"/>
      <c r="AC4689" s="28">
        <v>407509000</v>
      </c>
      <c r="AD4689" s="28">
        <v>146578000</v>
      </c>
      <c r="AE4689" s="28">
        <v>3140135000</v>
      </c>
      <c r="AF4689" s="28">
        <v>25293000</v>
      </c>
      <c r="AG4689" s="11"/>
    </row>
    <row r="4690">
      <c r="A4690" s="7" t="s">
        <v>6325</v>
      </c>
      <c r="B4690" s="5" t="s">
        <v>14280</v>
      </c>
      <c r="C4690" s="5" t="s">
        <v>22018</v>
      </c>
      <c r="D4690" s="5"/>
      <c r="F4690" s="5"/>
      <c r="G4690" s="5"/>
      <c r="H4690" s="26">
        <v>2.5</v>
      </c>
      <c r="I4690" s="5" t="s">
        <v>39297</v>
      </c>
      <c r="J4690" s="5" t="s">
        <v>27890</v>
      </c>
      <c r="K4690" s="5" t="s">
        <v>344</v>
      </c>
      <c r="L4690" s="5" t="s">
        <v>39298</v>
      </c>
      <c r="M4690" s="27"/>
      <c r="N4690" s="5"/>
      <c r="O4690" s="5" t="str">
        <v>5031137460</v>
      </c>
      <c r="P4690" s="27">
        <v>300000</v>
      </c>
      <c r="Q4690" s="5"/>
      <c r="R4690" s="5"/>
      <c r="S4690" s="5" t="s">
        <v>49029</v>
      </c>
      <c r="T4690" s="28">
        <v>887000</v>
      </c>
      <c r="U4690" s="28"/>
      <c r="V4690" s="28">
        <v>640645000</v>
      </c>
      <c r="W4690" s="28">
        <v>21793000</v>
      </c>
      <c r="X4690" s="28">
        <v>2999000</v>
      </c>
      <c r="Y4690" s="28">
        <v>1175226000</v>
      </c>
      <c r="Z4690" s="28">
        <v>47795000</v>
      </c>
      <c r="AA4690" s="28"/>
      <c r="AB4690" s="28">
        <v>201953000</v>
      </c>
      <c r="AC4690" s="28">
        <v>1124819000</v>
      </c>
      <c r="AD4690" s="28">
        <v>48095000</v>
      </c>
      <c r="AE4690" s="28">
        <v>3067495000</v>
      </c>
      <c r="AF4690" s="28">
        <v>41387000</v>
      </c>
      <c r="AG4690" s="11"/>
    </row>
    <row r="4691">
      <c r="A4691" s="7" t="s">
        <v>6326</v>
      </c>
      <c r="B4691" s="5" t="s">
        <v>14281</v>
      </c>
      <c r="C4691" s="5" t="s">
        <v>22019</v>
      </c>
      <c r="D4691" s="5" t="str">
        <v>420534311694</v>
      </c>
      <c r="E4691" s="0" t="e">
        <f>+7 (384) 2492525
+7 (905) 9692250
+7 (906) 9319636
+7 (961) 8623939</f>
        <v>#NAME?</v>
      </c>
      <c r="F4691" s="5"/>
      <c r="G4691" s="5" t="s">
        <v>39299</v>
      </c>
      <c r="H4691" s="26">
        <v>7</v>
      </c>
      <c r="I4691" s="5" t="s">
        <v>39300</v>
      </c>
      <c r="J4691" s="5" t="s">
        <v>25788</v>
      </c>
      <c r="K4691" s="5" t="s">
        <v>344</v>
      </c>
      <c r="L4691" s="5"/>
      <c r="M4691" s="27"/>
      <c r="N4691" s="5"/>
      <c r="O4691" s="5" t="str">
        <v>4205321450</v>
      </c>
      <c r="P4691" s="27">
        <v>10000</v>
      </c>
      <c r="Q4691" s="5"/>
      <c r="R4691" s="5"/>
      <c r="S4691" s="5" t="s">
        <v>49029</v>
      </c>
      <c r="T4691" s="28">
        <v>324000</v>
      </c>
      <c r="U4691" s="28"/>
      <c r="V4691" s="28">
        <v>113652000</v>
      </c>
      <c r="W4691" s="28"/>
      <c r="X4691" s="28">
        <v>1130000</v>
      </c>
      <c r="Y4691" s="28">
        <v>154536000</v>
      </c>
      <c r="Z4691" s="28"/>
      <c r="AA4691" s="28"/>
      <c r="AB4691" s="28">
        <v>2504000</v>
      </c>
      <c r="AC4691" s="28">
        <v>68524000</v>
      </c>
      <c r="AD4691" s="28">
        <v>86012000</v>
      </c>
      <c r="AE4691" s="28">
        <v>39532408000</v>
      </c>
      <c r="AF4691" s="28">
        <v>2266481000</v>
      </c>
      <c r="AG4691" s="11"/>
    </row>
    <row r="4692">
      <c r="A4692" s="7" t="s">
        <v>6327</v>
      </c>
      <c r="B4692" s="5" t="s">
        <v>9733</v>
      </c>
      <c r="C4692" s="5" t="s">
        <v>22020</v>
      </c>
      <c r="D4692" s="5" t="str">
        <v>770300356570</v>
      </c>
      <c r="E4692" s="0" t="e">
        <f>+7 (421) 2260000
+7 (495) 6441226
+7 (499) 7025162
+7 (800) 2344004
+7 (800) 5557042
+7 (902) 6522883</f>
        <v>#NAME?</v>
      </c>
      <c r="F4692" s="5"/>
      <c r="G4692" s="5" t="s">
        <v>39301</v>
      </c>
      <c r="H4692" s="26">
        <v>16.5</v>
      </c>
      <c r="I4692" s="5" t="s">
        <v>39302</v>
      </c>
      <c r="J4692" s="5" t="s">
        <v>26272</v>
      </c>
      <c r="K4692" s="5" t="s">
        <v>344</v>
      </c>
      <c r="L4692" s="5"/>
      <c r="M4692" s="27">
        <v>156759</v>
      </c>
      <c r="N4692" s="5"/>
      <c r="O4692" s="5" t="str">
        <v>2723115222</v>
      </c>
      <c r="P4692" s="27">
        <v>194300</v>
      </c>
      <c r="Q4692" s="5" t="s">
        <v>49021</v>
      </c>
      <c r="R4692" s="5"/>
      <c r="S4692" s="5" t="s">
        <v>56570</v>
      </c>
      <c r="T4692" s="28">
        <v>76308000</v>
      </c>
      <c r="U4692" s="28">
        <v>302000</v>
      </c>
      <c r="V4692" s="28">
        <v>874522000</v>
      </c>
      <c r="W4692" s="28">
        <v>13691986000</v>
      </c>
      <c r="X4692" s="28">
        <v>1047574000</v>
      </c>
      <c r="Y4692" s="28">
        <v>15955553000</v>
      </c>
      <c r="Z4692" s="28">
        <v>8803354000</v>
      </c>
      <c r="AA4692" s="28">
        <v>3545782000</v>
      </c>
      <c r="AB4692" s="28">
        <v>24170000</v>
      </c>
      <c r="AC4692" s="28">
        <v>753850000</v>
      </c>
      <c r="AD4692" s="28">
        <v>11582205000</v>
      </c>
      <c r="AE4692" s="28">
        <v>8291280000</v>
      </c>
      <c r="AF4692" s="28">
        <v>3667985000</v>
      </c>
      <c r="AG4692" s="11"/>
    </row>
    <row r="4693">
      <c r="A4693" s="7" t="s">
        <v>6328</v>
      </c>
      <c r="B4693" s="5" t="s">
        <v>14282</v>
      </c>
      <c r="C4693" s="5" t="s">
        <v>22021</v>
      </c>
      <c r="D4693" s="5" t="str">
        <v>182908953125</v>
      </c>
      <c r="E4693" s="0" t="e">
        <f>+7 (342) 2209506
+7 (3422) 92222</f>
        <v>#NAME?</v>
      </c>
      <c r="F4693" s="5" t="s">
        <v>39303</v>
      </c>
      <c r="G4693" s="5"/>
      <c r="H4693" s="26">
        <v>26.5</v>
      </c>
      <c r="I4693" s="5" t="s">
        <v>39304</v>
      </c>
      <c r="J4693" s="5" t="s">
        <v>26173</v>
      </c>
      <c r="K4693" s="5" t="s">
        <v>344</v>
      </c>
      <c r="L4693" s="5" t="s">
        <v>39305</v>
      </c>
      <c r="M4693" s="27"/>
      <c r="N4693" s="5" t="s">
        <v>56571</v>
      </c>
      <c r="O4693" s="5" t="str">
        <v>5906999380</v>
      </c>
      <c r="P4693" s="27">
        <v>10000000</v>
      </c>
      <c r="Q4693" s="5" t="s">
        <v>56572</v>
      </c>
      <c r="R4693" s="5"/>
      <c r="S4693" s="5" t="s">
        <v>56573</v>
      </c>
      <c r="T4693" s="28">
        <v>170209000</v>
      </c>
      <c r="U4693" s="28">
        <v>18562000</v>
      </c>
      <c r="V4693" s="28">
        <v>1070807000</v>
      </c>
      <c r="W4693" s="28"/>
      <c r="X4693" s="28">
        <v>145082000</v>
      </c>
      <c r="Y4693" s="28">
        <v>1936430000</v>
      </c>
      <c r="Z4693" s="28">
        <v>1133203000</v>
      </c>
      <c r="AA4693" s="28">
        <v>362509000</v>
      </c>
      <c r="AB4693" s="28">
        <v>36266000</v>
      </c>
      <c r="AC4693" s="28">
        <v>392045000</v>
      </c>
      <c r="AD4693" s="28">
        <v>1143354000</v>
      </c>
      <c r="AE4693" s="28">
        <v>3490024000</v>
      </c>
      <c r="AF4693" s="28">
        <v>242856000</v>
      </c>
      <c r="AG4693" s="11"/>
    </row>
    <row r="4694">
      <c r="A4694" s="7" t="s">
        <v>6329</v>
      </c>
      <c r="B4694" s="5" t="s">
        <v>14283</v>
      </c>
      <c r="C4694" s="5" t="s">
        <v>22022</v>
      </c>
      <c r="D4694" s="5" t="str">
        <v>234909036006</v>
      </c>
      <c r="E4694" s="0" t="e">
        <f>+7 (918) 9877780</f>
        <v>#NAME?</v>
      </c>
      <c r="F4694" s="5"/>
      <c r="G4694" s="5"/>
      <c r="H4694" s="26">
        <v>6.5</v>
      </c>
      <c r="I4694" s="5" t="s">
        <v>39306</v>
      </c>
      <c r="J4694" s="5" t="s">
        <v>364</v>
      </c>
      <c r="K4694" s="5" t="s">
        <v>355</v>
      </c>
      <c r="L4694" s="5" t="s">
        <v>39307</v>
      </c>
      <c r="M4694" s="27">
        <v>2238727</v>
      </c>
      <c r="N4694" s="5"/>
      <c r="O4694" s="5" t="str">
        <v>2308236323</v>
      </c>
      <c r="P4694" s="27">
        <v>10000</v>
      </c>
      <c r="Q4694" s="5" t="s">
        <v>49009</v>
      </c>
      <c r="R4694" s="5"/>
      <c r="S4694" s="5" t="s">
        <v>50019</v>
      </c>
      <c r="T4694" s="28">
        <v>216448000</v>
      </c>
      <c r="U4694" s="28"/>
      <c r="V4694" s="28">
        <v>4275638000</v>
      </c>
      <c r="W4694" s="28"/>
      <c r="X4694" s="28">
        <v>17103000</v>
      </c>
      <c r="Y4694" s="28">
        <v>7781999000</v>
      </c>
      <c r="Z4694" s="28">
        <v>682945000</v>
      </c>
      <c r="AA4694" s="28"/>
      <c r="AB4694" s="28"/>
      <c r="AC4694" s="28">
        <v>6985518000</v>
      </c>
      <c r="AD4694" s="28">
        <v>682955000</v>
      </c>
      <c r="AE4694" s="28">
        <v>5849410000</v>
      </c>
      <c r="AF4694" s="28">
        <v>489123000</v>
      </c>
      <c r="AG4694" s="11"/>
    </row>
    <row r="4695">
      <c r="A4695" s="7" t="s">
        <v>6330</v>
      </c>
      <c r="B4695" s="5" t="s">
        <v>14284</v>
      </c>
      <c r="C4695" s="5" t="s">
        <v>18875</v>
      </c>
      <c r="D4695" s="5"/>
      <c r="E4695" s="0" t="e">
        <f>+7 (812) 3357315
+7 (812) 3357313
+7 (812) 3357329
+7 (812) 3357901
+7 (812) 3357907
+7 (812) 9894769</f>
        <v>#NAME?</v>
      </c>
      <c r="F4695" s="5" t="s">
        <v>39308</v>
      </c>
      <c r="G4695" s="5" t="s">
        <v>39309</v>
      </c>
      <c r="H4695" s="26">
        <v>24.5</v>
      </c>
      <c r="I4695" s="5" t="s">
        <v>39310</v>
      </c>
      <c r="J4695" s="5" t="s">
        <v>26905</v>
      </c>
      <c r="K4695" s="5" t="s">
        <v>344</v>
      </c>
      <c r="L4695" s="5"/>
      <c r="M4695" s="27"/>
      <c r="N4695" s="5" t="s">
        <v>56574</v>
      </c>
      <c r="O4695" s="5" t="str">
        <v>7805113497</v>
      </c>
      <c r="P4695" s="27">
        <v>32000000</v>
      </c>
      <c r="Q4695" s="5" t="s">
        <v>56575</v>
      </c>
      <c r="R4695" s="5"/>
      <c r="S4695" s="5" t="s">
        <v>52284</v>
      </c>
      <c r="T4695" s="28">
        <v>3827334000</v>
      </c>
      <c r="U4695" s="28">
        <v>9148857000</v>
      </c>
      <c r="V4695" s="28">
        <v>272284000</v>
      </c>
      <c r="W4695" s="28"/>
      <c r="X4695" s="28">
        <v>2385620000</v>
      </c>
      <c r="Y4695" s="28">
        <v>16047648000</v>
      </c>
      <c r="Z4695" s="28">
        <v>7838555000</v>
      </c>
      <c r="AA4695" s="28">
        <v>3250091000</v>
      </c>
      <c r="AB4695" s="28">
        <v>2897741000</v>
      </c>
      <c r="AC4695" s="28">
        <v>3263864000</v>
      </c>
      <c r="AD4695" s="28">
        <v>7885065000</v>
      </c>
      <c r="AE4695" s="28">
        <v>3617842000</v>
      </c>
      <c r="AF4695" s="28">
        <v>750225000</v>
      </c>
      <c r="AG4695" s="11"/>
    </row>
    <row r="4696">
      <c r="A4696" s="7" t="s">
        <v>6331</v>
      </c>
      <c r="B4696" s="5" t="s">
        <v>14285</v>
      </c>
      <c r="C4696" s="5" t="s">
        <v>22023</v>
      </c>
      <c r="D4696" s="5" t="str">
        <v>391700142463</v>
      </c>
      <c r="E4696" s="0" t="e">
        <f>+7 (401) 2640131
+7 (921) 7103362</f>
        <v>#NAME?</v>
      </c>
      <c r="F4696" s="5" t="s">
        <v>39311</v>
      </c>
      <c r="G4696" s="5"/>
      <c r="H4696" s="26">
        <v>3.5</v>
      </c>
      <c r="I4696" s="5" t="s">
        <v>39312</v>
      </c>
      <c r="J4696" s="5" t="s">
        <v>373</v>
      </c>
      <c r="K4696" s="5" t="s">
        <v>344</v>
      </c>
      <c r="L4696" s="5" t="s">
        <v>39313</v>
      </c>
      <c r="M4696" s="27"/>
      <c r="N4696" s="5"/>
      <c r="O4696" s="5" t="str">
        <v>3906383608</v>
      </c>
      <c r="P4696" s="27">
        <v>408000</v>
      </c>
      <c r="Q4696" s="5" t="s">
        <v>49827</v>
      </c>
      <c r="R4696" s="5"/>
      <c r="S4696" s="5" t="s">
        <v>56576</v>
      </c>
      <c r="T4696" s="28"/>
      <c r="U4696" s="28"/>
      <c r="V4696" s="28">
        <v>472059000</v>
      </c>
      <c r="W4696" s="28">
        <v>18500000</v>
      </c>
      <c r="X4696" s="28">
        <v>332000</v>
      </c>
      <c r="Y4696" s="28">
        <v>686618000</v>
      </c>
      <c r="Z4696" s="28">
        <v>262303000</v>
      </c>
      <c r="AA4696" s="28"/>
      <c r="AB4696" s="28"/>
      <c r="AC4696" s="28">
        <v>420010000</v>
      </c>
      <c r="AD4696" s="28">
        <v>262711000</v>
      </c>
      <c r="AE4696" s="28">
        <v>3447855000</v>
      </c>
      <c r="AF4696" s="28">
        <v>195504000</v>
      </c>
      <c r="AG4696" s="11"/>
    </row>
    <row r="4697">
      <c r="A4697" s="7" t="s">
        <v>6332</v>
      </c>
      <c r="B4697" s="5" t="s">
        <v>14286</v>
      </c>
      <c r="C4697" s="5" t="s">
        <v>22024</v>
      </c>
      <c r="D4697" s="5" t="str">
        <v>027811086580</v>
      </c>
      <c r="E4697" s="0" t="e">
        <f>+7 (3472) 417274
+7 (3472) 417963
+7 (3472) 482766
+7 (3472) 482767
+7 (3472) 482768</f>
        <v>#NAME?</v>
      </c>
      <c r="F4697" s="5" t="s">
        <v>39314</v>
      </c>
      <c r="G4697" s="5" t="s">
        <v>39315</v>
      </c>
      <c r="H4697" s="26">
        <v>13</v>
      </c>
      <c r="I4697" s="5" t="s">
        <v>39316</v>
      </c>
      <c r="J4697" s="5" t="s">
        <v>1013</v>
      </c>
      <c r="K4697" s="5" t="s">
        <v>344</v>
      </c>
      <c r="L4697" s="5" t="s">
        <v>39317</v>
      </c>
      <c r="M4697" s="27"/>
      <c r="N4697" s="5" t="s">
        <v>56577</v>
      </c>
      <c r="O4697" s="5" t="str">
        <v>0276125688</v>
      </c>
      <c r="P4697" s="27">
        <v>101523</v>
      </c>
      <c r="Q4697" s="5" t="s">
        <v>56578</v>
      </c>
      <c r="R4697" s="5"/>
      <c r="S4697" s="5" t="s">
        <v>56579</v>
      </c>
      <c r="T4697" s="28">
        <v>972077000</v>
      </c>
      <c r="U4697" s="28"/>
      <c r="V4697" s="28">
        <v>1204292000</v>
      </c>
      <c r="W4697" s="28"/>
      <c r="X4697" s="28">
        <v>12443000</v>
      </c>
      <c r="Y4697" s="28">
        <v>3558612000</v>
      </c>
      <c r="Z4697" s="28">
        <v>2051748000</v>
      </c>
      <c r="AA4697" s="28">
        <v>443167000</v>
      </c>
      <c r="AB4697" s="28">
        <v>170088000</v>
      </c>
      <c r="AC4697" s="28">
        <v>1053021000</v>
      </c>
      <c r="AD4697" s="28">
        <v>2051850000</v>
      </c>
      <c r="AE4697" s="28">
        <v>3092121000</v>
      </c>
      <c r="AF4697" s="28">
        <v>877678000</v>
      </c>
      <c r="AG4697" s="11"/>
    </row>
    <row r="4698">
      <c r="A4698" s="7" t="s">
        <v>6333</v>
      </c>
      <c r="B4698" s="5" t="s">
        <v>14287</v>
      </c>
      <c r="C4698" s="5" t="s">
        <v>22025</v>
      </c>
      <c r="D4698" s="5" t="str">
        <v>771501859430</v>
      </c>
      <c r="E4698" s="0" t="e">
        <f>+7 (495) 6506053
+7 (903) 6666025
+7 (495) 5042506
+7 (495) 5042507
+7 (495) 5044009
+7 (495) 5103332
+7 (495) 5555101
+7 (495) 6507829
+7 (495) 6509459
+7 (800) 2000120</f>
        <v>#NAME?</v>
      </c>
      <c r="F4698" s="5" t="s">
        <v>39318</v>
      </c>
      <c r="G4698" s="5" t="s">
        <v>39319</v>
      </c>
      <c r="H4698" s="26">
        <v>30.5</v>
      </c>
      <c r="I4698" s="5" t="s">
        <v>39320</v>
      </c>
      <c r="J4698" s="5" t="s">
        <v>445</v>
      </c>
      <c r="K4698" s="5" t="s">
        <v>344</v>
      </c>
      <c r="L4698" s="5" t="s">
        <v>39321</v>
      </c>
      <c r="M4698" s="27"/>
      <c r="N4698" s="5" t="s">
        <v>56580</v>
      </c>
      <c r="O4698" s="5" t="str">
        <v>7726044240</v>
      </c>
      <c r="P4698" s="27">
        <v>12000000</v>
      </c>
      <c r="Q4698" s="5" t="s">
        <v>49009</v>
      </c>
      <c r="R4698" s="5" t="s">
        <v>56581</v>
      </c>
      <c r="S4698" s="5" t="s">
        <v>49012</v>
      </c>
      <c r="T4698" s="28">
        <v>1456134000</v>
      </c>
      <c r="U4698" s="28">
        <v>66570000</v>
      </c>
      <c r="V4698" s="28">
        <v>1088637000</v>
      </c>
      <c r="W4698" s="28"/>
      <c r="X4698" s="28">
        <v>8320215000</v>
      </c>
      <c r="Y4698" s="28">
        <v>14151533000</v>
      </c>
      <c r="Z4698" s="28">
        <v>12038535000</v>
      </c>
      <c r="AA4698" s="28"/>
      <c r="AB4698" s="28">
        <v>78758000</v>
      </c>
      <c r="AC4698" s="28">
        <v>1988732000</v>
      </c>
      <c r="AD4698" s="28">
        <v>12050535000</v>
      </c>
      <c r="AE4698" s="28">
        <v>36330443000</v>
      </c>
      <c r="AF4698" s="28">
        <v>664019000</v>
      </c>
      <c r="AG4698" s="11"/>
    </row>
    <row r="4699">
      <c r="A4699" s="7" t="s">
        <v>6334</v>
      </c>
      <c r="B4699" s="5" t="s">
        <v>14288</v>
      </c>
      <c r="C4699" s="5" t="s">
        <v>22026</v>
      </c>
      <c r="D4699" s="5" t="str">
        <v>772350789269</v>
      </c>
      <c r="E4699" s="0" t="e">
        <f>+7 (962) 4977672
+7 (962) 9497672</f>
        <v>#NAME?</v>
      </c>
      <c r="F4699" s="5" t="s">
        <v>39322</v>
      </c>
      <c r="G4699" s="5"/>
      <c r="H4699" s="26">
        <v>4</v>
      </c>
      <c r="I4699" s="5" t="s">
        <v>39323</v>
      </c>
      <c r="J4699" s="5" t="s">
        <v>32784</v>
      </c>
      <c r="K4699" s="5" t="s">
        <v>344</v>
      </c>
      <c r="L4699" s="5" t="s">
        <v>39324</v>
      </c>
      <c r="M4699" s="27"/>
      <c r="N4699" s="5" t="s">
        <v>56582</v>
      </c>
      <c r="O4699" s="5" t="str">
        <v>7719485036</v>
      </c>
      <c r="P4699" s="27">
        <v>500000</v>
      </c>
      <c r="Q4699" s="5" t="s">
        <v>56583</v>
      </c>
      <c r="R4699" s="5"/>
      <c r="S4699" s="5" t="s">
        <v>56584</v>
      </c>
      <c r="T4699" s="28">
        <v>61308000</v>
      </c>
      <c r="U4699" s="28"/>
      <c r="V4699" s="28">
        <v>734481000</v>
      </c>
      <c r="W4699" s="28">
        <v>97457000</v>
      </c>
      <c r="X4699" s="28">
        <v>34109000</v>
      </c>
      <c r="Y4699" s="28">
        <v>1000814000</v>
      </c>
      <c r="Z4699" s="28">
        <v>205247000</v>
      </c>
      <c r="AA4699" s="28"/>
      <c r="AB4699" s="28"/>
      <c r="AC4699" s="28">
        <v>792806000</v>
      </c>
      <c r="AD4699" s="28">
        <v>205747000</v>
      </c>
      <c r="AE4699" s="28">
        <v>4098382000</v>
      </c>
      <c r="AF4699" s="28">
        <v>255475000</v>
      </c>
      <c r="AG4699" s="11"/>
    </row>
    <row r="4700">
      <c r="A4700" s="7" t="s">
        <v>6335</v>
      </c>
      <c r="B4700" s="5" t="s">
        <v>14289</v>
      </c>
      <c r="C4700" s="5" t="s">
        <v>22027</v>
      </c>
      <c r="D4700" s="5" t="str">
        <v>616102611482</v>
      </c>
      <c r="E4700" s="0" t="e">
        <f>+7 (863) 3019922
+7 (928) 4362565</f>
        <v>#NAME?</v>
      </c>
      <c r="F4700" s="5" t="s">
        <v>39325</v>
      </c>
      <c r="G4700" s="5" t="s">
        <v>39326</v>
      </c>
      <c r="H4700" s="26">
        <v>27.5</v>
      </c>
      <c r="I4700" s="5" t="s">
        <v>39327</v>
      </c>
      <c r="J4700" s="5" t="s">
        <v>25850</v>
      </c>
      <c r="K4700" s="5" t="s">
        <v>380</v>
      </c>
      <c r="L4700" s="5" t="s">
        <v>39328</v>
      </c>
      <c r="M4700" s="27"/>
      <c r="N4700" s="5"/>
      <c r="O4700" s="5" t="str">
        <v>6167033815</v>
      </c>
      <c r="P4700" s="27">
        <v>100004370</v>
      </c>
      <c r="Q4700" s="5" t="s">
        <v>49059</v>
      </c>
      <c r="R4700" s="5"/>
      <c r="S4700" s="5" t="s">
        <v>50822</v>
      </c>
      <c r="T4700" s="28">
        <v>85533000</v>
      </c>
      <c r="U4700" s="28">
        <v>3822215000</v>
      </c>
      <c r="V4700" s="28">
        <v>343754000</v>
      </c>
      <c r="W4700" s="28">
        <v>386500000</v>
      </c>
      <c r="X4700" s="28">
        <v>268000</v>
      </c>
      <c r="Y4700" s="28">
        <v>5059083000</v>
      </c>
      <c r="Z4700" s="28">
        <v>1170979000</v>
      </c>
      <c r="AA4700" s="28"/>
      <c r="AB4700" s="28">
        <v>2460788000</v>
      </c>
      <c r="AC4700" s="28">
        <v>3777500000</v>
      </c>
      <c r="AD4700" s="28">
        <v>1275485000</v>
      </c>
      <c r="AE4700" s="28">
        <v>3016060000</v>
      </c>
      <c r="AF4700" s="28">
        <v>29709000</v>
      </c>
      <c r="AG4700" s="11"/>
    </row>
    <row r="4701">
      <c r="A4701" s="7" t="s">
        <v>6336</v>
      </c>
      <c r="B4701" s="5" t="s">
        <v>14290</v>
      </c>
      <c r="C4701" s="5" t="s">
        <v>22028</v>
      </c>
      <c r="D4701" s="5" t="str">
        <v>720314344220</v>
      </c>
      <c r="F4701" s="5"/>
      <c r="G4701" s="5"/>
      <c r="H4701" s="26">
        <v>4.5</v>
      </c>
      <c r="I4701" s="5" t="s">
        <v>39329</v>
      </c>
      <c r="J4701" s="5" t="s">
        <v>364</v>
      </c>
      <c r="K4701" s="5" t="s">
        <v>344</v>
      </c>
      <c r="L4701" s="5" t="s">
        <v>39330</v>
      </c>
      <c r="M4701" s="27"/>
      <c r="N4701" s="5"/>
      <c r="O4701" s="5" t="str">
        <v>6670470997</v>
      </c>
      <c r="P4701" s="27">
        <v>60000</v>
      </c>
      <c r="Q4701" s="5" t="s">
        <v>56585</v>
      </c>
      <c r="R4701" s="5"/>
      <c r="S4701" s="5" t="s">
        <v>56586</v>
      </c>
      <c r="T4701" s="28">
        <v>211850000</v>
      </c>
      <c r="U4701" s="28">
        <v>220541000</v>
      </c>
      <c r="V4701" s="28">
        <v>3271051000</v>
      </c>
      <c r="W4701" s="28"/>
      <c r="X4701" s="28">
        <v>24998000</v>
      </c>
      <c r="Y4701" s="28">
        <v>4965872000</v>
      </c>
      <c r="Z4701" s="28">
        <v>733842000</v>
      </c>
      <c r="AA4701" s="28">
        <v>1382077000</v>
      </c>
      <c r="AB4701" s="28">
        <v>89204000</v>
      </c>
      <c r="AC4701" s="28">
        <v>2768925000</v>
      </c>
      <c r="AD4701" s="28">
        <v>733902000</v>
      </c>
      <c r="AE4701" s="28">
        <v>13377760000</v>
      </c>
      <c r="AF4701" s="28">
        <v>199035000</v>
      </c>
      <c r="AG4701" s="11"/>
    </row>
    <row r="4702">
      <c r="A4702" s="7" t="s">
        <v>6337</v>
      </c>
      <c r="B4702" s="5" t="s">
        <v>14291</v>
      </c>
      <c r="C4702" s="5" t="s">
        <v>22029</v>
      </c>
      <c r="D4702" s="5" t="str">
        <v>780210422016</v>
      </c>
      <c r="E4702" s="0" t="e">
        <f>+7 (812) 3259990
+7 (812) 6001990
+7 (812) 2943220
+7 (812) 3141937
+7 (812) 3185714
+7 (812) 6406610</f>
        <v>#NAME?</v>
      </c>
      <c r="F4702" s="5" t="s">
        <v>39331</v>
      </c>
      <c r="G4702" s="5" t="s">
        <v>39332</v>
      </c>
      <c r="H4702" s="26">
        <v>27</v>
      </c>
      <c r="I4702" s="5" t="s">
        <v>39333</v>
      </c>
      <c r="J4702" s="5" t="s">
        <v>26292</v>
      </c>
      <c r="K4702" s="5" t="s">
        <v>344</v>
      </c>
      <c r="L4702" s="5" t="s">
        <v>39334</v>
      </c>
      <c r="M4702" s="27"/>
      <c r="N4702" s="5"/>
      <c r="O4702" s="5" t="str">
        <v>7806039990</v>
      </c>
      <c r="P4702" s="27">
        <v>10000</v>
      </c>
      <c r="Q4702" s="5" t="s">
        <v>49009</v>
      </c>
      <c r="R4702" s="5"/>
      <c r="S4702" s="5" t="s">
        <v>56587</v>
      </c>
      <c r="T4702" s="28">
        <v>19780000</v>
      </c>
      <c r="U4702" s="28"/>
      <c r="V4702" s="28">
        <v>209361000</v>
      </c>
      <c r="W4702" s="28">
        <v>195305000</v>
      </c>
      <c r="X4702" s="28">
        <v>11482000</v>
      </c>
      <c r="Y4702" s="28">
        <v>851519000</v>
      </c>
      <c r="Z4702" s="28">
        <v>756206000</v>
      </c>
      <c r="AA4702" s="28"/>
      <c r="AB4702" s="28"/>
      <c r="AC4702" s="28">
        <v>93596000</v>
      </c>
      <c r="AD4702" s="28">
        <v>756216000</v>
      </c>
      <c r="AE4702" s="28">
        <v>3463311000</v>
      </c>
      <c r="AF4702" s="28">
        <v>3099000</v>
      </c>
      <c r="AG4702" s="11"/>
    </row>
    <row r="4703">
      <c r="A4703" s="7" t="s">
        <v>6338</v>
      </c>
      <c r="B4703" s="5" t="s">
        <v>14292</v>
      </c>
      <c r="C4703" s="5" t="s">
        <v>22030</v>
      </c>
      <c r="D4703" s="5" t="str">
        <v>532100238839</v>
      </c>
      <c r="E4703" s="0" t="e">
        <f>+7 (816) 2142641
+7 (816) 2742322
+7 (816) 2742502
+7 (816) 2742508
+7 (816) 2742570
+7 (816) 2742578
+7 (816) 2742641
+7 (816) 2743048
+7 (816) 2772292
+7 (816) 2948323
+7 (905) 2925942</f>
        <v>#NAME?</v>
      </c>
      <c r="F4703" s="5" t="s">
        <v>39335</v>
      </c>
      <c r="G4703" s="5" t="s">
        <v>39336</v>
      </c>
      <c r="H4703" s="26">
        <v>29</v>
      </c>
      <c r="I4703" s="5"/>
      <c r="J4703" s="5" t="s">
        <v>26057</v>
      </c>
      <c r="K4703" s="5" t="s">
        <v>344</v>
      </c>
      <c r="L4703" s="5" t="s">
        <v>39337</v>
      </c>
      <c r="M4703" s="27"/>
      <c r="N4703" s="5"/>
      <c r="O4703" s="5" t="str">
        <v>5310002208</v>
      </c>
      <c r="P4703" s="27">
        <v>26190000</v>
      </c>
      <c r="Q4703" s="5"/>
      <c r="R4703" s="5" t="s">
        <v>56588</v>
      </c>
      <c r="S4703" s="5" t="s">
        <v>49029</v>
      </c>
      <c r="T4703" s="28">
        <v>542942000</v>
      </c>
      <c r="U4703" s="28">
        <v>1000</v>
      </c>
      <c r="V4703" s="28">
        <v>652214000</v>
      </c>
      <c r="W4703" s="28"/>
      <c r="X4703" s="28">
        <v>3165000</v>
      </c>
      <c r="Y4703" s="28">
        <v>2028024000</v>
      </c>
      <c r="Z4703" s="28">
        <v>263872000</v>
      </c>
      <c r="AA4703" s="28">
        <v>10802000</v>
      </c>
      <c r="AB4703" s="28">
        <v>318708000</v>
      </c>
      <c r="AC4703" s="28">
        <v>1435862000</v>
      </c>
      <c r="AD4703" s="28">
        <v>554261000</v>
      </c>
      <c r="AE4703" s="28">
        <v>5342588000</v>
      </c>
      <c r="AF4703" s="28">
        <v>77199000</v>
      </c>
      <c r="AG4703" s="11"/>
    </row>
    <row r="4704">
      <c r="A4704" s="7" t="s">
        <v>6339</v>
      </c>
      <c r="B4704" s="5" t="s">
        <v>14293</v>
      </c>
      <c r="C4704" s="5" t="s">
        <v>22031</v>
      </c>
      <c r="D4704" s="5" t="str">
        <v>250814623097</v>
      </c>
      <c r="E4704" s="0" t="e">
        <f>+7 (914) 3265188
+7 (4232) 513711
+7 (4232) 529290
+7 (4232) 734573
+7 (4232) 795786
+7 (914) 6855482
+7 (914) 7132035
+7 (918) 6671200
+7 (950) 2961074</f>
        <v>#NAME?</v>
      </c>
      <c r="F4704" s="5" t="s">
        <v>39338</v>
      </c>
      <c r="G4704" s="5" t="s">
        <v>39339</v>
      </c>
      <c r="H4704" s="26">
        <v>10.5</v>
      </c>
      <c r="I4704" s="5" t="s">
        <v>39340</v>
      </c>
      <c r="J4704" s="5" t="s">
        <v>599</v>
      </c>
      <c r="K4704" s="5" t="s">
        <v>344</v>
      </c>
      <c r="L4704" s="5" t="s">
        <v>39341</v>
      </c>
      <c r="M4704" s="27"/>
      <c r="N4704" s="5"/>
      <c r="O4704" s="5" t="str">
        <v>2536255389</v>
      </c>
      <c r="P4704" s="27">
        <v>4044720</v>
      </c>
      <c r="Q4704" s="5"/>
      <c r="R4704" s="5"/>
      <c r="S4704" s="5" t="s">
        <v>49195</v>
      </c>
      <c r="T4704" s="28">
        <v>2310663000</v>
      </c>
      <c r="U4704" s="28">
        <v>3459062000</v>
      </c>
      <c r="V4704" s="28">
        <v>1069382000</v>
      </c>
      <c r="W4704" s="28"/>
      <c r="X4704" s="28">
        <v>751642000</v>
      </c>
      <c r="Y4704" s="28">
        <v>7654542000</v>
      </c>
      <c r="Z4704" s="28">
        <v>6679115000</v>
      </c>
      <c r="AA4704" s="28"/>
      <c r="AB4704" s="28"/>
      <c r="AC4704" s="28">
        <v>856368000</v>
      </c>
      <c r="AD4704" s="28">
        <v>6683171000</v>
      </c>
      <c r="AE4704" s="28">
        <v>8339939000</v>
      </c>
      <c r="AF4704" s="28">
        <v>3869858000</v>
      </c>
      <c r="AG4704" s="11"/>
    </row>
    <row r="4705">
      <c r="A4705" s="7" t="s">
        <v>6340</v>
      </c>
      <c r="B4705" s="5" t="s">
        <v>14294</v>
      </c>
      <c r="C4705" s="5" t="s">
        <v>22032</v>
      </c>
      <c r="D4705" s="5" t="str">
        <v>470312111209</v>
      </c>
      <c r="E4705" s="0" t="e">
        <f>+7 (812) 1411698
+7 (812) 1415254
+7 (812) 4481212</f>
        <v>#NAME?</v>
      </c>
      <c r="F4705" s="5"/>
      <c r="G4705" s="5"/>
      <c r="H4705" s="26">
        <v>25</v>
      </c>
      <c r="I4705" s="5" t="s">
        <v>39342</v>
      </c>
      <c r="J4705" s="5" t="s">
        <v>389</v>
      </c>
      <c r="K4705" s="5" t="s">
        <v>344</v>
      </c>
      <c r="L4705" s="5" t="s">
        <v>39343</v>
      </c>
      <c r="M4705" s="27">
        <v>1051550</v>
      </c>
      <c r="N4705" s="5"/>
      <c r="O4705" s="5" t="str">
        <v>7807033712</v>
      </c>
      <c r="P4705" s="27">
        <v>10000</v>
      </c>
      <c r="Q4705" s="5" t="s">
        <v>49009</v>
      </c>
      <c r="R4705" s="5"/>
      <c r="S4705" s="5" t="s">
        <v>49010</v>
      </c>
      <c r="T4705" s="28">
        <v>3694000</v>
      </c>
      <c r="U4705" s="28"/>
      <c r="V4705" s="28">
        <v>63942000</v>
      </c>
      <c r="W4705" s="28">
        <v>29600000</v>
      </c>
      <c r="X4705" s="28">
        <v>52266000</v>
      </c>
      <c r="Y4705" s="28">
        <v>862346000</v>
      </c>
      <c r="Z4705" s="28">
        <v>15102000</v>
      </c>
      <c r="AA4705" s="28">
        <v>627393000</v>
      </c>
      <c r="AB4705" s="28">
        <v>38139000</v>
      </c>
      <c r="AC4705" s="28">
        <v>219833000</v>
      </c>
      <c r="AD4705" s="28">
        <v>15112000</v>
      </c>
      <c r="AE4705" s="28">
        <v>4203453000</v>
      </c>
      <c r="AF4705" s="28">
        <v>1998000</v>
      </c>
      <c r="AG4705" s="11"/>
    </row>
    <row r="4706">
      <c r="A4706" s="7" t="s">
        <v>6341</v>
      </c>
      <c r="B4706" s="5" t="s">
        <v>14295</v>
      </c>
      <c r="C4706" s="5" t="s">
        <v>22033</v>
      </c>
      <c r="D4706" s="5" t="str">
        <v>132603528565</v>
      </c>
      <c r="E4706" s="0" t="e">
        <f>+7 (495) 5893934
+7 (8342) 223299
+7 (8342) 352650
+7 (8342) 352757
+7 (8342) 560126
+7 (8342) 560166
+7 (8342) 560266
+7 (83458) 25200
+7 (83458) 36000
+7 (83458) 36085
+7 (83458) 36086
+7 (83458) 36500
+7 (83458) 36501
+7 (83458) 36537
+7 (83458) 36599</f>
        <v>#NAME?</v>
      </c>
      <c r="F4706" s="5" t="s">
        <v>39344</v>
      </c>
      <c r="G4706" s="5" t="s">
        <v>39345</v>
      </c>
      <c r="H4706" s="26">
        <v>23.5</v>
      </c>
      <c r="I4706" s="5"/>
      <c r="J4706" s="5" t="s">
        <v>27221</v>
      </c>
      <c r="K4706" s="5" t="s">
        <v>344</v>
      </c>
      <c r="L4706" s="5" t="s">
        <v>39346</v>
      </c>
      <c r="M4706" s="27"/>
      <c r="N4706" s="5"/>
      <c r="O4706" s="5" t="str">
        <v>1308080071</v>
      </c>
      <c r="P4706" s="27">
        <v>10000</v>
      </c>
      <c r="Q4706" s="5" t="s">
        <v>49324</v>
      </c>
      <c r="R4706" s="5"/>
      <c r="S4706" s="5" t="s">
        <v>51997</v>
      </c>
      <c r="T4706" s="28">
        <v>4289597000</v>
      </c>
      <c r="U4706" s="28"/>
      <c r="V4706" s="28">
        <v>888512000</v>
      </c>
      <c r="W4706" s="28"/>
      <c r="X4706" s="28">
        <v>356496000</v>
      </c>
      <c r="Y4706" s="28">
        <v>6375568000</v>
      </c>
      <c r="Z4706" s="28">
        <v>4564843000</v>
      </c>
      <c r="AA4706" s="28">
        <v>826875000</v>
      </c>
      <c r="AB4706" s="28">
        <v>437499000</v>
      </c>
      <c r="AC4706" s="28">
        <v>797870000</v>
      </c>
      <c r="AD4706" s="28">
        <v>4564853000</v>
      </c>
      <c r="AE4706" s="28">
        <v>6013270000</v>
      </c>
      <c r="AF4706" s="28">
        <v>750627000</v>
      </c>
      <c r="AG4706" s="11"/>
    </row>
    <row r="4707">
      <c r="A4707" s="7" t="s">
        <v>6342</v>
      </c>
      <c r="B4707" s="5" t="s">
        <v>14296</v>
      </c>
      <c r="C4707" s="5" t="s">
        <v>22034</v>
      </c>
      <c r="D4707" s="5" t="str">
        <v>590305946562</v>
      </c>
      <c r="E4707" s="0" t="e">
        <f>+7 (912) 5914541
+7 (34249) 36080
+7 (34249) 36162</f>
        <v>#NAME?</v>
      </c>
      <c r="F4707" s="5" t="s">
        <v>39347</v>
      </c>
      <c r="G4707" s="5"/>
      <c r="H4707" s="26">
        <v>2.5</v>
      </c>
      <c r="I4707" s="5" t="s">
        <v>39348</v>
      </c>
      <c r="J4707" s="5" t="s">
        <v>26165</v>
      </c>
      <c r="K4707" s="5" t="s">
        <v>344</v>
      </c>
      <c r="L4707" s="5"/>
      <c r="M4707" s="27"/>
      <c r="N4707" s="5"/>
      <c r="O4707" s="5" t="str">
        <v>5902058784</v>
      </c>
      <c r="P4707" s="27">
        <v>1000000</v>
      </c>
      <c r="Q4707" s="5"/>
      <c r="R4707" s="5"/>
      <c r="S4707" s="5" t="s">
        <v>49110</v>
      </c>
      <c r="T4707" s="28">
        <v>1131133000</v>
      </c>
      <c r="U4707" s="28"/>
      <c r="V4707" s="28">
        <v>83747000</v>
      </c>
      <c r="W4707" s="28"/>
      <c r="X4707" s="28">
        <v>77838000</v>
      </c>
      <c r="Y4707" s="28">
        <v>2473610000</v>
      </c>
      <c r="Z4707" s="28">
        <v>-241200000</v>
      </c>
      <c r="AA4707" s="28"/>
      <c r="AB4707" s="28">
        <v>190287000</v>
      </c>
      <c r="AC4707" s="28">
        <v>1433030000</v>
      </c>
      <c r="AD4707" s="28">
        <v>-240200000</v>
      </c>
      <c r="AE4707" s="28">
        <v>5464046000</v>
      </c>
      <c r="AF4707" s="28">
        <v>25399000</v>
      </c>
      <c r="AG4707" s="11"/>
    </row>
    <row r="4708">
      <c r="A4708" s="7" t="s">
        <v>6343</v>
      </c>
      <c r="B4708" s="5" t="s">
        <v>14297</v>
      </c>
      <c r="C4708" s="5" t="s">
        <v>22035</v>
      </c>
      <c r="D4708" s="5" t="str">
        <v>027504752005</v>
      </c>
      <c r="E4708" s="0" t="e">
        <f>+7 (3472) 461829</f>
        <v>#NAME?</v>
      </c>
      <c r="F4708" s="5"/>
      <c r="G4708" s="5"/>
      <c r="H4708" s="26">
        <v>5.5</v>
      </c>
      <c r="I4708" s="5" t="s">
        <v>39349</v>
      </c>
      <c r="J4708" s="5" t="s">
        <v>364</v>
      </c>
      <c r="K4708" s="5" t="s">
        <v>344</v>
      </c>
      <c r="L4708" s="5" t="s">
        <v>39350</v>
      </c>
      <c r="M4708" s="27"/>
      <c r="N4708" s="5"/>
      <c r="O4708" s="5" t="str">
        <v>0274927196</v>
      </c>
      <c r="P4708" s="27">
        <v>10000</v>
      </c>
      <c r="Q4708" s="5" t="s">
        <v>55514</v>
      </c>
      <c r="R4708" s="5"/>
      <c r="S4708" s="5" t="s">
        <v>56589</v>
      </c>
      <c r="T4708" s="28">
        <v>46570000</v>
      </c>
      <c r="U4708" s="28">
        <v>94345000</v>
      </c>
      <c r="V4708" s="28">
        <v>804984000</v>
      </c>
      <c r="W4708" s="28">
        <v>1073554000</v>
      </c>
      <c r="X4708" s="28">
        <v>27758000</v>
      </c>
      <c r="Y4708" s="28">
        <v>2064870000</v>
      </c>
      <c r="Z4708" s="28">
        <v>181176000</v>
      </c>
      <c r="AA4708" s="28"/>
      <c r="AB4708" s="28"/>
      <c r="AC4708" s="28">
        <v>1883650000</v>
      </c>
      <c r="AD4708" s="28">
        <v>181186000</v>
      </c>
      <c r="AE4708" s="28">
        <v>3103988000</v>
      </c>
      <c r="AF4708" s="28">
        <v>116309000</v>
      </c>
      <c r="AG4708" s="11"/>
    </row>
    <row r="4709">
      <c r="A4709" s="7" t="s">
        <v>6344</v>
      </c>
      <c r="B4709" s="5" t="s">
        <v>14298</v>
      </c>
      <c r="C4709" s="5" t="s">
        <v>22036</v>
      </c>
      <c r="D4709" s="5" t="str">
        <v>910215454132</v>
      </c>
      <c r="E4709" s="0" t="e">
        <f>+7 (978) 947879
+7 (869) 2928671
+7 (869) 2928672
+7 (978) 947852
+7 (978) 947881
+7 (978) 8234270</f>
        <v>#NAME?</v>
      </c>
      <c r="F4709" s="5"/>
      <c r="G4709" s="5"/>
      <c r="H4709" s="26">
        <v>21</v>
      </c>
      <c r="I4709" s="5" t="s">
        <v>39351</v>
      </c>
      <c r="J4709" s="5" t="s">
        <v>25219</v>
      </c>
      <c r="K4709" s="5" t="s">
        <v>355</v>
      </c>
      <c r="L4709" s="5" t="s">
        <v>39352</v>
      </c>
      <c r="M4709" s="27">
        <v>419989</v>
      </c>
      <c r="N4709" s="5"/>
      <c r="O4709" s="5" t="str">
        <v>9204017560</v>
      </c>
      <c r="P4709" s="27">
        <v>920250</v>
      </c>
      <c r="Q4709" s="5"/>
      <c r="R4709" s="5"/>
      <c r="S4709" s="5" t="s">
        <v>49425</v>
      </c>
      <c r="T4709" s="28">
        <v>885753000</v>
      </c>
      <c r="U4709" s="28"/>
      <c r="V4709" s="28">
        <v>2046301000</v>
      </c>
      <c r="W4709" s="28">
        <v>191186000</v>
      </c>
      <c r="X4709" s="28">
        <v>65095000</v>
      </c>
      <c r="Y4709" s="28">
        <v>3471088000</v>
      </c>
      <c r="Z4709" s="28">
        <v>94052000</v>
      </c>
      <c r="AA4709" s="28">
        <v>1900332000</v>
      </c>
      <c r="AB4709" s="28">
        <v>14245000</v>
      </c>
      <c r="AC4709" s="28">
        <v>420866000</v>
      </c>
      <c r="AD4709" s="28">
        <v>94972000</v>
      </c>
      <c r="AE4709" s="28">
        <v>3515330000</v>
      </c>
      <c r="AF4709" s="28">
        <v>-35232000</v>
      </c>
      <c r="AG4709" s="11"/>
    </row>
    <row r="4710">
      <c r="A4710" s="7" t="s">
        <v>6345</v>
      </c>
      <c r="B4710" s="5" t="s">
        <v>14299</v>
      </c>
      <c r="C4710" s="5" t="s">
        <v>22037</v>
      </c>
      <c r="D4710" s="5" t="str">
        <v>504304061888</v>
      </c>
      <c r="E4710" s="0" t="e">
        <f>+7 (495) 9743120
+7 (3519) 510030
+7 (472) 2207729
+7 (495) 7847788
+7 (495) 8704202
+7 (800) 7005127
+7 (812) 3331598
+7 (812) 3333412
+7 (812) 3348974
+7 (812) 3831506
+7 (812) 4143174
+7 (812) 6009412
+7 (812) 6021962
+7 (812) 6771518
+7 (812) 6773795</f>
        <v>#NAME?</v>
      </c>
      <c r="F4710" s="5" t="s">
        <v>39353</v>
      </c>
      <c r="G4710" s="5" t="s">
        <v>39354</v>
      </c>
      <c r="H4710" s="26">
        <v>15.5</v>
      </c>
      <c r="I4710" s="5"/>
      <c r="J4710" s="5" t="s">
        <v>39355</v>
      </c>
      <c r="K4710" s="5" t="s">
        <v>344</v>
      </c>
      <c r="L4710" s="5"/>
      <c r="M4710" s="27"/>
      <c r="N4710" s="5" t="s">
        <v>56590</v>
      </c>
      <c r="O4710" s="5" t="str">
        <v>7705814643</v>
      </c>
      <c r="P4710" s="27">
        <v>100000</v>
      </c>
      <c r="Q4710" s="5" t="s">
        <v>49021</v>
      </c>
      <c r="R4710" s="5"/>
      <c r="S4710" s="5" t="s">
        <v>50131</v>
      </c>
      <c r="T4710" s="28">
        <v>225071000</v>
      </c>
      <c r="U4710" s="28"/>
      <c r="V4710" s="28">
        <v>867397000</v>
      </c>
      <c r="W4710" s="28">
        <v>284500000</v>
      </c>
      <c r="X4710" s="28">
        <v>254015000</v>
      </c>
      <c r="Y4710" s="28">
        <v>6126176000</v>
      </c>
      <c r="Z4710" s="28">
        <v>2205744000</v>
      </c>
      <c r="AA4710" s="28">
        <v>1369640000</v>
      </c>
      <c r="AB4710" s="28">
        <v>839393000</v>
      </c>
      <c r="AC4710" s="28">
        <v>2548337000</v>
      </c>
      <c r="AD4710" s="28">
        <v>2206255000</v>
      </c>
      <c r="AE4710" s="28">
        <v>10458647000</v>
      </c>
      <c r="AF4710" s="28">
        <v>185409000</v>
      </c>
      <c r="AG4710" s="11"/>
    </row>
    <row r="4711">
      <c r="A4711" s="7" t="s">
        <v>6346</v>
      </c>
      <c r="B4711" s="5" t="s">
        <v>14300</v>
      </c>
      <c r="C4711" s="5" t="s">
        <v>22038</v>
      </c>
      <c r="D4711" s="5" t="str">
        <v>645503521603</v>
      </c>
      <c r="E4711" s="0" t="e">
        <f>+7 (916) 2215483
+7 (495) 6004400
+7 (49651) 12636
+7 (49651) 12646
+7 (49651) 41343</f>
        <v>#NAME?</v>
      </c>
      <c r="F4711" s="5" t="s">
        <v>39356</v>
      </c>
      <c r="G4711" s="5" t="s">
        <v>39357</v>
      </c>
      <c r="H4711" s="26">
        <v>12</v>
      </c>
      <c r="I4711" s="5" t="s">
        <v>39358</v>
      </c>
      <c r="J4711" s="5" t="s">
        <v>678</v>
      </c>
      <c r="K4711" s="5" t="s">
        <v>344</v>
      </c>
      <c r="L4711" s="5" t="s">
        <v>39359</v>
      </c>
      <c r="M4711" s="27"/>
      <c r="N4711" s="5" t="s">
        <v>56592</v>
      </c>
      <c r="O4711" s="5" t="str">
        <v>7718832819</v>
      </c>
      <c r="P4711" s="27">
        <v>10000</v>
      </c>
      <c r="Q4711" s="5" t="s">
        <v>49009</v>
      </c>
      <c r="R4711" s="5"/>
      <c r="S4711" s="5" t="s">
        <v>56593</v>
      </c>
      <c r="T4711" s="28">
        <v>15253000</v>
      </c>
      <c r="U4711" s="28"/>
      <c r="V4711" s="28">
        <v>662700000</v>
      </c>
      <c r="W4711" s="28"/>
      <c r="X4711" s="28">
        <v>13907000</v>
      </c>
      <c r="Y4711" s="28">
        <v>2330543000</v>
      </c>
      <c r="Z4711" s="28">
        <v>1180283000</v>
      </c>
      <c r="AA4711" s="28">
        <v>110630000</v>
      </c>
      <c r="AB4711" s="28"/>
      <c r="AC4711" s="28">
        <v>793726000</v>
      </c>
      <c r="AD4711" s="28">
        <v>1418344000</v>
      </c>
      <c r="AE4711" s="28">
        <v>6332585000</v>
      </c>
      <c r="AF4711" s="28">
        <v>547057000</v>
      </c>
      <c r="AG4711" s="11"/>
    </row>
    <row r="4712">
      <c r="A4712" s="7" t="s">
        <v>6347</v>
      </c>
      <c r="B4712" s="5" t="s">
        <v>14301</v>
      </c>
      <c r="C4712" s="5" t="s">
        <v>22039</v>
      </c>
      <c r="D4712" s="5" t="str">
        <v>550601405575</v>
      </c>
      <c r="E4712" s="0" t="e">
        <f>+7 (381) 2571759
+7 (381) 2560805
+7 (381) 2561042
+7 (381) 2561314
+7 (381) 2562205
+7 (381) 2577159
+7 (381) 2578031
+7 (381) 2729031
+7 (381) 2729159
+7 (381) 2729792
+7 (381) 2729885
+7 (381) 2779791
+7 (381) 2779792
+7 (913) 1531753</f>
        <v>#NAME?</v>
      </c>
      <c r="F4712" s="5" t="s">
        <v>39360</v>
      </c>
      <c r="G4712" s="5" t="s">
        <v>39361</v>
      </c>
      <c r="H4712" s="26">
        <v>23</v>
      </c>
      <c r="I4712" s="5" t="s">
        <v>39362</v>
      </c>
      <c r="J4712" s="5" t="s">
        <v>26251</v>
      </c>
      <c r="K4712" s="5" t="s">
        <v>344</v>
      </c>
      <c r="L4712" s="5" t="s">
        <v>39363</v>
      </c>
      <c r="M4712" s="27">
        <v>180699</v>
      </c>
      <c r="N4712" s="5" t="s">
        <v>56594</v>
      </c>
      <c r="O4712" s="5" t="str">
        <v>5505029515</v>
      </c>
      <c r="P4712" s="27">
        <v>40000000</v>
      </c>
      <c r="Q4712" s="5" t="s">
        <v>52360</v>
      </c>
      <c r="R4712" s="5"/>
      <c r="S4712" s="5" t="s">
        <v>49487</v>
      </c>
      <c r="T4712" s="28">
        <v>1159338000</v>
      </c>
      <c r="U4712" s="28"/>
      <c r="V4712" s="28">
        <v>545081000</v>
      </c>
      <c r="W4712" s="28">
        <v>22500000</v>
      </c>
      <c r="X4712" s="28">
        <v>783278000</v>
      </c>
      <c r="Y4712" s="28">
        <v>3208131000</v>
      </c>
      <c r="Z4712" s="28">
        <v>1782689000</v>
      </c>
      <c r="AA4712" s="28">
        <v>550000000</v>
      </c>
      <c r="AB4712" s="28">
        <v>530777000</v>
      </c>
      <c r="AC4712" s="28">
        <v>835442000</v>
      </c>
      <c r="AD4712" s="28">
        <v>1822689000</v>
      </c>
      <c r="AE4712" s="28">
        <v>5865255000</v>
      </c>
      <c r="AF4712" s="28">
        <v>834538000</v>
      </c>
      <c r="AG4712" s="11"/>
    </row>
    <row r="4713">
      <c r="A4713" s="7" t="s">
        <v>6348</v>
      </c>
      <c r="B4713" s="5" t="s">
        <v>14302</v>
      </c>
      <c r="C4713" s="5" t="s">
        <v>22040</v>
      </c>
      <c r="D4713" s="5" t="str">
        <v>504602902127</v>
      </c>
      <c r="E4713" s="0" t="e">
        <f>+7 (391) 2768460</f>
        <v>#NAME?</v>
      </c>
      <c r="F4713" s="5" t="s">
        <v>39364</v>
      </c>
      <c r="G4713" s="5"/>
      <c r="H4713" s="26">
        <v>18.5</v>
      </c>
      <c r="I4713" s="5" t="s">
        <v>39365</v>
      </c>
      <c r="J4713" s="5" t="s">
        <v>26148</v>
      </c>
      <c r="K4713" s="5" t="s">
        <v>344</v>
      </c>
      <c r="L4713" s="5" t="s">
        <v>39366</v>
      </c>
      <c r="M4713" s="27">
        <v>220366167</v>
      </c>
      <c r="N4713" s="5"/>
      <c r="O4713" s="5" t="str">
        <v>2465158467</v>
      </c>
      <c r="P4713" s="27">
        <v>520000000</v>
      </c>
      <c r="Q4713" s="5" t="s">
        <v>49059</v>
      </c>
      <c r="R4713" s="5"/>
      <c r="S4713" s="5" t="s">
        <v>54828</v>
      </c>
      <c r="T4713" s="28">
        <v>160572000</v>
      </c>
      <c r="U4713" s="28"/>
      <c r="V4713" s="28">
        <v>8129847000</v>
      </c>
      <c r="W4713" s="28"/>
      <c r="X4713" s="28">
        <v>386836000</v>
      </c>
      <c r="Y4713" s="28">
        <v>11575429000</v>
      </c>
      <c r="Z4713" s="28">
        <v>10243159000</v>
      </c>
      <c r="AA4713" s="28"/>
      <c r="AB4713" s="28"/>
      <c r="AC4713" s="28">
        <v>620877000</v>
      </c>
      <c r="AD4713" s="28">
        <v>10763159000</v>
      </c>
      <c r="AE4713" s="28">
        <v>3163772000</v>
      </c>
      <c r="AF4713" s="28">
        <v>1914646000</v>
      </c>
      <c r="AG4713" s="11"/>
    </row>
    <row r="4714">
      <c r="A4714" s="7" t="s">
        <v>6349</v>
      </c>
      <c r="B4714" s="5" t="s">
        <v>14303</v>
      </c>
      <c r="C4714" s="5" t="s">
        <v>22041</v>
      </c>
      <c r="D4714" s="5" t="str">
        <v>504410529991</v>
      </c>
      <c r="E4714" s="0" t="e">
        <f>+7 (495) 9330077
+7 (495) 9331230
+7 (800) 1009320
+7 (903) 7987557
+7 (920) 3128984</f>
        <v>#NAME?</v>
      </c>
      <c r="F4714" s="5"/>
      <c r="G4714" s="5" t="s">
        <v>39367</v>
      </c>
      <c r="H4714" s="26">
        <v>16.5</v>
      </c>
      <c r="I4714" s="5" t="s">
        <v>39368</v>
      </c>
      <c r="J4714" s="5" t="s">
        <v>25424</v>
      </c>
      <c r="K4714" s="5" t="s">
        <v>344</v>
      </c>
      <c r="L4714" s="5" t="s">
        <v>33682</v>
      </c>
      <c r="M4714" s="27"/>
      <c r="N4714" s="5"/>
      <c r="O4714" s="5" t="str">
        <v>5024084143</v>
      </c>
      <c r="P4714" s="27">
        <v>320000</v>
      </c>
      <c r="Q4714" s="5" t="s">
        <v>49021</v>
      </c>
      <c r="R4714" s="5" t="s">
        <v>56595</v>
      </c>
      <c r="S4714" s="5" t="s">
        <v>56596</v>
      </c>
      <c r="T4714" s="28">
        <v>150733000</v>
      </c>
      <c r="U4714" s="28">
        <v>465054000</v>
      </c>
      <c r="V4714" s="28">
        <v>1125587000</v>
      </c>
      <c r="W4714" s="28">
        <v>65000000</v>
      </c>
      <c r="X4714" s="28">
        <v>59690000</v>
      </c>
      <c r="Y4714" s="28">
        <v>2244899000</v>
      </c>
      <c r="Z4714" s="28">
        <v>1805800000</v>
      </c>
      <c r="AA4714" s="28">
        <v>32975000</v>
      </c>
      <c r="AB4714" s="28">
        <v>13856000</v>
      </c>
      <c r="AC4714" s="28">
        <v>376189000</v>
      </c>
      <c r="AD4714" s="28">
        <v>1806122000</v>
      </c>
      <c r="AE4714" s="28">
        <v>3251357000</v>
      </c>
      <c r="AF4714" s="28">
        <v>423531000</v>
      </c>
      <c r="AG4714" s="11"/>
    </row>
    <row r="4715">
      <c r="A4715" s="7" t="s">
        <v>6350</v>
      </c>
      <c r="B4715" s="5" t="s">
        <v>14304</v>
      </c>
      <c r="C4715" s="5" t="s">
        <v>22042</v>
      </c>
      <c r="D4715" s="5" t="str">
        <v>505004555905</v>
      </c>
      <c r="E4715" s="0" t="e">
        <f>+7 (495) 7288838
+7 (495) 1452661
+7 (495) 7972000
+7 (495) 9818188
+7 (495) 9880888
+7 (4962) 556405
+7 (916) 1817735</f>
        <v>#NAME?</v>
      </c>
      <c r="F4715" s="5" t="s">
        <v>39369</v>
      </c>
      <c r="G4715" s="5" t="s">
        <v>39370</v>
      </c>
      <c r="H4715" s="26">
        <v>15</v>
      </c>
      <c r="I4715" s="5" t="s">
        <v>39371</v>
      </c>
      <c r="J4715" s="5" t="s">
        <v>39372</v>
      </c>
      <c r="K4715" s="5" t="s">
        <v>344</v>
      </c>
      <c r="L4715" s="5"/>
      <c r="M4715" s="27">
        <v>141500</v>
      </c>
      <c r="N4715" s="5"/>
      <c r="O4715" s="5" t="str">
        <v>5050068726</v>
      </c>
      <c r="P4715" s="27">
        <v>10000</v>
      </c>
      <c r="Q4715" s="5" t="s">
        <v>49009</v>
      </c>
      <c r="R4715" s="5"/>
      <c r="S4715" s="5" t="s">
        <v>49066</v>
      </c>
      <c r="T4715" s="28">
        <v>375202000</v>
      </c>
      <c r="U4715" s="28"/>
      <c r="V4715" s="28">
        <v>623370000</v>
      </c>
      <c r="W4715" s="28">
        <v>180207000</v>
      </c>
      <c r="X4715" s="28">
        <v>105309000</v>
      </c>
      <c r="Y4715" s="28">
        <v>1913632000</v>
      </c>
      <c r="Z4715" s="28">
        <v>1066830000</v>
      </c>
      <c r="AA4715" s="28"/>
      <c r="AB4715" s="28">
        <v>110609000</v>
      </c>
      <c r="AC4715" s="28">
        <v>768360000</v>
      </c>
      <c r="AD4715" s="28">
        <v>1066840000</v>
      </c>
      <c r="AE4715" s="28">
        <v>3968241000</v>
      </c>
      <c r="AF4715" s="28">
        <v>26890000</v>
      </c>
      <c r="AG4715" s="11"/>
    </row>
    <row r="4716">
      <c r="A4716" s="7" t="s">
        <v>6351</v>
      </c>
      <c r="B4716" s="5" t="s">
        <v>14305</v>
      </c>
      <c r="C4716" s="5" t="s">
        <v>22043</v>
      </c>
      <c r="D4716" s="5" t="str">
        <v>500113304902</v>
      </c>
      <c r="E4716" s="0" t="e">
        <f>+7 (495) 7802105
+7 (495) 9336742
+7 (926) 6081509</f>
        <v>#NAME?</v>
      </c>
      <c r="F4716" s="5" t="s">
        <v>39373</v>
      </c>
      <c r="G4716" s="5"/>
      <c r="H4716" s="26">
        <v>7</v>
      </c>
      <c r="I4716" s="5" t="s">
        <v>39374</v>
      </c>
      <c r="J4716" s="5" t="s">
        <v>26268</v>
      </c>
      <c r="K4716" s="5" t="s">
        <v>344</v>
      </c>
      <c r="L4716" s="5" t="s">
        <v>39375</v>
      </c>
      <c r="M4716" s="27"/>
      <c r="N4716" s="5"/>
      <c r="O4716" s="5" t="str">
        <v>5050122317</v>
      </c>
      <c r="P4716" s="27">
        <v>1000000</v>
      </c>
      <c r="Q4716" s="5"/>
      <c r="R4716" s="5"/>
      <c r="S4716" s="5" t="s">
        <v>49029</v>
      </c>
      <c r="T4716" s="28">
        <v>442859000</v>
      </c>
      <c r="U4716" s="28"/>
      <c r="V4716" s="28">
        <v>146022000</v>
      </c>
      <c r="W4716" s="28"/>
      <c r="X4716" s="28">
        <v>215138000</v>
      </c>
      <c r="Y4716" s="28">
        <v>1266538000</v>
      </c>
      <c r="Z4716" s="28">
        <v>957568000</v>
      </c>
      <c r="AA4716" s="28"/>
      <c r="AB4716" s="28">
        <v>108000</v>
      </c>
      <c r="AC4716" s="28">
        <v>92102000</v>
      </c>
      <c r="AD4716" s="28">
        <v>958568000</v>
      </c>
      <c r="AE4716" s="28">
        <v>4184480000</v>
      </c>
      <c r="AF4716" s="28">
        <v>598040000</v>
      </c>
      <c r="AG4716" s="11"/>
    </row>
    <row r="4717">
      <c r="A4717" s="7" t="s">
        <v>6352</v>
      </c>
      <c r="B4717" s="5" t="s">
        <v>14306</v>
      </c>
      <c r="C4717" s="5" t="s">
        <v>22044</v>
      </c>
      <c r="D4717" s="5"/>
      <c r="E4717" s="0" t="e">
        <f>+7 (3412) 661522
+7 (3412) 661566
+7 (3412) 938350
+7 (3412) 938435
+7 (3412) 938459
+7 (3412) 938461
+7 (3412) 938476
+7 (3412) 938480
+7 (3412) 938564
+7 (484) 2716216
+7 (484) 2716359
+7 (484) 2716364
+7 (484) 2739700
+7 (487) 2319358
+7 (487) 2327769</f>
        <v>#NAME?</v>
      </c>
      <c r="F4717" s="5" t="s">
        <v>39376</v>
      </c>
      <c r="G4717" s="5"/>
      <c r="H4717" s="26">
        <v>15.5</v>
      </c>
      <c r="I4717" s="5" t="s">
        <v>39377</v>
      </c>
      <c r="J4717" s="5" t="s">
        <v>27802</v>
      </c>
      <c r="K4717" s="5" t="s">
        <v>344</v>
      </c>
      <c r="L4717" s="5"/>
      <c r="M4717" s="27">
        <v>2854602394</v>
      </c>
      <c r="N4717" s="5" t="s">
        <v>56597</v>
      </c>
      <c r="O4717" s="5" t="str">
        <v>5260200603</v>
      </c>
      <c r="P4717" s="27">
        <v>11269781704</v>
      </c>
      <c r="Q4717" s="5" t="s">
        <v>56598</v>
      </c>
      <c r="R4717" s="5" t="s">
        <v>56599</v>
      </c>
      <c r="S4717" s="5" t="s">
        <v>56600</v>
      </c>
      <c r="T4717" s="28">
        <v>114330823000</v>
      </c>
      <c r="U4717" s="28">
        <v>1546670000</v>
      </c>
      <c r="V4717" s="28">
        <v>35210965000</v>
      </c>
      <c r="W4717" s="28">
        <v>110700000</v>
      </c>
      <c r="X4717" s="28">
        <v>7814142000</v>
      </c>
      <c r="Y4717" s="28">
        <v>166634266000</v>
      </c>
      <c r="Z4717" s="28">
        <v>73644131000</v>
      </c>
      <c r="AA4717" s="28">
        <v>8611137000</v>
      </c>
      <c r="AB4717" s="28">
        <v>18388706000</v>
      </c>
      <c r="AC4717" s="28">
        <v>54572034000</v>
      </c>
      <c r="AD4717" s="28">
        <v>86832623000</v>
      </c>
      <c r="AE4717" s="28">
        <v>113256211000</v>
      </c>
      <c r="AF4717" s="28">
        <v>10908288000</v>
      </c>
      <c r="AG4717" s="11"/>
    </row>
    <row r="4718">
      <c r="A4718" s="7" t="s">
        <v>6353</v>
      </c>
      <c r="B4718" s="5" t="s">
        <v>14307</v>
      </c>
      <c r="C4718" s="5" t="s">
        <v>22045</v>
      </c>
      <c r="D4718" s="5" t="str">
        <v>774306920542</v>
      </c>
      <c r="E4718" s="0" t="e">
        <f>+7 (495) 9678000
+7 (495) 9678048
+7 (495) 6978050
+7 (495) 7258105
+7 (495) 7819322
+7 (800) 2003355</f>
        <v>#NAME?</v>
      </c>
      <c r="F4718" s="5" t="s">
        <v>39378</v>
      </c>
      <c r="G4718" s="5" t="s">
        <v>39379</v>
      </c>
      <c r="H4718" s="26">
        <v>19</v>
      </c>
      <c r="I4718" s="5" t="s">
        <v>39380</v>
      </c>
      <c r="J4718" s="5" t="s">
        <v>748</v>
      </c>
      <c r="K4718" s="5" t="s">
        <v>344</v>
      </c>
      <c r="L4718" s="5" t="s">
        <v>39381</v>
      </c>
      <c r="M4718" s="27">
        <v>38736294</v>
      </c>
      <c r="N4718" s="5" t="s">
        <v>56601</v>
      </c>
      <c r="O4718" s="5" t="str">
        <v>7707507077</v>
      </c>
      <c r="P4718" s="27">
        <v>403726047</v>
      </c>
      <c r="Q4718" s="5" t="s">
        <v>56602</v>
      </c>
      <c r="R4718" s="5"/>
      <c r="S4718" s="5" t="s">
        <v>56603</v>
      </c>
      <c r="T4718" s="28">
        <v>90985000</v>
      </c>
      <c r="U4718" s="28">
        <v>3960000</v>
      </c>
      <c r="V4718" s="28">
        <v>3703315000</v>
      </c>
      <c r="W4718" s="28">
        <v>1320500000</v>
      </c>
      <c r="X4718" s="28">
        <v>27334000</v>
      </c>
      <c r="Y4718" s="28">
        <v>5641315000</v>
      </c>
      <c r="Z4718" s="28">
        <v>1624511000</v>
      </c>
      <c r="AA4718" s="28"/>
      <c r="AB4718" s="28">
        <v>301024000</v>
      </c>
      <c r="AC4718" s="28">
        <v>3571163000</v>
      </c>
      <c r="AD4718" s="28">
        <v>2028237000</v>
      </c>
      <c r="AE4718" s="28">
        <v>10970562000</v>
      </c>
      <c r="AF4718" s="28">
        <v>321560000</v>
      </c>
      <c r="AG4718" s="11"/>
    </row>
    <row r="4719">
      <c r="A4719" s="7" t="s">
        <v>6354</v>
      </c>
      <c r="B4719" s="5" t="s">
        <v>14308</v>
      </c>
      <c r="C4719" s="5" t="s">
        <v>22046</v>
      </c>
      <c r="D4719" s="5" t="str">
        <v>352501122807</v>
      </c>
      <c r="E4719" s="0" t="e">
        <f>+7 (817) 2750587
+7 (817) 2750589</f>
        <v>#NAME?</v>
      </c>
      <c r="F4719" s="5"/>
      <c r="G4719" s="5" t="s">
        <v>39382</v>
      </c>
      <c r="H4719" s="26">
        <v>14</v>
      </c>
      <c r="I4719" s="5" t="s">
        <v>39383</v>
      </c>
      <c r="J4719" s="5" t="s">
        <v>26459</v>
      </c>
      <c r="K4719" s="5" t="s">
        <v>344</v>
      </c>
      <c r="L4719" s="5" t="s">
        <v>39384</v>
      </c>
      <c r="M4719" s="27"/>
      <c r="N4719" s="5"/>
      <c r="O4719" s="5" t="str">
        <v>3525220001</v>
      </c>
      <c r="P4719" s="27">
        <v>500020000</v>
      </c>
      <c r="Q4719" s="5"/>
      <c r="R4719" s="5"/>
      <c r="S4719" s="5" t="s">
        <v>49121</v>
      </c>
      <c r="T4719" s="28">
        <v>195827000</v>
      </c>
      <c r="U4719" s="28"/>
      <c r="V4719" s="28">
        <v>163014000</v>
      </c>
      <c r="W4719" s="28"/>
      <c r="X4719" s="28">
        <v>996839000</v>
      </c>
      <c r="Y4719" s="28">
        <v>1383764000</v>
      </c>
      <c r="Z4719" s="28">
        <v>-27575000</v>
      </c>
      <c r="AA4719" s="28"/>
      <c r="AB4719" s="28"/>
      <c r="AC4719" s="28">
        <v>911319000</v>
      </c>
      <c r="AD4719" s="28">
        <v>472445000</v>
      </c>
      <c r="AE4719" s="28">
        <v>4378323000</v>
      </c>
      <c r="AF4719" s="28">
        <v>-636361000</v>
      </c>
      <c r="AG4719" s="11"/>
    </row>
    <row r="4720">
      <c r="A4720" s="7" t="s">
        <v>6355</v>
      </c>
      <c r="B4720" s="5" t="s">
        <v>14309</v>
      </c>
      <c r="C4720" s="5" t="s">
        <v>22047</v>
      </c>
      <c r="D4720" s="5" t="str">
        <v>233406155076</v>
      </c>
      <c r="E4720" s="0" t="e">
        <f>+7 (960) 4908036
+7 (86164) 40093
+7 (86164) 52496</f>
        <v>#NAME?</v>
      </c>
      <c r="F4720" s="5" t="s">
        <v>39385</v>
      </c>
      <c r="G4720" s="5"/>
      <c r="H4720" s="26">
        <v>31</v>
      </c>
      <c r="I4720" s="5"/>
      <c r="J4720" s="5" t="s">
        <v>725</v>
      </c>
      <c r="K4720" s="5" t="s">
        <v>344</v>
      </c>
      <c r="L4720" s="5" t="s">
        <v>39386</v>
      </c>
      <c r="M4720" s="27"/>
      <c r="N4720" s="5" t="s">
        <v>49153</v>
      </c>
      <c r="O4720" s="5" t="str">
        <v>2334001487</v>
      </c>
      <c r="P4720" s="27">
        <v>67316</v>
      </c>
      <c r="Q4720" s="5"/>
      <c r="R4720" s="5"/>
      <c r="S4720" s="5" t="s">
        <v>53269</v>
      </c>
      <c r="T4720" s="28">
        <v>1121456000</v>
      </c>
      <c r="U4720" s="28">
        <v>393463000</v>
      </c>
      <c r="V4720" s="28">
        <v>4105316000</v>
      </c>
      <c r="W4720" s="28">
        <v>24000</v>
      </c>
      <c r="X4720" s="28">
        <v>17128000</v>
      </c>
      <c r="Y4720" s="28">
        <v>7390246000</v>
      </c>
      <c r="Z4720" s="28">
        <v>7211270000</v>
      </c>
      <c r="AA4720" s="28"/>
      <c r="AB4720" s="28"/>
      <c r="AC4720" s="28">
        <v>102019000</v>
      </c>
      <c r="AD4720" s="28">
        <v>7288227000</v>
      </c>
      <c r="AE4720" s="28">
        <v>3055492000</v>
      </c>
      <c r="AF4720" s="28">
        <v>1990644000</v>
      </c>
      <c r="AG4720" s="11"/>
    </row>
    <row r="4721">
      <c r="A4721" s="7" t="s">
        <v>6356</v>
      </c>
      <c r="B4721" s="5" t="s">
        <v>14310</v>
      </c>
      <c r="C4721" s="5" t="s">
        <v>22048</v>
      </c>
      <c r="D4721" s="5" t="str">
        <v>721700264387</v>
      </c>
      <c r="E4721" s="0" t="e">
        <f>+7 (34551) 30100
+7 (34551) 30101
+7 (34551) 30104
+7 (34551) 30123
+7 (34551) 30192
+7 (34551) 59902</f>
        <v>#NAME?</v>
      </c>
      <c r="F4721" s="5" t="s">
        <v>39387</v>
      </c>
      <c r="G4721" s="5"/>
      <c r="H4721" s="26">
        <v>30</v>
      </c>
      <c r="I4721" s="5"/>
      <c r="J4721" s="5" t="s">
        <v>25371</v>
      </c>
      <c r="K4721" s="5" t="s">
        <v>344</v>
      </c>
      <c r="L4721" s="5" t="s">
        <v>39388</v>
      </c>
      <c r="M4721" s="27"/>
      <c r="N4721" s="5" t="s">
        <v>56604</v>
      </c>
      <c r="O4721" s="5" t="str">
        <v>7217000351</v>
      </c>
      <c r="P4721" s="27">
        <v>142770</v>
      </c>
      <c r="Q4721" s="5"/>
      <c r="R4721" s="5"/>
      <c r="S4721" s="5" t="s">
        <v>49425</v>
      </c>
      <c r="T4721" s="28">
        <v>4460438000</v>
      </c>
      <c r="U4721" s="28">
        <v>1203951000</v>
      </c>
      <c r="V4721" s="28">
        <v>681940000</v>
      </c>
      <c r="W4721" s="28"/>
      <c r="X4721" s="28">
        <v>4063222000</v>
      </c>
      <c r="Y4721" s="28">
        <v>13277541000</v>
      </c>
      <c r="Z4721" s="28">
        <v>11528330000</v>
      </c>
      <c r="AA4721" s="28">
        <v>173475000</v>
      </c>
      <c r="AB4721" s="28">
        <v>600000000</v>
      </c>
      <c r="AC4721" s="28">
        <v>1518649000</v>
      </c>
      <c r="AD4721" s="28">
        <v>11624470000</v>
      </c>
      <c r="AE4721" s="28">
        <v>3439709000</v>
      </c>
      <c r="AF4721" s="28">
        <v>1209527000</v>
      </c>
      <c r="AG4721" s="11"/>
    </row>
    <row r="4722">
      <c r="A4722" s="7" t="s">
        <v>6357</v>
      </c>
      <c r="B4722" s="5" t="s">
        <v>14311</v>
      </c>
      <c r="C4722" s="5" t="s">
        <v>22049</v>
      </c>
      <c r="D4722" s="5" t="str">
        <v>772823035905</v>
      </c>
      <c r="E4722" s="0" t="e">
        <f>+7 (495) 2313059
+7 (495) 9800864
+7 (499) 7077365
+7 (800) 5057365
+7 (812) 6221017</f>
        <v>#NAME?</v>
      </c>
      <c r="F4722" s="5" t="s">
        <v>39389</v>
      </c>
      <c r="G4722" s="5" t="s">
        <v>39390</v>
      </c>
      <c r="H4722" s="26">
        <v>13</v>
      </c>
      <c r="I4722" s="5"/>
      <c r="J4722" s="5" t="s">
        <v>718</v>
      </c>
      <c r="K4722" s="5" t="s">
        <v>344</v>
      </c>
      <c r="L4722" s="5" t="s">
        <v>39391</v>
      </c>
      <c r="M4722" s="27"/>
      <c r="N4722" s="5"/>
      <c r="O4722" s="5" t="str">
        <v>7734636226</v>
      </c>
      <c r="P4722" s="27">
        <v>96000</v>
      </c>
      <c r="Q4722" s="5" t="s">
        <v>49021</v>
      </c>
      <c r="R4722" s="5"/>
      <c r="S4722" s="5" t="s">
        <v>51713</v>
      </c>
      <c r="T4722" s="28">
        <v>151708000</v>
      </c>
      <c r="U4722" s="28">
        <v>188000</v>
      </c>
      <c r="V4722" s="28">
        <v>530935000</v>
      </c>
      <c r="W4722" s="28">
        <v>1715000</v>
      </c>
      <c r="X4722" s="28">
        <v>666713000</v>
      </c>
      <c r="Y4722" s="28">
        <v>2710917000</v>
      </c>
      <c r="Z4722" s="28">
        <v>1423651000</v>
      </c>
      <c r="AA4722" s="28"/>
      <c r="AB4722" s="28"/>
      <c r="AC4722" s="28">
        <v>399140000</v>
      </c>
      <c r="AD4722" s="28">
        <v>2187418000</v>
      </c>
      <c r="AE4722" s="28">
        <v>4957162000</v>
      </c>
      <c r="AF4722" s="28">
        <v>1150984000</v>
      </c>
      <c r="AG4722" s="11"/>
    </row>
    <row r="4723">
      <c r="A4723" s="7" t="s">
        <v>6358</v>
      </c>
      <c r="B4723" s="5" t="s">
        <v>14312</v>
      </c>
      <c r="C4723" s="5" t="s">
        <v>22050</v>
      </c>
      <c r="D4723" s="5" t="str">
        <v>772773144208</v>
      </c>
      <c r="E4723" s="0" t="e">
        <f>+7 (495) 6019814
+7 (495) 6019823
+7 (495) 6019824
+7 (800) 5554455</f>
        <v>#NAME?</v>
      </c>
      <c r="F4723" s="5" t="s">
        <v>39392</v>
      </c>
      <c r="G4723" s="5" t="s">
        <v>39393</v>
      </c>
      <c r="H4723" s="26">
        <v>14.5</v>
      </c>
      <c r="I4723" s="5" t="s">
        <v>39394</v>
      </c>
      <c r="J4723" s="5" t="s">
        <v>28053</v>
      </c>
      <c r="K4723" s="5" t="s">
        <v>355</v>
      </c>
      <c r="L4723" s="5" t="s">
        <v>39395</v>
      </c>
      <c r="M4723" s="27">
        <v>3810503</v>
      </c>
      <c r="N4723" s="5"/>
      <c r="O4723" s="5" t="str">
        <v>7729607406</v>
      </c>
      <c r="P4723" s="27">
        <v>307571585</v>
      </c>
      <c r="Q4723" s="5" t="s">
        <v>49009</v>
      </c>
      <c r="R4723" s="5"/>
      <c r="S4723" s="5" t="s">
        <v>49010</v>
      </c>
      <c r="T4723" s="28">
        <v>120042000</v>
      </c>
      <c r="U4723" s="28">
        <v>270000000</v>
      </c>
      <c r="V4723" s="28">
        <v>1116955000</v>
      </c>
      <c r="W4723" s="28">
        <v>233000000</v>
      </c>
      <c r="X4723" s="28">
        <v>1644605000</v>
      </c>
      <c r="Y4723" s="28">
        <v>4472182000</v>
      </c>
      <c r="Z4723" s="28">
        <v>1667833000</v>
      </c>
      <c r="AA4723" s="28"/>
      <c r="AB4723" s="28">
        <v>98298000</v>
      </c>
      <c r="AC4723" s="28">
        <v>2415874000</v>
      </c>
      <c r="AD4723" s="28">
        <v>1975404000</v>
      </c>
      <c r="AE4723" s="28">
        <v>71526031000</v>
      </c>
      <c r="AF4723" s="28">
        <v>-501316000</v>
      </c>
      <c r="AG4723" s="11"/>
    </row>
    <row r="4724">
      <c r="A4724" s="7" t="s">
        <v>6359</v>
      </c>
      <c r="B4724" s="5" t="s">
        <v>14313</v>
      </c>
      <c r="C4724" s="5" t="s">
        <v>22051</v>
      </c>
      <c r="D4724" s="5" t="str">
        <v>771906883400</v>
      </c>
      <c r="E4724" s="0" t="e">
        <f>+7 (87932) 5
+7 (87932) 20050
+7 (87933) 23404
+7 (87933) 33330
+7 (87933) 67896
+7 (87937) 23212
+7 (87937) 54545
+7 (87937) 78473
+7 (928) 5478
+7 (928) 3080242
+7 (928) 3495075
+7 (928) 4563258
+7 (928) 9380242
+7 (87933) 20050
+7 (928) 3418577</f>
        <v>#NAME?</v>
      </c>
      <c r="F4724" s="5" t="s">
        <v>39396</v>
      </c>
      <c r="G4724" s="5" t="s">
        <v>39397</v>
      </c>
      <c r="H4724" s="26">
        <v>12.5</v>
      </c>
      <c r="I4724" s="5" t="s">
        <v>39398</v>
      </c>
      <c r="J4724" s="5" t="s">
        <v>25499</v>
      </c>
      <c r="K4724" s="5" t="s">
        <v>344</v>
      </c>
      <c r="L4724" s="5" t="s">
        <v>39399</v>
      </c>
      <c r="M4724" s="27"/>
      <c r="N4724" s="5" t="s">
        <v>56605</v>
      </c>
      <c r="O4724" s="5" t="str">
        <v>2632099051</v>
      </c>
      <c r="P4724" s="27">
        <v>860000000</v>
      </c>
      <c r="Q4724" s="5" t="s">
        <v>56606</v>
      </c>
      <c r="R4724" s="5"/>
      <c r="S4724" s="5" t="s">
        <v>56607</v>
      </c>
      <c r="T4724" s="28">
        <v>1459490000</v>
      </c>
      <c r="U4724" s="28">
        <v>620024000</v>
      </c>
      <c r="V4724" s="28">
        <v>332402000</v>
      </c>
      <c r="W4724" s="28"/>
      <c r="X4724" s="28">
        <v>418092000</v>
      </c>
      <c r="Y4724" s="28">
        <v>3554193000</v>
      </c>
      <c r="Z4724" s="28">
        <v>1216510000</v>
      </c>
      <c r="AA4724" s="28">
        <v>197486000</v>
      </c>
      <c r="AB4724" s="28">
        <v>862676000</v>
      </c>
      <c r="AC4724" s="28">
        <v>1166891000</v>
      </c>
      <c r="AD4724" s="28">
        <v>2076510000</v>
      </c>
      <c r="AE4724" s="28">
        <v>6138455000</v>
      </c>
      <c r="AF4724" s="28">
        <v>532885000</v>
      </c>
      <c r="AG4724" s="11"/>
    </row>
    <row r="4725">
      <c r="A4725" s="7" t="s">
        <v>6360</v>
      </c>
      <c r="B4725" s="5" t="s">
        <v>14314</v>
      </c>
      <c r="C4725" s="5" t="s">
        <v>22052</v>
      </c>
      <c r="D4725" s="5" t="str">
        <v>700200819974</v>
      </c>
      <c r="E4725" s="0" t="e">
        <f>+7 (38241) 21611</f>
        <v>#NAME?</v>
      </c>
      <c r="F4725" s="5"/>
      <c r="G4725" s="5"/>
      <c r="H4725" s="26">
        <v>23</v>
      </c>
      <c r="I4725" s="5" t="s">
        <v>39400</v>
      </c>
      <c r="J4725" s="5" t="s">
        <v>364</v>
      </c>
      <c r="K4725" s="5" t="s">
        <v>380</v>
      </c>
      <c r="L4725" s="5"/>
      <c r="M4725" s="27"/>
      <c r="N4725" s="5"/>
      <c r="O4725" s="5" t="str">
        <v>7002009690</v>
      </c>
      <c r="P4725" s="27">
        <v>10000</v>
      </c>
      <c r="Q4725" s="5"/>
      <c r="R4725" s="5"/>
      <c r="S4725" s="5" t="s">
        <v>49110</v>
      </c>
      <c r="T4725" s="28"/>
      <c r="U4725" s="28"/>
      <c r="V4725" s="28"/>
      <c r="W4725" s="28"/>
      <c r="X4725" s="28"/>
      <c r="Y4725" s="28"/>
      <c r="Z4725" s="28"/>
      <c r="AA4725" s="28"/>
      <c r="AB4725" s="28"/>
      <c r="AC4725" s="28"/>
      <c r="AD4725" s="28"/>
      <c r="AE4725" s="28">
        <v>8101689000</v>
      </c>
      <c r="AF4725" s="28">
        <v>6204326000</v>
      </c>
      <c r="AG4725" s="11"/>
    </row>
    <row r="4726">
      <c r="A4726" s="7" t="s">
        <v>6361</v>
      </c>
      <c r="B4726" s="5" t="s">
        <v>14315</v>
      </c>
      <c r="C4726" s="5" t="s">
        <v>22053</v>
      </c>
      <c r="D4726" s="5" t="str">
        <v>580500591010</v>
      </c>
      <c r="E4726" s="0" t="e">
        <f>+7 (8412) 991057
+7 (8412) 991058
+7 (84141) 26338
+7 (905) 3663974</f>
        <v>#NAME?</v>
      </c>
      <c r="F4726" s="5" t="s">
        <v>39401</v>
      </c>
      <c r="G4726" s="5" t="s">
        <v>39402</v>
      </c>
      <c r="H4726" s="26">
        <v>13.5</v>
      </c>
      <c r="I4726" s="5" t="s">
        <v>39403</v>
      </c>
      <c r="J4726" s="5" t="s">
        <v>33986</v>
      </c>
      <c r="K4726" s="5" t="s">
        <v>344</v>
      </c>
      <c r="L4726" s="5" t="s">
        <v>31981</v>
      </c>
      <c r="M4726" s="27"/>
      <c r="N4726" s="5"/>
      <c r="O4726" s="5" t="str">
        <v>5837041883</v>
      </c>
      <c r="P4726" s="27">
        <v>10000</v>
      </c>
      <c r="Q4726" s="5"/>
      <c r="R4726" s="5"/>
      <c r="S4726" s="5" t="s">
        <v>49110</v>
      </c>
      <c r="T4726" s="28">
        <v>196242000</v>
      </c>
      <c r="U4726" s="28">
        <v>397550000</v>
      </c>
      <c r="V4726" s="28">
        <v>343452000</v>
      </c>
      <c r="W4726" s="28">
        <v>2274889000</v>
      </c>
      <c r="X4726" s="28">
        <v>1138000</v>
      </c>
      <c r="Y4726" s="28">
        <v>3222128000</v>
      </c>
      <c r="Z4726" s="28">
        <v>306019000</v>
      </c>
      <c r="AA4726" s="28"/>
      <c r="AB4726" s="28"/>
      <c r="AC4726" s="28">
        <v>19797000</v>
      </c>
      <c r="AD4726" s="28">
        <v>306029000</v>
      </c>
      <c r="AE4726" s="28">
        <v>4847059000</v>
      </c>
      <c r="AF4726" s="28">
        <v>195398000</v>
      </c>
      <c r="AG4726" s="11"/>
    </row>
    <row r="4727">
      <c r="A4727" s="7" t="s">
        <v>6362</v>
      </c>
      <c r="B4727" s="5" t="s">
        <v>14316</v>
      </c>
      <c r="C4727" s="5" t="s">
        <v>20243</v>
      </c>
      <c r="D4727" s="5"/>
      <c r="E4727" s="0" t="e">
        <f>+7 (487) 2456157</f>
        <v>#NAME?</v>
      </c>
      <c r="F4727" s="5"/>
      <c r="G4727" s="5"/>
      <c r="H4727" s="26">
        <v>5.5</v>
      </c>
      <c r="I4727" s="5" t="s">
        <v>39404</v>
      </c>
      <c r="J4727" s="5" t="s">
        <v>28875</v>
      </c>
      <c r="K4727" s="5" t="s">
        <v>380</v>
      </c>
      <c r="L4727" s="5" t="s">
        <v>39405</v>
      </c>
      <c r="M4727" s="27"/>
      <c r="N4727" s="5"/>
      <c r="O4727" s="5" t="str">
        <v>7105052009</v>
      </c>
      <c r="P4727" s="27">
        <v>10000</v>
      </c>
      <c r="Q4727" s="5" t="s">
        <v>49009</v>
      </c>
      <c r="R4727" s="5"/>
      <c r="S4727" s="5" t="s">
        <v>49066</v>
      </c>
      <c r="T4727" s="28">
        <v>517714000</v>
      </c>
      <c r="U4727" s="28"/>
      <c r="V4727" s="28">
        <v>401865000</v>
      </c>
      <c r="W4727" s="28"/>
      <c r="X4727" s="28">
        <v>4993000</v>
      </c>
      <c r="Y4727" s="28">
        <v>1469357000</v>
      </c>
      <c r="Z4727" s="28">
        <v>313013000</v>
      </c>
      <c r="AA4727" s="28"/>
      <c r="AB4727" s="28"/>
      <c r="AC4727" s="28">
        <v>961104000</v>
      </c>
      <c r="AD4727" s="28">
        <v>313223000</v>
      </c>
      <c r="AE4727" s="28">
        <v>5021673000</v>
      </c>
      <c r="AF4727" s="28">
        <v>-145901000</v>
      </c>
      <c r="AG4727" s="11"/>
    </row>
    <row r="4728">
      <c r="A4728" s="7" t="s">
        <v>6363</v>
      </c>
      <c r="B4728" s="5" t="s">
        <v>14317</v>
      </c>
      <c r="C4728" s="5" t="s">
        <v>22054</v>
      </c>
      <c r="D4728" s="5" t="str">
        <v>772032808408</v>
      </c>
      <c r="E4728" s="0" t="e">
        <f>+7 (495) 9692931</f>
        <v>#NAME?</v>
      </c>
      <c r="F4728" s="5" t="s">
        <v>39406</v>
      </c>
      <c r="G4728" s="5" t="s">
        <v>39407</v>
      </c>
      <c r="H4728" s="26">
        <v>10.5</v>
      </c>
      <c r="I4728" s="5" t="s">
        <v>39408</v>
      </c>
      <c r="J4728" s="5" t="s">
        <v>30672</v>
      </c>
      <c r="K4728" s="5" t="s">
        <v>344</v>
      </c>
      <c r="L4728" s="5" t="s">
        <v>39409</v>
      </c>
      <c r="M4728" s="27">
        <v>8639068</v>
      </c>
      <c r="N4728" s="5"/>
      <c r="O4728" s="5" t="str">
        <v>7718890289</v>
      </c>
      <c r="P4728" s="27">
        <v>999999</v>
      </c>
      <c r="Q4728" s="5" t="s">
        <v>56608</v>
      </c>
      <c r="R4728" s="5"/>
      <c r="S4728" s="5" t="s">
        <v>49195</v>
      </c>
      <c r="T4728" s="28">
        <v>33195000</v>
      </c>
      <c r="U4728" s="28"/>
      <c r="V4728" s="28">
        <v>714944000</v>
      </c>
      <c r="W4728" s="28"/>
      <c r="X4728" s="28">
        <v>14767000</v>
      </c>
      <c r="Y4728" s="28">
        <v>778353000</v>
      </c>
      <c r="Z4728" s="28">
        <v>56382000</v>
      </c>
      <c r="AA4728" s="28"/>
      <c r="AB4728" s="28">
        <v>62258000</v>
      </c>
      <c r="AC4728" s="28">
        <v>677435000</v>
      </c>
      <c r="AD4728" s="28">
        <v>57532000</v>
      </c>
      <c r="AE4728" s="28">
        <v>16266240000</v>
      </c>
      <c r="AF4728" s="28">
        <v>241916000</v>
      </c>
      <c r="AG4728" s="11"/>
    </row>
    <row r="4729">
      <c r="A4729" s="7" t="s">
        <v>6364</v>
      </c>
      <c r="B4729" s="5" t="s">
        <v>14318</v>
      </c>
      <c r="C4729" s="5" t="s">
        <v>22055</v>
      </c>
      <c r="D4729" s="5" t="str">
        <v>343519385150</v>
      </c>
      <c r="E4729" s="0" t="e">
        <f>+7 (844) 2501013
+7 (902) 3854427
+7 (904) 4004758
+7 (905) 3998441
+7 (844) 2980199
+7 (844) 2981983</f>
        <v>#NAME?</v>
      </c>
      <c r="F4729" s="5" t="s">
        <v>39410</v>
      </c>
      <c r="G4729" s="5"/>
      <c r="H4729" s="26">
        <v>8</v>
      </c>
      <c r="I4729" s="5" t="s">
        <v>39411</v>
      </c>
      <c r="J4729" s="5" t="s">
        <v>678</v>
      </c>
      <c r="K4729" s="5" t="s">
        <v>344</v>
      </c>
      <c r="L4729" s="5" t="s">
        <v>27161</v>
      </c>
      <c r="M4729" s="27"/>
      <c r="N4729" s="5" t="s">
        <v>56609</v>
      </c>
      <c r="O4729" s="5" t="str">
        <v>3460019045</v>
      </c>
      <c r="P4729" s="27">
        <v>50000000</v>
      </c>
      <c r="Q4729" s="5" t="s">
        <v>49009</v>
      </c>
      <c r="R4729" s="5"/>
      <c r="S4729" s="5" t="s">
        <v>56610</v>
      </c>
      <c r="T4729" s="28">
        <v>132317000</v>
      </c>
      <c r="U4729" s="28"/>
      <c r="V4729" s="28">
        <v>648999000</v>
      </c>
      <c r="W4729" s="28"/>
      <c r="X4729" s="28">
        <v>1243000</v>
      </c>
      <c r="Y4729" s="28">
        <v>1783136000</v>
      </c>
      <c r="Z4729" s="28">
        <v>203917000</v>
      </c>
      <c r="AA4729" s="28">
        <v>492694000</v>
      </c>
      <c r="AB4729" s="28">
        <v>138958000</v>
      </c>
      <c r="AC4729" s="28">
        <v>1036524000</v>
      </c>
      <c r="AD4729" s="28">
        <v>253917000</v>
      </c>
      <c r="AE4729" s="28">
        <v>3445515000</v>
      </c>
      <c r="AF4729" s="28">
        <v>32091000</v>
      </c>
      <c r="AG4729" s="11"/>
    </row>
    <row r="4730">
      <c r="A4730" s="7" t="s">
        <v>6365</v>
      </c>
      <c r="B4730" s="5" t="s">
        <v>14319</v>
      </c>
      <c r="C4730" s="5" t="s">
        <v>22056</v>
      </c>
      <c r="D4730" s="5" t="str">
        <v>890301531460</v>
      </c>
      <c r="E4730" s="0" t="e">
        <f>+7 (495) 6401671
+7 (812) 9461924</f>
        <v>#NAME?</v>
      </c>
      <c r="F4730" s="5" t="s">
        <v>39412</v>
      </c>
      <c r="G4730" s="5" t="s">
        <v>39413</v>
      </c>
      <c r="H4730" s="26">
        <v>9.5</v>
      </c>
      <c r="I4730" s="5" t="s">
        <v>39414</v>
      </c>
      <c r="J4730" s="5" t="s">
        <v>29486</v>
      </c>
      <c r="K4730" s="5" t="s">
        <v>355</v>
      </c>
      <c r="L4730" s="5" t="s">
        <v>39415</v>
      </c>
      <c r="M4730" s="27">
        <v>47228705</v>
      </c>
      <c r="N4730" s="5"/>
      <c r="O4730" s="5" t="str">
        <v>7804511512</v>
      </c>
      <c r="P4730" s="27">
        <v>500000</v>
      </c>
      <c r="Q4730" s="5" t="s">
        <v>56611</v>
      </c>
      <c r="R4730" s="5"/>
      <c r="S4730" s="5" t="s">
        <v>56612</v>
      </c>
      <c r="T4730" s="28">
        <v>94068000</v>
      </c>
      <c r="U4730" s="28"/>
      <c r="V4730" s="28">
        <v>1717655000</v>
      </c>
      <c r="W4730" s="28"/>
      <c r="X4730" s="28">
        <v>12727000</v>
      </c>
      <c r="Y4730" s="28">
        <v>2181643000</v>
      </c>
      <c r="Z4730" s="28">
        <v>346810000</v>
      </c>
      <c r="AA4730" s="28">
        <v>20424000</v>
      </c>
      <c r="AB4730" s="28">
        <v>685509000</v>
      </c>
      <c r="AC4730" s="28">
        <v>1533262000</v>
      </c>
      <c r="AD4730" s="28">
        <v>347310000</v>
      </c>
      <c r="AE4730" s="28">
        <v>3470602000</v>
      </c>
      <c r="AF4730" s="28">
        <v>151386000</v>
      </c>
      <c r="AG4730" s="11"/>
    </row>
    <row r="4731">
      <c r="A4731" s="7" t="s">
        <v>6366</v>
      </c>
      <c r="B4731" s="5" t="s">
        <v>14320</v>
      </c>
      <c r="C4731" s="5" t="s">
        <v>22057</v>
      </c>
      <c r="D4731" s="5"/>
      <c r="E4731" s="0" t="e">
        <f>+7 (499) 2636525
+7 (3022) 224119
+7 (35374) 40040
+7 (38340) 50088
+7 (39136) 22198
+7 (41654) 24216
+7 (495) 7877864
+7 (81378) 78540</f>
        <v>#NAME?</v>
      </c>
      <c r="F4731" s="5" t="s">
        <v>39416</v>
      </c>
      <c r="G4731" s="5" t="s">
        <v>39417</v>
      </c>
      <c r="H4731" s="26">
        <v>15</v>
      </c>
      <c r="I4731" s="5"/>
      <c r="J4731" s="5" t="s">
        <v>34574</v>
      </c>
      <c r="K4731" s="5" t="s">
        <v>344</v>
      </c>
      <c r="L4731" s="5"/>
      <c r="M4731" s="27">
        <v>30465021</v>
      </c>
      <c r="N4731" s="5" t="s">
        <v>56613</v>
      </c>
      <c r="O4731" s="5" t="str">
        <v>7708670326</v>
      </c>
      <c r="P4731" s="27">
        <v>6268918000</v>
      </c>
      <c r="Q4731" s="5" t="s">
        <v>56614</v>
      </c>
      <c r="R4731" s="5"/>
      <c r="S4731" s="5" t="s">
        <v>56615</v>
      </c>
      <c r="T4731" s="28">
        <v>4520703000</v>
      </c>
      <c r="U4731" s="28">
        <v>90568000</v>
      </c>
      <c r="V4731" s="28">
        <v>4091331000</v>
      </c>
      <c r="W4731" s="28">
        <v>100000000</v>
      </c>
      <c r="X4731" s="28">
        <v>12686000</v>
      </c>
      <c r="Y4731" s="28">
        <v>10376690000</v>
      </c>
      <c r="Z4731" s="28">
        <v>1533743000</v>
      </c>
      <c r="AA4731" s="28"/>
      <c r="AB4731" s="28">
        <v>765000000</v>
      </c>
      <c r="AC4731" s="28">
        <v>1948092000</v>
      </c>
      <c r="AD4731" s="28">
        <v>7954118000</v>
      </c>
      <c r="AE4731" s="28">
        <v>7779300000</v>
      </c>
      <c r="AF4731" s="28">
        <v>251183000</v>
      </c>
      <c r="AG4731" s="11"/>
    </row>
    <row r="4732">
      <c r="A4732" s="7" t="s">
        <v>6367</v>
      </c>
      <c r="B4732" s="5" t="s">
        <v>14321</v>
      </c>
      <c r="C4732" s="5" t="s">
        <v>22058</v>
      </c>
      <c r="D4732" s="5" t="str">
        <v>165604602167</v>
      </c>
      <c r="E4732" s="0" t="e">
        <f>+7 (922) 9758989</f>
        <v>#NAME?</v>
      </c>
      <c r="F4732" s="5"/>
      <c r="G4732" s="5"/>
      <c r="H4732" s="26">
        <v>5</v>
      </c>
      <c r="I4732" s="5" t="s">
        <v>33858</v>
      </c>
      <c r="J4732" s="5" t="s">
        <v>555</v>
      </c>
      <c r="K4732" s="5" t="s">
        <v>355</v>
      </c>
      <c r="L4732" s="5" t="s">
        <v>39418</v>
      </c>
      <c r="M4732" s="27">
        <v>777690</v>
      </c>
      <c r="N4732" s="5" t="s">
        <v>56616</v>
      </c>
      <c r="O4732" s="5" t="str">
        <v>8911013810</v>
      </c>
      <c r="P4732" s="27">
        <v>10000</v>
      </c>
      <c r="Q4732" s="5"/>
      <c r="R4732" s="5"/>
      <c r="S4732" s="5" t="s">
        <v>49160</v>
      </c>
      <c r="T4732" s="28">
        <v>296000000</v>
      </c>
      <c r="U4732" s="28"/>
      <c r="V4732" s="28">
        <v>840688000</v>
      </c>
      <c r="W4732" s="28"/>
      <c r="X4732" s="28">
        <v>23277000</v>
      </c>
      <c r="Y4732" s="28">
        <v>1301175000</v>
      </c>
      <c r="Z4732" s="28">
        <v>170827000</v>
      </c>
      <c r="AA4732" s="28"/>
      <c r="AB4732" s="28"/>
      <c r="AC4732" s="28">
        <v>1130338000</v>
      </c>
      <c r="AD4732" s="28">
        <v>170837000</v>
      </c>
      <c r="AE4732" s="28">
        <v>6036386000</v>
      </c>
      <c r="AF4732" s="28">
        <v>41264000</v>
      </c>
      <c r="AG4732" s="11"/>
    </row>
    <row r="4733">
      <c r="A4733" s="7" t="s">
        <v>6368</v>
      </c>
      <c r="B4733" s="5" t="s">
        <v>14322</v>
      </c>
      <c r="C4733" s="5" t="s">
        <v>22059</v>
      </c>
      <c r="D4733" s="5" t="str">
        <v>590401361333</v>
      </c>
      <c r="E4733" s="0" t="e">
        <f>+7 (342) 2451219
+7 (909) 1110112
+7 (342) 2459739
+7 (3422) 400502
+7 (3422) 400512
+7 (3422) 400527
+7 (3422) 400528
+7 (3422) 400534
+7 (3422) 400555
+7 (3422) 400734
+7 (3422) 400782
+7 (3422) 400909
+7 (3422) 400964
+7 (3422) 809719</f>
        <v>#NAME?</v>
      </c>
      <c r="F4733" s="5" t="s">
        <v>39419</v>
      </c>
      <c r="G4733" s="5" t="s">
        <v>39420</v>
      </c>
      <c r="H4733" s="26">
        <v>29.5</v>
      </c>
      <c r="I4733" s="5"/>
      <c r="J4733" s="5" t="s">
        <v>39421</v>
      </c>
      <c r="K4733" s="5" t="s">
        <v>344</v>
      </c>
      <c r="L4733" s="5"/>
      <c r="M4733" s="27"/>
      <c r="N4733" s="5" t="s">
        <v>56617</v>
      </c>
      <c r="O4733" s="5" t="str">
        <v>5904000395</v>
      </c>
      <c r="P4733" s="27">
        <v>130379</v>
      </c>
      <c r="Q4733" s="5" t="s">
        <v>56618</v>
      </c>
      <c r="R4733" s="5"/>
      <c r="S4733" s="5" t="s">
        <v>56619</v>
      </c>
      <c r="T4733" s="28">
        <v>1994661000</v>
      </c>
      <c r="U4733" s="28">
        <v>48806000</v>
      </c>
      <c r="V4733" s="28">
        <v>3546125000</v>
      </c>
      <c r="W4733" s="28">
        <v>235360000</v>
      </c>
      <c r="X4733" s="28">
        <v>5398490000</v>
      </c>
      <c r="Y4733" s="28">
        <v>18938613000</v>
      </c>
      <c r="Z4733" s="28">
        <v>5585328000</v>
      </c>
      <c r="AA4733" s="28">
        <v>1422707000</v>
      </c>
      <c r="AB4733" s="28">
        <v>1311046000</v>
      </c>
      <c r="AC4733" s="28">
        <v>10724546000</v>
      </c>
      <c r="AD4733" s="28">
        <v>5624132000</v>
      </c>
      <c r="AE4733" s="28">
        <v>6532923000</v>
      </c>
      <c r="AF4733" s="28">
        <v>456694000</v>
      </c>
      <c r="AG4733" s="11"/>
    </row>
    <row r="4734">
      <c r="A4734" s="7" t="s">
        <v>6369</v>
      </c>
      <c r="B4734" s="5" t="s">
        <v>14323</v>
      </c>
      <c r="C4734" s="5" t="s">
        <v>22060</v>
      </c>
      <c r="D4734" s="5" t="str">
        <v>780507401514</v>
      </c>
      <c r="E4734" s="0" t="e">
        <f>+7 (812) 3290092
+7 (812) 3292929
+7 (812) 3292989
+7 (812) 3292999
+7 (812) 6465440
+7 (921) 8702413</f>
        <v>#NAME?</v>
      </c>
      <c r="F4734" s="5" t="s">
        <v>39422</v>
      </c>
      <c r="G4734" s="5" t="s">
        <v>39423</v>
      </c>
      <c r="H4734" s="26">
        <v>27.5</v>
      </c>
      <c r="I4734" s="5"/>
      <c r="J4734" s="5" t="s">
        <v>26905</v>
      </c>
      <c r="K4734" s="5" t="s">
        <v>344</v>
      </c>
      <c r="L4734" s="5" t="s">
        <v>39424</v>
      </c>
      <c r="M4734" s="27">
        <v>536212</v>
      </c>
      <c r="N4734" s="5"/>
      <c r="O4734" s="5" t="str">
        <v>7805058077</v>
      </c>
      <c r="P4734" s="27">
        <v>907600</v>
      </c>
      <c r="Q4734" s="5" t="s">
        <v>56620</v>
      </c>
      <c r="R4734" s="5" t="s">
        <v>56621</v>
      </c>
      <c r="S4734" s="5" t="s">
        <v>56622</v>
      </c>
      <c r="T4734" s="28">
        <v>3246730000</v>
      </c>
      <c r="U4734" s="28"/>
      <c r="V4734" s="28">
        <v>1042252000</v>
      </c>
      <c r="W4734" s="28">
        <v>3393807000</v>
      </c>
      <c r="X4734" s="28">
        <v>1158218000</v>
      </c>
      <c r="Y4734" s="28">
        <v>12493428000</v>
      </c>
      <c r="Z4734" s="28">
        <v>11349899000</v>
      </c>
      <c r="AA4734" s="28">
        <v>1000000</v>
      </c>
      <c r="AB4734" s="28"/>
      <c r="AC4734" s="28">
        <v>266328000</v>
      </c>
      <c r="AD4734" s="28">
        <v>11915273000</v>
      </c>
      <c r="AE4734" s="28">
        <v>6568188000</v>
      </c>
      <c r="AF4734" s="28">
        <v>3569366000</v>
      </c>
      <c r="AG4734" s="11"/>
    </row>
    <row r="4735">
      <c r="A4735" s="7" t="s">
        <v>6370</v>
      </c>
      <c r="B4735" s="5" t="s">
        <v>14324</v>
      </c>
      <c r="C4735" s="5" t="s">
        <v>22061</v>
      </c>
      <c r="D4735" s="5" t="str">
        <v>592105961165</v>
      </c>
      <c r="E4735" s="0" t="e">
        <f>+7 (483) 2576307
+7 (483) 2579103
+7 (483) 2715705
+7 (483) 2715789
+7 (483) 2715953
+7 (483) 2715965
+7 (483) 2717100</f>
        <v>#NAME?</v>
      </c>
      <c r="F4735" s="5" t="s">
        <v>39425</v>
      </c>
      <c r="G4735" s="5" t="s">
        <v>39426</v>
      </c>
      <c r="H4735" s="26">
        <v>20</v>
      </c>
      <c r="I4735" s="5" t="s">
        <v>39427</v>
      </c>
      <c r="J4735" s="5" t="s">
        <v>27822</v>
      </c>
      <c r="K4735" s="5" t="s">
        <v>355</v>
      </c>
      <c r="L4735" s="5"/>
      <c r="M4735" s="27">
        <v>1426459</v>
      </c>
      <c r="N4735" s="5" t="s">
        <v>56623</v>
      </c>
      <c r="O4735" s="5" t="str">
        <v>3232038930</v>
      </c>
      <c r="P4735" s="27">
        <v>367962375</v>
      </c>
      <c r="Q4735" s="5" t="s">
        <v>49009</v>
      </c>
      <c r="R4735" s="5"/>
      <c r="S4735" s="5" t="s">
        <v>49066</v>
      </c>
      <c r="T4735" s="28">
        <v>5881285000</v>
      </c>
      <c r="U4735" s="28"/>
      <c r="V4735" s="28">
        <v>1044772000</v>
      </c>
      <c r="W4735" s="28"/>
      <c r="X4735" s="28">
        <v>388962000</v>
      </c>
      <c r="Y4735" s="28">
        <v>8834672000</v>
      </c>
      <c r="Z4735" s="28">
        <v>1607513000</v>
      </c>
      <c r="AA4735" s="28">
        <v>2535146000</v>
      </c>
      <c r="AB4735" s="28">
        <v>2991511000</v>
      </c>
      <c r="AC4735" s="28">
        <v>4244282000</v>
      </c>
      <c r="AD4735" s="28">
        <v>1993873000</v>
      </c>
      <c r="AE4735" s="28">
        <v>8250600000</v>
      </c>
      <c r="AF4735" s="28">
        <v>-299296000</v>
      </c>
      <c r="AG4735" s="11"/>
    </row>
    <row r="4736">
      <c r="A4736" s="7" t="s">
        <v>6371</v>
      </c>
      <c r="B4736" s="5" t="s">
        <v>14325</v>
      </c>
      <c r="C4736" s="5" t="s">
        <v>22062</v>
      </c>
      <c r="D4736" s="5" t="str">
        <v>780512588402</v>
      </c>
      <c r="E4736" s="0" t="e">
        <f>+7 (812) 4954454
+7 (812) 2522935
+7 (812) 3268522
+7 (812) 3268538
+7 (812) 3268545
+7 (812) 3268882
+7 (812) 3268889
+7 (812) 3268892</f>
        <v>#NAME?</v>
      </c>
      <c r="F4736" s="5" t="s">
        <v>39428</v>
      </c>
      <c r="G4736" s="5" t="s">
        <v>39429</v>
      </c>
      <c r="H4736" s="26">
        <v>25.5</v>
      </c>
      <c r="I4736" s="5"/>
      <c r="J4736" s="5" t="s">
        <v>467</v>
      </c>
      <c r="K4736" s="5" t="s">
        <v>344</v>
      </c>
      <c r="L4736" s="5" t="s">
        <v>39430</v>
      </c>
      <c r="M4736" s="27">
        <v>65703064</v>
      </c>
      <c r="N4736" s="5" t="s">
        <v>56624</v>
      </c>
      <c r="O4736" s="5" t="str">
        <v>7811062995</v>
      </c>
      <c r="P4736" s="27">
        <v>3850000</v>
      </c>
      <c r="Q4736" s="5" t="s">
        <v>56625</v>
      </c>
      <c r="R4736" s="5"/>
      <c r="S4736" s="5" t="s">
        <v>56626</v>
      </c>
      <c r="T4736" s="28">
        <v>1480511000</v>
      </c>
      <c r="U4736" s="28">
        <v>59362000</v>
      </c>
      <c r="V4736" s="28">
        <v>8516170000</v>
      </c>
      <c r="W4736" s="28">
        <v>4618972000</v>
      </c>
      <c r="X4736" s="28">
        <v>5529432000</v>
      </c>
      <c r="Y4736" s="28">
        <v>22036696000</v>
      </c>
      <c r="Z4736" s="28">
        <v>9005760000</v>
      </c>
      <c r="AA4736" s="28"/>
      <c r="AB4736" s="28">
        <v>272521000</v>
      </c>
      <c r="AC4736" s="28">
        <v>11468888000</v>
      </c>
      <c r="AD4736" s="28">
        <v>10394507000</v>
      </c>
      <c r="AE4736" s="28">
        <v>25441164000</v>
      </c>
      <c r="AF4736" s="28">
        <v>2244267000</v>
      </c>
      <c r="AG4736" s="11"/>
    </row>
    <row r="4737">
      <c r="A4737" s="7" t="s">
        <v>6372</v>
      </c>
      <c r="B4737" s="5" t="s">
        <v>14326</v>
      </c>
      <c r="C4737" s="5" t="s">
        <v>22063</v>
      </c>
      <c r="D4737" s="5" t="str">
        <v>164602430707</v>
      </c>
      <c r="E4737" s="0" t="e">
        <f>+7 (85557) 55733
+7 (85557) 51108
+7 (85557) 55759
+7 (85557) 55775
+7 (85557) 55851
+7 (85557) 55870</f>
        <v>#NAME?</v>
      </c>
      <c r="F4737" s="5" t="s">
        <v>39431</v>
      </c>
      <c r="G4737" s="5" t="s">
        <v>39432</v>
      </c>
      <c r="H4737" s="26">
        <v>18</v>
      </c>
      <c r="I4737" s="5"/>
      <c r="J4737" s="5" t="s">
        <v>25955</v>
      </c>
      <c r="K4737" s="5" t="s">
        <v>344</v>
      </c>
      <c r="L4737" s="5"/>
      <c r="M4737" s="27">
        <v>884046</v>
      </c>
      <c r="N4737" s="5" t="s">
        <v>56627</v>
      </c>
      <c r="O4737" s="5" t="str">
        <v>1646016818</v>
      </c>
      <c r="P4737" s="27">
        <v>1290133440</v>
      </c>
      <c r="Q4737" s="5" t="s">
        <v>49059</v>
      </c>
      <c r="R4737" s="5"/>
      <c r="S4737" s="5" t="s">
        <v>49907</v>
      </c>
      <c r="T4737" s="28">
        <v>787762000</v>
      </c>
      <c r="U4737" s="28">
        <v>2303000</v>
      </c>
      <c r="V4737" s="28">
        <v>840398000</v>
      </c>
      <c r="W4737" s="28">
        <v>417000000</v>
      </c>
      <c r="X4737" s="28">
        <v>21206000</v>
      </c>
      <c r="Y4737" s="28">
        <v>2863091000</v>
      </c>
      <c r="Z4737" s="28">
        <v>639390000</v>
      </c>
      <c r="AA4737" s="28"/>
      <c r="AB4737" s="28">
        <v>75000</v>
      </c>
      <c r="AC4737" s="28">
        <v>787941000</v>
      </c>
      <c r="AD4737" s="28">
        <v>1994030000</v>
      </c>
      <c r="AE4737" s="28">
        <v>4130327000</v>
      </c>
      <c r="AF4737" s="28">
        <v>403260000</v>
      </c>
      <c r="AG4737" s="11"/>
    </row>
    <row r="4738">
      <c r="A4738" s="7" t="s">
        <v>6373</v>
      </c>
      <c r="B4738" s="5" t="s">
        <v>14327</v>
      </c>
      <c r="C4738" s="5" t="s">
        <v>22064</v>
      </c>
      <c r="D4738" s="5" t="str">
        <v>233906492834</v>
      </c>
      <c r="E4738" s="0" t="e">
        <f>+7 (86147) 21223
+7 (86147) 22368
+7 (800) 3503677
+7 (86147) 24411
+7 (86147) 44959
+7 (918) 1277797
+7 (918) 9390000</f>
        <v>#NAME?</v>
      </c>
      <c r="F4738" s="5" t="s">
        <v>39433</v>
      </c>
      <c r="G4738" s="5" t="s">
        <v>39434</v>
      </c>
      <c r="H4738" s="26">
        <v>30.5</v>
      </c>
      <c r="I4738" s="5"/>
      <c r="J4738" s="5" t="s">
        <v>28451</v>
      </c>
      <c r="K4738" s="5" t="s">
        <v>344</v>
      </c>
      <c r="L4738" s="5" t="s">
        <v>39435</v>
      </c>
      <c r="M4738" s="27">
        <v>5778395</v>
      </c>
      <c r="N4738" s="5"/>
      <c r="O4738" s="5" t="str">
        <v>2339003248</v>
      </c>
      <c r="P4738" s="27">
        <v>40400</v>
      </c>
      <c r="Q4738" s="5"/>
      <c r="R4738" s="5"/>
      <c r="S4738" s="5" t="s">
        <v>49029</v>
      </c>
      <c r="T4738" s="28">
        <v>519633000</v>
      </c>
      <c r="U4738" s="28"/>
      <c r="V4738" s="28">
        <v>1045336000</v>
      </c>
      <c r="W4738" s="28">
        <v>248197000</v>
      </c>
      <c r="X4738" s="28">
        <v>20672000</v>
      </c>
      <c r="Y4738" s="28">
        <v>2511210000</v>
      </c>
      <c r="Z4738" s="28">
        <v>342249000</v>
      </c>
      <c r="AA4738" s="28">
        <v>1434292000</v>
      </c>
      <c r="AB4738" s="28">
        <v>34086000</v>
      </c>
      <c r="AC4738" s="28">
        <v>392114000</v>
      </c>
      <c r="AD4738" s="28">
        <v>348135000</v>
      </c>
      <c r="AE4738" s="28">
        <v>15298520000</v>
      </c>
      <c r="AF4738" s="28">
        <v>91162000</v>
      </c>
      <c r="AG4738" s="11"/>
    </row>
    <row r="4739">
      <c r="A4739" s="7" t="s">
        <v>6374</v>
      </c>
      <c r="B4739" s="5" t="s">
        <v>14328</v>
      </c>
      <c r="C4739" s="5" t="s">
        <v>17997</v>
      </c>
      <c r="D4739" s="5" t="str">
        <v>402903451908</v>
      </c>
      <c r="E4739" s="0" t="e">
        <f>+7 (473) 2622326
+7 (48143) 51433
+7 (48143) 51671
+7 (48438) 69350
+7 (48438) 69359
+7 (48439) 61919
+7 (48439) 96155
+7 (48439) 96292
+7 (495) 2585100
+7 (495) 7483838
+7 (812) 3206333
+7 (83170) 61925
+7 (83170) 61927
+7 (8432) 42270
+7 (8432) 42272</f>
        <v>#NAME?</v>
      </c>
      <c r="F4739" s="5" t="s">
        <v>39436</v>
      </c>
      <c r="G4739" s="5" t="s">
        <v>39437</v>
      </c>
      <c r="H4739" s="26">
        <v>17.5</v>
      </c>
      <c r="I4739" s="5" t="s">
        <v>39438</v>
      </c>
      <c r="J4739" s="5" t="s">
        <v>445</v>
      </c>
      <c r="K4739" s="5" t="s">
        <v>344</v>
      </c>
      <c r="L4739" s="5" t="s">
        <v>39439</v>
      </c>
      <c r="M4739" s="27">
        <v>3453455</v>
      </c>
      <c r="N4739" s="5" t="s">
        <v>56628</v>
      </c>
      <c r="O4739" s="5" t="str">
        <v>4025082394</v>
      </c>
      <c r="P4739" s="27">
        <v>1930140650</v>
      </c>
      <c r="Q4739" s="5" t="s">
        <v>56629</v>
      </c>
      <c r="R4739" s="5"/>
      <c r="S4739" s="5" t="s">
        <v>49020</v>
      </c>
      <c r="T4739" s="28">
        <v>5990152000</v>
      </c>
      <c r="U4739" s="28"/>
      <c r="V4739" s="28">
        <v>2848306000</v>
      </c>
      <c r="W4739" s="28">
        <v>182900000</v>
      </c>
      <c r="X4739" s="28">
        <v>3520707000</v>
      </c>
      <c r="Y4739" s="28">
        <v>19777816000</v>
      </c>
      <c r="Z4739" s="28">
        <v>8269367000</v>
      </c>
      <c r="AA4739" s="28">
        <v>1200000000</v>
      </c>
      <c r="AB4739" s="28">
        <v>1678000000</v>
      </c>
      <c r="AC4739" s="28">
        <v>5273337000</v>
      </c>
      <c r="AD4739" s="28">
        <v>13145907000</v>
      </c>
      <c r="AE4739" s="28">
        <v>33687031000</v>
      </c>
      <c r="AF4739" s="28">
        <v>3603201000</v>
      </c>
      <c r="AG4739" s="11"/>
    </row>
    <row r="4740">
      <c r="A4740" s="7" t="s">
        <v>6375</v>
      </c>
      <c r="B4740" s="5" t="s">
        <v>14329</v>
      </c>
      <c r="C4740" s="5" t="s">
        <v>22065</v>
      </c>
      <c r="D4740" s="5" t="str">
        <v>470407367583</v>
      </c>
      <c r="E4740" s="0" t="e">
        <f>+7 (929) 5631968
+7 (915) 3493154
+7 (81666) 21734
+7 (81666) 21837
+7 (81666) 24237
+7 (921) 1961448
+7 (921) 8994783
+7 (921) 9199103</f>
        <v>#NAME?</v>
      </c>
      <c r="F4740" s="5" t="s">
        <v>39440</v>
      </c>
      <c r="G4740" s="5"/>
      <c r="H4740" s="26">
        <v>14</v>
      </c>
      <c r="I4740" s="5"/>
      <c r="J4740" s="5" t="s">
        <v>467</v>
      </c>
      <c r="K4740" s="5" t="s">
        <v>344</v>
      </c>
      <c r="L4740" s="5" t="s">
        <v>39441</v>
      </c>
      <c r="M4740" s="27">
        <v>5304022</v>
      </c>
      <c r="N4740" s="5" t="s">
        <v>56630</v>
      </c>
      <c r="O4740" s="5" t="str">
        <v>7841403995</v>
      </c>
      <c r="P4740" s="27">
        <v>10000</v>
      </c>
      <c r="Q4740" s="5" t="s">
        <v>56631</v>
      </c>
      <c r="R4740" s="5" t="s">
        <v>56632</v>
      </c>
      <c r="S4740" s="5" t="s">
        <v>56633</v>
      </c>
      <c r="T4740" s="28">
        <v>3477453000</v>
      </c>
      <c r="U4740" s="28">
        <v>125510000</v>
      </c>
      <c r="V4740" s="28">
        <v>1643837000</v>
      </c>
      <c r="W4740" s="28">
        <v>554300000</v>
      </c>
      <c r="X4740" s="28">
        <v>61165000</v>
      </c>
      <c r="Y4740" s="28">
        <v>6264743000</v>
      </c>
      <c r="Z4740" s="28">
        <v>2428502000</v>
      </c>
      <c r="AA4740" s="28">
        <v>588621000</v>
      </c>
      <c r="AB4740" s="28">
        <v>20336000</v>
      </c>
      <c r="AC4740" s="28">
        <v>751038000</v>
      </c>
      <c r="AD4740" s="28">
        <v>2428512000</v>
      </c>
      <c r="AE4740" s="28">
        <v>11339712000</v>
      </c>
      <c r="AF4740" s="28">
        <v>1139138000</v>
      </c>
      <c r="AG4740" s="11"/>
    </row>
    <row r="4741">
      <c r="A4741" s="7" t="s">
        <v>6376</v>
      </c>
      <c r="B4741" s="5" t="s">
        <v>14081</v>
      </c>
      <c r="C4741" s="5" t="s">
        <v>22066</v>
      </c>
      <c r="D4741" s="5" t="str">
        <v>650405689362</v>
      </c>
      <c r="E4741" s="0" t="e">
        <f>+7 (424) 2466201
+7 (424) 2466207
+7 (424) 2466202
+7 (424) 2736447</f>
        <v>#NAME?</v>
      </c>
      <c r="F4741" s="5" t="s">
        <v>39442</v>
      </c>
      <c r="G4741" s="5"/>
      <c r="H4741" s="26">
        <v>27</v>
      </c>
      <c r="I4741" s="5" t="s">
        <v>39443</v>
      </c>
      <c r="J4741" s="5" t="s">
        <v>26424</v>
      </c>
      <c r="K4741" s="5" t="s">
        <v>344</v>
      </c>
      <c r="L4741" s="5" t="s">
        <v>39444</v>
      </c>
      <c r="M4741" s="27"/>
      <c r="N4741" s="5"/>
      <c r="O4741" s="5" t="str">
        <v>6501078432</v>
      </c>
      <c r="P4741" s="27">
        <v>120000000</v>
      </c>
      <c r="Q4741" s="5"/>
      <c r="R4741" s="5" t="s">
        <v>56634</v>
      </c>
      <c r="S4741" s="5" t="s">
        <v>49029</v>
      </c>
      <c r="T4741" s="28">
        <v>833936000</v>
      </c>
      <c r="U4741" s="28">
        <v>344264000</v>
      </c>
      <c r="V4741" s="28">
        <v>1902048000</v>
      </c>
      <c r="W4741" s="28">
        <v>4500000</v>
      </c>
      <c r="X4741" s="28">
        <v>98297000</v>
      </c>
      <c r="Y4741" s="28">
        <v>3653306000</v>
      </c>
      <c r="Z4741" s="28">
        <v>2722725000</v>
      </c>
      <c r="AA4741" s="28"/>
      <c r="AB4741" s="28">
        <v>222000000</v>
      </c>
      <c r="AC4741" s="28">
        <v>641204000</v>
      </c>
      <c r="AD4741" s="28">
        <v>2842725000</v>
      </c>
      <c r="AE4741" s="28">
        <v>4600349000</v>
      </c>
      <c r="AF4741" s="28">
        <v>988898000</v>
      </c>
      <c r="AG4741" s="11"/>
    </row>
    <row r="4742">
      <c r="A4742" s="7" t="s">
        <v>6377</v>
      </c>
      <c r="B4742" s="5" t="s">
        <v>14330</v>
      </c>
      <c r="C4742" s="5" t="s">
        <v>21357</v>
      </c>
      <c r="D4742" s="5" t="str">
        <v>421700606480</v>
      </c>
      <c r="E4742" s="0" t="e">
        <f>+7 (385) 2282807
+7 (38552) 21149
+7 (38552) 22045
+7 (909) 5016070</f>
        <v>#NAME?</v>
      </c>
      <c r="F4742" s="5" t="s">
        <v>39445</v>
      </c>
      <c r="G4742" s="5"/>
      <c r="H4742" s="26">
        <v>9</v>
      </c>
      <c r="I4742" s="5" t="s">
        <v>39446</v>
      </c>
      <c r="J4742" s="5" t="s">
        <v>32951</v>
      </c>
      <c r="K4742" s="5" t="s">
        <v>344</v>
      </c>
      <c r="L4742" s="5" t="s">
        <v>39447</v>
      </c>
      <c r="M4742" s="27"/>
      <c r="N4742" s="5"/>
      <c r="O4742" s="5" t="str">
        <v>5405495618</v>
      </c>
      <c r="P4742" s="27">
        <v>10000</v>
      </c>
      <c r="Q4742" s="5"/>
      <c r="R4742" s="5"/>
      <c r="S4742" s="5" t="s">
        <v>50774</v>
      </c>
      <c r="T4742" s="28">
        <v>764961000</v>
      </c>
      <c r="U4742" s="28">
        <v>62881000</v>
      </c>
      <c r="V4742" s="28">
        <v>214448000</v>
      </c>
      <c r="W4742" s="28"/>
      <c r="X4742" s="28">
        <v>748094000</v>
      </c>
      <c r="Y4742" s="28">
        <v>2284073000</v>
      </c>
      <c r="Z4742" s="28">
        <v>234895000</v>
      </c>
      <c r="AA4742" s="28">
        <v>330500000</v>
      </c>
      <c r="AB4742" s="28">
        <v>807865000</v>
      </c>
      <c r="AC4742" s="28">
        <v>1200622000</v>
      </c>
      <c r="AD4742" s="28">
        <v>234905000</v>
      </c>
      <c r="AE4742" s="28">
        <v>3185517000</v>
      </c>
      <c r="AF4742" s="28">
        <v>80583000</v>
      </c>
      <c r="AG4742" s="11"/>
    </row>
    <row r="4743">
      <c r="A4743" s="7" t="s">
        <v>6378</v>
      </c>
      <c r="B4743" s="5" t="s">
        <v>14331</v>
      </c>
      <c r="C4743" s="5" t="s">
        <v>22067</v>
      </c>
      <c r="D4743" s="5" t="str">
        <v>525600520462</v>
      </c>
      <c r="E4743" s="0" t="e">
        <f>+7 (926) 74001
+7 (495) 6424444
+7 (978) 7289248
+7 (978) 9508818</f>
        <v>#NAME?</v>
      </c>
      <c r="F4743" s="5"/>
      <c r="G4743" s="5"/>
      <c r="H4743" s="26">
        <v>19</v>
      </c>
      <c r="I4743" s="5" t="s">
        <v>39448</v>
      </c>
      <c r="J4743" s="5" t="s">
        <v>947</v>
      </c>
      <c r="K4743" s="5" t="s">
        <v>380</v>
      </c>
      <c r="L4743" s="5" t="s">
        <v>26700</v>
      </c>
      <c r="M4743" s="27">
        <v>11218175511</v>
      </c>
      <c r="N4743" s="5" t="s">
        <v>56635</v>
      </c>
      <c r="O4743" s="5" t="str">
        <v>9102014432</v>
      </c>
      <c r="P4743" s="27">
        <v>100000</v>
      </c>
      <c r="Q4743" s="5"/>
      <c r="R4743" s="5" t="s">
        <v>56636</v>
      </c>
      <c r="S4743" s="5" t="s">
        <v>50404</v>
      </c>
      <c r="T4743" s="28">
        <v>147595000</v>
      </c>
      <c r="U4743" s="28">
        <v>51395000</v>
      </c>
      <c r="V4743" s="28">
        <v>4551574000</v>
      </c>
      <c r="W4743" s="28">
        <v>285586000</v>
      </c>
      <c r="X4743" s="28">
        <v>75489000</v>
      </c>
      <c r="Y4743" s="28">
        <v>15263060000</v>
      </c>
      <c r="Z4743" s="28">
        <v>99704000</v>
      </c>
      <c r="AA4743" s="28">
        <v>912500000</v>
      </c>
      <c r="AB4743" s="28">
        <v>731620000</v>
      </c>
      <c r="AC4743" s="28">
        <v>14211133000</v>
      </c>
      <c r="AD4743" s="28">
        <v>99804000</v>
      </c>
      <c r="AE4743" s="28">
        <v>9711588000</v>
      </c>
      <c r="AF4743" s="28">
        <v>22610000</v>
      </c>
      <c r="AG4743" s="11"/>
    </row>
    <row r="4744">
      <c r="A4744" s="7" t="s">
        <v>6379</v>
      </c>
      <c r="B4744" s="5" t="s">
        <v>14332</v>
      </c>
      <c r="C4744" s="5" t="s">
        <v>22068</v>
      </c>
      <c r="D4744" s="5" t="str">
        <v>245303635923</v>
      </c>
      <c r="E4744" s="0" t="e">
        <f>+7 (39169) 21262
+7 (39169) 94243
+7 (39169) 94796
+7 (391) 3994980
+7 (39169) 33321
+7 (39169) 84828
+7 (39169) 93173
+7 (39169) 93190
+7 (39169) 94000
+7 (39169) 94067
+7 (39169) 94170
+7 (39169) 94208
+7 (39169) 94645</f>
        <v>#NAME?</v>
      </c>
      <c r="F4744" s="5" t="s">
        <v>39449</v>
      </c>
      <c r="G4744" s="5" t="s">
        <v>39450</v>
      </c>
      <c r="H4744" s="26">
        <v>31</v>
      </c>
      <c r="I4744" s="5"/>
      <c r="J4744" s="5" t="s">
        <v>28418</v>
      </c>
      <c r="K4744" s="5" t="s">
        <v>344</v>
      </c>
      <c r="L4744" s="5" t="s">
        <v>39451</v>
      </c>
      <c r="M4744" s="27">
        <v>23524044</v>
      </c>
      <c r="N4744" s="5" t="s">
        <v>56637</v>
      </c>
      <c r="O4744" s="5" t="str">
        <v>2453013555</v>
      </c>
      <c r="P4744" s="27">
        <v>24831113000</v>
      </c>
      <c r="Q4744" s="5" t="s">
        <v>56638</v>
      </c>
      <c r="R4744" s="5"/>
      <c r="S4744" s="5" t="s">
        <v>56639</v>
      </c>
      <c r="T4744" s="28">
        <v>60094577000</v>
      </c>
      <c r="U4744" s="28"/>
      <c r="V4744" s="28">
        <v>9921140000</v>
      </c>
      <c r="W4744" s="28">
        <v>12330000000</v>
      </c>
      <c r="X4744" s="28">
        <v>272778000</v>
      </c>
      <c r="Y4744" s="28">
        <v>86644637000</v>
      </c>
      <c r="Z4744" s="28">
        <v>50433290000</v>
      </c>
      <c r="AA4744" s="28"/>
      <c r="AB4744" s="28"/>
      <c r="AC4744" s="28">
        <v>6331280000</v>
      </c>
      <c r="AD4744" s="28">
        <v>76667087000</v>
      </c>
      <c r="AE4744" s="28">
        <v>19016540000</v>
      </c>
      <c r="AF4744" s="28">
        <v>6940058000</v>
      </c>
      <c r="AG4744" s="11"/>
    </row>
    <row r="4745">
      <c r="A4745" s="7" t="s">
        <v>6380</v>
      </c>
      <c r="B4745" s="5" t="s">
        <v>14333</v>
      </c>
      <c r="C4745" s="5" t="s">
        <v>22069</v>
      </c>
      <c r="D4745" s="5" t="str">
        <v>201404512393</v>
      </c>
      <c r="E4745" s="0" t="e">
        <f>+7 (937) 2761555</f>
        <v>#NAME?</v>
      </c>
      <c r="F4745" s="5"/>
      <c r="G4745" s="5"/>
      <c r="H4745" s="26">
        <v>2.5</v>
      </c>
      <c r="I4745" s="5" t="s">
        <v>39452</v>
      </c>
      <c r="J4745" s="5" t="s">
        <v>641</v>
      </c>
      <c r="K4745" s="5" t="s">
        <v>355</v>
      </c>
      <c r="L4745" s="5"/>
      <c r="M4745" s="27"/>
      <c r="N4745" s="5"/>
      <c r="O4745" s="5" t="str">
        <v>7806575159</v>
      </c>
      <c r="P4745" s="27">
        <v>10000</v>
      </c>
      <c r="Q4745" s="5"/>
      <c r="R4745" s="5"/>
      <c r="S4745" s="5" t="s">
        <v>49110</v>
      </c>
      <c r="T4745" s="28">
        <v>2865314000</v>
      </c>
      <c r="U4745" s="28">
        <v>1576215000</v>
      </c>
      <c r="V4745" s="28">
        <v>2309118000</v>
      </c>
      <c r="W4745" s="28"/>
      <c r="X4745" s="28">
        <v>1428056000</v>
      </c>
      <c r="Y4745" s="28">
        <v>11306529000</v>
      </c>
      <c r="Z4745" s="28">
        <v>3642818000</v>
      </c>
      <c r="AA4745" s="28">
        <v>2188430000</v>
      </c>
      <c r="AB4745" s="28">
        <v>1378242000</v>
      </c>
      <c r="AC4745" s="28">
        <v>3478547000</v>
      </c>
      <c r="AD4745" s="28">
        <v>3642828000</v>
      </c>
      <c r="AE4745" s="28">
        <v>9328196000</v>
      </c>
      <c r="AF4745" s="28">
        <v>3642818000</v>
      </c>
      <c r="AG4745" s="11"/>
    </row>
    <row r="4746">
      <c r="A4746" s="7" t="s">
        <v>6381</v>
      </c>
      <c r="B4746" s="5" t="s">
        <v>14334</v>
      </c>
      <c r="C4746" s="5" t="s">
        <v>22070</v>
      </c>
      <c r="D4746" s="5" t="str">
        <v>745301686676</v>
      </c>
      <c r="E4746" s="0" t="e">
        <f>+7 (351) 2647502
+7 (351) 2648664
+7 (3512) 105252
+7 (3512) 111200
+7 (3512) 130032
+7 (3512) 140040
+7 (3512) 140440
+7 (3512) 141074
+7 (3512) 141420
+7 (3512) 141440
+7 (3512) 141527
+7 (3512) 142022
+7 (3512) 142560
+7 (3512) 142640
+7 (3512) 142650</f>
        <v>#NAME?</v>
      </c>
      <c r="F4746" s="5" t="s">
        <v>39453</v>
      </c>
      <c r="G4746" s="5" t="s">
        <v>39454</v>
      </c>
      <c r="H4746" s="26">
        <v>31</v>
      </c>
      <c r="I4746" s="5" t="s">
        <v>39455</v>
      </c>
      <c r="J4746" s="5" t="s">
        <v>27944</v>
      </c>
      <c r="K4746" s="5" t="s">
        <v>344</v>
      </c>
      <c r="L4746" s="5"/>
      <c r="M4746" s="27">
        <v>266348721</v>
      </c>
      <c r="N4746" s="5" t="s">
        <v>56640</v>
      </c>
      <c r="O4746" s="5" t="str">
        <v>7421000440</v>
      </c>
      <c r="P4746" s="27">
        <v>82083000</v>
      </c>
      <c r="Q4746" s="5" t="s">
        <v>56641</v>
      </c>
      <c r="R4746" s="5"/>
      <c r="S4746" s="5" t="s">
        <v>49747</v>
      </c>
      <c r="T4746" s="28">
        <v>3568195000</v>
      </c>
      <c r="U4746" s="28">
        <v>6000</v>
      </c>
      <c r="V4746" s="28">
        <v>766783000</v>
      </c>
      <c r="W4746" s="28"/>
      <c r="X4746" s="28">
        <v>486936000</v>
      </c>
      <c r="Y4746" s="28">
        <v>6060767000</v>
      </c>
      <c r="Z4746" s="28">
        <v>2669834000</v>
      </c>
      <c r="AA4746" s="28">
        <v>600000000</v>
      </c>
      <c r="AB4746" s="28"/>
      <c r="AC4746" s="28">
        <v>1249513000</v>
      </c>
      <c r="AD4746" s="28">
        <v>4093223000</v>
      </c>
      <c r="AE4746" s="28">
        <v>4685834000</v>
      </c>
      <c r="AF4746" s="28">
        <v>8009000</v>
      </c>
      <c r="AG4746" s="11"/>
    </row>
    <row r="4747">
      <c r="A4747" s="7" t="s">
        <v>6382</v>
      </c>
      <c r="B4747" s="5" t="s">
        <v>14335</v>
      </c>
      <c r="C4747" s="5" t="s">
        <v>22071</v>
      </c>
      <c r="D4747" s="5" t="str">
        <v>602708340050</v>
      </c>
      <c r="E4747" s="0" t="e">
        <f>+7 (84643) 42287
+7 (84643) 42525
+7 (84643) 42725
+7 (84649) 99304
+7 (84649) 99363</f>
        <v>#NAME?</v>
      </c>
      <c r="F4747" s="5"/>
      <c r="G4747" s="5"/>
      <c r="H4747" s="26">
        <v>11</v>
      </c>
      <c r="I4747" s="5" t="s">
        <v>39456</v>
      </c>
      <c r="J4747" s="5" t="s">
        <v>28603</v>
      </c>
      <c r="K4747" s="5" t="s">
        <v>355</v>
      </c>
      <c r="L4747" s="5" t="s">
        <v>39457</v>
      </c>
      <c r="M4747" s="27"/>
      <c r="N4747" s="5"/>
      <c r="O4747" s="5" t="str">
        <v>6325009374</v>
      </c>
      <c r="P4747" s="27">
        <v>10000</v>
      </c>
      <c r="Q4747" s="5" t="s">
        <v>49134</v>
      </c>
      <c r="R4747" s="5"/>
      <c r="S4747" s="5" t="s">
        <v>56642</v>
      </c>
      <c r="T4747" s="28">
        <v>476888000</v>
      </c>
      <c r="U4747" s="28"/>
      <c r="V4747" s="28">
        <v>928968000</v>
      </c>
      <c r="W4747" s="28">
        <v>3200000</v>
      </c>
      <c r="X4747" s="28">
        <v>27623000</v>
      </c>
      <c r="Y4747" s="28">
        <v>1514033000</v>
      </c>
      <c r="Z4747" s="28">
        <v>146717000</v>
      </c>
      <c r="AA4747" s="28"/>
      <c r="AB4747" s="28">
        <v>160000000</v>
      </c>
      <c r="AC4747" s="28">
        <v>1065962000</v>
      </c>
      <c r="AD4747" s="28">
        <v>146727000</v>
      </c>
      <c r="AE4747" s="28">
        <v>6966149000</v>
      </c>
      <c r="AF4747" s="28">
        <v>125666000</v>
      </c>
      <c r="AG4747" s="11"/>
    </row>
    <row r="4748">
      <c r="A4748" s="7" t="s">
        <v>6383</v>
      </c>
      <c r="B4748" s="5" t="s">
        <v>14336</v>
      </c>
      <c r="C4748" s="5" t="s">
        <v>22072</v>
      </c>
      <c r="D4748" s="5" t="str">
        <v>732715589139</v>
      </c>
      <c r="E4748" s="0" t="e">
        <f>+7 (8422) 227575
+7 (967) 7166991
+7 (987) 6862123</f>
        <v>#NAME?</v>
      </c>
      <c r="F4748" s="5" t="s">
        <v>39458</v>
      </c>
      <c r="G4748" s="5"/>
      <c r="H4748" s="26">
        <v>2.5</v>
      </c>
      <c r="I4748" s="5" t="s">
        <v>39459</v>
      </c>
      <c r="J4748" s="5" t="s">
        <v>27522</v>
      </c>
      <c r="K4748" s="5" t="s">
        <v>344</v>
      </c>
      <c r="L4748" s="5" t="s">
        <v>39460</v>
      </c>
      <c r="M4748" s="27"/>
      <c r="N4748" s="5" t="s">
        <v>56643</v>
      </c>
      <c r="O4748" s="5" t="str">
        <v>7321013237</v>
      </c>
      <c r="P4748" s="27">
        <v>10000</v>
      </c>
      <c r="Q4748" s="5"/>
      <c r="R4748" s="5"/>
      <c r="S4748" s="5" t="s">
        <v>49110</v>
      </c>
      <c r="T4748" s="28">
        <v>4300000</v>
      </c>
      <c r="U4748" s="28"/>
      <c r="V4748" s="28">
        <v>3005296000</v>
      </c>
      <c r="W4748" s="28"/>
      <c r="X4748" s="28">
        <v>374178000</v>
      </c>
      <c r="Y4748" s="28">
        <v>4616190000</v>
      </c>
      <c r="Z4748" s="28"/>
      <c r="AA4748" s="28"/>
      <c r="AB4748" s="28"/>
      <c r="AC4748" s="28">
        <v>4587757000</v>
      </c>
      <c r="AD4748" s="28">
        <v>28433000</v>
      </c>
      <c r="AE4748" s="28">
        <v>3779010000</v>
      </c>
      <c r="AF4748" s="28">
        <v>12635000</v>
      </c>
      <c r="AG4748" s="11"/>
    </row>
    <row r="4749">
      <c r="A4749" s="7" t="s">
        <v>6384</v>
      </c>
      <c r="B4749" s="5" t="s">
        <v>14337</v>
      </c>
      <c r="C4749" s="5" t="s">
        <v>19028</v>
      </c>
      <c r="D4749" s="5" t="str">
        <v>110802622799</v>
      </c>
      <c r="E4749" s="0" t="e">
        <f>+7 (495) 7450162
+7 (495) 5269902
+7 (495) 7450161
+7 (495) 7450165
+7 (919) 1084785</f>
        <v>#NAME?</v>
      </c>
      <c r="F4749" s="5" t="s">
        <v>39461</v>
      </c>
      <c r="G4749" s="5" t="s">
        <v>39462</v>
      </c>
      <c r="H4749" s="26">
        <v>29.5</v>
      </c>
      <c r="I4749" s="5" t="s">
        <v>39463</v>
      </c>
      <c r="J4749" s="5" t="s">
        <v>27806</v>
      </c>
      <c r="K4749" s="5" t="s">
        <v>355</v>
      </c>
      <c r="L4749" s="5" t="s">
        <v>39464</v>
      </c>
      <c r="M4749" s="27">
        <v>55505130</v>
      </c>
      <c r="N4749" s="5"/>
      <c r="O4749" s="5" t="str">
        <v>7719091049</v>
      </c>
      <c r="P4749" s="27">
        <v>2823868</v>
      </c>
      <c r="Q4749" s="5" t="s">
        <v>49009</v>
      </c>
      <c r="R4749" s="5" t="s">
        <v>56644</v>
      </c>
      <c r="S4749" s="5" t="s">
        <v>56645</v>
      </c>
      <c r="T4749" s="28">
        <v>1047268000</v>
      </c>
      <c r="U4749" s="28"/>
      <c r="V4749" s="28">
        <v>2598480000</v>
      </c>
      <c r="W4749" s="28"/>
      <c r="X4749" s="28">
        <v>331061000</v>
      </c>
      <c r="Y4749" s="28">
        <v>6476057000</v>
      </c>
      <c r="Z4749" s="28">
        <v>1156943000</v>
      </c>
      <c r="AA4749" s="28"/>
      <c r="AB4749" s="28">
        <v>500000000</v>
      </c>
      <c r="AC4749" s="28">
        <v>3213192000</v>
      </c>
      <c r="AD4749" s="28">
        <v>1160190000</v>
      </c>
      <c r="AE4749" s="28">
        <v>5588634000</v>
      </c>
      <c r="AF4749" s="28">
        <v>585198000</v>
      </c>
      <c r="AG4749" s="11"/>
    </row>
    <row r="4750">
      <c r="A4750" s="7" t="s">
        <v>6385</v>
      </c>
      <c r="B4750" s="5" t="s">
        <v>14338</v>
      </c>
      <c r="C4750" s="5" t="s">
        <v>22073</v>
      </c>
      <c r="D4750" s="5"/>
      <c r="E4750" s="0" t="e">
        <f>+7 (499) 3508270
+7 (926) 963257
+7 (926) 5386944
+7 (967) 144948</f>
        <v>#NAME?</v>
      </c>
      <c r="F4750" s="5" t="s">
        <v>39465</v>
      </c>
      <c r="G4750" s="5"/>
      <c r="H4750" s="26">
        <v>12</v>
      </c>
      <c r="I4750" s="5"/>
      <c r="J4750" s="5" t="s">
        <v>39466</v>
      </c>
      <c r="K4750" s="5" t="s">
        <v>344</v>
      </c>
      <c r="L4750" s="5"/>
      <c r="M4750" s="27">
        <v>39318558</v>
      </c>
      <c r="N4750" s="5"/>
      <c r="O4750" s="5" t="str">
        <v>5074067030</v>
      </c>
      <c r="P4750" s="27">
        <v>10000</v>
      </c>
      <c r="Q4750" s="5" t="s">
        <v>49059</v>
      </c>
      <c r="R4750" s="5" t="s">
        <v>49979</v>
      </c>
      <c r="S4750" s="5" t="s">
        <v>49010</v>
      </c>
      <c r="T4750" s="28">
        <v>1528722000</v>
      </c>
      <c r="U4750" s="28">
        <v>51000</v>
      </c>
      <c r="V4750" s="28">
        <v>285417000</v>
      </c>
      <c r="W4750" s="28"/>
      <c r="X4750" s="28">
        <v>162712000</v>
      </c>
      <c r="Y4750" s="28">
        <v>2576343000</v>
      </c>
      <c r="Z4750" s="28">
        <v>139358000</v>
      </c>
      <c r="AA4750" s="28"/>
      <c r="AB4750" s="28"/>
      <c r="AC4750" s="28">
        <v>2378039000</v>
      </c>
      <c r="AD4750" s="28">
        <v>140243000</v>
      </c>
      <c r="AE4750" s="28">
        <v>21328670000</v>
      </c>
      <c r="AF4750" s="28">
        <v>567352000</v>
      </c>
      <c r="AG4750" s="11"/>
    </row>
    <row r="4751">
      <c r="A4751" s="7" t="s">
        <v>6386</v>
      </c>
      <c r="B4751" s="5" t="s">
        <v>14339</v>
      </c>
      <c r="C4751" s="5" t="s">
        <v>22074</v>
      </c>
      <c r="D4751" s="5" t="str">
        <v>602500028660</v>
      </c>
      <c r="E4751" s="0" t="e">
        <f>+7 (81153) 71674
+7 (81153) 71685
+7 (81153) 71910
+7 (81153) 71916
+7 (81153) 72733
+7 (81153) 73923
+7 (911) 3633040</f>
        <v>#NAME?</v>
      </c>
      <c r="F4751" s="5" t="s">
        <v>39467</v>
      </c>
      <c r="G4751" s="5" t="s">
        <v>39468</v>
      </c>
      <c r="H4751" s="26">
        <v>14</v>
      </c>
      <c r="I4751" s="5"/>
      <c r="J4751" s="5" t="s">
        <v>25612</v>
      </c>
      <c r="K4751" s="5" t="s">
        <v>344</v>
      </c>
      <c r="L4751" s="5" t="s">
        <v>39469</v>
      </c>
      <c r="M4751" s="27"/>
      <c r="N4751" s="5" t="s">
        <v>56647</v>
      </c>
      <c r="O4751" s="5" t="str">
        <v>7810550051</v>
      </c>
      <c r="P4751" s="27">
        <v>165801800</v>
      </c>
      <c r="Q4751" s="5" t="s">
        <v>56648</v>
      </c>
      <c r="R4751" s="5" t="s">
        <v>52794</v>
      </c>
      <c r="S4751" s="5" t="s">
        <v>49089</v>
      </c>
      <c r="T4751" s="28">
        <v>19590000</v>
      </c>
      <c r="U4751" s="28">
        <v>458233000</v>
      </c>
      <c r="V4751" s="28">
        <v>1717046000</v>
      </c>
      <c r="W4751" s="28">
        <v>131720000</v>
      </c>
      <c r="X4751" s="28">
        <v>755693000</v>
      </c>
      <c r="Y4751" s="28">
        <v>4122507000</v>
      </c>
      <c r="Z4751" s="28">
        <v>3354283000</v>
      </c>
      <c r="AA4751" s="28"/>
      <c r="AB4751" s="28"/>
      <c r="AC4751" s="28">
        <v>580048000</v>
      </c>
      <c r="AD4751" s="28">
        <v>3520795000</v>
      </c>
      <c r="AE4751" s="28">
        <v>6559021000</v>
      </c>
      <c r="AF4751" s="28">
        <v>1081054000</v>
      </c>
      <c r="AG4751" s="11"/>
    </row>
    <row r="4752">
      <c r="A4752" s="7" t="s">
        <v>6387</v>
      </c>
      <c r="B4752" s="5" t="s">
        <v>14340</v>
      </c>
      <c r="C4752" s="5" t="s">
        <v>22075</v>
      </c>
      <c r="D4752" s="5" t="str">
        <v>410201695952</v>
      </c>
      <c r="E4752" s="0" t="e">
        <f>+7 (382) 2907103
+7 (383) 2079944
+7 (495) 7440144
+7 (495) 7440187
+7 (800) 2340144
+7 (812) 6127712
+7 (831) 2888822
+7 (84630) 2111</f>
        <v>#NAME?</v>
      </c>
      <c r="F4752" s="5" t="s">
        <v>39470</v>
      </c>
      <c r="G4752" s="5" t="s">
        <v>39471</v>
      </c>
      <c r="H4752" s="26">
        <v>15.5</v>
      </c>
      <c r="I4752" s="5"/>
      <c r="J4752" s="5" t="s">
        <v>26459</v>
      </c>
      <c r="K4752" s="5" t="s">
        <v>344</v>
      </c>
      <c r="L4752" s="5"/>
      <c r="M4752" s="27"/>
      <c r="N4752" s="5" t="s">
        <v>56649</v>
      </c>
      <c r="O4752" s="5" t="str">
        <v>7718668887</v>
      </c>
      <c r="P4752" s="27">
        <v>30000000</v>
      </c>
      <c r="Q4752" s="5" t="s">
        <v>56650</v>
      </c>
      <c r="R4752" s="5"/>
      <c r="S4752" s="5" t="s">
        <v>56651</v>
      </c>
      <c r="T4752" s="28">
        <v>666482000</v>
      </c>
      <c r="U4752" s="28"/>
      <c r="V4752" s="28">
        <v>6867961000</v>
      </c>
      <c r="W4752" s="28">
        <v>205450000</v>
      </c>
      <c r="X4752" s="28">
        <v>2911362000</v>
      </c>
      <c r="Y4752" s="28">
        <v>13772067000</v>
      </c>
      <c r="Z4752" s="28">
        <v>4191919000</v>
      </c>
      <c r="AA4752" s="28">
        <v>2625000000</v>
      </c>
      <c r="AB4752" s="28">
        <v>1766448000</v>
      </c>
      <c r="AC4752" s="28">
        <v>6578452000</v>
      </c>
      <c r="AD4752" s="28">
        <v>4223419000</v>
      </c>
      <c r="AE4752" s="28">
        <v>12234197000</v>
      </c>
      <c r="AF4752" s="28">
        <v>4905323000</v>
      </c>
      <c r="AG4752" s="11"/>
    </row>
    <row r="4753">
      <c r="A4753" s="7" t="s">
        <v>6388</v>
      </c>
      <c r="B4753" s="5" t="s">
        <v>14341</v>
      </c>
      <c r="C4753" s="5" t="s">
        <v>22076</v>
      </c>
      <c r="D4753" s="5" t="str">
        <v>601800723840</v>
      </c>
      <c r="E4753" s="0" t="e">
        <f>+7 (863) 3101810
+7 (989) 6222572
+7 (989) 6310007
+7 (863) 3201810</f>
        <v>#NAME?</v>
      </c>
      <c r="F4753" s="5" t="s">
        <v>39472</v>
      </c>
      <c r="G4753" s="5" t="s">
        <v>39473</v>
      </c>
      <c r="H4753" s="26">
        <v>2</v>
      </c>
      <c r="I4753" s="5" t="s">
        <v>39474</v>
      </c>
      <c r="J4753" s="5" t="s">
        <v>26173</v>
      </c>
      <c r="K4753" s="5" t="s">
        <v>344</v>
      </c>
      <c r="L4753" s="5"/>
      <c r="M4753" s="27"/>
      <c r="N4753" s="5" t="s">
        <v>56652</v>
      </c>
      <c r="O4753" s="5" t="str">
        <v>6168113728</v>
      </c>
      <c r="P4753" s="27">
        <v>20000</v>
      </c>
      <c r="Q4753" s="5"/>
      <c r="R4753" s="5" t="s">
        <v>56653</v>
      </c>
      <c r="S4753" s="5" t="s">
        <v>49991</v>
      </c>
      <c r="T4753" s="28">
        <v>46067000</v>
      </c>
      <c r="U4753" s="28"/>
      <c r="V4753" s="28">
        <v>10460020000</v>
      </c>
      <c r="W4753" s="28"/>
      <c r="X4753" s="28">
        <v>5834715000</v>
      </c>
      <c r="Y4753" s="28">
        <v>16765563000</v>
      </c>
      <c r="Z4753" s="28">
        <v>480723000</v>
      </c>
      <c r="AA4753" s="28">
        <v>5000</v>
      </c>
      <c r="AB4753" s="28">
        <v>383000</v>
      </c>
      <c r="AC4753" s="28">
        <v>16284815000</v>
      </c>
      <c r="AD4753" s="28">
        <v>480743000</v>
      </c>
      <c r="AE4753" s="28">
        <v>20434716000</v>
      </c>
      <c r="AF4753" s="28">
        <v>476709000</v>
      </c>
      <c r="AG4753" s="11"/>
    </row>
    <row r="4754">
      <c r="A4754" s="7" t="s">
        <v>6389</v>
      </c>
      <c r="B4754" s="5" t="s">
        <v>14342</v>
      </c>
      <c r="C4754" s="5" t="s">
        <v>22077</v>
      </c>
      <c r="D4754" s="5" t="str">
        <v>550602700661</v>
      </c>
      <c r="E4754" s="0" t="e">
        <f>+7 (346) 2776665
+7 (346) 2776677
+7 (495) 6648133
+7 (800) 2005502
+7 (800) 2005503
+7 (800) 2200220
+7 (345) 2596368
+7 (346) 2776385
+7 (346) 2776420</f>
        <v>#NAME?</v>
      </c>
      <c r="F4754" s="5" t="s">
        <v>39475</v>
      </c>
      <c r="G4754" s="5"/>
      <c r="H4754" s="26">
        <v>30</v>
      </c>
      <c r="I4754" s="5" t="s">
        <v>39476</v>
      </c>
      <c r="J4754" s="5" t="s">
        <v>27802</v>
      </c>
      <c r="K4754" s="5" t="s">
        <v>344</v>
      </c>
      <c r="L4754" s="5"/>
      <c r="M4754" s="27">
        <v>243056110</v>
      </c>
      <c r="N4754" s="5" t="s">
        <v>56654</v>
      </c>
      <c r="O4754" s="5" t="str">
        <v>8602060185</v>
      </c>
      <c r="P4754" s="27">
        <v>27373895100</v>
      </c>
      <c r="Q4754" s="5" t="s">
        <v>56655</v>
      </c>
      <c r="R4754" s="5"/>
      <c r="S4754" s="5" t="s">
        <v>55973</v>
      </c>
      <c r="T4754" s="28">
        <v>106814206000</v>
      </c>
      <c r="U4754" s="28">
        <v>31241000</v>
      </c>
      <c r="V4754" s="28">
        <v>4385121000</v>
      </c>
      <c r="W4754" s="28">
        <v>13482000</v>
      </c>
      <c r="X4754" s="28">
        <v>6761728000</v>
      </c>
      <c r="Y4754" s="28">
        <v>121479487000</v>
      </c>
      <c r="Z4754" s="28">
        <v>61039110000</v>
      </c>
      <c r="AA4754" s="28">
        <v>1500000000</v>
      </c>
      <c r="AB4754" s="28"/>
      <c r="AC4754" s="28">
        <v>14946651000</v>
      </c>
      <c r="AD4754" s="28">
        <v>89577776000</v>
      </c>
      <c r="AE4754" s="28">
        <v>76339519000</v>
      </c>
      <c r="AF4754" s="28">
        <v>4919293000</v>
      </c>
      <c r="AG4754" s="11"/>
    </row>
    <row r="4755">
      <c r="A4755" s="7" t="s">
        <v>6390</v>
      </c>
      <c r="B4755" s="5" t="s">
        <v>14343</v>
      </c>
      <c r="C4755" s="5" t="s">
        <v>22078</v>
      </c>
      <c r="D4755" s="5" t="str">
        <v>142000856080</v>
      </c>
      <c r="E4755" s="0" t="e">
        <f>+7 (41154) 20191
+7 (41154) 21112</f>
        <v>#NAME?</v>
      </c>
      <c r="F4755" s="5" t="s">
        <v>39477</v>
      </c>
      <c r="G4755" s="5" t="s">
        <v>39478</v>
      </c>
      <c r="H4755" s="26">
        <v>9.5</v>
      </c>
      <c r="I4755" s="5"/>
      <c r="J4755" s="5" t="s">
        <v>26499</v>
      </c>
      <c r="K4755" s="5" t="s">
        <v>344</v>
      </c>
      <c r="L4755" s="5" t="s">
        <v>39479</v>
      </c>
      <c r="M4755" s="27"/>
      <c r="N4755" s="5"/>
      <c r="O4755" s="5" t="str">
        <v>1420005042</v>
      </c>
      <c r="P4755" s="27">
        <v>22430000</v>
      </c>
      <c r="Q4755" s="5" t="s">
        <v>49009</v>
      </c>
      <c r="R4755" s="5"/>
      <c r="S4755" s="5" t="s">
        <v>49545</v>
      </c>
      <c r="T4755" s="28">
        <v>1625164000</v>
      </c>
      <c r="U4755" s="28">
        <v>170393000</v>
      </c>
      <c r="V4755" s="28">
        <v>180653000</v>
      </c>
      <c r="W4755" s="28">
        <v>67743000</v>
      </c>
      <c r="X4755" s="28">
        <v>7134638000</v>
      </c>
      <c r="Y4755" s="28">
        <v>11715913000</v>
      </c>
      <c r="Z4755" s="28">
        <v>3238995000</v>
      </c>
      <c r="AA4755" s="28"/>
      <c r="AB4755" s="28"/>
      <c r="AC4755" s="28">
        <v>191516000</v>
      </c>
      <c r="AD4755" s="28">
        <v>11190019000</v>
      </c>
      <c r="AE4755" s="28">
        <v>5975791000</v>
      </c>
      <c r="AF4755" s="28">
        <v>1974905000</v>
      </c>
      <c r="AG4755" s="11"/>
    </row>
    <row r="4756">
      <c r="A4756" s="7" t="s">
        <v>6391</v>
      </c>
      <c r="B4756" s="5" t="s">
        <v>14344</v>
      </c>
      <c r="C4756" s="5" t="s">
        <v>22079</v>
      </c>
      <c r="D4756" s="5" t="str">
        <v>862100595316</v>
      </c>
      <c r="E4756" s="0" t="e">
        <f>+7 (34669) 37710
+7 (34669) 37730
+7 (34669) 38342
+7 (34669) 39952
+7 (34669) 39953</f>
        <v>#NAME?</v>
      </c>
      <c r="F4756" s="5" t="s">
        <v>39480</v>
      </c>
      <c r="G4756" s="5"/>
      <c r="H4756" s="26">
        <v>15</v>
      </c>
      <c r="I4756" s="5" t="s">
        <v>39481</v>
      </c>
      <c r="J4756" s="5" t="s">
        <v>866</v>
      </c>
      <c r="K4756" s="5" t="s">
        <v>344</v>
      </c>
      <c r="L4756" s="5" t="s">
        <v>39482</v>
      </c>
      <c r="M4756" s="27"/>
      <c r="N4756" s="5" t="s">
        <v>56656</v>
      </c>
      <c r="O4756" s="5" t="str">
        <v>8621005937</v>
      </c>
      <c r="P4756" s="27">
        <v>447893408</v>
      </c>
      <c r="Q4756" s="5" t="s">
        <v>56657</v>
      </c>
      <c r="R4756" s="5"/>
      <c r="S4756" s="5" t="s">
        <v>51433</v>
      </c>
      <c r="T4756" s="28">
        <v>928744000</v>
      </c>
      <c r="U4756" s="28"/>
      <c r="V4756" s="28">
        <v>584918000</v>
      </c>
      <c r="W4756" s="28"/>
      <c r="X4756" s="28">
        <v>362173000</v>
      </c>
      <c r="Y4756" s="28">
        <v>2093855000</v>
      </c>
      <c r="Z4756" s="28">
        <v>477718000</v>
      </c>
      <c r="AA4756" s="28"/>
      <c r="AB4756" s="28"/>
      <c r="AC4756" s="28">
        <v>707901000</v>
      </c>
      <c r="AD4756" s="28">
        <v>956800000</v>
      </c>
      <c r="AE4756" s="28">
        <v>3509085000</v>
      </c>
      <c r="AF4756" s="28">
        <v>532876000</v>
      </c>
      <c r="AG4756" s="11"/>
    </row>
    <row r="4757">
      <c r="A4757" s="7" t="s">
        <v>6392</v>
      </c>
      <c r="B4757" s="5" t="s">
        <v>14345</v>
      </c>
      <c r="C4757" s="5" t="s">
        <v>18009</v>
      </c>
      <c r="D4757" s="5"/>
      <c r="E4757" s="0" t="e">
        <f>+7 (416) 2338603
+7 (416) 2350606
+7 (416) 2350705
+7 (416) 2369448
+7 (416) 2390911
+7 (416) 2390973
+7 (416) 2394410
+7 (416) 2394412
+7 (416) 2394417
+7 (416) 2394428
+7 (416) 2394487
+7 (416) 2394497
+7 (41653) 91522
+7 (914) 5572551</f>
        <v>#NAME?</v>
      </c>
      <c r="F4757" s="5" t="s">
        <v>39483</v>
      </c>
      <c r="G4757" s="5"/>
      <c r="H4757" s="26">
        <v>28.5</v>
      </c>
      <c r="I4757" s="5"/>
      <c r="J4757" s="5" t="s">
        <v>26499</v>
      </c>
      <c r="K4757" s="5" t="s">
        <v>355</v>
      </c>
      <c r="L4757" s="5"/>
      <c r="M4757" s="27">
        <v>2580376</v>
      </c>
      <c r="N4757" s="5"/>
      <c r="O4757" s="5" t="str">
        <v>2818002192</v>
      </c>
      <c r="P4757" s="27">
        <v>181340670</v>
      </c>
      <c r="Q4757" s="5" t="s">
        <v>49009</v>
      </c>
      <c r="R4757" s="5"/>
      <c r="S4757" s="5" t="s">
        <v>49120</v>
      </c>
      <c r="T4757" s="28">
        <v>23689635000</v>
      </c>
      <c r="U4757" s="28">
        <v>341572000</v>
      </c>
      <c r="V4757" s="28">
        <v>10461949000</v>
      </c>
      <c r="W4757" s="28"/>
      <c r="X4757" s="28">
        <v>67857000</v>
      </c>
      <c r="Y4757" s="28">
        <v>51373837000</v>
      </c>
      <c r="Z4757" s="28">
        <v>37594575000</v>
      </c>
      <c r="AA4757" s="28">
        <v>53662000</v>
      </c>
      <c r="AB4757" s="28">
        <v>5699953000</v>
      </c>
      <c r="AC4757" s="28">
        <v>10008856000</v>
      </c>
      <c r="AD4757" s="28">
        <v>37811075000</v>
      </c>
      <c r="AE4757" s="28">
        <v>27304718000</v>
      </c>
      <c r="AF4757" s="28">
        <v>-4413647000</v>
      </c>
      <c r="AG4757" s="11"/>
    </row>
    <row r="4758">
      <c r="A4758" s="7" t="s">
        <v>6393</v>
      </c>
      <c r="B4758" s="5" t="s">
        <v>14346</v>
      </c>
      <c r="C4758" s="5" t="s">
        <v>22080</v>
      </c>
      <c r="D4758" s="5" t="str">
        <v>590407908365</v>
      </c>
      <c r="E4758" s="0" t="e">
        <f>+7 (342) 2458066
+7 (3422) 410712
+7 (3422) 455543
+7 (3422) 459436
+7 (3422) 813866
+7 (3422) 814105
+7 (3422) 814343
+7 (3422) 814657</f>
        <v>#NAME?</v>
      </c>
      <c r="F4758" s="5" t="s">
        <v>39484</v>
      </c>
      <c r="G4758" s="5"/>
      <c r="H4758" s="26">
        <v>28.5</v>
      </c>
      <c r="I4758" s="5"/>
      <c r="J4758" s="5" t="s">
        <v>27695</v>
      </c>
      <c r="K4758" s="5" t="s">
        <v>344</v>
      </c>
      <c r="L4758" s="5" t="s">
        <v>39485</v>
      </c>
      <c r="M4758" s="27"/>
      <c r="N4758" s="5" t="s">
        <v>56658</v>
      </c>
      <c r="O4758" s="5" t="str">
        <v>5904004368</v>
      </c>
      <c r="P4758" s="27">
        <v>4577100</v>
      </c>
      <c r="Q4758" s="5"/>
      <c r="R4758" s="5"/>
      <c r="S4758" s="5" t="s">
        <v>49425</v>
      </c>
      <c r="T4758" s="28">
        <v>2010072000</v>
      </c>
      <c r="U4758" s="28">
        <v>513251000</v>
      </c>
      <c r="V4758" s="28">
        <v>245625000</v>
      </c>
      <c r="W4758" s="28">
        <v>213250000</v>
      </c>
      <c r="X4758" s="28">
        <v>1519884000</v>
      </c>
      <c r="Y4758" s="28">
        <v>4830484000</v>
      </c>
      <c r="Z4758" s="28">
        <v>2941154000</v>
      </c>
      <c r="AA4758" s="28">
        <v>542720000</v>
      </c>
      <c r="AB4758" s="28">
        <v>909315000</v>
      </c>
      <c r="AC4758" s="28">
        <v>1220549000</v>
      </c>
      <c r="AD4758" s="28">
        <v>2957431000</v>
      </c>
      <c r="AE4758" s="28">
        <v>3551240000</v>
      </c>
      <c r="AF4758" s="28">
        <v>406502000</v>
      </c>
      <c r="AG4758" s="11"/>
    </row>
    <row r="4759">
      <c r="A4759" s="7" t="s">
        <v>6394</v>
      </c>
      <c r="B4759" s="5" t="s">
        <v>14347</v>
      </c>
      <c r="C4759" s="5" t="s">
        <v>22081</v>
      </c>
      <c r="D4759" s="5" t="str">
        <v>720306181846</v>
      </c>
      <c r="E4759" s="0" t="e">
        <f>+7 (345) 2412574
+7 (345) 2414180
+7 (345) 2414190
+7 (345) 2414280
+7 (345) 2419204
+7 (345) 2532300
+7 (345) 2616180</f>
        <v>#NAME?</v>
      </c>
      <c r="F4759" s="5" t="s">
        <v>39486</v>
      </c>
      <c r="G4759" s="5" t="s">
        <v>39487</v>
      </c>
      <c r="H4759" s="26">
        <v>17.5</v>
      </c>
      <c r="I4759" s="5" t="s">
        <v>39488</v>
      </c>
      <c r="J4759" s="5" t="s">
        <v>27416</v>
      </c>
      <c r="K4759" s="5" t="s">
        <v>355</v>
      </c>
      <c r="L4759" s="5" t="s">
        <v>39489</v>
      </c>
      <c r="M4759" s="27"/>
      <c r="N4759" s="5" t="s">
        <v>56659</v>
      </c>
      <c r="O4759" s="5" t="str">
        <v>7203168442</v>
      </c>
      <c r="P4759" s="27">
        <v>11510000</v>
      </c>
      <c r="Q4759" s="5" t="s">
        <v>49535</v>
      </c>
      <c r="R4759" s="5"/>
      <c r="S4759" s="5" t="s">
        <v>56660</v>
      </c>
      <c r="T4759" s="28">
        <v>115624000</v>
      </c>
      <c r="U4759" s="28"/>
      <c r="V4759" s="28">
        <v>993154000</v>
      </c>
      <c r="W4759" s="28">
        <v>25000000</v>
      </c>
      <c r="X4759" s="28">
        <v>4556000</v>
      </c>
      <c r="Y4759" s="28">
        <v>1705749000</v>
      </c>
      <c r="Z4759" s="28">
        <v>312313000</v>
      </c>
      <c r="AA4759" s="28"/>
      <c r="AB4759" s="28"/>
      <c r="AC4759" s="28">
        <v>1381709000</v>
      </c>
      <c r="AD4759" s="28">
        <v>323823000</v>
      </c>
      <c r="AE4759" s="28">
        <v>3591845000</v>
      </c>
      <c r="AF4759" s="28">
        <v>26794000</v>
      </c>
      <c r="AG4759" s="11"/>
    </row>
    <row r="4760">
      <c r="A4760" s="7" t="s">
        <v>6395</v>
      </c>
      <c r="B4760" s="5" t="s">
        <v>14348</v>
      </c>
      <c r="C4760" s="5" t="s">
        <v>22082</v>
      </c>
      <c r="D4760" s="5"/>
      <c r="E4760" s="0" t="e">
        <f>+7 (800) 2003130
+7 (836) 3140279
+7 (836) 3141285
+7 (836) 3141584
+7 (836) 3140775
+7 (83631) 41501
+7 (83631) 42806
+7 (83631) 42815
+7 (83631) 43002</f>
        <v>#NAME?</v>
      </c>
      <c r="F4760" s="5"/>
      <c r="G4760" s="5" t="s">
        <v>39490</v>
      </c>
      <c r="H4760" s="26">
        <v>18</v>
      </c>
      <c r="I4760" s="5" t="s">
        <v>39491</v>
      </c>
      <c r="J4760" s="5" t="s">
        <v>25612</v>
      </c>
      <c r="K4760" s="5" t="s">
        <v>344</v>
      </c>
      <c r="L4760" s="5" t="s">
        <v>39492</v>
      </c>
      <c r="M4760" s="27"/>
      <c r="N4760" s="5"/>
      <c r="O4760" s="5" t="str">
        <v>1216013815</v>
      </c>
      <c r="P4760" s="27">
        <v>10000</v>
      </c>
      <c r="Q4760" s="5" t="s">
        <v>49561</v>
      </c>
      <c r="R4760" s="5"/>
      <c r="S4760" s="5" t="s">
        <v>53622</v>
      </c>
      <c r="T4760" s="28"/>
      <c r="U4760" s="28"/>
      <c r="V4760" s="28">
        <v>412356000</v>
      </c>
      <c r="W4760" s="28">
        <v>10000000</v>
      </c>
      <c r="X4760" s="28">
        <v>32487000</v>
      </c>
      <c r="Y4760" s="28">
        <v>877223000</v>
      </c>
      <c r="Z4760" s="28">
        <v>519874000</v>
      </c>
      <c r="AA4760" s="28">
        <v>169600000</v>
      </c>
      <c r="AB4760" s="28">
        <v>10122000</v>
      </c>
      <c r="AC4760" s="28">
        <v>187739000</v>
      </c>
      <c r="AD4760" s="28">
        <v>519884000</v>
      </c>
      <c r="AE4760" s="28">
        <v>3881854000</v>
      </c>
      <c r="AF4760" s="28">
        <v>266687000</v>
      </c>
      <c r="AG4760" s="11"/>
    </row>
    <row r="4761">
      <c r="A4761" s="7" t="s">
        <v>6396</v>
      </c>
      <c r="B4761" s="5" t="s">
        <v>14349</v>
      </c>
      <c r="C4761" s="5" t="s">
        <v>22083</v>
      </c>
      <c r="D4761" s="5" t="str">
        <v>623100776793</v>
      </c>
      <c r="E4761" s="0" t="e">
        <f>+7 (495) 2601310
+7 (495) 9376407
+7 (800) 3013365
+7 (8362) 232506
+7 (909) 9289253
+7 (985) 7761423</f>
        <v>#NAME?</v>
      </c>
      <c r="F4761" s="5" t="s">
        <v>39493</v>
      </c>
      <c r="G4761" s="5" t="s">
        <v>39494</v>
      </c>
      <c r="H4761" s="26">
        <v>12.5</v>
      </c>
      <c r="I4761" s="5"/>
      <c r="J4761" s="5" t="s">
        <v>28323</v>
      </c>
      <c r="K4761" s="5" t="s">
        <v>344</v>
      </c>
      <c r="L4761" s="5" t="s">
        <v>39495</v>
      </c>
      <c r="M4761" s="27"/>
      <c r="N4761" s="5"/>
      <c r="O4761" s="5" t="str">
        <v>7703721898</v>
      </c>
      <c r="P4761" s="27">
        <v>10000000</v>
      </c>
      <c r="Q4761" s="5" t="s">
        <v>49009</v>
      </c>
      <c r="R4761" s="5" t="s">
        <v>56662</v>
      </c>
      <c r="S4761" s="5" t="s">
        <v>49066</v>
      </c>
      <c r="T4761" s="28">
        <v>1373187000</v>
      </c>
      <c r="U4761" s="28">
        <v>212389000</v>
      </c>
      <c r="V4761" s="28">
        <v>867985000</v>
      </c>
      <c r="W4761" s="28">
        <v>175876000</v>
      </c>
      <c r="X4761" s="28">
        <v>63351000</v>
      </c>
      <c r="Y4761" s="28">
        <v>3667641000</v>
      </c>
      <c r="Z4761" s="28">
        <v>679067000</v>
      </c>
      <c r="AA4761" s="28">
        <v>1741290000</v>
      </c>
      <c r="AB4761" s="28">
        <v>12463000</v>
      </c>
      <c r="AC4761" s="28">
        <v>892079000</v>
      </c>
      <c r="AD4761" s="28">
        <v>907699000</v>
      </c>
      <c r="AE4761" s="28">
        <v>5234864000</v>
      </c>
      <c r="AF4761" s="28">
        <v>169409000</v>
      </c>
      <c r="AG4761" s="11"/>
    </row>
    <row r="4762">
      <c r="A4762" s="7" t="s">
        <v>6397</v>
      </c>
      <c r="B4762" s="5" t="s">
        <v>14350</v>
      </c>
      <c r="C4762" s="5" t="s">
        <v>22084</v>
      </c>
      <c r="D4762" s="5" t="str">
        <v>770400074018</v>
      </c>
      <c r="E4762" s="0" t="e">
        <f>+7 (495) 6401525
+7 (925) 115242
+7 (48432) 23690</f>
        <v>#NAME?</v>
      </c>
      <c r="F4762" s="5" t="s">
        <v>39496</v>
      </c>
      <c r="G4762" s="5"/>
      <c r="H4762" s="26">
        <v>14</v>
      </c>
      <c r="I4762" s="5" t="s">
        <v>39497</v>
      </c>
      <c r="J4762" s="5" t="s">
        <v>30218</v>
      </c>
      <c r="K4762" s="5" t="s">
        <v>344</v>
      </c>
      <c r="L4762" s="5" t="s">
        <v>39498</v>
      </c>
      <c r="M4762" s="27"/>
      <c r="N4762" s="5"/>
      <c r="O4762" s="5" t="str">
        <v>5030064498</v>
      </c>
      <c r="P4762" s="27">
        <v>80265000</v>
      </c>
      <c r="Q4762" s="5" t="s">
        <v>49057</v>
      </c>
      <c r="R4762" s="5"/>
      <c r="S4762" s="5" t="s">
        <v>51171</v>
      </c>
      <c r="T4762" s="28">
        <v>725907000</v>
      </c>
      <c r="U4762" s="28"/>
      <c r="V4762" s="28">
        <v>1646066000</v>
      </c>
      <c r="W4762" s="28"/>
      <c r="X4762" s="28">
        <v>21126000</v>
      </c>
      <c r="Y4762" s="28">
        <v>4181432000</v>
      </c>
      <c r="Z4762" s="28">
        <v>2892086000</v>
      </c>
      <c r="AA4762" s="28"/>
      <c r="AB4762" s="28">
        <v>407746000</v>
      </c>
      <c r="AC4762" s="28">
        <v>1128816000</v>
      </c>
      <c r="AD4762" s="28">
        <v>2972351000</v>
      </c>
      <c r="AE4762" s="28">
        <v>7255403000</v>
      </c>
      <c r="AF4762" s="28">
        <v>602774000</v>
      </c>
      <c r="AG4762" s="11"/>
    </row>
    <row r="4763">
      <c r="A4763" s="7" t="s">
        <v>6398</v>
      </c>
      <c r="B4763" s="5" t="s">
        <v>14351</v>
      </c>
      <c r="C4763" s="5" t="s">
        <v>22085</v>
      </c>
      <c r="D4763" s="5" t="str">
        <v>246515800169</v>
      </c>
      <c r="E4763" s="0" t="e">
        <f>+7 (499) 5008805
+7 (499) 2905235
+7 (985) 1846176</f>
        <v>#NAME?</v>
      </c>
      <c r="F4763" s="5"/>
      <c r="G4763" s="5"/>
      <c r="H4763" s="26">
        <v>10.5</v>
      </c>
      <c r="I4763" s="5" t="s">
        <v>39499</v>
      </c>
      <c r="J4763" s="5" t="s">
        <v>25424</v>
      </c>
      <c r="K4763" s="5" t="s">
        <v>344</v>
      </c>
      <c r="L4763" s="5" t="s">
        <v>39500</v>
      </c>
      <c r="M4763" s="27"/>
      <c r="N4763" s="5"/>
      <c r="O4763" s="5" t="str">
        <v>7725773635</v>
      </c>
      <c r="P4763" s="27">
        <v>1000000</v>
      </c>
      <c r="Q4763" s="5" t="s">
        <v>56663</v>
      </c>
      <c r="R4763" s="5"/>
      <c r="S4763" s="5" t="s">
        <v>56664</v>
      </c>
      <c r="T4763" s="28">
        <v>23803000</v>
      </c>
      <c r="U4763" s="28"/>
      <c r="V4763" s="28">
        <v>1154193000</v>
      </c>
      <c r="W4763" s="28">
        <v>57050000</v>
      </c>
      <c r="X4763" s="28">
        <v>46325000</v>
      </c>
      <c r="Y4763" s="28">
        <v>1375324000</v>
      </c>
      <c r="Z4763" s="28">
        <v>539375000</v>
      </c>
      <c r="AA4763" s="28">
        <v>300000000</v>
      </c>
      <c r="AB4763" s="28">
        <v>101768000</v>
      </c>
      <c r="AC4763" s="28">
        <v>513874000</v>
      </c>
      <c r="AD4763" s="28">
        <v>540375000</v>
      </c>
      <c r="AE4763" s="28">
        <v>5502755000</v>
      </c>
      <c r="AF4763" s="28">
        <v>525060000</v>
      </c>
      <c r="AG4763" s="11"/>
    </row>
    <row r="4764">
      <c r="A4764" s="7" t="s">
        <v>6398</v>
      </c>
      <c r="B4764" s="5" t="s">
        <v>14352</v>
      </c>
      <c r="C4764" s="5" t="s">
        <v>22086</v>
      </c>
      <c r="D4764" s="5" t="str">
        <v>890200099476</v>
      </c>
      <c r="E4764" s="0" t="e">
        <f>+7 (912) 9185555
+7 (916) 1341517
+7 (349) 9254042
+7 (34992) 55301
+7 (34992) 55305
+7 (34992) 55306
+7 (34992) 55319
+7 (34992) 55430
+7 (922) 555039</f>
        <v>#NAME?</v>
      </c>
      <c r="F4764" s="5" t="s">
        <v>39501</v>
      </c>
      <c r="G4764" s="5" t="s">
        <v>39502</v>
      </c>
      <c r="H4764" s="26">
        <v>17.5</v>
      </c>
      <c r="I4764" s="5" t="s">
        <v>39503</v>
      </c>
      <c r="J4764" s="5" t="s">
        <v>599</v>
      </c>
      <c r="K4764" s="5" t="s">
        <v>344</v>
      </c>
      <c r="L4764" s="5" t="s">
        <v>39504</v>
      </c>
      <c r="M4764" s="27">
        <v>27553234</v>
      </c>
      <c r="N4764" s="5" t="s">
        <v>56665</v>
      </c>
      <c r="O4764" s="5" t="str">
        <v>8902011414</v>
      </c>
      <c r="P4764" s="27">
        <v>5000000</v>
      </c>
      <c r="Q4764" s="5" t="s">
        <v>56666</v>
      </c>
      <c r="R4764" s="5"/>
      <c r="S4764" s="5" t="s">
        <v>56667</v>
      </c>
      <c r="T4764" s="28">
        <v>299380000</v>
      </c>
      <c r="U4764" s="28"/>
      <c r="V4764" s="28">
        <v>589165000</v>
      </c>
      <c r="W4764" s="28">
        <v>83870000</v>
      </c>
      <c r="X4764" s="28">
        <v>178058000</v>
      </c>
      <c r="Y4764" s="28">
        <v>1353477000</v>
      </c>
      <c r="Z4764" s="28">
        <v>809150000</v>
      </c>
      <c r="AA4764" s="28"/>
      <c r="AB4764" s="28"/>
      <c r="AC4764" s="28">
        <v>448901000</v>
      </c>
      <c r="AD4764" s="28">
        <v>814150000</v>
      </c>
      <c r="AE4764" s="28">
        <v>4497292000</v>
      </c>
      <c r="AF4764" s="28">
        <v>299239000</v>
      </c>
      <c r="AG4764" s="11"/>
    </row>
    <row r="4765">
      <c r="A4765" s="7" t="s">
        <v>6399</v>
      </c>
      <c r="B4765" s="5" t="s">
        <v>14353</v>
      </c>
      <c r="C4765" s="5" t="s">
        <v>22087</v>
      </c>
      <c r="D4765" s="5" t="str">
        <v>502913097705</v>
      </c>
      <c r="E4765" s="0" t="e">
        <f>+7 (916) 568257
+7 (800) 2342277
+7 (903) 2782912</f>
        <v>#NAME?</v>
      </c>
      <c r="F4765" s="5" t="s">
        <v>39505</v>
      </c>
      <c r="G4765" s="5" t="s">
        <v>39506</v>
      </c>
      <c r="H4765" s="26">
        <v>8.5</v>
      </c>
      <c r="I4765" s="5" t="s">
        <v>39507</v>
      </c>
      <c r="J4765" s="5" t="s">
        <v>39508</v>
      </c>
      <c r="K4765" s="5" t="s">
        <v>344</v>
      </c>
      <c r="L4765" s="5" t="s">
        <v>39509</v>
      </c>
      <c r="M4765" s="27"/>
      <c r="N4765" s="5" t="s">
        <v>56668</v>
      </c>
      <c r="O4765" s="5" t="str">
        <v>5029188770</v>
      </c>
      <c r="P4765" s="27">
        <v>555555</v>
      </c>
      <c r="Q4765" s="5" t="s">
        <v>56670</v>
      </c>
      <c r="R4765" s="5"/>
      <c r="S4765" s="5" t="s">
        <v>56671</v>
      </c>
      <c r="T4765" s="28">
        <v>427133000</v>
      </c>
      <c r="U4765" s="28">
        <v>95996000</v>
      </c>
      <c r="V4765" s="28">
        <v>1248218000</v>
      </c>
      <c r="W4765" s="28"/>
      <c r="X4765" s="28">
        <v>252485000</v>
      </c>
      <c r="Y4765" s="28">
        <v>2450807000</v>
      </c>
      <c r="Z4765" s="28">
        <v>1186088000</v>
      </c>
      <c r="AA4765" s="28"/>
      <c r="AB4765" s="28"/>
      <c r="AC4765" s="28">
        <v>1121969000</v>
      </c>
      <c r="AD4765" s="28">
        <v>1186644000</v>
      </c>
      <c r="AE4765" s="28">
        <v>5215149000</v>
      </c>
      <c r="AF4765" s="28">
        <v>300099000</v>
      </c>
      <c r="AG4765" s="11"/>
    </row>
    <row r="4766">
      <c r="A4766" s="7" t="s">
        <v>6400</v>
      </c>
      <c r="B4766" s="5" t="s">
        <v>14354</v>
      </c>
      <c r="C4766" s="5" t="s">
        <v>22088</v>
      </c>
      <c r="D4766" s="5" t="str">
        <v>503412423156</v>
      </c>
      <c r="E4766" s="0" t="e">
        <f>+7 (3512) 450015
+7 (495) 1233233
+7 (49641) 10179
+7 (49641) 10290
+7 (49641) 10466
+7 (49641) 10672
+7 (49641) 15452
+7 (49641) 19000
+7 (49641) 19044
+7 (800) 2502200</f>
        <v>#NAME?</v>
      </c>
      <c r="F4766" s="5"/>
      <c r="G4766" s="5" t="s">
        <v>39510</v>
      </c>
      <c r="H4766" s="26">
        <v>16.5</v>
      </c>
      <c r="I4766" s="5" t="s">
        <v>39511</v>
      </c>
      <c r="J4766" s="5" t="s">
        <v>28075</v>
      </c>
      <c r="K4766" s="5" t="s">
        <v>344</v>
      </c>
      <c r="L4766" s="5" t="s">
        <v>39512</v>
      </c>
      <c r="M4766" s="27"/>
      <c r="N4766" s="5" t="s">
        <v>56672</v>
      </c>
      <c r="O4766" s="5" t="str">
        <v>5034026060</v>
      </c>
      <c r="P4766" s="27">
        <v>1000000</v>
      </c>
      <c r="Q4766" s="5"/>
      <c r="R4766" s="5"/>
      <c r="S4766" s="5" t="s">
        <v>49399</v>
      </c>
      <c r="T4766" s="28">
        <v>447229000</v>
      </c>
      <c r="U4766" s="28"/>
      <c r="V4766" s="28">
        <v>219253000</v>
      </c>
      <c r="W4766" s="28"/>
      <c r="X4766" s="28">
        <v>968556000</v>
      </c>
      <c r="Y4766" s="28">
        <v>2165501000</v>
      </c>
      <c r="Z4766" s="28">
        <v>797885000</v>
      </c>
      <c r="AA4766" s="28">
        <v>139925000</v>
      </c>
      <c r="AB4766" s="28">
        <v>43754000</v>
      </c>
      <c r="AC4766" s="28">
        <v>1160668000</v>
      </c>
      <c r="AD4766" s="28">
        <v>798885000</v>
      </c>
      <c r="AE4766" s="28">
        <v>3663256000</v>
      </c>
      <c r="AF4766" s="28">
        <v>321419000</v>
      </c>
      <c r="AG4766" s="11"/>
    </row>
    <row r="4767">
      <c r="A4767" s="7" t="s">
        <v>6401</v>
      </c>
      <c r="B4767" s="5" t="s">
        <v>12409</v>
      </c>
      <c r="C4767" s="5" t="s">
        <v>20240</v>
      </c>
      <c r="D4767" s="5"/>
      <c r="E4767" s="0" t="e">
        <f>+7 (4725) 224768
+7 (4725) 225469
+7 (4725) 378455
+7 (4725) 427334
+7 (4725) 461374</f>
        <v>#NAME?</v>
      </c>
      <c r="F4767" s="5" t="s">
        <v>39513</v>
      </c>
      <c r="G4767" s="5"/>
      <c r="H4767" s="26">
        <v>12</v>
      </c>
      <c r="I4767" s="5" t="s">
        <v>39514</v>
      </c>
      <c r="J4767" s="5" t="s">
        <v>30108</v>
      </c>
      <c r="K4767" s="5" t="s">
        <v>344</v>
      </c>
      <c r="L4767" s="5" t="s">
        <v>39515</v>
      </c>
      <c r="M4767" s="27">
        <v>929500</v>
      </c>
      <c r="N4767" s="5"/>
      <c r="O4767" s="5" t="str">
        <v>3128081721</v>
      </c>
      <c r="P4767" s="27">
        <v>1000000</v>
      </c>
      <c r="Q4767" s="5"/>
      <c r="R4767" s="5"/>
      <c r="S4767" s="5" t="s">
        <v>49029</v>
      </c>
      <c r="T4767" s="28">
        <v>595094000</v>
      </c>
      <c r="U4767" s="28"/>
      <c r="V4767" s="28">
        <v>1489751000</v>
      </c>
      <c r="W4767" s="28"/>
      <c r="X4767" s="28">
        <v>15465000</v>
      </c>
      <c r="Y4767" s="28">
        <v>2845385000</v>
      </c>
      <c r="Z4767" s="28">
        <v>745628000</v>
      </c>
      <c r="AA4767" s="28">
        <v>236700000</v>
      </c>
      <c r="AB4767" s="28">
        <v>1473000</v>
      </c>
      <c r="AC4767" s="28">
        <v>1096918000</v>
      </c>
      <c r="AD4767" s="28">
        <v>746628000</v>
      </c>
      <c r="AE4767" s="28">
        <v>4830142000</v>
      </c>
      <c r="AF4767" s="28">
        <v>354608000</v>
      </c>
      <c r="AG4767" s="11"/>
    </row>
    <row r="4768">
      <c r="A4768" s="7" t="s">
        <v>6402</v>
      </c>
      <c r="B4768" s="5" t="s">
        <v>14355</v>
      </c>
      <c r="C4768" s="5" t="s">
        <v>22089</v>
      </c>
      <c r="D4768" s="5" t="str">
        <v>631918460506</v>
      </c>
      <c r="E4768" s="0" t="e">
        <f>+7 (812) 3347765
+7 (812) 3347767
+7 (812) 3348808
+7 (812) 4480328
+7 (812) 3347707
+7 (812) 3347720
+7 (812) 3347721
+7 (812) 4480324
+7 (985) 7694670</f>
        <v>#NAME?</v>
      </c>
      <c r="F4768" s="5"/>
      <c r="G4768" s="5" t="s">
        <v>39516</v>
      </c>
      <c r="H4768" s="26">
        <v>20.5</v>
      </c>
      <c r="I4768" s="5" t="s">
        <v>39517</v>
      </c>
      <c r="J4768" s="5" t="s">
        <v>678</v>
      </c>
      <c r="K4768" s="5" t="s">
        <v>344</v>
      </c>
      <c r="L4768" s="5" t="s">
        <v>39518</v>
      </c>
      <c r="M4768" s="27"/>
      <c r="N4768" s="5" t="s">
        <v>56673</v>
      </c>
      <c r="O4768" s="5" t="str">
        <v>7801219326</v>
      </c>
      <c r="P4768" s="27">
        <v>242970947</v>
      </c>
      <c r="Q4768" s="5"/>
      <c r="R4768" s="5"/>
      <c r="S4768" s="5" t="s">
        <v>56674</v>
      </c>
      <c r="T4768" s="28">
        <v>5689000</v>
      </c>
      <c r="U4768" s="28">
        <v>75680000</v>
      </c>
      <c r="V4768" s="28">
        <v>794727000</v>
      </c>
      <c r="W4768" s="28">
        <v>14068000</v>
      </c>
      <c r="X4768" s="28">
        <v>633313000</v>
      </c>
      <c r="Y4768" s="28">
        <v>2069156000</v>
      </c>
      <c r="Z4768" s="28">
        <v>763589000</v>
      </c>
      <c r="AA4768" s="28">
        <v>269541000</v>
      </c>
      <c r="AB4768" s="28">
        <v>45763000</v>
      </c>
      <c r="AC4768" s="28">
        <v>792279000</v>
      </c>
      <c r="AD4768" s="28">
        <v>1006562000</v>
      </c>
      <c r="AE4768" s="28">
        <v>7145727000</v>
      </c>
      <c r="AF4768" s="28">
        <v>545402000</v>
      </c>
      <c r="AG4768" s="11"/>
    </row>
    <row r="4769">
      <c r="A4769" s="7" t="s">
        <v>6403</v>
      </c>
      <c r="B4769" s="5" t="s">
        <v>14356</v>
      </c>
      <c r="C4769" s="5" t="s">
        <v>22090</v>
      </c>
      <c r="D4769" s="5" t="str">
        <v>773603437304</v>
      </c>
      <c r="E4769" s="0" t="e">
        <f>+7 (484) 2549295
+7 (484) 2714400
+7 (484) 2714514
+7 (495) 9601034
+7 (495) 9611030
+7 (495) 9611031
+7 (495) 9611034
+7 (800) 2000070
+7 (812) 3273322
+7 (912) 6297770
+7 (914) 5486205
+7 (915) 3646041
+7 (916) 6213618
+7 (916) 6213787
+7 (917) 5698198</f>
        <v>#NAME?</v>
      </c>
      <c r="F4769" s="5" t="s">
        <v>39519</v>
      </c>
      <c r="G4769" s="5" t="s">
        <v>39520</v>
      </c>
      <c r="H4769" s="26">
        <v>24.5</v>
      </c>
      <c r="I4769" s="5"/>
      <c r="J4769" s="5" t="s">
        <v>423</v>
      </c>
      <c r="K4769" s="5" t="s">
        <v>344</v>
      </c>
      <c r="L4769" s="5" t="s">
        <v>39521</v>
      </c>
      <c r="M4769" s="27">
        <v>105025711</v>
      </c>
      <c r="N4769" s="5" t="s">
        <v>56675</v>
      </c>
      <c r="O4769" s="5" t="str">
        <v>5032048798</v>
      </c>
      <c r="P4769" s="27">
        <v>168600000</v>
      </c>
      <c r="Q4769" s="5" t="s">
        <v>56676</v>
      </c>
      <c r="R4769" s="5"/>
      <c r="S4769" s="5" t="s">
        <v>51738</v>
      </c>
      <c r="T4769" s="28">
        <v>2993535000</v>
      </c>
      <c r="U4769" s="28">
        <v>7702162000</v>
      </c>
      <c r="V4769" s="28">
        <v>120652000</v>
      </c>
      <c r="W4769" s="28">
        <v>2999995000</v>
      </c>
      <c r="X4769" s="28">
        <v>10483385000</v>
      </c>
      <c r="Y4769" s="28">
        <v>25194220000</v>
      </c>
      <c r="Z4769" s="28">
        <v>9099916000</v>
      </c>
      <c r="AA4769" s="28">
        <v>7725267000</v>
      </c>
      <c r="AB4769" s="28">
        <v>113483000</v>
      </c>
      <c r="AC4769" s="28">
        <v>7079782000</v>
      </c>
      <c r="AD4769" s="28">
        <v>10293806000</v>
      </c>
      <c r="AE4769" s="28">
        <v>23766787000</v>
      </c>
      <c r="AF4769" s="28">
        <v>2167131000</v>
      </c>
      <c r="AG4769" s="11"/>
    </row>
    <row r="4770">
      <c r="A4770" s="7" t="s">
        <v>6404</v>
      </c>
      <c r="B4770" s="5" t="s">
        <v>14357</v>
      </c>
      <c r="C4770" s="5" t="s">
        <v>22091</v>
      </c>
      <c r="D4770" s="5" t="str">
        <v>590702070070</v>
      </c>
      <c r="E4770" s="0" t="e">
        <f>+7 (342) 2182723</f>
        <v>#NAME?</v>
      </c>
      <c r="F4770" s="5" t="s">
        <v>39522</v>
      </c>
      <c r="G4770" s="5"/>
      <c r="H4770" s="26">
        <v>16</v>
      </c>
      <c r="I4770" s="5" t="s">
        <v>39523</v>
      </c>
      <c r="J4770" s="5" t="s">
        <v>25512</v>
      </c>
      <c r="K4770" s="5" t="s">
        <v>344</v>
      </c>
      <c r="L4770" s="5" t="s">
        <v>38586</v>
      </c>
      <c r="M4770" s="27"/>
      <c r="N4770" s="5"/>
      <c r="O4770" s="5" t="str">
        <v>5904153874</v>
      </c>
      <c r="P4770" s="27">
        <v>10000</v>
      </c>
      <c r="Q4770" s="5"/>
      <c r="R4770" s="5"/>
      <c r="S4770" s="5" t="s">
        <v>49110</v>
      </c>
      <c r="T4770" s="28"/>
      <c r="U4770" s="28"/>
      <c r="V4770" s="28">
        <v>2332416000</v>
      </c>
      <c r="W4770" s="28"/>
      <c r="X4770" s="28">
        <v>1371248000</v>
      </c>
      <c r="Y4770" s="28">
        <v>3766604000</v>
      </c>
      <c r="Z4770" s="28">
        <v>1873224000</v>
      </c>
      <c r="AA4770" s="28"/>
      <c r="AB4770" s="28"/>
      <c r="AC4770" s="28">
        <v>1893370000</v>
      </c>
      <c r="AD4770" s="28">
        <v>1873234000</v>
      </c>
      <c r="AE4770" s="28">
        <v>3892333000</v>
      </c>
      <c r="AF4770" s="28">
        <v>353282000</v>
      </c>
      <c r="AG4770" s="11"/>
    </row>
    <row r="4771">
      <c r="A4771" s="7" t="s">
        <v>6404</v>
      </c>
      <c r="B4771" s="5" t="s">
        <v>14358</v>
      </c>
      <c r="C4771" s="5" t="s">
        <v>22092</v>
      </c>
      <c r="D4771" s="5" t="str">
        <v>672400452077</v>
      </c>
      <c r="E4771" s="0" t="e">
        <f>+7 (48153) 31666
+7 (48153) 32313
+7 (48153) 33971
+7 (48153) 70697
+7 (48153) 71976
+7 (48153) 77330
+7 (48153) 77444</f>
        <v>#NAME?</v>
      </c>
      <c r="F4771" s="5" t="s">
        <v>39524</v>
      </c>
      <c r="G4771" s="5" t="s">
        <v>39525</v>
      </c>
      <c r="H4771" s="26">
        <v>29.5</v>
      </c>
      <c r="I4771" s="5" t="s">
        <v>39526</v>
      </c>
      <c r="J4771" s="5" t="s">
        <v>28075</v>
      </c>
      <c r="K4771" s="5" t="s">
        <v>344</v>
      </c>
      <c r="L4771" s="5" t="s">
        <v>29092</v>
      </c>
      <c r="M4771" s="27"/>
      <c r="N4771" s="5"/>
      <c r="O4771" s="5" t="str">
        <v>6724001017</v>
      </c>
      <c r="P4771" s="27">
        <v>185240000</v>
      </c>
      <c r="Q4771" s="5" t="s">
        <v>56677</v>
      </c>
      <c r="R4771" s="5"/>
      <c r="S4771" s="5" t="s">
        <v>49487</v>
      </c>
      <c r="T4771" s="28">
        <v>1746338000</v>
      </c>
      <c r="U4771" s="28"/>
      <c r="V4771" s="28">
        <v>1327836000</v>
      </c>
      <c r="W4771" s="28"/>
      <c r="X4771" s="28">
        <v>29212000</v>
      </c>
      <c r="Y4771" s="28">
        <v>4066611000</v>
      </c>
      <c r="Z4771" s="28">
        <v>2741488000</v>
      </c>
      <c r="AA4771" s="28">
        <v>754204000</v>
      </c>
      <c r="AB4771" s="28"/>
      <c r="AC4771" s="28">
        <v>203700000</v>
      </c>
      <c r="AD4771" s="28">
        <v>2996788000</v>
      </c>
      <c r="AE4771" s="28">
        <v>11880910000</v>
      </c>
      <c r="AF4771" s="28">
        <v>904379000</v>
      </c>
      <c r="AG4771" s="11"/>
    </row>
    <row r="4772">
      <c r="A4772" s="7" t="s">
        <v>6405</v>
      </c>
      <c r="B4772" s="5" t="s">
        <v>14359</v>
      </c>
      <c r="C4772" s="5" t="s">
        <v>21048</v>
      </c>
      <c r="D4772" s="5"/>
      <c r="E4772" s="0" t="e">
        <f>+7 (471) 3425021
+7 (910) 2123343
+7 (919) 2719120
+7 (951) 804224</f>
        <v>#NAME?</v>
      </c>
      <c r="F4772" s="5" t="s">
        <v>39527</v>
      </c>
      <c r="G4772" s="5"/>
      <c r="H4772" s="26">
        <v>12.5</v>
      </c>
      <c r="I4772" s="5" t="s">
        <v>39528</v>
      </c>
      <c r="J4772" s="5" t="s">
        <v>725</v>
      </c>
      <c r="K4772" s="5" t="s">
        <v>355</v>
      </c>
      <c r="L4772" s="5" t="s">
        <v>39529</v>
      </c>
      <c r="M4772" s="27">
        <v>24316</v>
      </c>
      <c r="N4772" s="5"/>
      <c r="O4772" s="5" t="str">
        <v>4619004632</v>
      </c>
      <c r="P4772" s="27">
        <v>441900000</v>
      </c>
      <c r="Q4772" s="5"/>
      <c r="R4772" s="5"/>
      <c r="S4772" s="5" t="s">
        <v>49029</v>
      </c>
      <c r="T4772" s="28">
        <v>2997624000</v>
      </c>
      <c r="U4772" s="28"/>
      <c r="V4772" s="28">
        <v>8827597000</v>
      </c>
      <c r="W4772" s="28"/>
      <c r="X4772" s="28">
        <v>2504000</v>
      </c>
      <c r="Y4772" s="28">
        <v>14976146000</v>
      </c>
      <c r="Z4772" s="28">
        <v>11239969000</v>
      </c>
      <c r="AA4772" s="28">
        <v>85279000</v>
      </c>
      <c r="AB4772" s="28">
        <v>1784913000</v>
      </c>
      <c r="AC4772" s="28">
        <v>3117061000</v>
      </c>
      <c r="AD4772" s="28">
        <v>11681869000</v>
      </c>
      <c r="AE4772" s="28">
        <v>6444564000</v>
      </c>
      <c r="AF4772" s="28">
        <v>2179481000</v>
      </c>
      <c r="AG4772" s="11"/>
    </row>
    <row r="4773">
      <c r="A4773" s="7" t="s">
        <v>6406</v>
      </c>
      <c r="B4773" s="5" t="s">
        <v>14360</v>
      </c>
      <c r="C4773" s="5" t="s">
        <v>22093</v>
      </c>
      <c r="D4773" s="5" t="str">
        <v>231509621575</v>
      </c>
      <c r="E4773" s="0" t="e">
        <f>+7 (4912) 240709
+7 (4912) 776904
+7 (495) 1059018
+7 (910) 6419349
+7 (910) 9079080</f>
        <v>#NAME?</v>
      </c>
      <c r="F4773" s="5" t="s">
        <v>39530</v>
      </c>
      <c r="G4773" s="5" t="s">
        <v>39531</v>
      </c>
      <c r="H4773" s="26">
        <v>8.5</v>
      </c>
      <c r="I4773" s="5" t="s">
        <v>39532</v>
      </c>
      <c r="J4773" s="5" t="s">
        <v>39533</v>
      </c>
      <c r="K4773" s="5" t="s">
        <v>355</v>
      </c>
      <c r="L4773" s="5" t="s">
        <v>39534</v>
      </c>
      <c r="M4773" s="27"/>
      <c r="N4773" s="5" t="s">
        <v>56678</v>
      </c>
      <c r="O4773" s="5" t="str">
        <v>6230085401</v>
      </c>
      <c r="P4773" s="27">
        <v>10000</v>
      </c>
      <c r="Q4773" s="5" t="s">
        <v>49021</v>
      </c>
      <c r="R4773" s="5"/>
      <c r="S4773" s="5" t="s">
        <v>56679</v>
      </c>
      <c r="T4773" s="28">
        <v>950240000</v>
      </c>
      <c r="U4773" s="28">
        <v>10005000</v>
      </c>
      <c r="V4773" s="28">
        <v>4711332000</v>
      </c>
      <c r="W4773" s="28"/>
      <c r="X4773" s="28">
        <v>842000</v>
      </c>
      <c r="Y4773" s="28">
        <v>7252161000</v>
      </c>
      <c r="Z4773" s="28">
        <v>645254000</v>
      </c>
      <c r="AA4773" s="28">
        <v>264508000</v>
      </c>
      <c r="AB4773" s="28">
        <v>2116711000</v>
      </c>
      <c r="AC4773" s="28">
        <v>6318941000</v>
      </c>
      <c r="AD4773" s="28">
        <v>645264000</v>
      </c>
      <c r="AE4773" s="28">
        <v>7416488000</v>
      </c>
      <c r="AF4773" s="28">
        <v>166603000</v>
      </c>
      <c r="AG4773" s="11"/>
    </row>
    <row r="4774">
      <c r="A4774" s="7" t="s">
        <v>6407</v>
      </c>
      <c r="B4774" s="5" t="s">
        <v>14361</v>
      </c>
      <c r="C4774" s="5" t="s">
        <v>22094</v>
      </c>
      <c r="D4774" s="5" t="str">
        <v>780212635468</v>
      </c>
      <c r="E4774" s="0" t="e">
        <f>+7 (812) 2326907
+7 (812) 2327311
+7 (812) 2327438
+7 (812) 2328610
+7 (812) 2332779
+7 (812) 2333557
+7 (812) 2338274
+7 (812) 2338707
+7 (812) 3254272</f>
        <v>#NAME?</v>
      </c>
      <c r="F4774" s="5" t="s">
        <v>39535</v>
      </c>
      <c r="G4774" s="5"/>
      <c r="H4774" s="26">
        <v>18</v>
      </c>
      <c r="I4774" s="5" t="s">
        <v>39536</v>
      </c>
      <c r="J4774" s="5" t="s">
        <v>31123</v>
      </c>
      <c r="K4774" s="5" t="s">
        <v>344</v>
      </c>
      <c r="L4774" s="5" t="s">
        <v>39537</v>
      </c>
      <c r="M4774" s="27"/>
      <c r="N4774" s="5" t="s">
        <v>56680</v>
      </c>
      <c r="O4774" s="5" t="str">
        <v>7838312071</v>
      </c>
      <c r="P4774" s="27">
        <v>42042000</v>
      </c>
      <c r="Q4774" s="5"/>
      <c r="R4774" s="5"/>
      <c r="S4774" s="5" t="s">
        <v>49110</v>
      </c>
      <c r="T4774" s="28">
        <v>379000</v>
      </c>
      <c r="U4774" s="28">
        <v>2875000</v>
      </c>
      <c r="V4774" s="28">
        <v>623937000</v>
      </c>
      <c r="W4774" s="28">
        <v>2200000</v>
      </c>
      <c r="X4774" s="28">
        <v>167404000</v>
      </c>
      <c r="Y4774" s="28">
        <v>942803000</v>
      </c>
      <c r="Z4774" s="28">
        <v>591084000</v>
      </c>
      <c r="AA4774" s="28"/>
      <c r="AB4774" s="28"/>
      <c r="AC4774" s="28">
        <v>309677000</v>
      </c>
      <c r="AD4774" s="28">
        <v>633126000</v>
      </c>
      <c r="AE4774" s="28">
        <v>6448967000</v>
      </c>
      <c r="AF4774" s="28">
        <v>69080000</v>
      </c>
      <c r="AG4774" s="11"/>
    </row>
    <row r="4775">
      <c r="A4775" s="7" t="s">
        <v>6408</v>
      </c>
      <c r="B4775" s="5" t="s">
        <v>14362</v>
      </c>
      <c r="C4775" s="5" t="s">
        <v>22095</v>
      </c>
      <c r="D4775" s="5" t="str">
        <v>667012057672</v>
      </c>
      <c r="E4775" s="0" t="e">
        <f>+7 (922) 2196633
+7 (343) 2957306</f>
        <v>#NAME?</v>
      </c>
      <c r="F4775" s="5" t="s">
        <v>39538</v>
      </c>
      <c r="G4775" s="5"/>
      <c r="H4775" s="26">
        <v>17.5</v>
      </c>
      <c r="I4775" s="5" t="s">
        <v>39539</v>
      </c>
      <c r="J4775" s="5" t="s">
        <v>364</v>
      </c>
      <c r="K4775" s="5" t="s">
        <v>344</v>
      </c>
      <c r="L4775" s="5" t="s">
        <v>39540</v>
      </c>
      <c r="M4775" s="27">
        <v>10021391</v>
      </c>
      <c r="N4775" s="5"/>
      <c r="O4775" s="5" t="str">
        <v>6674162390</v>
      </c>
      <c r="P4775" s="27">
        <v>10000000</v>
      </c>
      <c r="Q4775" s="5"/>
      <c r="R4775" s="5"/>
      <c r="S4775" s="5" t="s">
        <v>49110</v>
      </c>
      <c r="T4775" s="28">
        <v>253690000</v>
      </c>
      <c r="U4775" s="28"/>
      <c r="V4775" s="28">
        <v>1294727000</v>
      </c>
      <c r="W4775" s="28"/>
      <c r="X4775" s="28">
        <v>42525000</v>
      </c>
      <c r="Y4775" s="28">
        <v>2009224000</v>
      </c>
      <c r="Z4775" s="28">
        <v>148361000</v>
      </c>
      <c r="AA4775" s="28"/>
      <c r="AB4775" s="28"/>
      <c r="AC4775" s="28">
        <v>551598000</v>
      </c>
      <c r="AD4775" s="28">
        <v>158361000</v>
      </c>
      <c r="AE4775" s="28">
        <v>3290753000</v>
      </c>
      <c r="AF4775" s="28">
        <v>136513000</v>
      </c>
      <c r="AG4775" s="11"/>
    </row>
    <row r="4776">
      <c r="A4776" s="7" t="s">
        <v>6409</v>
      </c>
      <c r="B4776" s="5" t="s">
        <v>14363</v>
      </c>
      <c r="C4776" s="5" t="s">
        <v>22096</v>
      </c>
      <c r="D4776" s="5" t="str">
        <v>450108677672</v>
      </c>
      <c r="E4776" s="0" t="e">
        <f>+7 (800) 2200220
+7 (800) 2202220
+7 (812) 3134266
+7 (812) 3167900
+7 (812) 3220308
+7 (812) 3318795
+7 (812) 3851688
+7 (812) 3851695
+7 (812) 4943065
+7 (812) 4943090
+7 (812) 4943095
+7 (812) 4943171
+7 (812) 4943254
+7 (812) 4943280
+7 (812) 4943292</f>
        <v>#NAME?</v>
      </c>
      <c r="F4776" s="5" t="s">
        <v>39541</v>
      </c>
      <c r="G4776" s="5"/>
      <c r="H4776" s="26">
        <v>30</v>
      </c>
      <c r="I4776" s="5"/>
      <c r="J4776" s="5" t="s">
        <v>27802</v>
      </c>
      <c r="K4776" s="5" t="s">
        <v>344</v>
      </c>
      <c r="L4776" s="5"/>
      <c r="M4776" s="27">
        <v>3005877570</v>
      </c>
      <c r="N4776" s="5" t="s">
        <v>56681</v>
      </c>
      <c r="O4776" s="5" t="str">
        <v>7803002209</v>
      </c>
      <c r="P4776" s="27">
        <v>8617049631</v>
      </c>
      <c r="Q4776" s="5" t="s">
        <v>56682</v>
      </c>
      <c r="R4776" s="5" t="s">
        <v>56683</v>
      </c>
      <c r="S4776" s="5" t="s">
        <v>56684</v>
      </c>
      <c r="T4776" s="28">
        <v>221256249000</v>
      </c>
      <c r="U4776" s="28">
        <v>1771394000</v>
      </c>
      <c r="V4776" s="28">
        <v>6819218000</v>
      </c>
      <c r="W4776" s="28">
        <v>3038740000</v>
      </c>
      <c r="X4776" s="28">
        <v>14752981000</v>
      </c>
      <c r="Y4776" s="28">
        <v>274155583000</v>
      </c>
      <c r="Z4776" s="28">
        <v>98755658000</v>
      </c>
      <c r="AA4776" s="28">
        <v>10535347000</v>
      </c>
      <c r="AB4776" s="28">
        <v>17690382000</v>
      </c>
      <c r="AC4776" s="28">
        <v>66173641000</v>
      </c>
      <c r="AD4776" s="28">
        <v>168824502000</v>
      </c>
      <c r="AE4776" s="28">
        <v>95054196000</v>
      </c>
      <c r="AF4776" s="28">
        <v>17975405000</v>
      </c>
      <c r="AG4776" s="11"/>
    </row>
    <row r="4777">
      <c r="A4777" s="7" t="s">
        <v>6410</v>
      </c>
      <c r="B4777" s="5" t="s">
        <v>14364</v>
      </c>
      <c r="C4777" s="5" t="s">
        <v>22097</v>
      </c>
      <c r="D4777" s="5" t="str">
        <v>272108087064</v>
      </c>
      <c r="F4777" s="5"/>
      <c r="G4777" s="5"/>
      <c r="H4777" s="26">
        <v>9</v>
      </c>
      <c r="I4777" s="5" t="s">
        <v>39542</v>
      </c>
      <c r="J4777" s="5" t="s">
        <v>373</v>
      </c>
      <c r="K4777" s="5" t="s">
        <v>344</v>
      </c>
      <c r="L4777" s="5" t="s">
        <v>39543</v>
      </c>
      <c r="M4777" s="27"/>
      <c r="N4777" s="5"/>
      <c r="O4777" s="5" t="str">
        <v>2721205784</v>
      </c>
      <c r="P4777" s="27">
        <v>10000</v>
      </c>
      <c r="Q4777" s="5" t="s">
        <v>49009</v>
      </c>
      <c r="R4777" s="5"/>
      <c r="S4777" s="5" t="s">
        <v>52298</v>
      </c>
      <c r="T4777" s="28">
        <v>242488000</v>
      </c>
      <c r="U4777" s="28">
        <v>343787000</v>
      </c>
      <c r="V4777" s="28">
        <v>651034000</v>
      </c>
      <c r="W4777" s="28">
        <v>230000000</v>
      </c>
      <c r="X4777" s="28">
        <v>262364000</v>
      </c>
      <c r="Y4777" s="28">
        <v>2532171000</v>
      </c>
      <c r="Z4777" s="28">
        <v>918550000</v>
      </c>
      <c r="AA4777" s="28"/>
      <c r="AB4777" s="28"/>
      <c r="AC4777" s="28">
        <v>1475136000</v>
      </c>
      <c r="AD4777" s="28">
        <v>918560000</v>
      </c>
      <c r="AE4777" s="28">
        <v>3424898000</v>
      </c>
      <c r="AF4777" s="28">
        <v>270930000</v>
      </c>
      <c r="AG4777" s="11"/>
    </row>
    <row r="4778">
      <c r="A4778" s="7" t="s">
        <v>6411</v>
      </c>
      <c r="B4778" s="5" t="s">
        <v>14365</v>
      </c>
      <c r="C4778" s="5" t="s">
        <v>22098</v>
      </c>
      <c r="D4778" s="5" t="str">
        <v>780218647942</v>
      </c>
      <c r="E4778" s="0" t="e">
        <f>+7 (812) 1537771
+7 (812) 3343666
+7 (812) 7536376
+7 (812) 1534139
+7 (812) 1537774
+7 (812) 3208325
+7 (812) 3208350
+7 (812) 3343664</f>
        <v>#NAME?</v>
      </c>
      <c r="F4778" s="5" t="s">
        <v>39544</v>
      </c>
      <c r="G4778" s="5" t="s">
        <v>25777</v>
      </c>
      <c r="H4778" s="26">
        <v>19</v>
      </c>
      <c r="I4778" s="5"/>
      <c r="J4778" s="5" t="s">
        <v>30185</v>
      </c>
      <c r="K4778" s="5" t="s">
        <v>355</v>
      </c>
      <c r="L4778" s="5"/>
      <c r="M4778" s="27"/>
      <c r="N4778" s="5"/>
      <c r="O4778" s="5" t="str">
        <v>7805296900</v>
      </c>
      <c r="P4778" s="27">
        <v>50000000</v>
      </c>
      <c r="Q4778" s="5" t="s">
        <v>49009</v>
      </c>
      <c r="R4778" s="5"/>
      <c r="S4778" s="5" t="s">
        <v>49010</v>
      </c>
      <c r="T4778" s="28">
        <v>703862000</v>
      </c>
      <c r="U4778" s="28"/>
      <c r="V4778" s="28">
        <v>570812000</v>
      </c>
      <c r="W4778" s="28"/>
      <c r="X4778" s="28">
        <v>4077000</v>
      </c>
      <c r="Y4778" s="28">
        <v>2586588000</v>
      </c>
      <c r="Z4778" s="28">
        <v>-5533151000</v>
      </c>
      <c r="AA4778" s="28">
        <v>2697864000</v>
      </c>
      <c r="AB4778" s="28">
        <v>195983000</v>
      </c>
      <c r="AC4778" s="28">
        <v>5040472000</v>
      </c>
      <c r="AD4778" s="28">
        <v>-5479711000</v>
      </c>
      <c r="AE4778" s="28">
        <v>6022990000</v>
      </c>
      <c r="AF4778" s="28">
        <v>-1933288000</v>
      </c>
      <c r="AG4778" s="11"/>
    </row>
    <row r="4779">
      <c r="A4779" s="7" t="s">
        <v>6412</v>
      </c>
      <c r="B4779" s="5" t="s">
        <v>14366</v>
      </c>
      <c r="C4779" s="5" t="s">
        <v>19998</v>
      </c>
      <c r="D4779" s="5"/>
      <c r="E4779" s="0" t="e">
        <f>+7 (495) 2690401
+7 (495) 6401730
+7 (499) 9990501</f>
        <v>#NAME?</v>
      </c>
      <c r="F4779" s="5"/>
      <c r="G4779" s="5"/>
      <c r="H4779" s="26">
        <v>10.5</v>
      </c>
      <c r="I4779" s="5" t="s">
        <v>39545</v>
      </c>
      <c r="J4779" s="5" t="s">
        <v>26367</v>
      </c>
      <c r="K4779" s="5" t="s">
        <v>344</v>
      </c>
      <c r="L4779" s="5" t="s">
        <v>39546</v>
      </c>
      <c r="M4779" s="27"/>
      <c r="N4779" s="5"/>
      <c r="O4779" s="5" t="str">
        <v>7734685390</v>
      </c>
      <c r="P4779" s="27">
        <v>10010000</v>
      </c>
      <c r="Q4779" s="5" t="s">
        <v>49319</v>
      </c>
      <c r="R4779" s="5"/>
      <c r="S4779" s="5" t="s">
        <v>49774</v>
      </c>
      <c r="T4779" s="28">
        <v>4071000</v>
      </c>
      <c r="U4779" s="28"/>
      <c r="V4779" s="28">
        <v>616474000</v>
      </c>
      <c r="W4779" s="28"/>
      <c r="X4779" s="28">
        <v>77517000</v>
      </c>
      <c r="Y4779" s="28">
        <v>1684885000</v>
      </c>
      <c r="Z4779" s="28">
        <v>32168000</v>
      </c>
      <c r="AA4779" s="28">
        <v>373793000</v>
      </c>
      <c r="AB4779" s="28">
        <v>420518000</v>
      </c>
      <c r="AC4779" s="28">
        <v>1263624000</v>
      </c>
      <c r="AD4779" s="28">
        <v>42178000</v>
      </c>
      <c r="AE4779" s="28">
        <v>4547934000</v>
      </c>
      <c r="AF4779" s="28">
        <v>32168000</v>
      </c>
      <c r="AG4779" s="11"/>
    </row>
    <row r="4780">
      <c r="A4780" s="7" t="s">
        <v>6413</v>
      </c>
      <c r="B4780" s="5" t="s">
        <v>14367</v>
      </c>
      <c r="C4780" s="5" t="s">
        <v>22099</v>
      </c>
      <c r="D4780" s="5" t="str">
        <v>701700402066</v>
      </c>
      <c r="E4780" s="0" t="e">
        <f>+7 (381) 2925484
+7 (381) 2640111
+7 (381) 2223269
+7 (381) 2224567
+7 (381) 2268714
+7 (381) 2668644
+7 (381) 2790207
+7 (381) 2925477
+7 (381) 2925478
+7 (381) 2925479
+7 (381) 2925481
+7 (381) 2925485</f>
        <v>#NAME?</v>
      </c>
      <c r="F4780" s="5" t="s">
        <v>39547</v>
      </c>
      <c r="G4780" s="5" t="s">
        <v>39548</v>
      </c>
      <c r="H4780" s="26">
        <v>18</v>
      </c>
      <c r="I4780" s="5" t="s">
        <v>39549</v>
      </c>
      <c r="J4780" s="5" t="s">
        <v>26851</v>
      </c>
      <c r="K4780" s="5" t="s">
        <v>344</v>
      </c>
      <c r="L4780" s="5" t="s">
        <v>39550</v>
      </c>
      <c r="M4780" s="27"/>
      <c r="N4780" s="5"/>
      <c r="O4780" s="5" t="str">
        <v>5501085734</v>
      </c>
      <c r="P4780" s="27">
        <v>455934000</v>
      </c>
      <c r="Q4780" s="5" t="s">
        <v>49059</v>
      </c>
      <c r="R4780" s="5"/>
      <c r="S4780" s="5" t="s">
        <v>49123</v>
      </c>
      <c r="T4780" s="28">
        <v>7751341000</v>
      </c>
      <c r="U4780" s="28">
        <v>10750400000</v>
      </c>
      <c r="V4780" s="28">
        <v>4338809000</v>
      </c>
      <c r="W4780" s="28">
        <v>3600000000</v>
      </c>
      <c r="X4780" s="28">
        <v>1771135000</v>
      </c>
      <c r="Y4780" s="28">
        <v>29944395000</v>
      </c>
      <c r="Z4780" s="28">
        <v>7293609000</v>
      </c>
      <c r="AA4780" s="28">
        <v>19375000000</v>
      </c>
      <c r="AB4780" s="28">
        <v>625000000</v>
      </c>
      <c r="AC4780" s="28">
        <v>1458635000</v>
      </c>
      <c r="AD4780" s="28">
        <v>7754407000</v>
      </c>
      <c r="AE4780" s="28">
        <v>20057975000</v>
      </c>
      <c r="AF4780" s="28">
        <v>5287605000</v>
      </c>
      <c r="AG4780" s="11"/>
    </row>
    <row r="4781">
      <c r="A4781" s="7" t="s">
        <v>6414</v>
      </c>
      <c r="B4781" s="5" t="s">
        <v>14368</v>
      </c>
      <c r="C4781" s="5" t="s">
        <v>22100</v>
      </c>
      <c r="D4781" s="5" t="str">
        <v>662501110235</v>
      </c>
      <c r="E4781" s="0" t="e">
        <f>+7 (3012) 406894
+7 (3432) 118527
+7 (34392) 73501
+7 (34392) 73502
+7 (34392) 73503
+7 (34392) 73510
+7 (34392) 73533
+7 (34392) 73534
+7 (3472) 912622
+7 (3472) 912624
+7 (35322) 56387
+7 (35324) 4519
+7 (383) 3620721
+7 (384) 2670722
+7 (3843) 609003</f>
        <v>#NAME?</v>
      </c>
      <c r="F4781" s="5" t="s">
        <v>39551</v>
      </c>
      <c r="G4781" s="5" t="s">
        <v>39552</v>
      </c>
      <c r="H4781" s="26">
        <v>20</v>
      </c>
      <c r="I4781" s="5" t="s">
        <v>39553</v>
      </c>
      <c r="J4781" s="5" t="s">
        <v>25495</v>
      </c>
      <c r="K4781" s="5" t="s">
        <v>344</v>
      </c>
      <c r="L4781" s="5" t="s">
        <v>39554</v>
      </c>
      <c r="M4781" s="27">
        <v>7036387</v>
      </c>
      <c r="N4781" s="5" t="s">
        <v>56685</v>
      </c>
      <c r="O4781" s="5" t="str">
        <v>7116019123</v>
      </c>
      <c r="P4781" s="27">
        <v>337700000</v>
      </c>
      <c r="Q4781" s="5" t="s">
        <v>49207</v>
      </c>
      <c r="R4781" s="5"/>
      <c r="S4781" s="5" t="s">
        <v>56686</v>
      </c>
      <c r="T4781" s="28">
        <v>8977179000</v>
      </c>
      <c r="U4781" s="28">
        <v>838416000</v>
      </c>
      <c r="V4781" s="28">
        <v>10754519000</v>
      </c>
      <c r="W4781" s="28">
        <v>410518000</v>
      </c>
      <c r="X4781" s="28">
        <v>12943000</v>
      </c>
      <c r="Y4781" s="28">
        <v>26485446000</v>
      </c>
      <c r="Z4781" s="28">
        <v>4703249000</v>
      </c>
      <c r="AA4781" s="28">
        <v>7848566000</v>
      </c>
      <c r="AB4781" s="28">
        <v>8967017000</v>
      </c>
      <c r="AC4781" s="28">
        <v>12906216000</v>
      </c>
      <c r="AD4781" s="28">
        <v>5040949000</v>
      </c>
      <c r="AE4781" s="28">
        <v>21661223000</v>
      </c>
      <c r="AF4781" s="28">
        <v>2474340000</v>
      </c>
      <c r="AG4781" s="11"/>
    </row>
    <row r="4782">
      <c r="A4782" s="7" t="s">
        <v>6415</v>
      </c>
      <c r="B4782" s="5" t="s">
        <v>14369</v>
      </c>
      <c r="C4782" s="5" t="s">
        <v>22101</v>
      </c>
      <c r="D4782" s="5" t="str">
        <v>711605703408</v>
      </c>
      <c r="E4782" s="0" t="e">
        <f>+7 (81375) 26998
+7 (81375) 96100
+7 (81375) 96104</f>
        <v>#NAME?</v>
      </c>
      <c r="F4782" s="5" t="s">
        <v>39555</v>
      </c>
      <c r="G4782" s="5"/>
      <c r="H4782" s="26">
        <v>20</v>
      </c>
      <c r="I4782" s="5" t="s">
        <v>39556</v>
      </c>
      <c r="J4782" s="5" t="s">
        <v>25495</v>
      </c>
      <c r="K4782" s="5" t="s">
        <v>344</v>
      </c>
      <c r="L4782" s="5" t="s">
        <v>39557</v>
      </c>
      <c r="M4782" s="27">
        <v>2154000</v>
      </c>
      <c r="N4782" s="5" t="s">
        <v>56687</v>
      </c>
      <c r="O4782" s="5" t="str">
        <v>4707019370</v>
      </c>
      <c r="P4782" s="27">
        <v>146688496</v>
      </c>
      <c r="Q4782" s="5" t="s">
        <v>49009</v>
      </c>
      <c r="R4782" s="5"/>
      <c r="S4782" s="5" t="s">
        <v>49884</v>
      </c>
      <c r="T4782" s="28">
        <v>5663092000</v>
      </c>
      <c r="U4782" s="28">
        <v>6591000</v>
      </c>
      <c r="V4782" s="28">
        <v>3578229000</v>
      </c>
      <c r="W4782" s="28">
        <v>54844000</v>
      </c>
      <c r="X4782" s="28">
        <v>96458000</v>
      </c>
      <c r="Y4782" s="28">
        <v>12024799000</v>
      </c>
      <c r="Z4782" s="28">
        <v>2971376000</v>
      </c>
      <c r="AA4782" s="28">
        <v>3089681000</v>
      </c>
      <c r="AB4782" s="28">
        <v>3716067000</v>
      </c>
      <c r="AC4782" s="28">
        <v>5597947000</v>
      </c>
      <c r="AD4782" s="28">
        <v>3118186000</v>
      </c>
      <c r="AE4782" s="28">
        <v>7956391000</v>
      </c>
      <c r="AF4782" s="28">
        <v>1311554000</v>
      </c>
      <c r="AG4782" s="11"/>
    </row>
    <row r="4783">
      <c r="A4783" s="7" t="s">
        <v>6416</v>
      </c>
      <c r="B4783" s="5" t="s">
        <v>14370</v>
      </c>
      <c r="C4783" s="5" t="s">
        <v>22102</v>
      </c>
      <c r="D4783" s="5" t="str">
        <v>667111085470</v>
      </c>
      <c r="E4783" s="0" t="e">
        <f>+7 (982) 6400083
+7 (34392) 73500
+7 (34392) 73505
+7 (34392) 73509
+7 (34392) 91135
+7 (34392) 91942</f>
        <v>#NAME?</v>
      </c>
      <c r="F4783" s="5" t="s">
        <v>39558</v>
      </c>
      <c r="G4783" s="5"/>
      <c r="H4783" s="26">
        <v>23.5</v>
      </c>
      <c r="I4783" s="5" t="s">
        <v>39559</v>
      </c>
      <c r="J4783" s="5" t="s">
        <v>32652</v>
      </c>
      <c r="K4783" s="5" t="s">
        <v>344</v>
      </c>
      <c r="L4783" s="5" t="s">
        <v>39560</v>
      </c>
      <c r="M4783" s="27"/>
      <c r="N4783" s="5" t="s">
        <v>56688</v>
      </c>
      <c r="O4783" s="5" t="str">
        <v>6625021894</v>
      </c>
      <c r="P4783" s="27">
        <v>203092419</v>
      </c>
      <c r="Q4783" s="5" t="s">
        <v>56689</v>
      </c>
      <c r="R4783" s="5"/>
      <c r="S4783" s="5" t="s">
        <v>50538</v>
      </c>
      <c r="T4783" s="28">
        <v>2063776000</v>
      </c>
      <c r="U4783" s="28">
        <v>228614000</v>
      </c>
      <c r="V4783" s="28">
        <v>2054310000</v>
      </c>
      <c r="W4783" s="28">
        <v>475080000</v>
      </c>
      <c r="X4783" s="28">
        <v>23095000</v>
      </c>
      <c r="Y4783" s="28">
        <v>7397286000</v>
      </c>
      <c r="Z4783" s="28">
        <v>1315865000</v>
      </c>
      <c r="AA4783" s="28">
        <v>1830606000</v>
      </c>
      <c r="AB4783" s="28">
        <v>3078700000</v>
      </c>
      <c r="AC4783" s="28">
        <v>3959368000</v>
      </c>
      <c r="AD4783" s="28">
        <v>1518957000</v>
      </c>
      <c r="AE4783" s="28">
        <v>6632858000</v>
      </c>
      <c r="AF4783" s="28">
        <v>573219000</v>
      </c>
      <c r="AG4783" s="11"/>
    </row>
    <row r="4784">
      <c r="A4784" s="7" t="s">
        <v>6417</v>
      </c>
      <c r="B4784" s="5" t="s">
        <v>14371</v>
      </c>
      <c r="C4784" s="5" t="s">
        <v>22103</v>
      </c>
      <c r="D4784" s="5" t="str">
        <v>027200106169</v>
      </c>
      <c r="E4784" s="0" t="e">
        <f>+7 (347) 2694075
+7 (3432) 644407
+7 (3432) 644408
+7 (3472) 270009
+7 (3472) 270072
+7 (3472) 270090
+7 (3472) 271154
+7 (3472) 272709
+7 (3472) 694077
+7 (3472) 694078
+7 (473) 2622251
+7 (8332) 703306
+7 (8332) 771063
+7 (861) 2291563
+7 (8632) 466056</f>
        <v>#NAME?</v>
      </c>
      <c r="F4784" s="5" t="s">
        <v>39561</v>
      </c>
      <c r="G4784" s="5" t="s">
        <v>39562</v>
      </c>
      <c r="H4784" s="26">
        <v>15.5</v>
      </c>
      <c r="I4784" s="5" t="s">
        <v>39563</v>
      </c>
      <c r="J4784" s="5" t="s">
        <v>31123</v>
      </c>
      <c r="K4784" s="5" t="s">
        <v>344</v>
      </c>
      <c r="L4784" s="5" t="s">
        <v>39564</v>
      </c>
      <c r="M4784" s="27"/>
      <c r="N4784" s="5" t="s">
        <v>56690</v>
      </c>
      <c r="O4784" s="5" t="str">
        <v>0277084748</v>
      </c>
      <c r="P4784" s="27">
        <v>10000</v>
      </c>
      <c r="Q4784" s="5" t="s">
        <v>49009</v>
      </c>
      <c r="R4784" s="5"/>
      <c r="S4784" s="5" t="s">
        <v>49045</v>
      </c>
      <c r="T4784" s="28">
        <v>274075000</v>
      </c>
      <c r="U4784" s="28"/>
      <c r="V4784" s="28">
        <v>763538000</v>
      </c>
      <c r="W4784" s="28">
        <v>7064000</v>
      </c>
      <c r="X4784" s="28">
        <v>20772000</v>
      </c>
      <c r="Y4784" s="28">
        <v>1655519000</v>
      </c>
      <c r="Z4784" s="28">
        <v>743085000</v>
      </c>
      <c r="AA4784" s="28">
        <v>38110000</v>
      </c>
      <c r="AB4784" s="28">
        <v>748915000</v>
      </c>
      <c r="AC4784" s="28">
        <v>873541000</v>
      </c>
      <c r="AD4784" s="28">
        <v>743095000</v>
      </c>
      <c r="AE4784" s="28">
        <v>10244659000</v>
      </c>
      <c r="AF4784" s="28">
        <v>121094000</v>
      </c>
      <c r="AG4784" s="11"/>
    </row>
    <row r="4785">
      <c r="A4785" s="7" t="s">
        <v>6418</v>
      </c>
      <c r="B4785" s="5" t="s">
        <v>14372</v>
      </c>
      <c r="C4785" s="5" t="s">
        <v>22104</v>
      </c>
      <c r="D4785" s="5" t="str">
        <v>773316924706</v>
      </c>
      <c r="E4785" s="0" t="e">
        <f>+7 (8443) 511515
+7 (495) 7400571
+7 (929) 9660921</f>
        <v>#NAME?</v>
      </c>
      <c r="F4785" s="5" t="s">
        <v>39565</v>
      </c>
      <c r="G4785" s="5"/>
      <c r="H4785" s="26">
        <v>8</v>
      </c>
      <c r="I4785" s="5" t="s">
        <v>39566</v>
      </c>
      <c r="J4785" s="5" t="s">
        <v>39567</v>
      </c>
      <c r="K4785" s="5" t="s">
        <v>344</v>
      </c>
      <c r="L4785" s="5" t="s">
        <v>39568</v>
      </c>
      <c r="M4785" s="27"/>
      <c r="N4785" s="5" t="s">
        <v>56691</v>
      </c>
      <c r="O4785" s="5" t="str">
        <v>7729443540</v>
      </c>
      <c r="P4785" s="27">
        <v>10000</v>
      </c>
      <c r="Q4785" s="5" t="s">
        <v>56692</v>
      </c>
      <c r="R4785" s="5"/>
      <c r="S4785" s="5" t="s">
        <v>50122</v>
      </c>
      <c r="T4785" s="28">
        <v>323000</v>
      </c>
      <c r="U4785" s="28"/>
      <c r="V4785" s="28">
        <v>115068000</v>
      </c>
      <c r="W4785" s="28">
        <v>207484000</v>
      </c>
      <c r="X4785" s="28">
        <v>15436000</v>
      </c>
      <c r="Y4785" s="28">
        <v>347422000</v>
      </c>
      <c r="Z4785" s="28">
        <v>269269000</v>
      </c>
      <c r="AA4785" s="28"/>
      <c r="AB4785" s="28"/>
      <c r="AC4785" s="28">
        <v>78078000</v>
      </c>
      <c r="AD4785" s="28">
        <v>269279000</v>
      </c>
      <c r="AE4785" s="28">
        <v>7616251000</v>
      </c>
      <c r="AF4785" s="28">
        <v>338275000</v>
      </c>
      <c r="AG4785" s="11"/>
    </row>
    <row r="4786">
      <c r="A4786" s="7" t="s">
        <v>6419</v>
      </c>
      <c r="B4786" s="5" t="s">
        <v>14373</v>
      </c>
      <c r="C4786" s="5" t="s">
        <v>22105</v>
      </c>
      <c r="D4786" s="5" t="str">
        <v>772826115637</v>
      </c>
      <c r="E4786" s="0" t="e">
        <f>+7 (903) 7463420
+7 (962) 9510005
+7 (495) 1377062
+7 (495) 9759319
+7 (929) 6800701</f>
        <v>#NAME?</v>
      </c>
      <c r="F4786" s="5" t="s">
        <v>39569</v>
      </c>
      <c r="G4786" s="5" t="s">
        <v>39570</v>
      </c>
      <c r="H4786" s="26">
        <v>12</v>
      </c>
      <c r="I4786" s="5"/>
      <c r="J4786" s="5" t="s">
        <v>364</v>
      </c>
      <c r="K4786" s="5" t="s">
        <v>344</v>
      </c>
      <c r="L4786" s="5"/>
      <c r="M4786" s="27">
        <v>574716508</v>
      </c>
      <c r="N4786" s="5" t="s">
        <v>56693</v>
      </c>
      <c r="O4786" s="5" t="str">
        <v>7714831966</v>
      </c>
      <c r="P4786" s="27">
        <v>10000</v>
      </c>
      <c r="Q4786" s="5" t="s">
        <v>56694</v>
      </c>
      <c r="R4786" s="5"/>
      <c r="S4786" s="5" t="s">
        <v>56695</v>
      </c>
      <c r="T4786" s="28">
        <v>94232000</v>
      </c>
      <c r="U4786" s="28"/>
      <c r="V4786" s="28">
        <v>22893363000</v>
      </c>
      <c r="W4786" s="28">
        <v>9874000</v>
      </c>
      <c r="X4786" s="28">
        <v>8617123000</v>
      </c>
      <c r="Y4786" s="28">
        <v>33158336000</v>
      </c>
      <c r="Z4786" s="28">
        <v>-5115446000</v>
      </c>
      <c r="AA4786" s="28">
        <v>7485804000</v>
      </c>
      <c r="AB4786" s="28">
        <v>314286000</v>
      </c>
      <c r="AC4786" s="28">
        <v>27787278000</v>
      </c>
      <c r="AD4786" s="28">
        <v>-2116226000</v>
      </c>
      <c r="AE4786" s="28">
        <v>9538144000</v>
      </c>
      <c r="AF4786" s="28">
        <v>-702591000</v>
      </c>
      <c r="AG4786" s="11"/>
    </row>
    <row r="4787">
      <c r="A4787" s="7" t="s">
        <v>6420</v>
      </c>
      <c r="B4787" s="5" t="s">
        <v>14374</v>
      </c>
      <c r="C4787" s="5" t="s">
        <v>22106</v>
      </c>
      <c r="D4787" s="5" t="str">
        <v>522302498304</v>
      </c>
      <c r="E4787" s="0" t="e">
        <f>+7 (495) 6413882
+7 (495) 6413887</f>
        <v>#NAME?</v>
      </c>
      <c r="F4787" s="5"/>
      <c r="G4787" s="5"/>
      <c r="H4787" s="26">
        <v>17.5</v>
      </c>
      <c r="I4787" s="5" t="s">
        <v>39571</v>
      </c>
      <c r="J4787" s="5" t="s">
        <v>28075</v>
      </c>
      <c r="K4787" s="5" t="s">
        <v>355</v>
      </c>
      <c r="L4787" s="5" t="s">
        <v>39572</v>
      </c>
      <c r="M4787" s="27"/>
      <c r="N4787" s="5"/>
      <c r="O4787" s="5" t="str">
        <v>7703562060</v>
      </c>
      <c r="P4787" s="27">
        <v>240000000</v>
      </c>
      <c r="Q4787" s="5" t="s">
        <v>49059</v>
      </c>
      <c r="R4787" s="5"/>
      <c r="S4787" s="5" t="s">
        <v>49425</v>
      </c>
      <c r="T4787" s="28">
        <v>855402000</v>
      </c>
      <c r="U4787" s="28"/>
      <c r="V4787" s="28">
        <v>343380000</v>
      </c>
      <c r="W4787" s="28"/>
      <c r="X4787" s="28">
        <v>6046000</v>
      </c>
      <c r="Y4787" s="28">
        <v>2463412000</v>
      </c>
      <c r="Z4787" s="28">
        <v>762467000</v>
      </c>
      <c r="AA4787" s="28">
        <v>260000000</v>
      </c>
      <c r="AB4787" s="28">
        <v>952165000</v>
      </c>
      <c r="AC4787" s="28">
        <v>1104261000</v>
      </c>
      <c r="AD4787" s="28">
        <v>1002467000</v>
      </c>
      <c r="AE4787" s="28">
        <v>3102050000</v>
      </c>
      <c r="AF4787" s="28">
        <v>40515000</v>
      </c>
      <c r="AG4787" s="11"/>
    </row>
    <row r="4788">
      <c r="A4788" s="7" t="s">
        <v>6421</v>
      </c>
      <c r="B4788" s="5" t="s">
        <v>14375</v>
      </c>
      <c r="C4788" s="5" t="s">
        <v>22107</v>
      </c>
      <c r="D4788" s="5" t="str">
        <v>165603346520</v>
      </c>
      <c r="E4788" s="0" t="e">
        <f>+7 (8432) 72833
+7 (800) 5008230
+7 (8432) 960243
+7 (8435) 108899
+7 (8435) 108989
+7 (8435) 120274
+7 (8435) 121347
+7 (8435) 168229
+7 (8435) 168230
+7 (8435) 168231
+7 (8435) 247200
+7 (8435) 247288
+7 (8435) 247299</f>
        <v>#NAME?</v>
      </c>
      <c r="F4788" s="5" t="s">
        <v>39573</v>
      </c>
      <c r="G4788" s="5" t="s">
        <v>39574</v>
      </c>
      <c r="H4788" s="26">
        <v>18.5</v>
      </c>
      <c r="I4788" s="5" t="s">
        <v>39575</v>
      </c>
      <c r="J4788" s="5" t="s">
        <v>25512</v>
      </c>
      <c r="K4788" s="5" t="s">
        <v>344</v>
      </c>
      <c r="L4788" s="5" t="s">
        <v>39576</v>
      </c>
      <c r="M4788" s="27"/>
      <c r="N4788" s="5"/>
      <c r="O4788" s="5" t="str">
        <v>1660073448</v>
      </c>
      <c r="P4788" s="27">
        <v>2000000</v>
      </c>
      <c r="Q4788" s="5" t="s">
        <v>49009</v>
      </c>
      <c r="R4788" s="5"/>
      <c r="S4788" s="5" t="s">
        <v>49045</v>
      </c>
      <c r="T4788" s="28">
        <v>645775000</v>
      </c>
      <c r="U4788" s="28"/>
      <c r="V4788" s="28">
        <v>1087612000</v>
      </c>
      <c r="W4788" s="28">
        <v>46000000</v>
      </c>
      <c r="X4788" s="28">
        <v>43873000</v>
      </c>
      <c r="Y4788" s="28">
        <v>2564569000</v>
      </c>
      <c r="Z4788" s="28">
        <v>920564000</v>
      </c>
      <c r="AA4788" s="28"/>
      <c r="AB4788" s="28">
        <v>703714000</v>
      </c>
      <c r="AC4788" s="28">
        <v>1629814000</v>
      </c>
      <c r="AD4788" s="28">
        <v>922636000</v>
      </c>
      <c r="AE4788" s="28">
        <v>12931658000</v>
      </c>
      <c r="AF4788" s="28">
        <v>172388000</v>
      </c>
      <c r="AG4788" s="11"/>
    </row>
    <row r="4789">
      <c r="A4789" s="7" t="s">
        <v>6422</v>
      </c>
      <c r="B4789" s="5" t="s">
        <v>14376</v>
      </c>
      <c r="C4789" s="5" t="s">
        <v>22108</v>
      </c>
      <c r="D4789" s="5"/>
      <c r="E4789" s="0" t="e">
        <f>+7 (3422) 530160
+7 (3422) 530212
+7 (3422) 557871
+7 (912) 4928877</f>
        <v>#NAME?</v>
      </c>
      <c r="F4789" s="5" t="s">
        <v>39577</v>
      </c>
      <c r="G4789" s="5" t="s">
        <v>39578</v>
      </c>
      <c r="H4789" s="26">
        <v>22.5</v>
      </c>
      <c r="I4789" s="5"/>
      <c r="J4789" s="5" t="s">
        <v>32652</v>
      </c>
      <c r="K4789" s="5" t="s">
        <v>344</v>
      </c>
      <c r="L4789" s="5" t="s">
        <v>39579</v>
      </c>
      <c r="M4789" s="27">
        <v>11576333</v>
      </c>
      <c r="N4789" s="5" t="s">
        <v>56696</v>
      </c>
      <c r="O4789" s="5" t="str">
        <v>5908022689</v>
      </c>
      <c r="P4789" s="27">
        <v>1000000</v>
      </c>
      <c r="Q4789" s="5" t="s">
        <v>49009</v>
      </c>
      <c r="R4789" s="5"/>
      <c r="S4789" s="5" t="s">
        <v>49956</v>
      </c>
      <c r="T4789" s="28">
        <v>56803000</v>
      </c>
      <c r="U4789" s="28">
        <v>6000000</v>
      </c>
      <c r="V4789" s="28">
        <v>1053445000</v>
      </c>
      <c r="W4789" s="28"/>
      <c r="X4789" s="28">
        <v>131297000</v>
      </c>
      <c r="Y4789" s="28">
        <v>2128517000</v>
      </c>
      <c r="Z4789" s="28">
        <v>663182000</v>
      </c>
      <c r="AA4789" s="28">
        <v>611833000</v>
      </c>
      <c r="AB4789" s="28">
        <v>649006000</v>
      </c>
      <c r="AC4789" s="28">
        <v>842494000</v>
      </c>
      <c r="AD4789" s="28">
        <v>664332000</v>
      </c>
      <c r="AE4789" s="28">
        <v>3367404000</v>
      </c>
      <c r="AF4789" s="28">
        <v>293632000</v>
      </c>
      <c r="AG4789" s="11"/>
    </row>
    <row r="4790">
      <c r="A4790" s="7" t="s">
        <v>6423</v>
      </c>
      <c r="B4790" s="5" t="s">
        <v>14377</v>
      </c>
      <c r="C4790" s="5" t="s">
        <v>22109</v>
      </c>
      <c r="D4790" s="5" t="str">
        <v>246109222853</v>
      </c>
      <c r="E4790" s="0" t="e">
        <f>+7 (34766) 21977
+7 (347) 2797516
+7 (347) 2923541
+7 (3472) 797524
+7 (3472) 797692
+7 (3472) 925337
+7 (34766) 21221
+7 (34766) 21394
+7 (34766) 21485
+7 (34766) 23051
+7 (34766) 23157
+7 (34766) 32940</f>
        <v>#NAME?</v>
      </c>
      <c r="F4790" s="5" t="s">
        <v>39580</v>
      </c>
      <c r="G4790" s="5" t="s">
        <v>39581</v>
      </c>
      <c r="H4790" s="26">
        <v>27.5</v>
      </c>
      <c r="I4790" s="5"/>
      <c r="J4790" s="5" t="s">
        <v>26851</v>
      </c>
      <c r="K4790" s="5" t="s">
        <v>380</v>
      </c>
      <c r="L4790" s="5"/>
      <c r="M4790" s="27">
        <v>314277929</v>
      </c>
      <c r="N4790" s="5"/>
      <c r="O4790" s="5" t="str">
        <v>0258005638</v>
      </c>
      <c r="P4790" s="27">
        <v>966572000</v>
      </c>
      <c r="Q4790" s="5" t="s">
        <v>49009</v>
      </c>
      <c r="R4790" s="5"/>
      <c r="S4790" s="5" t="s">
        <v>56697</v>
      </c>
      <c r="T4790" s="28">
        <v>17788170000</v>
      </c>
      <c r="U4790" s="28"/>
      <c r="V4790" s="28">
        <v>92602000</v>
      </c>
      <c r="W4790" s="28"/>
      <c r="X4790" s="28">
        <v>253533000</v>
      </c>
      <c r="Y4790" s="28">
        <v>20703727000</v>
      </c>
      <c r="Z4790" s="28">
        <v>197604000</v>
      </c>
      <c r="AA4790" s="28">
        <v>1087348000</v>
      </c>
      <c r="AB4790" s="28">
        <v>1830753000</v>
      </c>
      <c r="AC4790" s="28">
        <v>3704749000</v>
      </c>
      <c r="AD4790" s="28">
        <v>14955986000</v>
      </c>
      <c r="AE4790" s="28">
        <v>7778597000</v>
      </c>
      <c r="AF4790" s="28">
        <v>230144000</v>
      </c>
      <c r="AG4790" s="11"/>
    </row>
    <row r="4791">
      <c r="A4791" s="7" t="s">
        <v>6424</v>
      </c>
      <c r="B4791" s="5" t="s">
        <v>14378</v>
      </c>
      <c r="C4791" s="5" t="s">
        <v>22110</v>
      </c>
      <c r="D4791" s="5" t="str">
        <v>321201208562</v>
      </c>
      <c r="E4791" s="0" t="e">
        <f>+7 (391) 2266002
+7 (915) 3359246</f>
        <v>#NAME?</v>
      </c>
      <c r="F4791" s="5" t="s">
        <v>39582</v>
      </c>
      <c r="G4791" s="5"/>
      <c r="H4791" s="26">
        <v>12</v>
      </c>
      <c r="I4791" s="5"/>
      <c r="J4791" s="5" t="s">
        <v>28451</v>
      </c>
      <c r="K4791" s="5" t="s">
        <v>355</v>
      </c>
      <c r="L4791" s="5" t="s">
        <v>39583</v>
      </c>
      <c r="M4791" s="27">
        <v>56035400</v>
      </c>
      <c r="N4791" s="5"/>
      <c r="O4791" s="5" t="str">
        <v>2466240347</v>
      </c>
      <c r="P4791" s="27">
        <v>66833340</v>
      </c>
      <c r="Q4791" s="5" t="s">
        <v>49057</v>
      </c>
      <c r="R4791" s="5"/>
      <c r="S4791" s="5" t="s">
        <v>52709</v>
      </c>
      <c r="T4791" s="28">
        <v>4537096000</v>
      </c>
      <c r="U4791" s="28"/>
      <c r="V4791" s="28">
        <v>3287566000</v>
      </c>
      <c r="W4791" s="28"/>
      <c r="X4791" s="28">
        <v>130458000</v>
      </c>
      <c r="Y4791" s="28">
        <v>9829366000</v>
      </c>
      <c r="Z4791" s="28">
        <v>-41473000</v>
      </c>
      <c r="AA4791" s="28">
        <v>650000000</v>
      </c>
      <c r="AB4791" s="28">
        <v>267000000</v>
      </c>
      <c r="AC4791" s="28">
        <v>6467328000</v>
      </c>
      <c r="AD4791" s="28">
        <v>2208552000</v>
      </c>
      <c r="AE4791" s="28">
        <v>18379053000</v>
      </c>
      <c r="AF4791" s="28">
        <v>-373284000</v>
      </c>
      <c r="AG4791" s="11"/>
    </row>
    <row r="4792">
      <c r="A4792" s="7" t="s">
        <v>6425</v>
      </c>
      <c r="B4792" s="5" t="s">
        <v>14379</v>
      </c>
      <c r="C4792" s="5" t="s">
        <v>22111</v>
      </c>
      <c r="D4792" s="5"/>
      <c r="E4792" s="0" t="e">
        <f>+7 (391) 2191736
+7 (391) 2191737</f>
        <v>#NAME?</v>
      </c>
      <c r="F4792" s="5" t="s">
        <v>39584</v>
      </c>
      <c r="G4792" s="5" t="s">
        <v>39585</v>
      </c>
      <c r="H4792" s="26">
        <v>14</v>
      </c>
      <c r="I4792" s="5" t="s">
        <v>39586</v>
      </c>
      <c r="J4792" s="5" t="s">
        <v>364</v>
      </c>
      <c r="K4792" s="5" t="s">
        <v>355</v>
      </c>
      <c r="L4792" s="5"/>
      <c r="M4792" s="27">
        <v>104654809</v>
      </c>
      <c r="N4792" s="5"/>
      <c r="O4792" s="5" t="str">
        <v>2463210633</v>
      </c>
      <c r="P4792" s="27">
        <v>5921700000</v>
      </c>
      <c r="Q4792" s="5" t="s">
        <v>49059</v>
      </c>
      <c r="R4792" s="5" t="s">
        <v>56700</v>
      </c>
      <c r="S4792" s="5" t="s">
        <v>51061</v>
      </c>
      <c r="T4792" s="28">
        <v>902003000</v>
      </c>
      <c r="U4792" s="28"/>
      <c r="V4792" s="28">
        <v>3909296000</v>
      </c>
      <c r="W4792" s="28">
        <v>345020000</v>
      </c>
      <c r="X4792" s="28">
        <v>1301588000</v>
      </c>
      <c r="Y4792" s="28">
        <v>12459408000</v>
      </c>
      <c r="Z4792" s="28">
        <v>-11597727000</v>
      </c>
      <c r="AA4792" s="28"/>
      <c r="AB4792" s="28">
        <v>1137000</v>
      </c>
      <c r="AC4792" s="28">
        <v>7163056000</v>
      </c>
      <c r="AD4792" s="28">
        <v>5070920000</v>
      </c>
      <c r="AE4792" s="28">
        <v>9242348000</v>
      </c>
      <c r="AF4792" s="28">
        <v>-1088661000</v>
      </c>
      <c r="AG4792" s="11"/>
    </row>
    <row r="4793">
      <c r="A4793" s="7" t="s">
        <v>6426</v>
      </c>
      <c r="B4793" s="5" t="s">
        <v>14380</v>
      </c>
      <c r="C4793" s="5" t="s">
        <v>22112</v>
      </c>
      <c r="D4793" s="5" t="str">
        <v>616831628084</v>
      </c>
      <c r="E4793" s="0" t="e">
        <f>+7 (863) 2796279
+7 (4712) 736111
+7 (863) 2488355
+7 (8632) 8265
+7 (8632) 8266
+7 (928) 2298241</f>
        <v>#NAME?</v>
      </c>
      <c r="F4793" s="5" t="s">
        <v>39587</v>
      </c>
      <c r="G4793" s="5"/>
      <c r="H4793" s="26">
        <v>20</v>
      </c>
      <c r="I4793" s="5" t="s">
        <v>39588</v>
      </c>
      <c r="J4793" s="5" t="s">
        <v>25259</v>
      </c>
      <c r="K4793" s="5" t="s">
        <v>344</v>
      </c>
      <c r="L4793" s="5" t="s">
        <v>39589</v>
      </c>
      <c r="M4793" s="27"/>
      <c r="N4793" s="5" t="s">
        <v>56701</v>
      </c>
      <c r="O4793" s="5" t="str">
        <v>6168052151</v>
      </c>
      <c r="P4793" s="27">
        <v>10000</v>
      </c>
      <c r="Q4793" s="5"/>
      <c r="R4793" s="5"/>
      <c r="S4793" s="5" t="s">
        <v>56393</v>
      </c>
      <c r="T4793" s="28">
        <v>45631000</v>
      </c>
      <c r="U4793" s="28"/>
      <c r="V4793" s="28">
        <v>561201000</v>
      </c>
      <c r="W4793" s="28"/>
      <c r="X4793" s="28">
        <v>31224000</v>
      </c>
      <c r="Y4793" s="28">
        <v>1634698000</v>
      </c>
      <c r="Z4793" s="28">
        <v>487379000</v>
      </c>
      <c r="AA4793" s="28">
        <v>169400000</v>
      </c>
      <c r="AB4793" s="28">
        <v>713000000</v>
      </c>
      <c r="AC4793" s="28">
        <v>969063000</v>
      </c>
      <c r="AD4793" s="28">
        <v>487389000</v>
      </c>
      <c r="AE4793" s="28">
        <v>3278238000</v>
      </c>
      <c r="AF4793" s="28">
        <v>15329000</v>
      </c>
      <c r="AG4793" s="11"/>
    </row>
    <row r="4794">
      <c r="A4794" s="7" t="s">
        <v>6427</v>
      </c>
      <c r="B4794" s="5" t="s">
        <v>14081</v>
      </c>
      <c r="C4794" s="5" t="s">
        <v>22066</v>
      </c>
      <c r="D4794" s="5" t="str">
        <v>650405689362</v>
      </c>
      <c r="E4794" s="0" t="e">
        <f>+7 (424) 2466201
+7 (424) 2466207
+7 (424) 2466202
+7 (424) 2466212</f>
        <v>#NAME?</v>
      </c>
      <c r="F4794" s="5" t="s">
        <v>39590</v>
      </c>
      <c r="G4794" s="5"/>
      <c r="H4794" s="26">
        <v>26</v>
      </c>
      <c r="I4794" s="5" t="s">
        <v>39591</v>
      </c>
      <c r="J4794" s="5" t="s">
        <v>26424</v>
      </c>
      <c r="K4794" s="5" t="s">
        <v>344</v>
      </c>
      <c r="L4794" s="5" t="s">
        <v>39592</v>
      </c>
      <c r="M4794" s="27"/>
      <c r="N4794" s="5"/>
      <c r="O4794" s="5" t="str">
        <v>6507005529</v>
      </c>
      <c r="P4794" s="27">
        <v>880000000</v>
      </c>
      <c r="Q4794" s="5"/>
      <c r="R4794" s="5"/>
      <c r="S4794" s="5" t="s">
        <v>49029</v>
      </c>
      <c r="T4794" s="28">
        <v>843217000</v>
      </c>
      <c r="U4794" s="28"/>
      <c r="V4794" s="28">
        <v>2840487000</v>
      </c>
      <c r="W4794" s="28">
        <v>173000000</v>
      </c>
      <c r="X4794" s="28">
        <v>109717000</v>
      </c>
      <c r="Y4794" s="28">
        <v>5533535000</v>
      </c>
      <c r="Z4794" s="28">
        <v>87835000</v>
      </c>
      <c r="AA4794" s="28">
        <v>2249471000</v>
      </c>
      <c r="AB4794" s="28">
        <v>843910000</v>
      </c>
      <c r="AC4794" s="28">
        <v>2126746000</v>
      </c>
      <c r="AD4794" s="28">
        <v>967835000</v>
      </c>
      <c r="AE4794" s="28">
        <v>8593819000</v>
      </c>
      <c r="AF4794" s="28">
        <v>2299891000</v>
      </c>
      <c r="AG4794" s="11"/>
    </row>
    <row r="4795">
      <c r="A4795" s="7" t="s">
        <v>6428</v>
      </c>
      <c r="B4795" s="5" t="s">
        <v>14381</v>
      </c>
      <c r="C4795" s="5" t="s">
        <v>22113</v>
      </c>
      <c r="D4795" s="5" t="str">
        <v>281501158011</v>
      </c>
      <c r="E4795" s="0" t="e">
        <f>+7 (42137) 57803
+7 (42137) 21985
+7 (42137) 57321
+7 (42137) 57326
+7 (42137) 57407
+7 (42137) 57453
+7 (42137) 57454
+7 (42137) 57505
+7 (42137) 57520
+7 (42137) 57527
+7 (42137) 57582
+7 (42137) 57658
+7 (42137) 57757
+7 (42137) 77575
+7 (42137) 77584</f>
        <v>#NAME?</v>
      </c>
      <c r="F4795" s="5" t="s">
        <v>39593</v>
      </c>
      <c r="G4795" s="5" t="s">
        <v>39594</v>
      </c>
      <c r="H4795" s="26">
        <v>29</v>
      </c>
      <c r="I4795" s="5"/>
      <c r="J4795" s="5" t="s">
        <v>26905</v>
      </c>
      <c r="K4795" s="5" t="s">
        <v>344</v>
      </c>
      <c r="L4795" s="5" t="s">
        <v>39595</v>
      </c>
      <c r="M4795" s="27">
        <v>49414031</v>
      </c>
      <c r="N4795" s="5" t="s">
        <v>56702</v>
      </c>
      <c r="O4795" s="5" t="str">
        <v>2709001590</v>
      </c>
      <c r="P4795" s="27">
        <v>134900</v>
      </c>
      <c r="Q4795" s="5" t="s">
        <v>56703</v>
      </c>
      <c r="R4795" s="5" t="s">
        <v>55150</v>
      </c>
      <c r="S4795" s="5" t="s">
        <v>50378</v>
      </c>
      <c r="T4795" s="28">
        <v>1216476000</v>
      </c>
      <c r="U4795" s="28">
        <v>7938868000</v>
      </c>
      <c r="V4795" s="28">
        <v>12312603000</v>
      </c>
      <c r="W4795" s="28">
        <v>12213824000</v>
      </c>
      <c r="X4795" s="28">
        <v>362428000</v>
      </c>
      <c r="Y4795" s="28">
        <v>34349277000</v>
      </c>
      <c r="Z4795" s="28">
        <v>20490658000</v>
      </c>
      <c r="AA4795" s="28">
        <v>5987177000</v>
      </c>
      <c r="AB4795" s="28">
        <v>814966000</v>
      </c>
      <c r="AC4795" s="28">
        <v>7297657000</v>
      </c>
      <c r="AD4795" s="28">
        <v>20753523000</v>
      </c>
      <c r="AE4795" s="28">
        <v>5158119000</v>
      </c>
      <c r="AF4795" s="28">
        <v>2488206000</v>
      </c>
      <c r="AG4795" s="11"/>
    </row>
    <row r="4796">
      <c r="A4796" s="7" t="s">
        <v>6429</v>
      </c>
      <c r="B4796" s="5" t="s">
        <v>14382</v>
      </c>
      <c r="C4796" s="5" t="s">
        <v>22114</v>
      </c>
      <c r="D4796" s="5" t="str">
        <v>245711050619</v>
      </c>
      <c r="E4796" s="0" t="e">
        <f>+7 (423) 2010315
+7 (4232) 393111
+7 (4232) 393222
+7 (4232) 393777
+7 (4232) 469050
+7 (914) 6730308</f>
        <v>#NAME?</v>
      </c>
      <c r="F4796" s="5"/>
      <c r="G4796" s="5"/>
      <c r="H4796" s="26">
        <v>10</v>
      </c>
      <c r="I4796" s="5" t="s">
        <v>39596</v>
      </c>
      <c r="J4796" s="5" t="s">
        <v>26905</v>
      </c>
      <c r="K4796" s="5" t="s">
        <v>344</v>
      </c>
      <c r="L4796" s="5"/>
      <c r="M4796" s="27"/>
      <c r="N4796" s="5"/>
      <c r="O4796" s="5" t="str">
        <v>2512305714</v>
      </c>
      <c r="P4796" s="27">
        <v>100000</v>
      </c>
      <c r="Q4796" s="5" t="s">
        <v>49059</v>
      </c>
      <c r="R4796" s="5"/>
      <c r="S4796" s="5" t="s">
        <v>49093</v>
      </c>
      <c r="T4796" s="28">
        <v>11122557000</v>
      </c>
      <c r="U4796" s="28">
        <v>6719430000</v>
      </c>
      <c r="V4796" s="28">
        <v>1878618000</v>
      </c>
      <c r="W4796" s="28"/>
      <c r="X4796" s="28">
        <v>297963000</v>
      </c>
      <c r="Y4796" s="28">
        <v>22574737000</v>
      </c>
      <c r="Z4796" s="28">
        <v>3134349000</v>
      </c>
      <c r="AA4796" s="28">
        <v>17592404000</v>
      </c>
      <c r="AB4796" s="28">
        <v>20501000</v>
      </c>
      <c r="AC4796" s="28">
        <v>836903000</v>
      </c>
      <c r="AD4796" s="28">
        <v>3448565000</v>
      </c>
      <c r="AE4796" s="28">
        <v>8222332000</v>
      </c>
      <c r="AF4796" s="28">
        <v>3246873000</v>
      </c>
      <c r="AG4796" s="11"/>
    </row>
    <row r="4797">
      <c r="A4797" s="7" t="s">
        <v>6430</v>
      </c>
      <c r="B4797" s="5" t="s">
        <v>14383</v>
      </c>
      <c r="C4797" s="5" t="s">
        <v>22115</v>
      </c>
      <c r="D4797" s="5" t="str">
        <v>780609285472</v>
      </c>
      <c r="E4797" s="0" t="e">
        <f>+7 (812) 7852509
+7 (813) 3252509
+7 (81378) 67132
+7 (81378) 67144
+7 (903) 6161995</f>
        <v>#NAME?</v>
      </c>
      <c r="F4797" s="5" t="s">
        <v>39597</v>
      </c>
      <c r="G4797" s="5"/>
      <c r="H4797" s="26">
        <v>19</v>
      </c>
      <c r="I4797" s="5" t="s">
        <v>39598</v>
      </c>
      <c r="J4797" s="5" t="s">
        <v>26180</v>
      </c>
      <c r="K4797" s="5" t="s">
        <v>344</v>
      </c>
      <c r="L4797" s="5"/>
      <c r="M4797" s="27"/>
      <c r="N4797" s="5"/>
      <c r="O4797" s="5" t="str">
        <v>4704056127</v>
      </c>
      <c r="P4797" s="27">
        <v>469125483</v>
      </c>
      <c r="Q4797" s="5" t="s">
        <v>56704</v>
      </c>
      <c r="R4797" s="5"/>
      <c r="S4797" s="5" t="s">
        <v>52597</v>
      </c>
      <c r="T4797" s="28">
        <v>7311874000</v>
      </c>
      <c r="U4797" s="28">
        <v>15000</v>
      </c>
      <c r="V4797" s="28">
        <v>1495544000</v>
      </c>
      <c r="W4797" s="28">
        <v>1640245000</v>
      </c>
      <c r="X4797" s="28">
        <v>727827000</v>
      </c>
      <c r="Y4797" s="28">
        <v>11794472000</v>
      </c>
      <c r="Z4797" s="28">
        <v>5591179000</v>
      </c>
      <c r="AA4797" s="28">
        <v>3020659000</v>
      </c>
      <c r="AB4797" s="28">
        <v>253760000</v>
      </c>
      <c r="AC4797" s="28">
        <v>1144792000</v>
      </c>
      <c r="AD4797" s="28">
        <v>6591163000</v>
      </c>
      <c r="AE4797" s="28">
        <v>3662272000</v>
      </c>
      <c r="AF4797" s="28">
        <v>1648210000</v>
      </c>
      <c r="AG4797" s="11"/>
    </row>
    <row r="4798">
      <c r="A4798" s="7" t="s">
        <v>6431</v>
      </c>
      <c r="B4798" s="5" t="s">
        <v>14384</v>
      </c>
      <c r="C4798" s="5" t="s">
        <v>22116</v>
      </c>
      <c r="D4798" s="5"/>
      <c r="E4798" s="0" t="e">
        <f>+7 (812) 3216408
+7 (812) 3851450
+7 (812) 5702704</f>
        <v>#NAME?</v>
      </c>
      <c r="F4798" s="5" t="s">
        <v>39599</v>
      </c>
      <c r="G4798" s="5" t="s">
        <v>39600</v>
      </c>
      <c r="H4798" s="26">
        <v>17.5</v>
      </c>
      <c r="I4798" s="5" t="s">
        <v>39601</v>
      </c>
      <c r="J4798" s="5" t="s">
        <v>36400</v>
      </c>
      <c r="K4798" s="5" t="s">
        <v>344</v>
      </c>
      <c r="L4798" s="5" t="s">
        <v>39602</v>
      </c>
      <c r="M4798" s="27"/>
      <c r="N4798" s="5" t="s">
        <v>56705</v>
      </c>
      <c r="O4798" s="5" t="str">
        <v>7838330803</v>
      </c>
      <c r="P4798" s="27">
        <v>10000</v>
      </c>
      <c r="Q4798" s="5"/>
      <c r="R4798" s="5"/>
      <c r="S4798" s="5" t="s">
        <v>50936</v>
      </c>
      <c r="T4798" s="28">
        <v>233644000</v>
      </c>
      <c r="U4798" s="28"/>
      <c r="V4798" s="28">
        <v>487256000</v>
      </c>
      <c r="W4798" s="28"/>
      <c r="X4798" s="28">
        <v>239860000</v>
      </c>
      <c r="Y4798" s="28">
        <v>1453639000</v>
      </c>
      <c r="Z4798" s="28">
        <v>925972000</v>
      </c>
      <c r="AA4798" s="28"/>
      <c r="AB4798" s="28"/>
      <c r="AC4798" s="28">
        <v>315432000</v>
      </c>
      <c r="AD4798" s="28">
        <v>925982000</v>
      </c>
      <c r="AE4798" s="28">
        <v>4565733000</v>
      </c>
      <c r="AF4798" s="28">
        <v>351473000</v>
      </c>
      <c r="AG4798" s="11"/>
    </row>
    <row r="4799">
      <c r="A4799" s="7" t="s">
        <v>6432</v>
      </c>
      <c r="B4799" s="5" t="s">
        <v>14385</v>
      </c>
      <c r="C4799" s="5" t="s">
        <v>22117</v>
      </c>
      <c r="D4799" s="5"/>
      <c r="E4799" s="0" t="e">
        <f>+7 (812) 2754741
+7 (812) 6333547
+7 (812) 6333548
+7 (81375) 64172
+7 (81375) 64174
+7 (81375) 64175</f>
        <v>#NAME?</v>
      </c>
      <c r="F4799" s="5" t="s">
        <v>39603</v>
      </c>
      <c r="G4799" s="5"/>
      <c r="H4799" s="26">
        <v>19.5</v>
      </c>
      <c r="I4799" s="5" t="s">
        <v>39604</v>
      </c>
      <c r="J4799" s="5" t="s">
        <v>26180</v>
      </c>
      <c r="K4799" s="5" t="s">
        <v>344</v>
      </c>
      <c r="L4799" s="5" t="s">
        <v>39605</v>
      </c>
      <c r="M4799" s="27">
        <v>8055828</v>
      </c>
      <c r="N4799" s="5"/>
      <c r="O4799" s="5" t="str">
        <v>4707020432</v>
      </c>
      <c r="P4799" s="27">
        <v>1000000000</v>
      </c>
      <c r="Q4799" s="5" t="s">
        <v>56706</v>
      </c>
      <c r="R4799" s="5"/>
      <c r="S4799" s="5" t="s">
        <v>49961</v>
      </c>
      <c r="T4799" s="28">
        <v>9998310000</v>
      </c>
      <c r="U4799" s="28"/>
      <c r="V4799" s="28">
        <v>187300000</v>
      </c>
      <c r="W4799" s="28"/>
      <c r="X4799" s="28">
        <v>5197530000</v>
      </c>
      <c r="Y4799" s="28">
        <v>15755804000</v>
      </c>
      <c r="Z4799" s="28">
        <v>241946000</v>
      </c>
      <c r="AA4799" s="28">
        <v>5539078000</v>
      </c>
      <c r="AB4799" s="28">
        <v>951316000</v>
      </c>
      <c r="AC4799" s="28">
        <v>2177794000</v>
      </c>
      <c r="AD4799" s="28">
        <v>7804641000</v>
      </c>
      <c r="AE4799" s="28">
        <v>4982355000</v>
      </c>
      <c r="AF4799" s="28">
        <v>1585946000</v>
      </c>
      <c r="AG4799" s="11"/>
    </row>
    <row r="4800">
      <c r="A4800" s="7" t="s">
        <v>6433</v>
      </c>
      <c r="B4800" s="5" t="s">
        <v>14386</v>
      </c>
      <c r="C4800" s="5" t="s">
        <v>22118</v>
      </c>
      <c r="D4800" s="5" t="str">
        <v>690259010803</v>
      </c>
      <c r="F4800" s="5"/>
      <c r="G4800" s="5"/>
      <c r="H4800" s="26">
        <v>1</v>
      </c>
      <c r="I4800" s="5" t="s">
        <v>39606</v>
      </c>
      <c r="J4800" s="5" t="s">
        <v>39607</v>
      </c>
      <c r="K4800" s="5" t="s">
        <v>355</v>
      </c>
      <c r="L4800" s="5"/>
      <c r="M4800" s="27"/>
      <c r="N4800" s="5" t="s">
        <v>56707</v>
      </c>
      <c r="O4800" s="5" t="str">
        <v>5300003058</v>
      </c>
      <c r="P4800" s="27">
        <v>11000</v>
      </c>
      <c r="Q4800" s="5"/>
      <c r="R4800" s="5"/>
      <c r="S4800" s="5" t="s">
        <v>49991</v>
      </c>
      <c r="T4800" s="28"/>
      <c r="U4800" s="28"/>
      <c r="V4800" s="28">
        <v>762000</v>
      </c>
      <c r="W4800" s="28"/>
      <c r="X4800" s="28">
        <v>186000</v>
      </c>
      <c r="Y4800" s="28">
        <v>964000</v>
      </c>
      <c r="Z4800" s="28"/>
      <c r="AA4800" s="28"/>
      <c r="AB4800" s="28"/>
      <c r="AC4800" s="28">
        <v>722000</v>
      </c>
      <c r="AD4800" s="28">
        <v>242000</v>
      </c>
      <c r="AE4800" s="28">
        <v>4088000000</v>
      </c>
      <c r="AF4800" s="28">
        <v>242000000</v>
      </c>
      <c r="AG4800" s="11"/>
    </row>
    <row r="4801">
      <c r="A4801" s="7" t="s">
        <v>6434</v>
      </c>
      <c r="B4801" s="5" t="s">
        <v>14387</v>
      </c>
      <c r="C4801" s="5" t="s">
        <v>22119</v>
      </c>
      <c r="D4801" s="5" t="str">
        <v>524612960346</v>
      </c>
      <c r="E4801" s="0" t="e">
        <f>+7 (831) 2313152
+7 (831) 2313163
+7 (831) 4313152
+7 (83159) 75155
+7 (83159) 76400
+7 (83159) 76408
+7 (83159) 76462
+7 (83159) 76523
+7 (83159) 76581</f>
        <v>#NAME?</v>
      </c>
      <c r="F4801" s="5" t="s">
        <v>39608</v>
      </c>
      <c r="G4801" s="5" t="s">
        <v>39609</v>
      </c>
      <c r="H4801" s="26">
        <v>22</v>
      </c>
      <c r="I4801" s="5" t="s">
        <v>39610</v>
      </c>
      <c r="J4801" s="5" t="s">
        <v>33361</v>
      </c>
      <c r="K4801" s="5" t="s">
        <v>344</v>
      </c>
      <c r="L4801" s="5" t="s">
        <v>39611</v>
      </c>
      <c r="M4801" s="27">
        <v>5925033</v>
      </c>
      <c r="N4801" s="5"/>
      <c r="O4801" s="5" t="str">
        <v>5246020905</v>
      </c>
      <c r="P4801" s="27">
        <v>4525471997</v>
      </c>
      <c r="Q4801" s="5"/>
      <c r="R4801" s="5"/>
      <c r="S4801" s="5" t="s">
        <v>49029</v>
      </c>
      <c r="T4801" s="28">
        <v>2489172000</v>
      </c>
      <c r="U4801" s="28"/>
      <c r="V4801" s="28">
        <v>444280000</v>
      </c>
      <c r="W4801" s="28"/>
      <c r="X4801" s="28">
        <v>453428000</v>
      </c>
      <c r="Y4801" s="28">
        <v>6207710000</v>
      </c>
      <c r="Z4801" s="28">
        <v>-1262311000</v>
      </c>
      <c r="AA4801" s="28"/>
      <c r="AB4801" s="28">
        <v>1877917000</v>
      </c>
      <c r="AC4801" s="28">
        <v>2917236000</v>
      </c>
      <c r="AD4801" s="28">
        <v>3263161000</v>
      </c>
      <c r="AE4801" s="28">
        <v>4860557000</v>
      </c>
      <c r="AF4801" s="28">
        <v>362683000</v>
      </c>
      <c r="AG4801" s="11"/>
    </row>
    <row r="4802">
      <c r="A4802" s="7" t="s">
        <v>6435</v>
      </c>
      <c r="B4802" s="5" t="s">
        <v>14388</v>
      </c>
      <c r="C4802" s="5" t="s">
        <v>22120</v>
      </c>
      <c r="D4802" s="5" t="str">
        <v>540406362579</v>
      </c>
      <c r="E4802" s="0" t="e">
        <f>+7 (3519) 490145
+7 (962) 2126067
+7 (383) 3250033</f>
        <v>#NAME?</v>
      </c>
      <c r="F4802" s="5" t="s">
        <v>39612</v>
      </c>
      <c r="G4802" s="5" t="s">
        <v>39613</v>
      </c>
      <c r="H4802" s="26">
        <v>19</v>
      </c>
      <c r="I4802" s="5" t="s">
        <v>39614</v>
      </c>
      <c r="J4802" s="5" t="s">
        <v>1046</v>
      </c>
      <c r="K4802" s="5" t="s">
        <v>344</v>
      </c>
      <c r="L4802" s="5" t="s">
        <v>39615</v>
      </c>
      <c r="M4802" s="27">
        <v>7768971</v>
      </c>
      <c r="N4802" s="5" t="s">
        <v>56708</v>
      </c>
      <c r="O4802" s="5" t="str">
        <v>5405270212</v>
      </c>
      <c r="P4802" s="27">
        <v>20000</v>
      </c>
      <c r="Q4802" s="5" t="s">
        <v>50809</v>
      </c>
      <c r="R4802" s="5" t="s">
        <v>52642</v>
      </c>
      <c r="S4802" s="5" t="s">
        <v>56709</v>
      </c>
      <c r="T4802" s="28">
        <v>926301000</v>
      </c>
      <c r="U4802" s="28"/>
      <c r="V4802" s="28">
        <v>330449000</v>
      </c>
      <c r="W4802" s="28">
        <v>51027000</v>
      </c>
      <c r="X4802" s="28">
        <v>220488000</v>
      </c>
      <c r="Y4802" s="28">
        <v>3650002000</v>
      </c>
      <c r="Z4802" s="28">
        <v>652688000</v>
      </c>
      <c r="AA4802" s="28"/>
      <c r="AB4802" s="28">
        <v>360035000</v>
      </c>
      <c r="AC4802" s="28">
        <v>1949310000</v>
      </c>
      <c r="AD4802" s="28">
        <v>652807000</v>
      </c>
      <c r="AE4802" s="28">
        <v>3353037000</v>
      </c>
      <c r="AF4802" s="28">
        <v>216111000</v>
      </c>
      <c r="AG4802" s="11"/>
    </row>
    <row r="4803">
      <c r="A4803" s="7" t="s">
        <v>6436</v>
      </c>
      <c r="B4803" s="5" t="s">
        <v>14389</v>
      </c>
      <c r="C4803" s="5" t="s">
        <v>22121</v>
      </c>
      <c r="D4803" s="5" t="str">
        <v>780217580808</v>
      </c>
      <c r="E4803" s="0" t="e">
        <f>+7 (812) 6556268
+7 (812) 2006102
+7 (812) 2006103
+7 (812) 6557695</f>
        <v>#NAME?</v>
      </c>
      <c r="F4803" s="5" t="s">
        <v>39616</v>
      </c>
      <c r="G4803" s="5"/>
      <c r="H4803" s="26">
        <v>8.5</v>
      </c>
      <c r="I4803" s="5" t="s">
        <v>39617</v>
      </c>
      <c r="J4803" s="5" t="s">
        <v>585</v>
      </c>
      <c r="K4803" s="5" t="s">
        <v>344</v>
      </c>
      <c r="L4803" s="5" t="s">
        <v>39618</v>
      </c>
      <c r="M4803" s="27">
        <v>2122514</v>
      </c>
      <c r="N4803" s="5" t="s">
        <v>50111</v>
      </c>
      <c r="O4803" s="5" t="str">
        <v>7804536186</v>
      </c>
      <c r="P4803" s="27">
        <v>6250000</v>
      </c>
      <c r="Q4803" s="5" t="s">
        <v>49009</v>
      </c>
      <c r="R4803" s="5"/>
      <c r="S4803" s="5" t="s">
        <v>49045</v>
      </c>
      <c r="T4803" s="28">
        <v>14387000</v>
      </c>
      <c r="U4803" s="28"/>
      <c r="V4803" s="28">
        <v>625020000</v>
      </c>
      <c r="W4803" s="28"/>
      <c r="X4803" s="28">
        <v>82472000</v>
      </c>
      <c r="Y4803" s="28">
        <v>1110017000</v>
      </c>
      <c r="Z4803" s="28">
        <v>592905000</v>
      </c>
      <c r="AA4803" s="28"/>
      <c r="AB4803" s="28"/>
      <c r="AC4803" s="28">
        <v>502116000</v>
      </c>
      <c r="AD4803" s="28">
        <v>599155000</v>
      </c>
      <c r="AE4803" s="28">
        <v>3124570000</v>
      </c>
      <c r="AF4803" s="28">
        <v>137592000</v>
      </c>
      <c r="AG4803" s="11"/>
    </row>
    <row r="4804">
      <c r="A4804" s="7" t="s">
        <v>6436</v>
      </c>
      <c r="B4804" s="5" t="s">
        <v>14390</v>
      </c>
      <c r="C4804" s="5" t="s">
        <v>22122</v>
      </c>
      <c r="D4804" s="5" t="str">
        <v>560600196580</v>
      </c>
      <c r="E4804" s="0" t="e">
        <f>+7 (836) 3292111
+7 (83632) 71071
+7 (83632) 73319
+7 (83632) 75543
+7 (83632) 76118
+7 (83632) 76260
+7 (83632) 77291
+7 (83632) 90209
+7 (83632) 90210
+7 (83632) 92100
+7 (83632) 92107
+7 (83632) 92112
+7 (83632) 92126
+7 (83632) 92196</f>
        <v>#NAME?</v>
      </c>
      <c r="F4804" s="5" t="s">
        <v>39619</v>
      </c>
      <c r="G4804" s="5" t="s">
        <v>39620</v>
      </c>
      <c r="H4804" s="26">
        <v>30</v>
      </c>
      <c r="I4804" s="5" t="s">
        <v>39621</v>
      </c>
      <c r="J4804" s="5" t="s">
        <v>39622</v>
      </c>
      <c r="K4804" s="5" t="s">
        <v>344</v>
      </c>
      <c r="L4804" s="5" t="s">
        <v>39623</v>
      </c>
      <c r="M4804" s="27"/>
      <c r="N4804" s="5"/>
      <c r="O4804" s="5" t="str">
        <v>1217006507</v>
      </c>
      <c r="P4804" s="27">
        <v>12500000</v>
      </c>
      <c r="Q4804" s="5"/>
      <c r="R4804" s="5"/>
      <c r="S4804" s="5" t="s">
        <v>49425</v>
      </c>
      <c r="T4804" s="28">
        <v>1320445000</v>
      </c>
      <c r="U4804" s="28"/>
      <c r="V4804" s="28">
        <v>966407000</v>
      </c>
      <c r="W4804" s="28"/>
      <c r="X4804" s="28">
        <v>15822000</v>
      </c>
      <c r="Y4804" s="28">
        <v>2928255000</v>
      </c>
      <c r="Z4804" s="28">
        <v>1356891000</v>
      </c>
      <c r="AA4804" s="28"/>
      <c r="AB4804" s="28">
        <v>572617000</v>
      </c>
      <c r="AC4804" s="28">
        <v>1319111000</v>
      </c>
      <c r="AD4804" s="28">
        <v>1607615000</v>
      </c>
      <c r="AE4804" s="28">
        <v>5747950000</v>
      </c>
      <c r="AF4804" s="28">
        <v>445645000</v>
      </c>
      <c r="AG4804" s="11"/>
    </row>
    <row r="4805">
      <c r="A4805" s="7" t="s">
        <v>6437</v>
      </c>
      <c r="B4805" s="5" t="s">
        <v>14391</v>
      </c>
      <c r="C4805" s="5" t="s">
        <v>22123</v>
      </c>
      <c r="D4805" s="5" t="str">
        <v>235300957362</v>
      </c>
      <c r="E4805" s="0" t="e">
        <f>+7 (812) 3265101
+7 (812) 3265100
+7 (812) 3265110
+7 (812) 3265152</f>
        <v>#NAME?</v>
      </c>
      <c r="F4805" s="5" t="s">
        <v>39624</v>
      </c>
      <c r="G4805" s="5" t="s">
        <v>39625</v>
      </c>
      <c r="H4805" s="26">
        <v>17.5</v>
      </c>
      <c r="I4805" s="5" t="s">
        <v>39626</v>
      </c>
      <c r="J4805" s="5" t="s">
        <v>36462</v>
      </c>
      <c r="K4805" s="5" t="s">
        <v>344</v>
      </c>
      <c r="L4805" s="5" t="s">
        <v>39627</v>
      </c>
      <c r="M4805" s="27"/>
      <c r="N4805" s="5"/>
      <c r="O4805" s="5" t="str">
        <v>4720022460</v>
      </c>
      <c r="P4805" s="27">
        <v>565851000</v>
      </c>
      <c r="Q4805" s="5"/>
      <c r="R4805" s="5"/>
      <c r="S4805" s="5" t="s">
        <v>49029</v>
      </c>
      <c r="T4805" s="28">
        <v>1981430000</v>
      </c>
      <c r="U4805" s="28">
        <v>700000000</v>
      </c>
      <c r="V4805" s="28">
        <v>971249000</v>
      </c>
      <c r="W4805" s="28"/>
      <c r="X4805" s="28">
        <v>571239000</v>
      </c>
      <c r="Y4805" s="28">
        <v>6854670000</v>
      </c>
      <c r="Z4805" s="28">
        <v>3347270000</v>
      </c>
      <c r="AA4805" s="28"/>
      <c r="AB4805" s="28"/>
      <c r="AC4805" s="28">
        <v>989872000</v>
      </c>
      <c r="AD4805" s="28">
        <v>3997999000</v>
      </c>
      <c r="AE4805" s="28">
        <v>6385095000</v>
      </c>
      <c r="AF4805" s="28">
        <v>755962000</v>
      </c>
      <c r="AG4805" s="11"/>
    </row>
    <row r="4806">
      <c r="A4806" s="7" t="s">
        <v>6438</v>
      </c>
      <c r="B4806" s="5" t="s">
        <v>14392</v>
      </c>
      <c r="C4806" s="5" t="s">
        <v>22124</v>
      </c>
      <c r="D4806" s="5" t="str">
        <v>251002730107</v>
      </c>
      <c r="E4806" s="0" t="e">
        <f>+7 (3012) 211418
+7 (3012) 213520
+7 (3012) 214211
+7 (3012) 215250
+7 (3012) 216110
+7 (3022) 268877
+7 (3022) 324504
+7 (3022) 325204
+7 (3022) 353070
+7 (3022) 353077
+7 (3022) 353928
+7 (3022) 354127
+7 (3022) 354143
+7 (3022) 356075
+7 (3022) 356562</f>
        <v>#NAME?</v>
      </c>
      <c r="F4806" s="5" t="s">
        <v>39628</v>
      </c>
      <c r="G4806" s="5" t="s">
        <v>39629</v>
      </c>
      <c r="H4806" s="26">
        <v>20</v>
      </c>
      <c r="I4806" s="5"/>
      <c r="J4806" s="5" t="s">
        <v>33072</v>
      </c>
      <c r="K4806" s="5" t="s">
        <v>355</v>
      </c>
      <c r="L4806" s="5"/>
      <c r="M4806" s="27">
        <v>1812786807</v>
      </c>
      <c r="N4806" s="5" t="s">
        <v>56711</v>
      </c>
      <c r="O4806" s="5" t="str">
        <v>7724490000</v>
      </c>
      <c r="P4806" s="27">
        <v>15753199000</v>
      </c>
      <c r="Q4806" s="5" t="s">
        <v>56712</v>
      </c>
      <c r="R4806" s="5" t="s">
        <v>56713</v>
      </c>
      <c r="S4806" s="5" t="s">
        <v>56714</v>
      </c>
      <c r="T4806" s="28">
        <v>81929448000</v>
      </c>
      <c r="U4806" s="28">
        <v>36796502000</v>
      </c>
      <c r="V4806" s="28">
        <v>41003984000</v>
      </c>
      <c r="W4806" s="28">
        <v>700000000</v>
      </c>
      <c r="X4806" s="28">
        <v>259488928000</v>
      </c>
      <c r="Y4806" s="28">
        <v>456954548000</v>
      </c>
      <c r="Z4806" s="28">
        <v>-16553692000</v>
      </c>
      <c r="AA4806" s="28">
        <v>74245973000</v>
      </c>
      <c r="AB4806" s="28">
        <v>46516184000</v>
      </c>
      <c r="AC4806" s="28">
        <v>346808800000</v>
      </c>
      <c r="AD4806" s="28">
        <v>406703000</v>
      </c>
      <c r="AE4806" s="28">
        <v>208443281000</v>
      </c>
      <c r="AF4806" s="28">
        <v>-27219372000</v>
      </c>
      <c r="AG4806" s="11"/>
    </row>
    <row r="4807">
      <c r="A4807" s="7" t="s">
        <v>6439</v>
      </c>
      <c r="B4807" s="5" t="s">
        <v>14393</v>
      </c>
      <c r="C4807" s="5" t="s">
        <v>22125</v>
      </c>
      <c r="D4807" s="5" t="str">
        <v>504802256209</v>
      </c>
      <c r="F4807" s="5" t="s">
        <v>39630</v>
      </c>
      <c r="G4807" s="5" t="s">
        <v>39631</v>
      </c>
      <c r="H4807" s="26">
        <v>2</v>
      </c>
      <c r="I4807" s="5" t="s">
        <v>39632</v>
      </c>
      <c r="J4807" s="5" t="s">
        <v>748</v>
      </c>
      <c r="K4807" s="5" t="s">
        <v>344</v>
      </c>
      <c r="L4807" s="5"/>
      <c r="M4807" s="27"/>
      <c r="N4807" s="5"/>
      <c r="O4807" s="5" t="str">
        <v>9729304853</v>
      </c>
      <c r="P4807" s="27">
        <v>25000000</v>
      </c>
      <c r="Q4807" s="5"/>
      <c r="R4807" s="5"/>
      <c r="S4807" s="5" t="s">
        <v>54836</v>
      </c>
      <c r="T4807" s="28">
        <v>81422000</v>
      </c>
      <c r="U4807" s="28"/>
      <c r="V4807" s="28">
        <v>347468000</v>
      </c>
      <c r="W4807" s="28"/>
      <c r="X4807" s="28">
        <v>883901000</v>
      </c>
      <c r="Y4807" s="28">
        <v>1989809000</v>
      </c>
      <c r="Z4807" s="28">
        <v>105997000</v>
      </c>
      <c r="AA4807" s="28"/>
      <c r="AB4807" s="28"/>
      <c r="AC4807" s="28">
        <v>1839582000</v>
      </c>
      <c r="AD4807" s="28">
        <v>130997000</v>
      </c>
      <c r="AE4807" s="28">
        <v>3465170000</v>
      </c>
      <c r="AF4807" s="28">
        <v>129333000</v>
      </c>
      <c r="AG4807" s="11"/>
    </row>
    <row r="4808">
      <c r="A4808" s="7" t="s">
        <v>6440</v>
      </c>
      <c r="B4808" s="5" t="s">
        <v>14394</v>
      </c>
      <c r="C4808" s="5" t="s">
        <v>22126</v>
      </c>
      <c r="D4808" s="5" t="str">
        <v>222503286260</v>
      </c>
      <c r="E4808" s="0" t="e">
        <f>+7 (963) 5701467
+7 (385) 2239794
+7 (385) 2602948</f>
        <v>#NAME?</v>
      </c>
      <c r="F4808" s="5" t="s">
        <v>39633</v>
      </c>
      <c r="G4808" s="5" t="s">
        <v>39634</v>
      </c>
      <c r="H4808" s="26">
        <v>19</v>
      </c>
      <c r="I4808" s="5" t="s">
        <v>39635</v>
      </c>
      <c r="J4808" s="5" t="s">
        <v>25559</v>
      </c>
      <c r="K4808" s="5" t="s">
        <v>355</v>
      </c>
      <c r="L4808" s="5" t="s">
        <v>30542</v>
      </c>
      <c r="M4808" s="27"/>
      <c r="N4808" s="5" t="s">
        <v>56716</v>
      </c>
      <c r="O4808" s="5" t="str">
        <v>2222044316</v>
      </c>
      <c r="P4808" s="27">
        <v>10000</v>
      </c>
      <c r="Q4808" s="5" t="s">
        <v>49009</v>
      </c>
      <c r="R4808" s="5"/>
      <c r="S4808" s="5" t="s">
        <v>49012</v>
      </c>
      <c r="T4808" s="28"/>
      <c r="U4808" s="28"/>
      <c r="V4808" s="28">
        <v>2183126000</v>
      </c>
      <c r="W4808" s="28"/>
      <c r="X4808" s="28">
        <v>9565000</v>
      </c>
      <c r="Y4808" s="28">
        <v>2345340000</v>
      </c>
      <c r="Z4808" s="28">
        <v>34768000</v>
      </c>
      <c r="AA4808" s="28">
        <v>299487000</v>
      </c>
      <c r="AB4808" s="28">
        <v>17533000</v>
      </c>
      <c r="AC4808" s="28">
        <v>2011041000</v>
      </c>
      <c r="AD4808" s="28">
        <v>34778000</v>
      </c>
      <c r="AE4808" s="28">
        <v>5053672000</v>
      </c>
      <c r="AF4808" s="28">
        <v>21951000</v>
      </c>
      <c r="AG4808" s="11"/>
    </row>
    <row r="4809">
      <c r="A4809" s="7" t="s">
        <v>6441</v>
      </c>
      <c r="B4809" s="5" t="s">
        <v>14395</v>
      </c>
      <c r="C4809" s="5" t="s">
        <v>22127</v>
      </c>
      <c r="D4809" s="5" t="str">
        <v>504104496803</v>
      </c>
      <c r="E4809" s="0" t="e">
        <f>+7 (495) 2233492
+7 (495) 6427084
+7 (495) 7252008
+7 (495) 9601922
+7 (495) 9721353
+7 (495) 9728147
+7 (495) 9729019
+7 (916) 6750217
+7 (926) 6449760</f>
        <v>#NAME?</v>
      </c>
      <c r="F4809" s="5"/>
      <c r="G4809" s="5" t="s">
        <v>39636</v>
      </c>
      <c r="H4809" s="26">
        <v>12</v>
      </c>
      <c r="I4809" s="5" t="s">
        <v>39637</v>
      </c>
      <c r="J4809" s="5" t="s">
        <v>27070</v>
      </c>
      <c r="K4809" s="5" t="s">
        <v>344</v>
      </c>
      <c r="L4809" s="5" t="s">
        <v>39638</v>
      </c>
      <c r="M4809" s="27">
        <v>451683</v>
      </c>
      <c r="N4809" s="5"/>
      <c r="O4809" s="5" t="str">
        <v>5035040606</v>
      </c>
      <c r="P4809" s="27">
        <v>10000</v>
      </c>
      <c r="Q4809" s="5" t="s">
        <v>49009</v>
      </c>
      <c r="R4809" s="5"/>
      <c r="S4809" s="5" t="s">
        <v>53867</v>
      </c>
      <c r="T4809" s="28">
        <v>4957472000</v>
      </c>
      <c r="U4809" s="28"/>
      <c r="V4809" s="28">
        <v>1011015000</v>
      </c>
      <c r="W4809" s="28"/>
      <c r="X4809" s="28">
        <v>1803719000</v>
      </c>
      <c r="Y4809" s="28">
        <v>9309912000</v>
      </c>
      <c r="Z4809" s="28">
        <v>7309110000</v>
      </c>
      <c r="AA4809" s="28">
        <v>500000000</v>
      </c>
      <c r="AB4809" s="28"/>
      <c r="AC4809" s="28">
        <v>930349000</v>
      </c>
      <c r="AD4809" s="28">
        <v>7309120000</v>
      </c>
      <c r="AE4809" s="28">
        <v>8730999000</v>
      </c>
      <c r="AF4809" s="28">
        <v>1896919000</v>
      </c>
      <c r="AG4809" s="11"/>
    </row>
    <row r="4810">
      <c r="A4810" s="7" t="s">
        <v>6442</v>
      </c>
      <c r="B4810" s="5" t="s">
        <v>14396</v>
      </c>
      <c r="C4810" s="5" t="s">
        <v>22128</v>
      </c>
      <c r="D4810" s="5" t="str">
        <v>772319285301</v>
      </c>
      <c r="E4810" s="0" t="e">
        <f>+7 (499) 1500691</f>
        <v>#NAME?</v>
      </c>
      <c r="F4810" s="5"/>
      <c r="G4810" s="5"/>
      <c r="H4810" s="26">
        <v>8</v>
      </c>
      <c r="I4810" s="5" t="s">
        <v>39639</v>
      </c>
      <c r="J4810" s="5" t="s">
        <v>748</v>
      </c>
      <c r="K4810" s="5" t="s">
        <v>344</v>
      </c>
      <c r="L4810" s="5" t="s">
        <v>39640</v>
      </c>
      <c r="M4810" s="27"/>
      <c r="N4810" s="5" t="s">
        <v>52386</v>
      </c>
      <c r="O4810" s="5" t="str">
        <v>7729445882</v>
      </c>
      <c r="P4810" s="27">
        <v>100000</v>
      </c>
      <c r="Q4810" s="5"/>
      <c r="R4810" s="5"/>
      <c r="S4810" s="5" t="s">
        <v>49110</v>
      </c>
      <c r="T4810" s="28">
        <v>20335000</v>
      </c>
      <c r="U4810" s="28">
        <v>33526000</v>
      </c>
      <c r="V4810" s="28">
        <v>1257606000</v>
      </c>
      <c r="W4810" s="28">
        <v>79470000</v>
      </c>
      <c r="X4810" s="28">
        <v>528278000</v>
      </c>
      <c r="Y4810" s="28">
        <v>2095767000</v>
      </c>
      <c r="Z4810" s="28">
        <v>2012075000</v>
      </c>
      <c r="AA4810" s="28"/>
      <c r="AB4810" s="28"/>
      <c r="AC4810" s="28">
        <v>83593000</v>
      </c>
      <c r="AD4810" s="28">
        <v>2012175000</v>
      </c>
      <c r="AE4810" s="28">
        <v>4385880000</v>
      </c>
      <c r="AF4810" s="28">
        <v>3481369000</v>
      </c>
      <c r="AG4810" s="11"/>
    </row>
    <row r="4811">
      <c r="A4811" s="7" t="s">
        <v>6443</v>
      </c>
      <c r="B4811" s="5" t="s">
        <v>14397</v>
      </c>
      <c r="C4811" s="5" t="s">
        <v>22129</v>
      </c>
      <c r="D4811" s="5" t="str">
        <v>753001313500</v>
      </c>
      <c r="E4811" s="0" t="e">
        <f>+7 (30245) 35372
+7 (30245) 23505
+7 (30245) 25395
+7 (30245) 34662
+7 (30245) 34678
+7 (30245) 35317
+7 (30245) 35457
+7 (30245) 35902
+7 (3022) 359552
+7 (3022) 359553
+7 (30245) 25034
+7 (30245) 25192
+7 (30245) 35275
+7 (30245) 35350
+7 (30245) 35357</f>
        <v>#NAME?</v>
      </c>
      <c r="F4811" s="5" t="s">
        <v>39641</v>
      </c>
      <c r="G4811" s="5"/>
      <c r="H4811" s="26">
        <v>31.5</v>
      </c>
      <c r="I4811" s="5" t="s">
        <v>39642</v>
      </c>
      <c r="J4811" s="5" t="s">
        <v>28418</v>
      </c>
      <c r="K4811" s="5" t="s">
        <v>344</v>
      </c>
      <c r="L4811" s="5"/>
      <c r="M4811" s="27">
        <v>56195201</v>
      </c>
      <c r="N4811" s="5" t="s">
        <v>56717</v>
      </c>
      <c r="O4811" s="5" t="str">
        <v>7530000048</v>
      </c>
      <c r="P4811" s="27">
        <v>11514345</v>
      </c>
      <c r="Q4811" s="5" t="s">
        <v>56718</v>
      </c>
      <c r="R4811" s="5"/>
      <c r="S4811" s="5" t="s">
        <v>49660</v>
      </c>
      <c r="T4811" s="28">
        <v>21761290000</v>
      </c>
      <c r="U4811" s="28">
        <v>1783753000</v>
      </c>
      <c r="V4811" s="28">
        <v>3215999000</v>
      </c>
      <c r="W4811" s="28">
        <v>1893276000</v>
      </c>
      <c r="X4811" s="28">
        <v>67350000</v>
      </c>
      <c r="Y4811" s="28">
        <v>36730270000</v>
      </c>
      <c r="Z4811" s="28">
        <v>-18374118000</v>
      </c>
      <c r="AA4811" s="28">
        <v>2594249000</v>
      </c>
      <c r="AB4811" s="28">
        <v>767852000</v>
      </c>
      <c r="AC4811" s="28">
        <v>7541770000</v>
      </c>
      <c r="AD4811" s="28">
        <v>25478255000</v>
      </c>
      <c r="AE4811" s="28">
        <v>16644121000</v>
      </c>
      <c r="AF4811" s="28">
        <v>-4309511000</v>
      </c>
      <c r="AG4811" s="11"/>
    </row>
    <row r="4812">
      <c r="A4812" s="7" t="s">
        <v>6444</v>
      </c>
      <c r="B4812" s="5" t="s">
        <v>14398</v>
      </c>
      <c r="C4812" s="5" t="s">
        <v>22130</v>
      </c>
      <c r="D4812" s="5" t="str">
        <v>770303958759</v>
      </c>
      <c r="E4812" s="0" t="e">
        <f>+7 (495) 1905933
+7 (495) 6208440
+7 (495) 6603223
+7 (495) 6603226
+7 (495) 9402709
+7 (499) 2155051
+7 (499) 2502191
+7 (499) 2509995
+7 (495) 2502024
+7 (495) 2502250
+7 (495) 2503395
+7 (495) 2503936
+7 (495) 6603222
+7 (495) 7893282
+7 (499) 2503395</f>
        <v>#NAME?</v>
      </c>
      <c r="F4812" s="5" t="s">
        <v>39643</v>
      </c>
      <c r="G4812" s="5" t="s">
        <v>39644</v>
      </c>
      <c r="H4812" s="26">
        <v>29</v>
      </c>
      <c r="I4812" s="5" t="s">
        <v>39645</v>
      </c>
      <c r="J4812" s="5" t="s">
        <v>678</v>
      </c>
      <c r="K4812" s="5" t="s">
        <v>344</v>
      </c>
      <c r="L4812" s="5"/>
      <c r="M4812" s="27">
        <v>88777053</v>
      </c>
      <c r="N4812" s="5" t="s">
        <v>56719</v>
      </c>
      <c r="O4812" s="5" t="str">
        <v>7710142570</v>
      </c>
      <c r="P4812" s="27">
        <v>600000000</v>
      </c>
      <c r="Q4812" s="5" t="s">
        <v>56720</v>
      </c>
      <c r="R4812" s="5"/>
      <c r="S4812" s="5" t="s">
        <v>56721</v>
      </c>
      <c r="T4812" s="28">
        <v>1744942000</v>
      </c>
      <c r="U4812" s="28"/>
      <c r="V4812" s="28">
        <v>550184000</v>
      </c>
      <c r="W4812" s="28">
        <v>3500000</v>
      </c>
      <c r="X4812" s="28">
        <v>2840531000</v>
      </c>
      <c r="Y4812" s="28">
        <v>6007822000</v>
      </c>
      <c r="Z4812" s="28">
        <v>556219000</v>
      </c>
      <c r="AA4812" s="28"/>
      <c r="AB4812" s="28"/>
      <c r="AC4812" s="28">
        <v>3385887000</v>
      </c>
      <c r="AD4812" s="28">
        <v>1429272000</v>
      </c>
      <c r="AE4812" s="28">
        <v>5060200000</v>
      </c>
      <c r="AF4812" s="28">
        <v>7756000</v>
      </c>
      <c r="AG4812" s="11"/>
    </row>
    <row r="4813">
      <c r="A4813" s="7" t="s">
        <v>6445</v>
      </c>
      <c r="B4813" s="5" t="s">
        <v>14399</v>
      </c>
      <c r="C4813" s="5" t="s">
        <v>19422</v>
      </c>
      <c r="D4813" s="5" t="str">
        <v>760304626407</v>
      </c>
      <c r="E4813" s="0" t="e">
        <f>+7 (800) 3333341
+7 (495) 1012940
+7 (495) 2800110
+7 (495) 4891244
+7 (495) 6800122
+7 (800) 2229254</f>
        <v>#NAME?</v>
      </c>
      <c r="F4813" s="5" t="s">
        <v>39646</v>
      </c>
      <c r="G4813" s="5" t="s">
        <v>39647</v>
      </c>
      <c r="H4813" s="26">
        <v>21.5</v>
      </c>
      <c r="I4813" s="5" t="s">
        <v>39648</v>
      </c>
      <c r="J4813" s="5" t="s">
        <v>32761</v>
      </c>
      <c r="K4813" s="5" t="s">
        <v>344</v>
      </c>
      <c r="L4813" s="5" t="s">
        <v>39649</v>
      </c>
      <c r="M4813" s="27"/>
      <c r="N4813" s="5" t="s">
        <v>56722</v>
      </c>
      <c r="O4813" s="5" t="str">
        <v>7743036465</v>
      </c>
      <c r="P4813" s="27">
        <v>34081914</v>
      </c>
      <c r="Q4813" s="5" t="s">
        <v>56723</v>
      </c>
      <c r="R4813" s="5"/>
      <c r="S4813" s="5" t="s">
        <v>56724</v>
      </c>
      <c r="T4813" s="28">
        <v>281273000</v>
      </c>
      <c r="U4813" s="28">
        <v>3101106000</v>
      </c>
      <c r="V4813" s="28">
        <v>15432246000</v>
      </c>
      <c r="W4813" s="28">
        <v>90000000</v>
      </c>
      <c r="X4813" s="28">
        <v>8095069000</v>
      </c>
      <c r="Y4813" s="28">
        <v>27125735000</v>
      </c>
      <c r="Z4813" s="28">
        <v>11390650000</v>
      </c>
      <c r="AA4813" s="28"/>
      <c r="AB4813" s="28"/>
      <c r="AC4813" s="28">
        <v>15477018000</v>
      </c>
      <c r="AD4813" s="28">
        <v>11433252000</v>
      </c>
      <c r="AE4813" s="28">
        <v>115193839000</v>
      </c>
      <c r="AF4813" s="28">
        <v>1977401000</v>
      </c>
      <c r="AG4813" s="11"/>
    </row>
    <row r="4814">
      <c r="A4814" s="7" t="s">
        <v>6446</v>
      </c>
      <c r="B4814" s="5" t="s">
        <v>14400</v>
      </c>
      <c r="C4814" s="5" t="s">
        <v>22131</v>
      </c>
      <c r="D4814" s="5" t="str">
        <v>780423670630</v>
      </c>
      <c r="E4814" s="0" t="e">
        <f>+7 (812) 2347643
+7 (812) 3634910
+7 (812) 2347642
+7 (812) 3297659
+7 (812) 5161026
+7 (812) 5391310
+7 (812) 5915120
+7 (812) 5915548
+7 (812) 5915552
+7 (812) 5915560
+7 (812) 5915561
+7 (812) 5915606
+7 (911) 9292433</f>
        <v>#NAME?</v>
      </c>
      <c r="F4814" s="5" t="s">
        <v>39650</v>
      </c>
      <c r="G4814" s="5" t="s">
        <v>39651</v>
      </c>
      <c r="H4814" s="26">
        <v>30</v>
      </c>
      <c r="I4814" s="5" t="s">
        <v>39652</v>
      </c>
      <c r="J4814" s="5" t="s">
        <v>947</v>
      </c>
      <c r="K4814" s="5" t="s">
        <v>344</v>
      </c>
      <c r="L4814" s="5"/>
      <c r="M4814" s="27"/>
      <c r="N4814" s="5" t="s">
        <v>56725</v>
      </c>
      <c r="O4814" s="5" t="str">
        <v>4725006039</v>
      </c>
      <c r="P4814" s="27">
        <v>410000000</v>
      </c>
      <c r="Q4814" s="5" t="s">
        <v>56726</v>
      </c>
      <c r="R4814" s="5"/>
      <c r="S4814" s="5" t="s">
        <v>52425</v>
      </c>
      <c r="T4814" s="28">
        <v>328948000</v>
      </c>
      <c r="U4814" s="28">
        <v>8000</v>
      </c>
      <c r="V4814" s="28">
        <v>831113000</v>
      </c>
      <c r="W4814" s="28">
        <v>1339692000</v>
      </c>
      <c r="X4814" s="28">
        <v>164774000</v>
      </c>
      <c r="Y4814" s="28">
        <v>3809747000</v>
      </c>
      <c r="Z4814" s="28">
        <v>432801000</v>
      </c>
      <c r="AA4814" s="28">
        <v>1927000</v>
      </c>
      <c r="AB4814" s="28"/>
      <c r="AC4814" s="28">
        <v>2379022000</v>
      </c>
      <c r="AD4814" s="28">
        <v>1428798000</v>
      </c>
      <c r="AE4814" s="28">
        <v>4406167000</v>
      </c>
      <c r="AF4814" s="28">
        <v>21918000</v>
      </c>
      <c r="AG4814" s="11"/>
    </row>
    <row r="4815">
      <c r="A4815" s="7" t="s">
        <v>6447</v>
      </c>
      <c r="B4815" s="5" t="s">
        <v>14401</v>
      </c>
      <c r="C4815" s="5" t="s">
        <v>22132</v>
      </c>
      <c r="D4815" s="5" t="str">
        <v>666101560082</v>
      </c>
      <c r="E4815" s="0" t="e">
        <f>+7 (3433) 20525</f>
        <v>#NAME?</v>
      </c>
      <c r="F4815" s="5"/>
      <c r="G4815" s="5"/>
      <c r="H4815" s="26">
        <v>7</v>
      </c>
      <c r="I4815" s="5" t="s">
        <v>39653</v>
      </c>
      <c r="J4815" s="5" t="s">
        <v>27151</v>
      </c>
      <c r="K4815" s="5" t="s">
        <v>355</v>
      </c>
      <c r="L4815" s="5" t="s">
        <v>39654</v>
      </c>
      <c r="M4815" s="27">
        <v>4577072</v>
      </c>
      <c r="N4815" s="5"/>
      <c r="O4815" s="5" t="str">
        <v>6658486694</v>
      </c>
      <c r="P4815" s="27">
        <v>1000000</v>
      </c>
      <c r="Q4815" s="5"/>
      <c r="R4815" s="5"/>
      <c r="S4815" s="5" t="s">
        <v>49110</v>
      </c>
      <c r="T4815" s="28">
        <v>31554000</v>
      </c>
      <c r="U4815" s="28">
        <v>11505000</v>
      </c>
      <c r="V4815" s="28">
        <v>890279000</v>
      </c>
      <c r="W4815" s="28">
        <v>275703000</v>
      </c>
      <c r="X4815" s="28">
        <v>244450000</v>
      </c>
      <c r="Y4815" s="28">
        <v>3028835000</v>
      </c>
      <c r="Z4815" s="28">
        <v>151493000</v>
      </c>
      <c r="AA4815" s="28">
        <v>286933000</v>
      </c>
      <c r="AB4815" s="28">
        <v>19405000</v>
      </c>
      <c r="AC4815" s="28">
        <v>2589045000</v>
      </c>
      <c r="AD4815" s="28">
        <v>152493000</v>
      </c>
      <c r="AE4815" s="28">
        <v>10695500000</v>
      </c>
      <c r="AF4815" s="28">
        <v>41936000</v>
      </c>
      <c r="AG4815" s="11"/>
    </row>
    <row r="4816">
      <c r="A4816" s="7" t="s">
        <v>6448</v>
      </c>
      <c r="B4816" s="5" t="s">
        <v>14402</v>
      </c>
      <c r="C4816" s="5" t="s">
        <v>22133</v>
      </c>
      <c r="D4816" s="5" t="str">
        <v>183112005574</v>
      </c>
      <c r="E4816" s="0" t="e">
        <f>+7 (3412) 424411
+7 (3412) 427724
+7 (912) 8524470</f>
        <v>#NAME?</v>
      </c>
      <c r="F4816" s="5" t="s">
        <v>39655</v>
      </c>
      <c r="G4816" s="5" t="s">
        <v>39656</v>
      </c>
      <c r="H4816" s="26">
        <v>10.5</v>
      </c>
      <c r="I4816" s="5" t="s">
        <v>39657</v>
      </c>
      <c r="J4816" s="5" t="s">
        <v>678</v>
      </c>
      <c r="K4816" s="5" t="s">
        <v>344</v>
      </c>
      <c r="L4816" s="5" t="s">
        <v>39658</v>
      </c>
      <c r="M4816" s="27"/>
      <c r="N4816" s="5" t="s">
        <v>56727</v>
      </c>
      <c r="O4816" s="5" t="str">
        <v>1840010172</v>
      </c>
      <c r="P4816" s="27">
        <v>10000</v>
      </c>
      <c r="Q4816" s="5"/>
      <c r="R4816" s="5"/>
      <c r="S4816" s="5" t="s">
        <v>49047</v>
      </c>
      <c r="T4816" s="28">
        <v>21436000</v>
      </c>
      <c r="U4816" s="28"/>
      <c r="V4816" s="28">
        <v>199832000</v>
      </c>
      <c r="W4816" s="28"/>
      <c r="X4816" s="28">
        <v>287010000</v>
      </c>
      <c r="Y4816" s="28">
        <v>633786000</v>
      </c>
      <c r="Z4816" s="28">
        <v>20633000</v>
      </c>
      <c r="AA4816" s="28"/>
      <c r="AB4816" s="28"/>
      <c r="AC4816" s="28">
        <v>606184000</v>
      </c>
      <c r="AD4816" s="28">
        <v>20643000</v>
      </c>
      <c r="AE4816" s="28">
        <v>3637490000</v>
      </c>
      <c r="AF4816" s="28">
        <v>2411000</v>
      </c>
      <c r="AG4816" s="11"/>
    </row>
    <row r="4817">
      <c r="A4817" s="7" t="s">
        <v>6449</v>
      </c>
      <c r="B4817" s="5" t="s">
        <v>14403</v>
      </c>
      <c r="C4817" s="5" t="s">
        <v>22134</v>
      </c>
      <c r="D4817" s="5" t="str">
        <v>220400899408</v>
      </c>
      <c r="E4817" s="0" t="e">
        <f>+7 (385) 2444044
+7 (383) 2641506
+7 (385) 2524209
+7 (385) 4718899
+7 (38532) 61281
+7 (38532) 61613
+7 (3854) 443533
+7 (3854) 443714
+7 (3854) 443726
+7 (3854) 443731
+7 (3854) 443737
+7 (3854) 443738
+7 (3854) 443745
+7 (3854) 444044
+7 (3854) 444045</f>
        <v>#NAME?</v>
      </c>
      <c r="F4817" s="5" t="s">
        <v>39659</v>
      </c>
      <c r="G4817" s="5" t="s">
        <v>39660</v>
      </c>
      <c r="H4817" s="26">
        <v>16</v>
      </c>
      <c r="I4817" s="5" t="s">
        <v>39661</v>
      </c>
      <c r="J4817" s="5" t="s">
        <v>26511</v>
      </c>
      <c r="K4817" s="5" t="s">
        <v>344</v>
      </c>
      <c r="L4817" s="5"/>
      <c r="M4817" s="27"/>
      <c r="N4817" s="5" t="s">
        <v>56728</v>
      </c>
      <c r="O4817" s="5" t="str">
        <v>2204029266</v>
      </c>
      <c r="P4817" s="27">
        <v>10000000</v>
      </c>
      <c r="Q4817" s="5" t="s">
        <v>49009</v>
      </c>
      <c r="R4817" s="5"/>
      <c r="S4817" s="5" t="s">
        <v>49576</v>
      </c>
      <c r="T4817" s="28">
        <v>22445000</v>
      </c>
      <c r="U4817" s="28">
        <v>831034000</v>
      </c>
      <c r="V4817" s="28">
        <v>1296237000</v>
      </c>
      <c r="W4817" s="28">
        <v>52769000</v>
      </c>
      <c r="X4817" s="28">
        <v>28528000</v>
      </c>
      <c r="Y4817" s="28">
        <v>2461753000</v>
      </c>
      <c r="Z4817" s="28">
        <v>149199000</v>
      </c>
      <c r="AA4817" s="28">
        <v>570681000</v>
      </c>
      <c r="AB4817" s="28">
        <v>296000</v>
      </c>
      <c r="AC4817" s="28">
        <v>1039763000</v>
      </c>
      <c r="AD4817" s="28">
        <v>851309000</v>
      </c>
      <c r="AE4817" s="28">
        <v>9010983000</v>
      </c>
      <c r="AF4817" s="28">
        <v>44849000</v>
      </c>
      <c r="AG4817" s="11"/>
    </row>
    <row r="4818">
      <c r="A4818" s="7" t="s">
        <v>6450</v>
      </c>
      <c r="B4818" s="5" t="s">
        <v>14404</v>
      </c>
      <c r="C4818" s="5" t="s">
        <v>22135</v>
      </c>
      <c r="D4818" s="5" t="str">
        <v>503806887387</v>
      </c>
      <c r="E4818" s="0" t="e">
        <f>+7 (926) 2052081
+7 (495) 6461012</f>
        <v>#NAME?</v>
      </c>
      <c r="F4818" s="5" t="s">
        <v>39662</v>
      </c>
      <c r="G4818" s="5" t="s">
        <v>39663</v>
      </c>
      <c r="H4818" s="26">
        <v>11.5</v>
      </c>
      <c r="I4818" s="5" t="s">
        <v>39664</v>
      </c>
      <c r="J4818" s="5" t="s">
        <v>364</v>
      </c>
      <c r="K4818" s="5" t="s">
        <v>344</v>
      </c>
      <c r="L4818" s="5" t="s">
        <v>39665</v>
      </c>
      <c r="M4818" s="27">
        <v>441769</v>
      </c>
      <c r="N4818" s="5" t="s">
        <v>49892</v>
      </c>
      <c r="O4818" s="5" t="str">
        <v>7707762609</v>
      </c>
      <c r="P4818" s="27">
        <v>100000</v>
      </c>
      <c r="Q4818" s="5" t="s">
        <v>56730</v>
      </c>
      <c r="R4818" s="5" t="s">
        <v>55947</v>
      </c>
      <c r="S4818" s="5" t="s">
        <v>56731</v>
      </c>
      <c r="T4818" s="28">
        <v>366980000</v>
      </c>
      <c r="U4818" s="28">
        <v>1128269000</v>
      </c>
      <c r="V4818" s="28">
        <v>20105340000</v>
      </c>
      <c r="W4818" s="28">
        <v>239346000</v>
      </c>
      <c r="X4818" s="28">
        <v>2009375000</v>
      </c>
      <c r="Y4818" s="28">
        <v>28565278000</v>
      </c>
      <c r="Z4818" s="28">
        <v>3096285000</v>
      </c>
      <c r="AA4818" s="28"/>
      <c r="AB4818" s="28">
        <v>79861000</v>
      </c>
      <c r="AC4818" s="28">
        <v>25149906000</v>
      </c>
      <c r="AD4818" s="28">
        <v>3096385000</v>
      </c>
      <c r="AE4818" s="28">
        <v>19109206000</v>
      </c>
      <c r="AF4818" s="28">
        <v>1854918000</v>
      </c>
      <c r="AG4818" s="11"/>
    </row>
    <row r="4819">
      <c r="A4819" s="7" t="s">
        <v>6451</v>
      </c>
      <c r="B4819" s="5" t="s">
        <v>14405</v>
      </c>
      <c r="C4819" s="5" t="s">
        <v>22136</v>
      </c>
      <c r="D4819" s="5" t="str">
        <v>773111630695</v>
      </c>
      <c r="E4819" s="0" t="e">
        <f>+7 (495) 6462824
+7 (919) 304275</f>
        <v>#NAME?</v>
      </c>
      <c r="F4819" s="5" t="s">
        <v>39666</v>
      </c>
      <c r="G4819" s="5"/>
      <c r="H4819" s="26">
        <v>12</v>
      </c>
      <c r="I4819" s="5" t="s">
        <v>39667</v>
      </c>
      <c r="J4819" s="5" t="s">
        <v>28738</v>
      </c>
      <c r="K4819" s="5" t="s">
        <v>344</v>
      </c>
      <c r="L4819" s="5" t="s">
        <v>39668</v>
      </c>
      <c r="M4819" s="27"/>
      <c r="N4819" s="5"/>
      <c r="O4819" s="5" t="str">
        <v>7723789076</v>
      </c>
      <c r="P4819" s="27">
        <v>5000000</v>
      </c>
      <c r="Q4819" s="5" t="s">
        <v>49009</v>
      </c>
      <c r="R4819" s="5"/>
      <c r="S4819" s="5" t="s">
        <v>49010</v>
      </c>
      <c r="T4819" s="28">
        <v>7373000</v>
      </c>
      <c r="U4819" s="28"/>
      <c r="V4819" s="28">
        <v>703710000</v>
      </c>
      <c r="W4819" s="28">
        <v>23000000</v>
      </c>
      <c r="X4819" s="28">
        <v>345000</v>
      </c>
      <c r="Y4819" s="28">
        <v>923838000</v>
      </c>
      <c r="Z4819" s="28">
        <v>715108000</v>
      </c>
      <c r="AA4819" s="28">
        <v>181573000</v>
      </c>
      <c r="AB4819" s="28">
        <v>6091000</v>
      </c>
      <c r="AC4819" s="28">
        <v>22158000</v>
      </c>
      <c r="AD4819" s="28">
        <v>720108000</v>
      </c>
      <c r="AE4819" s="28">
        <v>4103837000</v>
      </c>
      <c r="AF4819" s="28">
        <v>64029000</v>
      </c>
      <c r="AG4819" s="11"/>
    </row>
    <row r="4820">
      <c r="A4820" s="7" t="s">
        <v>6452</v>
      </c>
      <c r="B4820" s="5" t="s">
        <v>14406</v>
      </c>
      <c r="C4820" s="5" t="s">
        <v>22137</v>
      </c>
      <c r="D4820" s="5" t="str">
        <v>482300950859</v>
      </c>
      <c r="E4820" s="0" t="e">
        <f>+7 (474) 2755001
+7 (980) 3573825
+7 (474) 2755011
+7 (474) 2755015
+7 (495) 6462824</f>
        <v>#NAME?</v>
      </c>
      <c r="F4820" s="5" t="s">
        <v>39669</v>
      </c>
      <c r="G4820" s="5" t="s">
        <v>39670</v>
      </c>
      <c r="H4820" s="26">
        <v>10</v>
      </c>
      <c r="I4820" s="5" t="s">
        <v>39671</v>
      </c>
      <c r="J4820" s="5" t="s">
        <v>26391</v>
      </c>
      <c r="K4820" s="5" t="s">
        <v>344</v>
      </c>
      <c r="L4820" s="5"/>
      <c r="M4820" s="27"/>
      <c r="N4820" s="5" t="s">
        <v>51175</v>
      </c>
      <c r="O4820" s="5" t="str">
        <v>4802024282</v>
      </c>
      <c r="P4820" s="27">
        <v>100000</v>
      </c>
      <c r="Q4820" s="5"/>
      <c r="R4820" s="5"/>
      <c r="S4820" s="5" t="s">
        <v>49499</v>
      </c>
      <c r="T4820" s="28">
        <v>226989000</v>
      </c>
      <c r="U4820" s="28">
        <v>5099000</v>
      </c>
      <c r="V4820" s="28">
        <v>1206188000</v>
      </c>
      <c r="W4820" s="28">
        <v>22620000</v>
      </c>
      <c r="X4820" s="28">
        <v>1701842000</v>
      </c>
      <c r="Y4820" s="28">
        <v>5982879000</v>
      </c>
      <c r="Z4820" s="28">
        <v>1651243000</v>
      </c>
      <c r="AA4820" s="28">
        <v>427179000</v>
      </c>
      <c r="AB4820" s="28"/>
      <c r="AC4820" s="28">
        <v>3355896000</v>
      </c>
      <c r="AD4820" s="28">
        <v>1767519000</v>
      </c>
      <c r="AE4820" s="28">
        <v>10420429000</v>
      </c>
      <c r="AF4820" s="28">
        <v>1610215000</v>
      </c>
      <c r="AG4820" s="11"/>
    </row>
    <row r="4821">
      <c r="A4821" s="7" t="s">
        <v>6453</v>
      </c>
      <c r="B4821" s="5" t="s">
        <v>14407</v>
      </c>
      <c r="C4821" s="5" t="s">
        <v>22138</v>
      </c>
      <c r="D4821" s="5" t="str">
        <v>631601689294</v>
      </c>
      <c r="E4821" s="0" t="e">
        <f>+7 (846) 2071261
+7 (846) 2074164
+7 (846) 2345232
+7 (846) 2351561
+7 (84633) 41752
+7 (84633) 45232
+7 (84633) 46594
+7 (84633) 47636
+7 (84633) 48236
+7 (84633) 48586
+7 (84633) 51561
+7 (84633) 51796</f>
        <v>#NAME?</v>
      </c>
      <c r="F4821" s="5" t="s">
        <v>39672</v>
      </c>
      <c r="G4821" s="5" t="s">
        <v>39673</v>
      </c>
      <c r="H4821" s="26">
        <v>23</v>
      </c>
      <c r="I4821" s="5" t="s">
        <v>39674</v>
      </c>
      <c r="J4821" s="5" t="s">
        <v>28030</v>
      </c>
      <c r="K4821" s="5" t="s">
        <v>344</v>
      </c>
      <c r="L4821" s="5" t="s">
        <v>39675</v>
      </c>
      <c r="M4821" s="27"/>
      <c r="N4821" s="5" t="s">
        <v>56732</v>
      </c>
      <c r="O4821" s="5" t="str">
        <v>6316059876</v>
      </c>
      <c r="P4821" s="27">
        <v>20000000</v>
      </c>
      <c r="Q4821" s="5" t="s">
        <v>56733</v>
      </c>
      <c r="R4821" s="5"/>
      <c r="S4821" s="5" t="s">
        <v>56734</v>
      </c>
      <c r="T4821" s="28">
        <v>347037000</v>
      </c>
      <c r="U4821" s="28"/>
      <c r="V4821" s="28">
        <v>1230028000</v>
      </c>
      <c r="W4821" s="28">
        <v>441737000</v>
      </c>
      <c r="X4821" s="28">
        <v>636805000</v>
      </c>
      <c r="Y4821" s="28">
        <v>3502830000</v>
      </c>
      <c r="Z4821" s="28">
        <v>3217945000</v>
      </c>
      <c r="AA4821" s="28"/>
      <c r="AB4821" s="28"/>
      <c r="AC4821" s="28">
        <v>264807000</v>
      </c>
      <c r="AD4821" s="28">
        <v>3237945000</v>
      </c>
      <c r="AE4821" s="28">
        <v>3600222000</v>
      </c>
      <c r="AF4821" s="28">
        <v>965572000</v>
      </c>
      <c r="AG4821" s="11"/>
    </row>
    <row r="4822">
      <c r="A4822" s="7" t="s">
        <v>6454</v>
      </c>
      <c r="B4822" s="5" t="s">
        <v>14408</v>
      </c>
      <c r="C4822" s="5" t="s">
        <v>22139</v>
      </c>
      <c r="D4822" s="5" t="str">
        <v>164403974815</v>
      </c>
      <c r="E4822" s="0" t="e">
        <f>+7 (8553) 458102
+7 (8553) 259233
+7 (8553) 259456
+7 (8553) 458099</f>
        <v>#NAME?</v>
      </c>
      <c r="F4822" s="5" t="s">
        <v>39676</v>
      </c>
      <c r="G4822" s="5" t="s">
        <v>39677</v>
      </c>
      <c r="H4822" s="26">
        <v>20.5</v>
      </c>
      <c r="I4822" s="5"/>
      <c r="J4822" s="5" t="s">
        <v>26607</v>
      </c>
      <c r="K4822" s="5" t="s">
        <v>344</v>
      </c>
      <c r="L4822" s="5" t="s">
        <v>39678</v>
      </c>
      <c r="M4822" s="27"/>
      <c r="N4822" s="5"/>
      <c r="O4822" s="5" t="str">
        <v>1644015713</v>
      </c>
      <c r="P4822" s="27">
        <v>95000</v>
      </c>
      <c r="Q4822" s="5" t="s">
        <v>56735</v>
      </c>
      <c r="R4822" s="5"/>
      <c r="S4822" s="5" t="s">
        <v>56736</v>
      </c>
      <c r="T4822" s="28">
        <v>6876003000</v>
      </c>
      <c r="U4822" s="28">
        <v>107472000</v>
      </c>
      <c r="V4822" s="28">
        <v>1152226000</v>
      </c>
      <c r="W4822" s="28"/>
      <c r="X4822" s="28">
        <v>576306000</v>
      </c>
      <c r="Y4822" s="28">
        <v>9393123000</v>
      </c>
      <c r="Z4822" s="28">
        <v>6267125000</v>
      </c>
      <c r="AA4822" s="28"/>
      <c r="AB4822" s="28"/>
      <c r="AC4822" s="28">
        <v>1333902000</v>
      </c>
      <c r="AD4822" s="28">
        <v>6313776000</v>
      </c>
      <c r="AE4822" s="28">
        <v>14983559000</v>
      </c>
      <c r="AF4822" s="28">
        <v>409966000</v>
      </c>
      <c r="AG4822" s="11"/>
    </row>
    <row r="4823">
      <c r="A4823" s="7" t="s">
        <v>6455</v>
      </c>
      <c r="B4823" s="5" t="s">
        <v>14409</v>
      </c>
      <c r="C4823" s="5" t="s">
        <v>22140</v>
      </c>
      <c r="D4823" s="5" t="str">
        <v>370200479792</v>
      </c>
      <c r="E4823" s="0" t="e">
        <f>+7 (493) 2353959
+7 (493) 2304391
+7 (493) 2325486
+7 (493) 2350679
+7 (493) 2353958
+7 (493) 2353961
+7 (493) 2930058
+7 (493) 2930059
+7 (964) 4823007</f>
        <v>#NAME?</v>
      </c>
      <c r="F4823" s="5" t="s">
        <v>39679</v>
      </c>
      <c r="G4823" s="5"/>
      <c r="H4823" s="26">
        <v>31.5</v>
      </c>
      <c r="I4823" s="5" t="s">
        <v>39680</v>
      </c>
      <c r="J4823" s="5" t="s">
        <v>30764</v>
      </c>
      <c r="K4823" s="5" t="s">
        <v>344</v>
      </c>
      <c r="L4823" s="5" t="s">
        <v>39681</v>
      </c>
      <c r="M4823" s="27"/>
      <c r="N4823" s="5" t="s">
        <v>56737</v>
      </c>
      <c r="O4823" s="5" t="str">
        <v>3730004518</v>
      </c>
      <c r="P4823" s="27">
        <v>15000</v>
      </c>
      <c r="Q4823" s="5" t="s">
        <v>49009</v>
      </c>
      <c r="R4823" s="5"/>
      <c r="S4823" s="5" t="s">
        <v>49028</v>
      </c>
      <c r="T4823" s="28">
        <v>48496000</v>
      </c>
      <c r="U4823" s="28">
        <v>10000</v>
      </c>
      <c r="V4823" s="28">
        <v>1146000000</v>
      </c>
      <c r="W4823" s="28"/>
      <c r="X4823" s="28">
        <v>6112000</v>
      </c>
      <c r="Y4823" s="28">
        <v>1250872000</v>
      </c>
      <c r="Z4823" s="28">
        <v>333755000</v>
      </c>
      <c r="AA4823" s="28"/>
      <c r="AB4823" s="28">
        <v>262741000</v>
      </c>
      <c r="AC4823" s="28">
        <v>908781000</v>
      </c>
      <c r="AD4823" s="28">
        <v>340255000</v>
      </c>
      <c r="AE4823" s="28">
        <v>4140338000</v>
      </c>
      <c r="AF4823" s="28">
        <v>128335000</v>
      </c>
      <c r="AG4823" s="11"/>
    </row>
    <row r="4824">
      <c r="A4824" s="7" t="s">
        <v>6456</v>
      </c>
      <c r="B4824" s="5" t="s">
        <v>14410</v>
      </c>
      <c r="C4824" s="5" t="s">
        <v>22141</v>
      </c>
      <c r="D4824" s="5" t="str">
        <v>667350833550</v>
      </c>
      <c r="E4824" s="0" t="e">
        <f>+7 (343) 2170078
+7 (343) 2170150
+7 (343) 2170367
+7 (343) 3111211
+7 (343) 3831257
+7 (343) 3836491
+7 (343) 3836493
+7 (343) 3836494
+7 (3433) 565154
+7 (384) 2452311
+7 (385) 2200048</f>
        <v>#NAME?</v>
      </c>
      <c r="F4824" s="5" t="s">
        <v>39682</v>
      </c>
      <c r="G4824" s="5" t="s">
        <v>39683</v>
      </c>
      <c r="H4824" s="26">
        <v>24</v>
      </c>
      <c r="I4824" s="5" t="s">
        <v>39684</v>
      </c>
      <c r="J4824" s="5" t="s">
        <v>31548</v>
      </c>
      <c r="K4824" s="5" t="s">
        <v>344</v>
      </c>
      <c r="L4824" s="5" t="s">
        <v>39685</v>
      </c>
      <c r="M4824" s="27">
        <v>1063721</v>
      </c>
      <c r="N4824" s="5" t="s">
        <v>56738</v>
      </c>
      <c r="O4824" s="5" t="str">
        <v>6663066293</v>
      </c>
      <c r="P4824" s="27">
        <v>20000000</v>
      </c>
      <c r="Q4824" s="5" t="s">
        <v>56739</v>
      </c>
      <c r="R4824" s="5"/>
      <c r="S4824" s="5" t="s">
        <v>56740</v>
      </c>
      <c r="T4824" s="28">
        <v>448896000</v>
      </c>
      <c r="U4824" s="28"/>
      <c r="V4824" s="28">
        <v>2435638000</v>
      </c>
      <c r="W4824" s="28">
        <v>394826000</v>
      </c>
      <c r="X4824" s="28">
        <v>262814000</v>
      </c>
      <c r="Y4824" s="28">
        <v>5931898000</v>
      </c>
      <c r="Z4824" s="28">
        <v>2613357000</v>
      </c>
      <c r="AA4824" s="28">
        <v>536578000</v>
      </c>
      <c r="AB4824" s="28">
        <v>1848524000</v>
      </c>
      <c r="AC4824" s="28">
        <v>2664501000</v>
      </c>
      <c r="AD4824" s="28">
        <v>2633357000</v>
      </c>
      <c r="AE4824" s="28">
        <v>9306535000</v>
      </c>
      <c r="AF4824" s="28">
        <v>1304442000</v>
      </c>
      <c r="AG4824" s="11"/>
    </row>
    <row r="4825">
      <c r="A4825" s="7" t="s">
        <v>6457</v>
      </c>
      <c r="B4825" s="5" t="s">
        <v>14411</v>
      </c>
      <c r="C4825" s="5" t="s">
        <v>22142</v>
      </c>
      <c r="D4825" s="5" t="str">
        <v>246203901813</v>
      </c>
      <c r="E4825" s="0" t="e">
        <f>+7 (391) 2227101
+7 (391) 2232255
+7 (391) 2237104
+7 (391) 2237126
+7 (3919) 431370
+7 (3919) 431382
+7 (34253) 72134
+7 (34253) 72193
+7 (391) 2236203</f>
        <v>#NAME?</v>
      </c>
      <c r="F4825" s="5" t="s">
        <v>39686</v>
      </c>
      <c r="G4825" s="5"/>
      <c r="H4825" s="26">
        <v>23.5</v>
      </c>
      <c r="I4825" s="5"/>
      <c r="J4825" s="5" t="s">
        <v>671</v>
      </c>
      <c r="K4825" s="5" t="s">
        <v>344</v>
      </c>
      <c r="L4825" s="5"/>
      <c r="M4825" s="27">
        <v>11526000</v>
      </c>
      <c r="N4825" s="5" t="s">
        <v>56741</v>
      </c>
      <c r="O4825" s="5" t="str">
        <v>2464157703</v>
      </c>
      <c r="P4825" s="27">
        <v>556271000</v>
      </c>
      <c r="Q4825" s="5" t="s">
        <v>56742</v>
      </c>
      <c r="R4825" s="5" t="s">
        <v>56743</v>
      </c>
      <c r="S4825" s="5" t="s">
        <v>51118</v>
      </c>
      <c r="T4825" s="28">
        <v>224926000</v>
      </c>
      <c r="U4825" s="28"/>
      <c r="V4825" s="28">
        <v>301966000</v>
      </c>
      <c r="W4825" s="28"/>
      <c r="X4825" s="28">
        <v>209260000</v>
      </c>
      <c r="Y4825" s="28">
        <v>1179043000</v>
      </c>
      <c r="Z4825" s="28">
        <v>79867000</v>
      </c>
      <c r="AA4825" s="28"/>
      <c r="AB4825" s="28"/>
      <c r="AC4825" s="28">
        <v>522602000</v>
      </c>
      <c r="AD4825" s="28">
        <v>640550000</v>
      </c>
      <c r="AE4825" s="28">
        <v>3235897000</v>
      </c>
      <c r="AF4825" s="28">
        <v>62657000</v>
      </c>
      <c r="AG4825" s="11"/>
    </row>
    <row r="4826">
      <c r="A4826" s="7" t="s">
        <v>6458</v>
      </c>
      <c r="B4826" s="5" t="s">
        <v>14412</v>
      </c>
      <c r="C4826" s="5" t="s">
        <v>22143</v>
      </c>
      <c r="D4826" s="5" t="str">
        <v>780613840961</v>
      </c>
      <c r="E4826" s="0" t="e">
        <f>+7 (904) 6478723</f>
        <v>#NAME?</v>
      </c>
      <c r="F4826" s="5"/>
      <c r="G4826" s="5"/>
      <c r="H4826" s="26">
        <v>8</v>
      </c>
      <c r="I4826" s="5" t="s">
        <v>39687</v>
      </c>
      <c r="J4826" s="5" t="s">
        <v>25874</v>
      </c>
      <c r="K4826" s="5" t="s">
        <v>355</v>
      </c>
      <c r="L4826" s="5"/>
      <c r="M4826" s="27"/>
      <c r="N4826" s="5"/>
      <c r="O4826" s="5" t="str">
        <v>7804124351</v>
      </c>
      <c r="P4826" s="27">
        <v>10000</v>
      </c>
      <c r="Q4826" s="5"/>
      <c r="R4826" s="5"/>
      <c r="S4826" s="5" t="s">
        <v>49029</v>
      </c>
      <c r="T4826" s="28">
        <v>36293000</v>
      </c>
      <c r="U4826" s="28"/>
      <c r="V4826" s="28">
        <v>3244689000</v>
      </c>
      <c r="W4826" s="28">
        <v>1890118000</v>
      </c>
      <c r="X4826" s="28">
        <v>7411000</v>
      </c>
      <c r="Y4826" s="28">
        <v>6118970000</v>
      </c>
      <c r="Z4826" s="28">
        <v>-355263000</v>
      </c>
      <c r="AA4826" s="28"/>
      <c r="AB4826" s="28">
        <v>1163512000</v>
      </c>
      <c r="AC4826" s="28">
        <v>6393558000</v>
      </c>
      <c r="AD4826" s="28">
        <v>-355253000</v>
      </c>
      <c r="AE4826" s="28">
        <v>7237374000</v>
      </c>
      <c r="AF4826" s="28">
        <v>185468000</v>
      </c>
      <c r="AG4826" s="11"/>
    </row>
    <row r="4827">
      <c r="A4827" s="7" t="s">
        <v>6459</v>
      </c>
      <c r="B4827" s="5" t="s">
        <v>14413</v>
      </c>
      <c r="C4827" s="5" t="s">
        <v>22144</v>
      </c>
      <c r="D4827" s="5" t="str">
        <v>027314120103</v>
      </c>
      <c r="E4827" s="0" t="e">
        <f>+7 (800) 5500200
+7 (846) 2073839
+7 (84663) 46633
+7 (84663) 47000
+7 (937) 6563247</f>
        <v>#NAME?</v>
      </c>
      <c r="F4827" s="5" t="s">
        <v>39688</v>
      </c>
      <c r="G4827" s="5" t="s">
        <v>39689</v>
      </c>
      <c r="H4827" s="26">
        <v>15</v>
      </c>
      <c r="I4827" s="5" t="s">
        <v>39690</v>
      </c>
      <c r="J4827" s="5" t="s">
        <v>947</v>
      </c>
      <c r="K4827" s="5" t="s">
        <v>344</v>
      </c>
      <c r="L4827" s="5" t="s">
        <v>39691</v>
      </c>
      <c r="M4827" s="27">
        <v>2257585</v>
      </c>
      <c r="N4827" s="5" t="s">
        <v>56744</v>
      </c>
      <c r="O4827" s="5" t="str">
        <v>6350012331</v>
      </c>
      <c r="P4827" s="27">
        <v>500000</v>
      </c>
      <c r="Q4827" s="5" t="s">
        <v>56745</v>
      </c>
      <c r="R4827" s="5"/>
      <c r="S4827" s="5" t="s">
        <v>56746</v>
      </c>
      <c r="T4827" s="28">
        <v>1540299000</v>
      </c>
      <c r="U4827" s="28"/>
      <c r="V4827" s="28">
        <v>1917999000</v>
      </c>
      <c r="W4827" s="28">
        <v>118366000</v>
      </c>
      <c r="X4827" s="28">
        <v>6520000</v>
      </c>
      <c r="Y4827" s="28">
        <v>8087547000</v>
      </c>
      <c r="Z4827" s="28">
        <v>1546044000</v>
      </c>
      <c r="AA4827" s="28">
        <v>367853000</v>
      </c>
      <c r="AB4827" s="28">
        <v>19892000</v>
      </c>
      <c r="AC4827" s="28">
        <v>4337608000</v>
      </c>
      <c r="AD4827" s="28">
        <v>2618770000</v>
      </c>
      <c r="AE4827" s="28">
        <v>5475728000</v>
      </c>
      <c r="AF4827" s="28">
        <v>125402000</v>
      </c>
      <c r="AG4827" s="11"/>
    </row>
    <row r="4828">
      <c r="A4828" s="7" t="s">
        <v>6460</v>
      </c>
      <c r="B4828" s="5" t="s">
        <v>14414</v>
      </c>
      <c r="C4828" s="5" t="s">
        <v>22145</v>
      </c>
      <c r="D4828" s="5" t="str">
        <v>251132471527</v>
      </c>
      <c r="E4828" s="0" t="e">
        <f>+7 (924) 2593909</f>
        <v>#NAME?</v>
      </c>
      <c r="F4828" s="5"/>
      <c r="G4828" s="5"/>
      <c r="H4828" s="26">
        <v>8</v>
      </c>
      <c r="I4828" s="5" t="s">
        <v>39692</v>
      </c>
      <c r="J4828" s="5" t="s">
        <v>397</v>
      </c>
      <c r="K4828" s="5" t="s">
        <v>344</v>
      </c>
      <c r="L4828" s="5" t="s">
        <v>39693</v>
      </c>
      <c r="M4828" s="27"/>
      <c r="N4828" s="5" t="s">
        <v>56747</v>
      </c>
      <c r="O4828" s="5" t="str">
        <v>2511090946</v>
      </c>
      <c r="P4828" s="27">
        <v>10000</v>
      </c>
      <c r="Q4828" s="5" t="s">
        <v>49009</v>
      </c>
      <c r="R4828" s="5"/>
      <c r="S4828" s="5" t="s">
        <v>49120</v>
      </c>
      <c r="T4828" s="28">
        <v>277000</v>
      </c>
      <c r="U4828" s="28"/>
      <c r="V4828" s="28">
        <v>1054813000</v>
      </c>
      <c r="W4828" s="28">
        <v>134400000</v>
      </c>
      <c r="X4828" s="28">
        <v>7237000</v>
      </c>
      <c r="Y4828" s="28">
        <v>2374209000</v>
      </c>
      <c r="Z4828" s="28">
        <v>1146656000</v>
      </c>
      <c r="AA4828" s="28"/>
      <c r="AB4828" s="28">
        <v>3017000</v>
      </c>
      <c r="AC4828" s="28">
        <v>1224844000</v>
      </c>
      <c r="AD4828" s="28">
        <v>1146666000</v>
      </c>
      <c r="AE4828" s="28">
        <v>4139870000</v>
      </c>
      <c r="AF4828" s="28">
        <v>687967000</v>
      </c>
      <c r="AG4828" s="11"/>
    </row>
    <row r="4829">
      <c r="A4829" s="7" t="s">
        <v>1053</v>
      </c>
      <c r="B4829" s="5" t="s">
        <v>14415</v>
      </c>
      <c r="C4829" s="5" t="s">
        <v>22146</v>
      </c>
      <c r="D4829" s="5" t="str">
        <v>166013969404</v>
      </c>
      <c r="F4829" s="5" t="s">
        <v>39694</v>
      </c>
      <c r="G4829" s="5"/>
      <c r="H4829" s="26">
        <v>14.5</v>
      </c>
      <c r="I4829" s="5" t="s">
        <v>39695</v>
      </c>
      <c r="J4829" s="5" t="s">
        <v>1059</v>
      </c>
      <c r="K4829" s="5" t="s">
        <v>355</v>
      </c>
      <c r="L4829" s="5" t="s">
        <v>39696</v>
      </c>
      <c r="M4829" s="27">
        <v>864056160</v>
      </c>
      <c r="N4829" s="5"/>
      <c r="O4829" s="5" t="str">
        <v>1659083875</v>
      </c>
      <c r="P4829" s="27">
        <v>10000000</v>
      </c>
      <c r="Q4829" s="5" t="s">
        <v>56748</v>
      </c>
      <c r="R4829" s="5"/>
      <c r="S4829" s="5" t="s">
        <v>56749</v>
      </c>
      <c r="T4829" s="28">
        <v>659795000</v>
      </c>
      <c r="U4829" s="28"/>
      <c r="V4829" s="28">
        <v>1690512000</v>
      </c>
      <c r="W4829" s="28">
        <v>163505000</v>
      </c>
      <c r="X4829" s="28">
        <v>28959000</v>
      </c>
      <c r="Y4829" s="28">
        <v>3613178000</v>
      </c>
      <c r="Z4829" s="28">
        <v>759988000</v>
      </c>
      <c r="AA4829" s="28">
        <v>393934000</v>
      </c>
      <c r="AB4829" s="28"/>
      <c r="AC4829" s="28">
        <v>2449256000</v>
      </c>
      <c r="AD4829" s="28">
        <v>769988000</v>
      </c>
      <c r="AE4829" s="28">
        <v>3911340000</v>
      </c>
      <c r="AF4829" s="28">
        <v>235830000</v>
      </c>
      <c r="AG4829" s="11"/>
    </row>
    <row r="4830">
      <c r="A4830" s="7" t="s">
        <v>6461</v>
      </c>
      <c r="B4830" s="5" t="s">
        <v>14416</v>
      </c>
      <c r="C4830" s="5" t="s">
        <v>22147</v>
      </c>
      <c r="D4830" s="5" t="str">
        <v>712600803400</v>
      </c>
      <c r="E4830" s="0" t="e">
        <f>+7 (495) 2761632
+7 (495) 4623782
+7 (495) 7830089
+7 (499) 1285608
+7 (499) 1289330</f>
        <v>#NAME?</v>
      </c>
      <c r="F4830" s="5" t="s">
        <v>39697</v>
      </c>
      <c r="G4830" s="5" t="s">
        <v>39698</v>
      </c>
      <c r="H4830" s="26">
        <v>16</v>
      </c>
      <c r="I4830" s="5"/>
      <c r="J4830" s="5" t="s">
        <v>38093</v>
      </c>
      <c r="K4830" s="5" t="s">
        <v>344</v>
      </c>
      <c r="L4830" s="5" t="s">
        <v>39699</v>
      </c>
      <c r="M4830" s="27"/>
      <c r="N4830" s="5"/>
      <c r="O4830" s="5" t="str">
        <v>7727597978</v>
      </c>
      <c r="P4830" s="27">
        <v>17000</v>
      </c>
      <c r="Q4830" s="5" t="s">
        <v>49021</v>
      </c>
      <c r="R4830" s="5"/>
      <c r="S4830" s="5" t="s">
        <v>56751</v>
      </c>
      <c r="T4830" s="28">
        <v>738781000</v>
      </c>
      <c r="U4830" s="28"/>
      <c r="V4830" s="28">
        <v>2506972000</v>
      </c>
      <c r="W4830" s="28">
        <v>1500000</v>
      </c>
      <c r="X4830" s="28">
        <v>852419000</v>
      </c>
      <c r="Y4830" s="28">
        <v>8850305000</v>
      </c>
      <c r="Z4830" s="28">
        <v>1189338000</v>
      </c>
      <c r="AA4830" s="28"/>
      <c r="AB4830" s="28"/>
      <c r="AC4830" s="28">
        <v>7385898000</v>
      </c>
      <c r="AD4830" s="28">
        <v>1189357000</v>
      </c>
      <c r="AE4830" s="28">
        <v>6725611000</v>
      </c>
      <c r="AF4830" s="28">
        <v>342750000</v>
      </c>
      <c r="AG4830" s="11"/>
    </row>
    <row r="4831">
      <c r="A4831" s="7" t="s">
        <v>6462</v>
      </c>
      <c r="B4831" s="5" t="s">
        <v>14417</v>
      </c>
      <c r="C4831" s="5" t="s">
        <v>19115</v>
      </c>
      <c r="D4831" s="5" t="str">
        <v>027718139004</v>
      </c>
      <c r="E4831" s="0" t="e">
        <f>+7 (353) 2650457
+7 (353) 2753284
+7 (353) 2757737
+7 (3532) 305034
+7 (35323) 5820</f>
        <v>#NAME?</v>
      </c>
      <c r="F4831" s="5" t="s">
        <v>39700</v>
      </c>
      <c r="G4831" s="5"/>
      <c r="H4831" s="26">
        <v>29</v>
      </c>
      <c r="I4831" s="5"/>
      <c r="J4831" s="5" t="s">
        <v>26607</v>
      </c>
      <c r="K4831" s="5" t="s">
        <v>380</v>
      </c>
      <c r="L4831" s="5"/>
      <c r="M4831" s="27">
        <v>35649</v>
      </c>
      <c r="N4831" s="5"/>
      <c r="O4831" s="5" t="str">
        <v>5612016253</v>
      </c>
      <c r="P4831" s="27">
        <v>6375500</v>
      </c>
      <c r="Q4831" s="5" t="s">
        <v>49009</v>
      </c>
      <c r="R4831" s="5"/>
      <c r="S4831" s="5" t="s">
        <v>49010</v>
      </c>
      <c r="T4831" s="28">
        <v>2931110000</v>
      </c>
      <c r="U4831" s="28">
        <v>10000</v>
      </c>
      <c r="V4831" s="28">
        <v>6986370000</v>
      </c>
      <c r="W4831" s="28"/>
      <c r="X4831" s="28">
        <v>507000</v>
      </c>
      <c r="Y4831" s="28">
        <v>10298476000</v>
      </c>
      <c r="Z4831" s="28">
        <v>208778000</v>
      </c>
      <c r="AA4831" s="28">
        <v>104967000</v>
      </c>
      <c r="AB4831" s="28"/>
      <c r="AC4831" s="28">
        <v>9289740000</v>
      </c>
      <c r="AD4831" s="28">
        <v>215473000</v>
      </c>
      <c r="AE4831" s="28">
        <v>10694376000</v>
      </c>
      <c r="AF4831" s="28">
        <v>-477760000</v>
      </c>
      <c r="AG4831" s="11"/>
    </row>
    <row r="4832">
      <c r="A4832" s="7" t="s">
        <v>6463</v>
      </c>
      <c r="B4832" s="5" t="s">
        <v>14418</v>
      </c>
      <c r="C4832" s="5" t="s">
        <v>22148</v>
      </c>
      <c r="D4832" s="5" t="str">
        <v>471404875830</v>
      </c>
      <c r="E4832" s="0" t="e">
        <f>+7 (48549) 21183
+7 (48549) 21483
+7 (48549) 21520
+7 (48549) 21528</f>
        <v>#NAME?</v>
      </c>
      <c r="F4832" s="5"/>
      <c r="G4832" s="5" t="s">
        <v>39701</v>
      </c>
      <c r="H4832" s="26">
        <v>15.5</v>
      </c>
      <c r="I4832" s="5" t="s">
        <v>39702</v>
      </c>
      <c r="J4832" s="5" t="s">
        <v>25499</v>
      </c>
      <c r="K4832" s="5" t="s">
        <v>344</v>
      </c>
      <c r="L4832" s="5" t="s">
        <v>39540</v>
      </c>
      <c r="M4832" s="27"/>
      <c r="N4832" s="5"/>
      <c r="O4832" s="5" t="str">
        <v>7623004743</v>
      </c>
      <c r="P4832" s="27">
        <v>6000000</v>
      </c>
      <c r="Q4832" s="5"/>
      <c r="R4832" s="5"/>
      <c r="S4832" s="5" t="s">
        <v>49499</v>
      </c>
      <c r="T4832" s="28">
        <v>198313000</v>
      </c>
      <c r="U4832" s="28"/>
      <c r="V4832" s="28">
        <v>677540000</v>
      </c>
      <c r="W4832" s="28"/>
      <c r="X4832" s="28">
        <v>1093000</v>
      </c>
      <c r="Y4832" s="28">
        <v>1279410000</v>
      </c>
      <c r="Z4832" s="28">
        <v>589183000</v>
      </c>
      <c r="AA4832" s="28">
        <v>512248000</v>
      </c>
      <c r="AB4832" s="28">
        <v>7104000</v>
      </c>
      <c r="AC4832" s="28">
        <v>168072000</v>
      </c>
      <c r="AD4832" s="28">
        <v>595183000</v>
      </c>
      <c r="AE4832" s="28">
        <v>4218396000</v>
      </c>
      <c r="AF4832" s="28">
        <v>413152000</v>
      </c>
      <c r="AG4832" s="11"/>
    </row>
    <row r="4833">
      <c r="A4833" s="7" t="s">
        <v>6464</v>
      </c>
      <c r="B4833" s="5" t="s">
        <v>14419</v>
      </c>
      <c r="C4833" s="5" t="s">
        <v>22149</v>
      </c>
      <c r="D4833" s="5" t="str">
        <v>246605927875</v>
      </c>
      <c r="E4833" s="0" t="e">
        <f>+7 (910) 3279153
+7 (391) 2347410
+7 (391) 2347411
+7 (391) 2347412
+7 (39143) 75851
+7 (39198) 99022</f>
        <v>#NAME?</v>
      </c>
      <c r="F4833" s="5" t="s">
        <v>39703</v>
      </c>
      <c r="G4833" s="5"/>
      <c r="H4833" s="26">
        <v>12.5</v>
      </c>
      <c r="I4833" s="5" t="s">
        <v>39704</v>
      </c>
      <c r="J4833" s="5" t="s">
        <v>26951</v>
      </c>
      <c r="K4833" s="5" t="s">
        <v>380</v>
      </c>
      <c r="L4833" s="5" t="s">
        <v>39705</v>
      </c>
      <c r="M4833" s="27">
        <v>73787537</v>
      </c>
      <c r="N4833" s="5" t="s">
        <v>56752</v>
      </c>
      <c r="O4833" s="5" t="str">
        <v>2463223960</v>
      </c>
      <c r="P4833" s="27">
        <v>720508630</v>
      </c>
      <c r="Q4833" s="5"/>
      <c r="R4833" s="5" t="s">
        <v>56754</v>
      </c>
      <c r="S4833" s="5" t="s">
        <v>56755</v>
      </c>
      <c r="T4833" s="28">
        <v>3109052000</v>
      </c>
      <c r="U4833" s="28">
        <v>4350828000</v>
      </c>
      <c r="V4833" s="28">
        <v>2096451000</v>
      </c>
      <c r="W4833" s="28">
        <v>1186449000</v>
      </c>
      <c r="X4833" s="28">
        <v>82290000</v>
      </c>
      <c r="Y4833" s="28">
        <v>14122303000</v>
      </c>
      <c r="Z4833" s="28">
        <v>-1230628000</v>
      </c>
      <c r="AA4833" s="28">
        <v>3853961000</v>
      </c>
      <c r="AB4833" s="28">
        <v>1550046000</v>
      </c>
      <c r="AC4833" s="28">
        <v>6288291000</v>
      </c>
      <c r="AD4833" s="28">
        <v>-280956000</v>
      </c>
      <c r="AE4833" s="28">
        <v>7704839000</v>
      </c>
      <c r="AF4833" s="28">
        <v>-571937000</v>
      </c>
      <c r="AG4833" s="11"/>
    </row>
    <row r="4834">
      <c r="A4834" s="7" t="s">
        <v>6465</v>
      </c>
      <c r="B4834" s="5" t="s">
        <v>14420</v>
      </c>
      <c r="C4834" s="5" t="s">
        <v>19962</v>
      </c>
      <c r="D4834" s="5" t="str">
        <v>744705766519</v>
      </c>
      <c r="F4834" s="5"/>
      <c r="G4834" s="5"/>
      <c r="H4834" s="26">
        <v>4</v>
      </c>
      <c r="I4834" s="5" t="s">
        <v>39706</v>
      </c>
      <c r="J4834" s="5" t="s">
        <v>364</v>
      </c>
      <c r="K4834" s="5" t="s">
        <v>344</v>
      </c>
      <c r="L4834" s="5" t="s">
        <v>39707</v>
      </c>
      <c r="M4834" s="27"/>
      <c r="N4834" s="5" t="s">
        <v>56756</v>
      </c>
      <c r="O4834" s="5" t="str">
        <v>7713466781</v>
      </c>
      <c r="P4834" s="27">
        <v>10000</v>
      </c>
      <c r="Q4834" s="5" t="s">
        <v>56757</v>
      </c>
      <c r="R4834" s="5"/>
      <c r="S4834" s="5" t="s">
        <v>49012</v>
      </c>
      <c r="T4834" s="28">
        <v>3479000</v>
      </c>
      <c r="U4834" s="28"/>
      <c r="V4834" s="28">
        <v>1931237000</v>
      </c>
      <c r="W4834" s="28"/>
      <c r="X4834" s="28">
        <v>932167000</v>
      </c>
      <c r="Y4834" s="28">
        <v>2968701000</v>
      </c>
      <c r="Z4834" s="28">
        <v>1212203000</v>
      </c>
      <c r="AA4834" s="28"/>
      <c r="AB4834" s="28"/>
      <c r="AC4834" s="28">
        <v>1754101000</v>
      </c>
      <c r="AD4834" s="28">
        <v>1212213000</v>
      </c>
      <c r="AE4834" s="28">
        <v>3894520000</v>
      </c>
      <c r="AF4834" s="28">
        <v>1289277000</v>
      </c>
      <c r="AG4834" s="11"/>
    </row>
    <row r="4835">
      <c r="A4835" s="7" t="s">
        <v>6466</v>
      </c>
      <c r="B4835" s="5" t="s">
        <v>14421</v>
      </c>
      <c r="C4835" s="5" t="s">
        <v>22150</v>
      </c>
      <c r="D4835" s="5" t="str">
        <v>190110258355</v>
      </c>
      <c r="F4835" s="5"/>
      <c r="G4835" s="5"/>
      <c r="H4835" s="26">
        <v>16.5</v>
      </c>
      <c r="I4835" s="5" t="s">
        <v>39708</v>
      </c>
      <c r="J4835" s="5" t="s">
        <v>25219</v>
      </c>
      <c r="K4835" s="5" t="s">
        <v>355</v>
      </c>
      <c r="L4835" s="5"/>
      <c r="M4835" s="27"/>
      <c r="N4835" s="5"/>
      <c r="O4835" s="5" t="str">
        <v>1901072958</v>
      </c>
      <c r="P4835" s="27">
        <v>150000</v>
      </c>
      <c r="Q4835" s="5" t="s">
        <v>49009</v>
      </c>
      <c r="R4835" s="5"/>
      <c r="S4835" s="5" t="s">
        <v>49010</v>
      </c>
      <c r="T4835" s="28"/>
      <c r="U4835" s="28"/>
      <c r="V4835" s="28"/>
      <c r="W4835" s="28"/>
      <c r="X4835" s="28"/>
      <c r="Y4835" s="28"/>
      <c r="Z4835" s="28"/>
      <c r="AA4835" s="28"/>
      <c r="AB4835" s="28"/>
      <c r="AC4835" s="28"/>
      <c r="AD4835" s="28"/>
      <c r="AE4835" s="28">
        <v>7082083000</v>
      </c>
      <c r="AF4835" s="28">
        <v>164725000</v>
      </c>
      <c r="AG4835" s="11"/>
    </row>
    <row r="4836">
      <c r="A4836" s="7" t="s">
        <v>6467</v>
      </c>
      <c r="B4836" s="5" t="s">
        <v>14422</v>
      </c>
      <c r="C4836" s="5" t="s">
        <v>22151</v>
      </c>
      <c r="D4836" s="5" t="str">
        <v>773510019311</v>
      </c>
      <c r="E4836" s="0" t="e">
        <f>+7 (495) 7556001
+7 (495) 7877821</f>
        <v>#NAME?</v>
      </c>
      <c r="F4836" s="5" t="s">
        <v>39709</v>
      </c>
      <c r="G4836" s="5" t="s">
        <v>39710</v>
      </c>
      <c r="H4836" s="26">
        <v>21.5</v>
      </c>
      <c r="I4836" s="5" t="s">
        <v>39711</v>
      </c>
      <c r="J4836" s="5" t="s">
        <v>25612</v>
      </c>
      <c r="K4836" s="5" t="s">
        <v>344</v>
      </c>
      <c r="L4836" s="5" t="s">
        <v>39712</v>
      </c>
      <c r="M4836" s="27"/>
      <c r="N4836" s="5" t="s">
        <v>56758</v>
      </c>
      <c r="O4836" s="5" t="str">
        <v>7725158319</v>
      </c>
      <c r="P4836" s="27">
        <v>10000000</v>
      </c>
      <c r="Q4836" s="5" t="s">
        <v>49579</v>
      </c>
      <c r="R4836" s="5"/>
      <c r="S4836" s="5" t="s">
        <v>52912</v>
      </c>
      <c r="T4836" s="28">
        <v>278297000</v>
      </c>
      <c r="U4836" s="28">
        <v>2914000</v>
      </c>
      <c r="V4836" s="28">
        <v>197975000</v>
      </c>
      <c r="W4836" s="28">
        <v>649000</v>
      </c>
      <c r="X4836" s="28">
        <v>2923772000</v>
      </c>
      <c r="Y4836" s="28">
        <v>4568365000</v>
      </c>
      <c r="Z4836" s="28">
        <v>3516152000</v>
      </c>
      <c r="AA4836" s="28"/>
      <c r="AB4836" s="28"/>
      <c r="AC4836" s="28">
        <v>860818000</v>
      </c>
      <c r="AD4836" s="28">
        <v>3526185000</v>
      </c>
      <c r="AE4836" s="28">
        <v>3916066000</v>
      </c>
      <c r="AF4836" s="28">
        <v>817744000</v>
      </c>
      <c r="AG4836" s="11"/>
    </row>
    <row r="4837">
      <c r="A4837" s="7" t="s">
        <v>6468</v>
      </c>
      <c r="B4837" s="5" t="s">
        <v>14423</v>
      </c>
      <c r="C4837" s="5" t="s">
        <v>22152</v>
      </c>
      <c r="D4837" s="5" t="str">
        <v>525701098624</v>
      </c>
      <c r="E4837" s="0" t="e">
        <f>+7 (831) 2731657</f>
        <v>#NAME?</v>
      </c>
      <c r="F4837" s="5"/>
      <c r="G4837" s="5" t="s">
        <v>39713</v>
      </c>
      <c r="H4837" s="26">
        <v>13</v>
      </c>
      <c r="I4837" s="5" t="s">
        <v>39714</v>
      </c>
      <c r="J4837" s="5" t="s">
        <v>533</v>
      </c>
      <c r="K4837" s="5" t="s">
        <v>355</v>
      </c>
      <c r="L4837" s="5" t="s">
        <v>39715</v>
      </c>
      <c r="M4837" s="27">
        <v>595340</v>
      </c>
      <c r="N4837" s="5" t="s">
        <v>52200</v>
      </c>
      <c r="O4837" s="5" t="str">
        <v>5263079190</v>
      </c>
      <c r="P4837" s="27">
        <v>77000000</v>
      </c>
      <c r="Q4837" s="5" t="s">
        <v>49009</v>
      </c>
      <c r="R4837" s="5"/>
      <c r="S4837" s="5" t="s">
        <v>49045</v>
      </c>
      <c r="T4837" s="28">
        <v>3531965000</v>
      </c>
      <c r="U4837" s="28"/>
      <c r="V4837" s="28">
        <v>1006224000</v>
      </c>
      <c r="W4837" s="28"/>
      <c r="X4837" s="28">
        <v>1091000</v>
      </c>
      <c r="Y4837" s="28">
        <v>5414510000</v>
      </c>
      <c r="Z4837" s="28">
        <v>878464000</v>
      </c>
      <c r="AA4837" s="28"/>
      <c r="AB4837" s="28">
        <v>685606000</v>
      </c>
      <c r="AC4837" s="28">
        <v>4491046000</v>
      </c>
      <c r="AD4837" s="28">
        <v>923464000</v>
      </c>
      <c r="AE4837" s="28">
        <v>5646026000</v>
      </c>
      <c r="AF4837" s="28">
        <v>51391000</v>
      </c>
      <c r="AG4837" s="11"/>
    </row>
    <row r="4838">
      <c r="A4838" s="7" t="s">
        <v>6469</v>
      </c>
      <c r="B4838" s="5" t="s">
        <v>14424</v>
      </c>
      <c r="C4838" s="5" t="s">
        <v>22153</v>
      </c>
      <c r="D4838" s="5" t="str">
        <v>282800190946</v>
      </c>
      <c r="E4838" s="0" t="e">
        <f>+7 (416) 2771182
+7 (41656) 20663
+7 (41656) 20664
+7 (41656) 23967
+7 (41656) 34204
+7 (41656) 34404
+7 (41656) 34415
+7 (41656) 34416
+7 (41656) 34715
+7 (914) 5599500</f>
        <v>#NAME?</v>
      </c>
      <c r="F4838" s="5" t="s">
        <v>39716</v>
      </c>
      <c r="G4838" s="5" t="s">
        <v>39717</v>
      </c>
      <c r="H4838" s="26">
        <v>32</v>
      </c>
      <c r="I4838" s="5"/>
      <c r="J4838" s="5" t="s">
        <v>26499</v>
      </c>
      <c r="K4838" s="5" t="s">
        <v>344</v>
      </c>
      <c r="L4838" s="5" t="s">
        <v>39718</v>
      </c>
      <c r="M4838" s="27">
        <v>1354426</v>
      </c>
      <c r="N4838" s="5" t="s">
        <v>56759</v>
      </c>
      <c r="O4838" s="5" t="str">
        <v>2828002272</v>
      </c>
      <c r="P4838" s="27">
        <v>35613000</v>
      </c>
      <c r="Q4838" s="5"/>
      <c r="R4838" s="5"/>
      <c r="S4838" s="5" t="s">
        <v>49040</v>
      </c>
      <c r="T4838" s="28">
        <v>12991936000</v>
      </c>
      <c r="U4838" s="28">
        <v>513592000</v>
      </c>
      <c r="V4838" s="28">
        <v>1151099000</v>
      </c>
      <c r="W4838" s="28">
        <v>803605000</v>
      </c>
      <c r="X4838" s="28">
        <v>5737000</v>
      </c>
      <c r="Y4838" s="28">
        <v>36550357000</v>
      </c>
      <c r="Z4838" s="28">
        <v>32223889000</v>
      </c>
      <c r="AA4838" s="28"/>
      <c r="AB4838" s="28"/>
      <c r="AC4838" s="28">
        <v>2679433000</v>
      </c>
      <c r="AD4838" s="28">
        <v>32263797000</v>
      </c>
      <c r="AE4838" s="28">
        <v>17430012000</v>
      </c>
      <c r="AF4838" s="28">
        <v>4256756000</v>
      </c>
      <c r="AG4838" s="11"/>
    </row>
    <row r="4839">
      <c r="A4839" s="7" t="s">
        <v>6470</v>
      </c>
      <c r="B4839" s="5" t="s">
        <v>14425</v>
      </c>
      <c r="C4839" s="5" t="s">
        <v>22154</v>
      </c>
      <c r="D4839" s="5" t="str">
        <v>246302632706</v>
      </c>
      <c r="E4839" s="0" t="e">
        <f>+7 (391) 2653152
+7 (391) 2529410
+7 (39141) 31202
+7 (981) 2529410</f>
        <v>#NAME?</v>
      </c>
      <c r="F4839" s="5" t="s">
        <v>39719</v>
      </c>
      <c r="G4839" s="5"/>
      <c r="H4839" s="26">
        <v>19</v>
      </c>
      <c r="I4839" s="5"/>
      <c r="J4839" s="5" t="s">
        <v>26499</v>
      </c>
      <c r="K4839" s="5" t="s">
        <v>344</v>
      </c>
      <c r="L4839" s="5" t="s">
        <v>39720</v>
      </c>
      <c r="M4839" s="27"/>
      <c r="N4839" s="5" t="s">
        <v>49153</v>
      </c>
      <c r="O4839" s="5" t="str">
        <v>2426003621</v>
      </c>
      <c r="P4839" s="27">
        <v>10000</v>
      </c>
      <c r="Q4839" s="5" t="s">
        <v>49059</v>
      </c>
      <c r="R4839" s="5" t="s">
        <v>56761</v>
      </c>
      <c r="S4839" s="5" t="s">
        <v>49045</v>
      </c>
      <c r="T4839" s="28">
        <v>1552181000</v>
      </c>
      <c r="U4839" s="28">
        <v>384474000</v>
      </c>
      <c r="V4839" s="28">
        <v>803151000</v>
      </c>
      <c r="W4839" s="28">
        <v>830656000</v>
      </c>
      <c r="X4839" s="28">
        <v>536000</v>
      </c>
      <c r="Y4839" s="28">
        <v>5854244000</v>
      </c>
      <c r="Z4839" s="28">
        <v>4312971000</v>
      </c>
      <c r="AA4839" s="28">
        <v>548935000</v>
      </c>
      <c r="AB4839" s="28">
        <v>238648000</v>
      </c>
      <c r="AC4839" s="28">
        <v>486198000</v>
      </c>
      <c r="AD4839" s="28">
        <v>4313060000</v>
      </c>
      <c r="AE4839" s="28">
        <v>5834532000</v>
      </c>
      <c r="AF4839" s="28">
        <v>1267563000</v>
      </c>
      <c r="AG4839" s="11"/>
    </row>
    <row r="4840">
      <c r="A4840" s="7" t="s">
        <v>6471</v>
      </c>
      <c r="B4840" s="5" t="s">
        <v>14426</v>
      </c>
      <c r="C4840" s="5" t="s">
        <v>22155</v>
      </c>
      <c r="D4840" s="5" t="str">
        <v>751900687205</v>
      </c>
      <c r="E4840" s="0" t="e">
        <f>+7 (3022) 217073
+7 (3022) 217407
+7 (3022) 218143
+7 (3022) 282470
+7 (30246) 27062
+7 (30246) 27077
+7 (30246) 27086
+7 (30246) 27139
+7 (30246) 27236
+7 (924) 3840608</f>
        <v>#NAME?</v>
      </c>
      <c r="F4840" s="5" t="s">
        <v>39721</v>
      </c>
      <c r="G4840" s="5" t="s">
        <v>39722</v>
      </c>
      <c r="H4840" s="26">
        <v>29.5</v>
      </c>
      <c r="I4840" s="5"/>
      <c r="J4840" s="5" t="s">
        <v>26499</v>
      </c>
      <c r="K4840" s="5" t="s">
        <v>355</v>
      </c>
      <c r="L4840" s="5" t="s">
        <v>39723</v>
      </c>
      <c r="M4840" s="27"/>
      <c r="N4840" s="5" t="s">
        <v>56762</v>
      </c>
      <c r="O4840" s="5" t="str">
        <v>7519001200</v>
      </c>
      <c r="P4840" s="27">
        <v>55232</v>
      </c>
      <c r="Q4840" s="5" t="s">
        <v>49009</v>
      </c>
      <c r="R4840" s="5"/>
      <c r="S4840" s="5" t="s">
        <v>56763</v>
      </c>
      <c r="T4840" s="28">
        <v>2060326000</v>
      </c>
      <c r="U4840" s="28">
        <v>250070000</v>
      </c>
      <c r="V4840" s="28">
        <v>504799000</v>
      </c>
      <c r="W4840" s="28"/>
      <c r="X4840" s="28">
        <v>25706000</v>
      </c>
      <c r="Y4840" s="28">
        <v>6832756000</v>
      </c>
      <c r="Z4840" s="28">
        <v>5108449000</v>
      </c>
      <c r="AA4840" s="28">
        <v>781000000</v>
      </c>
      <c r="AB4840" s="28"/>
      <c r="AC4840" s="28">
        <v>571209000</v>
      </c>
      <c r="AD4840" s="28">
        <v>5110535000</v>
      </c>
      <c r="AE4840" s="28">
        <v>5254769000</v>
      </c>
      <c r="AF4840" s="28">
        <v>105822000</v>
      </c>
      <c r="AG4840" s="11"/>
    </row>
    <row r="4841">
      <c r="A4841" s="7" t="s">
        <v>6472</v>
      </c>
      <c r="B4841" s="5" t="s">
        <v>14427</v>
      </c>
      <c r="C4841" s="5" t="s">
        <v>22156</v>
      </c>
      <c r="D4841" s="5" t="str">
        <v>590414886747</v>
      </c>
      <c r="E4841" s="0" t="e">
        <f>+7 (912) 8856675</f>
        <v>#NAME?</v>
      </c>
      <c r="F4841" s="5" t="s">
        <v>39724</v>
      </c>
      <c r="G4841" s="5" t="s">
        <v>39725</v>
      </c>
      <c r="H4841" s="26">
        <v>9.5</v>
      </c>
      <c r="I4841" s="5" t="s">
        <v>39726</v>
      </c>
      <c r="J4841" s="5" t="s">
        <v>26536</v>
      </c>
      <c r="K4841" s="5" t="s">
        <v>355</v>
      </c>
      <c r="L4841" s="5"/>
      <c r="M4841" s="27"/>
      <c r="N4841" s="5"/>
      <c r="O4841" s="5" t="str">
        <v>5906121317</v>
      </c>
      <c r="P4841" s="27">
        <v>10000</v>
      </c>
      <c r="Q4841" s="5" t="s">
        <v>49009</v>
      </c>
      <c r="R4841" s="5"/>
      <c r="S4841" s="5" t="s">
        <v>49010</v>
      </c>
      <c r="T4841" s="28">
        <v>79341000</v>
      </c>
      <c r="U4841" s="28">
        <v>13000</v>
      </c>
      <c r="V4841" s="28">
        <v>244274000</v>
      </c>
      <c r="W4841" s="28"/>
      <c r="X4841" s="28">
        <v>583000</v>
      </c>
      <c r="Y4841" s="28">
        <v>1478543000</v>
      </c>
      <c r="Z4841" s="28">
        <v>210674000</v>
      </c>
      <c r="AA4841" s="28"/>
      <c r="AB4841" s="28"/>
      <c r="AC4841" s="28">
        <v>1267859000</v>
      </c>
      <c r="AD4841" s="28">
        <v>210684000</v>
      </c>
      <c r="AE4841" s="28">
        <v>9784834000</v>
      </c>
      <c r="AF4841" s="28">
        <v>-222444000</v>
      </c>
      <c r="AG4841" s="11"/>
    </row>
    <row r="4842">
      <c r="A4842" s="7" t="s">
        <v>6473</v>
      </c>
      <c r="B4842" s="5" t="s">
        <v>14428</v>
      </c>
      <c r="C4842" s="5" t="s">
        <v>22157</v>
      </c>
      <c r="D4842" s="5" t="str">
        <v>772350199380</v>
      </c>
      <c r="F4842" s="5" t="s">
        <v>39727</v>
      </c>
      <c r="G4842" s="5"/>
      <c r="H4842" s="26">
        <v>1.5</v>
      </c>
      <c r="I4842" s="5" t="s">
        <v>39728</v>
      </c>
      <c r="J4842" s="5" t="s">
        <v>26607</v>
      </c>
      <c r="K4842" s="5" t="s">
        <v>380</v>
      </c>
      <c r="L4842" s="5"/>
      <c r="M4842" s="27">
        <v>10235424</v>
      </c>
      <c r="N4842" s="5"/>
      <c r="O4842" s="5" t="str">
        <v>9723118018</v>
      </c>
      <c r="P4842" s="27">
        <v>1000000</v>
      </c>
      <c r="Q4842" s="5"/>
      <c r="R4842" s="5" t="s">
        <v>56764</v>
      </c>
      <c r="S4842" s="5" t="s">
        <v>49121</v>
      </c>
      <c r="T4842" s="28">
        <v>268013000</v>
      </c>
      <c r="U4842" s="28">
        <v>10000</v>
      </c>
      <c r="V4842" s="28">
        <v>13819010000</v>
      </c>
      <c r="W4842" s="28">
        <v>1456200000</v>
      </c>
      <c r="X4842" s="28">
        <v>10000</v>
      </c>
      <c r="Y4842" s="28">
        <v>17182606000</v>
      </c>
      <c r="Z4842" s="28">
        <v>1040236000</v>
      </c>
      <c r="AA4842" s="28">
        <v>257248000</v>
      </c>
      <c r="AB4842" s="28">
        <v>17950000</v>
      </c>
      <c r="AC4842" s="28">
        <v>15594187000</v>
      </c>
      <c r="AD4842" s="28">
        <v>1041236000</v>
      </c>
      <c r="AE4842" s="28">
        <v>15043402000</v>
      </c>
      <c r="AF4842" s="28">
        <v>1040464000</v>
      </c>
      <c r="AG4842" s="11"/>
    </row>
    <row r="4843">
      <c r="A4843" s="7" t="s">
        <v>130</v>
      </c>
      <c r="B4843" s="5" t="s">
        <v>14429</v>
      </c>
      <c r="C4843" s="5" t="s">
        <v>22158</v>
      </c>
      <c r="D4843" s="5" t="str">
        <v>251501274001</v>
      </c>
      <c r="E4843" s="0" t="e">
        <f>+7 (4232) 235412
+7 (4232) 235645
+7 (4232) 361200
+7 (423) 2405454
+7 (4232) 243292
+7 (4232) 243295
+7 (4232) 361393
+7 (4232) 364200
+7 (4232) 367960
+7 (4232) 370834
+7 (4232) 606174
+7 (4232) 606229
+7 (42374) 31161
+7 (42375) 91531
+7 (42375) 91969</f>
        <v>#NAME?</v>
      </c>
      <c r="F4843" s="5" t="s">
        <v>39729</v>
      </c>
      <c r="G4843" s="5" t="s">
        <v>39730</v>
      </c>
      <c r="H4843" s="26">
        <v>17</v>
      </c>
      <c r="I4843" s="5" t="s">
        <v>39731</v>
      </c>
      <c r="J4843" s="5" t="s">
        <v>25603</v>
      </c>
      <c r="K4843" s="5" t="s">
        <v>380</v>
      </c>
      <c r="L4843" s="5"/>
      <c r="M4843" s="27">
        <v>92751688</v>
      </c>
      <c r="N4843" s="5" t="s">
        <v>56765</v>
      </c>
      <c r="O4843" s="5" t="str">
        <v>2538099431</v>
      </c>
      <c r="P4843" s="27">
        <v>4046041000</v>
      </c>
      <c r="Q4843" s="5" t="s">
        <v>56766</v>
      </c>
      <c r="R4843" s="5" t="s">
        <v>56767</v>
      </c>
      <c r="S4843" s="5" t="s">
        <v>56768</v>
      </c>
      <c r="T4843" s="28">
        <v>1590748000</v>
      </c>
      <c r="U4843" s="28"/>
      <c r="V4843" s="28">
        <v>718043000</v>
      </c>
      <c r="W4843" s="28"/>
      <c r="X4843" s="28">
        <v>883821000</v>
      </c>
      <c r="Y4843" s="28">
        <v>4467161000</v>
      </c>
      <c r="Z4843" s="28">
        <v>-2455373000</v>
      </c>
      <c r="AA4843" s="28"/>
      <c r="AB4843" s="28"/>
      <c r="AC4843" s="28">
        <v>2152236000</v>
      </c>
      <c r="AD4843" s="28">
        <v>2093680000</v>
      </c>
      <c r="AE4843" s="28">
        <v>4502364000</v>
      </c>
      <c r="AF4843" s="28">
        <v>-210122000</v>
      </c>
      <c r="AG4843" s="11"/>
    </row>
    <row r="4844">
      <c r="A4844" s="7" t="s">
        <v>6474</v>
      </c>
      <c r="B4844" s="5" t="s">
        <v>14430</v>
      </c>
      <c r="C4844" s="5" t="s">
        <v>22159</v>
      </c>
      <c r="D4844" s="5" t="str">
        <v>253615183922</v>
      </c>
      <c r="E4844" s="0" t="e">
        <f>+7 (4234) 389897
+7 (39173) 2
+7 (4234) 191741
+7 (4234) 389948
+7 (4234) 391741
+7 (4234) 391885
+7 (902) 509989</f>
        <v>#NAME?</v>
      </c>
      <c r="F4844" s="5" t="s">
        <v>39732</v>
      </c>
      <c r="G4844" s="5" t="s">
        <v>39733</v>
      </c>
      <c r="H4844" s="26">
        <v>31</v>
      </c>
      <c r="I4844" s="5"/>
      <c r="J4844" s="5" t="s">
        <v>725</v>
      </c>
      <c r="K4844" s="5" t="s">
        <v>344</v>
      </c>
      <c r="L4844" s="5" t="s">
        <v>39734</v>
      </c>
      <c r="M4844" s="27">
        <v>294875</v>
      </c>
      <c r="N4844" s="5"/>
      <c r="O4844" s="5" t="str">
        <v>2511076807</v>
      </c>
      <c r="P4844" s="27">
        <v>2500000000</v>
      </c>
      <c r="Q4844" s="5"/>
      <c r="R4844" s="5"/>
      <c r="S4844" s="5" t="s">
        <v>49425</v>
      </c>
      <c r="T4844" s="28">
        <v>2946443000</v>
      </c>
      <c r="U4844" s="28"/>
      <c r="V4844" s="28">
        <v>2778593000</v>
      </c>
      <c r="W4844" s="28">
        <v>1170163000</v>
      </c>
      <c r="X4844" s="28">
        <v>408000</v>
      </c>
      <c r="Y4844" s="28">
        <v>12556773000</v>
      </c>
      <c r="Z4844" s="28">
        <v>627237000</v>
      </c>
      <c r="AA4844" s="28">
        <v>587643000</v>
      </c>
      <c r="AB4844" s="28">
        <v>2988779000</v>
      </c>
      <c r="AC4844" s="28">
        <v>4238487000</v>
      </c>
      <c r="AD4844" s="28">
        <v>7467883000</v>
      </c>
      <c r="AE4844" s="28">
        <v>4534646000</v>
      </c>
      <c r="AF4844" s="28">
        <v>695163000</v>
      </c>
      <c r="AG4844" s="11"/>
    </row>
    <row r="4845">
      <c r="A4845" s="7" t="s">
        <v>6475</v>
      </c>
      <c r="B4845" s="5" t="s">
        <v>14431</v>
      </c>
      <c r="C4845" s="5" t="s">
        <v>22160</v>
      </c>
      <c r="D4845" s="5" t="str">
        <v>780416801392</v>
      </c>
      <c r="E4845" s="0" t="e">
        <f>+7 (391) 2906446
+7 (3952) 320550
+7 (3952) 550133
+7 (3952) 550335
+7 (3955) 503551
+7 (495) 55880
+7 (495) 1264290
+7 (495) 1324290
+7 (495) 1354290
+7 (495) 1361290
+7 (495) 1364200
+7 (495) 1364209
+7 (495) 1364285
+7 (495) 1364290
+7 (495) 1364292</f>
        <v>#NAME?</v>
      </c>
      <c r="F4845" s="5" t="s">
        <v>39735</v>
      </c>
      <c r="G4845" s="5"/>
      <c r="H4845" s="26">
        <v>4</v>
      </c>
      <c r="I4845" s="5" t="s">
        <v>39736</v>
      </c>
      <c r="J4845" s="5" t="s">
        <v>25429</v>
      </c>
      <c r="K4845" s="5" t="s">
        <v>344</v>
      </c>
      <c r="L4845" s="5" t="s">
        <v>39737</v>
      </c>
      <c r="M4845" s="27"/>
      <c r="N4845" s="5" t="s">
        <v>56769</v>
      </c>
      <c r="O4845" s="5" t="str">
        <v>9731038990</v>
      </c>
      <c r="P4845" s="27">
        <v>20000</v>
      </c>
      <c r="Q4845" s="5" t="s">
        <v>56770</v>
      </c>
      <c r="R4845" s="5" t="s">
        <v>56771</v>
      </c>
      <c r="S4845" s="5" t="s">
        <v>53099</v>
      </c>
      <c r="T4845" s="28">
        <v>406549000</v>
      </c>
      <c r="U4845" s="28"/>
      <c r="V4845" s="28">
        <v>4520599000</v>
      </c>
      <c r="W4845" s="28"/>
      <c r="X4845" s="28">
        <v>388262000</v>
      </c>
      <c r="Y4845" s="28">
        <v>6452671000</v>
      </c>
      <c r="Z4845" s="28">
        <v>232014000</v>
      </c>
      <c r="AA4845" s="28">
        <v>51692000</v>
      </c>
      <c r="AB4845" s="28">
        <v>1033000</v>
      </c>
      <c r="AC4845" s="28">
        <v>6144842000</v>
      </c>
      <c r="AD4845" s="28">
        <v>232034000</v>
      </c>
      <c r="AE4845" s="28">
        <v>13700184000</v>
      </c>
      <c r="AF4845" s="28">
        <v>231014000</v>
      </c>
      <c r="AG4845" s="11"/>
    </row>
    <row r="4846">
      <c r="A4846" s="7" t="s">
        <v>6476</v>
      </c>
      <c r="B4846" s="5" t="s">
        <v>14432</v>
      </c>
      <c r="C4846" s="5" t="s">
        <v>22161</v>
      </c>
      <c r="D4846" s="5" t="str">
        <v>253602892209</v>
      </c>
      <c r="E4846" s="0" t="e">
        <f>+7 (4232) 15333
+7 (4232) 200577
+7 (4232) 235674
+7 (4232) 235689
+7 (4232) 254512
+7 (4232) 256541
+7 (4232) 324512
+7 (4232) 325412
+7 (4232) 423259
+7 (4232) 423371
+7 (4232) 426532
+7 (4232) 452365
+7 (4232) 453304
+7 (4232) 446269
+7 (4232) 453100</f>
        <v>#NAME?</v>
      </c>
      <c r="F4846" s="5" t="s">
        <v>39738</v>
      </c>
      <c r="G4846" s="5" t="s">
        <v>39739</v>
      </c>
      <c r="H4846" s="26">
        <v>19</v>
      </c>
      <c r="I4846" s="5" t="s">
        <v>39740</v>
      </c>
      <c r="J4846" s="5" t="s">
        <v>27944</v>
      </c>
      <c r="K4846" s="5" t="s">
        <v>344</v>
      </c>
      <c r="L4846" s="5"/>
      <c r="M4846" s="27">
        <v>163155516</v>
      </c>
      <c r="N4846" s="5" t="s">
        <v>56772</v>
      </c>
      <c r="O4846" s="5" t="str">
        <v>2503022413</v>
      </c>
      <c r="P4846" s="27">
        <v>938849933</v>
      </c>
      <c r="Q4846" s="5" t="s">
        <v>56773</v>
      </c>
      <c r="R4846" s="5"/>
      <c r="S4846" s="5" t="s">
        <v>56774</v>
      </c>
      <c r="T4846" s="28">
        <v>23416968000</v>
      </c>
      <c r="U4846" s="28"/>
      <c r="V4846" s="28">
        <v>1165106000</v>
      </c>
      <c r="W4846" s="28"/>
      <c r="X4846" s="28">
        <v>1371337000</v>
      </c>
      <c r="Y4846" s="28">
        <v>27280482000</v>
      </c>
      <c r="Z4846" s="28">
        <v>-3730233000</v>
      </c>
      <c r="AA4846" s="28"/>
      <c r="AB4846" s="28"/>
      <c r="AC4846" s="28">
        <v>5170495000</v>
      </c>
      <c r="AD4846" s="28">
        <v>24374478000</v>
      </c>
      <c r="AE4846" s="28">
        <v>3607435000</v>
      </c>
      <c r="AF4846" s="28">
        <v>-530484000</v>
      </c>
      <c r="AG4846" s="11"/>
    </row>
    <row r="4847">
      <c r="A4847" s="7" t="s">
        <v>6477</v>
      </c>
      <c r="B4847" s="5" t="s">
        <v>14433</v>
      </c>
      <c r="C4847" s="5" t="s">
        <v>20790</v>
      </c>
      <c r="D4847" s="5" t="str">
        <v>752900697283</v>
      </c>
      <c r="E4847" s="0" t="e">
        <f>+7 (84232) 21881
+7 (4232) 211431
+7 (4232) 211457
+7 (4232) 211486
+7 (4232) 211852
+7 (4232) 211856
+7 (4232) 211861
+7 (4232) 211881
+7 (4232) 411336
+7 (4232) 413398
+7 (4232) 414666
+7 (4232) 414715</f>
        <v>#NAME?</v>
      </c>
      <c r="F4847" s="5" t="s">
        <v>39741</v>
      </c>
      <c r="G4847" s="5"/>
      <c r="H4847" s="26">
        <v>28.5</v>
      </c>
      <c r="I4847" s="5" t="s">
        <v>39742</v>
      </c>
      <c r="J4847" s="5" t="s">
        <v>26939</v>
      </c>
      <c r="K4847" s="5" t="s">
        <v>355</v>
      </c>
      <c r="L4847" s="5"/>
      <c r="M4847" s="27">
        <v>2387983</v>
      </c>
      <c r="N4847" s="5" t="s">
        <v>56775</v>
      </c>
      <c r="O4847" s="5" t="str">
        <v>2540229783</v>
      </c>
      <c r="P4847" s="27">
        <v>1636090</v>
      </c>
      <c r="Q4847" s="5" t="s">
        <v>56776</v>
      </c>
      <c r="R4847" s="5" t="s">
        <v>56777</v>
      </c>
      <c r="S4847" s="5" t="s">
        <v>56778</v>
      </c>
      <c r="T4847" s="28">
        <v>2689805000</v>
      </c>
      <c r="U4847" s="28">
        <v>3143366000</v>
      </c>
      <c r="V4847" s="28">
        <v>2120320000</v>
      </c>
      <c r="W4847" s="28"/>
      <c r="X4847" s="28">
        <v>25460000</v>
      </c>
      <c r="Y4847" s="28">
        <v>10320096000</v>
      </c>
      <c r="Z4847" s="28">
        <v>-4088713000</v>
      </c>
      <c r="AA4847" s="28">
        <v>4466430000</v>
      </c>
      <c r="AB4847" s="28">
        <v>3780264000</v>
      </c>
      <c r="AC4847" s="28">
        <v>6845070000</v>
      </c>
      <c r="AD4847" s="28">
        <v>-1687015000</v>
      </c>
      <c r="AE4847" s="28">
        <v>9430950000</v>
      </c>
      <c r="AF4847" s="28">
        <v>-3385779000</v>
      </c>
      <c r="AG4847" s="11"/>
    </row>
    <row r="4848">
      <c r="A4848" s="7" t="s">
        <v>6478</v>
      </c>
      <c r="B4848" s="5" t="s">
        <v>14434</v>
      </c>
      <c r="C4848" s="5" t="s">
        <v>22162</v>
      </c>
      <c r="D4848" s="5" t="str">
        <v>772739001104</v>
      </c>
      <c r="E4848" s="0" t="e">
        <f>+7 (495) 9977188
+7 (495) 5425111
+7 (495) 5425141
+7 (495) 5425143</f>
        <v>#NAME?</v>
      </c>
      <c r="F4848" s="5"/>
      <c r="G4848" s="5" t="s">
        <v>39743</v>
      </c>
      <c r="H4848" s="26">
        <v>13.5</v>
      </c>
      <c r="I4848" s="5" t="s">
        <v>39744</v>
      </c>
      <c r="J4848" s="5" t="s">
        <v>26394</v>
      </c>
      <c r="K4848" s="5" t="s">
        <v>344</v>
      </c>
      <c r="L4848" s="5" t="s">
        <v>39745</v>
      </c>
      <c r="M4848" s="27"/>
      <c r="N4848" s="5" t="s">
        <v>56779</v>
      </c>
      <c r="O4848" s="5" t="str">
        <v>5074112170</v>
      </c>
      <c r="P4848" s="27">
        <v>504000</v>
      </c>
      <c r="Q4848" s="5" t="s">
        <v>49009</v>
      </c>
      <c r="R4848" s="5"/>
      <c r="S4848" s="5" t="s">
        <v>52628</v>
      </c>
      <c r="T4848" s="28">
        <v>948300000</v>
      </c>
      <c r="U4848" s="28"/>
      <c r="V4848" s="28">
        <v>1516692000</v>
      </c>
      <c r="W4848" s="28"/>
      <c r="X4848" s="28">
        <v>22337000</v>
      </c>
      <c r="Y4848" s="28">
        <v>4620728000</v>
      </c>
      <c r="Z4848" s="28">
        <v>1475133000</v>
      </c>
      <c r="AA4848" s="28">
        <v>1666950000</v>
      </c>
      <c r="AB4848" s="28">
        <v>440956000</v>
      </c>
      <c r="AC4848" s="28">
        <v>1334284000</v>
      </c>
      <c r="AD4848" s="28">
        <v>1475637000</v>
      </c>
      <c r="AE4848" s="28">
        <v>7186554000</v>
      </c>
      <c r="AF4848" s="28">
        <v>397962000</v>
      </c>
      <c r="AG4848" s="11"/>
    </row>
    <row r="4849">
      <c r="A4849" s="7" t="s">
        <v>6479</v>
      </c>
      <c r="B4849" s="5" t="s">
        <v>14435</v>
      </c>
      <c r="C4849" s="5" t="s">
        <v>22163</v>
      </c>
      <c r="D4849" s="5" t="str">
        <v>745602374134</v>
      </c>
      <c r="E4849" s="0" t="e">
        <f>+7 (982) 2947963</f>
        <v>#NAME?</v>
      </c>
      <c r="F4849" s="5"/>
      <c r="G4849" s="5"/>
      <c r="H4849" s="26">
        <v>7</v>
      </c>
      <c r="I4849" s="5" t="s">
        <v>39746</v>
      </c>
      <c r="J4849" s="5" t="s">
        <v>866</v>
      </c>
      <c r="K4849" s="5" t="s">
        <v>344</v>
      </c>
      <c r="L4849" s="5" t="s">
        <v>39747</v>
      </c>
      <c r="M4849" s="27">
        <v>523763</v>
      </c>
      <c r="N4849" s="5"/>
      <c r="O4849" s="5" t="str">
        <v>7456031093</v>
      </c>
      <c r="P4849" s="27">
        <v>10000</v>
      </c>
      <c r="Q4849" s="5" t="s">
        <v>49009</v>
      </c>
      <c r="R4849" s="5" t="s">
        <v>56780</v>
      </c>
      <c r="S4849" s="5" t="s">
        <v>49010</v>
      </c>
      <c r="T4849" s="28"/>
      <c r="U4849" s="28"/>
      <c r="V4849" s="28">
        <v>987326000</v>
      </c>
      <c r="W4849" s="28"/>
      <c r="X4849" s="28">
        <v>243000</v>
      </c>
      <c r="Y4849" s="28">
        <v>990015000</v>
      </c>
      <c r="Z4849" s="28">
        <v>40405000</v>
      </c>
      <c r="AA4849" s="28"/>
      <c r="AB4849" s="28"/>
      <c r="AC4849" s="28">
        <v>950865000</v>
      </c>
      <c r="AD4849" s="28">
        <v>40415000</v>
      </c>
      <c r="AE4849" s="28">
        <v>4471213000</v>
      </c>
      <c r="AF4849" s="28">
        <v>9966000</v>
      </c>
      <c r="AG4849" s="11"/>
    </row>
    <row r="4850">
      <c r="A4850" s="7" t="s">
        <v>6480</v>
      </c>
      <c r="B4850" s="5" t="s">
        <v>14436</v>
      </c>
      <c r="C4850" s="5" t="s">
        <v>22164</v>
      </c>
      <c r="D4850" s="5" t="str">
        <v>470402849505</v>
      </c>
      <c r="E4850" s="0" t="e">
        <f>+7 (812) 4498700
+7 (812) 3365229
+7 (812) 3365200
+7 (812) 3365255
+7 (81456) 45127
+7 (81456) 45415
+7 (81456) 45446
+7 (81456) 45789
+7 (81456) 45808
+7 (81456) 45811
+7 (81456) 45817
+7 (81456) 45821
+7 (911) 4155054
+7 (953) 3606197</f>
        <v>#NAME?</v>
      </c>
      <c r="F4850" s="5" t="s">
        <v>39748</v>
      </c>
      <c r="G4850" s="5"/>
      <c r="H4850" s="26">
        <v>19.5</v>
      </c>
      <c r="I4850" s="5" t="s">
        <v>39749</v>
      </c>
      <c r="J4850" s="5" t="s">
        <v>34574</v>
      </c>
      <c r="K4850" s="5" t="s">
        <v>344</v>
      </c>
      <c r="L4850" s="5" t="s">
        <v>39750</v>
      </c>
      <c r="M4850" s="27"/>
      <c r="N4850" s="5" t="s">
        <v>56781</v>
      </c>
      <c r="O4850" s="5" t="str">
        <v>1020009123</v>
      </c>
      <c r="P4850" s="27">
        <v>20000</v>
      </c>
      <c r="Q4850" s="5" t="s">
        <v>49324</v>
      </c>
      <c r="R4850" s="5"/>
      <c r="S4850" s="5" t="s">
        <v>56782</v>
      </c>
      <c r="T4850" s="28">
        <v>837594000</v>
      </c>
      <c r="U4850" s="28"/>
      <c r="V4850" s="28">
        <v>161518000</v>
      </c>
      <c r="W4850" s="28">
        <v>194000000</v>
      </c>
      <c r="X4850" s="28">
        <v>1932000</v>
      </c>
      <c r="Y4850" s="28">
        <v>2231647000</v>
      </c>
      <c r="Z4850" s="28">
        <v>1323615000</v>
      </c>
      <c r="AA4850" s="28">
        <v>178746000</v>
      </c>
      <c r="AB4850" s="28">
        <v>70023000</v>
      </c>
      <c r="AC4850" s="28">
        <v>563340000</v>
      </c>
      <c r="AD4850" s="28">
        <v>1373635000</v>
      </c>
      <c r="AE4850" s="28">
        <v>3824752000</v>
      </c>
      <c r="AF4850" s="28">
        <v>442903000</v>
      </c>
      <c r="AG4850" s="11"/>
    </row>
    <row r="4851">
      <c r="A4851" s="7" t="s">
        <v>6481</v>
      </c>
      <c r="B4851" s="5" t="s">
        <v>14437</v>
      </c>
      <c r="C4851" s="5" t="s">
        <v>22165</v>
      </c>
      <c r="D4851" s="5" t="str">
        <v>201480832275</v>
      </c>
      <c r="E4851" s="0" t="e">
        <f>+7 (812) 9802639
+7 (911) 2464868
+7 (921) 3107445
+7 (950) 2277279</f>
        <v>#NAME?</v>
      </c>
      <c r="F4851" s="5" t="s">
        <v>39751</v>
      </c>
      <c r="G4851" s="5"/>
      <c r="H4851" s="26">
        <v>7.5</v>
      </c>
      <c r="I4851" s="5" t="s">
        <v>39752</v>
      </c>
      <c r="J4851" s="5" t="s">
        <v>364</v>
      </c>
      <c r="K4851" s="5" t="s">
        <v>380</v>
      </c>
      <c r="L4851" s="5"/>
      <c r="M4851" s="27"/>
      <c r="N4851" s="5" t="s">
        <v>56783</v>
      </c>
      <c r="O4851" s="5" t="str">
        <v>4705067820</v>
      </c>
      <c r="P4851" s="27">
        <v>10000</v>
      </c>
      <c r="Q4851" s="5"/>
      <c r="R4851" s="5"/>
      <c r="S4851" s="5" t="s">
        <v>49110</v>
      </c>
      <c r="T4851" s="28">
        <v>220776600000</v>
      </c>
      <c r="U4851" s="28">
        <v>64718750000</v>
      </c>
      <c r="V4851" s="28">
        <v>10326700000</v>
      </c>
      <c r="W4851" s="28"/>
      <c r="X4851" s="28">
        <v>47000</v>
      </c>
      <c r="Y4851" s="28">
        <v>514944147000</v>
      </c>
      <c r="Z4851" s="28">
        <v>342597650000</v>
      </c>
      <c r="AA4851" s="28">
        <v>40676650000</v>
      </c>
      <c r="AB4851" s="28">
        <v>3068947000</v>
      </c>
      <c r="AC4851" s="28">
        <v>131577047000</v>
      </c>
      <c r="AD4851" s="28">
        <v>342597650000</v>
      </c>
      <c r="AE4851" s="28">
        <v>598805650000</v>
      </c>
      <c r="AF4851" s="28">
        <v>201942400000</v>
      </c>
      <c r="AG4851" s="11"/>
    </row>
    <row r="4852">
      <c r="A4852" s="7" t="s">
        <v>6482</v>
      </c>
      <c r="B4852" s="5" t="s">
        <v>14438</v>
      </c>
      <c r="C4852" s="5" t="s">
        <v>22166</v>
      </c>
      <c r="D4852" s="5" t="str">
        <v>166100797215</v>
      </c>
      <c r="E4852" s="0" t="e">
        <f>+7 (8435) 280900</f>
        <v>#NAME?</v>
      </c>
      <c r="F4852" s="5"/>
      <c r="G4852" s="5" t="s">
        <v>39753</v>
      </c>
      <c r="H4852" s="26">
        <v>9.5</v>
      </c>
      <c r="I4852" s="5" t="s">
        <v>39754</v>
      </c>
      <c r="J4852" s="5" t="s">
        <v>25512</v>
      </c>
      <c r="K4852" s="5" t="s">
        <v>344</v>
      </c>
      <c r="L4852" s="5" t="s">
        <v>39755</v>
      </c>
      <c r="M4852" s="27"/>
      <c r="N4852" s="5"/>
      <c r="O4852" s="5" t="str">
        <v>1659131920</v>
      </c>
      <c r="P4852" s="27">
        <v>2000000</v>
      </c>
      <c r="Q4852" s="5" t="s">
        <v>49009</v>
      </c>
      <c r="R4852" s="5"/>
      <c r="S4852" s="5" t="s">
        <v>56784</v>
      </c>
      <c r="T4852" s="28">
        <v>77261000</v>
      </c>
      <c r="U4852" s="28">
        <v>15712000</v>
      </c>
      <c r="V4852" s="28">
        <v>840016000</v>
      </c>
      <c r="W4852" s="28"/>
      <c r="X4852" s="28">
        <v>140000</v>
      </c>
      <c r="Y4852" s="28">
        <v>1309872000</v>
      </c>
      <c r="Z4852" s="28">
        <v>142738000</v>
      </c>
      <c r="AA4852" s="28">
        <v>300000000</v>
      </c>
      <c r="AB4852" s="28">
        <v>21602000</v>
      </c>
      <c r="AC4852" s="28">
        <v>860545000</v>
      </c>
      <c r="AD4852" s="28">
        <v>144738000</v>
      </c>
      <c r="AE4852" s="28">
        <v>7060460000</v>
      </c>
      <c r="AF4852" s="28">
        <v>35431000</v>
      </c>
      <c r="AG4852" s="11"/>
    </row>
    <row r="4853">
      <c r="A4853" s="7" t="s">
        <v>6483</v>
      </c>
      <c r="B4853" s="5" t="s">
        <v>14439</v>
      </c>
      <c r="C4853" s="5" t="s">
        <v>22167</v>
      </c>
      <c r="D4853" s="5" t="str">
        <v>230903587105</v>
      </c>
      <c r="E4853" s="0" t="e">
        <f>+7 (861) 2741860
+7 (905) 3990608
+7 (908) 4410839
+7 (913) 2527771
+7 (914) 6746884
+7 (917) 2106859
+7 (917) 2141606
+7 (918) 494313
+7 (918) 595641
+7 (918) 4456622
+7 (927) 1127779
+7 (928) 2127629
+7 (961) 6710621</f>
        <v>#NAME?</v>
      </c>
      <c r="F4853" s="5" t="s">
        <v>39756</v>
      </c>
      <c r="G4853" s="5" t="s">
        <v>39757</v>
      </c>
      <c r="H4853" s="26">
        <v>18</v>
      </c>
      <c r="I4853" s="5" t="s">
        <v>39758</v>
      </c>
      <c r="J4853" s="5" t="s">
        <v>25262</v>
      </c>
      <c r="K4853" s="5" t="s">
        <v>344</v>
      </c>
      <c r="L4853" s="5" t="s">
        <v>39759</v>
      </c>
      <c r="M4853" s="27"/>
      <c r="N4853" s="5"/>
      <c r="O4853" s="5" t="str">
        <v>2310099160</v>
      </c>
      <c r="P4853" s="27">
        <v>10000</v>
      </c>
      <c r="Q4853" s="5" t="s">
        <v>49207</v>
      </c>
      <c r="R4853" s="5"/>
      <c r="S4853" s="5" t="s">
        <v>56785</v>
      </c>
      <c r="T4853" s="28">
        <v>64546000</v>
      </c>
      <c r="U4853" s="28"/>
      <c r="V4853" s="28">
        <v>1780730000</v>
      </c>
      <c r="W4853" s="28"/>
      <c r="X4853" s="28">
        <v>10789000</v>
      </c>
      <c r="Y4853" s="28">
        <v>2243818000</v>
      </c>
      <c r="Z4853" s="28">
        <v>729942000</v>
      </c>
      <c r="AA4853" s="28"/>
      <c r="AB4853" s="28">
        <v>286072000</v>
      </c>
      <c r="AC4853" s="28">
        <v>1488980000</v>
      </c>
      <c r="AD4853" s="28">
        <v>729952000</v>
      </c>
      <c r="AE4853" s="28">
        <v>3397903000</v>
      </c>
      <c r="AF4853" s="28">
        <v>174164000</v>
      </c>
      <c r="AG4853" s="11"/>
    </row>
    <row r="4854">
      <c r="A4854" s="7" t="s">
        <v>6484</v>
      </c>
      <c r="B4854" s="5" t="s">
        <v>14440</v>
      </c>
      <c r="C4854" s="5" t="s">
        <v>22168</v>
      </c>
      <c r="D4854" s="5" t="str">
        <v>741500562205</v>
      </c>
      <c r="E4854" s="0" t="e">
        <f>+7 (904) 9315642
+7 (3513) 289969
+7 (3513) 555066
+7 (3513) 555755
+7 (3513) 557474
+7 (3513) 571501
+7 (800) 3338896
+7 (8332) 527387
+7 (912) 4083333</f>
        <v>#NAME?</v>
      </c>
      <c r="F4854" s="5" t="s">
        <v>39760</v>
      </c>
      <c r="G4854" s="5" t="s">
        <v>39761</v>
      </c>
      <c r="H4854" s="26">
        <v>23</v>
      </c>
      <c r="I4854" s="5" t="s">
        <v>39762</v>
      </c>
      <c r="J4854" s="5" t="s">
        <v>25955</v>
      </c>
      <c r="K4854" s="5" t="s">
        <v>344</v>
      </c>
      <c r="L4854" s="5" t="s">
        <v>39763</v>
      </c>
      <c r="M4854" s="27"/>
      <c r="N4854" s="5" t="s">
        <v>56786</v>
      </c>
      <c r="O4854" s="5" t="str">
        <v>7415028006</v>
      </c>
      <c r="P4854" s="27">
        <v>15000</v>
      </c>
      <c r="Q4854" s="5" t="s">
        <v>56787</v>
      </c>
      <c r="R4854" s="5"/>
      <c r="S4854" s="5" t="s">
        <v>56788</v>
      </c>
      <c r="T4854" s="28">
        <v>150774000</v>
      </c>
      <c r="U4854" s="28"/>
      <c r="V4854" s="28">
        <v>629988000</v>
      </c>
      <c r="W4854" s="28"/>
      <c r="X4854" s="28">
        <v>123921000</v>
      </c>
      <c r="Y4854" s="28">
        <v>2222541000</v>
      </c>
      <c r="Z4854" s="28">
        <v>1362371000</v>
      </c>
      <c r="AA4854" s="28"/>
      <c r="AB4854" s="28"/>
      <c r="AC4854" s="28">
        <v>806612000</v>
      </c>
      <c r="AD4854" s="28">
        <v>1362386000</v>
      </c>
      <c r="AE4854" s="28">
        <v>3119284000</v>
      </c>
      <c r="AF4854" s="28">
        <v>528203000</v>
      </c>
      <c r="AG4854" s="11"/>
    </row>
    <row r="4855">
      <c r="A4855" s="7" t="s">
        <v>6484</v>
      </c>
      <c r="B4855" s="5" t="s">
        <v>14441</v>
      </c>
      <c r="C4855" s="5" t="s">
        <v>22169</v>
      </c>
      <c r="D4855" s="5" t="str">
        <v>166017412727</v>
      </c>
      <c r="E4855" s="0" t="e">
        <f>+7 (843) 2671190
+7 (8435) 123184
+7 (8435) 280800
+7 (905) 3163545
+7 (906) 1124000
+7 (917) 2825403
+7 (987) 1886799
+7 (987) 2772343</f>
        <v>#NAME?</v>
      </c>
      <c r="F4855" s="5" t="s">
        <v>39764</v>
      </c>
      <c r="G4855" s="5" t="s">
        <v>39765</v>
      </c>
      <c r="H4855" s="26">
        <v>17</v>
      </c>
      <c r="I4855" s="5" t="s">
        <v>39766</v>
      </c>
      <c r="J4855" s="5" t="s">
        <v>25512</v>
      </c>
      <c r="K4855" s="5" t="s">
        <v>344</v>
      </c>
      <c r="L4855" s="5" t="s">
        <v>39767</v>
      </c>
      <c r="M4855" s="27"/>
      <c r="N4855" s="5"/>
      <c r="O4855" s="5" t="str">
        <v>1661014491</v>
      </c>
      <c r="P4855" s="27">
        <v>100000</v>
      </c>
      <c r="Q4855" s="5" t="s">
        <v>49009</v>
      </c>
      <c r="R4855" s="5"/>
      <c r="S4855" s="5" t="s">
        <v>49045</v>
      </c>
      <c r="T4855" s="28">
        <v>64373000</v>
      </c>
      <c r="U4855" s="28">
        <v>2220000</v>
      </c>
      <c r="V4855" s="28">
        <v>711785000</v>
      </c>
      <c r="W4855" s="28"/>
      <c r="X4855" s="28">
        <v>3186000</v>
      </c>
      <c r="Y4855" s="28">
        <v>1634020000</v>
      </c>
      <c r="Z4855" s="28">
        <v>204968000</v>
      </c>
      <c r="AA4855" s="28">
        <v>500000000</v>
      </c>
      <c r="AB4855" s="28">
        <v>1050000</v>
      </c>
      <c r="AC4855" s="28">
        <v>926593000</v>
      </c>
      <c r="AD4855" s="28">
        <v>205068000</v>
      </c>
      <c r="AE4855" s="28">
        <v>4878171000</v>
      </c>
      <c r="AF4855" s="28">
        <v>25843000</v>
      </c>
      <c r="AG4855" s="11"/>
    </row>
    <row r="4856">
      <c r="A4856" s="7" t="s">
        <v>6485</v>
      </c>
      <c r="B4856" s="5" t="s">
        <v>14442</v>
      </c>
      <c r="C4856" s="5" t="s">
        <v>22170</v>
      </c>
      <c r="D4856" s="5" t="str">
        <v>312802432204</v>
      </c>
      <c r="E4856" s="0" t="e">
        <f>+7 (47233) 30503
+7 (472) 2780818
+7 (47233) 30504
+7 (47233) 44225
+7 (47233) 45151
+7 (47236) 30858</f>
        <v>#NAME?</v>
      </c>
      <c r="F4856" s="5" t="s">
        <v>39768</v>
      </c>
      <c r="G4856" s="5" t="s">
        <v>39769</v>
      </c>
      <c r="H4856" s="26">
        <v>19</v>
      </c>
      <c r="I4856" s="5"/>
      <c r="J4856" s="5" t="s">
        <v>25450</v>
      </c>
      <c r="K4856" s="5" t="s">
        <v>344</v>
      </c>
      <c r="L4856" s="5" t="s">
        <v>39770</v>
      </c>
      <c r="M4856" s="27"/>
      <c r="N4856" s="5"/>
      <c r="O4856" s="5" t="str">
        <v>3123100360</v>
      </c>
      <c r="P4856" s="27">
        <v>150000</v>
      </c>
      <c r="Q4856" s="5" t="s">
        <v>49009</v>
      </c>
      <c r="R4856" s="5" t="s">
        <v>56789</v>
      </c>
      <c r="S4856" s="5" t="s">
        <v>49120</v>
      </c>
      <c r="T4856" s="28">
        <v>9424550000</v>
      </c>
      <c r="U4856" s="28">
        <v>8149250000</v>
      </c>
      <c r="V4856" s="28">
        <v>1069477000</v>
      </c>
      <c r="W4856" s="28">
        <v>10833980000</v>
      </c>
      <c r="X4856" s="28">
        <v>6570000</v>
      </c>
      <c r="Y4856" s="28">
        <v>34053412000</v>
      </c>
      <c r="Z4856" s="28">
        <v>26305298000</v>
      </c>
      <c r="AA4856" s="28">
        <v>2014289000</v>
      </c>
      <c r="AB4856" s="28">
        <v>2245687000</v>
      </c>
      <c r="AC4856" s="28">
        <v>5733375000</v>
      </c>
      <c r="AD4856" s="28">
        <v>26305748000</v>
      </c>
      <c r="AE4856" s="28">
        <v>49529385000</v>
      </c>
      <c r="AF4856" s="28">
        <v>2552449000</v>
      </c>
      <c r="AG4856" s="11"/>
    </row>
    <row r="4857">
      <c r="A4857" s="7" t="s">
        <v>6486</v>
      </c>
      <c r="B4857" s="5" t="s">
        <v>14443</v>
      </c>
      <c r="C4857" s="5" t="s">
        <v>22171</v>
      </c>
      <c r="D4857" s="5" t="str">
        <v>770473052383</v>
      </c>
      <c r="E4857" s="0" t="e">
        <f>+7 (495) 9333232</f>
        <v>#NAME?</v>
      </c>
      <c r="F4857" s="5" t="s">
        <v>39771</v>
      </c>
      <c r="G4857" s="5"/>
      <c r="H4857" s="26">
        <v>4.5</v>
      </c>
      <c r="I4857" s="5" t="s">
        <v>39772</v>
      </c>
      <c r="J4857" s="5" t="s">
        <v>39773</v>
      </c>
      <c r="K4857" s="5" t="s">
        <v>344</v>
      </c>
      <c r="L4857" s="5"/>
      <c r="M4857" s="27"/>
      <c r="N4857" s="5"/>
      <c r="O4857" s="5" t="str">
        <v>7703465034</v>
      </c>
      <c r="P4857" s="27">
        <v>1000000</v>
      </c>
      <c r="Q4857" s="5" t="s">
        <v>49057</v>
      </c>
      <c r="R4857" s="5"/>
      <c r="S4857" s="5" t="s">
        <v>49452</v>
      </c>
      <c r="T4857" s="28"/>
      <c r="U4857" s="28"/>
      <c r="V4857" s="28">
        <v>5210890000</v>
      </c>
      <c r="W4857" s="28">
        <v>11895619000</v>
      </c>
      <c r="X4857" s="28">
        <v>13128000</v>
      </c>
      <c r="Y4857" s="28">
        <v>17238899000</v>
      </c>
      <c r="Z4857" s="28">
        <v>3421447000</v>
      </c>
      <c r="AA4857" s="28"/>
      <c r="AB4857" s="28">
        <v>4731084000</v>
      </c>
      <c r="AC4857" s="28">
        <v>12755978000</v>
      </c>
      <c r="AD4857" s="28">
        <v>3422447000</v>
      </c>
      <c r="AE4857" s="28">
        <v>69177536000</v>
      </c>
      <c r="AF4857" s="28">
        <v>3458341000</v>
      </c>
      <c r="AG4857" s="11"/>
    </row>
    <row r="4858">
      <c r="A4858" s="7" t="s">
        <v>6487</v>
      </c>
      <c r="B4858" s="5" t="s">
        <v>14444</v>
      </c>
      <c r="C4858" s="5" t="s">
        <v>22172</v>
      </c>
      <c r="D4858" s="5" t="str">
        <v>780435990280</v>
      </c>
      <c r="E4858" s="0" t="e">
        <f>+7 (495) 3639750
+7 (495) 3639751
+7 (495) 1925612
+7 (495) 3639759
+7 (495) 6602190
+7 (495) 6602191
+7 (499) 6602191</f>
        <v>#NAME?</v>
      </c>
      <c r="F4858" s="5" t="s">
        <v>39774</v>
      </c>
      <c r="G4858" s="5" t="s">
        <v>39775</v>
      </c>
      <c r="H4858" s="26">
        <v>22</v>
      </c>
      <c r="I4858" s="5" t="s">
        <v>39776</v>
      </c>
      <c r="J4858" s="5" t="s">
        <v>30421</v>
      </c>
      <c r="K4858" s="5" t="s">
        <v>344</v>
      </c>
      <c r="L4858" s="5" t="s">
        <v>39777</v>
      </c>
      <c r="M4858" s="27">
        <v>61200</v>
      </c>
      <c r="N4858" s="5" t="s">
        <v>56790</v>
      </c>
      <c r="O4858" s="5" t="str">
        <v>7715265054</v>
      </c>
      <c r="P4858" s="27">
        <v>13893740063</v>
      </c>
      <c r="Q4858" s="5" t="s">
        <v>56791</v>
      </c>
      <c r="R4858" s="5"/>
      <c r="S4858" s="5" t="s">
        <v>56792</v>
      </c>
      <c r="T4858" s="28">
        <v>500487000</v>
      </c>
      <c r="U4858" s="28">
        <v>40423765000</v>
      </c>
      <c r="V4858" s="28">
        <v>22726942000</v>
      </c>
      <c r="W4858" s="28"/>
      <c r="X4858" s="28">
        <v>1172214000</v>
      </c>
      <c r="Y4858" s="28">
        <v>83493470000</v>
      </c>
      <c r="Z4858" s="28">
        <v>26403432000</v>
      </c>
      <c r="AA4858" s="28">
        <v>23049137000</v>
      </c>
      <c r="AB4858" s="28">
        <v>12218374000</v>
      </c>
      <c r="AC4858" s="28">
        <v>18961678000</v>
      </c>
      <c r="AD4858" s="28">
        <v>40297174000</v>
      </c>
      <c r="AE4858" s="28">
        <v>28349916000</v>
      </c>
      <c r="AF4858" s="28">
        <v>5902949000</v>
      </c>
      <c r="AG4858" s="11"/>
    </row>
    <row r="4859">
      <c r="A4859" s="7" t="s">
        <v>6488</v>
      </c>
      <c r="B4859" s="5" t="s">
        <v>14445</v>
      </c>
      <c r="C4859" s="5" t="s">
        <v>22173</v>
      </c>
      <c r="D4859" s="5" t="str">
        <v>772583829309</v>
      </c>
      <c r="E4859" s="0" t="e">
        <f>+7 (495) 6234963
+7 (969) 239024
+7 (495) 9610160
+7 (499) 3914040
+7 (800) 7000099
+7 (962) 9841824</f>
        <v>#NAME?</v>
      </c>
      <c r="F4859" s="5" t="s">
        <v>39778</v>
      </c>
      <c r="G4859" s="5"/>
      <c r="H4859" s="26">
        <v>4.5</v>
      </c>
      <c r="I4859" s="5" t="s">
        <v>39779</v>
      </c>
      <c r="J4859" s="5" t="s">
        <v>25190</v>
      </c>
      <c r="K4859" s="5" t="s">
        <v>355</v>
      </c>
      <c r="L4859" s="5"/>
      <c r="M4859" s="27">
        <v>11242500</v>
      </c>
      <c r="N4859" s="5" t="s">
        <v>56793</v>
      </c>
      <c r="O4859" s="5" t="str">
        <v>7725498851</v>
      </c>
      <c r="P4859" s="27">
        <v>100000000</v>
      </c>
      <c r="Q4859" s="5" t="s">
        <v>49009</v>
      </c>
      <c r="R4859" s="5"/>
      <c r="S4859" s="5" t="s">
        <v>49045</v>
      </c>
      <c r="T4859" s="28">
        <v>48913000</v>
      </c>
      <c r="U4859" s="28"/>
      <c r="V4859" s="28">
        <v>403175000</v>
      </c>
      <c r="W4859" s="28"/>
      <c r="X4859" s="28">
        <v>177954000</v>
      </c>
      <c r="Y4859" s="28">
        <v>1600797000</v>
      </c>
      <c r="Z4859" s="28">
        <v>-3170579000</v>
      </c>
      <c r="AA4859" s="28">
        <v>460000000</v>
      </c>
      <c r="AB4859" s="28">
        <v>600000000</v>
      </c>
      <c r="AC4859" s="28">
        <v>1104487000</v>
      </c>
      <c r="AD4859" s="28">
        <v>29421000</v>
      </c>
      <c r="AE4859" s="28">
        <v>5415357000</v>
      </c>
      <c r="AF4859" s="28">
        <v>-878024000</v>
      </c>
      <c r="AG4859" s="11"/>
    </row>
    <row r="4860">
      <c r="A4860" s="7" t="s">
        <v>6489</v>
      </c>
      <c r="B4860" s="5" t="s">
        <v>14446</v>
      </c>
      <c r="C4860" s="5" t="s">
        <v>22174</v>
      </c>
      <c r="D4860" s="5" t="str">
        <v>590409821504</v>
      </c>
      <c r="E4860" s="0" t="e">
        <f>+7 (3422) 369045
+7 (3422) 369065
+7 (3422) 369905
+7 (3422) 639055
+7 (3422) 669055
+7 (3422) 910192
+7 (3422) 932020
+7 (34256) 51201
+7 (34256) 51202
+7 (8342) 369058
+7 (910) 23077
+7 (912) 9800733</f>
        <v>#NAME?</v>
      </c>
      <c r="F4860" s="5" t="s">
        <v>39780</v>
      </c>
      <c r="G4860" s="5" t="s">
        <v>39781</v>
      </c>
      <c r="H4860" s="26">
        <v>10</v>
      </c>
      <c r="I4860" s="5"/>
      <c r="J4860" s="5" t="s">
        <v>33220</v>
      </c>
      <c r="K4860" s="5" t="s">
        <v>344</v>
      </c>
      <c r="L4860" s="5"/>
      <c r="M4860" s="27">
        <v>188907834</v>
      </c>
      <c r="N4860" s="5" t="s">
        <v>56794</v>
      </c>
      <c r="O4860" s="5" t="str">
        <v>5903153085</v>
      </c>
      <c r="P4860" s="27">
        <v>705104658</v>
      </c>
      <c r="Q4860" s="5" t="s">
        <v>56795</v>
      </c>
      <c r="R4860" s="5" t="s">
        <v>56796</v>
      </c>
      <c r="S4860" s="5" t="s">
        <v>51373</v>
      </c>
      <c r="T4860" s="28">
        <v>75920000</v>
      </c>
      <c r="U4860" s="28"/>
      <c r="V4860" s="28">
        <v>1124777000</v>
      </c>
      <c r="W4860" s="28"/>
      <c r="X4860" s="28">
        <v>91164000</v>
      </c>
      <c r="Y4860" s="28">
        <v>1317094000</v>
      </c>
      <c r="Z4860" s="28">
        <v>97080000</v>
      </c>
      <c r="AA4860" s="28"/>
      <c r="AB4860" s="28"/>
      <c r="AC4860" s="28">
        <v>498216000</v>
      </c>
      <c r="AD4860" s="28">
        <v>812196000</v>
      </c>
      <c r="AE4860" s="28">
        <v>3584685000</v>
      </c>
      <c r="AF4860" s="28">
        <v>164882000</v>
      </c>
      <c r="AG4860" s="11"/>
    </row>
    <row r="4861">
      <c r="A4861" s="7" t="s">
        <v>6490</v>
      </c>
      <c r="B4861" s="5" t="s">
        <v>14447</v>
      </c>
      <c r="C4861" s="5" t="s">
        <v>22175</v>
      </c>
      <c r="D4861" s="5" t="str">
        <v>772313928500</v>
      </c>
      <c r="E4861" s="0" t="e">
        <f>+7 (495) 6656103
+7 (8422) 331588</f>
        <v>#NAME?</v>
      </c>
      <c r="F4861" s="5"/>
      <c r="G4861" s="5" t="s">
        <v>39782</v>
      </c>
      <c r="H4861" s="26">
        <v>15</v>
      </c>
      <c r="I4861" s="5"/>
      <c r="J4861" s="5" t="s">
        <v>28030</v>
      </c>
      <c r="K4861" s="5" t="s">
        <v>344</v>
      </c>
      <c r="L4861" s="5" t="s">
        <v>39783</v>
      </c>
      <c r="M4861" s="27"/>
      <c r="N4861" s="5"/>
      <c r="O4861" s="5" t="str">
        <v>7723651663</v>
      </c>
      <c r="P4861" s="27">
        <v>1000000</v>
      </c>
      <c r="Q4861" s="5" t="s">
        <v>49009</v>
      </c>
      <c r="R4861" s="5"/>
      <c r="S4861" s="5" t="s">
        <v>49010</v>
      </c>
      <c r="T4861" s="28">
        <v>313730000</v>
      </c>
      <c r="U4861" s="28">
        <v>57407000</v>
      </c>
      <c r="V4861" s="28">
        <v>2827625000</v>
      </c>
      <c r="W4861" s="28"/>
      <c r="X4861" s="28">
        <v>38852000</v>
      </c>
      <c r="Y4861" s="28">
        <v>3938671000</v>
      </c>
      <c r="Z4861" s="28">
        <v>330534000</v>
      </c>
      <c r="AA4861" s="28"/>
      <c r="AB4861" s="28"/>
      <c r="AC4861" s="28">
        <v>3340524000</v>
      </c>
      <c r="AD4861" s="28">
        <v>331534000</v>
      </c>
      <c r="AE4861" s="28">
        <v>5881535000</v>
      </c>
      <c r="AF4861" s="28">
        <v>7446000</v>
      </c>
      <c r="AG4861" s="11"/>
    </row>
    <row r="4862">
      <c r="A4862" s="7" t="s">
        <v>6491</v>
      </c>
      <c r="B4862" s="5" t="s">
        <v>14448</v>
      </c>
      <c r="C4862" s="5" t="s">
        <v>22176</v>
      </c>
      <c r="D4862" s="5" t="str">
        <v>622808933956</v>
      </c>
      <c r="E4862" s="0" t="e">
        <f>+7 (495) 1202929
+7 (495) 1978750
+7 (495) 2049242
+7 (495) 3630828
+7 (495) 6703329
+7 (495) 7373500
+7 (495) 7373501
+7 (499) 1666846
+7 (499) 2569336
+7 (499) 6525800
+7 (499) 7280089
+7 (499) 7282981
+7 (800) 5009262
+7 (800) 7004740</f>
        <v>#NAME?</v>
      </c>
      <c r="F4862" s="5" t="s">
        <v>39784</v>
      </c>
      <c r="G4862" s="5" t="s">
        <v>39785</v>
      </c>
      <c r="H4862" s="26">
        <v>6.5</v>
      </c>
      <c r="I4862" s="5" t="s">
        <v>39786</v>
      </c>
      <c r="J4862" s="5" t="s">
        <v>26159</v>
      </c>
      <c r="K4862" s="5" t="s">
        <v>344</v>
      </c>
      <c r="L4862" s="5" t="s">
        <v>39787</v>
      </c>
      <c r="M4862" s="27"/>
      <c r="N4862" s="5" t="s">
        <v>56797</v>
      </c>
      <c r="O4862" s="5" t="str">
        <v>9715268877</v>
      </c>
      <c r="P4862" s="27">
        <v>10000</v>
      </c>
      <c r="Q4862" s="5" t="s">
        <v>56798</v>
      </c>
      <c r="R4862" s="5"/>
      <c r="S4862" s="5" t="s">
        <v>56799</v>
      </c>
      <c r="T4862" s="28">
        <v>80735000</v>
      </c>
      <c r="U4862" s="28"/>
      <c r="V4862" s="28">
        <v>801847000</v>
      </c>
      <c r="W4862" s="28"/>
      <c r="X4862" s="28">
        <v>51157000</v>
      </c>
      <c r="Y4862" s="28">
        <v>2244869000</v>
      </c>
      <c r="Z4862" s="28">
        <v>496222000</v>
      </c>
      <c r="AA4862" s="28"/>
      <c r="AB4862" s="28">
        <v>126298000</v>
      </c>
      <c r="AC4862" s="28">
        <v>1674748000</v>
      </c>
      <c r="AD4862" s="28">
        <v>496232000</v>
      </c>
      <c r="AE4862" s="28">
        <v>7490491000</v>
      </c>
      <c r="AF4862" s="28">
        <v>228561000</v>
      </c>
      <c r="AG4862" s="11"/>
    </row>
    <row r="4863">
      <c r="A4863" s="7" t="s">
        <v>6492</v>
      </c>
      <c r="B4863" s="5" t="s">
        <v>14449</v>
      </c>
      <c r="C4863" s="5" t="s">
        <v>22177</v>
      </c>
      <c r="D4863" s="5" t="str">
        <v>232900569567</v>
      </c>
      <c r="E4863" s="0" t="e">
        <f>+7 (86137) 57170
+7 (8617) 300718
+7 (8632) 747030
+7 (8793) 974515
+7 (928) 3020217
+7 (928) 4320366
+7 (961) 2907706
+7 (961) 5001006
+7 (844) 2263193
+7 (861) 2125751
+7 (918) 312026</f>
        <v>#NAME?</v>
      </c>
      <c r="F4863" s="5" t="s">
        <v>39788</v>
      </c>
      <c r="G4863" s="5"/>
      <c r="H4863" s="26">
        <v>14</v>
      </c>
      <c r="I4863" s="5" t="s">
        <v>39789</v>
      </c>
      <c r="J4863" s="5" t="s">
        <v>25874</v>
      </c>
      <c r="K4863" s="5" t="s">
        <v>344</v>
      </c>
      <c r="L4863" s="5"/>
      <c r="M4863" s="27"/>
      <c r="N4863" s="5" t="s">
        <v>56800</v>
      </c>
      <c r="O4863" s="5" t="str">
        <v>2312156783</v>
      </c>
      <c r="P4863" s="27">
        <v>10100000</v>
      </c>
      <c r="Q4863" s="5" t="s">
        <v>56801</v>
      </c>
      <c r="R4863" s="5"/>
      <c r="S4863" s="5" t="s">
        <v>50836</v>
      </c>
      <c r="T4863" s="28">
        <v>47054000</v>
      </c>
      <c r="U4863" s="28">
        <v>3000</v>
      </c>
      <c r="V4863" s="28">
        <v>5031266000</v>
      </c>
      <c r="W4863" s="28">
        <v>3331834000</v>
      </c>
      <c r="X4863" s="28">
        <v>461077000</v>
      </c>
      <c r="Y4863" s="28">
        <v>10136564000</v>
      </c>
      <c r="Z4863" s="28">
        <v>61120000</v>
      </c>
      <c r="AA4863" s="28"/>
      <c r="AB4863" s="28">
        <v>1078966000</v>
      </c>
      <c r="AC4863" s="28">
        <v>10065344000</v>
      </c>
      <c r="AD4863" s="28">
        <v>71220000</v>
      </c>
      <c r="AE4863" s="28">
        <v>9810816000</v>
      </c>
      <c r="AF4863" s="28">
        <v>-9116000</v>
      </c>
      <c r="AG4863" s="11"/>
    </row>
    <row r="4864">
      <c r="A4864" s="7" t="s">
        <v>6493</v>
      </c>
      <c r="B4864" s="5" t="s">
        <v>14450</v>
      </c>
      <c r="C4864" s="5" t="s">
        <v>22178</v>
      </c>
      <c r="D4864" s="5" t="str">
        <v>711307034800</v>
      </c>
      <c r="E4864" s="0" t="e">
        <f>+7 (495) 1233412
+7 (495) 2133412
+7 (499) 6104872
+7 (84676) 21084
+7 (84676) 24096
+7 (916) 3504498
+7 (938) 1034104</f>
        <v>#NAME?</v>
      </c>
      <c r="F4864" s="5" t="s">
        <v>39790</v>
      </c>
      <c r="G4864" s="5" t="s">
        <v>39791</v>
      </c>
      <c r="H4864" s="26">
        <v>30.5</v>
      </c>
      <c r="I4864" s="5" t="s">
        <v>39792</v>
      </c>
      <c r="J4864" s="5" t="s">
        <v>27266</v>
      </c>
      <c r="K4864" s="5" t="s">
        <v>344</v>
      </c>
      <c r="L4864" s="5"/>
      <c r="M4864" s="27"/>
      <c r="N4864" s="5"/>
      <c r="O4864" s="5" t="str">
        <v>7705014478</v>
      </c>
      <c r="P4864" s="27">
        <v>283026946</v>
      </c>
      <c r="Q4864" s="5" t="s">
        <v>49009</v>
      </c>
      <c r="R4864" s="5"/>
      <c r="S4864" s="5" t="s">
        <v>49028</v>
      </c>
      <c r="T4864" s="28">
        <v>1027135000</v>
      </c>
      <c r="U4864" s="28"/>
      <c r="V4864" s="28">
        <v>2515589000</v>
      </c>
      <c r="W4864" s="28">
        <v>176000000</v>
      </c>
      <c r="X4864" s="28">
        <v>45998000</v>
      </c>
      <c r="Y4864" s="28">
        <v>5979626000</v>
      </c>
      <c r="Z4864" s="28">
        <v>3926923000</v>
      </c>
      <c r="AA4864" s="28"/>
      <c r="AB4864" s="28">
        <v>152000</v>
      </c>
      <c r="AC4864" s="28">
        <v>1743997000</v>
      </c>
      <c r="AD4864" s="28">
        <v>4212448000</v>
      </c>
      <c r="AE4864" s="28">
        <v>16713786000</v>
      </c>
      <c r="AF4864" s="28">
        <v>756146000</v>
      </c>
      <c r="AG4864" s="11"/>
    </row>
    <row r="4865">
      <c r="A4865" s="7" t="s">
        <v>6494</v>
      </c>
      <c r="B4865" s="5" t="s">
        <v>14451</v>
      </c>
      <c r="C4865" s="5" t="s">
        <v>22179</v>
      </c>
      <c r="D4865" s="5" t="str">
        <v>502716164374</v>
      </c>
      <c r="E4865" s="0" t="e">
        <f>+7 (903) 7940681
+7 (495) 1251125
+7 (495) 3736409</f>
        <v>#NAME?</v>
      </c>
      <c r="F4865" s="5" t="s">
        <v>39793</v>
      </c>
      <c r="G4865" s="5" t="s">
        <v>39794</v>
      </c>
      <c r="H4865" s="26">
        <v>20.5</v>
      </c>
      <c r="I4865" s="5" t="s">
        <v>39795</v>
      </c>
      <c r="J4865" s="5" t="s">
        <v>881</v>
      </c>
      <c r="K4865" s="5" t="s">
        <v>344</v>
      </c>
      <c r="L4865" s="5" t="s">
        <v>39796</v>
      </c>
      <c r="M4865" s="27"/>
      <c r="N4865" s="5" t="s">
        <v>56802</v>
      </c>
      <c r="O4865" s="5" t="str">
        <v>7810268545</v>
      </c>
      <c r="P4865" s="27">
        <v>10000000</v>
      </c>
      <c r="Q4865" s="5" t="s">
        <v>56803</v>
      </c>
      <c r="R4865" s="5"/>
      <c r="S4865" s="5" t="s">
        <v>56804</v>
      </c>
      <c r="T4865" s="28">
        <v>36581000</v>
      </c>
      <c r="U4865" s="28">
        <v>502000</v>
      </c>
      <c r="V4865" s="28">
        <v>328792000</v>
      </c>
      <c r="W4865" s="28">
        <v>5480000</v>
      </c>
      <c r="X4865" s="28">
        <v>1285361000</v>
      </c>
      <c r="Y4865" s="28">
        <v>2098930000</v>
      </c>
      <c r="Z4865" s="28">
        <v>637680000</v>
      </c>
      <c r="AA4865" s="28"/>
      <c r="AB4865" s="28">
        <v>954000</v>
      </c>
      <c r="AC4865" s="28">
        <v>1415348000</v>
      </c>
      <c r="AD4865" s="28">
        <v>647680000</v>
      </c>
      <c r="AE4865" s="28">
        <v>4076283000</v>
      </c>
      <c r="AF4865" s="28">
        <v>570660000</v>
      </c>
      <c r="AG4865" s="11"/>
    </row>
    <row r="4866">
      <c r="A4866" s="7" t="s">
        <v>6495</v>
      </c>
      <c r="B4866" s="5" t="s">
        <v>14452</v>
      </c>
      <c r="C4866" s="5" t="s">
        <v>22180</v>
      </c>
      <c r="D4866" s="5" t="str">
        <v>772371665680</v>
      </c>
      <c r="E4866" s="0" t="e">
        <f>+7 (474) 2420505
+7 (3432) 780030
+7 (383) 3633376
+7 (474) 2415717
+7 (474) 2417777
+7 (474) 2420500
+7 (474) 2420517
+7 (800) 2001400
+7 (83142) 90223
+7 (861) 2170024</f>
        <v>#NAME?</v>
      </c>
      <c r="F4866" s="5" t="s">
        <v>39797</v>
      </c>
      <c r="G4866" s="5" t="s">
        <v>39798</v>
      </c>
      <c r="H4866" s="26">
        <v>34.5</v>
      </c>
      <c r="I4866" s="5"/>
      <c r="J4866" s="5" t="s">
        <v>31319</v>
      </c>
      <c r="K4866" s="5" t="s">
        <v>344</v>
      </c>
      <c r="L4866" s="5" t="s">
        <v>39799</v>
      </c>
      <c r="M4866" s="27">
        <v>810000</v>
      </c>
      <c r="N4866" s="5"/>
      <c r="O4866" s="5" t="str">
        <v>4826022365</v>
      </c>
      <c r="P4866" s="27">
        <v>804168000</v>
      </c>
      <c r="Q4866" s="5" t="s">
        <v>56806</v>
      </c>
      <c r="R4866" s="5"/>
      <c r="S4866" s="5" t="s">
        <v>49998</v>
      </c>
      <c r="T4866" s="28">
        <v>7540179000</v>
      </c>
      <c r="U4866" s="28"/>
      <c r="V4866" s="28">
        <v>5281705000</v>
      </c>
      <c r="W4866" s="28">
        <v>3800000000</v>
      </c>
      <c r="X4866" s="28">
        <v>710119000</v>
      </c>
      <c r="Y4866" s="28">
        <v>23823296000</v>
      </c>
      <c r="Z4866" s="28">
        <v>14518535000</v>
      </c>
      <c r="AA4866" s="28">
        <v>340000000</v>
      </c>
      <c r="AB4866" s="28">
        <v>4024155000</v>
      </c>
      <c r="AC4866" s="28">
        <v>7299041000</v>
      </c>
      <c r="AD4866" s="28">
        <v>15398541000</v>
      </c>
      <c r="AE4866" s="28">
        <v>33116263000</v>
      </c>
      <c r="AF4866" s="28">
        <v>8140758000</v>
      </c>
      <c r="AG4866" s="11"/>
    </row>
    <row r="4867">
      <c r="A4867" s="7" t="s">
        <v>6496</v>
      </c>
      <c r="B4867" s="5" t="s">
        <v>14453</v>
      </c>
      <c r="C4867" s="5" t="s">
        <v>22181</v>
      </c>
      <c r="D4867" s="5" t="str">
        <v>510516195931</v>
      </c>
      <c r="E4867" s="0" t="e">
        <f>+7 (812) 6037797
+7 (812) 6556218</f>
        <v>#NAME?</v>
      </c>
      <c r="F4867" s="5" t="s">
        <v>39800</v>
      </c>
      <c r="G4867" s="5"/>
      <c r="H4867" s="26">
        <v>8.5</v>
      </c>
      <c r="I4867" s="5" t="s">
        <v>39801</v>
      </c>
      <c r="J4867" s="5" t="s">
        <v>678</v>
      </c>
      <c r="K4867" s="5" t="s">
        <v>344</v>
      </c>
      <c r="L4867" s="5" t="s">
        <v>39802</v>
      </c>
      <c r="M4867" s="27"/>
      <c r="N4867" s="5"/>
      <c r="O4867" s="5" t="str">
        <v>7814614517</v>
      </c>
      <c r="P4867" s="27">
        <v>10000</v>
      </c>
      <c r="Q4867" s="5" t="s">
        <v>49009</v>
      </c>
      <c r="R4867" s="5"/>
      <c r="S4867" s="5" t="s">
        <v>49010</v>
      </c>
      <c r="T4867" s="28"/>
      <c r="U4867" s="28"/>
      <c r="V4867" s="28">
        <v>1161826000</v>
      </c>
      <c r="W4867" s="28"/>
      <c r="X4867" s="28">
        <v>606000</v>
      </c>
      <c r="Y4867" s="28">
        <v>1162623000</v>
      </c>
      <c r="Z4867" s="28">
        <v>691524000</v>
      </c>
      <c r="AA4867" s="28"/>
      <c r="AB4867" s="28"/>
      <c r="AC4867" s="28">
        <v>471089000</v>
      </c>
      <c r="AD4867" s="28">
        <v>691534000</v>
      </c>
      <c r="AE4867" s="28">
        <v>4330870000</v>
      </c>
      <c r="AF4867" s="28">
        <v>423855000</v>
      </c>
      <c r="AG4867" s="11"/>
    </row>
    <row r="4868">
      <c r="A4868" s="7" t="s">
        <v>6496</v>
      </c>
      <c r="B4868" s="5" t="s">
        <v>14454</v>
      </c>
      <c r="C4868" s="5" t="s">
        <v>22182</v>
      </c>
      <c r="D4868" s="5" t="str">
        <v>532111295934</v>
      </c>
      <c r="E4868" s="0" t="e">
        <f>+7 (816) 2948009</f>
        <v>#NAME?</v>
      </c>
      <c r="F4868" s="5"/>
      <c r="G4868" s="5"/>
      <c r="H4868" s="26">
        <v>11.5</v>
      </c>
      <c r="I4868" s="5" t="s">
        <v>39803</v>
      </c>
      <c r="J4868" s="5" t="s">
        <v>1059</v>
      </c>
      <c r="K4868" s="5" t="s">
        <v>355</v>
      </c>
      <c r="L4868" s="5" t="s">
        <v>39804</v>
      </c>
      <c r="M4868" s="27">
        <v>89194</v>
      </c>
      <c r="N4868" s="5"/>
      <c r="O4868" s="5" t="str">
        <v>5321149890</v>
      </c>
      <c r="P4868" s="27">
        <v>10000000</v>
      </c>
      <c r="Q4868" s="5"/>
      <c r="R4868" s="5"/>
      <c r="S4868" s="5" t="s">
        <v>49029</v>
      </c>
      <c r="T4868" s="28">
        <v>649910000</v>
      </c>
      <c r="U4868" s="28"/>
      <c r="V4868" s="28">
        <v>800373000</v>
      </c>
      <c r="W4868" s="28"/>
      <c r="X4868" s="28">
        <v>44966000</v>
      </c>
      <c r="Y4868" s="28">
        <v>2314556000</v>
      </c>
      <c r="Z4868" s="28">
        <v>42900000</v>
      </c>
      <c r="AA4868" s="28"/>
      <c r="AB4868" s="28">
        <v>41878000</v>
      </c>
      <c r="AC4868" s="28">
        <v>1541633000</v>
      </c>
      <c r="AD4868" s="28">
        <v>53400000</v>
      </c>
      <c r="AE4868" s="28">
        <v>6427836000</v>
      </c>
      <c r="AF4868" s="28">
        <v>6192000</v>
      </c>
      <c r="AG4868" s="11"/>
    </row>
    <row r="4869">
      <c r="A4869" s="7" t="s">
        <v>6497</v>
      </c>
      <c r="B4869" s="5" t="s">
        <v>14455</v>
      </c>
      <c r="C4869" s="5" t="s">
        <v>22183</v>
      </c>
      <c r="D4869" s="5" t="str">
        <v>231113623891</v>
      </c>
      <c r="E4869" s="0" t="e">
        <f>+7 (918) 9883672
+7 (86144) 44453
+7 (918) 2307871
+7 (918) 6240062
+7 (988) 3672957</f>
        <v>#NAME?</v>
      </c>
      <c r="F4869" s="5" t="s">
        <v>39805</v>
      </c>
      <c r="G4869" s="5"/>
      <c r="H4869" s="26">
        <v>14</v>
      </c>
      <c r="I4869" s="5" t="s">
        <v>39806</v>
      </c>
      <c r="J4869" s="5" t="s">
        <v>364</v>
      </c>
      <c r="K4869" s="5" t="s">
        <v>344</v>
      </c>
      <c r="L4869" s="5" t="s">
        <v>27172</v>
      </c>
      <c r="M4869" s="27">
        <v>3413634</v>
      </c>
      <c r="N4869" s="5" t="s">
        <v>56807</v>
      </c>
      <c r="O4869" s="5" t="str">
        <v>2310137337</v>
      </c>
      <c r="P4869" s="27">
        <v>20000</v>
      </c>
      <c r="Q4869" s="5" t="s">
        <v>56808</v>
      </c>
      <c r="R4869" s="5"/>
      <c r="S4869" s="5" t="s">
        <v>56809</v>
      </c>
      <c r="T4869" s="28">
        <v>2102000</v>
      </c>
      <c r="U4869" s="28"/>
      <c r="V4869" s="28">
        <v>5474292000</v>
      </c>
      <c r="W4869" s="28">
        <v>205410000</v>
      </c>
      <c r="X4869" s="28">
        <v>54347000</v>
      </c>
      <c r="Y4869" s="28">
        <v>5865418000</v>
      </c>
      <c r="Z4869" s="28">
        <v>42285000</v>
      </c>
      <c r="AA4869" s="28">
        <v>200000000</v>
      </c>
      <c r="AB4869" s="28">
        <v>185000</v>
      </c>
      <c r="AC4869" s="28">
        <v>5438113000</v>
      </c>
      <c r="AD4869" s="28">
        <v>227305000</v>
      </c>
      <c r="AE4869" s="28">
        <v>3041212000</v>
      </c>
      <c r="AF4869" s="28">
        <v>10447000</v>
      </c>
      <c r="AG4869" s="11"/>
    </row>
    <row r="4870">
      <c r="A4870" s="7" t="s">
        <v>6498</v>
      </c>
      <c r="B4870" s="5" t="s">
        <v>14456</v>
      </c>
      <c r="C4870" s="5" t="s">
        <v>22184</v>
      </c>
      <c r="D4870" s="5" t="str">
        <v>400489571920</v>
      </c>
      <c r="E4870" s="0" t="e">
        <f>+7 (910) 5981084
+7 (495) 3170111
+7 (495) 5060988
+7 (916) 1148777
+7 (919) 320770
+7 (980) 7179999
+7 (985) 1861678</f>
        <v>#NAME?</v>
      </c>
      <c r="F4870" s="5" t="s">
        <v>39807</v>
      </c>
      <c r="G4870" s="5" t="s">
        <v>39808</v>
      </c>
      <c r="H4870" s="26">
        <v>5.5</v>
      </c>
      <c r="I4870" s="5" t="s">
        <v>39809</v>
      </c>
      <c r="J4870" s="5" t="s">
        <v>533</v>
      </c>
      <c r="K4870" s="5" t="s">
        <v>380</v>
      </c>
      <c r="L4870" s="5" t="s">
        <v>39810</v>
      </c>
      <c r="M4870" s="27">
        <v>827028</v>
      </c>
      <c r="N4870" s="5"/>
      <c r="O4870" s="5" t="str">
        <v>4027133661</v>
      </c>
      <c r="P4870" s="27">
        <v>10000</v>
      </c>
      <c r="Q4870" s="5" t="s">
        <v>694</v>
      </c>
      <c r="R4870" s="5"/>
      <c r="S4870" s="5" t="s">
        <v>50385</v>
      </c>
      <c r="T4870" s="28">
        <v>2644400000</v>
      </c>
      <c r="U4870" s="28"/>
      <c r="V4870" s="28">
        <v>575624000</v>
      </c>
      <c r="W4870" s="28">
        <v>2984000</v>
      </c>
      <c r="X4870" s="28">
        <v>2084000</v>
      </c>
      <c r="Y4870" s="28">
        <v>3512279000</v>
      </c>
      <c r="Z4870" s="28">
        <v>420425000</v>
      </c>
      <c r="AA4870" s="28">
        <v>697493000</v>
      </c>
      <c r="AB4870" s="28">
        <v>258608000</v>
      </c>
      <c r="AC4870" s="28">
        <v>1308518000</v>
      </c>
      <c r="AD4870" s="28">
        <v>420435000</v>
      </c>
      <c r="AE4870" s="28">
        <v>3051961000</v>
      </c>
      <c r="AF4870" s="28">
        <v>93098000</v>
      </c>
      <c r="AG4870" s="11"/>
    </row>
    <row r="4871">
      <c r="A4871" s="7" t="s">
        <v>6499</v>
      </c>
      <c r="B4871" s="5" t="s">
        <v>14457</v>
      </c>
      <c r="C4871" s="5" t="s">
        <v>22185</v>
      </c>
      <c r="D4871" s="5" t="str">
        <v>773101359042</v>
      </c>
      <c r="E4871" s="0" t="e">
        <f>+7 (495) 9334400
+7 (495) 9334408
+7 (499) 6783207
+7 (985) 2324148
+7 (985) 7740571</f>
        <v>#NAME?</v>
      </c>
      <c r="F4871" s="5" t="s">
        <v>39811</v>
      </c>
      <c r="G4871" s="5" t="s">
        <v>39812</v>
      </c>
      <c r="H4871" s="26">
        <v>8.5</v>
      </c>
      <c r="I4871" s="5" t="s">
        <v>39813</v>
      </c>
      <c r="J4871" s="5" t="s">
        <v>27956</v>
      </c>
      <c r="K4871" s="5" t="s">
        <v>344</v>
      </c>
      <c r="L4871" s="5" t="s">
        <v>39814</v>
      </c>
      <c r="M4871" s="27">
        <v>269001</v>
      </c>
      <c r="N4871" s="5"/>
      <c r="O4871" s="5" t="str">
        <v>7730710905</v>
      </c>
      <c r="P4871" s="27">
        <v>250010000</v>
      </c>
      <c r="Q4871" s="5" t="s">
        <v>49009</v>
      </c>
      <c r="R4871" s="5"/>
      <c r="S4871" s="5" t="s">
        <v>49045</v>
      </c>
      <c r="T4871" s="28">
        <v>80817000</v>
      </c>
      <c r="U4871" s="28">
        <v>6861000</v>
      </c>
      <c r="V4871" s="28">
        <v>11334412000</v>
      </c>
      <c r="W4871" s="28">
        <v>9017217000</v>
      </c>
      <c r="X4871" s="28">
        <v>2844970000</v>
      </c>
      <c r="Y4871" s="28">
        <v>26289866000</v>
      </c>
      <c r="Z4871" s="28">
        <v>6394278000</v>
      </c>
      <c r="AA4871" s="28"/>
      <c r="AB4871" s="28">
        <v>6352425000</v>
      </c>
      <c r="AC4871" s="28">
        <v>19529122000</v>
      </c>
      <c r="AD4871" s="28">
        <v>6644288000</v>
      </c>
      <c r="AE4871" s="28">
        <v>80644104000</v>
      </c>
      <c r="AF4871" s="28">
        <v>2753245000</v>
      </c>
      <c r="AG4871" s="11"/>
    </row>
    <row r="4872">
      <c r="A4872" s="7" t="s">
        <v>6500</v>
      </c>
      <c r="B4872" s="5" t="s">
        <v>14458</v>
      </c>
      <c r="C4872" s="5" t="s">
        <v>22186</v>
      </c>
      <c r="D4872" s="5" t="str">
        <v>222305814768</v>
      </c>
      <c r="E4872" s="0" t="e">
        <f>+7 (385) 2555042</f>
        <v>#NAME?</v>
      </c>
      <c r="F4872" s="5" t="s">
        <v>39815</v>
      </c>
      <c r="G4872" s="5" t="s">
        <v>39816</v>
      </c>
      <c r="H4872" s="26">
        <v>6</v>
      </c>
      <c r="I4872" s="5" t="s">
        <v>39817</v>
      </c>
      <c r="J4872" s="5" t="s">
        <v>25837</v>
      </c>
      <c r="K4872" s="5" t="s">
        <v>344</v>
      </c>
      <c r="L4872" s="5" t="s">
        <v>39818</v>
      </c>
      <c r="M4872" s="27"/>
      <c r="N4872" s="5" t="s">
        <v>56810</v>
      </c>
      <c r="O4872" s="5" t="str">
        <v>0400003140</v>
      </c>
      <c r="P4872" s="27">
        <v>121314000</v>
      </c>
      <c r="Q4872" s="5" t="s">
        <v>56811</v>
      </c>
      <c r="R4872" s="5"/>
      <c r="S4872" s="5" t="s">
        <v>49062</v>
      </c>
      <c r="T4872" s="28">
        <v>24054000</v>
      </c>
      <c r="U4872" s="28">
        <v>155399000</v>
      </c>
      <c r="V4872" s="28">
        <v>1398094000</v>
      </c>
      <c r="W4872" s="28">
        <v>90669000</v>
      </c>
      <c r="X4872" s="28">
        <v>3474000</v>
      </c>
      <c r="Y4872" s="28">
        <v>1758029000</v>
      </c>
      <c r="Z4872" s="28">
        <v>822828000</v>
      </c>
      <c r="AA4872" s="28">
        <v>650080000</v>
      </c>
      <c r="AB4872" s="28">
        <v>57350000</v>
      </c>
      <c r="AC4872" s="28">
        <v>157295000</v>
      </c>
      <c r="AD4872" s="28">
        <v>944142000</v>
      </c>
      <c r="AE4872" s="28">
        <v>9199191000</v>
      </c>
      <c r="AF4872" s="28">
        <v>239247000</v>
      </c>
      <c r="AG4872" s="11"/>
    </row>
    <row r="4873">
      <c r="A4873" s="7" t="s">
        <v>6501</v>
      </c>
      <c r="B4873" s="5" t="s">
        <v>14459</v>
      </c>
      <c r="C4873" s="5" t="s">
        <v>22187</v>
      </c>
      <c r="D4873" s="5"/>
      <c r="E4873" s="0" t="e">
        <f>+7 (8435) 701535
+7 (843) 5701533
+7 (917) 9259979
+7 (843) 5700805
+7 (917) 9121155</f>
        <v>#NAME?</v>
      </c>
      <c r="F4873" s="5" t="s">
        <v>39819</v>
      </c>
      <c r="G4873" s="5" t="s">
        <v>39820</v>
      </c>
      <c r="H4873" s="26">
        <v>14</v>
      </c>
      <c r="I4873" s="5" t="s">
        <v>39821</v>
      </c>
      <c r="J4873" s="5" t="s">
        <v>27956</v>
      </c>
      <c r="K4873" s="5" t="s">
        <v>344</v>
      </c>
      <c r="L4873" s="5" t="s">
        <v>39822</v>
      </c>
      <c r="M4873" s="27"/>
      <c r="N4873" s="5"/>
      <c r="O4873" s="5" t="str">
        <v>1655301120</v>
      </c>
      <c r="P4873" s="27">
        <v>20000</v>
      </c>
      <c r="Q4873" s="5" t="s">
        <v>49981</v>
      </c>
      <c r="R4873" s="5"/>
      <c r="S4873" s="5" t="s">
        <v>49978</v>
      </c>
      <c r="T4873" s="28">
        <v>224173000</v>
      </c>
      <c r="U4873" s="28"/>
      <c r="V4873" s="28">
        <v>809798000</v>
      </c>
      <c r="W4873" s="28">
        <v>37000000</v>
      </c>
      <c r="X4873" s="28">
        <v>10495000</v>
      </c>
      <c r="Y4873" s="28">
        <v>1422356000</v>
      </c>
      <c r="Z4873" s="28">
        <v>258614000</v>
      </c>
      <c r="AA4873" s="28">
        <v>162030000</v>
      </c>
      <c r="AB4873" s="28">
        <v>693419000</v>
      </c>
      <c r="AC4873" s="28">
        <v>840762000</v>
      </c>
      <c r="AD4873" s="28">
        <v>258634000</v>
      </c>
      <c r="AE4873" s="28">
        <v>16000977000</v>
      </c>
      <c r="AF4873" s="28">
        <v>176180000</v>
      </c>
      <c r="AG4873" s="11"/>
    </row>
    <row r="4874">
      <c r="A4874" s="7" t="s">
        <v>6502</v>
      </c>
      <c r="B4874" s="5" t="s">
        <v>14460</v>
      </c>
      <c r="C4874" s="5" t="s">
        <v>22188</v>
      </c>
      <c r="D4874" s="5" t="str">
        <v>632147292351</v>
      </c>
      <c r="E4874" s="0" t="e">
        <f>+7 (848) 2723363
+7 (8482) 696105
+7 (8482) 723362</f>
        <v>#NAME?</v>
      </c>
      <c r="F4874" s="5"/>
      <c r="G4874" s="5"/>
      <c r="H4874" s="26">
        <v>15</v>
      </c>
      <c r="I4874" s="5" t="s">
        <v>39823</v>
      </c>
      <c r="J4874" s="5" t="s">
        <v>26511</v>
      </c>
      <c r="K4874" s="5" t="s">
        <v>344</v>
      </c>
      <c r="L4874" s="5"/>
      <c r="M4874" s="27"/>
      <c r="N4874" s="5"/>
      <c r="O4874" s="5" t="str">
        <v>6345017736</v>
      </c>
      <c r="P4874" s="27">
        <v>38000</v>
      </c>
      <c r="Q4874" s="5" t="s">
        <v>49009</v>
      </c>
      <c r="R4874" s="5" t="s">
        <v>56812</v>
      </c>
      <c r="S4874" s="5" t="s">
        <v>49010</v>
      </c>
      <c r="T4874" s="28"/>
      <c r="U4874" s="28"/>
      <c r="V4874" s="28">
        <v>839242000</v>
      </c>
      <c r="W4874" s="28">
        <v>251300000</v>
      </c>
      <c r="X4874" s="28">
        <v>124687000</v>
      </c>
      <c r="Y4874" s="28">
        <v>1311492000</v>
      </c>
      <c r="Z4874" s="28">
        <v>743192000</v>
      </c>
      <c r="AA4874" s="28"/>
      <c r="AB4874" s="28"/>
      <c r="AC4874" s="28">
        <v>568262000</v>
      </c>
      <c r="AD4874" s="28">
        <v>743230000</v>
      </c>
      <c r="AE4874" s="28">
        <v>9922212000</v>
      </c>
      <c r="AF4874" s="28">
        <v>418843000</v>
      </c>
      <c r="AG4874" s="11"/>
    </row>
    <row r="4875">
      <c r="A4875" s="7" t="s">
        <v>6503</v>
      </c>
      <c r="B4875" s="5" t="s">
        <v>14461</v>
      </c>
      <c r="C4875" s="5" t="s">
        <v>22189</v>
      </c>
      <c r="D4875" s="5" t="str">
        <v>131902052459</v>
      </c>
      <c r="E4875" s="0" t="e">
        <f>+7 (495) 6091245
+7 (495) 6441701
+7 (495) 6519252</f>
        <v>#NAME?</v>
      </c>
      <c r="F4875" s="5"/>
      <c r="G4875" s="5" t="s">
        <v>39824</v>
      </c>
      <c r="H4875" s="26">
        <v>13</v>
      </c>
      <c r="I4875" s="5" t="s">
        <v>39825</v>
      </c>
      <c r="J4875" s="5" t="s">
        <v>25219</v>
      </c>
      <c r="K4875" s="5" t="s">
        <v>380</v>
      </c>
      <c r="L4875" s="5"/>
      <c r="M4875" s="27">
        <v>3811079</v>
      </c>
      <c r="N4875" s="5"/>
      <c r="O4875" s="5" t="str">
        <v>5009074197</v>
      </c>
      <c r="P4875" s="27">
        <v>9253000000</v>
      </c>
      <c r="Q4875" s="5" t="s">
        <v>49059</v>
      </c>
      <c r="R4875" s="5"/>
      <c r="S4875" s="5" t="s">
        <v>49066</v>
      </c>
      <c r="T4875" s="28">
        <v>13378880000</v>
      </c>
      <c r="U4875" s="28"/>
      <c r="V4875" s="28">
        <v>1748710000</v>
      </c>
      <c r="W4875" s="28"/>
      <c r="X4875" s="28">
        <v>309278000</v>
      </c>
      <c r="Y4875" s="28">
        <v>21112688000</v>
      </c>
      <c r="Z4875" s="28">
        <v>-12746111000</v>
      </c>
      <c r="AA4875" s="28"/>
      <c r="AB4875" s="28">
        <v>600329000</v>
      </c>
      <c r="AC4875" s="28">
        <v>12807414000</v>
      </c>
      <c r="AD4875" s="28">
        <v>-3363111000</v>
      </c>
      <c r="AE4875" s="28">
        <v>19056643000</v>
      </c>
      <c r="AF4875" s="28">
        <v>-1038264000</v>
      </c>
      <c r="AG4875" s="11"/>
    </row>
    <row r="4876">
      <c r="A4876" s="7" t="s">
        <v>6504</v>
      </c>
      <c r="B4876" s="5" t="s">
        <v>14462</v>
      </c>
      <c r="C4876" s="5" t="s">
        <v>22190</v>
      </c>
      <c r="D4876" s="5" t="str">
        <v>390700525440</v>
      </c>
      <c r="E4876" s="0" t="e">
        <f>+7 (493) 2937200
+7 (499) 1689024
+7 (985) 7217663
+7 (988) 5271337</f>
        <v>#NAME?</v>
      </c>
      <c r="F4876" s="5" t="s">
        <v>39826</v>
      </c>
      <c r="G4876" s="5"/>
      <c r="H4876" s="26">
        <v>7</v>
      </c>
      <c r="I4876" s="5" t="s">
        <v>39827</v>
      </c>
      <c r="J4876" s="5" t="s">
        <v>25450</v>
      </c>
      <c r="K4876" s="5" t="s">
        <v>344</v>
      </c>
      <c r="L4876" s="5" t="s">
        <v>35524</v>
      </c>
      <c r="M4876" s="27"/>
      <c r="N4876" s="5"/>
      <c r="O4876" s="5" t="str">
        <v>7718289230</v>
      </c>
      <c r="P4876" s="27">
        <v>300000</v>
      </c>
      <c r="Q4876" s="5"/>
      <c r="R4876" s="5"/>
      <c r="S4876" s="5" t="s">
        <v>49029</v>
      </c>
      <c r="T4876" s="28">
        <v>244182000</v>
      </c>
      <c r="U4876" s="28"/>
      <c r="V4876" s="28">
        <v>172390000</v>
      </c>
      <c r="W4876" s="28">
        <v>246983000</v>
      </c>
      <c r="X4876" s="28">
        <v>216752000</v>
      </c>
      <c r="Y4876" s="28">
        <v>1615942000</v>
      </c>
      <c r="Z4876" s="28">
        <v>764910000</v>
      </c>
      <c r="AA4876" s="28"/>
      <c r="AB4876" s="28">
        <v>300271000</v>
      </c>
      <c r="AC4876" s="28">
        <v>669556000</v>
      </c>
      <c r="AD4876" s="28">
        <v>899701000</v>
      </c>
      <c r="AE4876" s="28">
        <v>3741482000</v>
      </c>
      <c r="AF4876" s="28">
        <v>10807000</v>
      </c>
      <c r="AG4876" s="11"/>
    </row>
    <row r="4877">
      <c r="A4877" s="7" t="s">
        <v>6505</v>
      </c>
      <c r="B4877" s="5" t="s">
        <v>14463</v>
      </c>
      <c r="C4877" s="5" t="s">
        <v>22191</v>
      </c>
      <c r="D4877" s="5" t="str">
        <v>312327280700</v>
      </c>
      <c r="E4877" s="0" t="e">
        <f>+7 (48434) 71415
+7 (48434) 71542</f>
        <v>#NAME?</v>
      </c>
      <c r="F4877" s="5" t="s">
        <v>39828</v>
      </c>
      <c r="G4877" s="5"/>
      <c r="H4877" s="26">
        <v>29.5</v>
      </c>
      <c r="I4877" s="5"/>
      <c r="J4877" s="5" t="s">
        <v>25450</v>
      </c>
      <c r="K4877" s="5" t="s">
        <v>355</v>
      </c>
      <c r="L4877" s="5"/>
      <c r="M4877" s="27">
        <v>431862</v>
      </c>
      <c r="N4877" s="5"/>
      <c r="O4877" s="5" t="str">
        <v>4004001997</v>
      </c>
      <c r="P4877" s="27">
        <v>374848848</v>
      </c>
      <c r="Q4877" s="5" t="s">
        <v>49009</v>
      </c>
      <c r="R4877" s="5"/>
      <c r="S4877" s="5" t="s">
        <v>49028</v>
      </c>
      <c r="T4877" s="28">
        <v>3680933000</v>
      </c>
      <c r="U4877" s="28"/>
      <c r="V4877" s="28">
        <v>751577000</v>
      </c>
      <c r="W4877" s="28">
        <v>150000000</v>
      </c>
      <c r="X4877" s="28">
        <v>50581000</v>
      </c>
      <c r="Y4877" s="28">
        <v>6351146000</v>
      </c>
      <c r="Z4877" s="28">
        <v>2097592000</v>
      </c>
      <c r="AA4877" s="28">
        <v>82991000</v>
      </c>
      <c r="AB4877" s="28">
        <v>1972026000</v>
      </c>
      <c r="AC4877" s="28">
        <v>3257595000</v>
      </c>
      <c r="AD4877" s="28">
        <v>2798137000</v>
      </c>
      <c r="AE4877" s="28">
        <v>8993133000</v>
      </c>
      <c r="AF4877" s="28">
        <v>591098000</v>
      </c>
      <c r="AG4877" s="11"/>
    </row>
    <row r="4878">
      <c r="A4878" s="7" t="s">
        <v>6506</v>
      </c>
      <c r="B4878" s="5" t="s">
        <v>14464</v>
      </c>
      <c r="C4878" s="5" t="s">
        <v>22192</v>
      </c>
      <c r="D4878" s="5" t="str">
        <v>260502047976</v>
      </c>
      <c r="E4878" s="0" t="e">
        <f>+7 (381) 2947211
+7 (381) 2297991
+7 (381) 2691177
+7 (381) 2947030
+7 (381) 2947215
+7 (381) 2947217
+7 (381) 2947290
+7 (381) 2961136
+7 (381) 2961177
+7 (381) 2961612</f>
        <v>#NAME?</v>
      </c>
      <c r="F4878" s="5" t="s">
        <v>39829</v>
      </c>
      <c r="G4878" s="5" t="s">
        <v>25978</v>
      </c>
      <c r="H4878" s="26">
        <v>30</v>
      </c>
      <c r="I4878" s="5"/>
      <c r="J4878" s="5" t="s">
        <v>25450</v>
      </c>
      <c r="K4878" s="5" t="s">
        <v>344</v>
      </c>
      <c r="L4878" s="5" t="s">
        <v>36248</v>
      </c>
      <c r="M4878" s="27"/>
      <c r="N4878" s="5"/>
      <c r="O4878" s="5" t="str">
        <v>5528001851</v>
      </c>
      <c r="P4878" s="27">
        <v>505862590</v>
      </c>
      <c r="Q4878" s="5" t="s">
        <v>49009</v>
      </c>
      <c r="R4878" s="5"/>
      <c r="S4878" s="5" t="s">
        <v>49066</v>
      </c>
      <c r="T4878" s="28">
        <v>669426000</v>
      </c>
      <c r="U4878" s="28"/>
      <c r="V4878" s="28">
        <v>1416685000</v>
      </c>
      <c r="W4878" s="28">
        <v>100000000</v>
      </c>
      <c r="X4878" s="28">
        <v>83063000</v>
      </c>
      <c r="Y4878" s="28">
        <v>3045029000</v>
      </c>
      <c r="Z4878" s="28">
        <v>668037000</v>
      </c>
      <c r="AA4878" s="28"/>
      <c r="AB4878" s="28">
        <v>700073000</v>
      </c>
      <c r="AC4878" s="28">
        <v>1529437000</v>
      </c>
      <c r="AD4878" s="28">
        <v>1516218000</v>
      </c>
      <c r="AE4878" s="28">
        <v>5257105000</v>
      </c>
      <c r="AF4878" s="28">
        <v>165870000</v>
      </c>
      <c r="AG4878" s="11"/>
    </row>
    <row r="4879">
      <c r="A4879" s="7" t="s">
        <v>6507</v>
      </c>
      <c r="B4879" s="5" t="s">
        <v>14465</v>
      </c>
      <c r="C4879" s="5" t="s">
        <v>22193</v>
      </c>
      <c r="D4879" s="5" t="str">
        <v>742003317004</v>
      </c>
      <c r="E4879" s="0" t="e">
        <f>+7 (345) 2760266
+7 (345) 2760453
+7 (345) 2760533
+7 (345) 2761236
+7 (345) 2761302
+7 (345) 2761306
+7 (345) 2761334</f>
        <v>#NAME?</v>
      </c>
      <c r="F4879" s="5" t="s">
        <v>39830</v>
      </c>
      <c r="G4879" s="5"/>
      <c r="H4879" s="26">
        <v>29.5</v>
      </c>
      <c r="I4879" s="5"/>
      <c r="J4879" s="5" t="s">
        <v>25450</v>
      </c>
      <c r="K4879" s="5" t="s">
        <v>344</v>
      </c>
      <c r="L4879" s="5"/>
      <c r="M4879" s="27"/>
      <c r="N4879" s="5" t="s">
        <v>55025</v>
      </c>
      <c r="O4879" s="5" t="str">
        <v>7224005872</v>
      </c>
      <c r="P4879" s="27">
        <v>377820816</v>
      </c>
      <c r="Q4879" s="5" t="s">
        <v>49059</v>
      </c>
      <c r="R4879" s="5"/>
      <c r="S4879" s="5" t="s">
        <v>49425</v>
      </c>
      <c r="T4879" s="28">
        <v>898668000</v>
      </c>
      <c r="U4879" s="28"/>
      <c r="V4879" s="28">
        <v>627256000</v>
      </c>
      <c r="W4879" s="28">
        <v>100000000</v>
      </c>
      <c r="X4879" s="28">
        <v>148220000</v>
      </c>
      <c r="Y4879" s="28">
        <v>3165102000</v>
      </c>
      <c r="Z4879" s="28">
        <v>1113141000</v>
      </c>
      <c r="AA4879" s="28">
        <v>431956000</v>
      </c>
      <c r="AB4879" s="28">
        <v>176014000</v>
      </c>
      <c r="AC4879" s="28">
        <v>1035845000</v>
      </c>
      <c r="AD4879" s="28">
        <v>1630424000</v>
      </c>
      <c r="AE4879" s="28">
        <v>5667197000</v>
      </c>
      <c r="AF4879" s="28">
        <v>387602000</v>
      </c>
      <c r="AG4879" s="11"/>
    </row>
    <row r="4880">
      <c r="A4880" s="7" t="s">
        <v>6508</v>
      </c>
      <c r="B4880" s="5" t="s">
        <v>14466</v>
      </c>
      <c r="C4880" s="5" t="s">
        <v>22194</v>
      </c>
      <c r="D4880" s="5" t="str">
        <v>222305946443</v>
      </c>
      <c r="E4880" s="0" t="e">
        <f>+7 (913) 2223920
+7 (385) 2334378
+7 (385) 2334390
+7 (385) 2337219
+7 (385) 2503014
+7 (385) 2503823
+7 (385) 2505011
+7 (385) 2545012
+7 (385) 2545013
+7 (385) 2545014
+7 (385) 2545016
+7 (385) 2545017
+7 (385) 2545018</f>
        <v>#NAME?</v>
      </c>
      <c r="F4880" s="5" t="s">
        <v>39831</v>
      </c>
      <c r="G4880" s="5" t="s">
        <v>39832</v>
      </c>
      <c r="H4880" s="26">
        <v>21</v>
      </c>
      <c r="I4880" s="5" t="s">
        <v>39833</v>
      </c>
      <c r="J4880" s="5" t="s">
        <v>27956</v>
      </c>
      <c r="K4880" s="5" t="s">
        <v>344</v>
      </c>
      <c r="L4880" s="5" t="s">
        <v>39834</v>
      </c>
      <c r="M4880" s="27"/>
      <c r="N4880" s="5" t="s">
        <v>56815</v>
      </c>
      <c r="O4880" s="5" t="str">
        <v>2224073288</v>
      </c>
      <c r="P4880" s="27">
        <v>10000</v>
      </c>
      <c r="Q4880" s="5" t="s">
        <v>56816</v>
      </c>
      <c r="R4880" s="5"/>
      <c r="S4880" s="5" t="s">
        <v>56817</v>
      </c>
      <c r="T4880" s="28">
        <v>144403000</v>
      </c>
      <c r="U4880" s="28"/>
      <c r="V4880" s="28">
        <v>138625000</v>
      </c>
      <c r="W4880" s="28">
        <v>88500000</v>
      </c>
      <c r="X4880" s="28">
        <v>4072000</v>
      </c>
      <c r="Y4880" s="28">
        <v>907575000</v>
      </c>
      <c r="Z4880" s="28">
        <v>172911000</v>
      </c>
      <c r="AA4880" s="28"/>
      <c r="AB4880" s="28">
        <v>546175000</v>
      </c>
      <c r="AC4880" s="28">
        <v>674942000</v>
      </c>
      <c r="AD4880" s="28">
        <v>172921000</v>
      </c>
      <c r="AE4880" s="28">
        <v>3858940000</v>
      </c>
      <c r="AF4880" s="28">
        <v>19437000</v>
      </c>
      <c r="AG4880" s="11"/>
    </row>
    <row r="4881">
      <c r="A4881" s="7" t="s">
        <v>6509</v>
      </c>
      <c r="B4881" s="5" t="s">
        <v>14467</v>
      </c>
      <c r="C4881" s="5" t="s">
        <v>22195</v>
      </c>
      <c r="D4881" s="5" t="str">
        <v>781426304232</v>
      </c>
      <c r="E4881" s="0" t="e">
        <f>+7 (812) 3936590
+7 (812) 5527467</f>
        <v>#NAME?</v>
      </c>
      <c r="F4881" s="5" t="s">
        <v>39835</v>
      </c>
      <c r="G4881" s="5"/>
      <c r="H4881" s="26">
        <v>21</v>
      </c>
      <c r="I4881" s="5" t="s">
        <v>39836</v>
      </c>
      <c r="J4881" s="5" t="s">
        <v>30931</v>
      </c>
      <c r="K4881" s="5" t="s">
        <v>344</v>
      </c>
      <c r="L4881" s="5" t="s">
        <v>39837</v>
      </c>
      <c r="M4881" s="27"/>
      <c r="N4881" s="5" t="s">
        <v>56818</v>
      </c>
      <c r="O4881" s="5" t="str">
        <v>7814125202</v>
      </c>
      <c r="P4881" s="27">
        <v>10000</v>
      </c>
      <c r="Q4881" s="5" t="s">
        <v>49009</v>
      </c>
      <c r="R4881" s="5"/>
      <c r="S4881" s="5" t="s">
        <v>49045</v>
      </c>
      <c r="T4881" s="28">
        <v>181338000</v>
      </c>
      <c r="U4881" s="28"/>
      <c r="V4881" s="28">
        <v>282391000</v>
      </c>
      <c r="W4881" s="28"/>
      <c r="X4881" s="28">
        <v>102803000</v>
      </c>
      <c r="Y4881" s="28">
        <v>973333000</v>
      </c>
      <c r="Z4881" s="28">
        <v>555335000</v>
      </c>
      <c r="AA4881" s="28"/>
      <c r="AB4881" s="28"/>
      <c r="AC4881" s="28">
        <v>319067000</v>
      </c>
      <c r="AD4881" s="28">
        <v>555345000</v>
      </c>
      <c r="AE4881" s="28">
        <v>7279637000</v>
      </c>
      <c r="AF4881" s="28">
        <v>108829000</v>
      </c>
      <c r="AG4881" s="11"/>
    </row>
    <row r="4882">
      <c r="A4882" s="7" t="s">
        <v>6510</v>
      </c>
      <c r="B4882" s="5" t="s">
        <v>14468</v>
      </c>
      <c r="C4882" s="5" t="s">
        <v>17814</v>
      </c>
      <c r="D4882" s="5"/>
      <c r="E4882" s="0" t="e">
        <f>+7 (831) 2270455
+7 (831) 2521752
+7 (833) 2270455
+7 (833) 2521752</f>
        <v>#NAME?</v>
      </c>
      <c r="F4882" s="5" t="s">
        <v>39838</v>
      </c>
      <c r="G4882" s="5" t="s">
        <v>39839</v>
      </c>
      <c r="H4882" s="26">
        <v>16</v>
      </c>
      <c r="I4882" s="5" t="s">
        <v>39840</v>
      </c>
      <c r="J4882" s="5" t="s">
        <v>25219</v>
      </c>
      <c r="K4882" s="5" t="s">
        <v>355</v>
      </c>
      <c r="L4882" s="5" t="s">
        <v>39841</v>
      </c>
      <c r="M4882" s="27">
        <v>116049287</v>
      </c>
      <c r="N4882" s="5"/>
      <c r="O4882" s="5" t="str">
        <v>4345164751</v>
      </c>
      <c r="P4882" s="27">
        <v>10000120</v>
      </c>
      <c r="Q4882" s="5"/>
      <c r="R4882" s="5"/>
      <c r="S4882" s="5" t="s">
        <v>49425</v>
      </c>
      <c r="T4882" s="28">
        <v>14952998000</v>
      </c>
      <c r="U4882" s="28"/>
      <c r="V4882" s="28">
        <v>3365261000</v>
      </c>
      <c r="W4882" s="28"/>
      <c r="X4882" s="28">
        <v>576813000</v>
      </c>
      <c r="Y4882" s="28">
        <v>22849770000</v>
      </c>
      <c r="Z4882" s="28">
        <v>-2866640000</v>
      </c>
      <c r="AA4882" s="28">
        <v>1884788000</v>
      </c>
      <c r="AB4882" s="28">
        <v>121637000</v>
      </c>
      <c r="AC4882" s="28">
        <v>12416135000</v>
      </c>
      <c r="AD4882" s="28">
        <v>-2786633000</v>
      </c>
      <c r="AE4882" s="28">
        <v>20475411000</v>
      </c>
      <c r="AF4882" s="28">
        <v>-2878248000</v>
      </c>
      <c r="AG4882" s="11"/>
    </row>
    <row r="4883">
      <c r="A4883" s="7" t="s">
        <v>6511</v>
      </c>
      <c r="B4883" s="5" t="s">
        <v>10461</v>
      </c>
      <c r="C4883" s="5" t="s">
        <v>22196</v>
      </c>
      <c r="D4883" s="5" t="str">
        <v>631809638901</v>
      </c>
      <c r="E4883" s="0" t="e">
        <f>+7 (846) 9333644
+7 (84648) 53300
+7 (8482) 699862
+7 (846) 9333602
+7 (8482) 290239
+7 (8482) 379558
+7 (927) 7180239</f>
        <v>#NAME?</v>
      </c>
      <c r="F4883" s="5" t="s">
        <v>39842</v>
      </c>
      <c r="G4883" s="5"/>
      <c r="H4883" s="26">
        <v>9.5</v>
      </c>
      <c r="I4883" s="5" t="s">
        <v>39843</v>
      </c>
      <c r="J4883" s="5" t="s">
        <v>27497</v>
      </c>
      <c r="K4883" s="5" t="s">
        <v>344</v>
      </c>
      <c r="L4883" s="5" t="s">
        <v>39844</v>
      </c>
      <c r="M4883" s="27">
        <v>459030</v>
      </c>
      <c r="N4883" s="5" t="s">
        <v>56819</v>
      </c>
      <c r="O4883" s="5" t="str">
        <v>6319172566</v>
      </c>
      <c r="P4883" s="27">
        <v>100000</v>
      </c>
      <c r="Q4883" s="5" t="s">
        <v>56820</v>
      </c>
      <c r="R4883" s="5"/>
      <c r="S4883" s="5" t="s">
        <v>56821</v>
      </c>
      <c r="T4883" s="28">
        <v>4956000</v>
      </c>
      <c r="U4883" s="28"/>
      <c r="V4883" s="28">
        <v>214822000</v>
      </c>
      <c r="W4883" s="28">
        <v>231683000</v>
      </c>
      <c r="X4883" s="28">
        <v>92843000</v>
      </c>
      <c r="Y4883" s="28">
        <v>1132977000</v>
      </c>
      <c r="Z4883" s="28">
        <v>265991000</v>
      </c>
      <c r="AA4883" s="28">
        <v>220000000</v>
      </c>
      <c r="AB4883" s="28">
        <v>20590000</v>
      </c>
      <c r="AC4883" s="28">
        <v>641532000</v>
      </c>
      <c r="AD4883" s="28">
        <v>266091000</v>
      </c>
      <c r="AE4883" s="28">
        <v>6426326000</v>
      </c>
      <c r="AF4883" s="28">
        <v>233481000</v>
      </c>
      <c r="AG4883" s="11"/>
    </row>
    <row r="4884">
      <c r="A4884" s="7" t="s">
        <v>6512</v>
      </c>
      <c r="B4884" s="5" t="s">
        <v>14469</v>
      </c>
      <c r="C4884" s="5" t="s">
        <v>22197</v>
      </c>
      <c r="D4884" s="5"/>
      <c r="E4884" s="0" t="e">
        <f>+7 (924) 3555047
+7 (950) 3974455
+7 (3012) 373615
+7 (3012) 377278
+7 (3012) 377279
+7 (3012) 377280
+7 (3012) 377281
+7 (3012) 411099
+7 (3012) 441212
+7 (3012) 441244
+7 (902) 1673060</f>
        <v>#NAME?</v>
      </c>
      <c r="F4884" s="5" t="s">
        <v>39845</v>
      </c>
      <c r="G4884" s="5"/>
      <c r="H4884" s="26">
        <v>17</v>
      </c>
      <c r="I4884" s="5" t="s">
        <v>39846</v>
      </c>
      <c r="J4884" s="5" t="s">
        <v>26511</v>
      </c>
      <c r="K4884" s="5" t="s">
        <v>344</v>
      </c>
      <c r="L4884" s="5"/>
      <c r="M4884" s="27">
        <v>4258326</v>
      </c>
      <c r="N4884" s="5" t="s">
        <v>56822</v>
      </c>
      <c r="O4884" s="5" t="str">
        <v>0326034823</v>
      </c>
      <c r="P4884" s="27">
        <v>60000</v>
      </c>
      <c r="Q4884" s="5" t="s">
        <v>49009</v>
      </c>
      <c r="R4884" s="5"/>
      <c r="S4884" s="5" t="s">
        <v>49504</v>
      </c>
      <c r="T4884" s="28">
        <v>15151000</v>
      </c>
      <c r="U4884" s="28">
        <v>11000000</v>
      </c>
      <c r="V4884" s="28">
        <v>1209244000</v>
      </c>
      <c r="W4884" s="28"/>
      <c r="X4884" s="28">
        <v>10846000</v>
      </c>
      <c r="Y4884" s="28">
        <v>2164733000</v>
      </c>
      <c r="Z4884" s="28">
        <v>84658000</v>
      </c>
      <c r="AA4884" s="28">
        <v>358804000</v>
      </c>
      <c r="AB4884" s="28">
        <v>109540000</v>
      </c>
      <c r="AC4884" s="28">
        <v>1721211000</v>
      </c>
      <c r="AD4884" s="28">
        <v>84718000</v>
      </c>
      <c r="AE4884" s="28">
        <v>6680401000</v>
      </c>
      <c r="AF4884" s="28">
        <v>2552000</v>
      </c>
      <c r="AG4884" s="11"/>
    </row>
    <row r="4885">
      <c r="A4885" s="7" t="s">
        <v>6513</v>
      </c>
      <c r="B4885" s="5" t="s">
        <v>14470</v>
      </c>
      <c r="C4885" s="5" t="s">
        <v>22198</v>
      </c>
      <c r="D4885" s="5"/>
      <c r="E4885" s="0" t="e">
        <f>+7 (401) 2593395
+7 (401) 2600550
+7 (401) 2600555
+7 (401) 2600556
+7 (401) 2600557
+7 (401) 2644630
+7 (401) 2648816
+7 (401) 2968844
+7 (495) 9671330
+7 (495) 9671331</f>
        <v>#NAME?</v>
      </c>
      <c r="F4885" s="5"/>
      <c r="G4885" s="5"/>
      <c r="H4885" s="26">
        <v>22.5</v>
      </c>
      <c r="I4885" s="5" t="s">
        <v>39847</v>
      </c>
      <c r="J4885" s="5" t="s">
        <v>25788</v>
      </c>
      <c r="K4885" s="5" t="s">
        <v>355</v>
      </c>
      <c r="L4885" s="5" t="s">
        <v>39848</v>
      </c>
      <c r="M4885" s="27"/>
      <c r="N4885" s="5"/>
      <c r="O4885" s="5" t="str">
        <v>3907025066</v>
      </c>
      <c r="P4885" s="27">
        <v>178136369</v>
      </c>
      <c r="Q4885" s="5"/>
      <c r="R4885" s="5"/>
      <c r="S4885" s="5" t="s">
        <v>50509</v>
      </c>
      <c r="T4885" s="28">
        <v>1100767000</v>
      </c>
      <c r="U4885" s="28"/>
      <c r="V4885" s="28">
        <v>4277640000</v>
      </c>
      <c r="W4885" s="28">
        <v>298320000</v>
      </c>
      <c r="X4885" s="28">
        <v>1706000</v>
      </c>
      <c r="Y4885" s="28">
        <v>9429001000</v>
      </c>
      <c r="Z4885" s="28">
        <v>-299054000</v>
      </c>
      <c r="AA4885" s="28">
        <v>2668863000</v>
      </c>
      <c r="AB4885" s="28">
        <v>1851459000</v>
      </c>
      <c r="AC4885" s="28">
        <v>5324888000</v>
      </c>
      <c r="AD4885" s="28">
        <v>305614000</v>
      </c>
      <c r="AE4885" s="28">
        <v>7315829000</v>
      </c>
      <c r="AF4885" s="28">
        <v>14159000</v>
      </c>
      <c r="AG4885" s="11"/>
    </row>
    <row r="4886">
      <c r="A4886" s="7" t="s">
        <v>6514</v>
      </c>
      <c r="B4886" s="5" t="s">
        <v>14471</v>
      </c>
      <c r="C4886" s="5" t="s">
        <v>22199</v>
      </c>
      <c r="D4886" s="5" t="str">
        <v>164608796521</v>
      </c>
      <c r="E4886" s="0" t="e">
        <f>+7 (855) 5745115
+7 (85557) 44554
+7 (85557) 48699</f>
        <v>#NAME?</v>
      </c>
      <c r="F4886" s="5"/>
      <c r="G4886" s="5"/>
      <c r="H4886" s="26">
        <v>17</v>
      </c>
      <c r="I4886" s="5" t="s">
        <v>39849</v>
      </c>
      <c r="J4886" s="5" t="s">
        <v>39850</v>
      </c>
      <c r="K4886" s="5" t="s">
        <v>344</v>
      </c>
      <c r="L4886" s="5" t="s">
        <v>39851</v>
      </c>
      <c r="M4886" s="27"/>
      <c r="N4886" s="5"/>
      <c r="O4886" s="5" t="str">
        <v>1646017949</v>
      </c>
      <c r="P4886" s="27">
        <v>10000</v>
      </c>
      <c r="Q4886" s="5" t="s">
        <v>49059</v>
      </c>
      <c r="R4886" s="5"/>
      <c r="S4886" s="5" t="s">
        <v>49029</v>
      </c>
      <c r="T4886" s="28"/>
      <c r="U4886" s="28"/>
      <c r="V4886" s="28">
        <v>912773000</v>
      </c>
      <c r="W4886" s="28">
        <v>410823000</v>
      </c>
      <c r="X4886" s="28">
        <v>42732000</v>
      </c>
      <c r="Y4886" s="28">
        <v>1367081000</v>
      </c>
      <c r="Z4886" s="28">
        <v>117887000</v>
      </c>
      <c r="AA4886" s="28"/>
      <c r="AB4886" s="28"/>
      <c r="AC4886" s="28">
        <v>1249184000</v>
      </c>
      <c r="AD4886" s="28">
        <v>117897000</v>
      </c>
      <c r="AE4886" s="28">
        <v>5792427000</v>
      </c>
      <c r="AF4886" s="28">
        <v>15336000</v>
      </c>
      <c r="AG4886" s="11"/>
    </row>
    <row r="4887">
      <c r="A4887" s="7" t="s">
        <v>6515</v>
      </c>
      <c r="B4887" s="5" t="s">
        <v>14472</v>
      </c>
      <c r="C4887" s="5" t="s">
        <v>22200</v>
      </c>
      <c r="D4887" s="5" t="str">
        <v>780226085609</v>
      </c>
      <c r="E4887" s="0" t="e">
        <f>+7 (495) 5653268
+7 (800) 3339063
+7 (812) 3894414
+7 (499) 7043362
+7 (812) 3349820
+7 (812) 3563764
+7 (812) 4267021
+7 (812) 4267393</f>
        <v>#NAME?</v>
      </c>
      <c r="F4887" s="5" t="s">
        <v>39852</v>
      </c>
      <c r="G4887" s="5"/>
      <c r="H4887" s="26">
        <v>18.5</v>
      </c>
      <c r="I4887" s="5" t="s">
        <v>39853</v>
      </c>
      <c r="J4887" s="5" t="s">
        <v>678</v>
      </c>
      <c r="K4887" s="5" t="s">
        <v>344</v>
      </c>
      <c r="L4887" s="5" t="s">
        <v>39854</v>
      </c>
      <c r="M4887" s="27"/>
      <c r="N4887" s="5" t="s">
        <v>49842</v>
      </c>
      <c r="O4887" s="5" t="str">
        <v>7838307811</v>
      </c>
      <c r="P4887" s="27">
        <v>20000</v>
      </c>
      <c r="Q4887" s="5" t="s">
        <v>49009</v>
      </c>
      <c r="R4887" s="5"/>
      <c r="S4887" s="5" t="s">
        <v>49010</v>
      </c>
      <c r="T4887" s="28">
        <v>2371256000</v>
      </c>
      <c r="U4887" s="28"/>
      <c r="V4887" s="28">
        <v>290565000</v>
      </c>
      <c r="W4887" s="28"/>
      <c r="X4887" s="28">
        <v>1375739000</v>
      </c>
      <c r="Y4887" s="28">
        <v>5715068000</v>
      </c>
      <c r="Z4887" s="28">
        <v>2464003000</v>
      </c>
      <c r="AA4887" s="28">
        <v>841264000</v>
      </c>
      <c r="AB4887" s="28">
        <v>158796000</v>
      </c>
      <c r="AC4887" s="28">
        <v>1928150000</v>
      </c>
      <c r="AD4887" s="28">
        <v>2464023000</v>
      </c>
      <c r="AE4887" s="28">
        <v>5055222000</v>
      </c>
      <c r="AF4887" s="28">
        <v>869756000</v>
      </c>
      <c r="AG4887" s="11"/>
    </row>
    <row r="4888">
      <c r="A4888" s="7" t="s">
        <v>6516</v>
      </c>
      <c r="B4888" s="5" t="s">
        <v>14473</v>
      </c>
      <c r="C4888" s="5" t="s">
        <v>22201</v>
      </c>
      <c r="D4888" s="5" t="str">
        <v>234603132979</v>
      </c>
      <c r="E4888" s="0" t="e">
        <f>+7 (968) 4209799
+7 (968) 9116309</f>
        <v>#NAME?</v>
      </c>
      <c r="F4888" s="5" t="s">
        <v>39855</v>
      </c>
      <c r="G4888" s="5"/>
      <c r="H4888" s="26">
        <v>5.5</v>
      </c>
      <c r="I4888" s="5" t="s">
        <v>39856</v>
      </c>
      <c r="J4888" s="5" t="s">
        <v>373</v>
      </c>
      <c r="K4888" s="5" t="s">
        <v>344</v>
      </c>
      <c r="L4888" s="5" t="s">
        <v>39857</v>
      </c>
      <c r="M4888" s="27"/>
      <c r="N4888" s="5"/>
      <c r="O4888" s="5" t="str">
        <v>7751113900</v>
      </c>
      <c r="P4888" s="27">
        <v>250000</v>
      </c>
      <c r="Q4888" s="5" t="s">
        <v>49021</v>
      </c>
      <c r="R4888" s="5"/>
      <c r="S4888" s="5" t="s">
        <v>56823</v>
      </c>
      <c r="T4888" s="28">
        <v>4443000</v>
      </c>
      <c r="U4888" s="28"/>
      <c r="V4888" s="28">
        <v>432863000</v>
      </c>
      <c r="W4888" s="28">
        <v>21450000</v>
      </c>
      <c r="X4888" s="28">
        <v>76419000</v>
      </c>
      <c r="Y4888" s="28">
        <v>536569000</v>
      </c>
      <c r="Z4888" s="28">
        <v>48733000</v>
      </c>
      <c r="AA4888" s="28"/>
      <c r="AB4888" s="28"/>
      <c r="AC4888" s="28">
        <v>487586000</v>
      </c>
      <c r="AD4888" s="28">
        <v>48983000</v>
      </c>
      <c r="AE4888" s="28">
        <v>3996596000</v>
      </c>
      <c r="AF4888" s="28">
        <v>19580000</v>
      </c>
      <c r="AG4888" s="11"/>
    </row>
    <row r="4889">
      <c r="A4889" s="7" t="s">
        <v>6517</v>
      </c>
      <c r="B4889" s="5" t="s">
        <v>14474</v>
      </c>
      <c r="C4889" s="5" t="s">
        <v>22202</v>
      </c>
      <c r="D4889" s="5" t="str">
        <v>770200445184</v>
      </c>
      <c r="E4889" s="0" t="e">
        <f>+7 (383) 3295048
+7 (495) 4191433
+7 (495) 7237316
+7 (499) 7025270
+7 (800) 3337649</f>
        <v>#NAME?</v>
      </c>
      <c r="F4889" s="5" t="s">
        <v>39858</v>
      </c>
      <c r="G4889" s="5" t="s">
        <v>39859</v>
      </c>
      <c r="H4889" s="26">
        <v>9.5</v>
      </c>
      <c r="I4889" s="5" t="s">
        <v>39860</v>
      </c>
      <c r="J4889" s="5" t="s">
        <v>27182</v>
      </c>
      <c r="K4889" s="5" t="s">
        <v>344</v>
      </c>
      <c r="L4889" s="5" t="s">
        <v>39861</v>
      </c>
      <c r="M4889" s="27">
        <v>9379505</v>
      </c>
      <c r="N4889" s="5"/>
      <c r="O4889" s="5" t="str">
        <v>6685042560</v>
      </c>
      <c r="P4889" s="27">
        <v>44668111</v>
      </c>
      <c r="Q4889" s="5" t="s">
        <v>49021</v>
      </c>
      <c r="R4889" s="5" t="s">
        <v>56824</v>
      </c>
      <c r="S4889" s="5" t="s">
        <v>56825</v>
      </c>
      <c r="T4889" s="28">
        <v>2078424000</v>
      </c>
      <c r="U4889" s="28">
        <v>130302000</v>
      </c>
      <c r="V4889" s="28">
        <v>7087810000</v>
      </c>
      <c r="W4889" s="28">
        <v>12651000</v>
      </c>
      <c r="X4889" s="28">
        <v>69456000</v>
      </c>
      <c r="Y4889" s="28">
        <v>22135557000</v>
      </c>
      <c r="Z4889" s="28">
        <v>887802000</v>
      </c>
      <c r="AA4889" s="28">
        <v>977266000</v>
      </c>
      <c r="AB4889" s="28">
        <v>6656000</v>
      </c>
      <c r="AC4889" s="28">
        <v>18423243000</v>
      </c>
      <c r="AD4889" s="28">
        <v>2083596000</v>
      </c>
      <c r="AE4889" s="28">
        <v>32730266000</v>
      </c>
      <c r="AF4889" s="28">
        <v>437825000</v>
      </c>
      <c r="AG4889" s="11"/>
    </row>
    <row r="4890">
      <c r="A4890" s="7" t="s">
        <v>6518</v>
      </c>
      <c r="B4890" s="5" t="s">
        <v>14475</v>
      </c>
      <c r="C4890" s="5" t="s">
        <v>22203</v>
      </c>
      <c r="D4890" s="5" t="str">
        <v>220910971845</v>
      </c>
      <c r="E4890" s="0" t="e">
        <f>+7 (423) 2361286
+7 (4232) 609402
+7 (4232) 609859
+7 (4232) 609863
+7 (4232) 609864</f>
        <v>#NAME?</v>
      </c>
      <c r="F4890" s="5" t="s">
        <v>39862</v>
      </c>
      <c r="G4890" s="5"/>
      <c r="H4890" s="26">
        <v>20</v>
      </c>
      <c r="I4890" s="5" t="s">
        <v>39863</v>
      </c>
      <c r="J4890" s="5" t="s">
        <v>26846</v>
      </c>
      <c r="K4890" s="5" t="s">
        <v>344</v>
      </c>
      <c r="L4890" s="5" t="s">
        <v>39864</v>
      </c>
      <c r="M4890" s="27"/>
      <c r="N4890" s="5" t="s">
        <v>56826</v>
      </c>
      <c r="O4890" s="5" t="str">
        <v>2539055638</v>
      </c>
      <c r="P4890" s="27">
        <v>212000</v>
      </c>
      <c r="Q4890" s="5"/>
      <c r="R4890" s="5"/>
      <c r="S4890" s="5" t="s">
        <v>49047</v>
      </c>
      <c r="T4890" s="28">
        <v>68290000</v>
      </c>
      <c r="U4890" s="28"/>
      <c r="V4890" s="28">
        <v>1571372000</v>
      </c>
      <c r="W4890" s="28">
        <v>96388000</v>
      </c>
      <c r="X4890" s="28">
        <v>43223000</v>
      </c>
      <c r="Y4890" s="28">
        <v>3578934000</v>
      </c>
      <c r="Z4890" s="28">
        <v>721263000</v>
      </c>
      <c r="AA4890" s="28">
        <v>390000000</v>
      </c>
      <c r="AB4890" s="28">
        <v>1370694000</v>
      </c>
      <c r="AC4890" s="28">
        <v>2467363000</v>
      </c>
      <c r="AD4890" s="28">
        <v>721475000</v>
      </c>
      <c r="AE4890" s="28">
        <v>17929183000</v>
      </c>
      <c r="AF4890" s="28">
        <v>384623000</v>
      </c>
      <c r="AG4890" s="11"/>
    </row>
    <row r="4891">
      <c r="A4891" s="7" t="s">
        <v>6519</v>
      </c>
      <c r="B4891" s="5" t="s">
        <v>14476</v>
      </c>
      <c r="C4891" s="5" t="s">
        <v>22204</v>
      </c>
      <c r="D4891" s="5" t="str">
        <v>772321159865</v>
      </c>
      <c r="E4891" s="0" t="e">
        <f>+7 (495) 1358005
+7 (495) 4631025</f>
        <v>#NAME?</v>
      </c>
      <c r="F4891" s="5" t="s">
        <v>39865</v>
      </c>
      <c r="G4891" s="5" t="s">
        <v>39866</v>
      </c>
      <c r="H4891" s="26">
        <v>9</v>
      </c>
      <c r="I4891" s="5" t="s">
        <v>39867</v>
      </c>
      <c r="J4891" s="5" t="s">
        <v>623</v>
      </c>
      <c r="K4891" s="5" t="s">
        <v>344</v>
      </c>
      <c r="L4891" s="5" t="s">
        <v>39868</v>
      </c>
      <c r="M4891" s="27"/>
      <c r="N4891" s="5"/>
      <c r="O4891" s="5" t="str">
        <v>7725825428</v>
      </c>
      <c r="P4891" s="27">
        <v>1000000</v>
      </c>
      <c r="Q4891" s="5" t="s">
        <v>49009</v>
      </c>
      <c r="R4891" s="5"/>
      <c r="S4891" s="5" t="s">
        <v>49814</v>
      </c>
      <c r="T4891" s="28">
        <v>16016000</v>
      </c>
      <c r="U4891" s="28">
        <v>26000</v>
      </c>
      <c r="V4891" s="28">
        <v>650079000</v>
      </c>
      <c r="W4891" s="28"/>
      <c r="X4891" s="28">
        <v>374126000</v>
      </c>
      <c r="Y4891" s="28">
        <v>1476271000</v>
      </c>
      <c r="Z4891" s="28">
        <v>255906000</v>
      </c>
      <c r="AA4891" s="28"/>
      <c r="AB4891" s="28"/>
      <c r="AC4891" s="28">
        <v>1214853000</v>
      </c>
      <c r="AD4891" s="28">
        <v>256906000</v>
      </c>
      <c r="AE4891" s="28">
        <v>3650405000</v>
      </c>
      <c r="AF4891" s="28">
        <v>733938000</v>
      </c>
      <c r="AG4891" s="11"/>
    </row>
    <row r="4892">
      <c r="A4892" s="7" t="s">
        <v>6520</v>
      </c>
      <c r="B4892" s="5" t="s">
        <v>14477</v>
      </c>
      <c r="C4892" s="5" t="s">
        <v>22205</v>
      </c>
      <c r="D4892" s="5" t="str">
        <v>027610569160</v>
      </c>
      <c r="E4892" s="0" t="e">
        <f>+7 (3472) 865367
+7 (917) 7770019
+7 (3472) 724001
+7 (3472) 724111
+7 (3472) 732882</f>
        <v>#NAME?</v>
      </c>
      <c r="F4892" s="5" t="s">
        <v>39869</v>
      </c>
      <c r="G4892" s="5"/>
      <c r="H4892" s="26">
        <v>15.5</v>
      </c>
      <c r="I4892" s="5" t="s">
        <v>39870</v>
      </c>
      <c r="J4892" s="5" t="s">
        <v>364</v>
      </c>
      <c r="K4892" s="5" t="s">
        <v>380</v>
      </c>
      <c r="L4892" s="5" t="s">
        <v>39871</v>
      </c>
      <c r="M4892" s="27">
        <v>218758442</v>
      </c>
      <c r="N4892" s="5" t="s">
        <v>56827</v>
      </c>
      <c r="O4892" s="5" t="str">
        <v>0274121991</v>
      </c>
      <c r="P4892" s="27">
        <v>44000</v>
      </c>
      <c r="Q4892" s="5" t="s">
        <v>56828</v>
      </c>
      <c r="R4892" s="5" t="s">
        <v>56829</v>
      </c>
      <c r="S4892" s="5" t="s">
        <v>56830</v>
      </c>
      <c r="T4892" s="28">
        <v>29339000</v>
      </c>
      <c r="U4892" s="28"/>
      <c r="V4892" s="28">
        <v>999415000</v>
      </c>
      <c r="W4892" s="28">
        <v>3790000</v>
      </c>
      <c r="X4892" s="28">
        <v>1277504000</v>
      </c>
      <c r="Y4892" s="28">
        <v>2358910000</v>
      </c>
      <c r="Z4892" s="28">
        <v>78537000</v>
      </c>
      <c r="AA4892" s="28">
        <v>4974000</v>
      </c>
      <c r="AB4892" s="28"/>
      <c r="AC4892" s="28">
        <v>2275355000</v>
      </c>
      <c r="AD4892" s="28">
        <v>78581000</v>
      </c>
      <c r="AE4892" s="28">
        <v>3130605000</v>
      </c>
      <c r="AF4892" s="28">
        <v>51531000</v>
      </c>
      <c r="AG4892" s="11"/>
    </row>
    <row r="4893">
      <c r="A4893" s="7" t="s">
        <v>6521</v>
      </c>
      <c r="B4893" s="5" t="s">
        <v>14478</v>
      </c>
      <c r="C4893" s="5" t="s">
        <v>22206</v>
      </c>
      <c r="D4893" s="5" t="str">
        <v>890201816983</v>
      </c>
      <c r="E4893" s="0" t="e">
        <f>+7 (34992) 57407
+7 (916) 1152858</f>
        <v>#NAME?</v>
      </c>
      <c r="F4893" s="5" t="s">
        <v>39872</v>
      </c>
      <c r="G4893" s="5"/>
      <c r="H4893" s="26">
        <v>6.5</v>
      </c>
      <c r="I4893" s="5" t="s">
        <v>39873</v>
      </c>
      <c r="J4893" s="5" t="s">
        <v>1013</v>
      </c>
      <c r="K4893" s="5" t="s">
        <v>355</v>
      </c>
      <c r="L4893" s="5" t="s">
        <v>26178</v>
      </c>
      <c r="M4893" s="27">
        <v>313922</v>
      </c>
      <c r="N4893" s="5" t="s">
        <v>56831</v>
      </c>
      <c r="O4893" s="5" t="str">
        <v>5190060854</v>
      </c>
      <c r="P4893" s="27">
        <v>100000</v>
      </c>
      <c r="Q4893" s="5" t="s">
        <v>56833</v>
      </c>
      <c r="R4893" s="5"/>
      <c r="S4893" s="5" t="s">
        <v>56834</v>
      </c>
      <c r="T4893" s="28">
        <v>1848295000</v>
      </c>
      <c r="U4893" s="28"/>
      <c r="V4893" s="28">
        <v>3288367000</v>
      </c>
      <c r="W4893" s="28">
        <v>197586000</v>
      </c>
      <c r="X4893" s="28">
        <v>293213000</v>
      </c>
      <c r="Y4893" s="28">
        <v>28354243000</v>
      </c>
      <c r="Z4893" s="28">
        <v>49168000</v>
      </c>
      <c r="AA4893" s="28"/>
      <c r="AB4893" s="28">
        <v>23881000</v>
      </c>
      <c r="AC4893" s="28">
        <v>17423563000</v>
      </c>
      <c r="AD4893" s="28">
        <v>49268000</v>
      </c>
      <c r="AE4893" s="28">
        <v>8726463000</v>
      </c>
      <c r="AF4893" s="28">
        <v>12994000</v>
      </c>
      <c r="AG4893" s="11"/>
    </row>
    <row r="4894">
      <c r="A4894" s="7" t="s">
        <v>6522</v>
      </c>
      <c r="B4894" s="5" t="s">
        <v>14479</v>
      </c>
      <c r="C4894" s="5" t="s">
        <v>18376</v>
      </c>
      <c r="D4894" s="5" t="str">
        <v>164608356094</v>
      </c>
      <c r="E4894" s="0" t="e">
        <f>+7 (910) 4398
+7 (919) 2000211
+7 (495) 4190630
+7 (495) 6516113
+7 (499) 2714883
+7 (910) 4526
+7 (910) 4528
+7 (910) 4532
+7 (910) 4569
+7 (910) 4578
+7 (985) 9682929</f>
        <v>#NAME?</v>
      </c>
      <c r="F4894" s="5" t="s">
        <v>39874</v>
      </c>
      <c r="G4894" s="5"/>
      <c r="H4894" s="26">
        <v>10.5</v>
      </c>
      <c r="I4894" s="5" t="s">
        <v>27696</v>
      </c>
      <c r="J4894" s="5" t="s">
        <v>34663</v>
      </c>
      <c r="K4894" s="5" t="s">
        <v>344</v>
      </c>
      <c r="L4894" s="5" t="s">
        <v>39875</v>
      </c>
      <c r="M4894" s="27"/>
      <c r="N4894" s="5"/>
      <c r="O4894" s="5" t="str">
        <v>5703004960</v>
      </c>
      <c r="P4894" s="27">
        <v>10000</v>
      </c>
      <c r="Q4894" s="5" t="s">
        <v>49009</v>
      </c>
      <c r="R4894" s="5"/>
      <c r="S4894" s="5" t="s">
        <v>49978</v>
      </c>
      <c r="T4894" s="28">
        <v>185846000</v>
      </c>
      <c r="U4894" s="28"/>
      <c r="V4894" s="28">
        <v>740746000</v>
      </c>
      <c r="W4894" s="28"/>
      <c r="X4894" s="28">
        <v>43272000</v>
      </c>
      <c r="Y4894" s="28">
        <v>1062229000</v>
      </c>
      <c r="Z4894" s="28">
        <v>718753000</v>
      </c>
      <c r="AA4894" s="28"/>
      <c r="AB4894" s="28"/>
      <c r="AC4894" s="28">
        <v>335063000</v>
      </c>
      <c r="AD4894" s="28">
        <v>721863000</v>
      </c>
      <c r="AE4894" s="28">
        <v>3844706000</v>
      </c>
      <c r="AF4894" s="28">
        <v>307555000</v>
      </c>
      <c r="AG4894" s="11"/>
    </row>
    <row r="4895">
      <c r="A4895" s="7" t="s">
        <v>6523</v>
      </c>
      <c r="B4895" s="5" t="s">
        <v>14480</v>
      </c>
      <c r="C4895" s="5" t="s">
        <v>22207</v>
      </c>
      <c r="D4895" s="5" t="str">
        <v>744404478429</v>
      </c>
      <c r="E4895" s="0" t="e">
        <f>+7 (3435) 496998
+7 (3435) 498469
+7 (3439) 363083
+7 (34792) 40719
+7 (34792) 41548
+7 (3517) 279350
+7 (3519) 581900
+7 (812) 3228389</f>
        <v>#NAME?</v>
      </c>
      <c r="F4895" s="5" t="s">
        <v>39876</v>
      </c>
      <c r="G4895" s="5" t="s">
        <v>39877</v>
      </c>
      <c r="H4895" s="26">
        <v>30.5</v>
      </c>
      <c r="I4895" s="5" t="s">
        <v>39878</v>
      </c>
      <c r="J4895" s="5" t="s">
        <v>34655</v>
      </c>
      <c r="K4895" s="5" t="s">
        <v>344</v>
      </c>
      <c r="L4895" s="5"/>
      <c r="M4895" s="27">
        <v>1322647</v>
      </c>
      <c r="N4895" s="5" t="s">
        <v>56835</v>
      </c>
      <c r="O4895" s="5" t="str">
        <v>7414000343</v>
      </c>
      <c r="P4895" s="27">
        <v>87900</v>
      </c>
      <c r="Q4895" s="5" t="s">
        <v>56837</v>
      </c>
      <c r="R4895" s="5"/>
      <c r="S4895" s="5" t="s">
        <v>56838</v>
      </c>
      <c r="T4895" s="28">
        <v>677955000</v>
      </c>
      <c r="U4895" s="28">
        <v>84647000</v>
      </c>
      <c r="V4895" s="28">
        <v>1612597000</v>
      </c>
      <c r="W4895" s="28">
        <v>2955000</v>
      </c>
      <c r="X4895" s="28">
        <v>1265595000</v>
      </c>
      <c r="Y4895" s="28">
        <v>4035090000</v>
      </c>
      <c r="Z4895" s="28">
        <v>2206555000</v>
      </c>
      <c r="AA4895" s="28"/>
      <c r="AB4895" s="28"/>
      <c r="AC4895" s="28">
        <v>1699457000</v>
      </c>
      <c r="AD4895" s="28">
        <v>2246244000</v>
      </c>
      <c r="AE4895" s="28">
        <v>11502756000</v>
      </c>
      <c r="AF4895" s="28">
        <v>485460000</v>
      </c>
      <c r="AG4895" s="11"/>
    </row>
    <row r="4896">
      <c r="A4896" s="7" t="s">
        <v>6524</v>
      </c>
      <c r="B4896" s="5" t="s">
        <v>14481</v>
      </c>
      <c r="C4896" s="5" t="s">
        <v>22208</v>
      </c>
      <c r="D4896" s="5" t="str">
        <v>772728783280</v>
      </c>
      <c r="E4896" s="0" t="e">
        <f>+7 (473) 2602202
+7 (495) 5420347
+7 (495) 9880032
+7 (812) 3187282
+7 (926) 5081410</f>
        <v>#NAME?</v>
      </c>
      <c r="F4896" s="5" t="s">
        <v>39879</v>
      </c>
      <c r="G4896" s="5" t="s">
        <v>39880</v>
      </c>
      <c r="H4896" s="26">
        <v>30</v>
      </c>
      <c r="I4896" s="5"/>
      <c r="J4896" s="5" t="s">
        <v>26999</v>
      </c>
      <c r="K4896" s="5" t="s">
        <v>344</v>
      </c>
      <c r="L4896" s="5"/>
      <c r="M4896" s="27"/>
      <c r="N4896" s="5" t="s">
        <v>56839</v>
      </c>
      <c r="O4896" s="5" t="str">
        <v>7730041771</v>
      </c>
      <c r="P4896" s="27">
        <v>10000</v>
      </c>
      <c r="Q4896" s="5" t="s">
        <v>49535</v>
      </c>
      <c r="R4896" s="5"/>
      <c r="S4896" s="5" t="s">
        <v>56840</v>
      </c>
      <c r="T4896" s="28">
        <v>52436000</v>
      </c>
      <c r="U4896" s="28">
        <v>20000</v>
      </c>
      <c r="V4896" s="28">
        <v>745422000</v>
      </c>
      <c r="W4896" s="28"/>
      <c r="X4896" s="28">
        <v>14566000</v>
      </c>
      <c r="Y4896" s="28">
        <v>1399750000</v>
      </c>
      <c r="Z4896" s="28">
        <v>654394000</v>
      </c>
      <c r="AA4896" s="28"/>
      <c r="AB4896" s="28">
        <v>532601000</v>
      </c>
      <c r="AC4896" s="28">
        <v>745344000</v>
      </c>
      <c r="AD4896" s="28">
        <v>654405000</v>
      </c>
      <c r="AE4896" s="28">
        <v>3125091000</v>
      </c>
      <c r="AF4896" s="28">
        <v>47810000</v>
      </c>
      <c r="AG4896" s="11"/>
    </row>
    <row r="4897">
      <c r="A4897" s="7" t="s">
        <v>6525</v>
      </c>
      <c r="B4897" s="5" t="s">
        <v>14482</v>
      </c>
      <c r="C4897" s="5" t="s">
        <v>22209</v>
      </c>
      <c r="D4897" s="5" t="str">
        <v>540423780262</v>
      </c>
      <c r="E4897" s="0" t="e">
        <f>+7 (383) 2105110
+7 (383) 2621867
+7 (383) 2105225
+7 (383) 2106304
+7 (383) 2106306
+7 (383) 2478254
+7 (383) 3173970
+7 (383) 3611531
+7 (383) 3611724</f>
        <v>#NAME?</v>
      </c>
      <c r="F4897" s="5" t="s">
        <v>39881</v>
      </c>
      <c r="G4897" s="5" t="s">
        <v>39882</v>
      </c>
      <c r="H4897" s="26">
        <v>29.5</v>
      </c>
      <c r="I4897" s="5"/>
      <c r="J4897" s="5" t="s">
        <v>33297</v>
      </c>
      <c r="K4897" s="5" t="s">
        <v>344</v>
      </c>
      <c r="L4897" s="5" t="s">
        <v>39883</v>
      </c>
      <c r="M4897" s="27"/>
      <c r="N4897" s="5"/>
      <c r="O4897" s="5" t="str">
        <v>5405143630</v>
      </c>
      <c r="P4897" s="27">
        <v>2880</v>
      </c>
      <c r="Q4897" s="5"/>
      <c r="R4897" s="5"/>
      <c r="S4897" s="5" t="s">
        <v>49029</v>
      </c>
      <c r="T4897" s="28">
        <v>2010001000</v>
      </c>
      <c r="U4897" s="28">
        <v>32479000</v>
      </c>
      <c r="V4897" s="28">
        <v>3694225000</v>
      </c>
      <c r="W4897" s="28">
        <v>472186000</v>
      </c>
      <c r="X4897" s="28">
        <v>73641000</v>
      </c>
      <c r="Y4897" s="28">
        <v>8974360000</v>
      </c>
      <c r="Z4897" s="28">
        <v>8160214000</v>
      </c>
      <c r="AA4897" s="28">
        <v>534641000</v>
      </c>
      <c r="AB4897" s="28"/>
      <c r="AC4897" s="28">
        <v>208605000</v>
      </c>
      <c r="AD4897" s="28">
        <v>8174198000</v>
      </c>
      <c r="AE4897" s="28">
        <v>4735646000</v>
      </c>
      <c r="AF4897" s="28">
        <v>511377000</v>
      </c>
      <c r="AG4897" s="11"/>
    </row>
    <row r="4898">
      <c r="A4898" s="7" t="s">
        <v>6526</v>
      </c>
      <c r="B4898" s="5" t="s">
        <v>14483</v>
      </c>
      <c r="C4898" s="5" t="s">
        <v>22210</v>
      </c>
      <c r="D4898" s="5" t="str">
        <v>550312506045</v>
      </c>
      <c r="F4898" s="5"/>
      <c r="G4898" s="5"/>
      <c r="H4898" s="26">
        <v>5.5</v>
      </c>
      <c r="I4898" s="5" t="s">
        <v>39884</v>
      </c>
      <c r="J4898" s="5" t="s">
        <v>678</v>
      </c>
      <c r="K4898" s="5" t="s">
        <v>355</v>
      </c>
      <c r="L4898" s="5" t="s">
        <v>39841</v>
      </c>
      <c r="M4898" s="27">
        <v>1063362</v>
      </c>
      <c r="N4898" s="5" t="s">
        <v>56841</v>
      </c>
      <c r="O4898" s="5" t="str">
        <v>5505057030</v>
      </c>
      <c r="P4898" s="27">
        <v>10000</v>
      </c>
      <c r="Q4898" s="5" t="s">
        <v>49057</v>
      </c>
      <c r="R4898" s="5"/>
      <c r="S4898" s="5" t="s">
        <v>49452</v>
      </c>
      <c r="T4898" s="28">
        <v>11583000</v>
      </c>
      <c r="U4898" s="28"/>
      <c r="V4898" s="28">
        <v>1082720000</v>
      </c>
      <c r="W4898" s="28"/>
      <c r="X4898" s="28">
        <v>9266000</v>
      </c>
      <c r="Y4898" s="28">
        <v>1278400000</v>
      </c>
      <c r="Z4898" s="28">
        <v>35623000</v>
      </c>
      <c r="AA4898" s="28">
        <v>501830000</v>
      </c>
      <c r="AB4898" s="28">
        <v>369255000</v>
      </c>
      <c r="AC4898" s="28">
        <v>729103000</v>
      </c>
      <c r="AD4898" s="28">
        <v>35633000</v>
      </c>
      <c r="AE4898" s="28">
        <v>8758193000</v>
      </c>
      <c r="AF4898" s="28">
        <v>32922000</v>
      </c>
      <c r="AG4898" s="11"/>
    </row>
    <row r="4899">
      <c r="A4899" s="7" t="s">
        <v>6527</v>
      </c>
      <c r="B4899" s="5" t="s">
        <v>14484</v>
      </c>
      <c r="C4899" s="5" t="s">
        <v>22211</v>
      </c>
      <c r="D4899" s="5" t="str">
        <v>772904913940</v>
      </c>
      <c r="E4899" s="0" t="e">
        <f>+7 (495) 2585888
+7 (495) 2585800
+7 (495) 2585885
+7 (495) 7396695
+7 (800) 2000205</f>
        <v>#NAME?</v>
      </c>
      <c r="F4899" s="5"/>
      <c r="G4899" s="5" t="s">
        <v>39885</v>
      </c>
      <c r="H4899" s="26">
        <v>17</v>
      </c>
      <c r="I4899" s="5" t="s">
        <v>39886</v>
      </c>
      <c r="J4899" s="5" t="s">
        <v>25424</v>
      </c>
      <c r="K4899" s="5" t="s">
        <v>344</v>
      </c>
      <c r="L4899" s="5" t="s">
        <v>39887</v>
      </c>
      <c r="M4899" s="27"/>
      <c r="N4899" s="5"/>
      <c r="O4899" s="5" t="str">
        <v>7701639976</v>
      </c>
      <c r="P4899" s="27">
        <v>9000000</v>
      </c>
      <c r="Q4899" s="5" t="s">
        <v>49009</v>
      </c>
      <c r="R4899" s="5"/>
      <c r="S4899" s="5" t="s">
        <v>49066</v>
      </c>
      <c r="T4899" s="28">
        <v>4114000</v>
      </c>
      <c r="U4899" s="28">
        <v>342518000</v>
      </c>
      <c r="V4899" s="28">
        <v>5772956000</v>
      </c>
      <c r="W4899" s="28"/>
      <c r="X4899" s="28">
        <v>8887732000</v>
      </c>
      <c r="Y4899" s="28">
        <v>32177077000</v>
      </c>
      <c r="Z4899" s="28">
        <v>15715271000</v>
      </c>
      <c r="AA4899" s="28"/>
      <c r="AB4899" s="28"/>
      <c r="AC4899" s="28">
        <v>16452806000</v>
      </c>
      <c r="AD4899" s="28">
        <v>15724271000</v>
      </c>
      <c r="AE4899" s="28">
        <v>107878388000</v>
      </c>
      <c r="AF4899" s="28">
        <v>11618757000</v>
      </c>
      <c r="AG4899" s="11"/>
    </row>
    <row r="4900">
      <c r="A4900" s="7" t="s">
        <v>6528</v>
      </c>
      <c r="B4900" s="5" t="s">
        <v>14485</v>
      </c>
      <c r="C4900" s="5" t="s">
        <v>22212</v>
      </c>
      <c r="D4900" s="5" t="str">
        <v>780211736777</v>
      </c>
      <c r="E4900" s="0" t="e">
        <f>+7 (48762) 31888
+7 (4862) 437175
+7 (48762) 21230
+7 (48762) 21234
+7 (48762) 21235
+7 (48762) 21240
+7 (48762) 31804
+7 (48762) 31824
+7 (48762) 31831
+7 (48762) 31877
+7 (48762) 31886
+7 (48762) 31908
+7 (48762) 31909
+7 (48762) 31916
+7 (48762) 31987</f>
        <v>#NAME?</v>
      </c>
      <c r="F4900" s="5" t="s">
        <v>39888</v>
      </c>
      <c r="G4900" s="5" t="s">
        <v>39889</v>
      </c>
      <c r="H4900" s="26">
        <v>28.5</v>
      </c>
      <c r="I4900" s="5" t="s">
        <v>39890</v>
      </c>
      <c r="J4900" s="5" t="s">
        <v>26224</v>
      </c>
      <c r="K4900" s="5" t="s">
        <v>344</v>
      </c>
      <c r="L4900" s="5" t="s">
        <v>39891</v>
      </c>
      <c r="M4900" s="27"/>
      <c r="N4900" s="5"/>
      <c r="O4900" s="5" t="str">
        <v>7101006354</v>
      </c>
      <c r="P4900" s="27">
        <v>7936888217</v>
      </c>
      <c r="Q4900" s="5" t="s">
        <v>49009</v>
      </c>
      <c r="R4900" s="5"/>
      <c r="S4900" s="5" t="s">
        <v>49066</v>
      </c>
      <c r="T4900" s="28">
        <v>12206594000</v>
      </c>
      <c r="U4900" s="28">
        <v>390000</v>
      </c>
      <c r="V4900" s="28">
        <v>3513022000</v>
      </c>
      <c r="W4900" s="28"/>
      <c r="X4900" s="28">
        <v>802875000</v>
      </c>
      <c r="Y4900" s="28">
        <v>25830632000</v>
      </c>
      <c r="Z4900" s="28">
        <v>9789049000</v>
      </c>
      <c r="AA4900" s="28"/>
      <c r="AB4900" s="28"/>
      <c r="AC4900" s="28">
        <v>6404133000</v>
      </c>
      <c r="AD4900" s="28">
        <v>18965042000</v>
      </c>
      <c r="AE4900" s="28">
        <v>38892030000</v>
      </c>
      <c r="AF4900" s="28">
        <v>5551564000</v>
      </c>
      <c r="AG4900" s="11"/>
    </row>
    <row r="4901">
      <c r="A4901" s="7" t="s">
        <v>6529</v>
      </c>
      <c r="B4901" s="5" t="s">
        <v>14486</v>
      </c>
      <c r="C4901" s="5" t="s">
        <v>22213</v>
      </c>
      <c r="D4901" s="5" t="str">
        <v>780713163840</v>
      </c>
      <c r="E4901" s="0" t="e">
        <f>+7 (812) 3363877
+7 (3422) 275315
+7 (3433) 734844
+7 (38532) 43077
+7 (3955) 574389
+7 (482) 2630078
+7 (48330) 21995
+7 (484) 2509269
+7 (487) 2230408
+7 (812) 3363875
+7 (812) 3363876
+7 (86130) 41977
+7 (916) 4644345
+7 (950) 9693295</f>
        <v>#NAME?</v>
      </c>
      <c r="F4901" s="5" t="s">
        <v>39892</v>
      </c>
      <c r="G4901" s="5"/>
      <c r="H4901" s="26">
        <v>16.5</v>
      </c>
      <c r="I4901" s="5" t="s">
        <v>39893</v>
      </c>
      <c r="J4901" s="5" t="s">
        <v>26828</v>
      </c>
      <c r="K4901" s="5" t="s">
        <v>344</v>
      </c>
      <c r="L4901" s="5" t="s">
        <v>39894</v>
      </c>
      <c r="M4901" s="27"/>
      <c r="N4901" s="5" t="s">
        <v>56842</v>
      </c>
      <c r="O4901" s="5" t="str">
        <v>7839343629</v>
      </c>
      <c r="P4901" s="27">
        <v>10000</v>
      </c>
      <c r="Q4901" s="5"/>
      <c r="R4901" s="5"/>
      <c r="S4901" s="5" t="s">
        <v>49110</v>
      </c>
      <c r="T4901" s="28"/>
      <c r="U4901" s="28"/>
      <c r="V4901" s="28">
        <v>163727000</v>
      </c>
      <c r="W4901" s="28"/>
      <c r="X4901" s="28">
        <v>257813000</v>
      </c>
      <c r="Y4901" s="28">
        <v>427987000</v>
      </c>
      <c r="Z4901" s="28">
        <v>76944000</v>
      </c>
      <c r="AA4901" s="28"/>
      <c r="AB4901" s="28"/>
      <c r="AC4901" s="28">
        <v>350970000</v>
      </c>
      <c r="AD4901" s="28">
        <v>76954000</v>
      </c>
      <c r="AE4901" s="28">
        <v>5382392000</v>
      </c>
      <c r="AF4901" s="28">
        <v>452226000</v>
      </c>
      <c r="AG4901" s="11"/>
    </row>
    <row r="4902">
      <c r="A4902" s="7" t="s">
        <v>6530</v>
      </c>
      <c r="B4902" s="5" t="s">
        <v>14487</v>
      </c>
      <c r="C4902" s="5" t="s">
        <v>22214</v>
      </c>
      <c r="D4902" s="5" t="str">
        <v>325305409101</v>
      </c>
      <c r="E4902" s="0" t="e">
        <f>+7 (483) 2367037
+7 (48330) 22856
+7 (910) 2344979
+7 (910) 2991448
+7 (910) 3363336
+7 (910) 3390940
+7 (910) 3392937
+7 (910) 3393938
+7 (915) 8050158
+7 (980) 3146656
+7 (980) 3301147</f>
        <v>#NAME?</v>
      </c>
      <c r="F4902" s="5" t="s">
        <v>39895</v>
      </c>
      <c r="G4902" s="5" t="s">
        <v>39896</v>
      </c>
      <c r="H4902" s="26">
        <v>30</v>
      </c>
      <c r="I4902" s="5"/>
      <c r="J4902" s="5" t="s">
        <v>26536</v>
      </c>
      <c r="K4902" s="5" t="s">
        <v>344</v>
      </c>
      <c r="L4902" s="5" t="s">
        <v>39897</v>
      </c>
      <c r="M4902" s="27">
        <v>1391791</v>
      </c>
      <c r="N4902" s="5" t="s">
        <v>56843</v>
      </c>
      <c r="O4902" s="5" t="str">
        <v>3229000246</v>
      </c>
      <c r="P4902" s="27">
        <v>27000</v>
      </c>
      <c r="Q4902" s="5" t="s">
        <v>56844</v>
      </c>
      <c r="R4902" s="5"/>
      <c r="S4902" s="5" t="s">
        <v>49487</v>
      </c>
      <c r="T4902" s="28">
        <v>5846563000</v>
      </c>
      <c r="U4902" s="28">
        <v>3479000</v>
      </c>
      <c r="V4902" s="28">
        <v>669681000</v>
      </c>
      <c r="W4902" s="28">
        <v>1800000000</v>
      </c>
      <c r="X4902" s="28">
        <v>270969000</v>
      </c>
      <c r="Y4902" s="28">
        <v>9875917000</v>
      </c>
      <c r="Z4902" s="28">
        <v>7893188000</v>
      </c>
      <c r="AA4902" s="28"/>
      <c r="AB4902" s="28">
        <v>36520000</v>
      </c>
      <c r="AC4902" s="28">
        <v>1733831000</v>
      </c>
      <c r="AD4902" s="28">
        <v>7932134000</v>
      </c>
      <c r="AE4902" s="28">
        <v>10877865000</v>
      </c>
      <c r="AF4902" s="28">
        <v>3504754000</v>
      </c>
      <c r="AG4902" s="11"/>
    </row>
    <row r="4903">
      <c r="A4903" s="7" t="s">
        <v>6531</v>
      </c>
      <c r="B4903" s="5" t="s">
        <v>14488</v>
      </c>
      <c r="C4903" s="5" t="s">
        <v>22215</v>
      </c>
      <c r="D4903" s="5" t="str">
        <v>781705891421</v>
      </c>
      <c r="E4903" s="0" t="e">
        <f>+7 (812) 6401191
+7 (812) 6401242
+7 (812) 2420374
+7 (812) 5673733
+7 (812) 6001280
+7 (812) 6401039
+7 (812) 6401112
+7 (812) 6401169
+7 (812) 6401172
+7 (812) 6401243</f>
        <v>#NAME?</v>
      </c>
      <c r="F4903" s="5" t="s">
        <v>39898</v>
      </c>
      <c r="G4903" s="5" t="s">
        <v>39899</v>
      </c>
      <c r="H4903" s="26">
        <v>30</v>
      </c>
      <c r="I4903" s="5" t="s">
        <v>39900</v>
      </c>
      <c r="J4903" s="5" t="s">
        <v>39901</v>
      </c>
      <c r="K4903" s="5" t="s">
        <v>355</v>
      </c>
      <c r="L4903" s="5"/>
      <c r="M4903" s="27">
        <v>69931000</v>
      </c>
      <c r="N4903" s="5" t="s">
        <v>56845</v>
      </c>
      <c r="O4903" s="5" t="str">
        <v>7811039386</v>
      </c>
      <c r="P4903" s="27">
        <v>1341229</v>
      </c>
      <c r="Q4903" s="5" t="s">
        <v>56846</v>
      </c>
      <c r="R4903" s="5" t="s">
        <v>56847</v>
      </c>
      <c r="S4903" s="5" t="s">
        <v>56848</v>
      </c>
      <c r="T4903" s="28">
        <v>2544923000</v>
      </c>
      <c r="U4903" s="28">
        <v>13441000</v>
      </c>
      <c r="V4903" s="28">
        <v>1541025000</v>
      </c>
      <c r="W4903" s="28"/>
      <c r="X4903" s="28">
        <v>1537043000</v>
      </c>
      <c r="Y4903" s="28">
        <v>10618099000</v>
      </c>
      <c r="Z4903" s="28">
        <v>-543046000</v>
      </c>
      <c r="AA4903" s="28"/>
      <c r="AB4903" s="28">
        <v>488728000</v>
      </c>
      <c r="AC4903" s="28">
        <v>6434804000</v>
      </c>
      <c r="AD4903" s="28">
        <v>2159699000</v>
      </c>
      <c r="AE4903" s="28">
        <v>3220067000</v>
      </c>
      <c r="AF4903" s="28">
        <v>218210000</v>
      </c>
      <c r="AG4903" s="11"/>
    </row>
    <row r="4904">
      <c r="A4904" s="7" t="s">
        <v>6532</v>
      </c>
      <c r="B4904" s="5" t="s">
        <v>14489</v>
      </c>
      <c r="C4904" s="5" t="s">
        <v>22216</v>
      </c>
      <c r="D4904" s="5" t="str">
        <v>772505023600</v>
      </c>
      <c r="E4904" s="0" t="e">
        <f>+7 (495) 6794691
+7 (495) 9897117</f>
        <v>#NAME?</v>
      </c>
      <c r="F4904" s="5" t="s">
        <v>39902</v>
      </c>
      <c r="G4904" s="5" t="s">
        <v>39903</v>
      </c>
      <c r="H4904" s="26">
        <v>21.5</v>
      </c>
      <c r="I4904" s="5"/>
      <c r="J4904" s="5" t="s">
        <v>25429</v>
      </c>
      <c r="K4904" s="5" t="s">
        <v>344</v>
      </c>
      <c r="L4904" s="5" t="s">
        <v>39904</v>
      </c>
      <c r="M4904" s="27"/>
      <c r="N4904" s="5" t="s">
        <v>55951</v>
      </c>
      <c r="O4904" s="5" t="str">
        <v>7707296771</v>
      </c>
      <c r="P4904" s="27">
        <v>99000</v>
      </c>
      <c r="Q4904" s="5" t="s">
        <v>56849</v>
      </c>
      <c r="R4904" s="5"/>
      <c r="S4904" s="5" t="s">
        <v>49361</v>
      </c>
      <c r="T4904" s="28">
        <v>2117000</v>
      </c>
      <c r="U4904" s="28"/>
      <c r="V4904" s="28">
        <v>1157072000</v>
      </c>
      <c r="W4904" s="28"/>
      <c r="X4904" s="28">
        <v>200388000</v>
      </c>
      <c r="Y4904" s="28">
        <v>2845943000</v>
      </c>
      <c r="Z4904" s="28">
        <v>366875000</v>
      </c>
      <c r="AA4904" s="28"/>
      <c r="AB4904" s="28"/>
      <c r="AC4904" s="28">
        <v>2478571000</v>
      </c>
      <c r="AD4904" s="28">
        <v>366989000</v>
      </c>
      <c r="AE4904" s="28">
        <v>7482448000</v>
      </c>
      <c r="AF4904" s="28">
        <v>92951000</v>
      </c>
      <c r="AG4904" s="11"/>
    </row>
    <row r="4905">
      <c r="A4905" s="7" t="s">
        <v>6533</v>
      </c>
      <c r="B4905" s="5" t="s">
        <v>14490</v>
      </c>
      <c r="C4905" s="5" t="s">
        <v>22217</v>
      </c>
      <c r="D4905" s="5" t="str">
        <v>422400077460</v>
      </c>
      <c r="F4905" s="5" t="s">
        <v>39905</v>
      </c>
      <c r="G4905" s="5"/>
      <c r="H4905" s="26">
        <v>11.5</v>
      </c>
      <c r="I4905" s="5" t="s">
        <v>39906</v>
      </c>
      <c r="J4905" s="5" t="s">
        <v>533</v>
      </c>
      <c r="K4905" s="5" t="s">
        <v>344</v>
      </c>
      <c r="L4905" s="5" t="s">
        <v>39907</v>
      </c>
      <c r="M4905" s="27"/>
      <c r="N4905" s="5" t="s">
        <v>56850</v>
      </c>
      <c r="O4905" s="5" t="str">
        <v>4223054712</v>
      </c>
      <c r="P4905" s="27">
        <v>200000</v>
      </c>
      <c r="Q4905" s="5" t="s">
        <v>49059</v>
      </c>
      <c r="R4905" s="5"/>
      <c r="S4905" s="5" t="s">
        <v>49045</v>
      </c>
      <c r="T4905" s="28">
        <v>363576000</v>
      </c>
      <c r="U4905" s="28"/>
      <c r="V4905" s="28">
        <v>1046142000</v>
      </c>
      <c r="W4905" s="28">
        <v>1390175000</v>
      </c>
      <c r="X4905" s="28">
        <v>531000</v>
      </c>
      <c r="Y4905" s="28">
        <v>3597992000</v>
      </c>
      <c r="Z4905" s="28">
        <v>475848000</v>
      </c>
      <c r="AA4905" s="28">
        <v>4950000</v>
      </c>
      <c r="AB4905" s="28"/>
      <c r="AC4905" s="28">
        <v>3082784000</v>
      </c>
      <c r="AD4905" s="28">
        <v>476048000</v>
      </c>
      <c r="AE4905" s="28">
        <v>3701863000</v>
      </c>
      <c r="AF4905" s="28">
        <v>105690000</v>
      </c>
      <c r="AG4905" s="11"/>
    </row>
    <row r="4906">
      <c r="A4906" s="7" t="s">
        <v>6534</v>
      </c>
      <c r="B4906" s="5" t="s">
        <v>10599</v>
      </c>
      <c r="C4906" s="5" t="s">
        <v>22218</v>
      </c>
      <c r="D4906" s="5" t="str">
        <v>770802766266</v>
      </c>
      <c r="E4906" s="0" t="e">
        <f>+7 (499) 7043707
+7 (925) 7230378
+7 (929) 5451015</f>
        <v>#NAME?</v>
      </c>
      <c r="F4906" s="5"/>
      <c r="G4906" s="5" t="s">
        <v>39908</v>
      </c>
      <c r="H4906" s="26">
        <v>6.5</v>
      </c>
      <c r="I4906" s="5" t="s">
        <v>39909</v>
      </c>
      <c r="J4906" s="5" t="s">
        <v>25304</v>
      </c>
      <c r="K4906" s="5" t="s">
        <v>344</v>
      </c>
      <c r="L4906" s="5" t="s">
        <v>39910</v>
      </c>
      <c r="M4906" s="27"/>
      <c r="N4906" s="5"/>
      <c r="O4906" s="5" t="str">
        <v>7702403437</v>
      </c>
      <c r="P4906" s="27">
        <v>100000</v>
      </c>
      <c r="Q4906" s="5" t="s">
        <v>49009</v>
      </c>
      <c r="R4906" s="5"/>
      <c r="S4906" s="5" t="s">
        <v>49066</v>
      </c>
      <c r="T4906" s="28">
        <v>3859000</v>
      </c>
      <c r="U4906" s="28"/>
      <c r="V4906" s="28">
        <v>575909000</v>
      </c>
      <c r="W4906" s="28">
        <v>5050000</v>
      </c>
      <c r="X4906" s="28">
        <v>27965000</v>
      </c>
      <c r="Y4906" s="28">
        <v>700386000</v>
      </c>
      <c r="Z4906" s="28">
        <v>40191000</v>
      </c>
      <c r="AA4906" s="28"/>
      <c r="AB4906" s="28"/>
      <c r="AC4906" s="28">
        <v>660094000</v>
      </c>
      <c r="AD4906" s="28">
        <v>40385000</v>
      </c>
      <c r="AE4906" s="28">
        <v>3304574000</v>
      </c>
      <c r="AF4906" s="28">
        <v>14917000</v>
      </c>
      <c r="AG4906" s="11"/>
    </row>
    <row r="4907">
      <c r="A4907" s="7" t="s">
        <v>6535</v>
      </c>
      <c r="B4907" s="5" t="s">
        <v>14491</v>
      </c>
      <c r="C4907" s="5" t="s">
        <v>22219</v>
      </c>
      <c r="D4907" s="5" t="str">
        <v>026908921401</v>
      </c>
      <c r="F4907" s="5"/>
      <c r="G4907" s="5"/>
      <c r="H4907" s="26">
        <v>8.5</v>
      </c>
      <c r="I4907" s="5" t="s">
        <v>39911</v>
      </c>
      <c r="J4907" s="5" t="s">
        <v>821</v>
      </c>
      <c r="K4907" s="5" t="s">
        <v>344</v>
      </c>
      <c r="L4907" s="5" t="s">
        <v>39912</v>
      </c>
      <c r="M4907" s="27"/>
      <c r="N4907" s="5"/>
      <c r="O4907" s="5" t="str">
        <v>7724930067</v>
      </c>
      <c r="P4907" s="27">
        <v>50000</v>
      </c>
      <c r="Q4907" s="5"/>
      <c r="R4907" s="5"/>
      <c r="S4907" s="5" t="s">
        <v>49029</v>
      </c>
      <c r="T4907" s="28">
        <v>360000</v>
      </c>
      <c r="U4907" s="28"/>
      <c r="V4907" s="28">
        <v>312097000</v>
      </c>
      <c r="W4907" s="28">
        <v>384803000</v>
      </c>
      <c r="X4907" s="28">
        <v>37439000</v>
      </c>
      <c r="Y4907" s="28">
        <v>750698000</v>
      </c>
      <c r="Z4907" s="28">
        <v>56437000</v>
      </c>
      <c r="AA4907" s="28"/>
      <c r="AB4907" s="28"/>
      <c r="AC4907" s="28">
        <v>694210000</v>
      </c>
      <c r="AD4907" s="28">
        <v>61246000</v>
      </c>
      <c r="AE4907" s="28">
        <v>3053698000</v>
      </c>
      <c r="AF4907" s="28">
        <v>28904000</v>
      </c>
      <c r="AG4907" s="11"/>
    </row>
    <row r="4908">
      <c r="A4908" s="7" t="s">
        <v>6536</v>
      </c>
      <c r="B4908" s="5" t="s">
        <v>14492</v>
      </c>
      <c r="C4908" s="5" t="s">
        <v>22220</v>
      </c>
      <c r="D4908" s="5" t="str">
        <v>773405101408</v>
      </c>
      <c r="E4908" s="0" t="e">
        <f>+7 (495) 9661010</f>
        <v>#NAME?</v>
      </c>
      <c r="F4908" s="5" t="s">
        <v>39913</v>
      </c>
      <c r="G4908" s="5"/>
      <c r="H4908" s="26">
        <v>12.5</v>
      </c>
      <c r="I4908" s="5" t="s">
        <v>39914</v>
      </c>
      <c r="J4908" s="5" t="s">
        <v>373</v>
      </c>
      <c r="K4908" s="5" t="s">
        <v>344</v>
      </c>
      <c r="L4908" s="5" t="s">
        <v>39915</v>
      </c>
      <c r="M4908" s="27"/>
      <c r="N4908" s="5" t="s">
        <v>56851</v>
      </c>
      <c r="O4908" s="5" t="str">
        <v>7705926562</v>
      </c>
      <c r="P4908" s="27">
        <v>100000</v>
      </c>
      <c r="Q4908" s="5" t="s">
        <v>56852</v>
      </c>
      <c r="R4908" s="5"/>
      <c r="S4908" s="5" t="s">
        <v>49496</v>
      </c>
      <c r="T4908" s="28">
        <v>17865000</v>
      </c>
      <c r="U4908" s="28">
        <v>45013000</v>
      </c>
      <c r="V4908" s="28">
        <v>508298000</v>
      </c>
      <c r="W4908" s="28"/>
      <c r="X4908" s="28">
        <v>1052512000</v>
      </c>
      <c r="Y4908" s="28">
        <v>1637800000</v>
      </c>
      <c r="Z4908" s="28">
        <v>1089065000</v>
      </c>
      <c r="AA4908" s="28"/>
      <c r="AB4908" s="28"/>
      <c r="AC4908" s="28">
        <v>548513000</v>
      </c>
      <c r="AD4908" s="28">
        <v>1089165000</v>
      </c>
      <c r="AE4908" s="28">
        <v>24963581000</v>
      </c>
      <c r="AF4908" s="28">
        <v>1845815000</v>
      </c>
      <c r="AG4908" s="11"/>
    </row>
    <row r="4909">
      <c r="A4909" s="7" t="s">
        <v>6537</v>
      </c>
      <c r="B4909" s="5" t="s">
        <v>14493</v>
      </c>
      <c r="C4909" s="5" t="s">
        <v>22221</v>
      </c>
      <c r="D4909" s="5" t="str">
        <v>780613048308</v>
      </c>
      <c r="E4909" s="0" t="e">
        <f>+7 (495) 9567937
+7 (812) 3248569
+7 (812) 4035200
+7 (812) 4456456
+7 (812) 4564564
+7 (812) 4564566
+7 (812) 4564645
+7 (812) 4564646
+7 (812) 4564654
+7 (812) 4566464
+7 (812) 4646463
+7 (812) 4654564
+7 (812) 4654565
+7 (812) 2524381
+7 (812) 4483902</f>
        <v>#NAME?</v>
      </c>
      <c r="F4909" s="5" t="s">
        <v>39916</v>
      </c>
      <c r="G4909" s="5" t="s">
        <v>39917</v>
      </c>
      <c r="H4909" s="26">
        <v>22</v>
      </c>
      <c r="I4909" s="5" t="s">
        <v>39918</v>
      </c>
      <c r="J4909" s="5" t="s">
        <v>25429</v>
      </c>
      <c r="K4909" s="5" t="s">
        <v>344</v>
      </c>
      <c r="L4909" s="5" t="s">
        <v>39919</v>
      </c>
      <c r="M4909" s="27"/>
      <c r="N4909" s="5" t="s">
        <v>56853</v>
      </c>
      <c r="O4909" s="5" t="str">
        <v>4719016624</v>
      </c>
      <c r="P4909" s="27">
        <v>20000</v>
      </c>
      <c r="Q4909" s="5" t="s">
        <v>56854</v>
      </c>
      <c r="R4909" s="5"/>
      <c r="S4909" s="5" t="s">
        <v>56855</v>
      </c>
      <c r="T4909" s="28">
        <v>81091000</v>
      </c>
      <c r="U4909" s="28">
        <v>16855000</v>
      </c>
      <c r="V4909" s="28">
        <v>702286000</v>
      </c>
      <c r="W4909" s="28">
        <v>128718000</v>
      </c>
      <c r="X4909" s="28">
        <v>216039000</v>
      </c>
      <c r="Y4909" s="28">
        <v>1922959000</v>
      </c>
      <c r="Z4909" s="28">
        <v>788480000</v>
      </c>
      <c r="AA4909" s="28">
        <v>50855000</v>
      </c>
      <c r="AB4909" s="28">
        <v>50000000</v>
      </c>
      <c r="AC4909" s="28">
        <v>1014785000</v>
      </c>
      <c r="AD4909" s="28">
        <v>788500000</v>
      </c>
      <c r="AE4909" s="28">
        <v>5314887000</v>
      </c>
      <c r="AF4909" s="28">
        <v>156012000</v>
      </c>
      <c r="AG4909" s="11"/>
    </row>
    <row r="4910">
      <c r="A4910" s="7" t="s">
        <v>6537</v>
      </c>
      <c r="B4910" s="5" t="s">
        <v>14494</v>
      </c>
      <c r="C4910" s="5" t="s">
        <v>17787</v>
      </c>
      <c r="D4910" s="5" t="str">
        <v>744710013743</v>
      </c>
      <c r="E4910" s="0" t="e">
        <f>+7 (3512) 102202
+7 (495) 7347227
+7 (922) 2322888
+7 (929) 2075538</f>
        <v>#NAME?</v>
      </c>
      <c r="F4910" s="5"/>
      <c r="G4910" s="5"/>
      <c r="H4910" s="26">
        <v>7.5</v>
      </c>
      <c r="I4910" s="5" t="s">
        <v>39920</v>
      </c>
      <c r="J4910" s="5" t="s">
        <v>25332</v>
      </c>
      <c r="K4910" s="5" t="s">
        <v>355</v>
      </c>
      <c r="L4910" s="5" t="s">
        <v>39921</v>
      </c>
      <c r="M4910" s="27">
        <v>422300</v>
      </c>
      <c r="N4910" s="5"/>
      <c r="O4910" s="5" t="str">
        <v>5074053542</v>
      </c>
      <c r="P4910" s="27">
        <v>20000000</v>
      </c>
      <c r="Q4910" s="5" t="s">
        <v>49009</v>
      </c>
      <c r="R4910" s="5"/>
      <c r="S4910" s="5" t="s">
        <v>49066</v>
      </c>
      <c r="T4910" s="28">
        <v>4103081000</v>
      </c>
      <c r="U4910" s="28"/>
      <c r="V4910" s="28">
        <v>18155718000</v>
      </c>
      <c r="W4910" s="28"/>
      <c r="X4910" s="28">
        <v>17003000</v>
      </c>
      <c r="Y4910" s="28">
        <v>48086473000</v>
      </c>
      <c r="Z4910" s="28">
        <v>1062401000</v>
      </c>
      <c r="AA4910" s="28"/>
      <c r="AB4910" s="28">
        <v>14569311000</v>
      </c>
      <c r="AC4910" s="28">
        <v>42924701000</v>
      </c>
      <c r="AD4910" s="28">
        <v>1082401000</v>
      </c>
      <c r="AE4910" s="28">
        <v>207753923000</v>
      </c>
      <c r="AF4910" s="28">
        <v>2800200000</v>
      </c>
      <c r="AG4910" s="11"/>
    </row>
    <row r="4911">
      <c r="A4911" s="7" t="s">
        <v>6538</v>
      </c>
      <c r="B4911" s="5" t="s">
        <v>14495</v>
      </c>
      <c r="C4911" s="5" t="s">
        <v>22222</v>
      </c>
      <c r="D4911" s="5" t="str">
        <v>666101922215</v>
      </c>
      <c r="E4911" s="0" t="e">
        <f>+7 (343) 2679034
+7 (343) 2885500</f>
        <v>#NAME?</v>
      </c>
      <c r="F4911" s="5" t="s">
        <v>39922</v>
      </c>
      <c r="G4911" s="5" t="s">
        <v>39923</v>
      </c>
      <c r="H4911" s="26">
        <v>21</v>
      </c>
      <c r="I4911" s="5" t="s">
        <v>39924</v>
      </c>
      <c r="J4911" s="5" t="s">
        <v>25612</v>
      </c>
      <c r="K4911" s="5" t="s">
        <v>344</v>
      </c>
      <c r="L4911" s="5" t="s">
        <v>39925</v>
      </c>
      <c r="M4911" s="27"/>
      <c r="N4911" s="5"/>
      <c r="O4911" s="5" t="str">
        <v>6672135578</v>
      </c>
      <c r="P4911" s="27">
        <v>1600000</v>
      </c>
      <c r="Q4911" s="5" t="s">
        <v>49561</v>
      </c>
      <c r="R4911" s="5"/>
      <c r="S4911" s="5" t="s">
        <v>54827</v>
      </c>
      <c r="T4911" s="28">
        <v>20761000</v>
      </c>
      <c r="U4911" s="28"/>
      <c r="V4911" s="28">
        <v>834659000</v>
      </c>
      <c r="W4911" s="28">
        <v>352825000</v>
      </c>
      <c r="X4911" s="28">
        <v>25651000</v>
      </c>
      <c r="Y4911" s="28">
        <v>1233936000</v>
      </c>
      <c r="Z4911" s="28">
        <v>163566000</v>
      </c>
      <c r="AA4911" s="28"/>
      <c r="AB4911" s="28"/>
      <c r="AC4911" s="28">
        <v>1068770000</v>
      </c>
      <c r="AD4911" s="28">
        <v>165166000</v>
      </c>
      <c r="AE4911" s="28">
        <v>7493852000</v>
      </c>
      <c r="AF4911" s="28">
        <v>373143000</v>
      </c>
      <c r="AG4911" s="11"/>
    </row>
    <row r="4912">
      <c r="A4912" s="7" t="s">
        <v>6539</v>
      </c>
      <c r="B4912" s="5" t="s">
        <v>14496</v>
      </c>
      <c r="C4912" s="5" t="s">
        <v>22223</v>
      </c>
      <c r="D4912" s="5" t="str">
        <v>666800120567</v>
      </c>
      <c r="E4912" s="0" t="e">
        <f>+7 (343) 3567231
+7 (3435) 436404
+7 (343) 2051141
+7 (343) 2051406
+7 (343) 2323260
+7 (3435) 437504</f>
        <v>#NAME?</v>
      </c>
      <c r="F4912" s="5"/>
      <c r="G4912" s="5"/>
      <c r="H4912" s="26">
        <v>16.5</v>
      </c>
      <c r="I4912" s="5" t="s">
        <v>39926</v>
      </c>
      <c r="J4912" s="5" t="s">
        <v>31043</v>
      </c>
      <c r="K4912" s="5" t="s">
        <v>344</v>
      </c>
      <c r="L4912" s="5" t="s">
        <v>39927</v>
      </c>
      <c r="M4912" s="27"/>
      <c r="N4912" s="5" t="s">
        <v>56856</v>
      </c>
      <c r="O4912" s="5" t="str">
        <v>6623035556</v>
      </c>
      <c r="P4912" s="27">
        <v>5000000</v>
      </c>
      <c r="Q4912" s="5" t="s">
        <v>49059</v>
      </c>
      <c r="R4912" s="5"/>
      <c r="S4912" s="5" t="s">
        <v>49029</v>
      </c>
      <c r="T4912" s="28">
        <v>122383000</v>
      </c>
      <c r="U4912" s="28"/>
      <c r="V4912" s="28">
        <v>692833000</v>
      </c>
      <c r="W4912" s="28"/>
      <c r="X4912" s="28">
        <v>17980000</v>
      </c>
      <c r="Y4912" s="28">
        <v>1284090000</v>
      </c>
      <c r="Z4912" s="28">
        <v>495656000</v>
      </c>
      <c r="AA4912" s="28">
        <v>544668000</v>
      </c>
      <c r="AB4912" s="28">
        <v>10000</v>
      </c>
      <c r="AC4912" s="28">
        <v>230967000</v>
      </c>
      <c r="AD4912" s="28">
        <v>500656000</v>
      </c>
      <c r="AE4912" s="28">
        <v>3202971000</v>
      </c>
      <c r="AF4912" s="28">
        <v>85380000</v>
      </c>
      <c r="AG4912" s="11"/>
    </row>
    <row r="4913">
      <c r="A4913" s="7" t="s">
        <v>6540</v>
      </c>
      <c r="B4913" s="5" t="s">
        <v>14497</v>
      </c>
      <c r="C4913" s="5" t="s">
        <v>22224</v>
      </c>
      <c r="D4913" s="5" t="str">
        <v>165805730881</v>
      </c>
      <c r="E4913" s="0" t="e">
        <f>+7 (843) 2732222
+7 (843) 2732706
+7 (3412) 654748
+7 (843) 2958888
+7 (8432) 35694
+7 (8432) 35695
+7 (8432) 219520
+7 (8432) 219521
+7 (84342) 52304
+7 (84374) 33912
+7 (855) 2400547
+7 (855) 2491991
+7 (917) 2350576
+7 (917) 2352269
+7 (917) 2356998</f>
        <v>#NAME?</v>
      </c>
      <c r="F4913" s="5" t="s">
        <v>39928</v>
      </c>
      <c r="G4913" s="5" t="s">
        <v>39929</v>
      </c>
      <c r="H4913" s="26">
        <v>19.5</v>
      </c>
      <c r="I4913" s="5" t="s">
        <v>39930</v>
      </c>
      <c r="J4913" s="5" t="s">
        <v>25842</v>
      </c>
      <c r="K4913" s="5" t="s">
        <v>344</v>
      </c>
      <c r="L4913" s="5" t="s">
        <v>39931</v>
      </c>
      <c r="M4913" s="27">
        <v>41526032</v>
      </c>
      <c r="N4913" s="5"/>
      <c r="O4913" s="5" t="str">
        <v>1660261635</v>
      </c>
      <c r="P4913" s="27">
        <v>60000</v>
      </c>
      <c r="Q4913" s="5" t="s">
        <v>49009</v>
      </c>
      <c r="R4913" s="5"/>
      <c r="S4913" s="5" t="s">
        <v>49045</v>
      </c>
      <c r="T4913" s="28">
        <v>76305000</v>
      </c>
      <c r="U4913" s="28"/>
      <c r="V4913" s="28">
        <v>593774000</v>
      </c>
      <c r="W4913" s="28">
        <v>65276000</v>
      </c>
      <c r="X4913" s="28">
        <v>8687000</v>
      </c>
      <c r="Y4913" s="28">
        <v>1523703000</v>
      </c>
      <c r="Z4913" s="28">
        <v>510676000</v>
      </c>
      <c r="AA4913" s="28"/>
      <c r="AB4913" s="28">
        <v>290721000</v>
      </c>
      <c r="AC4913" s="28">
        <v>953661000</v>
      </c>
      <c r="AD4913" s="28">
        <v>510739000</v>
      </c>
      <c r="AE4913" s="28">
        <v>3670641000</v>
      </c>
      <c r="AF4913" s="28">
        <v>194363000</v>
      </c>
      <c r="AG4913" s="11"/>
    </row>
    <row r="4914">
      <c r="A4914" s="7" t="s">
        <v>6541</v>
      </c>
      <c r="B4914" s="5" t="s">
        <v>14498</v>
      </c>
      <c r="C4914" s="5" t="s">
        <v>22225</v>
      </c>
      <c r="D4914" s="5" t="str">
        <v>526200743681</v>
      </c>
      <c r="E4914" s="0" t="e">
        <f>+7 (83146) 18990
+7 (83146) 18556
+7 (83146) 18865
+7 (83146) 18980
+7 (83146) 18981
+7 (83146) 18982
+7 (905) 6636566
+7 (926) 2464847
+7 (985) 9227551</f>
        <v>#NAME?</v>
      </c>
      <c r="F4914" s="5" t="s">
        <v>39932</v>
      </c>
      <c r="G4914" s="5" t="s">
        <v>39933</v>
      </c>
      <c r="H4914" s="26">
        <v>28.5</v>
      </c>
      <c r="I4914" s="5"/>
      <c r="J4914" s="5" t="s">
        <v>39934</v>
      </c>
      <c r="K4914" s="5" t="s">
        <v>344</v>
      </c>
      <c r="L4914" s="5" t="s">
        <v>39935</v>
      </c>
      <c r="M4914" s="27"/>
      <c r="N4914" s="5" t="s">
        <v>56857</v>
      </c>
      <c r="O4914" s="5" t="str">
        <v>5262032016</v>
      </c>
      <c r="P4914" s="27">
        <v>11000000</v>
      </c>
      <c r="Q4914" s="5" t="s">
        <v>49009</v>
      </c>
      <c r="R4914" s="5"/>
      <c r="S4914" s="5" t="s">
        <v>56072</v>
      </c>
      <c r="T4914" s="28">
        <v>373161000</v>
      </c>
      <c r="U4914" s="28">
        <v>9000</v>
      </c>
      <c r="V4914" s="28">
        <v>373756000</v>
      </c>
      <c r="W4914" s="28"/>
      <c r="X4914" s="28">
        <v>41077000</v>
      </c>
      <c r="Y4914" s="28">
        <v>1472565000</v>
      </c>
      <c r="Z4914" s="28">
        <v>1145071000</v>
      </c>
      <c r="AA4914" s="28"/>
      <c r="AB4914" s="28">
        <v>61000</v>
      </c>
      <c r="AC4914" s="28">
        <v>297051000</v>
      </c>
      <c r="AD4914" s="28">
        <v>1173604000</v>
      </c>
      <c r="AE4914" s="28">
        <v>3054471000</v>
      </c>
      <c r="AF4914" s="28">
        <v>405416000</v>
      </c>
      <c r="AG4914" s="11"/>
    </row>
    <row r="4915">
      <c r="A4915" s="7" t="s">
        <v>6542</v>
      </c>
      <c r="B4915" s="5" t="s">
        <v>14499</v>
      </c>
      <c r="C4915" s="5" t="s">
        <v>22226</v>
      </c>
      <c r="D4915" s="5" t="str">
        <v>434521184643</v>
      </c>
      <c r="E4915" s="0" t="e">
        <f>+7 (8332) 634344</f>
        <v>#NAME?</v>
      </c>
      <c r="F4915" s="5" t="s">
        <v>39936</v>
      </c>
      <c r="G4915" s="5"/>
      <c r="H4915" s="26">
        <v>11</v>
      </c>
      <c r="I4915" s="5" t="s">
        <v>39937</v>
      </c>
      <c r="J4915" s="5" t="s">
        <v>678</v>
      </c>
      <c r="K4915" s="5" t="s">
        <v>344</v>
      </c>
      <c r="L4915" s="5" t="s">
        <v>39938</v>
      </c>
      <c r="M4915" s="27"/>
      <c r="N4915" s="5"/>
      <c r="O4915" s="5" t="str">
        <v>4345325920</v>
      </c>
      <c r="P4915" s="27">
        <v>100000</v>
      </c>
      <c r="Q4915" s="5"/>
      <c r="R4915" s="5"/>
      <c r="S4915" s="5" t="s">
        <v>49029</v>
      </c>
      <c r="T4915" s="28"/>
      <c r="U4915" s="28"/>
      <c r="V4915" s="28">
        <v>390030000</v>
      </c>
      <c r="W4915" s="28"/>
      <c r="X4915" s="28">
        <v>199436000</v>
      </c>
      <c r="Y4915" s="28">
        <v>633936000</v>
      </c>
      <c r="Z4915" s="28">
        <v>50751000</v>
      </c>
      <c r="AA4915" s="28"/>
      <c r="AB4915" s="28"/>
      <c r="AC4915" s="28">
        <v>583085000</v>
      </c>
      <c r="AD4915" s="28">
        <v>50851000</v>
      </c>
      <c r="AE4915" s="28">
        <v>7158140000</v>
      </c>
      <c r="AF4915" s="28">
        <v>23532000</v>
      </c>
      <c r="AG4915" s="11"/>
    </row>
    <row r="4916">
      <c r="A4916" s="7" t="s">
        <v>6543</v>
      </c>
      <c r="B4916" s="5" t="s">
        <v>14500</v>
      </c>
      <c r="C4916" s="5" t="s">
        <v>22227</v>
      </c>
      <c r="D4916" s="5" t="str">
        <v>772157599598</v>
      </c>
      <c r="E4916" s="0" t="e">
        <f>+7 (495) 3747434</f>
        <v>#NAME?</v>
      </c>
      <c r="F4916" s="5" t="s">
        <v>39939</v>
      </c>
      <c r="G4916" s="5"/>
      <c r="H4916" s="26">
        <v>9.5</v>
      </c>
      <c r="I4916" s="5" t="s">
        <v>39940</v>
      </c>
      <c r="J4916" s="5" t="s">
        <v>25612</v>
      </c>
      <c r="K4916" s="5" t="s">
        <v>344</v>
      </c>
      <c r="L4916" s="5" t="s">
        <v>39941</v>
      </c>
      <c r="M4916" s="27"/>
      <c r="N4916" s="5"/>
      <c r="O4916" s="5" t="str">
        <v>7729754778</v>
      </c>
      <c r="P4916" s="27">
        <v>3000000</v>
      </c>
      <c r="Q4916" s="5" t="s">
        <v>56858</v>
      </c>
      <c r="R4916" s="5"/>
      <c r="S4916" s="5" t="s">
        <v>56859</v>
      </c>
      <c r="T4916" s="28">
        <v>899000</v>
      </c>
      <c r="U4916" s="28"/>
      <c r="V4916" s="28">
        <v>3299202000</v>
      </c>
      <c r="W4916" s="28"/>
      <c r="X4916" s="28">
        <v>897135000</v>
      </c>
      <c r="Y4916" s="28">
        <v>4206866000</v>
      </c>
      <c r="Z4916" s="28">
        <v>2965543000</v>
      </c>
      <c r="AA4916" s="28">
        <v>72783000</v>
      </c>
      <c r="AB4916" s="28">
        <v>43250000</v>
      </c>
      <c r="AC4916" s="28">
        <v>1136603000</v>
      </c>
      <c r="AD4916" s="28">
        <v>2968543000</v>
      </c>
      <c r="AE4916" s="28">
        <v>14755172000</v>
      </c>
      <c r="AF4916" s="28">
        <v>2952143000</v>
      </c>
      <c r="AG4916" s="11"/>
    </row>
    <row r="4917">
      <c r="A4917" s="7" t="s">
        <v>6544</v>
      </c>
      <c r="B4917" s="5" t="s">
        <v>14501</v>
      </c>
      <c r="C4917" s="5" t="s">
        <v>22228</v>
      </c>
      <c r="D4917" s="5" t="str">
        <v>504304277735</v>
      </c>
      <c r="E4917" s="0" t="e">
        <f>+7 (495) 2663646
+7 (495) 6231382
+7 (495) 6657575
+7 (916) 2177440
+7 (985) 2390201</f>
        <v>#NAME?</v>
      </c>
      <c r="F4917" s="5"/>
      <c r="G4917" s="5"/>
      <c r="H4917" s="26">
        <v>14.5</v>
      </c>
      <c r="I4917" s="5" t="s">
        <v>39942</v>
      </c>
      <c r="J4917" s="5" t="s">
        <v>34362</v>
      </c>
      <c r="K4917" s="5" t="s">
        <v>355</v>
      </c>
      <c r="L4917" s="5" t="s">
        <v>39943</v>
      </c>
      <c r="M4917" s="27"/>
      <c r="N4917" s="5" t="s">
        <v>56860</v>
      </c>
      <c r="O4917" s="5" t="str">
        <v>7721624833</v>
      </c>
      <c r="P4917" s="27">
        <v>300000</v>
      </c>
      <c r="Q4917" s="5" t="s">
        <v>56861</v>
      </c>
      <c r="R4917" s="5"/>
      <c r="S4917" s="5" t="s">
        <v>56862</v>
      </c>
      <c r="T4917" s="28">
        <v>743099000</v>
      </c>
      <c r="U4917" s="28">
        <v>30000000</v>
      </c>
      <c r="V4917" s="28">
        <v>731549000</v>
      </c>
      <c r="W4917" s="28">
        <v>51659000</v>
      </c>
      <c r="X4917" s="28">
        <v>1712000</v>
      </c>
      <c r="Y4917" s="28">
        <v>5196986000</v>
      </c>
      <c r="Z4917" s="28">
        <v>477729000</v>
      </c>
      <c r="AA4917" s="28">
        <v>484339000</v>
      </c>
      <c r="AB4917" s="28">
        <v>1545040000</v>
      </c>
      <c r="AC4917" s="28">
        <v>4117398000</v>
      </c>
      <c r="AD4917" s="28">
        <v>558029000</v>
      </c>
      <c r="AE4917" s="28">
        <v>13865688000</v>
      </c>
      <c r="AF4917" s="28">
        <v>12770000</v>
      </c>
      <c r="AG4917" s="11"/>
    </row>
    <row r="4918">
      <c r="A4918" s="7" t="s">
        <v>6545</v>
      </c>
      <c r="B4918" s="5" t="s">
        <v>14502</v>
      </c>
      <c r="C4918" s="5" t="s">
        <v>22229</v>
      </c>
      <c r="D4918" s="5" t="str">
        <v>673001056309</v>
      </c>
      <c r="E4918" s="0" t="e">
        <f>+7 (910) 7891835
+7 (47157) 66145
+7 (47157) 66640
+7 (47157) 66677
+7 (48141) 41042
+7 (48141) 41692
+7 (48141) 41959
+7 (495) 2259230
+7 (800) 7009807</f>
        <v>#NAME?</v>
      </c>
      <c r="F4918" s="5" t="s">
        <v>39944</v>
      </c>
      <c r="G4918" s="5"/>
      <c r="H4918" s="26">
        <v>20</v>
      </c>
      <c r="I4918" s="5" t="s">
        <v>39945</v>
      </c>
      <c r="J4918" s="5" t="s">
        <v>27890</v>
      </c>
      <c r="K4918" s="5" t="s">
        <v>344</v>
      </c>
      <c r="L4918" s="5"/>
      <c r="M4918" s="27">
        <v>3123819</v>
      </c>
      <c r="N4918" s="5" t="s">
        <v>56863</v>
      </c>
      <c r="O4918" s="5" t="str">
        <v>7728276053</v>
      </c>
      <c r="P4918" s="27">
        <v>62837513</v>
      </c>
      <c r="Q4918" s="5" t="s">
        <v>49009</v>
      </c>
      <c r="R4918" s="5"/>
      <c r="S4918" s="5" t="s">
        <v>49028</v>
      </c>
      <c r="T4918" s="28">
        <v>321739000</v>
      </c>
      <c r="U4918" s="28">
        <v>36530000</v>
      </c>
      <c r="V4918" s="28">
        <v>882312000</v>
      </c>
      <c r="W4918" s="28">
        <v>7982000</v>
      </c>
      <c r="X4918" s="28">
        <v>499000</v>
      </c>
      <c r="Y4918" s="28">
        <v>2477822000</v>
      </c>
      <c r="Z4918" s="28">
        <v>584008000</v>
      </c>
      <c r="AA4918" s="28">
        <v>532000000</v>
      </c>
      <c r="AB4918" s="28">
        <v>348715000</v>
      </c>
      <c r="AC4918" s="28">
        <v>1262919000</v>
      </c>
      <c r="AD4918" s="28">
        <v>646845000</v>
      </c>
      <c r="AE4918" s="28">
        <v>6161043000</v>
      </c>
      <c r="AF4918" s="28">
        <v>125543000</v>
      </c>
      <c r="AG4918" s="11"/>
    </row>
    <row r="4919">
      <c r="A4919" s="7" t="s">
        <v>6546</v>
      </c>
      <c r="B4919" s="5" t="s">
        <v>14503</v>
      </c>
      <c r="C4919" s="5" t="s">
        <v>22230</v>
      </c>
      <c r="D4919" s="5" t="str">
        <v>581600679704</v>
      </c>
      <c r="E4919" s="0" t="e">
        <f>+7 (495) 6406072
+7 (812) 4413831</f>
        <v>#NAME?</v>
      </c>
      <c r="F4919" s="5" t="s">
        <v>39946</v>
      </c>
      <c r="G4919" s="5" t="s">
        <v>39947</v>
      </c>
      <c r="H4919" s="26">
        <v>12</v>
      </c>
      <c r="I4919" s="5" t="s">
        <v>39948</v>
      </c>
      <c r="J4919" s="5" t="s">
        <v>26770</v>
      </c>
      <c r="K4919" s="5" t="s">
        <v>344</v>
      </c>
      <c r="L4919" s="5" t="s">
        <v>39949</v>
      </c>
      <c r="M4919" s="27"/>
      <c r="N4919" s="5"/>
      <c r="O4919" s="5" t="str">
        <v>7805546807</v>
      </c>
      <c r="P4919" s="27">
        <v>10000</v>
      </c>
      <c r="Q4919" s="5"/>
      <c r="R4919" s="5"/>
      <c r="S4919" s="5" t="s">
        <v>49110</v>
      </c>
      <c r="T4919" s="28">
        <v>34288000</v>
      </c>
      <c r="U4919" s="28">
        <v>8000</v>
      </c>
      <c r="V4919" s="28">
        <v>1017436000</v>
      </c>
      <c r="W4919" s="28"/>
      <c r="X4919" s="28">
        <v>9718000</v>
      </c>
      <c r="Y4919" s="28">
        <v>2003134000</v>
      </c>
      <c r="Z4919" s="28">
        <v>1125772000</v>
      </c>
      <c r="AA4919" s="28">
        <v>164176000</v>
      </c>
      <c r="AB4919" s="28">
        <v>324858000</v>
      </c>
      <c r="AC4919" s="28">
        <v>707129000</v>
      </c>
      <c r="AD4919" s="28">
        <v>1125782000</v>
      </c>
      <c r="AE4919" s="28">
        <v>5253992000</v>
      </c>
      <c r="AF4919" s="28">
        <v>567343000</v>
      </c>
      <c r="AG4919" s="11"/>
    </row>
    <row r="4920">
      <c r="A4920" s="7" t="s">
        <v>6547</v>
      </c>
      <c r="B4920" s="5" t="s">
        <v>14504</v>
      </c>
      <c r="C4920" s="5" t="s">
        <v>22231</v>
      </c>
      <c r="D4920" s="5" t="str">
        <v>772629060080</v>
      </c>
      <c r="E4920" s="0" t="e">
        <f>+7 (495) 1062020
+7 (495) 2560088
+7 (495) 5189119
+7 (496) 7637375
+7 (800) 1005017
+7 (800) 2000161
+7 (812) 3850150</f>
        <v>#NAME?</v>
      </c>
      <c r="F4920" s="5" t="s">
        <v>39950</v>
      </c>
      <c r="G4920" s="5" t="s">
        <v>39951</v>
      </c>
      <c r="H4920" s="26">
        <v>23</v>
      </c>
      <c r="I4920" s="5" t="s">
        <v>39952</v>
      </c>
      <c r="J4920" s="5" t="s">
        <v>37683</v>
      </c>
      <c r="K4920" s="5" t="s">
        <v>344</v>
      </c>
      <c r="L4920" s="5" t="s">
        <v>26218</v>
      </c>
      <c r="M4920" s="27"/>
      <c r="N4920" s="5" t="s">
        <v>56864</v>
      </c>
      <c r="O4920" s="5" t="str">
        <v>5036041610</v>
      </c>
      <c r="P4920" s="27">
        <v>20000</v>
      </c>
      <c r="Q4920" s="5" t="s">
        <v>49009</v>
      </c>
      <c r="R4920" s="5"/>
      <c r="S4920" s="5" t="s">
        <v>49045</v>
      </c>
      <c r="T4920" s="28">
        <v>472523000</v>
      </c>
      <c r="U4920" s="28"/>
      <c r="V4920" s="28">
        <v>321890000</v>
      </c>
      <c r="W4920" s="28"/>
      <c r="X4920" s="28">
        <v>21728000</v>
      </c>
      <c r="Y4920" s="28">
        <v>1957635000</v>
      </c>
      <c r="Z4920" s="28">
        <v>307638000</v>
      </c>
      <c r="AA4920" s="28">
        <v>109367000</v>
      </c>
      <c r="AB4920" s="28">
        <v>332000</v>
      </c>
      <c r="AC4920" s="28">
        <v>1188783000</v>
      </c>
      <c r="AD4920" s="28">
        <v>307658000</v>
      </c>
      <c r="AE4920" s="28">
        <v>4978898000</v>
      </c>
      <c r="AF4920" s="28">
        <v>110414000</v>
      </c>
      <c r="AG4920" s="11"/>
    </row>
    <row r="4921">
      <c r="A4921" s="7" t="s">
        <v>6548</v>
      </c>
      <c r="B4921" s="5" t="s">
        <v>14505</v>
      </c>
      <c r="C4921" s="5" t="s">
        <v>22232</v>
      </c>
      <c r="D4921" s="5"/>
      <c r="E4921" s="0" t="e">
        <f>+7 (8352) 304589
+7 (8352) 307431
+7 (8352) 307446</f>
        <v>#NAME?</v>
      </c>
      <c r="F4921" s="5" t="s">
        <v>39953</v>
      </c>
      <c r="G4921" s="5" t="s">
        <v>39954</v>
      </c>
      <c r="H4921" s="26">
        <v>3.5</v>
      </c>
      <c r="I4921" s="5" t="s">
        <v>39955</v>
      </c>
      <c r="J4921" s="5" t="s">
        <v>27822</v>
      </c>
      <c r="K4921" s="5" t="s">
        <v>344</v>
      </c>
      <c r="L4921" s="5" t="s">
        <v>39956</v>
      </c>
      <c r="M4921" s="27"/>
      <c r="N4921" s="5"/>
      <c r="O4921" s="5" t="str">
        <v>2130211126</v>
      </c>
      <c r="P4921" s="27">
        <v>1696456156</v>
      </c>
      <c r="Q4921" s="5"/>
      <c r="R4921" s="5"/>
      <c r="S4921" s="5" t="s">
        <v>49029</v>
      </c>
      <c r="T4921" s="28">
        <v>2263007000</v>
      </c>
      <c r="U4921" s="28"/>
      <c r="V4921" s="28">
        <v>868551000</v>
      </c>
      <c r="W4921" s="28"/>
      <c r="X4921" s="28">
        <v>7151000</v>
      </c>
      <c r="Y4921" s="28">
        <v>4266087000</v>
      </c>
      <c r="Z4921" s="28">
        <v>481323000</v>
      </c>
      <c r="AA4921" s="28"/>
      <c r="AB4921" s="28"/>
      <c r="AC4921" s="28">
        <v>1738970000</v>
      </c>
      <c r="AD4921" s="28">
        <v>2177779000</v>
      </c>
      <c r="AE4921" s="28">
        <v>7611141000</v>
      </c>
      <c r="AF4921" s="28">
        <v>100369000</v>
      </c>
      <c r="AG4921" s="11"/>
    </row>
    <row r="4922">
      <c r="A4922" s="7" t="s">
        <v>6549</v>
      </c>
      <c r="B4922" s="5" t="s">
        <v>14506</v>
      </c>
      <c r="C4922" s="5" t="s">
        <v>22233</v>
      </c>
      <c r="D4922" s="5" t="str">
        <v>771506841003</v>
      </c>
      <c r="E4922" s="0" t="e">
        <f>+7 (495) 6688852
+7 (915) 2213024
+7 (495) 6413131
+7 (495) 6600300
+7 (499) 2721632
+7 (499) 9678635</f>
        <v>#NAME?</v>
      </c>
      <c r="F4922" s="5" t="s">
        <v>39957</v>
      </c>
      <c r="G4922" s="5" t="s">
        <v>39958</v>
      </c>
      <c r="H4922" s="26">
        <v>6.5</v>
      </c>
      <c r="I4922" s="5" t="s">
        <v>39959</v>
      </c>
      <c r="J4922" s="5" t="s">
        <v>26918</v>
      </c>
      <c r="K4922" s="5" t="s">
        <v>344</v>
      </c>
      <c r="L4922" s="5" t="s">
        <v>39960</v>
      </c>
      <c r="M4922" s="27"/>
      <c r="N4922" s="5" t="s">
        <v>56866</v>
      </c>
      <c r="O4922" s="5" t="str">
        <v>9718025424</v>
      </c>
      <c r="P4922" s="27">
        <v>200000</v>
      </c>
      <c r="Q4922" s="5"/>
      <c r="R4922" s="5"/>
      <c r="S4922" s="5" t="s">
        <v>50104</v>
      </c>
      <c r="T4922" s="28">
        <v>34101000</v>
      </c>
      <c r="U4922" s="28"/>
      <c r="V4922" s="28">
        <v>304084000</v>
      </c>
      <c r="W4922" s="28"/>
      <c r="X4922" s="28">
        <v>123595000</v>
      </c>
      <c r="Y4922" s="28">
        <v>1327079000</v>
      </c>
      <c r="Z4922" s="28">
        <v>151556000</v>
      </c>
      <c r="AA4922" s="28">
        <v>50000000</v>
      </c>
      <c r="AB4922" s="28">
        <v>37628000</v>
      </c>
      <c r="AC4922" s="28">
        <v>1078289000</v>
      </c>
      <c r="AD4922" s="28">
        <v>151756000</v>
      </c>
      <c r="AE4922" s="28">
        <v>3140015000</v>
      </c>
      <c r="AF4922" s="28">
        <v>77221000</v>
      </c>
      <c r="AG4922" s="11"/>
    </row>
    <row r="4923">
      <c r="A4923" s="7" t="s">
        <v>6550</v>
      </c>
      <c r="B4923" s="5" t="s">
        <v>14507</v>
      </c>
      <c r="C4923" s="5" t="s">
        <v>22234</v>
      </c>
      <c r="D4923" s="5" t="str">
        <v>590417659380</v>
      </c>
      <c r="E4923" s="0" t="e">
        <f>+7 (3422) 181440
+7 (3422) 181441
+7 (3422) 508707
+7 (800) 7002191</f>
        <v>#NAME?</v>
      </c>
      <c r="F4923" s="5" t="s">
        <v>39961</v>
      </c>
      <c r="G4923" s="5" t="s">
        <v>39962</v>
      </c>
      <c r="H4923" s="26">
        <v>19</v>
      </c>
      <c r="I4923" s="5" t="s">
        <v>39963</v>
      </c>
      <c r="J4923" s="5" t="s">
        <v>26173</v>
      </c>
      <c r="K4923" s="5" t="s">
        <v>344</v>
      </c>
      <c r="L4923" s="5" t="s">
        <v>39964</v>
      </c>
      <c r="M4923" s="27"/>
      <c r="N4923" s="5" t="s">
        <v>56867</v>
      </c>
      <c r="O4923" s="5" t="str">
        <v>5904112229</v>
      </c>
      <c r="P4923" s="27">
        <v>500308</v>
      </c>
      <c r="Q4923" s="5" t="s">
        <v>56868</v>
      </c>
      <c r="R4923" s="5"/>
      <c r="S4923" s="5" t="s">
        <v>56869</v>
      </c>
      <c r="T4923" s="28">
        <v>162577000</v>
      </c>
      <c r="U4923" s="28">
        <v>32400000</v>
      </c>
      <c r="V4923" s="28">
        <v>1237031000</v>
      </c>
      <c r="W4923" s="28"/>
      <c r="X4923" s="28">
        <v>599308000</v>
      </c>
      <c r="Y4923" s="28">
        <v>3005413000</v>
      </c>
      <c r="Z4923" s="28">
        <v>833936000</v>
      </c>
      <c r="AA4923" s="28"/>
      <c r="AB4923" s="28">
        <v>200000000</v>
      </c>
      <c r="AC4923" s="28">
        <v>2163701000</v>
      </c>
      <c r="AD4923" s="28">
        <v>834436000</v>
      </c>
      <c r="AE4923" s="28">
        <v>3617900000</v>
      </c>
      <c r="AF4923" s="28">
        <v>337013000</v>
      </c>
      <c r="AG4923" s="11"/>
    </row>
    <row r="4924">
      <c r="A4924" s="7" t="s">
        <v>6551</v>
      </c>
      <c r="B4924" s="5" t="s">
        <v>14508</v>
      </c>
      <c r="C4924" s="5" t="s">
        <v>22235</v>
      </c>
      <c r="D4924" s="5" t="str">
        <v>780219841607</v>
      </c>
      <c r="E4924" s="0" t="e">
        <f>+7 (922) 378922
+7 (926) 6296757
+7 (495) 6402528
+7 (800) 5551797
+7 (800) 5559774</f>
        <v>#NAME?</v>
      </c>
      <c r="F4924" s="5" t="s">
        <v>39965</v>
      </c>
      <c r="G4924" s="5" t="s">
        <v>39966</v>
      </c>
      <c r="H4924" s="26">
        <v>6.5</v>
      </c>
      <c r="I4924" s="5" t="s">
        <v>39967</v>
      </c>
      <c r="J4924" s="5" t="s">
        <v>25429</v>
      </c>
      <c r="K4924" s="5" t="s">
        <v>344</v>
      </c>
      <c r="L4924" s="5"/>
      <c r="M4924" s="27">
        <v>6292391</v>
      </c>
      <c r="N4924" s="5" t="s">
        <v>56870</v>
      </c>
      <c r="O4924" s="5" t="str">
        <v>7724365841</v>
      </c>
      <c r="P4924" s="27">
        <v>515040000</v>
      </c>
      <c r="Q4924" s="5" t="s">
        <v>56871</v>
      </c>
      <c r="R4924" s="5"/>
      <c r="S4924" s="5" t="s">
        <v>49956</v>
      </c>
      <c r="T4924" s="28">
        <v>343273000</v>
      </c>
      <c r="U4924" s="28">
        <v>3217473000</v>
      </c>
      <c r="V4924" s="28">
        <v>7040128000</v>
      </c>
      <c r="W4924" s="28">
        <v>1792139000</v>
      </c>
      <c r="X4924" s="28">
        <v>53673000</v>
      </c>
      <c r="Y4924" s="28">
        <v>12740811000</v>
      </c>
      <c r="Z4924" s="28">
        <v>2542625000</v>
      </c>
      <c r="AA4924" s="28">
        <v>4016227000</v>
      </c>
      <c r="AB4924" s="28">
        <v>2801660000</v>
      </c>
      <c r="AC4924" s="28">
        <v>5306956000</v>
      </c>
      <c r="AD4924" s="28">
        <v>3057665000</v>
      </c>
      <c r="AE4924" s="28">
        <v>18416662000</v>
      </c>
      <c r="AF4924" s="28">
        <v>659474000</v>
      </c>
      <c r="AG4924" s="11"/>
    </row>
    <row r="4925">
      <c r="A4925" s="7" t="s">
        <v>6552</v>
      </c>
      <c r="B4925" s="5" t="s">
        <v>14509</v>
      </c>
      <c r="C4925" s="5" t="s">
        <v>22236</v>
      </c>
      <c r="D4925" s="5" t="str">
        <v>773713511092</v>
      </c>
      <c r="E4925" s="0" t="e">
        <f>+7 (495) 6470127
+7 (499) 3227117</f>
        <v>#NAME?</v>
      </c>
      <c r="F4925" s="5" t="s">
        <v>39968</v>
      </c>
      <c r="G4925" s="5" t="s">
        <v>39969</v>
      </c>
      <c r="H4925" s="26">
        <v>15.5</v>
      </c>
      <c r="I4925" s="5" t="s">
        <v>39970</v>
      </c>
      <c r="J4925" s="5" t="s">
        <v>27650</v>
      </c>
      <c r="K4925" s="5" t="s">
        <v>344</v>
      </c>
      <c r="L4925" s="5" t="s">
        <v>39971</v>
      </c>
      <c r="M4925" s="27"/>
      <c r="N4925" s="5"/>
      <c r="O4925" s="5" t="str">
        <v>7733629378</v>
      </c>
      <c r="P4925" s="27">
        <v>115000000</v>
      </c>
      <c r="Q4925" s="5" t="s">
        <v>52461</v>
      </c>
      <c r="R4925" s="5"/>
      <c r="S4925" s="5" t="s">
        <v>56872</v>
      </c>
      <c r="T4925" s="28">
        <v>113731000</v>
      </c>
      <c r="U4925" s="28">
        <v>13671000</v>
      </c>
      <c r="V4925" s="28">
        <v>445891000</v>
      </c>
      <c r="W4925" s="28">
        <v>4300000</v>
      </c>
      <c r="X4925" s="28">
        <v>16354000</v>
      </c>
      <c r="Y4925" s="28">
        <v>1979749000</v>
      </c>
      <c r="Z4925" s="28">
        <v>304969000</v>
      </c>
      <c r="AA4925" s="28"/>
      <c r="AB4925" s="28">
        <v>1064802000</v>
      </c>
      <c r="AC4925" s="28">
        <v>1538906000</v>
      </c>
      <c r="AD4925" s="28">
        <v>419977000</v>
      </c>
      <c r="AE4925" s="28">
        <v>3205729000</v>
      </c>
      <c r="AF4925" s="28">
        <v>40857000</v>
      </c>
      <c r="AG4925" s="11"/>
    </row>
    <row r="4926">
      <c r="A4926" s="7" t="s">
        <v>6553</v>
      </c>
      <c r="B4926" s="5" t="s">
        <v>14510</v>
      </c>
      <c r="C4926" s="5" t="s">
        <v>22237</v>
      </c>
      <c r="D4926" s="5" t="str">
        <v>781113984741</v>
      </c>
      <c r="E4926" s="0" t="e">
        <f>+7 (812) 1862698
+7 (812) 3254272
+7 (921) 9641543</f>
        <v>#NAME?</v>
      </c>
      <c r="F4926" s="5"/>
      <c r="G4926" s="5"/>
      <c r="H4926" s="26">
        <v>24.5</v>
      </c>
      <c r="I4926" s="5" t="s">
        <v>39972</v>
      </c>
      <c r="J4926" s="5" t="s">
        <v>31123</v>
      </c>
      <c r="K4926" s="5" t="s">
        <v>344</v>
      </c>
      <c r="L4926" s="5" t="s">
        <v>39973</v>
      </c>
      <c r="M4926" s="27"/>
      <c r="N4926" s="5"/>
      <c r="O4926" s="5" t="str">
        <v>7801108577</v>
      </c>
      <c r="P4926" s="27">
        <v>20000</v>
      </c>
      <c r="Q4926" s="5" t="s">
        <v>49009</v>
      </c>
      <c r="R4926" s="5"/>
      <c r="S4926" s="5" t="s">
        <v>49066</v>
      </c>
      <c r="T4926" s="28">
        <v>490000</v>
      </c>
      <c r="U4926" s="28"/>
      <c r="V4926" s="28">
        <v>554523000</v>
      </c>
      <c r="W4926" s="28"/>
      <c r="X4926" s="28">
        <v>5295000</v>
      </c>
      <c r="Y4926" s="28">
        <v>713230000</v>
      </c>
      <c r="Z4926" s="28">
        <v>327493000</v>
      </c>
      <c r="AA4926" s="28"/>
      <c r="AB4926" s="28"/>
      <c r="AC4926" s="28">
        <v>385717000</v>
      </c>
      <c r="AD4926" s="28">
        <v>327513000</v>
      </c>
      <c r="AE4926" s="28">
        <v>8301828000</v>
      </c>
      <c r="AF4926" s="28">
        <v>59364000</v>
      </c>
      <c r="AG4926" s="11"/>
    </row>
    <row r="4927">
      <c r="A4927" s="7" t="s">
        <v>1068</v>
      </c>
      <c r="B4927" s="5" t="s">
        <v>14511</v>
      </c>
      <c r="C4927" s="5" t="s">
        <v>22238</v>
      </c>
      <c r="D4927" s="5" t="str">
        <v>463301515336</v>
      </c>
      <c r="F4927" s="5"/>
      <c r="G4927" s="5"/>
      <c r="H4927" s="26">
        <v>14</v>
      </c>
      <c r="I4927" s="5" t="s">
        <v>39974</v>
      </c>
      <c r="J4927" s="5" t="s">
        <v>373</v>
      </c>
      <c r="K4927" s="5" t="s">
        <v>355</v>
      </c>
      <c r="L4927" s="5" t="s">
        <v>39975</v>
      </c>
      <c r="M4927" s="27"/>
      <c r="N4927" s="5"/>
      <c r="O4927" s="5" t="str">
        <v>7727683722</v>
      </c>
      <c r="P4927" s="27">
        <v>10000</v>
      </c>
      <c r="Q4927" s="5" t="s">
        <v>49021</v>
      </c>
      <c r="R4927" s="5"/>
      <c r="S4927" s="5" t="s">
        <v>56873</v>
      </c>
      <c r="T4927" s="28">
        <v>13524000</v>
      </c>
      <c r="U4927" s="28"/>
      <c r="V4927" s="28">
        <v>807699000</v>
      </c>
      <c r="W4927" s="28"/>
      <c r="X4927" s="28">
        <v>7405000</v>
      </c>
      <c r="Y4927" s="28">
        <v>978417000</v>
      </c>
      <c r="Z4927" s="28">
        <v>404580000</v>
      </c>
      <c r="AA4927" s="28">
        <v>220000000</v>
      </c>
      <c r="AB4927" s="28">
        <v>269321000</v>
      </c>
      <c r="AC4927" s="28">
        <v>353780000</v>
      </c>
      <c r="AD4927" s="28">
        <v>404590000</v>
      </c>
      <c r="AE4927" s="28">
        <v>4220674000</v>
      </c>
      <c r="AF4927" s="28">
        <v>186501000</v>
      </c>
      <c r="AG4927" s="11"/>
    </row>
    <row r="4928">
      <c r="A4928" s="7" t="s">
        <v>1068</v>
      </c>
      <c r="B4928" s="5" t="s">
        <v>14512</v>
      </c>
      <c r="C4928" s="5" t="s">
        <v>22239</v>
      </c>
      <c r="D4928" s="5" t="str">
        <v>422305363888</v>
      </c>
      <c r="F4928" s="5"/>
      <c r="G4928" s="5" t="s">
        <v>39976</v>
      </c>
      <c r="H4928" s="26">
        <v>6</v>
      </c>
      <c r="I4928" s="5" t="s">
        <v>39977</v>
      </c>
      <c r="J4928" s="5" t="s">
        <v>25283</v>
      </c>
      <c r="K4928" s="5" t="s">
        <v>355</v>
      </c>
      <c r="L4928" s="5"/>
      <c r="M4928" s="27"/>
      <c r="N4928" s="5"/>
      <c r="O4928" s="5" t="str">
        <v>5406974892</v>
      </c>
      <c r="P4928" s="27">
        <v>10000</v>
      </c>
      <c r="Q4928" s="5"/>
      <c r="R4928" s="5"/>
      <c r="S4928" s="5" t="s">
        <v>49496</v>
      </c>
      <c r="T4928" s="28">
        <v>270338000</v>
      </c>
      <c r="U4928" s="28">
        <v>1342290000</v>
      </c>
      <c r="V4928" s="28">
        <v>1000083000</v>
      </c>
      <c r="W4928" s="28"/>
      <c r="X4928" s="28">
        <v>42689000</v>
      </c>
      <c r="Y4928" s="28">
        <v>2925592000</v>
      </c>
      <c r="Z4928" s="28">
        <v>1699568000</v>
      </c>
      <c r="AA4928" s="28"/>
      <c r="AB4928" s="28"/>
      <c r="AC4928" s="28">
        <v>1014940000</v>
      </c>
      <c r="AD4928" s="28">
        <v>1699602000</v>
      </c>
      <c r="AE4928" s="28">
        <v>8292585000</v>
      </c>
      <c r="AF4928" s="28">
        <v>-25039000</v>
      </c>
      <c r="AG4928" s="11"/>
    </row>
    <row r="4929">
      <c r="A4929" s="7" t="s">
        <v>6554</v>
      </c>
      <c r="B4929" s="5" t="s">
        <v>14513</v>
      </c>
      <c r="C4929" s="5" t="s">
        <v>22240</v>
      </c>
      <c r="D4929" s="5" t="str">
        <v>462900009200</v>
      </c>
      <c r="E4929" s="0" t="e">
        <f>+7 (471) 2386008
+7 (471) 2577996
+7 (4712) 377564
+7 (4712) 386020
+7 (4712) 391901
+7 (47131) 25306</f>
        <v>#NAME?</v>
      </c>
      <c r="F4929" s="5" t="s">
        <v>39978</v>
      </c>
      <c r="G4929" s="5"/>
      <c r="H4929" s="26">
        <v>28.5</v>
      </c>
      <c r="I4929" s="5" t="s">
        <v>39979</v>
      </c>
      <c r="J4929" s="5" t="s">
        <v>25484</v>
      </c>
      <c r="K4929" s="5" t="s">
        <v>344</v>
      </c>
      <c r="L4929" s="5" t="s">
        <v>39980</v>
      </c>
      <c r="M4929" s="27">
        <v>14696099</v>
      </c>
      <c r="N4929" s="5" t="s">
        <v>49923</v>
      </c>
      <c r="O4929" s="5" t="str">
        <v>4629028093</v>
      </c>
      <c r="P4929" s="27">
        <v>16792625</v>
      </c>
      <c r="Q4929" s="5" t="s">
        <v>49059</v>
      </c>
      <c r="R4929" s="5" t="s">
        <v>56874</v>
      </c>
      <c r="S4929" s="5" t="s">
        <v>49028</v>
      </c>
      <c r="T4929" s="28">
        <v>11661420000</v>
      </c>
      <c r="U4929" s="28">
        <v>1050000</v>
      </c>
      <c r="V4929" s="28">
        <v>391531000</v>
      </c>
      <c r="W4929" s="28"/>
      <c r="X4929" s="28">
        <v>9426000</v>
      </c>
      <c r="Y4929" s="28">
        <v>15379534000</v>
      </c>
      <c r="Z4929" s="28">
        <v>10066330000</v>
      </c>
      <c r="AA4929" s="28">
        <v>3184070000</v>
      </c>
      <c r="AB4929" s="28">
        <v>31491000</v>
      </c>
      <c r="AC4929" s="28">
        <v>557659000</v>
      </c>
      <c r="AD4929" s="28">
        <v>10586545000</v>
      </c>
      <c r="AE4929" s="28">
        <v>4289879000</v>
      </c>
      <c r="AF4929" s="28">
        <v>1196955000</v>
      </c>
      <c r="AG4929" s="11"/>
    </row>
    <row r="4930">
      <c r="A4930" s="7" t="s">
        <v>6555</v>
      </c>
      <c r="B4930" s="5" t="s">
        <v>14514</v>
      </c>
      <c r="C4930" s="5" t="s">
        <v>22241</v>
      </c>
      <c r="D4930" s="5" t="str">
        <v>772817957669</v>
      </c>
      <c r="E4930" s="0" t="e">
        <f>+7 (495) 2233720
+7 (473) 2332000
+7 (495) 7371382
+7 (812) 6437398
+7 (910) 7462149
+7 (987) 2903825
+7 (495) 7371737
+7 (495) 7371818
+7 (800) 2001737</f>
        <v>#NAME?</v>
      </c>
      <c r="F4930" s="5" t="s">
        <v>39981</v>
      </c>
      <c r="G4930" s="5" t="s">
        <v>39982</v>
      </c>
      <c r="H4930" s="26">
        <v>3</v>
      </c>
      <c r="I4930" s="5" t="s">
        <v>39983</v>
      </c>
      <c r="J4930" s="5" t="s">
        <v>25612</v>
      </c>
      <c r="K4930" s="5" t="s">
        <v>355</v>
      </c>
      <c r="L4930" s="5"/>
      <c r="M4930" s="27">
        <v>29882313</v>
      </c>
      <c r="N4930" s="5" t="s">
        <v>56875</v>
      </c>
      <c r="O4930" s="5" t="str">
        <v>9705141494</v>
      </c>
      <c r="P4930" s="27">
        <v>123085000</v>
      </c>
      <c r="Q4930" s="5" t="s">
        <v>56876</v>
      </c>
      <c r="R4930" s="5"/>
      <c r="S4930" s="5" t="s">
        <v>56877</v>
      </c>
      <c r="T4930" s="28">
        <v>218282000</v>
      </c>
      <c r="U4930" s="28"/>
      <c r="V4930" s="28">
        <v>4220629000</v>
      </c>
      <c r="W4930" s="28"/>
      <c r="X4930" s="28">
        <v>2886181000</v>
      </c>
      <c r="Y4930" s="28">
        <v>8743320000</v>
      </c>
      <c r="Z4930" s="28">
        <v>64625000</v>
      </c>
      <c r="AA4930" s="28"/>
      <c r="AB4930" s="28"/>
      <c r="AC4930" s="28">
        <v>7308834000</v>
      </c>
      <c r="AD4930" s="28">
        <v>1215524000</v>
      </c>
      <c r="AE4930" s="28">
        <v>6184671000</v>
      </c>
      <c r="AF4930" s="28">
        <v>-1435653000</v>
      </c>
      <c r="AG4930" s="11"/>
    </row>
    <row r="4931">
      <c r="A4931" s="7" t="s">
        <v>6556</v>
      </c>
      <c r="B4931" s="5" t="s">
        <v>14515</v>
      </c>
      <c r="C4931" s="5" t="s">
        <v>22242</v>
      </c>
      <c r="D4931" s="5" t="str">
        <v>212403660816</v>
      </c>
      <c r="E4931" s="0" t="e">
        <f>+7 (84639) 95074
+7 (84639) 21155
+7 (84639) 21244
+7 (84639) 21586
+7 (84639) 23479
+7 (84639) 23823
+7 (927) 7100313</f>
        <v>#NAME?</v>
      </c>
      <c r="F4931" s="5" t="s">
        <v>39984</v>
      </c>
      <c r="G4931" s="5" t="s">
        <v>39985</v>
      </c>
      <c r="H4931" s="26">
        <v>26</v>
      </c>
      <c r="I4931" s="5"/>
      <c r="J4931" s="5" t="s">
        <v>26213</v>
      </c>
      <c r="K4931" s="5" t="s">
        <v>344</v>
      </c>
      <c r="L4931" s="5" t="s">
        <v>39986</v>
      </c>
      <c r="M4931" s="27"/>
      <c r="N4931" s="5" t="s">
        <v>56878</v>
      </c>
      <c r="O4931" s="5" t="str">
        <v>6335007320</v>
      </c>
      <c r="P4931" s="27">
        <v>145162500</v>
      </c>
      <c r="Q4931" s="5" t="s">
        <v>56879</v>
      </c>
      <c r="R4931" s="5"/>
      <c r="S4931" s="5" t="s">
        <v>56880</v>
      </c>
      <c r="T4931" s="28">
        <v>758085000</v>
      </c>
      <c r="U4931" s="28">
        <v>90814000</v>
      </c>
      <c r="V4931" s="28">
        <v>252428000</v>
      </c>
      <c r="W4931" s="28">
        <v>80186000</v>
      </c>
      <c r="X4931" s="28">
        <v>5456000</v>
      </c>
      <c r="Y4931" s="28">
        <v>1875592000</v>
      </c>
      <c r="Z4931" s="28">
        <v>778720000</v>
      </c>
      <c r="AA4931" s="28"/>
      <c r="AB4931" s="28">
        <v>159835000</v>
      </c>
      <c r="AC4931" s="28">
        <v>654978000</v>
      </c>
      <c r="AD4931" s="28">
        <v>931141000</v>
      </c>
      <c r="AE4931" s="28">
        <v>3824456000</v>
      </c>
      <c r="AF4931" s="28">
        <v>644296000</v>
      </c>
      <c r="AG4931" s="11"/>
    </row>
    <row r="4932">
      <c r="A4932" s="7" t="s">
        <v>6557</v>
      </c>
      <c r="B4932" s="5" t="s">
        <v>14516</v>
      </c>
      <c r="C4932" s="5" t="s">
        <v>22243</v>
      </c>
      <c r="D4932" s="5" t="str">
        <v>622701970786</v>
      </c>
      <c r="F4932" s="5" t="s">
        <v>39987</v>
      </c>
      <c r="G4932" s="5"/>
      <c r="H4932" s="26">
        <v>7.5</v>
      </c>
      <c r="I4932" s="5" t="s">
        <v>39988</v>
      </c>
      <c r="J4932" s="5" t="s">
        <v>26770</v>
      </c>
      <c r="K4932" s="5" t="s">
        <v>344</v>
      </c>
      <c r="L4932" s="5" t="s">
        <v>39989</v>
      </c>
      <c r="M4932" s="27"/>
      <c r="N4932" s="5" t="s">
        <v>56881</v>
      </c>
      <c r="O4932" s="5" t="str">
        <v>6234145267</v>
      </c>
      <c r="P4932" s="27">
        <v>10000</v>
      </c>
      <c r="Q4932" s="5" t="s">
        <v>49059</v>
      </c>
      <c r="R4932" s="5"/>
      <c r="S4932" s="5" t="s">
        <v>49066</v>
      </c>
      <c r="T4932" s="28">
        <v>87099000</v>
      </c>
      <c r="U4932" s="28"/>
      <c r="V4932" s="28">
        <v>1184035000</v>
      </c>
      <c r="W4932" s="28">
        <v>647972000</v>
      </c>
      <c r="X4932" s="28">
        <v>1304000</v>
      </c>
      <c r="Y4932" s="28">
        <v>1998907000</v>
      </c>
      <c r="Z4932" s="28">
        <v>169636000</v>
      </c>
      <c r="AA4932" s="28"/>
      <c r="AB4932" s="28">
        <v>20000</v>
      </c>
      <c r="AC4932" s="28">
        <v>1829261000</v>
      </c>
      <c r="AD4932" s="28">
        <v>169646000</v>
      </c>
      <c r="AE4932" s="28">
        <v>4404733000</v>
      </c>
      <c r="AF4932" s="28">
        <v>129424000</v>
      </c>
      <c r="AG4932" s="11"/>
    </row>
    <row r="4933">
      <c r="A4933" s="7" t="s">
        <v>6558</v>
      </c>
      <c r="B4933" s="5" t="s">
        <v>14517</v>
      </c>
      <c r="C4933" s="5" t="s">
        <v>22244</v>
      </c>
      <c r="D4933" s="5" t="str">
        <v>745312418887</v>
      </c>
      <c r="E4933" s="0" t="e">
        <f>+7 (861) 2996471</f>
        <v>#NAME?</v>
      </c>
      <c r="F4933" s="5" t="s">
        <v>39990</v>
      </c>
      <c r="G4933" s="5"/>
      <c r="H4933" s="26">
        <v>8.5</v>
      </c>
      <c r="I4933" s="5" t="s">
        <v>39991</v>
      </c>
      <c r="J4933" s="5" t="s">
        <v>364</v>
      </c>
      <c r="K4933" s="5" t="s">
        <v>355</v>
      </c>
      <c r="L4933" s="5" t="s">
        <v>39992</v>
      </c>
      <c r="M4933" s="27">
        <v>2461736</v>
      </c>
      <c r="N4933" s="5"/>
      <c r="O4933" s="5" t="str">
        <v>7447240439</v>
      </c>
      <c r="P4933" s="27">
        <v>24703941</v>
      </c>
      <c r="Q4933" s="5" t="s">
        <v>52260</v>
      </c>
      <c r="R4933" s="5"/>
      <c r="S4933" s="5" t="s">
        <v>56882</v>
      </c>
      <c r="T4933" s="28">
        <v>28392000</v>
      </c>
      <c r="U4933" s="28"/>
      <c r="V4933" s="28">
        <v>2683782000</v>
      </c>
      <c r="W4933" s="28">
        <v>250514000</v>
      </c>
      <c r="X4933" s="28">
        <v>4325000</v>
      </c>
      <c r="Y4933" s="28">
        <v>3055643000</v>
      </c>
      <c r="Z4933" s="28">
        <v>204400000</v>
      </c>
      <c r="AA4933" s="28"/>
      <c r="AB4933" s="28"/>
      <c r="AC4933" s="28">
        <v>2737197000</v>
      </c>
      <c r="AD4933" s="28">
        <v>309104000</v>
      </c>
      <c r="AE4933" s="28">
        <v>3192383000</v>
      </c>
      <c r="AF4933" s="28">
        <v>74152000</v>
      </c>
      <c r="AG4933" s="11"/>
    </row>
    <row r="4934">
      <c r="A4934" s="7" t="s">
        <v>6558</v>
      </c>
      <c r="B4934" s="5" t="s">
        <v>14518</v>
      </c>
      <c r="C4934" s="5" t="s">
        <v>22245</v>
      </c>
      <c r="D4934" s="5" t="str">
        <v>540528358428</v>
      </c>
      <c r="E4934" s="0" t="e">
        <f>+7 (903) 1823042
+7 (929) 6955790</f>
        <v>#NAME?</v>
      </c>
      <c r="F4934" s="5" t="s">
        <v>39993</v>
      </c>
      <c r="G4934" s="5"/>
      <c r="H4934" s="26">
        <v>9</v>
      </c>
      <c r="I4934" s="5" t="s">
        <v>39994</v>
      </c>
      <c r="J4934" s="5" t="s">
        <v>29432</v>
      </c>
      <c r="K4934" s="5" t="s">
        <v>380</v>
      </c>
      <c r="L4934" s="5" t="s">
        <v>39995</v>
      </c>
      <c r="M4934" s="27">
        <v>1261808</v>
      </c>
      <c r="N4934" s="5" t="s">
        <v>56883</v>
      </c>
      <c r="O4934" s="5" t="str">
        <v>7710957615</v>
      </c>
      <c r="P4934" s="27">
        <v>29000</v>
      </c>
      <c r="Q4934" s="5" t="s">
        <v>56884</v>
      </c>
      <c r="R4934" s="5" t="s">
        <v>52678</v>
      </c>
      <c r="S4934" s="5" t="s">
        <v>49114</v>
      </c>
      <c r="T4934" s="28">
        <v>244487000</v>
      </c>
      <c r="U4934" s="28">
        <v>1000000</v>
      </c>
      <c r="V4934" s="28">
        <v>6137708000</v>
      </c>
      <c r="W4934" s="28">
        <v>620000</v>
      </c>
      <c r="X4934" s="28">
        <v>109531000</v>
      </c>
      <c r="Y4934" s="28">
        <v>7938713000</v>
      </c>
      <c r="Z4934" s="28">
        <v>1481474000</v>
      </c>
      <c r="AA4934" s="28"/>
      <c r="AB4934" s="28">
        <v>1321536000</v>
      </c>
      <c r="AC4934" s="28">
        <v>6301930000</v>
      </c>
      <c r="AD4934" s="28">
        <v>1491770000</v>
      </c>
      <c r="AE4934" s="28">
        <v>10776427000</v>
      </c>
      <c r="AF4934" s="28">
        <v>1378431000</v>
      </c>
      <c r="AG4934" s="11"/>
    </row>
    <row r="4935">
      <c r="A4935" s="7" t="s">
        <v>6559</v>
      </c>
      <c r="B4935" s="5" t="s">
        <v>14519</v>
      </c>
      <c r="C4935" s="5" t="s">
        <v>22246</v>
      </c>
      <c r="D4935" s="5" t="str">
        <v>771609757890</v>
      </c>
      <c r="E4935" s="0" t="e">
        <f>+7 (495) 6627050
+7 (499) 2400017
+7 (499) 7955111
+7 (495) 2342502
+7 (499) 2342502
+7 (499) 2342503</f>
        <v>#NAME?</v>
      </c>
      <c r="F4935" s="5" t="s">
        <v>39996</v>
      </c>
      <c r="G4935" s="5" t="s">
        <v>39997</v>
      </c>
      <c r="H4935" s="26">
        <v>26.5</v>
      </c>
      <c r="I4935" s="5"/>
      <c r="J4935" s="5" t="s">
        <v>25190</v>
      </c>
      <c r="K4935" s="5" t="s">
        <v>344</v>
      </c>
      <c r="L4935" s="5" t="s">
        <v>39998</v>
      </c>
      <c r="M4935" s="27">
        <v>609775</v>
      </c>
      <c r="N4935" s="5" t="s">
        <v>56885</v>
      </c>
      <c r="O4935" s="5" t="str">
        <v>7729329533</v>
      </c>
      <c r="P4935" s="27">
        <v>1008000</v>
      </c>
      <c r="Q4935" s="5" t="s">
        <v>56886</v>
      </c>
      <c r="R4935" s="5"/>
      <c r="S4935" s="5" t="s">
        <v>49139</v>
      </c>
      <c r="T4935" s="28">
        <v>23512000</v>
      </c>
      <c r="U4935" s="28">
        <v>100000</v>
      </c>
      <c r="V4935" s="28">
        <v>2005731000</v>
      </c>
      <c r="W4935" s="28">
        <v>596969000</v>
      </c>
      <c r="X4935" s="28">
        <v>1634983000</v>
      </c>
      <c r="Y4935" s="28">
        <v>6268351000</v>
      </c>
      <c r="Z4935" s="28">
        <v>2140097000</v>
      </c>
      <c r="AA4935" s="28"/>
      <c r="AB4935" s="28">
        <v>142238000</v>
      </c>
      <c r="AC4935" s="28">
        <v>4102800000</v>
      </c>
      <c r="AD4935" s="28">
        <v>2141105000</v>
      </c>
      <c r="AE4935" s="28">
        <v>16321252000</v>
      </c>
      <c r="AF4935" s="28">
        <v>296321000</v>
      </c>
      <c r="AG4935" s="11"/>
    </row>
    <row r="4936">
      <c r="A4936" s="7" t="s">
        <v>6560</v>
      </c>
      <c r="B4936" s="5" t="s">
        <v>14520</v>
      </c>
      <c r="C4936" s="5" t="s">
        <v>22247</v>
      </c>
      <c r="D4936" s="5" t="str">
        <v>344100413355</v>
      </c>
      <c r="E4936" s="0" t="e">
        <f>+7 (495) 6602730</f>
        <v>#NAME?</v>
      </c>
      <c r="F4936" s="5"/>
      <c r="G4936" s="5"/>
      <c r="H4936" s="26">
        <v>6.5</v>
      </c>
      <c r="I4936" s="5" t="s">
        <v>39999</v>
      </c>
      <c r="J4936" s="5" t="s">
        <v>373</v>
      </c>
      <c r="K4936" s="5" t="s">
        <v>344</v>
      </c>
      <c r="L4936" s="5" t="s">
        <v>40000</v>
      </c>
      <c r="M4936" s="27"/>
      <c r="N4936" s="5"/>
      <c r="O4936" s="5" t="str">
        <v>3702162760</v>
      </c>
      <c r="P4936" s="27">
        <v>1000000</v>
      </c>
      <c r="Q4936" s="5" t="s">
        <v>49009</v>
      </c>
      <c r="R4936" s="5"/>
      <c r="S4936" s="5" t="s">
        <v>49045</v>
      </c>
      <c r="T4936" s="28">
        <v>100000</v>
      </c>
      <c r="U4936" s="28"/>
      <c r="V4936" s="28">
        <v>651263000</v>
      </c>
      <c r="W4936" s="28">
        <v>37258000</v>
      </c>
      <c r="X4936" s="28">
        <v>2505000</v>
      </c>
      <c r="Y4936" s="28">
        <v>691172000</v>
      </c>
      <c r="Z4936" s="28">
        <v>190912000</v>
      </c>
      <c r="AA4936" s="28"/>
      <c r="AB4936" s="28">
        <v>240147000</v>
      </c>
      <c r="AC4936" s="28">
        <v>499260000</v>
      </c>
      <c r="AD4936" s="28">
        <v>191912000</v>
      </c>
      <c r="AE4936" s="28">
        <v>11940256000</v>
      </c>
      <c r="AF4936" s="28">
        <v>36707000</v>
      </c>
      <c r="AG4936" s="11"/>
    </row>
    <row r="4937">
      <c r="A4937" s="7" t="s">
        <v>6561</v>
      </c>
      <c r="B4937" s="5" t="s">
        <v>14521</v>
      </c>
      <c r="C4937" s="5" t="s">
        <v>22248</v>
      </c>
      <c r="D4937" s="5" t="str">
        <v>772728719895</v>
      </c>
      <c r="E4937" s="0" t="e">
        <f>+7 (394) 2251540
+7 (495) 1221520
+7 (495) 5257300
+7 (495) 1232401
+7 (495) 1232523
+7 (495) 3380207
+7 (495) 3430011
+7 (495) 3634070
+7 (495) 4580309
+7 (495) 5257374
+7 (495) 5554231
+7 (495) 6051523
+7 (495) 6108075
+7 (495) 6399523
+7 (495) 6399566</f>
        <v>#NAME?</v>
      </c>
      <c r="F4937" s="5" t="s">
        <v>40001</v>
      </c>
      <c r="G4937" s="5" t="s">
        <v>40002</v>
      </c>
      <c r="H4937" s="26">
        <v>18</v>
      </c>
      <c r="I4937" s="5"/>
      <c r="J4937" s="5" t="s">
        <v>27802</v>
      </c>
      <c r="K4937" s="5" t="s">
        <v>355</v>
      </c>
      <c r="L4937" s="5"/>
      <c r="M4937" s="27">
        <v>1997277069</v>
      </c>
      <c r="N4937" s="5" t="s">
        <v>56887</v>
      </c>
      <c r="O4937" s="5" t="str">
        <v>5036065113</v>
      </c>
      <c r="P4937" s="27">
        <v>24353545787</v>
      </c>
      <c r="Q4937" s="5" t="s">
        <v>56888</v>
      </c>
      <c r="R4937" s="5"/>
      <c r="S4937" s="5" t="s">
        <v>56889</v>
      </c>
      <c r="T4937" s="28">
        <v>338895602000</v>
      </c>
      <c r="U4937" s="28">
        <v>2888916000</v>
      </c>
      <c r="V4937" s="28">
        <v>19196608000</v>
      </c>
      <c r="W4937" s="28"/>
      <c r="X4937" s="28">
        <v>15191396000</v>
      </c>
      <c r="Y4937" s="28">
        <v>405259599000</v>
      </c>
      <c r="Z4937" s="28">
        <v>150002785000</v>
      </c>
      <c r="AA4937" s="28">
        <v>25000000000</v>
      </c>
      <c r="AB4937" s="28">
        <v>38233344000</v>
      </c>
      <c r="AC4937" s="28">
        <v>140295708000</v>
      </c>
      <c r="AD4937" s="28">
        <v>213965359000</v>
      </c>
      <c r="AE4937" s="28">
        <v>198283524000</v>
      </c>
      <c r="AF4937" s="28">
        <v>11403512000</v>
      </c>
      <c r="AG4937" s="11"/>
    </row>
    <row r="4938">
      <c r="A4938" s="7" t="s">
        <v>6562</v>
      </c>
      <c r="B4938" s="5" t="s">
        <v>14522</v>
      </c>
      <c r="C4938" s="5" t="s">
        <v>22249</v>
      </c>
      <c r="D4938" s="5" t="str">
        <v>421805928100</v>
      </c>
      <c r="E4938" s="0" t="e">
        <f>+7 (3843) 993166
+7 (3843) 421839
+7 (3843) 993160</f>
        <v>#NAME?</v>
      </c>
      <c r="F4938" s="5" t="s">
        <v>40003</v>
      </c>
      <c r="G4938" s="5"/>
      <c r="H4938" s="26">
        <v>22</v>
      </c>
      <c r="I4938" s="5" t="s">
        <v>40004</v>
      </c>
      <c r="J4938" s="5" t="s">
        <v>373</v>
      </c>
      <c r="K4938" s="5" t="s">
        <v>344</v>
      </c>
      <c r="L4938" s="5" t="s">
        <v>40005</v>
      </c>
      <c r="M4938" s="27">
        <v>612390</v>
      </c>
      <c r="N4938" s="5" t="s">
        <v>56890</v>
      </c>
      <c r="O4938" s="5" t="str">
        <v>7718171862</v>
      </c>
      <c r="P4938" s="27">
        <v>10000</v>
      </c>
      <c r="Q4938" s="5" t="s">
        <v>56891</v>
      </c>
      <c r="R4938" s="5" t="s">
        <v>52722</v>
      </c>
      <c r="S4938" s="5" t="s">
        <v>49193</v>
      </c>
      <c r="T4938" s="28">
        <v>2097969000</v>
      </c>
      <c r="U4938" s="28"/>
      <c r="V4938" s="28">
        <v>1496908000</v>
      </c>
      <c r="W4938" s="28"/>
      <c r="X4938" s="28">
        <v>416450000</v>
      </c>
      <c r="Y4938" s="28">
        <v>4255217000</v>
      </c>
      <c r="Z4938" s="28">
        <v>2525553000</v>
      </c>
      <c r="AA4938" s="28"/>
      <c r="AB4938" s="28">
        <v>600000000</v>
      </c>
      <c r="AC4938" s="28">
        <v>1629731000</v>
      </c>
      <c r="AD4938" s="28">
        <v>2525563000</v>
      </c>
      <c r="AE4938" s="28">
        <v>12507085000</v>
      </c>
      <c r="AF4938" s="28">
        <v>494264000</v>
      </c>
      <c r="AG4938" s="11"/>
    </row>
    <row r="4939">
      <c r="A4939" s="7" t="s">
        <v>6563</v>
      </c>
      <c r="B4939" s="5" t="s">
        <v>14523</v>
      </c>
      <c r="C4939" s="5" t="s">
        <v>22250</v>
      </c>
      <c r="D4939" s="5" t="str">
        <v>505602628684</v>
      </c>
      <c r="E4939" s="0" t="e">
        <f>+7 (495) 3552106
+7 (495) 3556872
+7 (495) 3558456
+7 (495) 7811768
+7 (495) 7817878
+7 (495) 9374880</f>
        <v>#NAME?</v>
      </c>
      <c r="F4939" s="5"/>
      <c r="G4939" s="5" t="s">
        <v>40006</v>
      </c>
      <c r="H4939" s="26">
        <v>27.5</v>
      </c>
      <c r="I4939" s="5"/>
      <c r="J4939" s="5" t="s">
        <v>30025</v>
      </c>
      <c r="K4939" s="5" t="s">
        <v>344</v>
      </c>
      <c r="L4939" s="5"/>
      <c r="M4939" s="27">
        <v>67628150</v>
      </c>
      <c r="N4939" s="5" t="s">
        <v>56892</v>
      </c>
      <c r="O4939" s="5" t="str">
        <v>7707088732</v>
      </c>
      <c r="P4939" s="27">
        <v>500000</v>
      </c>
      <c r="Q4939" s="5" t="s">
        <v>56893</v>
      </c>
      <c r="R4939" s="5" t="s">
        <v>56429</v>
      </c>
      <c r="S4939" s="5" t="s">
        <v>56894</v>
      </c>
      <c r="T4939" s="28">
        <v>407470000</v>
      </c>
      <c r="U4939" s="28"/>
      <c r="V4939" s="28">
        <v>4044014000</v>
      </c>
      <c r="W4939" s="28">
        <v>4185719000</v>
      </c>
      <c r="X4939" s="28">
        <v>900159000</v>
      </c>
      <c r="Y4939" s="28">
        <v>10970292000</v>
      </c>
      <c r="Z4939" s="28">
        <v>792259000</v>
      </c>
      <c r="AA4939" s="28"/>
      <c r="AB4939" s="28"/>
      <c r="AC4939" s="28">
        <v>5275436000</v>
      </c>
      <c r="AD4939" s="28">
        <v>5694827000</v>
      </c>
      <c r="AE4939" s="28">
        <v>14558619000</v>
      </c>
      <c r="AF4939" s="28">
        <v>86636000</v>
      </c>
      <c r="AG4939" s="11"/>
    </row>
    <row r="4940">
      <c r="A4940" s="7" t="s">
        <v>6564</v>
      </c>
      <c r="B4940" s="5" t="s">
        <v>14524</v>
      </c>
      <c r="C4940" s="5" t="s">
        <v>22251</v>
      </c>
      <c r="D4940" s="5" t="str">
        <v>500300265442</v>
      </c>
      <c r="E4940" s="0" t="e">
        <f>+7 (495) 2210501
+7 (926) 8003420
+7 (985) 2204601</f>
        <v>#NAME?</v>
      </c>
      <c r="F4940" s="5" t="s">
        <v>40007</v>
      </c>
      <c r="G4940" s="5" t="s">
        <v>40008</v>
      </c>
      <c r="H4940" s="26">
        <v>18.5</v>
      </c>
      <c r="I4940" s="5" t="s">
        <v>40009</v>
      </c>
      <c r="J4940" s="5" t="s">
        <v>25239</v>
      </c>
      <c r="K4940" s="5" t="s">
        <v>344</v>
      </c>
      <c r="L4940" s="5" t="s">
        <v>40010</v>
      </c>
      <c r="M4940" s="27"/>
      <c r="N4940" s="5" t="s">
        <v>56895</v>
      </c>
      <c r="O4940" s="5" t="str">
        <v>7709574625</v>
      </c>
      <c r="P4940" s="27">
        <v>2000000</v>
      </c>
      <c r="Q4940" s="5" t="s">
        <v>49021</v>
      </c>
      <c r="R4940" s="5"/>
      <c r="S4940" s="5" t="s">
        <v>56896</v>
      </c>
      <c r="T4940" s="28">
        <v>27168000</v>
      </c>
      <c r="U4940" s="28"/>
      <c r="V4940" s="28">
        <v>563697000</v>
      </c>
      <c r="W4940" s="28"/>
      <c r="X4940" s="28">
        <v>34670000</v>
      </c>
      <c r="Y4940" s="28">
        <v>1542761000</v>
      </c>
      <c r="Z4940" s="28">
        <v>785389000</v>
      </c>
      <c r="AA4940" s="28">
        <v>241649000</v>
      </c>
      <c r="AB4940" s="28">
        <v>158021000</v>
      </c>
      <c r="AC4940" s="28">
        <v>497681000</v>
      </c>
      <c r="AD4940" s="28">
        <v>803387000</v>
      </c>
      <c r="AE4940" s="28">
        <v>3476935000</v>
      </c>
      <c r="AF4940" s="28">
        <v>169818000</v>
      </c>
      <c r="AG4940" s="11"/>
    </row>
    <row r="4941">
      <c r="A4941" s="7" t="s">
        <v>6565</v>
      </c>
      <c r="B4941" s="5" t="s">
        <v>14525</v>
      </c>
      <c r="C4941" s="5" t="s">
        <v>22252</v>
      </c>
      <c r="D4941" s="5" t="str">
        <v>541007320530</v>
      </c>
      <c r="E4941" s="0" t="e">
        <f>+7 (3439) 321122
+7 (381) 2218773
+7 (383) 2760546
+7 (391) 2054547
+7 (3952) 485330
+7 (905) 9235770
+7 (905) 9450814
+7 (905) 9453662
+7 (905) 9454447
+7 (905) 9454449
+7 (905) 9456622
+7 (905) 9456661
+7 (905) 9456662
+7 (905) 9456663
+7 (905) 9456667</f>
        <v>#NAME?</v>
      </c>
      <c r="F4941" s="5" t="s">
        <v>40011</v>
      </c>
      <c r="G4941" s="5" t="s">
        <v>40012</v>
      </c>
      <c r="H4941" s="26">
        <v>23.5</v>
      </c>
      <c r="I4941" s="5" t="s">
        <v>40013</v>
      </c>
      <c r="J4941" s="5" t="s">
        <v>32941</v>
      </c>
      <c r="K4941" s="5" t="s">
        <v>344</v>
      </c>
      <c r="L4941" s="5" t="s">
        <v>40014</v>
      </c>
      <c r="M4941" s="27"/>
      <c r="N4941" s="5" t="s">
        <v>56897</v>
      </c>
      <c r="O4941" s="5" t="str">
        <v>5410131623</v>
      </c>
      <c r="P4941" s="27">
        <v>10000000</v>
      </c>
      <c r="Q4941" s="5" t="s">
        <v>56898</v>
      </c>
      <c r="R4941" s="5"/>
      <c r="S4941" s="5" t="s">
        <v>56899</v>
      </c>
      <c r="T4941" s="28">
        <v>92839000</v>
      </c>
      <c r="U4941" s="28">
        <v>89997000</v>
      </c>
      <c r="V4941" s="28">
        <v>629189000</v>
      </c>
      <c r="W4941" s="28">
        <v>370000000</v>
      </c>
      <c r="X4941" s="28">
        <v>18941000</v>
      </c>
      <c r="Y4941" s="28">
        <v>1841544000</v>
      </c>
      <c r="Z4941" s="28">
        <v>1520119000</v>
      </c>
      <c r="AA4941" s="28"/>
      <c r="AB4941" s="28">
        <v>56000</v>
      </c>
      <c r="AC4941" s="28">
        <v>184105000</v>
      </c>
      <c r="AD4941" s="28">
        <v>1551119000</v>
      </c>
      <c r="AE4941" s="28">
        <v>5316234000</v>
      </c>
      <c r="AF4941" s="28">
        <v>418579000</v>
      </c>
      <c r="AG4941" s="11"/>
    </row>
    <row r="4942">
      <c r="A4942" s="7" t="s">
        <v>6566</v>
      </c>
      <c r="B4942" s="5" t="s">
        <v>14526</v>
      </c>
      <c r="C4942" s="5" t="s">
        <v>22253</v>
      </c>
      <c r="D4942" s="5" t="str">
        <v>780242113525</v>
      </c>
      <c r="E4942" s="0" t="e">
        <f>+7 (812) 7775444
+7 (3432) 260101
+7 (495) 1340934
+7 (800) 5554777
+7 (812) 3246670
+7 (812) 6445346
+7 (812) 7777722
+7 (831) 2613737
+7 (8432) 24212
+7 (8632) 98888</f>
        <v>#NAME?</v>
      </c>
      <c r="F4942" s="5" t="s">
        <v>40015</v>
      </c>
      <c r="G4942" s="5" t="s">
        <v>40016</v>
      </c>
      <c r="H4942" s="26">
        <v>21</v>
      </c>
      <c r="I4942" s="5" t="s">
        <v>40017</v>
      </c>
      <c r="J4942" s="5" t="s">
        <v>28954</v>
      </c>
      <c r="K4942" s="5" t="s">
        <v>344</v>
      </c>
      <c r="L4942" s="5" t="s">
        <v>40018</v>
      </c>
      <c r="M4942" s="27">
        <v>165999</v>
      </c>
      <c r="N4942" s="5" t="s">
        <v>56900</v>
      </c>
      <c r="O4942" s="5" t="str">
        <v>7805237809</v>
      </c>
      <c r="P4942" s="27">
        <v>20000</v>
      </c>
      <c r="Q4942" s="5" t="s">
        <v>694</v>
      </c>
      <c r="R4942" s="5"/>
      <c r="S4942" s="5" t="s">
        <v>49682</v>
      </c>
      <c r="T4942" s="28">
        <v>744684000</v>
      </c>
      <c r="U4942" s="28"/>
      <c r="V4942" s="28">
        <v>575335000</v>
      </c>
      <c r="W4942" s="28"/>
      <c r="X4942" s="28">
        <v>17313000</v>
      </c>
      <c r="Y4942" s="28">
        <v>1431118000</v>
      </c>
      <c r="Z4942" s="28">
        <v>144726000</v>
      </c>
      <c r="AA4942" s="28">
        <v>503999000</v>
      </c>
      <c r="AB4942" s="28"/>
      <c r="AC4942" s="28">
        <v>437741000</v>
      </c>
      <c r="AD4942" s="28">
        <v>144746000</v>
      </c>
      <c r="AE4942" s="28">
        <v>4083300000</v>
      </c>
      <c r="AF4942" s="28">
        <v>22851000</v>
      </c>
      <c r="AG4942" s="11"/>
    </row>
    <row r="4943">
      <c r="A4943" s="7" t="s">
        <v>6567</v>
      </c>
      <c r="B4943" s="5" t="s">
        <v>14527</v>
      </c>
      <c r="C4943" s="5" t="s">
        <v>22254</v>
      </c>
      <c r="D4943" s="5" t="str">
        <v>780701143462</v>
      </c>
      <c r="E4943" s="0" t="e">
        <f>+7 (495) 7803040</f>
        <v>#NAME?</v>
      </c>
      <c r="F4943" s="5" t="s">
        <v>40019</v>
      </c>
      <c r="G4943" s="5"/>
      <c r="H4943" s="26">
        <v>2</v>
      </c>
      <c r="I4943" s="5"/>
      <c r="J4943" s="5" t="s">
        <v>32180</v>
      </c>
      <c r="K4943" s="5" t="s">
        <v>344</v>
      </c>
      <c r="L4943" s="5"/>
      <c r="M4943" s="27"/>
      <c r="N4943" s="5"/>
      <c r="O4943" s="5" t="str">
        <v>7707448079</v>
      </c>
      <c r="P4943" s="27">
        <v>76800407200</v>
      </c>
      <c r="Q4943" s="5"/>
      <c r="R4943" s="5"/>
      <c r="S4943" s="5" t="s">
        <v>49110</v>
      </c>
      <c r="T4943" s="28">
        <v>344000</v>
      </c>
      <c r="U4943" s="28">
        <v>76807307000</v>
      </c>
      <c r="V4943" s="28">
        <v>5461019000</v>
      </c>
      <c r="W4943" s="28"/>
      <c r="X4943" s="28">
        <v>19819000</v>
      </c>
      <c r="Y4943" s="28">
        <v>82291452000</v>
      </c>
      <c r="Z4943" s="28">
        <v>5479971000</v>
      </c>
      <c r="AA4943" s="28"/>
      <c r="AB4943" s="28"/>
      <c r="AC4943" s="28">
        <v>10661000</v>
      </c>
      <c r="AD4943" s="28">
        <v>82280378000</v>
      </c>
      <c r="AE4943" s="28">
        <v>14635922000</v>
      </c>
      <c r="AF4943" s="28">
        <v>14630060000</v>
      </c>
      <c r="AG4943" s="11"/>
    </row>
    <row r="4944">
      <c r="A4944" s="7" t="s">
        <v>6568</v>
      </c>
      <c r="B4944" s="5" t="s">
        <v>14528</v>
      </c>
      <c r="C4944" s="5" t="s">
        <v>22255</v>
      </c>
      <c r="D4944" s="5" t="str">
        <v>772822294030</v>
      </c>
      <c r="E4944" s="0" t="e">
        <f>+7 (495) 7893040</f>
        <v>#NAME?</v>
      </c>
      <c r="F4944" s="5" t="s">
        <v>40019</v>
      </c>
      <c r="G4944" s="5"/>
      <c r="H4944" s="26">
        <v>5.5</v>
      </c>
      <c r="I4944" s="5" t="s">
        <v>40020</v>
      </c>
      <c r="J4944" s="5" t="s">
        <v>25376</v>
      </c>
      <c r="K4944" s="5" t="s">
        <v>344</v>
      </c>
      <c r="L4944" s="5" t="s">
        <v>34904</v>
      </c>
      <c r="M4944" s="27"/>
      <c r="N4944" s="5" t="s">
        <v>56901</v>
      </c>
      <c r="O4944" s="5" t="str">
        <v>9715306770</v>
      </c>
      <c r="P4944" s="27">
        <v>44143939000</v>
      </c>
      <c r="Q4944" s="5" t="s">
        <v>49009</v>
      </c>
      <c r="R4944" s="5" t="s">
        <v>50492</v>
      </c>
      <c r="S4944" s="5" t="s">
        <v>49010</v>
      </c>
      <c r="T4944" s="28">
        <v>1715000</v>
      </c>
      <c r="U4944" s="28">
        <v>66592039000</v>
      </c>
      <c r="V4944" s="28">
        <v>5467582000</v>
      </c>
      <c r="W4944" s="28"/>
      <c r="X4944" s="28">
        <v>13563000</v>
      </c>
      <c r="Y4944" s="28">
        <v>72075371000</v>
      </c>
      <c r="Z4944" s="28">
        <v>17724595000</v>
      </c>
      <c r="AA4944" s="28"/>
      <c r="AB4944" s="28"/>
      <c r="AC4944" s="28">
        <v>5454646000</v>
      </c>
      <c r="AD4944" s="28">
        <v>66618534000</v>
      </c>
      <c r="AE4944" s="28">
        <v>14612632000</v>
      </c>
      <c r="AF4944" s="28">
        <v>14613022000</v>
      </c>
      <c r="AG4944" s="11"/>
    </row>
    <row r="4945">
      <c r="A4945" s="7" t="s">
        <v>6569</v>
      </c>
      <c r="B4945" s="5" t="s">
        <v>14529</v>
      </c>
      <c r="C4945" s="5" t="s">
        <v>22256</v>
      </c>
      <c r="D4945" s="5" t="str">
        <v>666202562417</v>
      </c>
      <c r="E4945" s="0" t="e">
        <f>+7 (343) 3100106
+7 (343) 3565111
+7 (343) 3762830
+7 (343) 3763830</f>
        <v>#NAME?</v>
      </c>
      <c r="F4945" s="5" t="s">
        <v>40021</v>
      </c>
      <c r="G4945" s="5"/>
      <c r="H4945" s="26">
        <v>22.5</v>
      </c>
      <c r="I4945" s="5" t="s">
        <v>40022</v>
      </c>
      <c r="J4945" s="5" t="s">
        <v>755</v>
      </c>
      <c r="K4945" s="5" t="s">
        <v>344</v>
      </c>
      <c r="L4945" s="5"/>
      <c r="M4945" s="27">
        <v>1578132</v>
      </c>
      <c r="N4945" s="5" t="s">
        <v>56902</v>
      </c>
      <c r="O4945" s="5" t="str">
        <v>6660149600</v>
      </c>
      <c r="P4945" s="27">
        <v>10000000</v>
      </c>
      <c r="Q4945" s="5" t="s">
        <v>56903</v>
      </c>
      <c r="R4945" s="5"/>
      <c r="S4945" s="5" t="s">
        <v>56904</v>
      </c>
      <c r="T4945" s="28">
        <v>953857000</v>
      </c>
      <c r="U4945" s="28">
        <v>15089000</v>
      </c>
      <c r="V4945" s="28">
        <v>1302555000</v>
      </c>
      <c r="W4945" s="28">
        <v>2183231000</v>
      </c>
      <c r="X4945" s="28">
        <v>314931000</v>
      </c>
      <c r="Y4945" s="28">
        <v>8409258000</v>
      </c>
      <c r="Z4945" s="28">
        <v>6502962000</v>
      </c>
      <c r="AA4945" s="28"/>
      <c r="AB4945" s="28"/>
      <c r="AC4945" s="28">
        <v>1719479000</v>
      </c>
      <c r="AD4945" s="28">
        <v>6527427000</v>
      </c>
      <c r="AE4945" s="28">
        <v>4570907000</v>
      </c>
      <c r="AF4945" s="28">
        <v>679891000</v>
      </c>
      <c r="AG4945" s="11"/>
    </row>
    <row r="4946">
      <c r="A4946" s="7" t="s">
        <v>6570</v>
      </c>
      <c r="B4946" s="5" t="s">
        <v>14530</v>
      </c>
      <c r="C4946" s="5" t="s">
        <v>22257</v>
      </c>
      <c r="D4946" s="5" t="str">
        <v>420534522960</v>
      </c>
      <c r="E4946" s="0" t="e">
        <f>+7 (3012) 379199</f>
        <v>#NAME?</v>
      </c>
      <c r="F4946" s="5"/>
      <c r="G4946" s="5"/>
      <c r="H4946" s="26">
        <v>6</v>
      </c>
      <c r="I4946" s="5" t="s">
        <v>34290</v>
      </c>
      <c r="J4946" s="5" t="s">
        <v>25738</v>
      </c>
      <c r="K4946" s="5" t="s">
        <v>344</v>
      </c>
      <c r="L4946" s="5"/>
      <c r="M4946" s="27">
        <v>223412</v>
      </c>
      <c r="N4946" s="5"/>
      <c r="O4946" s="5" t="str">
        <v>0326551772</v>
      </c>
      <c r="P4946" s="27">
        <v>1000000</v>
      </c>
      <c r="Q4946" s="5" t="s">
        <v>49059</v>
      </c>
      <c r="R4946" s="5"/>
      <c r="S4946" s="5" t="s">
        <v>49045</v>
      </c>
      <c r="T4946" s="28">
        <v>21972000</v>
      </c>
      <c r="U4946" s="28"/>
      <c r="V4946" s="28">
        <v>248957000</v>
      </c>
      <c r="W4946" s="28">
        <v>150000000</v>
      </c>
      <c r="X4946" s="28">
        <v>68331000</v>
      </c>
      <c r="Y4946" s="28">
        <v>1271817000</v>
      </c>
      <c r="Z4946" s="28">
        <v>34192000</v>
      </c>
      <c r="AA4946" s="28"/>
      <c r="AB4946" s="28">
        <v>73050000</v>
      </c>
      <c r="AC4946" s="28">
        <v>1236625000</v>
      </c>
      <c r="AD4946" s="28">
        <v>35192000</v>
      </c>
      <c r="AE4946" s="28">
        <v>4396819000</v>
      </c>
      <c r="AF4946" s="28">
        <v>294068000</v>
      </c>
      <c r="AG4946" s="11"/>
    </row>
    <row r="4947">
      <c r="A4947" s="7" t="s">
        <v>6571</v>
      </c>
      <c r="B4947" s="5" t="s">
        <v>14531</v>
      </c>
      <c r="C4947" s="5" t="s">
        <v>22258</v>
      </c>
      <c r="D4947" s="5" t="str">
        <v>503001526162</v>
      </c>
      <c r="E4947" s="0" t="e">
        <f>+7 (905) 7642215</f>
        <v>#NAME?</v>
      </c>
      <c r="F4947" s="5" t="s">
        <v>40023</v>
      </c>
      <c r="G4947" s="5" t="s">
        <v>40024</v>
      </c>
      <c r="H4947" s="26">
        <v>12.5</v>
      </c>
      <c r="I4947" s="5" t="s">
        <v>40025</v>
      </c>
      <c r="J4947" s="5" t="s">
        <v>25424</v>
      </c>
      <c r="K4947" s="5" t="s">
        <v>344</v>
      </c>
      <c r="L4947" s="5" t="s">
        <v>40026</v>
      </c>
      <c r="M4947" s="27"/>
      <c r="N4947" s="5" t="s">
        <v>56905</v>
      </c>
      <c r="O4947" s="5" t="str">
        <v>7705929965</v>
      </c>
      <c r="P4947" s="27">
        <v>100000</v>
      </c>
      <c r="Q4947" s="5" t="s">
        <v>49009</v>
      </c>
      <c r="R4947" s="5"/>
      <c r="S4947" s="5" t="s">
        <v>49012</v>
      </c>
      <c r="T4947" s="28">
        <v>1182000</v>
      </c>
      <c r="U4947" s="28"/>
      <c r="V4947" s="28">
        <v>366210000</v>
      </c>
      <c r="W4947" s="28"/>
      <c r="X4947" s="28">
        <v>9233000</v>
      </c>
      <c r="Y4947" s="28">
        <v>729021000</v>
      </c>
      <c r="Z4947" s="28">
        <v>236722000</v>
      </c>
      <c r="AA4947" s="28">
        <v>15955000</v>
      </c>
      <c r="AB4947" s="28"/>
      <c r="AC4947" s="28">
        <v>476245000</v>
      </c>
      <c r="AD4947" s="28">
        <v>236822000</v>
      </c>
      <c r="AE4947" s="28">
        <v>3117462000</v>
      </c>
      <c r="AF4947" s="28">
        <v>85408000</v>
      </c>
      <c r="AG4947" s="11"/>
    </row>
    <row r="4948">
      <c r="A4948" s="7" t="s">
        <v>6572</v>
      </c>
      <c r="B4948" s="5" t="s">
        <v>14532</v>
      </c>
      <c r="C4948" s="5" t="s">
        <v>22259</v>
      </c>
      <c r="D4948" s="5" t="str">
        <v>771305567664</v>
      </c>
      <c r="E4948" s="0" t="e">
        <f>+7 (495) 7307827</f>
        <v>#NAME?</v>
      </c>
      <c r="F4948" s="5"/>
      <c r="G4948" s="5"/>
      <c r="H4948" s="26">
        <v>8.5</v>
      </c>
      <c r="I4948" s="5" t="s">
        <v>40027</v>
      </c>
      <c r="J4948" s="5" t="s">
        <v>28108</v>
      </c>
      <c r="K4948" s="5" t="s">
        <v>344</v>
      </c>
      <c r="L4948" s="5" t="s">
        <v>40028</v>
      </c>
      <c r="M4948" s="27"/>
      <c r="N4948" s="5"/>
      <c r="O4948" s="5" t="str">
        <v>9715002348</v>
      </c>
      <c r="P4948" s="27">
        <v>8000000</v>
      </c>
      <c r="Q4948" s="5" t="s">
        <v>49009</v>
      </c>
      <c r="R4948" s="5"/>
      <c r="S4948" s="5" t="s">
        <v>49010</v>
      </c>
      <c r="T4948" s="28"/>
      <c r="U4948" s="28">
        <v>51447206000</v>
      </c>
      <c r="V4948" s="28">
        <v>117000</v>
      </c>
      <c r="W4948" s="28"/>
      <c r="X4948" s="28">
        <v>296000</v>
      </c>
      <c r="Y4948" s="28">
        <v>51447973000</v>
      </c>
      <c r="Z4948" s="28">
        <v>46348528000</v>
      </c>
      <c r="AA4948" s="28"/>
      <c r="AB4948" s="28"/>
      <c r="AC4948" s="28">
        <v>28000</v>
      </c>
      <c r="AD4948" s="28">
        <v>47054002000</v>
      </c>
      <c r="AE4948" s="28">
        <v>6490800000</v>
      </c>
      <c r="AF4948" s="28">
        <v>6490476000</v>
      </c>
      <c r="AG4948" s="11"/>
    </row>
    <row r="4949">
      <c r="A4949" s="7" t="s">
        <v>6573</v>
      </c>
      <c r="B4949" s="5" t="s">
        <v>14533</v>
      </c>
      <c r="C4949" s="5" t="s">
        <v>22260</v>
      </c>
      <c r="D4949" s="5" t="str">
        <v>540698038954</v>
      </c>
      <c r="E4949" s="0" t="e">
        <f>+7 (985) 7662410
+7 (495) 2312859
+7 (495) 7373558
+7 (499) 2312859
+7 (499) 2312861</f>
        <v>#NAME?</v>
      </c>
      <c r="F4949" s="5" t="s">
        <v>40029</v>
      </c>
      <c r="G4949" s="5" t="s">
        <v>40030</v>
      </c>
      <c r="H4949" s="26">
        <v>20</v>
      </c>
      <c r="I4949" s="5" t="s">
        <v>40031</v>
      </c>
      <c r="J4949" s="5" t="s">
        <v>25429</v>
      </c>
      <c r="K4949" s="5" t="s">
        <v>344</v>
      </c>
      <c r="L4949" s="5" t="s">
        <v>40032</v>
      </c>
      <c r="M4949" s="27"/>
      <c r="N4949" s="5" t="s">
        <v>56906</v>
      </c>
      <c r="O4949" s="5" t="str">
        <v>5029067462</v>
      </c>
      <c r="P4949" s="27">
        <v>10000</v>
      </c>
      <c r="Q4949" s="5" t="s">
        <v>49009</v>
      </c>
      <c r="R4949" s="5"/>
      <c r="S4949" s="5" t="s">
        <v>49028</v>
      </c>
      <c r="T4949" s="28">
        <v>67190000</v>
      </c>
      <c r="U4949" s="28"/>
      <c r="V4949" s="28">
        <v>903479000</v>
      </c>
      <c r="W4949" s="28">
        <v>10039000</v>
      </c>
      <c r="X4949" s="28">
        <v>43465000</v>
      </c>
      <c r="Y4949" s="28">
        <v>1909138000</v>
      </c>
      <c r="Z4949" s="28">
        <v>893778000</v>
      </c>
      <c r="AA4949" s="28"/>
      <c r="AB4949" s="28"/>
      <c r="AC4949" s="28">
        <v>1004888000</v>
      </c>
      <c r="AD4949" s="28">
        <v>893788000</v>
      </c>
      <c r="AE4949" s="28">
        <v>4896065000</v>
      </c>
      <c r="AF4949" s="28">
        <v>349170000</v>
      </c>
      <c r="AG4949" s="11"/>
    </row>
    <row r="4950">
      <c r="A4950" s="7" t="s">
        <v>6574</v>
      </c>
      <c r="B4950" s="5" t="s">
        <v>14534</v>
      </c>
      <c r="C4950" s="5" t="s">
        <v>22261</v>
      </c>
      <c r="D4950" s="5" t="str">
        <v>771915707369</v>
      </c>
      <c r="F4950" s="5"/>
      <c r="G4950" s="5"/>
      <c r="H4950" s="26">
        <v>4.5</v>
      </c>
      <c r="I4950" s="5" t="s">
        <v>40033</v>
      </c>
      <c r="J4950" s="5" t="s">
        <v>40034</v>
      </c>
      <c r="K4950" s="5" t="s">
        <v>344</v>
      </c>
      <c r="L4950" s="5"/>
      <c r="M4950" s="27"/>
      <c r="N4950" s="5" t="s">
        <v>56907</v>
      </c>
      <c r="O4950" s="5" t="str">
        <v>9731012061</v>
      </c>
      <c r="P4950" s="27">
        <v>120000</v>
      </c>
      <c r="Q4950" s="5" t="s">
        <v>56908</v>
      </c>
      <c r="R4950" s="5"/>
      <c r="S4950" s="5" t="s">
        <v>56909</v>
      </c>
      <c r="T4950" s="28">
        <v>60791000</v>
      </c>
      <c r="U4950" s="28"/>
      <c r="V4950" s="28">
        <v>3825887000</v>
      </c>
      <c r="W4950" s="28"/>
      <c r="X4950" s="28">
        <v>425744000</v>
      </c>
      <c r="Y4950" s="28">
        <v>6557559000</v>
      </c>
      <c r="Z4950" s="28"/>
      <c r="AA4950" s="28">
        <v>130000</v>
      </c>
      <c r="AB4950" s="28"/>
      <c r="AC4950" s="28">
        <v>6450930000</v>
      </c>
      <c r="AD4950" s="28">
        <v>89911000</v>
      </c>
      <c r="AE4950" s="28">
        <v>4637903000</v>
      </c>
      <c r="AF4950" s="28">
        <v>88959000</v>
      </c>
      <c r="AG4950" s="11"/>
    </row>
    <row r="4951">
      <c r="A4951" s="7" t="s">
        <v>6575</v>
      </c>
      <c r="B4951" s="5" t="s">
        <v>14535</v>
      </c>
      <c r="C4951" s="5" t="s">
        <v>22262</v>
      </c>
      <c r="D4951" s="5" t="str">
        <v>366212648560</v>
      </c>
      <c r="E4951" s="0" t="e">
        <f>+7 (4712) 220228
+7 (4712) 270107
+7 (4712) 270108
+7 (472) 2231278
+7 (473) 2070697
+7 (473) 2205820
+7 (473) 2392995
+7 (473) 2396000
+7 (473) 2639563
+7 (473) 2801331
+7 (47391) 49551
+7 (47396) 20934
+7 (47396) 21384
+7 (47396) 21603
+7 (800) 5051349</f>
        <v>#NAME?</v>
      </c>
      <c r="F4951" s="5"/>
      <c r="G4951" s="5"/>
      <c r="H4951" s="26">
        <v>30.5</v>
      </c>
      <c r="I4951" s="5" t="s">
        <v>40035</v>
      </c>
      <c r="J4951" s="5" t="s">
        <v>25337</v>
      </c>
      <c r="K4951" s="5" t="s">
        <v>344</v>
      </c>
      <c r="L4951" s="5"/>
      <c r="M4951" s="27">
        <v>690190</v>
      </c>
      <c r="N4951" s="5" t="s">
        <v>56910</v>
      </c>
      <c r="O4951" s="5" t="str">
        <v>3662061709</v>
      </c>
      <c r="P4951" s="27">
        <v>51840650</v>
      </c>
      <c r="Q4951" s="5" t="s">
        <v>49009</v>
      </c>
      <c r="R4951" s="5"/>
      <c r="S4951" s="5" t="s">
        <v>49012</v>
      </c>
      <c r="T4951" s="28">
        <v>536087000</v>
      </c>
      <c r="U4951" s="28"/>
      <c r="V4951" s="28">
        <v>849433000</v>
      </c>
      <c r="W4951" s="28">
        <v>26144000</v>
      </c>
      <c r="X4951" s="28">
        <v>16455000</v>
      </c>
      <c r="Y4951" s="28">
        <v>3381100000</v>
      </c>
      <c r="Z4951" s="28">
        <v>827342000</v>
      </c>
      <c r="AA4951" s="28">
        <v>210000000</v>
      </c>
      <c r="AB4951" s="28">
        <v>490000000</v>
      </c>
      <c r="AC4951" s="28">
        <v>2291868000</v>
      </c>
      <c r="AD4951" s="28">
        <v>879232000</v>
      </c>
      <c r="AE4951" s="28">
        <v>7885619000</v>
      </c>
      <c r="AF4951" s="28">
        <v>14600000</v>
      </c>
      <c r="AG4951" s="11"/>
    </row>
    <row r="4952">
      <c r="A4952" s="7" t="s">
        <v>6576</v>
      </c>
      <c r="B4952" s="5" t="s">
        <v>14536</v>
      </c>
      <c r="C4952" s="5" t="s">
        <v>22263</v>
      </c>
      <c r="D4952" s="5" t="str">
        <v>972900313048</v>
      </c>
      <c r="E4952" s="0" t="e">
        <f>+7 (495) 2329331
+7 (343) 3021018
+7 (383) 3120510
+7 (383) 3120520
+7 (421) 2451155
+7 (495) 2329330
+7 (495) 5101970
+7 (495) 5101971
+7 (495) 5101972
+7 (49644) 11102
+7 (49644) 11170
+7 (49644) 11195
+7 (812) 3291267
+7 (84699) 35007
+7 (863) 3091660</f>
        <v>#NAME?</v>
      </c>
      <c r="F4952" s="5" t="s">
        <v>40036</v>
      </c>
      <c r="G4952" s="5" t="s">
        <v>40037</v>
      </c>
      <c r="H4952" s="26">
        <v>26.5</v>
      </c>
      <c r="I4952" s="5"/>
      <c r="J4952" s="5" t="s">
        <v>678</v>
      </c>
      <c r="K4952" s="5" t="s">
        <v>344</v>
      </c>
      <c r="L4952" s="5" t="s">
        <v>40038</v>
      </c>
      <c r="M4952" s="27"/>
      <c r="N4952" s="5"/>
      <c r="O4952" s="5" t="str">
        <v>7707131508</v>
      </c>
      <c r="P4952" s="27">
        <v>54900000</v>
      </c>
      <c r="Q4952" s="5" t="s">
        <v>49009</v>
      </c>
      <c r="R4952" s="5"/>
      <c r="S4952" s="5" t="s">
        <v>49066</v>
      </c>
      <c r="T4952" s="28">
        <v>688908000</v>
      </c>
      <c r="U4952" s="28"/>
      <c r="V4952" s="28">
        <v>1528825000</v>
      </c>
      <c r="W4952" s="28"/>
      <c r="X4952" s="28">
        <v>574888000</v>
      </c>
      <c r="Y4952" s="28">
        <v>4079806000</v>
      </c>
      <c r="Z4952" s="28">
        <v>2024593000</v>
      </c>
      <c r="AA4952" s="28">
        <v>843740000</v>
      </c>
      <c r="AB4952" s="28"/>
      <c r="AC4952" s="28">
        <v>366777000</v>
      </c>
      <c r="AD4952" s="28">
        <v>2688779000</v>
      </c>
      <c r="AE4952" s="28">
        <v>6721448000</v>
      </c>
      <c r="AF4952" s="28">
        <v>650720000</v>
      </c>
      <c r="AG4952" s="11"/>
    </row>
    <row r="4953">
      <c r="A4953" s="7" t="s">
        <v>6577</v>
      </c>
      <c r="B4953" s="5" t="s">
        <v>14537</v>
      </c>
      <c r="C4953" s="5" t="s">
        <v>22264</v>
      </c>
      <c r="D4953" s="5" t="str">
        <v>645103952490</v>
      </c>
      <c r="E4953" s="0" t="e">
        <f>+7 (495) 4810125</f>
        <v>#NAME?</v>
      </c>
      <c r="F4953" s="5" t="s">
        <v>40039</v>
      </c>
      <c r="G4953" s="5" t="s">
        <v>40040</v>
      </c>
      <c r="H4953" s="26">
        <v>4</v>
      </c>
      <c r="I4953" s="5" t="s">
        <v>40041</v>
      </c>
      <c r="J4953" s="5" t="s">
        <v>364</v>
      </c>
      <c r="K4953" s="5" t="s">
        <v>344</v>
      </c>
      <c r="L4953" s="5" t="s">
        <v>29289</v>
      </c>
      <c r="M4953" s="27">
        <v>17884345</v>
      </c>
      <c r="N4953" s="5"/>
      <c r="O4953" s="5" t="str">
        <v>7703472810</v>
      </c>
      <c r="P4953" s="27">
        <v>100000</v>
      </c>
      <c r="Q4953" s="5"/>
      <c r="R4953" s="5"/>
      <c r="S4953" s="5" t="s">
        <v>49121</v>
      </c>
      <c r="T4953" s="28">
        <v>197568000</v>
      </c>
      <c r="U4953" s="28"/>
      <c r="V4953" s="28">
        <v>1093357000</v>
      </c>
      <c r="W4953" s="28"/>
      <c r="X4953" s="28">
        <v>502745000</v>
      </c>
      <c r="Y4953" s="28">
        <v>2225510000</v>
      </c>
      <c r="Z4953" s="28">
        <v>167001000</v>
      </c>
      <c r="AA4953" s="28"/>
      <c r="AB4953" s="28"/>
      <c r="AC4953" s="28">
        <v>2026347000</v>
      </c>
      <c r="AD4953" s="28">
        <v>167101000</v>
      </c>
      <c r="AE4953" s="28">
        <v>3793082000</v>
      </c>
      <c r="AF4953" s="28">
        <v>161939000</v>
      </c>
      <c r="AG4953" s="11"/>
    </row>
    <row r="4954">
      <c r="A4954" s="7" t="s">
        <v>6578</v>
      </c>
      <c r="B4954" s="5" t="s">
        <v>14538</v>
      </c>
      <c r="C4954" s="5" t="s">
        <v>22265</v>
      </c>
      <c r="D4954" s="5" t="str">
        <v>502498717844</v>
      </c>
      <c r="E4954" s="0" t="e">
        <f>+7 (499) 5500992</f>
        <v>#NAME?</v>
      </c>
      <c r="F4954" s="5"/>
      <c r="G4954" s="5"/>
      <c r="H4954" s="26">
        <v>4</v>
      </c>
      <c r="I4954" s="5"/>
      <c r="J4954" s="5" t="s">
        <v>27182</v>
      </c>
      <c r="K4954" s="5" t="s">
        <v>344</v>
      </c>
      <c r="L4954" s="5"/>
      <c r="M4954" s="27"/>
      <c r="N4954" s="5"/>
      <c r="O4954" s="5" t="str">
        <v>7728459522</v>
      </c>
      <c r="P4954" s="27">
        <v>100000</v>
      </c>
      <c r="Q4954" s="5" t="s">
        <v>49009</v>
      </c>
      <c r="R4954" s="5"/>
      <c r="S4954" s="5" t="s">
        <v>49010</v>
      </c>
      <c r="T4954" s="28">
        <v>34974000</v>
      </c>
      <c r="U4954" s="28"/>
      <c r="V4954" s="28">
        <v>5211572000</v>
      </c>
      <c r="W4954" s="28"/>
      <c r="X4954" s="28">
        <v>1234000</v>
      </c>
      <c r="Y4954" s="28">
        <v>14413424000</v>
      </c>
      <c r="Z4954" s="28">
        <v>1206786000</v>
      </c>
      <c r="AA4954" s="28"/>
      <c r="AB4954" s="28"/>
      <c r="AC4954" s="28">
        <v>12817601000</v>
      </c>
      <c r="AD4954" s="28">
        <v>1206891000</v>
      </c>
      <c r="AE4954" s="28">
        <v>13768155000</v>
      </c>
      <c r="AF4954" s="28">
        <v>1204522000</v>
      </c>
      <c r="AG4954" s="11"/>
    </row>
    <row r="4955">
      <c r="A4955" s="7" t="s">
        <v>6579</v>
      </c>
      <c r="B4955" s="5" t="s">
        <v>14539</v>
      </c>
      <c r="C4955" s="5" t="s">
        <v>22266</v>
      </c>
      <c r="D4955" s="5" t="str">
        <v>344707503507</v>
      </c>
      <c r="E4955" s="0" t="e">
        <f>+7 (86554) 66602
+7 (927) 5212350
+7 (86554) 69046
+7 (927) 2546184
+7 (928) 88208
+7 (928) 2642260</f>
        <v>#NAME?</v>
      </c>
      <c r="F4955" s="5" t="s">
        <v>40042</v>
      </c>
      <c r="G4955" s="5"/>
      <c r="H4955" s="26">
        <v>20</v>
      </c>
      <c r="I4955" s="5" t="s">
        <v>40043</v>
      </c>
      <c r="J4955" s="5" t="s">
        <v>26292</v>
      </c>
      <c r="K4955" s="5" t="s">
        <v>355</v>
      </c>
      <c r="L4955" s="5" t="s">
        <v>40044</v>
      </c>
      <c r="M4955" s="27">
        <v>2005973</v>
      </c>
      <c r="N4955" s="5"/>
      <c r="O4955" s="5" t="str">
        <v>2631024624</v>
      </c>
      <c r="P4955" s="27">
        <v>10000</v>
      </c>
      <c r="Q4955" s="5" t="s">
        <v>49021</v>
      </c>
      <c r="R4955" s="5"/>
      <c r="S4955" s="5" t="s">
        <v>56911</v>
      </c>
      <c r="T4955" s="28">
        <v>10366000</v>
      </c>
      <c r="U4955" s="28"/>
      <c r="V4955" s="28">
        <v>9495811000</v>
      </c>
      <c r="W4955" s="28">
        <v>8450000</v>
      </c>
      <c r="X4955" s="28">
        <v>8000</v>
      </c>
      <c r="Y4955" s="28">
        <v>9541440000</v>
      </c>
      <c r="Z4955" s="28">
        <v>236454000</v>
      </c>
      <c r="AA4955" s="28">
        <v>2944601000</v>
      </c>
      <c r="AB4955" s="28">
        <v>71361000</v>
      </c>
      <c r="AC4955" s="28">
        <v>6334890000</v>
      </c>
      <c r="AD4955" s="28">
        <v>236464000</v>
      </c>
      <c r="AE4955" s="28">
        <v>21105046000</v>
      </c>
      <c r="AF4955" s="28">
        <v>53286000</v>
      </c>
      <c r="AG4955" s="11"/>
    </row>
    <row r="4956">
      <c r="A4956" s="7" t="s">
        <v>6580</v>
      </c>
      <c r="B4956" s="5" t="s">
        <v>14540</v>
      </c>
      <c r="C4956" s="5" t="s">
        <v>22267</v>
      </c>
      <c r="D4956" s="5" t="str">
        <v>342802683180</v>
      </c>
      <c r="E4956" s="0" t="e">
        <f>+7 (499) 6488444
+7 (985) 3919691
+7 (917) 3372330</f>
        <v>#NAME?</v>
      </c>
      <c r="F4956" s="5" t="s">
        <v>40045</v>
      </c>
      <c r="G4956" s="5"/>
      <c r="H4956" s="26">
        <v>3.5</v>
      </c>
      <c r="I4956" s="5" t="s">
        <v>40046</v>
      </c>
      <c r="J4956" s="5" t="s">
        <v>678</v>
      </c>
      <c r="K4956" s="5" t="s">
        <v>344</v>
      </c>
      <c r="L4956" s="5" t="s">
        <v>40047</v>
      </c>
      <c r="M4956" s="27"/>
      <c r="N4956" s="5" t="s">
        <v>56912</v>
      </c>
      <c r="O4956" s="5" t="str">
        <v>7733340716</v>
      </c>
      <c r="P4956" s="27">
        <v>10000</v>
      </c>
      <c r="Q4956" s="5" t="s">
        <v>49021</v>
      </c>
      <c r="R4956" s="5"/>
      <c r="S4956" s="5" t="s">
        <v>56913</v>
      </c>
      <c r="T4956" s="28"/>
      <c r="U4956" s="28"/>
      <c r="V4956" s="28">
        <v>187700000</v>
      </c>
      <c r="W4956" s="28">
        <v>25500000</v>
      </c>
      <c r="X4956" s="28">
        <v>18116000</v>
      </c>
      <c r="Y4956" s="28">
        <v>369787000</v>
      </c>
      <c r="Z4956" s="28">
        <v>257186000</v>
      </c>
      <c r="AA4956" s="28"/>
      <c r="AB4956" s="28">
        <v>44555000</v>
      </c>
      <c r="AC4956" s="28">
        <v>112591000</v>
      </c>
      <c r="AD4956" s="28">
        <v>257196000</v>
      </c>
      <c r="AE4956" s="28">
        <v>3229199000</v>
      </c>
      <c r="AF4956" s="28">
        <v>106626000</v>
      </c>
      <c r="AG4956" s="11"/>
    </row>
    <row r="4957">
      <c r="A4957" s="7" t="s">
        <v>6581</v>
      </c>
      <c r="B4957" s="5" t="s">
        <v>14541</v>
      </c>
      <c r="C4957" s="5" t="s">
        <v>22268</v>
      </c>
      <c r="D4957" s="5" t="str">
        <v>504790777846</v>
      </c>
      <c r="E4957" s="0" t="e">
        <f>+7 (495) 9263227
+7 (495) 8408976</f>
        <v>#NAME?</v>
      </c>
      <c r="F4957" s="5"/>
      <c r="G4957" s="5" t="s">
        <v>40048</v>
      </c>
      <c r="H4957" s="26">
        <v>13</v>
      </c>
      <c r="I4957" s="5" t="s">
        <v>40049</v>
      </c>
      <c r="J4957" s="5" t="s">
        <v>29296</v>
      </c>
      <c r="K4957" s="5" t="s">
        <v>344</v>
      </c>
      <c r="L4957" s="5" t="s">
        <v>40050</v>
      </c>
      <c r="M4957" s="27"/>
      <c r="N4957" s="5"/>
      <c r="O4957" s="5" t="str">
        <v>5074114435</v>
      </c>
      <c r="P4957" s="27">
        <v>11000</v>
      </c>
      <c r="Q4957" s="5"/>
      <c r="R4957" s="5"/>
      <c r="S4957" s="5" t="s">
        <v>49029</v>
      </c>
      <c r="T4957" s="28">
        <v>310983000</v>
      </c>
      <c r="U4957" s="28"/>
      <c r="V4957" s="28">
        <v>334583000</v>
      </c>
      <c r="W4957" s="28"/>
      <c r="X4957" s="28">
        <v>135120000</v>
      </c>
      <c r="Y4957" s="28">
        <v>3067195000</v>
      </c>
      <c r="Z4957" s="28">
        <v>2652895000</v>
      </c>
      <c r="AA4957" s="28">
        <v>2860000</v>
      </c>
      <c r="AB4957" s="28">
        <v>7750000</v>
      </c>
      <c r="AC4957" s="28">
        <v>409516000</v>
      </c>
      <c r="AD4957" s="28">
        <v>2652906000</v>
      </c>
      <c r="AE4957" s="28">
        <v>5113173000</v>
      </c>
      <c r="AF4957" s="28">
        <v>888209000</v>
      </c>
      <c r="AG4957" s="11"/>
    </row>
    <row r="4958">
      <c r="A4958" s="7" t="s">
        <v>6582</v>
      </c>
      <c r="B4958" s="5" t="s">
        <v>14542</v>
      </c>
      <c r="C4958" s="5" t="s">
        <v>22269</v>
      </c>
      <c r="D4958" s="5" t="str">
        <v>504203180134</v>
      </c>
      <c r="F4958" s="5" t="s">
        <v>40051</v>
      </c>
      <c r="G4958" s="5"/>
      <c r="H4958" s="26">
        <v>18</v>
      </c>
      <c r="I4958" s="5" t="s">
        <v>40052</v>
      </c>
      <c r="J4958" s="5" t="s">
        <v>25738</v>
      </c>
      <c r="K4958" s="5" t="s">
        <v>355</v>
      </c>
      <c r="L4958" s="5" t="s">
        <v>40053</v>
      </c>
      <c r="M4958" s="27">
        <v>547988</v>
      </c>
      <c r="N4958" s="5" t="s">
        <v>56914</v>
      </c>
      <c r="O4958" s="5" t="str">
        <v>7720525780</v>
      </c>
      <c r="P4958" s="27">
        <v>2500000</v>
      </c>
      <c r="Q4958" s="5" t="s">
        <v>49009</v>
      </c>
      <c r="R4958" s="5"/>
      <c r="S4958" s="5" t="s">
        <v>49814</v>
      </c>
      <c r="T4958" s="28">
        <v>741286000</v>
      </c>
      <c r="U4958" s="28">
        <v>817923000</v>
      </c>
      <c r="V4958" s="28">
        <v>280616000</v>
      </c>
      <c r="W4958" s="28"/>
      <c r="X4958" s="28">
        <v>12537000</v>
      </c>
      <c r="Y4958" s="28">
        <v>2302214000</v>
      </c>
      <c r="Z4958" s="28">
        <v>105509000</v>
      </c>
      <c r="AA4958" s="28"/>
      <c r="AB4958" s="28"/>
      <c r="AC4958" s="28">
        <v>2194205000</v>
      </c>
      <c r="AD4958" s="28">
        <v>108009000</v>
      </c>
      <c r="AE4958" s="28">
        <v>3156737000</v>
      </c>
      <c r="AF4958" s="28">
        <v>36477000</v>
      </c>
      <c r="AG4958" s="11"/>
    </row>
    <row r="4959">
      <c r="A4959" s="7" t="s">
        <v>6583</v>
      </c>
      <c r="B4959" s="5" t="s">
        <v>14543</v>
      </c>
      <c r="C4959" s="5" t="s">
        <v>22270</v>
      </c>
      <c r="D4959" s="5" t="str">
        <v>616201106064</v>
      </c>
      <c r="E4959" s="0" t="e">
        <f>+7 (863) 2037920
+7 (863) 2037922
+7 (473) 2800080
+7 (844) 2781063
+7 (851) 2483035
+7 (863) 3330404
+7 (8632) 955325
+7 (8652) 333948
+7 (87933) 89426</f>
        <v>#NAME?</v>
      </c>
      <c r="F4959" s="5" t="s">
        <v>40054</v>
      </c>
      <c r="G4959" s="5"/>
      <c r="H4959" s="26">
        <v>18.5</v>
      </c>
      <c r="I4959" s="5" t="s">
        <v>40055</v>
      </c>
      <c r="J4959" s="5" t="s">
        <v>25259</v>
      </c>
      <c r="K4959" s="5" t="s">
        <v>344</v>
      </c>
      <c r="L4959" s="5" t="s">
        <v>40056</v>
      </c>
      <c r="M4959" s="27"/>
      <c r="N4959" s="5"/>
      <c r="O4959" s="5" t="str">
        <v>6167077308</v>
      </c>
      <c r="P4959" s="27">
        <v>220000</v>
      </c>
      <c r="Q4959" s="5" t="s">
        <v>50809</v>
      </c>
      <c r="R4959" s="5" t="s">
        <v>49904</v>
      </c>
      <c r="S4959" s="5" t="s">
        <v>56916</v>
      </c>
      <c r="T4959" s="28">
        <v>858061000</v>
      </c>
      <c r="U4959" s="28"/>
      <c r="V4959" s="28">
        <v>586873000</v>
      </c>
      <c r="W4959" s="28">
        <v>43916000</v>
      </c>
      <c r="X4959" s="28">
        <v>18010000</v>
      </c>
      <c r="Y4959" s="28">
        <v>5848165000</v>
      </c>
      <c r="Z4959" s="28">
        <v>3739494000</v>
      </c>
      <c r="AA4959" s="28">
        <v>403773000</v>
      </c>
      <c r="AB4959" s="28">
        <v>709061000</v>
      </c>
      <c r="AC4959" s="28">
        <v>1376832000</v>
      </c>
      <c r="AD4959" s="28">
        <v>3823711000</v>
      </c>
      <c r="AE4959" s="28">
        <v>12977380000</v>
      </c>
      <c r="AF4959" s="28">
        <v>1975255000</v>
      </c>
      <c r="AG4959" s="11"/>
    </row>
    <row r="4960">
      <c r="A4960" s="7" t="s">
        <v>6584</v>
      </c>
      <c r="B4960" s="5" t="s">
        <v>14544</v>
      </c>
      <c r="C4960" s="5" t="s">
        <v>22271</v>
      </c>
      <c r="D4960" s="5" t="str">
        <v>502408501628</v>
      </c>
      <c r="E4960" s="0" t="e">
        <f>+7 (495) 6401060
+7 (495) 6401061
+7 (495) 6401062
+7 (495) 6401063</f>
        <v>#NAME?</v>
      </c>
      <c r="F4960" s="5" t="s">
        <v>40057</v>
      </c>
      <c r="G4960" s="5" t="s">
        <v>40058</v>
      </c>
      <c r="H4960" s="26">
        <v>28.5</v>
      </c>
      <c r="I4960" s="5"/>
      <c r="J4960" s="5" t="s">
        <v>25429</v>
      </c>
      <c r="K4960" s="5" t="s">
        <v>380</v>
      </c>
      <c r="L4960" s="5" t="s">
        <v>40059</v>
      </c>
      <c r="M4960" s="27">
        <v>1374110977</v>
      </c>
      <c r="N4960" s="5" t="s">
        <v>56917</v>
      </c>
      <c r="O4960" s="5" t="str">
        <v>7719022542</v>
      </c>
      <c r="P4960" s="27">
        <v>205000</v>
      </c>
      <c r="Q4960" s="5" t="s">
        <v>56918</v>
      </c>
      <c r="R4960" s="5" t="s">
        <v>56919</v>
      </c>
      <c r="S4960" s="5" t="s">
        <v>56920</v>
      </c>
      <c r="T4960" s="28">
        <v>52137000</v>
      </c>
      <c r="U4960" s="28">
        <v>5005000</v>
      </c>
      <c r="V4960" s="28">
        <v>1673009000</v>
      </c>
      <c r="W4960" s="28">
        <v>3823000</v>
      </c>
      <c r="X4960" s="28">
        <v>6223000</v>
      </c>
      <c r="Y4960" s="28">
        <v>2386070000</v>
      </c>
      <c r="Z4960" s="28">
        <v>-8024504000</v>
      </c>
      <c r="AA4960" s="28">
        <v>96685000</v>
      </c>
      <c r="AB4960" s="28">
        <v>3489197000</v>
      </c>
      <c r="AC4960" s="28">
        <v>10311850000</v>
      </c>
      <c r="AD4960" s="28">
        <v>-8023981000</v>
      </c>
      <c r="AE4960" s="28">
        <v>25798050000</v>
      </c>
      <c r="AF4960" s="28">
        <v>-8779244000</v>
      </c>
      <c r="AG4960" s="11"/>
    </row>
    <row r="4961">
      <c r="A4961" s="7" t="s">
        <v>6585</v>
      </c>
      <c r="B4961" s="5" t="s">
        <v>14545</v>
      </c>
      <c r="C4961" s="5" t="s">
        <v>22272</v>
      </c>
      <c r="D4961" s="5" t="str">
        <v>772852072531</v>
      </c>
      <c r="E4961" s="0" t="e">
        <f>+7 (495) 1390110
+7 (800) 2345605</f>
        <v>#NAME?</v>
      </c>
      <c r="F4961" s="5" t="s">
        <v>40060</v>
      </c>
      <c r="G4961" s="5" t="s">
        <v>40061</v>
      </c>
      <c r="H4961" s="26">
        <v>4.5</v>
      </c>
      <c r="I4961" s="5" t="s">
        <v>40062</v>
      </c>
      <c r="J4961" s="5" t="s">
        <v>25612</v>
      </c>
      <c r="K4961" s="5" t="s">
        <v>344</v>
      </c>
      <c r="L4961" s="5" t="s">
        <v>40063</v>
      </c>
      <c r="M4961" s="27"/>
      <c r="N4961" s="5"/>
      <c r="O4961" s="5" t="str">
        <v>7708332599</v>
      </c>
      <c r="P4961" s="27">
        <v>100000</v>
      </c>
      <c r="Q4961" s="5" t="s">
        <v>49009</v>
      </c>
      <c r="R4961" s="5"/>
      <c r="S4961" s="5" t="s">
        <v>49901</v>
      </c>
      <c r="T4961" s="28">
        <v>6876000</v>
      </c>
      <c r="U4961" s="28"/>
      <c r="V4961" s="28">
        <v>124697000</v>
      </c>
      <c r="W4961" s="28">
        <v>34000000</v>
      </c>
      <c r="X4961" s="28">
        <v>57931000</v>
      </c>
      <c r="Y4961" s="28">
        <v>732955000</v>
      </c>
      <c r="Z4961" s="28">
        <v>139125000</v>
      </c>
      <c r="AA4961" s="28">
        <v>60000000</v>
      </c>
      <c r="AB4961" s="28">
        <v>382000</v>
      </c>
      <c r="AC4961" s="28">
        <v>526165000</v>
      </c>
      <c r="AD4961" s="28">
        <v>139225000</v>
      </c>
      <c r="AE4961" s="28">
        <v>3173133000</v>
      </c>
      <c r="AF4961" s="28">
        <v>68728000</v>
      </c>
      <c r="AG4961" s="11"/>
    </row>
    <row r="4962">
      <c r="A4962" s="7" t="s">
        <v>6586</v>
      </c>
      <c r="B4962" s="5" t="s">
        <v>14546</v>
      </c>
      <c r="C4962" s="5" t="s">
        <v>22273</v>
      </c>
      <c r="D4962" s="5" t="str">
        <v>120801412058</v>
      </c>
      <c r="E4962" s="0" t="e">
        <f>+7 (905) 7802555
+7 (495) 2553131
+7 (800) 3339096
+7 (903) 7411894</f>
        <v>#NAME?</v>
      </c>
      <c r="F4962" s="5" t="s">
        <v>40064</v>
      </c>
      <c r="G4962" s="5" t="s">
        <v>40065</v>
      </c>
      <c r="H4962" s="26">
        <v>10</v>
      </c>
      <c r="I4962" s="5" t="s">
        <v>40066</v>
      </c>
      <c r="J4962" s="5" t="s">
        <v>32092</v>
      </c>
      <c r="K4962" s="5" t="s">
        <v>344</v>
      </c>
      <c r="L4962" s="5" t="s">
        <v>40067</v>
      </c>
      <c r="M4962" s="27"/>
      <c r="N4962" s="5" t="s">
        <v>56921</v>
      </c>
      <c r="O4962" s="5" t="str">
        <v>5045053322</v>
      </c>
      <c r="P4962" s="27">
        <v>30000</v>
      </c>
      <c r="Q4962" s="5"/>
      <c r="R4962" s="5"/>
      <c r="S4962" s="5" t="s">
        <v>56922</v>
      </c>
      <c r="T4962" s="28">
        <v>1072484000</v>
      </c>
      <c r="U4962" s="28"/>
      <c r="V4962" s="28">
        <v>128270000</v>
      </c>
      <c r="W4962" s="28"/>
      <c r="X4962" s="28">
        <v>276000</v>
      </c>
      <c r="Y4962" s="28">
        <v>2201499000</v>
      </c>
      <c r="Z4962" s="28">
        <v>1015484000</v>
      </c>
      <c r="AA4962" s="28"/>
      <c r="AB4962" s="28">
        <v>236178000</v>
      </c>
      <c r="AC4962" s="28">
        <v>978596000</v>
      </c>
      <c r="AD4962" s="28">
        <v>1015514000</v>
      </c>
      <c r="AE4962" s="28">
        <v>5212664000</v>
      </c>
      <c r="AF4962" s="28">
        <v>287775000</v>
      </c>
      <c r="AG4962" s="11"/>
    </row>
    <row r="4963">
      <c r="A4963" s="7" t="s">
        <v>6587</v>
      </c>
      <c r="B4963" s="5" t="s">
        <v>14547</v>
      </c>
      <c r="C4963" s="5" t="s">
        <v>22274</v>
      </c>
      <c r="D4963" s="5" t="str">
        <v>230112272342</v>
      </c>
      <c r="E4963" s="0" t="e">
        <f>+7 (861) 2745900
+7 (989) 8134896
+7 (918) 4501652
+7 (928) 2467919</f>
        <v>#NAME?</v>
      </c>
      <c r="F4963" s="5" t="s">
        <v>40068</v>
      </c>
      <c r="G4963" s="5" t="s">
        <v>40069</v>
      </c>
      <c r="H4963" s="26">
        <v>18</v>
      </c>
      <c r="I4963" s="5" t="s">
        <v>40070</v>
      </c>
      <c r="J4963" s="5" t="s">
        <v>25216</v>
      </c>
      <c r="K4963" s="5" t="s">
        <v>344</v>
      </c>
      <c r="L4963" s="5" t="s">
        <v>40071</v>
      </c>
      <c r="M4963" s="27"/>
      <c r="N4963" s="5" t="s">
        <v>56923</v>
      </c>
      <c r="O4963" s="5" t="str">
        <v>2308104310</v>
      </c>
      <c r="P4963" s="27">
        <v>10000</v>
      </c>
      <c r="Q4963" s="5" t="s">
        <v>49009</v>
      </c>
      <c r="R4963" s="5"/>
      <c r="S4963" s="5" t="s">
        <v>49116</v>
      </c>
      <c r="T4963" s="28">
        <v>25960000</v>
      </c>
      <c r="U4963" s="28"/>
      <c r="V4963" s="28">
        <v>260802000</v>
      </c>
      <c r="W4963" s="28">
        <v>141500000</v>
      </c>
      <c r="X4963" s="28">
        <v>63328000</v>
      </c>
      <c r="Y4963" s="28">
        <v>1075074000</v>
      </c>
      <c r="Z4963" s="28">
        <v>866189000</v>
      </c>
      <c r="AA4963" s="28"/>
      <c r="AB4963" s="28">
        <v>14342000</v>
      </c>
      <c r="AC4963" s="28">
        <v>207686000</v>
      </c>
      <c r="AD4963" s="28">
        <v>866199000</v>
      </c>
      <c r="AE4963" s="28">
        <v>3755384000</v>
      </c>
      <c r="AF4963" s="28">
        <v>280711000</v>
      </c>
      <c r="AG4963" s="11"/>
    </row>
    <row r="4964">
      <c r="A4964" s="7" t="s">
        <v>6588</v>
      </c>
      <c r="B4964" s="5" t="s">
        <v>14548</v>
      </c>
      <c r="C4964" s="5" t="s">
        <v>20928</v>
      </c>
      <c r="D4964" s="5" t="str">
        <v>772322322955</v>
      </c>
      <c r="E4964" s="0" t="e">
        <f>+7 (495) 5059733
+7 (495) 6940439</f>
        <v>#NAME?</v>
      </c>
      <c r="F4964" s="5"/>
      <c r="G4964" s="5" t="s">
        <v>40072</v>
      </c>
      <c r="H4964" s="26">
        <v>19.5</v>
      </c>
      <c r="I4964" s="5"/>
      <c r="J4964" s="5" t="s">
        <v>25324</v>
      </c>
      <c r="K4964" s="5" t="s">
        <v>344</v>
      </c>
      <c r="L4964" s="5" t="s">
        <v>40073</v>
      </c>
      <c r="M4964" s="27">
        <v>176532</v>
      </c>
      <c r="N4964" s="5" t="s">
        <v>50052</v>
      </c>
      <c r="O4964" s="5" t="str">
        <v>7715390538</v>
      </c>
      <c r="P4964" s="27">
        <v>10000</v>
      </c>
      <c r="Q4964" s="5" t="s">
        <v>56924</v>
      </c>
      <c r="R4964" s="5"/>
      <c r="S4964" s="5" t="s">
        <v>56925</v>
      </c>
      <c r="T4964" s="28">
        <v>5019000</v>
      </c>
      <c r="U4964" s="28"/>
      <c r="V4964" s="28">
        <v>166121000</v>
      </c>
      <c r="W4964" s="28">
        <v>406000</v>
      </c>
      <c r="X4964" s="28">
        <v>1923301000</v>
      </c>
      <c r="Y4964" s="28">
        <v>3202896000</v>
      </c>
      <c r="Z4964" s="28">
        <v>731432000</v>
      </c>
      <c r="AA4964" s="28"/>
      <c r="AB4964" s="28"/>
      <c r="AC4964" s="28">
        <v>2471255000</v>
      </c>
      <c r="AD4964" s="28">
        <v>731442000</v>
      </c>
      <c r="AE4964" s="28">
        <v>4377087000</v>
      </c>
      <c r="AF4964" s="28">
        <v>646933000</v>
      </c>
      <c r="AG4964" s="11"/>
    </row>
    <row r="4965">
      <c r="A4965" s="7" t="s">
        <v>6589</v>
      </c>
      <c r="B4965" s="5" t="s">
        <v>14549</v>
      </c>
      <c r="C4965" s="5" t="s">
        <v>22275</v>
      </c>
      <c r="D4965" s="5" t="str">
        <v>312101614397</v>
      </c>
      <c r="E4965" s="0" t="e">
        <f>+7 (499) 7042583</f>
        <v>#NAME?</v>
      </c>
      <c r="F4965" s="5" t="s">
        <v>40074</v>
      </c>
      <c r="G4965" s="5"/>
      <c r="H4965" s="26">
        <v>9</v>
      </c>
      <c r="I4965" s="5" t="s">
        <v>40075</v>
      </c>
      <c r="J4965" s="5" t="s">
        <v>26623</v>
      </c>
      <c r="K4965" s="5" t="s">
        <v>344</v>
      </c>
      <c r="L4965" s="5" t="s">
        <v>40076</v>
      </c>
      <c r="M4965" s="27">
        <v>1894161</v>
      </c>
      <c r="N4965" s="5" t="s">
        <v>56926</v>
      </c>
      <c r="O4965" s="5" t="str">
        <v>7707820378</v>
      </c>
      <c r="P4965" s="27">
        <v>150000</v>
      </c>
      <c r="Q4965" s="5" t="s">
        <v>56927</v>
      </c>
      <c r="R4965" s="5"/>
      <c r="S4965" s="5" t="s">
        <v>49361</v>
      </c>
      <c r="T4965" s="28">
        <v>50000</v>
      </c>
      <c r="U4965" s="28"/>
      <c r="V4965" s="28">
        <v>347969000</v>
      </c>
      <c r="W4965" s="28">
        <v>70000000</v>
      </c>
      <c r="X4965" s="28">
        <v>405000</v>
      </c>
      <c r="Y4965" s="28">
        <v>419717000</v>
      </c>
      <c r="Z4965" s="28">
        <v>22795000</v>
      </c>
      <c r="AA4965" s="28"/>
      <c r="AB4965" s="28"/>
      <c r="AC4965" s="28">
        <v>396772000</v>
      </c>
      <c r="AD4965" s="28">
        <v>22945000</v>
      </c>
      <c r="AE4965" s="28">
        <v>5346033000</v>
      </c>
      <c r="AF4965" s="28">
        <v>18149000</v>
      </c>
      <c r="AG4965" s="11"/>
    </row>
    <row r="4966">
      <c r="A4966" s="7" t="s">
        <v>6590</v>
      </c>
      <c r="B4966" s="5" t="s">
        <v>14550</v>
      </c>
      <c r="C4966" s="5" t="s">
        <v>22276</v>
      </c>
      <c r="D4966" s="5" t="str">
        <v>507403414459</v>
      </c>
      <c r="E4966" s="0" t="e">
        <f>+7 (49676) 38946
+7 (49676) 39083
+7 (49675) 47536
+7 (49675) 48805
+7 (49676) 38908
+7 (49676) 38945
+7 (49676) 38951
+7 (49676) 99063
+7 (49676) 99083</f>
        <v>#NAME?</v>
      </c>
      <c r="F4966" s="5" t="s">
        <v>40077</v>
      </c>
      <c r="G4966" s="5" t="s">
        <v>40078</v>
      </c>
      <c r="H4966" s="26">
        <v>30.5</v>
      </c>
      <c r="I4966" s="5" t="s">
        <v>40079</v>
      </c>
      <c r="J4966" s="5" t="s">
        <v>27642</v>
      </c>
      <c r="K4966" s="5" t="s">
        <v>344</v>
      </c>
      <c r="L4966" s="5"/>
      <c r="M4966" s="27">
        <v>6239445</v>
      </c>
      <c r="N4966" s="5" t="s">
        <v>56928</v>
      </c>
      <c r="O4966" s="5" t="str">
        <v>5036002770</v>
      </c>
      <c r="P4966" s="27">
        <v>43300700</v>
      </c>
      <c r="Q4966" s="5" t="s">
        <v>56929</v>
      </c>
      <c r="R4966" s="5" t="s">
        <v>56930</v>
      </c>
      <c r="S4966" s="5" t="s">
        <v>49271</v>
      </c>
      <c r="T4966" s="28">
        <v>1667367000</v>
      </c>
      <c r="U4966" s="28">
        <v>60979000</v>
      </c>
      <c r="V4966" s="28">
        <v>1205273000</v>
      </c>
      <c r="W4966" s="28"/>
      <c r="X4966" s="28">
        <v>16453000</v>
      </c>
      <c r="Y4966" s="28">
        <v>3016692000</v>
      </c>
      <c r="Z4966" s="28">
        <v>-418740000</v>
      </c>
      <c r="AA4966" s="28"/>
      <c r="AB4966" s="28">
        <v>139000000</v>
      </c>
      <c r="AC4966" s="28">
        <v>666522000</v>
      </c>
      <c r="AD4966" s="28">
        <v>2311143000</v>
      </c>
      <c r="AE4966" s="28">
        <v>3188831000</v>
      </c>
      <c r="AF4966" s="28">
        <v>-95861000</v>
      </c>
      <c r="AG4966" s="11"/>
    </row>
    <row r="4967">
      <c r="A4967" s="7" t="s">
        <v>6591</v>
      </c>
      <c r="B4967" s="5" t="s">
        <v>14551</v>
      </c>
      <c r="C4967" s="5" t="s">
        <v>22277</v>
      </c>
      <c r="D4967" s="5" t="str">
        <v>770507056910</v>
      </c>
      <c r="E4967" s="0" t="e">
        <f>+7 (495) 5057155</f>
        <v>#NAME?</v>
      </c>
      <c r="F4967" s="5"/>
      <c r="G4967" s="5"/>
      <c r="H4967" s="26">
        <v>19</v>
      </c>
      <c r="I4967" s="5" t="s">
        <v>40080</v>
      </c>
      <c r="J4967" s="5" t="s">
        <v>445</v>
      </c>
      <c r="K4967" s="5" t="s">
        <v>344</v>
      </c>
      <c r="L4967" s="5" t="s">
        <v>40081</v>
      </c>
      <c r="M4967" s="27"/>
      <c r="N4967" s="5"/>
      <c r="O4967" s="5" t="str">
        <v>7709530089</v>
      </c>
      <c r="P4967" s="27">
        <v>10000</v>
      </c>
      <c r="Q4967" s="5"/>
      <c r="R4967" s="5"/>
      <c r="S4967" s="5" t="s">
        <v>49029</v>
      </c>
      <c r="T4967" s="28">
        <v>19790000</v>
      </c>
      <c r="U4967" s="28"/>
      <c r="V4967" s="28">
        <v>110010000</v>
      </c>
      <c r="W4967" s="28">
        <v>275000000</v>
      </c>
      <c r="X4967" s="28">
        <v>7170000</v>
      </c>
      <c r="Y4967" s="28">
        <v>535611000</v>
      </c>
      <c r="Z4967" s="28">
        <v>38966000</v>
      </c>
      <c r="AA4967" s="28"/>
      <c r="AB4967" s="28"/>
      <c r="AC4967" s="28">
        <v>492701000</v>
      </c>
      <c r="AD4967" s="28">
        <v>38976000</v>
      </c>
      <c r="AE4967" s="28">
        <v>3351462000</v>
      </c>
      <c r="AF4967" s="28">
        <v>38966000</v>
      </c>
      <c r="AG4967" s="11"/>
    </row>
    <row r="4968">
      <c r="A4968" s="7" t="s">
        <v>6592</v>
      </c>
      <c r="B4968" s="5" t="s">
        <v>14552</v>
      </c>
      <c r="C4968" s="5" t="s">
        <v>22278</v>
      </c>
      <c r="D4968" s="5" t="str">
        <v>770800538137</v>
      </c>
      <c r="E4968" s="0" t="e">
        <f>+7 (800) 7000137
+7 (495) 7241797
+7 (495) 7305143
+7 (495) 7412126
+7 (495) 7450137
+7 (915) 4210488</f>
        <v>#NAME?</v>
      </c>
      <c r="F4968" s="5" t="s">
        <v>40082</v>
      </c>
      <c r="G4968" s="5" t="s">
        <v>40083</v>
      </c>
      <c r="H4968" s="26">
        <v>17.5</v>
      </c>
      <c r="I4968" s="5" t="s">
        <v>40084</v>
      </c>
      <c r="J4968" s="5" t="s">
        <v>26561</v>
      </c>
      <c r="K4968" s="5" t="s">
        <v>344</v>
      </c>
      <c r="L4968" s="5" t="s">
        <v>40085</v>
      </c>
      <c r="M4968" s="27"/>
      <c r="N4968" s="5" t="s">
        <v>52808</v>
      </c>
      <c r="O4968" s="5" t="str">
        <v>7705671650</v>
      </c>
      <c r="P4968" s="27">
        <v>3000000</v>
      </c>
      <c r="Q4968" s="5"/>
      <c r="R4968" s="5"/>
      <c r="S4968" s="5" t="s">
        <v>49499</v>
      </c>
      <c r="T4968" s="28">
        <v>928600000</v>
      </c>
      <c r="U4968" s="28"/>
      <c r="V4968" s="28">
        <v>92783000</v>
      </c>
      <c r="W4968" s="28">
        <v>30000000</v>
      </c>
      <c r="X4968" s="28">
        <v>920638000</v>
      </c>
      <c r="Y4968" s="28">
        <v>2808040000</v>
      </c>
      <c r="Z4968" s="28">
        <v>1133447000</v>
      </c>
      <c r="AA4968" s="28"/>
      <c r="AB4968" s="28"/>
      <c r="AC4968" s="28">
        <v>1043113000</v>
      </c>
      <c r="AD4968" s="28">
        <v>1137047000</v>
      </c>
      <c r="AE4968" s="28">
        <v>7303052000</v>
      </c>
      <c r="AF4968" s="28">
        <v>784606000</v>
      </c>
      <c r="AG4968" s="11"/>
    </row>
    <row r="4969">
      <c r="A4969" s="7" t="s">
        <v>6593</v>
      </c>
      <c r="B4969" s="5" t="s">
        <v>14553</v>
      </c>
      <c r="C4969" s="5" t="s">
        <v>22279</v>
      </c>
      <c r="D4969" s="5" t="str">
        <v>780159645901</v>
      </c>
      <c r="F4969" s="5"/>
      <c r="G4969" s="5"/>
      <c r="H4969" s="26">
        <v>6</v>
      </c>
      <c r="I4969" s="5" t="s">
        <v>40086</v>
      </c>
      <c r="J4969" s="5" t="s">
        <v>364</v>
      </c>
      <c r="K4969" s="5" t="s">
        <v>355</v>
      </c>
      <c r="L4969" s="5" t="s">
        <v>40087</v>
      </c>
      <c r="M4969" s="27">
        <v>1539793520</v>
      </c>
      <c r="N4969" s="5" t="s">
        <v>56931</v>
      </c>
      <c r="O4969" s="5" t="str">
        <v>7813277259</v>
      </c>
      <c r="P4969" s="27">
        <v>10000</v>
      </c>
      <c r="Q4969" s="5" t="s">
        <v>346</v>
      </c>
      <c r="R4969" s="5"/>
      <c r="S4969" s="5" t="s">
        <v>56932</v>
      </c>
      <c r="T4969" s="28">
        <v>6272000</v>
      </c>
      <c r="U4969" s="28">
        <v>109165000</v>
      </c>
      <c r="V4969" s="28">
        <v>7019709000</v>
      </c>
      <c r="W4969" s="28"/>
      <c r="X4969" s="28">
        <v>1394185000</v>
      </c>
      <c r="Y4969" s="28">
        <v>8945291000</v>
      </c>
      <c r="Z4969" s="28">
        <v>257385000</v>
      </c>
      <c r="AA4969" s="28"/>
      <c r="AB4969" s="28">
        <v>15000</v>
      </c>
      <c r="AC4969" s="28">
        <v>8679471000</v>
      </c>
      <c r="AD4969" s="28">
        <v>257395000</v>
      </c>
      <c r="AE4969" s="28">
        <v>3499859000</v>
      </c>
      <c r="AF4969" s="28">
        <v>65678000</v>
      </c>
      <c r="AG4969" s="11"/>
    </row>
    <row r="4970">
      <c r="A4970" s="7" t="s">
        <v>6594</v>
      </c>
      <c r="B4970" s="5" t="s">
        <v>14554</v>
      </c>
      <c r="C4970" s="5" t="s">
        <v>22280</v>
      </c>
      <c r="D4970" s="5" t="str">
        <v>312008957209</v>
      </c>
      <c r="E4970" s="0" t="e">
        <f>+7 (472) 2258640
+7 (472) 2586400
+7 (47242) 23113
+7 (47242) 23614
+7 (47242) 23617</f>
        <v>#NAME?</v>
      </c>
      <c r="F4970" s="5"/>
      <c r="G4970" s="5"/>
      <c r="H4970" s="26">
        <v>15</v>
      </c>
      <c r="I4970" s="5" t="s">
        <v>40088</v>
      </c>
      <c r="J4970" s="5" t="s">
        <v>26057</v>
      </c>
      <c r="K4970" s="5" t="s">
        <v>355</v>
      </c>
      <c r="L4970" s="5"/>
      <c r="M4970" s="27">
        <v>1295392</v>
      </c>
      <c r="N4970" s="5"/>
      <c r="O4970" s="5" t="str">
        <v>3115006100</v>
      </c>
      <c r="P4970" s="27">
        <v>1729543788</v>
      </c>
      <c r="Q4970" s="5"/>
      <c r="R4970" s="5"/>
      <c r="S4970" s="5" t="s">
        <v>49743</v>
      </c>
      <c r="T4970" s="28">
        <v>627768000</v>
      </c>
      <c r="U4970" s="28">
        <v>916855000</v>
      </c>
      <c r="V4970" s="28">
        <v>12203389000</v>
      </c>
      <c r="W4970" s="28">
        <v>1000</v>
      </c>
      <c r="X4970" s="28">
        <v>191000</v>
      </c>
      <c r="Y4970" s="28">
        <v>16006815000</v>
      </c>
      <c r="Z4970" s="28">
        <v>-286922000</v>
      </c>
      <c r="AA4970" s="28"/>
      <c r="AB4970" s="28">
        <v>11600474000</v>
      </c>
      <c r="AC4970" s="28">
        <v>14564193000</v>
      </c>
      <c r="AD4970" s="28">
        <v>1442622000</v>
      </c>
      <c r="AE4970" s="28">
        <v>15393599000</v>
      </c>
      <c r="AF4970" s="28">
        <v>216095000</v>
      </c>
      <c r="AG4970" s="11"/>
    </row>
    <row r="4971">
      <c r="A4971" s="7" t="s">
        <v>6595</v>
      </c>
      <c r="B4971" s="5" t="s">
        <v>14555</v>
      </c>
      <c r="C4971" s="5" t="s">
        <v>22281</v>
      </c>
      <c r="D4971" s="5" t="str">
        <v>773412328103</v>
      </c>
      <c r="E4971" s="0" t="e">
        <f>+7 (495) 1622421</f>
        <v>#NAME?</v>
      </c>
      <c r="F4971" s="5" t="s">
        <v>40089</v>
      </c>
      <c r="G4971" s="5"/>
      <c r="H4971" s="26">
        <v>11</v>
      </c>
      <c r="I4971" s="5" t="s">
        <v>40090</v>
      </c>
      <c r="J4971" s="5" t="s">
        <v>25512</v>
      </c>
      <c r="K4971" s="5" t="s">
        <v>344</v>
      </c>
      <c r="L4971" s="5" t="s">
        <v>40091</v>
      </c>
      <c r="M4971" s="27">
        <v>10240025</v>
      </c>
      <c r="N4971" s="5"/>
      <c r="O4971" s="5" t="str">
        <v>7703758249</v>
      </c>
      <c r="P4971" s="27">
        <v>150000</v>
      </c>
      <c r="Q4971" s="5" t="s">
        <v>49057</v>
      </c>
      <c r="R4971" s="5"/>
      <c r="S4971" s="5" t="s">
        <v>56933</v>
      </c>
      <c r="T4971" s="28">
        <v>969000</v>
      </c>
      <c r="U4971" s="28"/>
      <c r="V4971" s="28">
        <v>592939000</v>
      </c>
      <c r="W4971" s="28"/>
      <c r="X4971" s="28">
        <v>1697000</v>
      </c>
      <c r="Y4971" s="28">
        <v>602539000</v>
      </c>
      <c r="Z4971" s="28">
        <v>335795000</v>
      </c>
      <c r="AA4971" s="28"/>
      <c r="AB4971" s="28">
        <v>86018000</v>
      </c>
      <c r="AC4971" s="28">
        <v>266582000</v>
      </c>
      <c r="AD4971" s="28">
        <v>335945000</v>
      </c>
      <c r="AE4971" s="28">
        <v>8508871000</v>
      </c>
      <c r="AF4971" s="28">
        <v>335795000</v>
      </c>
      <c r="AG4971" s="11"/>
    </row>
    <row r="4972">
      <c r="A4972" s="7" t="s">
        <v>6596</v>
      </c>
      <c r="B4972" s="5" t="s">
        <v>14556</v>
      </c>
      <c r="C4972" s="5" t="s">
        <v>22282</v>
      </c>
      <c r="D4972" s="5" t="str">
        <v>632131496409</v>
      </c>
      <c r="E4972" s="0" t="e">
        <f>+7 (800) 7005232
+7 (8422) 759801
+7 (8482) 759801</f>
        <v>#NAME?</v>
      </c>
      <c r="F4972" s="5" t="s">
        <v>40092</v>
      </c>
      <c r="G4972" s="5"/>
      <c r="H4972" s="26">
        <v>14</v>
      </c>
      <c r="I4972" s="5"/>
      <c r="J4972" s="5" t="s">
        <v>26229</v>
      </c>
      <c r="K4972" s="5" t="s">
        <v>344</v>
      </c>
      <c r="L4972" s="5" t="s">
        <v>40093</v>
      </c>
      <c r="M4972" s="27">
        <v>1077601</v>
      </c>
      <c r="N4972" s="5" t="s">
        <v>56934</v>
      </c>
      <c r="O4972" s="5" t="str">
        <v>6324050130</v>
      </c>
      <c r="P4972" s="27">
        <v>8325532</v>
      </c>
      <c r="Q4972" s="5" t="s">
        <v>49009</v>
      </c>
      <c r="R4972" s="5" t="s">
        <v>56935</v>
      </c>
      <c r="S4972" s="5" t="s">
        <v>49028</v>
      </c>
      <c r="T4972" s="28">
        <v>166071000</v>
      </c>
      <c r="U4972" s="28"/>
      <c r="V4972" s="28">
        <v>351276000</v>
      </c>
      <c r="W4972" s="28"/>
      <c r="X4972" s="28">
        <v>1233164000</v>
      </c>
      <c r="Y4972" s="28">
        <v>2060276000</v>
      </c>
      <c r="Z4972" s="28">
        <v>374730000</v>
      </c>
      <c r="AA4972" s="28"/>
      <c r="AB4972" s="28">
        <v>943000</v>
      </c>
      <c r="AC4972" s="28">
        <v>1330154000</v>
      </c>
      <c r="AD4972" s="28">
        <v>711898000</v>
      </c>
      <c r="AE4972" s="28">
        <v>3762371000</v>
      </c>
      <c r="AF4972" s="28">
        <v>554238000</v>
      </c>
      <c r="AG4972" s="11"/>
    </row>
    <row r="4973">
      <c r="A4973" s="7" t="s">
        <v>6597</v>
      </c>
      <c r="B4973" s="5" t="s">
        <v>14557</v>
      </c>
      <c r="C4973" s="5"/>
      <c r="D4973" s="5"/>
      <c r="E4973" s="0" t="e">
        <f>+7 (495) 94949
+7 (977) 4741540
+7 (495) 2283195
+7 (495) 3630377</f>
        <v>#NAME?</v>
      </c>
      <c r="F4973" s="5" t="s">
        <v>40094</v>
      </c>
      <c r="G4973" s="5"/>
      <c r="H4973" s="26">
        <v>16.5</v>
      </c>
      <c r="I4973" s="5"/>
      <c r="J4973" s="5" t="s">
        <v>25670</v>
      </c>
      <c r="K4973" s="5" t="s">
        <v>355</v>
      </c>
      <c r="L4973" s="5"/>
      <c r="M4973" s="27">
        <v>3644350</v>
      </c>
      <c r="N4973" s="5" t="s">
        <v>56936</v>
      </c>
      <c r="O4973" s="5" t="str">
        <v>7722581759</v>
      </c>
      <c r="P4973" s="27">
        <v>750010000</v>
      </c>
      <c r="Q4973" s="5" t="s">
        <v>56937</v>
      </c>
      <c r="R4973" s="5"/>
      <c r="S4973" s="5" t="s">
        <v>56938</v>
      </c>
      <c r="T4973" s="28">
        <v>43644000</v>
      </c>
      <c r="U4973" s="28"/>
      <c r="V4973" s="28">
        <v>2506358000</v>
      </c>
      <c r="W4973" s="28"/>
      <c r="X4973" s="28">
        <v>5086980000</v>
      </c>
      <c r="Y4973" s="28">
        <v>83526165000</v>
      </c>
      <c r="Z4973" s="28">
        <v>232640000</v>
      </c>
      <c r="AA4973" s="28">
        <v>67898381000</v>
      </c>
      <c r="AB4973" s="28">
        <v>54293000</v>
      </c>
      <c r="AC4973" s="28">
        <v>14105715000</v>
      </c>
      <c r="AD4973" s="28">
        <v>982650000</v>
      </c>
      <c r="AE4973" s="28">
        <v>9772257000</v>
      </c>
      <c r="AF4973" s="28">
        <v>-172876000</v>
      </c>
      <c r="AG4973" s="11"/>
    </row>
    <row r="4974">
      <c r="A4974" s="7" t="s">
        <v>6598</v>
      </c>
      <c r="B4974" s="5" t="s">
        <v>14558</v>
      </c>
      <c r="C4974" s="5" t="s">
        <v>22283</v>
      </c>
      <c r="D4974" s="5" t="str">
        <v>460100776332</v>
      </c>
      <c r="E4974" s="0" t="e">
        <f>+7 (47149) 21398
+7 (47149) 21750
+7 (47149) 22028
+7 (47149) 22029
+7 (47149) 37270
+7 (915) 5626693
+7 (920) 7084160</f>
        <v>#NAME?</v>
      </c>
      <c r="F4974" s="5" t="s">
        <v>40095</v>
      </c>
      <c r="G4974" s="5" t="s">
        <v>40096</v>
      </c>
      <c r="H4974" s="26">
        <v>20</v>
      </c>
      <c r="I4974" s="5" t="s">
        <v>40097</v>
      </c>
      <c r="J4974" s="5" t="s">
        <v>27002</v>
      </c>
      <c r="K4974" s="5" t="s">
        <v>355</v>
      </c>
      <c r="L4974" s="5" t="s">
        <v>40098</v>
      </c>
      <c r="M4974" s="27"/>
      <c r="N4974" s="5"/>
      <c r="O4974" s="5" t="str">
        <v>4601004173</v>
      </c>
      <c r="P4974" s="27">
        <v>1000000</v>
      </c>
      <c r="Q4974" s="5" t="s">
        <v>49009</v>
      </c>
      <c r="R4974" s="5"/>
      <c r="S4974" s="5" t="s">
        <v>49093</v>
      </c>
      <c r="T4974" s="28">
        <v>3898682000</v>
      </c>
      <c r="U4974" s="28">
        <v>28380000</v>
      </c>
      <c r="V4974" s="28">
        <v>852505000</v>
      </c>
      <c r="W4974" s="28">
        <v>15840000</v>
      </c>
      <c r="X4974" s="28">
        <v>390905000</v>
      </c>
      <c r="Y4974" s="28">
        <v>7032004000</v>
      </c>
      <c r="Z4974" s="28">
        <v>1834744000</v>
      </c>
      <c r="AA4974" s="28">
        <v>1510215000</v>
      </c>
      <c r="AB4974" s="28">
        <v>489397000</v>
      </c>
      <c r="AC4974" s="28">
        <v>965796000</v>
      </c>
      <c r="AD4974" s="28">
        <v>4547067000</v>
      </c>
      <c r="AE4974" s="28">
        <v>3993760000</v>
      </c>
      <c r="AF4974" s="28">
        <v>793533000</v>
      </c>
      <c r="AG4974" s="11"/>
    </row>
    <row r="4975">
      <c r="A4975" s="7" t="s">
        <v>6599</v>
      </c>
      <c r="B4975" s="5" t="s">
        <v>14559</v>
      </c>
      <c r="C4975" s="5" t="s">
        <v>22284</v>
      </c>
      <c r="D4975" s="5" t="str">
        <v>212711877669</v>
      </c>
      <c r="E4975" s="0" t="e">
        <f>+7 (495) 1991310
+7 (499) 7545438
+7 (977) 1385350</f>
        <v>#NAME?</v>
      </c>
      <c r="F4975" s="5" t="s">
        <v>40099</v>
      </c>
      <c r="G4975" s="5" t="s">
        <v>40100</v>
      </c>
      <c r="H4975" s="26">
        <v>3.5</v>
      </c>
      <c r="I4975" s="5" t="s">
        <v>40101</v>
      </c>
      <c r="J4975" s="5" t="s">
        <v>364</v>
      </c>
      <c r="K4975" s="5" t="s">
        <v>355</v>
      </c>
      <c r="L4975" s="5" t="s">
        <v>40102</v>
      </c>
      <c r="M4975" s="27"/>
      <c r="N4975" s="5" t="s">
        <v>56939</v>
      </c>
      <c r="O4975" s="5" t="str">
        <v>9729287380</v>
      </c>
      <c r="P4975" s="27">
        <v>12000</v>
      </c>
      <c r="Q4975" s="5" t="s">
        <v>56940</v>
      </c>
      <c r="R4975" s="5" t="s">
        <v>56636</v>
      </c>
      <c r="S4975" s="5" t="s">
        <v>56941</v>
      </c>
      <c r="T4975" s="28">
        <v>474021000</v>
      </c>
      <c r="U4975" s="28"/>
      <c r="V4975" s="28">
        <v>3438645000</v>
      </c>
      <c r="W4975" s="28">
        <v>130275000</v>
      </c>
      <c r="X4975" s="28">
        <v>142142000</v>
      </c>
      <c r="Y4975" s="28">
        <v>6120853000</v>
      </c>
      <c r="Z4975" s="28">
        <v>117926000</v>
      </c>
      <c r="AA4975" s="28"/>
      <c r="AB4975" s="28">
        <v>142000</v>
      </c>
      <c r="AC4975" s="28">
        <v>5677173000</v>
      </c>
      <c r="AD4975" s="28">
        <v>348495000</v>
      </c>
      <c r="AE4975" s="28">
        <v>3209941000</v>
      </c>
      <c r="AF4975" s="28">
        <v>60003000</v>
      </c>
      <c r="AG4975" s="11"/>
    </row>
    <row r="4976">
      <c r="A4976" s="7" t="s">
        <v>6600</v>
      </c>
      <c r="B4976" s="5" t="s">
        <v>14560</v>
      </c>
      <c r="C4976" s="5" t="s">
        <v>22285</v>
      </c>
      <c r="D4976" s="5" t="str">
        <v>550105023219</v>
      </c>
      <c r="E4976" s="0" t="e">
        <f>+7 (381) 2550761
+7 (381) 2588447
+7 (381) 2627814
+7 (381) 2627815
+7 (381) 2633838
+7 (381) 2216090
+7 (381) 2267105
+7 (381) 2550501
+7 (381) 2550697
+7 (381) 2551586
+7 (381) 2551714
+7 (381) 2555252
+7 (381) 2557814
+7 (381) 2633338
+7 (381) 2710914</f>
        <v>#NAME?</v>
      </c>
      <c r="F4976" s="5" t="s">
        <v>40103</v>
      </c>
      <c r="G4976" s="5" t="s">
        <v>40104</v>
      </c>
      <c r="H4976" s="26">
        <v>26.5</v>
      </c>
      <c r="I4976" s="5" t="s">
        <v>40105</v>
      </c>
      <c r="J4976" s="5" t="s">
        <v>25550</v>
      </c>
      <c r="K4976" s="5" t="s">
        <v>344</v>
      </c>
      <c r="L4976" s="5" t="s">
        <v>40106</v>
      </c>
      <c r="M4976" s="27">
        <v>17226021</v>
      </c>
      <c r="N4976" s="5" t="s">
        <v>56942</v>
      </c>
      <c r="O4976" s="5" t="str">
        <v>5501044093</v>
      </c>
      <c r="P4976" s="27">
        <v>10000</v>
      </c>
      <c r="Q4976" s="5" t="s">
        <v>56943</v>
      </c>
      <c r="R4976" s="5"/>
      <c r="S4976" s="5" t="s">
        <v>56944</v>
      </c>
      <c r="T4976" s="28">
        <v>288210000</v>
      </c>
      <c r="U4976" s="28"/>
      <c r="V4976" s="28">
        <v>229252000</v>
      </c>
      <c r="W4976" s="28"/>
      <c r="X4976" s="28">
        <v>6488000</v>
      </c>
      <c r="Y4976" s="28">
        <v>1233622000</v>
      </c>
      <c r="Z4976" s="28">
        <v>582188000</v>
      </c>
      <c r="AA4976" s="28">
        <v>16300000</v>
      </c>
      <c r="AB4976" s="28">
        <v>262806000</v>
      </c>
      <c r="AC4976" s="28">
        <v>597944000</v>
      </c>
      <c r="AD4976" s="28">
        <v>582200000</v>
      </c>
      <c r="AE4976" s="28">
        <v>3431951000</v>
      </c>
      <c r="AF4976" s="28">
        <v>278933000</v>
      </c>
      <c r="AG4976" s="11"/>
    </row>
    <row r="4977">
      <c r="A4977" s="7" t="s">
        <v>6601</v>
      </c>
      <c r="B4977" s="5" t="s">
        <v>14561</v>
      </c>
      <c r="C4977" s="5" t="s">
        <v>22286</v>
      </c>
      <c r="D4977" s="5" t="str">
        <v>160801648806</v>
      </c>
      <c r="E4977" s="0" t="e">
        <f>+7 (8432) 333888
+7 (8432) 334923
+7 (917) 2621640
+7 (927) 4089014</f>
        <v>#NAME?</v>
      </c>
      <c r="F4977" s="5" t="s">
        <v>40107</v>
      </c>
      <c r="G4977" s="5" t="s">
        <v>40108</v>
      </c>
      <c r="H4977" s="26">
        <v>9</v>
      </c>
      <c r="I4977" s="5" t="s">
        <v>40109</v>
      </c>
      <c r="J4977" s="5" t="s">
        <v>678</v>
      </c>
      <c r="K4977" s="5" t="s">
        <v>344</v>
      </c>
      <c r="L4977" s="5" t="s">
        <v>40110</v>
      </c>
      <c r="M4977" s="27"/>
      <c r="N4977" s="5" t="s">
        <v>56945</v>
      </c>
      <c r="O4977" s="5" t="str">
        <v>1608009263</v>
      </c>
      <c r="P4977" s="27">
        <v>1000000</v>
      </c>
      <c r="Q4977" s="5" t="s">
        <v>56946</v>
      </c>
      <c r="R4977" s="5"/>
      <c r="S4977" s="5" t="s">
        <v>50647</v>
      </c>
      <c r="T4977" s="28">
        <v>200516000</v>
      </c>
      <c r="U4977" s="28"/>
      <c r="V4977" s="28">
        <v>1684791000</v>
      </c>
      <c r="W4977" s="28">
        <v>36500000</v>
      </c>
      <c r="X4977" s="28">
        <v>3699000</v>
      </c>
      <c r="Y4977" s="28">
        <v>2292393000</v>
      </c>
      <c r="Z4977" s="28">
        <v>697409000</v>
      </c>
      <c r="AA4977" s="28"/>
      <c r="AB4977" s="28">
        <v>971553000</v>
      </c>
      <c r="AC4977" s="28">
        <v>1589884000</v>
      </c>
      <c r="AD4977" s="28">
        <v>698409000</v>
      </c>
      <c r="AE4977" s="28">
        <v>7572019000</v>
      </c>
      <c r="AF4977" s="28">
        <v>320655000</v>
      </c>
      <c r="AG4977" s="11"/>
    </row>
    <row r="4978">
      <c r="A4978" s="7" t="s">
        <v>6602</v>
      </c>
      <c r="B4978" s="5" t="s">
        <v>14562</v>
      </c>
      <c r="C4978" s="5" t="s">
        <v>22287</v>
      </c>
      <c r="D4978" s="5" t="str">
        <v>032383292774</v>
      </c>
      <c r="E4978" s="0" t="e">
        <f>+7 (495) 7415904
+7 (499) 4001699
+7 (906) 7331100
+7 (914) 9999</f>
        <v>#NAME?</v>
      </c>
      <c r="F4978" s="5" t="s">
        <v>40111</v>
      </c>
      <c r="G4978" s="5"/>
      <c r="H4978" s="26">
        <v>8.5</v>
      </c>
      <c r="I4978" s="5" t="s">
        <v>40112</v>
      </c>
      <c r="J4978" s="5" t="s">
        <v>25437</v>
      </c>
      <c r="K4978" s="5" t="s">
        <v>344</v>
      </c>
      <c r="L4978" s="5"/>
      <c r="M4978" s="27"/>
      <c r="N4978" s="5" t="s">
        <v>56947</v>
      </c>
      <c r="O4978" s="5" t="str">
        <v>5010048402</v>
      </c>
      <c r="P4978" s="27">
        <v>10000000</v>
      </c>
      <c r="Q4978" s="5" t="s">
        <v>56948</v>
      </c>
      <c r="R4978" s="5"/>
      <c r="S4978" s="5" t="s">
        <v>49065</v>
      </c>
      <c r="T4978" s="28">
        <v>1396514000</v>
      </c>
      <c r="U4978" s="28"/>
      <c r="V4978" s="28">
        <v>1072518000</v>
      </c>
      <c r="W4978" s="28">
        <v>370000000</v>
      </c>
      <c r="X4978" s="28">
        <v>220811000</v>
      </c>
      <c r="Y4978" s="28">
        <v>4835416000</v>
      </c>
      <c r="Z4978" s="28">
        <v>2486041000</v>
      </c>
      <c r="AA4978" s="28">
        <v>790589000</v>
      </c>
      <c r="AB4978" s="28">
        <v>135041000</v>
      </c>
      <c r="AC4978" s="28">
        <v>1488619000</v>
      </c>
      <c r="AD4978" s="28">
        <v>2548327000</v>
      </c>
      <c r="AE4978" s="28">
        <v>5866583000</v>
      </c>
      <c r="AF4978" s="28">
        <v>2864308000</v>
      </c>
      <c r="AG4978" s="11"/>
    </row>
    <row r="4979">
      <c r="A4979" s="7" t="s">
        <v>142</v>
      </c>
      <c r="B4979" s="5" t="s">
        <v>14563</v>
      </c>
      <c r="C4979" s="5" t="s">
        <v>22288</v>
      </c>
      <c r="D4979" s="5" t="str">
        <v>661200418803</v>
      </c>
      <c r="E4979" s="0" t="e">
        <f>+7 (3439) 360031
+7 (3439) 360200
+7 (3439) 360221
+7 (3439) 360222
+7 (3439) 360236
+7 (912) 478203
+7 (912) 478221
+7 (912) 478222
+7 (912) 478236</f>
        <v>#NAME?</v>
      </c>
      <c r="F4979" s="5"/>
      <c r="G4979" s="5" t="s">
        <v>40113</v>
      </c>
      <c r="H4979" s="26">
        <v>9.5</v>
      </c>
      <c r="I4979" s="5" t="s">
        <v>40114</v>
      </c>
      <c r="J4979" s="5" t="s">
        <v>955</v>
      </c>
      <c r="K4979" s="5" t="s">
        <v>355</v>
      </c>
      <c r="L4979" s="5" t="s">
        <v>40115</v>
      </c>
      <c r="M4979" s="27"/>
      <c r="N4979" s="5"/>
      <c r="O4979" s="5" t="str">
        <v>6670413340</v>
      </c>
      <c r="P4979" s="27">
        <v>100000</v>
      </c>
      <c r="Q4979" s="5" t="s">
        <v>49009</v>
      </c>
      <c r="R4979" s="5"/>
      <c r="S4979" s="5" t="s">
        <v>49010</v>
      </c>
      <c r="T4979" s="28">
        <v>111852000</v>
      </c>
      <c r="U4979" s="28"/>
      <c r="V4979" s="28">
        <v>346265000</v>
      </c>
      <c r="W4979" s="28">
        <v>39800000</v>
      </c>
      <c r="X4979" s="28">
        <v>14894000</v>
      </c>
      <c r="Y4979" s="28">
        <v>1548394000</v>
      </c>
      <c r="Z4979" s="28">
        <v>-633296000</v>
      </c>
      <c r="AA4979" s="28"/>
      <c r="AB4979" s="28"/>
      <c r="AC4979" s="28">
        <v>2043664000</v>
      </c>
      <c r="AD4979" s="28">
        <v>-633196000</v>
      </c>
      <c r="AE4979" s="28">
        <v>23133099000</v>
      </c>
      <c r="AF4979" s="28">
        <v>-800420000</v>
      </c>
      <c r="AG4979" s="11"/>
    </row>
    <row r="4980">
      <c r="A4980" s="7" t="s">
        <v>142</v>
      </c>
      <c r="B4980" s="5" t="s">
        <v>14564</v>
      </c>
      <c r="C4980" s="5" t="s">
        <v>22289</v>
      </c>
      <c r="D4980" s="5" t="str">
        <v>782509005573</v>
      </c>
      <c r="E4980" s="0" t="e">
        <f>+7 (812) 4253228</f>
        <v>#NAME?</v>
      </c>
      <c r="F4980" s="5" t="s">
        <v>40116</v>
      </c>
      <c r="G4980" s="5"/>
      <c r="H4980" s="26">
        <v>15.5</v>
      </c>
      <c r="I4980" s="5" t="s">
        <v>40117</v>
      </c>
      <c r="J4980" s="5" t="s">
        <v>364</v>
      </c>
      <c r="K4980" s="5" t="s">
        <v>380</v>
      </c>
      <c r="L4980" s="5"/>
      <c r="M4980" s="27">
        <v>26243447</v>
      </c>
      <c r="N4980" s="5" t="s">
        <v>49787</v>
      </c>
      <c r="O4980" s="5" t="str">
        <v>7801443529</v>
      </c>
      <c r="P4980" s="27">
        <v>10000</v>
      </c>
      <c r="Q4980" s="5" t="s">
        <v>56949</v>
      </c>
      <c r="R4980" s="5" t="s">
        <v>56950</v>
      </c>
      <c r="S4980" s="5" t="s">
        <v>50630</v>
      </c>
      <c r="T4980" s="28">
        <v>25884000</v>
      </c>
      <c r="U4980" s="28"/>
      <c r="V4980" s="28">
        <v>1910870000</v>
      </c>
      <c r="W4980" s="28">
        <v>437000</v>
      </c>
      <c r="X4980" s="28">
        <v>29000</v>
      </c>
      <c r="Y4980" s="28">
        <v>2228846000</v>
      </c>
      <c r="Z4980" s="28">
        <v>55632000</v>
      </c>
      <c r="AA4980" s="28"/>
      <c r="AB4980" s="28"/>
      <c r="AC4980" s="28">
        <v>2143019000</v>
      </c>
      <c r="AD4980" s="28">
        <v>85592000</v>
      </c>
      <c r="AE4980" s="28">
        <v>5372186000</v>
      </c>
      <c r="AF4980" s="28">
        <v>-181000</v>
      </c>
      <c r="AG4980" s="11"/>
    </row>
    <row r="4981">
      <c r="A4981" s="7" t="s">
        <v>6603</v>
      </c>
      <c r="B4981" s="5" t="s">
        <v>14565</v>
      </c>
      <c r="C4981" s="5" t="s">
        <v>22290</v>
      </c>
      <c r="D4981" s="5" t="str">
        <v>602704024858</v>
      </c>
      <c r="E4981" s="0" t="e">
        <f>+7 (921) 1101197
+7 (8112) 164368
+7 (8112) 661313
+7 (8112) 663854
+7 (8112) 720697
+7 (8112) 723998
+7 (8112) 724466</f>
        <v>#NAME?</v>
      </c>
      <c r="F4981" s="5" t="s">
        <v>40118</v>
      </c>
      <c r="G4981" s="5" t="s">
        <v>40119</v>
      </c>
      <c r="H4981" s="26">
        <v>30</v>
      </c>
      <c r="I4981" s="5"/>
      <c r="J4981" s="5" t="s">
        <v>28875</v>
      </c>
      <c r="K4981" s="5" t="s">
        <v>355</v>
      </c>
      <c r="L4981" s="5" t="s">
        <v>25263</v>
      </c>
      <c r="M4981" s="27">
        <v>4833927</v>
      </c>
      <c r="N4981" s="5"/>
      <c r="O4981" s="5" t="str">
        <v>6027007501</v>
      </c>
      <c r="P4981" s="27">
        <v>6743</v>
      </c>
      <c r="Q4981" s="5" t="s">
        <v>49009</v>
      </c>
      <c r="R4981" s="5" t="s">
        <v>56951</v>
      </c>
      <c r="S4981" s="5" t="s">
        <v>49408</v>
      </c>
      <c r="T4981" s="28">
        <v>810208000</v>
      </c>
      <c r="U4981" s="28">
        <v>13824000</v>
      </c>
      <c r="V4981" s="28">
        <v>2163424000</v>
      </c>
      <c r="W4981" s="28">
        <v>221858000</v>
      </c>
      <c r="X4981" s="28">
        <v>64860000</v>
      </c>
      <c r="Y4981" s="28">
        <v>3932551000</v>
      </c>
      <c r="Z4981" s="28">
        <v>2905131000</v>
      </c>
      <c r="AA4981" s="28">
        <v>131572000</v>
      </c>
      <c r="AB4981" s="28">
        <v>182000</v>
      </c>
      <c r="AC4981" s="28">
        <v>635627000</v>
      </c>
      <c r="AD4981" s="28">
        <v>2909545000</v>
      </c>
      <c r="AE4981" s="28">
        <v>11880780000</v>
      </c>
      <c r="AF4981" s="28">
        <v>39707000</v>
      </c>
      <c r="AG4981" s="11"/>
    </row>
    <row r="4982">
      <c r="A4982" s="7" t="s">
        <v>6604</v>
      </c>
      <c r="B4982" s="5" t="s">
        <v>14566</v>
      </c>
      <c r="C4982" s="5" t="s">
        <v>22291</v>
      </c>
      <c r="D4982" s="5" t="str">
        <v>602702298268</v>
      </c>
      <c r="E4982" s="0" t="e">
        <f>+7 (8112) 567766
+7 (8112) 586555
+7 (8112) 600488
+7 (8112) 604848
+7 (8112) 625385
+7 (8112) 663540
+7 (811) 2163989
+7 (8112) 620485
+7 (8112) 620488
+7 (8112) 620531
+7 (8112) 660633
+7 (8112) 663531
+7 (8112) 663550
+7 (8112) 663560
+7 (8112) 663792</f>
        <v>#NAME?</v>
      </c>
      <c r="F4982" s="5" t="s">
        <v>40120</v>
      </c>
      <c r="G4982" s="5" t="s">
        <v>40121</v>
      </c>
      <c r="H4982" s="26">
        <v>26</v>
      </c>
      <c r="I4982" s="5" t="s">
        <v>37700</v>
      </c>
      <c r="J4982" s="5" t="s">
        <v>27115</v>
      </c>
      <c r="K4982" s="5" t="s">
        <v>344</v>
      </c>
      <c r="L4982" s="5"/>
      <c r="M4982" s="27">
        <v>7644</v>
      </c>
      <c r="N4982" s="5" t="s">
        <v>56952</v>
      </c>
      <c r="O4982" s="5" t="str">
        <v>6027042337</v>
      </c>
      <c r="P4982" s="27">
        <v>300000</v>
      </c>
      <c r="Q4982" s="5" t="s">
        <v>56953</v>
      </c>
      <c r="R4982" s="5"/>
      <c r="S4982" s="5" t="s">
        <v>54638</v>
      </c>
      <c r="T4982" s="28">
        <v>1549712000</v>
      </c>
      <c r="U4982" s="28"/>
      <c r="V4982" s="28">
        <v>85904000</v>
      </c>
      <c r="W4982" s="28"/>
      <c r="X4982" s="28">
        <v>1281270000</v>
      </c>
      <c r="Y4982" s="28">
        <v>3808916000</v>
      </c>
      <c r="Z4982" s="28">
        <v>2366313000</v>
      </c>
      <c r="AA4982" s="28"/>
      <c r="AB4982" s="28"/>
      <c r="AC4982" s="28">
        <v>1111475000</v>
      </c>
      <c r="AD4982" s="28">
        <v>2612936000</v>
      </c>
      <c r="AE4982" s="28">
        <v>12052502000</v>
      </c>
      <c r="AF4982" s="28">
        <v>711317000</v>
      </c>
      <c r="AG4982" s="11"/>
    </row>
    <row r="4983">
      <c r="A4983" s="7" t="s">
        <v>6605</v>
      </c>
      <c r="B4983" s="5" t="s">
        <v>14567</v>
      </c>
      <c r="C4983" s="5" t="s">
        <v>22292</v>
      </c>
      <c r="D4983" s="5" t="str">
        <v>602702020777</v>
      </c>
      <c r="E4983" s="0" t="e">
        <f>+7 (800) 2000220
+7 (800) 2200220
+7 (800) 2340506
+7 (8112) 235623
+7 (8112) 440497
+7 (8112) 537672
+7 (8112) 567890
+7 (8112) 569659
+7 (8112) 577659
+7 (8112) 577962
+7 (811) 2697340
+7 (8112) 162875
+7 (8112) 197307
+7 (8112) 221820
+7 (8112) 567659</f>
        <v>#NAME?</v>
      </c>
      <c r="F4983" s="5" t="s">
        <v>40122</v>
      </c>
      <c r="G4983" s="5"/>
      <c r="H4983" s="26">
        <v>18.5</v>
      </c>
      <c r="I4983" s="5"/>
      <c r="J4983" s="5" t="s">
        <v>26623</v>
      </c>
      <c r="K4983" s="5" t="s">
        <v>344</v>
      </c>
      <c r="L4983" s="5" t="s">
        <v>40123</v>
      </c>
      <c r="M4983" s="27"/>
      <c r="N4983" s="5" t="s">
        <v>56954</v>
      </c>
      <c r="O4983" s="5" t="str">
        <v>6027084016</v>
      </c>
      <c r="P4983" s="27">
        <v>100000</v>
      </c>
      <c r="Q4983" s="5" t="s">
        <v>56955</v>
      </c>
      <c r="R4983" s="5"/>
      <c r="S4983" s="5" t="s">
        <v>50262</v>
      </c>
      <c r="T4983" s="28">
        <v>424181000</v>
      </c>
      <c r="U4983" s="28"/>
      <c r="V4983" s="28">
        <v>1543925000</v>
      </c>
      <c r="W4983" s="28"/>
      <c r="X4983" s="28">
        <v>24415000</v>
      </c>
      <c r="Y4983" s="28">
        <v>2019478000</v>
      </c>
      <c r="Z4983" s="28">
        <v>671186000</v>
      </c>
      <c r="AA4983" s="28"/>
      <c r="AB4983" s="28"/>
      <c r="AC4983" s="28">
        <v>1270257000</v>
      </c>
      <c r="AD4983" s="28">
        <v>671291000</v>
      </c>
      <c r="AE4983" s="28">
        <v>10452240000</v>
      </c>
      <c r="AF4983" s="28">
        <v>431935000</v>
      </c>
      <c r="AG4983" s="11"/>
    </row>
    <row r="4984">
      <c r="A4984" s="7" t="s">
        <v>1109</v>
      </c>
      <c r="B4984" s="5" t="s">
        <v>14568</v>
      </c>
      <c r="C4984" s="5" t="s">
        <v>22293</v>
      </c>
      <c r="D4984" s="5" t="str">
        <v>110404332498</v>
      </c>
      <c r="E4984" s="0" t="e">
        <f>+7 (812) 2755958
+7 (812) 3321445
+7 (812) 9543097
+7 (8202) 490310
+7 (911) 2623034
+7 (981) 7235818</f>
        <v>#NAME?</v>
      </c>
      <c r="F4984" s="5" t="s">
        <v>40124</v>
      </c>
      <c r="G4984" s="5"/>
      <c r="H4984" s="26">
        <v>22</v>
      </c>
      <c r="I4984" s="5" t="s">
        <v>40125</v>
      </c>
      <c r="J4984" s="5" t="s">
        <v>30025</v>
      </c>
      <c r="K4984" s="5" t="s">
        <v>344</v>
      </c>
      <c r="L4984" s="5" t="s">
        <v>40126</v>
      </c>
      <c r="M4984" s="27">
        <v>6111519</v>
      </c>
      <c r="N4984" s="5" t="s">
        <v>49350</v>
      </c>
      <c r="O4984" s="5" t="str">
        <v>7814118903</v>
      </c>
      <c r="P4984" s="27">
        <v>10860010</v>
      </c>
      <c r="Q4984" s="5" t="s">
        <v>49021</v>
      </c>
      <c r="R4984" s="5"/>
      <c r="S4984" s="5" t="s">
        <v>56957</v>
      </c>
      <c r="T4984" s="28">
        <v>934082000</v>
      </c>
      <c r="U4984" s="28">
        <v>9098000</v>
      </c>
      <c r="V4984" s="28">
        <v>4444823000</v>
      </c>
      <c r="W4984" s="28">
        <v>15398000</v>
      </c>
      <c r="X4984" s="28">
        <v>571504000</v>
      </c>
      <c r="Y4984" s="28">
        <v>8496216000</v>
      </c>
      <c r="Z4984" s="28">
        <v>2037453000</v>
      </c>
      <c r="AA4984" s="28">
        <v>825454000</v>
      </c>
      <c r="AB4984" s="28">
        <v>113933000</v>
      </c>
      <c r="AC4984" s="28">
        <v>3773257000</v>
      </c>
      <c r="AD4984" s="28">
        <v>3043759000</v>
      </c>
      <c r="AE4984" s="28">
        <v>10032398000</v>
      </c>
      <c r="AF4984" s="28">
        <v>179176000</v>
      </c>
      <c r="AG4984" s="11"/>
    </row>
    <row r="4985">
      <c r="A4985" s="7" t="s">
        <v>6606</v>
      </c>
      <c r="B4985" s="5" t="s">
        <v>14569</v>
      </c>
      <c r="C4985" s="5" t="s">
        <v>22294</v>
      </c>
      <c r="D4985" s="5" t="str">
        <v>402708602286</v>
      </c>
      <c r="E4985" s="0" t="e">
        <f>+7 (484) 2223101
+7 (484) 2223105
+7 (484) 2223106
+7 (484) 2223107
+7 (484) 2228401
+7 (484) 2228425
+7 (484) 2228456
+7 (484) 2228473
+7 (484) 2228584
+7 (484) 2228588
+7 (484) 2228622
+7 (484) 2229152
+7 (484) 2577098
+7 (484) 2579324
+7 (495) 9679672</f>
        <v>#NAME?</v>
      </c>
      <c r="F4985" s="5" t="s">
        <v>40127</v>
      </c>
      <c r="G4985" s="5"/>
      <c r="H4985" s="26">
        <v>14</v>
      </c>
      <c r="I4985" s="5" t="s">
        <v>40128</v>
      </c>
      <c r="J4985" s="5" t="s">
        <v>26229</v>
      </c>
      <c r="K4985" s="5" t="s">
        <v>380</v>
      </c>
      <c r="L4985" s="5"/>
      <c r="M4985" s="27">
        <v>683786628</v>
      </c>
      <c r="N4985" s="5"/>
      <c r="O4985" s="5" t="str">
        <v>4027091179</v>
      </c>
      <c r="P4985" s="27">
        <v>4907005150</v>
      </c>
      <c r="Q4985" s="5" t="s">
        <v>49009</v>
      </c>
      <c r="R4985" s="5"/>
      <c r="S4985" s="5" t="s">
        <v>49066</v>
      </c>
      <c r="T4985" s="28">
        <v>9131511000</v>
      </c>
      <c r="U4985" s="28"/>
      <c r="V4985" s="28">
        <v>562299000</v>
      </c>
      <c r="W4985" s="28"/>
      <c r="X4985" s="28">
        <v>5717463000</v>
      </c>
      <c r="Y4985" s="28">
        <v>20246511000</v>
      </c>
      <c r="Z4985" s="28">
        <v>-11680911000</v>
      </c>
      <c r="AA4985" s="28">
        <v>1671606000</v>
      </c>
      <c r="AB4985" s="28">
        <v>4087823000</v>
      </c>
      <c r="AC4985" s="28">
        <v>15977844000</v>
      </c>
      <c r="AD4985" s="28">
        <v>1613784000</v>
      </c>
      <c r="AE4985" s="28">
        <v>15527180000</v>
      </c>
      <c r="AF4985" s="28">
        <v>-11867291000</v>
      </c>
      <c r="AG4985" s="11"/>
    </row>
    <row r="4986">
      <c r="A4986" s="7" t="s">
        <v>6607</v>
      </c>
      <c r="B4986" s="5" t="s">
        <v>14570</v>
      </c>
      <c r="C4986" s="5" t="s">
        <v>22295</v>
      </c>
      <c r="D4986" s="5" t="str">
        <v>861003255400</v>
      </c>
      <c r="E4986" s="0" t="e">
        <f>+7 (3919) 251379
+7 (3919) 255302
+7 (3919) 255401
+7 (3919) 255511
+7 (3919) 255515
+7 (3919) 255516
+7 (3919) 255519
+7 (3919) 255527
+7 (3919) 255534
+7 (3919) 255539
+7 (3919) 255545
+7 (3919) 255550
+7 (3919) 410336</f>
        <v>#NAME?</v>
      </c>
      <c r="F4986" s="5"/>
      <c r="G4986" s="5" t="s">
        <v>40129</v>
      </c>
      <c r="H4986" s="26">
        <v>5</v>
      </c>
      <c r="I4986" s="5" t="s">
        <v>40130</v>
      </c>
      <c r="J4986" s="5" t="s">
        <v>364</v>
      </c>
      <c r="K4986" s="5" t="s">
        <v>344</v>
      </c>
      <c r="L4986" s="5"/>
      <c r="M4986" s="27">
        <v>19167101</v>
      </c>
      <c r="N4986" s="5"/>
      <c r="O4986" s="5" t="str">
        <v>2457083313</v>
      </c>
      <c r="P4986" s="27">
        <v>2053392000</v>
      </c>
      <c r="Q4986" s="5" t="s">
        <v>56958</v>
      </c>
      <c r="R4986" s="5"/>
      <c r="S4986" s="5" t="s">
        <v>56959</v>
      </c>
      <c r="T4986" s="28">
        <v>1803741000</v>
      </c>
      <c r="U4986" s="28"/>
      <c r="V4986" s="28">
        <v>9749733000</v>
      </c>
      <c r="W4986" s="28">
        <v>203364000</v>
      </c>
      <c r="X4986" s="28">
        <v>1411316000</v>
      </c>
      <c r="Y4986" s="28">
        <v>15522111000</v>
      </c>
      <c r="Z4986" s="28">
        <v>3245021000</v>
      </c>
      <c r="AA4986" s="28"/>
      <c r="AB4986" s="28"/>
      <c r="AC4986" s="28">
        <v>8766225000</v>
      </c>
      <c r="AD4986" s="28">
        <v>6598413000</v>
      </c>
      <c r="AE4986" s="28">
        <v>34834929000</v>
      </c>
      <c r="AF4986" s="28">
        <v>7705382000</v>
      </c>
      <c r="AG4986" s="11"/>
    </row>
    <row r="4987">
      <c r="A4987" s="7" t="s">
        <v>6608</v>
      </c>
      <c r="B4987" s="5" t="s">
        <v>14571</v>
      </c>
      <c r="C4987" s="5" t="s">
        <v>22296</v>
      </c>
      <c r="D4987" s="5" t="str">
        <v>166015120180</v>
      </c>
      <c r="E4987" s="0" t="e">
        <f>+7 (843) 5705946
+7 (8432) 212025
+7 (843) 2705945
+7 (843) 2705959
+7 (843) 5705959
+7 (8432) 215273
+7 (960) 558002</f>
        <v>#NAME?</v>
      </c>
      <c r="F4987" s="5" t="s">
        <v>40131</v>
      </c>
      <c r="G4987" s="5"/>
      <c r="H4987" s="26">
        <v>21</v>
      </c>
      <c r="I4987" s="5" t="s">
        <v>40132</v>
      </c>
      <c r="J4987" s="5" t="s">
        <v>364</v>
      </c>
      <c r="K4987" s="5" t="s">
        <v>380</v>
      </c>
      <c r="L4987" s="5"/>
      <c r="M4987" s="27">
        <v>4997124163</v>
      </c>
      <c r="N4987" s="5" t="s">
        <v>56960</v>
      </c>
      <c r="O4987" s="5" t="str">
        <v>1660056570</v>
      </c>
      <c r="P4987" s="27">
        <v>72300000</v>
      </c>
      <c r="Q4987" s="5" t="s">
        <v>56961</v>
      </c>
      <c r="R4987" s="5" t="s">
        <v>56962</v>
      </c>
      <c r="S4987" s="5" t="s">
        <v>56963</v>
      </c>
      <c r="T4987" s="28">
        <v>66660000</v>
      </c>
      <c r="U4987" s="28"/>
      <c r="V4987" s="28">
        <v>49418173000</v>
      </c>
      <c r="W4987" s="28">
        <v>2414061000</v>
      </c>
      <c r="X4987" s="28">
        <v>3613829000</v>
      </c>
      <c r="Y4987" s="28">
        <v>58088105000</v>
      </c>
      <c r="Z4987" s="28">
        <v>-1750290000</v>
      </c>
      <c r="AA4987" s="28"/>
      <c r="AB4987" s="28">
        <v>1155649000</v>
      </c>
      <c r="AC4987" s="28">
        <v>59755152000</v>
      </c>
      <c r="AD4987" s="28">
        <v>-1667145000</v>
      </c>
      <c r="AE4987" s="28">
        <v>12805758000</v>
      </c>
      <c r="AF4987" s="28">
        <v>1000</v>
      </c>
      <c r="AG4987" s="11"/>
    </row>
    <row r="4988">
      <c r="A4988" s="7" t="s">
        <v>6609</v>
      </c>
      <c r="B4988" s="5" t="s">
        <v>14572</v>
      </c>
      <c r="C4988" s="5" t="s">
        <v>22297</v>
      </c>
      <c r="D4988" s="5" t="str">
        <v>501701461904</v>
      </c>
      <c r="E4988" s="0" t="e">
        <f>+7 (495) 9945607
+7 (495) 9945682
+7 (498) 3143607</f>
        <v>#NAME?</v>
      </c>
      <c r="F4988" s="5" t="s">
        <v>40133</v>
      </c>
      <c r="G4988" s="5" t="s">
        <v>40134</v>
      </c>
      <c r="H4988" s="26">
        <v>24</v>
      </c>
      <c r="I4988" s="5" t="s">
        <v>40135</v>
      </c>
      <c r="J4988" s="5" t="s">
        <v>364</v>
      </c>
      <c r="K4988" s="5" t="s">
        <v>344</v>
      </c>
      <c r="L4988" s="5" t="s">
        <v>40136</v>
      </c>
      <c r="M4988" s="27">
        <v>30432930</v>
      </c>
      <c r="N4988" s="5" t="s">
        <v>56964</v>
      </c>
      <c r="O4988" s="5" t="str">
        <v>5017000079</v>
      </c>
      <c r="P4988" s="27">
        <v>5385000</v>
      </c>
      <c r="Q4988" s="5" t="s">
        <v>56965</v>
      </c>
      <c r="R4988" s="5" t="s">
        <v>56966</v>
      </c>
      <c r="S4988" s="5" t="s">
        <v>56967</v>
      </c>
      <c r="T4988" s="28">
        <v>120248000</v>
      </c>
      <c r="U4988" s="28">
        <v>114722000</v>
      </c>
      <c r="V4988" s="28">
        <v>1735785000</v>
      </c>
      <c r="W4988" s="28">
        <v>7779000</v>
      </c>
      <c r="X4988" s="28">
        <v>36497000</v>
      </c>
      <c r="Y4988" s="28">
        <v>5384436000</v>
      </c>
      <c r="Z4988" s="28">
        <v>654628000</v>
      </c>
      <c r="AA4988" s="28">
        <v>300000000</v>
      </c>
      <c r="AB4988" s="28">
        <v>274726000</v>
      </c>
      <c r="AC4988" s="28">
        <v>4368423000</v>
      </c>
      <c r="AD4988" s="28">
        <v>684200000</v>
      </c>
      <c r="AE4988" s="28">
        <v>10736018000</v>
      </c>
      <c r="AF4988" s="28">
        <v>53631000</v>
      </c>
      <c r="AG4988" s="11"/>
    </row>
    <row r="4989">
      <c r="A4989" s="7" t="s">
        <v>6610</v>
      </c>
      <c r="B4989" s="5" t="s">
        <v>14573</v>
      </c>
      <c r="C4989" s="5" t="s">
        <v>18018</v>
      </c>
      <c r="D4989" s="5"/>
      <c r="E4989" s="0" t="e">
        <f>+7 (401) 2307700</f>
        <v>#NAME?</v>
      </c>
      <c r="F4989" s="5"/>
      <c r="G4989" s="5"/>
      <c r="H4989" s="26">
        <v>7.5</v>
      </c>
      <c r="I4989" s="5" t="s">
        <v>40137</v>
      </c>
      <c r="J4989" s="5" t="s">
        <v>25371</v>
      </c>
      <c r="K4989" s="5" t="s">
        <v>355</v>
      </c>
      <c r="L4989" s="5" t="s">
        <v>40138</v>
      </c>
      <c r="M4989" s="27">
        <v>1886335</v>
      </c>
      <c r="N4989" s="5"/>
      <c r="O4989" s="5" t="str">
        <v>3923005324</v>
      </c>
      <c r="P4989" s="27">
        <v>1010000000</v>
      </c>
      <c r="Q4989" s="5"/>
      <c r="R4989" s="5"/>
      <c r="S4989" s="5" t="s">
        <v>56968</v>
      </c>
      <c r="T4989" s="28">
        <v>13561671000</v>
      </c>
      <c r="U4989" s="28"/>
      <c r="V4989" s="28">
        <v>799115000</v>
      </c>
      <c r="W4989" s="28"/>
      <c r="X4989" s="28">
        <v>343099000</v>
      </c>
      <c r="Y4989" s="28">
        <v>17490904000</v>
      </c>
      <c r="Z4989" s="28">
        <v>381563000</v>
      </c>
      <c r="AA4989" s="28">
        <v>9341697000</v>
      </c>
      <c r="AB4989" s="28">
        <v>2365468000</v>
      </c>
      <c r="AC4989" s="28">
        <v>3522218000</v>
      </c>
      <c r="AD4989" s="28">
        <v>4833595000</v>
      </c>
      <c r="AE4989" s="28">
        <v>3388371000</v>
      </c>
      <c r="AF4989" s="28">
        <v>25471000</v>
      </c>
      <c r="AG4989" s="11"/>
    </row>
    <row r="4990">
      <c r="A4990" s="7" t="s">
        <v>6611</v>
      </c>
      <c r="B4990" s="5" t="s">
        <v>14574</v>
      </c>
      <c r="C4990" s="5" t="s">
        <v>22298</v>
      </c>
      <c r="D4990" s="5" t="str">
        <v>501205141054</v>
      </c>
      <c r="E4990" s="0" t="e">
        <f>+7 (4912) 751932
+7 (4912) 753595
+7 (4912) 754653
+7 (4912) 754969
+7 (4912) 905826
+7 (4912) 935188
+7 (4912) 935189
+7 (985) 7641596</f>
        <v>#NAME?</v>
      </c>
      <c r="F4990" s="5" t="s">
        <v>40139</v>
      </c>
      <c r="G4990" s="5" t="s">
        <v>39808</v>
      </c>
      <c r="H4990" s="26">
        <v>20</v>
      </c>
      <c r="I4990" s="5" t="s">
        <v>40140</v>
      </c>
      <c r="J4990" s="5" t="s">
        <v>40141</v>
      </c>
      <c r="K4990" s="5" t="s">
        <v>344</v>
      </c>
      <c r="L4990" s="5"/>
      <c r="M4990" s="27">
        <v>1440000</v>
      </c>
      <c r="N4990" s="5"/>
      <c r="O4990" s="5" t="str">
        <v>6228051532</v>
      </c>
      <c r="P4990" s="27">
        <v>10000</v>
      </c>
      <c r="Q4990" s="5" t="s">
        <v>49059</v>
      </c>
      <c r="R4990" s="5"/>
      <c r="S4990" s="5" t="s">
        <v>49066</v>
      </c>
      <c r="T4990" s="28">
        <v>47256000</v>
      </c>
      <c r="U4990" s="28"/>
      <c r="V4990" s="28">
        <v>1467501000</v>
      </c>
      <c r="W4990" s="28"/>
      <c r="X4990" s="28">
        <v>77561000</v>
      </c>
      <c r="Y4990" s="28">
        <v>2021935000</v>
      </c>
      <c r="Z4990" s="28">
        <v>248814000</v>
      </c>
      <c r="AA4990" s="28"/>
      <c r="AB4990" s="28"/>
      <c r="AC4990" s="28">
        <v>854003000</v>
      </c>
      <c r="AD4990" s="28">
        <v>1167893000</v>
      </c>
      <c r="AE4990" s="28">
        <v>6501524000</v>
      </c>
      <c r="AF4990" s="28">
        <v>17398000</v>
      </c>
      <c r="AG4990" s="11"/>
    </row>
    <row r="4991">
      <c r="A4991" s="7" t="s">
        <v>6612</v>
      </c>
      <c r="B4991" s="5" t="s">
        <v>14575</v>
      </c>
      <c r="C4991" s="5" t="s">
        <v>22299</v>
      </c>
      <c r="D4991" s="5" t="str">
        <v>773212334773</v>
      </c>
      <c r="E4991" s="0" t="e">
        <f>+7 (48349) 21057
+7 (48349) 21361
+7 (48349) 21595
+7 (48349) 21649
+7 (48349) 22735
+7 (48349) 23567</f>
        <v>#NAME?</v>
      </c>
      <c r="F4991" s="5" t="s">
        <v>40142</v>
      </c>
      <c r="G4991" s="5" t="s">
        <v>40143</v>
      </c>
      <c r="H4991" s="26">
        <v>30</v>
      </c>
      <c r="I4991" s="5" t="s">
        <v>40144</v>
      </c>
      <c r="J4991" s="5" t="s">
        <v>27742</v>
      </c>
      <c r="K4991" s="5" t="s">
        <v>344</v>
      </c>
      <c r="L4991" s="5" t="s">
        <v>40145</v>
      </c>
      <c r="M4991" s="27"/>
      <c r="N4991" s="5"/>
      <c r="O4991" s="5" t="str">
        <v>3223000539</v>
      </c>
      <c r="P4991" s="27">
        <v>40000000</v>
      </c>
      <c r="Q4991" s="5" t="s">
        <v>49021</v>
      </c>
      <c r="R4991" s="5" t="s">
        <v>56969</v>
      </c>
      <c r="S4991" s="5" t="s">
        <v>51713</v>
      </c>
      <c r="T4991" s="28">
        <v>324460000</v>
      </c>
      <c r="U4991" s="28"/>
      <c r="V4991" s="28">
        <v>1081981000</v>
      </c>
      <c r="W4991" s="28"/>
      <c r="X4991" s="28">
        <v>38739000</v>
      </c>
      <c r="Y4991" s="28">
        <v>2490748000</v>
      </c>
      <c r="Z4991" s="28">
        <v>1378866000</v>
      </c>
      <c r="AA4991" s="28"/>
      <c r="AB4991" s="28">
        <v>342319000</v>
      </c>
      <c r="AC4991" s="28">
        <v>1048533000</v>
      </c>
      <c r="AD4991" s="28">
        <v>1427676000</v>
      </c>
      <c r="AE4991" s="28">
        <v>4129432000</v>
      </c>
      <c r="AF4991" s="28">
        <v>1407399000</v>
      </c>
      <c r="AG4991" s="11"/>
    </row>
    <row r="4992">
      <c r="A4992" s="7" t="s">
        <v>6613</v>
      </c>
      <c r="B4992" s="5" t="s">
        <v>14576</v>
      </c>
      <c r="C4992" s="5" t="s">
        <v>22300</v>
      </c>
      <c r="D4992" s="5" t="str">
        <v>771474135010</v>
      </c>
      <c r="E4992" s="0" t="e">
        <f>+7 (495) 7258045
+7 (495) 9845644
+7 (495) 7258046
+7 (495) 7258093
+7 (495) 9511374
+7 (499) 1561168
+7 (499) 1561169</f>
        <v>#NAME?</v>
      </c>
      <c r="F4992" s="5" t="s">
        <v>40146</v>
      </c>
      <c r="G4992" s="5" t="s">
        <v>40147</v>
      </c>
      <c r="H4992" s="26">
        <v>31</v>
      </c>
      <c r="I4992" s="5" t="s">
        <v>40148</v>
      </c>
      <c r="J4992" s="5" t="s">
        <v>27182</v>
      </c>
      <c r="K4992" s="5" t="s">
        <v>380</v>
      </c>
      <c r="L4992" s="5"/>
      <c r="M4992" s="27">
        <v>94096476</v>
      </c>
      <c r="N4992" s="5" t="s">
        <v>52804</v>
      </c>
      <c r="O4992" s="5" t="str">
        <v>7712005280</v>
      </c>
      <c r="P4992" s="27">
        <v>150000000</v>
      </c>
      <c r="Q4992" s="5" t="s">
        <v>56970</v>
      </c>
      <c r="R4992" s="5"/>
      <c r="S4992" s="5" t="s">
        <v>49348</v>
      </c>
      <c r="T4992" s="28">
        <v>10526442000</v>
      </c>
      <c r="U4992" s="28">
        <v>37500000</v>
      </c>
      <c r="V4992" s="28">
        <v>5008526000</v>
      </c>
      <c r="W4992" s="28"/>
      <c r="X4992" s="28">
        <v>18832000</v>
      </c>
      <c r="Y4992" s="28">
        <v>20163969000</v>
      </c>
      <c r="Z4992" s="28">
        <v>281596000</v>
      </c>
      <c r="AA4992" s="28">
        <v>5374474000</v>
      </c>
      <c r="AB4992" s="28">
        <v>103510000</v>
      </c>
      <c r="AC4992" s="28">
        <v>12934198000</v>
      </c>
      <c r="AD4992" s="28">
        <v>855131000</v>
      </c>
      <c r="AE4992" s="28">
        <v>5041739000</v>
      </c>
      <c r="AF4992" s="28">
        <v>26247000</v>
      </c>
      <c r="AG4992" s="11"/>
    </row>
    <row r="4993">
      <c r="A4993" s="7" t="s">
        <v>6614</v>
      </c>
      <c r="B4993" s="5" t="s">
        <v>14577</v>
      </c>
      <c r="C4993" s="5" t="s">
        <v>22301</v>
      </c>
      <c r="D4993" s="5" t="str">
        <v>772603512239</v>
      </c>
      <c r="E4993" s="0" t="e">
        <f>+7 (916) 6830055
+7 (962) 9007815</f>
        <v>#NAME?</v>
      </c>
      <c r="F4993" s="5" t="s">
        <v>40149</v>
      </c>
      <c r="G4993" s="5"/>
      <c r="H4993" s="26">
        <v>8</v>
      </c>
      <c r="I4993" s="5" t="s">
        <v>40150</v>
      </c>
      <c r="J4993" s="5" t="s">
        <v>38813</v>
      </c>
      <c r="K4993" s="5" t="s">
        <v>344</v>
      </c>
      <c r="L4993" s="5" t="s">
        <v>40151</v>
      </c>
      <c r="M4993" s="27"/>
      <c r="N4993" s="5"/>
      <c r="O4993" s="5" t="str">
        <v>7716791557</v>
      </c>
      <c r="P4993" s="27">
        <v>22000</v>
      </c>
      <c r="Q4993" s="5" t="s">
        <v>56971</v>
      </c>
      <c r="R4993" s="5"/>
      <c r="S4993" s="5" t="s">
        <v>53419</v>
      </c>
      <c r="T4993" s="28">
        <v>20371000</v>
      </c>
      <c r="U4993" s="28"/>
      <c r="V4993" s="28">
        <v>861285000</v>
      </c>
      <c r="W4993" s="28"/>
      <c r="X4993" s="28">
        <v>89469000</v>
      </c>
      <c r="Y4993" s="28">
        <v>971812000</v>
      </c>
      <c r="Z4993" s="28">
        <v>212545000</v>
      </c>
      <c r="AA4993" s="28"/>
      <c r="AB4993" s="28"/>
      <c r="AC4993" s="28">
        <v>769805000</v>
      </c>
      <c r="AD4993" s="28">
        <v>202007000</v>
      </c>
      <c r="AE4993" s="28">
        <v>4188208000</v>
      </c>
      <c r="AF4993" s="28">
        <v>778971000</v>
      </c>
      <c r="AG4993" s="11"/>
    </row>
    <row r="4994">
      <c r="A4994" s="7" t="s">
        <v>6615</v>
      </c>
      <c r="B4994" s="5" t="s">
        <v>14578</v>
      </c>
      <c r="C4994" s="5" t="s">
        <v>22302</v>
      </c>
      <c r="D4994" s="5" t="str">
        <v>691008384964</v>
      </c>
      <c r="E4994" s="0" t="e">
        <f>+7 (926) 6677999</f>
        <v>#NAME?</v>
      </c>
      <c r="F4994" s="5" t="s">
        <v>40152</v>
      </c>
      <c r="G4994" s="5"/>
      <c r="H4994" s="26">
        <v>8</v>
      </c>
      <c r="I4994" s="5" t="s">
        <v>40153</v>
      </c>
      <c r="J4994" s="5" t="s">
        <v>38813</v>
      </c>
      <c r="K4994" s="5" t="s">
        <v>344</v>
      </c>
      <c r="L4994" s="5" t="s">
        <v>40154</v>
      </c>
      <c r="M4994" s="27"/>
      <c r="N4994" s="5"/>
      <c r="O4994" s="5" t="str">
        <v>7727852071</v>
      </c>
      <c r="P4994" s="27">
        <v>130000</v>
      </c>
      <c r="Q4994" s="5" t="s">
        <v>56972</v>
      </c>
      <c r="R4994" s="5"/>
      <c r="S4994" s="5" t="s">
        <v>56973</v>
      </c>
      <c r="T4994" s="28">
        <v>45502000</v>
      </c>
      <c r="U4994" s="28"/>
      <c r="V4994" s="28">
        <v>1591556000</v>
      </c>
      <c r="W4994" s="28">
        <v>321063000</v>
      </c>
      <c r="X4994" s="28">
        <v>182000</v>
      </c>
      <c r="Y4994" s="28">
        <v>1961022000</v>
      </c>
      <c r="Z4994" s="28">
        <v>925459000</v>
      </c>
      <c r="AA4994" s="28">
        <v>266000</v>
      </c>
      <c r="AB4994" s="28">
        <v>1000000</v>
      </c>
      <c r="AC4994" s="28">
        <v>1028474000</v>
      </c>
      <c r="AD4994" s="28">
        <v>925589000</v>
      </c>
      <c r="AE4994" s="28">
        <v>5981611000</v>
      </c>
      <c r="AF4994" s="28">
        <v>1454134000</v>
      </c>
      <c r="AG4994" s="11"/>
    </row>
    <row r="4995">
      <c r="A4995" s="7" t="s">
        <v>6616</v>
      </c>
      <c r="B4995" s="5" t="s">
        <v>14579</v>
      </c>
      <c r="C4995" s="5" t="s">
        <v>22303</v>
      </c>
      <c r="D4995" s="5" t="str">
        <v>141401578945</v>
      </c>
      <c r="E4995" s="0" t="e">
        <f>+7 (411) 2451223
+7 (411) 2452312
+7 (41136) 54393
+7 (41136) 32684
+7 (41136) 32685
+7 (41136) 35420
+7 (41136) 35563
+7 (41136) 43390
+7 (41136) 44031
+7 (41136) 45090
+7 (41136) 49566
+7 (41136) 54137
+7 (41136) 60950
+7 (41136) 62997
+7 (41136) 64822</f>
        <v>#NAME?</v>
      </c>
      <c r="F4995" s="5" t="s">
        <v>40155</v>
      </c>
      <c r="G4995" s="5" t="s">
        <v>40156</v>
      </c>
      <c r="H4995" s="26">
        <v>6.5</v>
      </c>
      <c r="I4995" s="5" t="s">
        <v>40157</v>
      </c>
      <c r="J4995" s="5" t="s">
        <v>26435</v>
      </c>
      <c r="K4995" s="5" t="s">
        <v>380</v>
      </c>
      <c r="L4995" s="5"/>
      <c r="M4995" s="27"/>
      <c r="N4995" s="5" t="s">
        <v>56974</v>
      </c>
      <c r="O4995" s="5" t="str">
        <v>1433029788</v>
      </c>
      <c r="P4995" s="27">
        <v>6970375868</v>
      </c>
      <c r="Q4995" s="5" t="s">
        <v>56975</v>
      </c>
      <c r="R4995" s="5"/>
      <c r="S4995" s="5" t="s">
        <v>50205</v>
      </c>
      <c r="T4995" s="28">
        <v>8651378000</v>
      </c>
      <c r="U4995" s="28"/>
      <c r="V4995" s="28">
        <v>1638128000</v>
      </c>
      <c r="W4995" s="28"/>
      <c r="X4995" s="28">
        <v>3296000</v>
      </c>
      <c r="Y4995" s="28">
        <v>11212700000</v>
      </c>
      <c r="Z4995" s="28">
        <v>-2260864000</v>
      </c>
      <c r="AA4995" s="28">
        <v>94000000</v>
      </c>
      <c r="AB4995" s="28">
        <v>1340732000</v>
      </c>
      <c r="AC4995" s="28">
        <v>2504097000</v>
      </c>
      <c r="AD4995" s="28">
        <v>5606508000</v>
      </c>
      <c r="AE4995" s="28">
        <v>5282267000</v>
      </c>
      <c r="AF4995" s="28">
        <v>-480236000</v>
      </c>
      <c r="AG4995" s="11"/>
    </row>
    <row r="4996">
      <c r="A4996" s="7" t="s">
        <v>6617</v>
      </c>
      <c r="B4996" s="5" t="s">
        <v>14580</v>
      </c>
      <c r="C4996" s="5" t="s">
        <v>22304</v>
      </c>
      <c r="D4996" s="5" t="str">
        <v>590312893738</v>
      </c>
      <c r="E4996" s="0" t="e">
        <f>+7 (342) 2506746
+7 (342) 2506776
+7 (3422) 584006
+7 (800) 5507072
+7 (3422) 578407
+7 (3422) 578422
+7 (3422) 592821
+7 (34273) 90607
+7 (34273) 92607
+7 (965) 5628001</f>
        <v>#NAME?</v>
      </c>
      <c r="F4996" s="5" t="s">
        <v>40158</v>
      </c>
      <c r="G4996" s="5" t="s">
        <v>40159</v>
      </c>
      <c r="H4996" s="26">
        <v>30.5</v>
      </c>
      <c r="I4996" s="5"/>
      <c r="J4996" s="5" t="s">
        <v>991</v>
      </c>
      <c r="K4996" s="5" t="s">
        <v>344</v>
      </c>
      <c r="L4996" s="5" t="s">
        <v>40160</v>
      </c>
      <c r="M4996" s="27">
        <v>140089</v>
      </c>
      <c r="N4996" s="5" t="s">
        <v>56976</v>
      </c>
      <c r="O4996" s="5" t="str">
        <v>5916000030</v>
      </c>
      <c r="P4996" s="27">
        <v>37000</v>
      </c>
      <c r="Q4996" s="5" t="s">
        <v>56977</v>
      </c>
      <c r="R4996" s="5"/>
      <c r="S4996" s="5" t="s">
        <v>56978</v>
      </c>
      <c r="T4996" s="28">
        <v>779997000</v>
      </c>
      <c r="U4996" s="28">
        <v>5000</v>
      </c>
      <c r="V4996" s="28">
        <v>842933000</v>
      </c>
      <c r="W4996" s="28">
        <v>21019000</v>
      </c>
      <c r="X4996" s="28">
        <v>96778000</v>
      </c>
      <c r="Y4996" s="28">
        <v>2427360000</v>
      </c>
      <c r="Z4996" s="28">
        <v>1276258000</v>
      </c>
      <c r="AA4996" s="28"/>
      <c r="AB4996" s="28">
        <v>8000</v>
      </c>
      <c r="AC4996" s="28">
        <v>1099677000</v>
      </c>
      <c r="AD4996" s="28">
        <v>1276297000</v>
      </c>
      <c r="AE4996" s="28">
        <v>6433093000</v>
      </c>
      <c r="AF4996" s="28">
        <v>581146000</v>
      </c>
      <c r="AG4996" s="11"/>
    </row>
    <row r="4997">
      <c r="A4997" s="7" t="s">
        <v>6618</v>
      </c>
      <c r="B4997" s="5" t="s">
        <v>14581</v>
      </c>
      <c r="C4997" s="5" t="s">
        <v>22305</v>
      </c>
      <c r="D4997" s="5" t="str">
        <v>165608508976</v>
      </c>
      <c r="E4997" s="0" t="e">
        <f>+7 (939) 3303407
+7 (8432) 532533
+7 (8435) 901101
+7 (84367) 30001</f>
        <v>#NAME?</v>
      </c>
      <c r="F4997" s="5" t="s">
        <v>40161</v>
      </c>
      <c r="G4997" s="5" t="s">
        <v>40162</v>
      </c>
      <c r="H4997" s="26">
        <v>15.5</v>
      </c>
      <c r="I4997" s="5" t="s">
        <v>40163</v>
      </c>
      <c r="J4997" s="5" t="s">
        <v>29158</v>
      </c>
      <c r="K4997" s="5" t="s">
        <v>344</v>
      </c>
      <c r="L4997" s="5" t="s">
        <v>40164</v>
      </c>
      <c r="M4997" s="27">
        <v>11158954</v>
      </c>
      <c r="N4997" s="5" t="s">
        <v>56979</v>
      </c>
      <c r="O4997" s="5" t="str">
        <v>1648022038</v>
      </c>
      <c r="P4997" s="27">
        <v>896100000</v>
      </c>
      <c r="Q4997" s="5" t="s">
        <v>49009</v>
      </c>
      <c r="R4997" s="5"/>
      <c r="S4997" s="5" t="s">
        <v>52597</v>
      </c>
      <c r="T4997" s="28">
        <v>3943580000</v>
      </c>
      <c r="U4997" s="28">
        <v>1902901000</v>
      </c>
      <c r="V4997" s="28">
        <v>2139964000</v>
      </c>
      <c r="W4997" s="28">
        <v>74729000</v>
      </c>
      <c r="X4997" s="28">
        <v>53741000</v>
      </c>
      <c r="Y4997" s="28">
        <v>9855625000</v>
      </c>
      <c r="Z4997" s="28">
        <v>4036360000</v>
      </c>
      <c r="AA4997" s="28">
        <v>1130364000</v>
      </c>
      <c r="AB4997" s="28">
        <v>1416700000</v>
      </c>
      <c r="AC4997" s="28">
        <v>3390422000</v>
      </c>
      <c r="AD4997" s="28">
        <v>5282611000</v>
      </c>
      <c r="AE4997" s="28">
        <v>11302902000</v>
      </c>
      <c r="AF4997" s="28">
        <v>346761000</v>
      </c>
      <c r="AG4997" s="11"/>
    </row>
    <row r="4998">
      <c r="A4998" s="7" t="s">
        <v>6619</v>
      </c>
      <c r="B4998" s="5" t="s">
        <v>14582</v>
      </c>
      <c r="C4998" s="5" t="s">
        <v>22306</v>
      </c>
      <c r="D4998" s="5" t="str">
        <v>232801603231</v>
      </c>
      <c r="E4998" s="0" t="e">
        <f>+7 (800) 7007712
+7 (8362) 382211
+7 (83631) 67367
+7 (83631) 67676
+7 (83638) 94430
+7 (83638) 94588
+7 (917) 7001406</f>
        <v>#NAME?</v>
      </c>
      <c r="F4998" s="5" t="s">
        <v>40165</v>
      </c>
      <c r="G4998" s="5" t="s">
        <v>40166</v>
      </c>
      <c r="H4998" s="26">
        <v>17.5</v>
      </c>
      <c r="I4998" s="5" t="s">
        <v>40167</v>
      </c>
      <c r="J4998" s="5" t="s">
        <v>25450</v>
      </c>
      <c r="K4998" s="5" t="s">
        <v>344</v>
      </c>
      <c r="L4998" s="5"/>
      <c r="M4998" s="27">
        <v>459608</v>
      </c>
      <c r="N4998" s="5" t="s">
        <v>56980</v>
      </c>
      <c r="O4998" s="5" t="str">
        <v>1207007950</v>
      </c>
      <c r="P4998" s="27">
        <v>6945802</v>
      </c>
      <c r="Q4998" s="5" t="s">
        <v>49009</v>
      </c>
      <c r="R4998" s="5"/>
      <c r="S4998" s="5" t="s">
        <v>49408</v>
      </c>
      <c r="T4998" s="28">
        <v>26155040000</v>
      </c>
      <c r="U4998" s="28">
        <v>8652894000</v>
      </c>
      <c r="V4998" s="28">
        <v>1999783000</v>
      </c>
      <c r="W4998" s="28">
        <v>4054082000</v>
      </c>
      <c r="X4998" s="28">
        <v>389508000</v>
      </c>
      <c r="Y4998" s="28">
        <v>52323955000</v>
      </c>
      <c r="Z4998" s="28">
        <v>-1104640000</v>
      </c>
      <c r="AA4998" s="28">
        <v>44810663000</v>
      </c>
      <c r="AB4998" s="28">
        <v>3534000000</v>
      </c>
      <c r="AC4998" s="28">
        <v>4905578000</v>
      </c>
      <c r="AD4998" s="28">
        <v>741397000</v>
      </c>
      <c r="AE4998" s="28">
        <v>28345932000</v>
      </c>
      <c r="AF4998" s="28">
        <v>2177004000</v>
      </c>
      <c r="AG4998" s="11"/>
    </row>
    <row r="4999">
      <c r="A4999" s="7" t="s">
        <v>6620</v>
      </c>
      <c r="B4999" s="5" t="s">
        <v>14583</v>
      </c>
      <c r="C4999" s="5" t="s">
        <v>22307</v>
      </c>
      <c r="D4999" s="5" t="str">
        <v>771887363000</v>
      </c>
      <c r="E4999" s="0" t="e">
        <f>+7 (347) 2700271
+7 (347) 2706028
+7 (347) 2706030
+7 (347) 2710092
+7 (347) 2710112
+7 (347) 2700086
+7 (347) 2706124
+7 (3472) 681
+7 (3472) 222090
+7 (3472) 229494
+7 (917) 4525625</f>
        <v>#NAME?</v>
      </c>
      <c r="F4999" s="5" t="s">
        <v>40168</v>
      </c>
      <c r="G4999" s="5"/>
      <c r="H4999" s="26">
        <v>19.5</v>
      </c>
      <c r="I4999" s="5" t="s">
        <v>40169</v>
      </c>
      <c r="J4999" s="5" t="s">
        <v>25450</v>
      </c>
      <c r="K4999" s="5" t="s">
        <v>344</v>
      </c>
      <c r="L4999" s="5"/>
      <c r="M4999" s="27">
        <v>2288717</v>
      </c>
      <c r="N4999" s="5"/>
      <c r="O4999" s="5" t="str">
        <v>0245012726</v>
      </c>
      <c r="P4999" s="27">
        <v>162200000</v>
      </c>
      <c r="Q4999" s="5" t="s">
        <v>49009</v>
      </c>
      <c r="R4999" s="5" t="s">
        <v>56504</v>
      </c>
      <c r="S4999" s="5" t="s">
        <v>49956</v>
      </c>
      <c r="T4999" s="28">
        <v>841816000</v>
      </c>
      <c r="U4999" s="28"/>
      <c r="V4999" s="28">
        <v>389720000</v>
      </c>
      <c r="W4999" s="28"/>
      <c r="X4999" s="28">
        <v>45860000</v>
      </c>
      <c r="Y4999" s="28">
        <v>1967921000</v>
      </c>
      <c r="Z4999" s="28">
        <v>-1278521000</v>
      </c>
      <c r="AA4999" s="28">
        <v>500322000</v>
      </c>
      <c r="AB4999" s="28">
        <v>2563000</v>
      </c>
      <c r="AC4999" s="28">
        <v>291938000</v>
      </c>
      <c r="AD4999" s="28">
        <v>1175615000</v>
      </c>
      <c r="AE4999" s="28">
        <v>3842094000</v>
      </c>
      <c r="AF4999" s="28">
        <v>-54539000</v>
      </c>
      <c r="AG4999" s="11"/>
    </row>
    <row r="5000">
      <c r="A5000" s="7" t="s">
        <v>6621</v>
      </c>
      <c r="B5000" s="5" t="s">
        <v>14584</v>
      </c>
      <c r="C5000" s="5" t="s">
        <v>22308</v>
      </c>
      <c r="D5000" s="5" t="str">
        <v>601600387164</v>
      </c>
      <c r="E5000" s="0" t="e">
        <f>+7 (482) 2710925
+7 (482) 2710930
+7 (482) 2321897
+7 (482) 2386068
+7 (482) 2386922
+7 (482) 2710922</f>
        <v>#NAME?</v>
      </c>
      <c r="F5000" s="5" t="s">
        <v>40170</v>
      </c>
      <c r="G5000" s="5" t="s">
        <v>40171</v>
      </c>
      <c r="H5000" s="26">
        <v>28.5</v>
      </c>
      <c r="I5000" s="5"/>
      <c r="J5000" s="5" t="s">
        <v>25450</v>
      </c>
      <c r="K5000" s="5" t="s">
        <v>344</v>
      </c>
      <c r="L5000" s="5" t="s">
        <v>40172</v>
      </c>
      <c r="M5000" s="27"/>
      <c r="N5000" s="5" t="s">
        <v>56982</v>
      </c>
      <c r="O5000" s="5" t="str">
        <v>6924002730</v>
      </c>
      <c r="P5000" s="27">
        <v>430810</v>
      </c>
      <c r="Q5000" s="5"/>
      <c r="R5000" s="5"/>
      <c r="S5000" s="5" t="s">
        <v>49425</v>
      </c>
      <c r="T5000" s="28">
        <v>1434698000</v>
      </c>
      <c r="U5000" s="28">
        <v>250000000</v>
      </c>
      <c r="V5000" s="28">
        <v>169440000</v>
      </c>
      <c r="W5000" s="28"/>
      <c r="X5000" s="28">
        <v>21601000</v>
      </c>
      <c r="Y5000" s="28">
        <v>2463488000</v>
      </c>
      <c r="Z5000" s="28">
        <v>1320563000</v>
      </c>
      <c r="AA5000" s="28">
        <v>503331000</v>
      </c>
      <c r="AB5000" s="28">
        <v>284439000</v>
      </c>
      <c r="AC5000" s="28">
        <v>559631000</v>
      </c>
      <c r="AD5000" s="28">
        <v>1328322000</v>
      </c>
      <c r="AE5000" s="28">
        <v>3817569000</v>
      </c>
      <c r="AF5000" s="28">
        <v>235994000</v>
      </c>
      <c r="AG5000" s="11"/>
    </row>
    <row r="5001">
      <c r="A5001" s="7" t="s">
        <v>6622</v>
      </c>
      <c r="B5001" s="5" t="s">
        <v>14585</v>
      </c>
      <c r="C5001" s="5" t="s">
        <v>22309</v>
      </c>
      <c r="D5001" s="5" t="str">
        <v>110900095967</v>
      </c>
      <c r="E5001" s="0" t="e">
        <f>+7 (821) 2390500
+7 (821) 2390501
+7 (821) 2390548
+7 (821) 2390590
+7 (8212) 690500
+7 (8212) 690502
+7 (8212) 690504
+7 (8212) 690505
+7 (8212) 690539
+7 (8212) 690542
+7 (8212) 690546
+7 (8212) 690548
+7 (8212) 690555
+7 (82130) 79815</f>
        <v>#NAME?</v>
      </c>
      <c r="F5001" s="5" t="s">
        <v>40173</v>
      </c>
      <c r="G5001" s="5" t="s">
        <v>40174</v>
      </c>
      <c r="H5001" s="26">
        <v>29</v>
      </c>
      <c r="I5001" s="5"/>
      <c r="J5001" s="5" t="s">
        <v>25450</v>
      </c>
      <c r="K5001" s="5" t="s">
        <v>344</v>
      </c>
      <c r="L5001" s="5"/>
      <c r="M5001" s="27">
        <v>41459171</v>
      </c>
      <c r="N5001" s="5" t="s">
        <v>56983</v>
      </c>
      <c r="O5001" s="5" t="str">
        <v>1109008546</v>
      </c>
      <c r="P5001" s="27">
        <v>731709000</v>
      </c>
      <c r="Q5001" s="5" t="s">
        <v>56985</v>
      </c>
      <c r="R5001" s="5"/>
      <c r="S5001" s="5" t="s">
        <v>51023</v>
      </c>
      <c r="T5001" s="28">
        <v>3371525000</v>
      </c>
      <c r="U5001" s="28"/>
      <c r="V5001" s="28">
        <v>118616000</v>
      </c>
      <c r="W5001" s="28">
        <v>279412000</v>
      </c>
      <c r="X5001" s="28">
        <v>151581000</v>
      </c>
      <c r="Y5001" s="28">
        <v>5961303000</v>
      </c>
      <c r="Z5001" s="28">
        <v>4669092000</v>
      </c>
      <c r="AA5001" s="28"/>
      <c r="AB5001" s="28"/>
      <c r="AC5001" s="28">
        <v>307825000</v>
      </c>
      <c r="AD5001" s="28">
        <v>5532090000</v>
      </c>
      <c r="AE5001" s="28">
        <v>4893776000</v>
      </c>
      <c r="AF5001" s="28">
        <v>278064000</v>
      </c>
      <c r="AG5001" s="11"/>
    </row>
    <row r="5002">
      <c r="A5002" s="7" t="s">
        <v>6623</v>
      </c>
      <c r="B5002" s="5" t="s">
        <v>14586</v>
      </c>
      <c r="C5002" s="5" t="s">
        <v>22310</v>
      </c>
      <c r="D5002" s="5"/>
      <c r="E5002" s="0" t="e">
        <f>+7 (34271) 56019
+7 (34271) 56312
+7 (34271) 56343
+7 (34271) 56349
+7 (34271) 56441
+7 (922) 3503219</f>
        <v>#NAME?</v>
      </c>
      <c r="F5002" s="5" t="s">
        <v>40175</v>
      </c>
      <c r="G5002" s="5" t="s">
        <v>40176</v>
      </c>
      <c r="H5002" s="26">
        <v>18</v>
      </c>
      <c r="I5002" s="5"/>
      <c r="J5002" s="5" t="s">
        <v>25450</v>
      </c>
      <c r="K5002" s="5" t="s">
        <v>355</v>
      </c>
      <c r="L5002" s="5" t="s">
        <v>40177</v>
      </c>
      <c r="M5002" s="27">
        <v>126815992</v>
      </c>
      <c r="N5002" s="5" t="s">
        <v>56986</v>
      </c>
      <c r="O5002" s="5" t="str">
        <v>5917591459</v>
      </c>
      <c r="P5002" s="27">
        <v>79193270</v>
      </c>
      <c r="Q5002" s="5"/>
      <c r="R5002" s="5" t="s">
        <v>50151</v>
      </c>
      <c r="S5002" s="5" t="s">
        <v>49110</v>
      </c>
      <c r="T5002" s="28">
        <v>536907000</v>
      </c>
      <c r="U5002" s="28"/>
      <c r="V5002" s="28">
        <v>303068000</v>
      </c>
      <c r="W5002" s="28"/>
      <c r="X5002" s="28">
        <v>18191000</v>
      </c>
      <c r="Y5002" s="28">
        <v>1623790000</v>
      </c>
      <c r="Z5002" s="28">
        <v>569361000</v>
      </c>
      <c r="AA5002" s="28"/>
      <c r="AB5002" s="28">
        <v>200693000</v>
      </c>
      <c r="AC5002" s="28">
        <v>971276000</v>
      </c>
      <c r="AD5002" s="28">
        <v>652514000</v>
      </c>
      <c r="AE5002" s="28">
        <v>3585950000</v>
      </c>
      <c r="AF5002" s="28">
        <v>15808000</v>
      </c>
      <c r="AG5002" s="11"/>
    </row>
    <row r="5003">
      <c r="A5003" s="7" t="s">
        <v>6624</v>
      </c>
      <c r="B5003" s="5" t="s">
        <v>14587</v>
      </c>
      <c r="C5003" s="5" t="s">
        <v>22311</v>
      </c>
      <c r="D5003" s="5" t="str">
        <v>366605429480</v>
      </c>
      <c r="E5003" s="0" t="e">
        <f>+7 (844) 2665009
+7 (844) 2665035
+7 (844) 2665096
+7 (844) 2665101
+7 (844) 2665109</f>
        <v>#NAME?</v>
      </c>
      <c r="F5003" s="5" t="s">
        <v>40178</v>
      </c>
      <c r="G5003" s="5" t="s">
        <v>40179</v>
      </c>
      <c r="H5003" s="26">
        <v>10</v>
      </c>
      <c r="I5003" s="5"/>
      <c r="J5003" s="5" t="s">
        <v>25450</v>
      </c>
      <c r="K5003" s="5" t="s">
        <v>344</v>
      </c>
      <c r="L5003" s="5" t="s">
        <v>40180</v>
      </c>
      <c r="M5003" s="27"/>
      <c r="N5003" s="5"/>
      <c r="O5003" s="5" t="str">
        <v>3455000698</v>
      </c>
      <c r="P5003" s="27">
        <v>4800000</v>
      </c>
      <c r="Q5003" s="5" t="s">
        <v>49009</v>
      </c>
      <c r="R5003" s="5"/>
      <c r="S5003" s="5" t="s">
        <v>52102</v>
      </c>
      <c r="T5003" s="28">
        <v>1580424000</v>
      </c>
      <c r="U5003" s="28">
        <v>145000000</v>
      </c>
      <c r="V5003" s="28">
        <v>245813000</v>
      </c>
      <c r="W5003" s="28"/>
      <c r="X5003" s="28">
        <v>183709000</v>
      </c>
      <c r="Y5003" s="28">
        <v>2622321000</v>
      </c>
      <c r="Z5003" s="28">
        <v>1406818000</v>
      </c>
      <c r="AA5003" s="28"/>
      <c r="AB5003" s="28">
        <v>830094000</v>
      </c>
      <c r="AC5003" s="28">
        <v>1083353000</v>
      </c>
      <c r="AD5003" s="28">
        <v>1537163000</v>
      </c>
      <c r="AE5003" s="28">
        <v>5975730000</v>
      </c>
      <c r="AF5003" s="28">
        <v>59606000</v>
      </c>
      <c r="AG5003" s="11"/>
    </row>
    <row r="5004">
      <c r="A5004" s="7" t="s">
        <v>6625</v>
      </c>
      <c r="B5004" s="5" t="s">
        <v>14588</v>
      </c>
      <c r="C5004" s="5" t="s">
        <v>22312</v>
      </c>
      <c r="D5004" s="5" t="str">
        <v>660605095147</v>
      </c>
      <c r="E5004" s="0" t="e">
        <f>+7 (34365) 37175
+7 (963) 526622
+7 (34365) 26956
+7 (34365) 29991
+7 (34365) 31881
+7 (34365) 32906
+7 (34365) 34356
+7 (34365) 37267
+7 (34365) 38004
+7 (912) 2300251</f>
        <v>#NAME?</v>
      </c>
      <c r="F5004" s="5" t="s">
        <v>40181</v>
      </c>
      <c r="G5004" s="5" t="s">
        <v>40182</v>
      </c>
      <c r="H5004" s="26">
        <v>29.5</v>
      </c>
      <c r="I5004" s="5"/>
      <c r="J5004" s="5" t="s">
        <v>25450</v>
      </c>
      <c r="K5004" s="5" t="s">
        <v>344</v>
      </c>
      <c r="L5004" s="5"/>
      <c r="M5004" s="27">
        <v>83042846</v>
      </c>
      <c r="N5004" s="5" t="s">
        <v>56987</v>
      </c>
      <c r="O5004" s="5" t="str">
        <v>6603025045</v>
      </c>
      <c r="P5004" s="27">
        <v>3324698000</v>
      </c>
      <c r="Q5004" s="5" t="s">
        <v>56989</v>
      </c>
      <c r="R5004" s="5"/>
      <c r="S5004" s="5" t="s">
        <v>56990</v>
      </c>
      <c r="T5004" s="28">
        <v>1913143000</v>
      </c>
      <c r="U5004" s="28">
        <v>250235000</v>
      </c>
      <c r="V5004" s="28">
        <v>221781000</v>
      </c>
      <c r="W5004" s="28">
        <v>44643000</v>
      </c>
      <c r="X5004" s="28">
        <v>470119000</v>
      </c>
      <c r="Y5004" s="28">
        <v>4021552000</v>
      </c>
      <c r="Z5004" s="28">
        <v>-622043000</v>
      </c>
      <c r="AA5004" s="28"/>
      <c r="AB5004" s="28"/>
      <c r="AC5004" s="28">
        <v>1254550000</v>
      </c>
      <c r="AD5004" s="28">
        <v>2728326000</v>
      </c>
      <c r="AE5004" s="28">
        <v>5714051000</v>
      </c>
      <c r="AF5004" s="28">
        <v>59535000</v>
      </c>
      <c r="AG5004" s="11"/>
    </row>
    <row r="5005">
      <c r="A5005" s="7" t="s">
        <v>6626</v>
      </c>
      <c r="B5005" s="5" t="s">
        <v>14589</v>
      </c>
      <c r="C5005" s="5" t="s">
        <v>22313</v>
      </c>
      <c r="D5005" s="5" t="str">
        <v>470400464330</v>
      </c>
      <c r="E5005" s="0" t="e">
        <f>+7 (812) 4319941
+7 (812) 4319942
+7 (812) 4319993
+7 (81378) 68776
+7 (812) 4319815
+7 (81378) 68643</f>
        <v>#NAME?</v>
      </c>
      <c r="F5005" s="5" t="s">
        <v>40183</v>
      </c>
      <c r="G5005" s="5" t="s">
        <v>40184</v>
      </c>
      <c r="H5005" s="26">
        <v>30.5</v>
      </c>
      <c r="I5005" s="5"/>
      <c r="J5005" s="5" t="s">
        <v>25450</v>
      </c>
      <c r="K5005" s="5" t="s">
        <v>344</v>
      </c>
      <c r="L5005" s="5" t="s">
        <v>40185</v>
      </c>
      <c r="M5005" s="27">
        <v>300000</v>
      </c>
      <c r="N5005" s="5"/>
      <c r="O5005" s="5" t="str">
        <v>4704008395</v>
      </c>
      <c r="P5005" s="27">
        <v>7954370</v>
      </c>
      <c r="Q5005" s="5" t="s">
        <v>49009</v>
      </c>
      <c r="R5005" s="5"/>
      <c r="S5005" s="5" t="s">
        <v>49576</v>
      </c>
      <c r="T5005" s="28">
        <v>6798520000</v>
      </c>
      <c r="U5005" s="28">
        <v>3218000</v>
      </c>
      <c r="V5005" s="28">
        <v>1339968000</v>
      </c>
      <c r="W5005" s="28">
        <v>13000</v>
      </c>
      <c r="X5005" s="28">
        <v>1976112000</v>
      </c>
      <c r="Y5005" s="28">
        <v>15053331000</v>
      </c>
      <c r="Z5005" s="28">
        <v>9208930000</v>
      </c>
      <c r="AA5005" s="28">
        <v>3101503000</v>
      </c>
      <c r="AB5005" s="28">
        <v>1505667000</v>
      </c>
      <c r="AC5005" s="28">
        <v>2293214000</v>
      </c>
      <c r="AD5005" s="28">
        <v>9680370000</v>
      </c>
      <c r="AE5005" s="28">
        <v>10662925000</v>
      </c>
      <c r="AF5005" s="28">
        <v>1455471000</v>
      </c>
      <c r="AG5005" s="11"/>
    </row>
    <row r="5006">
      <c r="A5006" s="7" t="s">
        <v>6627</v>
      </c>
      <c r="B5006" s="5" t="s">
        <v>14590</v>
      </c>
      <c r="C5006" s="5" t="s">
        <v>22314</v>
      </c>
      <c r="D5006" s="5" t="str">
        <v>667222520520</v>
      </c>
      <c r="E5006" s="0" t="e">
        <f>+7 (343) 2207040
+7 (343) 2207070
+7 (343) 2207108
+7 (343) 2207127
+7 (343) 2207134
+7 (343) 2618275
+7 (343) 2618277
+7 (343) 2618278
+7 (343) 2618280
+7 (343) 2618282
+7 (343) 2618287
+7 (343) 2618293
+7 (343) 2618294
+7 (343) 2618295
+7 (343) 2618486</f>
        <v>#NAME?</v>
      </c>
      <c r="F5006" s="5" t="s">
        <v>40186</v>
      </c>
      <c r="G5006" s="5"/>
      <c r="H5006" s="26">
        <v>11.5</v>
      </c>
      <c r="I5006" s="5"/>
      <c r="J5006" s="5" t="s">
        <v>25450</v>
      </c>
      <c r="K5006" s="5" t="s">
        <v>344</v>
      </c>
      <c r="L5006" s="5"/>
      <c r="M5006" s="27">
        <v>750213</v>
      </c>
      <c r="N5006" s="5" t="s">
        <v>56992</v>
      </c>
      <c r="O5006" s="5" t="str">
        <v>6672350180</v>
      </c>
      <c r="P5006" s="27">
        <v>2775538000</v>
      </c>
      <c r="Q5006" s="5" t="s">
        <v>56994</v>
      </c>
      <c r="R5006" s="5" t="s">
        <v>56995</v>
      </c>
      <c r="S5006" s="5" t="s">
        <v>49288</v>
      </c>
      <c r="T5006" s="28">
        <v>2604309000</v>
      </c>
      <c r="U5006" s="28">
        <v>2732000</v>
      </c>
      <c r="V5006" s="28">
        <v>283947000</v>
      </c>
      <c r="W5006" s="28">
        <v>2000000000</v>
      </c>
      <c r="X5006" s="28">
        <v>581248000</v>
      </c>
      <c r="Y5006" s="28">
        <v>8049770000</v>
      </c>
      <c r="Z5006" s="28">
        <v>3705030000</v>
      </c>
      <c r="AA5006" s="28"/>
      <c r="AB5006" s="28"/>
      <c r="AC5006" s="28">
        <v>916310000</v>
      </c>
      <c r="AD5006" s="28">
        <v>7144484000</v>
      </c>
      <c r="AE5006" s="28">
        <v>6799006000</v>
      </c>
      <c r="AF5006" s="28">
        <v>337810000</v>
      </c>
      <c r="AG5006" s="11"/>
    </row>
    <row r="5007">
      <c r="A5007" s="7" t="s">
        <v>6628</v>
      </c>
      <c r="B5007" s="5" t="s">
        <v>14591</v>
      </c>
      <c r="C5007" s="5" t="s">
        <v>22315</v>
      </c>
      <c r="D5007" s="5" t="str">
        <v>507206373700</v>
      </c>
      <c r="E5007" s="0" t="e">
        <f>+7 (812) 3393007
+7 (81362) 63203
+7 (81362) 63264
+7 (812) 2754153
+7 (812) 2754553
+7 (812) 2755802
+7 (812) 3393003
+7 (812) 3393010
+7 (812) 6263000
+7 (81362) 63000
+7 (81362) 63102
+7 (81362) 63117
+7 (81362) 64352
+7 (921) 4056234</f>
        <v>#NAME?</v>
      </c>
      <c r="F5007" s="5" t="s">
        <v>40187</v>
      </c>
      <c r="G5007" s="5" t="s">
        <v>40188</v>
      </c>
      <c r="H5007" s="26">
        <v>23</v>
      </c>
      <c r="I5007" s="5"/>
      <c r="J5007" s="5" t="s">
        <v>25450</v>
      </c>
      <c r="K5007" s="5" t="s">
        <v>344</v>
      </c>
      <c r="L5007" s="5" t="s">
        <v>40189</v>
      </c>
      <c r="M5007" s="27">
        <v>6620224</v>
      </c>
      <c r="N5007" s="5"/>
      <c r="O5007" s="5" t="str">
        <v>4706002688</v>
      </c>
      <c r="P5007" s="27">
        <v>1129937718</v>
      </c>
      <c r="Q5007" s="5" t="s">
        <v>49009</v>
      </c>
      <c r="R5007" s="5"/>
      <c r="S5007" s="5" t="s">
        <v>49066</v>
      </c>
      <c r="T5007" s="28">
        <v>9769540000</v>
      </c>
      <c r="U5007" s="28"/>
      <c r="V5007" s="28">
        <v>1236162000</v>
      </c>
      <c r="W5007" s="28">
        <v>11473500000</v>
      </c>
      <c r="X5007" s="28">
        <v>440828000</v>
      </c>
      <c r="Y5007" s="28">
        <v>29579695000</v>
      </c>
      <c r="Z5007" s="28">
        <v>23027583000</v>
      </c>
      <c r="AA5007" s="28">
        <v>1954582000</v>
      </c>
      <c r="AB5007" s="28">
        <v>1401627000</v>
      </c>
      <c r="AC5007" s="28">
        <v>3374350000</v>
      </c>
      <c r="AD5007" s="28">
        <v>24250763000</v>
      </c>
      <c r="AE5007" s="28">
        <v>28878640000</v>
      </c>
      <c r="AF5007" s="28">
        <v>3824085000</v>
      </c>
      <c r="AG5007" s="11"/>
    </row>
    <row r="5008">
      <c r="A5008" s="7" t="s">
        <v>6629</v>
      </c>
      <c r="B5008" s="5" t="s">
        <v>14592</v>
      </c>
      <c r="C5008" s="5" t="s">
        <v>22316</v>
      </c>
      <c r="D5008" s="5" t="str">
        <v>521404473949</v>
      </c>
      <c r="E5008" s="0" t="e">
        <f>+7 (812) 4466092
+7 (931) 2303811
+7 (812) 4496090
+7 (812) 4496092
+7 (812) 4496093
+7 (812) 4496095
+7 (812) 6265173
+7 (812) 6265279</f>
        <v>#NAME?</v>
      </c>
      <c r="F5008" s="5" t="s">
        <v>40190</v>
      </c>
      <c r="G5008" s="5" t="s">
        <v>40191</v>
      </c>
      <c r="H5008" s="26">
        <v>30</v>
      </c>
      <c r="I5008" s="5"/>
      <c r="J5008" s="5" t="s">
        <v>25450</v>
      </c>
      <c r="K5008" s="5" t="s">
        <v>355</v>
      </c>
      <c r="L5008" s="5"/>
      <c r="M5008" s="27">
        <v>190533170</v>
      </c>
      <c r="N5008" s="5" t="s">
        <v>56996</v>
      </c>
      <c r="O5008" s="5" t="str">
        <v>4706001780</v>
      </c>
      <c r="P5008" s="27">
        <v>228886000</v>
      </c>
      <c r="Q5008" s="5" t="s">
        <v>49059</v>
      </c>
      <c r="R5008" s="5" t="s">
        <v>52844</v>
      </c>
      <c r="S5008" s="5" t="s">
        <v>56997</v>
      </c>
      <c r="T5008" s="28">
        <v>2790972000</v>
      </c>
      <c r="U5008" s="28">
        <v>89613000</v>
      </c>
      <c r="V5008" s="28">
        <v>899836000</v>
      </c>
      <c r="W5008" s="28"/>
      <c r="X5008" s="28">
        <v>28529000</v>
      </c>
      <c r="Y5008" s="28">
        <v>5640462000</v>
      </c>
      <c r="Z5008" s="28">
        <v>-1547095000</v>
      </c>
      <c r="AA5008" s="28">
        <v>3800941000</v>
      </c>
      <c r="AB5008" s="28"/>
      <c r="AC5008" s="28">
        <v>2151125000</v>
      </c>
      <c r="AD5008" s="28">
        <v>-1221343000</v>
      </c>
      <c r="AE5008" s="28">
        <v>10247906000</v>
      </c>
      <c r="AF5008" s="28">
        <v>912129000</v>
      </c>
      <c r="AG5008" s="11"/>
    </row>
    <row r="5009">
      <c r="A5009" s="7" t="s">
        <v>6630</v>
      </c>
      <c r="B5009" s="5" t="s">
        <v>14593</v>
      </c>
      <c r="C5009" s="5" t="s">
        <v>20821</v>
      </c>
      <c r="D5009" s="5" t="str">
        <v>132200397670</v>
      </c>
      <c r="E5009" s="0" t="e">
        <f>+7 (834) 3721494
+7 (83437) 21861
+7 (83437) 21867
+7 (83437) 20513
+7 (83437) 20514
+7 (83437) 20545
+7 (83437) 21273
+7 (83437) 21413
+7 (83437) 21870
+7 (927) 1871058
+7 (927) 9794080</f>
        <v>#NAME?</v>
      </c>
      <c r="F5009" s="5" t="s">
        <v>40192</v>
      </c>
      <c r="G5009" s="5" t="s">
        <v>40193</v>
      </c>
      <c r="H5009" s="26">
        <v>17.5</v>
      </c>
      <c r="I5009" s="5"/>
      <c r="J5009" s="5" t="s">
        <v>25450</v>
      </c>
      <c r="K5009" s="5" t="s">
        <v>355</v>
      </c>
      <c r="L5009" s="5" t="s">
        <v>40194</v>
      </c>
      <c r="M5009" s="27"/>
      <c r="N5009" s="5"/>
      <c r="O5009" s="5" t="str">
        <v>1322010439</v>
      </c>
      <c r="P5009" s="27">
        <v>24961300</v>
      </c>
      <c r="Q5009" s="5" t="s">
        <v>49059</v>
      </c>
      <c r="R5009" s="5"/>
      <c r="S5009" s="5" t="s">
        <v>49121</v>
      </c>
      <c r="T5009" s="28">
        <v>6957958000</v>
      </c>
      <c r="U5009" s="28">
        <v>4000</v>
      </c>
      <c r="V5009" s="28">
        <v>7932643000</v>
      </c>
      <c r="W5009" s="28"/>
      <c r="X5009" s="28">
        <v>515000</v>
      </c>
      <c r="Y5009" s="28">
        <v>17609549000</v>
      </c>
      <c r="Z5009" s="28">
        <v>11734865000</v>
      </c>
      <c r="AA5009" s="28">
        <v>2974480000</v>
      </c>
      <c r="AB5009" s="28">
        <v>1096787000</v>
      </c>
      <c r="AC5009" s="28">
        <v>2873995000</v>
      </c>
      <c r="AD5009" s="28">
        <v>11761074000</v>
      </c>
      <c r="AE5009" s="28">
        <v>19154801000</v>
      </c>
      <c r="AF5009" s="28">
        <v>3355848000</v>
      </c>
      <c r="AG5009" s="11"/>
    </row>
    <row r="5010">
      <c r="A5010" s="7" t="s">
        <v>6631</v>
      </c>
      <c r="B5010" s="5" t="s">
        <v>14594</v>
      </c>
      <c r="C5010" s="5" t="s">
        <v>22317</v>
      </c>
      <c r="D5010" s="5" t="str">
        <v>744707816437</v>
      </c>
      <c r="E5010" s="0" t="e">
        <f>+7 (3512) 476655
+7 (3512) 476665
+7 (3512) 559400
+7 (3512) 559403
+7 (3512) 559405
+7 (3512) 559406
+7 (3512) 559407
+7 (3512) 559408
+7 (3512) 559411
+7 (3512) 559416
+7 (3512) 559417
+7 (3512) 559419
+7 (3512) 559423
+7 (3512) 559424
+7 (3512) 559429</f>
        <v>#NAME?</v>
      </c>
      <c r="F5010" s="5" t="s">
        <v>40195</v>
      </c>
      <c r="G5010" s="5" t="s">
        <v>40196</v>
      </c>
      <c r="H5010" s="26">
        <v>19.5</v>
      </c>
      <c r="I5010" s="5"/>
      <c r="J5010" s="5" t="s">
        <v>25450</v>
      </c>
      <c r="K5010" s="5" t="s">
        <v>344</v>
      </c>
      <c r="L5010" s="5" t="s">
        <v>40197</v>
      </c>
      <c r="M5010" s="27">
        <v>21647804</v>
      </c>
      <c r="N5010" s="5" t="s">
        <v>56999</v>
      </c>
      <c r="O5010" s="5" t="str">
        <v>7430008205</v>
      </c>
      <c r="P5010" s="27">
        <v>1176000000</v>
      </c>
      <c r="Q5010" s="5" t="s">
        <v>57000</v>
      </c>
      <c r="R5010" s="5"/>
      <c r="S5010" s="5" t="s">
        <v>57001</v>
      </c>
      <c r="T5010" s="28">
        <v>1479529000</v>
      </c>
      <c r="U5010" s="28">
        <v>1852596000</v>
      </c>
      <c r="V5010" s="28">
        <v>1156809000</v>
      </c>
      <c r="W5010" s="28">
        <v>1192618000</v>
      </c>
      <c r="X5010" s="28">
        <v>114844000</v>
      </c>
      <c r="Y5010" s="28">
        <v>6665266000</v>
      </c>
      <c r="Z5010" s="28">
        <v>2692072000</v>
      </c>
      <c r="AA5010" s="28">
        <v>776250000</v>
      </c>
      <c r="AB5010" s="28">
        <v>1416051000</v>
      </c>
      <c r="AC5010" s="28">
        <v>1756922000</v>
      </c>
      <c r="AD5010" s="28">
        <v>4029439000</v>
      </c>
      <c r="AE5010" s="28">
        <v>4652508000</v>
      </c>
      <c r="AF5010" s="28">
        <v>551831000</v>
      </c>
      <c r="AG5010" s="11"/>
    </row>
    <row r="5011">
      <c r="A5011" s="7" t="s">
        <v>6632</v>
      </c>
      <c r="B5011" s="5" t="s">
        <v>14595</v>
      </c>
      <c r="C5011" s="5" t="s">
        <v>22318</v>
      </c>
      <c r="D5011" s="5" t="str">
        <v>503208514903</v>
      </c>
      <c r="E5011" s="0" t="e">
        <f>+7 (495) 7455951
+7 (495) 7455952
+7 (495) 7455953
+7 (495) 7455954
+7 (495) 7455950
+7 (49634) 45908</f>
        <v>#NAME?</v>
      </c>
      <c r="F5011" s="5" t="s">
        <v>40198</v>
      </c>
      <c r="G5011" s="5" t="s">
        <v>40199</v>
      </c>
      <c r="H5011" s="26">
        <v>23.5</v>
      </c>
      <c r="I5011" s="5" t="s">
        <v>40200</v>
      </c>
      <c r="J5011" s="5" t="s">
        <v>25450</v>
      </c>
      <c r="K5011" s="5" t="s">
        <v>380</v>
      </c>
      <c r="L5011" s="5"/>
      <c r="M5011" s="27"/>
      <c r="N5011" s="5"/>
      <c r="O5011" s="5" t="str">
        <v>5030084600</v>
      </c>
      <c r="P5011" s="27">
        <v>49329925</v>
      </c>
      <c r="Q5011" s="5"/>
      <c r="R5011" s="5"/>
      <c r="S5011" s="5" t="s">
        <v>49123</v>
      </c>
      <c r="T5011" s="28">
        <v>3196435000</v>
      </c>
      <c r="U5011" s="28">
        <v>98212000</v>
      </c>
      <c r="V5011" s="28">
        <v>4039155000</v>
      </c>
      <c r="W5011" s="28">
        <v>2185268000</v>
      </c>
      <c r="X5011" s="28">
        <v>3572000</v>
      </c>
      <c r="Y5011" s="28">
        <v>11079737000</v>
      </c>
      <c r="Z5011" s="28">
        <v>6605105000</v>
      </c>
      <c r="AA5011" s="28">
        <v>1040000000</v>
      </c>
      <c r="AB5011" s="28">
        <v>2336527000</v>
      </c>
      <c r="AC5011" s="28">
        <v>3306836000</v>
      </c>
      <c r="AD5011" s="28">
        <v>6672814000</v>
      </c>
      <c r="AE5011" s="28">
        <v>9099750000</v>
      </c>
      <c r="AF5011" s="28">
        <v>282120000</v>
      </c>
      <c r="AG5011" s="11"/>
    </row>
    <row r="5012">
      <c r="A5012" s="7" t="s">
        <v>6633</v>
      </c>
      <c r="B5012" s="5" t="s">
        <v>14596</v>
      </c>
      <c r="C5012" s="5" t="s">
        <v>22319</v>
      </c>
      <c r="D5012" s="5" t="str">
        <v>771519726939</v>
      </c>
      <c r="E5012" s="0" t="e">
        <f>+7 (499) 5179313</f>
        <v>#NAME?</v>
      </c>
      <c r="F5012" s="5" t="s">
        <v>40201</v>
      </c>
      <c r="G5012" s="5" t="s">
        <v>40202</v>
      </c>
      <c r="H5012" s="26">
        <v>9</v>
      </c>
      <c r="I5012" s="5" t="s">
        <v>40203</v>
      </c>
      <c r="J5012" s="5" t="s">
        <v>30872</v>
      </c>
      <c r="K5012" s="5" t="s">
        <v>344</v>
      </c>
      <c r="L5012" s="5" t="s">
        <v>40204</v>
      </c>
      <c r="M5012" s="27">
        <v>13838428</v>
      </c>
      <c r="N5012" s="5" t="s">
        <v>57002</v>
      </c>
      <c r="O5012" s="5" t="str">
        <v>7730702238</v>
      </c>
      <c r="P5012" s="27">
        <v>20000</v>
      </c>
      <c r="Q5012" s="5" t="s">
        <v>49822</v>
      </c>
      <c r="R5012" s="5"/>
      <c r="S5012" s="5" t="s">
        <v>57003</v>
      </c>
      <c r="T5012" s="28">
        <v>38108000</v>
      </c>
      <c r="U5012" s="28">
        <v>162170000</v>
      </c>
      <c r="V5012" s="28">
        <v>442617000</v>
      </c>
      <c r="W5012" s="28">
        <v>162987000</v>
      </c>
      <c r="X5012" s="28">
        <v>7326000</v>
      </c>
      <c r="Y5012" s="28">
        <v>1411333000</v>
      </c>
      <c r="Z5012" s="28">
        <v>229835000</v>
      </c>
      <c r="AA5012" s="28"/>
      <c r="AB5012" s="28"/>
      <c r="AC5012" s="28">
        <v>1085585000</v>
      </c>
      <c r="AD5012" s="28">
        <v>313468000</v>
      </c>
      <c r="AE5012" s="28">
        <v>3559243000</v>
      </c>
      <c r="AF5012" s="28">
        <v>319587000</v>
      </c>
      <c r="AG5012" s="11"/>
    </row>
    <row r="5013">
      <c r="A5013" s="7" t="s">
        <v>6634</v>
      </c>
      <c r="B5013" s="5" t="s">
        <v>14597</v>
      </c>
      <c r="C5013" s="5" t="s">
        <v>22320</v>
      </c>
      <c r="D5013" s="5" t="str">
        <v>352800217856</v>
      </c>
      <c r="E5013" s="0" t="e">
        <f>+7 (820) 2201631
+7 (820) 2201756
+7 (499) 3721780
+7 (820) 2597213
+7 (8202) 201306
+7 (8202) 201307
+7 (8202) 201626
+7 (8202) 201757
+7 (8202) 598131
+7 (8202) 598338
+7 (8202) 598339
+7 (909) 5958865
+7 (953) 5246649</f>
        <v>#NAME?</v>
      </c>
      <c r="F5013" s="5" t="s">
        <v>40205</v>
      </c>
      <c r="G5013" s="5" t="s">
        <v>40206</v>
      </c>
      <c r="H5013" s="26">
        <v>17.5</v>
      </c>
      <c r="I5013" s="5" t="s">
        <v>40207</v>
      </c>
      <c r="J5013" s="5" t="s">
        <v>31059</v>
      </c>
      <c r="K5013" s="5" t="s">
        <v>344</v>
      </c>
      <c r="L5013" s="5" t="s">
        <v>40208</v>
      </c>
      <c r="M5013" s="27"/>
      <c r="N5013" s="5"/>
      <c r="O5013" s="5" t="str">
        <v>3528105078</v>
      </c>
      <c r="P5013" s="27">
        <v>10000</v>
      </c>
      <c r="Q5013" s="5" t="s">
        <v>49009</v>
      </c>
      <c r="R5013" s="5"/>
      <c r="S5013" s="5" t="s">
        <v>49010</v>
      </c>
      <c r="T5013" s="28">
        <v>78696000</v>
      </c>
      <c r="U5013" s="28"/>
      <c r="V5013" s="28">
        <v>384575000</v>
      </c>
      <c r="W5013" s="28">
        <v>20000000</v>
      </c>
      <c r="X5013" s="28">
        <v>287065000</v>
      </c>
      <c r="Y5013" s="28">
        <v>1068365000</v>
      </c>
      <c r="Z5013" s="28">
        <v>892336000</v>
      </c>
      <c r="AA5013" s="28"/>
      <c r="AB5013" s="28"/>
      <c r="AC5013" s="28">
        <v>174113000</v>
      </c>
      <c r="AD5013" s="28">
        <v>892348000</v>
      </c>
      <c r="AE5013" s="28">
        <v>4349491000</v>
      </c>
      <c r="AF5013" s="28">
        <v>359688000</v>
      </c>
      <c r="AG5013" s="11"/>
    </row>
    <row r="5014">
      <c r="A5014" s="7" t="s">
        <v>6635</v>
      </c>
      <c r="B5014" s="5" t="s">
        <v>14598</v>
      </c>
      <c r="C5014" s="5" t="s">
        <v>22321</v>
      </c>
      <c r="D5014" s="5" t="str">
        <v>710606860063</v>
      </c>
      <c r="F5014" s="5"/>
      <c r="G5014" s="5" t="s">
        <v>40209</v>
      </c>
      <c r="H5014" s="26">
        <v>3</v>
      </c>
      <c r="I5014" s="5" t="s">
        <v>40210</v>
      </c>
      <c r="J5014" s="5" t="s">
        <v>445</v>
      </c>
      <c r="K5014" s="5" t="s">
        <v>380</v>
      </c>
      <c r="L5014" s="5" t="s">
        <v>40211</v>
      </c>
      <c r="M5014" s="27">
        <v>17983725</v>
      </c>
      <c r="N5014" s="5" t="s">
        <v>57004</v>
      </c>
      <c r="O5014" s="5" t="str">
        <v>7118023679</v>
      </c>
      <c r="P5014" s="27">
        <v>10000</v>
      </c>
      <c r="Q5014" s="5"/>
      <c r="R5014" s="5"/>
      <c r="S5014" s="5" t="s">
        <v>49110</v>
      </c>
      <c r="T5014" s="28">
        <v>271060000</v>
      </c>
      <c r="U5014" s="28"/>
      <c r="V5014" s="28">
        <v>654089000</v>
      </c>
      <c r="W5014" s="28">
        <v>58125000</v>
      </c>
      <c r="X5014" s="28">
        <v>489000</v>
      </c>
      <c r="Y5014" s="28">
        <v>1136228000</v>
      </c>
      <c r="Z5014" s="28">
        <v>58974000</v>
      </c>
      <c r="AA5014" s="28"/>
      <c r="AB5014" s="28">
        <v>146604000</v>
      </c>
      <c r="AC5014" s="28">
        <v>994363000</v>
      </c>
      <c r="AD5014" s="28">
        <v>58984000</v>
      </c>
      <c r="AE5014" s="28">
        <v>4149452000</v>
      </c>
      <c r="AF5014" s="28">
        <v>4029000</v>
      </c>
      <c r="AG5014" s="11"/>
    </row>
    <row r="5015">
      <c r="A5015" s="7" t="s">
        <v>6636</v>
      </c>
      <c r="B5015" s="5" t="s">
        <v>14599</v>
      </c>
      <c r="C5015" s="5" t="s">
        <v>22322</v>
      </c>
      <c r="D5015" s="5" t="str">
        <v>420535964505</v>
      </c>
      <c r="E5015" s="0" t="e">
        <f>+7 (3843) 720153
+7 (913) 4368169
+7 (961) 7020420</f>
        <v>#NAME?</v>
      </c>
      <c r="F5015" s="5" t="s">
        <v>40212</v>
      </c>
      <c r="G5015" s="5"/>
      <c r="H5015" s="26">
        <v>10.5</v>
      </c>
      <c r="I5015" s="5" t="s">
        <v>40213</v>
      </c>
      <c r="J5015" s="5" t="s">
        <v>373</v>
      </c>
      <c r="K5015" s="5" t="s">
        <v>344</v>
      </c>
      <c r="L5015" s="5" t="s">
        <v>40214</v>
      </c>
      <c r="M5015" s="27">
        <v>257078</v>
      </c>
      <c r="N5015" s="5" t="s">
        <v>57005</v>
      </c>
      <c r="O5015" s="5" t="str">
        <v>4217147430</v>
      </c>
      <c r="P5015" s="27">
        <v>26000000</v>
      </c>
      <c r="Q5015" s="5"/>
      <c r="R5015" s="5"/>
      <c r="S5015" s="5" t="s">
        <v>49496</v>
      </c>
      <c r="T5015" s="28">
        <v>89024000</v>
      </c>
      <c r="U5015" s="28"/>
      <c r="V5015" s="28">
        <v>2003773000</v>
      </c>
      <c r="W5015" s="28"/>
      <c r="X5015" s="28">
        <v>4577937000</v>
      </c>
      <c r="Y5015" s="28">
        <v>6795449000</v>
      </c>
      <c r="Z5015" s="28">
        <v>4533312000</v>
      </c>
      <c r="AA5015" s="28"/>
      <c r="AB5015" s="28"/>
      <c r="AC5015" s="28">
        <v>2228715000</v>
      </c>
      <c r="AD5015" s="28">
        <v>4559312000</v>
      </c>
      <c r="AE5015" s="28">
        <v>19643433000</v>
      </c>
      <c r="AF5015" s="28">
        <v>9418369000</v>
      </c>
      <c r="AG5015" s="11"/>
    </row>
    <row r="5016">
      <c r="A5016" s="7" t="s">
        <v>6637</v>
      </c>
      <c r="B5016" s="5" t="s">
        <v>14600</v>
      </c>
      <c r="C5016" s="5" t="s">
        <v>22323</v>
      </c>
      <c r="D5016" s="5" t="str">
        <v>616401399883</v>
      </c>
      <c r="E5016" s="0" t="e">
        <f>+7 (800) 5110120
+7 (8632) 6619
+7 (903) 4741032
+7 (909) 4008910
+7 (918) 5009090
+7 (928) 2796388</f>
        <v>#NAME?</v>
      </c>
      <c r="F5016" s="5" t="s">
        <v>40215</v>
      </c>
      <c r="G5016" s="5"/>
      <c r="H5016" s="26">
        <v>6</v>
      </c>
      <c r="I5016" s="5" t="s">
        <v>40216</v>
      </c>
      <c r="J5016" s="5" t="s">
        <v>26880</v>
      </c>
      <c r="K5016" s="5" t="s">
        <v>344</v>
      </c>
      <c r="L5016" s="5" t="s">
        <v>40217</v>
      </c>
      <c r="M5016" s="27"/>
      <c r="N5016" s="5" t="s">
        <v>57006</v>
      </c>
      <c r="O5016" s="5" t="str">
        <v>6125032190</v>
      </c>
      <c r="P5016" s="27">
        <v>10000</v>
      </c>
      <c r="Q5016" s="5" t="s">
        <v>49009</v>
      </c>
      <c r="R5016" s="5"/>
      <c r="S5016" s="5" t="s">
        <v>49116</v>
      </c>
      <c r="T5016" s="28">
        <v>40836000</v>
      </c>
      <c r="U5016" s="28"/>
      <c r="V5016" s="28">
        <v>276018000</v>
      </c>
      <c r="W5016" s="28"/>
      <c r="X5016" s="28">
        <v>13098000</v>
      </c>
      <c r="Y5016" s="28">
        <v>860353000</v>
      </c>
      <c r="Z5016" s="28">
        <v>305656000</v>
      </c>
      <c r="AA5016" s="28">
        <v>335861000</v>
      </c>
      <c r="AB5016" s="28">
        <v>56109000</v>
      </c>
      <c r="AC5016" s="28">
        <v>218474000</v>
      </c>
      <c r="AD5016" s="28">
        <v>305666000</v>
      </c>
      <c r="AE5016" s="28">
        <v>4245573000</v>
      </c>
      <c r="AF5016" s="28">
        <v>20887000</v>
      </c>
      <c r="AG5016" s="11"/>
    </row>
    <row r="5017">
      <c r="A5017" s="7" t="s">
        <v>6638</v>
      </c>
      <c r="B5017" s="5" t="s">
        <v>14601</v>
      </c>
      <c r="C5017" s="5" t="s">
        <v>22324</v>
      </c>
      <c r="D5017" s="5" t="str">
        <v>502101380074</v>
      </c>
      <c r="E5017" s="0" t="e">
        <f>+7 (49669) 36332
+7 (49669) 36371</f>
        <v>#NAME?</v>
      </c>
      <c r="F5017" s="5"/>
      <c r="G5017" s="5" t="s">
        <v>40218</v>
      </c>
      <c r="H5017" s="26">
        <v>14.5</v>
      </c>
      <c r="I5017" s="5" t="s">
        <v>40219</v>
      </c>
      <c r="J5017" s="5" t="s">
        <v>26128</v>
      </c>
      <c r="K5017" s="5" t="s">
        <v>344</v>
      </c>
      <c r="L5017" s="5" t="s">
        <v>40220</v>
      </c>
      <c r="M5017" s="27"/>
      <c r="N5017" s="5"/>
      <c r="O5017" s="5" t="str">
        <v>5019020585</v>
      </c>
      <c r="P5017" s="27">
        <v>10000</v>
      </c>
      <c r="Q5017" s="5" t="s">
        <v>49009</v>
      </c>
      <c r="R5017" s="5"/>
      <c r="S5017" s="5" t="s">
        <v>49066</v>
      </c>
      <c r="T5017" s="28">
        <v>47835000</v>
      </c>
      <c r="U5017" s="28">
        <v>35856000</v>
      </c>
      <c r="V5017" s="28">
        <v>150252000</v>
      </c>
      <c r="W5017" s="28"/>
      <c r="X5017" s="28">
        <v>151443000</v>
      </c>
      <c r="Y5017" s="28">
        <v>386944000</v>
      </c>
      <c r="Z5017" s="28">
        <v>368062000</v>
      </c>
      <c r="AA5017" s="28"/>
      <c r="AB5017" s="28"/>
      <c r="AC5017" s="28">
        <v>18872000</v>
      </c>
      <c r="AD5017" s="28">
        <v>368072000</v>
      </c>
      <c r="AE5017" s="28">
        <v>3298397000</v>
      </c>
      <c r="AF5017" s="28">
        <v>61859000</v>
      </c>
      <c r="AG5017" s="11"/>
    </row>
    <row r="5018">
      <c r="A5018" s="7" t="s">
        <v>6639</v>
      </c>
      <c r="B5018" s="5" t="s">
        <v>14602</v>
      </c>
      <c r="C5018" s="5" t="s">
        <v>22325</v>
      </c>
      <c r="D5018" s="5" t="str">
        <v>616200414556</v>
      </c>
      <c r="E5018" s="0" t="e">
        <f>+7 (863) 2202484
+7 (8632) 202480
+7 (8632) 202485
+7 (8632) 693693
+7 (8632) 693694
+7 (8632) 696838
+7 (8632) 696841
+7 (8632) 928848
+7 (8632) 928883</f>
        <v>#NAME?</v>
      </c>
      <c r="F5018" s="5" t="s">
        <v>40221</v>
      </c>
      <c r="G5018" s="5" t="s">
        <v>40222</v>
      </c>
      <c r="H5018" s="26">
        <v>23.5</v>
      </c>
      <c r="I5018" s="5" t="s">
        <v>40223</v>
      </c>
      <c r="J5018" s="5" t="s">
        <v>26511</v>
      </c>
      <c r="K5018" s="5" t="s">
        <v>344</v>
      </c>
      <c r="L5018" s="5" t="s">
        <v>40224</v>
      </c>
      <c r="M5018" s="27"/>
      <c r="N5018" s="5" t="s">
        <v>57007</v>
      </c>
      <c r="O5018" s="5" t="str">
        <v>6162028593</v>
      </c>
      <c r="P5018" s="27">
        <v>7843136</v>
      </c>
      <c r="Q5018" s="5" t="s">
        <v>49009</v>
      </c>
      <c r="R5018" s="5"/>
      <c r="S5018" s="5" t="s">
        <v>49028</v>
      </c>
      <c r="T5018" s="28">
        <v>17551000</v>
      </c>
      <c r="U5018" s="28"/>
      <c r="V5018" s="28">
        <v>340019000</v>
      </c>
      <c r="W5018" s="28">
        <v>14384000</v>
      </c>
      <c r="X5018" s="28">
        <v>2606000</v>
      </c>
      <c r="Y5018" s="28">
        <v>890690000</v>
      </c>
      <c r="Z5018" s="28">
        <v>589722000</v>
      </c>
      <c r="AA5018" s="28">
        <v>30000000</v>
      </c>
      <c r="AB5018" s="28">
        <v>202251000</v>
      </c>
      <c r="AC5018" s="28">
        <v>263125000</v>
      </c>
      <c r="AD5018" s="28">
        <v>597565000</v>
      </c>
      <c r="AE5018" s="28">
        <v>6856191000</v>
      </c>
      <c r="AF5018" s="28">
        <v>150527000</v>
      </c>
      <c r="AG5018" s="11"/>
    </row>
    <row r="5019">
      <c r="A5019" s="7" t="s">
        <v>6640</v>
      </c>
      <c r="B5019" s="5" t="s">
        <v>14603</v>
      </c>
      <c r="C5019" s="5" t="s">
        <v>22326</v>
      </c>
      <c r="D5019" s="5" t="str">
        <v>143509472320</v>
      </c>
      <c r="E5019" s="0" t="e">
        <f>+7 (812) 3364386
+7 (81378) 62999
+7 (81378) 78701
+7 (81378) 78704
+7 (81378) 78733
+7 (81378) 78763
+7 (81378) 78777
+7 (81378) 78783
+7 (81378) 78915
+7 (81378) 78917
+7 (81378) 78926
+7 (81378) 78936
+7 (81378) 78946</f>
        <v>#NAME?</v>
      </c>
      <c r="F5019" s="5" t="s">
        <v>40225</v>
      </c>
      <c r="G5019" s="5" t="s">
        <v>40226</v>
      </c>
      <c r="H5019" s="26">
        <v>18.5</v>
      </c>
      <c r="I5019" s="5" t="s">
        <v>40227</v>
      </c>
      <c r="J5019" s="5" t="s">
        <v>40228</v>
      </c>
      <c r="K5019" s="5" t="s">
        <v>344</v>
      </c>
      <c r="L5019" s="5" t="s">
        <v>40229</v>
      </c>
      <c r="M5019" s="27">
        <v>13448</v>
      </c>
      <c r="N5019" s="5" t="s">
        <v>57008</v>
      </c>
      <c r="O5019" s="5" t="str">
        <v>4704057515</v>
      </c>
      <c r="P5019" s="27">
        <v>3010000</v>
      </c>
      <c r="Q5019" s="5" t="s">
        <v>57009</v>
      </c>
      <c r="R5019" s="5"/>
      <c r="S5019" s="5" t="s">
        <v>50324</v>
      </c>
      <c r="T5019" s="28">
        <v>15986131000</v>
      </c>
      <c r="U5019" s="28">
        <v>16779000000</v>
      </c>
      <c r="V5019" s="28">
        <v>1167111000</v>
      </c>
      <c r="W5019" s="28"/>
      <c r="X5019" s="28">
        <v>2202106000</v>
      </c>
      <c r="Y5019" s="28">
        <v>39089509000</v>
      </c>
      <c r="Z5019" s="28">
        <v>22622263000</v>
      </c>
      <c r="AA5019" s="28"/>
      <c r="AB5019" s="28"/>
      <c r="AC5019" s="28">
        <v>1126939000</v>
      </c>
      <c r="AD5019" s="28">
        <v>22630307000</v>
      </c>
      <c r="AE5019" s="28">
        <v>14205361000</v>
      </c>
      <c r="AF5019" s="28">
        <v>7400774000</v>
      </c>
      <c r="AG5019" s="11"/>
    </row>
    <row r="5020">
      <c r="A5020" s="7" t="s">
        <v>6641</v>
      </c>
      <c r="B5020" s="5" t="s">
        <v>14604</v>
      </c>
      <c r="C5020" s="5" t="s">
        <v>22327</v>
      </c>
      <c r="D5020" s="5" t="str">
        <v>773100499590</v>
      </c>
      <c r="E5020" s="0" t="e">
        <f>+7 (499) 7306776</f>
        <v>#NAME?</v>
      </c>
      <c r="F5020" s="5" t="s">
        <v>40230</v>
      </c>
      <c r="G5020" s="5"/>
      <c r="H5020" s="26">
        <v>13</v>
      </c>
      <c r="I5020" s="5" t="s">
        <v>40231</v>
      </c>
      <c r="J5020" s="5" t="s">
        <v>373</v>
      </c>
      <c r="K5020" s="5" t="s">
        <v>344</v>
      </c>
      <c r="L5020" s="5" t="s">
        <v>1294</v>
      </c>
      <c r="M5020" s="27"/>
      <c r="N5020" s="5"/>
      <c r="O5020" s="5" t="str">
        <v>7733727537</v>
      </c>
      <c r="P5020" s="27">
        <v>15000</v>
      </c>
      <c r="Q5020" s="5" t="s">
        <v>49009</v>
      </c>
      <c r="R5020" s="5"/>
      <c r="S5020" s="5" t="s">
        <v>49010</v>
      </c>
      <c r="T5020" s="28">
        <v>17308000</v>
      </c>
      <c r="U5020" s="28"/>
      <c r="V5020" s="28">
        <v>352654000</v>
      </c>
      <c r="W5020" s="28"/>
      <c r="X5020" s="28">
        <v>5266000</v>
      </c>
      <c r="Y5020" s="28">
        <v>522852000</v>
      </c>
      <c r="Z5020" s="28">
        <v>18780000</v>
      </c>
      <c r="AA5020" s="28">
        <v>349850000</v>
      </c>
      <c r="AB5020" s="28">
        <v>47093000</v>
      </c>
      <c r="AC5020" s="28">
        <v>154207000</v>
      </c>
      <c r="AD5020" s="28">
        <v>18795000</v>
      </c>
      <c r="AE5020" s="28">
        <v>7691693000</v>
      </c>
      <c r="AF5020" s="28">
        <v>7357000</v>
      </c>
      <c r="AG5020" s="11"/>
    </row>
    <row r="5021">
      <c r="A5021" s="7" t="s">
        <v>6642</v>
      </c>
      <c r="B5021" s="5" t="s">
        <v>14605</v>
      </c>
      <c r="C5021" s="5" t="s">
        <v>22328</v>
      </c>
      <c r="D5021" s="5" t="str">
        <v>701701779555</v>
      </c>
      <c r="E5021" s="0" t="e">
        <f>+7 (382) 2650908
+7 (38452) 44406</f>
        <v>#NAME?</v>
      </c>
      <c r="F5021" s="5" t="s">
        <v>40232</v>
      </c>
      <c r="G5021" s="5" t="s">
        <v>40233</v>
      </c>
      <c r="H5021" s="26">
        <v>21.5</v>
      </c>
      <c r="I5021" s="5" t="s">
        <v>40234</v>
      </c>
      <c r="J5021" s="5" t="s">
        <v>25450</v>
      </c>
      <c r="K5021" s="5" t="s">
        <v>344</v>
      </c>
      <c r="L5021" s="5" t="s">
        <v>40235</v>
      </c>
      <c r="M5021" s="27"/>
      <c r="N5021" s="5" t="s">
        <v>57010</v>
      </c>
      <c r="O5021" s="5" t="str">
        <v>4202020053</v>
      </c>
      <c r="P5021" s="27">
        <v>10000</v>
      </c>
      <c r="Q5021" s="5"/>
      <c r="R5021" s="5"/>
      <c r="S5021" s="5" t="s">
        <v>49399</v>
      </c>
      <c r="T5021" s="28">
        <v>1628597000</v>
      </c>
      <c r="U5021" s="28"/>
      <c r="V5021" s="28">
        <v>2178847000</v>
      </c>
      <c r="W5021" s="28"/>
      <c r="X5021" s="28">
        <v>4329000</v>
      </c>
      <c r="Y5021" s="28">
        <v>4110544000</v>
      </c>
      <c r="Z5021" s="28">
        <v>1816700000</v>
      </c>
      <c r="AA5021" s="28"/>
      <c r="AB5021" s="28">
        <v>1923100000</v>
      </c>
      <c r="AC5021" s="28">
        <v>2290633000</v>
      </c>
      <c r="AD5021" s="28">
        <v>1816710000</v>
      </c>
      <c r="AE5021" s="28">
        <v>3224829000</v>
      </c>
      <c r="AF5021" s="28">
        <v>84467000</v>
      </c>
      <c r="AG5021" s="11"/>
    </row>
    <row r="5022">
      <c r="A5022" s="7" t="s">
        <v>6643</v>
      </c>
      <c r="B5022" s="5" t="s">
        <v>14606</v>
      </c>
      <c r="C5022" s="5" t="s">
        <v>22329</v>
      </c>
      <c r="D5022" s="5" t="str">
        <v>231108638010</v>
      </c>
      <c r="E5022" s="0" t="e">
        <f>+7 (3652) 669302
+7 (962) 4507302
+7 (3652) 548866
+7 (978) 219427
+7 (978) 998628</f>
        <v>#NAME?</v>
      </c>
      <c r="F5022" s="5" t="s">
        <v>40236</v>
      </c>
      <c r="G5022" s="5" t="s">
        <v>40237</v>
      </c>
      <c r="H5022" s="26">
        <v>7.5</v>
      </c>
      <c r="I5022" s="5"/>
      <c r="J5022" s="5" t="s">
        <v>25219</v>
      </c>
      <c r="K5022" s="5" t="s">
        <v>355</v>
      </c>
      <c r="L5022" s="5" t="s">
        <v>40238</v>
      </c>
      <c r="M5022" s="27">
        <v>634816</v>
      </c>
      <c r="N5022" s="5"/>
      <c r="O5022" s="5" t="str">
        <v>9102188171</v>
      </c>
      <c r="P5022" s="27">
        <v>10000000</v>
      </c>
      <c r="Q5022" s="5"/>
      <c r="R5022" s="5"/>
      <c r="S5022" s="5" t="s">
        <v>49425</v>
      </c>
      <c r="T5022" s="28">
        <v>5983504000</v>
      </c>
      <c r="U5022" s="28">
        <v>6456091000</v>
      </c>
      <c r="V5022" s="28">
        <v>8364691000</v>
      </c>
      <c r="W5022" s="28"/>
      <c r="X5022" s="28">
        <v>407229000</v>
      </c>
      <c r="Y5022" s="28">
        <v>24612111000</v>
      </c>
      <c r="Z5022" s="28">
        <v>4957647000</v>
      </c>
      <c r="AA5022" s="28">
        <v>5648101000</v>
      </c>
      <c r="AB5022" s="28">
        <v>1151607000</v>
      </c>
      <c r="AC5022" s="28">
        <v>9506411000</v>
      </c>
      <c r="AD5022" s="28">
        <v>4967647000</v>
      </c>
      <c r="AE5022" s="28">
        <v>20491687000</v>
      </c>
      <c r="AF5022" s="28">
        <v>67986000</v>
      </c>
      <c r="AG5022" s="11"/>
    </row>
    <row r="5023">
      <c r="A5023" s="7" t="s">
        <v>6644</v>
      </c>
      <c r="B5023" s="5" t="s">
        <v>10474</v>
      </c>
      <c r="C5023" s="5" t="s">
        <v>22330</v>
      </c>
      <c r="D5023" s="5" t="str">
        <v>773714882942</v>
      </c>
      <c r="E5023" s="0" t="e">
        <f>+7 (495) 7832553
+7 (495) 7832552
+7 (800) 2001948</f>
        <v>#NAME?</v>
      </c>
      <c r="F5023" s="5" t="s">
        <v>40239</v>
      </c>
      <c r="G5023" s="5" t="s">
        <v>40240</v>
      </c>
      <c r="H5023" s="26">
        <v>23</v>
      </c>
      <c r="I5023" s="5" t="s">
        <v>40241</v>
      </c>
      <c r="J5023" s="5" t="s">
        <v>27983</v>
      </c>
      <c r="K5023" s="5" t="s">
        <v>344</v>
      </c>
      <c r="L5023" s="5" t="s">
        <v>40242</v>
      </c>
      <c r="M5023" s="27"/>
      <c r="N5023" s="5"/>
      <c r="O5023" s="5" t="str">
        <v>7701231873</v>
      </c>
      <c r="P5023" s="27">
        <v>3500000</v>
      </c>
      <c r="Q5023" s="5" t="s">
        <v>49009</v>
      </c>
      <c r="R5023" s="5"/>
      <c r="S5023" s="5" t="s">
        <v>49010</v>
      </c>
      <c r="T5023" s="28">
        <v>4421141000</v>
      </c>
      <c r="U5023" s="28"/>
      <c r="V5023" s="28">
        <v>376147000</v>
      </c>
      <c r="W5023" s="28"/>
      <c r="X5023" s="28">
        <v>2380732000</v>
      </c>
      <c r="Y5023" s="28">
        <v>8723034000</v>
      </c>
      <c r="Z5023" s="28">
        <v>4267430000</v>
      </c>
      <c r="AA5023" s="28">
        <v>720000000</v>
      </c>
      <c r="AB5023" s="28"/>
      <c r="AC5023" s="28">
        <v>3425142000</v>
      </c>
      <c r="AD5023" s="28">
        <v>4577892000</v>
      </c>
      <c r="AE5023" s="28">
        <v>9424712000</v>
      </c>
      <c r="AF5023" s="28">
        <v>731862000</v>
      </c>
      <c r="AG5023" s="11"/>
    </row>
    <row r="5024">
      <c r="A5024" s="7" t="s">
        <v>6645</v>
      </c>
      <c r="B5024" s="5" t="s">
        <v>14607</v>
      </c>
      <c r="C5024" s="5" t="s">
        <v>22331</v>
      </c>
      <c r="D5024" s="5" t="str">
        <v>503105773504</v>
      </c>
      <c r="E5024" s="0" t="e">
        <f>+7 (3422) 18102
+7 (345) 2217069
+7 (3472) 861011
+7 (3472) 861012
+7 (3472) 861031
+7 (3512) 203546
+7 (3522) 630777
+7 (35326) 15292
+7 (382) 2996102
+7 (383) 3425987
+7 (385) 2539335
+7 (385) 2539336
+7 (390) 2355001
+7 (390) 2355002
+7 (3952) 506500</f>
        <v>#NAME?</v>
      </c>
      <c r="F5024" s="5" t="s">
        <v>40243</v>
      </c>
      <c r="G5024" s="5" t="s">
        <v>40244</v>
      </c>
      <c r="H5024" s="26">
        <v>28</v>
      </c>
      <c r="I5024" s="5"/>
      <c r="J5024" s="5" t="s">
        <v>678</v>
      </c>
      <c r="K5024" s="5" t="s">
        <v>344</v>
      </c>
      <c r="L5024" s="5" t="s">
        <v>40245</v>
      </c>
      <c r="M5024" s="27"/>
      <c r="N5024" s="5"/>
      <c r="O5024" s="5" t="str">
        <v>7702048461</v>
      </c>
      <c r="P5024" s="27">
        <v>1260000</v>
      </c>
      <c r="Q5024" s="5" t="s">
        <v>49009</v>
      </c>
      <c r="R5024" s="5"/>
      <c r="S5024" s="5" t="s">
        <v>49066</v>
      </c>
      <c r="T5024" s="28">
        <v>1398049000</v>
      </c>
      <c r="U5024" s="28"/>
      <c r="V5024" s="28">
        <v>654549000</v>
      </c>
      <c r="W5024" s="28"/>
      <c r="X5024" s="28">
        <v>1043864000</v>
      </c>
      <c r="Y5024" s="28">
        <v>4475726000</v>
      </c>
      <c r="Z5024" s="28">
        <v>1976586000</v>
      </c>
      <c r="AA5024" s="28"/>
      <c r="AB5024" s="28"/>
      <c r="AC5024" s="28">
        <v>1157942000</v>
      </c>
      <c r="AD5024" s="28">
        <v>2176709000</v>
      </c>
      <c r="AE5024" s="28">
        <v>8256204000</v>
      </c>
      <c r="AF5024" s="28">
        <v>985600000</v>
      </c>
      <c r="AG5024" s="11"/>
    </row>
    <row r="5025">
      <c r="A5025" s="7" t="s">
        <v>6646</v>
      </c>
      <c r="B5025" s="5" t="s">
        <v>14608</v>
      </c>
      <c r="C5025" s="5" t="s">
        <v>22332</v>
      </c>
      <c r="D5025" s="5" t="str">
        <v>773127081176</v>
      </c>
      <c r="E5025" s="0" t="e">
        <f>+7 (495) 6407795
+7 (495) 7788555
+7 (495) 7798555
+7 (495) 7798556
+7 (495) 7898556
+7 (812) 3366991
+7 (812) 6407775
+7 (812) 6407795
+7 (81371) 30317
+7 (921) 3216310</f>
        <v>#NAME?</v>
      </c>
      <c r="F5025" s="5" t="s">
        <v>40246</v>
      </c>
      <c r="G5025" s="5"/>
      <c r="H5025" s="26">
        <v>23</v>
      </c>
      <c r="I5025" s="5" t="s">
        <v>40247</v>
      </c>
      <c r="J5025" s="5" t="s">
        <v>364</v>
      </c>
      <c r="K5025" s="5" t="s">
        <v>355</v>
      </c>
      <c r="L5025" s="5" t="s">
        <v>40248</v>
      </c>
      <c r="M5025" s="27">
        <v>4953318</v>
      </c>
      <c r="N5025" s="5" t="s">
        <v>57011</v>
      </c>
      <c r="O5025" s="5" t="str">
        <v>7816158919</v>
      </c>
      <c r="P5025" s="27">
        <v>3000000</v>
      </c>
      <c r="Q5025" s="5" t="s">
        <v>481</v>
      </c>
      <c r="R5025" s="5" t="s">
        <v>52407</v>
      </c>
      <c r="S5025" s="5" t="s">
        <v>57012</v>
      </c>
      <c r="T5025" s="28">
        <v>2076733000</v>
      </c>
      <c r="U5025" s="28">
        <v>6808028000</v>
      </c>
      <c r="V5025" s="28">
        <v>20199621000</v>
      </c>
      <c r="W5025" s="28">
        <v>70856000</v>
      </c>
      <c r="X5025" s="28">
        <v>2239623000</v>
      </c>
      <c r="Y5025" s="28">
        <v>61633332000</v>
      </c>
      <c r="Z5025" s="28">
        <v>11847469000</v>
      </c>
      <c r="AA5025" s="28">
        <v>1484362000</v>
      </c>
      <c r="AB5025" s="28">
        <v>1750351000</v>
      </c>
      <c r="AC5025" s="28">
        <v>48029585000</v>
      </c>
      <c r="AD5025" s="28">
        <v>11850499000</v>
      </c>
      <c r="AE5025" s="28">
        <v>16973230000</v>
      </c>
      <c r="AF5025" s="28">
        <v>1722517000</v>
      </c>
      <c r="AG5025" s="11"/>
    </row>
    <row r="5026">
      <c r="A5026" s="7" t="s">
        <v>6647</v>
      </c>
      <c r="B5026" s="5" t="s">
        <v>14609</v>
      </c>
      <c r="C5026" s="5" t="s">
        <v>22333</v>
      </c>
      <c r="D5026" s="5" t="str">
        <v>667305416360</v>
      </c>
      <c r="E5026" s="0" t="e">
        <f>+7 (343) 2280999
+7 (343) 2686959
+7 (343) 3278695
+7 (343) 3441013
+7 (3435) 384522
+7 (346) 2550956
+7 (343) 2291440
+7 (3422) 155959
+7 (343) 2178484
+7 (343) 2281440
+7 (343) 2281441
+7 (343) 3393120
+7 (343) 3441010
+7 (3432) 786969
+7 (345) 2513811</f>
        <v>#NAME?</v>
      </c>
      <c r="F5026" s="5" t="s">
        <v>40249</v>
      </c>
      <c r="G5026" s="5"/>
      <c r="H5026" s="26">
        <v>31</v>
      </c>
      <c r="I5026" s="5"/>
      <c r="J5026" s="5" t="s">
        <v>881</v>
      </c>
      <c r="K5026" s="5" t="s">
        <v>344</v>
      </c>
      <c r="L5026" s="5" t="s">
        <v>40250</v>
      </c>
      <c r="M5026" s="27">
        <v>5670635</v>
      </c>
      <c r="N5026" s="5" t="s">
        <v>57013</v>
      </c>
      <c r="O5026" s="5" t="str">
        <v>6663003127</v>
      </c>
      <c r="P5026" s="27">
        <v>25601795</v>
      </c>
      <c r="Q5026" s="5" t="s">
        <v>57014</v>
      </c>
      <c r="R5026" s="5"/>
      <c r="S5026" s="5" t="s">
        <v>57015</v>
      </c>
      <c r="T5026" s="28">
        <v>2281213000</v>
      </c>
      <c r="U5026" s="28">
        <v>2486525000</v>
      </c>
      <c r="V5026" s="28">
        <v>1014124000</v>
      </c>
      <c r="W5026" s="28">
        <v>3836973000</v>
      </c>
      <c r="X5026" s="28">
        <v>3833676000</v>
      </c>
      <c r="Y5026" s="28">
        <v>13814574000</v>
      </c>
      <c r="Z5026" s="28">
        <v>9749806000</v>
      </c>
      <c r="AA5026" s="28">
        <v>33567000</v>
      </c>
      <c r="AB5026" s="28"/>
      <c r="AC5026" s="28">
        <v>3325597000</v>
      </c>
      <c r="AD5026" s="28">
        <v>9742070000</v>
      </c>
      <c r="AE5026" s="28">
        <v>21679535000</v>
      </c>
      <c r="AF5026" s="28">
        <v>3480186000</v>
      </c>
      <c r="AG5026" s="11"/>
    </row>
    <row r="5027">
      <c r="A5027" s="7" t="s">
        <v>6648</v>
      </c>
      <c r="B5027" s="5" t="s">
        <v>14610</v>
      </c>
      <c r="C5027" s="5" t="s">
        <v>22334</v>
      </c>
      <c r="D5027" s="5" t="str">
        <v>772206062030</v>
      </c>
      <c r="E5027" s="0" t="e">
        <f>+7 (495) 1200107
+7 (495) 1251068
+7 (495) 1251963
+7 (495) 2875000
+7 (495) 2875300
+7 (495) 3080388
+7 (495) 3321164
+7 (495) 4242101
+7 (495) 6418418
+7 (495) 6461302
+7 (495) 6875000
+7 (495) 7253143
+7 (495) 7794901
+7 (495) 9898020
+7 (499) 2710442</f>
        <v>#NAME?</v>
      </c>
      <c r="F5027" s="5"/>
      <c r="G5027" s="5"/>
      <c r="H5027" s="26">
        <v>8</v>
      </c>
      <c r="I5027" s="5" t="s">
        <v>40251</v>
      </c>
      <c r="J5027" s="5" t="s">
        <v>25429</v>
      </c>
      <c r="K5027" s="5" t="s">
        <v>344</v>
      </c>
      <c r="L5027" s="5" t="s">
        <v>40252</v>
      </c>
      <c r="M5027" s="27"/>
      <c r="N5027" s="5" t="s">
        <v>57016</v>
      </c>
      <c r="O5027" s="5" t="str">
        <v>7703106050</v>
      </c>
      <c r="P5027" s="27">
        <v>106275000</v>
      </c>
      <c r="Q5027" s="5" t="s">
        <v>49009</v>
      </c>
      <c r="R5027" s="5"/>
      <c r="S5027" s="5" t="s">
        <v>49045</v>
      </c>
      <c r="T5027" s="28">
        <v>297546000</v>
      </c>
      <c r="U5027" s="28"/>
      <c r="V5027" s="28">
        <v>4747563000</v>
      </c>
      <c r="W5027" s="28"/>
      <c r="X5027" s="28">
        <v>760912000</v>
      </c>
      <c r="Y5027" s="28">
        <v>22730962000</v>
      </c>
      <c r="Z5027" s="28">
        <v>3279527000</v>
      </c>
      <c r="AA5027" s="28"/>
      <c r="AB5027" s="28">
        <v>1918000</v>
      </c>
      <c r="AC5027" s="28">
        <v>16750039000</v>
      </c>
      <c r="AD5027" s="28">
        <v>5913275000</v>
      </c>
      <c r="AE5027" s="28">
        <v>29448684000</v>
      </c>
      <c r="AF5027" s="28">
        <v>1522414000</v>
      </c>
      <c r="AG5027" s="11"/>
    </row>
    <row r="5028">
      <c r="A5028" s="7" t="s">
        <v>6649</v>
      </c>
      <c r="B5028" s="5" t="s">
        <v>14611</v>
      </c>
      <c r="C5028" s="5" t="s">
        <v>18868</v>
      </c>
      <c r="D5028" s="5"/>
      <c r="E5028" s="0" t="e">
        <f>+7 (3412) 545160
+7 (3412) 545200
+7 (3412) 545218
+7 (3412) 545350
+7 (3412) 691112
+7 (34145) 51584
+7 (34145) 52696
+7 (800) 5555826</f>
        <v>#NAME?</v>
      </c>
      <c r="F5028" s="5" t="s">
        <v>40253</v>
      </c>
      <c r="G5028" s="5" t="s">
        <v>40254</v>
      </c>
      <c r="H5028" s="26">
        <v>12</v>
      </c>
      <c r="I5028" s="5" t="s">
        <v>40255</v>
      </c>
      <c r="J5028" s="5" t="s">
        <v>25450</v>
      </c>
      <c r="K5028" s="5" t="s">
        <v>344</v>
      </c>
      <c r="L5028" s="5" t="s">
        <v>40256</v>
      </c>
      <c r="M5028" s="27"/>
      <c r="N5028" s="5"/>
      <c r="O5028" s="5" t="str">
        <v>1841017484</v>
      </c>
      <c r="P5028" s="27">
        <v>397264000</v>
      </c>
      <c r="Q5028" s="5"/>
      <c r="R5028" s="5"/>
      <c r="S5028" s="5" t="s">
        <v>49425</v>
      </c>
      <c r="T5028" s="28">
        <v>1253559000</v>
      </c>
      <c r="U5028" s="28">
        <v>6025000</v>
      </c>
      <c r="V5028" s="28">
        <v>213236000</v>
      </c>
      <c r="W5028" s="28">
        <v>2858850000</v>
      </c>
      <c r="X5028" s="28">
        <v>18666000</v>
      </c>
      <c r="Y5028" s="28">
        <v>4807812000</v>
      </c>
      <c r="Z5028" s="28">
        <v>365540000</v>
      </c>
      <c r="AA5028" s="28">
        <v>744266000</v>
      </c>
      <c r="AB5028" s="28">
        <v>2354734000</v>
      </c>
      <c r="AC5028" s="28">
        <v>3236199000</v>
      </c>
      <c r="AD5028" s="28">
        <v>807402000</v>
      </c>
      <c r="AE5028" s="28">
        <v>5025753000</v>
      </c>
      <c r="AF5028" s="28">
        <v>30532000</v>
      </c>
      <c r="AG5028" s="11"/>
    </row>
    <row r="5029">
      <c r="A5029" s="7" t="s">
        <v>6650</v>
      </c>
      <c r="B5029" s="5" t="s">
        <v>14612</v>
      </c>
      <c r="C5029" s="5" t="s">
        <v>22335</v>
      </c>
      <c r="D5029" s="5" t="str">
        <v>772576589381</v>
      </c>
      <c r="E5029" s="0" t="e">
        <f>+7 (495) 6120780
+7 (495) 6120791
+7 (495) 6132809
+7 (495) 6142136
+7 (495) 6145326
+7 (495) 6148374
+7 (495) 6468888</f>
        <v>#NAME?</v>
      </c>
      <c r="F5029" s="5" t="s">
        <v>40257</v>
      </c>
      <c r="G5029" s="5" t="s">
        <v>40258</v>
      </c>
      <c r="H5029" s="26">
        <v>28.5</v>
      </c>
      <c r="I5029" s="5"/>
      <c r="J5029" s="5" t="s">
        <v>35858</v>
      </c>
      <c r="K5029" s="5" t="s">
        <v>355</v>
      </c>
      <c r="L5029" s="5"/>
      <c r="M5029" s="27"/>
      <c r="N5029" s="5" t="s">
        <v>57017</v>
      </c>
      <c r="O5029" s="5" t="str">
        <v>7734046851</v>
      </c>
      <c r="P5029" s="27">
        <v>7414800</v>
      </c>
      <c r="Q5029" s="5" t="s">
        <v>57018</v>
      </c>
      <c r="R5029" s="5" t="s">
        <v>50335</v>
      </c>
      <c r="S5029" s="5" t="s">
        <v>57019</v>
      </c>
      <c r="T5029" s="28">
        <v>3522192000</v>
      </c>
      <c r="U5029" s="28">
        <v>279764000</v>
      </c>
      <c r="V5029" s="28">
        <v>2110395000</v>
      </c>
      <c r="W5029" s="28"/>
      <c r="X5029" s="28">
        <v>918929000</v>
      </c>
      <c r="Y5029" s="28">
        <v>21417779000</v>
      </c>
      <c r="Z5029" s="28">
        <v>-10422348000</v>
      </c>
      <c r="AA5029" s="28">
        <v>1016682000</v>
      </c>
      <c r="AB5029" s="28">
        <v>2178461000</v>
      </c>
      <c r="AC5029" s="28">
        <v>5134391000</v>
      </c>
      <c r="AD5029" s="28">
        <v>13673102000</v>
      </c>
      <c r="AE5029" s="28">
        <v>5374097000</v>
      </c>
      <c r="AF5029" s="28">
        <v>-1171585000</v>
      </c>
      <c r="AG5029" s="11"/>
    </row>
    <row r="5030">
      <c r="A5030" s="7" t="s">
        <v>6651</v>
      </c>
      <c r="B5030" s="5" t="s">
        <v>14613</v>
      </c>
      <c r="C5030" s="5" t="s">
        <v>22336</v>
      </c>
      <c r="D5030" s="5" t="str">
        <v>772745700171</v>
      </c>
      <c r="E5030" s="0" t="e">
        <f>+7 (812) 4948888
+7 (831) 2151300
+7 (473) 2333114
+7 (495) 6601111
+7 (812) 4580902</f>
        <v>#NAME?</v>
      </c>
      <c r="F5030" s="5" t="s">
        <v>40259</v>
      </c>
      <c r="G5030" s="5" t="s">
        <v>40260</v>
      </c>
      <c r="H5030" s="26">
        <v>9</v>
      </c>
      <c r="I5030" s="5" t="s">
        <v>40261</v>
      </c>
      <c r="J5030" s="5" t="s">
        <v>599</v>
      </c>
      <c r="K5030" s="5" t="s">
        <v>344</v>
      </c>
      <c r="L5030" s="5"/>
      <c r="M5030" s="27">
        <v>27794347</v>
      </c>
      <c r="N5030" s="5" t="s">
        <v>57020</v>
      </c>
      <c r="O5030" s="5" t="str">
        <v>7721823853</v>
      </c>
      <c r="P5030" s="27">
        <v>10000</v>
      </c>
      <c r="Q5030" s="5" t="s">
        <v>49822</v>
      </c>
      <c r="R5030" s="5"/>
      <c r="S5030" s="5" t="s">
        <v>57021</v>
      </c>
      <c r="T5030" s="28">
        <v>1544321000</v>
      </c>
      <c r="U5030" s="28"/>
      <c r="V5030" s="28">
        <v>2825530000</v>
      </c>
      <c r="W5030" s="28"/>
      <c r="X5030" s="28">
        <v>478616000</v>
      </c>
      <c r="Y5030" s="28">
        <v>8269113000</v>
      </c>
      <c r="Z5030" s="28">
        <v>1776818000</v>
      </c>
      <c r="AA5030" s="28">
        <v>268700000</v>
      </c>
      <c r="AB5030" s="28">
        <v>130088000</v>
      </c>
      <c r="AC5030" s="28">
        <v>4612202000</v>
      </c>
      <c r="AD5030" s="28">
        <v>1776828000</v>
      </c>
      <c r="AE5030" s="28">
        <v>25065621000</v>
      </c>
      <c r="AF5030" s="28">
        <v>6066000</v>
      </c>
      <c r="AG5030" s="11"/>
    </row>
    <row r="5031">
      <c r="A5031" s="7" t="s">
        <v>6652</v>
      </c>
      <c r="B5031" s="5" t="s">
        <v>14614</v>
      </c>
      <c r="C5031" s="5" t="s">
        <v>22337</v>
      </c>
      <c r="D5031" s="5" t="str">
        <v>780518207237</v>
      </c>
      <c r="E5031" s="0" t="e">
        <f>+7 (812) 3039710
+7 (921) 3083689</f>
        <v>#NAME?</v>
      </c>
      <c r="F5031" s="5" t="s">
        <v>40262</v>
      </c>
      <c r="G5031" s="5" t="s">
        <v>40263</v>
      </c>
      <c r="H5031" s="26">
        <v>31.5</v>
      </c>
      <c r="I5031" s="5"/>
      <c r="J5031" s="5" t="s">
        <v>26623</v>
      </c>
      <c r="K5031" s="5" t="s">
        <v>344</v>
      </c>
      <c r="L5031" s="5" t="s">
        <v>40264</v>
      </c>
      <c r="M5031" s="27"/>
      <c r="N5031" s="5" t="s">
        <v>57022</v>
      </c>
      <c r="O5031" s="5" t="str">
        <v>7812013775</v>
      </c>
      <c r="P5031" s="27">
        <v>6848000</v>
      </c>
      <c r="Q5031" s="5" t="s">
        <v>57023</v>
      </c>
      <c r="R5031" s="5" t="s">
        <v>49423</v>
      </c>
      <c r="S5031" s="5" t="s">
        <v>49747</v>
      </c>
      <c r="T5031" s="28">
        <v>16733000</v>
      </c>
      <c r="U5031" s="28">
        <v>12000</v>
      </c>
      <c r="V5031" s="28">
        <v>986721000</v>
      </c>
      <c r="W5031" s="28"/>
      <c r="X5031" s="28">
        <v>4149838000</v>
      </c>
      <c r="Y5031" s="28">
        <v>5165841000</v>
      </c>
      <c r="Z5031" s="28">
        <v>916837000</v>
      </c>
      <c r="AA5031" s="28">
        <v>13403000</v>
      </c>
      <c r="AB5031" s="28">
        <v>3408000</v>
      </c>
      <c r="AC5031" s="28">
        <v>717132000</v>
      </c>
      <c r="AD5031" s="28">
        <v>4435306000</v>
      </c>
      <c r="AE5031" s="28">
        <v>14941364000</v>
      </c>
      <c r="AF5031" s="28">
        <v>225732000</v>
      </c>
      <c r="AG5031" s="11"/>
    </row>
    <row r="5032">
      <c r="A5032" s="7" t="s">
        <v>6653</v>
      </c>
      <c r="B5032" s="5" t="s">
        <v>14615</v>
      </c>
      <c r="C5032" s="5" t="s">
        <v>22338</v>
      </c>
      <c r="D5032" s="5" t="str">
        <v>165919964481</v>
      </c>
      <c r="E5032" s="0" t="e">
        <f>+7 (855) 2377383
+7 (8555) 375033
+7 (917) 2913232
+7 (8432) 37722
+7 (855) 5377114
+7 (8555) 323100
+7 (8555) 323400
+7 (8555) 371408
+7 (8555) 377383</f>
        <v>#NAME?</v>
      </c>
      <c r="F5032" s="5" t="s">
        <v>40265</v>
      </c>
      <c r="G5032" s="5" t="s">
        <v>40266</v>
      </c>
      <c r="H5032" s="26">
        <v>13.5</v>
      </c>
      <c r="I5032" s="5" t="s">
        <v>40267</v>
      </c>
      <c r="J5032" s="5" t="s">
        <v>26623</v>
      </c>
      <c r="K5032" s="5" t="s">
        <v>344</v>
      </c>
      <c r="L5032" s="5" t="s">
        <v>40268</v>
      </c>
      <c r="M5032" s="27">
        <v>4432047</v>
      </c>
      <c r="N5032" s="5"/>
      <c r="O5032" s="5" t="str">
        <v>1651057270</v>
      </c>
      <c r="P5032" s="27">
        <v>1000000</v>
      </c>
      <c r="Q5032" s="5"/>
      <c r="R5032" s="5"/>
      <c r="S5032" s="5" t="s">
        <v>52009</v>
      </c>
      <c r="T5032" s="28">
        <v>580585000</v>
      </c>
      <c r="U5032" s="28"/>
      <c r="V5032" s="28">
        <v>368185000</v>
      </c>
      <c r="W5032" s="28"/>
      <c r="X5032" s="28">
        <v>659743000</v>
      </c>
      <c r="Y5032" s="28">
        <v>1657381000</v>
      </c>
      <c r="Z5032" s="28">
        <v>427445000</v>
      </c>
      <c r="AA5032" s="28"/>
      <c r="AB5032" s="28"/>
      <c r="AC5032" s="28">
        <v>1084238000</v>
      </c>
      <c r="AD5032" s="28">
        <v>428445000</v>
      </c>
      <c r="AE5032" s="28">
        <v>13850240000</v>
      </c>
      <c r="AF5032" s="28">
        <v>1381832000</v>
      </c>
      <c r="AG5032" s="11"/>
    </row>
    <row r="5033">
      <c r="A5033" s="7" t="s">
        <v>6654</v>
      </c>
      <c r="B5033" s="5" t="s">
        <v>14616</v>
      </c>
      <c r="C5033" s="5" t="s">
        <v>22339</v>
      </c>
      <c r="D5033" s="5" t="str">
        <v>263212198560</v>
      </c>
      <c r="E5033" s="0" t="e">
        <f>+7 (8652) 354039
+7 (8652) 524555
+7 (8652) 715693
+7 (8652) 716696
+7 (8652) 940740
+7 (8793) 973523
+7 (8793) 973834
+7 (8793) 980413
+7 (87933) 30542
+7 (87933) 40144
+7 (87934) 1429
+7 (87934) 1432
+7 (87933) 76194
+7 (87934) 1423
+7 (87934) 1437</f>
        <v>#NAME?</v>
      </c>
      <c r="F5033" s="5" t="s">
        <v>40269</v>
      </c>
      <c r="G5033" s="5"/>
      <c r="H5033" s="26">
        <v>28.5</v>
      </c>
      <c r="I5033" s="5"/>
      <c r="J5033" s="5" t="s">
        <v>26623</v>
      </c>
      <c r="K5033" s="5" t="s">
        <v>344</v>
      </c>
      <c r="L5033" s="5" t="s">
        <v>40270</v>
      </c>
      <c r="M5033" s="27"/>
      <c r="N5033" s="5" t="s">
        <v>57024</v>
      </c>
      <c r="O5033" s="5" t="str">
        <v>2632021520</v>
      </c>
      <c r="P5033" s="27">
        <v>1501000</v>
      </c>
      <c r="Q5033" s="5" t="s">
        <v>57025</v>
      </c>
      <c r="R5033" s="5"/>
      <c r="S5033" s="5" t="s">
        <v>49020</v>
      </c>
      <c r="T5033" s="28">
        <v>43636000</v>
      </c>
      <c r="U5033" s="28">
        <v>386000</v>
      </c>
      <c r="V5033" s="28">
        <v>373177000</v>
      </c>
      <c r="W5033" s="28">
        <v>44019000</v>
      </c>
      <c r="X5033" s="28">
        <v>18897000</v>
      </c>
      <c r="Y5033" s="28">
        <v>509269000</v>
      </c>
      <c r="Z5033" s="28">
        <v>340889000</v>
      </c>
      <c r="AA5033" s="28"/>
      <c r="AB5033" s="28">
        <v>13000</v>
      </c>
      <c r="AC5033" s="28">
        <v>165371000</v>
      </c>
      <c r="AD5033" s="28">
        <v>342465000</v>
      </c>
      <c r="AE5033" s="28">
        <v>3239819000</v>
      </c>
      <c r="AF5033" s="28">
        <v>129251000</v>
      </c>
      <c r="AG5033" s="11"/>
    </row>
    <row r="5034">
      <c r="A5034" s="7" t="s">
        <v>6655</v>
      </c>
      <c r="B5034" s="5" t="s">
        <v>14617</v>
      </c>
      <c r="C5034" s="5" t="s">
        <v>21690</v>
      </c>
      <c r="D5034" s="5"/>
      <c r="E5034" s="0" t="e">
        <f>+7 (495) 7883101
+7 (495) 7883242</f>
        <v>#NAME?</v>
      </c>
      <c r="F5034" s="5"/>
      <c r="G5034" s="5"/>
      <c r="H5034" s="26">
        <v>4</v>
      </c>
      <c r="I5034" s="5" t="s">
        <v>40271</v>
      </c>
      <c r="J5034" s="5" t="s">
        <v>27640</v>
      </c>
      <c r="K5034" s="5" t="s">
        <v>344</v>
      </c>
      <c r="L5034" s="5"/>
      <c r="M5034" s="27"/>
      <c r="N5034" s="5"/>
      <c r="O5034" s="5" t="str">
        <v>7703475226</v>
      </c>
      <c r="P5034" s="27">
        <v>16400000</v>
      </c>
      <c r="Q5034" s="5" t="s">
        <v>57026</v>
      </c>
      <c r="R5034" s="5"/>
      <c r="S5034" s="5" t="s">
        <v>57027</v>
      </c>
      <c r="T5034" s="28">
        <v>13236358000</v>
      </c>
      <c r="U5034" s="28"/>
      <c r="V5034" s="28">
        <v>389194000</v>
      </c>
      <c r="W5034" s="28"/>
      <c r="X5034" s="28">
        <v>701858000</v>
      </c>
      <c r="Y5034" s="28">
        <v>14599903000</v>
      </c>
      <c r="Z5034" s="28">
        <v>6373000</v>
      </c>
      <c r="AA5034" s="28">
        <v>9861688000</v>
      </c>
      <c r="AB5034" s="28">
        <v>556191000</v>
      </c>
      <c r="AC5034" s="28">
        <v>854636000</v>
      </c>
      <c r="AD5034" s="28">
        <v>170373000</v>
      </c>
      <c r="AE5034" s="28">
        <v>3292553000</v>
      </c>
      <c r="AF5034" s="28">
        <v>359458000</v>
      </c>
      <c r="AG5034" s="11"/>
    </row>
    <row r="5035">
      <c r="A5035" s="7" t="s">
        <v>6656</v>
      </c>
      <c r="B5035" s="5" t="s">
        <v>14618</v>
      </c>
      <c r="C5035" s="5" t="s">
        <v>22340</v>
      </c>
      <c r="D5035" s="5" t="str">
        <v>780217742449</v>
      </c>
      <c r="E5035" s="0" t="e">
        <f>+7 (812) 4495754
+7 (812) 4495764</f>
        <v>#NAME?</v>
      </c>
      <c r="F5035" s="5" t="s">
        <v>40272</v>
      </c>
      <c r="G5035" s="5"/>
      <c r="H5035" s="26">
        <v>6.5</v>
      </c>
      <c r="I5035" s="5" t="s">
        <v>40273</v>
      </c>
      <c r="J5035" s="5" t="s">
        <v>364</v>
      </c>
      <c r="K5035" s="5" t="s">
        <v>344</v>
      </c>
      <c r="L5035" s="5"/>
      <c r="M5035" s="27"/>
      <c r="N5035" s="5"/>
      <c r="O5035" s="5" t="str">
        <v>7814652336</v>
      </c>
      <c r="P5035" s="27">
        <v>285714286</v>
      </c>
      <c r="Q5035" s="5" t="s">
        <v>57028</v>
      </c>
      <c r="R5035" s="5"/>
      <c r="S5035" s="5" t="s">
        <v>57029</v>
      </c>
      <c r="T5035" s="28">
        <v>209917000</v>
      </c>
      <c r="U5035" s="28"/>
      <c r="V5035" s="28">
        <v>1399157000</v>
      </c>
      <c r="W5035" s="28">
        <v>2198451000</v>
      </c>
      <c r="X5035" s="28">
        <v>879000</v>
      </c>
      <c r="Y5035" s="28">
        <v>4383517000</v>
      </c>
      <c r="Z5035" s="28">
        <v>1017418000</v>
      </c>
      <c r="AA5035" s="28"/>
      <c r="AB5035" s="28"/>
      <c r="AC5035" s="28">
        <v>3071442000</v>
      </c>
      <c r="AD5035" s="28">
        <v>1303132000</v>
      </c>
      <c r="AE5035" s="28">
        <v>3356904000</v>
      </c>
      <c r="AF5035" s="28">
        <v>630165000</v>
      </c>
      <c r="AG5035" s="11"/>
    </row>
    <row r="5036">
      <c r="A5036" s="7" t="s">
        <v>6657</v>
      </c>
      <c r="B5036" s="5" t="s">
        <v>14619</v>
      </c>
      <c r="C5036" s="5" t="s">
        <v>22341</v>
      </c>
      <c r="D5036" s="5" t="str">
        <v>772582113495</v>
      </c>
      <c r="E5036" s="0" t="e">
        <f>+7 (495) 6401184
+7 (498) 7675294</f>
        <v>#NAME?</v>
      </c>
      <c r="F5036" s="5" t="s">
        <v>40274</v>
      </c>
      <c r="G5036" s="5"/>
      <c r="H5036" s="26">
        <v>8.5</v>
      </c>
      <c r="I5036" s="5" t="s">
        <v>40275</v>
      </c>
      <c r="J5036" s="5" t="s">
        <v>364</v>
      </c>
      <c r="K5036" s="5" t="s">
        <v>344</v>
      </c>
      <c r="L5036" s="5"/>
      <c r="M5036" s="27"/>
      <c r="N5036" s="5"/>
      <c r="O5036" s="5" t="str">
        <v>5003110956</v>
      </c>
      <c r="P5036" s="27">
        <v>100000</v>
      </c>
      <c r="Q5036" s="5" t="s">
        <v>49021</v>
      </c>
      <c r="R5036" s="5"/>
      <c r="S5036" s="5" t="s">
        <v>57030</v>
      </c>
      <c r="T5036" s="28"/>
      <c r="U5036" s="28"/>
      <c r="V5036" s="28">
        <v>1294751000</v>
      </c>
      <c r="W5036" s="28">
        <v>155510000</v>
      </c>
      <c r="X5036" s="28">
        <v>980000</v>
      </c>
      <c r="Y5036" s="28">
        <v>1714852000</v>
      </c>
      <c r="Z5036" s="28">
        <v>8628000</v>
      </c>
      <c r="AA5036" s="28">
        <v>93000000</v>
      </c>
      <c r="AB5036" s="28">
        <v>16674000</v>
      </c>
      <c r="AC5036" s="28">
        <v>1613093000</v>
      </c>
      <c r="AD5036" s="28">
        <v>8728000</v>
      </c>
      <c r="AE5036" s="28">
        <v>7013799000</v>
      </c>
      <c r="AF5036" s="28">
        <v>24740000</v>
      </c>
      <c r="AG5036" s="11"/>
    </row>
    <row r="5037">
      <c r="A5037" s="7" t="s">
        <v>6658</v>
      </c>
      <c r="B5037" s="5" t="s">
        <v>14620</v>
      </c>
      <c r="C5037" s="5" t="s">
        <v>22342</v>
      </c>
      <c r="D5037" s="5" t="str">
        <v>773603815355</v>
      </c>
      <c r="E5037" s="0" t="e">
        <f>+7 (495) 7771957
+7 (495) 7778597
+7 (902) 7643574
+7 (381) 2288660
+7 (381) 2467365
+7 (495) 7771947
+7 (495) 7771967
+7 (495) 7771977
+7 (499) 9444973
+7 (800) 7771977
+7 (812) 3098077
+7 (812) 9289244
+7 (916) 9232973</f>
        <v>#NAME?</v>
      </c>
      <c r="F5037" s="5" t="s">
        <v>40276</v>
      </c>
      <c r="G5037" s="5" t="s">
        <v>40277</v>
      </c>
      <c r="H5037" s="26">
        <v>12.5</v>
      </c>
      <c r="I5037" s="5" t="s">
        <v>40278</v>
      </c>
      <c r="J5037" s="5" t="s">
        <v>25216</v>
      </c>
      <c r="K5037" s="5" t="s">
        <v>344</v>
      </c>
      <c r="L5037" s="5" t="s">
        <v>40279</v>
      </c>
      <c r="M5037" s="27">
        <v>9408769</v>
      </c>
      <c r="N5037" s="5" t="s">
        <v>57031</v>
      </c>
      <c r="O5037" s="5" t="str">
        <v>7706739893</v>
      </c>
      <c r="P5037" s="27">
        <v>300000000</v>
      </c>
      <c r="Q5037" s="5" t="s">
        <v>49009</v>
      </c>
      <c r="R5037" s="5" t="s">
        <v>57032</v>
      </c>
      <c r="S5037" s="5" t="s">
        <v>49576</v>
      </c>
      <c r="T5037" s="28">
        <v>900094000</v>
      </c>
      <c r="U5037" s="28">
        <v>295006000</v>
      </c>
      <c r="V5037" s="28">
        <v>8750075000</v>
      </c>
      <c r="W5037" s="28">
        <v>10000000</v>
      </c>
      <c r="X5037" s="28">
        <v>966147000</v>
      </c>
      <c r="Y5037" s="28">
        <v>21346145000</v>
      </c>
      <c r="Z5037" s="28">
        <v>8317861000</v>
      </c>
      <c r="AA5037" s="28">
        <v>60000000</v>
      </c>
      <c r="AB5037" s="28">
        <v>1038131000</v>
      </c>
      <c r="AC5037" s="28">
        <v>11891721000</v>
      </c>
      <c r="AD5037" s="28">
        <v>8617871000</v>
      </c>
      <c r="AE5037" s="28">
        <v>48144994000</v>
      </c>
      <c r="AF5037" s="28">
        <v>2412399000</v>
      </c>
      <c r="AG5037" s="11"/>
    </row>
    <row r="5038">
      <c r="A5038" s="7" t="s">
        <v>6659</v>
      </c>
      <c r="B5038" s="5" t="s">
        <v>14621</v>
      </c>
      <c r="C5038" s="5" t="s">
        <v>22343</v>
      </c>
      <c r="D5038" s="5" t="str">
        <v>550415478512</v>
      </c>
      <c r="E5038" s="0" t="e">
        <f>+7 (381) 2208017
+7 (384) 2441630
+7 (3843) 372731
+7 (812) 2102125
+7 (905) 9493933
+7 (921) 9342488
+7 (921) 9850626
+7 (931) 9818788
+7 (982) 1300007
+7 (812) 9411212
+7 (921) 5604555</f>
        <v>#NAME?</v>
      </c>
      <c r="F5038" s="5" t="s">
        <v>40280</v>
      </c>
      <c r="G5038" s="5"/>
      <c r="H5038" s="26">
        <v>8</v>
      </c>
      <c r="I5038" s="5" t="s">
        <v>40281</v>
      </c>
      <c r="J5038" s="5" t="s">
        <v>397</v>
      </c>
      <c r="K5038" s="5" t="s">
        <v>344</v>
      </c>
      <c r="L5038" s="5" t="s">
        <v>40282</v>
      </c>
      <c r="M5038" s="27">
        <v>120489</v>
      </c>
      <c r="N5038" s="5" t="s">
        <v>57033</v>
      </c>
      <c r="O5038" s="5" t="str">
        <v>7807073673</v>
      </c>
      <c r="P5038" s="27">
        <v>50010000</v>
      </c>
      <c r="Q5038" s="5" t="s">
        <v>57034</v>
      </c>
      <c r="R5038" s="5"/>
      <c r="S5038" s="5" t="s">
        <v>57035</v>
      </c>
      <c r="T5038" s="28">
        <v>1299114000</v>
      </c>
      <c r="U5038" s="28">
        <v>42750000</v>
      </c>
      <c r="V5038" s="28">
        <v>290345000</v>
      </c>
      <c r="W5038" s="28"/>
      <c r="X5038" s="28">
        <v>45382000</v>
      </c>
      <c r="Y5038" s="28">
        <v>3124648000</v>
      </c>
      <c r="Z5038" s="28">
        <v>295969000</v>
      </c>
      <c r="AA5038" s="28">
        <v>211650000</v>
      </c>
      <c r="AB5038" s="28">
        <v>134468000</v>
      </c>
      <c r="AC5038" s="28">
        <v>940577000</v>
      </c>
      <c r="AD5038" s="28">
        <v>345979000</v>
      </c>
      <c r="AE5038" s="28">
        <v>6509576000</v>
      </c>
      <c r="AF5038" s="28">
        <v>6614000</v>
      </c>
      <c r="AG5038" s="11"/>
    </row>
    <row r="5039">
      <c r="A5039" s="7" t="s">
        <v>6660</v>
      </c>
      <c r="B5039" s="5" t="s">
        <v>14622</v>
      </c>
      <c r="C5039" s="5" t="s">
        <v>22344</v>
      </c>
      <c r="D5039" s="5" t="str">
        <v>230306651205</v>
      </c>
      <c r="E5039" s="0" t="e">
        <f>+7 (965) 2930000
+7 (495) 9467455
+7 (499) 3438363
+7 (985) 9969963</f>
        <v>#NAME?</v>
      </c>
      <c r="F5039" s="5" t="s">
        <v>40283</v>
      </c>
      <c r="G5039" s="5" t="s">
        <v>40284</v>
      </c>
      <c r="H5039" s="26">
        <v>11</v>
      </c>
      <c r="I5039" s="5" t="s">
        <v>40285</v>
      </c>
      <c r="J5039" s="5" t="s">
        <v>467</v>
      </c>
      <c r="K5039" s="5" t="s">
        <v>355</v>
      </c>
      <c r="L5039" s="5" t="s">
        <v>29905</v>
      </c>
      <c r="M5039" s="27">
        <v>168053419</v>
      </c>
      <c r="N5039" s="5" t="s">
        <v>57036</v>
      </c>
      <c r="O5039" s="5" t="str">
        <v>7707766346</v>
      </c>
      <c r="P5039" s="27">
        <v>15773475</v>
      </c>
      <c r="Q5039" s="5" t="s">
        <v>57037</v>
      </c>
      <c r="R5039" s="5" t="s">
        <v>57038</v>
      </c>
      <c r="S5039" s="5" t="s">
        <v>57039</v>
      </c>
      <c r="T5039" s="28">
        <v>126496000</v>
      </c>
      <c r="U5039" s="28">
        <v>38882000</v>
      </c>
      <c r="V5039" s="28">
        <v>2761400000</v>
      </c>
      <c r="W5039" s="28">
        <v>178205000</v>
      </c>
      <c r="X5039" s="28">
        <v>312252000</v>
      </c>
      <c r="Y5039" s="28">
        <v>6448787000</v>
      </c>
      <c r="Z5039" s="28">
        <v>194418000</v>
      </c>
      <c r="AA5039" s="28"/>
      <c r="AB5039" s="28">
        <v>153200000</v>
      </c>
      <c r="AC5039" s="28">
        <v>6174351000</v>
      </c>
      <c r="AD5039" s="28">
        <v>210192000</v>
      </c>
      <c r="AE5039" s="28">
        <v>3731025000</v>
      </c>
      <c r="AF5039" s="28">
        <v>17178000</v>
      </c>
      <c r="AG5039" s="11"/>
    </row>
    <row r="5040">
      <c r="A5040" s="7" t="s">
        <v>6661</v>
      </c>
      <c r="B5040" s="5" t="s">
        <v>14623</v>
      </c>
      <c r="C5040" s="5" t="s">
        <v>22345</v>
      </c>
      <c r="D5040" s="5" t="str">
        <v>182101843942</v>
      </c>
      <c r="F5040" s="5" t="s">
        <v>40286</v>
      </c>
      <c r="G5040" s="5"/>
      <c r="H5040" s="26">
        <v>1</v>
      </c>
      <c r="I5040" s="5" t="s">
        <v>40287</v>
      </c>
      <c r="J5040" s="5" t="s">
        <v>364</v>
      </c>
      <c r="K5040" s="5" t="s">
        <v>344</v>
      </c>
      <c r="L5040" s="5"/>
      <c r="M5040" s="27">
        <v>43435722</v>
      </c>
      <c r="N5040" s="5"/>
      <c r="O5040" s="5" t="str">
        <v>7707467057</v>
      </c>
      <c r="P5040" s="27">
        <v>10000</v>
      </c>
      <c r="Q5040" s="5"/>
      <c r="R5040" s="5"/>
      <c r="S5040" s="5" t="s">
        <v>49123</v>
      </c>
      <c r="T5040" s="28">
        <v>807255000</v>
      </c>
      <c r="U5040" s="28"/>
      <c r="V5040" s="28">
        <v>2456807000</v>
      </c>
      <c r="W5040" s="28"/>
      <c r="X5040" s="28">
        <v>4261486000</v>
      </c>
      <c r="Y5040" s="28">
        <v>8732710000</v>
      </c>
      <c r="Z5040" s="28">
        <v>1021307000</v>
      </c>
      <c r="AA5040" s="28"/>
      <c r="AB5040" s="28">
        <v>1000</v>
      </c>
      <c r="AC5040" s="28">
        <v>7279160000</v>
      </c>
      <c r="AD5040" s="28">
        <v>1021317000</v>
      </c>
      <c r="AE5040" s="28">
        <v>4949130000</v>
      </c>
      <c r="AF5040" s="28">
        <v>1021307000</v>
      </c>
      <c r="AG5040" s="11"/>
    </row>
    <row r="5041">
      <c r="A5041" s="7" t="s">
        <v>6662</v>
      </c>
      <c r="B5041" s="5" t="s">
        <v>14624</v>
      </c>
      <c r="C5041" s="5" t="s">
        <v>22346</v>
      </c>
      <c r="D5041" s="5" t="str">
        <v>772812618912</v>
      </c>
      <c r="E5041" s="0" t="e">
        <f>+7 (3012) 322637
+7 (3022) 322636
+7 (3022) 322637
+7 (34370) 90464
+7 (345) 2515166
+7 (345) 2790996
+7 (346) 2774750
+7 (3499) 590030
+7 (35324) 25685
+7 (381) 2308556
+7 (382) 2264568
+7 (382) 2267455
+7 (3022) 217385
+7 (3422) 196357
+7 (343) 3111475</f>
        <v>#NAME?</v>
      </c>
      <c r="F5041" s="5" t="s">
        <v>40288</v>
      </c>
      <c r="G5041" s="5" t="s">
        <v>40289</v>
      </c>
      <c r="H5041" s="26">
        <v>21.5</v>
      </c>
      <c r="I5041" s="5"/>
      <c r="J5041" s="5" t="s">
        <v>25437</v>
      </c>
      <c r="K5041" s="5" t="s">
        <v>344</v>
      </c>
      <c r="L5041" s="5" t="s">
        <v>40290</v>
      </c>
      <c r="M5041" s="27"/>
      <c r="N5041" s="5" t="s">
        <v>57040</v>
      </c>
      <c r="O5041" s="5" t="str">
        <v>7726311464</v>
      </c>
      <c r="P5041" s="27">
        <v>28400</v>
      </c>
      <c r="Q5041" s="5" t="s">
        <v>57041</v>
      </c>
      <c r="R5041" s="5"/>
      <c r="S5041" s="5" t="s">
        <v>57042</v>
      </c>
      <c r="T5041" s="28">
        <v>14809585000</v>
      </c>
      <c r="U5041" s="28">
        <v>12162155000</v>
      </c>
      <c r="V5041" s="28">
        <v>56373158000</v>
      </c>
      <c r="W5041" s="28">
        <v>5343604000</v>
      </c>
      <c r="X5041" s="28">
        <v>5897224000</v>
      </c>
      <c r="Y5041" s="28">
        <v>157214695000</v>
      </c>
      <c r="Z5041" s="28">
        <v>59374489000</v>
      </c>
      <c r="AA5041" s="28">
        <v>12007179000</v>
      </c>
      <c r="AB5041" s="28">
        <v>11439473000</v>
      </c>
      <c r="AC5041" s="28">
        <v>76468846000</v>
      </c>
      <c r="AD5041" s="28">
        <v>59375441000</v>
      </c>
      <c r="AE5041" s="28">
        <v>162139419000</v>
      </c>
      <c r="AF5041" s="28">
        <v>11822679000</v>
      </c>
      <c r="AG5041" s="11"/>
    </row>
    <row r="5042">
      <c r="A5042" s="7" t="s">
        <v>6663</v>
      </c>
      <c r="B5042" s="5" t="s">
        <v>14625</v>
      </c>
      <c r="C5042" s="5" t="s">
        <v>22347</v>
      </c>
      <c r="D5042" s="5" t="str">
        <v>772865156130</v>
      </c>
      <c r="E5042" s="0" t="e">
        <f>+7 (919) 1055967</f>
        <v>#NAME?</v>
      </c>
      <c r="F5042" s="5"/>
      <c r="G5042" s="5"/>
      <c r="H5042" s="26">
        <v>16.5</v>
      </c>
      <c r="I5042" s="5" t="s">
        <v>40291</v>
      </c>
      <c r="J5042" s="5" t="s">
        <v>26125</v>
      </c>
      <c r="K5042" s="5" t="s">
        <v>355</v>
      </c>
      <c r="L5042" s="5" t="s">
        <v>40292</v>
      </c>
      <c r="M5042" s="27"/>
      <c r="N5042" s="5" t="s">
        <v>57043</v>
      </c>
      <c r="O5042" s="5" t="str">
        <v>5040072018</v>
      </c>
      <c r="P5042" s="27">
        <v>10000</v>
      </c>
      <c r="Q5042" s="5"/>
      <c r="R5042" s="5"/>
      <c r="S5042" s="5" t="s">
        <v>49110</v>
      </c>
      <c r="T5042" s="28">
        <v>2342000</v>
      </c>
      <c r="U5042" s="28"/>
      <c r="V5042" s="28">
        <v>517874000</v>
      </c>
      <c r="W5042" s="28">
        <v>385000000</v>
      </c>
      <c r="X5042" s="28">
        <v>42864000</v>
      </c>
      <c r="Y5042" s="28">
        <v>964627000</v>
      </c>
      <c r="Z5042" s="28">
        <v>28649000</v>
      </c>
      <c r="AA5042" s="28"/>
      <c r="AB5042" s="28">
        <v>785000</v>
      </c>
      <c r="AC5042" s="28">
        <v>935968000</v>
      </c>
      <c r="AD5042" s="28">
        <v>28659000</v>
      </c>
      <c r="AE5042" s="28">
        <v>3755083000</v>
      </c>
      <c r="AF5042" s="28">
        <v>6166000</v>
      </c>
      <c r="AG5042" s="11"/>
    </row>
    <row r="5043">
      <c r="A5043" s="7" t="s">
        <v>6664</v>
      </c>
      <c r="B5043" s="5" t="s">
        <v>14626</v>
      </c>
      <c r="C5043" s="5" t="s">
        <v>22348</v>
      </c>
      <c r="D5043" s="5" t="str">
        <v>253801970638</v>
      </c>
      <c r="E5043" s="0" t="e">
        <f>+7 (423) 2256270
+7 (4232) 292705
+7 (4232) 420577
+7 (4232) 429147
+7 (4232) 434941
+7 (4232) 434952
+7 (4232) 456270</f>
        <v>#NAME?</v>
      </c>
      <c r="F5043" s="5" t="s">
        <v>40293</v>
      </c>
      <c r="G5043" s="5" t="s">
        <v>40294</v>
      </c>
      <c r="H5043" s="26">
        <v>31.5</v>
      </c>
      <c r="I5043" s="5"/>
      <c r="J5043" s="5" t="s">
        <v>26424</v>
      </c>
      <c r="K5043" s="5" t="s">
        <v>380</v>
      </c>
      <c r="L5043" s="5"/>
      <c r="M5043" s="27"/>
      <c r="N5043" s="5"/>
      <c r="O5043" s="5" t="str">
        <v>2536010639</v>
      </c>
      <c r="P5043" s="27">
        <v>102500</v>
      </c>
      <c r="Q5043" s="5"/>
      <c r="R5043" s="5"/>
      <c r="S5043" s="5" t="s">
        <v>49348</v>
      </c>
      <c r="T5043" s="28">
        <v>1246893000</v>
      </c>
      <c r="U5043" s="28">
        <v>100000</v>
      </c>
      <c r="V5043" s="28">
        <v>307366000</v>
      </c>
      <c r="W5043" s="28"/>
      <c r="X5043" s="28">
        <v>141126000</v>
      </c>
      <c r="Y5043" s="28">
        <v>3323471000</v>
      </c>
      <c r="Z5043" s="28">
        <v>-10092000</v>
      </c>
      <c r="AA5043" s="28">
        <v>1620649000</v>
      </c>
      <c r="AB5043" s="28"/>
      <c r="AC5043" s="28">
        <v>1466220000</v>
      </c>
      <c r="AD5043" s="28">
        <v>136717000</v>
      </c>
      <c r="AE5043" s="28">
        <v>3324268000</v>
      </c>
      <c r="AF5043" s="28">
        <v>-596820000</v>
      </c>
      <c r="AG5043" s="11"/>
    </row>
    <row r="5044">
      <c r="A5044" s="7" t="s">
        <v>6665</v>
      </c>
      <c r="B5044" s="5" t="s">
        <v>14627</v>
      </c>
      <c r="C5044" s="5" t="s">
        <v>22349</v>
      </c>
      <c r="D5044" s="5" t="str">
        <v>743800087811</v>
      </c>
      <c r="E5044" s="0" t="e">
        <f>+7 (919) 3030656
+7 (982) 1189767
+7 (351) 2384850
+7 (35144) 22365
+7 (35144) 45168
+7 (35144) 45365
+7 (35148) 51120</f>
        <v>#NAME?</v>
      </c>
      <c r="F5044" s="5" t="s">
        <v>40295</v>
      </c>
      <c r="G5044" s="5" t="s">
        <v>40296</v>
      </c>
      <c r="H5044" s="26">
        <v>20.5</v>
      </c>
      <c r="I5044" s="5" t="s">
        <v>40297</v>
      </c>
      <c r="J5044" s="5" t="s">
        <v>25450</v>
      </c>
      <c r="K5044" s="5" t="s">
        <v>344</v>
      </c>
      <c r="L5044" s="5"/>
      <c r="M5044" s="27">
        <v>40021346</v>
      </c>
      <c r="N5044" s="5" t="s">
        <v>57045</v>
      </c>
      <c r="O5044" s="5" t="str">
        <v>7438016550</v>
      </c>
      <c r="P5044" s="27">
        <v>183812310</v>
      </c>
      <c r="Q5044" s="5" t="s">
        <v>49021</v>
      </c>
      <c r="R5044" s="5"/>
      <c r="S5044" s="5" t="s">
        <v>57047</v>
      </c>
      <c r="T5044" s="28">
        <v>2839877000</v>
      </c>
      <c r="U5044" s="28">
        <v>2177780000</v>
      </c>
      <c r="V5044" s="28">
        <v>1594091000</v>
      </c>
      <c r="W5044" s="28">
        <v>47460000</v>
      </c>
      <c r="X5044" s="28">
        <v>57572000</v>
      </c>
      <c r="Y5044" s="28">
        <v>8467303000</v>
      </c>
      <c r="Z5044" s="28">
        <v>3339400000</v>
      </c>
      <c r="AA5044" s="28">
        <v>54015000</v>
      </c>
      <c r="AB5044" s="28">
        <v>3508193000</v>
      </c>
      <c r="AC5044" s="28">
        <v>4833296000</v>
      </c>
      <c r="AD5044" s="28">
        <v>3526645000</v>
      </c>
      <c r="AE5044" s="28">
        <v>8369659000</v>
      </c>
      <c r="AF5044" s="28">
        <v>71514000</v>
      </c>
      <c r="AG5044" s="11"/>
    </row>
    <row r="5045">
      <c r="A5045" s="7" t="s">
        <v>6666</v>
      </c>
      <c r="B5045" s="5" t="s">
        <v>14628</v>
      </c>
      <c r="C5045" s="5" t="s">
        <v>22350</v>
      </c>
      <c r="D5045" s="5" t="str">
        <v>228400118088</v>
      </c>
      <c r="E5045" s="0" t="e">
        <f>+7 (382) 2463182
+7 (382) 2497000
+7 (382) 2497010
+7 (382) 2497012
+7 (901) 6142037</f>
        <v>#NAME?</v>
      </c>
      <c r="F5045" s="5"/>
      <c r="G5045" s="5"/>
      <c r="H5045" s="26">
        <v>11.5</v>
      </c>
      <c r="I5045" s="5" t="s">
        <v>40298</v>
      </c>
      <c r="J5045" s="5" t="s">
        <v>25499</v>
      </c>
      <c r="K5045" s="5" t="s">
        <v>344</v>
      </c>
      <c r="L5045" s="5" t="s">
        <v>40299</v>
      </c>
      <c r="M5045" s="27"/>
      <c r="N5045" s="5"/>
      <c r="O5045" s="5" t="str">
        <v>7014055531</v>
      </c>
      <c r="P5045" s="27">
        <v>10000</v>
      </c>
      <c r="Q5045" s="5"/>
      <c r="R5045" s="5"/>
      <c r="S5045" s="5" t="s">
        <v>49029</v>
      </c>
      <c r="T5045" s="28">
        <v>156402000</v>
      </c>
      <c r="U5045" s="28"/>
      <c r="V5045" s="28">
        <v>125448000</v>
      </c>
      <c r="W5045" s="28">
        <v>134600000</v>
      </c>
      <c r="X5045" s="28">
        <v>88129000</v>
      </c>
      <c r="Y5045" s="28">
        <v>768571000</v>
      </c>
      <c r="Z5045" s="28">
        <v>84694000</v>
      </c>
      <c r="AA5045" s="28">
        <v>12000000</v>
      </c>
      <c r="AB5045" s="28">
        <v>473000000</v>
      </c>
      <c r="AC5045" s="28">
        <v>671868000</v>
      </c>
      <c r="AD5045" s="28">
        <v>84704000</v>
      </c>
      <c r="AE5045" s="28">
        <v>3940314000</v>
      </c>
      <c r="AF5045" s="28">
        <v>46824000</v>
      </c>
      <c r="AG5045" s="11"/>
    </row>
    <row r="5046">
      <c r="A5046" s="7" t="s">
        <v>6667</v>
      </c>
      <c r="B5046" s="5" t="s">
        <v>14629</v>
      </c>
      <c r="C5046" s="5" t="s">
        <v>22351</v>
      </c>
      <c r="D5046" s="5" t="str">
        <v>032314955967</v>
      </c>
      <c r="E5046" s="0" t="e">
        <f>+7 (902) 1611911
+7 (924) 7552578</f>
        <v>#NAME?</v>
      </c>
      <c r="F5046" s="5" t="s">
        <v>40300</v>
      </c>
      <c r="G5046" s="5"/>
      <c r="H5046" s="26">
        <v>1</v>
      </c>
      <c r="I5046" s="5" t="s">
        <v>40301</v>
      </c>
      <c r="J5046" s="5" t="s">
        <v>890</v>
      </c>
      <c r="K5046" s="5" t="s">
        <v>344</v>
      </c>
      <c r="L5046" s="5"/>
      <c r="M5046" s="27"/>
      <c r="N5046" s="5" t="s">
        <v>57048</v>
      </c>
      <c r="O5046" s="5" t="str">
        <v>0300000957</v>
      </c>
      <c r="P5046" s="27">
        <v>10000</v>
      </c>
      <c r="Q5046" s="5"/>
      <c r="R5046" s="5"/>
      <c r="S5046" s="5" t="s">
        <v>49991</v>
      </c>
      <c r="T5046" s="28"/>
      <c r="U5046" s="28"/>
      <c r="V5046" s="28">
        <v>54000</v>
      </c>
      <c r="W5046" s="28"/>
      <c r="X5046" s="28">
        <v>76000</v>
      </c>
      <c r="Y5046" s="28">
        <v>130000</v>
      </c>
      <c r="Z5046" s="28">
        <v>120000</v>
      </c>
      <c r="AA5046" s="28"/>
      <c r="AB5046" s="28"/>
      <c r="AC5046" s="28"/>
      <c r="AD5046" s="28">
        <v>130000</v>
      </c>
      <c r="AE5046" s="28">
        <v>11379691000</v>
      </c>
      <c r="AF5046" s="28"/>
      <c r="AG5046" s="11"/>
    </row>
    <row r="5047">
      <c r="A5047" s="7" t="s">
        <v>6667</v>
      </c>
      <c r="B5047" s="5" t="s">
        <v>14630</v>
      </c>
      <c r="C5047" s="5" t="s">
        <v>22352</v>
      </c>
      <c r="D5047" s="5" t="str">
        <v>645315441634</v>
      </c>
      <c r="F5047" s="5" t="s">
        <v>40302</v>
      </c>
      <c r="G5047" s="5"/>
      <c r="H5047" s="26">
        <v>6.5</v>
      </c>
      <c r="I5047" s="5" t="s">
        <v>40303</v>
      </c>
      <c r="J5047" s="5" t="s">
        <v>585</v>
      </c>
      <c r="K5047" s="5" t="s">
        <v>344</v>
      </c>
      <c r="L5047" s="5" t="s">
        <v>40304</v>
      </c>
      <c r="M5047" s="27">
        <v>1867766</v>
      </c>
      <c r="N5047" s="5"/>
      <c r="O5047" s="5" t="str">
        <v>7816341664</v>
      </c>
      <c r="P5047" s="27">
        <v>500000</v>
      </c>
      <c r="Q5047" s="5" t="s">
        <v>49009</v>
      </c>
      <c r="R5047" s="5"/>
      <c r="S5047" s="5" t="s">
        <v>49045</v>
      </c>
      <c r="T5047" s="28">
        <v>50798000</v>
      </c>
      <c r="U5047" s="28"/>
      <c r="V5047" s="28">
        <v>2248391000</v>
      </c>
      <c r="W5047" s="28"/>
      <c r="X5047" s="28">
        <v>63482000</v>
      </c>
      <c r="Y5047" s="28">
        <v>2591504000</v>
      </c>
      <c r="Z5047" s="28">
        <v>1104164000</v>
      </c>
      <c r="AA5047" s="28"/>
      <c r="AB5047" s="28"/>
      <c r="AC5047" s="28">
        <v>1485447000</v>
      </c>
      <c r="AD5047" s="28">
        <v>1104664000</v>
      </c>
      <c r="AE5047" s="28">
        <v>8590116000</v>
      </c>
      <c r="AF5047" s="28">
        <v>672082000</v>
      </c>
      <c r="AG5047" s="11"/>
    </row>
    <row r="5048">
      <c r="A5048" s="7" t="s">
        <v>6668</v>
      </c>
      <c r="B5048" s="5" t="s">
        <v>14631</v>
      </c>
      <c r="C5048" s="5" t="s">
        <v>22353</v>
      </c>
      <c r="D5048" s="5" t="str">
        <v>253600781704</v>
      </c>
      <c r="E5048" s="0" t="e">
        <f>+7 (423) 2488311
+7 (4232) 620391
+7 (4232) 620392
+7 (4232) 648960
+7 (42361) 31333
+7 (902) 4858311
+7 (914) 7335606</f>
        <v>#NAME?</v>
      </c>
      <c r="F5048" s="5" t="s">
        <v>40305</v>
      </c>
      <c r="G5048" s="5"/>
      <c r="H5048" s="26">
        <v>10</v>
      </c>
      <c r="I5048" s="5" t="s">
        <v>40306</v>
      </c>
      <c r="J5048" s="5" t="s">
        <v>26165</v>
      </c>
      <c r="K5048" s="5" t="s">
        <v>380</v>
      </c>
      <c r="L5048" s="5" t="s">
        <v>40307</v>
      </c>
      <c r="M5048" s="27">
        <v>2574000</v>
      </c>
      <c r="N5048" s="5"/>
      <c r="O5048" s="5" t="str">
        <v>2543023195</v>
      </c>
      <c r="P5048" s="27">
        <v>20000</v>
      </c>
      <c r="Q5048" s="5" t="s">
        <v>57050</v>
      </c>
      <c r="R5048" s="5"/>
      <c r="S5048" s="5" t="s">
        <v>57051</v>
      </c>
      <c r="T5048" s="28">
        <v>870220000</v>
      </c>
      <c r="U5048" s="28">
        <v>468395000</v>
      </c>
      <c r="V5048" s="28">
        <v>505507000</v>
      </c>
      <c r="W5048" s="28"/>
      <c r="X5048" s="28">
        <v>86978000</v>
      </c>
      <c r="Y5048" s="28">
        <v>3649110000</v>
      </c>
      <c r="Z5048" s="28">
        <v>102365000</v>
      </c>
      <c r="AA5048" s="28">
        <v>20000</v>
      </c>
      <c r="AB5048" s="28">
        <v>151779000</v>
      </c>
      <c r="AC5048" s="28">
        <v>2631986000</v>
      </c>
      <c r="AD5048" s="28">
        <v>102628000</v>
      </c>
      <c r="AE5048" s="28">
        <v>9771503000</v>
      </c>
      <c r="AF5048" s="28">
        <v>60208000</v>
      </c>
      <c r="AG5048" s="11"/>
    </row>
    <row r="5049">
      <c r="A5049" s="7" t="s">
        <v>6669</v>
      </c>
      <c r="B5049" s="5" t="s">
        <v>14632</v>
      </c>
      <c r="C5049" s="5" t="s">
        <v>22354</v>
      </c>
      <c r="D5049" s="5" t="str">
        <v>504813679171</v>
      </c>
      <c r="E5049" s="0" t="e">
        <f>+7 (499) 1747680
+7 (495) 5016186
+7 (495) 9676521
+7 (496) 9676521
+7 (49651) 32615
+7 (49651) 32825
+7 (49651) 33002</f>
        <v>#NAME?</v>
      </c>
      <c r="F5049" s="5" t="s">
        <v>40308</v>
      </c>
      <c r="G5049" s="5"/>
      <c r="H5049" s="26">
        <v>20.5</v>
      </c>
      <c r="I5049" s="5" t="s">
        <v>40309</v>
      </c>
      <c r="J5049" s="5" t="s">
        <v>25525</v>
      </c>
      <c r="K5049" s="5" t="s">
        <v>344</v>
      </c>
      <c r="L5049" s="5" t="s">
        <v>40310</v>
      </c>
      <c r="M5049" s="27"/>
      <c r="N5049" s="5" t="s">
        <v>57052</v>
      </c>
      <c r="O5049" s="5" t="str">
        <v>5031049573</v>
      </c>
      <c r="P5049" s="27">
        <v>302000</v>
      </c>
      <c r="Q5049" s="5" t="s">
        <v>57053</v>
      </c>
      <c r="R5049" s="5"/>
      <c r="S5049" s="5" t="s">
        <v>57054</v>
      </c>
      <c r="T5049" s="28">
        <v>239333000</v>
      </c>
      <c r="U5049" s="28"/>
      <c r="V5049" s="28">
        <v>162030000</v>
      </c>
      <c r="W5049" s="28"/>
      <c r="X5049" s="28">
        <v>4188000</v>
      </c>
      <c r="Y5049" s="28">
        <v>1218253000</v>
      </c>
      <c r="Z5049" s="28">
        <v>476495000</v>
      </c>
      <c r="AA5049" s="28">
        <v>250000000</v>
      </c>
      <c r="AB5049" s="28">
        <v>182437000</v>
      </c>
      <c r="AC5049" s="28">
        <v>445871000</v>
      </c>
      <c r="AD5049" s="28">
        <v>476895000</v>
      </c>
      <c r="AE5049" s="28">
        <v>3097590000</v>
      </c>
      <c r="AF5049" s="28">
        <v>123069000</v>
      </c>
      <c r="AG5049" s="11"/>
    </row>
    <row r="5050">
      <c r="A5050" s="7" t="s">
        <v>6670</v>
      </c>
      <c r="B5050" s="5" t="s">
        <v>14633</v>
      </c>
      <c r="C5050" s="5" t="s">
        <v>22355</v>
      </c>
      <c r="D5050" s="5" t="str">
        <v>344317551304</v>
      </c>
      <c r="E5050" s="0" t="e">
        <f>+7 (844) 2531007
+7 (902) 3645393
+7 (909) 3906108
+7 (960) 8754923</f>
        <v>#NAME?</v>
      </c>
      <c r="F5050" s="5" t="s">
        <v>40311</v>
      </c>
      <c r="G5050" s="5"/>
      <c r="H5050" s="26">
        <v>8.5</v>
      </c>
      <c r="I5050" s="5" t="s">
        <v>40312</v>
      </c>
      <c r="J5050" s="5" t="s">
        <v>30277</v>
      </c>
      <c r="K5050" s="5" t="s">
        <v>355</v>
      </c>
      <c r="L5050" s="5" t="s">
        <v>40313</v>
      </c>
      <c r="M5050" s="27">
        <v>1000000</v>
      </c>
      <c r="N5050" s="5"/>
      <c r="O5050" s="5" t="str">
        <v>3461011585</v>
      </c>
      <c r="P5050" s="27">
        <v>243944714</v>
      </c>
      <c r="Q5050" s="5"/>
      <c r="R5050" s="5"/>
      <c r="S5050" s="5" t="s">
        <v>49029</v>
      </c>
      <c r="T5050" s="28">
        <v>1257401000</v>
      </c>
      <c r="U5050" s="28"/>
      <c r="V5050" s="28">
        <v>418283000</v>
      </c>
      <c r="W5050" s="28">
        <v>10473000</v>
      </c>
      <c r="X5050" s="28">
        <v>72442000</v>
      </c>
      <c r="Y5050" s="28">
        <v>2945878000</v>
      </c>
      <c r="Z5050" s="28">
        <v>439444000</v>
      </c>
      <c r="AA5050" s="28">
        <v>367009000</v>
      </c>
      <c r="AB5050" s="28">
        <v>50056000</v>
      </c>
      <c r="AC5050" s="28">
        <v>1880553000</v>
      </c>
      <c r="AD5050" s="28">
        <v>683389000</v>
      </c>
      <c r="AE5050" s="28">
        <v>4826135000</v>
      </c>
      <c r="AF5050" s="28">
        <v>32968000</v>
      </c>
      <c r="AG5050" s="11"/>
    </row>
    <row r="5051">
      <c r="A5051" s="7" t="s">
        <v>6671</v>
      </c>
      <c r="B5051" s="5" t="s">
        <v>14634</v>
      </c>
      <c r="C5051" s="5" t="s">
        <v>22356</v>
      </c>
      <c r="D5051" s="5" t="str">
        <v>771375395377</v>
      </c>
      <c r="E5051" s="0" t="e">
        <f>+7 (800) 2200220
+7 (800) 2202220
+7 (35327) 29027
+7 (35327) 73182
+7 (35327) 97665
+7 (35329) 84590
+7 (35329) 84701
+7 (35342) 22777
+7 (800) 7751642
+7 (8342) 247227
+7 (8342) 280092
+7 (8342) 280458
+7 (8342) 280493
+7 (8342) 281308
+7 (8342) 281344</f>
        <v>#NAME?</v>
      </c>
      <c r="F5051" s="5" t="s">
        <v>40314</v>
      </c>
      <c r="G5051" s="5" t="s">
        <v>40315</v>
      </c>
      <c r="H5051" s="26">
        <v>15.5</v>
      </c>
      <c r="I5051" s="5" t="s">
        <v>40316</v>
      </c>
      <c r="J5051" s="5" t="s">
        <v>27802</v>
      </c>
      <c r="K5051" s="5" t="s">
        <v>380</v>
      </c>
      <c r="L5051" s="5"/>
      <c r="M5051" s="27">
        <v>169001075</v>
      </c>
      <c r="N5051" s="5" t="s">
        <v>57055</v>
      </c>
      <c r="O5051" s="5" t="str">
        <v>6450925977</v>
      </c>
      <c r="P5051" s="27">
        <v>18830795873</v>
      </c>
      <c r="Q5051" s="5" t="s">
        <v>57056</v>
      </c>
      <c r="R5051" s="5" t="s">
        <v>55640</v>
      </c>
      <c r="S5051" s="5" t="s">
        <v>57057</v>
      </c>
      <c r="T5051" s="28">
        <v>62223220000</v>
      </c>
      <c r="U5051" s="28">
        <v>101609000</v>
      </c>
      <c r="V5051" s="28">
        <v>8626218000</v>
      </c>
      <c r="W5051" s="28"/>
      <c r="X5051" s="28">
        <v>316898000</v>
      </c>
      <c r="Y5051" s="28">
        <v>74761214000</v>
      </c>
      <c r="Z5051" s="28">
        <v>25256974000</v>
      </c>
      <c r="AA5051" s="28">
        <v>1815000000</v>
      </c>
      <c r="AB5051" s="28">
        <v>6262014000</v>
      </c>
      <c r="AC5051" s="28">
        <v>18227034000</v>
      </c>
      <c r="AD5051" s="28">
        <v>45049469000</v>
      </c>
      <c r="AE5051" s="28">
        <v>66618532000</v>
      </c>
      <c r="AF5051" s="28">
        <v>-1101337000</v>
      </c>
      <c r="AG5051" s="11"/>
    </row>
    <row r="5052">
      <c r="A5052" s="7" t="s">
        <v>6672</v>
      </c>
      <c r="B5052" s="5" t="s">
        <v>14635</v>
      </c>
      <c r="C5052" s="5" t="s">
        <v>22357</v>
      </c>
      <c r="D5052" s="5" t="str">
        <v>020200972415</v>
      </c>
      <c r="E5052" s="0" t="e">
        <f>+7 (34754) 22989
+7 (34754) 23883
+7 (34754) 23885
+7 (34754) 23898</f>
        <v>#NAME?</v>
      </c>
      <c r="F5052" s="5" t="s">
        <v>40317</v>
      </c>
      <c r="G5052" s="5" t="s">
        <v>40318</v>
      </c>
      <c r="H5052" s="26">
        <v>14.5</v>
      </c>
      <c r="I5052" s="5" t="s">
        <v>40319</v>
      </c>
      <c r="J5052" s="5" t="s">
        <v>25994</v>
      </c>
      <c r="K5052" s="5" t="s">
        <v>344</v>
      </c>
      <c r="L5052" s="5" t="s">
        <v>40320</v>
      </c>
      <c r="M5052" s="27">
        <v>223600</v>
      </c>
      <c r="N5052" s="5"/>
      <c r="O5052" s="5" t="str">
        <v>0202007993</v>
      </c>
      <c r="P5052" s="27">
        <v>10000</v>
      </c>
      <c r="Q5052" s="5" t="s">
        <v>49591</v>
      </c>
      <c r="R5052" s="5"/>
      <c r="S5052" s="5" t="s">
        <v>49496</v>
      </c>
      <c r="T5052" s="28">
        <v>818326000</v>
      </c>
      <c r="U5052" s="28">
        <v>1000</v>
      </c>
      <c r="V5052" s="28">
        <v>1952670000</v>
      </c>
      <c r="W5052" s="28"/>
      <c r="X5052" s="28">
        <v>4276000</v>
      </c>
      <c r="Y5052" s="28">
        <v>3121254000</v>
      </c>
      <c r="Z5052" s="28">
        <v>1126526000</v>
      </c>
      <c r="AA5052" s="28">
        <v>347000000</v>
      </c>
      <c r="AB5052" s="28">
        <v>899137000</v>
      </c>
      <c r="AC5052" s="28">
        <v>1420310000</v>
      </c>
      <c r="AD5052" s="28">
        <v>1126536000</v>
      </c>
      <c r="AE5052" s="28">
        <v>3991239000</v>
      </c>
      <c r="AF5052" s="28">
        <v>522293000</v>
      </c>
      <c r="AG5052" s="11"/>
    </row>
    <row r="5053">
      <c r="A5053" s="7" t="s">
        <v>6673</v>
      </c>
      <c r="B5053" s="5" t="s">
        <v>14636</v>
      </c>
      <c r="C5053" s="5" t="s">
        <v>22358</v>
      </c>
      <c r="D5053" s="5" t="str">
        <v>500111513636</v>
      </c>
      <c r="E5053" s="0" t="e">
        <f>+7 (495) 6628888
+7 (812) 4483010</f>
        <v>#NAME?</v>
      </c>
      <c r="F5053" s="5" t="s">
        <v>40321</v>
      </c>
      <c r="G5053" s="5"/>
      <c r="H5053" s="26">
        <v>5.5</v>
      </c>
      <c r="I5053" s="5" t="s">
        <v>40322</v>
      </c>
      <c r="J5053" s="5" t="s">
        <v>25219</v>
      </c>
      <c r="K5053" s="5" t="s">
        <v>380</v>
      </c>
      <c r="L5053" s="5"/>
      <c r="M5053" s="27">
        <v>64680</v>
      </c>
      <c r="N5053" s="5"/>
      <c r="O5053" s="5" t="str">
        <v>9701088994</v>
      </c>
      <c r="P5053" s="27">
        <v>1010000</v>
      </c>
      <c r="Q5053" s="5"/>
      <c r="R5053" s="5"/>
      <c r="S5053" s="5" t="s">
        <v>49029</v>
      </c>
      <c r="T5053" s="28">
        <v>1150788000</v>
      </c>
      <c r="U5053" s="28">
        <v>1667397000</v>
      </c>
      <c r="V5053" s="28">
        <v>142428000</v>
      </c>
      <c r="W5053" s="28"/>
      <c r="X5053" s="28">
        <v>74777000</v>
      </c>
      <c r="Y5053" s="28">
        <v>4215665000</v>
      </c>
      <c r="Z5053" s="28">
        <v>470763000</v>
      </c>
      <c r="AA5053" s="28">
        <v>48164000</v>
      </c>
      <c r="AB5053" s="28">
        <v>3705000</v>
      </c>
      <c r="AC5053" s="28">
        <v>2654435000</v>
      </c>
      <c r="AD5053" s="28">
        <v>471773000</v>
      </c>
      <c r="AE5053" s="28">
        <v>5961495000</v>
      </c>
      <c r="AF5053" s="28">
        <v>388496000</v>
      </c>
      <c r="AG5053" s="11"/>
    </row>
    <row r="5054">
      <c r="A5054" s="7" t="s">
        <v>6674</v>
      </c>
      <c r="B5054" s="5" t="s">
        <v>14637</v>
      </c>
      <c r="C5054" s="5" t="s">
        <v>22359</v>
      </c>
      <c r="D5054" s="5" t="str">
        <v>770406422737</v>
      </c>
      <c r="E5054" s="0" t="e">
        <f>+7 (495) 9955333
+7 (800) 2200220
+7 (800) 5506604
+7 (800) 7001818
+7 (861) 2122261
+7 (861) 2122409
+7 (861) 2122708
+7 (8622) 690359</f>
        <v>#NAME?</v>
      </c>
      <c r="F5054" s="5" t="s">
        <v>40323</v>
      </c>
      <c r="G5054" s="5" t="s">
        <v>40324</v>
      </c>
      <c r="H5054" s="26">
        <v>30</v>
      </c>
      <c r="I5054" s="5" t="s">
        <v>40325</v>
      </c>
      <c r="J5054" s="5" t="s">
        <v>27802</v>
      </c>
      <c r="K5054" s="5" t="s">
        <v>344</v>
      </c>
      <c r="L5054" s="5"/>
      <c r="M5054" s="27">
        <v>1838142392</v>
      </c>
      <c r="N5054" s="5" t="s">
        <v>57058</v>
      </c>
      <c r="O5054" s="5" t="str">
        <v>2309001660</v>
      </c>
      <c r="P5054" s="27">
        <v>33465783700</v>
      </c>
      <c r="Q5054" s="5" t="s">
        <v>57059</v>
      </c>
      <c r="R5054" s="5" t="s">
        <v>57060</v>
      </c>
      <c r="S5054" s="5" t="s">
        <v>57061</v>
      </c>
      <c r="T5054" s="28">
        <v>78118655000</v>
      </c>
      <c r="U5054" s="28">
        <v>45688000</v>
      </c>
      <c r="V5054" s="28">
        <v>7626134000</v>
      </c>
      <c r="W5054" s="28"/>
      <c r="X5054" s="28">
        <v>4118182000</v>
      </c>
      <c r="Y5054" s="28">
        <v>95867294000</v>
      </c>
      <c r="Z5054" s="28">
        <v>1931825000</v>
      </c>
      <c r="AA5054" s="28">
        <v>16931543000</v>
      </c>
      <c r="AB5054" s="28">
        <v>3990281000</v>
      </c>
      <c r="AC5054" s="28">
        <v>25864225000</v>
      </c>
      <c r="AD5054" s="28">
        <v>45803233000</v>
      </c>
      <c r="AE5054" s="28">
        <v>63738857000</v>
      </c>
      <c r="AF5054" s="28">
        <v>5244477000</v>
      </c>
      <c r="AG5054" s="11"/>
    </row>
    <row r="5055">
      <c r="A5055" s="7" t="s">
        <v>6675</v>
      </c>
      <c r="B5055" s="5" t="s">
        <v>14638</v>
      </c>
      <c r="C5055" s="5" t="s">
        <v>22360</v>
      </c>
      <c r="D5055" s="5" t="str">
        <v>772000014716</v>
      </c>
      <c r="E5055" s="0" t="e">
        <f>+7 (985) 3181504</f>
        <v>#NAME?</v>
      </c>
      <c r="F5055" s="5"/>
      <c r="G5055" s="5"/>
      <c r="H5055" s="26">
        <v>6</v>
      </c>
      <c r="I5055" s="5" t="s">
        <v>40326</v>
      </c>
      <c r="J5055" s="5" t="s">
        <v>27946</v>
      </c>
      <c r="K5055" s="5" t="s">
        <v>344</v>
      </c>
      <c r="L5055" s="5" t="s">
        <v>40327</v>
      </c>
      <c r="M5055" s="27"/>
      <c r="N5055" s="5" t="s">
        <v>57062</v>
      </c>
      <c r="O5055" s="5" t="str">
        <v>9718042532</v>
      </c>
      <c r="P5055" s="27">
        <v>100000</v>
      </c>
      <c r="Q5055" s="5" t="s">
        <v>49021</v>
      </c>
      <c r="R5055" s="5"/>
      <c r="S5055" s="5" t="s">
        <v>52241</v>
      </c>
      <c r="T5055" s="28">
        <v>992000</v>
      </c>
      <c r="U5055" s="28"/>
      <c r="V5055" s="28">
        <v>316712000</v>
      </c>
      <c r="W5055" s="28"/>
      <c r="X5055" s="28">
        <v>8349000</v>
      </c>
      <c r="Y5055" s="28">
        <v>1489685000</v>
      </c>
      <c r="Z5055" s="28">
        <v>846167000</v>
      </c>
      <c r="AA5055" s="28"/>
      <c r="AB5055" s="28">
        <v>123310000</v>
      </c>
      <c r="AC5055" s="28">
        <v>643418000</v>
      </c>
      <c r="AD5055" s="28">
        <v>846267000</v>
      </c>
      <c r="AE5055" s="28">
        <v>3499751000</v>
      </c>
      <c r="AF5055" s="28">
        <v>390171000</v>
      </c>
      <c r="AG5055" s="11"/>
    </row>
    <row r="5056">
      <c r="A5056" s="7" t="s">
        <v>6676</v>
      </c>
      <c r="B5056" s="5" t="s">
        <v>14639</v>
      </c>
      <c r="C5056" s="5" t="s">
        <v>22361</v>
      </c>
      <c r="D5056" s="5" t="str">
        <v>771002839911</v>
      </c>
      <c r="E5056" s="0" t="e">
        <f>+7 (390) 2297751
+7 (390) 2297752
+7 (390) 2305360
+7 (390) 2305533</f>
        <v>#NAME?</v>
      </c>
      <c r="F5056" s="5" t="s">
        <v>40328</v>
      </c>
      <c r="G5056" s="5" t="s">
        <v>40329</v>
      </c>
      <c r="H5056" s="26">
        <v>11.5</v>
      </c>
      <c r="I5056" s="5" t="s">
        <v>40330</v>
      </c>
      <c r="J5056" s="5" t="s">
        <v>28484</v>
      </c>
      <c r="K5056" s="5" t="s">
        <v>344</v>
      </c>
      <c r="L5056" s="5" t="s">
        <v>40331</v>
      </c>
      <c r="M5056" s="27"/>
      <c r="N5056" s="5" t="s">
        <v>57063</v>
      </c>
      <c r="O5056" s="5" t="str">
        <v>1901104455</v>
      </c>
      <c r="P5056" s="27">
        <v>10000</v>
      </c>
      <c r="Q5056" s="5" t="s">
        <v>49009</v>
      </c>
      <c r="R5056" s="5"/>
      <c r="S5056" s="5" t="s">
        <v>50019</v>
      </c>
      <c r="T5056" s="28">
        <v>3422497000</v>
      </c>
      <c r="U5056" s="28">
        <v>1909110000</v>
      </c>
      <c r="V5056" s="28">
        <v>2579482000</v>
      </c>
      <c r="W5056" s="28">
        <v>1004000000</v>
      </c>
      <c r="X5056" s="28">
        <v>7463000</v>
      </c>
      <c r="Y5056" s="28">
        <v>9433984000</v>
      </c>
      <c r="Z5056" s="28">
        <v>7487195000</v>
      </c>
      <c r="AA5056" s="28">
        <v>1292171000</v>
      </c>
      <c r="AB5056" s="28"/>
      <c r="AC5056" s="28">
        <v>436125000</v>
      </c>
      <c r="AD5056" s="28">
        <v>7487205000</v>
      </c>
      <c r="AE5056" s="28">
        <v>12132364000</v>
      </c>
      <c r="AF5056" s="28">
        <v>4882147000</v>
      </c>
      <c r="AG5056" s="11"/>
    </row>
    <row r="5057">
      <c r="A5057" s="7" t="s">
        <v>6677</v>
      </c>
      <c r="B5057" s="5" t="s">
        <v>14640</v>
      </c>
      <c r="C5057" s="5" t="s">
        <v>22362</v>
      </c>
      <c r="D5057" s="5" t="str">
        <v>421107998115</v>
      </c>
      <c r="E5057" s="0" t="e">
        <f>+7 (384) 6675647
+7 (3843) 993652
+7 (3843) 993655
+7 (3846) 675687
+7 (923) 4802645</f>
        <v>#NAME?</v>
      </c>
      <c r="F5057" s="5" t="s">
        <v>40332</v>
      </c>
      <c r="G5057" s="5" t="s">
        <v>40333</v>
      </c>
      <c r="H5057" s="26">
        <v>19</v>
      </c>
      <c r="I5057" s="5" t="s">
        <v>40334</v>
      </c>
      <c r="J5057" s="5" t="s">
        <v>32368</v>
      </c>
      <c r="K5057" s="5" t="s">
        <v>344</v>
      </c>
      <c r="L5057" s="5" t="s">
        <v>40335</v>
      </c>
      <c r="M5057" s="27">
        <v>164503219</v>
      </c>
      <c r="N5057" s="5"/>
      <c r="O5057" s="5" t="str">
        <v>4223035452</v>
      </c>
      <c r="P5057" s="27">
        <v>115988755</v>
      </c>
      <c r="Q5057" s="5" t="s">
        <v>49009</v>
      </c>
      <c r="R5057" s="5"/>
      <c r="S5057" s="5" t="s">
        <v>49066</v>
      </c>
      <c r="T5057" s="28">
        <v>24936927000</v>
      </c>
      <c r="U5057" s="28"/>
      <c r="V5057" s="28">
        <v>1990716000</v>
      </c>
      <c r="W5057" s="28"/>
      <c r="X5057" s="28">
        <v>2242000</v>
      </c>
      <c r="Y5057" s="28">
        <v>36098845000</v>
      </c>
      <c r="Z5057" s="28">
        <v>28932200000</v>
      </c>
      <c r="AA5057" s="28"/>
      <c r="AB5057" s="28">
        <v>936347000</v>
      </c>
      <c r="AC5057" s="28">
        <v>3516202000</v>
      </c>
      <c r="AD5057" s="28">
        <v>29048189000</v>
      </c>
      <c r="AE5057" s="28">
        <v>46478548000</v>
      </c>
      <c r="AF5057" s="28">
        <v>12671579000</v>
      </c>
      <c r="AG5057" s="11"/>
    </row>
    <row r="5058">
      <c r="A5058" s="7" t="s">
        <v>6678</v>
      </c>
      <c r="B5058" s="5" t="s">
        <v>14641</v>
      </c>
      <c r="C5058" s="5" t="s">
        <v>22363</v>
      </c>
      <c r="D5058" s="5" t="str">
        <v>420201655787</v>
      </c>
      <c r="E5058" s="0" t="e">
        <f>+7 (960) 9193060
+7 (384) 3996949
+7 (3843) 436230
+7 (3843) 992279
+7 (3843) 993740</f>
        <v>#NAME?</v>
      </c>
      <c r="F5058" s="5" t="s">
        <v>40336</v>
      </c>
      <c r="G5058" s="5" t="s">
        <v>40337</v>
      </c>
      <c r="H5058" s="26">
        <v>17.5</v>
      </c>
      <c r="I5058" s="5" t="s">
        <v>40338</v>
      </c>
      <c r="J5058" s="5" t="s">
        <v>28484</v>
      </c>
      <c r="K5058" s="5" t="s">
        <v>344</v>
      </c>
      <c r="L5058" s="5" t="s">
        <v>40339</v>
      </c>
      <c r="M5058" s="27"/>
      <c r="N5058" s="5"/>
      <c r="O5058" s="5" t="str">
        <v>4220028665</v>
      </c>
      <c r="P5058" s="27">
        <v>200725000</v>
      </c>
      <c r="Q5058" s="5" t="s">
        <v>49009</v>
      </c>
      <c r="R5058" s="5"/>
      <c r="S5058" s="5" t="s">
        <v>49045</v>
      </c>
      <c r="T5058" s="28">
        <v>1138954000</v>
      </c>
      <c r="U5058" s="28"/>
      <c r="V5058" s="28">
        <v>1782405000</v>
      </c>
      <c r="W5058" s="28"/>
      <c r="X5058" s="28">
        <v>81127000</v>
      </c>
      <c r="Y5058" s="28">
        <v>4387778000</v>
      </c>
      <c r="Z5058" s="28">
        <v>1303977000</v>
      </c>
      <c r="AA5058" s="28">
        <v>1179301000</v>
      </c>
      <c r="AB5058" s="28">
        <v>263630000</v>
      </c>
      <c r="AC5058" s="28">
        <v>1200774000</v>
      </c>
      <c r="AD5058" s="28">
        <v>1547222000</v>
      </c>
      <c r="AE5058" s="28">
        <v>7960501000</v>
      </c>
      <c r="AF5058" s="28">
        <v>664134000</v>
      </c>
      <c r="AG5058" s="11"/>
    </row>
    <row r="5059">
      <c r="A5059" s="7" t="s">
        <v>6679</v>
      </c>
      <c r="B5059" s="5" t="s">
        <v>14642</v>
      </c>
      <c r="C5059" s="5" t="s">
        <v>22364</v>
      </c>
      <c r="D5059" s="5"/>
      <c r="E5059" s="0" t="e">
        <f>+7 (383) 3475300
+7 (383) 3475500
+7 (38343) 93001
+7 (38343) 93002
+7 (38343) 93004
+7 (38343) 93006
+7 (38343) 93010
+7 (913) 7818894
+7 (964) 7114929</f>
        <v>#NAME?</v>
      </c>
      <c r="F5059" s="5"/>
      <c r="G5059" s="5"/>
      <c r="H5059" s="26">
        <v>7.5</v>
      </c>
      <c r="I5059" s="5" t="s">
        <v>40340</v>
      </c>
      <c r="J5059" s="5" t="s">
        <v>40341</v>
      </c>
      <c r="K5059" s="5" t="s">
        <v>344</v>
      </c>
      <c r="L5059" s="5" t="s">
        <v>40342</v>
      </c>
      <c r="M5059" s="27">
        <v>3455919</v>
      </c>
      <c r="N5059" s="5"/>
      <c r="O5059" s="5" t="str">
        <v>5443005705</v>
      </c>
      <c r="P5059" s="27">
        <v>15000000</v>
      </c>
      <c r="Q5059" s="5" t="s">
        <v>49009</v>
      </c>
      <c r="R5059" s="5"/>
      <c r="S5059" s="5" t="s">
        <v>49045</v>
      </c>
      <c r="T5059" s="28">
        <v>8289626000</v>
      </c>
      <c r="U5059" s="28">
        <v>336290000</v>
      </c>
      <c r="V5059" s="28">
        <v>10873353000</v>
      </c>
      <c r="W5059" s="28">
        <v>1670536000</v>
      </c>
      <c r="X5059" s="28">
        <v>166307000</v>
      </c>
      <c r="Y5059" s="28">
        <v>29715400000</v>
      </c>
      <c r="Z5059" s="28">
        <v>4188012000</v>
      </c>
      <c r="AA5059" s="28">
        <v>9530411000</v>
      </c>
      <c r="AB5059" s="28"/>
      <c r="AC5059" s="28">
        <v>12587606000</v>
      </c>
      <c r="AD5059" s="28">
        <v>4203012000</v>
      </c>
      <c r="AE5059" s="28">
        <v>60050990000</v>
      </c>
      <c r="AF5059" s="28">
        <v>16950684000</v>
      </c>
      <c r="AG5059" s="11"/>
    </row>
    <row r="5060">
      <c r="A5060" s="7" t="s">
        <v>6680</v>
      </c>
      <c r="B5060" s="5" t="s">
        <v>14643</v>
      </c>
      <c r="C5060" s="5" t="s">
        <v>21492</v>
      </c>
      <c r="D5060" s="5" t="str">
        <v>420543790490</v>
      </c>
      <c r="E5060" s="0" t="e">
        <f>+7 (983) 4509068</f>
        <v>#NAME?</v>
      </c>
      <c r="F5060" s="5"/>
      <c r="G5060" s="5"/>
      <c r="H5060" s="26">
        <v>9</v>
      </c>
      <c r="I5060" s="5" t="s">
        <v>40343</v>
      </c>
      <c r="J5060" s="5" t="s">
        <v>38779</v>
      </c>
      <c r="K5060" s="5" t="s">
        <v>344</v>
      </c>
      <c r="L5060" s="5" t="s">
        <v>40344</v>
      </c>
      <c r="M5060" s="27"/>
      <c r="N5060" s="5"/>
      <c r="O5060" s="5" t="str">
        <v>3811174483</v>
      </c>
      <c r="P5060" s="27">
        <v>10000</v>
      </c>
      <c r="Q5060" s="5" t="s">
        <v>55514</v>
      </c>
      <c r="R5060" s="5"/>
      <c r="S5060" s="5" t="s">
        <v>57064</v>
      </c>
      <c r="T5060" s="28">
        <v>641113000</v>
      </c>
      <c r="U5060" s="28"/>
      <c r="V5060" s="28">
        <v>438565000</v>
      </c>
      <c r="W5060" s="28"/>
      <c r="X5060" s="28">
        <v>447332000</v>
      </c>
      <c r="Y5060" s="28">
        <v>2189149000</v>
      </c>
      <c r="Z5060" s="28">
        <v>1964942000</v>
      </c>
      <c r="AA5060" s="28"/>
      <c r="AB5060" s="28"/>
      <c r="AC5060" s="28">
        <v>158861000</v>
      </c>
      <c r="AD5060" s="28">
        <v>1974959000</v>
      </c>
      <c r="AE5060" s="28">
        <v>5806676000</v>
      </c>
      <c r="AF5060" s="28">
        <v>1200779000</v>
      </c>
      <c r="AG5060" s="11"/>
    </row>
    <row r="5061">
      <c r="A5061" s="7" t="s">
        <v>6681</v>
      </c>
      <c r="B5061" s="5" t="s">
        <v>14644</v>
      </c>
      <c r="C5061" s="5" t="s">
        <v>22365</v>
      </c>
      <c r="D5061" s="5"/>
      <c r="E5061" s="0" t="e">
        <f>+7 (384) 7423853</f>
        <v>#NAME?</v>
      </c>
      <c r="F5061" s="5" t="s">
        <v>40345</v>
      </c>
      <c r="G5061" s="5"/>
      <c r="H5061" s="26">
        <v>11</v>
      </c>
      <c r="I5061" s="5" t="s">
        <v>40346</v>
      </c>
      <c r="J5061" s="5" t="s">
        <v>28484</v>
      </c>
      <c r="K5061" s="5" t="s">
        <v>344</v>
      </c>
      <c r="L5061" s="5" t="s">
        <v>40347</v>
      </c>
      <c r="M5061" s="27">
        <v>418681</v>
      </c>
      <c r="N5061" s="5" t="s">
        <v>57065</v>
      </c>
      <c r="O5061" s="5" t="str">
        <v>4214033674</v>
      </c>
      <c r="P5061" s="27">
        <v>8500000</v>
      </c>
      <c r="Q5061" s="5" t="s">
        <v>57066</v>
      </c>
      <c r="R5061" s="5"/>
      <c r="S5061" s="5" t="s">
        <v>50205</v>
      </c>
      <c r="T5061" s="28">
        <v>4616078000</v>
      </c>
      <c r="U5061" s="28"/>
      <c r="V5061" s="28">
        <v>35769113000</v>
      </c>
      <c r="W5061" s="28">
        <v>2091000000</v>
      </c>
      <c r="X5061" s="28">
        <v>435352000</v>
      </c>
      <c r="Y5061" s="28">
        <v>50201655000</v>
      </c>
      <c r="Z5061" s="28">
        <v>39161820000</v>
      </c>
      <c r="AA5061" s="28"/>
      <c r="AB5061" s="28"/>
      <c r="AC5061" s="28">
        <v>7323253000</v>
      </c>
      <c r="AD5061" s="28">
        <v>39170320000</v>
      </c>
      <c r="AE5061" s="28">
        <v>61305490000</v>
      </c>
      <c r="AF5061" s="28">
        <v>18359528000</v>
      </c>
      <c r="AG5061" s="11"/>
    </row>
    <row r="5062">
      <c r="A5062" s="7" t="s">
        <v>6682</v>
      </c>
      <c r="B5062" s="5" t="s">
        <v>14645</v>
      </c>
      <c r="C5062" s="5" t="s">
        <v>22366</v>
      </c>
      <c r="D5062" s="5" t="str">
        <v>190301022103</v>
      </c>
      <c r="E5062" s="0" t="e">
        <f>+7 (390) 2300500
+7 (395) 2791096
+7 (961) 7455002</f>
        <v>#NAME?</v>
      </c>
      <c r="F5062" s="5" t="s">
        <v>40348</v>
      </c>
      <c r="G5062" s="5" t="s">
        <v>40349</v>
      </c>
      <c r="H5062" s="26">
        <v>9.5</v>
      </c>
      <c r="I5062" s="5" t="s">
        <v>40350</v>
      </c>
      <c r="J5062" s="5" t="s">
        <v>28484</v>
      </c>
      <c r="K5062" s="5" t="s">
        <v>344</v>
      </c>
      <c r="L5062" s="5" t="s">
        <v>40351</v>
      </c>
      <c r="M5062" s="27"/>
      <c r="N5062" s="5"/>
      <c r="O5062" s="5" t="str">
        <v>1901116323</v>
      </c>
      <c r="P5062" s="27">
        <v>581758299</v>
      </c>
      <c r="Q5062" s="5" t="s">
        <v>49009</v>
      </c>
      <c r="R5062" s="5"/>
      <c r="S5062" s="5" t="s">
        <v>49010</v>
      </c>
      <c r="T5062" s="28">
        <v>4515324000</v>
      </c>
      <c r="U5062" s="28"/>
      <c r="V5062" s="28">
        <v>2695828000</v>
      </c>
      <c r="W5062" s="28"/>
      <c r="X5062" s="28">
        <v>1461000</v>
      </c>
      <c r="Y5062" s="28">
        <v>8446814000</v>
      </c>
      <c r="Z5062" s="28">
        <v>4821105000</v>
      </c>
      <c r="AA5062" s="28"/>
      <c r="AB5062" s="28"/>
      <c r="AC5062" s="28">
        <v>1665921000</v>
      </c>
      <c r="AD5062" s="28">
        <v>6566873000</v>
      </c>
      <c r="AE5062" s="28">
        <v>4988242000</v>
      </c>
      <c r="AF5062" s="28">
        <v>2457067000</v>
      </c>
      <c r="AG5062" s="11"/>
    </row>
    <row r="5063">
      <c r="A5063" s="7" t="s">
        <v>6683</v>
      </c>
      <c r="B5063" s="5" t="s">
        <v>14646</v>
      </c>
      <c r="C5063" s="5" t="s">
        <v>22367</v>
      </c>
      <c r="D5063" s="5" t="str">
        <v>421707525110</v>
      </c>
      <c r="E5063" s="0" t="e">
        <f>+7 (384) 5243663
+7 (38452) 97547</f>
        <v>#NAME?</v>
      </c>
      <c r="F5063" s="5" t="s">
        <v>40352</v>
      </c>
      <c r="G5063" s="5" t="s">
        <v>40333</v>
      </c>
      <c r="H5063" s="26">
        <v>24</v>
      </c>
      <c r="I5063" s="5" t="s">
        <v>40353</v>
      </c>
      <c r="J5063" s="5" t="s">
        <v>28484</v>
      </c>
      <c r="K5063" s="5" t="s">
        <v>355</v>
      </c>
      <c r="L5063" s="5"/>
      <c r="M5063" s="27">
        <v>3907236</v>
      </c>
      <c r="N5063" s="5" t="s">
        <v>51968</v>
      </c>
      <c r="O5063" s="5" t="str">
        <v>4231003020</v>
      </c>
      <c r="P5063" s="27">
        <v>34701500</v>
      </c>
      <c r="Q5063" s="5" t="s">
        <v>49059</v>
      </c>
      <c r="R5063" s="5"/>
      <c r="S5063" s="5" t="s">
        <v>49045</v>
      </c>
      <c r="T5063" s="28">
        <v>6091273000</v>
      </c>
      <c r="U5063" s="28"/>
      <c r="V5063" s="28">
        <v>585269000</v>
      </c>
      <c r="W5063" s="28"/>
      <c r="X5063" s="28">
        <v>7744000</v>
      </c>
      <c r="Y5063" s="28">
        <v>9579830000</v>
      </c>
      <c r="Z5063" s="28">
        <v>2548578000</v>
      </c>
      <c r="AA5063" s="28"/>
      <c r="AB5063" s="28">
        <v>462000</v>
      </c>
      <c r="AC5063" s="28">
        <v>4691424000</v>
      </c>
      <c r="AD5063" s="28">
        <v>2583280000</v>
      </c>
      <c r="AE5063" s="28">
        <v>13448399000</v>
      </c>
      <c r="AF5063" s="28">
        <v>1248972000</v>
      </c>
      <c r="AG5063" s="11"/>
    </row>
    <row r="5064">
      <c r="A5064" s="7" t="s">
        <v>6684</v>
      </c>
      <c r="B5064" s="5" t="s">
        <v>14647</v>
      </c>
      <c r="C5064" s="5" t="s">
        <v>22364</v>
      </c>
      <c r="D5064" s="5"/>
      <c r="E5064" s="0" t="e">
        <f>+7 (383) 4336813
+7 (383) 2277780
+7 (38343) 38929
+7 (38343) 38999
+7 (495) 9563533
+7 (916) 9177941</f>
        <v>#NAME?</v>
      </c>
      <c r="F5064" s="5" t="s">
        <v>40354</v>
      </c>
      <c r="G5064" s="5"/>
      <c r="H5064" s="26">
        <v>22.5</v>
      </c>
      <c r="I5064" s="5"/>
      <c r="J5064" s="5" t="s">
        <v>40341</v>
      </c>
      <c r="K5064" s="5" t="s">
        <v>344</v>
      </c>
      <c r="L5064" s="5" t="s">
        <v>40355</v>
      </c>
      <c r="M5064" s="27">
        <v>10112529</v>
      </c>
      <c r="N5064" s="5"/>
      <c r="O5064" s="5" t="str">
        <v>5406192366</v>
      </c>
      <c r="P5064" s="27">
        <v>219141290</v>
      </c>
      <c r="Q5064" s="5" t="s">
        <v>49009</v>
      </c>
      <c r="R5064" s="5"/>
      <c r="S5064" s="5" t="s">
        <v>53094</v>
      </c>
      <c r="T5064" s="28">
        <v>10964561000</v>
      </c>
      <c r="U5064" s="28">
        <v>20312563000</v>
      </c>
      <c r="V5064" s="28">
        <v>79803160000</v>
      </c>
      <c r="W5064" s="28">
        <v>1833122000</v>
      </c>
      <c r="X5064" s="28">
        <v>2627719000</v>
      </c>
      <c r="Y5064" s="28">
        <v>135857282000</v>
      </c>
      <c r="Z5064" s="28">
        <v>31062676000</v>
      </c>
      <c r="AA5064" s="28">
        <v>76250904000</v>
      </c>
      <c r="AB5064" s="28">
        <v>3760362000</v>
      </c>
      <c r="AC5064" s="28">
        <v>26384071000</v>
      </c>
      <c r="AD5064" s="28">
        <v>31292566000</v>
      </c>
      <c r="AE5064" s="28">
        <v>147662439000</v>
      </c>
      <c r="AF5064" s="28">
        <v>14178627000</v>
      </c>
      <c r="AG5064" s="11"/>
    </row>
    <row r="5065">
      <c r="A5065" s="7" t="s">
        <v>6685</v>
      </c>
      <c r="B5065" s="5" t="s">
        <v>14648</v>
      </c>
      <c r="C5065" s="5" t="s">
        <v>21853</v>
      </c>
      <c r="D5065" s="5"/>
      <c r="E5065" s="0" t="e">
        <f>+7 (38475) 46002
+7 (3843) 997152
+7 (38475) 46000
+7 (38475) 46485</f>
        <v>#NAME?</v>
      </c>
      <c r="F5065" s="5" t="s">
        <v>40356</v>
      </c>
      <c r="G5065" s="5"/>
      <c r="H5065" s="26">
        <v>21.5</v>
      </c>
      <c r="I5065" s="5"/>
      <c r="J5065" s="5" t="s">
        <v>38779</v>
      </c>
      <c r="K5065" s="5" t="s">
        <v>344</v>
      </c>
      <c r="L5065" s="5" t="s">
        <v>40357</v>
      </c>
      <c r="M5065" s="27"/>
      <c r="N5065" s="5" t="s">
        <v>57068</v>
      </c>
      <c r="O5065" s="5" t="str">
        <v>4214017337</v>
      </c>
      <c r="P5065" s="27">
        <v>100000</v>
      </c>
      <c r="Q5065" s="5" t="s">
        <v>49059</v>
      </c>
      <c r="R5065" s="5" t="s">
        <v>57069</v>
      </c>
      <c r="S5065" s="5" t="s">
        <v>49029</v>
      </c>
      <c r="T5065" s="28">
        <v>6842080000</v>
      </c>
      <c r="U5065" s="28"/>
      <c r="V5065" s="28">
        <v>14401910000</v>
      </c>
      <c r="W5065" s="28">
        <v>1132000</v>
      </c>
      <c r="X5065" s="28">
        <v>4817000</v>
      </c>
      <c r="Y5065" s="28">
        <v>25811865000</v>
      </c>
      <c r="Z5065" s="28">
        <v>17919554000</v>
      </c>
      <c r="AA5065" s="28"/>
      <c r="AB5065" s="28">
        <v>547529000</v>
      </c>
      <c r="AC5065" s="28">
        <v>4033902000</v>
      </c>
      <c r="AD5065" s="28">
        <v>17919679000</v>
      </c>
      <c r="AE5065" s="28">
        <v>24685645000</v>
      </c>
      <c r="AF5065" s="28">
        <v>10369511000</v>
      </c>
      <c r="AG5065" s="11"/>
    </row>
    <row r="5066">
      <c r="A5066" s="7" t="s">
        <v>6686</v>
      </c>
      <c r="B5066" s="5" t="s">
        <v>14649</v>
      </c>
      <c r="C5066" s="5" t="s">
        <v>22368</v>
      </c>
      <c r="D5066" s="5" t="str">
        <v>421899308950</v>
      </c>
      <c r="E5066" s="0" t="e">
        <f>+7 (3517) 786478</f>
        <v>#NAME?</v>
      </c>
      <c r="F5066" s="5" t="s">
        <v>40358</v>
      </c>
      <c r="G5066" s="5"/>
      <c r="H5066" s="26">
        <v>5.5</v>
      </c>
      <c r="I5066" s="5"/>
      <c r="J5066" s="5" t="s">
        <v>28484</v>
      </c>
      <c r="K5066" s="5" t="s">
        <v>344</v>
      </c>
      <c r="L5066" s="5" t="s">
        <v>40359</v>
      </c>
      <c r="M5066" s="27"/>
      <c r="N5066" s="5"/>
      <c r="O5066" s="5" t="str">
        <v>4223120108</v>
      </c>
      <c r="P5066" s="27">
        <v>1556562734</v>
      </c>
      <c r="Q5066" s="5" t="s">
        <v>57070</v>
      </c>
      <c r="R5066" s="5"/>
      <c r="S5066" s="5" t="s">
        <v>57071</v>
      </c>
      <c r="T5066" s="28">
        <v>3238112000</v>
      </c>
      <c r="U5066" s="28"/>
      <c r="V5066" s="28">
        <v>1288144000</v>
      </c>
      <c r="W5066" s="28"/>
      <c r="X5066" s="28">
        <v>1036000</v>
      </c>
      <c r="Y5066" s="28">
        <v>4904988000</v>
      </c>
      <c r="Z5066" s="28">
        <v>2243218000</v>
      </c>
      <c r="AA5066" s="28">
        <v>170000000</v>
      </c>
      <c r="AB5066" s="28"/>
      <c r="AC5066" s="28">
        <v>699243000</v>
      </c>
      <c r="AD5066" s="28">
        <v>3799781000</v>
      </c>
      <c r="AE5066" s="28">
        <v>3267843000</v>
      </c>
      <c r="AF5066" s="28">
        <v>810900000</v>
      </c>
      <c r="AG5066" s="11"/>
    </row>
    <row r="5067">
      <c r="A5067" s="7" t="s">
        <v>6687</v>
      </c>
      <c r="B5067" s="5" t="s">
        <v>14650</v>
      </c>
      <c r="C5067" s="5" t="s">
        <v>22369</v>
      </c>
      <c r="D5067" s="5" t="str">
        <v>031400029982</v>
      </c>
      <c r="E5067" s="0" t="e">
        <f>+7 (914) 9881907
+7 (3012) 213314
+7 (30143) 21988
+7 (30143) 22932
+7 (30143) 23013
+7 (30143) 23030
+7 (30143) 23092
+7 (30143) 23097
+7 (924) 7564793</f>
        <v>#NAME?</v>
      </c>
      <c r="F5067" s="5" t="s">
        <v>40360</v>
      </c>
      <c r="G5067" s="5" t="s">
        <v>40361</v>
      </c>
      <c r="H5067" s="26">
        <v>24.5</v>
      </c>
      <c r="I5067" s="5" t="s">
        <v>40362</v>
      </c>
      <c r="J5067" s="5" t="s">
        <v>28484</v>
      </c>
      <c r="K5067" s="5" t="s">
        <v>344</v>
      </c>
      <c r="L5067" s="5" t="s">
        <v>40363</v>
      </c>
      <c r="M5067" s="27">
        <v>2085965</v>
      </c>
      <c r="N5067" s="5" t="s">
        <v>57072</v>
      </c>
      <c r="O5067" s="5" t="str">
        <v>0314002305</v>
      </c>
      <c r="P5067" s="27">
        <v>334363</v>
      </c>
      <c r="Q5067" s="5" t="s">
        <v>57073</v>
      </c>
      <c r="R5067" s="5" t="s">
        <v>57074</v>
      </c>
      <c r="S5067" s="5" t="s">
        <v>57075</v>
      </c>
      <c r="T5067" s="28">
        <v>21892518000</v>
      </c>
      <c r="U5067" s="28"/>
      <c r="V5067" s="28">
        <v>42733917000</v>
      </c>
      <c r="W5067" s="28">
        <v>3463222000</v>
      </c>
      <c r="X5067" s="28">
        <v>1566472000</v>
      </c>
      <c r="Y5067" s="28">
        <v>73221586000</v>
      </c>
      <c r="Z5067" s="28">
        <v>41741356000</v>
      </c>
      <c r="AA5067" s="28">
        <v>15512220000</v>
      </c>
      <c r="AB5067" s="28">
        <v>2024283000</v>
      </c>
      <c r="AC5067" s="28">
        <v>8071866000</v>
      </c>
      <c r="AD5067" s="28">
        <v>43331426000</v>
      </c>
      <c r="AE5067" s="28">
        <v>102672095000</v>
      </c>
      <c r="AF5067" s="28">
        <v>36445737000</v>
      </c>
      <c r="AG5067" s="11"/>
    </row>
    <row r="5068">
      <c r="A5068" s="7" t="s">
        <v>6688</v>
      </c>
      <c r="B5068" s="5" t="s">
        <v>14651</v>
      </c>
      <c r="C5068" s="5" t="s">
        <v>20790</v>
      </c>
      <c r="D5068" s="5" t="str">
        <v>752900697283</v>
      </c>
      <c r="E5068" s="0" t="e">
        <f>+7 (302) 3345501
+7 (30233) 31972
+7 (3022) 345523
+7 (30233) 45523
+7 (30233) 45649
+7 (302) 2350244
+7 (3022) 359024
+7 (30233) 30233
+7 (30233) 34743
+7 (30233) 45536
+7 (914) 4947342</f>
        <v>#NAME?</v>
      </c>
      <c r="F5068" s="5" t="s">
        <v>40364</v>
      </c>
      <c r="G5068" s="5"/>
      <c r="H5068" s="26">
        <v>26.5</v>
      </c>
      <c r="I5068" s="5" t="s">
        <v>40365</v>
      </c>
      <c r="J5068" s="5" t="s">
        <v>26939</v>
      </c>
      <c r="K5068" s="5" t="s">
        <v>344</v>
      </c>
      <c r="L5068" s="5" t="s">
        <v>40366</v>
      </c>
      <c r="M5068" s="27">
        <v>70308</v>
      </c>
      <c r="N5068" s="5" t="s">
        <v>57076</v>
      </c>
      <c r="O5068" s="5" t="str">
        <v>7529001079</v>
      </c>
      <c r="P5068" s="27">
        <v>101043</v>
      </c>
      <c r="Q5068" s="5" t="s">
        <v>57077</v>
      </c>
      <c r="R5068" s="5" t="s">
        <v>57074</v>
      </c>
      <c r="S5068" s="5" t="s">
        <v>55591</v>
      </c>
      <c r="T5068" s="28">
        <v>4295505000</v>
      </c>
      <c r="U5068" s="28">
        <v>66000000</v>
      </c>
      <c r="V5068" s="28">
        <v>2998996000</v>
      </c>
      <c r="W5068" s="28"/>
      <c r="X5068" s="28">
        <v>6569000</v>
      </c>
      <c r="Y5068" s="28">
        <v>8310913000</v>
      </c>
      <c r="Z5068" s="28">
        <v>2276086000</v>
      </c>
      <c r="AA5068" s="28"/>
      <c r="AB5068" s="28">
        <v>2361046000</v>
      </c>
      <c r="AC5068" s="28">
        <v>3886869000</v>
      </c>
      <c r="AD5068" s="28">
        <v>2815058000</v>
      </c>
      <c r="AE5068" s="28">
        <v>10282398000</v>
      </c>
      <c r="AF5068" s="28">
        <v>864781000</v>
      </c>
      <c r="AG5068" s="11"/>
    </row>
    <row r="5069">
      <c r="A5069" s="7" t="s">
        <v>6689</v>
      </c>
      <c r="B5069" s="5" t="s">
        <v>14652</v>
      </c>
      <c r="C5069" s="5" t="s">
        <v>22370</v>
      </c>
      <c r="D5069" s="5"/>
      <c r="E5069" s="0" t="e">
        <f>+7 (902) 1746413</f>
        <v>#NAME?</v>
      </c>
      <c r="F5069" s="5" t="s">
        <v>40367</v>
      </c>
      <c r="G5069" s="5"/>
      <c r="H5069" s="26">
        <v>3.5</v>
      </c>
      <c r="I5069" s="5" t="s">
        <v>40368</v>
      </c>
      <c r="J5069" s="5" t="s">
        <v>28484</v>
      </c>
      <c r="K5069" s="5" t="s">
        <v>380</v>
      </c>
      <c r="L5069" s="5"/>
      <c r="M5069" s="27"/>
      <c r="N5069" s="5"/>
      <c r="O5069" s="5" t="str">
        <v>3808269329</v>
      </c>
      <c r="P5069" s="27">
        <v>1671483682</v>
      </c>
      <c r="Q5069" s="5" t="s">
        <v>57079</v>
      </c>
      <c r="R5069" s="5"/>
      <c r="S5069" s="5" t="s">
        <v>57080</v>
      </c>
      <c r="T5069" s="28">
        <v>841338000</v>
      </c>
      <c r="U5069" s="28">
        <v>355391000</v>
      </c>
      <c r="V5069" s="28">
        <v>623439000</v>
      </c>
      <c r="W5069" s="28"/>
      <c r="X5069" s="28">
        <v>837000</v>
      </c>
      <c r="Y5069" s="28">
        <v>2733401000</v>
      </c>
      <c r="Z5069" s="28">
        <v>-589781000</v>
      </c>
      <c r="AA5069" s="28"/>
      <c r="AB5069" s="28">
        <v>318000000</v>
      </c>
      <c r="AC5069" s="28">
        <v>1132513000</v>
      </c>
      <c r="AD5069" s="28">
        <v>1276168000</v>
      </c>
      <c r="AE5069" s="28">
        <v>4608270000</v>
      </c>
      <c r="AF5069" s="28">
        <v>-442037000</v>
      </c>
      <c r="AG5069" s="11"/>
    </row>
    <row r="5070">
      <c r="A5070" s="7" t="s">
        <v>6690</v>
      </c>
      <c r="B5070" s="5" t="s">
        <v>14653</v>
      </c>
      <c r="C5070" s="5" t="s">
        <v>22371</v>
      </c>
      <c r="D5070" s="5" t="str">
        <v>665804359964</v>
      </c>
      <c r="E5070" s="0" t="e">
        <f>+7 (912) 2876916</f>
        <v>#NAME?</v>
      </c>
      <c r="F5070" s="5" t="s">
        <v>40369</v>
      </c>
      <c r="G5070" s="5"/>
      <c r="H5070" s="26">
        <v>8</v>
      </c>
      <c r="I5070" s="5" t="s">
        <v>40370</v>
      </c>
      <c r="J5070" s="5" t="s">
        <v>31114</v>
      </c>
      <c r="K5070" s="5" t="s">
        <v>344</v>
      </c>
      <c r="L5070" s="5" t="s">
        <v>40371</v>
      </c>
      <c r="M5070" s="27"/>
      <c r="N5070" s="5"/>
      <c r="O5070" s="5" t="str">
        <v>6679069719</v>
      </c>
      <c r="P5070" s="27">
        <v>100000</v>
      </c>
      <c r="Q5070" s="5"/>
      <c r="R5070" s="5"/>
      <c r="S5070" s="5" t="s">
        <v>49029</v>
      </c>
      <c r="T5070" s="28">
        <v>271629000</v>
      </c>
      <c r="U5070" s="28"/>
      <c r="V5070" s="28">
        <v>1354754000</v>
      </c>
      <c r="W5070" s="28">
        <v>2745000</v>
      </c>
      <c r="X5070" s="28">
        <v>172181000</v>
      </c>
      <c r="Y5070" s="28">
        <v>2156069000</v>
      </c>
      <c r="Z5070" s="28">
        <v>878240000</v>
      </c>
      <c r="AA5070" s="28">
        <v>73600000</v>
      </c>
      <c r="AB5070" s="28">
        <v>4989000</v>
      </c>
      <c r="AC5070" s="28">
        <v>1050595000</v>
      </c>
      <c r="AD5070" s="28">
        <v>878340000</v>
      </c>
      <c r="AE5070" s="28">
        <v>3071600000</v>
      </c>
      <c r="AF5070" s="28">
        <v>307093000</v>
      </c>
      <c r="AG5070" s="11"/>
    </row>
    <row r="5071">
      <c r="A5071" s="7" t="s">
        <v>6691</v>
      </c>
      <c r="B5071" s="5" t="s">
        <v>14654</v>
      </c>
      <c r="C5071" s="5" t="s">
        <v>22372</v>
      </c>
      <c r="D5071" s="5" t="str">
        <v>231106692260</v>
      </c>
      <c r="E5071" s="0" t="e">
        <f>+7 (401) 2631151
+7 (401) 2631201
+7 (909) 4444003
+7 (86544) 67255
+7 (86544) 67256
+7 (918) 1590951</f>
        <v>#NAME?</v>
      </c>
      <c r="F5071" s="5" t="s">
        <v>40372</v>
      </c>
      <c r="G5071" s="5" t="s">
        <v>40373</v>
      </c>
      <c r="H5071" s="26">
        <v>20</v>
      </c>
      <c r="I5071" s="5" t="s">
        <v>40374</v>
      </c>
      <c r="J5071" s="5" t="s">
        <v>27266</v>
      </c>
      <c r="K5071" s="5" t="s">
        <v>344</v>
      </c>
      <c r="L5071" s="5"/>
      <c r="M5071" s="27"/>
      <c r="N5071" s="5" t="s">
        <v>56347</v>
      </c>
      <c r="O5071" s="5" t="str">
        <v>7730161765</v>
      </c>
      <c r="P5071" s="27">
        <v>114364000</v>
      </c>
      <c r="Q5071" s="5" t="s">
        <v>49009</v>
      </c>
      <c r="R5071" s="5"/>
      <c r="S5071" s="5" t="s">
        <v>49028</v>
      </c>
      <c r="T5071" s="28">
        <v>59635000</v>
      </c>
      <c r="U5071" s="28"/>
      <c r="V5071" s="28">
        <v>696476000</v>
      </c>
      <c r="W5071" s="28"/>
      <c r="X5071" s="28">
        <v>76522000</v>
      </c>
      <c r="Y5071" s="28">
        <v>1214515000</v>
      </c>
      <c r="Z5071" s="28">
        <v>-282272000</v>
      </c>
      <c r="AA5071" s="28">
        <v>474312000</v>
      </c>
      <c r="AB5071" s="28">
        <v>259596000</v>
      </c>
      <c r="AC5071" s="28">
        <v>702786000</v>
      </c>
      <c r="AD5071" s="28">
        <v>27017000</v>
      </c>
      <c r="AE5071" s="28">
        <v>3445322000</v>
      </c>
      <c r="AF5071" s="28">
        <v>156260000</v>
      </c>
      <c r="AG5071" s="11"/>
    </row>
    <row r="5072">
      <c r="A5072" s="7" t="s">
        <v>6692</v>
      </c>
      <c r="B5072" s="5" t="s">
        <v>14655</v>
      </c>
      <c r="C5072" s="5" t="s">
        <v>22373</v>
      </c>
      <c r="D5072" s="5" t="str">
        <v>771510575428</v>
      </c>
      <c r="E5072" s="0" t="e">
        <f>+7 (916) 5328902
+7 (383) 3280745
+7 (495) 7219980
+7 (495) 7880102
+7 (812) 3185217
+7 (812) 7186840
+7 (812) 7486840
+7 (861) 2109922</f>
        <v>#NAME?</v>
      </c>
      <c r="F5072" s="5" t="s">
        <v>40375</v>
      </c>
      <c r="G5072" s="5" t="s">
        <v>40376</v>
      </c>
      <c r="H5072" s="26">
        <v>23</v>
      </c>
      <c r="I5072" s="5" t="s">
        <v>40377</v>
      </c>
      <c r="J5072" s="5" t="s">
        <v>25670</v>
      </c>
      <c r="K5072" s="5" t="s">
        <v>355</v>
      </c>
      <c r="L5072" s="5" t="s">
        <v>40378</v>
      </c>
      <c r="M5072" s="27">
        <v>10600262</v>
      </c>
      <c r="N5072" s="5" t="s">
        <v>57081</v>
      </c>
      <c r="O5072" s="5" t="str">
        <v>7702278747</v>
      </c>
      <c r="P5072" s="27">
        <v>1071000000</v>
      </c>
      <c r="Q5072" s="5" t="s">
        <v>57082</v>
      </c>
      <c r="R5072" s="5"/>
      <c r="S5072" s="5" t="s">
        <v>49361</v>
      </c>
      <c r="T5072" s="28">
        <v>7372000</v>
      </c>
      <c r="U5072" s="28">
        <v>2000000</v>
      </c>
      <c r="V5072" s="28">
        <v>11810081000</v>
      </c>
      <c r="W5072" s="28"/>
      <c r="X5072" s="28">
        <v>4528581000</v>
      </c>
      <c r="Y5072" s="28">
        <v>34724889000</v>
      </c>
      <c r="Z5072" s="28">
        <v>7280145000</v>
      </c>
      <c r="AA5072" s="28">
        <v>15809462000</v>
      </c>
      <c r="AB5072" s="28">
        <v>9177160000</v>
      </c>
      <c r="AC5072" s="28">
        <v>9876895000</v>
      </c>
      <c r="AD5072" s="28">
        <v>8351145000</v>
      </c>
      <c r="AE5072" s="28">
        <v>3809130000</v>
      </c>
      <c r="AF5072" s="28">
        <v>386234000</v>
      </c>
      <c r="AG5072" s="11"/>
    </row>
    <row r="5073">
      <c r="A5073" s="7" t="s">
        <v>6693</v>
      </c>
      <c r="B5073" s="5" t="s">
        <v>14656</v>
      </c>
      <c r="C5073" s="5" t="s">
        <v>22374</v>
      </c>
      <c r="D5073" s="5"/>
      <c r="E5073" s="0" t="e">
        <f>+7 (495) 7774848
+7 (800) 2001011
+7 (800) 2010411
+7 (800) 7754846
+7 (919) 9604530</f>
        <v>#NAME?</v>
      </c>
      <c r="F5073" s="5" t="s">
        <v>40379</v>
      </c>
      <c r="G5073" s="5" t="s">
        <v>40380</v>
      </c>
      <c r="H5073" s="26">
        <v>9.5</v>
      </c>
      <c r="I5073" s="5" t="s">
        <v>40381</v>
      </c>
      <c r="J5073" s="5" t="s">
        <v>37062</v>
      </c>
      <c r="K5073" s="5" t="s">
        <v>380</v>
      </c>
      <c r="L5073" s="5"/>
      <c r="M5073" s="27">
        <v>405249</v>
      </c>
      <c r="N5073" s="5" t="s">
        <v>57083</v>
      </c>
      <c r="O5073" s="5" t="str">
        <v>7718953690</v>
      </c>
      <c r="P5073" s="27">
        <v>60000</v>
      </c>
      <c r="Q5073" s="5" t="s">
        <v>49009</v>
      </c>
      <c r="R5073" s="5"/>
      <c r="S5073" s="5" t="s">
        <v>49045</v>
      </c>
      <c r="T5073" s="28">
        <v>1735159000</v>
      </c>
      <c r="U5073" s="28">
        <v>10000</v>
      </c>
      <c r="V5073" s="28">
        <v>1068604000</v>
      </c>
      <c r="W5073" s="28">
        <v>21500000</v>
      </c>
      <c r="X5073" s="28">
        <v>228879000</v>
      </c>
      <c r="Y5073" s="28">
        <v>3669067000</v>
      </c>
      <c r="Z5073" s="28">
        <v>171734000</v>
      </c>
      <c r="AA5073" s="28">
        <v>13250000</v>
      </c>
      <c r="AB5073" s="28">
        <v>381493000</v>
      </c>
      <c r="AC5073" s="28">
        <v>2393808000</v>
      </c>
      <c r="AD5073" s="28">
        <v>171794000</v>
      </c>
      <c r="AE5073" s="28">
        <v>3041396000</v>
      </c>
      <c r="AF5073" s="28">
        <v>77249000</v>
      </c>
      <c r="AG5073" s="11"/>
    </row>
    <row r="5074">
      <c r="A5074" s="7" t="s">
        <v>6694</v>
      </c>
      <c r="B5074" s="5" t="s">
        <v>14657</v>
      </c>
      <c r="C5074" s="5" t="s">
        <v>22374</v>
      </c>
      <c r="D5074" s="5"/>
      <c r="E5074" s="0" t="e">
        <f>+7 (495) 7774812
+7 (495) 7774830
+7 (499) 6811934
+7 (495) 7774848
+7 (499) 7774838</f>
        <v>#NAME?</v>
      </c>
      <c r="F5074" s="5"/>
      <c r="G5074" s="5"/>
      <c r="H5074" s="26">
        <v>22.5</v>
      </c>
      <c r="I5074" s="5"/>
      <c r="J5074" s="5" t="s">
        <v>31645</v>
      </c>
      <c r="K5074" s="5" t="s">
        <v>380</v>
      </c>
      <c r="L5074" s="5"/>
      <c r="M5074" s="27"/>
      <c r="N5074" s="5" t="s">
        <v>54626</v>
      </c>
      <c r="O5074" s="5" t="str">
        <v>7718160370</v>
      </c>
      <c r="P5074" s="27">
        <v>629640000</v>
      </c>
      <c r="Q5074" s="5"/>
      <c r="R5074" s="5" t="s">
        <v>57084</v>
      </c>
      <c r="S5074" s="5" t="s">
        <v>49425</v>
      </c>
      <c r="T5074" s="28">
        <v>638089000</v>
      </c>
      <c r="U5074" s="28"/>
      <c r="V5074" s="28">
        <v>1431668000</v>
      </c>
      <c r="W5074" s="28"/>
      <c r="X5074" s="28">
        <v>177000</v>
      </c>
      <c r="Y5074" s="28">
        <v>3924744000</v>
      </c>
      <c r="Z5074" s="28">
        <v>-676169000</v>
      </c>
      <c r="AA5074" s="28"/>
      <c r="AB5074" s="28">
        <v>1423979000</v>
      </c>
      <c r="AC5074" s="28">
        <v>3877725000</v>
      </c>
      <c r="AD5074" s="28">
        <v>-46447000</v>
      </c>
      <c r="AE5074" s="28">
        <v>6073071000</v>
      </c>
      <c r="AF5074" s="28">
        <v>-1160934000</v>
      </c>
      <c r="AG5074" s="11"/>
    </row>
    <row r="5075">
      <c r="A5075" s="7" t="s">
        <v>6695</v>
      </c>
      <c r="B5075" s="5" t="s">
        <v>14658</v>
      </c>
      <c r="C5075" s="5" t="s">
        <v>22375</v>
      </c>
      <c r="D5075" s="5" t="str">
        <v>291000345560</v>
      </c>
      <c r="E5075" s="0" t="e">
        <f>+7 (495) 5981989
+7 (4964) 933654
+7 (49646) 39331
+7 (49646) 17476
+7 (49646) 30851
+7 (49646) 31471
+7 (49646) 32313
+7 (49646) 33354
+7 (49646) 34480
+7 (49646) 34597
+7 (49646) 79484</f>
        <v>#NAME?</v>
      </c>
      <c r="F5075" s="5" t="s">
        <v>40382</v>
      </c>
      <c r="G5075" s="5"/>
      <c r="H5075" s="26">
        <v>20</v>
      </c>
      <c r="I5075" s="5"/>
      <c r="J5075" s="5" t="s">
        <v>26435</v>
      </c>
      <c r="K5075" s="5" t="s">
        <v>355</v>
      </c>
      <c r="L5075" s="5"/>
      <c r="M5075" s="27">
        <v>1149202</v>
      </c>
      <c r="N5075" s="5" t="s">
        <v>57085</v>
      </c>
      <c r="O5075" s="5" t="str">
        <v>5040109331</v>
      </c>
      <c r="P5075" s="27">
        <v>880474400</v>
      </c>
      <c r="Q5075" s="5" t="s">
        <v>57087</v>
      </c>
      <c r="R5075" s="5" t="s">
        <v>57088</v>
      </c>
      <c r="S5075" s="5" t="s">
        <v>49288</v>
      </c>
      <c r="T5075" s="28">
        <v>782508000</v>
      </c>
      <c r="U5075" s="28">
        <v>740000</v>
      </c>
      <c r="V5075" s="28">
        <v>975089000</v>
      </c>
      <c r="W5075" s="28">
        <v>2722000</v>
      </c>
      <c r="X5075" s="28">
        <v>31576000</v>
      </c>
      <c r="Y5075" s="28">
        <v>1848193000</v>
      </c>
      <c r="Z5075" s="28">
        <v>53147000</v>
      </c>
      <c r="AA5075" s="28"/>
      <c r="AB5075" s="28">
        <v>135000000</v>
      </c>
      <c r="AC5075" s="28">
        <v>845365000</v>
      </c>
      <c r="AD5075" s="28">
        <v>971719000</v>
      </c>
      <c r="AE5075" s="28">
        <v>3079570000</v>
      </c>
      <c r="AF5075" s="28">
        <v>228000</v>
      </c>
      <c r="AG5075" s="11"/>
    </row>
    <row r="5076">
      <c r="A5076" s="7" t="s">
        <v>6696</v>
      </c>
      <c r="B5076" s="5" t="s">
        <v>14659</v>
      </c>
      <c r="C5076" s="5" t="s">
        <v>22376</v>
      </c>
      <c r="D5076" s="5" t="str">
        <v>683205831785</v>
      </c>
      <c r="E5076" s="0" t="e">
        <f>+7 (495) 2231814
+7 (495) 7751814
+7 (49646) 32550
+7 (49646) 33866
+7 (49646) 41148
+7 (49646) 41181
+7 (49646) 42788
+7 (499) 2816424</f>
        <v>#NAME?</v>
      </c>
      <c r="F5076" s="5" t="s">
        <v>40383</v>
      </c>
      <c r="G5076" s="5" t="s">
        <v>40384</v>
      </c>
      <c r="H5076" s="26">
        <v>29</v>
      </c>
      <c r="I5076" s="5"/>
      <c r="J5076" s="5" t="s">
        <v>26526</v>
      </c>
      <c r="K5076" s="5" t="s">
        <v>344</v>
      </c>
      <c r="L5076" s="5" t="s">
        <v>40385</v>
      </c>
      <c r="M5076" s="27"/>
      <c r="N5076" s="5" t="s">
        <v>57089</v>
      </c>
      <c r="O5076" s="5" t="str">
        <v>5040009908</v>
      </c>
      <c r="P5076" s="27">
        <v>77172</v>
      </c>
      <c r="Q5076" s="5" t="s">
        <v>49009</v>
      </c>
      <c r="R5076" s="5"/>
      <c r="S5076" s="5" t="s">
        <v>49504</v>
      </c>
      <c r="T5076" s="28">
        <v>631432000</v>
      </c>
      <c r="U5076" s="28">
        <v>12750000</v>
      </c>
      <c r="V5076" s="28">
        <v>275087000</v>
      </c>
      <c r="W5076" s="28"/>
      <c r="X5076" s="28">
        <v>22335000</v>
      </c>
      <c r="Y5076" s="28">
        <v>1458008000</v>
      </c>
      <c r="Z5076" s="28">
        <v>670198000</v>
      </c>
      <c r="AA5076" s="28"/>
      <c r="AB5076" s="28">
        <v>404656000</v>
      </c>
      <c r="AC5076" s="28">
        <v>618195000</v>
      </c>
      <c r="AD5076" s="28">
        <v>831258000</v>
      </c>
      <c r="AE5076" s="28">
        <v>3803865000</v>
      </c>
      <c r="AF5076" s="28">
        <v>131860000</v>
      </c>
      <c r="AG5076" s="11"/>
    </row>
    <row r="5077">
      <c r="A5077" s="7" t="s">
        <v>6697</v>
      </c>
      <c r="B5077" s="5" t="s">
        <v>14660</v>
      </c>
      <c r="C5077" s="5" t="s">
        <v>22377</v>
      </c>
      <c r="D5077" s="5" t="str">
        <v>502201841931</v>
      </c>
      <c r="E5077" s="0" t="e">
        <f>+7 (495) 2217034
+7 (495) 7416659
+7 (495) 9416129
+7 (49646) 41686</f>
        <v>#NAME?</v>
      </c>
      <c r="F5077" s="5" t="s">
        <v>40386</v>
      </c>
      <c r="G5077" s="5"/>
      <c r="H5077" s="26">
        <v>21.5</v>
      </c>
      <c r="I5077" s="5" t="s">
        <v>40387</v>
      </c>
      <c r="J5077" s="5" t="s">
        <v>26410</v>
      </c>
      <c r="K5077" s="5" t="s">
        <v>344</v>
      </c>
      <c r="L5077" s="5" t="s">
        <v>40388</v>
      </c>
      <c r="M5077" s="27"/>
      <c r="N5077" s="5"/>
      <c r="O5077" s="5" t="str">
        <v>5040052420</v>
      </c>
      <c r="P5077" s="27">
        <v>3000000</v>
      </c>
      <c r="Q5077" s="5" t="s">
        <v>49009</v>
      </c>
      <c r="R5077" s="5"/>
      <c r="S5077" s="5" t="s">
        <v>49066</v>
      </c>
      <c r="T5077" s="28">
        <v>86040000</v>
      </c>
      <c r="U5077" s="28">
        <v>900000</v>
      </c>
      <c r="V5077" s="28">
        <v>594885000</v>
      </c>
      <c r="W5077" s="28">
        <v>174293000</v>
      </c>
      <c r="X5077" s="28">
        <v>109464000</v>
      </c>
      <c r="Y5077" s="28">
        <v>1512575000</v>
      </c>
      <c r="Z5077" s="28">
        <v>580494000</v>
      </c>
      <c r="AA5077" s="28"/>
      <c r="AB5077" s="28"/>
      <c r="AC5077" s="28">
        <v>810029000</v>
      </c>
      <c r="AD5077" s="28">
        <v>691844000</v>
      </c>
      <c r="AE5077" s="28">
        <v>6108658000</v>
      </c>
      <c r="AF5077" s="28">
        <v>426082000</v>
      </c>
      <c r="AG5077" s="11"/>
    </row>
    <row r="5078">
      <c r="A5078" s="7" t="s">
        <v>6698</v>
      </c>
      <c r="B5078" s="5" t="s">
        <v>14661</v>
      </c>
      <c r="C5078" s="5" t="s">
        <v>22378</v>
      </c>
      <c r="D5078" s="5" t="str">
        <v>263214374387</v>
      </c>
      <c r="E5078" s="0" t="e">
        <f>+7 (495) 9955333
+7 (800) 2200200
+7 (800) 2200220
+7 (800) 2202220
+7 (800) 7753112
+7 (84342) 56975
+7 (8632) 540179
+7 (86545) 25740
+7 (86547) 44025
+7 (866) 2423708
+7 (866) 2720356
+7 (866) 2737049
+7 (866) 2771100
+7 (866) 2771130
+7 (800) 7759112</f>
        <v>#NAME?</v>
      </c>
      <c r="F5078" s="5" t="s">
        <v>40389</v>
      </c>
      <c r="G5078" s="5" t="s">
        <v>40390</v>
      </c>
      <c r="H5078" s="26">
        <v>16.5</v>
      </c>
      <c r="I5078" s="5" t="s">
        <v>40391</v>
      </c>
      <c r="J5078" s="5" t="s">
        <v>27802</v>
      </c>
      <c r="K5078" s="5" t="s">
        <v>355</v>
      </c>
      <c r="L5078" s="5"/>
      <c r="M5078" s="27">
        <v>5491473302</v>
      </c>
      <c r="N5078" s="5" t="s">
        <v>57090</v>
      </c>
      <c r="O5078" s="5" t="str">
        <v>2632082033</v>
      </c>
      <c r="P5078" s="27">
        <v>889313596</v>
      </c>
      <c r="Q5078" s="5" t="s">
        <v>57091</v>
      </c>
      <c r="R5078" s="5"/>
      <c r="S5078" s="5" t="s">
        <v>49288</v>
      </c>
      <c r="T5078" s="28">
        <v>11196900000</v>
      </c>
      <c r="U5078" s="28">
        <v>183000</v>
      </c>
      <c r="V5078" s="28">
        <v>3711274000</v>
      </c>
      <c r="W5078" s="28"/>
      <c r="X5078" s="28">
        <v>6302861000</v>
      </c>
      <c r="Y5078" s="28">
        <v>41050383000</v>
      </c>
      <c r="Z5078" s="28">
        <v>-63308969000</v>
      </c>
      <c r="AA5078" s="28">
        <v>4576843000</v>
      </c>
      <c r="AB5078" s="28">
        <v>8172200000</v>
      </c>
      <c r="AC5078" s="28">
        <v>34149017000</v>
      </c>
      <c r="AD5078" s="28">
        <v>-7478965000</v>
      </c>
      <c r="AE5078" s="28">
        <v>41301718000</v>
      </c>
      <c r="AF5078" s="28">
        <v>-11265874000</v>
      </c>
      <c r="AG5078" s="11"/>
    </row>
    <row r="5079">
      <c r="A5079" s="7" t="s">
        <v>6699</v>
      </c>
      <c r="B5079" s="5" t="s">
        <v>14662</v>
      </c>
      <c r="C5079" s="5" t="s">
        <v>22379</v>
      </c>
      <c r="D5079" s="5" t="str">
        <v>773135627500</v>
      </c>
      <c r="E5079" s="0" t="e">
        <f>+7 (495) 2341109
+7 (495) 2345170
+7 (495) 2345611
+7 (495) 7717427
+7 (499) 2345170</f>
        <v>#NAME?</v>
      </c>
      <c r="F5079" s="5"/>
      <c r="G5079" s="5" t="s">
        <v>40392</v>
      </c>
      <c r="H5079" s="26">
        <v>19</v>
      </c>
      <c r="I5079" s="5"/>
      <c r="J5079" s="5" t="s">
        <v>25429</v>
      </c>
      <c r="K5079" s="5" t="s">
        <v>344</v>
      </c>
      <c r="L5079" s="5" t="s">
        <v>40393</v>
      </c>
      <c r="M5079" s="27"/>
      <c r="N5079" s="5"/>
      <c r="O5079" s="5" t="str">
        <v>7720508094</v>
      </c>
      <c r="P5079" s="27">
        <v>163000000</v>
      </c>
      <c r="Q5079" s="5"/>
      <c r="R5079" s="5"/>
      <c r="S5079" s="5" t="s">
        <v>49110</v>
      </c>
      <c r="T5079" s="28">
        <v>73213000</v>
      </c>
      <c r="U5079" s="28">
        <v>1530000000</v>
      </c>
      <c r="V5079" s="28">
        <v>4334954000</v>
      </c>
      <c r="W5079" s="28"/>
      <c r="X5079" s="28">
        <v>403852000</v>
      </c>
      <c r="Y5079" s="28">
        <v>8072332000</v>
      </c>
      <c r="Z5079" s="28">
        <v>1774536000</v>
      </c>
      <c r="AA5079" s="28"/>
      <c r="AB5079" s="28"/>
      <c r="AC5079" s="28">
        <v>6032081000</v>
      </c>
      <c r="AD5079" s="28">
        <v>1978286000</v>
      </c>
      <c r="AE5079" s="28">
        <v>8256769000</v>
      </c>
      <c r="AF5079" s="28">
        <v>577005000</v>
      </c>
      <c r="AG5079" s="11"/>
    </row>
    <row r="5080">
      <c r="A5080" s="7" t="s">
        <v>6700</v>
      </c>
      <c r="B5080" s="5" t="s">
        <v>14663</v>
      </c>
      <c r="C5080" s="5" t="s">
        <v>22380</v>
      </c>
      <c r="D5080" s="5" t="str">
        <v>771589297391</v>
      </c>
      <c r="E5080" s="0" t="e">
        <f>+7 (495) 2216767
+7 (495) 2217831
+7 (800) 7008866
+7 (495) 3747350
+7 (925) 6199700</f>
        <v>#NAME?</v>
      </c>
      <c r="F5080" s="5" t="s">
        <v>40394</v>
      </c>
      <c r="G5080" s="5" t="s">
        <v>40395</v>
      </c>
      <c r="H5080" s="26">
        <v>9</v>
      </c>
      <c r="I5080" s="5" t="s">
        <v>40396</v>
      </c>
      <c r="J5080" s="5" t="s">
        <v>27094</v>
      </c>
      <c r="K5080" s="5" t="s">
        <v>344</v>
      </c>
      <c r="L5080" s="5" t="s">
        <v>40397</v>
      </c>
      <c r="M5080" s="27">
        <v>71414</v>
      </c>
      <c r="N5080" s="5"/>
      <c r="O5080" s="5" t="str">
        <v>7726747130</v>
      </c>
      <c r="P5080" s="27">
        <v>300000</v>
      </c>
      <c r="Q5080" s="5" t="s">
        <v>49009</v>
      </c>
      <c r="R5080" s="5"/>
      <c r="S5080" s="5" t="s">
        <v>49028</v>
      </c>
      <c r="T5080" s="28">
        <v>2367703000</v>
      </c>
      <c r="U5080" s="28"/>
      <c r="V5080" s="28">
        <v>2185494000</v>
      </c>
      <c r="W5080" s="28">
        <v>93949000</v>
      </c>
      <c r="X5080" s="28">
        <v>254975000</v>
      </c>
      <c r="Y5080" s="28">
        <v>17139832000</v>
      </c>
      <c r="Z5080" s="28">
        <v>4603706000</v>
      </c>
      <c r="AA5080" s="28">
        <v>5000000000</v>
      </c>
      <c r="AB5080" s="28">
        <v>18000</v>
      </c>
      <c r="AC5080" s="28">
        <v>7518728000</v>
      </c>
      <c r="AD5080" s="28">
        <v>4604006000</v>
      </c>
      <c r="AE5080" s="28">
        <v>29472911000</v>
      </c>
      <c r="AF5080" s="28">
        <v>1925006000</v>
      </c>
      <c r="AG5080" s="11"/>
    </row>
    <row r="5081">
      <c r="A5081" s="7" t="s">
        <v>6701</v>
      </c>
      <c r="B5081" s="5" t="s">
        <v>14664</v>
      </c>
      <c r="C5081" s="5" t="s">
        <v>22381</v>
      </c>
      <c r="D5081" s="5" t="str">
        <v>773607921019</v>
      </c>
      <c r="E5081" s="0" t="e">
        <f>+7 (925) 5145648</f>
        <v>#NAME?</v>
      </c>
      <c r="F5081" s="5"/>
      <c r="G5081" s="5" t="s">
        <v>40398</v>
      </c>
      <c r="H5081" s="26">
        <v>7</v>
      </c>
      <c r="I5081" s="5" t="s">
        <v>40399</v>
      </c>
      <c r="J5081" s="5" t="s">
        <v>373</v>
      </c>
      <c r="K5081" s="5" t="s">
        <v>344</v>
      </c>
      <c r="L5081" s="5" t="s">
        <v>40400</v>
      </c>
      <c r="M5081" s="27">
        <v>365000</v>
      </c>
      <c r="N5081" s="5"/>
      <c r="O5081" s="5" t="str">
        <v>9701022094</v>
      </c>
      <c r="P5081" s="27">
        <v>3000000</v>
      </c>
      <c r="Q5081" s="5" t="s">
        <v>49021</v>
      </c>
      <c r="R5081" s="5"/>
      <c r="S5081" s="5" t="s">
        <v>57093</v>
      </c>
      <c r="T5081" s="28"/>
      <c r="U5081" s="28"/>
      <c r="V5081" s="28">
        <v>407364000</v>
      </c>
      <c r="W5081" s="28"/>
      <c r="X5081" s="28">
        <v>2135000</v>
      </c>
      <c r="Y5081" s="28">
        <v>409624000</v>
      </c>
      <c r="Z5081" s="28">
        <v>34690000</v>
      </c>
      <c r="AA5081" s="28">
        <v>283800000</v>
      </c>
      <c r="AB5081" s="28">
        <v>4658000</v>
      </c>
      <c r="AC5081" s="28">
        <v>88134000</v>
      </c>
      <c r="AD5081" s="28">
        <v>37690000</v>
      </c>
      <c r="AE5081" s="28">
        <v>3567190000</v>
      </c>
      <c r="AF5081" s="28">
        <v>36712000</v>
      </c>
      <c r="AG5081" s="11"/>
    </row>
    <row r="5082">
      <c r="A5082" s="7" t="s">
        <v>6702</v>
      </c>
      <c r="B5082" s="5" t="s">
        <v>14665</v>
      </c>
      <c r="C5082" s="5" t="s">
        <v>22382</v>
      </c>
      <c r="D5082" s="5" t="str">
        <v>890405227168</v>
      </c>
      <c r="E5082" s="0" t="e">
        <f>+7 (495) 7987544
+7 (968) 8564399</f>
        <v>#NAME?</v>
      </c>
      <c r="F5082" s="5" t="s">
        <v>40401</v>
      </c>
      <c r="G5082" s="5"/>
      <c r="H5082" s="26">
        <v>4.5</v>
      </c>
      <c r="I5082" s="5" t="s">
        <v>40402</v>
      </c>
      <c r="J5082" s="5" t="s">
        <v>25612</v>
      </c>
      <c r="K5082" s="5" t="s">
        <v>344</v>
      </c>
      <c r="L5082" s="5" t="s">
        <v>40403</v>
      </c>
      <c r="M5082" s="27"/>
      <c r="N5082" s="5" t="s">
        <v>57094</v>
      </c>
      <c r="O5082" s="5" t="str">
        <v>7725497858</v>
      </c>
      <c r="P5082" s="27">
        <v>60000000</v>
      </c>
      <c r="Q5082" s="5" t="s">
        <v>57095</v>
      </c>
      <c r="R5082" s="5"/>
      <c r="S5082" s="5" t="s">
        <v>57096</v>
      </c>
      <c r="T5082" s="28">
        <v>15795000</v>
      </c>
      <c r="U5082" s="28">
        <v>2000000</v>
      </c>
      <c r="V5082" s="28">
        <v>1844363000</v>
      </c>
      <c r="W5082" s="28"/>
      <c r="X5082" s="28">
        <v>563420000</v>
      </c>
      <c r="Y5082" s="28">
        <v>4760691000</v>
      </c>
      <c r="Z5082" s="28">
        <v>938948000</v>
      </c>
      <c r="AA5082" s="28"/>
      <c r="AB5082" s="28"/>
      <c r="AC5082" s="28">
        <v>3649112000</v>
      </c>
      <c r="AD5082" s="28">
        <v>1685046000</v>
      </c>
      <c r="AE5082" s="28">
        <v>6051610000</v>
      </c>
      <c r="AF5082" s="28">
        <v>631711000</v>
      </c>
      <c r="AG5082" s="11"/>
    </row>
    <row r="5083">
      <c r="A5083" s="7" t="s">
        <v>6703</v>
      </c>
      <c r="B5083" s="5" t="s">
        <v>14666</v>
      </c>
      <c r="C5083" s="5" t="s">
        <v>19690</v>
      </c>
      <c r="D5083" s="5" t="str">
        <v>771518064633</v>
      </c>
      <c r="E5083" s="0" t="e">
        <f>+7 (495) 5653608
+7 (495) 6327633
+7 (903) 2228239
+7 (967) 1518220
+7 (985) 5117271
+7 (495) 1079094
+7 (800) 5550836</f>
        <v>#NAME?</v>
      </c>
      <c r="F5083" s="5" t="s">
        <v>40404</v>
      </c>
      <c r="G5083" s="5" t="s">
        <v>40405</v>
      </c>
      <c r="H5083" s="26">
        <v>14.5</v>
      </c>
      <c r="I5083" s="5" t="s">
        <v>40406</v>
      </c>
      <c r="J5083" s="5" t="s">
        <v>31868</v>
      </c>
      <c r="K5083" s="5" t="s">
        <v>344</v>
      </c>
      <c r="L5083" s="5" t="s">
        <v>40407</v>
      </c>
      <c r="M5083" s="27"/>
      <c r="N5083" s="5" t="s">
        <v>57097</v>
      </c>
      <c r="O5083" s="5" t="str">
        <v>7715710393</v>
      </c>
      <c r="P5083" s="27">
        <v>336850</v>
      </c>
      <c r="Q5083" s="5" t="s">
        <v>57098</v>
      </c>
      <c r="R5083" s="5"/>
      <c r="S5083" s="5" t="s">
        <v>49143</v>
      </c>
      <c r="T5083" s="28">
        <v>32455000</v>
      </c>
      <c r="U5083" s="28">
        <v>153039000</v>
      </c>
      <c r="V5083" s="28">
        <v>2478180000</v>
      </c>
      <c r="W5083" s="28"/>
      <c r="X5083" s="28">
        <v>3700000</v>
      </c>
      <c r="Y5083" s="28">
        <v>2674062000</v>
      </c>
      <c r="Z5083" s="28">
        <v>108454000</v>
      </c>
      <c r="AA5083" s="28"/>
      <c r="AB5083" s="28">
        <v>41093000</v>
      </c>
      <c r="AC5083" s="28">
        <v>2565271000</v>
      </c>
      <c r="AD5083" s="28">
        <v>108791000</v>
      </c>
      <c r="AE5083" s="28">
        <v>8976118000</v>
      </c>
      <c r="AF5083" s="28">
        <v>169851000</v>
      </c>
      <c r="AG5083" s="11"/>
    </row>
    <row r="5084">
      <c r="A5084" s="7" t="s">
        <v>6704</v>
      </c>
      <c r="B5084" s="5" t="s">
        <v>14667</v>
      </c>
      <c r="C5084" s="5" t="s">
        <v>22383</v>
      </c>
      <c r="D5084" s="5" t="str">
        <v>773413222205</v>
      </c>
      <c r="E5084" s="0" t="e">
        <f>+7 (3422) 309815
+7 (3422) 309981
+7 (35322) 16698
+7 (35323) 5750
+7 (383) 3281140
+7 (384) 2583467
+7 (384) 2586905
+7 (3843) 721120
+7 (390) 2263075
+7 (391) 2121255
+7 (391) 2232221
+7 (391) 2232260
+7 (473) 2204822
+7 (473) 2502798
+7 (473) 2502799</f>
        <v>#NAME?</v>
      </c>
      <c r="F5084" s="5" t="s">
        <v>40408</v>
      </c>
      <c r="G5084" s="5"/>
      <c r="H5084" s="26">
        <v>22.5</v>
      </c>
      <c r="I5084" s="5" t="s">
        <v>40409</v>
      </c>
      <c r="J5084" s="5" t="s">
        <v>32481</v>
      </c>
      <c r="K5084" s="5" t="s">
        <v>344</v>
      </c>
      <c r="L5084" s="5" t="s">
        <v>33243</v>
      </c>
      <c r="M5084" s="27"/>
      <c r="N5084" s="5"/>
      <c r="O5084" s="5" t="str">
        <v>7725118524</v>
      </c>
      <c r="P5084" s="27">
        <v>15000</v>
      </c>
      <c r="Q5084" s="5" t="s">
        <v>57099</v>
      </c>
      <c r="R5084" s="5"/>
      <c r="S5084" s="5" t="s">
        <v>49012</v>
      </c>
      <c r="T5084" s="28">
        <v>7359000</v>
      </c>
      <c r="U5084" s="28"/>
      <c r="V5084" s="28">
        <v>489870000</v>
      </c>
      <c r="W5084" s="28">
        <v>164825000</v>
      </c>
      <c r="X5084" s="28">
        <v>126364000</v>
      </c>
      <c r="Y5084" s="28">
        <v>926434000</v>
      </c>
      <c r="Z5084" s="28">
        <v>263029000</v>
      </c>
      <c r="AA5084" s="28"/>
      <c r="AB5084" s="28"/>
      <c r="AC5084" s="28">
        <v>657821000</v>
      </c>
      <c r="AD5084" s="28">
        <v>263044000</v>
      </c>
      <c r="AE5084" s="28">
        <v>4418904000</v>
      </c>
      <c r="AF5084" s="28">
        <v>90356000</v>
      </c>
      <c r="AG5084" s="11"/>
    </row>
    <row r="5085">
      <c r="A5085" s="7" t="s">
        <v>6705</v>
      </c>
      <c r="B5085" s="5" t="s">
        <v>14668</v>
      </c>
      <c r="C5085" s="5" t="s">
        <v>21853</v>
      </c>
      <c r="D5085" s="5"/>
      <c r="E5085" s="0" t="e">
        <f>+7 (38475) 26884
+7 (38475) 46002
+7 (384) 7546000
+7 (38475) 45766
+7 (38475) 46059
+7 (38475) 46083
+7 (38475) 46091
+7 (38475) 48027</f>
        <v>#NAME?</v>
      </c>
      <c r="F5085" s="5" t="s">
        <v>40410</v>
      </c>
      <c r="G5085" s="5"/>
      <c r="H5085" s="26">
        <v>31</v>
      </c>
      <c r="I5085" s="5" t="s">
        <v>40411</v>
      </c>
      <c r="J5085" s="5" t="s">
        <v>38779</v>
      </c>
      <c r="K5085" s="5" t="s">
        <v>355</v>
      </c>
      <c r="L5085" s="5"/>
      <c r="M5085" s="27"/>
      <c r="N5085" s="5"/>
      <c r="O5085" s="5" t="str">
        <v>4214002316</v>
      </c>
      <c r="P5085" s="27">
        <v>2662936</v>
      </c>
      <c r="Q5085" s="5" t="s">
        <v>49009</v>
      </c>
      <c r="R5085" s="5"/>
      <c r="S5085" s="5" t="s">
        <v>49010</v>
      </c>
      <c r="T5085" s="28">
        <v>11832913000</v>
      </c>
      <c r="U5085" s="28">
        <v>85213817000</v>
      </c>
      <c r="V5085" s="28">
        <v>5145830000</v>
      </c>
      <c r="W5085" s="28">
        <v>72466000</v>
      </c>
      <c r="X5085" s="28">
        <v>5357000</v>
      </c>
      <c r="Y5085" s="28">
        <v>104869502000</v>
      </c>
      <c r="Z5085" s="28">
        <v>91525628000</v>
      </c>
      <c r="AA5085" s="28"/>
      <c r="AB5085" s="28">
        <v>1649714000</v>
      </c>
      <c r="AC5085" s="28">
        <v>5542695000</v>
      </c>
      <c r="AD5085" s="28">
        <v>98386566000</v>
      </c>
      <c r="AE5085" s="28">
        <v>28016379000</v>
      </c>
      <c r="AF5085" s="28">
        <v>29487892000</v>
      </c>
      <c r="AG5085" s="11"/>
    </row>
    <row r="5086">
      <c r="A5086" s="7" t="s">
        <v>6706</v>
      </c>
      <c r="B5086" s="5" t="s">
        <v>14669</v>
      </c>
      <c r="C5086" s="5" t="s">
        <v>21853</v>
      </c>
      <c r="D5086" s="5"/>
      <c r="E5086" s="0" t="e">
        <f>+7 (38475) 46002
+7 (384) 7546000
+7 (3843) 997152</f>
        <v>#NAME?</v>
      </c>
      <c r="F5086" s="5" t="s">
        <v>40412</v>
      </c>
      <c r="G5086" s="5"/>
      <c r="H5086" s="26">
        <v>20</v>
      </c>
      <c r="I5086" s="5"/>
      <c r="J5086" s="5" t="s">
        <v>38779</v>
      </c>
      <c r="K5086" s="5" t="s">
        <v>344</v>
      </c>
      <c r="L5086" s="5" t="s">
        <v>40413</v>
      </c>
      <c r="M5086" s="27"/>
      <c r="N5086" s="5"/>
      <c r="O5086" s="5" t="str">
        <v>4214019140</v>
      </c>
      <c r="P5086" s="27">
        <v>5588100000</v>
      </c>
      <c r="Q5086" s="5" t="s">
        <v>49009</v>
      </c>
      <c r="R5086" s="5"/>
      <c r="S5086" s="5" t="s">
        <v>49010</v>
      </c>
      <c r="T5086" s="28">
        <v>11684821000</v>
      </c>
      <c r="U5086" s="28"/>
      <c r="V5086" s="28">
        <v>16194339000</v>
      </c>
      <c r="W5086" s="28">
        <v>3273000</v>
      </c>
      <c r="X5086" s="28">
        <v>2987000</v>
      </c>
      <c r="Y5086" s="28">
        <v>31661166000</v>
      </c>
      <c r="Z5086" s="28">
        <v>15714545000</v>
      </c>
      <c r="AA5086" s="28"/>
      <c r="AB5086" s="28">
        <v>594800000</v>
      </c>
      <c r="AC5086" s="28">
        <v>7581005000</v>
      </c>
      <c r="AD5086" s="28">
        <v>21683682000</v>
      </c>
      <c r="AE5086" s="28">
        <v>22263392000</v>
      </c>
      <c r="AF5086" s="28">
        <v>7788701000</v>
      </c>
      <c r="AG5086" s="11"/>
    </row>
    <row r="5087">
      <c r="A5087" s="7" t="s">
        <v>6707</v>
      </c>
      <c r="B5087" s="5" t="s">
        <v>14670</v>
      </c>
      <c r="C5087" s="5" t="s">
        <v>22384</v>
      </c>
      <c r="D5087" s="5" t="str">
        <v>235103311509</v>
      </c>
      <c r="E5087" s="0" t="e">
        <f>+7 (86135) 22488
+7 (918) 1117922</f>
        <v>#NAME?</v>
      </c>
      <c r="F5087" s="5" t="s">
        <v>40414</v>
      </c>
      <c r="G5087" s="5" t="s">
        <v>40415</v>
      </c>
      <c r="H5087" s="26">
        <v>16.5</v>
      </c>
      <c r="I5087" s="5"/>
      <c r="J5087" s="5" t="s">
        <v>725</v>
      </c>
      <c r="K5087" s="5" t="s">
        <v>344</v>
      </c>
      <c r="L5087" s="5" t="s">
        <v>40416</v>
      </c>
      <c r="M5087" s="27"/>
      <c r="N5087" s="5" t="s">
        <v>57100</v>
      </c>
      <c r="O5087" s="5" t="str">
        <v>2356045713</v>
      </c>
      <c r="P5087" s="27">
        <v>1032122188</v>
      </c>
      <c r="Q5087" s="5" t="s">
        <v>49009</v>
      </c>
      <c r="R5087" s="5" t="s">
        <v>54163</v>
      </c>
      <c r="S5087" s="5" t="s">
        <v>49028</v>
      </c>
      <c r="T5087" s="28">
        <v>8370718000</v>
      </c>
      <c r="U5087" s="28">
        <v>1728017000</v>
      </c>
      <c r="V5087" s="28">
        <v>5918083000</v>
      </c>
      <c r="W5087" s="28">
        <v>6471563000</v>
      </c>
      <c r="X5087" s="28">
        <v>320603000</v>
      </c>
      <c r="Y5087" s="28">
        <v>28213800000</v>
      </c>
      <c r="Z5087" s="28">
        <v>15055023000</v>
      </c>
      <c r="AA5087" s="28">
        <v>6897914000</v>
      </c>
      <c r="AB5087" s="28">
        <v>3006848000</v>
      </c>
      <c r="AC5087" s="28">
        <v>4943769000</v>
      </c>
      <c r="AD5087" s="28">
        <v>16461825000</v>
      </c>
      <c r="AE5087" s="28">
        <v>9870500000</v>
      </c>
      <c r="AF5087" s="28">
        <v>1601086000</v>
      </c>
      <c r="AG5087" s="11"/>
    </row>
    <row r="5088">
      <c r="A5088" s="7" t="s">
        <v>6708</v>
      </c>
      <c r="B5088" s="5" t="s">
        <v>14671</v>
      </c>
      <c r="C5088" s="5" t="s">
        <v>22385</v>
      </c>
      <c r="D5088" s="5" t="str">
        <v>602501023496</v>
      </c>
      <c r="E5088" s="0" t="e">
        <f>+7 (81133) 22395</f>
        <v>#NAME?</v>
      </c>
      <c r="F5088" s="5"/>
      <c r="G5088" s="5"/>
      <c r="H5088" s="26">
        <v>2.5</v>
      </c>
      <c r="I5088" s="5" t="s">
        <v>40417</v>
      </c>
      <c r="J5088" s="5" t="s">
        <v>25219</v>
      </c>
      <c r="K5088" s="5" t="s">
        <v>344</v>
      </c>
      <c r="L5088" s="5" t="s">
        <v>40418</v>
      </c>
      <c r="M5088" s="27">
        <v>19854</v>
      </c>
      <c r="N5088" s="5"/>
      <c r="O5088" s="5" t="str">
        <v>6025052650</v>
      </c>
      <c r="P5088" s="27">
        <v>500000</v>
      </c>
      <c r="Q5088" s="5"/>
      <c r="R5088" s="5"/>
      <c r="S5088" s="5" t="s">
        <v>49029</v>
      </c>
      <c r="T5088" s="28">
        <v>1522000</v>
      </c>
      <c r="U5088" s="28"/>
      <c r="V5088" s="28">
        <v>540404000</v>
      </c>
      <c r="W5088" s="28">
        <v>850000</v>
      </c>
      <c r="X5088" s="28">
        <v>254028000</v>
      </c>
      <c r="Y5088" s="28">
        <v>1880088000</v>
      </c>
      <c r="Z5088" s="28">
        <v>10689000</v>
      </c>
      <c r="AA5088" s="28"/>
      <c r="AB5088" s="28">
        <v>31500000</v>
      </c>
      <c r="AC5088" s="28">
        <v>1868900000</v>
      </c>
      <c r="AD5088" s="28">
        <v>11189000</v>
      </c>
      <c r="AE5088" s="28">
        <v>13592752000</v>
      </c>
      <c r="AF5088" s="28">
        <v>1643000</v>
      </c>
      <c r="AG5088" s="11"/>
    </row>
    <row r="5089">
      <c r="A5089" s="7" t="s">
        <v>6709</v>
      </c>
      <c r="B5089" s="5" t="s">
        <v>14672</v>
      </c>
      <c r="C5089" s="5" t="s">
        <v>22386</v>
      </c>
      <c r="D5089" s="5" t="str">
        <v>660902570853</v>
      </c>
      <c r="E5089" s="0" t="e">
        <f>+7 (985) 7412679
+7 (495) 9334340</f>
        <v>#NAME?</v>
      </c>
      <c r="F5089" s="5" t="s">
        <v>40419</v>
      </c>
      <c r="G5089" s="5" t="s">
        <v>40420</v>
      </c>
      <c r="H5089" s="26">
        <v>7.5</v>
      </c>
      <c r="I5089" s="5" t="s">
        <v>40421</v>
      </c>
      <c r="J5089" s="5" t="s">
        <v>748</v>
      </c>
      <c r="K5089" s="5" t="s">
        <v>344</v>
      </c>
      <c r="L5089" s="5"/>
      <c r="M5089" s="27"/>
      <c r="N5089" s="5" t="s">
        <v>57103</v>
      </c>
      <c r="O5089" s="5" t="str">
        <v>7734358970</v>
      </c>
      <c r="P5089" s="27">
        <v>954915000</v>
      </c>
      <c r="Q5089" s="5" t="s">
        <v>57104</v>
      </c>
      <c r="R5089" s="5"/>
      <c r="S5089" s="5" t="s">
        <v>51309</v>
      </c>
      <c r="T5089" s="28">
        <v>1075505000</v>
      </c>
      <c r="U5089" s="28">
        <v>3106548000</v>
      </c>
      <c r="V5089" s="28">
        <v>44487902000</v>
      </c>
      <c r="W5089" s="28">
        <v>935996000</v>
      </c>
      <c r="X5089" s="28">
        <v>9009517000</v>
      </c>
      <c r="Y5089" s="28">
        <v>90237576000</v>
      </c>
      <c r="Z5089" s="28">
        <v>2151423000</v>
      </c>
      <c r="AA5089" s="28"/>
      <c r="AB5089" s="28">
        <v>5347377000</v>
      </c>
      <c r="AC5089" s="28">
        <v>54412344000</v>
      </c>
      <c r="AD5089" s="28">
        <v>5351173000</v>
      </c>
      <c r="AE5089" s="28">
        <v>23804141000</v>
      </c>
      <c r="AF5089" s="28">
        <v>844507000</v>
      </c>
      <c r="AG5089" s="11"/>
    </row>
    <row r="5090">
      <c r="A5090" s="7" t="s">
        <v>6710</v>
      </c>
      <c r="B5090" s="5" t="s">
        <v>14673</v>
      </c>
      <c r="C5090" s="5" t="s">
        <v>22387</v>
      </c>
      <c r="D5090" s="5" t="str">
        <v>231110508629</v>
      </c>
      <c r="E5090" s="0" t="e">
        <f>+7 (928) 2103750
+7 (38557) 40717
+7 (861) 2782241
+7 (861) 2782326
+7 (861) 2782327
+7 (918) 2635956
+7 (920) 2650586
+7 (920) 5454430
+7 (920) 5979800
+7 (922) 5317300
+7 (927) 9028797
+7 (928) 1906592
+7 (928) 3231388
+7 (928) 7681405
+7 (929) 8449777</f>
        <v>#NAME?</v>
      </c>
      <c r="F5090" s="5" t="s">
        <v>40422</v>
      </c>
      <c r="G5090" s="5" t="s">
        <v>40423</v>
      </c>
      <c r="H5090" s="26">
        <v>18</v>
      </c>
      <c r="I5090" s="5" t="s">
        <v>40424</v>
      </c>
      <c r="J5090" s="5" t="s">
        <v>38585</v>
      </c>
      <c r="K5090" s="5" t="s">
        <v>344</v>
      </c>
      <c r="L5090" s="5" t="s">
        <v>40425</v>
      </c>
      <c r="M5090" s="27"/>
      <c r="N5090" s="5" t="s">
        <v>57105</v>
      </c>
      <c r="O5090" s="5" t="str">
        <v>2310101690</v>
      </c>
      <c r="P5090" s="27">
        <v>10000</v>
      </c>
      <c r="Q5090" s="5"/>
      <c r="R5090" s="5"/>
      <c r="S5090" s="5" t="s">
        <v>49425</v>
      </c>
      <c r="T5090" s="28">
        <v>793171000</v>
      </c>
      <c r="U5090" s="28">
        <v>1064858000</v>
      </c>
      <c r="V5090" s="28">
        <v>866631000</v>
      </c>
      <c r="W5090" s="28"/>
      <c r="X5090" s="28">
        <v>788147000</v>
      </c>
      <c r="Y5090" s="28">
        <v>4899198000</v>
      </c>
      <c r="Z5090" s="28">
        <v>2237353000</v>
      </c>
      <c r="AA5090" s="28">
        <v>450000000</v>
      </c>
      <c r="AB5090" s="28">
        <v>3792000</v>
      </c>
      <c r="AC5090" s="28">
        <v>1932814000</v>
      </c>
      <c r="AD5090" s="28">
        <v>2516384000</v>
      </c>
      <c r="AE5090" s="28">
        <v>4004456000</v>
      </c>
      <c r="AF5090" s="28">
        <v>992701000</v>
      </c>
      <c r="AG5090" s="11"/>
    </row>
    <row r="5091">
      <c r="A5091" s="7" t="s">
        <v>6710</v>
      </c>
      <c r="B5091" s="5" t="s">
        <v>14674</v>
      </c>
      <c r="C5091" s="5" t="s">
        <v>22388</v>
      </c>
      <c r="D5091" s="5" t="str">
        <v>774305874519</v>
      </c>
      <c r="E5091" s="0" t="e">
        <f>+7 (473) 9652616
+7 (47396) 27843
+7 (47396) 28387
+7 (47396) 96128
+7 (47396) 96325
+7 (47396) 96434
+7 (47396) 96498
+7 (47396) 96499</f>
        <v>#NAME?</v>
      </c>
      <c r="F5091" s="5" t="s">
        <v>40426</v>
      </c>
      <c r="G5091" s="5"/>
      <c r="H5091" s="26">
        <v>24.5</v>
      </c>
      <c r="I5091" s="5" t="s">
        <v>40427</v>
      </c>
      <c r="J5091" s="5" t="s">
        <v>25262</v>
      </c>
      <c r="K5091" s="5" t="s">
        <v>344</v>
      </c>
      <c r="L5091" s="5" t="s">
        <v>40428</v>
      </c>
      <c r="M5091" s="27"/>
      <c r="N5091" s="5" t="s">
        <v>57106</v>
      </c>
      <c r="O5091" s="5" t="str">
        <v>3627015080</v>
      </c>
      <c r="P5091" s="27">
        <v>11316945</v>
      </c>
      <c r="Q5091" s="5" t="s">
        <v>49057</v>
      </c>
      <c r="R5091" s="5"/>
      <c r="S5091" s="5" t="s">
        <v>49101</v>
      </c>
      <c r="T5091" s="28">
        <v>23874000</v>
      </c>
      <c r="U5091" s="28">
        <v>2902134000</v>
      </c>
      <c r="V5091" s="28">
        <v>1100964000</v>
      </c>
      <c r="W5091" s="28">
        <v>48150000</v>
      </c>
      <c r="X5091" s="28">
        <v>195777000</v>
      </c>
      <c r="Y5091" s="28">
        <v>4937342000</v>
      </c>
      <c r="Z5091" s="28">
        <v>2927926000</v>
      </c>
      <c r="AA5091" s="28"/>
      <c r="AB5091" s="28"/>
      <c r="AC5091" s="28">
        <v>1984260000</v>
      </c>
      <c r="AD5091" s="28">
        <v>2942752000</v>
      </c>
      <c r="AE5091" s="28">
        <v>18762297000</v>
      </c>
      <c r="AF5091" s="28">
        <v>689424000</v>
      </c>
      <c r="AG5091" s="11"/>
    </row>
    <row r="5092">
      <c r="A5092" s="7" t="s">
        <v>6711</v>
      </c>
      <c r="B5092" s="5" t="s">
        <v>14675</v>
      </c>
      <c r="C5092" s="5" t="s">
        <v>22389</v>
      </c>
      <c r="D5092" s="5" t="str">
        <v>254055680014</v>
      </c>
      <c r="E5092" s="0" t="e">
        <f>+7 (423) 2383801
+7 (423) 2383806
+7 (4232) 25257
+7 (4232) 25270
+7 (4232) 309200
+7 (4232) 309278
+7 (4232) 383828
+7 (4232) 383838
+7 (800) 5555538</f>
        <v>#NAME?</v>
      </c>
      <c r="F5092" s="5" t="s">
        <v>40429</v>
      </c>
      <c r="G5092" s="5" t="s">
        <v>40430</v>
      </c>
      <c r="H5092" s="26">
        <v>24</v>
      </c>
      <c r="I5092" s="5" t="s">
        <v>40431</v>
      </c>
      <c r="J5092" s="5" t="s">
        <v>25788</v>
      </c>
      <c r="K5092" s="5" t="s">
        <v>344</v>
      </c>
      <c r="L5092" s="5" t="s">
        <v>27840</v>
      </c>
      <c r="M5092" s="27"/>
      <c r="N5092" s="5"/>
      <c r="O5092" s="5" t="str">
        <v>2539040825</v>
      </c>
      <c r="P5092" s="27">
        <v>121108400</v>
      </c>
      <c r="Q5092" s="5"/>
      <c r="R5092" s="5"/>
      <c r="S5092" s="5" t="s">
        <v>49123</v>
      </c>
      <c r="T5092" s="28">
        <v>1494329000</v>
      </c>
      <c r="U5092" s="28">
        <v>158635000</v>
      </c>
      <c r="V5092" s="28">
        <v>1992617000</v>
      </c>
      <c r="W5092" s="28">
        <v>209990000</v>
      </c>
      <c r="X5092" s="28">
        <v>1775000</v>
      </c>
      <c r="Y5092" s="28">
        <v>5013249000</v>
      </c>
      <c r="Z5092" s="28">
        <v>2090386000</v>
      </c>
      <c r="AA5092" s="28">
        <v>168839000</v>
      </c>
      <c r="AB5092" s="28">
        <v>815173000</v>
      </c>
      <c r="AC5092" s="28">
        <v>2438583000</v>
      </c>
      <c r="AD5092" s="28">
        <v>2218770000</v>
      </c>
      <c r="AE5092" s="28">
        <v>10998144000</v>
      </c>
      <c r="AF5092" s="28">
        <v>202099000</v>
      </c>
      <c r="AG5092" s="11"/>
    </row>
    <row r="5093">
      <c r="A5093" s="7" t="s">
        <v>6712</v>
      </c>
      <c r="B5093" s="5" t="s">
        <v>14676</v>
      </c>
      <c r="C5093" s="5" t="s">
        <v>22390</v>
      </c>
      <c r="D5093" s="5" t="str">
        <v>772365109879</v>
      </c>
      <c r="E5093" s="0" t="e">
        <f>+7 (985) 7623492
+7 (495) 1013333</f>
        <v>#NAME?</v>
      </c>
      <c r="F5093" s="5" t="s">
        <v>40432</v>
      </c>
      <c r="G5093" s="5" t="s">
        <v>40433</v>
      </c>
      <c r="H5093" s="26">
        <v>11.5</v>
      </c>
      <c r="I5093" s="5" t="s">
        <v>40434</v>
      </c>
      <c r="J5093" s="5" t="s">
        <v>26125</v>
      </c>
      <c r="K5093" s="5" t="s">
        <v>344</v>
      </c>
      <c r="L5093" s="5"/>
      <c r="M5093" s="27"/>
      <c r="N5093" s="5"/>
      <c r="O5093" s="5" t="str">
        <v>7709882877</v>
      </c>
      <c r="P5093" s="27">
        <v>10000</v>
      </c>
      <c r="Q5093" s="5" t="s">
        <v>57107</v>
      </c>
      <c r="R5093" s="5"/>
      <c r="S5093" s="5" t="s">
        <v>57108</v>
      </c>
      <c r="T5093" s="28">
        <v>4909000</v>
      </c>
      <c r="U5093" s="28"/>
      <c r="V5093" s="28">
        <v>292510000</v>
      </c>
      <c r="W5093" s="28"/>
      <c r="X5093" s="28">
        <v>18734000</v>
      </c>
      <c r="Y5093" s="28">
        <v>1055357000</v>
      </c>
      <c r="Z5093" s="28">
        <v>213176000</v>
      </c>
      <c r="AA5093" s="28"/>
      <c r="AB5093" s="28">
        <v>136397000</v>
      </c>
      <c r="AC5093" s="28">
        <v>837121000</v>
      </c>
      <c r="AD5093" s="28">
        <v>213186000</v>
      </c>
      <c r="AE5093" s="28">
        <v>3122044000</v>
      </c>
      <c r="AF5093" s="28">
        <v>123290000</v>
      </c>
      <c r="AG5093" s="11"/>
    </row>
    <row r="5094">
      <c r="A5094" s="7" t="s">
        <v>6713</v>
      </c>
      <c r="B5094" s="5" t="s">
        <v>14677</v>
      </c>
      <c r="C5094" s="5" t="s">
        <v>22391</v>
      </c>
      <c r="D5094" s="5" t="str">
        <v>165701091983</v>
      </c>
      <c r="E5094" s="0" t="e">
        <f>+7 (917) 9337157
+7 (843) 2217713
+7 (843) 2317400
+7 (843) 2317484
+7 (843) 2330482
+7 (843) 2330485
+7 (843) 2776829
+7 (8432) 217595
+7 (8432) 217599
+7 (8432) 217700
+7 (8432) 217702
+7 (8432) 217708
+7 (8432) 217710</f>
        <v>#NAME?</v>
      </c>
      <c r="F5094" s="5" t="s">
        <v>40435</v>
      </c>
      <c r="G5094" s="5" t="s">
        <v>40436</v>
      </c>
      <c r="H5094" s="26">
        <v>19</v>
      </c>
      <c r="I5094" s="5"/>
      <c r="J5094" s="5" t="s">
        <v>373</v>
      </c>
      <c r="K5094" s="5" t="s">
        <v>344</v>
      </c>
      <c r="L5094" s="5" t="s">
        <v>40437</v>
      </c>
      <c r="M5094" s="27"/>
      <c r="N5094" s="5" t="s">
        <v>57109</v>
      </c>
      <c r="O5094" s="5" t="str">
        <v>1655387463</v>
      </c>
      <c r="P5094" s="27">
        <v>2929841920</v>
      </c>
      <c r="Q5094" s="5" t="s">
        <v>57110</v>
      </c>
      <c r="R5094" s="5"/>
      <c r="S5094" s="5" t="s">
        <v>57111</v>
      </c>
      <c r="T5094" s="28">
        <v>85959000</v>
      </c>
      <c r="U5094" s="28">
        <v>244812000</v>
      </c>
      <c r="V5094" s="28">
        <v>1737760000</v>
      </c>
      <c r="W5094" s="28">
        <v>543034000</v>
      </c>
      <c r="X5094" s="28">
        <v>380099000</v>
      </c>
      <c r="Y5094" s="28">
        <v>3500099000</v>
      </c>
      <c r="Z5094" s="28">
        <v>-1551337000</v>
      </c>
      <c r="AA5094" s="28">
        <v>74000000</v>
      </c>
      <c r="AB5094" s="28">
        <v>1697155000</v>
      </c>
      <c r="AC5094" s="28">
        <v>1916423000</v>
      </c>
      <c r="AD5094" s="28">
        <v>1472838000</v>
      </c>
      <c r="AE5094" s="28">
        <v>8505200000</v>
      </c>
      <c r="AF5094" s="28">
        <v>136075000</v>
      </c>
      <c r="AG5094" s="11"/>
    </row>
    <row r="5095">
      <c r="A5095" s="7" t="s">
        <v>6714</v>
      </c>
      <c r="B5095" s="5" t="s">
        <v>14678</v>
      </c>
      <c r="C5095" s="5" t="s">
        <v>22392</v>
      </c>
      <c r="D5095" s="5" t="str">
        <v>773012813384</v>
      </c>
      <c r="E5095" s="0" t="e">
        <f>+7 (495) 5807334</f>
        <v>#NAME?</v>
      </c>
      <c r="F5095" s="5" t="s">
        <v>40438</v>
      </c>
      <c r="G5095" s="5"/>
      <c r="H5095" s="26">
        <v>26.5</v>
      </c>
      <c r="I5095" s="5" t="s">
        <v>40439</v>
      </c>
      <c r="J5095" s="5" t="s">
        <v>25670</v>
      </c>
      <c r="K5095" s="5" t="s">
        <v>344</v>
      </c>
      <c r="L5095" s="5" t="s">
        <v>40440</v>
      </c>
      <c r="M5095" s="27">
        <v>6412385</v>
      </c>
      <c r="N5095" s="5" t="s">
        <v>57112</v>
      </c>
      <c r="O5095" s="5" t="str">
        <v>7709202955</v>
      </c>
      <c r="P5095" s="27">
        <v>2105020000</v>
      </c>
      <c r="Q5095" s="5" t="s">
        <v>57113</v>
      </c>
      <c r="R5095" s="5"/>
      <c r="S5095" s="5" t="s">
        <v>49358</v>
      </c>
      <c r="T5095" s="28">
        <v>103744000</v>
      </c>
      <c r="U5095" s="28"/>
      <c r="V5095" s="28">
        <v>34424998000</v>
      </c>
      <c r="W5095" s="28">
        <v>300000000</v>
      </c>
      <c r="X5095" s="28">
        <v>99279000</v>
      </c>
      <c r="Y5095" s="28">
        <v>37218659000</v>
      </c>
      <c r="Z5095" s="28">
        <v>1149431000</v>
      </c>
      <c r="AA5095" s="28">
        <v>33330657000</v>
      </c>
      <c r="AB5095" s="28">
        <v>41094000</v>
      </c>
      <c r="AC5095" s="28">
        <v>633551000</v>
      </c>
      <c r="AD5095" s="28">
        <v>3261518000</v>
      </c>
      <c r="AE5095" s="28">
        <v>3272471000</v>
      </c>
      <c r="AF5095" s="28">
        <v>612318000</v>
      </c>
      <c r="AG5095" s="11"/>
    </row>
    <row r="5096">
      <c r="A5096" s="7" t="s">
        <v>6715</v>
      </c>
      <c r="B5096" s="5" t="s">
        <v>14679</v>
      </c>
      <c r="C5096" s="5" t="s">
        <v>22393</v>
      </c>
      <c r="D5096" s="5" t="str">
        <v>773005384399</v>
      </c>
      <c r="E5096" s="0" t="e">
        <f>+7 (495) 5809461</f>
        <v>#NAME?</v>
      </c>
      <c r="F5096" s="5"/>
      <c r="G5096" s="5"/>
      <c r="H5096" s="26">
        <v>15</v>
      </c>
      <c r="I5096" s="5" t="s">
        <v>40441</v>
      </c>
      <c r="J5096" s="5" t="s">
        <v>30433</v>
      </c>
      <c r="K5096" s="5" t="s">
        <v>344</v>
      </c>
      <c r="L5096" s="5" t="s">
        <v>40442</v>
      </c>
      <c r="M5096" s="27"/>
      <c r="N5096" s="5"/>
      <c r="O5096" s="5" t="str">
        <v>7706677277</v>
      </c>
      <c r="P5096" s="27">
        <v>7078000000</v>
      </c>
      <c r="Q5096" s="5" t="s">
        <v>49009</v>
      </c>
      <c r="R5096" s="5"/>
      <c r="S5096" s="5" t="s">
        <v>49010</v>
      </c>
      <c r="T5096" s="28">
        <v>12000</v>
      </c>
      <c r="U5096" s="28"/>
      <c r="V5096" s="28">
        <v>3109475000</v>
      </c>
      <c r="W5096" s="28">
        <v>21802442000</v>
      </c>
      <c r="X5096" s="28">
        <v>289436000</v>
      </c>
      <c r="Y5096" s="28">
        <v>25574233000</v>
      </c>
      <c r="Z5096" s="28">
        <v>1334161000</v>
      </c>
      <c r="AA5096" s="28"/>
      <c r="AB5096" s="28">
        <v>14714418000</v>
      </c>
      <c r="AC5096" s="28">
        <v>17162068000</v>
      </c>
      <c r="AD5096" s="28">
        <v>8412161000</v>
      </c>
      <c r="AE5096" s="28">
        <v>3065509000</v>
      </c>
      <c r="AF5096" s="28">
        <v>-50252000</v>
      </c>
      <c r="AG5096" s="11"/>
    </row>
    <row r="5097">
      <c r="A5097" s="7" t="s">
        <v>6716</v>
      </c>
      <c r="B5097" s="5" t="s">
        <v>14680</v>
      </c>
      <c r="C5097" s="5" t="s">
        <v>22394</v>
      </c>
      <c r="D5097" s="5" t="str">
        <v>773374901987</v>
      </c>
      <c r="E5097" s="0" t="e">
        <f>+7 (495) 6656740</f>
        <v>#NAME?</v>
      </c>
      <c r="F5097" s="5" t="s">
        <v>40443</v>
      </c>
      <c r="G5097" s="5" t="s">
        <v>40444</v>
      </c>
      <c r="H5097" s="26">
        <v>11</v>
      </c>
      <c r="I5097" s="5" t="s">
        <v>40445</v>
      </c>
      <c r="J5097" s="5" t="s">
        <v>423</v>
      </c>
      <c r="K5097" s="5" t="s">
        <v>344</v>
      </c>
      <c r="L5097" s="5" t="s">
        <v>40446</v>
      </c>
      <c r="M5097" s="27"/>
      <c r="N5097" s="5" t="s">
        <v>57114</v>
      </c>
      <c r="O5097" s="5" t="str">
        <v>7716714520</v>
      </c>
      <c r="P5097" s="27">
        <v>100000</v>
      </c>
      <c r="Q5097" s="5" t="s">
        <v>57115</v>
      </c>
      <c r="R5097" s="5"/>
      <c r="S5097" s="5" t="s">
        <v>57116</v>
      </c>
      <c r="T5097" s="28">
        <v>67211000</v>
      </c>
      <c r="U5097" s="28">
        <v>49000</v>
      </c>
      <c r="V5097" s="28">
        <v>477009000</v>
      </c>
      <c r="W5097" s="28">
        <v>7000000</v>
      </c>
      <c r="X5097" s="28">
        <v>18254000</v>
      </c>
      <c r="Y5097" s="28">
        <v>1330562000</v>
      </c>
      <c r="Z5097" s="28">
        <v>377282000</v>
      </c>
      <c r="AA5097" s="28"/>
      <c r="AB5097" s="28">
        <v>636935000</v>
      </c>
      <c r="AC5097" s="28">
        <v>949671000</v>
      </c>
      <c r="AD5097" s="28">
        <v>377382000</v>
      </c>
      <c r="AE5097" s="28">
        <v>3456668000</v>
      </c>
      <c r="AF5097" s="28">
        <v>261668000</v>
      </c>
      <c r="AG5097" s="11"/>
    </row>
    <row r="5098">
      <c r="A5098" s="7" t="s">
        <v>6717</v>
      </c>
      <c r="B5098" s="5" t="s">
        <v>14681</v>
      </c>
      <c r="C5098" s="5" t="s">
        <v>22395</v>
      </c>
      <c r="D5098" s="5" t="str">
        <v>631900944249</v>
      </c>
      <c r="E5098" s="0" t="e">
        <f>+7 (499) 2609823
+7 (499) 2609833
+7 (499) 9180270
+7 (812) 4570644</f>
        <v>#NAME?</v>
      </c>
      <c r="F5098" s="5" t="s">
        <v>40447</v>
      </c>
      <c r="G5098" s="5"/>
      <c r="H5098" s="26">
        <v>8.5</v>
      </c>
      <c r="I5098" s="5" t="s">
        <v>40448</v>
      </c>
      <c r="J5098" s="5" t="s">
        <v>26308</v>
      </c>
      <c r="K5098" s="5" t="s">
        <v>355</v>
      </c>
      <c r="L5098" s="5" t="s">
        <v>40449</v>
      </c>
      <c r="M5098" s="27">
        <v>11209620</v>
      </c>
      <c r="N5098" s="5" t="s">
        <v>57117</v>
      </c>
      <c r="O5098" s="5" t="str">
        <v>7717798160</v>
      </c>
      <c r="P5098" s="27">
        <v>10055000</v>
      </c>
      <c r="Q5098" s="5" t="s">
        <v>57119</v>
      </c>
      <c r="R5098" s="5"/>
      <c r="S5098" s="5" t="s">
        <v>57120</v>
      </c>
      <c r="T5098" s="28">
        <v>622457000</v>
      </c>
      <c r="U5098" s="28">
        <v>102433000</v>
      </c>
      <c r="V5098" s="28">
        <v>606836000</v>
      </c>
      <c r="W5098" s="28">
        <v>88885000</v>
      </c>
      <c r="X5098" s="28">
        <v>50627000</v>
      </c>
      <c r="Y5098" s="28">
        <v>2253423000</v>
      </c>
      <c r="Z5098" s="28">
        <v>-34028000</v>
      </c>
      <c r="AA5098" s="28"/>
      <c r="AB5098" s="28">
        <v>550505000</v>
      </c>
      <c r="AC5098" s="28">
        <v>1620919000</v>
      </c>
      <c r="AD5098" s="28">
        <v>562827000</v>
      </c>
      <c r="AE5098" s="28">
        <v>5674549000</v>
      </c>
      <c r="AF5098" s="28">
        <v>6364000</v>
      </c>
      <c r="AG5098" s="11"/>
    </row>
    <row r="5099">
      <c r="A5099" s="7" t="s">
        <v>6718</v>
      </c>
      <c r="B5099" s="5" t="s">
        <v>14682</v>
      </c>
      <c r="C5099" s="5" t="s">
        <v>22396</v>
      </c>
      <c r="D5099" s="5" t="str">
        <v>780151125178</v>
      </c>
      <c r="F5099" s="5"/>
      <c r="G5099" s="5"/>
      <c r="H5099" s="26">
        <v>9.5</v>
      </c>
      <c r="I5099" s="5" t="s">
        <v>40450</v>
      </c>
      <c r="J5099" s="5" t="s">
        <v>30354</v>
      </c>
      <c r="K5099" s="5" t="s">
        <v>344</v>
      </c>
      <c r="L5099" s="5" t="s">
        <v>40451</v>
      </c>
      <c r="M5099" s="27"/>
      <c r="N5099" s="5"/>
      <c r="O5099" s="5" t="str">
        <v>7733857913</v>
      </c>
      <c r="P5099" s="27">
        <v>10000</v>
      </c>
      <c r="Q5099" s="5" t="s">
        <v>49009</v>
      </c>
      <c r="R5099" s="5"/>
      <c r="S5099" s="5" t="s">
        <v>49012</v>
      </c>
      <c r="T5099" s="28">
        <v>794872000</v>
      </c>
      <c r="U5099" s="28">
        <v>357604000</v>
      </c>
      <c r="V5099" s="28">
        <v>778543000</v>
      </c>
      <c r="W5099" s="28"/>
      <c r="X5099" s="28">
        <v>505493000</v>
      </c>
      <c r="Y5099" s="28">
        <v>3701084000</v>
      </c>
      <c r="Z5099" s="28">
        <v>1635135000</v>
      </c>
      <c r="AA5099" s="28">
        <v>226750000</v>
      </c>
      <c r="AB5099" s="28"/>
      <c r="AC5099" s="28">
        <v>1667673000</v>
      </c>
      <c r="AD5099" s="28">
        <v>1705665000</v>
      </c>
      <c r="AE5099" s="28">
        <v>3167776000</v>
      </c>
      <c r="AF5099" s="28">
        <v>656829000</v>
      </c>
      <c r="AG5099" s="11"/>
    </row>
    <row r="5100">
      <c r="A5100" s="7" t="s">
        <v>6719</v>
      </c>
      <c r="B5100" s="5" t="s">
        <v>14683</v>
      </c>
      <c r="C5100" s="5" t="s">
        <v>22397</v>
      </c>
      <c r="D5100" s="5" t="str">
        <v>770903726326</v>
      </c>
      <c r="E5100" s="0" t="e">
        <f>+7 (495) 7803167
+7 (495) 6041210
+7 (495) 7889525</f>
        <v>#NAME?</v>
      </c>
      <c r="F5100" s="5" t="s">
        <v>40452</v>
      </c>
      <c r="G5100" s="5"/>
      <c r="H5100" s="26">
        <v>22</v>
      </c>
      <c r="I5100" s="5" t="s">
        <v>40453</v>
      </c>
      <c r="J5100" s="5" t="s">
        <v>25199</v>
      </c>
      <c r="K5100" s="5" t="s">
        <v>380</v>
      </c>
      <c r="L5100" s="5" t="s">
        <v>40454</v>
      </c>
      <c r="M5100" s="27">
        <v>1322043</v>
      </c>
      <c r="N5100" s="5" t="s">
        <v>57121</v>
      </c>
      <c r="O5100" s="5" t="str">
        <v>7708149360</v>
      </c>
      <c r="P5100" s="27">
        <v>280000</v>
      </c>
      <c r="Q5100" s="5" t="s">
        <v>57122</v>
      </c>
      <c r="R5100" s="5"/>
      <c r="S5100" s="5" t="s">
        <v>49358</v>
      </c>
      <c r="T5100" s="28">
        <v>131613000</v>
      </c>
      <c r="U5100" s="28">
        <v>743370000</v>
      </c>
      <c r="V5100" s="28">
        <v>1741761000</v>
      </c>
      <c r="W5100" s="28">
        <v>1000000</v>
      </c>
      <c r="X5100" s="28">
        <v>94563000</v>
      </c>
      <c r="Y5100" s="28">
        <v>2753593000</v>
      </c>
      <c r="Z5100" s="28">
        <v>602153000</v>
      </c>
      <c r="AA5100" s="28"/>
      <c r="AB5100" s="28"/>
      <c r="AC5100" s="28">
        <v>2118078000</v>
      </c>
      <c r="AD5100" s="28">
        <v>602433000</v>
      </c>
      <c r="AE5100" s="28">
        <v>3180395000</v>
      </c>
      <c r="AF5100" s="28">
        <v>1495000</v>
      </c>
      <c r="AG5100" s="11"/>
    </row>
    <row r="5101">
      <c r="A5101" s="7" t="s">
        <v>6720</v>
      </c>
      <c r="B5101" s="5" t="s">
        <v>14684</v>
      </c>
      <c r="C5101" s="5" t="s">
        <v>22398</v>
      </c>
      <c r="D5101" s="5" t="str">
        <v>592009283559</v>
      </c>
      <c r="E5101" s="0" t="e">
        <f>+7 (495) 9888282</f>
        <v>#NAME?</v>
      </c>
      <c r="F5101" s="5" t="s">
        <v>40455</v>
      </c>
      <c r="G5101" s="5"/>
      <c r="H5101" s="26">
        <v>2</v>
      </c>
      <c r="I5101" s="5" t="s">
        <v>40456</v>
      </c>
      <c r="J5101" s="5" t="s">
        <v>27921</v>
      </c>
      <c r="K5101" s="5" t="s">
        <v>344</v>
      </c>
      <c r="L5101" s="5"/>
      <c r="M5101" s="27"/>
      <c r="N5101" s="5"/>
      <c r="O5101" s="5" t="str">
        <v>9724039168</v>
      </c>
      <c r="P5101" s="27">
        <v>10000</v>
      </c>
      <c r="Q5101" s="5" t="s">
        <v>57123</v>
      </c>
      <c r="R5101" s="5"/>
      <c r="S5101" s="5" t="s">
        <v>49743</v>
      </c>
      <c r="T5101" s="28">
        <v>1143000</v>
      </c>
      <c r="U5101" s="28">
        <v>20000000</v>
      </c>
      <c r="V5101" s="28">
        <v>1331890000</v>
      </c>
      <c r="W5101" s="28">
        <v>414449000</v>
      </c>
      <c r="X5101" s="28">
        <v>143729000</v>
      </c>
      <c r="Y5101" s="28">
        <v>1913482000</v>
      </c>
      <c r="Z5101" s="28">
        <v>127694000</v>
      </c>
      <c r="AA5101" s="28"/>
      <c r="AB5101" s="28">
        <v>1356267000</v>
      </c>
      <c r="AC5101" s="28">
        <v>1605320000</v>
      </c>
      <c r="AD5101" s="28">
        <v>307704000</v>
      </c>
      <c r="AE5101" s="28">
        <v>3697556000</v>
      </c>
      <c r="AF5101" s="28">
        <v>79454000</v>
      </c>
      <c r="AG5101" s="11"/>
    </row>
    <row r="5102">
      <c r="A5102" s="7" t="s">
        <v>6721</v>
      </c>
      <c r="B5102" s="5" t="s">
        <v>14685</v>
      </c>
      <c r="C5102" s="5" t="s">
        <v>22399</v>
      </c>
      <c r="D5102" s="5" t="str">
        <v>561500106746</v>
      </c>
      <c r="E5102" s="0" t="e">
        <f>+7 (3422) 67707
+7 (473) 2020654
+7 (473) 2056891
+7 (473) 2065445
+7 (473) 2065770
+7 (473) 2066707
+7 (473) 2066770
+7 (473) 2066800
+7 (473) 2203220
+7 (473) 2332755
+7 (473) 2405530
+7 (472) 2067707
+7 (473) 2060777
+7 (473) 2067702
+7 (473) 2206770</f>
        <v>#NAME?</v>
      </c>
      <c r="F5102" s="5" t="s">
        <v>40457</v>
      </c>
      <c r="G5102" s="5"/>
      <c r="H5102" s="26">
        <v>12</v>
      </c>
      <c r="I5102" s="5" t="s">
        <v>34236</v>
      </c>
      <c r="J5102" s="5" t="s">
        <v>34010</v>
      </c>
      <c r="K5102" s="5" t="s">
        <v>344</v>
      </c>
      <c r="L5102" s="5" t="s">
        <v>40458</v>
      </c>
      <c r="M5102" s="27">
        <v>7452191</v>
      </c>
      <c r="N5102" s="5" t="s">
        <v>57124</v>
      </c>
      <c r="O5102" s="5" t="str">
        <v>7726671234</v>
      </c>
      <c r="P5102" s="27">
        <v>10000</v>
      </c>
      <c r="Q5102" s="5" t="s">
        <v>57126</v>
      </c>
      <c r="R5102" s="5"/>
      <c r="S5102" s="5" t="s">
        <v>49271</v>
      </c>
      <c r="T5102" s="28">
        <v>6676071000</v>
      </c>
      <c r="U5102" s="28">
        <v>690002000</v>
      </c>
      <c r="V5102" s="28">
        <v>670855000</v>
      </c>
      <c r="W5102" s="28"/>
      <c r="X5102" s="28">
        <v>400304000</v>
      </c>
      <c r="Y5102" s="28">
        <v>8799760000</v>
      </c>
      <c r="Z5102" s="28">
        <v>1326023000</v>
      </c>
      <c r="AA5102" s="28">
        <v>2190099000</v>
      </c>
      <c r="AB5102" s="28">
        <v>790503000</v>
      </c>
      <c r="AC5102" s="28">
        <v>2202128000</v>
      </c>
      <c r="AD5102" s="28">
        <v>1365033000</v>
      </c>
      <c r="AE5102" s="28">
        <v>4498302000</v>
      </c>
      <c r="AF5102" s="28">
        <v>423583000</v>
      </c>
      <c r="AG5102" s="11"/>
    </row>
    <row r="5103">
      <c r="A5103" s="7" t="s">
        <v>6722</v>
      </c>
      <c r="B5103" s="5" t="s">
        <v>14686</v>
      </c>
      <c r="C5103" s="5" t="s">
        <v>22400</v>
      </c>
      <c r="D5103" s="5" t="str">
        <v>771878134406</v>
      </c>
      <c r="E5103" s="0" t="e">
        <f>+7 (495) 7832682
+7 (495) 7832683
+7 (905) 5159916</f>
        <v>#NAME?</v>
      </c>
      <c r="F5103" s="5"/>
      <c r="G5103" s="5"/>
      <c r="H5103" s="26">
        <v>18.5</v>
      </c>
      <c r="I5103" s="5" t="s">
        <v>40459</v>
      </c>
      <c r="J5103" s="5" t="s">
        <v>28290</v>
      </c>
      <c r="K5103" s="5" t="s">
        <v>344</v>
      </c>
      <c r="L5103" s="5" t="s">
        <v>40460</v>
      </c>
      <c r="M5103" s="27"/>
      <c r="N5103" s="5" t="s">
        <v>57127</v>
      </c>
      <c r="O5103" s="5" t="str">
        <v>7702531291</v>
      </c>
      <c r="P5103" s="27">
        <v>1020000</v>
      </c>
      <c r="Q5103" s="5" t="s">
        <v>49009</v>
      </c>
      <c r="R5103" s="5"/>
      <c r="S5103" s="5" t="s">
        <v>49045</v>
      </c>
      <c r="T5103" s="28">
        <v>111023000</v>
      </c>
      <c r="U5103" s="28"/>
      <c r="V5103" s="28">
        <v>61271000</v>
      </c>
      <c r="W5103" s="28"/>
      <c r="X5103" s="28">
        <v>248778000</v>
      </c>
      <c r="Y5103" s="28">
        <v>472764000</v>
      </c>
      <c r="Z5103" s="28">
        <v>285150000</v>
      </c>
      <c r="AA5103" s="28"/>
      <c r="AB5103" s="28"/>
      <c r="AC5103" s="28">
        <v>42117000</v>
      </c>
      <c r="AD5103" s="28">
        <v>286170000</v>
      </c>
      <c r="AE5103" s="28">
        <v>7455849000</v>
      </c>
      <c r="AF5103" s="28">
        <v>124742000</v>
      </c>
      <c r="AG5103" s="11"/>
    </row>
    <row r="5104">
      <c r="A5104" s="7" t="s">
        <v>6723</v>
      </c>
      <c r="B5104" s="5" t="s">
        <v>14687</v>
      </c>
      <c r="C5104" s="5" t="s">
        <v>22401</v>
      </c>
      <c r="D5104" s="5" t="str">
        <v>503208257646</v>
      </c>
      <c r="E5104" s="0" t="e">
        <f>+7 (985) 7825278
+7 (495) 2877293
+7 (495) 4195101
+7 (495) 4195353
+7 (495) 4195454
+7 (495) 7978644</f>
        <v>#NAME?</v>
      </c>
      <c r="F5104" s="5"/>
      <c r="G5104" s="5"/>
      <c r="H5104" s="26">
        <v>10</v>
      </c>
      <c r="I5104" s="5"/>
      <c r="J5104" s="5" t="s">
        <v>27182</v>
      </c>
      <c r="K5104" s="5" t="s">
        <v>380</v>
      </c>
      <c r="L5104" s="5" t="s">
        <v>40461</v>
      </c>
      <c r="M5104" s="27"/>
      <c r="N5104" s="5"/>
      <c r="O5104" s="5" t="str">
        <v>7705529981</v>
      </c>
      <c r="P5104" s="27">
        <v>30000000</v>
      </c>
      <c r="Q5104" s="5" t="s">
        <v>57128</v>
      </c>
      <c r="R5104" s="5"/>
      <c r="S5104" s="5" t="s">
        <v>55225</v>
      </c>
      <c r="T5104" s="28">
        <v>537000</v>
      </c>
      <c r="U5104" s="28">
        <v>214632956000</v>
      </c>
      <c r="V5104" s="28">
        <v>12500034000</v>
      </c>
      <c r="W5104" s="28"/>
      <c r="X5104" s="28">
        <v>3889226000</v>
      </c>
      <c r="Y5104" s="28">
        <v>233266746000</v>
      </c>
      <c r="Z5104" s="28">
        <v>-154374106000</v>
      </c>
      <c r="AA5104" s="28">
        <v>365573758000</v>
      </c>
      <c r="AB5104" s="28">
        <v>9244347000</v>
      </c>
      <c r="AC5104" s="28">
        <v>20243044000</v>
      </c>
      <c r="AD5104" s="28">
        <v>-153137806000</v>
      </c>
      <c r="AE5104" s="28">
        <v>16361307000</v>
      </c>
      <c r="AF5104" s="28">
        <v>-156616947000</v>
      </c>
      <c r="AG5104" s="11"/>
    </row>
    <row r="5105">
      <c r="A5105" s="7" t="s">
        <v>6724</v>
      </c>
      <c r="B5105" s="5" t="s">
        <v>14688</v>
      </c>
      <c r="C5105" s="5" t="s">
        <v>22402</v>
      </c>
      <c r="D5105" s="5" t="str">
        <v>561011242774</v>
      </c>
      <c r="E5105" s="0" t="e">
        <f>+7 (4912) 207019
+7 (4912) 257498
+7 (4912) 270007
+7 (4912) 282901
+7 (4912) 350779
+7 (4912) 426546
+7 (4912) 702010
+7 (4912) 702017
+7 (4912) 702019
+7 (4912) 702030
+7 (4912) 908797
+7 (4912) 274072
+7 (4912) 275658
+7 (4912) 702021
+7 (4912) 908790</f>
        <v>#NAME?</v>
      </c>
      <c r="F5105" s="5" t="s">
        <v>40462</v>
      </c>
      <c r="G5105" s="5" t="s">
        <v>40463</v>
      </c>
      <c r="H5105" s="26">
        <v>16.5</v>
      </c>
      <c r="I5105" s="5" t="s">
        <v>40464</v>
      </c>
      <c r="J5105" s="5" t="s">
        <v>26623</v>
      </c>
      <c r="K5105" s="5" t="s">
        <v>344</v>
      </c>
      <c r="L5105" s="5" t="s">
        <v>40465</v>
      </c>
      <c r="M5105" s="27">
        <v>4194443</v>
      </c>
      <c r="N5105" s="5" t="s">
        <v>57129</v>
      </c>
      <c r="O5105" s="5" t="str">
        <v>6229054695</v>
      </c>
      <c r="P5105" s="27">
        <v>7000000</v>
      </c>
      <c r="Q5105" s="5" t="s">
        <v>57130</v>
      </c>
      <c r="R5105" s="5"/>
      <c r="S5105" s="5" t="s">
        <v>57131</v>
      </c>
      <c r="T5105" s="28">
        <v>274897000</v>
      </c>
      <c r="U5105" s="28"/>
      <c r="V5105" s="28">
        <v>689965000</v>
      </c>
      <c r="W5105" s="28"/>
      <c r="X5105" s="28">
        <v>696125000</v>
      </c>
      <c r="Y5105" s="28">
        <v>1671717000</v>
      </c>
      <c r="Z5105" s="28">
        <v>1080866000</v>
      </c>
      <c r="AA5105" s="28"/>
      <c r="AB5105" s="28"/>
      <c r="AC5105" s="28">
        <v>583215000</v>
      </c>
      <c r="AD5105" s="28">
        <v>1087866000</v>
      </c>
      <c r="AE5105" s="28">
        <v>8782206000</v>
      </c>
      <c r="AF5105" s="28">
        <v>429219000</v>
      </c>
      <c r="AG5105" s="11"/>
    </row>
    <row r="5106">
      <c r="A5106" s="7" t="s">
        <v>6725</v>
      </c>
      <c r="B5106" s="5" t="s">
        <v>14689</v>
      </c>
      <c r="C5106" s="5" t="s">
        <v>22403</v>
      </c>
      <c r="D5106" s="5" t="str">
        <v>860300570139</v>
      </c>
      <c r="E5106" s="0" t="e">
        <f>+7 (3466) 293493
+7 (3466) 641183
+7 (3466) 641400
+7 (3466) 641414
+7 (3466) 641630
+7 (3466) 650121
+7 (34663) 12012
+7 (902) 8547616
+7 (922) 7950121
+7 (982) 5357270</f>
        <v>#NAME?</v>
      </c>
      <c r="F5106" s="5" t="s">
        <v>40466</v>
      </c>
      <c r="G5106" s="5"/>
      <c r="H5106" s="26">
        <v>21</v>
      </c>
      <c r="I5106" s="5" t="s">
        <v>40467</v>
      </c>
      <c r="J5106" s="5" t="s">
        <v>955</v>
      </c>
      <c r="K5106" s="5" t="s">
        <v>355</v>
      </c>
      <c r="L5106" s="5" t="s">
        <v>40468</v>
      </c>
      <c r="M5106" s="27">
        <v>1034400</v>
      </c>
      <c r="N5106" s="5"/>
      <c r="O5106" s="5" t="str">
        <v>8603103515</v>
      </c>
      <c r="P5106" s="27">
        <v>10000</v>
      </c>
      <c r="Q5106" s="5"/>
      <c r="R5106" s="5"/>
      <c r="S5106" s="5" t="s">
        <v>49110</v>
      </c>
      <c r="T5106" s="28">
        <v>153263000</v>
      </c>
      <c r="U5106" s="28">
        <v>20800000</v>
      </c>
      <c r="V5106" s="28">
        <v>411085000</v>
      </c>
      <c r="W5106" s="28"/>
      <c r="X5106" s="28">
        <v>17328000</v>
      </c>
      <c r="Y5106" s="28">
        <v>1970696000</v>
      </c>
      <c r="Z5106" s="28">
        <v>335670000</v>
      </c>
      <c r="AA5106" s="28">
        <v>34232000</v>
      </c>
      <c r="AB5106" s="28"/>
      <c r="AC5106" s="28">
        <v>1599409000</v>
      </c>
      <c r="AD5106" s="28">
        <v>335680000</v>
      </c>
      <c r="AE5106" s="28">
        <v>3336133000</v>
      </c>
      <c r="AF5106" s="28">
        <v>44610000</v>
      </c>
      <c r="AG5106" s="11"/>
    </row>
    <row r="5107">
      <c r="A5107" s="7" t="s">
        <v>6726</v>
      </c>
      <c r="B5107" s="5" t="s">
        <v>14690</v>
      </c>
      <c r="C5107" s="5" t="s">
        <v>22404</v>
      </c>
      <c r="D5107" s="5" t="str">
        <v>774315429041</v>
      </c>
      <c r="E5107" s="0" t="e">
        <f>+7 (903) 5682714
+7 (909) 1597555
+7 (495) 2049204
+7 (495) 2049400
+7 (499) 5055777
+7 (999) 1645889</f>
        <v>#NAME?</v>
      </c>
      <c r="F5107" s="5" t="s">
        <v>40469</v>
      </c>
      <c r="G5107" s="5"/>
      <c r="H5107" s="26">
        <v>12</v>
      </c>
      <c r="I5107" s="5" t="s">
        <v>40470</v>
      </c>
      <c r="J5107" s="5" t="s">
        <v>25199</v>
      </c>
      <c r="K5107" s="5" t="s">
        <v>344</v>
      </c>
      <c r="L5107" s="5" t="s">
        <v>40471</v>
      </c>
      <c r="M5107" s="27"/>
      <c r="N5107" s="5"/>
      <c r="O5107" s="5" t="str">
        <v>7729670341</v>
      </c>
      <c r="P5107" s="27">
        <v>791799</v>
      </c>
      <c r="Q5107" s="5" t="s">
        <v>57132</v>
      </c>
      <c r="R5107" s="5"/>
      <c r="S5107" s="5" t="s">
        <v>51387</v>
      </c>
      <c r="T5107" s="28">
        <v>141358000</v>
      </c>
      <c r="U5107" s="28"/>
      <c r="V5107" s="28">
        <v>1554247000</v>
      </c>
      <c r="W5107" s="28"/>
      <c r="X5107" s="28">
        <v>8129000</v>
      </c>
      <c r="Y5107" s="28">
        <v>2676499000</v>
      </c>
      <c r="Z5107" s="28">
        <v>1692003000</v>
      </c>
      <c r="AA5107" s="28"/>
      <c r="AB5107" s="28"/>
      <c r="AC5107" s="28">
        <v>810575000</v>
      </c>
      <c r="AD5107" s="28">
        <v>1862335000</v>
      </c>
      <c r="AE5107" s="28">
        <v>5135925000</v>
      </c>
      <c r="AF5107" s="28">
        <v>1357749000</v>
      </c>
      <c r="AG5107" s="11"/>
    </row>
    <row r="5108">
      <c r="A5108" s="7" t="s">
        <v>6727</v>
      </c>
      <c r="B5108" s="5" t="s">
        <v>14691</v>
      </c>
      <c r="C5108" s="5" t="s">
        <v>22405</v>
      </c>
      <c r="D5108" s="5" t="str">
        <v>772457180504</v>
      </c>
      <c r="E5108" s="0" t="e">
        <f>+7 (499) 6535393
+7 (495) 5809163
+7 (495) 5809167
+7 (495) 9813541</f>
        <v>#NAME?</v>
      </c>
      <c r="F5108" s="5"/>
      <c r="G5108" s="5"/>
      <c r="H5108" s="26">
        <v>10</v>
      </c>
      <c r="I5108" s="5" t="s">
        <v>40472</v>
      </c>
      <c r="J5108" s="5" t="s">
        <v>25195</v>
      </c>
      <c r="K5108" s="5" t="s">
        <v>355</v>
      </c>
      <c r="L5108" s="5" t="s">
        <v>40473</v>
      </c>
      <c r="M5108" s="27">
        <v>815722770</v>
      </c>
      <c r="N5108" s="5"/>
      <c r="O5108" s="5" t="str">
        <v>7725776121</v>
      </c>
      <c r="P5108" s="27">
        <v>2000000000</v>
      </c>
      <c r="Q5108" s="5" t="s">
        <v>57133</v>
      </c>
      <c r="R5108" s="5"/>
      <c r="S5108" s="5" t="s">
        <v>52899</v>
      </c>
      <c r="T5108" s="28">
        <v>23610200000</v>
      </c>
      <c r="U5108" s="28">
        <v>10000</v>
      </c>
      <c r="V5108" s="28">
        <v>1646173000</v>
      </c>
      <c r="W5108" s="28"/>
      <c r="X5108" s="28">
        <v>2675729000</v>
      </c>
      <c r="Y5108" s="28">
        <v>49181777000</v>
      </c>
      <c r="Z5108" s="28">
        <v>4058397000</v>
      </c>
      <c r="AA5108" s="28"/>
      <c r="AB5108" s="28">
        <v>5343137000</v>
      </c>
      <c r="AC5108" s="28">
        <v>25674014000</v>
      </c>
      <c r="AD5108" s="28">
        <v>8110706000</v>
      </c>
      <c r="AE5108" s="28">
        <v>47787960000</v>
      </c>
      <c r="AF5108" s="28">
        <v>-6612759000</v>
      </c>
      <c r="AG5108" s="11"/>
    </row>
    <row r="5109">
      <c r="A5109" s="7" t="s">
        <v>6728</v>
      </c>
      <c r="B5109" s="5" t="s">
        <v>14692</v>
      </c>
      <c r="C5109" s="5" t="s">
        <v>22406</v>
      </c>
      <c r="D5109" s="5" t="str">
        <v>780506190356</v>
      </c>
      <c r="E5109" s="0" t="e">
        <f>+7 (812) 6220946
+7 (812) 6221254
+7 (812) 6221349
+7 (812) 6776624
+7 (812) 6776632</f>
        <v>#NAME?</v>
      </c>
      <c r="F5109" s="5" t="s">
        <v>40474</v>
      </c>
      <c r="G5109" s="5" t="s">
        <v>40475</v>
      </c>
      <c r="H5109" s="26">
        <v>9.5</v>
      </c>
      <c r="I5109" s="5" t="s">
        <v>40476</v>
      </c>
      <c r="J5109" s="5" t="s">
        <v>25550</v>
      </c>
      <c r="K5109" s="5" t="s">
        <v>355</v>
      </c>
      <c r="L5109" s="5"/>
      <c r="M5109" s="27">
        <v>908646</v>
      </c>
      <c r="N5109" s="5" t="s">
        <v>57134</v>
      </c>
      <c r="O5109" s="5" t="str">
        <v>7805625907</v>
      </c>
      <c r="P5109" s="27">
        <v>300000</v>
      </c>
      <c r="Q5109" s="5" t="s">
        <v>57135</v>
      </c>
      <c r="R5109" s="5"/>
      <c r="S5109" s="5" t="s">
        <v>49162</v>
      </c>
      <c r="T5109" s="28">
        <v>70221000</v>
      </c>
      <c r="U5109" s="28">
        <v>452199000</v>
      </c>
      <c r="V5109" s="28">
        <v>750785000</v>
      </c>
      <c r="W5109" s="28">
        <v>20000000</v>
      </c>
      <c r="X5109" s="28">
        <v>4193000</v>
      </c>
      <c r="Y5109" s="28">
        <v>1594019000</v>
      </c>
      <c r="Z5109" s="28">
        <v>217973000</v>
      </c>
      <c r="AA5109" s="28"/>
      <c r="AB5109" s="28">
        <v>356808000</v>
      </c>
      <c r="AC5109" s="28">
        <v>1290062000</v>
      </c>
      <c r="AD5109" s="28">
        <v>218273000</v>
      </c>
      <c r="AE5109" s="28">
        <v>4451139000</v>
      </c>
      <c r="AF5109" s="28">
        <v>55383000</v>
      </c>
      <c r="AG5109" s="11"/>
    </row>
    <row r="5110">
      <c r="A5110" s="7" t="s">
        <v>6729</v>
      </c>
      <c r="B5110" s="5" t="s">
        <v>14693</v>
      </c>
      <c r="C5110" s="5" t="s">
        <v>22407</v>
      </c>
      <c r="D5110" s="5" t="str">
        <v>773135731413</v>
      </c>
      <c r="E5110" s="0" t="e">
        <f>+7 (495) 5051459
+7 (495) 6469110
+7 (967) 1655105</f>
        <v>#NAME?</v>
      </c>
      <c r="F5110" s="5" t="s">
        <v>40477</v>
      </c>
      <c r="G5110" s="5"/>
      <c r="H5110" s="26">
        <v>12</v>
      </c>
      <c r="I5110" s="5" t="s">
        <v>40478</v>
      </c>
      <c r="J5110" s="5" t="s">
        <v>27207</v>
      </c>
      <c r="K5110" s="5" t="s">
        <v>344</v>
      </c>
      <c r="L5110" s="5" t="s">
        <v>40479</v>
      </c>
      <c r="M5110" s="27"/>
      <c r="N5110" s="5" t="s">
        <v>57136</v>
      </c>
      <c r="O5110" s="5" t="str">
        <v>7736626255</v>
      </c>
      <c r="P5110" s="27">
        <v>21000</v>
      </c>
      <c r="Q5110" s="5" t="s">
        <v>49021</v>
      </c>
      <c r="R5110" s="5"/>
      <c r="S5110" s="5" t="s">
        <v>49033</v>
      </c>
      <c r="T5110" s="28">
        <v>238000</v>
      </c>
      <c r="U5110" s="28"/>
      <c r="V5110" s="28">
        <v>2295550000</v>
      </c>
      <c r="W5110" s="28">
        <v>19800000</v>
      </c>
      <c r="X5110" s="28">
        <v>389755000</v>
      </c>
      <c r="Y5110" s="28">
        <v>2763777000</v>
      </c>
      <c r="Z5110" s="28">
        <v>10396000</v>
      </c>
      <c r="AA5110" s="28"/>
      <c r="AB5110" s="28"/>
      <c r="AC5110" s="28">
        <v>2752171000</v>
      </c>
      <c r="AD5110" s="28">
        <v>10417000</v>
      </c>
      <c r="AE5110" s="28">
        <v>9986520000</v>
      </c>
      <c r="AF5110" s="28">
        <v>8330000</v>
      </c>
      <c r="AG5110" s="11"/>
    </row>
    <row r="5111">
      <c r="A5111" s="7" t="s">
        <v>6730</v>
      </c>
      <c r="B5111" s="5" t="s">
        <v>14694</v>
      </c>
      <c r="C5111" s="5" t="s">
        <v>22408</v>
      </c>
      <c r="D5111" s="5" t="str">
        <v>772803526020</v>
      </c>
      <c r="F5111" s="5"/>
      <c r="G5111" s="5"/>
      <c r="H5111" s="26">
        <v>16</v>
      </c>
      <c r="I5111" s="5" t="s">
        <v>40480</v>
      </c>
      <c r="J5111" s="5" t="s">
        <v>25484</v>
      </c>
      <c r="K5111" s="5" t="s">
        <v>344</v>
      </c>
      <c r="L5111" s="5" t="s">
        <v>40481</v>
      </c>
      <c r="M5111" s="27"/>
      <c r="N5111" s="5"/>
      <c r="O5111" s="5" t="str">
        <v>7713612658</v>
      </c>
      <c r="P5111" s="27">
        <v>621310000</v>
      </c>
      <c r="Q5111" s="5" t="s">
        <v>49009</v>
      </c>
      <c r="R5111" s="5"/>
      <c r="S5111" s="5" t="s">
        <v>49010</v>
      </c>
      <c r="T5111" s="28">
        <v>6361596000</v>
      </c>
      <c r="U5111" s="28"/>
      <c r="V5111" s="28">
        <v>707402000</v>
      </c>
      <c r="W5111" s="28"/>
      <c r="X5111" s="28">
        <v>670000</v>
      </c>
      <c r="Y5111" s="28">
        <v>7954828000</v>
      </c>
      <c r="Z5111" s="28">
        <v>-1077907000</v>
      </c>
      <c r="AA5111" s="28"/>
      <c r="AB5111" s="28"/>
      <c r="AC5111" s="28">
        <v>568182000</v>
      </c>
      <c r="AD5111" s="28">
        <v>-456597000</v>
      </c>
      <c r="AE5111" s="28">
        <v>3207895000</v>
      </c>
      <c r="AF5111" s="28">
        <v>93192000</v>
      </c>
      <c r="AG5111" s="11"/>
    </row>
    <row r="5112">
      <c r="A5112" s="7" t="s">
        <v>6731</v>
      </c>
      <c r="B5112" s="5" t="s">
        <v>14695</v>
      </c>
      <c r="C5112" s="5" t="s">
        <v>22409</v>
      </c>
      <c r="D5112" s="5" t="str">
        <v>583602032507</v>
      </c>
      <c r="E5112" s="0" t="e">
        <f>+7 (495) 6631612
+7 (812) 3341222
+7 (8412) 677252
+7 (8412) 677255
+7 (84158) 32793
+7 (84158) 33005</f>
        <v>#NAME?</v>
      </c>
      <c r="F5112" s="5"/>
      <c r="G5112" s="5"/>
      <c r="H5112" s="26">
        <v>11</v>
      </c>
      <c r="I5112" s="5" t="s">
        <v>40482</v>
      </c>
      <c r="J5112" s="5" t="s">
        <v>26355</v>
      </c>
      <c r="K5112" s="5" t="s">
        <v>380</v>
      </c>
      <c r="L5112" s="5" t="s">
        <v>40483</v>
      </c>
      <c r="M5112" s="27"/>
      <c r="N5112" s="5"/>
      <c r="O5112" s="5" t="str">
        <v>5827901628</v>
      </c>
      <c r="P5112" s="27">
        <v>10500000</v>
      </c>
      <c r="Q5112" s="5" t="s">
        <v>49021</v>
      </c>
      <c r="R5112" s="5" t="s">
        <v>57137</v>
      </c>
      <c r="S5112" s="5" t="s">
        <v>57138</v>
      </c>
      <c r="T5112" s="28">
        <v>1348085000</v>
      </c>
      <c r="U5112" s="28"/>
      <c r="V5112" s="28">
        <v>1415993000</v>
      </c>
      <c r="W5112" s="28">
        <v>150000000</v>
      </c>
      <c r="X5112" s="28">
        <v>367000</v>
      </c>
      <c r="Y5112" s="28">
        <v>3272290000</v>
      </c>
      <c r="Z5112" s="28">
        <v>51356000</v>
      </c>
      <c r="AA5112" s="28"/>
      <c r="AB5112" s="28"/>
      <c r="AC5112" s="28">
        <v>3195914000</v>
      </c>
      <c r="AD5112" s="28">
        <v>73676000</v>
      </c>
      <c r="AE5112" s="28">
        <v>3259168000</v>
      </c>
      <c r="AF5112" s="28">
        <v>41606000</v>
      </c>
      <c r="AG5112" s="11"/>
    </row>
    <row r="5113">
      <c r="A5113" s="7" t="s">
        <v>6731</v>
      </c>
      <c r="B5113" s="5" t="s">
        <v>14696</v>
      </c>
      <c r="C5113" s="5" t="s">
        <v>22410</v>
      </c>
      <c r="D5113" s="5" t="str">
        <v>616823354231</v>
      </c>
      <c r="F5113" s="5"/>
      <c r="G5113" s="5"/>
      <c r="H5113" s="26">
        <v>5</v>
      </c>
      <c r="I5113" s="5" t="s">
        <v>40484</v>
      </c>
      <c r="J5113" s="5" t="s">
        <v>26564</v>
      </c>
      <c r="K5113" s="5" t="s">
        <v>344</v>
      </c>
      <c r="L5113" s="5"/>
      <c r="M5113" s="27">
        <v>278133</v>
      </c>
      <c r="N5113" s="5"/>
      <c r="O5113" s="5" t="str">
        <v>6164120435</v>
      </c>
      <c r="P5113" s="27">
        <v>100000</v>
      </c>
      <c r="Q5113" s="5"/>
      <c r="R5113" s="5"/>
      <c r="S5113" s="5" t="s">
        <v>49029</v>
      </c>
      <c r="T5113" s="28">
        <v>5611000</v>
      </c>
      <c r="U5113" s="28"/>
      <c r="V5113" s="28">
        <v>274794000</v>
      </c>
      <c r="W5113" s="28">
        <v>30125000</v>
      </c>
      <c r="X5113" s="28">
        <v>49660000</v>
      </c>
      <c r="Y5113" s="28">
        <v>1007083000</v>
      </c>
      <c r="Z5113" s="28">
        <v>44835000</v>
      </c>
      <c r="AA5113" s="28"/>
      <c r="AB5113" s="28">
        <v>68688000</v>
      </c>
      <c r="AC5113" s="28">
        <v>961742000</v>
      </c>
      <c r="AD5113" s="28">
        <v>44935000</v>
      </c>
      <c r="AE5113" s="28">
        <v>4209082000</v>
      </c>
      <c r="AF5113" s="28">
        <v>41906000</v>
      </c>
      <c r="AG5113" s="11"/>
    </row>
    <row r="5114">
      <c r="A5114" s="7" t="s">
        <v>6732</v>
      </c>
      <c r="B5114" s="5" t="s">
        <v>14697</v>
      </c>
      <c r="C5114" s="5" t="s">
        <v>22411</v>
      </c>
      <c r="D5114" s="5" t="str">
        <v>772738989900</v>
      </c>
      <c r="E5114" s="0" t="e">
        <f>+7 (495) 5102233
+7 (495) 5541515
+7 (495) 5104994
+7 (495) 9337157
+7 (495) 9338586
+7 (495) 9552434
+7 (495) 9552442
+7 (4987) 678586
+7 (916) 2080125</f>
        <v>#NAME?</v>
      </c>
      <c r="F5114" s="5"/>
      <c r="G5114" s="5"/>
      <c r="H5114" s="26">
        <v>16.5</v>
      </c>
      <c r="I5114" s="5" t="s">
        <v>40485</v>
      </c>
      <c r="J5114" s="5" t="s">
        <v>25512</v>
      </c>
      <c r="K5114" s="5" t="s">
        <v>344</v>
      </c>
      <c r="L5114" s="5" t="s">
        <v>40486</v>
      </c>
      <c r="M5114" s="27"/>
      <c r="N5114" s="5"/>
      <c r="O5114" s="5" t="str">
        <v>7728593616</v>
      </c>
      <c r="P5114" s="27">
        <v>3500000</v>
      </c>
      <c r="Q5114" s="5" t="s">
        <v>49009</v>
      </c>
      <c r="R5114" s="5"/>
      <c r="S5114" s="5" t="s">
        <v>49010</v>
      </c>
      <c r="T5114" s="28">
        <v>1110686000</v>
      </c>
      <c r="U5114" s="28">
        <v>9280000</v>
      </c>
      <c r="V5114" s="28">
        <v>1320477000</v>
      </c>
      <c r="W5114" s="28">
        <v>8858000</v>
      </c>
      <c r="X5114" s="28">
        <v>126315000</v>
      </c>
      <c r="Y5114" s="28">
        <v>3710375000</v>
      </c>
      <c r="Z5114" s="28">
        <v>2985397000</v>
      </c>
      <c r="AA5114" s="28"/>
      <c r="AB5114" s="28"/>
      <c r="AC5114" s="28">
        <v>685703000</v>
      </c>
      <c r="AD5114" s="28">
        <v>2988897000</v>
      </c>
      <c r="AE5114" s="28">
        <v>6331106000</v>
      </c>
      <c r="AF5114" s="28">
        <v>930489000</v>
      </c>
      <c r="AG5114" s="11"/>
    </row>
    <row r="5115">
      <c r="A5115" s="7" t="s">
        <v>6733</v>
      </c>
      <c r="B5115" s="5" t="s">
        <v>14698</v>
      </c>
      <c r="C5115" s="5" t="s">
        <v>22412</v>
      </c>
      <c r="D5115" s="5" t="str">
        <v>781147375667</v>
      </c>
      <c r="E5115" s="0" t="e">
        <f>+7 (812) 3203233
+7 (812) 3373336
+7 (812) 4112233
+7 (812) 4381083</f>
        <v>#NAME?</v>
      </c>
      <c r="F5115" s="5" t="s">
        <v>40487</v>
      </c>
      <c r="G5115" s="5" t="s">
        <v>40488</v>
      </c>
      <c r="H5115" s="26">
        <v>19.5</v>
      </c>
      <c r="I5115" s="5" t="s">
        <v>40489</v>
      </c>
      <c r="J5115" s="5" t="s">
        <v>26770</v>
      </c>
      <c r="K5115" s="5" t="s">
        <v>344</v>
      </c>
      <c r="L5115" s="5" t="s">
        <v>40490</v>
      </c>
      <c r="M5115" s="27"/>
      <c r="N5115" s="5"/>
      <c r="O5115" s="5" t="str">
        <v>7807054342</v>
      </c>
      <c r="P5115" s="27">
        <v>100000</v>
      </c>
      <c r="Q5115" s="5" t="s">
        <v>49009</v>
      </c>
      <c r="R5115" s="5"/>
      <c r="S5115" s="5" t="s">
        <v>49010</v>
      </c>
      <c r="T5115" s="28">
        <v>32500000</v>
      </c>
      <c r="U5115" s="28"/>
      <c r="V5115" s="28">
        <v>983960000</v>
      </c>
      <c r="W5115" s="28">
        <v>1000000</v>
      </c>
      <c r="X5115" s="28">
        <v>92380000</v>
      </c>
      <c r="Y5115" s="28">
        <v>2243970000</v>
      </c>
      <c r="Z5115" s="28">
        <v>1651158000</v>
      </c>
      <c r="AA5115" s="28"/>
      <c r="AB5115" s="28">
        <v>100524000</v>
      </c>
      <c r="AC5115" s="28">
        <v>583873000</v>
      </c>
      <c r="AD5115" s="28">
        <v>1651258000</v>
      </c>
      <c r="AE5115" s="28">
        <v>5037683000</v>
      </c>
      <c r="AF5115" s="28">
        <v>504434000</v>
      </c>
      <c r="AG5115" s="11"/>
    </row>
    <row r="5116">
      <c r="A5116" s="7" t="s">
        <v>6734</v>
      </c>
      <c r="B5116" s="5" t="s">
        <v>14699</v>
      </c>
      <c r="C5116" s="5" t="s">
        <v>22413</v>
      </c>
      <c r="D5116" s="5" t="str">
        <v>645000661259</v>
      </c>
      <c r="E5116" s="0" t="e">
        <f>+7 (927) 2773899
+7 (937) 276769
+7 (8452) 694295
+7 (8452) 735566
+7 (8452) 735601
+7 (8452) 735655
+7 (8452) 738272
+7 (8452) 773899
+7 (967) 8092205</f>
        <v>#NAME?</v>
      </c>
      <c r="F5116" s="5" t="s">
        <v>40491</v>
      </c>
      <c r="G5116" s="5" t="s">
        <v>40492</v>
      </c>
      <c r="H5116" s="26">
        <v>13</v>
      </c>
      <c r="I5116" s="5" t="s">
        <v>40493</v>
      </c>
      <c r="J5116" s="5" t="s">
        <v>31191</v>
      </c>
      <c r="K5116" s="5" t="s">
        <v>344</v>
      </c>
      <c r="L5116" s="5" t="s">
        <v>40494</v>
      </c>
      <c r="M5116" s="27"/>
      <c r="N5116" s="5" t="s">
        <v>57139</v>
      </c>
      <c r="O5116" s="5" t="str">
        <v>6455051095</v>
      </c>
      <c r="P5116" s="27">
        <v>20000</v>
      </c>
      <c r="Q5116" s="5"/>
      <c r="R5116" s="5"/>
      <c r="S5116" s="5" t="s">
        <v>50936</v>
      </c>
      <c r="T5116" s="28">
        <v>6062000</v>
      </c>
      <c r="U5116" s="28">
        <v>10199000</v>
      </c>
      <c r="V5116" s="28">
        <v>815755000</v>
      </c>
      <c r="W5116" s="28">
        <v>2215000</v>
      </c>
      <c r="X5116" s="28">
        <v>259044000</v>
      </c>
      <c r="Y5116" s="28">
        <v>1815424000</v>
      </c>
      <c r="Z5116" s="28">
        <v>1444399000</v>
      </c>
      <c r="AA5116" s="28">
        <v>27000000</v>
      </c>
      <c r="AB5116" s="28">
        <v>70938000</v>
      </c>
      <c r="AC5116" s="28">
        <v>343096000</v>
      </c>
      <c r="AD5116" s="28">
        <v>1444419000</v>
      </c>
      <c r="AE5116" s="28">
        <v>6387139000</v>
      </c>
      <c r="AF5116" s="28">
        <v>367257000</v>
      </c>
      <c r="AG5116" s="11"/>
    </row>
    <row r="5117">
      <c r="A5117" s="7" t="s">
        <v>6735</v>
      </c>
      <c r="B5117" s="5" t="s">
        <v>14700</v>
      </c>
      <c r="C5117" s="5" t="s">
        <v>22414</v>
      </c>
      <c r="D5117" s="5" t="str">
        <v>504107429393</v>
      </c>
      <c r="E5117" s="0" t="e">
        <f>+7 (909) 6666087
+7 (495) 1505078
+7 (926) 3256871</f>
        <v>#NAME?</v>
      </c>
      <c r="F5117" s="5" t="s">
        <v>40495</v>
      </c>
      <c r="G5117" s="5" t="s">
        <v>40496</v>
      </c>
      <c r="H5117" s="26">
        <v>6.5</v>
      </c>
      <c r="I5117" s="5" t="s">
        <v>40497</v>
      </c>
      <c r="J5117" s="5" t="s">
        <v>27522</v>
      </c>
      <c r="K5117" s="5" t="s">
        <v>344</v>
      </c>
      <c r="L5117" s="5" t="s">
        <v>40498</v>
      </c>
      <c r="M5117" s="27"/>
      <c r="N5117" s="5"/>
      <c r="O5117" s="5" t="str">
        <v>7719451213</v>
      </c>
      <c r="P5117" s="27">
        <v>1000000</v>
      </c>
      <c r="Q5117" s="5" t="s">
        <v>49021</v>
      </c>
      <c r="R5117" s="5"/>
      <c r="S5117" s="5" t="s">
        <v>55483</v>
      </c>
      <c r="T5117" s="28">
        <v>156728000</v>
      </c>
      <c r="U5117" s="28">
        <v>56886000</v>
      </c>
      <c r="V5117" s="28">
        <v>7229949000</v>
      </c>
      <c r="W5117" s="28"/>
      <c r="X5117" s="28">
        <v>809638000</v>
      </c>
      <c r="Y5117" s="28">
        <v>14980187000</v>
      </c>
      <c r="Z5117" s="28">
        <v>1499778000</v>
      </c>
      <c r="AA5117" s="28">
        <v>1000000000</v>
      </c>
      <c r="AB5117" s="28">
        <v>5200000000</v>
      </c>
      <c r="AC5117" s="28">
        <v>12281830000</v>
      </c>
      <c r="AD5117" s="28">
        <v>1500778000</v>
      </c>
      <c r="AE5117" s="28">
        <v>50102292000</v>
      </c>
      <c r="AF5117" s="28">
        <v>1002694000</v>
      </c>
      <c r="AG5117" s="11"/>
    </row>
    <row r="5118">
      <c r="A5118" s="7" t="s">
        <v>6736</v>
      </c>
      <c r="B5118" s="5" t="s">
        <v>14701</v>
      </c>
      <c r="C5118" s="5" t="s">
        <v>22415</v>
      </c>
      <c r="D5118" s="5" t="str">
        <v>773772983562</v>
      </c>
      <c r="E5118" s="0" t="e">
        <f>+7 (800) 2504158</f>
        <v>#NAME?</v>
      </c>
      <c r="F5118" s="5" t="s">
        <v>40499</v>
      </c>
      <c r="G5118" s="5" t="s">
        <v>40500</v>
      </c>
      <c r="H5118" s="26">
        <v>6</v>
      </c>
      <c r="I5118" s="5" t="s">
        <v>40501</v>
      </c>
      <c r="J5118" s="5" t="s">
        <v>36400</v>
      </c>
      <c r="K5118" s="5" t="s">
        <v>355</v>
      </c>
      <c r="L5118" s="5" t="s">
        <v>37752</v>
      </c>
      <c r="M5118" s="27"/>
      <c r="N5118" s="5" t="s">
        <v>57140</v>
      </c>
      <c r="O5118" s="5" t="str">
        <v>7730234438</v>
      </c>
      <c r="P5118" s="27">
        <v>11765</v>
      </c>
      <c r="Q5118" s="5" t="s">
        <v>49021</v>
      </c>
      <c r="R5118" s="5"/>
      <c r="S5118" s="5" t="s">
        <v>57141</v>
      </c>
      <c r="T5118" s="28">
        <v>4084000</v>
      </c>
      <c r="U5118" s="28"/>
      <c r="V5118" s="28">
        <v>975467000</v>
      </c>
      <c r="W5118" s="28"/>
      <c r="X5118" s="28">
        <v>164894000</v>
      </c>
      <c r="Y5118" s="28">
        <v>1355671000</v>
      </c>
      <c r="Z5118" s="28">
        <v>280901000</v>
      </c>
      <c r="AA5118" s="28"/>
      <c r="AB5118" s="28"/>
      <c r="AC5118" s="28">
        <v>1074758000</v>
      </c>
      <c r="AD5118" s="28">
        <v>280913000</v>
      </c>
      <c r="AE5118" s="28">
        <v>6824731000</v>
      </c>
      <c r="AF5118" s="28">
        <v>128151000</v>
      </c>
      <c r="AG5118" s="11"/>
    </row>
    <row r="5119">
      <c r="A5119" s="7" t="s">
        <v>6737</v>
      </c>
      <c r="B5119" s="5" t="s">
        <v>14702</v>
      </c>
      <c r="C5119" s="5" t="s">
        <v>22416</v>
      </c>
      <c r="D5119" s="5" t="str">
        <v>780159290416</v>
      </c>
      <c r="E5119" s="0" t="e">
        <f>+7 (812) 2442585
+7 (812) 2445850
+7 (812) 3554310
+7 (931) 3554310</f>
        <v>#NAME?</v>
      </c>
      <c r="F5119" s="5" t="s">
        <v>40502</v>
      </c>
      <c r="G5119" s="5" t="s">
        <v>40503</v>
      </c>
      <c r="H5119" s="26">
        <v>10</v>
      </c>
      <c r="I5119" s="5" t="s">
        <v>40504</v>
      </c>
      <c r="J5119" s="5" t="s">
        <v>25193</v>
      </c>
      <c r="K5119" s="5" t="s">
        <v>344</v>
      </c>
      <c r="L5119" s="5" t="s">
        <v>40505</v>
      </c>
      <c r="M5119" s="27">
        <v>235709</v>
      </c>
      <c r="N5119" s="5"/>
      <c r="O5119" s="5" t="str">
        <v>7814566648</v>
      </c>
      <c r="P5119" s="27">
        <v>10000</v>
      </c>
      <c r="Q5119" s="5" t="s">
        <v>49009</v>
      </c>
      <c r="R5119" s="5"/>
      <c r="S5119" s="5" t="s">
        <v>49010</v>
      </c>
      <c r="T5119" s="28">
        <v>1665443000</v>
      </c>
      <c r="U5119" s="28"/>
      <c r="V5119" s="28">
        <v>883766000</v>
      </c>
      <c r="W5119" s="28"/>
      <c r="X5119" s="28">
        <v>898199000</v>
      </c>
      <c r="Y5119" s="28">
        <v>27482379000</v>
      </c>
      <c r="Z5119" s="28">
        <v>3368642000</v>
      </c>
      <c r="AA5119" s="28">
        <v>716579000</v>
      </c>
      <c r="AB5119" s="28">
        <v>1374598000</v>
      </c>
      <c r="AC5119" s="28">
        <v>21792385000</v>
      </c>
      <c r="AD5119" s="28">
        <v>3368652000</v>
      </c>
      <c r="AE5119" s="28">
        <v>12357608000</v>
      </c>
      <c r="AF5119" s="28">
        <v>1218917000</v>
      </c>
      <c r="AG5119" s="11"/>
    </row>
    <row r="5120">
      <c r="A5120" s="7" t="s">
        <v>6738</v>
      </c>
      <c r="B5120" s="5" t="s">
        <v>14703</v>
      </c>
      <c r="C5120" s="5" t="s">
        <v>22417</v>
      </c>
      <c r="D5120" s="5" t="str">
        <v>742302308752</v>
      </c>
      <c r="E5120" s="0" t="e">
        <f>+7 (909) 960831
+7 (3512) 112232
+7 (3512) 948616</f>
        <v>#NAME?</v>
      </c>
      <c r="F5120" s="5" t="s">
        <v>40506</v>
      </c>
      <c r="G5120" s="5" t="s">
        <v>40507</v>
      </c>
      <c r="H5120" s="26">
        <v>26</v>
      </c>
      <c r="I5120" s="5" t="s">
        <v>40508</v>
      </c>
      <c r="J5120" s="5" t="s">
        <v>389</v>
      </c>
      <c r="K5120" s="5" t="s">
        <v>344</v>
      </c>
      <c r="L5120" s="5"/>
      <c r="M5120" s="27"/>
      <c r="N5120" s="5" t="s">
        <v>57143</v>
      </c>
      <c r="O5120" s="5" t="str">
        <v>7438009698</v>
      </c>
      <c r="P5120" s="27">
        <v>10000000</v>
      </c>
      <c r="Q5120" s="5" t="s">
        <v>49021</v>
      </c>
      <c r="R5120" s="5" t="s">
        <v>57144</v>
      </c>
      <c r="S5120" s="5" t="s">
        <v>57145</v>
      </c>
      <c r="T5120" s="28">
        <v>373667000</v>
      </c>
      <c r="U5120" s="28"/>
      <c r="V5120" s="28">
        <v>1691006000</v>
      </c>
      <c r="W5120" s="28">
        <v>1318892000</v>
      </c>
      <c r="X5120" s="28">
        <v>129126000</v>
      </c>
      <c r="Y5120" s="28">
        <v>6761007000</v>
      </c>
      <c r="Z5120" s="28">
        <v>4254433000</v>
      </c>
      <c r="AA5120" s="28"/>
      <c r="AB5120" s="28">
        <v>313311000</v>
      </c>
      <c r="AC5120" s="28">
        <v>2471780000</v>
      </c>
      <c r="AD5120" s="28">
        <v>4287463000</v>
      </c>
      <c r="AE5120" s="28">
        <v>5472272000</v>
      </c>
      <c r="AF5120" s="28">
        <v>761522000</v>
      </c>
      <c r="AG5120" s="11"/>
    </row>
    <row r="5121">
      <c r="A5121" s="7" t="s">
        <v>6739</v>
      </c>
      <c r="B5121" s="5" t="s">
        <v>14704</v>
      </c>
      <c r="C5121" s="5" t="s">
        <v>22418</v>
      </c>
      <c r="D5121" s="5" t="str">
        <v>771702878232</v>
      </c>
      <c r="E5121" s="0" t="e">
        <f>+7 (495) 1208881
+7 (495) 1501108
+7 (906) 7499898
+7 (965) 3702087</f>
        <v>#NAME?</v>
      </c>
      <c r="F5121" s="5" t="s">
        <v>40509</v>
      </c>
      <c r="G5121" s="5" t="s">
        <v>40510</v>
      </c>
      <c r="H5121" s="26">
        <v>7.5</v>
      </c>
      <c r="I5121" s="5" t="s">
        <v>40511</v>
      </c>
      <c r="J5121" s="5" t="s">
        <v>25332</v>
      </c>
      <c r="K5121" s="5" t="s">
        <v>344</v>
      </c>
      <c r="L5121" s="5" t="s">
        <v>40512</v>
      </c>
      <c r="M5121" s="27">
        <v>1525091</v>
      </c>
      <c r="N5121" s="5" t="s">
        <v>57146</v>
      </c>
      <c r="O5121" s="5" t="str">
        <v>5029200812</v>
      </c>
      <c r="P5121" s="27">
        <v>10000000</v>
      </c>
      <c r="Q5121" s="5" t="s">
        <v>49059</v>
      </c>
      <c r="R5121" s="5"/>
      <c r="S5121" s="5" t="s">
        <v>49361</v>
      </c>
      <c r="T5121" s="28">
        <v>155026000</v>
      </c>
      <c r="U5121" s="28">
        <v>92150000</v>
      </c>
      <c r="V5121" s="28">
        <v>2128079000</v>
      </c>
      <c r="W5121" s="28"/>
      <c r="X5121" s="28">
        <v>12690000</v>
      </c>
      <c r="Y5121" s="28">
        <v>2957858000</v>
      </c>
      <c r="Z5121" s="28">
        <v>154256000</v>
      </c>
      <c r="AA5121" s="28">
        <v>192500000</v>
      </c>
      <c r="AB5121" s="28">
        <v>553788000</v>
      </c>
      <c r="AC5121" s="28">
        <v>2593625000</v>
      </c>
      <c r="AD5121" s="28">
        <v>171733000</v>
      </c>
      <c r="AE5121" s="28">
        <v>7847420000</v>
      </c>
      <c r="AF5121" s="28">
        <v>38659000</v>
      </c>
      <c r="AG5121" s="11"/>
    </row>
    <row r="5122">
      <c r="A5122" s="7" t="s">
        <v>6740</v>
      </c>
      <c r="B5122" s="5" t="s">
        <v>14705</v>
      </c>
      <c r="C5122" s="5" t="s">
        <v>22419</v>
      </c>
      <c r="D5122" s="5" t="str">
        <v>503003111822</v>
      </c>
      <c r="E5122" s="0" t="e">
        <f>+7 (495) 7899559
+7 (800) 7707676</f>
        <v>#NAME?</v>
      </c>
      <c r="F5122" s="5" t="s">
        <v>40513</v>
      </c>
      <c r="G5122" s="5"/>
      <c r="H5122" s="26">
        <v>10.5</v>
      </c>
      <c r="I5122" s="5" t="s">
        <v>40514</v>
      </c>
      <c r="J5122" s="5" t="s">
        <v>27522</v>
      </c>
      <c r="K5122" s="5" t="s">
        <v>344</v>
      </c>
      <c r="L5122" s="5"/>
      <c r="M5122" s="27"/>
      <c r="N5122" s="5" t="s">
        <v>55722</v>
      </c>
      <c r="O5122" s="5" t="str">
        <v>7718893547</v>
      </c>
      <c r="P5122" s="27">
        <v>2010000</v>
      </c>
      <c r="Q5122" s="5"/>
      <c r="R5122" s="5" t="s">
        <v>57147</v>
      </c>
      <c r="S5122" s="5" t="s">
        <v>49425</v>
      </c>
      <c r="T5122" s="28">
        <v>475000</v>
      </c>
      <c r="U5122" s="28"/>
      <c r="V5122" s="28">
        <v>647652000</v>
      </c>
      <c r="W5122" s="28">
        <v>8180000</v>
      </c>
      <c r="X5122" s="28">
        <v>57833000</v>
      </c>
      <c r="Y5122" s="28">
        <v>1374080000</v>
      </c>
      <c r="Z5122" s="28">
        <v>340342000</v>
      </c>
      <c r="AA5122" s="28"/>
      <c r="AB5122" s="28">
        <v>606640000</v>
      </c>
      <c r="AC5122" s="28">
        <v>1032738000</v>
      </c>
      <c r="AD5122" s="28">
        <v>341342000</v>
      </c>
      <c r="AE5122" s="28">
        <v>5181907000</v>
      </c>
      <c r="AF5122" s="28">
        <v>66412000</v>
      </c>
      <c r="AG5122" s="11"/>
    </row>
    <row r="5123">
      <c r="A5123" s="7" t="s">
        <v>6741</v>
      </c>
      <c r="B5123" s="5" t="s">
        <v>14706</v>
      </c>
      <c r="C5123" s="5" t="s">
        <v>22420</v>
      </c>
      <c r="D5123" s="5" t="str">
        <v>032400232792</v>
      </c>
      <c r="E5123" s="0" t="e">
        <f>+7 (3012) 332902
+7 (3012) 333103
+7 (3012) 453811
+7 (3012) 453817
+7 (30131) 41017
+7 (30131) 92920
+7 (30138) 73313
+7 (30147) 42640
+7 (30148) 23650</f>
        <v>#NAME?</v>
      </c>
      <c r="F5123" s="5"/>
      <c r="G5123" s="5"/>
      <c r="H5123" s="26">
        <v>6</v>
      </c>
      <c r="I5123" s="5" t="s">
        <v>40515</v>
      </c>
      <c r="J5123" s="5" t="s">
        <v>25219</v>
      </c>
      <c r="K5123" s="5" t="s">
        <v>344</v>
      </c>
      <c r="L5123" s="5" t="s">
        <v>29507</v>
      </c>
      <c r="M5123" s="27"/>
      <c r="N5123" s="5"/>
      <c r="O5123" s="5" t="str">
        <v>0314888098</v>
      </c>
      <c r="P5123" s="27">
        <v>60000</v>
      </c>
      <c r="Q5123" s="5" t="s">
        <v>49009</v>
      </c>
      <c r="R5123" s="5"/>
      <c r="S5123" s="5" t="s">
        <v>49066</v>
      </c>
      <c r="T5123" s="28">
        <v>43380000</v>
      </c>
      <c r="U5123" s="28"/>
      <c r="V5123" s="28">
        <v>647068000</v>
      </c>
      <c r="W5123" s="28">
        <v>39600000</v>
      </c>
      <c r="X5123" s="28">
        <v>53604000</v>
      </c>
      <c r="Y5123" s="28">
        <v>835706000</v>
      </c>
      <c r="Z5123" s="28">
        <v>157546000</v>
      </c>
      <c r="AA5123" s="28"/>
      <c r="AB5123" s="28">
        <v>252640000</v>
      </c>
      <c r="AC5123" s="28">
        <v>678100000</v>
      </c>
      <c r="AD5123" s="28">
        <v>157606000</v>
      </c>
      <c r="AE5123" s="28">
        <v>3402358000</v>
      </c>
      <c r="AF5123" s="28">
        <v>49577000</v>
      </c>
      <c r="AG5123" s="11"/>
    </row>
    <row r="5124">
      <c r="A5124" s="7" t="s">
        <v>6742</v>
      </c>
      <c r="B5124" s="5" t="s">
        <v>14707</v>
      </c>
      <c r="C5124" s="5" t="s">
        <v>22421</v>
      </c>
      <c r="D5124" s="5" t="str">
        <v>645100695981</v>
      </c>
      <c r="E5124" s="0" t="e">
        <f>+7 (8452) 390063
+7 (8452) 452622</f>
        <v>#NAME?</v>
      </c>
      <c r="F5124" s="5" t="s">
        <v>40516</v>
      </c>
      <c r="G5124" s="5"/>
      <c r="H5124" s="26">
        <v>22</v>
      </c>
      <c r="I5124" s="5" t="s">
        <v>40517</v>
      </c>
      <c r="J5124" s="5" t="s">
        <v>25850</v>
      </c>
      <c r="K5124" s="5" t="s">
        <v>344</v>
      </c>
      <c r="L5124" s="5" t="s">
        <v>40518</v>
      </c>
      <c r="M5124" s="27"/>
      <c r="N5124" s="5"/>
      <c r="O5124" s="5" t="str">
        <v>6452071657</v>
      </c>
      <c r="P5124" s="27">
        <v>25000000</v>
      </c>
      <c r="Q5124" s="5" t="s">
        <v>49009</v>
      </c>
      <c r="R5124" s="5"/>
      <c r="S5124" s="5" t="s">
        <v>49066</v>
      </c>
      <c r="T5124" s="28">
        <v>50638000</v>
      </c>
      <c r="U5124" s="28">
        <v>9860000</v>
      </c>
      <c r="V5124" s="28">
        <v>302736000</v>
      </c>
      <c r="W5124" s="28"/>
      <c r="X5124" s="28">
        <v>14157000</v>
      </c>
      <c r="Y5124" s="28">
        <v>1253622000</v>
      </c>
      <c r="Z5124" s="28">
        <v>271875000</v>
      </c>
      <c r="AA5124" s="28"/>
      <c r="AB5124" s="28">
        <v>881068000</v>
      </c>
      <c r="AC5124" s="28">
        <v>956747000</v>
      </c>
      <c r="AD5124" s="28">
        <v>296875000</v>
      </c>
      <c r="AE5124" s="28">
        <v>5263540000</v>
      </c>
      <c r="AF5124" s="28">
        <v>-93010000</v>
      </c>
      <c r="AG5124" s="11"/>
    </row>
    <row r="5125">
      <c r="A5125" s="7" t="s">
        <v>6743</v>
      </c>
      <c r="B5125" s="5" t="s">
        <v>14708</v>
      </c>
      <c r="C5125" s="5" t="s">
        <v>22422</v>
      </c>
      <c r="D5125" s="5" t="str">
        <v>636779141474</v>
      </c>
      <c r="F5125" s="5"/>
      <c r="G5125" s="5"/>
      <c r="H5125" s="26">
        <v>8.5</v>
      </c>
      <c r="I5125" s="5" t="s">
        <v>40519</v>
      </c>
      <c r="J5125" s="5" t="s">
        <v>27497</v>
      </c>
      <c r="K5125" s="5" t="s">
        <v>344</v>
      </c>
      <c r="L5125" s="5" t="s">
        <v>40520</v>
      </c>
      <c r="M5125" s="27"/>
      <c r="N5125" s="5" t="s">
        <v>57148</v>
      </c>
      <c r="O5125" s="5" t="str">
        <v>6319184353</v>
      </c>
      <c r="P5125" s="27">
        <v>100000</v>
      </c>
      <c r="Q5125" s="5" t="s">
        <v>49009</v>
      </c>
      <c r="R5125" s="5"/>
      <c r="S5125" s="5" t="s">
        <v>49045</v>
      </c>
      <c r="T5125" s="28">
        <v>342582000</v>
      </c>
      <c r="U5125" s="28"/>
      <c r="V5125" s="28">
        <v>748139000</v>
      </c>
      <c r="W5125" s="28">
        <v>367473000</v>
      </c>
      <c r="X5125" s="28">
        <v>78110000</v>
      </c>
      <c r="Y5125" s="28">
        <v>2141773000</v>
      </c>
      <c r="Z5125" s="28">
        <v>50457000</v>
      </c>
      <c r="AA5125" s="28"/>
      <c r="AB5125" s="28">
        <v>403000000</v>
      </c>
      <c r="AC5125" s="28">
        <v>1685551000</v>
      </c>
      <c r="AD5125" s="28">
        <v>50557000</v>
      </c>
      <c r="AE5125" s="28">
        <v>12934212000</v>
      </c>
      <c r="AF5125" s="28">
        <v>1315000</v>
      </c>
      <c r="AG5125" s="11"/>
    </row>
    <row r="5126">
      <c r="A5126" s="7" t="s">
        <v>6744</v>
      </c>
      <c r="B5126" s="5" t="s">
        <v>14709</v>
      </c>
      <c r="C5126" s="5" t="s">
        <v>22423</v>
      </c>
      <c r="D5126" s="5"/>
      <c r="F5126" s="5" t="s">
        <v>40521</v>
      </c>
      <c r="G5126" s="5"/>
      <c r="H5126" s="26">
        <v>5.5</v>
      </c>
      <c r="I5126" s="5" t="s">
        <v>40522</v>
      </c>
      <c r="J5126" s="5" t="s">
        <v>364</v>
      </c>
      <c r="K5126" s="5" t="s">
        <v>344</v>
      </c>
      <c r="L5126" s="5"/>
      <c r="M5126" s="27">
        <v>14241546</v>
      </c>
      <c r="N5126" s="5" t="s">
        <v>57150</v>
      </c>
      <c r="O5126" s="5" t="str">
        <v>7704414963</v>
      </c>
      <c r="P5126" s="27">
        <v>10000</v>
      </c>
      <c r="Q5126" s="5" t="s">
        <v>57151</v>
      </c>
      <c r="R5126" s="5"/>
      <c r="S5126" s="5" t="s">
        <v>57152</v>
      </c>
      <c r="T5126" s="28">
        <v>34664000</v>
      </c>
      <c r="U5126" s="28">
        <v>124303000</v>
      </c>
      <c r="V5126" s="28">
        <v>2743462000</v>
      </c>
      <c r="W5126" s="28">
        <v>257345000</v>
      </c>
      <c r="X5126" s="28">
        <v>169389000</v>
      </c>
      <c r="Y5126" s="28">
        <v>7385040000</v>
      </c>
      <c r="Z5126" s="28">
        <v>302149000</v>
      </c>
      <c r="AA5126" s="28"/>
      <c r="AB5126" s="28">
        <v>24000</v>
      </c>
      <c r="AC5126" s="28">
        <v>7082639000</v>
      </c>
      <c r="AD5126" s="28">
        <v>302159000</v>
      </c>
      <c r="AE5126" s="28">
        <v>7318920000</v>
      </c>
      <c r="AF5126" s="28">
        <v>61247000</v>
      </c>
      <c r="AG5126" s="11"/>
    </row>
    <row r="5127">
      <c r="A5127" s="7" t="s">
        <v>6745</v>
      </c>
      <c r="B5127" s="5" t="s">
        <v>14710</v>
      </c>
      <c r="C5127" s="5" t="s">
        <v>22424</v>
      </c>
      <c r="D5127" s="5" t="str">
        <v>772010283637</v>
      </c>
      <c r="E5127" s="0" t="e">
        <f>+7 (495) 5036463
+7 (495) 5036762</f>
        <v>#NAME?</v>
      </c>
      <c r="F5127" s="5"/>
      <c r="G5127" s="5" t="s">
        <v>40523</v>
      </c>
      <c r="H5127" s="26">
        <v>10</v>
      </c>
      <c r="I5127" s="5" t="s">
        <v>40524</v>
      </c>
      <c r="J5127" s="5" t="s">
        <v>27182</v>
      </c>
      <c r="K5127" s="5" t="s">
        <v>380</v>
      </c>
      <c r="L5127" s="5" t="s">
        <v>40525</v>
      </c>
      <c r="M5127" s="27">
        <v>1308778</v>
      </c>
      <c r="N5127" s="5"/>
      <c r="O5127" s="5" t="str">
        <v>5027196840</v>
      </c>
      <c r="P5127" s="27">
        <v>42500</v>
      </c>
      <c r="Q5127" s="5" t="s">
        <v>49021</v>
      </c>
      <c r="R5127" s="5"/>
      <c r="S5127" s="5" t="s">
        <v>57153</v>
      </c>
      <c r="T5127" s="28">
        <v>22074000</v>
      </c>
      <c r="U5127" s="28"/>
      <c r="V5127" s="28">
        <v>2183930000</v>
      </c>
      <c r="W5127" s="28"/>
      <c r="X5127" s="28">
        <v>3219230000</v>
      </c>
      <c r="Y5127" s="28">
        <v>16395083000</v>
      </c>
      <c r="Z5127" s="28">
        <v>2107179000</v>
      </c>
      <c r="AA5127" s="28"/>
      <c r="AB5127" s="28"/>
      <c r="AC5127" s="28">
        <v>4412081000</v>
      </c>
      <c r="AD5127" s="28">
        <v>2452342000</v>
      </c>
      <c r="AE5127" s="28">
        <v>3858101000</v>
      </c>
      <c r="AF5127" s="28">
        <v>-714402000</v>
      </c>
      <c r="AG5127" s="11"/>
    </row>
    <row r="5128">
      <c r="A5128" s="7" t="s">
        <v>6746</v>
      </c>
      <c r="B5128" s="5" t="s">
        <v>14711</v>
      </c>
      <c r="C5128" s="5" t="s">
        <v>22425</v>
      </c>
      <c r="D5128" s="5" t="str">
        <v>246602895720</v>
      </c>
      <c r="E5128" s="0" t="e">
        <f>+7 (391) 2089440
+7 (923) 2946739</f>
        <v>#NAME?</v>
      </c>
      <c r="F5128" s="5" t="s">
        <v>40526</v>
      </c>
      <c r="G5128" s="5" t="s">
        <v>40527</v>
      </c>
      <c r="H5128" s="26">
        <v>12</v>
      </c>
      <c r="I5128" s="5" t="s">
        <v>40528</v>
      </c>
      <c r="J5128" s="5" t="s">
        <v>373</v>
      </c>
      <c r="K5128" s="5" t="s">
        <v>344</v>
      </c>
      <c r="L5128" s="5" t="s">
        <v>40529</v>
      </c>
      <c r="M5128" s="27">
        <v>1071048</v>
      </c>
      <c r="N5128" s="5" t="s">
        <v>57154</v>
      </c>
      <c r="O5128" s="5" t="str">
        <v>2465248142</v>
      </c>
      <c r="P5128" s="27">
        <v>20000</v>
      </c>
      <c r="Q5128" s="5" t="s">
        <v>57155</v>
      </c>
      <c r="R5128" s="5"/>
      <c r="S5128" s="5" t="s">
        <v>52318</v>
      </c>
      <c r="T5128" s="28">
        <v>361502000</v>
      </c>
      <c r="U5128" s="28"/>
      <c r="V5128" s="28">
        <v>672716000</v>
      </c>
      <c r="W5128" s="28"/>
      <c r="X5128" s="28">
        <v>1321000</v>
      </c>
      <c r="Y5128" s="28">
        <v>1443514000</v>
      </c>
      <c r="Z5128" s="28">
        <v>825165000</v>
      </c>
      <c r="AA5128" s="28"/>
      <c r="AB5128" s="28">
        <v>303421000</v>
      </c>
      <c r="AC5128" s="28">
        <v>611362000</v>
      </c>
      <c r="AD5128" s="28">
        <v>825185000</v>
      </c>
      <c r="AE5128" s="28">
        <v>4867629000</v>
      </c>
      <c r="AF5128" s="28">
        <v>272975000</v>
      </c>
      <c r="AG5128" s="11"/>
    </row>
    <row r="5129">
      <c r="A5129" s="7" t="s">
        <v>6747</v>
      </c>
      <c r="B5129" s="5" t="s">
        <v>14712</v>
      </c>
      <c r="C5129" s="5" t="s">
        <v>22426</v>
      </c>
      <c r="D5129" s="5" t="str">
        <v>504102771420</v>
      </c>
      <c r="E5129" s="0" t="e">
        <f>+7 (495) 9825984</f>
        <v>#NAME?</v>
      </c>
      <c r="F5129" s="5"/>
      <c r="G5129" s="5" t="s">
        <v>40530</v>
      </c>
      <c r="H5129" s="26">
        <v>9</v>
      </c>
      <c r="I5129" s="5" t="s">
        <v>40531</v>
      </c>
      <c r="J5129" s="5" t="s">
        <v>40532</v>
      </c>
      <c r="K5129" s="5" t="s">
        <v>344</v>
      </c>
      <c r="L5129" s="5" t="s">
        <v>40533</v>
      </c>
      <c r="M5129" s="27">
        <v>4569339</v>
      </c>
      <c r="N5129" s="5" t="s">
        <v>55112</v>
      </c>
      <c r="O5129" s="5" t="str">
        <v>5009093400</v>
      </c>
      <c r="P5129" s="27">
        <v>100000</v>
      </c>
      <c r="Q5129" s="5"/>
      <c r="R5129" s="5"/>
      <c r="S5129" s="5" t="s">
        <v>49110</v>
      </c>
      <c r="T5129" s="28">
        <v>112548000</v>
      </c>
      <c r="U5129" s="28">
        <v>104829000</v>
      </c>
      <c r="V5129" s="28">
        <v>2436937000</v>
      </c>
      <c r="W5129" s="28">
        <v>16395000</v>
      </c>
      <c r="X5129" s="28">
        <v>407805000</v>
      </c>
      <c r="Y5129" s="28">
        <v>4380909000</v>
      </c>
      <c r="Z5129" s="28">
        <v>916111000</v>
      </c>
      <c r="AA5129" s="28"/>
      <c r="AB5129" s="28"/>
      <c r="AC5129" s="28">
        <v>3202213000</v>
      </c>
      <c r="AD5129" s="28">
        <v>916211000</v>
      </c>
      <c r="AE5129" s="28">
        <v>11368547000</v>
      </c>
      <c r="AF5129" s="28">
        <v>540866000</v>
      </c>
      <c r="AG5129" s="11"/>
    </row>
    <row r="5130">
      <c r="A5130" s="7" t="s">
        <v>6748</v>
      </c>
      <c r="B5130" s="5" t="s">
        <v>14713</v>
      </c>
      <c r="C5130" s="5" t="s">
        <v>22427</v>
      </c>
      <c r="D5130" s="5" t="str">
        <v>503113058716</v>
      </c>
      <c r="E5130" s="0" t="e">
        <f>+7 (495) 9559365
+7 (903) 1733139
+7 (499) 6863888
+7 (499) 6888608
+7 (977) 8071334</f>
        <v>#NAME?</v>
      </c>
      <c r="F5130" s="5" t="s">
        <v>40534</v>
      </c>
      <c r="G5130" s="5" t="s">
        <v>40535</v>
      </c>
      <c r="H5130" s="26">
        <v>10.5</v>
      </c>
      <c r="I5130" s="5" t="s">
        <v>40536</v>
      </c>
      <c r="J5130" s="5" t="s">
        <v>785</v>
      </c>
      <c r="K5130" s="5" t="s">
        <v>355</v>
      </c>
      <c r="L5130" s="5" t="s">
        <v>40537</v>
      </c>
      <c r="M5130" s="27"/>
      <c r="N5130" s="5" t="s">
        <v>49577</v>
      </c>
      <c r="O5130" s="5" t="str">
        <v>7707778278</v>
      </c>
      <c r="P5130" s="27">
        <v>100000</v>
      </c>
      <c r="Q5130" s="5"/>
      <c r="R5130" s="5"/>
      <c r="S5130" s="5" t="s">
        <v>49162</v>
      </c>
      <c r="T5130" s="28">
        <v>2002000</v>
      </c>
      <c r="U5130" s="28"/>
      <c r="V5130" s="28">
        <v>732612000</v>
      </c>
      <c r="W5130" s="28">
        <v>181600000</v>
      </c>
      <c r="X5130" s="28">
        <v>1956000</v>
      </c>
      <c r="Y5130" s="28">
        <v>920866000</v>
      </c>
      <c r="Z5130" s="28">
        <v>2242000</v>
      </c>
      <c r="AA5130" s="28"/>
      <c r="AB5130" s="28"/>
      <c r="AC5130" s="28">
        <v>918524000</v>
      </c>
      <c r="AD5130" s="28">
        <v>2342000</v>
      </c>
      <c r="AE5130" s="28">
        <v>3219733000</v>
      </c>
      <c r="AF5130" s="28">
        <v>11415000</v>
      </c>
      <c r="AG5130" s="11"/>
    </row>
    <row r="5131">
      <c r="A5131" s="7" t="s">
        <v>6749</v>
      </c>
      <c r="B5131" s="5" t="s">
        <v>13155</v>
      </c>
      <c r="C5131" s="5" t="s">
        <v>22428</v>
      </c>
      <c r="D5131" s="5" t="str">
        <v>500302079106</v>
      </c>
      <c r="E5131" s="0" t="e">
        <f>+7 (495) 4366815
+7 (495) 4364818
+7 (495) 4366018
+7 (495) 4366030
+7 (495) 6626879
+7 (495) 6626880
+7 (495) 6944303</f>
        <v>#NAME?</v>
      </c>
      <c r="F5131" s="5"/>
      <c r="G5131" s="5"/>
      <c r="H5131" s="26">
        <v>18.5</v>
      </c>
      <c r="I5131" s="5" t="s">
        <v>40538</v>
      </c>
      <c r="J5131" s="5" t="s">
        <v>40539</v>
      </c>
      <c r="K5131" s="5" t="s">
        <v>344</v>
      </c>
      <c r="L5131" s="5" t="s">
        <v>40540</v>
      </c>
      <c r="M5131" s="27"/>
      <c r="N5131" s="5"/>
      <c r="O5131" s="5" t="str">
        <v>7709565395</v>
      </c>
      <c r="P5131" s="27">
        <v>10010000</v>
      </c>
      <c r="Q5131" s="5" t="s">
        <v>49009</v>
      </c>
      <c r="R5131" s="5"/>
      <c r="S5131" s="5" t="s">
        <v>49010</v>
      </c>
      <c r="T5131" s="28">
        <v>789203000</v>
      </c>
      <c r="U5131" s="28"/>
      <c r="V5131" s="28">
        <v>79524000</v>
      </c>
      <c r="W5131" s="28"/>
      <c r="X5131" s="28">
        <v>818071000</v>
      </c>
      <c r="Y5131" s="28">
        <v>3161059000</v>
      </c>
      <c r="Z5131" s="28">
        <v>1814142000</v>
      </c>
      <c r="AA5131" s="28"/>
      <c r="AB5131" s="28"/>
      <c r="AC5131" s="28">
        <v>621081000</v>
      </c>
      <c r="AD5131" s="28">
        <v>2143796000</v>
      </c>
      <c r="AE5131" s="28">
        <v>4483198000</v>
      </c>
      <c r="AF5131" s="28">
        <v>701375000</v>
      </c>
      <c r="AG5131" s="11"/>
    </row>
    <row r="5132">
      <c r="A5132" s="7" t="s">
        <v>6750</v>
      </c>
      <c r="B5132" s="5" t="s">
        <v>10541</v>
      </c>
      <c r="C5132" s="5" t="s">
        <v>22429</v>
      </c>
      <c r="D5132" s="5" t="str">
        <v>773010610759</v>
      </c>
      <c r="E5132" s="0" t="e">
        <f>+7 (495) 9378383
+7 (495) 4249999
+7 (495) 6443333
+7 (495) 9378488</f>
        <v>#NAME?</v>
      </c>
      <c r="F5132" s="5" t="s">
        <v>40541</v>
      </c>
      <c r="G5132" s="5" t="s">
        <v>40542</v>
      </c>
      <c r="H5132" s="26">
        <v>18.5</v>
      </c>
      <c r="I5132" s="5" t="s">
        <v>40543</v>
      </c>
      <c r="J5132" s="5" t="s">
        <v>27697</v>
      </c>
      <c r="K5132" s="5" t="s">
        <v>344</v>
      </c>
      <c r="L5132" s="5" t="s">
        <v>40544</v>
      </c>
      <c r="M5132" s="27"/>
      <c r="N5132" s="5"/>
      <c r="O5132" s="5" t="str">
        <v>7704532646</v>
      </c>
      <c r="P5132" s="27">
        <v>12250000</v>
      </c>
      <c r="Q5132" s="5" t="s">
        <v>49009</v>
      </c>
      <c r="R5132" s="5"/>
      <c r="S5132" s="5" t="s">
        <v>49010</v>
      </c>
      <c r="T5132" s="28">
        <v>351968000</v>
      </c>
      <c r="U5132" s="28"/>
      <c r="V5132" s="28">
        <v>1251572000</v>
      </c>
      <c r="W5132" s="28"/>
      <c r="X5132" s="28">
        <v>2041869000</v>
      </c>
      <c r="Y5132" s="28">
        <v>4263427000</v>
      </c>
      <c r="Z5132" s="28">
        <v>-1638767000</v>
      </c>
      <c r="AA5132" s="28"/>
      <c r="AB5132" s="28"/>
      <c r="AC5132" s="28">
        <v>1996522000</v>
      </c>
      <c r="AD5132" s="28">
        <v>2164235000</v>
      </c>
      <c r="AE5132" s="28">
        <v>8359089000</v>
      </c>
      <c r="AF5132" s="28">
        <v>742250000</v>
      </c>
      <c r="AG5132" s="11"/>
    </row>
    <row r="5133">
      <c r="A5133" s="7" t="s">
        <v>6751</v>
      </c>
      <c r="B5133" s="5" t="s">
        <v>14714</v>
      </c>
      <c r="C5133" s="5" t="s">
        <v>22430</v>
      </c>
      <c r="D5133" s="5" t="str">
        <v>501305213986</v>
      </c>
      <c r="E5133" s="0" t="e">
        <f>+7 (495) 2121251
+7 (495) 6292530
+7 (495) 7369712
+7 (495) 7369843</f>
        <v>#NAME?</v>
      </c>
      <c r="F5133" s="5" t="s">
        <v>40545</v>
      </c>
      <c r="G5133" s="5" t="s">
        <v>40546</v>
      </c>
      <c r="H5133" s="26">
        <v>23.5</v>
      </c>
      <c r="I5133" s="5"/>
      <c r="J5133" s="5" t="s">
        <v>25454</v>
      </c>
      <c r="K5133" s="5" t="s">
        <v>355</v>
      </c>
      <c r="L5133" s="5"/>
      <c r="M5133" s="27">
        <v>305990</v>
      </c>
      <c r="N5133" s="5"/>
      <c r="O5133" s="5" t="str">
        <v>7732107883</v>
      </c>
      <c r="P5133" s="27">
        <v>5713925616</v>
      </c>
      <c r="Q5133" s="5" t="s">
        <v>57156</v>
      </c>
      <c r="R5133" s="5"/>
      <c r="S5133" s="5" t="s">
        <v>50248</v>
      </c>
      <c r="T5133" s="28">
        <v>44549657000</v>
      </c>
      <c r="U5133" s="28"/>
      <c r="V5133" s="28">
        <v>7209614000</v>
      </c>
      <c r="W5133" s="28"/>
      <c r="X5133" s="28">
        <v>976418000</v>
      </c>
      <c r="Y5133" s="28">
        <v>64344987000</v>
      </c>
      <c r="Z5133" s="28">
        <v>-4410622000</v>
      </c>
      <c r="AA5133" s="28">
        <v>1745709000</v>
      </c>
      <c r="AB5133" s="28"/>
      <c r="AC5133" s="28">
        <v>11060597000</v>
      </c>
      <c r="AD5133" s="28">
        <v>3511035000</v>
      </c>
      <c r="AE5133" s="28">
        <v>32046498000</v>
      </c>
      <c r="AF5133" s="28">
        <v>4474383000</v>
      </c>
      <c r="AG5133" s="11"/>
    </row>
    <row r="5134">
      <c r="A5134" s="7" t="s">
        <v>6752</v>
      </c>
      <c r="B5134" s="5" t="s">
        <v>14715</v>
      </c>
      <c r="C5134" s="5" t="s">
        <v>22431</v>
      </c>
      <c r="D5134" s="5" t="str">
        <v>770200296790</v>
      </c>
      <c r="E5134" s="0" t="e">
        <f>+7 (495) 9250449
+7 (499) 4901952
+7 (499) 4901953</f>
        <v>#NAME?</v>
      </c>
      <c r="F5134" s="5" t="s">
        <v>40547</v>
      </c>
      <c r="G5134" s="5"/>
      <c r="H5134" s="26">
        <v>6.5</v>
      </c>
      <c r="I5134" s="5" t="s">
        <v>40548</v>
      </c>
      <c r="J5134" s="5" t="s">
        <v>678</v>
      </c>
      <c r="K5134" s="5" t="s">
        <v>344</v>
      </c>
      <c r="L5134" s="5"/>
      <c r="M5134" s="27"/>
      <c r="N5134" s="5"/>
      <c r="O5134" s="5" t="str">
        <v>7724366718</v>
      </c>
      <c r="P5134" s="27">
        <v>10000</v>
      </c>
      <c r="Q5134" s="5"/>
      <c r="R5134" s="5"/>
      <c r="S5134" s="5" t="s">
        <v>49110</v>
      </c>
      <c r="T5134" s="28"/>
      <c r="U5134" s="28"/>
      <c r="V5134" s="28">
        <v>35423000</v>
      </c>
      <c r="W5134" s="28"/>
      <c r="X5134" s="28">
        <v>2540000</v>
      </c>
      <c r="Y5134" s="28">
        <v>69523000</v>
      </c>
      <c r="Z5134" s="28"/>
      <c r="AA5134" s="28">
        <v>80143000</v>
      </c>
      <c r="AB5134" s="28">
        <v>5000000</v>
      </c>
      <c r="AC5134" s="28">
        <v>10631000</v>
      </c>
      <c r="AD5134" s="28">
        <v>-21251000</v>
      </c>
      <c r="AE5134" s="28">
        <v>28697431000</v>
      </c>
      <c r="AF5134" s="28">
        <v>299851000</v>
      </c>
      <c r="AG5134" s="11"/>
    </row>
    <row r="5135">
      <c r="A5135" s="7" t="s">
        <v>6753</v>
      </c>
      <c r="B5135" s="5" t="s">
        <v>14716</v>
      </c>
      <c r="C5135" s="5" t="s">
        <v>22432</v>
      </c>
      <c r="D5135" s="5" t="str">
        <v>166004629031</v>
      </c>
      <c r="E5135" s="0" t="e">
        <f>+7 (8435) 900700
+7 (8435) 980971
+7 (917) 8661424</f>
        <v>#NAME?</v>
      </c>
      <c r="F5135" s="5" t="s">
        <v>40549</v>
      </c>
      <c r="G5135" s="5"/>
      <c r="H5135" s="26">
        <v>6</v>
      </c>
      <c r="I5135" s="5" t="s">
        <v>40550</v>
      </c>
      <c r="J5135" s="5" t="s">
        <v>678</v>
      </c>
      <c r="K5135" s="5" t="s">
        <v>344</v>
      </c>
      <c r="L5135" s="5" t="s">
        <v>40551</v>
      </c>
      <c r="M5135" s="27"/>
      <c r="N5135" s="5" t="s">
        <v>57157</v>
      </c>
      <c r="O5135" s="5" t="str">
        <v>7743207022</v>
      </c>
      <c r="P5135" s="27">
        <v>1050000</v>
      </c>
      <c r="Q5135" s="5" t="s">
        <v>57158</v>
      </c>
      <c r="R5135" s="5"/>
      <c r="S5135" s="5" t="s">
        <v>57159</v>
      </c>
      <c r="T5135" s="28">
        <v>178800000</v>
      </c>
      <c r="U5135" s="28">
        <v>57891000</v>
      </c>
      <c r="V5135" s="28">
        <v>1927010000</v>
      </c>
      <c r="W5135" s="28">
        <v>357671000</v>
      </c>
      <c r="X5135" s="28">
        <v>58821000</v>
      </c>
      <c r="Y5135" s="28">
        <v>3324459000</v>
      </c>
      <c r="Z5135" s="28">
        <v>409713000</v>
      </c>
      <c r="AA5135" s="28"/>
      <c r="AB5135" s="28">
        <v>257037000</v>
      </c>
      <c r="AC5135" s="28">
        <v>2901564000</v>
      </c>
      <c r="AD5135" s="28">
        <v>410763000</v>
      </c>
      <c r="AE5135" s="28">
        <v>9818393000</v>
      </c>
      <c r="AF5135" s="28">
        <v>192436000</v>
      </c>
      <c r="AG5135" s="11"/>
    </row>
    <row r="5136">
      <c r="A5136" s="7" t="s">
        <v>6754</v>
      </c>
      <c r="B5136" s="5" t="s">
        <v>14717</v>
      </c>
      <c r="C5136" s="5" t="s">
        <v>22433</v>
      </c>
      <c r="D5136" s="5" t="str">
        <v>770303592818</v>
      </c>
      <c r="E5136" s="0" t="e">
        <f>+7 (495) 7284213
+7 (495) 7284216
+7 (495) 9888712
+7 (49672) 54190
+7 (49672) 54290</f>
        <v>#NAME?</v>
      </c>
      <c r="F5136" s="5" t="s">
        <v>40552</v>
      </c>
      <c r="G5136" s="5" t="s">
        <v>40553</v>
      </c>
      <c r="H5136" s="26">
        <v>14.5</v>
      </c>
      <c r="I5136" s="5"/>
      <c r="J5136" s="5" t="s">
        <v>1073</v>
      </c>
      <c r="K5136" s="5" t="s">
        <v>344</v>
      </c>
      <c r="L5136" s="5" t="s">
        <v>40554</v>
      </c>
      <c r="M5136" s="27"/>
      <c r="N5136" s="5" t="s">
        <v>57160</v>
      </c>
      <c r="O5136" s="5" t="str">
        <v>7704691396</v>
      </c>
      <c r="P5136" s="27">
        <v>25000000</v>
      </c>
      <c r="Q5136" s="5" t="s">
        <v>49009</v>
      </c>
      <c r="R5136" s="5"/>
      <c r="S5136" s="5" t="s">
        <v>49045</v>
      </c>
      <c r="T5136" s="28">
        <v>7732000</v>
      </c>
      <c r="U5136" s="28"/>
      <c r="V5136" s="28">
        <v>321591000</v>
      </c>
      <c r="W5136" s="28"/>
      <c r="X5136" s="28">
        <v>343265000</v>
      </c>
      <c r="Y5136" s="28">
        <v>1701023000</v>
      </c>
      <c r="Z5136" s="28">
        <v>877476000</v>
      </c>
      <c r="AA5136" s="28"/>
      <c r="AB5136" s="28"/>
      <c r="AC5136" s="28">
        <v>796840000</v>
      </c>
      <c r="AD5136" s="28">
        <v>903726000</v>
      </c>
      <c r="AE5136" s="28">
        <v>5254581000</v>
      </c>
      <c r="AF5136" s="28">
        <v>82853000</v>
      </c>
      <c r="AG5136" s="11"/>
    </row>
    <row r="5137">
      <c r="A5137" s="7" t="s">
        <v>6755</v>
      </c>
      <c r="B5137" s="5" t="s">
        <v>14718</v>
      </c>
      <c r="C5137" s="5" t="s">
        <v>22434</v>
      </c>
      <c r="D5137" s="5" t="str">
        <v>780208511501</v>
      </c>
      <c r="E5137" s="0" t="e">
        <f>+7 (812) 6779068
+7 (812) 7029068</f>
        <v>#NAME?</v>
      </c>
      <c r="F5137" s="5" t="s">
        <v>40555</v>
      </c>
      <c r="G5137" s="5" t="s">
        <v>40556</v>
      </c>
      <c r="H5137" s="26">
        <v>15</v>
      </c>
      <c r="I5137" s="5" t="s">
        <v>40557</v>
      </c>
      <c r="J5137" s="5" t="s">
        <v>31123</v>
      </c>
      <c r="K5137" s="5" t="s">
        <v>344</v>
      </c>
      <c r="L5137" s="5" t="s">
        <v>40558</v>
      </c>
      <c r="M5137" s="27">
        <v>6714000</v>
      </c>
      <c r="N5137" s="5" t="s">
        <v>57161</v>
      </c>
      <c r="O5137" s="5" t="str">
        <v>7814408105</v>
      </c>
      <c r="P5137" s="27">
        <v>1000000</v>
      </c>
      <c r="Q5137" s="5" t="s">
        <v>57162</v>
      </c>
      <c r="R5137" s="5"/>
      <c r="S5137" s="5" t="s">
        <v>57163</v>
      </c>
      <c r="T5137" s="28">
        <v>6524000</v>
      </c>
      <c r="U5137" s="28"/>
      <c r="V5137" s="28">
        <v>1340407000</v>
      </c>
      <c r="W5137" s="28">
        <v>1840947000</v>
      </c>
      <c r="X5137" s="28">
        <v>91046000</v>
      </c>
      <c r="Y5137" s="28">
        <v>3466214000</v>
      </c>
      <c r="Z5137" s="28">
        <v>2873760000</v>
      </c>
      <c r="AA5137" s="28">
        <v>72000000</v>
      </c>
      <c r="AB5137" s="28"/>
      <c r="AC5137" s="28">
        <v>517355000</v>
      </c>
      <c r="AD5137" s="28">
        <v>2874760000</v>
      </c>
      <c r="AE5137" s="28">
        <v>4145408000</v>
      </c>
      <c r="AF5137" s="28">
        <v>1008077000</v>
      </c>
      <c r="AG5137" s="11"/>
    </row>
    <row r="5138">
      <c r="A5138" s="7" t="s">
        <v>6756</v>
      </c>
      <c r="B5138" s="5" t="s">
        <v>14719</v>
      </c>
      <c r="C5138" s="5" t="s">
        <v>22435</v>
      </c>
      <c r="D5138" s="5" t="str">
        <v>770401867757</v>
      </c>
      <c r="E5138" s="0" t="e">
        <f>+7 (35374) 97338
+7 (495) 9377733
+7 (495) 9944848
+7 (495) 9944898
+7 (495) 9955000
+7 (495) 9959990
+7 (812) 3630786
+7 (831) 2486056
+7 (8452) 756066
+7 (8634) 317623
+7 (8634) 344111</f>
        <v>#NAME?</v>
      </c>
      <c r="F5138" s="5" t="s">
        <v>40559</v>
      </c>
      <c r="G5138" s="5" t="s">
        <v>40560</v>
      </c>
      <c r="H5138" s="26">
        <v>25</v>
      </c>
      <c r="I5138" s="5" t="s">
        <v>40561</v>
      </c>
      <c r="J5138" s="5" t="s">
        <v>599</v>
      </c>
      <c r="K5138" s="5" t="s">
        <v>355</v>
      </c>
      <c r="L5138" s="5"/>
      <c r="M5138" s="27">
        <v>67386587</v>
      </c>
      <c r="N5138" s="5" t="s">
        <v>50348</v>
      </c>
      <c r="O5138" s="5" t="str">
        <v>7707205911</v>
      </c>
      <c r="P5138" s="27">
        <v>1000000</v>
      </c>
      <c r="Q5138" s="5" t="s">
        <v>57164</v>
      </c>
      <c r="R5138" s="5"/>
      <c r="S5138" s="5" t="s">
        <v>55247</v>
      </c>
      <c r="T5138" s="28">
        <v>40937613000</v>
      </c>
      <c r="U5138" s="28">
        <v>7705635000</v>
      </c>
      <c r="V5138" s="28">
        <v>14645603000</v>
      </c>
      <c r="W5138" s="28">
        <v>200675000</v>
      </c>
      <c r="X5138" s="28">
        <v>805411000</v>
      </c>
      <c r="Y5138" s="28">
        <v>83984239000</v>
      </c>
      <c r="Z5138" s="28">
        <v>19807437000</v>
      </c>
      <c r="AA5138" s="28">
        <v>16148640000</v>
      </c>
      <c r="AB5138" s="28">
        <v>9909709000</v>
      </c>
      <c r="AC5138" s="28">
        <v>32904820000</v>
      </c>
      <c r="AD5138" s="28">
        <v>19815677000</v>
      </c>
      <c r="AE5138" s="28">
        <v>41355266000</v>
      </c>
      <c r="AF5138" s="28">
        <v>2430262000</v>
      </c>
      <c r="AG5138" s="11"/>
    </row>
    <row r="5139">
      <c r="A5139" s="7" t="s">
        <v>6757</v>
      </c>
      <c r="B5139" s="5" t="s">
        <v>14720</v>
      </c>
      <c r="C5139" s="5" t="s">
        <v>22436</v>
      </c>
      <c r="D5139" s="5" t="str">
        <v>071509882947</v>
      </c>
      <c r="E5139" s="0" t="e">
        <f>+7 (495) 7756057
+7 (3433) 777899
+7 (812) 3804523</f>
        <v>#NAME?</v>
      </c>
      <c r="F5139" s="5" t="s">
        <v>40562</v>
      </c>
      <c r="G5139" s="5"/>
      <c r="H5139" s="26">
        <v>20</v>
      </c>
      <c r="I5139" s="5" t="s">
        <v>40563</v>
      </c>
      <c r="J5139" s="5" t="s">
        <v>599</v>
      </c>
      <c r="K5139" s="5" t="s">
        <v>344</v>
      </c>
      <c r="L5139" s="5" t="s">
        <v>40564</v>
      </c>
      <c r="M5139" s="27"/>
      <c r="N5139" s="5"/>
      <c r="O5139" s="5" t="str">
        <v>6659090952</v>
      </c>
      <c r="P5139" s="27">
        <v>160000</v>
      </c>
      <c r="Q5139" s="5"/>
      <c r="R5139" s="5"/>
      <c r="S5139" s="5" t="s">
        <v>49195</v>
      </c>
      <c r="T5139" s="28">
        <v>4457000</v>
      </c>
      <c r="U5139" s="28"/>
      <c r="V5139" s="28">
        <v>503424000</v>
      </c>
      <c r="W5139" s="28"/>
      <c r="X5139" s="28">
        <v>183079000</v>
      </c>
      <c r="Y5139" s="28">
        <v>859623000</v>
      </c>
      <c r="Z5139" s="28">
        <v>132421000</v>
      </c>
      <c r="AA5139" s="28">
        <v>113483000</v>
      </c>
      <c r="AB5139" s="28">
        <v>75655000</v>
      </c>
      <c r="AC5139" s="28">
        <v>371022000</v>
      </c>
      <c r="AD5139" s="28">
        <v>356937000</v>
      </c>
      <c r="AE5139" s="28">
        <v>5303777000</v>
      </c>
      <c r="AF5139" s="28">
        <v>15298000</v>
      </c>
      <c r="AG5139" s="11"/>
    </row>
    <row r="5140">
      <c r="A5140" s="7" t="s">
        <v>6758</v>
      </c>
      <c r="B5140" s="5" t="s">
        <v>14721</v>
      </c>
      <c r="C5140" s="5" t="s">
        <v>22437</v>
      </c>
      <c r="D5140" s="5" t="str">
        <v>770907591180</v>
      </c>
      <c r="E5140" s="0" t="e">
        <f>+7 (495) 9991521
+7 (499) 9991521
+7 (812) 6221000</f>
        <v>#NAME?</v>
      </c>
      <c r="F5140" s="5"/>
      <c r="G5140" s="5"/>
      <c r="H5140" s="26">
        <v>12</v>
      </c>
      <c r="I5140" s="5" t="s">
        <v>40565</v>
      </c>
      <c r="J5140" s="5" t="s">
        <v>28617</v>
      </c>
      <c r="K5140" s="5" t="s">
        <v>380</v>
      </c>
      <c r="L5140" s="5" t="s">
        <v>40566</v>
      </c>
      <c r="M5140" s="27"/>
      <c r="N5140" s="5"/>
      <c r="O5140" s="5" t="str">
        <v>7801537819</v>
      </c>
      <c r="P5140" s="27">
        <v>80325000</v>
      </c>
      <c r="Q5140" s="5" t="s">
        <v>57165</v>
      </c>
      <c r="R5140" s="5"/>
      <c r="S5140" s="5" t="s">
        <v>49195</v>
      </c>
      <c r="T5140" s="28"/>
      <c r="U5140" s="28"/>
      <c r="V5140" s="28">
        <v>30585000</v>
      </c>
      <c r="W5140" s="28"/>
      <c r="X5140" s="28">
        <v>771960000</v>
      </c>
      <c r="Y5140" s="28">
        <v>6783949000</v>
      </c>
      <c r="Z5140" s="28">
        <v>-8482808000</v>
      </c>
      <c r="AA5140" s="28"/>
      <c r="AB5140" s="28"/>
      <c r="AC5140" s="28">
        <v>782009000</v>
      </c>
      <c r="AD5140" s="28">
        <v>6001796000</v>
      </c>
      <c r="AE5140" s="28">
        <v>7243791000</v>
      </c>
      <c r="AF5140" s="28">
        <v>-17451464000</v>
      </c>
      <c r="AG5140" s="11"/>
    </row>
    <row r="5141">
      <c r="A5141" s="7" t="s">
        <v>6759</v>
      </c>
      <c r="B5141" s="5" t="s">
        <v>14722</v>
      </c>
      <c r="C5141" s="5" t="s">
        <v>22438</v>
      </c>
      <c r="D5141" s="5" t="str">
        <v>667003691522</v>
      </c>
      <c r="E5141" s="0" t="e">
        <f>+7 (922) 2110830
+7 (343) 3775081</f>
        <v>#NAME?</v>
      </c>
      <c r="F5141" s="5" t="s">
        <v>40567</v>
      </c>
      <c r="G5141" s="5"/>
      <c r="H5141" s="26">
        <v>6</v>
      </c>
      <c r="I5141" s="5" t="s">
        <v>40568</v>
      </c>
      <c r="J5141" s="5" t="s">
        <v>599</v>
      </c>
      <c r="K5141" s="5" t="s">
        <v>344</v>
      </c>
      <c r="L5141" s="5" t="s">
        <v>40569</v>
      </c>
      <c r="M5141" s="27"/>
      <c r="N5141" s="5" t="s">
        <v>57166</v>
      </c>
      <c r="O5141" s="5" t="str">
        <v>6670451151</v>
      </c>
      <c r="P5141" s="27">
        <v>20000000</v>
      </c>
      <c r="Q5141" s="5"/>
      <c r="R5141" s="5"/>
      <c r="S5141" s="5" t="s">
        <v>49195</v>
      </c>
      <c r="T5141" s="28">
        <v>829424000</v>
      </c>
      <c r="U5141" s="28"/>
      <c r="V5141" s="28">
        <v>777906000</v>
      </c>
      <c r="W5141" s="28"/>
      <c r="X5141" s="28">
        <v>236224000</v>
      </c>
      <c r="Y5141" s="28">
        <v>1847941000</v>
      </c>
      <c r="Z5141" s="28">
        <v>698363000</v>
      </c>
      <c r="AA5141" s="28">
        <v>753293000</v>
      </c>
      <c r="AB5141" s="28"/>
      <c r="AC5141" s="28">
        <v>374905000</v>
      </c>
      <c r="AD5141" s="28">
        <v>718363000</v>
      </c>
      <c r="AE5141" s="28">
        <v>7085595000</v>
      </c>
      <c r="AF5141" s="28">
        <v>546701000</v>
      </c>
      <c r="AG5141" s="11"/>
    </row>
    <row r="5142">
      <c r="A5142" s="7" t="s">
        <v>6760</v>
      </c>
      <c r="B5142" s="5" t="s">
        <v>14723</v>
      </c>
      <c r="C5142" s="5" t="s">
        <v>22439</v>
      </c>
      <c r="D5142" s="5" t="str">
        <v>772394131702</v>
      </c>
      <c r="E5142" s="0" t="e">
        <f>+7 (495) 5140655
+7 (495) 2150435
+7 (495) 2152350
+7 (800) 3331204
+7 (800) 5003514</f>
        <v>#NAME?</v>
      </c>
      <c r="F5142" s="5" t="s">
        <v>40570</v>
      </c>
      <c r="G5142" s="5" t="s">
        <v>40571</v>
      </c>
      <c r="H5142" s="26">
        <v>12</v>
      </c>
      <c r="I5142" s="5" t="s">
        <v>40572</v>
      </c>
      <c r="J5142" s="5" t="s">
        <v>27983</v>
      </c>
      <c r="K5142" s="5" t="s">
        <v>344</v>
      </c>
      <c r="L5142" s="5" t="s">
        <v>40573</v>
      </c>
      <c r="M5142" s="27"/>
      <c r="N5142" s="5"/>
      <c r="O5142" s="5" t="str">
        <v>7707747022</v>
      </c>
      <c r="P5142" s="27">
        <v>9000000</v>
      </c>
      <c r="Q5142" s="5" t="s">
        <v>49009</v>
      </c>
      <c r="R5142" s="5"/>
      <c r="S5142" s="5" t="s">
        <v>49010</v>
      </c>
      <c r="T5142" s="28">
        <v>141000</v>
      </c>
      <c r="U5142" s="28"/>
      <c r="V5142" s="28">
        <v>617648000</v>
      </c>
      <c r="W5142" s="28"/>
      <c r="X5142" s="28">
        <v>1396061000</v>
      </c>
      <c r="Y5142" s="28">
        <v>3542393000</v>
      </c>
      <c r="Z5142" s="28">
        <v>2920089000</v>
      </c>
      <c r="AA5142" s="28"/>
      <c r="AB5142" s="28"/>
      <c r="AC5142" s="28">
        <v>463365000</v>
      </c>
      <c r="AD5142" s="28">
        <v>3079028000</v>
      </c>
      <c r="AE5142" s="28">
        <v>4662083000</v>
      </c>
      <c r="AF5142" s="28">
        <v>460860000</v>
      </c>
      <c r="AG5142" s="11"/>
    </row>
    <row r="5143">
      <c r="A5143" s="7" t="s">
        <v>6761</v>
      </c>
      <c r="B5143" s="5" t="s">
        <v>14724</v>
      </c>
      <c r="C5143" s="5" t="s">
        <v>22440</v>
      </c>
      <c r="D5143" s="5" t="str">
        <v>771599414717</v>
      </c>
      <c r="E5143" s="0" t="e">
        <f>+7 (495) 9612565
+7 (495) 9612566
+7 (800) 1008220
+7 (800) 2008220
+7 (910) 4549197</f>
        <v>#NAME?</v>
      </c>
      <c r="F5143" s="5"/>
      <c r="G5143" s="5"/>
      <c r="H5143" s="26">
        <v>20</v>
      </c>
      <c r="I5143" s="5" t="s">
        <v>40574</v>
      </c>
      <c r="J5143" s="5" t="s">
        <v>25429</v>
      </c>
      <c r="K5143" s="5" t="s">
        <v>344</v>
      </c>
      <c r="L5143" s="5" t="s">
        <v>40575</v>
      </c>
      <c r="M5143" s="27"/>
      <c r="N5143" s="5"/>
      <c r="O5143" s="5" t="str">
        <v>7710463461</v>
      </c>
      <c r="P5143" s="27">
        <v>72709325</v>
      </c>
      <c r="Q5143" s="5" t="s">
        <v>49009</v>
      </c>
      <c r="R5143" s="5"/>
      <c r="S5143" s="5" t="s">
        <v>49010</v>
      </c>
      <c r="T5143" s="28">
        <v>601402000</v>
      </c>
      <c r="U5143" s="28">
        <v>1240186000</v>
      </c>
      <c r="V5143" s="28">
        <v>1795060000</v>
      </c>
      <c r="W5143" s="28"/>
      <c r="X5143" s="28">
        <v>4031315000</v>
      </c>
      <c r="Y5143" s="28">
        <v>9760746000</v>
      </c>
      <c r="Z5143" s="28">
        <v>4593645000</v>
      </c>
      <c r="AA5143" s="28"/>
      <c r="AB5143" s="28"/>
      <c r="AC5143" s="28">
        <v>4793982000</v>
      </c>
      <c r="AD5143" s="28">
        <v>4666354000</v>
      </c>
      <c r="AE5143" s="28">
        <v>16288801000</v>
      </c>
      <c r="AF5143" s="28">
        <v>2206689000</v>
      </c>
      <c r="AG5143" s="11"/>
    </row>
    <row r="5144">
      <c r="A5144" s="7" t="s">
        <v>6762</v>
      </c>
      <c r="B5144" s="5" t="s">
        <v>14725</v>
      </c>
      <c r="C5144" s="5" t="s">
        <v>22440</v>
      </c>
      <c r="D5144" s="5" t="str">
        <v>771599414717</v>
      </c>
      <c r="E5144" s="0" t="e">
        <f>+7 (495) 9612566
+7 (495) 7485257
+7 (495) 9612565
+7 (800) 1008220
+7 (910) 4549197</f>
        <v>#NAME?</v>
      </c>
      <c r="F5144" s="5"/>
      <c r="G5144" s="5" t="s">
        <v>40576</v>
      </c>
      <c r="H5144" s="26">
        <v>26</v>
      </c>
      <c r="I5144" s="5" t="s">
        <v>40577</v>
      </c>
      <c r="J5144" s="5" t="s">
        <v>26224</v>
      </c>
      <c r="K5144" s="5" t="s">
        <v>344</v>
      </c>
      <c r="L5144" s="5" t="s">
        <v>40578</v>
      </c>
      <c r="M5144" s="27"/>
      <c r="N5144" s="5"/>
      <c r="O5144" s="5" t="str">
        <v>7705495411</v>
      </c>
      <c r="P5144" s="27">
        <v>1104753284</v>
      </c>
      <c r="Q5144" s="5" t="s">
        <v>49009</v>
      </c>
      <c r="R5144" s="5"/>
      <c r="S5144" s="5" t="s">
        <v>49066</v>
      </c>
      <c r="T5144" s="28">
        <v>740920000</v>
      </c>
      <c r="U5144" s="28">
        <v>608194000</v>
      </c>
      <c r="V5144" s="28">
        <v>1008307000</v>
      </c>
      <c r="W5144" s="28">
        <v>5222753000</v>
      </c>
      <c r="X5144" s="28">
        <v>3764110000</v>
      </c>
      <c r="Y5144" s="28">
        <v>12665478000</v>
      </c>
      <c r="Z5144" s="28">
        <v>7176639000</v>
      </c>
      <c r="AA5144" s="28"/>
      <c r="AB5144" s="28"/>
      <c r="AC5144" s="28">
        <v>4376093000</v>
      </c>
      <c r="AD5144" s="28">
        <v>8281392000</v>
      </c>
      <c r="AE5144" s="28">
        <v>15110099000</v>
      </c>
      <c r="AF5144" s="28">
        <v>4527100000</v>
      </c>
      <c r="AG5144" s="11"/>
    </row>
    <row r="5145">
      <c r="A5145" s="7" t="s">
        <v>6763</v>
      </c>
      <c r="B5145" s="5" t="s">
        <v>14726</v>
      </c>
      <c r="C5145" s="5" t="s">
        <v>22441</v>
      </c>
      <c r="D5145" s="5" t="str">
        <v>165713717513</v>
      </c>
      <c r="E5145" s="0" t="e">
        <f>+7 (8435) 280460</f>
        <v>#NAME?</v>
      </c>
      <c r="F5145" s="5"/>
      <c r="G5145" s="5"/>
      <c r="H5145" s="26">
        <v>8.5</v>
      </c>
      <c r="I5145" s="5" t="s">
        <v>40579</v>
      </c>
      <c r="J5145" s="5" t="s">
        <v>364</v>
      </c>
      <c r="K5145" s="5" t="s">
        <v>355</v>
      </c>
      <c r="L5145" s="5" t="s">
        <v>40580</v>
      </c>
      <c r="M5145" s="27">
        <v>18762185</v>
      </c>
      <c r="N5145" s="5" t="s">
        <v>50064</v>
      </c>
      <c r="O5145" s="5" t="str">
        <v>1660214547</v>
      </c>
      <c r="P5145" s="27">
        <v>10000</v>
      </c>
      <c r="Q5145" s="5"/>
      <c r="R5145" s="5"/>
      <c r="S5145" s="5" t="s">
        <v>49110</v>
      </c>
      <c r="T5145" s="28">
        <v>101087000</v>
      </c>
      <c r="U5145" s="28"/>
      <c r="V5145" s="28">
        <v>1789560000</v>
      </c>
      <c r="W5145" s="28"/>
      <c r="X5145" s="28">
        <v>1940000</v>
      </c>
      <c r="Y5145" s="28">
        <v>2354258000</v>
      </c>
      <c r="Z5145" s="28">
        <v>8661000</v>
      </c>
      <c r="AA5145" s="28"/>
      <c r="AB5145" s="28"/>
      <c r="AC5145" s="28">
        <v>2305294000</v>
      </c>
      <c r="AD5145" s="28">
        <v>8671000</v>
      </c>
      <c r="AE5145" s="28">
        <v>5144274000</v>
      </c>
      <c r="AF5145" s="28">
        <v>8661000</v>
      </c>
      <c r="AG5145" s="11"/>
    </row>
    <row r="5146">
      <c r="A5146" s="7" t="s">
        <v>6764</v>
      </c>
      <c r="B5146" s="5" t="s">
        <v>10405</v>
      </c>
      <c r="C5146" s="5" t="s">
        <v>18296</v>
      </c>
      <c r="D5146" s="5" t="str">
        <v>366202214267</v>
      </c>
      <c r="E5146" s="0" t="e">
        <f>+7 (473) 2602171
+7 (499) 4042456</f>
        <v>#NAME?</v>
      </c>
      <c r="F5146" s="5" t="s">
        <v>40581</v>
      </c>
      <c r="G5146" s="5" t="s">
        <v>40582</v>
      </c>
      <c r="H5146" s="26">
        <v>22</v>
      </c>
      <c r="I5146" s="5"/>
      <c r="J5146" s="5" t="s">
        <v>461</v>
      </c>
      <c r="K5146" s="5" t="s">
        <v>344</v>
      </c>
      <c r="L5146" s="5" t="s">
        <v>40583</v>
      </c>
      <c r="M5146" s="27"/>
      <c r="N5146" s="5" t="s">
        <v>57167</v>
      </c>
      <c r="O5146" s="5" t="str">
        <v>3666089896</v>
      </c>
      <c r="P5146" s="27">
        <v>14000000</v>
      </c>
      <c r="Q5146" s="5" t="s">
        <v>57168</v>
      </c>
      <c r="R5146" s="5"/>
      <c r="S5146" s="5" t="s">
        <v>57169</v>
      </c>
      <c r="T5146" s="28">
        <v>38138000</v>
      </c>
      <c r="U5146" s="28"/>
      <c r="V5146" s="28">
        <v>407936000</v>
      </c>
      <c r="W5146" s="28">
        <v>10000000</v>
      </c>
      <c r="X5146" s="28">
        <v>990380000</v>
      </c>
      <c r="Y5146" s="28">
        <v>1488186000</v>
      </c>
      <c r="Z5146" s="28">
        <v>1115387000</v>
      </c>
      <c r="AA5146" s="28"/>
      <c r="AB5146" s="28"/>
      <c r="AC5146" s="28">
        <v>354406000</v>
      </c>
      <c r="AD5146" s="28">
        <v>1130087000</v>
      </c>
      <c r="AE5146" s="28">
        <v>5552964000</v>
      </c>
      <c r="AF5146" s="28">
        <v>497616000</v>
      </c>
      <c r="AG5146" s="11"/>
    </row>
    <row r="5147">
      <c r="A5147" s="7" t="s">
        <v>6765</v>
      </c>
      <c r="B5147" s="5" t="s">
        <v>14727</v>
      </c>
      <c r="C5147" s="5" t="s">
        <v>22442</v>
      </c>
      <c r="D5147" s="5" t="str">
        <v>741706387483</v>
      </c>
      <c r="F5147" s="5"/>
      <c r="G5147" s="5"/>
      <c r="H5147" s="26">
        <v>4</v>
      </c>
      <c r="I5147" s="5" t="s">
        <v>40584</v>
      </c>
      <c r="J5147" s="5" t="s">
        <v>373</v>
      </c>
      <c r="K5147" s="5" t="s">
        <v>344</v>
      </c>
      <c r="L5147" s="5" t="s">
        <v>33133</v>
      </c>
      <c r="M5147" s="27">
        <v>404300</v>
      </c>
      <c r="N5147" s="5" t="s">
        <v>57170</v>
      </c>
      <c r="O5147" s="5" t="str">
        <v>7702465306</v>
      </c>
      <c r="P5147" s="27">
        <v>1000000</v>
      </c>
      <c r="Q5147" s="5" t="s">
        <v>49057</v>
      </c>
      <c r="R5147" s="5"/>
      <c r="S5147" s="5" t="s">
        <v>57171</v>
      </c>
      <c r="T5147" s="28">
        <v>41194000</v>
      </c>
      <c r="U5147" s="28"/>
      <c r="V5147" s="28">
        <v>772123000</v>
      </c>
      <c r="W5147" s="28">
        <v>300000</v>
      </c>
      <c r="X5147" s="28">
        <v>285000</v>
      </c>
      <c r="Y5147" s="28">
        <v>875366000</v>
      </c>
      <c r="Z5147" s="28">
        <v>22313000</v>
      </c>
      <c r="AA5147" s="28">
        <v>137593000</v>
      </c>
      <c r="AB5147" s="28">
        <v>393620000</v>
      </c>
      <c r="AC5147" s="28">
        <v>711454000</v>
      </c>
      <c r="AD5147" s="28">
        <v>23313000</v>
      </c>
      <c r="AE5147" s="28">
        <v>5255479000</v>
      </c>
      <c r="AF5147" s="28">
        <v>19870000</v>
      </c>
      <c r="AG5147" s="11"/>
    </row>
    <row r="5148">
      <c r="A5148" s="7" t="s">
        <v>6766</v>
      </c>
      <c r="B5148" s="5" t="s">
        <v>14728</v>
      </c>
      <c r="C5148" s="5" t="s">
        <v>22443</v>
      </c>
      <c r="D5148" s="5" t="str">
        <v>622502158820</v>
      </c>
      <c r="E5148" s="0" t="e">
        <f>+7 (910) 6456712
+7 (912) 5015901
+7 (915) 5905917
+7 (4912) 372890
+7 (4912) 373333
+7 (4912) 555529
+7 (4912) 958000</f>
        <v>#NAME?</v>
      </c>
      <c r="F5148" s="5" t="s">
        <v>40585</v>
      </c>
      <c r="G5148" s="5" t="s">
        <v>40586</v>
      </c>
      <c r="H5148" s="26">
        <v>22</v>
      </c>
      <c r="I5148" s="5" t="s">
        <v>40587</v>
      </c>
      <c r="J5148" s="5" t="s">
        <v>38785</v>
      </c>
      <c r="K5148" s="5" t="s">
        <v>344</v>
      </c>
      <c r="L5148" s="5" t="s">
        <v>25768</v>
      </c>
      <c r="M5148" s="27">
        <v>110925</v>
      </c>
      <c r="N5148" s="5" t="s">
        <v>57172</v>
      </c>
      <c r="O5148" s="5" t="str">
        <v>6227009062</v>
      </c>
      <c r="P5148" s="27">
        <v>12163</v>
      </c>
      <c r="Q5148" s="5" t="s">
        <v>57173</v>
      </c>
      <c r="R5148" s="5"/>
      <c r="S5148" s="5" t="s">
        <v>57174</v>
      </c>
      <c r="T5148" s="28">
        <v>1099093000</v>
      </c>
      <c r="U5148" s="28">
        <v>635506000</v>
      </c>
      <c r="V5148" s="28">
        <v>6261784000</v>
      </c>
      <c r="W5148" s="28">
        <v>870289000</v>
      </c>
      <c r="X5148" s="28">
        <v>168614000</v>
      </c>
      <c r="Y5148" s="28">
        <v>15018016000</v>
      </c>
      <c r="Z5148" s="28">
        <v>5882427000</v>
      </c>
      <c r="AA5148" s="28"/>
      <c r="AB5148" s="28">
        <v>3556945000</v>
      </c>
      <c r="AC5148" s="28">
        <v>8647915000</v>
      </c>
      <c r="AD5148" s="28">
        <v>5882439000</v>
      </c>
      <c r="AE5148" s="28">
        <v>31739006000</v>
      </c>
      <c r="AF5148" s="28">
        <v>1876503000</v>
      </c>
      <c r="AG5148" s="11"/>
    </row>
    <row r="5149">
      <c r="A5149" s="7" t="s">
        <v>6767</v>
      </c>
      <c r="B5149" s="5" t="s">
        <v>14729</v>
      </c>
      <c r="C5149" s="5" t="s">
        <v>22444</v>
      </c>
      <c r="D5149" s="5" t="str">
        <v>501701110913</v>
      </c>
      <c r="E5149" s="0" t="e">
        <f>+7 (910) 4011663
+7 (925) 5268368
+7 (926) 1771704</f>
        <v>#NAME?</v>
      </c>
      <c r="F5149" s="5" t="s">
        <v>40588</v>
      </c>
      <c r="G5149" s="5" t="s">
        <v>40589</v>
      </c>
      <c r="H5149" s="26">
        <v>5.5</v>
      </c>
      <c r="I5149" s="5" t="s">
        <v>40590</v>
      </c>
      <c r="J5149" s="5" t="s">
        <v>467</v>
      </c>
      <c r="K5149" s="5" t="s">
        <v>344</v>
      </c>
      <c r="L5149" s="5"/>
      <c r="M5149" s="27"/>
      <c r="N5149" s="5" t="s">
        <v>57175</v>
      </c>
      <c r="O5149" s="5" t="str">
        <v>9729127308</v>
      </c>
      <c r="P5149" s="27">
        <v>22000</v>
      </c>
      <c r="Q5149" s="5" t="s">
        <v>57176</v>
      </c>
      <c r="R5149" s="5"/>
      <c r="S5149" s="5" t="s">
        <v>57177</v>
      </c>
      <c r="T5149" s="28">
        <v>158000</v>
      </c>
      <c r="U5149" s="28"/>
      <c r="V5149" s="28">
        <v>647909000</v>
      </c>
      <c r="W5149" s="28">
        <v>207000000</v>
      </c>
      <c r="X5149" s="28">
        <v>9002000</v>
      </c>
      <c r="Y5149" s="28">
        <v>1467313000</v>
      </c>
      <c r="Z5149" s="28">
        <v>270041000</v>
      </c>
      <c r="AA5149" s="28"/>
      <c r="AB5149" s="28"/>
      <c r="AC5149" s="28">
        <v>1197248000</v>
      </c>
      <c r="AD5149" s="28">
        <v>270063000</v>
      </c>
      <c r="AE5149" s="28">
        <v>3607243000</v>
      </c>
      <c r="AF5149" s="28">
        <v>54460000</v>
      </c>
      <c r="AG5149" s="11"/>
    </row>
    <row r="5150">
      <c r="A5150" s="7" t="s">
        <v>6768</v>
      </c>
      <c r="B5150" s="5" t="s">
        <v>14730</v>
      </c>
      <c r="C5150" s="5" t="s">
        <v>22445</v>
      </c>
      <c r="D5150" s="5" t="str">
        <v>744504121408</v>
      </c>
      <c r="E5150" s="0" t="e">
        <f>+7 (3519) 240256
+7 (3519) 240277
+7 (3519) 240633
+7 (3519) 240814
+7 (3519) 241044
+7 (3519) 241190
+7 (3519) 241509
+7 (3519) 241558
+7 (3519) 241839
+7 (3519) 242154
+7 (3519) 242304
+7 (3519) 242366
+7 (3519) 242971
+7 (3519) 243008
+7 (3519) 243029</f>
        <v>#NAME?</v>
      </c>
      <c r="F5150" s="5" t="s">
        <v>40591</v>
      </c>
      <c r="G5150" s="5" t="s">
        <v>40592</v>
      </c>
      <c r="H5150" s="26">
        <v>18</v>
      </c>
      <c r="I5150" s="5" t="s">
        <v>40593</v>
      </c>
      <c r="J5150" s="5" t="s">
        <v>28954</v>
      </c>
      <c r="K5150" s="5" t="s">
        <v>380</v>
      </c>
      <c r="L5150" s="5" t="s">
        <v>40594</v>
      </c>
      <c r="M5150" s="27"/>
      <c r="N5150" s="5"/>
      <c r="O5150" s="5" t="str">
        <v>7445024922</v>
      </c>
      <c r="P5150" s="27">
        <v>45381499</v>
      </c>
      <c r="Q5150" s="5" t="s">
        <v>49009</v>
      </c>
      <c r="R5150" s="5" t="s">
        <v>56636</v>
      </c>
      <c r="S5150" s="5" t="s">
        <v>49093</v>
      </c>
      <c r="T5150" s="28">
        <v>248444000</v>
      </c>
      <c r="U5150" s="28"/>
      <c r="V5150" s="28">
        <v>225643000</v>
      </c>
      <c r="W5150" s="28">
        <v>463950000</v>
      </c>
      <c r="X5150" s="28">
        <v>12000</v>
      </c>
      <c r="Y5150" s="28">
        <v>1179215000</v>
      </c>
      <c r="Z5150" s="28">
        <v>591577000</v>
      </c>
      <c r="AA5150" s="28"/>
      <c r="AB5150" s="28"/>
      <c r="AC5150" s="28">
        <v>396045000</v>
      </c>
      <c r="AD5150" s="28">
        <v>641496000</v>
      </c>
      <c r="AE5150" s="28">
        <v>3458697000</v>
      </c>
      <c r="AF5150" s="28">
        <v>274012000</v>
      </c>
      <c r="AG5150" s="11"/>
    </row>
    <row r="5151">
      <c r="A5151" s="7" t="s">
        <v>6769</v>
      </c>
      <c r="B5151" s="5" t="s">
        <v>14731</v>
      </c>
      <c r="C5151" s="5" t="s">
        <v>22446</v>
      </c>
      <c r="D5151" s="5" t="str">
        <v>402702194626</v>
      </c>
      <c r="E5151" s="0" t="e">
        <f>+7 (495) 3163897</f>
        <v>#NAME?</v>
      </c>
      <c r="F5151" s="5"/>
      <c r="G5151" s="5"/>
      <c r="H5151" s="26">
        <v>11</v>
      </c>
      <c r="I5151" s="5" t="s">
        <v>40595</v>
      </c>
      <c r="J5151" s="5" t="s">
        <v>25612</v>
      </c>
      <c r="K5151" s="5" t="s">
        <v>344</v>
      </c>
      <c r="L5151" s="5" t="s">
        <v>40596</v>
      </c>
      <c r="M5151" s="27"/>
      <c r="N5151" s="5" t="s">
        <v>57179</v>
      </c>
      <c r="O5151" s="5" t="str">
        <v>7726690276</v>
      </c>
      <c r="P5151" s="27">
        <v>300000</v>
      </c>
      <c r="Q5151" s="5" t="s">
        <v>57180</v>
      </c>
      <c r="R5151" s="5"/>
      <c r="S5151" s="5" t="s">
        <v>53762</v>
      </c>
      <c r="T5151" s="28">
        <v>2323000</v>
      </c>
      <c r="U5151" s="28"/>
      <c r="V5151" s="28">
        <v>956679000</v>
      </c>
      <c r="W5151" s="28">
        <v>162700000</v>
      </c>
      <c r="X5151" s="28">
        <v>533377000</v>
      </c>
      <c r="Y5151" s="28">
        <v>1688337000</v>
      </c>
      <c r="Z5151" s="28">
        <v>1299060000</v>
      </c>
      <c r="AA5151" s="28"/>
      <c r="AB5151" s="28"/>
      <c r="AC5151" s="28">
        <v>388977000</v>
      </c>
      <c r="AD5151" s="28">
        <v>1299360000</v>
      </c>
      <c r="AE5151" s="28">
        <v>3656211000</v>
      </c>
      <c r="AF5151" s="28">
        <v>920996000</v>
      </c>
      <c r="AG5151" s="11"/>
    </row>
    <row r="5152">
      <c r="A5152" s="7" t="s">
        <v>6770</v>
      </c>
      <c r="B5152" s="5" t="s">
        <v>14732</v>
      </c>
      <c r="C5152" s="5" t="s">
        <v>22447</v>
      </c>
      <c r="D5152" s="5" t="str">
        <v>550206187414</v>
      </c>
      <c r="E5152" s="0" t="e">
        <f>+7 (3467) 190452</f>
        <v>#NAME?</v>
      </c>
      <c r="F5152" s="5" t="s">
        <v>40597</v>
      </c>
      <c r="G5152" s="5"/>
      <c r="H5152" s="26">
        <v>24.5</v>
      </c>
      <c r="I5152" s="5" t="s">
        <v>40598</v>
      </c>
      <c r="J5152" s="5" t="s">
        <v>467</v>
      </c>
      <c r="K5152" s="5" t="s">
        <v>344</v>
      </c>
      <c r="L5152" s="5" t="s">
        <v>40599</v>
      </c>
      <c r="M5152" s="27">
        <v>5164815</v>
      </c>
      <c r="N5152" s="5" t="s">
        <v>57181</v>
      </c>
      <c r="O5152" s="5" t="str">
        <v>8619011203</v>
      </c>
      <c r="P5152" s="27">
        <v>10000</v>
      </c>
      <c r="Q5152" s="5" t="s">
        <v>57182</v>
      </c>
      <c r="R5152" s="5"/>
      <c r="S5152" s="5" t="s">
        <v>49496</v>
      </c>
      <c r="T5152" s="28">
        <v>567436000</v>
      </c>
      <c r="U5152" s="28"/>
      <c r="V5152" s="28">
        <v>1848258000</v>
      </c>
      <c r="W5152" s="28"/>
      <c r="X5152" s="28">
        <v>440464000</v>
      </c>
      <c r="Y5152" s="28">
        <v>3043243000</v>
      </c>
      <c r="Z5152" s="28">
        <v>340844000</v>
      </c>
      <c r="AA5152" s="28"/>
      <c r="AB5152" s="28">
        <v>355000</v>
      </c>
      <c r="AC5152" s="28">
        <v>2697200000</v>
      </c>
      <c r="AD5152" s="28">
        <v>340854000</v>
      </c>
      <c r="AE5152" s="28">
        <v>6544701000</v>
      </c>
      <c r="AF5152" s="28">
        <v>334753000</v>
      </c>
      <c r="AG5152" s="11"/>
    </row>
    <row r="5153">
      <c r="A5153" s="7" t="s">
        <v>6771</v>
      </c>
      <c r="B5153" s="5" t="s">
        <v>14733</v>
      </c>
      <c r="C5153" s="5" t="s">
        <v>22448</v>
      </c>
      <c r="D5153" s="5" t="str">
        <v>860206315357</v>
      </c>
      <c r="E5153" s="0" t="e">
        <f>+7 (345) 2283737
+7 (346) 2352002
+7 (346) 2550203
+7 (383) 2148994
+7 (383) 3110370
+7 (391) 2550300
+7 (913) 306763
+7 (919) 5379666
+7 (922) 4028889
+7 (922) 4826349
+7 (923) 2877556
+7 (923) 4114050
+7 (984) 1508888</f>
        <v>#NAME?</v>
      </c>
      <c r="F5153" s="5" t="s">
        <v>40600</v>
      </c>
      <c r="G5153" s="5" t="s">
        <v>40601</v>
      </c>
      <c r="H5153" s="26">
        <v>18</v>
      </c>
      <c r="I5153" s="5" t="s">
        <v>40602</v>
      </c>
      <c r="J5153" s="5" t="s">
        <v>25747</v>
      </c>
      <c r="K5153" s="5" t="s">
        <v>344</v>
      </c>
      <c r="L5153" s="5" t="s">
        <v>40603</v>
      </c>
      <c r="M5153" s="27"/>
      <c r="N5153" s="5" t="s">
        <v>57183</v>
      </c>
      <c r="O5153" s="5" t="str">
        <v>8602244993</v>
      </c>
      <c r="P5153" s="27">
        <v>100000</v>
      </c>
      <c r="Q5153" s="5" t="s">
        <v>49021</v>
      </c>
      <c r="R5153" s="5"/>
      <c r="S5153" s="5" t="s">
        <v>57184</v>
      </c>
      <c r="T5153" s="28">
        <v>36497000</v>
      </c>
      <c r="U5153" s="28"/>
      <c r="V5153" s="28">
        <v>3539301000</v>
      </c>
      <c r="W5153" s="28">
        <v>2400000000</v>
      </c>
      <c r="X5153" s="28">
        <v>283724000</v>
      </c>
      <c r="Y5153" s="28">
        <v>11770556000</v>
      </c>
      <c r="Z5153" s="28">
        <v>2246091000</v>
      </c>
      <c r="AA5153" s="28"/>
      <c r="AB5153" s="28"/>
      <c r="AC5153" s="28">
        <v>9482069000</v>
      </c>
      <c r="AD5153" s="28">
        <v>2246191000</v>
      </c>
      <c r="AE5153" s="28">
        <v>14197226000</v>
      </c>
      <c r="AF5153" s="28">
        <v>809850000</v>
      </c>
      <c r="AG5153" s="11"/>
    </row>
    <row r="5154">
      <c r="A5154" s="7" t="s">
        <v>6772</v>
      </c>
      <c r="B5154" s="5" t="s">
        <v>14734</v>
      </c>
      <c r="C5154" s="5" t="s">
        <v>22449</v>
      </c>
      <c r="D5154" s="5" t="str">
        <v>860206315283</v>
      </c>
      <c r="E5154" s="0" t="e">
        <f>+7 (346) 2236197
+7 (346) 2236210
+7 (346) 2550203
+7 (346) 2696696</f>
        <v>#NAME?</v>
      </c>
      <c r="F5154" s="5" t="s">
        <v>40604</v>
      </c>
      <c r="G5154" s="5" t="s">
        <v>40605</v>
      </c>
      <c r="H5154" s="26">
        <v>16</v>
      </c>
      <c r="I5154" s="5" t="s">
        <v>40606</v>
      </c>
      <c r="J5154" s="5" t="s">
        <v>25747</v>
      </c>
      <c r="K5154" s="5" t="s">
        <v>344</v>
      </c>
      <c r="L5154" s="5" t="s">
        <v>40607</v>
      </c>
      <c r="M5154" s="27"/>
      <c r="N5154" s="5" t="s">
        <v>57185</v>
      </c>
      <c r="O5154" s="5" t="str">
        <v>8602023144</v>
      </c>
      <c r="P5154" s="27">
        <v>512000</v>
      </c>
      <c r="Q5154" s="5"/>
      <c r="R5154" s="5"/>
      <c r="S5154" s="5" t="s">
        <v>50538</v>
      </c>
      <c r="T5154" s="28">
        <v>360573000</v>
      </c>
      <c r="U5154" s="28"/>
      <c r="V5154" s="28">
        <v>2675261000</v>
      </c>
      <c r="W5154" s="28">
        <v>807149000</v>
      </c>
      <c r="X5154" s="28">
        <v>2759694000</v>
      </c>
      <c r="Y5154" s="28">
        <v>8164639000</v>
      </c>
      <c r="Z5154" s="28">
        <v>6965787000</v>
      </c>
      <c r="AA5154" s="28"/>
      <c r="AB5154" s="28"/>
      <c r="AC5154" s="28">
        <v>921442000</v>
      </c>
      <c r="AD5154" s="28">
        <v>6966299000</v>
      </c>
      <c r="AE5154" s="28">
        <v>5728749000</v>
      </c>
      <c r="AF5154" s="28">
        <v>1394820000</v>
      </c>
      <c r="AG5154" s="11"/>
    </row>
    <row r="5155">
      <c r="A5155" s="7" t="s">
        <v>6773</v>
      </c>
      <c r="B5155" s="5" t="s">
        <v>14735</v>
      </c>
      <c r="C5155" s="5" t="s">
        <v>22450</v>
      </c>
      <c r="D5155" s="5" t="str">
        <v>780505376968</v>
      </c>
      <c r="E5155" s="0" t="e">
        <f>+7 (495) 9339561
+7 (495) 7875920
+7 (495) 7875998</f>
        <v>#NAME?</v>
      </c>
      <c r="F5155" s="5" t="s">
        <v>40608</v>
      </c>
      <c r="G5155" s="5" t="s">
        <v>40609</v>
      </c>
      <c r="H5155" s="26">
        <v>23</v>
      </c>
      <c r="I5155" s="5"/>
      <c r="J5155" s="5" t="s">
        <v>364</v>
      </c>
      <c r="K5155" s="5" t="s">
        <v>355</v>
      </c>
      <c r="L5155" s="5"/>
      <c r="M5155" s="27">
        <v>123011411</v>
      </c>
      <c r="N5155" s="5" t="s">
        <v>53603</v>
      </c>
      <c r="O5155" s="5" t="str">
        <v>7708185129</v>
      </c>
      <c r="P5155" s="27">
        <v>50000000</v>
      </c>
      <c r="Q5155" s="5" t="s">
        <v>57186</v>
      </c>
      <c r="R5155" s="5"/>
      <c r="S5155" s="5" t="s">
        <v>49956</v>
      </c>
      <c r="T5155" s="28">
        <v>83111000</v>
      </c>
      <c r="U5155" s="28">
        <v>500000</v>
      </c>
      <c r="V5155" s="28">
        <v>10514941000</v>
      </c>
      <c r="W5155" s="28">
        <v>398500000</v>
      </c>
      <c r="X5155" s="28">
        <v>14468000</v>
      </c>
      <c r="Y5155" s="28">
        <v>21610730000</v>
      </c>
      <c r="Z5155" s="28">
        <v>374613000</v>
      </c>
      <c r="AA5155" s="28">
        <v>298449000</v>
      </c>
      <c r="AB5155" s="28">
        <v>8934519000</v>
      </c>
      <c r="AC5155" s="28">
        <v>20864014000</v>
      </c>
      <c r="AD5155" s="28">
        <v>427113000</v>
      </c>
      <c r="AE5155" s="28">
        <v>13323032000</v>
      </c>
      <c r="AF5155" s="28">
        <v>-3122015000</v>
      </c>
      <c r="AG5155" s="11"/>
    </row>
    <row r="5156">
      <c r="A5156" s="7" t="s">
        <v>6773</v>
      </c>
      <c r="B5156" s="5" t="s">
        <v>14736</v>
      </c>
      <c r="C5156" s="5" t="s">
        <v>22451</v>
      </c>
      <c r="D5156" s="5" t="str">
        <v>470302873663</v>
      </c>
      <c r="E5156" s="0" t="e">
        <f>+7 (495) 2587557
+7 (812) 7406370
+7 (812) 7406371</f>
        <v>#NAME?</v>
      </c>
      <c r="F5156" s="5" t="s">
        <v>40610</v>
      </c>
      <c r="G5156" s="5" t="s">
        <v>40611</v>
      </c>
      <c r="H5156" s="26">
        <v>29</v>
      </c>
      <c r="I5156" s="5"/>
      <c r="J5156" s="5" t="s">
        <v>364</v>
      </c>
      <c r="K5156" s="5" t="s">
        <v>355</v>
      </c>
      <c r="L5156" s="5" t="s">
        <v>40612</v>
      </c>
      <c r="M5156" s="27"/>
      <c r="N5156" s="5"/>
      <c r="O5156" s="5" t="str">
        <v>7814017341</v>
      </c>
      <c r="P5156" s="27">
        <v>70000000</v>
      </c>
      <c r="Q5156" s="5" t="s">
        <v>57187</v>
      </c>
      <c r="R5156" s="5"/>
      <c r="S5156" s="5" t="s">
        <v>49089</v>
      </c>
      <c r="T5156" s="28">
        <v>185571000</v>
      </c>
      <c r="U5156" s="28">
        <v>525000</v>
      </c>
      <c r="V5156" s="28">
        <v>24892368000</v>
      </c>
      <c r="W5156" s="28">
        <v>6803738000</v>
      </c>
      <c r="X5156" s="28">
        <v>6460000</v>
      </c>
      <c r="Y5156" s="28">
        <v>45592861000</v>
      </c>
      <c r="Z5156" s="28">
        <v>6643694000</v>
      </c>
      <c r="AA5156" s="28"/>
      <c r="AB5156" s="28">
        <v>1228622000</v>
      </c>
      <c r="AC5156" s="28">
        <v>38871184000</v>
      </c>
      <c r="AD5156" s="28">
        <v>6717194000</v>
      </c>
      <c r="AE5156" s="28">
        <v>7760286000</v>
      </c>
      <c r="AF5156" s="28">
        <v>7660000</v>
      </c>
      <c r="AG5156" s="11"/>
    </row>
    <row r="5157">
      <c r="A5157" s="7" t="s">
        <v>6774</v>
      </c>
      <c r="B5157" s="5" t="s">
        <v>14737</v>
      </c>
      <c r="C5157" s="5" t="s">
        <v>22452</v>
      </c>
      <c r="D5157" s="5" t="str">
        <v>151501588502</v>
      </c>
      <c r="E5157" s="0" t="e">
        <f>+7 (495) 7875920
+7 (495) 9339561
+7 (812) 7406370
+7 (812) 7406371
+7 (8202) 592299
+7 (924) 2740808
+7 (985) 2957434</f>
        <v>#NAME?</v>
      </c>
      <c r="F5157" s="5" t="s">
        <v>40613</v>
      </c>
      <c r="G5157" s="5" t="s">
        <v>40611</v>
      </c>
      <c r="H5157" s="26">
        <v>11</v>
      </c>
      <c r="I5157" s="5" t="s">
        <v>40614</v>
      </c>
      <c r="J5157" s="5" t="s">
        <v>38093</v>
      </c>
      <c r="K5157" s="5" t="s">
        <v>344</v>
      </c>
      <c r="L5157" s="5"/>
      <c r="M5157" s="27">
        <v>724910861</v>
      </c>
      <c r="N5157" s="5"/>
      <c r="O5157" s="5" t="str">
        <v>7802772445</v>
      </c>
      <c r="P5157" s="27">
        <v>410000000</v>
      </c>
      <c r="Q5157" s="5" t="s">
        <v>49009</v>
      </c>
      <c r="R5157" s="5"/>
      <c r="S5157" s="5" t="s">
        <v>49066</v>
      </c>
      <c r="T5157" s="28">
        <v>958211000</v>
      </c>
      <c r="U5157" s="28"/>
      <c r="V5157" s="28">
        <v>14309034000</v>
      </c>
      <c r="W5157" s="28">
        <v>3321159000</v>
      </c>
      <c r="X5157" s="28">
        <v>5272239000</v>
      </c>
      <c r="Y5157" s="28">
        <v>101075498000</v>
      </c>
      <c r="Z5157" s="28">
        <v>267417000</v>
      </c>
      <c r="AA5157" s="28">
        <v>30360698000</v>
      </c>
      <c r="AB5157" s="28">
        <v>3578969000</v>
      </c>
      <c r="AC5157" s="28">
        <v>69694467000</v>
      </c>
      <c r="AD5157" s="28">
        <v>677417000</v>
      </c>
      <c r="AE5157" s="28">
        <v>40772305000</v>
      </c>
      <c r="AF5157" s="28">
        <v>718060000</v>
      </c>
      <c r="AG5157" s="11"/>
    </row>
    <row r="5158">
      <c r="A5158" s="7" t="s">
        <v>6775</v>
      </c>
      <c r="B5158" s="5" t="s">
        <v>14738</v>
      </c>
      <c r="C5158" s="5" t="s">
        <v>22453</v>
      </c>
      <c r="D5158" s="5" t="str">
        <v>344101555401</v>
      </c>
      <c r="F5158" s="5"/>
      <c r="G5158" s="5"/>
      <c r="H5158" s="26">
        <v>9.5</v>
      </c>
      <c r="I5158" s="5"/>
      <c r="J5158" s="5" t="s">
        <v>25484</v>
      </c>
      <c r="K5158" s="5" t="s">
        <v>355</v>
      </c>
      <c r="L5158" s="5"/>
      <c r="M5158" s="27"/>
      <c r="N5158" s="5"/>
      <c r="O5158" s="5" t="str">
        <v>7719855086</v>
      </c>
      <c r="P5158" s="27">
        <v>20000</v>
      </c>
      <c r="Q5158" s="5" t="s">
        <v>57188</v>
      </c>
      <c r="R5158" s="5"/>
      <c r="S5158" s="5" t="s">
        <v>55225</v>
      </c>
      <c r="T5158" s="28">
        <v>1366397000</v>
      </c>
      <c r="U5158" s="28">
        <v>3687348000</v>
      </c>
      <c r="V5158" s="28">
        <v>262334000</v>
      </c>
      <c r="W5158" s="28">
        <v>8841000</v>
      </c>
      <c r="X5158" s="28">
        <v>1562593000</v>
      </c>
      <c r="Y5158" s="28">
        <v>6931074000</v>
      </c>
      <c r="Z5158" s="28">
        <v>936902000</v>
      </c>
      <c r="AA5158" s="28">
        <v>363000000</v>
      </c>
      <c r="AB5158" s="28">
        <v>3391247000</v>
      </c>
      <c r="AC5158" s="28">
        <v>5407336000</v>
      </c>
      <c r="AD5158" s="28">
        <v>1156967000</v>
      </c>
      <c r="AE5158" s="28">
        <v>5760437000</v>
      </c>
      <c r="AF5158" s="28">
        <v>254374000</v>
      </c>
      <c r="AG5158" s="11"/>
    </row>
    <row r="5159">
      <c r="A5159" s="7" t="s">
        <v>6776</v>
      </c>
      <c r="B5159" s="5" t="s">
        <v>13801</v>
      </c>
      <c r="C5159" s="5" t="s">
        <v>21564</v>
      </c>
      <c r="D5159" s="5" t="str">
        <v>500108126066</v>
      </c>
      <c r="E5159" s="0" t="e">
        <f>+7 (495) 6516291
+7 (499) 6516288
+7 (495) 6516287
+7 (495) 9842692
+7 (499) 5502107</f>
        <v>#NAME?</v>
      </c>
      <c r="F5159" s="5" t="s">
        <v>40615</v>
      </c>
      <c r="G5159" s="5" t="s">
        <v>40616</v>
      </c>
      <c r="H5159" s="26">
        <v>17</v>
      </c>
      <c r="I5159" s="5" t="s">
        <v>40617</v>
      </c>
      <c r="J5159" s="5" t="s">
        <v>36400</v>
      </c>
      <c r="K5159" s="5" t="s">
        <v>344</v>
      </c>
      <c r="L5159" s="5"/>
      <c r="M5159" s="27">
        <v>601383</v>
      </c>
      <c r="N5159" s="5" t="s">
        <v>57189</v>
      </c>
      <c r="O5159" s="5" t="str">
        <v>7709678550</v>
      </c>
      <c r="P5159" s="27">
        <v>30000</v>
      </c>
      <c r="Q5159" s="5" t="s">
        <v>49021</v>
      </c>
      <c r="R5159" s="5"/>
      <c r="S5159" s="5" t="s">
        <v>57190</v>
      </c>
      <c r="T5159" s="28">
        <v>373204000</v>
      </c>
      <c r="U5159" s="28">
        <v>5000</v>
      </c>
      <c r="V5159" s="28">
        <v>4126675000</v>
      </c>
      <c r="W5159" s="28">
        <v>2316274000</v>
      </c>
      <c r="X5159" s="28">
        <v>1287156000</v>
      </c>
      <c r="Y5159" s="28">
        <v>12740063000</v>
      </c>
      <c r="Z5159" s="28">
        <v>5473463000</v>
      </c>
      <c r="AA5159" s="28">
        <v>3013655000</v>
      </c>
      <c r="AB5159" s="28">
        <v>2066000000</v>
      </c>
      <c r="AC5159" s="28">
        <v>4252915000</v>
      </c>
      <c r="AD5159" s="28">
        <v>5473493000</v>
      </c>
      <c r="AE5159" s="28">
        <v>28174411000</v>
      </c>
      <c r="AF5159" s="28">
        <v>2346685000</v>
      </c>
      <c r="AG5159" s="11"/>
    </row>
    <row r="5160">
      <c r="A5160" s="7" t="s">
        <v>6777</v>
      </c>
      <c r="B5160" s="5" t="s">
        <v>14739</v>
      </c>
      <c r="C5160" s="5" t="s">
        <v>22454</v>
      </c>
      <c r="D5160" s="5" t="str">
        <v>504005224693</v>
      </c>
      <c r="E5160" s="0" t="e">
        <f>+7 (499) 6438347</f>
        <v>#NAME?</v>
      </c>
      <c r="F5160" s="5"/>
      <c r="G5160" s="5" t="s">
        <v>40618</v>
      </c>
      <c r="H5160" s="26">
        <v>7</v>
      </c>
      <c r="I5160" s="5" t="s">
        <v>40619</v>
      </c>
      <c r="J5160" s="5" t="s">
        <v>26367</v>
      </c>
      <c r="K5160" s="5" t="s">
        <v>344</v>
      </c>
      <c r="L5160" s="5" t="s">
        <v>40620</v>
      </c>
      <c r="M5160" s="27"/>
      <c r="N5160" s="5"/>
      <c r="O5160" s="5" t="str">
        <v>5040140074</v>
      </c>
      <c r="P5160" s="27">
        <v>10000000</v>
      </c>
      <c r="Q5160" s="5" t="s">
        <v>49207</v>
      </c>
      <c r="R5160" s="5" t="s">
        <v>49930</v>
      </c>
      <c r="S5160" s="5" t="s">
        <v>57191</v>
      </c>
      <c r="T5160" s="28">
        <v>34622000</v>
      </c>
      <c r="U5160" s="28">
        <v>10000</v>
      </c>
      <c r="V5160" s="28">
        <v>3763245000</v>
      </c>
      <c r="W5160" s="28"/>
      <c r="X5160" s="28">
        <v>259041000</v>
      </c>
      <c r="Y5160" s="28">
        <v>4474666000</v>
      </c>
      <c r="Z5160" s="28">
        <v>319916000</v>
      </c>
      <c r="AA5160" s="28">
        <v>8685000</v>
      </c>
      <c r="AB5160" s="28">
        <v>1241000</v>
      </c>
      <c r="AC5160" s="28">
        <v>4133291000</v>
      </c>
      <c r="AD5160" s="28">
        <v>329916000</v>
      </c>
      <c r="AE5160" s="28">
        <v>13830195000</v>
      </c>
      <c r="AF5160" s="28">
        <v>989655000</v>
      </c>
      <c r="AG5160" s="11"/>
    </row>
    <row r="5161">
      <c r="A5161" s="7" t="s">
        <v>6778</v>
      </c>
      <c r="B5161" s="5" t="s">
        <v>14740</v>
      </c>
      <c r="C5161" s="5" t="s">
        <v>22455</v>
      </c>
      <c r="D5161" s="5" t="str">
        <v>780606059309</v>
      </c>
      <c r="E5161" s="0" t="e">
        <f>+7 (812) 4149424
+7 (812) 4956643</f>
        <v>#NAME?</v>
      </c>
      <c r="F5161" s="5" t="s">
        <v>40621</v>
      </c>
      <c r="G5161" s="5"/>
      <c r="H5161" s="26">
        <v>17.5</v>
      </c>
      <c r="I5161" s="5"/>
      <c r="J5161" s="5" t="s">
        <v>30657</v>
      </c>
      <c r="K5161" s="5" t="s">
        <v>344</v>
      </c>
      <c r="L5161" s="5" t="s">
        <v>40622</v>
      </c>
      <c r="M5161" s="27">
        <v>141813763</v>
      </c>
      <c r="N5161" s="5" t="s">
        <v>57192</v>
      </c>
      <c r="O5161" s="5" t="str">
        <v>7842321061</v>
      </c>
      <c r="P5161" s="27">
        <v>10000</v>
      </c>
      <c r="Q5161" s="5" t="s">
        <v>57193</v>
      </c>
      <c r="R5161" s="5"/>
      <c r="S5161" s="5" t="s">
        <v>57194</v>
      </c>
      <c r="T5161" s="28">
        <v>154939000</v>
      </c>
      <c r="U5161" s="28"/>
      <c r="V5161" s="28">
        <v>2182987000</v>
      </c>
      <c r="W5161" s="28">
        <v>135000000</v>
      </c>
      <c r="X5161" s="28">
        <v>923149000</v>
      </c>
      <c r="Y5161" s="28">
        <v>4281493000</v>
      </c>
      <c r="Z5161" s="28">
        <v>951470000</v>
      </c>
      <c r="AA5161" s="28"/>
      <c r="AB5161" s="28"/>
      <c r="AC5161" s="28">
        <v>3330011000</v>
      </c>
      <c r="AD5161" s="28">
        <v>951482000</v>
      </c>
      <c r="AE5161" s="28">
        <v>4856036000</v>
      </c>
      <c r="AF5161" s="28">
        <v>128545000</v>
      </c>
      <c r="AG5161" s="11"/>
    </row>
    <row r="5162">
      <c r="A5162" s="7" t="s">
        <v>6779</v>
      </c>
      <c r="B5162" s="5" t="s">
        <v>14741</v>
      </c>
      <c r="C5162" s="5" t="s">
        <v>22456</v>
      </c>
      <c r="D5162" s="5" t="str">
        <v>770702518622</v>
      </c>
      <c r="E5162" s="0" t="e">
        <f>+7 (495) 6336722
+7 (495) 6510797</f>
        <v>#NAME?</v>
      </c>
      <c r="F5162" s="5" t="s">
        <v>40623</v>
      </c>
      <c r="G5162" s="5" t="s">
        <v>40624</v>
      </c>
      <c r="H5162" s="26">
        <v>5.5</v>
      </c>
      <c r="I5162" s="5" t="s">
        <v>40625</v>
      </c>
      <c r="J5162" s="5" t="s">
        <v>671</v>
      </c>
      <c r="K5162" s="5"/>
      <c r="L5162" s="5"/>
      <c r="M5162" s="27">
        <v>295939225</v>
      </c>
      <c r="N5162" s="5"/>
      <c r="O5162" s="5" t="str">
        <v>7703434808</v>
      </c>
      <c r="P5162" s="27"/>
      <c r="Q5162" s="5" t="s">
        <v>57195</v>
      </c>
      <c r="R5162" s="5"/>
      <c r="S5162" s="5" t="s">
        <v>50378</v>
      </c>
      <c r="T5162" s="28">
        <v>1026653000</v>
      </c>
      <c r="U5162" s="28"/>
      <c r="V5162" s="28">
        <v>300672690000</v>
      </c>
      <c r="W5162" s="28"/>
      <c r="X5162" s="28">
        <v>11464056000</v>
      </c>
      <c r="Y5162" s="28">
        <v>479891153000</v>
      </c>
      <c r="Z5162" s="28"/>
      <c r="AA5162" s="28"/>
      <c r="AB5162" s="28"/>
      <c r="AC5162" s="28">
        <v>14358301000</v>
      </c>
      <c r="AD5162" s="28">
        <v>465412038000</v>
      </c>
      <c r="AE5162" s="28">
        <v>18951626000</v>
      </c>
      <c r="AF5162" s="28">
        <v>-8448495000</v>
      </c>
      <c r="AG5162" s="11"/>
    </row>
    <row r="5163">
      <c r="A5163" s="7" t="s">
        <v>6780</v>
      </c>
      <c r="B5163" s="5" t="s">
        <v>14742</v>
      </c>
      <c r="C5163" s="5" t="s">
        <v>22457</v>
      </c>
      <c r="D5163" s="5" t="str">
        <v>780258972547</v>
      </c>
      <c r="E5163" s="0" t="e">
        <f>+7 (812) 7406371
+7 (812) 7406370
+7 (911) 9303390
+7 (924) 2740808</f>
        <v>#NAME?</v>
      </c>
      <c r="F5163" s="5" t="s">
        <v>40626</v>
      </c>
      <c r="G5163" s="5"/>
      <c r="H5163" s="26">
        <v>17.5</v>
      </c>
      <c r="I5163" s="5" t="s">
        <v>40627</v>
      </c>
      <c r="J5163" s="5" t="s">
        <v>821</v>
      </c>
      <c r="K5163" s="5" t="s">
        <v>344</v>
      </c>
      <c r="L5163" s="5" t="s">
        <v>40628</v>
      </c>
      <c r="M5163" s="27">
        <v>26374066</v>
      </c>
      <c r="N5163" s="5"/>
      <c r="O5163" s="5" t="str">
        <v>7806326138</v>
      </c>
      <c r="P5163" s="27">
        <v>934580600</v>
      </c>
      <c r="Q5163" s="5" t="s">
        <v>49009</v>
      </c>
      <c r="R5163" s="5"/>
      <c r="S5163" s="5" t="s">
        <v>49066</v>
      </c>
      <c r="T5163" s="28">
        <v>2943557000</v>
      </c>
      <c r="U5163" s="28"/>
      <c r="V5163" s="28">
        <v>5730644000</v>
      </c>
      <c r="W5163" s="28">
        <v>3000000</v>
      </c>
      <c r="X5163" s="28">
        <v>169422000</v>
      </c>
      <c r="Y5163" s="28">
        <v>10067329000</v>
      </c>
      <c r="Z5163" s="28">
        <v>2492821000</v>
      </c>
      <c r="AA5163" s="28">
        <v>2750000000</v>
      </c>
      <c r="AB5163" s="28">
        <v>2186000</v>
      </c>
      <c r="AC5163" s="28">
        <v>3832075000</v>
      </c>
      <c r="AD5163" s="28">
        <v>3427402000</v>
      </c>
      <c r="AE5163" s="28">
        <v>17004791000</v>
      </c>
      <c r="AF5163" s="28">
        <v>604147000</v>
      </c>
      <c r="AG5163" s="11"/>
    </row>
    <row r="5164">
      <c r="A5164" s="7" t="s">
        <v>6781</v>
      </c>
      <c r="B5164" s="5" t="s">
        <v>14743</v>
      </c>
      <c r="C5164" s="5" t="s">
        <v>22458</v>
      </c>
      <c r="D5164" s="5" t="str">
        <v>481101624520</v>
      </c>
      <c r="E5164" s="0" t="e">
        <f>+7 (960) 1412519</f>
        <v>#NAME?</v>
      </c>
      <c r="F5164" s="5"/>
      <c r="G5164" s="5"/>
      <c r="H5164" s="26">
        <v>15</v>
      </c>
      <c r="I5164" s="5" t="s">
        <v>40629</v>
      </c>
      <c r="J5164" s="5" t="s">
        <v>678</v>
      </c>
      <c r="K5164" s="5" t="s">
        <v>344</v>
      </c>
      <c r="L5164" s="5" t="s">
        <v>40630</v>
      </c>
      <c r="M5164" s="27"/>
      <c r="N5164" s="5" t="s">
        <v>56137</v>
      </c>
      <c r="O5164" s="5" t="str">
        <v>4825057397</v>
      </c>
      <c r="P5164" s="27">
        <v>12000</v>
      </c>
      <c r="Q5164" s="5"/>
      <c r="R5164" s="5"/>
      <c r="S5164" s="5" t="s">
        <v>49047</v>
      </c>
      <c r="T5164" s="28">
        <v>117232000</v>
      </c>
      <c r="U5164" s="28"/>
      <c r="V5164" s="28">
        <v>1012146000</v>
      </c>
      <c r="W5164" s="28"/>
      <c r="X5164" s="28">
        <v>2000</v>
      </c>
      <c r="Y5164" s="28">
        <v>1302530000</v>
      </c>
      <c r="Z5164" s="28">
        <v>131536000</v>
      </c>
      <c r="AA5164" s="28">
        <v>259681000</v>
      </c>
      <c r="AB5164" s="28"/>
      <c r="AC5164" s="28">
        <v>808220000</v>
      </c>
      <c r="AD5164" s="28">
        <v>234628000</v>
      </c>
      <c r="AE5164" s="28">
        <v>4609784000</v>
      </c>
      <c r="AF5164" s="28">
        <v>55840000</v>
      </c>
      <c r="AG5164" s="11"/>
    </row>
    <row r="5165">
      <c r="A5165" s="7" t="s">
        <v>6782</v>
      </c>
      <c r="B5165" s="5" t="s">
        <v>14744</v>
      </c>
      <c r="C5165" s="5" t="s">
        <v>22459</v>
      </c>
      <c r="D5165" s="5" t="str">
        <v>505004421683</v>
      </c>
      <c r="E5165" s="0" t="e">
        <f>+7 (499) 5049875
+7 (495) 6685021
+7 (909) 6787732</f>
        <v>#NAME?</v>
      </c>
      <c r="F5165" s="5" t="s">
        <v>40631</v>
      </c>
      <c r="G5165" s="5"/>
      <c r="H5165" s="26">
        <v>13.5</v>
      </c>
      <c r="I5165" s="5" t="s">
        <v>40632</v>
      </c>
      <c r="J5165" s="5" t="s">
        <v>36400</v>
      </c>
      <c r="K5165" s="5" t="s">
        <v>344</v>
      </c>
      <c r="L5165" s="5" t="s">
        <v>40633</v>
      </c>
      <c r="M5165" s="27"/>
      <c r="N5165" s="5"/>
      <c r="O5165" s="5" t="str">
        <v>7736607968</v>
      </c>
      <c r="P5165" s="27">
        <v>10000</v>
      </c>
      <c r="Q5165" s="5"/>
      <c r="R5165" s="5"/>
      <c r="S5165" s="5" t="s">
        <v>49110</v>
      </c>
      <c r="T5165" s="28">
        <v>8666000</v>
      </c>
      <c r="U5165" s="28"/>
      <c r="V5165" s="28">
        <v>462624000</v>
      </c>
      <c r="W5165" s="28"/>
      <c r="X5165" s="28">
        <v>2064000</v>
      </c>
      <c r="Y5165" s="28">
        <v>1351494000</v>
      </c>
      <c r="Z5165" s="28">
        <v>291020000</v>
      </c>
      <c r="AA5165" s="28"/>
      <c r="AB5165" s="28">
        <v>532000</v>
      </c>
      <c r="AC5165" s="28">
        <v>1049592000</v>
      </c>
      <c r="AD5165" s="28">
        <v>291030000</v>
      </c>
      <c r="AE5165" s="28">
        <v>3464727000</v>
      </c>
      <c r="AF5165" s="28">
        <v>213809000</v>
      </c>
      <c r="AG5165" s="11"/>
    </row>
    <row r="5166">
      <c r="A5166" s="7" t="s">
        <v>6783</v>
      </c>
      <c r="B5166" s="5" t="s">
        <v>14745</v>
      </c>
      <c r="C5166" s="5" t="s">
        <v>22460</v>
      </c>
      <c r="D5166" s="5" t="str">
        <v>780537045535</v>
      </c>
      <c r="E5166" s="0" t="e">
        <f>+7 (812) 3053941
+7 (812) 3053942
+7 (812) 3053943
+7 (812) 3053944</f>
        <v>#NAME?</v>
      </c>
      <c r="F5166" s="5" t="s">
        <v>40634</v>
      </c>
      <c r="G5166" s="5" t="s">
        <v>40635</v>
      </c>
      <c r="H5166" s="26">
        <v>20</v>
      </c>
      <c r="I5166" s="5" t="s">
        <v>40636</v>
      </c>
      <c r="J5166" s="5" t="s">
        <v>599</v>
      </c>
      <c r="K5166" s="5" t="s">
        <v>344</v>
      </c>
      <c r="L5166" s="5" t="s">
        <v>40637</v>
      </c>
      <c r="M5166" s="27"/>
      <c r="N5166" s="5"/>
      <c r="O5166" s="5" t="str">
        <v>7810281169</v>
      </c>
      <c r="P5166" s="27">
        <v>10000</v>
      </c>
      <c r="Q5166" s="5"/>
      <c r="R5166" s="5"/>
      <c r="S5166" s="5" t="s">
        <v>49110</v>
      </c>
      <c r="T5166" s="28">
        <v>28161000</v>
      </c>
      <c r="U5166" s="28">
        <v>198000</v>
      </c>
      <c r="V5166" s="28">
        <v>613436000</v>
      </c>
      <c r="W5166" s="28"/>
      <c r="X5166" s="28">
        <v>523746000</v>
      </c>
      <c r="Y5166" s="28">
        <v>1530555000</v>
      </c>
      <c r="Z5166" s="28">
        <v>1197836000</v>
      </c>
      <c r="AA5166" s="28">
        <v>54625000</v>
      </c>
      <c r="AB5166" s="28">
        <v>18442000</v>
      </c>
      <c r="AC5166" s="28">
        <v>278083000</v>
      </c>
      <c r="AD5166" s="28">
        <v>1197846000</v>
      </c>
      <c r="AE5166" s="28">
        <v>4461663000</v>
      </c>
      <c r="AF5166" s="28">
        <v>411831000</v>
      </c>
      <c r="AG5166" s="11"/>
    </row>
    <row r="5167">
      <c r="A5167" s="7" t="s">
        <v>6784</v>
      </c>
      <c r="B5167" s="5" t="s">
        <v>14746</v>
      </c>
      <c r="C5167" s="5" t="s">
        <v>22461</v>
      </c>
      <c r="D5167" s="5" t="str">
        <v>773600441609</v>
      </c>
      <c r="E5167" s="0" t="e">
        <f>+7 (381) 2571074
+7 (495) 6975891
+7 (495) 9563914
+7 (495) 9800883
+7 (800) 2501025</f>
        <v>#NAME?</v>
      </c>
      <c r="F5167" s="5" t="s">
        <v>40638</v>
      </c>
      <c r="G5167" s="5" t="s">
        <v>40639</v>
      </c>
      <c r="H5167" s="26">
        <v>19.5</v>
      </c>
      <c r="I5167" s="5" t="s">
        <v>40640</v>
      </c>
      <c r="J5167" s="5" t="s">
        <v>25670</v>
      </c>
      <c r="K5167" s="5" t="s">
        <v>344</v>
      </c>
      <c r="L5167" s="5"/>
      <c r="M5167" s="27">
        <v>185044453</v>
      </c>
      <c r="N5167" s="5" t="s">
        <v>57197</v>
      </c>
      <c r="O5167" s="5" t="str">
        <v>7709431786</v>
      </c>
      <c r="P5167" s="27">
        <v>4200000000</v>
      </c>
      <c r="Q5167" s="5" t="s">
        <v>57198</v>
      </c>
      <c r="R5167" s="5" t="s">
        <v>57199</v>
      </c>
      <c r="S5167" s="5" t="s">
        <v>57200</v>
      </c>
      <c r="T5167" s="28">
        <v>216944000</v>
      </c>
      <c r="U5167" s="28">
        <v>2230489000</v>
      </c>
      <c r="V5167" s="28">
        <v>91038847000</v>
      </c>
      <c r="W5167" s="28">
        <v>2696359000</v>
      </c>
      <c r="X5167" s="28">
        <v>918335000</v>
      </c>
      <c r="Y5167" s="28">
        <v>101633672000</v>
      </c>
      <c r="Z5167" s="28">
        <v>12513446000</v>
      </c>
      <c r="AA5167" s="28">
        <v>54555992000</v>
      </c>
      <c r="AB5167" s="28">
        <v>24016228000</v>
      </c>
      <c r="AC5167" s="28">
        <v>27934196000</v>
      </c>
      <c r="AD5167" s="28">
        <v>18843446000</v>
      </c>
      <c r="AE5167" s="28">
        <v>18006453000</v>
      </c>
      <c r="AF5167" s="28">
        <v>5673963000</v>
      </c>
      <c r="AG5167" s="11"/>
    </row>
    <row r="5168">
      <c r="A5168" s="7" t="s">
        <v>6785</v>
      </c>
      <c r="B5168" s="5" t="s">
        <v>14747</v>
      </c>
      <c r="C5168" s="5" t="s">
        <v>22462</v>
      </c>
      <c r="D5168" s="5" t="str">
        <v>680702371726</v>
      </c>
      <c r="E5168" s="0" t="e">
        <f>+7 (495) 9953008
+7 (499) 7040043
+7 (905) 7214683
+7 (962) 9381010
+7 (963) 7801071</f>
        <v>#NAME?</v>
      </c>
      <c r="F5168" s="5" t="s">
        <v>40641</v>
      </c>
      <c r="G5168" s="5"/>
      <c r="H5168" s="26">
        <v>9</v>
      </c>
      <c r="I5168" s="5" t="s">
        <v>40642</v>
      </c>
      <c r="J5168" s="5" t="s">
        <v>25190</v>
      </c>
      <c r="K5168" s="5" t="s">
        <v>344</v>
      </c>
      <c r="L5168" s="5" t="s">
        <v>40643</v>
      </c>
      <c r="M5168" s="27"/>
      <c r="N5168" s="5" t="s">
        <v>57201</v>
      </c>
      <c r="O5168" s="5" t="str">
        <v>7728865436</v>
      </c>
      <c r="P5168" s="27">
        <v>10000</v>
      </c>
      <c r="Q5168" s="5" t="s">
        <v>57202</v>
      </c>
      <c r="R5168" s="5"/>
      <c r="S5168" s="5" t="s">
        <v>57203</v>
      </c>
      <c r="T5168" s="28">
        <v>283000</v>
      </c>
      <c r="U5168" s="28"/>
      <c r="V5168" s="28">
        <v>3420856000</v>
      </c>
      <c r="W5168" s="28">
        <v>158084000</v>
      </c>
      <c r="X5168" s="28">
        <v>15984000</v>
      </c>
      <c r="Y5168" s="28">
        <v>5725639000</v>
      </c>
      <c r="Z5168" s="28">
        <v>3841792000</v>
      </c>
      <c r="AA5168" s="28"/>
      <c r="AB5168" s="28">
        <v>487000</v>
      </c>
      <c r="AC5168" s="28">
        <v>1881762000</v>
      </c>
      <c r="AD5168" s="28">
        <v>3841802000</v>
      </c>
      <c r="AE5168" s="28">
        <v>5137062000</v>
      </c>
      <c r="AF5168" s="28">
        <v>1908395000</v>
      </c>
      <c r="AG5168" s="11"/>
    </row>
    <row r="5169">
      <c r="A5169" s="7" t="s">
        <v>6786</v>
      </c>
      <c r="B5169" s="5" t="s">
        <v>14748</v>
      </c>
      <c r="C5169" s="5" t="s">
        <v>22463</v>
      </c>
      <c r="D5169" s="5" t="str">
        <v>781302109609</v>
      </c>
      <c r="F5169" s="5" t="s">
        <v>40644</v>
      </c>
      <c r="G5169" s="5"/>
      <c r="H5169" s="26">
        <v>20</v>
      </c>
      <c r="I5169" s="5" t="s">
        <v>40645</v>
      </c>
      <c r="J5169" s="5" t="s">
        <v>585</v>
      </c>
      <c r="K5169" s="5" t="s">
        <v>344</v>
      </c>
      <c r="L5169" s="5" t="s">
        <v>40646</v>
      </c>
      <c r="M5169" s="27">
        <v>295707</v>
      </c>
      <c r="N5169" s="5" t="s">
        <v>50111</v>
      </c>
      <c r="O5169" s="5" t="str">
        <v>7802210076</v>
      </c>
      <c r="P5169" s="27">
        <v>300000</v>
      </c>
      <c r="Q5169" s="5" t="s">
        <v>49009</v>
      </c>
      <c r="R5169" s="5"/>
      <c r="S5169" s="5" t="s">
        <v>49010</v>
      </c>
      <c r="T5169" s="28">
        <v>7260000</v>
      </c>
      <c r="U5169" s="28"/>
      <c r="V5169" s="28">
        <v>1211916000</v>
      </c>
      <c r="W5169" s="28"/>
      <c r="X5169" s="28">
        <v>54918000</v>
      </c>
      <c r="Y5169" s="28">
        <v>1579260000</v>
      </c>
      <c r="Z5169" s="28">
        <v>1203515000</v>
      </c>
      <c r="AA5169" s="28"/>
      <c r="AB5169" s="28"/>
      <c r="AC5169" s="28">
        <v>374052000</v>
      </c>
      <c r="AD5169" s="28">
        <v>1203815000</v>
      </c>
      <c r="AE5169" s="28">
        <v>4325021000</v>
      </c>
      <c r="AF5169" s="28">
        <v>223135000</v>
      </c>
      <c r="AG5169" s="11"/>
    </row>
    <row r="5170">
      <c r="A5170" s="7" t="s">
        <v>6787</v>
      </c>
      <c r="B5170" s="5" t="s">
        <v>14749</v>
      </c>
      <c r="C5170" s="5" t="s">
        <v>22464</v>
      </c>
      <c r="D5170" s="5" t="str">
        <v>645003453377</v>
      </c>
      <c r="E5170" s="0" t="e">
        <f>+7 (8452) 652288
+7 (906) 3072288</f>
        <v>#NAME?</v>
      </c>
      <c r="F5170" s="5" t="s">
        <v>40647</v>
      </c>
      <c r="G5170" s="5"/>
      <c r="H5170" s="26">
        <v>17.5</v>
      </c>
      <c r="I5170" s="5" t="s">
        <v>40648</v>
      </c>
      <c r="J5170" s="5" t="s">
        <v>1095</v>
      </c>
      <c r="K5170" s="5" t="s">
        <v>344</v>
      </c>
      <c r="L5170" s="5" t="s">
        <v>40649</v>
      </c>
      <c r="M5170" s="27"/>
      <c r="N5170" s="5" t="s">
        <v>57204</v>
      </c>
      <c r="O5170" s="5" t="str">
        <v>6452914515</v>
      </c>
      <c r="P5170" s="27">
        <v>10000</v>
      </c>
      <c r="Q5170" s="5" t="s">
        <v>57205</v>
      </c>
      <c r="R5170" s="5"/>
      <c r="S5170" s="5" t="s">
        <v>57206</v>
      </c>
      <c r="T5170" s="28"/>
      <c r="U5170" s="28"/>
      <c r="V5170" s="28">
        <v>105000</v>
      </c>
      <c r="W5170" s="28"/>
      <c r="X5170" s="28">
        <v>14000</v>
      </c>
      <c r="Y5170" s="28">
        <v>119000</v>
      </c>
      <c r="Z5170" s="28"/>
      <c r="AA5170" s="28"/>
      <c r="AB5170" s="28"/>
      <c r="AC5170" s="28">
        <v>109000</v>
      </c>
      <c r="AD5170" s="28">
        <v>10000</v>
      </c>
      <c r="AE5170" s="28">
        <v>10918676000</v>
      </c>
      <c r="AF5170" s="28">
        <v>622185000</v>
      </c>
      <c r="AG5170" s="11"/>
    </row>
    <row r="5171">
      <c r="A5171" s="7" t="s">
        <v>6788</v>
      </c>
      <c r="B5171" s="5" t="s">
        <v>14750</v>
      </c>
      <c r="C5171" s="5" t="s">
        <v>22465</v>
      </c>
      <c r="D5171" s="5" t="str">
        <v>772316567812</v>
      </c>
      <c r="E5171" s="0" t="e">
        <f>+7 (495) 2150950
+7 (495) 6280965
+7 (495) 9170385
+7 (495) 9186907</f>
        <v>#NAME?</v>
      </c>
      <c r="F5171" s="5" t="s">
        <v>40650</v>
      </c>
      <c r="G5171" s="5"/>
      <c r="H5171" s="26">
        <v>16.5</v>
      </c>
      <c r="I5171" s="5" t="s">
        <v>40651</v>
      </c>
      <c r="J5171" s="5" t="s">
        <v>373</v>
      </c>
      <c r="K5171" s="5" t="s">
        <v>344</v>
      </c>
      <c r="L5171" s="5" t="s">
        <v>40652</v>
      </c>
      <c r="M5171" s="27"/>
      <c r="N5171" s="5"/>
      <c r="O5171" s="5" t="str">
        <v>7709680944</v>
      </c>
      <c r="P5171" s="27">
        <v>15000000</v>
      </c>
      <c r="Q5171" s="5" t="s">
        <v>49059</v>
      </c>
      <c r="R5171" s="5"/>
      <c r="S5171" s="5" t="s">
        <v>49452</v>
      </c>
      <c r="T5171" s="28">
        <v>45066000</v>
      </c>
      <c r="U5171" s="28">
        <v>307000</v>
      </c>
      <c r="V5171" s="28">
        <v>2280157000</v>
      </c>
      <c r="W5171" s="28"/>
      <c r="X5171" s="28">
        <v>12448000</v>
      </c>
      <c r="Y5171" s="28">
        <v>2342914000</v>
      </c>
      <c r="Z5171" s="28">
        <v>320576000</v>
      </c>
      <c r="AA5171" s="28"/>
      <c r="AB5171" s="28">
        <v>140000000</v>
      </c>
      <c r="AC5171" s="28">
        <v>1998525000</v>
      </c>
      <c r="AD5171" s="28">
        <v>335576000</v>
      </c>
      <c r="AE5171" s="28">
        <v>67232395000</v>
      </c>
      <c r="AF5171" s="28">
        <v>45406000</v>
      </c>
      <c r="AG5171" s="11"/>
    </row>
    <row r="5172">
      <c r="A5172" s="7" t="s">
        <v>6789</v>
      </c>
      <c r="B5172" s="5" t="s">
        <v>14751</v>
      </c>
      <c r="C5172" s="5" t="s">
        <v>22466</v>
      </c>
      <c r="D5172" s="5" t="str">
        <v>772004669424</v>
      </c>
      <c r="E5172" s="0" t="e">
        <f>+7 (495) 9331135
+7 (495) 9377733</f>
        <v>#NAME?</v>
      </c>
      <c r="F5172" s="5"/>
      <c r="G5172" s="5"/>
      <c r="H5172" s="26">
        <v>16.5</v>
      </c>
      <c r="I5172" s="5" t="s">
        <v>40653</v>
      </c>
      <c r="J5172" s="5" t="s">
        <v>373</v>
      </c>
      <c r="K5172" s="5" t="s">
        <v>344</v>
      </c>
      <c r="L5172" s="5" t="s">
        <v>40654</v>
      </c>
      <c r="M5172" s="27"/>
      <c r="N5172" s="5"/>
      <c r="O5172" s="5" t="str">
        <v>7708609064</v>
      </c>
      <c r="P5172" s="27">
        <v>15000000</v>
      </c>
      <c r="Q5172" s="5" t="s">
        <v>57207</v>
      </c>
      <c r="R5172" s="5"/>
      <c r="S5172" s="5" t="s">
        <v>55247</v>
      </c>
      <c r="T5172" s="28">
        <v>11896000</v>
      </c>
      <c r="U5172" s="28">
        <v>387958000</v>
      </c>
      <c r="V5172" s="28">
        <v>3327946000</v>
      </c>
      <c r="W5172" s="28"/>
      <c r="X5172" s="28">
        <v>15342000</v>
      </c>
      <c r="Y5172" s="28">
        <v>3782939000</v>
      </c>
      <c r="Z5172" s="28">
        <v>985943000</v>
      </c>
      <c r="AA5172" s="28">
        <v>716575000</v>
      </c>
      <c r="AB5172" s="28">
        <v>1902386000</v>
      </c>
      <c r="AC5172" s="28">
        <v>2057921000</v>
      </c>
      <c r="AD5172" s="28">
        <v>1008443000</v>
      </c>
      <c r="AE5172" s="28">
        <v>5038406000</v>
      </c>
      <c r="AF5172" s="28">
        <v>258734000</v>
      </c>
      <c r="AG5172" s="11"/>
    </row>
    <row r="5173">
      <c r="A5173" s="7" t="s">
        <v>1151</v>
      </c>
      <c r="B5173" s="5" t="s">
        <v>14752</v>
      </c>
      <c r="C5173" s="5" t="s">
        <v>22467</v>
      </c>
      <c r="D5173" s="5" t="str">
        <v>742403363020</v>
      </c>
      <c r="E5173" s="0" t="e">
        <f>+7 (3512) 115000
+7 (3512) 115469
+7 (3512) 116000
+7 (35166) 31327
+7 (800) 7758800</f>
        <v>#NAME?</v>
      </c>
      <c r="F5173" s="5" t="s">
        <v>40655</v>
      </c>
      <c r="G5173" s="5"/>
      <c r="H5173" s="26">
        <v>22</v>
      </c>
      <c r="I5173" s="5" t="s">
        <v>40656</v>
      </c>
      <c r="J5173" s="5" t="s">
        <v>32989</v>
      </c>
      <c r="K5173" s="5" t="s">
        <v>355</v>
      </c>
      <c r="L5173" s="5" t="s">
        <v>40657</v>
      </c>
      <c r="M5173" s="27">
        <v>7490700</v>
      </c>
      <c r="N5173" s="5"/>
      <c r="O5173" s="5" t="str">
        <v>7440007056</v>
      </c>
      <c r="P5173" s="27">
        <v>40000</v>
      </c>
      <c r="Q5173" s="5" t="s">
        <v>49009</v>
      </c>
      <c r="R5173" s="5" t="s">
        <v>51620</v>
      </c>
      <c r="S5173" s="5" t="s">
        <v>49010</v>
      </c>
      <c r="T5173" s="28">
        <v>8762376000</v>
      </c>
      <c r="U5173" s="28">
        <v>69854000</v>
      </c>
      <c r="V5173" s="28">
        <v>3813896000</v>
      </c>
      <c r="W5173" s="28">
        <v>51500000</v>
      </c>
      <c r="X5173" s="28">
        <v>222629000</v>
      </c>
      <c r="Y5173" s="28">
        <v>15512750000</v>
      </c>
      <c r="Z5173" s="28">
        <v>4724156000</v>
      </c>
      <c r="AA5173" s="28">
        <v>2011110000</v>
      </c>
      <c r="AB5173" s="28">
        <v>4038466000</v>
      </c>
      <c r="AC5173" s="28">
        <v>7717281000</v>
      </c>
      <c r="AD5173" s="28">
        <v>4724196000</v>
      </c>
      <c r="AE5173" s="28">
        <v>13954067000</v>
      </c>
      <c r="AF5173" s="28">
        <v>341272000</v>
      </c>
      <c r="AG5173" s="11"/>
    </row>
    <row r="5174">
      <c r="A5174" s="7" t="s">
        <v>1151</v>
      </c>
      <c r="B5174" s="5" t="s">
        <v>14753</v>
      </c>
      <c r="C5174" s="5" t="s">
        <v>22468</v>
      </c>
      <c r="D5174" s="5" t="str">
        <v>421805803180</v>
      </c>
      <c r="E5174" s="0" t="e">
        <f>+7 (923) 6370047
+7 (3843) 993161</f>
        <v>#NAME?</v>
      </c>
      <c r="F5174" s="5" t="s">
        <v>40658</v>
      </c>
      <c r="G5174" s="5"/>
      <c r="H5174" s="26">
        <v>14.5</v>
      </c>
      <c r="I5174" s="5" t="s">
        <v>40659</v>
      </c>
      <c r="J5174" s="5" t="s">
        <v>39176</v>
      </c>
      <c r="K5174" s="5" t="s">
        <v>344</v>
      </c>
      <c r="L5174" s="5" t="s">
        <v>40660</v>
      </c>
      <c r="M5174" s="27"/>
      <c r="N5174" s="5" t="s">
        <v>57208</v>
      </c>
      <c r="O5174" s="5" t="str">
        <v>4205160147</v>
      </c>
      <c r="P5174" s="27">
        <v>140000000</v>
      </c>
      <c r="Q5174" s="5" t="s">
        <v>49009</v>
      </c>
      <c r="R5174" s="5"/>
      <c r="S5174" s="5" t="s">
        <v>49358</v>
      </c>
      <c r="T5174" s="28">
        <v>4873658000</v>
      </c>
      <c r="U5174" s="28">
        <v>560010000</v>
      </c>
      <c r="V5174" s="28">
        <v>4825627000</v>
      </c>
      <c r="W5174" s="28">
        <v>6400000000</v>
      </c>
      <c r="X5174" s="28">
        <v>1623538000</v>
      </c>
      <c r="Y5174" s="28">
        <v>22085641000</v>
      </c>
      <c r="Z5174" s="28">
        <v>19000821000</v>
      </c>
      <c r="AA5174" s="28">
        <v>288691000</v>
      </c>
      <c r="AB5174" s="28">
        <v>694258000</v>
      </c>
      <c r="AC5174" s="28">
        <v>2137791000</v>
      </c>
      <c r="AD5174" s="28">
        <v>19140821000</v>
      </c>
      <c r="AE5174" s="28">
        <v>63076209000</v>
      </c>
      <c r="AF5174" s="28">
        <v>14907758000</v>
      </c>
      <c r="AG5174" s="11"/>
    </row>
    <row r="5175">
      <c r="A5175" s="7" t="s">
        <v>6790</v>
      </c>
      <c r="B5175" s="5" t="s">
        <v>14754</v>
      </c>
      <c r="C5175" s="5" t="s">
        <v>22469</v>
      </c>
      <c r="D5175" s="5" t="str">
        <v>312322827403</v>
      </c>
      <c r="E5175" s="0" t="e">
        <f>+7 (86554) 64587
+7 (918) 7939582</f>
        <v>#NAME?</v>
      </c>
      <c r="F5175" s="5"/>
      <c r="G5175" s="5"/>
      <c r="H5175" s="26">
        <v>20</v>
      </c>
      <c r="I5175" s="5" t="s">
        <v>40661</v>
      </c>
      <c r="J5175" s="5" t="s">
        <v>25800</v>
      </c>
      <c r="K5175" s="5" t="s">
        <v>344</v>
      </c>
      <c r="L5175" s="5" t="s">
        <v>40662</v>
      </c>
      <c r="M5175" s="27">
        <v>128055042</v>
      </c>
      <c r="N5175" s="5" t="s">
        <v>49923</v>
      </c>
      <c r="O5175" s="5" t="str">
        <v>2631805988</v>
      </c>
      <c r="P5175" s="27">
        <v>245010000</v>
      </c>
      <c r="Q5175" s="5" t="s">
        <v>49009</v>
      </c>
      <c r="R5175" s="5" t="s">
        <v>57209</v>
      </c>
      <c r="S5175" s="5" t="s">
        <v>49576</v>
      </c>
      <c r="T5175" s="28">
        <v>5931856000</v>
      </c>
      <c r="U5175" s="28">
        <v>4088000</v>
      </c>
      <c r="V5175" s="28">
        <v>12284324000</v>
      </c>
      <c r="W5175" s="28">
        <v>223480000</v>
      </c>
      <c r="X5175" s="28">
        <v>1033000</v>
      </c>
      <c r="Y5175" s="28">
        <v>23462231000</v>
      </c>
      <c r="Z5175" s="28">
        <v>-15580000</v>
      </c>
      <c r="AA5175" s="28">
        <v>2771136000</v>
      </c>
      <c r="AB5175" s="28">
        <v>18794978000</v>
      </c>
      <c r="AC5175" s="28">
        <v>20175660000</v>
      </c>
      <c r="AD5175" s="28">
        <v>429430000</v>
      </c>
      <c r="AE5175" s="28">
        <v>29574772000</v>
      </c>
      <c r="AF5175" s="28">
        <v>212256000</v>
      </c>
      <c r="AG5175" s="11"/>
    </row>
    <row r="5176">
      <c r="A5176" s="7" t="s">
        <v>6791</v>
      </c>
      <c r="B5176" s="5" t="s">
        <v>14755</v>
      </c>
      <c r="C5176" s="5" t="s">
        <v>22470</v>
      </c>
      <c r="D5176" s="5" t="str">
        <v>010510676794</v>
      </c>
      <c r="E5176" s="0" t="e">
        <f>+7 (85147) 93259
+7 (85147) 97348
+7 (855) 2474737
+7 (904) 4041081
+7 (908) 6197089
+7 (908) 6680780
+7 (918) 1200289
+7 (919) 6897015
+7 (999) 7863819
+7 (8452) 294999
+7 (927) 2414906</f>
        <v>#NAME?</v>
      </c>
      <c r="F5176" s="5" t="s">
        <v>40663</v>
      </c>
      <c r="G5176" s="5"/>
      <c r="H5176" s="26">
        <v>12.5</v>
      </c>
      <c r="I5176" s="5" t="s">
        <v>40664</v>
      </c>
      <c r="J5176" s="5" t="s">
        <v>26125</v>
      </c>
      <c r="K5176" s="5" t="s">
        <v>344</v>
      </c>
      <c r="L5176" s="5"/>
      <c r="M5176" s="27"/>
      <c r="N5176" s="5" t="s">
        <v>57210</v>
      </c>
      <c r="O5176" s="5" t="str">
        <v>7714809551</v>
      </c>
      <c r="P5176" s="27">
        <v>40000</v>
      </c>
      <c r="Q5176" s="5" t="s">
        <v>49059</v>
      </c>
      <c r="R5176" s="5"/>
      <c r="S5176" s="5" t="s">
        <v>49256</v>
      </c>
      <c r="T5176" s="28">
        <v>393202000</v>
      </c>
      <c r="U5176" s="28"/>
      <c r="V5176" s="28">
        <v>1274541000</v>
      </c>
      <c r="W5176" s="28"/>
      <c r="X5176" s="28">
        <v>334742000</v>
      </c>
      <c r="Y5176" s="28">
        <v>2226096000</v>
      </c>
      <c r="Z5176" s="28">
        <v>-337543000</v>
      </c>
      <c r="AA5176" s="28"/>
      <c r="AB5176" s="28">
        <v>273807000</v>
      </c>
      <c r="AC5176" s="28">
        <v>2258263000</v>
      </c>
      <c r="AD5176" s="28">
        <v>-337497000</v>
      </c>
      <c r="AE5176" s="28">
        <v>9434397000</v>
      </c>
      <c r="AF5176" s="28">
        <v>-125499000</v>
      </c>
      <c r="AG5176" s="11"/>
    </row>
    <row r="5177">
      <c r="A5177" s="7" t="s">
        <v>6792</v>
      </c>
      <c r="B5177" s="5" t="s">
        <v>14756</v>
      </c>
      <c r="C5177" s="5" t="s">
        <v>22471</v>
      </c>
      <c r="D5177" s="5" t="str">
        <v>780207063470</v>
      </c>
      <c r="E5177" s="0" t="e">
        <f>+7 (495) 4190446
+7 (495) 4190466
+7 (495) 9612879
+7 (812) 4382675</f>
        <v>#NAME?</v>
      </c>
      <c r="F5177" s="5" t="s">
        <v>40665</v>
      </c>
      <c r="G5177" s="5" t="s">
        <v>40666</v>
      </c>
      <c r="H5177" s="26">
        <v>29</v>
      </c>
      <c r="I5177" s="5"/>
      <c r="J5177" s="5" t="s">
        <v>599</v>
      </c>
      <c r="K5177" s="5" t="s">
        <v>344</v>
      </c>
      <c r="L5177" s="5" t="s">
        <v>40667</v>
      </c>
      <c r="M5177" s="27"/>
      <c r="N5177" s="5" t="s">
        <v>57211</v>
      </c>
      <c r="O5177" s="5" t="str">
        <v>7729119110</v>
      </c>
      <c r="P5177" s="27">
        <v>2100000</v>
      </c>
      <c r="Q5177" s="5"/>
      <c r="R5177" s="5"/>
      <c r="S5177" s="5" t="s">
        <v>49496</v>
      </c>
      <c r="T5177" s="28">
        <v>10592000</v>
      </c>
      <c r="U5177" s="28">
        <v>249606000</v>
      </c>
      <c r="V5177" s="28">
        <v>198483000</v>
      </c>
      <c r="W5177" s="28"/>
      <c r="X5177" s="28">
        <v>290966000</v>
      </c>
      <c r="Y5177" s="28">
        <v>752622000</v>
      </c>
      <c r="Z5177" s="28">
        <v>597644000</v>
      </c>
      <c r="AA5177" s="28"/>
      <c r="AB5177" s="28"/>
      <c r="AC5177" s="28">
        <v>152654000</v>
      </c>
      <c r="AD5177" s="28">
        <v>599897000</v>
      </c>
      <c r="AE5177" s="28">
        <v>4009743000</v>
      </c>
      <c r="AF5177" s="28">
        <v>280663000</v>
      </c>
      <c r="AG5177" s="11"/>
    </row>
    <row r="5178">
      <c r="A5178" s="7" t="s">
        <v>6793</v>
      </c>
      <c r="B5178" s="5" t="s">
        <v>14757</v>
      </c>
      <c r="C5178" s="5" t="s">
        <v>22472</v>
      </c>
      <c r="D5178" s="5" t="str">
        <v>311402697187</v>
      </c>
      <c r="E5178" s="0" t="e">
        <f>+7 (916) 6566447
+7 (495) 9337616
+7 (499) 3219999
+7 (499) 7555083</f>
        <v>#NAME?</v>
      </c>
      <c r="F5178" s="5"/>
      <c r="G5178" s="5"/>
      <c r="H5178" s="26">
        <v>14.5</v>
      </c>
      <c r="I5178" s="5" t="s">
        <v>40668</v>
      </c>
      <c r="J5178" s="5" t="s">
        <v>28568</v>
      </c>
      <c r="K5178" s="5" t="s">
        <v>344</v>
      </c>
      <c r="L5178" s="5" t="s">
        <v>40669</v>
      </c>
      <c r="M5178" s="27"/>
      <c r="N5178" s="5" t="s">
        <v>57212</v>
      </c>
      <c r="O5178" s="5" t="str">
        <v>7713654471</v>
      </c>
      <c r="P5178" s="27">
        <v>2000000</v>
      </c>
      <c r="Q5178" s="5" t="s">
        <v>57213</v>
      </c>
      <c r="R5178" s="5"/>
      <c r="S5178" s="5" t="s">
        <v>57214</v>
      </c>
      <c r="T5178" s="28">
        <v>612485000</v>
      </c>
      <c r="U5178" s="28"/>
      <c r="V5178" s="28">
        <v>2911991000</v>
      </c>
      <c r="W5178" s="28">
        <v>62939000</v>
      </c>
      <c r="X5178" s="28">
        <v>89345000</v>
      </c>
      <c r="Y5178" s="28">
        <v>10079034000</v>
      </c>
      <c r="Z5178" s="28">
        <v>3004934000</v>
      </c>
      <c r="AA5178" s="28"/>
      <c r="AB5178" s="28">
        <v>4553361000</v>
      </c>
      <c r="AC5178" s="28">
        <v>6911484000</v>
      </c>
      <c r="AD5178" s="28">
        <v>3006934000</v>
      </c>
      <c r="AE5178" s="28">
        <v>22023613000</v>
      </c>
      <c r="AF5178" s="28">
        <v>551549000</v>
      </c>
      <c r="AG5178" s="11"/>
    </row>
    <row r="5179">
      <c r="A5179" s="7" t="s">
        <v>6794</v>
      </c>
      <c r="B5179" s="5" t="s">
        <v>14758</v>
      </c>
      <c r="C5179" s="5" t="s">
        <v>22473</v>
      </c>
      <c r="D5179" s="5" t="str">
        <v>071400388257</v>
      </c>
      <c r="E5179" s="0" t="e">
        <f>+7 (865) 2364246
+7 (8652) 748749
+7 (8652) 955588
+7 (918) 8840193</f>
        <v>#NAME?</v>
      </c>
      <c r="F5179" s="5" t="s">
        <v>40670</v>
      </c>
      <c r="G5179" s="5"/>
      <c r="H5179" s="26">
        <v>17</v>
      </c>
      <c r="I5179" s="5" t="s">
        <v>40671</v>
      </c>
      <c r="J5179" s="5" t="s">
        <v>26125</v>
      </c>
      <c r="K5179" s="5" t="s">
        <v>344</v>
      </c>
      <c r="L5179" s="5" t="s">
        <v>40672</v>
      </c>
      <c r="M5179" s="27">
        <v>3503811</v>
      </c>
      <c r="N5179" s="5"/>
      <c r="O5179" s="5" t="str">
        <v>2303024188</v>
      </c>
      <c r="P5179" s="27">
        <v>130000</v>
      </c>
      <c r="Q5179" s="5" t="s">
        <v>49009</v>
      </c>
      <c r="R5179" s="5"/>
      <c r="S5179" s="5" t="s">
        <v>49408</v>
      </c>
      <c r="T5179" s="28">
        <v>801957000</v>
      </c>
      <c r="U5179" s="28">
        <v>4072162000</v>
      </c>
      <c r="V5179" s="28">
        <v>21084358000</v>
      </c>
      <c r="W5179" s="28">
        <v>3494840000</v>
      </c>
      <c r="X5179" s="28">
        <v>1696103000</v>
      </c>
      <c r="Y5179" s="28">
        <v>35573990000</v>
      </c>
      <c r="Z5179" s="28">
        <v>3939376000</v>
      </c>
      <c r="AA5179" s="28">
        <v>2051398000</v>
      </c>
      <c r="AB5179" s="28"/>
      <c r="AC5179" s="28">
        <v>29064863000</v>
      </c>
      <c r="AD5179" s="28">
        <v>3956942000</v>
      </c>
      <c r="AE5179" s="28">
        <v>125790536000</v>
      </c>
      <c r="AF5179" s="28">
        <v>4014857000</v>
      </c>
      <c r="AG5179" s="11"/>
    </row>
    <row r="5180">
      <c r="A5180" s="7" t="s">
        <v>6795</v>
      </c>
      <c r="B5180" s="5" t="s">
        <v>14759</v>
      </c>
      <c r="C5180" s="5" t="s">
        <v>22474</v>
      </c>
      <c r="D5180" s="5" t="str">
        <v>381257145263</v>
      </c>
      <c r="E5180" s="0" t="e">
        <f>+7 (395) 2500639
+7 (3952) 486022
+7 (902) 5666776</f>
        <v>#NAME?</v>
      </c>
      <c r="F5180" s="5" t="s">
        <v>40673</v>
      </c>
      <c r="G5180" s="5"/>
      <c r="H5180" s="26">
        <v>11.5</v>
      </c>
      <c r="I5180" s="5" t="s">
        <v>40674</v>
      </c>
      <c r="J5180" s="5" t="s">
        <v>693</v>
      </c>
      <c r="K5180" s="5" t="s">
        <v>344</v>
      </c>
      <c r="L5180" s="5" t="s">
        <v>40675</v>
      </c>
      <c r="M5180" s="27">
        <v>2085755</v>
      </c>
      <c r="N5180" s="5" t="s">
        <v>57215</v>
      </c>
      <c r="O5180" s="5" t="str">
        <v>3810320798</v>
      </c>
      <c r="P5180" s="27">
        <v>10000</v>
      </c>
      <c r="Q5180" s="5" t="s">
        <v>57216</v>
      </c>
      <c r="R5180" s="5"/>
      <c r="S5180" s="5" t="s">
        <v>57217</v>
      </c>
      <c r="T5180" s="28">
        <v>19139000</v>
      </c>
      <c r="U5180" s="28"/>
      <c r="V5180" s="28">
        <v>743732000</v>
      </c>
      <c r="W5180" s="28">
        <v>110657000</v>
      </c>
      <c r="X5180" s="28">
        <v>34173000</v>
      </c>
      <c r="Y5180" s="28">
        <v>924516000</v>
      </c>
      <c r="Z5180" s="28">
        <v>78829000</v>
      </c>
      <c r="AA5180" s="28"/>
      <c r="AB5180" s="28"/>
      <c r="AC5180" s="28">
        <v>845491000</v>
      </c>
      <c r="AD5180" s="28">
        <v>78839000</v>
      </c>
      <c r="AE5180" s="28">
        <v>3603374000</v>
      </c>
      <c r="AF5180" s="28">
        <v>11209000</v>
      </c>
      <c r="AG5180" s="11"/>
    </row>
    <row r="5181">
      <c r="A5181" s="7" t="s">
        <v>6796</v>
      </c>
      <c r="B5181" s="5" t="s">
        <v>14760</v>
      </c>
      <c r="C5181" s="5" t="s">
        <v>22475</v>
      </c>
      <c r="D5181" s="5"/>
      <c r="E5181" s="0" t="e">
        <f>+7 (495) 6460839
+7 (495) 6615534
+7 (81531) 33541
+7 (81531) 33542</f>
        <v>#NAME?</v>
      </c>
      <c r="F5181" s="5" t="s">
        <v>40676</v>
      </c>
      <c r="G5181" s="5" t="s">
        <v>40677</v>
      </c>
      <c r="H5181" s="26">
        <v>15</v>
      </c>
      <c r="I5181" s="5" t="s">
        <v>40678</v>
      </c>
      <c r="J5181" s="5" t="s">
        <v>976</v>
      </c>
      <c r="K5181" s="5" t="s">
        <v>344</v>
      </c>
      <c r="L5181" s="5" t="s">
        <v>40679</v>
      </c>
      <c r="M5181" s="27">
        <v>204304</v>
      </c>
      <c r="N5181" s="5" t="s">
        <v>57218</v>
      </c>
      <c r="O5181" s="5" t="str">
        <v>7714731464</v>
      </c>
      <c r="P5181" s="27">
        <v>2000000</v>
      </c>
      <c r="Q5181" s="5" t="s">
        <v>57219</v>
      </c>
      <c r="R5181" s="5"/>
      <c r="S5181" s="5" t="s">
        <v>57220</v>
      </c>
      <c r="T5181" s="28">
        <v>614832000</v>
      </c>
      <c r="U5181" s="28">
        <v>233414000</v>
      </c>
      <c r="V5181" s="28">
        <v>2689465000</v>
      </c>
      <c r="W5181" s="28"/>
      <c r="X5181" s="28">
        <v>771224000</v>
      </c>
      <c r="Y5181" s="28">
        <v>4599121000</v>
      </c>
      <c r="Z5181" s="28">
        <v>1065776000</v>
      </c>
      <c r="AA5181" s="28"/>
      <c r="AB5181" s="28">
        <v>557126000</v>
      </c>
      <c r="AC5181" s="28">
        <v>3033748000</v>
      </c>
      <c r="AD5181" s="28">
        <v>1067776000</v>
      </c>
      <c r="AE5181" s="28">
        <v>14593981000</v>
      </c>
      <c r="AF5181" s="28">
        <v>704887000</v>
      </c>
      <c r="AG5181" s="11"/>
    </row>
    <row r="5182">
      <c r="A5182" s="7" t="s">
        <v>6797</v>
      </c>
      <c r="B5182" s="5" t="s">
        <v>14761</v>
      </c>
      <c r="C5182" s="5" t="s">
        <v>22476</v>
      </c>
      <c r="D5182" s="5" t="str">
        <v>245707751121</v>
      </c>
      <c r="E5182" s="0" t="e">
        <f>+7 (421) 2413431
+7 (812) 3208325
+7 (914) 1942868</f>
        <v>#NAME?</v>
      </c>
      <c r="F5182" s="5"/>
      <c r="G5182" s="5" t="s">
        <v>40680</v>
      </c>
      <c r="H5182" s="26">
        <v>17.5</v>
      </c>
      <c r="I5182" s="5" t="s">
        <v>40681</v>
      </c>
      <c r="J5182" s="5" t="s">
        <v>26499</v>
      </c>
      <c r="K5182" s="5" t="s">
        <v>355</v>
      </c>
      <c r="L5182" s="5" t="s">
        <v>40682</v>
      </c>
      <c r="M5182" s="27"/>
      <c r="N5182" s="5"/>
      <c r="O5182" s="5" t="str">
        <v>2721128498</v>
      </c>
      <c r="P5182" s="27">
        <v>2602716350</v>
      </c>
      <c r="Q5182" s="5" t="s">
        <v>49021</v>
      </c>
      <c r="R5182" s="5" t="s">
        <v>52818</v>
      </c>
      <c r="S5182" s="5" t="s">
        <v>52514</v>
      </c>
      <c r="T5182" s="28">
        <v>5312380000</v>
      </c>
      <c r="U5182" s="28">
        <v>13253385000</v>
      </c>
      <c r="V5182" s="28">
        <v>8170679000</v>
      </c>
      <c r="W5182" s="28">
        <v>8159328000</v>
      </c>
      <c r="X5182" s="28">
        <v>11953000</v>
      </c>
      <c r="Y5182" s="28">
        <v>55359084000</v>
      </c>
      <c r="Z5182" s="28">
        <v>18278484000</v>
      </c>
      <c r="AA5182" s="28">
        <v>27859263000</v>
      </c>
      <c r="AB5182" s="28">
        <v>1002362000</v>
      </c>
      <c r="AC5182" s="28">
        <v>4193147000</v>
      </c>
      <c r="AD5182" s="28">
        <v>20881200000</v>
      </c>
      <c r="AE5182" s="28">
        <v>21736092000</v>
      </c>
      <c r="AF5182" s="28">
        <v>2392072000</v>
      </c>
      <c r="AG5182" s="11"/>
    </row>
    <row r="5183">
      <c r="A5183" s="7" t="s">
        <v>6798</v>
      </c>
      <c r="B5183" s="5" t="s">
        <v>14762</v>
      </c>
      <c r="C5183" s="5" t="s">
        <v>22477</v>
      </c>
      <c r="D5183" s="5" t="str">
        <v>165800544137</v>
      </c>
      <c r="E5183" s="0" t="e">
        <f>+7 (495) 2760640
+7 (495) 2760641
+7 (495) 2760940
+7 (495) 2761496
+7 (495) 6760640
+7 (495) 6760641
+7 (495) 9134878
+7 (499) 2760640
+7 (985) 8558972</f>
        <v>#NAME?</v>
      </c>
      <c r="F5183" s="5" t="s">
        <v>40683</v>
      </c>
      <c r="G5183" s="5" t="s">
        <v>40684</v>
      </c>
      <c r="H5183" s="26">
        <v>17</v>
      </c>
      <c r="I5183" s="5" t="s">
        <v>40685</v>
      </c>
      <c r="J5183" s="5" t="s">
        <v>30904</v>
      </c>
      <c r="K5183" s="5" t="s">
        <v>344</v>
      </c>
      <c r="L5183" s="5" t="s">
        <v>40686</v>
      </c>
      <c r="M5183" s="27"/>
      <c r="N5183" s="5" t="s">
        <v>57221</v>
      </c>
      <c r="O5183" s="5" t="str">
        <v>7704581467</v>
      </c>
      <c r="P5183" s="27">
        <v>1900000</v>
      </c>
      <c r="Q5183" s="5" t="s">
        <v>49009</v>
      </c>
      <c r="R5183" s="5"/>
      <c r="S5183" s="5" t="s">
        <v>49884</v>
      </c>
      <c r="T5183" s="28">
        <v>18068000</v>
      </c>
      <c r="U5183" s="28">
        <v>6696000</v>
      </c>
      <c r="V5183" s="28">
        <v>30387000</v>
      </c>
      <c r="W5183" s="28"/>
      <c r="X5183" s="28">
        <v>495804000</v>
      </c>
      <c r="Y5183" s="28">
        <v>791333000</v>
      </c>
      <c r="Z5183" s="28">
        <v>627022000</v>
      </c>
      <c r="AA5183" s="28"/>
      <c r="AB5183" s="28"/>
      <c r="AC5183" s="28">
        <v>150780000</v>
      </c>
      <c r="AD5183" s="28">
        <v>629025000</v>
      </c>
      <c r="AE5183" s="28">
        <v>3204772000</v>
      </c>
      <c r="AF5183" s="28">
        <v>352704000</v>
      </c>
      <c r="AG5183" s="11"/>
    </row>
    <row r="5184">
      <c r="A5184" s="7" t="s">
        <v>6799</v>
      </c>
      <c r="B5184" s="5" t="s">
        <v>14763</v>
      </c>
      <c r="C5184" s="5" t="s">
        <v>22478</v>
      </c>
      <c r="D5184" s="5" t="str">
        <v>231131501409</v>
      </c>
      <c r="E5184" s="0" t="e">
        <f>+7 (499) 6739377</f>
        <v>#NAME?</v>
      </c>
      <c r="F5184" s="5"/>
      <c r="G5184" s="5" t="s">
        <v>40687</v>
      </c>
      <c r="H5184" s="26">
        <v>2.5</v>
      </c>
      <c r="I5184" s="5" t="s">
        <v>40688</v>
      </c>
      <c r="J5184" s="5" t="s">
        <v>364</v>
      </c>
      <c r="K5184" s="5" t="s">
        <v>344</v>
      </c>
      <c r="L5184" s="5" t="s">
        <v>40689</v>
      </c>
      <c r="M5184" s="27">
        <v>10000</v>
      </c>
      <c r="N5184" s="5"/>
      <c r="O5184" s="5" t="str">
        <v>7716950422</v>
      </c>
      <c r="P5184" s="27">
        <v>1000000</v>
      </c>
      <c r="Q5184" s="5" t="s">
        <v>49822</v>
      </c>
      <c r="R5184" s="5"/>
      <c r="S5184" s="5" t="s">
        <v>57222</v>
      </c>
      <c r="T5184" s="28">
        <v>199238000</v>
      </c>
      <c r="U5184" s="28"/>
      <c r="V5184" s="28">
        <v>1088362000</v>
      </c>
      <c r="W5184" s="28"/>
      <c r="X5184" s="28">
        <v>1037345000</v>
      </c>
      <c r="Y5184" s="28">
        <v>2492000000</v>
      </c>
      <c r="Z5184" s="28">
        <v>569789000</v>
      </c>
      <c r="AA5184" s="28">
        <v>2500000</v>
      </c>
      <c r="AB5184" s="28"/>
      <c r="AC5184" s="28">
        <v>1837617000</v>
      </c>
      <c r="AD5184" s="28">
        <v>570789000</v>
      </c>
      <c r="AE5184" s="28">
        <v>3846642000</v>
      </c>
      <c r="AF5184" s="28">
        <v>634897000</v>
      </c>
      <c r="AG5184" s="11"/>
    </row>
    <row r="5185">
      <c r="A5185" s="7" t="s">
        <v>6800</v>
      </c>
      <c r="B5185" s="5" t="s">
        <v>14764</v>
      </c>
      <c r="C5185" s="5" t="s">
        <v>22479</v>
      </c>
      <c r="D5185" s="5" t="str">
        <v>780151385306</v>
      </c>
      <c r="E5185" s="0" t="e">
        <f>+7 (812) 2449000
+7 (921) 9651673</f>
        <v>#NAME?</v>
      </c>
      <c r="F5185" s="5"/>
      <c r="G5185" s="5"/>
      <c r="H5185" s="26">
        <v>5.5</v>
      </c>
      <c r="I5185" s="5" t="s">
        <v>40690</v>
      </c>
      <c r="J5185" s="5" t="s">
        <v>25674</v>
      </c>
      <c r="K5185" s="5" t="s">
        <v>355</v>
      </c>
      <c r="L5185" s="5" t="s">
        <v>40691</v>
      </c>
      <c r="M5185" s="27">
        <v>920400</v>
      </c>
      <c r="N5185" s="5" t="s">
        <v>57223</v>
      </c>
      <c r="O5185" s="5" t="str">
        <v>7806289863</v>
      </c>
      <c r="P5185" s="27">
        <v>10000000</v>
      </c>
      <c r="Q5185" s="5" t="s">
        <v>49009</v>
      </c>
      <c r="R5185" s="5"/>
      <c r="S5185" s="5" t="s">
        <v>57224</v>
      </c>
      <c r="T5185" s="28">
        <v>83119000</v>
      </c>
      <c r="U5185" s="28"/>
      <c r="V5185" s="28">
        <v>222767000</v>
      </c>
      <c r="W5185" s="28">
        <v>6755000</v>
      </c>
      <c r="X5185" s="28">
        <v>17352000</v>
      </c>
      <c r="Y5185" s="28">
        <v>709456000</v>
      </c>
      <c r="Z5185" s="28">
        <v>141827000</v>
      </c>
      <c r="AA5185" s="28">
        <v>270000000</v>
      </c>
      <c r="AB5185" s="28">
        <v>52605000</v>
      </c>
      <c r="AC5185" s="28">
        <v>287629000</v>
      </c>
      <c r="AD5185" s="28">
        <v>151827000</v>
      </c>
      <c r="AE5185" s="28">
        <v>3249492000</v>
      </c>
      <c r="AF5185" s="28">
        <v>29251000</v>
      </c>
      <c r="AG5185" s="11"/>
    </row>
    <row r="5186">
      <c r="A5186" s="7" t="s">
        <v>6801</v>
      </c>
      <c r="B5186" s="5" t="s">
        <v>14765</v>
      </c>
      <c r="C5186" s="5" t="s">
        <v>22480</v>
      </c>
      <c r="D5186" s="5" t="str">
        <v>773004605743</v>
      </c>
      <c r="E5186" s="0" t="e">
        <f>+7 (499) 2620574
+7 (495) 2620431
+7 (495) 2622863
+7 (499) 2629988</f>
        <v>#NAME?</v>
      </c>
      <c r="F5186" s="5" t="s">
        <v>40692</v>
      </c>
      <c r="G5186" s="5" t="s">
        <v>40693</v>
      </c>
      <c r="H5186" s="26">
        <v>17</v>
      </c>
      <c r="I5186" s="5" t="s">
        <v>40694</v>
      </c>
      <c r="J5186" s="5" t="s">
        <v>26325</v>
      </c>
      <c r="K5186" s="5" t="s">
        <v>344</v>
      </c>
      <c r="L5186" s="5"/>
      <c r="M5186" s="27">
        <v>123687</v>
      </c>
      <c r="N5186" s="5"/>
      <c r="O5186" s="5" t="str">
        <v>7708590286</v>
      </c>
      <c r="P5186" s="27">
        <v>3491493000</v>
      </c>
      <c r="Q5186" s="5" t="s">
        <v>57225</v>
      </c>
      <c r="R5186" s="5"/>
      <c r="S5186" s="5" t="s">
        <v>51387</v>
      </c>
      <c r="T5186" s="28">
        <v>3014245000</v>
      </c>
      <c r="U5186" s="28"/>
      <c r="V5186" s="28">
        <v>2646758000</v>
      </c>
      <c r="W5186" s="28"/>
      <c r="X5186" s="28">
        <v>285826000</v>
      </c>
      <c r="Y5186" s="28">
        <v>6361052000</v>
      </c>
      <c r="Z5186" s="28">
        <v>-380615000</v>
      </c>
      <c r="AA5186" s="28"/>
      <c r="AB5186" s="28">
        <v>230069000</v>
      </c>
      <c r="AC5186" s="28">
        <v>922817000</v>
      </c>
      <c r="AD5186" s="28">
        <v>3155394000</v>
      </c>
      <c r="AE5186" s="28">
        <v>3442287000</v>
      </c>
      <c r="AF5186" s="28">
        <v>114163000</v>
      </c>
      <c r="AG5186" s="11"/>
    </row>
    <row r="5187">
      <c r="A5187" s="7" t="s">
        <v>6802</v>
      </c>
      <c r="B5187" s="5" t="s">
        <v>14766</v>
      </c>
      <c r="C5187" s="5" t="s">
        <v>22481</v>
      </c>
      <c r="D5187" s="5" t="str">
        <v>502719057740</v>
      </c>
      <c r="E5187" s="0" t="e">
        <f>+7 (495) 5445519
+7 (495) 9164500
+7 (495) 5266767
+7 (495) 5445514
+7 (495) 6633388</f>
        <v>#NAME?</v>
      </c>
      <c r="F5187" s="5" t="s">
        <v>40695</v>
      </c>
      <c r="G5187" s="5" t="s">
        <v>40696</v>
      </c>
      <c r="H5187" s="26">
        <v>20.5</v>
      </c>
      <c r="I5187" s="5" t="s">
        <v>40697</v>
      </c>
      <c r="J5187" s="5" t="s">
        <v>28075</v>
      </c>
      <c r="K5187" s="5" t="s">
        <v>344</v>
      </c>
      <c r="L5187" s="5" t="s">
        <v>40698</v>
      </c>
      <c r="M5187" s="27"/>
      <c r="N5187" s="5"/>
      <c r="O5187" s="5" t="str">
        <v>7709391854</v>
      </c>
      <c r="P5187" s="27">
        <v>859837000</v>
      </c>
      <c r="Q5187" s="5"/>
      <c r="R5187" s="5"/>
      <c r="S5187" s="5" t="s">
        <v>49029</v>
      </c>
      <c r="T5187" s="28">
        <v>1053413000</v>
      </c>
      <c r="U5187" s="28"/>
      <c r="V5187" s="28">
        <v>839558000</v>
      </c>
      <c r="W5187" s="28"/>
      <c r="X5187" s="28">
        <v>521000</v>
      </c>
      <c r="Y5187" s="28">
        <v>3310042000</v>
      </c>
      <c r="Z5187" s="28">
        <v>2176666000</v>
      </c>
      <c r="AA5187" s="28"/>
      <c r="AB5187" s="28"/>
      <c r="AC5187" s="28">
        <v>273456000</v>
      </c>
      <c r="AD5187" s="28">
        <v>3036586000</v>
      </c>
      <c r="AE5187" s="28">
        <v>8559830000</v>
      </c>
      <c r="AF5187" s="28">
        <v>681287000</v>
      </c>
      <c r="AG5187" s="11"/>
    </row>
    <row r="5188">
      <c r="A5188" s="7" t="s">
        <v>6803</v>
      </c>
      <c r="B5188" s="5" t="s">
        <v>14767</v>
      </c>
      <c r="C5188" s="5" t="s">
        <v>22481</v>
      </c>
      <c r="D5188" s="5" t="str">
        <v>502719057740</v>
      </c>
      <c r="E5188" s="0" t="e">
        <f>+7 (343) 2534305
+7 (343) 2535305
+7 (343) 2535306
+7 (383) 2000353
+7 (383) 2209634
+7 (421) 2415815
+7 (421) 2475797
+7 (473) 2611858
+7 (495) 1182587
+7 (495) 2216912
+7 (495) 5266767
+7 (495) 6333388
+7 (495) 6632060
+7 (495) 6632061
+7 (495) 6633300</f>
        <v>#NAME?</v>
      </c>
      <c r="F5188" s="5" t="s">
        <v>40699</v>
      </c>
      <c r="G5188" s="5" t="s">
        <v>40696</v>
      </c>
      <c r="H5188" s="26">
        <v>24.5</v>
      </c>
      <c r="I5188" s="5" t="s">
        <v>40700</v>
      </c>
      <c r="J5188" s="5" t="s">
        <v>678</v>
      </c>
      <c r="K5188" s="5" t="s">
        <v>344</v>
      </c>
      <c r="L5188" s="5" t="s">
        <v>40701</v>
      </c>
      <c r="M5188" s="27"/>
      <c r="N5188" s="5"/>
      <c r="O5188" s="5" t="str">
        <v>7709265218</v>
      </c>
      <c r="P5188" s="27">
        <v>55515000</v>
      </c>
      <c r="Q5188" s="5" t="s">
        <v>49009</v>
      </c>
      <c r="R5188" s="5"/>
      <c r="S5188" s="5" t="s">
        <v>49010</v>
      </c>
      <c r="T5188" s="28">
        <v>52918000</v>
      </c>
      <c r="U5188" s="28">
        <v>100000</v>
      </c>
      <c r="V5188" s="28">
        <v>579813000</v>
      </c>
      <c r="W5188" s="28"/>
      <c r="X5188" s="28">
        <v>751342000</v>
      </c>
      <c r="Y5188" s="28">
        <v>3105293000</v>
      </c>
      <c r="Z5188" s="28">
        <v>1130073000</v>
      </c>
      <c r="AA5188" s="28"/>
      <c r="AB5188" s="28"/>
      <c r="AC5188" s="28">
        <v>1911378000</v>
      </c>
      <c r="AD5188" s="28">
        <v>1193915000</v>
      </c>
      <c r="AE5188" s="28">
        <v>12783471000</v>
      </c>
      <c r="AF5188" s="28">
        <v>-266164000</v>
      </c>
      <c r="AG5188" s="11"/>
    </row>
    <row r="5189">
      <c r="A5189" s="7" t="s">
        <v>6804</v>
      </c>
      <c r="B5189" s="5" t="s">
        <v>14768</v>
      </c>
      <c r="C5189" s="5" t="s">
        <v>22482</v>
      </c>
      <c r="D5189" s="5"/>
      <c r="E5189" s="0" t="e">
        <f>+7 (985) 7675418
+7 (39565) 40104
+7 (41137) 41409
+7 (41137) 49265
+7 (41137) 49485</f>
        <v>#NAME?</v>
      </c>
      <c r="F5189" s="5" t="s">
        <v>40702</v>
      </c>
      <c r="G5189" s="5"/>
      <c r="H5189" s="26">
        <v>23</v>
      </c>
      <c r="I5189" s="5" t="s">
        <v>40703</v>
      </c>
      <c r="J5189" s="5" t="s">
        <v>26905</v>
      </c>
      <c r="K5189" s="5" t="s">
        <v>344</v>
      </c>
      <c r="L5189" s="5" t="s">
        <v>40704</v>
      </c>
      <c r="M5189" s="27">
        <v>16856078</v>
      </c>
      <c r="N5189" s="5" t="s">
        <v>57226</v>
      </c>
      <c r="O5189" s="5" t="str">
        <v>1414008729</v>
      </c>
      <c r="P5189" s="27">
        <v>6468000</v>
      </c>
      <c r="Q5189" s="5" t="s">
        <v>57227</v>
      </c>
      <c r="R5189" s="5" t="s">
        <v>51841</v>
      </c>
      <c r="S5189" s="5" t="s">
        <v>50836</v>
      </c>
      <c r="T5189" s="28">
        <v>192524000</v>
      </c>
      <c r="U5189" s="28"/>
      <c r="V5189" s="28">
        <v>1582402000</v>
      </c>
      <c r="W5189" s="28">
        <v>208555000</v>
      </c>
      <c r="X5189" s="28">
        <v>99483000</v>
      </c>
      <c r="Y5189" s="28">
        <v>2156553000</v>
      </c>
      <c r="Z5189" s="28">
        <v>54638000</v>
      </c>
      <c r="AA5189" s="28">
        <v>500000000</v>
      </c>
      <c r="AB5189" s="28">
        <v>183649000</v>
      </c>
      <c r="AC5189" s="28">
        <v>1526348000</v>
      </c>
      <c r="AD5189" s="28">
        <v>61106000</v>
      </c>
      <c r="AE5189" s="28">
        <v>4733959000</v>
      </c>
      <c r="AF5189" s="28">
        <v>294772000</v>
      </c>
      <c r="AG5189" s="11"/>
    </row>
    <row r="5190">
      <c r="A5190" s="7" t="s">
        <v>6805</v>
      </c>
      <c r="B5190" s="5" t="s">
        <v>14769</v>
      </c>
      <c r="C5190" s="5" t="s">
        <v>22483</v>
      </c>
      <c r="D5190" s="5" t="str">
        <v>500113402650</v>
      </c>
      <c r="F5190" s="5"/>
      <c r="G5190" s="5" t="s">
        <v>40705</v>
      </c>
      <c r="H5190" s="26">
        <v>2.5</v>
      </c>
      <c r="I5190" s="5"/>
      <c r="J5190" s="5" t="s">
        <v>599</v>
      </c>
      <c r="K5190" s="5" t="s">
        <v>344</v>
      </c>
      <c r="L5190" s="5"/>
      <c r="M5190" s="27">
        <v>1704404</v>
      </c>
      <c r="N5190" s="5" t="s">
        <v>49900</v>
      </c>
      <c r="O5190" s="5" t="str">
        <v>9701164250</v>
      </c>
      <c r="P5190" s="27">
        <v>2134817000</v>
      </c>
      <c r="Q5190" s="5"/>
      <c r="R5190" s="5"/>
      <c r="S5190" s="5" t="s">
        <v>49053</v>
      </c>
      <c r="T5190" s="28">
        <v>126346000</v>
      </c>
      <c r="U5190" s="28">
        <v>1934817000</v>
      </c>
      <c r="V5190" s="28">
        <v>3278972000</v>
      </c>
      <c r="W5190" s="28"/>
      <c r="X5190" s="28">
        <v>238420000</v>
      </c>
      <c r="Y5190" s="28">
        <v>15264189000</v>
      </c>
      <c r="Z5190" s="28">
        <v>219836000</v>
      </c>
      <c r="AA5190" s="28"/>
      <c r="AB5190" s="28">
        <v>1141622000</v>
      </c>
      <c r="AC5190" s="28">
        <v>4987415000</v>
      </c>
      <c r="AD5190" s="28">
        <v>2354795000</v>
      </c>
      <c r="AE5190" s="28">
        <v>16444543000</v>
      </c>
      <c r="AF5190" s="28">
        <v>217142000</v>
      </c>
      <c r="AG5190" s="11"/>
    </row>
    <row r="5191">
      <c r="A5191" s="7" t="s">
        <v>6806</v>
      </c>
      <c r="B5191" s="5" t="s">
        <v>14770</v>
      </c>
      <c r="C5191" s="5" t="s">
        <v>22484</v>
      </c>
      <c r="D5191" s="5" t="str">
        <v>504211612910</v>
      </c>
      <c r="E5191" s="0" t="e">
        <f>+7 (495) 6633140
+7 (495) 6736636</f>
        <v>#NAME?</v>
      </c>
      <c r="F5191" s="5" t="s">
        <v>40706</v>
      </c>
      <c r="G5191" s="5" t="s">
        <v>40707</v>
      </c>
      <c r="H5191" s="26">
        <v>10.5</v>
      </c>
      <c r="I5191" s="5" t="s">
        <v>40708</v>
      </c>
      <c r="J5191" s="5" t="s">
        <v>29432</v>
      </c>
      <c r="K5191" s="5" t="s">
        <v>344</v>
      </c>
      <c r="L5191" s="5"/>
      <c r="M5191" s="27"/>
      <c r="N5191" s="5" t="s">
        <v>50061</v>
      </c>
      <c r="O5191" s="5" t="str">
        <v>7708773473</v>
      </c>
      <c r="P5191" s="27">
        <v>20000000</v>
      </c>
      <c r="Q5191" s="5" t="s">
        <v>57228</v>
      </c>
      <c r="R5191" s="5"/>
      <c r="S5191" s="5" t="s">
        <v>49070</v>
      </c>
      <c r="T5191" s="28">
        <v>324368000</v>
      </c>
      <c r="U5191" s="28"/>
      <c r="V5191" s="28">
        <v>628812000</v>
      </c>
      <c r="W5191" s="28"/>
      <c r="X5191" s="28">
        <v>859993000</v>
      </c>
      <c r="Y5191" s="28">
        <v>2163483000</v>
      </c>
      <c r="Z5191" s="28">
        <v>1283509000</v>
      </c>
      <c r="AA5191" s="28"/>
      <c r="AB5191" s="28"/>
      <c r="AC5191" s="28">
        <v>791431000</v>
      </c>
      <c r="AD5191" s="28">
        <v>1304509000</v>
      </c>
      <c r="AE5191" s="28">
        <v>5699067000</v>
      </c>
      <c r="AF5191" s="28">
        <v>-174791000</v>
      </c>
      <c r="AG5191" s="11"/>
    </row>
    <row r="5192">
      <c r="A5192" s="7" t="s">
        <v>6807</v>
      </c>
      <c r="B5192" s="5" t="s">
        <v>14771</v>
      </c>
      <c r="C5192" s="5" t="s">
        <v>22485</v>
      </c>
      <c r="D5192" s="5" t="str">
        <v>772814152384</v>
      </c>
      <c r="E5192" s="0" t="e">
        <f>+7 (3952) 436717
+7 (495) 6409037
+7 (495) 7483232
+7 (800) 7750100</f>
        <v>#NAME?</v>
      </c>
      <c r="F5192" s="5" t="s">
        <v>40709</v>
      </c>
      <c r="G5192" s="5" t="s">
        <v>40710</v>
      </c>
      <c r="H5192" s="26">
        <v>12.5</v>
      </c>
      <c r="I5192" s="5"/>
      <c r="J5192" s="5" t="s">
        <v>599</v>
      </c>
      <c r="K5192" s="5" t="s">
        <v>344</v>
      </c>
      <c r="L5192" s="5"/>
      <c r="M5192" s="27">
        <v>154508348</v>
      </c>
      <c r="N5192" s="5" t="s">
        <v>57229</v>
      </c>
      <c r="O5192" s="5" t="str">
        <v>7708730092</v>
      </c>
      <c r="P5192" s="27">
        <v>125300000</v>
      </c>
      <c r="Q5192" s="5" t="s">
        <v>57230</v>
      </c>
      <c r="R5192" s="5"/>
      <c r="S5192" s="5" t="s">
        <v>57231</v>
      </c>
      <c r="T5192" s="28">
        <v>1827584000</v>
      </c>
      <c r="U5192" s="28">
        <v>2217152000</v>
      </c>
      <c r="V5192" s="28">
        <v>5962577000</v>
      </c>
      <c r="W5192" s="28"/>
      <c r="X5192" s="28">
        <v>1268781000</v>
      </c>
      <c r="Y5192" s="28">
        <v>12598200000</v>
      </c>
      <c r="Z5192" s="28">
        <v>4581203000</v>
      </c>
      <c r="AA5192" s="28">
        <v>1287660000</v>
      </c>
      <c r="AB5192" s="28">
        <v>335276000</v>
      </c>
      <c r="AC5192" s="28">
        <v>6266884000</v>
      </c>
      <c r="AD5192" s="28">
        <v>4716269000</v>
      </c>
      <c r="AE5192" s="28">
        <v>40815916000</v>
      </c>
      <c r="AF5192" s="28">
        <v>242050000</v>
      </c>
      <c r="AG5192" s="11"/>
    </row>
    <row r="5193">
      <c r="A5193" s="7" t="s">
        <v>6808</v>
      </c>
      <c r="B5193" s="5" t="s">
        <v>14772</v>
      </c>
      <c r="C5193" s="5" t="s">
        <v>22486</v>
      </c>
      <c r="D5193" s="5" t="str">
        <v>502907179910</v>
      </c>
      <c r="E5193" s="0" t="e">
        <f>+7 (8452) 411919
+7 (87932) 51153
+7 (87932) 55120
+7 (35253) 69222
+7 (40153) 22562
+7 (40153) 22659
+7 (47391) 40188
+7 (495) 2234274
+7 (495) 2234573
+7 (800) 5552777
+7 (8452) 411713
+7 (8452) 411949
+7 (8622) 902010
+7 (8622) 902020
+7 (901) 5444707</f>
        <v>#NAME?</v>
      </c>
      <c r="F5193" s="5" t="s">
        <v>40711</v>
      </c>
      <c r="G5193" s="5"/>
      <c r="H5193" s="26">
        <v>13</v>
      </c>
      <c r="I5193" s="5"/>
      <c r="J5193" s="5" t="s">
        <v>29971</v>
      </c>
      <c r="K5193" s="5" t="s">
        <v>344</v>
      </c>
      <c r="L5193" s="5"/>
      <c r="M5193" s="27">
        <v>649356</v>
      </c>
      <c r="N5193" s="5" t="s">
        <v>57232</v>
      </c>
      <c r="O5193" s="5" t="str">
        <v>7703715816</v>
      </c>
      <c r="P5193" s="27">
        <v>8870117000</v>
      </c>
      <c r="Q5193" s="5" t="s">
        <v>57233</v>
      </c>
      <c r="R5193" s="5"/>
      <c r="S5193" s="5" t="s">
        <v>51054</v>
      </c>
      <c r="T5193" s="28">
        <v>8765344000</v>
      </c>
      <c r="U5193" s="28"/>
      <c r="V5193" s="28">
        <v>629483000</v>
      </c>
      <c r="W5193" s="28">
        <v>1196000000</v>
      </c>
      <c r="X5193" s="28">
        <v>769431000</v>
      </c>
      <c r="Y5193" s="28">
        <v>11442192000</v>
      </c>
      <c r="Z5193" s="28">
        <v>1562243000</v>
      </c>
      <c r="AA5193" s="28"/>
      <c r="AB5193" s="28"/>
      <c r="AC5193" s="28">
        <v>746791000</v>
      </c>
      <c r="AD5193" s="28">
        <v>10538103000</v>
      </c>
      <c r="AE5193" s="28">
        <v>5425691000</v>
      </c>
      <c r="AF5193" s="28">
        <v>930948000</v>
      </c>
      <c r="AG5193" s="11"/>
    </row>
    <row r="5194">
      <c r="A5194" s="7" t="s">
        <v>6809</v>
      </c>
      <c r="B5194" s="5" t="s">
        <v>14773</v>
      </c>
      <c r="C5194" s="5" t="s">
        <v>22487</v>
      </c>
      <c r="D5194" s="5" t="str">
        <v>500107764115</v>
      </c>
      <c r="E5194" s="0" t="e">
        <f>+7 (499) 2622108
+7 (495) 2620686
+7 (499) 9409700</f>
        <v>#NAME?</v>
      </c>
      <c r="F5194" s="5"/>
      <c r="G5194" s="5" t="s">
        <v>40712</v>
      </c>
      <c r="H5194" s="26">
        <v>15</v>
      </c>
      <c r="I5194" s="5" t="s">
        <v>40713</v>
      </c>
      <c r="J5194" s="5" t="s">
        <v>40714</v>
      </c>
      <c r="K5194" s="5" t="s">
        <v>344</v>
      </c>
      <c r="L5194" s="5" t="s">
        <v>40715</v>
      </c>
      <c r="M5194" s="27"/>
      <c r="N5194" s="5" t="s">
        <v>57234</v>
      </c>
      <c r="O5194" s="5" t="str">
        <v>7701757507</v>
      </c>
      <c r="P5194" s="27">
        <v>10000</v>
      </c>
      <c r="Q5194" s="5" t="s">
        <v>57236</v>
      </c>
      <c r="R5194" s="5"/>
      <c r="S5194" s="5" t="s">
        <v>57237</v>
      </c>
      <c r="T5194" s="28">
        <v>100654000</v>
      </c>
      <c r="U5194" s="28"/>
      <c r="V5194" s="28">
        <v>5389347000</v>
      </c>
      <c r="W5194" s="28"/>
      <c r="X5194" s="28">
        <v>438038000</v>
      </c>
      <c r="Y5194" s="28">
        <v>6119793000</v>
      </c>
      <c r="Z5194" s="28">
        <v>654785000</v>
      </c>
      <c r="AA5194" s="28"/>
      <c r="AB5194" s="28"/>
      <c r="AC5194" s="28">
        <v>5334013000</v>
      </c>
      <c r="AD5194" s="28">
        <v>654797000</v>
      </c>
      <c r="AE5194" s="28">
        <v>15526763000</v>
      </c>
      <c r="AF5194" s="28">
        <v>401306000</v>
      </c>
      <c r="AG5194" s="11"/>
    </row>
    <row r="5195">
      <c r="A5195" s="7" t="s">
        <v>6810</v>
      </c>
      <c r="B5195" s="5" t="s">
        <v>14774</v>
      </c>
      <c r="C5195" s="5" t="s">
        <v>22488</v>
      </c>
      <c r="D5195" s="5" t="str">
        <v>990103438045</v>
      </c>
      <c r="E5195" s="0" t="e">
        <f>+7 (985) 7301258
+7 (916) 9386863
+7 (919) 9953603
+7 (985) 2332597</f>
        <v>#NAME?</v>
      </c>
      <c r="F5195" s="5" t="s">
        <v>40716</v>
      </c>
      <c r="G5195" s="5"/>
      <c r="H5195" s="26">
        <v>6</v>
      </c>
      <c r="I5195" s="5" t="s">
        <v>40717</v>
      </c>
      <c r="J5195" s="5" t="s">
        <v>40718</v>
      </c>
      <c r="K5195" s="5" t="s">
        <v>355</v>
      </c>
      <c r="L5195" s="5" t="s">
        <v>40719</v>
      </c>
      <c r="M5195" s="27"/>
      <c r="N5195" s="5" t="s">
        <v>57238</v>
      </c>
      <c r="O5195" s="5" t="str">
        <v>7708316597</v>
      </c>
      <c r="P5195" s="27">
        <v>10000</v>
      </c>
      <c r="Q5195" s="5" t="s">
        <v>57240</v>
      </c>
      <c r="R5195" s="5"/>
      <c r="S5195" s="5" t="s">
        <v>51423</v>
      </c>
      <c r="T5195" s="28">
        <v>38121000</v>
      </c>
      <c r="U5195" s="28"/>
      <c r="V5195" s="28">
        <v>1328195000</v>
      </c>
      <c r="W5195" s="28"/>
      <c r="X5195" s="28">
        <v>15441000</v>
      </c>
      <c r="Y5195" s="28">
        <v>1843664000</v>
      </c>
      <c r="Z5195" s="28">
        <v>203378000</v>
      </c>
      <c r="AA5195" s="28"/>
      <c r="AB5195" s="28">
        <v>23013000</v>
      </c>
      <c r="AC5195" s="28">
        <v>1287964000</v>
      </c>
      <c r="AD5195" s="28">
        <v>203388000</v>
      </c>
      <c r="AE5195" s="28">
        <v>3721768000</v>
      </c>
      <c r="AF5195" s="28">
        <v>39033000</v>
      </c>
      <c r="AG5195" s="11"/>
    </row>
    <row r="5196">
      <c r="A5196" s="7" t="s">
        <v>6811</v>
      </c>
      <c r="B5196" s="5" t="s">
        <v>14775</v>
      </c>
      <c r="C5196" s="5" t="s">
        <v>22489</v>
      </c>
      <c r="D5196" s="5" t="str">
        <v>781610684890</v>
      </c>
      <c r="E5196" s="0" t="e">
        <f>+7 (3022) 322101
+7 (3022) 323429
+7 (3022) 325180
+7 (3512) 682465
+7 (473) 2600513
+7 (499) 2603433
+7 (499) 2613337
+7 (499) 2668800
+7 (499) 2668801
+7 (812) 4364719
+7 (812) 4364727
+7 (812) 4364734
+7 (812) 4364911
+7 (812) 4364915
+7 (817) 2793207</f>
        <v>#NAME?</v>
      </c>
      <c r="F5196" s="5" t="s">
        <v>40720</v>
      </c>
      <c r="G5196" s="5" t="s">
        <v>40721</v>
      </c>
      <c r="H5196" s="26">
        <v>17</v>
      </c>
      <c r="I5196" s="5"/>
      <c r="J5196" s="5" t="s">
        <v>1095</v>
      </c>
      <c r="K5196" s="5" t="s">
        <v>355</v>
      </c>
      <c r="L5196" s="5"/>
      <c r="M5196" s="27">
        <v>488022336</v>
      </c>
      <c r="N5196" s="5" t="s">
        <v>57241</v>
      </c>
      <c r="O5196" s="5" t="str">
        <v>7708587205</v>
      </c>
      <c r="P5196" s="27">
        <v>14176805000</v>
      </c>
      <c r="Q5196" s="5" t="s">
        <v>57242</v>
      </c>
      <c r="R5196" s="5" t="s">
        <v>57243</v>
      </c>
      <c r="S5196" s="5" t="s">
        <v>57244</v>
      </c>
      <c r="T5196" s="28">
        <v>5303305000</v>
      </c>
      <c r="U5196" s="28">
        <v>741000</v>
      </c>
      <c r="V5196" s="28">
        <v>65587714000</v>
      </c>
      <c r="W5196" s="28">
        <v>6000000</v>
      </c>
      <c r="X5196" s="28">
        <v>987003000</v>
      </c>
      <c r="Y5196" s="28">
        <v>86676144000</v>
      </c>
      <c r="Z5196" s="28">
        <v>-27565842000</v>
      </c>
      <c r="AA5196" s="28">
        <v>8542118000</v>
      </c>
      <c r="AB5196" s="28">
        <v>2155499000</v>
      </c>
      <c r="AC5196" s="28">
        <v>91427478000</v>
      </c>
      <c r="AD5196" s="28">
        <v>-13466420000</v>
      </c>
      <c r="AE5196" s="28">
        <v>162367951000</v>
      </c>
      <c r="AF5196" s="28">
        <v>566851000</v>
      </c>
      <c r="AG5196" s="11"/>
    </row>
    <row r="5197">
      <c r="A5197" s="7" t="s">
        <v>6812</v>
      </c>
      <c r="B5197" s="5" t="s">
        <v>14776</v>
      </c>
      <c r="C5197" s="5" t="s">
        <v>22490</v>
      </c>
      <c r="D5197" s="5" t="str">
        <v>690500054960</v>
      </c>
      <c r="E5197" s="0" t="e">
        <f>+7 (48232) 25689
+7 (919) 505924
+7 (48232) 23652
+7 (910) 5358836
+7 (910) 6470650</f>
        <v>#NAME?</v>
      </c>
      <c r="F5197" s="5" t="s">
        <v>40722</v>
      </c>
      <c r="G5197" s="5"/>
      <c r="H5197" s="26">
        <v>6</v>
      </c>
      <c r="I5197" s="5" t="s">
        <v>40723</v>
      </c>
      <c r="J5197" s="5" t="s">
        <v>27266</v>
      </c>
      <c r="K5197" s="5" t="s">
        <v>344</v>
      </c>
      <c r="L5197" s="5" t="s">
        <v>40724</v>
      </c>
      <c r="M5197" s="27"/>
      <c r="N5197" s="5" t="s">
        <v>57245</v>
      </c>
      <c r="O5197" s="5" t="str">
        <v>6914019220</v>
      </c>
      <c r="P5197" s="27">
        <v>10000</v>
      </c>
      <c r="Q5197" s="5" t="s">
        <v>49009</v>
      </c>
      <c r="R5197" s="5"/>
      <c r="S5197" s="5" t="s">
        <v>49879</v>
      </c>
      <c r="T5197" s="28">
        <v>77230000</v>
      </c>
      <c r="U5197" s="28">
        <v>2105000</v>
      </c>
      <c r="V5197" s="28">
        <v>1022683000</v>
      </c>
      <c r="W5197" s="28"/>
      <c r="X5197" s="28">
        <v>10393000</v>
      </c>
      <c r="Y5197" s="28">
        <v>1341339000</v>
      </c>
      <c r="Z5197" s="28">
        <v>76624000</v>
      </c>
      <c r="AA5197" s="28"/>
      <c r="AB5197" s="28">
        <v>2353000</v>
      </c>
      <c r="AC5197" s="28">
        <v>1010314000</v>
      </c>
      <c r="AD5197" s="28">
        <v>76634000</v>
      </c>
      <c r="AE5197" s="28">
        <v>5038279000</v>
      </c>
      <c r="AF5197" s="28">
        <v>-21187000</v>
      </c>
      <c r="AG5197" s="11"/>
    </row>
    <row r="5198">
      <c r="A5198" s="7" t="s">
        <v>6813</v>
      </c>
      <c r="B5198" s="5" t="s">
        <v>14777</v>
      </c>
      <c r="C5198" s="5" t="s">
        <v>22491</v>
      </c>
      <c r="D5198" s="5" t="str">
        <v>770206245199</v>
      </c>
      <c r="E5198" s="0" t="e">
        <f>+7 (495) 6260727
+7 (495) 6260728
+7 (495) 6260702
+7 (86132) 26001</f>
        <v>#NAME?</v>
      </c>
      <c r="F5198" s="5" t="s">
        <v>40725</v>
      </c>
      <c r="G5198" s="5"/>
      <c r="H5198" s="26">
        <v>11.5</v>
      </c>
      <c r="I5198" s="5" t="s">
        <v>40726</v>
      </c>
      <c r="J5198" s="5" t="s">
        <v>841</v>
      </c>
      <c r="K5198" s="5" t="s">
        <v>344</v>
      </c>
      <c r="L5198" s="5" t="s">
        <v>40727</v>
      </c>
      <c r="M5198" s="27"/>
      <c r="N5198" s="5"/>
      <c r="O5198" s="5" t="str">
        <v>7702764803</v>
      </c>
      <c r="P5198" s="27">
        <v>200000</v>
      </c>
      <c r="Q5198" s="5"/>
      <c r="R5198" s="5"/>
      <c r="S5198" s="5" t="s">
        <v>49029</v>
      </c>
      <c r="T5198" s="28"/>
      <c r="U5198" s="28"/>
      <c r="V5198" s="28">
        <v>189314000</v>
      </c>
      <c r="W5198" s="28">
        <v>266200000</v>
      </c>
      <c r="X5198" s="28">
        <v>765795000</v>
      </c>
      <c r="Y5198" s="28">
        <v>1306724000</v>
      </c>
      <c r="Z5198" s="28">
        <v>-173929000</v>
      </c>
      <c r="AA5198" s="28">
        <v>512846000</v>
      </c>
      <c r="AB5198" s="28">
        <v>44942000</v>
      </c>
      <c r="AC5198" s="28">
        <v>867607000</v>
      </c>
      <c r="AD5198" s="28">
        <v>-73729000</v>
      </c>
      <c r="AE5198" s="28">
        <v>5804100000</v>
      </c>
      <c r="AF5198" s="28">
        <v>-257770000</v>
      </c>
      <c r="AG5198" s="11"/>
    </row>
    <row r="5199">
      <c r="A5199" s="7" t="s">
        <v>6814</v>
      </c>
      <c r="B5199" s="5" t="s">
        <v>14778</v>
      </c>
      <c r="C5199" s="5" t="s">
        <v>18866</v>
      </c>
      <c r="D5199" s="5"/>
      <c r="E5199" s="0" t="e">
        <f>+7 (34397) 98211
+7 (34397) 98221
+7 (34397) 98239
+7 (34397) 98456
+7 (34397) 98499
+7 (34397) 98556
+7 (34397) 98577</f>
        <v>#NAME?</v>
      </c>
      <c r="F5199" s="5" t="s">
        <v>40728</v>
      </c>
      <c r="G5199" s="5" t="s">
        <v>40729</v>
      </c>
      <c r="H5199" s="26">
        <v>23</v>
      </c>
      <c r="I5199" s="5" t="s">
        <v>40730</v>
      </c>
      <c r="J5199" s="5" t="s">
        <v>40731</v>
      </c>
      <c r="K5199" s="5" t="s">
        <v>344</v>
      </c>
      <c r="L5199" s="5"/>
      <c r="M5199" s="27"/>
      <c r="N5199" s="5"/>
      <c r="O5199" s="5" t="str">
        <v>6627000770</v>
      </c>
      <c r="P5199" s="27">
        <v>336700</v>
      </c>
      <c r="Q5199" s="5" t="s">
        <v>57246</v>
      </c>
      <c r="R5199" s="5" t="s">
        <v>57247</v>
      </c>
      <c r="S5199" s="5" t="s">
        <v>57248</v>
      </c>
      <c r="T5199" s="28">
        <v>3709245000</v>
      </c>
      <c r="U5199" s="28">
        <v>4586000</v>
      </c>
      <c r="V5199" s="28">
        <v>783904000</v>
      </c>
      <c r="W5199" s="28"/>
      <c r="X5199" s="28">
        <v>91086000</v>
      </c>
      <c r="Y5199" s="28">
        <v>5768652000</v>
      </c>
      <c r="Z5199" s="28">
        <v>699305000</v>
      </c>
      <c r="AA5199" s="28">
        <v>594678000</v>
      </c>
      <c r="AB5199" s="28">
        <v>2278981000</v>
      </c>
      <c r="AC5199" s="28">
        <v>4340380000</v>
      </c>
      <c r="AD5199" s="28">
        <v>699693000</v>
      </c>
      <c r="AE5199" s="28">
        <v>8652747000</v>
      </c>
      <c r="AF5199" s="28">
        <v>476307000</v>
      </c>
      <c r="AG5199" s="11"/>
    </row>
    <row r="5200">
      <c r="A5200" s="7" t="s">
        <v>6815</v>
      </c>
      <c r="B5200" s="5" t="s">
        <v>14779</v>
      </c>
      <c r="C5200" s="5" t="s">
        <v>22492</v>
      </c>
      <c r="D5200" s="5" t="str">
        <v>220911786838</v>
      </c>
      <c r="E5200" s="0" t="e">
        <f>+7 (385) 2503703
+7 (385) 2503704
+7 (385) 2503705
+7 (38557) 30107
+7 (38557) 30108
+7 (38557) 30109
+7 (38557) 30111
+7 (38557) 30112
+7 (38557) 56690
+7 (38557) 56928
+7 (38557) 59190
+7 (38557) 59622
+7 (38557) 59644
+7 (38557) 59675
+7 (38557) 59694</f>
        <v>#NAME?</v>
      </c>
      <c r="F5200" s="5" t="s">
        <v>40732</v>
      </c>
      <c r="G5200" s="5" t="s">
        <v>40733</v>
      </c>
      <c r="H5200" s="26">
        <v>21</v>
      </c>
      <c r="I5200" s="5"/>
      <c r="J5200" s="5" t="s">
        <v>28954</v>
      </c>
      <c r="K5200" s="5" t="s">
        <v>344</v>
      </c>
      <c r="L5200" s="5" t="s">
        <v>40734</v>
      </c>
      <c r="M5200" s="27">
        <v>120934</v>
      </c>
      <c r="N5200" s="5" t="s">
        <v>57249</v>
      </c>
      <c r="O5200" s="5" t="str">
        <v>2209024455</v>
      </c>
      <c r="P5200" s="27">
        <v>26580000</v>
      </c>
      <c r="Q5200" s="5"/>
      <c r="R5200" s="5" t="s">
        <v>57251</v>
      </c>
      <c r="S5200" s="5" t="s">
        <v>49399</v>
      </c>
      <c r="T5200" s="28">
        <v>78230000</v>
      </c>
      <c r="U5200" s="28"/>
      <c r="V5200" s="28">
        <v>817660000</v>
      </c>
      <c r="W5200" s="28">
        <v>240328000</v>
      </c>
      <c r="X5200" s="28">
        <v>391851000</v>
      </c>
      <c r="Y5200" s="28">
        <v>2508778000</v>
      </c>
      <c r="Z5200" s="28">
        <v>1135782000</v>
      </c>
      <c r="AA5200" s="28"/>
      <c r="AB5200" s="28">
        <v>490086000</v>
      </c>
      <c r="AC5200" s="28">
        <v>1097386000</v>
      </c>
      <c r="AD5200" s="28">
        <v>1408119000</v>
      </c>
      <c r="AE5200" s="28">
        <v>4859997000</v>
      </c>
      <c r="AF5200" s="28">
        <v>239375000</v>
      </c>
      <c r="AG5200" s="11"/>
    </row>
    <row r="5201">
      <c r="A5201" s="7" t="s">
        <v>6816</v>
      </c>
      <c r="B5201" s="5" t="s">
        <v>14780</v>
      </c>
      <c r="C5201" s="5" t="s">
        <v>22493</v>
      </c>
      <c r="D5201" s="5" t="str">
        <v>262503683054</v>
      </c>
      <c r="E5201" s="0" t="e">
        <f>+7 (863) 3031075
+7 (863) 6723644
+7 (86367) 22631
+7 (86367) 22644
+7 (86385) 30454
+7 (86385) 51637
+7 (961) 3234566</f>
        <v>#NAME?</v>
      </c>
      <c r="F5201" s="5"/>
      <c r="G5201" s="5"/>
      <c r="H5201" s="26">
        <v>23.5</v>
      </c>
      <c r="I5201" s="5" t="s">
        <v>40735</v>
      </c>
      <c r="J5201" s="5" t="s">
        <v>725</v>
      </c>
      <c r="K5201" s="5" t="s">
        <v>355</v>
      </c>
      <c r="L5201" s="5" t="s">
        <v>40736</v>
      </c>
      <c r="M5201" s="27">
        <v>5593108</v>
      </c>
      <c r="N5201" s="5"/>
      <c r="O5201" s="5" t="str">
        <v>6148003452</v>
      </c>
      <c r="P5201" s="27">
        <v>731564000</v>
      </c>
      <c r="Q5201" s="5" t="s">
        <v>49009</v>
      </c>
      <c r="R5201" s="5" t="s">
        <v>57253</v>
      </c>
      <c r="S5201" s="5" t="s">
        <v>49066</v>
      </c>
      <c r="T5201" s="28">
        <v>11349489000</v>
      </c>
      <c r="U5201" s="28">
        <v>104363000</v>
      </c>
      <c r="V5201" s="28">
        <v>2906160000</v>
      </c>
      <c r="W5201" s="28">
        <v>2500000</v>
      </c>
      <c r="X5201" s="28">
        <v>3711000</v>
      </c>
      <c r="Y5201" s="28">
        <v>24694808000</v>
      </c>
      <c r="Z5201" s="28">
        <v>7362313000</v>
      </c>
      <c r="AA5201" s="28">
        <v>1838743000</v>
      </c>
      <c r="AB5201" s="28">
        <v>4572288000</v>
      </c>
      <c r="AC5201" s="28">
        <v>11432369000</v>
      </c>
      <c r="AD5201" s="28">
        <v>8094865000</v>
      </c>
      <c r="AE5201" s="28">
        <v>4312870000</v>
      </c>
      <c r="AF5201" s="28">
        <v>-956808000</v>
      </c>
      <c r="AG5201" s="11"/>
    </row>
    <row r="5202">
      <c r="A5202" s="7" t="s">
        <v>6817</v>
      </c>
      <c r="B5202" s="5" t="s">
        <v>14781</v>
      </c>
      <c r="C5202" s="5" t="s">
        <v>22494</v>
      </c>
      <c r="D5202" s="5" t="str">
        <v>780605334111</v>
      </c>
      <c r="E5202" s="0" t="e">
        <f>+7 (812) 3332433
+7 (812) 3348234
+7 (911) 2270564</f>
        <v>#NAME?</v>
      </c>
      <c r="F5202" s="5" t="s">
        <v>40737</v>
      </c>
      <c r="G5202" s="5"/>
      <c r="H5202" s="26">
        <v>11.5</v>
      </c>
      <c r="I5202" s="5"/>
      <c r="J5202" s="5" t="s">
        <v>25837</v>
      </c>
      <c r="K5202" s="5" t="s">
        <v>344</v>
      </c>
      <c r="L5202" s="5" t="s">
        <v>40738</v>
      </c>
      <c r="M5202" s="27"/>
      <c r="N5202" s="5" t="s">
        <v>57254</v>
      </c>
      <c r="O5202" s="5" t="str">
        <v>7842170415</v>
      </c>
      <c r="P5202" s="27">
        <v>4000000</v>
      </c>
      <c r="Q5202" s="5"/>
      <c r="R5202" s="5"/>
      <c r="S5202" s="5" t="s">
        <v>49425</v>
      </c>
      <c r="T5202" s="28">
        <v>1586000</v>
      </c>
      <c r="U5202" s="28"/>
      <c r="V5202" s="28">
        <v>63049000</v>
      </c>
      <c r="W5202" s="28"/>
      <c r="X5202" s="28">
        <v>463002000</v>
      </c>
      <c r="Y5202" s="28">
        <v>760525000</v>
      </c>
      <c r="Z5202" s="28">
        <v>753195000</v>
      </c>
      <c r="AA5202" s="28"/>
      <c r="AB5202" s="28"/>
      <c r="AC5202" s="28">
        <v>1291000</v>
      </c>
      <c r="AD5202" s="28">
        <v>757395000</v>
      </c>
      <c r="AE5202" s="28">
        <v>4038780000</v>
      </c>
      <c r="AF5202" s="28">
        <v>798122000</v>
      </c>
      <c r="AG5202" s="11"/>
    </row>
    <row r="5203">
      <c r="A5203" s="7" t="s">
        <v>6818</v>
      </c>
      <c r="B5203" s="5" t="s">
        <v>14782</v>
      </c>
      <c r="C5203" s="5" t="s">
        <v>22495</v>
      </c>
      <c r="D5203" s="5" t="str">
        <v>616206315505</v>
      </c>
      <c r="E5203" s="0" t="e">
        <f>+7 (863) 3090090
+7 (906) 4170246</f>
        <v>#NAME?</v>
      </c>
      <c r="F5203" s="5" t="s">
        <v>40739</v>
      </c>
      <c r="G5203" s="5" t="s">
        <v>40740</v>
      </c>
      <c r="H5203" s="26">
        <v>13</v>
      </c>
      <c r="I5203" s="5" t="s">
        <v>40741</v>
      </c>
      <c r="J5203" s="5" t="s">
        <v>678</v>
      </c>
      <c r="K5203" s="5" t="s">
        <v>355</v>
      </c>
      <c r="L5203" s="5" t="s">
        <v>40742</v>
      </c>
      <c r="M5203" s="27"/>
      <c r="N5203" s="5" t="s">
        <v>57255</v>
      </c>
      <c r="O5203" s="5" t="str">
        <v>6168031592</v>
      </c>
      <c r="P5203" s="27">
        <v>10000</v>
      </c>
      <c r="Q5203" s="5"/>
      <c r="R5203" s="5"/>
      <c r="S5203" s="5" t="s">
        <v>49110</v>
      </c>
      <c r="T5203" s="28">
        <v>22037000</v>
      </c>
      <c r="U5203" s="28"/>
      <c r="V5203" s="28">
        <v>544404000</v>
      </c>
      <c r="W5203" s="28">
        <v>415450000</v>
      </c>
      <c r="X5203" s="28">
        <v>650000</v>
      </c>
      <c r="Y5203" s="28">
        <v>1179491000</v>
      </c>
      <c r="Z5203" s="28">
        <v>106124000</v>
      </c>
      <c r="AA5203" s="28"/>
      <c r="AB5203" s="28"/>
      <c r="AC5203" s="28">
        <v>1072701000</v>
      </c>
      <c r="AD5203" s="28">
        <v>106134000</v>
      </c>
      <c r="AE5203" s="28">
        <v>3340927000</v>
      </c>
      <c r="AF5203" s="28">
        <v>121486000</v>
      </c>
      <c r="AG5203" s="11"/>
    </row>
    <row r="5204">
      <c r="A5204" s="7" t="s">
        <v>6819</v>
      </c>
      <c r="B5204" s="5" t="s">
        <v>14783</v>
      </c>
      <c r="C5204" s="5" t="s">
        <v>22496</v>
      </c>
      <c r="D5204" s="5" t="str">
        <v>780526084878</v>
      </c>
      <c r="E5204" s="0" t="e">
        <f>+7 (812) 1533702</f>
        <v>#NAME?</v>
      </c>
      <c r="F5204" s="5" t="s">
        <v>40743</v>
      </c>
      <c r="G5204" s="5" t="s">
        <v>40744</v>
      </c>
      <c r="H5204" s="26">
        <v>29</v>
      </c>
      <c r="I5204" s="5" t="s">
        <v>40745</v>
      </c>
      <c r="J5204" s="5" t="s">
        <v>364</v>
      </c>
      <c r="K5204" s="5" t="s">
        <v>344</v>
      </c>
      <c r="L5204" s="5" t="s">
        <v>40746</v>
      </c>
      <c r="M5204" s="27">
        <v>134697587</v>
      </c>
      <c r="N5204" s="5"/>
      <c r="O5204" s="5" t="str">
        <v>7805134779</v>
      </c>
      <c r="P5204" s="27">
        <v>10000</v>
      </c>
      <c r="Q5204" s="5" t="s">
        <v>447</v>
      </c>
      <c r="R5204" s="5"/>
      <c r="S5204" s="5" t="s">
        <v>57256</v>
      </c>
      <c r="T5204" s="28">
        <v>91627000</v>
      </c>
      <c r="U5204" s="28"/>
      <c r="V5204" s="28">
        <v>2883306000</v>
      </c>
      <c r="W5204" s="28">
        <v>56055000</v>
      </c>
      <c r="X5204" s="28">
        <v>286947000</v>
      </c>
      <c r="Y5204" s="28">
        <v>3343870000</v>
      </c>
      <c r="Z5204" s="28">
        <v>32504000</v>
      </c>
      <c r="AA5204" s="28"/>
      <c r="AB5204" s="28"/>
      <c r="AC5204" s="28">
        <v>3292725000</v>
      </c>
      <c r="AD5204" s="28">
        <v>32514000</v>
      </c>
      <c r="AE5204" s="28">
        <v>4273401000</v>
      </c>
      <c r="AF5204" s="28">
        <v>8452000</v>
      </c>
      <c r="AG5204" s="11"/>
    </row>
    <row r="5205">
      <c r="A5205" s="7" t="s">
        <v>6820</v>
      </c>
      <c r="B5205" s="5" t="s">
        <v>14784</v>
      </c>
      <c r="C5205" s="5" t="s">
        <v>18176</v>
      </c>
      <c r="D5205" s="5" t="str">
        <v>780105722074</v>
      </c>
      <c r="E5205" s="0" t="e">
        <f>+7 (495) 7302730
+7 (906) 388459
+7 (485) 2201027
+7 (485) 2457610
+7 (495) 2311697
+7 (495) 7373500
+7 (495) 7373535
+7 (499) 2311698
+7 (812) 7021343
+7 (812) 7021344</f>
        <v>#NAME?</v>
      </c>
      <c r="F5205" s="5" t="s">
        <v>40747</v>
      </c>
      <c r="G5205" s="5" t="s">
        <v>40748</v>
      </c>
      <c r="H5205" s="26">
        <v>22.5</v>
      </c>
      <c r="I5205" s="5" t="s">
        <v>40749</v>
      </c>
      <c r="J5205" s="5" t="s">
        <v>26165</v>
      </c>
      <c r="K5205" s="5" t="s">
        <v>344</v>
      </c>
      <c r="L5205" s="5" t="s">
        <v>40750</v>
      </c>
      <c r="M5205" s="27"/>
      <c r="N5205" s="5" t="s">
        <v>57257</v>
      </c>
      <c r="O5205" s="5" t="str">
        <v>7724211288</v>
      </c>
      <c r="P5205" s="27">
        <v>1880010000</v>
      </c>
      <c r="Q5205" s="5" t="s">
        <v>54416</v>
      </c>
      <c r="R5205" s="5" t="s">
        <v>57258</v>
      </c>
      <c r="S5205" s="5" t="s">
        <v>57259</v>
      </c>
      <c r="T5205" s="28">
        <v>9759005000</v>
      </c>
      <c r="U5205" s="28">
        <v>2220464000</v>
      </c>
      <c r="V5205" s="28">
        <v>3297863000</v>
      </c>
      <c r="W5205" s="28">
        <v>3644000000</v>
      </c>
      <c r="X5205" s="28">
        <v>619801000</v>
      </c>
      <c r="Y5205" s="28">
        <v>27330443000</v>
      </c>
      <c r="Z5205" s="28">
        <v>-143828000</v>
      </c>
      <c r="AA5205" s="28">
        <v>2285711000</v>
      </c>
      <c r="AB5205" s="28">
        <v>1282170000</v>
      </c>
      <c r="AC5205" s="28">
        <v>15132026000</v>
      </c>
      <c r="AD5205" s="28">
        <v>1736182000</v>
      </c>
      <c r="AE5205" s="28">
        <v>47426088000</v>
      </c>
      <c r="AF5205" s="28">
        <v>1702915000</v>
      </c>
      <c r="AG5205" s="11"/>
    </row>
    <row r="5206">
      <c r="A5206" s="7" t="s">
        <v>6821</v>
      </c>
      <c r="B5206" s="5" t="s">
        <v>14785</v>
      </c>
      <c r="C5206" s="5" t="s">
        <v>18176</v>
      </c>
      <c r="D5206" s="5" t="str">
        <v>780105722074</v>
      </c>
      <c r="E5206" s="0" t="e">
        <f>+7 (495) 2311697
+7 (495) 2311698
+7 (495) 7373500
+7 (495) 7373535</f>
        <v>#NAME?</v>
      </c>
      <c r="F5206" s="5" t="s">
        <v>40751</v>
      </c>
      <c r="G5206" s="5" t="s">
        <v>40748</v>
      </c>
      <c r="H5206" s="26">
        <v>19</v>
      </c>
      <c r="I5206" s="5" t="s">
        <v>40752</v>
      </c>
      <c r="J5206" s="5" t="s">
        <v>26165</v>
      </c>
      <c r="K5206" s="5" t="s">
        <v>344</v>
      </c>
      <c r="L5206" s="5" t="s">
        <v>40753</v>
      </c>
      <c r="M5206" s="27"/>
      <c r="N5206" s="5"/>
      <c r="O5206" s="5" t="str">
        <v>5008036897</v>
      </c>
      <c r="P5206" s="27">
        <v>10000</v>
      </c>
      <c r="Q5206" s="5" t="s">
        <v>49059</v>
      </c>
      <c r="R5206" s="5"/>
      <c r="S5206" s="5" t="s">
        <v>49028</v>
      </c>
      <c r="T5206" s="28">
        <v>2793925000</v>
      </c>
      <c r="U5206" s="28">
        <v>1000</v>
      </c>
      <c r="V5206" s="28">
        <v>563783000</v>
      </c>
      <c r="W5206" s="28">
        <v>214397000</v>
      </c>
      <c r="X5206" s="28">
        <v>116786000</v>
      </c>
      <c r="Y5206" s="28">
        <v>5305305000</v>
      </c>
      <c r="Z5206" s="28">
        <v>-41700000</v>
      </c>
      <c r="AA5206" s="28"/>
      <c r="AB5206" s="28"/>
      <c r="AC5206" s="28">
        <v>2464771000</v>
      </c>
      <c r="AD5206" s="28">
        <v>-41690000</v>
      </c>
      <c r="AE5206" s="28">
        <v>10551338000</v>
      </c>
      <c r="AF5206" s="28">
        <v>177148000</v>
      </c>
      <c r="AG5206" s="11"/>
    </row>
    <row r="5207">
      <c r="A5207" s="7" t="s">
        <v>6822</v>
      </c>
      <c r="B5207" s="5" t="s">
        <v>14786</v>
      </c>
      <c r="C5207" s="5" t="s">
        <v>22497</v>
      </c>
      <c r="D5207" s="5" t="str">
        <v>594402038676</v>
      </c>
      <c r="E5207" s="0" t="e">
        <f>+7 (3422) 61140</f>
        <v>#NAME?</v>
      </c>
      <c r="F5207" s="5" t="s">
        <v>40754</v>
      </c>
      <c r="G5207" s="5"/>
      <c r="H5207" s="26">
        <v>7</v>
      </c>
      <c r="I5207" s="5" t="s">
        <v>40755</v>
      </c>
      <c r="J5207" s="5" t="s">
        <v>26607</v>
      </c>
      <c r="K5207" s="5" t="s">
        <v>344</v>
      </c>
      <c r="L5207" s="5" t="s">
        <v>40756</v>
      </c>
      <c r="M5207" s="27"/>
      <c r="N5207" s="5"/>
      <c r="O5207" s="5" t="str">
        <v>5902034600</v>
      </c>
      <c r="P5207" s="27">
        <v>416540</v>
      </c>
      <c r="Q5207" s="5" t="s">
        <v>49009</v>
      </c>
      <c r="R5207" s="5"/>
      <c r="S5207" s="5" t="s">
        <v>49010</v>
      </c>
      <c r="T5207" s="28">
        <v>1134419000</v>
      </c>
      <c r="U5207" s="28">
        <v>981439000</v>
      </c>
      <c r="V5207" s="28">
        <v>434199000</v>
      </c>
      <c r="W5207" s="28"/>
      <c r="X5207" s="28">
        <v>123401000</v>
      </c>
      <c r="Y5207" s="28">
        <v>2894265000</v>
      </c>
      <c r="Z5207" s="28">
        <v>1102437000</v>
      </c>
      <c r="AA5207" s="28"/>
      <c r="AB5207" s="28"/>
      <c r="AC5207" s="28">
        <v>262070000</v>
      </c>
      <c r="AD5207" s="28">
        <v>2581851000</v>
      </c>
      <c r="AE5207" s="28">
        <v>3372224000</v>
      </c>
      <c r="AF5207" s="28">
        <v>303568000</v>
      </c>
      <c r="AG5207" s="11"/>
    </row>
    <row r="5208">
      <c r="A5208" s="7" t="s">
        <v>6823</v>
      </c>
      <c r="B5208" s="5" t="s">
        <v>14787</v>
      </c>
      <c r="C5208" s="5" t="s">
        <v>22498</v>
      </c>
      <c r="D5208" s="5" t="str">
        <v>771531127748</v>
      </c>
      <c r="E5208" s="0" t="e">
        <f>+7 (495) 7925758
+7 (916) 6428718
+7 (495) 5053249
+7 (495) 7925757
+7 (495) 7925759</f>
        <v>#NAME?</v>
      </c>
      <c r="F5208" s="5" t="s">
        <v>40757</v>
      </c>
      <c r="G5208" s="5" t="s">
        <v>40758</v>
      </c>
      <c r="H5208" s="26">
        <v>20</v>
      </c>
      <c r="I5208" s="5" t="s">
        <v>40759</v>
      </c>
      <c r="J5208" s="5" t="s">
        <v>28328</v>
      </c>
      <c r="K5208" s="5" t="s">
        <v>344</v>
      </c>
      <c r="L5208" s="5" t="s">
        <v>40760</v>
      </c>
      <c r="M5208" s="27">
        <v>60877</v>
      </c>
      <c r="N5208" s="5" t="s">
        <v>57260</v>
      </c>
      <c r="O5208" s="5" t="str">
        <v>5017050538</v>
      </c>
      <c r="P5208" s="27">
        <v>753128490</v>
      </c>
      <c r="Q5208" s="5" t="s">
        <v>49009</v>
      </c>
      <c r="R5208" s="5"/>
      <c r="S5208" s="5" t="s">
        <v>51061</v>
      </c>
      <c r="T5208" s="28">
        <v>1690454000</v>
      </c>
      <c r="U5208" s="28"/>
      <c r="V5208" s="28">
        <v>506626000</v>
      </c>
      <c r="W5208" s="28">
        <v>25000000</v>
      </c>
      <c r="X5208" s="28">
        <v>2926981000</v>
      </c>
      <c r="Y5208" s="28">
        <v>8087250000</v>
      </c>
      <c r="Z5208" s="28">
        <v>4797356000</v>
      </c>
      <c r="AA5208" s="28"/>
      <c r="AB5208" s="28"/>
      <c r="AC5208" s="28">
        <v>2410982000</v>
      </c>
      <c r="AD5208" s="28">
        <v>5593065000</v>
      </c>
      <c r="AE5208" s="28">
        <v>14651366000</v>
      </c>
      <c r="AF5208" s="28">
        <v>1904565000</v>
      </c>
      <c r="AG5208" s="11"/>
    </row>
    <row r="5209">
      <c r="A5209" s="7" t="s">
        <v>6824</v>
      </c>
      <c r="B5209" s="5" t="s">
        <v>14788</v>
      </c>
      <c r="C5209" s="5" t="s">
        <v>22499</v>
      </c>
      <c r="D5209" s="5" t="str">
        <v>772618158090</v>
      </c>
      <c r="E5209" s="0" t="e">
        <f>+7 (495) 6645602
+7 (495) 7403166
+7 (499) 7555893</f>
        <v>#NAME?</v>
      </c>
      <c r="F5209" s="5"/>
      <c r="G5209" s="5"/>
      <c r="H5209" s="26">
        <v>6.5</v>
      </c>
      <c r="I5209" s="5" t="s">
        <v>40761</v>
      </c>
      <c r="J5209" s="5" t="s">
        <v>40034</v>
      </c>
      <c r="K5209" s="5" t="s">
        <v>355</v>
      </c>
      <c r="L5209" s="5"/>
      <c r="M5209" s="27"/>
      <c r="N5209" s="5" t="s">
        <v>57261</v>
      </c>
      <c r="O5209" s="5" t="str">
        <v>5003120440</v>
      </c>
      <c r="P5209" s="27">
        <v>30000</v>
      </c>
      <c r="Q5209" s="5"/>
      <c r="R5209" s="5"/>
      <c r="S5209" s="5" t="s">
        <v>49110</v>
      </c>
      <c r="T5209" s="28">
        <v>1272000</v>
      </c>
      <c r="U5209" s="28"/>
      <c r="V5209" s="28">
        <v>2574947000</v>
      </c>
      <c r="W5209" s="28">
        <v>23243000</v>
      </c>
      <c r="X5209" s="28">
        <v>49188000</v>
      </c>
      <c r="Y5209" s="28">
        <v>2777312000</v>
      </c>
      <c r="Z5209" s="28">
        <v>64092000</v>
      </c>
      <c r="AA5209" s="28">
        <v>2500000</v>
      </c>
      <c r="AB5209" s="28"/>
      <c r="AC5209" s="28">
        <v>2710691000</v>
      </c>
      <c r="AD5209" s="28">
        <v>64122000</v>
      </c>
      <c r="AE5209" s="28">
        <v>4206374000</v>
      </c>
      <c r="AF5209" s="28">
        <v>28527000</v>
      </c>
      <c r="AG5209" s="11"/>
    </row>
    <row r="5210">
      <c r="A5210" s="7" t="s">
        <v>6825</v>
      </c>
      <c r="B5210" s="5" t="s">
        <v>14789</v>
      </c>
      <c r="C5210" s="5" t="s">
        <v>22500</v>
      </c>
      <c r="D5210" s="5" t="str">
        <v>771816934579</v>
      </c>
      <c r="E5210" s="0" t="e">
        <f>+7 (4232) 790371
+7 (495) 2588092
+7 (812) 6773420
+7 (844) 2410649
+7 (844) 2432049
+7 (844) 2462094
+7 (8452) 410649
+7 (421) 2980808
+7 (421) 2980809
+7 (495) 6132174
+7 (844) 2432094
+7 (985) 7770505</f>
        <v>#NAME?</v>
      </c>
      <c r="F5210" s="5" t="s">
        <v>40762</v>
      </c>
      <c r="G5210" s="5" t="s">
        <v>40763</v>
      </c>
      <c r="H5210" s="26">
        <v>19.5</v>
      </c>
      <c r="I5210" s="5" t="s">
        <v>40764</v>
      </c>
      <c r="J5210" s="5" t="s">
        <v>35091</v>
      </c>
      <c r="K5210" s="5" t="s">
        <v>344</v>
      </c>
      <c r="L5210" s="5" t="s">
        <v>40765</v>
      </c>
      <c r="M5210" s="27">
        <v>8789563</v>
      </c>
      <c r="N5210" s="5" t="s">
        <v>57262</v>
      </c>
      <c r="O5210" s="5" t="str">
        <v>7725235806</v>
      </c>
      <c r="P5210" s="27">
        <v>33168</v>
      </c>
      <c r="Q5210" s="5" t="s">
        <v>57263</v>
      </c>
      <c r="R5210" s="5"/>
      <c r="S5210" s="5" t="s">
        <v>57264</v>
      </c>
      <c r="T5210" s="28">
        <v>980613000</v>
      </c>
      <c r="U5210" s="28">
        <v>158293000</v>
      </c>
      <c r="V5210" s="28">
        <v>693417000</v>
      </c>
      <c r="W5210" s="28"/>
      <c r="X5210" s="28">
        <v>3151000</v>
      </c>
      <c r="Y5210" s="28">
        <v>2376429000</v>
      </c>
      <c r="Z5210" s="28">
        <v>586992000</v>
      </c>
      <c r="AA5210" s="28">
        <v>653929000</v>
      </c>
      <c r="AB5210" s="28">
        <v>122394000</v>
      </c>
      <c r="AC5210" s="28">
        <v>877317000</v>
      </c>
      <c r="AD5210" s="28">
        <v>587025000</v>
      </c>
      <c r="AE5210" s="28">
        <v>3460160000</v>
      </c>
      <c r="AF5210" s="28">
        <v>104818000</v>
      </c>
      <c r="AG5210" s="11"/>
    </row>
    <row r="5211">
      <c r="A5211" s="7" t="s">
        <v>6826</v>
      </c>
      <c r="B5211" s="5" t="s">
        <v>14790</v>
      </c>
      <c r="C5211" s="5" t="s">
        <v>22501</v>
      </c>
      <c r="D5211" s="5" t="str">
        <v>773306569690</v>
      </c>
      <c r="E5211" s="0" t="e">
        <f>+7 (495) 2233802
+7 (499) 4902598
+7 (495) 6402422
+7 (495) 9481297
+7 (495) 9482291
+7 (800) 5000503
+7 (800) 5000858
+7 (800) 5002089</f>
        <v>#NAME?</v>
      </c>
      <c r="F5211" s="5"/>
      <c r="G5211" s="5" t="s">
        <v>40766</v>
      </c>
      <c r="H5211" s="26">
        <v>21</v>
      </c>
      <c r="I5211" s="5" t="s">
        <v>40767</v>
      </c>
      <c r="J5211" s="5" t="s">
        <v>40768</v>
      </c>
      <c r="K5211" s="5" t="s">
        <v>344</v>
      </c>
      <c r="L5211" s="5" t="s">
        <v>32605</v>
      </c>
      <c r="M5211" s="27"/>
      <c r="N5211" s="5"/>
      <c r="O5211" s="5" t="str">
        <v>7703335074</v>
      </c>
      <c r="P5211" s="27">
        <v>15000000</v>
      </c>
      <c r="Q5211" s="5" t="s">
        <v>49009</v>
      </c>
      <c r="R5211" s="5"/>
      <c r="S5211" s="5" t="s">
        <v>49010</v>
      </c>
      <c r="T5211" s="28">
        <v>6966000</v>
      </c>
      <c r="U5211" s="28"/>
      <c r="V5211" s="28">
        <v>1044418000</v>
      </c>
      <c r="W5211" s="28"/>
      <c r="X5211" s="28">
        <v>232776000</v>
      </c>
      <c r="Y5211" s="28">
        <v>1594709000</v>
      </c>
      <c r="Z5211" s="28">
        <v>71698000</v>
      </c>
      <c r="AA5211" s="28"/>
      <c r="AB5211" s="28"/>
      <c r="AC5211" s="28">
        <v>1506137000</v>
      </c>
      <c r="AD5211" s="28">
        <v>86698000</v>
      </c>
      <c r="AE5211" s="28">
        <v>6917076000</v>
      </c>
      <c r="AF5211" s="28">
        <v>49268000</v>
      </c>
      <c r="AG5211" s="11"/>
    </row>
    <row r="5212">
      <c r="A5212" s="7" t="s">
        <v>6827</v>
      </c>
      <c r="B5212" s="5" t="s">
        <v>14791</v>
      </c>
      <c r="C5212" s="5" t="s">
        <v>22502</v>
      </c>
      <c r="D5212" s="5" t="str">
        <v>771702862592</v>
      </c>
      <c r="E5212" s="0" t="e">
        <f>+7 (499) 9952243
+7 (383) 2305565
+7 (481) 2414296
+7 (483) 2630181
+7 (495) 4116063
+7 (495) 5807440
+7 (495) 5807441
+7 (495) 7857373
+7 (495) 7880505
+7 (495) 7889080
+7 (495) 9335353
+7 (495) 9338707
+7 (495) 9818717
+7 (812) 7473028
+7 (812) 7473046</f>
        <v>#NAME?</v>
      </c>
      <c r="F5212" s="5" t="s">
        <v>40769</v>
      </c>
      <c r="G5212" s="5" t="s">
        <v>40770</v>
      </c>
      <c r="H5212" s="26">
        <v>17</v>
      </c>
      <c r="I5212" s="5"/>
      <c r="J5212" s="5" t="s">
        <v>866</v>
      </c>
      <c r="K5212" s="5" t="s">
        <v>355</v>
      </c>
      <c r="L5212" s="5" t="s">
        <v>28649</v>
      </c>
      <c r="M5212" s="27"/>
      <c r="N5212" s="5" t="s">
        <v>57265</v>
      </c>
      <c r="O5212" s="5" t="str">
        <v>7706603589</v>
      </c>
      <c r="P5212" s="27">
        <v>400000</v>
      </c>
      <c r="Q5212" s="5" t="s">
        <v>49021</v>
      </c>
      <c r="R5212" s="5"/>
      <c r="S5212" s="5" t="s">
        <v>49033</v>
      </c>
      <c r="T5212" s="28">
        <v>59838000</v>
      </c>
      <c r="U5212" s="28">
        <v>200000</v>
      </c>
      <c r="V5212" s="28">
        <v>469373000</v>
      </c>
      <c r="W5212" s="28">
        <v>177179000</v>
      </c>
      <c r="X5212" s="28">
        <v>60670000</v>
      </c>
      <c r="Y5212" s="28">
        <v>786887000</v>
      </c>
      <c r="Z5212" s="28">
        <v>106290000</v>
      </c>
      <c r="AA5212" s="28">
        <v>131444000</v>
      </c>
      <c r="AB5212" s="28"/>
      <c r="AC5212" s="28">
        <v>548754000</v>
      </c>
      <c r="AD5212" s="28">
        <v>107701000</v>
      </c>
      <c r="AE5212" s="28">
        <v>3906085000</v>
      </c>
      <c r="AF5212" s="28">
        <v>-96309000</v>
      </c>
      <c r="AG5212" s="11"/>
    </row>
    <row r="5213">
      <c r="A5213" s="7" t="s">
        <v>6828</v>
      </c>
      <c r="B5213" s="5" t="s">
        <v>14792</v>
      </c>
      <c r="C5213" s="5" t="s">
        <v>22503</v>
      </c>
      <c r="D5213" s="5" t="str">
        <v>272100081399</v>
      </c>
      <c r="E5213" s="0" t="e">
        <f>+7 (421) 2755501
+7 (421) 2755561
+7 (421) 2755566
+7 (421) 2755568
+7 (421) 2755569
+7 (421) 2755570
+7 (421) 2755571
+7 (421) 2755572
+7 (421) 2755573
+7 (421) 2755577
+7 (8412) 755566</f>
        <v>#NAME?</v>
      </c>
      <c r="F5213" s="5" t="s">
        <v>40771</v>
      </c>
      <c r="G5213" s="5"/>
      <c r="H5213" s="26">
        <v>16</v>
      </c>
      <c r="I5213" s="5" t="s">
        <v>40772</v>
      </c>
      <c r="J5213" s="5" t="s">
        <v>26951</v>
      </c>
      <c r="K5213" s="5" t="s">
        <v>380</v>
      </c>
      <c r="L5213" s="5"/>
      <c r="M5213" s="27">
        <v>133634785</v>
      </c>
      <c r="N5213" s="5" t="s">
        <v>57266</v>
      </c>
      <c r="O5213" s="5" t="str">
        <v>2721143979</v>
      </c>
      <c r="P5213" s="27">
        <v>1000000</v>
      </c>
      <c r="Q5213" s="5"/>
      <c r="R5213" s="5" t="s">
        <v>52603</v>
      </c>
      <c r="S5213" s="5" t="s">
        <v>49991</v>
      </c>
      <c r="T5213" s="28">
        <v>3734924000</v>
      </c>
      <c r="U5213" s="28"/>
      <c r="V5213" s="28">
        <v>298197000</v>
      </c>
      <c r="W5213" s="28">
        <v>40000000</v>
      </c>
      <c r="X5213" s="28">
        <v>49464000</v>
      </c>
      <c r="Y5213" s="28">
        <v>8146104000</v>
      </c>
      <c r="Z5213" s="28">
        <v>-19139967000</v>
      </c>
      <c r="AA5213" s="28">
        <v>7560731000</v>
      </c>
      <c r="AB5213" s="28">
        <v>12968215000</v>
      </c>
      <c r="AC5213" s="28">
        <v>19443022000</v>
      </c>
      <c r="AD5213" s="28">
        <v>-19138967000</v>
      </c>
      <c r="AE5213" s="28">
        <v>3508647000</v>
      </c>
      <c r="AF5213" s="28">
        <v>-1565009000</v>
      </c>
      <c r="AG5213" s="11"/>
    </row>
    <row r="5214">
      <c r="A5214" s="7" t="s">
        <v>6829</v>
      </c>
      <c r="B5214" s="5" t="s">
        <v>14793</v>
      </c>
      <c r="C5214" s="5" t="s">
        <v>20119</v>
      </c>
      <c r="D5214" s="5" t="str">
        <v>772749356385</v>
      </c>
      <c r="E5214" s="0" t="e">
        <f>+7 (30245) 26401
+7 (30245) 31383
+7 (30245) 35066
+7 (30245) 35910
+7 (30245) 35933
+7 (30245) 31191
+7 (34370) 24993
+7 (34370) 25213
+7 (34370) 25313
+7 (34370) 54050
+7 (34370) 54280
+7 (34370) 54321
+7 (34370) 54328
+7 (34370) 54419
+7 (34370) 54596</f>
        <v>#NAME?</v>
      </c>
      <c r="F5214" s="5" t="s">
        <v>40773</v>
      </c>
      <c r="G5214" s="5" t="s">
        <v>40774</v>
      </c>
      <c r="H5214" s="26">
        <v>11.5</v>
      </c>
      <c r="I5214" s="5" t="s">
        <v>40775</v>
      </c>
      <c r="J5214" s="5" t="s">
        <v>33236</v>
      </c>
      <c r="K5214" s="5" t="s">
        <v>355</v>
      </c>
      <c r="L5214" s="5"/>
      <c r="M5214" s="27">
        <v>73683899</v>
      </c>
      <c r="N5214" s="5" t="s">
        <v>57267</v>
      </c>
      <c r="O5214" s="5" t="str">
        <v>7706757331</v>
      </c>
      <c r="P5214" s="27">
        <v>5440331984</v>
      </c>
      <c r="Q5214" s="5" t="s">
        <v>57268</v>
      </c>
      <c r="R5214" s="5" t="s">
        <v>57269</v>
      </c>
      <c r="S5214" s="5" t="s">
        <v>49271</v>
      </c>
      <c r="T5214" s="28">
        <v>10241740000</v>
      </c>
      <c r="U5214" s="28">
        <v>25681117000</v>
      </c>
      <c r="V5214" s="28">
        <v>4334045000</v>
      </c>
      <c r="W5214" s="28">
        <v>4342194000</v>
      </c>
      <c r="X5214" s="28">
        <v>451458000</v>
      </c>
      <c r="Y5214" s="28">
        <v>48612471000</v>
      </c>
      <c r="Z5214" s="28">
        <v>-2991503000</v>
      </c>
      <c r="AA5214" s="28">
        <v>27028604000</v>
      </c>
      <c r="AB5214" s="28">
        <v>11183037000</v>
      </c>
      <c r="AC5214" s="28">
        <v>14519029000</v>
      </c>
      <c r="AD5214" s="28">
        <v>6384887000</v>
      </c>
      <c r="AE5214" s="28">
        <v>21775649000</v>
      </c>
      <c r="AF5214" s="28">
        <v>-3209876000</v>
      </c>
      <c r="AG5214" s="11"/>
    </row>
    <row r="5215">
      <c r="A5215" s="7" t="s">
        <v>6830</v>
      </c>
      <c r="B5215" s="5" t="s">
        <v>14794</v>
      </c>
      <c r="C5215" s="5" t="s">
        <v>20715</v>
      </c>
      <c r="D5215" s="5" t="str">
        <v>230907020003</v>
      </c>
      <c r="E5215" s="0" t="e">
        <f>+7 (861) 2109810
+7 (495) 6628888
+7 (800) 2009002
+7 (861) 2774554</f>
        <v>#NAME?</v>
      </c>
      <c r="F5215" s="5"/>
      <c r="G5215" s="5" t="s">
        <v>40776</v>
      </c>
      <c r="H5215" s="26">
        <v>17.5</v>
      </c>
      <c r="I5215" s="5" t="s">
        <v>40777</v>
      </c>
      <c r="J5215" s="5" t="s">
        <v>26367</v>
      </c>
      <c r="K5215" s="5" t="s">
        <v>344</v>
      </c>
      <c r="L5215" s="5" t="s">
        <v>40778</v>
      </c>
      <c r="M5215" s="27">
        <v>6698655</v>
      </c>
      <c r="N5215" s="5"/>
      <c r="O5215" s="5" t="str">
        <v>2310105783</v>
      </c>
      <c r="P5215" s="27">
        <v>10010000</v>
      </c>
      <c r="Q5215" s="5"/>
      <c r="R5215" s="5"/>
      <c r="S5215" s="5" t="s">
        <v>49029</v>
      </c>
      <c r="T5215" s="28">
        <v>19976000</v>
      </c>
      <c r="U5215" s="28"/>
      <c r="V5215" s="28">
        <v>8743584000</v>
      </c>
      <c r="W5215" s="28"/>
      <c r="X5215" s="28">
        <v>126831000</v>
      </c>
      <c r="Y5215" s="28">
        <v>10468860000</v>
      </c>
      <c r="Z5215" s="28">
        <v>3325738000</v>
      </c>
      <c r="AA5215" s="28"/>
      <c r="AB5215" s="28">
        <v>990328000</v>
      </c>
      <c r="AC5215" s="28">
        <v>7060217000</v>
      </c>
      <c r="AD5215" s="28">
        <v>3335748000</v>
      </c>
      <c r="AE5215" s="28">
        <v>40712531000</v>
      </c>
      <c r="AF5215" s="28">
        <v>1259976000</v>
      </c>
      <c r="AG5215" s="11"/>
    </row>
    <row r="5216">
      <c r="A5216" s="7" t="s">
        <v>6831</v>
      </c>
      <c r="B5216" s="5" t="s">
        <v>14795</v>
      </c>
      <c r="C5216" s="5" t="s">
        <v>22504</v>
      </c>
      <c r="D5216" s="5" t="str">
        <v>772578330722</v>
      </c>
      <c r="E5216" s="0" t="e">
        <f>+7 (495) 7907557
+7 (903) 3294494</f>
        <v>#NAME?</v>
      </c>
      <c r="F5216" s="5"/>
      <c r="G5216" s="5"/>
      <c r="H5216" s="26">
        <v>11</v>
      </c>
      <c r="I5216" s="5" t="s">
        <v>40779</v>
      </c>
      <c r="J5216" s="5" t="s">
        <v>26367</v>
      </c>
      <c r="K5216" s="5" t="s">
        <v>344</v>
      </c>
      <c r="L5216" s="5"/>
      <c r="M5216" s="27"/>
      <c r="N5216" s="5" t="s">
        <v>50491</v>
      </c>
      <c r="O5216" s="5" t="str">
        <v>5040114204</v>
      </c>
      <c r="P5216" s="27">
        <v>20000000</v>
      </c>
      <c r="Q5216" s="5" t="s">
        <v>49009</v>
      </c>
      <c r="R5216" s="5"/>
      <c r="S5216" s="5" t="s">
        <v>49371</v>
      </c>
      <c r="T5216" s="28">
        <v>14022000</v>
      </c>
      <c r="U5216" s="28"/>
      <c r="V5216" s="28">
        <v>994275000</v>
      </c>
      <c r="W5216" s="28">
        <v>447000</v>
      </c>
      <c r="X5216" s="28">
        <v>4328000</v>
      </c>
      <c r="Y5216" s="28">
        <v>1808799000</v>
      </c>
      <c r="Z5216" s="28">
        <v>271381000</v>
      </c>
      <c r="AA5216" s="28"/>
      <c r="AB5216" s="28">
        <v>740825000</v>
      </c>
      <c r="AC5216" s="28">
        <v>1516909000</v>
      </c>
      <c r="AD5216" s="28">
        <v>291381000</v>
      </c>
      <c r="AE5216" s="28">
        <v>3864386000</v>
      </c>
      <c r="AF5216" s="28">
        <v>67126000</v>
      </c>
      <c r="AG5216" s="11"/>
    </row>
    <row r="5217">
      <c r="A5217" s="7" t="s">
        <v>6832</v>
      </c>
      <c r="B5217" s="5" t="s">
        <v>13213</v>
      </c>
      <c r="C5217" s="5" t="s">
        <v>22505</v>
      </c>
      <c r="D5217" s="5" t="str">
        <v>645208140978</v>
      </c>
      <c r="E5217" s="0" t="e">
        <f>+7 (495) 5021000</f>
        <v>#NAME?</v>
      </c>
      <c r="F5217" s="5"/>
      <c r="G5217" s="5"/>
      <c r="H5217" s="26">
        <v>8</v>
      </c>
      <c r="I5217" s="5" t="s">
        <v>40780</v>
      </c>
      <c r="J5217" s="5" t="s">
        <v>26846</v>
      </c>
      <c r="K5217" s="5" t="s">
        <v>344</v>
      </c>
      <c r="L5217" s="5" t="s">
        <v>40781</v>
      </c>
      <c r="M5217" s="27"/>
      <c r="N5217" s="5" t="s">
        <v>57270</v>
      </c>
      <c r="O5217" s="5" t="str">
        <v>7743947235</v>
      </c>
      <c r="P5217" s="27">
        <v>10000000</v>
      </c>
      <c r="Q5217" s="5" t="s">
        <v>57099</v>
      </c>
      <c r="R5217" s="5"/>
      <c r="S5217" s="5" t="s">
        <v>50509</v>
      </c>
      <c r="T5217" s="28">
        <v>902186000</v>
      </c>
      <c r="U5217" s="28"/>
      <c r="V5217" s="28">
        <v>289611000</v>
      </c>
      <c r="W5217" s="28"/>
      <c r="X5217" s="28">
        <v>535804000</v>
      </c>
      <c r="Y5217" s="28">
        <v>2402092000</v>
      </c>
      <c r="Z5217" s="28">
        <v>735582000</v>
      </c>
      <c r="AA5217" s="28"/>
      <c r="AB5217" s="28"/>
      <c r="AC5217" s="28">
        <v>756360000</v>
      </c>
      <c r="AD5217" s="28">
        <v>745582000</v>
      </c>
      <c r="AE5217" s="28">
        <v>3822029000</v>
      </c>
      <c r="AF5217" s="28">
        <v>119202000</v>
      </c>
      <c r="AG5217" s="11"/>
    </row>
    <row r="5218">
      <c r="A5218" s="7" t="s">
        <v>6833</v>
      </c>
      <c r="B5218" s="5" t="s">
        <v>14796</v>
      </c>
      <c r="C5218" s="5" t="s">
        <v>22506</v>
      </c>
      <c r="D5218" s="5" t="str">
        <v>622660283982</v>
      </c>
      <c r="E5218" s="0" t="e">
        <f>+7 (499) 3227011
+7 (985) 3808620</f>
        <v>#NAME?</v>
      </c>
      <c r="F5218" s="5" t="s">
        <v>40782</v>
      </c>
      <c r="G5218" s="5"/>
      <c r="H5218" s="26">
        <v>6</v>
      </c>
      <c r="I5218" s="5" t="s">
        <v>40783</v>
      </c>
      <c r="J5218" s="5" t="s">
        <v>678</v>
      </c>
      <c r="K5218" s="5" t="s">
        <v>344</v>
      </c>
      <c r="L5218" s="5" t="s">
        <v>26631</v>
      </c>
      <c r="M5218" s="27"/>
      <c r="N5218" s="5"/>
      <c r="O5218" s="5" t="str">
        <v>7725360010</v>
      </c>
      <c r="P5218" s="27">
        <v>1000000</v>
      </c>
      <c r="Q5218" s="5" t="s">
        <v>49009</v>
      </c>
      <c r="R5218" s="5"/>
      <c r="S5218" s="5" t="s">
        <v>49010</v>
      </c>
      <c r="T5218" s="28">
        <v>17301000</v>
      </c>
      <c r="U5218" s="28">
        <v>10000</v>
      </c>
      <c r="V5218" s="28">
        <v>436005000</v>
      </c>
      <c r="W5218" s="28"/>
      <c r="X5218" s="28">
        <v>15000</v>
      </c>
      <c r="Y5218" s="28">
        <v>758927000</v>
      </c>
      <c r="Z5218" s="28">
        <v>547766000</v>
      </c>
      <c r="AA5218" s="28"/>
      <c r="AB5218" s="28">
        <v>64092000</v>
      </c>
      <c r="AC5218" s="28">
        <v>207584000</v>
      </c>
      <c r="AD5218" s="28">
        <v>548766000</v>
      </c>
      <c r="AE5218" s="28">
        <v>3138807000</v>
      </c>
      <c r="AF5218" s="28">
        <v>172119000</v>
      </c>
      <c r="AG5218" s="11"/>
    </row>
    <row r="5219">
      <c r="A5219" s="7" t="s">
        <v>6834</v>
      </c>
      <c r="B5219" s="5" t="s">
        <v>14797</v>
      </c>
      <c r="C5219" s="5" t="s">
        <v>22507</v>
      </c>
      <c r="D5219" s="5" t="str">
        <v>290118124839</v>
      </c>
      <c r="E5219" s="0" t="e">
        <f>+7 (818) 2239627
+7 (818) 2628626
+7 (921) 2410136
+7 (921) 4775612</f>
        <v>#NAME?</v>
      </c>
      <c r="F5219" s="5"/>
      <c r="G5219" s="5"/>
      <c r="H5219" s="26">
        <v>5.5</v>
      </c>
      <c r="I5219" s="5" t="s">
        <v>40784</v>
      </c>
      <c r="J5219" s="5" t="s">
        <v>25219</v>
      </c>
      <c r="K5219" s="5" t="s">
        <v>344</v>
      </c>
      <c r="L5219" s="5" t="s">
        <v>40785</v>
      </c>
      <c r="M5219" s="27"/>
      <c r="N5219" s="5"/>
      <c r="O5219" s="5" t="str">
        <v>2901289060</v>
      </c>
      <c r="P5219" s="27">
        <v>100000</v>
      </c>
      <c r="Q5219" s="5" t="s">
        <v>50809</v>
      </c>
      <c r="R5219" s="5"/>
      <c r="S5219" s="5" t="s">
        <v>57271</v>
      </c>
      <c r="T5219" s="28">
        <v>15483000</v>
      </c>
      <c r="U5219" s="28"/>
      <c r="V5219" s="28">
        <v>106254000</v>
      </c>
      <c r="W5219" s="28">
        <v>980000</v>
      </c>
      <c r="X5219" s="28">
        <v>44056000</v>
      </c>
      <c r="Y5219" s="28">
        <v>285079000</v>
      </c>
      <c r="Z5219" s="28">
        <v>10428000</v>
      </c>
      <c r="AA5219" s="28">
        <v>5850000</v>
      </c>
      <c r="AB5219" s="28"/>
      <c r="AC5219" s="28">
        <v>226176000</v>
      </c>
      <c r="AD5219" s="28">
        <v>10528000</v>
      </c>
      <c r="AE5219" s="28">
        <v>3790267000</v>
      </c>
      <c r="AF5219" s="28">
        <v>6166000</v>
      </c>
      <c r="AG5219" s="11"/>
    </row>
    <row r="5220">
      <c r="A5220" s="7" t="s">
        <v>6835</v>
      </c>
      <c r="B5220" s="5" t="s">
        <v>14798</v>
      </c>
      <c r="C5220" s="5" t="s">
        <v>20449</v>
      </c>
      <c r="D5220" s="5" t="str">
        <v>246202545739</v>
      </c>
      <c r="E5220" s="0" t="e">
        <f>+7 (961) 9580649</f>
        <v>#NAME?</v>
      </c>
      <c r="F5220" s="5"/>
      <c r="G5220" s="5"/>
      <c r="H5220" s="26">
        <v>7</v>
      </c>
      <c r="I5220" s="5" t="s">
        <v>34290</v>
      </c>
      <c r="J5220" s="5" t="s">
        <v>25738</v>
      </c>
      <c r="K5220" s="5" t="s">
        <v>344</v>
      </c>
      <c r="L5220" s="5" t="s">
        <v>40786</v>
      </c>
      <c r="M5220" s="27">
        <v>8126781</v>
      </c>
      <c r="N5220" s="5"/>
      <c r="O5220" s="5" t="str">
        <v>2723187019</v>
      </c>
      <c r="P5220" s="27">
        <v>1000000</v>
      </c>
      <c r="Q5220" s="5" t="s">
        <v>49009</v>
      </c>
      <c r="R5220" s="5"/>
      <c r="S5220" s="5" t="s">
        <v>49010</v>
      </c>
      <c r="T5220" s="28">
        <v>1623512000</v>
      </c>
      <c r="U5220" s="28"/>
      <c r="V5220" s="28">
        <v>340511000</v>
      </c>
      <c r="W5220" s="28">
        <v>148214000</v>
      </c>
      <c r="X5220" s="28">
        <v>120534000</v>
      </c>
      <c r="Y5220" s="28">
        <v>3890626000</v>
      </c>
      <c r="Z5220" s="28">
        <v>132759000</v>
      </c>
      <c r="AA5220" s="28"/>
      <c r="AB5220" s="28">
        <v>11991000</v>
      </c>
      <c r="AC5220" s="28">
        <v>2119793000</v>
      </c>
      <c r="AD5220" s="28">
        <v>133759000</v>
      </c>
      <c r="AE5220" s="28">
        <v>7385493000</v>
      </c>
      <c r="AF5220" s="28">
        <v>348359000</v>
      </c>
      <c r="AG5220" s="11"/>
    </row>
    <row r="5221">
      <c r="A5221" s="7" t="s">
        <v>6836</v>
      </c>
      <c r="B5221" s="5" t="s">
        <v>14799</v>
      </c>
      <c r="C5221" s="5" t="s">
        <v>22257</v>
      </c>
      <c r="D5221" s="5" t="str">
        <v>420534522960</v>
      </c>
      <c r="E5221" s="0" t="e">
        <f>+7 (923) 5235053
+7 (951) 1812964</f>
        <v>#NAME?</v>
      </c>
      <c r="F5221" s="5"/>
      <c r="G5221" s="5"/>
      <c r="H5221" s="26">
        <v>6.5</v>
      </c>
      <c r="I5221" s="5" t="s">
        <v>29251</v>
      </c>
      <c r="J5221" s="5" t="s">
        <v>25738</v>
      </c>
      <c r="K5221" s="5" t="s">
        <v>355</v>
      </c>
      <c r="L5221" s="5"/>
      <c r="M5221" s="27">
        <v>612909</v>
      </c>
      <c r="N5221" s="5"/>
      <c r="O5221" s="5" t="str">
        <v>4205328713</v>
      </c>
      <c r="P5221" s="27">
        <v>1000000</v>
      </c>
      <c r="Q5221" s="5" t="s">
        <v>49059</v>
      </c>
      <c r="R5221" s="5"/>
      <c r="S5221" s="5" t="s">
        <v>49110</v>
      </c>
      <c r="T5221" s="28">
        <v>37453000</v>
      </c>
      <c r="U5221" s="28"/>
      <c r="V5221" s="28">
        <v>77935000</v>
      </c>
      <c r="W5221" s="28">
        <v>23000000</v>
      </c>
      <c r="X5221" s="28">
        <v>53461000</v>
      </c>
      <c r="Y5221" s="28">
        <v>1433282000</v>
      </c>
      <c r="Z5221" s="28">
        <v>6109000</v>
      </c>
      <c r="AA5221" s="28"/>
      <c r="AB5221" s="28">
        <v>27858000</v>
      </c>
      <c r="AC5221" s="28">
        <v>1426173000</v>
      </c>
      <c r="AD5221" s="28">
        <v>7109000</v>
      </c>
      <c r="AE5221" s="28">
        <v>4069712000</v>
      </c>
      <c r="AF5221" s="28">
        <v>35267000</v>
      </c>
      <c r="AG5221" s="11"/>
    </row>
    <row r="5222">
      <c r="A5222" s="7" t="s">
        <v>6837</v>
      </c>
      <c r="B5222" s="5" t="s">
        <v>14800</v>
      </c>
      <c r="C5222" s="5" t="s">
        <v>22508</v>
      </c>
      <c r="D5222" s="5" t="str">
        <v>667008697013</v>
      </c>
      <c r="E5222" s="0" t="e">
        <f>+7 (800) 5111233
+7 (861) 2253813
+7 (86144) 22188
+7 (918) 4422188</f>
        <v>#NAME?</v>
      </c>
      <c r="F5222" s="5" t="s">
        <v>40787</v>
      </c>
      <c r="G5222" s="5"/>
      <c r="H5222" s="26">
        <v>11.5</v>
      </c>
      <c r="I5222" s="5" t="s">
        <v>40788</v>
      </c>
      <c r="J5222" s="5" t="s">
        <v>32608</v>
      </c>
      <c r="K5222" s="5" t="s">
        <v>344</v>
      </c>
      <c r="L5222" s="5" t="s">
        <v>34030</v>
      </c>
      <c r="M5222" s="27"/>
      <c r="N5222" s="5"/>
      <c r="O5222" s="5" t="str">
        <v>2311137280</v>
      </c>
      <c r="P5222" s="27">
        <v>10000</v>
      </c>
      <c r="Q5222" s="5" t="s">
        <v>49207</v>
      </c>
      <c r="R5222" s="5"/>
      <c r="S5222" s="5" t="s">
        <v>52322</v>
      </c>
      <c r="T5222" s="28">
        <v>586714000</v>
      </c>
      <c r="U5222" s="28"/>
      <c r="V5222" s="28">
        <v>505739000</v>
      </c>
      <c r="W5222" s="28">
        <v>82846000</v>
      </c>
      <c r="X5222" s="28">
        <v>4468000</v>
      </c>
      <c r="Y5222" s="28">
        <v>2820071000</v>
      </c>
      <c r="Z5222" s="28">
        <v>371368000</v>
      </c>
      <c r="AA5222" s="28">
        <v>626890000</v>
      </c>
      <c r="AB5222" s="28">
        <v>194636000</v>
      </c>
      <c r="AC5222" s="28">
        <v>1214897000</v>
      </c>
      <c r="AD5222" s="28">
        <v>371378000</v>
      </c>
      <c r="AE5222" s="28">
        <v>4394266000</v>
      </c>
      <c r="AF5222" s="28">
        <v>194371000</v>
      </c>
      <c r="AG5222" s="11"/>
    </row>
    <row r="5223">
      <c r="A5223" s="7" t="s">
        <v>6838</v>
      </c>
      <c r="B5223" s="5" t="s">
        <v>14801</v>
      </c>
      <c r="C5223" s="5" t="s">
        <v>22509</v>
      </c>
      <c r="D5223" s="5" t="str">
        <v>971512929332</v>
      </c>
      <c r="E5223" s="0" t="e">
        <f>+7 (495) 7084025
+7 (495) 7752825
+7 (495) 7752826
+7 (499) 2340069</f>
        <v>#NAME?</v>
      </c>
      <c r="F5223" s="5" t="s">
        <v>40789</v>
      </c>
      <c r="G5223" s="5" t="s">
        <v>40790</v>
      </c>
      <c r="H5223" s="26">
        <v>20</v>
      </c>
      <c r="I5223" s="5" t="s">
        <v>40791</v>
      </c>
      <c r="J5223" s="5" t="s">
        <v>30947</v>
      </c>
      <c r="K5223" s="5" t="s">
        <v>344</v>
      </c>
      <c r="L5223" s="5" t="s">
        <v>40792</v>
      </c>
      <c r="M5223" s="27"/>
      <c r="N5223" s="5"/>
      <c r="O5223" s="5" t="str">
        <v>7704252536</v>
      </c>
      <c r="P5223" s="27">
        <v>23000000</v>
      </c>
      <c r="Q5223" s="5" t="s">
        <v>49009</v>
      </c>
      <c r="R5223" s="5"/>
      <c r="S5223" s="5" t="s">
        <v>49066</v>
      </c>
      <c r="T5223" s="28">
        <v>84959000</v>
      </c>
      <c r="U5223" s="28"/>
      <c r="V5223" s="28">
        <v>1152936000</v>
      </c>
      <c r="W5223" s="28"/>
      <c r="X5223" s="28">
        <v>248830000</v>
      </c>
      <c r="Y5223" s="28">
        <v>2119524000</v>
      </c>
      <c r="Z5223" s="28">
        <v>1872547000</v>
      </c>
      <c r="AA5223" s="28"/>
      <c r="AB5223" s="28"/>
      <c r="AC5223" s="28">
        <v>180116000</v>
      </c>
      <c r="AD5223" s="28">
        <v>1896986000</v>
      </c>
      <c r="AE5223" s="28">
        <v>7485616000</v>
      </c>
      <c r="AF5223" s="28">
        <v>1167494000</v>
      </c>
      <c r="AG5223" s="11"/>
    </row>
    <row r="5224">
      <c r="A5224" s="7" t="s">
        <v>6839</v>
      </c>
      <c r="B5224" s="5" t="s">
        <v>14802</v>
      </c>
      <c r="C5224" s="5" t="s">
        <v>22510</v>
      </c>
      <c r="D5224" s="5" t="str">
        <v>860805989884</v>
      </c>
      <c r="E5224" s="0" t="e">
        <f>+7 (495) 6208800
+7 (495) 6208829
+7 (495) 6657694
+7 (495) 6657705
+7 (495) 6657715
+7 (34667) 60377
+7 (34667) 60700
+7 (34667) 60750
+7 (34670) 24921
+7 (495) 6657710
+7 (495) 6657714
+7 (495) 7819257
+7 (84345) 24500
+7 (84345) 24506
+7 (84455) 47301</f>
        <v>#NAME?</v>
      </c>
      <c r="F5224" s="5" t="s">
        <v>40793</v>
      </c>
      <c r="G5224" s="5"/>
      <c r="H5224" s="26">
        <v>27.5</v>
      </c>
      <c r="I5224" s="5" t="s">
        <v>40794</v>
      </c>
      <c r="J5224" s="5" t="s">
        <v>26607</v>
      </c>
      <c r="K5224" s="5" t="s">
        <v>344</v>
      </c>
      <c r="L5224" s="5" t="s">
        <v>40795</v>
      </c>
      <c r="M5224" s="27">
        <v>18497527</v>
      </c>
      <c r="N5224" s="5"/>
      <c r="O5224" s="5" t="str">
        <v>6317130144</v>
      </c>
      <c r="P5224" s="27">
        <v>1212423634</v>
      </c>
      <c r="Q5224" s="5" t="s">
        <v>57272</v>
      </c>
      <c r="R5224" s="5" t="s">
        <v>53662</v>
      </c>
      <c r="S5224" s="5" t="s">
        <v>49428</v>
      </c>
      <c r="T5224" s="28">
        <v>148436120000</v>
      </c>
      <c r="U5224" s="28">
        <v>2208504000</v>
      </c>
      <c r="V5224" s="28">
        <v>37394848000</v>
      </c>
      <c r="W5224" s="28"/>
      <c r="X5224" s="28">
        <v>6551000</v>
      </c>
      <c r="Y5224" s="28">
        <v>230956751000</v>
      </c>
      <c r="Z5224" s="28">
        <v>136948250000</v>
      </c>
      <c r="AA5224" s="28"/>
      <c r="AB5224" s="28"/>
      <c r="AC5224" s="28">
        <v>25186292000</v>
      </c>
      <c r="AD5224" s="28">
        <v>185435816000</v>
      </c>
      <c r="AE5224" s="28">
        <v>187507458000</v>
      </c>
      <c r="AF5224" s="28">
        <v>1558176000</v>
      </c>
      <c r="AG5224" s="11"/>
    </row>
    <row r="5225">
      <c r="A5225" s="7" t="s">
        <v>6840</v>
      </c>
      <c r="B5225" s="5" t="s">
        <v>14803</v>
      </c>
      <c r="C5225" s="5" t="s">
        <v>22511</v>
      </c>
      <c r="D5225" s="5" t="str">
        <v>591010089811</v>
      </c>
      <c r="E5225" s="0" t="e">
        <f>+7 (495) 5106795
+7 (496) 4551988
+7 (496) 4558301
+7 (964) 5282015
+7 (495) 5106790
+7 (495) 5106791
+7 (495) 5439489
+7 (495) 6106790
+7 (495) 6106795
+7 (495) 6600329
+7 (963) 6014666</f>
        <v>#NAME?</v>
      </c>
      <c r="F5225" s="5" t="s">
        <v>40796</v>
      </c>
      <c r="G5225" s="5" t="s">
        <v>26849</v>
      </c>
      <c r="H5225" s="26">
        <v>22</v>
      </c>
      <c r="I5225" s="5" t="s">
        <v>40797</v>
      </c>
      <c r="J5225" s="5" t="s">
        <v>26851</v>
      </c>
      <c r="K5225" s="5" t="s">
        <v>344</v>
      </c>
      <c r="L5225" s="5" t="s">
        <v>40798</v>
      </c>
      <c r="M5225" s="27"/>
      <c r="N5225" s="5" t="s">
        <v>57273</v>
      </c>
      <c r="O5225" s="5" t="str">
        <v>5055002310</v>
      </c>
      <c r="P5225" s="27">
        <v>85085085</v>
      </c>
      <c r="Q5225" s="5" t="s">
        <v>49009</v>
      </c>
      <c r="R5225" s="5"/>
      <c r="S5225" s="5" t="s">
        <v>49045</v>
      </c>
      <c r="T5225" s="28">
        <v>229395000</v>
      </c>
      <c r="U5225" s="28">
        <v>1517006000</v>
      </c>
      <c r="V5225" s="28">
        <v>1192791000</v>
      </c>
      <c r="W5225" s="28"/>
      <c r="X5225" s="28">
        <v>18858000</v>
      </c>
      <c r="Y5225" s="28">
        <v>3414747000</v>
      </c>
      <c r="Z5225" s="28">
        <v>1952122000</v>
      </c>
      <c r="AA5225" s="28">
        <v>463120000</v>
      </c>
      <c r="AB5225" s="28">
        <v>191661000</v>
      </c>
      <c r="AC5225" s="28">
        <v>709819000</v>
      </c>
      <c r="AD5225" s="28">
        <v>2240178000</v>
      </c>
      <c r="AE5225" s="28">
        <v>6085682000</v>
      </c>
      <c r="AF5225" s="28">
        <v>869744000</v>
      </c>
      <c r="AG5225" s="11"/>
    </row>
    <row r="5226">
      <c r="A5226" s="7" t="s">
        <v>6841</v>
      </c>
      <c r="B5226" s="5" t="s">
        <v>14804</v>
      </c>
      <c r="C5226" s="5" t="s">
        <v>22512</v>
      </c>
      <c r="D5226" s="5" t="str">
        <v>622707125864</v>
      </c>
      <c r="E5226" s="0" t="e">
        <f>+7 (920) 9559841</f>
        <v>#NAME?</v>
      </c>
      <c r="F5226" s="5"/>
      <c r="G5226" s="5"/>
      <c r="H5226" s="26">
        <v>9.5</v>
      </c>
      <c r="I5226" s="5" t="s">
        <v>40799</v>
      </c>
      <c r="J5226" s="5" t="s">
        <v>26846</v>
      </c>
      <c r="K5226" s="5" t="s">
        <v>344</v>
      </c>
      <c r="L5226" s="5" t="s">
        <v>40800</v>
      </c>
      <c r="M5226" s="27"/>
      <c r="N5226" s="5"/>
      <c r="O5226" s="5" t="str">
        <v>6234121763</v>
      </c>
      <c r="P5226" s="27">
        <v>10000</v>
      </c>
      <c r="Q5226" s="5" t="s">
        <v>49009</v>
      </c>
      <c r="R5226" s="5"/>
      <c r="S5226" s="5" t="s">
        <v>49010</v>
      </c>
      <c r="T5226" s="28"/>
      <c r="U5226" s="28"/>
      <c r="V5226" s="28">
        <v>809565000</v>
      </c>
      <c r="W5226" s="28">
        <v>935310000</v>
      </c>
      <c r="X5226" s="28">
        <v>6109000</v>
      </c>
      <c r="Y5226" s="28">
        <v>2095578000</v>
      </c>
      <c r="Z5226" s="28">
        <v>33280000</v>
      </c>
      <c r="AA5226" s="28"/>
      <c r="AB5226" s="28">
        <v>1003368000</v>
      </c>
      <c r="AC5226" s="28">
        <v>2062288000</v>
      </c>
      <c r="AD5226" s="28">
        <v>33290000</v>
      </c>
      <c r="AE5226" s="28">
        <v>3053897000</v>
      </c>
      <c r="AF5226" s="28">
        <v>8682000</v>
      </c>
      <c r="AG5226" s="11"/>
    </row>
    <row r="5227">
      <c r="A5227" s="7" t="s">
        <v>6842</v>
      </c>
      <c r="B5227" s="5" t="s">
        <v>14805</v>
      </c>
      <c r="C5227" s="5" t="s">
        <v>22513</v>
      </c>
      <c r="D5227" s="5" t="str">
        <v>781009915942</v>
      </c>
      <c r="E5227" s="0" t="e">
        <f>+7 (495) 6442010
+7 (495) 6442020
+7 (495) 6642020
+7 (495) 7771777</f>
        <v>#NAME?</v>
      </c>
      <c r="F5227" s="5" t="s">
        <v>40801</v>
      </c>
      <c r="G5227" s="5" t="s">
        <v>40802</v>
      </c>
      <c r="H5227" s="26">
        <v>20</v>
      </c>
      <c r="I5227" s="5"/>
      <c r="J5227" s="5" t="s">
        <v>25332</v>
      </c>
      <c r="K5227" s="5" t="s">
        <v>355</v>
      </c>
      <c r="L5227" s="5"/>
      <c r="M5227" s="27"/>
      <c r="N5227" s="5"/>
      <c r="O5227" s="5" t="str">
        <v>7705492717</v>
      </c>
      <c r="P5227" s="27">
        <v>5132980000</v>
      </c>
      <c r="Q5227" s="5" t="s">
        <v>57274</v>
      </c>
      <c r="R5227" s="5" t="s">
        <v>57275</v>
      </c>
      <c r="S5227" s="5" t="s">
        <v>57276</v>
      </c>
      <c r="T5227" s="28">
        <v>44675000</v>
      </c>
      <c r="U5227" s="28">
        <v>24353973000</v>
      </c>
      <c r="V5227" s="28">
        <v>8798450000</v>
      </c>
      <c r="W5227" s="28">
        <v>185624000</v>
      </c>
      <c r="X5227" s="28">
        <v>15705000</v>
      </c>
      <c r="Y5227" s="28">
        <v>36815161000</v>
      </c>
      <c r="Z5227" s="28">
        <v>-15331283000</v>
      </c>
      <c r="AA5227" s="28"/>
      <c r="AB5227" s="28">
        <v>10175281000</v>
      </c>
      <c r="AC5227" s="28">
        <v>27559605000</v>
      </c>
      <c r="AD5227" s="28">
        <v>8572252000</v>
      </c>
      <c r="AE5227" s="28">
        <v>20745470000</v>
      </c>
      <c r="AF5227" s="28">
        <v>-2683494000</v>
      </c>
      <c r="AG5227" s="11"/>
    </row>
    <row r="5228">
      <c r="A5228" s="7" t="s">
        <v>6843</v>
      </c>
      <c r="B5228" s="5" t="s">
        <v>14806</v>
      </c>
      <c r="C5228" s="5" t="s">
        <v>22514</v>
      </c>
      <c r="D5228" s="5" t="str">
        <v>744400063261</v>
      </c>
      <c r="E5228" s="0" t="e">
        <f>+7 (3519) 314466
+7 (902) 6100452
+7 (967) 8626843
+7 (3519) 580850</f>
        <v>#NAME?</v>
      </c>
      <c r="F5228" s="5" t="s">
        <v>40803</v>
      </c>
      <c r="G5228" s="5" t="s">
        <v>40804</v>
      </c>
      <c r="H5228" s="26">
        <v>16</v>
      </c>
      <c r="I5228" s="5" t="s">
        <v>40805</v>
      </c>
      <c r="J5228" s="5" t="s">
        <v>38412</v>
      </c>
      <c r="K5228" s="5" t="s">
        <v>344</v>
      </c>
      <c r="L5228" s="5" t="s">
        <v>40806</v>
      </c>
      <c r="M5228" s="27"/>
      <c r="N5228" s="5"/>
      <c r="O5228" s="5" t="str">
        <v>7407008920</v>
      </c>
      <c r="P5228" s="27">
        <v>40020000</v>
      </c>
      <c r="Q5228" s="5"/>
      <c r="R5228" s="5"/>
      <c r="S5228" s="5" t="s">
        <v>49029</v>
      </c>
      <c r="T5228" s="28">
        <v>936914000</v>
      </c>
      <c r="U5228" s="28">
        <v>26610000</v>
      </c>
      <c r="V5228" s="28">
        <v>146986000</v>
      </c>
      <c r="W5228" s="28">
        <v>10523000</v>
      </c>
      <c r="X5228" s="28">
        <v>290517000</v>
      </c>
      <c r="Y5228" s="28">
        <v>1686983000</v>
      </c>
      <c r="Z5228" s="28">
        <v>720263000</v>
      </c>
      <c r="AA5228" s="28">
        <v>15000000</v>
      </c>
      <c r="AB5228" s="28">
        <v>6247000</v>
      </c>
      <c r="AC5228" s="28">
        <v>635790000</v>
      </c>
      <c r="AD5228" s="28">
        <v>835348000</v>
      </c>
      <c r="AE5228" s="28">
        <v>3051699000</v>
      </c>
      <c r="AF5228" s="28">
        <v>272021000</v>
      </c>
      <c r="AG5228" s="11"/>
    </row>
    <row r="5229">
      <c r="A5229" s="7" t="s">
        <v>6844</v>
      </c>
      <c r="B5229" s="5" t="s">
        <v>14807</v>
      </c>
      <c r="C5229" s="5" t="s">
        <v>22515</v>
      </c>
      <c r="D5229" s="5" t="str">
        <v>561605631245</v>
      </c>
      <c r="E5229" s="0" t="e">
        <f>+7 (495) 3348110
+7 (35362) 30330
+7 (35362) 31727
+7 (35362) 33216
+7 (35362) 45104
+7 (35362) 45113
+7 (35362) 45130
+7 (800) 7001030</f>
        <v>#NAME?</v>
      </c>
      <c r="F5229" s="5" t="s">
        <v>40807</v>
      </c>
      <c r="G5229" s="5" t="s">
        <v>40808</v>
      </c>
      <c r="H5229" s="26">
        <v>20</v>
      </c>
      <c r="I5229" s="5"/>
      <c r="J5229" s="5" t="s">
        <v>25353</v>
      </c>
      <c r="K5229" s="5" t="s">
        <v>344</v>
      </c>
      <c r="L5229" s="5" t="s">
        <v>40809</v>
      </c>
      <c r="M5229" s="27"/>
      <c r="N5229" s="5"/>
      <c r="O5229" s="5" t="str">
        <v>5604009196</v>
      </c>
      <c r="P5229" s="27">
        <v>11850000</v>
      </c>
      <c r="Q5229" s="5" t="s">
        <v>49009</v>
      </c>
      <c r="R5229" s="5"/>
      <c r="S5229" s="5" t="s">
        <v>49066</v>
      </c>
      <c r="T5229" s="28">
        <v>2450542000</v>
      </c>
      <c r="U5229" s="28"/>
      <c r="V5229" s="28">
        <v>808844000</v>
      </c>
      <c r="W5229" s="28">
        <v>30000000</v>
      </c>
      <c r="X5229" s="28">
        <v>399057000</v>
      </c>
      <c r="Y5229" s="28">
        <v>6737368000</v>
      </c>
      <c r="Z5229" s="28">
        <v>5148050000</v>
      </c>
      <c r="AA5229" s="28">
        <v>678114000</v>
      </c>
      <c r="AB5229" s="28">
        <v>13496000</v>
      </c>
      <c r="AC5229" s="28">
        <v>716892000</v>
      </c>
      <c r="AD5229" s="28">
        <v>5160493000</v>
      </c>
      <c r="AE5229" s="28">
        <v>6679011000</v>
      </c>
      <c r="AF5229" s="28">
        <v>1384068000</v>
      </c>
      <c r="AG5229" s="11"/>
    </row>
    <row r="5230">
      <c r="A5230" s="7" t="s">
        <v>6845</v>
      </c>
      <c r="B5230" s="5" t="s">
        <v>14808</v>
      </c>
      <c r="C5230" s="5" t="s">
        <v>22516</v>
      </c>
      <c r="D5230" s="5" t="str">
        <v>540805093504</v>
      </c>
      <c r="E5230" s="0" t="e">
        <f>+7 (383) 3280708
+7 (383) 2190123
+7 (383) 2408005
+7 (383) 2408911
+7 (383) 3495501
+7 (800) 1005507</f>
        <v>#NAME?</v>
      </c>
      <c r="F5230" s="5"/>
      <c r="G5230" s="5" t="s">
        <v>40810</v>
      </c>
      <c r="H5230" s="26">
        <v>12.5</v>
      </c>
      <c r="I5230" s="5" t="s">
        <v>40811</v>
      </c>
      <c r="J5230" s="5" t="s">
        <v>25424</v>
      </c>
      <c r="K5230" s="5" t="s">
        <v>344</v>
      </c>
      <c r="L5230" s="5" t="s">
        <v>40812</v>
      </c>
      <c r="M5230" s="27"/>
      <c r="N5230" s="5"/>
      <c r="O5230" s="5" t="str">
        <v>5401339590</v>
      </c>
      <c r="P5230" s="27">
        <v>10000</v>
      </c>
      <c r="Q5230" s="5" t="s">
        <v>49009</v>
      </c>
      <c r="R5230" s="5"/>
      <c r="S5230" s="5" t="s">
        <v>49028</v>
      </c>
      <c r="T5230" s="28">
        <v>2115751000</v>
      </c>
      <c r="U5230" s="28"/>
      <c r="V5230" s="28">
        <v>2180003000</v>
      </c>
      <c r="W5230" s="28"/>
      <c r="X5230" s="28">
        <v>5357064000</v>
      </c>
      <c r="Y5230" s="28">
        <v>16066259000</v>
      </c>
      <c r="Z5230" s="28">
        <v>11982953000</v>
      </c>
      <c r="AA5230" s="28"/>
      <c r="AB5230" s="28">
        <v>193000000</v>
      </c>
      <c r="AC5230" s="28">
        <v>2151128000</v>
      </c>
      <c r="AD5230" s="28">
        <v>11982963000</v>
      </c>
      <c r="AE5230" s="28">
        <v>23556277000</v>
      </c>
      <c r="AF5230" s="28">
        <v>3710146000</v>
      </c>
      <c r="AG5230" s="11"/>
    </row>
    <row r="5231">
      <c r="A5231" s="7" t="s">
        <v>6846</v>
      </c>
      <c r="B5231" s="5" t="s">
        <v>14809</v>
      </c>
      <c r="C5231" s="5" t="s">
        <v>22517</v>
      </c>
      <c r="D5231" s="5" t="str">
        <v>711608884791</v>
      </c>
      <c r="E5231" s="0" t="e">
        <f>+7 (495) 9255450
+7 (495) 9566036
+7 (910) 7019154
+7 (926) 7790197</f>
        <v>#NAME?</v>
      </c>
      <c r="F5231" s="5" t="s">
        <v>40813</v>
      </c>
      <c r="G5231" s="5"/>
      <c r="H5231" s="26">
        <v>7</v>
      </c>
      <c r="I5231" s="5" t="s">
        <v>33259</v>
      </c>
      <c r="J5231" s="5" t="s">
        <v>502</v>
      </c>
      <c r="K5231" s="5" t="s">
        <v>355</v>
      </c>
      <c r="L5231" s="5" t="s">
        <v>40814</v>
      </c>
      <c r="M5231" s="27">
        <v>915391</v>
      </c>
      <c r="N5231" s="5"/>
      <c r="O5231" s="5" t="str">
        <v>7706430713</v>
      </c>
      <c r="P5231" s="27">
        <v>10000</v>
      </c>
      <c r="Q5231" s="5" t="s">
        <v>49009</v>
      </c>
      <c r="R5231" s="5"/>
      <c r="S5231" s="5" t="s">
        <v>49010</v>
      </c>
      <c r="T5231" s="28">
        <v>67702000</v>
      </c>
      <c r="U5231" s="28">
        <v>25973000</v>
      </c>
      <c r="V5231" s="28">
        <v>242605000</v>
      </c>
      <c r="W5231" s="28"/>
      <c r="X5231" s="28">
        <v>3538000</v>
      </c>
      <c r="Y5231" s="28">
        <v>484092000</v>
      </c>
      <c r="Z5231" s="28">
        <v>75240000</v>
      </c>
      <c r="AA5231" s="28"/>
      <c r="AB5231" s="28"/>
      <c r="AC5231" s="28">
        <v>400429000</v>
      </c>
      <c r="AD5231" s="28">
        <v>75250000</v>
      </c>
      <c r="AE5231" s="28">
        <v>4221209000</v>
      </c>
      <c r="AF5231" s="28">
        <v>118861000</v>
      </c>
      <c r="AG5231" s="11"/>
    </row>
    <row r="5232">
      <c r="A5232" s="7" t="s">
        <v>6847</v>
      </c>
      <c r="B5232" s="5" t="s">
        <v>14810</v>
      </c>
      <c r="C5232" s="5" t="s">
        <v>22518</v>
      </c>
      <c r="D5232" s="5" t="str">
        <v>519014727258</v>
      </c>
      <c r="E5232" s="0" t="e">
        <f>+7 (415) 2415815
+7 (415) 2415881
+7 (415) 2466682
+7 (4232) 215899
+7 (4232) 268439
+7 (495) 1160000
+7 (499) 7071607
+7 (812) 4959517
+7 (812) 6022015
+7 (815) 2288008
+7 (815) 2288128
+7 (815) 2637637
+7 (815) 2690017
+7 (815) 2690022
+7 (911) 3123497</f>
        <v>#NAME?</v>
      </c>
      <c r="F5232" s="5" t="s">
        <v>40815</v>
      </c>
      <c r="G5232" s="5"/>
      <c r="H5232" s="26">
        <v>12.5</v>
      </c>
      <c r="I5232" s="5" t="s">
        <v>40816</v>
      </c>
      <c r="J5232" s="5" t="s">
        <v>27650</v>
      </c>
      <c r="K5232" s="5" t="s">
        <v>344</v>
      </c>
      <c r="L5232" s="5" t="s">
        <v>40817</v>
      </c>
      <c r="M5232" s="27"/>
      <c r="N5232" s="5"/>
      <c r="O5232" s="5" t="str">
        <v>5105093964</v>
      </c>
      <c r="P5232" s="27">
        <v>593020000</v>
      </c>
      <c r="Q5232" s="5"/>
      <c r="R5232" s="5"/>
      <c r="S5232" s="5" t="s">
        <v>49110</v>
      </c>
      <c r="T5232" s="28">
        <v>2172683000</v>
      </c>
      <c r="U5232" s="28"/>
      <c r="V5232" s="28">
        <v>1278073000</v>
      </c>
      <c r="W5232" s="28"/>
      <c r="X5232" s="28">
        <v>328592000</v>
      </c>
      <c r="Y5232" s="28">
        <v>4484072000</v>
      </c>
      <c r="Z5232" s="28">
        <v>1050826000</v>
      </c>
      <c r="AA5232" s="28">
        <v>517202000</v>
      </c>
      <c r="AB5232" s="28">
        <v>133982000</v>
      </c>
      <c r="AC5232" s="28">
        <v>2206789000</v>
      </c>
      <c r="AD5232" s="28">
        <v>1804066000</v>
      </c>
      <c r="AE5232" s="28">
        <v>6400396000</v>
      </c>
      <c r="AF5232" s="28">
        <v>74811000</v>
      </c>
      <c r="AG5232" s="11"/>
    </row>
    <row r="5233">
      <c r="A5233" s="7" t="s">
        <v>6848</v>
      </c>
      <c r="B5233" s="5" t="s">
        <v>14811</v>
      </c>
      <c r="C5233" s="5" t="s">
        <v>22519</v>
      </c>
      <c r="D5233" s="5" t="str">
        <v>463300872399</v>
      </c>
      <c r="E5233" s="0" t="e">
        <f>+7 (81433) 41265
+7 (81433) 41267
+7 (921) 2202095
+7 (499) 2717094
+7 (81433) 40101
+7 (81433) 40123
+7 (81433) 40130
+7 (81433) 40226
+7 (81433) 40274
+7 (919) 4500025</f>
        <v>#NAME?</v>
      </c>
      <c r="F5233" s="5" t="s">
        <v>40818</v>
      </c>
      <c r="G5233" s="5"/>
      <c r="H5233" s="26">
        <v>9.5</v>
      </c>
      <c r="I5233" s="5" t="s">
        <v>40819</v>
      </c>
      <c r="J5233" s="5" t="s">
        <v>27226</v>
      </c>
      <c r="K5233" s="5" t="s">
        <v>344</v>
      </c>
      <c r="L5233" s="5" t="s">
        <v>40820</v>
      </c>
      <c r="M5233" s="27"/>
      <c r="N5233" s="5" t="s">
        <v>57277</v>
      </c>
      <c r="O5233" s="5" t="str">
        <v>7734710550</v>
      </c>
      <c r="P5233" s="27">
        <v>70010000</v>
      </c>
      <c r="Q5233" s="5" t="s">
        <v>49324</v>
      </c>
      <c r="R5233" s="5"/>
      <c r="S5233" s="5" t="s">
        <v>56464</v>
      </c>
      <c r="T5233" s="28">
        <v>1393159000</v>
      </c>
      <c r="U5233" s="28">
        <v>551358000</v>
      </c>
      <c r="V5233" s="28">
        <v>1092407000</v>
      </c>
      <c r="W5233" s="28">
        <v>21952000</v>
      </c>
      <c r="X5233" s="28">
        <v>684792000</v>
      </c>
      <c r="Y5233" s="28">
        <v>4513479000</v>
      </c>
      <c r="Z5233" s="28">
        <v>3756852000</v>
      </c>
      <c r="AA5233" s="28">
        <v>159361000</v>
      </c>
      <c r="AB5233" s="28">
        <v>160000</v>
      </c>
      <c r="AC5233" s="28">
        <v>406615000</v>
      </c>
      <c r="AD5233" s="28">
        <v>3833863000</v>
      </c>
      <c r="AE5233" s="28">
        <v>5868905000</v>
      </c>
      <c r="AF5233" s="28">
        <v>1232604000</v>
      </c>
      <c r="AG5233" s="11"/>
    </row>
    <row r="5234">
      <c r="A5234" s="7" t="s">
        <v>6849</v>
      </c>
      <c r="B5234" s="5" t="s">
        <v>14812</v>
      </c>
      <c r="C5234" s="5" t="s">
        <v>19881</v>
      </c>
      <c r="D5234" s="5" t="str">
        <v>632115635817</v>
      </c>
      <c r="E5234" s="0" t="e">
        <f>+7 (916) 3040444
+7 (927) 2764447</f>
        <v>#NAME?</v>
      </c>
      <c r="F5234" s="5"/>
      <c r="G5234" s="5"/>
      <c r="H5234" s="26">
        <v>9.5</v>
      </c>
      <c r="I5234" s="5" t="s">
        <v>40821</v>
      </c>
      <c r="J5234" s="5" t="s">
        <v>678</v>
      </c>
      <c r="K5234" s="5" t="s">
        <v>344</v>
      </c>
      <c r="L5234" s="5" t="s">
        <v>35243</v>
      </c>
      <c r="M5234" s="27"/>
      <c r="N5234" s="5"/>
      <c r="O5234" s="5" t="str">
        <v>2124037529</v>
      </c>
      <c r="P5234" s="27">
        <v>3250000</v>
      </c>
      <c r="Q5234" s="5" t="s">
        <v>49207</v>
      </c>
      <c r="R5234" s="5" t="s">
        <v>57278</v>
      </c>
      <c r="S5234" s="5" t="s">
        <v>49565</v>
      </c>
      <c r="T5234" s="28">
        <v>90691000</v>
      </c>
      <c r="U5234" s="28"/>
      <c r="V5234" s="28">
        <v>1130214000</v>
      </c>
      <c r="W5234" s="28"/>
      <c r="X5234" s="28">
        <v>84452000</v>
      </c>
      <c r="Y5234" s="28">
        <v>1574593000</v>
      </c>
      <c r="Z5234" s="28">
        <v>479480000</v>
      </c>
      <c r="AA5234" s="28"/>
      <c r="AB5234" s="28"/>
      <c r="AC5234" s="28">
        <v>994837000</v>
      </c>
      <c r="AD5234" s="28">
        <v>482730000</v>
      </c>
      <c r="AE5234" s="28">
        <v>10102977000</v>
      </c>
      <c r="AF5234" s="28">
        <v>254954000</v>
      </c>
      <c r="AG5234" s="11"/>
    </row>
    <row r="5235">
      <c r="A5235" s="7" t="s">
        <v>6850</v>
      </c>
      <c r="B5235" s="5" t="s">
        <v>14813</v>
      </c>
      <c r="C5235" s="5" t="s">
        <v>22520</v>
      </c>
      <c r="D5235" s="5" t="str">
        <v>771809963924</v>
      </c>
      <c r="E5235" s="0" t="e">
        <f>+7 (495) 6403585
+7 (495) 7771967
+7 (905) 5123518
+7 (812) 3098077
+7 (916) 8516452</f>
        <v>#NAME?</v>
      </c>
      <c r="F5235" s="5" t="s">
        <v>40822</v>
      </c>
      <c r="G5235" s="5" t="s">
        <v>40823</v>
      </c>
      <c r="H5235" s="26">
        <v>7.5</v>
      </c>
      <c r="I5235" s="5" t="s">
        <v>40824</v>
      </c>
      <c r="J5235" s="5" t="s">
        <v>25216</v>
      </c>
      <c r="K5235" s="5" t="s">
        <v>344</v>
      </c>
      <c r="L5235" s="5" t="s">
        <v>40825</v>
      </c>
      <c r="M5235" s="27">
        <v>25484611</v>
      </c>
      <c r="N5235" s="5" t="s">
        <v>57279</v>
      </c>
      <c r="O5235" s="5" t="str">
        <v>5007094208</v>
      </c>
      <c r="P5235" s="27">
        <v>1200000</v>
      </c>
      <c r="Q5235" s="5" t="s">
        <v>49207</v>
      </c>
      <c r="R5235" s="5" t="s">
        <v>57280</v>
      </c>
      <c r="S5235" s="5" t="s">
        <v>57281</v>
      </c>
      <c r="T5235" s="28">
        <v>490304000</v>
      </c>
      <c r="U5235" s="28"/>
      <c r="V5235" s="28">
        <v>1746127000</v>
      </c>
      <c r="W5235" s="28">
        <v>165000000</v>
      </c>
      <c r="X5235" s="28">
        <v>466462000</v>
      </c>
      <c r="Y5235" s="28">
        <v>4795225000</v>
      </c>
      <c r="Z5235" s="28">
        <v>1155886000</v>
      </c>
      <c r="AA5235" s="28"/>
      <c r="AB5235" s="28">
        <v>13344000</v>
      </c>
      <c r="AC5235" s="28">
        <v>3005542000</v>
      </c>
      <c r="AD5235" s="28">
        <v>1357086000</v>
      </c>
      <c r="AE5235" s="28">
        <v>25307093000</v>
      </c>
      <c r="AF5235" s="28">
        <v>588535000</v>
      </c>
      <c r="AG5235" s="11"/>
    </row>
    <row r="5236">
      <c r="A5236" s="7" t="s">
        <v>6851</v>
      </c>
      <c r="B5236" s="5" t="s">
        <v>14814</v>
      </c>
      <c r="C5236" s="5" t="s">
        <v>22521</v>
      </c>
      <c r="D5236" s="5"/>
      <c r="E5236" s="0" t="e">
        <f>+7 (8632) 6807
+7 (8632) 60462
+7 (8632) 203536
+7 (8632) 206535
+7 (8632) 303565
+7 (8632) 308757
+7 (8632) 345678
+7 (8632) 551748
+7 (8632) 565656
+7 (8632) 634569
+7 (8632) 188719
+7 (8632) 188725
+7 (8632) 308344
+7 (8632) 308348
+7 (8632) 308367</f>
        <v>#NAME?</v>
      </c>
      <c r="F5236" s="5" t="s">
        <v>40826</v>
      </c>
      <c r="G5236" s="5" t="s">
        <v>40827</v>
      </c>
      <c r="H5236" s="26">
        <v>23.5</v>
      </c>
      <c r="I5236" s="5" t="s">
        <v>40828</v>
      </c>
      <c r="J5236" s="5" t="s">
        <v>25788</v>
      </c>
      <c r="K5236" s="5" t="s">
        <v>344</v>
      </c>
      <c r="L5236" s="5"/>
      <c r="M5236" s="27"/>
      <c r="N5236" s="5" t="s">
        <v>57282</v>
      </c>
      <c r="O5236" s="5" t="str">
        <v>6165079035</v>
      </c>
      <c r="P5236" s="27">
        <v>40823000</v>
      </c>
      <c r="Q5236" s="5" t="s">
        <v>57283</v>
      </c>
      <c r="R5236" s="5"/>
      <c r="S5236" s="5" t="s">
        <v>57284</v>
      </c>
      <c r="T5236" s="28">
        <v>265317000</v>
      </c>
      <c r="U5236" s="28">
        <v>14000</v>
      </c>
      <c r="V5236" s="28">
        <v>1005368000</v>
      </c>
      <c r="W5236" s="28">
        <v>2000000</v>
      </c>
      <c r="X5236" s="28">
        <v>163786000</v>
      </c>
      <c r="Y5236" s="28">
        <v>2064337000</v>
      </c>
      <c r="Z5236" s="28">
        <v>733873000</v>
      </c>
      <c r="AA5236" s="28"/>
      <c r="AB5236" s="28">
        <v>30080000</v>
      </c>
      <c r="AC5236" s="28">
        <v>1206896000</v>
      </c>
      <c r="AD5236" s="28">
        <v>824696000</v>
      </c>
      <c r="AE5236" s="28">
        <v>5329893000</v>
      </c>
      <c r="AF5236" s="28">
        <v>80828000</v>
      </c>
      <c r="AG5236" s="11"/>
    </row>
    <row r="5237">
      <c r="A5237" s="7" t="s">
        <v>6852</v>
      </c>
      <c r="B5237" s="5" t="s">
        <v>14815</v>
      </c>
      <c r="C5237" s="5" t="s">
        <v>22522</v>
      </c>
      <c r="D5237" s="5" t="str">
        <v>366323574218</v>
      </c>
      <c r="E5237" s="0" t="e">
        <f>+7 (978) 7087649
+7 (3652) 777350
+7 (495) 7809704
+7 (499) 2306899</f>
        <v>#NAME?</v>
      </c>
      <c r="F5237" s="5" t="s">
        <v>40829</v>
      </c>
      <c r="G5237" s="5"/>
      <c r="H5237" s="26">
        <v>17.5</v>
      </c>
      <c r="I5237" s="5"/>
      <c r="J5237" s="5" t="s">
        <v>373</v>
      </c>
      <c r="K5237" s="5" t="s">
        <v>344</v>
      </c>
      <c r="L5237" s="5" t="s">
        <v>27633</v>
      </c>
      <c r="M5237" s="27"/>
      <c r="N5237" s="5" t="s">
        <v>57285</v>
      </c>
      <c r="O5237" s="5" t="str">
        <v>7729529797</v>
      </c>
      <c r="P5237" s="27">
        <v>500000</v>
      </c>
      <c r="Q5237" s="5" t="s">
        <v>57286</v>
      </c>
      <c r="R5237" s="5"/>
      <c r="S5237" s="5" t="s">
        <v>57287</v>
      </c>
      <c r="T5237" s="28"/>
      <c r="U5237" s="28">
        <v>99000</v>
      </c>
      <c r="V5237" s="28">
        <v>856906000</v>
      </c>
      <c r="W5237" s="28">
        <v>78423000</v>
      </c>
      <c r="X5237" s="28">
        <v>9731000</v>
      </c>
      <c r="Y5237" s="28">
        <v>1084111000</v>
      </c>
      <c r="Z5237" s="28">
        <v>19583000</v>
      </c>
      <c r="AA5237" s="28">
        <v>12000000</v>
      </c>
      <c r="AB5237" s="28">
        <v>487350000</v>
      </c>
      <c r="AC5237" s="28">
        <v>1052003000</v>
      </c>
      <c r="AD5237" s="28">
        <v>20108000</v>
      </c>
      <c r="AE5237" s="28">
        <v>6544033000</v>
      </c>
      <c r="AF5237" s="28">
        <v>5489000</v>
      </c>
      <c r="AG5237" s="11"/>
    </row>
    <row r="5238">
      <c r="A5238" s="7" t="s">
        <v>6853</v>
      </c>
      <c r="B5238" s="5" t="s">
        <v>14816</v>
      </c>
      <c r="C5238" s="5" t="s">
        <v>22523</v>
      </c>
      <c r="D5238" s="5"/>
      <c r="E5238" s="0" t="e">
        <f>+7 (499) 1220023</f>
        <v>#NAME?</v>
      </c>
      <c r="F5238" s="5"/>
      <c r="G5238" s="5"/>
      <c r="H5238" s="26">
        <v>7</v>
      </c>
      <c r="I5238" s="5" t="s">
        <v>40830</v>
      </c>
      <c r="J5238" s="5" t="s">
        <v>467</v>
      </c>
      <c r="K5238" s="5" t="s">
        <v>344</v>
      </c>
      <c r="L5238" s="5" t="s">
        <v>40831</v>
      </c>
      <c r="M5238" s="27"/>
      <c r="N5238" s="5"/>
      <c r="O5238" s="5" t="str">
        <v>7727283428</v>
      </c>
      <c r="P5238" s="27">
        <v>10000</v>
      </c>
      <c r="Q5238" s="5" t="s">
        <v>49009</v>
      </c>
      <c r="R5238" s="5"/>
      <c r="S5238" s="5" t="s">
        <v>49010</v>
      </c>
      <c r="T5238" s="28">
        <v>70000</v>
      </c>
      <c r="U5238" s="28"/>
      <c r="V5238" s="28">
        <v>9034093000</v>
      </c>
      <c r="W5238" s="28"/>
      <c r="X5238" s="28">
        <v>166720000</v>
      </c>
      <c r="Y5238" s="28">
        <v>9618008000</v>
      </c>
      <c r="Z5238" s="28">
        <v>222365000</v>
      </c>
      <c r="AA5238" s="28">
        <v>8602203000</v>
      </c>
      <c r="AB5238" s="28">
        <v>285307000</v>
      </c>
      <c r="AC5238" s="28">
        <v>688026000</v>
      </c>
      <c r="AD5238" s="28">
        <v>327779000</v>
      </c>
      <c r="AE5238" s="28">
        <v>3018765000</v>
      </c>
      <c r="AF5238" s="28">
        <v>200872000</v>
      </c>
      <c r="AG5238" s="11"/>
    </row>
    <row r="5239">
      <c r="A5239" s="7" t="s">
        <v>6854</v>
      </c>
      <c r="B5239" s="5" t="s">
        <v>14817</v>
      </c>
      <c r="C5239" s="5" t="s">
        <v>22524</v>
      </c>
      <c r="D5239" s="5" t="str">
        <v>110112962206</v>
      </c>
      <c r="E5239" s="0" t="e">
        <f>+7 (473) 2331453</f>
        <v>#NAME?</v>
      </c>
      <c r="F5239" s="5" t="s">
        <v>40832</v>
      </c>
      <c r="G5239" s="5" t="s">
        <v>40833</v>
      </c>
      <c r="H5239" s="26">
        <v>11</v>
      </c>
      <c r="I5239" s="5" t="s">
        <v>40834</v>
      </c>
      <c r="J5239" s="5" t="s">
        <v>947</v>
      </c>
      <c r="K5239" s="5" t="s">
        <v>344</v>
      </c>
      <c r="L5239" s="5" t="s">
        <v>40835</v>
      </c>
      <c r="M5239" s="27">
        <v>2782099</v>
      </c>
      <c r="N5239" s="5" t="s">
        <v>57288</v>
      </c>
      <c r="O5239" s="5" t="str">
        <v>7704799819</v>
      </c>
      <c r="P5239" s="27">
        <v>1000000</v>
      </c>
      <c r="Q5239" s="5" t="s">
        <v>57289</v>
      </c>
      <c r="R5239" s="5"/>
      <c r="S5239" s="5" t="s">
        <v>56266</v>
      </c>
      <c r="T5239" s="28">
        <v>213294000</v>
      </c>
      <c r="U5239" s="28"/>
      <c r="V5239" s="28">
        <v>1219575000</v>
      </c>
      <c r="W5239" s="28"/>
      <c r="X5239" s="28">
        <v>357192000</v>
      </c>
      <c r="Y5239" s="28">
        <v>1956320000</v>
      </c>
      <c r="Z5239" s="28">
        <v>491272000</v>
      </c>
      <c r="AA5239" s="28"/>
      <c r="AB5239" s="28">
        <v>583000</v>
      </c>
      <c r="AC5239" s="28">
        <v>1360107000</v>
      </c>
      <c r="AD5239" s="28">
        <v>492422000</v>
      </c>
      <c r="AE5239" s="28">
        <v>3153633000</v>
      </c>
      <c r="AF5239" s="28">
        <v>311680000</v>
      </c>
      <c r="AG5239" s="11"/>
    </row>
    <row r="5240">
      <c r="A5240" s="7" t="s">
        <v>6855</v>
      </c>
      <c r="B5240" s="5" t="s">
        <v>14818</v>
      </c>
      <c r="C5240" s="5" t="s">
        <v>22525</v>
      </c>
      <c r="D5240" s="5" t="str">
        <v>773000429159</v>
      </c>
      <c r="E5240" s="0" t="e">
        <f>+7 (800) 6008661
+7 (812) 2357458
+7 (812) 2444040
+7 (812) 2447044
+7 (812) 2447064
+7 (812) 4539237
+7 (812) 4563268
+7 (812) 4563288
+7 (812) 4789654
+7 (812) 5694172
+7 (812) 3320250
+7 (812) 3321648
+7 (812) 3322887
+7 (812) 3701214
+7 (812) 4488820</f>
        <v>#NAME?</v>
      </c>
      <c r="F5240" s="5" t="s">
        <v>40836</v>
      </c>
      <c r="G5240" s="5" t="s">
        <v>40837</v>
      </c>
      <c r="H5240" s="26">
        <v>20.5</v>
      </c>
      <c r="I5240" s="5" t="s">
        <v>40838</v>
      </c>
      <c r="J5240" s="5" t="s">
        <v>26623</v>
      </c>
      <c r="K5240" s="5" t="s">
        <v>344</v>
      </c>
      <c r="L5240" s="5" t="s">
        <v>40839</v>
      </c>
      <c r="M5240" s="27">
        <v>3785033</v>
      </c>
      <c r="N5240" s="5" t="s">
        <v>57290</v>
      </c>
      <c r="O5240" s="5" t="str">
        <v>3328424479</v>
      </c>
      <c r="P5240" s="27">
        <v>153500000</v>
      </c>
      <c r="Q5240" s="5" t="s">
        <v>57291</v>
      </c>
      <c r="R5240" s="5"/>
      <c r="S5240" s="5" t="s">
        <v>57292</v>
      </c>
      <c r="T5240" s="28">
        <v>625164000</v>
      </c>
      <c r="U5240" s="28">
        <v>90000</v>
      </c>
      <c r="V5240" s="28">
        <v>2474707000</v>
      </c>
      <c r="W5240" s="28">
        <v>173800000</v>
      </c>
      <c r="X5240" s="28">
        <v>55258000</v>
      </c>
      <c r="Y5240" s="28">
        <v>3434920000</v>
      </c>
      <c r="Z5240" s="28">
        <v>504527000</v>
      </c>
      <c r="AA5240" s="28"/>
      <c r="AB5240" s="28">
        <v>175488000</v>
      </c>
      <c r="AC5240" s="28">
        <v>2733991000</v>
      </c>
      <c r="AD5240" s="28">
        <v>665702000</v>
      </c>
      <c r="AE5240" s="28">
        <v>17283172000</v>
      </c>
      <c r="AF5240" s="28">
        <v>781307000</v>
      </c>
      <c r="AG5240" s="11"/>
    </row>
    <row r="5241">
      <c r="A5241" s="7" t="s">
        <v>6856</v>
      </c>
      <c r="B5241" s="5" t="s">
        <v>14819</v>
      </c>
      <c r="C5241" s="5" t="s">
        <v>22526</v>
      </c>
      <c r="D5241" s="5" t="str">
        <v>380403461042</v>
      </c>
      <c r="E5241" s="0" t="e">
        <f>+7 (913) 5884584</f>
        <v>#NAME?</v>
      </c>
      <c r="F5241" s="5" t="s">
        <v>40840</v>
      </c>
      <c r="G5241" s="5"/>
      <c r="H5241" s="26">
        <v>9</v>
      </c>
      <c r="I5241" s="5" t="s">
        <v>40841</v>
      </c>
      <c r="J5241" s="5" t="s">
        <v>26447</v>
      </c>
      <c r="K5241" s="5" t="s">
        <v>344</v>
      </c>
      <c r="L5241" s="5" t="s">
        <v>40842</v>
      </c>
      <c r="M5241" s="27"/>
      <c r="N5241" s="5"/>
      <c r="O5241" s="5" t="str">
        <v>2462229328</v>
      </c>
      <c r="P5241" s="27">
        <v>20000</v>
      </c>
      <c r="Q5241" s="5" t="s">
        <v>57293</v>
      </c>
      <c r="R5241" s="5"/>
      <c r="S5241" s="5" t="s">
        <v>52287</v>
      </c>
      <c r="T5241" s="28"/>
      <c r="U5241" s="28"/>
      <c r="V5241" s="28">
        <v>2147400000</v>
      </c>
      <c r="W5241" s="28">
        <v>33000000</v>
      </c>
      <c r="X5241" s="28">
        <v>26347000</v>
      </c>
      <c r="Y5241" s="28">
        <v>2270559000</v>
      </c>
      <c r="Z5241" s="28">
        <v>642936000</v>
      </c>
      <c r="AA5241" s="28"/>
      <c r="AB5241" s="28">
        <v>129427000</v>
      </c>
      <c r="AC5241" s="28">
        <v>1627603000</v>
      </c>
      <c r="AD5241" s="28">
        <v>642956000</v>
      </c>
      <c r="AE5241" s="28">
        <v>3840246000</v>
      </c>
      <c r="AF5241" s="28">
        <v>217259000</v>
      </c>
      <c r="AG5241" s="11"/>
    </row>
    <row r="5242">
      <c r="A5242" s="7" t="s">
        <v>6857</v>
      </c>
      <c r="B5242" s="5" t="s">
        <v>10265</v>
      </c>
      <c r="C5242" s="5" t="s">
        <v>18164</v>
      </c>
      <c r="D5242" s="5" t="str">
        <v>162600787296</v>
      </c>
      <c r="E5242" s="0" t="e">
        <f>+7 (85563) 26336
+7 (85563) 35237</f>
        <v>#NAME?</v>
      </c>
      <c r="F5242" s="5" t="s">
        <v>40843</v>
      </c>
      <c r="G5242" s="5"/>
      <c r="H5242" s="26">
        <v>14</v>
      </c>
      <c r="I5242" s="5" t="s">
        <v>40844</v>
      </c>
      <c r="J5242" s="5" t="s">
        <v>26128</v>
      </c>
      <c r="K5242" s="5" t="s">
        <v>344</v>
      </c>
      <c r="L5242" s="5" t="s">
        <v>25882</v>
      </c>
      <c r="M5242" s="27"/>
      <c r="N5242" s="5" t="s">
        <v>57294</v>
      </c>
      <c r="O5242" s="5" t="str">
        <v>1626011089</v>
      </c>
      <c r="P5242" s="27">
        <v>10000</v>
      </c>
      <c r="Q5242" s="5" t="s">
        <v>49009</v>
      </c>
      <c r="R5242" s="5"/>
      <c r="S5242" s="5" t="s">
        <v>49028</v>
      </c>
      <c r="T5242" s="28">
        <v>77428000</v>
      </c>
      <c r="U5242" s="28"/>
      <c r="V5242" s="28">
        <v>215761000</v>
      </c>
      <c r="W5242" s="28"/>
      <c r="X5242" s="28">
        <v>167387000</v>
      </c>
      <c r="Y5242" s="28">
        <v>760424000</v>
      </c>
      <c r="Z5242" s="28">
        <v>121705000</v>
      </c>
      <c r="AA5242" s="28">
        <v>100000000</v>
      </c>
      <c r="AB5242" s="28">
        <v>188253000</v>
      </c>
      <c r="AC5242" s="28">
        <v>525159000</v>
      </c>
      <c r="AD5242" s="28">
        <v>121715000</v>
      </c>
      <c r="AE5242" s="28">
        <v>3801197000</v>
      </c>
      <c r="AF5242" s="28">
        <v>999000</v>
      </c>
      <c r="AG5242" s="11"/>
    </row>
    <row r="5243">
      <c r="A5243" s="7" t="s">
        <v>6858</v>
      </c>
      <c r="B5243" s="5" t="s">
        <v>14820</v>
      </c>
      <c r="C5243" s="5" t="s">
        <v>22527</v>
      </c>
      <c r="D5243" s="5" t="str">
        <v>760706502232</v>
      </c>
      <c r="E5243" s="0" t="e">
        <f>+7 (4855) 320301
+7 (4855) 205963
+7 (4855) 270976
+7 (4855) 273818
+7 (4855) 284146
+7 (4855) 288989
+7 (4855) 296048
+7 (4855) 296128
+7 (4855) 296600
+7 (4855) 320256
+7 (4855) 320268
+7 (4855) 320284
+7 (4855) 320300
+7 (4855) 320331
+7 (4855) 320350</f>
        <v>#NAME?</v>
      </c>
      <c r="F5243" s="5" t="s">
        <v>40845</v>
      </c>
      <c r="G5243" s="5" t="s">
        <v>40846</v>
      </c>
      <c r="H5243" s="26">
        <v>18.5</v>
      </c>
      <c r="I5243" s="5"/>
      <c r="J5243" s="5" t="s">
        <v>25955</v>
      </c>
      <c r="K5243" s="5" t="s">
        <v>344</v>
      </c>
      <c r="L5243" s="5"/>
      <c r="M5243" s="27"/>
      <c r="N5243" s="5" t="s">
        <v>57295</v>
      </c>
      <c r="O5243" s="5" t="str">
        <v>7610062924</v>
      </c>
      <c r="P5243" s="27">
        <v>300000000</v>
      </c>
      <c r="Q5243" s="5" t="s">
        <v>57296</v>
      </c>
      <c r="R5243" s="5"/>
      <c r="S5243" s="5" t="s">
        <v>53693</v>
      </c>
      <c r="T5243" s="28">
        <v>487168000</v>
      </c>
      <c r="U5243" s="28">
        <v>3980000</v>
      </c>
      <c r="V5243" s="28">
        <v>660879000</v>
      </c>
      <c r="W5243" s="28">
        <v>5000000</v>
      </c>
      <c r="X5243" s="28">
        <v>371512000</v>
      </c>
      <c r="Y5243" s="28">
        <v>2850970000</v>
      </c>
      <c r="Z5243" s="28">
        <v>1056628000</v>
      </c>
      <c r="AA5243" s="28">
        <v>12643000</v>
      </c>
      <c r="AB5243" s="28">
        <v>428699000</v>
      </c>
      <c r="AC5243" s="28">
        <v>1438605000</v>
      </c>
      <c r="AD5243" s="28">
        <v>1375389000</v>
      </c>
      <c r="AE5243" s="28">
        <v>4357823000</v>
      </c>
      <c r="AF5243" s="28">
        <v>474287000</v>
      </c>
      <c r="AG5243" s="11"/>
    </row>
    <row r="5244">
      <c r="A5244" s="7" t="s">
        <v>6859</v>
      </c>
      <c r="B5244" s="5" t="s">
        <v>14821</v>
      </c>
      <c r="C5244" s="5" t="s">
        <v>22528</v>
      </c>
      <c r="D5244" s="5" t="str">
        <v>502210577514</v>
      </c>
      <c r="E5244" s="0" t="e">
        <f>+7 (910) 4716124
+7 (951) 1066966
+7 (952) 1299645
+7 (967) 688844</f>
        <v>#NAME?</v>
      </c>
      <c r="F5244" s="5" t="s">
        <v>40847</v>
      </c>
      <c r="G5244" s="5"/>
      <c r="H5244" s="26">
        <v>9.5</v>
      </c>
      <c r="I5244" s="5" t="s">
        <v>40848</v>
      </c>
      <c r="J5244" s="5" t="s">
        <v>32941</v>
      </c>
      <c r="K5244" s="5" t="s">
        <v>344</v>
      </c>
      <c r="L5244" s="5" t="s">
        <v>40849</v>
      </c>
      <c r="M5244" s="27">
        <v>7559644</v>
      </c>
      <c r="N5244" s="5"/>
      <c r="O5244" s="5" t="str">
        <v>6234120752</v>
      </c>
      <c r="P5244" s="27">
        <v>1000000</v>
      </c>
      <c r="Q5244" s="5"/>
      <c r="R5244" s="5"/>
      <c r="S5244" s="5" t="s">
        <v>49110</v>
      </c>
      <c r="T5244" s="28">
        <v>112017000</v>
      </c>
      <c r="U5244" s="28">
        <v>5000</v>
      </c>
      <c r="V5244" s="28">
        <v>441153000</v>
      </c>
      <c r="W5244" s="28">
        <v>31000</v>
      </c>
      <c r="X5244" s="28">
        <v>5363000</v>
      </c>
      <c r="Y5244" s="28">
        <v>1398719000</v>
      </c>
      <c r="Z5244" s="28">
        <v>307722000</v>
      </c>
      <c r="AA5244" s="28"/>
      <c r="AB5244" s="28"/>
      <c r="AC5244" s="28">
        <v>1068657000</v>
      </c>
      <c r="AD5244" s="28">
        <v>308722000</v>
      </c>
      <c r="AE5244" s="28">
        <v>3762343000</v>
      </c>
      <c r="AF5244" s="28">
        <v>18311000</v>
      </c>
      <c r="AG5244" s="11"/>
    </row>
    <row r="5245">
      <c r="A5245" s="7" t="s">
        <v>6860</v>
      </c>
      <c r="B5245" s="5" t="s">
        <v>14822</v>
      </c>
      <c r="C5245" s="5" t="s">
        <v>22529</v>
      </c>
      <c r="D5245" s="5" t="str">
        <v>666005192453</v>
      </c>
      <c r="E5245" s="0" t="e">
        <f>+7 (343) 3652900
+7 (343) 3652910</f>
        <v>#NAME?</v>
      </c>
      <c r="F5245" s="5"/>
      <c r="G5245" s="5"/>
      <c r="H5245" s="26">
        <v>9.5</v>
      </c>
      <c r="I5245" s="5" t="s">
        <v>40850</v>
      </c>
      <c r="J5245" s="5" t="s">
        <v>678</v>
      </c>
      <c r="K5245" s="5" t="s">
        <v>344</v>
      </c>
      <c r="L5245" s="5" t="s">
        <v>40851</v>
      </c>
      <c r="M5245" s="27"/>
      <c r="N5245" s="5"/>
      <c r="O5245" s="5" t="str">
        <v>6685039920</v>
      </c>
      <c r="P5245" s="27">
        <v>100000</v>
      </c>
      <c r="Q5245" s="5" t="s">
        <v>49009</v>
      </c>
      <c r="R5245" s="5"/>
      <c r="S5245" s="5" t="s">
        <v>49010</v>
      </c>
      <c r="T5245" s="28">
        <v>17785000</v>
      </c>
      <c r="U5245" s="28"/>
      <c r="V5245" s="28">
        <v>2203073000</v>
      </c>
      <c r="W5245" s="28"/>
      <c r="X5245" s="28">
        <v>154693000</v>
      </c>
      <c r="Y5245" s="28">
        <v>2497271000</v>
      </c>
      <c r="Z5245" s="28">
        <v>122176000</v>
      </c>
      <c r="AA5245" s="28"/>
      <c r="AB5245" s="28">
        <v>415331000</v>
      </c>
      <c r="AC5245" s="28">
        <v>1402042000</v>
      </c>
      <c r="AD5245" s="28">
        <v>122296000</v>
      </c>
      <c r="AE5245" s="28">
        <v>11638102000</v>
      </c>
      <c r="AF5245" s="28">
        <v>68684000</v>
      </c>
      <c r="AG5245" s="11"/>
    </row>
    <row r="5246">
      <c r="A5246" s="7" t="s">
        <v>6861</v>
      </c>
      <c r="B5246" s="5" t="s">
        <v>14823</v>
      </c>
      <c r="C5246" s="5" t="s">
        <v>22530</v>
      </c>
      <c r="D5246" s="5" t="str">
        <v>272508481347</v>
      </c>
      <c r="E5246" s="0" t="e">
        <f>+7 (421) 2408495
+7 (421) 2408497
+7 (421) 2412464</f>
        <v>#NAME?</v>
      </c>
      <c r="F5246" s="5"/>
      <c r="G5246" s="5"/>
      <c r="H5246" s="26">
        <v>18</v>
      </c>
      <c r="I5246" s="5" t="s">
        <v>40852</v>
      </c>
      <c r="J5246" s="5" t="s">
        <v>26125</v>
      </c>
      <c r="K5246" s="5" t="s">
        <v>344</v>
      </c>
      <c r="L5246" s="5" t="s">
        <v>29283</v>
      </c>
      <c r="M5246" s="27"/>
      <c r="N5246" s="5" t="s">
        <v>57297</v>
      </c>
      <c r="O5246" s="5" t="str">
        <v>2724085517</v>
      </c>
      <c r="P5246" s="27">
        <v>10000000</v>
      </c>
      <c r="Q5246" s="5"/>
      <c r="R5246" s="5"/>
      <c r="S5246" s="5" t="s">
        <v>49379</v>
      </c>
      <c r="T5246" s="28">
        <v>224000000</v>
      </c>
      <c r="U5246" s="28">
        <v>88650000</v>
      </c>
      <c r="V5246" s="28">
        <v>405878000</v>
      </c>
      <c r="W5246" s="28"/>
      <c r="X5246" s="28">
        <v>17859000</v>
      </c>
      <c r="Y5246" s="28">
        <v>1874163000</v>
      </c>
      <c r="Z5246" s="28">
        <v>755467000</v>
      </c>
      <c r="AA5246" s="28"/>
      <c r="AB5246" s="28">
        <v>787938000</v>
      </c>
      <c r="AC5246" s="28">
        <v>948975000</v>
      </c>
      <c r="AD5246" s="28">
        <v>819967000</v>
      </c>
      <c r="AE5246" s="28">
        <v>5890345000</v>
      </c>
      <c r="AF5246" s="28">
        <v>70227000</v>
      </c>
      <c r="AG5246" s="11"/>
    </row>
    <row r="5247">
      <c r="A5247" s="7" t="s">
        <v>6862</v>
      </c>
      <c r="B5247" s="5" t="s">
        <v>13629</v>
      </c>
      <c r="C5247" s="5" t="s">
        <v>22531</v>
      </c>
      <c r="D5247" s="5" t="str">
        <v>501209516667</v>
      </c>
      <c r="E5247" s="0" t="e">
        <f>+7 (495) 6895001
+7 (495) 9768264
+7 (499) 6895001
+7 (499) 9768264</f>
        <v>#NAME?</v>
      </c>
      <c r="F5247" s="5" t="s">
        <v>40853</v>
      </c>
      <c r="G5247" s="5" t="s">
        <v>40854</v>
      </c>
      <c r="H5247" s="26">
        <v>20.5</v>
      </c>
      <c r="I5247" s="5" t="s">
        <v>40855</v>
      </c>
      <c r="J5247" s="5" t="s">
        <v>26799</v>
      </c>
      <c r="K5247" s="5" t="s">
        <v>355</v>
      </c>
      <c r="L5247" s="5" t="s">
        <v>40856</v>
      </c>
      <c r="M5247" s="27"/>
      <c r="N5247" s="5" t="s">
        <v>57298</v>
      </c>
      <c r="O5247" s="5" t="str">
        <v>9701248398</v>
      </c>
      <c r="P5247" s="27">
        <v>113360167</v>
      </c>
      <c r="Q5247" s="5" t="s">
        <v>57299</v>
      </c>
      <c r="R5247" s="5"/>
      <c r="S5247" s="5" t="s">
        <v>51512</v>
      </c>
      <c r="T5247" s="28">
        <v>348321000</v>
      </c>
      <c r="U5247" s="28">
        <v>216000</v>
      </c>
      <c r="V5247" s="28">
        <v>1232216000</v>
      </c>
      <c r="W5247" s="28"/>
      <c r="X5247" s="28">
        <v>7218000</v>
      </c>
      <c r="Y5247" s="28">
        <v>1759018000</v>
      </c>
      <c r="Z5247" s="28">
        <v>532263000</v>
      </c>
      <c r="AA5247" s="28"/>
      <c r="AB5247" s="28"/>
      <c r="AC5247" s="28">
        <v>1090929000</v>
      </c>
      <c r="AD5247" s="28">
        <v>642585000</v>
      </c>
      <c r="AE5247" s="28">
        <v>3476654000</v>
      </c>
      <c r="AF5247" s="28">
        <v>104110000</v>
      </c>
      <c r="AG5247" s="11"/>
    </row>
    <row r="5248">
      <c r="A5248" s="7" t="s">
        <v>6863</v>
      </c>
      <c r="B5248" s="5" t="s">
        <v>14824</v>
      </c>
      <c r="C5248" s="5" t="s">
        <v>22532</v>
      </c>
      <c r="D5248" s="5" t="str">
        <v>623010246880</v>
      </c>
      <c r="E5248" s="0" t="e">
        <f>+7 (4912) 342034
+7 (4912) 343031
+7 (4912) 702010
+7 (4912) 331752
+7 (4912) 343024
+7 (4912) 343036
+7 (4912) 343168
+7 (4912) 343407
+7 (4912) 343704
+7 (4912) 351118
+7 (4912) 359770
+7 (4912) 373707
+7 (4912) 377104
+7 (4912) 551135
+7 (4912) 763304</f>
        <v>#NAME?</v>
      </c>
      <c r="F5248" s="5" t="s">
        <v>40857</v>
      </c>
      <c r="G5248" s="5" t="s">
        <v>40858</v>
      </c>
      <c r="H5248" s="26">
        <v>30</v>
      </c>
      <c r="I5248" s="5" t="s">
        <v>40859</v>
      </c>
      <c r="J5248" s="5" t="s">
        <v>30678</v>
      </c>
      <c r="K5248" s="5" t="s">
        <v>344</v>
      </c>
      <c r="L5248" s="5"/>
      <c r="M5248" s="27">
        <v>401622302</v>
      </c>
      <c r="N5248" s="5" t="s">
        <v>57300</v>
      </c>
      <c r="O5248" s="5" t="str">
        <v>6227000888</v>
      </c>
      <c r="P5248" s="27"/>
      <c r="Q5248" s="5" t="s">
        <v>57301</v>
      </c>
      <c r="R5248" s="5"/>
      <c r="S5248" s="5" t="s">
        <v>49747</v>
      </c>
      <c r="T5248" s="28">
        <v>1315984000</v>
      </c>
      <c r="U5248" s="28"/>
      <c r="V5248" s="28">
        <v>1702772000</v>
      </c>
      <c r="W5248" s="28">
        <v>100000</v>
      </c>
      <c r="X5248" s="28">
        <v>232506000</v>
      </c>
      <c r="Y5248" s="28">
        <v>3386869000</v>
      </c>
      <c r="Z5248" s="28">
        <v>-100562000</v>
      </c>
      <c r="AA5248" s="28">
        <v>561000000</v>
      </c>
      <c r="AB5248" s="28">
        <v>101351000</v>
      </c>
      <c r="AC5248" s="28">
        <v>1276063000</v>
      </c>
      <c r="AD5248" s="28">
        <v>1563558000</v>
      </c>
      <c r="AE5248" s="28">
        <v>5422207000</v>
      </c>
      <c r="AF5248" s="28">
        <v>276000</v>
      </c>
      <c r="AG5248" s="11"/>
    </row>
    <row r="5249">
      <c r="A5249" s="7" t="s">
        <v>6864</v>
      </c>
      <c r="B5249" s="5" t="s">
        <v>14825</v>
      </c>
      <c r="C5249" s="5" t="s">
        <v>22533</v>
      </c>
      <c r="D5249" s="5" t="str">
        <v>390601703300</v>
      </c>
      <c r="E5249" s="0" t="e">
        <f>+7 (401) 2352035
+7 (401) 2352036
+7 (401) 2353236
+7 (401) 2352033</f>
        <v>#NAME?</v>
      </c>
      <c r="F5249" s="5" t="s">
        <v>40860</v>
      </c>
      <c r="G5249" s="5"/>
      <c r="H5249" s="26">
        <v>6</v>
      </c>
      <c r="I5249" s="5" t="s">
        <v>40861</v>
      </c>
      <c r="J5249" s="5" t="s">
        <v>27115</v>
      </c>
      <c r="K5249" s="5" t="s">
        <v>344</v>
      </c>
      <c r="L5249" s="5" t="s">
        <v>40862</v>
      </c>
      <c r="M5249" s="27"/>
      <c r="N5249" s="5" t="s">
        <v>57302</v>
      </c>
      <c r="O5249" s="5" t="str">
        <v>3906343965</v>
      </c>
      <c r="P5249" s="27">
        <v>10000</v>
      </c>
      <c r="Q5249" s="5"/>
      <c r="R5249" s="5"/>
      <c r="S5249" s="5" t="s">
        <v>50936</v>
      </c>
      <c r="T5249" s="28">
        <v>11320000</v>
      </c>
      <c r="U5249" s="28"/>
      <c r="V5249" s="28">
        <v>35797000</v>
      </c>
      <c r="W5249" s="28"/>
      <c r="X5249" s="28">
        <v>10234000</v>
      </c>
      <c r="Y5249" s="28">
        <v>87701000</v>
      </c>
      <c r="Z5249" s="28">
        <v>11438000</v>
      </c>
      <c r="AA5249" s="28"/>
      <c r="AB5249" s="28">
        <v>37506000</v>
      </c>
      <c r="AC5249" s="28">
        <v>67071000</v>
      </c>
      <c r="AD5249" s="28">
        <v>11448000</v>
      </c>
      <c r="AE5249" s="28">
        <v>3086820000</v>
      </c>
      <c r="AF5249" s="28">
        <v>2097000</v>
      </c>
      <c r="AG5249" s="11"/>
    </row>
    <row r="5250">
      <c r="A5250" s="7" t="s">
        <v>6865</v>
      </c>
      <c r="B5250" s="5" t="s">
        <v>14826</v>
      </c>
      <c r="C5250" s="5" t="s">
        <v>22534</v>
      </c>
      <c r="D5250" s="5" t="str">
        <v>380104209535</v>
      </c>
      <c r="E5250" s="0" t="e">
        <f>+7 (343) 2904053
+7 (3955) 517090
+7 (3955) 586220
+7 (3955) 617510
+7 (3955) 617550</f>
        <v>#NAME?</v>
      </c>
      <c r="F5250" s="5" t="s">
        <v>40863</v>
      </c>
      <c r="G5250" s="5"/>
      <c r="H5250" s="26">
        <v>14</v>
      </c>
      <c r="I5250" s="5" t="s">
        <v>40864</v>
      </c>
      <c r="J5250" s="5" t="s">
        <v>373</v>
      </c>
      <c r="K5250" s="5" t="s">
        <v>344</v>
      </c>
      <c r="L5250" s="5" t="s">
        <v>40865</v>
      </c>
      <c r="M5250" s="27">
        <v>9882363</v>
      </c>
      <c r="N5250" s="5" t="s">
        <v>57303</v>
      </c>
      <c r="O5250" s="5" t="str">
        <v>3801101359</v>
      </c>
      <c r="P5250" s="27">
        <v>10000</v>
      </c>
      <c r="Q5250" s="5" t="s">
        <v>57304</v>
      </c>
      <c r="R5250" s="5"/>
      <c r="S5250" s="5" t="s">
        <v>57305</v>
      </c>
      <c r="T5250" s="28">
        <v>9180000</v>
      </c>
      <c r="U5250" s="28"/>
      <c r="V5250" s="28">
        <v>915556000</v>
      </c>
      <c r="W5250" s="28">
        <v>50000000</v>
      </c>
      <c r="X5250" s="28">
        <v>41009000</v>
      </c>
      <c r="Y5250" s="28">
        <v>1035425000</v>
      </c>
      <c r="Z5250" s="28">
        <v>194479000</v>
      </c>
      <c r="AA5250" s="28"/>
      <c r="AB5250" s="28">
        <v>110000000</v>
      </c>
      <c r="AC5250" s="28">
        <v>839412000</v>
      </c>
      <c r="AD5250" s="28">
        <v>194489000</v>
      </c>
      <c r="AE5250" s="28">
        <v>9356658000</v>
      </c>
      <c r="AF5250" s="28">
        <v>139265000</v>
      </c>
      <c r="AG5250" s="11"/>
    </row>
    <row r="5251">
      <c r="A5251" s="7" t="s">
        <v>6866</v>
      </c>
      <c r="B5251" s="5" t="s">
        <v>14827</v>
      </c>
      <c r="C5251" s="5" t="s">
        <v>22535</v>
      </c>
      <c r="D5251" s="5" t="str">
        <v>590405256690</v>
      </c>
      <c r="E5251" s="0" t="e">
        <f>+7 (499) 5766596
+7 (499) 7774742
+7 (985) 9917730
+7 (3955) 572940
+7 (495) 4284096
+7 (495) 5766596
+7 (495) 7774742
+7 (84661) 20447</f>
        <v>#NAME?</v>
      </c>
      <c r="F5251" s="5" t="s">
        <v>40866</v>
      </c>
      <c r="G5251" s="5" t="s">
        <v>40867</v>
      </c>
      <c r="H5251" s="26">
        <v>19</v>
      </c>
      <c r="I5251" s="5" t="s">
        <v>40868</v>
      </c>
      <c r="J5251" s="5" t="s">
        <v>26623</v>
      </c>
      <c r="K5251" s="5" t="s">
        <v>344</v>
      </c>
      <c r="L5251" s="5" t="s">
        <v>40869</v>
      </c>
      <c r="M5251" s="27">
        <v>163477347</v>
      </c>
      <c r="N5251" s="5" t="s">
        <v>57306</v>
      </c>
      <c r="O5251" s="5" t="str">
        <v>7706525041</v>
      </c>
      <c r="P5251" s="27">
        <v>5010000</v>
      </c>
      <c r="Q5251" s="5" t="s">
        <v>57307</v>
      </c>
      <c r="R5251" s="5"/>
      <c r="S5251" s="5" t="s">
        <v>51433</v>
      </c>
      <c r="T5251" s="28">
        <v>163852000</v>
      </c>
      <c r="U5251" s="28">
        <v>3010704000</v>
      </c>
      <c r="V5251" s="28">
        <v>4872680000</v>
      </c>
      <c r="W5251" s="28">
        <v>10000000000</v>
      </c>
      <c r="X5251" s="28">
        <v>29591938000</v>
      </c>
      <c r="Y5251" s="28">
        <v>47938663000</v>
      </c>
      <c r="Z5251" s="28">
        <v>37478684000</v>
      </c>
      <c r="AA5251" s="28">
        <v>60422000</v>
      </c>
      <c r="AB5251" s="28">
        <v>19752000</v>
      </c>
      <c r="AC5251" s="28">
        <v>11257977000</v>
      </c>
      <c r="AD5251" s="28">
        <v>36602835000</v>
      </c>
      <c r="AE5251" s="28">
        <v>125669503000</v>
      </c>
      <c r="AF5251" s="28">
        <v>6877627000</v>
      </c>
      <c r="AG5251" s="11"/>
    </row>
    <row r="5252">
      <c r="A5252" s="7" t="s">
        <v>6867</v>
      </c>
      <c r="B5252" s="5" t="s">
        <v>14828</v>
      </c>
      <c r="C5252" s="5" t="s">
        <v>22536</v>
      </c>
      <c r="D5252" s="5" t="str">
        <v>782064120530</v>
      </c>
      <c r="F5252" s="5"/>
      <c r="G5252" s="5"/>
      <c r="H5252" s="26">
        <v>6</v>
      </c>
      <c r="I5252" s="5" t="s">
        <v>40870</v>
      </c>
      <c r="J5252" s="5" t="s">
        <v>26918</v>
      </c>
      <c r="K5252" s="5" t="s">
        <v>344</v>
      </c>
      <c r="L5252" s="5"/>
      <c r="M5252" s="27">
        <v>973700</v>
      </c>
      <c r="N5252" s="5"/>
      <c r="O5252" s="5" t="str">
        <v>7702410900</v>
      </c>
      <c r="P5252" s="27">
        <v>10000</v>
      </c>
      <c r="Q5252" s="5"/>
      <c r="R5252" s="5" t="s">
        <v>50504</v>
      </c>
      <c r="S5252" s="5" t="s">
        <v>49121</v>
      </c>
      <c r="T5252" s="28">
        <v>150818000</v>
      </c>
      <c r="U5252" s="28">
        <v>1162000</v>
      </c>
      <c r="V5252" s="28">
        <v>1894609000</v>
      </c>
      <c r="W5252" s="28">
        <v>35000000</v>
      </c>
      <c r="X5252" s="28">
        <v>117569000</v>
      </c>
      <c r="Y5252" s="28">
        <v>2786789000</v>
      </c>
      <c r="Z5252" s="28">
        <v>18827000</v>
      </c>
      <c r="AA5252" s="28"/>
      <c r="AB5252" s="28"/>
      <c r="AC5252" s="28">
        <v>2767451000</v>
      </c>
      <c r="AD5252" s="28">
        <v>19337000</v>
      </c>
      <c r="AE5252" s="28">
        <v>3117140000</v>
      </c>
      <c r="AF5252" s="28">
        <v>117164000</v>
      </c>
      <c r="AG5252" s="11"/>
    </row>
    <row r="5253">
      <c r="A5253" s="7" t="s">
        <v>6868</v>
      </c>
      <c r="B5253" s="5" t="s">
        <v>14829</v>
      </c>
      <c r="C5253" s="5" t="s">
        <v>22536</v>
      </c>
      <c r="D5253" s="5" t="str">
        <v>782064120530</v>
      </c>
      <c r="E5253" s="0" t="e">
        <f>+7 (495) 7925073
+7 (39565) 60602
+7 (495) 6627133
+7 (495) 7925048
+7 (927) 7613499</f>
        <v>#NAME?</v>
      </c>
      <c r="F5253" s="5" t="s">
        <v>40871</v>
      </c>
      <c r="G5253" s="5" t="s">
        <v>40872</v>
      </c>
      <c r="H5253" s="26">
        <v>19</v>
      </c>
      <c r="I5253" s="5"/>
      <c r="J5253" s="5" t="s">
        <v>26607</v>
      </c>
      <c r="K5253" s="5" t="s">
        <v>344</v>
      </c>
      <c r="L5253" s="5" t="s">
        <v>40873</v>
      </c>
      <c r="M5253" s="27">
        <v>47885262</v>
      </c>
      <c r="N5253" s="5" t="s">
        <v>57308</v>
      </c>
      <c r="O5253" s="5" t="str">
        <v>7703508520</v>
      </c>
      <c r="P5253" s="27">
        <v>7500000000</v>
      </c>
      <c r="Q5253" s="5" t="s">
        <v>49057</v>
      </c>
      <c r="R5253" s="5" t="s">
        <v>57309</v>
      </c>
      <c r="S5253" s="5" t="s">
        <v>57310</v>
      </c>
      <c r="T5253" s="28">
        <v>30112592000</v>
      </c>
      <c r="U5253" s="28">
        <v>11609661000</v>
      </c>
      <c r="V5253" s="28">
        <v>6549422000</v>
      </c>
      <c r="W5253" s="28">
        <v>691886000</v>
      </c>
      <c r="X5253" s="28">
        <v>3721472000</v>
      </c>
      <c r="Y5253" s="28">
        <v>56982873000</v>
      </c>
      <c r="Z5253" s="28">
        <v>24280822000</v>
      </c>
      <c r="AA5253" s="28">
        <v>21060822000</v>
      </c>
      <c r="AB5253" s="28">
        <v>499345000</v>
      </c>
      <c r="AC5253" s="28">
        <v>3377266000</v>
      </c>
      <c r="AD5253" s="28">
        <v>32047483000</v>
      </c>
      <c r="AE5253" s="28">
        <v>63105017000</v>
      </c>
      <c r="AF5253" s="28">
        <v>18291493000</v>
      </c>
      <c r="AG5253" s="11"/>
    </row>
    <row r="5254">
      <c r="A5254" s="7" t="s">
        <v>6869</v>
      </c>
      <c r="B5254" s="5" t="s">
        <v>10556</v>
      </c>
      <c r="C5254" s="5" t="s">
        <v>22537</v>
      </c>
      <c r="D5254" s="5" t="str">
        <v>860502574440</v>
      </c>
      <c r="E5254" s="0" t="e">
        <f>+7 (341) 2485913
+7 (3412) 606865
+7 (3412) 750898
+7 (3412) 911635
+7 (926) 7492016</f>
        <v>#NAME?</v>
      </c>
      <c r="F5254" s="5" t="s">
        <v>40874</v>
      </c>
      <c r="G5254" s="5"/>
      <c r="H5254" s="26">
        <v>19.5</v>
      </c>
      <c r="I5254" s="5" t="s">
        <v>40875</v>
      </c>
      <c r="J5254" s="5" t="s">
        <v>26607</v>
      </c>
      <c r="K5254" s="5" t="s">
        <v>355</v>
      </c>
      <c r="L5254" s="5" t="s">
        <v>40876</v>
      </c>
      <c r="M5254" s="27"/>
      <c r="N5254" s="5"/>
      <c r="O5254" s="5" t="str">
        <v>1835057023</v>
      </c>
      <c r="P5254" s="27">
        <v>762345611</v>
      </c>
      <c r="Q5254" s="5"/>
      <c r="R5254" s="5"/>
      <c r="S5254" s="5" t="s">
        <v>49053</v>
      </c>
      <c r="T5254" s="28">
        <v>2523894000</v>
      </c>
      <c r="U5254" s="28">
        <v>5983232000</v>
      </c>
      <c r="V5254" s="28">
        <v>10609979000</v>
      </c>
      <c r="W5254" s="28">
        <v>7252985000</v>
      </c>
      <c r="X5254" s="28">
        <v>173000</v>
      </c>
      <c r="Y5254" s="28">
        <v>32579883000</v>
      </c>
      <c r="Z5254" s="28">
        <v>23855155000</v>
      </c>
      <c r="AA5254" s="28"/>
      <c r="AB5254" s="28"/>
      <c r="AC5254" s="28">
        <v>6346567000</v>
      </c>
      <c r="AD5254" s="28">
        <v>24617501000</v>
      </c>
      <c r="AE5254" s="28">
        <v>20531348000</v>
      </c>
      <c r="AF5254" s="28">
        <v>35406000</v>
      </c>
      <c r="AG5254" s="11"/>
    </row>
    <row r="5255">
      <c r="A5255" s="7" t="s">
        <v>6870</v>
      </c>
      <c r="B5255" s="5" t="s">
        <v>14830</v>
      </c>
      <c r="C5255" s="5" t="s">
        <v>22538</v>
      </c>
      <c r="D5255" s="5" t="str">
        <v>151602871957</v>
      </c>
      <c r="E5255" s="0" t="e">
        <f>+7 (495) 9563205
+7 (926) 9924242</f>
        <v>#NAME?</v>
      </c>
      <c r="F5255" s="5"/>
      <c r="G5255" s="5"/>
      <c r="H5255" s="26">
        <v>14.5</v>
      </c>
      <c r="I5255" s="5" t="s">
        <v>40877</v>
      </c>
      <c r="J5255" s="5" t="s">
        <v>678</v>
      </c>
      <c r="K5255" s="5" t="s">
        <v>344</v>
      </c>
      <c r="L5255" s="5" t="s">
        <v>40878</v>
      </c>
      <c r="M5255" s="27">
        <v>49925</v>
      </c>
      <c r="N5255" s="5"/>
      <c r="O5255" s="5" t="str">
        <v>7722655841</v>
      </c>
      <c r="P5255" s="27">
        <v>93287400</v>
      </c>
      <c r="Q5255" s="5" t="s">
        <v>49057</v>
      </c>
      <c r="R5255" s="5"/>
      <c r="S5255" s="5" t="s">
        <v>50822</v>
      </c>
      <c r="T5255" s="28">
        <v>99782000</v>
      </c>
      <c r="U5255" s="28"/>
      <c r="V5255" s="28">
        <v>887842000</v>
      </c>
      <c r="W5255" s="28">
        <v>60320000</v>
      </c>
      <c r="X5255" s="28">
        <v>9079000</v>
      </c>
      <c r="Y5255" s="28">
        <v>1271979000</v>
      </c>
      <c r="Z5255" s="28">
        <v>89014000</v>
      </c>
      <c r="AA5255" s="28">
        <v>15053000</v>
      </c>
      <c r="AB5255" s="28">
        <v>441442000</v>
      </c>
      <c r="AC5255" s="28">
        <v>1067003000</v>
      </c>
      <c r="AD5255" s="28">
        <v>182301000</v>
      </c>
      <c r="AE5255" s="28">
        <v>5088429000</v>
      </c>
      <c r="AF5255" s="28">
        <v>63383000</v>
      </c>
      <c r="AG5255" s="11"/>
    </row>
    <row r="5256">
      <c r="A5256" s="7" t="s">
        <v>6871</v>
      </c>
      <c r="B5256" s="5" t="s">
        <v>14831</v>
      </c>
      <c r="C5256" s="5" t="s">
        <v>22539</v>
      </c>
      <c r="D5256" s="5" t="str">
        <v>645503733157</v>
      </c>
      <c r="E5256" s="0" t="e">
        <f>+7 (845) 3729907
+7 (845) 3796256
+7 (84535) 14677
+7 (84535) 15268
+7 (84535) 15410
+7 (84537) 96073
+7 (84537) 96098
+7 (84537) 96261</f>
        <v>#NAME?</v>
      </c>
      <c r="F5256" s="5"/>
      <c r="G5256" s="5" t="s">
        <v>40879</v>
      </c>
      <c r="H5256" s="26">
        <v>9.5</v>
      </c>
      <c r="I5256" s="5" t="s">
        <v>40880</v>
      </c>
      <c r="J5256" s="5" t="s">
        <v>40881</v>
      </c>
      <c r="K5256" s="5" t="s">
        <v>380</v>
      </c>
      <c r="L5256" s="5" t="s">
        <v>40882</v>
      </c>
      <c r="M5256" s="27">
        <v>25898915</v>
      </c>
      <c r="N5256" s="5"/>
      <c r="O5256" s="5" t="str">
        <v>6449069048</v>
      </c>
      <c r="P5256" s="27">
        <v>104774000</v>
      </c>
      <c r="Q5256" s="5" t="s">
        <v>49009</v>
      </c>
      <c r="R5256" s="5"/>
      <c r="S5256" s="5" t="s">
        <v>49066</v>
      </c>
      <c r="T5256" s="28">
        <v>1996190000</v>
      </c>
      <c r="U5256" s="28"/>
      <c r="V5256" s="28">
        <v>421685000</v>
      </c>
      <c r="W5256" s="28"/>
      <c r="X5256" s="28">
        <v>584141000</v>
      </c>
      <c r="Y5256" s="28">
        <v>4330195000</v>
      </c>
      <c r="Z5256" s="28">
        <v>307372000</v>
      </c>
      <c r="AA5256" s="28"/>
      <c r="AB5256" s="28">
        <v>2881255000</v>
      </c>
      <c r="AC5256" s="28">
        <v>3472060000</v>
      </c>
      <c r="AD5256" s="28">
        <v>670742000</v>
      </c>
      <c r="AE5256" s="28">
        <v>3593395000</v>
      </c>
      <c r="AF5256" s="28">
        <v>-960112000</v>
      </c>
      <c r="AG5256" s="11"/>
    </row>
    <row r="5257">
      <c r="A5257" s="7" t="s">
        <v>6872</v>
      </c>
      <c r="B5257" s="5" t="s">
        <v>14832</v>
      </c>
      <c r="C5257" s="5" t="s">
        <v>22540</v>
      </c>
      <c r="D5257" s="5" t="str">
        <v>781425325857</v>
      </c>
      <c r="E5257" s="0" t="e">
        <f>+7 (495) 6265825
+7 (495) 9357190
+7 (495) 5600560
+7 (495) 5609065
+7 (495) 5609112
+7 (495) 5609114
+7 (495) 5609115
+7 (495) 5609324
+7 (495) 5609362
+7 (495) 5609478
+7 (495) 5609500
+7 (495) 5609560
+7 (495) 5609999
+7 (495) 7812587
+7 (495) 9357193</f>
        <v>#NAME?</v>
      </c>
      <c r="F5257" s="5" t="s">
        <v>40883</v>
      </c>
      <c r="G5257" s="5" t="s">
        <v>40884</v>
      </c>
      <c r="H5257" s="26">
        <v>30</v>
      </c>
      <c r="I5257" s="5" t="s">
        <v>40885</v>
      </c>
      <c r="J5257" s="5" t="s">
        <v>25559</v>
      </c>
      <c r="K5257" s="5" t="s">
        <v>344</v>
      </c>
      <c r="L5257" s="5" t="s">
        <v>40886</v>
      </c>
      <c r="M5257" s="27">
        <v>48385</v>
      </c>
      <c r="N5257" s="5" t="s">
        <v>57311</v>
      </c>
      <c r="O5257" s="5" t="str">
        <v>7706092944</v>
      </c>
      <c r="P5257" s="27">
        <v>20000000</v>
      </c>
      <c r="Q5257" s="5" t="s">
        <v>49009</v>
      </c>
      <c r="R5257" s="5"/>
      <c r="S5257" s="5" t="s">
        <v>49028</v>
      </c>
      <c r="T5257" s="28">
        <v>180945000</v>
      </c>
      <c r="U5257" s="28">
        <v>2043792000</v>
      </c>
      <c r="V5257" s="28">
        <v>1748025000</v>
      </c>
      <c r="W5257" s="28">
        <v>1616819000</v>
      </c>
      <c r="X5257" s="28">
        <v>7057217000</v>
      </c>
      <c r="Y5257" s="28">
        <v>15339413000</v>
      </c>
      <c r="Z5257" s="28">
        <v>3188638000</v>
      </c>
      <c r="AA5257" s="28"/>
      <c r="AB5257" s="28">
        <v>2046075000</v>
      </c>
      <c r="AC5257" s="28">
        <v>5633806000</v>
      </c>
      <c r="AD5257" s="28">
        <v>9705607000</v>
      </c>
      <c r="AE5257" s="28">
        <v>18550672000</v>
      </c>
      <c r="AF5257" s="28">
        <v>-1179576000</v>
      </c>
      <c r="AG5257" s="11"/>
    </row>
    <row r="5258">
      <c r="A5258" s="7" t="s">
        <v>6873</v>
      </c>
      <c r="B5258" s="5" t="s">
        <v>14833</v>
      </c>
      <c r="C5258" s="5" t="s">
        <v>22541</v>
      </c>
      <c r="D5258" s="5" t="str">
        <v>616510643891</v>
      </c>
      <c r="E5258" s="0" t="e">
        <f>+7 (800) 2009396
+7 (812) 4014441
+7 (8632) 119396
+7 (8632) 119399
+7 (903) 4858885</f>
        <v>#NAME?</v>
      </c>
      <c r="F5258" s="5" t="s">
        <v>40887</v>
      </c>
      <c r="G5258" s="5" t="s">
        <v>40888</v>
      </c>
      <c r="H5258" s="26">
        <v>13</v>
      </c>
      <c r="I5258" s="5" t="s">
        <v>40889</v>
      </c>
      <c r="J5258" s="5" t="s">
        <v>25612</v>
      </c>
      <c r="K5258" s="5" t="s">
        <v>344</v>
      </c>
      <c r="L5258" s="5" t="s">
        <v>40890</v>
      </c>
      <c r="M5258" s="27"/>
      <c r="N5258" s="5"/>
      <c r="O5258" s="5" t="str">
        <v>6168030944</v>
      </c>
      <c r="P5258" s="27">
        <v>10000</v>
      </c>
      <c r="Q5258" s="5" t="s">
        <v>49059</v>
      </c>
      <c r="R5258" s="5"/>
      <c r="S5258" s="5" t="s">
        <v>49110</v>
      </c>
      <c r="T5258" s="28">
        <v>73842000</v>
      </c>
      <c r="U5258" s="28">
        <v>1059000</v>
      </c>
      <c r="V5258" s="28">
        <v>332600000</v>
      </c>
      <c r="W5258" s="28">
        <v>528802000</v>
      </c>
      <c r="X5258" s="28">
        <v>12507000</v>
      </c>
      <c r="Y5258" s="28">
        <v>1531643000</v>
      </c>
      <c r="Z5258" s="28">
        <v>915051000</v>
      </c>
      <c r="AA5258" s="28">
        <v>4313000</v>
      </c>
      <c r="AB5258" s="28"/>
      <c r="AC5258" s="28">
        <v>540660000</v>
      </c>
      <c r="AD5258" s="28">
        <v>915061000</v>
      </c>
      <c r="AE5258" s="28">
        <v>4086216000</v>
      </c>
      <c r="AF5258" s="28">
        <v>388292000</v>
      </c>
      <c r="AG5258" s="11"/>
    </row>
    <row r="5259">
      <c r="A5259" s="7" t="s">
        <v>6874</v>
      </c>
      <c r="B5259" s="5" t="s">
        <v>14834</v>
      </c>
      <c r="C5259" s="5" t="s">
        <v>22542</v>
      </c>
      <c r="D5259" s="5" t="str">
        <v>311700747309</v>
      </c>
      <c r="E5259" s="0" t="e">
        <f>+7 (47238) 55302
+7 (47238) 56035
+7 (47238) 56036
+7 (47238) 56287
+7 (47238) 56298</f>
        <v>#NAME?</v>
      </c>
      <c r="F5259" s="5" t="s">
        <v>40891</v>
      </c>
      <c r="G5259" s="5"/>
      <c r="H5259" s="26">
        <v>31</v>
      </c>
      <c r="I5259" s="5" t="s">
        <v>40892</v>
      </c>
      <c r="J5259" s="5" t="s">
        <v>25231</v>
      </c>
      <c r="K5259" s="5" t="s">
        <v>380</v>
      </c>
      <c r="L5259" s="5"/>
      <c r="M5259" s="27"/>
      <c r="N5259" s="5"/>
      <c r="O5259" s="5" t="str">
        <v>3117005905</v>
      </c>
      <c r="P5259" s="27">
        <v>57408951</v>
      </c>
      <c r="Q5259" s="5" t="s">
        <v>49217</v>
      </c>
      <c r="R5259" s="5" t="s">
        <v>57312</v>
      </c>
      <c r="S5259" s="5" t="s">
        <v>57313</v>
      </c>
      <c r="T5259" s="28">
        <v>3060356000</v>
      </c>
      <c r="U5259" s="28"/>
      <c r="V5259" s="28">
        <v>418846000</v>
      </c>
      <c r="W5259" s="28"/>
      <c r="X5259" s="28">
        <v>817000</v>
      </c>
      <c r="Y5259" s="28">
        <v>5869430000</v>
      </c>
      <c r="Z5259" s="28">
        <v>189801000</v>
      </c>
      <c r="AA5259" s="28">
        <v>1924164000</v>
      </c>
      <c r="AB5259" s="28">
        <v>1435544000</v>
      </c>
      <c r="AC5259" s="28">
        <v>1977809000</v>
      </c>
      <c r="AD5259" s="28">
        <v>1786420000</v>
      </c>
      <c r="AE5259" s="28">
        <v>5902961000</v>
      </c>
      <c r="AF5259" s="28">
        <v>1397000</v>
      </c>
      <c r="AG5259" s="11"/>
    </row>
    <row r="5260">
      <c r="A5260" s="7" t="s">
        <v>6875</v>
      </c>
      <c r="B5260" s="5" t="s">
        <v>14835</v>
      </c>
      <c r="C5260" s="5" t="s">
        <v>22543</v>
      </c>
      <c r="D5260" s="5" t="str">
        <v>710405706061</v>
      </c>
      <c r="E5260" s="0" t="e">
        <f>+7 (918) 9171789
+7 (800) 7077722
+7 (8622) 419069</f>
        <v>#NAME?</v>
      </c>
      <c r="F5260" s="5" t="s">
        <v>40893</v>
      </c>
      <c r="G5260" s="5"/>
      <c r="H5260" s="26">
        <v>23</v>
      </c>
      <c r="I5260" s="5" t="s">
        <v>40894</v>
      </c>
      <c r="J5260" s="5" t="s">
        <v>34211</v>
      </c>
      <c r="K5260" s="5" t="s">
        <v>355</v>
      </c>
      <c r="L5260" s="5"/>
      <c r="M5260" s="27">
        <v>122781762</v>
      </c>
      <c r="N5260" s="5" t="s">
        <v>57314</v>
      </c>
      <c r="O5260" s="5" t="str">
        <v>5007035121</v>
      </c>
      <c r="P5260" s="27">
        <v>717205000</v>
      </c>
      <c r="Q5260" s="5" t="s">
        <v>49009</v>
      </c>
      <c r="R5260" s="5" t="s">
        <v>57315</v>
      </c>
      <c r="S5260" s="5" t="s">
        <v>49487</v>
      </c>
      <c r="T5260" s="28">
        <v>539107000</v>
      </c>
      <c r="U5260" s="28"/>
      <c r="V5260" s="28">
        <v>291413000</v>
      </c>
      <c r="W5260" s="28"/>
      <c r="X5260" s="28">
        <v>1210403000</v>
      </c>
      <c r="Y5260" s="28">
        <v>7314936000</v>
      </c>
      <c r="Z5260" s="28">
        <v>-26518357000</v>
      </c>
      <c r="AA5260" s="28">
        <v>21637343000</v>
      </c>
      <c r="AB5260" s="28">
        <v>3082599000</v>
      </c>
      <c r="AC5260" s="28">
        <v>3453684000</v>
      </c>
      <c r="AD5260" s="28">
        <v>-17853088000</v>
      </c>
      <c r="AE5260" s="28">
        <v>3939128000</v>
      </c>
      <c r="AF5260" s="28">
        <v>-12500802000</v>
      </c>
      <c r="AG5260" s="11"/>
    </row>
    <row r="5261">
      <c r="A5261" s="7" t="s">
        <v>6876</v>
      </c>
      <c r="B5261" s="5" t="s">
        <v>14836</v>
      </c>
      <c r="C5261" s="5" t="s">
        <v>22544</v>
      </c>
      <c r="D5261" s="5" t="str">
        <v>770203240643</v>
      </c>
      <c r="E5261" s="0" t="e">
        <f>+7 (495) 1506975
+7 (499) 7491068
+7 (499) 7491069
+7 (903) 9787766</f>
        <v>#NAME?</v>
      </c>
      <c r="F5261" s="5" t="s">
        <v>40895</v>
      </c>
      <c r="G5261" s="5"/>
      <c r="H5261" s="26">
        <v>8.5</v>
      </c>
      <c r="I5261" s="5" t="s">
        <v>40896</v>
      </c>
      <c r="J5261" s="5" t="s">
        <v>467</v>
      </c>
      <c r="K5261" s="5" t="s">
        <v>355</v>
      </c>
      <c r="L5261" s="5" t="s">
        <v>40897</v>
      </c>
      <c r="M5261" s="27">
        <v>1671672513</v>
      </c>
      <c r="N5261" s="5" t="s">
        <v>57316</v>
      </c>
      <c r="O5261" s="5" t="str">
        <v>7706810472</v>
      </c>
      <c r="P5261" s="27">
        <v>1010000</v>
      </c>
      <c r="Q5261" s="5" t="s">
        <v>447</v>
      </c>
      <c r="R5261" s="5"/>
      <c r="S5261" s="5" t="s">
        <v>57318</v>
      </c>
      <c r="T5261" s="28">
        <v>5435203000</v>
      </c>
      <c r="U5261" s="28"/>
      <c r="V5261" s="28">
        <v>15391569000</v>
      </c>
      <c r="W5261" s="28">
        <v>73184000</v>
      </c>
      <c r="X5261" s="28">
        <v>4857808000</v>
      </c>
      <c r="Y5261" s="28">
        <v>31771839000</v>
      </c>
      <c r="Z5261" s="28">
        <v>1327269000</v>
      </c>
      <c r="AA5261" s="28">
        <v>700000000</v>
      </c>
      <c r="AB5261" s="28">
        <v>305837000</v>
      </c>
      <c r="AC5261" s="28">
        <v>28362017000</v>
      </c>
      <c r="AD5261" s="28">
        <v>1328279000</v>
      </c>
      <c r="AE5261" s="28">
        <v>30707994000</v>
      </c>
      <c r="AF5261" s="28">
        <v>830138000</v>
      </c>
      <c r="AG5261" s="11"/>
    </row>
    <row r="5262">
      <c r="A5262" s="7" t="s">
        <v>6877</v>
      </c>
      <c r="B5262" s="5" t="s">
        <v>14837</v>
      </c>
      <c r="C5262" s="5" t="s">
        <v>22545</v>
      </c>
      <c r="D5262" s="5" t="str">
        <v>233401888707</v>
      </c>
      <c r="F5262" s="5" t="s">
        <v>40898</v>
      </c>
      <c r="G5262" s="5"/>
      <c r="H5262" s="26">
        <v>31</v>
      </c>
      <c r="I5262" s="5"/>
      <c r="J5262" s="5" t="s">
        <v>841</v>
      </c>
      <c r="K5262" s="5" t="s">
        <v>344</v>
      </c>
      <c r="L5262" s="5" t="s">
        <v>40899</v>
      </c>
      <c r="M5262" s="27"/>
      <c r="N5262" s="5"/>
      <c r="O5262" s="5" t="str">
        <v>2334006686</v>
      </c>
      <c r="P5262" s="27">
        <v>21019506</v>
      </c>
      <c r="Q5262" s="5"/>
      <c r="R5262" s="5"/>
      <c r="S5262" s="5" t="s">
        <v>49425</v>
      </c>
      <c r="T5262" s="28">
        <v>5369856000</v>
      </c>
      <c r="U5262" s="28">
        <v>2985250000</v>
      </c>
      <c r="V5262" s="28">
        <v>587832000</v>
      </c>
      <c r="W5262" s="28">
        <v>1695973000</v>
      </c>
      <c r="X5262" s="28">
        <v>204083000</v>
      </c>
      <c r="Y5262" s="28">
        <v>13540183000</v>
      </c>
      <c r="Z5262" s="28">
        <v>3378232000</v>
      </c>
      <c r="AA5262" s="28">
        <v>6491796000</v>
      </c>
      <c r="AB5262" s="28">
        <v>1686866000</v>
      </c>
      <c r="AC5262" s="28">
        <v>2404998000</v>
      </c>
      <c r="AD5262" s="28">
        <v>3448003000</v>
      </c>
      <c r="AE5262" s="28">
        <v>5402908000</v>
      </c>
      <c r="AF5262" s="28">
        <v>1525542000</v>
      </c>
      <c r="AG5262" s="11"/>
    </row>
    <row r="5263">
      <c r="A5263" s="7" t="s">
        <v>6878</v>
      </c>
      <c r="B5263" s="5" t="s">
        <v>14838</v>
      </c>
      <c r="C5263" s="5" t="s">
        <v>22546</v>
      </c>
      <c r="D5263" s="5" t="str">
        <v>503806432862</v>
      </c>
      <c r="E5263" s="0" t="e">
        <f>+7 (495) 5836242
+7 (495) 5836352
+7 (495) 7289010</f>
        <v>#NAME?</v>
      </c>
      <c r="F5263" s="5" t="s">
        <v>40900</v>
      </c>
      <c r="G5263" s="5"/>
      <c r="H5263" s="26">
        <v>23.5</v>
      </c>
      <c r="I5263" s="5" t="s">
        <v>40901</v>
      </c>
      <c r="J5263" s="5" t="s">
        <v>26503</v>
      </c>
      <c r="K5263" s="5" t="s">
        <v>344</v>
      </c>
      <c r="L5263" s="5" t="s">
        <v>40902</v>
      </c>
      <c r="M5263" s="27"/>
      <c r="N5263" s="5" t="s">
        <v>57319</v>
      </c>
      <c r="O5263" s="5" t="str">
        <v>5029047184</v>
      </c>
      <c r="P5263" s="27">
        <v>80000000</v>
      </c>
      <c r="Q5263" s="5" t="s">
        <v>49021</v>
      </c>
      <c r="R5263" s="5"/>
      <c r="S5263" s="5" t="s">
        <v>57320</v>
      </c>
      <c r="T5263" s="28">
        <v>484715000</v>
      </c>
      <c r="U5263" s="28">
        <v>448212000</v>
      </c>
      <c r="V5263" s="28">
        <v>5563478000</v>
      </c>
      <c r="W5263" s="28"/>
      <c r="X5263" s="28">
        <v>418000</v>
      </c>
      <c r="Y5263" s="28">
        <v>7064548000</v>
      </c>
      <c r="Z5263" s="28">
        <v>1822890000</v>
      </c>
      <c r="AA5263" s="28">
        <v>66023000</v>
      </c>
      <c r="AB5263" s="28">
        <v>551748000</v>
      </c>
      <c r="AC5263" s="28">
        <v>4795727000</v>
      </c>
      <c r="AD5263" s="28">
        <v>1902890000</v>
      </c>
      <c r="AE5263" s="28">
        <v>7241631000</v>
      </c>
      <c r="AF5263" s="28">
        <v>374565000</v>
      </c>
      <c r="AG5263" s="11"/>
    </row>
    <row r="5264">
      <c r="A5264" s="7" t="s">
        <v>6879</v>
      </c>
      <c r="B5264" s="5" t="s">
        <v>14839</v>
      </c>
      <c r="C5264" s="5" t="s">
        <v>22547</v>
      </c>
      <c r="D5264" s="5" t="str">
        <v>340303086240</v>
      </c>
      <c r="E5264" s="0" t="e">
        <f>+7 (904) 4169517</f>
        <v>#NAME?</v>
      </c>
      <c r="F5264" s="5"/>
      <c r="G5264" s="5"/>
      <c r="H5264" s="26">
        <v>5.5</v>
      </c>
      <c r="I5264" s="5" t="s">
        <v>40903</v>
      </c>
      <c r="J5264" s="5" t="s">
        <v>693</v>
      </c>
      <c r="K5264" s="5" t="s">
        <v>355</v>
      </c>
      <c r="L5264" s="5"/>
      <c r="M5264" s="27"/>
      <c r="N5264" s="5"/>
      <c r="O5264" s="5" t="str">
        <v>3444265565</v>
      </c>
      <c r="P5264" s="27">
        <v>10000</v>
      </c>
      <c r="Q5264" s="5" t="s">
        <v>1130</v>
      </c>
      <c r="R5264" s="5"/>
      <c r="S5264" s="5" t="s">
        <v>57321</v>
      </c>
      <c r="T5264" s="28">
        <v>9767000</v>
      </c>
      <c r="U5264" s="28"/>
      <c r="V5264" s="28">
        <v>4710665000</v>
      </c>
      <c r="W5264" s="28">
        <v>412034000</v>
      </c>
      <c r="X5264" s="28">
        <v>10871000</v>
      </c>
      <c r="Y5264" s="28">
        <v>5180487000</v>
      </c>
      <c r="Z5264" s="28">
        <v>14257000</v>
      </c>
      <c r="AA5264" s="28">
        <v>37600000</v>
      </c>
      <c r="AB5264" s="28">
        <v>64083000</v>
      </c>
      <c r="AC5264" s="28">
        <v>5128620000</v>
      </c>
      <c r="AD5264" s="28">
        <v>14267000</v>
      </c>
      <c r="AE5264" s="28">
        <v>3572576000</v>
      </c>
      <c r="AF5264" s="28">
        <v>-12000</v>
      </c>
      <c r="AG5264" s="11"/>
    </row>
    <row r="5265">
      <c r="A5265" s="7" t="s">
        <v>6880</v>
      </c>
      <c r="B5265" s="5" t="s">
        <v>14840</v>
      </c>
      <c r="C5265" s="5" t="s">
        <v>22548</v>
      </c>
      <c r="D5265" s="5" t="str">
        <v>583512191654</v>
      </c>
      <c r="F5265" s="5"/>
      <c r="G5265" s="5" t="s">
        <v>40904</v>
      </c>
      <c r="H5265" s="26">
        <v>4.5</v>
      </c>
      <c r="I5265" s="5" t="s">
        <v>40905</v>
      </c>
      <c r="J5265" s="5" t="s">
        <v>26503</v>
      </c>
      <c r="K5265" s="5" t="s">
        <v>355</v>
      </c>
      <c r="L5265" s="5" t="s">
        <v>40906</v>
      </c>
      <c r="M5265" s="27"/>
      <c r="N5265" s="5"/>
      <c r="O5265" s="5" t="str">
        <v>6318036835</v>
      </c>
      <c r="P5265" s="27">
        <v>80000000</v>
      </c>
      <c r="Q5265" s="5" t="s">
        <v>49021</v>
      </c>
      <c r="R5265" s="5"/>
      <c r="S5265" s="5" t="s">
        <v>57322</v>
      </c>
      <c r="T5265" s="28">
        <v>832085000</v>
      </c>
      <c r="U5265" s="28"/>
      <c r="V5265" s="28">
        <v>3711115000</v>
      </c>
      <c r="W5265" s="28"/>
      <c r="X5265" s="28">
        <v>7589000</v>
      </c>
      <c r="Y5265" s="28">
        <v>4823365000</v>
      </c>
      <c r="Z5265" s="28">
        <v>159420000</v>
      </c>
      <c r="AA5265" s="28"/>
      <c r="AB5265" s="28"/>
      <c r="AC5265" s="28">
        <v>4409678000</v>
      </c>
      <c r="AD5265" s="28">
        <v>413458000</v>
      </c>
      <c r="AE5265" s="28">
        <v>3070983000</v>
      </c>
      <c r="AF5265" s="28">
        <v>80253000</v>
      </c>
      <c r="AG5265" s="11"/>
    </row>
    <row r="5266">
      <c r="A5266" s="7" t="s">
        <v>6881</v>
      </c>
      <c r="B5266" s="5" t="s">
        <v>14841</v>
      </c>
      <c r="C5266" s="5" t="s">
        <v>22549</v>
      </c>
      <c r="D5266" s="5" t="str">
        <v>701741195450</v>
      </c>
      <c r="E5266" s="0" t="e">
        <f>+7 (923) 4247747
+7 (903) 9550092
+7 (913) 8503913</f>
        <v>#NAME?</v>
      </c>
      <c r="F5266" s="5" t="s">
        <v>40907</v>
      </c>
      <c r="G5266" s="5" t="s">
        <v>40908</v>
      </c>
      <c r="H5266" s="26">
        <v>9.5</v>
      </c>
      <c r="I5266" s="5" t="s">
        <v>40909</v>
      </c>
      <c r="J5266" s="5" t="s">
        <v>678</v>
      </c>
      <c r="K5266" s="5" t="s">
        <v>344</v>
      </c>
      <c r="L5266" s="5"/>
      <c r="M5266" s="27"/>
      <c r="N5266" s="5" t="s">
        <v>57323</v>
      </c>
      <c r="O5266" s="5" t="str">
        <v>5402565828</v>
      </c>
      <c r="P5266" s="27">
        <v>10000</v>
      </c>
      <c r="Q5266" s="5"/>
      <c r="R5266" s="5"/>
      <c r="S5266" s="5" t="s">
        <v>49991</v>
      </c>
      <c r="T5266" s="28"/>
      <c r="U5266" s="28"/>
      <c r="V5266" s="28"/>
      <c r="W5266" s="28"/>
      <c r="X5266" s="28">
        <v>5128000</v>
      </c>
      <c r="Y5266" s="28">
        <v>5128000</v>
      </c>
      <c r="Z5266" s="28">
        <v>267000</v>
      </c>
      <c r="AA5266" s="28"/>
      <c r="AB5266" s="28"/>
      <c r="AC5266" s="28">
        <v>4851000</v>
      </c>
      <c r="AD5266" s="28">
        <v>277000</v>
      </c>
      <c r="AE5266" s="28">
        <v>35645792000</v>
      </c>
      <c r="AF5266" s="28">
        <v>267393000</v>
      </c>
      <c r="AG5266" s="11"/>
    </row>
    <row r="5267">
      <c r="A5267" s="7" t="s">
        <v>6882</v>
      </c>
      <c r="B5267" s="5" t="s">
        <v>14842</v>
      </c>
      <c r="C5267" s="5" t="s">
        <v>22550</v>
      </c>
      <c r="D5267" s="5" t="str">
        <v>253804518807</v>
      </c>
      <c r="E5267" s="0" t="e">
        <f>+7 (421) 2221590
+7 (4217) 229140
+7 (4232) 341929
+7 (4232) 450298
+7 (4232) 458402
+7 (4234) 340019
+7 (4234) 343423
+7 (914) 700800
+7 (914) 9774065
+7 (924) 1140242
+7 (4232) 604294
+7 (4234) 342323
+7 (4234) 342675
+7 (4234) 343641
+7 (914) 7010734</f>
        <v>#NAME?</v>
      </c>
      <c r="F5267" s="5" t="s">
        <v>40910</v>
      </c>
      <c r="G5267" s="5" t="s">
        <v>40911</v>
      </c>
      <c r="H5267" s="26">
        <v>5.5</v>
      </c>
      <c r="I5267" s="5" t="s">
        <v>40912</v>
      </c>
      <c r="J5267" s="5" t="s">
        <v>26447</v>
      </c>
      <c r="K5267" s="5" t="s">
        <v>344</v>
      </c>
      <c r="L5267" s="5"/>
      <c r="M5267" s="27"/>
      <c r="N5267" s="5" t="s">
        <v>57324</v>
      </c>
      <c r="O5267" s="5" t="str">
        <v>2543114942</v>
      </c>
      <c r="P5267" s="27">
        <v>210000000</v>
      </c>
      <c r="Q5267" s="5" t="s">
        <v>57325</v>
      </c>
      <c r="R5267" s="5" t="s">
        <v>49671</v>
      </c>
      <c r="S5267" s="5" t="s">
        <v>50936</v>
      </c>
      <c r="T5267" s="28">
        <v>127738000</v>
      </c>
      <c r="U5267" s="28"/>
      <c r="V5267" s="28">
        <v>553690000</v>
      </c>
      <c r="W5267" s="28"/>
      <c r="X5267" s="28">
        <v>20595000</v>
      </c>
      <c r="Y5267" s="28">
        <v>952130000</v>
      </c>
      <c r="Z5267" s="28">
        <v>37002000</v>
      </c>
      <c r="AA5267" s="28"/>
      <c r="AB5267" s="28"/>
      <c r="AC5267" s="28">
        <v>678662000</v>
      </c>
      <c r="AD5267" s="28">
        <v>247002000</v>
      </c>
      <c r="AE5267" s="28">
        <v>4948434000</v>
      </c>
      <c r="AF5267" s="28">
        <v>2399000</v>
      </c>
      <c r="AG5267" s="11"/>
    </row>
    <row r="5268">
      <c r="A5268" s="7" t="s">
        <v>6883</v>
      </c>
      <c r="B5268" s="5" t="s">
        <v>14843</v>
      </c>
      <c r="C5268" s="5" t="s">
        <v>22551</v>
      </c>
      <c r="D5268" s="5" t="str">
        <v>519037907480</v>
      </c>
      <c r="E5268" s="0" t="e">
        <f>+7 (495) 2251525</f>
        <v>#NAME?</v>
      </c>
      <c r="F5268" s="5" t="s">
        <v>40913</v>
      </c>
      <c r="G5268" s="5"/>
      <c r="H5268" s="26">
        <v>16</v>
      </c>
      <c r="I5268" s="5" t="s">
        <v>40914</v>
      </c>
      <c r="J5268" s="5" t="s">
        <v>373</v>
      </c>
      <c r="K5268" s="5" t="s">
        <v>344</v>
      </c>
      <c r="L5268" s="5" t="s">
        <v>40915</v>
      </c>
      <c r="M5268" s="27"/>
      <c r="N5268" s="5"/>
      <c r="O5268" s="5" t="str">
        <v>0277080060</v>
      </c>
      <c r="P5268" s="27">
        <v>40000</v>
      </c>
      <c r="Q5268" s="5" t="s">
        <v>49059</v>
      </c>
      <c r="R5268" s="5"/>
      <c r="S5268" s="5" t="s">
        <v>49752</v>
      </c>
      <c r="T5268" s="28">
        <v>360656000</v>
      </c>
      <c r="U5268" s="28">
        <v>295022000</v>
      </c>
      <c r="V5268" s="28">
        <v>1954063000</v>
      </c>
      <c r="W5268" s="28">
        <v>272888000</v>
      </c>
      <c r="X5268" s="28">
        <v>1284898000</v>
      </c>
      <c r="Y5268" s="28">
        <v>4189372000</v>
      </c>
      <c r="Z5268" s="28">
        <v>1318884000</v>
      </c>
      <c r="AA5268" s="28">
        <v>2063675000</v>
      </c>
      <c r="AB5268" s="28"/>
      <c r="AC5268" s="28">
        <v>803739000</v>
      </c>
      <c r="AD5268" s="28">
        <v>1318924000</v>
      </c>
      <c r="AE5268" s="28">
        <v>4361681000</v>
      </c>
      <c r="AF5268" s="28">
        <v>220301000</v>
      </c>
      <c r="AG5268" s="11"/>
    </row>
    <row r="5269">
      <c r="A5269" s="7" t="s">
        <v>6884</v>
      </c>
      <c r="B5269" s="5" t="s">
        <v>14844</v>
      </c>
      <c r="C5269" s="5" t="s">
        <v>22552</v>
      </c>
      <c r="D5269" s="5" t="str">
        <v>231704176896</v>
      </c>
      <c r="E5269" s="0" t="e">
        <f>+7 (495) 2321813
+7 (495) 2321827
+7 (495) 6661427
+7 (800) 2223737
+7 (8622) 419222</f>
        <v>#NAME?</v>
      </c>
      <c r="F5269" s="5" t="s">
        <v>40916</v>
      </c>
      <c r="G5269" s="5" t="s">
        <v>40917</v>
      </c>
      <c r="H5269" s="26">
        <v>20</v>
      </c>
      <c r="I5269" s="5" t="s">
        <v>40918</v>
      </c>
      <c r="J5269" s="5" t="s">
        <v>34211</v>
      </c>
      <c r="K5269" s="5" t="s">
        <v>355</v>
      </c>
      <c r="L5269" s="5"/>
      <c r="M5269" s="27">
        <v>30895714</v>
      </c>
      <c r="N5269" s="5" t="s">
        <v>57326</v>
      </c>
      <c r="O5269" s="5" t="str">
        <v>7702347870</v>
      </c>
      <c r="P5269" s="27">
        <v>8612311650</v>
      </c>
      <c r="Q5269" s="5" t="s">
        <v>49009</v>
      </c>
      <c r="R5269" s="5"/>
      <c r="S5269" s="5" t="s">
        <v>49576</v>
      </c>
      <c r="T5269" s="28">
        <v>28244142000</v>
      </c>
      <c r="U5269" s="28"/>
      <c r="V5269" s="28">
        <v>2025063000</v>
      </c>
      <c r="W5269" s="28"/>
      <c r="X5269" s="28">
        <v>204466000</v>
      </c>
      <c r="Y5269" s="28">
        <v>41329072000</v>
      </c>
      <c r="Z5269" s="28">
        <v>-66719909000</v>
      </c>
      <c r="AA5269" s="28">
        <v>83164127000</v>
      </c>
      <c r="AB5269" s="28">
        <v>8512879000</v>
      </c>
      <c r="AC5269" s="28">
        <v>11755727000</v>
      </c>
      <c r="AD5269" s="28">
        <v>-57185302000</v>
      </c>
      <c r="AE5269" s="28">
        <v>9524607000</v>
      </c>
      <c r="AF5269" s="28">
        <v>-4062248000</v>
      </c>
      <c r="AG5269" s="11"/>
    </row>
    <row r="5270">
      <c r="A5270" s="7" t="s">
        <v>6885</v>
      </c>
      <c r="B5270" s="5" t="s">
        <v>14845</v>
      </c>
      <c r="C5270" s="5" t="s">
        <v>22553</v>
      </c>
      <c r="D5270" s="5" t="str">
        <v>772000994991</v>
      </c>
      <c r="E5270" s="0" t="e">
        <f>+7 (903) 1544640
+7 (495) 9338505
+7 (4987) 203798</f>
        <v>#NAME?</v>
      </c>
      <c r="F5270" s="5" t="s">
        <v>40919</v>
      </c>
      <c r="G5270" s="5" t="s">
        <v>40920</v>
      </c>
      <c r="H5270" s="26">
        <v>28</v>
      </c>
      <c r="I5270" s="5" t="s">
        <v>40921</v>
      </c>
      <c r="J5270" s="5" t="s">
        <v>26557</v>
      </c>
      <c r="K5270" s="5" t="s">
        <v>344</v>
      </c>
      <c r="L5270" s="5" t="s">
        <v>40922</v>
      </c>
      <c r="M5270" s="27"/>
      <c r="N5270" s="5" t="s">
        <v>57328</v>
      </c>
      <c r="O5270" s="5" t="str">
        <v>7705024010</v>
      </c>
      <c r="P5270" s="27">
        <v>20500</v>
      </c>
      <c r="Q5270" s="5" t="s">
        <v>57329</v>
      </c>
      <c r="R5270" s="5" t="s">
        <v>57330</v>
      </c>
      <c r="S5270" s="5" t="s">
        <v>57331</v>
      </c>
      <c r="T5270" s="28">
        <v>118621000</v>
      </c>
      <c r="U5270" s="28">
        <v>126205000</v>
      </c>
      <c r="V5270" s="28">
        <v>1603512000</v>
      </c>
      <c r="W5270" s="28"/>
      <c r="X5270" s="28">
        <v>274355000</v>
      </c>
      <c r="Y5270" s="28">
        <v>3027886000</v>
      </c>
      <c r="Z5270" s="28">
        <v>2548307000</v>
      </c>
      <c r="AA5270" s="28"/>
      <c r="AB5270" s="28"/>
      <c r="AC5270" s="28">
        <v>471431000</v>
      </c>
      <c r="AD5270" s="28">
        <v>2548331000</v>
      </c>
      <c r="AE5270" s="28">
        <v>4472805000</v>
      </c>
      <c r="AF5270" s="28">
        <v>2008480000</v>
      </c>
      <c r="AG5270" s="11"/>
    </row>
    <row r="5271">
      <c r="A5271" s="7" t="s">
        <v>6886</v>
      </c>
      <c r="B5271" s="5" t="s">
        <v>13062</v>
      </c>
      <c r="C5271" s="5" t="s">
        <v>22554</v>
      </c>
      <c r="D5271" s="5" t="str">
        <v>780409016105</v>
      </c>
      <c r="E5271" s="0" t="e">
        <f>+7 (385) 2223409
+7 (3843) 638221
+7 (3843) 638227
+7 (385) 2223422
+7 (385) 2223450
+7 (385) 2223456
+7 (923) 4620229</f>
        <v>#NAME?</v>
      </c>
      <c r="F5271" s="5" t="s">
        <v>40923</v>
      </c>
      <c r="G5271" s="5"/>
      <c r="H5271" s="26">
        <v>17</v>
      </c>
      <c r="I5271" s="5" t="s">
        <v>40924</v>
      </c>
      <c r="J5271" s="5" t="s">
        <v>25219</v>
      </c>
      <c r="K5271" s="5" t="s">
        <v>344</v>
      </c>
      <c r="L5271" s="5" t="s">
        <v>40925</v>
      </c>
      <c r="M5271" s="27">
        <v>25751671</v>
      </c>
      <c r="N5271" s="5"/>
      <c r="O5271" s="5" t="str">
        <v>2225074005</v>
      </c>
      <c r="P5271" s="27">
        <v>11870000</v>
      </c>
      <c r="Q5271" s="5" t="s">
        <v>49009</v>
      </c>
      <c r="R5271" s="5"/>
      <c r="S5271" s="5" t="s">
        <v>49120</v>
      </c>
      <c r="T5271" s="28">
        <v>22841071000</v>
      </c>
      <c r="U5271" s="28">
        <v>2441859000</v>
      </c>
      <c r="V5271" s="28">
        <v>3729184000</v>
      </c>
      <c r="W5271" s="28">
        <v>25900000000</v>
      </c>
      <c r="X5271" s="28">
        <v>2767361000</v>
      </c>
      <c r="Y5271" s="28">
        <v>66884154000</v>
      </c>
      <c r="Z5271" s="28">
        <v>18026361000</v>
      </c>
      <c r="AA5271" s="28">
        <v>15835120000</v>
      </c>
      <c r="AB5271" s="28">
        <v>967000</v>
      </c>
      <c r="AC5271" s="28">
        <v>12882084000</v>
      </c>
      <c r="AD5271" s="28">
        <v>18038231000</v>
      </c>
      <c r="AE5271" s="28">
        <v>117882941000</v>
      </c>
      <c r="AF5271" s="28">
        <v>384000</v>
      </c>
      <c r="AG5271" s="11"/>
    </row>
    <row r="5272">
      <c r="A5272" s="7" t="s">
        <v>6887</v>
      </c>
      <c r="B5272" s="5" t="s">
        <v>14846</v>
      </c>
      <c r="C5272" s="5" t="s">
        <v>22555</v>
      </c>
      <c r="D5272" s="5"/>
      <c r="E5272" s="0" t="e">
        <f>+7 (421) 2358955</f>
        <v>#NAME?</v>
      </c>
      <c r="F5272" s="5"/>
      <c r="G5272" s="5"/>
      <c r="H5272" s="26">
        <v>7.5</v>
      </c>
      <c r="I5272" s="5" t="s">
        <v>40926</v>
      </c>
      <c r="J5272" s="5" t="s">
        <v>26997</v>
      </c>
      <c r="K5272" s="5" t="s">
        <v>355</v>
      </c>
      <c r="L5272" s="5" t="s">
        <v>40927</v>
      </c>
      <c r="M5272" s="27">
        <v>32012575</v>
      </c>
      <c r="N5272" s="5"/>
      <c r="O5272" s="5" t="str">
        <v>2721218222</v>
      </c>
      <c r="P5272" s="27">
        <v>200000</v>
      </c>
      <c r="Q5272" s="5" t="s">
        <v>49009</v>
      </c>
      <c r="R5272" s="5"/>
      <c r="S5272" s="5" t="s">
        <v>52546</v>
      </c>
      <c r="T5272" s="28">
        <v>111482000</v>
      </c>
      <c r="U5272" s="28"/>
      <c r="V5272" s="28">
        <v>264837000</v>
      </c>
      <c r="W5272" s="28"/>
      <c r="X5272" s="28">
        <v>128625000</v>
      </c>
      <c r="Y5272" s="28">
        <v>1152925000</v>
      </c>
      <c r="Z5272" s="28">
        <v>153217000</v>
      </c>
      <c r="AA5272" s="28">
        <v>169998000</v>
      </c>
      <c r="AB5272" s="28">
        <v>143369000</v>
      </c>
      <c r="AC5272" s="28">
        <v>797696000</v>
      </c>
      <c r="AD5272" s="28">
        <v>153417000</v>
      </c>
      <c r="AE5272" s="28">
        <v>4316633000</v>
      </c>
      <c r="AF5272" s="28">
        <v>32144000</v>
      </c>
      <c r="AG5272" s="11"/>
    </row>
    <row r="5273">
      <c r="A5273" s="7" t="s">
        <v>6888</v>
      </c>
      <c r="B5273" s="5" t="s">
        <v>14847</v>
      </c>
      <c r="C5273" s="5" t="s">
        <v>22556</v>
      </c>
      <c r="D5273" s="5" t="str">
        <v>165915479325</v>
      </c>
      <c r="E5273" s="0" t="e">
        <f>+7 (843) 5706881
+7 (8432) 23148
+7 (8435) 706875
+7 (917) 9201925</f>
        <v>#NAME?</v>
      </c>
      <c r="F5273" s="5" t="s">
        <v>40928</v>
      </c>
      <c r="G5273" s="5" t="s">
        <v>40929</v>
      </c>
      <c r="H5273" s="26">
        <v>22.5</v>
      </c>
      <c r="I5273" s="5" t="s">
        <v>40930</v>
      </c>
      <c r="J5273" s="5" t="s">
        <v>25429</v>
      </c>
      <c r="K5273" s="5" t="s">
        <v>344</v>
      </c>
      <c r="L5273" s="5" t="s">
        <v>40931</v>
      </c>
      <c r="M5273" s="27"/>
      <c r="N5273" s="5" t="s">
        <v>57332</v>
      </c>
      <c r="O5273" s="5" t="str">
        <v>1654042272</v>
      </c>
      <c r="P5273" s="27">
        <v>19000</v>
      </c>
      <c r="Q5273" s="5" t="s">
        <v>57333</v>
      </c>
      <c r="R5273" s="5"/>
      <c r="S5273" s="5" t="s">
        <v>57334</v>
      </c>
      <c r="T5273" s="28">
        <v>37761000</v>
      </c>
      <c r="U5273" s="28"/>
      <c r="V5273" s="28">
        <v>616489000</v>
      </c>
      <c r="W5273" s="28">
        <v>660000000</v>
      </c>
      <c r="X5273" s="28">
        <v>25733000</v>
      </c>
      <c r="Y5273" s="28">
        <v>2208940000</v>
      </c>
      <c r="Z5273" s="28">
        <v>959159000</v>
      </c>
      <c r="AA5273" s="28">
        <v>4138000</v>
      </c>
      <c r="AB5273" s="28">
        <v>349822000</v>
      </c>
      <c r="AC5273" s="28">
        <v>1234511000</v>
      </c>
      <c r="AD5273" s="28">
        <v>959298000</v>
      </c>
      <c r="AE5273" s="28">
        <v>5281169000</v>
      </c>
      <c r="AF5273" s="28">
        <v>576418000</v>
      </c>
      <c r="AG5273" s="11"/>
    </row>
    <row r="5274">
      <c r="A5274" s="7" t="s">
        <v>6889</v>
      </c>
      <c r="B5274" s="5" t="s">
        <v>14848</v>
      </c>
      <c r="C5274" s="5" t="s">
        <v>22557</v>
      </c>
      <c r="D5274" s="5" t="str">
        <v>501203073881</v>
      </c>
      <c r="E5274" s="0" t="e">
        <f>+7 (495) 7482244
+7 (495) 7482248
+7 (495) 7777070
+7 (495) 7777970
+7 (495) 7777979</f>
        <v>#NAME?</v>
      </c>
      <c r="F5274" s="5" t="s">
        <v>40932</v>
      </c>
      <c r="G5274" s="5"/>
      <c r="H5274" s="26">
        <v>25</v>
      </c>
      <c r="I5274" s="5" t="s">
        <v>40933</v>
      </c>
      <c r="J5274" s="5" t="s">
        <v>31843</v>
      </c>
      <c r="K5274" s="5" t="s">
        <v>344</v>
      </c>
      <c r="L5274" s="5" t="s">
        <v>40934</v>
      </c>
      <c r="M5274" s="27"/>
      <c r="N5274" s="5"/>
      <c r="O5274" s="5" t="str">
        <v>5012093506</v>
      </c>
      <c r="P5274" s="27">
        <v>109361634</v>
      </c>
      <c r="Q5274" s="5" t="s">
        <v>49009</v>
      </c>
      <c r="R5274" s="5"/>
      <c r="S5274" s="5" t="s">
        <v>49576</v>
      </c>
      <c r="T5274" s="28">
        <v>1601409000</v>
      </c>
      <c r="U5274" s="28">
        <v>11247163000</v>
      </c>
      <c r="V5274" s="28">
        <v>1624359000</v>
      </c>
      <c r="W5274" s="28"/>
      <c r="X5274" s="28">
        <v>6448815000</v>
      </c>
      <c r="Y5274" s="28">
        <v>21714312000</v>
      </c>
      <c r="Z5274" s="28">
        <v>15172919000</v>
      </c>
      <c r="AA5274" s="28"/>
      <c r="AB5274" s="28">
        <v>3358001000</v>
      </c>
      <c r="AC5274" s="28">
        <v>6079030000</v>
      </c>
      <c r="AD5274" s="28">
        <v>15410409000</v>
      </c>
      <c r="AE5274" s="28">
        <v>22587543000</v>
      </c>
      <c r="AF5274" s="28">
        <v>4233141000</v>
      </c>
      <c r="AG5274" s="11"/>
    </row>
    <row r="5275">
      <c r="A5275" s="7" t="s">
        <v>6890</v>
      </c>
      <c r="B5275" s="5" t="s">
        <v>14849</v>
      </c>
      <c r="C5275" s="5" t="s">
        <v>22557</v>
      </c>
      <c r="D5275" s="5" t="str">
        <v>501203073881</v>
      </c>
      <c r="E5275" s="0" t="e">
        <f>+7 (495) 7777979
+7 (843) 7777970
+7 (85557) 59100
+7 (85557) 59101
+7 (85557) 76830</f>
        <v>#NAME?</v>
      </c>
      <c r="F5275" s="5" t="s">
        <v>40935</v>
      </c>
      <c r="G5275" s="5" t="s">
        <v>40936</v>
      </c>
      <c r="H5275" s="26">
        <v>15.5</v>
      </c>
      <c r="I5275" s="5" t="s">
        <v>40937</v>
      </c>
      <c r="J5275" s="5" t="s">
        <v>31843</v>
      </c>
      <c r="K5275" s="5" t="s">
        <v>344</v>
      </c>
      <c r="L5275" s="5" t="s">
        <v>40938</v>
      </c>
      <c r="M5275" s="27"/>
      <c r="N5275" s="5"/>
      <c r="O5275" s="5" t="str">
        <v>1646021825</v>
      </c>
      <c r="P5275" s="27">
        <v>1500000000</v>
      </c>
      <c r="Q5275" s="5"/>
      <c r="R5275" s="5"/>
      <c r="S5275" s="5" t="s">
        <v>49123</v>
      </c>
      <c r="T5275" s="28">
        <v>3805661000</v>
      </c>
      <c r="U5275" s="28"/>
      <c r="V5275" s="28">
        <v>391803000</v>
      </c>
      <c r="W5275" s="28"/>
      <c r="X5275" s="28">
        <v>3154100000</v>
      </c>
      <c r="Y5275" s="28">
        <v>8481196000</v>
      </c>
      <c r="Z5275" s="28">
        <v>6353701000</v>
      </c>
      <c r="AA5275" s="28"/>
      <c r="AB5275" s="28">
        <v>14519000</v>
      </c>
      <c r="AC5275" s="28">
        <v>230295000</v>
      </c>
      <c r="AD5275" s="28">
        <v>7853701000</v>
      </c>
      <c r="AE5275" s="28">
        <v>3779459000</v>
      </c>
      <c r="AF5275" s="28">
        <v>560161000</v>
      </c>
      <c r="AG5275" s="11"/>
    </row>
    <row r="5276">
      <c r="A5276" s="7" t="s">
        <v>6891</v>
      </c>
      <c r="B5276" s="5" t="s">
        <v>14850</v>
      </c>
      <c r="C5276" s="5" t="s">
        <v>22557</v>
      </c>
      <c r="D5276" s="5" t="str">
        <v>501203073881</v>
      </c>
      <c r="E5276" s="0" t="e">
        <f>+7 (812) 4319944
+7 (495) 7777979
+7 (812) 4498249
+7 (812) 4998249
+7 (812) 7777979
+7 (81378) 93515</f>
        <v>#NAME?</v>
      </c>
      <c r="F5276" s="5" t="s">
        <v>40939</v>
      </c>
      <c r="G5276" s="5" t="s">
        <v>40940</v>
      </c>
      <c r="H5276" s="26">
        <v>19.5</v>
      </c>
      <c r="I5276" s="5" t="s">
        <v>40941</v>
      </c>
      <c r="J5276" s="5" t="s">
        <v>31843</v>
      </c>
      <c r="K5276" s="5" t="s">
        <v>344</v>
      </c>
      <c r="L5276" s="5"/>
      <c r="M5276" s="27"/>
      <c r="N5276" s="5"/>
      <c r="O5276" s="5" t="str">
        <v>4704052309</v>
      </c>
      <c r="P5276" s="27">
        <v>1484895298</v>
      </c>
      <c r="Q5276" s="5"/>
      <c r="R5276" s="5"/>
      <c r="S5276" s="5" t="s">
        <v>49123</v>
      </c>
      <c r="T5276" s="28">
        <v>1691832000</v>
      </c>
      <c r="U5276" s="28"/>
      <c r="V5276" s="28">
        <v>578206000</v>
      </c>
      <c r="W5276" s="28"/>
      <c r="X5276" s="28">
        <v>230400000</v>
      </c>
      <c r="Y5276" s="28">
        <v>3768634000</v>
      </c>
      <c r="Z5276" s="28">
        <v>1829465000</v>
      </c>
      <c r="AA5276" s="28"/>
      <c r="AB5276" s="28">
        <v>30066000</v>
      </c>
      <c r="AC5276" s="28">
        <v>309340000</v>
      </c>
      <c r="AD5276" s="28">
        <v>3315026000</v>
      </c>
      <c r="AE5276" s="28">
        <v>4096013000</v>
      </c>
      <c r="AF5276" s="28">
        <v>476221000</v>
      </c>
      <c r="AG5276" s="11"/>
    </row>
    <row r="5277">
      <c r="A5277" s="7" t="s">
        <v>6892</v>
      </c>
      <c r="B5277" s="5" t="s">
        <v>14851</v>
      </c>
      <c r="C5277" s="5" t="s">
        <v>22558</v>
      </c>
      <c r="D5277" s="5" t="str">
        <v>505303136814</v>
      </c>
      <c r="E5277" s="0" t="e">
        <f>+7 (499) 4904968</f>
        <v>#NAME?</v>
      </c>
      <c r="F5277" s="5" t="s">
        <v>40942</v>
      </c>
      <c r="G5277" s="5" t="s">
        <v>40943</v>
      </c>
      <c r="H5277" s="26">
        <v>13</v>
      </c>
      <c r="I5277" s="5" t="s">
        <v>40944</v>
      </c>
      <c r="J5277" s="5" t="s">
        <v>881</v>
      </c>
      <c r="K5277" s="5" t="s">
        <v>344</v>
      </c>
      <c r="L5277" s="5" t="s">
        <v>40945</v>
      </c>
      <c r="M5277" s="27"/>
      <c r="N5277" s="5" t="s">
        <v>57335</v>
      </c>
      <c r="O5277" s="5" t="str">
        <v>7709849809</v>
      </c>
      <c r="P5277" s="27">
        <v>300000</v>
      </c>
      <c r="Q5277" s="5" t="s">
        <v>57336</v>
      </c>
      <c r="R5277" s="5"/>
      <c r="S5277" s="5" t="s">
        <v>57337</v>
      </c>
      <c r="T5277" s="28">
        <v>110777000</v>
      </c>
      <c r="U5277" s="28"/>
      <c r="V5277" s="28">
        <v>1035089000</v>
      </c>
      <c r="W5277" s="28"/>
      <c r="X5277" s="28">
        <v>791782000</v>
      </c>
      <c r="Y5277" s="28">
        <v>2209850000</v>
      </c>
      <c r="Z5277" s="28">
        <v>151648000</v>
      </c>
      <c r="AA5277" s="28">
        <v>88471000</v>
      </c>
      <c r="AB5277" s="28">
        <v>16484000</v>
      </c>
      <c r="AC5277" s="28">
        <v>1961206000</v>
      </c>
      <c r="AD5277" s="28">
        <v>160173000</v>
      </c>
      <c r="AE5277" s="28">
        <v>4179262000</v>
      </c>
      <c r="AF5277" s="28">
        <v>77456000</v>
      </c>
      <c r="AG5277" s="11"/>
    </row>
    <row r="5278">
      <c r="A5278" s="7" t="s">
        <v>6893</v>
      </c>
      <c r="B5278" s="5" t="s">
        <v>14852</v>
      </c>
      <c r="C5278" s="5" t="s">
        <v>22559</v>
      </c>
      <c r="D5278" s="5" t="str">
        <v>434529820001</v>
      </c>
      <c r="E5278" s="0" t="e">
        <f>+7 (833) 2232400
+7 (833) 2321317
+7 (8332) 321311
+7 (8332) 321322
+7 (8332) 545833
+7 (8332) 633646
+7 (8332) 711700
+7 (922) 9934037</f>
        <v>#NAME?</v>
      </c>
      <c r="F5278" s="5" t="s">
        <v>40946</v>
      </c>
      <c r="G5278" s="5" t="s">
        <v>40947</v>
      </c>
      <c r="H5278" s="26">
        <v>22</v>
      </c>
      <c r="I5278" s="5" t="s">
        <v>40948</v>
      </c>
      <c r="J5278" s="5" t="s">
        <v>25219</v>
      </c>
      <c r="K5278" s="5" t="s">
        <v>344</v>
      </c>
      <c r="L5278" s="5" t="s">
        <v>40949</v>
      </c>
      <c r="M5278" s="27">
        <v>573631</v>
      </c>
      <c r="N5278" s="5"/>
      <c r="O5278" s="5" t="str">
        <v>4345024144</v>
      </c>
      <c r="P5278" s="27">
        <v>110000</v>
      </c>
      <c r="Q5278" s="5"/>
      <c r="R5278" s="5"/>
      <c r="S5278" s="5" t="s">
        <v>49425</v>
      </c>
      <c r="T5278" s="28">
        <v>152562000</v>
      </c>
      <c r="U5278" s="28">
        <v>691280000</v>
      </c>
      <c r="V5278" s="28">
        <v>268686000</v>
      </c>
      <c r="W5278" s="28">
        <v>329812000</v>
      </c>
      <c r="X5278" s="28">
        <v>208297000</v>
      </c>
      <c r="Y5278" s="28">
        <v>2401920000</v>
      </c>
      <c r="Z5278" s="28">
        <v>1517909000</v>
      </c>
      <c r="AA5278" s="28"/>
      <c r="AB5278" s="28"/>
      <c r="AC5278" s="28">
        <v>878376000</v>
      </c>
      <c r="AD5278" s="28">
        <v>1518019000</v>
      </c>
      <c r="AE5278" s="28">
        <v>9308171000</v>
      </c>
      <c r="AF5278" s="28">
        <v>417397000</v>
      </c>
      <c r="AG5278" s="11"/>
    </row>
    <row r="5279">
      <c r="A5279" s="7" t="s">
        <v>6894</v>
      </c>
      <c r="B5279" s="5" t="s">
        <v>14853</v>
      </c>
      <c r="C5279" s="5" t="s">
        <v>17986</v>
      </c>
      <c r="D5279" s="5" t="str">
        <v>253604415635</v>
      </c>
      <c r="E5279" s="0" t="e">
        <f>+7 (415) 2273439
+7 (415) 2415815
+7 (415) 2415816
+7 (415) 2415879</f>
        <v>#NAME?</v>
      </c>
      <c r="F5279" s="5" t="s">
        <v>40950</v>
      </c>
      <c r="G5279" s="5" t="s">
        <v>40951</v>
      </c>
      <c r="H5279" s="26">
        <v>31</v>
      </c>
      <c r="I5279" s="5" t="s">
        <v>40952</v>
      </c>
      <c r="J5279" s="5" t="s">
        <v>26424</v>
      </c>
      <c r="K5279" s="5" t="s">
        <v>355</v>
      </c>
      <c r="L5279" s="5"/>
      <c r="M5279" s="27"/>
      <c r="N5279" s="5"/>
      <c r="O5279" s="5" t="str">
        <v>2536247860</v>
      </c>
      <c r="P5279" s="27">
        <v>13088</v>
      </c>
      <c r="Q5279" s="5"/>
      <c r="R5279" s="5"/>
      <c r="S5279" s="5" t="s">
        <v>50509</v>
      </c>
      <c r="T5279" s="28">
        <v>4921732000</v>
      </c>
      <c r="U5279" s="28">
        <v>2596761000</v>
      </c>
      <c r="V5279" s="28">
        <v>4696625000</v>
      </c>
      <c r="W5279" s="28">
        <v>409942000</v>
      </c>
      <c r="X5279" s="28">
        <v>1858082000</v>
      </c>
      <c r="Y5279" s="28">
        <v>17325337000</v>
      </c>
      <c r="Z5279" s="28">
        <v>4160162000</v>
      </c>
      <c r="AA5279" s="28">
        <v>6828651000</v>
      </c>
      <c r="AB5279" s="28">
        <v>3116077000</v>
      </c>
      <c r="AC5279" s="28">
        <v>5908580000</v>
      </c>
      <c r="AD5279" s="28">
        <v>4160177000</v>
      </c>
      <c r="AE5279" s="28">
        <v>8157320000</v>
      </c>
      <c r="AF5279" s="28">
        <v>567140000</v>
      </c>
      <c r="AG5279" s="11"/>
    </row>
    <row r="5280">
      <c r="A5280" s="7" t="s">
        <v>6895</v>
      </c>
      <c r="B5280" s="5" t="s">
        <v>14854</v>
      </c>
      <c r="C5280" s="5" t="s">
        <v>22560</v>
      </c>
      <c r="D5280" s="5" t="str">
        <v>231107020711</v>
      </c>
      <c r="E5280" s="0" t="e">
        <f>+7 (495) 7071777
+7 (495) 7777713
+7 (495) 7851978</f>
        <v>#NAME?</v>
      </c>
      <c r="F5280" s="5" t="s">
        <v>40953</v>
      </c>
      <c r="G5280" s="5" t="s">
        <v>40954</v>
      </c>
      <c r="H5280" s="26">
        <v>17</v>
      </c>
      <c r="I5280" s="5" t="s">
        <v>40955</v>
      </c>
      <c r="J5280" s="5" t="s">
        <v>25641</v>
      </c>
      <c r="K5280" s="5" t="s">
        <v>344</v>
      </c>
      <c r="L5280" s="5" t="s">
        <v>40956</v>
      </c>
      <c r="M5280" s="27">
        <v>22815824</v>
      </c>
      <c r="N5280" s="5" t="s">
        <v>57339</v>
      </c>
      <c r="O5280" s="5" t="str">
        <v>7715586594</v>
      </c>
      <c r="P5280" s="27">
        <v>5500000</v>
      </c>
      <c r="Q5280" s="5" t="s">
        <v>57340</v>
      </c>
      <c r="R5280" s="5"/>
      <c r="S5280" s="5" t="s">
        <v>57341</v>
      </c>
      <c r="T5280" s="28">
        <v>2450915000</v>
      </c>
      <c r="U5280" s="28">
        <v>89000000</v>
      </c>
      <c r="V5280" s="28">
        <v>613673000</v>
      </c>
      <c r="W5280" s="28">
        <v>2413311000</v>
      </c>
      <c r="X5280" s="28">
        <v>141819000</v>
      </c>
      <c r="Y5280" s="28">
        <v>10314673000</v>
      </c>
      <c r="Z5280" s="28">
        <v>6751011000</v>
      </c>
      <c r="AA5280" s="28"/>
      <c r="AB5280" s="28"/>
      <c r="AC5280" s="28">
        <v>717735000</v>
      </c>
      <c r="AD5280" s="28">
        <v>6756511000</v>
      </c>
      <c r="AE5280" s="28">
        <v>20694016000</v>
      </c>
      <c r="AF5280" s="28">
        <v>1769523000</v>
      </c>
      <c r="AG5280" s="11"/>
    </row>
    <row r="5281">
      <c r="A5281" s="7" t="s">
        <v>6896</v>
      </c>
      <c r="B5281" s="5" t="s">
        <v>14855</v>
      </c>
      <c r="C5281" s="5" t="s">
        <v>22561</v>
      </c>
      <c r="D5281" s="5" t="str">
        <v>672403593703</v>
      </c>
      <c r="E5281" s="0" t="e">
        <f>+7 (812) 3255225
+7 (812) 3356775
+7 (812) 3356778
+7 (981) 7877465
+7 (916) 2360236
+7 (495) 7851978
+7 (812) 3200003
+7 (812) 3356777</f>
        <v>#NAME?</v>
      </c>
      <c r="F5281" s="5" t="s">
        <v>40957</v>
      </c>
      <c r="G5281" s="5" t="s">
        <v>40958</v>
      </c>
      <c r="H5281" s="26">
        <v>18</v>
      </c>
      <c r="I5281" s="5" t="s">
        <v>40959</v>
      </c>
      <c r="J5281" s="5" t="s">
        <v>389</v>
      </c>
      <c r="K5281" s="5" t="s">
        <v>344</v>
      </c>
      <c r="L5281" s="5" t="s">
        <v>40960</v>
      </c>
      <c r="M5281" s="27">
        <v>11161134</v>
      </c>
      <c r="N5281" s="5" t="s">
        <v>57342</v>
      </c>
      <c r="O5281" s="5" t="str">
        <v>7810019725</v>
      </c>
      <c r="P5281" s="27">
        <v>65124000</v>
      </c>
      <c r="Q5281" s="5" t="s">
        <v>57343</v>
      </c>
      <c r="R5281" s="5"/>
      <c r="S5281" s="5" t="s">
        <v>57344</v>
      </c>
      <c r="T5281" s="28">
        <v>4082395000</v>
      </c>
      <c r="U5281" s="28"/>
      <c r="V5281" s="28">
        <v>1134684000</v>
      </c>
      <c r="W5281" s="28"/>
      <c r="X5281" s="28">
        <v>919644000</v>
      </c>
      <c r="Y5281" s="28">
        <v>16741272000</v>
      </c>
      <c r="Z5281" s="28">
        <v>8436041000</v>
      </c>
      <c r="AA5281" s="28"/>
      <c r="AB5281" s="28">
        <v>4530608000</v>
      </c>
      <c r="AC5281" s="28">
        <v>6357651000</v>
      </c>
      <c r="AD5281" s="28">
        <v>9194030000</v>
      </c>
      <c r="AE5281" s="28">
        <v>56976216000</v>
      </c>
      <c r="AF5281" s="28">
        <v>974057000</v>
      </c>
      <c r="AG5281" s="11"/>
    </row>
    <row r="5282">
      <c r="A5282" s="7" t="s">
        <v>6897</v>
      </c>
      <c r="B5282" s="5" t="s">
        <v>14856</v>
      </c>
      <c r="C5282" s="5" t="s">
        <v>22562</v>
      </c>
      <c r="D5282" s="5" t="str">
        <v>772870904020</v>
      </c>
      <c r="E5282" s="0" t="e">
        <f>+7 (495) 7858392
+7 (495) 7889911
+7 (495) 7451551
+7 (495) 7851950
+7 (495) 7880550
+7 (495) 7884888
+7 (495) 7886261
+7 (495) 7886266
+7 (495) 7888383
+7 (495) 9742222
+7 (495) 9742223
+7 (495) 9807080
+7 (916) 949617</f>
        <v>#NAME?</v>
      </c>
      <c r="F5282" s="5" t="s">
        <v>40961</v>
      </c>
      <c r="G5282" s="5" t="s">
        <v>40962</v>
      </c>
      <c r="H5282" s="26">
        <v>19</v>
      </c>
      <c r="I5282" s="5" t="s">
        <v>40963</v>
      </c>
      <c r="J5282" s="5" t="s">
        <v>389</v>
      </c>
      <c r="K5282" s="5" t="s">
        <v>344</v>
      </c>
      <c r="L5282" s="5"/>
      <c r="M5282" s="27">
        <v>33586073</v>
      </c>
      <c r="N5282" s="5" t="s">
        <v>57345</v>
      </c>
      <c r="O5282" s="5" t="str">
        <v>5047254063</v>
      </c>
      <c r="P5282" s="27">
        <v>6607748074</v>
      </c>
      <c r="Q5282" s="5" t="s">
        <v>57346</v>
      </c>
      <c r="R5282" s="5" t="s">
        <v>57347</v>
      </c>
      <c r="S5282" s="5" t="s">
        <v>57348</v>
      </c>
      <c r="T5282" s="28">
        <v>13977348000</v>
      </c>
      <c r="U5282" s="28">
        <v>8373636000</v>
      </c>
      <c r="V5282" s="28">
        <v>3457231000</v>
      </c>
      <c r="W5282" s="28">
        <v>3818616000</v>
      </c>
      <c r="X5282" s="28">
        <v>3842342000</v>
      </c>
      <c r="Y5282" s="28">
        <v>64041761000</v>
      </c>
      <c r="Z5282" s="28">
        <v>9052721000</v>
      </c>
      <c r="AA5282" s="28">
        <v>5248000000</v>
      </c>
      <c r="AB5282" s="28">
        <v>30447005000</v>
      </c>
      <c r="AC5282" s="28">
        <v>36748379000</v>
      </c>
      <c r="AD5282" s="28">
        <v>20061004000</v>
      </c>
      <c r="AE5282" s="28">
        <v>160651521000</v>
      </c>
      <c r="AF5282" s="28">
        <v>9635014000</v>
      </c>
      <c r="AG5282" s="11"/>
    </row>
    <row r="5283">
      <c r="A5283" s="7" t="s">
        <v>6898</v>
      </c>
      <c r="B5283" s="5" t="s">
        <v>14857</v>
      </c>
      <c r="C5283" s="5" t="s">
        <v>22563</v>
      </c>
      <c r="D5283" s="5" t="str">
        <v>366605361585</v>
      </c>
      <c r="E5283" s="0" t="e">
        <f>+7 (920) 4692310
+7 (473) 2106684
+7 (473) 2605205
+7 (473) 2632068
+7 (47372) 27995
+7 (47372) 27998</f>
        <v>#NAME?</v>
      </c>
      <c r="F5283" s="5" t="s">
        <v>40964</v>
      </c>
      <c r="G5283" s="5"/>
      <c r="H5283" s="26">
        <v>13.5</v>
      </c>
      <c r="I5283" s="5" t="s">
        <v>40965</v>
      </c>
      <c r="J5283" s="5" t="s">
        <v>40966</v>
      </c>
      <c r="K5283" s="5" t="s">
        <v>344</v>
      </c>
      <c r="L5283" s="5" t="s">
        <v>40967</v>
      </c>
      <c r="M5283" s="27"/>
      <c r="N5283" s="5"/>
      <c r="O5283" s="5" t="str">
        <v>3665075033</v>
      </c>
      <c r="P5283" s="27">
        <v>10000</v>
      </c>
      <c r="Q5283" s="5" t="s">
        <v>49009</v>
      </c>
      <c r="R5283" s="5"/>
      <c r="S5283" s="5" t="s">
        <v>49956</v>
      </c>
      <c r="T5283" s="28">
        <v>304954000</v>
      </c>
      <c r="U5283" s="28"/>
      <c r="V5283" s="28">
        <v>1257225000</v>
      </c>
      <c r="W5283" s="28">
        <v>368671000</v>
      </c>
      <c r="X5283" s="28">
        <v>93331000</v>
      </c>
      <c r="Y5283" s="28">
        <v>2770035000</v>
      </c>
      <c r="Z5283" s="28">
        <v>982447000</v>
      </c>
      <c r="AA5283" s="28">
        <v>300000000</v>
      </c>
      <c r="AB5283" s="28">
        <v>48955000</v>
      </c>
      <c r="AC5283" s="28">
        <v>1464014000</v>
      </c>
      <c r="AD5283" s="28">
        <v>982457000</v>
      </c>
      <c r="AE5283" s="28">
        <v>3028863000</v>
      </c>
      <c r="AF5283" s="28">
        <v>787807000</v>
      </c>
      <c r="AG5283" s="11"/>
    </row>
    <row r="5284">
      <c r="A5284" s="7" t="s">
        <v>6899</v>
      </c>
      <c r="B5284" s="5" t="s">
        <v>14858</v>
      </c>
      <c r="C5284" s="5" t="s">
        <v>22564</v>
      </c>
      <c r="D5284" s="5" t="str">
        <v>511301088804</v>
      </c>
      <c r="E5284" s="0" t="e">
        <f>+7 (985) 7600313
+7 (495) 9611030
+7 (495) 9611035
+7 (800) 1003440</f>
        <v>#NAME?</v>
      </c>
      <c r="F5284" s="5" t="s">
        <v>40968</v>
      </c>
      <c r="G5284" s="5" t="s">
        <v>40969</v>
      </c>
      <c r="H5284" s="26">
        <v>19.5</v>
      </c>
      <c r="I5284" s="5" t="s">
        <v>40970</v>
      </c>
      <c r="J5284" s="5" t="s">
        <v>25670</v>
      </c>
      <c r="K5284" s="5" t="s">
        <v>344</v>
      </c>
      <c r="L5284" s="5" t="s">
        <v>40971</v>
      </c>
      <c r="M5284" s="27">
        <v>41137658</v>
      </c>
      <c r="N5284" s="5" t="s">
        <v>57349</v>
      </c>
      <c r="O5284" s="5" t="str">
        <v>5047056255</v>
      </c>
      <c r="P5284" s="27">
        <v>1004500000</v>
      </c>
      <c r="Q5284" s="5" t="s">
        <v>57350</v>
      </c>
      <c r="R5284" s="5"/>
      <c r="S5284" s="5" t="s">
        <v>51456</v>
      </c>
      <c r="T5284" s="28">
        <v>12078000</v>
      </c>
      <c r="U5284" s="28">
        <v>460767000</v>
      </c>
      <c r="V5284" s="28">
        <v>14002383000</v>
      </c>
      <c r="W5284" s="28">
        <v>7500000000</v>
      </c>
      <c r="X5284" s="28">
        <v>20902905000</v>
      </c>
      <c r="Y5284" s="28">
        <v>55672120000</v>
      </c>
      <c r="Z5284" s="28">
        <v>8523830000</v>
      </c>
      <c r="AA5284" s="28">
        <v>12649761000</v>
      </c>
      <c r="AB5284" s="28">
        <v>30784821000</v>
      </c>
      <c r="AC5284" s="28">
        <v>32995879000</v>
      </c>
      <c r="AD5284" s="28">
        <v>9529709000</v>
      </c>
      <c r="AE5284" s="28">
        <v>13183200000</v>
      </c>
      <c r="AF5284" s="28">
        <v>1338562000</v>
      </c>
      <c r="AG5284" s="11"/>
    </row>
    <row r="5285">
      <c r="A5285" s="7" t="s">
        <v>6900</v>
      </c>
      <c r="B5285" s="5" t="s">
        <v>14859</v>
      </c>
      <c r="C5285" s="5" t="s">
        <v>22565</v>
      </c>
      <c r="D5285" s="5" t="str">
        <v>231111338088</v>
      </c>
      <c r="E5285" s="0" t="e">
        <f>+7 (861) 2583662</f>
        <v>#NAME?</v>
      </c>
      <c r="F5285" s="5" t="s">
        <v>40972</v>
      </c>
      <c r="G5285" s="5"/>
      <c r="H5285" s="26">
        <v>24</v>
      </c>
      <c r="I5285" s="5" t="s">
        <v>40973</v>
      </c>
      <c r="J5285" s="5" t="s">
        <v>364</v>
      </c>
      <c r="K5285" s="5" t="s">
        <v>355</v>
      </c>
      <c r="L5285" s="5" t="s">
        <v>40974</v>
      </c>
      <c r="M5285" s="27">
        <v>42703533</v>
      </c>
      <c r="N5285" s="5" t="s">
        <v>53604</v>
      </c>
      <c r="O5285" s="5" t="str">
        <v>2310051721</v>
      </c>
      <c r="P5285" s="27">
        <v>10000</v>
      </c>
      <c r="Q5285" s="5" t="s">
        <v>57351</v>
      </c>
      <c r="R5285" s="5"/>
      <c r="S5285" s="5" t="s">
        <v>57352</v>
      </c>
      <c r="T5285" s="28">
        <v>428169000</v>
      </c>
      <c r="U5285" s="28">
        <v>6348770000</v>
      </c>
      <c r="V5285" s="28">
        <v>4026690000</v>
      </c>
      <c r="W5285" s="28"/>
      <c r="X5285" s="28">
        <v>2928191000</v>
      </c>
      <c r="Y5285" s="28">
        <v>15535146000</v>
      </c>
      <c r="Z5285" s="28">
        <v>600002000</v>
      </c>
      <c r="AA5285" s="28">
        <v>5692826000</v>
      </c>
      <c r="AB5285" s="28">
        <v>975074000</v>
      </c>
      <c r="AC5285" s="28">
        <v>9011001000</v>
      </c>
      <c r="AD5285" s="28">
        <v>600012000</v>
      </c>
      <c r="AE5285" s="28">
        <v>9029471000</v>
      </c>
      <c r="AF5285" s="28">
        <v>64404000</v>
      </c>
      <c r="AG5285" s="11"/>
    </row>
    <row r="5286">
      <c r="A5286" s="7" t="s">
        <v>6901</v>
      </c>
      <c r="B5286" s="5" t="s">
        <v>14860</v>
      </c>
      <c r="C5286" s="5" t="s">
        <v>22566</v>
      </c>
      <c r="D5286" s="5" t="str">
        <v>132705377820</v>
      </c>
      <c r="E5286" s="0" t="e">
        <f>+7 (960) 3344657
+7 (834) 3821122
+7 (83438) 20301
+7 (83438) 28048
+7 (83438) 28125
+7 (83438) 28183
+7 (83438) 28228
+7 (83438) 28229
+7 (83438) 28352
+7 (83438) 28372
+7 (83438) 28803
+7 (83438) 28931</f>
        <v>#NAME?</v>
      </c>
      <c r="F5286" s="5" t="s">
        <v>40975</v>
      </c>
      <c r="G5286" s="5"/>
      <c r="H5286" s="26">
        <v>18</v>
      </c>
      <c r="I5286" s="5" t="s">
        <v>40976</v>
      </c>
      <c r="J5286" s="5" t="s">
        <v>25994</v>
      </c>
      <c r="K5286" s="5" t="s">
        <v>344</v>
      </c>
      <c r="L5286" s="5"/>
      <c r="M5286" s="27">
        <v>1989130146</v>
      </c>
      <c r="N5286" s="5" t="s">
        <v>57353</v>
      </c>
      <c r="O5286" s="5" t="str">
        <v>1316105890</v>
      </c>
      <c r="P5286" s="27">
        <v>100000</v>
      </c>
      <c r="Q5286" s="5"/>
      <c r="R5286" s="5"/>
      <c r="S5286" s="5" t="s">
        <v>49991</v>
      </c>
      <c r="T5286" s="28">
        <v>2324077000</v>
      </c>
      <c r="U5286" s="28">
        <v>266556000</v>
      </c>
      <c r="V5286" s="28">
        <v>2966834000</v>
      </c>
      <c r="W5286" s="28"/>
      <c r="X5286" s="28">
        <v>167695000</v>
      </c>
      <c r="Y5286" s="28">
        <v>9052011000</v>
      </c>
      <c r="Z5286" s="28">
        <v>707230000</v>
      </c>
      <c r="AA5286" s="28">
        <v>2467315000</v>
      </c>
      <c r="AB5286" s="28">
        <v>1913084000</v>
      </c>
      <c r="AC5286" s="28">
        <v>5804272000</v>
      </c>
      <c r="AD5286" s="28">
        <v>708347000</v>
      </c>
      <c r="AE5286" s="28">
        <v>6607449000</v>
      </c>
      <c r="AF5286" s="28">
        <v>552756000</v>
      </c>
      <c r="AG5286" s="11"/>
    </row>
    <row r="5287">
      <c r="A5287" s="7" t="s">
        <v>6902</v>
      </c>
      <c r="B5287" s="5" t="s">
        <v>14861</v>
      </c>
      <c r="C5287" s="5" t="s">
        <v>22567</v>
      </c>
      <c r="D5287" s="5" t="str">
        <v>200703332140</v>
      </c>
      <c r="E5287" s="0" t="e">
        <f>+7 (928) 2469705</f>
        <v>#NAME?</v>
      </c>
      <c r="F5287" s="5"/>
      <c r="G5287" s="5"/>
      <c r="H5287" s="26">
        <v>9</v>
      </c>
      <c r="I5287" s="5" t="s">
        <v>40977</v>
      </c>
      <c r="J5287" s="5" t="s">
        <v>364</v>
      </c>
      <c r="K5287" s="5" t="s">
        <v>355</v>
      </c>
      <c r="L5287" s="5" t="s">
        <v>40978</v>
      </c>
      <c r="M5287" s="27"/>
      <c r="N5287" s="5"/>
      <c r="O5287" s="5" t="str">
        <v>2013800216</v>
      </c>
      <c r="P5287" s="27">
        <v>10000</v>
      </c>
      <c r="Q5287" s="5"/>
      <c r="R5287" s="5"/>
      <c r="S5287" s="5" t="s">
        <v>49110</v>
      </c>
      <c r="T5287" s="28">
        <v>28256000</v>
      </c>
      <c r="U5287" s="28"/>
      <c r="V5287" s="28">
        <v>1238207000</v>
      </c>
      <c r="W5287" s="28">
        <v>9276944000</v>
      </c>
      <c r="X5287" s="28">
        <v>374328000</v>
      </c>
      <c r="Y5287" s="28">
        <v>12251555000</v>
      </c>
      <c r="Z5287" s="28">
        <v>21959000</v>
      </c>
      <c r="AA5287" s="28">
        <v>519586000</v>
      </c>
      <c r="AB5287" s="28"/>
      <c r="AC5287" s="28">
        <v>11710000000</v>
      </c>
      <c r="AD5287" s="28">
        <v>21969000</v>
      </c>
      <c r="AE5287" s="28">
        <v>6133437000</v>
      </c>
      <c r="AF5287" s="28">
        <v>2247000</v>
      </c>
      <c r="AG5287" s="11"/>
    </row>
    <row r="5288">
      <c r="A5288" s="7" t="s">
        <v>6903</v>
      </c>
      <c r="B5288" s="5" t="s">
        <v>14862</v>
      </c>
      <c r="C5288" s="5" t="s">
        <v>22568</v>
      </c>
      <c r="D5288" s="5" t="str">
        <v>631503793811</v>
      </c>
      <c r="E5288" s="0" t="e">
        <f>+7 (84627) 90780
+7 (846) 2702103
+7 (846) 2702178
+7 (846) 2702206
+7 (927) 7134013</f>
        <v>#NAME?</v>
      </c>
      <c r="F5288" s="5" t="s">
        <v>40979</v>
      </c>
      <c r="G5288" s="5" t="s">
        <v>40980</v>
      </c>
      <c r="H5288" s="26">
        <v>27</v>
      </c>
      <c r="I5288" s="5" t="s">
        <v>40981</v>
      </c>
      <c r="J5288" s="5" t="s">
        <v>26165</v>
      </c>
      <c r="K5288" s="5" t="s">
        <v>344</v>
      </c>
      <c r="L5288" s="5"/>
      <c r="M5288" s="27"/>
      <c r="N5288" s="5"/>
      <c r="O5288" s="5" t="str">
        <v>6367650886</v>
      </c>
      <c r="P5288" s="27">
        <v>300000</v>
      </c>
      <c r="Q5288" s="5" t="s">
        <v>49009</v>
      </c>
      <c r="R5288" s="5"/>
      <c r="S5288" s="5" t="s">
        <v>49045</v>
      </c>
      <c r="T5288" s="28">
        <v>688567000</v>
      </c>
      <c r="U5288" s="28"/>
      <c r="V5288" s="28">
        <v>108719000</v>
      </c>
      <c r="W5288" s="28"/>
      <c r="X5288" s="28">
        <v>45774000</v>
      </c>
      <c r="Y5288" s="28">
        <v>1880247000</v>
      </c>
      <c r="Z5288" s="28">
        <v>-541911000</v>
      </c>
      <c r="AA5288" s="28"/>
      <c r="AB5288" s="28"/>
      <c r="AC5288" s="28">
        <v>1621561000</v>
      </c>
      <c r="AD5288" s="28">
        <v>-541605000</v>
      </c>
      <c r="AE5288" s="28">
        <v>5172684000</v>
      </c>
      <c r="AF5288" s="28">
        <v>127295000</v>
      </c>
      <c r="AG5288" s="11"/>
    </row>
    <row r="5289">
      <c r="A5289" s="7" t="s">
        <v>6904</v>
      </c>
      <c r="B5289" s="5" t="s">
        <v>14863</v>
      </c>
      <c r="C5289" s="5" t="s">
        <v>22569</v>
      </c>
      <c r="D5289" s="5" t="str">
        <v>772583688150</v>
      </c>
      <c r="E5289" s="0" t="e">
        <f>+7 (495) 1522556
+7 (495) 7295464</f>
        <v>#NAME?</v>
      </c>
      <c r="F5289" s="5"/>
      <c r="G5289" s="5"/>
      <c r="H5289" s="26">
        <v>11</v>
      </c>
      <c r="I5289" s="5" t="s">
        <v>40982</v>
      </c>
      <c r="J5289" s="5" t="s">
        <v>32226</v>
      </c>
      <c r="K5289" s="5" t="s">
        <v>344</v>
      </c>
      <c r="L5289" s="5" t="s">
        <v>40983</v>
      </c>
      <c r="M5289" s="27"/>
      <c r="N5289" s="5"/>
      <c r="O5289" s="5" t="str">
        <v>7723827846</v>
      </c>
      <c r="P5289" s="27">
        <v>1000000</v>
      </c>
      <c r="Q5289" s="5" t="s">
        <v>49579</v>
      </c>
      <c r="R5289" s="5"/>
      <c r="S5289" s="5" t="s">
        <v>57354</v>
      </c>
      <c r="T5289" s="28">
        <v>13015000</v>
      </c>
      <c r="U5289" s="28"/>
      <c r="V5289" s="28">
        <v>703653000</v>
      </c>
      <c r="W5289" s="28">
        <v>120450000</v>
      </c>
      <c r="X5289" s="28">
        <v>37282000</v>
      </c>
      <c r="Y5289" s="28">
        <v>2071331000</v>
      </c>
      <c r="Z5289" s="28">
        <v>823816000</v>
      </c>
      <c r="AA5289" s="28">
        <v>969800000</v>
      </c>
      <c r="AB5289" s="28">
        <v>11753000</v>
      </c>
      <c r="AC5289" s="28">
        <v>274182000</v>
      </c>
      <c r="AD5289" s="28">
        <v>824816000</v>
      </c>
      <c r="AE5289" s="28">
        <v>3371991000</v>
      </c>
      <c r="AF5289" s="28">
        <v>449804000</v>
      </c>
      <c r="AG5289" s="11"/>
    </row>
    <row r="5290">
      <c r="A5290" s="7" t="s">
        <v>6905</v>
      </c>
      <c r="B5290" s="5" t="s">
        <v>14864</v>
      </c>
      <c r="C5290" s="5" t="s">
        <v>22570</v>
      </c>
      <c r="D5290" s="5" t="str">
        <v>772570122914</v>
      </c>
      <c r="E5290" s="0" t="e">
        <f>+7 (3422) 595902
+7 (343) 3101455
+7 (3472) 735078
+7 (3512) 399390
+7 (3512) 399391
+7 (3512) 399392
+7 (383) 2120618
+7 (383) 2120619
+7 (383) 2300074
+7 (391) 2002820
+7 (3952) 486331
+7 (401) 2200212
+7 (401) 2535387
+7 (473) 2281978
+7 (473) 2281979</f>
        <v>#NAME?</v>
      </c>
      <c r="F5290" s="5"/>
      <c r="G5290" s="5"/>
      <c r="H5290" s="26">
        <v>15</v>
      </c>
      <c r="I5290" s="5" t="s">
        <v>40984</v>
      </c>
      <c r="J5290" s="5" t="s">
        <v>40985</v>
      </c>
      <c r="K5290" s="5" t="s">
        <v>344</v>
      </c>
      <c r="L5290" s="5" t="s">
        <v>40986</v>
      </c>
      <c r="M5290" s="27"/>
      <c r="N5290" s="5"/>
      <c r="O5290" s="5" t="str">
        <v>7725625041</v>
      </c>
      <c r="P5290" s="27">
        <v>500000</v>
      </c>
      <c r="Q5290" s="5" t="s">
        <v>49021</v>
      </c>
      <c r="R5290" s="5"/>
      <c r="S5290" s="5" t="s">
        <v>57355</v>
      </c>
      <c r="T5290" s="28">
        <v>18531000</v>
      </c>
      <c r="U5290" s="28"/>
      <c r="V5290" s="28">
        <v>626072000</v>
      </c>
      <c r="W5290" s="28">
        <v>38892684000</v>
      </c>
      <c r="X5290" s="28">
        <v>1906850000</v>
      </c>
      <c r="Y5290" s="28">
        <v>41857287000</v>
      </c>
      <c r="Z5290" s="28">
        <v>1335915000</v>
      </c>
      <c r="AA5290" s="28"/>
      <c r="AB5290" s="28">
        <v>39400000000</v>
      </c>
      <c r="AC5290" s="28">
        <v>40520055000</v>
      </c>
      <c r="AD5290" s="28">
        <v>1336415000</v>
      </c>
      <c r="AE5290" s="28">
        <v>8084678000</v>
      </c>
      <c r="AF5290" s="28">
        <v>348252000</v>
      </c>
      <c r="AG5290" s="11"/>
    </row>
    <row r="5291">
      <c r="A5291" s="7" t="s">
        <v>6906</v>
      </c>
      <c r="B5291" s="5" t="s">
        <v>14865</v>
      </c>
      <c r="C5291" s="5" t="s">
        <v>22571</v>
      </c>
      <c r="D5291" s="5" t="str">
        <v>770404833900</v>
      </c>
      <c r="E5291" s="0" t="e">
        <f>+7 (49653) 95394
+7 (495) 5395394
+7 (495) 5395395
+7 (495) 7821976
+7 (495) 7821985
+7 (800) 2005395</f>
        <v>#NAME?</v>
      </c>
      <c r="F5291" s="5" t="s">
        <v>40987</v>
      </c>
      <c r="G5291" s="5" t="s">
        <v>40988</v>
      </c>
      <c r="H5291" s="26">
        <v>22</v>
      </c>
      <c r="I5291" s="5" t="s">
        <v>40989</v>
      </c>
      <c r="J5291" s="5" t="s">
        <v>25670</v>
      </c>
      <c r="K5291" s="5" t="s">
        <v>355</v>
      </c>
      <c r="L5291" s="5"/>
      <c r="M5291" s="27">
        <v>480820642</v>
      </c>
      <c r="N5291" s="5" t="s">
        <v>57356</v>
      </c>
      <c r="O5291" s="5" t="str">
        <v>7704221591</v>
      </c>
      <c r="P5291" s="27">
        <v>125038492500</v>
      </c>
      <c r="Q5291" s="5" t="s">
        <v>57357</v>
      </c>
      <c r="R5291" s="5"/>
      <c r="S5291" s="5" t="s">
        <v>57358</v>
      </c>
      <c r="T5291" s="28">
        <v>487592000</v>
      </c>
      <c r="U5291" s="28">
        <v>860202000</v>
      </c>
      <c r="V5291" s="28">
        <v>116021332000</v>
      </c>
      <c r="W5291" s="28">
        <v>3767737000</v>
      </c>
      <c r="X5291" s="28">
        <v>11587679000</v>
      </c>
      <c r="Y5291" s="28">
        <v>150287606000</v>
      </c>
      <c r="Z5291" s="28">
        <v>-21986833000</v>
      </c>
      <c r="AA5291" s="28">
        <v>31673621000</v>
      </c>
      <c r="AB5291" s="28">
        <v>8817139000</v>
      </c>
      <c r="AC5291" s="28">
        <v>25129607000</v>
      </c>
      <c r="AD5291" s="28">
        <v>93051660000</v>
      </c>
      <c r="AE5291" s="28">
        <v>10022160000</v>
      </c>
      <c r="AF5291" s="28">
        <v>2441862000</v>
      </c>
      <c r="AG5291" s="11"/>
    </row>
    <row r="5292">
      <c r="A5292" s="7" t="s">
        <v>6907</v>
      </c>
      <c r="B5292" s="5" t="s">
        <v>14866</v>
      </c>
      <c r="C5292" s="5" t="s">
        <v>22572</v>
      </c>
      <c r="D5292" s="5" t="str">
        <v>782688116044</v>
      </c>
      <c r="E5292" s="0" t="e">
        <f>+7 (921) 3067362
+7 (812) 5105832
+7 (812) 9105675</f>
        <v>#NAME?</v>
      </c>
      <c r="F5292" s="5" t="s">
        <v>40990</v>
      </c>
      <c r="G5292" s="5"/>
      <c r="H5292" s="26">
        <v>13.5</v>
      </c>
      <c r="I5292" s="5" t="s">
        <v>40991</v>
      </c>
      <c r="J5292" s="5" t="s">
        <v>599</v>
      </c>
      <c r="K5292" s="5" t="s">
        <v>344</v>
      </c>
      <c r="L5292" s="5" t="s">
        <v>40992</v>
      </c>
      <c r="M5292" s="27">
        <v>1129071</v>
      </c>
      <c r="N5292" s="5" t="s">
        <v>57359</v>
      </c>
      <c r="O5292" s="5" t="str">
        <v>7802475153</v>
      </c>
      <c r="P5292" s="27">
        <v>200000</v>
      </c>
      <c r="Q5292" s="5" t="s">
        <v>57360</v>
      </c>
      <c r="R5292" s="5"/>
      <c r="S5292" s="5" t="s">
        <v>57361</v>
      </c>
      <c r="T5292" s="28">
        <v>422714000</v>
      </c>
      <c r="U5292" s="28"/>
      <c r="V5292" s="28">
        <v>669569000</v>
      </c>
      <c r="W5292" s="28">
        <v>2088000</v>
      </c>
      <c r="X5292" s="28">
        <v>93444000</v>
      </c>
      <c r="Y5292" s="28">
        <v>1276987000</v>
      </c>
      <c r="Z5292" s="28">
        <v>420125000</v>
      </c>
      <c r="AA5292" s="28"/>
      <c r="AB5292" s="28">
        <v>95483000</v>
      </c>
      <c r="AC5292" s="28">
        <v>581688000</v>
      </c>
      <c r="AD5292" s="28">
        <v>420325000</v>
      </c>
      <c r="AE5292" s="28">
        <v>7726573000</v>
      </c>
      <c r="AF5292" s="28">
        <v>274398000</v>
      </c>
      <c r="AG5292" s="11"/>
    </row>
    <row r="5293">
      <c r="A5293" s="7" t="s">
        <v>6908</v>
      </c>
      <c r="B5293" s="5" t="s">
        <v>14867</v>
      </c>
      <c r="C5293" s="5" t="s">
        <v>22573</v>
      </c>
      <c r="D5293" s="5" t="str">
        <v>510706971886</v>
      </c>
      <c r="E5293" s="0" t="e">
        <f>+7 (81536) 66328
+7 (81536) 77082
+7 (81536) 77239
+7 (81536) 79964
+7 (81554) 36222</f>
        <v>#NAME?</v>
      </c>
      <c r="F5293" s="5" t="s">
        <v>40993</v>
      </c>
      <c r="G5293" s="5" t="s">
        <v>40994</v>
      </c>
      <c r="H5293" s="26">
        <v>25.5</v>
      </c>
      <c r="I5293" s="5" t="s">
        <v>40995</v>
      </c>
      <c r="J5293" s="5" t="s">
        <v>364</v>
      </c>
      <c r="K5293" s="5" t="s">
        <v>380</v>
      </c>
      <c r="L5293" s="5"/>
      <c r="M5293" s="27"/>
      <c r="N5293" s="5"/>
      <c r="O5293" s="5" t="str">
        <v>5107916719</v>
      </c>
      <c r="P5293" s="27">
        <v>42043945</v>
      </c>
      <c r="Q5293" s="5"/>
      <c r="R5293" s="5"/>
      <c r="S5293" s="5" t="s">
        <v>49123</v>
      </c>
      <c r="T5293" s="28">
        <v>587949000</v>
      </c>
      <c r="U5293" s="28"/>
      <c r="V5293" s="28">
        <v>1254733000</v>
      </c>
      <c r="W5293" s="28">
        <v>170634000</v>
      </c>
      <c r="X5293" s="28"/>
      <c r="Y5293" s="28">
        <v>2827442000</v>
      </c>
      <c r="Z5293" s="28">
        <v>-873817000</v>
      </c>
      <c r="AA5293" s="28"/>
      <c r="AB5293" s="28"/>
      <c r="AC5293" s="28">
        <v>2755171000</v>
      </c>
      <c r="AD5293" s="28">
        <v>-88773000</v>
      </c>
      <c r="AE5293" s="28">
        <v>8233212000</v>
      </c>
      <c r="AF5293" s="28">
        <v>-224116000</v>
      </c>
      <c r="AG5293" s="11"/>
    </row>
    <row r="5294">
      <c r="A5294" s="7" t="s">
        <v>6909</v>
      </c>
      <c r="B5294" s="5" t="s">
        <v>14868</v>
      </c>
      <c r="C5294" s="5" t="s">
        <v>22574</v>
      </c>
      <c r="D5294" s="5" t="str">
        <v>246517736991</v>
      </c>
      <c r="E5294" s="0" t="e">
        <f>+7 (3422) 604770
+7 (343) 2514141
+7 (4712) 200367
+7 (3435) 420605
+7 (384) 2522555
+7 (384) 2524300
+7 (3843) 777057
+7 (4712) 514656
+7 (4712) 702092
+7 (473) 2765897
+7 (473) 2765907
+7 (482) 2321068
+7 (483) 2749800
+7 (487) 2311079
+7 (487) 2367069</f>
        <v>#NAME?</v>
      </c>
      <c r="F5294" s="5" t="s">
        <v>40996</v>
      </c>
      <c r="G5294" s="5" t="s">
        <v>40997</v>
      </c>
      <c r="H5294" s="26">
        <v>31</v>
      </c>
      <c r="I5294" s="5" t="s">
        <v>40998</v>
      </c>
      <c r="J5294" s="5" t="s">
        <v>526</v>
      </c>
      <c r="K5294" s="5" t="s">
        <v>344</v>
      </c>
      <c r="L5294" s="5"/>
      <c r="M5294" s="27">
        <v>4424071</v>
      </c>
      <c r="N5294" s="5" t="s">
        <v>57363</v>
      </c>
      <c r="O5294" s="5" t="str">
        <v>7702060003</v>
      </c>
      <c r="P5294" s="27"/>
      <c r="Q5294" s="5" t="s">
        <v>57364</v>
      </c>
      <c r="R5294" s="5"/>
      <c r="S5294" s="5" t="s">
        <v>50404</v>
      </c>
      <c r="T5294" s="28">
        <v>4939005000</v>
      </c>
      <c r="U5294" s="28">
        <v>16000</v>
      </c>
      <c r="V5294" s="28">
        <v>419123000</v>
      </c>
      <c r="W5294" s="28"/>
      <c r="X5294" s="28">
        <v>601193000</v>
      </c>
      <c r="Y5294" s="28">
        <v>6111868000</v>
      </c>
      <c r="Z5294" s="28">
        <v>-334508000</v>
      </c>
      <c r="AA5294" s="28"/>
      <c r="AB5294" s="28"/>
      <c r="AC5294" s="28">
        <v>2698443000</v>
      </c>
      <c r="AD5294" s="28">
        <v>5515680000</v>
      </c>
      <c r="AE5294" s="28">
        <v>3173004000</v>
      </c>
      <c r="AF5294" s="28">
        <v>27216000</v>
      </c>
      <c r="AG5294" s="11"/>
    </row>
    <row r="5295">
      <c r="A5295" s="7" t="s">
        <v>6910</v>
      </c>
      <c r="B5295" s="5" t="s">
        <v>14869</v>
      </c>
      <c r="C5295" s="5" t="s">
        <v>22575</v>
      </c>
      <c r="D5295" s="5" t="str">
        <v>890401845131</v>
      </c>
      <c r="E5295" s="0" t="e">
        <f>+7 (3494) 237392
+7 (911) 9268558
+7 (349) 2246251
+7 (391) 2051061</f>
        <v>#NAME?</v>
      </c>
      <c r="F5295" s="5" t="s">
        <v>40999</v>
      </c>
      <c r="G5295" s="5" t="s">
        <v>41000</v>
      </c>
      <c r="H5295" s="26">
        <v>22.5</v>
      </c>
      <c r="I5295" s="5" t="s">
        <v>41001</v>
      </c>
      <c r="J5295" s="5" t="s">
        <v>27687</v>
      </c>
      <c r="K5295" s="5" t="s">
        <v>380</v>
      </c>
      <c r="L5295" s="5" t="s">
        <v>41002</v>
      </c>
      <c r="M5295" s="27"/>
      <c r="N5295" s="5" t="s">
        <v>57365</v>
      </c>
      <c r="O5295" s="5" t="str">
        <v>8904035523</v>
      </c>
      <c r="P5295" s="27">
        <v>1000000</v>
      </c>
      <c r="Q5295" s="5" t="s">
        <v>57366</v>
      </c>
      <c r="R5295" s="5" t="s">
        <v>57367</v>
      </c>
      <c r="S5295" s="5" t="s">
        <v>57368</v>
      </c>
      <c r="T5295" s="28">
        <v>2381262000</v>
      </c>
      <c r="U5295" s="28"/>
      <c r="V5295" s="28">
        <v>2020480000</v>
      </c>
      <c r="W5295" s="28"/>
      <c r="X5295" s="28">
        <v>209099000</v>
      </c>
      <c r="Y5295" s="28">
        <v>5504347000</v>
      </c>
      <c r="Z5295" s="28">
        <v>770732000</v>
      </c>
      <c r="AA5295" s="28">
        <v>38986000</v>
      </c>
      <c r="AB5295" s="28">
        <v>4729000</v>
      </c>
      <c r="AC5295" s="28">
        <v>3861164000</v>
      </c>
      <c r="AD5295" s="28">
        <v>828522000</v>
      </c>
      <c r="AE5295" s="28">
        <v>6189972000</v>
      </c>
      <c r="AF5295" s="28">
        <v>351318000</v>
      </c>
      <c r="AG5295" s="11"/>
    </row>
    <row r="5296">
      <c r="A5296" s="7" t="s">
        <v>6911</v>
      </c>
      <c r="B5296" s="5" t="s">
        <v>14870</v>
      </c>
      <c r="C5296" s="5" t="s">
        <v>22576</v>
      </c>
      <c r="D5296" s="5" t="str">
        <v>772738988880</v>
      </c>
      <c r="E5296" s="0" t="e">
        <f>+7 (495) 6630061
+7 (495) 9692940
+7 (495) 9692941
+7 (495) 9692942
+7 (499) 2627108
+7 (3512) 683104
+7 (3512) 683595
+7 (3512) 687755
+7 (383) 2182889
+7 (391) 2594292
+7 (421) 2980199
+7 (421) 2980661
+7 (495) 6601520
+7 (812) 4578107</f>
        <v>#NAME?</v>
      </c>
      <c r="F5296" s="5" t="s">
        <v>41003</v>
      </c>
      <c r="G5296" s="5"/>
      <c r="H5296" s="26">
        <v>17</v>
      </c>
      <c r="I5296" s="5"/>
      <c r="J5296" s="5" t="s">
        <v>1013</v>
      </c>
      <c r="K5296" s="5" t="s">
        <v>344</v>
      </c>
      <c r="L5296" s="5" t="s">
        <v>41004</v>
      </c>
      <c r="M5296" s="27">
        <v>47068243</v>
      </c>
      <c r="N5296" s="5" t="s">
        <v>57369</v>
      </c>
      <c r="O5296" s="5" t="str">
        <v>7708587910</v>
      </c>
      <c r="P5296" s="27">
        <v>1366467000</v>
      </c>
      <c r="Q5296" s="5" t="s">
        <v>57370</v>
      </c>
      <c r="R5296" s="5"/>
      <c r="S5296" s="5" t="s">
        <v>57237</v>
      </c>
      <c r="T5296" s="28">
        <v>5512519000</v>
      </c>
      <c r="U5296" s="28">
        <v>395110000</v>
      </c>
      <c r="V5296" s="28">
        <v>26180250000</v>
      </c>
      <c r="W5296" s="28"/>
      <c r="X5296" s="28">
        <v>509848000</v>
      </c>
      <c r="Y5296" s="28">
        <v>42007157000</v>
      </c>
      <c r="Z5296" s="28">
        <v>6223394000</v>
      </c>
      <c r="AA5296" s="28"/>
      <c r="AB5296" s="28">
        <v>300000000</v>
      </c>
      <c r="AC5296" s="28">
        <v>29785253000</v>
      </c>
      <c r="AD5296" s="28">
        <v>9129321000</v>
      </c>
      <c r="AE5296" s="28">
        <v>51814925000</v>
      </c>
      <c r="AF5296" s="28">
        <v>6482598000</v>
      </c>
      <c r="AG5296" s="11"/>
    </row>
    <row r="5297">
      <c r="A5297" s="7" t="s">
        <v>6912</v>
      </c>
      <c r="B5297" s="5" t="s">
        <v>14871</v>
      </c>
      <c r="C5297" s="5" t="s">
        <v>22577</v>
      </c>
      <c r="D5297" s="5" t="str">
        <v>245206901351</v>
      </c>
      <c r="E5297" s="0" t="e">
        <f>+7 (812) 4933855</f>
        <v>#NAME?</v>
      </c>
      <c r="F5297" s="5" t="s">
        <v>41005</v>
      </c>
      <c r="G5297" s="5" t="s">
        <v>41006</v>
      </c>
      <c r="H5297" s="26">
        <v>21.5</v>
      </c>
      <c r="I5297" s="5"/>
      <c r="J5297" s="5" t="s">
        <v>623</v>
      </c>
      <c r="K5297" s="5" t="s">
        <v>344</v>
      </c>
      <c r="L5297" s="5" t="s">
        <v>41007</v>
      </c>
      <c r="M5297" s="27"/>
      <c r="N5297" s="5" t="s">
        <v>57371</v>
      </c>
      <c r="O5297" s="5" t="str">
        <v>7805222129</v>
      </c>
      <c r="P5297" s="27">
        <v>50000000</v>
      </c>
      <c r="Q5297" s="5" t="s">
        <v>57372</v>
      </c>
      <c r="R5297" s="5"/>
      <c r="S5297" s="5" t="s">
        <v>57373</v>
      </c>
      <c r="T5297" s="28">
        <v>43557000</v>
      </c>
      <c r="U5297" s="28">
        <v>261828000</v>
      </c>
      <c r="V5297" s="28">
        <v>644924000</v>
      </c>
      <c r="W5297" s="28"/>
      <c r="X5297" s="28">
        <v>582308000</v>
      </c>
      <c r="Y5297" s="28">
        <v>1630853000</v>
      </c>
      <c r="Z5297" s="28">
        <v>721480000</v>
      </c>
      <c r="AA5297" s="28"/>
      <c r="AB5297" s="28"/>
      <c r="AC5297" s="28">
        <v>825740000</v>
      </c>
      <c r="AD5297" s="28">
        <v>773980000</v>
      </c>
      <c r="AE5297" s="28">
        <v>3707881000</v>
      </c>
      <c r="AF5297" s="28">
        <v>167453000</v>
      </c>
      <c r="AG5297" s="11"/>
    </row>
    <row r="5298">
      <c r="A5298" s="7" t="s">
        <v>6913</v>
      </c>
      <c r="B5298" s="5" t="s">
        <v>14872</v>
      </c>
      <c r="C5298" s="5" t="s">
        <v>22578</v>
      </c>
      <c r="D5298" s="5" t="str">
        <v>774304331301</v>
      </c>
      <c r="E5298" s="0" t="e">
        <f>+7 (495) 3848722
+7 (495) 7884488
+7 (495) 9564705
+7 (952) 4599298
+7 (495) 4246120
+7 (495) 9564704
+7 (812) 3318847</f>
        <v>#NAME?</v>
      </c>
      <c r="F5298" s="5" t="s">
        <v>41008</v>
      </c>
      <c r="G5298" s="5" t="s">
        <v>41009</v>
      </c>
      <c r="H5298" s="26">
        <v>22.5</v>
      </c>
      <c r="I5298" s="5" t="s">
        <v>41010</v>
      </c>
      <c r="J5298" s="5" t="s">
        <v>26308</v>
      </c>
      <c r="K5298" s="5" t="s">
        <v>355</v>
      </c>
      <c r="L5298" s="5"/>
      <c r="M5298" s="27">
        <v>38562029</v>
      </c>
      <c r="N5298" s="5" t="s">
        <v>57374</v>
      </c>
      <c r="O5298" s="5" t="str">
        <v>7737115648</v>
      </c>
      <c r="P5298" s="27">
        <v>1716653100</v>
      </c>
      <c r="Q5298" s="5" t="s">
        <v>57375</v>
      </c>
      <c r="R5298" s="5"/>
      <c r="S5298" s="5" t="s">
        <v>57376</v>
      </c>
      <c r="T5298" s="28">
        <v>3226972000</v>
      </c>
      <c r="U5298" s="28">
        <v>928259000</v>
      </c>
      <c r="V5298" s="28">
        <v>1583714000</v>
      </c>
      <c r="W5298" s="28">
        <v>178625000</v>
      </c>
      <c r="X5298" s="28">
        <v>60237000</v>
      </c>
      <c r="Y5298" s="28">
        <v>9186186000</v>
      </c>
      <c r="Z5298" s="28">
        <v>-1444222000</v>
      </c>
      <c r="AA5298" s="28">
        <v>4052177000</v>
      </c>
      <c r="AB5298" s="28">
        <v>1066238000</v>
      </c>
      <c r="AC5298" s="28">
        <v>2239074000</v>
      </c>
      <c r="AD5298" s="28">
        <v>481693000</v>
      </c>
      <c r="AE5298" s="28">
        <v>4436863000</v>
      </c>
      <c r="AF5298" s="28">
        <v>155898000</v>
      </c>
      <c r="AG5298" s="11"/>
    </row>
    <row r="5299">
      <c r="A5299" s="7" t="s">
        <v>6914</v>
      </c>
      <c r="B5299" s="5" t="s">
        <v>14873</v>
      </c>
      <c r="C5299" s="5" t="s">
        <v>22579</v>
      </c>
      <c r="D5299" s="5" t="str">
        <v>470502023078</v>
      </c>
      <c r="E5299" s="0" t="e">
        <f>+7 (495) 9594277
+7 (916) 4148270
+7 (925) 3774367
+7 (495) 6400440
+7 (495) 6400444
+7 (495) 6404440
+7 (495) 6404441
+7 (495) 6406547
+7 (495) 6800001
+7 (495) 6800034
+7 (499) 7000111
+7 (812) 6800033
+7 (911) 8377156</f>
        <v>#NAME?</v>
      </c>
      <c r="F5299" s="5" t="s">
        <v>41011</v>
      </c>
      <c r="G5299" s="5" t="s">
        <v>41012</v>
      </c>
      <c r="H5299" s="26">
        <v>16</v>
      </c>
      <c r="I5299" s="5" t="s">
        <v>41013</v>
      </c>
      <c r="J5299" s="5" t="s">
        <v>343</v>
      </c>
      <c r="K5299" s="5"/>
      <c r="L5299" s="5"/>
      <c r="M5299" s="27">
        <v>441602</v>
      </c>
      <c r="N5299" s="5" t="s">
        <v>57377</v>
      </c>
      <c r="O5299" s="5" t="str">
        <v>7706412930</v>
      </c>
      <c r="P5299" s="27"/>
      <c r="Q5299" s="5" t="s">
        <v>57378</v>
      </c>
      <c r="R5299" s="5"/>
      <c r="S5299" s="5" t="s">
        <v>50047</v>
      </c>
      <c r="T5299" s="28">
        <v>226344000</v>
      </c>
      <c r="U5299" s="28">
        <v>6210000</v>
      </c>
      <c r="V5299" s="28">
        <v>1049225000</v>
      </c>
      <c r="W5299" s="28">
        <v>516000000</v>
      </c>
      <c r="X5299" s="28">
        <v>367849000</v>
      </c>
      <c r="Y5299" s="28">
        <v>2351088000</v>
      </c>
      <c r="Z5299" s="28"/>
      <c r="AA5299" s="28"/>
      <c r="AB5299" s="28"/>
      <c r="AC5299" s="28">
        <v>760396000</v>
      </c>
      <c r="AD5299" s="28">
        <v>1421128000</v>
      </c>
      <c r="AE5299" s="28">
        <v>9391712000</v>
      </c>
      <c r="AF5299" s="28">
        <v>580513000</v>
      </c>
      <c r="AG5299" s="11"/>
    </row>
    <row r="5300">
      <c r="A5300" s="7" t="s">
        <v>6915</v>
      </c>
      <c r="B5300" s="5" t="s">
        <v>14874</v>
      </c>
      <c r="C5300" s="5" t="s">
        <v>22580</v>
      </c>
      <c r="D5300" s="5" t="str">
        <v>672500428864</v>
      </c>
      <c r="E5300" s="0" t="e">
        <f>+7 (48134) 40263
+7 (48134) 41452
+7 (48134) 41757
+7 (48134) 52505
+7 (48134) 52521
+7 (48134) 62982</f>
        <v>#NAME?</v>
      </c>
      <c r="F5300" s="5" t="s">
        <v>41014</v>
      </c>
      <c r="G5300" s="5" t="s">
        <v>41015</v>
      </c>
      <c r="H5300" s="26">
        <v>17</v>
      </c>
      <c r="I5300" s="5"/>
      <c r="J5300" s="5" t="s">
        <v>27712</v>
      </c>
      <c r="K5300" s="5" t="s">
        <v>344</v>
      </c>
      <c r="L5300" s="5"/>
      <c r="M5300" s="27">
        <v>1591487</v>
      </c>
      <c r="N5300" s="5" t="s">
        <v>50367</v>
      </c>
      <c r="O5300" s="5" t="str">
        <v>6725012043</v>
      </c>
      <c r="P5300" s="27">
        <v>870808000</v>
      </c>
      <c r="Q5300" s="5" t="s">
        <v>57379</v>
      </c>
      <c r="R5300" s="5"/>
      <c r="S5300" s="5" t="s">
        <v>49956</v>
      </c>
      <c r="T5300" s="28">
        <v>884138000</v>
      </c>
      <c r="U5300" s="28"/>
      <c r="V5300" s="28">
        <v>1529518000</v>
      </c>
      <c r="W5300" s="28"/>
      <c r="X5300" s="28">
        <v>192434000</v>
      </c>
      <c r="Y5300" s="28">
        <v>4441876000</v>
      </c>
      <c r="Z5300" s="28">
        <v>357218000</v>
      </c>
      <c r="AA5300" s="28">
        <v>398000000</v>
      </c>
      <c r="AB5300" s="28">
        <v>1000000000</v>
      </c>
      <c r="AC5300" s="28">
        <v>2716456000</v>
      </c>
      <c r="AD5300" s="28">
        <v>1276261000</v>
      </c>
      <c r="AE5300" s="28">
        <v>12496376000</v>
      </c>
      <c r="AF5300" s="28">
        <v>244173000</v>
      </c>
      <c r="AG5300" s="11"/>
    </row>
    <row r="5301">
      <c r="A5301" s="7" t="s">
        <v>6916</v>
      </c>
      <c r="B5301" s="5" t="s">
        <v>14875</v>
      </c>
      <c r="C5301" s="5" t="s">
        <v>22581</v>
      </c>
      <c r="D5301" s="5" t="str">
        <v>972903997300</v>
      </c>
      <c r="E5301" s="0" t="e">
        <f>+7 (495) 7818142
+7 (495) 7818141
+7 (495) 7819796</f>
        <v>#NAME?</v>
      </c>
      <c r="F5301" s="5"/>
      <c r="G5301" s="5"/>
      <c r="H5301" s="26">
        <v>19.5</v>
      </c>
      <c r="I5301" s="5" t="s">
        <v>41016</v>
      </c>
      <c r="J5301" s="5" t="s">
        <v>27640</v>
      </c>
      <c r="K5301" s="5" t="s">
        <v>355</v>
      </c>
      <c r="L5301" s="5"/>
      <c r="M5301" s="27"/>
      <c r="N5301" s="5"/>
      <c r="O5301" s="5" t="str">
        <v>7719284001</v>
      </c>
      <c r="P5301" s="27">
        <v>5532911647</v>
      </c>
      <c r="Q5301" s="5"/>
      <c r="R5301" s="5"/>
      <c r="S5301" s="5" t="s">
        <v>49110</v>
      </c>
      <c r="T5301" s="28">
        <v>28862241000</v>
      </c>
      <c r="U5301" s="28"/>
      <c r="V5301" s="28">
        <v>193360000</v>
      </c>
      <c r="W5301" s="28"/>
      <c r="X5301" s="28">
        <v>774180000</v>
      </c>
      <c r="Y5301" s="28">
        <v>33877081000</v>
      </c>
      <c r="Z5301" s="28">
        <v>-20163815000</v>
      </c>
      <c r="AA5301" s="28">
        <v>7117440000</v>
      </c>
      <c r="AB5301" s="28">
        <v>685062000</v>
      </c>
      <c r="AC5301" s="28">
        <v>1075494000</v>
      </c>
      <c r="AD5301" s="28">
        <v>24402374000</v>
      </c>
      <c r="AE5301" s="28">
        <v>3052382000</v>
      </c>
      <c r="AF5301" s="28">
        <v>289145000</v>
      </c>
      <c r="AG5301" s="11"/>
    </row>
    <row r="5302">
      <c r="A5302" s="7" t="s">
        <v>6917</v>
      </c>
      <c r="B5302" s="5" t="s">
        <v>14876</v>
      </c>
      <c r="C5302" s="5" t="s">
        <v>22582</v>
      </c>
      <c r="D5302" s="5" t="str">
        <v>780222896677</v>
      </c>
      <c r="E5302" s="0" t="e">
        <f>+7 (495) 4117761
+7 (401) 2310100
+7 (401) 2362102
+7 (401) 2362104
+7 (401) 2362160
+7 (401) 2362166
+7 (4232) 498450
+7 (42376) 92123
+7 (42137) 76690
+7 (42137) 77591
+7 (42435) 44819
+7 (427) 2220562
+7 (427) 2224116
+7 (495) 4116342
+7 (495) 6261239</f>
        <v>#NAME?</v>
      </c>
      <c r="F5302" s="5" t="s">
        <v>41017</v>
      </c>
      <c r="G5302" s="5" t="s">
        <v>41018</v>
      </c>
      <c r="H5302" s="26">
        <v>20</v>
      </c>
      <c r="I5302" s="5" t="s">
        <v>41019</v>
      </c>
      <c r="J5302" s="5" t="s">
        <v>29001</v>
      </c>
      <c r="K5302" s="5" t="s">
        <v>344</v>
      </c>
      <c r="L5302" s="5"/>
      <c r="M5302" s="27">
        <v>842361094</v>
      </c>
      <c r="N5302" s="5" t="s">
        <v>57380</v>
      </c>
      <c r="O5302" s="5" t="str">
        <v>7702352454</v>
      </c>
      <c r="P5302" s="27">
        <v>121224253600</v>
      </c>
      <c r="Q5302" s="5" t="s">
        <v>57381</v>
      </c>
      <c r="R5302" s="5"/>
      <c r="S5302" s="5" t="s">
        <v>57382</v>
      </c>
      <c r="T5302" s="28">
        <v>36710556000</v>
      </c>
      <c r="U5302" s="28">
        <v>957866000</v>
      </c>
      <c r="V5302" s="28">
        <v>2611677000</v>
      </c>
      <c r="W5302" s="28">
        <v>1415000</v>
      </c>
      <c r="X5302" s="28">
        <v>7517669000</v>
      </c>
      <c r="Y5302" s="28">
        <v>150477806000</v>
      </c>
      <c r="Z5302" s="28">
        <v>-67676266000</v>
      </c>
      <c r="AA5302" s="28">
        <v>2625000000</v>
      </c>
      <c r="AB5302" s="28">
        <v>3943336000</v>
      </c>
      <c r="AC5302" s="28">
        <v>15520896000</v>
      </c>
      <c r="AD5302" s="28">
        <v>120116438000</v>
      </c>
      <c r="AE5302" s="28">
        <v>36588437000</v>
      </c>
      <c r="AF5302" s="28">
        <v>2137959000</v>
      </c>
      <c r="AG5302" s="11"/>
    </row>
    <row r="5303">
      <c r="A5303" s="7" t="s">
        <v>6918</v>
      </c>
      <c r="B5303" s="5" t="s">
        <v>14877</v>
      </c>
      <c r="C5303" s="5" t="s">
        <v>22583</v>
      </c>
      <c r="D5303" s="5" t="str">
        <v>772422485375</v>
      </c>
      <c r="E5303" s="0" t="e">
        <f>+7 (495) 9337071
+7 (903) 2621103
+7 (495) 9337136
+7 (495) 9337170</f>
        <v>#NAME?</v>
      </c>
      <c r="F5303" s="5" t="s">
        <v>41020</v>
      </c>
      <c r="G5303" s="5" t="s">
        <v>41021</v>
      </c>
      <c r="H5303" s="26">
        <v>22</v>
      </c>
      <c r="I5303" s="5" t="s">
        <v>41022</v>
      </c>
      <c r="J5303" s="5" t="s">
        <v>32180</v>
      </c>
      <c r="K5303" s="5" t="s">
        <v>344</v>
      </c>
      <c r="L5303" s="5" t="s">
        <v>41023</v>
      </c>
      <c r="M5303" s="27"/>
      <c r="N5303" s="5" t="s">
        <v>57383</v>
      </c>
      <c r="O5303" s="5" t="str">
        <v>7728313019</v>
      </c>
      <c r="P5303" s="27">
        <v>30000</v>
      </c>
      <c r="Q5303" s="5"/>
      <c r="R5303" s="5"/>
      <c r="S5303" s="5" t="s">
        <v>49499</v>
      </c>
      <c r="T5303" s="28">
        <v>163401000</v>
      </c>
      <c r="U5303" s="28">
        <v>13000</v>
      </c>
      <c r="V5303" s="28">
        <v>2484621000</v>
      </c>
      <c r="W5303" s="28"/>
      <c r="X5303" s="28">
        <v>18568000</v>
      </c>
      <c r="Y5303" s="28">
        <v>4431422000</v>
      </c>
      <c r="Z5303" s="28">
        <v>1307699000</v>
      </c>
      <c r="AA5303" s="28">
        <v>1282000000</v>
      </c>
      <c r="AB5303" s="28">
        <v>10616000</v>
      </c>
      <c r="AC5303" s="28">
        <v>1736224000</v>
      </c>
      <c r="AD5303" s="28">
        <v>1307729000</v>
      </c>
      <c r="AE5303" s="28">
        <v>5688677000</v>
      </c>
      <c r="AF5303" s="28">
        <v>715706000</v>
      </c>
      <c r="AG5303" s="11"/>
    </row>
    <row r="5304">
      <c r="A5304" s="7" t="s">
        <v>6919</v>
      </c>
      <c r="B5304" s="5" t="s">
        <v>14878</v>
      </c>
      <c r="C5304" s="5" t="s">
        <v>22584</v>
      </c>
      <c r="D5304" s="5" t="str">
        <v>631207998304</v>
      </c>
      <c r="E5304" s="0" t="e">
        <f>+7 (909) 3290994
+7 (84622) 17442
+7 (84622) 19442
+7 (84622) 19447
+7 (84622) 65640
+7 (84622) 65656
+7 (84627) 61500
+7 (84627) 61512
+7 (84627) 61555
+7 (84627) 61600
+7 (84627) 61616
+7 (84627) 61618
+7 (84627) 61661
+7 (960) 8087927</f>
        <v>#NAME?</v>
      </c>
      <c r="F5304" s="5" t="s">
        <v>41024</v>
      </c>
      <c r="G5304" s="5" t="s">
        <v>41025</v>
      </c>
      <c r="H5304" s="26">
        <v>13</v>
      </c>
      <c r="I5304" s="5" t="s">
        <v>41026</v>
      </c>
      <c r="J5304" s="5" t="s">
        <v>31059</v>
      </c>
      <c r="K5304" s="5" t="s">
        <v>344</v>
      </c>
      <c r="L5304" s="5" t="s">
        <v>41027</v>
      </c>
      <c r="M5304" s="27"/>
      <c r="N5304" s="5" t="s">
        <v>57384</v>
      </c>
      <c r="O5304" s="5" t="str">
        <v>6829063243</v>
      </c>
      <c r="P5304" s="27">
        <v>1061741</v>
      </c>
      <c r="Q5304" s="5" t="s">
        <v>57385</v>
      </c>
      <c r="R5304" s="5"/>
      <c r="S5304" s="5" t="s">
        <v>57386</v>
      </c>
      <c r="T5304" s="28">
        <v>315289000</v>
      </c>
      <c r="U5304" s="28"/>
      <c r="V5304" s="28">
        <v>265890000</v>
      </c>
      <c r="W5304" s="28">
        <v>500000</v>
      </c>
      <c r="X5304" s="28">
        <v>56264000</v>
      </c>
      <c r="Y5304" s="28">
        <v>1819971000</v>
      </c>
      <c r="Z5304" s="28">
        <v>793941000</v>
      </c>
      <c r="AA5304" s="28">
        <v>224544000</v>
      </c>
      <c r="AB5304" s="28">
        <v>39284000</v>
      </c>
      <c r="AC5304" s="28">
        <v>689178000</v>
      </c>
      <c r="AD5304" s="28">
        <v>795162000</v>
      </c>
      <c r="AE5304" s="28">
        <v>6402790000</v>
      </c>
      <c r="AF5304" s="28">
        <v>-71277000</v>
      </c>
      <c r="AG5304" s="11"/>
    </row>
    <row r="5305">
      <c r="A5305" s="7" t="s">
        <v>6920</v>
      </c>
      <c r="B5305" s="5" t="s">
        <v>14879</v>
      </c>
      <c r="C5305" s="5" t="s">
        <v>22585</v>
      </c>
      <c r="D5305" s="5" t="str">
        <v>650100145537</v>
      </c>
      <c r="E5305" s="0" t="e">
        <f>+7 (4232) 225698
+7 (424) 2421515
+7 (424) 2425415
+7 (424) 2435475
+7 (424) 2436589
+7 (424) 2451515
+7 (424) 2470232
+7 (424) 2723002</f>
        <v>#NAME?</v>
      </c>
      <c r="F5305" s="5"/>
      <c r="G5305" s="5"/>
      <c r="H5305" s="26">
        <v>12</v>
      </c>
      <c r="I5305" s="5" t="s">
        <v>41028</v>
      </c>
      <c r="J5305" s="5" t="s">
        <v>26424</v>
      </c>
      <c r="K5305" s="5" t="s">
        <v>344</v>
      </c>
      <c r="L5305" s="5" t="s">
        <v>41029</v>
      </c>
      <c r="M5305" s="27"/>
      <c r="N5305" s="5"/>
      <c r="O5305" s="5" t="str">
        <v>6501237700</v>
      </c>
      <c r="P5305" s="27">
        <v>98400</v>
      </c>
      <c r="Q5305" s="5"/>
      <c r="R5305" s="5" t="s">
        <v>57387</v>
      </c>
      <c r="S5305" s="5" t="s">
        <v>49425</v>
      </c>
      <c r="T5305" s="28">
        <v>2084349000</v>
      </c>
      <c r="U5305" s="28"/>
      <c r="V5305" s="28">
        <v>1399759000</v>
      </c>
      <c r="W5305" s="28">
        <v>1172455000</v>
      </c>
      <c r="X5305" s="28">
        <v>150098000</v>
      </c>
      <c r="Y5305" s="28">
        <v>7067319000</v>
      </c>
      <c r="Z5305" s="28">
        <v>3245374000</v>
      </c>
      <c r="AA5305" s="28"/>
      <c r="AB5305" s="28"/>
      <c r="AC5305" s="28">
        <v>3484315000</v>
      </c>
      <c r="AD5305" s="28">
        <v>3245476000</v>
      </c>
      <c r="AE5305" s="28">
        <v>8921818000</v>
      </c>
      <c r="AF5305" s="28">
        <v>436988000</v>
      </c>
      <c r="AG5305" s="11"/>
    </row>
    <row r="5306">
      <c r="A5306" s="7" t="s">
        <v>6921</v>
      </c>
      <c r="B5306" s="5" t="s">
        <v>14880</v>
      </c>
      <c r="C5306" s="5" t="s">
        <v>22586</v>
      </c>
      <c r="D5306" s="5" t="str">
        <v>212913518623</v>
      </c>
      <c r="E5306" s="0" t="e">
        <f>+7 (383) 3750307
+7 (499) 7556618
+7 (812) 4584430
+7 (812) 9031061</f>
        <v>#NAME?</v>
      </c>
      <c r="F5306" s="5" t="s">
        <v>41030</v>
      </c>
      <c r="G5306" s="5" t="s">
        <v>41031</v>
      </c>
      <c r="H5306" s="26">
        <v>15</v>
      </c>
      <c r="I5306" s="5" t="s">
        <v>41032</v>
      </c>
      <c r="J5306" s="5" t="s">
        <v>947</v>
      </c>
      <c r="K5306" s="5" t="s">
        <v>344</v>
      </c>
      <c r="L5306" s="5" t="s">
        <v>41033</v>
      </c>
      <c r="M5306" s="27"/>
      <c r="N5306" s="5"/>
      <c r="O5306" s="5" t="str">
        <v>2130032913</v>
      </c>
      <c r="P5306" s="27">
        <v>15000</v>
      </c>
      <c r="Q5306" s="5" t="s">
        <v>49009</v>
      </c>
      <c r="R5306" s="5"/>
      <c r="S5306" s="5" t="s">
        <v>49358</v>
      </c>
      <c r="T5306" s="28">
        <v>278532000</v>
      </c>
      <c r="U5306" s="28"/>
      <c r="V5306" s="28">
        <v>1646090000</v>
      </c>
      <c r="W5306" s="28">
        <v>19000000</v>
      </c>
      <c r="X5306" s="28">
        <v>245995000</v>
      </c>
      <c r="Y5306" s="28">
        <v>5085888000</v>
      </c>
      <c r="Z5306" s="28">
        <v>2234120000</v>
      </c>
      <c r="AA5306" s="28"/>
      <c r="AB5306" s="28"/>
      <c r="AC5306" s="28">
        <v>2837774000</v>
      </c>
      <c r="AD5306" s="28">
        <v>2234135000</v>
      </c>
      <c r="AE5306" s="28">
        <v>7959018000</v>
      </c>
      <c r="AF5306" s="28">
        <v>960656000</v>
      </c>
      <c r="AG5306" s="11"/>
    </row>
    <row r="5307">
      <c r="A5307" s="7" t="s">
        <v>6922</v>
      </c>
      <c r="B5307" s="5" t="s">
        <v>14881</v>
      </c>
      <c r="C5307" s="5" t="s">
        <v>21777</v>
      </c>
      <c r="D5307" s="5" t="str">
        <v>782509835920</v>
      </c>
      <c r="E5307" s="0" t="e">
        <f>+7 (401) 2356317
+7 (401) 2436026
+7 (401) 2530026
+7 (401) 2531840
+7 (401) 2532945
+7 (401) 2532997
+7 (401) 2533203
+7 (401) 2533342
+7 (401) 2535514
+7 (401) 2536514
+7 (401) 2576200
+7 (401) 2576221
+7 (401) 2576234
+7 (401) 2576250
+7 (401) 2576261</f>
        <v>#NAME?</v>
      </c>
      <c r="F5307" s="5" t="s">
        <v>41034</v>
      </c>
      <c r="G5307" s="5" t="s">
        <v>41035</v>
      </c>
      <c r="H5307" s="26">
        <v>30</v>
      </c>
      <c r="I5307" s="5"/>
      <c r="J5307" s="5" t="s">
        <v>27802</v>
      </c>
      <c r="K5307" s="5" t="s">
        <v>344</v>
      </c>
      <c r="L5307" s="5"/>
      <c r="M5307" s="27">
        <v>12728955</v>
      </c>
      <c r="N5307" s="5" t="s">
        <v>57388</v>
      </c>
      <c r="O5307" s="5" t="str">
        <v>3903007130</v>
      </c>
      <c r="P5307" s="27">
        <v>4201374934</v>
      </c>
      <c r="Q5307" s="5" t="s">
        <v>57389</v>
      </c>
      <c r="R5307" s="5" t="s">
        <v>57390</v>
      </c>
      <c r="S5307" s="5" t="s">
        <v>57391</v>
      </c>
      <c r="T5307" s="28">
        <v>22527321000</v>
      </c>
      <c r="U5307" s="28">
        <v>405678000</v>
      </c>
      <c r="V5307" s="28">
        <v>820940000</v>
      </c>
      <c r="W5307" s="28"/>
      <c r="X5307" s="28">
        <v>347451000</v>
      </c>
      <c r="Y5307" s="28">
        <v>26225431000</v>
      </c>
      <c r="Z5307" s="28">
        <v>-1150105000</v>
      </c>
      <c r="AA5307" s="28">
        <v>2750000000</v>
      </c>
      <c r="AB5307" s="28">
        <v>6148000</v>
      </c>
      <c r="AC5307" s="28">
        <v>3221463000</v>
      </c>
      <c r="AD5307" s="28">
        <v>17800392000</v>
      </c>
      <c r="AE5307" s="28">
        <v>8331230000</v>
      </c>
      <c r="AF5307" s="28">
        <v>841631000</v>
      </c>
      <c r="AG5307" s="11"/>
    </row>
    <row r="5308">
      <c r="A5308" s="7" t="s">
        <v>6923</v>
      </c>
      <c r="B5308" s="5" t="s">
        <v>14882</v>
      </c>
      <c r="C5308" s="5" t="s">
        <v>22587</v>
      </c>
      <c r="D5308" s="5" t="str">
        <v>362700566391</v>
      </c>
      <c r="E5308" s="0" t="e">
        <f>+7 (473) 2100520
+7 (47396) 20311
+7 (47396) 20990
+7 (47396) 22930
+7 (47396) 25623
+7 (47396) 26143
+7 (47396) 26566
+7 (47396) 27145
+7 (47396) 57899
+7 (910) 3400353</f>
        <v>#NAME?</v>
      </c>
      <c r="F5308" s="5" t="s">
        <v>41036</v>
      </c>
      <c r="G5308" s="5"/>
      <c r="H5308" s="26">
        <v>23</v>
      </c>
      <c r="I5308" s="5" t="s">
        <v>41037</v>
      </c>
      <c r="J5308" s="5" t="s">
        <v>467</v>
      </c>
      <c r="K5308" s="5" t="s">
        <v>344</v>
      </c>
      <c r="L5308" s="5"/>
      <c r="M5308" s="27"/>
      <c r="N5308" s="5" t="s">
        <v>57392</v>
      </c>
      <c r="O5308" s="5" t="str">
        <v>3627016580</v>
      </c>
      <c r="P5308" s="27">
        <v>1762026</v>
      </c>
      <c r="Q5308" s="5" t="s">
        <v>57393</v>
      </c>
      <c r="R5308" s="5"/>
      <c r="S5308" s="5" t="s">
        <v>57394</v>
      </c>
      <c r="T5308" s="28">
        <v>322460000</v>
      </c>
      <c r="U5308" s="28"/>
      <c r="V5308" s="28">
        <v>42564000</v>
      </c>
      <c r="W5308" s="28">
        <v>6500000</v>
      </c>
      <c r="X5308" s="28">
        <v>16928000</v>
      </c>
      <c r="Y5308" s="28">
        <v>521722000</v>
      </c>
      <c r="Z5308" s="28">
        <v>112198000</v>
      </c>
      <c r="AA5308" s="28">
        <v>41755000</v>
      </c>
      <c r="AB5308" s="28">
        <v>140000000</v>
      </c>
      <c r="AC5308" s="28">
        <v>365567000</v>
      </c>
      <c r="AD5308" s="28">
        <v>114400000</v>
      </c>
      <c r="AE5308" s="28">
        <v>3060684000</v>
      </c>
      <c r="AF5308" s="28">
        <v>26707000</v>
      </c>
      <c r="AG5308" s="11"/>
    </row>
    <row r="5309">
      <c r="A5309" s="7" t="s">
        <v>6924</v>
      </c>
      <c r="B5309" s="5" t="s">
        <v>14883</v>
      </c>
      <c r="C5309" s="5" t="s">
        <v>22588</v>
      </c>
      <c r="D5309" s="5" t="str">
        <v>773128384208</v>
      </c>
      <c r="E5309" s="0" t="e">
        <f>+7 (985) 2580247
+7 (495) 6905206
+7 (495) 7392979</f>
        <v>#NAME?</v>
      </c>
      <c r="F5309" s="5" t="s">
        <v>41038</v>
      </c>
      <c r="G5309" s="5"/>
      <c r="H5309" s="26">
        <v>15.5</v>
      </c>
      <c r="I5309" s="5"/>
      <c r="J5309" s="5" t="s">
        <v>678</v>
      </c>
      <c r="K5309" s="5" t="s">
        <v>344</v>
      </c>
      <c r="L5309" s="5" t="s">
        <v>41039</v>
      </c>
      <c r="M5309" s="27"/>
      <c r="N5309" s="5" t="s">
        <v>57395</v>
      </c>
      <c r="O5309" s="5" t="str">
        <v>7707644690</v>
      </c>
      <c r="P5309" s="27">
        <v>100000</v>
      </c>
      <c r="Q5309" s="5" t="s">
        <v>49021</v>
      </c>
      <c r="R5309" s="5"/>
      <c r="S5309" s="5" t="s">
        <v>57396</v>
      </c>
      <c r="T5309" s="28">
        <v>628096000</v>
      </c>
      <c r="U5309" s="28"/>
      <c r="V5309" s="28">
        <v>2420686000</v>
      </c>
      <c r="W5309" s="28"/>
      <c r="X5309" s="28">
        <v>106601000</v>
      </c>
      <c r="Y5309" s="28">
        <v>3979536000</v>
      </c>
      <c r="Z5309" s="28">
        <v>1997688000</v>
      </c>
      <c r="AA5309" s="28"/>
      <c r="AB5309" s="28">
        <v>193504000</v>
      </c>
      <c r="AC5309" s="28">
        <v>1961237000</v>
      </c>
      <c r="AD5309" s="28">
        <v>1997798000</v>
      </c>
      <c r="AE5309" s="28">
        <v>4069017000</v>
      </c>
      <c r="AF5309" s="28">
        <v>545847000</v>
      </c>
      <c r="AG5309" s="11"/>
    </row>
    <row r="5310">
      <c r="A5310" s="7" t="s">
        <v>6925</v>
      </c>
      <c r="B5310" s="5" t="s">
        <v>14884</v>
      </c>
      <c r="C5310" s="5" t="s">
        <v>22589</v>
      </c>
      <c r="D5310" s="5" t="str">
        <v>561000557116</v>
      </c>
      <c r="F5310" s="5"/>
      <c r="G5310" s="5"/>
      <c r="H5310" s="26">
        <v>8.5</v>
      </c>
      <c r="I5310" s="5" t="s">
        <v>41040</v>
      </c>
      <c r="J5310" s="5" t="s">
        <v>25327</v>
      </c>
      <c r="K5310" s="5" t="s">
        <v>344</v>
      </c>
      <c r="L5310" s="5"/>
      <c r="M5310" s="27">
        <v>63250396</v>
      </c>
      <c r="N5310" s="5"/>
      <c r="O5310" s="5" t="str">
        <v>5611071357</v>
      </c>
      <c r="P5310" s="27">
        <v>500000</v>
      </c>
      <c r="Q5310" s="5" t="s">
        <v>57397</v>
      </c>
      <c r="R5310" s="5"/>
      <c r="S5310" s="5" t="s">
        <v>49358</v>
      </c>
      <c r="T5310" s="28">
        <v>4036000</v>
      </c>
      <c r="U5310" s="28">
        <v>30262000</v>
      </c>
      <c r="V5310" s="28">
        <v>4580567000</v>
      </c>
      <c r="W5310" s="28">
        <v>208013000</v>
      </c>
      <c r="X5310" s="28">
        <v>398069000</v>
      </c>
      <c r="Y5310" s="28">
        <v>5505573000</v>
      </c>
      <c r="Z5310" s="28">
        <v>1026052000</v>
      </c>
      <c r="AA5310" s="28"/>
      <c r="AB5310" s="28">
        <v>54964000</v>
      </c>
      <c r="AC5310" s="28">
        <v>5023274000</v>
      </c>
      <c r="AD5310" s="28">
        <v>415425000</v>
      </c>
      <c r="AE5310" s="28">
        <v>22007611000</v>
      </c>
      <c r="AF5310" s="28">
        <v>492954000</v>
      </c>
      <c r="AG5310" s="11"/>
    </row>
    <row r="5311">
      <c r="A5311" s="7" t="s">
        <v>6926</v>
      </c>
      <c r="B5311" s="5" t="s">
        <v>14885</v>
      </c>
      <c r="C5311" s="5" t="s">
        <v>22590</v>
      </c>
      <c r="D5311" s="5"/>
      <c r="E5311" s="0" t="e">
        <f>+7 (383) 3634742
+7 (923) 1772545
+7 (960) 9792079
+7 (967) 6233035
+7 (905) 945631
+7 (960) 7961442</f>
        <v>#NAME?</v>
      </c>
      <c r="F5311" s="5" t="s">
        <v>41041</v>
      </c>
      <c r="G5311" s="5"/>
      <c r="H5311" s="26">
        <v>3.5</v>
      </c>
      <c r="I5311" s="5" t="s">
        <v>41042</v>
      </c>
      <c r="J5311" s="5" t="s">
        <v>25837</v>
      </c>
      <c r="K5311" s="5" t="s">
        <v>344</v>
      </c>
      <c r="L5311" s="5" t="s">
        <v>41043</v>
      </c>
      <c r="M5311" s="27">
        <v>13337182</v>
      </c>
      <c r="N5311" s="5" t="s">
        <v>57398</v>
      </c>
      <c r="O5311" s="5" t="str">
        <v>5405047292</v>
      </c>
      <c r="P5311" s="27">
        <v>46000000</v>
      </c>
      <c r="Q5311" s="5" t="s">
        <v>57399</v>
      </c>
      <c r="R5311" s="5"/>
      <c r="S5311" s="5" t="s">
        <v>49085</v>
      </c>
      <c r="T5311" s="28">
        <v>147743000</v>
      </c>
      <c r="U5311" s="28"/>
      <c r="V5311" s="28">
        <v>760425000</v>
      </c>
      <c r="W5311" s="28">
        <v>16634000</v>
      </c>
      <c r="X5311" s="28">
        <v>59666000</v>
      </c>
      <c r="Y5311" s="28">
        <v>1584906000</v>
      </c>
      <c r="Z5311" s="28">
        <v>185883000</v>
      </c>
      <c r="AA5311" s="28">
        <v>319202000</v>
      </c>
      <c r="AB5311" s="28">
        <v>547146000</v>
      </c>
      <c r="AC5311" s="28">
        <v>903588000</v>
      </c>
      <c r="AD5311" s="28">
        <v>271883000</v>
      </c>
      <c r="AE5311" s="28">
        <v>4590200000</v>
      </c>
      <c r="AF5311" s="28">
        <v>46375000</v>
      </c>
      <c r="AG5311" s="11"/>
    </row>
    <row r="5312">
      <c r="A5312" s="7" t="s">
        <v>6927</v>
      </c>
      <c r="B5312" s="5" t="s">
        <v>14886</v>
      </c>
      <c r="C5312" s="5" t="s">
        <v>22591</v>
      </c>
      <c r="D5312" s="5" t="str">
        <v>771816015769</v>
      </c>
      <c r="E5312" s="0" t="e">
        <f>+7 (495) 6369113
+7 (495) 9933482
+7 (495) 9934635
+7 (495) 9934636
+7 (495) 9935363
+7 (49653) 17504
+7 (800) 3336566</f>
        <v>#NAME?</v>
      </c>
      <c r="F5312" s="5" t="s">
        <v>41044</v>
      </c>
      <c r="G5312" s="5" t="s">
        <v>41045</v>
      </c>
      <c r="H5312" s="26">
        <v>24</v>
      </c>
      <c r="I5312" s="5" t="s">
        <v>41046</v>
      </c>
      <c r="J5312" s="5" t="s">
        <v>25231</v>
      </c>
      <c r="K5312" s="5" t="s">
        <v>344</v>
      </c>
      <c r="L5312" s="5" t="s">
        <v>41047</v>
      </c>
      <c r="M5312" s="27">
        <v>147700000</v>
      </c>
      <c r="N5312" s="5"/>
      <c r="O5312" s="5" t="str">
        <v>5038030290</v>
      </c>
      <c r="P5312" s="27">
        <v>1000000</v>
      </c>
      <c r="Q5312" s="5" t="s">
        <v>49009</v>
      </c>
      <c r="R5312" s="5"/>
      <c r="S5312" s="5" t="s">
        <v>49028</v>
      </c>
      <c r="T5312" s="28">
        <v>507672000</v>
      </c>
      <c r="U5312" s="28">
        <v>555000</v>
      </c>
      <c r="V5312" s="28">
        <v>816534000</v>
      </c>
      <c r="W5312" s="28">
        <v>423995000</v>
      </c>
      <c r="X5312" s="28">
        <v>400666000</v>
      </c>
      <c r="Y5312" s="28">
        <v>3702733000</v>
      </c>
      <c r="Z5312" s="28">
        <v>1500187000</v>
      </c>
      <c r="AA5312" s="28">
        <v>550000</v>
      </c>
      <c r="AB5312" s="28">
        <v>500000000</v>
      </c>
      <c r="AC5312" s="28">
        <v>2198047000</v>
      </c>
      <c r="AD5312" s="28">
        <v>1504136000</v>
      </c>
      <c r="AE5312" s="28">
        <v>14568751000</v>
      </c>
      <c r="AF5312" s="28">
        <v>276984000</v>
      </c>
      <c r="AG5312" s="11"/>
    </row>
    <row r="5313">
      <c r="A5313" s="7" t="s">
        <v>6928</v>
      </c>
      <c r="B5313" s="5" t="s">
        <v>14887</v>
      </c>
      <c r="C5313" s="5" t="s">
        <v>22592</v>
      </c>
      <c r="D5313" s="5" t="str">
        <v>772822183844</v>
      </c>
      <c r="E5313" s="0" t="e">
        <f>+7 (903) 9752020</f>
        <v>#NAME?</v>
      </c>
      <c r="F5313" s="5" t="s">
        <v>41048</v>
      </c>
      <c r="G5313" s="5"/>
      <c r="H5313" s="26">
        <v>16.5</v>
      </c>
      <c r="I5313" s="5" t="s">
        <v>41049</v>
      </c>
      <c r="J5313" s="5" t="s">
        <v>25499</v>
      </c>
      <c r="K5313" s="5" t="s">
        <v>344</v>
      </c>
      <c r="L5313" s="5" t="s">
        <v>41050</v>
      </c>
      <c r="M5313" s="27"/>
      <c r="N5313" s="5"/>
      <c r="O5313" s="5" t="str">
        <v>5038053515</v>
      </c>
      <c r="P5313" s="27">
        <v>10000</v>
      </c>
      <c r="Q5313" s="5"/>
      <c r="R5313" s="5"/>
      <c r="S5313" s="5" t="s">
        <v>49110</v>
      </c>
      <c r="T5313" s="28">
        <v>5258000</v>
      </c>
      <c r="U5313" s="28"/>
      <c r="V5313" s="28">
        <v>331775000</v>
      </c>
      <c r="W5313" s="28"/>
      <c r="X5313" s="28">
        <v>7101000</v>
      </c>
      <c r="Y5313" s="28">
        <v>344666000</v>
      </c>
      <c r="Z5313" s="28">
        <v>216366000</v>
      </c>
      <c r="AA5313" s="28"/>
      <c r="AB5313" s="28"/>
      <c r="AC5313" s="28">
        <v>128290000</v>
      </c>
      <c r="AD5313" s="28">
        <v>216376000</v>
      </c>
      <c r="AE5313" s="28">
        <v>8491714000</v>
      </c>
      <c r="AF5313" s="28">
        <v>31604000</v>
      </c>
      <c r="AG5313" s="11"/>
    </row>
    <row r="5314">
      <c r="A5314" s="7" t="s">
        <v>6929</v>
      </c>
      <c r="B5314" s="5" t="s">
        <v>14888</v>
      </c>
      <c r="C5314" s="5" t="s">
        <v>18866</v>
      </c>
      <c r="D5314" s="5"/>
      <c r="E5314" s="0" t="e">
        <f>+7 (813) 7529530
+7 (812) 3479497
+7 (812) 3479498
+7 (812) 3479499
+7 (81375) 54005
+7 (81375) 54011
+7 (81375) 70120
+7 (81375) 70304</f>
        <v>#NAME?</v>
      </c>
      <c r="F5314" s="5" t="s">
        <v>41051</v>
      </c>
      <c r="G5314" s="5" t="s">
        <v>41052</v>
      </c>
      <c r="H5314" s="26">
        <v>27</v>
      </c>
      <c r="I5314" s="5"/>
      <c r="J5314" s="5" t="s">
        <v>26905</v>
      </c>
      <c r="K5314" s="5" t="s">
        <v>344</v>
      </c>
      <c r="L5314" s="5" t="s">
        <v>41053</v>
      </c>
      <c r="M5314" s="27"/>
      <c r="N5314" s="5" t="s">
        <v>57400</v>
      </c>
      <c r="O5314" s="5" t="str">
        <v>4707012248</v>
      </c>
      <c r="P5314" s="27">
        <v>203000</v>
      </c>
      <c r="Q5314" s="5" t="s">
        <v>57401</v>
      </c>
      <c r="R5314" s="5"/>
      <c r="S5314" s="5" t="s">
        <v>51387</v>
      </c>
      <c r="T5314" s="28">
        <v>3393304000</v>
      </c>
      <c r="U5314" s="28">
        <v>35420000</v>
      </c>
      <c r="V5314" s="28">
        <v>649053000</v>
      </c>
      <c r="W5314" s="28"/>
      <c r="X5314" s="28">
        <v>6578912000</v>
      </c>
      <c r="Y5314" s="28">
        <v>11390163000</v>
      </c>
      <c r="Z5314" s="28">
        <v>4800450000</v>
      </c>
      <c r="AA5314" s="28"/>
      <c r="AB5314" s="28"/>
      <c r="AC5314" s="28">
        <v>6077517000</v>
      </c>
      <c r="AD5314" s="28">
        <v>5227750000</v>
      </c>
      <c r="AE5314" s="28">
        <v>23337179000</v>
      </c>
      <c r="AF5314" s="28">
        <v>17100259000</v>
      </c>
      <c r="AG5314" s="11"/>
    </row>
    <row r="5315">
      <c r="A5315" s="7" t="s">
        <v>6930</v>
      </c>
      <c r="B5315" s="5" t="s">
        <v>14889</v>
      </c>
      <c r="C5315" s="5" t="s">
        <v>22593</v>
      </c>
      <c r="D5315" s="5" t="str">
        <v>366409148451</v>
      </c>
      <c r="E5315" s="0" t="e">
        <f>+7 (473) 2604197
+7 (381) 2905290
+7 (4234) 228999
+7 (47248) 27474
+7 (473) 2604198
+7 (473) 2604199
+7 (473) 2615745
+7 (800) 7008149
+7 (846) 2021490
+7 (846) 2032920
+7 (8632) 6634
+7 (8632) 6635
+7 (902) 628999
+7 (903) 259995
+7 (903) 4110991</f>
        <v>#NAME?</v>
      </c>
      <c r="F5315" s="5" t="s">
        <v>41054</v>
      </c>
      <c r="G5315" s="5" t="s">
        <v>41055</v>
      </c>
      <c r="H5315" s="26">
        <v>16</v>
      </c>
      <c r="I5315" s="5" t="s">
        <v>41056</v>
      </c>
      <c r="J5315" s="5" t="s">
        <v>25424</v>
      </c>
      <c r="K5315" s="5" t="s">
        <v>344</v>
      </c>
      <c r="L5315" s="5" t="s">
        <v>41057</v>
      </c>
      <c r="M5315" s="27"/>
      <c r="N5315" s="5" t="s">
        <v>57402</v>
      </c>
      <c r="O5315" s="5" t="str">
        <v>3664079483</v>
      </c>
      <c r="P5315" s="27">
        <v>50000</v>
      </c>
      <c r="Q5315" s="5"/>
      <c r="R5315" s="5"/>
      <c r="S5315" s="5" t="s">
        <v>49399</v>
      </c>
      <c r="T5315" s="28">
        <v>30996000</v>
      </c>
      <c r="U5315" s="28">
        <v>163000</v>
      </c>
      <c r="V5315" s="28">
        <v>396097000</v>
      </c>
      <c r="W5315" s="28">
        <v>17274000</v>
      </c>
      <c r="X5315" s="28">
        <v>35350000</v>
      </c>
      <c r="Y5315" s="28">
        <v>1103649000</v>
      </c>
      <c r="Z5315" s="28">
        <v>820598000</v>
      </c>
      <c r="AA5315" s="28"/>
      <c r="AB5315" s="28">
        <v>50000000</v>
      </c>
      <c r="AC5315" s="28">
        <v>268981000</v>
      </c>
      <c r="AD5315" s="28">
        <v>820648000</v>
      </c>
      <c r="AE5315" s="28">
        <v>3172133000</v>
      </c>
      <c r="AF5315" s="28">
        <v>395236000</v>
      </c>
      <c r="AG5315" s="11"/>
    </row>
    <row r="5316">
      <c r="A5316" s="7" t="s">
        <v>163</v>
      </c>
      <c r="B5316" s="5" t="s">
        <v>14890</v>
      </c>
      <c r="C5316" s="5" t="s">
        <v>22594</v>
      </c>
      <c r="D5316" s="5" t="str">
        <v>616202216800</v>
      </c>
      <c r="E5316" s="0" t="e">
        <f>+7 (86342) 36312
+7 (86342) 63334</f>
        <v>#NAME?</v>
      </c>
      <c r="F5316" s="5" t="s">
        <v>41058</v>
      </c>
      <c r="G5316" s="5"/>
      <c r="H5316" s="26">
        <v>20.5</v>
      </c>
      <c r="I5316" s="5" t="s">
        <v>41059</v>
      </c>
      <c r="J5316" s="5" t="s">
        <v>467</v>
      </c>
      <c r="K5316" s="5" t="s">
        <v>344</v>
      </c>
      <c r="L5316" s="5"/>
      <c r="M5316" s="27">
        <v>2604816</v>
      </c>
      <c r="N5316" s="5" t="s">
        <v>57403</v>
      </c>
      <c r="O5316" s="5" t="str">
        <v>6101033099</v>
      </c>
      <c r="P5316" s="27">
        <v>86994000</v>
      </c>
      <c r="Q5316" s="5" t="s">
        <v>57404</v>
      </c>
      <c r="R5316" s="5" t="s">
        <v>57405</v>
      </c>
      <c r="S5316" s="5" t="s">
        <v>55769</v>
      </c>
      <c r="T5316" s="28">
        <v>882210000</v>
      </c>
      <c r="U5316" s="28">
        <v>51000</v>
      </c>
      <c r="V5316" s="28">
        <v>77140000</v>
      </c>
      <c r="W5316" s="28">
        <v>12756000</v>
      </c>
      <c r="X5316" s="28">
        <v>92993000</v>
      </c>
      <c r="Y5316" s="28">
        <v>2555688000</v>
      </c>
      <c r="Z5316" s="28">
        <v>642994000</v>
      </c>
      <c r="AA5316" s="28">
        <v>83680000</v>
      </c>
      <c r="AB5316" s="28">
        <v>1049323000</v>
      </c>
      <c r="AC5316" s="28">
        <v>1470795000</v>
      </c>
      <c r="AD5316" s="28">
        <v>738687000</v>
      </c>
      <c r="AE5316" s="28">
        <v>4281181000</v>
      </c>
      <c r="AF5316" s="28">
        <v>14984000</v>
      </c>
      <c r="AG5316" s="11"/>
    </row>
    <row r="5317">
      <c r="A5317" s="7" t="s">
        <v>6931</v>
      </c>
      <c r="B5317" s="5" t="s">
        <v>14891</v>
      </c>
      <c r="C5317" s="5" t="s">
        <v>22595</v>
      </c>
      <c r="D5317" s="5" t="str">
        <v>422007487486</v>
      </c>
      <c r="E5317" s="0" t="e">
        <f>+7 (918) 4127680
+7 (918) 8594808</f>
        <v>#NAME?</v>
      </c>
      <c r="F5317" s="5"/>
      <c r="G5317" s="5" t="s">
        <v>41060</v>
      </c>
      <c r="H5317" s="26">
        <v>7</v>
      </c>
      <c r="I5317" s="5" t="s">
        <v>41061</v>
      </c>
      <c r="J5317" s="5" t="s">
        <v>26846</v>
      </c>
      <c r="K5317" s="5" t="s">
        <v>344</v>
      </c>
      <c r="L5317" s="5"/>
      <c r="M5317" s="27"/>
      <c r="N5317" s="5"/>
      <c r="O5317" s="5" t="str">
        <v>6141049553</v>
      </c>
      <c r="P5317" s="27">
        <v>110000</v>
      </c>
      <c r="Q5317" s="5" t="s">
        <v>49009</v>
      </c>
      <c r="R5317" s="5"/>
      <c r="S5317" s="5" t="s">
        <v>49010</v>
      </c>
      <c r="T5317" s="28">
        <v>104856000</v>
      </c>
      <c r="U5317" s="28"/>
      <c r="V5317" s="28">
        <v>378449000</v>
      </c>
      <c r="W5317" s="28"/>
      <c r="X5317" s="28">
        <v>9369000</v>
      </c>
      <c r="Y5317" s="28">
        <v>669827000</v>
      </c>
      <c r="Z5317" s="28">
        <v>264197000</v>
      </c>
      <c r="AA5317" s="28">
        <v>15000000</v>
      </c>
      <c r="AB5317" s="28"/>
      <c r="AC5317" s="28">
        <v>383272000</v>
      </c>
      <c r="AD5317" s="28">
        <v>267569000</v>
      </c>
      <c r="AE5317" s="28">
        <v>3085155000</v>
      </c>
      <c r="AF5317" s="28">
        <v>64719000</v>
      </c>
      <c r="AG5317" s="11"/>
    </row>
    <row r="5318">
      <c r="A5318" s="7" t="s">
        <v>6932</v>
      </c>
      <c r="B5318" s="5" t="s">
        <v>14892</v>
      </c>
      <c r="C5318" s="5" t="s">
        <v>22596</v>
      </c>
      <c r="D5318" s="5" t="str">
        <v>616104783737</v>
      </c>
      <c r="E5318" s="0" t="e">
        <f>+7 (863) 3002002
+7 (863) 3034578
+7 (863) 3071717
+7 (863) 3091037
+7 (863) 3091522
+7 (8632) 101
+7 (8632) 3578
+7 (8632) 3646
+7 (8632) 5011
+7 (8632) 6807
+7 (495) 7808062
+7 (800) 3024040
+7 (863) 3090909
+7 (863) 3091058
+7 (863) 3263258</f>
        <v>#NAME?</v>
      </c>
      <c r="F5318" s="5" t="s">
        <v>41062</v>
      </c>
      <c r="G5318" s="5" t="s">
        <v>41063</v>
      </c>
      <c r="H5318" s="26">
        <v>30</v>
      </c>
      <c r="I5318" s="5"/>
      <c r="J5318" s="5" t="s">
        <v>29042</v>
      </c>
      <c r="K5318" s="5" t="s">
        <v>344</v>
      </c>
      <c r="L5318" s="5" t="s">
        <v>41064</v>
      </c>
      <c r="M5318" s="27">
        <v>147754673</v>
      </c>
      <c r="N5318" s="5" t="s">
        <v>53712</v>
      </c>
      <c r="O5318" s="5" t="str">
        <v>6167081833</v>
      </c>
      <c r="P5318" s="27">
        <v>1550000000</v>
      </c>
      <c r="Q5318" s="5" t="s">
        <v>57407</v>
      </c>
      <c r="R5318" s="5"/>
      <c r="S5318" s="5" t="s">
        <v>57408</v>
      </c>
      <c r="T5318" s="28">
        <v>8606936000</v>
      </c>
      <c r="U5318" s="28">
        <v>27876000</v>
      </c>
      <c r="V5318" s="28">
        <v>1246890000</v>
      </c>
      <c r="W5318" s="28">
        <v>57064000</v>
      </c>
      <c r="X5318" s="28">
        <v>1011391000</v>
      </c>
      <c r="Y5318" s="28">
        <v>11275266000</v>
      </c>
      <c r="Z5318" s="28">
        <v>5482876000</v>
      </c>
      <c r="AA5318" s="28"/>
      <c r="AB5318" s="28">
        <v>645724000</v>
      </c>
      <c r="AC5318" s="28">
        <v>3794368000</v>
      </c>
      <c r="AD5318" s="28">
        <v>7120867000</v>
      </c>
      <c r="AE5318" s="28">
        <v>7031868000</v>
      </c>
      <c r="AF5318" s="28">
        <v>1104743000</v>
      </c>
      <c r="AG5318" s="11"/>
    </row>
    <row r="5319">
      <c r="A5319" s="7" t="s">
        <v>6933</v>
      </c>
      <c r="B5319" s="5" t="s">
        <v>14893</v>
      </c>
      <c r="C5319" s="5" t="s">
        <v>22597</v>
      </c>
      <c r="D5319" s="5"/>
      <c r="E5319" s="0" t="e">
        <f>+7 (861) 2037570
+7 (862) 3333815
+7 (863) 3037570
+7 (863) 3105475
+7 (863) 3222395
+7 (8632) 7161
+7 (8632) 37075
+7 (8632) 37510
+7 (8632) 37520
+7 (8632) 37550
+7 (8632) 37575
+7 (844) 2252771
+7 (844) 2252860
+7 (844) 2257282
+7 (8632) 37096</f>
        <v>#NAME?</v>
      </c>
      <c r="F5319" s="5" t="s">
        <v>41065</v>
      </c>
      <c r="G5319" s="5"/>
      <c r="H5319" s="26">
        <v>14</v>
      </c>
      <c r="I5319" s="5" t="s">
        <v>41066</v>
      </c>
      <c r="J5319" s="5" t="s">
        <v>27642</v>
      </c>
      <c r="K5319" s="5" t="s">
        <v>380</v>
      </c>
      <c r="L5319" s="5"/>
      <c r="M5319" s="27">
        <v>34942792</v>
      </c>
      <c r="N5319" s="5" t="s">
        <v>57409</v>
      </c>
      <c r="O5319" s="5" t="str">
        <v>3445102073</v>
      </c>
      <c r="P5319" s="27">
        <v>2684959412</v>
      </c>
      <c r="Q5319" s="5" t="s">
        <v>57410</v>
      </c>
      <c r="R5319" s="5" t="s">
        <v>57411</v>
      </c>
      <c r="S5319" s="5" t="s">
        <v>49271</v>
      </c>
      <c r="T5319" s="28">
        <v>3467811000</v>
      </c>
      <c r="U5319" s="28">
        <v>20000</v>
      </c>
      <c r="V5319" s="28">
        <v>1433986000</v>
      </c>
      <c r="W5319" s="28"/>
      <c r="X5319" s="28">
        <v>741874000</v>
      </c>
      <c r="Y5319" s="28">
        <v>6236313000</v>
      </c>
      <c r="Z5319" s="28">
        <v>-8729305000</v>
      </c>
      <c r="AA5319" s="28">
        <v>724800000</v>
      </c>
      <c r="AB5319" s="28">
        <v>3731131000</v>
      </c>
      <c r="AC5319" s="28">
        <v>5029049000</v>
      </c>
      <c r="AD5319" s="28">
        <v>343371000</v>
      </c>
      <c r="AE5319" s="28">
        <v>5021381000</v>
      </c>
      <c r="AF5319" s="28">
        <v>-268862000</v>
      </c>
      <c r="AG5319" s="11"/>
    </row>
    <row r="5320">
      <c r="A5320" s="7" t="s">
        <v>6934</v>
      </c>
      <c r="B5320" s="5" t="s">
        <v>14894</v>
      </c>
      <c r="C5320" s="5" t="s">
        <v>22598</v>
      </c>
      <c r="D5320" s="5" t="str">
        <v>614902185575</v>
      </c>
      <c r="F5320" s="5" t="s">
        <v>41067</v>
      </c>
      <c r="G5320" s="5"/>
      <c r="H5320" s="26">
        <v>1.5</v>
      </c>
      <c r="I5320" s="5" t="s">
        <v>41068</v>
      </c>
      <c r="J5320" s="5" t="s">
        <v>25450</v>
      </c>
      <c r="K5320" s="5" t="s">
        <v>355</v>
      </c>
      <c r="L5320" s="5"/>
      <c r="M5320" s="27"/>
      <c r="N5320" s="5"/>
      <c r="O5320" s="5" t="str">
        <v>6132013470</v>
      </c>
      <c r="P5320" s="27">
        <v>20000</v>
      </c>
      <c r="Q5320" s="5"/>
      <c r="R5320" s="5"/>
      <c r="S5320" s="5" t="s">
        <v>49029</v>
      </c>
      <c r="T5320" s="28">
        <v>548305000</v>
      </c>
      <c r="U5320" s="28">
        <v>579165000</v>
      </c>
      <c r="V5320" s="28">
        <v>3156100000</v>
      </c>
      <c r="W5320" s="28">
        <v>68000000</v>
      </c>
      <c r="X5320" s="28">
        <v>2008000</v>
      </c>
      <c r="Y5320" s="28">
        <v>5491500000</v>
      </c>
      <c r="Z5320" s="28">
        <v>178108000</v>
      </c>
      <c r="AA5320" s="28"/>
      <c r="AB5320" s="28">
        <v>1890868000</v>
      </c>
      <c r="AC5320" s="28">
        <v>5194638000</v>
      </c>
      <c r="AD5320" s="28">
        <v>178228000</v>
      </c>
      <c r="AE5320" s="28">
        <v>7211191000</v>
      </c>
      <c r="AF5320" s="28">
        <v>370713000</v>
      </c>
      <c r="AG5320" s="11"/>
    </row>
    <row r="5321">
      <c r="A5321" s="7" t="s">
        <v>6935</v>
      </c>
      <c r="B5321" s="5" t="s">
        <v>14895</v>
      </c>
      <c r="C5321" s="5" t="s">
        <v>22599</v>
      </c>
      <c r="D5321" s="5" t="str">
        <v>056205073683</v>
      </c>
      <c r="E5321" s="0" t="e">
        <f>+7 (8632) 68000
+7 (985) 3135554
+7 (8632) 17968
+7 (8632) 35705
+7 (8632) 35754
+7 (8632) 35755
+7 (8632) 291505</f>
        <v>#NAME?</v>
      </c>
      <c r="F5321" s="5" t="s">
        <v>41069</v>
      </c>
      <c r="G5321" s="5"/>
      <c r="H5321" s="26">
        <v>18.5</v>
      </c>
      <c r="I5321" s="5" t="s">
        <v>41070</v>
      </c>
      <c r="J5321" s="5" t="s">
        <v>25850</v>
      </c>
      <c r="K5321" s="5" t="s">
        <v>344</v>
      </c>
      <c r="L5321" s="5"/>
      <c r="M5321" s="27">
        <v>30210571</v>
      </c>
      <c r="N5321" s="5" t="s">
        <v>57412</v>
      </c>
      <c r="O5321" s="5" t="str">
        <v>6162041403</v>
      </c>
      <c r="P5321" s="27">
        <v>10000</v>
      </c>
      <c r="Q5321" s="5" t="s">
        <v>57413</v>
      </c>
      <c r="R5321" s="5"/>
      <c r="S5321" s="5" t="s">
        <v>49956</v>
      </c>
      <c r="T5321" s="28">
        <v>361795000</v>
      </c>
      <c r="U5321" s="28"/>
      <c r="V5321" s="28">
        <v>336442000</v>
      </c>
      <c r="W5321" s="28"/>
      <c r="X5321" s="28">
        <v>75106000</v>
      </c>
      <c r="Y5321" s="28">
        <v>905473000</v>
      </c>
      <c r="Z5321" s="28">
        <v>88230000</v>
      </c>
      <c r="AA5321" s="28">
        <v>428595000</v>
      </c>
      <c r="AB5321" s="28">
        <v>236906000</v>
      </c>
      <c r="AC5321" s="28">
        <v>370121000</v>
      </c>
      <c r="AD5321" s="28">
        <v>101323000</v>
      </c>
      <c r="AE5321" s="28">
        <v>5857003000</v>
      </c>
      <c r="AF5321" s="28">
        <v>106580000</v>
      </c>
      <c r="AG5321" s="11"/>
    </row>
    <row r="5322">
      <c r="A5322" s="7" t="s">
        <v>6936</v>
      </c>
      <c r="B5322" s="5" t="s">
        <v>12334</v>
      </c>
      <c r="C5322" s="5" t="s">
        <v>22600</v>
      </c>
      <c r="D5322" s="5" t="str">
        <v>401500566647</v>
      </c>
      <c r="E5322" s="0" t="e">
        <f>+7 (863) 2503152
+7 (8632) 503381
+7 (495) 7609675
+7 (863) 2503401
+7 (8632) 503112
+7 (8632) 503203
+7 (8632) 503427
+7 (8632) 503525
+7 (8632) 503563
+7 (8632) 503576
+7 (8632) 503610
+7 (8632) 503795
+7 (8632) 503842
+7 (8632) 503845
+7 (8632) 503905</f>
        <v>#NAME?</v>
      </c>
      <c r="F5322" s="5" t="s">
        <v>41071</v>
      </c>
      <c r="G5322" s="5" t="s">
        <v>41072</v>
      </c>
      <c r="H5322" s="26">
        <v>17.5</v>
      </c>
      <c r="I5322" s="5" t="s">
        <v>41073</v>
      </c>
      <c r="J5322" s="5" t="s">
        <v>30453</v>
      </c>
      <c r="K5322" s="5" t="s">
        <v>344</v>
      </c>
      <c r="L5322" s="5" t="s">
        <v>41074</v>
      </c>
      <c r="M5322" s="27"/>
      <c r="N5322" s="5"/>
      <c r="O5322" s="5" t="str">
        <v>6166053689</v>
      </c>
      <c r="P5322" s="27">
        <v>186500123</v>
      </c>
      <c r="Q5322" s="5" t="s">
        <v>49021</v>
      </c>
      <c r="R5322" s="5"/>
      <c r="S5322" s="5" t="s">
        <v>57415</v>
      </c>
      <c r="T5322" s="28">
        <v>837439000</v>
      </c>
      <c r="U5322" s="28">
        <v>2867000</v>
      </c>
      <c r="V5322" s="28">
        <v>347005000</v>
      </c>
      <c r="W5322" s="28">
        <v>582395000</v>
      </c>
      <c r="X5322" s="28">
        <v>790506000</v>
      </c>
      <c r="Y5322" s="28">
        <v>5534904000</v>
      </c>
      <c r="Z5322" s="28">
        <v>1551708000</v>
      </c>
      <c r="AA5322" s="28">
        <v>1163169000</v>
      </c>
      <c r="AB5322" s="28">
        <v>5986000</v>
      </c>
      <c r="AC5322" s="28">
        <v>2606190000</v>
      </c>
      <c r="AD5322" s="28">
        <v>1738208000</v>
      </c>
      <c r="AE5322" s="28">
        <v>12688048000</v>
      </c>
      <c r="AF5322" s="28">
        <v>1930411000</v>
      </c>
      <c r="AG5322" s="11"/>
    </row>
    <row r="5323">
      <c r="A5323" s="7" t="s">
        <v>6937</v>
      </c>
      <c r="B5323" s="5" t="s">
        <v>14896</v>
      </c>
      <c r="C5323" s="5" t="s">
        <v>22601</v>
      </c>
      <c r="D5323" s="5" t="str">
        <v>616500600923</v>
      </c>
      <c r="E5323" s="0" t="e">
        <f>+7 (8632) 102208
+7 (8632) 917614
+7 (8632) 917615
+7 (928) 1166599</f>
        <v>#NAME?</v>
      </c>
      <c r="F5323" s="5" t="s">
        <v>41075</v>
      </c>
      <c r="G5323" s="5"/>
      <c r="H5323" s="26">
        <v>9</v>
      </c>
      <c r="I5323" s="5" t="s">
        <v>41076</v>
      </c>
      <c r="J5323" s="5" t="s">
        <v>364</v>
      </c>
      <c r="K5323" s="5" t="s">
        <v>344</v>
      </c>
      <c r="L5323" s="5" t="s">
        <v>41077</v>
      </c>
      <c r="M5323" s="27">
        <v>8487470</v>
      </c>
      <c r="N5323" s="5" t="s">
        <v>57416</v>
      </c>
      <c r="O5323" s="5" t="str">
        <v>6164315762</v>
      </c>
      <c r="P5323" s="27">
        <v>10000</v>
      </c>
      <c r="Q5323" s="5" t="s">
        <v>57417</v>
      </c>
      <c r="R5323" s="5"/>
      <c r="S5323" s="5" t="s">
        <v>57418</v>
      </c>
      <c r="T5323" s="28">
        <v>66400000</v>
      </c>
      <c r="U5323" s="28"/>
      <c r="V5323" s="28">
        <v>573177000</v>
      </c>
      <c r="W5323" s="28">
        <v>166500000</v>
      </c>
      <c r="X5323" s="28">
        <v>691960000</v>
      </c>
      <c r="Y5323" s="28">
        <v>1606335000</v>
      </c>
      <c r="Z5323" s="28">
        <v>674515000</v>
      </c>
      <c r="AA5323" s="28"/>
      <c r="AB5323" s="28">
        <v>598500000</v>
      </c>
      <c r="AC5323" s="28">
        <v>931810000</v>
      </c>
      <c r="AD5323" s="28">
        <v>674525000</v>
      </c>
      <c r="AE5323" s="28">
        <v>3754172000</v>
      </c>
      <c r="AF5323" s="28">
        <v>350014000</v>
      </c>
      <c r="AG5323" s="11"/>
    </row>
    <row r="5324">
      <c r="A5324" s="7" t="s">
        <v>6938</v>
      </c>
      <c r="B5324" s="5" t="s">
        <v>14897</v>
      </c>
      <c r="C5324" s="5" t="s">
        <v>22602</v>
      </c>
      <c r="D5324" s="5" t="str">
        <v>260708372909</v>
      </c>
      <c r="E5324" s="0" t="e">
        <f>+7 (863) 3330550</f>
        <v>#NAME?</v>
      </c>
      <c r="F5324" s="5" t="s">
        <v>41078</v>
      </c>
      <c r="G5324" s="5"/>
      <c r="H5324" s="26">
        <v>6.5</v>
      </c>
      <c r="I5324" s="5" t="s">
        <v>41079</v>
      </c>
      <c r="J5324" s="5" t="s">
        <v>364</v>
      </c>
      <c r="K5324" s="5" t="s">
        <v>344</v>
      </c>
      <c r="L5324" s="5" t="s">
        <v>41080</v>
      </c>
      <c r="M5324" s="27"/>
      <c r="N5324" s="5" t="s">
        <v>53604</v>
      </c>
      <c r="O5324" s="5" t="str">
        <v>6163148558</v>
      </c>
      <c r="P5324" s="27">
        <v>30000</v>
      </c>
      <c r="Q5324" s="5" t="s">
        <v>57419</v>
      </c>
      <c r="R5324" s="5"/>
      <c r="S5324" s="5" t="s">
        <v>50341</v>
      </c>
      <c r="T5324" s="28">
        <v>47070000</v>
      </c>
      <c r="U5324" s="28"/>
      <c r="V5324" s="28">
        <v>3347425000</v>
      </c>
      <c r="W5324" s="28"/>
      <c r="X5324" s="28">
        <v>388759000</v>
      </c>
      <c r="Y5324" s="28">
        <v>4442331000</v>
      </c>
      <c r="Z5324" s="28">
        <v>2321307000</v>
      </c>
      <c r="AA5324" s="28">
        <v>870965000</v>
      </c>
      <c r="AB5324" s="28">
        <v>135804000</v>
      </c>
      <c r="AC5324" s="28">
        <v>1243788000</v>
      </c>
      <c r="AD5324" s="28">
        <v>2321337000</v>
      </c>
      <c r="AE5324" s="28">
        <v>10291029000</v>
      </c>
      <c r="AF5324" s="28">
        <v>619734000</v>
      </c>
      <c r="AG5324" s="11"/>
    </row>
    <row r="5325">
      <c r="A5325" s="7" t="s">
        <v>6939</v>
      </c>
      <c r="B5325" s="5" t="s">
        <v>14898</v>
      </c>
      <c r="C5325" s="5" t="s">
        <v>22603</v>
      </c>
      <c r="D5325" s="5" t="str">
        <v>615402742533</v>
      </c>
      <c r="E5325" s="0" t="e">
        <f>+7 (8634) 321905
+7 (8634) 343764</f>
        <v>#NAME?</v>
      </c>
      <c r="F5325" s="5" t="s">
        <v>41081</v>
      </c>
      <c r="G5325" s="5"/>
      <c r="H5325" s="26">
        <v>13</v>
      </c>
      <c r="I5325" s="5" t="s">
        <v>41082</v>
      </c>
      <c r="J5325" s="5" t="s">
        <v>26880</v>
      </c>
      <c r="K5325" s="5" t="s">
        <v>344</v>
      </c>
      <c r="L5325" s="5" t="s">
        <v>41083</v>
      </c>
      <c r="M5325" s="27"/>
      <c r="N5325" s="5" t="s">
        <v>57420</v>
      </c>
      <c r="O5325" s="5" t="str">
        <v>6154565273</v>
      </c>
      <c r="P5325" s="27">
        <v>10000</v>
      </c>
      <c r="Q5325" s="5" t="s">
        <v>49009</v>
      </c>
      <c r="R5325" s="5"/>
      <c r="S5325" s="5" t="s">
        <v>49045</v>
      </c>
      <c r="T5325" s="28"/>
      <c r="U5325" s="28">
        <v>296564000</v>
      </c>
      <c r="V5325" s="28">
        <v>610892000</v>
      </c>
      <c r="W5325" s="28"/>
      <c r="X5325" s="28">
        <v>8237000</v>
      </c>
      <c r="Y5325" s="28">
        <v>1607785000</v>
      </c>
      <c r="Z5325" s="28">
        <v>328471000</v>
      </c>
      <c r="AA5325" s="28">
        <v>268235000</v>
      </c>
      <c r="AB5325" s="28"/>
      <c r="AC5325" s="28">
        <v>1011069000</v>
      </c>
      <c r="AD5325" s="28">
        <v>328481000</v>
      </c>
      <c r="AE5325" s="28">
        <v>5148825000</v>
      </c>
      <c r="AF5325" s="28">
        <v>13173000</v>
      </c>
      <c r="AG5325" s="11"/>
    </row>
    <row r="5326">
      <c r="A5326" s="7" t="s">
        <v>6940</v>
      </c>
      <c r="B5326" s="5" t="s">
        <v>14899</v>
      </c>
      <c r="C5326" s="5" t="s">
        <v>22604</v>
      </c>
      <c r="D5326" s="5" t="str">
        <v>434522467620</v>
      </c>
      <c r="E5326" s="0" t="e">
        <f>+7 (499) 6537818
+7 (915) 336373
+7 (499) 5530828
+7 (812) 3045702
+7 (812) 4253930</f>
        <v>#NAME?</v>
      </c>
      <c r="F5326" s="5" t="s">
        <v>41084</v>
      </c>
      <c r="G5326" s="5" t="s">
        <v>41085</v>
      </c>
      <c r="H5326" s="26">
        <v>13</v>
      </c>
      <c r="I5326" s="5" t="s">
        <v>41086</v>
      </c>
      <c r="J5326" s="5" t="s">
        <v>25190</v>
      </c>
      <c r="K5326" s="5" t="s">
        <v>344</v>
      </c>
      <c r="L5326" s="5" t="s">
        <v>28973</v>
      </c>
      <c r="M5326" s="27"/>
      <c r="N5326" s="5"/>
      <c r="O5326" s="5" t="str">
        <v>7801518005</v>
      </c>
      <c r="P5326" s="27">
        <v>10000</v>
      </c>
      <c r="Q5326" s="5"/>
      <c r="R5326" s="5"/>
      <c r="S5326" s="5" t="s">
        <v>49029</v>
      </c>
      <c r="T5326" s="28">
        <v>25886000</v>
      </c>
      <c r="U5326" s="28"/>
      <c r="V5326" s="28">
        <v>609740000</v>
      </c>
      <c r="W5326" s="28">
        <v>41085000</v>
      </c>
      <c r="X5326" s="28">
        <v>6147000</v>
      </c>
      <c r="Y5326" s="28">
        <v>1290343000</v>
      </c>
      <c r="Z5326" s="28">
        <v>235789000</v>
      </c>
      <c r="AA5326" s="28">
        <v>2035000</v>
      </c>
      <c r="AB5326" s="28">
        <v>181140000</v>
      </c>
      <c r="AC5326" s="28">
        <v>1052509000</v>
      </c>
      <c r="AD5326" s="28">
        <v>235799000</v>
      </c>
      <c r="AE5326" s="28">
        <v>3526142000</v>
      </c>
      <c r="AF5326" s="28">
        <v>114958000</v>
      </c>
      <c r="AG5326" s="11"/>
    </row>
    <row r="5327">
      <c r="A5327" s="7" t="s">
        <v>6941</v>
      </c>
      <c r="B5327" s="5" t="s">
        <v>14900</v>
      </c>
      <c r="C5327" s="5" t="s">
        <v>22605</v>
      </c>
      <c r="D5327" s="5" t="str">
        <v>432902740977</v>
      </c>
      <c r="E5327" s="0" t="e">
        <f>+7 (929) 5661523
+7 (4912) 434208
+7 (483) 2645059
+7 (483) 2646374
+7 (483) 2660678
+7 (483) 2662769
+7 (483) 2676739
+7 (4912) 434280
+7 (4912) 559811
+7 (910) 7435927</f>
        <v>#NAME?</v>
      </c>
      <c r="F5327" s="5" t="s">
        <v>41087</v>
      </c>
      <c r="G5327" s="5" t="s">
        <v>41088</v>
      </c>
      <c r="H5327" s="26">
        <v>10.5</v>
      </c>
      <c r="I5327" s="5" t="s">
        <v>41089</v>
      </c>
      <c r="J5327" s="5" t="s">
        <v>25259</v>
      </c>
      <c r="K5327" s="5" t="s">
        <v>344</v>
      </c>
      <c r="L5327" s="5" t="s">
        <v>41090</v>
      </c>
      <c r="M5327" s="27"/>
      <c r="N5327" s="5" t="s">
        <v>57421</v>
      </c>
      <c r="O5327" s="5" t="str">
        <v>3250533600</v>
      </c>
      <c r="P5327" s="27">
        <v>10000</v>
      </c>
      <c r="Q5327" s="5" t="s">
        <v>57422</v>
      </c>
      <c r="R5327" s="5" t="s">
        <v>57423</v>
      </c>
      <c r="S5327" s="5" t="s">
        <v>57424</v>
      </c>
      <c r="T5327" s="28">
        <v>29761000</v>
      </c>
      <c r="U5327" s="28"/>
      <c r="V5327" s="28">
        <v>1373822000</v>
      </c>
      <c r="W5327" s="28">
        <v>8547000</v>
      </c>
      <c r="X5327" s="28">
        <v>36165000</v>
      </c>
      <c r="Y5327" s="28">
        <v>2644037000</v>
      </c>
      <c r="Z5327" s="28">
        <v>392803000</v>
      </c>
      <c r="AA5327" s="28">
        <v>786000</v>
      </c>
      <c r="AB5327" s="28">
        <v>876480000</v>
      </c>
      <c r="AC5327" s="28">
        <v>2242181000</v>
      </c>
      <c r="AD5327" s="28">
        <v>392813000</v>
      </c>
      <c r="AE5327" s="28">
        <v>6061860000</v>
      </c>
      <c r="AF5327" s="28">
        <v>294844000</v>
      </c>
      <c r="AG5327" s="11"/>
    </row>
    <row r="5328">
      <c r="A5328" s="7" t="s">
        <v>6941</v>
      </c>
      <c r="B5328" s="5" t="s">
        <v>14901</v>
      </c>
      <c r="C5328" s="5" t="s">
        <v>22606</v>
      </c>
      <c r="D5328" s="5" t="str">
        <v>345502619012</v>
      </c>
      <c r="E5328" s="0" t="e">
        <f>+7 (918) 2123318
+7 (861) 2100355</f>
        <v>#NAME?</v>
      </c>
      <c r="F5328" s="5" t="s">
        <v>41091</v>
      </c>
      <c r="G5328" s="5" t="s">
        <v>41092</v>
      </c>
      <c r="H5328" s="26">
        <v>16.5</v>
      </c>
      <c r="I5328" s="5" t="s">
        <v>41093</v>
      </c>
      <c r="J5328" s="5" t="s">
        <v>25259</v>
      </c>
      <c r="K5328" s="5" t="s">
        <v>344</v>
      </c>
      <c r="L5328" s="5" t="s">
        <v>41094</v>
      </c>
      <c r="M5328" s="27">
        <v>433400</v>
      </c>
      <c r="N5328" s="5" t="s">
        <v>57425</v>
      </c>
      <c r="O5328" s="5" t="str">
        <v>2312229583</v>
      </c>
      <c r="P5328" s="27">
        <v>10000</v>
      </c>
      <c r="Q5328" s="5" t="s">
        <v>49021</v>
      </c>
      <c r="R5328" s="5"/>
      <c r="S5328" s="5" t="s">
        <v>57426</v>
      </c>
      <c r="T5328" s="28">
        <v>33666000</v>
      </c>
      <c r="U5328" s="28">
        <v>10000</v>
      </c>
      <c r="V5328" s="28">
        <v>576525000</v>
      </c>
      <c r="W5328" s="28">
        <v>942000</v>
      </c>
      <c r="X5328" s="28">
        <v>29788000</v>
      </c>
      <c r="Y5328" s="28">
        <v>1620958000</v>
      </c>
      <c r="Z5328" s="28">
        <v>281769000</v>
      </c>
      <c r="AA5328" s="28">
        <v>51783000</v>
      </c>
      <c r="AB5328" s="28">
        <v>705048000</v>
      </c>
      <c r="AC5328" s="28">
        <v>1283656000</v>
      </c>
      <c r="AD5328" s="28">
        <v>281779000</v>
      </c>
      <c r="AE5328" s="28">
        <v>5597332000</v>
      </c>
      <c r="AF5328" s="28">
        <v>175885000</v>
      </c>
      <c r="AG5328" s="11"/>
    </row>
    <row r="5329">
      <c r="A5329" s="7" t="s">
        <v>6942</v>
      </c>
      <c r="B5329" s="5" t="s">
        <v>14902</v>
      </c>
      <c r="C5329" s="5" t="s">
        <v>18842</v>
      </c>
      <c r="D5329" s="5"/>
      <c r="E5329" s="0" t="e">
        <f>+7 (495) 6041239
+7 (495) 9510737
+7 (495) 9512267
+7 (495) 9512374
+7 (495) 9512423
+7 (495) 9512721
+7 (495) 9512980
+7 (495) 9515810
+7 (495) 9518478
+7 (495) 9519746
+7 (495) 9534143
+7 (495) 9535533
+7 (495) 9539163
+7 (495) 9539900
+7 (495) 9592951</f>
        <v>#NAME?</v>
      </c>
      <c r="F5329" s="5" t="s">
        <v>41095</v>
      </c>
      <c r="G5329" s="5" t="s">
        <v>41096</v>
      </c>
      <c r="H5329" s="26">
        <v>31</v>
      </c>
      <c r="I5329" s="5"/>
      <c r="J5329" s="5" t="s">
        <v>25287</v>
      </c>
      <c r="K5329" s="5" t="s">
        <v>355</v>
      </c>
      <c r="L5329" s="5" t="s">
        <v>41097</v>
      </c>
      <c r="M5329" s="27"/>
      <c r="N5329" s="5"/>
      <c r="O5329" s="5" t="str">
        <v>7705033216</v>
      </c>
      <c r="P5329" s="27">
        <v>151556106</v>
      </c>
      <c r="Q5329" s="5" t="s">
        <v>49324</v>
      </c>
      <c r="R5329" s="5"/>
      <c r="S5329" s="5" t="s">
        <v>57427</v>
      </c>
      <c r="T5329" s="28">
        <v>2000477000</v>
      </c>
      <c r="U5329" s="28">
        <v>5756856000</v>
      </c>
      <c r="V5329" s="28">
        <v>3811176000</v>
      </c>
      <c r="W5329" s="28">
        <v>45200000</v>
      </c>
      <c r="X5329" s="28">
        <v>17279000</v>
      </c>
      <c r="Y5329" s="28">
        <v>14395836000</v>
      </c>
      <c r="Z5329" s="28">
        <v>6963778000</v>
      </c>
      <c r="AA5329" s="28">
        <v>227462000</v>
      </c>
      <c r="AB5329" s="28">
        <v>50708000</v>
      </c>
      <c r="AC5329" s="28">
        <v>5484027000</v>
      </c>
      <c r="AD5329" s="28">
        <v>8187265000</v>
      </c>
      <c r="AE5329" s="28">
        <v>19452779000</v>
      </c>
      <c r="AF5329" s="28">
        <v>961322000</v>
      </c>
      <c r="AG5329" s="11"/>
    </row>
    <row r="5330">
      <c r="A5330" s="7" t="s">
        <v>6943</v>
      </c>
      <c r="B5330" s="5" t="s">
        <v>14903</v>
      </c>
      <c r="C5330" s="5" t="s">
        <v>22607</v>
      </c>
      <c r="D5330" s="5" t="str">
        <v>772270727370</v>
      </c>
      <c r="E5330" s="0" t="e">
        <f>+7 (495) 6400197
+7 (495) 6400243
+7 (495) 9330304
+7 (495) 9330305</f>
        <v>#NAME?</v>
      </c>
      <c r="F5330" s="5" t="s">
        <v>41098</v>
      </c>
      <c r="G5330" s="5" t="s">
        <v>41099</v>
      </c>
      <c r="H5330" s="26">
        <v>13</v>
      </c>
      <c r="I5330" s="5" t="s">
        <v>41100</v>
      </c>
      <c r="J5330" s="5" t="s">
        <v>467</v>
      </c>
      <c r="K5330" s="5" t="s">
        <v>344</v>
      </c>
      <c r="L5330" s="5"/>
      <c r="M5330" s="27">
        <v>2064738</v>
      </c>
      <c r="N5330" s="5" t="s">
        <v>57428</v>
      </c>
      <c r="O5330" s="5" t="str">
        <v>7736616296</v>
      </c>
      <c r="P5330" s="27">
        <v>145000</v>
      </c>
      <c r="Q5330" s="5" t="s">
        <v>57429</v>
      </c>
      <c r="R5330" s="5"/>
      <c r="S5330" s="5" t="s">
        <v>57430</v>
      </c>
      <c r="T5330" s="28">
        <v>122970000</v>
      </c>
      <c r="U5330" s="28"/>
      <c r="V5330" s="28">
        <v>843039000</v>
      </c>
      <c r="W5330" s="28">
        <v>600000</v>
      </c>
      <c r="X5330" s="28">
        <v>49855000</v>
      </c>
      <c r="Y5330" s="28">
        <v>2493952000</v>
      </c>
      <c r="Z5330" s="28">
        <v>1117739000</v>
      </c>
      <c r="AA5330" s="28"/>
      <c r="AB5330" s="28">
        <v>50000000</v>
      </c>
      <c r="AC5330" s="28">
        <v>1252042000</v>
      </c>
      <c r="AD5330" s="28">
        <v>1159966000</v>
      </c>
      <c r="AE5330" s="28">
        <v>3736308000</v>
      </c>
      <c r="AF5330" s="28">
        <v>31385000</v>
      </c>
      <c r="AG5330" s="11"/>
    </row>
    <row r="5331">
      <c r="A5331" s="7" t="s">
        <v>6944</v>
      </c>
      <c r="B5331" s="5" t="s">
        <v>14904</v>
      </c>
      <c r="C5331" s="5" t="s">
        <v>22608</v>
      </c>
      <c r="D5331" s="5" t="str">
        <v>773004152437</v>
      </c>
      <c r="E5331" s="0" t="e">
        <f>+7 (495) 2296995
+7 (495) 2296999
+7 (495) 6296999
+7 (800) 2008899
+7 (800) 3013054</f>
        <v>#NAME?</v>
      </c>
      <c r="F5331" s="5"/>
      <c r="G5331" s="5"/>
      <c r="H5331" s="26">
        <v>7</v>
      </c>
      <c r="I5331" s="5" t="s">
        <v>41101</v>
      </c>
      <c r="J5331" s="5" t="s">
        <v>26767</v>
      </c>
      <c r="K5331" s="5" t="s">
        <v>344</v>
      </c>
      <c r="L5331" s="5" t="s">
        <v>28544</v>
      </c>
      <c r="M5331" s="27"/>
      <c r="N5331" s="5"/>
      <c r="O5331" s="5" t="str">
        <v>7702401278</v>
      </c>
      <c r="P5331" s="27">
        <v>100000000</v>
      </c>
      <c r="Q5331" s="5" t="s">
        <v>49009</v>
      </c>
      <c r="R5331" s="5"/>
      <c r="S5331" s="5" t="s">
        <v>49010</v>
      </c>
      <c r="T5331" s="28">
        <v>32267000</v>
      </c>
      <c r="U5331" s="28"/>
      <c r="V5331" s="28">
        <v>134279000</v>
      </c>
      <c r="W5331" s="28">
        <v>704212000</v>
      </c>
      <c r="X5331" s="28">
        <v>1160737000</v>
      </c>
      <c r="Y5331" s="28">
        <v>2998485000</v>
      </c>
      <c r="Z5331" s="28">
        <v>1963202000</v>
      </c>
      <c r="AA5331" s="28"/>
      <c r="AB5331" s="28"/>
      <c r="AC5331" s="28">
        <v>900978000</v>
      </c>
      <c r="AD5331" s="28">
        <v>2063202000</v>
      </c>
      <c r="AE5331" s="28">
        <v>6799945000</v>
      </c>
      <c r="AF5331" s="28">
        <v>871266000</v>
      </c>
      <c r="AG5331" s="11"/>
    </row>
    <row r="5332">
      <c r="A5332" s="7" t="s">
        <v>6945</v>
      </c>
      <c r="B5332" s="5" t="s">
        <v>14905</v>
      </c>
      <c r="C5332" s="5" t="s">
        <v>22609</v>
      </c>
      <c r="D5332" s="5" t="str">
        <v>771592668832</v>
      </c>
      <c r="E5332" s="0" t="e">
        <f>+7 (495) 7558318
+7 (964) 5376150
+7 (495) 2296250
+7 (495) 2296264
+7 (495) 2296999
+7 (495) 2297999
+7 (495) 6296250
+7 (800) 1006896</f>
        <v>#NAME?</v>
      </c>
      <c r="F5332" s="5" t="s">
        <v>41102</v>
      </c>
      <c r="G5332" s="5" t="s">
        <v>41103</v>
      </c>
      <c r="H5332" s="26">
        <v>13.5</v>
      </c>
      <c r="I5332" s="5" t="s">
        <v>41104</v>
      </c>
      <c r="J5332" s="5" t="s">
        <v>26767</v>
      </c>
      <c r="K5332" s="5" t="s">
        <v>344</v>
      </c>
      <c r="L5332" s="5"/>
      <c r="M5332" s="27"/>
      <c r="N5332" s="5" t="s">
        <v>57431</v>
      </c>
      <c r="O5332" s="5" t="str">
        <v>7702719945</v>
      </c>
      <c r="P5332" s="27">
        <v>250000000</v>
      </c>
      <c r="Q5332" s="5" t="s">
        <v>57432</v>
      </c>
      <c r="R5332" s="5"/>
      <c r="S5332" s="5" t="s">
        <v>49256</v>
      </c>
      <c r="T5332" s="28">
        <v>2278706000</v>
      </c>
      <c r="U5332" s="28"/>
      <c r="V5332" s="28">
        <v>2859638000</v>
      </c>
      <c r="W5332" s="28"/>
      <c r="X5332" s="28">
        <v>1245614000</v>
      </c>
      <c r="Y5332" s="28">
        <v>9996759000</v>
      </c>
      <c r="Z5332" s="28">
        <v>777684000</v>
      </c>
      <c r="AA5332" s="28">
        <v>5273384000</v>
      </c>
      <c r="AB5332" s="28"/>
      <c r="AC5332" s="28">
        <v>3195691000</v>
      </c>
      <c r="AD5332" s="28">
        <v>1527684000</v>
      </c>
      <c r="AE5332" s="28">
        <v>9689816000</v>
      </c>
      <c r="AF5332" s="28">
        <v>-99576000</v>
      </c>
      <c r="AG5332" s="11"/>
    </row>
    <row r="5333">
      <c r="A5333" s="7" t="s">
        <v>6946</v>
      </c>
      <c r="B5333" s="5" t="s">
        <v>14906</v>
      </c>
      <c r="C5333" s="5" t="s">
        <v>22610</v>
      </c>
      <c r="D5333" s="5" t="str">
        <v>773301932775</v>
      </c>
      <c r="E5333" s="0" t="e">
        <f>+7 (495) 7608569
+7 (496) 4558195</f>
        <v>#NAME?</v>
      </c>
      <c r="F5333" s="5"/>
      <c r="G5333" s="5" t="s">
        <v>41105</v>
      </c>
      <c r="H5333" s="26">
        <v>17</v>
      </c>
      <c r="I5333" s="5" t="s">
        <v>41106</v>
      </c>
      <c r="J5333" s="5" t="s">
        <v>25495</v>
      </c>
      <c r="K5333" s="5" t="s">
        <v>344</v>
      </c>
      <c r="L5333" s="5" t="s">
        <v>41107</v>
      </c>
      <c r="M5333" s="27"/>
      <c r="N5333" s="5"/>
      <c r="O5333" s="5" t="str">
        <v>5049015303</v>
      </c>
      <c r="P5333" s="27">
        <v>10000</v>
      </c>
      <c r="Q5333" s="5" t="s">
        <v>49057</v>
      </c>
      <c r="R5333" s="5"/>
      <c r="S5333" s="5" t="s">
        <v>49452</v>
      </c>
      <c r="T5333" s="28">
        <v>35143000</v>
      </c>
      <c r="U5333" s="28"/>
      <c r="V5333" s="28">
        <v>1580058000</v>
      </c>
      <c r="W5333" s="28">
        <v>1098000</v>
      </c>
      <c r="X5333" s="28">
        <v>21047000</v>
      </c>
      <c r="Y5333" s="28">
        <v>2145723000</v>
      </c>
      <c r="Z5333" s="28">
        <v>1542730000</v>
      </c>
      <c r="AA5333" s="28">
        <v>400000000</v>
      </c>
      <c r="AB5333" s="28"/>
      <c r="AC5333" s="28">
        <v>194213000</v>
      </c>
      <c r="AD5333" s="28">
        <v>1542742000</v>
      </c>
      <c r="AE5333" s="28">
        <v>3043155000</v>
      </c>
      <c r="AF5333" s="28">
        <v>311020000</v>
      </c>
      <c r="AG5333" s="11"/>
    </row>
    <row r="5334">
      <c r="A5334" s="7" t="s">
        <v>6947</v>
      </c>
      <c r="B5334" s="5" t="s">
        <v>14907</v>
      </c>
      <c r="C5334" s="5" t="s">
        <v>22611</v>
      </c>
      <c r="D5334" s="5" t="str">
        <v>231502657029</v>
      </c>
      <c r="E5334" s="0" t="e">
        <f>+7 (8617) 269107
+7 (988) 7704870</f>
        <v>#NAME?</v>
      </c>
      <c r="F5334" s="5"/>
      <c r="G5334" s="5" t="s">
        <v>41108</v>
      </c>
      <c r="H5334" s="26">
        <v>11.5</v>
      </c>
      <c r="I5334" s="5" t="s">
        <v>41109</v>
      </c>
      <c r="J5334" s="5" t="s">
        <v>678</v>
      </c>
      <c r="K5334" s="5" t="s">
        <v>344</v>
      </c>
      <c r="L5334" s="5"/>
      <c r="M5334" s="27"/>
      <c r="N5334" s="5"/>
      <c r="O5334" s="5" t="str">
        <v>2315170480</v>
      </c>
      <c r="P5334" s="27">
        <v>10000</v>
      </c>
      <c r="Q5334" s="5"/>
      <c r="R5334" s="5"/>
      <c r="S5334" s="5" t="s">
        <v>49029</v>
      </c>
      <c r="T5334" s="28">
        <v>406903000</v>
      </c>
      <c r="U5334" s="28"/>
      <c r="V5334" s="28">
        <v>459814000</v>
      </c>
      <c r="W5334" s="28"/>
      <c r="X5334" s="28">
        <v>169489000</v>
      </c>
      <c r="Y5334" s="28">
        <v>1156030000</v>
      </c>
      <c r="Z5334" s="28">
        <v>81456000</v>
      </c>
      <c r="AA5334" s="28">
        <v>273547000</v>
      </c>
      <c r="AB5334" s="28">
        <v>106000</v>
      </c>
      <c r="AC5334" s="28">
        <v>784712000</v>
      </c>
      <c r="AD5334" s="28">
        <v>81466000</v>
      </c>
      <c r="AE5334" s="28">
        <v>3727932000</v>
      </c>
      <c r="AF5334" s="28">
        <v>7539000</v>
      </c>
      <c r="AG5334" s="11"/>
    </row>
    <row r="5335">
      <c r="A5335" s="7" t="s">
        <v>6948</v>
      </c>
      <c r="B5335" s="5" t="s">
        <v>14908</v>
      </c>
      <c r="C5335" s="5" t="s">
        <v>22612</v>
      </c>
      <c r="D5335" s="5" t="str">
        <v>771921619054</v>
      </c>
      <c r="E5335" s="0" t="e">
        <f>+7 (964) 7915005</f>
        <v>#NAME?</v>
      </c>
      <c r="F5335" s="5"/>
      <c r="G5335" s="5"/>
      <c r="H5335" s="26">
        <v>7.5</v>
      </c>
      <c r="I5335" s="5" t="s">
        <v>41110</v>
      </c>
      <c r="J5335" s="5" t="s">
        <v>364</v>
      </c>
      <c r="K5335" s="5" t="s">
        <v>344</v>
      </c>
      <c r="L5335" s="5" t="s">
        <v>41111</v>
      </c>
      <c r="M5335" s="27"/>
      <c r="N5335" s="5" t="s">
        <v>57433</v>
      </c>
      <c r="O5335" s="5" t="str">
        <v>5027231773</v>
      </c>
      <c r="P5335" s="27">
        <v>10000</v>
      </c>
      <c r="Q5335" s="5" t="s">
        <v>57434</v>
      </c>
      <c r="R5335" s="5"/>
      <c r="S5335" s="5" t="s">
        <v>57435</v>
      </c>
      <c r="T5335" s="28">
        <v>35017000</v>
      </c>
      <c r="U5335" s="28"/>
      <c r="V5335" s="28">
        <v>1311707000</v>
      </c>
      <c r="W5335" s="28"/>
      <c r="X5335" s="28">
        <v>976032000</v>
      </c>
      <c r="Y5335" s="28">
        <v>2436239000</v>
      </c>
      <c r="Z5335" s="28">
        <v>997222000</v>
      </c>
      <c r="AA5335" s="28"/>
      <c r="AB5335" s="28"/>
      <c r="AC5335" s="28">
        <v>1438482000</v>
      </c>
      <c r="AD5335" s="28">
        <v>997232000</v>
      </c>
      <c r="AE5335" s="28">
        <v>6174710000</v>
      </c>
      <c r="AF5335" s="28">
        <v>996631000</v>
      </c>
      <c r="AG5335" s="11"/>
    </row>
    <row r="5336">
      <c r="A5336" s="7" t="s">
        <v>6949</v>
      </c>
      <c r="B5336" s="5" t="s">
        <v>14909</v>
      </c>
      <c r="C5336" s="5" t="s">
        <v>18653</v>
      </c>
      <c r="D5336" s="5"/>
      <c r="E5336" s="0" t="e">
        <f>+7 (81378) 59090
+7 (812) 1035025
+7 (81378) 59009</f>
        <v>#NAME?</v>
      </c>
      <c r="F5336" s="5" t="s">
        <v>41112</v>
      </c>
      <c r="G5336" s="5" t="s">
        <v>35313</v>
      </c>
      <c r="H5336" s="26">
        <v>19</v>
      </c>
      <c r="I5336" s="5" t="s">
        <v>41113</v>
      </c>
      <c r="J5336" s="5" t="s">
        <v>26180</v>
      </c>
      <c r="K5336" s="5" t="s">
        <v>344</v>
      </c>
      <c r="L5336" s="5" t="s">
        <v>41114</v>
      </c>
      <c r="M5336" s="27">
        <v>991204</v>
      </c>
      <c r="N5336" s="5"/>
      <c r="O5336" s="5" t="str">
        <v>4704101901</v>
      </c>
      <c r="P5336" s="27">
        <v>500000</v>
      </c>
      <c r="Q5336" s="5" t="s">
        <v>57436</v>
      </c>
      <c r="R5336" s="5"/>
      <c r="S5336" s="5" t="s">
        <v>50404</v>
      </c>
      <c r="T5336" s="28">
        <v>5354115000</v>
      </c>
      <c r="U5336" s="28"/>
      <c r="V5336" s="28">
        <v>5693055000</v>
      </c>
      <c r="W5336" s="28"/>
      <c r="X5336" s="28"/>
      <c r="Y5336" s="28">
        <v>11341564000</v>
      </c>
      <c r="Z5336" s="28">
        <v>10240125000</v>
      </c>
      <c r="AA5336" s="28"/>
      <c r="AB5336" s="28"/>
      <c r="AC5336" s="28">
        <v>629801000</v>
      </c>
      <c r="AD5336" s="28">
        <v>10240947000</v>
      </c>
      <c r="AE5336" s="28">
        <v>6534360000</v>
      </c>
      <c r="AF5336" s="28">
        <v>2204736000</v>
      </c>
      <c r="AG5336" s="11"/>
    </row>
    <row r="5337">
      <c r="A5337" s="7" t="s">
        <v>6950</v>
      </c>
      <c r="B5337" s="5" t="s">
        <v>14910</v>
      </c>
      <c r="C5337" s="5" t="s">
        <v>22613</v>
      </c>
      <c r="D5337" s="5" t="str">
        <v>040400209242</v>
      </c>
      <c r="E5337" s="0" t="e">
        <f>+7 (388) 2264501
+7 (38846) 23350
+7 (38846) 23508
+7 (38846) 23654</f>
        <v>#NAME?</v>
      </c>
      <c r="F5337" s="5" t="s">
        <v>41115</v>
      </c>
      <c r="G5337" s="5" t="s">
        <v>41116</v>
      </c>
      <c r="H5337" s="26">
        <v>27.5</v>
      </c>
      <c r="I5337" s="5" t="s">
        <v>41117</v>
      </c>
      <c r="J5337" s="5" t="s">
        <v>34692</v>
      </c>
      <c r="K5337" s="5"/>
      <c r="L5337" s="5"/>
      <c r="M5337" s="27"/>
      <c r="N5337" s="5"/>
      <c r="O5337" s="5" t="str">
        <v>0411008863</v>
      </c>
      <c r="P5337" s="27"/>
      <c r="Q5337" s="5"/>
      <c r="R5337" s="5"/>
      <c r="S5337" s="5" t="s">
        <v>49121</v>
      </c>
      <c r="T5337" s="28">
        <v>12847045000</v>
      </c>
      <c r="U5337" s="28"/>
      <c r="V5337" s="28">
        <v>2724056000</v>
      </c>
      <c r="W5337" s="28"/>
      <c r="X5337" s="28">
        <v>14136116000</v>
      </c>
      <c r="Y5337" s="28">
        <v>48415545000</v>
      </c>
      <c r="Z5337" s="28"/>
      <c r="AA5337" s="28"/>
      <c r="AB5337" s="28"/>
      <c r="AC5337" s="28">
        <v>7609410000</v>
      </c>
      <c r="AD5337" s="28">
        <v>40806135000</v>
      </c>
      <c r="AE5337" s="28">
        <v>104844192000</v>
      </c>
      <c r="AF5337" s="28">
        <v>-850762000</v>
      </c>
      <c r="AG5337" s="11"/>
    </row>
    <row r="5338">
      <c r="A5338" s="7" t="s">
        <v>6951</v>
      </c>
      <c r="B5338" s="5" t="s">
        <v>14911</v>
      </c>
      <c r="C5338" s="5" t="s">
        <v>22614</v>
      </c>
      <c r="D5338" s="5" t="str">
        <v>772860784660</v>
      </c>
      <c r="E5338" s="0" t="e">
        <f>+7 (495) 5142961
+7 (495) 7753050</f>
        <v>#NAME?</v>
      </c>
      <c r="F5338" s="5" t="s">
        <v>41118</v>
      </c>
      <c r="G5338" s="5"/>
      <c r="H5338" s="26">
        <v>20</v>
      </c>
      <c r="I5338" s="5"/>
      <c r="J5338" s="5" t="s">
        <v>26543</v>
      </c>
      <c r="K5338" s="5" t="s">
        <v>344</v>
      </c>
      <c r="L5338" s="5" t="s">
        <v>41119</v>
      </c>
      <c r="M5338" s="27"/>
      <c r="N5338" s="5"/>
      <c r="O5338" s="5" t="str">
        <v>5015246750</v>
      </c>
      <c r="P5338" s="27">
        <v>500000</v>
      </c>
      <c r="Q5338" s="5" t="s">
        <v>49591</v>
      </c>
      <c r="R5338" s="5" t="s">
        <v>57437</v>
      </c>
      <c r="S5338" s="5" t="s">
        <v>57438</v>
      </c>
      <c r="T5338" s="28">
        <v>50172000</v>
      </c>
      <c r="U5338" s="28">
        <v>812800000</v>
      </c>
      <c r="V5338" s="28">
        <v>2994801000</v>
      </c>
      <c r="W5338" s="28"/>
      <c r="X5338" s="28">
        <v>259000</v>
      </c>
      <c r="Y5338" s="28">
        <v>4031141000</v>
      </c>
      <c r="Z5338" s="28">
        <v>631219000</v>
      </c>
      <c r="AA5338" s="28">
        <v>952991000</v>
      </c>
      <c r="AB5338" s="28"/>
      <c r="AC5338" s="28">
        <v>2335046000</v>
      </c>
      <c r="AD5338" s="28">
        <v>631744000</v>
      </c>
      <c r="AE5338" s="28">
        <v>7052011000</v>
      </c>
      <c r="AF5338" s="28">
        <v>255533000</v>
      </c>
      <c r="AG5338" s="11"/>
    </row>
    <row r="5339">
      <c r="A5339" s="7" t="s">
        <v>6952</v>
      </c>
      <c r="B5339" s="5" t="s">
        <v>14912</v>
      </c>
      <c r="C5339" s="5" t="s">
        <v>22615</v>
      </c>
      <c r="D5339" s="5" t="str">
        <v>503215062951</v>
      </c>
      <c r="E5339" s="0" t="e">
        <f>+7 (926) 3699989
+7 (495) 2340214
+7 (926) 5672394</f>
        <v>#NAME?</v>
      </c>
      <c r="F5339" s="5" t="s">
        <v>41120</v>
      </c>
      <c r="G5339" s="5" t="s">
        <v>41121</v>
      </c>
      <c r="H5339" s="26">
        <v>7.5</v>
      </c>
      <c r="I5339" s="5" t="s">
        <v>41122</v>
      </c>
      <c r="J5339" s="5" t="s">
        <v>785</v>
      </c>
      <c r="K5339" s="5" t="s">
        <v>344</v>
      </c>
      <c r="L5339" s="5" t="s">
        <v>41123</v>
      </c>
      <c r="M5339" s="27"/>
      <c r="N5339" s="5" t="s">
        <v>57439</v>
      </c>
      <c r="O5339" s="5" t="str">
        <v>7709468923</v>
      </c>
      <c r="P5339" s="27">
        <v>10000</v>
      </c>
      <c r="Q5339" s="5" t="s">
        <v>57440</v>
      </c>
      <c r="R5339" s="5"/>
      <c r="S5339" s="5" t="s">
        <v>57441</v>
      </c>
      <c r="T5339" s="28">
        <v>112000</v>
      </c>
      <c r="U5339" s="28"/>
      <c r="V5339" s="28">
        <v>376249000</v>
      </c>
      <c r="W5339" s="28"/>
      <c r="X5339" s="28">
        <v>20093000</v>
      </c>
      <c r="Y5339" s="28">
        <v>422783000</v>
      </c>
      <c r="Z5339" s="28">
        <v>25046000</v>
      </c>
      <c r="AA5339" s="28"/>
      <c r="AB5339" s="28"/>
      <c r="AC5339" s="28">
        <v>397713000</v>
      </c>
      <c r="AD5339" s="28">
        <v>25056000</v>
      </c>
      <c r="AE5339" s="28">
        <v>4687925000</v>
      </c>
      <c r="AF5339" s="28">
        <v>25635000</v>
      </c>
      <c r="AG5339" s="11"/>
    </row>
    <row r="5340">
      <c r="A5340" s="7" t="s">
        <v>6953</v>
      </c>
      <c r="B5340" s="5" t="s">
        <v>11734</v>
      </c>
      <c r="C5340" s="5" t="s">
        <v>22616</v>
      </c>
      <c r="D5340" s="5" t="str">
        <v>772829692390</v>
      </c>
      <c r="E5340" s="0" t="e">
        <f>+7 (495) 7757661
+7 (3422) 190325
+7 (3472) 464450
+7 (34797) 28116
+7 (383) 3429055
+7 (391) 2902326
+7 (4232) 652148
+7 (495) 9814798
+7 (49675) 49513
+7 (800) 7071714
+7 (812) 6111017
+7 (812) 6611018
+7 (812) 9152575
+7 (815) 2287602
+7 (831) 2430182</f>
        <v>#NAME?</v>
      </c>
      <c r="F5340" s="5" t="s">
        <v>41124</v>
      </c>
      <c r="G5340" s="5" t="s">
        <v>41125</v>
      </c>
      <c r="H5340" s="26">
        <v>25.5</v>
      </c>
      <c r="I5340" s="5"/>
      <c r="J5340" s="5" t="s">
        <v>30218</v>
      </c>
      <c r="K5340" s="5" t="s">
        <v>344</v>
      </c>
      <c r="L5340" s="5" t="s">
        <v>41126</v>
      </c>
      <c r="M5340" s="27"/>
      <c r="N5340" s="5" t="s">
        <v>49374</v>
      </c>
      <c r="O5340" s="5" t="str">
        <v>7701174512</v>
      </c>
      <c r="P5340" s="27">
        <v>100000068</v>
      </c>
      <c r="Q5340" s="5" t="s">
        <v>57442</v>
      </c>
      <c r="R5340" s="5"/>
      <c r="S5340" s="5" t="s">
        <v>57443</v>
      </c>
      <c r="T5340" s="28">
        <v>547440000</v>
      </c>
      <c r="U5340" s="28">
        <v>250148000</v>
      </c>
      <c r="V5340" s="28">
        <v>2951793000</v>
      </c>
      <c r="W5340" s="28">
        <v>149623000</v>
      </c>
      <c r="X5340" s="28">
        <v>164421000</v>
      </c>
      <c r="Y5340" s="28">
        <v>6956147000</v>
      </c>
      <c r="Z5340" s="28">
        <v>2375069000</v>
      </c>
      <c r="AA5340" s="28"/>
      <c r="AB5340" s="28">
        <v>2543590000</v>
      </c>
      <c r="AC5340" s="28">
        <v>3734482000</v>
      </c>
      <c r="AD5340" s="28">
        <v>2480069000</v>
      </c>
      <c r="AE5340" s="28">
        <v>30638800000</v>
      </c>
      <c r="AF5340" s="28">
        <v>1224872000</v>
      </c>
      <c r="AG5340" s="11"/>
    </row>
    <row r="5341">
      <c r="A5341" s="7" t="s">
        <v>6954</v>
      </c>
      <c r="B5341" s="5" t="s">
        <v>14913</v>
      </c>
      <c r="C5341" s="5" t="s">
        <v>22617</v>
      </c>
      <c r="D5341" s="5"/>
      <c r="E5341" s="0" t="e">
        <f>+7 (921) 9527414
+7 (999) 314766</f>
        <v>#NAME?</v>
      </c>
      <c r="F5341" s="5" t="s">
        <v>41127</v>
      </c>
      <c r="G5341" s="5" t="s">
        <v>41128</v>
      </c>
      <c r="H5341" s="26">
        <v>6.5</v>
      </c>
      <c r="I5341" s="5" t="s">
        <v>41129</v>
      </c>
      <c r="J5341" s="5" t="s">
        <v>389</v>
      </c>
      <c r="K5341" s="5" t="s">
        <v>344</v>
      </c>
      <c r="L5341" s="5" t="s">
        <v>41130</v>
      </c>
      <c r="M5341" s="27"/>
      <c r="N5341" s="5" t="s">
        <v>57444</v>
      </c>
      <c r="O5341" s="5" t="str">
        <v>7804578154</v>
      </c>
      <c r="P5341" s="27">
        <v>500100000</v>
      </c>
      <c r="Q5341" s="5" t="s">
        <v>49009</v>
      </c>
      <c r="R5341" s="5" t="s">
        <v>57445</v>
      </c>
      <c r="S5341" s="5" t="s">
        <v>49116</v>
      </c>
      <c r="T5341" s="28">
        <v>2794413000</v>
      </c>
      <c r="U5341" s="28"/>
      <c r="V5341" s="28">
        <v>1266500000</v>
      </c>
      <c r="W5341" s="28"/>
      <c r="X5341" s="28">
        <v>109519000</v>
      </c>
      <c r="Y5341" s="28">
        <v>6185601000</v>
      </c>
      <c r="Z5341" s="28">
        <v>492160000</v>
      </c>
      <c r="AA5341" s="28">
        <v>668931000</v>
      </c>
      <c r="AB5341" s="28">
        <v>4216244000</v>
      </c>
      <c r="AC5341" s="28">
        <v>4510554000</v>
      </c>
      <c r="AD5341" s="28">
        <v>992260000</v>
      </c>
      <c r="AE5341" s="28">
        <v>11234441000</v>
      </c>
      <c r="AF5341" s="28">
        <v>214009000</v>
      </c>
      <c r="AG5341" s="11"/>
    </row>
    <row r="5342">
      <c r="A5342" s="7" t="s">
        <v>6955</v>
      </c>
      <c r="B5342" s="5" t="s">
        <v>14914</v>
      </c>
      <c r="C5342" s="5" t="s">
        <v>22618</v>
      </c>
      <c r="D5342" s="5" t="str">
        <v>692499851507</v>
      </c>
      <c r="E5342" s="0" t="e">
        <f>+7 (495) 9618812
+7 (499) 4263609
+7 (8212) 214639
+7 (8216) 740210</f>
        <v>#NAME?</v>
      </c>
      <c r="F5342" s="5" t="s">
        <v>41131</v>
      </c>
      <c r="G5342" s="5" t="s">
        <v>41132</v>
      </c>
      <c r="H5342" s="26">
        <v>9.5</v>
      </c>
      <c r="I5342" s="5" t="s">
        <v>41133</v>
      </c>
      <c r="J5342" s="5" t="s">
        <v>641</v>
      </c>
      <c r="K5342" s="5" t="s">
        <v>344</v>
      </c>
      <c r="L5342" s="5" t="s">
        <v>41134</v>
      </c>
      <c r="M5342" s="27"/>
      <c r="N5342" s="5" t="s">
        <v>57446</v>
      </c>
      <c r="O5342" s="5" t="str">
        <v>7704844420</v>
      </c>
      <c r="P5342" s="27">
        <v>101370000</v>
      </c>
      <c r="Q5342" s="5" t="s">
        <v>57447</v>
      </c>
      <c r="R5342" s="5"/>
      <c r="S5342" s="5" t="s">
        <v>57448</v>
      </c>
      <c r="T5342" s="28">
        <v>1137929000</v>
      </c>
      <c r="U5342" s="28">
        <v>20000</v>
      </c>
      <c r="V5342" s="28">
        <v>12278817000</v>
      </c>
      <c r="W5342" s="28">
        <v>146774000</v>
      </c>
      <c r="X5342" s="28">
        <v>346048000</v>
      </c>
      <c r="Y5342" s="28">
        <v>25562047000</v>
      </c>
      <c r="Z5342" s="28">
        <v>10027023000</v>
      </c>
      <c r="AA5342" s="28">
        <v>1300000000</v>
      </c>
      <c r="AB5342" s="28">
        <v>2503401000</v>
      </c>
      <c r="AC5342" s="28">
        <v>12952736000</v>
      </c>
      <c r="AD5342" s="28">
        <v>10128393000</v>
      </c>
      <c r="AE5342" s="28">
        <v>84328888000</v>
      </c>
      <c r="AF5342" s="28">
        <v>3033649000</v>
      </c>
      <c r="AG5342" s="11"/>
    </row>
    <row r="5343">
      <c r="A5343" s="7" t="s">
        <v>6956</v>
      </c>
      <c r="B5343" s="5" t="s">
        <v>14915</v>
      </c>
      <c r="C5343" s="5" t="s">
        <v>20628</v>
      </c>
      <c r="D5343" s="5"/>
      <c r="E5343" s="0" t="e">
        <f>+7 (84374) 38242
+7 (917) 2267351
+7 (495) 6441717
+7 (495) 9670990
+7 (812) 4493111
+7 (812) 4493222
+7 (812) 4495257
+7 (84374) 32490
+7 (910) 4763902
+7 (917) 2421220</f>
        <v>#NAME?</v>
      </c>
      <c r="F5343" s="5" t="s">
        <v>41135</v>
      </c>
      <c r="G5343" s="5" t="s">
        <v>41136</v>
      </c>
      <c r="H5343" s="26">
        <v>21.5</v>
      </c>
      <c r="I5343" s="5" t="s">
        <v>41137</v>
      </c>
      <c r="J5343" s="5" t="s">
        <v>26503</v>
      </c>
      <c r="K5343" s="5" t="s">
        <v>344</v>
      </c>
      <c r="L5343" s="5"/>
      <c r="M5343" s="27">
        <v>127528391</v>
      </c>
      <c r="N5343" s="5" t="s">
        <v>49923</v>
      </c>
      <c r="O5343" s="5" t="str">
        <v>7703286148</v>
      </c>
      <c r="P5343" s="27">
        <v>278034794</v>
      </c>
      <c r="Q5343" s="5" t="s">
        <v>57449</v>
      </c>
      <c r="R5343" s="5" t="s">
        <v>49159</v>
      </c>
      <c r="S5343" s="5" t="s">
        <v>57450</v>
      </c>
      <c r="T5343" s="28">
        <v>1458004000</v>
      </c>
      <c r="U5343" s="28">
        <v>2005308000</v>
      </c>
      <c r="V5343" s="28">
        <v>2777761000</v>
      </c>
      <c r="W5343" s="28">
        <v>7802931000</v>
      </c>
      <c r="X5343" s="28">
        <v>20857000</v>
      </c>
      <c r="Y5343" s="28">
        <v>31113798000</v>
      </c>
      <c r="Z5343" s="28">
        <v>3657055000</v>
      </c>
      <c r="AA5343" s="28"/>
      <c r="AB5343" s="28">
        <v>3087192000</v>
      </c>
      <c r="AC5343" s="28">
        <v>10413540000</v>
      </c>
      <c r="AD5343" s="28">
        <v>20301487000</v>
      </c>
      <c r="AE5343" s="28">
        <v>4758372000</v>
      </c>
      <c r="AF5343" s="28">
        <v>225088000</v>
      </c>
      <c r="AG5343" s="11"/>
    </row>
    <row r="5344">
      <c r="A5344" s="7" t="s">
        <v>6956</v>
      </c>
      <c r="B5344" s="5" t="s">
        <v>14916</v>
      </c>
      <c r="C5344" s="5" t="s">
        <v>22619</v>
      </c>
      <c r="D5344" s="5" t="str">
        <v>771003009110</v>
      </c>
      <c r="E5344" s="0" t="e">
        <f>+7 (499) 7501576
+7 (499) 7501681
+7 (800) 2221447
+7 (800) 7757623</f>
        <v>#NAME?</v>
      </c>
      <c r="F5344" s="5" t="s">
        <v>41138</v>
      </c>
      <c r="G5344" s="5" t="s">
        <v>41139</v>
      </c>
      <c r="H5344" s="26">
        <v>10.5</v>
      </c>
      <c r="I5344" s="5" t="s">
        <v>41140</v>
      </c>
      <c r="J5344" s="5" t="s">
        <v>26272</v>
      </c>
      <c r="K5344" s="5" t="s">
        <v>344</v>
      </c>
      <c r="L5344" s="5" t="s">
        <v>41141</v>
      </c>
      <c r="M5344" s="27">
        <v>72191</v>
      </c>
      <c r="N5344" s="5"/>
      <c r="O5344" s="5" t="str">
        <v>7707782563</v>
      </c>
      <c r="P5344" s="27">
        <v>10000</v>
      </c>
      <c r="Q5344" s="5" t="s">
        <v>49021</v>
      </c>
      <c r="R5344" s="5"/>
      <c r="S5344" s="5" t="s">
        <v>57451</v>
      </c>
      <c r="T5344" s="28">
        <v>56208000</v>
      </c>
      <c r="U5344" s="28">
        <v>4571756000</v>
      </c>
      <c r="V5344" s="28">
        <v>303021000</v>
      </c>
      <c r="W5344" s="28"/>
      <c r="X5344" s="28">
        <v>2086641000</v>
      </c>
      <c r="Y5344" s="28">
        <v>7283154000</v>
      </c>
      <c r="Z5344" s="28">
        <v>4080313000</v>
      </c>
      <c r="AA5344" s="28">
        <v>1743337000</v>
      </c>
      <c r="AB5344" s="28">
        <v>504156000</v>
      </c>
      <c r="AC5344" s="28">
        <v>1144526000</v>
      </c>
      <c r="AD5344" s="28">
        <v>4080323000</v>
      </c>
      <c r="AE5344" s="28">
        <v>3954783000</v>
      </c>
      <c r="AF5344" s="28">
        <v>2273861000</v>
      </c>
      <c r="AG5344" s="11"/>
    </row>
    <row r="5345">
      <c r="A5345" s="7" t="s">
        <v>6957</v>
      </c>
      <c r="B5345" s="5" t="s">
        <v>14917</v>
      </c>
      <c r="C5345" s="5" t="s">
        <v>22620</v>
      </c>
      <c r="D5345" s="5" t="str">
        <v>665900402500</v>
      </c>
      <c r="E5345" s="0" t="e">
        <f>+7 (343) 2159040
+7 (343) 2227222
+7 (3432) 159089
+7 (3432) 159115
+7 (3432) 159124</f>
        <v>#NAME?</v>
      </c>
      <c r="F5345" s="5" t="s">
        <v>41142</v>
      </c>
      <c r="G5345" s="5" t="s">
        <v>41143</v>
      </c>
      <c r="H5345" s="26">
        <v>14.5</v>
      </c>
      <c r="I5345" s="5" t="s">
        <v>41144</v>
      </c>
      <c r="J5345" s="5" t="s">
        <v>41145</v>
      </c>
      <c r="K5345" s="5" t="s">
        <v>355</v>
      </c>
      <c r="L5345" s="5"/>
      <c r="M5345" s="27">
        <v>892758</v>
      </c>
      <c r="N5345" s="5" t="s">
        <v>57452</v>
      </c>
      <c r="O5345" s="5" t="str">
        <v>6658328507</v>
      </c>
      <c r="P5345" s="27">
        <v>800000000</v>
      </c>
      <c r="Q5345" s="5" t="s">
        <v>57453</v>
      </c>
      <c r="R5345" s="5"/>
      <c r="S5345" s="5" t="s">
        <v>57292</v>
      </c>
      <c r="T5345" s="28">
        <v>15318822000</v>
      </c>
      <c r="U5345" s="28">
        <v>4456522000</v>
      </c>
      <c r="V5345" s="28">
        <v>5989940000</v>
      </c>
      <c r="W5345" s="28">
        <v>842420000</v>
      </c>
      <c r="X5345" s="28">
        <v>612518000</v>
      </c>
      <c r="Y5345" s="28">
        <v>42198755000</v>
      </c>
      <c r="Z5345" s="28">
        <v>13771794000</v>
      </c>
      <c r="AA5345" s="28">
        <v>5543754000</v>
      </c>
      <c r="AB5345" s="28">
        <v>8628451000</v>
      </c>
      <c r="AC5345" s="28">
        <v>13274743000</v>
      </c>
      <c r="AD5345" s="28">
        <v>19344924000</v>
      </c>
      <c r="AE5345" s="28">
        <v>5243042000</v>
      </c>
      <c r="AF5345" s="28">
        <v>-1244069000</v>
      </c>
      <c r="AG5345" s="11"/>
    </row>
    <row r="5346">
      <c r="A5346" s="7" t="s">
        <v>6958</v>
      </c>
      <c r="B5346" s="5" t="s">
        <v>14918</v>
      </c>
      <c r="C5346" s="5" t="s">
        <v>22621</v>
      </c>
      <c r="D5346" s="5" t="str">
        <v>780105362167</v>
      </c>
      <c r="E5346" s="0" t="e">
        <f>+7 (812) 3331715
+7 (485) 2588702
+7 (485) 2588703
+7 (487) 2502259
+7 (487) 2502260
+7 (487) 2502261
+7 (495) 4191503
+7 (495) 5042836
+7 (495) 5042837
+7 (495) 6413043
+7 (495) 9378874
+7 (49661) 67925
+7 (499) 4005353
+7 (812) 3331713
+7 (812) 3331790</f>
        <v>#NAME?</v>
      </c>
      <c r="F5346" s="5" t="s">
        <v>41146</v>
      </c>
      <c r="G5346" s="5" t="s">
        <v>41147</v>
      </c>
      <c r="H5346" s="26">
        <v>14.5</v>
      </c>
      <c r="I5346" s="5"/>
      <c r="J5346" s="5" t="s">
        <v>36416</v>
      </c>
      <c r="K5346" s="5" t="s">
        <v>344</v>
      </c>
      <c r="L5346" s="5" t="s">
        <v>41148</v>
      </c>
      <c r="M5346" s="27">
        <v>2534640</v>
      </c>
      <c r="N5346" s="5"/>
      <c r="O5346" s="5" t="str">
        <v>7802445776</v>
      </c>
      <c r="P5346" s="27">
        <v>414240000</v>
      </c>
      <c r="Q5346" s="5" t="s">
        <v>49009</v>
      </c>
      <c r="R5346" s="5"/>
      <c r="S5346" s="5" t="s">
        <v>50707</v>
      </c>
      <c r="T5346" s="28">
        <v>3400932000</v>
      </c>
      <c r="U5346" s="28">
        <v>1487443000</v>
      </c>
      <c r="V5346" s="28">
        <v>1835285000</v>
      </c>
      <c r="W5346" s="28"/>
      <c r="X5346" s="28">
        <v>1135068000</v>
      </c>
      <c r="Y5346" s="28">
        <v>9135750000</v>
      </c>
      <c r="Z5346" s="28">
        <v>4387185000</v>
      </c>
      <c r="AA5346" s="28">
        <v>289655000</v>
      </c>
      <c r="AB5346" s="28"/>
      <c r="AC5346" s="28">
        <v>3570238000</v>
      </c>
      <c r="AD5346" s="28">
        <v>4994639000</v>
      </c>
      <c r="AE5346" s="28">
        <v>10772572000</v>
      </c>
      <c r="AF5346" s="28">
        <v>2063288000</v>
      </c>
      <c r="AG5346" s="11"/>
    </row>
    <row r="5347">
      <c r="A5347" s="7" t="s">
        <v>6876</v>
      </c>
      <c r="B5347" s="5" t="s">
        <v>14919</v>
      </c>
      <c r="C5347" s="5" t="s">
        <v>22622</v>
      </c>
      <c r="D5347" s="5" t="str">
        <v>622811013638</v>
      </c>
      <c r="F5347" s="5"/>
      <c r="G5347" s="5"/>
      <c r="H5347" s="26">
        <v>7</v>
      </c>
      <c r="I5347" s="5" t="s">
        <v>41149</v>
      </c>
      <c r="J5347" s="5" t="s">
        <v>26623</v>
      </c>
      <c r="K5347" s="5" t="s">
        <v>355</v>
      </c>
      <c r="L5347" s="5" t="s">
        <v>41150</v>
      </c>
      <c r="M5347" s="27">
        <v>2398395285</v>
      </c>
      <c r="N5347" s="5" t="s">
        <v>57455</v>
      </c>
      <c r="O5347" s="5" t="str">
        <v>5260424307</v>
      </c>
      <c r="P5347" s="27">
        <v>1000000</v>
      </c>
      <c r="Q5347" s="5"/>
      <c r="R5347" s="5"/>
      <c r="S5347" s="5" t="s">
        <v>49047</v>
      </c>
      <c r="T5347" s="28">
        <v>62287000</v>
      </c>
      <c r="U5347" s="28"/>
      <c r="V5347" s="28">
        <v>3100453000</v>
      </c>
      <c r="W5347" s="28">
        <v>63450000</v>
      </c>
      <c r="X5347" s="28">
        <v>9260000</v>
      </c>
      <c r="Y5347" s="28">
        <v>3265860000</v>
      </c>
      <c r="Z5347" s="28">
        <v>186491000</v>
      </c>
      <c r="AA5347" s="28"/>
      <c r="AB5347" s="28"/>
      <c r="AC5347" s="28">
        <v>3073271000</v>
      </c>
      <c r="AD5347" s="28">
        <v>187491000</v>
      </c>
      <c r="AE5347" s="28">
        <v>7923345000</v>
      </c>
      <c r="AF5347" s="28">
        <v>1312000</v>
      </c>
      <c r="AG5347" s="11"/>
    </row>
    <row r="5348">
      <c r="A5348" s="7" t="s">
        <v>6959</v>
      </c>
      <c r="B5348" s="5" t="s">
        <v>14920</v>
      </c>
      <c r="C5348" s="5" t="s">
        <v>22623</v>
      </c>
      <c r="D5348" s="5" t="str">
        <v>165910892497</v>
      </c>
      <c r="E5348" s="0" t="e">
        <f>+7 (987) 4068766
+7 (8432) 961163</f>
        <v>#NAME?</v>
      </c>
      <c r="F5348" s="5" t="s">
        <v>41151</v>
      </c>
      <c r="G5348" s="5"/>
      <c r="H5348" s="26">
        <v>11</v>
      </c>
      <c r="I5348" s="5" t="s">
        <v>41152</v>
      </c>
      <c r="J5348" s="5" t="s">
        <v>35395</v>
      </c>
      <c r="K5348" s="5" t="s">
        <v>344</v>
      </c>
      <c r="L5348" s="5" t="s">
        <v>41153</v>
      </c>
      <c r="M5348" s="27">
        <v>7024803</v>
      </c>
      <c r="N5348" s="5" t="s">
        <v>57456</v>
      </c>
      <c r="O5348" s="5" t="str">
        <v>1656062524</v>
      </c>
      <c r="P5348" s="27">
        <v>1010000</v>
      </c>
      <c r="Q5348" s="5" t="s">
        <v>57457</v>
      </c>
      <c r="R5348" s="5"/>
      <c r="S5348" s="5" t="s">
        <v>57458</v>
      </c>
      <c r="T5348" s="28">
        <v>55456000</v>
      </c>
      <c r="U5348" s="28"/>
      <c r="V5348" s="28">
        <v>507786000</v>
      </c>
      <c r="W5348" s="28"/>
      <c r="X5348" s="28">
        <v>134584000</v>
      </c>
      <c r="Y5348" s="28">
        <v>777946000</v>
      </c>
      <c r="Z5348" s="28">
        <v>146204000</v>
      </c>
      <c r="AA5348" s="28"/>
      <c r="AB5348" s="28">
        <v>10000000</v>
      </c>
      <c r="AC5348" s="28">
        <v>587889000</v>
      </c>
      <c r="AD5348" s="28">
        <v>147214000</v>
      </c>
      <c r="AE5348" s="28">
        <v>4050172000</v>
      </c>
      <c r="AF5348" s="28">
        <v>24782000</v>
      </c>
      <c r="AG5348" s="11"/>
    </row>
    <row r="5349">
      <c r="A5349" s="7" t="s">
        <v>6960</v>
      </c>
      <c r="B5349" s="5" t="s">
        <v>14921</v>
      </c>
      <c r="C5349" s="5" t="s">
        <v>22624</v>
      </c>
      <c r="D5349" s="5" t="str">
        <v>772703239093</v>
      </c>
      <c r="E5349" s="0" t="e">
        <f>+7 (499) 6536561
+7 (903) 4997
+7 (499) 7395187</f>
        <v>#NAME?</v>
      </c>
      <c r="F5349" s="5" t="s">
        <v>41154</v>
      </c>
      <c r="G5349" s="5"/>
      <c r="H5349" s="26">
        <v>7</v>
      </c>
      <c r="I5349" s="5" t="s">
        <v>41155</v>
      </c>
      <c r="J5349" s="5" t="s">
        <v>364</v>
      </c>
      <c r="K5349" s="5" t="s">
        <v>344</v>
      </c>
      <c r="L5349" s="5" t="s">
        <v>41156</v>
      </c>
      <c r="M5349" s="27">
        <v>115355237</v>
      </c>
      <c r="N5349" s="5" t="s">
        <v>57459</v>
      </c>
      <c r="O5349" s="5" t="str">
        <v>7728336898</v>
      </c>
      <c r="P5349" s="27">
        <v>500000</v>
      </c>
      <c r="Q5349" s="5" t="s">
        <v>57460</v>
      </c>
      <c r="R5349" s="5"/>
      <c r="S5349" s="5" t="s">
        <v>57461</v>
      </c>
      <c r="T5349" s="28">
        <v>147403000</v>
      </c>
      <c r="U5349" s="28"/>
      <c r="V5349" s="28">
        <v>1480539000</v>
      </c>
      <c r="W5349" s="28">
        <v>1500000</v>
      </c>
      <c r="X5349" s="28">
        <v>6231833000</v>
      </c>
      <c r="Y5349" s="28">
        <v>10653324000</v>
      </c>
      <c r="Z5349" s="28">
        <v>142916000</v>
      </c>
      <c r="AA5349" s="28"/>
      <c r="AB5349" s="28">
        <v>80397000</v>
      </c>
      <c r="AC5349" s="28">
        <v>10448163000</v>
      </c>
      <c r="AD5349" s="28">
        <v>155248000</v>
      </c>
      <c r="AE5349" s="28">
        <v>4497458000</v>
      </c>
      <c r="AF5349" s="28">
        <v>56464000</v>
      </c>
      <c r="AG5349" s="11"/>
    </row>
    <row r="5350">
      <c r="A5350" s="7" t="s">
        <v>6961</v>
      </c>
      <c r="B5350" s="5" t="s">
        <v>14922</v>
      </c>
      <c r="C5350" s="5" t="s">
        <v>22625</v>
      </c>
      <c r="D5350" s="5" t="str">
        <v>270320035605</v>
      </c>
      <c r="E5350" s="0" t="e">
        <f>+7 (495) 980241</f>
        <v>#NAME?</v>
      </c>
      <c r="F5350" s="5" t="s">
        <v>41157</v>
      </c>
      <c r="G5350" s="5" t="s">
        <v>41158</v>
      </c>
      <c r="H5350" s="26">
        <v>4.5</v>
      </c>
      <c r="I5350" s="5" t="s">
        <v>41159</v>
      </c>
      <c r="J5350" s="5" t="s">
        <v>26918</v>
      </c>
      <c r="K5350" s="5" t="s">
        <v>344</v>
      </c>
      <c r="L5350" s="5" t="s">
        <v>41160</v>
      </c>
      <c r="M5350" s="27"/>
      <c r="N5350" s="5"/>
      <c r="O5350" s="5" t="str">
        <v>9705125020</v>
      </c>
      <c r="P5350" s="27">
        <v>1000000</v>
      </c>
      <c r="Q5350" s="5" t="s">
        <v>49822</v>
      </c>
      <c r="R5350" s="5"/>
      <c r="S5350" s="5" t="s">
        <v>57462</v>
      </c>
      <c r="T5350" s="28">
        <v>27088000</v>
      </c>
      <c r="U5350" s="28"/>
      <c r="V5350" s="28">
        <v>600418000</v>
      </c>
      <c r="W5350" s="28">
        <v>185315000</v>
      </c>
      <c r="X5350" s="28">
        <v>216544000</v>
      </c>
      <c r="Y5350" s="28">
        <v>1201596000</v>
      </c>
      <c r="Z5350" s="28">
        <v>700546000</v>
      </c>
      <c r="AA5350" s="28"/>
      <c r="AB5350" s="28"/>
      <c r="AC5350" s="28">
        <v>472211000</v>
      </c>
      <c r="AD5350" s="28">
        <v>701546000</v>
      </c>
      <c r="AE5350" s="28">
        <v>3174375000</v>
      </c>
      <c r="AF5350" s="28">
        <v>605568000</v>
      </c>
      <c r="AG5350" s="11"/>
    </row>
    <row r="5351">
      <c r="A5351" s="7" t="s">
        <v>6962</v>
      </c>
      <c r="B5351" s="5" t="s">
        <v>14923</v>
      </c>
      <c r="C5351" s="5" t="s">
        <v>22626</v>
      </c>
      <c r="D5351" s="5" t="str">
        <v>771375966870</v>
      </c>
      <c r="E5351" s="0" t="e">
        <f>+7 (495) 4956208
+7 (495) 6808435
+7 (925) 3595923
+7 (495) 6078418
+7 (495) 6208418
+7 (495) 6208429
+7 (495) 6208434
+7 (495) 6992320
+7 (938) 4191769
+7 (977) 3870734</f>
        <v>#NAME?</v>
      </c>
      <c r="F5351" s="5" t="s">
        <v>41161</v>
      </c>
      <c r="G5351" s="5" t="s">
        <v>41162</v>
      </c>
      <c r="H5351" s="26">
        <v>27</v>
      </c>
      <c r="I5351" s="5" t="s">
        <v>41163</v>
      </c>
      <c r="J5351" s="5" t="s">
        <v>364</v>
      </c>
      <c r="K5351" s="5" t="s">
        <v>344</v>
      </c>
      <c r="L5351" s="5"/>
      <c r="M5351" s="27">
        <v>313296789</v>
      </c>
      <c r="N5351" s="5" t="s">
        <v>57463</v>
      </c>
      <c r="O5351" s="5" t="str">
        <v>7704008538</v>
      </c>
      <c r="P5351" s="27">
        <v>500000</v>
      </c>
      <c r="Q5351" s="5" t="s">
        <v>57464</v>
      </c>
      <c r="R5351" s="5" t="s">
        <v>57465</v>
      </c>
      <c r="S5351" s="5" t="s">
        <v>57466</v>
      </c>
      <c r="T5351" s="28">
        <v>964218000</v>
      </c>
      <c r="U5351" s="28"/>
      <c r="V5351" s="28">
        <v>11589591000</v>
      </c>
      <c r="W5351" s="28"/>
      <c r="X5351" s="28">
        <v>835716000</v>
      </c>
      <c r="Y5351" s="28">
        <v>14601380000</v>
      </c>
      <c r="Z5351" s="28">
        <v>-2622649000</v>
      </c>
      <c r="AA5351" s="28"/>
      <c r="AB5351" s="28">
        <v>549310000</v>
      </c>
      <c r="AC5351" s="28">
        <v>16369349000</v>
      </c>
      <c r="AD5351" s="28">
        <v>-1633653000</v>
      </c>
      <c r="AE5351" s="28">
        <v>5450110000</v>
      </c>
      <c r="AF5351" s="28">
        <v>-242342000</v>
      </c>
      <c r="AG5351" s="11"/>
    </row>
    <row r="5352">
      <c r="A5352" s="7" t="s">
        <v>6963</v>
      </c>
      <c r="B5352" s="5" t="s">
        <v>14924</v>
      </c>
      <c r="C5352" s="5" t="s">
        <v>22627</v>
      </c>
      <c r="D5352" s="5" t="str">
        <v>452502104786</v>
      </c>
      <c r="E5352" s="0" t="e">
        <f>+7 (922) 5624033</f>
        <v>#NAME?</v>
      </c>
      <c r="F5352" s="5" t="s">
        <v>41164</v>
      </c>
      <c r="G5352" s="5"/>
      <c r="H5352" s="26">
        <v>3</v>
      </c>
      <c r="I5352" s="5" t="s">
        <v>41165</v>
      </c>
      <c r="J5352" s="5" t="s">
        <v>38093</v>
      </c>
      <c r="K5352" s="5" t="s">
        <v>344</v>
      </c>
      <c r="L5352" s="5"/>
      <c r="M5352" s="27"/>
      <c r="N5352" s="5" t="s">
        <v>57467</v>
      </c>
      <c r="O5352" s="5" t="str">
        <v>4525066947</v>
      </c>
      <c r="P5352" s="27">
        <v>10000</v>
      </c>
      <c r="Q5352" s="5"/>
      <c r="R5352" s="5"/>
      <c r="S5352" s="5" t="s">
        <v>50104</v>
      </c>
      <c r="T5352" s="28"/>
      <c r="U5352" s="28"/>
      <c r="V5352" s="28"/>
      <c r="W5352" s="28"/>
      <c r="X5352" s="28">
        <v>6761846000</v>
      </c>
      <c r="Y5352" s="28">
        <v>6761846000</v>
      </c>
      <c r="Z5352" s="28"/>
      <c r="AA5352" s="28"/>
      <c r="AB5352" s="28"/>
      <c r="AC5352" s="28"/>
      <c r="AD5352" s="28">
        <v>6761846000</v>
      </c>
      <c r="AE5352" s="28">
        <v>13457072000</v>
      </c>
      <c r="AF5352" s="28">
        <v>1512543000</v>
      </c>
      <c r="AG5352" s="11"/>
    </row>
    <row r="5353">
      <c r="A5353" s="7" t="s">
        <v>6964</v>
      </c>
      <c r="B5353" s="5" t="s">
        <v>14925</v>
      </c>
      <c r="C5353" s="5" t="s">
        <v>22628</v>
      </c>
      <c r="D5353" s="5"/>
      <c r="E5353" s="0" t="e">
        <f>+7 (49238) 24053
+7 (495) 6627000
+7 (81368) 40404
+7 (81368) 53534
+7 (81368) 96900
+7 (81368) 96903
+7 (81368) 96921
+7 (81368) 96972
+7 (81368) 96975
+7 (81368) 96994</f>
        <v>#NAME?</v>
      </c>
      <c r="F5353" s="5" t="s">
        <v>41166</v>
      </c>
      <c r="G5353" s="5" t="s">
        <v>41167</v>
      </c>
      <c r="H5353" s="26">
        <v>24</v>
      </c>
      <c r="I5353" s="5" t="s">
        <v>41168</v>
      </c>
      <c r="J5353" s="5" t="s">
        <v>33361</v>
      </c>
      <c r="K5353" s="5" t="s">
        <v>344</v>
      </c>
      <c r="L5353" s="5" t="s">
        <v>41169</v>
      </c>
      <c r="M5353" s="27">
        <v>617494</v>
      </c>
      <c r="N5353" s="5" t="s">
        <v>57468</v>
      </c>
      <c r="O5353" s="5" t="str">
        <v>4715026815</v>
      </c>
      <c r="P5353" s="27">
        <v>14697671770</v>
      </c>
      <c r="Q5353" s="5" t="s">
        <v>57469</v>
      </c>
      <c r="R5353" s="5"/>
      <c r="S5353" s="5" t="s">
        <v>57470</v>
      </c>
      <c r="T5353" s="28">
        <v>11909331000</v>
      </c>
      <c r="U5353" s="28"/>
      <c r="V5353" s="28">
        <v>5144557000</v>
      </c>
      <c r="W5353" s="28"/>
      <c r="X5353" s="28">
        <v>1244248000</v>
      </c>
      <c r="Y5353" s="28">
        <v>23634290000</v>
      </c>
      <c r="Z5353" s="28">
        <v>-1912734000</v>
      </c>
      <c r="AA5353" s="28">
        <v>5000000000</v>
      </c>
      <c r="AB5353" s="28">
        <v>2281105000</v>
      </c>
      <c r="AC5353" s="28">
        <v>5759943000</v>
      </c>
      <c r="AD5353" s="28">
        <v>12799305000</v>
      </c>
      <c r="AE5353" s="28">
        <v>23081575000</v>
      </c>
      <c r="AF5353" s="28">
        <v>1683801000</v>
      </c>
      <c r="AG5353" s="11"/>
    </row>
    <row r="5354">
      <c r="A5354" s="7" t="s">
        <v>6965</v>
      </c>
      <c r="B5354" s="5" t="s">
        <v>14926</v>
      </c>
      <c r="C5354" s="5" t="s">
        <v>22629</v>
      </c>
      <c r="D5354" s="5" t="str">
        <v>504500209153</v>
      </c>
      <c r="E5354" s="0" t="e">
        <f>+7 (495) 1200579</f>
        <v>#NAME?</v>
      </c>
      <c r="F5354" s="5" t="s">
        <v>41170</v>
      </c>
      <c r="G5354" s="5" t="s">
        <v>41171</v>
      </c>
      <c r="H5354" s="26">
        <v>3.5</v>
      </c>
      <c r="I5354" s="5" t="s">
        <v>41172</v>
      </c>
      <c r="J5354" s="5" t="s">
        <v>27174</v>
      </c>
      <c r="K5354" s="5" t="s">
        <v>344</v>
      </c>
      <c r="L5354" s="5" t="s">
        <v>41173</v>
      </c>
      <c r="M5354" s="27"/>
      <c r="N5354" s="5"/>
      <c r="O5354" s="5" t="str">
        <v>9703001710</v>
      </c>
      <c r="P5354" s="27">
        <v>100000000</v>
      </c>
      <c r="Q5354" s="5"/>
      <c r="R5354" s="5"/>
      <c r="S5354" s="5" t="s">
        <v>49121</v>
      </c>
      <c r="T5354" s="28">
        <v>4349000</v>
      </c>
      <c r="U5354" s="28"/>
      <c r="V5354" s="28">
        <v>503424000</v>
      </c>
      <c r="W5354" s="28">
        <v>74173163000</v>
      </c>
      <c r="X5354" s="28">
        <v>937324000</v>
      </c>
      <c r="Y5354" s="28">
        <v>75904333000</v>
      </c>
      <c r="Z5354" s="28">
        <v>761572000</v>
      </c>
      <c r="AA5354" s="28"/>
      <c r="AB5354" s="28">
        <v>73286347000</v>
      </c>
      <c r="AC5354" s="28">
        <v>74625888000</v>
      </c>
      <c r="AD5354" s="28">
        <v>866572000</v>
      </c>
      <c r="AE5354" s="28">
        <v>5433447000</v>
      </c>
      <c r="AF5354" s="28">
        <v>618507000</v>
      </c>
      <c r="AG5354" s="11"/>
    </row>
    <row r="5355">
      <c r="A5355" s="7" t="s">
        <v>6966</v>
      </c>
      <c r="B5355" s="5" t="s">
        <v>14927</v>
      </c>
      <c r="C5355" s="5" t="s">
        <v>22630</v>
      </c>
      <c r="D5355" s="5" t="str">
        <v>770302054750</v>
      </c>
      <c r="E5355" s="0" t="e">
        <f>+7 (495) 2589583
+7 (495) 3630289
+7 (800) 1000100</f>
        <v>#NAME?</v>
      </c>
      <c r="F5355" s="5"/>
      <c r="G5355" s="5" t="s">
        <v>41174</v>
      </c>
      <c r="H5355" s="26">
        <v>6.5</v>
      </c>
      <c r="I5355" s="5" t="s">
        <v>41175</v>
      </c>
      <c r="J5355" s="5" t="s">
        <v>881</v>
      </c>
      <c r="K5355" s="5" t="s">
        <v>355</v>
      </c>
      <c r="L5355" s="5" t="s">
        <v>41176</v>
      </c>
      <c r="M5355" s="27"/>
      <c r="N5355" s="5"/>
      <c r="O5355" s="5" t="str">
        <v>7704370385</v>
      </c>
      <c r="P5355" s="27">
        <v>10000</v>
      </c>
      <c r="Q5355" s="5" t="s">
        <v>57472</v>
      </c>
      <c r="R5355" s="5"/>
      <c r="S5355" s="5" t="s">
        <v>55225</v>
      </c>
      <c r="T5355" s="28">
        <v>940432000</v>
      </c>
      <c r="U5355" s="28"/>
      <c r="V5355" s="28">
        <v>178398000</v>
      </c>
      <c r="W5355" s="28"/>
      <c r="X5355" s="28">
        <v>91934000</v>
      </c>
      <c r="Y5355" s="28">
        <v>4970288000</v>
      </c>
      <c r="Z5355" s="28">
        <v>34767000</v>
      </c>
      <c r="AA5355" s="28"/>
      <c r="AB5355" s="28"/>
      <c r="AC5355" s="28">
        <v>4236032000</v>
      </c>
      <c r="AD5355" s="28">
        <v>34777000</v>
      </c>
      <c r="AE5355" s="28">
        <v>4996786000</v>
      </c>
      <c r="AF5355" s="28">
        <v>473000</v>
      </c>
      <c r="AG5355" s="11"/>
    </row>
    <row r="5356">
      <c r="A5356" s="7" t="s">
        <v>6967</v>
      </c>
      <c r="B5356" s="5" t="s">
        <v>14928</v>
      </c>
      <c r="C5356" s="5" t="s">
        <v>22631</v>
      </c>
      <c r="D5356" s="5" t="str">
        <v>772157013245</v>
      </c>
      <c r="E5356" s="0" t="e">
        <f>+7 (929) 5794541
+7 (495) 1222333
+7 (495) 5733452
+7 (495) 7932533
+7 (903) 2742443</f>
        <v>#NAME?</v>
      </c>
      <c r="F5356" s="5" t="s">
        <v>41177</v>
      </c>
      <c r="G5356" s="5"/>
      <c r="H5356" s="26">
        <v>20</v>
      </c>
      <c r="I5356" s="5"/>
      <c r="J5356" s="5" t="s">
        <v>881</v>
      </c>
      <c r="K5356" s="5" t="s">
        <v>344</v>
      </c>
      <c r="L5356" s="5"/>
      <c r="M5356" s="27"/>
      <c r="N5356" s="5" t="s">
        <v>57473</v>
      </c>
      <c r="O5356" s="5" t="str">
        <v>5047053920</v>
      </c>
      <c r="P5356" s="27">
        <v>100000</v>
      </c>
      <c r="Q5356" s="5" t="s">
        <v>57475</v>
      </c>
      <c r="R5356" s="5"/>
      <c r="S5356" s="5" t="s">
        <v>50475</v>
      </c>
      <c r="T5356" s="28">
        <v>268006000</v>
      </c>
      <c r="U5356" s="28">
        <v>2780719000</v>
      </c>
      <c r="V5356" s="28">
        <v>4053346000</v>
      </c>
      <c r="W5356" s="28">
        <v>235710000</v>
      </c>
      <c r="X5356" s="28">
        <v>3108462000</v>
      </c>
      <c r="Y5356" s="28">
        <v>11229540000</v>
      </c>
      <c r="Z5356" s="28">
        <v>853058000</v>
      </c>
      <c r="AA5356" s="28">
        <v>2301000000</v>
      </c>
      <c r="AB5356" s="28">
        <v>3791505000</v>
      </c>
      <c r="AC5356" s="28">
        <v>7933095000</v>
      </c>
      <c r="AD5356" s="28">
        <v>943526000</v>
      </c>
      <c r="AE5356" s="28">
        <v>10572593000</v>
      </c>
      <c r="AF5356" s="28">
        <v>381211000</v>
      </c>
      <c r="AG5356" s="11"/>
    </row>
    <row r="5357">
      <c r="A5357" s="7" t="s">
        <v>6968</v>
      </c>
      <c r="B5357" s="5" t="s">
        <v>14929</v>
      </c>
      <c r="C5357" s="5" t="s">
        <v>22632</v>
      </c>
      <c r="D5357" s="5" t="str">
        <v>370403947238</v>
      </c>
      <c r="F5357" s="5"/>
      <c r="G5357" s="5"/>
      <c r="H5357" s="26">
        <v>2</v>
      </c>
      <c r="I5357" s="5"/>
      <c r="J5357" s="5" t="s">
        <v>37384</v>
      </c>
      <c r="K5357" s="5" t="s">
        <v>344</v>
      </c>
      <c r="L5357" s="5"/>
      <c r="M5357" s="27"/>
      <c r="N5357" s="5" t="s">
        <v>57476</v>
      </c>
      <c r="O5357" s="5" t="str">
        <v>3703024554</v>
      </c>
      <c r="P5357" s="27">
        <v>10000000</v>
      </c>
      <c r="Q5357" s="5" t="s">
        <v>49021</v>
      </c>
      <c r="R5357" s="5"/>
      <c r="S5357" s="5" t="s">
        <v>57477</v>
      </c>
      <c r="T5357" s="28">
        <v>64644000</v>
      </c>
      <c r="U5357" s="28">
        <v>582389000</v>
      </c>
      <c r="V5357" s="28">
        <v>1229939000</v>
      </c>
      <c r="W5357" s="28"/>
      <c r="X5357" s="28">
        <v>10340000</v>
      </c>
      <c r="Y5357" s="28">
        <v>2290781000</v>
      </c>
      <c r="Z5357" s="28">
        <v>1229499000</v>
      </c>
      <c r="AA5357" s="28"/>
      <c r="AB5357" s="28">
        <v>55000</v>
      </c>
      <c r="AC5357" s="28">
        <v>1051282000</v>
      </c>
      <c r="AD5357" s="28">
        <v>1239499000</v>
      </c>
      <c r="AE5357" s="28">
        <v>5554400000</v>
      </c>
      <c r="AF5357" s="28">
        <v>1094999000</v>
      </c>
      <c r="AG5357" s="11"/>
    </row>
    <row r="5358">
      <c r="A5358" s="7" t="s">
        <v>6969</v>
      </c>
      <c r="B5358" s="5" t="s">
        <v>14930</v>
      </c>
      <c r="C5358" s="5" t="s">
        <v>22633</v>
      </c>
      <c r="D5358" s="5" t="str">
        <v>771514604870</v>
      </c>
      <c r="E5358" s="0" t="e">
        <f>+7 (495) 1396505
+7 (495) 7405093
+7 (926) 8760087
+7 (495) 2872525</f>
        <v>#NAME?</v>
      </c>
      <c r="F5358" s="5" t="s">
        <v>41178</v>
      </c>
      <c r="G5358" s="5"/>
      <c r="H5358" s="26">
        <v>7</v>
      </c>
      <c r="I5358" s="5"/>
      <c r="J5358" s="5" t="s">
        <v>41179</v>
      </c>
      <c r="K5358" s="5" t="s">
        <v>344</v>
      </c>
      <c r="L5358" s="5" t="s">
        <v>41180</v>
      </c>
      <c r="M5358" s="27"/>
      <c r="N5358" s="5" t="s">
        <v>57478</v>
      </c>
      <c r="O5358" s="5" t="str">
        <v>7704338977</v>
      </c>
      <c r="P5358" s="27">
        <v>15000000</v>
      </c>
      <c r="Q5358" s="5" t="s">
        <v>57479</v>
      </c>
      <c r="R5358" s="5"/>
      <c r="S5358" s="5" t="s">
        <v>50951</v>
      </c>
      <c r="T5358" s="28">
        <v>147449000</v>
      </c>
      <c r="U5358" s="28">
        <v>150283000</v>
      </c>
      <c r="V5358" s="28">
        <v>520909000</v>
      </c>
      <c r="W5358" s="28">
        <v>46402709000</v>
      </c>
      <c r="X5358" s="28">
        <v>52427610000</v>
      </c>
      <c r="Y5358" s="28">
        <v>99812155000</v>
      </c>
      <c r="Z5358" s="28">
        <v>1828251000</v>
      </c>
      <c r="AA5358" s="28">
        <v>2625000000</v>
      </c>
      <c r="AB5358" s="28">
        <v>93615971000</v>
      </c>
      <c r="AC5358" s="28">
        <v>93838927000</v>
      </c>
      <c r="AD5358" s="28">
        <v>3244001000</v>
      </c>
      <c r="AE5358" s="28">
        <v>9698075000</v>
      </c>
      <c r="AF5358" s="28">
        <v>864989000</v>
      </c>
      <c r="AG5358" s="11"/>
    </row>
    <row r="5359">
      <c r="A5359" s="7" t="s">
        <v>6970</v>
      </c>
      <c r="B5359" s="5" t="s">
        <v>14931</v>
      </c>
      <c r="C5359" s="5" t="s">
        <v>22634</v>
      </c>
      <c r="D5359" s="5" t="str">
        <v>212911368588</v>
      </c>
      <c r="E5359" s="0" t="e">
        <f>+7 (499) 4260096</f>
        <v>#NAME?</v>
      </c>
      <c r="F5359" s="5" t="s">
        <v>41181</v>
      </c>
      <c r="G5359" s="5" t="s">
        <v>41182</v>
      </c>
      <c r="H5359" s="26">
        <v>12.5</v>
      </c>
      <c r="I5359" s="5" t="s">
        <v>41183</v>
      </c>
      <c r="J5359" s="5" t="s">
        <v>26623</v>
      </c>
      <c r="K5359" s="5" t="s">
        <v>344</v>
      </c>
      <c r="L5359" s="5"/>
      <c r="M5359" s="27"/>
      <c r="N5359" s="5" t="s">
        <v>57480</v>
      </c>
      <c r="O5359" s="5" t="str">
        <v>7729663922</v>
      </c>
      <c r="P5359" s="27">
        <v>2855702185</v>
      </c>
      <c r="Q5359" s="5" t="s">
        <v>57481</v>
      </c>
      <c r="R5359" s="5" t="s">
        <v>57482</v>
      </c>
      <c r="S5359" s="5" t="s">
        <v>57483</v>
      </c>
      <c r="T5359" s="28">
        <v>54409000</v>
      </c>
      <c r="U5359" s="28">
        <v>226792000</v>
      </c>
      <c r="V5359" s="28">
        <v>291762000</v>
      </c>
      <c r="W5359" s="28"/>
      <c r="X5359" s="28">
        <v>2609770000</v>
      </c>
      <c r="Y5359" s="28">
        <v>3352644000</v>
      </c>
      <c r="Z5359" s="28">
        <v>154209000</v>
      </c>
      <c r="AA5359" s="28"/>
      <c r="AB5359" s="28"/>
      <c r="AC5359" s="28">
        <v>332008000</v>
      </c>
      <c r="AD5359" s="28">
        <v>3009911000</v>
      </c>
      <c r="AE5359" s="28">
        <v>3219433000</v>
      </c>
      <c r="AF5359" s="28">
        <v>414209000</v>
      </c>
      <c r="AG5359" s="11"/>
    </row>
    <row r="5360">
      <c r="A5360" s="7" t="s">
        <v>6971</v>
      </c>
      <c r="B5360" s="5" t="s">
        <v>14932</v>
      </c>
      <c r="C5360" s="5" t="s">
        <v>22635</v>
      </c>
      <c r="D5360" s="5" t="str">
        <v>771505470934</v>
      </c>
      <c r="E5360" s="0" t="e">
        <f>+7 (495) 5400202
+7 (495) 5870907
+7 (800) 5500202
+7 (985) 3644834</f>
        <v>#NAME?</v>
      </c>
      <c r="F5360" s="5" t="s">
        <v>41184</v>
      </c>
      <c r="G5360" s="5"/>
      <c r="H5360" s="26">
        <v>8.5</v>
      </c>
      <c r="I5360" s="5" t="s">
        <v>41185</v>
      </c>
      <c r="J5360" s="5" t="s">
        <v>881</v>
      </c>
      <c r="K5360" s="5" t="s">
        <v>344</v>
      </c>
      <c r="L5360" s="5" t="s">
        <v>41186</v>
      </c>
      <c r="M5360" s="27">
        <v>1365966</v>
      </c>
      <c r="N5360" s="5"/>
      <c r="O5360" s="5" t="str">
        <v>7704869777</v>
      </c>
      <c r="P5360" s="27">
        <v>1650100000</v>
      </c>
      <c r="Q5360" s="5" t="s">
        <v>57484</v>
      </c>
      <c r="R5360" s="5"/>
      <c r="S5360" s="5" t="s">
        <v>49747</v>
      </c>
      <c r="T5360" s="28">
        <v>6419457000</v>
      </c>
      <c r="U5360" s="28">
        <v>19000</v>
      </c>
      <c r="V5360" s="28">
        <v>11370461000</v>
      </c>
      <c r="W5360" s="28">
        <v>106100000</v>
      </c>
      <c r="X5360" s="28">
        <v>8238204000</v>
      </c>
      <c r="Y5360" s="28">
        <v>36749120000</v>
      </c>
      <c r="Z5360" s="28">
        <v>7393545000</v>
      </c>
      <c r="AA5360" s="28">
        <v>12869525000</v>
      </c>
      <c r="AB5360" s="28">
        <v>3052648000</v>
      </c>
      <c r="AC5360" s="28">
        <v>10381286000</v>
      </c>
      <c r="AD5360" s="28">
        <v>9043645000</v>
      </c>
      <c r="AE5360" s="28">
        <v>13259239000</v>
      </c>
      <c r="AF5360" s="28">
        <v>3247799000</v>
      </c>
      <c r="AG5360" s="11"/>
    </row>
    <row r="5361">
      <c r="A5361" s="7" t="s">
        <v>6972</v>
      </c>
      <c r="B5361" s="5" t="s">
        <v>14933</v>
      </c>
      <c r="C5361" s="5" t="s">
        <v>22636</v>
      </c>
      <c r="D5361" s="5" t="str">
        <v>772830165670</v>
      </c>
      <c r="E5361" s="0" t="e">
        <f>+7 (495) 7550770
+7 (499) 7550770
+7 (903) 2291357
+7 (915) 4204449
+7 (915) 306600
+7 (916) 4016436</f>
        <v>#NAME?</v>
      </c>
      <c r="F5361" s="5"/>
      <c r="G5361" s="5" t="s">
        <v>41187</v>
      </c>
      <c r="H5361" s="26">
        <v>7</v>
      </c>
      <c r="I5361" s="5" t="s">
        <v>41188</v>
      </c>
      <c r="J5361" s="5" t="s">
        <v>29860</v>
      </c>
      <c r="K5361" s="5" t="s">
        <v>344</v>
      </c>
      <c r="L5361" s="5" t="s">
        <v>41189</v>
      </c>
      <c r="M5361" s="27"/>
      <c r="N5361" s="5" t="s">
        <v>57485</v>
      </c>
      <c r="O5361" s="5" t="str">
        <v>7704356648</v>
      </c>
      <c r="P5361" s="27">
        <v>10000</v>
      </c>
      <c r="Q5361" s="5" t="s">
        <v>57486</v>
      </c>
      <c r="R5361" s="5"/>
      <c r="S5361" s="5" t="s">
        <v>57487</v>
      </c>
      <c r="T5361" s="28">
        <v>1707116000</v>
      </c>
      <c r="U5361" s="28">
        <v>183463000</v>
      </c>
      <c r="V5361" s="28">
        <v>3574399000</v>
      </c>
      <c r="W5361" s="28"/>
      <c r="X5361" s="28">
        <v>588044000</v>
      </c>
      <c r="Y5361" s="28">
        <v>7848517000</v>
      </c>
      <c r="Z5361" s="28">
        <v>1316331000</v>
      </c>
      <c r="AA5361" s="28">
        <v>700000000</v>
      </c>
      <c r="AB5361" s="28">
        <v>2266116000</v>
      </c>
      <c r="AC5361" s="28">
        <v>5265552000</v>
      </c>
      <c r="AD5361" s="28">
        <v>1775320000</v>
      </c>
      <c r="AE5361" s="28">
        <v>7366675000</v>
      </c>
      <c r="AF5361" s="28">
        <v>680200000</v>
      </c>
      <c r="AG5361" s="11"/>
    </row>
    <row r="5362">
      <c r="A5362" s="7" t="s">
        <v>6973</v>
      </c>
      <c r="B5362" s="5" t="s">
        <v>14934</v>
      </c>
      <c r="C5362" s="5" t="s">
        <v>22637</v>
      </c>
      <c r="D5362" s="5" t="str">
        <v>773390149027</v>
      </c>
      <c r="E5362" s="0" t="e">
        <f>+7 (985) 8007939
+7 (991) 3068653
+7 (495) 8556200
+7 (495) 9920406
+7 (903) 7194969
+7 (985) 8009930</f>
        <v>#NAME?</v>
      </c>
      <c r="F5362" s="5" t="s">
        <v>41190</v>
      </c>
      <c r="G5362" s="5"/>
      <c r="H5362" s="26">
        <v>14</v>
      </c>
      <c r="I5362" s="5" t="s">
        <v>41191</v>
      </c>
      <c r="J5362" s="5" t="s">
        <v>881</v>
      </c>
      <c r="K5362" s="5" t="s">
        <v>344</v>
      </c>
      <c r="L5362" s="5" t="s">
        <v>41192</v>
      </c>
      <c r="M5362" s="27"/>
      <c r="N5362" s="5" t="s">
        <v>57488</v>
      </c>
      <c r="O5362" s="5" t="str">
        <v>5030065734</v>
      </c>
      <c r="P5362" s="27">
        <v>1000000</v>
      </c>
      <c r="Q5362" s="5" t="s">
        <v>57490</v>
      </c>
      <c r="R5362" s="5" t="s">
        <v>57491</v>
      </c>
      <c r="S5362" s="5" t="s">
        <v>50191</v>
      </c>
      <c r="T5362" s="28">
        <v>209583000</v>
      </c>
      <c r="U5362" s="28">
        <v>210000</v>
      </c>
      <c r="V5362" s="28">
        <v>872125000</v>
      </c>
      <c r="W5362" s="28"/>
      <c r="X5362" s="28">
        <v>1839051000</v>
      </c>
      <c r="Y5362" s="28">
        <v>3228966000</v>
      </c>
      <c r="Z5362" s="28">
        <v>1760614000</v>
      </c>
      <c r="AA5362" s="28"/>
      <c r="AB5362" s="28"/>
      <c r="AC5362" s="28">
        <v>1393092000</v>
      </c>
      <c r="AD5362" s="28">
        <v>1761614000</v>
      </c>
      <c r="AE5362" s="28">
        <v>10408192000</v>
      </c>
      <c r="AF5362" s="28">
        <v>755398000</v>
      </c>
      <c r="AG5362" s="11"/>
    </row>
    <row r="5363">
      <c r="A5363" s="7" t="s">
        <v>6974</v>
      </c>
      <c r="B5363" s="5" t="s">
        <v>14935</v>
      </c>
      <c r="C5363" s="5" t="s">
        <v>19366</v>
      </c>
      <c r="D5363" s="5" t="str">
        <v>770802404040</v>
      </c>
      <c r="E5363" s="0" t="e">
        <f>+7 (495) 5805217
+7 (495) 6456889
+7 (495) 6488668</f>
        <v>#NAME?</v>
      </c>
      <c r="F5363" s="5" t="s">
        <v>41193</v>
      </c>
      <c r="G5363" s="5" t="s">
        <v>41194</v>
      </c>
      <c r="H5363" s="26">
        <v>5</v>
      </c>
      <c r="I5363" s="5" t="s">
        <v>41195</v>
      </c>
      <c r="J5363" s="5" t="s">
        <v>25199</v>
      </c>
      <c r="K5363" s="5" t="s">
        <v>344</v>
      </c>
      <c r="L5363" s="5" t="s">
        <v>41196</v>
      </c>
      <c r="M5363" s="27"/>
      <c r="N5363" s="5" t="s">
        <v>57492</v>
      </c>
      <c r="O5363" s="5" t="str">
        <v>9710053162</v>
      </c>
      <c r="P5363" s="27">
        <v>120000000</v>
      </c>
      <c r="Q5363" s="5" t="s">
        <v>57493</v>
      </c>
      <c r="R5363" s="5"/>
      <c r="S5363" s="5" t="s">
        <v>57494</v>
      </c>
      <c r="T5363" s="28">
        <v>8755887000</v>
      </c>
      <c r="U5363" s="28">
        <v>10000</v>
      </c>
      <c r="V5363" s="28">
        <v>4414160000</v>
      </c>
      <c r="W5363" s="28"/>
      <c r="X5363" s="28">
        <v>2886986000</v>
      </c>
      <c r="Y5363" s="28">
        <v>18456953000</v>
      </c>
      <c r="Z5363" s="28">
        <v>4729013000</v>
      </c>
      <c r="AA5363" s="28">
        <v>40840000</v>
      </c>
      <c r="AB5363" s="28">
        <v>73345000</v>
      </c>
      <c r="AC5363" s="28">
        <v>10226287000</v>
      </c>
      <c r="AD5363" s="28">
        <v>4959736000</v>
      </c>
      <c r="AE5363" s="28">
        <v>13041941000</v>
      </c>
      <c r="AF5363" s="28">
        <v>1368197000</v>
      </c>
      <c r="AG5363" s="11"/>
    </row>
    <row r="5364">
      <c r="A5364" s="7" t="s">
        <v>6975</v>
      </c>
      <c r="B5364" s="5" t="s">
        <v>14936</v>
      </c>
      <c r="C5364" s="5" t="s">
        <v>22638</v>
      </c>
      <c r="D5364" s="5" t="str">
        <v>773004356102</v>
      </c>
      <c r="E5364" s="0" t="e">
        <f>+7 (495) 7108606
+7 (495) 7108609
+7 (800) 2500505</f>
        <v>#NAME?</v>
      </c>
      <c r="F5364" s="5" t="s">
        <v>41197</v>
      </c>
      <c r="G5364" s="5" t="s">
        <v>41198</v>
      </c>
      <c r="H5364" s="26">
        <v>21.5</v>
      </c>
      <c r="I5364" s="5"/>
      <c r="J5364" s="5" t="s">
        <v>31191</v>
      </c>
      <c r="K5364" s="5" t="s">
        <v>380</v>
      </c>
      <c r="L5364" s="5"/>
      <c r="M5364" s="27">
        <v>482599</v>
      </c>
      <c r="N5364" s="5"/>
      <c r="O5364" s="5" t="str">
        <v>7709356049</v>
      </c>
      <c r="P5364" s="27">
        <v>2120210000</v>
      </c>
      <c r="Q5364" s="5" t="s">
        <v>49009</v>
      </c>
      <c r="R5364" s="5"/>
      <c r="S5364" s="5" t="s">
        <v>49120</v>
      </c>
      <c r="T5364" s="28">
        <v>13561483000</v>
      </c>
      <c r="U5364" s="28">
        <v>1696000000</v>
      </c>
      <c r="V5364" s="28">
        <v>5735415000</v>
      </c>
      <c r="W5364" s="28"/>
      <c r="X5364" s="28">
        <v>2386556000</v>
      </c>
      <c r="Y5364" s="28">
        <v>39545376000</v>
      </c>
      <c r="Z5364" s="28">
        <v>-9367856000</v>
      </c>
      <c r="AA5364" s="28">
        <v>679000000</v>
      </c>
      <c r="AB5364" s="28"/>
      <c r="AC5364" s="28">
        <v>23117989000</v>
      </c>
      <c r="AD5364" s="28">
        <v>4378255000</v>
      </c>
      <c r="AE5364" s="28">
        <v>56965360000</v>
      </c>
      <c r="AF5364" s="28">
        <v>-826769000</v>
      </c>
      <c r="AG5364" s="11"/>
    </row>
    <row r="5365">
      <c r="A5365" s="7" t="s">
        <v>6976</v>
      </c>
      <c r="B5365" s="5" t="s">
        <v>14937</v>
      </c>
      <c r="C5365" s="5" t="s">
        <v>22639</v>
      </c>
      <c r="D5365" s="5" t="str">
        <v>666300660638</v>
      </c>
      <c r="E5365" s="0" t="e">
        <f>+7 (343) 2885804
+7 (343) 3450830
+7 (343) 3450831
+7 (343) 3450841
+7 (343) 3450843
+7 (343) 3450845
+7 (343) 3450854
+7 (343) 3450861
+7 (343) 3450865
+7 (343) 3450866
+7 (3433) 450867</f>
        <v>#NAME?</v>
      </c>
      <c r="F5365" s="5" t="s">
        <v>41199</v>
      </c>
      <c r="G5365" s="5" t="s">
        <v>41200</v>
      </c>
      <c r="H5365" s="26">
        <v>18.5</v>
      </c>
      <c r="I5365" s="5"/>
      <c r="J5365" s="5" t="s">
        <v>26880</v>
      </c>
      <c r="K5365" s="5" t="s">
        <v>344</v>
      </c>
      <c r="L5365" s="5" t="s">
        <v>41201</v>
      </c>
      <c r="M5365" s="27">
        <v>6022061</v>
      </c>
      <c r="N5365" s="5" t="s">
        <v>57495</v>
      </c>
      <c r="O5365" s="5" t="str">
        <v>6670065565</v>
      </c>
      <c r="P5365" s="27">
        <v>10000</v>
      </c>
      <c r="Q5365" s="5" t="s">
        <v>57496</v>
      </c>
      <c r="R5365" s="5"/>
      <c r="S5365" s="5" t="s">
        <v>49361</v>
      </c>
      <c r="T5365" s="28">
        <v>98767000</v>
      </c>
      <c r="U5365" s="28">
        <v>545000</v>
      </c>
      <c r="V5365" s="28">
        <v>1300030000</v>
      </c>
      <c r="W5365" s="28"/>
      <c r="X5365" s="28">
        <v>43798000</v>
      </c>
      <c r="Y5365" s="28">
        <v>3283331000</v>
      </c>
      <c r="Z5365" s="28">
        <v>1447921000</v>
      </c>
      <c r="AA5365" s="28">
        <v>905000000</v>
      </c>
      <c r="AB5365" s="28">
        <v>37581000</v>
      </c>
      <c r="AC5365" s="28">
        <v>930400000</v>
      </c>
      <c r="AD5365" s="28">
        <v>1447931000</v>
      </c>
      <c r="AE5365" s="28">
        <v>7299074000</v>
      </c>
      <c r="AF5365" s="28">
        <v>288092000</v>
      </c>
      <c r="AG5365" s="11"/>
    </row>
    <row r="5366">
      <c r="A5366" s="7" t="s">
        <v>6977</v>
      </c>
      <c r="B5366" s="5" t="s">
        <v>14938</v>
      </c>
      <c r="C5366" s="5" t="s">
        <v>22640</v>
      </c>
      <c r="D5366" s="5" t="str">
        <v>771400763108</v>
      </c>
      <c r="E5366" s="0" t="e">
        <f>+7 (968) 3976686
+7 (985) 7100472</f>
        <v>#NAME?</v>
      </c>
      <c r="F5366" s="5"/>
      <c r="G5366" s="5"/>
      <c r="H5366" s="26">
        <v>4.5</v>
      </c>
      <c r="I5366" s="5" t="s">
        <v>41202</v>
      </c>
      <c r="J5366" s="5" t="s">
        <v>373</v>
      </c>
      <c r="K5366" s="5" t="s">
        <v>344</v>
      </c>
      <c r="L5366" s="5" t="s">
        <v>41203</v>
      </c>
      <c r="M5366" s="27"/>
      <c r="N5366" s="5" t="s">
        <v>57497</v>
      </c>
      <c r="O5366" s="5" t="str">
        <v>9731014492</v>
      </c>
      <c r="P5366" s="27">
        <v>500000</v>
      </c>
      <c r="Q5366" s="5" t="s">
        <v>57498</v>
      </c>
      <c r="R5366" s="5"/>
      <c r="S5366" s="5" t="s">
        <v>57499</v>
      </c>
      <c r="T5366" s="28">
        <v>10065000</v>
      </c>
      <c r="U5366" s="28"/>
      <c r="V5366" s="28">
        <v>335285000</v>
      </c>
      <c r="W5366" s="28">
        <v>4500000</v>
      </c>
      <c r="X5366" s="28">
        <v>6054000</v>
      </c>
      <c r="Y5366" s="28">
        <v>621082000</v>
      </c>
      <c r="Z5366" s="28">
        <v>227743000</v>
      </c>
      <c r="AA5366" s="28">
        <v>100000000</v>
      </c>
      <c r="AB5366" s="28">
        <v>181035000</v>
      </c>
      <c r="AC5366" s="28">
        <v>291147000</v>
      </c>
      <c r="AD5366" s="28">
        <v>228243000</v>
      </c>
      <c r="AE5366" s="28">
        <v>4592009000</v>
      </c>
      <c r="AF5366" s="28">
        <v>83284000</v>
      </c>
      <c r="AG5366" s="11"/>
    </row>
    <row r="5367">
      <c r="A5367" s="7" t="s">
        <v>6977</v>
      </c>
      <c r="B5367" s="5" t="s">
        <v>14939</v>
      </c>
      <c r="C5367" s="5" t="s">
        <v>22641</v>
      </c>
      <c r="D5367" s="5" t="str">
        <v>661201514274</v>
      </c>
      <c r="E5367" s="0" t="e">
        <f>+7 (499) 1300506
+7 (967) 549277
+7 (910) 4795714</f>
        <v>#NAME?</v>
      </c>
      <c r="F5367" s="5"/>
      <c r="G5367" s="5"/>
      <c r="H5367" s="26">
        <v>14</v>
      </c>
      <c r="I5367" s="5" t="s">
        <v>41204</v>
      </c>
      <c r="J5367" s="5" t="s">
        <v>38428</v>
      </c>
      <c r="K5367" s="5" t="s">
        <v>344</v>
      </c>
      <c r="L5367" s="5"/>
      <c r="M5367" s="27"/>
      <c r="N5367" s="5"/>
      <c r="O5367" s="5" t="str">
        <v>7707702649</v>
      </c>
      <c r="P5367" s="27">
        <v>10000</v>
      </c>
      <c r="Q5367" s="5" t="s">
        <v>57500</v>
      </c>
      <c r="R5367" s="5" t="s">
        <v>57501</v>
      </c>
      <c r="S5367" s="5" t="s">
        <v>57502</v>
      </c>
      <c r="T5367" s="28">
        <v>124537000</v>
      </c>
      <c r="U5367" s="28"/>
      <c r="V5367" s="28">
        <v>2252561000</v>
      </c>
      <c r="W5367" s="28"/>
      <c r="X5367" s="28">
        <v>5792000</v>
      </c>
      <c r="Y5367" s="28">
        <v>2548247000</v>
      </c>
      <c r="Z5367" s="28">
        <v>264705000</v>
      </c>
      <c r="AA5367" s="28"/>
      <c r="AB5367" s="28">
        <v>355824000</v>
      </c>
      <c r="AC5367" s="28">
        <v>2182344000</v>
      </c>
      <c r="AD5367" s="28">
        <v>264715000</v>
      </c>
      <c r="AE5367" s="28">
        <v>4498640000</v>
      </c>
      <c r="AF5367" s="28">
        <v>271712000</v>
      </c>
      <c r="AG5367" s="11"/>
    </row>
    <row r="5368">
      <c r="A5368" s="7" t="s">
        <v>6978</v>
      </c>
      <c r="B5368" s="5" t="s">
        <v>9733</v>
      </c>
      <c r="C5368" s="5" t="s">
        <v>22642</v>
      </c>
      <c r="D5368" s="5" t="str">
        <v>390803634507</v>
      </c>
      <c r="E5368" s="0" t="e">
        <f>+7 (800) 5054186
+7 (8632) 35646
+7 (913) 9005865
+7 (925) 602853
+7 (985) 7004216
+7 (988) 5101232
+7 (8632) 35550
+7 (383) 3449500
+7 (4232) 240100
+7 (4232) 620620
+7 (495) 6450170
+7 (495) 6450178
+7 (495) 9887776
+7 (800) 5052979
+7 (800) 5519362</f>
        <v>#NAME?</v>
      </c>
      <c r="F5368" s="5" t="s">
        <v>41205</v>
      </c>
      <c r="G5368" s="5" t="s">
        <v>41206</v>
      </c>
      <c r="H5368" s="26">
        <v>23</v>
      </c>
      <c r="I5368" s="5"/>
      <c r="J5368" s="5" t="s">
        <v>41207</v>
      </c>
      <c r="K5368" s="5" t="s">
        <v>344</v>
      </c>
      <c r="L5368" s="5" t="s">
        <v>41208</v>
      </c>
      <c r="M5368" s="27"/>
      <c r="N5368" s="5" t="s">
        <v>57503</v>
      </c>
      <c r="O5368" s="5" t="str">
        <v>7708126998</v>
      </c>
      <c r="P5368" s="27">
        <v>44779500</v>
      </c>
      <c r="Q5368" s="5" t="s">
        <v>57504</v>
      </c>
      <c r="R5368" s="5" t="s">
        <v>57505</v>
      </c>
      <c r="S5368" s="5" t="s">
        <v>53711</v>
      </c>
      <c r="T5368" s="28">
        <v>1293848000</v>
      </c>
      <c r="U5368" s="28">
        <v>40000</v>
      </c>
      <c r="V5368" s="28">
        <v>1938522000</v>
      </c>
      <c r="W5368" s="28"/>
      <c r="X5368" s="28">
        <v>1296000</v>
      </c>
      <c r="Y5368" s="28">
        <v>6356935000</v>
      </c>
      <c r="Z5368" s="28">
        <v>3735033000</v>
      </c>
      <c r="AA5368" s="28">
        <v>345427000</v>
      </c>
      <c r="AB5368" s="28">
        <v>487351000</v>
      </c>
      <c r="AC5368" s="28">
        <v>1794189000</v>
      </c>
      <c r="AD5368" s="28">
        <v>4165493000</v>
      </c>
      <c r="AE5368" s="28">
        <v>7273200000</v>
      </c>
      <c r="AF5368" s="28">
        <v>702207000</v>
      </c>
      <c r="AG5368" s="11"/>
    </row>
    <row r="5369">
      <c r="A5369" s="7" t="s">
        <v>6979</v>
      </c>
      <c r="B5369" s="5" t="s">
        <v>14940</v>
      </c>
      <c r="C5369" s="5" t="s">
        <v>22643</v>
      </c>
      <c r="D5369" s="5" t="str">
        <v>772207394045</v>
      </c>
      <c r="E5369" s="0" t="e">
        <f>+7 (916) 5857665
+7 (495) 6607914</f>
        <v>#NAME?</v>
      </c>
      <c r="F5369" s="5"/>
      <c r="G5369" s="5"/>
      <c r="H5369" s="26">
        <v>11.5</v>
      </c>
      <c r="I5369" s="5" t="s">
        <v>41209</v>
      </c>
      <c r="J5369" s="5" t="s">
        <v>533</v>
      </c>
      <c r="K5369" s="5" t="s">
        <v>355</v>
      </c>
      <c r="L5369" s="5" t="s">
        <v>41210</v>
      </c>
      <c r="M5369" s="27">
        <v>18195450</v>
      </c>
      <c r="N5369" s="5"/>
      <c r="O5369" s="5" t="str">
        <v>7723812670</v>
      </c>
      <c r="P5369" s="27">
        <v>100000</v>
      </c>
      <c r="Q5369" s="5" t="s">
        <v>49579</v>
      </c>
      <c r="R5369" s="5" t="s">
        <v>57506</v>
      </c>
      <c r="S5369" s="5" t="s">
        <v>49580</v>
      </c>
      <c r="T5369" s="28">
        <v>1496778000</v>
      </c>
      <c r="U5369" s="28">
        <v>41311000</v>
      </c>
      <c r="V5369" s="28">
        <v>1107715000</v>
      </c>
      <c r="W5369" s="28"/>
      <c r="X5369" s="28">
        <v>356000</v>
      </c>
      <c r="Y5369" s="28">
        <v>2662619000</v>
      </c>
      <c r="Z5369" s="28">
        <v>128054000</v>
      </c>
      <c r="AA5369" s="28">
        <v>374304000</v>
      </c>
      <c r="AB5369" s="28">
        <v>276862000</v>
      </c>
      <c r="AC5369" s="28">
        <v>1006710000</v>
      </c>
      <c r="AD5369" s="28">
        <v>159640000</v>
      </c>
      <c r="AE5369" s="28">
        <v>3534153000</v>
      </c>
      <c r="AF5369" s="28">
        <v>49477000</v>
      </c>
      <c r="AG5369" s="11"/>
    </row>
    <row r="5370">
      <c r="A5370" s="7" t="s">
        <v>6980</v>
      </c>
      <c r="B5370" s="5" t="s">
        <v>14941</v>
      </c>
      <c r="C5370" s="5" t="s">
        <v>22644</v>
      </c>
      <c r="D5370" s="5" t="str">
        <v>502402754982</v>
      </c>
      <c r="E5370" s="0" t="e">
        <f>+7 (49237) 60536
+7 (495) 3080459
+7 (910) 1720884
+7 (910) 1720887
+7 (916) 5361241</f>
        <v>#NAME?</v>
      </c>
      <c r="F5370" s="5" t="s">
        <v>41211</v>
      </c>
      <c r="G5370" s="5" t="s">
        <v>41212</v>
      </c>
      <c r="H5370" s="26">
        <v>9.5</v>
      </c>
      <c r="I5370" s="5" t="s">
        <v>41213</v>
      </c>
      <c r="J5370" s="5" t="s">
        <v>41214</v>
      </c>
      <c r="K5370" s="5" t="s">
        <v>355</v>
      </c>
      <c r="L5370" s="5"/>
      <c r="M5370" s="27">
        <v>463812</v>
      </c>
      <c r="N5370" s="5"/>
      <c r="O5370" s="5" t="str">
        <v>3316003645</v>
      </c>
      <c r="P5370" s="27">
        <v>265000000</v>
      </c>
      <c r="Q5370" s="5" t="s">
        <v>49009</v>
      </c>
      <c r="R5370" s="5"/>
      <c r="S5370" s="5" t="s">
        <v>49120</v>
      </c>
      <c r="T5370" s="28">
        <v>1219105000</v>
      </c>
      <c r="U5370" s="28">
        <v>5000</v>
      </c>
      <c r="V5370" s="28">
        <v>1422951000</v>
      </c>
      <c r="W5370" s="28"/>
      <c r="X5370" s="28">
        <v>16789000</v>
      </c>
      <c r="Y5370" s="28">
        <v>3849046000</v>
      </c>
      <c r="Z5370" s="28">
        <v>372287000</v>
      </c>
      <c r="AA5370" s="28">
        <v>317538000</v>
      </c>
      <c r="AB5370" s="28">
        <v>806644000</v>
      </c>
      <c r="AC5370" s="28">
        <v>2479287000</v>
      </c>
      <c r="AD5370" s="28">
        <v>637287000</v>
      </c>
      <c r="AE5370" s="28">
        <v>6222677000</v>
      </c>
      <c r="AF5370" s="28">
        <v>759077000</v>
      </c>
      <c r="AG5370" s="11"/>
    </row>
    <row r="5371">
      <c r="A5371" s="7" t="s">
        <v>6981</v>
      </c>
      <c r="B5371" s="5" t="s">
        <v>14942</v>
      </c>
      <c r="C5371" s="5" t="s">
        <v>22645</v>
      </c>
      <c r="D5371" s="5" t="str">
        <v>771515786260</v>
      </c>
      <c r="E5371" s="0" t="e">
        <f>+7 (3652) 518229
+7 (3652) 550303
+7 (382) 2705067
+7 (3012) 415701
+7 (3012) 432950
+7 (3022) 319627
+7 (3422) 660044
+7 (345) 2560710
+7 (3522) 600087
+7 (3652) 258181
+7 (381) 2266537
+7 (381) 2266549
+7 (382) 2650726
+7 (382) 2705072
+7 (383) 2120912</f>
        <v>#NAME?</v>
      </c>
      <c r="F5371" s="5" t="s">
        <v>41215</v>
      </c>
      <c r="G5371" s="5" t="s">
        <v>41216</v>
      </c>
      <c r="H5371" s="26">
        <v>21</v>
      </c>
      <c r="I5371" s="5" t="s">
        <v>40998</v>
      </c>
      <c r="J5371" s="5" t="s">
        <v>32921</v>
      </c>
      <c r="K5371" s="5" t="s">
        <v>344</v>
      </c>
      <c r="L5371" s="5"/>
      <c r="M5371" s="27">
        <v>370535572</v>
      </c>
      <c r="N5371" s="5" t="s">
        <v>57507</v>
      </c>
      <c r="O5371" s="5" t="str">
        <v>7717127211</v>
      </c>
      <c r="P5371" s="27">
        <v>49549990983</v>
      </c>
      <c r="Q5371" s="5" t="s">
        <v>57508</v>
      </c>
      <c r="R5371" s="5"/>
      <c r="S5371" s="5" t="s">
        <v>57509</v>
      </c>
      <c r="T5371" s="28">
        <v>44086086000</v>
      </c>
      <c r="U5371" s="28">
        <v>165072000</v>
      </c>
      <c r="V5371" s="28">
        <v>1818291000</v>
      </c>
      <c r="W5371" s="28">
        <v>250000000</v>
      </c>
      <c r="X5371" s="28">
        <v>13233123000</v>
      </c>
      <c r="Y5371" s="28">
        <v>72718257000</v>
      </c>
      <c r="Z5371" s="28">
        <v>11962872000</v>
      </c>
      <c r="AA5371" s="28"/>
      <c r="AB5371" s="28"/>
      <c r="AC5371" s="28">
        <v>6671340000</v>
      </c>
      <c r="AD5371" s="28">
        <v>64779361000</v>
      </c>
      <c r="AE5371" s="28">
        <v>35345620000</v>
      </c>
      <c r="AF5371" s="28">
        <v>264453000</v>
      </c>
      <c r="AG5371" s="11"/>
    </row>
    <row r="5372">
      <c r="A5372" s="7" t="s">
        <v>6982</v>
      </c>
      <c r="B5372" s="5" t="s">
        <v>14943</v>
      </c>
      <c r="C5372" s="5" t="s">
        <v>22646</v>
      </c>
      <c r="D5372" s="5" t="str">
        <v>312605907931</v>
      </c>
      <c r="E5372" s="0" t="e">
        <f>+7 (495) 7339703
+7 (915) 2775611
+7 (495) 4191725
+7 (495) 7059031
+7 (495) 7339519
+7 (800) 5007500</f>
        <v>#NAME?</v>
      </c>
      <c r="F5372" s="5" t="s">
        <v>41217</v>
      </c>
      <c r="G5372" s="5" t="s">
        <v>41218</v>
      </c>
      <c r="H5372" s="26">
        <v>22.5</v>
      </c>
      <c r="I5372" s="5" t="s">
        <v>41219</v>
      </c>
      <c r="J5372" s="5" t="s">
        <v>881</v>
      </c>
      <c r="K5372" s="5" t="s">
        <v>344</v>
      </c>
      <c r="L5372" s="5" t="s">
        <v>41220</v>
      </c>
      <c r="M5372" s="27">
        <v>4500000</v>
      </c>
      <c r="N5372" s="5" t="s">
        <v>57510</v>
      </c>
      <c r="O5372" s="5" t="str">
        <v>7710357167</v>
      </c>
      <c r="P5372" s="27">
        <v>370000000</v>
      </c>
      <c r="Q5372" s="5" t="s">
        <v>57511</v>
      </c>
      <c r="R5372" s="5"/>
      <c r="S5372" s="5" t="s">
        <v>57512</v>
      </c>
      <c r="T5372" s="28">
        <v>229662000</v>
      </c>
      <c r="U5372" s="28">
        <v>4959425000</v>
      </c>
      <c r="V5372" s="28">
        <v>224935000</v>
      </c>
      <c r="W5372" s="28">
        <v>384036000</v>
      </c>
      <c r="X5372" s="28">
        <v>2414009000</v>
      </c>
      <c r="Y5372" s="28">
        <v>8474034000</v>
      </c>
      <c r="Z5372" s="28">
        <v>2134852000</v>
      </c>
      <c r="AA5372" s="28"/>
      <c r="AB5372" s="28"/>
      <c r="AC5372" s="28">
        <v>5753815000</v>
      </c>
      <c r="AD5372" s="28">
        <v>2504852000</v>
      </c>
      <c r="AE5372" s="28">
        <v>3698233000</v>
      </c>
      <c r="AF5372" s="28">
        <v>2029019000</v>
      </c>
      <c r="AG5372" s="11"/>
    </row>
    <row r="5373">
      <c r="A5373" s="7" t="s">
        <v>6983</v>
      </c>
      <c r="B5373" s="5" t="s">
        <v>14944</v>
      </c>
      <c r="C5373" s="5" t="s">
        <v>22647</v>
      </c>
      <c r="D5373" s="5" t="str">
        <v>773118974470</v>
      </c>
      <c r="E5373" s="0" t="e">
        <f>+7 (495) 2527773
+7 (495) 2527776
+7 (495) 7972747
+7 (495) 6579955
+7 (495) 7899955
+7 (915) 958509
+7 (961) 1313655</f>
        <v>#NAME?</v>
      </c>
      <c r="F5373" s="5" t="s">
        <v>41221</v>
      </c>
      <c r="G5373" s="5" t="s">
        <v>41222</v>
      </c>
      <c r="H5373" s="26">
        <v>8.5</v>
      </c>
      <c r="I5373" s="5" t="s">
        <v>41223</v>
      </c>
      <c r="J5373" s="5" t="s">
        <v>31557</v>
      </c>
      <c r="K5373" s="5" t="s">
        <v>355</v>
      </c>
      <c r="L5373" s="5" t="s">
        <v>41224</v>
      </c>
      <c r="M5373" s="27">
        <v>46785794</v>
      </c>
      <c r="N5373" s="5" t="s">
        <v>57513</v>
      </c>
      <c r="O5373" s="5" t="str">
        <v>7721840520</v>
      </c>
      <c r="P5373" s="27">
        <v>10000</v>
      </c>
      <c r="Q5373" s="5" t="s">
        <v>57514</v>
      </c>
      <c r="R5373" s="5"/>
      <c r="S5373" s="5" t="s">
        <v>57515</v>
      </c>
      <c r="T5373" s="28">
        <v>2159000</v>
      </c>
      <c r="U5373" s="28">
        <v>75891000</v>
      </c>
      <c r="V5373" s="28">
        <v>1486652000</v>
      </c>
      <c r="W5373" s="28">
        <v>827141000</v>
      </c>
      <c r="X5373" s="28">
        <v>131561000</v>
      </c>
      <c r="Y5373" s="28">
        <v>4020538000</v>
      </c>
      <c r="Z5373" s="28">
        <v>24867000</v>
      </c>
      <c r="AA5373" s="28"/>
      <c r="AB5373" s="28">
        <v>441340000</v>
      </c>
      <c r="AC5373" s="28">
        <v>3995193000</v>
      </c>
      <c r="AD5373" s="28">
        <v>24877000</v>
      </c>
      <c r="AE5373" s="28">
        <v>4015800000</v>
      </c>
      <c r="AF5373" s="28">
        <v>235603000</v>
      </c>
      <c r="AG5373" s="11"/>
    </row>
    <row r="5374">
      <c r="A5374" s="7" t="s">
        <v>6984</v>
      </c>
      <c r="B5374" s="5" t="s">
        <v>14945</v>
      </c>
      <c r="C5374" s="5" t="s">
        <v>22648</v>
      </c>
      <c r="D5374" s="5" t="str">
        <v>550706124564</v>
      </c>
      <c r="E5374" s="0" t="e">
        <f>+7 (495) 7876359</f>
        <v>#NAME?</v>
      </c>
      <c r="F5374" s="5" t="s">
        <v>41225</v>
      </c>
      <c r="G5374" s="5"/>
      <c r="H5374" s="26">
        <v>15.5</v>
      </c>
      <c r="I5374" s="5" t="s">
        <v>41226</v>
      </c>
      <c r="J5374" s="5" t="s">
        <v>373</v>
      </c>
      <c r="K5374" s="5" t="s">
        <v>355</v>
      </c>
      <c r="L5374" s="5" t="s">
        <v>41227</v>
      </c>
      <c r="M5374" s="27"/>
      <c r="N5374" s="5"/>
      <c r="O5374" s="5" t="str">
        <v>7707635270</v>
      </c>
      <c r="P5374" s="27">
        <v>1000000</v>
      </c>
      <c r="Q5374" s="5" t="s">
        <v>49057</v>
      </c>
      <c r="R5374" s="5"/>
      <c r="S5374" s="5" t="s">
        <v>57516</v>
      </c>
      <c r="T5374" s="28">
        <v>9701000</v>
      </c>
      <c r="U5374" s="28"/>
      <c r="V5374" s="28">
        <v>1064668000</v>
      </c>
      <c r="W5374" s="28"/>
      <c r="X5374" s="28">
        <v>3834000</v>
      </c>
      <c r="Y5374" s="28">
        <v>1097958000</v>
      </c>
      <c r="Z5374" s="28">
        <v>246569000</v>
      </c>
      <c r="AA5374" s="28">
        <v>155160000</v>
      </c>
      <c r="AB5374" s="28">
        <v>426263000</v>
      </c>
      <c r="AC5374" s="28">
        <v>695061000</v>
      </c>
      <c r="AD5374" s="28">
        <v>247719000</v>
      </c>
      <c r="AE5374" s="28">
        <v>9730357000</v>
      </c>
      <c r="AF5374" s="28">
        <v>95534000</v>
      </c>
      <c r="AG5374" s="11"/>
    </row>
    <row r="5375">
      <c r="A5375" s="7" t="s">
        <v>6985</v>
      </c>
      <c r="B5375" s="5" t="s">
        <v>14946</v>
      </c>
      <c r="C5375" s="5" t="s">
        <v>22649</v>
      </c>
      <c r="D5375" s="5" t="str">
        <v>501106430778</v>
      </c>
      <c r="E5375" s="0" t="e">
        <f>+7 (495) 5405256
+7 (495) 2152766
+7 (495) 5405262
+7 (499) 4443037
+7 (499) 6537949
+7 (800) 5001460
+7 (926) 180556</f>
        <v>#NAME?</v>
      </c>
      <c r="F5375" s="5" t="s">
        <v>41228</v>
      </c>
      <c r="G5375" s="5"/>
      <c r="H5375" s="26">
        <v>17.5</v>
      </c>
      <c r="I5375" s="5" t="s">
        <v>41229</v>
      </c>
      <c r="J5375" s="5" t="s">
        <v>29291</v>
      </c>
      <c r="K5375" s="5" t="s">
        <v>344</v>
      </c>
      <c r="L5375" s="5" t="s">
        <v>41230</v>
      </c>
      <c r="M5375" s="27"/>
      <c r="N5375" s="5" t="s">
        <v>57517</v>
      </c>
      <c r="O5375" s="5" t="str">
        <v>5011024884</v>
      </c>
      <c r="P5375" s="27">
        <v>2900000</v>
      </c>
      <c r="Q5375" s="5" t="s">
        <v>57518</v>
      </c>
      <c r="R5375" s="5"/>
      <c r="S5375" s="5" t="s">
        <v>49504</v>
      </c>
      <c r="T5375" s="28">
        <v>1124454000</v>
      </c>
      <c r="U5375" s="28">
        <v>60416000</v>
      </c>
      <c r="V5375" s="28">
        <v>1177463000</v>
      </c>
      <c r="W5375" s="28"/>
      <c r="X5375" s="28">
        <v>21661000</v>
      </c>
      <c r="Y5375" s="28">
        <v>4003113000</v>
      </c>
      <c r="Z5375" s="28">
        <v>1342542000</v>
      </c>
      <c r="AA5375" s="28">
        <v>412286000</v>
      </c>
      <c r="AB5375" s="28">
        <v>361300000</v>
      </c>
      <c r="AC5375" s="28">
        <v>1974872000</v>
      </c>
      <c r="AD5375" s="28">
        <v>1345442000</v>
      </c>
      <c r="AE5375" s="28">
        <v>6299117000</v>
      </c>
      <c r="AF5375" s="28">
        <v>366883000</v>
      </c>
      <c r="AG5375" s="11"/>
    </row>
    <row r="5376">
      <c r="A5376" s="7" t="s">
        <v>6986</v>
      </c>
      <c r="B5376" s="5" t="s">
        <v>14947</v>
      </c>
      <c r="C5376" s="5" t="s">
        <v>22650</v>
      </c>
      <c r="D5376" s="5" t="str">
        <v>645406471587</v>
      </c>
      <c r="E5376" s="0" t="e">
        <f>+7 (845) 2253978
+7 (927) 1595152
+7 (8452) 222888
+7 (8452) 390905
+7 (8452) 548355
+7 (8452) 790456
+7 (8452) 790457
+7 (8452) 790462</f>
        <v>#NAME?</v>
      </c>
      <c r="F5376" s="5" t="s">
        <v>41231</v>
      </c>
      <c r="G5376" s="5" t="s">
        <v>41232</v>
      </c>
      <c r="H5376" s="26">
        <v>22</v>
      </c>
      <c r="I5376" s="5" t="s">
        <v>41233</v>
      </c>
      <c r="J5376" s="5" t="s">
        <v>33222</v>
      </c>
      <c r="K5376" s="5" t="s">
        <v>344</v>
      </c>
      <c r="L5376" s="5" t="s">
        <v>41234</v>
      </c>
      <c r="M5376" s="27"/>
      <c r="N5376" s="5" t="s">
        <v>57519</v>
      </c>
      <c r="O5376" s="5" t="str">
        <v>6454052297</v>
      </c>
      <c r="P5376" s="27">
        <v>1000000</v>
      </c>
      <c r="Q5376" s="5" t="s">
        <v>57520</v>
      </c>
      <c r="R5376" s="5" t="s">
        <v>57521</v>
      </c>
      <c r="S5376" s="5" t="s">
        <v>52728</v>
      </c>
      <c r="T5376" s="28">
        <v>108720000</v>
      </c>
      <c r="U5376" s="28"/>
      <c r="V5376" s="28">
        <v>1730630000</v>
      </c>
      <c r="W5376" s="28"/>
      <c r="X5376" s="28">
        <v>2260821000</v>
      </c>
      <c r="Y5376" s="28">
        <v>6943192000</v>
      </c>
      <c r="Z5376" s="28">
        <v>3685896000</v>
      </c>
      <c r="AA5376" s="28"/>
      <c r="AB5376" s="28"/>
      <c r="AC5376" s="28">
        <v>2783098000</v>
      </c>
      <c r="AD5376" s="28">
        <v>4147516000</v>
      </c>
      <c r="AE5376" s="28">
        <v>12184748000</v>
      </c>
      <c r="AF5376" s="28">
        <v>2958506000</v>
      </c>
      <c r="AG5376" s="11"/>
    </row>
    <row r="5377">
      <c r="A5377" s="7" t="s">
        <v>6987</v>
      </c>
      <c r="B5377" s="5" t="s">
        <v>14948</v>
      </c>
      <c r="C5377" s="5" t="s">
        <v>22651</v>
      </c>
      <c r="D5377" s="5" t="str">
        <v>344222931820</v>
      </c>
      <c r="E5377" s="0" t="e">
        <f>+7 (844) 2529228
+7 (961) 649666
+7 (988) 5572596</f>
        <v>#NAME?</v>
      </c>
      <c r="F5377" s="5" t="s">
        <v>41235</v>
      </c>
      <c r="G5377" s="5"/>
      <c r="H5377" s="26">
        <v>12.5</v>
      </c>
      <c r="I5377" s="5" t="s">
        <v>41236</v>
      </c>
      <c r="J5377" s="5" t="s">
        <v>25850</v>
      </c>
      <c r="K5377" s="5" t="s">
        <v>344</v>
      </c>
      <c r="L5377" s="5" t="s">
        <v>41237</v>
      </c>
      <c r="M5377" s="27"/>
      <c r="N5377" s="5" t="s">
        <v>50866</v>
      </c>
      <c r="O5377" s="5" t="str">
        <v>3445112730</v>
      </c>
      <c r="P5377" s="27">
        <v>120000</v>
      </c>
      <c r="Q5377" s="5" t="s">
        <v>57522</v>
      </c>
      <c r="R5377" s="5"/>
      <c r="S5377" s="5" t="s">
        <v>57523</v>
      </c>
      <c r="T5377" s="28">
        <v>80354000</v>
      </c>
      <c r="U5377" s="28"/>
      <c r="V5377" s="28">
        <v>1823667000</v>
      </c>
      <c r="W5377" s="28">
        <v>683168000</v>
      </c>
      <c r="X5377" s="28">
        <v>776000</v>
      </c>
      <c r="Y5377" s="28">
        <v>3608566000</v>
      </c>
      <c r="Z5377" s="28">
        <v>795234000</v>
      </c>
      <c r="AA5377" s="28"/>
      <c r="AB5377" s="28">
        <v>1609186000</v>
      </c>
      <c r="AC5377" s="28">
        <v>2745911000</v>
      </c>
      <c r="AD5377" s="28">
        <v>841232000</v>
      </c>
      <c r="AE5377" s="28">
        <v>9651959000</v>
      </c>
      <c r="AF5377" s="28">
        <v>402801000</v>
      </c>
      <c r="AG5377" s="11"/>
    </row>
    <row r="5378">
      <c r="A5378" s="7" t="s">
        <v>6988</v>
      </c>
      <c r="B5378" s="5" t="s">
        <v>14949</v>
      </c>
      <c r="C5378" s="5" t="s">
        <v>22652</v>
      </c>
      <c r="D5378" s="5" t="str">
        <v>771615561006</v>
      </c>
      <c r="E5378" s="0" t="e">
        <f>+7 (495) 7889997
+7 (495) 7889999
+7 (495) 9678012
+7 (919) 9619446
+7 (967) 2643107</f>
        <v>#NAME?</v>
      </c>
      <c r="F5378" s="5" t="s">
        <v>41238</v>
      </c>
      <c r="G5378" s="5"/>
      <c r="H5378" s="26">
        <v>6.5</v>
      </c>
      <c r="I5378" s="5" t="s">
        <v>41239</v>
      </c>
      <c r="J5378" s="5" t="s">
        <v>748</v>
      </c>
      <c r="K5378" s="5" t="s">
        <v>344</v>
      </c>
      <c r="L5378" s="5" t="s">
        <v>41240</v>
      </c>
      <c r="M5378" s="27">
        <v>1158850</v>
      </c>
      <c r="N5378" s="5" t="s">
        <v>57524</v>
      </c>
      <c r="O5378" s="5" t="str">
        <v>7702404085</v>
      </c>
      <c r="P5378" s="27">
        <v>10000</v>
      </c>
      <c r="Q5378" s="5" t="s">
        <v>57525</v>
      </c>
      <c r="R5378" s="5"/>
      <c r="S5378" s="5" t="s">
        <v>53536</v>
      </c>
      <c r="T5378" s="28">
        <v>1868690000</v>
      </c>
      <c r="U5378" s="28"/>
      <c r="V5378" s="28">
        <v>3090034000</v>
      </c>
      <c r="W5378" s="28">
        <v>119970000</v>
      </c>
      <c r="X5378" s="28">
        <v>4055152000</v>
      </c>
      <c r="Y5378" s="28">
        <v>10586414000</v>
      </c>
      <c r="Z5378" s="28">
        <v>1992709000</v>
      </c>
      <c r="AA5378" s="28"/>
      <c r="AB5378" s="28"/>
      <c r="AC5378" s="28">
        <v>6671296000</v>
      </c>
      <c r="AD5378" s="28">
        <v>1992719000</v>
      </c>
      <c r="AE5378" s="28">
        <v>25185849000</v>
      </c>
      <c r="AF5378" s="28">
        <v>3153721000</v>
      </c>
      <c r="AG5378" s="11"/>
    </row>
    <row r="5379">
      <c r="A5379" s="7" t="s">
        <v>6989</v>
      </c>
      <c r="B5379" s="5" t="s">
        <v>14950</v>
      </c>
      <c r="C5379" s="5" t="s">
        <v>22653</v>
      </c>
      <c r="D5379" s="5" t="str">
        <v>381200577572</v>
      </c>
      <c r="E5379" s="0" t="e">
        <f>+7 (30241) 67227
+7 (30241) 67290
+7 (914) 5209732
+7 (914) 5209736</f>
        <v>#NAME?</v>
      </c>
      <c r="F5379" s="5" t="s">
        <v>41241</v>
      </c>
      <c r="G5379" s="5"/>
      <c r="H5379" s="26">
        <v>14.5</v>
      </c>
      <c r="I5379" s="5" t="s">
        <v>41242</v>
      </c>
      <c r="J5379" s="5" t="s">
        <v>26499</v>
      </c>
      <c r="K5379" s="5" t="s">
        <v>380</v>
      </c>
      <c r="L5379" s="5" t="s">
        <v>41243</v>
      </c>
      <c r="M5379" s="27">
        <v>1357144</v>
      </c>
      <c r="N5379" s="5"/>
      <c r="O5379" s="5" t="str">
        <v>7512004995</v>
      </c>
      <c r="P5379" s="27">
        <v>72000000</v>
      </c>
      <c r="Q5379" s="5" t="s">
        <v>49009</v>
      </c>
      <c r="R5379" s="5"/>
      <c r="S5379" s="5" t="s">
        <v>49901</v>
      </c>
      <c r="T5379" s="28">
        <v>3770004000</v>
      </c>
      <c r="U5379" s="28">
        <v>20000</v>
      </c>
      <c r="V5379" s="28">
        <v>181989000</v>
      </c>
      <c r="W5379" s="28"/>
      <c r="X5379" s="28">
        <v>87000</v>
      </c>
      <c r="Y5379" s="28">
        <v>12476807000</v>
      </c>
      <c r="Z5379" s="28">
        <v>-1639162000</v>
      </c>
      <c r="AA5379" s="28">
        <v>2878765000</v>
      </c>
      <c r="AB5379" s="28">
        <v>4397348000</v>
      </c>
      <c r="AC5379" s="28">
        <v>6214001000</v>
      </c>
      <c r="AD5379" s="28">
        <v>2035143000</v>
      </c>
      <c r="AE5379" s="28">
        <v>3118124000</v>
      </c>
      <c r="AF5379" s="28">
        <v>-651023000</v>
      </c>
      <c r="AG5379" s="11"/>
    </row>
    <row r="5380">
      <c r="A5380" s="7" t="s">
        <v>6990</v>
      </c>
      <c r="B5380" s="5" t="s">
        <v>14951</v>
      </c>
      <c r="C5380" s="5" t="s">
        <v>18349</v>
      </c>
      <c r="D5380" s="5"/>
      <c r="E5380" s="0" t="e">
        <f>+7 (926) 6662353
+7 (985) 2226674
+7 (427) 2260298
+7 (427) 2260415
+7 (495) 6602220
+7 (495) 7773104
+7 (495) 9671804</f>
        <v>#NAME?</v>
      </c>
      <c r="F5380" s="5" t="s">
        <v>41244</v>
      </c>
      <c r="G5380" s="5"/>
      <c r="H5380" s="26">
        <v>11.5</v>
      </c>
      <c r="I5380" s="5" t="s">
        <v>41245</v>
      </c>
      <c r="J5380" s="5" t="s">
        <v>26499</v>
      </c>
      <c r="K5380" s="5" t="s">
        <v>344</v>
      </c>
      <c r="L5380" s="5" t="s">
        <v>41246</v>
      </c>
      <c r="M5380" s="27"/>
      <c r="N5380" s="5" t="s">
        <v>57526</v>
      </c>
      <c r="O5380" s="5" t="str">
        <v>8706006129</v>
      </c>
      <c r="P5380" s="27">
        <v>13721190</v>
      </c>
      <c r="Q5380" s="5" t="s">
        <v>49009</v>
      </c>
      <c r="R5380" s="5"/>
      <c r="S5380" s="5" t="s">
        <v>57527</v>
      </c>
      <c r="T5380" s="28">
        <v>1583449000</v>
      </c>
      <c r="U5380" s="28"/>
      <c r="V5380" s="28">
        <v>1010679000</v>
      </c>
      <c r="W5380" s="28"/>
      <c r="X5380" s="28">
        <v>3905241000</v>
      </c>
      <c r="Y5380" s="28">
        <v>12373690000</v>
      </c>
      <c r="Z5380" s="28">
        <v>603599000</v>
      </c>
      <c r="AA5380" s="28">
        <v>3860253000</v>
      </c>
      <c r="AB5380" s="28"/>
      <c r="AC5380" s="28">
        <v>5465222000</v>
      </c>
      <c r="AD5380" s="28">
        <v>1974728000</v>
      </c>
      <c r="AE5380" s="28">
        <v>3452063000</v>
      </c>
      <c r="AF5380" s="28">
        <v>345265000</v>
      </c>
      <c r="AG5380" s="11"/>
    </row>
    <row r="5381">
      <c r="A5381" s="7" t="s">
        <v>6991</v>
      </c>
      <c r="B5381" s="5" t="s">
        <v>14952</v>
      </c>
      <c r="C5381" s="5" t="s">
        <v>22654</v>
      </c>
      <c r="D5381" s="5"/>
      <c r="E5381" s="0" t="e">
        <f>+7 (42738) 24730
+7 (413) 2223322
+7 (42738) 23274
+7 (42738) 23291
+7 (42738) 23301
+7 (42738) 23302
+7 (42738) 23310
+7 (42738) 24766
+7 (42738) 25205
+7 (42738) 26096
+7 (42738) 26437
+7 (42738) 26464</f>
        <v>#NAME?</v>
      </c>
      <c r="F5381" s="5" t="s">
        <v>41247</v>
      </c>
      <c r="G5381" s="5" t="s">
        <v>41248</v>
      </c>
      <c r="H5381" s="26">
        <v>19.5</v>
      </c>
      <c r="I5381" s="5"/>
      <c r="J5381" s="5" t="s">
        <v>26499</v>
      </c>
      <c r="K5381" s="5" t="s">
        <v>355</v>
      </c>
      <c r="L5381" s="5" t="s">
        <v>41249</v>
      </c>
      <c r="M5381" s="27">
        <v>1652000</v>
      </c>
      <c r="N5381" s="5" t="s">
        <v>57528</v>
      </c>
      <c r="O5381" s="5" t="str">
        <v>8703009509</v>
      </c>
      <c r="P5381" s="27">
        <v>700000</v>
      </c>
      <c r="Q5381" s="5" t="s">
        <v>49009</v>
      </c>
      <c r="R5381" s="5" t="s">
        <v>51012</v>
      </c>
      <c r="S5381" s="5" t="s">
        <v>49045</v>
      </c>
      <c r="T5381" s="28">
        <v>1476430000</v>
      </c>
      <c r="U5381" s="28">
        <v>1696932000</v>
      </c>
      <c r="V5381" s="28">
        <v>763356000</v>
      </c>
      <c r="W5381" s="28"/>
      <c r="X5381" s="28">
        <v>86269000</v>
      </c>
      <c r="Y5381" s="28">
        <v>6918422000</v>
      </c>
      <c r="Z5381" s="28">
        <v>5980844000</v>
      </c>
      <c r="AA5381" s="28"/>
      <c r="AB5381" s="28"/>
      <c r="AC5381" s="28">
        <v>645945000</v>
      </c>
      <c r="AD5381" s="28">
        <v>5991244000</v>
      </c>
      <c r="AE5381" s="28">
        <v>6054607000</v>
      </c>
      <c r="AF5381" s="28">
        <v>1744600000</v>
      </c>
      <c r="AG5381" s="11"/>
    </row>
    <row r="5382">
      <c r="A5382" s="7" t="s">
        <v>6992</v>
      </c>
      <c r="B5382" s="5" t="s">
        <v>12829</v>
      </c>
      <c r="C5382" s="5" t="s">
        <v>22655</v>
      </c>
      <c r="D5382" s="5" t="str">
        <v>560704477338</v>
      </c>
      <c r="E5382" s="0" t="e">
        <f>+7 (47241) 94622
+7 (920) 7295077
+7 (47241) 24590
+7 (47241) 94135
+7 (47241) 94651
+7 (47241) 95490
+7 (47241) 95516
+7 (4725) 240061
+7 (4725) 241130
+7 (4725) 245532
+7 (4725) 246309
+7 (4725) 246358</f>
        <v>#NAME?</v>
      </c>
      <c r="F5382" s="5" t="s">
        <v>41250</v>
      </c>
      <c r="G5382" s="5"/>
      <c r="H5382" s="26">
        <v>21.5</v>
      </c>
      <c r="I5382" s="5" t="s">
        <v>41251</v>
      </c>
      <c r="J5382" s="5" t="s">
        <v>38093</v>
      </c>
      <c r="K5382" s="5" t="s">
        <v>355</v>
      </c>
      <c r="L5382" s="5"/>
      <c r="M5382" s="27">
        <v>55678235</v>
      </c>
      <c r="N5382" s="5" t="s">
        <v>49787</v>
      </c>
      <c r="O5382" s="5" t="str">
        <v>3127505270</v>
      </c>
      <c r="P5382" s="27">
        <v>4497875</v>
      </c>
      <c r="Q5382" s="5"/>
      <c r="R5382" s="5"/>
      <c r="S5382" s="5" t="s">
        <v>50104</v>
      </c>
      <c r="T5382" s="28">
        <v>416178000</v>
      </c>
      <c r="U5382" s="28"/>
      <c r="V5382" s="28">
        <v>556542000</v>
      </c>
      <c r="W5382" s="28"/>
      <c r="X5382" s="28">
        <v>87140000</v>
      </c>
      <c r="Y5382" s="28">
        <v>2125449000</v>
      </c>
      <c r="Z5382" s="28">
        <v>-152925000</v>
      </c>
      <c r="AA5382" s="28"/>
      <c r="AB5382" s="28">
        <v>100000000</v>
      </c>
      <c r="AC5382" s="28">
        <v>1777998000</v>
      </c>
      <c r="AD5382" s="28">
        <v>310031000</v>
      </c>
      <c r="AE5382" s="28">
        <v>6845976000</v>
      </c>
      <c r="AF5382" s="28">
        <v>-27156000</v>
      </c>
      <c r="AG5382" s="11"/>
    </row>
    <row r="5383">
      <c r="A5383" s="7" t="s">
        <v>6993</v>
      </c>
      <c r="B5383" s="5" t="s">
        <v>12994</v>
      </c>
      <c r="C5383" s="5" t="s">
        <v>22656</v>
      </c>
      <c r="D5383" s="5" t="str">
        <v>773509496670</v>
      </c>
      <c r="E5383" s="0" t="e">
        <f>+7 (495) 5521771
+7 (495) 5525274
+7 (967) 746965
+7 (495) 5520333
+7 (495) 5520538</f>
        <v>#NAME?</v>
      </c>
      <c r="F5383" s="5" t="s">
        <v>41252</v>
      </c>
      <c r="G5383" s="5" t="s">
        <v>41253</v>
      </c>
      <c r="H5383" s="26">
        <v>13</v>
      </c>
      <c r="I5383" s="5" t="s">
        <v>41254</v>
      </c>
      <c r="J5383" s="5" t="s">
        <v>26125</v>
      </c>
      <c r="K5383" s="5" t="s">
        <v>344</v>
      </c>
      <c r="L5383" s="5" t="s">
        <v>41255</v>
      </c>
      <c r="M5383" s="27">
        <v>20000000</v>
      </c>
      <c r="N5383" s="5"/>
      <c r="O5383" s="5" t="str">
        <v>5026014695</v>
      </c>
      <c r="P5383" s="27">
        <v>1100000</v>
      </c>
      <c r="Q5383" s="5" t="s">
        <v>49009</v>
      </c>
      <c r="R5383" s="5"/>
      <c r="S5383" s="5" t="s">
        <v>49045</v>
      </c>
      <c r="T5383" s="28">
        <v>28083000</v>
      </c>
      <c r="U5383" s="28"/>
      <c r="V5383" s="28">
        <v>876035000</v>
      </c>
      <c r="W5383" s="28">
        <v>284000000</v>
      </c>
      <c r="X5383" s="28">
        <v>70730000</v>
      </c>
      <c r="Y5383" s="28">
        <v>1324661000</v>
      </c>
      <c r="Z5383" s="28">
        <v>128412000</v>
      </c>
      <c r="AA5383" s="28">
        <v>98583000</v>
      </c>
      <c r="AB5383" s="28">
        <v>29250000</v>
      </c>
      <c r="AC5383" s="28">
        <v>783537000</v>
      </c>
      <c r="AD5383" s="28">
        <v>129512000</v>
      </c>
      <c r="AE5383" s="28">
        <v>6751594000</v>
      </c>
      <c r="AF5383" s="28">
        <v>285215000</v>
      </c>
      <c r="AG5383" s="11"/>
    </row>
    <row r="5384">
      <c r="A5384" s="7" t="s">
        <v>6994</v>
      </c>
      <c r="B5384" s="5" t="s">
        <v>14953</v>
      </c>
      <c r="C5384" s="5" t="s">
        <v>21744</v>
      </c>
      <c r="D5384" s="5"/>
      <c r="E5384" s="0" t="e">
        <f>+7 (495) 6044403
+7 (495) 9888215
+7 (913) 1482079</f>
        <v>#NAME?</v>
      </c>
      <c r="F5384" s="5"/>
      <c r="G5384" s="5"/>
      <c r="H5384" s="26">
        <v>6.5</v>
      </c>
      <c r="I5384" s="5" t="s">
        <v>41256</v>
      </c>
      <c r="J5384" s="5" t="s">
        <v>26503</v>
      </c>
      <c r="K5384" s="5" t="s">
        <v>355</v>
      </c>
      <c r="L5384" s="5" t="s">
        <v>41257</v>
      </c>
      <c r="M5384" s="27"/>
      <c r="N5384" s="5"/>
      <c r="O5384" s="5" t="str">
        <v>5075029180</v>
      </c>
      <c r="P5384" s="27">
        <v>440000000</v>
      </c>
      <c r="Q5384" s="5" t="s">
        <v>49009</v>
      </c>
      <c r="R5384" s="5" t="s">
        <v>50092</v>
      </c>
      <c r="S5384" s="5" t="s">
        <v>49581</v>
      </c>
      <c r="T5384" s="28">
        <v>382460000</v>
      </c>
      <c r="U5384" s="28"/>
      <c r="V5384" s="28">
        <v>9511136000</v>
      </c>
      <c r="W5384" s="28"/>
      <c r="X5384" s="28">
        <v>431000</v>
      </c>
      <c r="Y5384" s="28">
        <v>10673166000</v>
      </c>
      <c r="Z5384" s="28">
        <v>476634000</v>
      </c>
      <c r="AA5384" s="28">
        <v>62543000</v>
      </c>
      <c r="AB5384" s="28">
        <v>981536000</v>
      </c>
      <c r="AC5384" s="28">
        <v>9417492000</v>
      </c>
      <c r="AD5384" s="28">
        <v>916634000</v>
      </c>
      <c r="AE5384" s="28">
        <v>9687411000</v>
      </c>
      <c r="AF5384" s="28">
        <v>101553000</v>
      </c>
      <c r="AG5384" s="11"/>
    </row>
    <row r="5385">
      <c r="A5385" s="7" t="s">
        <v>6995</v>
      </c>
      <c r="B5385" s="5" t="s">
        <v>14954</v>
      </c>
      <c r="C5385" s="5" t="s">
        <v>20113</v>
      </c>
      <c r="D5385" s="5"/>
      <c r="E5385" s="0" t="e">
        <f>+7 (495) 1112233
+7 (495) 1123322
+7 (495) 1978126
+7 (495) 2601143
+7 (495) 4455667
+7 (495) 4589654
+7 (495) 5656225
+7 (495) 5680039
+7 (495) 5877700
+7 (495) 5959595
+7 (495) 7702753
+7 (495) 7708700
+7 (495) 7708800
+7 (495) 1102753
+7 (495) 5680059</f>
        <v>#NAME?</v>
      </c>
      <c r="F5385" s="5" t="s">
        <v>41258</v>
      </c>
      <c r="G5385" s="5"/>
      <c r="H5385" s="26">
        <v>5</v>
      </c>
      <c r="I5385" s="5" t="s">
        <v>33219</v>
      </c>
      <c r="J5385" s="5" t="s">
        <v>36847</v>
      </c>
      <c r="K5385" s="5" t="s">
        <v>344</v>
      </c>
      <c r="L5385" s="5"/>
      <c r="M5385" s="27">
        <v>25050354</v>
      </c>
      <c r="N5385" s="5" t="s">
        <v>57529</v>
      </c>
      <c r="O5385" s="5" t="str">
        <v>5017115922</v>
      </c>
      <c r="P5385" s="27">
        <v>10000</v>
      </c>
      <c r="Q5385" s="5" t="s">
        <v>57530</v>
      </c>
      <c r="R5385" s="5" t="s">
        <v>57531</v>
      </c>
      <c r="S5385" s="5" t="s">
        <v>57532</v>
      </c>
      <c r="T5385" s="28">
        <v>68473000</v>
      </c>
      <c r="U5385" s="28">
        <v>279314000</v>
      </c>
      <c r="V5385" s="28">
        <v>2248999000</v>
      </c>
      <c r="W5385" s="28"/>
      <c r="X5385" s="28">
        <v>146311000</v>
      </c>
      <c r="Y5385" s="28">
        <v>2914035000</v>
      </c>
      <c r="Z5385" s="28">
        <v>-447310000</v>
      </c>
      <c r="AA5385" s="28">
        <v>172194000</v>
      </c>
      <c r="AB5385" s="28">
        <v>2604000</v>
      </c>
      <c r="AC5385" s="28">
        <v>2597086000</v>
      </c>
      <c r="AD5385" s="28">
        <v>72700000</v>
      </c>
      <c r="AE5385" s="28">
        <v>5672072000</v>
      </c>
      <c r="AF5385" s="28">
        <v>27453000</v>
      </c>
      <c r="AG5385" s="11"/>
    </row>
    <row r="5386">
      <c r="A5386" s="7" t="s">
        <v>6996</v>
      </c>
      <c r="B5386" s="5" t="s">
        <v>14955</v>
      </c>
      <c r="C5386" s="5" t="s">
        <v>22657</v>
      </c>
      <c r="D5386" s="5"/>
      <c r="E5386" s="0" t="e">
        <f>+7 (83451) 32645
+7 (83451) 32778
+7 (83451) 65306
+7 (83451) 65365
+7 (83451) 65402
+7 (83451) 65407
+7 (83451) 95306</f>
        <v>#NAME?</v>
      </c>
      <c r="F5386" s="5" t="s">
        <v>41259</v>
      </c>
      <c r="G5386" s="5" t="s">
        <v>41260</v>
      </c>
      <c r="H5386" s="26">
        <v>20.5</v>
      </c>
      <c r="I5386" s="5"/>
      <c r="J5386" s="5" t="s">
        <v>32037</v>
      </c>
      <c r="K5386" s="5" t="s">
        <v>355</v>
      </c>
      <c r="L5386" s="5" t="s">
        <v>41261</v>
      </c>
      <c r="M5386" s="27">
        <v>354520</v>
      </c>
      <c r="N5386" s="5"/>
      <c r="O5386" s="5" t="str">
        <v>1324015626</v>
      </c>
      <c r="P5386" s="27">
        <v>48613560</v>
      </c>
      <c r="Q5386" s="5" t="s">
        <v>57533</v>
      </c>
      <c r="R5386" s="5" t="s">
        <v>57367</v>
      </c>
      <c r="S5386" s="5" t="s">
        <v>57534</v>
      </c>
      <c r="T5386" s="28">
        <v>3338383000</v>
      </c>
      <c r="U5386" s="28">
        <v>1121166000</v>
      </c>
      <c r="V5386" s="28">
        <v>7449892000</v>
      </c>
      <c r="W5386" s="28">
        <v>192877000</v>
      </c>
      <c r="X5386" s="28">
        <v>238535000</v>
      </c>
      <c r="Y5386" s="28">
        <v>18563484000</v>
      </c>
      <c r="Z5386" s="28">
        <v>4034903000</v>
      </c>
      <c r="AA5386" s="28">
        <v>1237871000</v>
      </c>
      <c r="AB5386" s="28">
        <v>683256000</v>
      </c>
      <c r="AC5386" s="28">
        <v>10983579000</v>
      </c>
      <c r="AD5386" s="28">
        <v>5801954000</v>
      </c>
      <c r="AE5386" s="28">
        <v>42743670000</v>
      </c>
      <c r="AF5386" s="28">
        <v>1677085000</v>
      </c>
      <c r="AG5386" s="11"/>
    </row>
    <row r="5387">
      <c r="A5387" s="7" t="s">
        <v>6997</v>
      </c>
      <c r="B5387" s="5" t="s">
        <v>14956</v>
      </c>
      <c r="C5387" s="5" t="s">
        <v>22658</v>
      </c>
      <c r="D5387" s="5" t="str">
        <v>615500739401</v>
      </c>
      <c r="E5387" s="0" t="e">
        <f>+7 (38475) 45767
+7 (38475) 26884
+7 (38475) 45773
+7 (38475) 46002
+7 (384) 7546000
+7 (3843) 997397
+7 (38475) 46059
+7 (38475) 46083
+7 (38475) 46091</f>
        <v>#NAME?</v>
      </c>
      <c r="F5387" s="5" t="s">
        <v>41262</v>
      </c>
      <c r="G5387" s="5"/>
      <c r="H5387" s="26">
        <v>20</v>
      </c>
      <c r="I5387" s="5" t="s">
        <v>41263</v>
      </c>
      <c r="J5387" s="5" t="s">
        <v>373</v>
      </c>
      <c r="K5387" s="5" t="s">
        <v>344</v>
      </c>
      <c r="L5387" s="5" t="s">
        <v>41264</v>
      </c>
      <c r="M5387" s="27">
        <v>708903</v>
      </c>
      <c r="N5387" s="5" t="s">
        <v>57208</v>
      </c>
      <c r="O5387" s="5" t="str">
        <v>4253029657</v>
      </c>
      <c r="P5387" s="27">
        <v>1203120000</v>
      </c>
      <c r="Q5387" s="5" t="s">
        <v>49009</v>
      </c>
      <c r="R5387" s="5" t="s">
        <v>57535</v>
      </c>
      <c r="S5387" s="5" t="s">
        <v>52242</v>
      </c>
      <c r="T5387" s="28">
        <v>134524000</v>
      </c>
      <c r="U5387" s="28">
        <v>5588036000</v>
      </c>
      <c r="V5387" s="28">
        <v>46528739000</v>
      </c>
      <c r="W5387" s="28">
        <v>10295967000</v>
      </c>
      <c r="X5387" s="28">
        <v>27019836000</v>
      </c>
      <c r="Y5387" s="28">
        <v>99626541000</v>
      </c>
      <c r="Z5387" s="28">
        <v>2777511000</v>
      </c>
      <c r="AA5387" s="28"/>
      <c r="AB5387" s="28">
        <v>250972000</v>
      </c>
      <c r="AC5387" s="28">
        <v>95191470000</v>
      </c>
      <c r="AD5387" s="28">
        <v>3980636000</v>
      </c>
      <c r="AE5387" s="28">
        <v>211647383000</v>
      </c>
      <c r="AF5387" s="28">
        <v>-2120527000</v>
      </c>
      <c r="AG5387" s="11"/>
    </row>
    <row r="5388">
      <c r="A5388" s="7" t="s">
        <v>6998</v>
      </c>
      <c r="B5388" s="5" t="s">
        <v>14957</v>
      </c>
      <c r="C5388" s="5" t="s">
        <v>22659</v>
      </c>
      <c r="D5388" s="5" t="str">
        <v>772986436340</v>
      </c>
      <c r="E5388" s="0" t="e">
        <f>+7 (495) 2286908
+7 (499) 7390650</f>
        <v>#NAME?</v>
      </c>
      <c r="F5388" s="5"/>
      <c r="G5388" s="5" t="s">
        <v>41265</v>
      </c>
      <c r="H5388" s="26">
        <v>19.5</v>
      </c>
      <c r="I5388" s="5" t="s">
        <v>41266</v>
      </c>
      <c r="J5388" s="5" t="s">
        <v>30764</v>
      </c>
      <c r="K5388" s="5" t="s">
        <v>344</v>
      </c>
      <c r="L5388" s="5"/>
      <c r="M5388" s="27"/>
      <c r="N5388" s="5"/>
      <c r="O5388" s="5" t="str">
        <v>7732121398</v>
      </c>
      <c r="P5388" s="27">
        <v>281949200</v>
      </c>
      <c r="Q5388" s="5"/>
      <c r="R5388" s="5"/>
      <c r="S5388" s="5" t="s">
        <v>49123</v>
      </c>
      <c r="T5388" s="28">
        <v>2098803000</v>
      </c>
      <c r="U5388" s="28"/>
      <c r="V5388" s="28">
        <v>2882571000</v>
      </c>
      <c r="W5388" s="28"/>
      <c r="X5388" s="28">
        <v>240887000</v>
      </c>
      <c r="Y5388" s="28">
        <v>11383319000</v>
      </c>
      <c r="Z5388" s="28">
        <v>734185000</v>
      </c>
      <c r="AA5388" s="28">
        <v>452400000</v>
      </c>
      <c r="AB5388" s="28">
        <v>107652000</v>
      </c>
      <c r="AC5388" s="28">
        <v>8490225000</v>
      </c>
      <c r="AD5388" s="28">
        <v>1009472000</v>
      </c>
      <c r="AE5388" s="28">
        <v>56865747000</v>
      </c>
      <c r="AF5388" s="28">
        <v>171987000</v>
      </c>
      <c r="AG5388" s="11"/>
    </row>
    <row r="5389">
      <c r="A5389" s="7" t="s">
        <v>6999</v>
      </c>
      <c r="B5389" s="5" t="s">
        <v>14958</v>
      </c>
      <c r="C5389" s="5" t="s">
        <v>22660</v>
      </c>
      <c r="D5389" s="5" t="str">
        <v>343509822475</v>
      </c>
      <c r="E5389" s="0" t="e">
        <f>+7 (495) 9979261</f>
        <v>#NAME?</v>
      </c>
      <c r="F5389" s="5"/>
      <c r="G5389" s="5"/>
      <c r="H5389" s="26">
        <v>5</v>
      </c>
      <c r="I5389" s="5" t="s">
        <v>41267</v>
      </c>
      <c r="J5389" s="5" t="s">
        <v>678</v>
      </c>
      <c r="K5389" s="5" t="s">
        <v>344</v>
      </c>
      <c r="L5389" s="5"/>
      <c r="M5389" s="27"/>
      <c r="N5389" s="5"/>
      <c r="O5389" s="5" t="str">
        <v>9710050796</v>
      </c>
      <c r="P5389" s="27">
        <v>250000</v>
      </c>
      <c r="Q5389" s="5" t="s">
        <v>49021</v>
      </c>
      <c r="R5389" s="5"/>
      <c r="S5389" s="5" t="s">
        <v>57536</v>
      </c>
      <c r="T5389" s="28"/>
      <c r="U5389" s="28"/>
      <c r="V5389" s="28">
        <v>1327821000</v>
      </c>
      <c r="W5389" s="28"/>
      <c r="X5389" s="28">
        <v>108000</v>
      </c>
      <c r="Y5389" s="28">
        <v>3134806000</v>
      </c>
      <c r="Z5389" s="28">
        <v>15218000</v>
      </c>
      <c r="AA5389" s="28"/>
      <c r="AB5389" s="28"/>
      <c r="AC5389" s="28">
        <v>457260000</v>
      </c>
      <c r="AD5389" s="28">
        <v>2677546000</v>
      </c>
      <c r="AE5389" s="28">
        <v>3517049000</v>
      </c>
      <c r="AF5389" s="28">
        <v>804000</v>
      </c>
      <c r="AG5389" s="11"/>
    </row>
    <row r="5390">
      <c r="A5390" s="7" t="s">
        <v>7000</v>
      </c>
      <c r="B5390" s="5" t="s">
        <v>14959</v>
      </c>
      <c r="C5390" s="5" t="s">
        <v>22661</v>
      </c>
      <c r="D5390" s="5" t="str">
        <v>770405324328</v>
      </c>
      <c r="E5390" s="0" t="e">
        <f>+7 (495) 7802011</f>
        <v>#NAME?</v>
      </c>
      <c r="F5390" s="5" t="s">
        <v>41268</v>
      </c>
      <c r="G5390" s="5"/>
      <c r="H5390" s="26">
        <v>25.5</v>
      </c>
      <c r="I5390" s="5" t="s">
        <v>41269</v>
      </c>
      <c r="J5390" s="5" t="s">
        <v>373</v>
      </c>
      <c r="K5390" s="5" t="s">
        <v>344</v>
      </c>
      <c r="L5390" s="5" t="s">
        <v>41270</v>
      </c>
      <c r="M5390" s="27"/>
      <c r="N5390" s="5"/>
      <c r="O5390" s="5" t="str">
        <v>7709454600</v>
      </c>
      <c r="P5390" s="27">
        <v>100000</v>
      </c>
      <c r="Q5390" s="5" t="s">
        <v>49057</v>
      </c>
      <c r="R5390" s="5"/>
      <c r="S5390" s="5" t="s">
        <v>49452</v>
      </c>
      <c r="T5390" s="28">
        <v>120248000</v>
      </c>
      <c r="U5390" s="28">
        <v>5398191000</v>
      </c>
      <c r="V5390" s="28">
        <v>3336026000</v>
      </c>
      <c r="W5390" s="28">
        <v>1244243000</v>
      </c>
      <c r="X5390" s="28">
        <v>183089000</v>
      </c>
      <c r="Y5390" s="28">
        <v>10462084000</v>
      </c>
      <c r="Z5390" s="28">
        <v>6579309000</v>
      </c>
      <c r="AA5390" s="28">
        <v>5000000</v>
      </c>
      <c r="AB5390" s="28">
        <v>16256000</v>
      </c>
      <c r="AC5390" s="28">
        <v>3404856000</v>
      </c>
      <c r="AD5390" s="28">
        <v>6595458000</v>
      </c>
      <c r="AE5390" s="28">
        <v>12530785000</v>
      </c>
      <c r="AF5390" s="28">
        <v>161797000</v>
      </c>
      <c r="AG5390" s="11"/>
    </row>
    <row r="5391">
      <c r="A5391" s="7" t="s">
        <v>7001</v>
      </c>
      <c r="B5391" s="5" t="s">
        <v>14960</v>
      </c>
      <c r="C5391" s="5" t="s">
        <v>22662</v>
      </c>
      <c r="D5391" s="5" t="str">
        <v>784801963106</v>
      </c>
      <c r="E5391" s="0" t="e">
        <f>+7 (812) 4486803
+7 (911) 1995114
+7 (960) 2428722</f>
        <v>#NAME?</v>
      </c>
      <c r="F5391" s="5" t="s">
        <v>41271</v>
      </c>
      <c r="G5391" s="5"/>
      <c r="H5391" s="26">
        <v>6.5</v>
      </c>
      <c r="I5391" s="5" t="s">
        <v>41272</v>
      </c>
      <c r="J5391" s="5" t="s">
        <v>599</v>
      </c>
      <c r="K5391" s="5" t="s">
        <v>344</v>
      </c>
      <c r="L5391" s="5" t="s">
        <v>41273</v>
      </c>
      <c r="M5391" s="27">
        <v>512400</v>
      </c>
      <c r="N5391" s="5"/>
      <c r="O5391" s="5" t="str">
        <v>7810608590</v>
      </c>
      <c r="P5391" s="27">
        <v>100000</v>
      </c>
      <c r="Q5391" s="5" t="s">
        <v>49057</v>
      </c>
      <c r="R5391" s="5"/>
      <c r="S5391" s="5" t="s">
        <v>50846</v>
      </c>
      <c r="T5391" s="28">
        <v>143607000</v>
      </c>
      <c r="U5391" s="28"/>
      <c r="V5391" s="28">
        <v>609188000</v>
      </c>
      <c r="W5391" s="28">
        <v>2335000</v>
      </c>
      <c r="X5391" s="28">
        <v>302453000</v>
      </c>
      <c r="Y5391" s="28">
        <v>1091784000</v>
      </c>
      <c r="Z5391" s="28">
        <v>823848000</v>
      </c>
      <c r="AA5391" s="28"/>
      <c r="AB5391" s="28"/>
      <c r="AC5391" s="28">
        <v>187264000</v>
      </c>
      <c r="AD5391" s="28">
        <v>823948000</v>
      </c>
      <c r="AE5391" s="28">
        <v>7240578000</v>
      </c>
      <c r="AF5391" s="28">
        <v>213484000</v>
      </c>
      <c r="AG5391" s="11"/>
    </row>
    <row r="5392">
      <c r="A5392" s="7" t="s">
        <v>7002</v>
      </c>
      <c r="B5392" s="5" t="s">
        <v>14961</v>
      </c>
      <c r="C5392" s="5" t="s">
        <v>22663</v>
      </c>
      <c r="D5392" s="5" t="str">
        <v>165111599767</v>
      </c>
      <c r="E5392" s="0" t="e">
        <f>+7 (846) 2073725</f>
        <v>#NAME?</v>
      </c>
      <c r="F5392" s="5" t="s">
        <v>41274</v>
      </c>
      <c r="G5392" s="5"/>
      <c r="H5392" s="26">
        <v>2.5</v>
      </c>
      <c r="I5392" s="5" t="s">
        <v>41275</v>
      </c>
      <c r="J5392" s="5" t="s">
        <v>25800</v>
      </c>
      <c r="K5392" s="5" t="s">
        <v>380</v>
      </c>
      <c r="L5392" s="5" t="s">
        <v>27651</v>
      </c>
      <c r="M5392" s="27">
        <v>22514332</v>
      </c>
      <c r="N5392" s="5"/>
      <c r="O5392" s="5" t="str">
        <v>6439097889</v>
      </c>
      <c r="P5392" s="27">
        <v>10000</v>
      </c>
      <c r="Q5392" s="5" t="s">
        <v>57537</v>
      </c>
      <c r="R5392" s="5"/>
      <c r="S5392" s="5" t="s">
        <v>51755</v>
      </c>
      <c r="T5392" s="28">
        <v>10096858000</v>
      </c>
      <c r="U5392" s="28"/>
      <c r="V5392" s="28">
        <v>19755200000</v>
      </c>
      <c r="W5392" s="28">
        <v>1782293000</v>
      </c>
      <c r="X5392" s="28">
        <v>4754938000</v>
      </c>
      <c r="Y5392" s="28">
        <v>41465623000</v>
      </c>
      <c r="Z5392" s="28">
        <v>-281204000</v>
      </c>
      <c r="AA5392" s="28">
        <v>28416000</v>
      </c>
      <c r="AB5392" s="28">
        <v>36941844000</v>
      </c>
      <c r="AC5392" s="28">
        <v>41164969000</v>
      </c>
      <c r="AD5392" s="28">
        <v>-280824000</v>
      </c>
      <c r="AE5392" s="28">
        <v>30107930000</v>
      </c>
      <c r="AF5392" s="28">
        <v>-480895000</v>
      </c>
      <c r="AG5392" s="11"/>
    </row>
    <row r="5393">
      <c r="A5393" s="7" t="s">
        <v>7003</v>
      </c>
      <c r="B5393" s="5" t="s">
        <v>14962</v>
      </c>
      <c r="C5393" s="5" t="s">
        <v>22664</v>
      </c>
      <c r="D5393" s="5" t="str">
        <v>311900839807</v>
      </c>
      <c r="E5393" s="0" t="e">
        <f>+7 (47236) 54067
+7 (472) 2219404
+7 (47236) 33048
+7 (47236) 55784
+7 (47236) 66570</f>
        <v>#NAME?</v>
      </c>
      <c r="F5393" s="5" t="s">
        <v>41276</v>
      </c>
      <c r="G5393" s="5" t="s">
        <v>30598</v>
      </c>
      <c r="H5393" s="26">
        <v>30</v>
      </c>
      <c r="I5393" s="5" t="s">
        <v>41277</v>
      </c>
      <c r="J5393" s="5" t="s">
        <v>25994</v>
      </c>
      <c r="K5393" s="5" t="s">
        <v>344</v>
      </c>
      <c r="L5393" s="5" t="s">
        <v>41278</v>
      </c>
      <c r="M5393" s="27">
        <v>27604724</v>
      </c>
      <c r="N5393" s="5"/>
      <c r="O5393" s="5" t="str">
        <v>3126019943</v>
      </c>
      <c r="P5393" s="27">
        <v>95700000</v>
      </c>
      <c r="Q5393" s="5" t="s">
        <v>49009</v>
      </c>
      <c r="R5393" s="5"/>
      <c r="S5393" s="5" t="s">
        <v>49066</v>
      </c>
      <c r="T5393" s="28">
        <v>5716597000</v>
      </c>
      <c r="U5393" s="28">
        <v>2948000</v>
      </c>
      <c r="V5393" s="28">
        <v>15363685000</v>
      </c>
      <c r="W5393" s="28">
        <v>130097000</v>
      </c>
      <c r="X5393" s="28">
        <v>152000</v>
      </c>
      <c r="Y5393" s="28">
        <v>23031795000</v>
      </c>
      <c r="Z5393" s="28">
        <v>4355330000</v>
      </c>
      <c r="AA5393" s="28">
        <v>467877000</v>
      </c>
      <c r="AB5393" s="28">
        <v>14866280000</v>
      </c>
      <c r="AC5393" s="28">
        <v>17436487000</v>
      </c>
      <c r="AD5393" s="28">
        <v>4451030000</v>
      </c>
      <c r="AE5393" s="28">
        <v>17040876000</v>
      </c>
      <c r="AF5393" s="28">
        <v>977995000</v>
      </c>
      <c r="AG5393" s="11"/>
    </row>
    <row r="5394">
      <c r="A5394" s="7" t="s">
        <v>7004</v>
      </c>
      <c r="B5394" s="5" t="s">
        <v>14963</v>
      </c>
      <c r="C5394" s="5" t="s">
        <v>22665</v>
      </c>
      <c r="D5394" s="5" t="str">
        <v>636202434487</v>
      </c>
      <c r="E5394" s="0" t="e">
        <f>+7 (917) 1075811</f>
        <v>#NAME?</v>
      </c>
      <c r="F5394" s="5" t="s">
        <v>41279</v>
      </c>
      <c r="G5394" s="5"/>
      <c r="H5394" s="26">
        <v>2</v>
      </c>
      <c r="I5394" s="5" t="s">
        <v>41275</v>
      </c>
      <c r="J5394" s="5" t="s">
        <v>25869</v>
      </c>
      <c r="K5394" s="5" t="s">
        <v>344</v>
      </c>
      <c r="L5394" s="5"/>
      <c r="M5394" s="27"/>
      <c r="N5394" s="5"/>
      <c r="O5394" s="5" t="str">
        <v>6453166380</v>
      </c>
      <c r="P5394" s="27">
        <v>10000</v>
      </c>
      <c r="Q5394" s="5" t="s">
        <v>49057</v>
      </c>
      <c r="R5394" s="5"/>
      <c r="S5394" s="5" t="s">
        <v>49452</v>
      </c>
      <c r="T5394" s="28">
        <v>369345000</v>
      </c>
      <c r="U5394" s="28"/>
      <c r="V5394" s="28">
        <v>5031984000</v>
      </c>
      <c r="W5394" s="28">
        <v>17290303000</v>
      </c>
      <c r="X5394" s="28">
        <v>394000</v>
      </c>
      <c r="Y5394" s="28">
        <v>26304847000</v>
      </c>
      <c r="Z5394" s="28">
        <v>484138000</v>
      </c>
      <c r="AA5394" s="28"/>
      <c r="AB5394" s="28"/>
      <c r="AC5394" s="28">
        <v>25776166000</v>
      </c>
      <c r="AD5394" s="28">
        <v>484148000</v>
      </c>
      <c r="AE5394" s="28">
        <v>49913363000</v>
      </c>
      <c r="AF5394" s="28">
        <v>-145911000</v>
      </c>
      <c r="AG5394" s="11"/>
    </row>
    <row r="5395">
      <c r="A5395" s="7" t="s">
        <v>7005</v>
      </c>
      <c r="B5395" s="5" t="s">
        <v>9936</v>
      </c>
      <c r="C5395" s="5" t="s">
        <v>22666</v>
      </c>
      <c r="D5395" s="5" t="str">
        <v>344210302866</v>
      </c>
      <c r="E5395" s="0" t="e">
        <f>+7 (472) 2324376
+7 (472) 2231850
+7 (472) 2322999
+7 (472) 2323250
+7 (472) 2353507
+7 (472) 2353513</f>
        <v>#NAME?</v>
      </c>
      <c r="F5395" s="5" t="s">
        <v>41280</v>
      </c>
      <c r="G5395" s="5" t="s">
        <v>41281</v>
      </c>
      <c r="H5395" s="26">
        <v>16</v>
      </c>
      <c r="I5395" s="5" t="s">
        <v>41282</v>
      </c>
      <c r="J5395" s="5" t="s">
        <v>26037</v>
      </c>
      <c r="K5395" s="5" t="s">
        <v>344</v>
      </c>
      <c r="L5395" s="5" t="s">
        <v>41283</v>
      </c>
      <c r="M5395" s="27">
        <v>615829</v>
      </c>
      <c r="N5395" s="5"/>
      <c r="O5395" s="5" t="str">
        <v>3105003830</v>
      </c>
      <c r="P5395" s="27">
        <v>2745933606</v>
      </c>
      <c r="Q5395" s="5" t="s">
        <v>49059</v>
      </c>
      <c r="R5395" s="5"/>
      <c r="S5395" s="5" t="s">
        <v>49082</v>
      </c>
      <c r="T5395" s="28">
        <v>8024859000</v>
      </c>
      <c r="U5395" s="28">
        <v>3865000</v>
      </c>
      <c r="V5395" s="28">
        <v>4445329000</v>
      </c>
      <c r="W5395" s="28">
        <v>428640000</v>
      </c>
      <c r="X5395" s="28">
        <v>35256000</v>
      </c>
      <c r="Y5395" s="28">
        <v>24023706000</v>
      </c>
      <c r="Z5395" s="28">
        <v>7864528000</v>
      </c>
      <c r="AA5395" s="28">
        <v>2127325000</v>
      </c>
      <c r="AB5395" s="28">
        <v>2871819000</v>
      </c>
      <c r="AC5395" s="28">
        <v>5327330000</v>
      </c>
      <c r="AD5395" s="28">
        <v>15243993000</v>
      </c>
      <c r="AE5395" s="28">
        <v>13433332000</v>
      </c>
      <c r="AF5395" s="28">
        <v>4734928000</v>
      </c>
      <c r="AG5395" s="11"/>
    </row>
    <row r="5396">
      <c r="A5396" s="7" t="s">
        <v>7006</v>
      </c>
      <c r="B5396" s="5" t="s">
        <v>14964</v>
      </c>
      <c r="C5396" s="5" t="s">
        <v>22667</v>
      </c>
      <c r="D5396" s="5" t="str">
        <v>550706397089</v>
      </c>
      <c r="E5396" s="0" t="e">
        <f>+7 (4234) 318181
+7 (4234) 389948
+7 (910) 7518604</f>
        <v>#NAME?</v>
      </c>
      <c r="F5396" s="5" t="s">
        <v>41284</v>
      </c>
      <c r="G5396" s="5"/>
      <c r="H5396" s="26">
        <v>8.5</v>
      </c>
      <c r="I5396" s="5" t="s">
        <v>41285</v>
      </c>
      <c r="J5396" s="5" t="s">
        <v>25371</v>
      </c>
      <c r="K5396" s="5" t="s">
        <v>380</v>
      </c>
      <c r="L5396" s="5" t="s">
        <v>41286</v>
      </c>
      <c r="M5396" s="27">
        <v>50059980</v>
      </c>
      <c r="N5396" s="5"/>
      <c r="O5396" s="5" t="str">
        <v>2540203376</v>
      </c>
      <c r="P5396" s="27">
        <v>6000000000</v>
      </c>
      <c r="Q5396" s="5"/>
      <c r="R5396" s="5" t="s">
        <v>57539</v>
      </c>
      <c r="S5396" s="5" t="s">
        <v>49499</v>
      </c>
      <c r="T5396" s="28">
        <v>34879857000</v>
      </c>
      <c r="U5396" s="28"/>
      <c r="V5396" s="28">
        <v>774751000</v>
      </c>
      <c r="W5396" s="28">
        <v>202602000</v>
      </c>
      <c r="X5396" s="28">
        <v>26884000</v>
      </c>
      <c r="Y5396" s="28">
        <v>45420916000</v>
      </c>
      <c r="Z5396" s="28">
        <v>-5295337000</v>
      </c>
      <c r="AA5396" s="28">
        <v>14770368000</v>
      </c>
      <c r="AB5396" s="28">
        <v>6195388000</v>
      </c>
      <c r="AC5396" s="28">
        <v>8105159000</v>
      </c>
      <c r="AD5396" s="28">
        <v>18476495000</v>
      </c>
      <c r="AE5396" s="28">
        <v>5029436000</v>
      </c>
      <c r="AF5396" s="28">
        <v>-3813303000</v>
      </c>
      <c r="AG5396" s="11"/>
    </row>
    <row r="5397">
      <c r="A5397" s="7" t="s">
        <v>7007</v>
      </c>
      <c r="B5397" s="5" t="s">
        <v>14965</v>
      </c>
      <c r="C5397" s="5" t="s">
        <v>19662</v>
      </c>
      <c r="D5397" s="5" t="str">
        <v>771577826428</v>
      </c>
      <c r="F5397" s="5"/>
      <c r="G5397" s="5"/>
      <c r="H5397" s="26">
        <v>2.5</v>
      </c>
      <c r="I5397" s="5" t="s">
        <v>41275</v>
      </c>
      <c r="J5397" s="5" t="s">
        <v>31776</v>
      </c>
      <c r="K5397" s="5" t="s">
        <v>380</v>
      </c>
      <c r="L5397" s="5"/>
      <c r="M5397" s="27">
        <v>2486014</v>
      </c>
      <c r="N5397" s="5"/>
      <c r="O5397" s="5" t="str">
        <v>6453163766</v>
      </c>
      <c r="P5397" s="27">
        <v>10000</v>
      </c>
      <c r="Q5397" s="5"/>
      <c r="R5397" s="5"/>
      <c r="S5397" s="5" t="s">
        <v>49029</v>
      </c>
      <c r="T5397" s="28">
        <v>4761744000</v>
      </c>
      <c r="U5397" s="28"/>
      <c r="V5397" s="28">
        <v>4244740000</v>
      </c>
      <c r="W5397" s="28">
        <v>83976000</v>
      </c>
      <c r="X5397" s="28">
        <v>6829000</v>
      </c>
      <c r="Y5397" s="28">
        <v>12186658000</v>
      </c>
      <c r="Z5397" s="28">
        <v>-1031535000</v>
      </c>
      <c r="AA5397" s="28">
        <v>2640000</v>
      </c>
      <c r="AB5397" s="28">
        <v>4327072000</v>
      </c>
      <c r="AC5397" s="28">
        <v>12928344000</v>
      </c>
      <c r="AD5397" s="28">
        <v>-1031525000</v>
      </c>
      <c r="AE5397" s="28">
        <v>45553347000</v>
      </c>
      <c r="AF5397" s="28">
        <v>-1294414000</v>
      </c>
      <c r="AG5397" s="11"/>
    </row>
    <row r="5398">
      <c r="A5398" s="7" t="s">
        <v>7008</v>
      </c>
      <c r="B5398" s="5" t="s">
        <v>14966</v>
      </c>
      <c r="C5398" s="5" t="s">
        <v>22668</v>
      </c>
      <c r="D5398" s="5" t="str">
        <v>862001080813</v>
      </c>
      <c r="E5398" s="0" t="e">
        <f>+7 (47552) 21219
+7 (47552) 23005
+7 (47552) 23007
+7 (47552) 23103
+7 (47552) 26441</f>
        <v>#NAME?</v>
      </c>
      <c r="F5398" s="5" t="s">
        <v>41287</v>
      </c>
      <c r="G5398" s="5" t="s">
        <v>41288</v>
      </c>
      <c r="H5398" s="26">
        <v>30.5</v>
      </c>
      <c r="I5398" s="5" t="s">
        <v>41289</v>
      </c>
      <c r="J5398" s="5" t="s">
        <v>25994</v>
      </c>
      <c r="K5398" s="5" t="s">
        <v>344</v>
      </c>
      <c r="L5398" s="5" t="s">
        <v>41290</v>
      </c>
      <c r="M5398" s="27">
        <v>5822300</v>
      </c>
      <c r="N5398" s="5" t="s">
        <v>57540</v>
      </c>
      <c r="O5398" s="5" t="str">
        <v>6804008674</v>
      </c>
      <c r="P5398" s="27">
        <v>162118163</v>
      </c>
      <c r="Q5398" s="5" t="s">
        <v>49059</v>
      </c>
      <c r="R5398" s="5"/>
      <c r="S5398" s="5" t="s">
        <v>49028</v>
      </c>
      <c r="T5398" s="28">
        <v>4244840000</v>
      </c>
      <c r="U5398" s="28"/>
      <c r="V5398" s="28">
        <v>17913739000</v>
      </c>
      <c r="W5398" s="28">
        <v>1052868000</v>
      </c>
      <c r="X5398" s="28">
        <v>328000</v>
      </c>
      <c r="Y5398" s="28">
        <v>24497500000</v>
      </c>
      <c r="Z5398" s="28">
        <v>4418302000</v>
      </c>
      <c r="AA5398" s="28"/>
      <c r="AB5398" s="28">
        <v>17123680000</v>
      </c>
      <c r="AC5398" s="28">
        <v>18751956000</v>
      </c>
      <c r="AD5398" s="28">
        <v>5639432000</v>
      </c>
      <c r="AE5398" s="28">
        <v>17364831000</v>
      </c>
      <c r="AF5398" s="28">
        <v>1298741000</v>
      </c>
      <c r="AG5398" s="11"/>
    </row>
    <row r="5399">
      <c r="A5399" s="7" t="s">
        <v>7009</v>
      </c>
      <c r="B5399" s="5" t="s">
        <v>14967</v>
      </c>
      <c r="C5399" s="5" t="s">
        <v>19283</v>
      </c>
      <c r="D5399" s="5"/>
      <c r="E5399" s="0" t="e">
        <f>+7 (495) 9845475
+7 (383) 3280728
+7 (383) 3280928
+7 (473) 2502582
+7 (473) 2502922
+7 (495) 9845456
+7 (812) 6779218
+7 (812) 6779237
+7 (8452) 390141
+7 (8452) 390142
+7 (8632) 35861
+7 (8632) 35862</f>
        <v>#NAME?</v>
      </c>
      <c r="F5399" s="5" t="s">
        <v>41291</v>
      </c>
      <c r="G5399" s="5"/>
      <c r="H5399" s="26">
        <v>14</v>
      </c>
      <c r="I5399" s="5" t="s">
        <v>41292</v>
      </c>
      <c r="J5399" s="5" t="s">
        <v>26325</v>
      </c>
      <c r="K5399" s="5" t="s">
        <v>355</v>
      </c>
      <c r="L5399" s="5" t="s">
        <v>41293</v>
      </c>
      <c r="M5399" s="27">
        <v>25812671</v>
      </c>
      <c r="N5399" s="5" t="s">
        <v>57541</v>
      </c>
      <c r="O5399" s="5" t="str">
        <v>9718221490</v>
      </c>
      <c r="P5399" s="27">
        <v>8370289222</v>
      </c>
      <c r="Q5399" s="5" t="s">
        <v>57542</v>
      </c>
      <c r="R5399" s="5" t="s">
        <v>57543</v>
      </c>
      <c r="S5399" s="5" t="s">
        <v>50191</v>
      </c>
      <c r="T5399" s="28">
        <v>12433647000</v>
      </c>
      <c r="U5399" s="28">
        <v>93046011000</v>
      </c>
      <c r="V5399" s="28">
        <v>14480177000</v>
      </c>
      <c r="W5399" s="28">
        <v>3429554000</v>
      </c>
      <c r="X5399" s="28">
        <v>879232000</v>
      </c>
      <c r="Y5399" s="28">
        <v>195303255000</v>
      </c>
      <c r="Z5399" s="28">
        <v>40580977000</v>
      </c>
      <c r="AA5399" s="28">
        <v>62616301000</v>
      </c>
      <c r="AB5399" s="28">
        <v>15676950000</v>
      </c>
      <c r="AC5399" s="28">
        <v>31888427000</v>
      </c>
      <c r="AD5399" s="28">
        <v>49383038000</v>
      </c>
      <c r="AE5399" s="28">
        <v>37403008000</v>
      </c>
      <c r="AF5399" s="28">
        <v>3655876000</v>
      </c>
      <c r="AG5399" s="11"/>
    </row>
    <row r="5400">
      <c r="A5400" s="7" t="s">
        <v>7010</v>
      </c>
      <c r="B5400" s="5" t="s">
        <v>14968</v>
      </c>
      <c r="C5400" s="5" t="s">
        <v>22669</v>
      </c>
      <c r="D5400" s="5"/>
      <c r="E5400" s="0" t="e">
        <f>+7 (395) 3411751
+7 (395) 3437522
+7 (3953) 492402
+7 (3953) 492650
+7 (3953) 492656</f>
        <v>#NAME?</v>
      </c>
      <c r="F5400" s="5" t="s">
        <v>41294</v>
      </c>
      <c r="G5400" s="5" t="s">
        <v>41295</v>
      </c>
      <c r="H5400" s="26">
        <v>30</v>
      </c>
      <c r="I5400" s="5" t="s">
        <v>41296</v>
      </c>
      <c r="J5400" s="5" t="s">
        <v>25353</v>
      </c>
      <c r="K5400" s="5" t="s">
        <v>355</v>
      </c>
      <c r="L5400" s="5"/>
      <c r="M5400" s="27">
        <v>364873</v>
      </c>
      <c r="N5400" s="5"/>
      <c r="O5400" s="5" t="str">
        <v>3803100054</v>
      </c>
      <c r="P5400" s="27">
        <v>1101061</v>
      </c>
      <c r="Q5400" s="5" t="s">
        <v>49021</v>
      </c>
      <c r="R5400" s="5"/>
      <c r="S5400" s="5" t="s">
        <v>57544</v>
      </c>
      <c r="T5400" s="28">
        <v>35057157000</v>
      </c>
      <c r="U5400" s="28">
        <v>190952000</v>
      </c>
      <c r="V5400" s="28">
        <v>22770862000</v>
      </c>
      <c r="W5400" s="28">
        <v>39891910000</v>
      </c>
      <c r="X5400" s="28">
        <v>260495000</v>
      </c>
      <c r="Y5400" s="28">
        <v>123312223000</v>
      </c>
      <c r="Z5400" s="28">
        <v>1880435000</v>
      </c>
      <c r="AA5400" s="28">
        <v>656971000</v>
      </c>
      <c r="AB5400" s="28">
        <v>95128148000</v>
      </c>
      <c r="AC5400" s="28">
        <v>107036729000</v>
      </c>
      <c r="AD5400" s="28">
        <v>11917981000</v>
      </c>
      <c r="AE5400" s="28">
        <v>144280301000</v>
      </c>
      <c r="AF5400" s="28">
        <v>-2915198000</v>
      </c>
      <c r="AG5400" s="11"/>
    </row>
    <row r="5401">
      <c r="A5401" s="7" t="s">
        <v>7011</v>
      </c>
      <c r="B5401" s="5" t="s">
        <v>14969</v>
      </c>
      <c r="C5401" s="5" t="s">
        <v>22670</v>
      </c>
      <c r="D5401" s="5" t="str">
        <v>226602454378</v>
      </c>
      <c r="E5401" s="0" t="e">
        <f>+7 (983) 3555515
+7 (962) 7992444</f>
        <v>#NAME?</v>
      </c>
      <c r="F5401" s="5" t="s">
        <v>41297</v>
      </c>
      <c r="G5401" s="5"/>
      <c r="H5401" s="26">
        <v>4</v>
      </c>
      <c r="I5401" s="5" t="s">
        <v>41298</v>
      </c>
      <c r="J5401" s="5" t="s">
        <v>25800</v>
      </c>
      <c r="K5401" s="5" t="s">
        <v>344</v>
      </c>
      <c r="L5401" s="5" t="s">
        <v>41299</v>
      </c>
      <c r="M5401" s="27"/>
      <c r="N5401" s="5" t="s">
        <v>57545</v>
      </c>
      <c r="O5401" s="5" t="str">
        <v>2225200267</v>
      </c>
      <c r="P5401" s="27">
        <v>6000000</v>
      </c>
      <c r="Q5401" s="5"/>
      <c r="R5401" s="5"/>
      <c r="S5401" s="5" t="s">
        <v>49425</v>
      </c>
      <c r="T5401" s="28">
        <v>17624000</v>
      </c>
      <c r="U5401" s="28"/>
      <c r="V5401" s="28">
        <v>435638000</v>
      </c>
      <c r="W5401" s="28">
        <v>3000000</v>
      </c>
      <c r="X5401" s="28">
        <v>39627000</v>
      </c>
      <c r="Y5401" s="28">
        <v>710442000</v>
      </c>
      <c r="Z5401" s="28">
        <v>141456000</v>
      </c>
      <c r="AA5401" s="28">
        <v>39095000</v>
      </c>
      <c r="AB5401" s="28">
        <v>282420000</v>
      </c>
      <c r="AC5401" s="28">
        <v>523320000</v>
      </c>
      <c r="AD5401" s="28">
        <v>147456000</v>
      </c>
      <c r="AE5401" s="28">
        <v>3184002000</v>
      </c>
      <c r="AF5401" s="28">
        <v>103993000</v>
      </c>
      <c r="AG5401" s="11"/>
    </row>
    <row r="5402">
      <c r="A5402" s="7" t="s">
        <v>7012</v>
      </c>
      <c r="B5402" s="5" t="s">
        <v>14970</v>
      </c>
      <c r="C5402" s="5" t="s">
        <v>22671</v>
      </c>
      <c r="D5402" s="5" t="str">
        <v>666301000031</v>
      </c>
      <c r="F5402" s="5" t="s">
        <v>41300</v>
      </c>
      <c r="G5402" s="5"/>
      <c r="H5402" s="26">
        <v>16</v>
      </c>
      <c r="I5402" s="5" t="s">
        <v>41301</v>
      </c>
      <c r="J5402" s="5" t="s">
        <v>29913</v>
      </c>
      <c r="K5402" s="5" t="s">
        <v>344</v>
      </c>
      <c r="L5402" s="5"/>
      <c r="M5402" s="27"/>
      <c r="N5402" s="5" t="s">
        <v>57546</v>
      </c>
      <c r="O5402" s="5" t="str">
        <v>7725413350</v>
      </c>
      <c r="P5402" s="27">
        <v>4800100000</v>
      </c>
      <c r="Q5402" s="5" t="s">
        <v>57547</v>
      </c>
      <c r="R5402" s="5"/>
      <c r="S5402" s="5" t="s">
        <v>50951</v>
      </c>
      <c r="T5402" s="28">
        <v>384982000</v>
      </c>
      <c r="U5402" s="28">
        <v>6724242000</v>
      </c>
      <c r="V5402" s="28">
        <v>9936467000</v>
      </c>
      <c r="W5402" s="28">
        <v>2854024000</v>
      </c>
      <c r="X5402" s="28">
        <v>20303000</v>
      </c>
      <c r="Y5402" s="28">
        <v>22489742000</v>
      </c>
      <c r="Z5402" s="28">
        <v>1438277000</v>
      </c>
      <c r="AA5402" s="28">
        <v>5372227000</v>
      </c>
      <c r="AB5402" s="28">
        <v>8338229000</v>
      </c>
      <c r="AC5402" s="28">
        <v>9055890000</v>
      </c>
      <c r="AD5402" s="28">
        <v>7891877000</v>
      </c>
      <c r="AE5402" s="28">
        <v>7050863000</v>
      </c>
      <c r="AF5402" s="28">
        <v>1218463000</v>
      </c>
      <c r="AG5402" s="11"/>
    </row>
    <row r="5403">
      <c r="A5403" s="7" t="s">
        <v>7013</v>
      </c>
      <c r="B5403" s="5" t="s">
        <v>14971</v>
      </c>
      <c r="C5403" s="5" t="s">
        <v>22672</v>
      </c>
      <c r="D5403" s="5" t="str">
        <v>450109413471</v>
      </c>
      <c r="E5403" s="0" t="e">
        <f>+7 (495) 6682095
+7 (495) 9957680
+7 (495) 9957681
+7 (495) 9957682</f>
        <v>#NAME?</v>
      </c>
      <c r="F5403" s="5" t="s">
        <v>41302</v>
      </c>
      <c r="G5403" s="5" t="s">
        <v>41303</v>
      </c>
      <c r="H5403" s="26">
        <v>11.5</v>
      </c>
      <c r="I5403" s="5"/>
      <c r="J5403" s="5" t="s">
        <v>27448</v>
      </c>
      <c r="K5403" s="5" t="s">
        <v>344</v>
      </c>
      <c r="L5403" s="5" t="s">
        <v>41304</v>
      </c>
      <c r="M5403" s="27"/>
      <c r="N5403" s="5" t="s">
        <v>57548</v>
      </c>
      <c r="O5403" s="5" t="str">
        <v>7705966318</v>
      </c>
      <c r="P5403" s="27">
        <v>875303146</v>
      </c>
      <c r="Q5403" s="5" t="s">
        <v>57549</v>
      </c>
      <c r="R5403" s="5"/>
      <c r="S5403" s="5" t="s">
        <v>57550</v>
      </c>
      <c r="T5403" s="28">
        <v>112334000</v>
      </c>
      <c r="U5403" s="28">
        <v>986384000</v>
      </c>
      <c r="V5403" s="28">
        <v>8836425000</v>
      </c>
      <c r="W5403" s="28">
        <v>3612800000</v>
      </c>
      <c r="X5403" s="28">
        <v>337049000</v>
      </c>
      <c r="Y5403" s="28">
        <v>15325403000</v>
      </c>
      <c r="Z5403" s="28">
        <v>5946344000</v>
      </c>
      <c r="AA5403" s="28"/>
      <c r="AB5403" s="28">
        <v>330571000</v>
      </c>
      <c r="AC5403" s="28">
        <v>6500141000</v>
      </c>
      <c r="AD5403" s="28">
        <v>7346463000</v>
      </c>
      <c r="AE5403" s="28">
        <v>9964001000</v>
      </c>
      <c r="AF5403" s="28">
        <v>1302997000</v>
      </c>
      <c r="AG5403" s="11"/>
    </row>
    <row r="5404">
      <c r="A5404" s="7" t="s">
        <v>7014</v>
      </c>
      <c r="B5404" s="5" t="s">
        <v>14972</v>
      </c>
      <c r="C5404" s="5" t="s">
        <v>22673</v>
      </c>
      <c r="D5404" s="5" t="str">
        <v>671408145615</v>
      </c>
      <c r="E5404" s="0" t="e">
        <f>+7 (481) 2359125</f>
        <v>#NAME?</v>
      </c>
      <c r="F5404" s="5"/>
      <c r="G5404" s="5"/>
      <c r="H5404" s="26">
        <v>19</v>
      </c>
      <c r="I5404" s="5" t="s">
        <v>41305</v>
      </c>
      <c r="J5404" s="5" t="s">
        <v>32226</v>
      </c>
      <c r="K5404" s="5" t="s">
        <v>344</v>
      </c>
      <c r="L5404" s="5" t="s">
        <v>40449</v>
      </c>
      <c r="M5404" s="27"/>
      <c r="N5404" s="5"/>
      <c r="O5404" s="5" t="str">
        <v>6730051104</v>
      </c>
      <c r="P5404" s="27">
        <v>10000</v>
      </c>
      <c r="Q5404" s="5" t="s">
        <v>49009</v>
      </c>
      <c r="R5404" s="5"/>
      <c r="S5404" s="5" t="s">
        <v>49010</v>
      </c>
      <c r="T5404" s="28">
        <v>462000</v>
      </c>
      <c r="U5404" s="28"/>
      <c r="V5404" s="28">
        <v>486716000</v>
      </c>
      <c r="W5404" s="28">
        <v>15594000</v>
      </c>
      <c r="X5404" s="28">
        <v>3332000</v>
      </c>
      <c r="Y5404" s="28">
        <v>582747000</v>
      </c>
      <c r="Z5404" s="28">
        <v>363036000</v>
      </c>
      <c r="AA5404" s="28">
        <v>161596000</v>
      </c>
      <c r="AB5404" s="28">
        <v>1861000</v>
      </c>
      <c r="AC5404" s="28">
        <v>58106000</v>
      </c>
      <c r="AD5404" s="28">
        <v>363046000</v>
      </c>
      <c r="AE5404" s="28">
        <v>3444091000</v>
      </c>
      <c r="AF5404" s="28">
        <v>102157000</v>
      </c>
      <c r="AG5404" s="11"/>
    </row>
    <row r="5405">
      <c r="A5405" s="7" t="s">
        <v>7015</v>
      </c>
      <c r="B5405" s="5" t="s">
        <v>14973</v>
      </c>
      <c r="C5405" s="5" t="s">
        <v>22674</v>
      </c>
      <c r="D5405" s="5" t="str">
        <v>505303796112</v>
      </c>
      <c r="E5405" s="0" t="e">
        <f>+7 (495) 6404486</f>
        <v>#NAME?</v>
      </c>
      <c r="F5405" s="5" t="s">
        <v>41306</v>
      </c>
      <c r="G5405" s="5" t="s">
        <v>41307</v>
      </c>
      <c r="H5405" s="26">
        <v>6.5</v>
      </c>
      <c r="I5405" s="5" t="s">
        <v>41308</v>
      </c>
      <c r="J5405" s="5" t="s">
        <v>364</v>
      </c>
      <c r="K5405" s="5" t="s">
        <v>344</v>
      </c>
      <c r="L5405" s="5" t="s">
        <v>41309</v>
      </c>
      <c r="M5405" s="27">
        <v>34000</v>
      </c>
      <c r="N5405" s="5"/>
      <c r="O5405" s="5" t="str">
        <v>5001111182</v>
      </c>
      <c r="P5405" s="27">
        <v>100000</v>
      </c>
      <c r="Q5405" s="5" t="s">
        <v>49009</v>
      </c>
      <c r="R5405" s="5"/>
      <c r="S5405" s="5" t="s">
        <v>49010</v>
      </c>
      <c r="T5405" s="28">
        <v>43735000</v>
      </c>
      <c r="U5405" s="28"/>
      <c r="V5405" s="28">
        <v>1114152000</v>
      </c>
      <c r="W5405" s="28">
        <v>1500000</v>
      </c>
      <c r="X5405" s="28">
        <v>59838000</v>
      </c>
      <c r="Y5405" s="28">
        <v>1551785000</v>
      </c>
      <c r="Z5405" s="28">
        <v>3275000</v>
      </c>
      <c r="AA5405" s="28"/>
      <c r="AB5405" s="28"/>
      <c r="AC5405" s="28">
        <v>1533093000</v>
      </c>
      <c r="AD5405" s="28">
        <v>3375000</v>
      </c>
      <c r="AE5405" s="28">
        <v>4334404000</v>
      </c>
      <c r="AF5405" s="28">
        <v>9880000</v>
      </c>
      <c r="AG5405" s="11"/>
    </row>
    <row r="5406">
      <c r="A5406" s="7" t="s">
        <v>7016</v>
      </c>
      <c r="B5406" s="5" t="s">
        <v>14974</v>
      </c>
      <c r="C5406" s="5" t="s">
        <v>22675</v>
      </c>
      <c r="D5406" s="5"/>
      <c r="E5406" s="0" t="e">
        <f>+7 (8617) 717215
+7 (8617) 717225
+7 (8617) 259588
+7 (8617) 611878</f>
        <v>#NAME?</v>
      </c>
      <c r="F5406" s="5"/>
      <c r="G5406" s="5"/>
      <c r="H5406" s="26">
        <v>19.5</v>
      </c>
      <c r="I5406" s="5" t="s">
        <v>41310</v>
      </c>
      <c r="J5406" s="5" t="s">
        <v>373</v>
      </c>
      <c r="K5406" s="5" t="s">
        <v>355</v>
      </c>
      <c r="L5406" s="5"/>
      <c r="M5406" s="27"/>
      <c r="N5406" s="5" t="s">
        <v>52188</v>
      </c>
      <c r="O5406" s="5" t="str">
        <v>2315103162</v>
      </c>
      <c r="P5406" s="27">
        <v>100000</v>
      </c>
      <c r="Q5406" s="5"/>
      <c r="R5406" s="5"/>
      <c r="S5406" s="5" t="s">
        <v>49496</v>
      </c>
      <c r="T5406" s="28">
        <v>1654000</v>
      </c>
      <c r="U5406" s="28"/>
      <c r="V5406" s="28">
        <v>312424000</v>
      </c>
      <c r="W5406" s="28">
        <v>2250054000</v>
      </c>
      <c r="X5406" s="28">
        <v>117456000</v>
      </c>
      <c r="Y5406" s="28">
        <v>3415496000</v>
      </c>
      <c r="Z5406" s="28">
        <v>-308275000</v>
      </c>
      <c r="AA5406" s="28"/>
      <c r="AB5406" s="28">
        <v>32732000</v>
      </c>
      <c r="AC5406" s="28">
        <v>3722092000</v>
      </c>
      <c r="AD5406" s="28">
        <v>-308175000</v>
      </c>
      <c r="AE5406" s="28">
        <v>6238775000</v>
      </c>
      <c r="AF5406" s="28">
        <v>-120423000</v>
      </c>
      <c r="AG5406" s="11"/>
    </row>
    <row r="5407">
      <c r="A5407" s="7" t="s">
        <v>7017</v>
      </c>
      <c r="B5407" s="5" t="s">
        <v>10404</v>
      </c>
      <c r="C5407" s="5" t="s">
        <v>22676</v>
      </c>
      <c r="D5407" s="5" t="str">
        <v>667209825297</v>
      </c>
      <c r="E5407" s="0" t="e">
        <f>+7 (495) 9134896
+7 (495) 9810221
+7 (499) 2415261</f>
        <v>#NAME?</v>
      </c>
      <c r="F5407" s="5" t="s">
        <v>41311</v>
      </c>
      <c r="G5407" s="5" t="s">
        <v>41312</v>
      </c>
      <c r="H5407" s="26">
        <v>24.5</v>
      </c>
      <c r="I5407" s="5" t="s">
        <v>41313</v>
      </c>
      <c r="J5407" s="5" t="s">
        <v>30354</v>
      </c>
      <c r="K5407" s="5" t="s">
        <v>380</v>
      </c>
      <c r="L5407" s="5"/>
      <c r="M5407" s="27"/>
      <c r="N5407" s="5" t="s">
        <v>57551</v>
      </c>
      <c r="O5407" s="5" t="str">
        <v>7713190205</v>
      </c>
      <c r="P5407" s="27">
        <v>45758</v>
      </c>
      <c r="Q5407" s="5" t="s">
        <v>57552</v>
      </c>
      <c r="R5407" s="5"/>
      <c r="S5407" s="5" t="s">
        <v>56422</v>
      </c>
      <c r="T5407" s="28">
        <v>878811000</v>
      </c>
      <c r="U5407" s="28">
        <v>34200000</v>
      </c>
      <c r="V5407" s="28">
        <v>833213000</v>
      </c>
      <c r="W5407" s="28"/>
      <c r="X5407" s="28">
        <v>1322000</v>
      </c>
      <c r="Y5407" s="28">
        <v>3260929000</v>
      </c>
      <c r="Z5407" s="28">
        <v>-196164000</v>
      </c>
      <c r="AA5407" s="28"/>
      <c r="AB5407" s="28">
        <v>237900000</v>
      </c>
      <c r="AC5407" s="28">
        <v>2777906000</v>
      </c>
      <c r="AD5407" s="28">
        <v>423248000</v>
      </c>
      <c r="AE5407" s="28">
        <v>4094062000</v>
      </c>
      <c r="AF5407" s="28">
        <v>-19205000</v>
      </c>
      <c r="AG5407" s="11"/>
    </row>
    <row r="5408">
      <c r="A5408" s="7" t="s">
        <v>7018</v>
      </c>
      <c r="B5408" s="5" t="s">
        <v>14975</v>
      </c>
      <c r="C5408" s="5" t="s">
        <v>22677</v>
      </c>
      <c r="D5408" s="5" t="str">
        <v>525012273047</v>
      </c>
      <c r="E5408" s="0" t="e">
        <f>+7 (831) 2783610
+7 (83143) 7702
+7 (83143) 7788
+7 (83143) 17788
+7 (83145) 39874
+7 (83145) 39875
+7 (83145) 39876
+7 (83145) 39877
+7 (83145) 39879
+7 (83145) 39886
+7 (83145) 59400
+7 (83145) 59470</f>
        <v>#NAME?</v>
      </c>
      <c r="F5408" s="5" t="s">
        <v>41314</v>
      </c>
      <c r="G5408" s="5" t="s">
        <v>41315</v>
      </c>
      <c r="H5408" s="26">
        <v>15.5</v>
      </c>
      <c r="I5408" s="5" t="s">
        <v>41316</v>
      </c>
      <c r="J5408" s="5" t="s">
        <v>26418</v>
      </c>
      <c r="K5408" s="5" t="s">
        <v>344</v>
      </c>
      <c r="L5408" s="5" t="s">
        <v>41317</v>
      </c>
      <c r="M5408" s="27">
        <v>1460000</v>
      </c>
      <c r="N5408" s="5"/>
      <c r="O5408" s="5" t="str">
        <v>5262218620</v>
      </c>
      <c r="P5408" s="27">
        <v>28598192000</v>
      </c>
      <c r="Q5408" s="5" t="s">
        <v>49009</v>
      </c>
      <c r="R5408" s="5"/>
      <c r="S5408" s="5" t="s">
        <v>49010</v>
      </c>
      <c r="T5408" s="28">
        <v>29969480000</v>
      </c>
      <c r="U5408" s="28"/>
      <c r="V5408" s="28">
        <v>2989895000</v>
      </c>
      <c r="W5408" s="28"/>
      <c r="X5408" s="28">
        <v>17580976000</v>
      </c>
      <c r="Y5408" s="28">
        <v>54765313000</v>
      </c>
      <c r="Z5408" s="28">
        <v>2962763000</v>
      </c>
      <c r="AA5408" s="28"/>
      <c r="AB5408" s="28"/>
      <c r="AC5408" s="28">
        <v>3304143000</v>
      </c>
      <c r="AD5408" s="28">
        <v>49610955000</v>
      </c>
      <c r="AE5408" s="28">
        <v>44879702000</v>
      </c>
      <c r="AF5408" s="28">
        <v>16848460000</v>
      </c>
      <c r="AG5408" s="11"/>
    </row>
    <row r="5409">
      <c r="A5409" s="7" t="s">
        <v>7019</v>
      </c>
      <c r="B5409" s="5" t="s">
        <v>14976</v>
      </c>
      <c r="C5409" s="5" t="s">
        <v>22678</v>
      </c>
      <c r="D5409" s="5" t="str">
        <v>421716215683</v>
      </c>
      <c r="E5409" s="0" t="e">
        <f>+7 (495) 2236655
+7 (495) 7978158
+7 (499) 1622028
+7 (499) 7829409
+7 (499) 7829570</f>
        <v>#NAME?</v>
      </c>
      <c r="F5409" s="5" t="s">
        <v>41318</v>
      </c>
      <c r="G5409" s="5" t="s">
        <v>41319</v>
      </c>
      <c r="H5409" s="26">
        <v>21</v>
      </c>
      <c r="I5409" s="5" t="s">
        <v>41320</v>
      </c>
      <c r="J5409" s="5" t="s">
        <v>1059</v>
      </c>
      <c r="K5409" s="5" t="s">
        <v>344</v>
      </c>
      <c r="L5409" s="5" t="s">
        <v>41321</v>
      </c>
      <c r="M5409" s="27"/>
      <c r="N5409" s="5" t="s">
        <v>51970</v>
      </c>
      <c r="O5409" s="5" t="str">
        <v>7715303447</v>
      </c>
      <c r="P5409" s="27">
        <v>143000000</v>
      </c>
      <c r="Q5409" s="5" t="s">
        <v>57553</v>
      </c>
      <c r="R5409" s="5"/>
      <c r="S5409" s="5" t="s">
        <v>49012</v>
      </c>
      <c r="T5409" s="28">
        <v>719000</v>
      </c>
      <c r="U5409" s="28"/>
      <c r="V5409" s="28">
        <v>1182920000</v>
      </c>
      <c r="W5409" s="28">
        <v>280260000</v>
      </c>
      <c r="X5409" s="28">
        <v>27723000</v>
      </c>
      <c r="Y5409" s="28">
        <v>2502468000</v>
      </c>
      <c r="Z5409" s="28">
        <v>341951000</v>
      </c>
      <c r="AA5409" s="28">
        <v>563573000</v>
      </c>
      <c r="AB5409" s="28">
        <v>263532000</v>
      </c>
      <c r="AC5409" s="28">
        <v>1453790000</v>
      </c>
      <c r="AD5409" s="28">
        <v>485105000</v>
      </c>
      <c r="AE5409" s="28">
        <v>3158838000</v>
      </c>
      <c r="AF5409" s="28">
        <v>75683000</v>
      </c>
      <c r="AG5409" s="11"/>
    </row>
    <row r="5410">
      <c r="A5410" s="7" t="s">
        <v>7020</v>
      </c>
      <c r="B5410" s="5" t="s">
        <v>14977</v>
      </c>
      <c r="C5410" s="5" t="s">
        <v>22679</v>
      </c>
      <c r="D5410" s="5" t="str">
        <v>861001000407</v>
      </c>
      <c r="F5410" s="5" t="s">
        <v>41322</v>
      </c>
      <c r="G5410" s="5" t="s">
        <v>41323</v>
      </c>
      <c r="H5410" s="26">
        <v>4.5</v>
      </c>
      <c r="I5410" s="5" t="s">
        <v>41324</v>
      </c>
      <c r="J5410" s="5" t="s">
        <v>27921</v>
      </c>
      <c r="K5410" s="5" t="s">
        <v>355</v>
      </c>
      <c r="L5410" s="5" t="s">
        <v>41325</v>
      </c>
      <c r="M5410" s="27"/>
      <c r="N5410" s="5"/>
      <c r="O5410" s="5" t="str">
        <v>7704459330</v>
      </c>
      <c r="P5410" s="27">
        <v>100000</v>
      </c>
      <c r="Q5410" s="5" t="s">
        <v>57554</v>
      </c>
      <c r="R5410" s="5"/>
      <c r="S5410" s="5" t="s">
        <v>57555</v>
      </c>
      <c r="T5410" s="28">
        <v>2577034000</v>
      </c>
      <c r="U5410" s="28">
        <v>1758890000</v>
      </c>
      <c r="V5410" s="28">
        <v>15081764000</v>
      </c>
      <c r="W5410" s="28"/>
      <c r="X5410" s="28">
        <v>1433145000</v>
      </c>
      <c r="Y5410" s="28">
        <v>23870903000</v>
      </c>
      <c r="Z5410" s="28">
        <v>1389430000</v>
      </c>
      <c r="AA5410" s="28">
        <v>109359000</v>
      </c>
      <c r="AB5410" s="28">
        <v>2741652000</v>
      </c>
      <c r="AC5410" s="28">
        <v>19903382000</v>
      </c>
      <c r="AD5410" s="28">
        <v>1389530000</v>
      </c>
      <c r="AE5410" s="28">
        <v>25861793000</v>
      </c>
      <c r="AF5410" s="28">
        <v>1650240000</v>
      </c>
      <c r="AG5410" s="11"/>
    </row>
    <row r="5411">
      <c r="A5411" s="7" t="s">
        <v>7021</v>
      </c>
      <c r="B5411" s="5" t="s">
        <v>14978</v>
      </c>
      <c r="C5411" s="5" t="s">
        <v>22680</v>
      </c>
      <c r="D5411" s="5" t="str">
        <v>771810740626</v>
      </c>
      <c r="E5411" s="0" t="e">
        <f>+7 (495) 4195101
+7 (495) 4195454</f>
        <v>#NAME?</v>
      </c>
      <c r="F5411" s="5"/>
      <c r="G5411" s="5"/>
      <c r="H5411" s="26">
        <v>5.5</v>
      </c>
      <c r="I5411" s="5" t="s">
        <v>41326</v>
      </c>
      <c r="J5411" s="5" t="s">
        <v>671</v>
      </c>
      <c r="K5411" s="5" t="s">
        <v>344</v>
      </c>
      <c r="L5411" s="5" t="s">
        <v>41327</v>
      </c>
      <c r="M5411" s="27"/>
      <c r="N5411" s="5"/>
      <c r="O5411" s="5" t="str">
        <v>7719472189</v>
      </c>
      <c r="P5411" s="27">
        <v>100000</v>
      </c>
      <c r="Q5411" s="5" t="s">
        <v>57556</v>
      </c>
      <c r="R5411" s="5"/>
      <c r="S5411" s="5" t="s">
        <v>50378</v>
      </c>
      <c r="T5411" s="28">
        <v>1224125000</v>
      </c>
      <c r="U5411" s="28"/>
      <c r="V5411" s="28">
        <v>30971660000</v>
      </c>
      <c r="W5411" s="28"/>
      <c r="X5411" s="28">
        <v>11406539000</v>
      </c>
      <c r="Y5411" s="28">
        <v>50952469000</v>
      </c>
      <c r="Z5411" s="28">
        <v>2459827000</v>
      </c>
      <c r="AA5411" s="28"/>
      <c r="AB5411" s="28"/>
      <c r="AC5411" s="28">
        <v>26161768000</v>
      </c>
      <c r="AD5411" s="28">
        <v>2489927000</v>
      </c>
      <c r="AE5411" s="28">
        <v>25546776000</v>
      </c>
      <c r="AF5411" s="28">
        <v>2834917000</v>
      </c>
      <c r="AG5411" s="11"/>
    </row>
    <row r="5412">
      <c r="A5412" s="7" t="s">
        <v>7022</v>
      </c>
      <c r="B5412" s="5" t="s">
        <v>14979</v>
      </c>
      <c r="C5412" s="5" t="s">
        <v>22681</v>
      </c>
      <c r="D5412" s="5" t="str">
        <v>780520746204</v>
      </c>
      <c r="E5412" s="0" t="e">
        <f>+7 (3422) 709670
+7 (34241) 70414
+7 (383) 3347731
+7 (41634) 52715
+7 (41658) 28578
+7 (421) 2264444
+7 (4855) 297484
+7 (495) 2253232
+7 (495) 2253737
+7 (495) 7105463
+7 (495) 9846329
+7 (8352) 301864
+7 (8352) 301924
+7 (957) 7105463</f>
        <v>#NAME?</v>
      </c>
      <c r="F5412" s="5"/>
      <c r="G5412" s="5" t="s">
        <v>41328</v>
      </c>
      <c r="H5412" s="26">
        <v>18</v>
      </c>
      <c r="I5412" s="5"/>
      <c r="J5412" s="5" t="s">
        <v>28287</v>
      </c>
      <c r="K5412" s="5" t="s">
        <v>344</v>
      </c>
      <c r="L5412" s="5"/>
      <c r="M5412" s="27">
        <v>22679752</v>
      </c>
      <c r="N5412" s="5" t="s">
        <v>57557</v>
      </c>
      <c r="O5412" s="5" t="str">
        <v>2460066195</v>
      </c>
      <c r="P5412" s="27">
        <v>444793377038</v>
      </c>
      <c r="Q5412" s="5" t="s">
        <v>57558</v>
      </c>
      <c r="R5412" s="5"/>
      <c r="S5412" s="5" t="s">
        <v>57559</v>
      </c>
      <c r="T5412" s="28">
        <v>498288787000</v>
      </c>
      <c r="U5412" s="28">
        <v>268451791000</v>
      </c>
      <c r="V5412" s="28">
        <v>234164520000</v>
      </c>
      <c r="W5412" s="28">
        <v>121201000</v>
      </c>
      <c r="X5412" s="28">
        <v>15384523000</v>
      </c>
      <c r="Y5412" s="28">
        <v>1027881526000</v>
      </c>
      <c r="Z5412" s="28">
        <v>234551308000</v>
      </c>
      <c r="AA5412" s="28">
        <v>117737218000</v>
      </c>
      <c r="AB5412" s="28">
        <v>61870691000</v>
      </c>
      <c r="AC5412" s="28">
        <v>123726659000</v>
      </c>
      <c r="AD5412" s="28">
        <v>754275670000</v>
      </c>
      <c r="AE5412" s="28">
        <v>199578070000</v>
      </c>
      <c r="AF5412" s="28">
        <v>25991754000</v>
      </c>
      <c r="AG5412" s="11"/>
    </row>
    <row r="5413">
      <c r="A5413" s="7" t="s">
        <v>7023</v>
      </c>
      <c r="B5413" s="5" t="s">
        <v>14980</v>
      </c>
      <c r="C5413" s="5" t="s">
        <v>22682</v>
      </c>
      <c r="D5413" s="5" t="str">
        <v>771310789140</v>
      </c>
      <c r="E5413" s="0" t="e">
        <f>+7 (495) 1059959
+7 (495) 6626849</f>
        <v>#NAME?</v>
      </c>
      <c r="F5413" s="5" t="s">
        <v>41329</v>
      </c>
      <c r="G5413" s="5" t="s">
        <v>41330</v>
      </c>
      <c r="H5413" s="26">
        <v>17.5</v>
      </c>
      <c r="I5413" s="5" t="s">
        <v>41331</v>
      </c>
      <c r="J5413" s="5" t="s">
        <v>25470</v>
      </c>
      <c r="K5413" s="5" t="s">
        <v>344</v>
      </c>
      <c r="L5413" s="5"/>
      <c r="M5413" s="27"/>
      <c r="N5413" s="5" t="s">
        <v>57560</v>
      </c>
      <c r="O5413" s="5" t="str">
        <v>7732505997</v>
      </c>
      <c r="P5413" s="27">
        <v>88000000</v>
      </c>
      <c r="Q5413" s="5" t="s">
        <v>57561</v>
      </c>
      <c r="R5413" s="5"/>
      <c r="S5413" s="5" t="s">
        <v>54702</v>
      </c>
      <c r="T5413" s="28">
        <v>3994251000</v>
      </c>
      <c r="U5413" s="28">
        <v>32400000</v>
      </c>
      <c r="V5413" s="28">
        <v>1683351000</v>
      </c>
      <c r="W5413" s="28">
        <v>3310000</v>
      </c>
      <c r="X5413" s="28">
        <v>701814000</v>
      </c>
      <c r="Y5413" s="28">
        <v>6524327000</v>
      </c>
      <c r="Z5413" s="28">
        <v>45851000</v>
      </c>
      <c r="AA5413" s="28">
        <v>2601525000</v>
      </c>
      <c r="AB5413" s="28">
        <v>216924000</v>
      </c>
      <c r="AC5413" s="28">
        <v>1442403000</v>
      </c>
      <c r="AD5413" s="28">
        <v>663010000</v>
      </c>
      <c r="AE5413" s="28">
        <v>3083248000</v>
      </c>
      <c r="AF5413" s="28">
        <v>10788000</v>
      </c>
      <c r="AG5413" s="11"/>
    </row>
    <row r="5414">
      <c r="A5414" s="7" t="s">
        <v>7024</v>
      </c>
      <c r="B5414" s="5" t="s">
        <v>14981</v>
      </c>
      <c r="C5414" s="5"/>
      <c r="D5414" s="5"/>
      <c r="E5414" s="0" t="e">
        <f>+7 (494) 2440045</f>
        <v>#NAME?</v>
      </c>
      <c r="F5414" s="5"/>
      <c r="G5414" s="5"/>
      <c r="H5414" s="26">
        <v>9</v>
      </c>
      <c r="I5414" s="5"/>
      <c r="J5414" s="5" t="s">
        <v>555</v>
      </c>
      <c r="K5414" s="5" t="s">
        <v>344</v>
      </c>
      <c r="L5414" s="5" t="s">
        <v>41332</v>
      </c>
      <c r="M5414" s="27">
        <v>83766</v>
      </c>
      <c r="N5414" s="5"/>
      <c r="O5414" s="5" t="str">
        <v>7705551779</v>
      </c>
      <c r="P5414" s="27">
        <v>10000</v>
      </c>
      <c r="Q5414" s="5" t="s">
        <v>57562</v>
      </c>
      <c r="R5414" s="5"/>
      <c r="S5414" s="5" t="s">
        <v>57563</v>
      </c>
      <c r="T5414" s="28">
        <v>86735828000</v>
      </c>
      <c r="U5414" s="28">
        <v>15005902000</v>
      </c>
      <c r="V5414" s="28">
        <v>39871860000</v>
      </c>
      <c r="W5414" s="28"/>
      <c r="X5414" s="28">
        <v>13104339000</v>
      </c>
      <c r="Y5414" s="28">
        <v>160982638000</v>
      </c>
      <c r="Z5414" s="28">
        <v>14924892000</v>
      </c>
      <c r="AA5414" s="28">
        <v>135191182000</v>
      </c>
      <c r="AB5414" s="28">
        <v>351518000</v>
      </c>
      <c r="AC5414" s="28">
        <v>7332712000</v>
      </c>
      <c r="AD5414" s="28">
        <v>14924902000</v>
      </c>
      <c r="AE5414" s="28">
        <v>232756490000</v>
      </c>
      <c r="AF5414" s="28">
        <v>5366838000</v>
      </c>
      <c r="AG5414" s="11"/>
    </row>
    <row r="5415">
      <c r="A5415" s="7" t="s">
        <v>7025</v>
      </c>
      <c r="B5415" s="5" t="s">
        <v>14982</v>
      </c>
      <c r="C5415" s="5" t="s">
        <v>22683</v>
      </c>
      <c r="D5415" s="5" t="str">
        <v>246008387182</v>
      </c>
      <c r="E5415" s="0" t="e">
        <f>+7 (495) 2218290
+7 (495) 7876601
+7 (495) 7876660</f>
        <v>#NAME?</v>
      </c>
      <c r="F5415" s="5"/>
      <c r="G5415" s="5" t="s">
        <v>41333</v>
      </c>
      <c r="H5415" s="26">
        <v>19.5</v>
      </c>
      <c r="I5415" s="5" t="s">
        <v>41334</v>
      </c>
      <c r="J5415" s="5" t="s">
        <v>28586</v>
      </c>
      <c r="K5415" s="5" t="s">
        <v>344</v>
      </c>
      <c r="L5415" s="5" t="s">
        <v>41335</v>
      </c>
      <c r="M5415" s="27"/>
      <c r="N5415" s="5" t="s">
        <v>57564</v>
      </c>
      <c r="O5415" s="5" t="str">
        <v>5007042055</v>
      </c>
      <c r="P5415" s="27">
        <v>10000</v>
      </c>
      <c r="Q5415" s="5" t="s">
        <v>49009</v>
      </c>
      <c r="R5415" s="5"/>
      <c r="S5415" s="5" t="s">
        <v>49012</v>
      </c>
      <c r="T5415" s="28">
        <v>188576000</v>
      </c>
      <c r="U5415" s="28"/>
      <c r="V5415" s="28">
        <v>1228190000</v>
      </c>
      <c r="W5415" s="28">
        <v>2000000000</v>
      </c>
      <c r="X5415" s="28">
        <v>1823544000</v>
      </c>
      <c r="Y5415" s="28">
        <v>8045845000</v>
      </c>
      <c r="Z5415" s="28">
        <v>5819182000</v>
      </c>
      <c r="AA5415" s="28"/>
      <c r="AB5415" s="28"/>
      <c r="AC5415" s="28">
        <v>2181464000</v>
      </c>
      <c r="AD5415" s="28">
        <v>5819192000</v>
      </c>
      <c r="AE5415" s="28">
        <v>24871162000</v>
      </c>
      <c r="AF5415" s="28">
        <v>4304165000</v>
      </c>
      <c r="AG5415" s="11"/>
    </row>
    <row r="5416">
      <c r="A5416" s="7" t="s">
        <v>7026</v>
      </c>
      <c r="B5416" s="5" t="s">
        <v>14982</v>
      </c>
      <c r="C5416" s="5" t="s">
        <v>22683</v>
      </c>
      <c r="D5416" s="5" t="str">
        <v>246008387182</v>
      </c>
      <c r="E5416" s="0" t="e">
        <f>+7 (495) 2218290
+7 (495) 2767391
+7 (495) 2218291
+7 (495) 2218295
+7 (495) 7273730
+7 (495) 7273732</f>
        <v>#NAME?</v>
      </c>
      <c r="F5416" s="5"/>
      <c r="G5416" s="5" t="s">
        <v>41336</v>
      </c>
      <c r="H5416" s="26">
        <v>20.5</v>
      </c>
      <c r="I5416" s="5"/>
      <c r="J5416" s="5" t="s">
        <v>26586</v>
      </c>
      <c r="K5416" s="5" t="s">
        <v>344</v>
      </c>
      <c r="L5416" s="5" t="s">
        <v>41337</v>
      </c>
      <c r="M5416" s="27"/>
      <c r="N5416" s="5"/>
      <c r="O5416" s="5" t="str">
        <v>5007040019</v>
      </c>
      <c r="P5416" s="27">
        <v>86380000</v>
      </c>
      <c r="Q5416" s="5"/>
      <c r="R5416" s="5"/>
      <c r="S5416" s="5" t="s">
        <v>49029</v>
      </c>
      <c r="T5416" s="28">
        <v>2996982000</v>
      </c>
      <c r="U5416" s="28">
        <v>7559000</v>
      </c>
      <c r="V5416" s="28">
        <v>372730000</v>
      </c>
      <c r="W5416" s="28"/>
      <c r="X5416" s="28">
        <v>2430100000</v>
      </c>
      <c r="Y5416" s="28">
        <v>7430181000</v>
      </c>
      <c r="Z5416" s="28">
        <v>4237625000</v>
      </c>
      <c r="AA5416" s="28"/>
      <c r="AB5416" s="28"/>
      <c r="AC5416" s="28">
        <v>2598530000</v>
      </c>
      <c r="AD5416" s="28">
        <v>4336962000</v>
      </c>
      <c r="AE5416" s="28">
        <v>17456037000</v>
      </c>
      <c r="AF5416" s="28">
        <v>2445878000</v>
      </c>
      <c r="AG5416" s="11"/>
    </row>
    <row r="5417">
      <c r="A5417" s="7" t="s">
        <v>7027</v>
      </c>
      <c r="B5417" s="5" t="s">
        <v>14983</v>
      </c>
      <c r="C5417" s="5" t="s">
        <v>22684</v>
      </c>
      <c r="D5417" s="5" t="str">
        <v>632400122436</v>
      </c>
      <c r="E5417" s="0" t="e">
        <f>+7 (48269) 72220
+7 (8482) 555577
+7 (8482) 697222
+7 (927) 6157016</f>
        <v>#NAME?</v>
      </c>
      <c r="F5417" s="5" t="s">
        <v>41338</v>
      </c>
      <c r="G5417" s="5" t="s">
        <v>41339</v>
      </c>
      <c r="H5417" s="26">
        <v>10.5</v>
      </c>
      <c r="I5417" s="5" t="s">
        <v>41340</v>
      </c>
      <c r="J5417" s="5" t="s">
        <v>41341</v>
      </c>
      <c r="K5417" s="5" t="s">
        <v>344</v>
      </c>
      <c r="L5417" s="5" t="s">
        <v>41342</v>
      </c>
      <c r="M5417" s="27"/>
      <c r="N5417" s="5"/>
      <c r="O5417" s="5" t="str">
        <v>6324028991</v>
      </c>
      <c r="P5417" s="27">
        <v>10000</v>
      </c>
      <c r="Q5417" s="5" t="s">
        <v>57565</v>
      </c>
      <c r="R5417" s="5"/>
      <c r="S5417" s="5" t="s">
        <v>57566</v>
      </c>
      <c r="T5417" s="28">
        <v>1097492000</v>
      </c>
      <c r="U5417" s="28"/>
      <c r="V5417" s="28">
        <v>8606972000</v>
      </c>
      <c r="W5417" s="28"/>
      <c r="X5417" s="28">
        <v>207100000</v>
      </c>
      <c r="Y5417" s="28">
        <v>10928803000</v>
      </c>
      <c r="Z5417" s="28">
        <v>2539111000</v>
      </c>
      <c r="AA5417" s="28">
        <v>480546000</v>
      </c>
      <c r="AB5417" s="28">
        <v>3899360000</v>
      </c>
      <c r="AC5417" s="28">
        <v>7778740000</v>
      </c>
      <c r="AD5417" s="28">
        <v>2657970000</v>
      </c>
      <c r="AE5417" s="28">
        <v>10913069000</v>
      </c>
      <c r="AF5417" s="28">
        <v>1028997000</v>
      </c>
      <c r="AG5417" s="11"/>
    </row>
    <row r="5418">
      <c r="A5418" s="7" t="s">
        <v>7028</v>
      </c>
      <c r="B5418" s="5" t="s">
        <v>14984</v>
      </c>
      <c r="C5418" s="5" t="s">
        <v>22685</v>
      </c>
      <c r="D5418" s="5" t="str">
        <v>231501478500</v>
      </c>
      <c r="E5418" s="0" t="e">
        <f>+7 (812) 3350020
+7 (8617) 606947
+7 (495) 7401660
+7 (8617) 300300
+7 (8617) 606948
+7 (8617) 671037
+7 (8617) 678000
+7 (8617) 678066</f>
        <v>#NAME?</v>
      </c>
      <c r="F5418" s="5" t="s">
        <v>41343</v>
      </c>
      <c r="G5418" s="5" t="s">
        <v>41344</v>
      </c>
      <c r="H5418" s="26">
        <v>21</v>
      </c>
      <c r="I5418" s="5" t="s">
        <v>41345</v>
      </c>
      <c r="J5418" s="5" t="s">
        <v>34512</v>
      </c>
      <c r="K5418" s="5" t="s">
        <v>344</v>
      </c>
      <c r="L5418" s="5" t="s">
        <v>41346</v>
      </c>
      <c r="M5418" s="27">
        <v>39635973</v>
      </c>
      <c r="N5418" s="5" t="s">
        <v>57567</v>
      </c>
      <c r="O5418" s="5" t="str">
        <v>2315094729</v>
      </c>
      <c r="P5418" s="27">
        <v>1110000</v>
      </c>
      <c r="Q5418" s="5" t="s">
        <v>57568</v>
      </c>
      <c r="R5418" s="5"/>
      <c r="S5418" s="5" t="s">
        <v>57569</v>
      </c>
      <c r="T5418" s="28">
        <v>1292798000</v>
      </c>
      <c r="U5418" s="28">
        <v>288496000</v>
      </c>
      <c r="V5418" s="28">
        <v>5340841000</v>
      </c>
      <c r="W5418" s="28">
        <v>211160000</v>
      </c>
      <c r="X5418" s="28">
        <v>575637000</v>
      </c>
      <c r="Y5418" s="28">
        <v>7991728000</v>
      </c>
      <c r="Z5418" s="28">
        <v>4472175000</v>
      </c>
      <c r="AA5418" s="28">
        <v>400000000</v>
      </c>
      <c r="AB5418" s="28">
        <v>650000000</v>
      </c>
      <c r="AC5418" s="28">
        <v>2829292000</v>
      </c>
      <c r="AD5418" s="28">
        <v>4535436000</v>
      </c>
      <c r="AE5418" s="28">
        <v>26980743000</v>
      </c>
      <c r="AF5418" s="28">
        <v>2591934000</v>
      </c>
      <c r="AG5418" s="11"/>
    </row>
    <row r="5419">
      <c r="A5419" s="7" t="s">
        <v>7029</v>
      </c>
      <c r="B5419" s="5" t="s">
        <v>14985</v>
      </c>
      <c r="C5419" s="5" t="s">
        <v>22686</v>
      </c>
      <c r="D5419" s="5" t="str">
        <v>774385022669</v>
      </c>
      <c r="E5419" s="0" t="e">
        <f>+7 (495) 7898878
+7 (495) 6462072
+7 (495) 6462075</f>
        <v>#NAME?</v>
      </c>
      <c r="F5419" s="5"/>
      <c r="G5419" s="5"/>
      <c r="H5419" s="26">
        <v>12</v>
      </c>
      <c r="I5419" s="5" t="s">
        <v>41347</v>
      </c>
      <c r="J5419" s="5" t="s">
        <v>364</v>
      </c>
      <c r="K5419" s="5" t="s">
        <v>344</v>
      </c>
      <c r="L5419" s="5" t="s">
        <v>41348</v>
      </c>
      <c r="M5419" s="27">
        <v>10742948</v>
      </c>
      <c r="N5419" s="5"/>
      <c r="O5419" s="5" t="str">
        <v>5024117007</v>
      </c>
      <c r="P5419" s="27">
        <v>11000000</v>
      </c>
      <c r="Q5419" s="5" t="s">
        <v>49009</v>
      </c>
      <c r="R5419" s="5"/>
      <c r="S5419" s="5" t="s">
        <v>49010</v>
      </c>
      <c r="T5419" s="28">
        <v>105587000</v>
      </c>
      <c r="U5419" s="28">
        <v>7107000</v>
      </c>
      <c r="V5419" s="28">
        <v>3536183000</v>
      </c>
      <c r="W5419" s="28">
        <v>546655000</v>
      </c>
      <c r="X5419" s="28">
        <v>917676000</v>
      </c>
      <c r="Y5419" s="28">
        <v>5963417000</v>
      </c>
      <c r="Z5419" s="28">
        <v>1399731000</v>
      </c>
      <c r="AA5419" s="28"/>
      <c r="AB5419" s="28">
        <v>107653000</v>
      </c>
      <c r="AC5419" s="28">
        <v>4528962000</v>
      </c>
      <c r="AD5419" s="28">
        <v>1410731000</v>
      </c>
      <c r="AE5419" s="28">
        <v>8362893000</v>
      </c>
      <c r="AF5419" s="28">
        <v>1700950000</v>
      </c>
      <c r="AG5419" s="11"/>
    </row>
    <row r="5420">
      <c r="A5420" s="7" t="s">
        <v>7030</v>
      </c>
      <c r="B5420" s="5" t="s">
        <v>14986</v>
      </c>
      <c r="C5420" s="5" t="s">
        <v>22687</v>
      </c>
      <c r="D5420" s="5" t="str">
        <v>182906005904</v>
      </c>
      <c r="E5420" s="0" t="e">
        <f>+7 (495) 9805005
+7 (495) 9332333
+7 (495) 9805004
+7 (499) 7050905
+7 (800) 5555800
+7 (926) 4518233</f>
        <v>#NAME?</v>
      </c>
      <c r="F5420" s="5" t="s">
        <v>41349</v>
      </c>
      <c r="G5420" s="5" t="s">
        <v>41350</v>
      </c>
      <c r="H5420" s="26">
        <v>25.5</v>
      </c>
      <c r="I5420" s="5"/>
      <c r="J5420" s="5" t="s">
        <v>27378</v>
      </c>
      <c r="K5420" s="5" t="s">
        <v>355</v>
      </c>
      <c r="L5420" s="5"/>
      <c r="M5420" s="27"/>
      <c r="N5420" s="5" t="s">
        <v>57570</v>
      </c>
      <c r="O5420" s="5" t="str">
        <v>7713141247</v>
      </c>
      <c r="P5420" s="27">
        <v>70100000</v>
      </c>
      <c r="Q5420" s="5" t="s">
        <v>49009</v>
      </c>
      <c r="R5420" s="5"/>
      <c r="S5420" s="5" t="s">
        <v>49358</v>
      </c>
      <c r="T5420" s="28">
        <v>30874000</v>
      </c>
      <c r="U5420" s="28"/>
      <c r="V5420" s="28">
        <v>687526000</v>
      </c>
      <c r="W5420" s="28">
        <v>575112000</v>
      </c>
      <c r="X5420" s="28">
        <v>10351000</v>
      </c>
      <c r="Y5420" s="28">
        <v>1502223000</v>
      </c>
      <c r="Z5420" s="28">
        <v>67856000</v>
      </c>
      <c r="AA5420" s="28">
        <v>26545000</v>
      </c>
      <c r="AB5420" s="28">
        <v>6798000</v>
      </c>
      <c r="AC5420" s="28">
        <v>501150000</v>
      </c>
      <c r="AD5420" s="28">
        <v>248427000</v>
      </c>
      <c r="AE5420" s="28">
        <v>3399208000</v>
      </c>
      <c r="AF5420" s="28">
        <v>1431000</v>
      </c>
      <c r="AG5420" s="11"/>
    </row>
    <row r="5421">
      <c r="A5421" s="7" t="s">
        <v>7031</v>
      </c>
      <c r="B5421" s="5" t="s">
        <v>14987</v>
      </c>
      <c r="C5421" s="5" t="s">
        <v>22688</v>
      </c>
      <c r="D5421" s="5" t="str">
        <v>611300540467</v>
      </c>
      <c r="E5421" s="0" t="e">
        <f>+7 (495) 1252552
+7 (495) 4232111
+7 (499) 1246485
+7 (499) 1249760
+7 (499) 1252061
+7 (499) 1252552
+7 (499) 1522552
+7 (903) 6175151
+7 (926) 1350422</f>
        <v>#NAME?</v>
      </c>
      <c r="F5421" s="5" t="s">
        <v>41351</v>
      </c>
      <c r="G5421" s="5"/>
      <c r="H5421" s="26">
        <v>17</v>
      </c>
      <c r="I5421" s="5" t="s">
        <v>41352</v>
      </c>
      <c r="J5421" s="5" t="s">
        <v>27182</v>
      </c>
      <c r="K5421" s="5" t="s">
        <v>344</v>
      </c>
      <c r="L5421" s="5" t="s">
        <v>28544</v>
      </c>
      <c r="M5421" s="27">
        <v>89505479</v>
      </c>
      <c r="N5421" s="5" t="s">
        <v>57571</v>
      </c>
      <c r="O5421" s="5" t="str">
        <v>7728581272</v>
      </c>
      <c r="P5421" s="27">
        <v>40000</v>
      </c>
      <c r="Q5421" s="5" t="s">
        <v>57572</v>
      </c>
      <c r="R5421" s="5"/>
      <c r="S5421" s="5" t="s">
        <v>52306</v>
      </c>
      <c r="T5421" s="28">
        <v>1769925000</v>
      </c>
      <c r="U5421" s="28"/>
      <c r="V5421" s="28">
        <v>3634163000</v>
      </c>
      <c r="W5421" s="28">
        <v>4622000</v>
      </c>
      <c r="X5421" s="28">
        <v>3589804000</v>
      </c>
      <c r="Y5421" s="28">
        <v>9841907000</v>
      </c>
      <c r="Z5421" s="28">
        <v>633082000</v>
      </c>
      <c r="AA5421" s="28"/>
      <c r="AB5421" s="28">
        <v>130556000</v>
      </c>
      <c r="AC5421" s="28">
        <v>9208785000</v>
      </c>
      <c r="AD5421" s="28">
        <v>633122000</v>
      </c>
      <c r="AE5421" s="28">
        <v>11206888000</v>
      </c>
      <c r="AF5421" s="28">
        <v>321702000</v>
      </c>
      <c r="AG5421" s="11"/>
    </row>
    <row r="5422">
      <c r="A5422" s="7" t="s">
        <v>7032</v>
      </c>
      <c r="B5422" s="5" t="s">
        <v>14988</v>
      </c>
      <c r="C5422" s="5" t="s">
        <v>22689</v>
      </c>
      <c r="D5422" s="5" t="str">
        <v>665894529400</v>
      </c>
      <c r="E5422" s="0" t="e">
        <f>+7 (343) 3858663
+7 (343) 3858664
+7 (3433) 858661
+7 (3433) 858681
+7 (800) 1000315
+7 (902) 4092772
+7 (912) 2439208
+7 (922) 1352822</f>
        <v>#NAME?</v>
      </c>
      <c r="F5422" s="5" t="s">
        <v>41353</v>
      </c>
      <c r="G5422" s="5"/>
      <c r="H5422" s="26">
        <v>6.5</v>
      </c>
      <c r="I5422" s="5" t="s">
        <v>41354</v>
      </c>
      <c r="J5422" s="5" t="s">
        <v>397</v>
      </c>
      <c r="K5422" s="5" t="s">
        <v>344</v>
      </c>
      <c r="L5422" s="5" t="s">
        <v>41355</v>
      </c>
      <c r="M5422" s="27"/>
      <c r="N5422" s="5" t="s">
        <v>57573</v>
      </c>
      <c r="O5422" s="5" t="str">
        <v>6679094031</v>
      </c>
      <c r="P5422" s="27">
        <v>10000</v>
      </c>
      <c r="Q5422" s="5"/>
      <c r="R5422" s="5"/>
      <c r="S5422" s="5" t="s">
        <v>53269</v>
      </c>
      <c r="T5422" s="28">
        <v>8980000</v>
      </c>
      <c r="U5422" s="28"/>
      <c r="V5422" s="28">
        <v>628205000</v>
      </c>
      <c r="W5422" s="28">
        <v>102100000</v>
      </c>
      <c r="X5422" s="28">
        <v>4108000</v>
      </c>
      <c r="Y5422" s="28">
        <v>1203666000</v>
      </c>
      <c r="Z5422" s="28">
        <v>678444000</v>
      </c>
      <c r="AA5422" s="28">
        <v>330810000</v>
      </c>
      <c r="AB5422" s="28"/>
      <c r="AC5422" s="28">
        <v>190904000</v>
      </c>
      <c r="AD5422" s="28">
        <v>678454000</v>
      </c>
      <c r="AE5422" s="28">
        <v>3520445000</v>
      </c>
      <c r="AF5422" s="28">
        <v>463741000</v>
      </c>
      <c r="AG5422" s="11"/>
    </row>
    <row r="5423">
      <c r="A5423" s="7" t="s">
        <v>7033</v>
      </c>
      <c r="B5423" s="5" t="s">
        <v>14989</v>
      </c>
      <c r="C5423" s="5" t="s">
        <v>22690</v>
      </c>
      <c r="D5423" s="5" t="str">
        <v>525604781627</v>
      </c>
      <c r="E5423" s="0" t="e">
        <f>+7 (831) 2990990</f>
        <v>#NAME?</v>
      </c>
      <c r="F5423" s="5"/>
      <c r="G5423" s="5"/>
      <c r="H5423" s="26">
        <v>5</v>
      </c>
      <c r="I5423" s="5" t="s">
        <v>41356</v>
      </c>
      <c r="J5423" s="5" t="s">
        <v>26623</v>
      </c>
      <c r="K5423" s="5" t="s">
        <v>344</v>
      </c>
      <c r="L5423" s="5" t="s">
        <v>41357</v>
      </c>
      <c r="M5423" s="27"/>
      <c r="N5423" s="5"/>
      <c r="O5423" s="5" t="str">
        <v>5256170057</v>
      </c>
      <c r="P5423" s="27">
        <v>200000</v>
      </c>
      <c r="Q5423" s="5"/>
      <c r="R5423" s="5"/>
      <c r="S5423" s="5" t="s">
        <v>49121</v>
      </c>
      <c r="T5423" s="28">
        <v>79219000</v>
      </c>
      <c r="U5423" s="28">
        <v>1758817000</v>
      </c>
      <c r="V5423" s="28">
        <v>1767111000</v>
      </c>
      <c r="W5423" s="28">
        <v>108810000</v>
      </c>
      <c r="X5423" s="28">
        <v>209583000</v>
      </c>
      <c r="Y5423" s="28">
        <v>4076108000</v>
      </c>
      <c r="Z5423" s="28">
        <v>1823755000</v>
      </c>
      <c r="AA5423" s="28"/>
      <c r="AB5423" s="28"/>
      <c r="AC5423" s="28">
        <v>2249462000</v>
      </c>
      <c r="AD5423" s="28">
        <v>1823955000</v>
      </c>
      <c r="AE5423" s="28">
        <v>6366486000</v>
      </c>
      <c r="AF5423" s="28">
        <v>1411525000</v>
      </c>
      <c r="AG5423" s="11"/>
    </row>
    <row r="5424">
      <c r="A5424" s="7" t="s">
        <v>7034</v>
      </c>
      <c r="B5424" s="5" t="s">
        <v>14990</v>
      </c>
      <c r="C5424" s="5" t="s">
        <v>22691</v>
      </c>
      <c r="D5424" s="5" t="str">
        <v>500601046162</v>
      </c>
      <c r="E5424" s="0" t="e">
        <f>+7 (401) 2578525
+7 (495) 2348306
+7 (495) 2574710
+7 (495) 3970004
+7 (495) 6606801
+7 (495) 9567937
+7 (812) 3251434
+7 (812) 3273747
+7 (812) 3306801
+7 (812) 3310342
+7 (812) 3392481
+7 (812) 3655444
+7 (812) 2321036
+7 (812) 2333612
+7 (812) 2333862</f>
        <v>#NAME?</v>
      </c>
      <c r="F5424" s="5" t="s">
        <v>41358</v>
      </c>
      <c r="G5424" s="5"/>
      <c r="H5424" s="26">
        <v>21</v>
      </c>
      <c r="I5424" s="5"/>
      <c r="J5424" s="5" t="s">
        <v>25429</v>
      </c>
      <c r="K5424" s="5" t="s">
        <v>344</v>
      </c>
      <c r="L5424" s="5" t="s">
        <v>38515</v>
      </c>
      <c r="M5424" s="27"/>
      <c r="N5424" s="5" t="s">
        <v>57574</v>
      </c>
      <c r="O5424" s="5" t="str">
        <v>7801206260</v>
      </c>
      <c r="P5424" s="27">
        <v>100000</v>
      </c>
      <c r="Q5424" s="5" t="s">
        <v>57575</v>
      </c>
      <c r="R5424" s="5"/>
      <c r="S5424" s="5" t="s">
        <v>57576</v>
      </c>
      <c r="T5424" s="28">
        <v>23467000</v>
      </c>
      <c r="U5424" s="28"/>
      <c r="V5424" s="28">
        <v>778861000</v>
      </c>
      <c r="W5424" s="28"/>
      <c r="X5424" s="28">
        <v>43854000</v>
      </c>
      <c r="Y5424" s="28">
        <v>853604000</v>
      </c>
      <c r="Z5424" s="28">
        <v>492274000</v>
      </c>
      <c r="AA5424" s="28"/>
      <c r="AB5424" s="28"/>
      <c r="AC5424" s="28">
        <v>336023000</v>
      </c>
      <c r="AD5424" s="28">
        <v>492399000</v>
      </c>
      <c r="AE5424" s="28">
        <v>7524411000</v>
      </c>
      <c r="AF5424" s="28">
        <v>42141000</v>
      </c>
      <c r="AG5424" s="11"/>
    </row>
    <row r="5425">
      <c r="A5425" s="7" t="s">
        <v>7035</v>
      </c>
      <c r="B5425" s="5" t="s">
        <v>14991</v>
      </c>
      <c r="C5425" s="5" t="s">
        <v>22692</v>
      </c>
      <c r="D5425" s="5" t="str">
        <v>666201584915</v>
      </c>
      <c r="F5425" s="5"/>
      <c r="G5425" s="5"/>
      <c r="H5425" s="26">
        <v>5</v>
      </c>
      <c r="I5425" s="5" t="s">
        <v>41359</v>
      </c>
      <c r="J5425" s="5" t="s">
        <v>955</v>
      </c>
      <c r="K5425" s="5" t="s">
        <v>355</v>
      </c>
      <c r="L5425" s="5" t="s">
        <v>41360</v>
      </c>
      <c r="M5425" s="27">
        <v>43602900</v>
      </c>
      <c r="N5425" s="5"/>
      <c r="O5425" s="5" t="str">
        <v>6670465595</v>
      </c>
      <c r="P5425" s="27">
        <v>10000</v>
      </c>
      <c r="Q5425" s="5" t="s">
        <v>50691</v>
      </c>
      <c r="R5425" s="5" t="s">
        <v>54590</v>
      </c>
      <c r="S5425" s="5" t="s">
        <v>57577</v>
      </c>
      <c r="T5425" s="28">
        <v>1738000</v>
      </c>
      <c r="U5425" s="28"/>
      <c r="V5425" s="28">
        <v>2832725000</v>
      </c>
      <c r="W5425" s="28">
        <v>1235301000</v>
      </c>
      <c r="X5425" s="28">
        <v>25831000</v>
      </c>
      <c r="Y5425" s="28">
        <v>4350925000</v>
      </c>
      <c r="Z5425" s="28">
        <v>56367000</v>
      </c>
      <c r="AA5425" s="28"/>
      <c r="AB5425" s="28">
        <v>1979421000</v>
      </c>
      <c r="AC5425" s="28">
        <v>4289548000</v>
      </c>
      <c r="AD5425" s="28">
        <v>56377000</v>
      </c>
      <c r="AE5425" s="28">
        <v>3607873000</v>
      </c>
      <c r="AF5425" s="28">
        <v>18214000</v>
      </c>
      <c r="AG5425" s="11"/>
    </row>
    <row r="5426">
      <c r="A5426" s="7" t="s">
        <v>7036</v>
      </c>
      <c r="B5426" s="5" t="s">
        <v>14992</v>
      </c>
      <c r="C5426" s="5" t="s">
        <v>22359</v>
      </c>
      <c r="D5426" s="5" t="str">
        <v>770406422737</v>
      </c>
      <c r="E5426" s="0" t="e">
        <f>+7 (495) 6648133
+7 (495) 9955333
+7 (800) 1004040
+7 (800) 2200220
+7 (800) 2202220
+7 (812) 6016999
+7 (8212) 792959
+7 (8422) 244196
+7 (8422) 964359
+7 (844) 2478678
+7 (844) 2978372
+7 (844) 2964285
+7 (844) 2964956
+7 (84442) 49346
+7 (84463) 48017</f>
        <v>#NAME?</v>
      </c>
      <c r="F5426" s="5" t="s">
        <v>41361</v>
      </c>
      <c r="G5426" s="5" t="s">
        <v>41362</v>
      </c>
      <c r="H5426" s="26">
        <v>15.5</v>
      </c>
      <c r="I5426" s="5" t="s">
        <v>41363</v>
      </c>
      <c r="J5426" s="5" t="s">
        <v>27802</v>
      </c>
      <c r="K5426" s="5" t="s">
        <v>344</v>
      </c>
      <c r="L5426" s="5"/>
      <c r="M5426" s="27">
        <v>752826895</v>
      </c>
      <c r="N5426" s="5" t="s">
        <v>57578</v>
      </c>
      <c r="O5426" s="5" t="str">
        <v>6164266561</v>
      </c>
      <c r="P5426" s="27">
        <v>15164142635</v>
      </c>
      <c r="Q5426" s="5" t="s">
        <v>57579</v>
      </c>
      <c r="R5426" s="5" t="s">
        <v>57580</v>
      </c>
      <c r="S5426" s="5" t="s">
        <v>51565</v>
      </c>
      <c r="T5426" s="28">
        <v>27975411000</v>
      </c>
      <c r="U5426" s="28">
        <v>267834000</v>
      </c>
      <c r="V5426" s="28">
        <v>8051570000</v>
      </c>
      <c r="W5426" s="28"/>
      <c r="X5426" s="28">
        <v>1494151000</v>
      </c>
      <c r="Y5426" s="28">
        <v>42064711000</v>
      </c>
      <c r="Z5426" s="28">
        <v>-12746908000</v>
      </c>
      <c r="AA5426" s="28">
        <v>15368654000</v>
      </c>
      <c r="AB5426" s="28">
        <v>7033788000</v>
      </c>
      <c r="AC5426" s="28">
        <v>20471057000</v>
      </c>
      <c r="AD5426" s="28">
        <v>2811149000</v>
      </c>
      <c r="AE5426" s="28">
        <v>42113108000</v>
      </c>
      <c r="AF5426" s="28">
        <v>-559272000</v>
      </c>
      <c r="AG5426" s="11"/>
    </row>
    <row r="5427">
      <c r="A5427" s="7" t="s">
        <v>7037</v>
      </c>
      <c r="B5427" s="5" t="s">
        <v>14993</v>
      </c>
      <c r="C5427" s="5" t="s">
        <v>22693</v>
      </c>
      <c r="D5427" s="5" t="str">
        <v>772635847301</v>
      </c>
      <c r="E5427" s="0" t="e">
        <f>+7 (495) 1320092
+7 (499) 2864466
+7 (800) 7077388</f>
        <v>#NAME?</v>
      </c>
      <c r="F5427" s="5" t="s">
        <v>41364</v>
      </c>
      <c r="G5427" s="5" t="s">
        <v>41365</v>
      </c>
      <c r="H5427" s="26">
        <v>15</v>
      </c>
      <c r="I5427" s="5" t="s">
        <v>41366</v>
      </c>
      <c r="J5427" s="5" t="s">
        <v>25337</v>
      </c>
      <c r="K5427" s="5" t="s">
        <v>344</v>
      </c>
      <c r="L5427" s="5" t="s">
        <v>41367</v>
      </c>
      <c r="M5427" s="27"/>
      <c r="N5427" s="5" t="s">
        <v>57581</v>
      </c>
      <c r="O5427" s="5" t="str">
        <v>7729592750</v>
      </c>
      <c r="P5427" s="27">
        <v>332277093</v>
      </c>
      <c r="Q5427" s="5" t="s">
        <v>57582</v>
      </c>
      <c r="R5427" s="5"/>
      <c r="S5427" s="5" t="s">
        <v>57583</v>
      </c>
      <c r="T5427" s="28">
        <v>31503000</v>
      </c>
      <c r="U5427" s="28"/>
      <c r="V5427" s="28">
        <v>1432817000</v>
      </c>
      <c r="W5427" s="28">
        <v>55165000</v>
      </c>
      <c r="X5427" s="28">
        <v>164158000</v>
      </c>
      <c r="Y5427" s="28">
        <v>2055513000</v>
      </c>
      <c r="Z5427" s="28">
        <v>534295000</v>
      </c>
      <c r="AA5427" s="28"/>
      <c r="AB5427" s="28">
        <v>714493000</v>
      </c>
      <c r="AC5427" s="28">
        <v>1151460000</v>
      </c>
      <c r="AD5427" s="28">
        <v>902479000</v>
      </c>
      <c r="AE5427" s="28">
        <v>5828457000</v>
      </c>
      <c r="AF5427" s="28">
        <v>2387000</v>
      </c>
      <c r="AG5427" s="11"/>
    </row>
    <row r="5428">
      <c r="A5428" s="7" t="s">
        <v>7038</v>
      </c>
      <c r="B5428" s="5" t="s">
        <v>14994</v>
      </c>
      <c r="C5428" s="5" t="s">
        <v>22694</v>
      </c>
      <c r="D5428" s="5" t="str">
        <v>774330115071</v>
      </c>
      <c r="E5428" s="0" t="e">
        <f>+7 (421) 2479368
+7 (421) 2529210
+7 (495) 7255616
+7 (495) 7894347
+7 (919) 7743459</f>
        <v>#NAME?</v>
      </c>
      <c r="F5428" s="5" t="s">
        <v>41368</v>
      </c>
      <c r="G5428" s="5" t="s">
        <v>41369</v>
      </c>
      <c r="H5428" s="26">
        <v>10.5</v>
      </c>
      <c r="I5428" s="5" t="s">
        <v>41370</v>
      </c>
      <c r="J5428" s="5" t="s">
        <v>41371</v>
      </c>
      <c r="K5428" s="5" t="s">
        <v>344</v>
      </c>
      <c r="L5428" s="5"/>
      <c r="M5428" s="27"/>
      <c r="N5428" s="5" t="s">
        <v>57584</v>
      </c>
      <c r="O5428" s="5" t="str">
        <v>7706774915</v>
      </c>
      <c r="P5428" s="27">
        <v>3000100000</v>
      </c>
      <c r="Q5428" s="5" t="s">
        <v>49021</v>
      </c>
      <c r="R5428" s="5" t="s">
        <v>57585</v>
      </c>
      <c r="S5428" s="5" t="s">
        <v>57586</v>
      </c>
      <c r="T5428" s="28">
        <v>14171000</v>
      </c>
      <c r="U5428" s="28">
        <v>3415367000</v>
      </c>
      <c r="V5428" s="28">
        <v>1516933000</v>
      </c>
      <c r="W5428" s="28">
        <v>2559404000</v>
      </c>
      <c r="X5428" s="28">
        <v>8843000</v>
      </c>
      <c r="Y5428" s="28">
        <v>8836263000</v>
      </c>
      <c r="Z5428" s="28">
        <v>-840973000</v>
      </c>
      <c r="AA5428" s="28">
        <v>4104077000</v>
      </c>
      <c r="AB5428" s="28">
        <v>1108501000</v>
      </c>
      <c r="AC5428" s="28">
        <v>2550185000</v>
      </c>
      <c r="AD5428" s="28">
        <v>2159127000</v>
      </c>
      <c r="AE5428" s="28">
        <v>6312479000</v>
      </c>
      <c r="AF5428" s="28">
        <v>-415362000</v>
      </c>
      <c r="AG5428" s="11"/>
    </row>
    <row r="5429">
      <c r="A5429" s="7" t="s">
        <v>7039</v>
      </c>
      <c r="B5429" s="5" t="s">
        <v>14995</v>
      </c>
      <c r="C5429" s="5" t="s">
        <v>22695</v>
      </c>
      <c r="D5429" s="5" t="str">
        <v>161201340105</v>
      </c>
      <c r="E5429" s="0" t="e">
        <f>+7 (950) 3291725
+7 (8432) 60091
+7 (8432) 60094
+7 (8435) 276266
+7 (8435) 276274</f>
        <v>#NAME?</v>
      </c>
      <c r="F5429" s="5" t="s">
        <v>41372</v>
      </c>
      <c r="G5429" s="5"/>
      <c r="H5429" s="26">
        <v>16</v>
      </c>
      <c r="I5429" s="5" t="s">
        <v>41373</v>
      </c>
      <c r="J5429" s="5" t="s">
        <v>467</v>
      </c>
      <c r="K5429" s="5" t="s">
        <v>344</v>
      </c>
      <c r="L5429" s="5" t="s">
        <v>25882</v>
      </c>
      <c r="M5429" s="27">
        <v>267238518</v>
      </c>
      <c r="N5429" s="5" t="s">
        <v>57587</v>
      </c>
      <c r="O5429" s="5" t="str">
        <v>1659069817</v>
      </c>
      <c r="P5429" s="27">
        <v>10000</v>
      </c>
      <c r="Q5429" s="5" t="s">
        <v>57588</v>
      </c>
      <c r="R5429" s="5"/>
      <c r="S5429" s="5" t="s">
        <v>57589</v>
      </c>
      <c r="T5429" s="28">
        <v>196305000</v>
      </c>
      <c r="U5429" s="28"/>
      <c r="V5429" s="28">
        <v>1551151000</v>
      </c>
      <c r="W5429" s="28">
        <v>490300000</v>
      </c>
      <c r="X5429" s="28">
        <v>867000</v>
      </c>
      <c r="Y5429" s="28">
        <v>3070002000</v>
      </c>
      <c r="Z5429" s="28">
        <v>182476000</v>
      </c>
      <c r="AA5429" s="28">
        <v>130093000</v>
      </c>
      <c r="AB5429" s="28">
        <v>3212000</v>
      </c>
      <c r="AC5429" s="28">
        <v>2653130000</v>
      </c>
      <c r="AD5429" s="28">
        <v>182486000</v>
      </c>
      <c r="AE5429" s="28">
        <v>7067993000</v>
      </c>
      <c r="AF5429" s="28">
        <v>109067000</v>
      </c>
      <c r="AG5429" s="11"/>
    </row>
    <row r="5430">
      <c r="A5430" s="7" t="s">
        <v>7040</v>
      </c>
      <c r="B5430" s="5" t="s">
        <v>14996</v>
      </c>
      <c r="C5430" s="5" t="s">
        <v>22696</v>
      </c>
      <c r="D5430" s="5" t="str">
        <v>771602618336</v>
      </c>
      <c r="E5430" s="0" t="e">
        <f>+7 (905) 1855885
+7 (910) 5733339
+7 (495) 5910472
+7 (495) 5910510
+7 (495) 5910590
+7 (495) 5914219
+7 (495) 5917741
+7 (495) 9265225</f>
        <v>#NAME?</v>
      </c>
      <c r="F5430" s="5" t="s">
        <v>41374</v>
      </c>
      <c r="G5430" s="5" t="s">
        <v>41375</v>
      </c>
      <c r="H5430" s="26">
        <v>23</v>
      </c>
      <c r="I5430" s="5" t="s">
        <v>41376</v>
      </c>
      <c r="J5430" s="5" t="s">
        <v>785</v>
      </c>
      <c r="K5430" s="5" t="s">
        <v>344</v>
      </c>
      <c r="L5430" s="5" t="s">
        <v>41377</v>
      </c>
      <c r="M5430" s="27"/>
      <c r="N5430" s="5" t="s">
        <v>57590</v>
      </c>
      <c r="O5430" s="5" t="str">
        <v>7731196087</v>
      </c>
      <c r="P5430" s="27">
        <v>70192</v>
      </c>
      <c r="Q5430" s="5" t="s">
        <v>57591</v>
      </c>
      <c r="R5430" s="5" t="s">
        <v>57592</v>
      </c>
      <c r="S5430" s="5" t="s">
        <v>50230</v>
      </c>
      <c r="T5430" s="28">
        <v>2405819000</v>
      </c>
      <c r="U5430" s="28">
        <v>8329675000</v>
      </c>
      <c r="V5430" s="28">
        <v>10664698000</v>
      </c>
      <c r="W5430" s="28">
        <v>10240000</v>
      </c>
      <c r="X5430" s="28">
        <v>113149000</v>
      </c>
      <c r="Y5430" s="28">
        <v>24747635000</v>
      </c>
      <c r="Z5430" s="28">
        <v>1191532000</v>
      </c>
      <c r="AA5430" s="28">
        <v>10981686000</v>
      </c>
      <c r="AB5430" s="28">
        <v>127030000</v>
      </c>
      <c r="AC5430" s="28">
        <v>9025860000</v>
      </c>
      <c r="AD5430" s="28">
        <v>3477669000</v>
      </c>
      <c r="AE5430" s="28">
        <v>14074513000</v>
      </c>
      <c r="AF5430" s="28">
        <v>819968000</v>
      </c>
      <c r="AG5430" s="11"/>
    </row>
    <row r="5431">
      <c r="A5431" s="7" t="s">
        <v>7041</v>
      </c>
      <c r="B5431" s="5" t="s">
        <v>14997</v>
      </c>
      <c r="C5431" s="5" t="s">
        <v>22697</v>
      </c>
      <c r="D5431" s="5" t="str">
        <v>234307380844</v>
      </c>
      <c r="E5431" s="0" t="e">
        <f>+7 (861) 2143262
+7 (918) 900051
+7 (861) 9920217
+7 (861) 9920268
+7 (918) 9482860
+7 (918) 9758888</f>
        <v>#NAME?</v>
      </c>
      <c r="F5431" s="5" t="s">
        <v>41378</v>
      </c>
      <c r="G5431" s="5" t="s">
        <v>41379</v>
      </c>
      <c r="H5431" s="26">
        <v>9</v>
      </c>
      <c r="I5431" s="5" t="s">
        <v>41380</v>
      </c>
      <c r="J5431" s="5" t="s">
        <v>364</v>
      </c>
      <c r="K5431" s="5" t="s">
        <v>344</v>
      </c>
      <c r="L5431" s="5" t="s">
        <v>41381</v>
      </c>
      <c r="M5431" s="27">
        <v>39769449</v>
      </c>
      <c r="N5431" s="5" t="s">
        <v>50052</v>
      </c>
      <c r="O5431" s="5" t="str">
        <v>2312209146</v>
      </c>
      <c r="P5431" s="27">
        <v>10000</v>
      </c>
      <c r="Q5431" s="5" t="s">
        <v>57593</v>
      </c>
      <c r="R5431" s="5"/>
      <c r="S5431" s="5" t="s">
        <v>57594</v>
      </c>
      <c r="T5431" s="28">
        <v>297624000</v>
      </c>
      <c r="U5431" s="28"/>
      <c r="V5431" s="28">
        <v>1868042000</v>
      </c>
      <c r="W5431" s="28">
        <v>927109000</v>
      </c>
      <c r="X5431" s="28">
        <v>4276000</v>
      </c>
      <c r="Y5431" s="28">
        <v>4064078000</v>
      </c>
      <c r="Z5431" s="28">
        <v>370678000</v>
      </c>
      <c r="AA5431" s="28"/>
      <c r="AB5431" s="28"/>
      <c r="AC5431" s="28">
        <v>3690295000</v>
      </c>
      <c r="AD5431" s="28">
        <v>370688000</v>
      </c>
      <c r="AE5431" s="28">
        <v>6268700000</v>
      </c>
      <c r="AF5431" s="28">
        <v>19099000</v>
      </c>
      <c r="AG5431" s="11"/>
    </row>
    <row r="5432">
      <c r="A5432" s="7" t="s">
        <v>7042</v>
      </c>
      <c r="B5432" s="5" t="s">
        <v>14998</v>
      </c>
      <c r="C5432" s="5" t="s">
        <v>22698</v>
      </c>
      <c r="D5432" s="5" t="str">
        <v>771823652409</v>
      </c>
      <c r="E5432" s="0" t="e">
        <f>+7 (916) 5573030
+7 (495) 2224303
+7 (495) 2224304</f>
        <v>#NAME?</v>
      </c>
      <c r="F5432" s="5" t="s">
        <v>41382</v>
      </c>
      <c r="G5432" s="5"/>
      <c r="H5432" s="26">
        <v>12.5</v>
      </c>
      <c r="I5432" s="5" t="s">
        <v>41383</v>
      </c>
      <c r="J5432" s="5" t="s">
        <v>27296</v>
      </c>
      <c r="K5432" s="5" t="s">
        <v>344</v>
      </c>
      <c r="L5432" s="5" t="s">
        <v>41384</v>
      </c>
      <c r="M5432" s="27"/>
      <c r="N5432" s="5" t="s">
        <v>57595</v>
      </c>
      <c r="O5432" s="5" t="str">
        <v>7736618977</v>
      </c>
      <c r="P5432" s="27">
        <v>500000</v>
      </c>
      <c r="Q5432" s="5" t="s">
        <v>49009</v>
      </c>
      <c r="R5432" s="5"/>
      <c r="S5432" s="5" t="s">
        <v>49371</v>
      </c>
      <c r="T5432" s="28">
        <v>87898000</v>
      </c>
      <c r="U5432" s="28"/>
      <c r="V5432" s="28">
        <v>1473338000</v>
      </c>
      <c r="W5432" s="28"/>
      <c r="X5432" s="28">
        <v>11461000</v>
      </c>
      <c r="Y5432" s="28">
        <v>1643060000</v>
      </c>
      <c r="Z5432" s="28">
        <v>436102000</v>
      </c>
      <c r="AA5432" s="28">
        <v>1112352000</v>
      </c>
      <c r="AB5432" s="28"/>
      <c r="AC5432" s="28">
        <v>67797000</v>
      </c>
      <c r="AD5432" s="28">
        <v>436602000</v>
      </c>
      <c r="AE5432" s="28">
        <v>8902418000</v>
      </c>
      <c r="AF5432" s="28">
        <v>145213000</v>
      </c>
      <c r="AG5432" s="11"/>
    </row>
    <row r="5433">
      <c r="A5433" s="7" t="s">
        <v>7043</v>
      </c>
      <c r="B5433" s="5" t="s">
        <v>14999</v>
      </c>
      <c r="C5433" s="5" t="s">
        <v>22699</v>
      </c>
      <c r="D5433" s="5" t="str">
        <v>505303057471</v>
      </c>
      <c r="E5433" s="0" t="e">
        <f>+7 (495) 2216175
+7 (495) 2617748
+7 (495) 2807823
+7 (495) 2807824
+7 (495) 6376358
+7 (495) 6859294
+7 (495) 7295510
+7 (495) 7846432
+7 (495) 9098703
+7 (495) 9808769
+7 (495) 9846478
+7 (495) 9952001
+7 (499) 2617748
+7 (800) 1006656
+7 (800) 1008292</f>
        <v>#NAME?</v>
      </c>
      <c r="F5433" s="5"/>
      <c r="G5433" s="5"/>
      <c r="H5433" s="26">
        <v>23.5</v>
      </c>
      <c r="I5433" s="5" t="s">
        <v>41385</v>
      </c>
      <c r="J5433" s="5" t="s">
        <v>32226</v>
      </c>
      <c r="K5433" s="5" t="s">
        <v>344</v>
      </c>
      <c r="L5433" s="5"/>
      <c r="M5433" s="27"/>
      <c r="N5433" s="5"/>
      <c r="O5433" s="5" t="str">
        <v>7725106600</v>
      </c>
      <c r="P5433" s="27">
        <v>10000</v>
      </c>
      <c r="Q5433" s="5" t="s">
        <v>49009</v>
      </c>
      <c r="R5433" s="5"/>
      <c r="S5433" s="5" t="s">
        <v>49045</v>
      </c>
      <c r="T5433" s="28"/>
      <c r="U5433" s="28"/>
      <c r="V5433" s="28">
        <v>6801277000</v>
      </c>
      <c r="W5433" s="28">
        <v>9300000</v>
      </c>
      <c r="X5433" s="28">
        <v>4356000</v>
      </c>
      <c r="Y5433" s="28">
        <v>6815012000</v>
      </c>
      <c r="Z5433" s="28">
        <v>886490000</v>
      </c>
      <c r="AA5433" s="28"/>
      <c r="AB5433" s="28"/>
      <c r="AC5433" s="28">
        <v>5928512000</v>
      </c>
      <c r="AD5433" s="28">
        <v>886500000</v>
      </c>
      <c r="AE5433" s="28">
        <v>28901348000</v>
      </c>
      <c r="AF5433" s="28">
        <v>13783000</v>
      </c>
      <c r="AG5433" s="11"/>
    </row>
    <row r="5434">
      <c r="A5434" s="7" t="s">
        <v>7044</v>
      </c>
      <c r="B5434" s="5" t="s">
        <v>14484</v>
      </c>
      <c r="C5434" s="5" t="s">
        <v>22700</v>
      </c>
      <c r="D5434" s="5" t="str">
        <v>771471105850</v>
      </c>
      <c r="E5434" s="0" t="e">
        <f>+7 (495) 2585888
+7 (3432) 787423
+7 (383) 3358216
+7 (421) 2410250
+7 (495) 6621977
+7 (495) 7871112
+7 (495) 9319500
+7 (495) 9319503
+7 (495) 9319512
+7 (800) 7707709
+7 (812) 4490987
+7 (861) 2980553
+7 (909) 4563135</f>
        <v>#NAME?</v>
      </c>
      <c r="F5434" s="5"/>
      <c r="G5434" s="5"/>
      <c r="H5434" s="26">
        <v>29</v>
      </c>
      <c r="I5434" s="5" t="s">
        <v>41386</v>
      </c>
      <c r="J5434" s="5" t="s">
        <v>27085</v>
      </c>
      <c r="K5434" s="5" t="s">
        <v>344</v>
      </c>
      <c r="L5434" s="5" t="s">
        <v>41387</v>
      </c>
      <c r="M5434" s="27"/>
      <c r="N5434" s="5"/>
      <c r="O5434" s="5" t="str">
        <v>7704098732</v>
      </c>
      <c r="P5434" s="27">
        <v>2455330483</v>
      </c>
      <c r="Q5434" s="5" t="s">
        <v>49009</v>
      </c>
      <c r="R5434" s="5"/>
      <c r="S5434" s="5" t="s">
        <v>49045</v>
      </c>
      <c r="T5434" s="28"/>
      <c r="U5434" s="28"/>
      <c r="V5434" s="28">
        <v>195622000</v>
      </c>
      <c r="W5434" s="28"/>
      <c r="X5434" s="28">
        <v>2955491000</v>
      </c>
      <c r="Y5434" s="28">
        <v>3151113000</v>
      </c>
      <c r="Z5434" s="28">
        <v>-184507000</v>
      </c>
      <c r="AA5434" s="28"/>
      <c r="AB5434" s="28"/>
      <c r="AC5434" s="28">
        <v>280224000</v>
      </c>
      <c r="AD5434" s="28">
        <v>2870889000</v>
      </c>
      <c r="AE5434" s="28">
        <v>6162882000</v>
      </c>
      <c r="AF5434" s="28">
        <v>-1239756000</v>
      </c>
      <c r="AG5434" s="11"/>
    </row>
    <row r="5435">
      <c r="A5435" s="7" t="s">
        <v>7045</v>
      </c>
      <c r="B5435" s="5" t="s">
        <v>15000</v>
      </c>
      <c r="C5435" s="5" t="s">
        <v>22701</v>
      </c>
      <c r="D5435" s="5" t="str">
        <v>772030071687</v>
      </c>
      <c r="E5435" s="0" t="e">
        <f>+7 (495) 5069580
+7 (495) 6469988
+7 (499) 6000292
+7 (903) 1193666
+7 (906) 7831484</f>
        <v>#NAME?</v>
      </c>
      <c r="F5435" s="5" t="s">
        <v>41388</v>
      </c>
      <c r="G5435" s="5"/>
      <c r="H5435" s="26">
        <v>7.5</v>
      </c>
      <c r="I5435" s="5" t="s">
        <v>41389</v>
      </c>
      <c r="J5435" s="5" t="s">
        <v>29195</v>
      </c>
      <c r="K5435" s="5" t="s">
        <v>355</v>
      </c>
      <c r="L5435" s="5" t="s">
        <v>41390</v>
      </c>
      <c r="M5435" s="27">
        <v>98500</v>
      </c>
      <c r="N5435" s="5"/>
      <c r="O5435" s="5" t="str">
        <v>7743113913</v>
      </c>
      <c r="P5435" s="27">
        <v>20400</v>
      </c>
      <c r="Q5435" s="5"/>
      <c r="R5435" s="5" t="s">
        <v>57596</v>
      </c>
      <c r="S5435" s="5" t="s">
        <v>49029</v>
      </c>
      <c r="T5435" s="28">
        <v>71676000</v>
      </c>
      <c r="U5435" s="28"/>
      <c r="V5435" s="28">
        <v>550848000</v>
      </c>
      <c r="W5435" s="28">
        <v>102760000</v>
      </c>
      <c r="X5435" s="28">
        <v>26700000</v>
      </c>
      <c r="Y5435" s="28">
        <v>1135280000</v>
      </c>
      <c r="Z5435" s="28">
        <v>24526000</v>
      </c>
      <c r="AA5435" s="28"/>
      <c r="AB5435" s="28">
        <v>3364000</v>
      </c>
      <c r="AC5435" s="28">
        <v>1108755000</v>
      </c>
      <c r="AD5435" s="28">
        <v>24546000</v>
      </c>
      <c r="AE5435" s="28">
        <v>4369547000</v>
      </c>
      <c r="AF5435" s="28">
        <v>12280000</v>
      </c>
      <c r="AG5435" s="11"/>
    </row>
    <row r="5436">
      <c r="A5436" s="7" t="s">
        <v>7046</v>
      </c>
      <c r="B5436" s="5" t="s">
        <v>15001</v>
      </c>
      <c r="C5436" s="5" t="s">
        <v>22702</v>
      </c>
      <c r="D5436" s="5" t="str">
        <v>060100203355</v>
      </c>
      <c r="E5436" s="0" t="e">
        <f>+7 (346) 6841093
+7 (34668) 41049
+7 (34668) 41010</f>
        <v>#NAME?</v>
      </c>
      <c r="F5436" s="5" t="s">
        <v>41391</v>
      </c>
      <c r="G5436" s="5"/>
      <c r="H5436" s="26">
        <v>16.5</v>
      </c>
      <c r="I5436" s="5" t="s">
        <v>41392</v>
      </c>
      <c r="J5436" s="5" t="s">
        <v>30354</v>
      </c>
      <c r="K5436" s="5" t="s">
        <v>344</v>
      </c>
      <c r="L5436" s="5" t="s">
        <v>41393</v>
      </c>
      <c r="M5436" s="27">
        <v>255581899</v>
      </c>
      <c r="N5436" s="5" t="s">
        <v>52997</v>
      </c>
      <c r="O5436" s="5" t="str">
        <v>8609223921</v>
      </c>
      <c r="P5436" s="27">
        <v>10000</v>
      </c>
      <c r="Q5436" s="5"/>
      <c r="R5436" s="5"/>
      <c r="S5436" s="5" t="s">
        <v>50774</v>
      </c>
      <c r="T5436" s="28">
        <v>1272221000</v>
      </c>
      <c r="U5436" s="28"/>
      <c r="V5436" s="28">
        <v>7034169000</v>
      </c>
      <c r="W5436" s="28">
        <v>3207110000</v>
      </c>
      <c r="X5436" s="28">
        <v>193206000</v>
      </c>
      <c r="Y5436" s="28">
        <v>13541972000</v>
      </c>
      <c r="Z5436" s="28">
        <v>4418525000</v>
      </c>
      <c r="AA5436" s="28">
        <v>5124953000</v>
      </c>
      <c r="AB5436" s="28">
        <v>359065000</v>
      </c>
      <c r="AC5436" s="28">
        <v>3398024000</v>
      </c>
      <c r="AD5436" s="28">
        <v>4418535000</v>
      </c>
      <c r="AE5436" s="28">
        <v>10950274000</v>
      </c>
      <c r="AF5436" s="28">
        <v>1396556000</v>
      </c>
      <c r="AG5436" s="11"/>
    </row>
    <row r="5437">
      <c r="A5437" s="7" t="s">
        <v>7047</v>
      </c>
      <c r="B5437" s="5" t="s">
        <v>15002</v>
      </c>
      <c r="C5437" s="5" t="s">
        <v>22703</v>
      </c>
      <c r="D5437" s="5" t="str">
        <v>623101955139</v>
      </c>
      <c r="E5437" s="0" t="e">
        <f>+7 (4912) 427529
+7 (4912) 427530
+7 (4912) 427568
+7 (4912) 427633
+7 (4912) 465222
+7 (910) 6200008
+7 (910) 6220947
+7 (910) 6262600
+7 (915) 6204311</f>
        <v>#NAME?</v>
      </c>
      <c r="F5437" s="5" t="s">
        <v>41394</v>
      </c>
      <c r="G5437" s="5" t="s">
        <v>41395</v>
      </c>
      <c r="H5437" s="26">
        <v>18.5</v>
      </c>
      <c r="I5437" s="5" t="s">
        <v>41396</v>
      </c>
      <c r="J5437" s="5" t="s">
        <v>25231</v>
      </c>
      <c r="K5437" s="5" t="s">
        <v>355</v>
      </c>
      <c r="L5437" s="5" t="s">
        <v>32147</v>
      </c>
      <c r="M5437" s="27">
        <v>6278980</v>
      </c>
      <c r="N5437" s="5"/>
      <c r="O5437" s="5" t="str">
        <v>6230051868</v>
      </c>
      <c r="P5437" s="27">
        <v>26000000</v>
      </c>
      <c r="Q5437" s="5"/>
      <c r="R5437" s="5"/>
      <c r="S5437" s="5" t="s">
        <v>49123</v>
      </c>
      <c r="T5437" s="28">
        <v>371209000</v>
      </c>
      <c r="U5437" s="28">
        <v>1365775000</v>
      </c>
      <c r="V5437" s="28">
        <v>3514180000</v>
      </c>
      <c r="W5437" s="28"/>
      <c r="X5437" s="28">
        <v>246768000</v>
      </c>
      <c r="Y5437" s="28">
        <v>6570648000</v>
      </c>
      <c r="Z5437" s="28">
        <v>177111000</v>
      </c>
      <c r="AA5437" s="28">
        <v>888025000</v>
      </c>
      <c r="AB5437" s="28">
        <v>401329000</v>
      </c>
      <c r="AC5437" s="28">
        <v>5386010000</v>
      </c>
      <c r="AD5437" s="28">
        <v>204299000</v>
      </c>
      <c r="AE5437" s="28">
        <v>16092869000</v>
      </c>
      <c r="AF5437" s="28">
        <v>6096000</v>
      </c>
      <c r="AG5437" s="11"/>
    </row>
    <row r="5438">
      <c r="A5438" s="7" t="s">
        <v>7048</v>
      </c>
      <c r="B5438" s="5" t="s">
        <v>15003</v>
      </c>
      <c r="C5438" s="5" t="s">
        <v>22704</v>
      </c>
      <c r="D5438" s="5" t="str">
        <v>502705143051</v>
      </c>
      <c r="E5438" s="0" t="e">
        <f>+7 (495) 2252697
+7 (495) 2252691
+7 (495) 6496277
+7 (495) 7287213
+7 (499) 7149955
+7 (903) 7281338</f>
        <v>#NAME?</v>
      </c>
      <c r="F5438" s="5"/>
      <c r="G5438" s="5"/>
      <c r="H5438" s="26">
        <v>12</v>
      </c>
      <c r="I5438" s="5" t="s">
        <v>41397</v>
      </c>
      <c r="J5438" s="5" t="s">
        <v>1123</v>
      </c>
      <c r="K5438" s="5" t="s">
        <v>344</v>
      </c>
      <c r="L5438" s="5" t="s">
        <v>41398</v>
      </c>
      <c r="M5438" s="27"/>
      <c r="N5438" s="5"/>
      <c r="O5438" s="5" t="str">
        <v>5017089447</v>
      </c>
      <c r="P5438" s="27">
        <v>10000000</v>
      </c>
      <c r="Q5438" s="5" t="s">
        <v>49021</v>
      </c>
      <c r="R5438" s="5"/>
      <c r="S5438" s="5" t="s">
        <v>57597</v>
      </c>
      <c r="T5438" s="28">
        <v>38919000</v>
      </c>
      <c r="U5438" s="28"/>
      <c r="V5438" s="28">
        <v>1031078000</v>
      </c>
      <c r="W5438" s="28">
        <v>26000000</v>
      </c>
      <c r="X5438" s="28">
        <v>7432000</v>
      </c>
      <c r="Y5438" s="28">
        <v>3189115000</v>
      </c>
      <c r="Z5438" s="28">
        <v>1329697000</v>
      </c>
      <c r="AA5438" s="28">
        <v>877600000</v>
      </c>
      <c r="AB5438" s="28">
        <v>9202000</v>
      </c>
      <c r="AC5438" s="28">
        <v>940363000</v>
      </c>
      <c r="AD5438" s="28">
        <v>1339697000</v>
      </c>
      <c r="AE5438" s="28">
        <v>4658571000</v>
      </c>
      <c r="AF5438" s="28">
        <v>628644000</v>
      </c>
      <c r="AG5438" s="11"/>
    </row>
    <row r="5439">
      <c r="A5439" s="7" t="s">
        <v>7049</v>
      </c>
      <c r="B5439" s="5" t="s">
        <v>15004</v>
      </c>
      <c r="C5439" s="5" t="s">
        <v>22705</v>
      </c>
      <c r="D5439" s="5" t="str">
        <v>780601835808</v>
      </c>
      <c r="E5439" s="0" t="e">
        <f>+7 (812) 3256624</f>
        <v>#NAME?</v>
      </c>
      <c r="F5439" s="5" t="s">
        <v>41399</v>
      </c>
      <c r="G5439" s="5" t="s">
        <v>41400</v>
      </c>
      <c r="H5439" s="26">
        <v>26</v>
      </c>
      <c r="I5439" s="5"/>
      <c r="J5439" s="5" t="s">
        <v>755</v>
      </c>
      <c r="K5439" s="5" t="s">
        <v>344</v>
      </c>
      <c r="L5439" s="5" t="s">
        <v>41401</v>
      </c>
      <c r="M5439" s="27"/>
      <c r="N5439" s="5" t="s">
        <v>57598</v>
      </c>
      <c r="O5439" s="5" t="str">
        <v>7801082551</v>
      </c>
      <c r="P5439" s="27">
        <v>2048200</v>
      </c>
      <c r="Q5439" s="5" t="s">
        <v>57599</v>
      </c>
      <c r="R5439" s="5"/>
      <c r="S5439" s="5" t="s">
        <v>57600</v>
      </c>
      <c r="T5439" s="28">
        <v>468049000</v>
      </c>
      <c r="U5439" s="28"/>
      <c r="V5439" s="28">
        <v>2089987000</v>
      </c>
      <c r="W5439" s="28">
        <v>60424000</v>
      </c>
      <c r="X5439" s="28">
        <v>605370000</v>
      </c>
      <c r="Y5439" s="28">
        <v>3309390000</v>
      </c>
      <c r="Z5439" s="28">
        <v>1417494000</v>
      </c>
      <c r="AA5439" s="28"/>
      <c r="AB5439" s="28"/>
      <c r="AC5439" s="28">
        <v>1513639000</v>
      </c>
      <c r="AD5439" s="28">
        <v>1419954000</v>
      </c>
      <c r="AE5439" s="28">
        <v>4549377000</v>
      </c>
      <c r="AF5439" s="28">
        <v>441709000</v>
      </c>
      <c r="AG5439" s="11"/>
    </row>
    <row r="5440">
      <c r="A5440" s="7" t="s">
        <v>7050</v>
      </c>
      <c r="B5440" s="5" t="s">
        <v>15005</v>
      </c>
      <c r="C5440" s="5" t="s">
        <v>22706</v>
      </c>
      <c r="D5440" s="5" t="str">
        <v>540786156403</v>
      </c>
      <c r="E5440" s="0" t="e">
        <f>+7 (800) 2504414
+7 (913) 7903355
+7 (383) 2091885
+7 (913) 4800220
+7 (913) 7866122
+7 (913) 9133285
+7 (913) 9165933</f>
        <v>#NAME?</v>
      </c>
      <c r="F5440" s="5" t="s">
        <v>41402</v>
      </c>
      <c r="G5440" s="5"/>
      <c r="H5440" s="26">
        <v>7</v>
      </c>
      <c r="I5440" s="5" t="s">
        <v>41403</v>
      </c>
      <c r="J5440" s="5" t="s">
        <v>26040</v>
      </c>
      <c r="K5440" s="5" t="s">
        <v>344</v>
      </c>
      <c r="L5440" s="5" t="s">
        <v>41404</v>
      </c>
      <c r="M5440" s="27"/>
      <c r="N5440" s="5"/>
      <c r="O5440" s="5" t="str">
        <v>5407950904</v>
      </c>
      <c r="P5440" s="27">
        <v>13010000</v>
      </c>
      <c r="Q5440" s="5" t="s">
        <v>49319</v>
      </c>
      <c r="R5440" s="5"/>
      <c r="S5440" s="5" t="s">
        <v>57601</v>
      </c>
      <c r="T5440" s="28">
        <v>2774000</v>
      </c>
      <c r="U5440" s="28"/>
      <c r="V5440" s="28">
        <v>667509000</v>
      </c>
      <c r="W5440" s="28"/>
      <c r="X5440" s="28">
        <v>330623000</v>
      </c>
      <c r="Y5440" s="28">
        <v>1928203000</v>
      </c>
      <c r="Z5440" s="28">
        <v>498235000</v>
      </c>
      <c r="AA5440" s="28"/>
      <c r="AB5440" s="28">
        <v>768077000</v>
      </c>
      <c r="AC5440" s="28">
        <v>1415261000</v>
      </c>
      <c r="AD5440" s="28">
        <v>511423000</v>
      </c>
      <c r="AE5440" s="28">
        <v>4308026000</v>
      </c>
      <c r="AF5440" s="28">
        <v>295460000</v>
      </c>
      <c r="AG5440" s="11"/>
    </row>
    <row r="5441">
      <c r="A5441" s="7" t="s">
        <v>7051</v>
      </c>
      <c r="B5441" s="5" t="s">
        <v>15006</v>
      </c>
      <c r="C5441" s="5" t="s">
        <v>22707</v>
      </c>
      <c r="D5441" s="5" t="str">
        <v>232800568760</v>
      </c>
      <c r="E5441" s="0" t="e">
        <f>+7 (8636) 279269
+7 (86365) 26026
+7 (86365) 46072
+7 (86365) 46075
+7 (928) 1669850</f>
        <v>#NAME?</v>
      </c>
      <c r="F5441" s="5" t="s">
        <v>41405</v>
      </c>
      <c r="G5441" s="5" t="s">
        <v>41406</v>
      </c>
      <c r="H5441" s="26">
        <v>17</v>
      </c>
      <c r="I5441" s="5" t="s">
        <v>41407</v>
      </c>
      <c r="J5441" s="5" t="s">
        <v>25371</v>
      </c>
      <c r="K5441" s="5" t="s">
        <v>380</v>
      </c>
      <c r="L5441" s="5"/>
      <c r="M5441" s="27">
        <v>313322400</v>
      </c>
      <c r="N5441" s="5"/>
      <c r="O5441" s="5" t="str">
        <v>6114017513</v>
      </c>
      <c r="P5441" s="27">
        <v>53537924</v>
      </c>
      <c r="Q5441" s="5" t="s">
        <v>49009</v>
      </c>
      <c r="R5441" s="5" t="s">
        <v>54590</v>
      </c>
      <c r="S5441" s="5" t="s">
        <v>49066</v>
      </c>
      <c r="T5441" s="28">
        <v>3450169000</v>
      </c>
      <c r="U5441" s="28"/>
      <c r="V5441" s="28">
        <v>1181092000</v>
      </c>
      <c r="W5441" s="28">
        <v>2130000</v>
      </c>
      <c r="X5441" s="28">
        <v>117610000</v>
      </c>
      <c r="Y5441" s="28">
        <v>5736003000</v>
      </c>
      <c r="Z5441" s="28">
        <v>-3919587000</v>
      </c>
      <c r="AA5441" s="28">
        <v>3833881000</v>
      </c>
      <c r="AB5441" s="28">
        <v>4359900000</v>
      </c>
      <c r="AC5441" s="28">
        <v>5334815000</v>
      </c>
      <c r="AD5441" s="28">
        <v>-3298815000</v>
      </c>
      <c r="AE5441" s="28">
        <v>3846159000</v>
      </c>
      <c r="AF5441" s="28">
        <v>-597217000</v>
      </c>
      <c r="AG5441" s="11"/>
    </row>
    <row r="5442">
      <c r="A5442" s="7" t="s">
        <v>7052</v>
      </c>
      <c r="B5442" s="5" t="s">
        <v>15007</v>
      </c>
      <c r="C5442" s="5" t="s">
        <v>18698</v>
      </c>
      <c r="D5442" s="5"/>
      <c r="E5442" s="0" t="e">
        <f>+7 (495) 6973232
+7 (495) 9673233
+7 (963) 6496837</f>
        <v>#NAME?</v>
      </c>
      <c r="F5442" s="5" t="s">
        <v>41408</v>
      </c>
      <c r="G5442" s="5" t="s">
        <v>41409</v>
      </c>
      <c r="H5442" s="26">
        <v>14</v>
      </c>
      <c r="I5442" s="5" t="s">
        <v>41410</v>
      </c>
      <c r="J5442" s="5" t="s">
        <v>26148</v>
      </c>
      <c r="K5442" s="5" t="s">
        <v>344</v>
      </c>
      <c r="L5442" s="5" t="s">
        <v>41411</v>
      </c>
      <c r="M5442" s="27">
        <v>1988730</v>
      </c>
      <c r="N5442" s="5" t="s">
        <v>57602</v>
      </c>
      <c r="O5442" s="5" t="str">
        <v>7708698177</v>
      </c>
      <c r="P5442" s="27">
        <v>41310000</v>
      </c>
      <c r="Q5442" s="5" t="s">
        <v>49009</v>
      </c>
      <c r="R5442" s="5" t="s">
        <v>57603</v>
      </c>
      <c r="S5442" s="5" t="s">
        <v>49120</v>
      </c>
      <c r="T5442" s="28">
        <v>8461403000</v>
      </c>
      <c r="U5442" s="28">
        <v>3525525000</v>
      </c>
      <c r="V5442" s="28">
        <v>557768000</v>
      </c>
      <c r="W5442" s="28"/>
      <c r="X5442" s="28">
        <v>320363000</v>
      </c>
      <c r="Y5442" s="28">
        <v>17199453000</v>
      </c>
      <c r="Z5442" s="28">
        <v>4673294000</v>
      </c>
      <c r="AA5442" s="28">
        <v>10337272000</v>
      </c>
      <c r="AB5442" s="28">
        <v>34537000</v>
      </c>
      <c r="AC5442" s="28">
        <v>504905000</v>
      </c>
      <c r="AD5442" s="28">
        <v>5540604000</v>
      </c>
      <c r="AE5442" s="28">
        <v>4080676000</v>
      </c>
      <c r="AF5442" s="28">
        <v>1551320000</v>
      </c>
      <c r="AG5442" s="11"/>
    </row>
    <row r="5443">
      <c r="A5443" s="7" t="s">
        <v>7053</v>
      </c>
      <c r="B5443" s="5" t="s">
        <v>15008</v>
      </c>
      <c r="C5443" s="5" t="s">
        <v>22708</v>
      </c>
      <c r="D5443" s="5"/>
      <c r="E5443" s="0" t="e">
        <f>+7 (4912) 975750
+7 (49133) 91528
+7 (49133) 91529
+7 (49133) 91597
+7 (49133) 91621
+7 (49133) 91662</f>
        <v>#NAME?</v>
      </c>
      <c r="F5443" s="5" t="s">
        <v>41412</v>
      </c>
      <c r="G5443" s="5"/>
      <c r="H5443" s="26">
        <v>4.5</v>
      </c>
      <c r="I5443" s="5" t="s">
        <v>41413</v>
      </c>
      <c r="J5443" s="5" t="s">
        <v>26526</v>
      </c>
      <c r="K5443" s="5" t="s">
        <v>344</v>
      </c>
      <c r="L5443" s="5"/>
      <c r="M5443" s="27">
        <v>8724157</v>
      </c>
      <c r="N5443" s="5" t="s">
        <v>57604</v>
      </c>
      <c r="O5443" s="5" t="str">
        <v>6234184259</v>
      </c>
      <c r="P5443" s="27">
        <v>10000000</v>
      </c>
      <c r="Q5443" s="5" t="s">
        <v>49059</v>
      </c>
      <c r="R5443" s="5"/>
      <c r="S5443" s="5" t="s">
        <v>49425</v>
      </c>
      <c r="T5443" s="28">
        <v>3394803000</v>
      </c>
      <c r="U5443" s="28">
        <v>64047000</v>
      </c>
      <c r="V5443" s="28">
        <v>3883262000</v>
      </c>
      <c r="W5443" s="28">
        <v>62046000</v>
      </c>
      <c r="X5443" s="28">
        <v>7576000</v>
      </c>
      <c r="Y5443" s="28">
        <v>9680609000</v>
      </c>
      <c r="Z5443" s="28">
        <v>1263363000</v>
      </c>
      <c r="AA5443" s="28">
        <v>3103853000</v>
      </c>
      <c r="AB5443" s="28">
        <v>4242861000</v>
      </c>
      <c r="AC5443" s="28">
        <v>5244983000</v>
      </c>
      <c r="AD5443" s="28">
        <v>1273363000</v>
      </c>
      <c r="AE5443" s="28">
        <v>8099653000</v>
      </c>
      <c r="AF5443" s="28">
        <v>57489000</v>
      </c>
      <c r="AG5443" s="11"/>
    </row>
    <row r="5444">
      <c r="A5444" s="7" t="s">
        <v>7054</v>
      </c>
      <c r="B5444" s="5" t="s">
        <v>15009</v>
      </c>
      <c r="C5444" s="5" t="s">
        <v>22709</v>
      </c>
      <c r="D5444" s="5" t="str">
        <v>773000584250</v>
      </c>
      <c r="E5444" s="0" t="e">
        <f>+7 (495) 7255515
+7 (495) 7255610
+7 (495) 7418925
+7 (495) 7894554
+7 (495) 7894555
+7 (985) 9706391
+7 (988) 2825562</f>
        <v>#NAME?</v>
      </c>
      <c r="F5444" s="5" t="s">
        <v>41414</v>
      </c>
      <c r="G5444" s="5" t="s">
        <v>41415</v>
      </c>
      <c r="H5444" s="26">
        <v>19.5</v>
      </c>
      <c r="I5444" s="5"/>
      <c r="J5444" s="5" t="s">
        <v>25376</v>
      </c>
      <c r="K5444" s="5" t="s">
        <v>344</v>
      </c>
      <c r="L5444" s="5" t="s">
        <v>41416</v>
      </c>
      <c r="M5444" s="27"/>
      <c r="N5444" s="5"/>
      <c r="O5444" s="5" t="str">
        <v>7744003215</v>
      </c>
      <c r="P5444" s="27">
        <v>154099418</v>
      </c>
      <c r="Q5444" s="5" t="s">
        <v>49579</v>
      </c>
      <c r="R5444" s="5" t="s">
        <v>57605</v>
      </c>
      <c r="S5444" s="5" t="s">
        <v>49580</v>
      </c>
      <c r="T5444" s="28">
        <v>29697000</v>
      </c>
      <c r="U5444" s="28">
        <v>1493760000</v>
      </c>
      <c r="V5444" s="28">
        <v>915183000</v>
      </c>
      <c r="W5444" s="28">
        <v>734976000</v>
      </c>
      <c r="X5444" s="28">
        <v>1195000</v>
      </c>
      <c r="Y5444" s="28">
        <v>3235508000</v>
      </c>
      <c r="Z5444" s="28">
        <v>605791000</v>
      </c>
      <c r="AA5444" s="28">
        <v>1503357000</v>
      </c>
      <c r="AB5444" s="28">
        <v>917680000</v>
      </c>
      <c r="AC5444" s="28">
        <v>969099000</v>
      </c>
      <c r="AD5444" s="28">
        <v>762984000</v>
      </c>
      <c r="AE5444" s="28">
        <v>3383490000</v>
      </c>
      <c r="AF5444" s="28">
        <v>128996000</v>
      </c>
      <c r="AG5444" s="11"/>
    </row>
    <row r="5445">
      <c r="A5445" s="7" t="s">
        <v>7055</v>
      </c>
      <c r="B5445" s="5" t="s">
        <v>15010</v>
      </c>
      <c r="C5445" s="5" t="s">
        <v>22710</v>
      </c>
      <c r="D5445" s="5" t="str">
        <v>525206337740</v>
      </c>
      <c r="E5445" s="0" t="e">
        <f>+7 (83171) 27977
+7 (83171) 29751
+7 (83171) 29777
+7 (83171) 29779</f>
        <v>#NAME?</v>
      </c>
      <c r="F5445" s="5"/>
      <c r="G5445" s="5" t="s">
        <v>41417</v>
      </c>
      <c r="H5445" s="26">
        <v>16.5</v>
      </c>
      <c r="I5445" s="5" t="s">
        <v>41418</v>
      </c>
      <c r="J5445" s="5" t="s">
        <v>397</v>
      </c>
      <c r="K5445" s="5" t="s">
        <v>344</v>
      </c>
      <c r="L5445" s="5" t="s">
        <v>41419</v>
      </c>
      <c r="M5445" s="27">
        <v>11040709</v>
      </c>
      <c r="N5445" s="5" t="s">
        <v>57606</v>
      </c>
      <c r="O5445" s="5" t="str">
        <v>5252018460</v>
      </c>
      <c r="P5445" s="27">
        <v>10000</v>
      </c>
      <c r="Q5445" s="5" t="s">
        <v>57607</v>
      </c>
      <c r="R5445" s="5"/>
      <c r="S5445" s="5" t="s">
        <v>57608</v>
      </c>
      <c r="T5445" s="28">
        <v>167504000</v>
      </c>
      <c r="U5445" s="28"/>
      <c r="V5445" s="28">
        <v>829254000</v>
      </c>
      <c r="W5445" s="28"/>
      <c r="X5445" s="28">
        <v>8436000</v>
      </c>
      <c r="Y5445" s="28">
        <v>2098535000</v>
      </c>
      <c r="Z5445" s="28">
        <v>655271000</v>
      </c>
      <c r="AA5445" s="28">
        <v>949634000</v>
      </c>
      <c r="AB5445" s="28"/>
      <c r="AC5445" s="28">
        <v>416549000</v>
      </c>
      <c r="AD5445" s="28">
        <v>655281000</v>
      </c>
      <c r="AE5445" s="28">
        <v>5838026000</v>
      </c>
      <c r="AF5445" s="28">
        <v>392284000</v>
      </c>
      <c r="AG5445" s="11"/>
    </row>
    <row r="5446">
      <c r="A5446" s="7" t="s">
        <v>7056</v>
      </c>
      <c r="B5446" s="5" t="s">
        <v>15011</v>
      </c>
      <c r="C5446" s="5" t="s">
        <v>22711</v>
      </c>
      <c r="D5446" s="5" t="str">
        <v>352819549855</v>
      </c>
      <c r="E5446" s="0" t="e">
        <f>+7 (820) 2517955
+7 (8202) 553646</f>
        <v>#NAME?</v>
      </c>
      <c r="F5446" s="5"/>
      <c r="G5446" s="5"/>
      <c r="H5446" s="26">
        <v>26</v>
      </c>
      <c r="I5446" s="5"/>
      <c r="J5446" s="5" t="s">
        <v>26410</v>
      </c>
      <c r="K5446" s="5" t="s">
        <v>344</v>
      </c>
      <c r="L5446" s="5" t="s">
        <v>41420</v>
      </c>
      <c r="M5446" s="27"/>
      <c r="N5446" s="5"/>
      <c r="O5446" s="5" t="str">
        <v>3528052718</v>
      </c>
      <c r="P5446" s="27">
        <v>512200</v>
      </c>
      <c r="Q5446" s="5"/>
      <c r="R5446" s="5"/>
      <c r="S5446" s="5" t="s">
        <v>49029</v>
      </c>
      <c r="T5446" s="28">
        <v>462639000</v>
      </c>
      <c r="U5446" s="28">
        <v>72671000</v>
      </c>
      <c r="V5446" s="28">
        <v>528225000</v>
      </c>
      <c r="W5446" s="28">
        <v>1360000</v>
      </c>
      <c r="X5446" s="28">
        <v>348498000</v>
      </c>
      <c r="Y5446" s="28">
        <v>1884113000</v>
      </c>
      <c r="Z5446" s="28">
        <v>768827000</v>
      </c>
      <c r="AA5446" s="28">
        <v>126128000</v>
      </c>
      <c r="AB5446" s="28">
        <v>190392000</v>
      </c>
      <c r="AC5446" s="28">
        <v>743735000</v>
      </c>
      <c r="AD5446" s="28">
        <v>772670000</v>
      </c>
      <c r="AE5446" s="28">
        <v>5558142000</v>
      </c>
      <c r="AF5446" s="28">
        <v>687513000</v>
      </c>
      <c r="AG5446" s="11"/>
    </row>
    <row r="5447">
      <c r="A5447" s="7" t="s">
        <v>7057</v>
      </c>
      <c r="B5447" s="5" t="s">
        <v>15012</v>
      </c>
      <c r="C5447" s="5" t="s">
        <v>22712</v>
      </c>
      <c r="D5447" s="5" t="str">
        <v>462900307870</v>
      </c>
      <c r="E5447" s="0" t="e">
        <f>+7 (471) 2390464
+7 (471) 2507000
+7 (471) 2568864
+7 (4712) 390493
+7 (4712) 546363
+7 (800) 4447070
+7 (910) 3167678
+7 (919) 2178627</f>
        <v>#NAME?</v>
      </c>
      <c r="F5447" s="5" t="s">
        <v>41421</v>
      </c>
      <c r="G5447" s="5"/>
      <c r="H5447" s="26">
        <v>22</v>
      </c>
      <c r="I5447" s="5"/>
      <c r="J5447" s="5" t="s">
        <v>25805</v>
      </c>
      <c r="K5447" s="5" t="s">
        <v>344</v>
      </c>
      <c r="L5447" s="5" t="s">
        <v>41422</v>
      </c>
      <c r="M5447" s="27"/>
      <c r="N5447" s="5" t="s">
        <v>57106</v>
      </c>
      <c r="O5447" s="5" t="str">
        <v>4631014080</v>
      </c>
      <c r="P5447" s="27">
        <v>4000000</v>
      </c>
      <c r="Q5447" s="5" t="s">
        <v>49057</v>
      </c>
      <c r="R5447" s="5"/>
      <c r="S5447" s="5" t="s">
        <v>49440</v>
      </c>
      <c r="T5447" s="28">
        <v>255685000</v>
      </c>
      <c r="U5447" s="28">
        <v>17902000</v>
      </c>
      <c r="V5447" s="28">
        <v>3614294000</v>
      </c>
      <c r="W5447" s="28">
        <v>39900000</v>
      </c>
      <c r="X5447" s="28">
        <v>1717443000</v>
      </c>
      <c r="Y5447" s="28">
        <v>6393241000</v>
      </c>
      <c r="Z5447" s="28">
        <v>3799345000</v>
      </c>
      <c r="AA5447" s="28"/>
      <c r="AB5447" s="28">
        <v>548368000</v>
      </c>
      <c r="AC5447" s="28">
        <v>2565500000</v>
      </c>
      <c r="AD5447" s="28">
        <v>3803945000</v>
      </c>
      <c r="AE5447" s="28">
        <v>17468974000</v>
      </c>
      <c r="AF5447" s="28">
        <v>1006856000</v>
      </c>
      <c r="AG5447" s="11"/>
    </row>
    <row r="5448">
      <c r="A5448" s="7" t="s">
        <v>7058</v>
      </c>
      <c r="B5448" s="5" t="s">
        <v>15013</v>
      </c>
      <c r="C5448" s="5" t="s">
        <v>22713</v>
      </c>
      <c r="D5448" s="5" t="str">
        <v>231102605467</v>
      </c>
      <c r="E5448" s="0" t="e">
        <f>+7 (815) 2691718
+7 (921) 1615515
+7 (495) 1020080
+7 (815) 2551120
+7 (815) 2551121</f>
        <v>#NAME?</v>
      </c>
      <c r="F5448" s="5" t="s">
        <v>41423</v>
      </c>
      <c r="G5448" s="5" t="s">
        <v>41424</v>
      </c>
      <c r="H5448" s="26">
        <v>17.5</v>
      </c>
      <c r="I5448" s="5" t="s">
        <v>41425</v>
      </c>
      <c r="J5448" s="5" t="s">
        <v>32346</v>
      </c>
      <c r="K5448" s="5" t="s">
        <v>344</v>
      </c>
      <c r="L5448" s="5"/>
      <c r="M5448" s="27">
        <v>10500</v>
      </c>
      <c r="N5448" s="5"/>
      <c r="O5448" s="5" t="str">
        <v>5105012845</v>
      </c>
      <c r="P5448" s="27">
        <v>654000</v>
      </c>
      <c r="Q5448" s="5" t="s">
        <v>49009</v>
      </c>
      <c r="R5448" s="5" t="s">
        <v>57609</v>
      </c>
      <c r="S5448" s="5" t="s">
        <v>50023</v>
      </c>
      <c r="T5448" s="28">
        <v>1498043000</v>
      </c>
      <c r="U5448" s="28"/>
      <c r="V5448" s="28">
        <v>1623782000</v>
      </c>
      <c r="W5448" s="28">
        <v>1653000000</v>
      </c>
      <c r="X5448" s="28">
        <v>6618000</v>
      </c>
      <c r="Y5448" s="28">
        <v>9139759000</v>
      </c>
      <c r="Z5448" s="28">
        <v>2437866000</v>
      </c>
      <c r="AA5448" s="28">
        <v>4085392000</v>
      </c>
      <c r="AB5448" s="28">
        <v>270194000</v>
      </c>
      <c r="AC5448" s="28">
        <v>2461899000</v>
      </c>
      <c r="AD5448" s="28">
        <v>2587736000</v>
      </c>
      <c r="AE5448" s="28">
        <v>7616329000</v>
      </c>
      <c r="AF5448" s="28">
        <v>5115543000</v>
      </c>
      <c r="AG5448" s="11"/>
    </row>
    <row r="5449">
      <c r="A5449" s="7" t="s">
        <v>7059</v>
      </c>
      <c r="B5449" s="5" t="s">
        <v>15014</v>
      </c>
      <c r="C5449" s="5" t="s">
        <v>22714</v>
      </c>
      <c r="D5449" s="5" t="str">
        <v>773119914000</v>
      </c>
      <c r="E5449" s="0" t="e">
        <f>+7 (495) 7558460
+7 (495) 9337510
+7 (48431) 29180
+7 (495) 7558464
+7 (499) 9662379
+7 (800) 2000700</f>
        <v>#NAME?</v>
      </c>
      <c r="F5449" s="5" t="s">
        <v>41426</v>
      </c>
      <c r="G5449" s="5" t="s">
        <v>41427</v>
      </c>
      <c r="H5449" s="26">
        <v>27</v>
      </c>
      <c r="I5449" s="5"/>
      <c r="J5449" s="5" t="s">
        <v>26959</v>
      </c>
      <c r="K5449" s="5" t="s">
        <v>355</v>
      </c>
      <c r="L5449" s="5"/>
      <c r="M5449" s="27">
        <v>14012131</v>
      </c>
      <c r="N5449" s="5" t="s">
        <v>52804</v>
      </c>
      <c r="O5449" s="5" t="str">
        <v>7718117872</v>
      </c>
      <c r="P5449" s="27">
        <v>791888000</v>
      </c>
      <c r="Q5449" s="5" t="s">
        <v>49009</v>
      </c>
      <c r="R5449" s="5"/>
      <c r="S5449" s="5" t="s">
        <v>57610</v>
      </c>
      <c r="T5449" s="28">
        <v>2424348000</v>
      </c>
      <c r="U5449" s="28">
        <v>183660000</v>
      </c>
      <c r="V5449" s="28">
        <v>964440000</v>
      </c>
      <c r="W5449" s="28">
        <v>31175000</v>
      </c>
      <c r="X5449" s="28">
        <v>23987000</v>
      </c>
      <c r="Y5449" s="28">
        <v>4519875000</v>
      </c>
      <c r="Z5449" s="28">
        <v>-265448000</v>
      </c>
      <c r="AA5449" s="28">
        <v>1205592000</v>
      </c>
      <c r="AB5449" s="28">
        <v>277094000</v>
      </c>
      <c r="AC5449" s="28">
        <v>957333000</v>
      </c>
      <c r="AD5449" s="28">
        <v>1973890000</v>
      </c>
      <c r="AE5449" s="28">
        <v>5247771000</v>
      </c>
      <c r="AF5449" s="28">
        <v>19135000</v>
      </c>
      <c r="AG5449" s="11"/>
    </row>
    <row r="5450">
      <c r="A5450" s="7" t="s">
        <v>7060</v>
      </c>
      <c r="B5450" s="5" t="s">
        <v>15015</v>
      </c>
      <c r="C5450" s="5" t="s">
        <v>22715</v>
      </c>
      <c r="D5450" s="5" t="str">
        <v>246310862326</v>
      </c>
      <c r="E5450" s="0" t="e">
        <f>+7 (391) 2230223
+7 (391) 2737032
+7 (39145) 41020</f>
        <v>#NAME?</v>
      </c>
      <c r="F5450" s="5"/>
      <c r="G5450" s="5"/>
      <c r="H5450" s="26">
        <v>7.5</v>
      </c>
      <c r="I5450" s="5" t="s">
        <v>41428</v>
      </c>
      <c r="J5450" s="5" t="s">
        <v>26655</v>
      </c>
      <c r="K5450" s="5" t="s">
        <v>344</v>
      </c>
      <c r="L5450" s="5" t="s">
        <v>36448</v>
      </c>
      <c r="M5450" s="27">
        <v>423317</v>
      </c>
      <c r="N5450" s="5"/>
      <c r="O5450" s="5" t="str">
        <v>2463096688</v>
      </c>
      <c r="P5450" s="27">
        <v>500000</v>
      </c>
      <c r="Q5450" s="5" t="s">
        <v>49059</v>
      </c>
      <c r="R5450" s="5"/>
      <c r="S5450" s="5" t="s">
        <v>49010</v>
      </c>
      <c r="T5450" s="28">
        <v>121776000</v>
      </c>
      <c r="U5450" s="28"/>
      <c r="V5450" s="28">
        <v>154545000</v>
      </c>
      <c r="W5450" s="28"/>
      <c r="X5450" s="28">
        <v>99817000</v>
      </c>
      <c r="Y5450" s="28">
        <v>2386604000</v>
      </c>
      <c r="Z5450" s="28">
        <v>151141000</v>
      </c>
      <c r="AA5450" s="28"/>
      <c r="AB5450" s="28">
        <v>319136000</v>
      </c>
      <c r="AC5450" s="28">
        <v>2215887000</v>
      </c>
      <c r="AD5450" s="28">
        <v>151641000</v>
      </c>
      <c r="AE5450" s="28">
        <v>7848534000</v>
      </c>
      <c r="AF5450" s="28">
        <v>117895000</v>
      </c>
      <c r="AG5450" s="11"/>
    </row>
    <row r="5451">
      <c r="A5451" s="7" t="s">
        <v>7061</v>
      </c>
      <c r="B5451" s="5" t="s">
        <v>15016</v>
      </c>
      <c r="C5451" s="5" t="s">
        <v>22716</v>
      </c>
      <c r="D5451" s="5" t="str">
        <v>772911600810</v>
      </c>
      <c r="E5451" s="0" t="e">
        <f>+7 (495) 5105153
+7 (495) 5105154
+7 (499) 7137771
+7 (499) 7137772
+7 (495) 3634099
+7 (495) 8658922
+7 (495) 8658993
+7 (499) 7137774
+7 (499) 7137775
+7 (916) 3136344</f>
        <v>#NAME?</v>
      </c>
      <c r="F5451" s="5" t="s">
        <v>41429</v>
      </c>
      <c r="G5451" s="5" t="s">
        <v>41430</v>
      </c>
      <c r="H5451" s="26">
        <v>23</v>
      </c>
      <c r="I5451" s="5" t="s">
        <v>41431</v>
      </c>
      <c r="J5451" s="5" t="s">
        <v>27650</v>
      </c>
      <c r="K5451" s="5" t="s">
        <v>344</v>
      </c>
      <c r="L5451" s="5" t="s">
        <v>41432</v>
      </c>
      <c r="M5451" s="27">
        <v>3903096</v>
      </c>
      <c r="N5451" s="5"/>
      <c r="O5451" s="5" t="str">
        <v>5074018058</v>
      </c>
      <c r="P5451" s="27">
        <v>10000</v>
      </c>
      <c r="Q5451" s="5" t="s">
        <v>49059</v>
      </c>
      <c r="R5451" s="5"/>
      <c r="S5451" s="5" t="s">
        <v>49028</v>
      </c>
      <c r="T5451" s="28">
        <v>72387000</v>
      </c>
      <c r="U5451" s="28">
        <v>48300000</v>
      </c>
      <c r="V5451" s="28">
        <v>492696000</v>
      </c>
      <c r="W5451" s="28"/>
      <c r="X5451" s="28">
        <v>13508000</v>
      </c>
      <c r="Y5451" s="28">
        <v>1315305000</v>
      </c>
      <c r="Z5451" s="28">
        <v>1086634000</v>
      </c>
      <c r="AA5451" s="28"/>
      <c r="AB5451" s="28">
        <v>136000000</v>
      </c>
      <c r="AC5451" s="28">
        <v>228109000</v>
      </c>
      <c r="AD5451" s="28">
        <v>1086644000</v>
      </c>
      <c r="AE5451" s="28">
        <v>3992540000</v>
      </c>
      <c r="AF5451" s="28">
        <v>392274000</v>
      </c>
      <c r="AG5451" s="11"/>
    </row>
    <row r="5452">
      <c r="A5452" s="7" t="s">
        <v>7062</v>
      </c>
      <c r="B5452" s="5" t="s">
        <v>15017</v>
      </c>
      <c r="C5452" s="5" t="s">
        <v>22717</v>
      </c>
      <c r="D5452" s="5" t="str">
        <v>590612937087</v>
      </c>
      <c r="E5452" s="0" t="e">
        <f>+7 (817) 2215091
+7 (817) 2215101
+7 (817) 2215121
+7 (817) 2215200
+7 (817) 2215204
+7 (817) 2215230
+7 (817) 2215271
+7 (817) 2215356
+7 (817) 2215488
+7 (817) 2215678</f>
        <v>#NAME?</v>
      </c>
      <c r="F5452" s="5" t="s">
        <v>41433</v>
      </c>
      <c r="G5452" s="5"/>
      <c r="H5452" s="26">
        <v>15.5</v>
      </c>
      <c r="I5452" s="5" t="s">
        <v>41434</v>
      </c>
      <c r="J5452" s="5" t="s">
        <v>26503</v>
      </c>
      <c r="K5452" s="5" t="s">
        <v>344</v>
      </c>
      <c r="L5452" s="5" t="s">
        <v>41435</v>
      </c>
      <c r="M5452" s="27"/>
      <c r="N5452" s="5"/>
      <c r="O5452" s="5" t="str">
        <v>4720027123</v>
      </c>
      <c r="P5452" s="27">
        <v>200000000</v>
      </c>
      <c r="Q5452" s="5" t="s">
        <v>49021</v>
      </c>
      <c r="R5452" s="5"/>
      <c r="S5452" s="5" t="s">
        <v>57611</v>
      </c>
      <c r="T5452" s="28">
        <v>529362000</v>
      </c>
      <c r="U5452" s="28">
        <v>8000000</v>
      </c>
      <c r="V5452" s="28">
        <v>3100609000</v>
      </c>
      <c r="W5452" s="28"/>
      <c r="X5452" s="28">
        <v>180000</v>
      </c>
      <c r="Y5452" s="28">
        <v>3941706000</v>
      </c>
      <c r="Z5452" s="28">
        <v>728210000</v>
      </c>
      <c r="AA5452" s="28"/>
      <c r="AB5452" s="28"/>
      <c r="AC5452" s="28">
        <v>2942330000</v>
      </c>
      <c r="AD5452" s="28">
        <v>928210000</v>
      </c>
      <c r="AE5452" s="28">
        <v>4166700000</v>
      </c>
      <c r="AF5452" s="28">
        <v>170760000</v>
      </c>
      <c r="AG5452" s="11"/>
    </row>
    <row r="5453">
      <c r="A5453" s="7" t="s">
        <v>7063</v>
      </c>
      <c r="B5453" s="5" t="s">
        <v>15018</v>
      </c>
      <c r="C5453" s="5" t="s">
        <v>22718</v>
      </c>
      <c r="D5453" s="5" t="str">
        <v>672702051900</v>
      </c>
      <c r="E5453" s="0" t="e">
        <f>+7 (495) 2122842</f>
        <v>#NAME?</v>
      </c>
      <c r="F5453" s="5" t="s">
        <v>41436</v>
      </c>
      <c r="G5453" s="5"/>
      <c r="H5453" s="26">
        <v>6</v>
      </c>
      <c r="I5453" s="5" t="s">
        <v>41437</v>
      </c>
      <c r="J5453" s="5" t="s">
        <v>41438</v>
      </c>
      <c r="K5453" s="5" t="s">
        <v>344</v>
      </c>
      <c r="L5453" s="5"/>
      <c r="M5453" s="27"/>
      <c r="N5453" s="5"/>
      <c r="O5453" s="5" t="str">
        <v>7719465216</v>
      </c>
      <c r="P5453" s="27">
        <v>5256966384</v>
      </c>
      <c r="Q5453" s="5"/>
      <c r="R5453" s="5"/>
      <c r="S5453" s="5" t="s">
        <v>49053</v>
      </c>
      <c r="T5453" s="28"/>
      <c r="U5453" s="28">
        <v>3172127000</v>
      </c>
      <c r="V5453" s="28">
        <v>489000</v>
      </c>
      <c r="W5453" s="28"/>
      <c r="X5453" s="28">
        <v>18643000</v>
      </c>
      <c r="Y5453" s="28">
        <v>3606321000</v>
      </c>
      <c r="Z5453" s="28">
        <v>-1651741000</v>
      </c>
      <c r="AA5453" s="28"/>
      <c r="AB5453" s="28"/>
      <c r="AC5453" s="28">
        <v>1096000</v>
      </c>
      <c r="AD5453" s="28">
        <v>3605225000</v>
      </c>
      <c r="AE5453" s="28">
        <v>5887912000</v>
      </c>
      <c r="AF5453" s="28">
        <v>-1657459000</v>
      </c>
      <c r="AG5453" s="11"/>
    </row>
    <row r="5454">
      <c r="A5454" s="7" t="s">
        <v>7064</v>
      </c>
      <c r="B5454" s="5" t="s">
        <v>15019</v>
      </c>
      <c r="C5454" s="5" t="s">
        <v>20515</v>
      </c>
      <c r="D5454" s="5" t="str">
        <v>232204212107</v>
      </c>
      <c r="E5454" s="0" t="e">
        <f>+7 (416) 2222601
+7 (495) 2252205
+7 (391) 2525443
+7 (495) 2252505</f>
        <v>#NAME?</v>
      </c>
      <c r="F5454" s="5" t="s">
        <v>41439</v>
      </c>
      <c r="G5454" s="5" t="s">
        <v>40349</v>
      </c>
      <c r="H5454" s="26">
        <v>14</v>
      </c>
      <c r="I5454" s="5"/>
      <c r="J5454" s="5" t="s">
        <v>25283</v>
      </c>
      <c r="K5454" s="5" t="s">
        <v>355</v>
      </c>
      <c r="L5454" s="5"/>
      <c r="M5454" s="27">
        <v>2262681</v>
      </c>
      <c r="N5454" s="5" t="s">
        <v>57612</v>
      </c>
      <c r="O5454" s="5" t="str">
        <v>7705880068</v>
      </c>
      <c r="P5454" s="27">
        <v>1031374000</v>
      </c>
      <c r="Q5454" s="5" t="s">
        <v>57613</v>
      </c>
      <c r="R5454" s="5"/>
      <c r="S5454" s="5" t="s">
        <v>57614</v>
      </c>
      <c r="T5454" s="28">
        <v>157230000</v>
      </c>
      <c r="U5454" s="28">
        <v>19616859000</v>
      </c>
      <c r="V5454" s="28">
        <v>20300776000</v>
      </c>
      <c r="W5454" s="28">
        <v>1333000000</v>
      </c>
      <c r="X5454" s="28">
        <v>444459000</v>
      </c>
      <c r="Y5454" s="28">
        <v>57422345000</v>
      </c>
      <c r="Z5454" s="28">
        <v>-31980274000</v>
      </c>
      <c r="AA5454" s="28">
        <v>3086835000</v>
      </c>
      <c r="AB5454" s="28">
        <v>2463965000</v>
      </c>
      <c r="AC5454" s="28">
        <v>84651367000</v>
      </c>
      <c r="AD5454" s="28">
        <v>-30897329000</v>
      </c>
      <c r="AE5454" s="28">
        <v>72141029000</v>
      </c>
      <c r="AF5454" s="28">
        <v>-34158374000</v>
      </c>
      <c r="AG5454" s="11"/>
    </row>
    <row r="5455">
      <c r="A5455" s="7" t="s">
        <v>7065</v>
      </c>
      <c r="B5455" s="5" t="s">
        <v>15020</v>
      </c>
      <c r="C5455" s="5" t="s">
        <v>22708</v>
      </c>
      <c r="D5455" s="5"/>
      <c r="E5455" s="0" t="e">
        <f>+7 (495) 9892679
+7 (915) 3200069
+7 (920) 9864313
+7 (930) 8819262
+7 (915) 9200069
+7 (495) 6482949
+7 (49676) 30355</f>
        <v>#NAME?</v>
      </c>
      <c r="F5455" s="5" t="s">
        <v>41440</v>
      </c>
      <c r="G5455" s="5" t="s">
        <v>41441</v>
      </c>
      <c r="H5455" s="26">
        <v>5.5</v>
      </c>
      <c r="I5455" s="5" t="s">
        <v>41442</v>
      </c>
      <c r="J5455" s="5" t="s">
        <v>27695</v>
      </c>
      <c r="K5455" s="5" t="s">
        <v>344</v>
      </c>
      <c r="L5455" s="5"/>
      <c r="M5455" s="27">
        <v>32644814</v>
      </c>
      <c r="N5455" s="5" t="s">
        <v>57615</v>
      </c>
      <c r="O5455" s="5" t="str">
        <v>5036169754</v>
      </c>
      <c r="P5455" s="27">
        <v>260595589</v>
      </c>
      <c r="Q5455" s="5"/>
      <c r="R5455" s="5" t="s">
        <v>50446</v>
      </c>
      <c r="S5455" s="5" t="s">
        <v>53269</v>
      </c>
      <c r="T5455" s="28">
        <v>2392870000</v>
      </c>
      <c r="U5455" s="28">
        <v>423000</v>
      </c>
      <c r="V5455" s="28">
        <v>833358000</v>
      </c>
      <c r="W5455" s="28">
        <v>141685000</v>
      </c>
      <c r="X5455" s="28">
        <v>1540000</v>
      </c>
      <c r="Y5455" s="28">
        <v>4192744000</v>
      </c>
      <c r="Z5455" s="28">
        <v>629243000</v>
      </c>
      <c r="AA5455" s="28">
        <v>99028000</v>
      </c>
      <c r="AB5455" s="28">
        <v>1318008000</v>
      </c>
      <c r="AC5455" s="28">
        <v>3040324000</v>
      </c>
      <c r="AD5455" s="28">
        <v>889839000</v>
      </c>
      <c r="AE5455" s="28">
        <v>7800478000</v>
      </c>
      <c r="AF5455" s="28">
        <v>22194000</v>
      </c>
      <c r="AG5455" s="11"/>
    </row>
    <row r="5456">
      <c r="A5456" s="7" t="s">
        <v>7066</v>
      </c>
      <c r="B5456" s="5" t="s">
        <v>15021</v>
      </c>
      <c r="C5456" s="5" t="s">
        <v>22719</v>
      </c>
      <c r="D5456" s="5" t="str">
        <v>771810514810</v>
      </c>
      <c r="E5456" s="0" t="e">
        <f>+7 (495) 7822983
+7 (800) 3338822</f>
        <v>#NAME?</v>
      </c>
      <c r="F5456" s="5"/>
      <c r="G5456" s="5" t="s">
        <v>41443</v>
      </c>
      <c r="H5456" s="26">
        <v>19.5</v>
      </c>
      <c r="I5456" s="5" t="s">
        <v>41444</v>
      </c>
      <c r="J5456" s="5" t="s">
        <v>25231</v>
      </c>
      <c r="K5456" s="5" t="s">
        <v>344</v>
      </c>
      <c r="L5456" s="5" t="s">
        <v>41445</v>
      </c>
      <c r="M5456" s="27"/>
      <c r="N5456" s="5" t="s">
        <v>51979</v>
      </c>
      <c r="O5456" s="5" t="str">
        <v>7730168552</v>
      </c>
      <c r="P5456" s="27">
        <v>10000</v>
      </c>
      <c r="Q5456" s="5"/>
      <c r="R5456" s="5"/>
      <c r="S5456" s="5" t="s">
        <v>49110</v>
      </c>
      <c r="T5456" s="28">
        <v>152479000</v>
      </c>
      <c r="U5456" s="28">
        <v>10504000</v>
      </c>
      <c r="V5456" s="28">
        <v>2021487000</v>
      </c>
      <c r="W5456" s="28">
        <v>1828043000</v>
      </c>
      <c r="X5456" s="28">
        <v>115413000</v>
      </c>
      <c r="Y5456" s="28">
        <v>4787197000</v>
      </c>
      <c r="Z5456" s="28">
        <v>1799058000</v>
      </c>
      <c r="AA5456" s="28">
        <v>338156000</v>
      </c>
      <c r="AB5456" s="28">
        <v>277256000</v>
      </c>
      <c r="AC5456" s="28">
        <v>2619887000</v>
      </c>
      <c r="AD5456" s="28">
        <v>1799068000</v>
      </c>
      <c r="AE5456" s="28">
        <v>15607631000</v>
      </c>
      <c r="AF5456" s="28">
        <v>436257000</v>
      </c>
      <c r="AG5456" s="11"/>
    </row>
    <row r="5457">
      <c r="A5457" s="7" t="s">
        <v>7067</v>
      </c>
      <c r="B5457" s="5" t="s">
        <v>15022</v>
      </c>
      <c r="C5457" s="5" t="s">
        <v>22720</v>
      </c>
      <c r="D5457" s="5" t="str">
        <v>780156903706</v>
      </c>
      <c r="E5457" s="0" t="e">
        <f>+7 (495) 6489050
+7 (495) 6489051
+7 (495) 7754158
+7 (495) 7898960
+7 (495) 7976790
+7 (495) 8271960</f>
        <v>#NAME?</v>
      </c>
      <c r="F5457" s="5" t="s">
        <v>41446</v>
      </c>
      <c r="G5457" s="5" t="s">
        <v>41447</v>
      </c>
      <c r="H5457" s="26">
        <v>20.5</v>
      </c>
      <c r="I5457" s="5"/>
      <c r="J5457" s="5" t="s">
        <v>27650</v>
      </c>
      <c r="K5457" s="5" t="s">
        <v>344</v>
      </c>
      <c r="L5457" s="5" t="s">
        <v>41448</v>
      </c>
      <c r="M5457" s="27"/>
      <c r="N5457" s="5"/>
      <c r="O5457" s="5" t="str">
        <v>5031033020</v>
      </c>
      <c r="P5457" s="27">
        <v>2526383000</v>
      </c>
      <c r="Q5457" s="5" t="s">
        <v>49579</v>
      </c>
      <c r="R5457" s="5" t="s">
        <v>57616</v>
      </c>
      <c r="S5457" s="5" t="s">
        <v>51955</v>
      </c>
      <c r="T5457" s="28">
        <v>1179776000</v>
      </c>
      <c r="U5457" s="28">
        <v>39107000</v>
      </c>
      <c r="V5457" s="28">
        <v>5206273000</v>
      </c>
      <c r="W5457" s="28">
        <v>248000000</v>
      </c>
      <c r="X5457" s="28">
        <v>94768000</v>
      </c>
      <c r="Y5457" s="28">
        <v>9165238000</v>
      </c>
      <c r="Z5457" s="28">
        <v>-879963000</v>
      </c>
      <c r="AA5457" s="28"/>
      <c r="AB5457" s="28">
        <v>891082000</v>
      </c>
      <c r="AC5457" s="28">
        <v>6489004000</v>
      </c>
      <c r="AD5457" s="28">
        <v>2642847000</v>
      </c>
      <c r="AE5457" s="28">
        <v>26704462000</v>
      </c>
      <c r="AF5457" s="28">
        <v>568977000</v>
      </c>
      <c r="AG5457" s="11"/>
    </row>
    <row r="5458">
      <c r="A5458" s="7" t="s">
        <v>7068</v>
      </c>
      <c r="B5458" s="5" t="s">
        <v>15023</v>
      </c>
      <c r="C5458" s="5" t="s">
        <v>22721</v>
      </c>
      <c r="D5458" s="5" t="str">
        <v>772903502802</v>
      </c>
      <c r="E5458" s="0" t="e">
        <f>+7 (925) 8062210
+7 (3412) 570420
+7 (3412) 793040
+7 (495) 7488860</f>
        <v>#NAME?</v>
      </c>
      <c r="F5458" s="5" t="s">
        <v>41449</v>
      </c>
      <c r="G5458" s="5"/>
      <c r="H5458" s="26">
        <v>9</v>
      </c>
      <c r="I5458" s="5" t="s">
        <v>41450</v>
      </c>
      <c r="J5458" s="5" t="s">
        <v>41451</v>
      </c>
      <c r="K5458" s="5" t="s">
        <v>344</v>
      </c>
      <c r="L5458" s="5" t="s">
        <v>41452</v>
      </c>
      <c r="M5458" s="27">
        <v>762436</v>
      </c>
      <c r="N5458" s="5" t="s">
        <v>57617</v>
      </c>
      <c r="O5458" s="5" t="str">
        <v>5012083843</v>
      </c>
      <c r="P5458" s="27">
        <v>289050000</v>
      </c>
      <c r="Q5458" s="5" t="s">
        <v>49207</v>
      </c>
      <c r="R5458" s="5"/>
      <c r="S5458" s="5" t="s">
        <v>57618</v>
      </c>
      <c r="T5458" s="28">
        <v>46962000</v>
      </c>
      <c r="U5458" s="28">
        <v>2558000</v>
      </c>
      <c r="V5458" s="28">
        <v>412220000</v>
      </c>
      <c r="W5458" s="28"/>
      <c r="X5458" s="28">
        <v>31138000</v>
      </c>
      <c r="Y5458" s="28">
        <v>1306397000</v>
      </c>
      <c r="Z5458" s="28">
        <v>413269000</v>
      </c>
      <c r="AA5458" s="28"/>
      <c r="AB5458" s="28"/>
      <c r="AC5458" s="28">
        <v>580418000</v>
      </c>
      <c r="AD5458" s="28">
        <v>702319000</v>
      </c>
      <c r="AE5458" s="28">
        <v>3286916000</v>
      </c>
      <c r="AF5458" s="28">
        <v>145067000</v>
      </c>
      <c r="AG5458" s="11"/>
    </row>
    <row r="5459">
      <c r="A5459" s="7" t="s">
        <v>7069</v>
      </c>
      <c r="B5459" s="5" t="s">
        <v>15024</v>
      </c>
      <c r="C5459" s="5" t="s">
        <v>22722</v>
      </c>
      <c r="D5459" s="5" t="str">
        <v>637700276860</v>
      </c>
      <c r="E5459" s="0" t="e">
        <f>+7 (8452) 393555
+7 (495) 4116309
+7 (495) 4116312
+7 (495) 4116333</f>
        <v>#NAME?</v>
      </c>
      <c r="F5459" s="5" t="s">
        <v>41453</v>
      </c>
      <c r="G5459" s="5"/>
      <c r="H5459" s="26">
        <v>20.5</v>
      </c>
      <c r="I5459" s="5" t="s">
        <v>41454</v>
      </c>
      <c r="J5459" s="5" t="s">
        <v>26607</v>
      </c>
      <c r="K5459" s="5" t="s">
        <v>355</v>
      </c>
      <c r="L5459" s="5"/>
      <c r="M5459" s="27">
        <v>380979</v>
      </c>
      <c r="N5459" s="5" t="s">
        <v>57619</v>
      </c>
      <c r="O5459" s="5" t="str">
        <v>7717133960</v>
      </c>
      <c r="P5459" s="27">
        <v>196076000</v>
      </c>
      <c r="Q5459" s="5" t="s">
        <v>57620</v>
      </c>
      <c r="R5459" s="5"/>
      <c r="S5459" s="5" t="s">
        <v>49956</v>
      </c>
      <c r="T5459" s="28">
        <v>75947520000</v>
      </c>
      <c r="U5459" s="28">
        <v>115669152000</v>
      </c>
      <c r="V5459" s="28">
        <v>58449144000</v>
      </c>
      <c r="W5459" s="28">
        <v>14650876000</v>
      </c>
      <c r="X5459" s="28">
        <v>1541208000</v>
      </c>
      <c r="Y5459" s="28">
        <v>311835137000</v>
      </c>
      <c r="Z5459" s="28">
        <v>36503943000</v>
      </c>
      <c r="AA5459" s="28">
        <v>66205086000</v>
      </c>
      <c r="AB5459" s="28">
        <v>6589362000</v>
      </c>
      <c r="AC5459" s="28">
        <v>111398512000</v>
      </c>
      <c r="AD5459" s="28">
        <v>101682199000</v>
      </c>
      <c r="AE5459" s="28">
        <v>274768744000</v>
      </c>
      <c r="AF5459" s="28">
        <v>8407525000</v>
      </c>
      <c r="AG5459" s="11"/>
    </row>
    <row r="5460">
      <c r="A5460" s="7" t="s">
        <v>7070</v>
      </c>
      <c r="B5460" s="5" t="s">
        <v>15025</v>
      </c>
      <c r="C5460" s="5" t="s">
        <v>22723</v>
      </c>
      <c r="D5460" s="5"/>
      <c r="E5460" s="0" t="e">
        <f>+7 (812) 6122212</f>
        <v>#NAME?</v>
      </c>
      <c r="F5460" s="5"/>
      <c r="G5460" s="5"/>
      <c r="H5460" s="26">
        <v>11</v>
      </c>
      <c r="I5460" s="5" t="s">
        <v>41455</v>
      </c>
      <c r="J5460" s="5" t="s">
        <v>373</v>
      </c>
      <c r="K5460" s="5" t="s">
        <v>344</v>
      </c>
      <c r="L5460" s="5" t="s">
        <v>41456</v>
      </c>
      <c r="M5460" s="27"/>
      <c r="N5460" s="5"/>
      <c r="O5460" s="5" t="str">
        <v>7801571270</v>
      </c>
      <c r="P5460" s="27">
        <v>500000</v>
      </c>
      <c r="Q5460" s="5" t="s">
        <v>49059</v>
      </c>
      <c r="R5460" s="5"/>
      <c r="S5460" s="5" t="s">
        <v>49452</v>
      </c>
      <c r="T5460" s="28">
        <v>4564000</v>
      </c>
      <c r="U5460" s="28"/>
      <c r="V5460" s="28">
        <v>750668000</v>
      </c>
      <c r="W5460" s="28">
        <v>25000000</v>
      </c>
      <c r="X5460" s="28">
        <v>5173000</v>
      </c>
      <c r="Y5460" s="28">
        <v>958606000</v>
      </c>
      <c r="Z5460" s="28">
        <v>134263000</v>
      </c>
      <c r="AA5460" s="28">
        <v>113000000</v>
      </c>
      <c r="AB5460" s="28">
        <v>412898000</v>
      </c>
      <c r="AC5460" s="28">
        <v>707814000</v>
      </c>
      <c r="AD5460" s="28">
        <v>134763000</v>
      </c>
      <c r="AE5460" s="28">
        <v>3288513000</v>
      </c>
      <c r="AF5460" s="28">
        <v>11868000</v>
      </c>
      <c r="AG5460" s="11"/>
    </row>
    <row r="5461">
      <c r="A5461" s="7" t="s">
        <v>1195</v>
      </c>
      <c r="B5461" s="5" t="s">
        <v>1196</v>
      </c>
      <c r="C5461" s="5" t="s">
        <v>1197</v>
      </c>
      <c r="D5461" s="5" t="str">
        <v>782615381770</v>
      </c>
      <c r="E5461" s="0" t="e">
        <f>+7 (921) 9237175
+7 (911) 6104
+7 (800) 2226847
+7 (812) 4673211
+7 (812) 6122212
+7 (911) 6182</f>
        <v>#NAME?</v>
      </c>
      <c r="F5461" s="5" t="s">
        <v>1199</v>
      </c>
      <c r="G5461" s="5" t="s">
        <v>41457</v>
      </c>
      <c r="H5461" s="26">
        <v>11.5</v>
      </c>
      <c r="I5461" s="5" t="s">
        <v>1200</v>
      </c>
      <c r="J5461" s="5" t="s">
        <v>373</v>
      </c>
      <c r="K5461" s="5" t="s">
        <v>344</v>
      </c>
      <c r="L5461" s="5" t="s">
        <v>1201</v>
      </c>
      <c r="M5461" s="27"/>
      <c r="N5461" s="5" t="s">
        <v>57621</v>
      </c>
      <c r="O5461" s="5" t="str">
        <v>7840454034</v>
      </c>
      <c r="P5461" s="27">
        <v>12000000</v>
      </c>
      <c r="Q5461" s="5" t="s">
        <v>57622</v>
      </c>
      <c r="R5461" s="5"/>
      <c r="S5461" s="5" t="s">
        <v>57623</v>
      </c>
      <c r="T5461" s="28">
        <v>124397000</v>
      </c>
      <c r="U5461" s="28">
        <v>600000</v>
      </c>
      <c r="V5461" s="28">
        <v>879326000</v>
      </c>
      <c r="W5461" s="28">
        <v>238703000</v>
      </c>
      <c r="X5461" s="28">
        <v>115831000</v>
      </c>
      <c r="Y5461" s="28">
        <v>1851595000</v>
      </c>
      <c r="Z5461" s="28">
        <v>252154000</v>
      </c>
      <c r="AA5461" s="28">
        <v>130000000</v>
      </c>
      <c r="AB5461" s="28">
        <v>318290000</v>
      </c>
      <c r="AC5461" s="28">
        <v>1424662000</v>
      </c>
      <c r="AD5461" s="28">
        <v>281744000</v>
      </c>
      <c r="AE5461" s="28">
        <v>9127067000</v>
      </c>
      <c r="AF5461" s="28">
        <v>90750000</v>
      </c>
      <c r="AG5461" s="11"/>
    </row>
    <row r="5462">
      <c r="A5462" s="7" t="s">
        <v>7071</v>
      </c>
      <c r="B5462" s="5" t="s">
        <v>15026</v>
      </c>
      <c r="C5462" s="5" t="s">
        <v>22724</v>
      </c>
      <c r="D5462" s="5" t="str">
        <v>560900983500</v>
      </c>
      <c r="E5462" s="0" t="e">
        <f>+7 (35323) 42309
+7 (35323) 42323
+7 (35323) 42324
+7 (35323) 42366
+7 (35323) 42368
+7 (35323) 42369
+7 (35323) 42370
+7 (35323) 42371
+7 (35323) 42372
+7 (35323) 42373
+7 (35325) 72551</f>
        <v>#NAME?</v>
      </c>
      <c r="F5462" s="5" t="s">
        <v>41458</v>
      </c>
      <c r="G5462" s="5" t="s">
        <v>41459</v>
      </c>
      <c r="H5462" s="26">
        <v>14.5</v>
      </c>
      <c r="I5462" s="5" t="s">
        <v>41460</v>
      </c>
      <c r="J5462" s="5" t="s">
        <v>41461</v>
      </c>
      <c r="K5462" s="5" t="s">
        <v>344</v>
      </c>
      <c r="L5462" s="5" t="s">
        <v>41462</v>
      </c>
      <c r="M5462" s="27">
        <v>77532832</v>
      </c>
      <c r="N5462" s="5" t="s">
        <v>57624</v>
      </c>
      <c r="O5462" s="5" t="str">
        <v>5611055980</v>
      </c>
      <c r="P5462" s="27">
        <v>1615145000</v>
      </c>
      <c r="Q5462" s="5" t="s">
        <v>57625</v>
      </c>
      <c r="R5462" s="5" t="s">
        <v>57626</v>
      </c>
      <c r="S5462" s="5" t="s">
        <v>50902</v>
      </c>
      <c r="T5462" s="28">
        <v>5594217000</v>
      </c>
      <c r="U5462" s="28">
        <v>20000</v>
      </c>
      <c r="V5462" s="28">
        <v>119620000</v>
      </c>
      <c r="W5462" s="28"/>
      <c r="X5462" s="28">
        <v>7157450000</v>
      </c>
      <c r="Y5462" s="28">
        <v>13228736000</v>
      </c>
      <c r="Z5462" s="28">
        <v>9122307000</v>
      </c>
      <c r="AA5462" s="28"/>
      <c r="AB5462" s="28"/>
      <c r="AC5462" s="28">
        <v>2097344000</v>
      </c>
      <c r="AD5462" s="28">
        <v>10687452000</v>
      </c>
      <c r="AE5462" s="28">
        <v>13849741000</v>
      </c>
      <c r="AF5462" s="28">
        <v>5716268000</v>
      </c>
      <c r="AG5462" s="11"/>
    </row>
    <row r="5463">
      <c r="A5463" s="7" t="s">
        <v>7072</v>
      </c>
      <c r="B5463" s="5" t="s">
        <v>15027</v>
      </c>
      <c r="C5463" s="5" t="s">
        <v>22725</v>
      </c>
      <c r="D5463" s="5" t="str">
        <v>773409724668</v>
      </c>
      <c r="E5463" s="0" t="e">
        <f>+7 (926) 9916278
+7 (968) 7191339
+7 (999) 5415548
+7 (495) 5891936</f>
        <v>#NAME?</v>
      </c>
      <c r="F5463" s="5" t="s">
        <v>41463</v>
      </c>
      <c r="G5463" s="5" t="s">
        <v>41464</v>
      </c>
      <c r="H5463" s="26">
        <v>15.5</v>
      </c>
      <c r="I5463" s="5" t="s">
        <v>41465</v>
      </c>
      <c r="J5463" s="5" t="s">
        <v>585</v>
      </c>
      <c r="K5463" s="5" t="s">
        <v>344</v>
      </c>
      <c r="L5463" s="5" t="s">
        <v>41466</v>
      </c>
      <c r="M5463" s="27">
        <v>224494</v>
      </c>
      <c r="N5463" s="5" t="s">
        <v>57627</v>
      </c>
      <c r="O5463" s="5" t="str">
        <v>7729583071</v>
      </c>
      <c r="P5463" s="27">
        <v>1000000</v>
      </c>
      <c r="Q5463" s="5" t="s">
        <v>57629</v>
      </c>
      <c r="R5463" s="5"/>
      <c r="S5463" s="5" t="s">
        <v>57630</v>
      </c>
      <c r="T5463" s="28">
        <v>400335000</v>
      </c>
      <c r="U5463" s="28"/>
      <c r="V5463" s="28">
        <v>1667761000</v>
      </c>
      <c r="W5463" s="28"/>
      <c r="X5463" s="28">
        <v>2035948000</v>
      </c>
      <c r="Y5463" s="28">
        <v>4724470000</v>
      </c>
      <c r="Z5463" s="28">
        <v>1232289000</v>
      </c>
      <c r="AA5463" s="28"/>
      <c r="AB5463" s="28"/>
      <c r="AC5463" s="28">
        <v>3092906000</v>
      </c>
      <c r="AD5463" s="28">
        <v>1233289000</v>
      </c>
      <c r="AE5463" s="28">
        <v>12185046000</v>
      </c>
      <c r="AF5463" s="28">
        <v>759679000</v>
      </c>
      <c r="AG5463" s="11"/>
    </row>
    <row r="5464">
      <c r="A5464" s="7" t="s">
        <v>7073</v>
      </c>
      <c r="B5464" s="5" t="s">
        <v>15028</v>
      </c>
      <c r="C5464" s="5" t="s">
        <v>20628</v>
      </c>
      <c r="D5464" s="5"/>
      <c r="E5464" s="0" t="e">
        <f>+7 (495) 2879860
+7 (495) 2869760
+7 (495) 7771777
+7 (812) 4493222
+7 (812) 4495257
+7 (812) 4498040</f>
        <v>#NAME?</v>
      </c>
      <c r="F5464" s="5" t="s">
        <v>41467</v>
      </c>
      <c r="G5464" s="5" t="s">
        <v>33804</v>
      </c>
      <c r="H5464" s="26">
        <v>31</v>
      </c>
      <c r="I5464" s="5"/>
      <c r="J5464" s="5" t="s">
        <v>25332</v>
      </c>
      <c r="K5464" s="5" t="s">
        <v>344</v>
      </c>
      <c r="L5464" s="5" t="s">
        <v>41468</v>
      </c>
      <c r="M5464" s="27">
        <v>2855314</v>
      </c>
      <c r="N5464" s="5" t="s">
        <v>57631</v>
      </c>
      <c r="O5464" s="5" t="str">
        <v>7703058663</v>
      </c>
      <c r="P5464" s="27">
        <v>10000000</v>
      </c>
      <c r="Q5464" s="5" t="s">
        <v>49217</v>
      </c>
      <c r="R5464" s="5"/>
      <c r="S5464" s="5" t="s">
        <v>57632</v>
      </c>
      <c r="T5464" s="28">
        <v>84473000</v>
      </c>
      <c r="U5464" s="28">
        <v>2247000</v>
      </c>
      <c r="V5464" s="28">
        <v>6665255000</v>
      </c>
      <c r="W5464" s="28">
        <v>5248419000</v>
      </c>
      <c r="X5464" s="28">
        <v>68427000</v>
      </c>
      <c r="Y5464" s="28">
        <v>14488855000</v>
      </c>
      <c r="Z5464" s="28">
        <v>809205000</v>
      </c>
      <c r="AA5464" s="28"/>
      <c r="AB5464" s="28">
        <v>2837216000</v>
      </c>
      <c r="AC5464" s="28">
        <v>12696871000</v>
      </c>
      <c r="AD5464" s="28">
        <v>1518259000</v>
      </c>
      <c r="AE5464" s="28">
        <v>18499992000</v>
      </c>
      <c r="AF5464" s="28">
        <v>249269000</v>
      </c>
      <c r="AG5464" s="11"/>
    </row>
    <row r="5465">
      <c r="A5465" s="7" t="s">
        <v>7074</v>
      </c>
      <c r="B5465" s="5" t="s">
        <v>15029</v>
      </c>
      <c r="C5465" s="5" t="s">
        <v>22726</v>
      </c>
      <c r="D5465" s="5" t="str">
        <v>771992625897</v>
      </c>
      <c r="E5465" s="0" t="e">
        <f>+7 (495) 7373842
+7 (925) 8217581</f>
        <v>#NAME?</v>
      </c>
      <c r="F5465" s="5" t="s">
        <v>41469</v>
      </c>
      <c r="G5465" s="5"/>
      <c r="H5465" s="26">
        <v>7.5</v>
      </c>
      <c r="I5465" s="5" t="s">
        <v>41470</v>
      </c>
      <c r="J5465" s="5" t="s">
        <v>26851</v>
      </c>
      <c r="K5465" s="5" t="s">
        <v>344</v>
      </c>
      <c r="L5465" s="5" t="s">
        <v>41471</v>
      </c>
      <c r="M5465" s="27"/>
      <c r="N5465" s="5"/>
      <c r="O5465" s="5" t="str">
        <v>5031115459</v>
      </c>
      <c r="P5465" s="27">
        <v>1500000</v>
      </c>
      <c r="Q5465" s="5" t="s">
        <v>49021</v>
      </c>
      <c r="R5465" s="5"/>
      <c r="S5465" s="5" t="s">
        <v>57633</v>
      </c>
      <c r="T5465" s="28">
        <v>451544000</v>
      </c>
      <c r="U5465" s="28"/>
      <c r="V5465" s="28">
        <v>959733000</v>
      </c>
      <c r="W5465" s="28"/>
      <c r="X5465" s="28">
        <v>18741000</v>
      </c>
      <c r="Y5465" s="28">
        <v>2629185000</v>
      </c>
      <c r="Z5465" s="28">
        <v>1206221000</v>
      </c>
      <c r="AA5465" s="28">
        <v>600000000</v>
      </c>
      <c r="AB5465" s="28">
        <v>365845000</v>
      </c>
      <c r="AC5465" s="28">
        <v>789607000</v>
      </c>
      <c r="AD5465" s="28">
        <v>1207721000</v>
      </c>
      <c r="AE5465" s="28">
        <v>5131372000</v>
      </c>
      <c r="AF5465" s="28">
        <v>647885000</v>
      </c>
      <c r="AG5465" s="11"/>
    </row>
    <row r="5466">
      <c r="A5466" s="7" t="s">
        <v>7075</v>
      </c>
      <c r="B5466" s="5" t="s">
        <v>15030</v>
      </c>
      <c r="C5466" s="5" t="s">
        <v>22727</v>
      </c>
      <c r="D5466" s="5" t="str">
        <v>781130690276</v>
      </c>
      <c r="E5466" s="0" t="e">
        <f>+7 (861) 6024288
+7 (86152) 24288
+7 (86160) 23886</f>
        <v>#NAME?</v>
      </c>
      <c r="F5466" s="5" t="s">
        <v>41472</v>
      </c>
      <c r="G5466" s="5" t="s">
        <v>41473</v>
      </c>
      <c r="H5466" s="26">
        <v>22</v>
      </c>
      <c r="I5466" s="5" t="s">
        <v>41474</v>
      </c>
      <c r="J5466" s="5" t="s">
        <v>26858</v>
      </c>
      <c r="K5466" s="5" t="s">
        <v>344</v>
      </c>
      <c r="L5466" s="5" t="s">
        <v>41475</v>
      </c>
      <c r="M5466" s="27"/>
      <c r="N5466" s="5" t="s">
        <v>57634</v>
      </c>
      <c r="O5466" s="5" t="str">
        <v>2329016248</v>
      </c>
      <c r="P5466" s="27">
        <v>50000</v>
      </c>
      <c r="Q5466" s="5" t="s">
        <v>49009</v>
      </c>
      <c r="R5466" s="5"/>
      <c r="S5466" s="5" t="s">
        <v>57635</v>
      </c>
      <c r="T5466" s="28">
        <v>2576047000</v>
      </c>
      <c r="U5466" s="28">
        <v>632000</v>
      </c>
      <c r="V5466" s="28">
        <v>456806000</v>
      </c>
      <c r="W5466" s="28"/>
      <c r="X5466" s="28">
        <v>505295000</v>
      </c>
      <c r="Y5466" s="28">
        <v>4421762000</v>
      </c>
      <c r="Z5466" s="28">
        <v>1219936000</v>
      </c>
      <c r="AA5466" s="28">
        <v>1369905000</v>
      </c>
      <c r="AB5466" s="28">
        <v>652705000</v>
      </c>
      <c r="AC5466" s="28">
        <v>1041172000</v>
      </c>
      <c r="AD5466" s="28">
        <v>1866138000</v>
      </c>
      <c r="AE5466" s="28">
        <v>4821950000</v>
      </c>
      <c r="AF5466" s="28">
        <v>982272000</v>
      </c>
      <c r="AG5466" s="11"/>
    </row>
    <row r="5467">
      <c r="A5467" s="7" t="s">
        <v>7076</v>
      </c>
      <c r="B5467" s="5" t="s">
        <v>15031</v>
      </c>
      <c r="C5467" s="5" t="s">
        <v>22728</v>
      </c>
      <c r="D5467" s="5" t="str">
        <v>371123398516</v>
      </c>
      <c r="E5467" s="0" t="e">
        <f>+7 (920) 3625433</f>
        <v>#NAME?</v>
      </c>
      <c r="F5467" s="5"/>
      <c r="G5467" s="5"/>
      <c r="H5467" s="26">
        <v>7</v>
      </c>
      <c r="I5467" s="5" t="s">
        <v>41476</v>
      </c>
      <c r="J5467" s="5" t="s">
        <v>829</v>
      </c>
      <c r="K5467" s="5" t="s">
        <v>344</v>
      </c>
      <c r="L5467" s="5" t="s">
        <v>41477</v>
      </c>
      <c r="M5467" s="27"/>
      <c r="N5467" s="5"/>
      <c r="O5467" s="5" t="str">
        <v>5027236066</v>
      </c>
      <c r="P5467" s="27">
        <v>30000</v>
      </c>
      <c r="Q5467" s="5" t="s">
        <v>49009</v>
      </c>
      <c r="R5467" s="5"/>
      <c r="S5467" s="5" t="s">
        <v>49010</v>
      </c>
      <c r="T5467" s="28">
        <v>82274000</v>
      </c>
      <c r="U5467" s="28"/>
      <c r="V5467" s="28">
        <v>377073000</v>
      </c>
      <c r="W5467" s="28"/>
      <c r="X5467" s="28">
        <v>238756000</v>
      </c>
      <c r="Y5467" s="28">
        <v>960891000</v>
      </c>
      <c r="Z5467" s="28">
        <v>303329000</v>
      </c>
      <c r="AA5467" s="28">
        <v>165332000</v>
      </c>
      <c r="AB5467" s="28">
        <v>228187000</v>
      </c>
      <c r="AC5467" s="28">
        <v>492200000</v>
      </c>
      <c r="AD5467" s="28">
        <v>303359000</v>
      </c>
      <c r="AE5467" s="28">
        <v>3705629000</v>
      </c>
      <c r="AF5467" s="28">
        <v>50494000</v>
      </c>
      <c r="AG5467" s="11"/>
    </row>
    <row r="5468">
      <c r="A5468" s="7" t="s">
        <v>7077</v>
      </c>
      <c r="B5468" s="5" t="s">
        <v>15032</v>
      </c>
      <c r="C5468" s="5" t="s">
        <v>22729</v>
      </c>
      <c r="D5468" s="5" t="str">
        <v>250307603398</v>
      </c>
      <c r="E5468" s="0" t="e">
        <f>+7 (495) 9759162
+7 (926) 3840966
+7 (985) 7903993</f>
        <v>#NAME?</v>
      </c>
      <c r="F5468" s="5" t="s">
        <v>41478</v>
      </c>
      <c r="G5468" s="5" t="s">
        <v>41479</v>
      </c>
      <c r="H5468" s="26">
        <v>7</v>
      </c>
      <c r="I5468" s="5" t="s">
        <v>41480</v>
      </c>
      <c r="J5468" s="5" t="s">
        <v>28290</v>
      </c>
      <c r="K5468" s="5" t="s">
        <v>344</v>
      </c>
      <c r="L5468" s="5" t="s">
        <v>41481</v>
      </c>
      <c r="M5468" s="27"/>
      <c r="N5468" s="5"/>
      <c r="O5468" s="5" t="str">
        <v>5024163483</v>
      </c>
      <c r="P5468" s="27">
        <v>1000000</v>
      </c>
      <c r="Q5468" s="5"/>
      <c r="R5468" s="5"/>
      <c r="S5468" s="5" t="s">
        <v>49029</v>
      </c>
      <c r="T5468" s="28">
        <v>987000</v>
      </c>
      <c r="U5468" s="28"/>
      <c r="V5468" s="28">
        <v>1690452000</v>
      </c>
      <c r="W5468" s="28"/>
      <c r="X5468" s="28">
        <v>117963000</v>
      </c>
      <c r="Y5468" s="28">
        <v>3730944000</v>
      </c>
      <c r="Z5468" s="28">
        <v>844873000</v>
      </c>
      <c r="AA5468" s="28">
        <v>632145000</v>
      </c>
      <c r="AB5468" s="28">
        <v>32135000</v>
      </c>
      <c r="AC5468" s="28">
        <v>2216351000</v>
      </c>
      <c r="AD5468" s="28">
        <v>845877000</v>
      </c>
      <c r="AE5468" s="28">
        <v>8652659000</v>
      </c>
      <c r="AF5468" s="28">
        <v>446408000</v>
      </c>
      <c r="AG5468" s="11"/>
    </row>
    <row r="5469">
      <c r="A5469" s="7" t="s">
        <v>7078</v>
      </c>
      <c r="B5469" s="5" t="s">
        <v>15033</v>
      </c>
      <c r="C5469" s="5" t="s">
        <v>22730</v>
      </c>
      <c r="D5469" s="5" t="str">
        <v>771989056922</v>
      </c>
      <c r="E5469" s="0" t="e">
        <f>+7 (3843) 553874
+7 (42366) 99596
+7 (42366) 99597
+7 (495) 5784621
+7 (495) 9847817
+7 (495) 9847818
+7 (495) 9847819
+7 (917) 5943157
+7 (926) 1207343</f>
        <v>#NAME?</v>
      </c>
      <c r="F5469" s="5" t="s">
        <v>41482</v>
      </c>
      <c r="G5469" s="5" t="s">
        <v>41483</v>
      </c>
      <c r="H5469" s="26">
        <v>16.5</v>
      </c>
      <c r="I5469" s="5" t="s">
        <v>41484</v>
      </c>
      <c r="J5469" s="5" t="s">
        <v>678</v>
      </c>
      <c r="K5469" s="5" t="s">
        <v>344</v>
      </c>
      <c r="L5469" s="5" t="s">
        <v>41485</v>
      </c>
      <c r="M5469" s="27">
        <v>500</v>
      </c>
      <c r="N5469" s="5" t="s">
        <v>57636</v>
      </c>
      <c r="O5469" s="5" t="str">
        <v>7722589910</v>
      </c>
      <c r="P5469" s="27">
        <v>30000</v>
      </c>
      <c r="Q5469" s="5"/>
      <c r="R5469" s="5"/>
      <c r="S5469" s="5" t="s">
        <v>49496</v>
      </c>
      <c r="T5469" s="28">
        <v>46138000</v>
      </c>
      <c r="U5469" s="28"/>
      <c r="V5469" s="28">
        <v>1453660000</v>
      </c>
      <c r="W5469" s="28">
        <v>1750000</v>
      </c>
      <c r="X5469" s="28">
        <v>169949000</v>
      </c>
      <c r="Y5469" s="28">
        <v>3025645000</v>
      </c>
      <c r="Z5469" s="28">
        <v>763171000</v>
      </c>
      <c r="AA5469" s="28"/>
      <c r="AB5469" s="28">
        <v>5000000</v>
      </c>
      <c r="AC5469" s="28">
        <v>2244035000</v>
      </c>
      <c r="AD5469" s="28">
        <v>763201000</v>
      </c>
      <c r="AE5469" s="28">
        <v>7737735000</v>
      </c>
      <c r="AF5469" s="28">
        <v>451169000</v>
      </c>
      <c r="AG5469" s="11"/>
    </row>
    <row r="5470">
      <c r="A5470" s="7" t="s">
        <v>7079</v>
      </c>
      <c r="B5470" s="5" t="s">
        <v>15034</v>
      </c>
      <c r="C5470" s="5" t="s">
        <v>22731</v>
      </c>
      <c r="D5470" s="5" t="str">
        <v>526302534542</v>
      </c>
      <c r="E5470" s="0" t="e">
        <f>+7 (831) 2118154
+7 (831) 2118176
+7 (831) 2118252
+7 (831) 2601079</f>
        <v>#NAME?</v>
      </c>
      <c r="F5470" s="5" t="s">
        <v>41486</v>
      </c>
      <c r="G5470" s="5"/>
      <c r="H5470" s="26">
        <v>13</v>
      </c>
      <c r="I5470" s="5" t="s">
        <v>41487</v>
      </c>
      <c r="J5470" s="5" t="s">
        <v>373</v>
      </c>
      <c r="K5470" s="5" t="s">
        <v>344</v>
      </c>
      <c r="L5470" s="5" t="s">
        <v>41488</v>
      </c>
      <c r="M5470" s="27"/>
      <c r="N5470" s="5" t="s">
        <v>57637</v>
      </c>
      <c r="O5470" s="5" t="str">
        <v>5263079666</v>
      </c>
      <c r="P5470" s="27">
        <v>10000</v>
      </c>
      <c r="Q5470" s="5"/>
      <c r="R5470" s="5"/>
      <c r="S5470" s="5" t="s">
        <v>49110</v>
      </c>
      <c r="T5470" s="28">
        <v>330402000</v>
      </c>
      <c r="U5470" s="28"/>
      <c r="V5470" s="28">
        <v>364120000</v>
      </c>
      <c r="W5470" s="28"/>
      <c r="X5470" s="28">
        <v>36954000</v>
      </c>
      <c r="Y5470" s="28">
        <v>1019593000</v>
      </c>
      <c r="Z5470" s="28">
        <v>499668000</v>
      </c>
      <c r="AA5470" s="28">
        <v>238500000</v>
      </c>
      <c r="AB5470" s="28"/>
      <c r="AC5470" s="28">
        <v>232199000</v>
      </c>
      <c r="AD5470" s="28">
        <v>500211000</v>
      </c>
      <c r="AE5470" s="28">
        <v>3359688000</v>
      </c>
      <c r="AF5470" s="28">
        <v>354222000</v>
      </c>
      <c r="AG5470" s="11"/>
    </row>
    <row r="5471">
      <c r="A5471" s="7" t="s">
        <v>7080</v>
      </c>
      <c r="B5471" s="5" t="s">
        <v>15035</v>
      </c>
      <c r="C5471" s="5" t="s">
        <v>22732</v>
      </c>
      <c r="D5471" s="5" t="str">
        <v>772203358039</v>
      </c>
      <c r="E5471" s="0" t="e">
        <f>+7 (495) 7374015
+7 (495) 7374656
+7 (495) 7374016
+7 (495) 7374023</f>
        <v>#NAME?</v>
      </c>
      <c r="F5471" s="5" t="s">
        <v>41489</v>
      </c>
      <c r="G5471" s="5" t="s">
        <v>41490</v>
      </c>
      <c r="H5471" s="26">
        <v>19.5</v>
      </c>
      <c r="I5471" s="5" t="s">
        <v>41491</v>
      </c>
      <c r="J5471" s="5" t="s">
        <v>599</v>
      </c>
      <c r="K5471" s="5" t="s">
        <v>344</v>
      </c>
      <c r="L5471" s="5" t="s">
        <v>365</v>
      </c>
      <c r="M5471" s="27"/>
      <c r="N5471" s="5"/>
      <c r="O5471" s="5" t="str">
        <v>7704268511</v>
      </c>
      <c r="P5471" s="27">
        <v>2000000</v>
      </c>
      <c r="Q5471" s="5" t="s">
        <v>57638</v>
      </c>
      <c r="R5471" s="5"/>
      <c r="S5471" s="5" t="s">
        <v>57639</v>
      </c>
      <c r="T5471" s="28">
        <v>7694000</v>
      </c>
      <c r="U5471" s="28"/>
      <c r="V5471" s="28">
        <v>396859000</v>
      </c>
      <c r="W5471" s="28"/>
      <c r="X5471" s="28">
        <v>38349000</v>
      </c>
      <c r="Y5471" s="28">
        <v>467200000</v>
      </c>
      <c r="Z5471" s="28">
        <v>111986000</v>
      </c>
      <c r="AA5471" s="28"/>
      <c r="AB5471" s="28"/>
      <c r="AC5471" s="28">
        <v>347844000</v>
      </c>
      <c r="AD5471" s="28">
        <v>113986000</v>
      </c>
      <c r="AE5471" s="28">
        <v>3161443000</v>
      </c>
      <c r="AF5471" s="28">
        <v>8623000</v>
      </c>
      <c r="AG5471" s="11"/>
    </row>
    <row r="5472">
      <c r="A5472" s="7" t="s">
        <v>7081</v>
      </c>
      <c r="B5472" s="5" t="s">
        <v>15036</v>
      </c>
      <c r="C5472" s="5" t="s">
        <v>22733</v>
      </c>
      <c r="D5472" s="5" t="str">
        <v>165800676849</v>
      </c>
      <c r="E5472" s="0" t="e">
        <f>+7 (495) 9761345
+7 (499) 1983051</f>
        <v>#NAME?</v>
      </c>
      <c r="F5472" s="5"/>
      <c r="G5472" s="5" t="s">
        <v>41492</v>
      </c>
      <c r="H5472" s="26">
        <v>15</v>
      </c>
      <c r="I5472" s="5" t="s">
        <v>41493</v>
      </c>
      <c r="J5472" s="5" t="s">
        <v>28375</v>
      </c>
      <c r="K5472" s="5" t="s">
        <v>344</v>
      </c>
      <c r="L5472" s="5" t="s">
        <v>41494</v>
      </c>
      <c r="M5472" s="27"/>
      <c r="N5472" s="5"/>
      <c r="O5472" s="5" t="str">
        <v>7730579249</v>
      </c>
      <c r="P5472" s="27">
        <v>10000</v>
      </c>
      <c r="Q5472" s="5" t="s">
        <v>49057</v>
      </c>
      <c r="R5472" s="5"/>
      <c r="S5472" s="5" t="s">
        <v>57640</v>
      </c>
      <c r="T5472" s="28">
        <v>210249000</v>
      </c>
      <c r="U5472" s="28"/>
      <c r="V5472" s="28">
        <v>1682281000</v>
      </c>
      <c r="W5472" s="28">
        <v>471000000</v>
      </c>
      <c r="X5472" s="28">
        <v>1050187000</v>
      </c>
      <c r="Y5472" s="28">
        <v>3727111000</v>
      </c>
      <c r="Z5472" s="28">
        <v>288025000</v>
      </c>
      <c r="AA5472" s="28">
        <v>1000000000</v>
      </c>
      <c r="AB5472" s="28">
        <v>7430000</v>
      </c>
      <c r="AC5472" s="28">
        <v>2314168000</v>
      </c>
      <c r="AD5472" s="28">
        <v>288035000</v>
      </c>
      <c r="AE5472" s="28">
        <v>9693920000</v>
      </c>
      <c r="AF5472" s="28">
        <v>282177000</v>
      </c>
      <c r="AG5472" s="11"/>
    </row>
    <row r="5473">
      <c r="A5473" s="7" t="s">
        <v>7082</v>
      </c>
      <c r="B5473" s="5" t="s">
        <v>15037</v>
      </c>
      <c r="C5473" s="5" t="s">
        <v>22734</v>
      </c>
      <c r="D5473" s="5" t="str">
        <v>692300906202</v>
      </c>
      <c r="E5473" s="0" t="e">
        <f>+7 (977) 2658393
+7 (495) 2155706
+7 (496) 2061676</f>
        <v>#NAME?</v>
      </c>
      <c r="F5473" s="5" t="s">
        <v>41495</v>
      </c>
      <c r="G5473" s="5" t="s">
        <v>41496</v>
      </c>
      <c r="H5473" s="26">
        <v>23</v>
      </c>
      <c r="I5473" s="5" t="s">
        <v>41497</v>
      </c>
      <c r="J5473" s="5" t="s">
        <v>364</v>
      </c>
      <c r="K5473" s="5" t="s">
        <v>344</v>
      </c>
      <c r="L5473" s="5" t="s">
        <v>41498</v>
      </c>
      <c r="M5473" s="27">
        <v>745319</v>
      </c>
      <c r="N5473" s="5" t="s">
        <v>57641</v>
      </c>
      <c r="O5473" s="5" t="str">
        <v>5078011906</v>
      </c>
      <c r="P5473" s="27">
        <v>30030000</v>
      </c>
      <c r="Q5473" s="5" t="s">
        <v>57642</v>
      </c>
      <c r="R5473" s="5"/>
      <c r="S5473" s="5" t="s">
        <v>57643</v>
      </c>
      <c r="T5473" s="28">
        <v>184451000</v>
      </c>
      <c r="U5473" s="28"/>
      <c r="V5473" s="28">
        <v>2513565000</v>
      </c>
      <c r="W5473" s="28"/>
      <c r="X5473" s="28">
        <v>88077000</v>
      </c>
      <c r="Y5473" s="28">
        <v>3017472000</v>
      </c>
      <c r="Z5473" s="28">
        <v>1153067000</v>
      </c>
      <c r="AA5473" s="28"/>
      <c r="AB5473" s="28"/>
      <c r="AC5473" s="28">
        <v>1092744000</v>
      </c>
      <c r="AD5473" s="28">
        <v>1236791000</v>
      </c>
      <c r="AE5473" s="28">
        <v>7135635000</v>
      </c>
      <c r="AF5473" s="28">
        <v>1234365000</v>
      </c>
      <c r="AG5473" s="11"/>
    </row>
    <row r="5474">
      <c r="A5474" s="7" t="s">
        <v>7083</v>
      </c>
      <c r="B5474" s="5" t="s">
        <v>15038</v>
      </c>
      <c r="C5474" s="5" t="s">
        <v>22735</v>
      </c>
      <c r="D5474" s="5" t="str">
        <v>773113440724</v>
      </c>
      <c r="E5474" s="0" t="e">
        <f>+7 (495) 2152922
+7 (495) 6152922</f>
        <v>#NAME?</v>
      </c>
      <c r="F5474" s="5" t="s">
        <v>41499</v>
      </c>
      <c r="G5474" s="5"/>
      <c r="H5474" s="26">
        <v>20.5</v>
      </c>
      <c r="I5474" s="5" t="s">
        <v>41500</v>
      </c>
      <c r="J5474" s="5" t="s">
        <v>599</v>
      </c>
      <c r="K5474" s="5" t="s">
        <v>344</v>
      </c>
      <c r="L5474" s="5" t="s">
        <v>41501</v>
      </c>
      <c r="M5474" s="27">
        <v>269569</v>
      </c>
      <c r="N5474" s="5" t="s">
        <v>50348</v>
      </c>
      <c r="O5474" s="5" t="str">
        <v>7705450989</v>
      </c>
      <c r="P5474" s="27">
        <v>2000000</v>
      </c>
      <c r="Q5474" s="5"/>
      <c r="R5474" s="5"/>
      <c r="S5474" s="5" t="s">
        <v>49110</v>
      </c>
      <c r="T5474" s="28">
        <v>1734918000</v>
      </c>
      <c r="U5474" s="28"/>
      <c r="V5474" s="28">
        <v>752150000</v>
      </c>
      <c r="W5474" s="28"/>
      <c r="X5474" s="28">
        <v>19246000</v>
      </c>
      <c r="Y5474" s="28">
        <v>3117842000</v>
      </c>
      <c r="Z5474" s="28">
        <v>375255000</v>
      </c>
      <c r="AA5474" s="28">
        <v>689000000</v>
      </c>
      <c r="AB5474" s="28">
        <v>4655000</v>
      </c>
      <c r="AC5474" s="28">
        <v>483213000</v>
      </c>
      <c r="AD5474" s="28">
        <v>377255000</v>
      </c>
      <c r="AE5474" s="28">
        <v>4763411000</v>
      </c>
      <c r="AF5474" s="28">
        <v>258340000</v>
      </c>
      <c r="AG5474" s="11"/>
    </row>
    <row r="5475">
      <c r="A5475" s="7" t="s">
        <v>7084</v>
      </c>
      <c r="B5475" s="5" t="s">
        <v>15039</v>
      </c>
      <c r="C5475" s="5" t="s">
        <v>22736</v>
      </c>
      <c r="D5475" s="5" t="str">
        <v>972708428653</v>
      </c>
      <c r="E5475" s="0" t="e">
        <f>+7 (495) 1856707</f>
        <v>#NAME?</v>
      </c>
      <c r="F5475" s="5" t="s">
        <v>41502</v>
      </c>
      <c r="G5475" s="5" t="s">
        <v>41503</v>
      </c>
      <c r="H5475" s="26">
        <v>3.5</v>
      </c>
      <c r="I5475" s="5" t="s">
        <v>41504</v>
      </c>
      <c r="J5475" s="5" t="s">
        <v>947</v>
      </c>
      <c r="K5475" s="5" t="s">
        <v>380</v>
      </c>
      <c r="L5475" s="5"/>
      <c r="M5475" s="27"/>
      <c r="N5475" s="5"/>
      <c r="O5475" s="5" t="str">
        <v>9703000579</v>
      </c>
      <c r="P5475" s="27">
        <v>1500000</v>
      </c>
      <c r="Q5475" s="5" t="s">
        <v>49009</v>
      </c>
      <c r="R5475" s="5"/>
      <c r="S5475" s="5" t="s">
        <v>49010</v>
      </c>
      <c r="T5475" s="28">
        <v>810337000</v>
      </c>
      <c r="U5475" s="28"/>
      <c r="V5475" s="28">
        <v>808690000</v>
      </c>
      <c r="W5475" s="28"/>
      <c r="X5475" s="28">
        <v>505571000</v>
      </c>
      <c r="Y5475" s="28">
        <v>3238732000</v>
      </c>
      <c r="Z5475" s="28">
        <v>-3912264000</v>
      </c>
      <c r="AA5475" s="28">
        <v>6472622000</v>
      </c>
      <c r="AB5475" s="28">
        <v>198397000</v>
      </c>
      <c r="AC5475" s="28">
        <v>405143000</v>
      </c>
      <c r="AD5475" s="28">
        <v>-3745965000</v>
      </c>
      <c r="AE5475" s="28">
        <v>4268613000</v>
      </c>
      <c r="AF5475" s="28">
        <v>-1221019000</v>
      </c>
      <c r="AG5475" s="11"/>
    </row>
    <row r="5476">
      <c r="A5476" s="7" t="s">
        <v>7085</v>
      </c>
      <c r="B5476" s="5" t="s">
        <v>15040</v>
      </c>
      <c r="C5476" s="5" t="s">
        <v>22737</v>
      </c>
      <c r="D5476" s="5" t="str">
        <v>505100783735</v>
      </c>
      <c r="E5476" s="0" t="e">
        <f>+7 (495) 5140505
+7 (495) 7214917</f>
        <v>#NAME?</v>
      </c>
      <c r="F5476" s="5"/>
      <c r="G5476" s="5"/>
      <c r="H5476" s="26">
        <v>20.5</v>
      </c>
      <c r="I5476" s="5" t="s">
        <v>41505</v>
      </c>
      <c r="J5476" s="5" t="s">
        <v>397</v>
      </c>
      <c r="K5476" s="5" t="s">
        <v>344</v>
      </c>
      <c r="L5476" s="5"/>
      <c r="M5476" s="27"/>
      <c r="N5476" s="5"/>
      <c r="O5476" s="5" t="str">
        <v>7701300598</v>
      </c>
      <c r="P5476" s="27">
        <v>6546861730</v>
      </c>
      <c r="Q5476" s="5" t="s">
        <v>49009</v>
      </c>
      <c r="R5476" s="5"/>
      <c r="S5476" s="5" t="s">
        <v>49010</v>
      </c>
      <c r="T5476" s="28"/>
      <c r="U5476" s="28">
        <v>12612358000</v>
      </c>
      <c r="V5476" s="28">
        <v>577618000</v>
      </c>
      <c r="W5476" s="28"/>
      <c r="X5476" s="28">
        <v>112679000</v>
      </c>
      <c r="Y5476" s="28">
        <v>16873520000</v>
      </c>
      <c r="Z5476" s="28">
        <v>1257877000</v>
      </c>
      <c r="AA5476" s="28"/>
      <c r="AB5476" s="28">
        <v>536314000</v>
      </c>
      <c r="AC5476" s="28">
        <v>1232315000</v>
      </c>
      <c r="AD5476" s="28">
        <v>15455037000</v>
      </c>
      <c r="AE5476" s="28">
        <v>30920431000</v>
      </c>
      <c r="AF5476" s="28">
        <v>1257357000</v>
      </c>
      <c r="AG5476" s="11"/>
    </row>
    <row r="5477">
      <c r="A5477" s="7" t="s">
        <v>7086</v>
      </c>
      <c r="B5477" s="5" t="s">
        <v>15041</v>
      </c>
      <c r="C5477" s="5" t="s">
        <v>22738</v>
      </c>
      <c r="D5477" s="5" t="str">
        <v>772075963165</v>
      </c>
      <c r="E5477" s="0" t="e">
        <f>+7 (3422) 554375
+7 (475) 2636486
+7 (475) 2636487
+7 (495) 2025896
+7 (495) 2914710
+7 (495) 3746220
+7 (495) 6914710
+7 (495) 6915532
+7 (495) 6955896
+7 (495) 6955934
+7 (495) 7301212
+7 (495) 7898399
+7 (812) 7021717
+7 (8432) 758016
+7 (8432) 758197</f>
        <v>#NAME?</v>
      </c>
      <c r="F5477" s="5" t="s">
        <v>41506</v>
      </c>
      <c r="G5477" s="5" t="s">
        <v>41507</v>
      </c>
      <c r="H5477" s="26">
        <v>21</v>
      </c>
      <c r="I5477" s="5"/>
      <c r="J5477" s="5" t="s">
        <v>25512</v>
      </c>
      <c r="K5477" s="5" t="s">
        <v>344</v>
      </c>
      <c r="L5477" s="5" t="s">
        <v>41508</v>
      </c>
      <c r="M5477" s="27">
        <v>8899675</v>
      </c>
      <c r="N5477" s="5" t="s">
        <v>57644</v>
      </c>
      <c r="O5477" s="5" t="str">
        <v>7706254352</v>
      </c>
      <c r="P5477" s="27">
        <v>30000000</v>
      </c>
      <c r="Q5477" s="5" t="s">
        <v>49057</v>
      </c>
      <c r="R5477" s="5"/>
      <c r="S5477" s="5" t="s">
        <v>57645</v>
      </c>
      <c r="T5477" s="28">
        <v>1641396000</v>
      </c>
      <c r="U5477" s="28">
        <v>122155000</v>
      </c>
      <c r="V5477" s="28">
        <v>3120845000</v>
      </c>
      <c r="W5477" s="28">
        <v>177220000</v>
      </c>
      <c r="X5477" s="28">
        <v>134472000</v>
      </c>
      <c r="Y5477" s="28">
        <v>9011924000</v>
      </c>
      <c r="Z5477" s="28">
        <v>4621733000</v>
      </c>
      <c r="AA5477" s="28">
        <v>1773239000</v>
      </c>
      <c r="AB5477" s="28">
        <v>1531989000</v>
      </c>
      <c r="AC5477" s="28">
        <v>2429093000</v>
      </c>
      <c r="AD5477" s="28">
        <v>4656233000</v>
      </c>
      <c r="AE5477" s="28">
        <v>26587624000</v>
      </c>
      <c r="AF5477" s="28">
        <v>2109541000</v>
      </c>
      <c r="AG5477" s="11"/>
    </row>
    <row r="5478">
      <c r="A5478" s="7" t="s">
        <v>7087</v>
      </c>
      <c r="B5478" s="5" t="s">
        <v>15042</v>
      </c>
      <c r="C5478" s="5" t="s">
        <v>22739</v>
      </c>
      <c r="D5478" s="5" t="str">
        <v>781008026637</v>
      </c>
      <c r="E5478" s="0" t="e">
        <f>+7 (812) 7021717
+7 (911) 303009
+7 (911) 8315303
+7 (911) 8315304
+7 (911) 8315305</f>
        <v>#NAME?</v>
      </c>
      <c r="F5478" s="5" t="s">
        <v>41509</v>
      </c>
      <c r="G5478" s="5" t="s">
        <v>41510</v>
      </c>
      <c r="H5478" s="26">
        <v>17.5</v>
      </c>
      <c r="I5478" s="5"/>
      <c r="J5478" s="5" t="s">
        <v>25512</v>
      </c>
      <c r="K5478" s="5" t="s">
        <v>344</v>
      </c>
      <c r="L5478" s="5" t="s">
        <v>41511</v>
      </c>
      <c r="M5478" s="27"/>
      <c r="N5478" s="5" t="s">
        <v>57646</v>
      </c>
      <c r="O5478" s="5" t="str">
        <v>7806318465</v>
      </c>
      <c r="P5478" s="27">
        <v>200000</v>
      </c>
      <c r="Q5478" s="5" t="s">
        <v>49059</v>
      </c>
      <c r="R5478" s="5"/>
      <c r="S5478" s="5" t="s">
        <v>49045</v>
      </c>
      <c r="T5478" s="28">
        <v>32406000</v>
      </c>
      <c r="U5478" s="28"/>
      <c r="V5478" s="28">
        <v>257281000</v>
      </c>
      <c r="W5478" s="28"/>
      <c r="X5478" s="28">
        <v>53775000</v>
      </c>
      <c r="Y5478" s="28">
        <v>534061000</v>
      </c>
      <c r="Z5478" s="28">
        <v>444281000</v>
      </c>
      <c r="AA5478" s="28"/>
      <c r="AB5478" s="28"/>
      <c r="AC5478" s="28">
        <v>84657000</v>
      </c>
      <c r="AD5478" s="28">
        <v>444511000</v>
      </c>
      <c r="AE5478" s="28">
        <v>3469544000</v>
      </c>
      <c r="AF5478" s="28">
        <v>210917000</v>
      </c>
      <c r="AG5478" s="11"/>
    </row>
    <row r="5479">
      <c r="A5479" s="7" t="s">
        <v>7088</v>
      </c>
      <c r="B5479" s="5" t="s">
        <v>15043</v>
      </c>
      <c r="C5479" s="5" t="s">
        <v>22740</v>
      </c>
      <c r="D5479" s="5" t="str">
        <v>440121016097</v>
      </c>
      <c r="E5479" s="0" t="e">
        <f>+7 (494) 2440049</f>
        <v>#NAME?</v>
      </c>
      <c r="F5479" s="5" t="s">
        <v>41512</v>
      </c>
      <c r="G5479" s="5"/>
      <c r="H5479" s="26">
        <v>9.5</v>
      </c>
      <c r="I5479" s="5" t="s">
        <v>41513</v>
      </c>
      <c r="J5479" s="5" t="s">
        <v>26623</v>
      </c>
      <c r="K5479" s="5" t="s">
        <v>344</v>
      </c>
      <c r="L5479" s="5" t="s">
        <v>41514</v>
      </c>
      <c r="M5479" s="27">
        <v>561205</v>
      </c>
      <c r="N5479" s="5" t="s">
        <v>57647</v>
      </c>
      <c r="O5479" s="5" t="str">
        <v>4401144416</v>
      </c>
      <c r="P5479" s="27">
        <v>230000</v>
      </c>
      <c r="Q5479" s="5" t="s">
        <v>57648</v>
      </c>
      <c r="R5479" s="5"/>
      <c r="S5479" s="5" t="s">
        <v>49361</v>
      </c>
      <c r="T5479" s="28">
        <v>23090000</v>
      </c>
      <c r="U5479" s="28"/>
      <c r="V5479" s="28">
        <v>289057000</v>
      </c>
      <c r="W5479" s="28">
        <v>351000</v>
      </c>
      <c r="X5479" s="28">
        <v>102393000</v>
      </c>
      <c r="Y5479" s="28">
        <v>424263000</v>
      </c>
      <c r="Z5479" s="28">
        <v>71411000</v>
      </c>
      <c r="AA5479" s="28"/>
      <c r="AB5479" s="28">
        <v>67690000</v>
      </c>
      <c r="AC5479" s="28">
        <v>329345000</v>
      </c>
      <c r="AD5479" s="28">
        <v>71641000</v>
      </c>
      <c r="AE5479" s="28">
        <v>4255247000</v>
      </c>
      <c r="AF5479" s="28">
        <v>65852000</v>
      </c>
      <c r="AG5479" s="11"/>
    </row>
    <row r="5480">
      <c r="A5480" s="7" t="s">
        <v>7089</v>
      </c>
      <c r="B5480" s="5" t="s">
        <v>15044</v>
      </c>
      <c r="C5480" s="5" t="s">
        <v>22741</v>
      </c>
      <c r="D5480" s="5" t="str">
        <v>560701486528</v>
      </c>
      <c r="E5480" s="0" t="e">
        <f>+7 (495) 7757371
+7 (495) 9825933
+7 (800) 7007371</f>
        <v>#NAME?</v>
      </c>
      <c r="F5480" s="5" t="s">
        <v>41515</v>
      </c>
      <c r="G5480" s="5" t="s">
        <v>41516</v>
      </c>
      <c r="H5480" s="26">
        <v>20</v>
      </c>
      <c r="I5480" s="5" t="s">
        <v>41517</v>
      </c>
      <c r="J5480" s="5" t="s">
        <v>26623</v>
      </c>
      <c r="K5480" s="5" t="s">
        <v>344</v>
      </c>
      <c r="L5480" s="5" t="s">
        <v>41518</v>
      </c>
      <c r="M5480" s="27">
        <v>1526099</v>
      </c>
      <c r="N5480" s="5"/>
      <c r="O5480" s="5" t="str">
        <v>7706288496</v>
      </c>
      <c r="P5480" s="27">
        <v>4000000</v>
      </c>
      <c r="Q5480" s="5" t="s">
        <v>57649</v>
      </c>
      <c r="R5480" s="5"/>
      <c r="S5480" s="5" t="s">
        <v>49496</v>
      </c>
      <c r="T5480" s="28">
        <v>68551000</v>
      </c>
      <c r="U5480" s="28"/>
      <c r="V5480" s="28">
        <v>1178815000</v>
      </c>
      <c r="W5480" s="28"/>
      <c r="X5480" s="28">
        <v>3125110000</v>
      </c>
      <c r="Y5480" s="28">
        <v>4408027000</v>
      </c>
      <c r="Z5480" s="28">
        <v>403382000</v>
      </c>
      <c r="AA5480" s="28"/>
      <c r="AB5480" s="28"/>
      <c r="AC5480" s="28">
        <v>3985333000</v>
      </c>
      <c r="AD5480" s="28">
        <v>407982000</v>
      </c>
      <c r="AE5480" s="28">
        <v>44368884000</v>
      </c>
      <c r="AF5480" s="28">
        <v>1624364000</v>
      </c>
      <c r="AG5480" s="11"/>
    </row>
    <row r="5481">
      <c r="A5481" s="7" t="s">
        <v>7090</v>
      </c>
      <c r="B5481" s="5" t="s">
        <v>15045</v>
      </c>
      <c r="C5481" s="5" t="s">
        <v>22742</v>
      </c>
      <c r="D5481" s="5" t="str">
        <v>246305103147</v>
      </c>
      <c r="E5481" s="0" t="e">
        <f>+7 (391) 2210057
+7 (391) 2276070
+7 (391) 2681854</f>
        <v>#NAME?</v>
      </c>
      <c r="F5481" s="5" t="s">
        <v>41519</v>
      </c>
      <c r="G5481" s="5"/>
      <c r="H5481" s="26">
        <v>15.5</v>
      </c>
      <c r="I5481" s="5" t="s">
        <v>41520</v>
      </c>
      <c r="J5481" s="5" t="s">
        <v>26623</v>
      </c>
      <c r="K5481" s="5" t="s">
        <v>344</v>
      </c>
      <c r="L5481" s="5" t="s">
        <v>41521</v>
      </c>
      <c r="M5481" s="27"/>
      <c r="N5481" s="5"/>
      <c r="O5481" s="5" t="str">
        <v>2465115953</v>
      </c>
      <c r="P5481" s="27">
        <v>9200000</v>
      </c>
      <c r="Q5481" s="5"/>
      <c r="R5481" s="5"/>
      <c r="S5481" s="5" t="s">
        <v>49110</v>
      </c>
      <c r="T5481" s="28"/>
      <c r="U5481" s="28"/>
      <c r="V5481" s="28">
        <v>317237000</v>
      </c>
      <c r="W5481" s="28"/>
      <c r="X5481" s="28">
        <v>374026000</v>
      </c>
      <c r="Y5481" s="28">
        <v>691687000</v>
      </c>
      <c r="Z5481" s="28">
        <v>171370000</v>
      </c>
      <c r="AA5481" s="28"/>
      <c r="AB5481" s="28"/>
      <c r="AC5481" s="28">
        <v>509737000</v>
      </c>
      <c r="AD5481" s="28">
        <v>181950000</v>
      </c>
      <c r="AE5481" s="28">
        <v>9482698000</v>
      </c>
      <c r="AF5481" s="28">
        <v>525369000</v>
      </c>
      <c r="AG5481" s="11"/>
    </row>
    <row r="5482">
      <c r="A5482" s="7" t="s">
        <v>7091</v>
      </c>
      <c r="B5482" s="5" t="s">
        <v>15046</v>
      </c>
      <c r="C5482" s="5" t="s">
        <v>22743</v>
      </c>
      <c r="D5482" s="5" t="str">
        <v>772742160489</v>
      </c>
      <c r="E5482" s="0" t="e">
        <f>+7 (384) 2322979
+7 (3494) 221560
+7 (35325) 71928
+7 (35325) 71987
+7 (35325) 71989
+7 (35325) 72101
+7 (35355) 28535
+7 (35355) 28848
+7 (35374) 40335
+7 (381) 2409078
+7 (381) 2409480
+7 (381) 2442460
+7 (385) 2222107
+7 (385) 2222108
+7 (390) 2228344</f>
        <v>#NAME?</v>
      </c>
      <c r="F5482" s="5" t="s">
        <v>41522</v>
      </c>
      <c r="G5482" s="5" t="s">
        <v>41523</v>
      </c>
      <c r="H5482" s="26">
        <v>20</v>
      </c>
      <c r="I5482" s="5" t="s">
        <v>41524</v>
      </c>
      <c r="J5482" s="5" t="s">
        <v>26623</v>
      </c>
      <c r="K5482" s="5" t="s">
        <v>344</v>
      </c>
      <c r="L5482" s="5" t="s">
        <v>41525</v>
      </c>
      <c r="M5482" s="27">
        <v>823805977</v>
      </c>
      <c r="N5482" s="5" t="s">
        <v>57650</v>
      </c>
      <c r="O5482" s="5" t="str">
        <v>7706284124</v>
      </c>
      <c r="P5482" s="27">
        <v>18000000</v>
      </c>
      <c r="Q5482" s="5" t="s">
        <v>57651</v>
      </c>
      <c r="R5482" s="5"/>
      <c r="S5482" s="5" t="s">
        <v>57652</v>
      </c>
      <c r="T5482" s="28">
        <v>59050000</v>
      </c>
      <c r="U5482" s="28">
        <v>4600000</v>
      </c>
      <c r="V5482" s="28">
        <v>9912289000</v>
      </c>
      <c r="W5482" s="28"/>
      <c r="X5482" s="28">
        <v>12699005000</v>
      </c>
      <c r="Y5482" s="28">
        <v>22869180000</v>
      </c>
      <c r="Z5482" s="28">
        <v>9672492000</v>
      </c>
      <c r="AA5482" s="28"/>
      <c r="AB5482" s="28"/>
      <c r="AC5482" s="28">
        <v>13178668000</v>
      </c>
      <c r="AD5482" s="28">
        <v>9690512000</v>
      </c>
      <c r="AE5482" s="28">
        <v>207855918000</v>
      </c>
      <c r="AF5482" s="28">
        <v>9670668000</v>
      </c>
      <c r="AG5482" s="11"/>
    </row>
    <row r="5483">
      <c r="A5483" s="7" t="s">
        <v>7092</v>
      </c>
      <c r="B5483" s="5" t="s">
        <v>12027</v>
      </c>
      <c r="C5483" s="5" t="s">
        <v>22744</v>
      </c>
      <c r="D5483" s="5" t="str">
        <v>352810512787</v>
      </c>
      <c r="E5483" s="0" t="e">
        <f>+7 (8202) 531949
+7 (820) 2533483
+7 (8202) 566172
+7 (8202) 566633
+7 (8202) 566872
+7 (8202) 568663
+7 (8202) 568665
+7 (965) 7433355</f>
        <v>#NAME?</v>
      </c>
      <c r="F5483" s="5"/>
      <c r="G5483" s="5"/>
      <c r="H5483" s="26">
        <v>11.5</v>
      </c>
      <c r="I5483" s="5" t="s">
        <v>41526</v>
      </c>
      <c r="J5483" s="5" t="s">
        <v>26619</v>
      </c>
      <c r="K5483" s="5" t="s">
        <v>344</v>
      </c>
      <c r="L5483" s="5" t="s">
        <v>41527</v>
      </c>
      <c r="M5483" s="27"/>
      <c r="N5483" s="5"/>
      <c r="O5483" s="5" t="str">
        <v>3528180300</v>
      </c>
      <c r="P5483" s="27">
        <v>170000000</v>
      </c>
      <c r="Q5483" s="5" t="s">
        <v>49009</v>
      </c>
      <c r="R5483" s="5"/>
      <c r="S5483" s="5" t="s">
        <v>49066</v>
      </c>
      <c r="T5483" s="28">
        <v>2667102000</v>
      </c>
      <c r="U5483" s="28">
        <v>91607000</v>
      </c>
      <c r="V5483" s="28">
        <v>1253966000</v>
      </c>
      <c r="W5483" s="28">
        <v>519000000</v>
      </c>
      <c r="X5483" s="28">
        <v>5369577000</v>
      </c>
      <c r="Y5483" s="28">
        <v>10604873000</v>
      </c>
      <c r="Z5483" s="28">
        <v>7243922000</v>
      </c>
      <c r="AA5483" s="28">
        <v>378277000</v>
      </c>
      <c r="AB5483" s="28">
        <v>123882000</v>
      </c>
      <c r="AC5483" s="28">
        <v>831869000</v>
      </c>
      <c r="AD5483" s="28">
        <v>8749447000</v>
      </c>
      <c r="AE5483" s="28">
        <v>14077744000</v>
      </c>
      <c r="AF5483" s="28">
        <v>3562028000</v>
      </c>
      <c r="AG5483" s="11"/>
    </row>
    <row r="5484">
      <c r="A5484" s="7" t="s">
        <v>7093</v>
      </c>
      <c r="B5484" s="5" t="s">
        <v>15047</v>
      </c>
      <c r="C5484" s="5" t="s">
        <v>22745</v>
      </c>
      <c r="D5484" s="5" t="str">
        <v>420600287937</v>
      </c>
      <c r="E5484" s="0" t="e">
        <f>+7 (495) 6605513
+7 (495) 6605527
+7 (913) 3138989</f>
        <v>#NAME?</v>
      </c>
      <c r="F5484" s="5"/>
      <c r="G5484" s="5" t="s">
        <v>41528</v>
      </c>
      <c r="H5484" s="26">
        <v>8.5</v>
      </c>
      <c r="I5484" s="5" t="s">
        <v>41529</v>
      </c>
      <c r="J5484" s="5" t="s">
        <v>25283</v>
      </c>
      <c r="K5484" s="5" t="s">
        <v>355</v>
      </c>
      <c r="L5484" s="5" t="s">
        <v>41530</v>
      </c>
      <c r="M5484" s="27"/>
      <c r="N5484" s="5" t="s">
        <v>57653</v>
      </c>
      <c r="O5484" s="5" t="str">
        <v>7714938148</v>
      </c>
      <c r="P5484" s="27">
        <v>20000</v>
      </c>
      <c r="Q5484" s="5" t="s">
        <v>57654</v>
      </c>
      <c r="R5484" s="5"/>
      <c r="S5484" s="5" t="s">
        <v>49162</v>
      </c>
      <c r="T5484" s="28">
        <v>142238000</v>
      </c>
      <c r="U5484" s="28"/>
      <c r="V5484" s="28">
        <v>1969391000</v>
      </c>
      <c r="W5484" s="28"/>
      <c r="X5484" s="28">
        <v>43657000</v>
      </c>
      <c r="Y5484" s="28">
        <v>2718534000</v>
      </c>
      <c r="Z5484" s="28">
        <v>1051189000</v>
      </c>
      <c r="AA5484" s="28"/>
      <c r="AB5484" s="28"/>
      <c r="AC5484" s="28">
        <v>1452165000</v>
      </c>
      <c r="AD5484" s="28">
        <v>1051209000</v>
      </c>
      <c r="AE5484" s="28">
        <v>19006524000</v>
      </c>
      <c r="AF5484" s="28">
        <v>-747566000</v>
      </c>
      <c r="AG5484" s="11"/>
    </row>
    <row r="5485">
      <c r="A5485" s="7" t="s">
        <v>7094</v>
      </c>
      <c r="B5485" s="5" t="s">
        <v>15048</v>
      </c>
      <c r="C5485" s="5" t="s">
        <v>22746</v>
      </c>
      <c r="D5485" s="5" t="str">
        <v>271703804110</v>
      </c>
      <c r="E5485" s="0" t="e">
        <f>+7 (421) 2400600
+7 (421) 2400500
+7 (421) 2400662</f>
        <v>#NAME?</v>
      </c>
      <c r="F5485" s="5"/>
      <c r="G5485" s="5"/>
      <c r="H5485" s="26">
        <v>13</v>
      </c>
      <c r="I5485" s="5"/>
      <c r="J5485" s="5" t="s">
        <v>41531</v>
      </c>
      <c r="K5485" s="5" t="s">
        <v>380</v>
      </c>
      <c r="L5485" s="5"/>
      <c r="M5485" s="27"/>
      <c r="N5485" s="5"/>
      <c r="O5485" s="5" t="str">
        <v>2721173130</v>
      </c>
      <c r="P5485" s="27">
        <v>30000</v>
      </c>
      <c r="Q5485" s="5"/>
      <c r="R5485" s="5"/>
      <c r="S5485" s="5" t="s">
        <v>49121</v>
      </c>
      <c r="T5485" s="28">
        <v>550248000</v>
      </c>
      <c r="U5485" s="28"/>
      <c r="V5485" s="28">
        <v>1482069000</v>
      </c>
      <c r="W5485" s="28">
        <v>1800000</v>
      </c>
      <c r="X5485" s="28">
        <v>718000</v>
      </c>
      <c r="Y5485" s="28">
        <v>3389380000</v>
      </c>
      <c r="Z5485" s="28">
        <v>-5160970000</v>
      </c>
      <c r="AA5485" s="28">
        <v>1988200000</v>
      </c>
      <c r="AB5485" s="28">
        <v>5157089000</v>
      </c>
      <c r="AC5485" s="28">
        <v>6039801000</v>
      </c>
      <c r="AD5485" s="28">
        <v>-4673338000</v>
      </c>
      <c r="AE5485" s="28">
        <v>5040966000</v>
      </c>
      <c r="AF5485" s="28">
        <v>-989261000</v>
      </c>
      <c r="AG5485" s="11"/>
    </row>
    <row r="5486">
      <c r="A5486" s="7" t="s">
        <v>7095</v>
      </c>
      <c r="B5486" s="5" t="s">
        <v>15049</v>
      </c>
      <c r="C5486" s="5" t="s">
        <v>22747</v>
      </c>
      <c r="D5486" s="5" t="str">
        <v>782570676482</v>
      </c>
      <c r="E5486" s="0" t="e">
        <f>+7 (495) 6261305
+7 (495) 6370503
+7 (495) 6370791
+7 (495) 6370834
+7 (495) 9119984
+7 (495) 9129741
+7 (495) 9261319
+7 (499) 7636958
+7 (499) 7636962
+7 (925) 70098
+7 (926) 1023970
+7 (936) 5550860</f>
        <v>#NAME?</v>
      </c>
      <c r="F5486" s="5" t="s">
        <v>41532</v>
      </c>
      <c r="G5486" s="5" t="s">
        <v>41533</v>
      </c>
      <c r="H5486" s="26">
        <v>23</v>
      </c>
      <c r="I5486" s="5"/>
      <c r="J5486" s="5" t="s">
        <v>41534</v>
      </c>
      <c r="K5486" s="5"/>
      <c r="L5486" s="5"/>
      <c r="M5486" s="27"/>
      <c r="N5486" s="5" t="s">
        <v>57656</v>
      </c>
      <c r="O5486" s="5" t="str">
        <v>7704016803</v>
      </c>
      <c r="P5486" s="27"/>
      <c r="Q5486" s="5"/>
      <c r="R5486" s="5"/>
      <c r="S5486" s="5" t="s">
        <v>50096</v>
      </c>
      <c r="T5486" s="28">
        <v>503973000</v>
      </c>
      <c r="U5486" s="28">
        <v>307232000</v>
      </c>
      <c r="V5486" s="28">
        <v>2447146000</v>
      </c>
      <c r="W5486" s="28"/>
      <c r="X5486" s="28">
        <v>4535133000</v>
      </c>
      <c r="Y5486" s="28">
        <v>8446770000</v>
      </c>
      <c r="Z5486" s="28"/>
      <c r="AA5486" s="28">
        <v>281350000</v>
      </c>
      <c r="AB5486" s="28">
        <v>35169000</v>
      </c>
      <c r="AC5486" s="28">
        <v>1460952000</v>
      </c>
      <c r="AD5486" s="28">
        <v>6791846000</v>
      </c>
      <c r="AE5486" s="28">
        <v>5366381000</v>
      </c>
      <c r="AF5486" s="28">
        <v>1363036000</v>
      </c>
      <c r="AG5486" s="11"/>
    </row>
    <row r="5487">
      <c r="A5487" s="7" t="s">
        <v>7096</v>
      </c>
      <c r="B5487" s="5" t="s">
        <v>15050</v>
      </c>
      <c r="C5487" s="5" t="s">
        <v>22748</v>
      </c>
      <c r="D5487" s="5" t="str">
        <v>391301542156</v>
      </c>
      <c r="F5487" s="5"/>
      <c r="G5487" s="5"/>
      <c r="H5487" s="26">
        <v>3</v>
      </c>
      <c r="I5487" s="5" t="s">
        <v>41535</v>
      </c>
      <c r="J5487" s="5" t="s">
        <v>27650</v>
      </c>
      <c r="K5487" s="5" t="s">
        <v>344</v>
      </c>
      <c r="L5487" s="5"/>
      <c r="M5487" s="27"/>
      <c r="N5487" s="5"/>
      <c r="O5487" s="5" t="str">
        <v>3913014231</v>
      </c>
      <c r="P5487" s="27">
        <v>10000000</v>
      </c>
      <c r="Q5487" s="5"/>
      <c r="R5487" s="5"/>
      <c r="S5487" s="5" t="s">
        <v>49121</v>
      </c>
      <c r="T5487" s="28">
        <v>1326010000</v>
      </c>
      <c r="U5487" s="28"/>
      <c r="V5487" s="28">
        <v>562370000</v>
      </c>
      <c r="W5487" s="28"/>
      <c r="X5487" s="28">
        <v>240329000</v>
      </c>
      <c r="Y5487" s="28">
        <v>3340207000</v>
      </c>
      <c r="Z5487" s="28">
        <v>281914000</v>
      </c>
      <c r="AA5487" s="28">
        <v>1738331000</v>
      </c>
      <c r="AB5487" s="28"/>
      <c r="AC5487" s="28">
        <v>1267766000</v>
      </c>
      <c r="AD5487" s="28">
        <v>569876000</v>
      </c>
      <c r="AE5487" s="28">
        <v>4256383000</v>
      </c>
      <c r="AF5487" s="28">
        <v>388342000</v>
      </c>
      <c r="AG5487" s="11"/>
    </row>
    <row r="5488">
      <c r="A5488" s="7" t="s">
        <v>7097</v>
      </c>
      <c r="B5488" s="5" t="s">
        <v>15051</v>
      </c>
      <c r="C5488" s="5" t="s">
        <v>18069</v>
      </c>
      <c r="D5488" s="5" t="str">
        <v>519030320149</v>
      </c>
      <c r="E5488" s="0" t="e">
        <f>+7 (815) 2264816
+7 (815) 2273922
+7 (815) 2288100
+7 (815) 2288118
+7 (815) 2288157</f>
        <v>#NAME?</v>
      </c>
      <c r="F5488" s="5" t="s">
        <v>41536</v>
      </c>
      <c r="G5488" s="5"/>
      <c r="H5488" s="26">
        <v>22.5</v>
      </c>
      <c r="I5488" s="5"/>
      <c r="J5488" s="5" t="s">
        <v>26424</v>
      </c>
      <c r="K5488" s="5" t="s">
        <v>344</v>
      </c>
      <c r="L5488" s="5" t="s">
        <v>41537</v>
      </c>
      <c r="M5488" s="27"/>
      <c r="N5488" s="5" t="s">
        <v>57657</v>
      </c>
      <c r="O5488" s="5" t="str">
        <v>5190405869</v>
      </c>
      <c r="P5488" s="27">
        <v>29400</v>
      </c>
      <c r="Q5488" s="5"/>
      <c r="R5488" s="5" t="s">
        <v>57658</v>
      </c>
      <c r="S5488" s="5" t="s">
        <v>49029</v>
      </c>
      <c r="T5488" s="28">
        <v>8822063000</v>
      </c>
      <c r="U5488" s="28">
        <v>9855091000</v>
      </c>
      <c r="V5488" s="28">
        <v>4380294000</v>
      </c>
      <c r="W5488" s="28">
        <v>269805000</v>
      </c>
      <c r="X5488" s="28">
        <v>1894363000</v>
      </c>
      <c r="Y5488" s="28">
        <v>25712844000</v>
      </c>
      <c r="Z5488" s="28">
        <v>8533052000</v>
      </c>
      <c r="AA5488" s="28">
        <v>10301163000</v>
      </c>
      <c r="AB5488" s="28">
        <v>2714445000</v>
      </c>
      <c r="AC5488" s="28">
        <v>6120956000</v>
      </c>
      <c r="AD5488" s="28">
        <v>8533089000</v>
      </c>
      <c r="AE5488" s="28">
        <v>6096019000</v>
      </c>
      <c r="AF5488" s="28">
        <v>1969345000</v>
      </c>
      <c r="AG5488" s="11"/>
    </row>
    <row r="5489">
      <c r="A5489" s="7" t="s">
        <v>7098</v>
      </c>
      <c r="B5489" s="5" t="s">
        <v>15052</v>
      </c>
      <c r="C5489" s="5" t="s">
        <v>22749</v>
      </c>
      <c r="D5489" s="5" t="str">
        <v>524302269361</v>
      </c>
      <c r="E5489" s="0" t="e">
        <f>+7 (83147) 78189
+7 (910) 1317237
+7 (831) 4741842
+7 (83147) 61213
+7 (83147) 63845
+7 (83147) 63851
+7 (83147) 63857
+7 (83147) 63858
+7 (83147) 63860
+7 (83147) 78111
+7 (987) 5397262</f>
        <v>#NAME?</v>
      </c>
      <c r="F5489" s="5" t="s">
        <v>41538</v>
      </c>
      <c r="G5489" s="5" t="s">
        <v>41539</v>
      </c>
      <c r="H5489" s="26">
        <v>29.5</v>
      </c>
      <c r="I5489" s="5"/>
      <c r="J5489" s="5" t="s">
        <v>26297</v>
      </c>
      <c r="K5489" s="5" t="s">
        <v>344</v>
      </c>
      <c r="L5489" s="5"/>
      <c r="M5489" s="27"/>
      <c r="N5489" s="5" t="s">
        <v>57659</v>
      </c>
      <c r="O5489" s="5" t="str">
        <v>5243001622</v>
      </c>
      <c r="P5489" s="27">
        <v>10106100</v>
      </c>
      <c r="Q5489" s="5"/>
      <c r="R5489" s="5"/>
      <c r="S5489" s="5" t="s">
        <v>49399</v>
      </c>
      <c r="T5489" s="28">
        <v>778630000</v>
      </c>
      <c r="U5489" s="28">
        <v>10000</v>
      </c>
      <c r="V5489" s="28">
        <v>1005999000</v>
      </c>
      <c r="W5489" s="28">
        <v>328500000</v>
      </c>
      <c r="X5489" s="28">
        <v>144717000</v>
      </c>
      <c r="Y5489" s="28">
        <v>4065602000</v>
      </c>
      <c r="Z5489" s="28">
        <v>1308291000</v>
      </c>
      <c r="AA5489" s="28">
        <v>1238952000</v>
      </c>
      <c r="AB5489" s="28">
        <v>323495000</v>
      </c>
      <c r="AC5489" s="28">
        <v>1131791000</v>
      </c>
      <c r="AD5489" s="28">
        <v>1368913000</v>
      </c>
      <c r="AE5489" s="28">
        <v>4325946000</v>
      </c>
      <c r="AF5489" s="28">
        <v>846023000</v>
      </c>
      <c r="AG5489" s="11"/>
    </row>
    <row r="5490">
      <c r="A5490" s="7" t="s">
        <v>7099</v>
      </c>
      <c r="B5490" s="5" t="s">
        <v>15053</v>
      </c>
      <c r="C5490" s="5" t="s">
        <v>22750</v>
      </c>
      <c r="D5490" s="5" t="str">
        <v>772819476103</v>
      </c>
      <c r="E5490" s="0" t="e">
        <f>+7 (495) 7300873
+7 (495) 7379037</f>
        <v>#NAME?</v>
      </c>
      <c r="F5490" s="5" t="s">
        <v>41540</v>
      </c>
      <c r="G5490" s="5" t="s">
        <v>41541</v>
      </c>
      <c r="H5490" s="26">
        <v>11.5</v>
      </c>
      <c r="I5490" s="5"/>
      <c r="J5490" s="5" t="s">
        <v>25376</v>
      </c>
      <c r="K5490" s="5" t="s">
        <v>344</v>
      </c>
      <c r="L5490" s="5"/>
      <c r="M5490" s="27"/>
      <c r="N5490" s="5" t="s">
        <v>57660</v>
      </c>
      <c r="O5490" s="5" t="str">
        <v>7706759586</v>
      </c>
      <c r="P5490" s="27">
        <v>109598077637</v>
      </c>
      <c r="Q5490" s="5" t="s">
        <v>57661</v>
      </c>
      <c r="R5490" s="5"/>
      <c r="S5490" s="5" t="s">
        <v>49666</v>
      </c>
      <c r="T5490" s="28">
        <v>172743000</v>
      </c>
      <c r="U5490" s="28">
        <v>166587452000</v>
      </c>
      <c r="V5490" s="28">
        <v>3842821000</v>
      </c>
      <c r="W5490" s="28">
        <v>717645000</v>
      </c>
      <c r="X5490" s="28">
        <v>19051000</v>
      </c>
      <c r="Y5490" s="28">
        <v>195326321000</v>
      </c>
      <c r="Z5490" s="28">
        <v>-48700605000</v>
      </c>
      <c r="AA5490" s="28">
        <v>91289128000</v>
      </c>
      <c r="AB5490" s="28">
        <v>328098000</v>
      </c>
      <c r="AC5490" s="28">
        <v>953135000</v>
      </c>
      <c r="AD5490" s="28">
        <v>103006893000</v>
      </c>
      <c r="AE5490" s="28">
        <v>3144722000</v>
      </c>
      <c r="AF5490" s="28">
        <v>-43734105000</v>
      </c>
      <c r="AG5490" s="11"/>
    </row>
    <row r="5491">
      <c r="A5491" s="7" t="s">
        <v>7100</v>
      </c>
      <c r="B5491" s="5" t="s">
        <v>15054</v>
      </c>
      <c r="C5491" s="5" t="s">
        <v>22751</v>
      </c>
      <c r="D5491" s="5" t="str">
        <v>027713345204</v>
      </c>
      <c r="E5491" s="0" t="e">
        <f>+7 (3472) 603794
+7 (3472) 603795
+7 (3472) 699900
+7 (3472) 844363
+7 (3472) 900892
+7 (3472) 900895
+7 (3473) 336931
+7 (3473) 336932
+7 (34761) 22180
+7 (34767) 55265
+7 (34783) 28818
+7 (34783) 28819
+7 (34784) 40755
+7 (34784) 40939
+7 (917) 4993150</f>
        <v>#NAME?</v>
      </c>
      <c r="F5491" s="5" t="s">
        <v>41542</v>
      </c>
      <c r="G5491" s="5"/>
      <c r="H5491" s="26">
        <v>6.5</v>
      </c>
      <c r="I5491" s="5" t="s">
        <v>41543</v>
      </c>
      <c r="J5491" s="5" t="s">
        <v>1059</v>
      </c>
      <c r="K5491" s="5" t="s">
        <v>344</v>
      </c>
      <c r="L5491" s="5" t="s">
        <v>1027</v>
      </c>
      <c r="M5491" s="27">
        <v>5828910</v>
      </c>
      <c r="N5491" s="5" t="s">
        <v>57662</v>
      </c>
      <c r="O5491" s="5" t="str">
        <v>0273909596</v>
      </c>
      <c r="P5491" s="27">
        <v>10000000</v>
      </c>
      <c r="Q5491" s="5"/>
      <c r="R5491" s="5"/>
      <c r="S5491" s="5" t="s">
        <v>49062</v>
      </c>
      <c r="T5491" s="28">
        <v>22679000</v>
      </c>
      <c r="U5491" s="28"/>
      <c r="V5491" s="28">
        <v>604398000</v>
      </c>
      <c r="W5491" s="28">
        <v>476398000</v>
      </c>
      <c r="X5491" s="28">
        <v>14950000</v>
      </c>
      <c r="Y5491" s="28">
        <v>2332150000</v>
      </c>
      <c r="Z5491" s="28">
        <v>13539000</v>
      </c>
      <c r="AA5491" s="28">
        <v>85136000</v>
      </c>
      <c r="AB5491" s="28">
        <v>1414910000</v>
      </c>
      <c r="AC5491" s="28">
        <v>2222160000</v>
      </c>
      <c r="AD5491" s="28">
        <v>23539000</v>
      </c>
      <c r="AE5491" s="28">
        <v>4728828000</v>
      </c>
      <c r="AF5491" s="28">
        <v>3933000</v>
      </c>
      <c r="AG5491" s="11"/>
    </row>
    <row r="5492">
      <c r="A5492" s="7" t="s">
        <v>7101</v>
      </c>
      <c r="B5492" s="5" t="s">
        <v>15055</v>
      </c>
      <c r="C5492" s="5" t="s">
        <v>22752</v>
      </c>
      <c r="D5492" s="5" t="str">
        <v>352820681304</v>
      </c>
      <c r="E5492" s="0" t="e">
        <f>+7 (495) 2690333</f>
        <v>#NAME?</v>
      </c>
      <c r="F5492" s="5"/>
      <c r="G5492" s="5" t="s">
        <v>41544</v>
      </c>
      <c r="H5492" s="26">
        <v>14</v>
      </c>
      <c r="I5492" s="5" t="s">
        <v>41545</v>
      </c>
      <c r="J5492" s="5" t="s">
        <v>26325</v>
      </c>
      <c r="K5492" s="5" t="s">
        <v>344</v>
      </c>
      <c r="L5492" s="5" t="s">
        <v>41546</v>
      </c>
      <c r="M5492" s="27">
        <v>86474</v>
      </c>
      <c r="N5492" s="5"/>
      <c r="O5492" s="5" t="str">
        <v>7708683565</v>
      </c>
      <c r="P5492" s="27">
        <v>5021000</v>
      </c>
      <c r="Q5492" s="5" t="s">
        <v>57663</v>
      </c>
      <c r="R5492" s="5"/>
      <c r="S5492" s="5" t="s">
        <v>49180</v>
      </c>
      <c r="T5492" s="28">
        <v>2343484000</v>
      </c>
      <c r="U5492" s="28">
        <v>89076000</v>
      </c>
      <c r="V5492" s="28">
        <v>549801000</v>
      </c>
      <c r="W5492" s="28">
        <v>353215000</v>
      </c>
      <c r="X5492" s="28">
        <v>14116000</v>
      </c>
      <c r="Y5492" s="28">
        <v>3557838000</v>
      </c>
      <c r="Z5492" s="28">
        <v>369098000</v>
      </c>
      <c r="AA5492" s="28">
        <v>1369881000</v>
      </c>
      <c r="AB5492" s="28">
        <v>26951000</v>
      </c>
      <c r="AC5492" s="28">
        <v>349658000</v>
      </c>
      <c r="AD5492" s="28">
        <v>612706000</v>
      </c>
      <c r="AE5492" s="28">
        <v>4751784000</v>
      </c>
      <c r="AF5492" s="28">
        <v>411761000</v>
      </c>
      <c r="AG5492" s="11"/>
    </row>
    <row r="5493">
      <c r="A5493" s="7" t="s">
        <v>7102</v>
      </c>
      <c r="B5493" s="5" t="s">
        <v>15056</v>
      </c>
      <c r="C5493" s="5" t="s">
        <v>22753</v>
      </c>
      <c r="D5493" s="5" t="str">
        <v>502910351801</v>
      </c>
      <c r="E5493" s="0" t="e">
        <f>+7 (495) 5804802
+7 (495) 5804801</f>
        <v>#NAME?</v>
      </c>
      <c r="F5493" s="5" t="s">
        <v>41547</v>
      </c>
      <c r="G5493" s="5" t="s">
        <v>41548</v>
      </c>
      <c r="H5493" s="26">
        <v>16</v>
      </c>
      <c r="I5493" s="5" t="s">
        <v>41549</v>
      </c>
      <c r="J5493" s="5" t="s">
        <v>25612</v>
      </c>
      <c r="K5493" s="5" t="s">
        <v>344</v>
      </c>
      <c r="L5493" s="5" t="s">
        <v>41550</v>
      </c>
      <c r="M5493" s="27"/>
      <c r="N5493" s="5" t="s">
        <v>57664</v>
      </c>
      <c r="O5493" s="5" t="str">
        <v>7701692916</v>
      </c>
      <c r="P5493" s="27">
        <v>300000</v>
      </c>
      <c r="Q5493" s="5" t="s">
        <v>57665</v>
      </c>
      <c r="R5493" s="5"/>
      <c r="S5493" s="5" t="s">
        <v>57666</v>
      </c>
      <c r="T5493" s="28">
        <v>19208000</v>
      </c>
      <c r="U5493" s="28"/>
      <c r="V5493" s="28">
        <v>5467587000</v>
      </c>
      <c r="W5493" s="28"/>
      <c r="X5493" s="28">
        <v>54340000</v>
      </c>
      <c r="Y5493" s="28">
        <v>5549673000</v>
      </c>
      <c r="Z5493" s="28">
        <v>729660000</v>
      </c>
      <c r="AA5493" s="28">
        <v>2467052000</v>
      </c>
      <c r="AB5493" s="28"/>
      <c r="AC5493" s="28">
        <v>2341438000</v>
      </c>
      <c r="AD5493" s="28">
        <v>729960000</v>
      </c>
      <c r="AE5493" s="28">
        <v>7664770000</v>
      </c>
      <c r="AF5493" s="28">
        <v>527799000</v>
      </c>
      <c r="AG5493" s="11"/>
    </row>
    <row r="5494">
      <c r="A5494" s="7" t="s">
        <v>7103</v>
      </c>
      <c r="B5494" s="5" t="s">
        <v>15057</v>
      </c>
      <c r="C5494" s="5" t="s">
        <v>22754</v>
      </c>
      <c r="D5494" s="5" t="str">
        <v>503302766584</v>
      </c>
      <c r="E5494" s="0" t="e">
        <f>+7 (495) 7758781
+7 (495) 7717202
+7 (926) 2962434</f>
        <v>#NAME?</v>
      </c>
      <c r="F5494" s="5"/>
      <c r="G5494" s="5" t="s">
        <v>41551</v>
      </c>
      <c r="H5494" s="26">
        <v>14.5</v>
      </c>
      <c r="I5494" s="5" t="s">
        <v>41552</v>
      </c>
      <c r="J5494" s="5" t="s">
        <v>26623</v>
      </c>
      <c r="K5494" s="5" t="s">
        <v>344</v>
      </c>
      <c r="L5494" s="5" t="s">
        <v>41553</v>
      </c>
      <c r="M5494" s="27"/>
      <c r="N5494" s="5"/>
      <c r="O5494" s="5" t="str">
        <v>3123351597</v>
      </c>
      <c r="P5494" s="27">
        <v>76274000</v>
      </c>
      <c r="Q5494" s="5" t="s">
        <v>49059</v>
      </c>
      <c r="R5494" s="5"/>
      <c r="S5494" s="5" t="s">
        <v>57667</v>
      </c>
      <c r="T5494" s="28">
        <v>46658000</v>
      </c>
      <c r="U5494" s="28"/>
      <c r="V5494" s="28">
        <v>1258024000</v>
      </c>
      <c r="W5494" s="28"/>
      <c r="X5494" s="28">
        <v>161727000</v>
      </c>
      <c r="Y5494" s="28">
        <v>1483303000</v>
      </c>
      <c r="Z5494" s="28">
        <v>472407000</v>
      </c>
      <c r="AA5494" s="28"/>
      <c r="AB5494" s="28"/>
      <c r="AC5494" s="28">
        <v>895655000</v>
      </c>
      <c r="AD5494" s="28">
        <v>548681000</v>
      </c>
      <c r="AE5494" s="28">
        <v>15993477000</v>
      </c>
      <c r="AF5494" s="28">
        <v>1635107000</v>
      </c>
      <c r="AG5494" s="11"/>
    </row>
    <row r="5495">
      <c r="A5495" s="7" t="s">
        <v>7103</v>
      </c>
      <c r="B5495" s="5" t="s">
        <v>15058</v>
      </c>
      <c r="C5495" s="5" t="s">
        <v>22755</v>
      </c>
      <c r="D5495" s="5"/>
      <c r="E5495" s="0" t="e">
        <f>+7 (4855) 288288
+7 (485) 5288488
+7 (4855) 202100
+7 (4855) 202131
+7 (4855) 202134
+7 (4855) 202135
+7 (4855) 202169
+7 (4855) 206227
+7 (4855) 284411
+7 (4855) 288822
+7 (4855) 288863
+7 (4855) 288864</f>
        <v>#NAME?</v>
      </c>
      <c r="F5495" s="5" t="s">
        <v>41554</v>
      </c>
      <c r="G5495" s="5" t="s">
        <v>41555</v>
      </c>
      <c r="H5495" s="26">
        <v>23</v>
      </c>
      <c r="I5495" s="5" t="s">
        <v>41556</v>
      </c>
      <c r="J5495" s="5" t="s">
        <v>655</v>
      </c>
      <c r="K5495" s="5" t="s">
        <v>344</v>
      </c>
      <c r="L5495" s="5" t="s">
        <v>41557</v>
      </c>
      <c r="M5495" s="27"/>
      <c r="N5495" s="5"/>
      <c r="O5495" s="5" t="str">
        <v>7610048711</v>
      </c>
      <c r="P5495" s="27">
        <v>90312000</v>
      </c>
      <c r="Q5495" s="5" t="s">
        <v>49009</v>
      </c>
      <c r="R5495" s="5"/>
      <c r="S5495" s="5" t="s">
        <v>49066</v>
      </c>
      <c r="T5495" s="28">
        <v>806486000</v>
      </c>
      <c r="U5495" s="28"/>
      <c r="V5495" s="28">
        <v>482226000</v>
      </c>
      <c r="W5495" s="28"/>
      <c r="X5495" s="28">
        <v>1715827000</v>
      </c>
      <c r="Y5495" s="28">
        <v>3754594000</v>
      </c>
      <c r="Z5495" s="28">
        <v>168251000</v>
      </c>
      <c r="AA5495" s="28"/>
      <c r="AB5495" s="28">
        <v>7000</v>
      </c>
      <c r="AC5495" s="28">
        <v>519711000</v>
      </c>
      <c r="AD5495" s="28">
        <v>3204533000</v>
      </c>
      <c r="AE5495" s="28">
        <v>5400058000</v>
      </c>
      <c r="AF5495" s="28">
        <v>441941000</v>
      </c>
      <c r="AG5495" s="11"/>
    </row>
    <row r="5496">
      <c r="A5496" s="7" t="s">
        <v>7104</v>
      </c>
      <c r="B5496" s="5" t="s">
        <v>15059</v>
      </c>
      <c r="C5496" s="5" t="s">
        <v>22756</v>
      </c>
      <c r="D5496" s="5" t="str">
        <v>503603598090</v>
      </c>
      <c r="E5496" s="0" t="e">
        <f>+7 (4855) 288832
+7 (4855) 202640
+7 (4855) 287899
+7 (910) 6621527</f>
        <v>#NAME?</v>
      </c>
      <c r="F5496" s="5" t="s">
        <v>41558</v>
      </c>
      <c r="G5496" s="5" t="s">
        <v>41559</v>
      </c>
      <c r="H5496" s="26">
        <v>15</v>
      </c>
      <c r="I5496" s="5" t="s">
        <v>41560</v>
      </c>
      <c r="J5496" s="5" t="s">
        <v>773</v>
      </c>
      <c r="K5496" s="5" t="s">
        <v>344</v>
      </c>
      <c r="L5496" s="5" t="s">
        <v>1564</v>
      </c>
      <c r="M5496" s="27"/>
      <c r="N5496" s="5"/>
      <c r="O5496" s="5" t="str">
        <v>7610077208</v>
      </c>
      <c r="P5496" s="27">
        <v>202000</v>
      </c>
      <c r="Q5496" s="5"/>
      <c r="R5496" s="5"/>
      <c r="S5496" s="5" t="s">
        <v>49029</v>
      </c>
      <c r="T5496" s="28">
        <v>80301000</v>
      </c>
      <c r="U5496" s="28"/>
      <c r="V5496" s="28">
        <v>195816000</v>
      </c>
      <c r="W5496" s="28">
        <v>94172000</v>
      </c>
      <c r="X5496" s="28">
        <v>251000</v>
      </c>
      <c r="Y5496" s="28">
        <v>1200742000</v>
      </c>
      <c r="Z5496" s="28">
        <v>2384000</v>
      </c>
      <c r="AA5496" s="28">
        <v>179750000</v>
      </c>
      <c r="AB5496" s="28">
        <v>280476000</v>
      </c>
      <c r="AC5496" s="28">
        <v>1008063000</v>
      </c>
      <c r="AD5496" s="28">
        <v>12368000</v>
      </c>
      <c r="AE5496" s="28">
        <v>4747078000</v>
      </c>
      <c r="AF5496" s="28">
        <v>2384000</v>
      </c>
      <c r="AG5496" s="11"/>
    </row>
    <row r="5497">
      <c r="A5497" s="7" t="s">
        <v>7105</v>
      </c>
      <c r="B5497" s="5" t="s">
        <v>15060</v>
      </c>
      <c r="C5497" s="5" t="s">
        <v>21419</v>
      </c>
      <c r="D5497" s="5" t="str">
        <v>471600555354</v>
      </c>
      <c r="E5497" s="0" t="e">
        <f>+7 (812) 3725881
+7 (812) 3725880
+7 (812) 3726484
+7 (812) 4126484
+7 (812) 4127793
+7 (812) 5676484</f>
        <v>#NAME?</v>
      </c>
      <c r="F5497" s="5" t="s">
        <v>41561</v>
      </c>
      <c r="G5497" s="5" t="s">
        <v>41562</v>
      </c>
      <c r="H5497" s="26">
        <v>19</v>
      </c>
      <c r="I5497" s="5"/>
      <c r="J5497" s="5" t="s">
        <v>25280</v>
      </c>
      <c r="K5497" s="5" t="s">
        <v>344</v>
      </c>
      <c r="L5497" s="5"/>
      <c r="M5497" s="27">
        <v>12912600</v>
      </c>
      <c r="N5497" s="5" t="s">
        <v>57668</v>
      </c>
      <c r="O5497" s="5" t="str">
        <v>7806151791</v>
      </c>
      <c r="P5497" s="27">
        <v>167344000</v>
      </c>
      <c r="Q5497" s="5" t="s">
        <v>57669</v>
      </c>
      <c r="R5497" s="5" t="s">
        <v>57670</v>
      </c>
      <c r="S5497" s="5" t="s">
        <v>57671</v>
      </c>
      <c r="T5497" s="28">
        <v>1649482000</v>
      </c>
      <c r="U5497" s="28">
        <v>20510000</v>
      </c>
      <c r="V5497" s="28">
        <v>28826316000</v>
      </c>
      <c r="W5497" s="28">
        <v>6398149000</v>
      </c>
      <c r="X5497" s="28">
        <v>459752000</v>
      </c>
      <c r="Y5497" s="28">
        <v>50233929000</v>
      </c>
      <c r="Z5497" s="28">
        <v>-13847951000</v>
      </c>
      <c r="AA5497" s="28"/>
      <c r="AB5497" s="28">
        <v>1035083000</v>
      </c>
      <c r="AC5497" s="28">
        <v>20574783000</v>
      </c>
      <c r="AD5497" s="28">
        <v>28888509000</v>
      </c>
      <c r="AE5497" s="28">
        <v>16832300000</v>
      </c>
      <c r="AF5497" s="28">
        <v>594434000</v>
      </c>
      <c r="AG5497" s="11"/>
    </row>
    <row r="5498">
      <c r="A5498" s="7" t="s">
        <v>7106</v>
      </c>
      <c r="B5498" s="5" t="s">
        <v>15061</v>
      </c>
      <c r="C5498" s="5" t="s">
        <v>22757</v>
      </c>
      <c r="D5498" s="5" t="str">
        <v>771511462561</v>
      </c>
      <c r="E5498" s="0" t="e">
        <f>+7 (383) 2893356
+7 (383) 2894559
+7 (383) 2894597
+7 (800) 2345670
+7 (383) 2248710
+7 (383) 2249938
+7 (383) 2892560
+7 (383) 2892580
+7 (383) 2893959
+7 (383) 2894160
+7 (383) 2894527
+7 (38345) 21857
+7 (38345) 22813
+7 (424) 77444</f>
        <v>#NAME?</v>
      </c>
      <c r="F5498" s="5" t="s">
        <v>41563</v>
      </c>
      <c r="G5498" s="5" t="s">
        <v>41564</v>
      </c>
      <c r="H5498" s="26">
        <v>18.5</v>
      </c>
      <c r="I5498" s="5"/>
      <c r="J5498" s="5" t="s">
        <v>27802</v>
      </c>
      <c r="K5498" s="5" t="s">
        <v>344</v>
      </c>
      <c r="L5498" s="5"/>
      <c r="M5498" s="27">
        <v>539744327</v>
      </c>
      <c r="N5498" s="5" t="s">
        <v>57672</v>
      </c>
      <c r="O5498" s="5" t="str">
        <v>5406291470</v>
      </c>
      <c r="P5498" s="27">
        <v>9639194200</v>
      </c>
      <c r="Q5498" s="5" t="s">
        <v>57673</v>
      </c>
      <c r="R5498" s="5"/>
      <c r="S5498" s="5" t="s">
        <v>51118</v>
      </c>
      <c r="T5498" s="28">
        <v>23339680000</v>
      </c>
      <c r="U5498" s="28">
        <v>3093554000</v>
      </c>
      <c r="V5498" s="28">
        <v>1475779000</v>
      </c>
      <c r="W5498" s="28"/>
      <c r="X5498" s="28">
        <v>633295000</v>
      </c>
      <c r="Y5498" s="28">
        <v>29621652000</v>
      </c>
      <c r="Z5498" s="28">
        <v>8690630000</v>
      </c>
      <c r="AA5498" s="28">
        <v>2600491000</v>
      </c>
      <c r="AB5498" s="28">
        <v>6085000</v>
      </c>
      <c r="AC5498" s="28">
        <v>4708275000</v>
      </c>
      <c r="AD5498" s="28">
        <v>18732908000</v>
      </c>
      <c r="AE5498" s="28">
        <v>17548844000</v>
      </c>
      <c r="AF5498" s="28">
        <v>801637000</v>
      </c>
      <c r="AG5498" s="11"/>
    </row>
    <row r="5499">
      <c r="A5499" s="7" t="s">
        <v>7107</v>
      </c>
      <c r="B5499" s="5" t="s">
        <v>15062</v>
      </c>
      <c r="C5499" s="5" t="s">
        <v>19567</v>
      </c>
      <c r="D5499" s="5"/>
      <c r="E5499" s="0" t="e">
        <f>+7 (39131) 33787
+7 (401) 2933868
+7 (4912) 217404
+7 (4912) 290231
+7 (4912) 393863
+7 (4912) 393865
+7 (4912) 444888
+7 (4912) 923807
+7 (4912) 932863
+7 (4912) 204508
+7 (4912) 204511
+7 (4912) 254291
+7 (4912) 296414
+7 (4912) 405134
+7 (4912) 763245</f>
        <v>#NAME?</v>
      </c>
      <c r="F5499" s="5" t="s">
        <v>41565</v>
      </c>
      <c r="G5499" s="5" t="s">
        <v>41566</v>
      </c>
      <c r="H5499" s="26">
        <v>18</v>
      </c>
      <c r="I5499" s="5" t="s">
        <v>41567</v>
      </c>
      <c r="J5499" s="5" t="s">
        <v>26623</v>
      </c>
      <c r="K5499" s="5" t="s">
        <v>344</v>
      </c>
      <c r="L5499" s="5"/>
      <c r="M5499" s="27">
        <v>24774082</v>
      </c>
      <c r="N5499" s="5" t="s">
        <v>57674</v>
      </c>
      <c r="O5499" s="5" t="str">
        <v>6229049014</v>
      </c>
      <c r="P5499" s="27">
        <v>10347011</v>
      </c>
      <c r="Q5499" s="5" t="s">
        <v>57675</v>
      </c>
      <c r="R5499" s="5"/>
      <c r="S5499" s="5" t="s">
        <v>57676</v>
      </c>
      <c r="T5499" s="28">
        <v>463849000</v>
      </c>
      <c r="U5499" s="28"/>
      <c r="V5499" s="28">
        <v>689356000</v>
      </c>
      <c r="W5499" s="28"/>
      <c r="X5499" s="28">
        <v>1239959000</v>
      </c>
      <c r="Y5499" s="28">
        <v>2490193000</v>
      </c>
      <c r="Z5499" s="28">
        <v>1358824000</v>
      </c>
      <c r="AA5499" s="28">
        <v>8777000</v>
      </c>
      <c r="AB5499" s="28">
        <v>1452000</v>
      </c>
      <c r="AC5499" s="28">
        <v>1111728000</v>
      </c>
      <c r="AD5499" s="28">
        <v>1369688000</v>
      </c>
      <c r="AE5499" s="28">
        <v>13035401000</v>
      </c>
      <c r="AF5499" s="28">
        <v>834582000</v>
      </c>
      <c r="AG5499" s="11"/>
    </row>
    <row r="5500">
      <c r="A5500" s="7" t="s">
        <v>7108</v>
      </c>
      <c r="B5500" s="5" t="s">
        <v>15063</v>
      </c>
      <c r="C5500" s="5" t="s">
        <v>22758</v>
      </c>
      <c r="D5500" s="5" t="str">
        <v>770305582558</v>
      </c>
      <c r="E5500" s="0" t="e">
        <f>+7 (495) 9997883
+7 (495) 6740461</f>
        <v>#NAME?</v>
      </c>
      <c r="F5500" s="5" t="s">
        <v>41568</v>
      </c>
      <c r="G5500" s="5"/>
      <c r="H5500" s="26">
        <v>30.5</v>
      </c>
      <c r="I5500" s="5"/>
      <c r="J5500" s="5" t="s">
        <v>373</v>
      </c>
      <c r="K5500" s="5" t="s">
        <v>344</v>
      </c>
      <c r="L5500" s="5"/>
      <c r="M5500" s="27"/>
      <c r="N5500" s="5"/>
      <c r="O5500" s="5" t="str">
        <v>9723149016</v>
      </c>
      <c r="P5500" s="27">
        <v>230327000</v>
      </c>
      <c r="Q5500" s="5"/>
      <c r="R5500" s="5"/>
      <c r="S5500" s="5" t="s">
        <v>49743</v>
      </c>
      <c r="T5500" s="28">
        <v>177147000</v>
      </c>
      <c r="U5500" s="28"/>
      <c r="V5500" s="28">
        <v>20390446000</v>
      </c>
      <c r="W5500" s="28"/>
      <c r="X5500" s="28">
        <v>543467000</v>
      </c>
      <c r="Y5500" s="28">
        <v>21111787000</v>
      </c>
      <c r="Z5500" s="28">
        <v>38329000</v>
      </c>
      <c r="AA5500" s="28"/>
      <c r="AB5500" s="28"/>
      <c r="AC5500" s="28">
        <v>20843131000</v>
      </c>
      <c r="AD5500" s="28">
        <v>268656000</v>
      </c>
      <c r="AE5500" s="28">
        <v>252099612000</v>
      </c>
      <c r="AF5500" s="28">
        <v>32780000</v>
      </c>
      <c r="AG5500" s="11"/>
    </row>
    <row r="5501">
      <c r="A5501" s="7" t="s">
        <v>7109</v>
      </c>
      <c r="B5501" s="5" t="s">
        <v>11910</v>
      </c>
      <c r="C5501" s="5" t="s">
        <v>19755</v>
      </c>
      <c r="D5501" s="5" t="str">
        <v>140200603798</v>
      </c>
      <c r="E5501" s="0" t="e">
        <f>+7 (411) 4535625
+7 (41145) 62500
+7 (41145) 37245</f>
        <v>#NAME?</v>
      </c>
      <c r="F5501" s="5"/>
      <c r="G5501" s="5"/>
      <c r="H5501" s="26">
        <v>19</v>
      </c>
      <c r="I5501" s="5" t="s">
        <v>41569</v>
      </c>
      <c r="J5501" s="5" t="s">
        <v>26499</v>
      </c>
      <c r="K5501" s="5" t="s">
        <v>355</v>
      </c>
      <c r="L5501" s="5" t="s">
        <v>41570</v>
      </c>
      <c r="M5501" s="27"/>
      <c r="N5501" s="5"/>
      <c r="O5501" s="5" t="str">
        <v>1402014478</v>
      </c>
      <c r="P5501" s="27">
        <v>630020400</v>
      </c>
      <c r="Q5501" s="5" t="s">
        <v>49021</v>
      </c>
      <c r="R5501" s="5"/>
      <c r="S5501" s="5" t="s">
        <v>54439</v>
      </c>
      <c r="T5501" s="28">
        <v>4565671000</v>
      </c>
      <c r="U5501" s="28"/>
      <c r="V5501" s="28">
        <v>2559088000</v>
      </c>
      <c r="W5501" s="28">
        <v>2150000000</v>
      </c>
      <c r="X5501" s="28">
        <v>661000</v>
      </c>
      <c r="Y5501" s="28">
        <v>16517558000</v>
      </c>
      <c r="Z5501" s="28">
        <v>1828240000</v>
      </c>
      <c r="AA5501" s="28">
        <v>2193264000</v>
      </c>
      <c r="AB5501" s="28">
        <v>2740028000</v>
      </c>
      <c r="AC5501" s="28">
        <v>11085058000</v>
      </c>
      <c r="AD5501" s="28">
        <v>2458260000</v>
      </c>
      <c r="AE5501" s="28">
        <v>10204536000</v>
      </c>
      <c r="AF5501" s="28">
        <v>4828240000</v>
      </c>
      <c r="AG5501" s="11"/>
    </row>
    <row r="5502">
      <c r="A5502" s="7" t="s">
        <v>7110</v>
      </c>
      <c r="B5502" s="5" t="s">
        <v>15064</v>
      </c>
      <c r="C5502" s="5" t="s">
        <v>22759</v>
      </c>
      <c r="D5502" s="5" t="str">
        <v>582936343210</v>
      </c>
      <c r="E5502" s="0" t="e">
        <f>+7 (49148) 31003
+7 (49148) 31264
+7 (49148) 31353
+7 (910) 9000788
+7 (927) 9133941</f>
        <v>#NAME?</v>
      </c>
      <c r="F5502" s="5" t="s">
        <v>41571</v>
      </c>
      <c r="G5502" s="5"/>
      <c r="H5502" s="26">
        <v>10</v>
      </c>
      <c r="I5502" s="5" t="s">
        <v>41572</v>
      </c>
      <c r="J5502" s="5" t="s">
        <v>25949</v>
      </c>
      <c r="K5502" s="5" t="s">
        <v>344</v>
      </c>
      <c r="L5502" s="5"/>
      <c r="M5502" s="27">
        <v>875720</v>
      </c>
      <c r="N5502" s="5"/>
      <c r="O5502" s="5" t="str">
        <v>6217000920</v>
      </c>
      <c r="P5502" s="27">
        <v>10000</v>
      </c>
      <c r="Q5502" s="5" t="s">
        <v>49009</v>
      </c>
      <c r="R5502" s="5"/>
      <c r="S5502" s="5" t="s">
        <v>49010</v>
      </c>
      <c r="T5502" s="28"/>
      <c r="U5502" s="28"/>
      <c r="V5502" s="28">
        <v>618655000</v>
      </c>
      <c r="W5502" s="28"/>
      <c r="X5502" s="28">
        <v>2931000</v>
      </c>
      <c r="Y5502" s="28">
        <v>1029437000</v>
      </c>
      <c r="Z5502" s="28">
        <v>26673000</v>
      </c>
      <c r="AA5502" s="28"/>
      <c r="AB5502" s="28">
        <v>925224000</v>
      </c>
      <c r="AC5502" s="28">
        <v>1002754000</v>
      </c>
      <c r="AD5502" s="28">
        <v>26683000</v>
      </c>
      <c r="AE5502" s="28">
        <v>3467789000</v>
      </c>
      <c r="AF5502" s="28">
        <v>1327000</v>
      </c>
      <c r="AG5502" s="11"/>
    </row>
    <row r="5503">
      <c r="A5503" s="7" t="s">
        <v>7111</v>
      </c>
      <c r="B5503" s="5" t="s">
        <v>15065</v>
      </c>
      <c r="C5503" s="5" t="s">
        <v>22760</v>
      </c>
      <c r="D5503" s="5" t="str">
        <v>623411386034</v>
      </c>
      <c r="E5503" s="0" t="e">
        <f>+7 (4912) 768707
+7 (4912) 987917
+7 (4912) 988147
+7 (4912) 988149
+7 (4912) 988151
+7 (4912) 988155
+7 (4912) 988156
+7 (4912) 988157
+7 (4912) 988208</f>
        <v>#NAME?</v>
      </c>
      <c r="F5503" s="5" t="s">
        <v>41573</v>
      </c>
      <c r="G5503" s="5" t="s">
        <v>41574</v>
      </c>
      <c r="H5503" s="26">
        <v>18.5</v>
      </c>
      <c r="I5503" s="5" t="s">
        <v>41575</v>
      </c>
      <c r="J5503" s="5" t="s">
        <v>25499</v>
      </c>
      <c r="K5503" s="5" t="s">
        <v>344</v>
      </c>
      <c r="L5503" s="5" t="s">
        <v>41576</v>
      </c>
      <c r="M5503" s="27">
        <v>4657437</v>
      </c>
      <c r="N5503" s="5" t="s">
        <v>57677</v>
      </c>
      <c r="O5503" s="5" t="str">
        <v>6234006538</v>
      </c>
      <c r="P5503" s="27">
        <v>10000</v>
      </c>
      <c r="Q5503" s="5" t="s">
        <v>49009</v>
      </c>
      <c r="R5503" s="5"/>
      <c r="S5503" s="5" t="s">
        <v>49487</v>
      </c>
      <c r="T5503" s="28">
        <v>953341000</v>
      </c>
      <c r="U5503" s="28"/>
      <c r="V5503" s="28">
        <v>764286000</v>
      </c>
      <c r="W5503" s="28"/>
      <c r="X5503" s="28">
        <v>15401000</v>
      </c>
      <c r="Y5503" s="28">
        <v>3059125000</v>
      </c>
      <c r="Z5503" s="28">
        <v>1124081000</v>
      </c>
      <c r="AA5503" s="28">
        <v>610160000</v>
      </c>
      <c r="AB5503" s="28">
        <v>971955000</v>
      </c>
      <c r="AC5503" s="28">
        <v>1285862000</v>
      </c>
      <c r="AD5503" s="28">
        <v>1124091000</v>
      </c>
      <c r="AE5503" s="28">
        <v>7625127000</v>
      </c>
      <c r="AF5503" s="28">
        <v>244171000</v>
      </c>
      <c r="AG5503" s="11"/>
    </row>
    <row r="5504">
      <c r="A5504" s="7" t="s">
        <v>7112</v>
      </c>
      <c r="B5504" s="5" t="s">
        <v>15066</v>
      </c>
      <c r="C5504" s="5" t="s">
        <v>22761</v>
      </c>
      <c r="D5504" s="5" t="str">
        <v>233706298501</v>
      </c>
      <c r="E5504" s="0" t="e">
        <f>+7 (4912) 289301
+7 (4912) 289501
+7 (4912) 289828
+7 (49130) 21926</f>
        <v>#NAME?</v>
      </c>
      <c r="F5504" s="5" t="s">
        <v>41577</v>
      </c>
      <c r="G5504" s="5" t="s">
        <v>41578</v>
      </c>
      <c r="H5504" s="26">
        <v>30.5</v>
      </c>
      <c r="I5504" s="5" t="s">
        <v>41579</v>
      </c>
      <c r="J5504" s="5" t="s">
        <v>467</v>
      </c>
      <c r="K5504" s="5" t="s">
        <v>344</v>
      </c>
      <c r="L5504" s="5"/>
      <c r="M5504" s="27">
        <v>50173733</v>
      </c>
      <c r="N5504" s="5" t="s">
        <v>57678</v>
      </c>
      <c r="O5504" s="5" t="str">
        <v>6234065445</v>
      </c>
      <c r="P5504" s="27">
        <v>428189000</v>
      </c>
      <c r="Q5504" s="5" t="s">
        <v>57680</v>
      </c>
      <c r="R5504" s="5"/>
      <c r="S5504" s="5" t="s">
        <v>57681</v>
      </c>
      <c r="T5504" s="28">
        <v>730374000</v>
      </c>
      <c r="U5504" s="28">
        <v>91000</v>
      </c>
      <c r="V5504" s="28">
        <v>239902000</v>
      </c>
      <c r="W5504" s="28"/>
      <c r="X5504" s="28">
        <v>220299000</v>
      </c>
      <c r="Y5504" s="28">
        <v>1761280000</v>
      </c>
      <c r="Z5504" s="28">
        <v>69487000</v>
      </c>
      <c r="AA5504" s="28">
        <v>310163000</v>
      </c>
      <c r="AB5504" s="28">
        <v>45000000</v>
      </c>
      <c r="AC5504" s="28">
        <v>721219000</v>
      </c>
      <c r="AD5504" s="28">
        <v>608068000</v>
      </c>
      <c r="AE5504" s="28">
        <v>6710396000</v>
      </c>
      <c r="AF5504" s="28">
        <v>7691000</v>
      </c>
      <c r="AG5504" s="11"/>
    </row>
    <row r="5505">
      <c r="A5505" s="7" t="s">
        <v>7113</v>
      </c>
      <c r="B5505" s="5" t="s">
        <v>15067</v>
      </c>
      <c r="C5505" s="5" t="s">
        <v>22762</v>
      </c>
      <c r="D5505" s="5" t="str">
        <v>623101960107</v>
      </c>
      <c r="E5505" s="0" t="e">
        <f>+7 (4912) 441310
+7 (4912) 442544
+7 (4912) 444295
+7 (4912) 444482
+7 (4912) 444606
+7 (4912) 445648
+7 (912) 444482</f>
        <v>#NAME?</v>
      </c>
      <c r="F5505" s="5" t="s">
        <v>41580</v>
      </c>
      <c r="G5505" s="5"/>
      <c r="H5505" s="26">
        <v>30.5</v>
      </c>
      <c r="I5505" s="5" t="s">
        <v>41581</v>
      </c>
      <c r="J5505" s="5" t="s">
        <v>562</v>
      </c>
      <c r="K5505" s="5" t="s">
        <v>344</v>
      </c>
      <c r="L5505" s="5" t="s">
        <v>41582</v>
      </c>
      <c r="M5505" s="27"/>
      <c r="N5505" s="5" t="s">
        <v>57682</v>
      </c>
      <c r="O5505" s="5" t="str">
        <v>6234199738</v>
      </c>
      <c r="P5505" s="27">
        <v>1542000</v>
      </c>
      <c r="Q5505" s="5" t="s">
        <v>49059</v>
      </c>
      <c r="R5505" s="5" t="s">
        <v>57683</v>
      </c>
      <c r="S5505" s="5" t="s">
        <v>49047</v>
      </c>
      <c r="T5505" s="28">
        <v>12982000</v>
      </c>
      <c r="U5505" s="28">
        <v>7061000</v>
      </c>
      <c r="V5505" s="28">
        <v>394519000</v>
      </c>
      <c r="W5505" s="28"/>
      <c r="X5505" s="28">
        <v>4921000</v>
      </c>
      <c r="Y5505" s="28">
        <v>713544000</v>
      </c>
      <c r="Z5505" s="28">
        <v>405807000</v>
      </c>
      <c r="AA5505" s="28"/>
      <c r="AB5505" s="28"/>
      <c r="AC5505" s="28">
        <v>297729000</v>
      </c>
      <c r="AD5505" s="28">
        <v>415815000</v>
      </c>
      <c r="AE5505" s="28">
        <v>7144649000</v>
      </c>
      <c r="AF5505" s="28">
        <v>103203000</v>
      </c>
      <c r="AG5505" s="11"/>
    </row>
    <row r="5506">
      <c r="A5506" s="7" t="s">
        <v>7114</v>
      </c>
      <c r="B5506" s="5" t="s">
        <v>15068</v>
      </c>
      <c r="C5506" s="5" t="s">
        <v>22763</v>
      </c>
      <c r="D5506" s="5" t="str">
        <v>770804492204</v>
      </c>
      <c r="E5506" s="0" t="e">
        <f>+7 (495) 7974695
+7 (383) 3569192
+7 (495) 7977789
+7 (913) 9023715
+7 (495) 6444067
+7 (495) 7770843
+7 (495) 7953482
+7 (495) 7974659
+7 (495) 7974677
+7 (495) 9678850
+7 (499) 9214793</f>
        <v>#NAME?</v>
      </c>
      <c r="F5506" s="5" t="s">
        <v>41583</v>
      </c>
      <c r="G5506" s="5" t="s">
        <v>41584</v>
      </c>
      <c r="H5506" s="26">
        <v>17.5</v>
      </c>
      <c r="I5506" s="5" t="s">
        <v>41585</v>
      </c>
      <c r="J5506" s="5" t="s">
        <v>27564</v>
      </c>
      <c r="K5506" s="5" t="s">
        <v>344</v>
      </c>
      <c r="L5506" s="5" t="s">
        <v>41586</v>
      </c>
      <c r="M5506" s="27">
        <v>700046874</v>
      </c>
      <c r="N5506" s="5" t="s">
        <v>57684</v>
      </c>
      <c r="O5506" s="5" t="str">
        <v>5009049835</v>
      </c>
      <c r="P5506" s="27">
        <v>1082176361</v>
      </c>
      <c r="Q5506" s="5" t="s">
        <v>57686</v>
      </c>
      <c r="R5506" s="5"/>
      <c r="S5506" s="5" t="s">
        <v>51881</v>
      </c>
      <c r="T5506" s="28">
        <v>3781669000</v>
      </c>
      <c r="U5506" s="28">
        <v>1436917000</v>
      </c>
      <c r="V5506" s="28">
        <v>2738386000</v>
      </c>
      <c r="W5506" s="28">
        <v>442094000</v>
      </c>
      <c r="X5506" s="28">
        <v>2016758000</v>
      </c>
      <c r="Y5506" s="28">
        <v>15227797000</v>
      </c>
      <c r="Z5506" s="28">
        <v>3749263000</v>
      </c>
      <c r="AA5506" s="28">
        <v>1500000000</v>
      </c>
      <c r="AB5506" s="28">
        <v>820000</v>
      </c>
      <c r="AC5506" s="28">
        <v>5049285000</v>
      </c>
      <c r="AD5506" s="28">
        <v>6487420000</v>
      </c>
      <c r="AE5506" s="28">
        <v>11481312000</v>
      </c>
      <c r="AF5506" s="28">
        <v>1099444000</v>
      </c>
      <c r="AG5506" s="11"/>
    </row>
    <row r="5507">
      <c r="A5507" s="7" t="s">
        <v>7115</v>
      </c>
      <c r="B5507" s="5" t="s">
        <v>15069</v>
      </c>
      <c r="C5507" s="5" t="s">
        <v>22764</v>
      </c>
      <c r="D5507" s="5" t="str">
        <v>773671687101</v>
      </c>
      <c r="E5507" s="0" t="e">
        <f>+7 (383) 2106856
+7 (383) 2176976
+7 (495) 2283078
+7 (495) 2284770
+7 (495) 7778888
+7 (495) 7779999
+7 (800) 7009010</f>
        <v>#NAME?</v>
      </c>
      <c r="F5507" s="5" t="s">
        <v>41587</v>
      </c>
      <c r="G5507" s="5" t="s">
        <v>41588</v>
      </c>
      <c r="H5507" s="26">
        <v>17.5</v>
      </c>
      <c r="I5507" s="5" t="s">
        <v>41589</v>
      </c>
      <c r="J5507" s="5" t="s">
        <v>28573</v>
      </c>
      <c r="K5507" s="5" t="s">
        <v>344</v>
      </c>
      <c r="L5507" s="5" t="s">
        <v>41590</v>
      </c>
      <c r="M5507" s="27"/>
      <c r="N5507" s="5" t="s">
        <v>57687</v>
      </c>
      <c r="O5507" s="5" t="str">
        <v>7701607660</v>
      </c>
      <c r="P5507" s="27">
        <v>100000</v>
      </c>
      <c r="Q5507" s="5"/>
      <c r="R5507" s="5"/>
      <c r="S5507" s="5" t="s">
        <v>49110</v>
      </c>
      <c r="T5507" s="28">
        <v>163300000</v>
      </c>
      <c r="U5507" s="28"/>
      <c r="V5507" s="28">
        <v>321526000</v>
      </c>
      <c r="W5507" s="28"/>
      <c r="X5507" s="28">
        <v>651940000</v>
      </c>
      <c r="Y5507" s="28">
        <v>1360697000</v>
      </c>
      <c r="Z5507" s="28">
        <v>365686000</v>
      </c>
      <c r="AA5507" s="28"/>
      <c r="AB5507" s="28"/>
      <c r="AC5507" s="28">
        <v>899702000</v>
      </c>
      <c r="AD5507" s="28">
        <v>365786000</v>
      </c>
      <c r="AE5507" s="28">
        <v>3048417000</v>
      </c>
      <c r="AF5507" s="28">
        <v>267520000</v>
      </c>
      <c r="AG5507" s="11"/>
    </row>
    <row r="5508">
      <c r="A5508" s="7" t="s">
        <v>7116</v>
      </c>
      <c r="B5508" s="5" t="s">
        <v>15070</v>
      </c>
      <c r="C5508" s="5" t="s">
        <v>22765</v>
      </c>
      <c r="D5508" s="5" t="str">
        <v>471600420149</v>
      </c>
      <c r="F5508" s="5" t="s">
        <v>41591</v>
      </c>
      <c r="G5508" s="5"/>
      <c r="H5508" s="26">
        <v>16</v>
      </c>
      <c r="I5508" s="5" t="s">
        <v>41592</v>
      </c>
      <c r="J5508" s="5" t="s">
        <v>27522</v>
      </c>
      <c r="K5508" s="5" t="s">
        <v>344</v>
      </c>
      <c r="L5508" s="5"/>
      <c r="M5508" s="27"/>
      <c r="N5508" s="5"/>
      <c r="O5508" s="5" t="str">
        <v>7807322457</v>
      </c>
      <c r="P5508" s="27">
        <v>52935792</v>
      </c>
      <c r="Q5508" s="5" t="s">
        <v>49021</v>
      </c>
      <c r="R5508" s="5"/>
      <c r="S5508" s="5" t="s">
        <v>57688</v>
      </c>
      <c r="T5508" s="28"/>
      <c r="U5508" s="28"/>
      <c r="V5508" s="28">
        <v>459267000</v>
      </c>
      <c r="W5508" s="28"/>
      <c r="X5508" s="28">
        <v>11651000</v>
      </c>
      <c r="Y5508" s="28">
        <v>610439000</v>
      </c>
      <c r="Z5508" s="28">
        <v>-42779000</v>
      </c>
      <c r="AA5508" s="28">
        <v>20000000</v>
      </c>
      <c r="AB5508" s="28">
        <v>202123000</v>
      </c>
      <c r="AC5508" s="28">
        <v>580282000</v>
      </c>
      <c r="AD5508" s="28">
        <v>10157000</v>
      </c>
      <c r="AE5508" s="28">
        <v>7259967000</v>
      </c>
      <c r="AF5508" s="28">
        <v>1433000</v>
      </c>
      <c r="AG5508" s="11"/>
    </row>
    <row r="5509">
      <c r="A5509" s="7" t="s">
        <v>7117</v>
      </c>
      <c r="B5509" s="5" t="s">
        <v>15071</v>
      </c>
      <c r="C5509" s="5" t="s">
        <v>22766</v>
      </c>
      <c r="D5509" s="5" t="str">
        <v>352509197339</v>
      </c>
      <c r="E5509" s="0" t="e">
        <f>+7 (817) 3323152
+7 (81733) 23684
+7 (81733) 33152</f>
        <v>#NAME?</v>
      </c>
      <c r="F5509" s="5" t="s">
        <v>41593</v>
      </c>
      <c r="G5509" s="5" t="s">
        <v>41594</v>
      </c>
      <c r="H5509" s="26">
        <v>23</v>
      </c>
      <c r="I5509" s="5"/>
      <c r="J5509" s="5" t="s">
        <v>26924</v>
      </c>
      <c r="K5509" s="5" t="s">
        <v>355</v>
      </c>
      <c r="L5509" s="5" t="s">
        <v>41595</v>
      </c>
      <c r="M5509" s="27">
        <v>872971</v>
      </c>
      <c r="N5509" s="5"/>
      <c r="O5509" s="5" t="str">
        <v>3527008949</v>
      </c>
      <c r="P5509" s="27">
        <v>100000</v>
      </c>
      <c r="Q5509" s="5" t="s">
        <v>49009</v>
      </c>
      <c r="R5509" s="5"/>
      <c r="S5509" s="5" t="s">
        <v>49576</v>
      </c>
      <c r="T5509" s="28">
        <v>3722073000</v>
      </c>
      <c r="U5509" s="28">
        <v>5115000</v>
      </c>
      <c r="V5509" s="28">
        <v>1893893000</v>
      </c>
      <c r="W5509" s="28">
        <v>2700255000</v>
      </c>
      <c r="X5509" s="28">
        <v>281727000</v>
      </c>
      <c r="Y5509" s="28">
        <v>9398016000</v>
      </c>
      <c r="Z5509" s="28">
        <v>-29459000</v>
      </c>
      <c r="AA5509" s="28">
        <v>2769796000</v>
      </c>
      <c r="AB5509" s="28">
        <v>1135352000</v>
      </c>
      <c r="AC5509" s="28">
        <v>3203590000</v>
      </c>
      <c r="AD5509" s="28">
        <v>2370650000</v>
      </c>
      <c r="AE5509" s="28">
        <v>5569181000</v>
      </c>
      <c r="AF5509" s="28">
        <v>-392759000</v>
      </c>
      <c r="AG5509" s="11"/>
    </row>
    <row r="5510">
      <c r="A5510" s="7" t="s">
        <v>7118</v>
      </c>
      <c r="B5510" s="5" t="s">
        <v>15072</v>
      </c>
      <c r="C5510" s="5" t="s">
        <v>22767</v>
      </c>
      <c r="D5510" s="5" t="str">
        <v>773002605113</v>
      </c>
      <c r="E5510" s="0" t="e">
        <f>+7 (495) 5105001
+7 (495) 5105003</f>
        <v>#NAME?</v>
      </c>
      <c r="F5510" s="5"/>
      <c r="G5510" s="5"/>
      <c r="H5510" s="26">
        <v>11.5</v>
      </c>
      <c r="I5510" s="5" t="s">
        <v>41596</v>
      </c>
      <c r="J5510" s="5" t="s">
        <v>26367</v>
      </c>
      <c r="K5510" s="5" t="s">
        <v>344</v>
      </c>
      <c r="L5510" s="5" t="s">
        <v>41597</v>
      </c>
      <c r="M5510" s="27"/>
      <c r="N5510" s="5"/>
      <c r="O5510" s="5" t="str">
        <v>7743824882</v>
      </c>
      <c r="P5510" s="27">
        <v>10000000</v>
      </c>
      <c r="Q5510" s="5" t="s">
        <v>49009</v>
      </c>
      <c r="R5510" s="5"/>
      <c r="S5510" s="5" t="s">
        <v>49010</v>
      </c>
      <c r="T5510" s="28">
        <v>253634000</v>
      </c>
      <c r="U5510" s="28"/>
      <c r="V5510" s="28">
        <v>935679000</v>
      </c>
      <c r="W5510" s="28">
        <v>41500000</v>
      </c>
      <c r="X5510" s="28">
        <v>3719000</v>
      </c>
      <c r="Y5510" s="28">
        <v>3612867000</v>
      </c>
      <c r="Z5510" s="28">
        <v>658122000</v>
      </c>
      <c r="AA5510" s="28"/>
      <c r="AB5510" s="28">
        <v>15000000</v>
      </c>
      <c r="AC5510" s="28">
        <v>2598757000</v>
      </c>
      <c r="AD5510" s="28">
        <v>668122000</v>
      </c>
      <c r="AE5510" s="28">
        <v>14109267000</v>
      </c>
      <c r="AF5510" s="28">
        <v>542872000</v>
      </c>
      <c r="AG5510" s="11"/>
    </row>
    <row r="5511">
      <c r="A5511" s="7" t="s">
        <v>7119</v>
      </c>
      <c r="B5511" s="5" t="s">
        <v>15073</v>
      </c>
      <c r="C5511" s="5" t="s">
        <v>22768</v>
      </c>
      <c r="D5511" s="5" t="str">
        <v>644305642442</v>
      </c>
      <c r="E5511" s="0" t="e">
        <f>+7 (495) 9332702</f>
        <v>#NAME?</v>
      </c>
      <c r="F5511" s="5" t="s">
        <v>41598</v>
      </c>
      <c r="G5511" s="5" t="s">
        <v>41599</v>
      </c>
      <c r="H5511" s="26">
        <v>3.5</v>
      </c>
      <c r="I5511" s="5" t="s">
        <v>41600</v>
      </c>
      <c r="J5511" s="5" t="s">
        <v>34933</v>
      </c>
      <c r="K5511" s="5" t="s">
        <v>344</v>
      </c>
      <c r="L5511" s="5" t="s">
        <v>41601</v>
      </c>
      <c r="M5511" s="27"/>
      <c r="N5511" s="5" t="s">
        <v>57689</v>
      </c>
      <c r="O5511" s="5" t="str">
        <v>9729287012</v>
      </c>
      <c r="P5511" s="27">
        <v>100000</v>
      </c>
      <c r="Q5511" s="5" t="s">
        <v>49021</v>
      </c>
      <c r="R5511" s="5"/>
      <c r="S5511" s="5" t="s">
        <v>57690</v>
      </c>
      <c r="T5511" s="28"/>
      <c r="U5511" s="28"/>
      <c r="V5511" s="28">
        <v>759799000</v>
      </c>
      <c r="W5511" s="28"/>
      <c r="X5511" s="28">
        <v>30262000</v>
      </c>
      <c r="Y5511" s="28">
        <v>2092307000</v>
      </c>
      <c r="Z5511" s="28">
        <v>74390000</v>
      </c>
      <c r="AA5511" s="28"/>
      <c r="AB5511" s="28"/>
      <c r="AC5511" s="28">
        <v>2017818000</v>
      </c>
      <c r="AD5511" s="28">
        <v>74490000</v>
      </c>
      <c r="AE5511" s="28">
        <v>3157301000</v>
      </c>
      <c r="AF5511" s="28">
        <v>20012000</v>
      </c>
      <c r="AG5511" s="11"/>
    </row>
    <row r="5512">
      <c r="A5512" s="7" t="s">
        <v>7120</v>
      </c>
      <c r="B5512" s="5" t="s">
        <v>15074</v>
      </c>
      <c r="C5512" s="5"/>
      <c r="D5512" s="5"/>
      <c r="E5512" s="0" t="e">
        <f>+7 (916) 7900785
+7 (495) 212186
+7 (495) 2295627
+7 (495) 5395949</f>
        <v>#NAME?</v>
      </c>
      <c r="F5512" s="5" t="s">
        <v>41602</v>
      </c>
      <c r="G5512" s="5"/>
      <c r="H5512" s="26">
        <v>4</v>
      </c>
      <c r="I5512" s="5"/>
      <c r="J5512" s="5" t="s">
        <v>785</v>
      </c>
      <c r="K5512" s="5" t="s">
        <v>355</v>
      </c>
      <c r="L5512" s="5" t="s">
        <v>41603</v>
      </c>
      <c r="M5512" s="27"/>
      <c r="N5512" s="5" t="s">
        <v>57691</v>
      </c>
      <c r="O5512" s="5" t="str">
        <v>7736319695</v>
      </c>
      <c r="P5512" s="27">
        <v>11000</v>
      </c>
      <c r="Q5512" s="5"/>
      <c r="R5512" s="5"/>
      <c r="S5512" s="5" t="s">
        <v>49047</v>
      </c>
      <c r="T5512" s="28">
        <v>25455000</v>
      </c>
      <c r="U5512" s="28"/>
      <c r="V5512" s="28">
        <v>7762023000</v>
      </c>
      <c r="W5512" s="28">
        <v>560000000</v>
      </c>
      <c r="X5512" s="28">
        <v>8843000</v>
      </c>
      <c r="Y5512" s="28">
        <v>8826994000</v>
      </c>
      <c r="Z5512" s="28">
        <v>738863000</v>
      </c>
      <c r="AA5512" s="28"/>
      <c r="AB5512" s="28"/>
      <c r="AC5512" s="28">
        <v>8038876000</v>
      </c>
      <c r="AD5512" s="28">
        <v>782873000</v>
      </c>
      <c r="AE5512" s="28">
        <v>13985898000</v>
      </c>
      <c r="AF5512" s="28">
        <v>215163000</v>
      </c>
      <c r="AG5512" s="11"/>
    </row>
    <row r="5513">
      <c r="A5513" s="7" t="s">
        <v>7121</v>
      </c>
      <c r="B5513" s="5" t="s">
        <v>15075</v>
      </c>
      <c r="C5513" s="5" t="s">
        <v>22769</v>
      </c>
      <c r="D5513" s="5" t="str">
        <v>151006756760</v>
      </c>
      <c r="E5513" s="0" t="e">
        <f>+7 (928) 9399001
+7 (928) 9699126</f>
        <v>#NAME?</v>
      </c>
      <c r="F5513" s="5" t="s">
        <v>41604</v>
      </c>
      <c r="G5513" s="5"/>
      <c r="H5513" s="26">
        <v>8</v>
      </c>
      <c r="I5513" s="5" t="s">
        <v>41605</v>
      </c>
      <c r="J5513" s="5" t="s">
        <v>710</v>
      </c>
      <c r="K5513" s="5" t="s">
        <v>344</v>
      </c>
      <c r="L5513" s="5" t="s">
        <v>664</v>
      </c>
      <c r="M5513" s="27"/>
      <c r="N5513" s="5" t="s">
        <v>57692</v>
      </c>
      <c r="O5513" s="5" t="str">
        <v>1510017275</v>
      </c>
      <c r="P5513" s="27">
        <v>10000</v>
      </c>
      <c r="Q5513" s="5"/>
      <c r="R5513" s="5"/>
      <c r="S5513" s="5" t="s">
        <v>49110</v>
      </c>
      <c r="T5513" s="28">
        <v>4029248000</v>
      </c>
      <c r="U5513" s="28"/>
      <c r="V5513" s="28">
        <v>7792814000</v>
      </c>
      <c r="W5513" s="28"/>
      <c r="X5513" s="28">
        <v>297815000</v>
      </c>
      <c r="Y5513" s="28">
        <v>17507276000</v>
      </c>
      <c r="Z5513" s="28"/>
      <c r="AA5513" s="28">
        <v>547240000</v>
      </c>
      <c r="AB5513" s="28">
        <v>8947992000</v>
      </c>
      <c r="AC5513" s="28">
        <v>9050128000</v>
      </c>
      <c r="AD5513" s="28">
        <v>4138167000</v>
      </c>
      <c r="AE5513" s="28">
        <v>8697404000</v>
      </c>
      <c r="AF5513" s="28">
        <v>303336000</v>
      </c>
      <c r="AG5513" s="11"/>
    </row>
    <row r="5514">
      <c r="A5514" s="7" t="s">
        <v>7122</v>
      </c>
      <c r="B5514" s="5" t="s">
        <v>15076</v>
      </c>
      <c r="C5514" s="5" t="s">
        <v>22770</v>
      </c>
      <c r="D5514" s="5" t="str">
        <v>519013983107</v>
      </c>
      <c r="E5514" s="0" t="e">
        <f>+7 (800) 5554647
+7 (81153) 96040
+7 (812) 3227400
+7 (812) 3327400
+7 (812) 3327401</f>
        <v>#NAME?</v>
      </c>
      <c r="F5514" s="5" t="s">
        <v>41606</v>
      </c>
      <c r="G5514" s="5"/>
      <c r="H5514" s="26">
        <v>15.5</v>
      </c>
      <c r="I5514" s="5" t="s">
        <v>41607</v>
      </c>
      <c r="J5514" s="5" t="s">
        <v>27115</v>
      </c>
      <c r="K5514" s="5" t="s">
        <v>355</v>
      </c>
      <c r="L5514" s="5"/>
      <c r="M5514" s="27">
        <v>6844794</v>
      </c>
      <c r="N5514" s="5" t="s">
        <v>57693</v>
      </c>
      <c r="O5514" s="5" t="str">
        <v>7841373910</v>
      </c>
      <c r="P5514" s="27">
        <v>5000000</v>
      </c>
      <c r="Q5514" s="5" t="s">
        <v>49009</v>
      </c>
      <c r="R5514" s="5"/>
      <c r="S5514" s="5" t="s">
        <v>52448</v>
      </c>
      <c r="T5514" s="28">
        <v>26943000</v>
      </c>
      <c r="U5514" s="28"/>
      <c r="V5514" s="28">
        <v>56882000</v>
      </c>
      <c r="W5514" s="28"/>
      <c r="X5514" s="28">
        <v>1613765000</v>
      </c>
      <c r="Y5514" s="28">
        <v>1821386000</v>
      </c>
      <c r="Z5514" s="28">
        <v>4812000</v>
      </c>
      <c r="AA5514" s="28"/>
      <c r="AB5514" s="28"/>
      <c r="AC5514" s="28">
        <v>1811574000</v>
      </c>
      <c r="AD5514" s="28">
        <v>9812000</v>
      </c>
      <c r="AE5514" s="28">
        <v>5064828000</v>
      </c>
      <c r="AF5514" s="28">
        <v>405346000</v>
      </c>
      <c r="AG5514" s="11"/>
    </row>
    <row r="5515">
      <c r="A5515" s="7" t="s">
        <v>7123</v>
      </c>
      <c r="B5515" s="5" t="s">
        <v>15077</v>
      </c>
      <c r="C5515" s="5" t="s">
        <v>22771</v>
      </c>
      <c r="D5515" s="5" t="str">
        <v>500908934464</v>
      </c>
      <c r="E5515" s="0" t="e">
        <f>+7 (977) 9942080
+7 (985) 5271487</f>
        <v>#NAME?</v>
      </c>
      <c r="F5515" s="5" t="s">
        <v>41608</v>
      </c>
      <c r="G5515" s="5" t="s">
        <v>41609</v>
      </c>
      <c r="H5515" s="26">
        <v>5</v>
      </c>
      <c r="I5515" s="5" t="s">
        <v>41610</v>
      </c>
      <c r="J5515" s="5" t="s">
        <v>25938</v>
      </c>
      <c r="K5515" s="5" t="s">
        <v>344</v>
      </c>
      <c r="L5515" s="5" t="s">
        <v>41611</v>
      </c>
      <c r="M5515" s="27"/>
      <c r="N5515" s="5"/>
      <c r="O5515" s="5" t="str">
        <v>7716893887</v>
      </c>
      <c r="P5515" s="27">
        <v>10000000</v>
      </c>
      <c r="Q5515" s="5" t="s">
        <v>49009</v>
      </c>
      <c r="R5515" s="5"/>
      <c r="S5515" s="5" t="s">
        <v>52298</v>
      </c>
      <c r="T5515" s="28">
        <v>4965000</v>
      </c>
      <c r="U5515" s="28"/>
      <c r="V5515" s="28">
        <v>604787000</v>
      </c>
      <c r="W5515" s="28"/>
      <c r="X5515" s="28">
        <v>1169000</v>
      </c>
      <c r="Y5515" s="28">
        <v>1000092000</v>
      </c>
      <c r="Z5515" s="28">
        <v>96100000</v>
      </c>
      <c r="AA5515" s="28">
        <v>71000000</v>
      </c>
      <c r="AB5515" s="28"/>
      <c r="AC5515" s="28">
        <v>817315000</v>
      </c>
      <c r="AD5515" s="28">
        <v>96155000</v>
      </c>
      <c r="AE5515" s="28">
        <v>3995741000</v>
      </c>
      <c r="AF5515" s="28">
        <v>67393000</v>
      </c>
      <c r="AG5515" s="11"/>
    </row>
    <row r="5516">
      <c r="A5516" s="7" t="s">
        <v>7124</v>
      </c>
      <c r="B5516" s="5" t="s">
        <v>15078</v>
      </c>
      <c r="C5516" s="5" t="s">
        <v>22772</v>
      </c>
      <c r="D5516" s="5" t="str">
        <v>231131943559</v>
      </c>
      <c r="E5516" s="0" t="e">
        <f>+7 (86146) 21347</f>
        <v>#NAME?</v>
      </c>
      <c r="F5516" s="5" t="s">
        <v>41612</v>
      </c>
      <c r="G5516" s="5"/>
      <c r="H5516" s="26">
        <v>31.5</v>
      </c>
      <c r="I5516" s="5"/>
      <c r="J5516" s="5" t="s">
        <v>41613</v>
      </c>
      <c r="K5516" s="5" t="s">
        <v>355</v>
      </c>
      <c r="L5516" s="5" t="s">
        <v>41614</v>
      </c>
      <c r="M5516" s="27"/>
      <c r="N5516" s="5"/>
      <c r="O5516" s="5" t="str">
        <v>2349008492</v>
      </c>
      <c r="P5516" s="27">
        <v>26064272</v>
      </c>
      <c r="Q5516" s="5" t="s">
        <v>49009</v>
      </c>
      <c r="R5516" s="5"/>
      <c r="S5516" s="5" t="s">
        <v>49028</v>
      </c>
      <c r="T5516" s="28">
        <v>5201879000</v>
      </c>
      <c r="U5516" s="28">
        <v>26000</v>
      </c>
      <c r="V5516" s="28">
        <v>3562428000</v>
      </c>
      <c r="W5516" s="28"/>
      <c r="X5516" s="28">
        <v>21213000</v>
      </c>
      <c r="Y5516" s="28">
        <v>9970327000</v>
      </c>
      <c r="Z5516" s="28">
        <v>4068426000</v>
      </c>
      <c r="AA5516" s="28">
        <v>2400000000</v>
      </c>
      <c r="AB5516" s="28">
        <v>1547761000</v>
      </c>
      <c r="AC5516" s="28">
        <v>2737693000</v>
      </c>
      <c r="AD5516" s="28">
        <v>4098694000</v>
      </c>
      <c r="AE5516" s="28">
        <v>4638283000</v>
      </c>
      <c r="AF5516" s="28">
        <v>2113689000</v>
      </c>
      <c r="AG5516" s="11"/>
    </row>
    <row r="5517">
      <c r="A5517" s="7" t="s">
        <v>7125</v>
      </c>
      <c r="B5517" s="5" t="s">
        <v>15079</v>
      </c>
      <c r="C5517" s="5" t="s">
        <v>22773</v>
      </c>
      <c r="D5517" s="5" t="str">
        <v>164405050174</v>
      </c>
      <c r="E5517" s="0" t="e">
        <f>+7 (855) 3373752</f>
        <v>#NAME?</v>
      </c>
      <c r="F5517" s="5"/>
      <c r="G5517" s="5"/>
      <c r="H5517" s="26">
        <v>12</v>
      </c>
      <c r="I5517" s="5" t="s">
        <v>41615</v>
      </c>
      <c r="J5517" s="5" t="s">
        <v>26607</v>
      </c>
      <c r="K5517" s="5" t="s">
        <v>355</v>
      </c>
      <c r="L5517" s="5" t="s">
        <v>41616</v>
      </c>
      <c r="M5517" s="27"/>
      <c r="N5517" s="5"/>
      <c r="O5517" s="5" t="str">
        <v>1644060635</v>
      </c>
      <c r="P5517" s="27">
        <v>10000</v>
      </c>
      <c r="Q5517" s="5" t="s">
        <v>49009</v>
      </c>
      <c r="R5517" s="5"/>
      <c r="S5517" s="5" t="s">
        <v>49010</v>
      </c>
      <c r="T5517" s="28">
        <v>2571499000</v>
      </c>
      <c r="U5517" s="28"/>
      <c r="V5517" s="28">
        <v>245066000</v>
      </c>
      <c r="W5517" s="28">
        <v>1960000</v>
      </c>
      <c r="X5517" s="28">
        <v>847000</v>
      </c>
      <c r="Y5517" s="28">
        <v>2881662000</v>
      </c>
      <c r="Z5517" s="28">
        <v>1711681000</v>
      </c>
      <c r="AA5517" s="28"/>
      <c r="AB5517" s="28">
        <v>445386000</v>
      </c>
      <c r="AC5517" s="28">
        <v>833227000</v>
      </c>
      <c r="AD5517" s="28">
        <v>1711691000</v>
      </c>
      <c r="AE5517" s="28">
        <v>4300511000</v>
      </c>
      <c r="AF5517" s="28">
        <v>614775000</v>
      </c>
      <c r="AG5517" s="11"/>
    </row>
    <row r="5518">
      <c r="A5518" s="7" t="s">
        <v>7126</v>
      </c>
      <c r="B5518" s="5" t="s">
        <v>15080</v>
      </c>
      <c r="C5518" s="5" t="s">
        <v>22774</v>
      </c>
      <c r="D5518" s="5" t="str">
        <v>500918925010</v>
      </c>
      <c r="E5518" s="0" t="e">
        <f>+7 (960) 5889759
+7 (495) 7485080</f>
        <v>#NAME?</v>
      </c>
      <c r="F5518" s="5" t="s">
        <v>41617</v>
      </c>
      <c r="G5518" s="5" t="s">
        <v>41618</v>
      </c>
      <c r="H5518" s="26">
        <v>7.5</v>
      </c>
      <c r="I5518" s="5" t="s">
        <v>41619</v>
      </c>
      <c r="J5518" s="5" t="s">
        <v>26999</v>
      </c>
      <c r="K5518" s="5" t="s">
        <v>344</v>
      </c>
      <c r="L5518" s="5" t="s">
        <v>41620</v>
      </c>
      <c r="M5518" s="27"/>
      <c r="N5518" s="5" t="s">
        <v>57694</v>
      </c>
      <c r="O5518" s="5" t="str">
        <v>7718215870</v>
      </c>
      <c r="P5518" s="27">
        <v>20000</v>
      </c>
      <c r="Q5518" s="5" t="s">
        <v>49021</v>
      </c>
      <c r="R5518" s="5"/>
      <c r="S5518" s="5" t="s">
        <v>49235</v>
      </c>
      <c r="T5518" s="28">
        <v>428680000</v>
      </c>
      <c r="U5518" s="28"/>
      <c r="V5518" s="28">
        <v>2747524000</v>
      </c>
      <c r="W5518" s="28">
        <v>35000000</v>
      </c>
      <c r="X5518" s="28">
        <v>46374000</v>
      </c>
      <c r="Y5518" s="28">
        <v>5481926000</v>
      </c>
      <c r="Z5518" s="28">
        <v>760502000</v>
      </c>
      <c r="AA5518" s="28">
        <v>2418409000</v>
      </c>
      <c r="AB5518" s="28"/>
      <c r="AC5518" s="28">
        <v>1720464000</v>
      </c>
      <c r="AD5518" s="28">
        <v>760522000</v>
      </c>
      <c r="AE5518" s="28">
        <v>6817501000</v>
      </c>
      <c r="AF5518" s="28">
        <v>671232000</v>
      </c>
      <c r="AG5518" s="11"/>
    </row>
    <row r="5519">
      <c r="A5519" s="7" t="s">
        <v>7127</v>
      </c>
      <c r="B5519" s="5" t="s">
        <v>13332</v>
      </c>
      <c r="C5519" s="5" t="s">
        <v>22775</v>
      </c>
      <c r="D5519" s="5" t="str">
        <v>770475033675</v>
      </c>
      <c r="E5519" s="0" t="e">
        <f>+7 (495) 2300347
+7 (495) 2300374
+7 (495) 6253980</f>
        <v>#NAME?</v>
      </c>
      <c r="F5519" s="5"/>
      <c r="G5519" s="5" t="s">
        <v>41621</v>
      </c>
      <c r="H5519" s="26">
        <v>16.5</v>
      </c>
      <c r="I5519" s="5"/>
      <c r="J5519" s="5" t="s">
        <v>354</v>
      </c>
      <c r="K5519" s="5" t="s">
        <v>344</v>
      </c>
      <c r="L5519" s="5"/>
      <c r="M5519" s="27"/>
      <c r="N5519" s="5"/>
      <c r="O5519" s="5" t="str">
        <v>7704617385</v>
      </c>
      <c r="P5519" s="27">
        <v>100000</v>
      </c>
      <c r="Q5519" s="5" t="s">
        <v>49009</v>
      </c>
      <c r="R5519" s="5"/>
      <c r="S5519" s="5" t="s">
        <v>52597</v>
      </c>
      <c r="T5519" s="28">
        <v>21604767000</v>
      </c>
      <c r="U5519" s="28"/>
      <c r="V5519" s="28">
        <v>56862000</v>
      </c>
      <c r="W5519" s="28"/>
      <c r="X5519" s="28">
        <v>982793000</v>
      </c>
      <c r="Y5519" s="28">
        <v>22689143000</v>
      </c>
      <c r="Z5519" s="28">
        <v>-301301000</v>
      </c>
      <c r="AA5519" s="28">
        <v>19568357000</v>
      </c>
      <c r="AB5519" s="28">
        <v>2106008000</v>
      </c>
      <c r="AC5519" s="28">
        <v>2550747000</v>
      </c>
      <c r="AD5519" s="28">
        <v>-301201000</v>
      </c>
      <c r="AE5519" s="28">
        <v>4459865000</v>
      </c>
      <c r="AF5519" s="28">
        <v>724976000</v>
      </c>
      <c r="AG5519" s="11"/>
    </row>
    <row r="5520">
      <c r="A5520" s="7" t="s">
        <v>7128</v>
      </c>
      <c r="B5520" s="5" t="s">
        <v>15081</v>
      </c>
      <c r="C5520" s="5" t="s">
        <v>22776</v>
      </c>
      <c r="D5520" s="5"/>
      <c r="E5520" s="0" t="e">
        <f>+7 (909) 1578594
+7 (844) 2260370
+7 (844) 2260500
+7 (84468) 48317
+7 (84468) 48339
+7 (84468) 48437</f>
        <v>#NAME?</v>
      </c>
      <c r="F5520" s="5" t="s">
        <v>41622</v>
      </c>
      <c r="G5520" s="5" t="s">
        <v>41623</v>
      </c>
      <c r="H5520" s="26">
        <v>24.5</v>
      </c>
      <c r="I5520" s="5" t="s">
        <v>41624</v>
      </c>
      <c r="J5520" s="5" t="s">
        <v>37338</v>
      </c>
      <c r="K5520" s="5" t="s">
        <v>344</v>
      </c>
      <c r="L5520" s="5" t="s">
        <v>41625</v>
      </c>
      <c r="M5520" s="27">
        <v>4609143</v>
      </c>
      <c r="N5520" s="5" t="s">
        <v>57695</v>
      </c>
      <c r="O5520" s="5" t="str">
        <v>3403014273</v>
      </c>
      <c r="P5520" s="27">
        <v>63623800</v>
      </c>
      <c r="Q5520" s="5"/>
      <c r="R5520" s="5"/>
      <c r="S5520" s="5" t="s">
        <v>52344</v>
      </c>
      <c r="T5520" s="28">
        <v>3294322000</v>
      </c>
      <c r="U5520" s="28">
        <v>1655029000</v>
      </c>
      <c r="V5520" s="28">
        <v>4901209000</v>
      </c>
      <c r="W5520" s="28"/>
      <c r="X5520" s="28">
        <v>1106770000</v>
      </c>
      <c r="Y5520" s="28">
        <v>14810080000</v>
      </c>
      <c r="Z5520" s="28">
        <v>9913363000</v>
      </c>
      <c r="AA5520" s="28"/>
      <c r="AB5520" s="28"/>
      <c r="AC5520" s="28">
        <v>3374313000</v>
      </c>
      <c r="AD5520" s="28">
        <v>9976987000</v>
      </c>
      <c r="AE5520" s="28">
        <v>20401000000</v>
      </c>
      <c r="AF5520" s="28">
        <v>1485006000</v>
      </c>
      <c r="AG5520" s="11"/>
    </row>
    <row r="5521">
      <c r="A5521" s="7" t="s">
        <v>7129</v>
      </c>
      <c r="B5521" s="5" t="s">
        <v>15082</v>
      </c>
      <c r="C5521" s="5" t="s">
        <v>22777</v>
      </c>
      <c r="D5521" s="5" t="str">
        <v>771888874907</v>
      </c>
      <c r="E5521" s="0" t="e">
        <f>+7 (34763) 85315
+7 (34763) 91252
+7 (495) 9563252</f>
        <v>#NAME?</v>
      </c>
      <c r="F5521" s="5" t="s">
        <v>41626</v>
      </c>
      <c r="G5521" s="5"/>
      <c r="H5521" s="26">
        <v>31</v>
      </c>
      <c r="I5521" s="5" t="s">
        <v>41627</v>
      </c>
      <c r="J5521" s="5" t="s">
        <v>30210</v>
      </c>
      <c r="K5521" s="5" t="s">
        <v>344</v>
      </c>
      <c r="L5521" s="5" t="s">
        <v>41628</v>
      </c>
      <c r="M5521" s="27"/>
      <c r="N5521" s="5" t="s">
        <v>49675</v>
      </c>
      <c r="O5521" s="5" t="str">
        <v>7712036391</v>
      </c>
      <c r="P5521" s="27">
        <v>63810270</v>
      </c>
      <c r="Q5521" s="5" t="s">
        <v>57696</v>
      </c>
      <c r="R5521" s="5" t="s">
        <v>53662</v>
      </c>
      <c r="S5521" s="5" t="s">
        <v>50404</v>
      </c>
      <c r="T5521" s="28">
        <v>263108000</v>
      </c>
      <c r="U5521" s="28">
        <v>5500022000</v>
      </c>
      <c r="V5521" s="28">
        <v>468305000</v>
      </c>
      <c r="W5521" s="28">
        <v>1000000000</v>
      </c>
      <c r="X5521" s="28">
        <v>61400000</v>
      </c>
      <c r="Y5521" s="28">
        <v>7649248000</v>
      </c>
      <c r="Z5521" s="28">
        <v>5942999000</v>
      </c>
      <c r="AA5521" s="28"/>
      <c r="AB5521" s="28"/>
      <c r="AC5521" s="28">
        <v>1559806000</v>
      </c>
      <c r="AD5521" s="28">
        <v>6006809000</v>
      </c>
      <c r="AE5521" s="28">
        <v>4311521000</v>
      </c>
      <c r="AF5521" s="28">
        <v>3383065000</v>
      </c>
      <c r="AG5521" s="11"/>
    </row>
    <row r="5522">
      <c r="A5522" s="7" t="s">
        <v>7130</v>
      </c>
      <c r="B5522" s="5" t="s">
        <v>15083</v>
      </c>
      <c r="C5522" s="5" t="s">
        <v>22778</v>
      </c>
      <c r="D5522" s="5" t="str">
        <v>026104951251</v>
      </c>
      <c r="E5522" s="0" t="e">
        <f>+7 (3472) 335270
+7 (3476) 334952
+7 (987) 356513
+7 (347) 6337151
+7 (3472) 320639
+7 (3472) 355337
+7 (3476) 320673
+7 (34763) 20612
+7 (34763) 77012
+7 (34763) 77015
+7 (34763) 77048
+7 (34763) 77095
+7 (34763) 77162</f>
        <v>#NAME?</v>
      </c>
      <c r="F5522" s="5" t="s">
        <v>41629</v>
      </c>
      <c r="G5522" s="5" t="s">
        <v>41630</v>
      </c>
      <c r="H5522" s="26">
        <v>29.5</v>
      </c>
      <c r="I5522" s="5"/>
      <c r="J5522" s="5" t="s">
        <v>41631</v>
      </c>
      <c r="K5522" s="5" t="s">
        <v>344</v>
      </c>
      <c r="L5522" s="5" t="s">
        <v>41632</v>
      </c>
      <c r="M5522" s="27">
        <v>1301426</v>
      </c>
      <c r="N5522" s="5" t="s">
        <v>57697</v>
      </c>
      <c r="O5522" s="5" t="str">
        <v>0266004050</v>
      </c>
      <c r="P5522" s="27">
        <v>49768293</v>
      </c>
      <c r="Q5522" s="5"/>
      <c r="R5522" s="5"/>
      <c r="S5522" s="5" t="s">
        <v>49132</v>
      </c>
      <c r="T5522" s="28">
        <v>9090330000</v>
      </c>
      <c r="U5522" s="28">
        <v>2721250000</v>
      </c>
      <c r="V5522" s="28">
        <v>1759758000</v>
      </c>
      <c r="W5522" s="28">
        <v>750000</v>
      </c>
      <c r="X5522" s="28">
        <v>9486790000</v>
      </c>
      <c r="Y5522" s="28">
        <v>24995235000</v>
      </c>
      <c r="Z5522" s="28">
        <v>20476436000</v>
      </c>
      <c r="AA5522" s="28">
        <v>2190230000</v>
      </c>
      <c r="AB5522" s="28"/>
      <c r="AC5522" s="28">
        <v>1195288000</v>
      </c>
      <c r="AD5522" s="28">
        <v>21077973000</v>
      </c>
      <c r="AE5522" s="28">
        <v>10862636000</v>
      </c>
      <c r="AF5522" s="28">
        <v>2863142000</v>
      </c>
      <c r="AG5522" s="11"/>
    </row>
    <row r="5523">
      <c r="A5523" s="7" t="s">
        <v>7131</v>
      </c>
      <c r="B5523" s="5" t="s">
        <v>15084</v>
      </c>
      <c r="C5523" s="5" t="s">
        <v>22779</v>
      </c>
      <c r="D5523" s="5" t="str">
        <v>771533902505</v>
      </c>
      <c r="E5523" s="0" t="e">
        <f>+7 (495) 2873726
+7 (495) 6873725
+7 (495) 6873726</f>
        <v>#NAME?</v>
      </c>
      <c r="F5523" s="5" t="s">
        <v>41633</v>
      </c>
      <c r="G5523" s="5"/>
      <c r="H5523" s="26">
        <v>14</v>
      </c>
      <c r="I5523" s="5" t="s">
        <v>41634</v>
      </c>
      <c r="J5523" s="5" t="s">
        <v>26918</v>
      </c>
      <c r="K5523" s="5" t="s">
        <v>344</v>
      </c>
      <c r="L5523" s="5" t="s">
        <v>41635</v>
      </c>
      <c r="M5523" s="27">
        <v>280000000</v>
      </c>
      <c r="N5523" s="5" t="s">
        <v>57698</v>
      </c>
      <c r="O5523" s="5" t="str">
        <v>7728690708</v>
      </c>
      <c r="P5523" s="27">
        <v>100000</v>
      </c>
      <c r="Q5523" s="5" t="s">
        <v>57699</v>
      </c>
      <c r="R5523" s="5" t="s">
        <v>57700</v>
      </c>
      <c r="S5523" s="5" t="s">
        <v>57701</v>
      </c>
      <c r="T5523" s="28">
        <v>161370000</v>
      </c>
      <c r="U5523" s="28">
        <v>4080157000</v>
      </c>
      <c r="V5523" s="28">
        <v>4442793000</v>
      </c>
      <c r="W5523" s="28">
        <v>307222000</v>
      </c>
      <c r="X5523" s="28">
        <v>773660000</v>
      </c>
      <c r="Y5523" s="28">
        <v>10348785000</v>
      </c>
      <c r="Z5523" s="28">
        <v>8484105000</v>
      </c>
      <c r="AA5523" s="28"/>
      <c r="AB5523" s="28"/>
      <c r="AC5523" s="28">
        <v>1858975000</v>
      </c>
      <c r="AD5523" s="28">
        <v>8489436000</v>
      </c>
      <c r="AE5523" s="28">
        <v>15771021000</v>
      </c>
      <c r="AF5523" s="28">
        <v>2035374000</v>
      </c>
      <c r="AG5523" s="11"/>
    </row>
    <row r="5524">
      <c r="A5524" s="7" t="s">
        <v>7132</v>
      </c>
      <c r="B5524" s="5" t="s">
        <v>15085</v>
      </c>
      <c r="C5524" s="5" t="s">
        <v>22780</v>
      </c>
      <c r="D5524" s="5" t="str">
        <v>262606752006</v>
      </c>
      <c r="E5524" s="0" t="e">
        <f>+7 (345) 2254503
+7 (346) 2254503
+7 (349) 2230077
+7 (349) 2234351
+7 (349) 2241289
+7 (349) 2241484
+7 (349) 2242456
+7 (349) 2242482
+7 (34551) 54503
+7 (349) 2234503
+7 (349) 2240503
+7 (349) 2241616
+7 (349) 2243014
+7 (349) 2243219
+7 (349) 2243454</f>
        <v>#NAME?</v>
      </c>
      <c r="F5524" s="5" t="s">
        <v>41636</v>
      </c>
      <c r="G5524" s="5" t="s">
        <v>41637</v>
      </c>
      <c r="H5524" s="26">
        <v>25.5</v>
      </c>
      <c r="I5524" s="5"/>
      <c r="J5524" s="5" t="s">
        <v>27642</v>
      </c>
      <c r="K5524" s="5" t="s">
        <v>344</v>
      </c>
      <c r="L5524" s="5"/>
      <c r="M5524" s="27">
        <v>29857754</v>
      </c>
      <c r="N5524" s="5" t="s">
        <v>57702</v>
      </c>
      <c r="O5524" s="5" t="str">
        <v>8901030855</v>
      </c>
      <c r="P5524" s="27">
        <v>7340701000</v>
      </c>
      <c r="Q5524" s="5" t="s">
        <v>57704</v>
      </c>
      <c r="R5524" s="5"/>
      <c r="S5524" s="5" t="s">
        <v>49271</v>
      </c>
      <c r="T5524" s="28">
        <v>7170055000</v>
      </c>
      <c r="U5524" s="28"/>
      <c r="V5524" s="28">
        <v>424123000</v>
      </c>
      <c r="W5524" s="28">
        <v>22538000</v>
      </c>
      <c r="X5524" s="28">
        <v>970387000</v>
      </c>
      <c r="Y5524" s="28">
        <v>9021418000</v>
      </c>
      <c r="Z5524" s="28">
        <v>-480209000</v>
      </c>
      <c r="AA5524" s="28"/>
      <c r="AB5524" s="28"/>
      <c r="AC5524" s="28">
        <v>1314180000</v>
      </c>
      <c r="AD5524" s="28">
        <v>7687292000</v>
      </c>
      <c r="AE5524" s="28">
        <v>4394007000</v>
      </c>
      <c r="AF5524" s="28">
        <v>6439000</v>
      </c>
      <c r="AG5524" s="11"/>
    </row>
    <row r="5525">
      <c r="A5525" s="7" t="s">
        <v>7133</v>
      </c>
      <c r="B5525" s="5" t="s">
        <v>15086</v>
      </c>
      <c r="C5525" s="5" t="s">
        <v>22781</v>
      </c>
      <c r="D5525" s="5" t="str">
        <v>052912700799</v>
      </c>
      <c r="E5525" s="0" t="e">
        <f>+7 (988) 4414141
+7 (922) 71111</f>
        <v>#NAME?</v>
      </c>
      <c r="F5525" s="5" t="s">
        <v>41638</v>
      </c>
      <c r="G5525" s="5" t="s">
        <v>41639</v>
      </c>
      <c r="H5525" s="26">
        <v>2</v>
      </c>
      <c r="I5525" s="5" t="s">
        <v>41640</v>
      </c>
      <c r="J5525" s="5" t="s">
        <v>364</v>
      </c>
      <c r="K5525" s="5" t="s">
        <v>344</v>
      </c>
      <c r="L5525" s="5"/>
      <c r="M5525" s="27"/>
      <c r="N5525" s="5" t="s">
        <v>57705</v>
      </c>
      <c r="O5525" s="5" t="str">
        <v>0542020286</v>
      </c>
      <c r="P5525" s="27">
        <v>10000</v>
      </c>
      <c r="Q5525" s="5" t="s">
        <v>57706</v>
      </c>
      <c r="R5525" s="5"/>
      <c r="S5525" s="5" t="s">
        <v>57707</v>
      </c>
      <c r="T5525" s="28"/>
      <c r="U5525" s="28"/>
      <c r="V5525" s="28"/>
      <c r="W5525" s="28"/>
      <c r="X5525" s="28">
        <v>268000</v>
      </c>
      <c r="Y5525" s="28">
        <v>268000</v>
      </c>
      <c r="Z5525" s="28"/>
      <c r="AA5525" s="28"/>
      <c r="AB5525" s="28"/>
      <c r="AC5525" s="28">
        <v>258000</v>
      </c>
      <c r="AD5525" s="28">
        <v>10000</v>
      </c>
      <c r="AE5525" s="28">
        <v>4650215000</v>
      </c>
      <c r="AF5525" s="28">
        <v>455813000</v>
      </c>
      <c r="AG5525" s="11"/>
    </row>
    <row r="5526">
      <c r="A5526" s="7" t="s">
        <v>7134</v>
      </c>
      <c r="B5526" s="5" t="s">
        <v>15087</v>
      </c>
      <c r="C5526" s="5" t="s">
        <v>22782</v>
      </c>
      <c r="D5526" s="5"/>
      <c r="E5526" s="0" t="e">
        <f>+7 (347) 2601627
+7 (347) 2426953
+7 (347) 2460850
+7 (34780) 53254</f>
        <v>#NAME?</v>
      </c>
      <c r="F5526" s="5" t="s">
        <v>41641</v>
      </c>
      <c r="G5526" s="5"/>
      <c r="H5526" s="26">
        <v>20</v>
      </c>
      <c r="I5526" s="5" t="s">
        <v>41642</v>
      </c>
      <c r="J5526" s="5" t="s">
        <v>34912</v>
      </c>
      <c r="K5526" s="5" t="s">
        <v>355</v>
      </c>
      <c r="L5526" s="5"/>
      <c r="M5526" s="27"/>
      <c r="N5526" s="5" t="s">
        <v>49923</v>
      </c>
      <c r="O5526" s="5" t="str">
        <v>0277055994</v>
      </c>
      <c r="P5526" s="27">
        <v>61475381</v>
      </c>
      <c r="Q5526" s="5"/>
      <c r="R5526" s="5"/>
      <c r="S5526" s="5" t="s">
        <v>49110</v>
      </c>
      <c r="T5526" s="28">
        <v>952425000</v>
      </c>
      <c r="U5526" s="28"/>
      <c r="V5526" s="28">
        <v>156771000</v>
      </c>
      <c r="W5526" s="28">
        <v>236000000</v>
      </c>
      <c r="X5526" s="28">
        <v>52930000</v>
      </c>
      <c r="Y5526" s="28">
        <v>1877309000</v>
      </c>
      <c r="Z5526" s="28">
        <v>232625000</v>
      </c>
      <c r="AA5526" s="28"/>
      <c r="AB5526" s="28"/>
      <c r="AC5526" s="28">
        <v>390304000</v>
      </c>
      <c r="AD5526" s="28">
        <v>300041000</v>
      </c>
      <c r="AE5526" s="28">
        <v>3349233000</v>
      </c>
      <c r="AF5526" s="28">
        <v>-15356000</v>
      </c>
      <c r="AG5526" s="11"/>
    </row>
    <row r="5527">
      <c r="A5527" s="7" t="s">
        <v>7135</v>
      </c>
      <c r="B5527" s="5" t="s">
        <v>15088</v>
      </c>
      <c r="C5527" s="5"/>
      <c r="D5527" s="5"/>
      <c r="E5527" s="0" t="e">
        <f>+7 (495) 1966459
+7 (499) 6738583</f>
        <v>#NAME?</v>
      </c>
      <c r="F5527" s="5" t="s">
        <v>41643</v>
      </c>
      <c r="G5527" s="5" t="s">
        <v>41644</v>
      </c>
      <c r="H5527" s="26">
        <v>3.5</v>
      </c>
      <c r="I5527" s="5"/>
      <c r="J5527" s="5" t="s">
        <v>26297</v>
      </c>
      <c r="K5527" s="5" t="s">
        <v>344</v>
      </c>
      <c r="L5527" s="5"/>
      <c r="M5527" s="27"/>
      <c r="N5527" s="5"/>
      <c r="O5527" s="5" t="str">
        <v>7730253720</v>
      </c>
      <c r="P5527" s="27">
        <v>15000</v>
      </c>
      <c r="Q5527" s="5"/>
      <c r="R5527" s="5"/>
      <c r="S5527" s="5" t="s">
        <v>49029</v>
      </c>
      <c r="T5527" s="28">
        <v>10127000</v>
      </c>
      <c r="U5527" s="28">
        <v>509882000</v>
      </c>
      <c r="V5527" s="28">
        <v>3099278000</v>
      </c>
      <c r="W5527" s="28"/>
      <c r="X5527" s="28">
        <v>6337601000</v>
      </c>
      <c r="Y5527" s="28">
        <v>13464646000</v>
      </c>
      <c r="Z5527" s="28">
        <v>-6029461000</v>
      </c>
      <c r="AA5527" s="28"/>
      <c r="AB5527" s="28"/>
      <c r="AC5527" s="28">
        <v>1394468000</v>
      </c>
      <c r="AD5527" s="28">
        <v>11935552000</v>
      </c>
      <c r="AE5527" s="28">
        <v>4370321000</v>
      </c>
      <c r="AF5527" s="28">
        <v>-2674159000</v>
      </c>
      <c r="AG5527" s="11"/>
    </row>
    <row r="5528">
      <c r="A5528" s="7" t="s">
        <v>7136</v>
      </c>
      <c r="B5528" s="5" t="s">
        <v>15089</v>
      </c>
      <c r="C5528" s="5" t="s">
        <v>22783</v>
      </c>
      <c r="D5528" s="5" t="str">
        <v>631201457700</v>
      </c>
      <c r="E5528" s="0" t="e">
        <f>+7 (846) 2164810
+7 (846) 2026475
+7 (846) 2601952
+7 (84626) 1909
+7 (84695) 50201
+7 (84695) 50206
+7 (84695) 50210
+7 (84695) 50246
+7 (84695) 50258
+7 (84695) 50268
+7 (84695) 50271
+7 (84695) 50274</f>
        <v>#NAME?</v>
      </c>
      <c r="F5528" s="5" t="s">
        <v>41645</v>
      </c>
      <c r="G5528" s="5" t="s">
        <v>41646</v>
      </c>
      <c r="H5528" s="26">
        <v>22.5</v>
      </c>
      <c r="I5528" s="5"/>
      <c r="J5528" s="5" t="s">
        <v>710</v>
      </c>
      <c r="K5528" s="5" t="s">
        <v>344</v>
      </c>
      <c r="L5528" s="5" t="s">
        <v>41647</v>
      </c>
      <c r="M5528" s="27"/>
      <c r="N5528" s="5" t="s">
        <v>57708</v>
      </c>
      <c r="O5528" s="5" t="str">
        <v>6316060656</v>
      </c>
      <c r="P5528" s="27">
        <v>3116140</v>
      </c>
      <c r="Q5528" s="5" t="s">
        <v>57709</v>
      </c>
      <c r="R5528" s="5"/>
      <c r="S5528" s="5" t="s">
        <v>57710</v>
      </c>
      <c r="T5528" s="28">
        <v>155188000</v>
      </c>
      <c r="U5528" s="28"/>
      <c r="V5528" s="28">
        <v>904786000</v>
      </c>
      <c r="W5528" s="28">
        <v>700000000</v>
      </c>
      <c r="X5528" s="28">
        <v>184578000</v>
      </c>
      <c r="Y5528" s="28">
        <v>3958826000</v>
      </c>
      <c r="Z5528" s="28">
        <v>962562000</v>
      </c>
      <c r="AA5528" s="28"/>
      <c r="AB5528" s="28">
        <v>760688000</v>
      </c>
      <c r="AC5528" s="28">
        <v>2960890000</v>
      </c>
      <c r="AD5528" s="28">
        <v>966705000</v>
      </c>
      <c r="AE5528" s="28">
        <v>5206796000</v>
      </c>
      <c r="AF5528" s="28">
        <v>372528000</v>
      </c>
      <c r="AG5528" s="11"/>
    </row>
    <row r="5529">
      <c r="A5529" s="7" t="s">
        <v>7137</v>
      </c>
      <c r="B5529" s="5" t="s">
        <v>15090</v>
      </c>
      <c r="C5529" s="5" t="s">
        <v>22784</v>
      </c>
      <c r="D5529" s="5" t="str">
        <v>633513136167</v>
      </c>
      <c r="E5529" s="0" t="e">
        <f>+7 (937) 258950
+7 (846) 2073725
+7 (927) 2085976</f>
        <v>#NAME?</v>
      </c>
      <c r="F5529" s="5" t="s">
        <v>41648</v>
      </c>
      <c r="G5529" s="5" t="s">
        <v>41649</v>
      </c>
      <c r="H5529" s="26">
        <v>11</v>
      </c>
      <c r="I5529" s="5" t="s">
        <v>41650</v>
      </c>
      <c r="J5529" s="5" t="s">
        <v>25800</v>
      </c>
      <c r="K5529" s="5" t="s">
        <v>355</v>
      </c>
      <c r="L5529" s="5"/>
      <c r="M5529" s="27">
        <v>2186512</v>
      </c>
      <c r="N5529" s="5" t="s">
        <v>57711</v>
      </c>
      <c r="O5529" s="5" t="str">
        <v>6330050963</v>
      </c>
      <c r="P5529" s="27">
        <v>1500000000</v>
      </c>
      <c r="Q5529" s="5" t="s">
        <v>49009</v>
      </c>
      <c r="R5529" s="5"/>
      <c r="S5529" s="5" t="s">
        <v>50290</v>
      </c>
      <c r="T5529" s="28">
        <v>3636081000</v>
      </c>
      <c r="U5529" s="28"/>
      <c r="V5529" s="28">
        <v>20034661000</v>
      </c>
      <c r="W5529" s="28">
        <v>1686402000</v>
      </c>
      <c r="X5529" s="28">
        <v>1383360000</v>
      </c>
      <c r="Y5529" s="28">
        <v>30658299000</v>
      </c>
      <c r="Z5529" s="28">
        <v>551207000</v>
      </c>
      <c r="AA5529" s="28">
        <v>603947000</v>
      </c>
      <c r="AB5529" s="28">
        <v>24987836000</v>
      </c>
      <c r="AC5529" s="28">
        <v>26998915000</v>
      </c>
      <c r="AD5529" s="28">
        <v>2626207000</v>
      </c>
      <c r="AE5529" s="28">
        <v>18968986000</v>
      </c>
      <c r="AF5529" s="28">
        <v>-422302000</v>
      </c>
      <c r="AG5529" s="11"/>
    </row>
    <row r="5530">
      <c r="A5530" s="7" t="s">
        <v>7138</v>
      </c>
      <c r="B5530" s="5" t="s">
        <v>15091</v>
      </c>
      <c r="C5530" s="5" t="s">
        <v>22785</v>
      </c>
      <c r="D5530" s="5" t="str">
        <v>638100418803</v>
      </c>
      <c r="E5530" s="0" t="e">
        <f>+7 (846) 9797940
+7 (84657) 31777
+7 (84660) 47716
+7 (84660) 47717</f>
        <v>#NAME?</v>
      </c>
      <c r="F5530" s="5" t="s">
        <v>41651</v>
      </c>
      <c r="G5530" s="5"/>
      <c r="H5530" s="26">
        <v>11.5</v>
      </c>
      <c r="I5530" s="5" t="s">
        <v>41652</v>
      </c>
      <c r="J5530" s="5" t="s">
        <v>467</v>
      </c>
      <c r="K5530" s="5" t="s">
        <v>344</v>
      </c>
      <c r="L5530" s="5" t="s">
        <v>41653</v>
      </c>
      <c r="M5530" s="27">
        <v>18749811</v>
      </c>
      <c r="N5530" s="5" t="s">
        <v>57712</v>
      </c>
      <c r="O5530" s="5" t="str">
        <v>6376021161</v>
      </c>
      <c r="P5530" s="27">
        <v>10000</v>
      </c>
      <c r="Q5530" s="5" t="s">
        <v>57714</v>
      </c>
      <c r="R5530" s="5"/>
      <c r="S5530" s="5" t="s">
        <v>57715</v>
      </c>
      <c r="T5530" s="28">
        <v>62727000</v>
      </c>
      <c r="U5530" s="28"/>
      <c r="V5530" s="28">
        <v>2286405000</v>
      </c>
      <c r="W5530" s="28">
        <v>70780000</v>
      </c>
      <c r="X5530" s="28">
        <v>1277142000</v>
      </c>
      <c r="Y5530" s="28">
        <v>5025522000</v>
      </c>
      <c r="Z5530" s="28">
        <v>606924000</v>
      </c>
      <c r="AA5530" s="28"/>
      <c r="AB5530" s="28"/>
      <c r="AC5530" s="28">
        <v>4418343000</v>
      </c>
      <c r="AD5530" s="28">
        <v>606934000</v>
      </c>
      <c r="AE5530" s="28">
        <v>8831546000</v>
      </c>
      <c r="AF5530" s="28">
        <v>582237000</v>
      </c>
      <c r="AG5530" s="11"/>
    </row>
    <row r="5531">
      <c r="A5531" s="7" t="s">
        <v>7139</v>
      </c>
      <c r="B5531" s="5" t="s">
        <v>15092</v>
      </c>
      <c r="C5531" s="5" t="s">
        <v>22786</v>
      </c>
      <c r="D5531" s="5" t="str">
        <v>633000224964</v>
      </c>
      <c r="E5531" s="0" t="e">
        <f>+7 (84550) 22092
+7 (846) 3401245
+7 (846) 3403900
+7 (4862) 259751
+7 (495) 3656555
+7 (846) 3109183
+7 (846) 3400903
+7 (846) 3403003
+7 (846) 3403603
+7 (846) 3403797
+7 (846) 3403835
+7 (846) 3403841
+7 (846) 3403854
+7 (846) 3403874
+7 (846) 3403902</f>
        <v>#NAME?</v>
      </c>
      <c r="F5531" s="5" t="s">
        <v>41654</v>
      </c>
      <c r="G5531" s="5" t="s">
        <v>41655</v>
      </c>
      <c r="H5531" s="26">
        <v>30</v>
      </c>
      <c r="I5531" s="5" t="s">
        <v>41656</v>
      </c>
      <c r="J5531" s="5" t="s">
        <v>26623</v>
      </c>
      <c r="K5531" s="5" t="s">
        <v>344</v>
      </c>
      <c r="L5531" s="5"/>
      <c r="M5531" s="27">
        <v>34013513</v>
      </c>
      <c r="N5531" s="5" t="s">
        <v>57650</v>
      </c>
      <c r="O5531" s="5" t="str">
        <v>6315222985</v>
      </c>
      <c r="P5531" s="27">
        <v>889952064</v>
      </c>
      <c r="Q5531" s="5" t="s">
        <v>57716</v>
      </c>
      <c r="R5531" s="5"/>
      <c r="S5531" s="5" t="s">
        <v>51430</v>
      </c>
      <c r="T5531" s="28">
        <v>1989484000</v>
      </c>
      <c r="U5531" s="28">
        <v>245773000</v>
      </c>
      <c r="V5531" s="28">
        <v>3012040000</v>
      </c>
      <c r="W5531" s="28"/>
      <c r="X5531" s="28">
        <v>4286041000</v>
      </c>
      <c r="Y5531" s="28">
        <v>10751067000</v>
      </c>
      <c r="Z5531" s="28">
        <v>5154755000</v>
      </c>
      <c r="AA5531" s="28"/>
      <c r="AB5531" s="28"/>
      <c r="AC5531" s="28">
        <v>3881557000</v>
      </c>
      <c r="AD5531" s="28">
        <v>6431545000</v>
      </c>
      <c r="AE5531" s="28">
        <v>40754572000</v>
      </c>
      <c r="AF5531" s="28">
        <v>1137346000</v>
      </c>
      <c r="AG5531" s="11"/>
    </row>
    <row r="5532">
      <c r="A5532" s="7" t="s">
        <v>7140</v>
      </c>
      <c r="B5532" s="5" t="s">
        <v>15093</v>
      </c>
      <c r="C5532" s="5" t="s">
        <v>17989</v>
      </c>
      <c r="D5532" s="5"/>
      <c r="E5532" s="0" t="e">
        <f>+7 (499) 7816875
+7 (846) 2072304
+7 (846) 2072381
+7 (846) 2072935
+7 (84626) 50212
+7 (84626) 54512
+7 (84633) 21245
+7 (84633) 35548
+7 (84633) 41245
+7 (846) 2072377
+7 (846) 2072540
+7 (846) 2074881
+7 (84633) 35488
+7 (84633) 45488
+7 (84633) 46273</f>
        <v>#NAME?</v>
      </c>
      <c r="F5532" s="5" t="s">
        <v>41657</v>
      </c>
      <c r="G5532" s="5" t="s">
        <v>41658</v>
      </c>
      <c r="H5532" s="26">
        <v>11.5</v>
      </c>
      <c r="I5532" s="5" t="s">
        <v>40834</v>
      </c>
      <c r="J5532" s="5" t="s">
        <v>29042</v>
      </c>
      <c r="K5532" s="5" t="s">
        <v>344</v>
      </c>
      <c r="L5532" s="5" t="s">
        <v>41659</v>
      </c>
      <c r="M5532" s="27">
        <v>125961066</v>
      </c>
      <c r="N5532" s="5" t="s">
        <v>57717</v>
      </c>
      <c r="O5532" s="5" t="str">
        <v>6312110828</v>
      </c>
      <c r="P5532" s="27">
        <v>1000000</v>
      </c>
      <c r="Q5532" s="5" t="s">
        <v>57719</v>
      </c>
      <c r="R5532" s="5"/>
      <c r="S5532" s="5" t="s">
        <v>49271</v>
      </c>
      <c r="T5532" s="28">
        <v>10308434000</v>
      </c>
      <c r="U5532" s="28"/>
      <c r="V5532" s="28">
        <v>1957859000</v>
      </c>
      <c r="W5532" s="28"/>
      <c r="X5532" s="28">
        <v>604046000</v>
      </c>
      <c r="Y5532" s="28">
        <v>13355068000</v>
      </c>
      <c r="Z5532" s="28">
        <v>5161548000</v>
      </c>
      <c r="AA5532" s="28">
        <v>607517000</v>
      </c>
      <c r="AB5532" s="28">
        <v>1059183000</v>
      </c>
      <c r="AC5532" s="28">
        <v>3045875000</v>
      </c>
      <c r="AD5532" s="28">
        <v>5170549000</v>
      </c>
      <c r="AE5532" s="28">
        <v>6331153000</v>
      </c>
      <c r="AF5532" s="28">
        <v>1158872000</v>
      </c>
      <c r="AG5532" s="11"/>
    </row>
    <row r="5533">
      <c r="A5533" s="7" t="s">
        <v>7141</v>
      </c>
      <c r="B5533" s="5" t="s">
        <v>15094</v>
      </c>
      <c r="C5533" s="5" t="s">
        <v>22787</v>
      </c>
      <c r="D5533" s="5" t="str">
        <v>631908675157</v>
      </c>
      <c r="E5533" s="0" t="e">
        <f>+7 (84699) 91163
+7 (84699) 92003
+7 (84699) 92004
+7 (84699) 92005
+7 (84699) 92351
+7 (911) 2569947
+7 (917) 1321423
+7 (917) 7600205
+7 (918) 4304052
+7 (919) 8000721
+7 (925) 8586009
+7 (927) 83787
+7 (927) 6531236
+7 (927) 6864627
+7 (927) 6870919</f>
        <v>#NAME?</v>
      </c>
      <c r="F5533" s="5" t="s">
        <v>41660</v>
      </c>
      <c r="G5533" s="5" t="s">
        <v>41661</v>
      </c>
      <c r="H5533" s="26">
        <v>22.5</v>
      </c>
      <c r="I5533" s="5" t="s">
        <v>41662</v>
      </c>
      <c r="J5533" s="5" t="s">
        <v>28950</v>
      </c>
      <c r="K5533" s="5" t="s">
        <v>344</v>
      </c>
      <c r="L5533" s="5" t="s">
        <v>41663</v>
      </c>
      <c r="M5533" s="27"/>
      <c r="N5533" s="5"/>
      <c r="O5533" s="5" t="str">
        <v>6367006248</v>
      </c>
      <c r="P5533" s="27">
        <v>299000</v>
      </c>
      <c r="Q5533" s="5" t="s">
        <v>49009</v>
      </c>
      <c r="R5533" s="5"/>
      <c r="S5533" s="5" t="s">
        <v>50023</v>
      </c>
      <c r="T5533" s="28">
        <v>1379368000</v>
      </c>
      <c r="U5533" s="28"/>
      <c r="V5533" s="28">
        <v>339454000</v>
      </c>
      <c r="W5533" s="28"/>
      <c r="X5533" s="28">
        <v>29452000</v>
      </c>
      <c r="Y5533" s="28">
        <v>2955900000</v>
      </c>
      <c r="Z5533" s="28">
        <v>1535590000</v>
      </c>
      <c r="AA5533" s="28">
        <v>90000000</v>
      </c>
      <c r="AB5533" s="28">
        <v>179000</v>
      </c>
      <c r="AC5533" s="28">
        <v>901759000</v>
      </c>
      <c r="AD5533" s="28">
        <v>1773182000</v>
      </c>
      <c r="AE5533" s="28">
        <v>5619633000</v>
      </c>
      <c r="AF5533" s="28">
        <v>249412000</v>
      </c>
      <c r="AG5533" s="11"/>
    </row>
    <row r="5534">
      <c r="A5534" s="7" t="s">
        <v>7142</v>
      </c>
      <c r="B5534" s="5" t="s">
        <v>15095</v>
      </c>
      <c r="C5534" s="5" t="s">
        <v>22788</v>
      </c>
      <c r="D5534" s="5" t="str">
        <v>631935774372</v>
      </c>
      <c r="E5534" s="0" t="e">
        <f>+7 (800) 2229422
+7 (846) 2005120
+7 (846) 2035468
+7 (846) 2060535
+7 (846) 2075171
+7 (846) 2075344
+7 (846) 2145698
+7 (846) 2511245
+7 (800) 7758337
+7 (846) 2005525
+7 (846) 2057003
+7 (846) 2540027
+7 (846) 2540028
+7 (846) 2540042
+7 (846) 2540045</f>
        <v>#NAME?</v>
      </c>
      <c r="F5534" s="5" t="s">
        <v>41664</v>
      </c>
      <c r="G5534" s="5" t="s">
        <v>41665</v>
      </c>
      <c r="H5534" s="26">
        <v>14</v>
      </c>
      <c r="I5534" s="5"/>
      <c r="J5534" s="5" t="s">
        <v>26623</v>
      </c>
      <c r="K5534" s="5" t="s">
        <v>344</v>
      </c>
      <c r="L5534" s="5" t="s">
        <v>41666</v>
      </c>
      <c r="M5534" s="27">
        <v>6530422</v>
      </c>
      <c r="N5534" s="5" t="s">
        <v>52894</v>
      </c>
      <c r="O5534" s="5" t="str">
        <v>6316138990</v>
      </c>
      <c r="P5534" s="27">
        <v>10708000</v>
      </c>
      <c r="Q5534" s="5" t="s">
        <v>57721</v>
      </c>
      <c r="R5534" s="5"/>
      <c r="S5534" s="5" t="s">
        <v>57722</v>
      </c>
      <c r="T5534" s="28">
        <v>1274632000</v>
      </c>
      <c r="U5534" s="28"/>
      <c r="V5534" s="28">
        <v>648611000</v>
      </c>
      <c r="W5534" s="28">
        <v>1155000</v>
      </c>
      <c r="X5534" s="28">
        <v>1301588000</v>
      </c>
      <c r="Y5534" s="28">
        <v>3427626000</v>
      </c>
      <c r="Z5534" s="28">
        <v>2066783000</v>
      </c>
      <c r="AA5534" s="28"/>
      <c r="AB5534" s="28"/>
      <c r="AC5534" s="28">
        <v>1109026000</v>
      </c>
      <c r="AD5534" s="28">
        <v>2078026000</v>
      </c>
      <c r="AE5534" s="28">
        <v>10272607000</v>
      </c>
      <c r="AF5534" s="28">
        <v>813108000</v>
      </c>
      <c r="AG5534" s="11"/>
    </row>
    <row r="5535">
      <c r="A5535" s="7" t="s">
        <v>7143</v>
      </c>
      <c r="B5535" s="5" t="s">
        <v>15096</v>
      </c>
      <c r="C5535" s="5" t="s">
        <v>22789</v>
      </c>
      <c r="D5535" s="5" t="str">
        <v>503413085414</v>
      </c>
      <c r="E5535" s="0" t="e">
        <f>+7 (4986) 422405</f>
        <v>#NAME?</v>
      </c>
      <c r="F5535" s="5" t="s">
        <v>41667</v>
      </c>
      <c r="G5535" s="5"/>
      <c r="H5535" s="26">
        <v>8</v>
      </c>
      <c r="I5535" s="5" t="s">
        <v>41668</v>
      </c>
      <c r="J5535" s="5" t="s">
        <v>354</v>
      </c>
      <c r="K5535" s="5" t="s">
        <v>344</v>
      </c>
      <c r="L5535" s="5"/>
      <c r="M5535" s="27">
        <v>141713</v>
      </c>
      <c r="N5535" s="5" t="s">
        <v>57723</v>
      </c>
      <c r="O5535" s="5" t="str">
        <v>7731112390</v>
      </c>
      <c r="P5535" s="27">
        <v>10000</v>
      </c>
      <c r="Q5535" s="5" t="s">
        <v>49009</v>
      </c>
      <c r="R5535" s="5"/>
      <c r="S5535" s="5" t="s">
        <v>49545</v>
      </c>
      <c r="T5535" s="28">
        <v>118172000</v>
      </c>
      <c r="U5535" s="28"/>
      <c r="V5535" s="28">
        <v>1088586000</v>
      </c>
      <c r="W5535" s="28"/>
      <c r="X5535" s="28">
        <v>461427000</v>
      </c>
      <c r="Y5535" s="28">
        <v>1712769000</v>
      </c>
      <c r="Z5535" s="28">
        <v>113605000</v>
      </c>
      <c r="AA5535" s="28">
        <v>208931000</v>
      </c>
      <c r="AB5535" s="28"/>
      <c r="AC5535" s="28">
        <v>1351670000</v>
      </c>
      <c r="AD5535" s="28">
        <v>123984000</v>
      </c>
      <c r="AE5535" s="28">
        <v>3292263000</v>
      </c>
      <c r="AF5535" s="28">
        <v>109420000</v>
      </c>
      <c r="AG5535" s="11"/>
    </row>
    <row r="5536">
      <c r="A5536" s="7" t="s">
        <v>7144</v>
      </c>
      <c r="B5536" s="5" t="s">
        <v>15097</v>
      </c>
      <c r="C5536" s="5" t="s">
        <v>22790</v>
      </c>
      <c r="D5536" s="5" t="str">
        <v>503609502969</v>
      </c>
      <c r="E5536" s="0" t="e">
        <f>+7 (495) 9616510
+7 (812) 3881777
+7 (967) 7201212
+7 (495) 2234170
+7 (495) 2661084
+7 (49676) 94311</f>
        <v>#NAME?</v>
      </c>
      <c r="F5536" s="5" t="s">
        <v>41669</v>
      </c>
      <c r="G5536" s="5" t="s">
        <v>41670</v>
      </c>
      <c r="H5536" s="26">
        <v>18</v>
      </c>
      <c r="I5536" s="5" t="s">
        <v>41671</v>
      </c>
      <c r="J5536" s="5" t="s">
        <v>693</v>
      </c>
      <c r="K5536" s="5" t="s">
        <v>344</v>
      </c>
      <c r="L5536" s="5"/>
      <c r="M5536" s="27">
        <v>8776506</v>
      </c>
      <c r="N5536" s="5"/>
      <c r="O5536" s="5" t="str">
        <v>5029080079</v>
      </c>
      <c r="P5536" s="27">
        <v>10000</v>
      </c>
      <c r="Q5536" s="5" t="s">
        <v>57724</v>
      </c>
      <c r="R5536" s="5"/>
      <c r="S5536" s="5" t="s">
        <v>57725</v>
      </c>
      <c r="T5536" s="28">
        <v>7980000</v>
      </c>
      <c r="U5536" s="28"/>
      <c r="V5536" s="28">
        <v>404526000</v>
      </c>
      <c r="W5536" s="28">
        <v>125573000</v>
      </c>
      <c r="X5536" s="28">
        <v>157268000</v>
      </c>
      <c r="Y5536" s="28">
        <v>2098896000</v>
      </c>
      <c r="Z5536" s="28">
        <v>749239000</v>
      </c>
      <c r="AA5536" s="28">
        <v>487474000</v>
      </c>
      <c r="AB5536" s="28">
        <v>100000000</v>
      </c>
      <c r="AC5536" s="28">
        <v>830097000</v>
      </c>
      <c r="AD5536" s="28">
        <v>782186000</v>
      </c>
      <c r="AE5536" s="28">
        <v>3221419000</v>
      </c>
      <c r="AF5536" s="28">
        <v>17404000</v>
      </c>
      <c r="AG5536" s="11"/>
    </row>
    <row r="5537">
      <c r="A5537" s="7" t="s">
        <v>7145</v>
      </c>
      <c r="B5537" s="5" t="s">
        <v>15098</v>
      </c>
      <c r="C5537" s="5" t="s">
        <v>22791</v>
      </c>
      <c r="D5537" s="5" t="str">
        <v>773439113987</v>
      </c>
      <c r="E5537" s="0" t="e">
        <f>+7 (484) 3867000
+7 (48439) 67000
+7 (812) 4959966</f>
        <v>#NAME?</v>
      </c>
      <c r="F5537" s="5" t="s">
        <v>41672</v>
      </c>
      <c r="G5537" s="5"/>
      <c r="H5537" s="26">
        <v>15.5</v>
      </c>
      <c r="I5537" s="5" t="s">
        <v>41673</v>
      </c>
      <c r="J5537" s="5" t="s">
        <v>33242</v>
      </c>
      <c r="K5537" s="5" t="s">
        <v>344</v>
      </c>
      <c r="L5537" s="5"/>
      <c r="M5537" s="27"/>
      <c r="N5537" s="5" t="s">
        <v>57726</v>
      </c>
      <c r="O5537" s="5" t="str">
        <v>4025413896</v>
      </c>
      <c r="P5537" s="27">
        <v>4692634000</v>
      </c>
      <c r="Q5537" s="5" t="s">
        <v>49009</v>
      </c>
      <c r="R5537" s="5"/>
      <c r="S5537" s="5" t="s">
        <v>49066</v>
      </c>
      <c r="T5537" s="28">
        <v>3948492000</v>
      </c>
      <c r="U5537" s="28"/>
      <c r="V5537" s="28">
        <v>4996674000</v>
      </c>
      <c r="W5537" s="28"/>
      <c r="X5537" s="28">
        <v>53185116000</v>
      </c>
      <c r="Y5537" s="28">
        <v>65233304000</v>
      </c>
      <c r="Z5537" s="28">
        <v>58913263000</v>
      </c>
      <c r="AA5537" s="28"/>
      <c r="AB5537" s="28"/>
      <c r="AC5537" s="28">
        <v>1162952000</v>
      </c>
      <c r="AD5537" s="28">
        <v>63996817000</v>
      </c>
      <c r="AE5537" s="28">
        <v>27462923000</v>
      </c>
      <c r="AF5537" s="28">
        <v>-6889371000</v>
      </c>
      <c r="AG5537" s="11"/>
    </row>
    <row r="5538">
      <c r="A5538" s="7" t="s">
        <v>7146</v>
      </c>
      <c r="B5538" s="5" t="s">
        <v>15099</v>
      </c>
      <c r="C5538" s="5" t="s">
        <v>22792</v>
      </c>
      <c r="D5538" s="5" t="str">
        <v>773005596227</v>
      </c>
      <c r="E5538" s="0" t="e">
        <f>+7 (495) 4416107
+7 (495) 9331303
+7 (495) 9331309</f>
        <v>#NAME?</v>
      </c>
      <c r="F5538" s="5"/>
      <c r="G5538" s="5" t="s">
        <v>41674</v>
      </c>
      <c r="H5538" s="26">
        <v>29</v>
      </c>
      <c r="I5538" s="5"/>
      <c r="J5538" s="5" t="s">
        <v>26391</v>
      </c>
      <c r="K5538" s="5" t="s">
        <v>344</v>
      </c>
      <c r="L5538" s="5"/>
      <c r="M5538" s="27"/>
      <c r="N5538" s="5" t="s">
        <v>57727</v>
      </c>
      <c r="O5538" s="5" t="str">
        <v>7719002190</v>
      </c>
      <c r="P5538" s="27">
        <v>4311682750</v>
      </c>
      <c r="Q5538" s="5" t="s">
        <v>49009</v>
      </c>
      <c r="R5538" s="5" t="s">
        <v>57728</v>
      </c>
      <c r="S5538" s="5" t="s">
        <v>49085</v>
      </c>
      <c r="T5538" s="28">
        <v>777317000</v>
      </c>
      <c r="U5538" s="28">
        <v>59000</v>
      </c>
      <c r="V5538" s="28">
        <v>463996000</v>
      </c>
      <c r="W5538" s="28">
        <v>20000000</v>
      </c>
      <c r="X5538" s="28">
        <v>478673000</v>
      </c>
      <c r="Y5538" s="28">
        <v>2738068000</v>
      </c>
      <c r="Z5538" s="28">
        <v>-2372006000</v>
      </c>
      <c r="AA5538" s="28">
        <v>720205000</v>
      </c>
      <c r="AB5538" s="28">
        <v>11656000</v>
      </c>
      <c r="AC5538" s="28">
        <v>78184000</v>
      </c>
      <c r="AD5538" s="28">
        <v>1939679000</v>
      </c>
      <c r="AE5538" s="28">
        <v>3484630000</v>
      </c>
      <c r="AF5538" s="28">
        <v>-188754000</v>
      </c>
      <c r="AG5538" s="11"/>
    </row>
    <row r="5539">
      <c r="A5539" s="7" t="s">
        <v>7147</v>
      </c>
      <c r="B5539" s="5" t="s">
        <v>15100</v>
      </c>
      <c r="C5539" s="5" t="s">
        <v>22793</v>
      </c>
      <c r="D5539" s="5" t="str">
        <v>665906631344</v>
      </c>
      <c r="E5539" s="0" t="e">
        <f>+7 (3412) 688410
+7 (3412) 780649
+7 (3422) 436579
+7 (3422) 436586
+7 (3422) 436722
+7 (3422) 436902
+7 (3422) 436958
+7 (3422) 436975
+7 (3422) 437859
+7 (3422) 437907
+7 (34242) 68699
+7 (343) 3555403
+7 (343) 3555404
+7 (343) 3555411
+7 (343) 3555419</f>
        <v>#NAME?</v>
      </c>
      <c r="F5539" s="5" t="s">
        <v>41675</v>
      </c>
      <c r="G5539" s="5" t="s">
        <v>41676</v>
      </c>
      <c r="H5539" s="26">
        <v>17.5</v>
      </c>
      <c r="I5539" s="5"/>
      <c r="J5539" s="5" t="s">
        <v>27640</v>
      </c>
      <c r="K5539" s="5" t="s">
        <v>355</v>
      </c>
      <c r="L5539" s="5"/>
      <c r="M5539" s="27">
        <v>1155616629</v>
      </c>
      <c r="N5539" s="5" t="s">
        <v>57729</v>
      </c>
      <c r="O5539" s="5" t="str">
        <v>6315376946</v>
      </c>
      <c r="P5539" s="27">
        <v>44467039514</v>
      </c>
      <c r="Q5539" s="5" t="s">
        <v>57730</v>
      </c>
      <c r="R5539" s="5" t="s">
        <v>57731</v>
      </c>
      <c r="S5539" s="5" t="s">
        <v>57732</v>
      </c>
      <c r="T5539" s="28">
        <v>190054526000</v>
      </c>
      <c r="U5539" s="28">
        <v>79673065000</v>
      </c>
      <c r="V5539" s="28">
        <v>52328337000</v>
      </c>
      <c r="W5539" s="28">
        <v>27331000</v>
      </c>
      <c r="X5539" s="28">
        <v>3212194000</v>
      </c>
      <c r="Y5539" s="28">
        <v>349048204000</v>
      </c>
      <c r="Z5539" s="28">
        <v>59698447000</v>
      </c>
      <c r="AA5539" s="28">
        <v>71633677000</v>
      </c>
      <c r="AB5539" s="28">
        <v>48237080000</v>
      </c>
      <c r="AC5539" s="28">
        <v>105919620000</v>
      </c>
      <c r="AD5539" s="28">
        <v>143226435000</v>
      </c>
      <c r="AE5539" s="28">
        <v>267025823000</v>
      </c>
      <c r="AF5539" s="28">
        <v>13958869000</v>
      </c>
      <c r="AG5539" s="11"/>
    </row>
    <row r="5540">
      <c r="A5540" s="7" t="s">
        <v>7148</v>
      </c>
      <c r="B5540" s="5" t="s">
        <v>15101</v>
      </c>
      <c r="C5540" s="5" t="s">
        <v>22794</v>
      </c>
      <c r="D5540" s="5" t="str">
        <v>780243282090</v>
      </c>
      <c r="E5540" s="0" t="e">
        <f>+7 (495) 2087365
+7 (495) 4011617
+7 (910) 4323030
+7 (926) 3520666
+7 (926) 9524530
+7 (962) 9524530</f>
        <v>#NAME?</v>
      </c>
      <c r="F5540" s="5" t="s">
        <v>41677</v>
      </c>
      <c r="G5540" s="5" t="s">
        <v>41678</v>
      </c>
      <c r="H5540" s="26">
        <v>8.5</v>
      </c>
      <c r="I5540" s="5" t="s">
        <v>41679</v>
      </c>
      <c r="J5540" s="5" t="s">
        <v>35741</v>
      </c>
      <c r="K5540" s="5" t="s">
        <v>344</v>
      </c>
      <c r="L5540" s="5"/>
      <c r="M5540" s="27"/>
      <c r="N5540" s="5"/>
      <c r="O5540" s="5" t="str">
        <v>7720831611</v>
      </c>
      <c r="P5540" s="27">
        <v>10050000</v>
      </c>
      <c r="Q5540" s="5" t="s">
        <v>49009</v>
      </c>
      <c r="R5540" s="5"/>
      <c r="S5540" s="5" t="s">
        <v>49066</v>
      </c>
      <c r="T5540" s="28">
        <v>49370000</v>
      </c>
      <c r="U5540" s="28"/>
      <c r="V5540" s="28">
        <v>1053683000</v>
      </c>
      <c r="W5540" s="28">
        <v>7100000</v>
      </c>
      <c r="X5540" s="28">
        <v>9647000</v>
      </c>
      <c r="Y5540" s="28">
        <v>1687325000</v>
      </c>
      <c r="Z5540" s="28">
        <v>83552000</v>
      </c>
      <c r="AA5540" s="28"/>
      <c r="AB5540" s="28">
        <v>409728000</v>
      </c>
      <c r="AC5540" s="28">
        <v>1562081000</v>
      </c>
      <c r="AD5540" s="28">
        <v>93602000</v>
      </c>
      <c r="AE5540" s="28">
        <v>3481684000</v>
      </c>
      <c r="AF5540" s="28">
        <v>48030000</v>
      </c>
      <c r="AG5540" s="11"/>
    </row>
    <row r="5541">
      <c r="A5541" s="7" t="s">
        <v>7149</v>
      </c>
      <c r="B5541" s="5" t="s">
        <v>15102</v>
      </c>
      <c r="C5541" s="5" t="s">
        <v>22795</v>
      </c>
      <c r="D5541" s="5" t="str">
        <v>245709880154</v>
      </c>
      <c r="E5541" s="0" t="e">
        <f>+7 (8622) 599039
+7 (8622) 599572
+7 (8622) 599598
+7 (8622) 555021
+7 (8622) 591777
+7 (8622) 599217
+7 (8622) 599313
+7 (8622) 599357
+7 (8622) 599495
+7 (8622) 599512
+7 (8622) 599690
+7 (8622) 599995</f>
        <v>#NAME?</v>
      </c>
      <c r="F5541" s="5" t="s">
        <v>41680</v>
      </c>
      <c r="G5541" s="5" t="s">
        <v>41681</v>
      </c>
      <c r="H5541" s="26">
        <v>18</v>
      </c>
      <c r="I5541" s="5" t="s">
        <v>41682</v>
      </c>
      <c r="J5541" s="5" t="s">
        <v>29971</v>
      </c>
      <c r="K5541" s="5" t="s">
        <v>344</v>
      </c>
      <c r="L5541" s="5"/>
      <c r="M5541" s="27">
        <v>8167127</v>
      </c>
      <c r="N5541" s="5" t="s">
        <v>57733</v>
      </c>
      <c r="O5541" s="5" t="str">
        <v>2320126214</v>
      </c>
      <c r="P5541" s="27">
        <v>4518705270</v>
      </c>
      <c r="Q5541" s="5"/>
      <c r="R5541" s="5"/>
      <c r="S5541" s="5" t="s">
        <v>50404</v>
      </c>
      <c r="T5541" s="28">
        <v>4331039000</v>
      </c>
      <c r="U5541" s="28"/>
      <c r="V5541" s="28">
        <v>521300000</v>
      </c>
      <c r="W5541" s="28">
        <v>675774000</v>
      </c>
      <c r="X5541" s="28">
        <v>13000000</v>
      </c>
      <c r="Y5541" s="28">
        <v>5697342000</v>
      </c>
      <c r="Z5541" s="28">
        <v>-142047000</v>
      </c>
      <c r="AA5541" s="28"/>
      <c r="AB5541" s="28"/>
      <c r="AC5541" s="28">
        <v>785902000</v>
      </c>
      <c r="AD5541" s="28">
        <v>4723558000</v>
      </c>
      <c r="AE5541" s="28">
        <v>3243458000</v>
      </c>
      <c r="AF5541" s="28">
        <v>172903000</v>
      </c>
      <c r="AG5541" s="11"/>
    </row>
    <row r="5542">
      <c r="A5542" s="7" t="s">
        <v>7150</v>
      </c>
      <c r="B5542" s="5" t="s">
        <v>15103</v>
      </c>
      <c r="C5542" s="5" t="s">
        <v>22796</v>
      </c>
      <c r="D5542" s="5" t="str">
        <v>420524348409</v>
      </c>
      <c r="E5542" s="0" t="e">
        <f>+7 (915) 1450056
+7 (495) 9563294
+7 (495) 9807535
+7 (495) 9807536
+7 (495) 9807556
+7 (495) 9807558</f>
        <v>#NAME?</v>
      </c>
      <c r="F5542" s="5" t="s">
        <v>41683</v>
      </c>
      <c r="G5542" s="5" t="s">
        <v>41684</v>
      </c>
      <c r="H5542" s="26">
        <v>21</v>
      </c>
      <c r="I5542" s="5" t="s">
        <v>41685</v>
      </c>
      <c r="J5542" s="5" t="s">
        <v>26918</v>
      </c>
      <c r="K5542" s="5" t="s">
        <v>380</v>
      </c>
      <c r="L5542" s="5" t="s">
        <v>41686</v>
      </c>
      <c r="M5542" s="27">
        <v>62604847</v>
      </c>
      <c r="N5542" s="5" t="s">
        <v>57735</v>
      </c>
      <c r="O5542" s="5" t="str">
        <v>7743051544</v>
      </c>
      <c r="P5542" s="27">
        <v>200099000</v>
      </c>
      <c r="Q5542" s="5" t="s">
        <v>57736</v>
      </c>
      <c r="R5542" s="5"/>
      <c r="S5542" s="5" t="s">
        <v>51456</v>
      </c>
      <c r="T5542" s="28">
        <v>84269000</v>
      </c>
      <c r="U5542" s="28"/>
      <c r="V5542" s="28">
        <v>701761000</v>
      </c>
      <c r="W5542" s="28"/>
      <c r="X5542" s="28">
        <v>2931803000</v>
      </c>
      <c r="Y5542" s="28">
        <v>4732661000</v>
      </c>
      <c r="Z5542" s="28">
        <v>-369184000</v>
      </c>
      <c r="AA5542" s="28"/>
      <c r="AB5542" s="28">
        <v>1099994000</v>
      </c>
      <c r="AC5542" s="28">
        <v>3837685000</v>
      </c>
      <c r="AD5542" s="28">
        <v>863779000</v>
      </c>
      <c r="AE5542" s="28">
        <v>7395469000</v>
      </c>
      <c r="AF5542" s="28">
        <v>-5107887000</v>
      </c>
      <c r="AG5542" s="11"/>
    </row>
    <row r="5543">
      <c r="A5543" s="7" t="s">
        <v>7151</v>
      </c>
      <c r="B5543" s="5" t="s">
        <v>15104</v>
      </c>
      <c r="C5543" s="5" t="s">
        <v>22797</v>
      </c>
      <c r="D5543" s="5" t="str">
        <v>770208387047</v>
      </c>
      <c r="E5543" s="0" t="e">
        <f>+7 (495) 6607509
+7 (495) 6607510</f>
        <v>#NAME?</v>
      </c>
      <c r="F5543" s="5"/>
      <c r="G5543" s="5"/>
      <c r="H5543" s="26">
        <v>29</v>
      </c>
      <c r="I5543" s="5"/>
      <c r="J5543" s="5" t="s">
        <v>25429</v>
      </c>
      <c r="K5543" s="5" t="s">
        <v>344</v>
      </c>
      <c r="L5543" s="5"/>
      <c r="M5543" s="27"/>
      <c r="N5543" s="5"/>
      <c r="O5543" s="5" t="str">
        <v>7717011640</v>
      </c>
      <c r="P5543" s="27">
        <v>57362148</v>
      </c>
      <c r="Q5543" s="5" t="s">
        <v>49009</v>
      </c>
      <c r="R5543" s="5"/>
      <c r="S5543" s="5" t="s">
        <v>49010</v>
      </c>
      <c r="T5543" s="28">
        <v>197439000</v>
      </c>
      <c r="U5543" s="28"/>
      <c r="V5543" s="28">
        <v>8229943000</v>
      </c>
      <c r="W5543" s="28"/>
      <c r="X5543" s="28">
        <v>1369017000</v>
      </c>
      <c r="Y5543" s="28">
        <v>13942153000</v>
      </c>
      <c r="Z5543" s="28">
        <v>5482570000</v>
      </c>
      <c r="AA5543" s="28"/>
      <c r="AB5543" s="28">
        <v>2940883000</v>
      </c>
      <c r="AC5543" s="28">
        <v>8315937000</v>
      </c>
      <c r="AD5543" s="28">
        <v>5544315000</v>
      </c>
      <c r="AE5543" s="28">
        <v>21380275000</v>
      </c>
      <c r="AF5543" s="28">
        <v>-172986000</v>
      </c>
      <c r="AG5543" s="11"/>
    </row>
    <row r="5544">
      <c r="A5544" s="7" t="s">
        <v>7152</v>
      </c>
      <c r="B5544" s="5" t="s">
        <v>15105</v>
      </c>
      <c r="C5544" s="5" t="s">
        <v>22798</v>
      </c>
      <c r="D5544" s="5" t="str">
        <v>645393991191</v>
      </c>
      <c r="E5544" s="0" t="e">
        <f>+7 (812) 3471593
+7 (921) 5699246</f>
        <v>#NAME?</v>
      </c>
      <c r="F5544" s="5"/>
      <c r="G5544" s="5"/>
      <c r="H5544" s="26">
        <v>7.5</v>
      </c>
      <c r="I5544" s="5" t="s">
        <v>41687</v>
      </c>
      <c r="J5544" s="5" t="s">
        <v>1123</v>
      </c>
      <c r="K5544" s="5" t="s">
        <v>344</v>
      </c>
      <c r="L5544" s="5" t="s">
        <v>41688</v>
      </c>
      <c r="M5544" s="27"/>
      <c r="N5544" s="5"/>
      <c r="O5544" s="5" t="str">
        <v>7801281885</v>
      </c>
      <c r="P5544" s="27">
        <v>20000</v>
      </c>
      <c r="Q5544" s="5" t="s">
        <v>49009</v>
      </c>
      <c r="R5544" s="5"/>
      <c r="S5544" s="5" t="s">
        <v>49010</v>
      </c>
      <c r="T5544" s="28">
        <v>1131000</v>
      </c>
      <c r="U5544" s="28"/>
      <c r="V5544" s="28">
        <v>1903407000</v>
      </c>
      <c r="W5544" s="28">
        <v>222800000</v>
      </c>
      <c r="X5544" s="28">
        <v>11663000</v>
      </c>
      <c r="Y5544" s="28">
        <v>4008017000</v>
      </c>
      <c r="Z5544" s="28">
        <v>998566000</v>
      </c>
      <c r="AA5544" s="28"/>
      <c r="AB5544" s="28">
        <v>119758000</v>
      </c>
      <c r="AC5544" s="28">
        <v>2557906000</v>
      </c>
      <c r="AD5544" s="28">
        <v>1428586000</v>
      </c>
      <c r="AE5544" s="28">
        <v>3786457000</v>
      </c>
      <c r="AF5544" s="28">
        <v>433854000</v>
      </c>
      <c r="AG5544" s="11"/>
    </row>
    <row r="5545">
      <c r="A5545" s="7" t="s">
        <v>7153</v>
      </c>
      <c r="B5545" s="5" t="s">
        <v>15106</v>
      </c>
      <c r="C5545" s="5" t="s">
        <v>22799</v>
      </c>
      <c r="D5545" s="5" t="str">
        <v>770600136367</v>
      </c>
      <c r="E5545" s="0" t="e">
        <f>+7 (927) 7373862</f>
        <v>#NAME?</v>
      </c>
      <c r="F5545" s="5" t="s">
        <v>41689</v>
      </c>
      <c r="G5545" s="5"/>
      <c r="H5545" s="26">
        <v>11</v>
      </c>
      <c r="I5545" s="5" t="s">
        <v>41690</v>
      </c>
      <c r="J5545" s="5" t="s">
        <v>1123</v>
      </c>
      <c r="K5545" s="5" t="s">
        <v>344</v>
      </c>
      <c r="L5545" s="5" t="s">
        <v>41691</v>
      </c>
      <c r="M5545" s="27"/>
      <c r="N5545" s="5"/>
      <c r="O5545" s="5" t="str">
        <v>6316173177</v>
      </c>
      <c r="P5545" s="27">
        <v>200000</v>
      </c>
      <c r="Q5545" s="5" t="s">
        <v>49009</v>
      </c>
      <c r="R5545" s="5"/>
      <c r="S5545" s="5" t="s">
        <v>49010</v>
      </c>
      <c r="T5545" s="28">
        <v>13545000</v>
      </c>
      <c r="U5545" s="28"/>
      <c r="V5545" s="28">
        <v>260463000</v>
      </c>
      <c r="W5545" s="28"/>
      <c r="X5545" s="28">
        <v>30485000</v>
      </c>
      <c r="Y5545" s="28">
        <v>371590000</v>
      </c>
      <c r="Z5545" s="28">
        <v>70381000</v>
      </c>
      <c r="AA5545" s="28"/>
      <c r="AB5545" s="28"/>
      <c r="AC5545" s="28">
        <v>294481000</v>
      </c>
      <c r="AD5545" s="28">
        <v>70581000</v>
      </c>
      <c r="AE5545" s="28">
        <v>4040201000</v>
      </c>
      <c r="AF5545" s="28">
        <v>197735000</v>
      </c>
      <c r="AG5545" s="11"/>
    </row>
    <row r="5546">
      <c r="A5546" s="7" t="s">
        <v>7154</v>
      </c>
      <c r="B5546" s="5" t="s">
        <v>15107</v>
      </c>
      <c r="C5546" s="5" t="s">
        <v>22800</v>
      </c>
      <c r="D5546" s="5" t="str">
        <v>780600077541</v>
      </c>
      <c r="E5546" s="0" t="e">
        <f>+7 (812) 2130303
+7 (812) 5204109
+7 (812) 5292385
+7 (812) 9742509
+7 (981) 7733242</f>
        <v>#NAME?</v>
      </c>
      <c r="F5546" s="5" t="s">
        <v>41692</v>
      </c>
      <c r="G5546" s="5" t="s">
        <v>41693</v>
      </c>
      <c r="H5546" s="26">
        <v>16.5</v>
      </c>
      <c r="I5546" s="5" t="s">
        <v>41694</v>
      </c>
      <c r="J5546" s="5" t="s">
        <v>30931</v>
      </c>
      <c r="K5546" s="5" t="s">
        <v>344</v>
      </c>
      <c r="L5546" s="5" t="s">
        <v>41695</v>
      </c>
      <c r="M5546" s="27"/>
      <c r="N5546" s="5"/>
      <c r="O5546" s="5" t="str">
        <v>7806339338</v>
      </c>
      <c r="P5546" s="27">
        <v>1600000</v>
      </c>
      <c r="Q5546" s="5"/>
      <c r="R5546" s="5"/>
      <c r="S5546" s="5" t="s">
        <v>49029</v>
      </c>
      <c r="T5546" s="28">
        <v>621422000</v>
      </c>
      <c r="U5546" s="28"/>
      <c r="V5546" s="28">
        <v>663886000</v>
      </c>
      <c r="W5546" s="28">
        <v>37800000</v>
      </c>
      <c r="X5546" s="28">
        <v>3615000</v>
      </c>
      <c r="Y5546" s="28">
        <v>1385311000</v>
      </c>
      <c r="Z5546" s="28">
        <v>1172266000</v>
      </c>
      <c r="AA5546" s="28">
        <v>52495000</v>
      </c>
      <c r="AB5546" s="28">
        <v>101000</v>
      </c>
      <c r="AC5546" s="28">
        <v>158099000</v>
      </c>
      <c r="AD5546" s="28">
        <v>1174116000</v>
      </c>
      <c r="AE5546" s="28">
        <v>12819244000</v>
      </c>
      <c r="AF5546" s="28">
        <v>184500000</v>
      </c>
      <c r="AG5546" s="11"/>
    </row>
    <row r="5547">
      <c r="A5547" s="7" t="s">
        <v>7155</v>
      </c>
      <c r="B5547" s="5" t="s">
        <v>15108</v>
      </c>
      <c r="C5547" s="5" t="s">
        <v>22801</v>
      </c>
      <c r="D5547" s="5"/>
      <c r="F5547" s="5"/>
      <c r="G5547" s="5"/>
      <c r="H5547" s="26">
        <v>7.5</v>
      </c>
      <c r="I5547" s="5" t="s">
        <v>41696</v>
      </c>
      <c r="J5547" s="5" t="s">
        <v>25414</v>
      </c>
      <c r="K5547" s="5" t="s">
        <v>380</v>
      </c>
      <c r="L5547" s="5"/>
      <c r="M5547" s="27">
        <v>1638249</v>
      </c>
      <c r="N5547" s="5"/>
      <c r="O5547" s="5" t="str">
        <v>5036153970</v>
      </c>
      <c r="P5547" s="27">
        <v>15025</v>
      </c>
      <c r="Q5547" s="5" t="s">
        <v>49009</v>
      </c>
      <c r="R5547" s="5"/>
      <c r="S5547" s="5" t="s">
        <v>49010</v>
      </c>
      <c r="T5547" s="28">
        <v>11893542000</v>
      </c>
      <c r="U5547" s="28"/>
      <c r="V5547" s="28">
        <v>309705000</v>
      </c>
      <c r="W5547" s="28"/>
      <c r="X5547" s="28">
        <v>1308278000</v>
      </c>
      <c r="Y5547" s="28">
        <v>13542657000</v>
      </c>
      <c r="Z5547" s="28">
        <v>293655000</v>
      </c>
      <c r="AA5547" s="28">
        <v>9749084000</v>
      </c>
      <c r="AB5547" s="28">
        <v>1103704000</v>
      </c>
      <c r="AC5547" s="28">
        <v>2054237000</v>
      </c>
      <c r="AD5547" s="28">
        <v>1623666000</v>
      </c>
      <c r="AE5547" s="28">
        <v>3781259000</v>
      </c>
      <c r="AF5547" s="28">
        <v>835622000</v>
      </c>
      <c r="AG5547" s="11"/>
    </row>
    <row r="5548">
      <c r="A5548" s="7" t="s">
        <v>7156</v>
      </c>
      <c r="B5548" s="5" t="s">
        <v>15109</v>
      </c>
      <c r="C5548" s="5" t="s">
        <v>22802</v>
      </c>
      <c r="D5548" s="5" t="str">
        <v>771002356777</v>
      </c>
      <c r="E5548" s="0" t="e">
        <f>+7 (495) 7211411
+7 (495) 7214400
+7 (495) 9567937
+7 (8212) 286000
+7 (872) 2628068
+7 (910) 493200
+7 (910) 4818639
+7 (915) 1905602
+7 (917) 5091713
+7 (926) 2588844
+7 (926) 2861711
+7 (926) 6258844
+7 (985) 1904231
+7 (985) 3173526
+7 (495) 7211400</f>
        <v>#NAME?</v>
      </c>
      <c r="F5548" s="5" t="s">
        <v>41697</v>
      </c>
      <c r="G5548" s="5"/>
      <c r="H5548" s="26">
        <v>28</v>
      </c>
      <c r="I5548" s="5"/>
      <c r="J5548" s="5" t="s">
        <v>25429</v>
      </c>
      <c r="K5548" s="5" t="s">
        <v>344</v>
      </c>
      <c r="L5548" s="5"/>
      <c r="M5548" s="27"/>
      <c r="N5548" s="5" t="s">
        <v>57737</v>
      </c>
      <c r="O5548" s="5" t="str">
        <v>7705018169</v>
      </c>
      <c r="P5548" s="27">
        <v>5618050000</v>
      </c>
      <c r="Q5548" s="5" t="s">
        <v>57738</v>
      </c>
      <c r="R5548" s="5"/>
      <c r="S5548" s="5" t="s">
        <v>57739</v>
      </c>
      <c r="T5548" s="28">
        <v>1333165000</v>
      </c>
      <c r="U5548" s="28">
        <v>800000</v>
      </c>
      <c r="V5548" s="28">
        <v>13998476000</v>
      </c>
      <c r="W5548" s="28">
        <v>1500000000</v>
      </c>
      <c r="X5548" s="28">
        <v>3085548000</v>
      </c>
      <c r="Y5548" s="28">
        <v>33459764000</v>
      </c>
      <c r="Z5548" s="28">
        <v>5221413000</v>
      </c>
      <c r="AA5548" s="28"/>
      <c r="AB5548" s="28">
        <v>1279000</v>
      </c>
      <c r="AC5548" s="28">
        <v>3007221000</v>
      </c>
      <c r="AD5548" s="28">
        <v>28821463000</v>
      </c>
      <c r="AE5548" s="28">
        <v>46121290000</v>
      </c>
      <c r="AF5548" s="28">
        <v>153706000</v>
      </c>
      <c r="AG5548" s="11"/>
    </row>
    <row r="5549">
      <c r="A5549" s="7" t="s">
        <v>7157</v>
      </c>
      <c r="B5549" s="5" t="s">
        <v>15110</v>
      </c>
      <c r="C5549" s="5" t="s">
        <v>22803</v>
      </c>
      <c r="D5549" s="5" t="str">
        <v>772458813929</v>
      </c>
      <c r="E5549" s="0" t="e">
        <f>+7 (495) 1106500
+7 (495) 1451524
+7 (495) 1501333
+7 (495) 1501553
+7 (495) 1503010
+7 (495) 1503315
+7 (495) 1507533
+7 (495) 1515120
+7 (495) 1531533
+7 (495) 2225556
+7 (495) 2515656
+7 (495) 2567787
+7 (495) 1501513
+7 (495) 1505120
+7 (495) 3000300</f>
        <v>#NAME?</v>
      </c>
      <c r="F5549" s="5" t="s">
        <v>41698</v>
      </c>
      <c r="G5549" s="5" t="s">
        <v>41699</v>
      </c>
      <c r="H5549" s="26">
        <v>30.5</v>
      </c>
      <c r="I5549" s="5" t="s">
        <v>41700</v>
      </c>
      <c r="J5549" s="5" t="s">
        <v>28968</v>
      </c>
      <c r="K5549" s="5" t="s">
        <v>380</v>
      </c>
      <c r="L5549" s="5"/>
      <c r="M5549" s="27">
        <v>448804618</v>
      </c>
      <c r="N5549" s="5" t="s">
        <v>57740</v>
      </c>
      <c r="O5549" s="5" t="str">
        <v>5032199740</v>
      </c>
      <c r="P5549" s="27">
        <v>1715272363</v>
      </c>
      <c r="Q5549" s="5" t="s">
        <v>57742</v>
      </c>
      <c r="R5549" s="5" t="s">
        <v>57743</v>
      </c>
      <c r="S5549" s="5" t="s">
        <v>49271</v>
      </c>
      <c r="T5549" s="28">
        <v>3586553000</v>
      </c>
      <c r="U5549" s="28">
        <v>250000</v>
      </c>
      <c r="V5549" s="28">
        <v>2869803000</v>
      </c>
      <c r="W5549" s="28"/>
      <c r="X5549" s="28">
        <v>8752000</v>
      </c>
      <c r="Y5549" s="28">
        <v>6860669000</v>
      </c>
      <c r="Z5549" s="28">
        <v>-277128000</v>
      </c>
      <c r="AA5549" s="28">
        <v>373500000</v>
      </c>
      <c r="AB5549" s="28">
        <v>920000</v>
      </c>
      <c r="AC5549" s="28">
        <v>4067431000</v>
      </c>
      <c r="AD5549" s="28">
        <v>1932770000</v>
      </c>
      <c r="AE5549" s="28">
        <v>8141942000</v>
      </c>
      <c r="AF5549" s="28">
        <v>2122000</v>
      </c>
      <c r="AG5549" s="11"/>
    </row>
    <row r="5550">
      <c r="A5550" s="7" t="s">
        <v>7158</v>
      </c>
      <c r="B5550" s="5" t="s">
        <v>15111</v>
      </c>
      <c r="C5550" s="5" t="s">
        <v>22804</v>
      </c>
      <c r="D5550" s="5" t="str">
        <v>502300070278</v>
      </c>
      <c r="E5550" s="0" t="e">
        <f>+7 (495) 6492009</f>
        <v>#NAME?</v>
      </c>
      <c r="F5550" s="5"/>
      <c r="G5550" s="5"/>
      <c r="H5550" s="26">
        <v>14.5</v>
      </c>
      <c r="I5550" s="5" t="s">
        <v>41701</v>
      </c>
      <c r="J5550" s="5" t="s">
        <v>373</v>
      </c>
      <c r="K5550" s="5" t="s">
        <v>344</v>
      </c>
      <c r="L5550" s="5" t="s">
        <v>41702</v>
      </c>
      <c r="M5550" s="27"/>
      <c r="N5550" s="5" t="s">
        <v>57744</v>
      </c>
      <c r="O5550" s="5" t="str">
        <v>7727661743</v>
      </c>
      <c r="P5550" s="27">
        <v>10000</v>
      </c>
      <c r="Q5550" s="5" t="s">
        <v>57745</v>
      </c>
      <c r="R5550" s="5"/>
      <c r="S5550" s="5" t="s">
        <v>57746</v>
      </c>
      <c r="T5550" s="28">
        <v>17548000</v>
      </c>
      <c r="U5550" s="28"/>
      <c r="V5550" s="28">
        <v>1590194000</v>
      </c>
      <c r="W5550" s="28">
        <v>480550000</v>
      </c>
      <c r="X5550" s="28">
        <v>45306000</v>
      </c>
      <c r="Y5550" s="28">
        <v>2218305000</v>
      </c>
      <c r="Z5550" s="28">
        <v>470610000</v>
      </c>
      <c r="AA5550" s="28">
        <v>160000000</v>
      </c>
      <c r="AB5550" s="28">
        <v>973000</v>
      </c>
      <c r="AC5550" s="28">
        <v>1587674000</v>
      </c>
      <c r="AD5550" s="28">
        <v>470620000</v>
      </c>
      <c r="AE5550" s="28">
        <v>47438864000</v>
      </c>
      <c r="AF5550" s="28">
        <v>1190707000</v>
      </c>
      <c r="AG5550" s="11"/>
    </row>
    <row r="5551">
      <c r="A5551" s="7" t="s">
        <v>7159</v>
      </c>
      <c r="B5551" s="5" t="s">
        <v>15112</v>
      </c>
      <c r="C5551" s="5" t="s">
        <v>22805</v>
      </c>
      <c r="D5551" s="5" t="str">
        <v>772409856239</v>
      </c>
      <c r="E5551" s="0" t="e">
        <f>+7 (499) 2534429</f>
        <v>#NAME?</v>
      </c>
      <c r="F5551" s="5" t="s">
        <v>41703</v>
      </c>
      <c r="G5551" s="5" t="s">
        <v>41704</v>
      </c>
      <c r="H5551" s="26">
        <v>24</v>
      </c>
      <c r="I5551" s="5" t="s">
        <v>41705</v>
      </c>
      <c r="J5551" s="5" t="s">
        <v>25190</v>
      </c>
      <c r="K5551" s="5" t="s">
        <v>344</v>
      </c>
      <c r="L5551" s="5" t="s">
        <v>41706</v>
      </c>
      <c r="M5551" s="27">
        <v>2398128</v>
      </c>
      <c r="N5551" s="5" t="s">
        <v>57747</v>
      </c>
      <c r="O5551" s="5" t="str">
        <v>7736192449</v>
      </c>
      <c r="P5551" s="27">
        <v>10000000</v>
      </c>
      <c r="Q5551" s="5" t="s">
        <v>57748</v>
      </c>
      <c r="R5551" s="5"/>
      <c r="S5551" s="5" t="s">
        <v>57749</v>
      </c>
      <c r="T5551" s="28">
        <v>37842000</v>
      </c>
      <c r="U5551" s="28">
        <v>7000</v>
      </c>
      <c r="V5551" s="28">
        <v>2544204000</v>
      </c>
      <c r="W5551" s="28"/>
      <c r="X5551" s="28">
        <v>270204000</v>
      </c>
      <c r="Y5551" s="28">
        <v>9310711000</v>
      </c>
      <c r="Z5551" s="28">
        <v>4867489000</v>
      </c>
      <c r="AA5551" s="28"/>
      <c r="AB5551" s="28">
        <v>1763215000</v>
      </c>
      <c r="AC5551" s="28">
        <v>4433222000</v>
      </c>
      <c r="AD5551" s="28">
        <v>4877489000</v>
      </c>
      <c r="AE5551" s="28">
        <v>28557769000</v>
      </c>
      <c r="AF5551" s="28">
        <v>2009000000</v>
      </c>
      <c r="AG5551" s="11"/>
    </row>
    <row r="5552">
      <c r="A5552" s="7" t="s">
        <v>7160</v>
      </c>
      <c r="B5552" s="5" t="s">
        <v>15113</v>
      </c>
      <c r="C5552" s="5" t="s">
        <v>22806</v>
      </c>
      <c r="D5552" s="5" t="str">
        <v>772100401349</v>
      </c>
      <c r="E5552" s="0" t="e">
        <f>+7 (495) 6657073
+7 (495) 6657076</f>
        <v>#NAME?</v>
      </c>
      <c r="F5552" s="5" t="s">
        <v>41707</v>
      </c>
      <c r="G5552" s="5"/>
      <c r="H5552" s="26">
        <v>8.5</v>
      </c>
      <c r="I5552" s="5" t="s">
        <v>41708</v>
      </c>
      <c r="J5552" s="5" t="s">
        <v>28568</v>
      </c>
      <c r="K5552" s="5" t="s">
        <v>344</v>
      </c>
      <c r="L5552" s="5" t="s">
        <v>41709</v>
      </c>
      <c r="M5552" s="27"/>
      <c r="N5552" s="5" t="s">
        <v>57750</v>
      </c>
      <c r="O5552" s="5" t="str">
        <v>5003109855</v>
      </c>
      <c r="P5552" s="27">
        <v>40000</v>
      </c>
      <c r="Q5552" s="5" t="s">
        <v>49059</v>
      </c>
      <c r="R5552" s="5"/>
      <c r="S5552" s="5" t="s">
        <v>49028</v>
      </c>
      <c r="T5552" s="28">
        <v>459000</v>
      </c>
      <c r="U5552" s="28"/>
      <c r="V5552" s="28">
        <v>148334000</v>
      </c>
      <c r="W5552" s="28">
        <v>3530000</v>
      </c>
      <c r="X5552" s="28">
        <v>1309000</v>
      </c>
      <c r="Y5552" s="28">
        <v>561850000</v>
      </c>
      <c r="Z5552" s="28">
        <v>10357000</v>
      </c>
      <c r="AA5552" s="28"/>
      <c r="AB5552" s="28"/>
      <c r="AC5552" s="28">
        <v>551446000</v>
      </c>
      <c r="AD5552" s="28">
        <v>10397000</v>
      </c>
      <c r="AE5552" s="28">
        <v>5760058000</v>
      </c>
      <c r="AF5552" s="28">
        <v>2368000</v>
      </c>
      <c r="AG5552" s="11"/>
    </row>
    <row r="5553">
      <c r="A5553" s="7" t="s">
        <v>7161</v>
      </c>
      <c r="B5553" s="5" t="s">
        <v>15114</v>
      </c>
      <c r="C5553" s="5" t="s">
        <v>22807</v>
      </c>
      <c r="D5553" s="5" t="str">
        <v>773712511759</v>
      </c>
      <c r="E5553" s="0" t="e">
        <f>+7 (499) 6130466
+7 (495) 2251427
+7 (495) 2255198
+7 (495) 3810373
+7 (495) 9891142
+7 (499) 6130163</f>
        <v>#NAME?</v>
      </c>
      <c r="F5553" s="5" t="s">
        <v>41710</v>
      </c>
      <c r="G5553" s="5" t="s">
        <v>41711</v>
      </c>
      <c r="H5553" s="26">
        <v>27</v>
      </c>
      <c r="I5553" s="5" t="s">
        <v>41712</v>
      </c>
      <c r="J5553" s="5" t="s">
        <v>25512</v>
      </c>
      <c r="K5553" s="5" t="s">
        <v>344</v>
      </c>
      <c r="L5553" s="5" t="s">
        <v>41713</v>
      </c>
      <c r="M5553" s="27"/>
      <c r="N5553" s="5"/>
      <c r="O5553" s="5" t="str">
        <v>7726337014</v>
      </c>
      <c r="P5553" s="27">
        <v>600000</v>
      </c>
      <c r="Q5553" s="5" t="s">
        <v>49009</v>
      </c>
      <c r="R5553" s="5"/>
      <c r="S5553" s="5" t="s">
        <v>49045</v>
      </c>
      <c r="T5553" s="28"/>
      <c r="U5553" s="28"/>
      <c r="V5553" s="28">
        <v>111451000</v>
      </c>
      <c r="W5553" s="28"/>
      <c r="X5553" s="28">
        <v>299363000</v>
      </c>
      <c r="Y5553" s="28">
        <v>480972000</v>
      </c>
      <c r="Z5553" s="28">
        <v>470250000</v>
      </c>
      <c r="AA5553" s="28"/>
      <c r="AB5553" s="28"/>
      <c r="AC5553" s="28">
        <v>10122000</v>
      </c>
      <c r="AD5553" s="28">
        <v>470850000</v>
      </c>
      <c r="AE5553" s="28">
        <v>3334592000</v>
      </c>
      <c r="AF5553" s="28">
        <v>71479000</v>
      </c>
      <c r="AG5553" s="11"/>
    </row>
    <row r="5554">
      <c r="A5554" s="7" t="s">
        <v>7162</v>
      </c>
      <c r="B5554" s="5" t="s">
        <v>15115</v>
      </c>
      <c r="C5554" s="5" t="s">
        <v>22808</v>
      </c>
      <c r="D5554" s="5" t="str">
        <v>772580068938</v>
      </c>
      <c r="E5554" s="0" t="e">
        <f>+7 (495) 7559700</f>
        <v>#NAME?</v>
      </c>
      <c r="F5554" s="5" t="s">
        <v>41714</v>
      </c>
      <c r="G5554" s="5" t="s">
        <v>41715</v>
      </c>
      <c r="H5554" s="26">
        <v>21.5</v>
      </c>
      <c r="I5554" s="5" t="s">
        <v>41716</v>
      </c>
      <c r="J5554" s="5" t="s">
        <v>748</v>
      </c>
      <c r="K5554" s="5" t="s">
        <v>380</v>
      </c>
      <c r="L5554" s="5" t="s">
        <v>41717</v>
      </c>
      <c r="M5554" s="27">
        <v>330144760</v>
      </c>
      <c r="N5554" s="5" t="s">
        <v>57751</v>
      </c>
      <c r="O5554" s="5" t="str">
        <v>7705058323</v>
      </c>
      <c r="P5554" s="27">
        <v>2130800</v>
      </c>
      <c r="Q5554" s="5" t="s">
        <v>57752</v>
      </c>
      <c r="R5554" s="5"/>
      <c r="S5554" s="5" t="s">
        <v>51668</v>
      </c>
      <c r="T5554" s="28">
        <v>313903000</v>
      </c>
      <c r="U5554" s="28">
        <v>400000</v>
      </c>
      <c r="V5554" s="28">
        <v>9794957000</v>
      </c>
      <c r="W5554" s="28"/>
      <c r="X5554" s="28">
        <v>4364381000</v>
      </c>
      <c r="Y5554" s="28">
        <v>14501596000</v>
      </c>
      <c r="Z5554" s="28">
        <v>-3088323000</v>
      </c>
      <c r="AA5554" s="28"/>
      <c r="AB5554" s="28"/>
      <c r="AC5554" s="28">
        <v>16257980000</v>
      </c>
      <c r="AD5554" s="28">
        <v>-3086038000</v>
      </c>
      <c r="AE5554" s="28">
        <v>16733083000</v>
      </c>
      <c r="AF5554" s="28">
        <v>-8373639000</v>
      </c>
      <c r="AG5554" s="11"/>
    </row>
    <row r="5555">
      <c r="A5555" s="7" t="s">
        <v>7163</v>
      </c>
      <c r="B5555" s="5" t="s">
        <v>15116</v>
      </c>
      <c r="C5555" s="5" t="s">
        <v>22809</v>
      </c>
      <c r="D5555" s="5" t="str">
        <v>590850682750</v>
      </c>
      <c r="E5555" s="0" t="e">
        <f>+7 (3472) 9950
+7 (383) 3832610
+7 (8342) 290134
+7 (8342) 290444
+7 (8342) 297169
+7 (8342) 777667
+7 (905) 3786577
+7 (927) 6413504</f>
        <v>#NAME?</v>
      </c>
      <c r="F5555" s="5" t="s">
        <v>41718</v>
      </c>
      <c r="G5555" s="5" t="s">
        <v>41719</v>
      </c>
      <c r="H5555" s="26">
        <v>18</v>
      </c>
      <c r="I5555" s="5" t="s">
        <v>41720</v>
      </c>
      <c r="J5555" s="5" t="s">
        <v>655</v>
      </c>
      <c r="K5555" s="5" t="s">
        <v>344</v>
      </c>
      <c r="L5555" s="5"/>
      <c r="M5555" s="27">
        <v>122922</v>
      </c>
      <c r="N5555" s="5" t="s">
        <v>57753</v>
      </c>
      <c r="O5555" s="5" t="str">
        <v>7810014283</v>
      </c>
      <c r="P5555" s="27">
        <v>841324743</v>
      </c>
      <c r="Q5555" s="5" t="s">
        <v>57754</v>
      </c>
      <c r="R5555" s="5"/>
      <c r="S5555" s="5" t="s">
        <v>57755</v>
      </c>
      <c r="T5555" s="28">
        <v>1114097000</v>
      </c>
      <c r="U5555" s="28">
        <v>22703000</v>
      </c>
      <c r="V5555" s="28">
        <v>2224652000</v>
      </c>
      <c r="W5555" s="28"/>
      <c r="X5555" s="28">
        <v>307566000</v>
      </c>
      <c r="Y5555" s="28">
        <v>7149617000</v>
      </c>
      <c r="Z5555" s="28">
        <v>1718763000</v>
      </c>
      <c r="AA5555" s="28"/>
      <c r="AB5555" s="28"/>
      <c r="AC5555" s="28">
        <v>4586714000</v>
      </c>
      <c r="AD5555" s="28">
        <v>2560088000</v>
      </c>
      <c r="AE5555" s="28">
        <v>11993393000</v>
      </c>
      <c r="AF5555" s="28">
        <v>829188000</v>
      </c>
      <c r="AG5555" s="11"/>
    </row>
    <row r="5556">
      <c r="A5556" s="7" t="s">
        <v>7164</v>
      </c>
      <c r="B5556" s="5" t="s">
        <v>15117</v>
      </c>
      <c r="C5556" s="5" t="s">
        <v>22810</v>
      </c>
      <c r="D5556" s="5" t="str">
        <v>503601547453</v>
      </c>
      <c r="E5556" s="0" t="e">
        <f>+7 (8452) 731994
+7 (8452) 920621
+7 (8452) 920740
+7 (8452) 921527
+7 (8452) 926406
+7 (8452) 929561
+7 (8452) 953398
+7 (8452) 985208
+7 (8452) 985209
+7 (8452) 985444
+7 (8452) 985577</f>
        <v>#NAME?</v>
      </c>
      <c r="F5556" s="5" t="s">
        <v>41721</v>
      </c>
      <c r="G5556" s="5" t="s">
        <v>41722</v>
      </c>
      <c r="H5556" s="26">
        <v>24</v>
      </c>
      <c r="I5556" s="5" t="s">
        <v>41723</v>
      </c>
      <c r="J5556" s="5" t="s">
        <v>29146</v>
      </c>
      <c r="K5556" s="5" t="s">
        <v>344</v>
      </c>
      <c r="L5556" s="5" t="s">
        <v>41724</v>
      </c>
      <c r="M5556" s="27"/>
      <c r="N5556" s="5" t="s">
        <v>57756</v>
      </c>
      <c r="O5556" s="5" t="str">
        <v>6451122250</v>
      </c>
      <c r="P5556" s="27">
        <v>641946493</v>
      </c>
      <c r="Q5556" s="5" t="s">
        <v>57757</v>
      </c>
      <c r="R5556" s="5"/>
      <c r="S5556" s="5" t="s">
        <v>49012</v>
      </c>
      <c r="T5556" s="28">
        <v>4495237000</v>
      </c>
      <c r="U5556" s="28"/>
      <c r="V5556" s="28">
        <v>9917331000</v>
      </c>
      <c r="W5556" s="28"/>
      <c r="X5556" s="28">
        <v>55000</v>
      </c>
      <c r="Y5556" s="28">
        <v>14960174000</v>
      </c>
      <c r="Z5556" s="28">
        <v>11235021000</v>
      </c>
      <c r="AA5556" s="28"/>
      <c r="AB5556" s="28"/>
      <c r="AC5556" s="28">
        <v>1506369000</v>
      </c>
      <c r="AD5556" s="28">
        <v>13087887000</v>
      </c>
      <c r="AE5556" s="28">
        <v>21903953000</v>
      </c>
      <c r="AF5556" s="28">
        <v>3348684000</v>
      </c>
      <c r="AG5556" s="11"/>
    </row>
    <row r="5557">
      <c r="A5557" s="7" t="s">
        <v>7165</v>
      </c>
      <c r="B5557" s="5" t="s">
        <v>15118</v>
      </c>
      <c r="C5557" s="5" t="s">
        <v>22811</v>
      </c>
      <c r="D5557" s="5" t="str">
        <v>644913955306</v>
      </c>
      <c r="E5557" s="0" t="e">
        <f>+7 (84537) 74349</f>
        <v>#NAME?</v>
      </c>
      <c r="F5557" s="5" t="s">
        <v>41725</v>
      </c>
      <c r="G5557" s="5"/>
      <c r="H5557" s="26">
        <v>2</v>
      </c>
      <c r="I5557" s="5" t="s">
        <v>41726</v>
      </c>
      <c r="J5557" s="5" t="s">
        <v>27464</v>
      </c>
      <c r="K5557" s="5" t="s">
        <v>344</v>
      </c>
      <c r="L5557" s="5"/>
      <c r="M5557" s="27"/>
      <c r="N5557" s="5"/>
      <c r="O5557" s="5" t="str">
        <v>6454126100</v>
      </c>
      <c r="P5557" s="27">
        <v>10000</v>
      </c>
      <c r="Q5557" s="5"/>
      <c r="R5557" s="5" t="s">
        <v>57758</v>
      </c>
      <c r="S5557" s="5" t="s">
        <v>49029</v>
      </c>
      <c r="T5557" s="28">
        <v>1844079000</v>
      </c>
      <c r="U5557" s="28">
        <v>4088000</v>
      </c>
      <c r="V5557" s="28">
        <v>1892652000</v>
      </c>
      <c r="W5557" s="28">
        <v>20800000</v>
      </c>
      <c r="X5557" s="28">
        <v>2212000</v>
      </c>
      <c r="Y5557" s="28">
        <v>5890656000</v>
      </c>
      <c r="Z5557" s="28">
        <v>1397932000</v>
      </c>
      <c r="AA5557" s="28">
        <v>1567999000</v>
      </c>
      <c r="AB5557" s="28">
        <v>800000000</v>
      </c>
      <c r="AC5557" s="28">
        <v>2794823000</v>
      </c>
      <c r="AD5557" s="28">
        <v>1397942000</v>
      </c>
      <c r="AE5557" s="28">
        <v>6979378000</v>
      </c>
      <c r="AF5557" s="28">
        <v>449106000</v>
      </c>
      <c r="AG5557" s="11"/>
    </row>
    <row r="5558">
      <c r="A5558" s="7" t="s">
        <v>7166</v>
      </c>
      <c r="B5558" s="5" t="s">
        <v>15119</v>
      </c>
      <c r="C5558" s="5" t="s">
        <v>22812</v>
      </c>
      <c r="D5558" s="5" t="str">
        <v>575304827311</v>
      </c>
      <c r="E5558" s="0" t="e">
        <f>+7 (495) 2694545
+7 (499) 9728222
+7 (800) 2008000
+7 (800) 7071811
+7 (83141) 18957
+7 (8452) 207389
+7 (8452) 210266
+7 (8452) 211211
+7 (800) 2000573
+7 (8352) 694545
+7 (8452) 164641
+7 (8452) 200259
+7 (8452) 216327
+7 (8452) 216337
+7 (8452) 219238</f>
        <v>#NAME?</v>
      </c>
      <c r="F5558" s="5" t="s">
        <v>41727</v>
      </c>
      <c r="G5558" s="5" t="s">
        <v>41728</v>
      </c>
      <c r="H5558" s="26">
        <v>30</v>
      </c>
      <c r="I5558" s="5" t="s">
        <v>41729</v>
      </c>
      <c r="J5558" s="5" t="s">
        <v>26623</v>
      </c>
      <c r="K5558" s="5" t="s">
        <v>344</v>
      </c>
      <c r="L5558" s="5"/>
      <c r="M5558" s="27">
        <v>28428609</v>
      </c>
      <c r="N5558" s="5" t="s">
        <v>57759</v>
      </c>
      <c r="O5558" s="5" t="str">
        <v>6450014808</v>
      </c>
      <c r="P5558" s="27">
        <v>128856327</v>
      </c>
      <c r="Q5558" s="5" t="s">
        <v>57760</v>
      </c>
      <c r="R5558" s="5"/>
      <c r="S5558" s="5" t="s">
        <v>55973</v>
      </c>
      <c r="T5558" s="28">
        <v>287590000</v>
      </c>
      <c r="U5558" s="28"/>
      <c r="V5558" s="28">
        <v>1738305000</v>
      </c>
      <c r="W5558" s="28"/>
      <c r="X5558" s="28">
        <v>432193000</v>
      </c>
      <c r="Y5558" s="28">
        <v>2747904000</v>
      </c>
      <c r="Z5558" s="28">
        <v>86827000</v>
      </c>
      <c r="AA5558" s="28">
        <v>95483000</v>
      </c>
      <c r="AB5558" s="28">
        <v>46100000</v>
      </c>
      <c r="AC5558" s="28">
        <v>2384979000</v>
      </c>
      <c r="AD5558" s="28">
        <v>245366000</v>
      </c>
      <c r="AE5558" s="28">
        <v>24674884000</v>
      </c>
      <c r="AF5558" s="28">
        <v>34024000</v>
      </c>
      <c r="AG5558" s="11"/>
    </row>
    <row r="5559">
      <c r="A5559" s="7" t="s">
        <v>7167</v>
      </c>
      <c r="B5559" s="5" t="s">
        <v>15120</v>
      </c>
      <c r="C5559" s="5" t="s">
        <v>22813</v>
      </c>
      <c r="D5559" s="5" t="str">
        <v>165704054154</v>
      </c>
      <c r="E5559" s="0" t="e">
        <f>+7 (855) 2747963
+7 (855) 2747964
+7 (927) 4717907
+7 (927) 4717918
+7 (927) 4717925
+7 (927) 4717926
+7 (937) 5898195</f>
        <v>#NAME?</v>
      </c>
      <c r="F5559" s="5" t="s">
        <v>41730</v>
      </c>
      <c r="G5559" s="5" t="s">
        <v>41731</v>
      </c>
      <c r="H5559" s="26">
        <v>16</v>
      </c>
      <c r="I5559" s="5" t="s">
        <v>41732</v>
      </c>
      <c r="J5559" s="5" t="s">
        <v>26057</v>
      </c>
      <c r="K5559" s="5" t="s">
        <v>344</v>
      </c>
      <c r="L5559" s="5" t="s">
        <v>41733</v>
      </c>
      <c r="M5559" s="27">
        <v>1007159</v>
      </c>
      <c r="N5559" s="5"/>
      <c r="O5559" s="5" t="str">
        <v>4811009629</v>
      </c>
      <c r="P5559" s="27">
        <v>264600000</v>
      </c>
      <c r="Q5559" s="5" t="s">
        <v>49009</v>
      </c>
      <c r="R5559" s="5"/>
      <c r="S5559" s="5" t="s">
        <v>49028</v>
      </c>
      <c r="T5559" s="28">
        <v>1627859000</v>
      </c>
      <c r="U5559" s="28">
        <v>145010000</v>
      </c>
      <c r="V5559" s="28">
        <v>718467000</v>
      </c>
      <c r="W5559" s="28">
        <v>92000000</v>
      </c>
      <c r="X5559" s="28">
        <v>370339000</v>
      </c>
      <c r="Y5559" s="28">
        <v>3444457000</v>
      </c>
      <c r="Z5559" s="28">
        <v>2059808000</v>
      </c>
      <c r="AA5559" s="28"/>
      <c r="AB5559" s="28"/>
      <c r="AC5559" s="28">
        <v>474295000</v>
      </c>
      <c r="AD5559" s="28">
        <v>2950520000</v>
      </c>
      <c r="AE5559" s="28">
        <v>4924652000</v>
      </c>
      <c r="AF5559" s="28">
        <v>1152169000</v>
      </c>
      <c r="AG5559" s="11"/>
    </row>
    <row r="5560">
      <c r="A5560" s="7" t="s">
        <v>7168</v>
      </c>
      <c r="B5560" s="5" t="s">
        <v>15121</v>
      </c>
      <c r="C5560" s="5" t="s">
        <v>22814</v>
      </c>
      <c r="D5560" s="5" t="str">
        <v>132810203861</v>
      </c>
      <c r="E5560" s="0" t="e">
        <f>+7 (927) 2764209
+7 (83449) 21458
+7 (83449) 21787
+7 (83449) 22382
+7 (83449) 22461
+7 (83449) 22480
+7 (83449) 22531
+7 (83449) 22702
+7 (83449) 22718
+7 (83449) 22755
+7 (83449) 22777</f>
        <v>#NAME?</v>
      </c>
      <c r="F5560" s="5" t="s">
        <v>41734</v>
      </c>
      <c r="G5560" s="5" t="s">
        <v>41735</v>
      </c>
      <c r="H5560" s="26">
        <v>16</v>
      </c>
      <c r="I5560" s="5" t="s">
        <v>41736</v>
      </c>
      <c r="J5560" s="5" t="s">
        <v>25231</v>
      </c>
      <c r="K5560" s="5" t="s">
        <v>344</v>
      </c>
      <c r="L5560" s="5" t="s">
        <v>41737</v>
      </c>
      <c r="M5560" s="27"/>
      <c r="N5560" s="5"/>
      <c r="O5560" s="5" t="str">
        <v>1309084255</v>
      </c>
      <c r="P5560" s="27">
        <v>1000000</v>
      </c>
      <c r="Q5560" s="5" t="s">
        <v>49009</v>
      </c>
      <c r="R5560" s="5"/>
      <c r="S5560" s="5" t="s">
        <v>49066</v>
      </c>
      <c r="T5560" s="28">
        <v>720979000</v>
      </c>
      <c r="U5560" s="28">
        <v>10000</v>
      </c>
      <c r="V5560" s="28">
        <v>999602000</v>
      </c>
      <c r="W5560" s="28">
        <v>10700000</v>
      </c>
      <c r="X5560" s="28">
        <v>6461000</v>
      </c>
      <c r="Y5560" s="28">
        <v>2597173000</v>
      </c>
      <c r="Z5560" s="28">
        <v>1004032000</v>
      </c>
      <c r="AA5560" s="28">
        <v>392819000</v>
      </c>
      <c r="AB5560" s="28">
        <v>245476000</v>
      </c>
      <c r="AC5560" s="28">
        <v>539932000</v>
      </c>
      <c r="AD5560" s="28">
        <v>1005032000</v>
      </c>
      <c r="AE5560" s="28">
        <v>3332016000</v>
      </c>
      <c r="AF5560" s="28">
        <v>289956000</v>
      </c>
      <c r="AG5560" s="11"/>
    </row>
    <row r="5561">
      <c r="A5561" s="7" t="s">
        <v>7169</v>
      </c>
      <c r="B5561" s="5" t="s">
        <v>15122</v>
      </c>
      <c r="C5561" s="5" t="s">
        <v>22815</v>
      </c>
      <c r="D5561" s="5" t="str">
        <v>780431233105</v>
      </c>
      <c r="E5561" s="0" t="e">
        <f>+7 (495) 3275327
+7 (812) 3358303</f>
        <v>#NAME?</v>
      </c>
      <c r="F5561" s="5" t="s">
        <v>41738</v>
      </c>
      <c r="G5561" s="5"/>
      <c r="H5561" s="26">
        <v>16.5</v>
      </c>
      <c r="I5561" s="5" t="s">
        <v>41739</v>
      </c>
      <c r="J5561" s="5" t="s">
        <v>26173</v>
      </c>
      <c r="K5561" s="5" t="s">
        <v>344</v>
      </c>
      <c r="L5561" s="5" t="s">
        <v>41740</v>
      </c>
      <c r="M5561" s="27">
        <v>1363712</v>
      </c>
      <c r="N5561" s="5" t="s">
        <v>57761</v>
      </c>
      <c r="O5561" s="5" t="str">
        <v>7816393060</v>
      </c>
      <c r="P5561" s="27">
        <v>8000000</v>
      </c>
      <c r="Q5561" s="5" t="s">
        <v>57762</v>
      </c>
      <c r="R5561" s="5"/>
      <c r="S5561" s="5" t="s">
        <v>57763</v>
      </c>
      <c r="T5561" s="28">
        <v>57050000</v>
      </c>
      <c r="U5561" s="28"/>
      <c r="V5561" s="28">
        <v>423840000</v>
      </c>
      <c r="W5561" s="28"/>
      <c r="X5561" s="28">
        <v>123588000</v>
      </c>
      <c r="Y5561" s="28">
        <v>1696271000</v>
      </c>
      <c r="Z5561" s="28">
        <v>1059147000</v>
      </c>
      <c r="AA5561" s="28"/>
      <c r="AB5561" s="28"/>
      <c r="AC5561" s="28">
        <v>562909000</v>
      </c>
      <c r="AD5561" s="28">
        <v>1067147000</v>
      </c>
      <c r="AE5561" s="28">
        <v>4756431000</v>
      </c>
      <c r="AF5561" s="28">
        <v>268335000</v>
      </c>
      <c r="AG5561" s="11"/>
    </row>
    <row r="5562">
      <c r="A5562" s="7" t="s">
        <v>7170</v>
      </c>
      <c r="B5562" s="5" t="s">
        <v>15123</v>
      </c>
      <c r="C5562" s="5" t="s">
        <v>22816</v>
      </c>
      <c r="D5562" s="5" t="str">
        <v>650901013042</v>
      </c>
      <c r="E5562" s="0" t="e">
        <f>+7 (915) 4861414
+7 (424) 2280228
+7 (495) 2044411
+7 (914) 6202254
+7 (964) 4404052</f>
        <v>#NAME?</v>
      </c>
      <c r="F5562" s="5" t="s">
        <v>41741</v>
      </c>
      <c r="G5562" s="5"/>
      <c r="H5562" s="26">
        <v>9</v>
      </c>
      <c r="I5562" s="5"/>
      <c r="J5562" s="5" t="s">
        <v>599</v>
      </c>
      <c r="K5562" s="5" t="s">
        <v>344</v>
      </c>
      <c r="L5562" s="5" t="s">
        <v>41742</v>
      </c>
      <c r="M5562" s="27">
        <v>4965500</v>
      </c>
      <c r="N5562" s="5" t="s">
        <v>57764</v>
      </c>
      <c r="O5562" s="5" t="str">
        <v>7743912881</v>
      </c>
      <c r="P5562" s="27">
        <v>10000</v>
      </c>
      <c r="Q5562" s="5" t="s">
        <v>49021</v>
      </c>
      <c r="R5562" s="5"/>
      <c r="S5562" s="5" t="s">
        <v>57765</v>
      </c>
      <c r="T5562" s="28">
        <v>32176000</v>
      </c>
      <c r="U5562" s="28"/>
      <c r="V5562" s="28">
        <v>377152000</v>
      </c>
      <c r="W5562" s="28">
        <v>20000000</v>
      </c>
      <c r="X5562" s="28">
        <v>24164000</v>
      </c>
      <c r="Y5562" s="28">
        <v>582716000</v>
      </c>
      <c r="Z5562" s="28">
        <v>32837000</v>
      </c>
      <c r="AA5562" s="28"/>
      <c r="AB5562" s="28"/>
      <c r="AC5562" s="28">
        <v>541441000</v>
      </c>
      <c r="AD5562" s="28">
        <v>32847000</v>
      </c>
      <c r="AE5562" s="28">
        <v>4706594000</v>
      </c>
      <c r="AF5562" s="28">
        <v>27110000</v>
      </c>
      <c r="AG5562" s="11"/>
    </row>
    <row r="5563">
      <c r="A5563" s="7" t="s">
        <v>7171</v>
      </c>
      <c r="B5563" s="5" t="s">
        <v>15124</v>
      </c>
      <c r="C5563" s="5" t="s">
        <v>22817</v>
      </c>
      <c r="D5563" s="5" t="str">
        <v>540210283107</v>
      </c>
      <c r="E5563" s="0" t="e">
        <f>+7 (384) 6641644</f>
        <v>#NAME?</v>
      </c>
      <c r="F5563" s="5"/>
      <c r="G5563" s="5" t="s">
        <v>41743</v>
      </c>
      <c r="H5563" s="26">
        <v>11.5</v>
      </c>
      <c r="I5563" s="5" t="s">
        <v>41744</v>
      </c>
      <c r="J5563" s="5" t="s">
        <v>866</v>
      </c>
      <c r="K5563" s="5" t="s">
        <v>355</v>
      </c>
      <c r="L5563" s="5"/>
      <c r="M5563" s="27"/>
      <c r="N5563" s="5" t="s">
        <v>52200</v>
      </c>
      <c r="O5563" s="5" t="str">
        <v>5405436926</v>
      </c>
      <c r="P5563" s="27">
        <v>10000</v>
      </c>
      <c r="Q5563" s="5"/>
      <c r="R5563" s="5"/>
      <c r="S5563" s="5" t="s">
        <v>49496</v>
      </c>
      <c r="T5563" s="28">
        <v>1699069000</v>
      </c>
      <c r="U5563" s="28"/>
      <c r="V5563" s="28">
        <v>576173000</v>
      </c>
      <c r="W5563" s="28">
        <v>231448000</v>
      </c>
      <c r="X5563" s="28">
        <v>274844000</v>
      </c>
      <c r="Y5563" s="28">
        <v>3350968000</v>
      </c>
      <c r="Z5563" s="28">
        <v>970403000</v>
      </c>
      <c r="AA5563" s="28">
        <v>112350000</v>
      </c>
      <c r="AB5563" s="28">
        <v>295998000</v>
      </c>
      <c r="AC5563" s="28">
        <v>1532344000</v>
      </c>
      <c r="AD5563" s="28">
        <v>970413000</v>
      </c>
      <c r="AE5563" s="28">
        <v>3711696000</v>
      </c>
      <c r="AF5563" s="28">
        <v>394572000</v>
      </c>
      <c r="AG5563" s="11"/>
    </row>
    <row r="5564">
      <c r="A5564" s="7" t="s">
        <v>7172</v>
      </c>
      <c r="B5564" s="5" t="s">
        <v>15125</v>
      </c>
      <c r="C5564" s="5" t="s">
        <v>22818</v>
      </c>
      <c r="D5564" s="5" t="str">
        <v>741114508570</v>
      </c>
      <c r="E5564" s="0" t="e">
        <f>+7 (343) 9398002
+7 (34349) 27485
+7 (34388) 20567</f>
        <v>#NAME?</v>
      </c>
      <c r="F5564" s="5" t="s">
        <v>41745</v>
      </c>
      <c r="G5564" s="5"/>
      <c r="H5564" s="26">
        <v>12.5</v>
      </c>
      <c r="I5564" s="5" t="s">
        <v>26741</v>
      </c>
      <c r="J5564" s="5" t="s">
        <v>26655</v>
      </c>
      <c r="K5564" s="5" t="s">
        <v>344</v>
      </c>
      <c r="L5564" s="5" t="s">
        <v>41746</v>
      </c>
      <c r="M5564" s="27">
        <v>995383</v>
      </c>
      <c r="N5564" s="5" t="s">
        <v>57766</v>
      </c>
      <c r="O5564" s="5" t="str">
        <v>6674363072</v>
      </c>
      <c r="P5564" s="27">
        <v>250000</v>
      </c>
      <c r="Q5564" s="5"/>
      <c r="R5564" s="5"/>
      <c r="S5564" s="5" t="s">
        <v>49110</v>
      </c>
      <c r="T5564" s="28">
        <v>748126000</v>
      </c>
      <c r="U5564" s="28"/>
      <c r="V5564" s="28">
        <v>2283000</v>
      </c>
      <c r="W5564" s="28"/>
      <c r="X5564" s="28">
        <v>306748000</v>
      </c>
      <c r="Y5564" s="28">
        <v>2169556000</v>
      </c>
      <c r="Z5564" s="28">
        <v>286456000</v>
      </c>
      <c r="AA5564" s="28"/>
      <c r="AB5564" s="28"/>
      <c r="AC5564" s="28">
        <v>1160006000</v>
      </c>
      <c r="AD5564" s="28">
        <v>286706000</v>
      </c>
      <c r="AE5564" s="28">
        <v>17106478000</v>
      </c>
      <c r="AF5564" s="28">
        <v>944294000</v>
      </c>
      <c r="AG5564" s="11"/>
    </row>
    <row r="5565">
      <c r="A5565" s="7" t="s">
        <v>7173</v>
      </c>
      <c r="B5565" s="5" t="s">
        <v>15126</v>
      </c>
      <c r="C5565" s="5" t="s">
        <v>22819</v>
      </c>
      <c r="D5565" s="5" t="str">
        <v>770901995612</v>
      </c>
      <c r="E5565" s="0" t="e">
        <f>+7 (495) 1063090
+7 (495) 9416261
+7 (985) 9262608</f>
        <v>#NAME?</v>
      </c>
      <c r="F5565" s="5" t="s">
        <v>41747</v>
      </c>
      <c r="G5565" s="5"/>
      <c r="H5565" s="26">
        <v>10</v>
      </c>
      <c r="I5565" s="5" t="s">
        <v>41748</v>
      </c>
      <c r="J5565" s="5" t="s">
        <v>27182</v>
      </c>
      <c r="K5565" s="5" t="s">
        <v>344</v>
      </c>
      <c r="L5565" s="5" t="s">
        <v>41749</v>
      </c>
      <c r="M5565" s="27">
        <v>2795275</v>
      </c>
      <c r="N5565" s="5" t="s">
        <v>49153</v>
      </c>
      <c r="O5565" s="5" t="str">
        <v>7725790373</v>
      </c>
      <c r="P5565" s="27">
        <v>1500010000</v>
      </c>
      <c r="Q5565" s="5" t="s">
        <v>57768</v>
      </c>
      <c r="R5565" s="5"/>
      <c r="S5565" s="5" t="s">
        <v>57769</v>
      </c>
      <c r="T5565" s="28">
        <v>24207000</v>
      </c>
      <c r="U5565" s="28">
        <v>1500000000</v>
      </c>
      <c r="V5565" s="28">
        <v>35299359000</v>
      </c>
      <c r="W5565" s="28">
        <v>138435000</v>
      </c>
      <c r="X5565" s="28">
        <v>326109000</v>
      </c>
      <c r="Y5565" s="28">
        <v>67661960000</v>
      </c>
      <c r="Z5565" s="28">
        <v>1263289000</v>
      </c>
      <c r="AA5565" s="28">
        <v>4903150000</v>
      </c>
      <c r="AB5565" s="28">
        <v>12075133000</v>
      </c>
      <c r="AC5565" s="28">
        <v>42597549000</v>
      </c>
      <c r="AD5565" s="28">
        <v>2783539000</v>
      </c>
      <c r="AE5565" s="28">
        <v>6248680000</v>
      </c>
      <c r="AF5565" s="28">
        <v>1558023000</v>
      </c>
      <c r="AG5565" s="11"/>
    </row>
    <row r="5566">
      <c r="A5566" s="7" t="s">
        <v>7174</v>
      </c>
      <c r="B5566" s="5" t="s">
        <v>15127</v>
      </c>
      <c r="C5566" s="5" t="s">
        <v>22820</v>
      </c>
      <c r="D5566" s="5" t="str">
        <v>590600214125</v>
      </c>
      <c r="E5566" s="0" t="e">
        <f>+7 (3422) 178910
+7 (902) 4799338
+7 (965) 5565757
+7 (3422) 385515
+7 (34260) 44747
+7 (912) 8850862</f>
        <v>#NAME?</v>
      </c>
      <c r="F5566" s="5" t="s">
        <v>41750</v>
      </c>
      <c r="G5566" s="5"/>
      <c r="H5566" s="26">
        <v>18.5</v>
      </c>
      <c r="I5566" s="5" t="s">
        <v>41751</v>
      </c>
      <c r="J5566" s="5" t="s">
        <v>25674</v>
      </c>
      <c r="K5566" s="5" t="s">
        <v>344</v>
      </c>
      <c r="L5566" s="5" t="s">
        <v>41752</v>
      </c>
      <c r="M5566" s="27"/>
      <c r="N5566" s="5" t="s">
        <v>57770</v>
      </c>
      <c r="O5566" s="5" t="str">
        <v>4501110065</v>
      </c>
      <c r="P5566" s="27">
        <v>10010000</v>
      </c>
      <c r="Q5566" s="5" t="s">
        <v>57771</v>
      </c>
      <c r="R5566" s="5"/>
      <c r="S5566" s="5" t="s">
        <v>57772</v>
      </c>
      <c r="T5566" s="28">
        <v>160198000</v>
      </c>
      <c r="U5566" s="28"/>
      <c r="V5566" s="28">
        <v>390167000</v>
      </c>
      <c r="W5566" s="28"/>
      <c r="X5566" s="28">
        <v>121280000</v>
      </c>
      <c r="Y5566" s="28">
        <v>1785459000</v>
      </c>
      <c r="Z5566" s="28">
        <v>664165000</v>
      </c>
      <c r="AA5566" s="28"/>
      <c r="AB5566" s="28">
        <v>894000000</v>
      </c>
      <c r="AC5566" s="28">
        <v>1111253000</v>
      </c>
      <c r="AD5566" s="28">
        <v>674175000</v>
      </c>
      <c r="AE5566" s="28">
        <v>6254215000</v>
      </c>
      <c r="AF5566" s="28">
        <v>69439000</v>
      </c>
      <c r="AG5566" s="11"/>
    </row>
    <row r="5567">
      <c r="A5567" s="7" t="s">
        <v>7175</v>
      </c>
      <c r="B5567" s="5" t="s">
        <v>15128</v>
      </c>
      <c r="C5567" s="5" t="s">
        <v>22821</v>
      </c>
      <c r="D5567" s="5" t="str">
        <v>771604557978</v>
      </c>
      <c r="E5567" s="0" t="e">
        <f>+7 (495) 5101315
+7 (3522) 428796
+7 (3522) 428797
+7 (3522) 600127
+7 (473) 2106525
+7 (473) 2106526
+7 (473) 2649702
+7 (473) 2679700
+7 (473) 2679701
+7 (48731) 78780
+7 (48731) 78781
+7 (495) 5101309
+7 (495) 5101314
+7 (4986) 995336
+7 (4986) 995376</f>
        <v>#NAME?</v>
      </c>
      <c r="F5567" s="5" t="s">
        <v>41753</v>
      </c>
      <c r="G5567" s="5"/>
      <c r="H5567" s="26">
        <v>24.5</v>
      </c>
      <c r="I5567" s="5" t="s">
        <v>41754</v>
      </c>
      <c r="J5567" s="5" t="s">
        <v>26959</v>
      </c>
      <c r="K5567" s="5" t="s">
        <v>344</v>
      </c>
      <c r="L5567" s="5" t="s">
        <v>41755</v>
      </c>
      <c r="M5567" s="27"/>
      <c r="N5567" s="5"/>
      <c r="O5567" s="5" t="str">
        <v>7826691266</v>
      </c>
      <c r="P5567" s="27">
        <v>418867545</v>
      </c>
      <c r="Q5567" s="5" t="s">
        <v>49059</v>
      </c>
      <c r="R5567" s="5"/>
      <c r="S5567" s="5" t="s">
        <v>49066</v>
      </c>
      <c r="T5567" s="28">
        <v>5608889000</v>
      </c>
      <c r="U5567" s="28"/>
      <c r="V5567" s="28">
        <v>1309068000</v>
      </c>
      <c r="W5567" s="28"/>
      <c r="X5567" s="28">
        <v>1576830000</v>
      </c>
      <c r="Y5567" s="28">
        <v>10293727000</v>
      </c>
      <c r="Z5567" s="28">
        <v>8713783000</v>
      </c>
      <c r="AA5567" s="28"/>
      <c r="AB5567" s="28"/>
      <c r="AC5567" s="28">
        <v>909469000</v>
      </c>
      <c r="AD5567" s="28">
        <v>9195502000</v>
      </c>
      <c r="AE5567" s="28">
        <v>8258968000</v>
      </c>
      <c r="AF5567" s="28">
        <v>1643274000</v>
      </c>
      <c r="AG5567" s="11"/>
    </row>
    <row r="5568">
      <c r="A5568" s="7" t="s">
        <v>7176</v>
      </c>
      <c r="B5568" s="5" t="s">
        <v>15129</v>
      </c>
      <c r="C5568" s="5" t="s">
        <v>18866</v>
      </c>
      <c r="D5568" s="5"/>
      <c r="E5568" s="0" t="e">
        <f>+7 (343) 2830415
+7 (34364) 31710
+7 (34364) 31825
+7 (34364) 31833
+7 (34364) 31930
+7 (34364) 77112
+7 (34364) 77123
+7 (34368) 77112
+7 (34368) 77113</f>
        <v>#NAME?</v>
      </c>
      <c r="F5568" s="5" t="s">
        <v>41756</v>
      </c>
      <c r="G5568" s="5" t="s">
        <v>41757</v>
      </c>
      <c r="H5568" s="26">
        <v>30</v>
      </c>
      <c r="I5568" s="5"/>
      <c r="J5568" s="5" t="s">
        <v>27791</v>
      </c>
      <c r="K5568" s="5" t="s">
        <v>344</v>
      </c>
      <c r="L5568" s="5"/>
      <c r="M5568" s="27"/>
      <c r="N5568" s="5"/>
      <c r="O5568" s="5" t="str">
        <v>6628002547</v>
      </c>
      <c r="P5568" s="27">
        <v>20500000</v>
      </c>
      <c r="Q5568" s="5"/>
      <c r="R5568" s="5"/>
      <c r="S5568" s="5" t="s">
        <v>52009</v>
      </c>
      <c r="T5568" s="28">
        <v>5453842000</v>
      </c>
      <c r="U5568" s="28">
        <v>3746000</v>
      </c>
      <c r="V5568" s="28">
        <v>3016664000</v>
      </c>
      <c r="W5568" s="28"/>
      <c r="X5568" s="28">
        <v>340480000</v>
      </c>
      <c r="Y5568" s="28">
        <v>10068705000</v>
      </c>
      <c r="Z5568" s="28">
        <v>8558169000</v>
      </c>
      <c r="AA5568" s="28"/>
      <c r="AB5568" s="28"/>
      <c r="AC5568" s="28">
        <v>1132715000</v>
      </c>
      <c r="AD5568" s="28">
        <v>8579694000</v>
      </c>
      <c r="AE5568" s="28">
        <v>6305317000</v>
      </c>
      <c r="AF5568" s="28">
        <v>896741000</v>
      </c>
      <c r="AG5568" s="11"/>
    </row>
    <row r="5569">
      <c r="A5569" s="7" t="s">
        <v>7177</v>
      </c>
      <c r="B5569" s="5" t="s">
        <v>15130</v>
      </c>
      <c r="C5569" s="5" t="s">
        <v>22822</v>
      </c>
      <c r="D5569" s="5" t="str">
        <v>650801070400</v>
      </c>
      <c r="E5569" s="0" t="e">
        <f>+7 (424) 2400118
+7 (914) 7556090
+7 (424) 2773798</f>
        <v>#NAME?</v>
      </c>
      <c r="F5569" s="5"/>
      <c r="G5569" s="5"/>
      <c r="H5569" s="26">
        <v>10</v>
      </c>
      <c r="I5569" s="5" t="s">
        <v>41758</v>
      </c>
      <c r="J5569" s="5" t="s">
        <v>25986</v>
      </c>
      <c r="K5569" s="5" t="s">
        <v>344</v>
      </c>
      <c r="L5569" s="5" t="s">
        <v>41759</v>
      </c>
      <c r="M5569" s="27"/>
      <c r="N5569" s="5" t="s">
        <v>57773</v>
      </c>
      <c r="O5569" s="5" t="str">
        <v>6501253973</v>
      </c>
      <c r="P5569" s="27">
        <v>10000</v>
      </c>
      <c r="Q5569" s="5"/>
      <c r="R5569" s="5"/>
      <c r="S5569" s="5" t="s">
        <v>49991</v>
      </c>
      <c r="T5569" s="28">
        <v>10091000</v>
      </c>
      <c r="U5569" s="28"/>
      <c r="V5569" s="28">
        <v>297350000</v>
      </c>
      <c r="W5569" s="28">
        <v>133020000</v>
      </c>
      <c r="X5569" s="28">
        <v>41047000</v>
      </c>
      <c r="Y5569" s="28">
        <v>1285398000</v>
      </c>
      <c r="Z5569" s="28">
        <v>1181074000</v>
      </c>
      <c r="AA5569" s="28">
        <v>11218000</v>
      </c>
      <c r="AB5569" s="28">
        <v>1450000</v>
      </c>
      <c r="AC5569" s="28">
        <v>93093000</v>
      </c>
      <c r="AD5569" s="28">
        <v>1181084000</v>
      </c>
      <c r="AE5569" s="28">
        <v>3102435000</v>
      </c>
      <c r="AF5569" s="28">
        <v>331068000</v>
      </c>
      <c r="AG5569" s="11"/>
    </row>
    <row r="5570">
      <c r="A5570" s="7" t="s">
        <v>7178</v>
      </c>
      <c r="B5570" s="5" t="s">
        <v>15131</v>
      </c>
      <c r="C5570" s="5" t="s">
        <v>17986</v>
      </c>
      <c r="D5570" s="5" t="str">
        <v>253604415635</v>
      </c>
      <c r="E5570" s="0" t="e">
        <f>+7 (424) 2434300
+7 (415) 2415815
+7 (415) 2415816
+7 (424) 2429328
+7 (424) 2571147
+7 (424) 3352095
+7 (42433) 52295
+7 (815) 2637637</f>
        <v>#NAME?</v>
      </c>
      <c r="F5570" s="5" t="s">
        <v>41760</v>
      </c>
      <c r="G5570" s="5"/>
      <c r="H5570" s="26">
        <v>25.5</v>
      </c>
      <c r="I5570" s="5"/>
      <c r="J5570" s="5" t="s">
        <v>26979</v>
      </c>
      <c r="K5570" s="5" t="s">
        <v>344</v>
      </c>
      <c r="L5570" s="5"/>
      <c r="M5570" s="27"/>
      <c r="N5570" s="5"/>
      <c r="O5570" s="5" t="str">
        <v>6509006140</v>
      </c>
      <c r="P5570" s="27">
        <v>500000</v>
      </c>
      <c r="Q5570" s="5"/>
      <c r="R5570" s="5"/>
      <c r="S5570" s="5" t="s">
        <v>49029</v>
      </c>
      <c r="T5570" s="28">
        <v>3298431000</v>
      </c>
      <c r="U5570" s="28"/>
      <c r="V5570" s="28">
        <v>3483101000</v>
      </c>
      <c r="W5570" s="28"/>
      <c r="X5570" s="28">
        <v>1984609000</v>
      </c>
      <c r="Y5570" s="28">
        <v>10456005000</v>
      </c>
      <c r="Z5570" s="28">
        <v>-1432382000</v>
      </c>
      <c r="AA5570" s="28">
        <v>4977224000</v>
      </c>
      <c r="AB5570" s="28">
        <v>1707536000</v>
      </c>
      <c r="AC5570" s="28">
        <v>4641218000</v>
      </c>
      <c r="AD5570" s="28">
        <v>-1428982000</v>
      </c>
      <c r="AE5570" s="28">
        <v>7426975000</v>
      </c>
      <c r="AF5570" s="28">
        <v>1272785000</v>
      </c>
      <c r="AG5570" s="11"/>
    </row>
    <row r="5571">
      <c r="A5571" s="7" t="s">
        <v>7179</v>
      </c>
      <c r="B5571" s="5" t="s">
        <v>15132</v>
      </c>
      <c r="C5571" s="5" t="s">
        <v>22823</v>
      </c>
      <c r="D5571" s="5" t="str">
        <v>501303788851</v>
      </c>
      <c r="E5571" s="0" t="e">
        <f>+7 (424) 2723487
+7 (424) 2456000
+7 (424) 2456035
+7 (424) 2456115
+7 (424) 2722847
+7 (424) 2723269
+7 (424) 2770940</f>
        <v>#NAME?</v>
      </c>
      <c r="F5571" s="5"/>
      <c r="G5571" s="5" t="s">
        <v>41761</v>
      </c>
      <c r="H5571" s="26">
        <v>25.5</v>
      </c>
      <c r="I5571" s="5"/>
      <c r="J5571" s="5" t="s">
        <v>364</v>
      </c>
      <c r="K5571" s="5" t="s">
        <v>344</v>
      </c>
      <c r="L5571" s="5"/>
      <c r="M5571" s="27">
        <v>6944714</v>
      </c>
      <c r="N5571" s="5" t="s">
        <v>57774</v>
      </c>
      <c r="O5571" s="5" t="str">
        <v>6501092074</v>
      </c>
      <c r="P5571" s="27">
        <v>98400000</v>
      </c>
      <c r="Q5571" s="5" t="s">
        <v>57775</v>
      </c>
      <c r="R5571" s="5" t="s">
        <v>57776</v>
      </c>
      <c r="S5571" s="5" t="s">
        <v>57777</v>
      </c>
      <c r="T5571" s="28">
        <v>495171000</v>
      </c>
      <c r="U5571" s="28">
        <v>211785000</v>
      </c>
      <c r="V5571" s="28">
        <v>273393000</v>
      </c>
      <c r="W5571" s="28">
        <v>3000000</v>
      </c>
      <c r="X5571" s="28">
        <v>237006000</v>
      </c>
      <c r="Y5571" s="28">
        <v>2935903000</v>
      </c>
      <c r="Z5571" s="28">
        <v>766202000</v>
      </c>
      <c r="AA5571" s="28">
        <v>80656000</v>
      </c>
      <c r="AB5571" s="28">
        <v>238973000</v>
      </c>
      <c r="AC5571" s="28">
        <v>1877499000</v>
      </c>
      <c r="AD5571" s="28">
        <v>889202000</v>
      </c>
      <c r="AE5571" s="28">
        <v>3229938000</v>
      </c>
      <c r="AF5571" s="28">
        <v>13847000</v>
      </c>
      <c r="AG5571" s="11"/>
    </row>
    <row r="5572">
      <c r="A5572" s="7" t="s">
        <v>7180</v>
      </c>
      <c r="B5572" s="5" t="s">
        <v>15133</v>
      </c>
      <c r="C5572" s="5" t="s">
        <v>22824</v>
      </c>
      <c r="D5572" s="5" t="str">
        <v>650107031377</v>
      </c>
      <c r="E5572" s="0" t="e">
        <f>+7 (424) 2551562
+7 (424) 2738174
+7 (424) 2499805
+7 (42435) 40976
+7 (42435) 45354
+7 (424) 2429163
+7 (424) 2499812
+7 (424) 2730016
+7 (424) 2736600
+7 (424) 2751446
+7 (424) 2754602
+7 (42433) 97735</f>
        <v>#NAME?</v>
      </c>
      <c r="F5572" s="5" t="s">
        <v>41762</v>
      </c>
      <c r="G5572" s="5" t="s">
        <v>41763</v>
      </c>
      <c r="H5572" s="26">
        <v>25.5</v>
      </c>
      <c r="I5572" s="5" t="s">
        <v>41764</v>
      </c>
      <c r="J5572" s="5" t="s">
        <v>28451</v>
      </c>
      <c r="K5572" s="5" t="s">
        <v>344</v>
      </c>
      <c r="L5572" s="5" t="s">
        <v>41765</v>
      </c>
      <c r="M5572" s="27"/>
      <c r="N5572" s="5" t="s">
        <v>57778</v>
      </c>
      <c r="O5572" s="5" t="str">
        <v>6501090599</v>
      </c>
      <c r="P5572" s="27">
        <v>200000</v>
      </c>
      <c r="Q5572" s="5" t="s">
        <v>57779</v>
      </c>
      <c r="R5572" s="5"/>
      <c r="S5572" s="5" t="s">
        <v>57780</v>
      </c>
      <c r="T5572" s="28">
        <v>3221611000</v>
      </c>
      <c r="U5572" s="28">
        <v>597627000</v>
      </c>
      <c r="V5572" s="28">
        <v>932520000</v>
      </c>
      <c r="W5572" s="28"/>
      <c r="X5572" s="28">
        <v>470951000</v>
      </c>
      <c r="Y5572" s="28">
        <v>5560387000</v>
      </c>
      <c r="Z5572" s="28">
        <v>3990627000</v>
      </c>
      <c r="AA5572" s="28"/>
      <c r="AB5572" s="28">
        <v>49000000</v>
      </c>
      <c r="AC5572" s="28">
        <v>567684000</v>
      </c>
      <c r="AD5572" s="28">
        <v>3990827000</v>
      </c>
      <c r="AE5572" s="28">
        <v>3325009000</v>
      </c>
      <c r="AF5572" s="28">
        <v>518504000</v>
      </c>
      <c r="AG5572" s="11"/>
    </row>
    <row r="5573">
      <c r="A5573" s="7" t="s">
        <v>7181</v>
      </c>
      <c r="B5573" s="5" t="s">
        <v>15134</v>
      </c>
      <c r="C5573" s="5" t="s">
        <v>22825</v>
      </c>
      <c r="D5573" s="5" t="str">
        <v>250106455534</v>
      </c>
      <c r="E5573" s="0" t="e">
        <f>+7 (421) 2782007
+7 (424) 2423944
+7 (424) 2431834
+7 (424) 2782007
+7 (424) 2782029
+7 (424) 2782056
+7 (424) 2782061
+7 (424) 2782102
+7 (424) 2782103
+7 (424) 2782104
+7 (424) 2782105
+7 (424) 2782108
+7 (424) 2782109
+7 (424) 2782115
+7 (424) 2782116</f>
        <v>#NAME?</v>
      </c>
      <c r="F5573" s="5" t="s">
        <v>41766</v>
      </c>
      <c r="G5573" s="5" t="s">
        <v>41767</v>
      </c>
      <c r="H5573" s="26">
        <v>29.5</v>
      </c>
      <c r="I5573" s="5" t="s">
        <v>41768</v>
      </c>
      <c r="J5573" s="5" t="s">
        <v>27640</v>
      </c>
      <c r="K5573" s="5" t="s">
        <v>355</v>
      </c>
      <c r="L5573" s="5"/>
      <c r="M5573" s="27">
        <v>249096470</v>
      </c>
      <c r="N5573" s="5" t="s">
        <v>57781</v>
      </c>
      <c r="O5573" s="5" t="str">
        <v>6500000024</v>
      </c>
      <c r="P5573" s="27">
        <v>12371754440</v>
      </c>
      <c r="Q5573" s="5" t="s">
        <v>57782</v>
      </c>
      <c r="R5573" s="5"/>
      <c r="S5573" s="5" t="s">
        <v>49288</v>
      </c>
      <c r="T5573" s="28">
        <v>18063653000</v>
      </c>
      <c r="U5573" s="28">
        <v>9464939000</v>
      </c>
      <c r="V5573" s="28">
        <v>3997364000</v>
      </c>
      <c r="W5573" s="28"/>
      <c r="X5573" s="28">
        <v>1872469000</v>
      </c>
      <c r="Y5573" s="28">
        <v>38806803000</v>
      </c>
      <c r="Z5573" s="28">
        <v>-5054263000</v>
      </c>
      <c r="AA5573" s="28">
        <v>17443361000</v>
      </c>
      <c r="AB5573" s="28">
        <v>2461647000</v>
      </c>
      <c r="AC5573" s="28">
        <v>5944848000</v>
      </c>
      <c r="AD5573" s="28">
        <v>13930208000</v>
      </c>
      <c r="AE5573" s="28">
        <v>15511331000</v>
      </c>
      <c r="AF5573" s="28">
        <v>-4168828000</v>
      </c>
      <c r="AG5573" s="11"/>
    </row>
    <row r="5574">
      <c r="A5574" s="7" t="s">
        <v>7182</v>
      </c>
      <c r="B5574" s="5" t="s">
        <v>15135</v>
      </c>
      <c r="C5574" s="5" t="s">
        <v>22826</v>
      </c>
      <c r="D5574" s="5" t="str">
        <v>142601760311</v>
      </c>
      <c r="E5574" s="0" t="e">
        <f>+7 (411) 2318911
+7 (411) 2720200
+7 (416) 2340428
+7 (8412) 453006
+7 (914) 1234561
+7 (914) 7279760
+7 (411) 2426565
+7 (411) 2426778
+7 (411) 2453006
+7 (411) 2453527
+7 (41153) 41070
+7 (41153) 41414
+7 (41153) 41732
+7 (41157) 23354
+7 (41166) 26461</f>
        <v>#NAME?</v>
      </c>
      <c r="F5574" s="5" t="s">
        <v>41769</v>
      </c>
      <c r="G5574" s="5" t="s">
        <v>41770</v>
      </c>
      <c r="H5574" s="26">
        <v>22.5</v>
      </c>
      <c r="I5574" s="5" t="s">
        <v>41771</v>
      </c>
      <c r="J5574" s="5" t="s">
        <v>27115</v>
      </c>
      <c r="K5574" s="5" t="s">
        <v>344</v>
      </c>
      <c r="L5574" s="5"/>
      <c r="M5574" s="27">
        <v>887391033</v>
      </c>
      <c r="N5574" s="5" t="s">
        <v>57783</v>
      </c>
      <c r="O5574" s="5" t="str">
        <v>1435115270</v>
      </c>
      <c r="P5574" s="27">
        <v>4242503214</v>
      </c>
      <c r="Q5574" s="5" t="s">
        <v>57784</v>
      </c>
      <c r="R5574" s="5"/>
      <c r="S5574" s="5" t="s">
        <v>57785</v>
      </c>
      <c r="T5574" s="28">
        <v>6451838000</v>
      </c>
      <c r="U5574" s="28">
        <v>83193000</v>
      </c>
      <c r="V5574" s="28">
        <v>1531488000</v>
      </c>
      <c r="W5574" s="28">
        <v>26366000</v>
      </c>
      <c r="X5574" s="28">
        <v>676860000</v>
      </c>
      <c r="Y5574" s="28">
        <v>20283647000</v>
      </c>
      <c r="Z5574" s="28">
        <v>-325603000</v>
      </c>
      <c r="AA5574" s="28">
        <v>10300000000</v>
      </c>
      <c r="AB5574" s="28">
        <v>3346497000</v>
      </c>
      <c r="AC5574" s="28">
        <v>5084418000</v>
      </c>
      <c r="AD5574" s="28">
        <v>4846744000</v>
      </c>
      <c r="AE5574" s="28">
        <v>19415682000</v>
      </c>
      <c r="AF5574" s="28">
        <v>98200000</v>
      </c>
      <c r="AG5574" s="11"/>
    </row>
    <row r="5575">
      <c r="A5575" s="7" t="s">
        <v>7183</v>
      </c>
      <c r="B5575" s="5" t="s">
        <v>15136</v>
      </c>
      <c r="C5575" s="5" t="s">
        <v>22827</v>
      </c>
      <c r="D5575" s="5" t="str">
        <v>233502235302</v>
      </c>
      <c r="E5575" s="0" t="e">
        <f>+7 (86132) 94555
+7 (86135) 21177
+7 (86135) 25470
+7 (86135) 28431
+7 (86135) 41336
+7 (86135) 51420
+7 (86135) 94520
+7 (86135) 94555
+7 (86135) 94593</f>
        <v>#NAME?</v>
      </c>
      <c r="F5575" s="5" t="s">
        <v>41772</v>
      </c>
      <c r="G5575" s="5"/>
      <c r="H5575" s="26">
        <v>28</v>
      </c>
      <c r="I5575" s="5"/>
      <c r="J5575" s="5" t="s">
        <v>25994</v>
      </c>
      <c r="K5575" s="5" t="s">
        <v>344</v>
      </c>
      <c r="L5575" s="5" t="s">
        <v>41773</v>
      </c>
      <c r="M5575" s="27">
        <v>367010</v>
      </c>
      <c r="N5575" s="5" t="s">
        <v>57786</v>
      </c>
      <c r="O5575" s="5" t="str">
        <v>2356030749</v>
      </c>
      <c r="P5575" s="27">
        <v>6415000</v>
      </c>
      <c r="Q5575" s="5"/>
      <c r="R5575" s="5"/>
      <c r="S5575" s="5" t="s">
        <v>49029</v>
      </c>
      <c r="T5575" s="28">
        <v>609629000</v>
      </c>
      <c r="U5575" s="28">
        <v>402089000</v>
      </c>
      <c r="V5575" s="28">
        <v>1593420000</v>
      </c>
      <c r="W5575" s="28">
        <v>63706000</v>
      </c>
      <c r="X5575" s="28">
        <v>33979000</v>
      </c>
      <c r="Y5575" s="28">
        <v>4032585000</v>
      </c>
      <c r="Z5575" s="28">
        <v>2227781000</v>
      </c>
      <c r="AA5575" s="28">
        <v>245487000</v>
      </c>
      <c r="AB5575" s="28">
        <v>780000000</v>
      </c>
      <c r="AC5575" s="28">
        <v>1433946000</v>
      </c>
      <c r="AD5575" s="28">
        <v>2282993000</v>
      </c>
      <c r="AE5575" s="28">
        <v>3809359000</v>
      </c>
      <c r="AF5575" s="28">
        <v>622885000</v>
      </c>
      <c r="AG5575" s="11"/>
    </row>
    <row r="5576">
      <c r="A5576" s="7" t="s">
        <v>7184</v>
      </c>
      <c r="B5576" s="5" t="s">
        <v>15137</v>
      </c>
      <c r="C5576" s="5" t="s">
        <v>22828</v>
      </c>
      <c r="D5576" s="5" t="str">
        <v>361800931920</v>
      </c>
      <c r="E5576" s="0" t="e">
        <f>+7 (48674) 21195
+7 (48674) 21835
+7 (920) 8090141
+7 (920) 8090142
+7 (980) 3615568
+7 (980) 3616179
+7 (980) 3616378</f>
        <v>#NAME?</v>
      </c>
      <c r="F5576" s="5" t="s">
        <v>41774</v>
      </c>
      <c r="G5576" s="5"/>
      <c r="H5576" s="26">
        <v>19</v>
      </c>
      <c r="I5576" s="5" t="s">
        <v>41775</v>
      </c>
      <c r="J5576" s="5" t="s">
        <v>25994</v>
      </c>
      <c r="K5576" s="5" t="s">
        <v>344</v>
      </c>
      <c r="L5576" s="5" t="s">
        <v>41776</v>
      </c>
      <c r="M5576" s="27"/>
      <c r="N5576" s="5" t="s">
        <v>57787</v>
      </c>
      <c r="O5576" s="5" t="str">
        <v>5711000582</v>
      </c>
      <c r="P5576" s="27">
        <v>35000000</v>
      </c>
      <c r="Q5576" s="5" t="s">
        <v>49009</v>
      </c>
      <c r="R5576" s="5"/>
      <c r="S5576" s="5" t="s">
        <v>49576</v>
      </c>
      <c r="T5576" s="28">
        <v>1781584000</v>
      </c>
      <c r="U5576" s="28"/>
      <c r="V5576" s="28">
        <v>5076800000</v>
      </c>
      <c r="W5576" s="28"/>
      <c r="X5576" s="28">
        <v>258000</v>
      </c>
      <c r="Y5576" s="28">
        <v>7396820000</v>
      </c>
      <c r="Z5576" s="28">
        <v>2045232000</v>
      </c>
      <c r="AA5576" s="28">
        <v>2522640000</v>
      </c>
      <c r="AB5576" s="28">
        <v>1641385000</v>
      </c>
      <c r="AC5576" s="28">
        <v>2644485000</v>
      </c>
      <c r="AD5576" s="28">
        <v>2080232000</v>
      </c>
      <c r="AE5576" s="28">
        <v>11850373000</v>
      </c>
      <c r="AF5576" s="28">
        <v>2362197000</v>
      </c>
      <c r="AG5576" s="11"/>
    </row>
    <row r="5577">
      <c r="A5577" s="7" t="s">
        <v>7185</v>
      </c>
      <c r="B5577" s="5" t="s">
        <v>15138</v>
      </c>
      <c r="C5577" s="5" t="s">
        <v>22829</v>
      </c>
      <c r="D5577" s="5" t="str">
        <v>234106618529</v>
      </c>
      <c r="E5577" s="0" t="e">
        <f>+7 (928) 445577
+7 (86196) 26758
+7 (86196) 26764
+7 (86196) 62009</f>
        <v>#NAME?</v>
      </c>
      <c r="F5577" s="5"/>
      <c r="G5577" s="5"/>
      <c r="H5577" s="26">
        <v>23</v>
      </c>
      <c r="I5577" s="5"/>
      <c r="J5577" s="5" t="s">
        <v>25994</v>
      </c>
      <c r="K5577" s="5" t="s">
        <v>344</v>
      </c>
      <c r="L5577" s="5" t="s">
        <v>41777</v>
      </c>
      <c r="M5577" s="27"/>
      <c r="N5577" s="5"/>
      <c r="O5577" s="5" t="str">
        <v>2354009290</v>
      </c>
      <c r="P5577" s="27">
        <v>72854000</v>
      </c>
      <c r="Q5577" s="5"/>
      <c r="R5577" s="5"/>
      <c r="S5577" s="5" t="s">
        <v>49425</v>
      </c>
      <c r="T5577" s="28">
        <v>994381000</v>
      </c>
      <c r="U5577" s="28"/>
      <c r="V5577" s="28">
        <v>740512000</v>
      </c>
      <c r="W5577" s="28">
        <v>452300000</v>
      </c>
      <c r="X5577" s="28">
        <v>4350000</v>
      </c>
      <c r="Y5577" s="28">
        <v>3445210000</v>
      </c>
      <c r="Z5577" s="28">
        <v>1841467000</v>
      </c>
      <c r="AA5577" s="28">
        <v>194477000</v>
      </c>
      <c r="AB5577" s="28">
        <v>711729000</v>
      </c>
      <c r="AC5577" s="28">
        <v>1099425000</v>
      </c>
      <c r="AD5577" s="28">
        <v>2090471000</v>
      </c>
      <c r="AE5577" s="28">
        <v>4508759000</v>
      </c>
      <c r="AF5577" s="28">
        <v>1343911000</v>
      </c>
      <c r="AG5577" s="11"/>
    </row>
    <row r="5578">
      <c r="A5578" s="7" t="s">
        <v>7186</v>
      </c>
      <c r="B5578" s="5" t="s">
        <v>15139</v>
      </c>
      <c r="C5578" s="5" t="s">
        <v>22830</v>
      </c>
      <c r="D5578" s="5" t="str">
        <v>142600092566</v>
      </c>
      <c r="E5578" s="0" t="e">
        <f>+7 (411) 2424095
+7 (411) 2223201
+7 (411) 2319777
+7 (411) 2340705
+7 (411) 2340824
+7 (411) 2400007
+7 (411) 2402034
+7 (411) 2460000
+7 (411) 2460003
+7 (411) 2460005
+7 (411) 2460006
+7 (411) 2460007
+7 (411) 2460008
+7 (411) 2460016
+7 (411) 2460020</f>
        <v>#NAME?</v>
      </c>
      <c r="F5578" s="5" t="s">
        <v>41778</v>
      </c>
      <c r="G5578" s="5" t="s">
        <v>41779</v>
      </c>
      <c r="H5578" s="26">
        <v>19</v>
      </c>
      <c r="I5578" s="5" t="s">
        <v>41780</v>
      </c>
      <c r="J5578" s="5" t="s">
        <v>29789</v>
      </c>
      <c r="K5578" s="5" t="s">
        <v>344</v>
      </c>
      <c r="L5578" s="5"/>
      <c r="M5578" s="27">
        <v>407633179</v>
      </c>
      <c r="N5578" s="5" t="s">
        <v>57788</v>
      </c>
      <c r="O5578" s="5" t="str">
        <v>1435142972</v>
      </c>
      <c r="P5578" s="27">
        <v>28148260710</v>
      </c>
      <c r="Q5578" s="5" t="s">
        <v>57789</v>
      </c>
      <c r="R5578" s="5"/>
      <c r="S5578" s="5" t="s">
        <v>57790</v>
      </c>
      <c r="T5578" s="28">
        <v>31028347000</v>
      </c>
      <c r="U5578" s="28">
        <v>1881037000</v>
      </c>
      <c r="V5578" s="28">
        <v>1220050000</v>
      </c>
      <c r="W5578" s="28"/>
      <c r="X5578" s="28">
        <v>3015725000</v>
      </c>
      <c r="Y5578" s="28">
        <v>39061599000</v>
      </c>
      <c r="Z5578" s="28">
        <v>2772745000</v>
      </c>
      <c r="AA5578" s="28">
        <v>1006221000</v>
      </c>
      <c r="AB5578" s="28">
        <v>5880000</v>
      </c>
      <c r="AC5578" s="28">
        <v>3857934000</v>
      </c>
      <c r="AD5578" s="28">
        <v>33809917000</v>
      </c>
      <c r="AE5578" s="28">
        <v>11982305000</v>
      </c>
      <c r="AF5578" s="28">
        <v>346876000</v>
      </c>
      <c r="AG5578" s="11"/>
    </row>
    <row r="5579">
      <c r="A5579" s="7" t="s">
        <v>7187</v>
      </c>
      <c r="B5579" s="5" t="s">
        <v>15140</v>
      </c>
      <c r="C5579" s="5" t="s">
        <v>22831</v>
      </c>
      <c r="D5579" s="5" t="str">
        <v>143519466196</v>
      </c>
      <c r="E5579" s="0" t="e">
        <f>+7 (411) 2210415
+7 (411) 2210515
+7 (411) 2343549
+7 (411) 2352701
+7 (411) 2354671
+7 (411) 2393225
+7 (411) 2422290
+7 (411) 2437895
+7 (411) 2439155
+7 (411) 2455165
+7 (411) 2455223
+7 (411) 2210115
+7 (411) 2210586
+7 (411) 2347855
+7 (411) 2347895</f>
        <v>#NAME?</v>
      </c>
      <c r="F5579" s="5" t="s">
        <v>41781</v>
      </c>
      <c r="G5579" s="5" t="s">
        <v>41782</v>
      </c>
      <c r="H5579" s="26">
        <v>22</v>
      </c>
      <c r="I5579" s="5"/>
      <c r="J5579" s="5" t="s">
        <v>25295</v>
      </c>
      <c r="K5579" s="5" t="s">
        <v>355</v>
      </c>
      <c r="L5579" s="5"/>
      <c r="M5579" s="27">
        <v>6147162</v>
      </c>
      <c r="N5579" s="5" t="s">
        <v>57791</v>
      </c>
      <c r="O5579" s="5" t="str">
        <v>1435117944</v>
      </c>
      <c r="P5579" s="27">
        <v>1219436500</v>
      </c>
      <c r="Q5579" s="5" t="s">
        <v>57793</v>
      </c>
      <c r="R5579" s="5"/>
      <c r="S5579" s="5" t="s">
        <v>49288</v>
      </c>
      <c r="T5579" s="28">
        <v>5010500000</v>
      </c>
      <c r="U5579" s="28"/>
      <c r="V5579" s="28">
        <v>1052926000</v>
      </c>
      <c r="W5579" s="28"/>
      <c r="X5579" s="28">
        <v>58770000</v>
      </c>
      <c r="Y5579" s="28">
        <v>15137783000</v>
      </c>
      <c r="Z5579" s="28">
        <v>-2286995000</v>
      </c>
      <c r="AA5579" s="28">
        <v>5712455000</v>
      </c>
      <c r="AB5579" s="28">
        <v>7799066000</v>
      </c>
      <c r="AC5579" s="28">
        <v>10169311000</v>
      </c>
      <c r="AD5579" s="28">
        <v>-353788000</v>
      </c>
      <c r="AE5579" s="28">
        <v>11838082000</v>
      </c>
      <c r="AF5579" s="28">
        <v>-1907739000</v>
      </c>
      <c r="AG5579" s="11"/>
    </row>
    <row r="5580">
      <c r="A5580" s="7" t="s">
        <v>7188</v>
      </c>
      <c r="B5580" s="5" t="s">
        <v>15141</v>
      </c>
      <c r="C5580" s="5" t="s">
        <v>22832</v>
      </c>
      <c r="D5580" s="5" t="str">
        <v>650103952031</v>
      </c>
      <c r="E5580" s="0" t="e">
        <f>+7 (914) 838785</f>
        <v>#NAME?</v>
      </c>
      <c r="F5580" s="5" t="s">
        <v>41783</v>
      </c>
      <c r="G5580" s="5"/>
      <c r="H5580" s="26">
        <v>5.5</v>
      </c>
      <c r="I5580" s="5" t="s">
        <v>41784</v>
      </c>
      <c r="J5580" s="5" t="s">
        <v>364</v>
      </c>
      <c r="K5580" s="5" t="s">
        <v>355</v>
      </c>
      <c r="L5580" s="5" t="s">
        <v>41785</v>
      </c>
      <c r="M5580" s="27">
        <v>30855099</v>
      </c>
      <c r="N5580" s="5" t="s">
        <v>57794</v>
      </c>
      <c r="O5580" s="5" t="str">
        <v>6501291834</v>
      </c>
      <c r="P5580" s="27">
        <v>10000</v>
      </c>
      <c r="Q5580" s="5" t="s">
        <v>57795</v>
      </c>
      <c r="R5580" s="5"/>
      <c r="S5580" s="5" t="s">
        <v>57796</v>
      </c>
      <c r="T5580" s="28">
        <v>355620000</v>
      </c>
      <c r="U5580" s="28">
        <v>24650000</v>
      </c>
      <c r="V5580" s="28">
        <v>388160000</v>
      </c>
      <c r="W5580" s="28">
        <v>250469000</v>
      </c>
      <c r="X5580" s="28">
        <v>255665000</v>
      </c>
      <c r="Y5580" s="28">
        <v>3437014000</v>
      </c>
      <c r="Z5580" s="28">
        <v>507767000</v>
      </c>
      <c r="AA5580" s="28">
        <v>700000</v>
      </c>
      <c r="AB5580" s="28"/>
      <c r="AC5580" s="28">
        <v>2842598000</v>
      </c>
      <c r="AD5580" s="28">
        <v>507777000</v>
      </c>
      <c r="AE5580" s="28">
        <v>3032583000</v>
      </c>
      <c r="AF5580" s="28">
        <v>30696000</v>
      </c>
      <c r="AG5580" s="11"/>
    </row>
    <row r="5581">
      <c r="A5581" s="7" t="s">
        <v>7189</v>
      </c>
      <c r="B5581" s="5" t="s">
        <v>15142</v>
      </c>
      <c r="C5581" s="5" t="s">
        <v>22833</v>
      </c>
      <c r="D5581" s="5" t="str">
        <v>550607833898</v>
      </c>
      <c r="E5581" s="0" t="e">
        <f>+7 (42433) 66020
+7 (42433) 66206
+7 (42433) 66208
+7 (42433) 66290
+7 (42433) 66446
+7 (914) 7543885
+7 (42433) 66218</f>
        <v>#NAME?</v>
      </c>
      <c r="F5581" s="5" t="s">
        <v>41786</v>
      </c>
      <c r="G5581" s="5" t="s">
        <v>41787</v>
      </c>
      <c r="H5581" s="26">
        <v>30</v>
      </c>
      <c r="I5581" s="5" t="s">
        <v>41788</v>
      </c>
      <c r="J5581" s="5" t="s">
        <v>28577</v>
      </c>
      <c r="K5581" s="5" t="s">
        <v>344</v>
      </c>
      <c r="L5581" s="5" t="s">
        <v>41789</v>
      </c>
      <c r="M5581" s="27">
        <v>22887855</v>
      </c>
      <c r="N5581" s="5" t="s">
        <v>50061</v>
      </c>
      <c r="O5581" s="5" t="str">
        <v>6509000854</v>
      </c>
      <c r="P5581" s="27">
        <v>934611</v>
      </c>
      <c r="Q5581" s="5" t="s">
        <v>57797</v>
      </c>
      <c r="R5581" s="5" t="s">
        <v>57798</v>
      </c>
      <c r="S5581" s="5" t="s">
        <v>50959</v>
      </c>
      <c r="T5581" s="28">
        <v>2856191000</v>
      </c>
      <c r="U5581" s="28">
        <v>51235000</v>
      </c>
      <c r="V5581" s="28">
        <v>341664000</v>
      </c>
      <c r="W5581" s="28"/>
      <c r="X5581" s="28">
        <v>1958845000</v>
      </c>
      <c r="Y5581" s="28">
        <v>5631493000</v>
      </c>
      <c r="Z5581" s="28">
        <v>3269440000</v>
      </c>
      <c r="AA5581" s="28"/>
      <c r="AB5581" s="28"/>
      <c r="AC5581" s="28">
        <v>1859223000</v>
      </c>
      <c r="AD5581" s="28">
        <v>3326056000</v>
      </c>
      <c r="AE5581" s="28">
        <v>8375620000</v>
      </c>
      <c r="AF5581" s="28">
        <v>1070651000</v>
      </c>
      <c r="AG5581" s="11"/>
    </row>
    <row r="5582">
      <c r="A5582" s="7" t="s">
        <v>7190</v>
      </c>
      <c r="B5582" s="5" t="s">
        <v>15143</v>
      </c>
      <c r="C5582" s="5" t="s">
        <v>22834</v>
      </c>
      <c r="D5582" s="5" t="str">
        <v>190200042600</v>
      </c>
      <c r="E5582" s="0" t="e">
        <f>+7 (39042) 60611
+7 (39042) 76039</f>
        <v>#NAME?</v>
      </c>
      <c r="F5582" s="5" t="s">
        <v>41790</v>
      </c>
      <c r="G5582" s="5" t="s">
        <v>41791</v>
      </c>
      <c r="H5582" s="26">
        <v>8.5</v>
      </c>
      <c r="I5582" s="5" t="s">
        <v>41792</v>
      </c>
      <c r="J5582" s="5" t="s">
        <v>26482</v>
      </c>
      <c r="K5582" s="5" t="s">
        <v>344</v>
      </c>
      <c r="L5582" s="5"/>
      <c r="M5582" s="27">
        <v>19353173</v>
      </c>
      <c r="N5582" s="5" t="s">
        <v>57799</v>
      </c>
      <c r="O5582" s="5" t="str">
        <v>2442012944</v>
      </c>
      <c r="P5582" s="27">
        <v>2077417577</v>
      </c>
      <c r="Q5582" s="5"/>
      <c r="R5582" s="5"/>
      <c r="S5582" s="5" t="s">
        <v>49499</v>
      </c>
      <c r="T5582" s="28">
        <v>678061000</v>
      </c>
      <c r="U5582" s="28">
        <v>399596000</v>
      </c>
      <c r="V5582" s="28">
        <v>6348431000</v>
      </c>
      <c r="W5582" s="28"/>
      <c r="X5582" s="28">
        <v>338550000</v>
      </c>
      <c r="Y5582" s="28">
        <v>9796685000</v>
      </c>
      <c r="Z5582" s="28">
        <v>1511877000</v>
      </c>
      <c r="AA5582" s="28">
        <v>620745000</v>
      </c>
      <c r="AB5582" s="28">
        <v>1888305000</v>
      </c>
      <c r="AC5582" s="28">
        <v>5586645000</v>
      </c>
      <c r="AD5582" s="28">
        <v>4204389000</v>
      </c>
      <c r="AE5582" s="28">
        <v>6842184000</v>
      </c>
      <c r="AF5582" s="28">
        <v>266047000</v>
      </c>
      <c r="AG5582" s="11"/>
    </row>
    <row r="5583">
      <c r="A5583" s="7" t="s">
        <v>7191</v>
      </c>
      <c r="B5583" s="5" t="s">
        <v>15144</v>
      </c>
      <c r="C5583" s="5" t="s">
        <v>22835</v>
      </c>
      <c r="D5583" s="5" t="str">
        <v>381401776360</v>
      </c>
      <c r="E5583" s="0" t="e">
        <f>+7 (395) 2503503
+7 (395) 1332575
+7 (395) 5344747
+7 (39513) 44749
+7 (3952) 422789
+7 (3952) 563937
+7 (3952) 728585
+7 (39553) 44746
+7 (39553) 44749
+7 (39553) 59055
+7 (39553) 71667
+7 (950) 700787</f>
        <v>#NAME?</v>
      </c>
      <c r="F5583" s="5" t="s">
        <v>41793</v>
      </c>
      <c r="G5583" s="5" t="s">
        <v>41794</v>
      </c>
      <c r="H5583" s="26">
        <v>19</v>
      </c>
      <c r="I5583" s="5" t="s">
        <v>41795</v>
      </c>
      <c r="J5583" s="5" t="s">
        <v>25450</v>
      </c>
      <c r="K5583" s="5" t="s">
        <v>344</v>
      </c>
      <c r="L5583" s="5"/>
      <c r="M5583" s="27"/>
      <c r="N5583" s="5" t="s">
        <v>57800</v>
      </c>
      <c r="O5583" s="5" t="str">
        <v>3814008646</v>
      </c>
      <c r="P5583" s="27">
        <v>100910188</v>
      </c>
      <c r="Q5583" s="5" t="s">
        <v>57801</v>
      </c>
      <c r="R5583" s="5"/>
      <c r="S5583" s="5" t="s">
        <v>57802</v>
      </c>
      <c r="T5583" s="28">
        <v>1898772000</v>
      </c>
      <c r="U5583" s="28">
        <v>12180000</v>
      </c>
      <c r="V5583" s="28">
        <v>182261000</v>
      </c>
      <c r="W5583" s="28">
        <v>17599000</v>
      </c>
      <c r="X5583" s="28">
        <v>1196321000</v>
      </c>
      <c r="Y5583" s="28">
        <v>4623642000</v>
      </c>
      <c r="Z5583" s="28">
        <v>3157476000</v>
      </c>
      <c r="AA5583" s="28">
        <v>173105000</v>
      </c>
      <c r="AB5583" s="28">
        <v>800000000</v>
      </c>
      <c r="AC5583" s="28">
        <v>1177014000</v>
      </c>
      <c r="AD5583" s="28">
        <v>3273523000</v>
      </c>
      <c r="AE5583" s="28">
        <v>4774837000</v>
      </c>
      <c r="AF5583" s="28">
        <v>458852000</v>
      </c>
      <c r="AG5583" s="11"/>
    </row>
    <row r="5584">
      <c r="A5584" s="7" t="s">
        <v>7192</v>
      </c>
      <c r="B5584" s="5" t="s">
        <v>15145</v>
      </c>
      <c r="C5584" s="5" t="s">
        <v>22836</v>
      </c>
      <c r="D5584" s="5" t="str">
        <v>380802109996</v>
      </c>
      <c r="E5584" s="0" t="e">
        <f>+7 (3953) 345540
+7 (39553) 45304
+7 (395) 1345141
+7 (39513) 45006
+7 (39513) 45540
+7 (3952) 211172
+7 (3952) 258371
+7 (39553) 44063
+7 (39553) 44184
+7 (39553) 44455
+7 (39553) 44910
+7 (39553) 45006
+7 (39553) 45404
+7 (39553) 45481
+7 (39553) 45540</f>
        <v>#NAME?</v>
      </c>
      <c r="F5584" s="5" t="s">
        <v>41796</v>
      </c>
      <c r="G5584" s="5" t="s">
        <v>41797</v>
      </c>
      <c r="H5584" s="26">
        <v>24.5</v>
      </c>
      <c r="I5584" s="5"/>
      <c r="J5584" s="5" t="s">
        <v>26851</v>
      </c>
      <c r="K5584" s="5" t="s">
        <v>344</v>
      </c>
      <c r="L5584" s="5" t="s">
        <v>41798</v>
      </c>
      <c r="M5584" s="27">
        <v>542230</v>
      </c>
      <c r="N5584" s="5" t="s">
        <v>57803</v>
      </c>
      <c r="O5584" s="5" t="str">
        <v>3814007314</v>
      </c>
      <c r="P5584" s="27">
        <v>1456000000</v>
      </c>
      <c r="Q5584" s="5" t="s">
        <v>49057</v>
      </c>
      <c r="R5584" s="5" t="s">
        <v>57804</v>
      </c>
      <c r="S5584" s="5" t="s">
        <v>49963</v>
      </c>
      <c r="T5584" s="28">
        <v>8411516000</v>
      </c>
      <c r="U5584" s="28">
        <v>80106000</v>
      </c>
      <c r="V5584" s="28">
        <v>13501560000</v>
      </c>
      <c r="W5584" s="28">
        <v>10000</v>
      </c>
      <c r="X5584" s="28">
        <v>77145000</v>
      </c>
      <c r="Y5584" s="28">
        <v>27354896000</v>
      </c>
      <c r="Z5584" s="28">
        <v>23348184000</v>
      </c>
      <c r="AA5584" s="28">
        <v>18000000</v>
      </c>
      <c r="AB5584" s="28">
        <v>12500000</v>
      </c>
      <c r="AC5584" s="28">
        <v>1037874000</v>
      </c>
      <c r="AD5584" s="28">
        <v>25438931000</v>
      </c>
      <c r="AE5584" s="28">
        <v>26094831000</v>
      </c>
      <c r="AF5584" s="28">
        <v>4479359000</v>
      </c>
      <c r="AG5584" s="11"/>
    </row>
    <row r="5585">
      <c r="A5585" s="7" t="s">
        <v>7193</v>
      </c>
      <c r="B5585" s="5" t="s">
        <v>15146</v>
      </c>
      <c r="C5585" s="5" t="s">
        <v>22837</v>
      </c>
      <c r="D5585" s="5" t="str">
        <v>772870587519</v>
      </c>
      <c r="E5585" s="0" t="e">
        <f>+7 (495) 2580534
+7 (495) 7872301</f>
        <v>#NAME?</v>
      </c>
      <c r="F5585" s="5"/>
      <c r="G5585" s="5"/>
      <c r="H5585" s="26">
        <v>23</v>
      </c>
      <c r="I5585" s="5" t="s">
        <v>41799</v>
      </c>
      <c r="J5585" s="5" t="s">
        <v>28108</v>
      </c>
      <c r="K5585" s="5" t="s">
        <v>355</v>
      </c>
      <c r="L5585" s="5" t="s">
        <v>41800</v>
      </c>
      <c r="M5585" s="27"/>
      <c r="N5585" s="5"/>
      <c r="O5585" s="5" t="str">
        <v>7710337474</v>
      </c>
      <c r="P5585" s="27">
        <v>1038575500</v>
      </c>
      <c r="Q5585" s="5"/>
      <c r="R5585" s="5"/>
      <c r="S5585" s="5" t="s">
        <v>57805</v>
      </c>
      <c r="T5585" s="28"/>
      <c r="U5585" s="28">
        <v>3020275000</v>
      </c>
      <c r="V5585" s="28">
        <v>72740000</v>
      </c>
      <c r="W5585" s="28"/>
      <c r="X5585" s="28">
        <v>89312000</v>
      </c>
      <c r="Y5585" s="28">
        <v>3272359000</v>
      </c>
      <c r="Z5585" s="28">
        <v>2202173000</v>
      </c>
      <c r="AA5585" s="28"/>
      <c r="AB5585" s="28">
        <v>31571000</v>
      </c>
      <c r="AC5585" s="28">
        <v>31610000</v>
      </c>
      <c r="AD5585" s="28">
        <v>3240749000</v>
      </c>
      <c r="AE5585" s="28">
        <v>5400000000</v>
      </c>
      <c r="AF5585" s="28">
        <v>582374000</v>
      </c>
      <c r="AG5585" s="11"/>
    </row>
    <row r="5586">
      <c r="A5586" s="7" t="s">
        <v>7194</v>
      </c>
      <c r="B5586" s="5" t="s">
        <v>15147</v>
      </c>
      <c r="C5586" s="5" t="s">
        <v>22838</v>
      </c>
      <c r="D5586" s="5" t="str">
        <v>662315344187</v>
      </c>
      <c r="E5586" s="0" t="e">
        <f>+7 (343) 2227979
+7 (343) 2887888</f>
        <v>#NAME?</v>
      </c>
      <c r="F5586" s="5"/>
      <c r="G5586" s="5"/>
      <c r="H5586" s="26">
        <v>14.5</v>
      </c>
      <c r="I5586" s="5" t="s">
        <v>41801</v>
      </c>
      <c r="J5586" s="5" t="s">
        <v>25484</v>
      </c>
      <c r="K5586" s="5" t="s">
        <v>344</v>
      </c>
      <c r="L5586" s="5" t="s">
        <v>41802</v>
      </c>
      <c r="M5586" s="27">
        <v>25159976</v>
      </c>
      <c r="N5586" s="5"/>
      <c r="O5586" s="5" t="str">
        <v>6672272180</v>
      </c>
      <c r="P5586" s="27">
        <v>100000</v>
      </c>
      <c r="Q5586" s="5" t="s">
        <v>49579</v>
      </c>
      <c r="R5586" s="5"/>
      <c r="S5586" s="5" t="s">
        <v>54828</v>
      </c>
      <c r="T5586" s="28">
        <v>1040169000</v>
      </c>
      <c r="U5586" s="28"/>
      <c r="V5586" s="28">
        <v>64248000</v>
      </c>
      <c r="W5586" s="28">
        <v>73350000</v>
      </c>
      <c r="X5586" s="28">
        <v>4091000</v>
      </c>
      <c r="Y5586" s="28">
        <v>1602454000</v>
      </c>
      <c r="Z5586" s="28">
        <v>956415000</v>
      </c>
      <c r="AA5586" s="28">
        <v>114708000</v>
      </c>
      <c r="AB5586" s="28"/>
      <c r="AC5586" s="28">
        <v>531231000</v>
      </c>
      <c r="AD5586" s="28">
        <v>956515000</v>
      </c>
      <c r="AE5586" s="28">
        <v>5177105000</v>
      </c>
      <c r="AF5586" s="28">
        <v>203260000</v>
      </c>
      <c r="AG5586" s="11"/>
    </row>
    <row r="5587">
      <c r="A5587" s="7" t="s">
        <v>7195</v>
      </c>
      <c r="B5587" s="5" t="s">
        <v>15148</v>
      </c>
      <c r="C5587" s="5"/>
      <c r="D5587" s="5"/>
      <c r="E5587" s="0" t="e">
        <f>+7 (495) 2580547
+7 (909) 9205080
+7 (916) 157591
+7 (495) 7756696</f>
        <v>#NAME?</v>
      </c>
      <c r="F5587" s="5" t="s">
        <v>41803</v>
      </c>
      <c r="G5587" s="5"/>
      <c r="H5587" s="26">
        <v>27.5</v>
      </c>
      <c r="I5587" s="5"/>
      <c r="J5587" s="5" t="s">
        <v>28108</v>
      </c>
      <c r="K5587" s="5" t="s">
        <v>380</v>
      </c>
      <c r="L5587" s="5"/>
      <c r="M5587" s="27"/>
      <c r="N5587" s="5"/>
      <c r="O5587" s="5" t="str">
        <v>7704349640</v>
      </c>
      <c r="P5587" s="27">
        <v>175016895646</v>
      </c>
      <c r="Q5587" s="5" t="s">
        <v>49009</v>
      </c>
      <c r="R5587" s="5"/>
      <c r="S5587" s="5" t="s">
        <v>49093</v>
      </c>
      <c r="T5587" s="28">
        <v>1447000</v>
      </c>
      <c r="U5587" s="28">
        <v>86834927000</v>
      </c>
      <c r="V5587" s="28">
        <v>315556000</v>
      </c>
      <c r="W5587" s="28">
        <v>6738906000</v>
      </c>
      <c r="X5587" s="28">
        <v>2878057000</v>
      </c>
      <c r="Y5587" s="28">
        <v>97436254000</v>
      </c>
      <c r="Z5587" s="28">
        <v>-123471008000</v>
      </c>
      <c r="AA5587" s="28"/>
      <c r="AB5587" s="28">
        <v>401960000</v>
      </c>
      <c r="AC5587" s="28">
        <v>504366000</v>
      </c>
      <c r="AD5587" s="28">
        <v>96494732000</v>
      </c>
      <c r="AE5587" s="28">
        <v>22095169000</v>
      </c>
      <c r="AF5587" s="28">
        <v>-74441357000</v>
      </c>
      <c r="AG5587" s="11"/>
    </row>
    <row r="5588">
      <c r="A5588" s="7" t="s">
        <v>7196</v>
      </c>
      <c r="B5588" s="5" t="s">
        <v>15149</v>
      </c>
      <c r="C5588" s="5" t="s">
        <v>22839</v>
      </c>
      <c r="D5588" s="5" t="str">
        <v>773472238503</v>
      </c>
      <c r="E5588" s="0" t="e">
        <f>+7 (495) 6859230</f>
        <v>#NAME?</v>
      </c>
      <c r="F5588" s="5"/>
      <c r="G5588" s="5"/>
      <c r="H5588" s="26">
        <v>3.5</v>
      </c>
      <c r="I5588" s="5" t="s">
        <v>41804</v>
      </c>
      <c r="J5588" s="5" t="s">
        <v>364</v>
      </c>
      <c r="K5588" s="5" t="s">
        <v>380</v>
      </c>
      <c r="L5588" s="5" t="s">
        <v>41805</v>
      </c>
      <c r="M5588" s="27">
        <v>12034347</v>
      </c>
      <c r="N5588" s="5"/>
      <c r="O5588" s="5" t="str">
        <v>7736323532</v>
      </c>
      <c r="P5588" s="27">
        <v>1000000</v>
      </c>
      <c r="Q5588" s="5" t="s">
        <v>57806</v>
      </c>
      <c r="R5588" s="5"/>
      <c r="S5588" s="5" t="s">
        <v>50378</v>
      </c>
      <c r="T5588" s="28">
        <v>354882000</v>
      </c>
      <c r="U5588" s="28">
        <v>5000</v>
      </c>
      <c r="V5588" s="28">
        <v>29838115000</v>
      </c>
      <c r="W5588" s="28"/>
      <c r="X5588" s="28">
        <v>429849000</v>
      </c>
      <c r="Y5588" s="28">
        <v>31116097000</v>
      </c>
      <c r="Z5588" s="28">
        <v>374021000</v>
      </c>
      <c r="AA5588" s="28"/>
      <c r="AB5588" s="28"/>
      <c r="AC5588" s="28">
        <v>30485904000</v>
      </c>
      <c r="AD5588" s="28">
        <v>375021000</v>
      </c>
      <c r="AE5588" s="28">
        <v>16607139000</v>
      </c>
      <c r="AF5588" s="28">
        <v>-562564000</v>
      </c>
      <c r="AG5588" s="11"/>
    </row>
    <row r="5589">
      <c r="A5589" s="7" t="s">
        <v>7196</v>
      </c>
      <c r="B5589" s="5" t="s">
        <v>15150</v>
      </c>
      <c r="C5589" s="5" t="s">
        <v>22840</v>
      </c>
      <c r="D5589" s="5" t="str">
        <v>772875216733</v>
      </c>
      <c r="E5589" s="0" t="e">
        <f>+7 (495) 2583982
+7 (495) 2583983
+7 (495) 2583981
+7 (495) 2853981
+7 (495) 6853981</f>
        <v>#NAME?</v>
      </c>
      <c r="F5589" s="5"/>
      <c r="G5589" s="5"/>
      <c r="H5589" s="26">
        <v>10.5</v>
      </c>
      <c r="I5589" s="5" t="s">
        <v>41806</v>
      </c>
      <c r="J5589" s="5" t="s">
        <v>32608</v>
      </c>
      <c r="K5589" s="5" t="s">
        <v>344</v>
      </c>
      <c r="L5589" s="5" t="s">
        <v>41807</v>
      </c>
      <c r="M5589" s="27"/>
      <c r="N5589" s="5"/>
      <c r="O5589" s="5" t="str">
        <v>7705987830</v>
      </c>
      <c r="P5589" s="27">
        <v>698500000</v>
      </c>
      <c r="Q5589" s="5" t="s">
        <v>49059</v>
      </c>
      <c r="R5589" s="5"/>
      <c r="S5589" s="5" t="s">
        <v>49884</v>
      </c>
      <c r="T5589" s="28">
        <v>16090000</v>
      </c>
      <c r="U5589" s="28"/>
      <c r="V5589" s="28">
        <v>1303344000</v>
      </c>
      <c r="W5589" s="28"/>
      <c r="X5589" s="28">
        <v>5122844000</v>
      </c>
      <c r="Y5589" s="28">
        <v>6527390000</v>
      </c>
      <c r="Z5589" s="28">
        <v>5207317000</v>
      </c>
      <c r="AA5589" s="28"/>
      <c r="AB5589" s="28">
        <v>376000</v>
      </c>
      <c r="AC5589" s="28">
        <v>606296000</v>
      </c>
      <c r="AD5589" s="28">
        <v>5918994000</v>
      </c>
      <c r="AE5589" s="28">
        <v>10525339000</v>
      </c>
      <c r="AF5589" s="28">
        <v>1677632000</v>
      </c>
      <c r="AG5589" s="11"/>
    </row>
    <row r="5590">
      <c r="A5590" s="7" t="s">
        <v>7197</v>
      </c>
      <c r="B5590" s="5" t="s">
        <v>15151</v>
      </c>
      <c r="C5590" s="5" t="s">
        <v>22841</v>
      </c>
      <c r="D5590" s="5" t="str">
        <v>770405286200</v>
      </c>
      <c r="E5590" s="0" t="e">
        <f>+7 (910) 4657331
+7 (495) 2300517
+7 (905) 7899059</f>
        <v>#NAME?</v>
      </c>
      <c r="F5590" s="5" t="s">
        <v>41808</v>
      </c>
      <c r="G5590" s="5"/>
      <c r="H5590" s="26">
        <v>11.5</v>
      </c>
      <c r="I5590" s="5"/>
      <c r="J5590" s="5" t="s">
        <v>27174</v>
      </c>
      <c r="K5590" s="5" t="s">
        <v>344</v>
      </c>
      <c r="L5590" s="5" t="s">
        <v>41809</v>
      </c>
      <c r="M5590" s="27"/>
      <c r="N5590" s="5" t="s">
        <v>57807</v>
      </c>
      <c r="O5590" s="5" t="str">
        <v>7802754982</v>
      </c>
      <c r="P5590" s="27">
        <v>524010000</v>
      </c>
      <c r="Q5590" s="5" t="s">
        <v>57808</v>
      </c>
      <c r="R5590" s="5"/>
      <c r="S5590" s="5" t="s">
        <v>57809</v>
      </c>
      <c r="T5590" s="28">
        <v>177521000</v>
      </c>
      <c r="U5590" s="28">
        <v>4693384000</v>
      </c>
      <c r="V5590" s="28">
        <v>3854836000</v>
      </c>
      <c r="W5590" s="28">
        <v>356008132000</v>
      </c>
      <c r="X5590" s="28">
        <v>3803000</v>
      </c>
      <c r="Y5590" s="28">
        <v>365803441000</v>
      </c>
      <c r="Z5590" s="28">
        <v>2544515000</v>
      </c>
      <c r="AA5590" s="28">
        <v>3685719000</v>
      </c>
      <c r="AB5590" s="28">
        <v>354000357000</v>
      </c>
      <c r="AC5590" s="28">
        <v>358850509000</v>
      </c>
      <c r="AD5590" s="28">
        <v>3068526000</v>
      </c>
      <c r="AE5590" s="28">
        <v>38671804000</v>
      </c>
      <c r="AF5590" s="28">
        <v>3623872000</v>
      </c>
      <c r="AG5590" s="11"/>
    </row>
    <row r="5591">
      <c r="A5591" s="7" t="s">
        <v>7198</v>
      </c>
      <c r="B5591" s="5" t="s">
        <v>15152</v>
      </c>
      <c r="C5591" s="5" t="s">
        <v>22842</v>
      </c>
      <c r="D5591" s="5" t="str">
        <v>772909180693</v>
      </c>
      <c r="E5591" s="0" t="e">
        <f>+7 (495) 9213701
+7 (915) 350935
+7 (916) 6716317
+7 (495) 7473404</f>
        <v>#NAME?</v>
      </c>
      <c r="F5591" s="5" t="s">
        <v>41810</v>
      </c>
      <c r="G5591" s="5"/>
      <c r="H5591" s="26">
        <v>9.5</v>
      </c>
      <c r="I5591" s="5" t="s">
        <v>41811</v>
      </c>
      <c r="J5591" s="5" t="s">
        <v>748</v>
      </c>
      <c r="K5591" s="5" t="s">
        <v>344</v>
      </c>
      <c r="L5591" s="5" t="s">
        <v>41812</v>
      </c>
      <c r="M5591" s="27"/>
      <c r="N5591" s="5" t="s">
        <v>57810</v>
      </c>
      <c r="O5591" s="5" t="str">
        <v>7736663049</v>
      </c>
      <c r="P5591" s="27">
        <v>80000000</v>
      </c>
      <c r="Q5591" s="5" t="s">
        <v>57811</v>
      </c>
      <c r="R5591" s="5"/>
      <c r="S5591" s="5" t="s">
        <v>50475</v>
      </c>
      <c r="T5591" s="28">
        <v>439805000</v>
      </c>
      <c r="U5591" s="28"/>
      <c r="V5591" s="28">
        <v>591170000</v>
      </c>
      <c r="W5591" s="28"/>
      <c r="X5591" s="28">
        <v>1056288000</v>
      </c>
      <c r="Y5591" s="28">
        <v>2762412000</v>
      </c>
      <c r="Z5591" s="28">
        <v>903609000</v>
      </c>
      <c r="AA5591" s="28"/>
      <c r="AB5591" s="28"/>
      <c r="AC5591" s="28">
        <v>1579018000</v>
      </c>
      <c r="AD5591" s="28">
        <v>991958000</v>
      </c>
      <c r="AE5591" s="28">
        <v>10362528000</v>
      </c>
      <c r="AF5591" s="28">
        <v>255073000</v>
      </c>
      <c r="AG5591" s="11"/>
    </row>
    <row r="5592">
      <c r="A5592" s="7" t="s">
        <v>7199</v>
      </c>
      <c r="B5592" s="5" t="s">
        <v>15153</v>
      </c>
      <c r="C5592" s="5"/>
      <c r="D5592" s="5"/>
      <c r="E5592" s="0" t="e">
        <f>+7 (499) 2412087
+7 (499) 2412445
+7 (499) 2413974
+7 (916) 6195454</f>
        <v>#NAME?</v>
      </c>
      <c r="F5592" s="5" t="s">
        <v>41813</v>
      </c>
      <c r="G5592" s="5"/>
      <c r="H5592" s="26">
        <v>13</v>
      </c>
      <c r="I5592" s="5"/>
      <c r="J5592" s="5" t="s">
        <v>41814</v>
      </c>
      <c r="K5592" s="5" t="s">
        <v>344</v>
      </c>
      <c r="L5592" s="5" t="s">
        <v>41815</v>
      </c>
      <c r="M5592" s="27"/>
      <c r="N5592" s="5"/>
      <c r="O5592" s="5" t="str">
        <v>7736617998</v>
      </c>
      <c r="P5592" s="27">
        <v>250000000</v>
      </c>
      <c r="Q5592" s="5" t="s">
        <v>49059</v>
      </c>
      <c r="R5592" s="5"/>
      <c r="S5592" s="5" t="s">
        <v>49121</v>
      </c>
      <c r="T5592" s="28">
        <v>244000</v>
      </c>
      <c r="U5592" s="28"/>
      <c r="V5592" s="28">
        <v>38602000</v>
      </c>
      <c r="W5592" s="28">
        <v>4446244000</v>
      </c>
      <c r="X5592" s="28">
        <v>161000</v>
      </c>
      <c r="Y5592" s="28">
        <v>4485939000</v>
      </c>
      <c r="Z5592" s="28">
        <v>688116000</v>
      </c>
      <c r="AA5592" s="28"/>
      <c r="AB5592" s="28">
        <v>950397000</v>
      </c>
      <c r="AC5592" s="28">
        <v>3534943000</v>
      </c>
      <c r="AD5592" s="28">
        <v>950616000</v>
      </c>
      <c r="AE5592" s="28">
        <v>6841583000</v>
      </c>
      <c r="AF5592" s="28">
        <v>687822000</v>
      </c>
      <c r="AG5592" s="11"/>
    </row>
    <row r="5593">
      <c r="A5593" s="7" t="s">
        <v>7200</v>
      </c>
      <c r="B5593" s="5" t="s">
        <v>15154</v>
      </c>
      <c r="C5593" s="5"/>
      <c r="D5593" s="5"/>
      <c r="E5593" s="0" t="e">
        <f>+7 (495) 1233717</f>
        <v>#NAME?</v>
      </c>
      <c r="F5593" s="5" t="s">
        <v>41816</v>
      </c>
      <c r="G5593" s="5"/>
      <c r="H5593" s="26">
        <v>11.5</v>
      </c>
      <c r="I5593" s="5"/>
      <c r="J5593" s="5" t="s">
        <v>755</v>
      </c>
      <c r="K5593" s="5" t="s">
        <v>344</v>
      </c>
      <c r="L5593" s="5" t="s">
        <v>41817</v>
      </c>
      <c r="M5593" s="27"/>
      <c r="N5593" s="5" t="s">
        <v>57812</v>
      </c>
      <c r="O5593" s="5" t="str">
        <v>7707752230</v>
      </c>
      <c r="P5593" s="27">
        <v>8000000</v>
      </c>
      <c r="Q5593" s="5" t="s">
        <v>57813</v>
      </c>
      <c r="R5593" s="5"/>
      <c r="S5593" s="5" t="s">
        <v>57814</v>
      </c>
      <c r="T5593" s="28">
        <v>372000</v>
      </c>
      <c r="U5593" s="28"/>
      <c r="V5593" s="28">
        <v>24330000</v>
      </c>
      <c r="W5593" s="28"/>
      <c r="X5593" s="28">
        <v>500495000</v>
      </c>
      <c r="Y5593" s="28">
        <v>549155000</v>
      </c>
      <c r="Z5593" s="28">
        <v>56573000</v>
      </c>
      <c r="AA5593" s="28"/>
      <c r="AB5593" s="28"/>
      <c r="AC5593" s="28">
        <v>484520000</v>
      </c>
      <c r="AD5593" s="28">
        <v>64573000</v>
      </c>
      <c r="AE5593" s="28">
        <v>3787858000</v>
      </c>
      <c r="AF5593" s="28">
        <v>109809000</v>
      </c>
      <c r="AG5593" s="11"/>
    </row>
    <row r="5594">
      <c r="A5594" s="7" t="s">
        <v>7201</v>
      </c>
      <c r="B5594" s="5" t="s">
        <v>15155</v>
      </c>
      <c r="C5594" s="5" t="s">
        <v>20865</v>
      </c>
      <c r="D5594" s="5" t="str">
        <v>772210041385</v>
      </c>
      <c r="E5594" s="0" t="e">
        <f>+7 (965) 1854107
+7 (499) 6738500
+7 (499) 6738504
+7 (800) 1007269
+7 (921) 9702811</f>
        <v>#NAME?</v>
      </c>
      <c r="F5594" s="5" t="s">
        <v>41818</v>
      </c>
      <c r="G5594" s="5" t="s">
        <v>41819</v>
      </c>
      <c r="H5594" s="26">
        <v>3.5</v>
      </c>
      <c r="I5594" s="5"/>
      <c r="J5594" s="5" t="s">
        <v>39607</v>
      </c>
      <c r="K5594" s="5" t="s">
        <v>355</v>
      </c>
      <c r="L5594" s="5"/>
      <c r="M5594" s="27">
        <v>20697153</v>
      </c>
      <c r="N5594" s="5" t="s">
        <v>57815</v>
      </c>
      <c r="O5594" s="5" t="str">
        <v>7736322345</v>
      </c>
      <c r="P5594" s="27">
        <v>1000001500</v>
      </c>
      <c r="Q5594" s="5"/>
      <c r="R5594" s="5"/>
      <c r="S5594" s="5" t="s">
        <v>49723</v>
      </c>
      <c r="T5594" s="28">
        <v>9446512000</v>
      </c>
      <c r="U5594" s="28">
        <v>213421000</v>
      </c>
      <c r="V5594" s="28">
        <v>4484671000</v>
      </c>
      <c r="W5594" s="28">
        <v>3000000</v>
      </c>
      <c r="X5594" s="28">
        <v>4612146000</v>
      </c>
      <c r="Y5594" s="28">
        <v>23768055000</v>
      </c>
      <c r="Z5594" s="28">
        <v>-20504584000</v>
      </c>
      <c r="AA5594" s="28"/>
      <c r="AB5594" s="28"/>
      <c r="AC5594" s="28">
        <v>3671822000</v>
      </c>
      <c r="AD5594" s="28">
        <v>12199007000</v>
      </c>
      <c r="AE5594" s="28">
        <v>11061180000</v>
      </c>
      <c r="AF5594" s="28">
        <v>-11836461000</v>
      </c>
      <c r="AG5594" s="11"/>
    </row>
    <row r="5595">
      <c r="A5595" s="7" t="s">
        <v>7202</v>
      </c>
      <c r="B5595" s="5" t="s">
        <v>15156</v>
      </c>
      <c r="C5595" s="5"/>
      <c r="D5595" s="5"/>
      <c r="F5595" s="5" t="s">
        <v>41820</v>
      </c>
      <c r="G5595" s="5"/>
      <c r="H5595" s="26">
        <v>11.5</v>
      </c>
      <c r="I5595" s="5"/>
      <c r="J5595" s="5" t="s">
        <v>881</v>
      </c>
      <c r="K5595" s="5" t="s">
        <v>344</v>
      </c>
      <c r="L5595" s="5" t="s">
        <v>41821</v>
      </c>
      <c r="M5595" s="27"/>
      <c r="N5595" s="5"/>
      <c r="O5595" s="5" t="str">
        <v>7736632467</v>
      </c>
      <c r="P5595" s="27">
        <v>1100001000</v>
      </c>
      <c r="Q5595" s="5" t="s">
        <v>57817</v>
      </c>
      <c r="R5595" s="5"/>
      <c r="S5595" s="5" t="s">
        <v>50951</v>
      </c>
      <c r="T5595" s="28">
        <v>1449480000</v>
      </c>
      <c r="U5595" s="28"/>
      <c r="V5595" s="28">
        <v>1028570000</v>
      </c>
      <c r="W5595" s="28"/>
      <c r="X5595" s="28">
        <v>5464790000</v>
      </c>
      <c r="Y5595" s="28">
        <v>9612096000</v>
      </c>
      <c r="Z5595" s="28">
        <v>1779049000</v>
      </c>
      <c r="AA5595" s="28"/>
      <c r="AB5595" s="28">
        <v>4400000000</v>
      </c>
      <c r="AC5595" s="28">
        <v>6338977000</v>
      </c>
      <c r="AD5595" s="28">
        <v>2970032000</v>
      </c>
      <c r="AE5595" s="28">
        <v>12554893000</v>
      </c>
      <c r="AF5595" s="28">
        <v>704266000</v>
      </c>
      <c r="AG5595" s="11"/>
    </row>
    <row r="5596">
      <c r="A5596" s="7" t="s">
        <v>7203</v>
      </c>
      <c r="B5596" s="5" t="s">
        <v>14037</v>
      </c>
      <c r="C5596" s="5" t="s">
        <v>20208</v>
      </c>
      <c r="D5596" s="5"/>
      <c r="E5596" s="0" t="e">
        <f>+7 (812) 5610284
+7 (861) 2601111
+7 (911) 2991808
+7 (921) 9461966
+7 (921) 5940337
+7 (812) 3201030
+7 (812) 3216181
+7 (812) 3262266
+7 (985) 2200720</f>
        <v>#NAME?</v>
      </c>
      <c r="F5596" s="5" t="s">
        <v>41822</v>
      </c>
      <c r="G5596" s="5"/>
      <c r="H5596" s="26">
        <v>16.5</v>
      </c>
      <c r="I5596" s="5" t="s">
        <v>41823</v>
      </c>
      <c r="J5596" s="5" t="s">
        <v>389</v>
      </c>
      <c r="K5596" s="5" t="s">
        <v>344</v>
      </c>
      <c r="L5596" s="5" t="s">
        <v>41824</v>
      </c>
      <c r="M5596" s="27"/>
      <c r="N5596" s="5" t="s">
        <v>57818</v>
      </c>
      <c r="O5596" s="5" t="str">
        <v>7842344848</v>
      </c>
      <c r="P5596" s="27">
        <v>442627903</v>
      </c>
      <c r="Q5596" s="5" t="s">
        <v>57819</v>
      </c>
      <c r="R5596" s="5"/>
      <c r="S5596" s="5" t="s">
        <v>49173</v>
      </c>
      <c r="T5596" s="28">
        <v>959777000</v>
      </c>
      <c r="U5596" s="28"/>
      <c r="V5596" s="28">
        <v>110134000</v>
      </c>
      <c r="W5596" s="28">
        <v>1503782000</v>
      </c>
      <c r="X5596" s="28">
        <v>11048000</v>
      </c>
      <c r="Y5596" s="28">
        <v>2879899000</v>
      </c>
      <c r="Z5596" s="28">
        <v>2092615000</v>
      </c>
      <c r="AA5596" s="28"/>
      <c r="AB5596" s="28"/>
      <c r="AC5596" s="28">
        <v>344656000</v>
      </c>
      <c r="AD5596" s="28">
        <v>2535243000</v>
      </c>
      <c r="AE5596" s="28">
        <v>5404514000</v>
      </c>
      <c r="AF5596" s="28">
        <v>516400000</v>
      </c>
      <c r="AG5596" s="11"/>
    </row>
    <row r="5597">
      <c r="A5597" s="7" t="s">
        <v>7204</v>
      </c>
      <c r="B5597" s="5" t="s">
        <v>15157</v>
      </c>
      <c r="C5597" s="5" t="s">
        <v>19570</v>
      </c>
      <c r="D5597" s="5" t="str">
        <v>780508685146</v>
      </c>
      <c r="E5597" s="0" t="e">
        <f>+7 (3472) 370057
+7 (937) 4864919</f>
        <v>#NAME?</v>
      </c>
      <c r="F5597" s="5"/>
      <c r="G5597" s="5"/>
      <c r="H5597" s="26">
        <v>15.5</v>
      </c>
      <c r="I5597" s="5" t="s">
        <v>41825</v>
      </c>
      <c r="J5597" s="5" t="s">
        <v>1081</v>
      </c>
      <c r="K5597" s="5" t="s">
        <v>344</v>
      </c>
      <c r="L5597" s="5" t="s">
        <v>41826</v>
      </c>
      <c r="M5597" s="27">
        <v>26537604</v>
      </c>
      <c r="N5597" s="5" t="s">
        <v>51767</v>
      </c>
      <c r="O5597" s="5" t="str">
        <v>0274123438</v>
      </c>
      <c r="P5597" s="27">
        <v>2000000</v>
      </c>
      <c r="Q5597" s="5" t="s">
        <v>57820</v>
      </c>
      <c r="R5597" s="5"/>
      <c r="S5597" s="5" t="s">
        <v>57821</v>
      </c>
      <c r="T5597" s="28">
        <v>290027000</v>
      </c>
      <c r="U5597" s="28">
        <v>92528000</v>
      </c>
      <c r="V5597" s="28">
        <v>2553107000</v>
      </c>
      <c r="W5597" s="28">
        <v>31475000</v>
      </c>
      <c r="X5597" s="28">
        <v>167437000</v>
      </c>
      <c r="Y5597" s="28">
        <v>3210421000</v>
      </c>
      <c r="Z5597" s="28">
        <v>235099000</v>
      </c>
      <c r="AA5597" s="28"/>
      <c r="AB5597" s="28">
        <v>638653000</v>
      </c>
      <c r="AC5597" s="28">
        <v>2929287000</v>
      </c>
      <c r="AD5597" s="28">
        <v>237099000</v>
      </c>
      <c r="AE5597" s="28">
        <v>6129113000</v>
      </c>
      <c r="AF5597" s="28">
        <v>177382000</v>
      </c>
      <c r="AG5597" s="11"/>
    </row>
    <row r="5598">
      <c r="A5598" s="7" t="s">
        <v>7205</v>
      </c>
      <c r="B5598" s="5" t="s">
        <v>15158</v>
      </c>
      <c r="C5598" s="5" t="s">
        <v>22843</v>
      </c>
      <c r="D5598" s="5" t="str">
        <v>500801373456</v>
      </c>
      <c r="E5598" s="0" t="e">
        <f>+7 (495) 5441427
+7 (966) 1830532</f>
        <v>#NAME?</v>
      </c>
      <c r="F5598" s="5" t="s">
        <v>41827</v>
      </c>
      <c r="G5598" s="5" t="s">
        <v>41828</v>
      </c>
      <c r="H5598" s="26">
        <v>16</v>
      </c>
      <c r="I5598" s="5" t="s">
        <v>41829</v>
      </c>
      <c r="J5598" s="5" t="s">
        <v>373</v>
      </c>
      <c r="K5598" s="5" t="s">
        <v>344</v>
      </c>
      <c r="L5598" s="5" t="s">
        <v>1602</v>
      </c>
      <c r="M5598" s="27">
        <v>3722045</v>
      </c>
      <c r="N5598" s="5" t="s">
        <v>57822</v>
      </c>
      <c r="O5598" s="5" t="str">
        <v>7730556097</v>
      </c>
      <c r="P5598" s="27">
        <v>60000</v>
      </c>
      <c r="Q5598" s="5" t="s">
        <v>57823</v>
      </c>
      <c r="R5598" s="5"/>
      <c r="S5598" s="5" t="s">
        <v>57824</v>
      </c>
      <c r="T5598" s="28">
        <v>15464000</v>
      </c>
      <c r="U5598" s="28">
        <v>329610000</v>
      </c>
      <c r="V5598" s="28">
        <v>382658000</v>
      </c>
      <c r="W5598" s="28"/>
      <c r="X5598" s="28">
        <v>13196000</v>
      </c>
      <c r="Y5598" s="28">
        <v>747851000</v>
      </c>
      <c r="Z5598" s="28">
        <v>2577000</v>
      </c>
      <c r="AA5598" s="28"/>
      <c r="AB5598" s="28">
        <v>205000000</v>
      </c>
      <c r="AC5598" s="28">
        <v>745214000</v>
      </c>
      <c r="AD5598" s="28">
        <v>2637000</v>
      </c>
      <c r="AE5598" s="28">
        <v>4337699000</v>
      </c>
      <c r="AF5598" s="28">
        <v>148000</v>
      </c>
      <c r="AG5598" s="11"/>
    </row>
    <row r="5599">
      <c r="A5599" s="7" t="s">
        <v>7206</v>
      </c>
      <c r="B5599" s="5" t="s">
        <v>15159</v>
      </c>
      <c r="C5599" s="5" t="s">
        <v>22844</v>
      </c>
      <c r="D5599" s="5" t="str">
        <v>471000751815</v>
      </c>
      <c r="E5599" s="0" t="e">
        <f>+7 (911) 2291304
+7 (921) 3210444</f>
        <v>#NAME?</v>
      </c>
      <c r="F5599" s="5"/>
      <c r="G5599" s="5"/>
      <c r="H5599" s="26">
        <v>7</v>
      </c>
      <c r="I5599" s="5" t="s">
        <v>41830</v>
      </c>
      <c r="J5599" s="5" t="s">
        <v>364</v>
      </c>
      <c r="K5599" s="5" t="s">
        <v>344</v>
      </c>
      <c r="L5599" s="5" t="s">
        <v>41831</v>
      </c>
      <c r="M5599" s="27">
        <v>7018625</v>
      </c>
      <c r="N5599" s="5"/>
      <c r="O5599" s="5" t="str">
        <v>7839065072</v>
      </c>
      <c r="P5599" s="27">
        <v>1000000</v>
      </c>
      <c r="Q5599" s="5" t="s">
        <v>50437</v>
      </c>
      <c r="R5599" s="5"/>
      <c r="S5599" s="5" t="s">
        <v>57825</v>
      </c>
      <c r="T5599" s="28">
        <v>147191000</v>
      </c>
      <c r="U5599" s="28"/>
      <c r="V5599" s="28">
        <v>829496000</v>
      </c>
      <c r="W5599" s="28">
        <v>400000</v>
      </c>
      <c r="X5599" s="28">
        <v>7333000</v>
      </c>
      <c r="Y5599" s="28">
        <v>3740951000</v>
      </c>
      <c r="Z5599" s="28">
        <v>29426000</v>
      </c>
      <c r="AA5599" s="28"/>
      <c r="AB5599" s="28">
        <v>49758000</v>
      </c>
      <c r="AC5599" s="28">
        <v>3497403000</v>
      </c>
      <c r="AD5599" s="28">
        <v>30426000</v>
      </c>
      <c r="AE5599" s="28">
        <v>3203147000</v>
      </c>
      <c r="AF5599" s="28">
        <v>7207000</v>
      </c>
      <c r="AG5599" s="11"/>
    </row>
    <row r="5600">
      <c r="A5600" s="7" t="s">
        <v>7207</v>
      </c>
      <c r="B5600" s="5" t="s">
        <v>15160</v>
      </c>
      <c r="C5600" s="5" t="s">
        <v>22845</v>
      </c>
      <c r="D5600" s="5" t="str">
        <v>772619866748</v>
      </c>
      <c r="E5600" s="0" t="e">
        <f>+7 (472) 2263339</f>
        <v>#NAME?</v>
      </c>
      <c r="F5600" s="5" t="s">
        <v>41832</v>
      </c>
      <c r="G5600" s="5"/>
      <c r="H5600" s="26">
        <v>7.5</v>
      </c>
      <c r="I5600" s="5" t="s">
        <v>41833</v>
      </c>
      <c r="J5600" s="5" t="s">
        <v>26623</v>
      </c>
      <c r="K5600" s="5" t="s">
        <v>344</v>
      </c>
      <c r="L5600" s="5" t="s">
        <v>41834</v>
      </c>
      <c r="M5600" s="27">
        <v>6328639</v>
      </c>
      <c r="N5600" s="5"/>
      <c r="O5600" s="5" t="str">
        <v>3123367220</v>
      </c>
      <c r="P5600" s="27">
        <v>10000</v>
      </c>
      <c r="Q5600" s="5" t="s">
        <v>49009</v>
      </c>
      <c r="R5600" s="5"/>
      <c r="S5600" s="5" t="s">
        <v>49045</v>
      </c>
      <c r="T5600" s="28">
        <v>2255000</v>
      </c>
      <c r="U5600" s="28"/>
      <c r="V5600" s="28">
        <v>133690000</v>
      </c>
      <c r="W5600" s="28"/>
      <c r="X5600" s="28">
        <v>157468000</v>
      </c>
      <c r="Y5600" s="28">
        <v>293588000</v>
      </c>
      <c r="Z5600" s="28">
        <v>22818000</v>
      </c>
      <c r="AA5600" s="28"/>
      <c r="AB5600" s="28"/>
      <c r="AC5600" s="28">
        <v>270346000</v>
      </c>
      <c r="AD5600" s="28">
        <v>22830000</v>
      </c>
      <c r="AE5600" s="28">
        <v>4774781000</v>
      </c>
      <c r="AF5600" s="28">
        <v>62403000</v>
      </c>
      <c r="AG5600" s="11"/>
    </row>
    <row r="5601">
      <c r="A5601" s="7" t="s">
        <v>7208</v>
      </c>
      <c r="B5601" s="5" t="s">
        <v>15161</v>
      </c>
      <c r="C5601" s="5" t="s">
        <v>22846</v>
      </c>
      <c r="D5601" s="5" t="str">
        <v>370253680529</v>
      </c>
      <c r="F5601" s="5"/>
      <c r="G5601" s="5"/>
      <c r="H5601" s="26">
        <v>4.5</v>
      </c>
      <c r="I5601" s="5" t="s">
        <v>41835</v>
      </c>
      <c r="J5601" s="5" t="s">
        <v>41836</v>
      </c>
      <c r="K5601" s="5" t="s">
        <v>355</v>
      </c>
      <c r="L5601" s="5"/>
      <c r="M5601" s="27">
        <v>5290384</v>
      </c>
      <c r="N5601" s="5"/>
      <c r="O5601" s="5" t="str">
        <v>7716918034</v>
      </c>
      <c r="P5601" s="27">
        <v>450000000</v>
      </c>
      <c r="Q5601" s="5" t="s">
        <v>49021</v>
      </c>
      <c r="R5601" s="5"/>
      <c r="S5601" s="5" t="s">
        <v>57826</v>
      </c>
      <c r="T5601" s="28">
        <v>4968817000</v>
      </c>
      <c r="U5601" s="28">
        <v>10000</v>
      </c>
      <c r="V5601" s="28">
        <v>908839000</v>
      </c>
      <c r="W5601" s="28">
        <v>1046000000</v>
      </c>
      <c r="X5601" s="28">
        <v>644130000</v>
      </c>
      <c r="Y5601" s="28">
        <v>10015750000</v>
      </c>
      <c r="Z5601" s="28">
        <v>-1303945000</v>
      </c>
      <c r="AA5601" s="28"/>
      <c r="AB5601" s="28"/>
      <c r="AC5601" s="28">
        <v>4792782000</v>
      </c>
      <c r="AD5601" s="28">
        <v>-668945000</v>
      </c>
      <c r="AE5601" s="28">
        <v>7723819000</v>
      </c>
      <c r="AF5601" s="28">
        <v>402395000</v>
      </c>
      <c r="AG5601" s="11"/>
    </row>
    <row r="5602">
      <c r="A5602" s="7" t="s">
        <v>7209</v>
      </c>
      <c r="B5602" s="5" t="s">
        <v>15162</v>
      </c>
      <c r="C5602" s="5" t="s">
        <v>22847</v>
      </c>
      <c r="D5602" s="5" t="str">
        <v>773512544034</v>
      </c>
      <c r="E5602" s="0" t="e">
        <f>+7 (499) 8007803
+7 (495) 9887803
+7 (495) 9887805
+7 (495) 8007803</f>
        <v>#NAME?</v>
      </c>
      <c r="F5602" s="5"/>
      <c r="G5602" s="5"/>
      <c r="H5602" s="26">
        <v>11.5</v>
      </c>
      <c r="I5602" s="5" t="s">
        <v>41837</v>
      </c>
      <c r="J5602" s="5" t="s">
        <v>364</v>
      </c>
      <c r="K5602" s="5" t="s">
        <v>355</v>
      </c>
      <c r="L5602" s="5" t="s">
        <v>41838</v>
      </c>
      <c r="M5602" s="27">
        <v>2474791</v>
      </c>
      <c r="N5602" s="5"/>
      <c r="O5602" s="5" t="str">
        <v>7714856209</v>
      </c>
      <c r="P5602" s="27">
        <v>100000</v>
      </c>
      <c r="Q5602" s="5" t="s">
        <v>481</v>
      </c>
      <c r="R5602" s="5" t="s">
        <v>55578</v>
      </c>
      <c r="S5602" s="5" t="s">
        <v>57827</v>
      </c>
      <c r="T5602" s="28">
        <v>13358000</v>
      </c>
      <c r="U5602" s="28"/>
      <c r="V5602" s="28">
        <v>6577606000</v>
      </c>
      <c r="W5602" s="28">
        <v>15088000</v>
      </c>
      <c r="X5602" s="28">
        <v>83896000</v>
      </c>
      <c r="Y5602" s="28">
        <v>7787833000</v>
      </c>
      <c r="Z5602" s="28">
        <v>414212000</v>
      </c>
      <c r="AA5602" s="28"/>
      <c r="AB5602" s="28">
        <v>200344000</v>
      </c>
      <c r="AC5602" s="28">
        <v>6964616000</v>
      </c>
      <c r="AD5602" s="28">
        <v>414312000</v>
      </c>
      <c r="AE5602" s="28">
        <v>4079242000</v>
      </c>
      <c r="AF5602" s="28">
        <v>54000000</v>
      </c>
      <c r="AG5602" s="11"/>
    </row>
    <row r="5603">
      <c r="A5603" s="7" t="s">
        <v>7210</v>
      </c>
      <c r="B5603" s="5" t="s">
        <v>15163</v>
      </c>
      <c r="C5603" s="5" t="s">
        <v>22848</v>
      </c>
      <c r="D5603" s="5" t="str">
        <v>631922486232</v>
      </c>
      <c r="E5603" s="0" t="e">
        <f>+7 (84631) 1271
+7 (800) 7076555
+7 (846) 2052142
+7 (846) 3405181
+7 (846) 3743085
+7 (846) 3743108
+7 (84626) 20269
+7 (84627) 79444
+7 (84631) 2028
+7 (84626) 802
+7 (84626) 1945
+7 (84626) 7164
+7 (84627) 79142
+7 (84631) 2236
+7 (84631) 5172</f>
        <v>#NAME?</v>
      </c>
      <c r="F5603" s="5" t="s">
        <v>41839</v>
      </c>
      <c r="G5603" s="5" t="s">
        <v>41840</v>
      </c>
      <c r="H5603" s="26">
        <v>25</v>
      </c>
      <c r="I5603" s="5" t="s">
        <v>41841</v>
      </c>
      <c r="J5603" s="5" t="s">
        <v>41842</v>
      </c>
      <c r="K5603" s="5" t="s">
        <v>355</v>
      </c>
      <c r="L5603" s="5" t="s">
        <v>41843</v>
      </c>
      <c r="M5603" s="27">
        <v>997225499</v>
      </c>
      <c r="N5603" s="5" t="s">
        <v>57828</v>
      </c>
      <c r="O5603" s="5" t="str">
        <v>6314012801</v>
      </c>
      <c r="P5603" s="27">
        <v>338600000</v>
      </c>
      <c r="Q5603" s="5" t="s">
        <v>57830</v>
      </c>
      <c r="R5603" s="5" t="s">
        <v>57831</v>
      </c>
      <c r="S5603" s="5" t="s">
        <v>51027</v>
      </c>
      <c r="T5603" s="28">
        <v>16640779000</v>
      </c>
      <c r="U5603" s="28"/>
      <c r="V5603" s="28">
        <v>1527970000</v>
      </c>
      <c r="W5603" s="28"/>
      <c r="X5603" s="28">
        <v>851398000</v>
      </c>
      <c r="Y5603" s="28">
        <v>19636593000</v>
      </c>
      <c r="Z5603" s="28">
        <v>9012399000</v>
      </c>
      <c r="AA5603" s="28">
        <v>475691000</v>
      </c>
      <c r="AB5603" s="28"/>
      <c r="AC5603" s="28">
        <v>3120893000</v>
      </c>
      <c r="AD5603" s="28">
        <v>12672471000</v>
      </c>
      <c r="AE5603" s="28">
        <v>7023321000</v>
      </c>
      <c r="AF5603" s="28">
        <v>896599000</v>
      </c>
      <c r="AG5603" s="11"/>
    </row>
    <row r="5604">
      <c r="A5604" s="7" t="s">
        <v>7211</v>
      </c>
      <c r="B5604" s="5" t="s">
        <v>15164</v>
      </c>
      <c r="C5604" s="5" t="s">
        <v>22849</v>
      </c>
      <c r="D5604" s="5"/>
      <c r="E5604" s="0" t="e">
        <f>+7 (34346) 97202
+7 (343) 3727111
+7 (343) 3727118
+7 (34346) 34346
+7 (34346) 97039
+7 (34346) 97237
+7 (34346) 97312
+7 (34346) 97318
+7 (34346) 97346
+7 (34346) 97395
+7 (34346) 97433
+7 (34346) 97465
+7 (800) 4397318
+7 (843) 97318</f>
        <v>#NAME?</v>
      </c>
      <c r="F5604" s="5" t="s">
        <v>41844</v>
      </c>
      <c r="G5604" s="5" t="s">
        <v>41845</v>
      </c>
      <c r="H5604" s="26">
        <v>30</v>
      </c>
      <c r="I5604" s="5" t="s">
        <v>41846</v>
      </c>
      <c r="J5604" s="5" t="s">
        <v>27221</v>
      </c>
      <c r="K5604" s="5" t="s">
        <v>344</v>
      </c>
      <c r="L5604" s="5" t="s">
        <v>41847</v>
      </c>
      <c r="M5604" s="27"/>
      <c r="N5604" s="5" t="s">
        <v>57832</v>
      </c>
      <c r="O5604" s="5" t="str">
        <v>6635000195</v>
      </c>
      <c r="P5604" s="27">
        <v>252985</v>
      </c>
      <c r="Q5604" s="5"/>
      <c r="R5604" s="5"/>
      <c r="S5604" s="5" t="s">
        <v>49379</v>
      </c>
      <c r="T5604" s="28">
        <v>1847598000</v>
      </c>
      <c r="U5604" s="28"/>
      <c r="V5604" s="28">
        <v>5009096000</v>
      </c>
      <c r="W5604" s="28"/>
      <c r="X5604" s="28">
        <v>4046000</v>
      </c>
      <c r="Y5604" s="28">
        <v>7549470000</v>
      </c>
      <c r="Z5604" s="28">
        <v>5732346000</v>
      </c>
      <c r="AA5604" s="28"/>
      <c r="AB5604" s="28"/>
      <c r="AC5604" s="28">
        <v>1588251000</v>
      </c>
      <c r="AD5604" s="28">
        <v>5733065000</v>
      </c>
      <c r="AE5604" s="28">
        <v>4988702000</v>
      </c>
      <c r="AF5604" s="28">
        <v>175573000</v>
      </c>
      <c r="AG5604" s="11"/>
    </row>
    <row r="5605">
      <c r="A5605" s="7" t="s">
        <v>7212</v>
      </c>
      <c r="B5605" s="5" t="s">
        <v>15165</v>
      </c>
      <c r="C5605" s="5" t="s">
        <v>22849</v>
      </c>
      <c r="D5605" s="5"/>
      <c r="E5605" s="0" t="e">
        <f>+7 (920) 3880046
+7 (494) 2480510
+7 (494) 2480511
+7 (494) 2480519
+7 (494) 2650511</f>
        <v>#NAME?</v>
      </c>
      <c r="F5605" s="5" t="s">
        <v>41848</v>
      </c>
      <c r="G5605" s="5" t="s">
        <v>41845</v>
      </c>
      <c r="H5605" s="26">
        <v>26.5</v>
      </c>
      <c r="I5605" s="5"/>
      <c r="J5605" s="5" t="s">
        <v>27221</v>
      </c>
      <c r="K5605" s="5" t="s">
        <v>344</v>
      </c>
      <c r="L5605" s="5" t="s">
        <v>41849</v>
      </c>
      <c r="M5605" s="27">
        <v>7661507</v>
      </c>
      <c r="N5605" s="5" t="s">
        <v>57833</v>
      </c>
      <c r="O5605" s="5" t="str">
        <v>4401006864</v>
      </c>
      <c r="P5605" s="27">
        <v>23146968</v>
      </c>
      <c r="Q5605" s="5" t="s">
        <v>49009</v>
      </c>
      <c r="R5605" s="5"/>
      <c r="S5605" s="5" t="s">
        <v>49028</v>
      </c>
      <c r="T5605" s="28">
        <v>1906730000</v>
      </c>
      <c r="U5605" s="28"/>
      <c r="V5605" s="28">
        <v>4381973000</v>
      </c>
      <c r="W5605" s="28"/>
      <c r="X5605" s="28">
        <v>5806000</v>
      </c>
      <c r="Y5605" s="28">
        <v>7268560000</v>
      </c>
      <c r="Z5605" s="28">
        <v>5874802000</v>
      </c>
      <c r="AA5605" s="28"/>
      <c r="AB5605" s="28"/>
      <c r="AC5605" s="28">
        <v>1090951000</v>
      </c>
      <c r="AD5605" s="28">
        <v>5981556000</v>
      </c>
      <c r="AE5605" s="28">
        <v>6836274000</v>
      </c>
      <c r="AF5605" s="28">
        <v>414610000</v>
      </c>
      <c r="AG5605" s="11"/>
    </row>
    <row r="5606">
      <c r="A5606" s="7" t="s">
        <v>7213</v>
      </c>
      <c r="B5606" s="5" t="s">
        <v>15166</v>
      </c>
      <c r="C5606" s="5" t="s">
        <v>22849</v>
      </c>
      <c r="D5606" s="5"/>
      <c r="E5606" s="0" t="e">
        <f>+7 (34272) 30782
+7 (34272) 95411
+7 (34272) 95441
+7 (34272) 95490
+7 (495) 7830035</f>
        <v>#NAME?</v>
      </c>
      <c r="F5606" s="5" t="s">
        <v>41850</v>
      </c>
      <c r="G5606" s="5" t="s">
        <v>41845</v>
      </c>
      <c r="H5606" s="26">
        <v>19</v>
      </c>
      <c r="I5606" s="5" t="s">
        <v>41851</v>
      </c>
      <c r="J5606" s="5" t="s">
        <v>27221</v>
      </c>
      <c r="K5606" s="5" t="s">
        <v>380</v>
      </c>
      <c r="L5606" s="5" t="s">
        <v>41852</v>
      </c>
      <c r="M5606" s="27"/>
      <c r="N5606" s="5"/>
      <c r="O5606" s="5" t="str">
        <v>5942005010</v>
      </c>
      <c r="P5606" s="27">
        <v>109332</v>
      </c>
      <c r="Q5606" s="5" t="s">
        <v>49009</v>
      </c>
      <c r="R5606" s="5"/>
      <c r="S5606" s="5" t="s">
        <v>49120</v>
      </c>
      <c r="T5606" s="28">
        <v>4935023000</v>
      </c>
      <c r="U5606" s="28">
        <v>16695000</v>
      </c>
      <c r="V5606" s="28">
        <v>4025809000</v>
      </c>
      <c r="W5606" s="28"/>
      <c r="X5606" s="28">
        <v>3218000</v>
      </c>
      <c r="Y5606" s="28">
        <v>10110274000</v>
      </c>
      <c r="Z5606" s="28">
        <v>8261602000</v>
      </c>
      <c r="AA5606" s="28"/>
      <c r="AB5606" s="28"/>
      <c r="AC5606" s="28">
        <v>1460747000</v>
      </c>
      <c r="AD5606" s="28">
        <v>8261711000</v>
      </c>
      <c r="AE5606" s="28">
        <v>6130759000</v>
      </c>
      <c r="AF5606" s="28">
        <v>-432503000</v>
      </c>
      <c r="AG5606" s="11"/>
    </row>
    <row r="5607">
      <c r="A5607" s="7" t="s">
        <v>7214</v>
      </c>
      <c r="B5607" s="5" t="s">
        <v>15167</v>
      </c>
      <c r="C5607" s="5" t="s">
        <v>22849</v>
      </c>
      <c r="D5607" s="5"/>
      <c r="E5607" s="0" t="e">
        <f>+7 (812) 4622089
+7 (812) 4622097
+7 (494) 2390927
+7 (812) 4622083
+7 (812) 4622086
+7 (812) 6481615
+7 (812) 7806655</f>
        <v>#NAME?</v>
      </c>
      <c r="F5607" s="5" t="s">
        <v>41853</v>
      </c>
      <c r="G5607" s="5" t="s">
        <v>41854</v>
      </c>
      <c r="H5607" s="26">
        <v>31.5</v>
      </c>
      <c r="I5607" s="5"/>
      <c r="J5607" s="5" t="s">
        <v>27221</v>
      </c>
      <c r="K5607" s="5" t="s">
        <v>355</v>
      </c>
      <c r="L5607" s="5" t="s">
        <v>41855</v>
      </c>
      <c r="M5607" s="27">
        <v>155004</v>
      </c>
      <c r="N5607" s="5" t="s">
        <v>57836</v>
      </c>
      <c r="O5607" s="5" t="str">
        <v>7817015769</v>
      </c>
      <c r="P5607" s="27">
        <v>746580</v>
      </c>
      <c r="Q5607" s="5" t="s">
        <v>49009</v>
      </c>
      <c r="R5607" s="5"/>
      <c r="S5607" s="5" t="s">
        <v>49066</v>
      </c>
      <c r="T5607" s="28">
        <v>4718524000</v>
      </c>
      <c r="U5607" s="28"/>
      <c r="V5607" s="28">
        <v>2069706000</v>
      </c>
      <c r="W5607" s="28"/>
      <c r="X5607" s="28">
        <v>1203000</v>
      </c>
      <c r="Y5607" s="28">
        <v>7895439000</v>
      </c>
      <c r="Z5607" s="28">
        <v>4226455000</v>
      </c>
      <c r="AA5607" s="28">
        <v>693705000</v>
      </c>
      <c r="AB5607" s="28"/>
      <c r="AC5607" s="28">
        <v>1599601000</v>
      </c>
      <c r="AD5607" s="28">
        <v>5286050000</v>
      </c>
      <c r="AE5607" s="28">
        <v>4213114000</v>
      </c>
      <c r="AF5607" s="28">
        <v>-614334000</v>
      </c>
      <c r="AG5607" s="11"/>
    </row>
    <row r="5608">
      <c r="A5608" s="7" t="s">
        <v>7215</v>
      </c>
      <c r="B5608" s="5" t="s">
        <v>15168</v>
      </c>
      <c r="C5608" s="5" t="s">
        <v>22850</v>
      </c>
      <c r="D5608" s="5" t="str">
        <v>352806186918</v>
      </c>
      <c r="E5608" s="0" t="e">
        <f>+7 (3422) 375527
+7 (3422) 797815
+7 (34272) 53336
+7 (343) 2530584
+7 (343) 3448252
+7 (343) 3616349
+7 (3472) 460945
+7 (3472) 521606
+7 (3472) 862846
+7 (3472) 925666
+7 (3512) 685159
+7 (3512) 685516
+7 (3517) 502537
+7 (383) 2099283
+7 (383) 2991688</f>
        <v>#NAME?</v>
      </c>
      <c r="F5608" s="5" t="s">
        <v>41856</v>
      </c>
      <c r="G5608" s="5" t="s">
        <v>41857</v>
      </c>
      <c r="H5608" s="26">
        <v>23</v>
      </c>
      <c r="I5608" s="5" t="s">
        <v>41858</v>
      </c>
      <c r="J5608" s="5" t="s">
        <v>678</v>
      </c>
      <c r="K5608" s="5" t="s">
        <v>344</v>
      </c>
      <c r="L5608" s="5" t="s">
        <v>41859</v>
      </c>
      <c r="M5608" s="27"/>
      <c r="N5608" s="5"/>
      <c r="O5608" s="5" t="str">
        <v>7706207296</v>
      </c>
      <c r="P5608" s="27">
        <v>773929820</v>
      </c>
      <c r="Q5608" s="5"/>
      <c r="R5608" s="5"/>
      <c r="S5608" s="5" t="s">
        <v>49123</v>
      </c>
      <c r="T5608" s="28">
        <v>110838000</v>
      </c>
      <c r="U5608" s="28">
        <v>2412710000</v>
      </c>
      <c r="V5608" s="28">
        <v>8122970000</v>
      </c>
      <c r="W5608" s="28">
        <v>41610000</v>
      </c>
      <c r="X5608" s="28">
        <v>9725490000</v>
      </c>
      <c r="Y5608" s="28">
        <v>20747669000</v>
      </c>
      <c r="Z5608" s="28">
        <v>4612164000</v>
      </c>
      <c r="AA5608" s="28">
        <v>28201000</v>
      </c>
      <c r="AB5608" s="28"/>
      <c r="AC5608" s="28">
        <v>15094422000</v>
      </c>
      <c r="AD5608" s="28">
        <v>5389922000</v>
      </c>
      <c r="AE5608" s="28">
        <v>9848177000</v>
      </c>
      <c r="AF5608" s="28">
        <v>567906000</v>
      </c>
      <c r="AG5608" s="11"/>
    </row>
    <row r="5609">
      <c r="A5609" s="7" t="s">
        <v>7216</v>
      </c>
      <c r="B5609" s="5" t="s">
        <v>15169</v>
      </c>
      <c r="C5609" s="5" t="s">
        <v>22851</v>
      </c>
      <c r="D5609" s="5" t="str">
        <v>742300030300</v>
      </c>
      <c r="E5609" s="0" t="e">
        <f>+7 (343) 2768067
+7 (343) 3110080
+7 (343) 3768026
+7 (343) 3768055
+7 (34371) 21284
+7 (34375) 24911
+7 (34385) 61611
+7 (34394) 50884</f>
        <v>#NAME?</v>
      </c>
      <c r="F5609" s="5" t="s">
        <v>41860</v>
      </c>
      <c r="G5609" s="5" t="s">
        <v>41861</v>
      </c>
      <c r="H5609" s="26">
        <v>12</v>
      </c>
      <c r="I5609" s="5"/>
      <c r="J5609" s="5" t="s">
        <v>467</v>
      </c>
      <c r="K5609" s="5" t="s">
        <v>344</v>
      </c>
      <c r="L5609" s="5"/>
      <c r="M5609" s="27">
        <v>335262</v>
      </c>
      <c r="N5609" s="5" t="s">
        <v>57837</v>
      </c>
      <c r="O5609" s="5" t="str">
        <v>6658374729</v>
      </c>
      <c r="P5609" s="27">
        <v>2921097000</v>
      </c>
      <c r="Q5609" s="5" t="s">
        <v>57838</v>
      </c>
      <c r="R5609" s="5"/>
      <c r="S5609" s="5" t="s">
        <v>57839</v>
      </c>
      <c r="T5609" s="28">
        <v>2330401000</v>
      </c>
      <c r="U5609" s="28"/>
      <c r="V5609" s="28">
        <v>364028000</v>
      </c>
      <c r="W5609" s="28"/>
      <c r="X5609" s="28">
        <v>844715000</v>
      </c>
      <c r="Y5609" s="28">
        <v>4525752000</v>
      </c>
      <c r="Z5609" s="28">
        <v>405299000</v>
      </c>
      <c r="AA5609" s="28"/>
      <c r="AB5609" s="28"/>
      <c r="AC5609" s="28">
        <v>1016595000</v>
      </c>
      <c r="AD5609" s="28">
        <v>3327812000</v>
      </c>
      <c r="AE5609" s="28">
        <v>5709502000</v>
      </c>
      <c r="AF5609" s="28">
        <v>350842000</v>
      </c>
      <c r="AG5609" s="11"/>
    </row>
    <row r="5610">
      <c r="A5610" s="7" t="s">
        <v>7217</v>
      </c>
      <c r="B5610" s="5" t="s">
        <v>15170</v>
      </c>
      <c r="C5610" s="5" t="s">
        <v>22852</v>
      </c>
      <c r="D5610" s="5" t="str">
        <v>770706458036</v>
      </c>
      <c r="E5610" s="0" t="e">
        <f>+7 (495) 2580308
+7 (495) 5146519
+7 (499) 2580308
+7 (912) 9000780
+7 (917) 611279
+7 (922) 2579212
+7 (925) 7956627
+7 (982) 5101166</f>
        <v>#NAME?</v>
      </c>
      <c r="F5610" s="5" t="s">
        <v>41862</v>
      </c>
      <c r="G5610" s="5" t="s">
        <v>41863</v>
      </c>
      <c r="H5610" s="26">
        <v>8</v>
      </c>
      <c r="I5610" s="5" t="s">
        <v>41864</v>
      </c>
      <c r="J5610" s="5" t="s">
        <v>27921</v>
      </c>
      <c r="K5610" s="5" t="s">
        <v>344</v>
      </c>
      <c r="L5610" s="5" t="s">
        <v>41865</v>
      </c>
      <c r="M5610" s="27"/>
      <c r="N5610" s="5" t="s">
        <v>57840</v>
      </c>
      <c r="O5610" s="5" t="str">
        <v>7707332500</v>
      </c>
      <c r="P5610" s="27">
        <v>1267220000</v>
      </c>
      <c r="Q5610" s="5" t="s">
        <v>57841</v>
      </c>
      <c r="R5610" s="5"/>
      <c r="S5610" s="5" t="s">
        <v>51433</v>
      </c>
      <c r="T5610" s="28">
        <v>1095314000</v>
      </c>
      <c r="U5610" s="28"/>
      <c r="V5610" s="28">
        <v>706537000</v>
      </c>
      <c r="W5610" s="28"/>
      <c r="X5610" s="28">
        <v>1681260000</v>
      </c>
      <c r="Y5610" s="28">
        <v>5035692000</v>
      </c>
      <c r="Z5610" s="28">
        <v>46213000</v>
      </c>
      <c r="AA5610" s="28">
        <v>9013000</v>
      </c>
      <c r="AB5610" s="28">
        <v>641528000</v>
      </c>
      <c r="AC5610" s="28">
        <v>3391383000</v>
      </c>
      <c r="AD5610" s="28">
        <v>1313433000</v>
      </c>
      <c r="AE5610" s="28">
        <v>4119214000</v>
      </c>
      <c r="AF5610" s="28">
        <v>518781000</v>
      </c>
      <c r="AG5610" s="11"/>
    </row>
    <row r="5611">
      <c r="A5611" s="7" t="s">
        <v>7218</v>
      </c>
      <c r="B5611" s="5" t="s">
        <v>15171</v>
      </c>
      <c r="C5611" s="5" t="s">
        <v>22853</v>
      </c>
      <c r="D5611" s="5" t="str">
        <v>183000517052</v>
      </c>
      <c r="E5611" s="0" t="e">
        <f>+7 (34139) 33050
+7 (34139) 33061
+7 (34139) 38031
+7 (34139) 38070
+7 (34139) 38080
+7 (34139) 38081
+7 (34139) 38110
+7 (34139) 38120
+7 (34139) 38135</f>
        <v>#NAME?</v>
      </c>
      <c r="F5611" s="5" t="s">
        <v>41866</v>
      </c>
      <c r="G5611" s="5" t="s">
        <v>41867</v>
      </c>
      <c r="H5611" s="26">
        <v>30</v>
      </c>
      <c r="I5611" s="5" t="s">
        <v>41868</v>
      </c>
      <c r="J5611" s="5" t="s">
        <v>33361</v>
      </c>
      <c r="K5611" s="5" t="s">
        <v>344</v>
      </c>
      <c r="L5611" s="5" t="s">
        <v>41869</v>
      </c>
      <c r="M5611" s="27"/>
      <c r="N5611" s="5" t="s">
        <v>57842</v>
      </c>
      <c r="O5611" s="5" t="str">
        <v>1830000094</v>
      </c>
      <c r="P5611" s="27">
        <v>12970000</v>
      </c>
      <c r="Q5611" s="5" t="s">
        <v>57843</v>
      </c>
      <c r="R5611" s="5"/>
      <c r="S5611" s="5" t="s">
        <v>57844</v>
      </c>
      <c r="T5611" s="28">
        <v>3164877000</v>
      </c>
      <c r="U5611" s="28"/>
      <c r="V5611" s="28">
        <v>681974000</v>
      </c>
      <c r="W5611" s="28">
        <v>1517500000</v>
      </c>
      <c r="X5611" s="28">
        <v>37542000</v>
      </c>
      <c r="Y5611" s="28">
        <v>7068275000</v>
      </c>
      <c r="Z5611" s="28">
        <v>2325896000</v>
      </c>
      <c r="AA5611" s="28">
        <v>2032462000</v>
      </c>
      <c r="AB5611" s="28">
        <v>902957000</v>
      </c>
      <c r="AC5611" s="28">
        <v>1886076000</v>
      </c>
      <c r="AD5611" s="28">
        <v>2713433000</v>
      </c>
      <c r="AE5611" s="28">
        <v>6302175000</v>
      </c>
      <c r="AF5611" s="28">
        <v>557326000</v>
      </c>
      <c r="AG5611" s="11"/>
    </row>
    <row r="5612">
      <c r="A5612" s="7" t="s">
        <v>7219</v>
      </c>
      <c r="B5612" s="5" t="s">
        <v>15172</v>
      </c>
      <c r="C5612" s="5" t="s">
        <v>22854</v>
      </c>
      <c r="D5612" s="5" t="str">
        <v>251500829035</v>
      </c>
      <c r="E5612" s="0" t="e">
        <f>+7 (421) 2794510
+7 (421) 2910045</f>
        <v>#NAME?</v>
      </c>
      <c r="F5612" s="5" t="s">
        <v>41870</v>
      </c>
      <c r="G5612" s="5" t="s">
        <v>25777</v>
      </c>
      <c r="H5612" s="26">
        <v>23.5</v>
      </c>
      <c r="I5612" s="5" t="s">
        <v>41871</v>
      </c>
      <c r="J5612" s="5" t="s">
        <v>26499</v>
      </c>
      <c r="K5612" s="5" t="s">
        <v>344</v>
      </c>
      <c r="L5612" s="5" t="s">
        <v>41872</v>
      </c>
      <c r="M5612" s="27">
        <v>18137828</v>
      </c>
      <c r="N5612" s="5"/>
      <c r="O5612" s="5" t="str">
        <v>2721071682</v>
      </c>
      <c r="P5612" s="27">
        <v>1854000000</v>
      </c>
      <c r="Q5612" s="5" t="s">
        <v>49021</v>
      </c>
      <c r="R5612" s="5" t="s">
        <v>52261</v>
      </c>
      <c r="S5612" s="5" t="s">
        <v>52514</v>
      </c>
      <c r="T5612" s="28">
        <v>2220773000</v>
      </c>
      <c r="U5612" s="28">
        <v>8196188000</v>
      </c>
      <c r="V5612" s="28">
        <v>4880670000</v>
      </c>
      <c r="W5612" s="28"/>
      <c r="X5612" s="28">
        <v>1042363000</v>
      </c>
      <c r="Y5612" s="28">
        <v>24357716000</v>
      </c>
      <c r="Z5612" s="28">
        <v>18982606000</v>
      </c>
      <c r="AA5612" s="28">
        <v>76323000</v>
      </c>
      <c r="AB5612" s="28">
        <v>9037000</v>
      </c>
      <c r="AC5612" s="28">
        <v>1184700000</v>
      </c>
      <c r="AD5612" s="28">
        <v>21836606000</v>
      </c>
      <c r="AE5612" s="28">
        <v>11242185000</v>
      </c>
      <c r="AF5612" s="28">
        <v>3854900000</v>
      </c>
      <c r="AG5612" s="11"/>
    </row>
    <row r="5613">
      <c r="A5613" s="7" t="s">
        <v>7220</v>
      </c>
      <c r="B5613" s="5" t="s">
        <v>15173</v>
      </c>
      <c r="C5613" s="5" t="s">
        <v>22855</v>
      </c>
      <c r="D5613" s="5" t="str">
        <v>482403399753</v>
      </c>
      <c r="E5613" s="0" t="e">
        <f>+7 (474) 2288635
+7 (474) 2288637
+7 (47467) 91124
+7 (47467) 91228
+7 (47467) 91247
+7 (47467) 91733
+7 (47467) 91768
+7 (47467) 91778</f>
        <v>#NAME?</v>
      </c>
      <c r="F5613" s="5" t="s">
        <v>41873</v>
      </c>
      <c r="G5613" s="5"/>
      <c r="H5613" s="26">
        <v>12.5</v>
      </c>
      <c r="I5613" s="5" t="s">
        <v>41874</v>
      </c>
      <c r="J5613" s="5" t="s">
        <v>25901</v>
      </c>
      <c r="K5613" s="5" t="s">
        <v>344</v>
      </c>
      <c r="L5613" s="5"/>
      <c r="M5613" s="27"/>
      <c r="N5613" s="5" t="s">
        <v>57845</v>
      </c>
      <c r="O5613" s="5" t="str">
        <v>4813013701</v>
      </c>
      <c r="P5613" s="27">
        <v>10000</v>
      </c>
      <c r="Q5613" s="5"/>
      <c r="R5613" s="5"/>
      <c r="S5613" s="5" t="s">
        <v>49110</v>
      </c>
      <c r="T5613" s="28">
        <v>633353000</v>
      </c>
      <c r="U5613" s="28">
        <v>199210000</v>
      </c>
      <c r="V5613" s="28">
        <v>3693199000</v>
      </c>
      <c r="W5613" s="28">
        <v>23587000</v>
      </c>
      <c r="X5613" s="28">
        <v>2086000</v>
      </c>
      <c r="Y5613" s="28">
        <v>4892326000</v>
      </c>
      <c r="Z5613" s="28">
        <v>3705281000</v>
      </c>
      <c r="AA5613" s="28">
        <v>120000000</v>
      </c>
      <c r="AB5613" s="28">
        <v>800681000</v>
      </c>
      <c r="AC5613" s="28">
        <v>1064089000</v>
      </c>
      <c r="AD5613" s="28">
        <v>3705301000</v>
      </c>
      <c r="AE5613" s="28">
        <v>3277010000</v>
      </c>
      <c r="AF5613" s="28">
        <v>415195000</v>
      </c>
      <c r="AG5613" s="11"/>
    </row>
    <row r="5614">
      <c r="A5614" s="7" t="s">
        <v>7221</v>
      </c>
      <c r="B5614" s="5" t="s">
        <v>15174</v>
      </c>
      <c r="C5614" s="5" t="s">
        <v>22856</v>
      </c>
      <c r="D5614" s="5" t="str">
        <v>165504920575</v>
      </c>
      <c r="E5614" s="0" t="e">
        <f>+7 (812) 3345730
+7 (812) 3345735
+7 (812) 7844044
+7 (812) 7844061
+7 (81378) 41222
+7 (81378) 43504
+7 (81378) 44044
+7 (81378) 44061
+7 (81378) 44062
+7 (81378) 44881</f>
        <v>#NAME?</v>
      </c>
      <c r="F5614" s="5" t="s">
        <v>41875</v>
      </c>
      <c r="G5614" s="5" t="s">
        <v>41876</v>
      </c>
      <c r="H5614" s="26">
        <v>20.5</v>
      </c>
      <c r="I5614" s="5"/>
      <c r="J5614" s="5" t="s">
        <v>30577</v>
      </c>
      <c r="K5614" s="5" t="s">
        <v>344</v>
      </c>
      <c r="L5614" s="5" t="s">
        <v>41877</v>
      </c>
      <c r="M5614" s="27">
        <v>698858447</v>
      </c>
      <c r="N5614" s="5"/>
      <c r="O5614" s="5" t="str">
        <v>4704012472</v>
      </c>
      <c r="P5614" s="27">
        <v>772736000</v>
      </c>
      <c r="Q5614" s="5" t="s">
        <v>49009</v>
      </c>
      <c r="R5614" s="5"/>
      <c r="S5614" s="5" t="s">
        <v>49010</v>
      </c>
      <c r="T5614" s="28">
        <v>12833533000</v>
      </c>
      <c r="U5614" s="28">
        <v>3891335000</v>
      </c>
      <c r="V5614" s="28">
        <v>7390203000</v>
      </c>
      <c r="W5614" s="28"/>
      <c r="X5614" s="28">
        <v>196187000</v>
      </c>
      <c r="Y5614" s="28">
        <v>48784295000</v>
      </c>
      <c r="Z5614" s="28">
        <v>19559436000</v>
      </c>
      <c r="AA5614" s="28">
        <v>17528105000</v>
      </c>
      <c r="AB5614" s="28"/>
      <c r="AC5614" s="28">
        <v>3691622000</v>
      </c>
      <c r="AD5614" s="28">
        <v>24806188000</v>
      </c>
      <c r="AE5614" s="28">
        <v>49017118000</v>
      </c>
      <c r="AF5614" s="28">
        <v>5411783000</v>
      </c>
      <c r="AG5614" s="11"/>
    </row>
    <row r="5615">
      <c r="A5615" s="7" t="s">
        <v>7222</v>
      </c>
      <c r="B5615" s="5" t="s">
        <v>15175</v>
      </c>
      <c r="C5615" s="5" t="s">
        <v>22857</v>
      </c>
      <c r="D5615" s="5" t="str">
        <v>246500124447</v>
      </c>
      <c r="E5615" s="0" t="e">
        <f>+7 (391) 2988803
+7 (391) 2220786
+7 (391) 2989005</f>
        <v>#NAME?</v>
      </c>
      <c r="F5615" s="5"/>
      <c r="G5615" s="5" t="s">
        <v>41878</v>
      </c>
      <c r="H5615" s="26">
        <v>31.5</v>
      </c>
      <c r="I5615" s="5"/>
      <c r="J5615" s="5" t="s">
        <v>364</v>
      </c>
      <c r="K5615" s="5" t="s">
        <v>344</v>
      </c>
      <c r="L5615" s="5" t="s">
        <v>41879</v>
      </c>
      <c r="M5615" s="27">
        <v>80617694</v>
      </c>
      <c r="N5615" s="5" t="s">
        <v>57846</v>
      </c>
      <c r="O5615" s="5" t="str">
        <v>2465050449</v>
      </c>
      <c r="P5615" s="27">
        <v>100000</v>
      </c>
      <c r="Q5615" s="5" t="s">
        <v>57847</v>
      </c>
      <c r="R5615" s="5"/>
      <c r="S5615" s="5" t="s">
        <v>57848</v>
      </c>
      <c r="T5615" s="28">
        <v>1995008000</v>
      </c>
      <c r="U5615" s="28">
        <v>77000</v>
      </c>
      <c r="V5615" s="28">
        <v>2385732000</v>
      </c>
      <c r="W5615" s="28">
        <v>3828930000</v>
      </c>
      <c r="X5615" s="28">
        <v>13155000</v>
      </c>
      <c r="Y5615" s="28">
        <v>8422005000</v>
      </c>
      <c r="Z5615" s="28">
        <v>552570000</v>
      </c>
      <c r="AA5615" s="28"/>
      <c r="AB5615" s="28"/>
      <c r="AC5615" s="28">
        <v>7788016000</v>
      </c>
      <c r="AD5615" s="28">
        <v>1133607000</v>
      </c>
      <c r="AE5615" s="28">
        <v>6497158000</v>
      </c>
      <c r="AF5615" s="28">
        <v>243493000</v>
      </c>
      <c r="AG5615" s="11"/>
    </row>
    <row r="5616">
      <c r="A5616" s="7" t="s">
        <v>7223</v>
      </c>
      <c r="B5616" s="5" t="s">
        <v>15176</v>
      </c>
      <c r="C5616" s="5" t="s">
        <v>19116</v>
      </c>
      <c r="D5616" s="5"/>
      <c r="E5616" s="0" t="e">
        <f>+7 (472) 2586400</f>
        <v>#NAME?</v>
      </c>
      <c r="F5616" s="5"/>
      <c r="G5616" s="5"/>
      <c r="H5616" s="26">
        <v>13.5</v>
      </c>
      <c r="I5616" s="5" t="s">
        <v>41880</v>
      </c>
      <c r="J5616" s="5" t="s">
        <v>25371</v>
      </c>
      <c r="K5616" s="5" t="s">
        <v>344</v>
      </c>
      <c r="L5616" s="5" t="s">
        <v>41881</v>
      </c>
      <c r="M5616" s="27">
        <v>1430577</v>
      </c>
      <c r="N5616" s="5"/>
      <c r="O5616" s="5" t="str">
        <v>3115006318</v>
      </c>
      <c r="P5616" s="27">
        <v>960000000</v>
      </c>
      <c r="Q5616" s="5"/>
      <c r="R5616" s="5"/>
      <c r="S5616" s="5" t="s">
        <v>49743</v>
      </c>
      <c r="T5616" s="28">
        <v>1211313000</v>
      </c>
      <c r="U5616" s="28"/>
      <c r="V5616" s="28">
        <v>5160976000</v>
      </c>
      <c r="W5616" s="28"/>
      <c r="X5616" s="28">
        <v>273000</v>
      </c>
      <c r="Y5616" s="28">
        <v>7339699000</v>
      </c>
      <c r="Z5616" s="28">
        <v>4866810000</v>
      </c>
      <c r="AA5616" s="28"/>
      <c r="AB5616" s="28">
        <v>1000000000</v>
      </c>
      <c r="AC5616" s="28">
        <v>1501698000</v>
      </c>
      <c r="AD5616" s="28">
        <v>5838001000</v>
      </c>
      <c r="AE5616" s="28">
        <v>3160526000</v>
      </c>
      <c r="AF5616" s="28">
        <v>523409000</v>
      </c>
      <c r="AG5616" s="11"/>
    </row>
    <row r="5617">
      <c r="A5617" s="7" t="s">
        <v>7224</v>
      </c>
      <c r="B5617" s="5" t="s">
        <v>15177</v>
      </c>
      <c r="C5617" s="5" t="s">
        <v>17806</v>
      </c>
      <c r="D5617" s="5"/>
      <c r="E5617" s="0" t="e">
        <f>+7 (391) 2453973
+7 (391) 2737231
+7 (39198) 34223
+7 (39198) 34375
+7 (39198) 34377
+7 (903) 9219446
+7 (913) 5155250</f>
        <v>#NAME?</v>
      </c>
      <c r="F5617" s="5" t="s">
        <v>41882</v>
      </c>
      <c r="G5617" s="5"/>
      <c r="H5617" s="26">
        <v>12.5</v>
      </c>
      <c r="I5617" s="5"/>
      <c r="J5617" s="5" t="s">
        <v>25371</v>
      </c>
      <c r="K5617" s="5" t="s">
        <v>380</v>
      </c>
      <c r="L5617" s="5" t="s">
        <v>41883</v>
      </c>
      <c r="M5617" s="27"/>
      <c r="N5617" s="5"/>
      <c r="O5617" s="5" t="str">
        <v>3445112681</v>
      </c>
      <c r="P5617" s="27">
        <v>10000</v>
      </c>
      <c r="Q5617" s="5" t="s">
        <v>57849</v>
      </c>
      <c r="R5617" s="5"/>
      <c r="S5617" s="5" t="s">
        <v>49961</v>
      </c>
      <c r="T5617" s="28">
        <v>7447921000</v>
      </c>
      <c r="U5617" s="28"/>
      <c r="V5617" s="28">
        <v>749711000</v>
      </c>
      <c r="W5617" s="28">
        <v>1548034000</v>
      </c>
      <c r="X5617" s="28">
        <v>59438000</v>
      </c>
      <c r="Y5617" s="28">
        <v>11979640000</v>
      </c>
      <c r="Z5617" s="28">
        <v>3318207000</v>
      </c>
      <c r="AA5617" s="28">
        <v>2132133000</v>
      </c>
      <c r="AB5617" s="28">
        <v>4044569000</v>
      </c>
      <c r="AC5617" s="28">
        <v>6483629000</v>
      </c>
      <c r="AD5617" s="28">
        <v>4109905000</v>
      </c>
      <c r="AE5617" s="28">
        <v>7574468000</v>
      </c>
      <c r="AF5617" s="28">
        <v>622715000</v>
      </c>
      <c r="AG5617" s="11"/>
    </row>
    <row r="5618">
      <c r="A5618" s="7" t="s">
        <v>7225</v>
      </c>
      <c r="B5618" s="5" t="s">
        <v>12433</v>
      </c>
      <c r="C5618" s="5" t="s">
        <v>17806</v>
      </c>
      <c r="D5618" s="5"/>
      <c r="E5618" s="0" t="e">
        <f>+7 (343) 2047367
+7 (343) 3565020
+7 (343) 3452197
+7 (343) 3452198</f>
        <v>#NAME?</v>
      </c>
      <c r="F5618" s="5" t="s">
        <v>41884</v>
      </c>
      <c r="G5618" s="5"/>
      <c r="H5618" s="26">
        <v>16.5</v>
      </c>
      <c r="I5618" s="5" t="s">
        <v>25787</v>
      </c>
      <c r="J5618" s="5" t="s">
        <v>25371</v>
      </c>
      <c r="K5618" s="5" t="s">
        <v>355</v>
      </c>
      <c r="L5618" s="5" t="s">
        <v>41885</v>
      </c>
      <c r="M5618" s="27"/>
      <c r="N5618" s="5"/>
      <c r="O5618" s="5" t="str">
        <v>6658238860</v>
      </c>
      <c r="P5618" s="27">
        <v>10000</v>
      </c>
      <c r="Q5618" s="5" t="s">
        <v>49009</v>
      </c>
      <c r="R5618" s="5"/>
      <c r="S5618" s="5" t="s">
        <v>51145</v>
      </c>
      <c r="T5618" s="28">
        <v>6265335000</v>
      </c>
      <c r="U5618" s="28">
        <v>4061700000</v>
      </c>
      <c r="V5618" s="28">
        <v>2274048000</v>
      </c>
      <c r="W5618" s="28"/>
      <c r="X5618" s="28">
        <v>39985000</v>
      </c>
      <c r="Y5618" s="28">
        <v>14817859000</v>
      </c>
      <c r="Z5618" s="28">
        <v>6304834000</v>
      </c>
      <c r="AA5618" s="28">
        <v>1943087000</v>
      </c>
      <c r="AB5618" s="28">
        <v>4337586000</v>
      </c>
      <c r="AC5618" s="28">
        <v>6569885000</v>
      </c>
      <c r="AD5618" s="28">
        <v>6608072000</v>
      </c>
      <c r="AE5618" s="28">
        <v>7929284000</v>
      </c>
      <c r="AF5618" s="28">
        <v>423369000</v>
      </c>
      <c r="AG5618" s="11"/>
    </row>
    <row r="5619">
      <c r="A5619" s="7" t="s">
        <v>7226</v>
      </c>
      <c r="B5619" s="5" t="s">
        <v>15178</v>
      </c>
      <c r="C5619" s="5" t="s">
        <v>22858</v>
      </c>
      <c r="D5619" s="5" t="str">
        <v>440796723634</v>
      </c>
      <c r="E5619" s="0" t="e">
        <f>+7 (49449) 55095
+7 (49449) 57076
+7 (49449) 57102
+7 (49449) 57311
+7 (49449) 57312
+7 (49449) 59141
+7 (49449) 59482
+7 (49449) 59483
+7 (49449) 59600
+7 (49449) 59602
+7 (49449) 59610
+7 (49449) 59612
+7 (49449) 59722
+7 (49449) 59822
+7 (800) 7755111</f>
        <v>#NAME?</v>
      </c>
      <c r="F5619" s="5" t="s">
        <v>41886</v>
      </c>
      <c r="G5619" s="5" t="s">
        <v>41887</v>
      </c>
      <c r="H5619" s="26">
        <v>21</v>
      </c>
      <c r="I5619" s="5" t="s">
        <v>41888</v>
      </c>
      <c r="J5619" s="5" t="s">
        <v>27221</v>
      </c>
      <c r="K5619" s="5" t="s">
        <v>344</v>
      </c>
      <c r="L5619" s="5" t="s">
        <v>41889</v>
      </c>
      <c r="M5619" s="27">
        <v>1201527961</v>
      </c>
      <c r="N5619" s="5"/>
      <c r="O5619" s="5" t="str">
        <v>4407006010</v>
      </c>
      <c r="P5619" s="27">
        <v>2956133000</v>
      </c>
      <c r="Q5619" s="5" t="s">
        <v>49059</v>
      </c>
      <c r="R5619" s="5"/>
      <c r="S5619" s="5" t="s">
        <v>49066</v>
      </c>
      <c r="T5619" s="28">
        <v>9637437000</v>
      </c>
      <c r="U5619" s="28">
        <v>1407042000</v>
      </c>
      <c r="V5619" s="28">
        <v>1472466000</v>
      </c>
      <c r="W5619" s="28"/>
      <c r="X5619" s="28">
        <v>5786340000</v>
      </c>
      <c r="Y5619" s="28">
        <v>22601596000</v>
      </c>
      <c r="Z5619" s="28">
        <v>18188237000</v>
      </c>
      <c r="AA5619" s="28"/>
      <c r="AB5619" s="28"/>
      <c r="AC5619" s="28">
        <v>808670000</v>
      </c>
      <c r="AD5619" s="28">
        <v>21179003000</v>
      </c>
      <c r="AE5619" s="28">
        <v>21870634000</v>
      </c>
      <c r="AF5619" s="28">
        <v>2996635000</v>
      </c>
      <c r="AG5619" s="11"/>
    </row>
    <row r="5620">
      <c r="A5620" s="7" t="s">
        <v>7227</v>
      </c>
      <c r="B5620" s="5" t="s">
        <v>15179</v>
      </c>
      <c r="C5620" s="5" t="s">
        <v>22859</v>
      </c>
      <c r="D5620" s="5" t="str">
        <v>526209641910</v>
      </c>
      <c r="E5620" s="0" t="e">
        <f>+7 (951) 9083575
+7 (831) 2152525
+7 (831) 2530504
+7 (831) 2580588
+7 (831) 2581141</f>
        <v>#NAME?</v>
      </c>
      <c r="F5620" s="5" t="s">
        <v>41890</v>
      </c>
      <c r="G5620" s="5" t="s">
        <v>41891</v>
      </c>
      <c r="H5620" s="26">
        <v>16</v>
      </c>
      <c r="I5620" s="5" t="s">
        <v>41892</v>
      </c>
      <c r="J5620" s="5" t="s">
        <v>26125</v>
      </c>
      <c r="K5620" s="5" t="s">
        <v>344</v>
      </c>
      <c r="L5620" s="5" t="s">
        <v>41893</v>
      </c>
      <c r="M5620" s="27">
        <v>1522907</v>
      </c>
      <c r="N5620" s="5" t="s">
        <v>57851</v>
      </c>
      <c r="O5620" s="5" t="str">
        <v>5258068806</v>
      </c>
      <c r="P5620" s="27">
        <v>10000</v>
      </c>
      <c r="Q5620" s="5" t="s">
        <v>49009</v>
      </c>
      <c r="R5620" s="5"/>
      <c r="S5620" s="5" t="s">
        <v>49085</v>
      </c>
      <c r="T5620" s="28">
        <v>1935183000</v>
      </c>
      <c r="U5620" s="28"/>
      <c r="V5620" s="28">
        <v>4448165000</v>
      </c>
      <c r="W5620" s="28">
        <v>2100000</v>
      </c>
      <c r="X5620" s="28">
        <v>7391000</v>
      </c>
      <c r="Y5620" s="28">
        <v>8698599000</v>
      </c>
      <c r="Z5620" s="28">
        <v>937734000</v>
      </c>
      <c r="AA5620" s="28">
        <v>3379223000</v>
      </c>
      <c r="AB5620" s="28">
        <v>799063000</v>
      </c>
      <c r="AC5620" s="28">
        <v>3387702000</v>
      </c>
      <c r="AD5620" s="28">
        <v>1459744000</v>
      </c>
      <c r="AE5620" s="28">
        <v>32417236000</v>
      </c>
      <c r="AF5620" s="28">
        <v>731379000</v>
      </c>
      <c r="AG5620" s="11"/>
    </row>
    <row r="5621">
      <c r="A5621" s="7" t="s">
        <v>7228</v>
      </c>
      <c r="B5621" s="5" t="s">
        <v>15180</v>
      </c>
      <c r="C5621" s="5" t="s">
        <v>22860</v>
      </c>
      <c r="D5621" s="5" t="str">
        <v>973305720777</v>
      </c>
      <c r="E5621" s="0" t="e">
        <f>+7 (4236) 750062
+7 (902) 1799279
+7 (914) 7017297
+7 (382) 2705417
+7 (495) 6467007
+7 (800) 3336466
+7 (902) 5696296
+7 (913) 8005722
+7 (914) 5160160
+7 (914) 6522477</f>
        <v>#NAME?</v>
      </c>
      <c r="F5621" s="5"/>
      <c r="G5621" s="5" t="s">
        <v>41894</v>
      </c>
      <c r="H5621" s="26">
        <v>7.5</v>
      </c>
      <c r="I5621" s="5" t="s">
        <v>41895</v>
      </c>
      <c r="J5621" s="5" t="s">
        <v>599</v>
      </c>
      <c r="K5621" s="5" t="s">
        <v>355</v>
      </c>
      <c r="L5621" s="5" t="s">
        <v>33313</v>
      </c>
      <c r="M5621" s="27"/>
      <c r="N5621" s="5"/>
      <c r="O5621" s="5" t="str">
        <v>9705052741</v>
      </c>
      <c r="P5621" s="27">
        <v>100000</v>
      </c>
      <c r="Q5621" s="5" t="s">
        <v>57853</v>
      </c>
      <c r="R5621" s="5"/>
      <c r="S5621" s="5" t="s">
        <v>49053</v>
      </c>
      <c r="T5621" s="28">
        <v>7111000</v>
      </c>
      <c r="U5621" s="28">
        <v>50000</v>
      </c>
      <c r="V5621" s="28">
        <v>984711000</v>
      </c>
      <c r="W5621" s="28">
        <v>3216000</v>
      </c>
      <c r="X5621" s="28">
        <v>321769000</v>
      </c>
      <c r="Y5621" s="28">
        <v>1424592000</v>
      </c>
      <c r="Z5621" s="28">
        <v>-9259000</v>
      </c>
      <c r="AA5621" s="28"/>
      <c r="AB5621" s="28"/>
      <c r="AC5621" s="28">
        <v>1430995000</v>
      </c>
      <c r="AD5621" s="28">
        <v>-9159000</v>
      </c>
      <c r="AE5621" s="28">
        <v>8875835000</v>
      </c>
      <c r="AF5621" s="28">
        <v>-98958000</v>
      </c>
      <c r="AG5621" s="11"/>
    </row>
    <row r="5622">
      <c r="A5622" s="7" t="s">
        <v>7229</v>
      </c>
      <c r="B5622" s="5" t="s">
        <v>15181</v>
      </c>
      <c r="C5622" s="5" t="s">
        <v>22861</v>
      </c>
      <c r="D5622" s="5" t="str">
        <v>770470554508</v>
      </c>
      <c r="E5622" s="0" t="e">
        <f>+7 (812) 7403596
+7 (921) 3095411</f>
        <v>#NAME?</v>
      </c>
      <c r="F5622" s="5" t="s">
        <v>41896</v>
      </c>
      <c r="G5622" s="5"/>
      <c r="H5622" s="26">
        <v>9</v>
      </c>
      <c r="I5622" s="5" t="s">
        <v>41897</v>
      </c>
      <c r="J5622" s="5" t="s">
        <v>599</v>
      </c>
      <c r="K5622" s="5" t="s">
        <v>344</v>
      </c>
      <c r="L5622" s="5" t="s">
        <v>41898</v>
      </c>
      <c r="M5622" s="27"/>
      <c r="N5622" s="5"/>
      <c r="O5622" s="5" t="str">
        <v>7805648051</v>
      </c>
      <c r="P5622" s="27">
        <v>7000000</v>
      </c>
      <c r="Q5622" s="5" t="s">
        <v>49535</v>
      </c>
      <c r="R5622" s="5"/>
      <c r="S5622" s="5" t="s">
        <v>57854</v>
      </c>
      <c r="T5622" s="28">
        <v>660000</v>
      </c>
      <c r="U5622" s="28"/>
      <c r="V5622" s="28">
        <v>380801000</v>
      </c>
      <c r="W5622" s="28"/>
      <c r="X5622" s="28">
        <v>67556000</v>
      </c>
      <c r="Y5622" s="28">
        <v>485062000</v>
      </c>
      <c r="Z5622" s="28">
        <v>311524000</v>
      </c>
      <c r="AA5622" s="28"/>
      <c r="AB5622" s="28"/>
      <c r="AC5622" s="28">
        <v>166538000</v>
      </c>
      <c r="AD5622" s="28">
        <v>318524000</v>
      </c>
      <c r="AE5622" s="28">
        <v>3038398000</v>
      </c>
      <c r="AF5622" s="28">
        <v>166904000</v>
      </c>
      <c r="AG5622" s="11"/>
    </row>
    <row r="5623">
      <c r="A5623" s="7" t="s">
        <v>7230</v>
      </c>
      <c r="B5623" s="5" t="s">
        <v>15182</v>
      </c>
      <c r="C5623" s="5" t="s">
        <v>22862</v>
      </c>
      <c r="D5623" s="5" t="str">
        <v>663202071879</v>
      </c>
      <c r="E5623" s="0" t="e">
        <f>+7 (812) 4551931
+7 (916) 7667290</f>
        <v>#NAME?</v>
      </c>
      <c r="F5623" s="5" t="s">
        <v>41899</v>
      </c>
      <c r="G5623" s="5" t="s">
        <v>38262</v>
      </c>
      <c r="H5623" s="26">
        <v>5.5</v>
      </c>
      <c r="I5623" s="5" t="s">
        <v>41900</v>
      </c>
      <c r="J5623" s="5" t="s">
        <v>25295</v>
      </c>
      <c r="K5623" s="5" t="s">
        <v>380</v>
      </c>
      <c r="L5623" s="5"/>
      <c r="M5623" s="27"/>
      <c r="N5623" s="5"/>
      <c r="O5623" s="5" t="str">
        <v>2807005882</v>
      </c>
      <c r="P5623" s="27">
        <v>5548100000</v>
      </c>
      <c r="Q5623" s="5" t="s">
        <v>57855</v>
      </c>
      <c r="R5623" s="5"/>
      <c r="S5623" s="5" t="s">
        <v>51232</v>
      </c>
      <c r="T5623" s="28">
        <v>36422367000</v>
      </c>
      <c r="U5623" s="28"/>
      <c r="V5623" s="28">
        <v>606468000</v>
      </c>
      <c r="W5623" s="28">
        <v>2455035000</v>
      </c>
      <c r="X5623" s="28">
        <v>171000</v>
      </c>
      <c r="Y5623" s="28">
        <v>41714515000</v>
      </c>
      <c r="Z5623" s="28">
        <v>-6639722000</v>
      </c>
      <c r="AA5623" s="28">
        <v>36081717000</v>
      </c>
      <c r="AB5623" s="28">
        <v>5154531000</v>
      </c>
      <c r="AC5623" s="28">
        <v>6254113000</v>
      </c>
      <c r="AD5623" s="28">
        <v>-1091622000</v>
      </c>
      <c r="AE5623" s="28">
        <v>5372912000</v>
      </c>
      <c r="AF5623" s="28">
        <v>-3662341000</v>
      </c>
      <c r="AG5623" s="11"/>
    </row>
    <row r="5624">
      <c r="A5624" s="7" t="s">
        <v>7231</v>
      </c>
      <c r="B5624" s="5" t="s">
        <v>15183</v>
      </c>
      <c r="C5624" s="5" t="s">
        <v>22863</v>
      </c>
      <c r="D5624" s="5" t="str">
        <v>391601131742</v>
      </c>
      <c r="E5624" s="0" t="e">
        <f>+7 (495) 2215205
+7 (495) 5809648
+7 (495) 5809845
+7 (495) 6361357
+7 (495) 6361358
+7 (495) 7885281
+7 (495) 7923740
+7 (495) 7950640</f>
        <v>#NAME?</v>
      </c>
      <c r="F5624" s="5"/>
      <c r="G5624" s="5" t="s">
        <v>41901</v>
      </c>
      <c r="H5624" s="26">
        <v>17</v>
      </c>
      <c r="I5624" s="5" t="s">
        <v>41902</v>
      </c>
      <c r="J5624" s="5" t="s">
        <v>29967</v>
      </c>
      <c r="K5624" s="5" t="s">
        <v>344</v>
      </c>
      <c r="L5624" s="5"/>
      <c r="M5624" s="27"/>
      <c r="N5624" s="5"/>
      <c r="O5624" s="5" t="str">
        <v>7704582037</v>
      </c>
      <c r="P5624" s="27">
        <v>8544115026</v>
      </c>
      <c r="Q5624" s="5"/>
      <c r="R5624" s="5"/>
      <c r="S5624" s="5" t="s">
        <v>49029</v>
      </c>
      <c r="T5624" s="28">
        <v>2668045000</v>
      </c>
      <c r="U5624" s="28"/>
      <c r="V5624" s="28">
        <v>286774000</v>
      </c>
      <c r="W5624" s="28"/>
      <c r="X5624" s="28">
        <v>1895451000</v>
      </c>
      <c r="Y5624" s="28">
        <v>9913014000</v>
      </c>
      <c r="Z5624" s="28">
        <v>-9824530000</v>
      </c>
      <c r="AA5624" s="28"/>
      <c r="AB5624" s="28"/>
      <c r="AC5624" s="28">
        <v>939593000</v>
      </c>
      <c r="AD5624" s="28">
        <v>7293730000</v>
      </c>
      <c r="AE5624" s="28">
        <v>3174570000</v>
      </c>
      <c r="AF5624" s="28">
        <v>-251046000</v>
      </c>
      <c r="AG5624" s="11"/>
    </row>
    <row r="5625">
      <c r="A5625" s="7" t="s">
        <v>7232</v>
      </c>
      <c r="B5625" s="5" t="s">
        <v>15184</v>
      </c>
      <c r="C5625" s="5" t="s">
        <v>22864</v>
      </c>
      <c r="D5625" s="5" t="str">
        <v>760407203604</v>
      </c>
      <c r="F5625" s="5"/>
      <c r="G5625" s="5"/>
      <c r="H5625" s="26">
        <v>2.5</v>
      </c>
      <c r="I5625" s="5" t="s">
        <v>41903</v>
      </c>
      <c r="J5625" s="5" t="s">
        <v>373</v>
      </c>
      <c r="K5625" s="5" t="s">
        <v>355</v>
      </c>
      <c r="L5625" s="5" t="s">
        <v>41904</v>
      </c>
      <c r="M5625" s="27"/>
      <c r="N5625" s="5"/>
      <c r="O5625" s="5" t="str">
        <v>7604369403</v>
      </c>
      <c r="P5625" s="27">
        <v>10000</v>
      </c>
      <c r="Q5625" s="5" t="s">
        <v>49057</v>
      </c>
      <c r="R5625" s="5"/>
      <c r="S5625" s="5" t="s">
        <v>49452</v>
      </c>
      <c r="T5625" s="28">
        <v>8111000</v>
      </c>
      <c r="U5625" s="28"/>
      <c r="V5625" s="28">
        <v>230828000</v>
      </c>
      <c r="W5625" s="28"/>
      <c r="X5625" s="28"/>
      <c r="Y5625" s="28">
        <v>267594000</v>
      </c>
      <c r="Z5625" s="28">
        <v>31799000</v>
      </c>
      <c r="AA5625" s="28"/>
      <c r="AB5625" s="28">
        <v>142416000</v>
      </c>
      <c r="AC5625" s="28">
        <v>235785000</v>
      </c>
      <c r="AD5625" s="28">
        <v>31809000</v>
      </c>
      <c r="AE5625" s="28">
        <v>4416429000</v>
      </c>
      <c r="AF5625" s="28">
        <v>17646000</v>
      </c>
      <c r="AG5625" s="11"/>
    </row>
    <row r="5626">
      <c r="A5626" s="7" t="s">
        <v>7233</v>
      </c>
      <c r="B5626" s="5" t="s">
        <v>15185</v>
      </c>
      <c r="C5626" s="5" t="s">
        <v>22865</v>
      </c>
      <c r="D5626" s="5" t="str">
        <v>610401686735</v>
      </c>
      <c r="E5626" s="0" t="e">
        <f>+7 (928) 1907000</f>
        <v>#NAME?</v>
      </c>
      <c r="F5626" s="5" t="s">
        <v>41905</v>
      </c>
      <c r="G5626" s="5"/>
      <c r="H5626" s="26">
        <v>2</v>
      </c>
      <c r="I5626" s="5" t="s">
        <v>41906</v>
      </c>
      <c r="J5626" s="5" t="s">
        <v>28451</v>
      </c>
      <c r="K5626" s="5" t="s">
        <v>344</v>
      </c>
      <c r="L5626" s="5"/>
      <c r="M5626" s="27"/>
      <c r="N5626" s="5"/>
      <c r="O5626" s="5" t="str">
        <v>6146005888</v>
      </c>
      <c r="P5626" s="27">
        <v>10000</v>
      </c>
      <c r="Q5626" s="5" t="s">
        <v>57856</v>
      </c>
      <c r="R5626" s="5"/>
      <c r="S5626" s="5" t="s">
        <v>51236</v>
      </c>
      <c r="T5626" s="28">
        <v>142044000</v>
      </c>
      <c r="U5626" s="28"/>
      <c r="V5626" s="28">
        <v>283093000</v>
      </c>
      <c r="W5626" s="28">
        <v>18604000</v>
      </c>
      <c r="X5626" s="28">
        <v>3051000</v>
      </c>
      <c r="Y5626" s="28">
        <v>472438000</v>
      </c>
      <c r="Z5626" s="28">
        <v>50066000</v>
      </c>
      <c r="AA5626" s="28"/>
      <c r="AB5626" s="28">
        <v>151375000</v>
      </c>
      <c r="AC5626" s="28">
        <v>312365000</v>
      </c>
      <c r="AD5626" s="28">
        <v>50076000</v>
      </c>
      <c r="AE5626" s="28">
        <v>3289570000</v>
      </c>
      <c r="AF5626" s="28">
        <v>44226000</v>
      </c>
      <c r="AG5626" s="11"/>
    </row>
    <row r="5627">
      <c r="A5627" s="7" t="s">
        <v>7234</v>
      </c>
      <c r="B5627" s="5" t="s">
        <v>15186</v>
      </c>
      <c r="C5627" s="5" t="s">
        <v>22866</v>
      </c>
      <c r="D5627" s="5" t="str">
        <v>166006582300</v>
      </c>
      <c r="E5627" s="0" t="e">
        <f>+7 (843) 2783561
+7 (843) 8784302
+7 (8432) 410404
+7 (8432) 784196
+7 (950) 3202164</f>
        <v>#NAME?</v>
      </c>
      <c r="F5627" s="5" t="s">
        <v>41907</v>
      </c>
      <c r="G5627" s="5" t="s">
        <v>41908</v>
      </c>
      <c r="H5627" s="26">
        <v>29.5</v>
      </c>
      <c r="I5627" s="5" t="s">
        <v>41909</v>
      </c>
      <c r="J5627" s="5" t="s">
        <v>999</v>
      </c>
      <c r="K5627" s="5" t="s">
        <v>344</v>
      </c>
      <c r="L5627" s="5" t="s">
        <v>41910</v>
      </c>
      <c r="M5627" s="27"/>
      <c r="N5627" s="5" t="s">
        <v>57857</v>
      </c>
      <c r="O5627" s="5" t="str">
        <v>1659166708</v>
      </c>
      <c r="P5627" s="27">
        <v>7951000</v>
      </c>
      <c r="Q5627" s="5" t="s">
        <v>57858</v>
      </c>
      <c r="R5627" s="5" t="s">
        <v>57859</v>
      </c>
      <c r="S5627" s="5" t="s">
        <v>57860</v>
      </c>
      <c r="T5627" s="28">
        <v>262000000</v>
      </c>
      <c r="U5627" s="28">
        <v>39000000</v>
      </c>
      <c r="V5627" s="28">
        <v>1505121000</v>
      </c>
      <c r="W5627" s="28">
        <v>20463000</v>
      </c>
      <c r="X5627" s="28">
        <v>30766000</v>
      </c>
      <c r="Y5627" s="28">
        <v>2324839000</v>
      </c>
      <c r="Z5627" s="28">
        <v>274561000</v>
      </c>
      <c r="AA5627" s="28"/>
      <c r="AB5627" s="28">
        <v>196810000</v>
      </c>
      <c r="AC5627" s="28">
        <v>2026742000</v>
      </c>
      <c r="AD5627" s="28">
        <v>284101000</v>
      </c>
      <c r="AE5627" s="28">
        <v>3907690000</v>
      </c>
      <c r="AF5627" s="28">
        <v>106143000</v>
      </c>
      <c r="AG5627" s="11"/>
    </row>
    <row r="5628">
      <c r="A5628" s="7" t="s">
        <v>7235</v>
      </c>
      <c r="B5628" s="5" t="s">
        <v>15187</v>
      </c>
      <c r="C5628" s="5" t="s">
        <v>22867</v>
      </c>
      <c r="D5628" s="5" t="str">
        <v>253906064849</v>
      </c>
      <c r="E5628" s="0" t="e">
        <f>+7 (910) 65111</f>
        <v>#NAME?</v>
      </c>
      <c r="F5628" s="5" t="s">
        <v>41911</v>
      </c>
      <c r="G5628" s="5"/>
      <c r="H5628" s="26">
        <v>8.5</v>
      </c>
      <c r="I5628" s="5" t="s">
        <v>41912</v>
      </c>
      <c r="J5628" s="5" t="s">
        <v>28290</v>
      </c>
      <c r="K5628" s="5" t="s">
        <v>355</v>
      </c>
      <c r="L5628" s="5" t="s">
        <v>1074</v>
      </c>
      <c r="M5628" s="27"/>
      <c r="N5628" s="5"/>
      <c r="O5628" s="5" t="str">
        <v>7727842531</v>
      </c>
      <c r="P5628" s="27">
        <v>11000000</v>
      </c>
      <c r="Q5628" s="5" t="s">
        <v>49009</v>
      </c>
      <c r="R5628" s="5"/>
      <c r="S5628" s="5" t="s">
        <v>49028</v>
      </c>
      <c r="T5628" s="28"/>
      <c r="U5628" s="28"/>
      <c r="V5628" s="28">
        <v>1467928000</v>
      </c>
      <c r="W5628" s="28">
        <v>1483000</v>
      </c>
      <c r="X5628" s="28">
        <v>6562000</v>
      </c>
      <c r="Y5628" s="28">
        <v>3319157000</v>
      </c>
      <c r="Z5628" s="28">
        <v>76533000</v>
      </c>
      <c r="AA5628" s="28"/>
      <c r="AB5628" s="28"/>
      <c r="AC5628" s="28">
        <v>3231624000</v>
      </c>
      <c r="AD5628" s="28">
        <v>87643000</v>
      </c>
      <c r="AE5628" s="28">
        <v>4181645000</v>
      </c>
      <c r="AF5628" s="28">
        <v>7093000</v>
      </c>
      <c r="AG5628" s="11"/>
    </row>
    <row r="5629">
      <c r="A5629" s="7" t="s">
        <v>7236</v>
      </c>
      <c r="B5629" s="5" t="s">
        <v>15188</v>
      </c>
      <c r="C5629" s="5" t="s">
        <v>22868</v>
      </c>
      <c r="D5629" s="5" t="str">
        <v>772012038729</v>
      </c>
      <c r="E5629" s="0" t="e">
        <f>+7 (495) 7305452</f>
        <v>#NAME?</v>
      </c>
      <c r="F5629" s="5" t="s">
        <v>41913</v>
      </c>
      <c r="G5629" s="5" t="s">
        <v>41914</v>
      </c>
      <c r="H5629" s="26">
        <v>17</v>
      </c>
      <c r="I5629" s="5" t="s">
        <v>41915</v>
      </c>
      <c r="J5629" s="5" t="s">
        <v>641</v>
      </c>
      <c r="K5629" s="5" t="s">
        <v>344</v>
      </c>
      <c r="L5629" s="5" t="s">
        <v>26092</v>
      </c>
      <c r="M5629" s="27"/>
      <c r="N5629" s="5"/>
      <c r="O5629" s="5" t="str">
        <v>7704588494</v>
      </c>
      <c r="P5629" s="27">
        <v>510000</v>
      </c>
      <c r="Q5629" s="5" t="s">
        <v>57861</v>
      </c>
      <c r="R5629" s="5"/>
      <c r="S5629" s="5" t="s">
        <v>57862</v>
      </c>
      <c r="T5629" s="28">
        <v>3362000</v>
      </c>
      <c r="U5629" s="28"/>
      <c r="V5629" s="28">
        <v>450109000</v>
      </c>
      <c r="W5629" s="28"/>
      <c r="X5629" s="28">
        <v>208727000</v>
      </c>
      <c r="Y5629" s="28">
        <v>1261746000</v>
      </c>
      <c r="Z5629" s="28">
        <v>290929000</v>
      </c>
      <c r="AA5629" s="28"/>
      <c r="AB5629" s="28"/>
      <c r="AC5629" s="28">
        <v>969633000</v>
      </c>
      <c r="AD5629" s="28">
        <v>291867000</v>
      </c>
      <c r="AE5629" s="28">
        <v>3052384000</v>
      </c>
      <c r="AF5629" s="28">
        <v>280992000</v>
      </c>
      <c r="AG5629" s="11"/>
    </row>
    <row r="5630">
      <c r="A5630" s="7" t="s">
        <v>7237</v>
      </c>
      <c r="B5630" s="5" t="s">
        <v>15189</v>
      </c>
      <c r="C5630" s="5" t="s">
        <v>22869</v>
      </c>
      <c r="D5630" s="5" t="str">
        <v>771003183485</v>
      </c>
      <c r="E5630" s="0" t="e">
        <f>+7 (345) 2493109
+7 (345) 2493201
+7 (345) 2493208
+7 (345) 2493391
+7 (345) 2493688
+7 (345) 2493931
+7 (346) 2769111
+7 (346) 2769112
+7 (346) 2769116
+7 (346) 2769118
+7 (346) 2769125
+7 (346) 2769127
+7 (346) 2769145
+7 (346) 2769150
+7 (346) 2769159</f>
        <v>#NAME?</v>
      </c>
      <c r="F5630" s="5" t="s">
        <v>41916</v>
      </c>
      <c r="G5630" s="5" t="s">
        <v>41917</v>
      </c>
      <c r="H5630" s="26">
        <v>28.5</v>
      </c>
      <c r="I5630" s="5"/>
      <c r="J5630" s="5" t="s">
        <v>27783</v>
      </c>
      <c r="K5630" s="5" t="s">
        <v>344</v>
      </c>
      <c r="L5630" s="5"/>
      <c r="M5630" s="27">
        <v>25288363</v>
      </c>
      <c r="N5630" s="5" t="s">
        <v>57863</v>
      </c>
      <c r="O5630" s="5" t="str">
        <v>7723011906</v>
      </c>
      <c r="P5630" s="27">
        <v>26048348140</v>
      </c>
      <c r="Q5630" s="5" t="s">
        <v>57864</v>
      </c>
      <c r="R5630" s="5"/>
      <c r="S5630" s="5" t="s">
        <v>50191</v>
      </c>
      <c r="T5630" s="28">
        <v>91396950000</v>
      </c>
      <c r="U5630" s="28">
        <v>1000000</v>
      </c>
      <c r="V5630" s="28">
        <v>26983115000</v>
      </c>
      <c r="W5630" s="28"/>
      <c r="X5630" s="28">
        <v>43578000</v>
      </c>
      <c r="Y5630" s="28">
        <v>119526667000</v>
      </c>
      <c r="Z5630" s="28">
        <v>45403499000</v>
      </c>
      <c r="AA5630" s="28"/>
      <c r="AB5630" s="28"/>
      <c r="AC5630" s="28">
        <v>16981461000</v>
      </c>
      <c r="AD5630" s="28">
        <v>91853166000</v>
      </c>
      <c r="AE5630" s="28">
        <v>32100849000</v>
      </c>
      <c r="AF5630" s="28">
        <v>3230214000</v>
      </c>
      <c r="AG5630" s="11"/>
    </row>
    <row r="5631">
      <c r="A5631" s="7" t="s">
        <v>7238</v>
      </c>
      <c r="B5631" s="5" t="s">
        <v>15190</v>
      </c>
      <c r="C5631" s="5" t="s">
        <v>18866</v>
      </c>
      <c r="D5631" s="5"/>
      <c r="E5631" s="0" t="e">
        <f>+7 (34343) 21964
+7 (34343) 27049
+7 (34343) 27078
+7 (34343) 27199
+7 (34343) 27444
+7 (34343) 27510</f>
        <v>#NAME?</v>
      </c>
      <c r="F5631" s="5" t="s">
        <v>41918</v>
      </c>
      <c r="G5631" s="5" t="s">
        <v>41919</v>
      </c>
      <c r="H5631" s="26">
        <v>30</v>
      </c>
      <c r="I5631" s="5"/>
      <c r="J5631" s="5" t="s">
        <v>32455</v>
      </c>
      <c r="K5631" s="5" t="s">
        <v>344</v>
      </c>
      <c r="L5631" s="5" t="s">
        <v>41920</v>
      </c>
      <c r="M5631" s="27">
        <v>30720777</v>
      </c>
      <c r="N5631" s="5" t="s">
        <v>57865</v>
      </c>
      <c r="O5631" s="5" t="str">
        <v>6618000220</v>
      </c>
      <c r="P5631" s="27">
        <v>102296616</v>
      </c>
      <c r="Q5631" s="5"/>
      <c r="R5631" s="5"/>
      <c r="S5631" s="5" t="s">
        <v>49125</v>
      </c>
      <c r="T5631" s="28">
        <v>31703753000</v>
      </c>
      <c r="U5631" s="28">
        <v>1652000</v>
      </c>
      <c r="V5631" s="28">
        <v>8915855000</v>
      </c>
      <c r="W5631" s="28">
        <v>140000</v>
      </c>
      <c r="X5631" s="28">
        <v>28664000</v>
      </c>
      <c r="Y5631" s="28">
        <v>49474501000</v>
      </c>
      <c r="Z5631" s="28">
        <v>15699727000</v>
      </c>
      <c r="AA5631" s="28">
        <v>17344837000</v>
      </c>
      <c r="AB5631" s="28">
        <v>6164087000</v>
      </c>
      <c r="AC5631" s="28">
        <v>11818829000</v>
      </c>
      <c r="AD5631" s="28">
        <v>17768983000</v>
      </c>
      <c r="AE5631" s="28">
        <v>17890352000</v>
      </c>
      <c r="AF5631" s="28">
        <v>987479000</v>
      </c>
      <c r="AG5631" s="11"/>
    </row>
    <row r="5632">
      <c r="A5632" s="7" t="s">
        <v>7239</v>
      </c>
      <c r="B5632" s="5" t="s">
        <v>15191</v>
      </c>
      <c r="C5632" s="5" t="s">
        <v>22870</v>
      </c>
      <c r="D5632" s="5" t="str">
        <v>745103095745</v>
      </c>
      <c r="E5632" s="0" t="e">
        <f>+7 (495) 7771430</f>
        <v>#NAME?</v>
      </c>
      <c r="F5632" s="5" t="s">
        <v>41921</v>
      </c>
      <c r="G5632" s="5" t="s">
        <v>41922</v>
      </c>
      <c r="H5632" s="26">
        <v>19</v>
      </c>
      <c r="I5632" s="5"/>
      <c r="J5632" s="5" t="s">
        <v>26325</v>
      </c>
      <c r="K5632" s="5" t="s">
        <v>355</v>
      </c>
      <c r="L5632" s="5"/>
      <c r="M5632" s="27">
        <v>592489</v>
      </c>
      <c r="N5632" s="5" t="s">
        <v>57866</v>
      </c>
      <c r="O5632" s="5" t="str">
        <v>7740000100</v>
      </c>
      <c r="P5632" s="27">
        <v>131955550</v>
      </c>
      <c r="Q5632" s="5" t="s">
        <v>57867</v>
      </c>
      <c r="R5632" s="5" t="s">
        <v>57868</v>
      </c>
      <c r="S5632" s="5" t="s">
        <v>57869</v>
      </c>
      <c r="T5632" s="28">
        <v>31404648000</v>
      </c>
      <c r="U5632" s="28">
        <v>14648609000</v>
      </c>
      <c r="V5632" s="28">
        <v>1732184000</v>
      </c>
      <c r="W5632" s="28">
        <v>987959000</v>
      </c>
      <c r="X5632" s="28">
        <v>974455000</v>
      </c>
      <c r="Y5632" s="28">
        <v>62322073000</v>
      </c>
      <c r="Z5632" s="28">
        <v>13066917000</v>
      </c>
      <c r="AA5632" s="28">
        <v>27954925000</v>
      </c>
      <c r="AB5632" s="28">
        <v>1815492000</v>
      </c>
      <c r="AC5632" s="28">
        <v>6237927000</v>
      </c>
      <c r="AD5632" s="28">
        <v>16435743000</v>
      </c>
      <c r="AE5632" s="28">
        <v>15191937000</v>
      </c>
      <c r="AF5632" s="28">
        <v>5651615000</v>
      </c>
      <c r="AG5632" s="11"/>
    </row>
    <row r="5633">
      <c r="A5633" s="7" t="s">
        <v>7240</v>
      </c>
      <c r="B5633" s="5" t="s">
        <v>15192</v>
      </c>
      <c r="C5633" s="5" t="s">
        <v>22871</v>
      </c>
      <c r="D5633" s="5" t="str">
        <v>772012531437</v>
      </c>
      <c r="E5633" s="0" t="e">
        <f>+7 (495) 6096844
+7 (495) 7300854</f>
        <v>#NAME?</v>
      </c>
      <c r="F5633" s="5" t="s">
        <v>41923</v>
      </c>
      <c r="G5633" s="5"/>
      <c r="H5633" s="26">
        <v>14.5</v>
      </c>
      <c r="I5633" s="5" t="s">
        <v>41924</v>
      </c>
      <c r="J5633" s="5" t="s">
        <v>26325</v>
      </c>
      <c r="K5633" s="5" t="s">
        <v>355</v>
      </c>
      <c r="L5633" s="5" t="s">
        <v>41925</v>
      </c>
      <c r="M5633" s="27">
        <v>294314063</v>
      </c>
      <c r="N5633" s="5"/>
      <c r="O5633" s="5" t="str">
        <v>7703679445</v>
      </c>
      <c r="P5633" s="27">
        <v>6750000</v>
      </c>
      <c r="Q5633" s="5" t="s">
        <v>57870</v>
      </c>
      <c r="R5633" s="5"/>
      <c r="S5633" s="5" t="s">
        <v>57871</v>
      </c>
      <c r="T5633" s="28">
        <v>746191000</v>
      </c>
      <c r="U5633" s="28">
        <v>2207094000</v>
      </c>
      <c r="V5633" s="28">
        <v>3967823000</v>
      </c>
      <c r="W5633" s="28">
        <v>251656000</v>
      </c>
      <c r="X5633" s="28">
        <v>95357000</v>
      </c>
      <c r="Y5633" s="28">
        <v>8075730000</v>
      </c>
      <c r="Z5633" s="28">
        <v>1227006000</v>
      </c>
      <c r="AA5633" s="28"/>
      <c r="AB5633" s="28">
        <v>378634000</v>
      </c>
      <c r="AC5633" s="28">
        <v>5065209000</v>
      </c>
      <c r="AD5633" s="28">
        <v>1233756000</v>
      </c>
      <c r="AE5633" s="28">
        <v>11539566000</v>
      </c>
      <c r="AF5633" s="28">
        <v>1100018000</v>
      </c>
      <c r="AG5633" s="11"/>
    </row>
    <row r="5634">
      <c r="A5634" s="7" t="s">
        <v>7240</v>
      </c>
      <c r="B5634" s="5" t="s">
        <v>15193</v>
      </c>
      <c r="C5634" s="5" t="s">
        <v>22872</v>
      </c>
      <c r="D5634" s="5" t="str">
        <v>381900325482</v>
      </c>
      <c r="E5634" s="0" t="e">
        <f>+7 (395) 2386518
+7 (39543) 46660
+7 (39543) 49370</f>
        <v>#NAME?</v>
      </c>
      <c r="F5634" s="5"/>
      <c r="G5634" s="5"/>
      <c r="H5634" s="26">
        <v>18</v>
      </c>
      <c r="I5634" s="5" t="s">
        <v>41926</v>
      </c>
      <c r="J5634" s="5" t="s">
        <v>373</v>
      </c>
      <c r="K5634" s="5" t="s">
        <v>380</v>
      </c>
      <c r="L5634" s="5"/>
      <c r="M5634" s="27">
        <v>31500</v>
      </c>
      <c r="N5634" s="5"/>
      <c r="O5634" s="5" t="str">
        <v>3851025689</v>
      </c>
      <c r="P5634" s="27">
        <v>10000</v>
      </c>
      <c r="Q5634" s="5" t="s">
        <v>49057</v>
      </c>
      <c r="R5634" s="5" t="s">
        <v>57872</v>
      </c>
      <c r="S5634" s="5" t="s">
        <v>49101</v>
      </c>
      <c r="T5634" s="28">
        <v>4494000</v>
      </c>
      <c r="U5634" s="28"/>
      <c r="V5634" s="28">
        <v>910000000</v>
      </c>
      <c r="W5634" s="28"/>
      <c r="X5634" s="28">
        <v>1004351000</v>
      </c>
      <c r="Y5634" s="28">
        <v>2213030000</v>
      </c>
      <c r="Z5634" s="28">
        <v>462888000</v>
      </c>
      <c r="AA5634" s="28">
        <v>27920000</v>
      </c>
      <c r="AB5634" s="28">
        <v>675621000</v>
      </c>
      <c r="AC5634" s="28">
        <v>1722212000</v>
      </c>
      <c r="AD5634" s="28">
        <v>462898000</v>
      </c>
      <c r="AE5634" s="28">
        <v>6254624000</v>
      </c>
      <c r="AF5634" s="28">
        <v>46945000</v>
      </c>
      <c r="AG5634" s="11"/>
    </row>
    <row r="5635">
      <c r="A5635" s="7" t="s">
        <v>7241</v>
      </c>
      <c r="B5635" s="5" t="s">
        <v>15194</v>
      </c>
      <c r="C5635" s="5" t="s">
        <v>22873</v>
      </c>
      <c r="D5635" s="5" t="str">
        <v>421708418810</v>
      </c>
      <c r="E5635" s="0" t="e">
        <f>+7 (3843) 749039
+7 (3843) 749049
+7 (3843) 749058
+7 (3843) 749077
+7 (3843) 791345
+7 (3843) 791780
+7 (3843) 791895
+7 (3843) 792431
+7 (3843) 795927
+7 (38473) 63535</f>
        <v>#NAME?</v>
      </c>
      <c r="F5635" s="5" t="s">
        <v>41927</v>
      </c>
      <c r="G5635" s="5"/>
      <c r="H5635" s="26">
        <v>8</v>
      </c>
      <c r="I5635" s="5"/>
      <c r="J5635" s="5" t="s">
        <v>955</v>
      </c>
      <c r="K5635" s="5" t="s">
        <v>355</v>
      </c>
      <c r="L5635" s="5" t="s">
        <v>41928</v>
      </c>
      <c r="M5635" s="27"/>
      <c r="N5635" s="5"/>
      <c r="O5635" s="5" t="str">
        <v>4217204769</v>
      </c>
      <c r="P5635" s="27">
        <v>56874000</v>
      </c>
      <c r="Q5635" s="5" t="s">
        <v>49059</v>
      </c>
      <c r="R5635" s="5" t="s">
        <v>54038</v>
      </c>
      <c r="S5635" s="5" t="s">
        <v>49093</v>
      </c>
      <c r="T5635" s="28">
        <v>175506000</v>
      </c>
      <c r="U5635" s="28">
        <v>4569463000</v>
      </c>
      <c r="V5635" s="28">
        <v>7284634000</v>
      </c>
      <c r="W5635" s="28">
        <v>8189471000</v>
      </c>
      <c r="X5635" s="28">
        <v>10498000</v>
      </c>
      <c r="Y5635" s="28">
        <v>20537710000</v>
      </c>
      <c r="Z5635" s="28">
        <v>-68341000</v>
      </c>
      <c r="AA5635" s="28">
        <v>238480000</v>
      </c>
      <c r="AB5635" s="28">
        <v>9921725000</v>
      </c>
      <c r="AC5635" s="28">
        <v>20188422000</v>
      </c>
      <c r="AD5635" s="28">
        <v>-11467000</v>
      </c>
      <c r="AE5635" s="28">
        <v>44533170000</v>
      </c>
      <c r="AF5635" s="28">
        <v>-73359000</v>
      </c>
      <c r="AG5635" s="11"/>
    </row>
    <row r="5636">
      <c r="A5636" s="7" t="s">
        <v>1252</v>
      </c>
      <c r="B5636" s="5" t="s">
        <v>1253</v>
      </c>
      <c r="C5636" s="5" t="s">
        <v>1254</v>
      </c>
      <c r="D5636" s="5" t="str">
        <v>583713842169</v>
      </c>
      <c r="E5636" s="0" t="e">
        <f>+7 (812) 9035515
+7 (84627) 94859</f>
        <v>#NAME?</v>
      </c>
      <c r="F5636" s="5" t="s">
        <v>1256</v>
      </c>
      <c r="G5636" s="5"/>
      <c r="H5636" s="26">
        <v>7</v>
      </c>
      <c r="I5636" s="5" t="s">
        <v>1257</v>
      </c>
      <c r="J5636" s="5" t="s">
        <v>678</v>
      </c>
      <c r="K5636" s="5" t="s">
        <v>344</v>
      </c>
      <c r="L5636" s="5" t="s">
        <v>1258</v>
      </c>
      <c r="M5636" s="27">
        <v>991935</v>
      </c>
      <c r="N5636" s="5" t="s">
        <v>57873</v>
      </c>
      <c r="O5636" s="5" t="str">
        <v>6317111261</v>
      </c>
      <c r="P5636" s="27">
        <v>1010000</v>
      </c>
      <c r="Q5636" s="5" t="s">
        <v>57874</v>
      </c>
      <c r="R5636" s="5"/>
      <c r="S5636" s="5" t="s">
        <v>57875</v>
      </c>
      <c r="T5636" s="28">
        <v>65578000</v>
      </c>
      <c r="U5636" s="28"/>
      <c r="V5636" s="28">
        <v>1803434000</v>
      </c>
      <c r="W5636" s="28">
        <v>59655000</v>
      </c>
      <c r="X5636" s="28">
        <v>2092793000</v>
      </c>
      <c r="Y5636" s="28">
        <v>5396496000</v>
      </c>
      <c r="Z5636" s="28">
        <v>341256000</v>
      </c>
      <c r="AA5636" s="28"/>
      <c r="AB5636" s="28">
        <v>3208000</v>
      </c>
      <c r="AC5636" s="28">
        <v>5018745000</v>
      </c>
      <c r="AD5636" s="28">
        <v>342266000</v>
      </c>
      <c r="AE5636" s="28">
        <v>28677320000</v>
      </c>
      <c r="AF5636" s="28">
        <v>266797000</v>
      </c>
      <c r="AG5636" s="11"/>
    </row>
    <row r="5637">
      <c r="A5637" s="7" t="s">
        <v>7242</v>
      </c>
      <c r="B5637" s="5" t="s">
        <v>11344</v>
      </c>
      <c r="C5637" s="5" t="s">
        <v>22874</v>
      </c>
      <c r="D5637" s="5" t="str">
        <v>143401896469</v>
      </c>
      <c r="E5637" s="0" t="e">
        <f>+7 (41147) 39077
+7 (41147) 59006
+7 (914) 2405008</f>
        <v>#NAME?</v>
      </c>
      <c r="F5637" s="5"/>
      <c r="G5637" s="5"/>
      <c r="H5637" s="26">
        <v>5.5</v>
      </c>
      <c r="I5637" s="5" t="s">
        <v>41929</v>
      </c>
      <c r="J5637" s="5" t="s">
        <v>25344</v>
      </c>
      <c r="K5637" s="5" t="s">
        <v>355</v>
      </c>
      <c r="L5637" s="5"/>
      <c r="M5637" s="27">
        <v>32129504</v>
      </c>
      <c r="N5637" s="5"/>
      <c r="O5637" s="5" t="str">
        <v>1434050133</v>
      </c>
      <c r="P5637" s="27">
        <v>1000000</v>
      </c>
      <c r="Q5637" s="5" t="s">
        <v>49021</v>
      </c>
      <c r="R5637" s="5"/>
      <c r="S5637" s="5" t="s">
        <v>49033</v>
      </c>
      <c r="T5637" s="28">
        <v>2836956000</v>
      </c>
      <c r="U5637" s="28"/>
      <c r="V5637" s="28">
        <v>515594000</v>
      </c>
      <c r="W5637" s="28"/>
      <c r="X5637" s="28">
        <v>268169000</v>
      </c>
      <c r="Y5637" s="28">
        <v>3763277000</v>
      </c>
      <c r="Z5637" s="28">
        <v>46627000</v>
      </c>
      <c r="AA5637" s="28">
        <v>600547000</v>
      </c>
      <c r="AB5637" s="28">
        <v>796601000</v>
      </c>
      <c r="AC5637" s="28">
        <v>3115103000</v>
      </c>
      <c r="AD5637" s="28">
        <v>47627000</v>
      </c>
      <c r="AE5637" s="28">
        <v>3803567000</v>
      </c>
      <c r="AF5637" s="28">
        <v>70776000</v>
      </c>
      <c r="AG5637" s="11"/>
    </row>
    <row r="5638">
      <c r="A5638" s="7" t="s">
        <v>7243</v>
      </c>
      <c r="B5638" s="5" t="s">
        <v>15195</v>
      </c>
      <c r="C5638" s="5" t="s">
        <v>22875</v>
      </c>
      <c r="D5638" s="5" t="str">
        <v>890504851401</v>
      </c>
      <c r="E5638" s="0" t="e">
        <f>+7 (346) 2452222
+7 (346) 2544600
+7 (346) 2550632
+7 (982) 4177443
+7 (346) 2346312
+7 (346) 2524600
+7 (346) 2524614
+7 (346) 2931221</f>
        <v>#NAME?</v>
      </c>
      <c r="F5638" s="5" t="s">
        <v>41930</v>
      </c>
      <c r="G5638" s="5" t="s">
        <v>41931</v>
      </c>
      <c r="H5638" s="26">
        <v>16.5</v>
      </c>
      <c r="I5638" s="5" t="s">
        <v>41932</v>
      </c>
      <c r="J5638" s="5" t="s">
        <v>29005</v>
      </c>
      <c r="K5638" s="5" t="s">
        <v>344</v>
      </c>
      <c r="L5638" s="5" t="s">
        <v>41933</v>
      </c>
      <c r="M5638" s="27">
        <v>1239245</v>
      </c>
      <c r="N5638" s="5" t="s">
        <v>57876</v>
      </c>
      <c r="O5638" s="5" t="str">
        <v>8602015464</v>
      </c>
      <c r="P5638" s="27">
        <v>527739677</v>
      </c>
      <c r="Q5638" s="5" t="s">
        <v>57877</v>
      </c>
      <c r="R5638" s="5"/>
      <c r="S5638" s="5" t="s">
        <v>49288</v>
      </c>
      <c r="T5638" s="28">
        <v>8875850000</v>
      </c>
      <c r="U5638" s="28">
        <v>1127506000</v>
      </c>
      <c r="V5638" s="28">
        <v>963380000</v>
      </c>
      <c r="W5638" s="28"/>
      <c r="X5638" s="28">
        <v>159383000</v>
      </c>
      <c r="Y5638" s="28">
        <v>11283203000</v>
      </c>
      <c r="Z5638" s="28">
        <v>3397284000</v>
      </c>
      <c r="AA5638" s="28">
        <v>1075400000</v>
      </c>
      <c r="AB5638" s="28">
        <v>922000</v>
      </c>
      <c r="AC5638" s="28">
        <v>880306000</v>
      </c>
      <c r="AD5638" s="28">
        <v>7847477000</v>
      </c>
      <c r="AE5638" s="28">
        <v>4204247000</v>
      </c>
      <c r="AF5638" s="28">
        <v>486000000</v>
      </c>
      <c r="AG5638" s="11"/>
    </row>
    <row r="5639">
      <c r="A5639" s="7" t="s">
        <v>7244</v>
      </c>
      <c r="B5639" s="5" t="s">
        <v>15196</v>
      </c>
      <c r="C5639" s="5" t="s">
        <v>22876</v>
      </c>
      <c r="D5639" s="5"/>
      <c r="F5639" s="5"/>
      <c r="G5639" s="5"/>
      <c r="H5639" s="26">
        <v>5.5</v>
      </c>
      <c r="I5639" s="5" t="s">
        <v>41934</v>
      </c>
      <c r="J5639" s="5" t="s">
        <v>25332</v>
      </c>
      <c r="K5639" s="5" t="s">
        <v>344</v>
      </c>
      <c r="L5639" s="5" t="s">
        <v>41935</v>
      </c>
      <c r="M5639" s="27"/>
      <c r="N5639" s="5" t="s">
        <v>57878</v>
      </c>
      <c r="O5639" s="5" t="str">
        <v>5007101825</v>
      </c>
      <c r="P5639" s="27">
        <v>700000000</v>
      </c>
      <c r="Q5639" s="5" t="s">
        <v>49207</v>
      </c>
      <c r="R5639" s="5"/>
      <c r="S5639" s="5" t="s">
        <v>49565</v>
      </c>
      <c r="T5639" s="28">
        <v>27119000</v>
      </c>
      <c r="U5639" s="28"/>
      <c r="V5639" s="28">
        <v>1850980000</v>
      </c>
      <c r="W5639" s="28"/>
      <c r="X5639" s="28">
        <v>16785000</v>
      </c>
      <c r="Y5639" s="28">
        <v>2347694000</v>
      </c>
      <c r="Z5639" s="28">
        <v>883127000</v>
      </c>
      <c r="AA5639" s="28"/>
      <c r="AB5639" s="28"/>
      <c r="AC5639" s="28">
        <v>764567000</v>
      </c>
      <c r="AD5639" s="28">
        <v>1583127000</v>
      </c>
      <c r="AE5639" s="28">
        <v>18667723000</v>
      </c>
      <c r="AF5639" s="28">
        <v>811244000</v>
      </c>
      <c r="AG5639" s="11"/>
    </row>
    <row r="5640">
      <c r="A5640" s="7" t="s">
        <v>7245</v>
      </c>
      <c r="B5640" s="5" t="s">
        <v>15197</v>
      </c>
      <c r="C5640" s="5" t="s">
        <v>21671</v>
      </c>
      <c r="D5640" s="5" t="str">
        <v>053900491101</v>
      </c>
      <c r="E5640" s="0" t="e">
        <f>+7 (812) 3228800
+7 (495) 7777575
+7 (495) 9334680
+7 (812) 3328800</f>
        <v>#NAME?</v>
      </c>
      <c r="F5640" s="5" t="s">
        <v>41936</v>
      </c>
      <c r="G5640" s="5" t="s">
        <v>38214</v>
      </c>
      <c r="H5640" s="26">
        <v>17</v>
      </c>
      <c r="I5640" s="5" t="s">
        <v>41937</v>
      </c>
      <c r="J5640" s="5" t="s">
        <v>27416</v>
      </c>
      <c r="K5640" s="5" t="s">
        <v>380</v>
      </c>
      <c r="L5640" s="5"/>
      <c r="M5640" s="27">
        <v>269768948</v>
      </c>
      <c r="N5640" s="5" t="s">
        <v>57879</v>
      </c>
      <c r="O5640" s="5" t="str">
        <v>7802354624</v>
      </c>
      <c r="P5640" s="27">
        <v>650000000</v>
      </c>
      <c r="Q5640" s="5" t="s">
        <v>49009</v>
      </c>
      <c r="R5640" s="5" t="s">
        <v>56043</v>
      </c>
      <c r="S5640" s="5" t="s">
        <v>49045</v>
      </c>
      <c r="T5640" s="28">
        <v>845157000</v>
      </c>
      <c r="U5640" s="28"/>
      <c r="V5640" s="28">
        <v>287678000</v>
      </c>
      <c r="W5640" s="28">
        <v>190000000</v>
      </c>
      <c r="X5640" s="28">
        <v>138458000</v>
      </c>
      <c r="Y5640" s="28">
        <v>3811721000</v>
      </c>
      <c r="Z5640" s="28">
        <v>-1474952000</v>
      </c>
      <c r="AA5640" s="28"/>
      <c r="AB5640" s="28">
        <v>494047000</v>
      </c>
      <c r="AC5640" s="28">
        <v>2668347000</v>
      </c>
      <c r="AD5640" s="28">
        <v>463522000</v>
      </c>
      <c r="AE5640" s="28">
        <v>4897693000</v>
      </c>
      <c r="AF5640" s="28">
        <v>-557014000</v>
      </c>
      <c r="AG5640" s="11"/>
    </row>
    <row r="5641">
      <c r="A5641" s="7" t="s">
        <v>7246</v>
      </c>
      <c r="B5641" s="5" t="s">
        <v>15198</v>
      </c>
      <c r="C5641" s="5" t="s">
        <v>21671</v>
      </c>
      <c r="D5641" s="5" t="str">
        <v>053900491101</v>
      </c>
      <c r="E5641" s="0" t="e">
        <f>+7 (495) 7777575
+7 (495) 9334680
+7 (495) 9334681</f>
        <v>#NAME?</v>
      </c>
      <c r="F5641" s="5" t="s">
        <v>38212</v>
      </c>
      <c r="G5641" s="5" t="s">
        <v>38214</v>
      </c>
      <c r="H5641" s="26">
        <v>20</v>
      </c>
      <c r="I5641" s="5" t="s">
        <v>41938</v>
      </c>
      <c r="J5641" s="5" t="s">
        <v>27416</v>
      </c>
      <c r="K5641" s="5" t="s">
        <v>380</v>
      </c>
      <c r="L5641" s="5"/>
      <c r="M5641" s="27">
        <v>280893973</v>
      </c>
      <c r="N5641" s="5" t="s">
        <v>57880</v>
      </c>
      <c r="O5641" s="5" t="str">
        <v>5003042456</v>
      </c>
      <c r="P5641" s="27">
        <v>321300000</v>
      </c>
      <c r="Q5641" s="5" t="s">
        <v>49009</v>
      </c>
      <c r="R5641" s="5" t="s">
        <v>56043</v>
      </c>
      <c r="S5641" s="5" t="s">
        <v>49371</v>
      </c>
      <c r="T5641" s="28">
        <v>2538771000</v>
      </c>
      <c r="U5641" s="28"/>
      <c r="V5641" s="28">
        <v>959295000</v>
      </c>
      <c r="W5641" s="28"/>
      <c r="X5641" s="28">
        <v>156627000</v>
      </c>
      <c r="Y5641" s="28">
        <v>8578676000</v>
      </c>
      <c r="Z5641" s="28">
        <v>-819301000</v>
      </c>
      <c r="AA5641" s="28"/>
      <c r="AB5641" s="28">
        <v>1080829000</v>
      </c>
      <c r="AC5641" s="28">
        <v>6718947000</v>
      </c>
      <c r="AD5641" s="28">
        <v>-479745000</v>
      </c>
      <c r="AE5641" s="28">
        <v>10250477000</v>
      </c>
      <c r="AF5641" s="28">
        <v>-1847494000</v>
      </c>
      <c r="AG5641" s="11"/>
    </row>
    <row r="5642">
      <c r="A5642" s="7" t="s">
        <v>7247</v>
      </c>
      <c r="B5642" s="5" t="s">
        <v>15199</v>
      </c>
      <c r="C5642" s="5" t="s">
        <v>22877</v>
      </c>
      <c r="D5642" s="5" t="str">
        <v>420538383315</v>
      </c>
      <c r="E5642" s="0" t="e">
        <f>+7 (384) 2364525
+7 (384) 2364878
+7 (3952) 707818
+7 (923) 5116503
+7 (384) 2680814
+7 (384) 2680817
+7 (384) 2680819
+7 (384) 2680821
+7 (923) 5114348</f>
        <v>#NAME?</v>
      </c>
      <c r="F5642" s="5" t="s">
        <v>41939</v>
      </c>
      <c r="G5642" s="5" t="s">
        <v>41940</v>
      </c>
      <c r="H5642" s="26">
        <v>16.5</v>
      </c>
      <c r="I5642" s="5" t="s">
        <v>41941</v>
      </c>
      <c r="J5642" s="5" t="s">
        <v>364</v>
      </c>
      <c r="K5642" s="5" t="s">
        <v>355</v>
      </c>
      <c r="L5642" s="5" t="s">
        <v>41942</v>
      </c>
      <c r="M5642" s="27">
        <v>311289103</v>
      </c>
      <c r="N5642" s="5" t="s">
        <v>57881</v>
      </c>
      <c r="O5642" s="5" t="str">
        <v>4205109101</v>
      </c>
      <c r="P5642" s="27">
        <v>401804732</v>
      </c>
      <c r="Q5642" s="5" t="s">
        <v>57882</v>
      </c>
      <c r="R5642" s="5" t="s">
        <v>55409</v>
      </c>
      <c r="S5642" s="5" t="s">
        <v>51646</v>
      </c>
      <c r="T5642" s="28">
        <v>280984000</v>
      </c>
      <c r="U5642" s="28">
        <v>2642822000</v>
      </c>
      <c r="V5642" s="28">
        <v>10347473000</v>
      </c>
      <c r="W5642" s="28">
        <v>18221000</v>
      </c>
      <c r="X5642" s="28">
        <v>1148491000</v>
      </c>
      <c r="Y5642" s="28">
        <v>19314305000</v>
      </c>
      <c r="Z5642" s="28">
        <v>1519194000</v>
      </c>
      <c r="AA5642" s="28">
        <v>250000000</v>
      </c>
      <c r="AB5642" s="28">
        <v>3637560000</v>
      </c>
      <c r="AC5642" s="28">
        <v>14771921000</v>
      </c>
      <c r="AD5642" s="28">
        <v>1967999000</v>
      </c>
      <c r="AE5642" s="28">
        <v>20194049000</v>
      </c>
      <c r="AF5642" s="28">
        <v>36898000</v>
      </c>
      <c r="AG5642" s="11"/>
    </row>
    <row r="5643">
      <c r="A5643" s="7" t="s">
        <v>7248</v>
      </c>
      <c r="B5643" s="5" t="s">
        <v>15200</v>
      </c>
      <c r="C5643" s="5" t="s">
        <v>22878</v>
      </c>
      <c r="D5643" s="5" t="str">
        <v>420502975893</v>
      </c>
      <c r="E5643" s="0" t="e">
        <f>+7 (384) 2346481
+7 (384) 2346488
+7 (384) 2346495
+7 (384) 2346499
+7 (3846) 618420</f>
        <v>#NAME?</v>
      </c>
      <c r="F5643" s="5" t="s">
        <v>41943</v>
      </c>
      <c r="G5643" s="5" t="s">
        <v>41944</v>
      </c>
      <c r="H5643" s="26">
        <v>17</v>
      </c>
      <c r="I5643" s="5" t="s">
        <v>41945</v>
      </c>
      <c r="J5643" s="5" t="s">
        <v>1073</v>
      </c>
      <c r="K5643" s="5" t="s">
        <v>355</v>
      </c>
      <c r="L5643" s="5"/>
      <c r="M5643" s="27">
        <v>189023271</v>
      </c>
      <c r="N5643" s="5" t="s">
        <v>57883</v>
      </c>
      <c r="O5643" s="5" t="str">
        <v>4205101769</v>
      </c>
      <c r="P5643" s="27">
        <v>20202</v>
      </c>
      <c r="Q5643" s="5" t="s">
        <v>57884</v>
      </c>
      <c r="R5643" s="5"/>
      <c r="S5643" s="5" t="s">
        <v>57885</v>
      </c>
      <c r="T5643" s="28">
        <v>167688000</v>
      </c>
      <c r="U5643" s="28">
        <v>36070000</v>
      </c>
      <c r="V5643" s="28">
        <v>3140691000</v>
      </c>
      <c r="W5643" s="28"/>
      <c r="X5643" s="28">
        <v>18761000</v>
      </c>
      <c r="Y5643" s="28">
        <v>3740018000</v>
      </c>
      <c r="Z5643" s="28">
        <v>635424000</v>
      </c>
      <c r="AA5643" s="28"/>
      <c r="AB5643" s="28"/>
      <c r="AC5643" s="28">
        <v>3020894000</v>
      </c>
      <c r="AD5643" s="28">
        <v>635444000</v>
      </c>
      <c r="AE5643" s="28">
        <v>14623242000</v>
      </c>
      <c r="AF5643" s="28">
        <v>-66678000</v>
      </c>
      <c r="AG5643" s="11"/>
    </row>
    <row r="5644">
      <c r="A5644" s="7" t="s">
        <v>7249</v>
      </c>
      <c r="B5644" s="5" t="s">
        <v>15201</v>
      </c>
      <c r="C5644" s="5" t="s">
        <v>22879</v>
      </c>
      <c r="D5644" s="5" t="str">
        <v>420533248263</v>
      </c>
      <c r="E5644" s="0" t="e">
        <f>+7 (384) 2362461
+7 (384) 2364111
+7 (384) 2390238
+7 (384) 2680840</f>
        <v>#NAME?</v>
      </c>
      <c r="F5644" s="5" t="s">
        <v>41946</v>
      </c>
      <c r="G5644" s="5" t="s">
        <v>41947</v>
      </c>
      <c r="H5644" s="26">
        <v>17</v>
      </c>
      <c r="I5644" s="5"/>
      <c r="J5644" s="5" t="s">
        <v>30185</v>
      </c>
      <c r="K5644" s="5" t="s">
        <v>355</v>
      </c>
      <c r="L5644" s="5"/>
      <c r="M5644" s="27">
        <v>5772706</v>
      </c>
      <c r="N5644" s="5" t="s">
        <v>57886</v>
      </c>
      <c r="O5644" s="5" t="str">
        <v>4205105080</v>
      </c>
      <c r="P5644" s="27">
        <v>20000000</v>
      </c>
      <c r="Q5644" s="5" t="s">
        <v>57887</v>
      </c>
      <c r="R5644" s="5"/>
      <c r="S5644" s="5" t="s">
        <v>50047</v>
      </c>
      <c r="T5644" s="28">
        <v>356695000</v>
      </c>
      <c r="U5644" s="28">
        <v>13474741000</v>
      </c>
      <c r="V5644" s="28">
        <v>11523082000</v>
      </c>
      <c r="W5644" s="28">
        <v>5524755000</v>
      </c>
      <c r="X5644" s="28">
        <v>10665000</v>
      </c>
      <c r="Y5644" s="28">
        <v>30974856000</v>
      </c>
      <c r="Z5644" s="28">
        <v>22653918000</v>
      </c>
      <c r="AA5644" s="28">
        <v>1801720000</v>
      </c>
      <c r="AB5644" s="28">
        <v>559306000</v>
      </c>
      <c r="AC5644" s="28">
        <v>6465705000</v>
      </c>
      <c r="AD5644" s="28">
        <v>22675918000</v>
      </c>
      <c r="AE5644" s="28">
        <v>14744465000</v>
      </c>
      <c r="AF5644" s="28">
        <v>646004000</v>
      </c>
      <c r="AG5644" s="11"/>
    </row>
    <row r="5645">
      <c r="A5645" s="7" t="s">
        <v>7250</v>
      </c>
      <c r="B5645" s="5" t="s">
        <v>15202</v>
      </c>
      <c r="C5645" s="5" t="s">
        <v>22880</v>
      </c>
      <c r="D5645" s="5" t="str">
        <v>770484293704</v>
      </c>
      <c r="E5645" s="0" t="e">
        <f>+7 (499) 2346995
+7 (495) 2313458
+7 (495) 2313459
+7 (495) 2346991
+7 (495) 2346992
+7 (495) 2346993
+7 (495) 7856171
+7 (495) 7878509</f>
        <v>#NAME?</v>
      </c>
      <c r="F5645" s="5" t="s">
        <v>41948</v>
      </c>
      <c r="G5645" s="5" t="s">
        <v>41949</v>
      </c>
      <c r="H5645" s="26">
        <v>22</v>
      </c>
      <c r="I5645" s="5" t="s">
        <v>41950</v>
      </c>
      <c r="J5645" s="5" t="s">
        <v>25419</v>
      </c>
      <c r="K5645" s="5" t="s">
        <v>344</v>
      </c>
      <c r="L5645" s="5" t="s">
        <v>33516</v>
      </c>
      <c r="M5645" s="27"/>
      <c r="N5645" s="5"/>
      <c r="O5645" s="5" t="str">
        <v>7708153222</v>
      </c>
      <c r="P5645" s="27">
        <v>600000</v>
      </c>
      <c r="Q5645" s="5" t="s">
        <v>49021</v>
      </c>
      <c r="R5645" s="5"/>
      <c r="S5645" s="5" t="s">
        <v>49953</v>
      </c>
      <c r="T5645" s="28">
        <v>84885000</v>
      </c>
      <c r="U5645" s="28">
        <v>22114000</v>
      </c>
      <c r="V5645" s="28">
        <v>754477000</v>
      </c>
      <c r="W5645" s="28">
        <v>3315000</v>
      </c>
      <c r="X5645" s="28">
        <v>146679000</v>
      </c>
      <c r="Y5645" s="28">
        <v>1996255000</v>
      </c>
      <c r="Z5645" s="28">
        <v>703945000</v>
      </c>
      <c r="AA5645" s="28">
        <v>175826000</v>
      </c>
      <c r="AB5645" s="28">
        <v>236947000</v>
      </c>
      <c r="AC5645" s="28">
        <v>965494000</v>
      </c>
      <c r="AD5645" s="28">
        <v>800727000</v>
      </c>
      <c r="AE5645" s="28">
        <v>5137717000</v>
      </c>
      <c r="AF5645" s="28">
        <v>591894000</v>
      </c>
      <c r="AG5645" s="11"/>
    </row>
    <row r="5646">
      <c r="A5646" s="7" t="s">
        <v>7251</v>
      </c>
      <c r="B5646" s="5" t="s">
        <v>15203</v>
      </c>
      <c r="C5646" s="5" t="s">
        <v>22881</v>
      </c>
      <c r="D5646" s="5" t="str">
        <v>502800004682</v>
      </c>
      <c r="E5646" s="0" t="e">
        <f>+7 (495) 7455130
+7 (495) 7455131</f>
        <v>#NAME?</v>
      </c>
      <c r="F5646" s="5"/>
      <c r="G5646" s="5"/>
      <c r="H5646" s="26">
        <v>11.5</v>
      </c>
      <c r="I5646" s="5" t="s">
        <v>41951</v>
      </c>
      <c r="J5646" s="5" t="s">
        <v>26511</v>
      </c>
      <c r="K5646" s="5" t="s">
        <v>344</v>
      </c>
      <c r="L5646" s="5" t="s">
        <v>41952</v>
      </c>
      <c r="M5646" s="27"/>
      <c r="N5646" s="5"/>
      <c r="O5646" s="5" t="str">
        <v>5003097423</v>
      </c>
      <c r="P5646" s="27">
        <v>90000000</v>
      </c>
      <c r="Q5646" s="5" t="s">
        <v>49009</v>
      </c>
      <c r="R5646" s="5"/>
      <c r="S5646" s="5" t="s">
        <v>49010</v>
      </c>
      <c r="T5646" s="28">
        <v>38696000</v>
      </c>
      <c r="U5646" s="28"/>
      <c r="V5646" s="28">
        <v>363918000</v>
      </c>
      <c r="W5646" s="28"/>
      <c r="X5646" s="28">
        <v>21731000</v>
      </c>
      <c r="Y5646" s="28">
        <v>2902618000</v>
      </c>
      <c r="Z5646" s="28">
        <v>1461216000</v>
      </c>
      <c r="AA5646" s="28"/>
      <c r="AB5646" s="28">
        <v>603406000</v>
      </c>
      <c r="AC5646" s="28">
        <v>1349585000</v>
      </c>
      <c r="AD5646" s="28">
        <v>1551216000</v>
      </c>
      <c r="AE5646" s="28">
        <v>5878502000</v>
      </c>
      <c r="AF5646" s="28">
        <v>774480000</v>
      </c>
      <c r="AG5646" s="11"/>
    </row>
    <row r="5647">
      <c r="A5647" s="7" t="s">
        <v>7252</v>
      </c>
      <c r="B5647" s="5" t="s">
        <v>15204</v>
      </c>
      <c r="C5647" s="5" t="s">
        <v>22882</v>
      </c>
      <c r="D5647" s="5" t="str">
        <v>540301533883</v>
      </c>
      <c r="E5647" s="0" t="e">
        <f>+7 (383) 2022250
+7 (383) 2305012
+7 (495) 2877067
+7 (495) 6877067
+7 (495) 7978108
+7 (967) 5366535</f>
        <v>#NAME?</v>
      </c>
      <c r="F5647" s="5" t="s">
        <v>41953</v>
      </c>
      <c r="G5647" s="5" t="s">
        <v>41954</v>
      </c>
      <c r="H5647" s="26">
        <v>8</v>
      </c>
      <c r="I5647" s="5" t="s">
        <v>41955</v>
      </c>
      <c r="J5647" s="5" t="s">
        <v>34658</v>
      </c>
      <c r="K5647" s="5" t="s">
        <v>344</v>
      </c>
      <c r="L5647" s="5"/>
      <c r="M5647" s="27">
        <v>2500089</v>
      </c>
      <c r="N5647" s="5" t="s">
        <v>57888</v>
      </c>
      <c r="O5647" s="5" t="str">
        <v>7722327689</v>
      </c>
      <c r="P5647" s="27">
        <v>10100</v>
      </c>
      <c r="Q5647" s="5" t="s">
        <v>49009</v>
      </c>
      <c r="R5647" s="5"/>
      <c r="S5647" s="5" t="s">
        <v>49139</v>
      </c>
      <c r="T5647" s="28">
        <v>4194209000</v>
      </c>
      <c r="U5647" s="28">
        <v>298006000</v>
      </c>
      <c r="V5647" s="28">
        <v>4482608000</v>
      </c>
      <c r="W5647" s="28">
        <v>94469000</v>
      </c>
      <c r="X5647" s="28">
        <v>2285037000</v>
      </c>
      <c r="Y5647" s="28">
        <v>13402262000</v>
      </c>
      <c r="Z5647" s="28">
        <v>3213260000</v>
      </c>
      <c r="AA5647" s="28">
        <v>844278000</v>
      </c>
      <c r="AB5647" s="28">
        <v>187946000</v>
      </c>
      <c r="AC5647" s="28">
        <v>6809859000</v>
      </c>
      <c r="AD5647" s="28">
        <v>3213270000</v>
      </c>
      <c r="AE5647" s="28">
        <v>25174319000</v>
      </c>
      <c r="AF5647" s="28">
        <v>1040219000</v>
      </c>
      <c r="AG5647" s="11"/>
    </row>
    <row r="5648">
      <c r="A5648" s="7" t="s">
        <v>7253</v>
      </c>
      <c r="B5648" s="5" t="s">
        <v>15205</v>
      </c>
      <c r="C5648" s="5" t="s">
        <v>22883</v>
      </c>
      <c r="D5648" s="5" t="str">
        <v>665801330325</v>
      </c>
      <c r="F5648" s="5"/>
      <c r="G5648" s="5"/>
      <c r="H5648" s="26">
        <v>4.5</v>
      </c>
      <c r="I5648" s="5" t="s">
        <v>41956</v>
      </c>
      <c r="J5648" s="5" t="s">
        <v>599</v>
      </c>
      <c r="K5648" s="5" t="s">
        <v>344</v>
      </c>
      <c r="L5648" s="5" t="s">
        <v>992</v>
      </c>
      <c r="M5648" s="27">
        <v>323466</v>
      </c>
      <c r="N5648" s="5"/>
      <c r="O5648" s="5" t="str">
        <v>6678093532</v>
      </c>
      <c r="P5648" s="27">
        <v>200000</v>
      </c>
      <c r="Q5648" s="5" t="s">
        <v>49207</v>
      </c>
      <c r="R5648" s="5"/>
      <c r="S5648" s="5" t="s">
        <v>49565</v>
      </c>
      <c r="T5648" s="28">
        <v>18647000</v>
      </c>
      <c r="U5648" s="28"/>
      <c r="V5648" s="28">
        <v>798919000</v>
      </c>
      <c r="W5648" s="28">
        <v>3255000</v>
      </c>
      <c r="X5648" s="28">
        <v>5948000</v>
      </c>
      <c r="Y5648" s="28">
        <v>840582000</v>
      </c>
      <c r="Z5648" s="28">
        <v>26341000</v>
      </c>
      <c r="AA5648" s="28">
        <v>42624000</v>
      </c>
      <c r="AB5648" s="28">
        <v>78486000</v>
      </c>
      <c r="AC5648" s="28">
        <v>770247000</v>
      </c>
      <c r="AD5648" s="28">
        <v>26541000</v>
      </c>
      <c r="AE5648" s="28">
        <v>4689125000</v>
      </c>
      <c r="AF5648" s="28">
        <v>23334000</v>
      </c>
      <c r="AG5648" s="11"/>
    </row>
    <row r="5649">
      <c r="A5649" s="7" t="s">
        <v>7254</v>
      </c>
      <c r="B5649" s="5" t="s">
        <v>15206</v>
      </c>
      <c r="C5649" s="5" t="s">
        <v>22884</v>
      </c>
      <c r="D5649" s="5" t="str">
        <v>343701049317</v>
      </c>
      <c r="E5649" s="0" t="e">
        <f>+7 (84463) 22684
+7 (84463) 29493
+7 (84463) 29860
+7 (84463) 30493
+7 (84463) 30860
+7 (84463) 41409</f>
        <v>#NAME?</v>
      </c>
      <c r="F5649" s="5" t="s">
        <v>41957</v>
      </c>
      <c r="G5649" s="5" t="s">
        <v>41958</v>
      </c>
      <c r="H5649" s="26">
        <v>30</v>
      </c>
      <c r="I5649" s="5"/>
      <c r="J5649" s="5" t="s">
        <v>26407</v>
      </c>
      <c r="K5649" s="5" t="s">
        <v>344</v>
      </c>
      <c r="L5649" s="5" t="s">
        <v>41959</v>
      </c>
      <c r="M5649" s="27"/>
      <c r="N5649" s="5"/>
      <c r="O5649" s="5" t="str">
        <v>3437000021</v>
      </c>
      <c r="P5649" s="27">
        <v>121538</v>
      </c>
      <c r="Q5649" s="5" t="s">
        <v>49009</v>
      </c>
      <c r="R5649" s="5"/>
      <c r="S5649" s="5" t="s">
        <v>50467</v>
      </c>
      <c r="T5649" s="28">
        <v>12050451000</v>
      </c>
      <c r="U5649" s="28">
        <v>425752000</v>
      </c>
      <c r="V5649" s="28">
        <v>766849000</v>
      </c>
      <c r="W5649" s="28">
        <v>22000</v>
      </c>
      <c r="X5649" s="28">
        <v>267437000</v>
      </c>
      <c r="Y5649" s="28">
        <v>16606861000</v>
      </c>
      <c r="Z5649" s="28">
        <v>14136572000</v>
      </c>
      <c r="AA5649" s="28"/>
      <c r="AB5649" s="28"/>
      <c r="AC5649" s="28">
        <v>1529871000</v>
      </c>
      <c r="AD5649" s="28">
        <v>14274578000</v>
      </c>
      <c r="AE5649" s="28">
        <v>13465240000</v>
      </c>
      <c r="AF5649" s="28">
        <v>1385390000</v>
      </c>
      <c r="AG5649" s="11"/>
    </row>
    <row r="5650">
      <c r="A5650" s="7" t="s">
        <v>7255</v>
      </c>
      <c r="B5650" s="5" t="s">
        <v>15207</v>
      </c>
      <c r="C5650" s="5" t="s">
        <v>22885</v>
      </c>
      <c r="D5650" s="5" t="str">
        <v>507401395031</v>
      </c>
      <c r="E5650" s="0" t="e">
        <f>+7 (495) 7295991
+7 (495) 7295993
+7 (495) 7295990
+7 (915) 1778009
+7 (916) 9120015
+7 (981) 7556606</f>
        <v>#NAME?</v>
      </c>
      <c r="F5650" s="5" t="s">
        <v>41960</v>
      </c>
      <c r="G5650" s="5" t="s">
        <v>41961</v>
      </c>
      <c r="H5650" s="26">
        <v>23</v>
      </c>
      <c r="I5650" s="5" t="s">
        <v>41962</v>
      </c>
      <c r="J5650" s="5" t="s">
        <v>678</v>
      </c>
      <c r="K5650" s="5" t="s">
        <v>344</v>
      </c>
      <c r="L5650" s="5" t="s">
        <v>41963</v>
      </c>
      <c r="M5650" s="27"/>
      <c r="N5650" s="5"/>
      <c r="O5650" s="5" t="str">
        <v>7729370210</v>
      </c>
      <c r="P5650" s="27">
        <v>220000000</v>
      </c>
      <c r="Q5650" s="5"/>
      <c r="R5650" s="5"/>
      <c r="S5650" s="5" t="s">
        <v>49110</v>
      </c>
      <c r="T5650" s="28">
        <v>194090000</v>
      </c>
      <c r="U5650" s="28"/>
      <c r="V5650" s="28">
        <v>1632483000</v>
      </c>
      <c r="W5650" s="28"/>
      <c r="X5650" s="28">
        <v>754522000</v>
      </c>
      <c r="Y5650" s="28">
        <v>3293930000</v>
      </c>
      <c r="Z5650" s="28">
        <v>514446000</v>
      </c>
      <c r="AA5650" s="28">
        <v>1823293000</v>
      </c>
      <c r="AB5650" s="28">
        <v>63816000</v>
      </c>
      <c r="AC5650" s="28">
        <v>557193000</v>
      </c>
      <c r="AD5650" s="28">
        <v>734446000</v>
      </c>
      <c r="AE5650" s="28">
        <v>4906259000</v>
      </c>
      <c r="AF5650" s="28">
        <v>377589000</v>
      </c>
      <c r="AG5650" s="11"/>
    </row>
    <row r="5651">
      <c r="A5651" s="7" t="s">
        <v>7256</v>
      </c>
      <c r="B5651" s="5" t="s">
        <v>15208</v>
      </c>
      <c r="C5651" s="5" t="s">
        <v>22886</v>
      </c>
      <c r="D5651" s="5" t="str">
        <v>220403981900</v>
      </c>
      <c r="E5651" s="0" t="e">
        <f>+7 (495) 1522255</f>
        <v>#NAME?</v>
      </c>
      <c r="F5651" s="5" t="s">
        <v>41964</v>
      </c>
      <c r="G5651" s="5"/>
      <c r="H5651" s="26">
        <v>13.5</v>
      </c>
      <c r="I5651" s="5" t="s">
        <v>41965</v>
      </c>
      <c r="J5651" s="5" t="s">
        <v>881</v>
      </c>
      <c r="K5651" s="5" t="s">
        <v>344</v>
      </c>
      <c r="L5651" s="5" t="s">
        <v>41966</v>
      </c>
      <c r="M5651" s="27"/>
      <c r="N5651" s="5" t="s">
        <v>57890</v>
      </c>
      <c r="O5651" s="5" t="str">
        <v>6316145067</v>
      </c>
      <c r="P5651" s="27">
        <v>30003</v>
      </c>
      <c r="Q5651" s="5" t="s">
        <v>49021</v>
      </c>
      <c r="R5651" s="5"/>
      <c r="S5651" s="5" t="s">
        <v>57891</v>
      </c>
      <c r="T5651" s="28">
        <v>10325000</v>
      </c>
      <c r="U5651" s="28">
        <v>100000</v>
      </c>
      <c r="V5651" s="28">
        <v>1124602000</v>
      </c>
      <c r="W5651" s="28"/>
      <c r="X5651" s="28">
        <v>75537000</v>
      </c>
      <c r="Y5651" s="28">
        <v>1217410000</v>
      </c>
      <c r="Z5651" s="28">
        <v>337422000</v>
      </c>
      <c r="AA5651" s="28"/>
      <c r="AB5651" s="28"/>
      <c r="AC5651" s="28">
        <v>873176000</v>
      </c>
      <c r="AD5651" s="28">
        <v>337452000</v>
      </c>
      <c r="AE5651" s="28">
        <v>6501398000</v>
      </c>
      <c r="AF5651" s="28">
        <v>179936000</v>
      </c>
      <c r="AG5651" s="11"/>
    </row>
    <row r="5652">
      <c r="A5652" s="7" t="s">
        <v>7257</v>
      </c>
      <c r="B5652" s="5" t="s">
        <v>15209</v>
      </c>
      <c r="C5652" s="5" t="s">
        <v>22887</v>
      </c>
      <c r="D5652" s="5"/>
      <c r="E5652" s="0" t="e">
        <f>+7 (812) 3180549
+7 (35362) 47010
+7 (3843) 200579
+7 (421) 2766648
+7 (81531) 31816
+7 (8202) 202801
+7 (909) 7430666
+7 (912) 9899537
+7 (921) 5115894
+7 (923) 1431960
+7 (987) 585589</f>
        <v>#NAME?</v>
      </c>
      <c r="F5652" s="5" t="s">
        <v>41967</v>
      </c>
      <c r="G5652" s="5" t="s">
        <v>41968</v>
      </c>
      <c r="H5652" s="26">
        <v>16</v>
      </c>
      <c r="I5652" s="5"/>
      <c r="J5652" s="5" t="s">
        <v>25446</v>
      </c>
      <c r="K5652" s="5" t="s">
        <v>344</v>
      </c>
      <c r="L5652" s="5" t="s">
        <v>41969</v>
      </c>
      <c r="M5652" s="27">
        <v>13598191</v>
      </c>
      <c r="N5652" s="5" t="s">
        <v>57892</v>
      </c>
      <c r="O5652" s="5" t="str">
        <v>5190165656</v>
      </c>
      <c r="P5652" s="27">
        <v>10000000</v>
      </c>
      <c r="Q5652" s="5" t="s">
        <v>57893</v>
      </c>
      <c r="R5652" s="5"/>
      <c r="S5652" s="5" t="s">
        <v>57894</v>
      </c>
      <c r="T5652" s="28">
        <v>1128234000</v>
      </c>
      <c r="U5652" s="28">
        <v>693500000</v>
      </c>
      <c r="V5652" s="28">
        <v>6378692000</v>
      </c>
      <c r="W5652" s="28">
        <v>175000000</v>
      </c>
      <c r="X5652" s="28">
        <v>1312514000</v>
      </c>
      <c r="Y5652" s="28">
        <v>11379425000</v>
      </c>
      <c r="Z5652" s="28">
        <v>2407331000</v>
      </c>
      <c r="AA5652" s="28"/>
      <c r="AB5652" s="28"/>
      <c r="AC5652" s="28">
        <v>7554669000</v>
      </c>
      <c r="AD5652" s="28">
        <v>2417831000</v>
      </c>
      <c r="AE5652" s="28">
        <v>14996411000</v>
      </c>
      <c r="AF5652" s="28">
        <v>159657000</v>
      </c>
      <c r="AG5652" s="11"/>
    </row>
    <row r="5653">
      <c r="A5653" s="7" t="s">
        <v>7258</v>
      </c>
      <c r="B5653" s="5" t="s">
        <v>15210</v>
      </c>
      <c r="C5653" s="5" t="s">
        <v>22888</v>
      </c>
      <c r="D5653" s="5" t="str">
        <v>701740152253</v>
      </c>
      <c r="E5653" s="0" t="e">
        <f>+7 (345) 2512507
+7 (382) 2512507
+7 (382) 2515963</f>
        <v>#NAME?</v>
      </c>
      <c r="F5653" s="5"/>
      <c r="G5653" s="5"/>
      <c r="H5653" s="26">
        <v>15.5</v>
      </c>
      <c r="I5653" s="5" t="s">
        <v>26971</v>
      </c>
      <c r="J5653" s="5" t="s">
        <v>25327</v>
      </c>
      <c r="K5653" s="5" t="s">
        <v>344</v>
      </c>
      <c r="L5653" s="5" t="s">
        <v>41970</v>
      </c>
      <c r="M5653" s="27"/>
      <c r="N5653" s="5"/>
      <c r="O5653" s="5" t="str">
        <v>7017192222</v>
      </c>
      <c r="P5653" s="27">
        <v>10000</v>
      </c>
      <c r="Q5653" s="5" t="s">
        <v>57895</v>
      </c>
      <c r="R5653" s="5"/>
      <c r="S5653" s="5" t="s">
        <v>57896</v>
      </c>
      <c r="T5653" s="28"/>
      <c r="U5653" s="28"/>
      <c r="V5653" s="28">
        <v>1275806000</v>
      </c>
      <c r="W5653" s="28">
        <v>46740000</v>
      </c>
      <c r="X5653" s="28">
        <v>375000</v>
      </c>
      <c r="Y5653" s="28">
        <v>2713720000</v>
      </c>
      <c r="Z5653" s="28">
        <v>651460000</v>
      </c>
      <c r="AA5653" s="28">
        <v>114579000</v>
      </c>
      <c r="AB5653" s="28">
        <v>1393204000</v>
      </c>
      <c r="AC5653" s="28">
        <v>1947671000</v>
      </c>
      <c r="AD5653" s="28">
        <v>651470000</v>
      </c>
      <c r="AE5653" s="28">
        <v>8331673000</v>
      </c>
      <c r="AF5653" s="28">
        <v>109431000</v>
      </c>
      <c r="AG5653" s="11"/>
    </row>
    <row r="5654">
      <c r="A5654" s="7" t="s">
        <v>7258</v>
      </c>
      <c r="B5654" s="5" t="s">
        <v>15211</v>
      </c>
      <c r="C5654" s="5" t="s">
        <v>19354</v>
      </c>
      <c r="D5654" s="5" t="str">
        <v>272308724031</v>
      </c>
      <c r="F5654" s="5" t="s">
        <v>41971</v>
      </c>
      <c r="G5654" s="5"/>
      <c r="H5654" s="26">
        <v>12</v>
      </c>
      <c r="I5654" s="5" t="s">
        <v>30780</v>
      </c>
      <c r="J5654" s="5" t="s">
        <v>27650</v>
      </c>
      <c r="K5654" s="5" t="s">
        <v>344</v>
      </c>
      <c r="L5654" s="5" t="s">
        <v>41972</v>
      </c>
      <c r="M5654" s="27"/>
      <c r="N5654" s="5"/>
      <c r="O5654" s="5" t="str">
        <v>4101142626</v>
      </c>
      <c r="P5654" s="27">
        <v>10000</v>
      </c>
      <c r="Q5654" s="5"/>
      <c r="R5654" s="5"/>
      <c r="S5654" s="5" t="s">
        <v>49029</v>
      </c>
      <c r="T5654" s="28">
        <v>3103497000</v>
      </c>
      <c r="U5654" s="28"/>
      <c r="V5654" s="28">
        <v>3987749000</v>
      </c>
      <c r="W5654" s="28">
        <v>120000</v>
      </c>
      <c r="X5654" s="28">
        <v>301976000</v>
      </c>
      <c r="Y5654" s="28">
        <v>14777223000</v>
      </c>
      <c r="Z5654" s="28">
        <v>12593975000</v>
      </c>
      <c r="AA5654" s="28">
        <v>1660253000</v>
      </c>
      <c r="AB5654" s="28"/>
      <c r="AC5654" s="28">
        <v>510473000</v>
      </c>
      <c r="AD5654" s="28">
        <v>12593985000</v>
      </c>
      <c r="AE5654" s="28">
        <v>7293972000</v>
      </c>
      <c r="AF5654" s="28">
        <v>4394364000</v>
      </c>
      <c r="AG5654" s="11"/>
    </row>
    <row r="5655">
      <c r="A5655" s="7" t="s">
        <v>7259</v>
      </c>
      <c r="B5655" s="5" t="s">
        <v>15212</v>
      </c>
      <c r="C5655" s="5" t="s">
        <v>22889</v>
      </c>
      <c r="D5655" s="5" t="str">
        <v>420519591221</v>
      </c>
      <c r="E5655" s="0" t="e">
        <f>+7 (3517) 298433
+7 (384) 2554000
+7 (384) 2772112
+7 (3843) 705005
+7 (482) 2452017
+7 (495) 7407661
+7 (499) 2704740
+7 (499) 2777931
+7 (812) 7482070
+7 (905) 1644440
+7 (910) 131596
+7 (912) 4760606
+7 (912) 7766006
+7 (913) 772000
+7 (913) 3054000</f>
        <v>#NAME?</v>
      </c>
      <c r="F5655" s="5"/>
      <c r="G5655" s="5"/>
      <c r="H5655" s="26">
        <v>8</v>
      </c>
      <c r="I5655" s="5" t="s">
        <v>41973</v>
      </c>
      <c r="J5655" s="5" t="s">
        <v>1143</v>
      </c>
      <c r="K5655" s="5" t="s">
        <v>344</v>
      </c>
      <c r="L5655" s="5" t="s">
        <v>41974</v>
      </c>
      <c r="M5655" s="27">
        <v>4221404</v>
      </c>
      <c r="N5655" s="5" t="s">
        <v>57897</v>
      </c>
      <c r="O5655" s="5" t="str">
        <v>5044093837</v>
      </c>
      <c r="P5655" s="27">
        <v>40000000</v>
      </c>
      <c r="Q5655" s="5" t="s">
        <v>57898</v>
      </c>
      <c r="R5655" s="5"/>
      <c r="S5655" s="5" t="s">
        <v>49361</v>
      </c>
      <c r="T5655" s="28">
        <v>245863000</v>
      </c>
      <c r="U5655" s="28">
        <v>177315000</v>
      </c>
      <c r="V5655" s="28">
        <v>457965000</v>
      </c>
      <c r="W5655" s="28">
        <v>303550000</v>
      </c>
      <c r="X5655" s="28">
        <v>5498000</v>
      </c>
      <c r="Y5655" s="28">
        <v>1752998000</v>
      </c>
      <c r="Z5655" s="28">
        <v>1271111000</v>
      </c>
      <c r="AA5655" s="28"/>
      <c r="AB5655" s="28"/>
      <c r="AC5655" s="28">
        <v>130245000</v>
      </c>
      <c r="AD5655" s="28">
        <v>1311111000</v>
      </c>
      <c r="AE5655" s="28">
        <v>5347336000</v>
      </c>
      <c r="AF5655" s="28">
        <v>822751000</v>
      </c>
      <c r="AG5655" s="11"/>
    </row>
    <row r="5656">
      <c r="A5656" s="7" t="s">
        <v>7260</v>
      </c>
      <c r="B5656" s="5" t="s">
        <v>15213</v>
      </c>
      <c r="C5656" s="5" t="s">
        <v>22890</v>
      </c>
      <c r="D5656" s="5" t="str">
        <v>143300673811</v>
      </c>
      <c r="E5656" s="0" t="e">
        <f>+7 (914) 2529097
+7 (818) 2657507
+7 (818) 2657527</f>
        <v>#NAME?</v>
      </c>
      <c r="F5656" s="5" t="s">
        <v>41975</v>
      </c>
      <c r="G5656" s="5" t="s">
        <v>41976</v>
      </c>
      <c r="H5656" s="26">
        <v>30.5</v>
      </c>
      <c r="I5656" s="5"/>
      <c r="J5656" s="5" t="s">
        <v>26603</v>
      </c>
      <c r="K5656" s="5" t="s">
        <v>344</v>
      </c>
      <c r="L5656" s="5" t="s">
        <v>41977</v>
      </c>
      <c r="M5656" s="27"/>
      <c r="N5656" s="5" t="s">
        <v>57899</v>
      </c>
      <c r="O5656" s="5" t="str">
        <v>2901038518</v>
      </c>
      <c r="P5656" s="27">
        <v>29582561037</v>
      </c>
      <c r="Q5656" s="5" t="s">
        <v>57900</v>
      </c>
      <c r="R5656" s="5"/>
      <c r="S5656" s="5" t="s">
        <v>57901</v>
      </c>
      <c r="T5656" s="28">
        <v>17280235000</v>
      </c>
      <c r="U5656" s="28">
        <v>3625000</v>
      </c>
      <c r="V5656" s="28">
        <v>2032427000</v>
      </c>
      <c r="W5656" s="28">
        <v>10386950000</v>
      </c>
      <c r="X5656" s="28">
        <v>566000</v>
      </c>
      <c r="Y5656" s="28">
        <v>40025002000</v>
      </c>
      <c r="Z5656" s="28">
        <v>2130611000</v>
      </c>
      <c r="AA5656" s="28"/>
      <c r="AB5656" s="28">
        <v>165391000</v>
      </c>
      <c r="AC5656" s="28">
        <v>1945840000</v>
      </c>
      <c r="AD5656" s="28">
        <v>35881036000</v>
      </c>
      <c r="AE5656" s="28">
        <v>14592695000</v>
      </c>
      <c r="AF5656" s="28">
        <v>5844117000</v>
      </c>
      <c r="AG5656" s="11"/>
    </row>
    <row r="5657">
      <c r="A5657" s="7" t="s">
        <v>7261</v>
      </c>
      <c r="B5657" s="5" t="s">
        <v>15214</v>
      </c>
      <c r="C5657" s="5" t="s">
        <v>22891</v>
      </c>
      <c r="D5657" s="5" t="str">
        <v>760804054780</v>
      </c>
      <c r="F5657" s="5"/>
      <c r="G5657" s="5"/>
      <c r="H5657" s="26">
        <v>4.5</v>
      </c>
      <c r="I5657" s="5"/>
      <c r="J5657" s="5" t="s">
        <v>30725</v>
      </c>
      <c r="K5657" s="5" t="s">
        <v>344</v>
      </c>
      <c r="L5657" s="5" t="s">
        <v>41978</v>
      </c>
      <c r="M5657" s="27"/>
      <c r="N5657" s="5"/>
      <c r="O5657" s="5" t="str">
        <v>7736317151</v>
      </c>
      <c r="P5657" s="27">
        <v>3000000</v>
      </c>
      <c r="Q5657" s="5" t="s">
        <v>49021</v>
      </c>
      <c r="R5657" s="5"/>
      <c r="S5657" s="5" t="s">
        <v>57902</v>
      </c>
      <c r="T5657" s="28">
        <v>289768000</v>
      </c>
      <c r="U5657" s="28">
        <v>13816000</v>
      </c>
      <c r="V5657" s="28">
        <v>206925000</v>
      </c>
      <c r="W5657" s="28">
        <v>100000</v>
      </c>
      <c r="X5657" s="28">
        <v>159777000</v>
      </c>
      <c r="Y5657" s="28">
        <v>1209483000</v>
      </c>
      <c r="Z5657" s="28">
        <v>84042000</v>
      </c>
      <c r="AA5657" s="28"/>
      <c r="AB5657" s="28"/>
      <c r="AC5657" s="28">
        <v>1115392000</v>
      </c>
      <c r="AD5657" s="28">
        <v>87042000</v>
      </c>
      <c r="AE5657" s="28">
        <v>3931146000</v>
      </c>
      <c r="AF5657" s="28">
        <v>47159000</v>
      </c>
      <c r="AG5657" s="11"/>
    </row>
    <row r="5658">
      <c r="A5658" s="7" t="s">
        <v>7262</v>
      </c>
      <c r="B5658" s="5" t="s">
        <v>15215</v>
      </c>
      <c r="C5658" s="5" t="s">
        <v>22892</v>
      </c>
      <c r="D5658" s="5" t="str">
        <v>780157447887</v>
      </c>
      <c r="E5658" s="0" t="e">
        <f>+7 (906) 2522761</f>
        <v>#NAME?</v>
      </c>
      <c r="F5658" s="5"/>
      <c r="G5658" s="5"/>
      <c r="H5658" s="26">
        <v>10</v>
      </c>
      <c r="I5658" s="5" t="s">
        <v>41979</v>
      </c>
      <c r="J5658" s="5" t="s">
        <v>25429</v>
      </c>
      <c r="K5658" s="5" t="s">
        <v>344</v>
      </c>
      <c r="L5658" s="5" t="s">
        <v>41980</v>
      </c>
      <c r="M5658" s="27"/>
      <c r="N5658" s="5" t="s">
        <v>57903</v>
      </c>
      <c r="O5658" s="5" t="str">
        <v>7810897543</v>
      </c>
      <c r="P5658" s="27">
        <v>10000</v>
      </c>
      <c r="Q5658" s="5" t="s">
        <v>57904</v>
      </c>
      <c r="R5658" s="5"/>
      <c r="S5658" s="5" t="s">
        <v>49256</v>
      </c>
      <c r="T5658" s="28">
        <v>4336000</v>
      </c>
      <c r="U5658" s="28"/>
      <c r="V5658" s="28">
        <v>330793000</v>
      </c>
      <c r="W5658" s="28">
        <v>533500000</v>
      </c>
      <c r="X5658" s="28">
        <v>13286000</v>
      </c>
      <c r="Y5658" s="28">
        <v>2108890000</v>
      </c>
      <c r="Z5658" s="28">
        <v>1248044000</v>
      </c>
      <c r="AA5658" s="28"/>
      <c r="AB5658" s="28"/>
      <c r="AC5658" s="28">
        <v>851768000</v>
      </c>
      <c r="AD5658" s="28">
        <v>1248054000</v>
      </c>
      <c r="AE5658" s="28">
        <v>3207215000</v>
      </c>
      <c r="AF5658" s="28">
        <v>550067000</v>
      </c>
      <c r="AG5658" s="11"/>
    </row>
    <row r="5659">
      <c r="A5659" s="7" t="s">
        <v>7263</v>
      </c>
      <c r="B5659" s="5" t="s">
        <v>15216</v>
      </c>
      <c r="C5659" s="5" t="s">
        <v>22893</v>
      </c>
      <c r="D5659" s="5" t="str">
        <v>891300202136</v>
      </c>
      <c r="E5659" s="0" t="e">
        <f>+7 (34932) 41483
+7 (3494) 248106
+7 (495) 5102948
+7 (495) 5870277
+7 (495) 5870278
+7 (495) 6206363</f>
        <v>#NAME?</v>
      </c>
      <c r="F5659" s="5" t="s">
        <v>41981</v>
      </c>
      <c r="G5659" s="5" t="s">
        <v>41982</v>
      </c>
      <c r="H5659" s="26">
        <v>21.5</v>
      </c>
      <c r="I5659" s="5"/>
      <c r="J5659" s="5" t="s">
        <v>27129</v>
      </c>
      <c r="K5659" s="5" t="s">
        <v>344</v>
      </c>
      <c r="L5659" s="5" t="s">
        <v>41983</v>
      </c>
      <c r="M5659" s="27"/>
      <c r="N5659" s="5"/>
      <c r="O5659" s="5" t="str">
        <v>8912001990</v>
      </c>
      <c r="P5659" s="27">
        <v>39999700</v>
      </c>
      <c r="Q5659" s="5" t="s">
        <v>57905</v>
      </c>
      <c r="R5659" s="5"/>
      <c r="S5659" s="5" t="s">
        <v>49743</v>
      </c>
      <c r="T5659" s="28">
        <v>108945599000</v>
      </c>
      <c r="U5659" s="28"/>
      <c r="V5659" s="28">
        <v>9384897000</v>
      </c>
      <c r="W5659" s="28"/>
      <c r="X5659" s="28">
        <v>19510050000</v>
      </c>
      <c r="Y5659" s="28">
        <v>141337861000</v>
      </c>
      <c r="Z5659" s="28">
        <v>53307409000</v>
      </c>
      <c r="AA5659" s="28">
        <v>24212552000</v>
      </c>
      <c r="AB5659" s="28">
        <v>6856930000</v>
      </c>
      <c r="AC5659" s="28">
        <v>16029046000</v>
      </c>
      <c r="AD5659" s="28">
        <v>78448455000</v>
      </c>
      <c r="AE5659" s="28">
        <v>53996107000</v>
      </c>
      <c r="AF5659" s="28">
        <v>7532836000</v>
      </c>
      <c r="AG5659" s="11"/>
    </row>
    <row r="5660">
      <c r="A5660" s="7" t="s">
        <v>7264</v>
      </c>
      <c r="B5660" s="5" t="s">
        <v>15217</v>
      </c>
      <c r="C5660" s="5" t="s">
        <v>22894</v>
      </c>
      <c r="D5660" s="5"/>
      <c r="E5660" s="0" t="e">
        <f>+7 (34766) 33600
+7 (421) 2205512
+7 (423) 1643737
+7 (42737) 41828
+7 (42737) 42311
+7 (42737) 43264</f>
        <v>#NAME?</v>
      </c>
      <c r="F5660" s="5"/>
      <c r="G5660" s="5" t="s">
        <v>41984</v>
      </c>
      <c r="H5660" s="26">
        <v>15.5</v>
      </c>
      <c r="I5660" s="5" t="s">
        <v>41985</v>
      </c>
      <c r="J5660" s="5" t="s">
        <v>26499</v>
      </c>
      <c r="K5660" s="5" t="s">
        <v>344</v>
      </c>
      <c r="L5660" s="5" t="s">
        <v>41986</v>
      </c>
      <c r="M5660" s="27"/>
      <c r="N5660" s="5"/>
      <c r="O5660" s="5" t="str">
        <v>8706005044</v>
      </c>
      <c r="P5660" s="27">
        <v>2489419264</v>
      </c>
      <c r="Q5660" s="5" t="s">
        <v>49021</v>
      </c>
      <c r="R5660" s="5"/>
      <c r="S5660" s="5" t="s">
        <v>52514</v>
      </c>
      <c r="T5660" s="28">
        <v>28895000</v>
      </c>
      <c r="U5660" s="28">
        <v>9636238000</v>
      </c>
      <c r="V5660" s="28">
        <v>2917374000</v>
      </c>
      <c r="W5660" s="28"/>
      <c r="X5660" s="28">
        <v>869958000</v>
      </c>
      <c r="Y5660" s="28">
        <v>15288044000</v>
      </c>
      <c r="Z5660" s="28">
        <v>12007768000</v>
      </c>
      <c r="AA5660" s="28"/>
      <c r="AB5660" s="28"/>
      <c r="AC5660" s="28">
        <v>136775000</v>
      </c>
      <c r="AD5660" s="28">
        <v>14904246000</v>
      </c>
      <c r="AE5660" s="28">
        <v>9138667000</v>
      </c>
      <c r="AF5660" s="28">
        <v>3349510000</v>
      </c>
      <c r="AG5660" s="11"/>
    </row>
    <row r="5661">
      <c r="A5661" s="7" t="s">
        <v>7265</v>
      </c>
      <c r="B5661" s="5" t="s">
        <v>15218</v>
      </c>
      <c r="C5661" s="5" t="s">
        <v>22895</v>
      </c>
      <c r="D5661" s="5" t="str">
        <v>350701404403</v>
      </c>
      <c r="E5661" s="0" t="e">
        <f>+7 (81755) 20713
+7 (81755) 21082
+7 (81755) 21521
+7 (81755) 21638
+7 (81755) 21862
+7 (81755) 23357</f>
        <v>#NAME?</v>
      </c>
      <c r="F5661" s="5" t="s">
        <v>41987</v>
      </c>
      <c r="G5661" s="5" t="s">
        <v>41988</v>
      </c>
      <c r="H5661" s="26">
        <v>11.5</v>
      </c>
      <c r="I5661" s="5"/>
      <c r="J5661" s="5" t="s">
        <v>25499</v>
      </c>
      <c r="K5661" s="5" t="s">
        <v>344</v>
      </c>
      <c r="L5661" s="5" t="s">
        <v>41989</v>
      </c>
      <c r="M5661" s="27"/>
      <c r="N5661" s="5"/>
      <c r="O5661" s="5" t="str">
        <v>3509010494</v>
      </c>
      <c r="P5661" s="27">
        <v>186462000</v>
      </c>
      <c r="Q5661" s="5" t="s">
        <v>55514</v>
      </c>
      <c r="R5661" s="5"/>
      <c r="S5661" s="5" t="s">
        <v>57906</v>
      </c>
      <c r="T5661" s="28">
        <v>2739319000</v>
      </c>
      <c r="U5661" s="28"/>
      <c r="V5661" s="28">
        <v>957135000</v>
      </c>
      <c r="W5661" s="28">
        <v>13300000</v>
      </c>
      <c r="X5661" s="28">
        <v>26217000</v>
      </c>
      <c r="Y5661" s="28">
        <v>4472588000</v>
      </c>
      <c r="Z5661" s="28">
        <v>651291000</v>
      </c>
      <c r="AA5661" s="28">
        <v>1389904000</v>
      </c>
      <c r="AB5661" s="28">
        <v>1567850000</v>
      </c>
      <c r="AC5661" s="28">
        <v>2073499000</v>
      </c>
      <c r="AD5661" s="28">
        <v>882095000</v>
      </c>
      <c r="AE5661" s="28">
        <v>9788569000</v>
      </c>
      <c r="AF5661" s="28">
        <v>296117000</v>
      </c>
      <c r="AG5661" s="11"/>
    </row>
    <row r="5662">
      <c r="A5662" s="7" t="s">
        <v>7266</v>
      </c>
      <c r="B5662" s="5" t="s">
        <v>15219</v>
      </c>
      <c r="C5662" s="5" t="s">
        <v>22896</v>
      </c>
      <c r="D5662" s="5" t="str">
        <v>540617822024</v>
      </c>
      <c r="E5662" s="0" t="e">
        <f>+7 (495) 7302593
+7 (495) 7304330
+7 (495) 7305080
+7 (800) 2224844</f>
        <v>#NAME?</v>
      </c>
      <c r="F5662" s="5" t="s">
        <v>41990</v>
      </c>
      <c r="G5662" s="5" t="s">
        <v>41991</v>
      </c>
      <c r="H5662" s="26">
        <v>15</v>
      </c>
      <c r="I5662" s="5" t="s">
        <v>41992</v>
      </c>
      <c r="J5662" s="5" t="s">
        <v>25454</v>
      </c>
      <c r="K5662" s="5" t="s">
        <v>355</v>
      </c>
      <c r="L5662" s="5"/>
      <c r="M5662" s="27"/>
      <c r="N5662" s="5" t="s">
        <v>57907</v>
      </c>
      <c r="O5662" s="5" t="str">
        <v>7733646084</v>
      </c>
      <c r="P5662" s="27">
        <v>101000000</v>
      </c>
      <c r="Q5662" s="5" t="s">
        <v>49021</v>
      </c>
      <c r="R5662" s="5"/>
      <c r="S5662" s="5" t="s">
        <v>57908</v>
      </c>
      <c r="T5662" s="28">
        <v>230398000</v>
      </c>
      <c r="U5662" s="28"/>
      <c r="V5662" s="28">
        <v>11995987000</v>
      </c>
      <c r="W5662" s="28">
        <v>3132918000</v>
      </c>
      <c r="X5662" s="28">
        <v>78145000</v>
      </c>
      <c r="Y5662" s="28">
        <v>18890991000</v>
      </c>
      <c r="Z5662" s="28">
        <v>-957067000</v>
      </c>
      <c r="AA5662" s="28"/>
      <c r="AB5662" s="28"/>
      <c r="AC5662" s="28">
        <v>19428508000</v>
      </c>
      <c r="AD5662" s="28">
        <v>-856067000</v>
      </c>
      <c r="AE5662" s="28">
        <v>42660753000</v>
      </c>
      <c r="AF5662" s="28">
        <v>1005076000</v>
      </c>
      <c r="AG5662" s="11"/>
    </row>
    <row r="5663">
      <c r="A5663" s="7" t="s">
        <v>7267</v>
      </c>
      <c r="B5663" s="5" t="s">
        <v>15220</v>
      </c>
      <c r="C5663" s="5" t="s">
        <v>22897</v>
      </c>
      <c r="D5663" s="5" t="str">
        <v>771801283892</v>
      </c>
      <c r="E5663" s="0" t="e">
        <f>+7 (495) 6121606
+7 (495) 3069117
+7 (495) 3069817
+7 (495) 6121656
+7 (499) 1500626
+7 (499) 1500668</f>
        <v>#NAME?</v>
      </c>
      <c r="F5663" s="5" t="s">
        <v>41993</v>
      </c>
      <c r="G5663" s="5" t="s">
        <v>41994</v>
      </c>
      <c r="H5663" s="26">
        <v>15.5</v>
      </c>
      <c r="I5663" s="5" t="s">
        <v>41995</v>
      </c>
      <c r="J5663" s="5" t="s">
        <v>25259</v>
      </c>
      <c r="K5663" s="5" t="s">
        <v>344</v>
      </c>
      <c r="L5663" s="5" t="s">
        <v>41996</v>
      </c>
      <c r="M5663" s="27"/>
      <c r="N5663" s="5" t="s">
        <v>49228</v>
      </c>
      <c r="O5663" s="5" t="str">
        <v>7706664863</v>
      </c>
      <c r="P5663" s="27">
        <v>250000</v>
      </c>
      <c r="Q5663" s="5" t="s">
        <v>49021</v>
      </c>
      <c r="R5663" s="5"/>
      <c r="S5663" s="5" t="s">
        <v>50742</v>
      </c>
      <c r="T5663" s="28">
        <v>3922000</v>
      </c>
      <c r="U5663" s="28">
        <v>518000</v>
      </c>
      <c r="V5663" s="28">
        <v>1195647000</v>
      </c>
      <c r="W5663" s="28">
        <v>174400000</v>
      </c>
      <c r="X5663" s="28">
        <v>62063000</v>
      </c>
      <c r="Y5663" s="28">
        <v>3880260000</v>
      </c>
      <c r="Z5663" s="28">
        <v>237319000</v>
      </c>
      <c r="AA5663" s="28">
        <v>1474929000</v>
      </c>
      <c r="AB5663" s="28">
        <v>66789000</v>
      </c>
      <c r="AC5663" s="28">
        <v>2166660000</v>
      </c>
      <c r="AD5663" s="28">
        <v>237569000</v>
      </c>
      <c r="AE5663" s="28">
        <v>4717094000</v>
      </c>
      <c r="AF5663" s="28">
        <v>82154000</v>
      </c>
      <c r="AG5663" s="11"/>
    </row>
    <row r="5664">
      <c r="A5664" s="7" t="s">
        <v>7268</v>
      </c>
      <c r="B5664" s="5" t="s">
        <v>15221</v>
      </c>
      <c r="C5664" s="5" t="s">
        <v>22898</v>
      </c>
      <c r="D5664" s="5" t="str">
        <v>228902439494</v>
      </c>
      <c r="E5664" s="0" t="e">
        <f>+7 (38532) 22105
+7 (38532) 22174
+7 (38595) 22774
+7 (38532) 57094
+7 (38532) 57240
+7 (38532) 57282
+7 (38593) 22535
+7 (903) 9479851</f>
        <v>#NAME?</v>
      </c>
      <c r="F5664" s="5" t="s">
        <v>41997</v>
      </c>
      <c r="G5664" s="5" t="s">
        <v>41998</v>
      </c>
      <c r="H5664" s="26">
        <v>19.5</v>
      </c>
      <c r="I5664" s="5" t="s">
        <v>41999</v>
      </c>
      <c r="J5664" s="5" t="s">
        <v>467</v>
      </c>
      <c r="K5664" s="5" t="s">
        <v>344</v>
      </c>
      <c r="L5664" s="5"/>
      <c r="M5664" s="27"/>
      <c r="N5664" s="5" t="s">
        <v>57909</v>
      </c>
      <c r="O5664" s="5" t="str">
        <v>2208010989</v>
      </c>
      <c r="P5664" s="27">
        <v>63134100</v>
      </c>
      <c r="Q5664" s="5" t="s">
        <v>57910</v>
      </c>
      <c r="R5664" s="5"/>
      <c r="S5664" s="5" t="s">
        <v>57911</v>
      </c>
      <c r="T5664" s="28">
        <v>864028000</v>
      </c>
      <c r="U5664" s="28">
        <v>3000</v>
      </c>
      <c r="V5664" s="28">
        <v>40128000</v>
      </c>
      <c r="W5664" s="28">
        <v>270000000</v>
      </c>
      <c r="X5664" s="28">
        <v>384446000</v>
      </c>
      <c r="Y5664" s="28">
        <v>1873942000</v>
      </c>
      <c r="Z5664" s="28">
        <v>1150664000</v>
      </c>
      <c r="AA5664" s="28"/>
      <c r="AB5664" s="28"/>
      <c r="AC5664" s="28">
        <v>352638000</v>
      </c>
      <c r="AD5664" s="28">
        <v>1383759000</v>
      </c>
      <c r="AE5664" s="28">
        <v>3744108000</v>
      </c>
      <c r="AF5664" s="28">
        <v>81316000</v>
      </c>
      <c r="AG5664" s="11"/>
    </row>
    <row r="5665">
      <c r="A5665" s="7" t="s">
        <v>7269</v>
      </c>
      <c r="B5665" s="5" t="s">
        <v>15222</v>
      </c>
      <c r="C5665" s="5" t="s">
        <v>22899</v>
      </c>
      <c r="D5665" s="5" t="str">
        <v>550104841042</v>
      </c>
      <c r="E5665" s="0" t="e">
        <f>+7 (495) 9486630
+7 (495) 7485500
+7 (495) 7821650
+7 (495) 7821654
+7 (925) 54747
+7 (925) 7618091
+7 (926) 5274376</f>
        <v>#NAME?</v>
      </c>
      <c r="F5665" s="5" t="s">
        <v>42000</v>
      </c>
      <c r="G5665" s="5" t="s">
        <v>42001</v>
      </c>
      <c r="H5665" s="26">
        <v>23.5</v>
      </c>
      <c r="I5665" s="5"/>
      <c r="J5665" s="5" t="s">
        <v>881</v>
      </c>
      <c r="K5665" s="5" t="s">
        <v>344</v>
      </c>
      <c r="L5665" s="5" t="s">
        <v>42002</v>
      </c>
      <c r="M5665" s="27">
        <v>542133839</v>
      </c>
      <c r="N5665" s="5" t="s">
        <v>57912</v>
      </c>
      <c r="O5665" s="5" t="str">
        <v>7705307770</v>
      </c>
      <c r="P5665" s="27">
        <v>1000000</v>
      </c>
      <c r="Q5665" s="5" t="s">
        <v>57913</v>
      </c>
      <c r="R5665" s="5" t="s">
        <v>57914</v>
      </c>
      <c r="S5665" s="5" t="s">
        <v>57915</v>
      </c>
      <c r="T5665" s="28">
        <v>80115000</v>
      </c>
      <c r="U5665" s="28">
        <v>1197000</v>
      </c>
      <c r="V5665" s="28">
        <v>5474877000</v>
      </c>
      <c r="W5665" s="28"/>
      <c r="X5665" s="28">
        <v>1250692000</v>
      </c>
      <c r="Y5665" s="28">
        <v>7925380000</v>
      </c>
      <c r="Z5665" s="28">
        <v>1874343000</v>
      </c>
      <c r="AA5665" s="28"/>
      <c r="AB5665" s="28">
        <v>336165000</v>
      </c>
      <c r="AC5665" s="28">
        <v>5969708000</v>
      </c>
      <c r="AD5665" s="28">
        <v>1875394000</v>
      </c>
      <c r="AE5665" s="28">
        <v>7913162000</v>
      </c>
      <c r="AF5665" s="28">
        <v>299336000</v>
      </c>
      <c r="AG5665" s="11"/>
    </row>
    <row r="5666">
      <c r="A5666" s="7" t="s">
        <v>7270</v>
      </c>
      <c r="B5666" s="5" t="s">
        <v>15223</v>
      </c>
      <c r="C5666" s="5" t="s">
        <v>22900</v>
      </c>
      <c r="D5666" s="5" t="str">
        <v>502711239393</v>
      </c>
      <c r="F5666" s="5"/>
      <c r="G5666" s="5"/>
      <c r="H5666" s="26">
        <v>4</v>
      </c>
      <c r="I5666" s="5" t="s">
        <v>42003</v>
      </c>
      <c r="J5666" s="5" t="s">
        <v>678</v>
      </c>
      <c r="K5666" s="5" t="s">
        <v>344</v>
      </c>
      <c r="L5666" s="5" t="s">
        <v>42004</v>
      </c>
      <c r="M5666" s="27"/>
      <c r="N5666" s="5"/>
      <c r="O5666" s="5" t="str">
        <v>7810746456</v>
      </c>
      <c r="P5666" s="27">
        <v>10000</v>
      </c>
      <c r="Q5666" s="5" t="s">
        <v>49207</v>
      </c>
      <c r="R5666" s="5"/>
      <c r="S5666" s="5" t="s">
        <v>49311</v>
      </c>
      <c r="T5666" s="28">
        <v>39731000</v>
      </c>
      <c r="U5666" s="28"/>
      <c r="V5666" s="28">
        <v>1393736000</v>
      </c>
      <c r="W5666" s="28"/>
      <c r="X5666" s="28">
        <v>32900000</v>
      </c>
      <c r="Y5666" s="28">
        <v>1687928000</v>
      </c>
      <c r="Z5666" s="28">
        <v>88314000</v>
      </c>
      <c r="AA5666" s="28"/>
      <c r="AB5666" s="28"/>
      <c r="AC5666" s="28">
        <v>1549852000</v>
      </c>
      <c r="AD5666" s="28">
        <v>88324000</v>
      </c>
      <c r="AE5666" s="28">
        <v>4577989000</v>
      </c>
      <c r="AF5666" s="28">
        <v>55716000</v>
      </c>
      <c r="AG5666" s="11"/>
    </row>
    <row r="5667">
      <c r="A5667" s="7" t="s">
        <v>7271</v>
      </c>
      <c r="B5667" s="5" t="s">
        <v>15224</v>
      </c>
      <c r="C5667" s="5" t="s">
        <v>22901</v>
      </c>
      <c r="D5667" s="5" t="str">
        <v>070505281735</v>
      </c>
      <c r="E5667" s="0" t="e">
        <f>+7 (86633) 23057
+7 (86633) 23040
+7 (86633) 86633
+7 (928) 6900101</f>
        <v>#NAME?</v>
      </c>
      <c r="F5667" s="5" t="s">
        <v>42005</v>
      </c>
      <c r="G5667" s="5" t="s">
        <v>42006</v>
      </c>
      <c r="H5667" s="26">
        <v>14.5</v>
      </c>
      <c r="I5667" s="5" t="s">
        <v>42007</v>
      </c>
      <c r="J5667" s="5" t="s">
        <v>42008</v>
      </c>
      <c r="K5667" s="5" t="s">
        <v>344</v>
      </c>
      <c r="L5667" s="5" t="s">
        <v>42009</v>
      </c>
      <c r="M5667" s="27"/>
      <c r="N5667" s="5" t="s">
        <v>57916</v>
      </c>
      <c r="O5667" s="5" t="str">
        <v>0703006616</v>
      </c>
      <c r="P5667" s="27">
        <v>372612541</v>
      </c>
      <c r="Q5667" s="5" t="s">
        <v>57917</v>
      </c>
      <c r="R5667" s="5"/>
      <c r="S5667" s="5" t="s">
        <v>49193</v>
      </c>
      <c r="T5667" s="28">
        <v>278340000</v>
      </c>
      <c r="U5667" s="28"/>
      <c r="V5667" s="28">
        <v>752366000</v>
      </c>
      <c r="W5667" s="28">
        <v>18750000</v>
      </c>
      <c r="X5667" s="28">
        <v>549013000</v>
      </c>
      <c r="Y5667" s="28">
        <v>2480298000</v>
      </c>
      <c r="Z5667" s="28">
        <v>491210000</v>
      </c>
      <c r="AA5667" s="28">
        <v>310000000</v>
      </c>
      <c r="AB5667" s="28">
        <v>177500000</v>
      </c>
      <c r="AC5667" s="28">
        <v>1172615000</v>
      </c>
      <c r="AD5667" s="28">
        <v>1076518000</v>
      </c>
      <c r="AE5667" s="28">
        <v>3278915000</v>
      </c>
      <c r="AF5667" s="28">
        <v>300926000</v>
      </c>
      <c r="AG5667" s="11"/>
    </row>
    <row r="5668">
      <c r="A5668" s="7" t="s">
        <v>7272</v>
      </c>
      <c r="B5668" s="5" t="s">
        <v>15225</v>
      </c>
      <c r="C5668" s="5" t="s">
        <v>22902</v>
      </c>
      <c r="D5668" s="5" t="str">
        <v>110106534629</v>
      </c>
      <c r="E5668" s="0" t="e">
        <f>+7 (821) 2668912
+7 (8212) 270291
+7 (8212) 630100
+7 (8212) 630218
+7 (8212) 630730
+7 (8212) 632157
+7 (8212) 669550</f>
        <v>#NAME?</v>
      </c>
      <c r="F5668" s="5" t="s">
        <v>42010</v>
      </c>
      <c r="G5668" s="5" t="s">
        <v>42011</v>
      </c>
      <c r="H5668" s="26">
        <v>22.5</v>
      </c>
      <c r="I5668" s="5" t="s">
        <v>42012</v>
      </c>
      <c r="J5668" s="5" t="s">
        <v>26924</v>
      </c>
      <c r="K5668" s="5" t="s">
        <v>355</v>
      </c>
      <c r="L5668" s="5" t="s">
        <v>42013</v>
      </c>
      <c r="M5668" s="27"/>
      <c r="N5668" s="5"/>
      <c r="O5668" s="5" t="str">
        <v>1121010862</v>
      </c>
      <c r="P5668" s="27">
        <v>263077000</v>
      </c>
      <c r="Q5668" s="5"/>
      <c r="R5668" s="5"/>
      <c r="S5668" s="5" t="s">
        <v>49047</v>
      </c>
      <c r="T5668" s="28">
        <v>2176261000</v>
      </c>
      <c r="U5668" s="28">
        <v>7813000</v>
      </c>
      <c r="V5668" s="28">
        <v>512235000</v>
      </c>
      <c r="W5668" s="28">
        <v>194069000</v>
      </c>
      <c r="X5668" s="28">
        <v>131141000</v>
      </c>
      <c r="Y5668" s="28">
        <v>4119088000</v>
      </c>
      <c r="Z5668" s="28">
        <v>2866247000</v>
      </c>
      <c r="AA5668" s="28"/>
      <c r="AB5668" s="28">
        <v>150000000</v>
      </c>
      <c r="AC5668" s="28">
        <v>436033000</v>
      </c>
      <c r="AD5668" s="28">
        <v>3168786000</v>
      </c>
      <c r="AE5668" s="28">
        <v>4185760000</v>
      </c>
      <c r="AF5668" s="28">
        <v>162696000</v>
      </c>
      <c r="AG5668" s="11"/>
    </row>
    <row r="5669">
      <c r="A5669" s="7" t="s">
        <v>7273</v>
      </c>
      <c r="B5669" s="5" t="s">
        <v>15226</v>
      </c>
      <c r="C5669" s="5" t="s">
        <v>22903</v>
      </c>
      <c r="D5669" s="5" t="str">
        <v>290101191883</v>
      </c>
      <c r="F5669" s="5"/>
      <c r="G5669" s="5" t="s">
        <v>42014</v>
      </c>
      <c r="H5669" s="26">
        <v>9.5</v>
      </c>
      <c r="I5669" s="5" t="s">
        <v>42015</v>
      </c>
      <c r="J5669" s="5" t="s">
        <v>42016</v>
      </c>
      <c r="K5669" s="5" t="s">
        <v>344</v>
      </c>
      <c r="L5669" s="5" t="s">
        <v>42017</v>
      </c>
      <c r="M5669" s="27"/>
      <c r="N5669" s="5"/>
      <c r="O5669" s="5" t="str">
        <v>7701363206</v>
      </c>
      <c r="P5669" s="27">
        <v>100000</v>
      </c>
      <c r="Q5669" s="5" t="s">
        <v>57918</v>
      </c>
      <c r="R5669" s="5"/>
      <c r="S5669" s="5" t="s">
        <v>49195</v>
      </c>
      <c r="T5669" s="28">
        <v>1133750000</v>
      </c>
      <c r="U5669" s="28">
        <v>50000000</v>
      </c>
      <c r="V5669" s="28">
        <v>1222116000</v>
      </c>
      <c r="W5669" s="28">
        <v>196476000</v>
      </c>
      <c r="X5669" s="28">
        <v>659701000</v>
      </c>
      <c r="Y5669" s="28">
        <v>3488748000</v>
      </c>
      <c r="Z5669" s="28">
        <v>1335934000</v>
      </c>
      <c r="AA5669" s="28"/>
      <c r="AB5669" s="28">
        <v>46074000</v>
      </c>
      <c r="AC5669" s="28">
        <v>1462258000</v>
      </c>
      <c r="AD5669" s="28">
        <v>1336034000</v>
      </c>
      <c r="AE5669" s="28">
        <v>4328182000</v>
      </c>
      <c r="AF5669" s="28">
        <v>377445000</v>
      </c>
      <c r="AG5669" s="11"/>
    </row>
    <row r="5670">
      <c r="A5670" s="7" t="s">
        <v>7274</v>
      </c>
      <c r="B5670" s="5" t="s">
        <v>15227</v>
      </c>
      <c r="C5670" s="5" t="s">
        <v>22904</v>
      </c>
      <c r="D5670" s="5" t="str">
        <v>920157004089</v>
      </c>
      <c r="E5670" s="0" t="e">
        <f>+7 (3652) 601676
+7 (499) 7816875
+7 (869) 2221061
+7 (869) 2221062
+7 (869) 2221170
+7 (869) 2221193
+7 (869) 2221195
+7 (869) 2221199
+7 (869) 2221204
+7 (869) 2227010
+7 (869) 2411215
+7 (869) 2414145
+7 (869) 2221068
+7 (869) 2221099
+7 (869) 2221192</f>
        <v>#NAME?</v>
      </c>
      <c r="F5670" s="5" t="s">
        <v>42018</v>
      </c>
      <c r="G5670" s="5" t="s">
        <v>42019</v>
      </c>
      <c r="H5670" s="26">
        <v>7</v>
      </c>
      <c r="I5670" s="5"/>
      <c r="J5670" s="5" t="s">
        <v>26623</v>
      </c>
      <c r="K5670" s="5" t="s">
        <v>344</v>
      </c>
      <c r="L5670" s="5"/>
      <c r="M5670" s="27">
        <v>662294</v>
      </c>
      <c r="N5670" s="5" t="s">
        <v>57919</v>
      </c>
      <c r="O5670" s="5" t="str">
        <v>9201515119</v>
      </c>
      <c r="P5670" s="27">
        <v>500000</v>
      </c>
      <c r="Q5670" s="5" t="s">
        <v>57920</v>
      </c>
      <c r="R5670" s="5"/>
      <c r="S5670" s="5" t="s">
        <v>51483</v>
      </c>
      <c r="T5670" s="28">
        <v>24081000</v>
      </c>
      <c r="U5670" s="28"/>
      <c r="V5670" s="28">
        <v>853835000</v>
      </c>
      <c r="W5670" s="28"/>
      <c r="X5670" s="28">
        <v>5704000</v>
      </c>
      <c r="Y5670" s="28">
        <v>891754000</v>
      </c>
      <c r="Z5670" s="28">
        <v>263370000</v>
      </c>
      <c r="AA5670" s="28"/>
      <c r="AB5670" s="28">
        <v>24502000</v>
      </c>
      <c r="AC5670" s="28">
        <v>604850000</v>
      </c>
      <c r="AD5670" s="28">
        <v>263870000</v>
      </c>
      <c r="AE5670" s="28">
        <v>6858309000</v>
      </c>
      <c r="AF5670" s="28">
        <v>195701000</v>
      </c>
      <c r="AG5670" s="11"/>
    </row>
    <row r="5671">
      <c r="A5671" s="7" t="s">
        <v>7275</v>
      </c>
      <c r="B5671" s="5" t="s">
        <v>15228</v>
      </c>
      <c r="C5671" s="5" t="s">
        <v>22905</v>
      </c>
      <c r="D5671" s="5" t="str">
        <v>771200419690</v>
      </c>
      <c r="E5671" s="0" t="e">
        <f>+7 (499) 9628200</f>
        <v>#NAME?</v>
      </c>
      <c r="F5671" s="5" t="s">
        <v>42020</v>
      </c>
      <c r="G5671" s="5"/>
      <c r="H5671" s="26">
        <v>9</v>
      </c>
      <c r="I5671" s="5" t="s">
        <v>42021</v>
      </c>
      <c r="J5671" s="5" t="s">
        <v>27174</v>
      </c>
      <c r="K5671" s="5" t="s">
        <v>355</v>
      </c>
      <c r="L5671" s="5"/>
      <c r="M5671" s="27">
        <v>553266451</v>
      </c>
      <c r="N5671" s="5"/>
      <c r="O5671" s="5" t="str">
        <v>9703024202</v>
      </c>
      <c r="P5671" s="27">
        <v>1569000000</v>
      </c>
      <c r="Q5671" s="5" t="s">
        <v>49561</v>
      </c>
      <c r="R5671" s="5" t="s">
        <v>57921</v>
      </c>
      <c r="S5671" s="5" t="s">
        <v>57922</v>
      </c>
      <c r="T5671" s="28">
        <v>492705000</v>
      </c>
      <c r="U5671" s="28">
        <v>116621647000</v>
      </c>
      <c r="V5671" s="28">
        <v>9634516000</v>
      </c>
      <c r="W5671" s="28">
        <v>3986810000</v>
      </c>
      <c r="X5671" s="28">
        <v>19336853000</v>
      </c>
      <c r="Y5671" s="28">
        <v>152676237000</v>
      </c>
      <c r="Z5671" s="28">
        <v>7728340000</v>
      </c>
      <c r="AA5671" s="28">
        <v>90544626000</v>
      </c>
      <c r="AB5671" s="28">
        <v>13107541000</v>
      </c>
      <c r="AC5671" s="28">
        <v>16148948000</v>
      </c>
      <c r="AD5671" s="28">
        <v>45548689000</v>
      </c>
      <c r="AE5671" s="28">
        <v>3192864000</v>
      </c>
      <c r="AF5671" s="28">
        <v>8569907000</v>
      </c>
      <c r="AG5671" s="11"/>
    </row>
    <row r="5672">
      <c r="A5672" s="7" t="s">
        <v>7276</v>
      </c>
      <c r="B5672" s="5" t="s">
        <v>15229</v>
      </c>
      <c r="C5672" s="5" t="s">
        <v>22906</v>
      </c>
      <c r="D5672" s="5" t="str">
        <v>100112445106</v>
      </c>
      <c r="E5672" s="0" t="e">
        <f>+7 (8142) 599199
+7 (81431) 34222
+7 (81431) 34422
+7 (81431) 34427
+7 (81431) 34551
+7 (81431) 34608
+7 (81431) 43092
+7 (81431) 44410
+7 (81431) 73291</f>
        <v>#NAME?</v>
      </c>
      <c r="F5672" s="5"/>
      <c r="G5672" s="5" t="s">
        <v>42022</v>
      </c>
      <c r="H5672" s="26">
        <v>15.5</v>
      </c>
      <c r="I5672" s="5" t="s">
        <v>42023</v>
      </c>
      <c r="J5672" s="5" t="s">
        <v>39934</v>
      </c>
      <c r="K5672" s="5" t="s">
        <v>344</v>
      </c>
      <c r="L5672" s="5" t="s">
        <v>42024</v>
      </c>
      <c r="M5672" s="27">
        <v>17371709</v>
      </c>
      <c r="N5672" s="5"/>
      <c r="O5672" s="5" t="str">
        <v>1006008093</v>
      </c>
      <c r="P5672" s="27">
        <v>150000000</v>
      </c>
      <c r="Q5672" s="5" t="s">
        <v>49324</v>
      </c>
      <c r="R5672" s="5"/>
      <c r="S5672" s="5" t="s">
        <v>57923</v>
      </c>
      <c r="T5672" s="28">
        <v>5535482000</v>
      </c>
      <c r="U5672" s="28">
        <v>1078593000</v>
      </c>
      <c r="V5672" s="28">
        <v>1566035000</v>
      </c>
      <c r="W5672" s="28">
        <v>299000000</v>
      </c>
      <c r="X5672" s="28">
        <v>452154000</v>
      </c>
      <c r="Y5672" s="28">
        <v>10418569000</v>
      </c>
      <c r="Z5672" s="28">
        <v>1028361000</v>
      </c>
      <c r="AA5672" s="28">
        <v>4121992000</v>
      </c>
      <c r="AB5672" s="28">
        <v>3768226000</v>
      </c>
      <c r="AC5672" s="28">
        <v>4648335000</v>
      </c>
      <c r="AD5672" s="28">
        <v>1185861000</v>
      </c>
      <c r="AE5672" s="28">
        <v>11934115000</v>
      </c>
      <c r="AF5672" s="28">
        <v>1216581000</v>
      </c>
      <c r="AG5672" s="11"/>
    </row>
    <row r="5673">
      <c r="A5673" s="7" t="s">
        <v>7277</v>
      </c>
      <c r="B5673" s="5" t="s">
        <v>15229</v>
      </c>
      <c r="C5673" s="5" t="s">
        <v>22907</v>
      </c>
      <c r="D5673" s="5" t="str">
        <v>110106544419</v>
      </c>
      <c r="E5673" s="0" t="e">
        <f>+7 (81431) 22663
+7 (81431) 23311
+7 (81431) 34000
+7 (81431) 34056
+7 (81431) 34155
+7 (81431) 34230
+7 (81431) 34282
+7 (81431) 34285
+7 (81431) 34334
+7 (81431) 34392
+7 (81431) 34395
+7 (81431) 34411
+7 (81431) 34419
+7 (81431) 34563
+7 (81431) 34583</f>
        <v>#NAME?</v>
      </c>
      <c r="F5673" s="5" t="s">
        <v>42025</v>
      </c>
      <c r="G5673" s="5" t="s">
        <v>42026</v>
      </c>
      <c r="H5673" s="26">
        <v>23.5</v>
      </c>
      <c r="I5673" s="5"/>
      <c r="J5673" s="5" t="s">
        <v>27226</v>
      </c>
      <c r="K5673" s="5" t="s">
        <v>355</v>
      </c>
      <c r="L5673" s="5" t="s">
        <v>42027</v>
      </c>
      <c r="M5673" s="27">
        <v>133438365</v>
      </c>
      <c r="N5673" s="5" t="s">
        <v>57924</v>
      </c>
      <c r="O5673" s="5" t="str">
        <v>1006004155</v>
      </c>
      <c r="P5673" s="27">
        <v>1074402000</v>
      </c>
      <c r="Q5673" s="5" t="s">
        <v>57925</v>
      </c>
      <c r="R5673" s="5"/>
      <c r="S5673" s="5" t="s">
        <v>57926</v>
      </c>
      <c r="T5673" s="28">
        <v>28935555000</v>
      </c>
      <c r="U5673" s="28">
        <v>12254126000</v>
      </c>
      <c r="V5673" s="28">
        <v>7392307000</v>
      </c>
      <c r="W5673" s="28">
        <v>4962607000</v>
      </c>
      <c r="X5673" s="28">
        <v>339464000</v>
      </c>
      <c r="Y5673" s="28">
        <v>59608131000</v>
      </c>
      <c r="Z5673" s="28">
        <v>6242969000</v>
      </c>
      <c r="AA5673" s="28">
        <v>29940856000</v>
      </c>
      <c r="AB5673" s="28">
        <v>6955353000</v>
      </c>
      <c r="AC5673" s="28">
        <v>11917823000</v>
      </c>
      <c r="AD5673" s="28">
        <v>13233825000</v>
      </c>
      <c r="AE5673" s="28">
        <v>26612866000</v>
      </c>
      <c r="AF5673" s="28">
        <v>5467808000</v>
      </c>
      <c r="AG5673" s="11"/>
    </row>
    <row r="5674">
      <c r="A5674" s="7" t="s">
        <v>7278</v>
      </c>
      <c r="B5674" s="5" t="s">
        <v>15230</v>
      </c>
      <c r="C5674" s="5" t="s">
        <v>22908</v>
      </c>
      <c r="D5674" s="5"/>
      <c r="E5674" s="0" t="e">
        <f>+7 (49661) 64017
+7 (800) 5000606</f>
        <v>#NAME?</v>
      </c>
      <c r="F5674" s="5" t="s">
        <v>42028</v>
      </c>
      <c r="G5674" s="5" t="s">
        <v>42029</v>
      </c>
      <c r="H5674" s="26">
        <v>14.5</v>
      </c>
      <c r="I5674" s="5" t="s">
        <v>42030</v>
      </c>
      <c r="J5674" s="5" t="s">
        <v>28004</v>
      </c>
      <c r="K5674" s="5" t="s">
        <v>344</v>
      </c>
      <c r="L5674" s="5"/>
      <c r="M5674" s="27">
        <v>64385</v>
      </c>
      <c r="N5674" s="5" t="s">
        <v>57927</v>
      </c>
      <c r="O5674" s="5" t="str">
        <v>7709807968</v>
      </c>
      <c r="P5674" s="27">
        <v>30000</v>
      </c>
      <c r="Q5674" s="5" t="s">
        <v>57928</v>
      </c>
      <c r="R5674" s="5"/>
      <c r="S5674" s="5" t="s">
        <v>57929</v>
      </c>
      <c r="T5674" s="28">
        <v>148873000</v>
      </c>
      <c r="U5674" s="28">
        <v>150000000</v>
      </c>
      <c r="V5674" s="28">
        <v>846997000</v>
      </c>
      <c r="W5674" s="28">
        <v>63700000</v>
      </c>
      <c r="X5674" s="28">
        <v>176938000</v>
      </c>
      <c r="Y5674" s="28">
        <v>2114526000</v>
      </c>
      <c r="Z5674" s="28">
        <v>71863000</v>
      </c>
      <c r="AA5674" s="28"/>
      <c r="AB5674" s="28"/>
      <c r="AC5674" s="28">
        <v>926699000</v>
      </c>
      <c r="AD5674" s="28">
        <v>1086196000</v>
      </c>
      <c r="AE5674" s="28">
        <v>4003571000</v>
      </c>
      <c r="AF5674" s="28">
        <v>1480000</v>
      </c>
      <c r="AG5674" s="11"/>
    </row>
    <row r="5675">
      <c r="A5675" s="7" t="s">
        <v>7279</v>
      </c>
      <c r="B5675" s="5" t="s">
        <v>15231</v>
      </c>
      <c r="C5675" s="5" t="s">
        <v>22909</v>
      </c>
      <c r="D5675" s="5" t="str">
        <v>774361704006</v>
      </c>
      <c r="E5675" s="0" t="e">
        <f>+7 (495) 9952550</f>
        <v>#NAME?</v>
      </c>
      <c r="F5675" s="5"/>
      <c r="G5675" s="5"/>
      <c r="H5675" s="26">
        <v>10.5</v>
      </c>
      <c r="I5675" s="5" t="s">
        <v>42031</v>
      </c>
      <c r="J5675" s="5" t="s">
        <v>37062</v>
      </c>
      <c r="K5675" s="5" t="s">
        <v>344</v>
      </c>
      <c r="L5675" s="5"/>
      <c r="M5675" s="27"/>
      <c r="N5675" s="5"/>
      <c r="O5675" s="5" t="str">
        <v>7706783684</v>
      </c>
      <c r="P5675" s="27">
        <v>10000</v>
      </c>
      <c r="Q5675" s="5" t="s">
        <v>49207</v>
      </c>
      <c r="R5675" s="5"/>
      <c r="S5675" s="5" t="s">
        <v>50180</v>
      </c>
      <c r="T5675" s="28">
        <v>4011000</v>
      </c>
      <c r="U5675" s="28"/>
      <c r="V5675" s="28">
        <v>185368000</v>
      </c>
      <c r="W5675" s="28"/>
      <c r="X5675" s="28">
        <v>454074000</v>
      </c>
      <c r="Y5675" s="28">
        <v>1561866000</v>
      </c>
      <c r="Z5675" s="28">
        <v>700091000</v>
      </c>
      <c r="AA5675" s="28"/>
      <c r="AB5675" s="28"/>
      <c r="AC5675" s="28">
        <v>861765000</v>
      </c>
      <c r="AD5675" s="28">
        <v>700101000</v>
      </c>
      <c r="AE5675" s="28">
        <v>6702640000</v>
      </c>
      <c r="AF5675" s="28">
        <v>647602000</v>
      </c>
      <c r="AG5675" s="11"/>
    </row>
    <row r="5676">
      <c r="A5676" s="7" t="s">
        <v>7280</v>
      </c>
      <c r="B5676" s="5" t="s">
        <v>15232</v>
      </c>
      <c r="C5676" s="5" t="s">
        <v>22910</v>
      </c>
      <c r="D5676" s="5" t="str">
        <v>542709373862</v>
      </c>
      <c r="E5676" s="0" t="e">
        <f>+7 (383) 2003521
+7 (383) 3120306
+7 (383) 3832221
+7 (38357) 44946
+7 (913) 7144722
+7 (923) 1418219</f>
        <v>#NAME?</v>
      </c>
      <c r="F5676" s="5" t="s">
        <v>42032</v>
      </c>
      <c r="G5676" s="5"/>
      <c r="H5676" s="26">
        <v>12</v>
      </c>
      <c r="I5676" s="5" t="s">
        <v>42033</v>
      </c>
      <c r="J5676" s="5" t="s">
        <v>25850</v>
      </c>
      <c r="K5676" s="5" t="s">
        <v>344</v>
      </c>
      <c r="L5676" s="5" t="s">
        <v>42034</v>
      </c>
      <c r="M5676" s="27"/>
      <c r="N5676" s="5"/>
      <c r="O5676" s="5" t="str">
        <v>5406651362</v>
      </c>
      <c r="P5676" s="27">
        <v>10000</v>
      </c>
      <c r="Q5676" s="5"/>
      <c r="R5676" s="5"/>
      <c r="S5676" s="5" t="s">
        <v>49425</v>
      </c>
      <c r="T5676" s="28">
        <v>165779000</v>
      </c>
      <c r="U5676" s="28">
        <v>1695000</v>
      </c>
      <c r="V5676" s="28">
        <v>525765000</v>
      </c>
      <c r="W5676" s="28"/>
      <c r="X5676" s="28">
        <v>9706000</v>
      </c>
      <c r="Y5676" s="28">
        <v>947637000</v>
      </c>
      <c r="Z5676" s="28">
        <v>203803000</v>
      </c>
      <c r="AA5676" s="28"/>
      <c r="AB5676" s="28">
        <v>64499000</v>
      </c>
      <c r="AC5676" s="28">
        <v>739339000</v>
      </c>
      <c r="AD5676" s="28">
        <v>203813000</v>
      </c>
      <c r="AE5676" s="28">
        <v>3537814000</v>
      </c>
      <c r="AF5676" s="28">
        <v>68012000</v>
      </c>
      <c r="AG5676" s="11"/>
    </row>
    <row r="5677">
      <c r="A5677" s="7" t="s">
        <v>7281</v>
      </c>
      <c r="B5677" s="5" t="s">
        <v>15233</v>
      </c>
      <c r="C5677" s="5" t="s">
        <v>22911</v>
      </c>
      <c r="D5677" s="5" t="str">
        <v>770474433977</v>
      </c>
      <c r="E5677" s="0" t="e">
        <f>+7 (499) 1346868
+7 (3422) 554200
+7 (3432) 260990
+7 (3472) 620
+7 (3512) 408000
+7 (35323) 76319
+7 (381) 2208810
+7 (473) 2888080
+7 (482) 2755690
+7 (487) 2751300
+7 (495) 1276383
+7 (495) 1346868
+7 (495) 5404788
+7 (800) 5550741
+7 (800) 5558061</f>
        <v>#NAME?</v>
      </c>
      <c r="F5677" s="5" t="s">
        <v>42035</v>
      </c>
      <c r="G5677" s="5"/>
      <c r="H5677" s="26">
        <v>9</v>
      </c>
      <c r="I5677" s="5" t="s">
        <v>42036</v>
      </c>
      <c r="J5677" s="5" t="s">
        <v>397</v>
      </c>
      <c r="K5677" s="5" t="s">
        <v>355</v>
      </c>
      <c r="L5677" s="5"/>
      <c r="M5677" s="27">
        <v>273363</v>
      </c>
      <c r="N5677" s="5"/>
      <c r="O5677" s="5" t="str">
        <v>7706807818</v>
      </c>
      <c r="P5677" s="27">
        <v>1000000</v>
      </c>
      <c r="Q5677" s="5" t="s">
        <v>49579</v>
      </c>
      <c r="R5677" s="5"/>
      <c r="S5677" s="5" t="s">
        <v>57931</v>
      </c>
      <c r="T5677" s="28">
        <v>67837000</v>
      </c>
      <c r="U5677" s="28">
        <v>10000</v>
      </c>
      <c r="V5677" s="28">
        <v>110154000</v>
      </c>
      <c r="W5677" s="28"/>
      <c r="X5677" s="28">
        <v>476082000</v>
      </c>
      <c r="Y5677" s="28">
        <v>991159000</v>
      </c>
      <c r="Z5677" s="28">
        <v>-3264388000</v>
      </c>
      <c r="AA5677" s="28">
        <v>3462000</v>
      </c>
      <c r="AB5677" s="28"/>
      <c r="AC5677" s="28">
        <v>781941000</v>
      </c>
      <c r="AD5677" s="28">
        <v>128914000</v>
      </c>
      <c r="AE5677" s="28">
        <v>8425031000</v>
      </c>
      <c r="AF5677" s="28">
        <v>56355000</v>
      </c>
      <c r="AG5677" s="11"/>
    </row>
    <row r="5678">
      <c r="A5678" s="7" t="s">
        <v>7282</v>
      </c>
      <c r="B5678" s="5" t="s">
        <v>15234</v>
      </c>
      <c r="C5678" s="5" t="s">
        <v>22912</v>
      </c>
      <c r="D5678" s="5" t="str">
        <v>770601089511</v>
      </c>
      <c r="E5678" s="0" t="e">
        <f>+7 (495) 2326465
+7 (495) 2326466
+7 (800) 5507447</f>
        <v>#NAME?</v>
      </c>
      <c r="F5678" s="5" t="s">
        <v>42037</v>
      </c>
      <c r="G5678" s="5" t="s">
        <v>42038</v>
      </c>
      <c r="H5678" s="26">
        <v>25</v>
      </c>
      <c r="I5678" s="5" t="s">
        <v>42039</v>
      </c>
      <c r="J5678" s="5" t="s">
        <v>27085</v>
      </c>
      <c r="K5678" s="5" t="s">
        <v>344</v>
      </c>
      <c r="L5678" s="5"/>
      <c r="M5678" s="27"/>
      <c r="N5678" s="5" t="s">
        <v>57932</v>
      </c>
      <c r="O5678" s="5" t="str">
        <v>7734170383</v>
      </c>
      <c r="P5678" s="27">
        <v>22545000</v>
      </c>
      <c r="Q5678" s="5" t="s">
        <v>49009</v>
      </c>
      <c r="R5678" s="5"/>
      <c r="S5678" s="5" t="s">
        <v>49045</v>
      </c>
      <c r="T5678" s="28">
        <v>721459000</v>
      </c>
      <c r="U5678" s="28"/>
      <c r="V5678" s="28">
        <v>843500000</v>
      </c>
      <c r="W5678" s="28">
        <v>306775000</v>
      </c>
      <c r="X5678" s="28">
        <v>3061869000</v>
      </c>
      <c r="Y5678" s="28">
        <v>6156413000</v>
      </c>
      <c r="Z5678" s="28">
        <v>3030142000</v>
      </c>
      <c r="AA5678" s="28"/>
      <c r="AB5678" s="28"/>
      <c r="AC5678" s="28">
        <v>1297493000</v>
      </c>
      <c r="AD5678" s="28">
        <v>4752687000</v>
      </c>
      <c r="AE5678" s="28">
        <v>7448008000</v>
      </c>
      <c r="AF5678" s="28">
        <v>482046000</v>
      </c>
      <c r="AG5678" s="11"/>
    </row>
    <row r="5679">
      <c r="A5679" s="7" t="s">
        <v>7283</v>
      </c>
      <c r="B5679" s="5" t="s">
        <v>15235</v>
      </c>
      <c r="C5679" s="5" t="s">
        <v>22913</v>
      </c>
      <c r="D5679" s="5" t="str">
        <v>366401357118</v>
      </c>
      <c r="E5679" s="0" t="e">
        <f>+7 (906) 3455621</f>
        <v>#NAME?</v>
      </c>
      <c r="F5679" s="5"/>
      <c r="G5679" s="5"/>
      <c r="H5679" s="26">
        <v>7</v>
      </c>
      <c r="I5679" s="5" t="s">
        <v>42040</v>
      </c>
      <c r="J5679" s="5" t="s">
        <v>678</v>
      </c>
      <c r="K5679" s="5" t="s">
        <v>344</v>
      </c>
      <c r="L5679" s="5"/>
      <c r="M5679" s="27"/>
      <c r="N5679" s="5"/>
      <c r="O5679" s="5" t="str">
        <v>3665121258</v>
      </c>
      <c r="P5679" s="27">
        <v>20000</v>
      </c>
      <c r="Q5679" s="5" t="s">
        <v>49057</v>
      </c>
      <c r="R5679" s="5"/>
      <c r="S5679" s="5" t="s">
        <v>50961</v>
      </c>
      <c r="T5679" s="28">
        <v>221380000</v>
      </c>
      <c r="U5679" s="28"/>
      <c r="V5679" s="28">
        <v>314697000</v>
      </c>
      <c r="W5679" s="28"/>
      <c r="X5679" s="28">
        <v>121953000</v>
      </c>
      <c r="Y5679" s="28">
        <v>1062051000</v>
      </c>
      <c r="Z5679" s="28">
        <v>604237000</v>
      </c>
      <c r="AA5679" s="28"/>
      <c r="AB5679" s="28">
        <v>75532000</v>
      </c>
      <c r="AC5679" s="28">
        <v>314205000</v>
      </c>
      <c r="AD5679" s="28">
        <v>604257000</v>
      </c>
      <c r="AE5679" s="28">
        <v>4487407000</v>
      </c>
      <c r="AF5679" s="28">
        <v>294220000</v>
      </c>
      <c r="AG5679" s="11"/>
    </row>
    <row r="5680">
      <c r="A5680" s="7" t="s">
        <v>7284</v>
      </c>
      <c r="B5680" s="5" t="s">
        <v>15236</v>
      </c>
      <c r="C5680" s="5" t="s">
        <v>22914</v>
      </c>
      <c r="D5680" s="5" t="str">
        <v>780719716001</v>
      </c>
      <c r="E5680" s="0" t="e">
        <f>+7 (800) 5550675
+7 (921) 3010966
+7 (495) 6477980
+7 (812) 6778036
+7 (916) 6162313
+7 (925) 81022
+7 (931) 2214150
+7 (931) 9687939</f>
        <v>#NAME?</v>
      </c>
      <c r="F5680" s="5" t="s">
        <v>42041</v>
      </c>
      <c r="G5680" s="5" t="s">
        <v>42042</v>
      </c>
      <c r="H5680" s="26">
        <v>14.5</v>
      </c>
      <c r="I5680" s="5" t="s">
        <v>42043</v>
      </c>
      <c r="J5680" s="5" t="s">
        <v>30822</v>
      </c>
      <c r="K5680" s="5" t="s">
        <v>344</v>
      </c>
      <c r="L5680" s="5"/>
      <c r="M5680" s="27"/>
      <c r="N5680" s="5" t="s">
        <v>57933</v>
      </c>
      <c r="O5680" s="5" t="str">
        <v>7842393933</v>
      </c>
      <c r="P5680" s="27">
        <v>123185400</v>
      </c>
      <c r="Q5680" s="5" t="s">
        <v>49021</v>
      </c>
      <c r="R5680" s="5" t="s">
        <v>57934</v>
      </c>
      <c r="S5680" s="5" t="s">
        <v>57935</v>
      </c>
      <c r="T5680" s="28">
        <v>9222672000</v>
      </c>
      <c r="U5680" s="28">
        <v>1323617000</v>
      </c>
      <c r="V5680" s="28">
        <v>572950000</v>
      </c>
      <c r="W5680" s="28">
        <v>80000000</v>
      </c>
      <c r="X5680" s="28">
        <v>1497684000</v>
      </c>
      <c r="Y5680" s="28">
        <v>13768596000</v>
      </c>
      <c r="Z5680" s="28">
        <v>3169442000</v>
      </c>
      <c r="AA5680" s="28">
        <v>7445668000</v>
      </c>
      <c r="AB5680" s="28">
        <v>861924000</v>
      </c>
      <c r="AC5680" s="28">
        <v>2578340000</v>
      </c>
      <c r="AD5680" s="28">
        <v>3306949000</v>
      </c>
      <c r="AE5680" s="28">
        <v>8139309000</v>
      </c>
      <c r="AF5680" s="28">
        <v>1492574000</v>
      </c>
      <c r="AG5680" s="11"/>
    </row>
    <row r="5681">
      <c r="A5681" s="7" t="s">
        <v>7285</v>
      </c>
      <c r="B5681" s="5" t="s">
        <v>15237</v>
      </c>
      <c r="C5681" s="5" t="s">
        <v>22915</v>
      </c>
      <c r="D5681" s="5" t="str">
        <v>772983114778</v>
      </c>
      <c r="E5681" s="0" t="e">
        <f>+7 (495) 6603553
+7 (495) 7864855
+7 (495) 7864856
+7 (495) 7864857
+7 (4912) 388961
+7 (495) 7684855
+7 (903) 6604230
+7 (906) 7896830
+7 (906) 7896835
+7 (910) 9009136
+7 (952) 3739673</f>
        <v>#NAME?</v>
      </c>
      <c r="F5681" s="5" t="s">
        <v>42044</v>
      </c>
      <c r="G5681" s="5" t="s">
        <v>42045</v>
      </c>
      <c r="H5681" s="26">
        <v>16</v>
      </c>
      <c r="I5681" s="5" t="s">
        <v>42046</v>
      </c>
      <c r="J5681" s="5" t="s">
        <v>678</v>
      </c>
      <c r="K5681" s="5" t="s">
        <v>344</v>
      </c>
      <c r="L5681" s="5" t="s">
        <v>42047</v>
      </c>
      <c r="M5681" s="27"/>
      <c r="N5681" s="5"/>
      <c r="O5681" s="5" t="str">
        <v>7708638435</v>
      </c>
      <c r="P5681" s="27">
        <v>33523380</v>
      </c>
      <c r="Q5681" s="5"/>
      <c r="R5681" s="5"/>
      <c r="S5681" s="5" t="s">
        <v>49029</v>
      </c>
      <c r="T5681" s="28">
        <v>13427000</v>
      </c>
      <c r="U5681" s="28"/>
      <c r="V5681" s="28">
        <v>515941000</v>
      </c>
      <c r="W5681" s="28"/>
      <c r="X5681" s="28">
        <v>63173000</v>
      </c>
      <c r="Y5681" s="28">
        <v>1145050000</v>
      </c>
      <c r="Z5681" s="28">
        <v>630826000</v>
      </c>
      <c r="AA5681" s="28"/>
      <c r="AB5681" s="28">
        <v>3305000</v>
      </c>
      <c r="AC5681" s="28">
        <v>474413000</v>
      </c>
      <c r="AD5681" s="28">
        <v>669135000</v>
      </c>
      <c r="AE5681" s="28">
        <v>4902169000</v>
      </c>
      <c r="AF5681" s="28">
        <v>459766000</v>
      </c>
      <c r="AG5681" s="11"/>
    </row>
    <row r="5682">
      <c r="A5682" s="7" t="s">
        <v>7286</v>
      </c>
      <c r="B5682" s="5" t="s">
        <v>15238</v>
      </c>
      <c r="C5682" s="5" t="s">
        <v>22916</v>
      </c>
      <c r="D5682" s="5" t="str">
        <v>032303658761</v>
      </c>
      <c r="E5682" s="0" t="e">
        <f>+7 (3012) 581420
+7 (3012) 581430
+7 (30138) 73013
+7 (30138) 73070
+7 (30138) 73440
+7 (30138) 73635
+7 (30138) 73692
+7 (30138) 73731
+7 (30138) 73791
+7 (30138) 74151
+7 (30138) 74159
+7 (30138) 74167
+7 (30138) 74202
+7 (30138) 74205
+7 (30138) 74237</f>
        <v>#NAME?</v>
      </c>
      <c r="F5682" s="5" t="s">
        <v>42048</v>
      </c>
      <c r="G5682" s="5" t="s">
        <v>42049</v>
      </c>
      <c r="H5682" s="26">
        <v>30.5</v>
      </c>
      <c r="I5682" s="5"/>
      <c r="J5682" s="5" t="s">
        <v>30577</v>
      </c>
      <c r="K5682" s="5" t="s">
        <v>344</v>
      </c>
      <c r="L5682" s="5" t="s">
        <v>42050</v>
      </c>
      <c r="M5682" s="27">
        <v>85064</v>
      </c>
      <c r="N5682" s="5" t="s">
        <v>57936</v>
      </c>
      <c r="O5682" s="5" t="str">
        <v>0309000133</v>
      </c>
      <c r="P5682" s="27">
        <v>480880000</v>
      </c>
      <c r="Q5682" s="5"/>
      <c r="R5682" s="5" t="s">
        <v>57938</v>
      </c>
      <c r="S5682" s="5" t="s">
        <v>57939</v>
      </c>
      <c r="T5682" s="28">
        <v>2625313000</v>
      </c>
      <c r="U5682" s="28">
        <v>5705000</v>
      </c>
      <c r="V5682" s="28">
        <v>1673648000</v>
      </c>
      <c r="W5682" s="28">
        <v>555297000</v>
      </c>
      <c r="X5682" s="28">
        <v>134494000</v>
      </c>
      <c r="Y5682" s="28">
        <v>7022863000</v>
      </c>
      <c r="Z5682" s="28">
        <v>3137864000</v>
      </c>
      <c r="AA5682" s="28">
        <v>580886000</v>
      </c>
      <c r="AB5682" s="28">
        <v>1590091000</v>
      </c>
      <c r="AC5682" s="28">
        <v>2393559000</v>
      </c>
      <c r="AD5682" s="28">
        <v>3739216000</v>
      </c>
      <c r="AE5682" s="28">
        <v>6233335000</v>
      </c>
      <c r="AF5682" s="28">
        <v>414645000</v>
      </c>
      <c r="AG5682" s="11"/>
    </row>
    <row r="5683">
      <c r="A5683" s="7" t="s">
        <v>7287</v>
      </c>
      <c r="B5683" s="5" t="s">
        <v>15239</v>
      </c>
      <c r="C5683" s="5" t="s">
        <v>22917</v>
      </c>
      <c r="D5683" s="5" t="str">
        <v>502603101581</v>
      </c>
      <c r="E5683" s="0" t="e">
        <f>+7 (495) 9952550
+7 (915) 2014846</f>
        <v>#NAME?</v>
      </c>
      <c r="F5683" s="5"/>
      <c r="G5683" s="5"/>
      <c r="H5683" s="26">
        <v>16</v>
      </c>
      <c r="I5683" s="5" t="s">
        <v>42051</v>
      </c>
      <c r="J5683" s="5" t="s">
        <v>42052</v>
      </c>
      <c r="K5683" s="5" t="s">
        <v>344</v>
      </c>
      <c r="L5683" s="5"/>
      <c r="M5683" s="27">
        <v>46753</v>
      </c>
      <c r="N5683" s="5"/>
      <c r="O5683" s="5" t="str">
        <v>7706656037</v>
      </c>
      <c r="P5683" s="27">
        <v>10000000</v>
      </c>
      <c r="Q5683" s="5" t="s">
        <v>49207</v>
      </c>
      <c r="R5683" s="5"/>
      <c r="S5683" s="5" t="s">
        <v>51253</v>
      </c>
      <c r="T5683" s="28">
        <v>111547000</v>
      </c>
      <c r="U5683" s="28"/>
      <c r="V5683" s="28">
        <v>216001000</v>
      </c>
      <c r="W5683" s="28"/>
      <c r="X5683" s="28">
        <v>633336000</v>
      </c>
      <c r="Y5683" s="28">
        <v>2215773000</v>
      </c>
      <c r="Z5683" s="28">
        <v>1355205000</v>
      </c>
      <c r="AA5683" s="28"/>
      <c r="AB5683" s="28"/>
      <c r="AC5683" s="28">
        <v>850558000</v>
      </c>
      <c r="AD5683" s="28">
        <v>1365205000</v>
      </c>
      <c r="AE5683" s="28">
        <v>8055966000</v>
      </c>
      <c r="AF5683" s="28">
        <v>72362000</v>
      </c>
      <c r="AG5683" s="11"/>
    </row>
    <row r="5684">
      <c r="A5684" s="7" t="s">
        <v>7288</v>
      </c>
      <c r="B5684" s="5" t="s">
        <v>15240</v>
      </c>
      <c r="C5684" s="5" t="s">
        <v>22918</v>
      </c>
      <c r="D5684" s="5" t="str">
        <v>323403594000</v>
      </c>
      <c r="E5684" s="0" t="e">
        <f>+7 (910) 7430716
+7 (483) 2410413
+7 (483) 2410585
+7 (483) 2410788
+7 (483) 2416303
+7 (483) 2416835
+7 (483) 2419610
+7 (483) 2419633
+7 (483) 2419896
+7 (483) 2606087
+7 (483) 2631510
+7 (8432) 410413</f>
        <v>#NAME?</v>
      </c>
      <c r="F5684" s="5" t="s">
        <v>42053</v>
      </c>
      <c r="G5684" s="5" t="s">
        <v>42054</v>
      </c>
      <c r="H5684" s="26">
        <v>23</v>
      </c>
      <c r="I5684" s="5" t="s">
        <v>42055</v>
      </c>
      <c r="J5684" s="5" t="s">
        <v>25822</v>
      </c>
      <c r="K5684" s="5" t="s">
        <v>344</v>
      </c>
      <c r="L5684" s="5" t="s">
        <v>42056</v>
      </c>
      <c r="M5684" s="27"/>
      <c r="N5684" s="5" t="s">
        <v>57941</v>
      </c>
      <c r="O5684" s="5" t="str">
        <v>3235013772</v>
      </c>
      <c r="P5684" s="27">
        <v>10000</v>
      </c>
      <c r="Q5684" s="5" t="s">
        <v>49059</v>
      </c>
      <c r="R5684" s="5"/>
      <c r="S5684" s="5" t="s">
        <v>53493</v>
      </c>
      <c r="T5684" s="28">
        <v>72401000</v>
      </c>
      <c r="U5684" s="28"/>
      <c r="V5684" s="28">
        <v>465470000</v>
      </c>
      <c r="W5684" s="28"/>
      <c r="X5684" s="28">
        <v>28895000</v>
      </c>
      <c r="Y5684" s="28">
        <v>724188000</v>
      </c>
      <c r="Z5684" s="28">
        <v>431556000</v>
      </c>
      <c r="AA5684" s="28">
        <v>211000000</v>
      </c>
      <c r="AB5684" s="28"/>
      <c r="AC5684" s="28">
        <v>79122000</v>
      </c>
      <c r="AD5684" s="28">
        <v>434066000</v>
      </c>
      <c r="AE5684" s="28">
        <v>4464137000</v>
      </c>
      <c r="AF5684" s="28">
        <v>116568000</v>
      </c>
      <c r="AG5684" s="11"/>
    </row>
    <row r="5685">
      <c r="A5685" s="7" t="s">
        <v>7289</v>
      </c>
      <c r="B5685" s="5" t="s">
        <v>15241</v>
      </c>
      <c r="C5685" s="5" t="s">
        <v>22919</v>
      </c>
      <c r="D5685" s="5" t="str">
        <v>637300617610</v>
      </c>
      <c r="E5685" s="0" t="e">
        <f>+7 (345) 2533838
+7 (861) 2551918
+7 (861) 2699810
+7 (861) 2774554
+7 (909) 1829798
+7 (909) 1869090
+7 (967) 3858888</f>
        <v>#NAME?</v>
      </c>
      <c r="F5685" s="5" t="s">
        <v>42057</v>
      </c>
      <c r="G5685" s="5"/>
      <c r="H5685" s="26">
        <v>24</v>
      </c>
      <c r="I5685" s="5" t="s">
        <v>42058</v>
      </c>
      <c r="J5685" s="5" t="s">
        <v>599</v>
      </c>
      <c r="K5685" s="5" t="s">
        <v>355</v>
      </c>
      <c r="L5685" s="5"/>
      <c r="M5685" s="27">
        <v>50098386</v>
      </c>
      <c r="N5685" s="5"/>
      <c r="O5685" s="5" t="str">
        <v>2310053662</v>
      </c>
      <c r="P5685" s="27">
        <v>10000</v>
      </c>
      <c r="Q5685" s="5" t="s">
        <v>49009</v>
      </c>
      <c r="R5685" s="5"/>
      <c r="S5685" s="5" t="s">
        <v>49545</v>
      </c>
      <c r="T5685" s="28">
        <v>11086913000</v>
      </c>
      <c r="U5685" s="28">
        <v>40000038000</v>
      </c>
      <c r="V5685" s="28">
        <v>10003124000</v>
      </c>
      <c r="W5685" s="28">
        <v>51436741000</v>
      </c>
      <c r="X5685" s="28">
        <v>754000</v>
      </c>
      <c r="Y5685" s="28">
        <v>114621654000</v>
      </c>
      <c r="Z5685" s="28">
        <v>-525031000</v>
      </c>
      <c r="AA5685" s="28">
        <v>28134842000</v>
      </c>
      <c r="AB5685" s="28">
        <v>71903136000</v>
      </c>
      <c r="AC5685" s="28">
        <v>83831332000</v>
      </c>
      <c r="AD5685" s="28">
        <v>-525020000</v>
      </c>
      <c r="AE5685" s="28">
        <v>43146717000</v>
      </c>
      <c r="AF5685" s="28">
        <v>189987000</v>
      </c>
      <c r="AG5685" s="11"/>
    </row>
    <row r="5686">
      <c r="A5686" s="7" t="s">
        <v>7290</v>
      </c>
      <c r="B5686" s="5" t="s">
        <v>15242</v>
      </c>
      <c r="C5686" s="5" t="s">
        <v>22920</v>
      </c>
      <c r="D5686" s="5" t="str">
        <v>616853052260</v>
      </c>
      <c r="E5686" s="0" t="e">
        <f>+7 (863) 3115720
+7 (989) 5115720</f>
        <v>#NAME?</v>
      </c>
      <c r="F5686" s="5" t="s">
        <v>42059</v>
      </c>
      <c r="G5686" s="5" t="s">
        <v>42060</v>
      </c>
      <c r="H5686" s="26">
        <v>8.5</v>
      </c>
      <c r="I5686" s="5" t="s">
        <v>42061</v>
      </c>
      <c r="J5686" s="5" t="s">
        <v>25337</v>
      </c>
      <c r="K5686" s="5" t="s">
        <v>344</v>
      </c>
      <c r="L5686" s="5" t="s">
        <v>39681</v>
      </c>
      <c r="M5686" s="27"/>
      <c r="N5686" s="5" t="s">
        <v>57943</v>
      </c>
      <c r="O5686" s="5" t="str">
        <v>6168073560</v>
      </c>
      <c r="P5686" s="27">
        <v>26500</v>
      </c>
      <c r="Q5686" s="5" t="s">
        <v>57944</v>
      </c>
      <c r="R5686" s="5"/>
      <c r="S5686" s="5" t="s">
        <v>49162</v>
      </c>
      <c r="T5686" s="28">
        <v>1226000</v>
      </c>
      <c r="U5686" s="28"/>
      <c r="V5686" s="28">
        <v>776173000</v>
      </c>
      <c r="W5686" s="28"/>
      <c r="X5686" s="28">
        <v>184647000</v>
      </c>
      <c r="Y5686" s="28">
        <v>1665477000</v>
      </c>
      <c r="Z5686" s="28">
        <v>422191000</v>
      </c>
      <c r="AA5686" s="28"/>
      <c r="AB5686" s="28">
        <v>579000</v>
      </c>
      <c r="AC5686" s="28">
        <v>1243259000</v>
      </c>
      <c r="AD5686" s="28">
        <v>422218000</v>
      </c>
      <c r="AE5686" s="28">
        <v>3738527000</v>
      </c>
      <c r="AF5686" s="28">
        <v>271214000</v>
      </c>
      <c r="AG5686" s="11"/>
    </row>
    <row r="5687">
      <c r="A5687" s="7" t="s">
        <v>7291</v>
      </c>
      <c r="B5687" s="5" t="s">
        <v>10584</v>
      </c>
      <c r="C5687" s="5" t="s">
        <v>18173</v>
      </c>
      <c r="D5687" s="5" t="str">
        <v>234500200835</v>
      </c>
      <c r="E5687" s="0" t="e">
        <f>+7 (861) 2730473
+7 (861) 2735993</f>
        <v>#NAME?</v>
      </c>
      <c r="F5687" s="5"/>
      <c r="G5687" s="5" t="s">
        <v>42062</v>
      </c>
      <c r="H5687" s="26">
        <v>9.5</v>
      </c>
      <c r="I5687" s="5" t="s">
        <v>42063</v>
      </c>
      <c r="J5687" s="5" t="s">
        <v>26165</v>
      </c>
      <c r="K5687" s="5" t="s">
        <v>380</v>
      </c>
      <c r="L5687" s="5" t="s">
        <v>42064</v>
      </c>
      <c r="M5687" s="27"/>
      <c r="N5687" s="5"/>
      <c r="O5687" s="5" t="str">
        <v>2309137766</v>
      </c>
      <c r="P5687" s="27">
        <v>10000</v>
      </c>
      <c r="Q5687" s="5" t="s">
        <v>49009</v>
      </c>
      <c r="R5687" s="5" t="s">
        <v>57946</v>
      </c>
      <c r="S5687" s="5" t="s">
        <v>49978</v>
      </c>
      <c r="T5687" s="28">
        <v>1422639000</v>
      </c>
      <c r="U5687" s="28">
        <v>3313473000</v>
      </c>
      <c r="V5687" s="28">
        <v>497875000</v>
      </c>
      <c r="W5687" s="28"/>
      <c r="X5687" s="28">
        <v>85962000</v>
      </c>
      <c r="Y5687" s="28">
        <v>6717358000</v>
      </c>
      <c r="Z5687" s="28">
        <v>375534000</v>
      </c>
      <c r="AA5687" s="28">
        <v>2301637000</v>
      </c>
      <c r="AB5687" s="28">
        <v>287863000</v>
      </c>
      <c r="AC5687" s="28">
        <v>2185162000</v>
      </c>
      <c r="AD5687" s="28">
        <v>375544000</v>
      </c>
      <c r="AE5687" s="28">
        <v>7632074000</v>
      </c>
      <c r="AF5687" s="28">
        <v>125651000</v>
      </c>
      <c r="AG5687" s="11"/>
    </row>
    <row r="5688">
      <c r="A5688" s="7" t="s">
        <v>7292</v>
      </c>
      <c r="B5688" s="5" t="s">
        <v>15243</v>
      </c>
      <c r="C5688" s="5" t="s">
        <v>22921</v>
      </c>
      <c r="D5688" s="5" t="str">
        <v>770202785235</v>
      </c>
      <c r="E5688" s="0" t="e">
        <f>+7 (495) 7800771
+7 (495) 7800772
+7 (499) 5838676
+7 (968) 7933403</f>
        <v>#NAME?</v>
      </c>
      <c r="F5688" s="5" t="s">
        <v>42065</v>
      </c>
      <c r="G5688" s="5" t="s">
        <v>42066</v>
      </c>
      <c r="H5688" s="26">
        <v>22</v>
      </c>
      <c r="I5688" s="5"/>
      <c r="J5688" s="5" t="s">
        <v>29848</v>
      </c>
      <c r="K5688" s="5" t="s">
        <v>344</v>
      </c>
      <c r="L5688" s="5"/>
      <c r="M5688" s="27"/>
      <c r="N5688" s="5" t="s">
        <v>57947</v>
      </c>
      <c r="O5688" s="5" t="str">
        <v>7727194344</v>
      </c>
      <c r="P5688" s="27">
        <v>2413600</v>
      </c>
      <c r="Q5688" s="5" t="s">
        <v>49324</v>
      </c>
      <c r="R5688" s="5"/>
      <c r="S5688" s="5" t="s">
        <v>57948</v>
      </c>
      <c r="T5688" s="28">
        <v>603494000</v>
      </c>
      <c r="U5688" s="28"/>
      <c r="V5688" s="28">
        <v>447221000</v>
      </c>
      <c r="W5688" s="28"/>
      <c r="X5688" s="28">
        <v>2165363000</v>
      </c>
      <c r="Y5688" s="28">
        <v>5095180000</v>
      </c>
      <c r="Z5688" s="28">
        <v>2587733000</v>
      </c>
      <c r="AA5688" s="28">
        <v>82909000</v>
      </c>
      <c r="AB5688" s="28">
        <v>46600000</v>
      </c>
      <c r="AC5688" s="28">
        <v>1319709000</v>
      </c>
      <c r="AD5688" s="28">
        <v>2590147000</v>
      </c>
      <c r="AE5688" s="28">
        <v>5277548000</v>
      </c>
      <c r="AF5688" s="28">
        <v>1090355000</v>
      </c>
      <c r="AG5688" s="11"/>
    </row>
    <row r="5689">
      <c r="A5689" s="7" t="s">
        <v>7293</v>
      </c>
      <c r="B5689" s="5" t="s">
        <v>15244</v>
      </c>
      <c r="C5689" s="5" t="s">
        <v>22922</v>
      </c>
      <c r="D5689" s="5" t="str">
        <v>032304597575</v>
      </c>
      <c r="F5689" s="5" t="s">
        <v>42067</v>
      </c>
      <c r="G5689" s="5"/>
      <c r="H5689" s="26">
        <v>7.5</v>
      </c>
      <c r="I5689" s="5" t="s">
        <v>42068</v>
      </c>
      <c r="J5689" s="5" t="s">
        <v>34211</v>
      </c>
      <c r="K5689" s="5" t="s">
        <v>355</v>
      </c>
      <c r="L5689" s="5" t="s">
        <v>42069</v>
      </c>
      <c r="M5689" s="27"/>
      <c r="N5689" s="5" t="s">
        <v>57949</v>
      </c>
      <c r="O5689" s="5" t="str">
        <v>9103075188</v>
      </c>
      <c r="P5689" s="27">
        <v>10000</v>
      </c>
      <c r="Q5689" s="5"/>
      <c r="R5689" s="5"/>
      <c r="S5689" s="5" t="s">
        <v>49110</v>
      </c>
      <c r="T5689" s="28">
        <v>1456616000</v>
      </c>
      <c r="U5689" s="28">
        <v>3435125000</v>
      </c>
      <c r="V5689" s="28">
        <v>400700000</v>
      </c>
      <c r="W5689" s="28">
        <v>173200000</v>
      </c>
      <c r="X5689" s="28">
        <v>25857000</v>
      </c>
      <c r="Y5689" s="28">
        <v>5825604000</v>
      </c>
      <c r="Z5689" s="28">
        <v>3656808000</v>
      </c>
      <c r="AA5689" s="28"/>
      <c r="AB5689" s="28"/>
      <c r="AC5689" s="28">
        <v>422724000</v>
      </c>
      <c r="AD5689" s="28">
        <v>3656818000</v>
      </c>
      <c r="AE5689" s="28">
        <v>3259208000</v>
      </c>
      <c r="AF5689" s="28">
        <v>343741000</v>
      </c>
      <c r="AG5689" s="11"/>
    </row>
    <row r="5690">
      <c r="A5690" s="7" t="s">
        <v>7294</v>
      </c>
      <c r="B5690" s="5" t="s">
        <v>15245</v>
      </c>
      <c r="C5690" s="5" t="s">
        <v>22923</v>
      </c>
      <c r="D5690" s="5" t="str">
        <v>502913012349</v>
      </c>
      <c r="E5690" s="0" t="e">
        <f>+7 (495) 2944014
+7 (495) 4887285</f>
        <v>#NAME?</v>
      </c>
      <c r="F5690" s="5"/>
      <c r="G5690" s="5"/>
      <c r="H5690" s="26">
        <v>7.5</v>
      </c>
      <c r="I5690" s="5" t="s">
        <v>42070</v>
      </c>
      <c r="J5690" s="5" t="s">
        <v>25874</v>
      </c>
      <c r="K5690" s="5" t="s">
        <v>344</v>
      </c>
      <c r="L5690" s="5" t="s">
        <v>42071</v>
      </c>
      <c r="M5690" s="27"/>
      <c r="N5690" s="5"/>
      <c r="O5690" s="5" t="str">
        <v>9715205490</v>
      </c>
      <c r="P5690" s="27">
        <v>10000</v>
      </c>
      <c r="Q5690" s="5" t="s">
        <v>49009</v>
      </c>
      <c r="R5690" s="5"/>
      <c r="S5690" s="5" t="s">
        <v>49010</v>
      </c>
      <c r="T5690" s="28">
        <v>39139000</v>
      </c>
      <c r="U5690" s="28"/>
      <c r="V5690" s="28">
        <v>956390000</v>
      </c>
      <c r="W5690" s="28">
        <v>21320000</v>
      </c>
      <c r="X5690" s="28">
        <v>6937000</v>
      </c>
      <c r="Y5690" s="28">
        <v>1657930000</v>
      </c>
      <c r="Z5690" s="28">
        <v>915180000</v>
      </c>
      <c r="AA5690" s="28"/>
      <c r="AB5690" s="28">
        <v>636426000</v>
      </c>
      <c r="AC5690" s="28">
        <v>727450000</v>
      </c>
      <c r="AD5690" s="28">
        <v>915190000</v>
      </c>
      <c r="AE5690" s="28">
        <v>3302070000</v>
      </c>
      <c r="AF5690" s="28">
        <v>160979000</v>
      </c>
      <c r="AG5690" s="11"/>
    </row>
    <row r="5691">
      <c r="A5691" s="7" t="s">
        <v>7295</v>
      </c>
      <c r="B5691" s="5" t="s">
        <v>15246</v>
      </c>
      <c r="C5691" s="5" t="s">
        <v>22924</v>
      </c>
      <c r="D5691" s="5" t="str">
        <v>023001524887</v>
      </c>
      <c r="E5691" s="0" t="e">
        <f>+7 (84233) 29133
+7 (84233) 29185
+7 (84233) 29218
+7 (84233) 29228</f>
        <v>#NAME?</v>
      </c>
      <c r="F5691" s="5"/>
      <c r="G5691" s="5"/>
      <c r="H5691" s="26">
        <v>22.5</v>
      </c>
      <c r="I5691" s="5" t="s">
        <v>42072</v>
      </c>
      <c r="J5691" s="5" t="s">
        <v>26407</v>
      </c>
      <c r="K5691" s="5" t="s">
        <v>355</v>
      </c>
      <c r="L5691" s="5"/>
      <c r="M5691" s="27">
        <v>5000</v>
      </c>
      <c r="N5691" s="5"/>
      <c r="O5691" s="5" t="str">
        <v>7321004000</v>
      </c>
      <c r="P5691" s="27">
        <v>11517440000</v>
      </c>
      <c r="Q5691" s="5"/>
      <c r="R5691" s="5" t="s">
        <v>55050</v>
      </c>
      <c r="S5691" s="5" t="s">
        <v>49499</v>
      </c>
      <c r="T5691" s="28">
        <v>3598331000</v>
      </c>
      <c r="U5691" s="28"/>
      <c r="V5691" s="28">
        <v>147054000</v>
      </c>
      <c r="W5691" s="28"/>
      <c r="X5691" s="28">
        <v>30689000</v>
      </c>
      <c r="Y5691" s="28">
        <v>9238619000</v>
      </c>
      <c r="Z5691" s="28">
        <v>-16987682000</v>
      </c>
      <c r="AA5691" s="28">
        <v>8599921000</v>
      </c>
      <c r="AB5691" s="28">
        <v>1963183000</v>
      </c>
      <c r="AC5691" s="28">
        <v>2308448000</v>
      </c>
      <c r="AD5691" s="28">
        <v>-2563791000</v>
      </c>
      <c r="AE5691" s="28">
        <v>4768660000</v>
      </c>
      <c r="AF5691" s="28">
        <v>3590730000</v>
      </c>
      <c r="AG5691" s="11"/>
    </row>
    <row r="5692">
      <c r="A5692" s="7" t="s">
        <v>7296</v>
      </c>
      <c r="B5692" s="5" t="s">
        <v>15247</v>
      </c>
      <c r="C5692" s="5" t="s">
        <v>22925</v>
      </c>
      <c r="D5692" s="5" t="str">
        <v>482612032452</v>
      </c>
      <c r="E5692" s="0" t="e">
        <f>+7 (474) 2346018
+7 (474) 2376756
+7 (474) 2902030
+7 (47471) 22087
+7 (47471) 22089
+7 (961) 319009</f>
        <v>#NAME?</v>
      </c>
      <c r="F5692" s="5" t="s">
        <v>42073</v>
      </c>
      <c r="G5692" s="5"/>
      <c r="H5692" s="26">
        <v>12.5</v>
      </c>
      <c r="I5692" s="5" t="s">
        <v>42074</v>
      </c>
      <c r="J5692" s="5" t="s">
        <v>25850</v>
      </c>
      <c r="K5692" s="5" t="s">
        <v>344</v>
      </c>
      <c r="L5692" s="5" t="s">
        <v>42075</v>
      </c>
      <c r="M5692" s="27">
        <v>334500</v>
      </c>
      <c r="N5692" s="5"/>
      <c r="O5692" s="5" t="str">
        <v>4825070824</v>
      </c>
      <c r="P5692" s="27">
        <v>10000</v>
      </c>
      <c r="Q5692" s="5" t="s">
        <v>49009</v>
      </c>
      <c r="R5692" s="5"/>
      <c r="S5692" s="5" t="s">
        <v>49045</v>
      </c>
      <c r="T5692" s="28">
        <v>500998000</v>
      </c>
      <c r="U5692" s="28">
        <v>1006832000</v>
      </c>
      <c r="V5692" s="28">
        <v>3924129000</v>
      </c>
      <c r="W5692" s="28"/>
      <c r="X5692" s="28">
        <v>677415000</v>
      </c>
      <c r="Y5692" s="28">
        <v>10081504000</v>
      </c>
      <c r="Z5692" s="28">
        <v>4336385000</v>
      </c>
      <c r="AA5692" s="28">
        <v>451200000</v>
      </c>
      <c r="AB5692" s="28">
        <v>3923284000</v>
      </c>
      <c r="AC5692" s="28">
        <v>5293909000</v>
      </c>
      <c r="AD5692" s="28">
        <v>4336395000</v>
      </c>
      <c r="AE5692" s="28">
        <v>10134249000</v>
      </c>
      <c r="AF5692" s="28">
        <v>1202860000</v>
      </c>
      <c r="AG5692" s="11"/>
    </row>
    <row r="5693">
      <c r="A5693" s="7" t="s">
        <v>7297</v>
      </c>
      <c r="B5693" s="5" t="s">
        <v>15248</v>
      </c>
      <c r="C5693" s="5" t="s">
        <v>22926</v>
      </c>
      <c r="D5693" s="5" t="str">
        <v>381100852970</v>
      </c>
      <c r="E5693" s="0" t="e">
        <f>+7 (3952) 288400
+7 (3952) 288401
+7 (3952) 288413
+7 (3952) 336336</f>
        <v>#NAME?</v>
      </c>
      <c r="F5693" s="5"/>
      <c r="G5693" s="5" t="s">
        <v>42076</v>
      </c>
      <c r="H5693" s="26">
        <v>29.5</v>
      </c>
      <c r="I5693" s="5" t="s">
        <v>42077</v>
      </c>
      <c r="J5693" s="5" t="s">
        <v>678</v>
      </c>
      <c r="K5693" s="5" t="s">
        <v>344</v>
      </c>
      <c r="L5693" s="5" t="s">
        <v>42078</v>
      </c>
      <c r="M5693" s="27"/>
      <c r="N5693" s="5" t="s">
        <v>50461</v>
      </c>
      <c r="O5693" s="5" t="str">
        <v>3811026559</v>
      </c>
      <c r="P5693" s="27">
        <v>10000</v>
      </c>
      <c r="Q5693" s="5" t="s">
        <v>49009</v>
      </c>
      <c r="R5693" s="5"/>
      <c r="S5693" s="5" t="s">
        <v>49045</v>
      </c>
      <c r="T5693" s="28">
        <v>23825000</v>
      </c>
      <c r="U5693" s="28"/>
      <c r="V5693" s="28">
        <v>4546057000</v>
      </c>
      <c r="W5693" s="28">
        <v>21600000</v>
      </c>
      <c r="X5693" s="28">
        <v>409000</v>
      </c>
      <c r="Y5693" s="28">
        <v>4789076000</v>
      </c>
      <c r="Z5693" s="28">
        <v>521124000</v>
      </c>
      <c r="AA5693" s="28">
        <v>3240196000</v>
      </c>
      <c r="AB5693" s="28">
        <v>92536000</v>
      </c>
      <c r="AC5693" s="28">
        <v>1027670000</v>
      </c>
      <c r="AD5693" s="28">
        <v>521134000</v>
      </c>
      <c r="AE5693" s="28">
        <v>14890442000</v>
      </c>
      <c r="AF5693" s="28">
        <v>62109000</v>
      </c>
      <c r="AG5693" s="11"/>
    </row>
    <row r="5694">
      <c r="A5694" s="7" t="s">
        <v>7298</v>
      </c>
      <c r="B5694" s="5" t="s">
        <v>15249</v>
      </c>
      <c r="C5694" s="5" t="s">
        <v>22927</v>
      </c>
      <c r="D5694" s="5" t="str">
        <v>772151432465</v>
      </c>
      <c r="E5694" s="0" t="e">
        <f>+7 (495) 7701095
+7 (495) 7880788</f>
        <v>#NAME?</v>
      </c>
      <c r="F5694" s="5" t="s">
        <v>42079</v>
      </c>
      <c r="G5694" s="5" t="s">
        <v>42080</v>
      </c>
      <c r="H5694" s="26">
        <v>10.5</v>
      </c>
      <c r="I5694" s="5" t="s">
        <v>42081</v>
      </c>
      <c r="J5694" s="5" t="s">
        <v>26256</v>
      </c>
      <c r="K5694" s="5" t="s">
        <v>344</v>
      </c>
      <c r="L5694" s="5" t="s">
        <v>42082</v>
      </c>
      <c r="M5694" s="27">
        <v>63471</v>
      </c>
      <c r="N5694" s="5" t="s">
        <v>57950</v>
      </c>
      <c r="O5694" s="5" t="str">
        <v>7727790940</v>
      </c>
      <c r="P5694" s="27">
        <v>10000</v>
      </c>
      <c r="Q5694" s="5" t="s">
        <v>57952</v>
      </c>
      <c r="R5694" s="5"/>
      <c r="S5694" s="5" t="s">
        <v>57953</v>
      </c>
      <c r="T5694" s="28">
        <v>191729000</v>
      </c>
      <c r="U5694" s="28"/>
      <c r="V5694" s="28">
        <v>1003816000</v>
      </c>
      <c r="W5694" s="28"/>
      <c r="X5694" s="28">
        <v>1579121000</v>
      </c>
      <c r="Y5694" s="28">
        <v>3627685000</v>
      </c>
      <c r="Z5694" s="28">
        <v>935738000</v>
      </c>
      <c r="AA5694" s="28"/>
      <c r="AB5694" s="28"/>
      <c r="AC5694" s="28">
        <v>2676955000</v>
      </c>
      <c r="AD5694" s="28">
        <v>935748000</v>
      </c>
      <c r="AE5694" s="28">
        <v>8895627000</v>
      </c>
      <c r="AF5694" s="28">
        <v>332835000</v>
      </c>
      <c r="AG5694" s="11"/>
    </row>
    <row r="5695">
      <c r="A5695" s="7" t="s">
        <v>7299</v>
      </c>
      <c r="B5695" s="5" t="s">
        <v>15250</v>
      </c>
      <c r="C5695" s="5" t="s">
        <v>22928</v>
      </c>
      <c r="D5695" s="5" t="str">
        <v>780409298957</v>
      </c>
      <c r="E5695" s="0" t="e">
        <f>+7 (919) 9694347</f>
        <v>#NAME?</v>
      </c>
      <c r="F5695" s="5" t="s">
        <v>42083</v>
      </c>
      <c r="G5695" s="5" t="s">
        <v>42084</v>
      </c>
      <c r="H5695" s="26">
        <v>3.5</v>
      </c>
      <c r="I5695" s="5" t="s">
        <v>42085</v>
      </c>
      <c r="J5695" s="5" t="s">
        <v>33185</v>
      </c>
      <c r="K5695" s="5" t="s">
        <v>380</v>
      </c>
      <c r="L5695" s="5" t="s">
        <v>37775</v>
      </c>
      <c r="M5695" s="27">
        <v>293728</v>
      </c>
      <c r="N5695" s="5"/>
      <c r="O5695" s="5" t="str">
        <v>4217195225</v>
      </c>
      <c r="P5695" s="27">
        <v>100000</v>
      </c>
      <c r="Q5695" s="5" t="s">
        <v>447</v>
      </c>
      <c r="R5695" s="5"/>
      <c r="S5695" s="5" t="s">
        <v>57954</v>
      </c>
      <c r="T5695" s="28">
        <v>11247922000</v>
      </c>
      <c r="U5695" s="28">
        <v>49000</v>
      </c>
      <c r="V5695" s="28">
        <v>2488440000</v>
      </c>
      <c r="W5695" s="28">
        <v>51664000</v>
      </c>
      <c r="X5695" s="28">
        <v>27375000</v>
      </c>
      <c r="Y5695" s="28">
        <v>15890736000</v>
      </c>
      <c r="Z5695" s="28">
        <v>751613000</v>
      </c>
      <c r="AA5695" s="28">
        <v>850000000</v>
      </c>
      <c r="AB5695" s="28">
        <v>1700000000</v>
      </c>
      <c r="AC5695" s="28">
        <v>5400452000</v>
      </c>
      <c r="AD5695" s="28">
        <v>751713000</v>
      </c>
      <c r="AE5695" s="28">
        <v>6194820000</v>
      </c>
      <c r="AF5695" s="28">
        <v>329107000</v>
      </c>
      <c r="AG5695" s="11"/>
    </row>
    <row r="5696">
      <c r="A5696" s="7" t="s">
        <v>7300</v>
      </c>
      <c r="B5696" s="5" t="s">
        <v>15251</v>
      </c>
      <c r="C5696" s="5" t="s">
        <v>22929</v>
      </c>
      <c r="D5696" s="5" t="str">
        <v>890603453426</v>
      </c>
      <c r="E5696" s="0" t="e">
        <f>+7 (346) 1233416
+7 (346) 1238192
+7 (3461) 238571
+7 (3461) 434471
+7 (3463) 233416
+7 (3463) 238192
+7 (3463) 294871
+7 (3467) 133416
+7 (3467) 138192</f>
        <v>#NAME?</v>
      </c>
      <c r="F5696" s="5" t="s">
        <v>42086</v>
      </c>
      <c r="G5696" s="5"/>
      <c r="H5696" s="26">
        <v>23</v>
      </c>
      <c r="I5696" s="5" t="s">
        <v>42087</v>
      </c>
      <c r="J5696" s="5" t="s">
        <v>897</v>
      </c>
      <c r="K5696" s="5" t="s">
        <v>344</v>
      </c>
      <c r="L5696" s="5" t="s">
        <v>42088</v>
      </c>
      <c r="M5696" s="27">
        <v>414265</v>
      </c>
      <c r="N5696" s="5" t="s">
        <v>52997</v>
      </c>
      <c r="O5696" s="5" t="str">
        <v>8604025355</v>
      </c>
      <c r="P5696" s="27">
        <v>4008400</v>
      </c>
      <c r="Q5696" s="5" t="s">
        <v>57955</v>
      </c>
      <c r="R5696" s="5"/>
      <c r="S5696" s="5" t="s">
        <v>49496</v>
      </c>
      <c r="T5696" s="28">
        <v>5738280000</v>
      </c>
      <c r="U5696" s="28"/>
      <c r="V5696" s="28">
        <v>1664894000</v>
      </c>
      <c r="W5696" s="28"/>
      <c r="X5696" s="28">
        <v>326308000</v>
      </c>
      <c r="Y5696" s="28">
        <v>10077148000</v>
      </c>
      <c r="Z5696" s="28">
        <v>5494987000</v>
      </c>
      <c r="AA5696" s="28"/>
      <c r="AB5696" s="28">
        <v>716714000</v>
      </c>
      <c r="AC5696" s="28">
        <v>2836910000</v>
      </c>
      <c r="AD5696" s="28">
        <v>6948995000</v>
      </c>
      <c r="AE5696" s="28">
        <v>8377319000</v>
      </c>
      <c r="AF5696" s="28">
        <v>613074000</v>
      </c>
      <c r="AG5696" s="11"/>
    </row>
    <row r="5697">
      <c r="A5697" s="7" t="s">
        <v>7301</v>
      </c>
      <c r="B5697" s="5" t="s">
        <v>15252</v>
      </c>
      <c r="C5697" s="5" t="s">
        <v>22930</v>
      </c>
      <c r="D5697" s="5"/>
      <c r="E5697" s="0" t="e">
        <f>+7 (985) 9752363
+7 (495) 7830284
+7 (495) 7869595</f>
        <v>#NAME?</v>
      </c>
      <c r="F5697" s="5" t="s">
        <v>42089</v>
      </c>
      <c r="G5697" s="5"/>
      <c r="H5697" s="26">
        <v>22.5</v>
      </c>
      <c r="I5697" s="5" t="s">
        <v>42090</v>
      </c>
      <c r="J5697" s="5" t="s">
        <v>42091</v>
      </c>
      <c r="K5697" s="5" t="s">
        <v>355</v>
      </c>
      <c r="L5697" s="5" t="s">
        <v>42092</v>
      </c>
      <c r="M5697" s="27">
        <v>27896937</v>
      </c>
      <c r="N5697" s="5" t="s">
        <v>57956</v>
      </c>
      <c r="O5697" s="5" t="str">
        <v>7729395092</v>
      </c>
      <c r="P5697" s="27">
        <v>104050505</v>
      </c>
      <c r="Q5697" s="5" t="s">
        <v>57957</v>
      </c>
      <c r="R5697" s="5" t="s">
        <v>57958</v>
      </c>
      <c r="S5697" s="5" t="s">
        <v>57959</v>
      </c>
      <c r="T5697" s="28">
        <v>6207088000</v>
      </c>
      <c r="U5697" s="28">
        <v>1506279000</v>
      </c>
      <c r="V5697" s="28">
        <v>3474667000</v>
      </c>
      <c r="W5697" s="28">
        <v>32650000</v>
      </c>
      <c r="X5697" s="28">
        <v>55524000</v>
      </c>
      <c r="Y5697" s="28">
        <v>11916173000</v>
      </c>
      <c r="Z5697" s="28">
        <v>2666388000</v>
      </c>
      <c r="AA5697" s="28">
        <v>1882634000</v>
      </c>
      <c r="AB5697" s="28">
        <v>2770487000</v>
      </c>
      <c r="AC5697" s="28">
        <v>5160129000</v>
      </c>
      <c r="AD5697" s="28">
        <v>2770640000</v>
      </c>
      <c r="AE5697" s="28">
        <v>9749805000</v>
      </c>
      <c r="AF5697" s="28">
        <v>429159000</v>
      </c>
      <c r="AG5697" s="11"/>
    </row>
    <row r="5698">
      <c r="A5698" s="7" t="s">
        <v>7302</v>
      </c>
      <c r="B5698" s="5" t="s">
        <v>15253</v>
      </c>
      <c r="C5698" s="5" t="s">
        <v>22931</v>
      </c>
      <c r="D5698" s="5" t="str">
        <v>780717792945</v>
      </c>
      <c r="E5698" s="0" t="e">
        <f>+7 (812) 6049762
+7 (921) 8674793</f>
        <v>#NAME?</v>
      </c>
      <c r="F5698" s="5" t="s">
        <v>42093</v>
      </c>
      <c r="G5698" s="5"/>
      <c r="H5698" s="26">
        <v>15.5</v>
      </c>
      <c r="I5698" s="5"/>
      <c r="J5698" s="5" t="s">
        <v>648</v>
      </c>
      <c r="K5698" s="5" t="s">
        <v>344</v>
      </c>
      <c r="L5698" s="5" t="s">
        <v>42094</v>
      </c>
      <c r="M5698" s="27">
        <v>16970980</v>
      </c>
      <c r="N5698" s="5" t="s">
        <v>57960</v>
      </c>
      <c r="O5698" s="5" t="str">
        <v>7814379550</v>
      </c>
      <c r="P5698" s="27">
        <v>150000</v>
      </c>
      <c r="Q5698" s="5" t="s">
        <v>49009</v>
      </c>
      <c r="R5698" s="5"/>
      <c r="S5698" s="5" t="s">
        <v>49116</v>
      </c>
      <c r="T5698" s="28">
        <v>141574000</v>
      </c>
      <c r="U5698" s="28">
        <v>64767000</v>
      </c>
      <c r="V5698" s="28">
        <v>948683000</v>
      </c>
      <c r="W5698" s="28"/>
      <c r="X5698" s="28">
        <v>349468000</v>
      </c>
      <c r="Y5698" s="28">
        <v>1534909000</v>
      </c>
      <c r="Z5698" s="28">
        <v>635938000</v>
      </c>
      <c r="AA5698" s="28"/>
      <c r="AB5698" s="28"/>
      <c r="AC5698" s="28">
        <v>788113000</v>
      </c>
      <c r="AD5698" s="28">
        <v>636110000</v>
      </c>
      <c r="AE5698" s="28">
        <v>3411828000</v>
      </c>
      <c r="AF5698" s="28">
        <v>142317000</v>
      </c>
      <c r="AG5698" s="11"/>
    </row>
    <row r="5699">
      <c r="A5699" s="7" t="s">
        <v>7303</v>
      </c>
      <c r="B5699" s="5" t="s">
        <v>15254</v>
      </c>
      <c r="C5699" s="5" t="s">
        <v>22932</v>
      </c>
      <c r="D5699" s="5" t="str">
        <v>772147651312</v>
      </c>
      <c r="E5699" s="0" t="e">
        <f>+7 (910) 4016447</f>
        <v>#NAME?</v>
      </c>
      <c r="F5699" s="5" t="s">
        <v>42095</v>
      </c>
      <c r="G5699" s="5"/>
      <c r="H5699" s="26">
        <v>7.5</v>
      </c>
      <c r="I5699" s="5" t="s">
        <v>42096</v>
      </c>
      <c r="J5699" s="5" t="s">
        <v>26256</v>
      </c>
      <c r="K5699" s="5" t="s">
        <v>344</v>
      </c>
      <c r="L5699" s="5" t="s">
        <v>42097</v>
      </c>
      <c r="M5699" s="27">
        <v>12997283</v>
      </c>
      <c r="N5699" s="5" t="s">
        <v>57961</v>
      </c>
      <c r="O5699" s="5" t="str">
        <v>7704329852</v>
      </c>
      <c r="P5699" s="27">
        <v>10000</v>
      </c>
      <c r="Q5699" s="5" t="s">
        <v>57962</v>
      </c>
      <c r="R5699" s="5"/>
      <c r="S5699" s="5" t="s">
        <v>57963</v>
      </c>
      <c r="T5699" s="28">
        <v>44659000</v>
      </c>
      <c r="U5699" s="28">
        <v>13000</v>
      </c>
      <c r="V5699" s="28">
        <v>3163607000</v>
      </c>
      <c r="W5699" s="28"/>
      <c r="X5699" s="28">
        <v>258939000</v>
      </c>
      <c r="Y5699" s="28">
        <v>3540524000</v>
      </c>
      <c r="Z5699" s="28">
        <v>668033000</v>
      </c>
      <c r="AA5699" s="28"/>
      <c r="AB5699" s="28">
        <v>865463000</v>
      </c>
      <c r="AC5699" s="28">
        <v>2794600000</v>
      </c>
      <c r="AD5699" s="28">
        <v>668043000</v>
      </c>
      <c r="AE5699" s="28">
        <v>4703897000</v>
      </c>
      <c r="AF5699" s="28">
        <v>622226000</v>
      </c>
      <c r="AG5699" s="11"/>
    </row>
    <row r="5700">
      <c r="A5700" s="7" t="s">
        <v>7304</v>
      </c>
      <c r="B5700" s="5" t="s">
        <v>15255</v>
      </c>
      <c r="C5700" s="5" t="s">
        <v>22933</v>
      </c>
      <c r="D5700" s="5" t="str">
        <v>780612965943</v>
      </c>
      <c r="E5700" s="0" t="e">
        <f>+7 (812) 3131603
+7 (812) 3348234
+7 (812) 3348293
+7 (812) 3384584
+7 (812) 3807801
+7 (812) 3884584</f>
        <v>#NAME?</v>
      </c>
      <c r="F5700" s="5" t="s">
        <v>42098</v>
      </c>
      <c r="G5700" s="5"/>
      <c r="H5700" s="26">
        <v>16.5</v>
      </c>
      <c r="I5700" s="5"/>
      <c r="J5700" s="5" t="s">
        <v>678</v>
      </c>
      <c r="K5700" s="5" t="s">
        <v>344</v>
      </c>
      <c r="L5700" s="5" t="s">
        <v>42099</v>
      </c>
      <c r="M5700" s="27"/>
      <c r="N5700" s="5"/>
      <c r="O5700" s="5" t="str">
        <v>7841347300</v>
      </c>
      <c r="P5700" s="27">
        <v>10000</v>
      </c>
      <c r="Q5700" s="5" t="s">
        <v>49057</v>
      </c>
      <c r="R5700" s="5"/>
      <c r="S5700" s="5" t="s">
        <v>57964</v>
      </c>
      <c r="T5700" s="28">
        <v>19415000</v>
      </c>
      <c r="U5700" s="28"/>
      <c r="V5700" s="28">
        <v>94582000</v>
      </c>
      <c r="W5700" s="28"/>
      <c r="X5700" s="28">
        <v>1204096000</v>
      </c>
      <c r="Y5700" s="28">
        <v>1391303000</v>
      </c>
      <c r="Z5700" s="28">
        <v>1259182000</v>
      </c>
      <c r="AA5700" s="28"/>
      <c r="AB5700" s="28"/>
      <c r="AC5700" s="28">
        <v>129955000</v>
      </c>
      <c r="AD5700" s="28">
        <v>1259194000</v>
      </c>
      <c r="AE5700" s="28">
        <v>25530592000</v>
      </c>
      <c r="AF5700" s="28">
        <v>5256028000</v>
      </c>
      <c r="AG5700" s="11"/>
    </row>
    <row r="5701">
      <c r="A5701" s="7" t="s">
        <v>7305</v>
      </c>
      <c r="B5701" s="5" t="s">
        <v>15256</v>
      </c>
      <c r="C5701" s="5" t="s">
        <v>22934</v>
      </c>
      <c r="D5701" s="5"/>
      <c r="E5701" s="0" t="e">
        <f>+7 (499) 2314456
+7 (35327) 33509
+7 (495) 2314456
+7 (495) 7800801</f>
        <v>#NAME?</v>
      </c>
      <c r="F5701" s="5"/>
      <c r="G5701" s="5"/>
      <c r="H5701" s="26">
        <v>15.5</v>
      </c>
      <c r="I5701" s="5" t="s">
        <v>42100</v>
      </c>
      <c r="J5701" s="5" t="s">
        <v>27921</v>
      </c>
      <c r="K5701" s="5" t="s">
        <v>355</v>
      </c>
      <c r="L5701" s="5" t="s">
        <v>42101</v>
      </c>
      <c r="M5701" s="27">
        <v>2502755</v>
      </c>
      <c r="N5701" s="5" t="s">
        <v>57965</v>
      </c>
      <c r="O5701" s="5" t="str">
        <v>7725607130</v>
      </c>
      <c r="P5701" s="27">
        <v>1000000</v>
      </c>
      <c r="Q5701" s="5" t="s">
        <v>57966</v>
      </c>
      <c r="R5701" s="5" t="s">
        <v>57967</v>
      </c>
      <c r="S5701" s="5" t="s">
        <v>51036</v>
      </c>
      <c r="T5701" s="28">
        <v>1098739000</v>
      </c>
      <c r="U5701" s="28"/>
      <c r="V5701" s="28">
        <v>2828709000</v>
      </c>
      <c r="W5701" s="28">
        <v>105000000</v>
      </c>
      <c r="X5701" s="28">
        <v>566693000</v>
      </c>
      <c r="Y5701" s="28">
        <v>9693539000</v>
      </c>
      <c r="Z5701" s="28">
        <v>2494358000</v>
      </c>
      <c r="AA5701" s="28"/>
      <c r="AB5701" s="28">
        <v>1400372000</v>
      </c>
      <c r="AC5701" s="28">
        <v>7100664000</v>
      </c>
      <c r="AD5701" s="28">
        <v>2495358000</v>
      </c>
      <c r="AE5701" s="28">
        <v>15299296000</v>
      </c>
      <c r="AF5701" s="28">
        <v>963468000</v>
      </c>
      <c r="AG5701" s="11"/>
    </row>
    <row r="5702">
      <c r="A5702" s="7" t="s">
        <v>7306</v>
      </c>
      <c r="B5702" s="5" t="s">
        <v>15257</v>
      </c>
      <c r="C5702" s="5" t="s">
        <v>22935</v>
      </c>
      <c r="D5702" s="5" t="str">
        <v>291902298076</v>
      </c>
      <c r="E5702" s="0" t="e">
        <f>+7 (921) 851600
+7 (818) 2613787</f>
        <v>#NAME?</v>
      </c>
      <c r="F5702" s="5" t="s">
        <v>42102</v>
      </c>
      <c r="G5702" s="5"/>
      <c r="H5702" s="26">
        <v>18</v>
      </c>
      <c r="I5702" s="5" t="s">
        <v>42103</v>
      </c>
      <c r="J5702" s="5" t="s">
        <v>866</v>
      </c>
      <c r="K5702" s="5" t="s">
        <v>344</v>
      </c>
      <c r="L5702" s="5" t="s">
        <v>42104</v>
      </c>
      <c r="M5702" s="27">
        <v>28518900</v>
      </c>
      <c r="N5702" s="5" t="s">
        <v>57968</v>
      </c>
      <c r="O5702" s="5" t="str">
        <v>2901135173</v>
      </c>
      <c r="P5702" s="27">
        <v>13700</v>
      </c>
      <c r="Q5702" s="5" t="s">
        <v>57969</v>
      </c>
      <c r="R5702" s="5"/>
      <c r="S5702" s="5" t="s">
        <v>57970</v>
      </c>
      <c r="T5702" s="28">
        <v>175749000</v>
      </c>
      <c r="U5702" s="28">
        <v>196893000</v>
      </c>
      <c r="V5702" s="28">
        <v>833997000</v>
      </c>
      <c r="W5702" s="28">
        <v>102073000</v>
      </c>
      <c r="X5702" s="28">
        <v>30307000</v>
      </c>
      <c r="Y5702" s="28">
        <v>1527911000</v>
      </c>
      <c r="Z5702" s="28">
        <v>659453000</v>
      </c>
      <c r="AA5702" s="28"/>
      <c r="AB5702" s="28">
        <v>520335000</v>
      </c>
      <c r="AC5702" s="28">
        <v>831451000</v>
      </c>
      <c r="AD5702" s="28">
        <v>659467000</v>
      </c>
      <c r="AE5702" s="28">
        <v>5113074000</v>
      </c>
      <c r="AF5702" s="28">
        <v>231508000</v>
      </c>
      <c r="AG5702" s="11"/>
    </row>
    <row r="5703">
      <c r="A5703" s="7" t="s">
        <v>7307</v>
      </c>
      <c r="B5703" s="5" t="s">
        <v>15258</v>
      </c>
      <c r="C5703" s="5" t="s">
        <v>22936</v>
      </c>
      <c r="D5703" s="5" t="str">
        <v>770973343084</v>
      </c>
      <c r="E5703" s="0" t="e">
        <f>+7 (495) 6516106
+7 (499) 7034210</f>
        <v>#NAME?</v>
      </c>
      <c r="F5703" s="5" t="s">
        <v>42105</v>
      </c>
      <c r="G5703" s="5"/>
      <c r="H5703" s="26">
        <v>11.5</v>
      </c>
      <c r="I5703" s="5" t="s">
        <v>42106</v>
      </c>
      <c r="J5703" s="5" t="s">
        <v>26125</v>
      </c>
      <c r="K5703" s="5" t="s">
        <v>355</v>
      </c>
      <c r="L5703" s="5"/>
      <c r="M5703" s="27">
        <v>19495466</v>
      </c>
      <c r="N5703" s="5"/>
      <c r="O5703" s="5" t="str">
        <v>7718866286</v>
      </c>
      <c r="P5703" s="27">
        <v>36000</v>
      </c>
      <c r="Q5703" s="5" t="s">
        <v>49059</v>
      </c>
      <c r="R5703" s="5"/>
      <c r="S5703" s="5" t="s">
        <v>49029</v>
      </c>
      <c r="T5703" s="28">
        <v>364490000</v>
      </c>
      <c r="U5703" s="28">
        <v>5618000</v>
      </c>
      <c r="V5703" s="28">
        <v>1049102000</v>
      </c>
      <c r="W5703" s="28">
        <v>577578000</v>
      </c>
      <c r="X5703" s="28">
        <v>1165457000</v>
      </c>
      <c r="Y5703" s="28">
        <v>3661483000</v>
      </c>
      <c r="Z5703" s="28">
        <v>23749000</v>
      </c>
      <c r="AA5703" s="28"/>
      <c r="AB5703" s="28"/>
      <c r="AC5703" s="28">
        <v>3630883000</v>
      </c>
      <c r="AD5703" s="28">
        <v>23785000</v>
      </c>
      <c r="AE5703" s="28">
        <v>18690428000</v>
      </c>
      <c r="AF5703" s="28">
        <v>3913000</v>
      </c>
      <c r="AG5703" s="11"/>
    </row>
    <row r="5704">
      <c r="A5704" s="7" t="s">
        <v>7308</v>
      </c>
      <c r="B5704" s="5" t="s">
        <v>15259</v>
      </c>
      <c r="C5704" s="5" t="s">
        <v>22937</v>
      </c>
      <c r="D5704" s="5" t="str">
        <v>773004275069</v>
      </c>
      <c r="E5704" s="0" t="e">
        <f>+7 (495) 9370700
+7 (495) 2258010
+7 (495) 9370701</f>
        <v>#NAME?</v>
      </c>
      <c r="F5704" s="5"/>
      <c r="G5704" s="5" t="s">
        <v>42107</v>
      </c>
      <c r="H5704" s="26">
        <v>31</v>
      </c>
      <c r="I5704" s="5"/>
      <c r="J5704" s="5" t="s">
        <v>26588</v>
      </c>
      <c r="K5704" s="5" t="s">
        <v>344</v>
      </c>
      <c r="L5704" s="5" t="s">
        <v>42108</v>
      </c>
      <c r="M5704" s="27"/>
      <c r="N5704" s="5"/>
      <c r="O5704" s="5" t="str">
        <v>7710149544</v>
      </c>
      <c r="P5704" s="27">
        <v>4000000</v>
      </c>
      <c r="Q5704" s="5" t="s">
        <v>49009</v>
      </c>
      <c r="R5704" s="5"/>
      <c r="S5704" s="5" t="s">
        <v>49045</v>
      </c>
      <c r="T5704" s="28">
        <v>1495042000</v>
      </c>
      <c r="U5704" s="28"/>
      <c r="V5704" s="28">
        <v>8485355000</v>
      </c>
      <c r="W5704" s="28"/>
      <c r="X5704" s="28">
        <v>1300422000</v>
      </c>
      <c r="Y5704" s="28">
        <v>17478123000</v>
      </c>
      <c r="Z5704" s="28">
        <v>12280690000</v>
      </c>
      <c r="AA5704" s="28"/>
      <c r="AB5704" s="28"/>
      <c r="AC5704" s="28">
        <v>4187788000</v>
      </c>
      <c r="AD5704" s="28">
        <v>12306939000</v>
      </c>
      <c r="AE5704" s="28">
        <v>25266225000</v>
      </c>
      <c r="AF5704" s="28">
        <v>725258000</v>
      </c>
      <c r="AG5704" s="11"/>
    </row>
    <row r="5705">
      <c r="A5705" s="7" t="s">
        <v>7309</v>
      </c>
      <c r="B5705" s="5" t="s">
        <v>13985</v>
      </c>
      <c r="C5705" s="5" t="s">
        <v>19735</v>
      </c>
      <c r="D5705" s="5"/>
      <c r="E5705" s="0" t="e">
        <f>+7 (413) 2697500
+7 (413) 2291327
+7 (413) 2291783
+7 (41346) 91327
+7 (812) 3208350
+7 (914) 8594454</f>
        <v>#NAME?</v>
      </c>
      <c r="F5705" s="5" t="s">
        <v>42109</v>
      </c>
      <c r="G5705" s="5" t="s">
        <v>32067</v>
      </c>
      <c r="H5705" s="26">
        <v>22.5</v>
      </c>
      <c r="I5705" s="5"/>
      <c r="J5705" s="5" t="s">
        <v>26499</v>
      </c>
      <c r="K5705" s="5" t="s">
        <v>344</v>
      </c>
      <c r="L5705" s="5" t="s">
        <v>42110</v>
      </c>
      <c r="M5705" s="27"/>
      <c r="N5705" s="5"/>
      <c r="O5705" s="5" t="str">
        <v>4900003918</v>
      </c>
      <c r="P5705" s="27">
        <v>12056000</v>
      </c>
      <c r="Q5705" s="5" t="s">
        <v>49021</v>
      </c>
      <c r="R5705" s="5" t="s">
        <v>57971</v>
      </c>
      <c r="S5705" s="5" t="s">
        <v>52514</v>
      </c>
      <c r="T5705" s="28">
        <v>6796621000</v>
      </c>
      <c r="U5705" s="28">
        <v>45649024000</v>
      </c>
      <c r="V5705" s="28">
        <v>9380143000</v>
      </c>
      <c r="W5705" s="28"/>
      <c r="X5705" s="28">
        <v>373449000</v>
      </c>
      <c r="Y5705" s="28">
        <v>79612811000</v>
      </c>
      <c r="Z5705" s="28">
        <v>70234521000</v>
      </c>
      <c r="AA5705" s="28"/>
      <c r="AB5705" s="28"/>
      <c r="AC5705" s="28">
        <v>5715141000</v>
      </c>
      <c r="AD5705" s="28">
        <v>70591270000</v>
      </c>
      <c r="AE5705" s="28">
        <v>33007853000</v>
      </c>
      <c r="AF5705" s="28">
        <v>9896606000</v>
      </c>
      <c r="AG5705" s="11"/>
    </row>
    <row r="5706">
      <c r="A5706" s="7" t="s">
        <v>7310</v>
      </c>
      <c r="B5706" s="5" t="s">
        <v>15260</v>
      </c>
      <c r="C5706" s="5" t="s">
        <v>22938</v>
      </c>
      <c r="D5706" s="5" t="str">
        <v>690706663420</v>
      </c>
      <c r="E5706" s="0" t="e">
        <f>+7 (4912) 392149
+7 (4912) 392150
+7 (4912) 392151
+7 (4912) 392154
+7 (49130) 21891
+7 (49130) 26240
+7 (49130) 26600
+7 (49130) 26603
+7 (49130) 26630
+7 (49130) 26638
+7 (49130) 26687
+7 (49130) 26690
+7 (495) 5442258</f>
        <v>#NAME?</v>
      </c>
      <c r="F5706" s="5" t="s">
        <v>42111</v>
      </c>
      <c r="G5706" s="5"/>
      <c r="H5706" s="26">
        <v>19.5</v>
      </c>
      <c r="I5706" s="5" t="s">
        <v>42112</v>
      </c>
      <c r="J5706" s="5" t="s">
        <v>26407</v>
      </c>
      <c r="K5706" s="5" t="s">
        <v>344</v>
      </c>
      <c r="L5706" s="5"/>
      <c r="M5706" s="27"/>
      <c r="N5706" s="5"/>
      <c r="O5706" s="5" t="str">
        <v>6208007944</v>
      </c>
      <c r="P5706" s="27">
        <v>10000</v>
      </c>
      <c r="Q5706" s="5" t="s">
        <v>49009</v>
      </c>
      <c r="R5706" s="5"/>
      <c r="S5706" s="5" t="s">
        <v>49010</v>
      </c>
      <c r="T5706" s="28">
        <v>6446990000</v>
      </c>
      <c r="U5706" s="28">
        <v>20708291000</v>
      </c>
      <c r="V5706" s="28">
        <v>4026680000</v>
      </c>
      <c r="W5706" s="28"/>
      <c r="X5706" s="28">
        <v>29773000</v>
      </c>
      <c r="Y5706" s="28">
        <v>32347114000</v>
      </c>
      <c r="Z5706" s="28">
        <v>2642535000</v>
      </c>
      <c r="AA5706" s="28">
        <v>6969161000</v>
      </c>
      <c r="AB5706" s="28">
        <v>16735904000</v>
      </c>
      <c r="AC5706" s="28">
        <v>17862376000</v>
      </c>
      <c r="AD5706" s="28">
        <v>7149865000</v>
      </c>
      <c r="AE5706" s="28">
        <v>10996597000</v>
      </c>
      <c r="AF5706" s="28">
        <v>3052091000</v>
      </c>
      <c r="AG5706" s="11"/>
    </row>
    <row r="5707">
      <c r="A5707" s="7" t="s">
        <v>7311</v>
      </c>
      <c r="B5707" s="5" t="s">
        <v>15261</v>
      </c>
      <c r="C5707" s="5" t="s">
        <v>22939</v>
      </c>
      <c r="D5707" s="5" t="str">
        <v>744842313292</v>
      </c>
      <c r="E5707" s="0" t="e">
        <f>+7 (3512) 200781
+7 (982) 1046517</f>
        <v>#NAME?</v>
      </c>
      <c r="F5707" s="5"/>
      <c r="G5707" s="5" t="s">
        <v>42113</v>
      </c>
      <c r="H5707" s="26">
        <v>6.5</v>
      </c>
      <c r="I5707" s="5" t="s">
        <v>42114</v>
      </c>
      <c r="J5707" s="5" t="s">
        <v>678</v>
      </c>
      <c r="K5707" s="5" t="s">
        <v>344</v>
      </c>
      <c r="L5707" s="5" t="s">
        <v>42115</v>
      </c>
      <c r="M5707" s="27"/>
      <c r="N5707" s="5" t="s">
        <v>57972</v>
      </c>
      <c r="O5707" s="5" t="str">
        <v>7451408229</v>
      </c>
      <c r="P5707" s="27">
        <v>20000</v>
      </c>
      <c r="Q5707" s="5" t="s">
        <v>57973</v>
      </c>
      <c r="R5707" s="5"/>
      <c r="S5707" s="5" t="s">
        <v>49047</v>
      </c>
      <c r="T5707" s="28">
        <v>8991000</v>
      </c>
      <c r="U5707" s="28"/>
      <c r="V5707" s="28">
        <v>844752000</v>
      </c>
      <c r="W5707" s="28"/>
      <c r="X5707" s="28">
        <v>414905000</v>
      </c>
      <c r="Y5707" s="28">
        <v>1698814000</v>
      </c>
      <c r="Z5707" s="28">
        <v>487606000</v>
      </c>
      <c r="AA5707" s="28"/>
      <c r="AB5707" s="28"/>
      <c r="AC5707" s="28">
        <v>1211169000</v>
      </c>
      <c r="AD5707" s="28">
        <v>487626000</v>
      </c>
      <c r="AE5707" s="28">
        <v>4375540000</v>
      </c>
      <c r="AF5707" s="28">
        <v>222562000</v>
      </c>
      <c r="AG5707" s="11"/>
    </row>
    <row r="5708">
      <c r="A5708" s="7" t="s">
        <v>7312</v>
      </c>
      <c r="B5708" s="5" t="s">
        <v>15262</v>
      </c>
      <c r="C5708" s="5" t="s">
        <v>22940</v>
      </c>
      <c r="D5708" s="5" t="str">
        <v>781019478096</v>
      </c>
      <c r="E5708" s="0" t="e">
        <f>+7 (812) 9259055</f>
        <v>#NAME?</v>
      </c>
      <c r="F5708" s="5"/>
      <c r="G5708" s="5"/>
      <c r="H5708" s="26">
        <v>9.5</v>
      </c>
      <c r="I5708" s="5" t="s">
        <v>42116</v>
      </c>
      <c r="J5708" s="5" t="s">
        <v>28738</v>
      </c>
      <c r="K5708" s="5" t="s">
        <v>344</v>
      </c>
      <c r="L5708" s="5"/>
      <c r="M5708" s="27"/>
      <c r="N5708" s="5"/>
      <c r="O5708" s="5" t="str">
        <v>7810466900</v>
      </c>
      <c r="P5708" s="27">
        <v>20000</v>
      </c>
      <c r="Q5708" s="5"/>
      <c r="R5708" s="5"/>
      <c r="S5708" s="5" t="s">
        <v>49110</v>
      </c>
      <c r="T5708" s="28"/>
      <c r="U5708" s="28"/>
      <c r="V5708" s="28">
        <v>60000</v>
      </c>
      <c r="W5708" s="28"/>
      <c r="X5708" s="28">
        <v>216000</v>
      </c>
      <c r="Y5708" s="28">
        <v>276000</v>
      </c>
      <c r="Z5708" s="28"/>
      <c r="AA5708" s="28"/>
      <c r="AB5708" s="28"/>
      <c r="AC5708" s="28">
        <v>256000</v>
      </c>
      <c r="AD5708" s="28">
        <v>20000</v>
      </c>
      <c r="AE5708" s="28">
        <v>5048528000</v>
      </c>
      <c r="AF5708" s="28">
        <v>280177000</v>
      </c>
      <c r="AG5708" s="11"/>
    </row>
    <row r="5709">
      <c r="A5709" s="7" t="s">
        <v>7313</v>
      </c>
      <c r="B5709" s="5" t="s">
        <v>15263</v>
      </c>
      <c r="C5709" s="5" t="s">
        <v>22941</v>
      </c>
      <c r="D5709" s="5" t="str">
        <v>166007981178</v>
      </c>
      <c r="E5709" s="0" t="e">
        <f>+7 (843) 2918558
+7 (843) 2918569
+7 (8432) 918559
+7 (8432) 176
+7 (8432) 918308
+7 (8432) 918521
+7 (8435) 721056
+7 (8555) 322359</f>
        <v>#NAME?</v>
      </c>
      <c r="F5709" s="5" t="s">
        <v>42117</v>
      </c>
      <c r="G5709" s="5" t="s">
        <v>42118</v>
      </c>
      <c r="H5709" s="26">
        <v>21</v>
      </c>
      <c r="I5709" s="5"/>
      <c r="J5709" s="5" t="s">
        <v>27802</v>
      </c>
      <c r="K5709" s="5" t="s">
        <v>344</v>
      </c>
      <c r="L5709" s="5"/>
      <c r="M5709" s="27">
        <v>43003074</v>
      </c>
      <c r="N5709" s="5" t="s">
        <v>57974</v>
      </c>
      <c r="O5709" s="5" t="str">
        <v>1655049111</v>
      </c>
      <c r="P5709" s="27">
        <v>7202672698</v>
      </c>
      <c r="Q5709" s="5" t="s">
        <v>57975</v>
      </c>
      <c r="R5709" s="5"/>
      <c r="S5709" s="5" t="s">
        <v>51023</v>
      </c>
      <c r="T5709" s="28">
        <v>82757801000</v>
      </c>
      <c r="U5709" s="28">
        <v>846826000</v>
      </c>
      <c r="V5709" s="28">
        <v>1648754000</v>
      </c>
      <c r="W5709" s="28"/>
      <c r="X5709" s="28">
        <v>1831762000</v>
      </c>
      <c r="Y5709" s="28">
        <v>92430744000</v>
      </c>
      <c r="Z5709" s="28">
        <v>59414299000</v>
      </c>
      <c r="AA5709" s="28"/>
      <c r="AB5709" s="28"/>
      <c r="AC5709" s="28">
        <v>11372779000</v>
      </c>
      <c r="AD5709" s="28">
        <v>71220014000</v>
      </c>
      <c r="AE5709" s="28">
        <v>34058421000</v>
      </c>
      <c r="AF5709" s="28">
        <v>5138798000</v>
      </c>
      <c r="AG5709" s="11"/>
    </row>
    <row r="5710">
      <c r="A5710" s="7" t="s">
        <v>7314</v>
      </c>
      <c r="B5710" s="5" t="s">
        <v>15264</v>
      </c>
      <c r="C5710" s="5" t="s">
        <v>22942</v>
      </c>
      <c r="D5710" s="5" t="str">
        <v>501205884500</v>
      </c>
      <c r="E5710" s="0" t="e">
        <f>+7 (343) 3794794
+7 (383) 2105015
+7 (473) 2204547
+7 (495) 1345016
+7 (495) 2698367
+7 (495) 2870333
+7 (495) 7616780
+7 (495) 7716169
+7 (495) 7717311
+7 (495) 7717312
+7 (495) 7777710
+7 (495) 9337547
+7 (800) 2345290
+7 (800) 3335016
+7 (800) 7003333</f>
        <v>#NAME?</v>
      </c>
      <c r="F5710" s="5" t="s">
        <v>42119</v>
      </c>
      <c r="G5710" s="5" t="s">
        <v>39808</v>
      </c>
      <c r="H5710" s="26">
        <v>17.5</v>
      </c>
      <c r="I5710" s="5" t="s">
        <v>42120</v>
      </c>
      <c r="J5710" s="5" t="s">
        <v>31191</v>
      </c>
      <c r="K5710" s="5" t="s">
        <v>380</v>
      </c>
      <c r="L5710" s="5"/>
      <c r="M5710" s="27">
        <v>7394028193</v>
      </c>
      <c r="N5710" s="5" t="s">
        <v>49906</v>
      </c>
      <c r="O5710" s="5" t="str">
        <v>7714617793</v>
      </c>
      <c r="P5710" s="27">
        <v>32143400</v>
      </c>
      <c r="Q5710" s="5" t="s">
        <v>57976</v>
      </c>
      <c r="R5710" s="5" t="s">
        <v>57977</v>
      </c>
      <c r="S5710" s="5" t="s">
        <v>57978</v>
      </c>
      <c r="T5710" s="28">
        <v>8101090000</v>
      </c>
      <c r="U5710" s="28"/>
      <c r="V5710" s="28">
        <v>4243988000</v>
      </c>
      <c r="W5710" s="28"/>
      <c r="X5710" s="28">
        <v>1224940000</v>
      </c>
      <c r="Y5710" s="28">
        <v>21700807000</v>
      </c>
      <c r="Z5710" s="28">
        <v>-44916058000</v>
      </c>
      <c r="AA5710" s="28">
        <v>8012297000</v>
      </c>
      <c r="AB5710" s="28"/>
      <c r="AC5710" s="28">
        <v>54133768000</v>
      </c>
      <c r="AD5710" s="28">
        <v>-44883153000</v>
      </c>
      <c r="AE5710" s="28">
        <v>56759628000</v>
      </c>
      <c r="AF5710" s="28">
        <v>-48544335000</v>
      </c>
      <c r="AG5710" s="11"/>
    </row>
    <row r="5711">
      <c r="A5711" s="7" t="s">
        <v>7315</v>
      </c>
      <c r="B5711" s="5" t="s">
        <v>15265</v>
      </c>
      <c r="C5711" s="5" t="s">
        <v>22943</v>
      </c>
      <c r="D5711" s="5" t="str">
        <v>232201430989</v>
      </c>
      <c r="E5711" s="0" t="e">
        <f>+7 (3022) 314644
+7 (3843) 322041
+7 (3843) 322142
+7 (495) 7754450
+7 (495) 7754455
+7 (495) 7754620</f>
        <v>#NAME?</v>
      </c>
      <c r="F5711" s="5" t="s">
        <v>42121</v>
      </c>
      <c r="G5711" s="5" t="s">
        <v>42122</v>
      </c>
      <c r="H5711" s="26">
        <v>29.5</v>
      </c>
      <c r="I5711" s="5"/>
      <c r="J5711" s="5" t="s">
        <v>29506</v>
      </c>
      <c r="K5711" s="5" t="s">
        <v>344</v>
      </c>
      <c r="L5711" s="5" t="s">
        <v>42123</v>
      </c>
      <c r="M5711" s="27">
        <v>16423711</v>
      </c>
      <c r="N5711" s="5" t="s">
        <v>57979</v>
      </c>
      <c r="O5711" s="5" t="str">
        <v>7703007980</v>
      </c>
      <c r="P5711" s="27">
        <v>18000000</v>
      </c>
      <c r="Q5711" s="5" t="s">
        <v>57981</v>
      </c>
      <c r="R5711" s="5"/>
      <c r="S5711" s="5" t="s">
        <v>49361</v>
      </c>
      <c r="T5711" s="28">
        <v>1928259000</v>
      </c>
      <c r="U5711" s="28"/>
      <c r="V5711" s="28">
        <v>1951116000</v>
      </c>
      <c r="W5711" s="28"/>
      <c r="X5711" s="28">
        <v>1726401000</v>
      </c>
      <c r="Y5711" s="28">
        <v>5917221000</v>
      </c>
      <c r="Z5711" s="28">
        <v>2697541000</v>
      </c>
      <c r="AA5711" s="28">
        <v>159820000</v>
      </c>
      <c r="AB5711" s="28"/>
      <c r="AC5711" s="28">
        <v>2674143000</v>
      </c>
      <c r="AD5711" s="28">
        <v>2718050000</v>
      </c>
      <c r="AE5711" s="28">
        <v>10618800000</v>
      </c>
      <c r="AF5711" s="28">
        <v>1825274000</v>
      </c>
      <c r="AG5711" s="11"/>
    </row>
    <row r="5712">
      <c r="A5712" s="7" t="s">
        <v>7316</v>
      </c>
      <c r="B5712" s="5" t="s">
        <v>15266</v>
      </c>
      <c r="C5712" s="5" t="s">
        <v>22944</v>
      </c>
      <c r="D5712" s="5" t="str">
        <v>772862896369</v>
      </c>
      <c r="E5712" s="0" t="e">
        <f>+7 (495) 1063060
+7 (495) 1321736
+7 (495) 7754740
+7 (495) 9671313
+7 (912) 8546580</f>
        <v>#NAME?</v>
      </c>
      <c r="F5712" s="5"/>
      <c r="G5712" s="5"/>
      <c r="H5712" s="26">
        <v>8.5</v>
      </c>
      <c r="I5712" s="5" t="s">
        <v>31772</v>
      </c>
      <c r="J5712" s="5" t="s">
        <v>502</v>
      </c>
      <c r="K5712" s="5" t="s">
        <v>355</v>
      </c>
      <c r="L5712" s="5"/>
      <c r="M5712" s="27">
        <v>2325099</v>
      </c>
      <c r="N5712" s="5"/>
      <c r="O5712" s="5" t="str">
        <v>7731477627</v>
      </c>
      <c r="P5712" s="27">
        <v>10000</v>
      </c>
      <c r="Q5712" s="5" t="s">
        <v>49021</v>
      </c>
      <c r="R5712" s="5"/>
      <c r="S5712" s="5" t="s">
        <v>57982</v>
      </c>
      <c r="T5712" s="28">
        <v>141349000</v>
      </c>
      <c r="U5712" s="28"/>
      <c r="V5712" s="28">
        <v>18520188000</v>
      </c>
      <c r="W5712" s="28"/>
      <c r="X5712" s="28">
        <v>118930000</v>
      </c>
      <c r="Y5712" s="28">
        <v>33223182000</v>
      </c>
      <c r="Z5712" s="28">
        <v>55290000</v>
      </c>
      <c r="AA5712" s="28">
        <v>13274851000</v>
      </c>
      <c r="AB5712" s="28"/>
      <c r="AC5712" s="28">
        <v>3433505000</v>
      </c>
      <c r="AD5712" s="28">
        <v>55300000</v>
      </c>
      <c r="AE5712" s="28">
        <v>4089358000</v>
      </c>
      <c r="AF5712" s="28">
        <v>1185045000</v>
      </c>
      <c r="AG5712" s="11"/>
    </row>
    <row r="5713">
      <c r="A5713" s="7" t="s">
        <v>7317</v>
      </c>
      <c r="B5713" s="5" t="s">
        <v>15267</v>
      </c>
      <c r="C5713" s="5" t="s">
        <v>22945</v>
      </c>
      <c r="D5713" s="5" t="str">
        <v>230214030166</v>
      </c>
      <c r="E5713" s="0" t="e">
        <f>+7 (918) 1717175
+7 (86162) 31793
+7 (988) 2455559
+7 (861) 2559371
+7 (921) 506767</f>
        <v>#NAME?</v>
      </c>
      <c r="F5713" s="5" t="s">
        <v>42124</v>
      </c>
      <c r="G5713" s="5"/>
      <c r="H5713" s="26">
        <v>20</v>
      </c>
      <c r="I5713" s="5" t="s">
        <v>42125</v>
      </c>
      <c r="J5713" s="5" t="s">
        <v>364</v>
      </c>
      <c r="K5713" s="5" t="s">
        <v>355</v>
      </c>
      <c r="L5713" s="5" t="s">
        <v>1557</v>
      </c>
      <c r="M5713" s="27">
        <v>16922575</v>
      </c>
      <c r="N5713" s="5" t="s">
        <v>49153</v>
      </c>
      <c r="O5713" s="5" t="str">
        <v>2310081363</v>
      </c>
      <c r="P5713" s="27">
        <v>33266400</v>
      </c>
      <c r="Q5713" s="5"/>
      <c r="R5713" s="5"/>
      <c r="S5713" s="5" t="s">
        <v>53269</v>
      </c>
      <c r="T5713" s="28">
        <v>771481000</v>
      </c>
      <c r="U5713" s="28">
        <v>329112000</v>
      </c>
      <c r="V5713" s="28">
        <v>642723000</v>
      </c>
      <c r="W5713" s="28">
        <v>330000000</v>
      </c>
      <c r="X5713" s="28">
        <v>20471000</v>
      </c>
      <c r="Y5713" s="28">
        <v>2676226000</v>
      </c>
      <c r="Z5713" s="28">
        <v>1261123000</v>
      </c>
      <c r="AA5713" s="28">
        <v>234389000</v>
      </c>
      <c r="AB5713" s="28">
        <v>19993000</v>
      </c>
      <c r="AC5713" s="28">
        <v>1057587000</v>
      </c>
      <c r="AD5713" s="28">
        <v>1294389000</v>
      </c>
      <c r="AE5713" s="28">
        <v>3804676000</v>
      </c>
      <c r="AF5713" s="28">
        <v>209218000</v>
      </c>
      <c r="AG5713" s="11"/>
    </row>
    <row r="5714">
      <c r="A5714" s="7" t="s">
        <v>7318</v>
      </c>
      <c r="B5714" s="5" t="s">
        <v>15268</v>
      </c>
      <c r="C5714" s="5" t="s">
        <v>22946</v>
      </c>
      <c r="D5714" s="5" t="str">
        <v>616185434266</v>
      </c>
      <c r="E5714" s="0" t="e">
        <f>+7 (908) 1878080
+7 (495) 4844797
+7 (8632) 689539</f>
        <v>#NAME?</v>
      </c>
      <c r="F5714" s="5" t="s">
        <v>42126</v>
      </c>
      <c r="G5714" s="5"/>
      <c r="H5714" s="26">
        <v>16</v>
      </c>
      <c r="I5714" s="5" t="s">
        <v>42127</v>
      </c>
      <c r="J5714" s="5" t="s">
        <v>364</v>
      </c>
      <c r="K5714" s="5" t="s">
        <v>344</v>
      </c>
      <c r="L5714" s="5"/>
      <c r="M5714" s="27">
        <v>7093714</v>
      </c>
      <c r="N5714" s="5" t="s">
        <v>57983</v>
      </c>
      <c r="O5714" s="5" t="str">
        <v>6168014188</v>
      </c>
      <c r="P5714" s="27">
        <v>1000000</v>
      </c>
      <c r="Q5714" s="5" t="s">
        <v>57984</v>
      </c>
      <c r="R5714" s="5"/>
      <c r="S5714" s="5" t="s">
        <v>57466</v>
      </c>
      <c r="T5714" s="28">
        <v>394932000</v>
      </c>
      <c r="U5714" s="28"/>
      <c r="V5714" s="28">
        <v>1367600000</v>
      </c>
      <c r="W5714" s="28"/>
      <c r="X5714" s="28">
        <v>717459000</v>
      </c>
      <c r="Y5714" s="28">
        <v>8686538000</v>
      </c>
      <c r="Z5714" s="28">
        <v>2333684000</v>
      </c>
      <c r="AA5714" s="28">
        <v>1749956000</v>
      </c>
      <c r="AB5714" s="28">
        <v>2472973000</v>
      </c>
      <c r="AC5714" s="28">
        <v>4479012000</v>
      </c>
      <c r="AD5714" s="28">
        <v>2334684000</v>
      </c>
      <c r="AE5714" s="28">
        <v>6637658000</v>
      </c>
      <c r="AF5714" s="28">
        <v>891331000</v>
      </c>
      <c r="AG5714" s="11"/>
    </row>
    <row r="5715">
      <c r="A5715" s="7" t="s">
        <v>7319</v>
      </c>
      <c r="B5715" s="5" t="s">
        <v>15269</v>
      </c>
      <c r="C5715" s="5" t="s">
        <v>22947</v>
      </c>
      <c r="D5715" s="5" t="str">
        <v>782615181958</v>
      </c>
      <c r="E5715" s="0" t="e">
        <f>+7 (495) 1392959
+7 (495) 2282288
+7 (495) 3144072
+7 (495) 3145965
+7 (495) 5378006
+7 (495) 5378007
+7 (495) 5378008
+7 (495) 5378009
+7 (495) 5378017
+7 (495) 5378018
+7 (495) 5378019
+7 (495) 9338812
+7 (499) 7376817
+7 (499) 7376818
+7 (925) 150435</f>
        <v>#NAME?</v>
      </c>
      <c r="F5715" s="5"/>
      <c r="G5715" s="5" t="s">
        <v>42128</v>
      </c>
      <c r="H5715" s="26">
        <v>21.5</v>
      </c>
      <c r="I5715" s="5"/>
      <c r="J5715" s="5" t="s">
        <v>27182</v>
      </c>
      <c r="K5715" s="5" t="s">
        <v>355</v>
      </c>
      <c r="L5715" s="5" t="s">
        <v>42129</v>
      </c>
      <c r="M5715" s="27">
        <v>8674016</v>
      </c>
      <c r="N5715" s="5" t="s">
        <v>50808</v>
      </c>
      <c r="O5715" s="5" t="str">
        <v>7709346940</v>
      </c>
      <c r="P5715" s="27">
        <v>1500057000</v>
      </c>
      <c r="Q5715" s="5" t="s">
        <v>49009</v>
      </c>
      <c r="R5715" s="5"/>
      <c r="S5715" s="5" t="s">
        <v>49045</v>
      </c>
      <c r="T5715" s="28">
        <v>116791000</v>
      </c>
      <c r="U5715" s="28">
        <v>28814592000</v>
      </c>
      <c r="V5715" s="28">
        <v>16761340000</v>
      </c>
      <c r="W5715" s="28"/>
      <c r="X5715" s="28">
        <v>61550000</v>
      </c>
      <c r="Y5715" s="28">
        <v>71936414000</v>
      </c>
      <c r="Z5715" s="28">
        <v>5032272000</v>
      </c>
      <c r="AA5715" s="28">
        <v>36535635000</v>
      </c>
      <c r="AB5715" s="28">
        <v>1360449000</v>
      </c>
      <c r="AC5715" s="28">
        <v>20521251000</v>
      </c>
      <c r="AD5715" s="28">
        <v>10207285000</v>
      </c>
      <c r="AE5715" s="28">
        <v>12039378000</v>
      </c>
      <c r="AF5715" s="28">
        <v>-1503854000</v>
      </c>
      <c r="AG5715" s="11"/>
    </row>
    <row r="5716">
      <c r="A5716" s="7" t="s">
        <v>7320</v>
      </c>
      <c r="B5716" s="5" t="s">
        <v>15270</v>
      </c>
      <c r="C5716" s="5" t="s">
        <v>22947</v>
      </c>
      <c r="D5716" s="5" t="str">
        <v>782615181958</v>
      </c>
      <c r="E5716" s="0" t="e">
        <f>+7 (495) 1392959
+7 (495) 1392950
+7 (495) 6204542</f>
        <v>#NAME?</v>
      </c>
      <c r="F5716" s="5"/>
      <c r="G5716" s="5" t="s">
        <v>42130</v>
      </c>
      <c r="H5716" s="26">
        <v>17.5</v>
      </c>
      <c r="I5716" s="5" t="s">
        <v>42131</v>
      </c>
      <c r="J5716" s="5" t="s">
        <v>27182</v>
      </c>
      <c r="K5716" s="5" t="s">
        <v>380</v>
      </c>
      <c r="L5716" s="5"/>
      <c r="M5716" s="27"/>
      <c r="N5716" s="5"/>
      <c r="O5716" s="5" t="str">
        <v>7725549175</v>
      </c>
      <c r="P5716" s="27">
        <v>361109249</v>
      </c>
      <c r="Q5716" s="5" t="s">
        <v>50809</v>
      </c>
      <c r="R5716" s="5"/>
      <c r="S5716" s="5" t="s">
        <v>51905</v>
      </c>
      <c r="T5716" s="28">
        <v>33552000</v>
      </c>
      <c r="U5716" s="28"/>
      <c r="V5716" s="28">
        <v>21127608000</v>
      </c>
      <c r="W5716" s="28"/>
      <c r="X5716" s="28">
        <v>6980066000</v>
      </c>
      <c r="Y5716" s="28">
        <v>79715445000</v>
      </c>
      <c r="Z5716" s="28">
        <v>7169527000</v>
      </c>
      <c r="AA5716" s="28">
        <v>21238235000</v>
      </c>
      <c r="AB5716" s="28">
        <v>4780038000</v>
      </c>
      <c r="AC5716" s="28">
        <v>34398087000</v>
      </c>
      <c r="AD5716" s="28">
        <v>8330556000</v>
      </c>
      <c r="AE5716" s="28">
        <v>11221075000</v>
      </c>
      <c r="AF5716" s="28">
        <v>3160876000</v>
      </c>
      <c r="AG5716" s="11"/>
    </row>
    <row r="5717">
      <c r="A5717" s="7" t="s">
        <v>7321</v>
      </c>
      <c r="B5717" s="5" t="s">
        <v>13366</v>
      </c>
      <c r="C5717" s="5" t="s">
        <v>19186</v>
      </c>
      <c r="D5717" s="5" t="str">
        <v>772134524324</v>
      </c>
      <c r="E5717" s="0" t="e">
        <f>+7 (916) 1948429</f>
        <v>#NAME?</v>
      </c>
      <c r="F5717" s="5"/>
      <c r="G5717" s="5" t="s">
        <v>42132</v>
      </c>
      <c r="H5717" s="26">
        <v>5</v>
      </c>
      <c r="I5717" s="5"/>
      <c r="J5717" s="5" t="s">
        <v>27182</v>
      </c>
      <c r="K5717" s="5" t="s">
        <v>355</v>
      </c>
      <c r="L5717" s="5"/>
      <c r="M5717" s="27"/>
      <c r="N5717" s="5"/>
      <c r="O5717" s="5" t="str">
        <v>7722442850</v>
      </c>
      <c r="P5717" s="27">
        <v>1500000</v>
      </c>
      <c r="Q5717" s="5" t="s">
        <v>49009</v>
      </c>
      <c r="R5717" s="5"/>
      <c r="S5717" s="5" t="s">
        <v>49010</v>
      </c>
      <c r="T5717" s="28">
        <v>47456000</v>
      </c>
      <c r="U5717" s="28"/>
      <c r="V5717" s="28">
        <v>4765060000</v>
      </c>
      <c r="W5717" s="28"/>
      <c r="X5717" s="28">
        <v>65626000</v>
      </c>
      <c r="Y5717" s="28">
        <v>19179892000</v>
      </c>
      <c r="Z5717" s="28">
        <v>2243502000</v>
      </c>
      <c r="AA5717" s="28">
        <v>6888606000</v>
      </c>
      <c r="AB5717" s="28"/>
      <c r="AC5717" s="28">
        <v>9875344000</v>
      </c>
      <c r="AD5717" s="28">
        <v>2245002000</v>
      </c>
      <c r="AE5717" s="28">
        <v>5129337000</v>
      </c>
      <c r="AF5717" s="28">
        <v>82870000</v>
      </c>
      <c r="AG5717" s="11"/>
    </row>
    <row r="5718">
      <c r="A5718" s="7" t="s">
        <v>7322</v>
      </c>
      <c r="B5718" s="5" t="s">
        <v>15271</v>
      </c>
      <c r="C5718" s="5" t="s">
        <v>22948</v>
      </c>
      <c r="D5718" s="5" t="str">
        <v>245201073993</v>
      </c>
      <c r="E5718" s="0" t="e">
        <f>+7 (391) 2190304
+7 (391) 2745919
+7 (391) 2749560
+7 (391) 2751725
+7 (391) 2779901</f>
        <v>#NAME?</v>
      </c>
      <c r="F5718" s="5"/>
      <c r="G5718" s="5"/>
      <c r="H5718" s="26">
        <v>18.5</v>
      </c>
      <c r="I5718" s="5" t="s">
        <v>42133</v>
      </c>
      <c r="J5718" s="5" t="s">
        <v>27182</v>
      </c>
      <c r="K5718" s="5" t="s">
        <v>344</v>
      </c>
      <c r="L5718" s="5" t="s">
        <v>32482</v>
      </c>
      <c r="M5718" s="27">
        <v>1710269</v>
      </c>
      <c r="N5718" s="5" t="s">
        <v>57985</v>
      </c>
      <c r="O5718" s="5" t="str">
        <v>2464057265</v>
      </c>
      <c r="P5718" s="27">
        <v>724280775</v>
      </c>
      <c r="Q5718" s="5"/>
      <c r="R5718" s="5" t="s">
        <v>57986</v>
      </c>
      <c r="S5718" s="5" t="s">
        <v>49047</v>
      </c>
      <c r="T5718" s="28">
        <v>1084945000</v>
      </c>
      <c r="U5718" s="28">
        <v>287975000</v>
      </c>
      <c r="V5718" s="28">
        <v>3989473000</v>
      </c>
      <c r="W5718" s="28">
        <v>650000</v>
      </c>
      <c r="X5718" s="28">
        <v>3647690000</v>
      </c>
      <c r="Y5718" s="28">
        <v>13848592000</v>
      </c>
      <c r="Z5718" s="28">
        <v>886065000</v>
      </c>
      <c r="AA5718" s="28">
        <v>6583302000</v>
      </c>
      <c r="AB5718" s="28">
        <v>668406000</v>
      </c>
      <c r="AC5718" s="28">
        <v>4040712000</v>
      </c>
      <c r="AD5718" s="28">
        <v>1620981000</v>
      </c>
      <c r="AE5718" s="28">
        <v>4011243000</v>
      </c>
      <c r="AF5718" s="28">
        <v>977327000</v>
      </c>
      <c r="AG5718" s="11"/>
    </row>
    <row r="5719">
      <c r="A5719" s="7" t="s">
        <v>7323</v>
      </c>
      <c r="B5719" s="5" t="s">
        <v>15272</v>
      </c>
      <c r="C5719" s="5" t="s">
        <v>22949</v>
      </c>
      <c r="D5719" s="5" t="str">
        <v>744919967607</v>
      </c>
      <c r="E5719" s="0" t="e">
        <f>+7 (495) 1044019
+7 (495) 1044105
+7 (495) 1045436
+7 (495) 1048813
+7 (495) 1322955
+7 (495) 1354932
+7 (495) 1811769
+7 (495) 1814354
+7 (495) 2554137
+7 (495) 2554843
+7 (495) 9671313
+7 (4986) 422408
+7 (916) 1611274</f>
        <v>#NAME?</v>
      </c>
      <c r="F5719" s="5"/>
      <c r="G5719" s="5"/>
      <c r="H5719" s="26">
        <v>10.5</v>
      </c>
      <c r="I5719" s="5" t="s">
        <v>31772</v>
      </c>
      <c r="J5719" s="5" t="s">
        <v>502</v>
      </c>
      <c r="K5719" s="5" t="s">
        <v>355</v>
      </c>
      <c r="L5719" s="5"/>
      <c r="M5719" s="27">
        <v>4209099</v>
      </c>
      <c r="N5719" s="5"/>
      <c r="O5719" s="5" t="str">
        <v>7723844961</v>
      </c>
      <c r="P5719" s="27">
        <v>10000</v>
      </c>
      <c r="Q5719" s="5" t="s">
        <v>57987</v>
      </c>
      <c r="R5719" s="5"/>
      <c r="S5719" s="5" t="s">
        <v>57988</v>
      </c>
      <c r="T5719" s="28">
        <v>310793000</v>
      </c>
      <c r="U5719" s="28">
        <v>4404000</v>
      </c>
      <c r="V5719" s="28">
        <v>28093821000</v>
      </c>
      <c r="W5719" s="28"/>
      <c r="X5719" s="28">
        <v>11678000</v>
      </c>
      <c r="Y5719" s="28">
        <v>48136464000</v>
      </c>
      <c r="Z5719" s="28">
        <v>-1349961000</v>
      </c>
      <c r="AA5719" s="28">
        <v>12459861000</v>
      </c>
      <c r="AB5719" s="28">
        <v>7138339000</v>
      </c>
      <c r="AC5719" s="28">
        <v>23861416000</v>
      </c>
      <c r="AD5719" s="28">
        <v>-1349951000</v>
      </c>
      <c r="AE5719" s="28">
        <v>3179021000</v>
      </c>
      <c r="AF5719" s="28">
        <v>597385000</v>
      </c>
      <c r="AG5719" s="11"/>
    </row>
    <row r="5720">
      <c r="A5720" s="7" t="s">
        <v>7324</v>
      </c>
      <c r="B5720" s="5" t="s">
        <v>15273</v>
      </c>
      <c r="C5720" s="5" t="s">
        <v>22950</v>
      </c>
      <c r="D5720" s="5" t="str">
        <v>772808549624</v>
      </c>
      <c r="E5720" s="0" t="e">
        <f>+7 (903) 5147583</f>
        <v>#NAME?</v>
      </c>
      <c r="F5720" s="5" t="s">
        <v>42134</v>
      </c>
      <c r="G5720" s="5" t="s">
        <v>42135</v>
      </c>
      <c r="H5720" s="26">
        <v>3.5</v>
      </c>
      <c r="I5720" s="5" t="s">
        <v>42136</v>
      </c>
      <c r="J5720" s="5" t="s">
        <v>42137</v>
      </c>
      <c r="K5720" s="5" t="s">
        <v>344</v>
      </c>
      <c r="L5720" s="5" t="s">
        <v>42138</v>
      </c>
      <c r="M5720" s="27"/>
      <c r="N5720" s="5"/>
      <c r="O5720" s="5" t="str">
        <v>7751163844</v>
      </c>
      <c r="P5720" s="27">
        <v>3000000</v>
      </c>
      <c r="Q5720" s="5" t="s">
        <v>57989</v>
      </c>
      <c r="R5720" s="5"/>
      <c r="S5720" s="5" t="s">
        <v>57990</v>
      </c>
      <c r="T5720" s="28">
        <v>1400074000</v>
      </c>
      <c r="U5720" s="28">
        <v>875000000</v>
      </c>
      <c r="V5720" s="28">
        <v>716457000</v>
      </c>
      <c r="W5720" s="28">
        <v>763000000</v>
      </c>
      <c r="X5720" s="28">
        <v>14125000</v>
      </c>
      <c r="Y5720" s="28">
        <v>9970947000</v>
      </c>
      <c r="Z5720" s="28">
        <v>3926643000</v>
      </c>
      <c r="AA5720" s="28">
        <v>4422478000</v>
      </c>
      <c r="AB5720" s="28">
        <v>180000</v>
      </c>
      <c r="AC5720" s="28">
        <v>1618775000</v>
      </c>
      <c r="AD5720" s="28">
        <v>3929643000</v>
      </c>
      <c r="AE5720" s="28">
        <v>12670380000</v>
      </c>
      <c r="AF5720" s="28">
        <v>4262681000</v>
      </c>
      <c r="AG5720" s="11"/>
    </row>
    <row r="5721">
      <c r="A5721" s="7" t="s">
        <v>7325</v>
      </c>
      <c r="B5721" s="5" t="s">
        <v>15274</v>
      </c>
      <c r="C5721" s="5" t="s">
        <v>22951</v>
      </c>
      <c r="D5721" s="5" t="str">
        <v>164608673907</v>
      </c>
      <c r="E5721" s="0" t="e">
        <f>+7 (495) 6915443
+7 (495) 6915901
+7 (495) 6916226
+7 (495) 6954539
+7 (495) 6915454</f>
        <v>#NAME?</v>
      </c>
      <c r="F5721" s="5" t="s">
        <v>42139</v>
      </c>
      <c r="G5721" s="5" t="s">
        <v>42140</v>
      </c>
      <c r="H5721" s="26">
        <v>29</v>
      </c>
      <c r="I5721" s="5"/>
      <c r="J5721" s="5" t="s">
        <v>364</v>
      </c>
      <c r="K5721" s="5" t="s">
        <v>344</v>
      </c>
      <c r="L5721" s="5" t="s">
        <v>42141</v>
      </c>
      <c r="M5721" s="27">
        <v>696945241</v>
      </c>
      <c r="N5721" s="5" t="s">
        <v>57991</v>
      </c>
      <c r="O5721" s="5" t="str">
        <v>7704676937</v>
      </c>
      <c r="P5721" s="27">
        <v>802838000</v>
      </c>
      <c r="Q5721" s="5" t="s">
        <v>57992</v>
      </c>
      <c r="R5721" s="5"/>
      <c r="S5721" s="5" t="s">
        <v>57993</v>
      </c>
      <c r="T5721" s="28">
        <v>127802000</v>
      </c>
      <c r="U5721" s="28">
        <v>41000</v>
      </c>
      <c r="V5721" s="28">
        <v>29274601000</v>
      </c>
      <c r="W5721" s="28">
        <v>216033000</v>
      </c>
      <c r="X5721" s="28">
        <v>854310000</v>
      </c>
      <c r="Y5721" s="28">
        <v>37742839000</v>
      </c>
      <c r="Z5721" s="28">
        <v>3328081000</v>
      </c>
      <c r="AA5721" s="28">
        <v>1426200000</v>
      </c>
      <c r="AB5721" s="28"/>
      <c r="AC5721" s="28">
        <v>31968590000</v>
      </c>
      <c r="AD5721" s="28">
        <v>4156289000</v>
      </c>
      <c r="AE5721" s="28">
        <v>5183440000</v>
      </c>
      <c r="AF5721" s="28">
        <v>418334000</v>
      </c>
      <c r="AG5721" s="11"/>
    </row>
    <row r="5722">
      <c r="A5722" s="7" t="s">
        <v>7326</v>
      </c>
      <c r="B5722" s="5" t="s">
        <v>15275</v>
      </c>
      <c r="C5722" s="5" t="s">
        <v>22952</v>
      </c>
      <c r="D5722" s="5" t="str">
        <v>272106269929</v>
      </c>
      <c r="E5722" s="0" t="e">
        <f>+7 (421) 2476391
+7 (914) 1580511</f>
        <v>#NAME?</v>
      </c>
      <c r="F5722" s="5" t="s">
        <v>42142</v>
      </c>
      <c r="G5722" s="5" t="s">
        <v>42143</v>
      </c>
      <c r="H5722" s="26">
        <v>4</v>
      </c>
      <c r="I5722" s="5" t="s">
        <v>42144</v>
      </c>
      <c r="J5722" s="5" t="s">
        <v>364</v>
      </c>
      <c r="K5722" s="5" t="s">
        <v>344</v>
      </c>
      <c r="L5722" s="5" t="s">
        <v>42145</v>
      </c>
      <c r="M5722" s="27"/>
      <c r="N5722" s="5" t="s">
        <v>49153</v>
      </c>
      <c r="O5722" s="5" t="str">
        <v>2721242190</v>
      </c>
      <c r="P5722" s="27">
        <v>1000000</v>
      </c>
      <c r="Q5722" s="5" t="s">
        <v>57994</v>
      </c>
      <c r="R5722" s="5"/>
      <c r="S5722" s="5" t="s">
        <v>55339</v>
      </c>
      <c r="T5722" s="28">
        <v>4199000</v>
      </c>
      <c r="U5722" s="28"/>
      <c r="V5722" s="28">
        <v>17670000</v>
      </c>
      <c r="W5722" s="28">
        <v>808200000</v>
      </c>
      <c r="X5722" s="28">
        <v>8517000</v>
      </c>
      <c r="Y5722" s="28">
        <v>1534700000</v>
      </c>
      <c r="Z5722" s="28">
        <v>546424000</v>
      </c>
      <c r="AA5722" s="28"/>
      <c r="AB5722" s="28"/>
      <c r="AC5722" s="28">
        <v>123942000</v>
      </c>
      <c r="AD5722" s="28">
        <v>547424000</v>
      </c>
      <c r="AE5722" s="28">
        <v>3600912000</v>
      </c>
      <c r="AF5722" s="28">
        <v>366275000</v>
      </c>
      <c r="AG5722" s="11"/>
    </row>
    <row r="5723">
      <c r="A5723" s="7" t="s">
        <v>7327</v>
      </c>
      <c r="B5723" s="5" t="s">
        <v>15276</v>
      </c>
      <c r="C5723" s="5" t="s">
        <v>22953</v>
      </c>
      <c r="D5723" s="5"/>
      <c r="E5723" s="0" t="e">
        <f>+7 (36565) 23736
+7 (36565) 21728
+7 (36565) 23436
+7 (36565) 23627
+7 (36565) 28010
+7 (36565) 28012
+7 (36565) 28014
+7 (36565) 28074
+7 (36565) 28100
+7 (36565) 28109
+7 (36565) 28150
+7 (36565) 28151
+7 (36565) 28310
+7 (36565) 28315
+7 (36565) 28320</f>
        <v>#NAME?</v>
      </c>
      <c r="F5723" s="5" t="s">
        <v>42146</v>
      </c>
      <c r="G5723" s="5" t="s">
        <v>42147</v>
      </c>
      <c r="H5723" s="26">
        <v>24.5</v>
      </c>
      <c r="I5723" s="5"/>
      <c r="J5723" s="5" t="s">
        <v>28418</v>
      </c>
      <c r="K5723" s="5" t="s">
        <v>355</v>
      </c>
      <c r="L5723" s="5"/>
      <c r="M5723" s="27">
        <v>483426580</v>
      </c>
      <c r="N5723" s="5" t="s">
        <v>57995</v>
      </c>
      <c r="O5723" s="5" t="str">
        <v>9106001900</v>
      </c>
      <c r="P5723" s="27">
        <v>645782221</v>
      </c>
      <c r="Q5723" s="5"/>
      <c r="R5723" s="5" t="s">
        <v>57996</v>
      </c>
      <c r="S5723" s="5" t="s">
        <v>49082</v>
      </c>
      <c r="T5723" s="28">
        <v>4726072000</v>
      </c>
      <c r="U5723" s="28">
        <v>2566872000</v>
      </c>
      <c r="V5723" s="28">
        <v>2859772000</v>
      </c>
      <c r="W5723" s="28"/>
      <c r="X5723" s="28">
        <v>14461000</v>
      </c>
      <c r="Y5723" s="28">
        <v>11694888000</v>
      </c>
      <c r="Z5723" s="28">
        <v>-332801000</v>
      </c>
      <c r="AA5723" s="28">
        <v>5989279000</v>
      </c>
      <c r="AB5723" s="28">
        <v>1719476000</v>
      </c>
      <c r="AC5723" s="28">
        <v>4755335000</v>
      </c>
      <c r="AD5723" s="28">
        <v>362602000</v>
      </c>
      <c r="AE5723" s="28">
        <v>11113043000</v>
      </c>
      <c r="AF5723" s="28">
        <v>997967000</v>
      </c>
      <c r="AG5723" s="11"/>
    </row>
    <row r="5724">
      <c r="A5724" s="7" t="s">
        <v>7328</v>
      </c>
      <c r="B5724" s="5" t="s">
        <v>15277</v>
      </c>
      <c r="C5724" s="5" t="s">
        <v>22954</v>
      </c>
      <c r="D5724" s="5" t="str">
        <v>260702050510</v>
      </c>
      <c r="E5724" s="0" t="e">
        <f>+7 (861) 9459303
+7 (800) 2341177
+7 (861) 2752001
+7 (861) 2758540
+7 (861) 2759002
+7 (861) 2771111
+7 (861) 2771212
+7 (861) 2772323
+7 (861) 2785564
+7 (964) 8973333
+7 (988) 7588788</f>
        <v>#NAME?</v>
      </c>
      <c r="F5724" s="5" t="s">
        <v>42148</v>
      </c>
      <c r="G5724" s="5" t="s">
        <v>42149</v>
      </c>
      <c r="H5724" s="26">
        <v>10</v>
      </c>
      <c r="I5724" s="5" t="s">
        <v>42150</v>
      </c>
      <c r="J5724" s="5" t="s">
        <v>1095</v>
      </c>
      <c r="K5724" s="5" t="s">
        <v>344</v>
      </c>
      <c r="L5724" s="5"/>
      <c r="M5724" s="27"/>
      <c r="N5724" s="5" t="s">
        <v>50052</v>
      </c>
      <c r="O5724" s="5" t="str">
        <v>2311152539</v>
      </c>
      <c r="P5724" s="27">
        <v>580053333</v>
      </c>
      <c r="Q5724" s="5"/>
      <c r="R5724" s="5" t="s">
        <v>55648</v>
      </c>
      <c r="S5724" s="5" t="s">
        <v>49110</v>
      </c>
      <c r="T5724" s="28">
        <v>47074000</v>
      </c>
      <c r="U5724" s="28"/>
      <c r="V5724" s="28">
        <v>379591000</v>
      </c>
      <c r="W5724" s="28">
        <v>124353000</v>
      </c>
      <c r="X5724" s="28">
        <v>3536231000</v>
      </c>
      <c r="Y5724" s="28">
        <v>8221844000</v>
      </c>
      <c r="Z5724" s="28">
        <v>2918464000</v>
      </c>
      <c r="AA5724" s="28">
        <v>2019399000</v>
      </c>
      <c r="AB5724" s="28">
        <v>653962000</v>
      </c>
      <c r="AC5724" s="28">
        <v>2702945000</v>
      </c>
      <c r="AD5724" s="28">
        <v>3498517000</v>
      </c>
      <c r="AE5724" s="28">
        <v>5146898000</v>
      </c>
      <c r="AF5724" s="28">
        <v>3160398000</v>
      </c>
      <c r="AG5724" s="11"/>
    </row>
    <row r="5725">
      <c r="A5725" s="7" t="s">
        <v>7329</v>
      </c>
      <c r="B5725" s="5" t="s">
        <v>15278</v>
      </c>
      <c r="C5725" s="5" t="s">
        <v>22955</v>
      </c>
      <c r="D5725" s="5" t="str">
        <v>470313929597</v>
      </c>
      <c r="E5725" s="0" t="e">
        <f>+7 (812) 2733267
+7 (812) 3138807
+7 (812) 6089058
+7 (812) 7089058</f>
        <v>#NAME?</v>
      </c>
      <c r="F5725" s="5" t="s">
        <v>42151</v>
      </c>
      <c r="G5725" s="5" t="s">
        <v>42152</v>
      </c>
      <c r="H5725" s="26">
        <v>14</v>
      </c>
      <c r="I5725" s="5" t="s">
        <v>42153</v>
      </c>
      <c r="J5725" s="5" t="s">
        <v>373</v>
      </c>
      <c r="K5725" s="5" t="s">
        <v>344</v>
      </c>
      <c r="L5725" s="5"/>
      <c r="M5725" s="27"/>
      <c r="N5725" s="5"/>
      <c r="O5725" s="5" t="str">
        <v>7805488305</v>
      </c>
      <c r="P5725" s="27">
        <v>10000</v>
      </c>
      <c r="Q5725" s="5" t="s">
        <v>49057</v>
      </c>
      <c r="R5725" s="5"/>
      <c r="S5725" s="5" t="s">
        <v>53811</v>
      </c>
      <c r="T5725" s="28"/>
      <c r="U5725" s="28"/>
      <c r="V5725" s="28">
        <v>281473000</v>
      </c>
      <c r="W5725" s="28">
        <v>18500000</v>
      </c>
      <c r="X5725" s="28">
        <v>1777000</v>
      </c>
      <c r="Y5725" s="28">
        <v>305023000</v>
      </c>
      <c r="Z5725" s="28">
        <v>41374000</v>
      </c>
      <c r="AA5725" s="28">
        <v>20000000</v>
      </c>
      <c r="AB5725" s="28"/>
      <c r="AC5725" s="28">
        <v>243639000</v>
      </c>
      <c r="AD5725" s="28">
        <v>41384000</v>
      </c>
      <c r="AE5725" s="28">
        <v>4137834000</v>
      </c>
      <c r="AF5725" s="28">
        <v>16078000</v>
      </c>
      <c r="AG5725" s="11"/>
    </row>
    <row r="5726">
      <c r="A5726" s="7" t="s">
        <v>7330</v>
      </c>
      <c r="B5726" s="5" t="s">
        <v>15279</v>
      </c>
      <c r="C5726" s="5" t="s">
        <v>22956</v>
      </c>
      <c r="D5726" s="5" t="str">
        <v>770802300436</v>
      </c>
      <c r="E5726" s="0" t="e">
        <f>+7 (495) 1209110
+7 (495) 7084204</f>
        <v>#NAME?</v>
      </c>
      <c r="F5726" s="5" t="s">
        <v>42154</v>
      </c>
      <c r="G5726" s="5" t="s">
        <v>42155</v>
      </c>
      <c r="H5726" s="26">
        <v>15.5</v>
      </c>
      <c r="I5726" s="5" t="s">
        <v>42156</v>
      </c>
      <c r="J5726" s="5" t="s">
        <v>1013</v>
      </c>
      <c r="K5726" s="5" t="s">
        <v>344</v>
      </c>
      <c r="L5726" s="5"/>
      <c r="M5726" s="27"/>
      <c r="N5726" s="5"/>
      <c r="O5726" s="5" t="str">
        <v>7709756135</v>
      </c>
      <c r="P5726" s="27">
        <v>2192000000</v>
      </c>
      <c r="Q5726" s="5" t="s">
        <v>49207</v>
      </c>
      <c r="R5726" s="5"/>
      <c r="S5726" s="5" t="s">
        <v>49311</v>
      </c>
      <c r="T5726" s="28">
        <v>57041055000</v>
      </c>
      <c r="U5726" s="28"/>
      <c r="V5726" s="28">
        <v>428680000</v>
      </c>
      <c r="W5726" s="28">
        <v>2045005000</v>
      </c>
      <c r="X5726" s="28">
        <v>10275116000</v>
      </c>
      <c r="Y5726" s="28">
        <v>72571301000</v>
      </c>
      <c r="Z5726" s="28">
        <v>5490910000</v>
      </c>
      <c r="AA5726" s="28">
        <v>38678978000</v>
      </c>
      <c r="AB5726" s="28">
        <v>2822099000</v>
      </c>
      <c r="AC5726" s="28">
        <v>3958106000</v>
      </c>
      <c r="AD5726" s="28">
        <v>7687211000</v>
      </c>
      <c r="AE5726" s="28">
        <v>7770296000</v>
      </c>
      <c r="AF5726" s="28">
        <v>1305945000</v>
      </c>
      <c r="AG5726" s="11"/>
    </row>
    <row r="5727">
      <c r="A5727" s="7" t="s">
        <v>7331</v>
      </c>
      <c r="B5727" s="5" t="s">
        <v>15280</v>
      </c>
      <c r="C5727" s="5" t="s">
        <v>22957</v>
      </c>
      <c r="D5727" s="5" t="str">
        <v>234101154376</v>
      </c>
      <c r="E5727" s="0" t="e">
        <f>+7 (86145) 34136
+7 (86145) 34142
+7 (86145) 58053
+7 (86145) 58109
+7 (86145) 58304
+7 (86145) 58395
+7 (86145) 58643
+7 (86145) 73400
+7 (86191) 43140
+7 (918) 1444097</f>
        <v>#NAME?</v>
      </c>
      <c r="F5727" s="5" t="s">
        <v>42157</v>
      </c>
      <c r="G5727" s="5" t="s">
        <v>42158</v>
      </c>
      <c r="H5727" s="26">
        <v>20.5</v>
      </c>
      <c r="I5727" s="5" t="s">
        <v>42159</v>
      </c>
      <c r="J5727" s="5" t="s">
        <v>25994</v>
      </c>
      <c r="K5727" s="5" t="s">
        <v>344</v>
      </c>
      <c r="L5727" s="5" t="s">
        <v>42160</v>
      </c>
      <c r="M5727" s="27">
        <v>16447056</v>
      </c>
      <c r="N5727" s="5" t="s">
        <v>52205</v>
      </c>
      <c r="O5727" s="5" t="str">
        <v>2341006687</v>
      </c>
      <c r="P5727" s="27">
        <v>3890000</v>
      </c>
      <c r="Q5727" s="5" t="s">
        <v>49009</v>
      </c>
      <c r="R5727" s="5"/>
      <c r="S5727" s="5" t="s">
        <v>49066</v>
      </c>
      <c r="T5727" s="28">
        <v>717981000</v>
      </c>
      <c r="U5727" s="28">
        <v>291722000</v>
      </c>
      <c r="V5727" s="28">
        <v>3621871000</v>
      </c>
      <c r="W5727" s="28"/>
      <c r="X5727" s="28">
        <v>543169000</v>
      </c>
      <c r="Y5727" s="28">
        <v>7578483000</v>
      </c>
      <c r="Z5727" s="28">
        <v>5117836000</v>
      </c>
      <c r="AA5727" s="28"/>
      <c r="AB5727" s="28"/>
      <c r="AC5727" s="28">
        <v>2272646000</v>
      </c>
      <c r="AD5727" s="28">
        <v>5160699000</v>
      </c>
      <c r="AE5727" s="28">
        <v>10139992000</v>
      </c>
      <c r="AF5727" s="28">
        <v>1821044000</v>
      </c>
      <c r="AG5727" s="11"/>
    </row>
    <row r="5728">
      <c r="A5728" s="7" t="s">
        <v>7332</v>
      </c>
      <c r="B5728" s="5" t="s">
        <v>15281</v>
      </c>
      <c r="C5728" s="5" t="s">
        <v>22958</v>
      </c>
      <c r="D5728" s="5" t="str">
        <v>262609441954</v>
      </c>
      <c r="E5728" s="0" t="e">
        <f>+7 (812) 4586870
+7 (812) 4270866
+7 (812) 4586868
+7 (812) 4586869</f>
        <v>#NAME?</v>
      </c>
      <c r="F5728" s="5" t="s">
        <v>42161</v>
      </c>
      <c r="G5728" s="5" t="s">
        <v>42162</v>
      </c>
      <c r="H5728" s="26">
        <v>17</v>
      </c>
      <c r="I5728" s="5"/>
      <c r="J5728" s="5" t="s">
        <v>27776</v>
      </c>
      <c r="K5728" s="5" t="s">
        <v>344</v>
      </c>
      <c r="L5728" s="5"/>
      <c r="M5728" s="27"/>
      <c r="N5728" s="5" t="s">
        <v>50284</v>
      </c>
      <c r="O5728" s="5" t="str">
        <v>7839330845</v>
      </c>
      <c r="P5728" s="27">
        <v>100000</v>
      </c>
      <c r="Q5728" s="5" t="s">
        <v>57998</v>
      </c>
      <c r="R5728" s="5" t="s">
        <v>57999</v>
      </c>
      <c r="S5728" s="5" t="s">
        <v>50191</v>
      </c>
      <c r="T5728" s="28">
        <v>1229605000</v>
      </c>
      <c r="U5728" s="28"/>
      <c r="V5728" s="28">
        <v>798978000</v>
      </c>
      <c r="W5728" s="28"/>
      <c r="X5728" s="28">
        <v>1610541000</v>
      </c>
      <c r="Y5728" s="28">
        <v>6390976000</v>
      </c>
      <c r="Z5728" s="28">
        <v>-615260000</v>
      </c>
      <c r="AA5728" s="28"/>
      <c r="AB5728" s="28"/>
      <c r="AC5728" s="28">
        <v>730497000</v>
      </c>
      <c r="AD5728" s="28">
        <v>-485714000</v>
      </c>
      <c r="AE5728" s="28">
        <v>8628377000</v>
      </c>
      <c r="AF5728" s="28">
        <v>354910000</v>
      </c>
      <c r="AG5728" s="11"/>
    </row>
    <row r="5729">
      <c r="A5729" s="7" t="s">
        <v>7333</v>
      </c>
      <c r="B5729" s="5" t="s">
        <v>15282</v>
      </c>
      <c r="C5729" s="5" t="s">
        <v>22959</v>
      </c>
      <c r="D5729" s="5" t="str">
        <v>780100313039</v>
      </c>
      <c r="E5729" s="0" t="e">
        <f>+7 (812) 3263190
+7 (812) 3266140
+7 (812) 3266141</f>
        <v>#NAME?</v>
      </c>
      <c r="F5729" s="5" t="s">
        <v>42163</v>
      </c>
      <c r="G5729" s="5" t="s">
        <v>42164</v>
      </c>
      <c r="H5729" s="26">
        <v>25.5</v>
      </c>
      <c r="I5729" s="5"/>
      <c r="J5729" s="5" t="s">
        <v>27906</v>
      </c>
      <c r="K5729" s="5" t="s">
        <v>344</v>
      </c>
      <c r="L5729" s="5" t="s">
        <v>42165</v>
      </c>
      <c r="M5729" s="27"/>
      <c r="N5729" s="5"/>
      <c r="O5729" s="5" t="str">
        <v>7802107840</v>
      </c>
      <c r="P5729" s="27">
        <v>213829000</v>
      </c>
      <c r="Q5729" s="5"/>
      <c r="R5729" s="5"/>
      <c r="S5729" s="5" t="s">
        <v>49029</v>
      </c>
      <c r="T5729" s="28">
        <v>677091000</v>
      </c>
      <c r="U5729" s="28"/>
      <c r="V5729" s="28">
        <v>959411000</v>
      </c>
      <c r="W5729" s="28"/>
      <c r="X5729" s="28">
        <v>367801000</v>
      </c>
      <c r="Y5729" s="28">
        <v>3113143000</v>
      </c>
      <c r="Z5729" s="28">
        <v>1013161000</v>
      </c>
      <c r="AA5729" s="28"/>
      <c r="AB5729" s="28">
        <v>1351022000</v>
      </c>
      <c r="AC5729" s="28">
        <v>1587318000</v>
      </c>
      <c r="AD5729" s="28">
        <v>1469200000</v>
      </c>
      <c r="AE5729" s="28">
        <v>4534505000</v>
      </c>
      <c r="AF5729" s="28">
        <v>402758000</v>
      </c>
      <c r="AG5729" s="11"/>
    </row>
    <row r="5730">
      <c r="A5730" s="7" t="s">
        <v>7334</v>
      </c>
      <c r="B5730" s="5" t="s">
        <v>15283</v>
      </c>
      <c r="C5730" s="5" t="s">
        <v>22960</v>
      </c>
      <c r="D5730" s="5" t="str">
        <v>782023527414</v>
      </c>
      <c r="E5730" s="0" t="e">
        <f>+7 (921) 9541271
+7 (812) 6110787</f>
        <v>#NAME?</v>
      </c>
      <c r="F5730" s="5"/>
      <c r="G5730" s="5"/>
      <c r="H5730" s="26">
        <v>10</v>
      </c>
      <c r="I5730" s="5" t="s">
        <v>42166</v>
      </c>
      <c r="J5730" s="5" t="s">
        <v>25190</v>
      </c>
      <c r="K5730" s="5" t="s">
        <v>344</v>
      </c>
      <c r="L5730" s="5" t="s">
        <v>42167</v>
      </c>
      <c r="M5730" s="27"/>
      <c r="N5730" s="5"/>
      <c r="O5730" s="5" t="str">
        <v>7810416024</v>
      </c>
      <c r="P5730" s="27">
        <v>250000</v>
      </c>
      <c r="Q5730" s="5" t="s">
        <v>58000</v>
      </c>
      <c r="R5730" s="5"/>
      <c r="S5730" s="5" t="s">
        <v>58001</v>
      </c>
      <c r="T5730" s="28">
        <v>103481000</v>
      </c>
      <c r="U5730" s="28"/>
      <c r="V5730" s="28">
        <v>664677000</v>
      </c>
      <c r="W5730" s="28">
        <v>1801000</v>
      </c>
      <c r="X5730" s="28">
        <v>84817000</v>
      </c>
      <c r="Y5730" s="28">
        <v>1362165000</v>
      </c>
      <c r="Z5730" s="28">
        <v>425591000</v>
      </c>
      <c r="AA5730" s="28"/>
      <c r="AB5730" s="28">
        <v>164369000</v>
      </c>
      <c r="AC5730" s="28">
        <v>883736000</v>
      </c>
      <c r="AD5730" s="28">
        <v>425841000</v>
      </c>
      <c r="AE5730" s="28">
        <v>5294701000</v>
      </c>
      <c r="AF5730" s="28">
        <v>155604000</v>
      </c>
      <c r="AG5730" s="11"/>
    </row>
    <row r="5731">
      <c r="A5731" s="7" t="s">
        <v>7335</v>
      </c>
      <c r="B5731" s="5" t="s">
        <v>15284</v>
      </c>
      <c r="C5731" s="5" t="s">
        <v>22961</v>
      </c>
      <c r="D5731" s="5" t="str">
        <v>782570994887</v>
      </c>
      <c r="E5731" s="0" t="e">
        <f>+7 (495) 2235129
+7 (495) 2235193
+7 (495) 2325623
+7 (495) 3325717
+7 (495) 9670000
+7 (495) 9670001
+7 (495) 9676000
+7 (495) 9676001
+7 (499) 9676000
+7 (903) 9612060
+7 (905) 5430907
+7 (985) 9975502</f>
        <v>#NAME?</v>
      </c>
      <c r="F5731" s="5" t="s">
        <v>42168</v>
      </c>
      <c r="G5731" s="5" t="s">
        <v>42169</v>
      </c>
      <c r="H5731" s="26">
        <v>13</v>
      </c>
      <c r="I5731" s="5" t="s">
        <v>42170</v>
      </c>
      <c r="J5731" s="5" t="s">
        <v>502</v>
      </c>
      <c r="K5731" s="5" t="s">
        <v>344</v>
      </c>
      <c r="L5731" s="5"/>
      <c r="M5731" s="27"/>
      <c r="N5731" s="5" t="s">
        <v>58002</v>
      </c>
      <c r="O5731" s="5" t="str">
        <v>7710764839</v>
      </c>
      <c r="P5731" s="27">
        <v>1000000</v>
      </c>
      <c r="Q5731" s="5" t="s">
        <v>58004</v>
      </c>
      <c r="R5731" s="5"/>
      <c r="S5731" s="5" t="s">
        <v>53232</v>
      </c>
      <c r="T5731" s="28">
        <v>226691000</v>
      </c>
      <c r="U5731" s="28">
        <v>292226000</v>
      </c>
      <c r="V5731" s="28">
        <v>2504815000</v>
      </c>
      <c r="W5731" s="28"/>
      <c r="X5731" s="28">
        <v>2461472000</v>
      </c>
      <c r="Y5731" s="28">
        <v>6744033000</v>
      </c>
      <c r="Z5731" s="28">
        <v>27963000</v>
      </c>
      <c r="AA5731" s="28">
        <v>653102000</v>
      </c>
      <c r="AB5731" s="28"/>
      <c r="AC5731" s="28">
        <v>4085563000</v>
      </c>
      <c r="AD5731" s="28">
        <v>1877054000</v>
      </c>
      <c r="AE5731" s="28">
        <v>9561580000</v>
      </c>
      <c r="AF5731" s="28">
        <v>662677000</v>
      </c>
      <c r="AG5731" s="11"/>
    </row>
    <row r="5732">
      <c r="A5732" s="7" t="s">
        <v>7336</v>
      </c>
      <c r="B5732" s="5" t="s">
        <v>15285</v>
      </c>
      <c r="C5732" s="5" t="s">
        <v>22962</v>
      </c>
      <c r="D5732" s="5" t="str">
        <v>780411650647</v>
      </c>
      <c r="E5732" s="0" t="e">
        <f>+7 (3472) 165487
+7 (495) 2574147
+7 (812) 2275544
+7 (812) 3247554
+7 (812) 3257544
+7 (812) 3271102
+7 (812) 3273747
+7 (812) 3275514
+7 (812) 3275555
+7 (812) 3276554
+7 (812) 3277554
+7 (812) 3285544
+7 (812) 4545646
+7 (812) 4546456
+7 (812) 3259520</f>
        <v>#NAME?</v>
      </c>
      <c r="F5732" s="5" t="s">
        <v>42171</v>
      </c>
      <c r="G5732" s="5"/>
      <c r="H5732" s="26">
        <v>26.5</v>
      </c>
      <c r="I5732" s="5" t="s">
        <v>42172</v>
      </c>
      <c r="J5732" s="5" t="s">
        <v>25429</v>
      </c>
      <c r="K5732" s="5" t="s">
        <v>344</v>
      </c>
      <c r="L5732" s="5" t="s">
        <v>42173</v>
      </c>
      <c r="M5732" s="27">
        <v>67853</v>
      </c>
      <c r="N5732" s="5" t="s">
        <v>58005</v>
      </c>
      <c r="O5732" s="5" t="str">
        <v>7805074390</v>
      </c>
      <c r="P5732" s="27">
        <v>10000</v>
      </c>
      <c r="Q5732" s="5" t="s">
        <v>58006</v>
      </c>
      <c r="R5732" s="5"/>
      <c r="S5732" s="5" t="s">
        <v>58007</v>
      </c>
      <c r="T5732" s="28">
        <v>21351000</v>
      </c>
      <c r="U5732" s="28"/>
      <c r="V5732" s="28">
        <v>1412301000</v>
      </c>
      <c r="W5732" s="28">
        <v>53127000</v>
      </c>
      <c r="X5732" s="28">
        <v>797322000</v>
      </c>
      <c r="Y5732" s="28">
        <v>3000201000</v>
      </c>
      <c r="Z5732" s="28">
        <v>736465000</v>
      </c>
      <c r="AA5732" s="28"/>
      <c r="AB5732" s="28"/>
      <c r="AC5732" s="28">
        <v>2263726000</v>
      </c>
      <c r="AD5732" s="28">
        <v>736475000</v>
      </c>
      <c r="AE5732" s="28">
        <v>5791082000</v>
      </c>
      <c r="AF5732" s="28">
        <v>484439000</v>
      </c>
      <c r="AG5732" s="11"/>
    </row>
    <row r="5733">
      <c r="A5733" s="7" t="s">
        <v>7337</v>
      </c>
      <c r="B5733" s="5" t="s">
        <v>15286</v>
      </c>
      <c r="C5733" s="5" t="s">
        <v>22963</v>
      </c>
      <c r="D5733" s="5" t="str">
        <v>663203884556</v>
      </c>
      <c r="E5733" s="0" t="e">
        <f>+7 (34269) 33200
+7 (343) 1564262
+7 (343) 1596221
+7 (34385) 42304
+7 (34385) 64235
+7 (34385) 64262
+7 (34385) 64263
+7 (34385) 96212
+7 (34385) 96245
+7 (34385) 96295</f>
        <v>#NAME?</v>
      </c>
      <c r="F5733" s="5" t="s">
        <v>42174</v>
      </c>
      <c r="G5733" s="5" t="s">
        <v>42175</v>
      </c>
      <c r="H5733" s="26">
        <v>30</v>
      </c>
      <c r="I5733" s="5" t="s">
        <v>42176</v>
      </c>
      <c r="J5733" s="5" t="s">
        <v>31498</v>
      </c>
      <c r="K5733" s="5" t="s">
        <v>344</v>
      </c>
      <c r="L5733" s="5" t="s">
        <v>42177</v>
      </c>
      <c r="M5733" s="27">
        <v>115038165</v>
      </c>
      <c r="N5733" s="5" t="s">
        <v>58008</v>
      </c>
      <c r="O5733" s="5" t="str">
        <v>6632001031</v>
      </c>
      <c r="P5733" s="27">
        <v>53461350</v>
      </c>
      <c r="Q5733" s="5"/>
      <c r="R5733" s="5" t="s">
        <v>56151</v>
      </c>
      <c r="S5733" s="5" t="s">
        <v>49121</v>
      </c>
      <c r="T5733" s="28">
        <v>6838275000</v>
      </c>
      <c r="U5733" s="28">
        <v>4468000</v>
      </c>
      <c r="V5733" s="28">
        <v>944036000</v>
      </c>
      <c r="W5733" s="28"/>
      <c r="X5733" s="28">
        <v>4279115000</v>
      </c>
      <c r="Y5733" s="28">
        <v>17195217000</v>
      </c>
      <c r="Z5733" s="28">
        <v>4171194000</v>
      </c>
      <c r="AA5733" s="28">
        <v>2410000000</v>
      </c>
      <c r="AB5733" s="28">
        <v>7256538000</v>
      </c>
      <c r="AC5733" s="28">
        <v>8932418000</v>
      </c>
      <c r="AD5733" s="28">
        <v>5444183000</v>
      </c>
      <c r="AE5733" s="28">
        <v>33575690000</v>
      </c>
      <c r="AF5733" s="28">
        <v>3788375000</v>
      </c>
      <c r="AG5733" s="11"/>
    </row>
    <row r="5734">
      <c r="A5734" s="7" t="s">
        <v>7338</v>
      </c>
      <c r="B5734" s="5" t="s">
        <v>15287</v>
      </c>
      <c r="C5734" s="5" t="s">
        <v>22964</v>
      </c>
      <c r="D5734" s="5" t="str">
        <v>550204979453</v>
      </c>
      <c r="E5734" s="0" t="e">
        <f>+7 (495) 4115593
+7 (495) 4115594
+7 (800) 5009480
+7 (81555) 27146
+7 (81555) 27189
+7 (81555) 27199
+7 (81555) 27288
+7 (81555) 27305
+7 (921) 460095</f>
        <v>#NAME?</v>
      </c>
      <c r="F5734" s="5" t="s">
        <v>42178</v>
      </c>
      <c r="G5734" s="5" t="s">
        <v>42179</v>
      </c>
      <c r="H5734" s="26">
        <v>17.5</v>
      </c>
      <c r="I5734" s="5"/>
      <c r="J5734" s="5" t="s">
        <v>42180</v>
      </c>
      <c r="K5734" s="5" t="s">
        <v>344</v>
      </c>
      <c r="L5734" s="5" t="s">
        <v>42181</v>
      </c>
      <c r="M5734" s="27">
        <v>13047320</v>
      </c>
      <c r="N5734" s="5"/>
      <c r="O5734" s="5" t="str">
        <v>7704566652</v>
      </c>
      <c r="P5734" s="27">
        <v>19099000000</v>
      </c>
      <c r="Q5734" s="5" t="s">
        <v>49059</v>
      </c>
      <c r="R5734" s="5"/>
      <c r="S5734" s="5" t="s">
        <v>49110</v>
      </c>
      <c r="T5734" s="28">
        <v>30571459000</v>
      </c>
      <c r="U5734" s="28"/>
      <c r="V5734" s="28">
        <v>466272000</v>
      </c>
      <c r="W5734" s="28"/>
      <c r="X5734" s="28">
        <v>489956000</v>
      </c>
      <c r="Y5734" s="28">
        <v>38796243000</v>
      </c>
      <c r="Z5734" s="28">
        <v>11119621000</v>
      </c>
      <c r="AA5734" s="28"/>
      <c r="AB5734" s="28">
        <v>1514385000</v>
      </c>
      <c r="AC5734" s="28">
        <v>6316206000</v>
      </c>
      <c r="AD5734" s="28">
        <v>30845882000</v>
      </c>
      <c r="AE5734" s="28">
        <v>19963165000</v>
      </c>
      <c r="AF5734" s="28">
        <v>4339672000</v>
      </c>
      <c r="AG5734" s="11"/>
    </row>
    <row r="5735">
      <c r="A5735" s="7" t="s">
        <v>7339</v>
      </c>
      <c r="B5735" s="5" t="s">
        <v>15288</v>
      </c>
      <c r="C5735" s="5" t="s">
        <v>22965</v>
      </c>
      <c r="D5735" s="5" t="str">
        <v>502904084890</v>
      </c>
      <c r="E5735" s="0" t="e">
        <f>+7 (495) 1206070</f>
        <v>#NAME?</v>
      </c>
      <c r="F5735" s="5"/>
      <c r="G5735" s="5" t="s">
        <v>42182</v>
      </c>
      <c r="H5735" s="26">
        <v>27</v>
      </c>
      <c r="I5735" s="5" t="s">
        <v>42183</v>
      </c>
      <c r="J5735" s="5" t="s">
        <v>678</v>
      </c>
      <c r="K5735" s="5" t="s">
        <v>344</v>
      </c>
      <c r="L5735" s="5" t="s">
        <v>42184</v>
      </c>
      <c r="M5735" s="27">
        <v>47415775</v>
      </c>
      <c r="N5735" s="5"/>
      <c r="O5735" s="5" t="str">
        <v>7825671563</v>
      </c>
      <c r="P5735" s="27">
        <v>10000</v>
      </c>
      <c r="Q5735" s="5"/>
      <c r="R5735" s="5"/>
      <c r="S5735" s="5" t="s">
        <v>49121</v>
      </c>
      <c r="T5735" s="28">
        <v>7291000</v>
      </c>
      <c r="U5735" s="28"/>
      <c r="V5735" s="28">
        <v>512699000</v>
      </c>
      <c r="W5735" s="28">
        <v>10471000</v>
      </c>
      <c r="X5735" s="28">
        <v>207205000</v>
      </c>
      <c r="Y5735" s="28">
        <v>761692000</v>
      </c>
      <c r="Z5735" s="28">
        <v>200148000</v>
      </c>
      <c r="AA5735" s="28"/>
      <c r="AB5735" s="28"/>
      <c r="AC5735" s="28">
        <v>555232000</v>
      </c>
      <c r="AD5735" s="28">
        <v>200184000</v>
      </c>
      <c r="AE5735" s="28">
        <v>6455105000</v>
      </c>
      <c r="AF5735" s="28">
        <v>102476000</v>
      </c>
      <c r="AG5735" s="11"/>
    </row>
    <row r="5736">
      <c r="A5736" s="7" t="s">
        <v>7340</v>
      </c>
      <c r="B5736" s="5" t="s">
        <v>15289</v>
      </c>
      <c r="C5736" s="5" t="s">
        <v>22966</v>
      </c>
      <c r="D5736" s="5" t="str">
        <v>254004090867</v>
      </c>
      <c r="E5736" s="0" t="e">
        <f>+7 (423) 2268105
+7 (914) 7091179
+7 (924) 4328228</f>
        <v>#NAME?</v>
      </c>
      <c r="F5736" s="5"/>
      <c r="G5736" s="5"/>
      <c r="H5736" s="26">
        <v>11</v>
      </c>
      <c r="I5736" s="5" t="s">
        <v>42185</v>
      </c>
      <c r="J5736" s="5" t="s">
        <v>373</v>
      </c>
      <c r="K5736" s="5" t="s">
        <v>344</v>
      </c>
      <c r="L5736" s="5" t="s">
        <v>42186</v>
      </c>
      <c r="M5736" s="27"/>
      <c r="N5736" s="5"/>
      <c r="O5736" s="5" t="str">
        <v>2536249515</v>
      </c>
      <c r="P5736" s="27">
        <v>10000</v>
      </c>
      <c r="Q5736" s="5" t="s">
        <v>49057</v>
      </c>
      <c r="R5736" s="5"/>
      <c r="S5736" s="5" t="s">
        <v>49452</v>
      </c>
      <c r="T5736" s="28">
        <v>101008000</v>
      </c>
      <c r="U5736" s="28"/>
      <c r="V5736" s="28">
        <v>1145793000</v>
      </c>
      <c r="W5736" s="28">
        <v>117593000</v>
      </c>
      <c r="X5736" s="28">
        <v>104626000</v>
      </c>
      <c r="Y5736" s="28">
        <v>1472879000</v>
      </c>
      <c r="Z5736" s="28">
        <v>293501000</v>
      </c>
      <c r="AA5736" s="28">
        <v>1605000</v>
      </c>
      <c r="AB5736" s="28">
        <v>3000</v>
      </c>
      <c r="AC5736" s="28">
        <v>1175407000</v>
      </c>
      <c r="AD5736" s="28">
        <v>293511000</v>
      </c>
      <c r="AE5736" s="28">
        <v>19574568000</v>
      </c>
      <c r="AF5736" s="28">
        <v>251528000</v>
      </c>
      <c r="AG5736" s="11"/>
    </row>
    <row r="5737">
      <c r="A5737" s="7" t="s">
        <v>7341</v>
      </c>
      <c r="B5737" s="5" t="s">
        <v>15290</v>
      </c>
      <c r="C5737" s="5" t="s">
        <v>22967</v>
      </c>
      <c r="D5737" s="5" t="str">
        <v>910214480186</v>
      </c>
      <c r="E5737" s="0" t="e">
        <f>+7 (495) 6859347
+7 (495) 6859675
+7 (495) 2801325
+7 (499) 2562424</f>
        <v>#NAME?</v>
      </c>
      <c r="F5737" s="5" t="s">
        <v>42187</v>
      </c>
      <c r="G5737" s="5" t="s">
        <v>42188</v>
      </c>
      <c r="H5737" s="26">
        <v>17.5</v>
      </c>
      <c r="I5737" s="5" t="s">
        <v>42189</v>
      </c>
      <c r="J5737" s="5" t="s">
        <v>1013</v>
      </c>
      <c r="K5737" s="5" t="s">
        <v>344</v>
      </c>
      <c r="L5737" s="5" t="s">
        <v>42190</v>
      </c>
      <c r="M5737" s="27"/>
      <c r="N5737" s="5"/>
      <c r="O5737" s="5" t="str">
        <v>7724545241</v>
      </c>
      <c r="P5737" s="27">
        <v>1000000</v>
      </c>
      <c r="Q5737" s="5" t="s">
        <v>49021</v>
      </c>
      <c r="R5737" s="5"/>
      <c r="S5737" s="5" t="s">
        <v>58009</v>
      </c>
      <c r="T5737" s="28">
        <v>101884000</v>
      </c>
      <c r="U5737" s="28">
        <v>21556000</v>
      </c>
      <c r="V5737" s="28">
        <v>4012415000</v>
      </c>
      <c r="W5737" s="28">
        <v>572900000</v>
      </c>
      <c r="X5737" s="28">
        <v>72236000</v>
      </c>
      <c r="Y5737" s="28">
        <v>7402079000</v>
      </c>
      <c r="Z5737" s="28">
        <v>1754576000</v>
      </c>
      <c r="AA5737" s="28"/>
      <c r="AB5737" s="28"/>
      <c r="AC5737" s="28">
        <v>5619158000</v>
      </c>
      <c r="AD5737" s="28">
        <v>1755576000</v>
      </c>
      <c r="AE5737" s="28">
        <v>10953411000</v>
      </c>
      <c r="AF5737" s="28">
        <v>1325450000</v>
      </c>
      <c r="AG5737" s="11"/>
    </row>
    <row r="5738">
      <c r="A5738" s="7" t="s">
        <v>7342</v>
      </c>
      <c r="B5738" s="5" t="s">
        <v>15291</v>
      </c>
      <c r="C5738" s="5" t="s">
        <v>22968</v>
      </c>
      <c r="D5738" s="5" t="str">
        <v>773713782840</v>
      </c>
      <c r="E5738" s="0" t="e">
        <f>+7 (499) 3116771
+7 (499) 3246576
+7 (499) 3249230</f>
        <v>#NAME?</v>
      </c>
      <c r="F5738" s="5"/>
      <c r="G5738" s="5" t="s">
        <v>42191</v>
      </c>
      <c r="H5738" s="26">
        <v>8.5</v>
      </c>
      <c r="I5738" s="5"/>
      <c r="J5738" s="5" t="s">
        <v>25429</v>
      </c>
      <c r="K5738" s="5" t="s">
        <v>344</v>
      </c>
      <c r="L5738" s="5"/>
      <c r="M5738" s="27"/>
      <c r="N5738" s="5"/>
      <c r="O5738" s="5" t="str">
        <v>7706811620</v>
      </c>
      <c r="P5738" s="27">
        <v>70000</v>
      </c>
      <c r="Q5738" s="5"/>
      <c r="R5738" s="5"/>
      <c r="S5738" s="5" t="s">
        <v>49110</v>
      </c>
      <c r="T5738" s="28">
        <v>13967000</v>
      </c>
      <c r="U5738" s="28">
        <v>935000</v>
      </c>
      <c r="V5738" s="28">
        <v>2112975000</v>
      </c>
      <c r="W5738" s="28"/>
      <c r="X5738" s="28">
        <v>140949000</v>
      </c>
      <c r="Y5738" s="28">
        <v>2876099000</v>
      </c>
      <c r="Z5738" s="28">
        <v>388053000</v>
      </c>
      <c r="AA5738" s="28"/>
      <c r="AB5738" s="28"/>
      <c r="AC5738" s="28">
        <v>2486117000</v>
      </c>
      <c r="AD5738" s="28">
        <v>388123000</v>
      </c>
      <c r="AE5738" s="28">
        <v>7471722000</v>
      </c>
      <c r="AF5738" s="28">
        <v>1108108000</v>
      </c>
      <c r="AG5738" s="11"/>
    </row>
    <row r="5739">
      <c r="A5739" s="7" t="s">
        <v>7343</v>
      </c>
      <c r="B5739" s="5" t="s">
        <v>15292</v>
      </c>
      <c r="C5739" s="5" t="s">
        <v>22969</v>
      </c>
      <c r="D5739" s="5" t="str">
        <v>164400843444</v>
      </c>
      <c r="E5739" s="0" t="e">
        <f>+7 (34246) 28111
+7 (34246) 29409
+7 (917) 2533167</f>
        <v>#NAME?</v>
      </c>
      <c r="F5739" s="5"/>
      <c r="G5739" s="5"/>
      <c r="H5739" s="26">
        <v>18.5</v>
      </c>
      <c r="I5739" s="5" t="s">
        <v>42192</v>
      </c>
      <c r="J5739" s="5" t="s">
        <v>26607</v>
      </c>
      <c r="K5739" s="5" t="s">
        <v>344</v>
      </c>
      <c r="L5739" s="5" t="s">
        <v>42193</v>
      </c>
      <c r="M5739" s="27"/>
      <c r="N5739" s="5"/>
      <c r="O5739" s="5" t="str">
        <v>5904113173</v>
      </c>
      <c r="P5739" s="27">
        <v>10000</v>
      </c>
      <c r="Q5739" s="5" t="s">
        <v>49009</v>
      </c>
      <c r="R5739" s="5"/>
      <c r="S5739" s="5" t="s">
        <v>49010</v>
      </c>
      <c r="T5739" s="28">
        <v>1563100000</v>
      </c>
      <c r="U5739" s="28"/>
      <c r="V5739" s="28">
        <v>9181000</v>
      </c>
      <c r="W5739" s="28">
        <v>152000000</v>
      </c>
      <c r="X5739" s="28">
        <v>9704000</v>
      </c>
      <c r="Y5739" s="28">
        <v>1874120000</v>
      </c>
      <c r="Z5739" s="28">
        <v>750229000</v>
      </c>
      <c r="AA5739" s="28">
        <v>297000000</v>
      </c>
      <c r="AB5739" s="28">
        <v>1682000</v>
      </c>
      <c r="AC5739" s="28">
        <v>584754000</v>
      </c>
      <c r="AD5739" s="28">
        <v>750239000</v>
      </c>
      <c r="AE5739" s="28">
        <v>4246291000</v>
      </c>
      <c r="AF5739" s="28">
        <v>417998000</v>
      </c>
      <c r="AG5739" s="11"/>
    </row>
    <row r="5740">
      <c r="A5740" s="7" t="s">
        <v>7344</v>
      </c>
      <c r="B5740" s="5" t="s">
        <v>15293</v>
      </c>
      <c r="C5740" s="5" t="s">
        <v>22970</v>
      </c>
      <c r="D5740" s="5" t="str">
        <v>774353542506</v>
      </c>
      <c r="F5740" s="5"/>
      <c r="G5740" s="5"/>
      <c r="H5740" s="26">
        <v>1</v>
      </c>
      <c r="I5740" s="5" t="s">
        <v>42194</v>
      </c>
      <c r="J5740" s="5" t="s">
        <v>25262</v>
      </c>
      <c r="K5740" s="5" t="s">
        <v>355</v>
      </c>
      <c r="L5740" s="5"/>
      <c r="M5740" s="27"/>
      <c r="N5740" s="5"/>
      <c r="O5740" s="5" t="str">
        <v>5024219506</v>
      </c>
      <c r="P5740" s="27">
        <v>3000000</v>
      </c>
      <c r="Q5740" s="5" t="s">
        <v>49207</v>
      </c>
      <c r="R5740" s="5"/>
      <c r="S5740" s="5" t="s">
        <v>49311</v>
      </c>
      <c r="T5740" s="28"/>
      <c r="U5740" s="28"/>
      <c r="V5740" s="28">
        <v>2885952000</v>
      </c>
      <c r="W5740" s="28"/>
      <c r="X5740" s="28">
        <v>2553000</v>
      </c>
      <c r="Y5740" s="28">
        <v>3009866000</v>
      </c>
      <c r="Z5740" s="28">
        <v>124583000</v>
      </c>
      <c r="AA5740" s="28"/>
      <c r="AB5740" s="28"/>
      <c r="AC5740" s="28">
        <v>2730282000</v>
      </c>
      <c r="AD5740" s="28">
        <v>127583000</v>
      </c>
      <c r="AE5740" s="28">
        <v>3427287000</v>
      </c>
      <c r="AF5740" s="28">
        <v>124583000</v>
      </c>
      <c r="AG5740" s="11"/>
    </row>
    <row r="5741">
      <c r="A5741" s="7" t="s">
        <v>7345</v>
      </c>
      <c r="B5741" s="5" t="s">
        <v>15294</v>
      </c>
      <c r="C5741" s="5" t="s">
        <v>22971</v>
      </c>
      <c r="D5741" s="5" t="str">
        <v>773015861788</v>
      </c>
      <c r="E5741" s="0" t="e">
        <f>+7 (916) 3484139
+7 (926) 4989088
+7 (985) 1115277</f>
        <v>#NAME?</v>
      </c>
      <c r="F5741" s="5" t="s">
        <v>42195</v>
      </c>
      <c r="G5741" s="5"/>
      <c r="H5741" s="26">
        <v>6.5</v>
      </c>
      <c r="I5741" s="5" t="s">
        <v>42196</v>
      </c>
      <c r="J5741" s="5" t="s">
        <v>27182</v>
      </c>
      <c r="K5741" s="5" t="s">
        <v>355</v>
      </c>
      <c r="L5741" s="5"/>
      <c r="M5741" s="27">
        <v>1547661025</v>
      </c>
      <c r="N5741" s="5" t="s">
        <v>55129</v>
      </c>
      <c r="O5741" s="5" t="str">
        <v>7730212723</v>
      </c>
      <c r="P5741" s="27">
        <v>13000000</v>
      </c>
      <c r="Q5741" s="5" t="s">
        <v>58010</v>
      </c>
      <c r="R5741" s="5"/>
      <c r="S5741" s="5" t="s">
        <v>58011</v>
      </c>
      <c r="T5741" s="28">
        <v>8267193000</v>
      </c>
      <c r="U5741" s="28">
        <v>121020000</v>
      </c>
      <c r="V5741" s="28">
        <v>22783075000</v>
      </c>
      <c r="W5741" s="28">
        <v>3115000</v>
      </c>
      <c r="X5741" s="28">
        <v>6960833000</v>
      </c>
      <c r="Y5741" s="28">
        <v>57706367000</v>
      </c>
      <c r="Z5741" s="28">
        <v>829300000</v>
      </c>
      <c r="AA5741" s="28">
        <v>5418573000</v>
      </c>
      <c r="AB5741" s="28">
        <v>1598552000</v>
      </c>
      <c r="AC5741" s="28">
        <v>50021299000</v>
      </c>
      <c r="AD5741" s="28">
        <v>842300000</v>
      </c>
      <c r="AE5741" s="28">
        <v>29708091000</v>
      </c>
      <c r="AF5741" s="28">
        <v>971485000</v>
      </c>
      <c r="AG5741" s="11"/>
    </row>
    <row r="5742">
      <c r="A5742" s="7" t="s">
        <v>7346</v>
      </c>
      <c r="B5742" s="5" t="s">
        <v>15295</v>
      </c>
      <c r="C5742" s="5" t="s">
        <v>22972</v>
      </c>
      <c r="D5742" s="5" t="str">
        <v>245903108774</v>
      </c>
      <c r="E5742" s="0" t="e">
        <f>+7 (38456) 34100
+7 (38456) 51910
+7 (38456) 97700
+7 (38456) 97704
+7 (38456) 97710
+7 (38456) 97711
+7 (38456) 97723
+7 (38456) 97726
+7 (38456) 97731
+7 (38456) 97732
+7 (38456) 97733
+7 (38456) 97735
+7 (38456) 97747
+7 (38456) 97749
+7 (38456) 97752</f>
        <v>#NAME?</v>
      </c>
      <c r="F5742" s="5" t="s">
        <v>42197</v>
      </c>
      <c r="G5742" s="5" t="s">
        <v>42198</v>
      </c>
      <c r="H5742" s="26">
        <v>30.5</v>
      </c>
      <c r="I5742" s="5" t="s">
        <v>42199</v>
      </c>
      <c r="J5742" s="5" t="s">
        <v>27991</v>
      </c>
      <c r="K5742" s="5" t="s">
        <v>344</v>
      </c>
      <c r="L5742" s="5"/>
      <c r="M5742" s="27"/>
      <c r="N5742" s="5"/>
      <c r="O5742" s="5" t="str">
        <v>4212002310</v>
      </c>
      <c r="P5742" s="27">
        <v>420000</v>
      </c>
      <c r="Q5742" s="5"/>
      <c r="R5742" s="5"/>
      <c r="S5742" s="5" t="s">
        <v>49053</v>
      </c>
      <c r="T5742" s="28">
        <v>905258000</v>
      </c>
      <c r="U5742" s="28"/>
      <c r="V5742" s="28">
        <v>2288594000</v>
      </c>
      <c r="W5742" s="28"/>
      <c r="X5742" s="28">
        <v>11898000</v>
      </c>
      <c r="Y5742" s="28">
        <v>4623374000</v>
      </c>
      <c r="Z5742" s="28">
        <v>802199000</v>
      </c>
      <c r="AA5742" s="28">
        <v>28541000</v>
      </c>
      <c r="AB5742" s="28">
        <v>740465000</v>
      </c>
      <c r="AC5742" s="28">
        <v>3665645000</v>
      </c>
      <c r="AD5742" s="28">
        <v>806325000</v>
      </c>
      <c r="AE5742" s="28">
        <v>5367850000</v>
      </c>
      <c r="AF5742" s="28">
        <v>314784000</v>
      </c>
      <c r="AG5742" s="11"/>
    </row>
    <row r="5743">
      <c r="A5743" s="7" t="s">
        <v>7347</v>
      </c>
      <c r="B5743" s="5" t="s">
        <v>15296</v>
      </c>
      <c r="C5743" s="5" t="s">
        <v>22973</v>
      </c>
      <c r="D5743" s="5" t="str">
        <v>540507896471</v>
      </c>
      <c r="E5743" s="0" t="e">
        <f>+7 (383) 3630996
+7 (913) 7459264
+7 (929) 3365224
+7 (383) 3632573</f>
        <v>#NAME?</v>
      </c>
      <c r="F5743" s="5" t="s">
        <v>42200</v>
      </c>
      <c r="G5743" s="5" t="s">
        <v>42201</v>
      </c>
      <c r="H5743" s="26">
        <v>23.5</v>
      </c>
      <c r="I5743" s="5" t="s">
        <v>42202</v>
      </c>
      <c r="J5743" s="5" t="s">
        <v>25429</v>
      </c>
      <c r="K5743" s="5" t="s">
        <v>344</v>
      </c>
      <c r="L5743" s="5" t="s">
        <v>37752</v>
      </c>
      <c r="M5743" s="27"/>
      <c r="N5743" s="5" t="s">
        <v>58012</v>
      </c>
      <c r="O5743" s="5" t="str">
        <v>5433135448</v>
      </c>
      <c r="P5743" s="27">
        <v>10000</v>
      </c>
      <c r="Q5743" s="5" t="s">
        <v>49579</v>
      </c>
      <c r="R5743" s="5"/>
      <c r="S5743" s="5" t="s">
        <v>50125</v>
      </c>
      <c r="T5743" s="28">
        <v>47341000</v>
      </c>
      <c r="U5743" s="28"/>
      <c r="V5743" s="28">
        <v>493117000</v>
      </c>
      <c r="W5743" s="28">
        <v>192306000</v>
      </c>
      <c r="X5743" s="28">
        <v>6727000</v>
      </c>
      <c r="Y5743" s="28">
        <v>1245666000</v>
      </c>
      <c r="Z5743" s="28">
        <v>1040258000</v>
      </c>
      <c r="AA5743" s="28"/>
      <c r="AB5743" s="28"/>
      <c r="AC5743" s="28">
        <v>205240000</v>
      </c>
      <c r="AD5743" s="28">
        <v>1040268000</v>
      </c>
      <c r="AE5743" s="28">
        <v>3254207000</v>
      </c>
      <c r="AF5743" s="28">
        <v>284556000</v>
      </c>
      <c r="AG5743" s="11"/>
    </row>
    <row r="5744">
      <c r="A5744" s="7" t="s">
        <v>7348</v>
      </c>
      <c r="B5744" s="5" t="s">
        <v>9899</v>
      </c>
      <c r="C5744" s="5" t="s">
        <v>22974</v>
      </c>
      <c r="D5744" s="5" t="str">
        <v>702100300603</v>
      </c>
      <c r="E5744" s="0" t="e">
        <f>+7 (343) 3453880
+7 (382) 2900099
+7 (382) 2902320</f>
        <v>#NAME?</v>
      </c>
      <c r="F5744" s="5" t="s">
        <v>42203</v>
      </c>
      <c r="G5744" s="5" t="s">
        <v>42204</v>
      </c>
      <c r="H5744" s="26">
        <v>23</v>
      </c>
      <c r="I5744" s="5"/>
      <c r="J5744" s="5" t="s">
        <v>25371</v>
      </c>
      <c r="K5744" s="5" t="s">
        <v>355</v>
      </c>
      <c r="L5744" s="5" t="s">
        <v>42205</v>
      </c>
      <c r="M5744" s="27">
        <v>13193834</v>
      </c>
      <c r="N5744" s="5"/>
      <c r="O5744" s="5" t="str">
        <v>7017012254</v>
      </c>
      <c r="P5744" s="27">
        <v>94000</v>
      </c>
      <c r="Q5744" s="5" t="s">
        <v>58013</v>
      </c>
      <c r="R5744" s="5"/>
      <c r="S5744" s="5" t="s">
        <v>49723</v>
      </c>
      <c r="T5744" s="28">
        <v>8506238000</v>
      </c>
      <c r="U5744" s="28">
        <v>20476954000</v>
      </c>
      <c r="V5744" s="28">
        <v>8030790000</v>
      </c>
      <c r="W5744" s="28">
        <v>3366121000</v>
      </c>
      <c r="X5744" s="28">
        <v>90334000</v>
      </c>
      <c r="Y5744" s="28">
        <v>43558325000</v>
      </c>
      <c r="Z5744" s="28">
        <v>10507615000</v>
      </c>
      <c r="AA5744" s="28">
        <v>18295352000</v>
      </c>
      <c r="AB5744" s="28">
        <v>10445484000</v>
      </c>
      <c r="AC5744" s="28">
        <v>13692244000</v>
      </c>
      <c r="AD5744" s="28">
        <v>9997297000</v>
      </c>
      <c r="AE5744" s="28">
        <v>14973150000</v>
      </c>
      <c r="AF5744" s="28">
        <v>2200353000</v>
      </c>
      <c r="AG5744" s="11"/>
    </row>
    <row r="5745">
      <c r="A5745" s="7" t="s">
        <v>7349</v>
      </c>
      <c r="B5745" s="5" t="s">
        <v>15297</v>
      </c>
      <c r="C5745" s="5" t="s">
        <v>22975</v>
      </c>
      <c r="D5745" s="5" t="str">
        <v>720308538080</v>
      </c>
      <c r="E5745" s="0" t="e">
        <f>+7 (345) 2771451
+7 (345) 2625048</f>
        <v>#NAME?</v>
      </c>
      <c r="F5745" s="5" t="s">
        <v>42206</v>
      </c>
      <c r="G5745" s="5" t="s">
        <v>42207</v>
      </c>
      <c r="H5745" s="26">
        <v>15.5</v>
      </c>
      <c r="I5745" s="5" t="s">
        <v>42208</v>
      </c>
      <c r="J5745" s="5" t="s">
        <v>25321</v>
      </c>
      <c r="K5745" s="5" t="s">
        <v>355</v>
      </c>
      <c r="L5745" s="5" t="s">
        <v>42209</v>
      </c>
      <c r="M5745" s="27">
        <v>10911453</v>
      </c>
      <c r="N5745" s="5" t="s">
        <v>58014</v>
      </c>
      <c r="O5745" s="5" t="str">
        <v>7224035764</v>
      </c>
      <c r="P5745" s="27">
        <v>1000000</v>
      </c>
      <c r="Q5745" s="5" t="s">
        <v>58015</v>
      </c>
      <c r="R5745" s="5"/>
      <c r="S5745" s="5" t="s">
        <v>58016</v>
      </c>
      <c r="T5745" s="28">
        <v>496214000</v>
      </c>
      <c r="U5745" s="28"/>
      <c r="V5745" s="28">
        <v>132621000</v>
      </c>
      <c r="W5745" s="28">
        <v>250000000</v>
      </c>
      <c r="X5745" s="28">
        <v>3748000</v>
      </c>
      <c r="Y5745" s="28">
        <v>1553581000</v>
      </c>
      <c r="Z5745" s="28">
        <v>570022000</v>
      </c>
      <c r="AA5745" s="28"/>
      <c r="AB5745" s="28">
        <v>230178000</v>
      </c>
      <c r="AC5745" s="28">
        <v>873808000</v>
      </c>
      <c r="AD5745" s="28">
        <v>571022000</v>
      </c>
      <c r="AE5745" s="28">
        <v>3128079000</v>
      </c>
      <c r="AF5745" s="28">
        <v>66124000</v>
      </c>
      <c r="AG5745" s="11"/>
    </row>
    <row r="5746">
      <c r="A5746" s="7" t="s">
        <v>7350</v>
      </c>
      <c r="B5746" s="5" t="s">
        <v>15298</v>
      </c>
      <c r="C5746" s="5" t="s">
        <v>22976</v>
      </c>
      <c r="D5746" s="5" t="str">
        <v>720316195750</v>
      </c>
      <c r="E5746" s="0" t="e">
        <f>+7 (345) 2348308
+7 (345) 2568584
+7 (908) 8733906</f>
        <v>#NAME?</v>
      </c>
      <c r="F5746" s="5" t="s">
        <v>42210</v>
      </c>
      <c r="G5746" s="5"/>
      <c r="H5746" s="26">
        <v>10</v>
      </c>
      <c r="I5746" s="5" t="s">
        <v>42211</v>
      </c>
      <c r="J5746" s="5" t="s">
        <v>42212</v>
      </c>
      <c r="K5746" s="5" t="s">
        <v>344</v>
      </c>
      <c r="L5746" s="5" t="s">
        <v>42213</v>
      </c>
      <c r="M5746" s="27"/>
      <c r="N5746" s="5"/>
      <c r="O5746" s="5" t="str">
        <v>7204186388</v>
      </c>
      <c r="P5746" s="27">
        <v>930000</v>
      </c>
      <c r="Q5746" s="5" t="s">
        <v>49009</v>
      </c>
      <c r="R5746" s="5" t="s">
        <v>58017</v>
      </c>
      <c r="S5746" s="5" t="s">
        <v>49066</v>
      </c>
      <c r="T5746" s="28">
        <v>518900000</v>
      </c>
      <c r="U5746" s="28">
        <v>47177000</v>
      </c>
      <c r="V5746" s="28">
        <v>1311011000</v>
      </c>
      <c r="W5746" s="28">
        <v>2497000</v>
      </c>
      <c r="X5746" s="28">
        <v>655075000</v>
      </c>
      <c r="Y5746" s="28">
        <v>2867807000</v>
      </c>
      <c r="Z5746" s="28">
        <v>1299101000</v>
      </c>
      <c r="AA5746" s="28"/>
      <c r="AB5746" s="28"/>
      <c r="AC5746" s="28">
        <v>1448491000</v>
      </c>
      <c r="AD5746" s="28">
        <v>1361305000</v>
      </c>
      <c r="AE5746" s="28">
        <v>6826402000</v>
      </c>
      <c r="AF5746" s="28">
        <v>414193000</v>
      </c>
      <c r="AG5746" s="11"/>
    </row>
    <row r="5747">
      <c r="A5747" s="7" t="s">
        <v>7351</v>
      </c>
      <c r="B5747" s="5" t="s">
        <v>15299</v>
      </c>
      <c r="C5747" s="5" t="s">
        <v>22977</v>
      </c>
      <c r="D5747" s="5" t="str">
        <v>772496810661</v>
      </c>
      <c r="E5747" s="0" t="e">
        <f>+7 (917) 5330516
+7 (926) 3956412</f>
        <v>#NAME?</v>
      </c>
      <c r="F5747" s="5" t="s">
        <v>42214</v>
      </c>
      <c r="G5747" s="5"/>
      <c r="H5747" s="26">
        <v>7</v>
      </c>
      <c r="I5747" s="5" t="s">
        <v>42215</v>
      </c>
      <c r="J5747" s="5" t="s">
        <v>364</v>
      </c>
      <c r="K5747" s="5" t="s">
        <v>355</v>
      </c>
      <c r="L5747" s="5" t="s">
        <v>42216</v>
      </c>
      <c r="M5747" s="27">
        <v>39010153</v>
      </c>
      <c r="N5747" s="5"/>
      <c r="O5747" s="5" t="str">
        <v>7751017681</v>
      </c>
      <c r="P5747" s="27">
        <v>50000</v>
      </c>
      <c r="Q5747" s="5"/>
      <c r="R5747" s="5" t="s">
        <v>58018</v>
      </c>
      <c r="S5747" s="5" t="s">
        <v>49121</v>
      </c>
      <c r="T5747" s="28">
        <v>3913000</v>
      </c>
      <c r="U5747" s="28">
        <v>287000000</v>
      </c>
      <c r="V5747" s="28">
        <v>2759009000</v>
      </c>
      <c r="W5747" s="28">
        <v>1276521000</v>
      </c>
      <c r="X5747" s="28">
        <v>1519000</v>
      </c>
      <c r="Y5747" s="28">
        <v>4491683000</v>
      </c>
      <c r="Z5747" s="28">
        <v>1159612000</v>
      </c>
      <c r="AA5747" s="28"/>
      <c r="AB5747" s="28">
        <v>78635000</v>
      </c>
      <c r="AC5747" s="28">
        <v>3331405000</v>
      </c>
      <c r="AD5747" s="28">
        <v>1159662000</v>
      </c>
      <c r="AE5747" s="28">
        <v>4594566000</v>
      </c>
      <c r="AF5747" s="28">
        <v>937015000</v>
      </c>
      <c r="AG5747" s="11"/>
    </row>
    <row r="5748">
      <c r="A5748" s="7" t="s">
        <v>7352</v>
      </c>
      <c r="B5748" s="5" t="s">
        <v>15300</v>
      </c>
      <c r="C5748" s="5" t="s">
        <v>22978</v>
      </c>
      <c r="D5748" s="5" t="str">
        <v>540405348268</v>
      </c>
      <c r="E5748" s="0" t="e">
        <f>+7 (383) 3002228
+7 (383) 3002236
+7 (383) 2043793
+7 (383) 2411611
+7 (383) 2930010
+7 (383) 3002183
+7 (383) 3002196
+7 (383) 3002210
+7 (383) 3002223
+7 (383) 3002237
+7 (383) 3002252
+7 (383) 3002260
+7 (383) 3002263
+7 (383) 3002264
+7 (383) 3002269</f>
        <v>#NAME?</v>
      </c>
      <c r="F5748" s="5" t="s">
        <v>42217</v>
      </c>
      <c r="G5748" s="5" t="s">
        <v>42218</v>
      </c>
      <c r="H5748" s="26">
        <v>30</v>
      </c>
      <c r="I5748" s="5"/>
      <c r="J5748" s="5" t="s">
        <v>27147</v>
      </c>
      <c r="K5748" s="5" t="s">
        <v>344</v>
      </c>
      <c r="L5748" s="5" t="s">
        <v>42219</v>
      </c>
      <c r="M5748" s="27"/>
      <c r="N5748" s="5" t="s">
        <v>51175</v>
      </c>
      <c r="O5748" s="5" t="str">
        <v>5404105343</v>
      </c>
      <c r="P5748" s="27">
        <v>160550000</v>
      </c>
      <c r="Q5748" s="5" t="s">
        <v>49134</v>
      </c>
      <c r="R5748" s="5"/>
      <c r="S5748" s="5" t="s">
        <v>58019</v>
      </c>
      <c r="T5748" s="28">
        <v>811263000</v>
      </c>
      <c r="U5748" s="28">
        <v>35691000</v>
      </c>
      <c r="V5748" s="28">
        <v>2143493000</v>
      </c>
      <c r="W5748" s="28">
        <v>34876000</v>
      </c>
      <c r="X5748" s="28">
        <v>214677000</v>
      </c>
      <c r="Y5748" s="28">
        <v>6156190000</v>
      </c>
      <c r="Z5748" s="28">
        <v>4733534000</v>
      </c>
      <c r="AA5748" s="28">
        <v>120000000</v>
      </c>
      <c r="AB5748" s="28">
        <v>418767000</v>
      </c>
      <c r="AC5748" s="28">
        <v>940295000</v>
      </c>
      <c r="AD5748" s="28">
        <v>5031185000</v>
      </c>
      <c r="AE5748" s="28">
        <v>8224222000</v>
      </c>
      <c r="AF5748" s="28">
        <v>1557174000</v>
      </c>
      <c r="AG5748" s="11"/>
    </row>
    <row r="5749">
      <c r="A5749" s="7" t="s">
        <v>7353</v>
      </c>
      <c r="B5749" s="5" t="s">
        <v>15301</v>
      </c>
      <c r="C5749" s="5" t="s">
        <v>22979</v>
      </c>
      <c r="D5749" s="5" t="str">
        <v>701404454201</v>
      </c>
      <c r="E5749" s="0" t="e">
        <f>+7 (382) 2910023</f>
        <v>#NAME?</v>
      </c>
      <c r="F5749" s="5"/>
      <c r="G5749" s="5"/>
      <c r="H5749" s="26">
        <v>9</v>
      </c>
      <c r="I5749" s="5" t="s">
        <v>42220</v>
      </c>
      <c r="J5749" s="5" t="s">
        <v>364</v>
      </c>
      <c r="K5749" s="5" t="s">
        <v>344</v>
      </c>
      <c r="L5749" s="5" t="s">
        <v>42221</v>
      </c>
      <c r="M5749" s="27"/>
      <c r="N5749" s="5" t="s">
        <v>58020</v>
      </c>
      <c r="O5749" s="5" t="str">
        <v>7017343591</v>
      </c>
      <c r="P5749" s="27">
        <v>200000</v>
      </c>
      <c r="Q5749" s="5" t="s">
        <v>58021</v>
      </c>
      <c r="R5749" s="5"/>
      <c r="S5749" s="5" t="s">
        <v>58022</v>
      </c>
      <c r="T5749" s="28">
        <v>882453000</v>
      </c>
      <c r="U5749" s="28"/>
      <c r="V5749" s="28">
        <v>2400785000</v>
      </c>
      <c r="W5749" s="28">
        <v>449018000</v>
      </c>
      <c r="X5749" s="28">
        <v>471000</v>
      </c>
      <c r="Y5749" s="28">
        <v>6648858000</v>
      </c>
      <c r="Z5749" s="28">
        <v>2377082000</v>
      </c>
      <c r="AA5749" s="28">
        <v>287158000</v>
      </c>
      <c r="AB5749" s="28">
        <v>334213000</v>
      </c>
      <c r="AC5749" s="28">
        <v>2414521000</v>
      </c>
      <c r="AD5749" s="28">
        <v>2377282000</v>
      </c>
      <c r="AE5749" s="28">
        <v>3419200000</v>
      </c>
      <c r="AF5749" s="28">
        <v>678996000</v>
      </c>
      <c r="AG5749" s="11"/>
    </row>
    <row r="5750">
      <c r="A5750" s="7" t="s">
        <v>7354</v>
      </c>
      <c r="B5750" s="5" t="s">
        <v>15302</v>
      </c>
      <c r="C5750" s="5" t="s">
        <v>22980</v>
      </c>
      <c r="D5750" s="5" t="str">
        <v>772630407949</v>
      </c>
      <c r="E5750" s="0" t="e">
        <f>+7 (495) 7871596</f>
        <v>#NAME?</v>
      </c>
      <c r="F5750" s="5" t="s">
        <v>42222</v>
      </c>
      <c r="G5750" s="5" t="s">
        <v>42223</v>
      </c>
      <c r="H5750" s="26">
        <v>13.5</v>
      </c>
      <c r="I5750" s="5" t="s">
        <v>42224</v>
      </c>
      <c r="J5750" s="5" t="s">
        <v>42225</v>
      </c>
      <c r="K5750" s="5" t="s">
        <v>355</v>
      </c>
      <c r="L5750" s="5" t="s">
        <v>42226</v>
      </c>
      <c r="M5750" s="27">
        <v>1190627</v>
      </c>
      <c r="N5750" s="5" t="s">
        <v>58023</v>
      </c>
      <c r="O5750" s="5" t="str">
        <v>7709832989</v>
      </c>
      <c r="P5750" s="27">
        <v>21412077000</v>
      </c>
      <c r="Q5750" s="5" t="s">
        <v>58025</v>
      </c>
      <c r="R5750" s="5"/>
      <c r="S5750" s="5" t="s">
        <v>58026</v>
      </c>
      <c r="T5750" s="28">
        <v>868672000</v>
      </c>
      <c r="U5750" s="28">
        <v>94430235000</v>
      </c>
      <c r="V5750" s="28">
        <v>3148517000</v>
      </c>
      <c r="W5750" s="28">
        <v>115587308000</v>
      </c>
      <c r="X5750" s="28">
        <v>2125000</v>
      </c>
      <c r="Y5750" s="28">
        <v>215050257000</v>
      </c>
      <c r="Z5750" s="28">
        <v>78598062000</v>
      </c>
      <c r="AA5750" s="28">
        <v>36456213000</v>
      </c>
      <c r="AB5750" s="28">
        <v>12603133000</v>
      </c>
      <c r="AC5750" s="28">
        <v>69377439000</v>
      </c>
      <c r="AD5750" s="28">
        <v>108812769000</v>
      </c>
      <c r="AE5750" s="28">
        <v>6071580000</v>
      </c>
      <c r="AF5750" s="28">
        <v>8721869000</v>
      </c>
      <c r="AG5750" s="11"/>
    </row>
    <row r="5751">
      <c r="A5751" s="7" t="s">
        <v>7355</v>
      </c>
      <c r="B5751" s="5" t="s">
        <v>15303</v>
      </c>
      <c r="C5751" s="5" t="s">
        <v>22523</v>
      </c>
      <c r="D5751" s="5"/>
      <c r="F5751" s="5"/>
      <c r="G5751" s="5"/>
      <c r="H5751" s="26">
        <v>6.5</v>
      </c>
      <c r="I5751" s="5" t="s">
        <v>42227</v>
      </c>
      <c r="J5751" s="5" t="s">
        <v>1081</v>
      </c>
      <c r="K5751" s="5" t="s">
        <v>344</v>
      </c>
      <c r="L5751" s="5"/>
      <c r="M5751" s="27"/>
      <c r="N5751" s="5"/>
      <c r="O5751" s="5" t="str">
        <v>5407956575</v>
      </c>
      <c r="P5751" s="27">
        <v>50000000</v>
      </c>
      <c r="Q5751" s="5" t="s">
        <v>49009</v>
      </c>
      <c r="R5751" s="5"/>
      <c r="S5751" s="5" t="s">
        <v>49010</v>
      </c>
      <c r="T5751" s="28">
        <v>81214000</v>
      </c>
      <c r="U5751" s="28"/>
      <c r="V5751" s="28">
        <v>21364652000</v>
      </c>
      <c r="W5751" s="28"/>
      <c r="X5751" s="28">
        <v>7576244000</v>
      </c>
      <c r="Y5751" s="28">
        <v>31823612000</v>
      </c>
      <c r="Z5751" s="28">
        <v>17400000</v>
      </c>
      <c r="AA5751" s="28">
        <v>5936995000</v>
      </c>
      <c r="AB5751" s="28">
        <v>199927000</v>
      </c>
      <c r="AC5751" s="28">
        <v>25303697000</v>
      </c>
      <c r="AD5751" s="28">
        <v>497400000</v>
      </c>
      <c r="AE5751" s="28">
        <v>6860668000</v>
      </c>
      <c r="AF5751" s="28">
        <v>8125000</v>
      </c>
      <c r="AG5751" s="11"/>
    </row>
    <row r="5752">
      <c r="A5752" s="7" t="s">
        <v>7356</v>
      </c>
      <c r="B5752" s="5" t="s">
        <v>15304</v>
      </c>
      <c r="C5752" s="5" t="s">
        <v>20053</v>
      </c>
      <c r="D5752" s="5"/>
      <c r="E5752" s="0" t="e">
        <f>+7 (38347) 21318
+7 (38347) 45218</f>
        <v>#NAME?</v>
      </c>
      <c r="F5752" s="5" t="s">
        <v>42228</v>
      </c>
      <c r="G5752" s="5"/>
      <c r="H5752" s="26">
        <v>17</v>
      </c>
      <c r="I5752" s="5" t="s">
        <v>42229</v>
      </c>
      <c r="J5752" s="5" t="s">
        <v>25901</v>
      </c>
      <c r="K5752" s="5" t="s">
        <v>344</v>
      </c>
      <c r="L5752" s="5"/>
      <c r="M5752" s="27"/>
      <c r="N5752" s="5"/>
      <c r="O5752" s="5" t="str">
        <v>5431207898</v>
      </c>
      <c r="P5752" s="27">
        <v>31095770</v>
      </c>
      <c r="Q5752" s="5"/>
      <c r="R5752" s="5"/>
      <c r="S5752" s="5" t="s">
        <v>49425</v>
      </c>
      <c r="T5752" s="28">
        <v>10692781000</v>
      </c>
      <c r="U5752" s="28">
        <v>4252216000</v>
      </c>
      <c r="V5752" s="28">
        <v>6301087000</v>
      </c>
      <c r="W5752" s="28">
        <v>141000</v>
      </c>
      <c r="X5752" s="28">
        <v>1041000</v>
      </c>
      <c r="Y5752" s="28">
        <v>23663026000</v>
      </c>
      <c r="Z5752" s="28">
        <v>2692454000</v>
      </c>
      <c r="AA5752" s="28">
        <v>16485522000</v>
      </c>
      <c r="AB5752" s="28">
        <v>1595136000</v>
      </c>
      <c r="AC5752" s="28">
        <v>3023268000</v>
      </c>
      <c r="AD5752" s="28">
        <v>2809720000</v>
      </c>
      <c r="AE5752" s="28">
        <v>8682124000</v>
      </c>
      <c r="AF5752" s="28">
        <v>1241197000</v>
      </c>
      <c r="AG5752" s="11"/>
    </row>
    <row r="5753">
      <c r="A5753" s="7" t="s">
        <v>7357</v>
      </c>
      <c r="B5753" s="5" t="s">
        <v>15305</v>
      </c>
      <c r="C5753" s="5" t="s">
        <v>22981</v>
      </c>
      <c r="D5753" s="5" t="str">
        <v>540606575447</v>
      </c>
      <c r="E5753" s="0" t="e">
        <f>+7 (382) 2589999
+7 (382) 2607591
+7 (382) 2607664
+7 (382) 2607851</f>
        <v>#NAME?</v>
      </c>
      <c r="F5753" s="5"/>
      <c r="G5753" s="5"/>
      <c r="H5753" s="26">
        <v>4.5</v>
      </c>
      <c r="I5753" s="5" t="s">
        <v>42230</v>
      </c>
      <c r="J5753" s="5" t="s">
        <v>25812</v>
      </c>
      <c r="K5753" s="5" t="s">
        <v>344</v>
      </c>
      <c r="L5753" s="5" t="s">
        <v>42231</v>
      </c>
      <c r="M5753" s="27"/>
      <c r="N5753" s="5"/>
      <c r="O5753" s="5" t="str">
        <v>5443027547</v>
      </c>
      <c r="P5753" s="27">
        <v>10000</v>
      </c>
      <c r="Q5753" s="5" t="s">
        <v>49059</v>
      </c>
      <c r="R5753" s="5"/>
      <c r="S5753" s="5" t="s">
        <v>49066</v>
      </c>
      <c r="T5753" s="28">
        <v>1000889000</v>
      </c>
      <c r="U5753" s="28"/>
      <c r="V5753" s="28">
        <v>957925000</v>
      </c>
      <c r="W5753" s="28"/>
      <c r="X5753" s="28">
        <v>18034000</v>
      </c>
      <c r="Y5753" s="28">
        <v>3029444000</v>
      </c>
      <c r="Z5753" s="28">
        <v>619071000</v>
      </c>
      <c r="AA5753" s="28">
        <v>883023000</v>
      </c>
      <c r="AB5753" s="28">
        <v>1436454000</v>
      </c>
      <c r="AC5753" s="28">
        <v>1526665000</v>
      </c>
      <c r="AD5753" s="28">
        <v>619081000</v>
      </c>
      <c r="AE5753" s="28">
        <v>3101182000</v>
      </c>
      <c r="AF5753" s="28">
        <v>230456000</v>
      </c>
      <c r="AG5753" s="11"/>
    </row>
    <row r="5754">
      <c r="A5754" s="7" t="s">
        <v>7358</v>
      </c>
      <c r="B5754" s="5" t="s">
        <v>15306</v>
      </c>
      <c r="C5754" s="5" t="s">
        <v>22982</v>
      </c>
      <c r="D5754" s="5" t="str">
        <v>550504906657</v>
      </c>
      <c r="E5754" s="0" t="e">
        <f>+7 (381) 2374557
+7 (381) 2374567
+7 (385) 2374567</f>
        <v>#NAME?</v>
      </c>
      <c r="F5754" s="5" t="s">
        <v>42232</v>
      </c>
      <c r="G5754" s="5" t="s">
        <v>42233</v>
      </c>
      <c r="H5754" s="26">
        <v>13</v>
      </c>
      <c r="I5754" s="5" t="s">
        <v>42234</v>
      </c>
      <c r="J5754" s="5" t="s">
        <v>31454</v>
      </c>
      <c r="K5754" s="5" t="s">
        <v>355</v>
      </c>
      <c r="L5754" s="5"/>
      <c r="M5754" s="27"/>
      <c r="N5754" s="5"/>
      <c r="O5754" s="5" t="str">
        <v>7743779157</v>
      </c>
      <c r="P5754" s="27">
        <v>50010000</v>
      </c>
      <c r="Q5754" s="5"/>
      <c r="R5754" s="5"/>
      <c r="S5754" s="5" t="s">
        <v>49425</v>
      </c>
      <c r="T5754" s="28">
        <v>513246000</v>
      </c>
      <c r="U5754" s="28">
        <v>426996000</v>
      </c>
      <c r="V5754" s="28">
        <v>1762261000</v>
      </c>
      <c r="W5754" s="28">
        <v>48200000</v>
      </c>
      <c r="X5754" s="28">
        <v>94099000</v>
      </c>
      <c r="Y5754" s="28">
        <v>3192260000</v>
      </c>
      <c r="Z5754" s="28">
        <v>-23561000</v>
      </c>
      <c r="AA5754" s="28">
        <v>316000000</v>
      </c>
      <c r="AB5754" s="28">
        <v>2268000</v>
      </c>
      <c r="AC5754" s="28">
        <v>2646472000</v>
      </c>
      <c r="AD5754" s="28">
        <v>26449000</v>
      </c>
      <c r="AE5754" s="28">
        <v>5873129000</v>
      </c>
      <c r="AF5754" s="28">
        <v>85223000</v>
      </c>
      <c r="AG5754" s="11"/>
    </row>
    <row r="5755">
      <c r="A5755" s="7" t="s">
        <v>7359</v>
      </c>
      <c r="B5755" s="5" t="s">
        <v>15307</v>
      </c>
      <c r="C5755" s="5" t="s">
        <v>20262</v>
      </c>
      <c r="D5755" s="5"/>
      <c r="E5755" s="0" t="e">
        <f>+7 (383) 2931466
+7 (383) 3635318
+7 (383) 3636166
+7 (383) 3636201
+7 (383) 3636261</f>
        <v>#NAME?</v>
      </c>
      <c r="F5755" s="5" t="s">
        <v>42235</v>
      </c>
      <c r="G5755" s="5"/>
      <c r="H5755" s="26">
        <v>18</v>
      </c>
      <c r="I5755" s="5" t="s">
        <v>42236</v>
      </c>
      <c r="J5755" s="5" t="s">
        <v>25788</v>
      </c>
      <c r="K5755" s="5" t="s">
        <v>344</v>
      </c>
      <c r="L5755" s="5" t="s">
        <v>42237</v>
      </c>
      <c r="M5755" s="27"/>
      <c r="N5755" s="5"/>
      <c r="O5755" s="5" t="str">
        <v>5402194877</v>
      </c>
      <c r="P5755" s="27">
        <v>10000</v>
      </c>
      <c r="Q5755" s="5" t="s">
        <v>49009</v>
      </c>
      <c r="R5755" s="5"/>
      <c r="S5755" s="5" t="s">
        <v>49408</v>
      </c>
      <c r="T5755" s="28">
        <v>409133000</v>
      </c>
      <c r="U5755" s="28"/>
      <c r="V5755" s="28">
        <v>854252000</v>
      </c>
      <c r="W5755" s="28"/>
      <c r="X5755" s="28">
        <v>287000</v>
      </c>
      <c r="Y5755" s="28">
        <v>1500598000</v>
      </c>
      <c r="Z5755" s="28">
        <v>421692000</v>
      </c>
      <c r="AA5755" s="28">
        <v>284294000</v>
      </c>
      <c r="AB5755" s="28">
        <v>51662000</v>
      </c>
      <c r="AC5755" s="28">
        <v>766036000</v>
      </c>
      <c r="AD5755" s="28">
        <v>421702000</v>
      </c>
      <c r="AE5755" s="28">
        <v>5073197000</v>
      </c>
      <c r="AF5755" s="28">
        <v>251866000</v>
      </c>
      <c r="AG5755" s="11"/>
    </row>
    <row r="5756">
      <c r="A5756" s="7" t="s">
        <v>7360</v>
      </c>
      <c r="B5756" s="5" t="s">
        <v>15308</v>
      </c>
      <c r="C5756" s="5" t="s">
        <v>17879</v>
      </c>
      <c r="D5756" s="5" t="str">
        <v>221000226537</v>
      </c>
      <c r="E5756" s="0" t="e">
        <f>+7 (383) 2791204
+7 (383) 3638095
+7 (905) 9323395
+7 (983) 1357181
+7 (383) 2062626
+7 (383) 2626762
+7 (383) 3474014
+7 (913) 7742222
+7 (913) 9866429</f>
        <v>#NAME?</v>
      </c>
      <c r="F5756" s="5" t="s">
        <v>42238</v>
      </c>
      <c r="G5756" s="5" t="s">
        <v>42239</v>
      </c>
      <c r="H5756" s="26">
        <v>12.5</v>
      </c>
      <c r="I5756" s="5" t="s">
        <v>42240</v>
      </c>
      <c r="J5756" s="5" t="s">
        <v>25253</v>
      </c>
      <c r="K5756" s="5" t="s">
        <v>344</v>
      </c>
      <c r="L5756" s="5"/>
      <c r="M5756" s="27">
        <v>2918661</v>
      </c>
      <c r="N5756" s="5" t="s">
        <v>58028</v>
      </c>
      <c r="O5756" s="5" t="str">
        <v>5405421912</v>
      </c>
      <c r="P5756" s="27">
        <v>20000</v>
      </c>
      <c r="Q5756" s="5"/>
      <c r="R5756" s="5"/>
      <c r="S5756" s="5" t="s">
        <v>53269</v>
      </c>
      <c r="T5756" s="28">
        <v>29227000</v>
      </c>
      <c r="U5756" s="28"/>
      <c r="V5756" s="28">
        <v>605951000</v>
      </c>
      <c r="W5756" s="28">
        <v>168457000</v>
      </c>
      <c r="X5756" s="28">
        <v>34000</v>
      </c>
      <c r="Y5756" s="28">
        <v>1017575000</v>
      </c>
      <c r="Z5756" s="28">
        <v>514195000</v>
      </c>
      <c r="AA5756" s="28"/>
      <c r="AB5756" s="28">
        <v>329833000</v>
      </c>
      <c r="AC5756" s="28">
        <v>503095000</v>
      </c>
      <c r="AD5756" s="28">
        <v>514215000</v>
      </c>
      <c r="AE5756" s="28">
        <v>4099646000</v>
      </c>
      <c r="AF5756" s="28">
        <v>46356000</v>
      </c>
      <c r="AG5756" s="11"/>
    </row>
    <row r="5757">
      <c r="A5757" s="7" t="s">
        <v>7361</v>
      </c>
      <c r="B5757" s="5" t="s">
        <v>15309</v>
      </c>
      <c r="C5757" s="5" t="s">
        <v>22983</v>
      </c>
      <c r="D5757" s="5" t="str">
        <v>860200925162</v>
      </c>
      <c r="E5757" s="0" t="e">
        <f>+7 (345) 2236722
+7 (345) 2561716
+7 (345) 2562026
+7 (346) 2225194
+7 (346) 2516277</f>
        <v>#NAME?</v>
      </c>
      <c r="F5757" s="5" t="s">
        <v>42241</v>
      </c>
      <c r="G5757" s="5" t="s">
        <v>42242</v>
      </c>
      <c r="H5757" s="26">
        <v>11.5</v>
      </c>
      <c r="I5757" s="5" t="s">
        <v>42243</v>
      </c>
      <c r="J5757" s="5" t="s">
        <v>26799</v>
      </c>
      <c r="K5757" s="5" t="s">
        <v>344</v>
      </c>
      <c r="L5757" s="5" t="s">
        <v>42244</v>
      </c>
      <c r="M5757" s="27"/>
      <c r="N5757" s="5"/>
      <c r="O5757" s="5" t="str">
        <v>8602185748</v>
      </c>
      <c r="P5757" s="27">
        <v>10000</v>
      </c>
      <c r="Q5757" s="5" t="s">
        <v>49009</v>
      </c>
      <c r="R5757" s="5"/>
      <c r="S5757" s="5" t="s">
        <v>49358</v>
      </c>
      <c r="T5757" s="28">
        <v>875068000</v>
      </c>
      <c r="U5757" s="28"/>
      <c r="V5757" s="28">
        <v>4070693000</v>
      </c>
      <c r="W5757" s="28">
        <v>560411000</v>
      </c>
      <c r="X5757" s="28">
        <v>2362179000</v>
      </c>
      <c r="Y5757" s="28">
        <v>8635313000</v>
      </c>
      <c r="Z5757" s="28">
        <v>3798050000</v>
      </c>
      <c r="AA5757" s="28"/>
      <c r="AB5757" s="28"/>
      <c r="AC5757" s="28">
        <v>4733672000</v>
      </c>
      <c r="AD5757" s="28">
        <v>3798060000</v>
      </c>
      <c r="AE5757" s="28">
        <v>9149716000</v>
      </c>
      <c r="AF5757" s="28">
        <v>2043029000</v>
      </c>
      <c r="AG5757" s="11"/>
    </row>
    <row r="5758">
      <c r="A5758" s="7" t="s">
        <v>1259</v>
      </c>
      <c r="B5758" s="5" t="s">
        <v>15310</v>
      </c>
      <c r="C5758" s="5" t="s">
        <v>22984</v>
      </c>
      <c r="D5758" s="5" t="str">
        <v>770205751001</v>
      </c>
      <c r="E5758" s="0" t="e">
        <f>+7 (495) 6082027
+7 (474) 2797095
+7 (495) 7869639
+7 (495) 7969639
+7 (495) 7969640
+7 (495) 7969641
+7 (495) 9267757</f>
        <v>#NAME?</v>
      </c>
      <c r="F5758" s="5" t="s">
        <v>42245</v>
      </c>
      <c r="G5758" s="5" t="s">
        <v>42246</v>
      </c>
      <c r="H5758" s="26">
        <v>20.5</v>
      </c>
      <c r="I5758" s="5" t="s">
        <v>42247</v>
      </c>
      <c r="J5758" s="5" t="s">
        <v>27956</v>
      </c>
      <c r="K5758" s="5" t="s">
        <v>344</v>
      </c>
      <c r="L5758" s="5" t="s">
        <v>42248</v>
      </c>
      <c r="M5758" s="27"/>
      <c r="N5758" s="5"/>
      <c r="O5758" s="5" t="str">
        <v>7708207911</v>
      </c>
      <c r="P5758" s="27">
        <v>8000000</v>
      </c>
      <c r="Q5758" s="5" t="s">
        <v>49009</v>
      </c>
      <c r="R5758" s="5"/>
      <c r="S5758" s="5" t="s">
        <v>49120</v>
      </c>
      <c r="T5758" s="28">
        <v>103529000</v>
      </c>
      <c r="U5758" s="28">
        <v>1762871000</v>
      </c>
      <c r="V5758" s="28">
        <v>8164520000</v>
      </c>
      <c r="W5758" s="28"/>
      <c r="X5758" s="28">
        <v>678920000</v>
      </c>
      <c r="Y5758" s="28">
        <v>11165851000</v>
      </c>
      <c r="Z5758" s="28">
        <v>70087000</v>
      </c>
      <c r="AA5758" s="28">
        <v>7890763000</v>
      </c>
      <c r="AB5758" s="28">
        <v>30253000</v>
      </c>
      <c r="AC5758" s="28">
        <v>3066712000</v>
      </c>
      <c r="AD5758" s="28">
        <v>78087000</v>
      </c>
      <c r="AE5758" s="28">
        <v>36893490000</v>
      </c>
      <c r="AF5758" s="28">
        <v>511776000</v>
      </c>
      <c r="AG5758" s="11"/>
    </row>
    <row r="5759">
      <c r="A5759" s="7" t="s">
        <v>1259</v>
      </c>
      <c r="B5759" s="5" t="s">
        <v>15311</v>
      </c>
      <c r="C5759" s="5" t="s">
        <v>22985</v>
      </c>
      <c r="D5759" s="5" t="str">
        <v>773300024690</v>
      </c>
      <c r="E5759" s="0" t="e">
        <f>+7 (495) 125048
+7 (903) 6741244
+7 (904) 6683988
+7 (906) 3672568
+7 (913) 9364636
+7 (917) 3602731
+7 (924) 4155404
+7 (925) 538710
+7 (926) 3480001
+7 (927) 2063926
+7 (928) 4156327
+7 (952) 8409769
+7 (961) 1164119
+7 (968) 3514141
+7 (977) 9463728</f>
        <v>#NAME?</v>
      </c>
      <c r="F5759" s="5"/>
      <c r="G5759" s="5" t="s">
        <v>42249</v>
      </c>
      <c r="H5759" s="26">
        <v>3.5</v>
      </c>
      <c r="I5759" s="5" t="s">
        <v>42250</v>
      </c>
      <c r="J5759" s="5" t="s">
        <v>27522</v>
      </c>
      <c r="K5759" s="5" t="s">
        <v>344</v>
      </c>
      <c r="L5759" s="5" t="s">
        <v>29052</v>
      </c>
      <c r="M5759" s="27"/>
      <c r="N5759" s="5" t="s">
        <v>58030</v>
      </c>
      <c r="O5759" s="5" t="str">
        <v>7734425377</v>
      </c>
      <c r="P5759" s="27">
        <v>10000</v>
      </c>
      <c r="Q5759" s="5" t="s">
        <v>49021</v>
      </c>
      <c r="R5759" s="5"/>
      <c r="S5759" s="5" t="s">
        <v>58031</v>
      </c>
      <c r="T5759" s="28">
        <v>309445000</v>
      </c>
      <c r="U5759" s="28"/>
      <c r="V5759" s="28">
        <v>1125834000</v>
      </c>
      <c r="W5759" s="28">
        <v>24359000</v>
      </c>
      <c r="X5759" s="28">
        <v>261021000</v>
      </c>
      <c r="Y5759" s="28">
        <v>4018094000</v>
      </c>
      <c r="Z5759" s="28">
        <v>362704000</v>
      </c>
      <c r="AA5759" s="28"/>
      <c r="AB5759" s="28">
        <v>68200000</v>
      </c>
      <c r="AC5759" s="28">
        <v>3409347000</v>
      </c>
      <c r="AD5759" s="28">
        <v>362714000</v>
      </c>
      <c r="AE5759" s="28">
        <v>6627310000</v>
      </c>
      <c r="AF5759" s="28">
        <v>363810000</v>
      </c>
      <c r="AG5759" s="11"/>
    </row>
    <row r="5760">
      <c r="A5760" s="7" t="s">
        <v>7362</v>
      </c>
      <c r="B5760" s="5" t="s">
        <v>15312</v>
      </c>
      <c r="C5760" s="5" t="s">
        <v>22986</v>
      </c>
      <c r="D5760" s="5" t="str">
        <v>550620472182</v>
      </c>
      <c r="E5760" s="0" t="e">
        <f>+7 (385) 2610511
+7 (38557) 78989
+7 (385) 2610502
+7 (38557) 71900
+7 (38557) 78913
+7 (38557) 78956</f>
        <v>#NAME?</v>
      </c>
      <c r="F5760" s="5" t="s">
        <v>42251</v>
      </c>
      <c r="G5760" s="5" t="s">
        <v>42252</v>
      </c>
      <c r="H5760" s="26">
        <v>24.5</v>
      </c>
      <c r="I5760" s="5"/>
      <c r="J5760" s="5" t="s">
        <v>27791</v>
      </c>
      <c r="K5760" s="5" t="s">
        <v>355</v>
      </c>
      <c r="L5760" s="5"/>
      <c r="M5760" s="27">
        <v>24751782</v>
      </c>
      <c r="N5760" s="5"/>
      <c r="O5760" s="5" t="str">
        <v>2259002376</v>
      </c>
      <c r="P5760" s="27">
        <v>12890000</v>
      </c>
      <c r="Q5760" s="5" t="s">
        <v>58032</v>
      </c>
      <c r="R5760" s="5"/>
      <c r="S5760" s="5" t="s">
        <v>52597</v>
      </c>
      <c r="T5760" s="28">
        <v>23643241000</v>
      </c>
      <c r="U5760" s="28">
        <v>10000</v>
      </c>
      <c r="V5760" s="28">
        <v>4583477000</v>
      </c>
      <c r="W5760" s="28"/>
      <c r="X5760" s="28">
        <v>11572000</v>
      </c>
      <c r="Y5760" s="28">
        <v>31275493000</v>
      </c>
      <c r="Z5760" s="28">
        <v>6046543000</v>
      </c>
      <c r="AA5760" s="28">
        <v>15521151000</v>
      </c>
      <c r="AB5760" s="28">
        <v>300133000</v>
      </c>
      <c r="AC5760" s="28">
        <v>2730270000</v>
      </c>
      <c r="AD5760" s="28">
        <v>12642040000</v>
      </c>
      <c r="AE5760" s="28">
        <v>9982985000</v>
      </c>
      <c r="AF5760" s="28">
        <v>94313000</v>
      </c>
      <c r="AG5760" s="11"/>
    </row>
    <row r="5761">
      <c r="A5761" s="7" t="s">
        <v>7363</v>
      </c>
      <c r="B5761" s="5" t="s">
        <v>15313</v>
      </c>
      <c r="C5761" s="5" t="s">
        <v>22987</v>
      </c>
      <c r="D5761" s="5" t="str">
        <v>343510715502</v>
      </c>
      <c r="E5761" s="0" t="e">
        <f>+7 (494) 2390918</f>
        <v>#NAME?</v>
      </c>
      <c r="F5761" s="5" t="s">
        <v>42253</v>
      </c>
      <c r="G5761" s="5"/>
      <c r="H5761" s="26">
        <v>2</v>
      </c>
      <c r="I5761" s="5" t="s">
        <v>42254</v>
      </c>
      <c r="J5761" s="5" t="s">
        <v>881</v>
      </c>
      <c r="K5761" s="5" t="s">
        <v>344</v>
      </c>
      <c r="L5761" s="5"/>
      <c r="M5761" s="27"/>
      <c r="N5761" s="5"/>
      <c r="O5761" s="5" t="str">
        <v>4400001172</v>
      </c>
      <c r="P5761" s="27">
        <v>1000000</v>
      </c>
      <c r="Q5761" s="5" t="s">
        <v>49021</v>
      </c>
      <c r="R5761" s="5"/>
      <c r="S5761" s="5" t="s">
        <v>58034</v>
      </c>
      <c r="T5761" s="28"/>
      <c r="U5761" s="28"/>
      <c r="V5761" s="28">
        <v>251757000</v>
      </c>
      <c r="W5761" s="28"/>
      <c r="X5761" s="28">
        <v>12395000</v>
      </c>
      <c r="Y5761" s="28">
        <v>275096000</v>
      </c>
      <c r="Z5761" s="28">
        <v>154722000</v>
      </c>
      <c r="AA5761" s="28"/>
      <c r="AB5761" s="28"/>
      <c r="AC5761" s="28">
        <v>109374000</v>
      </c>
      <c r="AD5761" s="28">
        <v>165722000</v>
      </c>
      <c r="AE5761" s="28">
        <v>5020224000</v>
      </c>
      <c r="AF5761" s="28">
        <v>227596000</v>
      </c>
      <c r="AG5761" s="11"/>
    </row>
    <row r="5762">
      <c r="A5762" s="7" t="s">
        <v>7364</v>
      </c>
      <c r="B5762" s="5" t="s">
        <v>15314</v>
      </c>
      <c r="C5762" s="5" t="s">
        <v>22988</v>
      </c>
      <c r="D5762" s="5" t="str">
        <v>550148142972</v>
      </c>
      <c r="F5762" s="5"/>
      <c r="G5762" s="5"/>
      <c r="H5762" s="26">
        <v>8</v>
      </c>
      <c r="I5762" s="5" t="s">
        <v>42255</v>
      </c>
      <c r="J5762" s="5" t="s">
        <v>373</v>
      </c>
      <c r="K5762" s="5" t="s">
        <v>344</v>
      </c>
      <c r="L5762" s="5" t="s">
        <v>39070</v>
      </c>
      <c r="M5762" s="27"/>
      <c r="N5762" s="5"/>
      <c r="O5762" s="5" t="str">
        <v>5405952656</v>
      </c>
      <c r="P5762" s="27">
        <v>10000</v>
      </c>
      <c r="Q5762" s="5" t="s">
        <v>49059</v>
      </c>
      <c r="R5762" s="5"/>
      <c r="S5762" s="5" t="s">
        <v>53811</v>
      </c>
      <c r="T5762" s="28"/>
      <c r="U5762" s="28"/>
      <c r="V5762" s="28">
        <v>907134000</v>
      </c>
      <c r="W5762" s="28">
        <v>46963000</v>
      </c>
      <c r="X5762" s="28">
        <v>141264000</v>
      </c>
      <c r="Y5762" s="28">
        <v>1409368000</v>
      </c>
      <c r="Z5762" s="28">
        <v>458114000</v>
      </c>
      <c r="AA5762" s="28"/>
      <c r="AB5762" s="28"/>
      <c r="AC5762" s="28">
        <v>951244000</v>
      </c>
      <c r="AD5762" s="28">
        <v>458124000</v>
      </c>
      <c r="AE5762" s="28">
        <v>5312793000</v>
      </c>
      <c r="AF5762" s="28">
        <v>-26405000</v>
      </c>
      <c r="AG5762" s="11"/>
    </row>
    <row r="5763">
      <c r="A5763" s="7" t="s">
        <v>7365</v>
      </c>
      <c r="B5763" s="5" t="s">
        <v>15315</v>
      </c>
      <c r="C5763" s="5" t="s">
        <v>22989</v>
      </c>
      <c r="D5763" s="5" t="str">
        <v>700502260795</v>
      </c>
      <c r="E5763" s="0" t="e">
        <f>+7 (38243) 21911
+7 (38243) 22177
+7 (38243) 22417
+7 (38243) 22810</f>
        <v>#NAME?</v>
      </c>
      <c r="F5763" s="5" t="s">
        <v>42256</v>
      </c>
      <c r="G5763" s="5"/>
      <c r="H5763" s="26">
        <v>17</v>
      </c>
      <c r="I5763" s="5" t="s">
        <v>42257</v>
      </c>
      <c r="J5763" s="5" t="s">
        <v>26951</v>
      </c>
      <c r="K5763" s="5" t="s">
        <v>344</v>
      </c>
      <c r="L5763" s="5" t="s">
        <v>42258</v>
      </c>
      <c r="M5763" s="27"/>
      <c r="N5763" s="5"/>
      <c r="O5763" s="5" t="str">
        <v>7005006464</v>
      </c>
      <c r="P5763" s="27">
        <v>220000</v>
      </c>
      <c r="Q5763" s="5" t="s">
        <v>49059</v>
      </c>
      <c r="R5763" s="5"/>
      <c r="S5763" s="5" t="s">
        <v>49110</v>
      </c>
      <c r="T5763" s="28">
        <v>509579000</v>
      </c>
      <c r="U5763" s="28"/>
      <c r="V5763" s="28"/>
      <c r="W5763" s="28"/>
      <c r="X5763" s="28">
        <v>15454000</v>
      </c>
      <c r="Y5763" s="28">
        <v>668793000</v>
      </c>
      <c r="Z5763" s="28">
        <v>213536000</v>
      </c>
      <c r="AA5763" s="28"/>
      <c r="AB5763" s="28"/>
      <c r="AC5763" s="28">
        <v>252780000</v>
      </c>
      <c r="AD5763" s="28">
        <v>330064000</v>
      </c>
      <c r="AE5763" s="28">
        <v>1041376458000</v>
      </c>
      <c r="AF5763" s="28">
        <v>35262983000</v>
      </c>
      <c r="AG5763" s="11"/>
    </row>
    <row r="5764">
      <c r="A5764" s="7" t="s">
        <v>7366</v>
      </c>
      <c r="B5764" s="5" t="s">
        <v>15316</v>
      </c>
      <c r="C5764" s="5" t="s">
        <v>22990</v>
      </c>
      <c r="D5764" s="5" t="str">
        <v>420509573230</v>
      </c>
      <c r="E5764" s="0" t="e">
        <f>+7 (923) 6001192</f>
        <v>#NAME?</v>
      </c>
      <c r="F5764" s="5"/>
      <c r="G5764" s="5"/>
      <c r="H5764" s="26">
        <v>10</v>
      </c>
      <c r="I5764" s="5" t="s">
        <v>42259</v>
      </c>
      <c r="J5764" s="5" t="s">
        <v>373</v>
      </c>
      <c r="K5764" s="5" t="s">
        <v>344</v>
      </c>
      <c r="L5764" s="5" t="s">
        <v>42260</v>
      </c>
      <c r="M5764" s="27"/>
      <c r="N5764" s="5"/>
      <c r="O5764" s="5" t="str">
        <v>5410776004</v>
      </c>
      <c r="P5764" s="27">
        <v>1000000</v>
      </c>
      <c r="Q5764" s="5" t="s">
        <v>49021</v>
      </c>
      <c r="R5764" s="5"/>
      <c r="S5764" s="5" t="s">
        <v>58035</v>
      </c>
      <c r="T5764" s="28"/>
      <c r="U5764" s="28"/>
      <c r="V5764" s="28">
        <v>845078000</v>
      </c>
      <c r="W5764" s="28"/>
      <c r="X5764" s="28">
        <v>27763000</v>
      </c>
      <c r="Y5764" s="28">
        <v>990158000</v>
      </c>
      <c r="Z5764" s="28">
        <v>72377000</v>
      </c>
      <c r="AA5764" s="28"/>
      <c r="AB5764" s="28">
        <v>639797000</v>
      </c>
      <c r="AC5764" s="28">
        <v>916782000</v>
      </c>
      <c r="AD5764" s="28">
        <v>73377000</v>
      </c>
      <c r="AE5764" s="28">
        <v>5731555000</v>
      </c>
      <c r="AF5764" s="28">
        <v>6321000</v>
      </c>
      <c r="AG5764" s="11"/>
    </row>
    <row r="5765">
      <c r="A5765" s="7" t="s">
        <v>7367</v>
      </c>
      <c r="B5765" s="5" t="s">
        <v>15317</v>
      </c>
      <c r="C5765" s="5" t="s">
        <v>22991</v>
      </c>
      <c r="D5765" s="5" t="str">
        <v>246001268098</v>
      </c>
      <c r="E5765" s="0" t="e">
        <f>+7 (391) 2192110
+7 (391) 2192127
+7 (391) 2192128
+7 (391) 2192135
+7 (391) 2911501
+7 (904) 8956434
+7 (950) 9988327
+7 (391) 2232323
+7 (391) 2570202
+7 (391) 2746402
+7 (391) 2749884
+7 (923) 4503998</f>
        <v>#NAME?</v>
      </c>
      <c r="F5765" s="5" t="s">
        <v>42261</v>
      </c>
      <c r="G5765" s="5" t="s">
        <v>42262</v>
      </c>
      <c r="H5765" s="26">
        <v>18.5</v>
      </c>
      <c r="I5765" s="5" t="s">
        <v>42263</v>
      </c>
      <c r="J5765" s="5" t="s">
        <v>364</v>
      </c>
      <c r="K5765" s="5" t="s">
        <v>344</v>
      </c>
      <c r="L5765" s="5"/>
      <c r="M5765" s="27">
        <v>85693976</v>
      </c>
      <c r="N5765" s="5" t="s">
        <v>58036</v>
      </c>
      <c r="O5765" s="5" t="str">
        <v>2466123241</v>
      </c>
      <c r="P5765" s="27">
        <v>1995110000</v>
      </c>
      <c r="Q5765" s="5" t="s">
        <v>58038</v>
      </c>
      <c r="R5765" s="5" t="s">
        <v>58039</v>
      </c>
      <c r="S5765" s="5" t="s">
        <v>58040</v>
      </c>
      <c r="T5765" s="28">
        <v>2153703000</v>
      </c>
      <c r="U5765" s="28">
        <v>88862000</v>
      </c>
      <c r="V5765" s="28">
        <v>3080772000</v>
      </c>
      <c r="W5765" s="28">
        <v>306314000</v>
      </c>
      <c r="X5765" s="28">
        <v>1383419000</v>
      </c>
      <c r="Y5765" s="28">
        <v>10545102000</v>
      </c>
      <c r="Z5765" s="28">
        <v>2370572000</v>
      </c>
      <c r="AA5765" s="28">
        <v>1660217000</v>
      </c>
      <c r="AB5765" s="28">
        <v>1215371000</v>
      </c>
      <c r="AC5765" s="28">
        <v>4418666000</v>
      </c>
      <c r="AD5765" s="28">
        <v>4425636000</v>
      </c>
      <c r="AE5765" s="28">
        <v>7182973000</v>
      </c>
      <c r="AF5765" s="28">
        <v>116963000</v>
      </c>
      <c r="AG5765" s="11"/>
    </row>
    <row r="5766">
      <c r="A5766" s="7" t="s">
        <v>7368</v>
      </c>
      <c r="B5766" s="5" t="s">
        <v>15318</v>
      </c>
      <c r="C5766" s="5" t="s">
        <v>22992</v>
      </c>
      <c r="D5766" s="5"/>
      <c r="E5766" s="0" t="e">
        <f>+7 (382) 2652935
+7 (382) 2751935
+7 (382) 700700
+7 (382) 2471152
+7 (382) 2659643
+7 (382) 2659736
+7 (382) 2700504
+7 (382) 2700700
+7 (382) 2700701
+7 (382) 2700900</f>
        <v>#NAME?</v>
      </c>
      <c r="F5766" s="5" t="s">
        <v>42264</v>
      </c>
      <c r="G5766" s="5" t="s">
        <v>42265</v>
      </c>
      <c r="H5766" s="26">
        <v>30.5</v>
      </c>
      <c r="I5766" s="5"/>
      <c r="J5766" s="5" t="s">
        <v>655</v>
      </c>
      <c r="K5766" s="5" t="s">
        <v>344</v>
      </c>
      <c r="L5766" s="5" t="s">
        <v>42266</v>
      </c>
      <c r="M5766" s="27"/>
      <c r="N5766" s="5" t="s">
        <v>58041</v>
      </c>
      <c r="O5766" s="5" t="str">
        <v>7020012261</v>
      </c>
      <c r="P5766" s="27">
        <v>551000</v>
      </c>
      <c r="Q5766" s="5" t="s">
        <v>49009</v>
      </c>
      <c r="R5766" s="5"/>
      <c r="S5766" s="5" t="s">
        <v>49884</v>
      </c>
      <c r="T5766" s="28">
        <v>2035636000</v>
      </c>
      <c r="U5766" s="28">
        <v>1950000</v>
      </c>
      <c r="V5766" s="28">
        <v>2341066000</v>
      </c>
      <c r="W5766" s="28"/>
      <c r="X5766" s="28">
        <v>177505000</v>
      </c>
      <c r="Y5766" s="28">
        <v>8550609000</v>
      </c>
      <c r="Z5766" s="28">
        <v>6548499000</v>
      </c>
      <c r="AA5766" s="28"/>
      <c r="AB5766" s="28"/>
      <c r="AC5766" s="28">
        <v>1652471000</v>
      </c>
      <c r="AD5766" s="28">
        <v>6703155000</v>
      </c>
      <c r="AE5766" s="28">
        <v>21367920000</v>
      </c>
      <c r="AF5766" s="28">
        <v>1695531000</v>
      </c>
      <c r="AG5766" s="11"/>
    </row>
    <row r="5767">
      <c r="A5767" s="7" t="s">
        <v>7369</v>
      </c>
      <c r="B5767" s="5" t="s">
        <v>15319</v>
      </c>
      <c r="C5767" s="5" t="s">
        <v>22993</v>
      </c>
      <c r="D5767" s="5" t="str">
        <v>541306501118</v>
      </c>
      <c r="E5767" s="0" t="e">
        <f>+7 (923) 6157541</f>
        <v>#NAME?</v>
      </c>
      <c r="F5767" s="5"/>
      <c r="G5767" s="5"/>
      <c r="H5767" s="26">
        <v>6</v>
      </c>
      <c r="I5767" s="5" t="s">
        <v>42267</v>
      </c>
      <c r="J5767" s="5" t="s">
        <v>30520</v>
      </c>
      <c r="K5767" s="5" t="s">
        <v>344</v>
      </c>
      <c r="L5767" s="5"/>
      <c r="M5767" s="27"/>
      <c r="N5767" s="5"/>
      <c r="O5767" s="5" t="str">
        <v>5405996533</v>
      </c>
      <c r="P5767" s="27">
        <v>20000</v>
      </c>
      <c r="Q5767" s="5" t="s">
        <v>694</v>
      </c>
      <c r="R5767" s="5"/>
      <c r="S5767" s="5" t="s">
        <v>50385</v>
      </c>
      <c r="T5767" s="28"/>
      <c r="U5767" s="28"/>
      <c r="V5767" s="28"/>
      <c r="W5767" s="28"/>
      <c r="X5767" s="28">
        <v>220000</v>
      </c>
      <c r="Y5767" s="28">
        <v>1562000</v>
      </c>
      <c r="Z5767" s="28">
        <v>1552000</v>
      </c>
      <c r="AA5767" s="28"/>
      <c r="AB5767" s="28"/>
      <c r="AC5767" s="28"/>
      <c r="AD5767" s="28">
        <v>1562000</v>
      </c>
      <c r="AE5767" s="28">
        <v>6810111000</v>
      </c>
      <c r="AF5767" s="28"/>
      <c r="AG5767" s="11"/>
    </row>
    <row r="5768">
      <c r="A5768" s="7" t="s">
        <v>7370</v>
      </c>
      <c r="B5768" s="5" t="s">
        <v>15320</v>
      </c>
      <c r="C5768" s="5" t="s">
        <v>22994</v>
      </c>
      <c r="D5768" s="5" t="str">
        <v>667405222873</v>
      </c>
      <c r="E5768" s="0" t="e">
        <f>+7 (343) 3801184
+7 (3433) 801180
+7 (345) 2308754
+7 (902) 8470550</f>
        <v>#NAME?</v>
      </c>
      <c r="F5768" s="5" t="s">
        <v>42268</v>
      </c>
      <c r="G5768" s="5" t="s">
        <v>42269</v>
      </c>
      <c r="H5768" s="26">
        <v>23</v>
      </c>
      <c r="I5768" s="5" t="s">
        <v>42270</v>
      </c>
      <c r="J5768" s="5" t="s">
        <v>955</v>
      </c>
      <c r="K5768" s="5" t="s">
        <v>344</v>
      </c>
      <c r="L5768" s="5" t="s">
        <v>42271</v>
      </c>
      <c r="M5768" s="27"/>
      <c r="N5768" s="5"/>
      <c r="O5768" s="5" t="str">
        <v>7203105227</v>
      </c>
      <c r="P5768" s="27">
        <v>10000</v>
      </c>
      <c r="Q5768" s="5" t="s">
        <v>49207</v>
      </c>
      <c r="R5768" s="5"/>
      <c r="S5768" s="5" t="s">
        <v>49565</v>
      </c>
      <c r="T5768" s="28">
        <v>63974000</v>
      </c>
      <c r="U5768" s="28"/>
      <c r="V5768" s="28">
        <v>524974000</v>
      </c>
      <c r="W5768" s="28"/>
      <c r="X5768" s="28">
        <v>162000</v>
      </c>
      <c r="Y5768" s="28">
        <v>672159000</v>
      </c>
      <c r="Z5768" s="28">
        <v>58383000</v>
      </c>
      <c r="AA5768" s="28">
        <v>90190000</v>
      </c>
      <c r="AB5768" s="28">
        <v>380374000</v>
      </c>
      <c r="AC5768" s="28">
        <v>462330000</v>
      </c>
      <c r="AD5768" s="28">
        <v>58393000</v>
      </c>
      <c r="AE5768" s="28">
        <v>3899544000</v>
      </c>
      <c r="AF5768" s="28">
        <v>7916000</v>
      </c>
      <c r="AG5768" s="11"/>
    </row>
    <row r="5769">
      <c r="A5769" s="7" t="s">
        <v>7371</v>
      </c>
      <c r="B5769" s="5" t="s">
        <v>15321</v>
      </c>
      <c r="C5769" s="5" t="s">
        <v>22995</v>
      </c>
      <c r="D5769" s="5" t="str">
        <v>540209567312</v>
      </c>
      <c r="E5769" s="0" t="e">
        <f>+7 (383) 3190999
+7 (383) 2493770
+7 (383) 2633989
+7 (391) 2040135
+7 (923) 1267676
+7 (923) 2316028
+7 (952) 9416257</f>
        <v>#NAME?</v>
      </c>
      <c r="F5769" s="5" t="s">
        <v>42272</v>
      </c>
      <c r="G5769" s="5" t="s">
        <v>42273</v>
      </c>
      <c r="H5769" s="26">
        <v>13</v>
      </c>
      <c r="I5769" s="5" t="s">
        <v>42274</v>
      </c>
      <c r="J5769" s="5" t="s">
        <v>25337</v>
      </c>
      <c r="K5769" s="5" t="s">
        <v>344</v>
      </c>
      <c r="L5769" s="5" t="s">
        <v>42275</v>
      </c>
      <c r="M5769" s="27"/>
      <c r="N5769" s="5" t="s">
        <v>58042</v>
      </c>
      <c r="O5769" s="5" t="str">
        <v>5410029877</v>
      </c>
      <c r="P5769" s="27">
        <v>10030000</v>
      </c>
      <c r="Q5769" s="5" t="s">
        <v>49059</v>
      </c>
      <c r="R5769" s="5" t="s">
        <v>57934</v>
      </c>
      <c r="S5769" s="5" t="s">
        <v>49110</v>
      </c>
      <c r="T5769" s="28">
        <v>24818000</v>
      </c>
      <c r="U5769" s="28">
        <v>14969000</v>
      </c>
      <c r="V5769" s="28">
        <v>448462000</v>
      </c>
      <c r="W5769" s="28"/>
      <c r="X5769" s="28">
        <v>20551000</v>
      </c>
      <c r="Y5769" s="28">
        <v>1022130000</v>
      </c>
      <c r="Z5769" s="28">
        <v>268224000</v>
      </c>
      <c r="AA5769" s="28">
        <v>440348000</v>
      </c>
      <c r="AB5769" s="28">
        <v>14039000</v>
      </c>
      <c r="AC5769" s="28">
        <v>295485000</v>
      </c>
      <c r="AD5769" s="28">
        <v>286297000</v>
      </c>
      <c r="AE5769" s="28">
        <v>3680138000</v>
      </c>
      <c r="AF5769" s="28">
        <v>-16407000</v>
      </c>
      <c r="AG5769" s="11"/>
    </row>
    <row r="5770">
      <c r="A5770" s="7" t="s">
        <v>7372</v>
      </c>
      <c r="B5770" s="5" t="s">
        <v>15322</v>
      </c>
      <c r="C5770" s="5" t="s">
        <v>22996</v>
      </c>
      <c r="D5770" s="5" t="str">
        <v>420100290473</v>
      </c>
      <c r="F5770" s="5"/>
      <c r="G5770" s="5"/>
      <c r="H5770" s="26">
        <v>5</v>
      </c>
      <c r="I5770" s="5" t="s">
        <v>42276</v>
      </c>
      <c r="J5770" s="5" t="s">
        <v>26869</v>
      </c>
      <c r="K5770" s="5" t="s">
        <v>344</v>
      </c>
      <c r="L5770" s="5" t="s">
        <v>42277</v>
      </c>
      <c r="M5770" s="27"/>
      <c r="N5770" s="5"/>
      <c r="O5770" s="5" t="str">
        <v>7734412811</v>
      </c>
      <c r="P5770" s="27">
        <v>100000</v>
      </c>
      <c r="Q5770" s="5"/>
      <c r="R5770" s="5"/>
      <c r="S5770" s="5" t="s">
        <v>49029</v>
      </c>
      <c r="T5770" s="28">
        <v>298067000</v>
      </c>
      <c r="U5770" s="28">
        <v>32820000</v>
      </c>
      <c r="V5770" s="28">
        <v>657169000</v>
      </c>
      <c r="W5770" s="28">
        <v>56100000</v>
      </c>
      <c r="X5770" s="28">
        <v>50917000</v>
      </c>
      <c r="Y5770" s="28">
        <v>1700366000</v>
      </c>
      <c r="Z5770" s="28">
        <v>261770000</v>
      </c>
      <c r="AA5770" s="28">
        <v>247496000</v>
      </c>
      <c r="AB5770" s="28">
        <v>477833000</v>
      </c>
      <c r="AC5770" s="28">
        <v>1091283000</v>
      </c>
      <c r="AD5770" s="28">
        <v>261870000</v>
      </c>
      <c r="AE5770" s="28">
        <v>4571082000</v>
      </c>
      <c r="AF5770" s="28">
        <v>177469000</v>
      </c>
      <c r="AG5770" s="11"/>
    </row>
    <row r="5771">
      <c r="A5771" s="7" t="s">
        <v>7373</v>
      </c>
      <c r="B5771" s="5" t="s">
        <v>15323</v>
      </c>
      <c r="C5771" s="5" t="s">
        <v>22997</v>
      </c>
      <c r="D5771" s="5" t="str">
        <v>381000171462</v>
      </c>
      <c r="E5771" s="0" t="e">
        <f>+7 (3952) 455811
+7 (3952) 458669
+7 (3952) 475695
+7 (3952) 559152
+7 (902) 5136217</f>
        <v>#NAME?</v>
      </c>
      <c r="F5771" s="5" t="s">
        <v>42278</v>
      </c>
      <c r="G5771" s="5" t="s">
        <v>42279</v>
      </c>
      <c r="H5771" s="26">
        <v>25</v>
      </c>
      <c r="I5771" s="5" t="s">
        <v>42280</v>
      </c>
      <c r="J5771" s="5" t="s">
        <v>467</v>
      </c>
      <c r="K5771" s="5" t="s">
        <v>344</v>
      </c>
      <c r="L5771" s="5" t="s">
        <v>42281</v>
      </c>
      <c r="M5771" s="27">
        <v>707400</v>
      </c>
      <c r="N5771" s="5" t="s">
        <v>58043</v>
      </c>
      <c r="O5771" s="5" t="str">
        <v>3808047372</v>
      </c>
      <c r="P5771" s="27">
        <v>18400</v>
      </c>
      <c r="Q5771" s="5" t="s">
        <v>58044</v>
      </c>
      <c r="R5771" s="5"/>
      <c r="S5771" s="5" t="s">
        <v>53948</v>
      </c>
      <c r="T5771" s="28">
        <v>1488072000</v>
      </c>
      <c r="U5771" s="28">
        <v>32500000</v>
      </c>
      <c r="V5771" s="28">
        <v>387139000</v>
      </c>
      <c r="W5771" s="28">
        <v>3592000</v>
      </c>
      <c r="X5771" s="28">
        <v>190357000</v>
      </c>
      <c r="Y5771" s="28">
        <v>3845251000</v>
      </c>
      <c r="Z5771" s="28">
        <v>1233990000</v>
      </c>
      <c r="AA5771" s="28">
        <v>885079000</v>
      </c>
      <c r="AB5771" s="28">
        <v>233478000</v>
      </c>
      <c r="AC5771" s="28">
        <v>1430466000</v>
      </c>
      <c r="AD5771" s="28">
        <v>1234008000</v>
      </c>
      <c r="AE5771" s="28">
        <v>5286352000</v>
      </c>
      <c r="AF5771" s="28">
        <v>135434000</v>
      </c>
      <c r="AG5771" s="11"/>
    </row>
    <row r="5772">
      <c r="A5772" s="7" t="s">
        <v>7374</v>
      </c>
      <c r="B5772" s="5" t="s">
        <v>15324</v>
      </c>
      <c r="C5772" s="5" t="s">
        <v>19127</v>
      </c>
      <c r="D5772" s="5"/>
      <c r="E5772" s="0" t="e">
        <f>+7 (345) 2535050
+7 (919) 9239241</f>
        <v>#NAME?</v>
      </c>
      <c r="F5772" s="5" t="s">
        <v>42282</v>
      </c>
      <c r="G5772" s="5" t="s">
        <v>42283</v>
      </c>
      <c r="H5772" s="26">
        <v>29.5</v>
      </c>
      <c r="I5772" s="5"/>
      <c r="J5772" s="5" t="s">
        <v>42284</v>
      </c>
      <c r="K5772" s="5" t="s">
        <v>344</v>
      </c>
      <c r="L5772" s="5"/>
      <c r="M5772" s="27">
        <v>31748223</v>
      </c>
      <c r="N5772" s="5" t="s">
        <v>58045</v>
      </c>
      <c r="O5772" s="5" t="str">
        <v>7224009228</v>
      </c>
      <c r="P5772" s="27">
        <v>53359680</v>
      </c>
      <c r="Q5772" s="5" t="s">
        <v>58046</v>
      </c>
      <c r="R5772" s="5"/>
      <c r="S5772" s="5" t="s">
        <v>49907</v>
      </c>
      <c r="T5772" s="28">
        <v>494311000</v>
      </c>
      <c r="U5772" s="28">
        <v>2145649000</v>
      </c>
      <c r="V5772" s="28">
        <v>746648000</v>
      </c>
      <c r="W5772" s="28"/>
      <c r="X5772" s="28">
        <v>235363000</v>
      </c>
      <c r="Y5772" s="28">
        <v>4946012000</v>
      </c>
      <c r="Z5772" s="28">
        <v>1302045000</v>
      </c>
      <c r="AA5772" s="28">
        <v>1896040000</v>
      </c>
      <c r="AB5772" s="28">
        <v>1139000</v>
      </c>
      <c r="AC5772" s="28">
        <v>1490355000</v>
      </c>
      <c r="AD5772" s="28">
        <v>1378076000</v>
      </c>
      <c r="AE5772" s="28">
        <v>3361373000</v>
      </c>
      <c r="AF5772" s="28">
        <v>2971000</v>
      </c>
      <c r="AG5772" s="11"/>
    </row>
    <row r="5773">
      <c r="A5773" s="7" t="s">
        <v>7375</v>
      </c>
      <c r="B5773" s="5" t="s">
        <v>15325</v>
      </c>
      <c r="C5773" s="5" t="s">
        <v>22998</v>
      </c>
      <c r="D5773" s="5" t="str">
        <v>366605547357</v>
      </c>
      <c r="E5773" s="0" t="e">
        <f>+7 (473) 2290982
+7 (473) 2391402
+7 (473) 2391408
+7 (473) 2630633
+7 (473) 2635875
+7 (903) 6516131</f>
        <v>#NAME?</v>
      </c>
      <c r="F5773" s="5" t="s">
        <v>42285</v>
      </c>
      <c r="G5773" s="5" t="s">
        <v>42286</v>
      </c>
      <c r="H5773" s="26">
        <v>26.5</v>
      </c>
      <c r="I5773" s="5"/>
      <c r="J5773" s="5" t="s">
        <v>364</v>
      </c>
      <c r="K5773" s="5" t="s">
        <v>344</v>
      </c>
      <c r="L5773" s="5" t="s">
        <v>42287</v>
      </c>
      <c r="M5773" s="27"/>
      <c r="N5773" s="5" t="s">
        <v>58047</v>
      </c>
      <c r="O5773" s="5" t="str">
        <v>3665005205</v>
      </c>
      <c r="P5773" s="27">
        <v>267546</v>
      </c>
      <c r="Q5773" s="5" t="s">
        <v>58048</v>
      </c>
      <c r="R5773" s="5"/>
      <c r="S5773" s="5" t="s">
        <v>58049</v>
      </c>
      <c r="T5773" s="28">
        <v>145764000</v>
      </c>
      <c r="U5773" s="28"/>
      <c r="V5773" s="28">
        <v>4037655000</v>
      </c>
      <c r="W5773" s="28"/>
      <c r="X5773" s="28">
        <v>2022106000</v>
      </c>
      <c r="Y5773" s="28">
        <v>13734933000</v>
      </c>
      <c r="Z5773" s="28">
        <v>4883060000</v>
      </c>
      <c r="AA5773" s="28">
        <v>2610118000</v>
      </c>
      <c r="AB5773" s="28"/>
      <c r="AC5773" s="28">
        <v>5635523000</v>
      </c>
      <c r="AD5773" s="28">
        <v>5489292000</v>
      </c>
      <c r="AE5773" s="28">
        <v>6441517000</v>
      </c>
      <c r="AF5773" s="28">
        <v>1121296000</v>
      </c>
      <c r="AG5773" s="11"/>
    </row>
    <row r="5774">
      <c r="A5774" s="7" t="s">
        <v>7376</v>
      </c>
      <c r="B5774" s="5" t="s">
        <v>15326</v>
      </c>
      <c r="C5774" s="5" t="s">
        <v>22999</v>
      </c>
      <c r="D5774" s="5" t="str">
        <v>720603435155</v>
      </c>
      <c r="E5774" s="0" t="e">
        <f>+7 (982) 9610327
+7 (345) 2243195
+7 (345) 2290505
+7 (3456) 243195
+7 (919) 9234221</f>
        <v>#NAME?</v>
      </c>
      <c r="F5774" s="5" t="s">
        <v>42288</v>
      </c>
      <c r="G5774" s="5" t="s">
        <v>42289</v>
      </c>
      <c r="H5774" s="26">
        <v>16.5</v>
      </c>
      <c r="I5774" s="5" t="s">
        <v>42290</v>
      </c>
      <c r="J5774" s="5" t="s">
        <v>27296</v>
      </c>
      <c r="K5774" s="5" t="s">
        <v>344</v>
      </c>
      <c r="L5774" s="5"/>
      <c r="M5774" s="27">
        <v>199500</v>
      </c>
      <c r="N5774" s="5" t="s">
        <v>58050</v>
      </c>
      <c r="O5774" s="5" t="str">
        <v>7206033362</v>
      </c>
      <c r="P5774" s="27">
        <v>37500</v>
      </c>
      <c r="Q5774" s="5" t="s">
        <v>58051</v>
      </c>
      <c r="R5774" s="5"/>
      <c r="S5774" s="5" t="s">
        <v>58052</v>
      </c>
      <c r="T5774" s="28">
        <v>223696000</v>
      </c>
      <c r="U5774" s="28"/>
      <c r="V5774" s="28">
        <v>1398267000</v>
      </c>
      <c r="W5774" s="28"/>
      <c r="X5774" s="28">
        <v>18685000</v>
      </c>
      <c r="Y5774" s="28">
        <v>2160767000</v>
      </c>
      <c r="Z5774" s="28">
        <v>312552000</v>
      </c>
      <c r="AA5774" s="28">
        <v>771894000</v>
      </c>
      <c r="AB5774" s="28">
        <v>488815000</v>
      </c>
      <c r="AC5774" s="28">
        <v>1056053000</v>
      </c>
      <c r="AD5774" s="28">
        <v>312590000</v>
      </c>
      <c r="AE5774" s="28">
        <v>15795282000</v>
      </c>
      <c r="AF5774" s="28">
        <v>35006000</v>
      </c>
      <c r="AG5774" s="11"/>
    </row>
    <row r="5775">
      <c r="A5775" s="7" t="s">
        <v>7377</v>
      </c>
      <c r="B5775" s="5" t="s">
        <v>15327</v>
      </c>
      <c r="C5775" s="5" t="s">
        <v>23000</v>
      </c>
      <c r="D5775" s="5" t="str">
        <v>143503838297</v>
      </c>
      <c r="E5775" s="0" t="e">
        <f>+7 (411) 2223108
+7 (411) 2300323
+7 (41144) 47521
+7 (421) 2320323
+7 (411) 2320223
+7 (411) 2320322
+7 (411) 2450276
+7 (924) 6614636
+7 (924) 7650864</f>
        <v>#NAME?</v>
      </c>
      <c r="F5775" s="5" t="s">
        <v>42291</v>
      </c>
      <c r="G5775" s="5"/>
      <c r="H5775" s="26">
        <v>13</v>
      </c>
      <c r="I5775" s="5" t="s">
        <v>42292</v>
      </c>
      <c r="J5775" s="5" t="s">
        <v>27115</v>
      </c>
      <c r="K5775" s="5" t="s">
        <v>344</v>
      </c>
      <c r="L5775" s="5" t="s">
        <v>39298</v>
      </c>
      <c r="M5775" s="27"/>
      <c r="N5775" s="5" t="s">
        <v>58053</v>
      </c>
      <c r="O5775" s="5" t="str">
        <v>1435222265</v>
      </c>
      <c r="P5775" s="27">
        <v>100000</v>
      </c>
      <c r="Q5775" s="5" t="s">
        <v>58054</v>
      </c>
      <c r="R5775" s="5"/>
      <c r="S5775" s="5" t="s">
        <v>53782</v>
      </c>
      <c r="T5775" s="28">
        <v>135027000</v>
      </c>
      <c r="U5775" s="28"/>
      <c r="V5775" s="28">
        <v>206505000</v>
      </c>
      <c r="W5775" s="28"/>
      <c r="X5775" s="28">
        <v>108819000</v>
      </c>
      <c r="Y5775" s="28">
        <v>715046000</v>
      </c>
      <c r="Z5775" s="28">
        <v>37036000</v>
      </c>
      <c r="AA5775" s="28"/>
      <c r="AB5775" s="28"/>
      <c r="AC5775" s="28">
        <v>677883000</v>
      </c>
      <c r="AD5775" s="28">
        <v>37136000</v>
      </c>
      <c r="AE5775" s="28">
        <v>3036118000</v>
      </c>
      <c r="AF5775" s="28">
        <v>12206000</v>
      </c>
      <c r="AG5775" s="11"/>
    </row>
    <row r="5776">
      <c r="A5776" s="7" t="s">
        <v>7378</v>
      </c>
      <c r="B5776" s="5" t="s">
        <v>15328</v>
      </c>
      <c r="C5776" s="5" t="s">
        <v>23001</v>
      </c>
      <c r="D5776" s="5" t="str">
        <v>780203711151</v>
      </c>
      <c r="E5776" s="0" t="e">
        <f>+7 (812) 3113220
+7 (812) 2441820
+7 (812) 3155028
+7 (812) 3215405
+7 (812) 3882198
+7 (812) 3886868
+7 (812) 3887000
+7 (812) 3887841
+7 (812) 3889804
+7 (812) 4006524
+7 (812) 4150308
+7 (812) 4150317
+7 (812) 4150319
+7 (812) 4150343
+7 (812) 4150348</f>
        <v>#NAME?</v>
      </c>
      <c r="F5776" s="5" t="s">
        <v>42293</v>
      </c>
      <c r="G5776" s="5"/>
      <c r="H5776" s="26">
        <v>28.5</v>
      </c>
      <c r="I5776" s="5" t="s">
        <v>42294</v>
      </c>
      <c r="J5776" s="5" t="s">
        <v>42295</v>
      </c>
      <c r="K5776" s="5" t="s">
        <v>344</v>
      </c>
      <c r="L5776" s="5"/>
      <c r="M5776" s="27">
        <v>88556013</v>
      </c>
      <c r="N5776" s="5" t="s">
        <v>58055</v>
      </c>
      <c r="O5776" s="5" t="str">
        <v>7830001927</v>
      </c>
      <c r="P5776" s="27">
        <v>12128577310</v>
      </c>
      <c r="Q5776" s="5" t="s">
        <v>58056</v>
      </c>
      <c r="R5776" s="5"/>
      <c r="S5776" s="5" t="s">
        <v>58057</v>
      </c>
      <c r="T5776" s="28">
        <v>32314311000</v>
      </c>
      <c r="U5776" s="28"/>
      <c r="V5776" s="28">
        <v>321128000</v>
      </c>
      <c r="W5776" s="28"/>
      <c r="X5776" s="28">
        <v>2518297000</v>
      </c>
      <c r="Y5776" s="28">
        <v>38447446000</v>
      </c>
      <c r="Z5776" s="28">
        <v>-644107000</v>
      </c>
      <c r="AA5776" s="28"/>
      <c r="AB5776" s="28"/>
      <c r="AC5776" s="28">
        <v>3213391000</v>
      </c>
      <c r="AD5776" s="28">
        <v>33726482000</v>
      </c>
      <c r="AE5776" s="28">
        <v>19597494000</v>
      </c>
      <c r="AF5776" s="28">
        <v>-800211000</v>
      </c>
      <c r="AG5776" s="11"/>
    </row>
    <row r="5777">
      <c r="A5777" s="7" t="s">
        <v>7379</v>
      </c>
      <c r="B5777" s="5" t="s">
        <v>15329</v>
      </c>
      <c r="C5777" s="5" t="s">
        <v>23002</v>
      </c>
      <c r="D5777" s="5" t="str">
        <v>220910203297</v>
      </c>
      <c r="E5777" s="0" t="e">
        <f>+7 (385) 2500377
+7 (385) 2500348
+7 (38590) 21598
+7 (38590) 21787
+7 (38590) 22097
+7 (38590) 22272
+7 (38590) 22282</f>
        <v>#NAME?</v>
      </c>
      <c r="F5777" s="5" t="s">
        <v>42296</v>
      </c>
      <c r="G5777" s="5"/>
      <c r="H5777" s="26">
        <v>4</v>
      </c>
      <c r="I5777" s="5"/>
      <c r="J5777" s="5" t="s">
        <v>25812</v>
      </c>
      <c r="K5777" s="5" t="s">
        <v>344</v>
      </c>
      <c r="L5777" s="5" t="s">
        <v>42297</v>
      </c>
      <c r="M5777" s="27"/>
      <c r="N5777" s="5"/>
      <c r="O5777" s="5" t="str">
        <v>2241001565</v>
      </c>
      <c r="P5777" s="27">
        <v>200000</v>
      </c>
      <c r="Q5777" s="5" t="s">
        <v>49688</v>
      </c>
      <c r="R5777" s="5"/>
      <c r="S5777" s="5" t="s">
        <v>58058</v>
      </c>
      <c r="T5777" s="28">
        <v>160160000</v>
      </c>
      <c r="U5777" s="28"/>
      <c r="V5777" s="28">
        <v>428424000</v>
      </c>
      <c r="W5777" s="28"/>
      <c r="X5777" s="28">
        <v>851047000</v>
      </c>
      <c r="Y5777" s="28">
        <v>1701433000</v>
      </c>
      <c r="Z5777" s="28">
        <v>144148000</v>
      </c>
      <c r="AA5777" s="28">
        <v>600000000</v>
      </c>
      <c r="AB5777" s="28">
        <v>720915000</v>
      </c>
      <c r="AC5777" s="28">
        <v>957085000</v>
      </c>
      <c r="AD5777" s="28">
        <v>144348000</v>
      </c>
      <c r="AE5777" s="28">
        <v>3555295000</v>
      </c>
      <c r="AF5777" s="28">
        <v>78870000</v>
      </c>
      <c r="AG5777" s="11"/>
    </row>
    <row r="5778">
      <c r="A5778" s="7" t="s">
        <v>7380</v>
      </c>
      <c r="B5778" s="5" t="s">
        <v>15330</v>
      </c>
      <c r="C5778" s="5" t="s">
        <v>23003</v>
      </c>
      <c r="D5778" s="5" t="str">
        <v>550408120003</v>
      </c>
      <c r="E5778" s="0" t="e">
        <f>+7 (381) 2904345
+7 (913) 9600475
+7 (965) 9744497</f>
        <v>#NAME?</v>
      </c>
      <c r="F5778" s="5" t="s">
        <v>42298</v>
      </c>
      <c r="G5778" s="5"/>
      <c r="H5778" s="26">
        <v>10.5</v>
      </c>
      <c r="I5778" s="5" t="s">
        <v>42299</v>
      </c>
      <c r="J5778" s="5" t="s">
        <v>26511</v>
      </c>
      <c r="K5778" s="5" t="s">
        <v>380</v>
      </c>
      <c r="L5778" s="5"/>
      <c r="M5778" s="27"/>
      <c r="N5778" s="5" t="s">
        <v>58059</v>
      </c>
      <c r="O5778" s="5" t="str">
        <v>5503238305</v>
      </c>
      <c r="P5778" s="27">
        <v>6585000</v>
      </c>
      <c r="Q5778" s="5" t="s">
        <v>49009</v>
      </c>
      <c r="R5778" s="5"/>
      <c r="S5778" s="5" t="s">
        <v>49012</v>
      </c>
      <c r="T5778" s="28">
        <v>121304000</v>
      </c>
      <c r="U5778" s="28">
        <v>171405000</v>
      </c>
      <c r="V5778" s="28">
        <v>120987000</v>
      </c>
      <c r="W5778" s="28">
        <v>809000</v>
      </c>
      <c r="X5778" s="28">
        <v>11561000</v>
      </c>
      <c r="Y5778" s="28">
        <v>780854000</v>
      </c>
      <c r="Z5778" s="28">
        <v>62796000</v>
      </c>
      <c r="AA5778" s="28"/>
      <c r="AB5778" s="28">
        <v>251932000</v>
      </c>
      <c r="AC5778" s="28">
        <v>583795000</v>
      </c>
      <c r="AD5778" s="28">
        <v>69381000</v>
      </c>
      <c r="AE5778" s="28">
        <v>3251665000</v>
      </c>
      <c r="AF5778" s="28">
        <v>-91308000</v>
      </c>
      <c r="AG5778" s="11"/>
    </row>
    <row r="5779">
      <c r="A5779" s="7" t="s">
        <v>7381</v>
      </c>
      <c r="B5779" s="5" t="s">
        <v>15331</v>
      </c>
      <c r="C5779" s="5" t="s">
        <v>23004</v>
      </c>
      <c r="D5779" s="5" t="str">
        <v>425001530363</v>
      </c>
      <c r="E5779" s="0" t="e">
        <f>+7 (951) 6166137
+7 (4232) 393918</f>
        <v>#NAME?</v>
      </c>
      <c r="F5779" s="5" t="s">
        <v>42300</v>
      </c>
      <c r="G5779" s="5"/>
      <c r="H5779" s="26">
        <v>4.5</v>
      </c>
      <c r="I5779" s="5" t="s">
        <v>42301</v>
      </c>
      <c r="J5779" s="5" t="s">
        <v>373</v>
      </c>
      <c r="K5779" s="5" t="s">
        <v>344</v>
      </c>
      <c r="L5779" s="5" t="s">
        <v>42302</v>
      </c>
      <c r="M5779" s="27"/>
      <c r="N5779" s="5"/>
      <c r="O5779" s="5" t="str">
        <v>7703464545</v>
      </c>
      <c r="P5779" s="27">
        <v>5000000</v>
      </c>
      <c r="Q5779" s="5" t="s">
        <v>49410</v>
      </c>
      <c r="R5779" s="5"/>
      <c r="S5779" s="5" t="s">
        <v>58060</v>
      </c>
      <c r="T5779" s="28">
        <v>7514000</v>
      </c>
      <c r="U5779" s="28"/>
      <c r="V5779" s="28">
        <v>157267000</v>
      </c>
      <c r="W5779" s="28">
        <v>16000000</v>
      </c>
      <c r="X5779" s="28">
        <v>188500000</v>
      </c>
      <c r="Y5779" s="28">
        <v>410714000</v>
      </c>
      <c r="Z5779" s="28">
        <v>50316000</v>
      </c>
      <c r="AA5779" s="28"/>
      <c r="AB5779" s="28"/>
      <c r="AC5779" s="28">
        <v>353196000</v>
      </c>
      <c r="AD5779" s="28">
        <v>55316000</v>
      </c>
      <c r="AE5779" s="28">
        <v>5266700000</v>
      </c>
      <c r="AF5779" s="28">
        <v>52428000</v>
      </c>
      <c r="AG5779" s="11"/>
    </row>
    <row r="5780">
      <c r="A5780" s="7" t="s">
        <v>7382</v>
      </c>
      <c r="B5780" s="5" t="s">
        <v>15332</v>
      </c>
      <c r="C5780" s="5" t="s">
        <v>23005</v>
      </c>
      <c r="D5780" s="5" t="str">
        <v>425001247194</v>
      </c>
      <c r="E5780" s="0" t="e">
        <f>+7 (923) 6159040
+7 (384) 2254555
+7 (384) 2254556
+7 (384) 2624555
+7 (388) 2222292</f>
        <v>#NAME?</v>
      </c>
      <c r="F5780" s="5" t="s">
        <v>42303</v>
      </c>
      <c r="G5780" s="5"/>
      <c r="H5780" s="26">
        <v>16</v>
      </c>
      <c r="I5780" s="5" t="s">
        <v>42304</v>
      </c>
      <c r="J5780" s="5" t="s">
        <v>678</v>
      </c>
      <c r="K5780" s="5" t="s">
        <v>344</v>
      </c>
      <c r="L5780" s="5" t="s">
        <v>42305</v>
      </c>
      <c r="M5780" s="27">
        <v>8268634</v>
      </c>
      <c r="N5780" s="5" t="s">
        <v>58061</v>
      </c>
      <c r="O5780" s="5" t="str">
        <v>4205127911</v>
      </c>
      <c r="P5780" s="27">
        <v>10000000</v>
      </c>
      <c r="Q5780" s="5" t="s">
        <v>58062</v>
      </c>
      <c r="R5780" s="5"/>
      <c r="S5780" s="5" t="s">
        <v>58063</v>
      </c>
      <c r="T5780" s="28">
        <v>29462000</v>
      </c>
      <c r="U5780" s="28"/>
      <c r="V5780" s="28">
        <v>2891086000</v>
      </c>
      <c r="W5780" s="28"/>
      <c r="X5780" s="28">
        <v>48031000</v>
      </c>
      <c r="Y5780" s="28">
        <v>4058117000</v>
      </c>
      <c r="Z5780" s="28">
        <v>1021386000</v>
      </c>
      <c r="AA5780" s="28"/>
      <c r="AB5780" s="28">
        <v>1920510000</v>
      </c>
      <c r="AC5780" s="28">
        <v>3024585000</v>
      </c>
      <c r="AD5780" s="28">
        <v>1031386000</v>
      </c>
      <c r="AE5780" s="28">
        <v>23407447000</v>
      </c>
      <c r="AF5780" s="28">
        <v>665384000</v>
      </c>
      <c r="AG5780" s="11"/>
    </row>
    <row r="5781">
      <c r="A5781" s="7" t="s">
        <v>7383</v>
      </c>
      <c r="B5781" s="5" t="s">
        <v>15333</v>
      </c>
      <c r="C5781" s="5" t="s">
        <v>23006</v>
      </c>
      <c r="D5781" s="5" t="str">
        <v>860201647077</v>
      </c>
      <c r="E5781" s="0" t="e">
        <f>+7 (346) 2518190
+7 (982) 5625108
+7 (346) 2212101
+7 (346) 2212158
+7 (346) 2940254</f>
        <v>#NAME?</v>
      </c>
      <c r="F5781" s="5" t="s">
        <v>42306</v>
      </c>
      <c r="G5781" s="5"/>
      <c r="H5781" s="26">
        <v>23.5</v>
      </c>
      <c r="I5781" s="5" t="s">
        <v>42307</v>
      </c>
      <c r="J5781" s="5" t="s">
        <v>991</v>
      </c>
      <c r="K5781" s="5" t="s">
        <v>344</v>
      </c>
      <c r="L5781" s="5"/>
      <c r="M5781" s="27"/>
      <c r="N5781" s="5" t="s">
        <v>58064</v>
      </c>
      <c r="O5781" s="5" t="str">
        <v>8602289810</v>
      </c>
      <c r="P5781" s="27">
        <v>85000</v>
      </c>
      <c r="Q5781" s="5"/>
      <c r="R5781" s="5"/>
      <c r="S5781" s="5" t="s">
        <v>49399</v>
      </c>
      <c r="T5781" s="28">
        <v>1507533000</v>
      </c>
      <c r="U5781" s="28"/>
      <c r="V5781" s="28">
        <v>829300000</v>
      </c>
      <c r="W5781" s="28">
        <v>55619000</v>
      </c>
      <c r="X5781" s="28">
        <v>11535000</v>
      </c>
      <c r="Y5781" s="28">
        <v>3963754000</v>
      </c>
      <c r="Z5781" s="28">
        <v>-197792000</v>
      </c>
      <c r="AA5781" s="28">
        <v>877964000</v>
      </c>
      <c r="AB5781" s="28">
        <v>21000</v>
      </c>
      <c r="AC5781" s="28">
        <v>2040969000</v>
      </c>
      <c r="AD5781" s="28">
        <v>-197622000</v>
      </c>
      <c r="AE5781" s="28">
        <v>4173083000</v>
      </c>
      <c r="AF5781" s="28">
        <v>32211000</v>
      </c>
      <c r="AG5781" s="11"/>
    </row>
    <row r="5782">
      <c r="A5782" s="7" t="s">
        <v>7384</v>
      </c>
      <c r="B5782" s="5" t="s">
        <v>15334</v>
      </c>
      <c r="C5782" s="5" t="s">
        <v>23007</v>
      </c>
      <c r="D5782" s="5" t="str">
        <v>222408074113</v>
      </c>
      <c r="E5782" s="0" t="e">
        <f>+7 (385) 2398710
+7 (385) 2567907</f>
        <v>#NAME?</v>
      </c>
      <c r="F5782" s="5" t="s">
        <v>42308</v>
      </c>
      <c r="G5782" s="5" t="s">
        <v>42309</v>
      </c>
      <c r="H5782" s="26">
        <v>10</v>
      </c>
      <c r="I5782" s="5" t="s">
        <v>42310</v>
      </c>
      <c r="J5782" s="5" t="s">
        <v>27956</v>
      </c>
      <c r="K5782" s="5" t="s">
        <v>344</v>
      </c>
      <c r="L5782" s="5" t="s">
        <v>42311</v>
      </c>
      <c r="M5782" s="27">
        <v>4298520</v>
      </c>
      <c r="N5782" s="5" t="s">
        <v>58065</v>
      </c>
      <c r="O5782" s="5" t="str">
        <v>2224157516</v>
      </c>
      <c r="P5782" s="27">
        <v>10000</v>
      </c>
      <c r="Q5782" s="5" t="s">
        <v>58066</v>
      </c>
      <c r="R5782" s="5"/>
      <c r="S5782" s="5" t="s">
        <v>50119</v>
      </c>
      <c r="T5782" s="28">
        <v>1000</v>
      </c>
      <c r="U5782" s="28"/>
      <c r="V5782" s="28">
        <v>182146000</v>
      </c>
      <c r="W5782" s="28"/>
      <c r="X5782" s="28">
        <v>27000</v>
      </c>
      <c r="Y5782" s="28">
        <v>182260000</v>
      </c>
      <c r="Z5782" s="28">
        <v>24216000</v>
      </c>
      <c r="AA5782" s="28"/>
      <c r="AB5782" s="28">
        <v>56364000</v>
      </c>
      <c r="AC5782" s="28">
        <v>158034000</v>
      </c>
      <c r="AD5782" s="28">
        <v>24226000</v>
      </c>
      <c r="AE5782" s="28">
        <v>3012156000</v>
      </c>
      <c r="AF5782" s="28">
        <v>40554000</v>
      </c>
      <c r="AG5782" s="11"/>
    </row>
    <row r="5783">
      <c r="A5783" s="7" t="s">
        <v>7385</v>
      </c>
      <c r="B5783" s="5" t="s">
        <v>15335</v>
      </c>
      <c r="C5783" s="5" t="s">
        <v>23008</v>
      </c>
      <c r="D5783" s="5" t="str">
        <v>540221915661</v>
      </c>
      <c r="E5783" s="0" t="e">
        <f>+7 (383) 3633770
+7 (383) 2258498
+7 (383) 2286304
+7 (383) 3633771
+7 (383) 3633778
+7 (913) 7993267
+7 (913) 9292616</f>
        <v>#NAME?</v>
      </c>
      <c r="F5783" s="5" t="s">
        <v>42312</v>
      </c>
      <c r="G5783" s="5"/>
      <c r="H5783" s="26">
        <v>18</v>
      </c>
      <c r="I5783" s="5" t="s">
        <v>42313</v>
      </c>
      <c r="J5783" s="5" t="s">
        <v>33361</v>
      </c>
      <c r="K5783" s="5" t="s">
        <v>344</v>
      </c>
      <c r="L5783" s="5"/>
      <c r="M5783" s="27">
        <v>33754663</v>
      </c>
      <c r="N5783" s="5"/>
      <c r="O5783" s="5" t="str">
        <v>5406305355</v>
      </c>
      <c r="P5783" s="27">
        <v>38645800</v>
      </c>
      <c r="Q5783" s="5" t="s">
        <v>447</v>
      </c>
      <c r="R5783" s="5"/>
      <c r="S5783" s="5" t="s">
        <v>58067</v>
      </c>
      <c r="T5783" s="28">
        <v>2848695000</v>
      </c>
      <c r="U5783" s="28"/>
      <c r="V5783" s="28">
        <v>2680076000</v>
      </c>
      <c r="W5783" s="28">
        <v>9673000</v>
      </c>
      <c r="X5783" s="28">
        <v>96833000</v>
      </c>
      <c r="Y5783" s="28">
        <v>6965583000</v>
      </c>
      <c r="Z5783" s="28">
        <v>985980000</v>
      </c>
      <c r="AA5783" s="28">
        <v>3282263000</v>
      </c>
      <c r="AB5783" s="28">
        <v>6331000</v>
      </c>
      <c r="AC5783" s="28">
        <v>2264476000</v>
      </c>
      <c r="AD5783" s="28">
        <v>1024626000</v>
      </c>
      <c r="AE5783" s="28">
        <v>6202206000</v>
      </c>
      <c r="AF5783" s="28">
        <v>149078000</v>
      </c>
      <c r="AG5783" s="11"/>
    </row>
    <row r="5784">
      <c r="A5784" s="7" t="s">
        <v>7386</v>
      </c>
      <c r="B5784" s="5" t="s">
        <v>15336</v>
      </c>
      <c r="C5784" s="5" t="s">
        <v>23009</v>
      </c>
      <c r="D5784" s="5" t="str">
        <v>190105297662</v>
      </c>
      <c r="E5784" s="0" t="e">
        <f>+7 (391) 2023404
+7 (391) 2432938
+7 (391) 2436450
+7 (950) 4249184</f>
        <v>#NAME?</v>
      </c>
      <c r="F5784" s="5" t="s">
        <v>42314</v>
      </c>
      <c r="G5784" s="5" t="s">
        <v>42315</v>
      </c>
      <c r="H5784" s="26">
        <v>22</v>
      </c>
      <c r="I5784" s="5" t="s">
        <v>42316</v>
      </c>
      <c r="J5784" s="5" t="s">
        <v>26939</v>
      </c>
      <c r="K5784" s="5" t="s">
        <v>344</v>
      </c>
      <c r="L5784" s="5" t="s">
        <v>42317</v>
      </c>
      <c r="M5784" s="27">
        <v>3876940</v>
      </c>
      <c r="N5784" s="5" t="s">
        <v>58068</v>
      </c>
      <c r="O5784" s="5" t="str">
        <v>2460048358</v>
      </c>
      <c r="P5784" s="27">
        <v>300000000</v>
      </c>
      <c r="Q5784" s="5" t="s">
        <v>58069</v>
      </c>
      <c r="R5784" s="5"/>
      <c r="S5784" s="5" t="s">
        <v>58070</v>
      </c>
      <c r="T5784" s="28">
        <v>534300000</v>
      </c>
      <c r="U5784" s="28">
        <v>64198000</v>
      </c>
      <c r="V5784" s="28">
        <v>319068000</v>
      </c>
      <c r="W5784" s="28">
        <v>10000000</v>
      </c>
      <c r="X5784" s="28">
        <v>339475000</v>
      </c>
      <c r="Y5784" s="28">
        <v>1975130000</v>
      </c>
      <c r="Z5784" s="28">
        <v>921631000</v>
      </c>
      <c r="AA5784" s="28"/>
      <c r="AB5784" s="28"/>
      <c r="AC5784" s="28">
        <v>587024000</v>
      </c>
      <c r="AD5784" s="28">
        <v>1251296000</v>
      </c>
      <c r="AE5784" s="28">
        <v>4780511000</v>
      </c>
      <c r="AF5784" s="28">
        <v>891377000</v>
      </c>
      <c r="AG5784" s="11"/>
    </row>
    <row r="5785">
      <c r="A5785" s="7" t="s">
        <v>7387</v>
      </c>
      <c r="B5785" s="5" t="s">
        <v>15337</v>
      </c>
      <c r="C5785" s="5" t="s">
        <v>23010</v>
      </c>
      <c r="D5785" s="5" t="str">
        <v>770403038593</v>
      </c>
      <c r="E5785" s="0" t="e">
        <f>+7 (495) 7775500</f>
        <v>#NAME?</v>
      </c>
      <c r="F5785" s="5" t="s">
        <v>42318</v>
      </c>
      <c r="G5785" s="5"/>
      <c r="H5785" s="26">
        <v>5.5</v>
      </c>
      <c r="I5785" s="5" t="s">
        <v>42319</v>
      </c>
      <c r="J5785" s="5" t="s">
        <v>881</v>
      </c>
      <c r="K5785" s="5" t="s">
        <v>344</v>
      </c>
      <c r="L5785" s="5" t="s">
        <v>42320</v>
      </c>
      <c r="M5785" s="27"/>
      <c r="N5785" s="5"/>
      <c r="O5785" s="5" t="str">
        <v>7206057388</v>
      </c>
      <c r="P5785" s="27">
        <v>10000000</v>
      </c>
      <c r="Q5785" s="5"/>
      <c r="R5785" s="5"/>
      <c r="S5785" s="5" t="s">
        <v>49121</v>
      </c>
      <c r="T5785" s="28">
        <v>96671000</v>
      </c>
      <c r="U5785" s="28"/>
      <c r="V5785" s="28">
        <v>2307773000</v>
      </c>
      <c r="W5785" s="28"/>
      <c r="X5785" s="28">
        <v>2298000</v>
      </c>
      <c r="Y5785" s="28">
        <v>2467930000</v>
      </c>
      <c r="Z5785" s="28">
        <v>840470000</v>
      </c>
      <c r="AA5785" s="28"/>
      <c r="AB5785" s="28">
        <v>354942000</v>
      </c>
      <c r="AC5785" s="28">
        <v>1606437000</v>
      </c>
      <c r="AD5785" s="28">
        <v>850470000</v>
      </c>
      <c r="AE5785" s="28">
        <v>5562094000</v>
      </c>
      <c r="AF5785" s="28">
        <v>434409000</v>
      </c>
      <c r="AG5785" s="11"/>
    </row>
    <row r="5786">
      <c r="A5786" s="7" t="s">
        <v>7388</v>
      </c>
      <c r="B5786" s="5" t="s">
        <v>15338</v>
      </c>
      <c r="C5786" s="5" t="s">
        <v>23011</v>
      </c>
      <c r="D5786" s="5" t="str">
        <v>780155942117</v>
      </c>
      <c r="E5786" s="0" t="e">
        <f>+7 (382) 2703009
+7 (495) 7775500</f>
        <v>#NAME?</v>
      </c>
      <c r="F5786" s="5" t="s">
        <v>42321</v>
      </c>
      <c r="G5786" s="5" t="s">
        <v>42322</v>
      </c>
      <c r="H5786" s="26">
        <v>17</v>
      </c>
      <c r="I5786" s="5" t="s">
        <v>42323</v>
      </c>
      <c r="J5786" s="5" t="s">
        <v>30185</v>
      </c>
      <c r="K5786" s="5" t="s">
        <v>355</v>
      </c>
      <c r="L5786" s="5"/>
      <c r="M5786" s="27"/>
      <c r="N5786" s="5"/>
      <c r="O5786" s="5" t="str">
        <v>7727576505</v>
      </c>
      <c r="P5786" s="27">
        <v>1605700548</v>
      </c>
      <c r="Q5786" s="5" t="s">
        <v>49009</v>
      </c>
      <c r="R5786" s="5" t="s">
        <v>58072</v>
      </c>
      <c r="S5786" s="5" t="s">
        <v>52597</v>
      </c>
      <c r="T5786" s="28">
        <v>8783571000</v>
      </c>
      <c r="U5786" s="28">
        <v>450741000</v>
      </c>
      <c r="V5786" s="28">
        <v>10248009000</v>
      </c>
      <c r="W5786" s="28"/>
      <c r="X5786" s="28">
        <v>41750000</v>
      </c>
      <c r="Y5786" s="28">
        <v>22592803000</v>
      </c>
      <c r="Z5786" s="28">
        <v>-1528688000</v>
      </c>
      <c r="AA5786" s="28"/>
      <c r="AB5786" s="28">
        <v>10083022000</v>
      </c>
      <c r="AC5786" s="28">
        <v>18856244000</v>
      </c>
      <c r="AD5786" s="28">
        <v>1202395000</v>
      </c>
      <c r="AE5786" s="28">
        <v>25973938000</v>
      </c>
      <c r="AF5786" s="28">
        <v>811405000</v>
      </c>
      <c r="AG5786" s="11"/>
    </row>
    <row r="5787">
      <c r="A5787" s="7" t="s">
        <v>7389</v>
      </c>
      <c r="B5787" s="5" t="s">
        <v>15339</v>
      </c>
      <c r="C5787" s="5" t="s">
        <v>23012</v>
      </c>
      <c r="D5787" s="5" t="str">
        <v>503506909946</v>
      </c>
      <c r="E5787" s="0" t="e">
        <f>+7 (495) 7775500
+7 (831) 2783614
+7 (831) 2783961
+7 (831) 2784327
+7 (8313) 237237
+7 (8313) 275009
+7 (8313) 275122
+7 (8313) 275440
+7 (8313) 275555
+7 (8313) 275684
+7 (8313) 275909
+7 (8313) 275999</f>
        <v>#NAME?</v>
      </c>
      <c r="F5787" s="5" t="s">
        <v>42324</v>
      </c>
      <c r="G5787" s="5" t="s">
        <v>42325</v>
      </c>
      <c r="H5787" s="26">
        <v>23</v>
      </c>
      <c r="I5787" s="5"/>
      <c r="J5787" s="5" t="s">
        <v>25495</v>
      </c>
      <c r="K5787" s="5" t="s">
        <v>355</v>
      </c>
      <c r="L5787" s="5"/>
      <c r="M5787" s="27"/>
      <c r="N5787" s="5"/>
      <c r="O5787" s="5" t="str">
        <v>5249051203</v>
      </c>
      <c r="P5787" s="27">
        <v>12555000000</v>
      </c>
      <c r="Q5787" s="5" t="s">
        <v>49009</v>
      </c>
      <c r="R5787" s="5"/>
      <c r="S5787" s="5" t="s">
        <v>49180</v>
      </c>
      <c r="T5787" s="28">
        <v>24738586000</v>
      </c>
      <c r="U5787" s="28"/>
      <c r="V5787" s="28">
        <v>808250000</v>
      </c>
      <c r="W5787" s="28"/>
      <c r="X5787" s="28">
        <v>25302000</v>
      </c>
      <c r="Y5787" s="28">
        <v>27254071000</v>
      </c>
      <c r="Z5787" s="28">
        <v>3382051000</v>
      </c>
      <c r="AA5787" s="28"/>
      <c r="AB5787" s="28">
        <v>3499933000</v>
      </c>
      <c r="AC5787" s="28">
        <v>5957111000</v>
      </c>
      <c r="AD5787" s="28">
        <v>19218791000</v>
      </c>
      <c r="AE5787" s="28">
        <v>7157146000</v>
      </c>
      <c r="AF5787" s="28">
        <v>670662000</v>
      </c>
      <c r="AG5787" s="11"/>
    </row>
    <row r="5788">
      <c r="A5788" s="7" t="s">
        <v>7390</v>
      </c>
      <c r="B5788" s="5" t="s">
        <v>15340</v>
      </c>
      <c r="C5788" s="5" t="s">
        <v>23013</v>
      </c>
      <c r="D5788" s="5" t="str">
        <v>861000866458</v>
      </c>
      <c r="E5788" s="0" t="e">
        <f>+7 (3422) 204011
+7 (3422) 307153
+7 (3422) 908216
+7 (3422) 908272
+7 (3422) 908314
+7 (3422) 908373
+7 (3422) 908394
+7 (3422) 908439
+7 (3422) 908604
+7 (3422) 908633
+7 (3422) 908641
+7 (3422) 908660
+7 (3422) 908672
+7 (3422) 908795</f>
        <v>#NAME?</v>
      </c>
      <c r="F5788" s="5" t="s">
        <v>42326</v>
      </c>
      <c r="G5788" s="5"/>
      <c r="H5788" s="26">
        <v>22.5</v>
      </c>
      <c r="I5788" s="5" t="s">
        <v>42327</v>
      </c>
      <c r="J5788" s="5" t="s">
        <v>25495</v>
      </c>
      <c r="K5788" s="5" t="s">
        <v>344</v>
      </c>
      <c r="L5788" s="5"/>
      <c r="M5788" s="27"/>
      <c r="N5788" s="5"/>
      <c r="O5788" s="5" t="str">
        <v>5905018998</v>
      </c>
      <c r="P5788" s="27">
        <v>2839321300</v>
      </c>
      <c r="Q5788" s="5" t="s">
        <v>49009</v>
      </c>
      <c r="R5788" s="5"/>
      <c r="S5788" s="5" t="s">
        <v>49066</v>
      </c>
      <c r="T5788" s="28">
        <v>16955539000</v>
      </c>
      <c r="U5788" s="28">
        <v>9206000</v>
      </c>
      <c r="V5788" s="28">
        <v>1730313000</v>
      </c>
      <c r="W5788" s="28">
        <v>1015000</v>
      </c>
      <c r="X5788" s="28">
        <v>15892000</v>
      </c>
      <c r="Y5788" s="28">
        <v>21741707000</v>
      </c>
      <c r="Z5788" s="28">
        <v>8170018000</v>
      </c>
      <c r="AA5788" s="28"/>
      <c r="AB5788" s="28">
        <v>1569000</v>
      </c>
      <c r="AC5788" s="28">
        <v>1571233000</v>
      </c>
      <c r="AD5788" s="28">
        <v>19059582000</v>
      </c>
      <c r="AE5788" s="28">
        <v>10762515000</v>
      </c>
      <c r="AF5788" s="28">
        <v>680396000</v>
      </c>
      <c r="AG5788" s="11"/>
    </row>
    <row r="5789">
      <c r="A5789" s="7" t="s">
        <v>7391</v>
      </c>
      <c r="B5789" s="5" t="s">
        <v>15341</v>
      </c>
      <c r="C5789" s="5" t="s">
        <v>23014</v>
      </c>
      <c r="D5789" s="5" t="str">
        <v>860223930680</v>
      </c>
      <c r="E5789" s="0" t="e">
        <f>+7 (915) 2082012
+7 (3466) 241341
+7 (3466) 241430
+7 (3466) 294615
+7 (3466) 294748
+7 (3466) 493756
+7 (3466) 494072
+7 (3466) 494203
+7 (3466) 494303
+7 (3466) 494306
+7 (3466) 494383</f>
        <v>#NAME?</v>
      </c>
      <c r="F5789" s="5" t="s">
        <v>42328</v>
      </c>
      <c r="G5789" s="5" t="s">
        <v>42329</v>
      </c>
      <c r="H5789" s="26">
        <v>19.5</v>
      </c>
      <c r="I5789" s="5" t="s">
        <v>42330</v>
      </c>
      <c r="J5789" s="5" t="s">
        <v>28010</v>
      </c>
      <c r="K5789" s="5" t="s">
        <v>344</v>
      </c>
      <c r="L5789" s="5"/>
      <c r="M5789" s="27">
        <v>151921489</v>
      </c>
      <c r="N5789" s="5" t="s">
        <v>58073</v>
      </c>
      <c r="O5789" s="5" t="str">
        <v>7202116628</v>
      </c>
      <c r="P5789" s="27">
        <v>75691000000</v>
      </c>
      <c r="Q5789" s="5" t="s">
        <v>49009</v>
      </c>
      <c r="R5789" s="5" t="s">
        <v>58074</v>
      </c>
      <c r="S5789" s="5" t="s">
        <v>58075</v>
      </c>
      <c r="T5789" s="28">
        <v>69302134000</v>
      </c>
      <c r="U5789" s="28">
        <v>6032070000</v>
      </c>
      <c r="V5789" s="28">
        <v>23909941000</v>
      </c>
      <c r="W5789" s="28">
        <v>621417000</v>
      </c>
      <c r="X5789" s="28">
        <v>12991000</v>
      </c>
      <c r="Y5789" s="28">
        <v>113544224000</v>
      </c>
      <c r="Z5789" s="28">
        <v>-56820068000</v>
      </c>
      <c r="AA5789" s="28"/>
      <c r="AB5789" s="28"/>
      <c r="AC5789" s="28">
        <v>7804908000</v>
      </c>
      <c r="AD5789" s="28">
        <v>98729702000</v>
      </c>
      <c r="AE5789" s="28">
        <v>36323848000</v>
      </c>
      <c r="AF5789" s="28">
        <v>1233930000</v>
      </c>
      <c r="AG5789" s="11"/>
    </row>
    <row r="5790">
      <c r="A5790" s="7" t="s">
        <v>7392</v>
      </c>
      <c r="B5790" s="5" t="s">
        <v>10967</v>
      </c>
      <c r="C5790" s="5" t="s">
        <v>23015</v>
      </c>
      <c r="D5790" s="5" t="str">
        <v>366221700618</v>
      </c>
      <c r="E5790" s="0" t="e">
        <f>+7 (473) 2280233
+7 (473) 2280234
+7 (473) 2280300
+7 (473) 2321138</f>
        <v>#NAME?</v>
      </c>
      <c r="F5790" s="5" t="s">
        <v>42331</v>
      </c>
      <c r="G5790" s="5"/>
      <c r="H5790" s="26">
        <v>16.5</v>
      </c>
      <c r="I5790" s="5"/>
      <c r="J5790" s="5" t="s">
        <v>26623</v>
      </c>
      <c r="K5790" s="5" t="s">
        <v>344</v>
      </c>
      <c r="L5790" s="5" t="s">
        <v>42332</v>
      </c>
      <c r="M5790" s="27">
        <v>84526408</v>
      </c>
      <c r="N5790" s="5" t="s">
        <v>58076</v>
      </c>
      <c r="O5790" s="5" t="str">
        <v>7727276526</v>
      </c>
      <c r="P5790" s="27">
        <v>1590000</v>
      </c>
      <c r="Q5790" s="5" t="s">
        <v>58077</v>
      </c>
      <c r="R5790" s="5"/>
      <c r="S5790" s="5" t="s">
        <v>49496</v>
      </c>
      <c r="T5790" s="28">
        <v>1178000</v>
      </c>
      <c r="U5790" s="28"/>
      <c r="V5790" s="28">
        <v>2255828000</v>
      </c>
      <c r="W5790" s="28">
        <v>1348000</v>
      </c>
      <c r="X5790" s="28">
        <v>221000</v>
      </c>
      <c r="Y5790" s="28">
        <v>2327942000</v>
      </c>
      <c r="Z5790" s="28">
        <v>586250000</v>
      </c>
      <c r="AA5790" s="28"/>
      <c r="AB5790" s="28">
        <v>403404000</v>
      </c>
      <c r="AC5790" s="28">
        <v>1736308000</v>
      </c>
      <c r="AD5790" s="28">
        <v>587920000</v>
      </c>
      <c r="AE5790" s="28">
        <v>25251516000</v>
      </c>
      <c r="AF5790" s="28">
        <v>44089000</v>
      </c>
      <c r="AG5790" s="11"/>
    </row>
    <row r="5791">
      <c r="A5791" s="7" t="s">
        <v>7393</v>
      </c>
      <c r="B5791" s="5" t="s">
        <v>15342</v>
      </c>
      <c r="C5791" s="5" t="s">
        <v>17665</v>
      </c>
      <c r="D5791" s="5"/>
      <c r="E5791" s="0" t="e">
        <f>+7 (383) 2036834
+7 (383) 2070142
+7 (383) 2074512
+7 (383) 2101909
+7 (383) 2143644
+7 (383) 2223322
+7 (383) 2224254
+7 (383) 2232311
+7 (383) 2232312
+7 (383) 2235454
+7 (383) 2260953
+7 (383) 2265487
+7 (383) 2269317
+7 (383) 2278035
+7 (383) 2238401</f>
        <v>#NAME?</v>
      </c>
      <c r="F5791" s="5" t="s">
        <v>42333</v>
      </c>
      <c r="G5791" s="5" t="s">
        <v>42334</v>
      </c>
      <c r="H5791" s="26">
        <v>19</v>
      </c>
      <c r="I5791" s="5" t="s">
        <v>42335</v>
      </c>
      <c r="J5791" s="5" t="s">
        <v>25295</v>
      </c>
      <c r="K5791" s="5" t="s">
        <v>344</v>
      </c>
      <c r="L5791" s="5" t="s">
        <v>42336</v>
      </c>
      <c r="M5791" s="27">
        <v>201508512</v>
      </c>
      <c r="N5791" s="5" t="s">
        <v>58078</v>
      </c>
      <c r="O5791" s="5" t="str">
        <v>5405270340</v>
      </c>
      <c r="P5791" s="27">
        <v>8348956000</v>
      </c>
      <c r="Q5791" s="5" t="s">
        <v>58079</v>
      </c>
      <c r="R5791" s="5" t="s">
        <v>58080</v>
      </c>
      <c r="S5791" s="5" t="s">
        <v>49288</v>
      </c>
      <c r="T5791" s="28">
        <v>18410490000</v>
      </c>
      <c r="U5791" s="28">
        <v>7981161000</v>
      </c>
      <c r="V5791" s="28">
        <v>5485254000</v>
      </c>
      <c r="W5791" s="28">
        <v>9671946000</v>
      </c>
      <c r="X5791" s="28">
        <v>26618000</v>
      </c>
      <c r="Y5791" s="28">
        <v>44476108000</v>
      </c>
      <c r="Z5791" s="28">
        <v>23777310000</v>
      </c>
      <c r="AA5791" s="28"/>
      <c r="AB5791" s="28"/>
      <c r="AC5791" s="28">
        <v>7394808000</v>
      </c>
      <c r="AD5791" s="28">
        <v>34609866000</v>
      </c>
      <c r="AE5791" s="28">
        <v>38347215000</v>
      </c>
      <c r="AF5791" s="28">
        <v>4818946000</v>
      </c>
      <c r="AG5791" s="11"/>
    </row>
    <row r="5792">
      <c r="A5792" s="7" t="s">
        <v>7394</v>
      </c>
      <c r="B5792" s="5" t="s">
        <v>15343</v>
      </c>
      <c r="C5792" s="5" t="s">
        <v>23016</v>
      </c>
      <c r="D5792" s="5" t="str">
        <v>421708331365</v>
      </c>
      <c r="E5792" s="0" t="e">
        <f>+7 (384) 3993521
+7 (3843) 463826
+7 (3843) 552731
+7 (3843) 552807
+7 (3843) 558685
+7 (3843) 558695
+7 (3843) 558730
+7 (3843) 558778
+7 (3843) 558793
+7 (3843) 558826
+7 (3843) 558833
+7 (3843) 993550</f>
        <v>#NAME?</v>
      </c>
      <c r="F5792" s="5" t="s">
        <v>42337</v>
      </c>
      <c r="G5792" s="5"/>
      <c r="H5792" s="26">
        <v>21.5</v>
      </c>
      <c r="I5792" s="5" t="s">
        <v>42338</v>
      </c>
      <c r="J5792" s="5" t="s">
        <v>40341</v>
      </c>
      <c r="K5792" s="5" t="s">
        <v>344</v>
      </c>
      <c r="L5792" s="5"/>
      <c r="M5792" s="27">
        <v>3899111</v>
      </c>
      <c r="N5792" s="5"/>
      <c r="O5792" s="5" t="str">
        <v>4217048100</v>
      </c>
      <c r="P5792" s="27">
        <v>1054287339</v>
      </c>
      <c r="Q5792" s="5"/>
      <c r="R5792" s="5" t="s">
        <v>58081</v>
      </c>
      <c r="S5792" s="5" t="s">
        <v>49132</v>
      </c>
      <c r="T5792" s="28">
        <v>2175481000</v>
      </c>
      <c r="U5792" s="28"/>
      <c r="V5792" s="28">
        <v>1543645000</v>
      </c>
      <c r="W5792" s="28"/>
      <c r="X5792" s="28">
        <v>10483000</v>
      </c>
      <c r="Y5792" s="28">
        <v>5735682000</v>
      </c>
      <c r="Z5792" s="28">
        <v>-10951321000</v>
      </c>
      <c r="AA5792" s="28">
        <v>12011762000</v>
      </c>
      <c r="AB5792" s="28">
        <v>2187608000</v>
      </c>
      <c r="AC5792" s="28">
        <v>2670015000</v>
      </c>
      <c r="AD5792" s="28">
        <v>-9897034000</v>
      </c>
      <c r="AE5792" s="28">
        <v>6731355000</v>
      </c>
      <c r="AF5792" s="28">
        <v>-706725000</v>
      </c>
      <c r="AG5792" s="11"/>
    </row>
    <row r="5793">
      <c r="A5793" s="7" t="s">
        <v>7395</v>
      </c>
      <c r="B5793" s="5" t="s">
        <v>15344</v>
      </c>
      <c r="C5793" s="5" t="s">
        <v>23017</v>
      </c>
      <c r="D5793" s="5" t="str">
        <v>772105719858</v>
      </c>
      <c r="E5793" s="0" t="e">
        <f>+7 (391) 2555103
+7 (391) 2565196
+7 (384) 2453996
+7 (384) 2458812
+7 (391) 2555109
+7 (391) 2646136
+7 (495) 3638990
+7 (499) 4060320</f>
        <v>#NAME?</v>
      </c>
      <c r="F5793" s="5" t="s">
        <v>42339</v>
      </c>
      <c r="G5793" s="5"/>
      <c r="H5793" s="26">
        <v>19</v>
      </c>
      <c r="I5793" s="5"/>
      <c r="J5793" s="5" t="s">
        <v>25295</v>
      </c>
      <c r="K5793" s="5" t="s">
        <v>344</v>
      </c>
      <c r="L5793" s="5" t="s">
        <v>42340</v>
      </c>
      <c r="M5793" s="27">
        <v>44181529</v>
      </c>
      <c r="N5793" s="5" t="s">
        <v>58082</v>
      </c>
      <c r="O5793" s="5" t="str">
        <v>2462028886</v>
      </c>
      <c r="P5793" s="27">
        <v>671759875</v>
      </c>
      <c r="Q5793" s="5" t="s">
        <v>58084</v>
      </c>
      <c r="R5793" s="5" t="s">
        <v>58085</v>
      </c>
      <c r="S5793" s="5" t="s">
        <v>58086</v>
      </c>
      <c r="T5793" s="28">
        <v>791519000</v>
      </c>
      <c r="U5793" s="28"/>
      <c r="V5793" s="28">
        <v>23701081000</v>
      </c>
      <c r="W5793" s="28">
        <v>134988000</v>
      </c>
      <c r="X5793" s="28">
        <v>623000</v>
      </c>
      <c r="Y5793" s="28">
        <v>41210010000</v>
      </c>
      <c r="Z5793" s="28">
        <v>1927601000</v>
      </c>
      <c r="AA5793" s="28"/>
      <c r="AB5793" s="28">
        <v>443000</v>
      </c>
      <c r="AC5793" s="28">
        <v>12100077000</v>
      </c>
      <c r="AD5793" s="28">
        <v>3852949000</v>
      </c>
      <c r="AE5793" s="28">
        <v>26775377000</v>
      </c>
      <c r="AF5793" s="28">
        <v>1025030000</v>
      </c>
      <c r="AG5793" s="11"/>
    </row>
    <row r="5794">
      <c r="A5794" s="7" t="s">
        <v>7396</v>
      </c>
      <c r="B5794" s="5" t="s">
        <v>15345</v>
      </c>
      <c r="C5794" s="5" t="s">
        <v>23018</v>
      </c>
      <c r="D5794" s="5" t="str">
        <v>410111461501</v>
      </c>
      <c r="E5794" s="0" t="e">
        <f>+7 (421) 2477187
+7 (421) 2477826
+7 (421) 2914101
+7 (4232) 652073
+7 (4232) 652074</f>
        <v>#NAME?</v>
      </c>
      <c r="F5794" s="5" t="s">
        <v>41971</v>
      </c>
      <c r="G5794" s="5" t="s">
        <v>42341</v>
      </c>
      <c r="H5794" s="26">
        <v>21</v>
      </c>
      <c r="I5794" s="5" t="s">
        <v>42342</v>
      </c>
      <c r="J5794" s="5" t="s">
        <v>26424</v>
      </c>
      <c r="K5794" s="5" t="s">
        <v>344</v>
      </c>
      <c r="L5794" s="5"/>
      <c r="M5794" s="27"/>
      <c r="N5794" s="5"/>
      <c r="O5794" s="5" t="str">
        <v>2723050060</v>
      </c>
      <c r="P5794" s="27">
        <v>10000</v>
      </c>
      <c r="Q5794" s="5" t="s">
        <v>49009</v>
      </c>
      <c r="R5794" s="5" t="s">
        <v>58087</v>
      </c>
      <c r="S5794" s="5" t="s">
        <v>49066</v>
      </c>
      <c r="T5794" s="28">
        <v>1464546000</v>
      </c>
      <c r="U5794" s="28">
        <v>1447018000</v>
      </c>
      <c r="V5794" s="28">
        <v>192958000</v>
      </c>
      <c r="W5794" s="28">
        <v>70736000</v>
      </c>
      <c r="X5794" s="28">
        <v>672131000</v>
      </c>
      <c r="Y5794" s="28">
        <v>5180799000</v>
      </c>
      <c r="Z5794" s="28">
        <v>2100347000</v>
      </c>
      <c r="AA5794" s="28">
        <v>2734889000</v>
      </c>
      <c r="AB5794" s="28">
        <v>69284000</v>
      </c>
      <c r="AC5794" s="28">
        <v>278935000</v>
      </c>
      <c r="AD5794" s="28">
        <v>2100357000</v>
      </c>
      <c r="AE5794" s="28">
        <v>4094999000</v>
      </c>
      <c r="AF5794" s="28">
        <v>349785000</v>
      </c>
      <c r="AG5794" s="11"/>
    </row>
    <row r="5795">
      <c r="A5795" s="7" t="s">
        <v>7397</v>
      </c>
      <c r="B5795" s="5" t="s">
        <v>15346</v>
      </c>
      <c r="C5795" s="5" t="s">
        <v>23019</v>
      </c>
      <c r="D5795" s="5" t="str">
        <v>741100350799</v>
      </c>
      <c r="E5795" s="0" t="e">
        <f>+7 (3512) 253168
+7 (3512) 212568
+7 (35139) 35577
+7 (35139) 35674
+7 (35139) 35675
+7 (35139) 36277
+7 (35139) 77148
+7 (3517) 785138
+7 (919) 3333474
+7 (950) 7404970</f>
        <v>#NAME?</v>
      </c>
      <c r="F5795" s="5"/>
      <c r="G5795" s="5" t="s">
        <v>42343</v>
      </c>
      <c r="H5795" s="26">
        <v>16</v>
      </c>
      <c r="I5795" s="5" t="s">
        <v>42344</v>
      </c>
      <c r="J5795" s="5" t="s">
        <v>25253</v>
      </c>
      <c r="K5795" s="5" t="s">
        <v>344</v>
      </c>
      <c r="L5795" s="5" t="s">
        <v>42345</v>
      </c>
      <c r="M5795" s="27"/>
      <c r="N5795" s="5"/>
      <c r="O5795" s="5" t="str">
        <v>7411024226</v>
      </c>
      <c r="P5795" s="27">
        <v>150000</v>
      </c>
      <c r="Q5795" s="5" t="s">
        <v>58088</v>
      </c>
      <c r="R5795" s="5"/>
      <c r="S5795" s="5" t="s">
        <v>49444</v>
      </c>
      <c r="T5795" s="28"/>
      <c r="U5795" s="28"/>
      <c r="V5795" s="28">
        <v>3375596000</v>
      </c>
      <c r="W5795" s="28"/>
      <c r="X5795" s="28">
        <v>24100000</v>
      </c>
      <c r="Y5795" s="28">
        <v>3632533000</v>
      </c>
      <c r="Z5795" s="28">
        <v>933348000</v>
      </c>
      <c r="AA5795" s="28"/>
      <c r="AB5795" s="28"/>
      <c r="AC5795" s="28">
        <v>2699035000</v>
      </c>
      <c r="AD5795" s="28">
        <v>933498000</v>
      </c>
      <c r="AE5795" s="28">
        <v>10567129000</v>
      </c>
      <c r="AF5795" s="28">
        <v>90314000</v>
      </c>
      <c r="AG5795" s="11"/>
    </row>
    <row r="5796">
      <c r="A5796" s="7" t="s">
        <v>7398</v>
      </c>
      <c r="B5796" s="5" t="s">
        <v>15347</v>
      </c>
      <c r="C5796" s="5" t="s">
        <v>23020</v>
      </c>
      <c r="D5796" s="5" t="str">
        <v>490700316390</v>
      </c>
      <c r="E5796" s="0" t="e">
        <f>+7 (812) 7480656
+7 (415) 2215180
+7 (415) 2215195
+7 (415) 2215915
+7 (415) 2215952
+7 (495) 7480651
+7 (495) 7480658
+7 (812) 4078853
+7 (901) 3702469</f>
        <v>#NAME?</v>
      </c>
      <c r="F5796" s="5" t="s">
        <v>42346</v>
      </c>
      <c r="G5796" s="5" t="s">
        <v>42347</v>
      </c>
      <c r="H5796" s="26">
        <v>20.5</v>
      </c>
      <c r="I5796" s="5" t="s">
        <v>42348</v>
      </c>
      <c r="J5796" s="5" t="s">
        <v>27806</v>
      </c>
      <c r="K5796" s="5" t="s">
        <v>355</v>
      </c>
      <c r="L5796" s="5" t="s">
        <v>32223</v>
      </c>
      <c r="M5796" s="27"/>
      <c r="N5796" s="5" t="s">
        <v>58089</v>
      </c>
      <c r="O5796" s="5" t="str">
        <v>7702336131</v>
      </c>
      <c r="P5796" s="27">
        <v>19140825</v>
      </c>
      <c r="Q5796" s="5"/>
      <c r="R5796" s="5"/>
      <c r="S5796" s="5" t="s">
        <v>49121</v>
      </c>
      <c r="T5796" s="28">
        <v>4864117000</v>
      </c>
      <c r="U5796" s="28">
        <v>10000</v>
      </c>
      <c r="V5796" s="28">
        <v>224228000</v>
      </c>
      <c r="W5796" s="28"/>
      <c r="X5796" s="28">
        <v>60639000</v>
      </c>
      <c r="Y5796" s="28">
        <v>19950266000</v>
      </c>
      <c r="Z5796" s="28">
        <v>1176883000</v>
      </c>
      <c r="AA5796" s="28"/>
      <c r="AB5796" s="28">
        <v>5334254000</v>
      </c>
      <c r="AC5796" s="28">
        <v>6451251000</v>
      </c>
      <c r="AD5796" s="28">
        <v>13477655000</v>
      </c>
      <c r="AE5796" s="28">
        <v>4568254000</v>
      </c>
      <c r="AF5796" s="28">
        <v>437960000</v>
      </c>
      <c r="AG5796" s="11"/>
    </row>
    <row r="5797">
      <c r="A5797" s="7" t="s">
        <v>7399</v>
      </c>
      <c r="B5797" s="5" t="s">
        <v>15348</v>
      </c>
      <c r="C5797" s="5" t="s">
        <v>23021</v>
      </c>
      <c r="D5797" s="5" t="str">
        <v>366602959602</v>
      </c>
      <c r="E5797" s="0" t="e">
        <f>+7 (904) 2102646
+7 (952) 5497055</f>
        <v>#NAME?</v>
      </c>
      <c r="F5797" s="5"/>
      <c r="G5797" s="5" t="s">
        <v>42349</v>
      </c>
      <c r="H5797" s="26">
        <v>6.5</v>
      </c>
      <c r="I5797" s="5" t="s">
        <v>42350</v>
      </c>
      <c r="J5797" s="5" t="s">
        <v>27085</v>
      </c>
      <c r="K5797" s="5" t="s">
        <v>344</v>
      </c>
      <c r="L5797" s="5"/>
      <c r="M5797" s="27"/>
      <c r="N5797" s="5"/>
      <c r="O5797" s="5" t="str">
        <v>3662238642</v>
      </c>
      <c r="P5797" s="27">
        <v>10000</v>
      </c>
      <c r="Q5797" s="5" t="s">
        <v>49009</v>
      </c>
      <c r="R5797" s="5"/>
      <c r="S5797" s="5" t="s">
        <v>49010</v>
      </c>
      <c r="T5797" s="28">
        <v>73716000</v>
      </c>
      <c r="U5797" s="28"/>
      <c r="V5797" s="28">
        <v>129285000</v>
      </c>
      <c r="W5797" s="28">
        <v>3975000</v>
      </c>
      <c r="X5797" s="28">
        <v>1575000</v>
      </c>
      <c r="Y5797" s="28">
        <v>883829000</v>
      </c>
      <c r="Z5797" s="28">
        <v>31443000</v>
      </c>
      <c r="AA5797" s="28">
        <v>553356000</v>
      </c>
      <c r="AB5797" s="28"/>
      <c r="AC5797" s="28">
        <v>297859000</v>
      </c>
      <c r="AD5797" s="28">
        <v>31453000</v>
      </c>
      <c r="AE5797" s="28">
        <v>3002458000</v>
      </c>
      <c r="AF5797" s="28">
        <v>2056000</v>
      </c>
      <c r="AG5797" s="11"/>
    </row>
    <row r="5798">
      <c r="A5798" s="7" t="s">
        <v>7399</v>
      </c>
      <c r="B5798" s="5" t="s">
        <v>15349</v>
      </c>
      <c r="C5798" s="5" t="s">
        <v>18493</v>
      </c>
      <c r="D5798" s="5" t="str">
        <v>251100725923</v>
      </c>
      <c r="E5798" s="0" t="e">
        <f>+7 (495) 2592590
+7 (812) 6022772
+7 (915) 9996016</f>
        <v>#NAME?</v>
      </c>
      <c r="F5798" s="5" t="s">
        <v>42351</v>
      </c>
      <c r="G5798" s="5" t="s">
        <v>42352</v>
      </c>
      <c r="H5798" s="26">
        <v>18</v>
      </c>
      <c r="I5798" s="5" t="s">
        <v>42353</v>
      </c>
      <c r="J5798" s="5" t="s">
        <v>881</v>
      </c>
      <c r="K5798" s="5" t="s">
        <v>344</v>
      </c>
      <c r="L5798" s="5" t="s">
        <v>42354</v>
      </c>
      <c r="M5798" s="27">
        <v>25044494</v>
      </c>
      <c r="N5798" s="5" t="s">
        <v>58090</v>
      </c>
      <c r="O5798" s="5" t="str">
        <v>7801378904</v>
      </c>
      <c r="P5798" s="27">
        <v>10000000</v>
      </c>
      <c r="Q5798" s="5" t="s">
        <v>58091</v>
      </c>
      <c r="R5798" s="5"/>
      <c r="S5798" s="5" t="s">
        <v>58092</v>
      </c>
      <c r="T5798" s="28">
        <v>156568000</v>
      </c>
      <c r="U5798" s="28"/>
      <c r="V5798" s="28">
        <v>1502700000</v>
      </c>
      <c r="W5798" s="28">
        <v>274328000</v>
      </c>
      <c r="X5798" s="28">
        <v>1205547000</v>
      </c>
      <c r="Y5798" s="28">
        <v>3342643000</v>
      </c>
      <c r="Z5798" s="28">
        <v>1686394000</v>
      </c>
      <c r="AA5798" s="28"/>
      <c r="AB5798" s="28"/>
      <c r="AC5798" s="28">
        <v>1578424000</v>
      </c>
      <c r="AD5798" s="28">
        <v>1696394000</v>
      </c>
      <c r="AE5798" s="28">
        <v>4680709000</v>
      </c>
      <c r="AF5798" s="28">
        <v>644229000</v>
      </c>
      <c r="AG5798" s="11"/>
    </row>
    <row r="5799">
      <c r="A5799" s="7" t="s">
        <v>7399</v>
      </c>
      <c r="B5799" s="5" t="s">
        <v>15346</v>
      </c>
      <c r="C5799" s="5" t="s">
        <v>23022</v>
      </c>
      <c r="D5799" s="5" t="str">
        <v>741110435709</v>
      </c>
      <c r="E5799" s="0" t="e">
        <f>+7 (3512) 253168
+7 (3512) 611392
+7 (3512) 695150
+7 (3512) 695151
+7 (35139) 38352
+7 (35139) 74149
+7 (35139) 76862
+7 (35139) 77032
+7 (909) 7456097</f>
        <v>#NAME?</v>
      </c>
      <c r="F5799" s="5" t="s">
        <v>42355</v>
      </c>
      <c r="G5799" s="5" t="s">
        <v>42356</v>
      </c>
      <c r="H5799" s="26">
        <v>31</v>
      </c>
      <c r="I5799" s="5" t="s">
        <v>42357</v>
      </c>
      <c r="J5799" s="5" t="s">
        <v>25812</v>
      </c>
      <c r="K5799" s="5" t="s">
        <v>344</v>
      </c>
      <c r="L5799" s="5" t="s">
        <v>34505</v>
      </c>
      <c r="M5799" s="27"/>
      <c r="N5799" s="5"/>
      <c r="O5799" s="5" t="str">
        <v>7411002504</v>
      </c>
      <c r="P5799" s="27">
        <v>10000</v>
      </c>
      <c r="Q5799" s="5"/>
      <c r="R5799" s="5"/>
      <c r="S5799" s="5" t="s">
        <v>49029</v>
      </c>
      <c r="T5799" s="28">
        <v>214405000</v>
      </c>
      <c r="U5799" s="28"/>
      <c r="V5799" s="28">
        <v>401198000</v>
      </c>
      <c r="W5799" s="28"/>
      <c r="X5799" s="28">
        <v>162005000</v>
      </c>
      <c r="Y5799" s="28">
        <v>853039000</v>
      </c>
      <c r="Z5799" s="28">
        <v>655500000</v>
      </c>
      <c r="AA5799" s="28"/>
      <c r="AB5799" s="28"/>
      <c r="AC5799" s="28">
        <v>177322000</v>
      </c>
      <c r="AD5799" s="28">
        <v>655609000</v>
      </c>
      <c r="AE5799" s="28">
        <v>3136114000</v>
      </c>
      <c r="AF5799" s="28">
        <v>128316000</v>
      </c>
      <c r="AG5799" s="11"/>
    </row>
    <row r="5800">
      <c r="A5800" s="7" t="s">
        <v>7400</v>
      </c>
      <c r="B5800" s="5" t="s">
        <v>15350</v>
      </c>
      <c r="C5800" s="5" t="s">
        <v>23023</v>
      </c>
      <c r="D5800" s="5" t="str">
        <v>616614751161</v>
      </c>
      <c r="F5800" s="5" t="s">
        <v>42358</v>
      </c>
      <c r="G5800" s="5" t="s">
        <v>42359</v>
      </c>
      <c r="H5800" s="26">
        <v>6.5</v>
      </c>
      <c r="I5800" s="5" t="s">
        <v>42360</v>
      </c>
      <c r="J5800" s="5" t="s">
        <v>25850</v>
      </c>
      <c r="K5800" s="5" t="s">
        <v>344</v>
      </c>
      <c r="L5800" s="5"/>
      <c r="M5800" s="27"/>
      <c r="N5800" s="5"/>
      <c r="O5800" s="5" t="str">
        <v>2334026192</v>
      </c>
      <c r="P5800" s="27">
        <v>10000000</v>
      </c>
      <c r="Q5800" s="5"/>
      <c r="R5800" s="5"/>
      <c r="S5800" s="5" t="s">
        <v>49425</v>
      </c>
      <c r="T5800" s="28">
        <v>4155000</v>
      </c>
      <c r="U5800" s="28"/>
      <c r="V5800" s="28">
        <v>235280000</v>
      </c>
      <c r="W5800" s="28">
        <v>833240000</v>
      </c>
      <c r="X5800" s="28">
        <v>14850000</v>
      </c>
      <c r="Y5800" s="28">
        <v>1441922000</v>
      </c>
      <c r="Z5800" s="28">
        <v>49724000</v>
      </c>
      <c r="AA5800" s="28"/>
      <c r="AB5800" s="28"/>
      <c r="AC5800" s="28">
        <v>1390891000</v>
      </c>
      <c r="AD5800" s="28">
        <v>50987000</v>
      </c>
      <c r="AE5800" s="28">
        <v>4194471000</v>
      </c>
      <c r="AF5800" s="28">
        <v>48103000</v>
      </c>
      <c r="AG5800" s="11"/>
    </row>
    <row r="5801">
      <c r="A5801" s="7" t="s">
        <v>7401</v>
      </c>
      <c r="B5801" s="5" t="s">
        <v>15351</v>
      </c>
      <c r="C5801" s="5" t="s">
        <v>23024</v>
      </c>
      <c r="D5801" s="5" t="str">
        <v>772704906991</v>
      </c>
      <c r="E5801" s="0" t="e">
        <f>+7 (495) 9379330</f>
        <v>#NAME?</v>
      </c>
      <c r="F5801" s="5" t="s">
        <v>42361</v>
      </c>
      <c r="G5801" s="5"/>
      <c r="H5801" s="26">
        <v>7.5</v>
      </c>
      <c r="I5801" s="5" t="s">
        <v>42362</v>
      </c>
      <c r="J5801" s="5" t="s">
        <v>25530</v>
      </c>
      <c r="K5801" s="5" t="s">
        <v>344</v>
      </c>
      <c r="L5801" s="5"/>
      <c r="M5801" s="27"/>
      <c r="N5801" s="5"/>
      <c r="O5801" s="5" t="str">
        <v>7703388189</v>
      </c>
      <c r="P5801" s="27">
        <v>80000000</v>
      </c>
      <c r="Q5801" s="5" t="s">
        <v>49009</v>
      </c>
      <c r="R5801" s="5"/>
      <c r="S5801" s="5" t="s">
        <v>49028</v>
      </c>
      <c r="T5801" s="28">
        <v>4277000</v>
      </c>
      <c r="U5801" s="28"/>
      <c r="V5801" s="28">
        <v>286259000</v>
      </c>
      <c r="W5801" s="28"/>
      <c r="X5801" s="28">
        <v>1700695000</v>
      </c>
      <c r="Y5801" s="28">
        <v>2338299000</v>
      </c>
      <c r="Z5801" s="28">
        <v>-114637000</v>
      </c>
      <c r="AA5801" s="28"/>
      <c r="AB5801" s="28">
        <v>1231794000</v>
      </c>
      <c r="AC5801" s="28">
        <v>1752916000</v>
      </c>
      <c r="AD5801" s="28">
        <v>585383000</v>
      </c>
      <c r="AE5801" s="28">
        <v>3333540000</v>
      </c>
      <c r="AF5801" s="28">
        <v>-617066000</v>
      </c>
      <c r="AG5801" s="11"/>
    </row>
    <row r="5802">
      <c r="A5802" s="7" t="s">
        <v>7402</v>
      </c>
      <c r="B5802" s="5" t="s">
        <v>15352</v>
      </c>
      <c r="C5802" s="5" t="s">
        <v>23025</v>
      </c>
      <c r="D5802" s="5" t="str">
        <v>772336246013</v>
      </c>
      <c r="E5802" s="0" t="e">
        <f>+7 (495) 7950101
+7 (495) 7950111
+7 (8422) 406926
+7 (844) 2406906
+7 (844) 2406926
+7 (844) 2490808
+7 (844) 2490888
+7 (84479) 50101</f>
        <v>#NAME?</v>
      </c>
      <c r="F5802" s="5" t="s">
        <v>42363</v>
      </c>
      <c r="G5802" s="5" t="s">
        <v>42364</v>
      </c>
      <c r="H5802" s="26">
        <v>28</v>
      </c>
      <c r="I5802" s="5"/>
      <c r="J5802" s="5" t="s">
        <v>26251</v>
      </c>
      <c r="K5802" s="5" t="s">
        <v>344</v>
      </c>
      <c r="L5802" s="5" t="s">
        <v>42365</v>
      </c>
      <c r="M5802" s="27"/>
      <c r="N5802" s="5" t="s">
        <v>58093</v>
      </c>
      <c r="O5802" s="5" t="str">
        <v>3448003994</v>
      </c>
      <c r="P5802" s="27">
        <v>44573427</v>
      </c>
      <c r="Q5802" s="5" t="s">
        <v>49009</v>
      </c>
      <c r="R5802" s="5"/>
      <c r="S5802" s="5" t="s">
        <v>49028</v>
      </c>
      <c r="T5802" s="28">
        <v>2282185000</v>
      </c>
      <c r="U5802" s="28"/>
      <c r="V5802" s="28">
        <v>717888000</v>
      </c>
      <c r="W5802" s="28"/>
      <c r="X5802" s="28">
        <v>732635000</v>
      </c>
      <c r="Y5802" s="28">
        <v>5585708000</v>
      </c>
      <c r="Z5802" s="28">
        <v>4331664000</v>
      </c>
      <c r="AA5802" s="28"/>
      <c r="AB5802" s="28"/>
      <c r="AC5802" s="28">
        <v>991872000</v>
      </c>
      <c r="AD5802" s="28">
        <v>4394059000</v>
      </c>
      <c r="AE5802" s="28">
        <v>6367548000</v>
      </c>
      <c r="AF5802" s="28">
        <v>330482000</v>
      </c>
      <c r="AG5802" s="11"/>
    </row>
    <row r="5803">
      <c r="A5803" s="7" t="s">
        <v>7403</v>
      </c>
      <c r="B5803" s="5" t="s">
        <v>15353</v>
      </c>
      <c r="C5803" s="5" t="s">
        <v>23026</v>
      </c>
      <c r="D5803" s="5" t="str">
        <v>631234650562</v>
      </c>
      <c r="E5803" s="0" t="e">
        <f>+7 (800) 2224095</f>
        <v>#NAME?</v>
      </c>
      <c r="F5803" s="5" t="s">
        <v>42366</v>
      </c>
      <c r="G5803" s="5" t="s">
        <v>42367</v>
      </c>
      <c r="H5803" s="26">
        <v>6</v>
      </c>
      <c r="I5803" s="5" t="s">
        <v>42368</v>
      </c>
      <c r="J5803" s="5" t="s">
        <v>678</v>
      </c>
      <c r="K5803" s="5" t="s">
        <v>344</v>
      </c>
      <c r="L5803" s="5" t="s">
        <v>42369</v>
      </c>
      <c r="M5803" s="27">
        <v>1285043</v>
      </c>
      <c r="N5803" s="5" t="s">
        <v>58094</v>
      </c>
      <c r="O5803" s="5" t="str">
        <v>6312169878</v>
      </c>
      <c r="P5803" s="27">
        <v>20000</v>
      </c>
      <c r="Q5803" s="5" t="s">
        <v>58095</v>
      </c>
      <c r="R5803" s="5"/>
      <c r="S5803" s="5" t="s">
        <v>58096</v>
      </c>
      <c r="T5803" s="28">
        <v>252112000</v>
      </c>
      <c r="U5803" s="28">
        <v>73135000</v>
      </c>
      <c r="V5803" s="28">
        <v>7790146000</v>
      </c>
      <c r="W5803" s="28">
        <v>73135000</v>
      </c>
      <c r="X5803" s="28">
        <v>2664129000</v>
      </c>
      <c r="Y5803" s="28">
        <v>16604268000</v>
      </c>
      <c r="Z5803" s="28">
        <v>1892611000</v>
      </c>
      <c r="AA5803" s="28"/>
      <c r="AB5803" s="28"/>
      <c r="AC5803" s="28">
        <v>14694884000</v>
      </c>
      <c r="AD5803" s="28">
        <v>1892631000</v>
      </c>
      <c r="AE5803" s="28">
        <v>28299858000</v>
      </c>
      <c r="AF5803" s="28">
        <v>1820858000</v>
      </c>
      <c r="AG5803" s="11"/>
    </row>
    <row r="5804">
      <c r="A5804" s="7" t="s">
        <v>7404</v>
      </c>
      <c r="B5804" s="5" t="s">
        <v>15354</v>
      </c>
      <c r="C5804" s="5" t="s">
        <v>23027</v>
      </c>
      <c r="D5804" s="5" t="str">
        <v>504008147503</v>
      </c>
      <c r="E5804" s="0" t="e">
        <f>+7 (495) 2360998</f>
        <v>#NAME?</v>
      </c>
      <c r="F5804" s="5" t="s">
        <v>42370</v>
      </c>
      <c r="G5804" s="5"/>
      <c r="H5804" s="26">
        <v>3</v>
      </c>
      <c r="I5804" s="5" t="s">
        <v>42371</v>
      </c>
      <c r="J5804" s="5" t="s">
        <v>1026</v>
      </c>
      <c r="K5804" s="5" t="s">
        <v>344</v>
      </c>
      <c r="L5804" s="5"/>
      <c r="M5804" s="27">
        <v>9575237</v>
      </c>
      <c r="N5804" s="5"/>
      <c r="O5804" s="5" t="str">
        <v>9717089129</v>
      </c>
      <c r="P5804" s="27">
        <v>1000000</v>
      </c>
      <c r="Q5804" s="5" t="s">
        <v>58097</v>
      </c>
      <c r="R5804" s="5"/>
      <c r="S5804" s="5" t="s">
        <v>49332</v>
      </c>
      <c r="T5804" s="28"/>
      <c r="U5804" s="28"/>
      <c r="V5804" s="28">
        <v>13659081000</v>
      </c>
      <c r="W5804" s="28"/>
      <c r="X5804" s="28">
        <v>1087862000</v>
      </c>
      <c r="Y5804" s="28">
        <v>18477409000</v>
      </c>
      <c r="Z5804" s="28">
        <v>248514000</v>
      </c>
      <c r="AA5804" s="28"/>
      <c r="AB5804" s="28">
        <v>2279594000</v>
      </c>
      <c r="AC5804" s="28">
        <v>18194214000</v>
      </c>
      <c r="AD5804" s="28">
        <v>249514000</v>
      </c>
      <c r="AE5804" s="28">
        <v>19525585000</v>
      </c>
      <c r="AF5804" s="28">
        <v>248491000</v>
      </c>
      <c r="AG5804" s="11"/>
    </row>
    <row r="5805">
      <c r="A5805" s="7" t="s">
        <v>7405</v>
      </c>
      <c r="B5805" s="5" t="s">
        <v>15355</v>
      </c>
      <c r="C5805" s="5" t="s">
        <v>23028</v>
      </c>
      <c r="D5805" s="5" t="str">
        <v>760402500272</v>
      </c>
      <c r="E5805" s="0" t="e">
        <f>+7 (485) 2582639
+7 (910) 9715601
+7 (910) 9738117
+7 (34368) 50149
+7 (485) 2582615
+7 (485) 2582616
+7 (485) 2582637
+7 (485) 2582640
+7 (485) 2583699
+7 (800) 2505816
+7 (912) 2495069</f>
        <v>#NAME?</v>
      </c>
      <c r="F5805" s="5" t="s">
        <v>42372</v>
      </c>
      <c r="G5805" s="5" t="s">
        <v>42373</v>
      </c>
      <c r="H5805" s="26">
        <v>31</v>
      </c>
      <c r="I5805" s="5" t="s">
        <v>42374</v>
      </c>
      <c r="J5805" s="5" t="s">
        <v>27934</v>
      </c>
      <c r="K5805" s="5" t="s">
        <v>344</v>
      </c>
      <c r="L5805" s="5" t="s">
        <v>42375</v>
      </c>
      <c r="M5805" s="27"/>
      <c r="N5805" s="5"/>
      <c r="O5805" s="5" t="str">
        <v>7603003445</v>
      </c>
      <c r="P5805" s="27">
        <v>500000</v>
      </c>
      <c r="Q5805" s="5" t="s">
        <v>49009</v>
      </c>
      <c r="R5805" s="5"/>
      <c r="S5805" s="5" t="s">
        <v>49487</v>
      </c>
      <c r="T5805" s="28">
        <v>153112000</v>
      </c>
      <c r="U5805" s="28"/>
      <c r="V5805" s="28">
        <v>299886000</v>
      </c>
      <c r="W5805" s="28"/>
      <c r="X5805" s="28">
        <v>136940000</v>
      </c>
      <c r="Y5805" s="28">
        <v>1623826000</v>
      </c>
      <c r="Z5805" s="28">
        <v>765590000</v>
      </c>
      <c r="AA5805" s="28">
        <v>460100000</v>
      </c>
      <c r="AB5805" s="28">
        <v>219373000</v>
      </c>
      <c r="AC5805" s="28">
        <v>395267000</v>
      </c>
      <c r="AD5805" s="28">
        <v>766093000</v>
      </c>
      <c r="AE5805" s="28">
        <v>4182644000</v>
      </c>
      <c r="AF5805" s="28">
        <v>461959000</v>
      </c>
      <c r="AG5805" s="11"/>
    </row>
    <row r="5806">
      <c r="A5806" s="7" t="s">
        <v>7406</v>
      </c>
      <c r="B5806" s="5" t="s">
        <v>15356</v>
      </c>
      <c r="C5806" s="5" t="s">
        <v>23029</v>
      </c>
      <c r="D5806" s="5" t="str">
        <v>744406877316</v>
      </c>
      <c r="E5806" s="0" t="e">
        <f>+7 (351) 9017069
+7 (3519) 547777
+7 (3519) 581177</f>
        <v>#NAME?</v>
      </c>
      <c r="F5806" s="5" t="s">
        <v>42376</v>
      </c>
      <c r="G5806" s="5" t="s">
        <v>42377</v>
      </c>
      <c r="H5806" s="26">
        <v>12</v>
      </c>
      <c r="I5806" s="5" t="s">
        <v>42378</v>
      </c>
      <c r="J5806" s="5" t="s">
        <v>389</v>
      </c>
      <c r="K5806" s="5" t="s">
        <v>344</v>
      </c>
      <c r="L5806" s="5" t="s">
        <v>42379</v>
      </c>
      <c r="M5806" s="27"/>
      <c r="N5806" s="5" t="s">
        <v>58098</v>
      </c>
      <c r="O5806" s="5" t="str">
        <v>7456003755</v>
      </c>
      <c r="P5806" s="27">
        <v>19000000</v>
      </c>
      <c r="Q5806" s="5" t="s">
        <v>58099</v>
      </c>
      <c r="R5806" s="5"/>
      <c r="S5806" s="5" t="s">
        <v>49173</v>
      </c>
      <c r="T5806" s="28">
        <v>11856000</v>
      </c>
      <c r="U5806" s="28">
        <v>300000</v>
      </c>
      <c r="V5806" s="28">
        <v>128249000</v>
      </c>
      <c r="W5806" s="28"/>
      <c r="X5806" s="28">
        <v>16616000</v>
      </c>
      <c r="Y5806" s="28">
        <v>1079696000</v>
      </c>
      <c r="Z5806" s="28">
        <v>120288000</v>
      </c>
      <c r="AA5806" s="28">
        <v>167966000</v>
      </c>
      <c r="AB5806" s="28">
        <v>355033000</v>
      </c>
      <c r="AC5806" s="28">
        <v>772442000</v>
      </c>
      <c r="AD5806" s="28">
        <v>139288000</v>
      </c>
      <c r="AE5806" s="28">
        <v>3312009000</v>
      </c>
      <c r="AF5806" s="28">
        <v>22744000</v>
      </c>
      <c r="AG5806" s="11"/>
    </row>
    <row r="5807">
      <c r="A5807" s="7" t="s">
        <v>7407</v>
      </c>
      <c r="B5807" s="5" t="s">
        <v>15357</v>
      </c>
      <c r="C5807" s="5" t="s">
        <v>23030</v>
      </c>
      <c r="D5807" s="5" t="str">
        <v>665898547375</v>
      </c>
      <c r="E5807" s="0" t="e">
        <f>+7 (3432) 132828
+7 (3433) 4024
+7 (343) 2223628
+7 (3432) 873938
+7 (800) 2001393
+7 (909) 5788266
+7 (912) 474238
+7 (912) 6001024
+7 (912) 6104948
+7 (912) 6105552
+7 (912) 6520972
+7 (912) 6743306
+7 (922) 2210127
+7 (953) 392533
+7 (982) 6881625</f>
        <v>#NAME?</v>
      </c>
      <c r="F5807" s="5"/>
      <c r="G5807" s="5" t="s">
        <v>42380</v>
      </c>
      <c r="H5807" s="26">
        <v>6</v>
      </c>
      <c r="I5807" s="5" t="s">
        <v>42381</v>
      </c>
      <c r="J5807" s="5" t="s">
        <v>25738</v>
      </c>
      <c r="K5807" s="5" t="s">
        <v>344</v>
      </c>
      <c r="L5807" s="5" t="s">
        <v>37944</v>
      </c>
      <c r="M5807" s="27"/>
      <c r="N5807" s="5" t="s">
        <v>58100</v>
      </c>
      <c r="O5807" s="5" t="str">
        <v>6679104850</v>
      </c>
      <c r="P5807" s="27">
        <v>10010000</v>
      </c>
      <c r="Q5807" s="5" t="s">
        <v>49009</v>
      </c>
      <c r="R5807" s="5"/>
      <c r="S5807" s="5" t="s">
        <v>50290</v>
      </c>
      <c r="T5807" s="28">
        <v>78404000</v>
      </c>
      <c r="U5807" s="28"/>
      <c r="V5807" s="28">
        <v>6691812000</v>
      </c>
      <c r="W5807" s="28">
        <v>2626597000</v>
      </c>
      <c r="X5807" s="28">
        <v>1144849000</v>
      </c>
      <c r="Y5807" s="28">
        <v>22159932000</v>
      </c>
      <c r="Z5807" s="28">
        <v>463717000</v>
      </c>
      <c r="AA5807" s="28">
        <v>16749025000</v>
      </c>
      <c r="AB5807" s="28">
        <v>500206000</v>
      </c>
      <c r="AC5807" s="28">
        <v>4934357000</v>
      </c>
      <c r="AD5807" s="28">
        <v>473727000</v>
      </c>
      <c r="AE5807" s="28">
        <v>20902755000</v>
      </c>
      <c r="AF5807" s="28">
        <v>132634000</v>
      </c>
      <c r="AG5807" s="11"/>
    </row>
    <row r="5808">
      <c r="A5808" s="7" t="s">
        <v>7408</v>
      </c>
      <c r="B5808" s="5" t="s">
        <v>15358</v>
      </c>
      <c r="C5808" s="5" t="s">
        <v>23030</v>
      </c>
      <c r="D5808" s="5" t="str">
        <v>665898547375</v>
      </c>
      <c r="E5808" s="0" t="e">
        <f>+7 (343) 2786685
+7 (343) 2886685
+7 (349) 2231157
+7 (800) 2341000
+7 (912) 431081
+7 (912) 4383207
+7 (912) 6796574
+7 (982) 6884562
+7 (982) 7178336
+7 (982) 7178426</f>
        <v>#NAME?</v>
      </c>
      <c r="F5808" s="5"/>
      <c r="G5808" s="5"/>
      <c r="H5808" s="26">
        <v>7.5</v>
      </c>
      <c r="I5808" s="5" t="s">
        <v>42382</v>
      </c>
      <c r="J5808" s="5" t="s">
        <v>25738</v>
      </c>
      <c r="K5808" s="5" t="s">
        <v>344</v>
      </c>
      <c r="L5808" s="5" t="s">
        <v>42383</v>
      </c>
      <c r="M5808" s="27">
        <v>175507</v>
      </c>
      <c r="N5808" s="5" t="s">
        <v>58102</v>
      </c>
      <c r="O5808" s="5" t="str">
        <v>6679072060</v>
      </c>
      <c r="P5808" s="27">
        <v>10000</v>
      </c>
      <c r="Q5808" s="5" t="s">
        <v>49009</v>
      </c>
      <c r="R5808" s="5" t="s">
        <v>55292</v>
      </c>
      <c r="S5808" s="5" t="s">
        <v>49504</v>
      </c>
      <c r="T5808" s="28">
        <v>51300000</v>
      </c>
      <c r="U5808" s="28"/>
      <c r="V5808" s="28">
        <v>4351234000</v>
      </c>
      <c r="W5808" s="28">
        <v>1997250000</v>
      </c>
      <c r="X5808" s="28">
        <v>1699418000</v>
      </c>
      <c r="Y5808" s="28">
        <v>9015963000</v>
      </c>
      <c r="Z5808" s="28">
        <v>266549000</v>
      </c>
      <c r="AA5808" s="28">
        <v>5164097000</v>
      </c>
      <c r="AB5808" s="28"/>
      <c r="AC5808" s="28">
        <v>3584636000</v>
      </c>
      <c r="AD5808" s="28">
        <v>266559000</v>
      </c>
      <c r="AE5808" s="28">
        <v>14550367000</v>
      </c>
      <c r="AF5808" s="28">
        <v>78978000</v>
      </c>
      <c r="AG5808" s="11"/>
    </row>
    <row r="5809">
      <c r="A5809" s="7" t="s">
        <v>7409</v>
      </c>
      <c r="B5809" s="5" t="s">
        <v>15359</v>
      </c>
      <c r="C5809" s="5" t="s">
        <v>23030</v>
      </c>
      <c r="D5809" s="5" t="str">
        <v>665898547375</v>
      </c>
      <c r="F5809" s="5"/>
      <c r="G5809" s="5"/>
      <c r="H5809" s="26">
        <v>7.5</v>
      </c>
      <c r="I5809" s="5" t="s">
        <v>42382</v>
      </c>
      <c r="J5809" s="5" t="s">
        <v>25738</v>
      </c>
      <c r="K5809" s="5" t="s">
        <v>344</v>
      </c>
      <c r="L5809" s="5" t="s">
        <v>42384</v>
      </c>
      <c r="M5809" s="27">
        <v>3300</v>
      </c>
      <c r="N5809" s="5" t="s">
        <v>56255</v>
      </c>
      <c r="O5809" s="5" t="str">
        <v>6679080455</v>
      </c>
      <c r="P5809" s="27">
        <v>10000</v>
      </c>
      <c r="Q5809" s="5" t="s">
        <v>49009</v>
      </c>
      <c r="R5809" s="5"/>
      <c r="S5809" s="5" t="s">
        <v>49576</v>
      </c>
      <c r="T5809" s="28">
        <v>106253000</v>
      </c>
      <c r="U5809" s="28"/>
      <c r="V5809" s="28">
        <v>3649546000</v>
      </c>
      <c r="W5809" s="28">
        <v>880102000</v>
      </c>
      <c r="X5809" s="28">
        <v>1867048000</v>
      </c>
      <c r="Y5809" s="28">
        <v>10064336000</v>
      </c>
      <c r="Z5809" s="28">
        <v>260966000</v>
      </c>
      <c r="AA5809" s="28">
        <v>2241415000</v>
      </c>
      <c r="AB5809" s="28"/>
      <c r="AC5809" s="28">
        <v>7561945000</v>
      </c>
      <c r="AD5809" s="28">
        <v>260976000</v>
      </c>
      <c r="AE5809" s="28">
        <v>15083390000</v>
      </c>
      <c r="AF5809" s="28">
        <v>94862000</v>
      </c>
      <c r="AG5809" s="11"/>
    </row>
    <row r="5810">
      <c r="A5810" s="7" t="s">
        <v>7410</v>
      </c>
      <c r="B5810" s="5" t="s">
        <v>15360</v>
      </c>
      <c r="C5810" s="5" t="s">
        <v>23031</v>
      </c>
      <c r="D5810" s="5" t="str">
        <v>771910175079</v>
      </c>
      <c r="E5810" s="0" t="e">
        <f>+7 (495) 9332702
+7 (4987) 206571</f>
        <v>#NAME?</v>
      </c>
      <c r="F5810" s="5" t="s">
        <v>42385</v>
      </c>
      <c r="G5810" s="5" t="s">
        <v>42386</v>
      </c>
      <c r="H5810" s="26">
        <v>6</v>
      </c>
      <c r="I5810" s="5" t="s">
        <v>42387</v>
      </c>
      <c r="J5810" s="5" t="s">
        <v>34933</v>
      </c>
      <c r="K5810" s="5" t="s">
        <v>344</v>
      </c>
      <c r="L5810" s="5" t="s">
        <v>42388</v>
      </c>
      <c r="M5810" s="27">
        <v>250000000</v>
      </c>
      <c r="N5810" s="5"/>
      <c r="O5810" s="5" t="str">
        <v>7731351857</v>
      </c>
      <c r="P5810" s="27">
        <v>20000000</v>
      </c>
      <c r="Q5810" s="5" t="s">
        <v>49021</v>
      </c>
      <c r="R5810" s="5"/>
      <c r="S5810" s="5" t="s">
        <v>58105</v>
      </c>
      <c r="T5810" s="28">
        <v>144083000</v>
      </c>
      <c r="U5810" s="28"/>
      <c r="V5810" s="28">
        <v>3421060000</v>
      </c>
      <c r="W5810" s="28"/>
      <c r="X5810" s="28">
        <v>435336000</v>
      </c>
      <c r="Y5810" s="28">
        <v>8295970000</v>
      </c>
      <c r="Z5810" s="28">
        <v>379533000</v>
      </c>
      <c r="AA5810" s="28">
        <v>122141000</v>
      </c>
      <c r="AB5810" s="28">
        <v>199238000</v>
      </c>
      <c r="AC5810" s="28">
        <v>7578424000</v>
      </c>
      <c r="AD5810" s="28">
        <v>399533000</v>
      </c>
      <c r="AE5810" s="28">
        <v>8975144000</v>
      </c>
      <c r="AF5810" s="28">
        <v>98435000</v>
      </c>
      <c r="AG5810" s="11"/>
    </row>
    <row r="5811">
      <c r="A5811" s="7" t="s">
        <v>7411</v>
      </c>
      <c r="B5811" s="5" t="s">
        <v>15361</v>
      </c>
      <c r="C5811" s="5" t="s">
        <v>23032</v>
      </c>
      <c r="D5811" s="5" t="str">
        <v>550401003237</v>
      </c>
      <c r="E5811" s="0" t="e">
        <f>+7 (3433) 453434
+7 (383) 2749508
+7 (383) 3632573
+7 (495) 6457178
+7 (495) 7972089
+7 (495) 9845311
+7 (905) 7015560
+7 (905) 7224463
+7 (905) 7224501
+7 (964) 5289877
+7 (964) 7765373
+7 (967) 2800275
+7 (968) 7184742
+7 (968) 7185840</f>
        <v>#NAME?</v>
      </c>
      <c r="F5811" s="5" t="s">
        <v>42389</v>
      </c>
      <c r="G5811" s="5" t="s">
        <v>42390</v>
      </c>
      <c r="H5811" s="26">
        <v>19.5</v>
      </c>
      <c r="I5811" s="5" t="s">
        <v>42391</v>
      </c>
      <c r="J5811" s="5" t="s">
        <v>25429</v>
      </c>
      <c r="K5811" s="5" t="s">
        <v>344</v>
      </c>
      <c r="L5811" s="5" t="s">
        <v>42392</v>
      </c>
      <c r="M5811" s="27"/>
      <c r="N5811" s="5" t="s">
        <v>58106</v>
      </c>
      <c r="O5811" s="5" t="str">
        <v>7713507244</v>
      </c>
      <c r="P5811" s="27">
        <v>14000</v>
      </c>
      <c r="Q5811" s="5" t="s">
        <v>49009</v>
      </c>
      <c r="R5811" s="5"/>
      <c r="S5811" s="5" t="s">
        <v>49028</v>
      </c>
      <c r="T5811" s="28">
        <v>96434000</v>
      </c>
      <c r="U5811" s="28"/>
      <c r="V5811" s="28">
        <v>1688619000</v>
      </c>
      <c r="W5811" s="28"/>
      <c r="X5811" s="28">
        <v>1044000</v>
      </c>
      <c r="Y5811" s="28">
        <v>2632153000</v>
      </c>
      <c r="Z5811" s="28">
        <v>893651000</v>
      </c>
      <c r="AA5811" s="28"/>
      <c r="AB5811" s="28">
        <v>183728000</v>
      </c>
      <c r="AC5811" s="28">
        <v>1700935000</v>
      </c>
      <c r="AD5811" s="28">
        <v>893665000</v>
      </c>
      <c r="AE5811" s="28">
        <v>7581984000</v>
      </c>
      <c r="AF5811" s="28">
        <v>345486000</v>
      </c>
      <c r="AG5811" s="11"/>
    </row>
    <row r="5812">
      <c r="A5812" s="7" t="s">
        <v>7412</v>
      </c>
      <c r="B5812" s="5" t="s">
        <v>15362</v>
      </c>
      <c r="C5812" s="5" t="s">
        <v>23033</v>
      </c>
      <c r="D5812" s="5" t="str">
        <v>732807931730</v>
      </c>
      <c r="E5812" s="0" t="e">
        <f>+7 (927) 9892800
+7 (8422) 446691
+7 (8422) 448416</f>
        <v>#NAME?</v>
      </c>
      <c r="F5812" s="5" t="s">
        <v>42393</v>
      </c>
      <c r="G5812" s="5" t="s">
        <v>42394</v>
      </c>
      <c r="H5812" s="26">
        <v>22</v>
      </c>
      <c r="I5812" s="5" t="s">
        <v>42395</v>
      </c>
      <c r="J5812" s="5" t="s">
        <v>881</v>
      </c>
      <c r="K5812" s="5" t="s">
        <v>344</v>
      </c>
      <c r="L5812" s="5" t="s">
        <v>42396</v>
      </c>
      <c r="M5812" s="27"/>
      <c r="N5812" s="5" t="s">
        <v>52386</v>
      </c>
      <c r="O5812" s="5" t="str">
        <v>7325029206</v>
      </c>
      <c r="P5812" s="27">
        <v>30000</v>
      </c>
      <c r="Q5812" s="5" t="s">
        <v>58108</v>
      </c>
      <c r="R5812" s="5" t="s">
        <v>58109</v>
      </c>
      <c r="S5812" s="5" t="s">
        <v>58110</v>
      </c>
      <c r="T5812" s="28">
        <v>41248000</v>
      </c>
      <c r="U5812" s="28">
        <v>2000</v>
      </c>
      <c r="V5812" s="28">
        <v>463017000</v>
      </c>
      <c r="W5812" s="28"/>
      <c r="X5812" s="28">
        <v>940443000</v>
      </c>
      <c r="Y5812" s="28">
        <v>1463503000</v>
      </c>
      <c r="Z5812" s="28">
        <v>1034553000</v>
      </c>
      <c r="AA5812" s="28"/>
      <c r="AB5812" s="28"/>
      <c r="AC5812" s="28">
        <v>428915000</v>
      </c>
      <c r="AD5812" s="28">
        <v>1034588000</v>
      </c>
      <c r="AE5812" s="28">
        <v>3562476000</v>
      </c>
      <c r="AF5812" s="28">
        <v>1118116000</v>
      </c>
      <c r="AG5812" s="11"/>
    </row>
    <row r="5813">
      <c r="A5813" s="7" t="s">
        <v>7413</v>
      </c>
      <c r="B5813" s="5" t="s">
        <v>15363</v>
      </c>
      <c r="C5813" s="5" t="s">
        <v>23034</v>
      </c>
      <c r="D5813" s="5" t="str">
        <v>771004756795</v>
      </c>
      <c r="E5813" s="0" t="e">
        <f>+7 (800) 5505020
+7 (912) 6204276
+7 (495) 7371077
+7 (495) 7371112
+7 (495) 7371241
+7 (800) 5505022
+7 (916) 5007078
+7 (917) 5355731</f>
        <v>#NAME?</v>
      </c>
      <c r="F5813" s="5" t="s">
        <v>42397</v>
      </c>
      <c r="G5813" s="5" t="s">
        <v>42398</v>
      </c>
      <c r="H5813" s="26">
        <v>8</v>
      </c>
      <c r="I5813" s="5" t="s">
        <v>42399</v>
      </c>
      <c r="J5813" s="5" t="s">
        <v>25429</v>
      </c>
      <c r="K5813" s="5" t="s">
        <v>344</v>
      </c>
      <c r="L5813" s="5" t="s">
        <v>42400</v>
      </c>
      <c r="M5813" s="27"/>
      <c r="N5813" s="5" t="s">
        <v>58111</v>
      </c>
      <c r="O5813" s="5" t="str">
        <v>7725271480</v>
      </c>
      <c r="P5813" s="27">
        <v>8000000</v>
      </c>
      <c r="Q5813" s="5" t="s">
        <v>58112</v>
      </c>
      <c r="R5813" s="5"/>
      <c r="S5813" s="5" t="s">
        <v>49173</v>
      </c>
      <c r="T5813" s="28">
        <v>317259000</v>
      </c>
      <c r="U5813" s="28">
        <v>319810000</v>
      </c>
      <c r="V5813" s="28">
        <v>1880117000</v>
      </c>
      <c r="W5813" s="28">
        <v>5010000</v>
      </c>
      <c r="X5813" s="28">
        <v>2874479000</v>
      </c>
      <c r="Y5813" s="28">
        <v>7872977000</v>
      </c>
      <c r="Z5813" s="28">
        <v>1803954000</v>
      </c>
      <c r="AA5813" s="28"/>
      <c r="AB5813" s="28">
        <v>317339000</v>
      </c>
      <c r="AC5813" s="28">
        <v>5333508000</v>
      </c>
      <c r="AD5813" s="28">
        <v>2368918000</v>
      </c>
      <c r="AE5813" s="28">
        <v>12299780000</v>
      </c>
      <c r="AF5813" s="28">
        <v>158338000</v>
      </c>
      <c r="AG5813" s="11"/>
    </row>
    <row r="5814">
      <c r="A5814" s="7" t="s">
        <v>7414</v>
      </c>
      <c r="B5814" s="5" t="s">
        <v>15364</v>
      </c>
      <c r="C5814" s="5" t="s">
        <v>23035</v>
      </c>
      <c r="D5814" s="5" t="str">
        <v>782512060912</v>
      </c>
      <c r="E5814" s="0" t="e">
        <f>+7 (495) 7371948</f>
        <v>#NAME?</v>
      </c>
      <c r="F5814" s="5" t="s">
        <v>42401</v>
      </c>
      <c r="G5814" s="5" t="s">
        <v>38006</v>
      </c>
      <c r="H5814" s="26">
        <v>4.5</v>
      </c>
      <c r="I5814" s="5" t="s">
        <v>42402</v>
      </c>
      <c r="J5814" s="5" t="s">
        <v>25612</v>
      </c>
      <c r="K5814" s="5" t="s">
        <v>344</v>
      </c>
      <c r="L5814" s="5" t="s">
        <v>42403</v>
      </c>
      <c r="M5814" s="27">
        <v>228288236</v>
      </c>
      <c r="N5814" s="5"/>
      <c r="O5814" s="5" t="str">
        <v>9705122340</v>
      </c>
      <c r="P5814" s="27">
        <v>16570000</v>
      </c>
      <c r="Q5814" s="5"/>
      <c r="R5814" s="5"/>
      <c r="S5814" s="5" t="s">
        <v>49029</v>
      </c>
      <c r="T5814" s="28">
        <v>2215035000</v>
      </c>
      <c r="U5814" s="28"/>
      <c r="V5814" s="28">
        <v>3617718000</v>
      </c>
      <c r="W5814" s="28"/>
      <c r="X5814" s="28">
        <v>1338592000</v>
      </c>
      <c r="Y5814" s="28">
        <v>11405141000</v>
      </c>
      <c r="Z5814" s="28">
        <v>4047789000</v>
      </c>
      <c r="AA5814" s="28">
        <v>2730000000</v>
      </c>
      <c r="AB5814" s="28">
        <v>1062314000</v>
      </c>
      <c r="AC5814" s="28">
        <v>4610782000</v>
      </c>
      <c r="AD5814" s="28">
        <v>4064359000</v>
      </c>
      <c r="AE5814" s="28">
        <v>6045650000</v>
      </c>
      <c r="AF5814" s="28">
        <v>1081305000</v>
      </c>
      <c r="AG5814" s="11"/>
    </row>
    <row r="5815">
      <c r="A5815" s="7" t="s">
        <v>7415</v>
      </c>
      <c r="B5815" s="5" t="s">
        <v>15365</v>
      </c>
      <c r="C5815" s="5" t="s">
        <v>23035</v>
      </c>
      <c r="D5815" s="5" t="str">
        <v>782512060912</v>
      </c>
      <c r="E5815" s="0" t="e">
        <f>+7 (343) 3792381
+7 (401) 2514412
+7 (473) 2333506
+7 (4912) 387615
+7 (495) 2233721
+7 (495) 2233945
+7 (495) 3731337
+7 (495) 3732143
+7 (495) 3792388
+7 (495) 3792389
+7 (495) 5424973
+7 (495) 7310134
+7 (495) 7311108
+7 (495) 7371001
+7 (495) 7371059</f>
        <v>#NAME?</v>
      </c>
      <c r="F5815" s="5" t="s">
        <v>42404</v>
      </c>
      <c r="G5815" s="5" t="s">
        <v>29203</v>
      </c>
      <c r="H5815" s="26">
        <v>26</v>
      </c>
      <c r="I5815" s="5" t="s">
        <v>42405</v>
      </c>
      <c r="J5815" s="5" t="s">
        <v>25612</v>
      </c>
      <c r="K5815" s="5" t="s">
        <v>355</v>
      </c>
      <c r="L5815" s="5" t="s">
        <v>42406</v>
      </c>
      <c r="M5815" s="27">
        <v>10132629</v>
      </c>
      <c r="N5815" s="5" t="s">
        <v>58113</v>
      </c>
      <c r="O5815" s="5" t="str">
        <v>7725025502</v>
      </c>
      <c r="P5815" s="27">
        <v>34359900</v>
      </c>
      <c r="Q5815" s="5" t="s">
        <v>58114</v>
      </c>
      <c r="R5815" s="5" t="s">
        <v>58115</v>
      </c>
      <c r="S5815" s="5" t="s">
        <v>58116</v>
      </c>
      <c r="T5815" s="28">
        <v>111473000</v>
      </c>
      <c r="U5815" s="28"/>
      <c r="V5815" s="28">
        <v>730337000</v>
      </c>
      <c r="W5815" s="28"/>
      <c r="X5815" s="28">
        <v>1383825000</v>
      </c>
      <c r="Y5815" s="28">
        <v>2468295000</v>
      </c>
      <c r="Z5815" s="28">
        <v>859372000</v>
      </c>
      <c r="AA5815" s="28"/>
      <c r="AB5815" s="28"/>
      <c r="AC5815" s="28">
        <v>1409248000</v>
      </c>
      <c r="AD5815" s="28">
        <v>923625000</v>
      </c>
      <c r="AE5815" s="28">
        <v>6318833000</v>
      </c>
      <c r="AF5815" s="28">
        <v>-3492735000</v>
      </c>
      <c r="AG5815" s="11"/>
    </row>
    <row r="5816">
      <c r="A5816" s="7" t="s">
        <v>7416</v>
      </c>
      <c r="B5816" s="5" t="s">
        <v>15366</v>
      </c>
      <c r="C5816" s="5" t="s">
        <v>23036</v>
      </c>
      <c r="D5816" s="5" t="str">
        <v>650106189185</v>
      </c>
      <c r="E5816" s="0" t="e">
        <f>+7 (424) 2727111
+7 (914) 7405261
+7 (424) 2492800
+7 (424) 2511999
+7 (424) 2722999</f>
        <v>#NAME?</v>
      </c>
      <c r="F5816" s="5" t="s">
        <v>42407</v>
      </c>
      <c r="G5816" s="5" t="s">
        <v>42408</v>
      </c>
      <c r="H5816" s="26">
        <v>13</v>
      </c>
      <c r="I5816" s="5" t="s">
        <v>42409</v>
      </c>
      <c r="J5816" s="5" t="s">
        <v>25190</v>
      </c>
      <c r="K5816" s="5" t="s">
        <v>344</v>
      </c>
      <c r="L5816" s="5" t="s">
        <v>42410</v>
      </c>
      <c r="M5816" s="27"/>
      <c r="N5816" s="5" t="s">
        <v>58117</v>
      </c>
      <c r="O5816" s="5" t="str">
        <v>6501215992</v>
      </c>
      <c r="P5816" s="27">
        <v>25000</v>
      </c>
      <c r="Q5816" s="5"/>
      <c r="R5816" s="5"/>
      <c r="S5816" s="5" t="s">
        <v>49047</v>
      </c>
      <c r="T5816" s="28">
        <v>681888000</v>
      </c>
      <c r="U5816" s="28"/>
      <c r="V5816" s="28">
        <v>1054203000</v>
      </c>
      <c r="W5816" s="28">
        <v>38000000</v>
      </c>
      <c r="X5816" s="28">
        <v>46083000</v>
      </c>
      <c r="Y5816" s="28">
        <v>3094479000</v>
      </c>
      <c r="Z5816" s="28">
        <v>793421000</v>
      </c>
      <c r="AA5816" s="28">
        <v>994358000</v>
      </c>
      <c r="AB5816" s="28">
        <v>121213000</v>
      </c>
      <c r="AC5816" s="28">
        <v>501191000</v>
      </c>
      <c r="AD5816" s="28">
        <v>793446000</v>
      </c>
      <c r="AE5816" s="28">
        <v>5298333000</v>
      </c>
      <c r="AF5816" s="28">
        <v>106337000</v>
      </c>
      <c r="AG5816" s="11"/>
    </row>
    <row r="5817">
      <c r="A5817" s="7" t="s">
        <v>7417</v>
      </c>
      <c r="B5817" s="5" t="s">
        <v>15367</v>
      </c>
      <c r="C5817" s="5" t="s">
        <v>23037</v>
      </c>
      <c r="D5817" s="5" t="str">
        <v>774303866745</v>
      </c>
      <c r="E5817" s="0" t="e">
        <f>+7 (495) 5105003
+7 (495) 2341790
+7 (495) 5043444
+7 (495) 5105001
+7 (495) 5105274
+7 (495) 5106768
+7 (495) 5106772
+7 (495) 7755552
+7 (800) 5556236
+7 (812) 3631100
+7 (812) 3632516
+7 (863) 3330033
+7 (903) 2584000
+7 (903) 7995124
+7 (916) 602083</f>
        <v>#NAME?</v>
      </c>
      <c r="F5817" s="5" t="s">
        <v>42411</v>
      </c>
      <c r="G5817" s="5" t="s">
        <v>42412</v>
      </c>
      <c r="H5817" s="26">
        <v>26</v>
      </c>
      <c r="I5817" s="5" t="s">
        <v>41596</v>
      </c>
      <c r="J5817" s="5" t="s">
        <v>1059</v>
      </c>
      <c r="K5817" s="5" t="s">
        <v>344</v>
      </c>
      <c r="L5817" s="5" t="s">
        <v>42413</v>
      </c>
      <c r="M5817" s="27"/>
      <c r="N5817" s="5" t="s">
        <v>58118</v>
      </c>
      <c r="O5817" s="5" t="str">
        <v>7711078582</v>
      </c>
      <c r="P5817" s="27">
        <v>10000000</v>
      </c>
      <c r="Q5817" s="5" t="s">
        <v>58119</v>
      </c>
      <c r="R5817" s="5"/>
      <c r="S5817" s="5" t="s">
        <v>58120</v>
      </c>
      <c r="T5817" s="28">
        <v>1906776000</v>
      </c>
      <c r="U5817" s="28">
        <v>8404000</v>
      </c>
      <c r="V5817" s="28">
        <v>9049234000</v>
      </c>
      <c r="W5817" s="28"/>
      <c r="X5817" s="28">
        <v>96683000</v>
      </c>
      <c r="Y5817" s="28">
        <v>14903361000</v>
      </c>
      <c r="Z5817" s="28">
        <v>2656448000</v>
      </c>
      <c r="AA5817" s="28"/>
      <c r="AB5817" s="28">
        <v>8610002000</v>
      </c>
      <c r="AC5817" s="28">
        <v>10476957000</v>
      </c>
      <c r="AD5817" s="28">
        <v>2666448000</v>
      </c>
      <c r="AE5817" s="28">
        <v>22931030000</v>
      </c>
      <c r="AF5817" s="28">
        <v>1510139000</v>
      </c>
      <c r="AG5817" s="11"/>
    </row>
    <row r="5818">
      <c r="A5818" s="7" t="s">
        <v>7418</v>
      </c>
      <c r="B5818" s="5" t="s">
        <v>15368</v>
      </c>
      <c r="C5818" s="5" t="s">
        <v>23038</v>
      </c>
      <c r="D5818" s="5" t="str">
        <v>526300579570</v>
      </c>
      <c r="E5818" s="0" t="e">
        <f>+7 (910) 1040032
+7 (831) 2237334
+7 (831) 2253869
+7 (831) 2256734
+7 (831) 2257212
+7 (831) 2257334
+7 (831) 2257376
+7 (831) 2258435
+7 (831) 2259556
+7 (831) 2259634
+7 (831) 2259852
+7 (831) 2738911</f>
        <v>#NAME?</v>
      </c>
      <c r="F5818" s="5" t="s">
        <v>42414</v>
      </c>
      <c r="G5818" s="5" t="s">
        <v>42415</v>
      </c>
      <c r="H5818" s="26">
        <v>29</v>
      </c>
      <c r="I5818" s="5" t="s">
        <v>42416</v>
      </c>
      <c r="J5818" s="5" t="s">
        <v>31123</v>
      </c>
      <c r="K5818" s="5" t="s">
        <v>344</v>
      </c>
      <c r="L5818" s="5" t="s">
        <v>42417</v>
      </c>
      <c r="M5818" s="27"/>
      <c r="N5818" s="5" t="s">
        <v>58121</v>
      </c>
      <c r="O5818" s="5" t="str">
        <v>5262031647</v>
      </c>
      <c r="P5818" s="27">
        <v>180015</v>
      </c>
      <c r="Q5818" s="5" t="s">
        <v>49009</v>
      </c>
      <c r="R5818" s="5"/>
      <c r="S5818" s="5" t="s">
        <v>49504</v>
      </c>
      <c r="T5818" s="28">
        <v>11535000</v>
      </c>
      <c r="U5818" s="28"/>
      <c r="V5818" s="28">
        <v>54737000</v>
      </c>
      <c r="W5818" s="28">
        <v>296640000</v>
      </c>
      <c r="X5818" s="28">
        <v>6271000</v>
      </c>
      <c r="Y5818" s="28">
        <v>701912000</v>
      </c>
      <c r="Z5818" s="28">
        <v>627196000</v>
      </c>
      <c r="AA5818" s="28"/>
      <c r="AB5818" s="28"/>
      <c r="AC5818" s="28">
        <v>49709000</v>
      </c>
      <c r="AD5818" s="28">
        <v>650530000</v>
      </c>
      <c r="AE5818" s="28">
        <v>3887408000</v>
      </c>
      <c r="AF5818" s="28">
        <v>136721000</v>
      </c>
      <c r="AG5818" s="11"/>
    </row>
    <row r="5819">
      <c r="A5819" s="7" t="s">
        <v>7419</v>
      </c>
      <c r="B5819" s="5" t="s">
        <v>15369</v>
      </c>
      <c r="C5819" s="5" t="s">
        <v>23039</v>
      </c>
      <c r="D5819" s="5" t="str">
        <v>770470242837</v>
      </c>
      <c r="E5819" s="0" t="e">
        <f>+7 (495) 7780881
+7 (495) 7862378
+7 (495) 2342853
+7 (495) 8408978
+7 (495) 9262417
+7 (495) 9951053</f>
        <v>#NAME?</v>
      </c>
      <c r="F5819" s="5"/>
      <c r="G5819" s="5" t="s">
        <v>42418</v>
      </c>
      <c r="H5819" s="26">
        <v>19</v>
      </c>
      <c r="I5819" s="5" t="s">
        <v>42419</v>
      </c>
      <c r="J5819" s="5" t="s">
        <v>33297</v>
      </c>
      <c r="K5819" s="5" t="s">
        <v>344</v>
      </c>
      <c r="L5819" s="5" t="s">
        <v>26640</v>
      </c>
      <c r="M5819" s="27"/>
      <c r="N5819" s="5"/>
      <c r="O5819" s="5" t="str">
        <v>5074026757</v>
      </c>
      <c r="P5819" s="27">
        <v>3400000</v>
      </c>
      <c r="Q5819" s="5" t="s">
        <v>49009</v>
      </c>
      <c r="R5819" s="5"/>
      <c r="S5819" s="5" t="s">
        <v>49066</v>
      </c>
      <c r="T5819" s="28">
        <v>537104000</v>
      </c>
      <c r="U5819" s="28"/>
      <c r="V5819" s="28">
        <v>1772593000</v>
      </c>
      <c r="W5819" s="28"/>
      <c r="X5819" s="28">
        <v>291911000</v>
      </c>
      <c r="Y5819" s="28">
        <v>3861412000</v>
      </c>
      <c r="Z5819" s="28">
        <v>185457000</v>
      </c>
      <c r="AA5819" s="28"/>
      <c r="AB5819" s="28"/>
      <c r="AC5819" s="28">
        <v>2442901000</v>
      </c>
      <c r="AD5819" s="28">
        <v>1423622000</v>
      </c>
      <c r="AE5819" s="28">
        <v>6216481000</v>
      </c>
      <c r="AF5819" s="28">
        <v>25297000</v>
      </c>
      <c r="AG5819" s="11"/>
    </row>
    <row r="5820">
      <c r="A5820" s="7" t="s">
        <v>7420</v>
      </c>
      <c r="B5820" s="5" t="s">
        <v>15370</v>
      </c>
      <c r="C5820" s="5" t="s">
        <v>23040</v>
      </c>
      <c r="D5820" s="5" t="str">
        <v>550717766010</v>
      </c>
      <c r="E5820" s="0" t="e">
        <f>+7 (381) 2378022
+7 (381) 2567640
+7 (913) 6060084
+7 (923) 394065
+7 (929) 3608022
+7 (965) 9770207</f>
        <v>#NAME?</v>
      </c>
      <c r="F5820" s="5" t="s">
        <v>42420</v>
      </c>
      <c r="G5820" s="5"/>
      <c r="H5820" s="26">
        <v>8</v>
      </c>
      <c r="I5820" s="5" t="s">
        <v>42421</v>
      </c>
      <c r="J5820" s="5" t="s">
        <v>373</v>
      </c>
      <c r="K5820" s="5" t="s">
        <v>344</v>
      </c>
      <c r="L5820" s="5"/>
      <c r="M5820" s="27">
        <v>37908525</v>
      </c>
      <c r="N5820" s="5"/>
      <c r="O5820" s="5" t="str">
        <v>5505047874</v>
      </c>
      <c r="P5820" s="27">
        <v>10000</v>
      </c>
      <c r="Q5820" s="5" t="s">
        <v>49057</v>
      </c>
      <c r="R5820" s="5"/>
      <c r="S5820" s="5" t="s">
        <v>49452</v>
      </c>
      <c r="T5820" s="28">
        <v>23320000</v>
      </c>
      <c r="U5820" s="28"/>
      <c r="V5820" s="28">
        <v>830589000</v>
      </c>
      <c r="W5820" s="28"/>
      <c r="X5820" s="28">
        <v>47430000</v>
      </c>
      <c r="Y5820" s="28">
        <v>903594000</v>
      </c>
      <c r="Z5820" s="28">
        <v>73517000</v>
      </c>
      <c r="AA5820" s="28"/>
      <c r="AB5820" s="28"/>
      <c r="AC5820" s="28">
        <v>812585000</v>
      </c>
      <c r="AD5820" s="28">
        <v>73527000</v>
      </c>
      <c r="AE5820" s="28">
        <v>6845266000</v>
      </c>
      <c r="AF5820" s="28">
        <v>6383000</v>
      </c>
      <c r="AG5820" s="11"/>
    </row>
    <row r="5821">
      <c r="A5821" s="7" t="s">
        <v>7421</v>
      </c>
      <c r="B5821" s="5" t="s">
        <v>15371</v>
      </c>
      <c r="C5821" s="5" t="s">
        <v>23041</v>
      </c>
      <c r="D5821" s="5" t="str">
        <v>745002974404</v>
      </c>
      <c r="E5821" s="0" t="e">
        <f>+7 (343) 2293405
+7 (343) 2293300
+7 (343) 3103324
+7 (844) 2499355
+7 (844) 2499388
+7 (844) 2504020</f>
        <v>#NAME?</v>
      </c>
      <c r="F5821" s="5"/>
      <c r="G5821" s="5"/>
      <c r="H5821" s="26">
        <v>14</v>
      </c>
      <c r="I5821" s="5"/>
      <c r="J5821" s="5" t="s">
        <v>30210</v>
      </c>
      <c r="K5821" s="5" t="s">
        <v>344</v>
      </c>
      <c r="L5821" s="5" t="s">
        <v>42422</v>
      </c>
      <c r="M5821" s="27">
        <v>360381</v>
      </c>
      <c r="N5821" s="5" t="s">
        <v>58122</v>
      </c>
      <c r="O5821" s="5" t="str">
        <v>6672292242</v>
      </c>
      <c r="P5821" s="27">
        <v>501000000</v>
      </c>
      <c r="Q5821" s="5" t="s">
        <v>58123</v>
      </c>
      <c r="R5821" s="5"/>
      <c r="S5821" s="5" t="s">
        <v>49065</v>
      </c>
      <c r="T5821" s="28">
        <v>75485000</v>
      </c>
      <c r="U5821" s="28">
        <v>1032997000</v>
      </c>
      <c r="V5821" s="28">
        <v>5675426000</v>
      </c>
      <c r="W5821" s="28">
        <v>180300000</v>
      </c>
      <c r="X5821" s="28">
        <v>1550544000</v>
      </c>
      <c r="Y5821" s="28">
        <v>8559560000</v>
      </c>
      <c r="Z5821" s="28">
        <v>554772000</v>
      </c>
      <c r="AA5821" s="28">
        <v>317364000</v>
      </c>
      <c r="AB5821" s="28">
        <v>967000</v>
      </c>
      <c r="AC5821" s="28">
        <v>7156650000</v>
      </c>
      <c r="AD5821" s="28">
        <v>1080822000</v>
      </c>
      <c r="AE5821" s="28">
        <v>16165523000</v>
      </c>
      <c r="AF5821" s="28">
        <v>425667000</v>
      </c>
      <c r="AG5821" s="11"/>
    </row>
    <row r="5822">
      <c r="A5822" s="7" t="s">
        <v>7422</v>
      </c>
      <c r="B5822" s="5" t="s">
        <v>15372</v>
      </c>
      <c r="C5822" s="5" t="s">
        <v>23042</v>
      </c>
      <c r="D5822" s="5" t="str">
        <v>661507772508</v>
      </c>
      <c r="E5822" s="0" t="e">
        <f>+7 (343) 3103300</f>
        <v>#NAME?</v>
      </c>
      <c r="F5822" s="5"/>
      <c r="G5822" s="5" t="s">
        <v>42423</v>
      </c>
      <c r="H5822" s="26">
        <v>9.5</v>
      </c>
      <c r="I5822" s="5" t="s">
        <v>42424</v>
      </c>
      <c r="J5822" s="5" t="s">
        <v>25666</v>
      </c>
      <c r="K5822" s="5" t="s">
        <v>355</v>
      </c>
      <c r="L5822" s="5" t="s">
        <v>42425</v>
      </c>
      <c r="M5822" s="27">
        <v>4740784</v>
      </c>
      <c r="N5822" s="5" t="s">
        <v>51209</v>
      </c>
      <c r="O5822" s="5" t="str">
        <v>6685034577</v>
      </c>
      <c r="P5822" s="27">
        <v>1000000</v>
      </c>
      <c r="Q5822" s="5" t="s">
        <v>49059</v>
      </c>
      <c r="R5822" s="5"/>
      <c r="S5822" s="5" t="s">
        <v>49110</v>
      </c>
      <c r="T5822" s="28">
        <v>1447111000</v>
      </c>
      <c r="U5822" s="28">
        <v>145393000</v>
      </c>
      <c r="V5822" s="28">
        <v>455246000</v>
      </c>
      <c r="W5822" s="28"/>
      <c r="X5822" s="28">
        <v>26183000</v>
      </c>
      <c r="Y5822" s="28">
        <v>2481122000</v>
      </c>
      <c r="Z5822" s="28">
        <v>433860000</v>
      </c>
      <c r="AA5822" s="28"/>
      <c r="AB5822" s="28">
        <v>93500000</v>
      </c>
      <c r="AC5822" s="28">
        <v>878774000</v>
      </c>
      <c r="AD5822" s="28">
        <v>434860000</v>
      </c>
      <c r="AE5822" s="28">
        <v>3178518000</v>
      </c>
      <c r="AF5822" s="28">
        <v>67200000</v>
      </c>
      <c r="AG5822" s="11"/>
    </row>
    <row r="5823">
      <c r="A5823" s="7" t="s">
        <v>7423</v>
      </c>
      <c r="B5823" s="5" t="s">
        <v>15373</v>
      </c>
      <c r="C5823" s="5" t="s">
        <v>23043</v>
      </c>
      <c r="D5823" s="5" t="str">
        <v>773502477170</v>
      </c>
      <c r="E5823" s="0" t="e">
        <f>+7 (343) 2293300</f>
        <v>#NAME?</v>
      </c>
      <c r="F5823" s="5"/>
      <c r="G5823" s="5" t="s">
        <v>30623</v>
      </c>
      <c r="H5823" s="26">
        <v>2</v>
      </c>
      <c r="I5823" s="5" t="s">
        <v>42426</v>
      </c>
      <c r="J5823" s="5" t="s">
        <v>26880</v>
      </c>
      <c r="K5823" s="5" t="s">
        <v>344</v>
      </c>
      <c r="L5823" s="5"/>
      <c r="M5823" s="27"/>
      <c r="N5823" s="5"/>
      <c r="O5823" s="5" t="str">
        <v>6685184251</v>
      </c>
      <c r="P5823" s="27">
        <v>100000000</v>
      </c>
      <c r="Q5823" s="5" t="s">
        <v>58124</v>
      </c>
      <c r="R5823" s="5"/>
      <c r="S5823" s="5" t="s">
        <v>50826</v>
      </c>
      <c r="T5823" s="28">
        <v>362188000</v>
      </c>
      <c r="U5823" s="28">
        <v>1530000000</v>
      </c>
      <c r="V5823" s="28">
        <v>126309146000</v>
      </c>
      <c r="W5823" s="28">
        <v>1145792000</v>
      </c>
      <c r="X5823" s="28">
        <v>81735616000</v>
      </c>
      <c r="Y5823" s="28">
        <v>225886443000</v>
      </c>
      <c r="Z5823" s="28">
        <v>6195114000</v>
      </c>
      <c r="AA5823" s="28"/>
      <c r="AB5823" s="28"/>
      <c r="AC5823" s="28">
        <v>120266278000</v>
      </c>
      <c r="AD5823" s="28">
        <v>6295114000</v>
      </c>
      <c r="AE5823" s="28">
        <v>161958972000</v>
      </c>
      <c r="AF5823" s="28">
        <v>15216476000</v>
      </c>
      <c r="AG5823" s="11"/>
    </row>
    <row r="5824">
      <c r="A5824" s="7" t="s">
        <v>7424</v>
      </c>
      <c r="B5824" s="5" t="s">
        <v>15374</v>
      </c>
      <c r="C5824" s="5" t="s">
        <v>23044</v>
      </c>
      <c r="D5824" s="5" t="str">
        <v>503009908974</v>
      </c>
      <c r="E5824" s="0" t="e">
        <f>+7 (495) 9337756
+7 (495) 9692199
+7 (495) 9337755
+7 (495) 9622199
+7 (499) 2358310</f>
        <v>#NAME?</v>
      </c>
      <c r="F5824" s="5" t="s">
        <v>42427</v>
      </c>
      <c r="G5824" s="5" t="s">
        <v>42428</v>
      </c>
      <c r="H5824" s="26">
        <v>24</v>
      </c>
      <c r="I5824" s="5" t="s">
        <v>42429</v>
      </c>
      <c r="J5824" s="5" t="s">
        <v>755</v>
      </c>
      <c r="K5824" s="5" t="s">
        <v>344</v>
      </c>
      <c r="L5824" s="5" t="s">
        <v>42430</v>
      </c>
      <c r="M5824" s="27"/>
      <c r="N5824" s="5"/>
      <c r="O5824" s="5" t="str">
        <v>7705255201</v>
      </c>
      <c r="P5824" s="27">
        <v>895619000</v>
      </c>
      <c r="Q5824" s="5" t="s">
        <v>58125</v>
      </c>
      <c r="R5824" s="5"/>
      <c r="S5824" s="5" t="s">
        <v>49907</v>
      </c>
      <c r="T5824" s="28">
        <v>1581567000</v>
      </c>
      <c r="U5824" s="28"/>
      <c r="V5824" s="28">
        <v>18126721000</v>
      </c>
      <c r="W5824" s="28">
        <v>600000000</v>
      </c>
      <c r="X5824" s="28">
        <v>14319941000</v>
      </c>
      <c r="Y5824" s="28">
        <v>69256963000</v>
      </c>
      <c r="Z5824" s="28">
        <v>11744929000</v>
      </c>
      <c r="AA5824" s="28"/>
      <c r="AB5824" s="28">
        <v>378000</v>
      </c>
      <c r="AC5824" s="28">
        <v>56264696000</v>
      </c>
      <c r="AD5824" s="28">
        <v>12640750000</v>
      </c>
      <c r="AE5824" s="28">
        <v>53440882000</v>
      </c>
      <c r="AF5824" s="28">
        <v>2583194000</v>
      </c>
      <c r="AG5824" s="11"/>
    </row>
    <row r="5825">
      <c r="A5825" s="7" t="s">
        <v>7425</v>
      </c>
      <c r="B5825" s="5" t="s">
        <v>15375</v>
      </c>
      <c r="C5825" s="5" t="s">
        <v>23045</v>
      </c>
      <c r="D5825" s="5" t="str">
        <v>505301560129</v>
      </c>
      <c r="E5825" s="0" t="e">
        <f>+7 (812) 4493876
+7 (911) 9161350
+7 (3422) 571758
+7 (495) 7800171
+7 (495) 9264948
+7 (495) 9332841
+7 (800) 7000111</f>
        <v>#NAME?</v>
      </c>
      <c r="F5825" s="5" t="s">
        <v>42431</v>
      </c>
      <c r="G5825" s="5"/>
      <c r="H5825" s="26">
        <v>23</v>
      </c>
      <c r="I5825" s="5"/>
      <c r="J5825" s="5" t="s">
        <v>42432</v>
      </c>
      <c r="K5825" s="5" t="s">
        <v>344</v>
      </c>
      <c r="L5825" s="5"/>
      <c r="M5825" s="27">
        <v>15948555</v>
      </c>
      <c r="N5825" s="5" t="s">
        <v>58126</v>
      </c>
      <c r="O5825" s="5" t="str">
        <v>7705353706</v>
      </c>
      <c r="P5825" s="27">
        <v>1890185892</v>
      </c>
      <c r="Q5825" s="5" t="s">
        <v>49009</v>
      </c>
      <c r="R5825" s="5"/>
      <c r="S5825" s="5" t="s">
        <v>49576</v>
      </c>
      <c r="T5825" s="28">
        <v>6903932000</v>
      </c>
      <c r="U5825" s="28">
        <v>1298774000</v>
      </c>
      <c r="V5825" s="28">
        <v>528889000</v>
      </c>
      <c r="W5825" s="28">
        <v>1669424000</v>
      </c>
      <c r="X5825" s="28">
        <v>70901000</v>
      </c>
      <c r="Y5825" s="28">
        <v>13480325000</v>
      </c>
      <c r="Z5825" s="28">
        <v>-14624753000</v>
      </c>
      <c r="AA5825" s="28">
        <v>11394929000</v>
      </c>
      <c r="AB5825" s="28"/>
      <c r="AC5825" s="28">
        <v>1637012000</v>
      </c>
      <c r="AD5825" s="28">
        <v>-8544984000</v>
      </c>
      <c r="AE5825" s="28">
        <v>4588596000</v>
      </c>
      <c r="AF5825" s="28">
        <v>-1844559000</v>
      </c>
      <c r="AG5825" s="11"/>
    </row>
    <row r="5826">
      <c r="A5826" s="7" t="s">
        <v>7426</v>
      </c>
      <c r="B5826" s="5" t="s">
        <v>15376</v>
      </c>
      <c r="C5826" s="5" t="s">
        <v>23046</v>
      </c>
      <c r="D5826" s="5" t="str">
        <v>526097419008</v>
      </c>
      <c r="E5826" s="0" t="e">
        <f>+7 (831) 4340285
+7 (831) 2160777
+7 (831) 4340286
+7 (83143) 33768
+7 (83143) 44702</f>
        <v>#NAME?</v>
      </c>
      <c r="F5826" s="5"/>
      <c r="G5826" s="5" t="s">
        <v>42433</v>
      </c>
      <c r="H5826" s="26">
        <v>11.5</v>
      </c>
      <c r="I5826" s="5" t="s">
        <v>42434</v>
      </c>
      <c r="J5826" s="5" t="s">
        <v>38193</v>
      </c>
      <c r="K5826" s="5" t="s">
        <v>344</v>
      </c>
      <c r="L5826" s="5" t="s">
        <v>42435</v>
      </c>
      <c r="M5826" s="27">
        <v>3370343</v>
      </c>
      <c r="N5826" s="5"/>
      <c r="O5826" s="5" t="str">
        <v>5257123941</v>
      </c>
      <c r="P5826" s="27">
        <v>16250</v>
      </c>
      <c r="Q5826" s="5"/>
      <c r="R5826" s="5"/>
      <c r="S5826" s="5" t="s">
        <v>49425</v>
      </c>
      <c r="T5826" s="28">
        <v>832913000</v>
      </c>
      <c r="U5826" s="28">
        <v>184013000</v>
      </c>
      <c r="V5826" s="28">
        <v>1406709000</v>
      </c>
      <c r="W5826" s="28">
        <v>463351000</v>
      </c>
      <c r="X5826" s="28">
        <v>27760000</v>
      </c>
      <c r="Y5826" s="28">
        <v>5054216000</v>
      </c>
      <c r="Z5826" s="28">
        <v>969633000</v>
      </c>
      <c r="AA5826" s="28"/>
      <c r="AB5826" s="28">
        <v>1646439000</v>
      </c>
      <c r="AC5826" s="28">
        <v>3879066000</v>
      </c>
      <c r="AD5826" s="28">
        <v>1109651000</v>
      </c>
      <c r="AE5826" s="28">
        <v>11872687000</v>
      </c>
      <c r="AF5826" s="28">
        <v>1192510000</v>
      </c>
      <c r="AG5826" s="11"/>
    </row>
    <row r="5827">
      <c r="A5827" s="7" t="s">
        <v>7427</v>
      </c>
      <c r="B5827" s="5" t="s">
        <v>15377</v>
      </c>
      <c r="C5827" s="5" t="s">
        <v>23047</v>
      </c>
      <c r="D5827" s="5" t="str">
        <v>381900797541</v>
      </c>
      <c r="E5827" s="0" t="e">
        <f>+7 (902) 5664492
+7 (3952) 436136</f>
        <v>#NAME?</v>
      </c>
      <c r="F5827" s="5"/>
      <c r="G5827" s="5"/>
      <c r="H5827" s="26">
        <v>7.5</v>
      </c>
      <c r="I5827" s="5" t="s">
        <v>42436</v>
      </c>
      <c r="J5827" s="5" t="s">
        <v>25327</v>
      </c>
      <c r="K5827" s="5" t="s">
        <v>344</v>
      </c>
      <c r="L5827" s="5" t="s">
        <v>42437</v>
      </c>
      <c r="M5827" s="27">
        <v>10465235</v>
      </c>
      <c r="N5827" s="5" t="s">
        <v>58127</v>
      </c>
      <c r="O5827" s="5" t="str">
        <v>3808190887</v>
      </c>
      <c r="P5827" s="27">
        <v>1000000</v>
      </c>
      <c r="Q5827" s="5" t="s">
        <v>58128</v>
      </c>
      <c r="R5827" s="5"/>
      <c r="S5827" s="5" t="s">
        <v>52615</v>
      </c>
      <c r="T5827" s="28">
        <v>101568000</v>
      </c>
      <c r="U5827" s="28"/>
      <c r="V5827" s="28">
        <v>2058705000</v>
      </c>
      <c r="W5827" s="28">
        <v>127000000</v>
      </c>
      <c r="X5827" s="28">
        <v>45860000</v>
      </c>
      <c r="Y5827" s="28">
        <v>2527740000</v>
      </c>
      <c r="Z5827" s="28">
        <v>928102000</v>
      </c>
      <c r="AA5827" s="28"/>
      <c r="AB5827" s="28">
        <v>906778000</v>
      </c>
      <c r="AC5827" s="28">
        <v>1557256000</v>
      </c>
      <c r="AD5827" s="28">
        <v>929102000</v>
      </c>
      <c r="AE5827" s="28">
        <v>16797804000</v>
      </c>
      <c r="AF5827" s="28">
        <v>480815000</v>
      </c>
      <c r="AG5827" s="11"/>
    </row>
    <row r="5828">
      <c r="A5828" s="7" t="s">
        <v>7428</v>
      </c>
      <c r="B5828" s="5" t="s">
        <v>15378</v>
      </c>
      <c r="C5828" s="5" t="s">
        <v>23048</v>
      </c>
      <c r="D5828" s="5" t="str">
        <v>774392709886</v>
      </c>
      <c r="E5828" s="0" t="e">
        <f>+7 (800) 1000011
+7 (381) 2241862
+7 (473) 2285793
+7 (495) 8000110
+7 (49645) 91853
+7 (499) 8001001
+7 (8632) 850252
+7 (903) 7288254
+7 (385) 2560705
+7 (495) 9951029
+7 (800) 6810318
+7 (800) 9954913
+7 (846) 2075152
+7 (903) 9682637</f>
        <v>#NAME?</v>
      </c>
      <c r="F5828" s="5" t="s">
        <v>42438</v>
      </c>
      <c r="G5828" s="5" t="s">
        <v>42439</v>
      </c>
      <c r="H5828" s="26">
        <v>27.5</v>
      </c>
      <c r="I5828" s="5" t="s">
        <v>42440</v>
      </c>
      <c r="J5828" s="5" t="s">
        <v>36970</v>
      </c>
      <c r="K5828" s="5"/>
      <c r="L5828" s="5"/>
      <c r="M5828" s="27">
        <v>80000</v>
      </c>
      <c r="N5828" s="5" t="s">
        <v>58129</v>
      </c>
      <c r="O5828" s="5" t="str">
        <v>7729152149</v>
      </c>
      <c r="P5828" s="27"/>
      <c r="Q5828" s="5" t="s">
        <v>58130</v>
      </c>
      <c r="R5828" s="5"/>
      <c r="S5828" s="5" t="s">
        <v>58131</v>
      </c>
      <c r="T5828" s="28">
        <v>197941000</v>
      </c>
      <c r="U5828" s="28">
        <v>11000</v>
      </c>
      <c r="V5828" s="28">
        <v>730572000</v>
      </c>
      <c r="W5828" s="28">
        <v>51779000</v>
      </c>
      <c r="X5828" s="28">
        <v>130611000</v>
      </c>
      <c r="Y5828" s="28">
        <v>3010711000</v>
      </c>
      <c r="Z5828" s="28">
        <v>800715000</v>
      </c>
      <c r="AA5828" s="28"/>
      <c r="AB5828" s="28">
        <v>569498000</v>
      </c>
      <c r="AC5828" s="28">
        <v>2207588000</v>
      </c>
      <c r="AD5828" s="28">
        <v>800715000</v>
      </c>
      <c r="AE5828" s="28">
        <v>8085217000</v>
      </c>
      <c r="AF5828" s="28">
        <v>53650000</v>
      </c>
      <c r="AG5828" s="11"/>
    </row>
    <row r="5829">
      <c r="A5829" s="7" t="s">
        <v>7429</v>
      </c>
      <c r="B5829" s="5" t="s">
        <v>15379</v>
      </c>
      <c r="C5829" s="5" t="s">
        <v>23049</v>
      </c>
      <c r="D5829" s="5" t="str">
        <v>421107255381</v>
      </c>
      <c r="E5829" s="0" t="e">
        <f>+7 (384) 6471357
+7 (913) 786608
+7 (3846) 631080
+7 (3846) 631633
+7 (3846) 631936
+7 (38464) 34027
+7 (38464) 34378
+7 (38464) 34382
+7 (38464) 71181
+7 (38464) 73728</f>
        <v>#NAME?</v>
      </c>
      <c r="F5829" s="5" t="s">
        <v>42441</v>
      </c>
      <c r="G5829" s="5" t="s">
        <v>42442</v>
      </c>
      <c r="H5829" s="26">
        <v>11.5</v>
      </c>
      <c r="I5829" s="5" t="s">
        <v>42443</v>
      </c>
      <c r="J5829" s="5" t="s">
        <v>39176</v>
      </c>
      <c r="K5829" s="5" t="s">
        <v>344</v>
      </c>
      <c r="L5829" s="5" t="s">
        <v>42444</v>
      </c>
      <c r="M5829" s="27"/>
      <c r="N5829" s="5" t="s">
        <v>51968</v>
      </c>
      <c r="O5829" s="5" t="str">
        <v>4223054631</v>
      </c>
      <c r="P5829" s="27">
        <v>100000</v>
      </c>
      <c r="Q5829" s="5"/>
      <c r="R5829" s="5"/>
      <c r="S5829" s="5" t="s">
        <v>49053</v>
      </c>
      <c r="T5829" s="28">
        <v>455405000</v>
      </c>
      <c r="U5829" s="28"/>
      <c r="V5829" s="28">
        <v>901591000</v>
      </c>
      <c r="W5829" s="28"/>
      <c r="X5829" s="28">
        <v>918000</v>
      </c>
      <c r="Y5829" s="28">
        <v>2491707000</v>
      </c>
      <c r="Z5829" s="28">
        <v>883168000</v>
      </c>
      <c r="AA5829" s="28">
        <v>251185000</v>
      </c>
      <c r="AB5829" s="28"/>
      <c r="AC5829" s="28">
        <v>1353931000</v>
      </c>
      <c r="AD5829" s="28">
        <v>883268000</v>
      </c>
      <c r="AE5829" s="28">
        <v>11135408000</v>
      </c>
      <c r="AF5829" s="28">
        <v>120401000</v>
      </c>
      <c r="AG5829" s="11"/>
    </row>
    <row r="5830">
      <c r="A5830" s="7" t="s">
        <v>7430</v>
      </c>
      <c r="B5830" s="5" t="s">
        <v>15380</v>
      </c>
      <c r="C5830" s="5" t="s">
        <v>23050</v>
      </c>
      <c r="D5830" s="5" t="str">
        <v>510402207439</v>
      </c>
      <c r="E5830" s="0" t="e">
        <f>+7 (812) 6771325
+7 (812) 6771328
+7 (931) 5780454</f>
        <v>#NAME?</v>
      </c>
      <c r="F5830" s="5" t="s">
        <v>42445</v>
      </c>
      <c r="G5830" s="5" t="s">
        <v>42446</v>
      </c>
      <c r="H5830" s="26">
        <v>17.5</v>
      </c>
      <c r="I5830" s="5" t="s">
        <v>42447</v>
      </c>
      <c r="J5830" s="5" t="s">
        <v>27650</v>
      </c>
      <c r="K5830" s="5" t="s">
        <v>344</v>
      </c>
      <c r="L5830" s="5" t="s">
        <v>42448</v>
      </c>
      <c r="M5830" s="27"/>
      <c r="N5830" s="5"/>
      <c r="O5830" s="5" t="str">
        <v>7810032042</v>
      </c>
      <c r="P5830" s="27">
        <v>10000</v>
      </c>
      <c r="Q5830" s="5"/>
      <c r="R5830" s="5"/>
      <c r="S5830" s="5" t="s">
        <v>49029</v>
      </c>
      <c r="T5830" s="28">
        <v>91681000</v>
      </c>
      <c r="U5830" s="28"/>
      <c r="V5830" s="28">
        <v>702928000</v>
      </c>
      <c r="W5830" s="28">
        <v>20929000</v>
      </c>
      <c r="X5830" s="28">
        <v>2066000</v>
      </c>
      <c r="Y5830" s="28">
        <v>1011453000</v>
      </c>
      <c r="Z5830" s="28">
        <v>384663000</v>
      </c>
      <c r="AA5830" s="28"/>
      <c r="AB5830" s="28">
        <v>123173000</v>
      </c>
      <c r="AC5830" s="28">
        <v>620823000</v>
      </c>
      <c r="AD5830" s="28">
        <v>390898000</v>
      </c>
      <c r="AE5830" s="28">
        <v>3426395000</v>
      </c>
      <c r="AF5830" s="28">
        <v>39119000</v>
      </c>
      <c r="AG5830" s="11"/>
    </row>
    <row r="5831">
      <c r="A5831" s="7" t="s">
        <v>7431</v>
      </c>
      <c r="B5831" s="5" t="s">
        <v>15381</v>
      </c>
      <c r="C5831" s="5" t="s">
        <v>23051</v>
      </c>
      <c r="D5831" s="5" t="str">
        <v>440101150506</v>
      </c>
      <c r="E5831" s="0" t="e">
        <f>+7 (495) 7881616
+7 (494) 2394006
+7 (494) 2416181
+7 (495) 7880709
+7 (800) 5509553
+7 (910) 9522334</f>
        <v>#NAME?</v>
      </c>
      <c r="F5831" s="5" t="s">
        <v>42449</v>
      </c>
      <c r="G5831" s="5" t="s">
        <v>42450</v>
      </c>
      <c r="H5831" s="26">
        <v>25.5</v>
      </c>
      <c r="I5831" s="5" t="s">
        <v>42451</v>
      </c>
      <c r="J5831" s="5" t="s">
        <v>710</v>
      </c>
      <c r="K5831" s="5" t="s">
        <v>344</v>
      </c>
      <c r="L5831" s="5" t="s">
        <v>42452</v>
      </c>
      <c r="M5831" s="27"/>
      <c r="N5831" s="5"/>
      <c r="O5831" s="5" t="str">
        <v>4444002134</v>
      </c>
      <c r="P5831" s="27">
        <v>500000</v>
      </c>
      <c r="Q5831" s="5" t="s">
        <v>49059</v>
      </c>
      <c r="R5831" s="5"/>
      <c r="S5831" s="5" t="s">
        <v>49028</v>
      </c>
      <c r="T5831" s="28">
        <v>394612000</v>
      </c>
      <c r="U5831" s="28">
        <v>43000</v>
      </c>
      <c r="V5831" s="28">
        <v>1874578000</v>
      </c>
      <c r="W5831" s="28">
        <v>45942000</v>
      </c>
      <c r="X5831" s="28">
        <v>1136165000</v>
      </c>
      <c r="Y5831" s="28">
        <v>3863710000</v>
      </c>
      <c r="Z5831" s="28">
        <v>1728104000</v>
      </c>
      <c r="AA5831" s="28"/>
      <c r="AB5831" s="28"/>
      <c r="AC5831" s="28">
        <v>2037675000</v>
      </c>
      <c r="AD5831" s="28">
        <v>1728604000</v>
      </c>
      <c r="AE5831" s="28">
        <v>3177079000</v>
      </c>
      <c r="AF5831" s="28">
        <v>598090000</v>
      </c>
      <c r="AG5831" s="11"/>
    </row>
    <row r="5832">
      <c r="A5832" s="7" t="s">
        <v>7431</v>
      </c>
      <c r="B5832" s="5" t="s">
        <v>15382</v>
      </c>
      <c r="C5832" s="5" t="s">
        <v>23052</v>
      </c>
      <c r="D5832" s="5" t="str">
        <v>402500371368</v>
      </c>
      <c r="F5832" s="5"/>
      <c r="G5832" s="5"/>
      <c r="H5832" s="26">
        <v>15.5</v>
      </c>
      <c r="I5832" s="5" t="s">
        <v>42453</v>
      </c>
      <c r="J5832" s="5" t="s">
        <v>26770</v>
      </c>
      <c r="K5832" s="5" t="s">
        <v>380</v>
      </c>
      <c r="L5832" s="5"/>
      <c r="M5832" s="27"/>
      <c r="N5832" s="5"/>
      <c r="O5832" s="5" t="str">
        <v>4025414113</v>
      </c>
      <c r="P5832" s="27">
        <v>200000</v>
      </c>
      <c r="Q5832" s="5" t="s">
        <v>49009</v>
      </c>
      <c r="R5832" s="5"/>
      <c r="S5832" s="5" t="s">
        <v>50378</v>
      </c>
      <c r="T5832" s="28">
        <v>37128000</v>
      </c>
      <c r="U5832" s="28"/>
      <c r="V5832" s="28">
        <v>3516287000</v>
      </c>
      <c r="W5832" s="28"/>
      <c r="X5832" s="28">
        <v>48000</v>
      </c>
      <c r="Y5832" s="28">
        <v>6097289000</v>
      </c>
      <c r="Z5832" s="28">
        <v>154087000</v>
      </c>
      <c r="AA5832" s="28">
        <v>1926245000</v>
      </c>
      <c r="AB5832" s="28">
        <v>133488000</v>
      </c>
      <c r="AC5832" s="28">
        <v>3690416000</v>
      </c>
      <c r="AD5832" s="28">
        <v>432429000</v>
      </c>
      <c r="AE5832" s="28">
        <v>19950512000</v>
      </c>
      <c r="AF5832" s="28">
        <v>-4288000</v>
      </c>
      <c r="AG5832" s="11"/>
    </row>
    <row r="5833">
      <c r="A5833" s="7" t="s">
        <v>7432</v>
      </c>
      <c r="B5833" s="5" t="s">
        <v>15383</v>
      </c>
      <c r="C5833" s="5" t="s">
        <v>23053</v>
      </c>
      <c r="D5833" s="5"/>
      <c r="E5833" s="0" t="e">
        <f>+7 (3439) 324648
+7 (3439) 325584
+7 (3439) 334701
+7 (3439) 335584
+7 (3439) 363004
+7 (3439) 363011
+7 (3439) 363139
+7 (3439) 363164
+7 (3439) 363271
+7 (3439) 363331
+7 (3439) 363393
+7 (3439) 363403
+7 (3439) 363560
+7 (3439) 363649
+7 (3439) 363759</f>
        <v>#NAME?</v>
      </c>
      <c r="F5833" s="5" t="s">
        <v>42454</v>
      </c>
      <c r="G5833" s="5" t="s">
        <v>42455</v>
      </c>
      <c r="H5833" s="26">
        <v>30.5</v>
      </c>
      <c r="I5833" s="5"/>
      <c r="J5833" s="5" t="s">
        <v>27977</v>
      </c>
      <c r="K5833" s="5" t="s">
        <v>355</v>
      </c>
      <c r="L5833" s="5" t="s">
        <v>42456</v>
      </c>
      <c r="M5833" s="27">
        <v>4392510</v>
      </c>
      <c r="N5833" s="5"/>
      <c r="O5833" s="5" t="str">
        <v>6612000551</v>
      </c>
      <c r="P5833" s="27">
        <v>409211000</v>
      </c>
      <c r="Q5833" s="5" t="s">
        <v>58132</v>
      </c>
      <c r="R5833" s="5"/>
      <c r="S5833" s="5" t="s">
        <v>51145</v>
      </c>
      <c r="T5833" s="28">
        <v>9185210000</v>
      </c>
      <c r="U5833" s="28">
        <v>2438683000</v>
      </c>
      <c r="V5833" s="28">
        <v>10962206000</v>
      </c>
      <c r="W5833" s="28">
        <v>2408729000</v>
      </c>
      <c r="X5833" s="28">
        <v>8005174000</v>
      </c>
      <c r="Y5833" s="28">
        <v>44648692000</v>
      </c>
      <c r="Z5833" s="28">
        <v>6122939000</v>
      </c>
      <c r="AA5833" s="28"/>
      <c r="AB5833" s="28">
        <v>7005255000</v>
      </c>
      <c r="AC5833" s="28">
        <v>36351587000</v>
      </c>
      <c r="AD5833" s="28">
        <v>7459413000</v>
      </c>
      <c r="AE5833" s="28">
        <v>65821002000</v>
      </c>
      <c r="AF5833" s="28">
        <v>4549673000</v>
      </c>
      <c r="AG5833" s="11"/>
    </row>
    <row r="5834">
      <c r="A5834" s="7" t="s">
        <v>7433</v>
      </c>
      <c r="B5834" s="5" t="s">
        <v>12483</v>
      </c>
      <c r="C5834" s="5" t="s">
        <v>23054</v>
      </c>
      <c r="D5834" s="5"/>
      <c r="E5834" s="0" t="e">
        <f>+7 (800) 2004180</f>
        <v>#NAME?</v>
      </c>
      <c r="F5834" s="5" t="s">
        <v>42457</v>
      </c>
      <c r="G5834" s="5" t="s">
        <v>42458</v>
      </c>
      <c r="H5834" s="26">
        <v>17.5</v>
      </c>
      <c r="I5834" s="5" t="s">
        <v>42459</v>
      </c>
      <c r="J5834" s="5" t="s">
        <v>28069</v>
      </c>
      <c r="K5834" s="5" t="s">
        <v>344</v>
      </c>
      <c r="L5834" s="5"/>
      <c r="M5834" s="27">
        <v>15894422</v>
      </c>
      <c r="N5834" s="5" t="s">
        <v>58133</v>
      </c>
      <c r="O5834" s="5" t="str">
        <v>7604079550</v>
      </c>
      <c r="P5834" s="27">
        <v>150500</v>
      </c>
      <c r="Q5834" s="5" t="s">
        <v>58134</v>
      </c>
      <c r="R5834" s="5"/>
      <c r="S5834" s="5" t="s">
        <v>58135</v>
      </c>
      <c r="T5834" s="28">
        <v>40674000</v>
      </c>
      <c r="U5834" s="28">
        <v>4815000</v>
      </c>
      <c r="V5834" s="28">
        <v>817061000</v>
      </c>
      <c r="W5834" s="28">
        <v>53060000</v>
      </c>
      <c r="X5834" s="28">
        <v>165189000</v>
      </c>
      <c r="Y5834" s="28">
        <v>2720951000</v>
      </c>
      <c r="Z5834" s="28">
        <v>855417000</v>
      </c>
      <c r="AA5834" s="28"/>
      <c r="AB5834" s="28">
        <v>283851000</v>
      </c>
      <c r="AC5834" s="28">
        <v>1857945000</v>
      </c>
      <c r="AD5834" s="28">
        <v>855568000</v>
      </c>
      <c r="AE5834" s="28">
        <v>5295949000</v>
      </c>
      <c r="AF5834" s="28">
        <v>208265000</v>
      </c>
      <c r="AG5834" s="11"/>
    </row>
    <row r="5835">
      <c r="A5835" s="7" t="s">
        <v>7434</v>
      </c>
      <c r="B5835" s="5" t="s">
        <v>15384</v>
      </c>
      <c r="C5835" s="5" t="s">
        <v>23055</v>
      </c>
      <c r="D5835" s="5" t="str">
        <v>772907008270</v>
      </c>
      <c r="E5835" s="0" t="e">
        <f>+7 (495) 3636332
+7 (495) 7821316
+7 (495) 7821318
+7 (495) 9671287
+7 (495) 3633266
+7 (495) 3633267
+7 (495) 3633272
+7 (495) 7250900
+7 (495) 7821315
+7 (495) 9406140
+7 (495) 9671609
+7 (499) 7243544
+7 (499) 7243844
+7 (499) 7243855
+7 (499) 7243944</f>
        <v>#NAME?</v>
      </c>
      <c r="F5835" s="5"/>
      <c r="G5835" s="5" t="s">
        <v>42460</v>
      </c>
      <c r="H5835" s="26">
        <v>23</v>
      </c>
      <c r="I5835" s="5"/>
      <c r="J5835" s="5" t="s">
        <v>30822</v>
      </c>
      <c r="K5835" s="5" t="s">
        <v>344</v>
      </c>
      <c r="L5835" s="5" t="s">
        <v>42461</v>
      </c>
      <c r="M5835" s="27"/>
      <c r="N5835" s="5" t="s">
        <v>58136</v>
      </c>
      <c r="O5835" s="5" t="str">
        <v>7714171484</v>
      </c>
      <c r="P5835" s="27">
        <v>100000</v>
      </c>
      <c r="Q5835" s="5" t="s">
        <v>58137</v>
      </c>
      <c r="R5835" s="5"/>
      <c r="S5835" s="5" t="s">
        <v>49361</v>
      </c>
      <c r="T5835" s="28">
        <v>484765000</v>
      </c>
      <c r="U5835" s="28">
        <v>89682000</v>
      </c>
      <c r="V5835" s="28">
        <v>696963000</v>
      </c>
      <c r="W5835" s="28">
        <v>16600000</v>
      </c>
      <c r="X5835" s="28">
        <v>243908000</v>
      </c>
      <c r="Y5835" s="28">
        <v>1764755000</v>
      </c>
      <c r="Z5835" s="28">
        <v>1130057000</v>
      </c>
      <c r="AA5835" s="28"/>
      <c r="AB5835" s="28"/>
      <c r="AC5835" s="28">
        <v>495482000</v>
      </c>
      <c r="AD5835" s="28">
        <v>1130172000</v>
      </c>
      <c r="AE5835" s="28">
        <v>3628554000</v>
      </c>
      <c r="AF5835" s="28">
        <v>1189593000</v>
      </c>
      <c r="AG5835" s="11"/>
    </row>
    <row r="5836">
      <c r="A5836" s="7" t="s">
        <v>7435</v>
      </c>
      <c r="B5836" s="5" t="s">
        <v>15385</v>
      </c>
      <c r="C5836" s="5" t="s">
        <v>23056</v>
      </c>
      <c r="D5836" s="5" t="str">
        <v>773108656044</v>
      </c>
      <c r="E5836" s="0" t="e">
        <f>+7 (495) 6260330
+7 (903) 4021253
+7 (985) 2100967</f>
        <v>#NAME?</v>
      </c>
      <c r="F5836" s="5" t="s">
        <v>42462</v>
      </c>
      <c r="G5836" s="5"/>
      <c r="H5836" s="26">
        <v>5.5</v>
      </c>
      <c r="I5836" s="5" t="s">
        <v>42463</v>
      </c>
      <c r="J5836" s="5" t="s">
        <v>30115</v>
      </c>
      <c r="K5836" s="5" t="s">
        <v>355</v>
      </c>
      <c r="L5836" s="5"/>
      <c r="M5836" s="27"/>
      <c r="N5836" s="5" t="s">
        <v>49422</v>
      </c>
      <c r="O5836" s="5" t="str">
        <v>9710041576</v>
      </c>
      <c r="P5836" s="27">
        <v>29000000</v>
      </c>
      <c r="Q5836" s="5" t="s">
        <v>49059</v>
      </c>
      <c r="R5836" s="5"/>
      <c r="S5836" s="5" t="s">
        <v>49425</v>
      </c>
      <c r="T5836" s="28">
        <v>22013000</v>
      </c>
      <c r="U5836" s="28"/>
      <c r="V5836" s="28">
        <v>227065000</v>
      </c>
      <c r="W5836" s="28"/>
      <c r="X5836" s="28">
        <v>78661000</v>
      </c>
      <c r="Y5836" s="28">
        <v>852768000</v>
      </c>
      <c r="Z5836" s="28">
        <v>-216134000</v>
      </c>
      <c r="AA5836" s="28"/>
      <c r="AB5836" s="28">
        <v>292257000</v>
      </c>
      <c r="AC5836" s="28">
        <v>1021215000</v>
      </c>
      <c r="AD5836" s="28">
        <v>-186841000</v>
      </c>
      <c r="AE5836" s="28">
        <v>4478034000</v>
      </c>
      <c r="AF5836" s="28">
        <v>-23956000</v>
      </c>
      <c r="AG5836" s="11"/>
    </row>
    <row r="5837">
      <c r="A5837" s="7" t="s">
        <v>7436</v>
      </c>
      <c r="B5837" s="5" t="s">
        <v>15386</v>
      </c>
      <c r="C5837" s="5" t="s">
        <v>23057</v>
      </c>
      <c r="D5837" s="5" t="str">
        <v>770700080710</v>
      </c>
      <c r="E5837" s="0" t="e">
        <f>+7 (495) 9611469</f>
        <v>#NAME?</v>
      </c>
      <c r="F5837" s="5"/>
      <c r="G5837" s="5"/>
      <c r="H5837" s="26">
        <v>9.5</v>
      </c>
      <c r="I5837" s="5" t="s">
        <v>42464</v>
      </c>
      <c r="J5837" s="5" t="s">
        <v>28290</v>
      </c>
      <c r="K5837" s="5" t="s">
        <v>380</v>
      </c>
      <c r="L5837" s="5" t="s">
        <v>42465</v>
      </c>
      <c r="M5837" s="27">
        <v>8657985</v>
      </c>
      <c r="N5837" s="5"/>
      <c r="O5837" s="5" t="str">
        <v>7705545285</v>
      </c>
      <c r="P5837" s="27">
        <v>3300000</v>
      </c>
      <c r="Q5837" s="5" t="s">
        <v>58138</v>
      </c>
      <c r="R5837" s="5"/>
      <c r="S5837" s="5" t="s">
        <v>49085</v>
      </c>
      <c r="T5837" s="28"/>
      <c r="U5837" s="28"/>
      <c r="V5837" s="28">
        <v>5469870000</v>
      </c>
      <c r="W5837" s="28">
        <v>5567609000</v>
      </c>
      <c r="X5837" s="28">
        <v>293605000</v>
      </c>
      <c r="Y5837" s="28">
        <v>12011878000</v>
      </c>
      <c r="Z5837" s="28">
        <v>-984376000</v>
      </c>
      <c r="AA5837" s="28"/>
      <c r="AB5837" s="28"/>
      <c r="AC5837" s="28">
        <v>12992954000</v>
      </c>
      <c r="AD5837" s="28">
        <v>-981076000</v>
      </c>
      <c r="AE5837" s="28">
        <v>5149957000</v>
      </c>
      <c r="AF5837" s="28">
        <v>-3674251000</v>
      </c>
      <c r="AG5837" s="11"/>
    </row>
    <row r="5838">
      <c r="A5838" s="7" t="s">
        <v>7437</v>
      </c>
      <c r="B5838" s="5" t="s">
        <v>15387</v>
      </c>
      <c r="C5838" s="5" t="s">
        <v>23058</v>
      </c>
      <c r="D5838" s="5" t="str">
        <v>770702934397</v>
      </c>
      <c r="E5838" s="0" t="e">
        <f>+7 (495) 7816772
+7 (967) 7131111</f>
        <v>#NAME?</v>
      </c>
      <c r="F5838" s="5"/>
      <c r="G5838" s="5" t="s">
        <v>42466</v>
      </c>
      <c r="H5838" s="26">
        <v>12</v>
      </c>
      <c r="I5838" s="5" t="s">
        <v>42467</v>
      </c>
      <c r="J5838" s="5" t="s">
        <v>25429</v>
      </c>
      <c r="K5838" s="5" t="s">
        <v>355</v>
      </c>
      <c r="L5838" s="5" t="s">
        <v>42468</v>
      </c>
      <c r="M5838" s="27">
        <v>5106309</v>
      </c>
      <c r="N5838" s="5" t="s">
        <v>58139</v>
      </c>
      <c r="O5838" s="5" t="str">
        <v>7714827600</v>
      </c>
      <c r="P5838" s="27">
        <v>40400000</v>
      </c>
      <c r="Q5838" s="5" t="s">
        <v>49009</v>
      </c>
      <c r="R5838" s="5"/>
      <c r="S5838" s="5" t="s">
        <v>49012</v>
      </c>
      <c r="T5838" s="28">
        <v>1093475000</v>
      </c>
      <c r="U5838" s="28">
        <v>100000</v>
      </c>
      <c r="V5838" s="28">
        <v>616511000</v>
      </c>
      <c r="W5838" s="28"/>
      <c r="X5838" s="28">
        <v>598583000</v>
      </c>
      <c r="Y5838" s="28">
        <v>3236810000</v>
      </c>
      <c r="Z5838" s="28">
        <v>1428256000</v>
      </c>
      <c r="AA5838" s="28">
        <v>61000000</v>
      </c>
      <c r="AB5838" s="28">
        <v>311000</v>
      </c>
      <c r="AC5838" s="28">
        <v>1704930000</v>
      </c>
      <c r="AD5838" s="28">
        <v>1468656000</v>
      </c>
      <c r="AE5838" s="28">
        <v>3749509000</v>
      </c>
      <c r="AF5838" s="28">
        <v>-35937000</v>
      </c>
      <c r="AG5838" s="11"/>
    </row>
    <row r="5839">
      <c r="A5839" s="7" t="s">
        <v>7438</v>
      </c>
      <c r="B5839" s="5" t="s">
        <v>12346</v>
      </c>
      <c r="C5839" s="5" t="s">
        <v>23059</v>
      </c>
      <c r="D5839" s="5" t="str">
        <v>774331952837</v>
      </c>
      <c r="E5839" s="0" t="e">
        <f>+7 (495) 9569813
+7 (495) 9569817
+7 (495) 9569818
+7 (495) 7442999
+7 (495) 7556600
+7 (495) 7556641
+7 (495) 7556688
+7 (495) 7556691</f>
        <v>#NAME?</v>
      </c>
      <c r="F5839" s="5" t="s">
        <v>42469</v>
      </c>
      <c r="G5839" s="5" t="s">
        <v>42470</v>
      </c>
      <c r="H5839" s="26">
        <v>26.5</v>
      </c>
      <c r="I5839" s="5" t="s">
        <v>42471</v>
      </c>
      <c r="J5839" s="5" t="s">
        <v>26308</v>
      </c>
      <c r="K5839" s="5" t="s">
        <v>355</v>
      </c>
      <c r="L5839" s="5" t="s">
        <v>42472</v>
      </c>
      <c r="M5839" s="27">
        <v>27002156</v>
      </c>
      <c r="N5839" s="5"/>
      <c r="O5839" s="5" t="str">
        <v>7710044140</v>
      </c>
      <c r="P5839" s="27">
        <v>9693464934</v>
      </c>
      <c r="Q5839" s="5" t="s">
        <v>49009</v>
      </c>
      <c r="R5839" s="5" t="s">
        <v>58140</v>
      </c>
      <c r="S5839" s="5" t="s">
        <v>49120</v>
      </c>
      <c r="T5839" s="28">
        <v>42297549000</v>
      </c>
      <c r="U5839" s="28">
        <v>420000000</v>
      </c>
      <c r="V5839" s="28">
        <v>10050853000</v>
      </c>
      <c r="W5839" s="28">
        <v>10297784000</v>
      </c>
      <c r="X5839" s="28">
        <v>5573920000</v>
      </c>
      <c r="Y5839" s="28">
        <v>74772110000</v>
      </c>
      <c r="Z5839" s="28">
        <v>24031481000</v>
      </c>
      <c r="AA5839" s="28"/>
      <c r="AB5839" s="28">
        <v>12333288000</v>
      </c>
      <c r="AC5839" s="28">
        <v>19377443000</v>
      </c>
      <c r="AD5839" s="28">
        <v>41501766000</v>
      </c>
      <c r="AE5839" s="28">
        <v>73486322000</v>
      </c>
      <c r="AF5839" s="28">
        <v>-11255173000</v>
      </c>
      <c r="AG5839" s="11"/>
    </row>
    <row r="5840">
      <c r="A5840" s="7" t="s">
        <v>7439</v>
      </c>
      <c r="B5840" s="5" t="s">
        <v>15388</v>
      </c>
      <c r="C5840" s="5" t="s">
        <v>23060</v>
      </c>
      <c r="D5840" s="5" t="str">
        <v>501814611935</v>
      </c>
      <c r="E5840" s="0" t="e">
        <f>+7 (495) 7863963
+7 (499) 4441776
+7 (800) 5001790
+7 (967) 131188</f>
        <v>#NAME?</v>
      </c>
      <c r="F5840" s="5" t="s">
        <v>42473</v>
      </c>
      <c r="G5840" s="5"/>
      <c r="H5840" s="26">
        <v>7.5</v>
      </c>
      <c r="I5840" s="5"/>
      <c r="J5840" s="5" t="s">
        <v>32400</v>
      </c>
      <c r="K5840" s="5" t="s">
        <v>344</v>
      </c>
      <c r="L5840" s="5"/>
      <c r="M5840" s="27"/>
      <c r="N5840" s="5" t="s">
        <v>58141</v>
      </c>
      <c r="O5840" s="5" t="str">
        <v>7734367855</v>
      </c>
      <c r="P5840" s="27">
        <v>35000</v>
      </c>
      <c r="Q5840" s="5" t="s">
        <v>49021</v>
      </c>
      <c r="R5840" s="5" t="s">
        <v>58142</v>
      </c>
      <c r="S5840" s="5" t="s">
        <v>58143</v>
      </c>
      <c r="T5840" s="28">
        <v>9715000</v>
      </c>
      <c r="U5840" s="28"/>
      <c r="V5840" s="28">
        <v>1471613000</v>
      </c>
      <c r="W5840" s="28">
        <v>48000</v>
      </c>
      <c r="X5840" s="28">
        <v>10609000</v>
      </c>
      <c r="Y5840" s="28">
        <v>2869954000</v>
      </c>
      <c r="Z5840" s="28">
        <v>194969000</v>
      </c>
      <c r="AA5840" s="28">
        <v>55000000</v>
      </c>
      <c r="AB5840" s="28">
        <v>238183000</v>
      </c>
      <c r="AC5840" s="28">
        <v>2565973000</v>
      </c>
      <c r="AD5840" s="28">
        <v>232946000</v>
      </c>
      <c r="AE5840" s="28">
        <v>4757492000</v>
      </c>
      <c r="AF5840" s="28">
        <v>136615000</v>
      </c>
      <c r="AG5840" s="11"/>
    </row>
    <row r="5841">
      <c r="A5841" s="7" t="s">
        <v>7440</v>
      </c>
      <c r="B5841" s="5" t="s">
        <v>15389</v>
      </c>
      <c r="C5841" s="5" t="s">
        <v>23061</v>
      </c>
      <c r="D5841" s="5" t="str">
        <v>771515039808</v>
      </c>
      <c r="E5841" s="0" t="e">
        <f>+7 (495) 2281500
+7 (495) 2323821</f>
        <v>#NAME?</v>
      </c>
      <c r="F5841" s="5"/>
      <c r="G5841" s="5"/>
      <c r="H5841" s="26">
        <v>12</v>
      </c>
      <c r="I5841" s="5" t="s">
        <v>42474</v>
      </c>
      <c r="J5841" s="5" t="s">
        <v>31664</v>
      </c>
      <c r="K5841" s="5" t="s">
        <v>380</v>
      </c>
      <c r="L5841" s="5" t="s">
        <v>42475</v>
      </c>
      <c r="M5841" s="27"/>
      <c r="N5841" s="5"/>
      <c r="O5841" s="5" t="str">
        <v>7703732681</v>
      </c>
      <c r="P5841" s="27">
        <v>17773348660</v>
      </c>
      <c r="Q5841" s="5" t="s">
        <v>49009</v>
      </c>
      <c r="R5841" s="5"/>
      <c r="S5841" s="5" t="s">
        <v>49010</v>
      </c>
      <c r="T5841" s="28">
        <v>579432000</v>
      </c>
      <c r="U5841" s="28">
        <v>158860681000</v>
      </c>
      <c r="V5841" s="28">
        <v>752237000</v>
      </c>
      <c r="W5841" s="28">
        <v>4287458000</v>
      </c>
      <c r="X5841" s="28">
        <v>637567000</v>
      </c>
      <c r="Y5841" s="28">
        <v>180126524000</v>
      </c>
      <c r="Z5841" s="28">
        <v>104633297000</v>
      </c>
      <c r="AA5841" s="28"/>
      <c r="AB5841" s="28">
        <v>16717961000</v>
      </c>
      <c r="AC5841" s="28">
        <v>19220465000</v>
      </c>
      <c r="AD5841" s="28">
        <v>160906059000</v>
      </c>
      <c r="AE5841" s="28">
        <v>15511069000</v>
      </c>
      <c r="AF5841" s="28">
        <v>-64785575000</v>
      </c>
      <c r="AG5841" s="11"/>
    </row>
    <row r="5842">
      <c r="A5842" s="7" t="s">
        <v>7441</v>
      </c>
      <c r="B5842" s="5" t="s">
        <v>15390</v>
      </c>
      <c r="C5842" s="5" t="s">
        <v>23062</v>
      </c>
      <c r="D5842" s="5" t="str">
        <v>420527509661</v>
      </c>
      <c r="E5842" s="0" t="e">
        <f>+7 (384) 2346523
+7 (384) 2346525</f>
        <v>#NAME?</v>
      </c>
      <c r="F5842" s="5" t="s">
        <v>42476</v>
      </c>
      <c r="G5842" s="5" t="s">
        <v>42477</v>
      </c>
      <c r="H5842" s="26">
        <v>14</v>
      </c>
      <c r="I5842" s="5"/>
      <c r="J5842" s="5" t="s">
        <v>26623</v>
      </c>
      <c r="K5842" s="5" t="s">
        <v>344</v>
      </c>
      <c r="L5842" s="5" t="s">
        <v>42478</v>
      </c>
      <c r="M5842" s="27"/>
      <c r="N5842" s="5"/>
      <c r="O5842" s="5" t="str">
        <v>4205173700</v>
      </c>
      <c r="P5842" s="27">
        <v>1000000</v>
      </c>
      <c r="Q5842" s="5"/>
      <c r="R5842" s="5"/>
      <c r="S5842" s="5" t="s">
        <v>49110</v>
      </c>
      <c r="T5842" s="28">
        <v>11243000</v>
      </c>
      <c r="U5842" s="28"/>
      <c r="V5842" s="28">
        <v>386540000</v>
      </c>
      <c r="W5842" s="28">
        <v>194900000</v>
      </c>
      <c r="X5842" s="28">
        <v>848000</v>
      </c>
      <c r="Y5842" s="28">
        <v>596945000</v>
      </c>
      <c r="Z5842" s="28">
        <v>160160000</v>
      </c>
      <c r="AA5842" s="28"/>
      <c r="AB5842" s="28"/>
      <c r="AC5842" s="28">
        <v>426962000</v>
      </c>
      <c r="AD5842" s="28">
        <v>161210000</v>
      </c>
      <c r="AE5842" s="28">
        <v>8981031000</v>
      </c>
      <c r="AF5842" s="28">
        <v>93378000</v>
      </c>
      <c r="AG5842" s="11"/>
    </row>
    <row r="5843">
      <c r="A5843" s="7" t="s">
        <v>7442</v>
      </c>
      <c r="B5843" s="5" t="s">
        <v>15391</v>
      </c>
      <c r="C5843" s="5" t="s">
        <v>23063</v>
      </c>
      <c r="D5843" s="5" t="str">
        <v>770905026591</v>
      </c>
      <c r="E5843" s="0" t="e">
        <f>+7 (495) 2281500
+7 (495) 7301705
+7 (495) 7306089
+7 (495) 2281532
+7 (495) 7300330
+7 (495) 7370101</f>
        <v>#NAME?</v>
      </c>
      <c r="F5843" s="5" t="s">
        <v>42479</v>
      </c>
      <c r="G5843" s="5" t="s">
        <v>42480</v>
      </c>
      <c r="H5843" s="26">
        <v>29.5</v>
      </c>
      <c r="I5843" s="5" t="s">
        <v>42481</v>
      </c>
      <c r="J5843" s="5" t="s">
        <v>28108</v>
      </c>
      <c r="K5843" s="5" t="s">
        <v>355</v>
      </c>
      <c r="L5843" s="5"/>
      <c r="M5843" s="27"/>
      <c r="N5843" s="5"/>
      <c r="O5843" s="5" t="str">
        <v>7703104630</v>
      </c>
      <c r="P5843" s="27">
        <v>868500000</v>
      </c>
      <c r="Q5843" s="5" t="s">
        <v>49021</v>
      </c>
      <c r="R5843" s="5"/>
      <c r="S5843" s="5" t="s">
        <v>58144</v>
      </c>
      <c r="T5843" s="28">
        <v>4189824000</v>
      </c>
      <c r="U5843" s="28">
        <v>423821031000</v>
      </c>
      <c r="V5843" s="28">
        <v>7089358000</v>
      </c>
      <c r="W5843" s="28">
        <v>34080890000</v>
      </c>
      <c r="X5843" s="28">
        <v>3984340000</v>
      </c>
      <c r="Y5843" s="28">
        <v>495889038000</v>
      </c>
      <c r="Z5843" s="28">
        <v>176743441000</v>
      </c>
      <c r="AA5843" s="28">
        <v>192590024000</v>
      </c>
      <c r="AB5843" s="28">
        <v>69222071000</v>
      </c>
      <c r="AC5843" s="28">
        <v>71482960000</v>
      </c>
      <c r="AD5843" s="28">
        <v>217860942000</v>
      </c>
      <c r="AE5843" s="28">
        <v>34907370000</v>
      </c>
      <c r="AF5843" s="28">
        <v>-71446398000</v>
      </c>
      <c r="AG5843" s="11"/>
    </row>
    <row r="5844">
      <c r="A5844" s="7" t="s">
        <v>7443</v>
      </c>
      <c r="B5844" s="5" t="s">
        <v>15392</v>
      </c>
      <c r="C5844" s="5" t="s">
        <v>23064</v>
      </c>
      <c r="D5844" s="5" t="str">
        <v>631902093547</v>
      </c>
      <c r="E5844" s="0" t="e">
        <f>+7 (925) 108655</f>
        <v>#NAME?</v>
      </c>
      <c r="F5844" s="5"/>
      <c r="G5844" s="5"/>
      <c r="H5844" s="26">
        <v>12.5</v>
      </c>
      <c r="I5844" s="5" t="s">
        <v>42482</v>
      </c>
      <c r="J5844" s="5" t="s">
        <v>25429</v>
      </c>
      <c r="K5844" s="5" t="s">
        <v>344</v>
      </c>
      <c r="L5844" s="5" t="s">
        <v>42483</v>
      </c>
      <c r="M5844" s="27"/>
      <c r="N5844" s="5"/>
      <c r="O5844" s="5" t="str">
        <v>7722732253</v>
      </c>
      <c r="P5844" s="27">
        <v>88200000</v>
      </c>
      <c r="Q5844" s="5" t="s">
        <v>58145</v>
      </c>
      <c r="R5844" s="5"/>
      <c r="S5844" s="5" t="s">
        <v>49371</v>
      </c>
      <c r="T5844" s="28">
        <v>66225000</v>
      </c>
      <c r="U5844" s="28">
        <v>11198000</v>
      </c>
      <c r="V5844" s="28">
        <v>8129838000</v>
      </c>
      <c r="W5844" s="28">
        <v>15947000</v>
      </c>
      <c r="X5844" s="28">
        <v>1223000</v>
      </c>
      <c r="Y5844" s="28">
        <v>13017776000</v>
      </c>
      <c r="Z5844" s="28">
        <v>1833728000</v>
      </c>
      <c r="AA5844" s="28">
        <v>1000000</v>
      </c>
      <c r="AB5844" s="28">
        <v>1812080000</v>
      </c>
      <c r="AC5844" s="28">
        <v>11064090000</v>
      </c>
      <c r="AD5844" s="28">
        <v>1921928000</v>
      </c>
      <c r="AE5844" s="28">
        <v>26242786000</v>
      </c>
      <c r="AF5844" s="28">
        <v>279123000</v>
      </c>
      <c r="AG5844" s="11"/>
    </row>
    <row r="5845">
      <c r="A5845" s="7" t="s">
        <v>7444</v>
      </c>
      <c r="B5845" s="5" t="s">
        <v>15393</v>
      </c>
      <c r="C5845" s="5" t="s">
        <v>23065</v>
      </c>
      <c r="D5845" s="5" t="str">
        <v>470504246457</v>
      </c>
      <c r="E5845" s="0" t="e">
        <f>+7 (495) 9130965
+7 (495) 6474960</f>
        <v>#NAME?</v>
      </c>
      <c r="F5845" s="5" t="s">
        <v>42484</v>
      </c>
      <c r="G5845" s="5" t="s">
        <v>42485</v>
      </c>
      <c r="H5845" s="26">
        <v>15</v>
      </c>
      <c r="I5845" s="5" t="s">
        <v>42486</v>
      </c>
      <c r="J5845" s="5" t="s">
        <v>1026</v>
      </c>
      <c r="K5845" s="5" t="s">
        <v>355</v>
      </c>
      <c r="L5845" s="5" t="s">
        <v>42487</v>
      </c>
      <c r="M5845" s="27">
        <v>111290810</v>
      </c>
      <c r="N5845" s="5" t="s">
        <v>58146</v>
      </c>
      <c r="O5845" s="5" t="str">
        <v>7733654906</v>
      </c>
      <c r="P5845" s="27">
        <v>100000</v>
      </c>
      <c r="Q5845" s="5" t="s">
        <v>58147</v>
      </c>
      <c r="R5845" s="5"/>
      <c r="S5845" s="5" t="s">
        <v>58148</v>
      </c>
      <c r="T5845" s="28">
        <v>51135000</v>
      </c>
      <c r="U5845" s="28">
        <v>8542000</v>
      </c>
      <c r="V5845" s="28">
        <v>806568000</v>
      </c>
      <c r="W5845" s="28"/>
      <c r="X5845" s="28">
        <v>675206000</v>
      </c>
      <c r="Y5845" s="28">
        <v>1859848000</v>
      </c>
      <c r="Z5845" s="28">
        <v>188120000</v>
      </c>
      <c r="AA5845" s="28"/>
      <c r="AB5845" s="28"/>
      <c r="AC5845" s="28">
        <v>1623040000</v>
      </c>
      <c r="AD5845" s="28">
        <v>188220000</v>
      </c>
      <c r="AE5845" s="28">
        <v>7709519000</v>
      </c>
      <c r="AF5845" s="28">
        <v>154040000</v>
      </c>
      <c r="AG5845" s="11"/>
    </row>
    <row r="5846">
      <c r="A5846" s="7" t="s">
        <v>7445</v>
      </c>
      <c r="B5846" s="5" t="s">
        <v>15394</v>
      </c>
      <c r="C5846" s="5" t="s">
        <v>23066</v>
      </c>
      <c r="D5846" s="5" t="str">
        <v>370257821114</v>
      </c>
      <c r="E5846" s="0" t="e">
        <f>+7 (495) 2550399
+7 (8452) 550339
+7 (495) 9726658</f>
        <v>#NAME?</v>
      </c>
      <c r="F5846" s="5" t="s">
        <v>42488</v>
      </c>
      <c r="G5846" s="5"/>
      <c r="H5846" s="26">
        <v>10.5</v>
      </c>
      <c r="I5846" s="5" t="s">
        <v>42489</v>
      </c>
      <c r="J5846" s="5" t="s">
        <v>773</v>
      </c>
      <c r="K5846" s="5" t="s">
        <v>344</v>
      </c>
      <c r="L5846" s="5" t="s">
        <v>42490</v>
      </c>
      <c r="M5846" s="27"/>
      <c r="N5846" s="5" t="s">
        <v>58149</v>
      </c>
      <c r="O5846" s="5" t="str">
        <v>7743857750</v>
      </c>
      <c r="P5846" s="27">
        <v>1000000</v>
      </c>
      <c r="Q5846" s="5" t="s">
        <v>58150</v>
      </c>
      <c r="R5846" s="5"/>
      <c r="S5846" s="5" t="s">
        <v>58151</v>
      </c>
      <c r="T5846" s="28">
        <v>131069000</v>
      </c>
      <c r="U5846" s="28"/>
      <c r="V5846" s="28">
        <v>1032857000</v>
      </c>
      <c r="W5846" s="28"/>
      <c r="X5846" s="28">
        <v>61274000</v>
      </c>
      <c r="Y5846" s="28">
        <v>1907115000</v>
      </c>
      <c r="Z5846" s="28">
        <v>993756000</v>
      </c>
      <c r="AA5846" s="28"/>
      <c r="AB5846" s="28"/>
      <c r="AC5846" s="28">
        <v>912216000</v>
      </c>
      <c r="AD5846" s="28">
        <v>994756000</v>
      </c>
      <c r="AE5846" s="28">
        <v>3641251000</v>
      </c>
      <c r="AF5846" s="28">
        <v>526468000</v>
      </c>
      <c r="AG5846" s="11"/>
    </row>
    <row r="5847">
      <c r="A5847" s="7" t="s">
        <v>7446</v>
      </c>
      <c r="B5847" s="5" t="s">
        <v>15395</v>
      </c>
      <c r="C5847" s="5" t="s">
        <v>23067</v>
      </c>
      <c r="D5847" s="5" t="str">
        <v>501209120009</v>
      </c>
      <c r="E5847" s="0" t="e">
        <f>+7 (495) 3802744
+7 (926) 7595329</f>
        <v>#NAME?</v>
      </c>
      <c r="F5847" s="5"/>
      <c r="G5847" s="5"/>
      <c r="H5847" s="26">
        <v>6</v>
      </c>
      <c r="I5847" s="5" t="s">
        <v>42491</v>
      </c>
      <c r="J5847" s="5" t="s">
        <v>32671</v>
      </c>
      <c r="K5847" s="5" t="s">
        <v>344</v>
      </c>
      <c r="L5847" s="5" t="s">
        <v>42492</v>
      </c>
      <c r="M5847" s="27">
        <v>1461433</v>
      </c>
      <c r="N5847" s="5" t="s">
        <v>58152</v>
      </c>
      <c r="O5847" s="5" t="str">
        <v>7733313046</v>
      </c>
      <c r="P5847" s="27">
        <v>180000000</v>
      </c>
      <c r="Q5847" s="5" t="s">
        <v>49021</v>
      </c>
      <c r="R5847" s="5"/>
      <c r="S5847" s="5" t="s">
        <v>58153</v>
      </c>
      <c r="T5847" s="28">
        <v>95170000</v>
      </c>
      <c r="U5847" s="28">
        <v>6500000</v>
      </c>
      <c r="V5847" s="28">
        <v>1741833000</v>
      </c>
      <c r="W5847" s="28">
        <v>57100000</v>
      </c>
      <c r="X5847" s="28">
        <v>25892000</v>
      </c>
      <c r="Y5847" s="28">
        <v>2239892000</v>
      </c>
      <c r="Z5847" s="28">
        <v>359536000</v>
      </c>
      <c r="AA5847" s="28"/>
      <c r="AB5847" s="28">
        <v>645739000</v>
      </c>
      <c r="AC5847" s="28">
        <v>1691357000</v>
      </c>
      <c r="AD5847" s="28">
        <v>539536000</v>
      </c>
      <c r="AE5847" s="28">
        <v>3223686000</v>
      </c>
      <c r="AF5847" s="28">
        <v>101637000</v>
      </c>
      <c r="AG5847" s="11"/>
    </row>
    <row r="5848">
      <c r="A5848" s="7" t="s">
        <v>7447</v>
      </c>
      <c r="B5848" s="5" t="s">
        <v>15396</v>
      </c>
      <c r="C5848" s="5" t="s">
        <v>23068</v>
      </c>
      <c r="D5848" s="5" t="str">
        <v>442800446429</v>
      </c>
      <c r="E5848" s="0" t="e">
        <f>+7 (494) 2312875
+7 (494) 2312881
+7 (494) 2390971</f>
        <v>#NAME?</v>
      </c>
      <c r="F5848" s="5"/>
      <c r="G5848" s="5"/>
      <c r="H5848" s="26">
        <v>19.5</v>
      </c>
      <c r="I5848" s="5" t="s">
        <v>42493</v>
      </c>
      <c r="J5848" s="5" t="s">
        <v>27174</v>
      </c>
      <c r="K5848" s="5" t="s">
        <v>380</v>
      </c>
      <c r="L5848" s="5"/>
      <c r="M5848" s="27"/>
      <c r="N5848" s="5"/>
      <c r="O5848" s="5" t="str">
        <v>4401039122</v>
      </c>
      <c r="P5848" s="27">
        <v>10000</v>
      </c>
      <c r="Q5848" s="5" t="s">
        <v>57706</v>
      </c>
      <c r="R5848" s="5"/>
      <c r="S5848" s="5" t="s">
        <v>58154</v>
      </c>
      <c r="T5848" s="28"/>
      <c r="U5848" s="28"/>
      <c r="V5848" s="28">
        <v>528713000</v>
      </c>
      <c r="W5848" s="28">
        <v>28769689000</v>
      </c>
      <c r="X5848" s="28">
        <v>113699000</v>
      </c>
      <c r="Y5848" s="28">
        <v>31918575000</v>
      </c>
      <c r="Z5848" s="28">
        <v>-10021568000</v>
      </c>
      <c r="AA5848" s="28"/>
      <c r="AB5848" s="28">
        <v>35698602000</v>
      </c>
      <c r="AC5848" s="28">
        <v>41940132000</v>
      </c>
      <c r="AD5848" s="28">
        <v>-10021558000</v>
      </c>
      <c r="AE5848" s="28">
        <v>34470018000</v>
      </c>
      <c r="AF5848" s="28">
        <v>-10041140000</v>
      </c>
      <c r="AG5848" s="11"/>
    </row>
    <row r="5849">
      <c r="A5849" s="7" t="s">
        <v>7448</v>
      </c>
      <c r="B5849" s="5" t="s">
        <v>15397</v>
      </c>
      <c r="C5849" s="5" t="s">
        <v>23069</v>
      </c>
      <c r="D5849" s="5" t="str">
        <v>720603611379</v>
      </c>
      <c r="E5849" s="0" t="e">
        <f>+7 (345) 2516107
+7 (909) 1879916
+7 (345) 2603443
+7 (345) 2688432</f>
        <v>#NAME?</v>
      </c>
      <c r="F5849" s="5" t="s">
        <v>42494</v>
      </c>
      <c r="G5849" s="5"/>
      <c r="H5849" s="26">
        <v>13.5</v>
      </c>
      <c r="I5849" s="5" t="s">
        <v>42495</v>
      </c>
      <c r="J5849" s="5" t="s">
        <v>29940</v>
      </c>
      <c r="K5849" s="5" t="s">
        <v>344</v>
      </c>
      <c r="L5849" s="5"/>
      <c r="M5849" s="27"/>
      <c r="N5849" s="5" t="s">
        <v>58155</v>
      </c>
      <c r="O5849" s="5" t="str">
        <v>7203239781</v>
      </c>
      <c r="P5849" s="27">
        <v>10000</v>
      </c>
      <c r="Q5849" s="5"/>
      <c r="R5849" s="5"/>
      <c r="S5849" s="5" t="s">
        <v>49110</v>
      </c>
      <c r="T5849" s="28"/>
      <c r="U5849" s="28"/>
      <c r="V5849" s="28">
        <v>18989000</v>
      </c>
      <c r="W5849" s="28"/>
      <c r="X5849" s="28">
        <v>-6561000</v>
      </c>
      <c r="Y5849" s="28">
        <v>21970000</v>
      </c>
      <c r="Z5849" s="28"/>
      <c r="AA5849" s="28"/>
      <c r="AB5849" s="28">
        <v>-1179000</v>
      </c>
      <c r="AC5849" s="28">
        <v>17002000</v>
      </c>
      <c r="AD5849" s="28">
        <v>3795000</v>
      </c>
      <c r="AE5849" s="28">
        <v>15120513000</v>
      </c>
      <c r="AF5849" s="28">
        <v>519997000</v>
      </c>
      <c r="AG5849" s="11"/>
    </row>
    <row r="5850">
      <c r="A5850" s="7" t="s">
        <v>7449</v>
      </c>
      <c r="B5850" s="5" t="s">
        <v>15398</v>
      </c>
      <c r="C5850" s="5" t="s">
        <v>23070</v>
      </c>
      <c r="D5850" s="5" t="str">
        <v>772511286847</v>
      </c>
      <c r="E5850" s="0" t="e">
        <f>+7 (495) 7851400
+7 (499) 2326457
+7 (499) 2326665</f>
        <v>#NAME?</v>
      </c>
      <c r="F5850" s="5"/>
      <c r="G5850" s="5"/>
      <c r="H5850" s="26">
        <v>17.5</v>
      </c>
      <c r="I5850" s="5" t="s">
        <v>42496</v>
      </c>
      <c r="J5850" s="5" t="s">
        <v>26308</v>
      </c>
      <c r="K5850" s="5" t="s">
        <v>344</v>
      </c>
      <c r="L5850" s="5"/>
      <c r="M5850" s="27">
        <v>13405560</v>
      </c>
      <c r="N5850" s="5"/>
      <c r="O5850" s="5" t="str">
        <v>7729532221</v>
      </c>
      <c r="P5850" s="27">
        <v>10000</v>
      </c>
      <c r="Q5850" s="5" t="s">
        <v>49009</v>
      </c>
      <c r="R5850" s="5"/>
      <c r="S5850" s="5" t="s">
        <v>49545</v>
      </c>
      <c r="T5850" s="28">
        <v>371323000</v>
      </c>
      <c r="U5850" s="28">
        <v>91559000</v>
      </c>
      <c r="V5850" s="28">
        <v>330351000</v>
      </c>
      <c r="W5850" s="28">
        <v>86000000</v>
      </c>
      <c r="X5850" s="28">
        <v>65408000</v>
      </c>
      <c r="Y5850" s="28">
        <v>1122294000</v>
      </c>
      <c r="Z5850" s="28">
        <v>352737000</v>
      </c>
      <c r="AA5850" s="28">
        <v>389974000</v>
      </c>
      <c r="AB5850" s="28">
        <v>108000</v>
      </c>
      <c r="AC5850" s="28">
        <v>375483000</v>
      </c>
      <c r="AD5850" s="28">
        <v>352747000</v>
      </c>
      <c r="AE5850" s="28">
        <v>7232371000</v>
      </c>
      <c r="AF5850" s="28">
        <v>268365000</v>
      </c>
      <c r="AG5850" s="11"/>
    </row>
    <row r="5851">
      <c r="A5851" s="7" t="s">
        <v>7450</v>
      </c>
      <c r="B5851" s="5" t="s">
        <v>15399</v>
      </c>
      <c r="C5851" s="5" t="s">
        <v>23071</v>
      </c>
      <c r="D5851" s="5" t="str">
        <v>666300834605</v>
      </c>
      <c r="E5851" s="0" t="e">
        <f>+7 (343) 3794679
+7 (343) 3108040
+7 (343) 3820894
+7 (343) 3820913
+7 (3432) 786081
+7 (3432) 787198
+7 (3433) 22335
+7 (3433) 820882
+7 (3433) 820900
+7 (3433) 820903
+7 (3433) 820904
+7 (963) 4441000</f>
        <v>#NAME?</v>
      </c>
      <c r="F5851" s="5" t="s">
        <v>42497</v>
      </c>
      <c r="G5851" s="5" t="s">
        <v>42498</v>
      </c>
      <c r="H5851" s="26">
        <v>16</v>
      </c>
      <c r="I5851" s="5" t="s">
        <v>42499</v>
      </c>
      <c r="J5851" s="5" t="s">
        <v>27416</v>
      </c>
      <c r="K5851" s="5" t="s">
        <v>344</v>
      </c>
      <c r="L5851" s="5" t="s">
        <v>42500</v>
      </c>
      <c r="M5851" s="27">
        <v>24000000</v>
      </c>
      <c r="N5851" s="5"/>
      <c r="O5851" s="5" t="str">
        <v>6673163835</v>
      </c>
      <c r="P5851" s="27">
        <v>10417</v>
      </c>
      <c r="Q5851" s="5" t="s">
        <v>49009</v>
      </c>
      <c r="R5851" s="5"/>
      <c r="S5851" s="5" t="s">
        <v>49045</v>
      </c>
      <c r="T5851" s="28">
        <v>559537000</v>
      </c>
      <c r="U5851" s="28"/>
      <c r="V5851" s="28">
        <v>36252000</v>
      </c>
      <c r="W5851" s="28">
        <v>79312000</v>
      </c>
      <c r="X5851" s="28">
        <v>23136000</v>
      </c>
      <c r="Y5851" s="28">
        <v>1678240000</v>
      </c>
      <c r="Z5851" s="28">
        <v>404788000</v>
      </c>
      <c r="AA5851" s="28">
        <v>546000000</v>
      </c>
      <c r="AB5851" s="28">
        <v>59898000</v>
      </c>
      <c r="AC5851" s="28">
        <v>727442000</v>
      </c>
      <c r="AD5851" s="28">
        <v>404798000</v>
      </c>
      <c r="AE5851" s="28">
        <v>3299519000</v>
      </c>
      <c r="AF5851" s="28">
        <v>30569000</v>
      </c>
      <c r="AG5851" s="11"/>
    </row>
    <row r="5852">
      <c r="A5852" s="7" t="s">
        <v>1276</v>
      </c>
      <c r="B5852" s="5" t="s">
        <v>1277</v>
      </c>
      <c r="C5852" s="5" t="s">
        <v>1278</v>
      </c>
      <c r="D5852" s="5" t="str">
        <v>502906325541</v>
      </c>
      <c r="E5852" s="0" t="e">
        <f>+7 (495) 5828721
+7 (499) 7755592
+7 (915) 3301094
+7 (495) 5830551
+7 (495) 5830822
+7 (495) 5835592
+7 (495) 5838721
+7 (495) 5839710
+7 (495) 5839720
+7 (495) 5861121
+7 (495) 5861321
+7 (496) 5838721
+7 (49658) 30700
+7 (915) 3682668</f>
        <v>#NAME?</v>
      </c>
      <c r="F5852" s="5" t="s">
        <v>1280</v>
      </c>
      <c r="G5852" s="5" t="s">
        <v>42501</v>
      </c>
      <c r="H5852" s="26">
        <v>28.5</v>
      </c>
      <c r="I5852" s="5"/>
      <c r="J5852" s="5" t="s">
        <v>27642</v>
      </c>
      <c r="K5852" s="5" t="s">
        <v>344</v>
      </c>
      <c r="L5852" s="5" t="s">
        <v>1281</v>
      </c>
      <c r="M5852" s="27"/>
      <c r="N5852" s="5" t="s">
        <v>58156</v>
      </c>
      <c r="O5852" s="5" t="str">
        <v>5029004624</v>
      </c>
      <c r="P5852" s="27">
        <v>2053500</v>
      </c>
      <c r="Q5852" s="5" t="s">
        <v>481</v>
      </c>
      <c r="R5852" s="5"/>
      <c r="S5852" s="5" t="s">
        <v>58157</v>
      </c>
      <c r="T5852" s="28">
        <v>1006114000</v>
      </c>
      <c r="U5852" s="28">
        <v>20000</v>
      </c>
      <c r="V5852" s="28">
        <v>1217231000</v>
      </c>
      <c r="W5852" s="28">
        <v>19045000</v>
      </c>
      <c r="X5852" s="28">
        <v>905262000</v>
      </c>
      <c r="Y5852" s="28">
        <v>5026408000</v>
      </c>
      <c r="Z5852" s="28">
        <v>3294983000</v>
      </c>
      <c r="AA5852" s="28">
        <v>183900000</v>
      </c>
      <c r="AB5852" s="28"/>
      <c r="AC5852" s="28">
        <v>1343693000</v>
      </c>
      <c r="AD5852" s="28">
        <v>3457735000</v>
      </c>
      <c r="AE5852" s="28">
        <v>4836334000</v>
      </c>
      <c r="AF5852" s="28">
        <v>814756000</v>
      </c>
      <c r="AG5852" s="11"/>
    </row>
    <row r="5853">
      <c r="A5853" s="7" t="s">
        <v>7451</v>
      </c>
      <c r="B5853" s="5" t="s">
        <v>15400</v>
      </c>
      <c r="C5853" s="5" t="s">
        <v>23072</v>
      </c>
      <c r="D5853" s="5" t="str">
        <v>772138004894</v>
      </c>
      <c r="E5853" s="0" t="e">
        <f>+7 (492) 2600002
+7 (831) 2151887
+7 (831) 2151888
+7 (8352) 355151
+7 (844) 2434343
+7 (343) 2374747
+7 (3512) 402035
+7 (383) 3830533
+7 (391) 2193030
+7 (473) 2331111
+7 (485) 2673367
+7 (495) 2360424
+7 (495) 7487950
+7 (495) 7556785
+7 (8432) 888008</f>
        <v>#NAME?</v>
      </c>
      <c r="F5853" s="5" t="s">
        <v>42502</v>
      </c>
      <c r="G5853" s="5" t="s">
        <v>42503</v>
      </c>
      <c r="H5853" s="26">
        <v>9</v>
      </c>
      <c r="I5853" s="5" t="s">
        <v>42504</v>
      </c>
      <c r="J5853" s="5" t="s">
        <v>36400</v>
      </c>
      <c r="K5853" s="5" t="s">
        <v>344</v>
      </c>
      <c r="L5853" s="5" t="s">
        <v>42505</v>
      </c>
      <c r="M5853" s="27">
        <v>14201203</v>
      </c>
      <c r="N5853" s="5" t="s">
        <v>58158</v>
      </c>
      <c r="O5853" s="5" t="str">
        <v>7718979307</v>
      </c>
      <c r="P5853" s="27">
        <v>5856268000</v>
      </c>
      <c r="Q5853" s="5" t="s">
        <v>58159</v>
      </c>
      <c r="R5853" s="5"/>
      <c r="S5853" s="5" t="s">
        <v>58160</v>
      </c>
      <c r="T5853" s="28">
        <v>5652343000</v>
      </c>
      <c r="U5853" s="28"/>
      <c r="V5853" s="28">
        <v>4595003000</v>
      </c>
      <c r="W5853" s="28">
        <v>742000</v>
      </c>
      <c r="X5853" s="28">
        <v>1062721000</v>
      </c>
      <c r="Y5853" s="28">
        <v>40736919000</v>
      </c>
      <c r="Z5853" s="28">
        <v>2992916000</v>
      </c>
      <c r="AA5853" s="28">
        <v>5700000</v>
      </c>
      <c r="AB5853" s="28">
        <v>5928332000</v>
      </c>
      <c r="AC5853" s="28">
        <v>23577652000</v>
      </c>
      <c r="AD5853" s="28">
        <v>13286929000</v>
      </c>
      <c r="AE5853" s="28">
        <v>137416324000</v>
      </c>
      <c r="AF5853" s="28">
        <v>1054074000</v>
      </c>
      <c r="AG5853" s="11"/>
    </row>
    <row r="5854">
      <c r="A5854" s="7" t="s">
        <v>7452</v>
      </c>
      <c r="B5854" s="5" t="s">
        <v>15401</v>
      </c>
      <c r="C5854" s="5" t="s">
        <v>23073</v>
      </c>
      <c r="D5854" s="5" t="str">
        <v>503213589460</v>
      </c>
      <c r="E5854" s="0" t="e">
        <f>+7 (495) 1206300
+7 (495) 2256490
+7 (495) 2607668
+7 (495) 2807658
+7 (495) 2807688
+7 (495) 2807868
+7 (495) 3953553
+7 (495) 4533553
+7 (495) 7847701
+7 (800) 2226080
+7 (800) 2226496
+7 (495) 2800561
+7 (495) 2807686
+7 (495) 6380947
+7 (800) 2222649</f>
        <v>#NAME?</v>
      </c>
      <c r="F5854" s="5" t="s">
        <v>42506</v>
      </c>
      <c r="G5854" s="5" t="s">
        <v>42507</v>
      </c>
      <c r="H5854" s="26">
        <v>11.5</v>
      </c>
      <c r="I5854" s="5" t="s">
        <v>42508</v>
      </c>
      <c r="J5854" s="5" t="s">
        <v>30170</v>
      </c>
      <c r="K5854" s="5" t="s">
        <v>355</v>
      </c>
      <c r="L5854" s="5"/>
      <c r="M5854" s="27">
        <v>33401715</v>
      </c>
      <c r="N5854" s="5" t="s">
        <v>58161</v>
      </c>
      <c r="O5854" s="5" t="str">
        <v>7725727149</v>
      </c>
      <c r="P5854" s="27">
        <v>10000000</v>
      </c>
      <c r="Q5854" s="5" t="s">
        <v>58162</v>
      </c>
      <c r="R5854" s="5" t="s">
        <v>58163</v>
      </c>
      <c r="S5854" s="5" t="s">
        <v>58164</v>
      </c>
      <c r="T5854" s="28">
        <v>764004000</v>
      </c>
      <c r="U5854" s="28">
        <v>3164512000</v>
      </c>
      <c r="V5854" s="28">
        <v>2870632000</v>
      </c>
      <c r="W5854" s="28">
        <v>889974000</v>
      </c>
      <c r="X5854" s="28">
        <v>447304000</v>
      </c>
      <c r="Y5854" s="28">
        <v>13625962000</v>
      </c>
      <c r="Z5854" s="28">
        <v>886808000</v>
      </c>
      <c r="AA5854" s="28">
        <v>10435981000</v>
      </c>
      <c r="AB5854" s="28">
        <v>751915000</v>
      </c>
      <c r="AC5854" s="28">
        <v>1940760000</v>
      </c>
      <c r="AD5854" s="28">
        <v>984209000</v>
      </c>
      <c r="AE5854" s="28">
        <v>5342843000</v>
      </c>
      <c r="AF5854" s="28">
        <v>-933827000</v>
      </c>
      <c r="AG5854" s="11"/>
    </row>
    <row r="5855">
      <c r="A5855" s="7" t="s">
        <v>7453</v>
      </c>
      <c r="B5855" s="5" t="s">
        <v>15402</v>
      </c>
      <c r="C5855" s="5" t="s">
        <v>19661</v>
      </c>
      <c r="D5855" s="5" t="str">
        <v>781436918915</v>
      </c>
      <c r="E5855" s="0" t="e">
        <f>+7 (495) 9671313</f>
        <v>#NAME?</v>
      </c>
      <c r="F5855" s="5"/>
      <c r="G5855" s="5"/>
      <c r="H5855" s="26">
        <v>6.5</v>
      </c>
      <c r="I5855" s="5" t="s">
        <v>31772</v>
      </c>
      <c r="J5855" s="5" t="s">
        <v>27182</v>
      </c>
      <c r="K5855" s="5" t="s">
        <v>355</v>
      </c>
      <c r="L5855" s="5" t="s">
        <v>39871</v>
      </c>
      <c r="M5855" s="27">
        <v>25600931</v>
      </c>
      <c r="N5855" s="5"/>
      <c r="O5855" s="5" t="str">
        <v>7731324388</v>
      </c>
      <c r="P5855" s="27">
        <v>10000</v>
      </c>
      <c r="Q5855" s="5" t="s">
        <v>49021</v>
      </c>
      <c r="R5855" s="5" t="s">
        <v>58165</v>
      </c>
      <c r="S5855" s="5" t="s">
        <v>52991</v>
      </c>
      <c r="T5855" s="28">
        <v>7859000</v>
      </c>
      <c r="U5855" s="28">
        <v>65801000</v>
      </c>
      <c r="V5855" s="28">
        <v>4678480000</v>
      </c>
      <c r="W5855" s="28"/>
      <c r="X5855" s="28">
        <v>91910000</v>
      </c>
      <c r="Y5855" s="28">
        <v>4921452000</v>
      </c>
      <c r="Z5855" s="28">
        <v>19917000</v>
      </c>
      <c r="AA5855" s="28">
        <v>1345952000</v>
      </c>
      <c r="AB5855" s="28"/>
      <c r="AC5855" s="28">
        <v>3555443000</v>
      </c>
      <c r="AD5855" s="28">
        <v>19927000</v>
      </c>
      <c r="AE5855" s="28">
        <v>5441056000</v>
      </c>
      <c r="AF5855" s="28">
        <v>911000</v>
      </c>
      <c r="AG5855" s="11"/>
    </row>
    <row r="5856">
      <c r="A5856" s="7" t="s">
        <v>7454</v>
      </c>
      <c r="B5856" s="5" t="s">
        <v>15403</v>
      </c>
      <c r="C5856" s="5" t="s">
        <v>23074</v>
      </c>
      <c r="D5856" s="5"/>
      <c r="F5856" s="5" t="s">
        <v>42509</v>
      </c>
      <c r="G5856" s="5"/>
      <c r="H5856" s="26">
        <v>17.5</v>
      </c>
      <c r="I5856" s="5" t="s">
        <v>42510</v>
      </c>
      <c r="J5856" s="5" t="s">
        <v>34133</v>
      </c>
      <c r="K5856" s="5" t="s">
        <v>344</v>
      </c>
      <c r="L5856" s="5" t="s">
        <v>38755</v>
      </c>
      <c r="M5856" s="27">
        <v>14429871</v>
      </c>
      <c r="N5856" s="5"/>
      <c r="O5856" s="5" t="str">
        <v>7706593549</v>
      </c>
      <c r="P5856" s="27">
        <v>3726358656</v>
      </c>
      <c r="Q5856" s="5" t="s">
        <v>58166</v>
      </c>
      <c r="R5856" s="5"/>
      <c r="S5856" s="5" t="s">
        <v>52009</v>
      </c>
      <c r="T5856" s="28">
        <v>1558025000</v>
      </c>
      <c r="U5856" s="28"/>
      <c r="V5856" s="28">
        <v>572463000</v>
      </c>
      <c r="W5856" s="28">
        <v>1696030000</v>
      </c>
      <c r="X5856" s="28">
        <v>1078505000</v>
      </c>
      <c r="Y5856" s="28">
        <v>5571371000</v>
      </c>
      <c r="Z5856" s="28">
        <v>-1375241000</v>
      </c>
      <c r="AA5856" s="28"/>
      <c r="AB5856" s="28"/>
      <c r="AC5856" s="28">
        <v>530855000</v>
      </c>
      <c r="AD5856" s="28">
        <v>4922873000</v>
      </c>
      <c r="AE5856" s="28">
        <v>4219136000</v>
      </c>
      <c r="AF5856" s="28">
        <v>515155000</v>
      </c>
      <c r="AG5856" s="11"/>
    </row>
    <row r="5857">
      <c r="A5857" s="7" t="s">
        <v>7455</v>
      </c>
      <c r="B5857" s="5" t="s">
        <v>15404</v>
      </c>
      <c r="C5857" s="5" t="s">
        <v>23075</v>
      </c>
      <c r="D5857" s="5"/>
      <c r="E5857" s="0" t="e">
        <f>+7 (903) 6650694
+7 (495) 3633158
+7 (495) 7212090
+7 (495) 7212099
+7 (916) 219565
+7 (999) 9003333</f>
        <v>#NAME?</v>
      </c>
      <c r="F5857" s="5" t="s">
        <v>42511</v>
      </c>
      <c r="G5857" s="5"/>
      <c r="H5857" s="26">
        <v>10.5</v>
      </c>
      <c r="I5857" s="5" t="s">
        <v>42512</v>
      </c>
      <c r="J5857" s="5" t="s">
        <v>34555</v>
      </c>
      <c r="K5857" s="5" t="s">
        <v>355</v>
      </c>
      <c r="L5857" s="5"/>
      <c r="M5857" s="27">
        <v>2412901</v>
      </c>
      <c r="N5857" s="5" t="s">
        <v>58167</v>
      </c>
      <c r="O5857" s="5" t="str">
        <v>7708238412</v>
      </c>
      <c r="P5857" s="27">
        <v>11485010000</v>
      </c>
      <c r="Q5857" s="5" t="s">
        <v>49009</v>
      </c>
      <c r="R5857" s="5"/>
      <c r="S5857" s="5" t="s">
        <v>49120</v>
      </c>
      <c r="T5857" s="28">
        <v>22041540000</v>
      </c>
      <c r="U5857" s="28"/>
      <c r="V5857" s="28">
        <v>2377374000</v>
      </c>
      <c r="W5857" s="28"/>
      <c r="X5857" s="28">
        <v>1732415000</v>
      </c>
      <c r="Y5857" s="28">
        <v>29002020000</v>
      </c>
      <c r="Z5857" s="28">
        <v>580198000</v>
      </c>
      <c r="AA5857" s="28"/>
      <c r="AB5857" s="28">
        <v>9091276000</v>
      </c>
      <c r="AC5857" s="28">
        <v>13751997000</v>
      </c>
      <c r="AD5857" s="28">
        <v>12065208000</v>
      </c>
      <c r="AE5857" s="28">
        <v>3070762000</v>
      </c>
      <c r="AF5857" s="28">
        <v>-848106000</v>
      </c>
      <c r="AG5857" s="11"/>
    </row>
    <row r="5858">
      <c r="A5858" s="7" t="s">
        <v>7456</v>
      </c>
      <c r="B5858" s="5" t="s">
        <v>15405</v>
      </c>
      <c r="C5858" s="5" t="s">
        <v>23076</v>
      </c>
      <c r="D5858" s="5" t="str">
        <v>860404840213</v>
      </c>
      <c r="E5858" s="0" t="e">
        <f>+7 (495) 9886101
+7 (495) 2250036
+7 (495) 2259825
+7 (495) 9886100
+7 (499) 7313792
+7 (499) 7314374
+7 (499) 7317020
+7 (499) 7318159
+7 (499) 7318800
+7 (499) 7319136
+7 (499) 7324301
+7 (499) 7325711
+7 (499) 7329402</f>
        <v>#NAME?</v>
      </c>
      <c r="F5858" s="5" t="s">
        <v>42513</v>
      </c>
      <c r="G5858" s="5" t="s">
        <v>42514</v>
      </c>
      <c r="H5858" s="26">
        <v>20</v>
      </c>
      <c r="I5858" s="5"/>
      <c r="J5858" s="5" t="s">
        <v>27174</v>
      </c>
      <c r="K5858" s="5" t="s">
        <v>344</v>
      </c>
      <c r="L5858" s="5" t="s">
        <v>42515</v>
      </c>
      <c r="M5858" s="27">
        <v>21033694</v>
      </c>
      <c r="N5858" s="5" t="s">
        <v>58168</v>
      </c>
      <c r="O5858" s="5" t="str">
        <v>7735116621</v>
      </c>
      <c r="P5858" s="27">
        <v>2704168332</v>
      </c>
      <c r="Q5858" s="5" t="s">
        <v>58169</v>
      </c>
      <c r="R5858" s="5" t="s">
        <v>58170</v>
      </c>
      <c r="S5858" s="5" t="s">
        <v>58171</v>
      </c>
      <c r="T5858" s="28">
        <v>2020079000</v>
      </c>
      <c r="U5858" s="28">
        <v>3277217000</v>
      </c>
      <c r="V5858" s="28">
        <v>5314116000</v>
      </c>
      <c r="W5858" s="28">
        <v>4235187000</v>
      </c>
      <c r="X5858" s="28">
        <v>1305097000</v>
      </c>
      <c r="Y5858" s="28">
        <v>20900235000</v>
      </c>
      <c r="Z5858" s="28">
        <v>-3796612000</v>
      </c>
      <c r="AA5858" s="28"/>
      <c r="AB5858" s="28">
        <v>5644227000</v>
      </c>
      <c r="AC5858" s="28">
        <v>12546999000</v>
      </c>
      <c r="AD5858" s="28">
        <v>8223662000</v>
      </c>
      <c r="AE5858" s="28">
        <v>11616005000</v>
      </c>
      <c r="AF5858" s="28">
        <v>385649000</v>
      </c>
      <c r="AG5858" s="11"/>
    </row>
    <row r="5859">
      <c r="A5859" s="7" t="s">
        <v>7457</v>
      </c>
      <c r="B5859" s="5" t="s">
        <v>15406</v>
      </c>
      <c r="C5859" s="5" t="s">
        <v>23077</v>
      </c>
      <c r="D5859" s="5" t="str">
        <v>772600060658</v>
      </c>
      <c r="E5859" s="0" t="e">
        <f>+7 (930) 7588845
+7 (951) 3863531</f>
        <v>#NAME?</v>
      </c>
      <c r="F5859" s="5"/>
      <c r="G5859" s="5"/>
      <c r="H5859" s="26">
        <v>5.5</v>
      </c>
      <c r="I5859" s="5" t="s">
        <v>42516</v>
      </c>
      <c r="J5859" s="5" t="s">
        <v>27650</v>
      </c>
      <c r="K5859" s="5" t="s">
        <v>344</v>
      </c>
      <c r="L5859" s="5" t="s">
        <v>42517</v>
      </c>
      <c r="M5859" s="27"/>
      <c r="N5859" s="5"/>
      <c r="O5859" s="5" t="str">
        <v>4011030727</v>
      </c>
      <c r="P5859" s="27">
        <v>297000</v>
      </c>
      <c r="Q5859" s="5"/>
      <c r="R5859" s="5"/>
      <c r="S5859" s="5" t="s">
        <v>49029</v>
      </c>
      <c r="T5859" s="28">
        <v>133612000</v>
      </c>
      <c r="U5859" s="28"/>
      <c r="V5859" s="28">
        <v>564360000</v>
      </c>
      <c r="W5859" s="28"/>
      <c r="X5859" s="28">
        <v>597911000</v>
      </c>
      <c r="Y5859" s="28">
        <v>1972075000</v>
      </c>
      <c r="Z5859" s="28">
        <v>1724100000</v>
      </c>
      <c r="AA5859" s="28"/>
      <c r="AB5859" s="28">
        <v>143018000</v>
      </c>
      <c r="AC5859" s="28">
        <v>247592000</v>
      </c>
      <c r="AD5859" s="28">
        <v>1724330000</v>
      </c>
      <c r="AE5859" s="28">
        <v>3078655000</v>
      </c>
      <c r="AF5859" s="28">
        <v>622272000</v>
      </c>
      <c r="AG5859" s="11"/>
    </row>
    <row r="5860">
      <c r="A5860" s="7" t="s">
        <v>7458</v>
      </c>
      <c r="B5860" s="5" t="s">
        <v>15407</v>
      </c>
      <c r="C5860" s="5" t="s">
        <v>23078</v>
      </c>
      <c r="D5860" s="5" t="str">
        <v>772601483737</v>
      </c>
      <c r="E5860" s="0" t="e">
        <f>+7 (495) 3631077
+7 (499) 5831080
+7 (800) 1007732
+7 (855) 2372900
+7 (855) 2550067
+7 (855) 2747109</f>
        <v>#NAME?</v>
      </c>
      <c r="F5860" s="5" t="s">
        <v>42518</v>
      </c>
      <c r="G5860" s="5" t="s">
        <v>42519</v>
      </c>
      <c r="H5860" s="26">
        <v>13</v>
      </c>
      <c r="I5860" s="5" t="s">
        <v>42520</v>
      </c>
      <c r="J5860" s="5" t="s">
        <v>30520</v>
      </c>
      <c r="K5860" s="5" t="s">
        <v>344</v>
      </c>
      <c r="L5860" s="5" t="s">
        <v>42521</v>
      </c>
      <c r="M5860" s="27"/>
      <c r="N5860" s="5"/>
      <c r="O5860" s="5" t="str">
        <v>1650202670</v>
      </c>
      <c r="P5860" s="27">
        <v>608754200</v>
      </c>
      <c r="Q5860" s="5" t="s">
        <v>49009</v>
      </c>
      <c r="R5860" s="5"/>
      <c r="S5860" s="5" t="s">
        <v>49066</v>
      </c>
      <c r="T5860" s="28">
        <v>765215000</v>
      </c>
      <c r="U5860" s="28"/>
      <c r="V5860" s="28">
        <v>813271000</v>
      </c>
      <c r="W5860" s="28"/>
      <c r="X5860" s="28">
        <v>4065265000</v>
      </c>
      <c r="Y5860" s="28">
        <v>7129306000</v>
      </c>
      <c r="Z5860" s="28">
        <v>3814658000</v>
      </c>
      <c r="AA5860" s="28"/>
      <c r="AB5860" s="28"/>
      <c r="AC5860" s="28">
        <v>1372159000</v>
      </c>
      <c r="AD5860" s="28">
        <v>5734153000</v>
      </c>
      <c r="AE5860" s="28">
        <v>7779410000</v>
      </c>
      <c r="AF5860" s="28">
        <v>1651810000</v>
      </c>
      <c r="AG5860" s="11"/>
    </row>
    <row r="5861">
      <c r="A5861" s="7" t="s">
        <v>7459</v>
      </c>
      <c r="B5861" s="5" t="s">
        <v>15408</v>
      </c>
      <c r="C5861" s="5" t="s">
        <v>23079</v>
      </c>
      <c r="D5861" s="5" t="str">
        <v>615523584835</v>
      </c>
      <c r="E5861" s="0" t="e">
        <f>+7 (903) 7555927
+7 (917) 5225361
+7 (985) 9921116</f>
        <v>#NAME?</v>
      </c>
      <c r="F5861" s="5" t="s">
        <v>42522</v>
      </c>
      <c r="G5861" s="5"/>
      <c r="H5861" s="26">
        <v>10.5</v>
      </c>
      <c r="I5861" s="5" t="s">
        <v>42523</v>
      </c>
      <c r="J5861" s="5" t="s">
        <v>364</v>
      </c>
      <c r="K5861" s="5" t="s">
        <v>344</v>
      </c>
      <c r="L5861" s="5" t="s">
        <v>42524</v>
      </c>
      <c r="M5861" s="27">
        <v>40759019</v>
      </c>
      <c r="N5861" s="5" t="s">
        <v>58172</v>
      </c>
      <c r="O5861" s="5" t="str">
        <v>7717728371</v>
      </c>
      <c r="P5861" s="27">
        <v>28250</v>
      </c>
      <c r="Q5861" s="5" t="s">
        <v>58173</v>
      </c>
      <c r="R5861" s="5"/>
      <c r="S5861" s="5" t="s">
        <v>58174</v>
      </c>
      <c r="T5861" s="28">
        <v>23818000</v>
      </c>
      <c r="U5861" s="28"/>
      <c r="V5861" s="28">
        <v>1771560000</v>
      </c>
      <c r="W5861" s="28">
        <v>626854000</v>
      </c>
      <c r="X5861" s="28">
        <v>998139000</v>
      </c>
      <c r="Y5861" s="28">
        <v>3657435000</v>
      </c>
      <c r="Z5861" s="28">
        <v>160474000</v>
      </c>
      <c r="AA5861" s="28"/>
      <c r="AB5861" s="28">
        <v>20000000</v>
      </c>
      <c r="AC5861" s="28">
        <v>3492933000</v>
      </c>
      <c r="AD5861" s="28">
        <v>160502000</v>
      </c>
      <c r="AE5861" s="28">
        <v>4694334000</v>
      </c>
      <c r="AF5861" s="28">
        <v>127877000</v>
      </c>
      <c r="AG5861" s="11"/>
    </row>
    <row r="5862">
      <c r="A5862" s="7" t="s">
        <v>7460</v>
      </c>
      <c r="B5862" s="5" t="s">
        <v>15409</v>
      </c>
      <c r="C5862" s="5" t="s">
        <v>23080</v>
      </c>
      <c r="D5862" s="5" t="str">
        <v>166102099569</v>
      </c>
      <c r="E5862" s="0" t="e">
        <f>+7 (495) 2491750
+7 (8435) 585803</f>
        <v>#NAME?</v>
      </c>
      <c r="F5862" s="5" t="s">
        <v>42525</v>
      </c>
      <c r="G5862" s="5" t="s">
        <v>42526</v>
      </c>
      <c r="H5862" s="26">
        <v>4.5</v>
      </c>
      <c r="I5862" s="5" t="s">
        <v>42527</v>
      </c>
      <c r="J5862" s="5" t="s">
        <v>467</v>
      </c>
      <c r="K5862" s="5" t="s">
        <v>344</v>
      </c>
      <c r="L5862" s="5"/>
      <c r="M5862" s="27"/>
      <c r="N5862" s="5"/>
      <c r="O5862" s="5" t="str">
        <v>7707418878</v>
      </c>
      <c r="P5862" s="27">
        <v>500000</v>
      </c>
      <c r="Q5862" s="5" t="s">
        <v>58175</v>
      </c>
      <c r="R5862" s="5"/>
      <c r="S5862" s="5" t="s">
        <v>50378</v>
      </c>
      <c r="T5862" s="28">
        <v>1502757000</v>
      </c>
      <c r="U5862" s="28">
        <v>500000</v>
      </c>
      <c r="V5862" s="28">
        <v>18224637000</v>
      </c>
      <c r="W5862" s="28"/>
      <c r="X5862" s="28">
        <v>5135399000</v>
      </c>
      <c r="Y5862" s="28">
        <v>26328011000</v>
      </c>
      <c r="Z5862" s="28">
        <v>707227000</v>
      </c>
      <c r="AA5862" s="28"/>
      <c r="AB5862" s="28">
        <v>286673000</v>
      </c>
      <c r="AC5862" s="28">
        <v>22307569000</v>
      </c>
      <c r="AD5862" s="28">
        <v>707727000</v>
      </c>
      <c r="AE5862" s="28">
        <v>23761150000</v>
      </c>
      <c r="AF5862" s="28">
        <v>725402000</v>
      </c>
      <c r="AG5862" s="11"/>
    </row>
    <row r="5863">
      <c r="A5863" s="7" t="s">
        <v>7461</v>
      </c>
      <c r="B5863" s="5" t="s">
        <v>10146</v>
      </c>
      <c r="C5863" s="5" t="s">
        <v>18044</v>
      </c>
      <c r="D5863" s="5" t="str">
        <v>220501708089</v>
      </c>
      <c r="E5863" s="0" t="e">
        <f>+7 (385) 2245457
+7 (385) 2245683
+7 (385) 2245673
+7 (385) 2245682
+7 (385) 2553700
+7 (385) 2557978
+7 (38568) 50540
+7 (38568) 50542
+7 (800) 7007083</f>
        <v>#NAME?</v>
      </c>
      <c r="F5863" s="5" t="s">
        <v>42528</v>
      </c>
      <c r="G5863" s="5"/>
      <c r="H5863" s="26">
        <v>12</v>
      </c>
      <c r="I5863" s="5"/>
      <c r="J5863" s="5" t="s">
        <v>27802</v>
      </c>
      <c r="K5863" s="5" t="s">
        <v>344</v>
      </c>
      <c r="L5863" s="5"/>
      <c r="M5863" s="27">
        <v>89895</v>
      </c>
      <c r="N5863" s="5" t="s">
        <v>58176</v>
      </c>
      <c r="O5863" s="5" t="str">
        <v>2224143922</v>
      </c>
      <c r="P5863" s="27">
        <v>2757847000</v>
      </c>
      <c r="Q5863" s="5" t="s">
        <v>58178</v>
      </c>
      <c r="R5863" s="5"/>
      <c r="S5863" s="5" t="s">
        <v>51039</v>
      </c>
      <c r="T5863" s="28">
        <v>5062520000</v>
      </c>
      <c r="U5863" s="28">
        <v>43032000</v>
      </c>
      <c r="V5863" s="28">
        <v>501674000</v>
      </c>
      <c r="W5863" s="28"/>
      <c r="X5863" s="28">
        <v>6528000</v>
      </c>
      <c r="Y5863" s="28">
        <v>5841224000</v>
      </c>
      <c r="Z5863" s="28">
        <v>1245737000</v>
      </c>
      <c r="AA5863" s="28">
        <v>52600000</v>
      </c>
      <c r="AB5863" s="28"/>
      <c r="AC5863" s="28">
        <v>640535000</v>
      </c>
      <c r="AD5863" s="28">
        <v>5028175000</v>
      </c>
      <c r="AE5863" s="28">
        <v>3616999000</v>
      </c>
      <c r="AF5863" s="28">
        <v>331634000</v>
      </c>
      <c r="AG5863" s="11"/>
    </row>
    <row r="5864">
      <c r="A5864" s="7" t="s">
        <v>7462</v>
      </c>
      <c r="B5864" s="5" t="s">
        <v>15410</v>
      </c>
      <c r="C5864" s="5" t="s">
        <v>23081</v>
      </c>
      <c r="D5864" s="5" t="str">
        <v>161401023840</v>
      </c>
      <c r="E5864" s="0" t="e">
        <f>+7 (925) 5393907
+7 (960) 487370</f>
        <v>#NAME?</v>
      </c>
      <c r="F5864" s="5" t="s">
        <v>42529</v>
      </c>
      <c r="G5864" s="5" t="s">
        <v>42530</v>
      </c>
      <c r="H5864" s="26">
        <v>4</v>
      </c>
      <c r="I5864" s="5" t="s">
        <v>42531</v>
      </c>
      <c r="J5864" s="5" t="s">
        <v>364</v>
      </c>
      <c r="K5864" s="5" t="s">
        <v>344</v>
      </c>
      <c r="L5864" s="5" t="s">
        <v>42532</v>
      </c>
      <c r="M5864" s="27">
        <v>36555645</v>
      </c>
      <c r="N5864" s="5"/>
      <c r="O5864" s="5" t="str">
        <v>5024195157</v>
      </c>
      <c r="P5864" s="27">
        <v>10000</v>
      </c>
      <c r="Q5864" s="5" t="s">
        <v>346</v>
      </c>
      <c r="R5864" s="5"/>
      <c r="S5864" s="5" t="s">
        <v>58179</v>
      </c>
      <c r="T5864" s="28">
        <v>22256000</v>
      </c>
      <c r="U5864" s="28"/>
      <c r="V5864" s="28">
        <v>696902000</v>
      </c>
      <c r="W5864" s="28">
        <v>503000</v>
      </c>
      <c r="X5864" s="28">
        <v>10472000</v>
      </c>
      <c r="Y5864" s="28">
        <v>814392000</v>
      </c>
      <c r="Z5864" s="28">
        <v>60871000</v>
      </c>
      <c r="AA5864" s="28"/>
      <c r="AB5864" s="28">
        <v>15000</v>
      </c>
      <c r="AC5864" s="28">
        <v>752430000</v>
      </c>
      <c r="AD5864" s="28">
        <v>60881000</v>
      </c>
      <c r="AE5864" s="28">
        <v>5689486000</v>
      </c>
      <c r="AF5864" s="28">
        <v>38210000</v>
      </c>
      <c r="AG5864" s="11"/>
    </row>
    <row r="5865">
      <c r="A5865" s="7" t="s">
        <v>7463</v>
      </c>
      <c r="B5865" s="5" t="s">
        <v>15411</v>
      </c>
      <c r="C5865" s="5" t="s">
        <v>23082</v>
      </c>
      <c r="D5865" s="5" t="str">
        <v>632200707371</v>
      </c>
      <c r="E5865" s="0" t="e">
        <f>+7 (495) 2281753
+7 (495) 2281764
+7 (915) 614668
+7 (495) 2281754
+7 (495) 2281763
+7 (495) 9260668
+7 (49664) 69511
+7 (49664) 69512</f>
        <v>#NAME?</v>
      </c>
      <c r="F5865" s="5" t="s">
        <v>42533</v>
      </c>
      <c r="G5865" s="5" t="s">
        <v>42534</v>
      </c>
      <c r="H5865" s="26">
        <v>23.5</v>
      </c>
      <c r="I5865" s="5"/>
      <c r="J5865" s="5" t="s">
        <v>42535</v>
      </c>
      <c r="K5865" s="5" t="s">
        <v>344</v>
      </c>
      <c r="L5865" s="5" t="s">
        <v>42536</v>
      </c>
      <c r="M5865" s="27">
        <v>1952146</v>
      </c>
      <c r="N5865" s="5" t="s">
        <v>58180</v>
      </c>
      <c r="O5865" s="5" t="str">
        <v>7702244226</v>
      </c>
      <c r="P5865" s="27">
        <v>45000</v>
      </c>
      <c r="Q5865" s="5" t="s">
        <v>58181</v>
      </c>
      <c r="R5865" s="5"/>
      <c r="S5865" s="5" t="s">
        <v>58182</v>
      </c>
      <c r="T5865" s="28">
        <v>100172000</v>
      </c>
      <c r="U5865" s="28"/>
      <c r="V5865" s="28">
        <v>927255000</v>
      </c>
      <c r="W5865" s="28">
        <v>7058000</v>
      </c>
      <c r="X5865" s="28">
        <v>293210000</v>
      </c>
      <c r="Y5865" s="28">
        <v>1488027000</v>
      </c>
      <c r="Z5865" s="28">
        <v>266531000</v>
      </c>
      <c r="AA5865" s="28"/>
      <c r="AB5865" s="28"/>
      <c r="AC5865" s="28">
        <v>1206880000</v>
      </c>
      <c r="AD5865" s="28">
        <v>266576000</v>
      </c>
      <c r="AE5865" s="28">
        <v>4078749000</v>
      </c>
      <c r="AF5865" s="28">
        <v>96108000</v>
      </c>
      <c r="AG5865" s="11"/>
    </row>
    <row r="5866">
      <c r="A5866" s="7" t="s">
        <v>7464</v>
      </c>
      <c r="B5866" s="5" t="s">
        <v>15412</v>
      </c>
      <c r="C5866" s="5" t="s">
        <v>23083</v>
      </c>
      <c r="D5866" s="5" t="str">
        <v>410100551802</v>
      </c>
      <c r="E5866" s="0" t="e">
        <f>+7 (415) 2434758
+7 (415) 2434762
+7 (424) 2221999
+7 (424) 2242125
+7 (424) 2242130
+7 (42453) 42125
+7 (42453) 42126
+7 (42453) 42130</f>
        <v>#NAME?</v>
      </c>
      <c r="F5866" s="5" t="s">
        <v>42537</v>
      </c>
      <c r="G5866" s="5" t="s">
        <v>42538</v>
      </c>
      <c r="H5866" s="26">
        <v>30</v>
      </c>
      <c r="I5866" s="5"/>
      <c r="J5866" s="5" t="s">
        <v>26424</v>
      </c>
      <c r="K5866" s="5" t="s">
        <v>344</v>
      </c>
      <c r="L5866" s="5" t="s">
        <v>42539</v>
      </c>
      <c r="M5866" s="27"/>
      <c r="N5866" s="5" t="s">
        <v>53845</v>
      </c>
      <c r="O5866" s="5" t="str">
        <v>6515000242</v>
      </c>
      <c r="P5866" s="27">
        <v>6613220</v>
      </c>
      <c r="Q5866" s="5"/>
      <c r="R5866" s="5"/>
      <c r="S5866" s="5" t="s">
        <v>49110</v>
      </c>
      <c r="T5866" s="28">
        <v>2650395000</v>
      </c>
      <c r="U5866" s="28">
        <v>1325814000</v>
      </c>
      <c r="V5866" s="28">
        <v>460323000</v>
      </c>
      <c r="W5866" s="28"/>
      <c r="X5866" s="28">
        <v>250495000</v>
      </c>
      <c r="Y5866" s="28">
        <v>5757464000</v>
      </c>
      <c r="Z5866" s="28">
        <v>4347936000</v>
      </c>
      <c r="AA5866" s="28">
        <v>847180000</v>
      </c>
      <c r="AB5866" s="28">
        <v>3382000</v>
      </c>
      <c r="AC5866" s="28">
        <v>555735000</v>
      </c>
      <c r="AD5866" s="28">
        <v>4354895000</v>
      </c>
      <c r="AE5866" s="28">
        <v>3405808000</v>
      </c>
      <c r="AF5866" s="28">
        <v>1065827000</v>
      </c>
      <c r="AG5866" s="11"/>
    </row>
    <row r="5867">
      <c r="A5867" s="7" t="s">
        <v>7465</v>
      </c>
      <c r="B5867" s="5" t="s">
        <v>15413</v>
      </c>
      <c r="C5867" s="5" t="s">
        <v>23084</v>
      </c>
      <c r="D5867" s="5" t="str">
        <v>780713202786</v>
      </c>
      <c r="E5867" s="0" t="e">
        <f>+7 (812) 3273798
+7 (812) 3053636
+7 (812) 3310110
+7 (812) 5419191</f>
        <v>#NAME?</v>
      </c>
      <c r="F5867" s="5" t="s">
        <v>42540</v>
      </c>
      <c r="G5867" s="5" t="s">
        <v>42541</v>
      </c>
      <c r="H5867" s="26">
        <v>22.5</v>
      </c>
      <c r="I5867" s="5" t="s">
        <v>42542</v>
      </c>
      <c r="J5867" s="5" t="s">
        <v>364</v>
      </c>
      <c r="K5867" s="5" t="s">
        <v>380</v>
      </c>
      <c r="L5867" s="5"/>
      <c r="M5867" s="27">
        <v>141927355</v>
      </c>
      <c r="N5867" s="5" t="s">
        <v>58183</v>
      </c>
      <c r="O5867" s="5" t="str">
        <v>7825130998</v>
      </c>
      <c r="P5867" s="27">
        <v>1511854000</v>
      </c>
      <c r="Q5867" s="5" t="s">
        <v>58184</v>
      </c>
      <c r="R5867" s="5" t="s">
        <v>52004</v>
      </c>
      <c r="S5867" s="5" t="s">
        <v>58185</v>
      </c>
      <c r="T5867" s="28">
        <v>482634000</v>
      </c>
      <c r="U5867" s="28">
        <v>449521000</v>
      </c>
      <c r="V5867" s="28">
        <v>11535411000</v>
      </c>
      <c r="W5867" s="28">
        <v>314952000</v>
      </c>
      <c r="X5867" s="28">
        <v>4744000</v>
      </c>
      <c r="Y5867" s="28">
        <v>26861434000</v>
      </c>
      <c r="Z5867" s="28">
        <v>456347000</v>
      </c>
      <c r="AA5867" s="28">
        <v>43905000</v>
      </c>
      <c r="AB5867" s="28">
        <v>85546000</v>
      </c>
      <c r="AC5867" s="28">
        <v>19793130000</v>
      </c>
      <c r="AD5867" s="28">
        <v>1968201000</v>
      </c>
      <c r="AE5867" s="28">
        <v>4712745000</v>
      </c>
      <c r="AF5867" s="28">
        <v>17359000</v>
      </c>
      <c r="AG5867" s="11"/>
    </row>
    <row r="5868">
      <c r="A5868" s="7" t="s">
        <v>7466</v>
      </c>
      <c r="B5868" s="5" t="s">
        <v>15414</v>
      </c>
      <c r="C5868" s="5" t="s">
        <v>23085</v>
      </c>
      <c r="D5868" s="5" t="str">
        <v>782606936063</v>
      </c>
      <c r="E5868" s="0" t="e">
        <f>+7 (812) 3226822
+7 (921) 3226822</f>
        <v>#NAME?</v>
      </c>
      <c r="F5868" s="5" t="s">
        <v>42543</v>
      </c>
      <c r="G5868" s="5"/>
      <c r="H5868" s="26">
        <v>8.5</v>
      </c>
      <c r="I5868" s="5" t="s">
        <v>42544</v>
      </c>
      <c r="J5868" s="5" t="s">
        <v>364</v>
      </c>
      <c r="K5868" s="5" t="s">
        <v>344</v>
      </c>
      <c r="L5868" s="5" t="s">
        <v>42545</v>
      </c>
      <c r="M5868" s="27"/>
      <c r="N5868" s="5"/>
      <c r="O5868" s="5" t="str">
        <v>7802865629</v>
      </c>
      <c r="P5868" s="27">
        <v>10000</v>
      </c>
      <c r="Q5868" s="5" t="s">
        <v>55514</v>
      </c>
      <c r="R5868" s="5"/>
      <c r="S5868" s="5" t="s">
        <v>57064</v>
      </c>
      <c r="T5868" s="28">
        <v>22767000</v>
      </c>
      <c r="U5868" s="28"/>
      <c r="V5868" s="28">
        <v>1013181000</v>
      </c>
      <c r="W5868" s="28">
        <v>13100000</v>
      </c>
      <c r="X5868" s="28">
        <v>44000</v>
      </c>
      <c r="Y5868" s="28">
        <v>1051723000</v>
      </c>
      <c r="Z5868" s="28">
        <v>134225000</v>
      </c>
      <c r="AA5868" s="28"/>
      <c r="AB5868" s="28">
        <v>55272000</v>
      </c>
      <c r="AC5868" s="28">
        <v>917488000</v>
      </c>
      <c r="AD5868" s="28">
        <v>134235000</v>
      </c>
      <c r="AE5868" s="28">
        <v>4017520000</v>
      </c>
      <c r="AF5868" s="28">
        <v>17461000</v>
      </c>
      <c r="AG5868" s="11"/>
    </row>
    <row r="5869">
      <c r="A5869" s="7" t="s">
        <v>7467</v>
      </c>
      <c r="B5869" s="5" t="s">
        <v>15415</v>
      </c>
      <c r="C5869" s="5" t="s">
        <v>23086</v>
      </c>
      <c r="D5869" s="5" t="str">
        <v>163501278363</v>
      </c>
      <c r="F5869" s="5"/>
      <c r="G5869" s="5"/>
      <c r="H5869" s="26">
        <v>8</v>
      </c>
      <c r="I5869" s="5" t="s">
        <v>42546</v>
      </c>
      <c r="J5869" s="5" t="s">
        <v>364</v>
      </c>
      <c r="K5869" s="5" t="s">
        <v>344</v>
      </c>
      <c r="L5869" s="5"/>
      <c r="M5869" s="27"/>
      <c r="N5869" s="5"/>
      <c r="O5869" s="5" t="str">
        <v>1658177418</v>
      </c>
      <c r="P5869" s="27">
        <v>10000</v>
      </c>
      <c r="Q5869" s="5" t="s">
        <v>49822</v>
      </c>
      <c r="R5869" s="5"/>
      <c r="S5869" s="5" t="s">
        <v>58186</v>
      </c>
      <c r="T5869" s="28">
        <v>25233000</v>
      </c>
      <c r="U5869" s="28"/>
      <c r="V5869" s="28">
        <v>3616568000</v>
      </c>
      <c r="W5869" s="28">
        <v>688729000</v>
      </c>
      <c r="X5869" s="28">
        <v>37646000</v>
      </c>
      <c r="Y5869" s="28">
        <v>4600368000</v>
      </c>
      <c r="Z5869" s="28">
        <v>89725000</v>
      </c>
      <c r="AA5869" s="28"/>
      <c r="AB5869" s="28"/>
      <c r="AC5869" s="28">
        <v>4509567000</v>
      </c>
      <c r="AD5869" s="28">
        <v>89735000</v>
      </c>
      <c r="AE5869" s="28">
        <v>5284251000</v>
      </c>
      <c r="AF5869" s="28">
        <v>63783000</v>
      </c>
      <c r="AG5869" s="11"/>
    </row>
    <row r="5870">
      <c r="A5870" s="7" t="s">
        <v>7468</v>
      </c>
      <c r="B5870" s="5" t="s">
        <v>15416</v>
      </c>
      <c r="C5870" s="5" t="s">
        <v>23087</v>
      </c>
      <c r="D5870" s="5" t="str">
        <v>780420977945</v>
      </c>
      <c r="E5870" s="0" t="e">
        <f>+7 (921) 5807814
+7 (812) 6162226
+7 (812) 6162654
+7 (812) 6163184
+7 (812) 6166239
+7 (812) 6166475
+7 (812) 6169481
+7 (812) 6175436
+7 (812) 6176693
+7 (812) 6176714
+7 (812) 6177924</f>
        <v>#NAME?</v>
      </c>
      <c r="F5870" s="5" t="s">
        <v>42547</v>
      </c>
      <c r="G5870" s="5"/>
      <c r="H5870" s="26">
        <v>9.5</v>
      </c>
      <c r="I5870" s="5" t="s">
        <v>42548</v>
      </c>
      <c r="J5870" s="5" t="s">
        <v>27182</v>
      </c>
      <c r="K5870" s="5" t="s">
        <v>344</v>
      </c>
      <c r="L5870" s="5" t="s">
        <v>42549</v>
      </c>
      <c r="M5870" s="27"/>
      <c r="N5870" s="5" t="s">
        <v>58183</v>
      </c>
      <c r="O5870" s="5" t="str">
        <v>7810447512</v>
      </c>
      <c r="P5870" s="27">
        <v>10000000</v>
      </c>
      <c r="Q5870" s="5" t="s">
        <v>58187</v>
      </c>
      <c r="R5870" s="5"/>
      <c r="S5870" s="5" t="s">
        <v>50001</v>
      </c>
      <c r="T5870" s="28">
        <v>23959000</v>
      </c>
      <c r="U5870" s="28"/>
      <c r="V5870" s="28">
        <v>22229966000</v>
      </c>
      <c r="W5870" s="28">
        <v>11739000</v>
      </c>
      <c r="X5870" s="28">
        <v>1099163000</v>
      </c>
      <c r="Y5870" s="28">
        <v>56492213000</v>
      </c>
      <c r="Z5870" s="28">
        <v>2378967000</v>
      </c>
      <c r="AA5870" s="28"/>
      <c r="AB5870" s="28"/>
      <c r="AC5870" s="28">
        <v>36662011000</v>
      </c>
      <c r="AD5870" s="28">
        <v>2388967000</v>
      </c>
      <c r="AE5870" s="28">
        <v>14845326000</v>
      </c>
      <c r="AF5870" s="28">
        <v>6226529000</v>
      </c>
      <c r="AG5870" s="11"/>
    </row>
    <row r="5871">
      <c r="A5871" s="7" t="s">
        <v>7469</v>
      </c>
      <c r="B5871" s="5" t="s">
        <v>15417</v>
      </c>
      <c r="C5871" s="5" t="s">
        <v>23088</v>
      </c>
      <c r="D5871" s="5" t="str">
        <v>311001876358</v>
      </c>
      <c r="E5871" s="0" t="e">
        <f>+7 (472) 2586400
+7 (47231) 53884
+7 (47231) 54506
+7 (47231) 54507
+7 (812) 4932390
+7 (906) 6036035
+7 (910) 3211355</f>
        <v>#NAME?</v>
      </c>
      <c r="F5871" s="5" t="s">
        <v>42550</v>
      </c>
      <c r="G5871" s="5" t="s">
        <v>36223</v>
      </c>
      <c r="H5871" s="26">
        <v>17</v>
      </c>
      <c r="I5871" s="5"/>
      <c r="J5871" s="5" t="s">
        <v>25371</v>
      </c>
      <c r="K5871" s="5" t="s">
        <v>355</v>
      </c>
      <c r="L5871" s="5" t="s">
        <v>42551</v>
      </c>
      <c r="M5871" s="27">
        <v>2026747</v>
      </c>
      <c r="N5871" s="5"/>
      <c r="O5871" s="5" t="str">
        <v>3110009570</v>
      </c>
      <c r="P5871" s="27">
        <v>2364210000</v>
      </c>
      <c r="Q5871" s="5" t="s">
        <v>49009</v>
      </c>
      <c r="R5871" s="5"/>
      <c r="S5871" s="5" t="s">
        <v>49093</v>
      </c>
      <c r="T5871" s="28">
        <v>5866810000</v>
      </c>
      <c r="U5871" s="28">
        <v>83728000</v>
      </c>
      <c r="V5871" s="28">
        <v>91804316000</v>
      </c>
      <c r="W5871" s="28"/>
      <c r="X5871" s="28">
        <v>3575000</v>
      </c>
      <c r="Y5871" s="28">
        <v>104816238000</v>
      </c>
      <c r="Z5871" s="28">
        <v>300673000</v>
      </c>
      <c r="AA5871" s="28">
        <v>7195869000</v>
      </c>
      <c r="AB5871" s="28">
        <v>52356386000</v>
      </c>
      <c r="AC5871" s="28">
        <v>56170791000</v>
      </c>
      <c r="AD5871" s="28">
        <v>2777871000</v>
      </c>
      <c r="AE5871" s="28">
        <v>60357952000</v>
      </c>
      <c r="AF5871" s="28">
        <v>-258330000</v>
      </c>
      <c r="AG5871" s="11"/>
    </row>
    <row r="5872">
      <c r="A5872" s="7" t="s">
        <v>7470</v>
      </c>
      <c r="B5872" s="5" t="s">
        <v>15418</v>
      </c>
      <c r="C5872" s="5" t="s">
        <v>23089</v>
      </c>
      <c r="D5872" s="5" t="str">
        <v>400302485401</v>
      </c>
      <c r="F5872" s="5" t="s">
        <v>42552</v>
      </c>
      <c r="G5872" s="5"/>
      <c r="H5872" s="26">
        <v>8.5</v>
      </c>
      <c r="I5872" s="5" t="s">
        <v>42553</v>
      </c>
      <c r="J5872" s="5" t="s">
        <v>364</v>
      </c>
      <c r="K5872" s="5" t="s">
        <v>344</v>
      </c>
      <c r="L5872" s="5" t="s">
        <v>42554</v>
      </c>
      <c r="M5872" s="27">
        <v>3378468</v>
      </c>
      <c r="N5872" s="5"/>
      <c r="O5872" s="5" t="str">
        <v>4003035721</v>
      </c>
      <c r="P5872" s="27">
        <v>11000</v>
      </c>
      <c r="Q5872" s="5" t="s">
        <v>58188</v>
      </c>
      <c r="R5872" s="5"/>
      <c r="S5872" s="5" t="s">
        <v>58189</v>
      </c>
      <c r="T5872" s="28">
        <v>65635000</v>
      </c>
      <c r="U5872" s="28"/>
      <c r="V5872" s="28">
        <v>1309025000</v>
      </c>
      <c r="W5872" s="28"/>
      <c r="X5872" s="28">
        <v>157000</v>
      </c>
      <c r="Y5872" s="28">
        <v>2034796000</v>
      </c>
      <c r="Z5872" s="28">
        <v>92102000</v>
      </c>
      <c r="AA5872" s="28">
        <v>63635000</v>
      </c>
      <c r="AB5872" s="28">
        <v>150000</v>
      </c>
      <c r="AC5872" s="28">
        <v>1864722000</v>
      </c>
      <c r="AD5872" s="28">
        <v>92113000</v>
      </c>
      <c r="AE5872" s="28">
        <v>4564665000</v>
      </c>
      <c r="AF5872" s="28">
        <v>57209000</v>
      </c>
      <c r="AG5872" s="11"/>
    </row>
    <row r="5873">
      <c r="A5873" s="7" t="s">
        <v>7471</v>
      </c>
      <c r="B5873" s="5" t="s">
        <v>15419</v>
      </c>
      <c r="C5873" s="5" t="s">
        <v>23090</v>
      </c>
      <c r="D5873" s="5" t="str">
        <v>381205766710</v>
      </c>
      <c r="E5873" s="0" t="e">
        <f>+7 (86156) 35200
+7 (86145) 59117</f>
        <v>#NAME?</v>
      </c>
      <c r="F5873" s="5" t="s">
        <v>42555</v>
      </c>
      <c r="G5873" s="5" t="s">
        <v>42556</v>
      </c>
      <c r="H5873" s="26">
        <v>12</v>
      </c>
      <c r="I5873" s="5"/>
      <c r="J5873" s="5" t="s">
        <v>25499</v>
      </c>
      <c r="K5873" s="5" t="s">
        <v>344</v>
      </c>
      <c r="L5873" s="5" t="s">
        <v>42557</v>
      </c>
      <c r="M5873" s="27"/>
      <c r="N5873" s="5" t="s">
        <v>58190</v>
      </c>
      <c r="O5873" s="5" t="str">
        <v>2341015890</v>
      </c>
      <c r="P5873" s="27">
        <v>2108770</v>
      </c>
      <c r="Q5873" s="5" t="s">
        <v>49059</v>
      </c>
      <c r="R5873" s="5"/>
      <c r="S5873" s="5" t="s">
        <v>49066</v>
      </c>
      <c r="T5873" s="28">
        <v>1361544000</v>
      </c>
      <c r="U5873" s="28"/>
      <c r="V5873" s="28">
        <v>925892000</v>
      </c>
      <c r="W5873" s="28"/>
      <c r="X5873" s="28">
        <v>2004376000</v>
      </c>
      <c r="Y5873" s="28">
        <v>5352060000</v>
      </c>
      <c r="Z5873" s="28">
        <v>1559959000</v>
      </c>
      <c r="AA5873" s="28">
        <v>1317844000</v>
      </c>
      <c r="AB5873" s="28">
        <v>1730269000</v>
      </c>
      <c r="AC5873" s="28">
        <v>2345206000</v>
      </c>
      <c r="AD5873" s="28">
        <v>1562173000</v>
      </c>
      <c r="AE5873" s="28">
        <v>9848035000</v>
      </c>
      <c r="AF5873" s="28">
        <v>568270000</v>
      </c>
      <c r="AG5873" s="11"/>
    </row>
    <row r="5874">
      <c r="A5874" s="7" t="s">
        <v>7472</v>
      </c>
      <c r="B5874" s="5" t="s">
        <v>15420</v>
      </c>
      <c r="C5874" s="5" t="s">
        <v>21992</v>
      </c>
      <c r="D5874" s="5" t="str">
        <v>463309374221</v>
      </c>
      <c r="E5874" s="0" t="e">
        <f>+7 (903) 5540611
+7 (910) 4095957</f>
        <v>#NAME?</v>
      </c>
      <c r="F5874" s="5"/>
      <c r="G5874" s="5"/>
      <c r="H5874" s="26">
        <v>6</v>
      </c>
      <c r="I5874" s="5" t="s">
        <v>42558</v>
      </c>
      <c r="J5874" s="5" t="s">
        <v>364</v>
      </c>
      <c r="K5874" s="5" t="s">
        <v>355</v>
      </c>
      <c r="L5874" s="5" t="s">
        <v>374</v>
      </c>
      <c r="M5874" s="27"/>
      <c r="N5874" s="5"/>
      <c r="O5874" s="5" t="str">
        <v>9717055306</v>
      </c>
      <c r="P5874" s="27">
        <v>10000</v>
      </c>
      <c r="Q5874" s="5"/>
      <c r="R5874" s="5" t="s">
        <v>58192</v>
      </c>
      <c r="S5874" s="5" t="s">
        <v>49121</v>
      </c>
      <c r="T5874" s="28">
        <v>24989000</v>
      </c>
      <c r="U5874" s="28"/>
      <c r="V5874" s="28">
        <v>772241000</v>
      </c>
      <c r="W5874" s="28">
        <v>70000000</v>
      </c>
      <c r="X5874" s="28">
        <v>7587000</v>
      </c>
      <c r="Y5874" s="28">
        <v>2051979000</v>
      </c>
      <c r="Z5874" s="28">
        <v>-121864000</v>
      </c>
      <c r="AA5874" s="28"/>
      <c r="AB5874" s="28">
        <v>6000</v>
      </c>
      <c r="AC5874" s="28">
        <v>2173775000</v>
      </c>
      <c r="AD5874" s="28">
        <v>-121854000</v>
      </c>
      <c r="AE5874" s="28">
        <v>4598047000</v>
      </c>
      <c r="AF5874" s="28">
        <v>-123896000</v>
      </c>
      <c r="AG5874" s="11"/>
    </row>
    <row r="5875">
      <c r="A5875" s="7" t="s">
        <v>7473</v>
      </c>
      <c r="B5875" s="5" t="s">
        <v>15421</v>
      </c>
      <c r="C5875" s="5" t="s">
        <v>23091</v>
      </c>
      <c r="D5875" s="5" t="str">
        <v>381112427923</v>
      </c>
      <c r="E5875" s="0" t="e">
        <f>+7 (495) 3632600
+7 (495) 3632612
+7 (495) 3632620</f>
        <v>#NAME?</v>
      </c>
      <c r="F5875" s="5" t="s">
        <v>42559</v>
      </c>
      <c r="G5875" s="5" t="s">
        <v>42560</v>
      </c>
      <c r="H5875" s="26">
        <v>31.5</v>
      </c>
      <c r="I5875" s="5"/>
      <c r="J5875" s="5" t="s">
        <v>467</v>
      </c>
      <c r="K5875" s="5" t="s">
        <v>355</v>
      </c>
      <c r="L5875" s="5"/>
      <c r="M5875" s="27">
        <v>67437718</v>
      </c>
      <c r="N5875" s="5" t="s">
        <v>57660</v>
      </c>
      <c r="O5875" s="5" t="str">
        <v>7729655791</v>
      </c>
      <c r="P5875" s="27">
        <v>500000</v>
      </c>
      <c r="Q5875" s="5" t="s">
        <v>49059</v>
      </c>
      <c r="R5875" s="5"/>
      <c r="S5875" s="5" t="s">
        <v>49425</v>
      </c>
      <c r="T5875" s="28">
        <v>194785000</v>
      </c>
      <c r="U5875" s="28">
        <v>197698000</v>
      </c>
      <c r="V5875" s="28">
        <v>3283579000</v>
      </c>
      <c r="W5875" s="28"/>
      <c r="X5875" s="28">
        <v>3074784000</v>
      </c>
      <c r="Y5875" s="28">
        <v>10473286000</v>
      </c>
      <c r="Z5875" s="28">
        <v>12528000</v>
      </c>
      <c r="AA5875" s="28">
        <v>3356143000</v>
      </c>
      <c r="AB5875" s="28">
        <v>245406000</v>
      </c>
      <c r="AC5875" s="28">
        <v>6975958000</v>
      </c>
      <c r="AD5875" s="28">
        <v>24202000</v>
      </c>
      <c r="AE5875" s="28">
        <v>10554604000</v>
      </c>
      <c r="AF5875" s="28">
        <v>-672818000</v>
      </c>
      <c r="AG5875" s="11"/>
    </row>
    <row r="5876">
      <c r="A5876" s="7" t="s">
        <v>7474</v>
      </c>
      <c r="B5876" s="5" t="s">
        <v>15422</v>
      </c>
      <c r="C5876" s="5" t="s">
        <v>23092</v>
      </c>
      <c r="D5876" s="5" t="str">
        <v>772604204607</v>
      </c>
      <c r="E5876" s="0" t="e">
        <f>+7 (953) 9726127
+7 (960) 5930323
+7 (925) 1460134</f>
        <v>#NAME?</v>
      </c>
      <c r="F5876" s="5" t="s">
        <v>42561</v>
      </c>
      <c r="G5876" s="5"/>
      <c r="H5876" s="26">
        <v>4</v>
      </c>
      <c r="I5876" s="5" t="s">
        <v>42562</v>
      </c>
      <c r="J5876" s="5" t="s">
        <v>364</v>
      </c>
      <c r="K5876" s="5" t="s">
        <v>344</v>
      </c>
      <c r="L5876" s="5"/>
      <c r="M5876" s="27"/>
      <c r="N5876" s="5" t="s">
        <v>49153</v>
      </c>
      <c r="O5876" s="5" t="str">
        <v>7130033627</v>
      </c>
      <c r="P5876" s="27">
        <v>10000</v>
      </c>
      <c r="Q5876" s="5" t="s">
        <v>58194</v>
      </c>
      <c r="R5876" s="5" t="s">
        <v>58195</v>
      </c>
      <c r="S5876" s="5" t="s">
        <v>49065</v>
      </c>
      <c r="T5876" s="28">
        <v>398548000</v>
      </c>
      <c r="U5876" s="28">
        <v>10000</v>
      </c>
      <c r="V5876" s="28">
        <v>191744000</v>
      </c>
      <c r="W5876" s="28"/>
      <c r="X5876" s="28">
        <v>36081000</v>
      </c>
      <c r="Y5876" s="28">
        <v>3445649000</v>
      </c>
      <c r="Z5876" s="28">
        <v>216505000</v>
      </c>
      <c r="AA5876" s="28"/>
      <c r="AB5876" s="28">
        <v>130869000</v>
      </c>
      <c r="AC5876" s="28">
        <v>3209644000</v>
      </c>
      <c r="AD5876" s="28">
        <v>234205000</v>
      </c>
      <c r="AE5876" s="28">
        <v>4311259000</v>
      </c>
      <c r="AF5876" s="28">
        <v>1015536000</v>
      </c>
      <c r="AG5876" s="11"/>
    </row>
    <row r="5877">
      <c r="A5877" s="7" t="s">
        <v>7475</v>
      </c>
      <c r="B5877" s="5" t="s">
        <v>15423</v>
      </c>
      <c r="C5877" s="5" t="s">
        <v>23093</v>
      </c>
      <c r="D5877" s="5" t="str">
        <v>780617335409</v>
      </c>
      <c r="F5877" s="5"/>
      <c r="G5877" s="5"/>
      <c r="H5877" s="26">
        <v>2.5</v>
      </c>
      <c r="I5877" s="5" t="s">
        <v>42563</v>
      </c>
      <c r="J5877" s="5" t="s">
        <v>364</v>
      </c>
      <c r="K5877" s="5" t="s">
        <v>344</v>
      </c>
      <c r="L5877" s="5" t="s">
        <v>42564</v>
      </c>
      <c r="M5877" s="27"/>
      <c r="N5877" s="5"/>
      <c r="O5877" s="5" t="str">
        <v>9728009460</v>
      </c>
      <c r="P5877" s="27">
        <v>2000000</v>
      </c>
      <c r="Q5877" s="5" t="s">
        <v>49021</v>
      </c>
      <c r="R5877" s="5"/>
      <c r="S5877" s="5" t="s">
        <v>51792</v>
      </c>
      <c r="T5877" s="28">
        <v>2172000</v>
      </c>
      <c r="U5877" s="28">
        <v>2030000</v>
      </c>
      <c r="V5877" s="28">
        <v>970599000</v>
      </c>
      <c r="W5877" s="28">
        <v>107833000</v>
      </c>
      <c r="X5877" s="28">
        <v>199000000</v>
      </c>
      <c r="Y5877" s="28">
        <v>1316935000</v>
      </c>
      <c r="Z5877" s="28">
        <v>130544000</v>
      </c>
      <c r="AA5877" s="28"/>
      <c r="AB5877" s="28"/>
      <c r="AC5877" s="28">
        <v>1184356000</v>
      </c>
      <c r="AD5877" s="28">
        <v>132544000</v>
      </c>
      <c r="AE5877" s="28">
        <v>3569316000</v>
      </c>
      <c r="AF5877" s="28">
        <v>232056000</v>
      </c>
      <c r="AG5877" s="11"/>
    </row>
    <row r="5878">
      <c r="A5878" s="7" t="s">
        <v>7476</v>
      </c>
      <c r="B5878" s="5" t="s">
        <v>15424</v>
      </c>
      <c r="C5878" s="5" t="s">
        <v>23094</v>
      </c>
      <c r="D5878" s="5" t="str">
        <v>781610046470</v>
      </c>
      <c r="E5878" s="0" t="e">
        <f>+7 (812) 7663979
+7 (812) 3800245
+7 (911) 7405484</f>
        <v>#NAME?</v>
      </c>
      <c r="F5878" s="5" t="s">
        <v>42565</v>
      </c>
      <c r="G5878" s="5"/>
      <c r="H5878" s="26">
        <v>25</v>
      </c>
      <c r="I5878" s="5" t="s">
        <v>42566</v>
      </c>
      <c r="J5878" s="5" t="s">
        <v>467</v>
      </c>
      <c r="K5878" s="5" t="s">
        <v>344</v>
      </c>
      <c r="L5878" s="5" t="s">
        <v>42567</v>
      </c>
      <c r="M5878" s="27">
        <v>8017615</v>
      </c>
      <c r="N5878" s="5" t="s">
        <v>58196</v>
      </c>
      <c r="O5878" s="5" t="str">
        <v>4703037072</v>
      </c>
      <c r="P5878" s="27">
        <v>11000</v>
      </c>
      <c r="Q5878" s="5" t="s">
        <v>58197</v>
      </c>
      <c r="R5878" s="5" t="s">
        <v>58198</v>
      </c>
      <c r="S5878" s="5" t="s">
        <v>53948</v>
      </c>
      <c r="T5878" s="28">
        <v>540789000</v>
      </c>
      <c r="U5878" s="28"/>
      <c r="V5878" s="28">
        <v>1267565000</v>
      </c>
      <c r="W5878" s="28">
        <v>3410000</v>
      </c>
      <c r="X5878" s="28">
        <v>1724456000</v>
      </c>
      <c r="Y5878" s="28">
        <v>4641609000</v>
      </c>
      <c r="Z5878" s="28">
        <v>735776000</v>
      </c>
      <c r="AA5878" s="28"/>
      <c r="AB5878" s="28">
        <v>95846000</v>
      </c>
      <c r="AC5878" s="28">
        <v>3878320000</v>
      </c>
      <c r="AD5878" s="28">
        <v>735787000</v>
      </c>
      <c r="AE5878" s="28">
        <v>9065978000</v>
      </c>
      <c r="AF5878" s="28">
        <v>161922000</v>
      </c>
      <c r="AG5878" s="11"/>
    </row>
    <row r="5879">
      <c r="A5879" s="7" t="s">
        <v>7477</v>
      </c>
      <c r="B5879" s="5" t="s">
        <v>15425</v>
      </c>
      <c r="C5879" s="5" t="s">
        <v>23095</v>
      </c>
      <c r="D5879" s="5" t="str">
        <v>772910228212</v>
      </c>
      <c r="E5879" s="0" t="e">
        <f>+7 (3422) 111499
+7 (3463) 236230
+7 (34643) 47174
+7 (34667) 92203
+7 (495) 7979397
+7 (800) 7007887
+7 (82144) 20130</f>
        <v>#NAME?</v>
      </c>
      <c r="F5879" s="5" t="s">
        <v>42568</v>
      </c>
      <c r="G5879" s="5" t="s">
        <v>42569</v>
      </c>
      <c r="H5879" s="26">
        <v>26.5</v>
      </c>
      <c r="I5879" s="5" t="s">
        <v>42570</v>
      </c>
      <c r="J5879" s="5" t="s">
        <v>28226</v>
      </c>
      <c r="K5879" s="5" t="s">
        <v>355</v>
      </c>
      <c r="L5879" s="5" t="s">
        <v>42571</v>
      </c>
      <c r="M5879" s="27">
        <v>22504918</v>
      </c>
      <c r="N5879" s="5" t="s">
        <v>51298</v>
      </c>
      <c r="O5879" s="5" t="str">
        <v>7708084402</v>
      </c>
      <c r="P5879" s="27">
        <v>2000000</v>
      </c>
      <c r="Q5879" s="5" t="s">
        <v>58199</v>
      </c>
      <c r="R5879" s="5"/>
      <c r="S5879" s="5" t="s">
        <v>49180</v>
      </c>
      <c r="T5879" s="28">
        <v>3213146000</v>
      </c>
      <c r="U5879" s="28">
        <v>406103000</v>
      </c>
      <c r="V5879" s="28">
        <v>3217861000</v>
      </c>
      <c r="W5879" s="28"/>
      <c r="X5879" s="28">
        <v>1052234000</v>
      </c>
      <c r="Y5879" s="28">
        <v>10308009000</v>
      </c>
      <c r="Z5879" s="28">
        <v>1536432000</v>
      </c>
      <c r="AA5879" s="28"/>
      <c r="AB5879" s="28">
        <v>263000</v>
      </c>
      <c r="AC5879" s="28">
        <v>4237482000</v>
      </c>
      <c r="AD5879" s="28">
        <v>5626861000</v>
      </c>
      <c r="AE5879" s="28">
        <v>13882107000</v>
      </c>
      <c r="AF5879" s="28">
        <v>1579615000</v>
      </c>
      <c r="AG5879" s="11"/>
    </row>
    <row r="5880">
      <c r="A5880" s="7" t="s">
        <v>7478</v>
      </c>
      <c r="B5880" s="5" t="s">
        <v>15426</v>
      </c>
      <c r="C5880" s="5" t="s">
        <v>23096</v>
      </c>
      <c r="D5880" s="5" t="str">
        <v>890409324099</v>
      </c>
      <c r="E5880" s="0" t="e">
        <f>+7 (495) 7279471</f>
        <v>#NAME?</v>
      </c>
      <c r="F5880" s="5" t="s">
        <v>42572</v>
      </c>
      <c r="G5880" s="5" t="s">
        <v>42573</v>
      </c>
      <c r="H5880" s="26">
        <v>2.5</v>
      </c>
      <c r="I5880" s="5" t="s">
        <v>42574</v>
      </c>
      <c r="J5880" s="5" t="s">
        <v>947</v>
      </c>
      <c r="K5880" s="5" t="s">
        <v>344</v>
      </c>
      <c r="L5880" s="5" t="s">
        <v>42575</v>
      </c>
      <c r="M5880" s="27">
        <v>61963811</v>
      </c>
      <c r="N5880" s="5"/>
      <c r="O5880" s="5" t="str">
        <v>7506005655</v>
      </c>
      <c r="P5880" s="27">
        <v>10000</v>
      </c>
      <c r="Q5880" s="5" t="s">
        <v>49207</v>
      </c>
      <c r="R5880" s="5" t="s">
        <v>56829</v>
      </c>
      <c r="S5880" s="5" t="s">
        <v>58201</v>
      </c>
      <c r="T5880" s="28">
        <v>1306552000</v>
      </c>
      <c r="U5880" s="28"/>
      <c r="V5880" s="28">
        <v>1336264000</v>
      </c>
      <c r="W5880" s="28"/>
      <c r="X5880" s="28">
        <v>1456468000</v>
      </c>
      <c r="Y5880" s="28">
        <v>5998478000</v>
      </c>
      <c r="Z5880" s="28">
        <v>2166357000</v>
      </c>
      <c r="AA5880" s="28"/>
      <c r="AB5880" s="28">
        <v>100000000</v>
      </c>
      <c r="AC5880" s="28">
        <v>3376674000</v>
      </c>
      <c r="AD5880" s="28">
        <v>2166367000</v>
      </c>
      <c r="AE5880" s="28">
        <v>18065282000</v>
      </c>
      <c r="AF5880" s="28">
        <v>1960785000</v>
      </c>
      <c r="AG5880" s="11"/>
    </row>
    <row r="5881">
      <c r="A5881" s="7" t="s">
        <v>7479</v>
      </c>
      <c r="B5881" s="5" t="s">
        <v>15427</v>
      </c>
      <c r="C5881" s="5" t="s">
        <v>23097</v>
      </c>
      <c r="D5881" s="5" t="str">
        <v>772878981404</v>
      </c>
      <c r="E5881" s="0" t="e">
        <f>+7 (495) 7486601
+7 (495) 7486611</f>
        <v>#NAME?</v>
      </c>
      <c r="F5881" s="5" t="s">
        <v>42576</v>
      </c>
      <c r="G5881" s="5" t="s">
        <v>42577</v>
      </c>
      <c r="H5881" s="26">
        <v>14.5</v>
      </c>
      <c r="I5881" s="5" t="s">
        <v>42578</v>
      </c>
      <c r="J5881" s="5" t="s">
        <v>26607</v>
      </c>
      <c r="K5881" s="5" t="s">
        <v>344</v>
      </c>
      <c r="L5881" s="5" t="s">
        <v>42579</v>
      </c>
      <c r="M5881" s="27"/>
      <c r="N5881" s="5"/>
      <c r="O5881" s="5" t="str">
        <v>7701791321</v>
      </c>
      <c r="P5881" s="27">
        <v>13102586014</v>
      </c>
      <c r="Q5881" s="5" t="s">
        <v>58202</v>
      </c>
      <c r="R5881" s="5"/>
      <c r="S5881" s="5" t="s">
        <v>49271</v>
      </c>
      <c r="T5881" s="28">
        <v>42395743000</v>
      </c>
      <c r="U5881" s="28"/>
      <c r="V5881" s="28">
        <v>10274135000</v>
      </c>
      <c r="W5881" s="28">
        <v>2512000000</v>
      </c>
      <c r="X5881" s="28">
        <v>216396000</v>
      </c>
      <c r="Y5881" s="28">
        <v>62543602000</v>
      </c>
      <c r="Z5881" s="28">
        <v>27027351000</v>
      </c>
      <c r="AA5881" s="28"/>
      <c r="AB5881" s="28"/>
      <c r="AC5881" s="28">
        <v>9853823000</v>
      </c>
      <c r="AD5881" s="28">
        <v>40949717000</v>
      </c>
      <c r="AE5881" s="28">
        <v>114235321000</v>
      </c>
      <c r="AF5881" s="28">
        <v>9718400000</v>
      </c>
      <c r="AG5881" s="11"/>
    </row>
    <row r="5882">
      <c r="A5882" s="7" t="s">
        <v>7480</v>
      </c>
      <c r="B5882" s="5" t="s">
        <v>15428</v>
      </c>
      <c r="C5882" s="5" t="s">
        <v>23098</v>
      </c>
      <c r="D5882" s="5" t="str">
        <v>774307479232</v>
      </c>
      <c r="E5882" s="0" t="e">
        <f>+7 (495) 2345437
+7 (495) 2345439
+7 (495) 2413704
+7 (499) 2413704
+7 (905) 2619492</f>
        <v>#NAME?</v>
      </c>
      <c r="F5882" s="5" t="s">
        <v>42580</v>
      </c>
      <c r="G5882" s="5"/>
      <c r="H5882" s="26">
        <v>16</v>
      </c>
      <c r="I5882" s="5" t="s">
        <v>42581</v>
      </c>
      <c r="J5882" s="5" t="s">
        <v>30218</v>
      </c>
      <c r="K5882" s="5" t="s">
        <v>344</v>
      </c>
      <c r="L5882" s="5" t="s">
        <v>42582</v>
      </c>
      <c r="M5882" s="27"/>
      <c r="N5882" s="5"/>
      <c r="O5882" s="5" t="str">
        <v>7743632267</v>
      </c>
      <c r="P5882" s="27">
        <v>15000000</v>
      </c>
      <c r="Q5882" s="5" t="s">
        <v>49009</v>
      </c>
      <c r="R5882" s="5"/>
      <c r="S5882" s="5" t="s">
        <v>49010</v>
      </c>
      <c r="T5882" s="28">
        <v>53120000</v>
      </c>
      <c r="U5882" s="28"/>
      <c r="V5882" s="28">
        <v>506497000</v>
      </c>
      <c r="W5882" s="28">
        <v>1439000</v>
      </c>
      <c r="X5882" s="28">
        <v>26338000</v>
      </c>
      <c r="Y5882" s="28">
        <v>1461309000</v>
      </c>
      <c r="Z5882" s="28">
        <v>454080000</v>
      </c>
      <c r="AA5882" s="28">
        <v>593902000</v>
      </c>
      <c r="AB5882" s="28">
        <v>92000</v>
      </c>
      <c r="AC5882" s="28">
        <v>396731000</v>
      </c>
      <c r="AD5882" s="28">
        <v>469080000</v>
      </c>
      <c r="AE5882" s="28">
        <v>7481837000</v>
      </c>
      <c r="AF5882" s="28">
        <v>76978000</v>
      </c>
      <c r="AG5882" s="11"/>
    </row>
    <row r="5883">
      <c r="A5883" s="7" t="s">
        <v>7481</v>
      </c>
      <c r="B5883" s="5" t="s">
        <v>15429</v>
      </c>
      <c r="C5883" s="5" t="s">
        <v>23099</v>
      </c>
      <c r="D5883" s="5" t="str">
        <v>262401636697</v>
      </c>
      <c r="E5883" s="0" t="e">
        <f>+7 (812) 4545999
+7 (929) 1622948</f>
        <v>#NAME?</v>
      </c>
      <c r="F5883" s="5" t="s">
        <v>42583</v>
      </c>
      <c r="G5883" s="5"/>
      <c r="H5883" s="26">
        <v>9.5</v>
      </c>
      <c r="I5883" s="5" t="s">
        <v>42584</v>
      </c>
      <c r="J5883" s="5" t="s">
        <v>807</v>
      </c>
      <c r="K5883" s="5" t="s">
        <v>344</v>
      </c>
      <c r="L5883" s="5" t="s">
        <v>42585</v>
      </c>
      <c r="M5883" s="27">
        <v>1177411</v>
      </c>
      <c r="N5883" s="5" t="s">
        <v>58203</v>
      </c>
      <c r="O5883" s="5" t="str">
        <v>7728859070</v>
      </c>
      <c r="P5883" s="27">
        <v>500000</v>
      </c>
      <c r="Q5883" s="5" t="s">
        <v>58204</v>
      </c>
      <c r="R5883" s="5"/>
      <c r="S5883" s="5" t="s">
        <v>58205</v>
      </c>
      <c r="T5883" s="28">
        <v>221207000</v>
      </c>
      <c r="U5883" s="28"/>
      <c r="V5883" s="28">
        <v>772974000</v>
      </c>
      <c r="W5883" s="28">
        <v>321075000</v>
      </c>
      <c r="X5883" s="28">
        <v>1475855000</v>
      </c>
      <c r="Y5883" s="28">
        <v>3383867000</v>
      </c>
      <c r="Z5883" s="28">
        <v>2282177000</v>
      </c>
      <c r="AA5883" s="28"/>
      <c r="AB5883" s="28"/>
      <c r="AC5883" s="28">
        <v>1084984000</v>
      </c>
      <c r="AD5883" s="28">
        <v>2297529000</v>
      </c>
      <c r="AE5883" s="28">
        <v>7799343000</v>
      </c>
      <c r="AF5883" s="28">
        <v>2107781000</v>
      </c>
      <c r="AG5883" s="11"/>
    </row>
    <row r="5884">
      <c r="A5884" s="7" t="s">
        <v>7482</v>
      </c>
      <c r="B5884" s="5" t="s">
        <v>15430</v>
      </c>
      <c r="C5884" s="5" t="s">
        <v>20824</v>
      </c>
      <c r="D5884" s="5" t="str">
        <v>504105278822</v>
      </c>
      <c r="E5884" s="0" t="e">
        <f>+7 (961) 4994391
+7 (8793) 358517
+7 (87934) 22573
+7 (87934) 22795
+7 (87934) 23106
+7 (87934) 23145
+7 (87934) 26231</f>
        <v>#NAME?</v>
      </c>
      <c r="F5884" s="5" t="s">
        <v>42586</v>
      </c>
      <c r="G5884" s="5" t="s">
        <v>42587</v>
      </c>
      <c r="H5884" s="26">
        <v>28.5</v>
      </c>
      <c r="I5884" s="5" t="s">
        <v>28630</v>
      </c>
      <c r="J5884" s="5" t="s">
        <v>364</v>
      </c>
      <c r="K5884" s="5" t="s">
        <v>344</v>
      </c>
      <c r="L5884" s="5"/>
      <c r="M5884" s="27">
        <v>664865516</v>
      </c>
      <c r="N5884" s="5"/>
      <c r="O5884" s="5" t="str">
        <v>2632019360</v>
      </c>
      <c r="P5884" s="27">
        <v>500000</v>
      </c>
      <c r="Q5884" s="5" t="s">
        <v>58206</v>
      </c>
      <c r="R5884" s="5"/>
      <c r="S5884" s="5" t="s">
        <v>51387</v>
      </c>
      <c r="T5884" s="28">
        <v>181553000</v>
      </c>
      <c r="U5884" s="28"/>
      <c r="V5884" s="28">
        <v>3275626000</v>
      </c>
      <c r="W5884" s="28">
        <v>249000000</v>
      </c>
      <c r="X5884" s="28">
        <v>3332719000</v>
      </c>
      <c r="Y5884" s="28">
        <v>9139464000</v>
      </c>
      <c r="Z5884" s="28">
        <v>273900000</v>
      </c>
      <c r="AA5884" s="28"/>
      <c r="AB5884" s="28"/>
      <c r="AC5884" s="28">
        <v>8747682000</v>
      </c>
      <c r="AD5884" s="28">
        <v>363639000</v>
      </c>
      <c r="AE5884" s="28">
        <v>3275528000</v>
      </c>
      <c r="AF5884" s="28">
        <v>19539000</v>
      </c>
      <c r="AG5884" s="11"/>
    </row>
    <row r="5885">
      <c r="A5885" s="7" t="s">
        <v>7483</v>
      </c>
      <c r="B5885" s="5" t="s">
        <v>15431</v>
      </c>
      <c r="C5885" s="5" t="s">
        <v>23100</v>
      </c>
      <c r="D5885" s="5" t="str">
        <v>246402810600</v>
      </c>
      <c r="E5885" s="0" t="e">
        <f>+7 (391) 2649687
+7 (391) 2122154
+7 (391) 2122194
+7 (391) 2648872
+7 (391) 9226052
+7 (902) 9409673</f>
        <v>#NAME?</v>
      </c>
      <c r="F5885" s="5" t="s">
        <v>42588</v>
      </c>
      <c r="G5885" s="5" t="s">
        <v>42589</v>
      </c>
      <c r="H5885" s="26">
        <v>28</v>
      </c>
      <c r="I5885" s="5" t="s">
        <v>42590</v>
      </c>
      <c r="J5885" s="5" t="s">
        <v>26992</v>
      </c>
      <c r="K5885" s="5" t="s">
        <v>344</v>
      </c>
      <c r="L5885" s="5" t="s">
        <v>42591</v>
      </c>
      <c r="M5885" s="27">
        <v>13635902</v>
      </c>
      <c r="N5885" s="5" t="s">
        <v>58207</v>
      </c>
      <c r="O5885" s="5" t="str">
        <v>2464023435</v>
      </c>
      <c r="P5885" s="27">
        <v>20009000</v>
      </c>
      <c r="Q5885" s="5" t="s">
        <v>58208</v>
      </c>
      <c r="R5885" s="5"/>
      <c r="S5885" s="5" t="s">
        <v>49704</v>
      </c>
      <c r="T5885" s="28">
        <v>1273080000</v>
      </c>
      <c r="U5885" s="28"/>
      <c r="V5885" s="28">
        <v>176722000</v>
      </c>
      <c r="W5885" s="28">
        <v>3075000</v>
      </c>
      <c r="X5885" s="28">
        <v>1506018000</v>
      </c>
      <c r="Y5885" s="28">
        <v>3324471000</v>
      </c>
      <c r="Z5885" s="28">
        <v>2977690000</v>
      </c>
      <c r="AA5885" s="28"/>
      <c r="AB5885" s="28"/>
      <c r="AC5885" s="28">
        <v>239879000</v>
      </c>
      <c r="AD5885" s="28">
        <v>3000451000</v>
      </c>
      <c r="AE5885" s="28">
        <v>5065277000</v>
      </c>
      <c r="AF5885" s="28">
        <v>1524802000</v>
      </c>
      <c r="AG5885" s="11"/>
    </row>
    <row r="5886">
      <c r="A5886" s="7" t="s">
        <v>7484</v>
      </c>
      <c r="B5886" s="5" t="s">
        <v>15432</v>
      </c>
      <c r="C5886" s="5" t="s">
        <v>23101</v>
      </c>
      <c r="D5886" s="5" t="str">
        <v>501302247401</v>
      </c>
      <c r="E5886" s="0" t="e">
        <f>+7 (3422) 999963
+7 (345) 2399392
+7 (3472) 660552
+7 (3472) 660811
+7 (381) 2701004
+7 (383) 2898008
+7 (383) 3809399
+7 (384) 2632593
+7 (3843) 756465
+7 (385) 2692192
+7 (3952) 500181
+7 (3952) 500618
+7 (473) 2391561
+7 (495) 4116905
+7 (495) 4118413</f>
        <v>#NAME?</v>
      </c>
      <c r="F5886" s="5" t="s">
        <v>42592</v>
      </c>
      <c r="G5886" s="5" t="s">
        <v>42593</v>
      </c>
      <c r="H5886" s="26">
        <v>17.5</v>
      </c>
      <c r="I5886" s="5" t="s">
        <v>42594</v>
      </c>
      <c r="J5886" s="5" t="s">
        <v>25195</v>
      </c>
      <c r="K5886" s="5" t="s">
        <v>344</v>
      </c>
      <c r="L5886" s="5" t="s">
        <v>42595</v>
      </c>
      <c r="M5886" s="27"/>
      <c r="N5886" s="5"/>
      <c r="O5886" s="5" t="str">
        <v>7701599226</v>
      </c>
      <c r="P5886" s="27">
        <v>1186120305</v>
      </c>
      <c r="Q5886" s="5" t="s">
        <v>49021</v>
      </c>
      <c r="R5886" s="5"/>
      <c r="S5886" s="5" t="s">
        <v>58209</v>
      </c>
      <c r="T5886" s="28">
        <v>5615237000</v>
      </c>
      <c r="U5886" s="28">
        <v>681114000</v>
      </c>
      <c r="V5886" s="28">
        <v>2781553000</v>
      </c>
      <c r="W5886" s="28">
        <v>4259796000</v>
      </c>
      <c r="X5886" s="28">
        <v>938681000</v>
      </c>
      <c r="Y5886" s="28">
        <v>22417831000</v>
      </c>
      <c r="Z5886" s="28">
        <v>8139429000</v>
      </c>
      <c r="AA5886" s="28">
        <v>300000000</v>
      </c>
      <c r="AB5886" s="28">
        <v>2502000</v>
      </c>
      <c r="AC5886" s="28">
        <v>5135258000</v>
      </c>
      <c r="AD5886" s="28">
        <v>9325549000</v>
      </c>
      <c r="AE5886" s="28">
        <v>27486700000</v>
      </c>
      <c r="AF5886" s="28">
        <v>2583973000</v>
      </c>
      <c r="AG5886" s="11"/>
    </row>
    <row r="5887">
      <c r="A5887" s="7" t="s">
        <v>7485</v>
      </c>
      <c r="B5887" s="5" t="s">
        <v>15433</v>
      </c>
      <c r="C5887" s="5" t="s">
        <v>23102</v>
      </c>
      <c r="D5887" s="5" t="str">
        <v>773316962596</v>
      </c>
      <c r="E5887" s="0" t="e">
        <f>+7 (495) 1589748
+7 (499) 4589748
+7 (499) 1589743
+7 (499) 1589748
+7 (499) 1589821</f>
        <v>#NAME?</v>
      </c>
      <c r="F5887" s="5" t="s">
        <v>42596</v>
      </c>
      <c r="G5887" s="5" t="s">
        <v>42597</v>
      </c>
      <c r="H5887" s="26">
        <v>15</v>
      </c>
      <c r="I5887" s="5"/>
      <c r="J5887" s="5" t="s">
        <v>364</v>
      </c>
      <c r="K5887" s="5" t="s">
        <v>344</v>
      </c>
      <c r="L5887" s="5"/>
      <c r="M5887" s="27">
        <v>55081018</v>
      </c>
      <c r="N5887" s="5" t="s">
        <v>58210</v>
      </c>
      <c r="O5887" s="5" t="str">
        <v>7714734610</v>
      </c>
      <c r="P5887" s="27">
        <v>10000</v>
      </c>
      <c r="Q5887" s="5" t="s">
        <v>58211</v>
      </c>
      <c r="R5887" s="5"/>
      <c r="S5887" s="5" t="s">
        <v>58212</v>
      </c>
      <c r="T5887" s="28">
        <v>530052000</v>
      </c>
      <c r="U5887" s="28"/>
      <c r="V5887" s="28">
        <v>1991871000</v>
      </c>
      <c r="W5887" s="28">
        <v>123000000</v>
      </c>
      <c r="X5887" s="28">
        <v>1249638000</v>
      </c>
      <c r="Y5887" s="28">
        <v>4917238000</v>
      </c>
      <c r="Z5887" s="28">
        <v>331551000</v>
      </c>
      <c r="AA5887" s="28"/>
      <c r="AB5887" s="28"/>
      <c r="AC5887" s="28">
        <v>3974588000</v>
      </c>
      <c r="AD5887" s="28">
        <v>613868000</v>
      </c>
      <c r="AE5887" s="28">
        <v>5289458000</v>
      </c>
      <c r="AF5887" s="28">
        <v>185850000</v>
      </c>
      <c r="AG5887" s="11"/>
    </row>
    <row r="5888">
      <c r="A5888" s="7" t="s">
        <v>7486</v>
      </c>
      <c r="B5888" s="5" t="s">
        <v>15434</v>
      </c>
      <c r="C5888" s="5" t="s">
        <v>23103</v>
      </c>
      <c r="D5888" s="5" t="str">
        <v>593300185013</v>
      </c>
      <c r="E5888" s="0" t="e">
        <f>+7 (902) 7936773
+7 (34242) 63168
+7 (34242) 63187
+7 (34242) 65610
+7 (34242) 65614</f>
        <v>#NAME?</v>
      </c>
      <c r="F5888" s="5" t="s">
        <v>42598</v>
      </c>
      <c r="G5888" s="5" t="s">
        <v>42599</v>
      </c>
      <c r="H5888" s="26">
        <v>14</v>
      </c>
      <c r="I5888" s="5" t="s">
        <v>42600</v>
      </c>
      <c r="J5888" s="5" t="s">
        <v>467</v>
      </c>
      <c r="K5888" s="5" t="s">
        <v>344</v>
      </c>
      <c r="L5888" s="5" t="s">
        <v>42601</v>
      </c>
      <c r="M5888" s="27">
        <v>946988523</v>
      </c>
      <c r="N5888" s="5" t="s">
        <v>58213</v>
      </c>
      <c r="O5888" s="5" t="str">
        <v>5911058276</v>
      </c>
      <c r="P5888" s="27">
        <v>1000000</v>
      </c>
      <c r="Q5888" s="5" t="s">
        <v>58214</v>
      </c>
      <c r="R5888" s="5"/>
      <c r="S5888" s="5" t="s">
        <v>58215</v>
      </c>
      <c r="T5888" s="28">
        <v>635223000</v>
      </c>
      <c r="U5888" s="28"/>
      <c r="V5888" s="28">
        <v>465642000</v>
      </c>
      <c r="W5888" s="28"/>
      <c r="X5888" s="28">
        <v>1139283000</v>
      </c>
      <c r="Y5888" s="28">
        <v>2815790000</v>
      </c>
      <c r="Z5888" s="28">
        <v>373496000</v>
      </c>
      <c r="AA5888" s="28">
        <v>238350000</v>
      </c>
      <c r="AB5888" s="28">
        <v>4458000</v>
      </c>
      <c r="AC5888" s="28">
        <v>2169525000</v>
      </c>
      <c r="AD5888" s="28">
        <v>374496000</v>
      </c>
      <c r="AE5888" s="28">
        <v>3307288000</v>
      </c>
      <c r="AF5888" s="28">
        <v>107758000</v>
      </c>
      <c r="AG5888" s="11"/>
    </row>
    <row r="5889">
      <c r="A5889" s="7" t="s">
        <v>7487</v>
      </c>
      <c r="B5889" s="5" t="s">
        <v>15435</v>
      </c>
      <c r="C5889" s="5" t="s">
        <v>23104</v>
      </c>
      <c r="D5889" s="5" t="str">
        <v>672402479652</v>
      </c>
      <c r="F5889" s="5" t="s">
        <v>42602</v>
      </c>
      <c r="G5889" s="5"/>
      <c r="H5889" s="26">
        <v>5</v>
      </c>
      <c r="I5889" s="5" t="s">
        <v>42603</v>
      </c>
      <c r="J5889" s="5" t="s">
        <v>364</v>
      </c>
      <c r="K5889" s="5" t="s">
        <v>344</v>
      </c>
      <c r="L5889" s="5" t="s">
        <v>42604</v>
      </c>
      <c r="M5889" s="27"/>
      <c r="N5889" s="5"/>
      <c r="O5889" s="5" t="str">
        <v>7727342987</v>
      </c>
      <c r="P5889" s="27">
        <v>20000</v>
      </c>
      <c r="Q5889" s="5" t="s">
        <v>694</v>
      </c>
      <c r="R5889" s="5" t="s">
        <v>58216</v>
      </c>
      <c r="S5889" s="5" t="s">
        <v>58217</v>
      </c>
      <c r="T5889" s="28">
        <v>107252000</v>
      </c>
      <c r="U5889" s="28"/>
      <c r="V5889" s="28">
        <v>7303569000</v>
      </c>
      <c r="W5889" s="28"/>
      <c r="X5889" s="28">
        <v>7086000</v>
      </c>
      <c r="Y5889" s="28">
        <v>9770018000</v>
      </c>
      <c r="Z5889" s="28">
        <v>160211000</v>
      </c>
      <c r="AA5889" s="28"/>
      <c r="AB5889" s="28">
        <v>387000</v>
      </c>
      <c r="AC5889" s="28">
        <v>9609788000</v>
      </c>
      <c r="AD5889" s="28">
        <v>160231000</v>
      </c>
      <c r="AE5889" s="28">
        <v>14973691000</v>
      </c>
      <c r="AF5889" s="28">
        <v>45207000</v>
      </c>
      <c r="AG5889" s="11"/>
    </row>
    <row r="5890">
      <c r="A5890" s="7" t="s">
        <v>7488</v>
      </c>
      <c r="B5890" s="5" t="s">
        <v>15436</v>
      </c>
      <c r="C5890" s="5" t="s">
        <v>23105</v>
      </c>
      <c r="D5890" s="5" t="str">
        <v>772131426569</v>
      </c>
      <c r="E5890" s="0" t="e">
        <f>+7 (968) 6677099
+7 (968) 6677101
+7 (495) 6953900
+7 (499) 2340524</f>
        <v>#NAME?</v>
      </c>
      <c r="F5890" s="5" t="s">
        <v>42605</v>
      </c>
      <c r="G5890" s="5" t="s">
        <v>42606</v>
      </c>
      <c r="H5890" s="26">
        <v>19.5</v>
      </c>
      <c r="I5890" s="5" t="s">
        <v>42607</v>
      </c>
      <c r="J5890" s="5" t="s">
        <v>785</v>
      </c>
      <c r="K5890" s="5" t="s">
        <v>344</v>
      </c>
      <c r="L5890" s="5" t="s">
        <v>42608</v>
      </c>
      <c r="M5890" s="27"/>
      <c r="N5890" s="5" t="s">
        <v>58218</v>
      </c>
      <c r="O5890" s="5" t="str">
        <v>7717149060</v>
      </c>
      <c r="P5890" s="27">
        <v>10000</v>
      </c>
      <c r="Q5890" s="5" t="s">
        <v>53593</v>
      </c>
      <c r="R5890" s="5"/>
      <c r="S5890" s="5" t="s">
        <v>58219</v>
      </c>
      <c r="T5890" s="28">
        <v>87329000</v>
      </c>
      <c r="U5890" s="28"/>
      <c r="V5890" s="28">
        <v>681928000</v>
      </c>
      <c r="W5890" s="28"/>
      <c r="X5890" s="28">
        <v>74840000</v>
      </c>
      <c r="Y5890" s="28">
        <v>853029000</v>
      </c>
      <c r="Z5890" s="28">
        <v>95546000</v>
      </c>
      <c r="AA5890" s="28"/>
      <c r="AB5890" s="28"/>
      <c r="AC5890" s="28">
        <v>754878000</v>
      </c>
      <c r="AD5890" s="28">
        <v>95556000</v>
      </c>
      <c r="AE5890" s="28">
        <v>3530387000</v>
      </c>
      <c r="AF5890" s="28">
        <v>427367000</v>
      </c>
      <c r="AG5890" s="11"/>
    </row>
    <row r="5891">
      <c r="A5891" s="7" t="s">
        <v>7488</v>
      </c>
      <c r="B5891" s="5" t="s">
        <v>15437</v>
      </c>
      <c r="C5891" s="5" t="s">
        <v>17724</v>
      </c>
      <c r="D5891" s="5" t="str">
        <v>780431992776</v>
      </c>
      <c r="E5891" s="0" t="e">
        <f>+7 (812) 3477133
+7 (812) 4310441
+7 (812) 4311979
+7 (812) 6776975</f>
        <v>#NAME?</v>
      </c>
      <c r="F5891" s="5" t="s">
        <v>42609</v>
      </c>
      <c r="G5891" s="5" t="s">
        <v>42610</v>
      </c>
      <c r="H5891" s="26">
        <v>23</v>
      </c>
      <c r="I5891" s="5" t="s">
        <v>42611</v>
      </c>
      <c r="J5891" s="5" t="s">
        <v>30025</v>
      </c>
      <c r="K5891" s="5" t="s">
        <v>344</v>
      </c>
      <c r="L5891" s="5" t="s">
        <v>42612</v>
      </c>
      <c r="M5891" s="27">
        <v>2993284</v>
      </c>
      <c r="N5891" s="5" t="s">
        <v>58220</v>
      </c>
      <c r="O5891" s="5" t="str">
        <v>7810183813</v>
      </c>
      <c r="P5891" s="27">
        <v>10000</v>
      </c>
      <c r="Q5891" s="5" t="s">
        <v>58221</v>
      </c>
      <c r="R5891" s="5"/>
      <c r="S5891" s="5" t="s">
        <v>58222</v>
      </c>
      <c r="T5891" s="28">
        <v>508969000</v>
      </c>
      <c r="U5891" s="28">
        <v>3000</v>
      </c>
      <c r="V5891" s="28">
        <v>3610644000</v>
      </c>
      <c r="W5891" s="28">
        <v>179799000</v>
      </c>
      <c r="X5891" s="28">
        <v>957412000</v>
      </c>
      <c r="Y5891" s="28">
        <v>8061137000</v>
      </c>
      <c r="Z5891" s="28">
        <v>2331593000</v>
      </c>
      <c r="AA5891" s="28"/>
      <c r="AB5891" s="28"/>
      <c r="AC5891" s="28">
        <v>5729535000</v>
      </c>
      <c r="AD5891" s="28">
        <v>2332186000</v>
      </c>
      <c r="AE5891" s="28">
        <v>7711371000</v>
      </c>
      <c r="AF5891" s="28">
        <v>1106061000</v>
      </c>
      <c r="AG5891" s="11"/>
    </row>
    <row r="5892">
      <c r="A5892" s="7" t="s">
        <v>7489</v>
      </c>
      <c r="B5892" s="5" t="s">
        <v>15438</v>
      </c>
      <c r="C5892" s="5" t="s">
        <v>23106</v>
      </c>
      <c r="D5892" s="5" t="str">
        <v>504512119909</v>
      </c>
      <c r="E5892" s="0" t="e">
        <f>+7 (916) 2006800</f>
        <v>#NAME?</v>
      </c>
      <c r="F5892" s="5" t="s">
        <v>42613</v>
      </c>
      <c r="G5892" s="5"/>
      <c r="H5892" s="26">
        <v>19.5</v>
      </c>
      <c r="I5892" s="5" t="s">
        <v>42614</v>
      </c>
      <c r="J5892" s="5" t="s">
        <v>487</v>
      </c>
      <c r="K5892" s="5" t="s">
        <v>380</v>
      </c>
      <c r="L5892" s="5" t="s">
        <v>36020</v>
      </c>
      <c r="M5892" s="27"/>
      <c r="N5892" s="5"/>
      <c r="O5892" s="5" t="str">
        <v>7715500445</v>
      </c>
      <c r="P5892" s="27">
        <v>10000</v>
      </c>
      <c r="Q5892" s="5"/>
      <c r="R5892" s="5"/>
      <c r="S5892" s="5" t="s">
        <v>49110</v>
      </c>
      <c r="T5892" s="28"/>
      <c r="U5892" s="28"/>
      <c r="V5892" s="28">
        <v>9642000</v>
      </c>
      <c r="W5892" s="28"/>
      <c r="X5892" s="28">
        <v>119000</v>
      </c>
      <c r="Y5892" s="28">
        <v>9842000</v>
      </c>
      <c r="Z5892" s="28">
        <v>5843000</v>
      </c>
      <c r="AA5892" s="28"/>
      <c r="AB5892" s="28"/>
      <c r="AC5892" s="28">
        <v>3989000</v>
      </c>
      <c r="AD5892" s="28">
        <v>5853000</v>
      </c>
      <c r="AE5892" s="28">
        <v>6843485000</v>
      </c>
      <c r="AF5892" s="28">
        <v>1825000</v>
      </c>
      <c r="AG5892" s="11"/>
    </row>
    <row r="5893">
      <c r="A5893" s="7" t="s">
        <v>7490</v>
      </c>
      <c r="B5893" s="5" t="s">
        <v>15439</v>
      </c>
      <c r="C5893" s="5" t="s">
        <v>23107</v>
      </c>
      <c r="D5893" s="5" t="str">
        <v>524300992127</v>
      </c>
      <c r="E5893" s="0" t="e">
        <f>+7 (3422) 566232
+7 (3432) 284222
+7 (3466) 296551
+7 (3512) 621869
+7 (35323) 7247
+7 (381) 2368303
+7 (383) 3478707
+7 (390) 2305904
+7 (391) 2055126
+7 (3952) 504404
+7 (416) 2505224
+7 (421) 2331553
+7 (421) 2460900
+7 (421) 2549787
+7 (472) 2213293</f>
        <v>#NAME?</v>
      </c>
      <c r="F5893" s="5"/>
      <c r="G5893" s="5" t="s">
        <v>42615</v>
      </c>
      <c r="H5893" s="26">
        <v>20</v>
      </c>
      <c r="I5893" s="5" t="s">
        <v>42616</v>
      </c>
      <c r="J5893" s="5" t="s">
        <v>26552</v>
      </c>
      <c r="K5893" s="5" t="s">
        <v>344</v>
      </c>
      <c r="L5893" s="5" t="s">
        <v>39298</v>
      </c>
      <c r="M5893" s="27"/>
      <c r="N5893" s="5" t="s">
        <v>58223</v>
      </c>
      <c r="O5893" s="5" t="str">
        <v>5262115030</v>
      </c>
      <c r="P5893" s="27">
        <v>10000</v>
      </c>
      <c r="Q5893" s="5" t="s">
        <v>49021</v>
      </c>
      <c r="R5893" s="5"/>
      <c r="S5893" s="5" t="s">
        <v>58224</v>
      </c>
      <c r="T5893" s="28"/>
      <c r="U5893" s="28"/>
      <c r="V5893" s="28">
        <v>776903000</v>
      </c>
      <c r="W5893" s="28"/>
      <c r="X5893" s="28">
        <v>65798000</v>
      </c>
      <c r="Y5893" s="28">
        <v>1415360000</v>
      </c>
      <c r="Z5893" s="28">
        <v>41018000</v>
      </c>
      <c r="AA5893" s="28">
        <v>295000000</v>
      </c>
      <c r="AB5893" s="28"/>
      <c r="AC5893" s="28">
        <v>1079333000</v>
      </c>
      <c r="AD5893" s="28">
        <v>41028000</v>
      </c>
      <c r="AE5893" s="28">
        <v>3095124000</v>
      </c>
      <c r="AF5893" s="28">
        <v>8735000</v>
      </c>
      <c r="AG5893" s="11"/>
    </row>
    <row r="5894">
      <c r="A5894" s="7" t="s">
        <v>7491</v>
      </c>
      <c r="B5894" s="5" t="s">
        <v>15440</v>
      </c>
      <c r="C5894" s="5" t="s">
        <v>23108</v>
      </c>
      <c r="D5894" s="5" t="str">
        <v>381000451903</v>
      </c>
      <c r="E5894" s="0" t="e">
        <f>+7 (902) 5132776
+7 (924) 6018007
+7 (3952) 796787
+7 (421) 2910052
+7 (938) 1290842</f>
        <v>#NAME?</v>
      </c>
      <c r="F5894" s="5" t="s">
        <v>42617</v>
      </c>
      <c r="G5894" s="5" t="s">
        <v>42618</v>
      </c>
      <c r="H5894" s="26">
        <v>14</v>
      </c>
      <c r="I5894" s="5" t="s">
        <v>42619</v>
      </c>
      <c r="J5894" s="5" t="s">
        <v>866</v>
      </c>
      <c r="K5894" s="5" t="s">
        <v>344</v>
      </c>
      <c r="L5894" s="5" t="s">
        <v>42620</v>
      </c>
      <c r="M5894" s="27">
        <v>2972321</v>
      </c>
      <c r="N5894" s="5" t="s">
        <v>58225</v>
      </c>
      <c r="O5894" s="5" t="str">
        <v>3811126641</v>
      </c>
      <c r="P5894" s="27">
        <v>100000000</v>
      </c>
      <c r="Q5894" s="5" t="s">
        <v>58227</v>
      </c>
      <c r="R5894" s="5"/>
      <c r="S5894" s="5" t="s">
        <v>58228</v>
      </c>
      <c r="T5894" s="28">
        <v>85897000</v>
      </c>
      <c r="U5894" s="28"/>
      <c r="V5894" s="28">
        <v>1531311000</v>
      </c>
      <c r="W5894" s="28">
        <v>319244000</v>
      </c>
      <c r="X5894" s="28">
        <v>205860000</v>
      </c>
      <c r="Y5894" s="28">
        <v>2171994000</v>
      </c>
      <c r="Z5894" s="28">
        <v>647085000</v>
      </c>
      <c r="AA5894" s="28"/>
      <c r="AB5894" s="28"/>
      <c r="AC5894" s="28">
        <v>1423010000</v>
      </c>
      <c r="AD5894" s="28">
        <v>747085000</v>
      </c>
      <c r="AE5894" s="28">
        <v>6244571000</v>
      </c>
      <c r="AF5894" s="28">
        <v>5071000</v>
      </c>
      <c r="AG5894" s="11"/>
    </row>
    <row r="5895">
      <c r="A5895" s="7" t="s">
        <v>7492</v>
      </c>
      <c r="B5895" s="5" t="s">
        <v>15441</v>
      </c>
      <c r="C5895" s="5" t="s">
        <v>23109</v>
      </c>
      <c r="D5895" s="5" t="str">
        <v>519010128091</v>
      </c>
      <c r="E5895" s="0" t="e">
        <f>+7 (815) 2596170
+7 (815) 2596171
+7 (815) 2799799</f>
        <v>#NAME?</v>
      </c>
      <c r="F5895" s="5" t="s">
        <v>42621</v>
      </c>
      <c r="G5895" s="5" t="s">
        <v>42622</v>
      </c>
      <c r="H5895" s="26">
        <v>24.5</v>
      </c>
      <c r="I5895" s="5" t="s">
        <v>42623</v>
      </c>
      <c r="J5895" s="5" t="s">
        <v>373</v>
      </c>
      <c r="K5895" s="5" t="s">
        <v>344</v>
      </c>
      <c r="L5895" s="5"/>
      <c r="M5895" s="27">
        <v>196000</v>
      </c>
      <c r="N5895" s="5" t="s">
        <v>58229</v>
      </c>
      <c r="O5895" s="5" t="str">
        <v>5191324073</v>
      </c>
      <c r="P5895" s="27">
        <v>675000</v>
      </c>
      <c r="Q5895" s="5" t="s">
        <v>58230</v>
      </c>
      <c r="R5895" s="5"/>
      <c r="S5895" s="5" t="s">
        <v>58231</v>
      </c>
      <c r="T5895" s="28">
        <v>829220000</v>
      </c>
      <c r="U5895" s="28"/>
      <c r="V5895" s="28">
        <v>1094214000</v>
      </c>
      <c r="W5895" s="28"/>
      <c r="X5895" s="28">
        <v>12496000</v>
      </c>
      <c r="Y5895" s="28">
        <v>2576126000</v>
      </c>
      <c r="Z5895" s="28">
        <v>794941000</v>
      </c>
      <c r="AA5895" s="28">
        <v>388075000</v>
      </c>
      <c r="AB5895" s="28">
        <v>749530000</v>
      </c>
      <c r="AC5895" s="28">
        <v>1297716000</v>
      </c>
      <c r="AD5895" s="28">
        <v>795616000</v>
      </c>
      <c r="AE5895" s="28">
        <v>9336664000</v>
      </c>
      <c r="AF5895" s="28">
        <v>432816000</v>
      </c>
      <c r="AG5895" s="11"/>
    </row>
    <row r="5896">
      <c r="A5896" s="7" t="s">
        <v>7493</v>
      </c>
      <c r="B5896" s="5" t="s">
        <v>15442</v>
      </c>
      <c r="C5896" s="5" t="s">
        <v>23110</v>
      </c>
      <c r="D5896" s="5" t="str">
        <v>772456899952</v>
      </c>
      <c r="E5896" s="0" t="e">
        <f>+7 (916) 5475858
+7 (916) 6509885</f>
        <v>#NAME?</v>
      </c>
      <c r="F5896" s="5" t="s">
        <v>42624</v>
      </c>
      <c r="G5896" s="5" t="s">
        <v>42625</v>
      </c>
      <c r="H5896" s="26">
        <v>5</v>
      </c>
      <c r="I5896" s="5"/>
      <c r="J5896" s="5" t="s">
        <v>34076</v>
      </c>
      <c r="K5896" s="5"/>
      <c r="L5896" s="5"/>
      <c r="M5896" s="27"/>
      <c r="N5896" s="5"/>
      <c r="O5896" s="5" t="str">
        <v>9709022748</v>
      </c>
      <c r="P5896" s="27"/>
      <c r="Q5896" s="5" t="s">
        <v>52334</v>
      </c>
      <c r="R5896" s="5"/>
      <c r="S5896" s="5" t="s">
        <v>58232</v>
      </c>
      <c r="T5896" s="28">
        <v>15314000</v>
      </c>
      <c r="U5896" s="28"/>
      <c r="V5896" s="28">
        <v>255509000</v>
      </c>
      <c r="W5896" s="28">
        <v>1100000000</v>
      </c>
      <c r="X5896" s="28">
        <v>534174000</v>
      </c>
      <c r="Y5896" s="28">
        <v>2041967000</v>
      </c>
      <c r="Z5896" s="28"/>
      <c r="AA5896" s="28"/>
      <c r="AB5896" s="28"/>
      <c r="AC5896" s="28">
        <v>2640991000</v>
      </c>
      <c r="AD5896" s="28">
        <v>-599721000</v>
      </c>
      <c r="AE5896" s="28">
        <v>4275580000</v>
      </c>
      <c r="AF5896" s="28">
        <v>-531427000</v>
      </c>
      <c r="AG5896" s="11"/>
    </row>
    <row r="5897">
      <c r="A5897" s="7" t="s">
        <v>7494</v>
      </c>
      <c r="B5897" s="5" t="s">
        <v>15443</v>
      </c>
      <c r="C5897" s="5" t="s">
        <v>23111</v>
      </c>
      <c r="D5897" s="5" t="str">
        <v>772014530157</v>
      </c>
      <c r="E5897" s="0" t="e">
        <f>+7 (499) 2687664
+7 (495) 1092277
+7 (495) 5777029
+7 (495) 6284413
+7 (495) 7236785
+7 (495) 7378060
+7 (495) 9284413</f>
        <v>#NAME?</v>
      </c>
      <c r="F5897" s="5" t="s">
        <v>42626</v>
      </c>
      <c r="G5897" s="5" t="s">
        <v>42627</v>
      </c>
      <c r="H5897" s="26">
        <v>25</v>
      </c>
      <c r="I5897" s="5" t="s">
        <v>42628</v>
      </c>
      <c r="J5897" s="5" t="s">
        <v>26447</v>
      </c>
      <c r="K5897" s="5" t="s">
        <v>344</v>
      </c>
      <c r="L5897" s="5" t="s">
        <v>42629</v>
      </c>
      <c r="M5897" s="27">
        <v>78982</v>
      </c>
      <c r="N5897" s="5"/>
      <c r="O5897" s="5" t="str">
        <v>7702215673</v>
      </c>
      <c r="P5897" s="27">
        <v>30000</v>
      </c>
      <c r="Q5897" s="5"/>
      <c r="R5897" s="5"/>
      <c r="S5897" s="5" t="s">
        <v>49029</v>
      </c>
      <c r="T5897" s="28">
        <v>191217000</v>
      </c>
      <c r="U5897" s="28"/>
      <c r="V5897" s="28">
        <v>345448000</v>
      </c>
      <c r="W5897" s="28"/>
      <c r="X5897" s="28">
        <v>85000</v>
      </c>
      <c r="Y5897" s="28">
        <v>919755000</v>
      </c>
      <c r="Z5897" s="28">
        <v>240030000</v>
      </c>
      <c r="AA5897" s="28">
        <v>9207000</v>
      </c>
      <c r="AB5897" s="28">
        <v>516691000</v>
      </c>
      <c r="AC5897" s="28">
        <v>656066000</v>
      </c>
      <c r="AD5897" s="28">
        <v>242784000</v>
      </c>
      <c r="AE5897" s="28">
        <v>4160908000</v>
      </c>
      <c r="AF5897" s="28">
        <v>75332000</v>
      </c>
      <c r="AG5897" s="11"/>
    </row>
    <row r="5898">
      <c r="A5898" s="7" t="s">
        <v>7495</v>
      </c>
      <c r="B5898" s="5" t="s">
        <v>15444</v>
      </c>
      <c r="C5898" s="5" t="s">
        <v>23112</v>
      </c>
      <c r="D5898" s="5" t="str">
        <v>773405176820</v>
      </c>
      <c r="E5898" s="0" t="e">
        <f>+7 (495) 6498459
+7 (916) 2224702
+7 (921) 3358621
+7 (999) 274144</f>
        <v>#NAME?</v>
      </c>
      <c r="F5898" s="5" t="s">
        <v>42630</v>
      </c>
      <c r="G5898" s="5" t="s">
        <v>42631</v>
      </c>
      <c r="H5898" s="26">
        <v>9</v>
      </c>
      <c r="I5898" s="5" t="s">
        <v>42632</v>
      </c>
      <c r="J5898" s="5" t="s">
        <v>28375</v>
      </c>
      <c r="K5898" s="5" t="s">
        <v>344</v>
      </c>
      <c r="L5898" s="5" t="s">
        <v>42633</v>
      </c>
      <c r="M5898" s="27"/>
      <c r="N5898" s="5"/>
      <c r="O5898" s="5" t="str">
        <v>7804525900</v>
      </c>
      <c r="P5898" s="27">
        <v>20000</v>
      </c>
      <c r="Q5898" s="5" t="s">
        <v>49009</v>
      </c>
      <c r="R5898" s="5"/>
      <c r="S5898" s="5" t="s">
        <v>49045</v>
      </c>
      <c r="T5898" s="28"/>
      <c r="U5898" s="28"/>
      <c r="V5898" s="28">
        <v>152242000</v>
      </c>
      <c r="W5898" s="28"/>
      <c r="X5898" s="28">
        <v>10558000</v>
      </c>
      <c r="Y5898" s="28">
        <v>163011000</v>
      </c>
      <c r="Z5898" s="28">
        <v>3908000</v>
      </c>
      <c r="AA5898" s="28"/>
      <c r="AB5898" s="28"/>
      <c r="AC5898" s="28">
        <v>159083000</v>
      </c>
      <c r="AD5898" s="28">
        <v>3928000</v>
      </c>
      <c r="AE5898" s="28">
        <v>4373329000</v>
      </c>
      <c r="AF5898" s="28">
        <v>14448000</v>
      </c>
      <c r="AG5898" s="11"/>
    </row>
    <row r="5899">
      <c r="A5899" s="7" t="s">
        <v>7496</v>
      </c>
      <c r="B5899" s="5" t="s">
        <v>15445</v>
      </c>
      <c r="C5899" s="5" t="s">
        <v>23113</v>
      </c>
      <c r="D5899" s="5" t="str">
        <v>773507386801</v>
      </c>
      <c r="E5899" s="0" t="e">
        <f>+7 (495) 2342222
+7 (495) 7889999</f>
        <v>#NAME?</v>
      </c>
      <c r="F5899" s="5"/>
      <c r="G5899" s="5" t="s">
        <v>42634</v>
      </c>
      <c r="H5899" s="26">
        <v>2</v>
      </c>
      <c r="I5899" s="5" t="s">
        <v>42635</v>
      </c>
      <c r="J5899" s="5" t="s">
        <v>26297</v>
      </c>
      <c r="K5899" s="5" t="s">
        <v>344</v>
      </c>
      <c r="L5899" s="5"/>
      <c r="M5899" s="27"/>
      <c r="N5899" s="5"/>
      <c r="O5899" s="5" t="str">
        <v>9717098243</v>
      </c>
      <c r="P5899" s="27">
        <v>10000</v>
      </c>
      <c r="Q5899" s="5"/>
      <c r="R5899" s="5"/>
      <c r="S5899" s="5" t="s">
        <v>49029</v>
      </c>
      <c r="T5899" s="28">
        <v>173845000</v>
      </c>
      <c r="U5899" s="28"/>
      <c r="V5899" s="28">
        <v>1822852000</v>
      </c>
      <c r="W5899" s="28"/>
      <c r="X5899" s="28">
        <v>1358148000</v>
      </c>
      <c r="Y5899" s="28">
        <v>3974215000</v>
      </c>
      <c r="Z5899" s="28">
        <v>529281000</v>
      </c>
      <c r="AA5899" s="28"/>
      <c r="AB5899" s="28"/>
      <c r="AC5899" s="28">
        <v>3324572000</v>
      </c>
      <c r="AD5899" s="28">
        <v>529291000</v>
      </c>
      <c r="AE5899" s="28">
        <v>10147106000</v>
      </c>
      <c r="AF5899" s="28">
        <v>400604000</v>
      </c>
      <c r="AG5899" s="11"/>
    </row>
    <row r="5900">
      <c r="A5900" s="7" t="s">
        <v>7497</v>
      </c>
      <c r="B5900" s="5" t="s">
        <v>15446</v>
      </c>
      <c r="C5900" s="5" t="s">
        <v>23114</v>
      </c>
      <c r="D5900" s="5" t="str">
        <v>773108338997</v>
      </c>
      <c r="E5900" s="0" t="e">
        <f>+7 (495) 7886556</f>
        <v>#NAME?</v>
      </c>
      <c r="F5900" s="5"/>
      <c r="G5900" s="5"/>
      <c r="H5900" s="26">
        <v>23.5</v>
      </c>
      <c r="I5900" s="5" t="s">
        <v>42636</v>
      </c>
      <c r="J5900" s="5" t="s">
        <v>373</v>
      </c>
      <c r="K5900" s="5" t="s">
        <v>344</v>
      </c>
      <c r="L5900" s="5" t="s">
        <v>42637</v>
      </c>
      <c r="M5900" s="27"/>
      <c r="N5900" s="5" t="s">
        <v>58233</v>
      </c>
      <c r="O5900" s="5" t="str">
        <v>7701224724</v>
      </c>
      <c r="P5900" s="27">
        <v>100000</v>
      </c>
      <c r="Q5900" s="5" t="s">
        <v>58234</v>
      </c>
      <c r="R5900" s="5"/>
      <c r="S5900" s="5" t="s">
        <v>58235</v>
      </c>
      <c r="T5900" s="28">
        <v>21676000</v>
      </c>
      <c r="U5900" s="28"/>
      <c r="V5900" s="28">
        <v>3601673000</v>
      </c>
      <c r="W5900" s="28">
        <v>107000000</v>
      </c>
      <c r="X5900" s="28">
        <v>28990000</v>
      </c>
      <c r="Y5900" s="28">
        <v>4170647000</v>
      </c>
      <c r="Z5900" s="28">
        <v>1344739000</v>
      </c>
      <c r="AA5900" s="28"/>
      <c r="AB5900" s="28">
        <v>1570300000</v>
      </c>
      <c r="AC5900" s="28">
        <v>2825775000</v>
      </c>
      <c r="AD5900" s="28">
        <v>1344839000</v>
      </c>
      <c r="AE5900" s="28">
        <v>43992866000</v>
      </c>
      <c r="AF5900" s="28">
        <v>566985000</v>
      </c>
      <c r="AG5900" s="11"/>
    </row>
    <row r="5901">
      <c r="A5901" s="7" t="s">
        <v>7498</v>
      </c>
      <c r="B5901" s="5" t="s">
        <v>15447</v>
      </c>
      <c r="C5901" s="5" t="s">
        <v>23115</v>
      </c>
      <c r="D5901" s="5" t="str">
        <v>312324099809</v>
      </c>
      <c r="E5901" s="0" t="e">
        <f>+7 (495) 9565796
+7 (812) 4498090
+7 (495) 5439897
+7 (495) 7875000
+7 (800) 5055500</f>
        <v>#NAME?</v>
      </c>
      <c r="F5901" s="5" t="s">
        <v>42638</v>
      </c>
      <c r="G5901" s="5" t="s">
        <v>42639</v>
      </c>
      <c r="H5901" s="26">
        <v>22.5</v>
      </c>
      <c r="I5901" s="5" t="s">
        <v>42640</v>
      </c>
      <c r="J5901" s="5" t="s">
        <v>25670</v>
      </c>
      <c r="K5901" s="5" t="s">
        <v>344</v>
      </c>
      <c r="L5901" s="5" t="s">
        <v>42641</v>
      </c>
      <c r="M5901" s="27">
        <v>41306592</v>
      </c>
      <c r="N5901" s="5" t="s">
        <v>58236</v>
      </c>
      <c r="O5901" s="5" t="str">
        <v>7705392920</v>
      </c>
      <c r="P5901" s="27">
        <v>82314031</v>
      </c>
      <c r="Q5901" s="5" t="s">
        <v>49009</v>
      </c>
      <c r="R5901" s="5"/>
      <c r="S5901" s="5" t="s">
        <v>49180</v>
      </c>
      <c r="T5901" s="28">
        <v>10340000</v>
      </c>
      <c r="U5901" s="28"/>
      <c r="V5901" s="28">
        <v>24580530000</v>
      </c>
      <c r="W5901" s="28"/>
      <c r="X5901" s="28">
        <v>21693739000</v>
      </c>
      <c r="Y5901" s="28">
        <v>46669693000</v>
      </c>
      <c r="Z5901" s="28">
        <v>44496372000</v>
      </c>
      <c r="AA5901" s="28"/>
      <c r="AB5901" s="28"/>
      <c r="AC5901" s="28">
        <v>2075086000</v>
      </c>
      <c r="AD5901" s="28">
        <v>44578686000</v>
      </c>
      <c r="AE5901" s="28">
        <v>13304672000</v>
      </c>
      <c r="AF5901" s="28">
        <v>39169452000</v>
      </c>
      <c r="AG5901" s="11"/>
    </row>
    <row r="5902">
      <c r="A5902" s="7" t="s">
        <v>7499</v>
      </c>
      <c r="B5902" s="5" t="s">
        <v>15448</v>
      </c>
      <c r="C5902" s="5" t="s">
        <v>23116</v>
      </c>
      <c r="D5902" s="5" t="str">
        <v>780529463271</v>
      </c>
      <c r="E5902" s="0" t="e">
        <f>+7 (812) 4492755
+7 (999) 7115500
+7 (921) 3829432
+7 (499) 7552155
+7 (800) 5500007</f>
        <v>#NAME?</v>
      </c>
      <c r="F5902" s="5" t="s">
        <v>42642</v>
      </c>
      <c r="G5902" s="5"/>
      <c r="H5902" s="26">
        <v>15.5</v>
      </c>
      <c r="I5902" s="5" t="s">
        <v>42643</v>
      </c>
      <c r="J5902" s="5" t="s">
        <v>31664</v>
      </c>
      <c r="K5902" s="5" t="s">
        <v>355</v>
      </c>
      <c r="L5902" s="5" t="s">
        <v>42644</v>
      </c>
      <c r="M5902" s="27">
        <v>156274</v>
      </c>
      <c r="N5902" s="5" t="s">
        <v>58237</v>
      </c>
      <c r="O5902" s="5" t="str">
        <v>7701725181</v>
      </c>
      <c r="P5902" s="27">
        <v>782547500</v>
      </c>
      <c r="Q5902" s="5" t="s">
        <v>49535</v>
      </c>
      <c r="R5902" s="5"/>
      <c r="S5902" s="5" t="s">
        <v>58238</v>
      </c>
      <c r="T5902" s="28">
        <v>101241000</v>
      </c>
      <c r="U5902" s="28"/>
      <c r="V5902" s="28">
        <v>2228964000</v>
      </c>
      <c r="W5902" s="28"/>
      <c r="X5902" s="28">
        <v>51454000</v>
      </c>
      <c r="Y5902" s="28">
        <v>25566285000</v>
      </c>
      <c r="Z5902" s="28">
        <v>1091720000</v>
      </c>
      <c r="AA5902" s="28"/>
      <c r="AB5902" s="28"/>
      <c r="AC5902" s="28">
        <v>10168259000</v>
      </c>
      <c r="AD5902" s="28">
        <v>14473864000</v>
      </c>
      <c r="AE5902" s="28">
        <v>39525951000</v>
      </c>
      <c r="AF5902" s="28">
        <v>-19017844000</v>
      </c>
      <c r="AG5902" s="11"/>
    </row>
    <row r="5903">
      <c r="A5903" s="7" t="s">
        <v>7500</v>
      </c>
      <c r="B5903" s="5" t="s">
        <v>15449</v>
      </c>
      <c r="C5903" s="5" t="s">
        <v>23117</v>
      </c>
      <c r="D5903" s="5" t="str">
        <v>732704204549</v>
      </c>
      <c r="E5903" s="0" t="e">
        <f>+7 (8412) 207093</f>
        <v>#NAME?</v>
      </c>
      <c r="F5903" s="5" t="s">
        <v>33112</v>
      </c>
      <c r="G5903" s="5"/>
      <c r="H5903" s="26">
        <v>2.5</v>
      </c>
      <c r="I5903" s="5" t="s">
        <v>33113</v>
      </c>
      <c r="J5903" s="5" t="s">
        <v>26997</v>
      </c>
      <c r="K5903" s="5" t="s">
        <v>344</v>
      </c>
      <c r="L5903" s="5" t="s">
        <v>1323</v>
      </c>
      <c r="M5903" s="27"/>
      <c r="N5903" s="5"/>
      <c r="O5903" s="5" t="str">
        <v>5837078851</v>
      </c>
      <c r="P5903" s="27">
        <v>250000</v>
      </c>
      <c r="Q5903" s="5"/>
      <c r="R5903" s="5"/>
      <c r="S5903" s="5" t="s">
        <v>49110</v>
      </c>
      <c r="T5903" s="28">
        <v>101699000</v>
      </c>
      <c r="U5903" s="28"/>
      <c r="V5903" s="28">
        <v>133077000</v>
      </c>
      <c r="W5903" s="28"/>
      <c r="X5903" s="28">
        <v>158824000</v>
      </c>
      <c r="Y5903" s="28">
        <v>1128851000</v>
      </c>
      <c r="Z5903" s="28">
        <v>183000</v>
      </c>
      <c r="AA5903" s="28"/>
      <c r="AB5903" s="28"/>
      <c r="AC5903" s="28">
        <v>1128418000</v>
      </c>
      <c r="AD5903" s="28">
        <v>433000</v>
      </c>
      <c r="AE5903" s="28">
        <v>7186739000</v>
      </c>
      <c r="AF5903" s="28">
        <v>54000</v>
      </c>
      <c r="AG5903" s="11"/>
    </row>
    <row r="5904">
      <c r="A5904" s="7" t="s">
        <v>7501</v>
      </c>
      <c r="B5904" s="5" t="s">
        <v>15450</v>
      </c>
      <c r="C5904" s="5" t="s">
        <v>23118</v>
      </c>
      <c r="D5904" s="5" t="str">
        <v>772973192199</v>
      </c>
      <c r="E5904" s="0" t="e">
        <f>+7 (916) 2700185
+7 (343) 2880104
+7 (3512) 9018
+7 (495) 1204096
+7 (495) 1540915
+7 (495) 2910742
+7 (495) 4016931
+7 (495) 4453639
+7 (495) 4453936
+7 (495) 9844177
+7 (499) 4449036
+7 (800) 5000522
+7 (812) 6025210
+7 (931) 93246
+7 (931) 93248</f>
        <v>#NAME?</v>
      </c>
      <c r="F5904" s="5" t="s">
        <v>42645</v>
      </c>
      <c r="G5904" s="5" t="s">
        <v>42646</v>
      </c>
      <c r="H5904" s="26">
        <v>5.5</v>
      </c>
      <c r="I5904" s="5" t="s">
        <v>42647</v>
      </c>
      <c r="J5904" s="5" t="s">
        <v>26256</v>
      </c>
      <c r="K5904" s="5" t="s">
        <v>344</v>
      </c>
      <c r="L5904" s="5"/>
      <c r="M5904" s="27"/>
      <c r="N5904" s="5" t="s">
        <v>58239</v>
      </c>
      <c r="O5904" s="5" t="str">
        <v>9701078611</v>
      </c>
      <c r="P5904" s="27">
        <v>16125</v>
      </c>
      <c r="Q5904" s="5" t="s">
        <v>49009</v>
      </c>
      <c r="R5904" s="5"/>
      <c r="S5904" s="5" t="s">
        <v>49045</v>
      </c>
      <c r="T5904" s="28">
        <v>30511000</v>
      </c>
      <c r="U5904" s="28">
        <v>1793717000</v>
      </c>
      <c r="V5904" s="28">
        <v>205647000</v>
      </c>
      <c r="W5904" s="28">
        <v>20000000</v>
      </c>
      <c r="X5904" s="28">
        <v>1173808000</v>
      </c>
      <c r="Y5904" s="28">
        <v>3340850000</v>
      </c>
      <c r="Z5904" s="28">
        <v>1171056000</v>
      </c>
      <c r="AA5904" s="28">
        <v>1680080000</v>
      </c>
      <c r="AB5904" s="28">
        <v>38959000</v>
      </c>
      <c r="AC5904" s="28">
        <v>389699000</v>
      </c>
      <c r="AD5904" s="28">
        <v>1271071000</v>
      </c>
      <c r="AE5904" s="28">
        <v>6860275000</v>
      </c>
      <c r="AF5904" s="28">
        <v>1724503000</v>
      </c>
      <c r="AG5904" s="11"/>
    </row>
    <row r="5905">
      <c r="A5905" s="7" t="s">
        <v>7502</v>
      </c>
      <c r="B5905" s="5" t="s">
        <v>15451</v>
      </c>
      <c r="C5905" s="5" t="s">
        <v>23119</v>
      </c>
      <c r="D5905" s="5" t="str">
        <v>631604082187</v>
      </c>
      <c r="E5905" s="0" t="e">
        <f>+7 (846) 2282235
+7 (846) 2282345
+7 (846) 6271717
+7 (84622) 82217
+7 (84622) 82220
+7 (84622) 82373
+7 (84622) 82406
+7 (84622) 82428
+7 (84622) 82457
+7 (84626) 96101
+7 (84627) 91210
+7 (84695) 26420
+7 (84695) 51717
+7 (84699) 26288
+7 (84699) 26742</f>
        <v>#NAME?</v>
      </c>
      <c r="F5905" s="5" t="s">
        <v>42648</v>
      </c>
      <c r="G5905" s="5" t="s">
        <v>42649</v>
      </c>
      <c r="H5905" s="26">
        <v>20.5</v>
      </c>
      <c r="I5905" s="5"/>
      <c r="J5905" s="5" t="s">
        <v>655</v>
      </c>
      <c r="K5905" s="5" t="s">
        <v>344</v>
      </c>
      <c r="L5905" s="5" t="s">
        <v>32766</v>
      </c>
      <c r="M5905" s="27">
        <v>120795</v>
      </c>
      <c r="N5905" s="5" t="s">
        <v>58241</v>
      </c>
      <c r="O5905" s="5" t="str">
        <v>6318101450</v>
      </c>
      <c r="P5905" s="27">
        <v>236442</v>
      </c>
      <c r="Q5905" s="5" t="s">
        <v>49009</v>
      </c>
      <c r="R5905" s="5"/>
      <c r="S5905" s="5" t="s">
        <v>57610</v>
      </c>
      <c r="T5905" s="28">
        <v>693471000</v>
      </c>
      <c r="U5905" s="28">
        <v>127519000</v>
      </c>
      <c r="V5905" s="28">
        <v>984367000</v>
      </c>
      <c r="W5905" s="28"/>
      <c r="X5905" s="28">
        <v>57166000</v>
      </c>
      <c r="Y5905" s="28">
        <v>3874247000</v>
      </c>
      <c r="Z5905" s="28">
        <v>2429012000</v>
      </c>
      <c r="AA5905" s="28"/>
      <c r="AB5905" s="28">
        <v>442027000</v>
      </c>
      <c r="AC5905" s="28">
        <v>1329595000</v>
      </c>
      <c r="AD5905" s="28">
        <v>2463677000</v>
      </c>
      <c r="AE5905" s="28">
        <v>6409282000</v>
      </c>
      <c r="AF5905" s="28">
        <v>487139000</v>
      </c>
      <c r="AG5905" s="11"/>
    </row>
    <row r="5906">
      <c r="A5906" s="7" t="s">
        <v>7503</v>
      </c>
      <c r="B5906" s="5" t="s">
        <v>15452</v>
      </c>
      <c r="C5906" s="5" t="s">
        <v>23120</v>
      </c>
      <c r="D5906" s="5" t="str">
        <v>781662773100</v>
      </c>
      <c r="E5906" s="0" t="e">
        <f>+7 (812) 3180515
+7 (3433) 443154
+7 (3433) 443155
+7 (383) 3637871
+7 (383) 3637872
+7 (473) 2777668
+7 (473) 2969697
+7 (4986) 595465
+7 (800) 2343355
+7 (800) 2347767
+7 (812) 3180545
+7 (812) 3364781
+7 (812) 3367051
+7 (846) 3443154
+7 (846) 3443155</f>
        <v>#NAME?</v>
      </c>
      <c r="F5906" s="5" t="s">
        <v>42650</v>
      </c>
      <c r="G5906" s="5" t="s">
        <v>42651</v>
      </c>
      <c r="H5906" s="26">
        <v>15.5</v>
      </c>
      <c r="I5906" s="5" t="s">
        <v>42652</v>
      </c>
      <c r="J5906" s="5" t="s">
        <v>1123</v>
      </c>
      <c r="K5906" s="5" t="s">
        <v>344</v>
      </c>
      <c r="L5906" s="5" t="s">
        <v>42653</v>
      </c>
      <c r="M5906" s="27">
        <v>3500000</v>
      </c>
      <c r="N5906" s="5" t="s">
        <v>58242</v>
      </c>
      <c r="O5906" s="5" t="str">
        <v>7805442438</v>
      </c>
      <c r="P5906" s="27">
        <v>12000</v>
      </c>
      <c r="Q5906" s="5" t="s">
        <v>49021</v>
      </c>
      <c r="R5906" s="5"/>
      <c r="S5906" s="5" t="s">
        <v>58243</v>
      </c>
      <c r="T5906" s="28">
        <v>23740000</v>
      </c>
      <c r="U5906" s="28"/>
      <c r="V5906" s="28">
        <v>751940000</v>
      </c>
      <c r="W5906" s="28">
        <v>336521000</v>
      </c>
      <c r="X5906" s="28">
        <v>13391000</v>
      </c>
      <c r="Y5906" s="28">
        <v>2331829000</v>
      </c>
      <c r="Z5906" s="28">
        <v>1108028000</v>
      </c>
      <c r="AA5906" s="28">
        <v>560184000</v>
      </c>
      <c r="AB5906" s="28">
        <v>97779000</v>
      </c>
      <c r="AC5906" s="28">
        <v>652987000</v>
      </c>
      <c r="AD5906" s="28">
        <v>1108050000</v>
      </c>
      <c r="AE5906" s="28">
        <v>3682527000</v>
      </c>
      <c r="AF5906" s="28">
        <v>333385000</v>
      </c>
      <c r="AG5906" s="11"/>
    </row>
    <row r="5907">
      <c r="A5907" s="7" t="s">
        <v>7504</v>
      </c>
      <c r="B5907" s="5" t="s">
        <v>15453</v>
      </c>
      <c r="C5907" s="5" t="s">
        <v>23121</v>
      </c>
      <c r="D5907" s="5" t="str">
        <v>770377647540</v>
      </c>
      <c r="E5907" s="0" t="e">
        <f>+7 (345) 2306331
+7 (345) 2696915
+7 (383) 3190153
+7 (383) 3195540
+7 (383) 3195551
+7 (383) 3195553
+7 (384) 2900189
+7 (3843) 779617
+7 (3952) 209034
+7 (3952) 347869
+7 (473) 2391269
+7 (485) 2587611
+7 (485) 2587612
+7 (495) 7907496
+7 (495) 9894757</f>
        <v>#NAME?</v>
      </c>
      <c r="F5907" s="5"/>
      <c r="G5907" s="5"/>
      <c r="H5907" s="26">
        <v>9.5</v>
      </c>
      <c r="I5907" s="5" t="s">
        <v>42654</v>
      </c>
      <c r="J5907" s="5" t="s">
        <v>373</v>
      </c>
      <c r="K5907" s="5" t="s">
        <v>344</v>
      </c>
      <c r="L5907" s="5" t="s">
        <v>42655</v>
      </c>
      <c r="M5907" s="27">
        <v>711913</v>
      </c>
      <c r="N5907" s="5"/>
      <c r="O5907" s="5" t="str">
        <v>7703797431</v>
      </c>
      <c r="P5907" s="27">
        <v>141900000</v>
      </c>
      <c r="Q5907" s="5" t="s">
        <v>49009</v>
      </c>
      <c r="R5907" s="5"/>
      <c r="S5907" s="5" t="s">
        <v>49066</v>
      </c>
      <c r="T5907" s="28">
        <v>51108000</v>
      </c>
      <c r="U5907" s="28"/>
      <c r="V5907" s="28">
        <v>302023000</v>
      </c>
      <c r="W5907" s="28"/>
      <c r="X5907" s="28">
        <v>572633000</v>
      </c>
      <c r="Y5907" s="28">
        <v>4297364000</v>
      </c>
      <c r="Z5907" s="28">
        <v>1683527000</v>
      </c>
      <c r="AA5907" s="28"/>
      <c r="AB5907" s="28"/>
      <c r="AC5907" s="28">
        <v>2434550000</v>
      </c>
      <c r="AD5907" s="28">
        <v>1825427000</v>
      </c>
      <c r="AE5907" s="28">
        <v>8258736000</v>
      </c>
      <c r="AF5907" s="28">
        <v>1057123000</v>
      </c>
      <c r="AG5907" s="11"/>
    </row>
    <row r="5908">
      <c r="A5908" s="7" t="s">
        <v>7505</v>
      </c>
      <c r="B5908" s="5" t="s">
        <v>15454</v>
      </c>
      <c r="C5908" s="5" t="s">
        <v>23122</v>
      </c>
      <c r="D5908" s="5" t="str">
        <v>550708362099</v>
      </c>
      <c r="E5908" s="0" t="e">
        <f>+7 (916) 5552281
+7 (495) 2800622
+7 (495) 2800741
+7 (495) 5083003</f>
        <v>#NAME?</v>
      </c>
      <c r="F5908" s="5" t="s">
        <v>42656</v>
      </c>
      <c r="G5908" s="5" t="s">
        <v>42657</v>
      </c>
      <c r="H5908" s="26">
        <v>15</v>
      </c>
      <c r="I5908" s="5" t="s">
        <v>42658</v>
      </c>
      <c r="J5908" s="5" t="s">
        <v>34076</v>
      </c>
      <c r="K5908" s="5"/>
      <c r="L5908" s="5"/>
      <c r="M5908" s="27"/>
      <c r="N5908" s="5" t="s">
        <v>58244</v>
      </c>
      <c r="O5908" s="5" t="str">
        <v>5032180980</v>
      </c>
      <c r="P5908" s="27"/>
      <c r="Q5908" s="5" t="s">
        <v>58245</v>
      </c>
      <c r="R5908" s="5"/>
      <c r="S5908" s="5" t="s">
        <v>50589</v>
      </c>
      <c r="T5908" s="28">
        <v>634435000</v>
      </c>
      <c r="U5908" s="28"/>
      <c r="V5908" s="28">
        <v>377960000</v>
      </c>
      <c r="W5908" s="28"/>
      <c r="X5908" s="28">
        <v>341869000</v>
      </c>
      <c r="Y5908" s="28">
        <v>1647153000</v>
      </c>
      <c r="Z5908" s="28">
        <v>-1388846000</v>
      </c>
      <c r="AA5908" s="28"/>
      <c r="AB5908" s="28"/>
      <c r="AC5908" s="28">
        <v>1679681000</v>
      </c>
      <c r="AD5908" s="28">
        <v>-907126000</v>
      </c>
      <c r="AE5908" s="28">
        <v>3934554000</v>
      </c>
      <c r="AF5908" s="28">
        <v>-404119000</v>
      </c>
      <c r="AG5908" s="11"/>
    </row>
    <row r="5909">
      <c r="A5909" s="7" t="s">
        <v>7506</v>
      </c>
      <c r="B5909" s="5" t="s">
        <v>15455</v>
      </c>
      <c r="C5909" s="5" t="s">
        <v>23123</v>
      </c>
      <c r="D5909" s="5" t="str">
        <v>770400233155</v>
      </c>
      <c r="E5909" s="0" t="e">
        <f>+7 (495) 6925317
+7 (49156) 20256
+7 (49156) 20309
+7 (49156) 20950
+7 (49156) 22844
+7 (49156) 50079
+7 (49156) 50106
+7 (49156) 50434
+7 (49156) 50436
+7 (49156) 50437
+7 (49156) 50781</f>
        <v>#NAME?</v>
      </c>
      <c r="F5909" s="5" t="s">
        <v>42659</v>
      </c>
      <c r="G5909" s="5"/>
      <c r="H5909" s="26">
        <v>11</v>
      </c>
      <c r="I5909" s="5" t="s">
        <v>42660</v>
      </c>
      <c r="J5909" s="5" t="s">
        <v>25437</v>
      </c>
      <c r="K5909" s="5" t="s">
        <v>344</v>
      </c>
      <c r="L5909" s="5" t="s">
        <v>42661</v>
      </c>
      <c r="M5909" s="27"/>
      <c r="N5909" s="5" t="s">
        <v>58246</v>
      </c>
      <c r="O5909" s="5" t="str">
        <v>6219007417</v>
      </c>
      <c r="P5909" s="27">
        <v>23391200</v>
      </c>
      <c r="Q5909" s="5" t="s">
        <v>58247</v>
      </c>
      <c r="R5909" s="5"/>
      <c r="S5909" s="5" t="s">
        <v>50831</v>
      </c>
      <c r="T5909" s="28">
        <v>3958569000</v>
      </c>
      <c r="U5909" s="28">
        <v>6000</v>
      </c>
      <c r="V5909" s="28">
        <v>17319402000</v>
      </c>
      <c r="W5909" s="28">
        <v>7665000</v>
      </c>
      <c r="X5909" s="28">
        <v>392890000</v>
      </c>
      <c r="Y5909" s="28">
        <v>27989399000</v>
      </c>
      <c r="Z5909" s="28">
        <v>2361091000</v>
      </c>
      <c r="AA5909" s="28"/>
      <c r="AB5909" s="28">
        <v>4377000000</v>
      </c>
      <c r="AC5909" s="28">
        <v>25597802000</v>
      </c>
      <c r="AD5909" s="28">
        <v>2387851000</v>
      </c>
      <c r="AE5909" s="28">
        <v>36144154000</v>
      </c>
      <c r="AF5909" s="28">
        <v>1438949000</v>
      </c>
      <c r="AG5909" s="11"/>
    </row>
    <row r="5910">
      <c r="A5910" s="7" t="s">
        <v>7507</v>
      </c>
      <c r="B5910" s="5" t="s">
        <v>15456</v>
      </c>
      <c r="C5910" s="5" t="s">
        <v>23124</v>
      </c>
      <c r="D5910" s="5" t="str">
        <v>164400989250</v>
      </c>
      <c r="E5910" s="0" t="e">
        <f>+7 (8435) 338205
+7 (8435) 338222
+7 (8435) 338224
+7 (8435) 338235
+7 (8435) 338237
+7 (8435) 338241
+7 (8435) 338312</f>
        <v>#NAME?</v>
      </c>
      <c r="F5910" s="5" t="s">
        <v>42662</v>
      </c>
      <c r="G5910" s="5" t="s">
        <v>42663</v>
      </c>
      <c r="H5910" s="26">
        <v>18.5</v>
      </c>
      <c r="I5910" s="5" t="s">
        <v>34415</v>
      </c>
      <c r="J5910" s="5" t="s">
        <v>785</v>
      </c>
      <c r="K5910" s="5" t="s">
        <v>344</v>
      </c>
      <c r="L5910" s="5" t="s">
        <v>42664</v>
      </c>
      <c r="M5910" s="27"/>
      <c r="N5910" s="5" t="s">
        <v>58248</v>
      </c>
      <c r="O5910" s="5" t="str">
        <v>1655085014</v>
      </c>
      <c r="P5910" s="27">
        <v>100000</v>
      </c>
      <c r="Q5910" s="5"/>
      <c r="R5910" s="5"/>
      <c r="S5910" s="5" t="s">
        <v>49110</v>
      </c>
      <c r="T5910" s="28">
        <v>2361182000</v>
      </c>
      <c r="U5910" s="28">
        <v>50870000</v>
      </c>
      <c r="V5910" s="28">
        <v>1257666000</v>
      </c>
      <c r="W5910" s="28">
        <v>1245000000</v>
      </c>
      <c r="X5910" s="28">
        <v>3259000</v>
      </c>
      <c r="Y5910" s="28">
        <v>10221765000</v>
      </c>
      <c r="Z5910" s="28">
        <v>1856000000</v>
      </c>
      <c r="AA5910" s="28"/>
      <c r="AB5910" s="28">
        <v>2550000000</v>
      </c>
      <c r="AC5910" s="28">
        <v>3503543000</v>
      </c>
      <c r="AD5910" s="28">
        <v>1856100000</v>
      </c>
      <c r="AE5910" s="28">
        <v>4870139000</v>
      </c>
      <c r="AF5910" s="28">
        <v>-237799000</v>
      </c>
      <c r="AG5910" s="11"/>
    </row>
    <row r="5911">
      <c r="A5911" s="7" t="s">
        <v>7508</v>
      </c>
      <c r="B5911" s="5" t="s">
        <v>15457</v>
      </c>
      <c r="C5911" s="5" t="s">
        <v>23125</v>
      </c>
      <c r="D5911" s="5" t="str">
        <v>772876531336</v>
      </c>
      <c r="E5911" s="0" t="e">
        <f>+7 (495) 9899707
+7 (495) 7863480</f>
        <v>#NAME?</v>
      </c>
      <c r="F5911" s="5" t="s">
        <v>42665</v>
      </c>
      <c r="G5911" s="5" t="s">
        <v>42666</v>
      </c>
      <c r="H5911" s="26">
        <v>13.5</v>
      </c>
      <c r="I5911" s="5" t="s">
        <v>42667</v>
      </c>
      <c r="J5911" s="5" t="s">
        <v>32226</v>
      </c>
      <c r="K5911" s="5" t="s">
        <v>355</v>
      </c>
      <c r="L5911" s="5"/>
      <c r="M5911" s="27"/>
      <c r="N5911" s="5"/>
      <c r="O5911" s="5" t="str">
        <v>7720670361</v>
      </c>
      <c r="P5911" s="27">
        <v>30100000</v>
      </c>
      <c r="Q5911" s="5" t="s">
        <v>49981</v>
      </c>
      <c r="R5911" s="5"/>
      <c r="S5911" s="5" t="s">
        <v>49311</v>
      </c>
      <c r="T5911" s="28">
        <v>648000</v>
      </c>
      <c r="U5911" s="28"/>
      <c r="V5911" s="28">
        <v>2126394000</v>
      </c>
      <c r="W5911" s="28"/>
      <c r="X5911" s="28">
        <v>221000</v>
      </c>
      <c r="Y5911" s="28">
        <v>2301545000</v>
      </c>
      <c r="Z5911" s="28">
        <v>6358000</v>
      </c>
      <c r="AA5911" s="28"/>
      <c r="AB5911" s="28"/>
      <c r="AC5911" s="28">
        <v>2265087000</v>
      </c>
      <c r="AD5911" s="28">
        <v>36458000</v>
      </c>
      <c r="AE5911" s="28">
        <v>6539562000</v>
      </c>
      <c r="AF5911" s="28"/>
      <c r="AG5911" s="11"/>
    </row>
    <row r="5912">
      <c r="A5912" s="7" t="s">
        <v>7509</v>
      </c>
      <c r="B5912" s="5" t="s">
        <v>15458</v>
      </c>
      <c r="C5912" s="5" t="s">
        <v>23126</v>
      </c>
      <c r="D5912" s="5" t="str">
        <v>421708198089</v>
      </c>
      <c r="E5912" s="0" t="e">
        <f>+7 (983) 3103520
+7 (383) 2331305</f>
        <v>#NAME?</v>
      </c>
      <c r="F5912" s="5" t="s">
        <v>42668</v>
      </c>
      <c r="G5912" s="5" t="s">
        <v>42669</v>
      </c>
      <c r="H5912" s="26">
        <v>7</v>
      </c>
      <c r="I5912" s="5"/>
      <c r="J5912" s="5" t="s">
        <v>599</v>
      </c>
      <c r="K5912" s="5" t="s">
        <v>344</v>
      </c>
      <c r="L5912" s="5" t="s">
        <v>42670</v>
      </c>
      <c r="M5912" s="27">
        <v>43156410</v>
      </c>
      <c r="N5912" s="5" t="s">
        <v>58249</v>
      </c>
      <c r="O5912" s="5" t="str">
        <v>5401958128</v>
      </c>
      <c r="P5912" s="27">
        <v>500000</v>
      </c>
      <c r="Q5912" s="5" t="s">
        <v>58250</v>
      </c>
      <c r="R5912" s="5"/>
      <c r="S5912" s="5" t="s">
        <v>49358</v>
      </c>
      <c r="T5912" s="28">
        <v>16691942000</v>
      </c>
      <c r="U5912" s="28"/>
      <c r="V5912" s="28">
        <v>2657605000</v>
      </c>
      <c r="W5912" s="28">
        <v>1398228000</v>
      </c>
      <c r="X5912" s="28">
        <v>19124000</v>
      </c>
      <c r="Y5912" s="28">
        <v>25913077000</v>
      </c>
      <c r="Z5912" s="28">
        <v>8000154000</v>
      </c>
      <c r="AA5912" s="28"/>
      <c r="AB5912" s="28">
        <v>9321000</v>
      </c>
      <c r="AC5912" s="28">
        <v>1954433000</v>
      </c>
      <c r="AD5912" s="28">
        <v>8000654000</v>
      </c>
      <c r="AE5912" s="28">
        <v>21636017000</v>
      </c>
      <c r="AF5912" s="28">
        <v>5055999000</v>
      </c>
      <c r="AG5912" s="11"/>
    </row>
    <row r="5913">
      <c r="A5913" s="7" t="s">
        <v>7510</v>
      </c>
      <c r="B5913" s="5" t="s">
        <v>15459</v>
      </c>
      <c r="C5913" s="5" t="s">
        <v>23127</v>
      </c>
      <c r="D5913" s="5" t="str">
        <v>781313701310</v>
      </c>
      <c r="E5913" s="0" t="e">
        <f>+7 (812) 3859449
+7 (812) 3345179
+7 (812) 3124574
+7 (812) 3125734
+7 (812) 3126518
+7 (812) 3127227
+7 (812) 3127327
+7 (812) 3345132
+7 (812) 3859410</f>
        <v>#NAME?</v>
      </c>
      <c r="F5913" s="5"/>
      <c r="G5913" s="5" t="s">
        <v>42671</v>
      </c>
      <c r="H5913" s="26">
        <v>12</v>
      </c>
      <c r="I5913" s="5" t="s">
        <v>42672</v>
      </c>
      <c r="J5913" s="5" t="s">
        <v>30185</v>
      </c>
      <c r="K5913" s="5" t="s">
        <v>344</v>
      </c>
      <c r="L5913" s="5" t="s">
        <v>42673</v>
      </c>
      <c r="M5913" s="27"/>
      <c r="N5913" s="5"/>
      <c r="O5913" s="5" t="str">
        <v>7841443821</v>
      </c>
      <c r="P5913" s="27">
        <v>10000</v>
      </c>
      <c r="Q5913" s="5"/>
      <c r="R5913" s="5"/>
      <c r="S5913" s="5" t="s">
        <v>50951</v>
      </c>
      <c r="T5913" s="28">
        <v>27156000</v>
      </c>
      <c r="U5913" s="28">
        <v>17627358000</v>
      </c>
      <c r="V5913" s="28">
        <v>453540000</v>
      </c>
      <c r="W5913" s="28">
        <v>1664000000</v>
      </c>
      <c r="X5913" s="28">
        <v>84993000</v>
      </c>
      <c r="Y5913" s="28">
        <v>20374511000</v>
      </c>
      <c r="Z5913" s="28">
        <v>1986443000</v>
      </c>
      <c r="AA5913" s="28">
        <v>3701556000</v>
      </c>
      <c r="AB5913" s="28"/>
      <c r="AC5913" s="28">
        <v>1233222000</v>
      </c>
      <c r="AD5913" s="28">
        <v>15419233000</v>
      </c>
      <c r="AE5913" s="28">
        <v>6069544000</v>
      </c>
      <c r="AF5913" s="28">
        <v>4459330000</v>
      </c>
      <c r="AG5913" s="11"/>
    </row>
    <row r="5914">
      <c r="A5914" s="7" t="s">
        <v>7511</v>
      </c>
      <c r="B5914" s="5" t="s">
        <v>15459</v>
      </c>
      <c r="C5914" s="5" t="s">
        <v>23128</v>
      </c>
      <c r="D5914" s="5"/>
      <c r="E5914" s="0" t="e">
        <f>+7 (812) 3859410
+7 (812) 3859449</f>
        <v>#NAME?</v>
      </c>
      <c r="F5914" s="5"/>
      <c r="G5914" s="5"/>
      <c r="H5914" s="26">
        <v>10.5</v>
      </c>
      <c r="I5914" s="5" t="s">
        <v>42674</v>
      </c>
      <c r="J5914" s="5" t="s">
        <v>28577</v>
      </c>
      <c r="K5914" s="5" t="s">
        <v>344</v>
      </c>
      <c r="L5914" s="5" t="s">
        <v>42675</v>
      </c>
      <c r="M5914" s="27"/>
      <c r="N5914" s="5"/>
      <c r="O5914" s="5" t="str">
        <v>7841472237</v>
      </c>
      <c r="P5914" s="27">
        <v>10000</v>
      </c>
      <c r="Q5914" s="5" t="s">
        <v>58251</v>
      </c>
      <c r="R5914" s="5"/>
      <c r="S5914" s="5" t="s">
        <v>49743</v>
      </c>
      <c r="T5914" s="28">
        <v>1813252000</v>
      </c>
      <c r="U5914" s="28"/>
      <c r="V5914" s="28">
        <v>2629222000</v>
      </c>
      <c r="W5914" s="28"/>
      <c r="X5914" s="28">
        <v>3566498000</v>
      </c>
      <c r="Y5914" s="28">
        <v>71311146000</v>
      </c>
      <c r="Z5914" s="28">
        <v>224911000</v>
      </c>
      <c r="AA5914" s="28">
        <v>19965542000</v>
      </c>
      <c r="AB5914" s="28">
        <v>566822000</v>
      </c>
      <c r="AC5914" s="28">
        <v>5627474000</v>
      </c>
      <c r="AD5914" s="28">
        <v>224921000</v>
      </c>
      <c r="AE5914" s="28">
        <v>4384049000</v>
      </c>
      <c r="AF5914" s="28">
        <v>1286997000</v>
      </c>
      <c r="AG5914" s="11"/>
    </row>
    <row r="5915">
      <c r="A5915" s="7" t="s">
        <v>7512</v>
      </c>
      <c r="B5915" s="5" t="s">
        <v>15460</v>
      </c>
      <c r="C5915" s="5" t="s">
        <v>23129</v>
      </c>
      <c r="D5915" s="5" t="str">
        <v>681100360341</v>
      </c>
      <c r="E5915" s="0" t="e">
        <f>+7 (953) 7002275
+7 (47536) 20075
+7 (47545) 20075
+7 (47545) 20583
+7 (47545) 28991
+7 (47545) 28992</f>
        <v>#NAME?</v>
      </c>
      <c r="F5915" s="5" t="s">
        <v>42676</v>
      </c>
      <c r="G5915" s="5" t="s">
        <v>42677</v>
      </c>
      <c r="H5915" s="26">
        <v>16.5</v>
      </c>
      <c r="I5915" s="5" t="s">
        <v>42678</v>
      </c>
      <c r="J5915" s="5" t="s">
        <v>32951</v>
      </c>
      <c r="K5915" s="5" t="s">
        <v>344</v>
      </c>
      <c r="L5915" s="5" t="s">
        <v>42679</v>
      </c>
      <c r="M5915" s="27">
        <v>18578453</v>
      </c>
      <c r="N5915" s="5" t="s">
        <v>58252</v>
      </c>
      <c r="O5915" s="5" t="str">
        <v>6827016382</v>
      </c>
      <c r="P5915" s="27">
        <v>1020000</v>
      </c>
      <c r="Q5915" s="5" t="s">
        <v>49009</v>
      </c>
      <c r="R5915" s="5"/>
      <c r="S5915" s="5" t="s">
        <v>49045</v>
      </c>
      <c r="T5915" s="28">
        <v>2526935000</v>
      </c>
      <c r="U5915" s="28">
        <v>6708516000</v>
      </c>
      <c r="V5915" s="28">
        <v>2063284000</v>
      </c>
      <c r="W5915" s="28"/>
      <c r="X5915" s="28">
        <v>188059000</v>
      </c>
      <c r="Y5915" s="28">
        <v>13760460000</v>
      </c>
      <c r="Z5915" s="28">
        <v>3666168000</v>
      </c>
      <c r="AA5915" s="28">
        <v>5015259000</v>
      </c>
      <c r="AB5915" s="28">
        <v>3356196000</v>
      </c>
      <c r="AC5915" s="28">
        <v>4854456000</v>
      </c>
      <c r="AD5915" s="28">
        <v>3668688000</v>
      </c>
      <c r="AE5915" s="28">
        <v>16163129000</v>
      </c>
      <c r="AF5915" s="28">
        <v>755493000</v>
      </c>
      <c r="AG5915" s="11"/>
    </row>
    <row r="5916">
      <c r="A5916" s="7" t="s">
        <v>7513</v>
      </c>
      <c r="B5916" s="5" t="s">
        <v>15461</v>
      </c>
      <c r="C5916" s="5" t="s">
        <v>23130</v>
      </c>
      <c r="D5916" s="5" t="str">
        <v>500345017697</v>
      </c>
      <c r="E5916" s="0" t="e">
        <f>+7 (495) 1547552
+7 (495) 2491111
+7 (495) 5809911
+7 (495) 9505511
+7 (495) 9505533
+7 (495) 9809911
+7 (495) 9991111
+7 (800) 7755911
+7 (916) 1197911</f>
        <v>#NAME?</v>
      </c>
      <c r="F5916" s="5" t="s">
        <v>42680</v>
      </c>
      <c r="G5916" s="5" t="s">
        <v>42681</v>
      </c>
      <c r="H5916" s="26">
        <v>22.5</v>
      </c>
      <c r="I5916" s="5"/>
      <c r="J5916" s="5" t="s">
        <v>42682</v>
      </c>
      <c r="K5916" s="5" t="s">
        <v>344</v>
      </c>
      <c r="L5916" s="5" t="s">
        <v>42683</v>
      </c>
      <c r="M5916" s="27"/>
      <c r="N5916" s="5"/>
      <c r="O5916" s="5" t="str">
        <v>7714179483</v>
      </c>
      <c r="P5916" s="27">
        <v>3610000</v>
      </c>
      <c r="Q5916" s="5" t="s">
        <v>49324</v>
      </c>
      <c r="R5916" s="5"/>
      <c r="S5916" s="5" t="s">
        <v>49325</v>
      </c>
      <c r="T5916" s="28">
        <v>1085127000</v>
      </c>
      <c r="U5916" s="28"/>
      <c r="V5916" s="28">
        <v>196909000</v>
      </c>
      <c r="W5916" s="28"/>
      <c r="X5916" s="28">
        <v>86072000</v>
      </c>
      <c r="Y5916" s="28">
        <v>1637503000</v>
      </c>
      <c r="Z5916" s="28">
        <v>594811000</v>
      </c>
      <c r="AA5916" s="28"/>
      <c r="AB5916" s="28"/>
      <c r="AC5916" s="28">
        <v>455504000</v>
      </c>
      <c r="AD5916" s="28">
        <v>598601000</v>
      </c>
      <c r="AE5916" s="28">
        <v>3415253000</v>
      </c>
      <c r="AF5916" s="28">
        <v>150144000</v>
      </c>
      <c r="AG5916" s="11"/>
    </row>
    <row r="5917">
      <c r="A5917" s="7" t="s">
        <v>7514</v>
      </c>
      <c r="B5917" s="5" t="s">
        <v>15462</v>
      </c>
      <c r="C5917" s="5" t="s">
        <v>23131</v>
      </c>
      <c r="D5917" s="5" t="str">
        <v>420504690903</v>
      </c>
      <c r="E5917" s="0" t="e">
        <f>+7 (384) 2256398
+7 (384) 2280204
+7 (384) 2283265
+7 (384) 2288411
+7 (384) 2312767
+7 (384) 2327003
+7 (384) 2348611
+7 (384) 2348652
+7 (384) 2348869
+7 (384) 2349689
+7 (384) 2258563
+7 (384) 2322683
+7 (384) 2348614
+7 (384) 2349723
+7 (384) 2349732</f>
        <v>#NAME?</v>
      </c>
      <c r="F5917" s="5" t="s">
        <v>42684</v>
      </c>
      <c r="G5917" s="5" t="s">
        <v>42685</v>
      </c>
      <c r="H5917" s="26">
        <v>15</v>
      </c>
      <c r="I5917" s="5"/>
      <c r="J5917" s="5" t="s">
        <v>29005</v>
      </c>
      <c r="K5917" s="5" t="s">
        <v>355</v>
      </c>
      <c r="L5917" s="5" t="s">
        <v>42686</v>
      </c>
      <c r="M5917" s="27">
        <v>132641369</v>
      </c>
      <c r="N5917" s="5" t="s">
        <v>58253</v>
      </c>
      <c r="O5917" s="5" t="str">
        <v>4205153492</v>
      </c>
      <c r="P5917" s="27">
        <v>381055000</v>
      </c>
      <c r="Q5917" s="5" t="s">
        <v>58254</v>
      </c>
      <c r="R5917" s="5"/>
      <c r="S5917" s="5" t="s">
        <v>49288</v>
      </c>
      <c r="T5917" s="28">
        <v>6582132000</v>
      </c>
      <c r="U5917" s="28">
        <v>29596000</v>
      </c>
      <c r="V5917" s="28">
        <v>1105134000</v>
      </c>
      <c r="W5917" s="28">
        <v>62310000</v>
      </c>
      <c r="X5917" s="28">
        <v>52434000</v>
      </c>
      <c r="Y5917" s="28">
        <v>10291259000</v>
      </c>
      <c r="Z5917" s="28">
        <v>5165732000</v>
      </c>
      <c r="AA5917" s="28"/>
      <c r="AB5917" s="28">
        <v>533017000</v>
      </c>
      <c r="AC5917" s="28">
        <v>2820876000</v>
      </c>
      <c r="AD5917" s="28">
        <v>5584893000</v>
      </c>
      <c r="AE5917" s="28">
        <v>8621519000</v>
      </c>
      <c r="AF5917" s="28">
        <v>1061092000</v>
      </c>
      <c r="AG5917" s="11"/>
    </row>
    <row r="5918">
      <c r="A5918" s="7" t="s">
        <v>7515</v>
      </c>
      <c r="B5918" s="5" t="s">
        <v>15463</v>
      </c>
      <c r="C5918" s="5" t="s">
        <v>23132</v>
      </c>
      <c r="D5918" s="5" t="str">
        <v>632104882116</v>
      </c>
      <c r="E5918" s="0" t="e">
        <f>+7 (8482) 697180
+7 (8482) 697182
+7 (8482) 697183
+7 (927) 2680894</f>
        <v>#NAME?</v>
      </c>
      <c r="F5918" s="5"/>
      <c r="G5918" s="5"/>
      <c r="H5918" s="26">
        <v>5.5</v>
      </c>
      <c r="I5918" s="5" t="s">
        <v>42687</v>
      </c>
      <c r="J5918" s="5" t="s">
        <v>26846</v>
      </c>
      <c r="K5918" s="5" t="s">
        <v>344</v>
      </c>
      <c r="L5918" s="5" t="s">
        <v>42688</v>
      </c>
      <c r="M5918" s="27"/>
      <c r="N5918" s="5" t="s">
        <v>58255</v>
      </c>
      <c r="O5918" s="5" t="str">
        <v>6324084160</v>
      </c>
      <c r="P5918" s="27">
        <v>10000</v>
      </c>
      <c r="Q5918" s="5"/>
      <c r="R5918" s="5" t="s">
        <v>58256</v>
      </c>
      <c r="S5918" s="5" t="s">
        <v>49110</v>
      </c>
      <c r="T5918" s="28">
        <v>14634000</v>
      </c>
      <c r="U5918" s="28"/>
      <c r="V5918" s="28">
        <v>500338000</v>
      </c>
      <c r="W5918" s="28"/>
      <c r="X5918" s="28">
        <v>47048000</v>
      </c>
      <c r="Y5918" s="28">
        <v>584218000</v>
      </c>
      <c r="Z5918" s="28">
        <v>530157000</v>
      </c>
      <c r="AA5918" s="28"/>
      <c r="AB5918" s="28"/>
      <c r="AC5918" s="28">
        <v>51778000</v>
      </c>
      <c r="AD5918" s="28">
        <v>530167000</v>
      </c>
      <c r="AE5918" s="28">
        <v>3323909000</v>
      </c>
      <c r="AF5918" s="28">
        <v>248217000</v>
      </c>
      <c r="AG5918" s="11"/>
    </row>
    <row r="5919">
      <c r="A5919" s="7" t="s">
        <v>7516</v>
      </c>
      <c r="B5919" s="5" t="s">
        <v>15464</v>
      </c>
      <c r="C5919" s="5" t="s">
        <v>23133</v>
      </c>
      <c r="D5919" s="5" t="str">
        <v>772628963508</v>
      </c>
      <c r="E5919" s="0" t="e">
        <f>+7 (495) 5056199
+7 (800) 5554589
+7 (495) 5056198</f>
        <v>#NAME?</v>
      </c>
      <c r="F5919" s="5" t="s">
        <v>42689</v>
      </c>
      <c r="G5919" s="5" t="s">
        <v>42690</v>
      </c>
      <c r="H5919" s="26">
        <v>19</v>
      </c>
      <c r="I5919" s="5" t="s">
        <v>42691</v>
      </c>
      <c r="J5919" s="5" t="s">
        <v>32531</v>
      </c>
      <c r="K5919" s="5" t="s">
        <v>344</v>
      </c>
      <c r="L5919" s="5" t="s">
        <v>42692</v>
      </c>
      <c r="M5919" s="27"/>
      <c r="N5919" s="5"/>
      <c r="O5919" s="5" t="str">
        <v>7706514177</v>
      </c>
      <c r="P5919" s="27">
        <v>30000000</v>
      </c>
      <c r="Q5919" s="5"/>
      <c r="R5919" s="5"/>
      <c r="S5919" s="5" t="s">
        <v>49029</v>
      </c>
      <c r="T5919" s="28">
        <v>264432000</v>
      </c>
      <c r="U5919" s="28">
        <v>19000000</v>
      </c>
      <c r="V5919" s="28">
        <v>1376723000</v>
      </c>
      <c r="W5919" s="28"/>
      <c r="X5919" s="28">
        <v>1126000</v>
      </c>
      <c r="Y5919" s="28">
        <v>2820342000</v>
      </c>
      <c r="Z5919" s="28">
        <v>2379507000</v>
      </c>
      <c r="AA5919" s="28"/>
      <c r="AB5919" s="28">
        <v>46032000</v>
      </c>
      <c r="AC5919" s="28">
        <v>246182000</v>
      </c>
      <c r="AD5919" s="28">
        <v>2409582000</v>
      </c>
      <c r="AE5919" s="28">
        <v>5800986000</v>
      </c>
      <c r="AF5919" s="28">
        <v>1415685000</v>
      </c>
      <c r="AG5919" s="11"/>
    </row>
    <row r="5920">
      <c r="A5920" s="7" t="s">
        <v>7517</v>
      </c>
      <c r="B5920" s="5" t="s">
        <v>15465</v>
      </c>
      <c r="C5920" s="5" t="s">
        <v>20240</v>
      </c>
      <c r="D5920" s="5"/>
      <c r="E5920" s="0" t="e">
        <f>+7 (4725) 228366
+7 (4725) 224296
+7 (4725) 228131
+7 (4725) 378522
+7 (4725) 445881
+7 (4725) 460503</f>
        <v>#NAME?</v>
      </c>
      <c r="F5920" s="5" t="s">
        <v>42693</v>
      </c>
      <c r="G5920" s="5" t="s">
        <v>42694</v>
      </c>
      <c r="H5920" s="26">
        <v>17.5</v>
      </c>
      <c r="I5920" s="5" t="s">
        <v>42695</v>
      </c>
      <c r="J5920" s="5" t="s">
        <v>30764</v>
      </c>
      <c r="K5920" s="5" t="s">
        <v>344</v>
      </c>
      <c r="L5920" s="5" t="s">
        <v>42696</v>
      </c>
      <c r="M5920" s="27"/>
      <c r="N5920" s="5"/>
      <c r="O5920" s="5" t="str">
        <v>3128051340</v>
      </c>
      <c r="P5920" s="27">
        <v>1000000</v>
      </c>
      <c r="Q5920" s="5"/>
      <c r="R5920" s="5"/>
      <c r="S5920" s="5" t="s">
        <v>49121</v>
      </c>
      <c r="T5920" s="28">
        <v>121670000</v>
      </c>
      <c r="U5920" s="28"/>
      <c r="V5920" s="28">
        <v>874015000</v>
      </c>
      <c r="W5920" s="28"/>
      <c r="X5920" s="28">
        <v>472000</v>
      </c>
      <c r="Y5920" s="28">
        <v>2448320000</v>
      </c>
      <c r="Z5920" s="28">
        <v>53776000</v>
      </c>
      <c r="AA5920" s="28">
        <v>14400000</v>
      </c>
      <c r="AB5920" s="28">
        <v>166000</v>
      </c>
      <c r="AC5920" s="28">
        <v>2187076000</v>
      </c>
      <c r="AD5920" s="28">
        <v>54778000</v>
      </c>
      <c r="AE5920" s="28">
        <v>7041164000</v>
      </c>
      <c r="AF5920" s="28">
        <v>29138000</v>
      </c>
      <c r="AG5920" s="11"/>
    </row>
    <row r="5921">
      <c r="A5921" s="7" t="s">
        <v>7518</v>
      </c>
      <c r="B5921" s="5" t="s">
        <v>12409</v>
      </c>
      <c r="C5921" s="5" t="s">
        <v>20240</v>
      </c>
      <c r="D5921" s="5"/>
      <c r="E5921" s="0" t="e">
        <f>+7 (910) 7417306
+7 (472) 2514801
+7 (472) 5211713
+7 (4725) 221669
+7 (4725) 460248</f>
        <v>#NAME?</v>
      </c>
      <c r="F5921" s="5"/>
      <c r="G5921" s="5"/>
      <c r="H5921" s="26">
        <v>21.5</v>
      </c>
      <c r="I5921" s="5" t="s">
        <v>42697</v>
      </c>
      <c r="J5921" s="5" t="s">
        <v>1073</v>
      </c>
      <c r="K5921" s="5" t="s">
        <v>344</v>
      </c>
      <c r="L5921" s="5" t="s">
        <v>42698</v>
      </c>
      <c r="M5921" s="27">
        <v>95153</v>
      </c>
      <c r="N5921" s="5" t="s">
        <v>58257</v>
      </c>
      <c r="O5921" s="5" t="str">
        <v>3128037360</v>
      </c>
      <c r="P5921" s="27">
        <v>1000000</v>
      </c>
      <c r="Q5921" s="5" t="s">
        <v>49009</v>
      </c>
      <c r="R5921" s="5"/>
      <c r="S5921" s="5" t="s">
        <v>49028</v>
      </c>
      <c r="T5921" s="28">
        <v>252114000</v>
      </c>
      <c r="U5921" s="28">
        <v>900000</v>
      </c>
      <c r="V5921" s="28">
        <v>2173008000</v>
      </c>
      <c r="W5921" s="28">
        <v>5701780000</v>
      </c>
      <c r="X5921" s="28">
        <v>206911000</v>
      </c>
      <c r="Y5921" s="28">
        <v>9610980000</v>
      </c>
      <c r="Z5921" s="28">
        <v>1224737000</v>
      </c>
      <c r="AA5921" s="28">
        <v>2540901000</v>
      </c>
      <c r="AB5921" s="28">
        <v>7962000</v>
      </c>
      <c r="AC5921" s="28">
        <v>5534660000</v>
      </c>
      <c r="AD5921" s="28">
        <v>1225887000</v>
      </c>
      <c r="AE5921" s="28">
        <v>20892082000</v>
      </c>
      <c r="AF5921" s="28">
        <v>1215971000</v>
      </c>
      <c r="AG5921" s="11"/>
    </row>
    <row r="5922">
      <c r="A5922" s="7" t="s">
        <v>7519</v>
      </c>
      <c r="B5922" s="5" t="s">
        <v>15466</v>
      </c>
      <c r="C5922" s="5" t="s">
        <v>23134</v>
      </c>
      <c r="D5922" s="5" t="str">
        <v>234905154136</v>
      </c>
      <c r="E5922" s="0" t="e">
        <f>+7 (861) 4621066
+7 (861) 4640669
+7 (86146) 27276
+7 (86146) 27344
+7 (86146) 32051
+7 (9) 6140669</f>
        <v>#NAME?</v>
      </c>
      <c r="F5922" s="5"/>
      <c r="G5922" s="5" t="s">
        <v>42699</v>
      </c>
      <c r="H5922" s="26">
        <v>11.5</v>
      </c>
      <c r="I5922" s="5" t="s">
        <v>42700</v>
      </c>
      <c r="J5922" s="5" t="s">
        <v>555</v>
      </c>
      <c r="K5922" s="5" t="s">
        <v>344</v>
      </c>
      <c r="L5922" s="5"/>
      <c r="M5922" s="27">
        <v>12712501</v>
      </c>
      <c r="N5922" s="5"/>
      <c r="O5922" s="5" t="str">
        <v>2370000496</v>
      </c>
      <c r="P5922" s="27">
        <v>1331275000</v>
      </c>
      <c r="Q5922" s="5" t="s">
        <v>49057</v>
      </c>
      <c r="R5922" s="5"/>
      <c r="S5922" s="5" t="s">
        <v>58258</v>
      </c>
      <c r="T5922" s="28">
        <v>39230989000</v>
      </c>
      <c r="U5922" s="28"/>
      <c r="V5922" s="28">
        <v>41021531000</v>
      </c>
      <c r="W5922" s="28"/>
      <c r="X5922" s="28">
        <v>918990000</v>
      </c>
      <c r="Y5922" s="28">
        <v>107431354000</v>
      </c>
      <c r="Z5922" s="28">
        <v>30430704000</v>
      </c>
      <c r="AA5922" s="28">
        <v>27409398000</v>
      </c>
      <c r="AB5922" s="28">
        <v>23172310000</v>
      </c>
      <c r="AC5922" s="28">
        <v>41881601000</v>
      </c>
      <c r="AD5922" s="28">
        <v>31761979000</v>
      </c>
      <c r="AE5922" s="28">
        <v>161911408000</v>
      </c>
      <c r="AF5922" s="28">
        <v>11926905000</v>
      </c>
      <c r="AG5922" s="11"/>
    </row>
    <row r="5923">
      <c r="A5923" s="7" t="s">
        <v>7520</v>
      </c>
      <c r="B5923" s="5" t="s">
        <v>15467</v>
      </c>
      <c r="C5923" s="5" t="s">
        <v>23135</v>
      </c>
      <c r="D5923" s="5" t="str">
        <v>027816476745</v>
      </c>
      <c r="E5923" s="0" t="e">
        <f>+7 (495) 1048806
+7 (495) 1068388
+7 (495) 9416261
+7 (495) 9416262
+7 (495) 9671313</f>
        <v>#NAME?</v>
      </c>
      <c r="F5923" s="5"/>
      <c r="G5923" s="5"/>
      <c r="H5923" s="26">
        <v>7</v>
      </c>
      <c r="I5923" s="5" t="s">
        <v>31772</v>
      </c>
      <c r="J5923" s="5" t="s">
        <v>623</v>
      </c>
      <c r="K5923" s="5" t="s">
        <v>355</v>
      </c>
      <c r="L5923" s="5"/>
      <c r="M5923" s="27"/>
      <c r="N5923" s="5"/>
      <c r="O5923" s="5" t="str">
        <v>5027240182</v>
      </c>
      <c r="P5923" s="27">
        <v>10000</v>
      </c>
      <c r="Q5923" s="5" t="s">
        <v>49009</v>
      </c>
      <c r="R5923" s="5"/>
      <c r="S5923" s="5" t="s">
        <v>49010</v>
      </c>
      <c r="T5923" s="28">
        <v>21931000</v>
      </c>
      <c r="U5923" s="28"/>
      <c r="V5923" s="28">
        <v>19764874000</v>
      </c>
      <c r="W5923" s="28"/>
      <c r="X5923" s="28">
        <v>113770000</v>
      </c>
      <c r="Y5923" s="28">
        <v>34327023000</v>
      </c>
      <c r="Z5923" s="28">
        <v>2355124000</v>
      </c>
      <c r="AA5923" s="28">
        <v>8504672000</v>
      </c>
      <c r="AB5923" s="28"/>
      <c r="AC5923" s="28">
        <v>4451094000</v>
      </c>
      <c r="AD5923" s="28">
        <v>2355134000</v>
      </c>
      <c r="AE5923" s="28">
        <v>7287267000</v>
      </c>
      <c r="AF5923" s="28">
        <v>3093473000</v>
      </c>
      <c r="AG5923" s="11"/>
    </row>
    <row r="5924">
      <c r="A5924" s="7" t="s">
        <v>7521</v>
      </c>
      <c r="B5924" s="5" t="s">
        <v>15468</v>
      </c>
      <c r="C5924" s="5" t="s">
        <v>23136</v>
      </c>
      <c r="D5924" s="5" t="str">
        <v>772910470478</v>
      </c>
      <c r="E5924" s="0" t="e">
        <f>+7 (86146) 41228
+7 (86146) 42309
+7 (86146) 23687
+7 (86146) 23550
+7 (86146) 41218
+7 (86146) 44360</f>
        <v>#NAME?</v>
      </c>
      <c r="F5924" s="5" t="s">
        <v>42701</v>
      </c>
      <c r="G5924" s="5" t="s">
        <v>42702</v>
      </c>
      <c r="H5924" s="26">
        <v>14</v>
      </c>
      <c r="I5924" s="5" t="s">
        <v>42703</v>
      </c>
      <c r="J5924" s="5" t="s">
        <v>28306</v>
      </c>
      <c r="K5924" s="5" t="s">
        <v>344</v>
      </c>
      <c r="L5924" s="5" t="s">
        <v>42704</v>
      </c>
      <c r="M5924" s="27"/>
      <c r="N5924" s="5"/>
      <c r="O5924" s="5" t="str">
        <v>2349031082</v>
      </c>
      <c r="P5924" s="27">
        <v>10000</v>
      </c>
      <c r="Q5924" s="5"/>
      <c r="R5924" s="5"/>
      <c r="S5924" s="5" t="s">
        <v>49029</v>
      </c>
      <c r="T5924" s="28">
        <v>180895000</v>
      </c>
      <c r="U5924" s="28"/>
      <c r="V5924" s="28">
        <v>255933000</v>
      </c>
      <c r="W5924" s="28"/>
      <c r="X5924" s="28">
        <v>9055000</v>
      </c>
      <c r="Y5924" s="28">
        <v>1996387000</v>
      </c>
      <c r="Z5924" s="28">
        <v>302096000</v>
      </c>
      <c r="AA5924" s="28">
        <v>387376000</v>
      </c>
      <c r="AB5924" s="28"/>
      <c r="AC5924" s="28">
        <v>1306905000</v>
      </c>
      <c r="AD5924" s="28">
        <v>302106000</v>
      </c>
      <c r="AE5924" s="28">
        <v>3456770000</v>
      </c>
      <c r="AF5924" s="28">
        <v>61336000</v>
      </c>
      <c r="AG5924" s="11"/>
    </row>
    <row r="5925">
      <c r="A5925" s="7" t="s">
        <v>7522</v>
      </c>
      <c r="B5925" s="5" t="s">
        <v>15469</v>
      </c>
      <c r="C5925" s="5" t="s">
        <v>17814</v>
      </c>
      <c r="D5925" s="5"/>
      <c r="E5925" s="0" t="e">
        <f>+7 (831) 2775757
+7 (831) 2778251</f>
        <v>#NAME?</v>
      </c>
      <c r="F5925" s="5"/>
      <c r="G5925" s="5" t="s">
        <v>42705</v>
      </c>
      <c r="H5925" s="26">
        <v>24</v>
      </c>
      <c r="I5925" s="5" t="s">
        <v>42706</v>
      </c>
      <c r="J5925" s="5" t="s">
        <v>25853</v>
      </c>
      <c r="K5925" s="5" t="s">
        <v>344</v>
      </c>
      <c r="L5925" s="5" t="s">
        <v>42707</v>
      </c>
      <c r="M5925" s="27">
        <v>6804211</v>
      </c>
      <c r="N5925" s="5"/>
      <c r="O5925" s="5" t="str">
        <v>5257041777</v>
      </c>
      <c r="P5925" s="27">
        <v>82815528</v>
      </c>
      <c r="Q5925" s="5" t="s">
        <v>49009</v>
      </c>
      <c r="R5925" s="5"/>
      <c r="S5925" s="5" t="s">
        <v>49420</v>
      </c>
      <c r="T5925" s="28">
        <v>4881824000</v>
      </c>
      <c r="U5925" s="28">
        <v>7716819000</v>
      </c>
      <c r="V5925" s="28">
        <v>26366882000</v>
      </c>
      <c r="W5925" s="28"/>
      <c r="X5925" s="28">
        <v>181592000</v>
      </c>
      <c r="Y5925" s="28">
        <v>44639914000</v>
      </c>
      <c r="Z5925" s="28">
        <v>10881614000</v>
      </c>
      <c r="AA5925" s="28"/>
      <c r="AB5925" s="28"/>
      <c r="AC5925" s="28">
        <v>27931756000</v>
      </c>
      <c r="AD5925" s="28">
        <v>12816497000</v>
      </c>
      <c r="AE5925" s="28">
        <v>158611001000</v>
      </c>
      <c r="AF5925" s="28">
        <v>2333019000</v>
      </c>
      <c r="AG5925" s="11"/>
    </row>
    <row r="5926">
      <c r="A5926" s="7" t="s">
        <v>7523</v>
      </c>
      <c r="B5926" s="5" t="s">
        <v>15470</v>
      </c>
      <c r="C5926" s="5" t="s">
        <v>23137</v>
      </c>
      <c r="D5926" s="5" t="str">
        <v>526022665969</v>
      </c>
      <c r="E5926" s="0" t="e">
        <f>+7 (831) 2578001
+7 (831) 2578080</f>
        <v>#NAME?</v>
      </c>
      <c r="F5926" s="5" t="s">
        <v>42708</v>
      </c>
      <c r="G5926" s="5" t="s">
        <v>42709</v>
      </c>
      <c r="H5926" s="26">
        <v>18</v>
      </c>
      <c r="I5926" s="5" t="s">
        <v>42710</v>
      </c>
      <c r="J5926" s="5" t="s">
        <v>26511</v>
      </c>
      <c r="K5926" s="5" t="s">
        <v>344</v>
      </c>
      <c r="L5926" s="5" t="s">
        <v>42711</v>
      </c>
      <c r="M5926" s="27">
        <v>7893604</v>
      </c>
      <c r="N5926" s="5" t="s">
        <v>58259</v>
      </c>
      <c r="O5926" s="5" t="str">
        <v>5258054000</v>
      </c>
      <c r="P5926" s="27">
        <v>10520000</v>
      </c>
      <c r="Q5926" s="5" t="s">
        <v>49009</v>
      </c>
      <c r="R5926" s="5" t="s">
        <v>58260</v>
      </c>
      <c r="S5926" s="5" t="s">
        <v>55891</v>
      </c>
      <c r="T5926" s="28">
        <v>5413458000</v>
      </c>
      <c r="U5926" s="28"/>
      <c r="V5926" s="28">
        <v>7094533000</v>
      </c>
      <c r="W5926" s="28"/>
      <c r="X5926" s="28">
        <v>552740000</v>
      </c>
      <c r="Y5926" s="28">
        <v>18942656000</v>
      </c>
      <c r="Z5926" s="28">
        <v>715160000</v>
      </c>
      <c r="AA5926" s="28">
        <v>1308785000</v>
      </c>
      <c r="AB5926" s="28">
        <v>3409298000</v>
      </c>
      <c r="AC5926" s="28">
        <v>13661847000</v>
      </c>
      <c r="AD5926" s="28">
        <v>725680000</v>
      </c>
      <c r="AE5926" s="28">
        <v>84005977000</v>
      </c>
      <c r="AF5926" s="28">
        <v>133144000</v>
      </c>
      <c r="AG5926" s="11"/>
    </row>
    <row r="5927">
      <c r="A5927" s="7" t="s">
        <v>7524</v>
      </c>
      <c r="B5927" s="5" t="s">
        <v>15471</v>
      </c>
      <c r="C5927" s="5" t="s">
        <v>23138</v>
      </c>
      <c r="D5927" s="5" t="str">
        <v>434600141307</v>
      </c>
      <c r="E5927" s="0" t="e">
        <f>+7 (833) 2513513
+7 (8332) 462727
+7 (8332) 555565
+7 (83337) 26231
+7 (83375) 25097</f>
        <v>#NAME?</v>
      </c>
      <c r="F5927" s="5" t="s">
        <v>42712</v>
      </c>
      <c r="G5927" s="5" t="s">
        <v>42713</v>
      </c>
      <c r="H5927" s="26">
        <v>16.5</v>
      </c>
      <c r="I5927" s="5" t="s">
        <v>42714</v>
      </c>
      <c r="J5927" s="5" t="s">
        <v>29202</v>
      </c>
      <c r="K5927" s="5" t="s">
        <v>344</v>
      </c>
      <c r="L5927" s="5" t="s">
        <v>42715</v>
      </c>
      <c r="M5927" s="27"/>
      <c r="N5927" s="5"/>
      <c r="O5927" s="5" t="str">
        <v>4345141169</v>
      </c>
      <c r="P5927" s="27">
        <v>10000</v>
      </c>
      <c r="Q5927" s="5"/>
      <c r="R5927" s="5"/>
      <c r="S5927" s="5" t="s">
        <v>49029</v>
      </c>
      <c r="T5927" s="28">
        <v>1103626000</v>
      </c>
      <c r="U5927" s="28"/>
      <c r="V5927" s="28">
        <v>652997000</v>
      </c>
      <c r="W5927" s="28"/>
      <c r="X5927" s="28">
        <v>982094000</v>
      </c>
      <c r="Y5927" s="28">
        <v>3539096000</v>
      </c>
      <c r="Z5927" s="28">
        <v>2499566000</v>
      </c>
      <c r="AA5927" s="28">
        <v>431271000</v>
      </c>
      <c r="AB5927" s="28">
        <v>321800000</v>
      </c>
      <c r="AC5927" s="28">
        <v>607607000</v>
      </c>
      <c r="AD5927" s="28">
        <v>2499576000</v>
      </c>
      <c r="AE5927" s="28">
        <v>5771014000</v>
      </c>
      <c r="AF5927" s="28">
        <v>985478000</v>
      </c>
      <c r="AG5927" s="11"/>
    </row>
    <row r="5928">
      <c r="A5928" s="7" t="s">
        <v>7525</v>
      </c>
      <c r="B5928" s="5" t="s">
        <v>15472</v>
      </c>
      <c r="C5928" s="5" t="s">
        <v>23139</v>
      </c>
      <c r="D5928" s="5" t="str">
        <v>773576694116</v>
      </c>
      <c r="E5928" s="0" t="e">
        <f>+7 (495) 1043030
+7 (495) 2280142
+7 (495) 9690147</f>
        <v>#NAME?</v>
      </c>
      <c r="F5928" s="5" t="s">
        <v>42716</v>
      </c>
      <c r="G5928" s="5" t="s">
        <v>42717</v>
      </c>
      <c r="H5928" s="26">
        <v>19</v>
      </c>
      <c r="I5928" s="5" t="s">
        <v>42718</v>
      </c>
      <c r="J5928" s="5" t="s">
        <v>25287</v>
      </c>
      <c r="K5928" s="5" t="s">
        <v>344</v>
      </c>
      <c r="L5928" s="5" t="s">
        <v>42719</v>
      </c>
      <c r="M5928" s="27"/>
      <c r="N5928" s="5"/>
      <c r="O5928" s="5" t="str">
        <v>7735503395</v>
      </c>
      <c r="P5928" s="27">
        <v>20000</v>
      </c>
      <c r="Q5928" s="5" t="s">
        <v>49009</v>
      </c>
      <c r="R5928" s="5"/>
      <c r="S5928" s="5" t="s">
        <v>49066</v>
      </c>
      <c r="T5928" s="28">
        <v>93073000</v>
      </c>
      <c r="U5928" s="28"/>
      <c r="V5928" s="28">
        <v>761431000</v>
      </c>
      <c r="W5928" s="28">
        <v>10000000</v>
      </c>
      <c r="X5928" s="28">
        <v>24944000</v>
      </c>
      <c r="Y5928" s="28">
        <v>1330214000</v>
      </c>
      <c r="Z5928" s="28">
        <v>684929000</v>
      </c>
      <c r="AA5928" s="28"/>
      <c r="AB5928" s="28">
        <v>36145000</v>
      </c>
      <c r="AC5928" s="28">
        <v>640127000</v>
      </c>
      <c r="AD5928" s="28">
        <v>684952000</v>
      </c>
      <c r="AE5928" s="28">
        <v>3976547000</v>
      </c>
      <c r="AF5928" s="28">
        <v>360900000</v>
      </c>
      <c r="AG5928" s="11"/>
    </row>
    <row r="5929">
      <c r="A5929" s="7" t="s">
        <v>7526</v>
      </c>
      <c r="B5929" s="5" t="s">
        <v>15473</v>
      </c>
      <c r="C5929" s="5" t="s">
        <v>23140</v>
      </c>
      <c r="D5929" s="5" t="str">
        <v>702203460165</v>
      </c>
      <c r="E5929" s="0" t="e">
        <f>+7 (35324) 32201
+7 (35324) 32208</f>
        <v>#NAME?</v>
      </c>
      <c r="F5929" s="5"/>
      <c r="G5929" s="5"/>
      <c r="H5929" s="26">
        <v>16.5</v>
      </c>
      <c r="I5929" s="5" t="s">
        <v>42720</v>
      </c>
      <c r="J5929" s="5" t="s">
        <v>26607</v>
      </c>
      <c r="K5929" s="5" t="s">
        <v>355</v>
      </c>
      <c r="L5929" s="5" t="s">
        <v>42721</v>
      </c>
      <c r="M5929" s="27"/>
      <c r="N5929" s="5"/>
      <c r="O5929" s="5" t="str">
        <v>5611037405</v>
      </c>
      <c r="P5929" s="27">
        <v>6164903464</v>
      </c>
      <c r="Q5929" s="5" t="s">
        <v>58261</v>
      </c>
      <c r="R5929" s="5"/>
      <c r="S5929" s="5" t="s">
        <v>49053</v>
      </c>
      <c r="T5929" s="28">
        <v>55237981000</v>
      </c>
      <c r="U5929" s="28">
        <v>13869766000</v>
      </c>
      <c r="V5929" s="28">
        <v>12650809000</v>
      </c>
      <c r="W5929" s="28">
        <v>11230029000</v>
      </c>
      <c r="X5929" s="28">
        <v>169331000</v>
      </c>
      <c r="Y5929" s="28">
        <v>97879103000</v>
      </c>
      <c r="Z5929" s="28">
        <v>45930564000</v>
      </c>
      <c r="AA5929" s="28">
        <v>10518626000</v>
      </c>
      <c r="AB5929" s="28"/>
      <c r="AC5929" s="28">
        <v>21246952000</v>
      </c>
      <c r="AD5929" s="28">
        <v>52095467000</v>
      </c>
      <c r="AE5929" s="28">
        <v>64947638000</v>
      </c>
      <c r="AF5929" s="28">
        <v>9124368000</v>
      </c>
      <c r="AG5929" s="11"/>
    </row>
    <row r="5930">
      <c r="A5930" s="7" t="s">
        <v>7527</v>
      </c>
      <c r="B5930" s="5" t="s">
        <v>15474</v>
      </c>
      <c r="C5930" s="5" t="s">
        <v>23141</v>
      </c>
      <c r="D5930" s="5" t="str">
        <v>246213038804</v>
      </c>
      <c r="E5930" s="0" t="e">
        <f>+7 (381) 2210301
+7 (381) 2263887
+7 (381) 2264437
+7 (381) 2264463
+7 (381) 2264645
+7 (381) 2265082
+7 (381) 2610301
+7 (381) 2615301
+7 (381) 2615653
+7 (381) 2617354
+7 (381) 2618955</f>
        <v>#NAME?</v>
      </c>
      <c r="F5930" s="5" t="s">
        <v>42722</v>
      </c>
      <c r="G5930" s="5" t="s">
        <v>42723</v>
      </c>
      <c r="H5930" s="26">
        <v>30</v>
      </c>
      <c r="I5930" s="5" t="s">
        <v>42724</v>
      </c>
      <c r="J5930" s="5" t="s">
        <v>26410</v>
      </c>
      <c r="K5930" s="5" t="s">
        <v>344</v>
      </c>
      <c r="L5930" s="5"/>
      <c r="M5930" s="27"/>
      <c r="N5930" s="5"/>
      <c r="O5930" s="5" t="str">
        <v>5503001024</v>
      </c>
      <c r="P5930" s="27">
        <v>5000000</v>
      </c>
      <c r="Q5930" s="5"/>
      <c r="R5930" s="5"/>
      <c r="S5930" s="5" t="s">
        <v>49425</v>
      </c>
      <c r="T5930" s="28">
        <v>443998000</v>
      </c>
      <c r="U5930" s="28">
        <v>228226000</v>
      </c>
      <c r="V5930" s="28">
        <v>724998000</v>
      </c>
      <c r="W5930" s="28">
        <v>100000000</v>
      </c>
      <c r="X5930" s="28">
        <v>147958000</v>
      </c>
      <c r="Y5930" s="28">
        <v>2226494000</v>
      </c>
      <c r="Z5930" s="28">
        <v>607231000</v>
      </c>
      <c r="AA5930" s="28">
        <v>286348000</v>
      </c>
      <c r="AB5930" s="28">
        <v>681836000</v>
      </c>
      <c r="AC5930" s="28">
        <v>1303821000</v>
      </c>
      <c r="AD5930" s="28">
        <v>612481000</v>
      </c>
      <c r="AE5930" s="28">
        <v>5361151000</v>
      </c>
      <c r="AF5930" s="28">
        <v>238385000</v>
      </c>
      <c r="AG5930" s="11"/>
    </row>
    <row r="5931">
      <c r="A5931" s="7" t="s">
        <v>7528</v>
      </c>
      <c r="B5931" s="5" t="s">
        <v>15475</v>
      </c>
      <c r="C5931" s="5" t="s">
        <v>23142</v>
      </c>
      <c r="D5931" s="5" t="str">
        <v>770100128456</v>
      </c>
      <c r="E5931" s="0" t="e">
        <f>+7 (34373) 22275
+7 (34373) 23235
+7 (34373) 23532
+7 (34373) 79009
+7 (34373) 79026
+7 (34373) 79027
+7 (34373) 79030
+7 (34373) 79038
+7 (34373) 79040
+7 (34373) 79061
+7 (34373) 79064
+7 (34373) 79073
+7 (34373) 79077
+7 (34373) 79081
+7 (34373) 79088</f>
        <v>#NAME?</v>
      </c>
      <c r="F5931" s="5" t="s">
        <v>42725</v>
      </c>
      <c r="G5931" s="5" t="s">
        <v>42726</v>
      </c>
      <c r="H5931" s="26">
        <v>30</v>
      </c>
      <c r="I5931" s="5" t="s">
        <v>42727</v>
      </c>
      <c r="J5931" s="5" t="s">
        <v>26407</v>
      </c>
      <c r="K5931" s="5" t="s">
        <v>344</v>
      </c>
      <c r="L5931" s="5" t="s">
        <v>40279</v>
      </c>
      <c r="M5931" s="27"/>
      <c r="N5931" s="5" t="s">
        <v>58262</v>
      </c>
      <c r="O5931" s="5" t="str">
        <v>6633028244</v>
      </c>
      <c r="P5931" s="27">
        <v>30626000</v>
      </c>
      <c r="Q5931" s="5" t="s">
        <v>58263</v>
      </c>
      <c r="R5931" s="5" t="s">
        <v>58264</v>
      </c>
      <c r="S5931" s="5" t="s">
        <v>49139</v>
      </c>
      <c r="T5931" s="28">
        <v>16149158000</v>
      </c>
      <c r="U5931" s="28">
        <v>493000000</v>
      </c>
      <c r="V5931" s="28">
        <v>2034672000</v>
      </c>
      <c r="W5931" s="28"/>
      <c r="X5931" s="28">
        <v>5588976000</v>
      </c>
      <c r="Y5931" s="28">
        <v>28113028000</v>
      </c>
      <c r="Z5931" s="28">
        <v>25684721000</v>
      </c>
      <c r="AA5931" s="28"/>
      <c r="AB5931" s="28"/>
      <c r="AC5931" s="28">
        <v>1600994000</v>
      </c>
      <c r="AD5931" s="28">
        <v>25715347000</v>
      </c>
      <c r="AE5931" s="28">
        <v>21515269000</v>
      </c>
      <c r="AF5931" s="28">
        <v>5480309000</v>
      </c>
      <c r="AG5931" s="11"/>
    </row>
    <row r="5932">
      <c r="A5932" s="7" t="s">
        <v>7529</v>
      </c>
      <c r="B5932" s="5" t="s">
        <v>15476</v>
      </c>
      <c r="C5932" s="5" t="s">
        <v>22424</v>
      </c>
      <c r="D5932" s="5" t="str">
        <v>772010283637</v>
      </c>
      <c r="E5932" s="0" t="e">
        <f>+7 (495) 4820050
+7 (495) 4821389
+7 (495) 4821430
+7 (495) 4823008
+7 (495) 4823247
+7 (495) 4824992
+7 (495) 4886141</f>
        <v>#NAME?</v>
      </c>
      <c r="F5932" s="5" t="s">
        <v>42728</v>
      </c>
      <c r="G5932" s="5" t="s">
        <v>42729</v>
      </c>
      <c r="H5932" s="26">
        <v>17.5</v>
      </c>
      <c r="I5932" s="5" t="s">
        <v>32843</v>
      </c>
      <c r="J5932" s="5" t="s">
        <v>27182</v>
      </c>
      <c r="K5932" s="5" t="s">
        <v>380</v>
      </c>
      <c r="L5932" s="5"/>
      <c r="M5932" s="27">
        <v>609301</v>
      </c>
      <c r="N5932" s="5"/>
      <c r="O5932" s="5" t="str">
        <v>7713565239</v>
      </c>
      <c r="P5932" s="27">
        <v>10000</v>
      </c>
      <c r="Q5932" s="5"/>
      <c r="R5932" s="5"/>
      <c r="S5932" s="5" t="s">
        <v>49110</v>
      </c>
      <c r="T5932" s="28">
        <v>4342000</v>
      </c>
      <c r="U5932" s="28">
        <v>3350000000</v>
      </c>
      <c r="V5932" s="28">
        <v>393617000</v>
      </c>
      <c r="W5932" s="28"/>
      <c r="X5932" s="28">
        <v>277620000</v>
      </c>
      <c r="Y5932" s="28">
        <v>10039456000</v>
      </c>
      <c r="Z5932" s="28">
        <v>1822494000</v>
      </c>
      <c r="AA5932" s="28">
        <v>4872981000</v>
      </c>
      <c r="AB5932" s="28"/>
      <c r="AC5932" s="28">
        <v>3310868000</v>
      </c>
      <c r="AD5932" s="28">
        <v>1822504000</v>
      </c>
      <c r="AE5932" s="28">
        <v>3462107000</v>
      </c>
      <c r="AF5932" s="28">
        <v>1789493000</v>
      </c>
      <c r="AG5932" s="11"/>
    </row>
    <row r="5933">
      <c r="A5933" s="7" t="s">
        <v>7530</v>
      </c>
      <c r="B5933" s="5" t="s">
        <v>15477</v>
      </c>
      <c r="C5933" s="5" t="s">
        <v>22232</v>
      </c>
      <c r="D5933" s="5"/>
      <c r="E5933" s="0" t="e">
        <f>+7 (8352) 237309
+7 (8352) 304123
+7 (8352) 304129
+7 (8352) 307309
+7 (8352) 625609</f>
        <v>#NAME?</v>
      </c>
      <c r="F5933" s="5" t="s">
        <v>42730</v>
      </c>
      <c r="G5933" s="5"/>
      <c r="H5933" s="26">
        <v>31</v>
      </c>
      <c r="I5933" s="5" t="s">
        <v>42731</v>
      </c>
      <c r="J5933" s="5" t="s">
        <v>897</v>
      </c>
      <c r="K5933" s="5" t="s">
        <v>355</v>
      </c>
      <c r="L5933" s="5"/>
      <c r="M5933" s="27">
        <v>12202216</v>
      </c>
      <c r="N5933" s="5"/>
      <c r="O5933" s="5" t="str">
        <v>2127309097</v>
      </c>
      <c r="P5933" s="27">
        <v>84000</v>
      </c>
      <c r="Q5933" s="5"/>
      <c r="R5933" s="5" t="s">
        <v>58265</v>
      </c>
      <c r="S5933" s="5" t="s">
        <v>49121</v>
      </c>
      <c r="T5933" s="28">
        <v>208300000</v>
      </c>
      <c r="U5933" s="28"/>
      <c r="V5933" s="28">
        <v>1756868000</v>
      </c>
      <c r="W5933" s="28">
        <v>30000000</v>
      </c>
      <c r="X5933" s="28">
        <v>1753000</v>
      </c>
      <c r="Y5933" s="28">
        <v>2317863000</v>
      </c>
      <c r="Z5933" s="28">
        <v>-534909000</v>
      </c>
      <c r="AA5933" s="28"/>
      <c r="AB5933" s="28"/>
      <c r="AC5933" s="28">
        <v>2808013000</v>
      </c>
      <c r="AD5933" s="28">
        <v>-528530000</v>
      </c>
      <c r="AE5933" s="28">
        <v>15121410000</v>
      </c>
      <c r="AF5933" s="28">
        <v>7303000</v>
      </c>
      <c r="AG5933" s="11"/>
    </row>
    <row r="5934">
      <c r="A5934" s="7" t="s">
        <v>7531</v>
      </c>
      <c r="B5934" s="5" t="s">
        <v>15478</v>
      </c>
      <c r="C5934" s="5" t="s">
        <v>23143</v>
      </c>
      <c r="D5934" s="5" t="str">
        <v>245200501815</v>
      </c>
      <c r="E5934" s="0" t="e">
        <f>+7 (391) 2745157</f>
        <v>#NAME?</v>
      </c>
      <c r="F5934" s="5" t="s">
        <v>42732</v>
      </c>
      <c r="G5934" s="5" t="s">
        <v>42733</v>
      </c>
      <c r="H5934" s="26">
        <v>7.5</v>
      </c>
      <c r="I5934" s="5" t="s">
        <v>42734</v>
      </c>
      <c r="J5934" s="5" t="s">
        <v>678</v>
      </c>
      <c r="K5934" s="5" t="s">
        <v>344</v>
      </c>
      <c r="L5934" s="5" t="s">
        <v>42735</v>
      </c>
      <c r="M5934" s="27">
        <v>260000</v>
      </c>
      <c r="N5934" s="5"/>
      <c r="O5934" s="5" t="str">
        <v>2466162674</v>
      </c>
      <c r="P5934" s="27">
        <v>100000</v>
      </c>
      <c r="Q5934" s="5" t="s">
        <v>49579</v>
      </c>
      <c r="R5934" s="5"/>
      <c r="S5934" s="5" t="s">
        <v>58266</v>
      </c>
      <c r="T5934" s="28">
        <v>187413000</v>
      </c>
      <c r="U5934" s="28"/>
      <c r="V5934" s="28">
        <v>579082000</v>
      </c>
      <c r="W5934" s="28">
        <v>47317000</v>
      </c>
      <c r="X5934" s="28">
        <v>33969000</v>
      </c>
      <c r="Y5934" s="28">
        <v>2461471000</v>
      </c>
      <c r="Z5934" s="28">
        <v>720181000</v>
      </c>
      <c r="AA5934" s="28"/>
      <c r="AB5934" s="28"/>
      <c r="AC5934" s="28">
        <v>1741189000</v>
      </c>
      <c r="AD5934" s="28">
        <v>720281000</v>
      </c>
      <c r="AE5934" s="28">
        <v>4367309000</v>
      </c>
      <c r="AF5934" s="28">
        <v>474788000</v>
      </c>
      <c r="AG5934" s="11"/>
    </row>
    <row r="5935">
      <c r="A5935" s="7" t="s">
        <v>7532</v>
      </c>
      <c r="B5935" s="5" t="s">
        <v>15479</v>
      </c>
      <c r="C5935" s="5" t="s">
        <v>23144</v>
      </c>
      <c r="D5935" s="5" t="str">
        <v>638139157913</v>
      </c>
      <c r="E5935" s="0" t="e">
        <f>+7 (846) 2334155
+7 (937) 1785438
+7 (917) 1384786
+7 (846) 2540587
+7 (987) 9504195</f>
        <v>#NAME?</v>
      </c>
      <c r="F5935" s="5" t="s">
        <v>42736</v>
      </c>
      <c r="G5935" s="5"/>
      <c r="H5935" s="26">
        <v>7</v>
      </c>
      <c r="I5935" s="5" t="s">
        <v>42737</v>
      </c>
      <c r="J5935" s="5" t="s">
        <v>373</v>
      </c>
      <c r="K5935" s="5" t="s">
        <v>344</v>
      </c>
      <c r="L5935" s="5" t="s">
        <v>42738</v>
      </c>
      <c r="M5935" s="27"/>
      <c r="N5935" s="5" t="s">
        <v>58267</v>
      </c>
      <c r="O5935" s="5" t="str">
        <v>6311164154</v>
      </c>
      <c r="P5935" s="27">
        <v>10000000</v>
      </c>
      <c r="Q5935" s="5" t="s">
        <v>49057</v>
      </c>
      <c r="R5935" s="5"/>
      <c r="S5935" s="5" t="s">
        <v>49454</v>
      </c>
      <c r="T5935" s="28">
        <v>318850000</v>
      </c>
      <c r="U5935" s="28">
        <v>109552000</v>
      </c>
      <c r="V5935" s="28">
        <v>306505000</v>
      </c>
      <c r="W5935" s="28"/>
      <c r="X5935" s="28">
        <v>5577000</v>
      </c>
      <c r="Y5935" s="28">
        <v>1095473000</v>
      </c>
      <c r="Z5935" s="28">
        <v>456177000</v>
      </c>
      <c r="AA5935" s="28">
        <v>384700000</v>
      </c>
      <c r="AB5935" s="28">
        <v>28662000</v>
      </c>
      <c r="AC5935" s="28">
        <v>115022000</v>
      </c>
      <c r="AD5935" s="28">
        <v>466177000</v>
      </c>
      <c r="AE5935" s="28">
        <v>3424933000</v>
      </c>
      <c r="AF5935" s="28">
        <v>199627000</v>
      </c>
      <c r="AG5935" s="11"/>
    </row>
    <row r="5936">
      <c r="A5936" s="7" t="s">
        <v>7533</v>
      </c>
      <c r="B5936" s="5" t="s">
        <v>15480</v>
      </c>
      <c r="C5936" s="5" t="s">
        <v>23145</v>
      </c>
      <c r="D5936" s="5" t="str">
        <v>662330372284</v>
      </c>
      <c r="E5936" s="0" t="e">
        <f>+7 (3435) 478147
+7 (3435) 499088</f>
        <v>#NAME?</v>
      </c>
      <c r="F5936" s="5" t="s">
        <v>42739</v>
      </c>
      <c r="G5936" s="5" t="s">
        <v>42740</v>
      </c>
      <c r="H5936" s="26">
        <v>14</v>
      </c>
      <c r="I5936" s="5" t="s">
        <v>42741</v>
      </c>
      <c r="J5936" s="5" t="s">
        <v>28617</v>
      </c>
      <c r="K5936" s="5" t="s">
        <v>344</v>
      </c>
      <c r="L5936" s="5" t="s">
        <v>31300</v>
      </c>
      <c r="M5936" s="27"/>
      <c r="N5936" s="5" t="s">
        <v>58268</v>
      </c>
      <c r="O5936" s="5" t="str">
        <v>6623058360</v>
      </c>
      <c r="P5936" s="27">
        <v>1000000</v>
      </c>
      <c r="Q5936" s="5" t="s">
        <v>58269</v>
      </c>
      <c r="R5936" s="5"/>
      <c r="S5936" s="5" t="s">
        <v>58270</v>
      </c>
      <c r="T5936" s="28">
        <v>27577000</v>
      </c>
      <c r="U5936" s="28">
        <v>990000</v>
      </c>
      <c r="V5936" s="28">
        <v>779194000</v>
      </c>
      <c r="W5936" s="28">
        <v>75175000</v>
      </c>
      <c r="X5936" s="28">
        <v>131000</v>
      </c>
      <c r="Y5936" s="28">
        <v>1497795000</v>
      </c>
      <c r="Z5936" s="28">
        <v>196673000</v>
      </c>
      <c r="AA5936" s="28">
        <v>155056000</v>
      </c>
      <c r="AB5936" s="28"/>
      <c r="AC5936" s="28">
        <v>1145060000</v>
      </c>
      <c r="AD5936" s="28">
        <v>197673000</v>
      </c>
      <c r="AE5936" s="28">
        <v>3391039000</v>
      </c>
      <c r="AF5936" s="28">
        <v>29532000</v>
      </c>
      <c r="AG5936" s="11"/>
    </row>
    <row r="5937">
      <c r="A5937" s="7" t="s">
        <v>7534</v>
      </c>
      <c r="B5937" s="5" t="s">
        <v>15481</v>
      </c>
      <c r="C5937" s="5" t="s">
        <v>23146</v>
      </c>
      <c r="D5937" s="5" t="str">
        <v>772174717322</v>
      </c>
      <c r="E5937" s="0" t="e">
        <f>+7 (495) 6444000</f>
        <v>#NAME?</v>
      </c>
      <c r="F5937" s="5"/>
      <c r="G5937" s="5" t="s">
        <v>42742</v>
      </c>
      <c r="H5937" s="26">
        <v>7</v>
      </c>
      <c r="I5937" s="5" t="s">
        <v>42743</v>
      </c>
      <c r="J5937" s="5" t="s">
        <v>1013</v>
      </c>
      <c r="K5937" s="5" t="s">
        <v>355</v>
      </c>
      <c r="L5937" s="5" t="s">
        <v>42744</v>
      </c>
      <c r="M5937" s="27">
        <v>14672620</v>
      </c>
      <c r="N5937" s="5"/>
      <c r="O5937" s="5" t="str">
        <v>7709492531</v>
      </c>
      <c r="P5937" s="27">
        <v>100000</v>
      </c>
      <c r="Q5937" s="5" t="s">
        <v>49009</v>
      </c>
      <c r="R5937" s="5"/>
      <c r="S5937" s="5" t="s">
        <v>49010</v>
      </c>
      <c r="T5937" s="28">
        <v>83237000</v>
      </c>
      <c r="U5937" s="28">
        <v>216800000</v>
      </c>
      <c r="V5937" s="28">
        <v>5974558000</v>
      </c>
      <c r="W5937" s="28"/>
      <c r="X5937" s="28">
        <v>95335000</v>
      </c>
      <c r="Y5937" s="28">
        <v>7129869000</v>
      </c>
      <c r="Z5937" s="28">
        <v>66524000</v>
      </c>
      <c r="AA5937" s="28">
        <v>2965246000</v>
      </c>
      <c r="AB5937" s="28"/>
      <c r="AC5937" s="28">
        <v>3946734000</v>
      </c>
      <c r="AD5937" s="28">
        <v>66624000</v>
      </c>
      <c r="AE5937" s="28">
        <v>5441487000</v>
      </c>
      <c r="AF5937" s="28">
        <v>7734000</v>
      </c>
      <c r="AG5937" s="11"/>
    </row>
    <row r="5938">
      <c r="A5938" s="7" t="s">
        <v>7535</v>
      </c>
      <c r="B5938" s="5" t="s">
        <v>15482</v>
      </c>
      <c r="C5938" s="5" t="s">
        <v>23147</v>
      </c>
      <c r="D5938" s="5" t="str">
        <v>660404797989</v>
      </c>
      <c r="E5938" s="0" t="e">
        <f>+7 (343) 3703262
+7 (343) 2701170
+7 (343) 3700910
+7 (343) 3701093
+7 (343) 3701170
+7 (343) 3703261
+7 (343) 3703268
+7 (343) 3703281
+7 (343) 3705529
+7 (343) 3705534
+7 (3433) 761000
+7 (3433) 761009
+7 (3433) 761049
+7 (800) 1005151</f>
        <v>#NAME?</v>
      </c>
      <c r="F5938" s="5" t="s">
        <v>42745</v>
      </c>
      <c r="G5938" s="5"/>
      <c r="H5938" s="26">
        <v>29.5</v>
      </c>
      <c r="I5938" s="5"/>
      <c r="J5938" s="5" t="s">
        <v>27695</v>
      </c>
      <c r="K5938" s="5" t="s">
        <v>344</v>
      </c>
      <c r="L5938" s="5" t="s">
        <v>42746</v>
      </c>
      <c r="M5938" s="27"/>
      <c r="N5938" s="5" t="s">
        <v>58271</v>
      </c>
      <c r="O5938" s="5" t="str">
        <v>6659003692</v>
      </c>
      <c r="P5938" s="27">
        <v>4031874</v>
      </c>
      <c r="Q5938" s="5" t="s">
        <v>49009</v>
      </c>
      <c r="R5938" s="5"/>
      <c r="S5938" s="5" t="s">
        <v>49576</v>
      </c>
      <c r="T5938" s="28">
        <v>5328373000</v>
      </c>
      <c r="U5938" s="28"/>
      <c r="V5938" s="28">
        <v>376333000</v>
      </c>
      <c r="W5938" s="28"/>
      <c r="X5938" s="28">
        <v>323495000</v>
      </c>
      <c r="Y5938" s="28">
        <v>6728574000</v>
      </c>
      <c r="Z5938" s="28">
        <v>2427564000</v>
      </c>
      <c r="AA5938" s="28">
        <v>2941340000</v>
      </c>
      <c r="AB5938" s="28">
        <v>320000000</v>
      </c>
      <c r="AC5938" s="28">
        <v>900529000</v>
      </c>
      <c r="AD5938" s="28">
        <v>2758357000</v>
      </c>
      <c r="AE5938" s="28">
        <v>5347812000</v>
      </c>
      <c r="AF5938" s="28">
        <v>207332000</v>
      </c>
      <c r="AG5938" s="11"/>
    </row>
    <row r="5939">
      <c r="A5939" s="7" t="s">
        <v>7536</v>
      </c>
      <c r="B5939" s="5" t="s">
        <v>15483</v>
      </c>
      <c r="C5939" s="5" t="s">
        <v>23148</v>
      </c>
      <c r="D5939" s="5" t="str">
        <v>773114307404</v>
      </c>
      <c r="E5939" s="0" t="e">
        <f>+7 (495) 2807800</f>
        <v>#NAME?</v>
      </c>
      <c r="F5939" s="5"/>
      <c r="G5939" s="5"/>
      <c r="H5939" s="26">
        <v>4</v>
      </c>
      <c r="I5939" s="5" t="s">
        <v>42747</v>
      </c>
      <c r="J5939" s="5" t="s">
        <v>671</v>
      </c>
      <c r="K5939" s="5" t="s">
        <v>344</v>
      </c>
      <c r="L5939" s="5"/>
      <c r="M5939" s="27"/>
      <c r="N5939" s="5"/>
      <c r="O5939" s="5" t="str">
        <v>9731026963</v>
      </c>
      <c r="P5939" s="27">
        <v>10000</v>
      </c>
      <c r="Q5939" s="5" t="s">
        <v>58272</v>
      </c>
      <c r="R5939" s="5"/>
      <c r="S5939" s="5" t="s">
        <v>55712</v>
      </c>
      <c r="T5939" s="28">
        <v>216752000</v>
      </c>
      <c r="U5939" s="28"/>
      <c r="V5939" s="28">
        <v>16774379000</v>
      </c>
      <c r="W5939" s="28"/>
      <c r="X5939" s="28">
        <v>361202000</v>
      </c>
      <c r="Y5939" s="28">
        <v>19490637000</v>
      </c>
      <c r="Z5939" s="28">
        <v>-307624000</v>
      </c>
      <c r="AA5939" s="28"/>
      <c r="AB5939" s="28"/>
      <c r="AC5939" s="28">
        <v>18065731000</v>
      </c>
      <c r="AD5939" s="28">
        <v>-307614000</v>
      </c>
      <c r="AE5939" s="28">
        <v>18542947000</v>
      </c>
      <c r="AF5939" s="28">
        <v>-91058000</v>
      </c>
      <c r="AG5939" s="11"/>
    </row>
    <row r="5940">
      <c r="A5940" s="7" t="s">
        <v>7537</v>
      </c>
      <c r="B5940" s="5" t="s">
        <v>15484</v>
      </c>
      <c r="C5940" s="5" t="s">
        <v>23149</v>
      </c>
      <c r="D5940" s="5" t="str">
        <v>772370250450</v>
      </c>
      <c r="E5940" s="0" t="e">
        <f>+7 (401) 2611289
+7 (401) 2616661
+7 (903) 2908241</f>
        <v>#NAME?</v>
      </c>
      <c r="F5940" s="5"/>
      <c r="G5940" s="5"/>
      <c r="H5940" s="26">
        <v>7</v>
      </c>
      <c r="I5940" s="5" t="s">
        <v>42748</v>
      </c>
      <c r="J5940" s="5" t="s">
        <v>599</v>
      </c>
      <c r="K5940" s="5" t="s">
        <v>344</v>
      </c>
      <c r="L5940" s="5" t="s">
        <v>42749</v>
      </c>
      <c r="M5940" s="27">
        <v>2442950</v>
      </c>
      <c r="N5940" s="5"/>
      <c r="O5940" s="5" t="str">
        <v>3906979334</v>
      </c>
      <c r="P5940" s="27">
        <v>30000</v>
      </c>
      <c r="Q5940" s="5" t="s">
        <v>49009</v>
      </c>
      <c r="R5940" s="5"/>
      <c r="S5940" s="5" t="s">
        <v>49010</v>
      </c>
      <c r="T5940" s="28">
        <v>54129000</v>
      </c>
      <c r="U5940" s="28"/>
      <c r="V5940" s="28">
        <v>711990000</v>
      </c>
      <c r="W5940" s="28">
        <v>713639000</v>
      </c>
      <c r="X5940" s="28">
        <v>29000</v>
      </c>
      <c r="Y5940" s="28">
        <v>1759728000</v>
      </c>
      <c r="Z5940" s="28">
        <v>334516000</v>
      </c>
      <c r="AA5940" s="28">
        <v>51705000</v>
      </c>
      <c r="AB5940" s="28">
        <v>16213000</v>
      </c>
      <c r="AC5940" s="28">
        <v>1331553000</v>
      </c>
      <c r="AD5940" s="28">
        <v>334546000</v>
      </c>
      <c r="AE5940" s="28">
        <v>5679391000</v>
      </c>
      <c r="AF5940" s="28">
        <v>275124000</v>
      </c>
      <c r="AG5940" s="11"/>
    </row>
    <row r="5941">
      <c r="A5941" s="7" t="s">
        <v>7538</v>
      </c>
      <c r="B5941" s="5" t="s">
        <v>15485</v>
      </c>
      <c r="C5941" s="5" t="s">
        <v>23150</v>
      </c>
      <c r="D5941" s="5" t="str">
        <v>701700773582</v>
      </c>
      <c r="F5941" s="5"/>
      <c r="G5941" s="5"/>
      <c r="H5941" s="26">
        <v>4.5</v>
      </c>
      <c r="I5941" s="5" t="s">
        <v>42750</v>
      </c>
      <c r="J5941" s="5" t="s">
        <v>42751</v>
      </c>
      <c r="K5941" s="5" t="s">
        <v>355</v>
      </c>
      <c r="L5941" s="5" t="s">
        <v>28702</v>
      </c>
      <c r="M5941" s="27">
        <v>2225619</v>
      </c>
      <c r="N5941" s="5"/>
      <c r="O5941" s="5" t="str">
        <v>7839104324</v>
      </c>
      <c r="P5941" s="27">
        <v>10000</v>
      </c>
      <c r="Q5941" s="5" t="s">
        <v>54416</v>
      </c>
      <c r="R5941" s="5"/>
      <c r="S5941" s="5" t="s">
        <v>50487</v>
      </c>
      <c r="T5941" s="28"/>
      <c r="U5941" s="28"/>
      <c r="V5941" s="28">
        <v>984132000</v>
      </c>
      <c r="W5941" s="28">
        <v>350000</v>
      </c>
      <c r="X5941" s="28">
        <v>11156000</v>
      </c>
      <c r="Y5941" s="28">
        <v>1115887000</v>
      </c>
      <c r="Z5941" s="28">
        <v>4726000</v>
      </c>
      <c r="AA5941" s="28">
        <v>-16938000</v>
      </c>
      <c r="AB5941" s="28"/>
      <c r="AC5941" s="28">
        <v>1128046000</v>
      </c>
      <c r="AD5941" s="28">
        <v>4736000</v>
      </c>
      <c r="AE5941" s="28">
        <v>3232976000</v>
      </c>
      <c r="AF5941" s="28">
        <v>36691000</v>
      </c>
      <c r="AG5941" s="11"/>
    </row>
    <row r="5942">
      <c r="A5942" s="7" t="s">
        <v>7538</v>
      </c>
      <c r="B5942" s="5" t="s">
        <v>15486</v>
      </c>
      <c r="C5942" s="5" t="s">
        <v>23151</v>
      </c>
      <c r="D5942" s="5" t="str">
        <v>772446076220</v>
      </c>
      <c r="E5942" s="0" t="e">
        <f>+7 (499) 9226928</f>
        <v>#NAME?</v>
      </c>
      <c r="F5942" s="5"/>
      <c r="G5942" s="5" t="s">
        <v>42752</v>
      </c>
      <c r="H5942" s="26">
        <v>7</v>
      </c>
      <c r="I5942" s="5" t="s">
        <v>42753</v>
      </c>
      <c r="J5942" s="5" t="s">
        <v>26581</v>
      </c>
      <c r="K5942" s="5" t="s">
        <v>344</v>
      </c>
      <c r="L5942" s="5" t="s">
        <v>42754</v>
      </c>
      <c r="M5942" s="27"/>
      <c r="N5942" s="5"/>
      <c r="O5942" s="5" t="str">
        <v>7724343982</v>
      </c>
      <c r="P5942" s="27">
        <v>10000</v>
      </c>
      <c r="Q5942" s="5" t="s">
        <v>49688</v>
      </c>
      <c r="R5942" s="5"/>
      <c r="S5942" s="5" t="s">
        <v>58273</v>
      </c>
      <c r="T5942" s="28">
        <v>7004000</v>
      </c>
      <c r="U5942" s="28"/>
      <c r="V5942" s="28">
        <v>1378731000</v>
      </c>
      <c r="W5942" s="28"/>
      <c r="X5942" s="28">
        <v>7585000</v>
      </c>
      <c r="Y5942" s="28">
        <v>1446191000</v>
      </c>
      <c r="Z5942" s="28">
        <v>421886000</v>
      </c>
      <c r="AA5942" s="28"/>
      <c r="AB5942" s="28"/>
      <c r="AC5942" s="28">
        <v>1023112000</v>
      </c>
      <c r="AD5942" s="28">
        <v>421896000</v>
      </c>
      <c r="AE5942" s="28">
        <v>9092358000</v>
      </c>
      <c r="AF5942" s="28">
        <v>294029000</v>
      </c>
      <c r="AG5942" s="11"/>
    </row>
    <row r="5943">
      <c r="A5943" s="7" t="s">
        <v>7539</v>
      </c>
      <c r="B5943" s="5" t="s">
        <v>15487</v>
      </c>
      <c r="C5943" s="5" t="s">
        <v>23152</v>
      </c>
      <c r="D5943" s="5" t="str">
        <v>331404339937</v>
      </c>
      <c r="E5943" s="0" t="e">
        <f>+7 (926) 3414119
+7 (495) 9808190
+7 (926) 3736833</f>
        <v>#NAME?</v>
      </c>
      <c r="F5943" s="5" t="s">
        <v>42755</v>
      </c>
      <c r="G5943" s="5"/>
      <c r="H5943" s="26">
        <v>7.5</v>
      </c>
      <c r="I5943" s="5" t="s">
        <v>42756</v>
      </c>
      <c r="J5943" s="5" t="s">
        <v>364</v>
      </c>
      <c r="K5943" s="5" t="s">
        <v>344</v>
      </c>
      <c r="L5943" s="5" t="s">
        <v>42757</v>
      </c>
      <c r="M5943" s="27">
        <v>69696890</v>
      </c>
      <c r="N5943" s="5" t="s">
        <v>49787</v>
      </c>
      <c r="O5943" s="5" t="str">
        <v>7709463386</v>
      </c>
      <c r="P5943" s="27">
        <v>100000</v>
      </c>
      <c r="Q5943" s="5" t="s">
        <v>58274</v>
      </c>
      <c r="R5943" s="5"/>
      <c r="S5943" s="5" t="s">
        <v>58275</v>
      </c>
      <c r="T5943" s="28">
        <v>32561000</v>
      </c>
      <c r="U5943" s="28"/>
      <c r="V5943" s="28">
        <v>2608270000</v>
      </c>
      <c r="W5943" s="28">
        <v>748174000</v>
      </c>
      <c r="X5943" s="28">
        <v>9148000</v>
      </c>
      <c r="Y5943" s="28">
        <v>3621745000</v>
      </c>
      <c r="Z5943" s="28">
        <v>423501000</v>
      </c>
      <c r="AA5943" s="28">
        <v>1427900000</v>
      </c>
      <c r="AB5943" s="28">
        <v>17560000</v>
      </c>
      <c r="AC5943" s="28">
        <v>1767405000</v>
      </c>
      <c r="AD5943" s="28">
        <v>423601000</v>
      </c>
      <c r="AE5943" s="28">
        <v>3410516000</v>
      </c>
      <c r="AF5943" s="28">
        <v>147495000</v>
      </c>
      <c r="AG5943" s="11"/>
    </row>
    <row r="5944">
      <c r="A5944" s="7" t="s">
        <v>7540</v>
      </c>
      <c r="B5944" s="5" t="s">
        <v>15488</v>
      </c>
      <c r="C5944" s="5" t="s">
        <v>23153</v>
      </c>
      <c r="D5944" s="5" t="str">
        <v>773464539183</v>
      </c>
      <c r="F5944" s="5"/>
      <c r="G5944" s="5"/>
      <c r="H5944" s="26">
        <v>3</v>
      </c>
      <c r="I5944" s="5" t="s">
        <v>42758</v>
      </c>
      <c r="J5944" s="5" t="s">
        <v>373</v>
      </c>
      <c r="K5944" s="5" t="s">
        <v>344</v>
      </c>
      <c r="L5944" s="5" t="s">
        <v>42759</v>
      </c>
      <c r="M5944" s="27"/>
      <c r="N5944" s="5"/>
      <c r="O5944" s="5" t="str">
        <v>7714455221</v>
      </c>
      <c r="P5944" s="27">
        <v>10000</v>
      </c>
      <c r="Q5944" s="5" t="s">
        <v>49021</v>
      </c>
      <c r="R5944" s="5"/>
      <c r="S5944" s="5" t="s">
        <v>58276</v>
      </c>
      <c r="T5944" s="28">
        <v>10194000</v>
      </c>
      <c r="U5944" s="28"/>
      <c r="V5944" s="28">
        <v>5963000</v>
      </c>
      <c r="W5944" s="28">
        <v>4526000</v>
      </c>
      <c r="X5944" s="28">
        <v>147577000</v>
      </c>
      <c r="Y5944" s="28">
        <v>169245000</v>
      </c>
      <c r="Z5944" s="28">
        <v>160256000</v>
      </c>
      <c r="AA5944" s="28"/>
      <c r="AB5944" s="28"/>
      <c r="AC5944" s="28">
        <v>8979000</v>
      </c>
      <c r="AD5944" s="28">
        <v>160266000</v>
      </c>
      <c r="AE5944" s="28">
        <v>3987951000</v>
      </c>
      <c r="AF5944" s="28">
        <v>194051000</v>
      </c>
      <c r="AG5944" s="11"/>
    </row>
    <row r="5945">
      <c r="A5945" s="7" t="s">
        <v>7541</v>
      </c>
      <c r="B5945" s="5" t="s">
        <v>15489</v>
      </c>
      <c r="C5945" s="5" t="s">
        <v>23154</v>
      </c>
      <c r="D5945" s="5" t="str">
        <v>773462040053</v>
      </c>
      <c r="E5945" s="0" t="e">
        <f>+7 (495) 7775443</f>
        <v>#NAME?</v>
      </c>
      <c r="F5945" s="5" t="s">
        <v>42760</v>
      </c>
      <c r="G5945" s="5" t="s">
        <v>42761</v>
      </c>
      <c r="H5945" s="26">
        <v>10.5</v>
      </c>
      <c r="I5945" s="5" t="s">
        <v>42762</v>
      </c>
      <c r="J5945" s="5" t="s">
        <v>748</v>
      </c>
      <c r="K5945" s="5" t="s">
        <v>344</v>
      </c>
      <c r="L5945" s="5" t="s">
        <v>42763</v>
      </c>
      <c r="M5945" s="27"/>
      <c r="N5945" s="5" t="s">
        <v>58277</v>
      </c>
      <c r="O5945" s="5" t="str">
        <v>7715934509</v>
      </c>
      <c r="P5945" s="27">
        <v>5500000</v>
      </c>
      <c r="Q5945" s="5" t="s">
        <v>58278</v>
      </c>
      <c r="R5945" s="5"/>
      <c r="S5945" s="5" t="s">
        <v>58279</v>
      </c>
      <c r="T5945" s="28">
        <v>946921000</v>
      </c>
      <c r="U5945" s="28">
        <v>1984797000</v>
      </c>
      <c r="V5945" s="28">
        <v>1268315000</v>
      </c>
      <c r="W5945" s="28">
        <v>16035000</v>
      </c>
      <c r="X5945" s="28">
        <v>493940000</v>
      </c>
      <c r="Y5945" s="28">
        <v>5076539000</v>
      </c>
      <c r="Z5945" s="28">
        <v>642565000</v>
      </c>
      <c r="AA5945" s="28"/>
      <c r="AB5945" s="28">
        <v>550981000</v>
      </c>
      <c r="AC5945" s="28">
        <v>3361722000</v>
      </c>
      <c r="AD5945" s="28">
        <v>648593000</v>
      </c>
      <c r="AE5945" s="28">
        <v>4194999000</v>
      </c>
      <c r="AF5945" s="28">
        <v>133615000</v>
      </c>
      <c r="AG5945" s="11"/>
    </row>
    <row r="5946">
      <c r="A5946" s="7" t="s">
        <v>7542</v>
      </c>
      <c r="B5946" s="5" t="s">
        <v>15490</v>
      </c>
      <c r="C5946" s="5" t="s">
        <v>23155</v>
      </c>
      <c r="D5946" s="5" t="str">
        <v>780525317880</v>
      </c>
      <c r="E5946" s="0" t="e">
        <f>+7 (921) 9642289
+7 (812) 3314692</f>
        <v>#NAME?</v>
      </c>
      <c r="F5946" s="5" t="s">
        <v>42764</v>
      </c>
      <c r="G5946" s="5" t="s">
        <v>42765</v>
      </c>
      <c r="H5946" s="26">
        <v>5.5</v>
      </c>
      <c r="I5946" s="5" t="s">
        <v>42766</v>
      </c>
      <c r="J5946" s="5" t="s">
        <v>373</v>
      </c>
      <c r="K5946" s="5" t="s">
        <v>344</v>
      </c>
      <c r="L5946" s="5" t="s">
        <v>42767</v>
      </c>
      <c r="M5946" s="27"/>
      <c r="N5946" s="5"/>
      <c r="O5946" s="5" t="str">
        <v>7814694390</v>
      </c>
      <c r="P5946" s="27">
        <v>10000</v>
      </c>
      <c r="Q5946" s="5"/>
      <c r="R5946" s="5"/>
      <c r="S5946" s="5" t="s">
        <v>52472</v>
      </c>
      <c r="T5946" s="28">
        <v>260054000</v>
      </c>
      <c r="U5946" s="28"/>
      <c r="V5946" s="28">
        <v>509103000</v>
      </c>
      <c r="W5946" s="28"/>
      <c r="X5946" s="28">
        <v>10306000</v>
      </c>
      <c r="Y5946" s="28">
        <v>1551897000</v>
      </c>
      <c r="Z5946" s="28">
        <v>130669000</v>
      </c>
      <c r="AA5946" s="28">
        <v>6037000</v>
      </c>
      <c r="AB5946" s="28">
        <v>610609000</v>
      </c>
      <c r="AC5946" s="28">
        <v>1205905000</v>
      </c>
      <c r="AD5946" s="28">
        <v>130679000</v>
      </c>
      <c r="AE5946" s="28">
        <v>4412968000</v>
      </c>
      <c r="AF5946" s="28">
        <v>175414000</v>
      </c>
      <c r="AG5946" s="11"/>
    </row>
    <row r="5947">
      <c r="A5947" s="7" t="s">
        <v>7542</v>
      </c>
      <c r="B5947" s="5" t="s">
        <v>15491</v>
      </c>
      <c r="C5947" s="5" t="s">
        <v>20897</v>
      </c>
      <c r="D5947" s="5"/>
      <c r="E5947" s="0" t="e">
        <f>+7 (391) 2771390
+7 (391) 2777820
+7 (800) 7758950
+7 (902) 9426490
+7 (902) 9820046
+7 (902) 9822879
+7 (902) 9822904
+7 (962) 672662
+7 (962) 730444
+7 (962) 823555
+7 (962) 824646
+7 (963) 1912161
+7 (967) 6125455
+7 (967) 6129022</f>
        <v>#NAME?</v>
      </c>
      <c r="F5947" s="5" t="s">
        <v>42768</v>
      </c>
      <c r="G5947" s="5" t="s">
        <v>42769</v>
      </c>
      <c r="H5947" s="26">
        <v>12</v>
      </c>
      <c r="I5947" s="5" t="s">
        <v>42770</v>
      </c>
      <c r="J5947" s="5" t="s">
        <v>25853</v>
      </c>
      <c r="K5947" s="5" t="s">
        <v>344</v>
      </c>
      <c r="L5947" s="5"/>
      <c r="M5947" s="27">
        <v>9842033</v>
      </c>
      <c r="N5947" s="5"/>
      <c r="O5947" s="5" t="str">
        <v>2464231675</v>
      </c>
      <c r="P5947" s="27">
        <v>500000</v>
      </c>
      <c r="Q5947" s="5" t="s">
        <v>49009</v>
      </c>
      <c r="R5947" s="5"/>
      <c r="S5947" s="5" t="s">
        <v>49028</v>
      </c>
      <c r="T5947" s="28">
        <v>5068605000</v>
      </c>
      <c r="U5947" s="28">
        <v>360525000</v>
      </c>
      <c r="V5947" s="28">
        <v>324311000</v>
      </c>
      <c r="W5947" s="28">
        <v>900000</v>
      </c>
      <c r="X5947" s="28">
        <v>662963000</v>
      </c>
      <c r="Y5947" s="28">
        <v>9008943000</v>
      </c>
      <c r="Z5947" s="28">
        <v>648976000</v>
      </c>
      <c r="AA5947" s="28"/>
      <c r="AB5947" s="28">
        <v>13000</v>
      </c>
      <c r="AC5947" s="28">
        <v>4591557000</v>
      </c>
      <c r="AD5947" s="28">
        <v>649476000</v>
      </c>
      <c r="AE5947" s="28">
        <v>33557271000</v>
      </c>
      <c r="AF5947" s="28">
        <v>629034000</v>
      </c>
      <c r="AG5947" s="11"/>
    </row>
    <row r="5948">
      <c r="A5948" s="7" t="s">
        <v>7543</v>
      </c>
      <c r="B5948" s="5" t="s">
        <v>15492</v>
      </c>
      <c r="C5948" s="5" t="s">
        <v>23156</v>
      </c>
      <c r="D5948" s="5" t="str">
        <v>027401750609</v>
      </c>
      <c r="E5948" s="0" t="e">
        <f>+7 (917) 4967005</f>
        <v>#NAME?</v>
      </c>
      <c r="F5948" s="5" t="s">
        <v>42771</v>
      </c>
      <c r="G5948" s="5"/>
      <c r="H5948" s="26">
        <v>16</v>
      </c>
      <c r="I5948" s="5" t="s">
        <v>42772</v>
      </c>
      <c r="J5948" s="5" t="s">
        <v>32549</v>
      </c>
      <c r="K5948" s="5" t="s">
        <v>344</v>
      </c>
      <c r="L5948" s="5" t="s">
        <v>42773</v>
      </c>
      <c r="M5948" s="27"/>
      <c r="N5948" s="5"/>
      <c r="O5948" s="5" t="str">
        <v>0278135321</v>
      </c>
      <c r="P5948" s="27">
        <v>10000</v>
      </c>
      <c r="Q5948" s="5" t="s">
        <v>58280</v>
      </c>
      <c r="R5948" s="5"/>
      <c r="S5948" s="5" t="s">
        <v>49358</v>
      </c>
      <c r="T5948" s="28">
        <v>473000</v>
      </c>
      <c r="U5948" s="28"/>
      <c r="V5948" s="28">
        <v>256614000</v>
      </c>
      <c r="W5948" s="28">
        <v>83988000</v>
      </c>
      <c r="X5948" s="28">
        <v>45746000</v>
      </c>
      <c r="Y5948" s="28">
        <v>412989000</v>
      </c>
      <c r="Z5948" s="28">
        <v>94637000</v>
      </c>
      <c r="AA5948" s="28">
        <v>133450000</v>
      </c>
      <c r="AB5948" s="28">
        <v>120407000</v>
      </c>
      <c r="AC5948" s="28">
        <v>184314000</v>
      </c>
      <c r="AD5948" s="28">
        <v>94647000</v>
      </c>
      <c r="AE5948" s="28">
        <v>3160808000</v>
      </c>
      <c r="AF5948" s="28">
        <v>4000</v>
      </c>
      <c r="AG5948" s="11"/>
    </row>
    <row r="5949">
      <c r="A5949" s="7" t="s">
        <v>7544</v>
      </c>
      <c r="B5949" s="5" t="s">
        <v>15493</v>
      </c>
      <c r="C5949" s="5" t="s">
        <v>23157</v>
      </c>
      <c r="D5949" s="5" t="str">
        <v>781620414331</v>
      </c>
      <c r="E5949" s="0" t="e">
        <f>+7 (916) 7733664</f>
        <v>#NAME?</v>
      </c>
      <c r="F5949" s="5" t="s">
        <v>42774</v>
      </c>
      <c r="G5949" s="5"/>
      <c r="H5949" s="26">
        <v>5.5</v>
      </c>
      <c r="I5949" s="5"/>
      <c r="J5949" s="5" t="s">
        <v>26325</v>
      </c>
      <c r="K5949" s="5" t="s">
        <v>380</v>
      </c>
      <c r="L5949" s="5" t="s">
        <v>42775</v>
      </c>
      <c r="M5949" s="27">
        <v>54011885</v>
      </c>
      <c r="N5949" s="5" t="s">
        <v>49403</v>
      </c>
      <c r="O5949" s="5" t="str">
        <v>9703084956</v>
      </c>
      <c r="P5949" s="27">
        <v>15000000</v>
      </c>
      <c r="Q5949" s="5" t="s">
        <v>58281</v>
      </c>
      <c r="R5949" s="5" t="s">
        <v>58282</v>
      </c>
      <c r="S5949" s="5" t="s">
        <v>58283</v>
      </c>
      <c r="T5949" s="28">
        <v>408770000</v>
      </c>
      <c r="U5949" s="28">
        <v>37000</v>
      </c>
      <c r="V5949" s="28">
        <v>1233806000</v>
      </c>
      <c r="W5949" s="28">
        <v>12696000</v>
      </c>
      <c r="X5949" s="28">
        <v>84421000</v>
      </c>
      <c r="Y5949" s="28">
        <v>2808119000</v>
      </c>
      <c r="Z5949" s="28">
        <v>43198000</v>
      </c>
      <c r="AA5949" s="28"/>
      <c r="AB5949" s="28">
        <v>503258000</v>
      </c>
      <c r="AC5949" s="28">
        <v>2528719000</v>
      </c>
      <c r="AD5949" s="28">
        <v>58198000</v>
      </c>
      <c r="AE5949" s="28">
        <v>5836544000</v>
      </c>
      <c r="AF5949" s="28">
        <v>3022000</v>
      </c>
      <c r="AG5949" s="11"/>
    </row>
    <row r="5950">
      <c r="A5950" s="7" t="s">
        <v>7545</v>
      </c>
      <c r="B5950" s="5" t="s">
        <v>15494</v>
      </c>
      <c r="C5950" s="5" t="s">
        <v>23158</v>
      </c>
      <c r="D5950" s="5" t="str">
        <v>773376537807</v>
      </c>
      <c r="F5950" s="5" t="s">
        <v>42776</v>
      </c>
      <c r="G5950" s="5"/>
      <c r="H5950" s="26">
        <v>4</v>
      </c>
      <c r="I5950" s="5" t="s">
        <v>42777</v>
      </c>
      <c r="J5950" s="5" t="s">
        <v>25530</v>
      </c>
      <c r="K5950" s="5" t="s">
        <v>344</v>
      </c>
      <c r="L5950" s="5" t="s">
        <v>42778</v>
      </c>
      <c r="M5950" s="27"/>
      <c r="N5950" s="5"/>
      <c r="O5950" s="5" t="str">
        <v>9705129000</v>
      </c>
      <c r="P5950" s="27">
        <v>500000</v>
      </c>
      <c r="Q5950" s="5" t="s">
        <v>49319</v>
      </c>
      <c r="R5950" s="5"/>
      <c r="S5950" s="5" t="s">
        <v>49774</v>
      </c>
      <c r="T5950" s="28">
        <v>19909000</v>
      </c>
      <c r="U5950" s="28"/>
      <c r="V5950" s="28">
        <v>1244803000</v>
      </c>
      <c r="W5950" s="28"/>
      <c r="X5950" s="28">
        <v>207012000</v>
      </c>
      <c r="Y5950" s="28">
        <v>3362524000</v>
      </c>
      <c r="Z5950" s="28">
        <v>669707000</v>
      </c>
      <c r="AA5950" s="28">
        <v>1321640000</v>
      </c>
      <c r="AB5950" s="28"/>
      <c r="AC5950" s="28">
        <v>1364827000</v>
      </c>
      <c r="AD5950" s="28">
        <v>670207000</v>
      </c>
      <c r="AE5950" s="28">
        <v>3126880000</v>
      </c>
      <c r="AF5950" s="28">
        <v>250299000</v>
      </c>
      <c r="AG5950" s="11"/>
    </row>
    <row r="5951">
      <c r="A5951" s="7" t="s">
        <v>7546</v>
      </c>
      <c r="B5951" s="5" t="s">
        <v>15495</v>
      </c>
      <c r="C5951" s="5" t="s">
        <v>23159</v>
      </c>
      <c r="D5951" s="5" t="str">
        <v>470313946673</v>
      </c>
      <c r="E5951" s="0" t="e">
        <f>+7 (495) 3254041
+7 (909) 5790572
+7 (495) 3216910
+7 (495) 3216944
+7 (495) 3216965
+7 (495) 3217000
+7 (495) 3217022
+7 (495) 3217038
+7 (495) 3254011</f>
        <v>#NAME?</v>
      </c>
      <c r="F5951" s="5" t="s">
        <v>42779</v>
      </c>
      <c r="G5951" s="5"/>
      <c r="H5951" s="26">
        <v>25.5</v>
      </c>
      <c r="I5951" s="5"/>
      <c r="J5951" s="5" t="s">
        <v>27070</v>
      </c>
      <c r="K5951" s="5" t="s">
        <v>344</v>
      </c>
      <c r="L5951" s="5" t="s">
        <v>42780</v>
      </c>
      <c r="M5951" s="27"/>
      <c r="N5951" s="5" t="s">
        <v>58284</v>
      </c>
      <c r="O5951" s="5" t="str">
        <v>7724190750</v>
      </c>
      <c r="P5951" s="27">
        <v>175910000</v>
      </c>
      <c r="Q5951" s="5"/>
      <c r="R5951" s="5"/>
      <c r="S5951" s="5" t="s">
        <v>49425</v>
      </c>
      <c r="T5951" s="28">
        <v>2878287000</v>
      </c>
      <c r="U5951" s="28"/>
      <c r="V5951" s="28">
        <v>2579950000</v>
      </c>
      <c r="W5951" s="28"/>
      <c r="X5951" s="28">
        <v>3583974000</v>
      </c>
      <c r="Y5951" s="28">
        <v>9677754000</v>
      </c>
      <c r="Z5951" s="28">
        <v>6662021000</v>
      </c>
      <c r="AA5951" s="28">
        <v>24000000</v>
      </c>
      <c r="AB5951" s="28">
        <v>37000000</v>
      </c>
      <c r="AC5951" s="28">
        <v>2354103000</v>
      </c>
      <c r="AD5951" s="28">
        <v>7184780000</v>
      </c>
      <c r="AE5951" s="28">
        <v>13951388000</v>
      </c>
      <c r="AF5951" s="28">
        <v>1752947000</v>
      </c>
      <c r="AG5951" s="11"/>
    </row>
    <row r="5952">
      <c r="A5952" s="7" t="s">
        <v>7547</v>
      </c>
      <c r="B5952" s="5" t="s">
        <v>15496</v>
      </c>
      <c r="C5952" s="5" t="s">
        <v>23160</v>
      </c>
      <c r="D5952" s="5" t="str">
        <v>771531412463</v>
      </c>
      <c r="F5952" s="5"/>
      <c r="G5952" s="5"/>
      <c r="H5952" s="26">
        <v>10</v>
      </c>
      <c r="I5952" s="5" t="s">
        <v>42781</v>
      </c>
      <c r="J5952" s="5" t="s">
        <v>26767</v>
      </c>
      <c r="K5952" s="5" t="s">
        <v>344</v>
      </c>
      <c r="L5952" s="5" t="s">
        <v>34571</v>
      </c>
      <c r="M5952" s="27"/>
      <c r="N5952" s="5" t="s">
        <v>58285</v>
      </c>
      <c r="O5952" s="5" t="str">
        <v>7722804349</v>
      </c>
      <c r="P5952" s="27">
        <v>2032237035</v>
      </c>
      <c r="Q5952" s="5" t="s">
        <v>49009</v>
      </c>
      <c r="R5952" s="5"/>
      <c r="S5952" s="5" t="s">
        <v>49116</v>
      </c>
      <c r="T5952" s="28">
        <v>504995000</v>
      </c>
      <c r="U5952" s="28"/>
      <c r="V5952" s="28">
        <v>926637000</v>
      </c>
      <c r="W5952" s="28"/>
      <c r="X5952" s="28">
        <v>830622000</v>
      </c>
      <c r="Y5952" s="28">
        <v>3120963000</v>
      </c>
      <c r="Z5952" s="28">
        <v>537731000</v>
      </c>
      <c r="AA5952" s="28"/>
      <c r="AB5952" s="28"/>
      <c r="AC5952" s="28">
        <v>370958000</v>
      </c>
      <c r="AD5952" s="28">
        <v>2569968000</v>
      </c>
      <c r="AE5952" s="28">
        <v>3008904000</v>
      </c>
      <c r="AF5952" s="28">
        <v>288201000</v>
      </c>
      <c r="AG5952" s="11"/>
    </row>
    <row r="5953">
      <c r="A5953" s="7" t="s">
        <v>7548</v>
      </c>
      <c r="B5953" s="5" t="s">
        <v>15497</v>
      </c>
      <c r="C5953" s="5" t="s">
        <v>23161</v>
      </c>
      <c r="D5953" s="5" t="str">
        <v>631917555184</v>
      </c>
      <c r="E5953" s="0" t="e">
        <f>+7 (8482) 697223
+7 (927) 6118426</f>
        <v>#NAME?</v>
      </c>
      <c r="F5953" s="5" t="s">
        <v>42782</v>
      </c>
      <c r="G5953" s="5" t="s">
        <v>42783</v>
      </c>
      <c r="H5953" s="26">
        <v>20</v>
      </c>
      <c r="I5953" s="5" t="s">
        <v>42784</v>
      </c>
      <c r="J5953" s="5" t="s">
        <v>36079</v>
      </c>
      <c r="K5953" s="5" t="s">
        <v>355</v>
      </c>
      <c r="L5953" s="5" t="s">
        <v>42785</v>
      </c>
      <c r="M5953" s="27"/>
      <c r="N5953" s="5"/>
      <c r="O5953" s="5" t="str">
        <v>6323070260</v>
      </c>
      <c r="P5953" s="27">
        <v>100000</v>
      </c>
      <c r="Q5953" s="5"/>
      <c r="R5953" s="5"/>
      <c r="S5953" s="5" t="s">
        <v>49110</v>
      </c>
      <c r="T5953" s="28">
        <v>6522000</v>
      </c>
      <c r="U5953" s="28">
        <v>22463000</v>
      </c>
      <c r="V5953" s="28">
        <v>1005923000</v>
      </c>
      <c r="W5953" s="28">
        <v>24872000</v>
      </c>
      <c r="X5953" s="28">
        <v>8945000</v>
      </c>
      <c r="Y5953" s="28">
        <v>2097336000</v>
      </c>
      <c r="Z5953" s="28">
        <v>8381000</v>
      </c>
      <c r="AA5953" s="28"/>
      <c r="AB5953" s="28">
        <v>11700000</v>
      </c>
      <c r="AC5953" s="28">
        <v>2088817000</v>
      </c>
      <c r="AD5953" s="28">
        <v>8511000</v>
      </c>
      <c r="AE5953" s="28">
        <v>6098551000</v>
      </c>
      <c r="AF5953" s="28">
        <v>44606000</v>
      </c>
      <c r="AG5953" s="11"/>
    </row>
    <row r="5954">
      <c r="A5954" s="7" t="s">
        <v>7549</v>
      </c>
      <c r="B5954" s="5" t="s">
        <v>15498</v>
      </c>
      <c r="C5954" s="5" t="s">
        <v>23162</v>
      </c>
      <c r="D5954" s="5" t="str">
        <v>233709037106</v>
      </c>
      <c r="E5954" s="0" t="e">
        <f>+7 (861) 2139010
+7 (861) 2170371
+7 (918) 6798919</f>
        <v>#NAME?</v>
      </c>
      <c r="F5954" s="5" t="s">
        <v>42786</v>
      </c>
      <c r="G5954" s="5"/>
      <c r="H5954" s="26">
        <v>3.5</v>
      </c>
      <c r="I5954" s="5" t="s">
        <v>42787</v>
      </c>
      <c r="J5954" s="5" t="s">
        <v>28290</v>
      </c>
      <c r="K5954" s="5" t="s">
        <v>344</v>
      </c>
      <c r="L5954" s="5" t="s">
        <v>42788</v>
      </c>
      <c r="M5954" s="27">
        <v>18229946</v>
      </c>
      <c r="N5954" s="5" t="s">
        <v>58286</v>
      </c>
      <c r="O5954" s="5" t="str">
        <v>2376002404</v>
      </c>
      <c r="P5954" s="27">
        <v>10000</v>
      </c>
      <c r="Q5954" s="5"/>
      <c r="R5954" s="5"/>
      <c r="S5954" s="5" t="s">
        <v>53269</v>
      </c>
      <c r="T5954" s="28">
        <v>2932000</v>
      </c>
      <c r="U5954" s="28"/>
      <c r="V5954" s="28">
        <v>1319944000</v>
      </c>
      <c r="W5954" s="28">
        <v>113700000</v>
      </c>
      <c r="X5954" s="28">
        <v>27429000</v>
      </c>
      <c r="Y5954" s="28">
        <v>1734936000</v>
      </c>
      <c r="Z5954" s="28">
        <v>325815000</v>
      </c>
      <c r="AA5954" s="28"/>
      <c r="AB5954" s="28">
        <v>281905000</v>
      </c>
      <c r="AC5954" s="28">
        <v>1408126000</v>
      </c>
      <c r="AD5954" s="28">
        <v>325825000</v>
      </c>
      <c r="AE5954" s="28">
        <v>4750361000</v>
      </c>
      <c r="AF5954" s="28">
        <v>316857000</v>
      </c>
      <c r="AG5954" s="11"/>
    </row>
    <row r="5955">
      <c r="A5955" s="7" t="s">
        <v>7550</v>
      </c>
      <c r="B5955" s="5" t="s">
        <v>15499</v>
      </c>
      <c r="C5955" s="5" t="s">
        <v>23163</v>
      </c>
      <c r="D5955" s="5" t="str">
        <v>582900189100</v>
      </c>
      <c r="E5955" s="0" t="e">
        <f>+7 (424) 2244154
+7 (424) 2464791
+7 (424) 2500801
+7 (424) 2556741
+7 (424) 2556752
+7 (424) 2556753
+7 (424) 2556899
+7 (424) 2556931
+7 (984) 1395134</f>
        <v>#NAME?</v>
      </c>
      <c r="F5955" s="5" t="s">
        <v>42789</v>
      </c>
      <c r="G5955" s="5" t="s">
        <v>42790</v>
      </c>
      <c r="H5955" s="26">
        <v>23.5</v>
      </c>
      <c r="I5955" s="5" t="s">
        <v>42791</v>
      </c>
      <c r="J5955" s="5" t="s">
        <v>364</v>
      </c>
      <c r="K5955" s="5" t="s">
        <v>344</v>
      </c>
      <c r="L5955" s="5" t="s">
        <v>42792</v>
      </c>
      <c r="M5955" s="27"/>
      <c r="N5955" s="5"/>
      <c r="O5955" s="5" t="str">
        <v>6506007900</v>
      </c>
      <c r="P5955" s="27">
        <v>1216516</v>
      </c>
      <c r="Q5955" s="5" t="s">
        <v>52787</v>
      </c>
      <c r="R5955" s="5"/>
      <c r="S5955" s="5" t="s">
        <v>58287</v>
      </c>
      <c r="T5955" s="28">
        <v>101361000</v>
      </c>
      <c r="U5955" s="28">
        <v>108974000</v>
      </c>
      <c r="V5955" s="28">
        <v>774788000</v>
      </c>
      <c r="W5955" s="28"/>
      <c r="X5955" s="28">
        <v>1183279000</v>
      </c>
      <c r="Y5955" s="28">
        <v>2266629000</v>
      </c>
      <c r="Z5955" s="28">
        <v>804641000</v>
      </c>
      <c r="AA5955" s="28"/>
      <c r="AB5955" s="28"/>
      <c r="AC5955" s="28">
        <v>1217748000</v>
      </c>
      <c r="AD5955" s="28">
        <v>817048000</v>
      </c>
      <c r="AE5955" s="28">
        <v>5290953000</v>
      </c>
      <c r="AF5955" s="28">
        <v>670997000</v>
      </c>
      <c r="AG5955" s="11"/>
    </row>
    <row r="5956">
      <c r="A5956" s="7" t="s">
        <v>7551</v>
      </c>
      <c r="B5956" s="5" t="s">
        <v>15500</v>
      </c>
      <c r="C5956" s="5" t="s">
        <v>23164</v>
      </c>
      <c r="D5956" s="5" t="str">
        <v>673001649563</v>
      </c>
      <c r="E5956" s="0" t="e">
        <f>+7 (951) 7178487
+7 (481) 2218100
+7 (481) 2273723
+7 (481) 2618100
+7 (908) 683074
+7 (952) 5373388
+7 (962) 1916606</f>
        <v>#NAME?</v>
      </c>
      <c r="F5956" s="5" t="s">
        <v>42793</v>
      </c>
      <c r="G5956" s="5" t="s">
        <v>42794</v>
      </c>
      <c r="H5956" s="26">
        <v>30.5</v>
      </c>
      <c r="I5956" s="5" t="s">
        <v>42795</v>
      </c>
      <c r="J5956" s="5" t="s">
        <v>27266</v>
      </c>
      <c r="K5956" s="5" t="s">
        <v>344</v>
      </c>
      <c r="L5956" s="5" t="s">
        <v>39153</v>
      </c>
      <c r="M5956" s="27"/>
      <c r="N5956" s="5" t="s">
        <v>58288</v>
      </c>
      <c r="O5956" s="5" t="str">
        <v>6732154666</v>
      </c>
      <c r="P5956" s="27">
        <v>93532</v>
      </c>
      <c r="Q5956" s="5" t="s">
        <v>49009</v>
      </c>
      <c r="R5956" s="5" t="s">
        <v>54469</v>
      </c>
      <c r="S5956" s="5" t="s">
        <v>49028</v>
      </c>
      <c r="T5956" s="28">
        <v>348377000</v>
      </c>
      <c r="U5956" s="28">
        <v>82235000</v>
      </c>
      <c r="V5956" s="28">
        <v>173611000</v>
      </c>
      <c r="W5956" s="28"/>
      <c r="X5956" s="28">
        <v>918000</v>
      </c>
      <c r="Y5956" s="28">
        <v>1147558000</v>
      </c>
      <c r="Z5956" s="28">
        <v>346571000</v>
      </c>
      <c r="AA5956" s="28">
        <v>372154000</v>
      </c>
      <c r="AB5956" s="28">
        <v>35406000</v>
      </c>
      <c r="AC5956" s="28">
        <v>407194000</v>
      </c>
      <c r="AD5956" s="28">
        <v>349962000</v>
      </c>
      <c r="AE5956" s="28">
        <v>4057493000</v>
      </c>
      <c r="AF5956" s="28">
        <v>94662000</v>
      </c>
      <c r="AG5956" s="11"/>
    </row>
    <row r="5957">
      <c r="A5957" s="7" t="s">
        <v>7552</v>
      </c>
      <c r="B5957" s="5" t="s">
        <v>15501</v>
      </c>
      <c r="C5957" s="5" t="s">
        <v>23165</v>
      </c>
      <c r="D5957" s="5" t="str">
        <v>623106894497</v>
      </c>
      <c r="E5957" s="0" t="e">
        <f>+7 (481) 2207359
+7 (481) 2208020
+7 (481) 2212237
+7 (481) 2229070
+7 (481) 2310527
+7 (481) 2324589
+7 (481) 2338521
+7 (481) 2345612
+7 (481) 2358789
+7 (481) 2372272
+7 (481) 2377722
+7 (481) 2310158
+7 (481) 2339429
+7 (481) 2377224
+7 (481) 2621237</f>
        <v>#NAME?</v>
      </c>
      <c r="F5957" s="5" t="s">
        <v>42796</v>
      </c>
      <c r="G5957" s="5" t="s">
        <v>42797</v>
      </c>
      <c r="H5957" s="26">
        <v>20</v>
      </c>
      <c r="I5957" s="5" t="s">
        <v>42798</v>
      </c>
      <c r="J5957" s="5" t="s">
        <v>28968</v>
      </c>
      <c r="K5957" s="5" t="s">
        <v>344</v>
      </c>
      <c r="L5957" s="5" t="s">
        <v>42799</v>
      </c>
      <c r="M5957" s="27">
        <v>19491464</v>
      </c>
      <c r="N5957" s="5" t="s">
        <v>58289</v>
      </c>
      <c r="O5957" s="5" t="str">
        <v>6730048214</v>
      </c>
      <c r="P5957" s="27">
        <v>297272261</v>
      </c>
      <c r="Q5957" s="5" t="s">
        <v>58290</v>
      </c>
      <c r="R5957" s="5"/>
      <c r="S5957" s="5" t="s">
        <v>58291</v>
      </c>
      <c r="T5957" s="28">
        <v>1019947000</v>
      </c>
      <c r="U5957" s="28">
        <v>33207000</v>
      </c>
      <c r="V5957" s="28">
        <v>1020547000</v>
      </c>
      <c r="W5957" s="28"/>
      <c r="X5957" s="28">
        <v>41851000</v>
      </c>
      <c r="Y5957" s="28">
        <v>2298941000</v>
      </c>
      <c r="Z5957" s="28">
        <v>-124872000</v>
      </c>
      <c r="AA5957" s="28">
        <v>934110000</v>
      </c>
      <c r="AB5957" s="28"/>
      <c r="AC5957" s="28">
        <v>915680000</v>
      </c>
      <c r="AD5957" s="28">
        <v>265600000</v>
      </c>
      <c r="AE5957" s="28">
        <v>3009815000</v>
      </c>
      <c r="AF5957" s="28">
        <v>30472000</v>
      </c>
      <c r="AG5957" s="11"/>
    </row>
    <row r="5958">
      <c r="A5958" s="7" t="s">
        <v>7553</v>
      </c>
      <c r="B5958" s="5" t="s">
        <v>15502</v>
      </c>
      <c r="C5958" s="5" t="s">
        <v>23166</v>
      </c>
      <c r="D5958" s="5" t="str">
        <v>519047348801</v>
      </c>
      <c r="E5958" s="0" t="e">
        <f>+7 (818) 2223317
+7 (818) 2231945
+7 (818) 2637105
+7 (818) 2637116
+7 (818) 2637132
+7 (818) 2637195
+7 (818) 2637201
+7 (818) 2637203
+7 (818) 2637216
+7 (818) 2637230
+7 (818) 2637259
+7 (818) 2637266
+7 (818) 2637292
+7 (818) 2637333
+7 (818) 2637391</f>
        <v>#NAME?</v>
      </c>
      <c r="F5958" s="5" t="s">
        <v>42800</v>
      </c>
      <c r="G5958" s="5" t="s">
        <v>42801</v>
      </c>
      <c r="H5958" s="26">
        <v>30</v>
      </c>
      <c r="I5958" s="5"/>
      <c r="J5958" s="5" t="s">
        <v>28577</v>
      </c>
      <c r="K5958" s="5" t="s">
        <v>344</v>
      </c>
      <c r="L5958" s="5"/>
      <c r="M5958" s="27">
        <v>276425</v>
      </c>
      <c r="N5958" s="5" t="s">
        <v>58292</v>
      </c>
      <c r="O5958" s="5" t="str">
        <v>2901008432</v>
      </c>
      <c r="P5958" s="27">
        <v>957854</v>
      </c>
      <c r="Q5958" s="5" t="s">
        <v>58293</v>
      </c>
      <c r="R5958" s="5"/>
      <c r="S5958" s="5" t="s">
        <v>50179</v>
      </c>
      <c r="T5958" s="28">
        <v>2665009000</v>
      </c>
      <c r="U5958" s="28">
        <v>3137000</v>
      </c>
      <c r="V5958" s="28">
        <v>1251599000</v>
      </c>
      <c r="W5958" s="28">
        <v>45649000</v>
      </c>
      <c r="X5958" s="28">
        <v>218491000</v>
      </c>
      <c r="Y5958" s="28">
        <v>4847097000</v>
      </c>
      <c r="Z5958" s="28">
        <v>2105083000</v>
      </c>
      <c r="AA5958" s="28"/>
      <c r="AB5958" s="28"/>
      <c r="AC5958" s="28">
        <v>1248294000</v>
      </c>
      <c r="AD5958" s="28">
        <v>2927544000</v>
      </c>
      <c r="AE5958" s="28">
        <v>6413607000</v>
      </c>
      <c r="AF5958" s="28">
        <v>398462000</v>
      </c>
      <c r="AG5958" s="11"/>
    </row>
    <row r="5959">
      <c r="A5959" s="7" t="s">
        <v>7554</v>
      </c>
      <c r="B5959" s="5" t="s">
        <v>15503</v>
      </c>
      <c r="C5959" s="5" t="s">
        <v>23167</v>
      </c>
      <c r="D5959" s="5" t="str">
        <v>164401127605</v>
      </c>
      <c r="E5959" s="0" t="e">
        <f>+7 (8553) 394345
+7 (8553) 371308
+7 (917) 2904670
+7 (8553) 258774
+7 (8553) 259579
+7 (8553) 394300
+7 (8553) 394431</f>
        <v>#NAME?</v>
      </c>
      <c r="F5959" s="5" t="s">
        <v>42802</v>
      </c>
      <c r="G5959" s="5" t="s">
        <v>42803</v>
      </c>
      <c r="H5959" s="26">
        <v>22</v>
      </c>
      <c r="I5959" s="5"/>
      <c r="J5959" s="5" t="s">
        <v>26607</v>
      </c>
      <c r="K5959" s="5" t="s">
        <v>344</v>
      </c>
      <c r="L5959" s="5"/>
      <c r="M5959" s="27">
        <v>388779570</v>
      </c>
      <c r="N5959" s="5" t="s">
        <v>58294</v>
      </c>
      <c r="O5959" s="5" t="str">
        <v>1644015657</v>
      </c>
      <c r="P5959" s="27">
        <v>3529746</v>
      </c>
      <c r="Q5959" s="5" t="s">
        <v>58295</v>
      </c>
      <c r="R5959" s="5"/>
      <c r="S5959" s="5" t="s">
        <v>58296</v>
      </c>
      <c r="T5959" s="28">
        <v>2790385000</v>
      </c>
      <c r="U5959" s="28">
        <v>423074000</v>
      </c>
      <c r="V5959" s="28">
        <v>15572421000</v>
      </c>
      <c r="W5959" s="28">
        <v>3934625000</v>
      </c>
      <c r="X5959" s="28">
        <v>1033781000</v>
      </c>
      <c r="Y5959" s="28">
        <v>31687170000</v>
      </c>
      <c r="Z5959" s="28">
        <v>16780078000</v>
      </c>
      <c r="AA5959" s="28">
        <v>15000000</v>
      </c>
      <c r="AB5959" s="28">
        <v>1919050000</v>
      </c>
      <c r="AC5959" s="28">
        <v>13338310000</v>
      </c>
      <c r="AD5959" s="28">
        <v>18157200000</v>
      </c>
      <c r="AE5959" s="28">
        <v>16722642000</v>
      </c>
      <c r="AF5959" s="28">
        <v>475402000</v>
      </c>
      <c r="AG5959" s="11"/>
    </row>
    <row r="5960">
      <c r="A5960" s="7" t="s">
        <v>7555</v>
      </c>
      <c r="B5960" s="5" t="s">
        <v>15504</v>
      </c>
      <c r="C5960" s="5" t="s">
        <v>23168</v>
      </c>
      <c r="D5960" s="5" t="str">
        <v>771524163142</v>
      </c>
      <c r="E5960" s="0" t="e">
        <f>+7 (3517) 793015
+7 (3517) 793016
+7 (3519) 253787
+7 (495) 7778005
+7 (495) 7809763
+7 (495) 9319823
+7 (916) 9923408
+7 (919) 4000211
+7 (952) 7325121
+7 (953) 7225126</f>
        <v>#NAME?</v>
      </c>
      <c r="F5960" s="5" t="s">
        <v>42804</v>
      </c>
      <c r="G5960" s="5" t="s">
        <v>42805</v>
      </c>
      <c r="H5960" s="26">
        <v>13</v>
      </c>
      <c r="I5960" s="5" t="s">
        <v>42806</v>
      </c>
      <c r="J5960" s="5" t="s">
        <v>897</v>
      </c>
      <c r="K5960" s="5" t="s">
        <v>355</v>
      </c>
      <c r="L5960" s="5"/>
      <c r="M5960" s="27"/>
      <c r="N5960" s="5"/>
      <c r="O5960" s="5" t="str">
        <v>7702721013</v>
      </c>
      <c r="P5960" s="27">
        <v>268228000</v>
      </c>
      <c r="Q5960" s="5" t="s">
        <v>49009</v>
      </c>
      <c r="R5960" s="5"/>
      <c r="S5960" s="5" t="s">
        <v>49408</v>
      </c>
      <c r="T5960" s="28">
        <v>366533000</v>
      </c>
      <c r="U5960" s="28">
        <v>177385000</v>
      </c>
      <c r="V5960" s="28">
        <v>1190123000</v>
      </c>
      <c r="W5960" s="28">
        <v>11518000</v>
      </c>
      <c r="X5960" s="28">
        <v>127408000</v>
      </c>
      <c r="Y5960" s="28">
        <v>3000027000</v>
      </c>
      <c r="Z5960" s="28">
        <v>551716000</v>
      </c>
      <c r="AA5960" s="28"/>
      <c r="AB5960" s="28"/>
      <c r="AC5960" s="28">
        <v>1455675000</v>
      </c>
      <c r="AD5960" s="28">
        <v>1472031000</v>
      </c>
      <c r="AE5960" s="28">
        <v>3204133000</v>
      </c>
      <c r="AF5960" s="28">
        <v>-466895000</v>
      </c>
      <c r="AG5960" s="11"/>
    </row>
    <row r="5961">
      <c r="A5961" s="7" t="s">
        <v>7556</v>
      </c>
      <c r="B5961" s="5" t="s">
        <v>15505</v>
      </c>
      <c r="C5961" s="5" t="s">
        <v>23169</v>
      </c>
      <c r="D5961" s="5" t="str">
        <v>780412128391</v>
      </c>
      <c r="E5961" s="0" t="e">
        <f>+7 (495) 7873595
+7 (800) 1000258
+7 (925) 101212</f>
        <v>#NAME?</v>
      </c>
      <c r="F5961" s="5" t="s">
        <v>42807</v>
      </c>
      <c r="G5961" s="5" t="s">
        <v>42808</v>
      </c>
      <c r="H5961" s="26">
        <v>18</v>
      </c>
      <c r="I5961" s="5" t="s">
        <v>42809</v>
      </c>
      <c r="J5961" s="5" t="s">
        <v>881</v>
      </c>
      <c r="K5961" s="5" t="s">
        <v>344</v>
      </c>
      <c r="L5961" s="5" t="s">
        <v>42810</v>
      </c>
      <c r="M5961" s="27"/>
      <c r="N5961" s="5" t="s">
        <v>58297</v>
      </c>
      <c r="O5961" s="5" t="str">
        <v>7705642257</v>
      </c>
      <c r="P5961" s="27">
        <v>10000</v>
      </c>
      <c r="Q5961" s="5" t="s">
        <v>58298</v>
      </c>
      <c r="R5961" s="5"/>
      <c r="S5961" s="5" t="s">
        <v>50047</v>
      </c>
      <c r="T5961" s="28">
        <v>24313000</v>
      </c>
      <c r="U5961" s="28">
        <v>6750000</v>
      </c>
      <c r="V5961" s="28">
        <v>2734158000</v>
      </c>
      <c r="W5961" s="28">
        <v>17000000</v>
      </c>
      <c r="X5961" s="28">
        <v>10942000</v>
      </c>
      <c r="Y5961" s="28">
        <v>2821285000</v>
      </c>
      <c r="Z5961" s="28">
        <v>959412000</v>
      </c>
      <c r="AA5961" s="28"/>
      <c r="AB5961" s="28">
        <v>183878000</v>
      </c>
      <c r="AC5961" s="28">
        <v>1859735000</v>
      </c>
      <c r="AD5961" s="28">
        <v>959422000</v>
      </c>
      <c r="AE5961" s="28">
        <v>13995523000</v>
      </c>
      <c r="AF5961" s="28">
        <v>277168000</v>
      </c>
      <c r="AG5961" s="11"/>
    </row>
    <row r="5962">
      <c r="A5962" s="7" t="s">
        <v>7557</v>
      </c>
      <c r="B5962" s="5" t="s">
        <v>15506</v>
      </c>
      <c r="C5962" s="5" t="s">
        <v>23170</v>
      </c>
      <c r="D5962" s="5" t="str">
        <v>226501875531</v>
      </c>
      <c r="E5962" s="0" t="e">
        <f>+7 (981) 9707935
+7 (495) 5082210
+7 (800) 7007672</f>
        <v>#NAME?</v>
      </c>
      <c r="F5962" s="5" t="s">
        <v>42811</v>
      </c>
      <c r="G5962" s="5" t="s">
        <v>42812</v>
      </c>
      <c r="H5962" s="26">
        <v>11.5</v>
      </c>
      <c r="I5962" s="5" t="s">
        <v>42813</v>
      </c>
      <c r="J5962" s="5" t="s">
        <v>27783</v>
      </c>
      <c r="K5962" s="5" t="s">
        <v>344</v>
      </c>
      <c r="L5962" s="5" t="s">
        <v>42814</v>
      </c>
      <c r="M5962" s="27"/>
      <c r="N5962" s="5" t="s">
        <v>58299</v>
      </c>
      <c r="O5962" s="5" t="str">
        <v>7724805644</v>
      </c>
      <c r="P5962" s="27">
        <v>1010000</v>
      </c>
      <c r="Q5962" s="5" t="s">
        <v>49021</v>
      </c>
      <c r="R5962" s="5"/>
      <c r="S5962" s="5" t="s">
        <v>53058</v>
      </c>
      <c r="T5962" s="28">
        <v>160455000</v>
      </c>
      <c r="U5962" s="28">
        <v>34279000</v>
      </c>
      <c r="V5962" s="28">
        <v>774755000</v>
      </c>
      <c r="W5962" s="28">
        <v>765000000</v>
      </c>
      <c r="X5962" s="28">
        <v>20871000</v>
      </c>
      <c r="Y5962" s="28">
        <v>1759183000</v>
      </c>
      <c r="Z5962" s="28">
        <v>1121618000</v>
      </c>
      <c r="AA5962" s="28"/>
      <c r="AB5962" s="28"/>
      <c r="AC5962" s="28">
        <v>632700000</v>
      </c>
      <c r="AD5962" s="28">
        <v>1122628000</v>
      </c>
      <c r="AE5962" s="28">
        <v>5991424000</v>
      </c>
      <c r="AF5962" s="28">
        <v>405798000</v>
      </c>
      <c r="AG5962" s="11"/>
    </row>
    <row r="5963">
      <c r="A5963" s="7" t="s">
        <v>7558</v>
      </c>
      <c r="B5963" s="5" t="s">
        <v>15507</v>
      </c>
      <c r="C5963" s="5" t="s">
        <v>23171</v>
      </c>
      <c r="D5963" s="5" t="str">
        <v>236702982530</v>
      </c>
      <c r="E5963" s="0" t="e">
        <f>+7 (926) 3358737</f>
        <v>#NAME?</v>
      </c>
      <c r="F5963" s="5" t="s">
        <v>42815</v>
      </c>
      <c r="G5963" s="5"/>
      <c r="H5963" s="26">
        <v>3.5</v>
      </c>
      <c r="I5963" s="5" t="s">
        <v>42816</v>
      </c>
      <c r="J5963" s="5" t="s">
        <v>1095</v>
      </c>
      <c r="K5963" s="5" t="s">
        <v>355</v>
      </c>
      <c r="L5963" s="5" t="s">
        <v>42817</v>
      </c>
      <c r="M5963" s="27"/>
      <c r="N5963" s="5"/>
      <c r="O5963" s="5" t="str">
        <v>2367010695</v>
      </c>
      <c r="P5963" s="27">
        <v>10000</v>
      </c>
      <c r="Q5963" s="5" t="s">
        <v>447</v>
      </c>
      <c r="R5963" s="5"/>
      <c r="S5963" s="5" t="s">
        <v>58300</v>
      </c>
      <c r="T5963" s="28">
        <v>37056000</v>
      </c>
      <c r="U5963" s="28"/>
      <c r="V5963" s="28">
        <v>6751603000</v>
      </c>
      <c r="W5963" s="28">
        <v>43000</v>
      </c>
      <c r="X5963" s="28">
        <v>3421030000</v>
      </c>
      <c r="Y5963" s="28">
        <v>11923796000</v>
      </c>
      <c r="Z5963" s="28">
        <v>410714000</v>
      </c>
      <c r="AA5963" s="28">
        <v>2384000</v>
      </c>
      <c r="AB5963" s="28">
        <v>48269000</v>
      </c>
      <c r="AC5963" s="28">
        <v>11510686000</v>
      </c>
      <c r="AD5963" s="28">
        <v>410724000</v>
      </c>
      <c r="AE5963" s="28">
        <v>4224947000</v>
      </c>
      <c r="AF5963" s="28">
        <v>389326000</v>
      </c>
      <c r="AG5963" s="11"/>
    </row>
    <row r="5964">
      <c r="A5964" s="7" t="s">
        <v>7559</v>
      </c>
      <c r="B5964" s="5" t="s">
        <v>15508</v>
      </c>
      <c r="C5964" s="5" t="s">
        <v>23172</v>
      </c>
      <c r="D5964" s="5" t="str">
        <v>591100141706</v>
      </c>
      <c r="E5964" s="0" t="e">
        <f>+7 (34242) 2400
+7 (34242) 2413
+7 (34242) 2490
+7 (34242) 95100</f>
        <v>#NAME?</v>
      </c>
      <c r="F5964" s="5" t="s">
        <v>42818</v>
      </c>
      <c r="G5964" s="5" t="s">
        <v>42819</v>
      </c>
      <c r="H5964" s="26">
        <v>19.5</v>
      </c>
      <c r="I5964" s="5" t="s">
        <v>42820</v>
      </c>
      <c r="J5964" s="5" t="s">
        <v>364</v>
      </c>
      <c r="K5964" s="5" t="s">
        <v>344</v>
      </c>
      <c r="L5964" s="5"/>
      <c r="M5964" s="27"/>
      <c r="N5964" s="5" t="s">
        <v>58301</v>
      </c>
      <c r="O5964" s="5" t="str">
        <v>5911041265</v>
      </c>
      <c r="P5964" s="27">
        <v>677000000</v>
      </c>
      <c r="Q5964" s="5" t="s">
        <v>58302</v>
      </c>
      <c r="R5964" s="5" t="s">
        <v>58303</v>
      </c>
      <c r="S5964" s="5" t="s">
        <v>49047</v>
      </c>
      <c r="T5964" s="28">
        <v>605137000</v>
      </c>
      <c r="U5964" s="28"/>
      <c r="V5964" s="28">
        <v>1142882000</v>
      </c>
      <c r="W5964" s="28"/>
      <c r="X5964" s="28">
        <v>186432000</v>
      </c>
      <c r="Y5964" s="28">
        <v>3234157000</v>
      </c>
      <c r="Z5964" s="28">
        <v>194080000</v>
      </c>
      <c r="AA5964" s="28"/>
      <c r="AB5964" s="28"/>
      <c r="AC5964" s="28">
        <v>2112080000</v>
      </c>
      <c r="AD5964" s="28">
        <v>871080000</v>
      </c>
      <c r="AE5964" s="28">
        <v>5254270000</v>
      </c>
      <c r="AF5964" s="28">
        <v>50160000</v>
      </c>
      <c r="AG5964" s="11"/>
    </row>
    <row r="5965">
      <c r="A5965" s="7" t="s">
        <v>7560</v>
      </c>
      <c r="B5965" s="5" t="s">
        <v>15509</v>
      </c>
      <c r="C5965" s="5" t="s">
        <v>23173</v>
      </c>
      <c r="D5965" s="5" t="str">
        <v>482405856356</v>
      </c>
      <c r="E5965" s="0" t="e">
        <f>+7 (474) 2443703
+7 (474) 2442255
+7 (474) 2446528
+7 (905) 6808123</f>
        <v>#NAME?</v>
      </c>
      <c r="F5965" s="5" t="s">
        <v>42821</v>
      </c>
      <c r="G5965" s="5" t="s">
        <v>42822</v>
      </c>
      <c r="H5965" s="26">
        <v>14.5</v>
      </c>
      <c r="I5965" s="5" t="s">
        <v>42823</v>
      </c>
      <c r="J5965" s="5" t="s">
        <v>502</v>
      </c>
      <c r="K5965" s="5" t="s">
        <v>344</v>
      </c>
      <c r="L5965" s="5" t="s">
        <v>42824</v>
      </c>
      <c r="M5965" s="27">
        <v>7986878</v>
      </c>
      <c r="N5965" s="5"/>
      <c r="O5965" s="5" t="str">
        <v>4823035246</v>
      </c>
      <c r="P5965" s="27">
        <v>539236204</v>
      </c>
      <c r="Q5965" s="5" t="s">
        <v>49688</v>
      </c>
      <c r="R5965" s="5"/>
      <c r="S5965" s="5" t="s">
        <v>58304</v>
      </c>
      <c r="T5965" s="28">
        <v>90967000</v>
      </c>
      <c r="U5965" s="28"/>
      <c r="V5965" s="28">
        <v>4491673000</v>
      </c>
      <c r="W5965" s="28"/>
      <c r="X5965" s="28">
        <v>2988000</v>
      </c>
      <c r="Y5965" s="28">
        <v>8261111000</v>
      </c>
      <c r="Z5965" s="28">
        <v>123391000</v>
      </c>
      <c r="AA5965" s="28"/>
      <c r="AB5965" s="28">
        <v>6508477000</v>
      </c>
      <c r="AC5965" s="28">
        <v>7520708000</v>
      </c>
      <c r="AD5965" s="28">
        <v>709191000</v>
      </c>
      <c r="AE5965" s="28">
        <v>7172410000</v>
      </c>
      <c r="AF5965" s="28">
        <v>36916000</v>
      </c>
      <c r="AG5965" s="11"/>
    </row>
    <row r="5966">
      <c r="A5966" s="7" t="s">
        <v>7561</v>
      </c>
      <c r="B5966" s="5" t="s">
        <v>15510</v>
      </c>
      <c r="C5966" s="5" t="s">
        <v>23174</v>
      </c>
      <c r="D5966" s="5" t="str">
        <v>772633543428</v>
      </c>
      <c r="E5966" s="0" t="e">
        <f>+7 (495) 6086964
+7 (495) 6088435
+7 (495) 6089214</f>
        <v>#NAME?</v>
      </c>
      <c r="F5966" s="5" t="s">
        <v>42825</v>
      </c>
      <c r="G5966" s="5" t="s">
        <v>42826</v>
      </c>
      <c r="H5966" s="26">
        <v>31</v>
      </c>
      <c r="I5966" s="5" t="s">
        <v>42827</v>
      </c>
      <c r="J5966" s="5" t="s">
        <v>947</v>
      </c>
      <c r="K5966" s="5" t="s">
        <v>344</v>
      </c>
      <c r="L5966" s="5" t="s">
        <v>42828</v>
      </c>
      <c r="M5966" s="27">
        <v>8857148</v>
      </c>
      <c r="N5966" s="5" t="s">
        <v>58305</v>
      </c>
      <c r="O5966" s="5" t="str">
        <v>7702023587</v>
      </c>
      <c r="P5966" s="27">
        <v>15025380</v>
      </c>
      <c r="Q5966" s="5" t="s">
        <v>58306</v>
      </c>
      <c r="R5966" s="5"/>
      <c r="S5966" s="5" t="s">
        <v>49358</v>
      </c>
      <c r="T5966" s="28">
        <v>1283323000</v>
      </c>
      <c r="U5966" s="28">
        <v>1523000</v>
      </c>
      <c r="V5966" s="28">
        <v>3364229000</v>
      </c>
      <c r="W5966" s="28">
        <v>127823000</v>
      </c>
      <c r="X5966" s="28">
        <v>3074168000</v>
      </c>
      <c r="Y5966" s="28">
        <v>12152956000</v>
      </c>
      <c r="Z5966" s="28">
        <v>4683372000</v>
      </c>
      <c r="AA5966" s="28"/>
      <c r="AB5966" s="28"/>
      <c r="AC5966" s="28">
        <v>7037257000</v>
      </c>
      <c r="AD5966" s="28">
        <v>4809447000</v>
      </c>
      <c r="AE5966" s="28">
        <v>12832677000</v>
      </c>
      <c r="AF5966" s="28">
        <v>115930000</v>
      </c>
      <c r="AG5966" s="11"/>
    </row>
    <row r="5967">
      <c r="A5967" s="7" t="s">
        <v>7562</v>
      </c>
      <c r="B5967" s="5" t="s">
        <v>15511</v>
      </c>
      <c r="C5967" s="5" t="s">
        <v>23175</v>
      </c>
      <c r="D5967" s="5" t="str">
        <v>471900627948</v>
      </c>
      <c r="E5967" s="0" t="e">
        <f>+7 (812) 6888801
+7 (812) 6888808
+7 (812) 7473002
+7 (812) 7473023</f>
        <v>#NAME?</v>
      </c>
      <c r="F5967" s="5" t="s">
        <v>42829</v>
      </c>
      <c r="G5967" s="5" t="s">
        <v>42830</v>
      </c>
      <c r="H5967" s="26">
        <v>30.5</v>
      </c>
      <c r="I5967" s="5" t="s">
        <v>42831</v>
      </c>
      <c r="J5967" s="5" t="s">
        <v>947</v>
      </c>
      <c r="K5967" s="5" t="s">
        <v>344</v>
      </c>
      <c r="L5967" s="5" t="s">
        <v>42832</v>
      </c>
      <c r="M5967" s="27"/>
      <c r="N5967" s="5" t="s">
        <v>58307</v>
      </c>
      <c r="O5967" s="5" t="str">
        <v>7838510490</v>
      </c>
      <c r="P5967" s="27">
        <v>10000</v>
      </c>
      <c r="Q5967" s="5" t="s">
        <v>58308</v>
      </c>
      <c r="R5967" s="5" t="s">
        <v>58309</v>
      </c>
      <c r="S5967" s="5" t="s">
        <v>57802</v>
      </c>
      <c r="T5967" s="28">
        <v>362335000</v>
      </c>
      <c r="U5967" s="28"/>
      <c r="V5967" s="28">
        <v>3291261000</v>
      </c>
      <c r="W5967" s="28">
        <v>9000</v>
      </c>
      <c r="X5967" s="28">
        <v>688338000</v>
      </c>
      <c r="Y5967" s="28">
        <v>5286112000</v>
      </c>
      <c r="Z5967" s="28">
        <v>1518007000</v>
      </c>
      <c r="AA5967" s="28"/>
      <c r="AB5967" s="28">
        <v>100023000</v>
      </c>
      <c r="AC5967" s="28">
        <v>3766841000</v>
      </c>
      <c r="AD5967" s="28">
        <v>1518017000</v>
      </c>
      <c r="AE5967" s="28">
        <v>8877850000</v>
      </c>
      <c r="AF5967" s="28">
        <v>1400782000</v>
      </c>
      <c r="AG5967" s="11"/>
    </row>
    <row r="5968">
      <c r="A5968" s="7" t="s">
        <v>7563</v>
      </c>
      <c r="B5968" s="5" t="s">
        <v>15512</v>
      </c>
      <c r="C5968" s="5" t="s">
        <v>23176</v>
      </c>
      <c r="D5968" s="5" t="str">
        <v>782509805770</v>
      </c>
      <c r="F5968" s="5"/>
      <c r="G5968" s="5"/>
      <c r="H5968" s="26">
        <v>3.5</v>
      </c>
      <c r="I5968" s="5" t="s">
        <v>31772</v>
      </c>
      <c r="J5968" s="5" t="s">
        <v>25199</v>
      </c>
      <c r="K5968" s="5" t="s">
        <v>344</v>
      </c>
      <c r="L5968" s="5"/>
      <c r="M5968" s="27"/>
      <c r="N5968" s="5"/>
      <c r="O5968" s="5" t="str">
        <v>5027281502</v>
      </c>
      <c r="P5968" s="27">
        <v>10000</v>
      </c>
      <c r="Q5968" s="5" t="s">
        <v>50809</v>
      </c>
      <c r="R5968" s="5"/>
      <c r="S5968" s="5" t="s">
        <v>53708</v>
      </c>
      <c r="T5968" s="28"/>
      <c r="U5968" s="28"/>
      <c r="V5968" s="28">
        <v>2560533000</v>
      </c>
      <c r="W5968" s="28"/>
      <c r="X5968" s="28">
        <v>247858000</v>
      </c>
      <c r="Y5968" s="28">
        <v>2831078000</v>
      </c>
      <c r="Z5968" s="28">
        <v>-47383000</v>
      </c>
      <c r="AA5968" s="28">
        <v>1037394000</v>
      </c>
      <c r="AB5968" s="28"/>
      <c r="AC5968" s="28">
        <v>1841057000</v>
      </c>
      <c r="AD5968" s="28">
        <v>-47373000</v>
      </c>
      <c r="AE5968" s="28">
        <v>3390859000</v>
      </c>
      <c r="AF5968" s="28">
        <v>-16000</v>
      </c>
      <c r="AG5968" s="11"/>
    </row>
    <row r="5969">
      <c r="A5969" s="7" t="s">
        <v>7564</v>
      </c>
      <c r="B5969" s="5" t="s">
        <v>15513</v>
      </c>
      <c r="C5969" s="5" t="s">
        <v>23177</v>
      </c>
      <c r="D5969" s="5" t="str">
        <v>026614837203</v>
      </c>
      <c r="E5969" s="0" t="e">
        <f>+7 (855) 3795789
+7 (8553) 233732
+7 (917) 2554614
+7 (919) 1545784</f>
        <v>#NAME?</v>
      </c>
      <c r="F5969" s="5"/>
      <c r="G5969" s="5"/>
      <c r="H5969" s="26">
        <v>16.5</v>
      </c>
      <c r="I5969" s="5" t="s">
        <v>42833</v>
      </c>
      <c r="J5969" s="5" t="s">
        <v>364</v>
      </c>
      <c r="K5969" s="5" t="s">
        <v>344</v>
      </c>
      <c r="L5969" s="5" t="s">
        <v>42834</v>
      </c>
      <c r="M5969" s="27">
        <v>10706101</v>
      </c>
      <c r="N5969" s="5"/>
      <c r="O5969" s="5" t="str">
        <v>1639034037</v>
      </c>
      <c r="P5969" s="27">
        <v>10000</v>
      </c>
      <c r="Q5969" s="5"/>
      <c r="R5969" s="5"/>
      <c r="S5969" s="5" t="s">
        <v>49425</v>
      </c>
      <c r="T5969" s="28">
        <v>205840000</v>
      </c>
      <c r="U5969" s="28"/>
      <c r="V5969" s="28">
        <v>1432719000</v>
      </c>
      <c r="W5969" s="28">
        <v>2710000</v>
      </c>
      <c r="X5969" s="28">
        <v>868226000</v>
      </c>
      <c r="Y5969" s="28">
        <v>4123800000</v>
      </c>
      <c r="Z5969" s="28">
        <v>1014909000</v>
      </c>
      <c r="AA5969" s="28"/>
      <c r="AB5969" s="28"/>
      <c r="AC5969" s="28">
        <v>3020618000</v>
      </c>
      <c r="AD5969" s="28">
        <v>1014919000</v>
      </c>
      <c r="AE5969" s="28">
        <v>7660460000</v>
      </c>
      <c r="AF5969" s="28">
        <v>1052073000</v>
      </c>
      <c r="AG5969" s="11"/>
    </row>
    <row r="5970">
      <c r="A5970" s="7" t="s">
        <v>7565</v>
      </c>
      <c r="B5970" s="5" t="s">
        <v>15514</v>
      </c>
      <c r="C5970" s="5" t="s">
        <v>23178</v>
      </c>
      <c r="D5970" s="5" t="str">
        <v>772736643907</v>
      </c>
      <c r="E5970" s="0" t="e">
        <f>+7 (495) 6501966
+7 (495) 9511198
+7 (495) 9516065
+7 (495) 9516397
+7 (495) 9517870
+7 (495) 9519136
+7 (495) 9534615</f>
        <v>#NAME?</v>
      </c>
      <c r="F5970" s="5" t="s">
        <v>42835</v>
      </c>
      <c r="G5970" s="5" t="s">
        <v>42836</v>
      </c>
      <c r="H5970" s="26">
        <v>20</v>
      </c>
      <c r="I5970" s="5" t="s">
        <v>42837</v>
      </c>
      <c r="J5970" s="5" t="s">
        <v>1081</v>
      </c>
      <c r="K5970" s="5" t="s">
        <v>380</v>
      </c>
      <c r="L5970" s="5"/>
      <c r="M5970" s="27">
        <v>6405434</v>
      </c>
      <c r="N5970" s="5"/>
      <c r="O5970" s="5" t="str">
        <v>7707314910</v>
      </c>
      <c r="P5970" s="27">
        <v>10000</v>
      </c>
      <c r="Q5970" s="5" t="s">
        <v>58310</v>
      </c>
      <c r="R5970" s="5" t="s">
        <v>58311</v>
      </c>
      <c r="S5970" s="5" t="s">
        <v>58312</v>
      </c>
      <c r="T5970" s="28">
        <v>38634000</v>
      </c>
      <c r="U5970" s="28"/>
      <c r="V5970" s="28">
        <v>743475000</v>
      </c>
      <c r="W5970" s="28"/>
      <c r="X5970" s="28">
        <v>3317000</v>
      </c>
      <c r="Y5970" s="28">
        <v>3233633000</v>
      </c>
      <c r="Z5970" s="28">
        <v>-2415781000</v>
      </c>
      <c r="AA5970" s="28"/>
      <c r="AB5970" s="28">
        <v>211271000</v>
      </c>
      <c r="AC5970" s="28">
        <v>5443321000</v>
      </c>
      <c r="AD5970" s="28">
        <v>-2415771000</v>
      </c>
      <c r="AE5970" s="28">
        <v>4234017000</v>
      </c>
      <c r="AF5970" s="28">
        <v>9569000</v>
      </c>
      <c r="AG5970" s="11"/>
    </row>
    <row r="5971">
      <c r="A5971" s="7" t="s">
        <v>7566</v>
      </c>
      <c r="B5971" s="5" t="s">
        <v>15515</v>
      </c>
      <c r="C5971" s="5" t="s">
        <v>23179</v>
      </c>
      <c r="D5971" s="5" t="str">
        <v>660901971891</v>
      </c>
      <c r="E5971" s="0" t="e">
        <f>+7 (343) 3007788
+7 (912) 2216961
+7 (343) 3805399
+7 (34397) 24622
+7 (34397) 24768</f>
        <v>#NAME?</v>
      </c>
      <c r="F5971" s="5" t="s">
        <v>42838</v>
      </c>
      <c r="G5971" s="5" t="s">
        <v>42839</v>
      </c>
      <c r="H5971" s="26">
        <v>14.5</v>
      </c>
      <c r="I5971" s="5" t="s">
        <v>42840</v>
      </c>
      <c r="J5971" s="5" t="s">
        <v>364</v>
      </c>
      <c r="K5971" s="5" t="s">
        <v>344</v>
      </c>
      <c r="L5971" s="5" t="s">
        <v>42841</v>
      </c>
      <c r="M5971" s="27">
        <v>2162400</v>
      </c>
      <c r="N5971" s="5" t="s">
        <v>58313</v>
      </c>
      <c r="O5971" s="5" t="str">
        <v>6659172980</v>
      </c>
      <c r="P5971" s="27">
        <v>20000</v>
      </c>
      <c r="Q5971" s="5"/>
      <c r="R5971" s="5"/>
      <c r="S5971" s="5" t="s">
        <v>52472</v>
      </c>
      <c r="T5971" s="28">
        <v>49003000</v>
      </c>
      <c r="U5971" s="28"/>
      <c r="V5971" s="28">
        <v>2128935000</v>
      </c>
      <c r="W5971" s="28">
        <v>2477000</v>
      </c>
      <c r="X5971" s="28">
        <v>46712000</v>
      </c>
      <c r="Y5971" s="28">
        <v>2580938000</v>
      </c>
      <c r="Z5971" s="28">
        <v>183543000</v>
      </c>
      <c r="AA5971" s="28">
        <v>1928115000</v>
      </c>
      <c r="AB5971" s="28">
        <v>34618000</v>
      </c>
      <c r="AC5971" s="28">
        <v>436444000</v>
      </c>
      <c r="AD5971" s="28">
        <v>183563000</v>
      </c>
      <c r="AE5971" s="28">
        <v>4078839000</v>
      </c>
      <c r="AF5971" s="28">
        <v>136830000</v>
      </c>
      <c r="AG5971" s="11"/>
    </row>
    <row r="5972">
      <c r="A5972" s="7" t="s">
        <v>7567</v>
      </c>
      <c r="B5972" s="5" t="s">
        <v>15516</v>
      </c>
      <c r="C5972" s="5" t="s">
        <v>23180</v>
      </c>
      <c r="D5972" s="5" t="str">
        <v>773303475370</v>
      </c>
      <c r="E5972" s="0" t="e">
        <f>+7 (495) 2765557
+7 (903) 7854200
+7 (903) 5448223</f>
        <v>#NAME?</v>
      </c>
      <c r="F5972" s="5" t="s">
        <v>42842</v>
      </c>
      <c r="G5972" s="5" t="s">
        <v>36658</v>
      </c>
      <c r="H5972" s="26">
        <v>10</v>
      </c>
      <c r="I5972" s="5" t="s">
        <v>42843</v>
      </c>
      <c r="J5972" s="5" t="s">
        <v>29432</v>
      </c>
      <c r="K5972" s="5" t="s">
        <v>380</v>
      </c>
      <c r="L5972" s="5" t="s">
        <v>42844</v>
      </c>
      <c r="M5972" s="27"/>
      <c r="N5972" s="5"/>
      <c r="O5972" s="5" t="str">
        <v>7718925407</v>
      </c>
      <c r="P5972" s="27">
        <v>10000</v>
      </c>
      <c r="Q5972" s="5"/>
      <c r="R5972" s="5" t="s">
        <v>58314</v>
      </c>
      <c r="S5972" s="5" t="s">
        <v>49029</v>
      </c>
      <c r="T5972" s="28">
        <v>226532000</v>
      </c>
      <c r="U5972" s="28"/>
      <c r="V5972" s="28">
        <v>2489388000</v>
      </c>
      <c r="W5972" s="28"/>
      <c r="X5972" s="28">
        <v>5827000</v>
      </c>
      <c r="Y5972" s="28">
        <v>4148590000</v>
      </c>
      <c r="Z5972" s="28">
        <v>-290032000</v>
      </c>
      <c r="AA5972" s="28">
        <v>7477000</v>
      </c>
      <c r="AB5972" s="28">
        <v>76868000</v>
      </c>
      <c r="AC5972" s="28">
        <v>4286014000</v>
      </c>
      <c r="AD5972" s="28">
        <v>-290022000</v>
      </c>
      <c r="AE5972" s="28">
        <v>3593567000</v>
      </c>
      <c r="AF5972" s="28">
        <v>-382878000</v>
      </c>
      <c r="AG5972" s="11"/>
    </row>
    <row r="5973">
      <c r="A5973" s="7" t="s">
        <v>7568</v>
      </c>
      <c r="B5973" s="5" t="s">
        <v>15517</v>
      </c>
      <c r="C5973" s="5" t="s">
        <v>23181</v>
      </c>
      <c r="D5973" s="5" t="str">
        <v>501902596034</v>
      </c>
      <c r="E5973" s="0" t="e">
        <f>+7 (988) 4870801
+7 (495) 2361200
+7 (968) 6896063</f>
        <v>#NAME?</v>
      </c>
      <c r="F5973" s="5" t="s">
        <v>42845</v>
      </c>
      <c r="G5973" s="5"/>
      <c r="H5973" s="26">
        <v>8.5</v>
      </c>
      <c r="I5973" s="5" t="s">
        <v>42846</v>
      </c>
      <c r="J5973" s="5" t="s">
        <v>364</v>
      </c>
      <c r="K5973" s="5" t="s">
        <v>344</v>
      </c>
      <c r="L5973" s="5" t="s">
        <v>42847</v>
      </c>
      <c r="M5973" s="27">
        <v>15299973</v>
      </c>
      <c r="N5973" s="5"/>
      <c r="O5973" s="5" t="str">
        <v>5024147298</v>
      </c>
      <c r="P5973" s="27">
        <v>22000</v>
      </c>
      <c r="Q5973" s="5" t="s">
        <v>49009</v>
      </c>
      <c r="R5973" s="5"/>
      <c r="S5973" s="5" t="s">
        <v>49066</v>
      </c>
      <c r="T5973" s="28">
        <v>61274000</v>
      </c>
      <c r="U5973" s="28"/>
      <c r="V5973" s="28">
        <v>8689725000</v>
      </c>
      <c r="W5973" s="28">
        <v>1626964000</v>
      </c>
      <c r="X5973" s="28">
        <v>90911000</v>
      </c>
      <c r="Y5973" s="28">
        <v>13311760000</v>
      </c>
      <c r="Z5973" s="28">
        <v>697400000</v>
      </c>
      <c r="AA5973" s="28"/>
      <c r="AB5973" s="28">
        <v>4555174000</v>
      </c>
      <c r="AC5973" s="28">
        <v>12585027000</v>
      </c>
      <c r="AD5973" s="28">
        <v>697422000</v>
      </c>
      <c r="AE5973" s="28">
        <v>10439665000</v>
      </c>
      <c r="AF5973" s="28">
        <v>163430000</v>
      </c>
      <c r="AG5973" s="11"/>
    </row>
    <row r="5974">
      <c r="A5974" s="7" t="s">
        <v>7569</v>
      </c>
      <c r="B5974" s="5" t="s">
        <v>15518</v>
      </c>
      <c r="C5974" s="5" t="s">
        <v>23182</v>
      </c>
      <c r="D5974" s="5" t="str">
        <v>666007932706</v>
      </c>
      <c r="E5974" s="0" t="e">
        <f>+7 (343) 3420310
+7 (343) 3420305</f>
        <v>#NAME?</v>
      </c>
      <c r="F5974" s="5" t="s">
        <v>42848</v>
      </c>
      <c r="G5974" s="5" t="s">
        <v>42849</v>
      </c>
      <c r="H5974" s="26">
        <v>10</v>
      </c>
      <c r="I5974" s="5" t="s">
        <v>42850</v>
      </c>
      <c r="J5974" s="5" t="s">
        <v>38093</v>
      </c>
      <c r="K5974" s="5" t="s">
        <v>344</v>
      </c>
      <c r="L5974" s="5" t="s">
        <v>42851</v>
      </c>
      <c r="M5974" s="27"/>
      <c r="N5974" s="5"/>
      <c r="O5974" s="5" t="str">
        <v>6671418164</v>
      </c>
      <c r="P5974" s="27">
        <v>3000000</v>
      </c>
      <c r="Q5974" s="5" t="s">
        <v>49009</v>
      </c>
      <c r="R5974" s="5" t="s">
        <v>51275</v>
      </c>
      <c r="S5974" s="5" t="s">
        <v>49545</v>
      </c>
      <c r="T5974" s="28">
        <v>87900000</v>
      </c>
      <c r="U5974" s="28"/>
      <c r="V5974" s="28">
        <v>628117000</v>
      </c>
      <c r="W5974" s="28">
        <v>19960000</v>
      </c>
      <c r="X5974" s="28">
        <v>179565000</v>
      </c>
      <c r="Y5974" s="28">
        <v>1293880000</v>
      </c>
      <c r="Z5974" s="28">
        <v>891749000</v>
      </c>
      <c r="AA5974" s="28"/>
      <c r="AB5974" s="28"/>
      <c r="AC5974" s="28">
        <v>391298000</v>
      </c>
      <c r="AD5974" s="28">
        <v>894749000</v>
      </c>
      <c r="AE5974" s="28">
        <v>4206411000</v>
      </c>
      <c r="AF5974" s="28">
        <v>647641000</v>
      </c>
      <c r="AG5974" s="11"/>
    </row>
    <row r="5975">
      <c r="A5975" s="7" t="s">
        <v>7570</v>
      </c>
      <c r="B5975" s="5" t="s">
        <v>15519</v>
      </c>
      <c r="C5975" s="5" t="s">
        <v>23183</v>
      </c>
      <c r="D5975" s="5" t="str">
        <v>771705826289</v>
      </c>
      <c r="E5975" s="0" t="e">
        <f>+7 (495) 6227100
+7 (495) 6781014
+7 (495) 6782195
+7 (495) 6783356
+7 (495) 6786178
+7 (495) 2527690
+7 (495) 6180057
+7 (495) 6181634
+7 (495) 6182304
+7 (495) 6188067
+7 (495) 6190538
+7 (495) 6780406
+7 (495) 6781002
+7 (495) 6781146
+7 (495) 6815727</f>
        <v>#NAME?</v>
      </c>
      <c r="F5975" s="5" t="s">
        <v>42852</v>
      </c>
      <c r="G5975" s="5"/>
      <c r="H5975" s="26">
        <v>21</v>
      </c>
      <c r="I5975" s="5" t="s">
        <v>42837</v>
      </c>
      <c r="J5975" s="5" t="s">
        <v>364</v>
      </c>
      <c r="K5975" s="5" t="s">
        <v>380</v>
      </c>
      <c r="L5975" s="5"/>
      <c r="M5975" s="27">
        <v>3994552</v>
      </c>
      <c r="N5975" s="5"/>
      <c r="O5975" s="5" t="str">
        <v>7709375436</v>
      </c>
      <c r="P5975" s="27">
        <v>10000</v>
      </c>
      <c r="Q5975" s="5" t="s">
        <v>58316</v>
      </c>
      <c r="R5975" s="5" t="s">
        <v>58317</v>
      </c>
      <c r="S5975" s="5" t="s">
        <v>49743</v>
      </c>
      <c r="T5975" s="28">
        <v>106387000</v>
      </c>
      <c r="U5975" s="28"/>
      <c r="V5975" s="28">
        <v>4192058000</v>
      </c>
      <c r="W5975" s="28"/>
      <c r="X5975" s="28">
        <v>949000</v>
      </c>
      <c r="Y5975" s="28">
        <v>4644199000</v>
      </c>
      <c r="Z5975" s="28">
        <v>-87566000</v>
      </c>
      <c r="AA5975" s="28"/>
      <c r="AB5975" s="28">
        <v>316368000</v>
      </c>
      <c r="AC5975" s="28">
        <v>4717076000</v>
      </c>
      <c r="AD5975" s="28">
        <v>-87556000</v>
      </c>
      <c r="AE5975" s="28">
        <v>3994537000</v>
      </c>
      <c r="AF5975" s="28">
        <v>395351000</v>
      </c>
      <c r="AG5975" s="11"/>
    </row>
    <row r="5976">
      <c r="A5976" s="7" t="s">
        <v>7571</v>
      </c>
      <c r="B5976" s="5" t="s">
        <v>15520</v>
      </c>
      <c r="C5976" s="5" t="s">
        <v>23184</v>
      </c>
      <c r="D5976" s="5" t="str">
        <v>616610710252</v>
      </c>
      <c r="F5976" s="5" t="s">
        <v>42853</v>
      </c>
      <c r="G5976" s="5"/>
      <c r="H5976" s="26">
        <v>17</v>
      </c>
      <c r="I5976" s="5"/>
      <c r="J5976" s="5" t="s">
        <v>467</v>
      </c>
      <c r="K5976" s="5" t="s">
        <v>355</v>
      </c>
      <c r="L5976" s="5" t="s">
        <v>42854</v>
      </c>
      <c r="M5976" s="27">
        <v>94808507</v>
      </c>
      <c r="N5976" s="5" t="s">
        <v>58318</v>
      </c>
      <c r="O5976" s="5" t="str">
        <v>6164248080</v>
      </c>
      <c r="P5976" s="27">
        <v>10000</v>
      </c>
      <c r="Q5976" s="5" t="s">
        <v>58319</v>
      </c>
      <c r="R5976" s="5" t="s">
        <v>58320</v>
      </c>
      <c r="S5976" s="5" t="s">
        <v>58321</v>
      </c>
      <c r="T5976" s="28">
        <v>475509000</v>
      </c>
      <c r="U5976" s="28"/>
      <c r="V5976" s="28">
        <v>1168675000</v>
      </c>
      <c r="W5976" s="28"/>
      <c r="X5976" s="28">
        <v>12838000</v>
      </c>
      <c r="Y5976" s="28">
        <v>3101182000</v>
      </c>
      <c r="Z5976" s="28">
        <v>294876000</v>
      </c>
      <c r="AA5976" s="28"/>
      <c r="AB5976" s="28">
        <v>1236351000</v>
      </c>
      <c r="AC5976" s="28">
        <v>2590612000</v>
      </c>
      <c r="AD5976" s="28">
        <v>294886000</v>
      </c>
      <c r="AE5976" s="28">
        <v>4574070000</v>
      </c>
      <c r="AF5976" s="28">
        <v>25382000</v>
      </c>
      <c r="AG5976" s="11"/>
    </row>
    <row r="5977">
      <c r="A5977" s="7" t="s">
        <v>7572</v>
      </c>
      <c r="B5977" s="5" t="s">
        <v>15521</v>
      </c>
      <c r="C5977" s="5" t="s">
        <v>23185</v>
      </c>
      <c r="D5977" s="5" t="str">
        <v>720211774301</v>
      </c>
      <c r="F5977" s="5"/>
      <c r="G5977" s="5"/>
      <c r="H5977" s="26">
        <v>7.5</v>
      </c>
      <c r="I5977" s="5" t="s">
        <v>42855</v>
      </c>
      <c r="J5977" s="5" t="s">
        <v>364</v>
      </c>
      <c r="K5977" s="5" t="s">
        <v>344</v>
      </c>
      <c r="L5977" s="5" t="s">
        <v>31264</v>
      </c>
      <c r="M5977" s="27">
        <v>2458419</v>
      </c>
      <c r="N5977" s="5"/>
      <c r="O5977" s="5" t="str">
        <v>7801284445</v>
      </c>
      <c r="P5977" s="27">
        <v>10000</v>
      </c>
      <c r="Q5977" s="5" t="s">
        <v>49009</v>
      </c>
      <c r="R5977" s="5"/>
      <c r="S5977" s="5" t="s">
        <v>49010</v>
      </c>
      <c r="T5977" s="28">
        <v>97650000</v>
      </c>
      <c r="U5977" s="28">
        <v>18750000</v>
      </c>
      <c r="V5977" s="28">
        <v>3605718000</v>
      </c>
      <c r="W5977" s="28"/>
      <c r="X5977" s="28">
        <v>133540000</v>
      </c>
      <c r="Y5977" s="28">
        <v>4299727000</v>
      </c>
      <c r="Z5977" s="28">
        <v>202263000</v>
      </c>
      <c r="AA5977" s="28">
        <v>1860739000</v>
      </c>
      <c r="AB5977" s="28">
        <v>44400000</v>
      </c>
      <c r="AC5977" s="28">
        <v>2171652000</v>
      </c>
      <c r="AD5977" s="28">
        <v>202273000</v>
      </c>
      <c r="AE5977" s="28">
        <v>7892708000</v>
      </c>
      <c r="AF5977" s="28">
        <v>86876000</v>
      </c>
      <c r="AG5977" s="11"/>
    </row>
    <row r="5978">
      <c r="A5978" s="7" t="s">
        <v>7573</v>
      </c>
      <c r="B5978" s="5" t="s">
        <v>15522</v>
      </c>
      <c r="C5978" s="5" t="s">
        <v>23186</v>
      </c>
      <c r="D5978" s="5" t="str">
        <v>471007055630</v>
      </c>
      <c r="E5978" s="0" t="e">
        <f>+7 (812) 3369790
+7 (921) 9309612</f>
        <v>#NAME?</v>
      </c>
      <c r="F5978" s="5"/>
      <c r="G5978" s="5"/>
      <c r="H5978" s="26">
        <v>7.5</v>
      </c>
      <c r="I5978" s="5" t="s">
        <v>42855</v>
      </c>
      <c r="J5978" s="5" t="s">
        <v>364</v>
      </c>
      <c r="K5978" s="5" t="s">
        <v>355</v>
      </c>
      <c r="L5978" s="5"/>
      <c r="M5978" s="27"/>
      <c r="N5978" s="5"/>
      <c r="O5978" s="5" t="str">
        <v>7801284484</v>
      </c>
      <c r="P5978" s="27">
        <v>10000</v>
      </c>
      <c r="Q5978" s="5" t="s">
        <v>49009</v>
      </c>
      <c r="R5978" s="5"/>
      <c r="S5978" s="5" t="s">
        <v>49010</v>
      </c>
      <c r="T5978" s="28">
        <v>6113000</v>
      </c>
      <c r="U5978" s="28"/>
      <c r="V5978" s="28">
        <v>762188000</v>
      </c>
      <c r="W5978" s="28"/>
      <c r="X5978" s="28">
        <v>76684000</v>
      </c>
      <c r="Y5978" s="28">
        <v>907946000</v>
      </c>
      <c r="Z5978" s="28">
        <v>-73426000</v>
      </c>
      <c r="AA5978" s="28">
        <v>28700000</v>
      </c>
      <c r="AB5978" s="28">
        <v>5470000</v>
      </c>
      <c r="AC5978" s="28">
        <v>948533000</v>
      </c>
      <c r="AD5978" s="28">
        <v>-73416000</v>
      </c>
      <c r="AE5978" s="28">
        <v>3011567000</v>
      </c>
      <c r="AF5978" s="28">
        <v>5889000</v>
      </c>
      <c r="AG5978" s="11"/>
    </row>
    <row r="5979">
      <c r="A5979" s="7" t="s">
        <v>7574</v>
      </c>
      <c r="B5979" s="5" t="s">
        <v>15523</v>
      </c>
      <c r="C5979" s="5" t="s">
        <v>23187</v>
      </c>
      <c r="D5979" s="5" t="str">
        <v>667112990346</v>
      </c>
      <c r="E5979" s="0" t="e">
        <f>+7 (343) 2107007
+7 (343) 2107525
+7 (343) 2636633
+7 (343) 2784535
+7 (343) 3593925
+7 (3432) 784530</f>
        <v>#NAME?</v>
      </c>
      <c r="F5979" s="5" t="s">
        <v>42856</v>
      </c>
      <c r="G5979" s="5"/>
      <c r="H5979" s="26">
        <v>13</v>
      </c>
      <c r="I5979" s="5" t="s">
        <v>42857</v>
      </c>
      <c r="J5979" s="5" t="s">
        <v>42858</v>
      </c>
      <c r="K5979" s="5" t="s">
        <v>355</v>
      </c>
      <c r="L5979" s="5" t="s">
        <v>42859</v>
      </c>
      <c r="M5979" s="27">
        <v>468443</v>
      </c>
      <c r="N5979" s="5"/>
      <c r="O5979" s="5" t="str">
        <v>6674348892</v>
      </c>
      <c r="P5979" s="27">
        <v>397000000</v>
      </c>
      <c r="Q5979" s="5" t="s">
        <v>49009</v>
      </c>
      <c r="R5979" s="5"/>
      <c r="S5979" s="5" t="s">
        <v>49010</v>
      </c>
      <c r="T5979" s="28">
        <v>1034022000</v>
      </c>
      <c r="U5979" s="28"/>
      <c r="V5979" s="28">
        <v>146171000</v>
      </c>
      <c r="W5979" s="28"/>
      <c r="X5979" s="28">
        <v>15924000</v>
      </c>
      <c r="Y5979" s="28">
        <v>3863868000</v>
      </c>
      <c r="Z5979" s="28">
        <v>1095772000</v>
      </c>
      <c r="AA5979" s="28"/>
      <c r="AB5979" s="28"/>
      <c r="AC5979" s="28">
        <v>2309579000</v>
      </c>
      <c r="AD5979" s="28">
        <v>1492772000</v>
      </c>
      <c r="AE5979" s="28">
        <v>10341660000</v>
      </c>
      <c r="AF5979" s="28">
        <v>-472640000</v>
      </c>
      <c r="AG5979" s="11"/>
    </row>
    <row r="5980">
      <c r="A5980" s="7" t="s">
        <v>7575</v>
      </c>
      <c r="B5980" s="5" t="s">
        <v>15524</v>
      </c>
      <c r="C5980" s="5" t="s">
        <v>23188</v>
      </c>
      <c r="D5980" s="5" t="str">
        <v>420506523859</v>
      </c>
      <c r="E5980" s="0" t="e">
        <f>+7 (384) 2283344
+7 (384) 2480208</f>
        <v>#NAME?</v>
      </c>
      <c r="F5980" s="5" t="s">
        <v>42860</v>
      </c>
      <c r="G5980" s="5" t="s">
        <v>42861</v>
      </c>
      <c r="H5980" s="26">
        <v>12</v>
      </c>
      <c r="I5980" s="5" t="s">
        <v>42862</v>
      </c>
      <c r="J5980" s="5" t="s">
        <v>25512</v>
      </c>
      <c r="K5980" s="5" t="s">
        <v>344</v>
      </c>
      <c r="L5980" s="5" t="s">
        <v>42863</v>
      </c>
      <c r="M5980" s="27"/>
      <c r="N5980" s="5" t="s">
        <v>58322</v>
      </c>
      <c r="O5980" s="5" t="str">
        <v>4205215075</v>
      </c>
      <c r="P5980" s="27">
        <v>730000</v>
      </c>
      <c r="Q5980" s="5" t="s">
        <v>58323</v>
      </c>
      <c r="R5980" s="5"/>
      <c r="S5980" s="5" t="s">
        <v>49173</v>
      </c>
      <c r="T5980" s="28">
        <v>3400000</v>
      </c>
      <c r="U5980" s="28"/>
      <c r="V5980" s="28">
        <v>257273000</v>
      </c>
      <c r="W5980" s="28"/>
      <c r="X5980" s="28">
        <v>190077000</v>
      </c>
      <c r="Y5980" s="28">
        <v>465936000</v>
      </c>
      <c r="Z5980" s="28">
        <v>241332000</v>
      </c>
      <c r="AA5980" s="28"/>
      <c r="AB5980" s="28"/>
      <c r="AC5980" s="28">
        <v>223874000</v>
      </c>
      <c r="AD5980" s="28">
        <v>242062000</v>
      </c>
      <c r="AE5980" s="28">
        <v>3615649000</v>
      </c>
      <c r="AF5980" s="28">
        <v>448886000</v>
      </c>
      <c r="AG5980" s="11"/>
    </row>
    <row r="5981">
      <c r="A5981" s="7" t="s">
        <v>7576</v>
      </c>
      <c r="B5981" s="5" t="s">
        <v>15525</v>
      </c>
      <c r="C5981" s="5" t="s">
        <v>20113</v>
      </c>
      <c r="D5981" s="5"/>
      <c r="E5981" s="0" t="e">
        <f>+7 (495) 1978126
+7 (495) 2252211
+7 (495) 2254358
+7 (495) 2254366
+7 (495) 2254525
+7 (495) 2589674
+7 (495) 5436567
+7 (495) 5465457
+7 (495) 5545565
+7 (495) 5554545
+7 (495) 5565654
+7 (495) 5680662
+7 (495) 3744888
+7 (495) 3748054
+7 (495) 5680622</f>
        <v>#NAME?</v>
      </c>
      <c r="F5981" s="5" t="s">
        <v>42864</v>
      </c>
      <c r="G5981" s="5"/>
      <c r="H5981" s="26">
        <v>7</v>
      </c>
      <c r="I5981" s="5" t="s">
        <v>33219</v>
      </c>
      <c r="J5981" s="5" t="s">
        <v>36847</v>
      </c>
      <c r="K5981" s="5" t="s">
        <v>355</v>
      </c>
      <c r="L5981" s="5" t="s">
        <v>42865</v>
      </c>
      <c r="M5981" s="27">
        <v>15829667</v>
      </c>
      <c r="N5981" s="5" t="s">
        <v>58324</v>
      </c>
      <c r="O5981" s="5" t="str">
        <v>9705058743</v>
      </c>
      <c r="P5981" s="27">
        <v>10000</v>
      </c>
      <c r="Q5981" s="5" t="s">
        <v>58325</v>
      </c>
      <c r="R5981" s="5"/>
      <c r="S5981" s="5" t="s">
        <v>49660</v>
      </c>
      <c r="T5981" s="28">
        <v>79371000</v>
      </c>
      <c r="U5981" s="28">
        <v>767270000</v>
      </c>
      <c r="V5981" s="28">
        <v>2312881000</v>
      </c>
      <c r="W5981" s="28"/>
      <c r="X5981" s="28">
        <v>208999000</v>
      </c>
      <c r="Y5981" s="28">
        <v>3411948000</v>
      </c>
      <c r="Z5981" s="28">
        <v>394953000</v>
      </c>
      <c r="AA5981" s="28">
        <v>226234000</v>
      </c>
      <c r="AB5981" s="28">
        <v>753421000</v>
      </c>
      <c r="AC5981" s="28">
        <v>2712705000</v>
      </c>
      <c r="AD5981" s="28">
        <v>394963000</v>
      </c>
      <c r="AE5981" s="28">
        <v>6199872000</v>
      </c>
      <c r="AF5981" s="28">
        <v>280090000</v>
      </c>
      <c r="AG5981" s="11"/>
    </row>
    <row r="5982">
      <c r="A5982" s="7" t="s">
        <v>7577</v>
      </c>
      <c r="B5982" s="5" t="s">
        <v>15526</v>
      </c>
      <c r="C5982" s="5" t="s">
        <v>23189</v>
      </c>
      <c r="D5982" s="5" t="str">
        <v>232304438556</v>
      </c>
      <c r="E5982" s="0" t="e">
        <f>+7 (960) 4803848
+7 (960) 4818439</f>
        <v>#NAME?</v>
      </c>
      <c r="F5982" s="5" t="s">
        <v>42866</v>
      </c>
      <c r="G5982" s="5"/>
      <c r="H5982" s="26">
        <v>7.5</v>
      </c>
      <c r="I5982" s="5" t="s">
        <v>42867</v>
      </c>
      <c r="J5982" s="5" t="s">
        <v>27296</v>
      </c>
      <c r="K5982" s="5" t="s">
        <v>344</v>
      </c>
      <c r="L5982" s="5" t="s">
        <v>42868</v>
      </c>
      <c r="M5982" s="27">
        <v>61243386</v>
      </c>
      <c r="N5982" s="5"/>
      <c r="O5982" s="5" t="str">
        <v>2315984295</v>
      </c>
      <c r="P5982" s="27">
        <v>100000</v>
      </c>
      <c r="Q5982" s="5" t="s">
        <v>49009</v>
      </c>
      <c r="R5982" s="5"/>
      <c r="S5982" s="5" t="s">
        <v>49093</v>
      </c>
      <c r="T5982" s="28">
        <v>738349000</v>
      </c>
      <c r="U5982" s="28">
        <v>170100000</v>
      </c>
      <c r="V5982" s="28">
        <v>687692000</v>
      </c>
      <c r="W5982" s="28">
        <v>1135337000</v>
      </c>
      <c r="X5982" s="28">
        <v>30911000</v>
      </c>
      <c r="Y5982" s="28">
        <v>3294967000</v>
      </c>
      <c r="Z5982" s="28">
        <v>187418000</v>
      </c>
      <c r="AA5982" s="28"/>
      <c r="AB5982" s="28"/>
      <c r="AC5982" s="28">
        <v>2820567000</v>
      </c>
      <c r="AD5982" s="28">
        <v>187518000</v>
      </c>
      <c r="AE5982" s="28">
        <v>39923500000</v>
      </c>
      <c r="AF5982" s="28">
        <v>190175000</v>
      </c>
      <c r="AG5982" s="11"/>
    </row>
    <row r="5983">
      <c r="A5983" s="7" t="s">
        <v>7578</v>
      </c>
      <c r="B5983" s="5" t="s">
        <v>15527</v>
      </c>
      <c r="C5983" s="5" t="s">
        <v>23190</v>
      </c>
      <c r="D5983" s="5" t="str">
        <v>645114683489</v>
      </c>
      <c r="E5983" s="0" t="e">
        <f>+7 (495) 1665214
+7 (495) 7750220
+7 (800) 2222768</f>
        <v>#NAME?</v>
      </c>
      <c r="F5983" s="5"/>
      <c r="G5983" s="5"/>
      <c r="H5983" s="26">
        <v>15.5</v>
      </c>
      <c r="I5983" s="5" t="s">
        <v>42869</v>
      </c>
      <c r="J5983" s="5" t="s">
        <v>25446</v>
      </c>
      <c r="K5983" s="5" t="s">
        <v>344</v>
      </c>
      <c r="L5983" s="5" t="s">
        <v>42870</v>
      </c>
      <c r="M5983" s="27"/>
      <c r="N5983" s="5" t="s">
        <v>58326</v>
      </c>
      <c r="O5983" s="5" t="str">
        <v>7719654654</v>
      </c>
      <c r="P5983" s="27">
        <v>27000</v>
      </c>
      <c r="Q5983" s="5" t="s">
        <v>49207</v>
      </c>
      <c r="R5983" s="5" t="s">
        <v>58327</v>
      </c>
      <c r="S5983" s="5" t="s">
        <v>51253</v>
      </c>
      <c r="T5983" s="28">
        <v>357948000</v>
      </c>
      <c r="U5983" s="28"/>
      <c r="V5983" s="28">
        <v>1319916000</v>
      </c>
      <c r="W5983" s="28"/>
      <c r="X5983" s="28">
        <v>5744000</v>
      </c>
      <c r="Y5983" s="28">
        <v>5657171000</v>
      </c>
      <c r="Z5983" s="28">
        <v>1710431000</v>
      </c>
      <c r="AA5983" s="28"/>
      <c r="AB5983" s="28">
        <v>1568797000</v>
      </c>
      <c r="AC5983" s="28">
        <v>3508340000</v>
      </c>
      <c r="AD5983" s="28">
        <v>1741856000</v>
      </c>
      <c r="AE5983" s="28">
        <v>7752371000</v>
      </c>
      <c r="AF5983" s="28">
        <v>475868000</v>
      </c>
      <c r="AG5983" s="11"/>
    </row>
    <row r="5984">
      <c r="A5984" s="7" t="s">
        <v>7579</v>
      </c>
      <c r="B5984" s="5" t="s">
        <v>15528</v>
      </c>
      <c r="C5984" s="5" t="s">
        <v>23191</v>
      </c>
      <c r="D5984" s="5" t="str">
        <v>760910738340</v>
      </c>
      <c r="F5984" s="5" t="s">
        <v>42871</v>
      </c>
      <c r="G5984" s="5"/>
      <c r="H5984" s="26">
        <v>8</v>
      </c>
      <c r="I5984" s="5" t="s">
        <v>42872</v>
      </c>
      <c r="J5984" s="5" t="s">
        <v>25190</v>
      </c>
      <c r="K5984" s="5" t="s">
        <v>380</v>
      </c>
      <c r="L5984" s="5" t="s">
        <v>42873</v>
      </c>
      <c r="M5984" s="27"/>
      <c r="N5984" s="5" t="s">
        <v>49923</v>
      </c>
      <c r="O5984" s="5" t="str">
        <v>7709457625</v>
      </c>
      <c r="P5984" s="27">
        <v>10000</v>
      </c>
      <c r="Q5984" s="5"/>
      <c r="R5984" s="5" t="s">
        <v>52500</v>
      </c>
      <c r="S5984" s="5" t="s">
        <v>49110</v>
      </c>
      <c r="T5984" s="28"/>
      <c r="U5984" s="28"/>
      <c r="V5984" s="28">
        <v>9972000</v>
      </c>
      <c r="W5984" s="28"/>
      <c r="X5984" s="28">
        <v>31000</v>
      </c>
      <c r="Y5984" s="28">
        <v>10003000</v>
      </c>
      <c r="Z5984" s="28">
        <v>4639000</v>
      </c>
      <c r="AA5984" s="28"/>
      <c r="AB5984" s="28"/>
      <c r="AC5984" s="28">
        <v>4874000</v>
      </c>
      <c r="AD5984" s="28">
        <v>5129000</v>
      </c>
      <c r="AE5984" s="28">
        <v>4489795000</v>
      </c>
      <c r="AF5984" s="28">
        <v>3222000</v>
      </c>
      <c r="AG5984" s="11"/>
    </row>
    <row r="5985">
      <c r="A5985" s="7" t="s">
        <v>7580</v>
      </c>
      <c r="B5985" s="5" t="s">
        <v>15529</v>
      </c>
      <c r="C5985" s="5" t="s">
        <v>23192</v>
      </c>
      <c r="D5985" s="5" t="str">
        <v>420298321778</v>
      </c>
      <c r="E5985" s="0" t="e">
        <f>+7 (38452) 26388</f>
        <v>#NAME?</v>
      </c>
      <c r="F5985" s="5"/>
      <c r="G5985" s="5"/>
      <c r="H5985" s="26">
        <v>0.5</v>
      </c>
      <c r="I5985" s="5" t="s">
        <v>42874</v>
      </c>
      <c r="J5985" s="5" t="s">
        <v>42875</v>
      </c>
      <c r="K5985" s="5"/>
      <c r="L5985" s="5"/>
      <c r="M5985" s="27"/>
      <c r="N5985" s="5"/>
      <c r="O5985" s="5" t="str">
        <v>4212043740</v>
      </c>
      <c r="P5985" s="27"/>
      <c r="Q5985" s="5"/>
      <c r="R5985" s="5"/>
      <c r="S5985" s="5" t="s">
        <v>49121</v>
      </c>
      <c r="T5985" s="28">
        <v>396941000</v>
      </c>
      <c r="U5985" s="28"/>
      <c r="V5985" s="28">
        <v>30300000</v>
      </c>
      <c r="W5985" s="28"/>
      <c r="X5985" s="28">
        <v>4000000</v>
      </c>
      <c r="Y5985" s="28">
        <v>617607000</v>
      </c>
      <c r="Z5985" s="28"/>
      <c r="AA5985" s="28"/>
      <c r="AB5985" s="28"/>
      <c r="AC5985" s="28">
        <v>27137000</v>
      </c>
      <c r="AD5985" s="28"/>
      <c r="AE5985" s="28">
        <v>14284204000</v>
      </c>
      <c r="AF5985" s="28">
        <v>322838000</v>
      </c>
      <c r="AG5985" s="11"/>
    </row>
    <row r="5986">
      <c r="A5986" s="7" t="s">
        <v>7581</v>
      </c>
      <c r="B5986" s="5" t="s">
        <v>15530</v>
      </c>
      <c r="C5986" s="5" t="s">
        <v>23193</v>
      </c>
      <c r="D5986" s="5" t="str">
        <v>860306373747</v>
      </c>
      <c r="E5986" s="0" t="e">
        <f>+7 (3466) 671363
+7 (3466) 671375
+7 (34938) 65661
+7 (34938) 65662
+7 (34938) 67473</f>
        <v>#NAME?</v>
      </c>
      <c r="F5986" s="5" t="s">
        <v>42876</v>
      </c>
      <c r="G5986" s="5" t="s">
        <v>42877</v>
      </c>
      <c r="H5986" s="26">
        <v>18.5</v>
      </c>
      <c r="I5986" s="5"/>
      <c r="J5986" s="5" t="s">
        <v>27921</v>
      </c>
      <c r="K5986" s="5" t="s">
        <v>355</v>
      </c>
      <c r="L5986" s="5" t="s">
        <v>42878</v>
      </c>
      <c r="M5986" s="27">
        <v>62080537</v>
      </c>
      <c r="N5986" s="5" t="s">
        <v>58328</v>
      </c>
      <c r="O5986" s="5" t="str">
        <v>8603118208</v>
      </c>
      <c r="P5986" s="27">
        <v>10000</v>
      </c>
      <c r="Q5986" s="5" t="s">
        <v>58329</v>
      </c>
      <c r="R5986" s="5" t="s">
        <v>52174</v>
      </c>
      <c r="S5986" s="5" t="s">
        <v>51290</v>
      </c>
      <c r="T5986" s="28">
        <v>10818388000</v>
      </c>
      <c r="U5986" s="28">
        <v>22784000</v>
      </c>
      <c r="V5986" s="28">
        <v>11161835000</v>
      </c>
      <c r="W5986" s="28"/>
      <c r="X5986" s="28">
        <v>376066000</v>
      </c>
      <c r="Y5986" s="28">
        <v>28720388000</v>
      </c>
      <c r="Z5986" s="28">
        <v>3557986000</v>
      </c>
      <c r="AA5986" s="28">
        <v>7831028000</v>
      </c>
      <c r="AB5986" s="28">
        <v>3238126000</v>
      </c>
      <c r="AC5986" s="28">
        <v>15899051000</v>
      </c>
      <c r="AD5986" s="28">
        <v>3967079000</v>
      </c>
      <c r="AE5986" s="28">
        <v>44543225000</v>
      </c>
      <c r="AF5986" s="28">
        <v>667763000</v>
      </c>
      <c r="AG5986" s="11"/>
    </row>
    <row r="5987">
      <c r="A5987" s="7" t="s">
        <v>7582</v>
      </c>
      <c r="B5987" s="5" t="s">
        <v>15531</v>
      </c>
      <c r="C5987" s="5" t="s">
        <v>23194</v>
      </c>
      <c r="D5987" s="5" t="str">
        <v>772140642566</v>
      </c>
      <c r="E5987" s="0" t="e">
        <f>+7 (495) 6440700
+7 (495) 5944564
+7 (495) 6442979
+7 (800) 7071992</f>
        <v>#NAME?</v>
      </c>
      <c r="F5987" s="5" t="s">
        <v>42879</v>
      </c>
      <c r="G5987" s="5" t="s">
        <v>42880</v>
      </c>
      <c r="H5987" s="26">
        <v>10</v>
      </c>
      <c r="I5987" s="5" t="s">
        <v>42881</v>
      </c>
      <c r="J5987" s="5" t="s">
        <v>26564</v>
      </c>
      <c r="K5987" s="5" t="s">
        <v>344</v>
      </c>
      <c r="L5987" s="5" t="s">
        <v>42882</v>
      </c>
      <c r="M5987" s="27"/>
      <c r="N5987" s="5" t="s">
        <v>58330</v>
      </c>
      <c r="O5987" s="5" t="str">
        <v>5032260402</v>
      </c>
      <c r="P5987" s="27">
        <v>1010000000</v>
      </c>
      <c r="Q5987" s="5" t="s">
        <v>58331</v>
      </c>
      <c r="R5987" s="5"/>
      <c r="S5987" s="5" t="s">
        <v>49053</v>
      </c>
      <c r="T5987" s="28">
        <v>285505000</v>
      </c>
      <c r="U5987" s="28"/>
      <c r="V5987" s="28">
        <v>18230070000</v>
      </c>
      <c r="W5987" s="28">
        <v>5363738000</v>
      </c>
      <c r="X5987" s="28">
        <v>198270000</v>
      </c>
      <c r="Y5987" s="28">
        <v>45394897000</v>
      </c>
      <c r="Z5987" s="28">
        <v>1012704000</v>
      </c>
      <c r="AA5987" s="28">
        <v>1167143000</v>
      </c>
      <c r="AB5987" s="28">
        <v>3206197000</v>
      </c>
      <c r="AC5987" s="28">
        <v>41957931000</v>
      </c>
      <c r="AD5987" s="28">
        <v>2022704000</v>
      </c>
      <c r="AE5987" s="28">
        <v>264604359000</v>
      </c>
      <c r="AF5987" s="28">
        <v>337716000</v>
      </c>
      <c r="AG5987" s="11"/>
    </row>
    <row r="5988">
      <c r="A5988" s="7" t="s">
        <v>7583</v>
      </c>
      <c r="B5988" s="5" t="s">
        <v>15532</v>
      </c>
      <c r="C5988" s="5" t="s">
        <v>23195</v>
      </c>
      <c r="D5988" s="5" t="str">
        <v>026601165804</v>
      </c>
      <c r="E5988" s="0" t="e">
        <f>+7 (3472) 392187
+7 (347) 6391282
+7 (347) 6391641
+7 (347) 6393180
+7 (3472) 391282
+7 (3472) 393180
+7 (34763) 92187
+7 (812) 3300770</f>
        <v>#NAME?</v>
      </c>
      <c r="F5988" s="5" t="s">
        <v>42883</v>
      </c>
      <c r="G5988" s="5" t="s">
        <v>42884</v>
      </c>
      <c r="H5988" s="26">
        <v>14.5</v>
      </c>
      <c r="I5988" s="5" t="s">
        <v>42885</v>
      </c>
      <c r="J5988" s="5" t="s">
        <v>25512</v>
      </c>
      <c r="K5988" s="5" t="s">
        <v>344</v>
      </c>
      <c r="L5988" s="5" t="s">
        <v>42886</v>
      </c>
      <c r="M5988" s="27"/>
      <c r="N5988" s="5"/>
      <c r="O5988" s="5" t="str">
        <v>0266031328</v>
      </c>
      <c r="P5988" s="27">
        <v>600000</v>
      </c>
      <c r="Q5988" s="5" t="s">
        <v>49009</v>
      </c>
      <c r="R5988" s="5"/>
      <c r="S5988" s="5" t="s">
        <v>49010</v>
      </c>
      <c r="T5988" s="28">
        <v>7048000</v>
      </c>
      <c r="U5988" s="28"/>
      <c r="V5988" s="28">
        <v>686152000</v>
      </c>
      <c r="W5988" s="28">
        <v>293531000</v>
      </c>
      <c r="X5988" s="28">
        <v>818357000</v>
      </c>
      <c r="Y5988" s="28">
        <v>2257732000</v>
      </c>
      <c r="Z5988" s="28">
        <v>-256786000</v>
      </c>
      <c r="AA5988" s="28"/>
      <c r="AB5988" s="28"/>
      <c r="AC5988" s="28">
        <v>2490759000</v>
      </c>
      <c r="AD5988" s="28">
        <v>-256186000</v>
      </c>
      <c r="AE5988" s="28">
        <v>15998585000</v>
      </c>
      <c r="AF5988" s="28">
        <v>-256787000</v>
      </c>
      <c r="AG5988" s="11"/>
    </row>
    <row r="5989">
      <c r="A5989" s="7" t="s">
        <v>7584</v>
      </c>
      <c r="B5989" s="5" t="s">
        <v>13627</v>
      </c>
      <c r="C5989" s="5" t="s">
        <v>23196</v>
      </c>
      <c r="D5989" s="5" t="str">
        <v>027813317909</v>
      </c>
      <c r="E5989" s="0" t="e">
        <f>+7 (347) 2284430
+7 (3472) 284215
+7 (3472) 284216
+7 (3472) 284316
+7 (3472) 520201
+7 (3472) 520272
+7 (34783) 32015</f>
        <v>#NAME?</v>
      </c>
      <c r="F5989" s="5" t="s">
        <v>42887</v>
      </c>
      <c r="G5989" s="5" t="s">
        <v>42888</v>
      </c>
      <c r="H5989" s="26">
        <v>20.5</v>
      </c>
      <c r="I5989" s="5" t="s">
        <v>42889</v>
      </c>
      <c r="J5989" s="5" t="s">
        <v>38093</v>
      </c>
      <c r="K5989" s="5" t="s">
        <v>344</v>
      </c>
      <c r="L5989" s="5" t="s">
        <v>42890</v>
      </c>
      <c r="M5989" s="27">
        <v>33746012</v>
      </c>
      <c r="N5989" s="5" t="s">
        <v>58332</v>
      </c>
      <c r="O5989" s="5" t="str">
        <v>0278088368</v>
      </c>
      <c r="P5989" s="27">
        <v>2500000</v>
      </c>
      <c r="Q5989" s="5" t="s">
        <v>58334</v>
      </c>
      <c r="R5989" s="5"/>
      <c r="S5989" s="5" t="s">
        <v>58335</v>
      </c>
      <c r="T5989" s="28">
        <v>352899000</v>
      </c>
      <c r="U5989" s="28">
        <v>5000</v>
      </c>
      <c r="V5989" s="28">
        <v>2231639000</v>
      </c>
      <c r="W5989" s="28"/>
      <c r="X5989" s="28">
        <v>240160000</v>
      </c>
      <c r="Y5989" s="28">
        <v>5282929000</v>
      </c>
      <c r="Z5989" s="28">
        <v>716180000</v>
      </c>
      <c r="AA5989" s="28"/>
      <c r="AB5989" s="28">
        <v>666449000</v>
      </c>
      <c r="AC5989" s="28">
        <v>4292713000</v>
      </c>
      <c r="AD5989" s="28">
        <v>718680000</v>
      </c>
      <c r="AE5989" s="28">
        <v>9061109000</v>
      </c>
      <c r="AF5989" s="28">
        <v>171552000</v>
      </c>
      <c r="AG5989" s="11"/>
    </row>
    <row r="5990">
      <c r="A5990" s="7" t="s">
        <v>7585</v>
      </c>
      <c r="B5990" s="5" t="s">
        <v>15533</v>
      </c>
      <c r="C5990" s="5" t="s">
        <v>23197</v>
      </c>
      <c r="D5990" s="5" t="str">
        <v>860212670783</v>
      </c>
      <c r="E5990" s="0" t="e">
        <f>+7 (482) 2312131
+7 (482) 2323131
+7 (482) 2333588
+7 (482) 2344928
+7 (482) 2320134
+7 (482) 2321629
+7 (482) 2322131
+7 (482) 2323280
+7 (482) 2323542
+7 (482) 2323584
+7 (482) 2323588
+7 (482) 2333542
+7 (482) 2343830
+7 (482) 2344780
+7 (482) 2344968</f>
        <v>#NAME?</v>
      </c>
      <c r="F5990" s="5" t="s">
        <v>42891</v>
      </c>
      <c r="G5990" s="5" t="s">
        <v>42892</v>
      </c>
      <c r="H5990" s="26">
        <v>26</v>
      </c>
      <c r="I5990" s="5" t="s">
        <v>42893</v>
      </c>
      <c r="J5990" s="5" t="s">
        <v>27115</v>
      </c>
      <c r="K5990" s="5" t="s">
        <v>344</v>
      </c>
      <c r="L5990" s="5"/>
      <c r="M5990" s="27"/>
      <c r="N5990" s="5" t="s">
        <v>58336</v>
      </c>
      <c r="O5990" s="5" t="str">
        <v>6905041501</v>
      </c>
      <c r="P5990" s="27">
        <v>800000</v>
      </c>
      <c r="Q5990" s="5" t="s">
        <v>58337</v>
      </c>
      <c r="R5990" s="5" t="s">
        <v>58338</v>
      </c>
      <c r="S5990" s="5" t="s">
        <v>55728</v>
      </c>
      <c r="T5990" s="28">
        <v>771698000</v>
      </c>
      <c r="U5990" s="28">
        <v>909000</v>
      </c>
      <c r="V5990" s="28">
        <v>732191000</v>
      </c>
      <c r="W5990" s="28"/>
      <c r="X5990" s="28">
        <v>87130000</v>
      </c>
      <c r="Y5990" s="28">
        <v>2237287000</v>
      </c>
      <c r="Z5990" s="28">
        <v>677785000</v>
      </c>
      <c r="AA5990" s="28"/>
      <c r="AB5990" s="28"/>
      <c r="AC5990" s="28">
        <v>1436768000</v>
      </c>
      <c r="AD5990" s="28">
        <v>750560000</v>
      </c>
      <c r="AE5990" s="28">
        <v>11336474000</v>
      </c>
      <c r="AF5990" s="28">
        <v>116361000</v>
      </c>
      <c r="AG5990" s="11"/>
    </row>
    <row r="5991">
      <c r="A5991" s="7" t="s">
        <v>7586</v>
      </c>
      <c r="B5991" s="5" t="s">
        <v>15534</v>
      </c>
      <c r="C5991" s="5" t="s">
        <v>23198</v>
      </c>
      <c r="D5991" s="5" t="str">
        <v>151309143530</v>
      </c>
      <c r="E5991" s="0" t="e">
        <f>+7 (800) 7754014
+7 (495) 3888489
+7 (495) 4115433
+7 (495) 4115434
+7 (800) 5002899
+7 (800) 7751858
+7 (800) 7754071
+7 (800) 7754081
+7 (800) 7754091
+7 (86554) 58331
+7 (86554) 58340
+7 (86554) 72625
+7 (910) 4001625
+7 (915) 503955
+7 (916) 2772747</f>
        <v>#NAME?</v>
      </c>
      <c r="F5991" s="5" t="s">
        <v>42894</v>
      </c>
      <c r="G5991" s="5"/>
      <c r="H5991" s="26">
        <v>30</v>
      </c>
      <c r="I5991" s="5"/>
      <c r="J5991" s="5" t="s">
        <v>397</v>
      </c>
      <c r="K5991" s="5" t="s">
        <v>344</v>
      </c>
      <c r="L5991" s="5" t="s">
        <v>42895</v>
      </c>
      <c r="M5991" s="27"/>
      <c r="N5991" s="5" t="s">
        <v>58339</v>
      </c>
      <c r="O5991" s="5" t="str">
        <v>7715035251</v>
      </c>
      <c r="P5991" s="27">
        <v>12286240</v>
      </c>
      <c r="Q5991" s="5"/>
      <c r="R5991" s="5" t="s">
        <v>52167</v>
      </c>
      <c r="S5991" s="5" t="s">
        <v>49110</v>
      </c>
      <c r="T5991" s="28">
        <v>1249811000</v>
      </c>
      <c r="U5991" s="28">
        <v>40050000</v>
      </c>
      <c r="V5991" s="28">
        <v>1325440000</v>
      </c>
      <c r="W5991" s="28"/>
      <c r="X5991" s="28">
        <v>1206000</v>
      </c>
      <c r="Y5991" s="28">
        <v>3485334000</v>
      </c>
      <c r="Z5991" s="28">
        <v>2041435000</v>
      </c>
      <c r="AA5991" s="28"/>
      <c r="AB5991" s="28">
        <v>660442000</v>
      </c>
      <c r="AC5991" s="28">
        <v>1405013000</v>
      </c>
      <c r="AD5991" s="28">
        <v>2054335000</v>
      </c>
      <c r="AE5991" s="28">
        <v>3831508000</v>
      </c>
      <c r="AF5991" s="28">
        <v>340332000</v>
      </c>
      <c r="AG5991" s="11"/>
    </row>
    <row r="5992">
      <c r="A5992" s="7" t="s">
        <v>7587</v>
      </c>
      <c r="B5992" s="5" t="s">
        <v>15535</v>
      </c>
      <c r="C5992" s="5" t="s">
        <v>23199</v>
      </c>
      <c r="D5992" s="5" t="str">
        <v>772571317183</v>
      </c>
      <c r="F5992" s="5"/>
      <c r="G5992" s="5"/>
      <c r="H5992" s="26">
        <v>1.5</v>
      </c>
      <c r="I5992" s="5"/>
      <c r="J5992" s="5" t="s">
        <v>25376</v>
      </c>
      <c r="K5992" s="5" t="s">
        <v>380</v>
      </c>
      <c r="L5992" s="5"/>
      <c r="M5992" s="27"/>
      <c r="N5992" s="5"/>
      <c r="O5992" s="5" t="str">
        <v>3906406196</v>
      </c>
      <c r="P5992" s="27">
        <v>85469728</v>
      </c>
      <c r="Q5992" s="5" t="s">
        <v>49021</v>
      </c>
      <c r="R5992" s="5"/>
      <c r="S5992" s="5" t="s">
        <v>58340</v>
      </c>
      <c r="T5992" s="28"/>
      <c r="U5992" s="28">
        <v>6157114000</v>
      </c>
      <c r="V5992" s="28">
        <v>2915465000</v>
      </c>
      <c r="W5992" s="28">
        <v>4687206000</v>
      </c>
      <c r="X5992" s="28">
        <v>829802000</v>
      </c>
      <c r="Y5992" s="28">
        <v>14963857000</v>
      </c>
      <c r="Z5992" s="28">
        <v>31531623000</v>
      </c>
      <c r="AA5992" s="28"/>
      <c r="AB5992" s="28">
        <v>777500000</v>
      </c>
      <c r="AC5992" s="28">
        <v>803979000</v>
      </c>
      <c r="AD5992" s="28">
        <v>14143537000</v>
      </c>
      <c r="AE5992" s="28">
        <v>6444276000</v>
      </c>
      <c r="AF5992" s="28">
        <v>-973346000</v>
      </c>
      <c r="AG5992" s="11"/>
    </row>
    <row r="5993">
      <c r="A5993" s="7" t="s">
        <v>7588</v>
      </c>
      <c r="B5993" s="5" t="s">
        <v>15536</v>
      </c>
      <c r="C5993" s="5"/>
      <c r="D5993" s="5"/>
      <c r="E5993" s="0" t="e">
        <f>+7 (495) 2283044
+7 (495) 2283045
+7 (495) 6461968
+7 (800) 7754761</f>
        <v>#NAME?</v>
      </c>
      <c r="F5993" s="5" t="s">
        <v>42896</v>
      </c>
      <c r="G5993" s="5" t="s">
        <v>42897</v>
      </c>
      <c r="H5993" s="26">
        <v>15</v>
      </c>
      <c r="I5993" s="5"/>
      <c r="J5993" s="5" t="s">
        <v>25670</v>
      </c>
      <c r="K5993" s="5" t="s">
        <v>344</v>
      </c>
      <c r="L5993" s="5"/>
      <c r="M5993" s="27">
        <v>24356016</v>
      </c>
      <c r="N5993" s="5" t="s">
        <v>58341</v>
      </c>
      <c r="O5993" s="5" t="str">
        <v>7709780434</v>
      </c>
      <c r="P5993" s="27">
        <v>1021000000</v>
      </c>
      <c r="Q5993" s="5" t="s">
        <v>58342</v>
      </c>
      <c r="R5993" s="5" t="s">
        <v>58343</v>
      </c>
      <c r="S5993" s="5" t="s">
        <v>58344</v>
      </c>
      <c r="T5993" s="28">
        <v>9970000</v>
      </c>
      <c r="U5993" s="28">
        <v>10000</v>
      </c>
      <c r="V5993" s="28">
        <v>34885134000</v>
      </c>
      <c r="W5993" s="28"/>
      <c r="X5993" s="28">
        <v>404135000</v>
      </c>
      <c r="Y5993" s="28">
        <v>43356130000</v>
      </c>
      <c r="Z5993" s="28">
        <v>3903643000</v>
      </c>
      <c r="AA5993" s="28">
        <v>15374816000</v>
      </c>
      <c r="AB5993" s="28">
        <v>13560955000</v>
      </c>
      <c r="AC5993" s="28">
        <v>15080672000</v>
      </c>
      <c r="AD5993" s="28">
        <v>5924643000</v>
      </c>
      <c r="AE5993" s="28">
        <v>5558727000</v>
      </c>
      <c r="AF5993" s="28">
        <v>1533029000</v>
      </c>
      <c r="AG5993" s="11"/>
    </row>
    <row r="5994">
      <c r="A5994" s="7" t="s">
        <v>7589</v>
      </c>
      <c r="B5994" s="5" t="s">
        <v>15537</v>
      </c>
      <c r="C5994" s="5" t="s">
        <v>23200</v>
      </c>
      <c r="D5994" s="5" t="str">
        <v>420510613600</v>
      </c>
      <c r="E5994" s="0" t="e">
        <f>+7 (384) 2346125
+7 (384) 2346126
+7 (384) 2346127
+7 (903) 9071410
+7 (905) 672692
+7 (933) 3009349</f>
        <v>#NAME?</v>
      </c>
      <c r="F5994" s="5" t="s">
        <v>42898</v>
      </c>
      <c r="G5994" s="5" t="s">
        <v>42899</v>
      </c>
      <c r="H5994" s="26">
        <v>13.5</v>
      </c>
      <c r="I5994" s="5" t="s">
        <v>42900</v>
      </c>
      <c r="J5994" s="5" t="s">
        <v>25344</v>
      </c>
      <c r="K5994" s="5" t="s">
        <v>344</v>
      </c>
      <c r="L5994" s="5" t="s">
        <v>42901</v>
      </c>
      <c r="M5994" s="27">
        <v>25712862</v>
      </c>
      <c r="N5994" s="5"/>
      <c r="O5994" s="5" t="str">
        <v>4205185423</v>
      </c>
      <c r="P5994" s="27">
        <v>400000000</v>
      </c>
      <c r="Q5994" s="5" t="s">
        <v>49021</v>
      </c>
      <c r="R5994" s="5" t="s">
        <v>58345</v>
      </c>
      <c r="S5994" s="5" t="s">
        <v>58346</v>
      </c>
      <c r="T5994" s="28">
        <v>18590133000</v>
      </c>
      <c r="U5994" s="28">
        <v>194780000</v>
      </c>
      <c r="V5994" s="28">
        <v>9355954000</v>
      </c>
      <c r="W5994" s="28"/>
      <c r="X5994" s="28">
        <v>1318234000</v>
      </c>
      <c r="Y5994" s="28">
        <v>33667854000</v>
      </c>
      <c r="Z5994" s="28">
        <v>4966958000</v>
      </c>
      <c r="AA5994" s="28">
        <v>7800717000</v>
      </c>
      <c r="AB5994" s="28">
        <v>3048946000</v>
      </c>
      <c r="AC5994" s="28">
        <v>17277780000</v>
      </c>
      <c r="AD5994" s="28">
        <v>5366958000</v>
      </c>
      <c r="AE5994" s="28">
        <v>38818112000</v>
      </c>
      <c r="AF5994" s="28">
        <v>1455013000</v>
      </c>
      <c r="AG5994" s="11"/>
    </row>
    <row r="5995">
      <c r="A5995" s="7" t="s">
        <v>7590</v>
      </c>
      <c r="B5995" s="5" t="s">
        <v>15538</v>
      </c>
      <c r="C5995" s="5" t="s">
        <v>23201</v>
      </c>
      <c r="D5995" s="5" t="str">
        <v>263406268329</v>
      </c>
      <c r="E5995" s="0" t="e">
        <f>+7 (905) 7202865</f>
        <v>#NAME?</v>
      </c>
      <c r="F5995" s="5" t="s">
        <v>42902</v>
      </c>
      <c r="G5995" s="5" t="s">
        <v>42903</v>
      </c>
      <c r="H5995" s="26">
        <v>19.5</v>
      </c>
      <c r="I5995" s="5"/>
      <c r="J5995" s="5" t="s">
        <v>32309</v>
      </c>
      <c r="K5995" s="5" t="s">
        <v>344</v>
      </c>
      <c r="L5995" s="5"/>
      <c r="M5995" s="27">
        <v>908671</v>
      </c>
      <c r="N5995" s="5" t="s">
        <v>58347</v>
      </c>
      <c r="O5995" s="5" t="str">
        <v>7708229993</v>
      </c>
      <c r="P5995" s="27">
        <v>67640000</v>
      </c>
      <c r="Q5995" s="5" t="s">
        <v>58349</v>
      </c>
      <c r="R5995" s="5"/>
      <c r="S5995" s="5" t="s">
        <v>56422</v>
      </c>
      <c r="T5995" s="28">
        <v>19479000</v>
      </c>
      <c r="U5995" s="28">
        <v>294000</v>
      </c>
      <c r="V5995" s="28">
        <v>1694205000</v>
      </c>
      <c r="W5995" s="28">
        <v>13800000</v>
      </c>
      <c r="X5995" s="28">
        <v>81850000</v>
      </c>
      <c r="Y5995" s="28">
        <v>2351903000</v>
      </c>
      <c r="Z5995" s="28">
        <v>216797000</v>
      </c>
      <c r="AA5995" s="28"/>
      <c r="AB5995" s="28">
        <v>363011000</v>
      </c>
      <c r="AC5995" s="28">
        <v>1962552000</v>
      </c>
      <c r="AD5995" s="28">
        <v>383663000</v>
      </c>
      <c r="AE5995" s="28">
        <v>5040068000</v>
      </c>
      <c r="AF5995" s="28">
        <v>2611000</v>
      </c>
      <c r="AG5995" s="11"/>
    </row>
    <row r="5996">
      <c r="A5996" s="7" t="s">
        <v>7591</v>
      </c>
      <c r="B5996" s="5" t="s">
        <v>15539</v>
      </c>
      <c r="C5996" s="5" t="s">
        <v>23202</v>
      </c>
      <c r="D5996" s="5" t="str">
        <v>190205557723</v>
      </c>
      <c r="E5996" s="0" t="e">
        <f>+7 (391) 1421260
+7 (39160) 21122
+7 (39160) 21123
+7 (39160) 21260
+7 (39160) 21295
+7 (39160) 21334
+7 (965) 8903660</f>
        <v>#NAME?</v>
      </c>
      <c r="F5996" s="5" t="s">
        <v>42904</v>
      </c>
      <c r="G5996" s="5" t="s">
        <v>42905</v>
      </c>
      <c r="H5996" s="26">
        <v>24.5</v>
      </c>
      <c r="I5996" s="5" t="s">
        <v>42906</v>
      </c>
      <c r="J5996" s="5" t="s">
        <v>26499</v>
      </c>
      <c r="K5996" s="5" t="s">
        <v>355</v>
      </c>
      <c r="L5996" s="5" t="s">
        <v>42907</v>
      </c>
      <c r="M5996" s="27">
        <v>1830648422</v>
      </c>
      <c r="N5996" s="5" t="s">
        <v>58350</v>
      </c>
      <c r="O5996" s="5" t="str">
        <v>2434012299</v>
      </c>
      <c r="P5996" s="27">
        <v>77987543</v>
      </c>
      <c r="Q5996" s="5" t="s">
        <v>58351</v>
      </c>
      <c r="R5996" s="5"/>
      <c r="S5996" s="5" t="s">
        <v>58352</v>
      </c>
      <c r="T5996" s="28">
        <v>17275214000</v>
      </c>
      <c r="U5996" s="28">
        <v>48621000</v>
      </c>
      <c r="V5996" s="28">
        <v>3005971000</v>
      </c>
      <c r="W5996" s="28">
        <v>4964295000</v>
      </c>
      <c r="X5996" s="28">
        <v>50400000</v>
      </c>
      <c r="Y5996" s="28">
        <v>35882593000</v>
      </c>
      <c r="Z5996" s="28">
        <v>20141091000</v>
      </c>
      <c r="AA5996" s="28">
        <v>1125400000</v>
      </c>
      <c r="AB5996" s="28">
        <v>8083293000</v>
      </c>
      <c r="AC5996" s="28">
        <v>12916774000</v>
      </c>
      <c r="AD5996" s="28">
        <v>20303381000</v>
      </c>
      <c r="AE5996" s="28">
        <v>20413718000</v>
      </c>
      <c r="AF5996" s="28">
        <v>2682342000</v>
      </c>
      <c r="AG5996" s="11"/>
    </row>
    <row r="5997">
      <c r="A5997" s="7" t="s">
        <v>7592</v>
      </c>
      <c r="B5997" s="5" t="s">
        <v>15540</v>
      </c>
      <c r="C5997" s="5" t="s">
        <v>23203</v>
      </c>
      <c r="D5997" s="5" t="str">
        <v>772200240825</v>
      </c>
      <c r="E5997" s="0" t="e">
        <f>+7 (495) 2582860
+7 (495) 2582741
+7 (495) 2582880
+7 (495) 7211942</f>
        <v>#NAME?</v>
      </c>
      <c r="F5997" s="5" t="s">
        <v>42908</v>
      </c>
      <c r="G5997" s="5" t="s">
        <v>42909</v>
      </c>
      <c r="H5997" s="26">
        <v>30</v>
      </c>
      <c r="I5997" s="5"/>
      <c r="J5997" s="5" t="s">
        <v>599</v>
      </c>
      <c r="K5997" s="5" t="s">
        <v>355</v>
      </c>
      <c r="L5997" s="5"/>
      <c r="M5997" s="27">
        <v>21173933</v>
      </c>
      <c r="N5997" s="5" t="s">
        <v>58353</v>
      </c>
      <c r="O5997" s="5" t="str">
        <v>7702059030</v>
      </c>
      <c r="P5997" s="27">
        <v>7959600</v>
      </c>
      <c r="Q5997" s="5" t="s">
        <v>58354</v>
      </c>
      <c r="R5997" s="5"/>
      <c r="S5997" s="5" t="s">
        <v>58355</v>
      </c>
      <c r="T5997" s="28">
        <v>1673955000</v>
      </c>
      <c r="U5997" s="28"/>
      <c r="V5997" s="28">
        <v>2025175000</v>
      </c>
      <c r="W5997" s="28"/>
      <c r="X5997" s="28">
        <v>579845000</v>
      </c>
      <c r="Y5997" s="28">
        <v>7388698000</v>
      </c>
      <c r="Z5997" s="28">
        <v>3269074000</v>
      </c>
      <c r="AA5997" s="28"/>
      <c r="AB5997" s="28"/>
      <c r="AC5997" s="28">
        <v>2369149000</v>
      </c>
      <c r="AD5997" s="28">
        <v>3274389000</v>
      </c>
      <c r="AE5997" s="28">
        <v>5857299000</v>
      </c>
      <c r="AF5997" s="28">
        <v>341084000</v>
      </c>
      <c r="AG5997" s="11"/>
    </row>
    <row r="5998">
      <c r="A5998" s="7" t="s">
        <v>7593</v>
      </c>
      <c r="B5998" s="5" t="s">
        <v>15541</v>
      </c>
      <c r="C5998" s="5" t="s">
        <v>23204</v>
      </c>
      <c r="D5998" s="5" t="str">
        <v>290208003892</v>
      </c>
      <c r="E5998" s="0" t="e">
        <f>+7 (812) 3278701
+7 (812) 7043637</f>
        <v>#NAME?</v>
      </c>
      <c r="F5998" s="5" t="s">
        <v>42910</v>
      </c>
      <c r="G5998" s="5" t="s">
        <v>42911</v>
      </c>
      <c r="H5998" s="26">
        <v>33.5</v>
      </c>
      <c r="I5998" s="5"/>
      <c r="J5998" s="5" t="s">
        <v>25327</v>
      </c>
      <c r="K5998" s="5" t="s">
        <v>344</v>
      </c>
      <c r="L5998" s="5" t="s">
        <v>42912</v>
      </c>
      <c r="M5998" s="27"/>
      <c r="N5998" s="5" t="s">
        <v>50282</v>
      </c>
      <c r="O5998" s="5" t="str">
        <v>7813031424</v>
      </c>
      <c r="P5998" s="27">
        <v>490000</v>
      </c>
      <c r="Q5998" s="5" t="s">
        <v>49009</v>
      </c>
      <c r="R5998" s="5"/>
      <c r="S5998" s="5" t="s">
        <v>49175</v>
      </c>
      <c r="T5998" s="28">
        <v>5620473000</v>
      </c>
      <c r="U5998" s="28"/>
      <c r="V5998" s="28">
        <v>363399000</v>
      </c>
      <c r="W5998" s="28">
        <v>1006000000</v>
      </c>
      <c r="X5998" s="28">
        <v>40185000</v>
      </c>
      <c r="Y5998" s="28">
        <v>8563766000</v>
      </c>
      <c r="Z5998" s="28">
        <v>1064237000</v>
      </c>
      <c r="AA5998" s="28"/>
      <c r="AB5998" s="28"/>
      <c r="AC5998" s="28">
        <v>2151585000</v>
      </c>
      <c r="AD5998" s="28">
        <v>1064850000</v>
      </c>
      <c r="AE5998" s="28">
        <v>21051391000</v>
      </c>
      <c r="AF5998" s="28">
        <v>652171000</v>
      </c>
      <c r="AG5998" s="11"/>
    </row>
    <row r="5999">
      <c r="A5999" s="7" t="s">
        <v>7594</v>
      </c>
      <c r="B5999" s="5" t="s">
        <v>15542</v>
      </c>
      <c r="C5999" s="5" t="s">
        <v>23205</v>
      </c>
      <c r="D5999" s="5" t="str">
        <v>721501800932</v>
      </c>
      <c r="E5999" s="0" t="e">
        <f>+7 (982) 9814011
+7 (34542) 27323
+7 (34542) 28040
+7 (34542) 36731
+7 (34542) 41343
+7 (34542) 62224
+7 (34542) 62225
+7 (34543) 36238
+7 (34543) 41269
+7 (34544) 27623</f>
        <v>#NAME?</v>
      </c>
      <c r="F5999" s="5" t="s">
        <v>42913</v>
      </c>
      <c r="G5999" s="5" t="s">
        <v>42914</v>
      </c>
      <c r="H5999" s="26">
        <v>24</v>
      </c>
      <c r="I5999" s="5" t="s">
        <v>42915</v>
      </c>
      <c r="J5999" s="5" t="s">
        <v>725</v>
      </c>
      <c r="K5999" s="5" t="s">
        <v>355</v>
      </c>
      <c r="L5999" s="5" t="s">
        <v>42916</v>
      </c>
      <c r="M5999" s="27"/>
      <c r="N5999" s="5" t="s">
        <v>58356</v>
      </c>
      <c r="O5999" s="5" t="str">
        <v>7215008323</v>
      </c>
      <c r="P5999" s="27">
        <v>16502</v>
      </c>
      <c r="Q5999" s="5" t="s">
        <v>49688</v>
      </c>
      <c r="R5999" s="5"/>
      <c r="S5999" s="5" t="s">
        <v>58357</v>
      </c>
      <c r="T5999" s="28">
        <v>1875268000</v>
      </c>
      <c r="U5999" s="28">
        <v>17005000</v>
      </c>
      <c r="V5999" s="28">
        <v>73469000</v>
      </c>
      <c r="W5999" s="28"/>
      <c r="X5999" s="28">
        <v>17078000</v>
      </c>
      <c r="Y5999" s="28">
        <v>3675318000</v>
      </c>
      <c r="Z5999" s="28">
        <v>2539341000</v>
      </c>
      <c r="AA5999" s="28">
        <v>387016000</v>
      </c>
      <c r="AB5999" s="28">
        <v>303968000</v>
      </c>
      <c r="AC5999" s="28">
        <v>572395000</v>
      </c>
      <c r="AD5999" s="28">
        <v>2556880000</v>
      </c>
      <c r="AE5999" s="28">
        <v>3240081000</v>
      </c>
      <c r="AF5999" s="28">
        <v>133340000</v>
      </c>
      <c r="AG5999" s="11"/>
    </row>
    <row r="6000">
      <c r="A6000" s="7" t="s">
        <v>7595</v>
      </c>
      <c r="B6000" s="5" t="s">
        <v>15543</v>
      </c>
      <c r="C6000" s="5" t="s">
        <v>23206</v>
      </c>
      <c r="D6000" s="5" t="str">
        <v>500907126048</v>
      </c>
      <c r="E6000" s="0" t="e">
        <f>+7 (499) 4260423
+7 (499) 9401220
+7 (917) 5625189
+7 (919) 7778391
+7 (926) 5685306</f>
        <v>#NAME?</v>
      </c>
      <c r="F6000" s="5" t="s">
        <v>42917</v>
      </c>
      <c r="G6000" s="5"/>
      <c r="H6000" s="26">
        <v>7.5</v>
      </c>
      <c r="I6000" s="5" t="s">
        <v>42918</v>
      </c>
      <c r="J6000" s="5" t="s">
        <v>364</v>
      </c>
      <c r="K6000" s="5" t="s">
        <v>344</v>
      </c>
      <c r="L6000" s="5" t="s">
        <v>42919</v>
      </c>
      <c r="M6000" s="27">
        <v>250309470</v>
      </c>
      <c r="N6000" s="5" t="s">
        <v>58358</v>
      </c>
      <c r="O6000" s="5" t="str">
        <v>9705049837</v>
      </c>
      <c r="P6000" s="27">
        <v>10000</v>
      </c>
      <c r="Q6000" s="5" t="s">
        <v>58359</v>
      </c>
      <c r="R6000" s="5"/>
      <c r="S6000" s="5" t="s">
        <v>58360</v>
      </c>
      <c r="T6000" s="28">
        <v>47051000</v>
      </c>
      <c r="U6000" s="28">
        <v>3478000</v>
      </c>
      <c r="V6000" s="28">
        <v>2264878000</v>
      </c>
      <c r="W6000" s="28"/>
      <c r="X6000" s="28">
        <v>585345000</v>
      </c>
      <c r="Y6000" s="28">
        <v>4040271000</v>
      </c>
      <c r="Z6000" s="28">
        <v>266659000</v>
      </c>
      <c r="AA6000" s="28"/>
      <c r="AB6000" s="28">
        <v>989160000</v>
      </c>
      <c r="AC6000" s="28">
        <v>3763639000</v>
      </c>
      <c r="AD6000" s="28">
        <v>266669000</v>
      </c>
      <c r="AE6000" s="28">
        <v>5116862000</v>
      </c>
      <c r="AF6000" s="28">
        <v>6263000</v>
      </c>
      <c r="AG6000" s="11"/>
    </row>
    <row r="6001">
      <c r="A6001" s="7" t="s">
        <v>7596</v>
      </c>
      <c r="B6001" s="5" t="s">
        <v>15544</v>
      </c>
      <c r="C6001" s="5" t="s">
        <v>23207</v>
      </c>
      <c r="D6001" s="5" t="str">
        <v>501803011407</v>
      </c>
      <c r="E6001" s="0" t="e">
        <f>+7 (495) 7412520
+7 (495) 7412526
+7 (495) 7833731
+7 (495) 7833733
+7 (495) 9934851
+7 (495) 9934856
+7 (49653) 36126
+7 (985) 7605749</f>
        <v>#NAME?</v>
      </c>
      <c r="F6001" s="5" t="s">
        <v>42920</v>
      </c>
      <c r="G6001" s="5" t="s">
        <v>42921</v>
      </c>
      <c r="H6001" s="26">
        <v>29.5</v>
      </c>
      <c r="I6001" s="5" t="s">
        <v>42922</v>
      </c>
      <c r="J6001" s="5" t="s">
        <v>31349</v>
      </c>
      <c r="K6001" s="5" t="s">
        <v>344</v>
      </c>
      <c r="L6001" s="5" t="s">
        <v>42923</v>
      </c>
      <c r="M6001" s="27">
        <v>12550403</v>
      </c>
      <c r="N6001" s="5" t="s">
        <v>58361</v>
      </c>
      <c r="O6001" s="5" t="str">
        <v>7724000760</v>
      </c>
      <c r="P6001" s="27">
        <v>670000000</v>
      </c>
      <c r="Q6001" s="5" t="s">
        <v>58362</v>
      </c>
      <c r="R6001" s="5"/>
      <c r="S6001" s="5" t="s">
        <v>52179</v>
      </c>
      <c r="T6001" s="28">
        <v>3704131000</v>
      </c>
      <c r="U6001" s="28"/>
      <c r="V6001" s="28">
        <v>1149993000</v>
      </c>
      <c r="W6001" s="28">
        <v>46000000</v>
      </c>
      <c r="X6001" s="28">
        <v>1346854000</v>
      </c>
      <c r="Y6001" s="28">
        <v>7725842000</v>
      </c>
      <c r="Z6001" s="28">
        <v>6040070000</v>
      </c>
      <c r="AA6001" s="28"/>
      <c r="AB6001" s="28"/>
      <c r="AC6001" s="28">
        <v>924026000</v>
      </c>
      <c r="AD6001" s="28">
        <v>6713048000</v>
      </c>
      <c r="AE6001" s="28">
        <v>9485541000</v>
      </c>
      <c r="AF6001" s="28">
        <v>1169575000</v>
      </c>
      <c r="AG6001" s="11"/>
    </row>
    <row r="6002">
      <c r="A6002" s="7" t="s">
        <v>7597</v>
      </c>
      <c r="B6002" s="5" t="s">
        <v>15545</v>
      </c>
      <c r="C6002" s="5" t="s">
        <v>17852</v>
      </c>
      <c r="D6002" s="5"/>
      <c r="E6002" s="0" t="e">
        <f>+7 (401) 2306142
+7 (401) 2305542
+7 (903) 6561007
+7 (919) 2225732
+7 (960) 6298628
+7 (980) 2441498</f>
        <v>#NAME?</v>
      </c>
      <c r="F6002" s="5" t="s">
        <v>42924</v>
      </c>
      <c r="G6002" s="5" t="s">
        <v>42925</v>
      </c>
      <c r="H6002" s="26">
        <v>16</v>
      </c>
      <c r="I6002" s="5" t="s">
        <v>42926</v>
      </c>
      <c r="J6002" s="5" t="s">
        <v>25837</v>
      </c>
      <c r="K6002" s="5" t="s">
        <v>344</v>
      </c>
      <c r="L6002" s="5" t="s">
        <v>42927</v>
      </c>
      <c r="M6002" s="27">
        <v>1121219</v>
      </c>
      <c r="N6002" s="5" t="s">
        <v>58363</v>
      </c>
      <c r="O6002" s="5" t="str">
        <v>3913011336</v>
      </c>
      <c r="P6002" s="27">
        <v>54661655</v>
      </c>
      <c r="Q6002" s="5" t="s">
        <v>58364</v>
      </c>
      <c r="R6002" s="5"/>
      <c r="S6002" s="5" t="s">
        <v>58365</v>
      </c>
      <c r="T6002" s="28">
        <v>71651000</v>
      </c>
      <c r="U6002" s="28"/>
      <c r="V6002" s="28">
        <v>31566367000</v>
      </c>
      <c r="W6002" s="28">
        <v>152860000</v>
      </c>
      <c r="X6002" s="28">
        <v>7982000</v>
      </c>
      <c r="Y6002" s="28">
        <v>54510344000</v>
      </c>
      <c r="Z6002" s="28">
        <v>1441503000</v>
      </c>
      <c r="AA6002" s="28"/>
      <c r="AB6002" s="28">
        <v>24419797000</v>
      </c>
      <c r="AC6002" s="28">
        <v>52243961000</v>
      </c>
      <c r="AD6002" s="28">
        <v>1969920000</v>
      </c>
      <c r="AE6002" s="28">
        <v>130510351000</v>
      </c>
      <c r="AF6002" s="28">
        <v>956936000</v>
      </c>
      <c r="AG6002" s="11"/>
    </row>
    <row r="6003">
      <c r="A6003" s="7" t="s">
        <v>7598</v>
      </c>
      <c r="B6003" s="5" t="s">
        <v>15546</v>
      </c>
      <c r="C6003" s="5" t="s">
        <v>17852</v>
      </c>
      <c r="D6003" s="5"/>
      <c r="E6003" s="0" t="e">
        <f>+7 (401) 2305503
+7 (401) 2305514</f>
        <v>#NAME?</v>
      </c>
      <c r="F6003" s="5"/>
      <c r="G6003" s="5"/>
      <c r="H6003" s="26">
        <v>5</v>
      </c>
      <c r="I6003" s="5" t="s">
        <v>42928</v>
      </c>
      <c r="J6003" s="5" t="s">
        <v>27266</v>
      </c>
      <c r="K6003" s="5" t="s">
        <v>344</v>
      </c>
      <c r="L6003" s="5"/>
      <c r="M6003" s="27"/>
      <c r="N6003" s="5"/>
      <c r="O6003" s="5" t="str">
        <v>3913013693</v>
      </c>
      <c r="P6003" s="27">
        <v>1225010000</v>
      </c>
      <c r="Q6003" s="5"/>
      <c r="R6003" s="5"/>
      <c r="S6003" s="5" t="s">
        <v>49053</v>
      </c>
      <c r="T6003" s="28">
        <v>4201117000</v>
      </c>
      <c r="U6003" s="28"/>
      <c r="V6003" s="28">
        <v>682994000</v>
      </c>
      <c r="W6003" s="28"/>
      <c r="X6003" s="28">
        <v>945000</v>
      </c>
      <c r="Y6003" s="28">
        <v>5711732000</v>
      </c>
      <c r="Z6003" s="28">
        <v>1282671000</v>
      </c>
      <c r="AA6003" s="28">
        <v>2452402000</v>
      </c>
      <c r="AB6003" s="28">
        <v>652945000</v>
      </c>
      <c r="AC6003" s="28">
        <v>672681000</v>
      </c>
      <c r="AD6003" s="28">
        <v>2562681000</v>
      </c>
      <c r="AE6003" s="28">
        <v>8889101000</v>
      </c>
      <c r="AF6003" s="28">
        <v>402421000</v>
      </c>
      <c r="AG6003" s="11"/>
    </row>
    <row r="6004">
      <c r="A6004" s="7" t="s">
        <v>7599</v>
      </c>
      <c r="B6004" s="5" t="s">
        <v>9946</v>
      </c>
      <c r="C6004" s="5" t="s">
        <v>17852</v>
      </c>
      <c r="D6004" s="5"/>
      <c r="E6004" s="0" t="e">
        <f>+7 (401) 2305544
+7 (401) 2305500
+7 (401) 2305523
+7 (401) 2305540
+7 (401) 2306103
+7 (401) 2306109
+7 (40152) 47361</f>
        <v>#NAME?</v>
      </c>
      <c r="F6004" s="5" t="s">
        <v>42929</v>
      </c>
      <c r="G6004" s="5" t="s">
        <v>42925</v>
      </c>
      <c r="H6004" s="26">
        <v>17.5</v>
      </c>
      <c r="I6004" s="5"/>
      <c r="J6004" s="5" t="s">
        <v>25800</v>
      </c>
      <c r="K6004" s="5" t="s">
        <v>355</v>
      </c>
      <c r="L6004" s="5" t="s">
        <v>42930</v>
      </c>
      <c r="M6004" s="27"/>
      <c r="N6004" s="5"/>
      <c r="O6004" s="5" t="str">
        <v>3913009739</v>
      </c>
      <c r="P6004" s="27">
        <v>493000000</v>
      </c>
      <c r="Q6004" s="5" t="s">
        <v>49021</v>
      </c>
      <c r="R6004" s="5"/>
      <c r="S6004" s="5" t="s">
        <v>58366</v>
      </c>
      <c r="T6004" s="28">
        <v>4152197000</v>
      </c>
      <c r="U6004" s="28">
        <v>11746879000</v>
      </c>
      <c r="V6004" s="28">
        <v>13893433000</v>
      </c>
      <c r="W6004" s="28">
        <v>3344486000</v>
      </c>
      <c r="X6004" s="28">
        <v>34325000</v>
      </c>
      <c r="Y6004" s="28">
        <v>37868535000</v>
      </c>
      <c r="Z6004" s="28">
        <v>4608417000</v>
      </c>
      <c r="AA6004" s="28"/>
      <c r="AB6004" s="28">
        <v>18427505000</v>
      </c>
      <c r="AC6004" s="28">
        <v>30907644000</v>
      </c>
      <c r="AD6004" s="28">
        <v>6882318000</v>
      </c>
      <c r="AE6004" s="28">
        <v>55013441000</v>
      </c>
      <c r="AF6004" s="28">
        <v>4162067000</v>
      </c>
      <c r="AG6004" s="11"/>
    </row>
    <row r="6005">
      <c r="A6005" s="7" t="s">
        <v>7600</v>
      </c>
      <c r="B6005" s="5" t="s">
        <v>15547</v>
      </c>
      <c r="C6005" s="5" t="s">
        <v>23208</v>
      </c>
      <c r="D6005" s="5" t="str">
        <v>504807948281</v>
      </c>
      <c r="E6005" s="0" t="e">
        <f>+7 (968) 6436981
+7 (495) 9671313</f>
        <v>#NAME?</v>
      </c>
      <c r="F6005" s="5" t="s">
        <v>42931</v>
      </c>
      <c r="G6005" s="5"/>
      <c r="H6005" s="26">
        <v>5</v>
      </c>
      <c r="I6005" s="5" t="s">
        <v>41668</v>
      </c>
      <c r="J6005" s="5" t="s">
        <v>27182</v>
      </c>
      <c r="K6005" s="5" t="s">
        <v>344</v>
      </c>
      <c r="L6005" s="5" t="s">
        <v>38047</v>
      </c>
      <c r="M6005" s="27"/>
      <c r="N6005" s="5" t="s">
        <v>50052</v>
      </c>
      <c r="O6005" s="5" t="str">
        <v>9731000154</v>
      </c>
      <c r="P6005" s="27">
        <v>10000</v>
      </c>
      <c r="Q6005" s="5"/>
      <c r="R6005" s="5"/>
      <c r="S6005" s="5" t="s">
        <v>49110</v>
      </c>
      <c r="T6005" s="28">
        <v>484610000</v>
      </c>
      <c r="U6005" s="28"/>
      <c r="V6005" s="28">
        <v>14361359000</v>
      </c>
      <c r="W6005" s="28"/>
      <c r="X6005" s="28">
        <v>115048000</v>
      </c>
      <c r="Y6005" s="28">
        <v>30653071000</v>
      </c>
      <c r="Z6005" s="28">
        <v>1498315000</v>
      </c>
      <c r="AA6005" s="28">
        <v>5566522000</v>
      </c>
      <c r="AB6005" s="28">
        <v>3997456000</v>
      </c>
      <c r="AC6005" s="28">
        <v>20455267000</v>
      </c>
      <c r="AD6005" s="28">
        <v>1788325000</v>
      </c>
      <c r="AE6005" s="28">
        <v>5230850000</v>
      </c>
      <c r="AF6005" s="28">
        <v>2442068000</v>
      </c>
      <c r="AG6005" s="11"/>
    </row>
    <row r="6006">
      <c r="A6006" s="7" t="s">
        <v>7601</v>
      </c>
      <c r="B6006" s="5" t="s">
        <v>15548</v>
      </c>
      <c r="C6006" s="5" t="s">
        <v>23209</v>
      </c>
      <c r="D6006" s="5" t="str">
        <v>772675696200</v>
      </c>
      <c r="E6006" s="0" t="e">
        <f>+7 (985) 4171020
+7 (499) 5028888</f>
        <v>#NAME?</v>
      </c>
      <c r="F6006" s="5" t="s">
        <v>42932</v>
      </c>
      <c r="G6006" s="5"/>
      <c r="H6006" s="26">
        <v>10</v>
      </c>
      <c r="I6006" s="5" t="s">
        <v>42933</v>
      </c>
      <c r="J6006" s="5" t="s">
        <v>373</v>
      </c>
      <c r="K6006" s="5" t="s">
        <v>344</v>
      </c>
      <c r="L6006" s="5"/>
      <c r="M6006" s="27">
        <v>1754910</v>
      </c>
      <c r="N6006" s="5" t="s">
        <v>58367</v>
      </c>
      <c r="O6006" s="5" t="str">
        <v>7707803527</v>
      </c>
      <c r="P6006" s="27">
        <v>654326300</v>
      </c>
      <c r="Q6006" s="5" t="s">
        <v>58368</v>
      </c>
      <c r="R6006" s="5"/>
      <c r="S6006" s="5" t="s">
        <v>58369</v>
      </c>
      <c r="T6006" s="28">
        <v>236456000</v>
      </c>
      <c r="U6006" s="28">
        <v>201000</v>
      </c>
      <c r="V6006" s="28">
        <v>4810492000</v>
      </c>
      <c r="W6006" s="28"/>
      <c r="X6006" s="28">
        <v>295891000</v>
      </c>
      <c r="Y6006" s="28">
        <v>6842277000</v>
      </c>
      <c r="Z6006" s="28">
        <v>262062000</v>
      </c>
      <c r="AA6006" s="28"/>
      <c r="AB6006" s="28">
        <v>3911380000</v>
      </c>
      <c r="AC6006" s="28">
        <v>5691164000</v>
      </c>
      <c r="AD6006" s="28">
        <v>928052000</v>
      </c>
      <c r="AE6006" s="28">
        <v>38125055000</v>
      </c>
      <c r="AF6006" s="28">
        <v>25813000</v>
      </c>
      <c r="AG6006" s="11"/>
    </row>
    <row r="6007">
      <c r="A6007" s="7" t="s">
        <v>7602</v>
      </c>
      <c r="B6007" s="5" t="s">
        <v>15549</v>
      </c>
      <c r="C6007" s="5" t="s">
        <v>23210</v>
      </c>
      <c r="D6007" s="5" t="str">
        <v>272101174984</v>
      </c>
      <c r="F6007" s="5"/>
      <c r="G6007" s="5"/>
      <c r="H6007" s="26">
        <v>8</v>
      </c>
      <c r="I6007" s="5" t="s">
        <v>42934</v>
      </c>
      <c r="J6007" s="5" t="s">
        <v>785</v>
      </c>
      <c r="K6007" s="5" t="s">
        <v>344</v>
      </c>
      <c r="L6007" s="5" t="s">
        <v>42935</v>
      </c>
      <c r="M6007" s="27"/>
      <c r="N6007" s="5"/>
      <c r="O6007" s="5" t="str">
        <v>7733228841</v>
      </c>
      <c r="P6007" s="27">
        <v>10000</v>
      </c>
      <c r="Q6007" s="5" t="s">
        <v>49021</v>
      </c>
      <c r="R6007" s="5"/>
      <c r="S6007" s="5" t="s">
        <v>49033</v>
      </c>
      <c r="T6007" s="28">
        <v>2054000</v>
      </c>
      <c r="U6007" s="28">
        <v>3900000</v>
      </c>
      <c r="V6007" s="28">
        <v>195166000</v>
      </c>
      <c r="W6007" s="28">
        <v>97332000</v>
      </c>
      <c r="X6007" s="28">
        <v>29137000</v>
      </c>
      <c r="Y6007" s="28">
        <v>393875000</v>
      </c>
      <c r="Z6007" s="28">
        <v>58360000</v>
      </c>
      <c r="AA6007" s="28"/>
      <c r="AB6007" s="28"/>
      <c r="AC6007" s="28">
        <v>335124000</v>
      </c>
      <c r="AD6007" s="28">
        <v>58370000</v>
      </c>
      <c r="AE6007" s="28">
        <v>7055572000</v>
      </c>
      <c r="AF6007" s="28">
        <v>58523000</v>
      </c>
      <c r="AG6007" s="11"/>
    </row>
    <row r="6008">
      <c r="A6008" s="7" t="s">
        <v>7603</v>
      </c>
      <c r="B6008" s="5" t="s">
        <v>15550</v>
      </c>
      <c r="C6008" s="5" t="s">
        <v>23211</v>
      </c>
      <c r="D6008" s="5" t="str">
        <v>230209658237</v>
      </c>
      <c r="E6008" s="0" t="e">
        <f>+7 (495) 2133375
+7 (495) 6133373
+7 (495) 7558153
+7 (495) 7558154</f>
        <v>#NAME?</v>
      </c>
      <c r="F6008" s="5"/>
      <c r="G6008" s="5"/>
      <c r="H6008" s="26">
        <v>14</v>
      </c>
      <c r="I6008" s="5" t="s">
        <v>42936</v>
      </c>
      <c r="J6008" s="5" t="s">
        <v>27437</v>
      </c>
      <c r="K6008" s="5" t="s">
        <v>344</v>
      </c>
      <c r="L6008" s="5" t="s">
        <v>42937</v>
      </c>
      <c r="M6008" s="27"/>
      <c r="N6008" s="5" t="s">
        <v>58370</v>
      </c>
      <c r="O6008" s="5" t="str">
        <v>7705879048</v>
      </c>
      <c r="P6008" s="27">
        <v>15400000</v>
      </c>
      <c r="Q6008" s="5" t="s">
        <v>58371</v>
      </c>
      <c r="R6008" s="5"/>
      <c r="S6008" s="5" t="s">
        <v>49162</v>
      </c>
      <c r="T6008" s="28">
        <v>39019000</v>
      </c>
      <c r="U6008" s="28"/>
      <c r="V6008" s="28">
        <v>2524544000</v>
      </c>
      <c r="W6008" s="28">
        <v>1529000000</v>
      </c>
      <c r="X6008" s="28">
        <v>523280000</v>
      </c>
      <c r="Y6008" s="28">
        <v>5956417000</v>
      </c>
      <c r="Z6008" s="28">
        <v>4271478000</v>
      </c>
      <c r="AA6008" s="28"/>
      <c r="AB6008" s="28">
        <v>508000</v>
      </c>
      <c r="AC6008" s="28">
        <v>1650493000</v>
      </c>
      <c r="AD6008" s="28">
        <v>4286878000</v>
      </c>
      <c r="AE6008" s="28">
        <v>5811784000</v>
      </c>
      <c r="AF6008" s="28">
        <v>832402000</v>
      </c>
      <c r="AG6008" s="11"/>
    </row>
    <row r="6009">
      <c r="A6009" s="7" t="s">
        <v>7604</v>
      </c>
      <c r="B6009" s="5" t="s">
        <v>15551</v>
      </c>
      <c r="C6009" s="5" t="s">
        <v>23212</v>
      </c>
      <c r="D6009" s="5" t="str">
        <v>772070769809</v>
      </c>
      <c r="E6009" s="0" t="e">
        <f>+7 (495) 6472926
+7 (905) 7961919</f>
        <v>#NAME?</v>
      </c>
      <c r="F6009" s="5" t="s">
        <v>42938</v>
      </c>
      <c r="G6009" s="5"/>
      <c r="H6009" s="26">
        <v>22</v>
      </c>
      <c r="I6009" s="5" t="s">
        <v>42939</v>
      </c>
      <c r="J6009" s="5" t="s">
        <v>27174</v>
      </c>
      <c r="K6009" s="5" t="s">
        <v>344</v>
      </c>
      <c r="L6009" s="5"/>
      <c r="M6009" s="27"/>
      <c r="N6009" s="5"/>
      <c r="O6009" s="5" t="str">
        <v>0814131130</v>
      </c>
      <c r="P6009" s="27">
        <v>389010000</v>
      </c>
      <c r="Q6009" s="5" t="s">
        <v>49579</v>
      </c>
      <c r="R6009" s="5"/>
      <c r="S6009" s="5" t="s">
        <v>57354</v>
      </c>
      <c r="T6009" s="28">
        <v>3248000</v>
      </c>
      <c r="U6009" s="28">
        <v>505776000</v>
      </c>
      <c r="V6009" s="28">
        <v>8378407000</v>
      </c>
      <c r="W6009" s="28">
        <v>49407800000</v>
      </c>
      <c r="X6009" s="28">
        <v>10362000</v>
      </c>
      <c r="Y6009" s="28">
        <v>59191896000</v>
      </c>
      <c r="Z6009" s="28">
        <v>7052178000</v>
      </c>
      <c r="AA6009" s="28">
        <v>1500000</v>
      </c>
      <c r="AB6009" s="28">
        <v>30482171000</v>
      </c>
      <c r="AC6009" s="28">
        <v>49779160000</v>
      </c>
      <c r="AD6009" s="28">
        <v>7441188000</v>
      </c>
      <c r="AE6009" s="28">
        <v>243744479000</v>
      </c>
      <c r="AF6009" s="28">
        <v>6832585000</v>
      </c>
      <c r="AG6009" s="11"/>
    </row>
    <row r="6010">
      <c r="A6010" s="7" t="s">
        <v>7605</v>
      </c>
      <c r="B6010" s="5" t="s">
        <v>15552</v>
      </c>
      <c r="C6010" s="5" t="s">
        <v>23213</v>
      </c>
      <c r="D6010" s="5" t="str">
        <v>773013184114</v>
      </c>
      <c r="E6010" s="0" t="e">
        <f>+7 (495) 9747181</f>
        <v>#NAME?</v>
      </c>
      <c r="F6010" s="5"/>
      <c r="G6010" s="5"/>
      <c r="H6010" s="26">
        <v>14.5</v>
      </c>
      <c r="I6010" s="5" t="s">
        <v>42940</v>
      </c>
      <c r="J6010" s="5" t="s">
        <v>31429</v>
      </c>
      <c r="K6010" s="5" t="s">
        <v>344</v>
      </c>
      <c r="L6010" s="5" t="s">
        <v>42941</v>
      </c>
      <c r="M6010" s="27"/>
      <c r="N6010" s="5"/>
      <c r="O6010" s="5" t="str">
        <v>7707675226</v>
      </c>
      <c r="P6010" s="27">
        <v>10000000</v>
      </c>
      <c r="Q6010" s="5" t="s">
        <v>49021</v>
      </c>
      <c r="R6010" s="5"/>
      <c r="S6010" s="5" t="s">
        <v>58372</v>
      </c>
      <c r="T6010" s="28">
        <v>246388000</v>
      </c>
      <c r="U6010" s="28">
        <v>14000</v>
      </c>
      <c r="V6010" s="28">
        <v>3686202000</v>
      </c>
      <c r="W6010" s="28">
        <v>387500000</v>
      </c>
      <c r="X6010" s="28">
        <v>218303000</v>
      </c>
      <c r="Y6010" s="28">
        <v>5578465000</v>
      </c>
      <c r="Z6010" s="28">
        <v>2157463000</v>
      </c>
      <c r="AA6010" s="28">
        <v>49880000</v>
      </c>
      <c r="AB6010" s="28">
        <v>799202000</v>
      </c>
      <c r="AC6010" s="28">
        <v>2859625000</v>
      </c>
      <c r="AD6010" s="28">
        <v>2640618000</v>
      </c>
      <c r="AE6010" s="28">
        <v>7463427000</v>
      </c>
      <c r="AF6010" s="28">
        <v>1257628000</v>
      </c>
      <c r="AG6010" s="11"/>
    </row>
    <row r="6011">
      <c r="A6011" s="7" t="s">
        <v>7606</v>
      </c>
      <c r="B6011" s="5" t="s">
        <v>15553</v>
      </c>
      <c r="C6011" s="5" t="s">
        <v>23214</v>
      </c>
      <c r="D6011" s="5" t="str">
        <v>243901816633</v>
      </c>
      <c r="E6011" s="0" t="e">
        <f>+7 (39156) 21425
+7 (965) 9006567
+7 (39156) 21364
+7 (39156) 35157
+7 (39156) 35167
+7 (39156) 35538
+7 (902) 9218618
+7 (902) 9218637
+7 (950) 4270538
+7 (950) 4270541
+7 (950) 4270560
+7 (950) 4270561
+7 (950) 9999880
+7 (953) 8518566</f>
        <v>#NAME?</v>
      </c>
      <c r="F6011" s="5" t="s">
        <v>42942</v>
      </c>
      <c r="G6011" s="5" t="s">
        <v>42943</v>
      </c>
      <c r="H6011" s="26">
        <v>31</v>
      </c>
      <c r="I6011" s="5"/>
      <c r="J6011" s="5" t="s">
        <v>25895</v>
      </c>
      <c r="K6011" s="5" t="s">
        <v>344</v>
      </c>
      <c r="L6011" s="5" t="s">
        <v>42944</v>
      </c>
      <c r="M6011" s="27"/>
      <c r="N6011" s="5" t="s">
        <v>58373</v>
      </c>
      <c r="O6011" s="5" t="str">
        <v>2439001011</v>
      </c>
      <c r="P6011" s="27">
        <v>4461000</v>
      </c>
      <c r="Q6011" s="5"/>
      <c r="R6011" s="5"/>
      <c r="S6011" s="5" t="s">
        <v>53269</v>
      </c>
      <c r="T6011" s="28">
        <v>3004470000</v>
      </c>
      <c r="U6011" s="28">
        <v>112655000</v>
      </c>
      <c r="V6011" s="28">
        <v>761986000</v>
      </c>
      <c r="W6011" s="28">
        <v>205080000</v>
      </c>
      <c r="X6011" s="28">
        <v>60678000</v>
      </c>
      <c r="Y6011" s="28">
        <v>6357330000</v>
      </c>
      <c r="Z6011" s="28">
        <v>4024399000</v>
      </c>
      <c r="AA6011" s="28">
        <v>943762000</v>
      </c>
      <c r="AB6011" s="28">
        <v>692785000</v>
      </c>
      <c r="AC6011" s="28">
        <v>851625000</v>
      </c>
      <c r="AD6011" s="28">
        <v>4030805000</v>
      </c>
      <c r="AE6011" s="28">
        <v>3683568000</v>
      </c>
      <c r="AF6011" s="28">
        <v>927662000</v>
      </c>
      <c r="AG6011" s="11"/>
    </row>
    <row r="6012">
      <c r="A6012" s="7" t="s">
        <v>7607</v>
      </c>
      <c r="B6012" s="5" t="s">
        <v>15554</v>
      </c>
      <c r="C6012" s="5" t="s">
        <v>23215</v>
      </c>
      <c r="D6012" s="5" t="str">
        <v>770172033274</v>
      </c>
      <c r="E6012" s="0" t="e">
        <f>+7 (495) 9603149
+7 (495) 3847616
+7 (495) 9357275
+7 (495) 9603150
+7 (495) 9613149
+7 (495) 9613150
+7 (499) 6080275</f>
        <v>#NAME?</v>
      </c>
      <c r="F6012" s="5" t="s">
        <v>42945</v>
      </c>
      <c r="G6012" s="5" t="s">
        <v>42946</v>
      </c>
      <c r="H6012" s="26">
        <v>23</v>
      </c>
      <c r="I6012" s="5" t="s">
        <v>42947</v>
      </c>
      <c r="J6012" s="5" t="s">
        <v>26770</v>
      </c>
      <c r="K6012" s="5" t="s">
        <v>344</v>
      </c>
      <c r="L6012" s="5" t="s">
        <v>42948</v>
      </c>
      <c r="M6012" s="27"/>
      <c r="N6012" s="5" t="s">
        <v>58375</v>
      </c>
      <c r="O6012" s="5" t="str">
        <v>7726297989</v>
      </c>
      <c r="P6012" s="27">
        <v>29712742</v>
      </c>
      <c r="Q6012" s="5" t="s">
        <v>49009</v>
      </c>
      <c r="R6012" s="5"/>
      <c r="S6012" s="5" t="s">
        <v>49361</v>
      </c>
      <c r="T6012" s="28">
        <v>187059000</v>
      </c>
      <c r="U6012" s="28">
        <v>230541000</v>
      </c>
      <c r="V6012" s="28">
        <v>500352000</v>
      </c>
      <c r="W6012" s="28"/>
      <c r="X6012" s="28">
        <v>2525042000</v>
      </c>
      <c r="Y6012" s="28">
        <v>4322304000</v>
      </c>
      <c r="Z6012" s="28">
        <v>2514075000</v>
      </c>
      <c r="AA6012" s="28"/>
      <c r="AB6012" s="28">
        <v>1011000</v>
      </c>
      <c r="AC6012" s="28">
        <v>1654761000</v>
      </c>
      <c r="AD6012" s="28">
        <v>2662238000</v>
      </c>
      <c r="AE6012" s="28">
        <v>7753525000</v>
      </c>
      <c r="AF6012" s="28">
        <v>790339000</v>
      </c>
      <c r="AG6012" s="11"/>
    </row>
    <row r="6013">
      <c r="A6013" s="7" t="s">
        <v>7608</v>
      </c>
      <c r="B6013" s="5" t="s">
        <v>15555</v>
      </c>
      <c r="C6013" s="5" t="s">
        <v>23216</v>
      </c>
      <c r="D6013" s="5" t="str">
        <v>380800389561</v>
      </c>
      <c r="E6013" s="0" t="e">
        <f>+7 (3952) 500539
+7 (3951) 500835
+7 (3952) 500559
+7 (3955) 500835
+7 (908) 6503037</f>
        <v>#NAME?</v>
      </c>
      <c r="F6013" s="5" t="s">
        <v>42949</v>
      </c>
      <c r="G6013" s="5" t="s">
        <v>42950</v>
      </c>
      <c r="H6013" s="26">
        <v>10.5</v>
      </c>
      <c r="I6013" s="5" t="s">
        <v>42951</v>
      </c>
      <c r="J6013" s="5" t="s">
        <v>373</v>
      </c>
      <c r="K6013" s="5" t="s">
        <v>344</v>
      </c>
      <c r="L6013" s="5" t="s">
        <v>42952</v>
      </c>
      <c r="M6013" s="27">
        <v>3142067</v>
      </c>
      <c r="N6013" s="5" t="s">
        <v>58376</v>
      </c>
      <c r="O6013" s="5" t="str">
        <v>3801121348</v>
      </c>
      <c r="P6013" s="27">
        <v>10000000</v>
      </c>
      <c r="Q6013" s="5" t="s">
        <v>58377</v>
      </c>
      <c r="R6013" s="5"/>
      <c r="S6013" s="5" t="s">
        <v>58378</v>
      </c>
      <c r="T6013" s="28">
        <v>16442000</v>
      </c>
      <c r="U6013" s="28"/>
      <c r="V6013" s="28">
        <v>599135000</v>
      </c>
      <c r="W6013" s="28">
        <v>4755000</v>
      </c>
      <c r="X6013" s="28">
        <v>16183000</v>
      </c>
      <c r="Y6013" s="28">
        <v>818773000</v>
      </c>
      <c r="Z6013" s="28">
        <v>165449000</v>
      </c>
      <c r="AA6013" s="28"/>
      <c r="AB6013" s="28">
        <v>445576000</v>
      </c>
      <c r="AC6013" s="28">
        <v>628465000</v>
      </c>
      <c r="AD6013" s="28">
        <v>175449000</v>
      </c>
      <c r="AE6013" s="28">
        <v>6162414000</v>
      </c>
      <c r="AF6013" s="28">
        <v>178270000</v>
      </c>
      <c r="AG6013" s="11"/>
    </row>
    <row r="6014">
      <c r="A6014" s="7" t="s">
        <v>7609</v>
      </c>
      <c r="B6014" s="5" t="s">
        <v>15556</v>
      </c>
      <c r="C6014" s="5" t="s">
        <v>23217</v>
      </c>
      <c r="D6014" s="5" t="str">
        <v>320501296832</v>
      </c>
      <c r="E6014" s="0" t="e">
        <f>+7 (481) 2304737
+7 (910) 7104477
+7 (915) 6335475
+7 (481) 2304739
+7 (481) 2339506
+7 (48133) 42506
+7 (48140) 25966
+7 (910) 3370733</f>
        <v>#NAME?</v>
      </c>
      <c r="F6014" s="5" t="s">
        <v>42953</v>
      </c>
      <c r="G6014" s="5"/>
      <c r="H6014" s="26">
        <v>10</v>
      </c>
      <c r="I6014" s="5" t="s">
        <v>42954</v>
      </c>
      <c r="J6014" s="5" t="s">
        <v>373</v>
      </c>
      <c r="K6014" s="5" t="s">
        <v>344</v>
      </c>
      <c r="L6014" s="5" t="s">
        <v>42955</v>
      </c>
      <c r="M6014" s="27">
        <v>19674745</v>
      </c>
      <c r="N6014" s="5" t="s">
        <v>58379</v>
      </c>
      <c r="O6014" s="5" t="str">
        <v>6732058497</v>
      </c>
      <c r="P6014" s="27">
        <v>1000000</v>
      </c>
      <c r="Q6014" s="5" t="s">
        <v>49021</v>
      </c>
      <c r="R6014" s="5"/>
      <c r="S6014" s="5" t="s">
        <v>58380</v>
      </c>
      <c r="T6014" s="28">
        <v>3128000</v>
      </c>
      <c r="U6014" s="28"/>
      <c r="V6014" s="28">
        <v>2199737000</v>
      </c>
      <c r="W6014" s="28">
        <v>2501000</v>
      </c>
      <c r="X6014" s="28">
        <v>12177000</v>
      </c>
      <c r="Y6014" s="28">
        <v>3184847000</v>
      </c>
      <c r="Z6014" s="28">
        <v>431804000</v>
      </c>
      <c r="AA6014" s="28">
        <v>891487000</v>
      </c>
      <c r="AB6014" s="28">
        <v>18272000</v>
      </c>
      <c r="AC6014" s="28">
        <v>1860133000</v>
      </c>
      <c r="AD6014" s="28">
        <v>432804000</v>
      </c>
      <c r="AE6014" s="28">
        <v>20626145000</v>
      </c>
      <c r="AF6014" s="28">
        <v>242363000</v>
      </c>
      <c r="AG6014" s="11"/>
    </row>
    <row r="6015">
      <c r="A6015" s="7" t="s">
        <v>7610</v>
      </c>
      <c r="B6015" s="5" t="s">
        <v>15557</v>
      </c>
      <c r="C6015" s="5" t="s">
        <v>23218</v>
      </c>
      <c r="D6015" s="5" t="str">
        <v>645390496431</v>
      </c>
      <c r="E6015" s="0" t="e">
        <f>+7 (495) 2287011
+7 (495) 5439130
+7 (495) 5439131</f>
        <v>#NAME?</v>
      </c>
      <c r="F6015" s="5" t="s">
        <v>42956</v>
      </c>
      <c r="G6015" s="5" t="s">
        <v>42957</v>
      </c>
      <c r="H6015" s="26">
        <v>14</v>
      </c>
      <c r="I6015" s="5"/>
      <c r="J6015" s="5" t="s">
        <v>373</v>
      </c>
      <c r="K6015" s="5" t="s">
        <v>344</v>
      </c>
      <c r="L6015" s="5"/>
      <c r="M6015" s="27">
        <v>38121575</v>
      </c>
      <c r="N6015" s="5" t="s">
        <v>58381</v>
      </c>
      <c r="O6015" s="5" t="str">
        <v>7714877093</v>
      </c>
      <c r="P6015" s="27">
        <v>1500000</v>
      </c>
      <c r="Q6015" s="5" t="s">
        <v>58382</v>
      </c>
      <c r="R6015" s="5" t="s">
        <v>58383</v>
      </c>
      <c r="S6015" s="5" t="s">
        <v>58384</v>
      </c>
      <c r="T6015" s="28">
        <v>701975000</v>
      </c>
      <c r="U6015" s="28">
        <v>10000</v>
      </c>
      <c r="V6015" s="28">
        <v>3212334000</v>
      </c>
      <c r="W6015" s="28">
        <v>280000</v>
      </c>
      <c r="X6015" s="28">
        <v>13142000</v>
      </c>
      <c r="Y6015" s="28">
        <v>4161733000</v>
      </c>
      <c r="Z6015" s="28">
        <v>891150000</v>
      </c>
      <c r="AA6015" s="28">
        <v>200000000</v>
      </c>
      <c r="AB6015" s="28">
        <v>59536000</v>
      </c>
      <c r="AC6015" s="28">
        <v>2664073000</v>
      </c>
      <c r="AD6015" s="28">
        <v>1229628000</v>
      </c>
      <c r="AE6015" s="28">
        <v>10956566000</v>
      </c>
      <c r="AF6015" s="28">
        <v>43423000</v>
      </c>
      <c r="AG6015" s="11"/>
    </row>
    <row r="6016">
      <c r="A6016" s="7" t="s">
        <v>7611</v>
      </c>
      <c r="B6016" s="5" t="s">
        <v>15558</v>
      </c>
      <c r="C6016" s="5" t="s">
        <v>23219</v>
      </c>
      <c r="D6016" s="5" t="str">
        <v>591910103650</v>
      </c>
      <c r="E6016" s="0" t="e">
        <f>+7 (34253) 48151
+7 (34253) 64431
+7 (34253) 64432
+7 (34253) 64436
+7 (34253) 64513
+7 (34253) 64522
+7 (34253) 64548
+7 (34253) 64663
+7 (34253) 64709
+7 (34253) 64743
+7 (34253) 64841
+7 (34253) 64909
+7 (34253) 64922
+7 (34253) 64976
+7 (34253) 74976</f>
        <v>#NAME?</v>
      </c>
      <c r="F6016" s="5" t="s">
        <v>42958</v>
      </c>
      <c r="G6016" s="5"/>
      <c r="H6016" s="26">
        <v>30.5</v>
      </c>
      <c r="I6016" s="5"/>
      <c r="J6016" s="5" t="s">
        <v>26536</v>
      </c>
      <c r="K6016" s="5" t="s">
        <v>344</v>
      </c>
      <c r="L6016" s="5" t="s">
        <v>42959</v>
      </c>
      <c r="M6016" s="27">
        <v>108924797</v>
      </c>
      <c r="N6016" s="5" t="s">
        <v>58385</v>
      </c>
      <c r="O6016" s="5" t="str">
        <v>5919470121</v>
      </c>
      <c r="P6016" s="27">
        <v>744606000</v>
      </c>
      <c r="Q6016" s="5" t="s">
        <v>58386</v>
      </c>
      <c r="R6016" s="5"/>
      <c r="S6016" s="5" t="s">
        <v>58387</v>
      </c>
      <c r="T6016" s="28">
        <v>20780232000</v>
      </c>
      <c r="U6016" s="28">
        <v>457325000</v>
      </c>
      <c r="V6016" s="28">
        <v>4770188000</v>
      </c>
      <c r="W6016" s="28"/>
      <c r="X6016" s="28">
        <v>1738524000</v>
      </c>
      <c r="Y6016" s="28">
        <v>32987673000</v>
      </c>
      <c r="Z6016" s="28">
        <v>8711366000</v>
      </c>
      <c r="AA6016" s="28">
        <v>2671007000</v>
      </c>
      <c r="AB6016" s="28">
        <v>8917116000</v>
      </c>
      <c r="AC6016" s="28">
        <v>13067705000</v>
      </c>
      <c r="AD6016" s="28">
        <v>16433542000</v>
      </c>
      <c r="AE6016" s="28">
        <v>18348094000</v>
      </c>
      <c r="AF6016" s="28">
        <v>1510779000</v>
      </c>
      <c r="AG6016" s="11"/>
    </row>
    <row r="6017">
      <c r="A6017" s="7" t="s">
        <v>7612</v>
      </c>
      <c r="B6017" s="5" t="s">
        <v>15559</v>
      </c>
      <c r="C6017" s="5" t="s">
        <v>23220</v>
      </c>
      <c r="D6017" s="5" t="str">
        <v>781014795800</v>
      </c>
      <c r="E6017" s="0" t="e">
        <f>+7 (925) 5503854
+7 (926) 5503854
+7 (964) 587235
+7 (964) 5000647
+7 (855) 2369011
+7 (855) 5751984
+7 (85557) 76800
+7 (85557) 76801</f>
        <v>#NAME?</v>
      </c>
      <c r="F6017" s="5" t="s">
        <v>42960</v>
      </c>
      <c r="G6017" s="5" t="s">
        <v>42961</v>
      </c>
      <c r="H6017" s="26">
        <v>15.5</v>
      </c>
      <c r="I6017" s="5" t="s">
        <v>42962</v>
      </c>
      <c r="J6017" s="5" t="s">
        <v>26229</v>
      </c>
      <c r="K6017" s="5" t="s">
        <v>344</v>
      </c>
      <c r="L6017" s="5" t="s">
        <v>42963</v>
      </c>
      <c r="M6017" s="27">
        <v>7021256</v>
      </c>
      <c r="N6017" s="5" t="s">
        <v>58388</v>
      </c>
      <c r="O6017" s="5" t="str">
        <v>1650161470</v>
      </c>
      <c r="P6017" s="27">
        <v>5475007479</v>
      </c>
      <c r="Q6017" s="5" t="s">
        <v>58389</v>
      </c>
      <c r="R6017" s="5" t="s">
        <v>58390</v>
      </c>
      <c r="S6017" s="5" t="s">
        <v>58391</v>
      </c>
      <c r="T6017" s="28">
        <v>7208228000</v>
      </c>
      <c r="U6017" s="28">
        <v>1234030000</v>
      </c>
      <c r="V6017" s="28">
        <v>1845298000</v>
      </c>
      <c r="W6017" s="28"/>
      <c r="X6017" s="28">
        <v>9007175000</v>
      </c>
      <c r="Y6017" s="28">
        <v>20717998000</v>
      </c>
      <c r="Z6017" s="28">
        <v>1635314000</v>
      </c>
      <c r="AA6017" s="28"/>
      <c r="AB6017" s="28"/>
      <c r="AC6017" s="28">
        <v>4563391000</v>
      </c>
      <c r="AD6017" s="28">
        <v>15550178000</v>
      </c>
      <c r="AE6017" s="28">
        <v>14285801000</v>
      </c>
      <c r="AF6017" s="28">
        <v>1080460000</v>
      </c>
      <c r="AG6017" s="11"/>
    </row>
    <row r="6018">
      <c r="A6018" s="7" t="s">
        <v>7613</v>
      </c>
      <c r="B6018" s="5" t="s">
        <v>15560</v>
      </c>
      <c r="C6018" s="5" t="s">
        <v>23221</v>
      </c>
      <c r="D6018" s="5" t="str">
        <v>500344845137</v>
      </c>
      <c r="E6018" s="0" t="e">
        <f>+7 (495) 7457667
+7 (495) 7458885
+7 (495) 9337900
+7 (495) 9934633
+7 (499) 2538338</f>
        <v>#NAME?</v>
      </c>
      <c r="F6018" s="5" t="s">
        <v>42964</v>
      </c>
      <c r="G6018" s="5" t="s">
        <v>42965</v>
      </c>
      <c r="H6018" s="26">
        <v>25.5</v>
      </c>
      <c r="I6018" s="5"/>
      <c r="J6018" s="5" t="s">
        <v>26251</v>
      </c>
      <c r="K6018" s="5" t="s">
        <v>344</v>
      </c>
      <c r="L6018" s="5" t="s">
        <v>35137</v>
      </c>
      <c r="M6018" s="27"/>
      <c r="N6018" s="5"/>
      <c r="O6018" s="5" t="str">
        <v>5044042279</v>
      </c>
      <c r="P6018" s="27">
        <v>36466492</v>
      </c>
      <c r="Q6018" s="5" t="s">
        <v>49009</v>
      </c>
      <c r="R6018" s="5"/>
      <c r="S6018" s="5" t="s">
        <v>49066</v>
      </c>
      <c r="T6018" s="28">
        <v>1270068000</v>
      </c>
      <c r="U6018" s="28">
        <v>92200000</v>
      </c>
      <c r="V6018" s="28">
        <v>1285059000</v>
      </c>
      <c r="W6018" s="28">
        <v>559921000</v>
      </c>
      <c r="X6018" s="28">
        <v>118714000</v>
      </c>
      <c r="Y6018" s="28">
        <v>5274014000</v>
      </c>
      <c r="Z6018" s="28">
        <v>359983000</v>
      </c>
      <c r="AA6018" s="28">
        <v>321000000</v>
      </c>
      <c r="AB6018" s="28">
        <v>1453489000</v>
      </c>
      <c r="AC6018" s="28">
        <v>4518310000</v>
      </c>
      <c r="AD6018" s="28">
        <v>421363000</v>
      </c>
      <c r="AE6018" s="28">
        <v>4664049000</v>
      </c>
      <c r="AF6018" s="28">
        <v>4918000</v>
      </c>
      <c r="AG6018" s="11"/>
    </row>
    <row r="6019">
      <c r="A6019" s="7" t="s">
        <v>7614</v>
      </c>
      <c r="B6019" s="5" t="s">
        <v>15561</v>
      </c>
      <c r="C6019" s="5" t="s">
        <v>23222</v>
      </c>
      <c r="D6019" s="5"/>
      <c r="E6019" s="0" t="e">
        <f>+7 (493) 2589432</f>
        <v>#NAME?</v>
      </c>
      <c r="F6019" s="5"/>
      <c r="G6019" s="5"/>
      <c r="H6019" s="26">
        <v>8.5</v>
      </c>
      <c r="I6019" s="5"/>
      <c r="J6019" s="5" t="s">
        <v>25414</v>
      </c>
      <c r="K6019" s="5" t="s">
        <v>355</v>
      </c>
      <c r="L6019" s="5" t="s">
        <v>42966</v>
      </c>
      <c r="M6019" s="27"/>
      <c r="N6019" s="5"/>
      <c r="O6019" s="5" t="str">
        <v>3702736140</v>
      </c>
      <c r="P6019" s="27">
        <v>100000</v>
      </c>
      <c r="Q6019" s="5"/>
      <c r="R6019" s="5"/>
      <c r="S6019" s="5" t="s">
        <v>49743</v>
      </c>
      <c r="T6019" s="28">
        <v>16595382000</v>
      </c>
      <c r="U6019" s="28">
        <v>4680006000</v>
      </c>
      <c r="V6019" s="28">
        <v>667870000</v>
      </c>
      <c r="W6019" s="28">
        <v>1000573000</v>
      </c>
      <c r="X6019" s="28">
        <v>603374000</v>
      </c>
      <c r="Y6019" s="28">
        <v>24269252000</v>
      </c>
      <c r="Z6019" s="28">
        <v>4051653000</v>
      </c>
      <c r="AA6019" s="28">
        <v>15631547000</v>
      </c>
      <c r="AB6019" s="28">
        <v>1848481000</v>
      </c>
      <c r="AC6019" s="28">
        <v>2303959000</v>
      </c>
      <c r="AD6019" s="28">
        <v>4051758000</v>
      </c>
      <c r="AE6019" s="28">
        <v>6579090000</v>
      </c>
      <c r="AF6019" s="28">
        <v>2132752000</v>
      </c>
      <c r="AG6019" s="11"/>
    </row>
    <row r="6020">
      <c r="A6020" s="7" t="s">
        <v>7615</v>
      </c>
      <c r="B6020" s="5" t="s">
        <v>15562</v>
      </c>
      <c r="C6020" s="5" t="s">
        <v>23223</v>
      </c>
      <c r="D6020" s="5" t="str">
        <v>231106577281</v>
      </c>
      <c r="E6020" s="0" t="e">
        <f>+7 (968) 2639788
+7 (968) 2640041</f>
        <v>#NAME?</v>
      </c>
      <c r="F6020" s="5" t="s">
        <v>42967</v>
      </c>
      <c r="G6020" s="5"/>
      <c r="H6020" s="26">
        <v>8</v>
      </c>
      <c r="I6020" s="5" t="s">
        <v>42968</v>
      </c>
      <c r="J6020" s="5" t="s">
        <v>35412</v>
      </c>
      <c r="K6020" s="5" t="s">
        <v>355</v>
      </c>
      <c r="L6020" s="5"/>
      <c r="M6020" s="27">
        <v>17129226</v>
      </c>
      <c r="N6020" s="5"/>
      <c r="O6020" s="5" t="str">
        <v>2607000485</v>
      </c>
      <c r="P6020" s="27">
        <v>10000</v>
      </c>
      <c r="Q6020" s="5"/>
      <c r="R6020" s="5"/>
      <c r="S6020" s="5" t="s">
        <v>49029</v>
      </c>
      <c r="T6020" s="28">
        <v>29659754000</v>
      </c>
      <c r="U6020" s="28">
        <v>1646735000</v>
      </c>
      <c r="V6020" s="28">
        <v>4659657000</v>
      </c>
      <c r="W6020" s="28"/>
      <c r="X6020" s="28">
        <v>233995000</v>
      </c>
      <c r="Y6020" s="28">
        <v>39064505000</v>
      </c>
      <c r="Z6020" s="28">
        <v>2307584000</v>
      </c>
      <c r="AA6020" s="28">
        <v>30001742000</v>
      </c>
      <c r="AB6020" s="28">
        <v>1670000000</v>
      </c>
      <c r="AC6020" s="28">
        <v>2665973000</v>
      </c>
      <c r="AD6020" s="28">
        <v>5953127000</v>
      </c>
      <c r="AE6020" s="28">
        <v>5683048000</v>
      </c>
      <c r="AF6020" s="28">
        <v>24979000</v>
      </c>
      <c r="AG6020" s="11"/>
    </row>
    <row r="6021">
      <c r="A6021" s="7" t="s">
        <v>7616</v>
      </c>
      <c r="B6021" s="5" t="s">
        <v>15563</v>
      </c>
      <c r="C6021" s="5" t="s">
        <v>23224</v>
      </c>
      <c r="D6021" s="5" t="str">
        <v>772151339850</v>
      </c>
      <c r="E6021" s="0" t="e">
        <f>+7 (495) 6686580
+7 (499) 2169124
+7 (499) 3919372
+7 (800) 7752222
+7 (911) 708446</f>
        <v>#NAME?</v>
      </c>
      <c r="F6021" s="5" t="s">
        <v>42969</v>
      </c>
      <c r="G6021" s="5" t="s">
        <v>42970</v>
      </c>
      <c r="H6021" s="26">
        <v>6.5</v>
      </c>
      <c r="I6021" s="5" t="s">
        <v>42971</v>
      </c>
      <c r="J6021" s="5" t="s">
        <v>25193</v>
      </c>
      <c r="K6021" s="5" t="s">
        <v>344</v>
      </c>
      <c r="L6021" s="5" t="s">
        <v>42972</v>
      </c>
      <c r="M6021" s="27">
        <v>4492274</v>
      </c>
      <c r="N6021" s="5"/>
      <c r="O6021" s="5" t="str">
        <v>7731316845</v>
      </c>
      <c r="P6021" s="27">
        <v>1325300</v>
      </c>
      <c r="Q6021" s="5" t="s">
        <v>49021</v>
      </c>
      <c r="R6021" s="5" t="s">
        <v>54267</v>
      </c>
      <c r="S6021" s="5" t="s">
        <v>58394</v>
      </c>
      <c r="T6021" s="28">
        <v>5456265000</v>
      </c>
      <c r="U6021" s="28"/>
      <c r="V6021" s="28">
        <v>2209788000</v>
      </c>
      <c r="W6021" s="28">
        <v>101536000</v>
      </c>
      <c r="X6021" s="28">
        <v>1721792000</v>
      </c>
      <c r="Y6021" s="28">
        <v>41862461000</v>
      </c>
      <c r="Z6021" s="28">
        <v>10442913000</v>
      </c>
      <c r="AA6021" s="28"/>
      <c r="AB6021" s="28">
        <v>2678700000</v>
      </c>
      <c r="AC6021" s="28">
        <v>16647807000</v>
      </c>
      <c r="AD6021" s="28">
        <v>19680952000</v>
      </c>
      <c r="AE6021" s="28">
        <v>42169894000</v>
      </c>
      <c r="AF6021" s="28">
        <v>962258000</v>
      </c>
      <c r="AG6021" s="11"/>
    </row>
    <row r="6022">
      <c r="A6022" s="7" t="s">
        <v>7617</v>
      </c>
      <c r="B6022" s="5" t="s">
        <v>15564</v>
      </c>
      <c r="C6022" s="5" t="s">
        <v>23225</v>
      </c>
      <c r="D6022" s="5" t="str">
        <v>102101092406</v>
      </c>
      <c r="E6022" s="0" t="e">
        <f>+7 (8142) 718101
+7 (8142) 718102
+7 (8412) 718101
+7 (8412) 718102
+7 (911) 4062570</f>
        <v>#NAME?</v>
      </c>
      <c r="F6022" s="5" t="s">
        <v>42973</v>
      </c>
      <c r="G6022" s="5" t="s">
        <v>42974</v>
      </c>
      <c r="H6022" s="26">
        <v>9</v>
      </c>
      <c r="I6022" s="5" t="s">
        <v>42975</v>
      </c>
      <c r="J6022" s="5" t="s">
        <v>27291</v>
      </c>
      <c r="K6022" s="5" t="s">
        <v>344</v>
      </c>
      <c r="L6022" s="5" t="s">
        <v>42976</v>
      </c>
      <c r="M6022" s="27"/>
      <c r="N6022" s="5" t="s">
        <v>54415</v>
      </c>
      <c r="O6022" s="5" t="str">
        <v>1021506287</v>
      </c>
      <c r="P6022" s="27">
        <v>10000</v>
      </c>
      <c r="Q6022" s="5" t="s">
        <v>49324</v>
      </c>
      <c r="R6022" s="5"/>
      <c r="S6022" s="5" t="s">
        <v>52630</v>
      </c>
      <c r="T6022" s="28">
        <v>637587000</v>
      </c>
      <c r="U6022" s="28">
        <v>3790029000</v>
      </c>
      <c r="V6022" s="28">
        <v>699380000</v>
      </c>
      <c r="W6022" s="28">
        <v>163249000</v>
      </c>
      <c r="X6022" s="28">
        <v>60411000</v>
      </c>
      <c r="Y6022" s="28">
        <v>7465000000</v>
      </c>
      <c r="Z6022" s="28">
        <v>3009875000</v>
      </c>
      <c r="AA6022" s="28">
        <v>3168166000</v>
      </c>
      <c r="AB6022" s="28">
        <v>329617000</v>
      </c>
      <c r="AC6022" s="28">
        <v>1242539000</v>
      </c>
      <c r="AD6022" s="28">
        <v>3095395000</v>
      </c>
      <c r="AE6022" s="28">
        <v>4195703000</v>
      </c>
      <c r="AF6022" s="28">
        <v>410306000</v>
      </c>
      <c r="AG6022" s="11"/>
    </row>
    <row r="6023">
      <c r="A6023" s="7" t="s">
        <v>7618</v>
      </c>
      <c r="B6023" s="5" t="s">
        <v>15565</v>
      </c>
      <c r="C6023" s="5" t="s">
        <v>23226</v>
      </c>
      <c r="D6023" s="5" t="str">
        <v>740202203801</v>
      </c>
      <c r="E6023" s="0" t="e">
        <f>+7 (343) 3021626
+7 (922) 2024303</f>
        <v>#NAME?</v>
      </c>
      <c r="F6023" s="5" t="s">
        <v>42977</v>
      </c>
      <c r="G6023" s="5" t="s">
        <v>42978</v>
      </c>
      <c r="H6023" s="26">
        <v>5.5</v>
      </c>
      <c r="I6023" s="5" t="s">
        <v>42979</v>
      </c>
      <c r="J6023" s="5" t="s">
        <v>31345</v>
      </c>
      <c r="K6023" s="5" t="s">
        <v>344</v>
      </c>
      <c r="L6023" s="5" t="s">
        <v>42980</v>
      </c>
      <c r="M6023" s="27"/>
      <c r="N6023" s="5" t="s">
        <v>58395</v>
      </c>
      <c r="O6023" s="5" t="str">
        <v>6685139869</v>
      </c>
      <c r="P6023" s="27">
        <v>20000</v>
      </c>
      <c r="Q6023" s="5" t="s">
        <v>49021</v>
      </c>
      <c r="R6023" s="5"/>
      <c r="S6023" s="5" t="s">
        <v>58396</v>
      </c>
      <c r="T6023" s="28">
        <v>48197000</v>
      </c>
      <c r="U6023" s="28">
        <v>20000</v>
      </c>
      <c r="V6023" s="28">
        <v>379174000</v>
      </c>
      <c r="W6023" s="28">
        <v>90000</v>
      </c>
      <c r="X6023" s="28">
        <v>25669000</v>
      </c>
      <c r="Y6023" s="28">
        <v>910313000</v>
      </c>
      <c r="Z6023" s="28">
        <v>258500000</v>
      </c>
      <c r="AA6023" s="28">
        <v>147000000</v>
      </c>
      <c r="AB6023" s="28">
        <v>201619000</v>
      </c>
      <c r="AC6023" s="28">
        <v>494673000</v>
      </c>
      <c r="AD6023" s="28">
        <v>258520000</v>
      </c>
      <c r="AE6023" s="28">
        <v>10417637000</v>
      </c>
      <c r="AF6023" s="28">
        <v>141859000</v>
      </c>
      <c r="AG6023" s="11"/>
    </row>
    <row r="6024">
      <c r="A6024" s="7" t="s">
        <v>7619</v>
      </c>
      <c r="B6024" s="5" t="s">
        <v>15566</v>
      </c>
      <c r="C6024" s="5" t="s">
        <v>23227</v>
      </c>
      <c r="D6024" s="5" t="str">
        <v>590410501509</v>
      </c>
      <c r="E6024" s="0" t="e">
        <f>+7 (495) 6642208
+7 (800) 7074184
+7 (342) 2239679
+7 (342) 2900089
+7 (3422) 58115
+7 (3422) 248588
+7 (3422) 248633
+7 (34275) 31473
+7 (34275) 31859
+7 (34275) 33733
+7 (34275) 33777
+7 (34275) 34168
+7 (495) 9889539
+7 (982) 4810627</f>
        <v>#NAME?</v>
      </c>
      <c r="F6024" s="5" t="s">
        <v>42981</v>
      </c>
      <c r="G6024" s="5" t="s">
        <v>42982</v>
      </c>
      <c r="H6024" s="26">
        <v>30</v>
      </c>
      <c r="I6024" s="5" t="s">
        <v>42983</v>
      </c>
      <c r="J6024" s="5" t="s">
        <v>42984</v>
      </c>
      <c r="K6024" s="5" t="s">
        <v>344</v>
      </c>
      <c r="L6024" s="5" t="s">
        <v>42985</v>
      </c>
      <c r="M6024" s="27"/>
      <c r="N6024" s="5" t="s">
        <v>58397</v>
      </c>
      <c r="O6024" s="5" t="str">
        <v>5951000096</v>
      </c>
      <c r="P6024" s="27">
        <v>467000</v>
      </c>
      <c r="Q6024" s="5" t="s">
        <v>49009</v>
      </c>
      <c r="R6024" s="5"/>
      <c r="S6024" s="5" t="s">
        <v>56440</v>
      </c>
      <c r="T6024" s="28">
        <v>721020000</v>
      </c>
      <c r="U6024" s="28">
        <v>8588000</v>
      </c>
      <c r="V6024" s="28">
        <v>792770000</v>
      </c>
      <c r="W6024" s="28">
        <v>243000</v>
      </c>
      <c r="X6024" s="28">
        <v>155908000</v>
      </c>
      <c r="Y6024" s="28">
        <v>2752163000</v>
      </c>
      <c r="Z6024" s="28">
        <v>2003788000</v>
      </c>
      <c r="AA6024" s="28">
        <v>196805000</v>
      </c>
      <c r="AB6024" s="28">
        <v>68924000</v>
      </c>
      <c r="AC6024" s="28">
        <v>483581000</v>
      </c>
      <c r="AD6024" s="28">
        <v>2026076000</v>
      </c>
      <c r="AE6024" s="28">
        <v>3331907000</v>
      </c>
      <c r="AF6024" s="28">
        <v>360889000</v>
      </c>
      <c r="AG6024" s="11"/>
    </row>
    <row r="6025">
      <c r="A6025" s="7" t="s">
        <v>7620</v>
      </c>
      <c r="B6025" s="5" t="s">
        <v>15567</v>
      </c>
      <c r="C6025" s="5" t="s">
        <v>23228</v>
      </c>
      <c r="D6025" s="5" t="str">
        <v>440109686433</v>
      </c>
      <c r="E6025" s="0" t="e">
        <f>+7 (495) 1145152
+7 (903) 6608528
+7 (917) 5855423</f>
        <v>#NAME?</v>
      </c>
      <c r="F6025" s="5" t="s">
        <v>42986</v>
      </c>
      <c r="G6025" s="5" t="s">
        <v>42987</v>
      </c>
      <c r="H6025" s="26">
        <v>7</v>
      </c>
      <c r="I6025" s="5" t="s">
        <v>42988</v>
      </c>
      <c r="J6025" s="5" t="s">
        <v>364</v>
      </c>
      <c r="K6025" s="5" t="s">
        <v>355</v>
      </c>
      <c r="L6025" s="5" t="s">
        <v>42989</v>
      </c>
      <c r="M6025" s="27">
        <v>32105050</v>
      </c>
      <c r="N6025" s="5" t="s">
        <v>58398</v>
      </c>
      <c r="O6025" s="5" t="str">
        <v>7723423723</v>
      </c>
      <c r="P6025" s="27">
        <v>2100000</v>
      </c>
      <c r="Q6025" s="5" t="s">
        <v>1352</v>
      </c>
      <c r="R6025" s="5"/>
      <c r="S6025" s="5" t="s">
        <v>58399</v>
      </c>
      <c r="T6025" s="28">
        <v>134058000</v>
      </c>
      <c r="U6025" s="28"/>
      <c r="V6025" s="28">
        <v>10150849000</v>
      </c>
      <c r="W6025" s="28">
        <v>194380000</v>
      </c>
      <c r="X6025" s="28">
        <v>450746000</v>
      </c>
      <c r="Y6025" s="28">
        <v>11513785000</v>
      </c>
      <c r="Z6025" s="28">
        <v>57395000</v>
      </c>
      <c r="AA6025" s="28"/>
      <c r="AB6025" s="28"/>
      <c r="AC6025" s="28">
        <v>11422243000</v>
      </c>
      <c r="AD6025" s="28">
        <v>59495000</v>
      </c>
      <c r="AE6025" s="28">
        <v>5213588000</v>
      </c>
      <c r="AF6025" s="28">
        <v>22279000</v>
      </c>
      <c r="AG6025" s="11"/>
    </row>
    <row r="6026">
      <c r="A6026" s="7" t="s">
        <v>7621</v>
      </c>
      <c r="B6026" s="5" t="s">
        <v>15568</v>
      </c>
      <c r="C6026" s="5" t="s">
        <v>23229</v>
      </c>
      <c r="D6026" s="5" t="str">
        <v>772632894920</v>
      </c>
      <c r="E6026" s="0" t="e">
        <f>+7 (495) 2587650
+7 (495) 2587669
+7 (495) 2587660
+7 (495) 2587667
+7 (800) 1007660
+7 (919) 7201223</f>
        <v>#NAME?</v>
      </c>
      <c r="F6026" s="5" t="s">
        <v>42990</v>
      </c>
      <c r="G6026" s="5" t="s">
        <v>42991</v>
      </c>
      <c r="H6026" s="26">
        <v>29</v>
      </c>
      <c r="I6026" s="5"/>
      <c r="J6026" s="5" t="s">
        <v>27522</v>
      </c>
      <c r="K6026" s="5" t="s">
        <v>355</v>
      </c>
      <c r="L6026" s="5" t="s">
        <v>42992</v>
      </c>
      <c r="M6026" s="27">
        <v>346036</v>
      </c>
      <c r="N6026" s="5"/>
      <c r="O6026" s="5" t="str">
        <v>7703001265</v>
      </c>
      <c r="P6026" s="27">
        <v>744770</v>
      </c>
      <c r="Q6026" s="5" t="s">
        <v>49009</v>
      </c>
      <c r="R6026" s="5"/>
      <c r="S6026" s="5" t="s">
        <v>49010</v>
      </c>
      <c r="T6026" s="28">
        <v>135900000</v>
      </c>
      <c r="U6026" s="28"/>
      <c r="V6026" s="28">
        <v>252070000</v>
      </c>
      <c r="W6026" s="28"/>
      <c r="X6026" s="28">
        <v>1341657000</v>
      </c>
      <c r="Y6026" s="28">
        <v>2299406000</v>
      </c>
      <c r="Z6026" s="28">
        <v>1446557000</v>
      </c>
      <c r="AA6026" s="28"/>
      <c r="AB6026" s="28">
        <v>300338000</v>
      </c>
      <c r="AC6026" s="28">
        <v>773630000</v>
      </c>
      <c r="AD6026" s="28">
        <v>1449585000</v>
      </c>
      <c r="AE6026" s="28">
        <v>4510451000</v>
      </c>
      <c r="AF6026" s="28">
        <v>-1435392000</v>
      </c>
      <c r="AG6026" s="11"/>
    </row>
    <row r="6027">
      <c r="A6027" s="7" t="s">
        <v>7622</v>
      </c>
      <c r="B6027" s="5" t="s">
        <v>15569</v>
      </c>
      <c r="C6027" s="5" t="s">
        <v>23230</v>
      </c>
      <c r="D6027" s="5" t="str">
        <v>270315822340</v>
      </c>
      <c r="E6027" s="0" t="e">
        <f>+7 (421) 2479690</f>
        <v>#NAME?</v>
      </c>
      <c r="F6027" s="5"/>
      <c r="G6027" s="5"/>
      <c r="H6027" s="26">
        <v>7</v>
      </c>
      <c r="I6027" s="5" t="s">
        <v>42993</v>
      </c>
      <c r="J6027" s="5" t="s">
        <v>423</v>
      </c>
      <c r="K6027" s="5" t="s">
        <v>344</v>
      </c>
      <c r="L6027" s="5" t="s">
        <v>42994</v>
      </c>
      <c r="M6027" s="27">
        <v>17484680</v>
      </c>
      <c r="N6027" s="5" t="s">
        <v>58400</v>
      </c>
      <c r="O6027" s="5" t="str">
        <v>2724212204</v>
      </c>
      <c r="P6027" s="27">
        <v>200000</v>
      </c>
      <c r="Q6027" s="5" t="s">
        <v>49021</v>
      </c>
      <c r="R6027" s="5"/>
      <c r="S6027" s="5" t="s">
        <v>58401</v>
      </c>
      <c r="T6027" s="28">
        <v>28269000</v>
      </c>
      <c r="U6027" s="28"/>
      <c r="V6027" s="28">
        <v>86297000</v>
      </c>
      <c r="W6027" s="28">
        <v>115597000</v>
      </c>
      <c r="X6027" s="28">
        <v>5702000</v>
      </c>
      <c r="Y6027" s="28">
        <v>577253000</v>
      </c>
      <c r="Z6027" s="28">
        <v>300093000</v>
      </c>
      <c r="AA6027" s="28"/>
      <c r="AB6027" s="28">
        <v>69714000</v>
      </c>
      <c r="AC6027" s="28">
        <v>251052000</v>
      </c>
      <c r="AD6027" s="28">
        <v>300293000</v>
      </c>
      <c r="AE6027" s="28">
        <v>3666816000</v>
      </c>
      <c r="AF6027" s="28">
        <v>197815000</v>
      </c>
      <c r="AG6027" s="11"/>
    </row>
    <row r="6028">
      <c r="A6028" s="7" t="s">
        <v>7623</v>
      </c>
      <c r="B6028" s="5" t="s">
        <v>15570</v>
      </c>
      <c r="C6028" s="5" t="s">
        <v>23231</v>
      </c>
      <c r="D6028" s="5" t="str">
        <v>341200962120</v>
      </c>
      <c r="F6028" s="5"/>
      <c r="G6028" s="5"/>
      <c r="H6028" s="26">
        <v>2.5</v>
      </c>
      <c r="I6028" s="5" t="s">
        <v>42995</v>
      </c>
      <c r="J6028" s="5" t="s">
        <v>26125</v>
      </c>
      <c r="K6028" s="5" t="s">
        <v>344</v>
      </c>
      <c r="L6028" s="5" t="s">
        <v>42996</v>
      </c>
      <c r="M6028" s="27">
        <v>2191041</v>
      </c>
      <c r="N6028" s="5"/>
      <c r="O6028" s="5" t="str">
        <v>6725034199</v>
      </c>
      <c r="P6028" s="27">
        <v>100000</v>
      </c>
      <c r="Q6028" s="5" t="s">
        <v>58402</v>
      </c>
      <c r="R6028" s="5"/>
      <c r="S6028" s="5" t="s">
        <v>49332</v>
      </c>
      <c r="T6028" s="28">
        <v>17376000</v>
      </c>
      <c r="U6028" s="28">
        <v>9500000</v>
      </c>
      <c r="V6028" s="28">
        <v>176849000</v>
      </c>
      <c r="W6028" s="28">
        <v>70670000</v>
      </c>
      <c r="X6028" s="28">
        <v>524000</v>
      </c>
      <c r="Y6028" s="28">
        <v>515958000</v>
      </c>
      <c r="Z6028" s="28">
        <v>73762000</v>
      </c>
      <c r="AA6028" s="28">
        <v>281000</v>
      </c>
      <c r="AB6028" s="28">
        <v>20000000</v>
      </c>
      <c r="AC6028" s="28">
        <v>429252000</v>
      </c>
      <c r="AD6028" s="28">
        <v>73862000</v>
      </c>
      <c r="AE6028" s="28">
        <v>4338863000</v>
      </c>
      <c r="AF6028" s="28">
        <v>46880000</v>
      </c>
      <c r="AG6028" s="11"/>
    </row>
    <row r="6029">
      <c r="A6029" s="7" t="s">
        <v>7624</v>
      </c>
      <c r="B6029" s="5" t="s">
        <v>15571</v>
      </c>
      <c r="C6029" s="5" t="s">
        <v>18842</v>
      </c>
      <c r="D6029" s="5"/>
      <c r="E6029" s="0" t="e">
        <f>+7 (904) 405016
+7 (831) 2230946
+7 (831) 2231115
+7 (831) 2250968
+7 (831) 2251115
+7 (831) 2253904
+7 (831) 2731081
+7 (831) 2731589
+7 (831) 2731811
+7 (831) 2732184
+7 (831) 2733963</f>
        <v>#NAME?</v>
      </c>
      <c r="F6029" s="5" t="s">
        <v>42997</v>
      </c>
      <c r="G6029" s="5"/>
      <c r="H6029" s="26">
        <v>30.5</v>
      </c>
      <c r="I6029" s="5" t="s">
        <v>42998</v>
      </c>
      <c r="J6029" s="5" t="s">
        <v>29202</v>
      </c>
      <c r="K6029" s="5" t="s">
        <v>344</v>
      </c>
      <c r="L6029" s="5"/>
      <c r="M6029" s="27">
        <v>6790401</v>
      </c>
      <c r="N6029" s="5" t="s">
        <v>58403</v>
      </c>
      <c r="O6029" s="5" t="str">
        <v>5263001532</v>
      </c>
      <c r="P6029" s="27">
        <v>1821272</v>
      </c>
      <c r="Q6029" s="5" t="s">
        <v>49009</v>
      </c>
      <c r="R6029" s="5"/>
      <c r="S6029" s="5" t="s">
        <v>49200</v>
      </c>
      <c r="T6029" s="28">
        <v>353714000</v>
      </c>
      <c r="U6029" s="28">
        <v>744853000</v>
      </c>
      <c r="V6029" s="28">
        <v>964902000</v>
      </c>
      <c r="W6029" s="28">
        <v>45000000</v>
      </c>
      <c r="X6029" s="28">
        <v>11574000</v>
      </c>
      <c r="Y6029" s="28">
        <v>2509667000</v>
      </c>
      <c r="Z6029" s="28">
        <v>1508978000</v>
      </c>
      <c r="AA6029" s="28">
        <v>13308000</v>
      </c>
      <c r="AB6029" s="28"/>
      <c r="AC6029" s="28">
        <v>929105000</v>
      </c>
      <c r="AD6029" s="28">
        <v>1540718000</v>
      </c>
      <c r="AE6029" s="28">
        <v>3916745000</v>
      </c>
      <c r="AF6029" s="28">
        <v>342269000</v>
      </c>
      <c r="AG6029" s="11"/>
    </row>
    <row r="6030">
      <c r="A6030" s="7" t="s">
        <v>7625</v>
      </c>
      <c r="B6030" s="5" t="s">
        <v>15572</v>
      </c>
      <c r="C6030" s="5" t="s">
        <v>23232</v>
      </c>
      <c r="D6030" s="5" t="str">
        <v>616606524687</v>
      </c>
      <c r="E6030" s="0" t="e">
        <f>+7 (353) 4647380
+7 (35346) 60142
+7 (35346) 60174
+7 (35346) 60180
+7 (35346) 61073</f>
        <v>#NAME?</v>
      </c>
      <c r="F6030" s="5" t="s">
        <v>42999</v>
      </c>
      <c r="G6030" s="5"/>
      <c r="H6030" s="26">
        <v>12</v>
      </c>
      <c r="I6030" s="5" t="s">
        <v>43000</v>
      </c>
      <c r="J6030" s="5" t="s">
        <v>25800</v>
      </c>
      <c r="K6030" s="5" t="s">
        <v>355</v>
      </c>
      <c r="L6030" s="5" t="s">
        <v>43001</v>
      </c>
      <c r="M6030" s="27"/>
      <c r="N6030" s="5"/>
      <c r="O6030" s="5" t="str">
        <v>5617020920</v>
      </c>
      <c r="P6030" s="27">
        <v>245856754</v>
      </c>
      <c r="Q6030" s="5" t="s">
        <v>49059</v>
      </c>
      <c r="R6030" s="5"/>
      <c r="S6030" s="5" t="s">
        <v>49029</v>
      </c>
      <c r="T6030" s="28">
        <v>2612005000</v>
      </c>
      <c r="U6030" s="28"/>
      <c r="V6030" s="28">
        <v>829133000</v>
      </c>
      <c r="W6030" s="28">
        <v>300000000</v>
      </c>
      <c r="X6030" s="28">
        <v>396000</v>
      </c>
      <c r="Y6030" s="28">
        <v>3987522000</v>
      </c>
      <c r="Z6030" s="28">
        <v>1568412000</v>
      </c>
      <c r="AA6030" s="28">
        <v>199862000</v>
      </c>
      <c r="AB6030" s="28"/>
      <c r="AC6030" s="28">
        <v>1947285000</v>
      </c>
      <c r="AD6030" s="28">
        <v>1814313000</v>
      </c>
      <c r="AE6030" s="28">
        <v>5615518000</v>
      </c>
      <c r="AF6030" s="28">
        <v>326935000</v>
      </c>
      <c r="AG6030" s="11"/>
    </row>
    <row r="6031">
      <c r="A6031" s="7" t="s">
        <v>7626</v>
      </c>
      <c r="B6031" s="5" t="s">
        <v>15573</v>
      </c>
      <c r="C6031" s="5" t="s">
        <v>23233</v>
      </c>
      <c r="D6031" s="5" t="str">
        <v>772817920813</v>
      </c>
      <c r="E6031" s="0" t="e">
        <f>+7 (495) 7969306
+7 (920) 100492
+7 (921) 8880682
+7 (926) 13821
+7 (926) 2051852</f>
        <v>#NAME?</v>
      </c>
      <c r="F6031" s="5" t="s">
        <v>43002</v>
      </c>
      <c r="G6031" s="5" t="s">
        <v>43003</v>
      </c>
      <c r="H6031" s="26">
        <v>16</v>
      </c>
      <c r="I6031" s="5" t="s">
        <v>43004</v>
      </c>
      <c r="J6031" s="5" t="s">
        <v>28586</v>
      </c>
      <c r="K6031" s="5" t="s">
        <v>344</v>
      </c>
      <c r="L6031" s="5" t="s">
        <v>43005</v>
      </c>
      <c r="M6031" s="27"/>
      <c r="N6031" s="5" t="s">
        <v>58404</v>
      </c>
      <c r="O6031" s="5" t="str">
        <v>7733589460</v>
      </c>
      <c r="P6031" s="27">
        <v>10000</v>
      </c>
      <c r="Q6031" s="5" t="s">
        <v>694</v>
      </c>
      <c r="R6031" s="5"/>
      <c r="S6031" s="5" t="s">
        <v>58405</v>
      </c>
      <c r="T6031" s="28">
        <v>284094000</v>
      </c>
      <c r="U6031" s="28"/>
      <c r="V6031" s="28">
        <v>885439000</v>
      </c>
      <c r="W6031" s="28"/>
      <c r="X6031" s="28">
        <v>92484000</v>
      </c>
      <c r="Y6031" s="28">
        <v>1816702000</v>
      </c>
      <c r="Z6031" s="28">
        <v>858714000</v>
      </c>
      <c r="AA6031" s="28">
        <v>85000000</v>
      </c>
      <c r="AB6031" s="28"/>
      <c r="AC6031" s="28">
        <v>607098000</v>
      </c>
      <c r="AD6031" s="28">
        <v>858814000</v>
      </c>
      <c r="AE6031" s="28">
        <v>5223408000</v>
      </c>
      <c r="AF6031" s="28">
        <v>118203000</v>
      </c>
      <c r="AG6031" s="11"/>
    </row>
    <row r="6032">
      <c r="A6032" s="7" t="s">
        <v>7627</v>
      </c>
      <c r="B6032" s="5" t="s">
        <v>15574</v>
      </c>
      <c r="C6032" s="5" t="s">
        <v>23234</v>
      </c>
      <c r="D6032" s="5" t="str">
        <v>470311921497</v>
      </c>
      <c r="E6032" s="0" t="e">
        <f>+7 (3512) 110994
+7 (3512) 110995
+7 (3512) 110996
+7 (3512) 110997
+7 (3512) 110998
+7 (3512) 111101
+7 (3512) 112000
+7 (3512) 112119
+7 (3512) 112777
+7 (3512) 556856
+7 (3512) 556879
+7 (812) 7402022</f>
        <v>#NAME?</v>
      </c>
      <c r="F6032" s="5" t="s">
        <v>43006</v>
      </c>
      <c r="G6032" s="5"/>
      <c r="H6032" s="26">
        <v>18.5</v>
      </c>
      <c r="I6032" s="5"/>
      <c r="J6032" s="5" t="s">
        <v>27977</v>
      </c>
      <c r="K6032" s="5" t="s">
        <v>344</v>
      </c>
      <c r="L6032" s="5"/>
      <c r="M6032" s="27"/>
      <c r="N6032" s="5" t="s">
        <v>53212</v>
      </c>
      <c r="O6032" s="5" t="str">
        <v>7449044694</v>
      </c>
      <c r="P6032" s="27">
        <v>639482073</v>
      </c>
      <c r="Q6032" s="5" t="s">
        <v>58406</v>
      </c>
      <c r="R6032" s="5"/>
      <c r="S6032" s="5" t="s">
        <v>49998</v>
      </c>
      <c r="T6032" s="28">
        <v>554438000</v>
      </c>
      <c r="U6032" s="28"/>
      <c r="V6032" s="28">
        <v>2778205000</v>
      </c>
      <c r="W6032" s="28">
        <v>284364000</v>
      </c>
      <c r="X6032" s="28">
        <v>1808000</v>
      </c>
      <c r="Y6032" s="28">
        <v>5627154000</v>
      </c>
      <c r="Z6032" s="28">
        <v>3844257000</v>
      </c>
      <c r="AA6032" s="28"/>
      <c r="AB6032" s="28"/>
      <c r="AC6032" s="28">
        <v>1061510000</v>
      </c>
      <c r="AD6032" s="28">
        <v>4549556000</v>
      </c>
      <c r="AE6032" s="28">
        <v>6893436000</v>
      </c>
      <c r="AF6032" s="28">
        <v>1451290000</v>
      </c>
      <c r="AG6032" s="11"/>
    </row>
    <row r="6033">
      <c r="A6033" s="7" t="s">
        <v>1345</v>
      </c>
      <c r="B6033" s="5" t="s">
        <v>1346</v>
      </c>
      <c r="C6033" s="5" t="s">
        <v>1347</v>
      </c>
      <c r="D6033" s="5" t="str">
        <v>780220405740</v>
      </c>
      <c r="E6033" s="0" t="e">
        <f>+7 (921) 9582294
+7 (812) 7775557</f>
        <v>#NAME?</v>
      </c>
      <c r="F6033" s="5" t="s">
        <v>1349</v>
      </c>
      <c r="G6033" s="5"/>
      <c r="H6033" s="26">
        <v>13</v>
      </c>
      <c r="I6033" s="5" t="s">
        <v>1350</v>
      </c>
      <c r="J6033" s="5" t="s">
        <v>364</v>
      </c>
      <c r="K6033" s="5" t="s">
        <v>355</v>
      </c>
      <c r="L6033" s="5" t="s">
        <v>1351</v>
      </c>
      <c r="M6033" s="27">
        <v>129671202</v>
      </c>
      <c r="N6033" s="5" t="s">
        <v>58407</v>
      </c>
      <c r="O6033" s="5" t="str">
        <v>7802710230</v>
      </c>
      <c r="P6033" s="27">
        <v>100000</v>
      </c>
      <c r="Q6033" s="5" t="s">
        <v>1352</v>
      </c>
      <c r="R6033" s="5" t="s">
        <v>58408</v>
      </c>
      <c r="S6033" s="5" t="s">
        <v>58409</v>
      </c>
      <c r="T6033" s="28">
        <v>263610000</v>
      </c>
      <c r="U6033" s="28">
        <v>101209000</v>
      </c>
      <c r="V6033" s="28">
        <v>6031093000</v>
      </c>
      <c r="W6033" s="28">
        <v>299699000</v>
      </c>
      <c r="X6033" s="28">
        <v>282399000</v>
      </c>
      <c r="Y6033" s="28">
        <v>10042213000</v>
      </c>
      <c r="Z6033" s="28">
        <v>261991000</v>
      </c>
      <c r="AA6033" s="28">
        <v>102475000</v>
      </c>
      <c r="AB6033" s="28">
        <v>328988000</v>
      </c>
      <c r="AC6033" s="28">
        <v>9632567000</v>
      </c>
      <c r="AD6033" s="28">
        <v>262091000</v>
      </c>
      <c r="AE6033" s="28">
        <v>8720226000</v>
      </c>
      <c r="AF6033" s="28">
        <v>49898000</v>
      </c>
      <c r="AG6033" s="11"/>
    </row>
    <row r="6034">
      <c r="A6034" s="7" t="s">
        <v>7628</v>
      </c>
      <c r="B6034" s="5" t="s">
        <v>15575</v>
      </c>
      <c r="C6034" s="5" t="s">
        <v>23235</v>
      </c>
      <c r="D6034" s="5" t="str">
        <v>261502635240</v>
      </c>
      <c r="E6034" s="0" t="e">
        <f>+7 (383) 3752329
+7 (495) 6266453
+7 (495) 6681348
+7 (495) 7380815
+7 (495) 7812058
+7 (495) 9266453
+7 (495) 9810636
+7 (812) 4253674
+7 (812) 6221016
+7 (812) 7030165
+7 (831) 2759059
+7 (916) 4560506</f>
        <v>#NAME?</v>
      </c>
      <c r="F6034" s="5"/>
      <c r="G6034" s="5" t="s">
        <v>43007</v>
      </c>
      <c r="H6034" s="26">
        <v>20</v>
      </c>
      <c r="I6034" s="5" t="s">
        <v>43008</v>
      </c>
      <c r="J6034" s="5" t="s">
        <v>26770</v>
      </c>
      <c r="K6034" s="5" t="s">
        <v>344</v>
      </c>
      <c r="L6034" s="5" t="s">
        <v>40026</v>
      </c>
      <c r="M6034" s="27"/>
      <c r="N6034" s="5"/>
      <c r="O6034" s="5" t="str">
        <v>7722279315</v>
      </c>
      <c r="P6034" s="27">
        <v>10000</v>
      </c>
      <c r="Q6034" s="5" t="s">
        <v>49009</v>
      </c>
      <c r="R6034" s="5"/>
      <c r="S6034" s="5" t="s">
        <v>49028</v>
      </c>
      <c r="T6034" s="28">
        <v>26246000</v>
      </c>
      <c r="U6034" s="28"/>
      <c r="V6034" s="28">
        <v>278438000</v>
      </c>
      <c r="W6034" s="28">
        <v>385000000</v>
      </c>
      <c r="X6034" s="28">
        <v>21512000</v>
      </c>
      <c r="Y6034" s="28">
        <v>733128000</v>
      </c>
      <c r="Z6034" s="28">
        <v>579639000</v>
      </c>
      <c r="AA6034" s="28"/>
      <c r="AB6034" s="28"/>
      <c r="AC6034" s="28">
        <v>153479000</v>
      </c>
      <c r="AD6034" s="28">
        <v>579649000</v>
      </c>
      <c r="AE6034" s="28">
        <v>3466750000</v>
      </c>
      <c r="AF6034" s="28">
        <v>268363000</v>
      </c>
      <c r="AG6034" s="11"/>
    </row>
    <row r="6035">
      <c r="A6035" s="7" t="s">
        <v>7629</v>
      </c>
      <c r="B6035" s="5" t="s">
        <v>15576</v>
      </c>
      <c r="C6035" s="5" t="s">
        <v>19631</v>
      </c>
      <c r="D6035" s="5" t="str">
        <v>771534434553</v>
      </c>
      <c r="E6035" s="0" t="e">
        <f>+7 (495) 6044548
+7 (962) 9928871
+7 (967) 2028228</f>
        <v>#NAME?</v>
      </c>
      <c r="F6035" s="5" t="s">
        <v>43009</v>
      </c>
      <c r="G6035" s="5"/>
      <c r="H6035" s="26">
        <v>8</v>
      </c>
      <c r="I6035" s="5" t="s">
        <v>43010</v>
      </c>
      <c r="J6035" s="5" t="s">
        <v>25253</v>
      </c>
      <c r="K6035" s="5" t="s">
        <v>344</v>
      </c>
      <c r="L6035" s="5" t="s">
        <v>43011</v>
      </c>
      <c r="M6035" s="27"/>
      <c r="N6035" s="5"/>
      <c r="O6035" s="5" t="str">
        <v>7727165350</v>
      </c>
      <c r="P6035" s="27">
        <v>10000</v>
      </c>
      <c r="Q6035" s="5" t="s">
        <v>49009</v>
      </c>
      <c r="R6035" s="5"/>
      <c r="S6035" s="5" t="s">
        <v>49814</v>
      </c>
      <c r="T6035" s="28">
        <v>895000</v>
      </c>
      <c r="U6035" s="28"/>
      <c r="V6035" s="28">
        <v>271573000</v>
      </c>
      <c r="W6035" s="28"/>
      <c r="X6035" s="28">
        <v>32335000</v>
      </c>
      <c r="Y6035" s="28">
        <v>373130000</v>
      </c>
      <c r="Z6035" s="28">
        <v>108112000</v>
      </c>
      <c r="AA6035" s="28"/>
      <c r="AB6035" s="28">
        <v>76342000</v>
      </c>
      <c r="AC6035" s="28">
        <v>263853000</v>
      </c>
      <c r="AD6035" s="28">
        <v>108122000</v>
      </c>
      <c r="AE6035" s="28">
        <v>5909323000</v>
      </c>
      <c r="AF6035" s="28">
        <v>27286000</v>
      </c>
      <c r="AG6035" s="11"/>
    </row>
    <row r="6036">
      <c r="A6036" s="7" t="s">
        <v>7630</v>
      </c>
      <c r="B6036" s="5" t="s">
        <v>15577</v>
      </c>
      <c r="C6036" s="5" t="s">
        <v>23236</v>
      </c>
      <c r="D6036" s="5" t="str">
        <v>272306818647</v>
      </c>
      <c r="E6036" s="0" t="e">
        <f>+7 (423) 2226943
+7 (4232) 205085
+7 (421) 2767258
+7 (421) 2767297
+7 (421) 2767298
+7 (423) 2227730
+7 (423) 2429184
+7 (423) 2429194
+7 (4232) 652073
+7 (914) 7045166</f>
        <v>#NAME?</v>
      </c>
      <c r="F6036" s="5" t="s">
        <v>43012</v>
      </c>
      <c r="G6036" s="5"/>
      <c r="H6036" s="26">
        <v>31</v>
      </c>
      <c r="I6036" s="5" t="s">
        <v>43013</v>
      </c>
      <c r="J6036" s="5" t="s">
        <v>26424</v>
      </c>
      <c r="K6036" s="5" t="s">
        <v>344</v>
      </c>
      <c r="L6036" s="5" t="s">
        <v>43014</v>
      </c>
      <c r="M6036" s="27">
        <v>6581891</v>
      </c>
      <c r="N6036" s="5"/>
      <c r="O6036" s="5" t="str">
        <v>2508044467</v>
      </c>
      <c r="P6036" s="27">
        <v>517999</v>
      </c>
      <c r="Q6036" s="5" t="s">
        <v>49009</v>
      </c>
      <c r="R6036" s="5" t="s">
        <v>53632</v>
      </c>
      <c r="S6036" s="5" t="s">
        <v>49066</v>
      </c>
      <c r="T6036" s="28">
        <v>2493744000</v>
      </c>
      <c r="U6036" s="28">
        <v>2751319000</v>
      </c>
      <c r="V6036" s="28">
        <v>397759000</v>
      </c>
      <c r="W6036" s="28">
        <v>442637000</v>
      </c>
      <c r="X6036" s="28">
        <v>469264000</v>
      </c>
      <c r="Y6036" s="28">
        <v>7761184000</v>
      </c>
      <c r="Z6036" s="28">
        <v>2385908000</v>
      </c>
      <c r="AA6036" s="28">
        <v>4070442000</v>
      </c>
      <c r="AB6036" s="28"/>
      <c r="AC6036" s="28">
        <v>1202338000</v>
      </c>
      <c r="AD6036" s="28">
        <v>2415470000</v>
      </c>
      <c r="AE6036" s="28">
        <v>5696063000</v>
      </c>
      <c r="AF6036" s="28">
        <v>436949000</v>
      </c>
      <c r="AG6036" s="11"/>
    </row>
    <row r="6037">
      <c r="A6037" s="7" t="s">
        <v>7631</v>
      </c>
      <c r="B6037" s="5" t="s">
        <v>15578</v>
      </c>
      <c r="C6037" s="5" t="s">
        <v>23237</v>
      </c>
      <c r="D6037" s="5" t="str">
        <v>772200338027</v>
      </c>
      <c r="E6037" s="0" t="e">
        <f>+7 (495) 6632138</f>
        <v>#NAME?</v>
      </c>
      <c r="F6037" s="5"/>
      <c r="G6037" s="5"/>
      <c r="H6037" s="26">
        <v>16.5</v>
      </c>
      <c r="I6037" s="5" t="s">
        <v>43015</v>
      </c>
      <c r="J6037" s="5" t="s">
        <v>678</v>
      </c>
      <c r="K6037" s="5" t="s">
        <v>344</v>
      </c>
      <c r="L6037" s="5" t="s">
        <v>43016</v>
      </c>
      <c r="M6037" s="27"/>
      <c r="N6037" s="5"/>
      <c r="O6037" s="5" t="str">
        <v>7702619370</v>
      </c>
      <c r="P6037" s="27">
        <v>10000</v>
      </c>
      <c r="Q6037" s="5" t="s">
        <v>49021</v>
      </c>
      <c r="R6037" s="5"/>
      <c r="S6037" s="5" t="s">
        <v>52234</v>
      </c>
      <c r="T6037" s="28">
        <v>28399000</v>
      </c>
      <c r="U6037" s="28">
        <v>19120000</v>
      </c>
      <c r="V6037" s="28">
        <v>1631458000</v>
      </c>
      <c r="W6037" s="28">
        <v>2185301000</v>
      </c>
      <c r="X6037" s="28">
        <v>232908000</v>
      </c>
      <c r="Y6037" s="28">
        <v>4797412000</v>
      </c>
      <c r="Z6037" s="28">
        <v>27225000</v>
      </c>
      <c r="AA6037" s="28"/>
      <c r="AB6037" s="28">
        <v>3846592000</v>
      </c>
      <c r="AC6037" s="28">
        <v>4547923000</v>
      </c>
      <c r="AD6037" s="28">
        <v>227235000</v>
      </c>
      <c r="AE6037" s="28">
        <v>5628230000</v>
      </c>
      <c r="AF6037" s="28">
        <v>-75640000</v>
      </c>
      <c r="AG6037" s="11"/>
    </row>
    <row r="6038">
      <c r="A6038" s="7" t="s">
        <v>7632</v>
      </c>
      <c r="B6038" s="5" t="s">
        <v>14476</v>
      </c>
      <c r="C6038" s="5" t="s">
        <v>23238</v>
      </c>
      <c r="D6038" s="5" t="str">
        <v>771577911578</v>
      </c>
      <c r="E6038" s="0" t="e">
        <f>+7 (495) 2320023
+7 (963) 9223071
+7 (965) 3842896
+7 (999) 5645050</f>
        <v>#NAME?</v>
      </c>
      <c r="F6038" s="5"/>
      <c r="G6038" s="5"/>
      <c r="H6038" s="26">
        <v>7.5</v>
      </c>
      <c r="I6038" s="5" t="s">
        <v>43015</v>
      </c>
      <c r="J6038" s="5" t="s">
        <v>881</v>
      </c>
      <c r="K6038" s="5" t="s">
        <v>344</v>
      </c>
      <c r="L6038" s="5" t="s">
        <v>1609</v>
      </c>
      <c r="M6038" s="27"/>
      <c r="N6038" s="5"/>
      <c r="O6038" s="5" t="str">
        <v>7725289865</v>
      </c>
      <c r="P6038" s="27">
        <v>10000</v>
      </c>
      <c r="Q6038" s="5" t="s">
        <v>49009</v>
      </c>
      <c r="R6038" s="5"/>
      <c r="S6038" s="5" t="s">
        <v>49045</v>
      </c>
      <c r="T6038" s="28">
        <v>17899000</v>
      </c>
      <c r="U6038" s="28"/>
      <c r="V6038" s="28">
        <v>488648000</v>
      </c>
      <c r="W6038" s="28">
        <v>44582000</v>
      </c>
      <c r="X6038" s="28">
        <v>1686000</v>
      </c>
      <c r="Y6038" s="28">
        <v>833496000</v>
      </c>
      <c r="Z6038" s="28">
        <v>14019000</v>
      </c>
      <c r="AA6038" s="28"/>
      <c r="AB6038" s="28">
        <v>302017000</v>
      </c>
      <c r="AC6038" s="28">
        <v>809335000</v>
      </c>
      <c r="AD6038" s="28">
        <v>14029000</v>
      </c>
      <c r="AE6038" s="28">
        <v>3666024000</v>
      </c>
      <c r="AF6038" s="28">
        <v>4686000</v>
      </c>
      <c r="AG6038" s="11"/>
    </row>
    <row r="6039">
      <c r="A6039" s="7" t="s">
        <v>7633</v>
      </c>
      <c r="B6039" s="5" t="s">
        <v>15579</v>
      </c>
      <c r="C6039" s="5" t="s">
        <v>23239</v>
      </c>
      <c r="D6039" s="5" t="str">
        <v>482106621606</v>
      </c>
      <c r="E6039" s="0" t="e">
        <f>+7 (495) 2320023
+7 (800) 2002233</f>
        <v>#NAME?</v>
      </c>
      <c r="F6039" s="5" t="s">
        <v>43017</v>
      </c>
      <c r="G6039" s="5" t="s">
        <v>43018</v>
      </c>
      <c r="H6039" s="26">
        <v>16.5</v>
      </c>
      <c r="I6039" s="5" t="s">
        <v>43015</v>
      </c>
      <c r="J6039" s="5" t="s">
        <v>28568</v>
      </c>
      <c r="K6039" s="5" t="s">
        <v>344</v>
      </c>
      <c r="L6039" s="5"/>
      <c r="M6039" s="27"/>
      <c r="N6039" s="5" t="s">
        <v>58410</v>
      </c>
      <c r="O6039" s="5" t="str">
        <v>7736542069</v>
      </c>
      <c r="P6039" s="27">
        <v>10000</v>
      </c>
      <c r="Q6039" s="5" t="s">
        <v>49009</v>
      </c>
      <c r="R6039" s="5"/>
      <c r="S6039" s="5" t="s">
        <v>49012</v>
      </c>
      <c r="T6039" s="28">
        <v>16557000</v>
      </c>
      <c r="U6039" s="28"/>
      <c r="V6039" s="28">
        <v>309435000</v>
      </c>
      <c r="W6039" s="28">
        <v>40700000</v>
      </c>
      <c r="X6039" s="28">
        <v>3316000</v>
      </c>
      <c r="Y6039" s="28">
        <v>515676000</v>
      </c>
      <c r="Z6039" s="28">
        <v>47150000</v>
      </c>
      <c r="AA6039" s="28"/>
      <c r="AB6039" s="28">
        <v>212618000</v>
      </c>
      <c r="AC6039" s="28">
        <v>455494000</v>
      </c>
      <c r="AD6039" s="28">
        <v>47160000</v>
      </c>
      <c r="AE6039" s="28">
        <v>3551870000</v>
      </c>
      <c r="AF6039" s="28">
        <v>2306000</v>
      </c>
      <c r="AG6039" s="11"/>
    </row>
    <row r="6040">
      <c r="A6040" s="7" t="s">
        <v>7634</v>
      </c>
      <c r="B6040" s="5" t="s">
        <v>14476</v>
      </c>
      <c r="C6040" s="5" t="s">
        <v>23239</v>
      </c>
      <c r="D6040" s="5" t="str">
        <v>482106621606</v>
      </c>
      <c r="E6040" s="0" t="e">
        <f>+7 (495) 7754775
+7 (905) 6526348
+7 (905) 6562456
+7 (910) 8910023
+7 (920) 4289642
+7 (922) 2081008
+7 (930) 4044490
+7 (960) 1148982
+7 (960) 7655331
+7 (961) 1863705
+7 (962) 3270382
+7 (962) 3289915
+7 (495) 6638147</f>
        <v>#NAME?</v>
      </c>
      <c r="F6040" s="5" t="s">
        <v>43019</v>
      </c>
      <c r="G6040" s="5" t="s">
        <v>43020</v>
      </c>
      <c r="H6040" s="26">
        <v>13</v>
      </c>
      <c r="I6040" s="5" t="s">
        <v>43021</v>
      </c>
      <c r="J6040" s="5" t="s">
        <v>678</v>
      </c>
      <c r="K6040" s="5" t="s">
        <v>355</v>
      </c>
      <c r="L6040" s="5" t="s">
        <v>43022</v>
      </c>
      <c r="M6040" s="27"/>
      <c r="N6040" s="5" t="s">
        <v>58411</v>
      </c>
      <c r="O6040" s="5" t="str">
        <v>7728734000</v>
      </c>
      <c r="P6040" s="27">
        <v>10000</v>
      </c>
      <c r="Q6040" s="5" t="s">
        <v>58412</v>
      </c>
      <c r="R6040" s="5"/>
      <c r="S6040" s="5" t="s">
        <v>58413</v>
      </c>
      <c r="T6040" s="28">
        <v>40122000</v>
      </c>
      <c r="U6040" s="28">
        <v>10801948000</v>
      </c>
      <c r="V6040" s="28">
        <v>2487396000</v>
      </c>
      <c r="W6040" s="28">
        <v>199089000</v>
      </c>
      <c r="X6040" s="28">
        <v>365432000</v>
      </c>
      <c r="Y6040" s="28">
        <v>14881964000</v>
      </c>
      <c r="Z6040" s="28">
        <v>836142000</v>
      </c>
      <c r="AA6040" s="28">
        <v>2250000000</v>
      </c>
      <c r="AB6040" s="28">
        <v>842671000</v>
      </c>
      <c r="AC6040" s="28">
        <v>11251090000</v>
      </c>
      <c r="AD6040" s="28">
        <v>836152000</v>
      </c>
      <c r="AE6040" s="28">
        <v>6258251000</v>
      </c>
      <c r="AF6040" s="28">
        <v>726347000</v>
      </c>
      <c r="AG6040" s="11"/>
    </row>
    <row r="6041">
      <c r="A6041" s="7" t="s">
        <v>7635</v>
      </c>
      <c r="B6041" s="5" t="s">
        <v>15580</v>
      </c>
      <c r="C6041" s="5" t="s">
        <v>23239</v>
      </c>
      <c r="D6041" s="5" t="str">
        <v>482106621606</v>
      </c>
      <c r="E6041" s="0" t="e">
        <f>+7 (495) 2320023
+7 (495) 2230023
+7 (495) 2320222
+7 (495) 5232002
+7 (495) 5684654
+7 (495) 5865456
+7 (903) 303603
+7 (905) 6562456
+7 (905) 8903395
+7 (383) 3475747
+7 (3952) 500632
+7 (4232) 600010
+7 (495) 2330023
+7 (800) 2000860
+7 (818) 2635922</f>
        <v>#NAME?</v>
      </c>
      <c r="F6041" s="5" t="s">
        <v>43023</v>
      </c>
      <c r="G6041" s="5" t="s">
        <v>43018</v>
      </c>
      <c r="H6041" s="26">
        <v>20</v>
      </c>
      <c r="I6041" s="5" t="s">
        <v>43024</v>
      </c>
      <c r="J6041" s="5" t="s">
        <v>678</v>
      </c>
      <c r="K6041" s="5" t="s">
        <v>344</v>
      </c>
      <c r="L6041" s="5"/>
      <c r="M6041" s="27">
        <v>16642252</v>
      </c>
      <c r="N6041" s="5" t="s">
        <v>58414</v>
      </c>
      <c r="O6041" s="5" t="str">
        <v>7736227885</v>
      </c>
      <c r="P6041" s="27">
        <v>300000</v>
      </c>
      <c r="Q6041" s="5" t="s">
        <v>58415</v>
      </c>
      <c r="R6041" s="5"/>
      <c r="S6041" s="5" t="s">
        <v>58416</v>
      </c>
      <c r="T6041" s="28">
        <v>1012528000</v>
      </c>
      <c r="U6041" s="28">
        <v>6923965000</v>
      </c>
      <c r="V6041" s="28">
        <v>8496789000</v>
      </c>
      <c r="W6041" s="28">
        <v>6146065000</v>
      </c>
      <c r="X6041" s="28">
        <v>2132801000</v>
      </c>
      <c r="Y6041" s="28">
        <v>27927077000</v>
      </c>
      <c r="Z6041" s="28">
        <v>342363000</v>
      </c>
      <c r="AA6041" s="28">
        <v>2029412000</v>
      </c>
      <c r="AB6041" s="28">
        <v>12141691000</v>
      </c>
      <c r="AC6041" s="28">
        <v>21900698000</v>
      </c>
      <c r="AD6041" s="28">
        <v>3268793000</v>
      </c>
      <c r="AE6041" s="28">
        <v>35663836000</v>
      </c>
      <c r="AF6041" s="28">
        <v>187482000</v>
      </c>
      <c r="AG6041" s="11"/>
    </row>
    <row r="6042">
      <c r="A6042" s="7" t="s">
        <v>7636</v>
      </c>
      <c r="B6042" s="5" t="s">
        <v>15581</v>
      </c>
      <c r="C6042" s="5" t="s">
        <v>23240</v>
      </c>
      <c r="D6042" s="5" t="str">
        <v>232010245216</v>
      </c>
      <c r="E6042" s="0" t="e">
        <f>+7 (861) 2671537
+7 (861) 2694492
+7 (861) 2694731
+7 (800) 1003339
+7 (861) 2006949
+7 (861) 2621696
+7 (861) 2671538
+7 (861) 2694446
+7 (862) 2108806
+7 (862) 2200695
+7 (862) 2644117
+7 (8622) 374136
+7 (8622) 417777
+7 (918) 4302624
+7 (938) 4606897</f>
        <v>#NAME?</v>
      </c>
      <c r="F6042" s="5" t="s">
        <v>43025</v>
      </c>
      <c r="G6042" s="5"/>
      <c r="H6042" s="26">
        <v>24</v>
      </c>
      <c r="I6042" s="5" t="s">
        <v>43026</v>
      </c>
      <c r="J6042" s="5" t="s">
        <v>43027</v>
      </c>
      <c r="K6042" s="5" t="s">
        <v>344</v>
      </c>
      <c r="L6042" s="5"/>
      <c r="M6042" s="27"/>
      <c r="N6042" s="5" t="s">
        <v>58417</v>
      </c>
      <c r="O6042" s="5" t="str">
        <v>2310119472</v>
      </c>
      <c r="P6042" s="27">
        <v>650778600</v>
      </c>
      <c r="Q6042" s="5" t="s">
        <v>49009</v>
      </c>
      <c r="R6042" s="5"/>
      <c r="S6042" s="5" t="s">
        <v>49028</v>
      </c>
      <c r="T6042" s="28">
        <v>5894739000</v>
      </c>
      <c r="U6042" s="28">
        <v>19000</v>
      </c>
      <c r="V6042" s="28">
        <v>422360000</v>
      </c>
      <c r="W6042" s="28"/>
      <c r="X6042" s="28">
        <v>994391000</v>
      </c>
      <c r="Y6042" s="28">
        <v>9219802000</v>
      </c>
      <c r="Z6042" s="28">
        <v>-8518305000</v>
      </c>
      <c r="AA6042" s="28">
        <v>10080480000</v>
      </c>
      <c r="AB6042" s="28">
        <v>1151304000</v>
      </c>
      <c r="AC6042" s="28">
        <v>1592644000</v>
      </c>
      <c r="AD6042" s="28">
        <v>-3503400000</v>
      </c>
      <c r="AE6042" s="28">
        <v>4922286000</v>
      </c>
      <c r="AF6042" s="28">
        <v>673543000</v>
      </c>
      <c r="AG6042" s="11"/>
    </row>
    <row r="6043">
      <c r="A6043" s="7" t="s">
        <v>7637</v>
      </c>
      <c r="B6043" s="5" t="s">
        <v>15582</v>
      </c>
      <c r="C6043" s="5" t="s">
        <v>23241</v>
      </c>
      <c r="D6043" s="5" t="str">
        <v>502301611000</v>
      </c>
      <c r="E6043" s="0" t="e">
        <f>+7 (495) 7851591
+7 (495) 7851592</f>
        <v>#NAME?</v>
      </c>
      <c r="F6043" s="5"/>
      <c r="G6043" s="5" t="s">
        <v>43028</v>
      </c>
      <c r="H6043" s="26">
        <v>15.5</v>
      </c>
      <c r="I6043" s="5" t="s">
        <v>43029</v>
      </c>
      <c r="J6043" s="5" t="s">
        <v>32671</v>
      </c>
      <c r="K6043" s="5" t="s">
        <v>344</v>
      </c>
      <c r="L6043" s="5" t="s">
        <v>43030</v>
      </c>
      <c r="M6043" s="27"/>
      <c r="N6043" s="5"/>
      <c r="O6043" s="5" t="str">
        <v>7734570092</v>
      </c>
      <c r="P6043" s="27">
        <v>10000000</v>
      </c>
      <c r="Q6043" s="5" t="s">
        <v>49535</v>
      </c>
      <c r="R6043" s="5"/>
      <c r="S6043" s="5" t="s">
        <v>58418</v>
      </c>
      <c r="T6043" s="28">
        <v>75312000</v>
      </c>
      <c r="U6043" s="28"/>
      <c r="V6043" s="28">
        <v>1462927000</v>
      </c>
      <c r="W6043" s="28"/>
      <c r="X6043" s="28">
        <v>574650000</v>
      </c>
      <c r="Y6043" s="28">
        <v>2180074000</v>
      </c>
      <c r="Z6043" s="28">
        <v>700402000</v>
      </c>
      <c r="AA6043" s="28"/>
      <c r="AB6043" s="28">
        <v>520000000</v>
      </c>
      <c r="AC6043" s="28">
        <v>1430511000</v>
      </c>
      <c r="AD6043" s="28">
        <v>711902000</v>
      </c>
      <c r="AE6043" s="28">
        <v>3682929000</v>
      </c>
      <c r="AF6043" s="28">
        <v>498308000</v>
      </c>
      <c r="AG6043" s="11"/>
    </row>
    <row r="6044">
      <c r="A6044" s="7" t="s">
        <v>7638</v>
      </c>
      <c r="B6044" s="5" t="s">
        <v>15583</v>
      </c>
      <c r="C6044" s="5" t="s">
        <v>23242</v>
      </c>
      <c r="D6044" s="5" t="str">
        <v>471500290070</v>
      </c>
      <c r="E6044" s="0" t="e">
        <f>+7 (493) 2565630
+7 (920) 3625610</f>
        <v>#NAME?</v>
      </c>
      <c r="F6044" s="5" t="s">
        <v>43031</v>
      </c>
      <c r="G6044" s="5" t="s">
        <v>43032</v>
      </c>
      <c r="H6044" s="26">
        <v>13.5</v>
      </c>
      <c r="I6044" s="5" t="s">
        <v>43033</v>
      </c>
      <c r="J6044" s="5" t="s">
        <v>467</v>
      </c>
      <c r="K6044" s="5" t="s">
        <v>344</v>
      </c>
      <c r="L6044" s="5" t="s">
        <v>43034</v>
      </c>
      <c r="M6044" s="27">
        <v>53622909</v>
      </c>
      <c r="N6044" s="5" t="s">
        <v>58419</v>
      </c>
      <c r="O6044" s="5" t="str">
        <v>3711025287</v>
      </c>
      <c r="P6044" s="27">
        <v>2000000</v>
      </c>
      <c r="Q6044" s="5" t="s">
        <v>58421</v>
      </c>
      <c r="R6044" s="5" t="s">
        <v>58422</v>
      </c>
      <c r="S6044" s="5" t="s">
        <v>58423</v>
      </c>
      <c r="T6044" s="28">
        <v>338788000</v>
      </c>
      <c r="U6044" s="28"/>
      <c r="V6044" s="28">
        <v>1753901000</v>
      </c>
      <c r="W6044" s="28">
        <v>1420864000</v>
      </c>
      <c r="X6044" s="28">
        <v>479200000</v>
      </c>
      <c r="Y6044" s="28">
        <v>6725623000</v>
      </c>
      <c r="Z6044" s="28">
        <v>194932000</v>
      </c>
      <c r="AA6044" s="28">
        <v>272000000</v>
      </c>
      <c r="AB6044" s="28">
        <v>330672000</v>
      </c>
      <c r="AC6044" s="28">
        <v>5568198000</v>
      </c>
      <c r="AD6044" s="28">
        <v>640320000</v>
      </c>
      <c r="AE6044" s="28">
        <v>10187873000</v>
      </c>
      <c r="AF6044" s="28">
        <v>54801000</v>
      </c>
      <c r="AG6044" s="11"/>
    </row>
    <row r="6045">
      <c r="A6045" s="7" t="s">
        <v>7639</v>
      </c>
      <c r="B6045" s="5" t="s">
        <v>15584</v>
      </c>
      <c r="C6045" s="5" t="s">
        <v>23243</v>
      </c>
      <c r="D6045" s="5" t="str">
        <v>666900263939</v>
      </c>
      <c r="E6045" s="0" t="e">
        <f>+7 (3432) 372245
+7 (3432) 372246
+7 (499) 7550070
+7 (812) 6010100
+7 (812) 6010110
+7 (8435) 247545</f>
        <v>#NAME?</v>
      </c>
      <c r="F6045" s="5"/>
      <c r="G6045" s="5"/>
      <c r="H6045" s="26">
        <v>11</v>
      </c>
      <c r="I6045" s="5" t="s">
        <v>43035</v>
      </c>
      <c r="J6045" s="5" t="s">
        <v>27855</v>
      </c>
      <c r="K6045" s="5" t="s">
        <v>344</v>
      </c>
      <c r="L6045" s="5"/>
      <c r="M6045" s="27">
        <v>55557792</v>
      </c>
      <c r="N6045" s="5"/>
      <c r="O6045" s="5" t="str">
        <v>7729705354</v>
      </c>
      <c r="P6045" s="27">
        <v>1955689549</v>
      </c>
      <c r="Q6045" s="5" t="s">
        <v>58424</v>
      </c>
      <c r="R6045" s="5" t="s">
        <v>58425</v>
      </c>
      <c r="S6045" s="5" t="s">
        <v>58426</v>
      </c>
      <c r="T6045" s="28">
        <v>6686294000</v>
      </c>
      <c r="U6045" s="28">
        <v>2000000</v>
      </c>
      <c r="V6045" s="28">
        <v>4527207000</v>
      </c>
      <c r="W6045" s="28">
        <v>337224000</v>
      </c>
      <c r="X6045" s="28">
        <v>1387915000</v>
      </c>
      <c r="Y6045" s="28">
        <v>25217814000</v>
      </c>
      <c r="Z6045" s="28">
        <v>-8777054000</v>
      </c>
      <c r="AA6045" s="28">
        <v>9274728000</v>
      </c>
      <c r="AB6045" s="28">
        <v>138546000</v>
      </c>
      <c r="AC6045" s="28">
        <v>12072599000</v>
      </c>
      <c r="AD6045" s="28">
        <v>3541194000</v>
      </c>
      <c r="AE6045" s="28">
        <v>117068294000</v>
      </c>
      <c r="AF6045" s="28">
        <v>75171000</v>
      </c>
      <c r="AG6045" s="11"/>
    </row>
    <row r="6046">
      <c r="A6046" s="7" t="s">
        <v>7640</v>
      </c>
      <c r="B6046" s="5" t="s">
        <v>15585</v>
      </c>
      <c r="C6046" s="5" t="s">
        <v>23244</v>
      </c>
      <c r="D6046" s="5" t="str">
        <v>543309892791</v>
      </c>
      <c r="E6046" s="0" t="e">
        <f>+7 (38343) 23151
+7 (913) 9084912</f>
        <v>#NAME?</v>
      </c>
      <c r="F6046" s="5" t="s">
        <v>43036</v>
      </c>
      <c r="G6046" s="5"/>
      <c r="H6046" s="26">
        <v>9</v>
      </c>
      <c r="I6046" s="5" t="s">
        <v>43037</v>
      </c>
      <c r="J6046" s="5" t="s">
        <v>27266</v>
      </c>
      <c r="K6046" s="5" t="s">
        <v>344</v>
      </c>
      <c r="L6046" s="5" t="s">
        <v>43038</v>
      </c>
      <c r="M6046" s="27"/>
      <c r="N6046" s="5"/>
      <c r="O6046" s="5" t="str">
        <v>5446116033</v>
      </c>
      <c r="P6046" s="27">
        <v>10000</v>
      </c>
      <c r="Q6046" s="5"/>
      <c r="R6046" s="5"/>
      <c r="S6046" s="5" t="s">
        <v>49029</v>
      </c>
      <c r="T6046" s="28">
        <v>8947000</v>
      </c>
      <c r="U6046" s="28"/>
      <c r="V6046" s="28">
        <v>1874044000</v>
      </c>
      <c r="W6046" s="28"/>
      <c r="X6046" s="28">
        <v>1298000</v>
      </c>
      <c r="Y6046" s="28">
        <v>2440080000</v>
      </c>
      <c r="Z6046" s="28">
        <v>1460393000</v>
      </c>
      <c r="AA6046" s="28"/>
      <c r="AB6046" s="28">
        <v>205170000</v>
      </c>
      <c r="AC6046" s="28">
        <v>979676000</v>
      </c>
      <c r="AD6046" s="28">
        <v>1460403000</v>
      </c>
      <c r="AE6046" s="28">
        <v>3461186000</v>
      </c>
      <c r="AF6046" s="28">
        <v>193068000</v>
      </c>
      <c r="AG6046" s="11"/>
    </row>
    <row r="6047">
      <c r="A6047" s="7" t="s">
        <v>7641</v>
      </c>
      <c r="B6047" s="5" t="s">
        <v>15586</v>
      </c>
      <c r="C6047" s="5" t="s">
        <v>23245</v>
      </c>
      <c r="D6047" s="5" t="str">
        <v>235621350820</v>
      </c>
      <c r="E6047" s="0" t="e">
        <f>+7 (86131) 70200
+7 (918) 6451998</f>
        <v>#NAME?</v>
      </c>
      <c r="F6047" s="5" t="s">
        <v>43039</v>
      </c>
      <c r="G6047" s="5"/>
      <c r="H6047" s="26">
        <v>18.5</v>
      </c>
      <c r="I6047" s="5" t="s">
        <v>43040</v>
      </c>
      <c r="J6047" s="5" t="s">
        <v>25316</v>
      </c>
      <c r="K6047" s="5" t="s">
        <v>380</v>
      </c>
      <c r="L6047" s="5"/>
      <c r="M6047" s="27">
        <v>14496509</v>
      </c>
      <c r="N6047" s="5"/>
      <c r="O6047" s="5" t="str">
        <v>2337028367</v>
      </c>
      <c r="P6047" s="27">
        <v>600130231</v>
      </c>
      <c r="Q6047" s="5" t="s">
        <v>58427</v>
      </c>
      <c r="R6047" s="5"/>
      <c r="S6047" s="5" t="s">
        <v>51061</v>
      </c>
      <c r="T6047" s="28">
        <v>1481984000</v>
      </c>
      <c r="U6047" s="28">
        <v>17640000</v>
      </c>
      <c r="V6047" s="28">
        <v>1324129000</v>
      </c>
      <c r="W6047" s="28"/>
      <c r="X6047" s="28">
        <v>32670000</v>
      </c>
      <c r="Y6047" s="28">
        <v>5609765000</v>
      </c>
      <c r="Z6047" s="28">
        <v>65427000</v>
      </c>
      <c r="AA6047" s="28">
        <v>1484268000</v>
      </c>
      <c r="AB6047" s="28">
        <v>1530825000</v>
      </c>
      <c r="AC6047" s="28">
        <v>3018593000</v>
      </c>
      <c r="AD6047" s="28">
        <v>955867000</v>
      </c>
      <c r="AE6047" s="28">
        <v>3973384000</v>
      </c>
      <c r="AF6047" s="28">
        <v>-548415000</v>
      </c>
      <c r="AG6047" s="11"/>
    </row>
    <row r="6048">
      <c r="A6048" s="7" t="s">
        <v>7642</v>
      </c>
      <c r="B6048" s="5" t="s">
        <v>15587</v>
      </c>
      <c r="C6048" s="5" t="s">
        <v>23246</v>
      </c>
      <c r="D6048" s="5" t="str">
        <v>165001079444</v>
      </c>
      <c r="E6048" s="0" t="e">
        <f>+7 (917) 2642868
+7 (917) 8633402
+7 (937) 2175253</f>
        <v>#NAME?</v>
      </c>
      <c r="F6048" s="5" t="s">
        <v>43041</v>
      </c>
      <c r="G6048" s="5" t="s">
        <v>43042</v>
      </c>
      <c r="H6048" s="26">
        <v>11.5</v>
      </c>
      <c r="I6048" s="5" t="s">
        <v>43043</v>
      </c>
      <c r="J6048" s="5" t="s">
        <v>533</v>
      </c>
      <c r="K6048" s="5" t="s">
        <v>355</v>
      </c>
      <c r="L6048" s="5" t="s">
        <v>43044</v>
      </c>
      <c r="M6048" s="27">
        <v>7841984</v>
      </c>
      <c r="N6048" s="5"/>
      <c r="O6048" s="5" t="str">
        <v>7327060811</v>
      </c>
      <c r="P6048" s="27">
        <v>1250000</v>
      </c>
      <c r="Q6048" s="5" t="s">
        <v>49822</v>
      </c>
      <c r="R6048" s="5"/>
      <c r="S6048" s="5" t="s">
        <v>58428</v>
      </c>
      <c r="T6048" s="28">
        <v>4785590000</v>
      </c>
      <c r="U6048" s="28">
        <v>7000</v>
      </c>
      <c r="V6048" s="28">
        <v>1306723000</v>
      </c>
      <c r="W6048" s="28"/>
      <c r="X6048" s="28">
        <v>3059000</v>
      </c>
      <c r="Y6048" s="28">
        <v>7878928000</v>
      </c>
      <c r="Z6048" s="28">
        <v>399706000</v>
      </c>
      <c r="AA6048" s="28">
        <v>29252000</v>
      </c>
      <c r="AB6048" s="28">
        <v>103945000</v>
      </c>
      <c r="AC6048" s="28">
        <v>3110188000</v>
      </c>
      <c r="AD6048" s="28">
        <v>573528000</v>
      </c>
      <c r="AE6048" s="28">
        <v>3730670000</v>
      </c>
      <c r="AF6048" s="28">
        <v>238843000</v>
      </c>
      <c r="AG6048" s="11"/>
    </row>
    <row r="6049">
      <c r="A6049" s="7" t="s">
        <v>7643</v>
      </c>
      <c r="B6049" s="5" t="s">
        <v>15588</v>
      </c>
      <c r="C6049" s="5" t="s">
        <v>23247</v>
      </c>
      <c r="D6049" s="5" t="str">
        <v>741100208200</v>
      </c>
      <c r="E6049" s="0" t="e">
        <f>+7 (35139) 40415
+7 (35139) 40406
+7 (35139) 40416</f>
        <v>#NAME?</v>
      </c>
      <c r="F6049" s="5" t="s">
        <v>43045</v>
      </c>
      <c r="G6049" s="5"/>
      <c r="H6049" s="26">
        <v>11.5</v>
      </c>
      <c r="I6049" s="5" t="s">
        <v>43046</v>
      </c>
      <c r="J6049" s="5" t="s">
        <v>678</v>
      </c>
      <c r="K6049" s="5" t="s">
        <v>344</v>
      </c>
      <c r="L6049" s="5" t="s">
        <v>43047</v>
      </c>
      <c r="M6049" s="27"/>
      <c r="N6049" s="5"/>
      <c r="O6049" s="5" t="str">
        <v>7411093702</v>
      </c>
      <c r="P6049" s="27">
        <v>100000</v>
      </c>
      <c r="Q6049" s="5" t="s">
        <v>49207</v>
      </c>
      <c r="R6049" s="5"/>
      <c r="S6049" s="5" t="s">
        <v>49311</v>
      </c>
      <c r="T6049" s="28"/>
      <c r="U6049" s="28"/>
      <c r="V6049" s="28">
        <v>146912000</v>
      </c>
      <c r="W6049" s="28">
        <v>85000000</v>
      </c>
      <c r="X6049" s="28">
        <v>3415000</v>
      </c>
      <c r="Y6049" s="28">
        <v>249394000</v>
      </c>
      <c r="Z6049" s="28">
        <v>116058000</v>
      </c>
      <c r="AA6049" s="28"/>
      <c r="AB6049" s="28"/>
      <c r="AC6049" s="28">
        <v>133236000</v>
      </c>
      <c r="AD6049" s="28">
        <v>116158000</v>
      </c>
      <c r="AE6049" s="28">
        <v>3674697000</v>
      </c>
      <c r="AF6049" s="28">
        <v>37312000</v>
      </c>
      <c r="AG6049" s="11"/>
    </row>
    <row r="6050">
      <c r="A6050" s="7" t="s">
        <v>7644</v>
      </c>
      <c r="B6050" s="5" t="s">
        <v>15589</v>
      </c>
      <c r="C6050" s="5" t="s">
        <v>23248</v>
      </c>
      <c r="D6050" s="5"/>
      <c r="E6050" s="0" t="e">
        <f>+7 (48438) 20500
+7 (48438) 21185
+7 (48438) 21252
+7 (48438) 21381
+7 (48438) 60130
+7 (48438) 60272
+7 (800) 7000909
+7 (843) 860130
+7 (843) 860272
+7 (910) 5190798</f>
        <v>#NAME?</v>
      </c>
      <c r="F6050" s="5" t="s">
        <v>43048</v>
      </c>
      <c r="G6050" s="5" t="s">
        <v>43049</v>
      </c>
      <c r="H6050" s="26">
        <v>31</v>
      </c>
      <c r="I6050" s="5" t="s">
        <v>43050</v>
      </c>
      <c r="J6050" s="5" t="s">
        <v>27221</v>
      </c>
      <c r="K6050" s="5" t="s">
        <v>344</v>
      </c>
      <c r="L6050" s="5"/>
      <c r="M6050" s="27">
        <v>204029363</v>
      </c>
      <c r="N6050" s="5" t="s">
        <v>58429</v>
      </c>
      <c r="O6050" s="5" t="str">
        <v>4003038151</v>
      </c>
      <c r="P6050" s="27">
        <v>47417000</v>
      </c>
      <c r="Q6050" s="5" t="s">
        <v>49059</v>
      </c>
      <c r="R6050" s="5" t="s">
        <v>58430</v>
      </c>
      <c r="S6050" s="5" t="s">
        <v>49132</v>
      </c>
      <c r="T6050" s="28">
        <v>4044504000</v>
      </c>
      <c r="U6050" s="28">
        <v>11000</v>
      </c>
      <c r="V6050" s="28">
        <v>299935000</v>
      </c>
      <c r="W6050" s="28"/>
      <c r="X6050" s="28">
        <v>4959000</v>
      </c>
      <c r="Y6050" s="28">
        <v>7243040000</v>
      </c>
      <c r="Z6050" s="28">
        <v>236543000</v>
      </c>
      <c r="AA6050" s="28">
        <v>3808060000</v>
      </c>
      <c r="AB6050" s="28">
        <v>410225000</v>
      </c>
      <c r="AC6050" s="28">
        <v>1756546000</v>
      </c>
      <c r="AD6050" s="28">
        <v>803785000</v>
      </c>
      <c r="AE6050" s="28">
        <v>3225471000</v>
      </c>
      <c r="AF6050" s="28">
        <v>75210000</v>
      </c>
      <c r="AG6050" s="11"/>
    </row>
    <row r="6051">
      <c r="A6051" s="7" t="s">
        <v>7645</v>
      </c>
      <c r="B6051" s="5" t="s">
        <v>15590</v>
      </c>
      <c r="C6051" s="5" t="s">
        <v>23249</v>
      </c>
      <c r="D6051" s="5" t="str">
        <v>504200585414</v>
      </c>
      <c r="E6051" s="0" t="e">
        <f>+7 (495) 2878536
+7 (903) 5951755
+7 (495) 6878536
+7 (499) 3171003
+7 (499) 3171402
+7 (499) 3171950
+7 (499) 3172098
+7 (499) 3174213
+7 (499) 3174222
+7 (499) 3174233
+7 (499) 3174241</f>
        <v>#NAME?</v>
      </c>
      <c r="F6051" s="5" t="s">
        <v>43051</v>
      </c>
      <c r="G6051" s="5" t="s">
        <v>43052</v>
      </c>
      <c r="H6051" s="26">
        <v>13.5</v>
      </c>
      <c r="I6051" s="5" t="s">
        <v>43053</v>
      </c>
      <c r="J6051" s="5" t="s">
        <v>25512</v>
      </c>
      <c r="K6051" s="5" t="s">
        <v>344</v>
      </c>
      <c r="L6051" s="5" t="s">
        <v>43054</v>
      </c>
      <c r="M6051" s="27">
        <v>1500</v>
      </c>
      <c r="N6051" s="5" t="s">
        <v>58431</v>
      </c>
      <c r="O6051" s="5" t="str">
        <v>7722690557</v>
      </c>
      <c r="P6051" s="27">
        <v>20000</v>
      </c>
      <c r="Q6051" s="5"/>
      <c r="R6051" s="5"/>
      <c r="S6051" s="5" t="s">
        <v>49110</v>
      </c>
      <c r="T6051" s="28">
        <v>63823000</v>
      </c>
      <c r="U6051" s="28">
        <v>128000000</v>
      </c>
      <c r="V6051" s="28">
        <v>379118000</v>
      </c>
      <c r="W6051" s="28">
        <v>888588000</v>
      </c>
      <c r="X6051" s="28">
        <v>678030000</v>
      </c>
      <c r="Y6051" s="28">
        <v>4236375000</v>
      </c>
      <c r="Z6051" s="28">
        <v>1948980000</v>
      </c>
      <c r="AA6051" s="28">
        <v>250000</v>
      </c>
      <c r="AB6051" s="28"/>
      <c r="AC6051" s="28">
        <v>2330767000</v>
      </c>
      <c r="AD6051" s="28">
        <v>1901776000</v>
      </c>
      <c r="AE6051" s="28">
        <v>6979299000</v>
      </c>
      <c r="AF6051" s="28">
        <v>70625000</v>
      </c>
      <c r="AG6051" s="11"/>
    </row>
    <row r="6052">
      <c r="A6052" s="7" t="s">
        <v>7646</v>
      </c>
      <c r="B6052" s="5" t="s">
        <v>15591</v>
      </c>
      <c r="C6052" s="5" t="s">
        <v>23250</v>
      </c>
      <c r="D6052" s="5" t="str">
        <v>614702549024</v>
      </c>
      <c r="E6052" s="0" t="e">
        <f>+7 (495) 2121821
+7 (928) 9590301
+7 (800) 5006592
+7 (928) 1275011</f>
        <v>#NAME?</v>
      </c>
      <c r="F6052" s="5" t="s">
        <v>43055</v>
      </c>
      <c r="G6052" s="5" t="s">
        <v>43056</v>
      </c>
      <c r="H6052" s="26">
        <v>15.5</v>
      </c>
      <c r="I6052" s="5" t="s">
        <v>43057</v>
      </c>
      <c r="J6052" s="5" t="s">
        <v>364</v>
      </c>
      <c r="K6052" s="5" t="s">
        <v>344</v>
      </c>
      <c r="L6052" s="5" t="s">
        <v>25537</v>
      </c>
      <c r="M6052" s="27">
        <v>51266084</v>
      </c>
      <c r="N6052" s="5" t="s">
        <v>58432</v>
      </c>
      <c r="O6052" s="5" t="str">
        <v>6168018802</v>
      </c>
      <c r="P6052" s="27">
        <v>1015000</v>
      </c>
      <c r="Q6052" s="5" t="s">
        <v>58433</v>
      </c>
      <c r="R6052" s="5"/>
      <c r="S6052" s="5" t="s">
        <v>58434</v>
      </c>
      <c r="T6052" s="28">
        <v>791566000</v>
      </c>
      <c r="U6052" s="28"/>
      <c r="V6052" s="28">
        <v>1128352000</v>
      </c>
      <c r="W6052" s="28">
        <v>361440000</v>
      </c>
      <c r="X6052" s="28">
        <v>354382000</v>
      </c>
      <c r="Y6052" s="28">
        <v>5252607000</v>
      </c>
      <c r="Z6052" s="28">
        <v>208738000</v>
      </c>
      <c r="AA6052" s="28">
        <v>41315000</v>
      </c>
      <c r="AB6052" s="28">
        <v>226181000</v>
      </c>
      <c r="AC6052" s="28">
        <v>2817305000</v>
      </c>
      <c r="AD6052" s="28">
        <v>2185807000</v>
      </c>
      <c r="AE6052" s="28">
        <v>6220365000</v>
      </c>
      <c r="AF6052" s="28">
        <v>102808000</v>
      </c>
      <c r="AG6052" s="11"/>
    </row>
    <row r="6053">
      <c r="A6053" s="7" t="s">
        <v>7647</v>
      </c>
      <c r="B6053" s="5" t="s">
        <v>15592</v>
      </c>
      <c r="C6053" s="5" t="s">
        <v>23251</v>
      </c>
      <c r="D6053" s="5" t="str">
        <v>701734355872</v>
      </c>
      <c r="F6053" s="5"/>
      <c r="G6053" s="5"/>
      <c r="H6053" s="26">
        <v>2</v>
      </c>
      <c r="I6053" s="5" t="s">
        <v>43058</v>
      </c>
      <c r="J6053" s="5" t="s">
        <v>25337</v>
      </c>
      <c r="K6053" s="5" t="s">
        <v>355</v>
      </c>
      <c r="L6053" s="5"/>
      <c r="M6053" s="27">
        <v>32562890</v>
      </c>
      <c r="N6053" s="5"/>
      <c r="O6053" s="5" t="str">
        <v>7802888337</v>
      </c>
      <c r="P6053" s="27">
        <v>10000</v>
      </c>
      <c r="Q6053" s="5" t="s">
        <v>49059</v>
      </c>
      <c r="R6053" s="5"/>
      <c r="S6053" s="5" t="s">
        <v>58435</v>
      </c>
      <c r="T6053" s="28">
        <v>10044000</v>
      </c>
      <c r="U6053" s="28"/>
      <c r="V6053" s="28">
        <v>57406774000</v>
      </c>
      <c r="W6053" s="28">
        <v>7432121000</v>
      </c>
      <c r="X6053" s="28">
        <v>1355839000</v>
      </c>
      <c r="Y6053" s="28">
        <v>69126433000</v>
      </c>
      <c r="Z6053" s="28">
        <v>76339000</v>
      </c>
      <c r="AA6053" s="28">
        <v>17220000000</v>
      </c>
      <c r="AB6053" s="28">
        <v>250209000</v>
      </c>
      <c r="AC6053" s="28">
        <v>51801532000</v>
      </c>
      <c r="AD6053" s="28">
        <v>76349000</v>
      </c>
      <c r="AE6053" s="28">
        <v>143929083000</v>
      </c>
      <c r="AF6053" s="28">
        <v>18857000</v>
      </c>
      <c r="AG6053" s="11"/>
    </row>
    <row r="6054">
      <c r="A6054" s="7" t="s">
        <v>7648</v>
      </c>
      <c r="B6054" s="5" t="s">
        <v>15593</v>
      </c>
      <c r="C6054" s="5" t="s">
        <v>23252</v>
      </c>
      <c r="D6054" s="5" t="str">
        <v>780615335273</v>
      </c>
      <c r="E6054" s="0" t="e">
        <f>+7 (3432) 786044
+7 (381) 2534991
+7 (383) 2205034
+7 (499) 7120078
+7 (499) 7120079
+7 (800) 3330089
+7 (812) 3274352
+7 (812) 3274472
+7 (812) 3274473
+7 (8432) 120275
+7 (8432) 726491
+7 (846) 2059933
+7 (846) 2059944
+7 (846) 2070772
+7 (861) 2034112</f>
        <v>#NAME?</v>
      </c>
      <c r="F6054" s="5" t="s">
        <v>43059</v>
      </c>
      <c r="G6054" s="5" t="s">
        <v>43060</v>
      </c>
      <c r="H6054" s="26">
        <v>23.5</v>
      </c>
      <c r="I6054" s="5" t="s">
        <v>43061</v>
      </c>
      <c r="J6054" s="5" t="s">
        <v>31043</v>
      </c>
      <c r="K6054" s="5" t="s">
        <v>344</v>
      </c>
      <c r="L6054" s="5" t="s">
        <v>43062</v>
      </c>
      <c r="M6054" s="27">
        <v>40000</v>
      </c>
      <c r="N6054" s="5"/>
      <c r="O6054" s="5" t="str">
        <v>7806100363</v>
      </c>
      <c r="P6054" s="27">
        <v>20000</v>
      </c>
      <c r="Q6054" s="5" t="s">
        <v>49009</v>
      </c>
      <c r="R6054" s="5"/>
      <c r="S6054" s="5" t="s">
        <v>49010</v>
      </c>
      <c r="T6054" s="28">
        <v>68307000</v>
      </c>
      <c r="U6054" s="28">
        <v>406000</v>
      </c>
      <c r="V6054" s="28">
        <v>1469175000</v>
      </c>
      <c r="W6054" s="28">
        <v>182095000</v>
      </c>
      <c r="X6054" s="28">
        <v>5633000</v>
      </c>
      <c r="Y6054" s="28">
        <v>3622263000</v>
      </c>
      <c r="Z6054" s="28">
        <v>2163534000</v>
      </c>
      <c r="AA6054" s="28"/>
      <c r="AB6054" s="28">
        <v>484837000</v>
      </c>
      <c r="AC6054" s="28">
        <v>1450378000</v>
      </c>
      <c r="AD6054" s="28">
        <v>2163554000</v>
      </c>
      <c r="AE6054" s="28">
        <v>9121933000</v>
      </c>
      <c r="AF6054" s="28">
        <v>682182000</v>
      </c>
      <c r="AG6054" s="11"/>
    </row>
    <row r="6055">
      <c r="A6055" s="7" t="s">
        <v>7649</v>
      </c>
      <c r="B6055" s="5" t="s">
        <v>15594</v>
      </c>
      <c r="C6055" s="5" t="s">
        <v>21482</v>
      </c>
      <c r="D6055" s="5"/>
      <c r="E6055" s="0" t="e">
        <f>+7 (495) 4190444
+7 (495) 4190990
+7 (495) 6431833
+7 (495) 6431838
+7 (495) 7804977</f>
        <v>#NAME?</v>
      </c>
      <c r="F6055" s="5" t="s">
        <v>43063</v>
      </c>
      <c r="G6055" s="5" t="s">
        <v>43064</v>
      </c>
      <c r="H6055" s="26">
        <v>5.5</v>
      </c>
      <c r="I6055" s="5" t="s">
        <v>43065</v>
      </c>
      <c r="J6055" s="5" t="s">
        <v>26251</v>
      </c>
      <c r="K6055" s="5" t="s">
        <v>344</v>
      </c>
      <c r="L6055" s="5" t="s">
        <v>31044</v>
      </c>
      <c r="M6055" s="27"/>
      <c r="N6055" s="5"/>
      <c r="O6055" s="5" t="str">
        <v>7743223257</v>
      </c>
      <c r="P6055" s="27">
        <v>25000</v>
      </c>
      <c r="Q6055" s="5" t="s">
        <v>49009</v>
      </c>
      <c r="R6055" s="5" t="s">
        <v>58436</v>
      </c>
      <c r="S6055" s="5" t="s">
        <v>49408</v>
      </c>
      <c r="T6055" s="28">
        <v>197615000</v>
      </c>
      <c r="U6055" s="28"/>
      <c r="V6055" s="28">
        <v>1480888000</v>
      </c>
      <c r="W6055" s="28"/>
      <c r="X6055" s="28">
        <v>307606000</v>
      </c>
      <c r="Y6055" s="28">
        <v>3185332000</v>
      </c>
      <c r="Z6055" s="28">
        <v>909857000</v>
      </c>
      <c r="AA6055" s="28"/>
      <c r="AB6055" s="28">
        <v>495420000</v>
      </c>
      <c r="AC6055" s="28">
        <v>2243758000</v>
      </c>
      <c r="AD6055" s="28">
        <v>941574000</v>
      </c>
      <c r="AE6055" s="28">
        <v>9303381000</v>
      </c>
      <c r="AF6055" s="28">
        <v>612656000</v>
      </c>
      <c r="AG6055" s="11"/>
    </row>
    <row r="6056">
      <c r="A6056" s="7" t="s">
        <v>7650</v>
      </c>
      <c r="B6056" s="5" t="s">
        <v>15595</v>
      </c>
      <c r="C6056" s="5" t="s">
        <v>23253</v>
      </c>
      <c r="D6056" s="5" t="str">
        <v>773465076989</v>
      </c>
      <c r="E6056" s="0" t="e">
        <f>+7 (495) 9378720
+7 (495) 9378758
+7 (495) 4305157
+7 (495) 7827812
+7 (495) 9378733
+7 (495) 9378737
+7 (495) 9378751
+7 (495) 9378760
+7 (495) 9378773
+7 (495) 9378777
+7 (499) 5213631
+7 (800) 7071509
+7 (800) 7707837</f>
        <v>#NAME?</v>
      </c>
      <c r="F6056" s="5" t="s">
        <v>43066</v>
      </c>
      <c r="G6056" s="5" t="s">
        <v>31937</v>
      </c>
      <c r="H6056" s="26">
        <v>26.5</v>
      </c>
      <c r="I6056" s="5"/>
      <c r="J6056" s="5" t="s">
        <v>39850</v>
      </c>
      <c r="K6056" s="5" t="s">
        <v>344</v>
      </c>
      <c r="L6056" s="5" t="s">
        <v>43067</v>
      </c>
      <c r="M6056" s="27">
        <v>7502116</v>
      </c>
      <c r="N6056" s="5" t="s">
        <v>58437</v>
      </c>
      <c r="O6056" s="5" t="str">
        <v>7712092205</v>
      </c>
      <c r="P6056" s="27">
        <v>1000000</v>
      </c>
      <c r="Q6056" s="5" t="s">
        <v>49009</v>
      </c>
      <c r="R6056" s="5"/>
      <c r="S6056" s="5" t="s">
        <v>49487</v>
      </c>
      <c r="T6056" s="28">
        <v>1922855000</v>
      </c>
      <c r="U6056" s="28">
        <v>310892000</v>
      </c>
      <c r="V6056" s="28">
        <v>2433350000</v>
      </c>
      <c r="W6056" s="28"/>
      <c r="X6056" s="28">
        <v>5869000</v>
      </c>
      <c r="Y6056" s="28">
        <v>7466014000</v>
      </c>
      <c r="Z6056" s="28">
        <v>1501913000</v>
      </c>
      <c r="AA6056" s="28">
        <v>3294000000</v>
      </c>
      <c r="AB6056" s="28">
        <v>580749000</v>
      </c>
      <c r="AC6056" s="28">
        <v>1824642000</v>
      </c>
      <c r="AD6056" s="28">
        <v>2094861000</v>
      </c>
      <c r="AE6056" s="28">
        <v>16237659000</v>
      </c>
      <c r="AF6056" s="28">
        <v>221903000</v>
      </c>
      <c r="AG6056" s="11"/>
    </row>
    <row r="6057">
      <c r="A6057" s="7" t="s">
        <v>7651</v>
      </c>
      <c r="B6057" s="5" t="s">
        <v>15596</v>
      </c>
      <c r="C6057" s="5" t="s">
        <v>23254</v>
      </c>
      <c r="D6057" s="5" t="str">
        <v>501302752700</v>
      </c>
      <c r="E6057" s="0" t="e">
        <f>+7 (495) 4199779
+7 (495) 1627437
+7 (495) 6274371
+7 (495) 9336801
+7 (499) 1620880
+7 (499) 1620980
+7 (499) 1621228
+7 (499) 1627437
+7 (499) 1629530
+7 (925) 8045503</f>
        <v>#NAME?</v>
      </c>
      <c r="F6057" s="5" t="s">
        <v>43068</v>
      </c>
      <c r="G6057" s="5"/>
      <c r="H6057" s="26">
        <v>31</v>
      </c>
      <c r="I6057" s="5" t="s">
        <v>43069</v>
      </c>
      <c r="J6057" s="5" t="s">
        <v>27983</v>
      </c>
      <c r="K6057" s="5" t="s">
        <v>344</v>
      </c>
      <c r="L6057" s="5" t="s">
        <v>43070</v>
      </c>
      <c r="M6057" s="27">
        <v>3309893</v>
      </c>
      <c r="N6057" s="5" t="s">
        <v>58438</v>
      </c>
      <c r="O6057" s="5" t="str">
        <v>7718017941</v>
      </c>
      <c r="P6057" s="27">
        <v>1150000</v>
      </c>
      <c r="Q6057" s="5" t="s">
        <v>58439</v>
      </c>
      <c r="R6057" s="5"/>
      <c r="S6057" s="5" t="s">
        <v>58440</v>
      </c>
      <c r="T6057" s="28">
        <v>60808000</v>
      </c>
      <c r="U6057" s="28"/>
      <c r="V6057" s="28">
        <v>181078000</v>
      </c>
      <c r="W6057" s="28"/>
      <c r="X6057" s="28">
        <v>13466000</v>
      </c>
      <c r="Y6057" s="28">
        <v>1999843000</v>
      </c>
      <c r="Z6057" s="28">
        <v>1236052000</v>
      </c>
      <c r="AA6057" s="28"/>
      <c r="AB6057" s="28">
        <v>352689000</v>
      </c>
      <c r="AC6057" s="28">
        <v>762641000</v>
      </c>
      <c r="AD6057" s="28">
        <v>1237202000</v>
      </c>
      <c r="AE6057" s="28">
        <v>3145983000</v>
      </c>
      <c r="AF6057" s="28">
        <v>266610000</v>
      </c>
      <c r="AG6057" s="11"/>
    </row>
    <row r="6058">
      <c r="A6058" s="7" t="s">
        <v>7652</v>
      </c>
      <c r="B6058" s="5" t="s">
        <v>15597</v>
      </c>
      <c r="C6058" s="5" t="s">
        <v>23255</v>
      </c>
      <c r="D6058" s="5" t="str">
        <v>281201836033</v>
      </c>
      <c r="E6058" s="0" t="e">
        <f>+7 (416) 2354150
+7 (800) 3506359
+7 (924) 6751170</f>
        <v>#NAME?</v>
      </c>
      <c r="F6058" s="5" t="s">
        <v>43071</v>
      </c>
      <c r="G6058" s="5" t="s">
        <v>43072</v>
      </c>
      <c r="H6058" s="26">
        <v>11.5</v>
      </c>
      <c r="I6058" s="5" t="s">
        <v>43073</v>
      </c>
      <c r="J6058" s="5" t="s">
        <v>43074</v>
      </c>
      <c r="K6058" s="5" t="s">
        <v>355</v>
      </c>
      <c r="L6058" s="5" t="s">
        <v>36837</v>
      </c>
      <c r="M6058" s="27">
        <v>59408000</v>
      </c>
      <c r="N6058" s="5"/>
      <c r="O6058" s="5" t="str">
        <v>2801163890</v>
      </c>
      <c r="P6058" s="27">
        <v>122235574</v>
      </c>
      <c r="Q6058" s="5" t="s">
        <v>49009</v>
      </c>
      <c r="R6058" s="5"/>
      <c r="S6058" s="5" t="s">
        <v>54658</v>
      </c>
      <c r="T6058" s="28">
        <v>749312000</v>
      </c>
      <c r="U6058" s="28"/>
      <c r="V6058" s="28">
        <v>811266000</v>
      </c>
      <c r="W6058" s="28"/>
      <c r="X6058" s="28">
        <v>43158000</v>
      </c>
      <c r="Y6058" s="28">
        <v>2551150000</v>
      </c>
      <c r="Z6058" s="28">
        <v>382356000</v>
      </c>
      <c r="AA6058" s="28">
        <v>286407000</v>
      </c>
      <c r="AB6058" s="28">
        <v>1100000000</v>
      </c>
      <c r="AC6058" s="28">
        <v>1843653000</v>
      </c>
      <c r="AD6058" s="28">
        <v>382366000</v>
      </c>
      <c r="AE6058" s="28">
        <v>4665335000</v>
      </c>
      <c r="AF6058" s="28">
        <v>99645000</v>
      </c>
      <c r="AG6058" s="11"/>
    </row>
    <row r="6059">
      <c r="A6059" s="7" t="s">
        <v>7653</v>
      </c>
      <c r="B6059" s="5" t="s">
        <v>15598</v>
      </c>
      <c r="C6059" s="5" t="s">
        <v>23256</v>
      </c>
      <c r="D6059" s="5" t="str">
        <v>502707082051</v>
      </c>
      <c r="E6059" s="0" t="e">
        <f>+7 (495) 6265116
+7 (495) 6265118</f>
        <v>#NAME?</v>
      </c>
      <c r="F6059" s="5" t="s">
        <v>43075</v>
      </c>
      <c r="G6059" s="5" t="s">
        <v>43076</v>
      </c>
      <c r="H6059" s="26">
        <v>27.5</v>
      </c>
      <c r="I6059" s="5" t="s">
        <v>43077</v>
      </c>
      <c r="J6059" s="5" t="s">
        <v>467</v>
      </c>
      <c r="K6059" s="5" t="s">
        <v>344</v>
      </c>
      <c r="L6059" s="5" t="s">
        <v>43078</v>
      </c>
      <c r="M6059" s="27"/>
      <c r="N6059" s="5" t="s">
        <v>53994</v>
      </c>
      <c r="O6059" s="5" t="str">
        <v>7716106272</v>
      </c>
      <c r="P6059" s="27">
        <v>20000000</v>
      </c>
      <c r="Q6059" s="5" t="s">
        <v>58441</v>
      </c>
      <c r="R6059" s="5"/>
      <c r="S6059" s="5" t="s">
        <v>57715</v>
      </c>
      <c r="T6059" s="28">
        <v>703337000</v>
      </c>
      <c r="U6059" s="28">
        <v>97775000</v>
      </c>
      <c r="V6059" s="28">
        <v>370095000</v>
      </c>
      <c r="W6059" s="28">
        <v>19100000</v>
      </c>
      <c r="X6059" s="28">
        <v>2464389000</v>
      </c>
      <c r="Y6059" s="28">
        <v>4280430000</v>
      </c>
      <c r="Z6059" s="28">
        <v>3341181000</v>
      </c>
      <c r="AA6059" s="28"/>
      <c r="AB6059" s="28"/>
      <c r="AC6059" s="28">
        <v>917626000</v>
      </c>
      <c r="AD6059" s="28">
        <v>3361431000</v>
      </c>
      <c r="AE6059" s="28">
        <v>4887419000</v>
      </c>
      <c r="AF6059" s="28">
        <v>578764000</v>
      </c>
      <c r="AG6059" s="11"/>
    </row>
    <row r="6060">
      <c r="A6060" s="7" t="s">
        <v>7654</v>
      </c>
      <c r="B6060" s="5" t="s">
        <v>15599</v>
      </c>
      <c r="C6060" s="5" t="s">
        <v>23257</v>
      </c>
      <c r="D6060" s="5" t="str">
        <v>500900969627</v>
      </c>
      <c r="E6060" s="0" t="e">
        <f>+7 (495) 7213370
+7 (495) 7213390
+7 (495) 7253388
+7 (916) 1308654
+7 (985) 7644281
+7 (495) 2210033
+7 (495) 2210055
+7 (495) 2210099
+7 (495) 7213388
+7 (495) 7253344
+7 (495) 7253355
+7 (495) 7293349</f>
        <v>#NAME?</v>
      </c>
      <c r="F6060" s="5" t="s">
        <v>43079</v>
      </c>
      <c r="G6060" s="5" t="s">
        <v>43080</v>
      </c>
      <c r="H6060" s="26">
        <v>31</v>
      </c>
      <c r="I6060" s="5" t="s">
        <v>43081</v>
      </c>
      <c r="J6060" s="5" t="s">
        <v>397</v>
      </c>
      <c r="K6060" s="5" t="s">
        <v>344</v>
      </c>
      <c r="L6060" s="5" t="s">
        <v>43082</v>
      </c>
      <c r="M6060" s="27">
        <v>2229527</v>
      </c>
      <c r="N6060" s="5" t="s">
        <v>58442</v>
      </c>
      <c r="O6060" s="5" t="str">
        <v>7705040943</v>
      </c>
      <c r="P6060" s="27">
        <v>700826533</v>
      </c>
      <c r="Q6060" s="5" t="s">
        <v>58443</v>
      </c>
      <c r="R6060" s="5"/>
      <c r="S6060" s="5" t="s">
        <v>54263</v>
      </c>
      <c r="T6060" s="28">
        <v>2256671000</v>
      </c>
      <c r="U6060" s="28">
        <v>1872920000</v>
      </c>
      <c r="V6060" s="28">
        <v>393788000</v>
      </c>
      <c r="W6060" s="28">
        <v>1439771000</v>
      </c>
      <c r="X6060" s="28">
        <v>4428823000</v>
      </c>
      <c r="Y6060" s="28">
        <v>12729495000</v>
      </c>
      <c r="Z6060" s="28">
        <v>9544562000</v>
      </c>
      <c r="AA6060" s="28"/>
      <c r="AB6060" s="28">
        <v>1331001000</v>
      </c>
      <c r="AC6060" s="28">
        <v>1957960000</v>
      </c>
      <c r="AD6060" s="28">
        <v>10260705000</v>
      </c>
      <c r="AE6060" s="28">
        <v>16751909000</v>
      </c>
      <c r="AF6060" s="28">
        <v>2104237000</v>
      </c>
      <c r="AG6060" s="11"/>
    </row>
    <row r="6061">
      <c r="A6061" s="7" t="s">
        <v>7655</v>
      </c>
      <c r="B6061" s="5" t="s">
        <v>15600</v>
      </c>
      <c r="C6061" s="5" t="s">
        <v>23258</v>
      </c>
      <c r="D6061" s="5" t="str">
        <v>732502663243</v>
      </c>
      <c r="E6061" s="0" t="e">
        <f>+7 (842) 2240241
+7 (842) 2240260
+7 (8422) 240240
+7 (8422) 240257
+7 (8422) 240270
+7 (8422) 246567
+7 (8422) 342244
+7 (8422) 342245
+7 (8422) 614160</f>
        <v>#NAME?</v>
      </c>
      <c r="F6061" s="5" t="s">
        <v>43083</v>
      </c>
      <c r="G6061" s="5" t="s">
        <v>43084</v>
      </c>
      <c r="H6061" s="26">
        <v>21.5</v>
      </c>
      <c r="I6061" s="5" t="s">
        <v>43085</v>
      </c>
      <c r="J6061" s="5" t="s">
        <v>947</v>
      </c>
      <c r="K6061" s="5" t="s">
        <v>344</v>
      </c>
      <c r="L6061" s="5"/>
      <c r="M6061" s="27">
        <v>30231793</v>
      </c>
      <c r="N6061" s="5" t="s">
        <v>58444</v>
      </c>
      <c r="O6061" s="5" t="str">
        <v>7326005335</v>
      </c>
      <c r="P6061" s="27">
        <v>90200000</v>
      </c>
      <c r="Q6061" s="5" t="s">
        <v>58445</v>
      </c>
      <c r="R6061" s="5" t="s">
        <v>58446</v>
      </c>
      <c r="S6061" s="5" t="s">
        <v>49227</v>
      </c>
      <c r="T6061" s="28">
        <v>537620000</v>
      </c>
      <c r="U6061" s="28">
        <v>22000</v>
      </c>
      <c r="V6061" s="28">
        <v>1798778000</v>
      </c>
      <c r="W6061" s="28">
        <v>1368996000</v>
      </c>
      <c r="X6061" s="28">
        <v>305320000</v>
      </c>
      <c r="Y6061" s="28">
        <v>5070351000</v>
      </c>
      <c r="Z6061" s="28">
        <v>3269785000</v>
      </c>
      <c r="AA6061" s="28"/>
      <c r="AB6061" s="28"/>
      <c r="AC6061" s="28">
        <v>1636060000</v>
      </c>
      <c r="AD6061" s="28">
        <v>3373515000</v>
      </c>
      <c r="AE6061" s="28">
        <v>5354853000</v>
      </c>
      <c r="AF6061" s="28">
        <v>279491000</v>
      </c>
      <c r="AG6061" s="11"/>
    </row>
    <row r="6062">
      <c r="A6062" s="7" t="s">
        <v>7656</v>
      </c>
      <c r="B6062" s="5" t="s">
        <v>15601</v>
      </c>
      <c r="C6062" s="5" t="s">
        <v>23259</v>
      </c>
      <c r="D6062" s="5" t="str">
        <v>632209571414</v>
      </c>
      <c r="E6062" s="0" t="e">
        <f>+7 (8482) 249037
+7 (8482) 566037
+7 (8482) 566038
+7 (8482) 566039
+7 (8482) 566136
+7 (8482) 566137</f>
        <v>#NAME?</v>
      </c>
      <c r="F6062" s="5" t="s">
        <v>43086</v>
      </c>
      <c r="G6062" s="5"/>
      <c r="H6062" s="26">
        <v>7.5</v>
      </c>
      <c r="I6062" s="5" t="s">
        <v>43087</v>
      </c>
      <c r="J6062" s="5" t="s">
        <v>25275</v>
      </c>
      <c r="K6062" s="5" t="s">
        <v>344</v>
      </c>
      <c r="L6062" s="5" t="s">
        <v>43088</v>
      </c>
      <c r="M6062" s="27"/>
      <c r="N6062" s="5"/>
      <c r="O6062" s="5" t="str">
        <v>6324062946</v>
      </c>
      <c r="P6062" s="27">
        <v>777400000</v>
      </c>
      <c r="Q6062" s="5"/>
      <c r="R6062" s="5"/>
      <c r="S6062" s="5" t="s">
        <v>49029</v>
      </c>
      <c r="T6062" s="28">
        <v>748478000</v>
      </c>
      <c r="U6062" s="28"/>
      <c r="V6062" s="28">
        <v>282899000</v>
      </c>
      <c r="W6062" s="28"/>
      <c r="X6062" s="28">
        <v>9284000</v>
      </c>
      <c r="Y6062" s="28">
        <v>1061816000</v>
      </c>
      <c r="Z6062" s="28">
        <v>40435000</v>
      </c>
      <c r="AA6062" s="28"/>
      <c r="AB6062" s="28"/>
      <c r="AC6062" s="28">
        <v>243978000</v>
      </c>
      <c r="AD6062" s="28">
        <v>817835000</v>
      </c>
      <c r="AE6062" s="28">
        <v>3083655000</v>
      </c>
      <c r="AF6062" s="28">
        <v>58434000</v>
      </c>
      <c r="AG6062" s="11"/>
    </row>
    <row r="6063">
      <c r="A6063" s="7" t="s">
        <v>7657</v>
      </c>
      <c r="B6063" s="5" t="s">
        <v>15602</v>
      </c>
      <c r="C6063" s="5" t="s">
        <v>23260</v>
      </c>
      <c r="D6063" s="5" t="str">
        <v>860311221066</v>
      </c>
      <c r="E6063" s="0" t="e">
        <f>+7 (3463) 205311
+7 (3463) 205312
+7 (3463) 205316
+7 (3463) 205317
+7 (3463) 205320
+7 (3466) 424160
+7 (3466) 424436
+7 (3466) 425452
+7 (3466) 428429
+7 (34663) 40270
+7 (3467) 135486</f>
        <v>#NAME?</v>
      </c>
      <c r="F6063" s="5" t="s">
        <v>43089</v>
      </c>
      <c r="G6063" s="5"/>
      <c r="H6063" s="26">
        <v>25.5</v>
      </c>
      <c r="I6063" s="5"/>
      <c r="J6063" s="5" t="s">
        <v>26799</v>
      </c>
      <c r="K6063" s="5" t="s">
        <v>355</v>
      </c>
      <c r="L6063" s="5" t="s">
        <v>43090</v>
      </c>
      <c r="M6063" s="27"/>
      <c r="N6063" s="5" t="s">
        <v>50480</v>
      </c>
      <c r="O6063" s="5" t="str">
        <v>8620006279</v>
      </c>
      <c r="P6063" s="27">
        <v>1320000</v>
      </c>
      <c r="Q6063" s="5" t="s">
        <v>58447</v>
      </c>
      <c r="R6063" s="5"/>
      <c r="S6063" s="5" t="s">
        <v>55225</v>
      </c>
      <c r="T6063" s="28">
        <v>4469712000</v>
      </c>
      <c r="U6063" s="28">
        <v>12350000</v>
      </c>
      <c r="V6063" s="28">
        <v>6134022000</v>
      </c>
      <c r="W6063" s="28">
        <v>664500000</v>
      </c>
      <c r="X6063" s="28">
        <v>966597000</v>
      </c>
      <c r="Y6063" s="28">
        <v>15616644000</v>
      </c>
      <c r="Z6063" s="28">
        <v>5623753000</v>
      </c>
      <c r="AA6063" s="28"/>
      <c r="AB6063" s="28">
        <v>183695000</v>
      </c>
      <c r="AC6063" s="28">
        <v>8560091000</v>
      </c>
      <c r="AD6063" s="28">
        <v>5665490000</v>
      </c>
      <c r="AE6063" s="28">
        <v>21909514000</v>
      </c>
      <c r="AF6063" s="28">
        <v>2385658000</v>
      </c>
      <c r="AG6063" s="11"/>
    </row>
    <row r="6064">
      <c r="A6064" s="7" t="s">
        <v>7658</v>
      </c>
      <c r="B6064" s="5" t="s">
        <v>15603</v>
      </c>
      <c r="C6064" s="5" t="s">
        <v>23261</v>
      </c>
      <c r="D6064" s="5" t="str">
        <v>502407412767</v>
      </c>
      <c r="E6064" s="0" t="e">
        <f>+7 (903) 2872523
+7 (495) 1202111
+7 (495) 3214108
+7 (495) 5002104
+7 (499) 7283002
+7 (903) 33039</f>
        <v>#NAME?</v>
      </c>
      <c r="F6064" s="5" t="s">
        <v>43091</v>
      </c>
      <c r="G6064" s="5" t="s">
        <v>43092</v>
      </c>
      <c r="H6064" s="26">
        <v>19.5</v>
      </c>
      <c r="I6064" s="5" t="s">
        <v>43093</v>
      </c>
      <c r="J6064" s="5" t="s">
        <v>897</v>
      </c>
      <c r="K6064" s="5" t="s">
        <v>344</v>
      </c>
      <c r="L6064" s="5" t="s">
        <v>43094</v>
      </c>
      <c r="M6064" s="27"/>
      <c r="N6064" s="5" t="s">
        <v>58448</v>
      </c>
      <c r="O6064" s="5" t="str">
        <v>7726334528</v>
      </c>
      <c r="P6064" s="27">
        <v>1000000</v>
      </c>
      <c r="Q6064" s="5" t="s">
        <v>58449</v>
      </c>
      <c r="R6064" s="5"/>
      <c r="S6064" s="5" t="s">
        <v>58450</v>
      </c>
      <c r="T6064" s="28">
        <v>66821000</v>
      </c>
      <c r="U6064" s="28">
        <v>635500000</v>
      </c>
      <c r="V6064" s="28">
        <v>971775000</v>
      </c>
      <c r="W6064" s="28"/>
      <c r="X6064" s="28">
        <v>190168000</v>
      </c>
      <c r="Y6064" s="28">
        <v>2005479000</v>
      </c>
      <c r="Z6064" s="28">
        <v>1120306000</v>
      </c>
      <c r="AA6064" s="28">
        <v>200000000</v>
      </c>
      <c r="AB6064" s="28">
        <v>51185000</v>
      </c>
      <c r="AC6064" s="28">
        <v>639477000</v>
      </c>
      <c r="AD6064" s="28">
        <v>1121308000</v>
      </c>
      <c r="AE6064" s="28">
        <v>3860064000</v>
      </c>
      <c r="AF6064" s="28">
        <v>498982000</v>
      </c>
      <c r="AG6064" s="11"/>
    </row>
    <row r="6065">
      <c r="A6065" s="7" t="s">
        <v>7659</v>
      </c>
      <c r="B6065" s="5" t="s">
        <v>15604</v>
      </c>
      <c r="C6065" s="5" t="s">
        <v>23262</v>
      </c>
      <c r="D6065" s="5" t="str">
        <v>020504192632</v>
      </c>
      <c r="E6065" s="0" t="e">
        <f>+7 (34745) 20461
+7 (34745) 20471
+7 (34745) 24475
+7 (34745) 27122
+7 (34745) 27143
+7 (34745) 27145
+7 (34745) 27146
+7 (34745) 27817
+7 (34745) 27822
+7 (34745) 29151
+7 (965) 6690899
+7 (987) 2552025</f>
        <v>#NAME?</v>
      </c>
      <c r="F6065" s="5" t="s">
        <v>43095</v>
      </c>
      <c r="G6065" s="5"/>
      <c r="H6065" s="26">
        <v>29.5</v>
      </c>
      <c r="I6065" s="5" t="s">
        <v>43096</v>
      </c>
      <c r="J6065" s="5" t="s">
        <v>725</v>
      </c>
      <c r="K6065" s="5" t="s">
        <v>355</v>
      </c>
      <c r="L6065" s="5" t="s">
        <v>43097</v>
      </c>
      <c r="M6065" s="27">
        <v>15531455</v>
      </c>
      <c r="N6065" s="5" t="s">
        <v>58451</v>
      </c>
      <c r="O6065" s="5" t="str">
        <v>0205008145</v>
      </c>
      <c r="P6065" s="27">
        <v>48607</v>
      </c>
      <c r="Q6065" s="5" t="s">
        <v>49059</v>
      </c>
      <c r="R6065" s="5"/>
      <c r="S6065" s="5" t="s">
        <v>56304</v>
      </c>
      <c r="T6065" s="28">
        <v>3437391000</v>
      </c>
      <c r="U6065" s="28">
        <v>1802979000</v>
      </c>
      <c r="V6065" s="28">
        <v>1786411000</v>
      </c>
      <c r="W6065" s="28">
        <v>396434000</v>
      </c>
      <c r="X6065" s="28">
        <v>5821000</v>
      </c>
      <c r="Y6065" s="28">
        <v>9960071000</v>
      </c>
      <c r="Z6065" s="28">
        <v>5057438000</v>
      </c>
      <c r="AA6065" s="28">
        <v>2806844000</v>
      </c>
      <c r="AB6065" s="28">
        <v>1354319000</v>
      </c>
      <c r="AC6065" s="28">
        <v>1920349000</v>
      </c>
      <c r="AD6065" s="28">
        <v>5118155000</v>
      </c>
      <c r="AE6065" s="28">
        <v>3610164000</v>
      </c>
      <c r="AF6065" s="28">
        <v>938421000</v>
      </c>
      <c r="AG6065" s="11"/>
    </row>
    <row r="6066">
      <c r="A6066" s="7" t="s">
        <v>7660</v>
      </c>
      <c r="B6066" s="5" t="s">
        <v>15605</v>
      </c>
      <c r="C6066" s="5" t="s">
        <v>23263</v>
      </c>
      <c r="D6066" s="5"/>
      <c r="E6066" s="0" t="e">
        <f>+7 (382) 2564908
+7 (382) 2565050</f>
        <v>#NAME?</v>
      </c>
      <c r="F6066" s="5" t="s">
        <v>43098</v>
      </c>
      <c r="G6066" s="5"/>
      <c r="H6066" s="26">
        <v>9</v>
      </c>
      <c r="I6066" s="5" t="s">
        <v>43099</v>
      </c>
      <c r="J6066" s="5" t="s">
        <v>25738</v>
      </c>
      <c r="K6066" s="5" t="s">
        <v>344</v>
      </c>
      <c r="L6066" s="5" t="s">
        <v>43100</v>
      </c>
      <c r="M6066" s="27"/>
      <c r="N6066" s="5" t="s">
        <v>58452</v>
      </c>
      <c r="O6066" s="5" t="str">
        <v>7017353631</v>
      </c>
      <c r="P6066" s="27">
        <v>10000</v>
      </c>
      <c r="Q6066" s="5" t="s">
        <v>49009</v>
      </c>
      <c r="R6066" s="5"/>
      <c r="S6066" s="5" t="s">
        <v>49010</v>
      </c>
      <c r="T6066" s="28">
        <v>384644000</v>
      </c>
      <c r="U6066" s="28">
        <v>201803000</v>
      </c>
      <c r="V6066" s="28">
        <v>95307000</v>
      </c>
      <c r="W6066" s="28"/>
      <c r="X6066" s="28">
        <v>10893000</v>
      </c>
      <c r="Y6066" s="28">
        <v>1132591000</v>
      </c>
      <c r="Z6066" s="28">
        <v>222698000</v>
      </c>
      <c r="AA6066" s="28">
        <v>25679000</v>
      </c>
      <c r="AB6066" s="28">
        <v>73356000</v>
      </c>
      <c r="AC6066" s="28">
        <v>457656000</v>
      </c>
      <c r="AD6066" s="28">
        <v>252078000</v>
      </c>
      <c r="AE6066" s="28">
        <v>3195776000</v>
      </c>
      <c r="AF6066" s="28">
        <v>257471000</v>
      </c>
      <c r="AG6066" s="11"/>
    </row>
    <row r="6067">
      <c r="A6067" s="7" t="s">
        <v>7661</v>
      </c>
      <c r="B6067" s="5" t="s">
        <v>15606</v>
      </c>
      <c r="C6067" s="5" t="s">
        <v>23264</v>
      </c>
      <c r="D6067" s="5" t="str">
        <v>525628448583</v>
      </c>
      <c r="E6067" s="0" t="e">
        <f>+7 (800) 5001329
+7 (800) 5004173
+7 (800) 5007204
+7 (831) 1578001
+7 (831) 2200722
+7 (831) 2621104
+7 (902) 7818418
+7 (920) 102524
+7 (930) 7054640
+7 (950) 3523384
+7 (950) 3528740
+7 (950) 3532948
+7 (951) 9015220
+7 (951) 9022109
+7 (951) 9045570</f>
        <v>#NAME?</v>
      </c>
      <c r="F6067" s="5"/>
      <c r="G6067" s="5"/>
      <c r="H6067" s="26">
        <v>17.5</v>
      </c>
      <c r="I6067" s="5" t="s">
        <v>43101</v>
      </c>
      <c r="J6067" s="5" t="s">
        <v>25219</v>
      </c>
      <c r="K6067" s="5" t="s">
        <v>344</v>
      </c>
      <c r="L6067" s="5" t="s">
        <v>43102</v>
      </c>
      <c r="M6067" s="27">
        <v>42142181</v>
      </c>
      <c r="N6067" s="5"/>
      <c r="O6067" s="5" t="str">
        <v>5258056945</v>
      </c>
      <c r="P6067" s="27">
        <v>1010000</v>
      </c>
      <c r="Q6067" s="5" t="s">
        <v>49009</v>
      </c>
      <c r="R6067" s="5"/>
      <c r="S6067" s="5" t="s">
        <v>49066</v>
      </c>
      <c r="T6067" s="28">
        <v>23834622000</v>
      </c>
      <c r="U6067" s="28">
        <v>224000</v>
      </c>
      <c r="V6067" s="28">
        <v>6408027000</v>
      </c>
      <c r="W6067" s="28"/>
      <c r="X6067" s="28">
        <v>1721842000</v>
      </c>
      <c r="Y6067" s="28">
        <v>49163298000</v>
      </c>
      <c r="Z6067" s="28">
        <v>833574000</v>
      </c>
      <c r="AA6067" s="28">
        <v>5460946000</v>
      </c>
      <c r="AB6067" s="28">
        <v>6391556000</v>
      </c>
      <c r="AC6067" s="28">
        <v>19559124000</v>
      </c>
      <c r="AD6067" s="28">
        <v>834584000</v>
      </c>
      <c r="AE6067" s="28">
        <v>96234813000</v>
      </c>
      <c r="AF6067" s="28">
        <v>148739000</v>
      </c>
      <c r="AG6067" s="11"/>
    </row>
    <row r="6068">
      <c r="A6068" s="7" t="s">
        <v>7662</v>
      </c>
      <c r="B6068" s="5" t="s">
        <v>15607</v>
      </c>
      <c r="C6068" s="5" t="s">
        <v>23265</v>
      </c>
      <c r="D6068" s="5" t="str">
        <v>711500067603</v>
      </c>
      <c r="E6068" s="0" t="e">
        <f>+7 (487) 2269079
+7 (487) 2315578
+7 (487) 2315908
+7 (487) 2365807
+7 (487) 2390030
+7 (487) 2390136
+7 (487) 2390151
+7 (487) 2390208
+7 (487) 2395807
+7 (800) 7707802
+7 (910) 9420203
+7 (963) 9316087</f>
        <v>#NAME?</v>
      </c>
      <c r="F6068" s="5" t="s">
        <v>43103</v>
      </c>
      <c r="G6068" s="5" t="s">
        <v>43104</v>
      </c>
      <c r="H6068" s="26">
        <v>18.5</v>
      </c>
      <c r="I6068" s="5" t="s">
        <v>43105</v>
      </c>
      <c r="J6068" s="5" t="s">
        <v>25219</v>
      </c>
      <c r="K6068" s="5" t="s">
        <v>344</v>
      </c>
      <c r="L6068" s="5" t="s">
        <v>26178</v>
      </c>
      <c r="M6068" s="27">
        <v>99789540</v>
      </c>
      <c r="N6068" s="5"/>
      <c r="O6068" s="5" t="str">
        <v>7104044982</v>
      </c>
      <c r="P6068" s="27">
        <v>1590000</v>
      </c>
      <c r="Q6068" s="5"/>
      <c r="R6068" s="5" t="s">
        <v>58453</v>
      </c>
      <c r="S6068" s="5" t="s">
        <v>49425</v>
      </c>
      <c r="T6068" s="28">
        <v>153044000</v>
      </c>
      <c r="U6068" s="28">
        <v>130916000</v>
      </c>
      <c r="V6068" s="28">
        <v>600246000</v>
      </c>
      <c r="W6068" s="28">
        <v>19529000</v>
      </c>
      <c r="X6068" s="28">
        <v>475387000</v>
      </c>
      <c r="Y6068" s="28">
        <v>5388173000</v>
      </c>
      <c r="Z6068" s="28">
        <v>321682000</v>
      </c>
      <c r="AA6068" s="28">
        <v>960565000</v>
      </c>
      <c r="AB6068" s="28">
        <v>1755601000</v>
      </c>
      <c r="AC6068" s="28">
        <v>4101961000</v>
      </c>
      <c r="AD6068" s="28">
        <v>323284000</v>
      </c>
      <c r="AE6068" s="28">
        <v>12183662000</v>
      </c>
      <c r="AF6068" s="28">
        <v>22051000</v>
      </c>
      <c r="AG6068" s="11"/>
    </row>
    <row r="6069">
      <c r="A6069" s="7" t="s">
        <v>7663</v>
      </c>
      <c r="B6069" s="5" t="s">
        <v>15608</v>
      </c>
      <c r="C6069" s="5" t="s">
        <v>23266</v>
      </c>
      <c r="D6069" s="5" t="str">
        <v>424700992055</v>
      </c>
      <c r="E6069" s="0" t="e">
        <f>+7 (382) 2306301
+7 (382) 2900950
+7 (913) 1120664
+7 (913) 8494977</f>
        <v>#NAME?</v>
      </c>
      <c r="F6069" s="5"/>
      <c r="G6069" s="5"/>
      <c r="H6069" s="26">
        <v>10</v>
      </c>
      <c r="I6069" s="5" t="s">
        <v>43106</v>
      </c>
      <c r="J6069" s="5" t="s">
        <v>25738</v>
      </c>
      <c r="K6069" s="5" t="s">
        <v>344</v>
      </c>
      <c r="L6069" s="5" t="s">
        <v>43107</v>
      </c>
      <c r="M6069" s="27"/>
      <c r="N6069" s="5"/>
      <c r="O6069" s="5" t="str">
        <v>7017326645</v>
      </c>
      <c r="P6069" s="27">
        <v>470000</v>
      </c>
      <c r="Q6069" s="5" t="s">
        <v>49009</v>
      </c>
      <c r="R6069" s="5" t="s">
        <v>58195</v>
      </c>
      <c r="S6069" s="5" t="s">
        <v>58454</v>
      </c>
      <c r="T6069" s="28">
        <v>1479798000</v>
      </c>
      <c r="U6069" s="28">
        <v>87186000</v>
      </c>
      <c r="V6069" s="28">
        <v>233830000</v>
      </c>
      <c r="W6069" s="28">
        <v>1468630000</v>
      </c>
      <c r="X6069" s="28">
        <v>136225000</v>
      </c>
      <c r="Y6069" s="28">
        <v>4060626000</v>
      </c>
      <c r="Z6069" s="28">
        <v>1114966000</v>
      </c>
      <c r="AA6069" s="28">
        <v>145168000</v>
      </c>
      <c r="AB6069" s="28">
        <v>44875000</v>
      </c>
      <c r="AC6069" s="28">
        <v>1146052000</v>
      </c>
      <c r="AD6069" s="28">
        <v>1115436000</v>
      </c>
      <c r="AE6069" s="28">
        <v>7215616000</v>
      </c>
      <c r="AF6069" s="28">
        <v>77085000</v>
      </c>
      <c r="AG6069" s="11"/>
    </row>
    <row r="6070">
      <c r="A6070" s="7" t="s">
        <v>7664</v>
      </c>
      <c r="B6070" s="5" t="s">
        <v>15609</v>
      </c>
      <c r="C6070" s="5" t="s">
        <v>23267</v>
      </c>
      <c r="D6070" s="5" t="str">
        <v>667479238275</v>
      </c>
      <c r="E6070" s="0" t="e">
        <f>+7 (343) 3890959
+7 (912) 2885283</f>
        <v>#NAME?</v>
      </c>
      <c r="F6070" s="5" t="s">
        <v>43108</v>
      </c>
      <c r="G6070" s="5"/>
      <c r="H6070" s="26">
        <v>9.5</v>
      </c>
      <c r="I6070" s="5" t="s">
        <v>43109</v>
      </c>
      <c r="J6070" s="5" t="s">
        <v>43110</v>
      </c>
      <c r="K6070" s="5" t="s">
        <v>344</v>
      </c>
      <c r="L6070" s="5" t="s">
        <v>43111</v>
      </c>
      <c r="M6070" s="27">
        <v>600826</v>
      </c>
      <c r="N6070" s="5" t="s">
        <v>58455</v>
      </c>
      <c r="O6070" s="5" t="str">
        <v>6679039841</v>
      </c>
      <c r="P6070" s="27">
        <v>1000000</v>
      </c>
      <c r="Q6070" s="5" t="s">
        <v>58456</v>
      </c>
      <c r="R6070" s="5" t="s">
        <v>58457</v>
      </c>
      <c r="S6070" s="5" t="s">
        <v>58458</v>
      </c>
      <c r="T6070" s="28">
        <v>249689000</v>
      </c>
      <c r="U6070" s="28"/>
      <c r="V6070" s="28">
        <v>582158000</v>
      </c>
      <c r="W6070" s="28">
        <v>143000000</v>
      </c>
      <c r="X6070" s="28">
        <v>16651000</v>
      </c>
      <c r="Y6070" s="28">
        <v>1451860000</v>
      </c>
      <c r="Z6070" s="28">
        <v>201054000</v>
      </c>
      <c r="AA6070" s="28"/>
      <c r="AB6070" s="28"/>
      <c r="AC6070" s="28">
        <v>1115862000</v>
      </c>
      <c r="AD6070" s="28">
        <v>202054000</v>
      </c>
      <c r="AE6070" s="28">
        <v>4927972000</v>
      </c>
      <c r="AF6070" s="28">
        <v>102027000</v>
      </c>
      <c r="AG6070" s="11"/>
    </row>
    <row r="6071">
      <c r="A6071" s="7" t="s">
        <v>7664</v>
      </c>
      <c r="B6071" s="5" t="s">
        <v>15610</v>
      </c>
      <c r="C6071" s="5" t="s">
        <v>23268</v>
      </c>
      <c r="D6071" s="5" t="str">
        <v>164900521156</v>
      </c>
      <c r="E6071" s="0" t="e">
        <f>+7 (3494) 280188
+7 (912) 719999</f>
        <v>#NAME?</v>
      </c>
      <c r="F6071" s="5" t="s">
        <v>43112</v>
      </c>
      <c r="G6071" s="5"/>
      <c r="H6071" s="26">
        <v>14.5</v>
      </c>
      <c r="I6071" s="5" t="s">
        <v>43113</v>
      </c>
      <c r="J6071" s="5" t="s">
        <v>976</v>
      </c>
      <c r="K6071" s="5" t="s">
        <v>355</v>
      </c>
      <c r="L6071" s="5" t="s">
        <v>43114</v>
      </c>
      <c r="M6071" s="27"/>
      <c r="N6071" s="5" t="s">
        <v>58459</v>
      </c>
      <c r="O6071" s="5" t="str">
        <v>1649016598</v>
      </c>
      <c r="P6071" s="27">
        <v>1000000</v>
      </c>
      <c r="Q6071" s="5" t="s">
        <v>58460</v>
      </c>
      <c r="R6071" s="5"/>
      <c r="S6071" s="5" t="s">
        <v>49496</v>
      </c>
      <c r="T6071" s="28">
        <v>549603000</v>
      </c>
      <c r="U6071" s="28"/>
      <c r="V6071" s="28">
        <v>288622000</v>
      </c>
      <c r="W6071" s="28">
        <v>312062000</v>
      </c>
      <c r="X6071" s="28">
        <v>2306000</v>
      </c>
      <c r="Y6071" s="28">
        <v>1274974000</v>
      </c>
      <c r="Z6071" s="28">
        <v>108665000</v>
      </c>
      <c r="AA6071" s="28"/>
      <c r="AB6071" s="28"/>
      <c r="AC6071" s="28">
        <v>1132026000</v>
      </c>
      <c r="AD6071" s="28">
        <v>109665000</v>
      </c>
      <c r="AE6071" s="28">
        <v>3327843000</v>
      </c>
      <c r="AF6071" s="28">
        <v>-751931000</v>
      </c>
      <c r="AG6071" s="11"/>
    </row>
    <row r="6072">
      <c r="A6072" s="7" t="s">
        <v>7664</v>
      </c>
      <c r="B6072" s="5" t="s">
        <v>14597</v>
      </c>
      <c r="C6072" s="5" t="s">
        <v>22320</v>
      </c>
      <c r="D6072" s="5" t="str">
        <v>352800217856</v>
      </c>
      <c r="E6072" s="0" t="e">
        <f>+7 (812) 3857533
+7 (963) 3532388
+7 (495) 7284527
+7 (8202) 201107
+7 (8202) 201308
+7 (8202) 201309
+7 (8202) 201508
+7 (8202) 201570
+7 (8202) 201581
+7 (8202) 201915
+7 (8202) 597211
+7 (920) 736476</f>
        <v>#NAME?</v>
      </c>
      <c r="F6072" s="5" t="s">
        <v>43115</v>
      </c>
      <c r="G6072" s="5" t="s">
        <v>43116</v>
      </c>
      <c r="H6072" s="26">
        <v>11.5</v>
      </c>
      <c r="I6072" s="5" t="s">
        <v>40207</v>
      </c>
      <c r="J6072" s="5" t="s">
        <v>27977</v>
      </c>
      <c r="K6072" s="5" t="s">
        <v>344</v>
      </c>
      <c r="L6072" s="5" t="s">
        <v>43117</v>
      </c>
      <c r="M6072" s="27"/>
      <c r="N6072" s="5"/>
      <c r="O6072" s="5" t="str">
        <v>3528179640</v>
      </c>
      <c r="P6072" s="27">
        <v>10000</v>
      </c>
      <c r="Q6072" s="5" t="s">
        <v>49009</v>
      </c>
      <c r="R6072" s="5"/>
      <c r="S6072" s="5" t="s">
        <v>49010</v>
      </c>
      <c r="T6072" s="28">
        <v>336774000</v>
      </c>
      <c r="U6072" s="28">
        <v>35009000</v>
      </c>
      <c r="V6072" s="28">
        <v>310530000</v>
      </c>
      <c r="W6072" s="28">
        <v>762500000</v>
      </c>
      <c r="X6072" s="28">
        <v>21339000</v>
      </c>
      <c r="Y6072" s="28">
        <v>1761122000</v>
      </c>
      <c r="Z6072" s="28">
        <v>1266821000</v>
      </c>
      <c r="AA6072" s="28"/>
      <c r="AB6072" s="28"/>
      <c r="AC6072" s="28">
        <v>479006000</v>
      </c>
      <c r="AD6072" s="28">
        <v>1266831000</v>
      </c>
      <c r="AE6072" s="28">
        <v>3869622000</v>
      </c>
      <c r="AF6072" s="28">
        <v>300335000</v>
      </c>
      <c r="AG6072" s="11"/>
    </row>
    <row r="6073">
      <c r="A6073" s="7" t="s">
        <v>7665</v>
      </c>
      <c r="B6073" s="5" t="s">
        <v>15611</v>
      </c>
      <c r="C6073" s="5" t="s">
        <v>23269</v>
      </c>
      <c r="D6073" s="5"/>
      <c r="E6073" s="0" t="e">
        <f>+7 (423) 2346051
+7 (423) 2346024
+7 (423) 5231437
+7 (42352) 31168
+7 (42666) 31502
+7 (902) 9743555</f>
        <v>#NAME?</v>
      </c>
      <c r="F6073" s="5" t="s">
        <v>43118</v>
      </c>
      <c r="G6073" s="5" t="s">
        <v>43119</v>
      </c>
      <c r="H6073" s="26">
        <v>26.5</v>
      </c>
      <c r="I6073" s="5"/>
      <c r="J6073" s="5" t="s">
        <v>26407</v>
      </c>
      <c r="K6073" s="5" t="s">
        <v>344</v>
      </c>
      <c r="L6073" s="5" t="s">
        <v>43120</v>
      </c>
      <c r="M6073" s="27"/>
      <c r="N6073" s="5" t="s">
        <v>58461</v>
      </c>
      <c r="O6073" s="5" t="str">
        <v>2510001238</v>
      </c>
      <c r="P6073" s="27">
        <v>437527620</v>
      </c>
      <c r="Q6073" s="5"/>
      <c r="R6073" s="5" t="s">
        <v>58463</v>
      </c>
      <c r="S6073" s="5" t="s">
        <v>49029</v>
      </c>
      <c r="T6073" s="28">
        <v>3171730000</v>
      </c>
      <c r="U6073" s="28">
        <v>3072657000</v>
      </c>
      <c r="V6073" s="28">
        <v>2105120000</v>
      </c>
      <c r="W6073" s="28">
        <v>1178892000</v>
      </c>
      <c r="X6073" s="28">
        <v>110724000</v>
      </c>
      <c r="Y6073" s="28">
        <v>13980517000</v>
      </c>
      <c r="Z6073" s="28">
        <v>6001226000</v>
      </c>
      <c r="AA6073" s="28">
        <v>433692000</v>
      </c>
      <c r="AB6073" s="28">
        <v>2074380000</v>
      </c>
      <c r="AC6073" s="28">
        <v>4876290000</v>
      </c>
      <c r="AD6073" s="28">
        <v>8310003000</v>
      </c>
      <c r="AE6073" s="28">
        <v>16205587000</v>
      </c>
      <c r="AF6073" s="28">
        <v>2444894000</v>
      </c>
      <c r="AG6073" s="11"/>
    </row>
    <row r="6074">
      <c r="A6074" s="7" t="s">
        <v>7666</v>
      </c>
      <c r="B6074" s="5" t="s">
        <v>15612</v>
      </c>
      <c r="C6074" s="5" t="s">
        <v>23270</v>
      </c>
      <c r="D6074" s="5" t="str">
        <v>784100843499</v>
      </c>
      <c r="E6074" s="0" t="e">
        <f>+7 (812) 6802370
+7 (812) 9702303</f>
        <v>#NAME?</v>
      </c>
      <c r="F6074" s="5" t="s">
        <v>43121</v>
      </c>
      <c r="G6074" s="5" t="s">
        <v>43122</v>
      </c>
      <c r="H6074" s="26">
        <v>12.5</v>
      </c>
      <c r="I6074" s="5" t="s">
        <v>43123</v>
      </c>
      <c r="J6074" s="5" t="s">
        <v>364</v>
      </c>
      <c r="K6074" s="5" t="s">
        <v>344</v>
      </c>
      <c r="L6074" s="5"/>
      <c r="M6074" s="27"/>
      <c r="N6074" s="5"/>
      <c r="O6074" s="5" t="str">
        <v>7814478504</v>
      </c>
      <c r="P6074" s="27">
        <v>100000</v>
      </c>
      <c r="Q6074" s="5" t="s">
        <v>49021</v>
      </c>
      <c r="R6074" s="5"/>
      <c r="S6074" s="5" t="s">
        <v>58464</v>
      </c>
      <c r="T6074" s="28">
        <v>133464000</v>
      </c>
      <c r="U6074" s="28"/>
      <c r="V6074" s="28">
        <v>1572002000</v>
      </c>
      <c r="W6074" s="28">
        <v>219000000</v>
      </c>
      <c r="X6074" s="28">
        <v>518000</v>
      </c>
      <c r="Y6074" s="28">
        <v>1949538000</v>
      </c>
      <c r="Z6074" s="28">
        <v>-41758000</v>
      </c>
      <c r="AA6074" s="28">
        <v>66996000</v>
      </c>
      <c r="AB6074" s="28"/>
      <c r="AC6074" s="28">
        <v>1595450000</v>
      </c>
      <c r="AD6074" s="28">
        <v>-34357000</v>
      </c>
      <c r="AE6074" s="28">
        <v>5894963000</v>
      </c>
      <c r="AF6074" s="28">
        <v>13877000</v>
      </c>
      <c r="AG6074" s="11"/>
    </row>
    <row r="6075">
      <c r="A6075" s="7" t="s">
        <v>7667</v>
      </c>
      <c r="B6075" s="5" t="s">
        <v>15613</v>
      </c>
      <c r="C6075" s="5" t="s">
        <v>23271</v>
      </c>
      <c r="D6075" s="5" t="str">
        <v>780402412413</v>
      </c>
      <c r="E6075" s="0" t="e">
        <f>+7 (812) 3205619
+7 (812) 3246444
+7 (812) 3274446
+7 (812) 6071915</f>
        <v>#NAME?</v>
      </c>
      <c r="F6075" s="5" t="s">
        <v>43124</v>
      </c>
      <c r="G6075" s="5" t="s">
        <v>43125</v>
      </c>
      <c r="H6075" s="26">
        <v>27</v>
      </c>
      <c r="I6075" s="5"/>
      <c r="J6075" s="5" t="s">
        <v>36462</v>
      </c>
      <c r="K6075" s="5" t="s">
        <v>344</v>
      </c>
      <c r="L6075" s="5" t="s">
        <v>43126</v>
      </c>
      <c r="M6075" s="27"/>
      <c r="N6075" s="5" t="s">
        <v>58465</v>
      </c>
      <c r="O6075" s="5" t="str">
        <v>7825071848</v>
      </c>
      <c r="P6075" s="27">
        <v>12650</v>
      </c>
      <c r="Q6075" s="5" t="s">
        <v>49059</v>
      </c>
      <c r="R6075" s="5"/>
      <c r="S6075" s="5" t="s">
        <v>49028</v>
      </c>
      <c r="T6075" s="28">
        <v>267087000</v>
      </c>
      <c r="U6075" s="28">
        <v>40000000</v>
      </c>
      <c r="V6075" s="28">
        <v>688925000</v>
      </c>
      <c r="W6075" s="28"/>
      <c r="X6075" s="28">
        <v>147325000</v>
      </c>
      <c r="Y6075" s="28">
        <v>1599884000</v>
      </c>
      <c r="Z6075" s="28">
        <v>633616000</v>
      </c>
      <c r="AA6075" s="28">
        <v>35500000</v>
      </c>
      <c r="AB6075" s="28">
        <v>12000</v>
      </c>
      <c r="AC6075" s="28">
        <v>613920000</v>
      </c>
      <c r="AD6075" s="28">
        <v>687435000</v>
      </c>
      <c r="AE6075" s="28">
        <v>3700894000</v>
      </c>
      <c r="AF6075" s="28">
        <v>243238000</v>
      </c>
      <c r="AG6075" s="11"/>
    </row>
    <row r="6076">
      <c r="A6076" s="7" t="s">
        <v>7668</v>
      </c>
      <c r="B6076" s="5" t="s">
        <v>15614</v>
      </c>
      <c r="C6076" s="5" t="s">
        <v>23272</v>
      </c>
      <c r="D6076" s="5" t="str">
        <v>781001578300</v>
      </c>
      <c r="E6076" s="0" t="e">
        <f>+7 (921) 9934905
+7 (812) 3315737</f>
        <v>#NAME?</v>
      </c>
      <c r="F6076" s="5" t="s">
        <v>43127</v>
      </c>
      <c r="G6076" s="5" t="s">
        <v>43128</v>
      </c>
      <c r="H6076" s="26">
        <v>11</v>
      </c>
      <c r="I6076" s="5"/>
      <c r="J6076" s="5" t="s">
        <v>25324</v>
      </c>
      <c r="K6076" s="5" t="s">
        <v>344</v>
      </c>
      <c r="L6076" s="5"/>
      <c r="M6076" s="27">
        <v>7394965</v>
      </c>
      <c r="N6076" s="5" t="s">
        <v>49153</v>
      </c>
      <c r="O6076" s="5" t="str">
        <v>7838469428</v>
      </c>
      <c r="P6076" s="27">
        <v>21720550000</v>
      </c>
      <c r="Q6076" s="5" t="s">
        <v>58466</v>
      </c>
      <c r="R6076" s="5" t="s">
        <v>58467</v>
      </c>
      <c r="S6076" s="5" t="s">
        <v>50392</v>
      </c>
      <c r="T6076" s="28">
        <v>206319000</v>
      </c>
      <c r="U6076" s="28">
        <v>582062000</v>
      </c>
      <c r="V6076" s="28">
        <v>12392565000</v>
      </c>
      <c r="W6076" s="28">
        <v>724673000</v>
      </c>
      <c r="X6076" s="28">
        <v>3823768000</v>
      </c>
      <c r="Y6076" s="28">
        <v>24990005000</v>
      </c>
      <c r="Z6076" s="28">
        <v>1755487000</v>
      </c>
      <c r="AA6076" s="28"/>
      <c r="AB6076" s="28"/>
      <c r="AC6076" s="28">
        <v>84377000</v>
      </c>
      <c r="AD6076" s="28">
        <v>24890234000</v>
      </c>
      <c r="AE6076" s="28">
        <v>3188212000</v>
      </c>
      <c r="AF6076" s="28">
        <v>459534000</v>
      </c>
      <c r="AG6076" s="11"/>
    </row>
    <row r="6077">
      <c r="A6077" s="7" t="s">
        <v>7669</v>
      </c>
      <c r="B6077" s="5" t="s">
        <v>15615</v>
      </c>
      <c r="C6077" s="5" t="s">
        <v>23273</v>
      </c>
      <c r="D6077" s="5" t="str">
        <v>781433121021</v>
      </c>
      <c r="F6077" s="5" t="s">
        <v>43129</v>
      </c>
      <c r="G6077" s="5"/>
      <c r="H6077" s="26">
        <v>10.5</v>
      </c>
      <c r="I6077" s="5" t="s">
        <v>43130</v>
      </c>
      <c r="J6077" s="5" t="s">
        <v>38229</v>
      </c>
      <c r="K6077" s="5"/>
      <c r="L6077" s="5"/>
      <c r="M6077" s="27"/>
      <c r="N6077" s="5"/>
      <c r="O6077" s="5" t="str">
        <v>7814290816</v>
      </c>
      <c r="P6077" s="27"/>
      <c r="Q6077" s="5"/>
      <c r="R6077" s="5"/>
      <c r="S6077" s="5" t="s">
        <v>49110</v>
      </c>
      <c r="T6077" s="28"/>
      <c r="U6077" s="28"/>
      <c r="V6077" s="28"/>
      <c r="W6077" s="28"/>
      <c r="X6077" s="28">
        <v>173810000</v>
      </c>
      <c r="Y6077" s="28">
        <v>173810000</v>
      </c>
      <c r="Z6077" s="28"/>
      <c r="AA6077" s="28"/>
      <c r="AB6077" s="28"/>
      <c r="AC6077" s="28"/>
      <c r="AD6077" s="28">
        <v>173810000</v>
      </c>
      <c r="AE6077" s="28">
        <v>3192568000</v>
      </c>
      <c r="AF6077" s="28">
        <v>1291000</v>
      </c>
      <c r="AG6077" s="11"/>
    </row>
    <row r="6078">
      <c r="A6078" s="7" t="s">
        <v>7670</v>
      </c>
      <c r="B6078" s="5" t="s">
        <v>15616</v>
      </c>
      <c r="C6078" s="5" t="s">
        <v>20014</v>
      </c>
      <c r="D6078" s="5" t="str">
        <v>500905834126</v>
      </c>
      <c r="E6078" s="0" t="e">
        <f>+7 (495) 7888319
+7 (925) 7035857</f>
        <v>#NAME?</v>
      </c>
      <c r="F6078" s="5"/>
      <c r="G6078" s="5" t="s">
        <v>43131</v>
      </c>
      <c r="H6078" s="26">
        <v>6.5</v>
      </c>
      <c r="I6078" s="5" t="s">
        <v>43132</v>
      </c>
      <c r="J6078" s="5" t="s">
        <v>30277</v>
      </c>
      <c r="K6078" s="5" t="s">
        <v>355</v>
      </c>
      <c r="L6078" s="5" t="s">
        <v>43133</v>
      </c>
      <c r="M6078" s="27">
        <v>3280738</v>
      </c>
      <c r="N6078" s="5" t="s">
        <v>58468</v>
      </c>
      <c r="O6078" s="5" t="str">
        <v>7727303258</v>
      </c>
      <c r="P6078" s="27">
        <v>1000000</v>
      </c>
      <c r="Q6078" s="5" t="s">
        <v>49059</v>
      </c>
      <c r="R6078" s="5"/>
      <c r="S6078" s="5" t="s">
        <v>49110</v>
      </c>
      <c r="T6078" s="28">
        <v>18829000</v>
      </c>
      <c r="U6078" s="28">
        <v>466620000</v>
      </c>
      <c r="V6078" s="28">
        <v>2298335000</v>
      </c>
      <c r="W6078" s="28">
        <v>666534000</v>
      </c>
      <c r="X6078" s="28">
        <v>46807000</v>
      </c>
      <c r="Y6078" s="28">
        <v>3871918000</v>
      </c>
      <c r="Z6078" s="28">
        <v>1956415000</v>
      </c>
      <c r="AA6078" s="28"/>
      <c r="AB6078" s="28"/>
      <c r="AC6078" s="28">
        <v>1892000000</v>
      </c>
      <c r="AD6078" s="28">
        <v>1957415000</v>
      </c>
      <c r="AE6078" s="28">
        <v>8392303000</v>
      </c>
      <c r="AF6078" s="28">
        <v>300758000</v>
      </c>
      <c r="AG6078" s="11"/>
    </row>
    <row r="6079">
      <c r="A6079" s="7" t="s">
        <v>7671</v>
      </c>
      <c r="B6079" s="5" t="s">
        <v>15617</v>
      </c>
      <c r="C6079" s="5" t="s">
        <v>23274</v>
      </c>
      <c r="D6079" s="5" t="str">
        <v>645200482514</v>
      </c>
      <c r="E6079" s="0" t="e">
        <f>+7 (8452) 247575
+7 (8452) 247628
+7 (8452) 247686
+7 (8452) 247882
+7 (845) 2242224
+7 (8452) 247555
+7 (8452) 247606
+7 (8452) 247661
+7 (8452) 277527</f>
        <v>#NAME?</v>
      </c>
      <c r="F6079" s="5" t="s">
        <v>43134</v>
      </c>
      <c r="G6079" s="5" t="s">
        <v>43135</v>
      </c>
      <c r="H6079" s="26">
        <v>24.5</v>
      </c>
      <c r="I6079" s="5"/>
      <c r="J6079" s="5" t="s">
        <v>27802</v>
      </c>
      <c r="K6079" s="5" t="s">
        <v>355</v>
      </c>
      <c r="L6079" s="5"/>
      <c r="M6079" s="27">
        <v>875632</v>
      </c>
      <c r="N6079" s="5" t="s">
        <v>52564</v>
      </c>
      <c r="O6079" s="5" t="str">
        <v>6454006283</v>
      </c>
      <c r="P6079" s="27">
        <v>9141000</v>
      </c>
      <c r="Q6079" s="5" t="s">
        <v>58469</v>
      </c>
      <c r="R6079" s="5"/>
      <c r="S6079" s="5" t="s">
        <v>58470</v>
      </c>
      <c r="T6079" s="28">
        <v>2997252000</v>
      </c>
      <c r="U6079" s="28"/>
      <c r="V6079" s="28">
        <v>340461000</v>
      </c>
      <c r="W6079" s="28"/>
      <c r="X6079" s="28">
        <v>3238000</v>
      </c>
      <c r="Y6079" s="28">
        <v>3447832000</v>
      </c>
      <c r="Z6079" s="28">
        <v>1926112000</v>
      </c>
      <c r="AA6079" s="28"/>
      <c r="AB6079" s="28">
        <v>400969000</v>
      </c>
      <c r="AC6079" s="28">
        <v>1370389000</v>
      </c>
      <c r="AD6079" s="28">
        <v>1955776000</v>
      </c>
      <c r="AE6079" s="28">
        <v>3931254000</v>
      </c>
      <c r="AF6079" s="28">
        <v>1789000</v>
      </c>
      <c r="AG6079" s="11"/>
    </row>
    <row r="6080">
      <c r="A6080" s="7" t="s">
        <v>7672</v>
      </c>
      <c r="B6080" s="5" t="s">
        <v>15617</v>
      </c>
      <c r="C6080" s="5" t="s">
        <v>23275</v>
      </c>
      <c r="D6080" s="5" t="str">
        <v>645503328487</v>
      </c>
      <c r="E6080" s="0" t="e">
        <f>+7 (485) 2247601
+7 (485) 2262526
+7 (495) 2262526
+7 (800) 7755789
+7 (8452) 204539
+7 (8452) 204615
+7 (8452) 206387
+7 (8452) 206789
+7 (8452) 210266
+7 (8452) 217601
+7 (8452) 231745
+7 (8452) 242569
+7 (8452) 245687
+7 (8452) 247544
+7 (8452) 247566</f>
        <v>#NAME?</v>
      </c>
      <c r="F6080" s="5" t="s">
        <v>43136</v>
      </c>
      <c r="G6080" s="5" t="s">
        <v>43137</v>
      </c>
      <c r="H6080" s="26">
        <v>18</v>
      </c>
      <c r="I6080" s="5" t="s">
        <v>43138</v>
      </c>
      <c r="J6080" s="5" t="s">
        <v>26623</v>
      </c>
      <c r="K6080" s="5" t="s">
        <v>344</v>
      </c>
      <c r="L6080" s="5" t="s">
        <v>43139</v>
      </c>
      <c r="M6080" s="27">
        <v>1343953</v>
      </c>
      <c r="N6080" s="5" t="s">
        <v>58471</v>
      </c>
      <c r="O6080" s="5" t="str">
        <v>6454074036</v>
      </c>
      <c r="P6080" s="27">
        <v>50000000</v>
      </c>
      <c r="Q6080" s="5" t="s">
        <v>58472</v>
      </c>
      <c r="R6080" s="5"/>
      <c r="S6080" s="5" t="s">
        <v>58473</v>
      </c>
      <c r="T6080" s="28">
        <v>27684000</v>
      </c>
      <c r="U6080" s="28"/>
      <c r="V6080" s="28">
        <v>2183837000</v>
      </c>
      <c r="W6080" s="28"/>
      <c r="X6080" s="28">
        <v>16654000</v>
      </c>
      <c r="Y6080" s="28">
        <v>2237079000</v>
      </c>
      <c r="Z6080" s="28">
        <v>509389000</v>
      </c>
      <c r="AA6080" s="28"/>
      <c r="AB6080" s="28">
        <v>941364000</v>
      </c>
      <c r="AC6080" s="28">
        <v>1621957000</v>
      </c>
      <c r="AD6080" s="28">
        <v>559389000</v>
      </c>
      <c r="AE6080" s="28">
        <v>7656168000</v>
      </c>
      <c r="AF6080" s="28">
        <v>56025000</v>
      </c>
      <c r="AG6080" s="11"/>
    </row>
    <row r="6081">
      <c r="A6081" s="7" t="s">
        <v>7673</v>
      </c>
      <c r="B6081" s="5" t="s">
        <v>15618</v>
      </c>
      <c r="C6081" s="5" t="s">
        <v>23276</v>
      </c>
      <c r="D6081" s="5" t="str">
        <v>861700387193</v>
      </c>
      <c r="E6081" s="0" t="e">
        <f>+7 (3463) 224455
+7 (3463) 229177
+7 (3463) 229336
+7 (3463) 297300
+7 (3467) 333617</f>
        <v>#NAME?</v>
      </c>
      <c r="F6081" s="5" t="s">
        <v>43140</v>
      </c>
      <c r="G6081" s="5"/>
      <c r="H6081" s="26">
        <v>0.5</v>
      </c>
      <c r="I6081" s="5" t="s">
        <v>43141</v>
      </c>
      <c r="J6081" s="5" t="s">
        <v>26607</v>
      </c>
      <c r="K6081" s="5" t="s">
        <v>355</v>
      </c>
      <c r="L6081" s="5"/>
      <c r="M6081" s="27"/>
      <c r="N6081" s="5"/>
      <c r="O6081" s="5" t="str">
        <v>8619017847</v>
      </c>
      <c r="P6081" s="27">
        <v>8664120</v>
      </c>
      <c r="Q6081" s="5"/>
      <c r="R6081" s="5"/>
      <c r="S6081" s="5" t="s">
        <v>49029</v>
      </c>
      <c r="T6081" s="28">
        <v>76420443000</v>
      </c>
      <c r="U6081" s="28">
        <v>3362048000</v>
      </c>
      <c r="V6081" s="28">
        <v>11152294000</v>
      </c>
      <c r="W6081" s="28"/>
      <c r="X6081" s="28">
        <v>1216772000</v>
      </c>
      <c r="Y6081" s="28">
        <v>102336723000</v>
      </c>
      <c r="Z6081" s="28">
        <v>59296320000</v>
      </c>
      <c r="AA6081" s="28"/>
      <c r="AB6081" s="28"/>
      <c r="AC6081" s="28">
        <v>21700983000</v>
      </c>
      <c r="AD6081" s="28">
        <v>59304984000</v>
      </c>
      <c r="AE6081" s="28">
        <v>48331693000</v>
      </c>
      <c r="AF6081" s="28">
        <v>-5872618000</v>
      </c>
      <c r="AG6081" s="11"/>
    </row>
    <row r="6082">
      <c r="A6082" s="7" t="s">
        <v>7674</v>
      </c>
      <c r="B6082" s="5" t="s">
        <v>15619</v>
      </c>
      <c r="C6082" s="5" t="s">
        <v>23277</v>
      </c>
      <c r="D6082" s="5" t="str">
        <v>623100496718</v>
      </c>
      <c r="E6082" s="0" t="e">
        <f>+7 (4912) 958080
+7 (4912) 958088
+7 (920) 6348160</f>
        <v>#NAME?</v>
      </c>
      <c r="F6082" s="5" t="s">
        <v>43142</v>
      </c>
      <c r="G6082" s="5"/>
      <c r="H6082" s="26">
        <v>12</v>
      </c>
      <c r="I6082" s="5" t="s">
        <v>43143</v>
      </c>
      <c r="J6082" s="5" t="s">
        <v>38785</v>
      </c>
      <c r="K6082" s="5" t="s">
        <v>344</v>
      </c>
      <c r="L6082" s="5" t="s">
        <v>43144</v>
      </c>
      <c r="M6082" s="27"/>
      <c r="N6082" s="5"/>
      <c r="O6082" s="5" t="str">
        <v>6230073124</v>
      </c>
      <c r="P6082" s="27">
        <v>10000</v>
      </c>
      <c r="Q6082" s="5"/>
      <c r="R6082" s="5"/>
      <c r="S6082" s="5" t="s">
        <v>49425</v>
      </c>
      <c r="T6082" s="28">
        <v>2286000</v>
      </c>
      <c r="U6082" s="28"/>
      <c r="V6082" s="28">
        <v>1776396000</v>
      </c>
      <c r="W6082" s="28"/>
      <c r="X6082" s="28">
        <v>18364000</v>
      </c>
      <c r="Y6082" s="28">
        <v>1970535000</v>
      </c>
      <c r="Z6082" s="28">
        <v>400556000</v>
      </c>
      <c r="AA6082" s="28">
        <v>846995000</v>
      </c>
      <c r="AB6082" s="28">
        <v>2602000</v>
      </c>
      <c r="AC6082" s="28">
        <v>721820000</v>
      </c>
      <c r="AD6082" s="28">
        <v>400566000</v>
      </c>
      <c r="AE6082" s="28">
        <v>7129597000</v>
      </c>
      <c r="AF6082" s="28">
        <v>134429000</v>
      </c>
      <c r="AG6082" s="11"/>
    </row>
    <row r="6083">
      <c r="A6083" s="7" t="s">
        <v>7675</v>
      </c>
      <c r="B6083" s="5" t="s">
        <v>10943</v>
      </c>
      <c r="C6083" s="5" t="s">
        <v>23278</v>
      </c>
      <c r="D6083" s="5" t="str">
        <v>444300373261</v>
      </c>
      <c r="E6083" s="0" t="e">
        <f>+7 (343) 3687645
+7 (343) 3857645
+7 (391) 2649077
+7 (494) 2491900
+7 (494) 2491901
+7 (494) 2491919
+7 (494) 2491920
+7 (495) 9565421</f>
        <v>#NAME?</v>
      </c>
      <c r="F6083" s="5" t="s">
        <v>43145</v>
      </c>
      <c r="G6083" s="5" t="s">
        <v>43146</v>
      </c>
      <c r="H6083" s="26">
        <v>24.5</v>
      </c>
      <c r="I6083" s="5" t="s">
        <v>43147</v>
      </c>
      <c r="J6083" s="5" t="s">
        <v>678</v>
      </c>
      <c r="K6083" s="5" t="s">
        <v>344</v>
      </c>
      <c r="L6083" s="5" t="s">
        <v>43148</v>
      </c>
      <c r="M6083" s="27"/>
      <c r="N6083" s="5" t="s">
        <v>58474</v>
      </c>
      <c r="O6083" s="5" t="str">
        <v>7724193494</v>
      </c>
      <c r="P6083" s="27">
        <v>92000</v>
      </c>
      <c r="Q6083" s="5" t="s">
        <v>58475</v>
      </c>
      <c r="R6083" s="5"/>
      <c r="S6083" s="5" t="s">
        <v>49162</v>
      </c>
      <c r="T6083" s="28">
        <v>11513000</v>
      </c>
      <c r="U6083" s="28">
        <v>1439000</v>
      </c>
      <c r="V6083" s="28">
        <v>140758000</v>
      </c>
      <c r="W6083" s="28">
        <v>240554000</v>
      </c>
      <c r="X6083" s="28">
        <v>571908000</v>
      </c>
      <c r="Y6083" s="28">
        <v>1144862000</v>
      </c>
      <c r="Z6083" s="28">
        <v>445464000</v>
      </c>
      <c r="AA6083" s="28"/>
      <c r="AB6083" s="28"/>
      <c r="AC6083" s="28">
        <v>688979000</v>
      </c>
      <c r="AD6083" s="28">
        <v>445556000</v>
      </c>
      <c r="AE6083" s="28">
        <v>3210364000</v>
      </c>
      <c r="AF6083" s="28">
        <v>198982000</v>
      </c>
      <c r="AG6083" s="11"/>
    </row>
    <row r="6084">
      <c r="A6084" s="7" t="s">
        <v>7676</v>
      </c>
      <c r="B6084" s="5" t="s">
        <v>15620</v>
      </c>
      <c r="C6084" s="5" t="s">
        <v>23279</v>
      </c>
      <c r="D6084" s="5" t="str">
        <v>263218514701</v>
      </c>
      <c r="F6084" s="5" t="s">
        <v>43149</v>
      </c>
      <c r="G6084" s="5" t="s">
        <v>43150</v>
      </c>
      <c r="H6084" s="26">
        <v>1</v>
      </c>
      <c r="I6084" s="5" t="s">
        <v>43151</v>
      </c>
      <c r="J6084" s="5" t="s">
        <v>27174</v>
      </c>
      <c r="K6084" s="5" t="s">
        <v>355</v>
      </c>
      <c r="L6084" s="5"/>
      <c r="M6084" s="27"/>
      <c r="N6084" s="5"/>
      <c r="O6084" s="5" t="str">
        <v>2632119879</v>
      </c>
      <c r="P6084" s="27">
        <v>10000</v>
      </c>
      <c r="Q6084" s="5"/>
      <c r="R6084" s="5"/>
      <c r="S6084" s="5" t="s">
        <v>49053</v>
      </c>
      <c r="T6084" s="28"/>
      <c r="U6084" s="28"/>
      <c r="V6084" s="28">
        <v>20895000</v>
      </c>
      <c r="W6084" s="28"/>
      <c r="X6084" s="28">
        <v>477000</v>
      </c>
      <c r="Y6084" s="28">
        <v>21386000</v>
      </c>
      <c r="Z6084" s="28">
        <v>3904000</v>
      </c>
      <c r="AA6084" s="28">
        <v>14860000</v>
      </c>
      <c r="AB6084" s="28"/>
      <c r="AC6084" s="28">
        <v>2609000</v>
      </c>
      <c r="AD6084" s="28">
        <v>3914000</v>
      </c>
      <c r="AE6084" s="28">
        <v>24531672000</v>
      </c>
      <c r="AF6084" s="28">
        <v>3904000</v>
      </c>
      <c r="AG6084" s="11"/>
    </row>
    <row r="6085">
      <c r="A6085" s="7" t="s">
        <v>7677</v>
      </c>
      <c r="B6085" s="5" t="s">
        <v>15621</v>
      </c>
      <c r="C6085" s="5" t="s">
        <v>23280</v>
      </c>
      <c r="D6085" s="5" t="str">
        <v>782573022103</v>
      </c>
      <c r="E6085" s="0" t="e">
        <f>+7 (35325) 68742
+7 (381) 2550178
+7 (495) 5654194
+7 (812) 1403750
+7 (812) 3322898
+7 (812) 4481101
+7 (844) 2461690</f>
        <v>#NAME?</v>
      </c>
      <c r="F6085" s="5" t="s">
        <v>43152</v>
      </c>
      <c r="G6085" s="5" t="s">
        <v>43153</v>
      </c>
      <c r="H6085" s="26">
        <v>25.5</v>
      </c>
      <c r="I6085" s="5" t="s">
        <v>43154</v>
      </c>
      <c r="J6085" s="5" t="s">
        <v>27497</v>
      </c>
      <c r="K6085" s="5" t="s">
        <v>344</v>
      </c>
      <c r="L6085" s="5" t="s">
        <v>43155</v>
      </c>
      <c r="M6085" s="27"/>
      <c r="N6085" s="5" t="s">
        <v>58476</v>
      </c>
      <c r="O6085" s="5" t="str">
        <v>7825379600</v>
      </c>
      <c r="P6085" s="27">
        <v>100000</v>
      </c>
      <c r="Q6085" s="5"/>
      <c r="R6085" s="5"/>
      <c r="S6085" s="5" t="s">
        <v>49125</v>
      </c>
      <c r="T6085" s="28">
        <v>64412000</v>
      </c>
      <c r="U6085" s="28"/>
      <c r="V6085" s="28">
        <v>1123881000</v>
      </c>
      <c r="W6085" s="28">
        <v>19727000</v>
      </c>
      <c r="X6085" s="28">
        <v>65538000</v>
      </c>
      <c r="Y6085" s="28">
        <v>1721194000</v>
      </c>
      <c r="Z6085" s="28">
        <v>1183574000</v>
      </c>
      <c r="AA6085" s="28"/>
      <c r="AB6085" s="28">
        <v>355978000</v>
      </c>
      <c r="AC6085" s="28">
        <v>528524000</v>
      </c>
      <c r="AD6085" s="28">
        <v>1183674000</v>
      </c>
      <c r="AE6085" s="28">
        <v>8447647000</v>
      </c>
      <c r="AF6085" s="28">
        <v>151108000</v>
      </c>
      <c r="AG6085" s="11"/>
    </row>
    <row r="6086">
      <c r="A6086" s="7" t="s">
        <v>7678</v>
      </c>
      <c r="B6086" s="5" t="s">
        <v>15622</v>
      </c>
      <c r="C6086" s="5" t="s">
        <v>23281</v>
      </c>
      <c r="D6086" s="5" t="str">
        <v>501802407558</v>
      </c>
      <c r="F6086" s="5" t="s">
        <v>43156</v>
      </c>
      <c r="G6086" s="5"/>
      <c r="H6086" s="26">
        <v>21</v>
      </c>
      <c r="I6086" s="5" t="s">
        <v>43157</v>
      </c>
      <c r="J6086" s="5" t="s">
        <v>678</v>
      </c>
      <c r="K6086" s="5" t="s">
        <v>344</v>
      </c>
      <c r="L6086" s="5"/>
      <c r="M6086" s="27"/>
      <c r="N6086" s="5" t="s">
        <v>58477</v>
      </c>
      <c r="O6086" s="5" t="str">
        <v>5038038524</v>
      </c>
      <c r="P6086" s="27">
        <v>12000</v>
      </c>
      <c r="Q6086" s="5" t="s">
        <v>49021</v>
      </c>
      <c r="R6086" s="5"/>
      <c r="S6086" s="5" t="s">
        <v>58478</v>
      </c>
      <c r="T6086" s="28">
        <v>48000</v>
      </c>
      <c r="U6086" s="28"/>
      <c r="V6086" s="28">
        <v>251558000</v>
      </c>
      <c r="W6086" s="28">
        <v>136500000</v>
      </c>
      <c r="X6086" s="28">
        <v>35800000</v>
      </c>
      <c r="Y6086" s="28">
        <v>547500000</v>
      </c>
      <c r="Z6086" s="28">
        <v>142576000</v>
      </c>
      <c r="AA6086" s="28">
        <v>87000000</v>
      </c>
      <c r="AB6086" s="28"/>
      <c r="AC6086" s="28">
        <v>317912000</v>
      </c>
      <c r="AD6086" s="28">
        <v>142588000</v>
      </c>
      <c r="AE6086" s="28">
        <v>3900958000</v>
      </c>
      <c r="AF6086" s="28">
        <v>12954000</v>
      </c>
      <c r="AG6086" s="11"/>
    </row>
    <row r="6087">
      <c r="A6087" s="7" t="s">
        <v>7679</v>
      </c>
      <c r="B6087" s="5" t="s">
        <v>15623</v>
      </c>
      <c r="C6087" s="5" t="s">
        <v>23282</v>
      </c>
      <c r="D6087" s="5" t="str">
        <v>771986238353</v>
      </c>
      <c r="E6087" s="0" t="e">
        <f>+7 (903) 7272734
+7 (495) 6806795
+7 (49657) 49310</f>
        <v>#NAME?</v>
      </c>
      <c r="F6087" s="5" t="s">
        <v>43158</v>
      </c>
      <c r="G6087" s="5"/>
      <c r="H6087" s="26">
        <v>13</v>
      </c>
      <c r="I6087" s="5" t="s">
        <v>43159</v>
      </c>
      <c r="J6087" s="5" t="s">
        <v>25337</v>
      </c>
      <c r="K6087" s="5" t="s">
        <v>344</v>
      </c>
      <c r="L6087" s="5" t="s">
        <v>43160</v>
      </c>
      <c r="M6087" s="27"/>
      <c r="N6087" s="5"/>
      <c r="O6087" s="5" t="str">
        <v>5053068643</v>
      </c>
      <c r="P6087" s="27">
        <v>5000000</v>
      </c>
      <c r="Q6087" s="5" t="s">
        <v>49021</v>
      </c>
      <c r="R6087" s="5" t="s">
        <v>58479</v>
      </c>
      <c r="S6087" s="5" t="s">
        <v>49033</v>
      </c>
      <c r="T6087" s="28">
        <v>16933000</v>
      </c>
      <c r="U6087" s="28"/>
      <c r="V6087" s="28">
        <v>739077000</v>
      </c>
      <c r="W6087" s="28">
        <v>650730000</v>
      </c>
      <c r="X6087" s="28">
        <v>69380000</v>
      </c>
      <c r="Y6087" s="28">
        <v>1977930000</v>
      </c>
      <c r="Z6087" s="28">
        <v>399849000</v>
      </c>
      <c r="AA6087" s="28">
        <v>1404562000</v>
      </c>
      <c r="AB6087" s="28">
        <v>11150000</v>
      </c>
      <c r="AC6087" s="28">
        <v>119954000</v>
      </c>
      <c r="AD6087" s="28">
        <v>414417000</v>
      </c>
      <c r="AE6087" s="28">
        <v>3949728000</v>
      </c>
      <c r="AF6087" s="28">
        <v>187059000</v>
      </c>
      <c r="AG6087" s="11"/>
    </row>
    <row r="6088">
      <c r="A6088" s="7" t="s">
        <v>7680</v>
      </c>
      <c r="B6088" s="5" t="s">
        <v>15624</v>
      </c>
      <c r="C6088" s="5" t="s">
        <v>23283</v>
      </c>
      <c r="D6088" s="5" t="str">
        <v>771700455104</v>
      </c>
      <c r="E6088" s="0" t="e">
        <f>+7 (495) 9816889
+7 (495) 6371794
+7 (495) 6371877
+7 (495) 9810602
+7 (495) 9816888</f>
        <v>#NAME?</v>
      </c>
      <c r="F6088" s="5" t="s">
        <v>43161</v>
      </c>
      <c r="G6088" s="5" t="s">
        <v>43162</v>
      </c>
      <c r="H6088" s="26">
        <v>21</v>
      </c>
      <c r="I6088" s="5" t="s">
        <v>43163</v>
      </c>
      <c r="J6088" s="5" t="s">
        <v>671</v>
      </c>
      <c r="K6088" s="5" t="s">
        <v>344</v>
      </c>
      <c r="L6088" s="5" t="s">
        <v>43164</v>
      </c>
      <c r="M6088" s="27"/>
      <c r="N6088" s="5" t="s">
        <v>58480</v>
      </c>
      <c r="O6088" s="5" t="str">
        <v>7708196924</v>
      </c>
      <c r="P6088" s="27">
        <v>4500000</v>
      </c>
      <c r="Q6088" s="5" t="s">
        <v>58481</v>
      </c>
      <c r="R6088" s="5"/>
      <c r="S6088" s="5" t="s">
        <v>58482</v>
      </c>
      <c r="T6088" s="28">
        <v>53853000</v>
      </c>
      <c r="U6088" s="28">
        <v>14967000</v>
      </c>
      <c r="V6088" s="28">
        <v>1019582000</v>
      </c>
      <c r="W6088" s="28">
        <v>29306000</v>
      </c>
      <c r="X6088" s="28">
        <v>1198323000</v>
      </c>
      <c r="Y6088" s="28">
        <v>2450499000</v>
      </c>
      <c r="Z6088" s="28">
        <v>1030889000</v>
      </c>
      <c r="AA6088" s="28"/>
      <c r="AB6088" s="28"/>
      <c r="AC6088" s="28">
        <v>1323968000</v>
      </c>
      <c r="AD6088" s="28">
        <v>1035389000</v>
      </c>
      <c r="AE6088" s="28">
        <v>3956007000</v>
      </c>
      <c r="AF6088" s="28">
        <v>355519000</v>
      </c>
      <c r="AG6088" s="11"/>
    </row>
    <row r="6089">
      <c r="A6089" s="7" t="s">
        <v>7681</v>
      </c>
      <c r="B6089" s="5" t="s">
        <v>15625</v>
      </c>
      <c r="C6089" s="5" t="s">
        <v>23284</v>
      </c>
      <c r="D6089" s="5" t="str">
        <v>665205589863</v>
      </c>
      <c r="E6089" s="0" t="e">
        <f>+7 (343) 2000261
+7 (343) 2000315
+7 (343) 2000316
+7 (343) 2000319
+7 (343) 2000324
+7 (343) 2000335
+7 (343) 2000358
+7 (343) 2000367
+7 (343) 2000376
+7 (343) 2000379
+7 (343) 2000384
+7 (343) 2000386
+7 (343) 2000387
+7 (343) 2000389
+7 (343) 2000397</f>
        <v>#NAME?</v>
      </c>
      <c r="F6089" s="5" t="s">
        <v>43165</v>
      </c>
      <c r="G6089" s="5" t="s">
        <v>43166</v>
      </c>
      <c r="H6089" s="26">
        <v>29</v>
      </c>
      <c r="I6089" s="5" t="s">
        <v>43167</v>
      </c>
      <c r="J6089" s="5" t="s">
        <v>930</v>
      </c>
      <c r="K6089" s="5" t="s">
        <v>344</v>
      </c>
      <c r="L6089" s="5"/>
      <c r="M6089" s="27">
        <v>2557595</v>
      </c>
      <c r="N6089" s="5" t="s">
        <v>58483</v>
      </c>
      <c r="O6089" s="5" t="str">
        <v>6608003655</v>
      </c>
      <c r="P6089" s="27">
        <v>47600000</v>
      </c>
      <c r="Q6089" s="5" t="s">
        <v>58484</v>
      </c>
      <c r="R6089" s="5" t="s">
        <v>58485</v>
      </c>
      <c r="S6089" s="5" t="s">
        <v>51039</v>
      </c>
      <c r="T6089" s="28">
        <v>263304000</v>
      </c>
      <c r="U6089" s="28">
        <v>195000</v>
      </c>
      <c r="V6089" s="28">
        <v>1621534000</v>
      </c>
      <c r="W6089" s="28">
        <v>3144000</v>
      </c>
      <c r="X6089" s="28">
        <v>2732000</v>
      </c>
      <c r="Y6089" s="28">
        <v>1967412000</v>
      </c>
      <c r="Z6089" s="28">
        <v>337669000</v>
      </c>
      <c r="AA6089" s="28"/>
      <c r="AB6089" s="28"/>
      <c r="AC6089" s="28">
        <v>1352830000</v>
      </c>
      <c r="AD6089" s="28">
        <v>605678000</v>
      </c>
      <c r="AE6089" s="28">
        <v>4692407000</v>
      </c>
      <c r="AF6089" s="28">
        <v>4000</v>
      </c>
      <c r="AG6089" s="11"/>
    </row>
    <row r="6090">
      <c r="A6090" s="7" t="s">
        <v>7682</v>
      </c>
      <c r="B6090" s="5" t="s">
        <v>15626</v>
      </c>
      <c r="C6090" s="5" t="s">
        <v>23285</v>
      </c>
      <c r="D6090" s="5" t="str">
        <v>020200977565</v>
      </c>
      <c r="E6090" s="0" t="e">
        <f>+7 (937) 3095555
+7 (987) 4954625
+7 (3472) 163508</f>
        <v>#NAME?</v>
      </c>
      <c r="F6090" s="5" t="s">
        <v>43168</v>
      </c>
      <c r="G6090" s="5" t="s">
        <v>43169</v>
      </c>
      <c r="H6090" s="26">
        <v>7</v>
      </c>
      <c r="I6090" s="5" t="s">
        <v>43170</v>
      </c>
      <c r="J6090" s="5" t="s">
        <v>364</v>
      </c>
      <c r="K6090" s="5" t="s">
        <v>344</v>
      </c>
      <c r="L6090" s="5" t="s">
        <v>468</v>
      </c>
      <c r="M6090" s="27"/>
      <c r="N6090" s="5" t="s">
        <v>58486</v>
      </c>
      <c r="O6090" s="5" t="str">
        <v>0214006345</v>
      </c>
      <c r="P6090" s="27">
        <v>10000</v>
      </c>
      <c r="Q6090" s="5" t="s">
        <v>58487</v>
      </c>
      <c r="R6090" s="5" t="s">
        <v>58488</v>
      </c>
      <c r="S6090" s="5" t="s">
        <v>58489</v>
      </c>
      <c r="T6090" s="28">
        <v>131893000</v>
      </c>
      <c r="U6090" s="28"/>
      <c r="V6090" s="28">
        <v>875269000</v>
      </c>
      <c r="W6090" s="28">
        <v>334415000</v>
      </c>
      <c r="X6090" s="28">
        <v>263333000</v>
      </c>
      <c r="Y6090" s="28">
        <v>2075293000</v>
      </c>
      <c r="Z6090" s="28">
        <v>180660000</v>
      </c>
      <c r="AA6090" s="28">
        <v>156000</v>
      </c>
      <c r="AB6090" s="28">
        <v>48000</v>
      </c>
      <c r="AC6090" s="28">
        <v>1717008000</v>
      </c>
      <c r="AD6090" s="28">
        <v>180670000</v>
      </c>
      <c r="AE6090" s="28">
        <v>4201667000</v>
      </c>
      <c r="AF6090" s="28">
        <v>180309000</v>
      </c>
      <c r="AG6090" s="11"/>
    </row>
    <row r="6091">
      <c r="A6091" s="7" t="s">
        <v>7683</v>
      </c>
      <c r="B6091" s="5" t="s">
        <v>15627</v>
      </c>
      <c r="C6091" s="5" t="s">
        <v>23286</v>
      </c>
      <c r="D6091" s="5" t="str">
        <v>503204180600</v>
      </c>
      <c r="E6091" s="0" t="e">
        <f>+7 (495) 1851001
+7 (910) 4570426
+7 (929) 9265012</f>
        <v>#NAME?</v>
      </c>
      <c r="F6091" s="5" t="s">
        <v>43171</v>
      </c>
      <c r="G6091" s="5" t="s">
        <v>43172</v>
      </c>
      <c r="H6091" s="26">
        <v>7.5</v>
      </c>
      <c r="I6091" s="5"/>
      <c r="J6091" s="5" t="s">
        <v>373</v>
      </c>
      <c r="K6091" s="5" t="s">
        <v>355</v>
      </c>
      <c r="L6091" s="5" t="s">
        <v>43173</v>
      </c>
      <c r="M6091" s="27">
        <v>1239420</v>
      </c>
      <c r="N6091" s="5" t="s">
        <v>58490</v>
      </c>
      <c r="O6091" s="5" t="str">
        <v>9703044304</v>
      </c>
      <c r="P6091" s="27">
        <v>10000</v>
      </c>
      <c r="Q6091" s="5" t="s">
        <v>49059</v>
      </c>
      <c r="R6091" s="5"/>
      <c r="S6091" s="5" t="s">
        <v>58491</v>
      </c>
      <c r="T6091" s="28">
        <v>209000</v>
      </c>
      <c r="U6091" s="28"/>
      <c r="V6091" s="28">
        <v>757233000</v>
      </c>
      <c r="W6091" s="28">
        <v>14000000</v>
      </c>
      <c r="X6091" s="28">
        <v>57089000</v>
      </c>
      <c r="Y6091" s="28">
        <v>873914000</v>
      </c>
      <c r="Z6091" s="28">
        <v>446476000</v>
      </c>
      <c r="AA6091" s="28"/>
      <c r="AB6091" s="28">
        <v>167000</v>
      </c>
      <c r="AC6091" s="28">
        <v>427428000</v>
      </c>
      <c r="AD6091" s="28">
        <v>446486000</v>
      </c>
      <c r="AE6091" s="28">
        <v>7214748000</v>
      </c>
      <c r="AF6091" s="28">
        <v>559717000</v>
      </c>
      <c r="AG6091" s="11"/>
    </row>
    <row r="6092">
      <c r="A6092" s="7" t="s">
        <v>7684</v>
      </c>
      <c r="B6092" s="5" t="s">
        <v>15628</v>
      </c>
      <c r="C6092" s="5" t="s">
        <v>23287</v>
      </c>
      <c r="D6092" s="5" t="str">
        <v>504401831885</v>
      </c>
      <c r="E6092" s="0" t="e">
        <f>+7 (499) 7530284
+7 (495) 2255087
+7 (495) 7530283
+7 (499) 7530283
+7 (903) 7254991</f>
        <v>#NAME?</v>
      </c>
      <c r="F6092" s="5" t="s">
        <v>43174</v>
      </c>
      <c r="G6092" s="5"/>
      <c r="H6092" s="26">
        <v>8</v>
      </c>
      <c r="I6092" s="5" t="s">
        <v>43175</v>
      </c>
      <c r="J6092" s="5" t="s">
        <v>25603</v>
      </c>
      <c r="K6092" s="5" t="s">
        <v>344</v>
      </c>
      <c r="L6092" s="5" t="s">
        <v>43176</v>
      </c>
      <c r="M6092" s="27"/>
      <c r="N6092" s="5" t="s">
        <v>58492</v>
      </c>
      <c r="O6092" s="5" t="str">
        <v>7724305345</v>
      </c>
      <c r="P6092" s="27">
        <v>1000000</v>
      </c>
      <c r="Q6092" s="5" t="s">
        <v>58493</v>
      </c>
      <c r="R6092" s="5"/>
      <c r="S6092" s="5" t="s">
        <v>58494</v>
      </c>
      <c r="T6092" s="28">
        <v>155892000</v>
      </c>
      <c r="U6092" s="28">
        <v>124957000</v>
      </c>
      <c r="V6092" s="28">
        <v>318656000</v>
      </c>
      <c r="W6092" s="28">
        <v>25107000</v>
      </c>
      <c r="X6092" s="28">
        <v>1333112000</v>
      </c>
      <c r="Y6092" s="28">
        <v>4383150000</v>
      </c>
      <c r="Z6092" s="28">
        <v>666457000</v>
      </c>
      <c r="AA6092" s="28"/>
      <c r="AB6092" s="28">
        <v>1064788000</v>
      </c>
      <c r="AC6092" s="28">
        <v>2254787000</v>
      </c>
      <c r="AD6092" s="28">
        <v>667457000</v>
      </c>
      <c r="AE6092" s="28">
        <v>4128505000</v>
      </c>
      <c r="AF6092" s="28">
        <v>588741000</v>
      </c>
      <c r="AG6092" s="11"/>
    </row>
    <row r="6093">
      <c r="A6093" s="7" t="s">
        <v>7685</v>
      </c>
      <c r="B6093" s="5" t="s">
        <v>15629</v>
      </c>
      <c r="C6093" s="5" t="s">
        <v>23288</v>
      </c>
      <c r="D6093" s="5" t="str">
        <v>616832271310</v>
      </c>
      <c r="E6093" s="0" t="e">
        <f>+7 (495) 2870777
+7 (495) 6870777
+7 (964) 7005452</f>
        <v>#NAME?</v>
      </c>
      <c r="F6093" s="5"/>
      <c r="G6093" s="5"/>
      <c r="H6093" s="26">
        <v>9</v>
      </c>
      <c r="I6093" s="5" t="s">
        <v>43177</v>
      </c>
      <c r="J6093" s="5" t="s">
        <v>38093</v>
      </c>
      <c r="K6093" s="5" t="s">
        <v>355</v>
      </c>
      <c r="L6093" s="5" t="s">
        <v>43178</v>
      </c>
      <c r="M6093" s="27"/>
      <c r="N6093" s="5"/>
      <c r="O6093" s="5" t="str">
        <v>7714934369</v>
      </c>
      <c r="P6093" s="27">
        <v>100000000</v>
      </c>
      <c r="Q6093" s="5" t="s">
        <v>49009</v>
      </c>
      <c r="R6093" s="5"/>
      <c r="S6093" s="5" t="s">
        <v>49010</v>
      </c>
      <c r="T6093" s="28">
        <v>1386014000</v>
      </c>
      <c r="U6093" s="28">
        <v>2099089000</v>
      </c>
      <c r="V6093" s="28">
        <v>300567000</v>
      </c>
      <c r="W6093" s="28"/>
      <c r="X6093" s="28">
        <v>660099000</v>
      </c>
      <c r="Y6093" s="28">
        <v>6854751000</v>
      </c>
      <c r="Z6093" s="28">
        <v>3694005000</v>
      </c>
      <c r="AA6093" s="28"/>
      <c r="AB6093" s="28"/>
      <c r="AC6093" s="28">
        <v>3060747000</v>
      </c>
      <c r="AD6093" s="28">
        <v>3794005000</v>
      </c>
      <c r="AE6093" s="28">
        <v>10696165000</v>
      </c>
      <c r="AF6093" s="28">
        <v>3954549000</v>
      </c>
      <c r="AG6093" s="11"/>
    </row>
    <row r="6094">
      <c r="A6094" s="7" t="s">
        <v>7686</v>
      </c>
      <c r="B6094" s="5" t="s">
        <v>15630</v>
      </c>
      <c r="C6094" s="5" t="s">
        <v>23289</v>
      </c>
      <c r="D6094" s="5" t="str">
        <v>772412952454</v>
      </c>
      <c r="E6094" s="0" t="e">
        <f>+7 (495) 4306370
+7 (495) 4306970
+7 (495) 4307124
+7 (495) 4307827
+7 (905) 5590740</f>
        <v>#NAME?</v>
      </c>
      <c r="F6094" s="5" t="s">
        <v>43179</v>
      </c>
      <c r="G6094" s="5"/>
      <c r="H6094" s="26">
        <v>28.5</v>
      </c>
      <c r="I6094" s="5" t="s">
        <v>43180</v>
      </c>
      <c r="J6094" s="5" t="s">
        <v>27182</v>
      </c>
      <c r="K6094" s="5" t="s">
        <v>355</v>
      </c>
      <c r="L6094" s="5" t="s">
        <v>43181</v>
      </c>
      <c r="M6094" s="27"/>
      <c r="N6094" s="5"/>
      <c r="O6094" s="5" t="str">
        <v>9729037439</v>
      </c>
      <c r="P6094" s="27">
        <v>11078000</v>
      </c>
      <c r="Q6094" s="5"/>
      <c r="R6094" s="5"/>
      <c r="S6094" s="5" t="s">
        <v>49110</v>
      </c>
      <c r="T6094" s="28"/>
      <c r="U6094" s="28">
        <v>7800000000</v>
      </c>
      <c r="V6094" s="28">
        <v>1647973000</v>
      </c>
      <c r="W6094" s="28">
        <v>1250000000</v>
      </c>
      <c r="X6094" s="28">
        <v>1103755000</v>
      </c>
      <c r="Y6094" s="28">
        <v>20501815000</v>
      </c>
      <c r="Z6094" s="28">
        <v>4616424000</v>
      </c>
      <c r="AA6094" s="28">
        <v>4892282000</v>
      </c>
      <c r="AB6094" s="28">
        <v>223618000</v>
      </c>
      <c r="AC6094" s="28">
        <v>10929973000</v>
      </c>
      <c r="AD6094" s="28">
        <v>4628056000</v>
      </c>
      <c r="AE6094" s="28">
        <v>7675796000</v>
      </c>
      <c r="AF6094" s="28">
        <v>4606767000</v>
      </c>
      <c r="AG6094" s="11"/>
    </row>
    <row r="6095">
      <c r="A6095" s="7" t="s">
        <v>7687</v>
      </c>
      <c r="B6095" s="5" t="s">
        <v>15631</v>
      </c>
      <c r="C6095" s="5" t="s">
        <v>23290</v>
      </c>
      <c r="D6095" s="5" t="str">
        <v>771904043349</v>
      </c>
      <c r="E6095" s="0" t="e">
        <f>+7 (495) 3748002</f>
        <v>#NAME?</v>
      </c>
      <c r="F6095" s="5"/>
      <c r="G6095" s="5"/>
      <c r="H6095" s="26">
        <v>6</v>
      </c>
      <c r="I6095" s="5" t="s">
        <v>43182</v>
      </c>
      <c r="J6095" s="5" t="s">
        <v>27182</v>
      </c>
      <c r="K6095" s="5" t="s">
        <v>344</v>
      </c>
      <c r="L6095" s="5"/>
      <c r="M6095" s="27"/>
      <c r="N6095" s="5"/>
      <c r="O6095" s="5" t="str">
        <v>9701072137</v>
      </c>
      <c r="P6095" s="27">
        <v>2170975000</v>
      </c>
      <c r="Q6095" s="5"/>
      <c r="R6095" s="5"/>
      <c r="S6095" s="5" t="s">
        <v>49121</v>
      </c>
      <c r="T6095" s="28">
        <v>75896000</v>
      </c>
      <c r="U6095" s="28"/>
      <c r="V6095" s="28">
        <v>3864532000</v>
      </c>
      <c r="W6095" s="28"/>
      <c r="X6095" s="28">
        <v>385935000</v>
      </c>
      <c r="Y6095" s="28">
        <v>14474869000</v>
      </c>
      <c r="Z6095" s="28">
        <v>732960000</v>
      </c>
      <c r="AA6095" s="28"/>
      <c r="AB6095" s="28"/>
      <c r="AC6095" s="28">
        <v>11477354000</v>
      </c>
      <c r="AD6095" s="28">
        <v>2903935000</v>
      </c>
      <c r="AE6095" s="28">
        <v>6102502000</v>
      </c>
      <c r="AF6095" s="28">
        <v>821495000</v>
      </c>
      <c r="AG6095" s="11"/>
    </row>
    <row r="6096">
      <c r="A6096" s="7" t="s">
        <v>7688</v>
      </c>
      <c r="B6096" s="5" t="s">
        <v>15632</v>
      </c>
      <c r="C6096" s="5" t="s">
        <v>23291</v>
      </c>
      <c r="D6096" s="5" t="str">
        <v>164905315598</v>
      </c>
      <c r="E6096" s="0" t="e">
        <f>+7 (495) 5501318
+7 (499) 2112233
+7 (499) 6498265
+7 (985) 6461567</f>
        <v>#NAME?</v>
      </c>
      <c r="F6096" s="5" t="s">
        <v>43183</v>
      </c>
      <c r="G6096" s="5"/>
      <c r="H6096" s="26">
        <v>17.5</v>
      </c>
      <c r="I6096" s="5" t="s">
        <v>43184</v>
      </c>
      <c r="J6096" s="5" t="s">
        <v>27182</v>
      </c>
      <c r="K6096" s="5" t="s">
        <v>344</v>
      </c>
      <c r="L6096" s="5"/>
      <c r="M6096" s="27"/>
      <c r="N6096" s="5" t="s">
        <v>49153</v>
      </c>
      <c r="O6096" s="5" t="str">
        <v>5027112060</v>
      </c>
      <c r="P6096" s="27">
        <v>20000</v>
      </c>
      <c r="Q6096" s="5" t="s">
        <v>52759</v>
      </c>
      <c r="R6096" s="5"/>
      <c r="S6096" s="5" t="s">
        <v>58495</v>
      </c>
      <c r="T6096" s="28">
        <v>3628000</v>
      </c>
      <c r="U6096" s="28"/>
      <c r="V6096" s="28">
        <v>370871000</v>
      </c>
      <c r="W6096" s="28">
        <v>264359000</v>
      </c>
      <c r="X6096" s="28">
        <v>984554000</v>
      </c>
      <c r="Y6096" s="28">
        <v>4269532000</v>
      </c>
      <c r="Z6096" s="28">
        <v>815067000</v>
      </c>
      <c r="AA6096" s="28">
        <v>3038151000</v>
      </c>
      <c r="AB6096" s="28"/>
      <c r="AC6096" s="28">
        <v>397238000</v>
      </c>
      <c r="AD6096" s="28">
        <v>815087000</v>
      </c>
      <c r="AE6096" s="28">
        <v>4412837000</v>
      </c>
      <c r="AF6096" s="28">
        <v>814234000</v>
      </c>
      <c r="AG6096" s="11"/>
    </row>
    <row r="6097">
      <c r="A6097" s="7" t="s">
        <v>7689</v>
      </c>
      <c r="B6097" s="5" t="s">
        <v>15633</v>
      </c>
      <c r="C6097" s="5" t="s">
        <v>23292</v>
      </c>
      <c r="D6097" s="5" t="str">
        <v>330971823956</v>
      </c>
      <c r="E6097" s="0" t="e">
        <f>+7 (495) 4736546
+7 (495) 4771179
+7 (495) 4771377
+7 (495) 4771566
+7 (495) 4771579
+7 (495) 4773111
+7 (495) 4773179
+7 (499) 4771377
+7 (499) 4771579
+7 (499) 4773066
+7 (499) 4773177
+7 (499) 4773179</f>
        <v>#NAME?</v>
      </c>
      <c r="F6097" s="5" t="s">
        <v>43185</v>
      </c>
      <c r="G6097" s="5"/>
      <c r="H6097" s="26">
        <v>27.5</v>
      </c>
      <c r="I6097" s="5"/>
      <c r="J6097" s="5" t="s">
        <v>27182</v>
      </c>
      <c r="K6097" s="5" t="s">
        <v>380</v>
      </c>
      <c r="L6097" s="5" t="s">
        <v>43186</v>
      </c>
      <c r="M6097" s="27">
        <v>522242</v>
      </c>
      <c r="N6097" s="5"/>
      <c r="O6097" s="5" t="str">
        <v>7715842640</v>
      </c>
      <c r="P6097" s="27">
        <v>193577700</v>
      </c>
      <c r="Q6097" s="5"/>
      <c r="R6097" s="5"/>
      <c r="S6097" s="5" t="s">
        <v>50404</v>
      </c>
      <c r="T6097" s="28">
        <v>30500000</v>
      </c>
      <c r="U6097" s="28">
        <v>2550000000</v>
      </c>
      <c r="V6097" s="28">
        <v>151422000</v>
      </c>
      <c r="W6097" s="28">
        <v>2000000000</v>
      </c>
      <c r="X6097" s="28">
        <v>145799000</v>
      </c>
      <c r="Y6097" s="28">
        <v>18483225000</v>
      </c>
      <c r="Z6097" s="28">
        <v>2111879000</v>
      </c>
      <c r="AA6097" s="28">
        <v>12225500000</v>
      </c>
      <c r="AB6097" s="28">
        <v>148016000</v>
      </c>
      <c r="AC6097" s="28">
        <v>3415456000</v>
      </c>
      <c r="AD6097" s="28">
        <v>2315134000</v>
      </c>
      <c r="AE6097" s="28">
        <v>4784227000</v>
      </c>
      <c r="AF6097" s="28">
        <v>2080037000</v>
      </c>
      <c r="AG6097" s="11"/>
    </row>
    <row r="6098">
      <c r="A6098" s="7" t="s">
        <v>7690</v>
      </c>
      <c r="B6098" s="5" t="s">
        <v>15634</v>
      </c>
      <c r="C6098" s="5" t="s">
        <v>23293</v>
      </c>
      <c r="D6098" s="5" t="str">
        <v>665897117147</v>
      </c>
      <c r="E6098" s="0" t="e">
        <f>+7 (922) 2033805
+7 (812) 3856130</f>
        <v>#NAME?</v>
      </c>
      <c r="F6098" s="5" t="s">
        <v>43187</v>
      </c>
      <c r="G6098" s="5"/>
      <c r="H6098" s="26">
        <v>3.5</v>
      </c>
      <c r="I6098" s="5" t="s">
        <v>43188</v>
      </c>
      <c r="J6098" s="5" t="s">
        <v>27182</v>
      </c>
      <c r="K6098" s="5" t="s">
        <v>344</v>
      </c>
      <c r="L6098" s="5" t="s">
        <v>43189</v>
      </c>
      <c r="M6098" s="27"/>
      <c r="N6098" s="5" t="s">
        <v>49153</v>
      </c>
      <c r="O6098" s="5" t="str">
        <v>6670487285</v>
      </c>
      <c r="P6098" s="27">
        <v>460000000</v>
      </c>
      <c r="Q6098" s="5"/>
      <c r="R6098" s="5"/>
      <c r="S6098" s="5" t="s">
        <v>49991</v>
      </c>
      <c r="T6098" s="28"/>
      <c r="U6098" s="28"/>
      <c r="V6098" s="28">
        <v>1140813000</v>
      </c>
      <c r="W6098" s="28"/>
      <c r="X6098" s="28">
        <v>435345000</v>
      </c>
      <c r="Y6098" s="28">
        <v>5308301000</v>
      </c>
      <c r="Z6098" s="28">
        <v>918225000</v>
      </c>
      <c r="AA6098" s="28">
        <v>350770000</v>
      </c>
      <c r="AB6098" s="28">
        <v>2882000</v>
      </c>
      <c r="AC6098" s="28">
        <v>3124165000</v>
      </c>
      <c r="AD6098" s="28">
        <v>1378225000</v>
      </c>
      <c r="AE6098" s="28">
        <v>6250740000</v>
      </c>
      <c r="AF6098" s="28">
        <v>1320765000</v>
      </c>
      <c r="AG6098" s="11"/>
    </row>
    <row r="6099">
      <c r="A6099" s="7" t="s">
        <v>7691</v>
      </c>
      <c r="B6099" s="5" t="s">
        <v>15633</v>
      </c>
      <c r="C6099" s="5" t="s">
        <v>23292</v>
      </c>
      <c r="D6099" s="5" t="str">
        <v>330971823956</v>
      </c>
      <c r="F6099" s="5"/>
      <c r="G6099" s="5" t="s">
        <v>43190</v>
      </c>
      <c r="H6099" s="26">
        <v>8</v>
      </c>
      <c r="I6099" s="5" t="s">
        <v>43191</v>
      </c>
      <c r="J6099" s="5" t="s">
        <v>364</v>
      </c>
      <c r="K6099" s="5" t="s">
        <v>355</v>
      </c>
      <c r="L6099" s="5" t="s">
        <v>43192</v>
      </c>
      <c r="M6099" s="27"/>
      <c r="N6099" s="5"/>
      <c r="O6099" s="5" t="str">
        <v>7728900666</v>
      </c>
      <c r="P6099" s="27">
        <v>322100000</v>
      </c>
      <c r="Q6099" s="5"/>
      <c r="R6099" s="5"/>
      <c r="S6099" s="5" t="s">
        <v>49047</v>
      </c>
      <c r="T6099" s="28">
        <v>2805000</v>
      </c>
      <c r="U6099" s="28"/>
      <c r="V6099" s="28">
        <v>219469000</v>
      </c>
      <c r="W6099" s="28"/>
      <c r="X6099" s="28">
        <v>888990000</v>
      </c>
      <c r="Y6099" s="28">
        <v>2297849000</v>
      </c>
      <c r="Z6099" s="28">
        <v>-2559996000</v>
      </c>
      <c r="AA6099" s="28"/>
      <c r="AB6099" s="28"/>
      <c r="AC6099" s="28">
        <v>4511352000</v>
      </c>
      <c r="AD6099" s="28">
        <v>-2214034000</v>
      </c>
      <c r="AE6099" s="28">
        <v>12256928000</v>
      </c>
      <c r="AF6099" s="28">
        <v>-2151733000</v>
      </c>
      <c r="AG6099" s="11"/>
    </row>
    <row r="6100">
      <c r="A6100" s="7" t="s">
        <v>7692</v>
      </c>
      <c r="B6100" s="5" t="s">
        <v>15635</v>
      </c>
      <c r="C6100" s="5" t="s">
        <v>23294</v>
      </c>
      <c r="D6100" s="5" t="str">
        <v>781702201863</v>
      </c>
      <c r="E6100" s="0" t="e">
        <f>+7 (495) 2122243
+7 (909) 9516059
+7 (965) 2439919</f>
        <v>#NAME?</v>
      </c>
      <c r="F6100" s="5" t="s">
        <v>43193</v>
      </c>
      <c r="G6100" s="5"/>
      <c r="H6100" s="26">
        <v>9.5</v>
      </c>
      <c r="I6100" s="5" t="s">
        <v>43194</v>
      </c>
      <c r="J6100" s="5" t="s">
        <v>27182</v>
      </c>
      <c r="K6100" s="5" t="s">
        <v>344</v>
      </c>
      <c r="L6100" s="5"/>
      <c r="M6100" s="27">
        <v>18236217</v>
      </c>
      <c r="N6100" s="5" t="s">
        <v>58496</v>
      </c>
      <c r="O6100" s="5" t="str">
        <v>5017098674</v>
      </c>
      <c r="P6100" s="27">
        <v>1600010000</v>
      </c>
      <c r="Q6100" s="5" t="s">
        <v>58497</v>
      </c>
      <c r="R6100" s="5" t="s">
        <v>51835</v>
      </c>
      <c r="S6100" s="5" t="s">
        <v>58498</v>
      </c>
      <c r="T6100" s="28">
        <v>2770000</v>
      </c>
      <c r="U6100" s="28">
        <v>215336000</v>
      </c>
      <c r="V6100" s="28">
        <v>1434549000</v>
      </c>
      <c r="W6100" s="28">
        <v>131171000</v>
      </c>
      <c r="X6100" s="28">
        <v>3022116000</v>
      </c>
      <c r="Y6100" s="28">
        <v>24532723000</v>
      </c>
      <c r="Z6100" s="28"/>
      <c r="AA6100" s="28">
        <v>11002233000</v>
      </c>
      <c r="AB6100" s="28">
        <v>261176000</v>
      </c>
      <c r="AC6100" s="28">
        <v>10314038000</v>
      </c>
      <c r="AD6100" s="28">
        <v>1600010000</v>
      </c>
      <c r="AE6100" s="28">
        <v>3903425000</v>
      </c>
      <c r="AF6100" s="28">
        <v>168000</v>
      </c>
      <c r="AG6100" s="11"/>
    </row>
    <row r="6101">
      <c r="A6101" s="7" t="s">
        <v>7693</v>
      </c>
      <c r="B6101" s="5" t="s">
        <v>15636</v>
      </c>
      <c r="C6101" s="5" t="s">
        <v>23295</v>
      </c>
      <c r="D6101" s="5" t="str">
        <v>780217649200</v>
      </c>
      <c r="E6101" s="0" t="e">
        <f>+7 (8313) 314501
+7 (800) 5001608
+7 (812) 2452579
+7 (812) 5965665
+7 (812) 5965940
+7 (812) 5965967
+7 (812) 5965970
+7 (921) 4185006
+7 (981) 6938527</f>
        <v>#NAME?</v>
      </c>
      <c r="F6101" s="5" t="s">
        <v>43195</v>
      </c>
      <c r="G6101" s="5" t="s">
        <v>43196</v>
      </c>
      <c r="H6101" s="26">
        <v>26</v>
      </c>
      <c r="I6101" s="5" t="s">
        <v>43197</v>
      </c>
      <c r="J6101" s="5" t="s">
        <v>27182</v>
      </c>
      <c r="K6101" s="5" t="s">
        <v>344</v>
      </c>
      <c r="L6101" s="5" t="s">
        <v>43198</v>
      </c>
      <c r="M6101" s="27"/>
      <c r="N6101" s="5" t="s">
        <v>50052</v>
      </c>
      <c r="O6101" s="5" t="str">
        <v>7825372500</v>
      </c>
      <c r="P6101" s="27">
        <v>400010000</v>
      </c>
      <c r="Q6101" s="5"/>
      <c r="R6101" s="5"/>
      <c r="S6101" s="5" t="s">
        <v>49110</v>
      </c>
      <c r="T6101" s="28">
        <v>113882000</v>
      </c>
      <c r="U6101" s="28">
        <v>36845000</v>
      </c>
      <c r="V6101" s="28">
        <v>358713000</v>
      </c>
      <c r="W6101" s="28"/>
      <c r="X6101" s="28">
        <v>1853898000</v>
      </c>
      <c r="Y6101" s="28">
        <v>11857383000</v>
      </c>
      <c r="Z6101" s="28">
        <v>7029996000</v>
      </c>
      <c r="AA6101" s="28"/>
      <c r="AB6101" s="28">
        <v>3792209000</v>
      </c>
      <c r="AC6101" s="28">
        <v>4313420000</v>
      </c>
      <c r="AD6101" s="28">
        <v>7430006000</v>
      </c>
      <c r="AE6101" s="28">
        <v>9026948000</v>
      </c>
      <c r="AF6101" s="28">
        <v>2398671000</v>
      </c>
      <c r="AG6101" s="11"/>
    </row>
    <row r="6102">
      <c r="A6102" s="7" t="s">
        <v>7694</v>
      </c>
      <c r="B6102" s="5" t="s">
        <v>15637</v>
      </c>
      <c r="C6102" s="5" t="s">
        <v>23296</v>
      </c>
      <c r="D6102" s="5"/>
      <c r="F6102" s="5"/>
      <c r="G6102" s="5"/>
      <c r="H6102" s="26">
        <v>8</v>
      </c>
      <c r="I6102" s="5" t="s">
        <v>43199</v>
      </c>
      <c r="J6102" s="5" t="s">
        <v>27182</v>
      </c>
      <c r="K6102" s="5" t="s">
        <v>355</v>
      </c>
      <c r="L6102" s="5" t="s">
        <v>43200</v>
      </c>
      <c r="M6102" s="27"/>
      <c r="N6102" s="5"/>
      <c r="O6102" s="5" t="str">
        <v>7722865077</v>
      </c>
      <c r="P6102" s="27">
        <v>675812000</v>
      </c>
      <c r="Q6102" s="5" t="s">
        <v>49009</v>
      </c>
      <c r="R6102" s="5"/>
      <c r="S6102" s="5" t="s">
        <v>49010</v>
      </c>
      <c r="T6102" s="28">
        <v>2678000</v>
      </c>
      <c r="U6102" s="28">
        <v>4367105000</v>
      </c>
      <c r="V6102" s="28">
        <v>2283786000</v>
      </c>
      <c r="W6102" s="28">
        <v>5130231000</v>
      </c>
      <c r="X6102" s="28">
        <v>1866847000</v>
      </c>
      <c r="Y6102" s="28">
        <v>22506588000</v>
      </c>
      <c r="Z6102" s="28">
        <v>8288586000</v>
      </c>
      <c r="AA6102" s="28">
        <v>1078546000</v>
      </c>
      <c r="AB6102" s="28">
        <v>11022375000</v>
      </c>
      <c r="AC6102" s="28">
        <v>12463644000</v>
      </c>
      <c r="AD6102" s="28">
        <v>8964398000</v>
      </c>
      <c r="AE6102" s="28">
        <v>3975426000</v>
      </c>
      <c r="AF6102" s="28">
        <v>2032445000</v>
      </c>
      <c r="AG6102" s="11"/>
    </row>
    <row r="6103">
      <c r="A6103" s="7" t="s">
        <v>7695</v>
      </c>
      <c r="B6103" s="5" t="s">
        <v>15638</v>
      </c>
      <c r="C6103" s="5" t="s">
        <v>23297</v>
      </c>
      <c r="D6103" s="5" t="str">
        <v>710402584908</v>
      </c>
      <c r="E6103" s="0" t="e">
        <f>+7 (916) 6363503
+7 (495) 9334284</f>
        <v>#NAME?</v>
      </c>
      <c r="F6103" s="5" t="s">
        <v>43201</v>
      </c>
      <c r="G6103" s="5" t="s">
        <v>43202</v>
      </c>
      <c r="H6103" s="26">
        <v>28</v>
      </c>
      <c r="I6103" s="5" t="s">
        <v>43203</v>
      </c>
      <c r="J6103" s="5" t="s">
        <v>27182</v>
      </c>
      <c r="K6103" s="5" t="s">
        <v>380</v>
      </c>
      <c r="L6103" s="5" t="s">
        <v>43204</v>
      </c>
      <c r="M6103" s="27">
        <v>12792633</v>
      </c>
      <c r="N6103" s="5" t="s">
        <v>58183</v>
      </c>
      <c r="O6103" s="5" t="str">
        <v>7729118074</v>
      </c>
      <c r="P6103" s="27">
        <v>10033400000</v>
      </c>
      <c r="Q6103" s="5" t="s">
        <v>58499</v>
      </c>
      <c r="R6103" s="5" t="s">
        <v>58500</v>
      </c>
      <c r="S6103" s="5" t="s">
        <v>58501</v>
      </c>
      <c r="T6103" s="28">
        <v>213203000</v>
      </c>
      <c r="U6103" s="28">
        <v>31281635000</v>
      </c>
      <c r="V6103" s="28">
        <v>12678665000</v>
      </c>
      <c r="W6103" s="28">
        <v>208629000</v>
      </c>
      <c r="X6103" s="28">
        <v>1159303000</v>
      </c>
      <c r="Y6103" s="28">
        <v>63227806000</v>
      </c>
      <c r="Z6103" s="28">
        <v>-5847045000</v>
      </c>
      <c r="AA6103" s="28">
        <v>41019541000</v>
      </c>
      <c r="AB6103" s="28">
        <v>4473701000</v>
      </c>
      <c r="AC6103" s="28">
        <v>16315625000</v>
      </c>
      <c r="AD6103" s="28">
        <v>5880645000</v>
      </c>
      <c r="AE6103" s="28">
        <v>3259637000</v>
      </c>
      <c r="AF6103" s="28">
        <v>-5809549000</v>
      </c>
      <c r="AG6103" s="11"/>
    </row>
    <row r="6104">
      <c r="A6104" s="7" t="s">
        <v>7696</v>
      </c>
      <c r="B6104" s="5" t="s">
        <v>15639</v>
      </c>
      <c r="C6104" s="5" t="s">
        <v>23298</v>
      </c>
      <c r="D6104" s="5"/>
      <c r="E6104" s="0" t="e">
        <f>+7 (495) 254444
+7 (495) 2415576
+7 (495) 6020335</f>
        <v>#NAME?</v>
      </c>
      <c r="F6104" s="5"/>
      <c r="G6104" s="5" t="s">
        <v>43205</v>
      </c>
      <c r="H6104" s="26">
        <v>6</v>
      </c>
      <c r="I6104" s="5" t="s">
        <v>43206</v>
      </c>
      <c r="J6104" s="5" t="s">
        <v>27182</v>
      </c>
      <c r="K6104" s="5" t="s">
        <v>355</v>
      </c>
      <c r="L6104" s="5" t="s">
        <v>43207</v>
      </c>
      <c r="M6104" s="27"/>
      <c r="N6104" s="5"/>
      <c r="O6104" s="5" t="str">
        <v>7714964540</v>
      </c>
      <c r="P6104" s="27">
        <v>800000000</v>
      </c>
      <c r="Q6104" s="5" t="s">
        <v>49009</v>
      </c>
      <c r="R6104" s="5"/>
      <c r="S6104" s="5" t="s">
        <v>49010</v>
      </c>
      <c r="T6104" s="28">
        <v>4675906000</v>
      </c>
      <c r="U6104" s="28"/>
      <c r="V6104" s="28">
        <v>549411000</v>
      </c>
      <c r="W6104" s="28">
        <v>30175000</v>
      </c>
      <c r="X6104" s="28">
        <v>1551348000</v>
      </c>
      <c r="Y6104" s="28">
        <v>20779024000</v>
      </c>
      <c r="Z6104" s="28">
        <v>15403046000</v>
      </c>
      <c r="AA6104" s="28"/>
      <c r="AB6104" s="28">
        <v>375501000</v>
      </c>
      <c r="AC6104" s="28">
        <v>3763556000</v>
      </c>
      <c r="AD6104" s="28">
        <v>16203046000</v>
      </c>
      <c r="AE6104" s="28">
        <v>23657307000</v>
      </c>
      <c r="AF6104" s="28">
        <v>10118547000</v>
      </c>
      <c r="AG6104" s="11"/>
    </row>
    <row r="6105">
      <c r="A6105" s="7" t="s">
        <v>7697</v>
      </c>
      <c r="B6105" s="5" t="s">
        <v>15640</v>
      </c>
      <c r="C6105" s="5" t="s">
        <v>23299</v>
      </c>
      <c r="D6105" s="5" t="str">
        <v>632142735521</v>
      </c>
      <c r="E6105" s="0" t="e">
        <f>+7 (499) 2112233
+7 (903) 1960774</f>
        <v>#NAME?</v>
      </c>
      <c r="F6105" s="5" t="s">
        <v>43183</v>
      </c>
      <c r="G6105" s="5"/>
      <c r="H6105" s="26">
        <v>9</v>
      </c>
      <c r="I6105" s="5" t="s">
        <v>43208</v>
      </c>
      <c r="J6105" s="5" t="s">
        <v>27182</v>
      </c>
      <c r="K6105" s="5" t="s">
        <v>344</v>
      </c>
      <c r="L6105" s="5"/>
      <c r="M6105" s="27"/>
      <c r="N6105" s="5"/>
      <c r="O6105" s="5" t="str">
        <v>5027208125</v>
      </c>
      <c r="P6105" s="27">
        <v>10000</v>
      </c>
      <c r="Q6105" s="5" t="s">
        <v>49207</v>
      </c>
      <c r="R6105" s="5"/>
      <c r="S6105" s="5" t="s">
        <v>49311</v>
      </c>
      <c r="T6105" s="28">
        <v>85779000</v>
      </c>
      <c r="U6105" s="28"/>
      <c r="V6105" s="28">
        <v>369342000</v>
      </c>
      <c r="W6105" s="28"/>
      <c r="X6105" s="28">
        <v>260035000</v>
      </c>
      <c r="Y6105" s="28">
        <v>4777049000</v>
      </c>
      <c r="Z6105" s="28">
        <v>507256000</v>
      </c>
      <c r="AA6105" s="28">
        <v>3550089000</v>
      </c>
      <c r="AB6105" s="28">
        <v>202417000</v>
      </c>
      <c r="AC6105" s="28">
        <v>646265000</v>
      </c>
      <c r="AD6105" s="28">
        <v>507266000</v>
      </c>
      <c r="AE6105" s="28">
        <v>3702228000</v>
      </c>
      <c r="AF6105" s="28">
        <v>509102000</v>
      </c>
      <c r="AG6105" s="11"/>
    </row>
    <row r="6106">
      <c r="A6106" s="7" t="s">
        <v>7698</v>
      </c>
      <c r="B6106" s="5" t="s">
        <v>15641</v>
      </c>
      <c r="C6106" s="5" t="s">
        <v>23041</v>
      </c>
      <c r="D6106" s="5" t="str">
        <v>745002974404</v>
      </c>
      <c r="E6106" s="0" t="e">
        <f>+7 (343) 3103300
+7 (3432) 293405
+7 (3433) 103324
+7 (3433) 610128
+7 (3433) 766622
+7 (922) 2125637</f>
        <v>#NAME?</v>
      </c>
      <c r="F6106" s="5" t="s">
        <v>43209</v>
      </c>
      <c r="G6106" s="5" t="s">
        <v>43210</v>
      </c>
      <c r="H6106" s="26">
        <v>9.5</v>
      </c>
      <c r="I6106" s="5" t="s">
        <v>43211</v>
      </c>
      <c r="J6106" s="5" t="s">
        <v>42137</v>
      </c>
      <c r="K6106" s="5" t="s">
        <v>344</v>
      </c>
      <c r="L6106" s="5" t="s">
        <v>43212</v>
      </c>
      <c r="M6106" s="27">
        <v>255602</v>
      </c>
      <c r="N6106" s="5"/>
      <c r="O6106" s="5" t="str">
        <v>6685040700</v>
      </c>
      <c r="P6106" s="27">
        <v>929428299</v>
      </c>
      <c r="Q6106" s="5"/>
      <c r="R6106" s="5"/>
      <c r="S6106" s="5" t="s">
        <v>49110</v>
      </c>
      <c r="T6106" s="28">
        <v>96098000</v>
      </c>
      <c r="U6106" s="28">
        <v>1570385000</v>
      </c>
      <c r="V6106" s="28">
        <v>4299481000</v>
      </c>
      <c r="W6106" s="28">
        <v>4523000</v>
      </c>
      <c r="X6106" s="28">
        <v>3254724000</v>
      </c>
      <c r="Y6106" s="28">
        <v>14389379000</v>
      </c>
      <c r="Z6106" s="28">
        <v>2459178000</v>
      </c>
      <c r="AA6106" s="28">
        <v>4538976000</v>
      </c>
      <c r="AB6106" s="28">
        <v>1778932000</v>
      </c>
      <c r="AC6106" s="28">
        <v>5767030000</v>
      </c>
      <c r="AD6106" s="28">
        <v>3388606000</v>
      </c>
      <c r="AE6106" s="28">
        <v>3848466000</v>
      </c>
      <c r="AF6106" s="28">
        <v>765177000</v>
      </c>
      <c r="AG6106" s="11"/>
    </row>
    <row r="6107">
      <c r="A6107" s="7" t="s">
        <v>7699</v>
      </c>
      <c r="B6107" s="5" t="s">
        <v>15096</v>
      </c>
      <c r="C6107" s="5" t="s">
        <v>23300</v>
      </c>
      <c r="D6107" s="5" t="str">
        <v>504224674832</v>
      </c>
      <c r="E6107" s="0" t="e">
        <f>+7 (495) 1824004
+7 (495) 9671313
+7 (495) 9676822
+7 (912) 8546580</f>
        <v>#NAME?</v>
      </c>
      <c r="F6107" s="5"/>
      <c r="G6107" s="5"/>
      <c r="H6107" s="26">
        <v>6.5</v>
      </c>
      <c r="I6107" s="5" t="s">
        <v>43213</v>
      </c>
      <c r="J6107" s="5" t="s">
        <v>623</v>
      </c>
      <c r="K6107" s="5" t="s">
        <v>344</v>
      </c>
      <c r="L6107" s="5"/>
      <c r="M6107" s="27"/>
      <c r="N6107" s="5"/>
      <c r="O6107" s="5" t="str">
        <v>7731319243</v>
      </c>
      <c r="P6107" s="27">
        <v>10000</v>
      </c>
      <c r="Q6107" s="5" t="s">
        <v>49579</v>
      </c>
      <c r="R6107" s="5"/>
      <c r="S6107" s="5" t="s">
        <v>49580</v>
      </c>
      <c r="T6107" s="28">
        <v>29040000</v>
      </c>
      <c r="U6107" s="28">
        <v>1382837000</v>
      </c>
      <c r="V6107" s="28">
        <v>13531509000</v>
      </c>
      <c r="W6107" s="28">
        <v>12515000</v>
      </c>
      <c r="X6107" s="28">
        <v>13780000</v>
      </c>
      <c r="Y6107" s="28">
        <v>32773385000</v>
      </c>
      <c r="Z6107" s="28">
        <v>2966916000</v>
      </c>
      <c r="AA6107" s="28">
        <v>7906993000</v>
      </c>
      <c r="AB6107" s="28"/>
      <c r="AC6107" s="28">
        <v>16877520000</v>
      </c>
      <c r="AD6107" s="28">
        <v>2966926000</v>
      </c>
      <c r="AE6107" s="28">
        <v>9122166000</v>
      </c>
      <c r="AF6107" s="28">
        <v>3706538000</v>
      </c>
      <c r="AG6107" s="11"/>
    </row>
    <row r="6108">
      <c r="A6108" s="7" t="s">
        <v>7700</v>
      </c>
      <c r="B6108" s="5" t="s">
        <v>15642</v>
      </c>
      <c r="C6108" s="5" t="s">
        <v>23301</v>
      </c>
      <c r="D6108" s="5" t="str">
        <v>637204077000</v>
      </c>
      <c r="E6108" s="0" t="e">
        <f>+7 (84627) 62262
+7 (84627) 92262
+7 (929) 7047279
+7 (846) 3792525</f>
        <v>#NAME?</v>
      </c>
      <c r="F6108" s="5"/>
      <c r="G6108" s="5" t="s">
        <v>43214</v>
      </c>
      <c r="H6108" s="26">
        <v>8.5</v>
      </c>
      <c r="I6108" s="5" t="s">
        <v>43215</v>
      </c>
      <c r="J6108" s="5" t="s">
        <v>364</v>
      </c>
      <c r="K6108" s="5" t="s">
        <v>344</v>
      </c>
      <c r="L6108" s="5" t="s">
        <v>43216</v>
      </c>
      <c r="M6108" s="27">
        <v>2348745</v>
      </c>
      <c r="N6108" s="5" t="s">
        <v>58502</v>
      </c>
      <c r="O6108" s="5" t="str">
        <v>6316202981</v>
      </c>
      <c r="P6108" s="27">
        <v>2000000</v>
      </c>
      <c r="Q6108" s="5" t="s">
        <v>58503</v>
      </c>
      <c r="R6108" s="5"/>
      <c r="S6108" s="5" t="s">
        <v>49143</v>
      </c>
      <c r="T6108" s="28">
        <v>238563000</v>
      </c>
      <c r="U6108" s="28">
        <v>127101000</v>
      </c>
      <c r="V6108" s="28">
        <v>848937000</v>
      </c>
      <c r="W6108" s="28">
        <v>1696092000</v>
      </c>
      <c r="X6108" s="28">
        <v>282008000</v>
      </c>
      <c r="Y6108" s="28">
        <v>3400873000</v>
      </c>
      <c r="Z6108" s="28">
        <v>2916208000</v>
      </c>
      <c r="AA6108" s="28">
        <v>300731000</v>
      </c>
      <c r="AB6108" s="28"/>
      <c r="AC6108" s="28">
        <v>181933000</v>
      </c>
      <c r="AD6108" s="28">
        <v>2918208000</v>
      </c>
      <c r="AE6108" s="28">
        <v>4876663000</v>
      </c>
      <c r="AF6108" s="28">
        <v>2024842000</v>
      </c>
      <c r="AG6108" s="11"/>
    </row>
    <row r="6109">
      <c r="A6109" s="7" t="s">
        <v>7701</v>
      </c>
      <c r="B6109" s="5" t="s">
        <v>15643</v>
      </c>
      <c r="C6109" s="5" t="s">
        <v>23302</v>
      </c>
      <c r="D6109" s="5" t="str">
        <v>780605641063</v>
      </c>
      <c r="E6109" s="0" t="e">
        <f>+7 (812) 3312000
+7 (812) 3312044
+7 (812) 5400390
+7 (812) 5451429</f>
        <v>#NAME?</v>
      </c>
      <c r="F6109" s="5" t="s">
        <v>43217</v>
      </c>
      <c r="G6109" s="5"/>
      <c r="H6109" s="26">
        <v>30.5</v>
      </c>
      <c r="I6109" s="5"/>
      <c r="J6109" s="5" t="s">
        <v>42137</v>
      </c>
      <c r="K6109" s="5" t="s">
        <v>344</v>
      </c>
      <c r="L6109" s="5" t="s">
        <v>43218</v>
      </c>
      <c r="M6109" s="27"/>
      <c r="N6109" s="5" t="s">
        <v>58183</v>
      </c>
      <c r="O6109" s="5" t="str">
        <v>7804004544</v>
      </c>
      <c r="P6109" s="27">
        <v>800000064</v>
      </c>
      <c r="Q6109" s="5" t="s">
        <v>58504</v>
      </c>
      <c r="R6109" s="5"/>
      <c r="S6109" s="5" t="s">
        <v>49358</v>
      </c>
      <c r="T6109" s="28">
        <v>65854000</v>
      </c>
      <c r="U6109" s="28">
        <v>186109000</v>
      </c>
      <c r="V6109" s="28">
        <v>4961047000</v>
      </c>
      <c r="W6109" s="28">
        <v>69156000</v>
      </c>
      <c r="X6109" s="28">
        <v>90132000</v>
      </c>
      <c r="Y6109" s="28">
        <v>7676106000</v>
      </c>
      <c r="Z6109" s="28">
        <v>4938646000</v>
      </c>
      <c r="AA6109" s="28"/>
      <c r="AB6109" s="28"/>
      <c r="AC6109" s="28">
        <v>1890722000</v>
      </c>
      <c r="AD6109" s="28">
        <v>5790876000</v>
      </c>
      <c r="AE6109" s="28">
        <v>3864829000</v>
      </c>
      <c r="AF6109" s="28">
        <v>134628000</v>
      </c>
      <c r="AG6109" s="11"/>
    </row>
    <row r="6110">
      <c r="A6110" s="7" t="s">
        <v>7702</v>
      </c>
      <c r="B6110" s="5" t="s">
        <v>15644</v>
      </c>
      <c r="C6110" s="5" t="s">
        <v>23303</v>
      </c>
      <c r="D6110" s="5" t="str">
        <v>780251545627</v>
      </c>
      <c r="E6110" s="0" t="e">
        <f>+7 (812) 3312044
+7 (812) 5440569</f>
        <v>#NAME?</v>
      </c>
      <c r="F6110" s="5" t="s">
        <v>43219</v>
      </c>
      <c r="G6110" s="5"/>
      <c r="H6110" s="26">
        <v>10</v>
      </c>
      <c r="I6110" s="5" t="s">
        <v>43220</v>
      </c>
      <c r="J6110" s="5" t="s">
        <v>42137</v>
      </c>
      <c r="K6110" s="5" t="s">
        <v>344</v>
      </c>
      <c r="L6110" s="5" t="s">
        <v>43221</v>
      </c>
      <c r="M6110" s="27"/>
      <c r="N6110" s="5" t="s">
        <v>58505</v>
      </c>
      <c r="O6110" s="5" t="str">
        <v>4725483458</v>
      </c>
      <c r="P6110" s="27">
        <v>150000000</v>
      </c>
      <c r="Q6110" s="5" t="s">
        <v>58506</v>
      </c>
      <c r="R6110" s="5"/>
      <c r="S6110" s="5" t="s">
        <v>49195</v>
      </c>
      <c r="T6110" s="28">
        <v>2395000</v>
      </c>
      <c r="U6110" s="28"/>
      <c r="V6110" s="28">
        <v>3710581000</v>
      </c>
      <c r="W6110" s="28">
        <v>72100000</v>
      </c>
      <c r="X6110" s="28">
        <v>110467000</v>
      </c>
      <c r="Y6110" s="28">
        <v>17661932000</v>
      </c>
      <c r="Z6110" s="28">
        <v>1605335000</v>
      </c>
      <c r="AA6110" s="28">
        <v>6978717000</v>
      </c>
      <c r="AB6110" s="28">
        <v>668587000</v>
      </c>
      <c r="AC6110" s="28">
        <v>8927880000</v>
      </c>
      <c r="AD6110" s="28">
        <v>6758476000</v>
      </c>
      <c r="AE6110" s="28">
        <v>4044368000</v>
      </c>
      <c r="AF6110" s="28">
        <v>268255000</v>
      </c>
      <c r="AG6110" s="11"/>
    </row>
    <row r="6111">
      <c r="A6111" s="7" t="s">
        <v>7703</v>
      </c>
      <c r="B6111" s="5" t="s">
        <v>15645</v>
      </c>
      <c r="C6111" s="5" t="s">
        <v>23304</v>
      </c>
      <c r="D6111" s="5" t="str">
        <v>525619219192</v>
      </c>
      <c r="E6111" s="0" t="e">
        <f>+7 (495) 7751888
+7 (495) 7755522
+7 (831) 2601222
+7 (926) 8006614
+7 (926) 8206227</f>
        <v>#NAME?</v>
      </c>
      <c r="F6111" s="5" t="s">
        <v>43222</v>
      </c>
      <c r="G6111" s="5" t="s">
        <v>43223</v>
      </c>
      <c r="H6111" s="26">
        <v>12</v>
      </c>
      <c r="I6111" s="5" t="s">
        <v>43224</v>
      </c>
      <c r="J6111" s="5" t="s">
        <v>25337</v>
      </c>
      <c r="K6111" s="5" t="s">
        <v>344</v>
      </c>
      <c r="L6111" s="5" t="s">
        <v>43225</v>
      </c>
      <c r="M6111" s="27"/>
      <c r="N6111" s="5" t="s">
        <v>58507</v>
      </c>
      <c r="O6111" s="5" t="str">
        <v>5050089420</v>
      </c>
      <c r="P6111" s="27">
        <v>10000</v>
      </c>
      <c r="Q6111" s="5" t="s">
        <v>58508</v>
      </c>
      <c r="R6111" s="5"/>
      <c r="S6111" s="5" t="s">
        <v>58509</v>
      </c>
      <c r="T6111" s="28">
        <v>118476000</v>
      </c>
      <c r="U6111" s="28"/>
      <c r="V6111" s="28">
        <v>1002298000</v>
      </c>
      <c r="W6111" s="28"/>
      <c r="X6111" s="28">
        <v>119812000</v>
      </c>
      <c r="Y6111" s="28">
        <v>3415869000</v>
      </c>
      <c r="Z6111" s="28">
        <v>1328055000</v>
      </c>
      <c r="AA6111" s="28"/>
      <c r="AB6111" s="28">
        <v>182559000</v>
      </c>
      <c r="AC6111" s="28">
        <v>2083675000</v>
      </c>
      <c r="AD6111" s="28">
        <v>1328093000</v>
      </c>
      <c r="AE6111" s="28">
        <v>5554550000</v>
      </c>
      <c r="AF6111" s="28">
        <v>600899000</v>
      </c>
      <c r="AG6111" s="11"/>
    </row>
    <row r="6112">
      <c r="A6112" s="7" t="s">
        <v>7704</v>
      </c>
      <c r="B6112" s="5" t="s">
        <v>15646</v>
      </c>
      <c r="C6112" s="5" t="s">
        <v>23305</v>
      </c>
      <c r="D6112" s="5" t="str">
        <v>772478819830</v>
      </c>
      <c r="F6112" s="5"/>
      <c r="G6112" s="5"/>
      <c r="H6112" s="26">
        <v>6</v>
      </c>
      <c r="I6112" s="5" t="s">
        <v>43226</v>
      </c>
      <c r="J6112" s="5" t="s">
        <v>999</v>
      </c>
      <c r="K6112" s="5" t="s">
        <v>344</v>
      </c>
      <c r="L6112" s="5"/>
      <c r="M6112" s="27"/>
      <c r="N6112" s="5" t="s">
        <v>58510</v>
      </c>
      <c r="O6112" s="5" t="str">
        <v>7806258664</v>
      </c>
      <c r="P6112" s="27">
        <v>200000</v>
      </c>
      <c r="Q6112" s="5" t="s">
        <v>58511</v>
      </c>
      <c r="R6112" s="5"/>
      <c r="S6112" s="5" t="s">
        <v>49496</v>
      </c>
      <c r="T6112" s="28">
        <v>9984000</v>
      </c>
      <c r="U6112" s="28"/>
      <c r="V6112" s="28">
        <v>2427361000</v>
      </c>
      <c r="W6112" s="28"/>
      <c r="X6112" s="28">
        <v>86544000</v>
      </c>
      <c r="Y6112" s="28">
        <v>4071785000</v>
      </c>
      <c r="Z6112" s="28">
        <v>17473000</v>
      </c>
      <c r="AA6112" s="28">
        <v>10000000</v>
      </c>
      <c r="AB6112" s="28">
        <v>1087000</v>
      </c>
      <c r="AC6112" s="28">
        <v>4038519000</v>
      </c>
      <c r="AD6112" s="28">
        <v>20870000</v>
      </c>
      <c r="AE6112" s="28">
        <v>3420487000</v>
      </c>
      <c r="AF6112" s="28">
        <v>13495000</v>
      </c>
      <c r="AG6112" s="11"/>
    </row>
    <row r="6113">
      <c r="A6113" s="7" t="s">
        <v>7705</v>
      </c>
      <c r="B6113" s="5" t="s">
        <v>15647</v>
      </c>
      <c r="C6113" s="5" t="s">
        <v>23306</v>
      </c>
      <c r="D6113" s="5" t="str">
        <v>505101286599</v>
      </c>
      <c r="E6113" s="0" t="e">
        <f>+7 (925) 7147406</f>
        <v>#NAME?</v>
      </c>
      <c r="F6113" s="5" t="s">
        <v>43227</v>
      </c>
      <c r="G6113" s="5" t="s">
        <v>43228</v>
      </c>
      <c r="H6113" s="26">
        <v>11</v>
      </c>
      <c r="I6113" s="5" t="s">
        <v>43229</v>
      </c>
      <c r="J6113" s="5" t="s">
        <v>28617</v>
      </c>
      <c r="K6113" s="5" t="s">
        <v>344</v>
      </c>
      <c r="L6113" s="5" t="s">
        <v>43230</v>
      </c>
      <c r="M6113" s="27"/>
      <c r="N6113" s="5" t="s">
        <v>58512</v>
      </c>
      <c r="O6113" s="5" t="str">
        <v>7706766583</v>
      </c>
      <c r="P6113" s="27">
        <v>150000</v>
      </c>
      <c r="Q6113" s="5" t="s">
        <v>58513</v>
      </c>
      <c r="R6113" s="5"/>
      <c r="S6113" s="5" t="s">
        <v>52946</v>
      </c>
      <c r="T6113" s="28"/>
      <c r="U6113" s="28"/>
      <c r="V6113" s="28">
        <v>549317000</v>
      </c>
      <c r="W6113" s="28"/>
      <c r="X6113" s="28">
        <v>4872000</v>
      </c>
      <c r="Y6113" s="28">
        <v>554281000</v>
      </c>
      <c r="Z6113" s="28">
        <v>38714000</v>
      </c>
      <c r="AA6113" s="28"/>
      <c r="AB6113" s="28"/>
      <c r="AC6113" s="28">
        <v>515410000</v>
      </c>
      <c r="AD6113" s="28">
        <v>38864000</v>
      </c>
      <c r="AE6113" s="28">
        <v>8942912000</v>
      </c>
      <c r="AF6113" s="28">
        <v>35216000</v>
      </c>
      <c r="AG6113" s="11"/>
    </row>
    <row r="6114">
      <c r="A6114" s="7" t="s">
        <v>7706</v>
      </c>
      <c r="B6114" s="5" t="s">
        <v>15648</v>
      </c>
      <c r="C6114" s="5" t="s">
        <v>23307</v>
      </c>
      <c r="D6114" s="5" t="str">
        <v>390606830044</v>
      </c>
      <c r="E6114" s="0" t="e">
        <f>+7 (401) 2777771
+7 (401) 2616433</f>
        <v>#NAME?</v>
      </c>
      <c r="F6114" s="5"/>
      <c r="G6114" s="5"/>
      <c r="H6114" s="26">
        <v>12</v>
      </c>
      <c r="I6114" s="5" t="s">
        <v>43231</v>
      </c>
      <c r="J6114" s="5" t="s">
        <v>27182</v>
      </c>
      <c r="K6114" s="5" t="s">
        <v>380</v>
      </c>
      <c r="L6114" s="5"/>
      <c r="M6114" s="27"/>
      <c r="N6114" s="5"/>
      <c r="O6114" s="5" t="str">
        <v>3917509130</v>
      </c>
      <c r="P6114" s="27">
        <v>10000</v>
      </c>
      <c r="Q6114" s="5"/>
      <c r="R6114" s="5"/>
      <c r="S6114" s="5" t="s">
        <v>49110</v>
      </c>
      <c r="T6114" s="28">
        <v>8654000</v>
      </c>
      <c r="U6114" s="28"/>
      <c r="V6114" s="28">
        <v>1559175000</v>
      </c>
      <c r="W6114" s="28">
        <v>1426000</v>
      </c>
      <c r="X6114" s="28">
        <v>391897000</v>
      </c>
      <c r="Y6114" s="28">
        <v>2653119000</v>
      </c>
      <c r="Z6114" s="28">
        <v>1152719000</v>
      </c>
      <c r="AA6114" s="28"/>
      <c r="AB6114" s="28"/>
      <c r="AC6114" s="28">
        <v>1039670000</v>
      </c>
      <c r="AD6114" s="28">
        <v>1152729000</v>
      </c>
      <c r="AE6114" s="28">
        <v>3567094000</v>
      </c>
      <c r="AF6114" s="28">
        <v>963324000</v>
      </c>
      <c r="AG6114" s="11"/>
    </row>
    <row r="6115">
      <c r="A6115" s="7" t="s">
        <v>7707</v>
      </c>
      <c r="B6115" s="5" t="s">
        <v>15649</v>
      </c>
      <c r="C6115" s="5" t="s">
        <v>23308</v>
      </c>
      <c r="D6115" s="5" t="str">
        <v>744607981589</v>
      </c>
      <c r="E6115" s="0" t="e">
        <f>+7 (919) 3445663</f>
        <v>#NAME?</v>
      </c>
      <c r="F6115" s="5" t="s">
        <v>43232</v>
      </c>
      <c r="G6115" s="5" t="s">
        <v>43233</v>
      </c>
      <c r="H6115" s="26">
        <v>9</v>
      </c>
      <c r="I6115" s="5" t="s">
        <v>43234</v>
      </c>
      <c r="J6115" s="5" t="s">
        <v>26292</v>
      </c>
      <c r="K6115" s="5" t="s">
        <v>344</v>
      </c>
      <c r="L6115" s="5" t="s">
        <v>43235</v>
      </c>
      <c r="M6115" s="27"/>
      <c r="N6115" s="5" t="s">
        <v>58514</v>
      </c>
      <c r="O6115" s="5" t="str">
        <v>7456021049</v>
      </c>
      <c r="P6115" s="27">
        <v>10000000</v>
      </c>
      <c r="Q6115" s="5" t="s">
        <v>58515</v>
      </c>
      <c r="R6115" s="5"/>
      <c r="S6115" s="5" t="s">
        <v>49686</v>
      </c>
      <c r="T6115" s="28">
        <v>501000</v>
      </c>
      <c r="U6115" s="28"/>
      <c r="V6115" s="28">
        <v>2070572000</v>
      </c>
      <c r="W6115" s="28"/>
      <c r="X6115" s="28">
        <v>1019343000</v>
      </c>
      <c r="Y6115" s="28">
        <v>3361675000</v>
      </c>
      <c r="Z6115" s="28">
        <v>822004000</v>
      </c>
      <c r="AA6115" s="28"/>
      <c r="AB6115" s="28"/>
      <c r="AC6115" s="28">
        <v>2529653000</v>
      </c>
      <c r="AD6115" s="28">
        <v>832004000</v>
      </c>
      <c r="AE6115" s="28">
        <v>7266237000</v>
      </c>
      <c r="AF6115" s="28">
        <v>267408000</v>
      </c>
      <c r="AG6115" s="11"/>
    </row>
    <row r="6116">
      <c r="A6116" s="7" t="s">
        <v>7708</v>
      </c>
      <c r="B6116" s="5" t="s">
        <v>15650</v>
      </c>
      <c r="C6116" s="5" t="s">
        <v>23309</v>
      </c>
      <c r="D6116" s="5" t="str">
        <v>700233504225</v>
      </c>
      <c r="E6116" s="0" t="e">
        <f>+7 (812) 2093024
+7 (812) 2511351
+7 (931) 2523506</f>
        <v>#NAME?</v>
      </c>
      <c r="F6116" s="5" t="s">
        <v>43236</v>
      </c>
      <c r="G6116" s="5"/>
      <c r="H6116" s="26">
        <v>16</v>
      </c>
      <c r="I6116" s="5" t="s">
        <v>43237</v>
      </c>
      <c r="J6116" s="5" t="s">
        <v>467</v>
      </c>
      <c r="K6116" s="5" t="s">
        <v>344</v>
      </c>
      <c r="L6116" s="5" t="s">
        <v>43238</v>
      </c>
      <c r="M6116" s="27"/>
      <c r="N6116" s="5"/>
      <c r="O6116" s="5" t="str">
        <v>7807321245</v>
      </c>
      <c r="P6116" s="27">
        <v>150000</v>
      </c>
      <c r="Q6116" s="5"/>
      <c r="R6116" s="5"/>
      <c r="S6116" s="5" t="s">
        <v>49110</v>
      </c>
      <c r="T6116" s="28">
        <v>625000</v>
      </c>
      <c r="U6116" s="28"/>
      <c r="V6116" s="28">
        <v>2652365000</v>
      </c>
      <c r="W6116" s="28"/>
      <c r="X6116" s="28">
        <v>5082000</v>
      </c>
      <c r="Y6116" s="28">
        <v>2665305000</v>
      </c>
      <c r="Z6116" s="28">
        <v>100603000</v>
      </c>
      <c r="AA6116" s="28"/>
      <c r="AB6116" s="28"/>
      <c r="AC6116" s="28">
        <v>2564544000</v>
      </c>
      <c r="AD6116" s="28">
        <v>100753000</v>
      </c>
      <c r="AE6116" s="28">
        <v>3422077000</v>
      </c>
      <c r="AF6116" s="28">
        <v>76740000</v>
      </c>
      <c r="AG6116" s="11"/>
    </row>
    <row r="6117">
      <c r="A6117" s="7" t="s">
        <v>7709</v>
      </c>
      <c r="B6117" s="5" t="s">
        <v>15651</v>
      </c>
      <c r="C6117" s="5" t="s">
        <v>23310</v>
      </c>
      <c r="D6117" s="5" t="str">
        <v>590504301103</v>
      </c>
      <c r="F6117" s="5"/>
      <c r="G6117" s="5" t="s">
        <v>43239</v>
      </c>
      <c r="H6117" s="26">
        <v>12.5</v>
      </c>
      <c r="I6117" s="5" t="s">
        <v>43240</v>
      </c>
      <c r="J6117" s="5" t="s">
        <v>785</v>
      </c>
      <c r="K6117" s="5" t="s">
        <v>355</v>
      </c>
      <c r="L6117" s="5"/>
      <c r="M6117" s="27"/>
      <c r="N6117" s="5"/>
      <c r="O6117" s="5" t="str">
        <v>7722719975</v>
      </c>
      <c r="P6117" s="27">
        <v>1042875</v>
      </c>
      <c r="Q6117" s="5" t="s">
        <v>49009</v>
      </c>
      <c r="R6117" s="5"/>
      <c r="S6117" s="5" t="s">
        <v>49010</v>
      </c>
      <c r="T6117" s="28">
        <v>39455000</v>
      </c>
      <c r="U6117" s="28"/>
      <c r="V6117" s="28">
        <v>713920000</v>
      </c>
      <c r="W6117" s="28">
        <v>14391000</v>
      </c>
      <c r="X6117" s="28">
        <v>546216000</v>
      </c>
      <c r="Y6117" s="28">
        <v>1334781000</v>
      </c>
      <c r="Z6117" s="28">
        <v>-49403000</v>
      </c>
      <c r="AA6117" s="28"/>
      <c r="AB6117" s="28"/>
      <c r="AC6117" s="28">
        <v>1338816000</v>
      </c>
      <c r="AD6117" s="28">
        <v>-48360000</v>
      </c>
      <c r="AE6117" s="28">
        <v>7727986000</v>
      </c>
      <c r="AF6117" s="28">
        <v>-56801000</v>
      </c>
      <c r="AG6117" s="11"/>
    </row>
    <row r="6118">
      <c r="A6118" s="7" t="s">
        <v>7710</v>
      </c>
      <c r="B6118" s="5" t="s">
        <v>15652</v>
      </c>
      <c r="C6118" s="5" t="s">
        <v>23311</v>
      </c>
      <c r="D6118" s="5" t="str">
        <v>773365220484</v>
      </c>
      <c r="E6118" s="0" t="e">
        <f>+7 (495) 9563273
+7 (495) 9567184
+7 (495) 9720687
+7 (495) 9565539
+7 (916) 6537375
+7 (952) 4686365
+7 (967) 2213058
+7 (495) 114400
+7 (495) 9258894
+7 (495) 9563559
+7 (800) 6004400</f>
        <v>#NAME?</v>
      </c>
      <c r="F6118" s="5" t="s">
        <v>43241</v>
      </c>
      <c r="G6118" s="5" t="s">
        <v>43242</v>
      </c>
      <c r="H6118" s="26">
        <v>19.5</v>
      </c>
      <c r="I6118" s="5" t="s">
        <v>43243</v>
      </c>
      <c r="J6118" s="5" t="s">
        <v>32226</v>
      </c>
      <c r="K6118" s="5" t="s">
        <v>344</v>
      </c>
      <c r="L6118" s="5" t="s">
        <v>43244</v>
      </c>
      <c r="M6118" s="27"/>
      <c r="N6118" s="5" t="s">
        <v>58516</v>
      </c>
      <c r="O6118" s="5" t="str">
        <v>7728292344</v>
      </c>
      <c r="P6118" s="27">
        <v>5000000</v>
      </c>
      <c r="Q6118" s="5" t="s">
        <v>58517</v>
      </c>
      <c r="R6118" s="5"/>
      <c r="S6118" s="5" t="s">
        <v>58518</v>
      </c>
      <c r="T6118" s="28">
        <v>389527000</v>
      </c>
      <c r="U6118" s="28">
        <v>45000</v>
      </c>
      <c r="V6118" s="28">
        <v>632310000</v>
      </c>
      <c r="W6118" s="28"/>
      <c r="X6118" s="28">
        <v>192825000</v>
      </c>
      <c r="Y6118" s="28">
        <v>2474874000</v>
      </c>
      <c r="Z6118" s="28">
        <v>1239233000</v>
      </c>
      <c r="AA6118" s="28"/>
      <c r="AB6118" s="28"/>
      <c r="AC6118" s="28">
        <v>682558000</v>
      </c>
      <c r="AD6118" s="28">
        <v>1404123000</v>
      </c>
      <c r="AE6118" s="28">
        <v>5636609000</v>
      </c>
      <c r="AF6118" s="28">
        <v>649653000</v>
      </c>
      <c r="AG6118" s="11"/>
    </row>
    <row r="6119">
      <c r="A6119" s="7" t="s">
        <v>7711</v>
      </c>
      <c r="B6119" s="5" t="s">
        <v>15653</v>
      </c>
      <c r="C6119" s="5" t="s">
        <v>23312</v>
      </c>
      <c r="D6119" s="5" t="str">
        <v>343524252981</v>
      </c>
      <c r="E6119" s="0" t="e">
        <f>+7 (495) 9617753</f>
        <v>#NAME?</v>
      </c>
      <c r="F6119" s="5" t="s">
        <v>43245</v>
      </c>
      <c r="G6119" s="5" t="s">
        <v>43246</v>
      </c>
      <c r="H6119" s="26">
        <v>16.5</v>
      </c>
      <c r="I6119" s="5" t="s">
        <v>43247</v>
      </c>
      <c r="J6119" s="5" t="s">
        <v>26799</v>
      </c>
      <c r="K6119" s="5" t="s">
        <v>344</v>
      </c>
      <c r="L6119" s="5" t="s">
        <v>43248</v>
      </c>
      <c r="M6119" s="27"/>
      <c r="N6119" s="5" t="s">
        <v>57965</v>
      </c>
      <c r="O6119" s="5" t="str">
        <v>3435079971</v>
      </c>
      <c r="P6119" s="27">
        <v>20000000</v>
      </c>
      <c r="Q6119" s="5" t="s">
        <v>58519</v>
      </c>
      <c r="R6119" s="5"/>
      <c r="S6119" s="5" t="s">
        <v>58520</v>
      </c>
      <c r="T6119" s="28">
        <v>49487000</v>
      </c>
      <c r="U6119" s="28"/>
      <c r="V6119" s="28">
        <v>1826755000</v>
      </c>
      <c r="W6119" s="28">
        <v>346963000</v>
      </c>
      <c r="X6119" s="28">
        <v>6677000</v>
      </c>
      <c r="Y6119" s="28">
        <v>3980954000</v>
      </c>
      <c r="Z6119" s="28">
        <v>1737636000</v>
      </c>
      <c r="AA6119" s="28"/>
      <c r="AB6119" s="28">
        <v>336261000</v>
      </c>
      <c r="AC6119" s="28">
        <v>1370665000</v>
      </c>
      <c r="AD6119" s="28">
        <v>2607113000</v>
      </c>
      <c r="AE6119" s="28">
        <v>5869277000</v>
      </c>
      <c r="AF6119" s="28">
        <v>934056000</v>
      </c>
      <c r="AG6119" s="11"/>
    </row>
    <row r="6120">
      <c r="A6120" s="7" t="s">
        <v>7712</v>
      </c>
      <c r="B6120" s="5" t="s">
        <v>15654</v>
      </c>
      <c r="C6120" s="5" t="s">
        <v>23313</v>
      </c>
      <c r="D6120" s="5" t="str">
        <v>503013681740</v>
      </c>
      <c r="E6120" s="0" t="e">
        <f>+7 (495) 2799008
+7 (495) 6799008
+7 (916) 1266216</f>
        <v>#NAME?</v>
      </c>
      <c r="F6120" s="5" t="s">
        <v>43249</v>
      </c>
      <c r="G6120" s="5" t="s">
        <v>43250</v>
      </c>
      <c r="H6120" s="26">
        <v>16.5</v>
      </c>
      <c r="I6120" s="5" t="s">
        <v>43251</v>
      </c>
      <c r="J6120" s="5" t="s">
        <v>30822</v>
      </c>
      <c r="K6120" s="5" t="s">
        <v>344</v>
      </c>
      <c r="L6120" s="5" t="s">
        <v>43252</v>
      </c>
      <c r="M6120" s="27"/>
      <c r="N6120" s="5"/>
      <c r="O6120" s="5" t="str">
        <v>7701665084</v>
      </c>
      <c r="P6120" s="27">
        <v>13200000</v>
      </c>
      <c r="Q6120" s="5" t="s">
        <v>49021</v>
      </c>
      <c r="R6120" s="5"/>
      <c r="S6120" s="5" t="s">
        <v>49235</v>
      </c>
      <c r="T6120" s="28">
        <v>15784000</v>
      </c>
      <c r="U6120" s="28"/>
      <c r="V6120" s="28">
        <v>111788000</v>
      </c>
      <c r="W6120" s="28"/>
      <c r="X6120" s="28">
        <v>1534073000</v>
      </c>
      <c r="Y6120" s="28">
        <v>2279738000</v>
      </c>
      <c r="Z6120" s="28">
        <v>144845000</v>
      </c>
      <c r="AA6120" s="28"/>
      <c r="AB6120" s="28"/>
      <c r="AC6120" s="28">
        <v>2120170000</v>
      </c>
      <c r="AD6120" s="28">
        <v>158045000</v>
      </c>
      <c r="AE6120" s="28">
        <v>4027390000</v>
      </c>
      <c r="AF6120" s="28">
        <v>140029000</v>
      </c>
      <c r="AG6120" s="11"/>
    </row>
    <row r="6121">
      <c r="A6121" s="7" t="s">
        <v>7713</v>
      </c>
      <c r="B6121" s="5" t="s">
        <v>15655</v>
      </c>
      <c r="C6121" s="5" t="s">
        <v>23314</v>
      </c>
      <c r="D6121" s="5" t="str">
        <v>010703004012</v>
      </c>
      <c r="E6121" s="0" t="e">
        <f>+7 (499) 1246024
+7 (499) 1246335
+7 (499) 1246435
+7 (499) 1246653</f>
        <v>#NAME?</v>
      </c>
      <c r="F6121" s="5" t="s">
        <v>43253</v>
      </c>
      <c r="G6121" s="5"/>
      <c r="H6121" s="26">
        <v>19</v>
      </c>
      <c r="I6121" s="5" t="s">
        <v>43254</v>
      </c>
      <c r="J6121" s="5" t="s">
        <v>1095</v>
      </c>
      <c r="K6121" s="5" t="s">
        <v>355</v>
      </c>
      <c r="L6121" s="5" t="s">
        <v>43255</v>
      </c>
      <c r="M6121" s="27">
        <v>228000</v>
      </c>
      <c r="N6121" s="5"/>
      <c r="O6121" s="5" t="str">
        <v>7701524573</v>
      </c>
      <c r="P6121" s="27">
        <v>40000</v>
      </c>
      <c r="Q6121" s="5"/>
      <c r="R6121" s="5"/>
      <c r="S6121" s="5" t="s">
        <v>49496</v>
      </c>
      <c r="T6121" s="28">
        <v>1287167000</v>
      </c>
      <c r="U6121" s="28"/>
      <c r="V6121" s="28">
        <v>1924045000</v>
      </c>
      <c r="W6121" s="28">
        <v>125755000</v>
      </c>
      <c r="X6121" s="28">
        <v>290824000</v>
      </c>
      <c r="Y6121" s="28">
        <v>4096291000</v>
      </c>
      <c r="Z6121" s="28">
        <v>1289199000</v>
      </c>
      <c r="AA6121" s="28"/>
      <c r="AB6121" s="28"/>
      <c r="AC6121" s="28">
        <v>1454266000</v>
      </c>
      <c r="AD6121" s="28">
        <v>2301071000</v>
      </c>
      <c r="AE6121" s="28">
        <v>5206883000</v>
      </c>
      <c r="AF6121" s="28">
        <v>89052000</v>
      </c>
      <c r="AG6121" s="11"/>
    </row>
    <row r="6122">
      <c r="A6122" s="7" t="s">
        <v>7714</v>
      </c>
      <c r="B6122" s="5" t="s">
        <v>15656</v>
      </c>
      <c r="C6122" s="5" t="s">
        <v>23315</v>
      </c>
      <c r="D6122" s="5" t="str">
        <v>772854770595</v>
      </c>
      <c r="E6122" s="0" t="e">
        <f>+7 (499) 6537466</f>
        <v>#NAME?</v>
      </c>
      <c r="F6122" s="5" t="s">
        <v>43256</v>
      </c>
      <c r="G6122" s="5" t="s">
        <v>43257</v>
      </c>
      <c r="H6122" s="26">
        <v>8.5</v>
      </c>
      <c r="I6122" s="5" t="s">
        <v>43258</v>
      </c>
      <c r="J6122" s="5" t="s">
        <v>710</v>
      </c>
      <c r="K6122" s="5" t="s">
        <v>344</v>
      </c>
      <c r="L6122" s="5" t="s">
        <v>43259</v>
      </c>
      <c r="M6122" s="27"/>
      <c r="N6122" s="5" t="s">
        <v>58521</v>
      </c>
      <c r="O6122" s="5" t="str">
        <v>7728888867</v>
      </c>
      <c r="P6122" s="27">
        <v>10500</v>
      </c>
      <c r="Q6122" s="5" t="s">
        <v>49387</v>
      </c>
      <c r="R6122" s="5"/>
      <c r="S6122" s="5" t="s">
        <v>58523</v>
      </c>
      <c r="T6122" s="28">
        <v>965732000</v>
      </c>
      <c r="U6122" s="28">
        <v>230000</v>
      </c>
      <c r="V6122" s="28">
        <v>4253075000</v>
      </c>
      <c r="W6122" s="28">
        <v>4285000</v>
      </c>
      <c r="X6122" s="28">
        <v>561714000</v>
      </c>
      <c r="Y6122" s="28">
        <v>7010086000</v>
      </c>
      <c r="Z6122" s="28">
        <v>1914786000</v>
      </c>
      <c r="AA6122" s="28"/>
      <c r="AB6122" s="28">
        <v>697438000</v>
      </c>
      <c r="AC6122" s="28">
        <v>4916193000</v>
      </c>
      <c r="AD6122" s="28">
        <v>1914799000</v>
      </c>
      <c r="AE6122" s="28">
        <v>10170250000</v>
      </c>
      <c r="AF6122" s="28">
        <v>1751946000</v>
      </c>
      <c r="AG6122" s="11"/>
    </row>
    <row r="6123">
      <c r="A6123" s="7" t="s">
        <v>7715</v>
      </c>
      <c r="B6123" s="5" t="s">
        <v>15657</v>
      </c>
      <c r="C6123" s="5" t="s">
        <v>23316</v>
      </c>
      <c r="D6123" s="5" t="str">
        <v>772024853164</v>
      </c>
      <c r="E6123" s="0" t="e">
        <f>+7 (495) 2216140
+7 (487) 2522800
+7 (495) 2216130
+7 (495) 2216135
+7 (800) 6007092
+7 (916) 5724482
+7 (965) 1400021</f>
        <v>#NAME?</v>
      </c>
      <c r="F6123" s="5" t="s">
        <v>43260</v>
      </c>
      <c r="G6123" s="5" t="s">
        <v>43261</v>
      </c>
      <c r="H6123" s="26">
        <v>12</v>
      </c>
      <c r="I6123" s="5" t="s">
        <v>43262</v>
      </c>
      <c r="J6123" s="5" t="s">
        <v>678</v>
      </c>
      <c r="K6123" s="5" t="s">
        <v>344</v>
      </c>
      <c r="L6123" s="5" t="s">
        <v>33614</v>
      </c>
      <c r="M6123" s="27">
        <v>241942</v>
      </c>
      <c r="N6123" s="5"/>
      <c r="O6123" s="5" t="str">
        <v>7724405942</v>
      </c>
      <c r="P6123" s="27">
        <v>20000</v>
      </c>
      <c r="Q6123" s="5" t="s">
        <v>49009</v>
      </c>
      <c r="R6123" s="5"/>
      <c r="S6123" s="5" t="s">
        <v>49045</v>
      </c>
      <c r="T6123" s="28">
        <v>493000</v>
      </c>
      <c r="U6123" s="28"/>
      <c r="V6123" s="28">
        <v>214090000</v>
      </c>
      <c r="W6123" s="28">
        <v>136870000</v>
      </c>
      <c r="X6123" s="28">
        <v>39610000</v>
      </c>
      <c r="Y6123" s="28">
        <v>587033000</v>
      </c>
      <c r="Z6123" s="28">
        <v>263407000</v>
      </c>
      <c r="AA6123" s="28"/>
      <c r="AB6123" s="28"/>
      <c r="AC6123" s="28">
        <v>323574000</v>
      </c>
      <c r="AD6123" s="28">
        <v>263427000</v>
      </c>
      <c r="AE6123" s="28">
        <v>3722567000</v>
      </c>
      <c r="AF6123" s="28">
        <v>92019000</v>
      </c>
      <c r="AG6123" s="11"/>
    </row>
    <row r="6124">
      <c r="A6124" s="7" t="s">
        <v>7716</v>
      </c>
      <c r="B6124" s="5" t="s">
        <v>15658</v>
      </c>
      <c r="C6124" s="5" t="s">
        <v>23317</v>
      </c>
      <c r="D6124" s="5" t="str">
        <v>773128575812</v>
      </c>
      <c r="E6124" s="0" t="e">
        <f>+7 (968) 5608918
+7 (495) 9800165
+7 (495) 9885851
+7 (967) 1375452</f>
        <v>#NAME?</v>
      </c>
      <c r="F6124" s="5" t="s">
        <v>43263</v>
      </c>
      <c r="G6124" s="5"/>
      <c r="H6124" s="26">
        <v>15.5</v>
      </c>
      <c r="I6124" s="5" t="s">
        <v>43264</v>
      </c>
      <c r="J6124" s="5" t="s">
        <v>467</v>
      </c>
      <c r="K6124" s="5" t="s">
        <v>344</v>
      </c>
      <c r="L6124" s="5" t="s">
        <v>43265</v>
      </c>
      <c r="M6124" s="27"/>
      <c r="N6124" s="5" t="s">
        <v>58524</v>
      </c>
      <c r="O6124" s="5" t="str">
        <v>7728623959</v>
      </c>
      <c r="P6124" s="27">
        <v>500000</v>
      </c>
      <c r="Q6124" s="5" t="s">
        <v>58525</v>
      </c>
      <c r="R6124" s="5"/>
      <c r="S6124" s="5" t="s">
        <v>50831</v>
      </c>
      <c r="T6124" s="28">
        <v>723835000</v>
      </c>
      <c r="U6124" s="28"/>
      <c r="V6124" s="28">
        <v>344195000</v>
      </c>
      <c r="W6124" s="28"/>
      <c r="X6124" s="28">
        <v>32798000</v>
      </c>
      <c r="Y6124" s="28">
        <v>2238395000</v>
      </c>
      <c r="Z6124" s="28">
        <v>752356000</v>
      </c>
      <c r="AA6124" s="28"/>
      <c r="AB6124" s="28">
        <v>704000000</v>
      </c>
      <c r="AC6124" s="28">
        <v>998652000</v>
      </c>
      <c r="AD6124" s="28">
        <v>752856000</v>
      </c>
      <c r="AE6124" s="28">
        <v>3542384000</v>
      </c>
      <c r="AF6124" s="28">
        <v>138467000</v>
      </c>
      <c r="AG6124" s="11"/>
    </row>
    <row r="6125">
      <c r="A6125" s="7" t="s">
        <v>7717</v>
      </c>
      <c r="B6125" s="5" t="s">
        <v>15659</v>
      </c>
      <c r="C6125" s="5" t="s">
        <v>23318</v>
      </c>
      <c r="D6125" s="5" t="str">
        <v>027504264819</v>
      </c>
      <c r="E6125" s="0" t="e">
        <f>+7 (42337) 42627
+7 (42337) 43369
+7 (42337) 43550
+7 (42337) 43751
+7 (42337) 98771</f>
        <v>#NAME?</v>
      </c>
      <c r="F6125" s="5" t="s">
        <v>43266</v>
      </c>
      <c r="G6125" s="5" t="s">
        <v>43267</v>
      </c>
      <c r="H6125" s="26">
        <v>30</v>
      </c>
      <c r="I6125" s="5"/>
      <c r="J6125" s="5" t="s">
        <v>467</v>
      </c>
      <c r="K6125" s="5" t="s">
        <v>344</v>
      </c>
      <c r="L6125" s="5" t="s">
        <v>43268</v>
      </c>
      <c r="M6125" s="27">
        <v>436344</v>
      </c>
      <c r="N6125" s="5" t="s">
        <v>58526</v>
      </c>
      <c r="O6125" s="5" t="str">
        <v>2502001347</v>
      </c>
      <c r="P6125" s="27">
        <v>1000000</v>
      </c>
      <c r="Q6125" s="5" t="s">
        <v>58527</v>
      </c>
      <c r="R6125" s="5"/>
      <c r="S6125" s="5" t="s">
        <v>58528</v>
      </c>
      <c r="T6125" s="28">
        <v>263149000</v>
      </c>
      <c r="U6125" s="28"/>
      <c r="V6125" s="28">
        <v>151283000</v>
      </c>
      <c r="W6125" s="28"/>
      <c r="X6125" s="28">
        <v>591977000</v>
      </c>
      <c r="Y6125" s="28">
        <v>1304811000</v>
      </c>
      <c r="Z6125" s="28">
        <v>146613000</v>
      </c>
      <c r="AA6125" s="28">
        <v>12900000</v>
      </c>
      <c r="AB6125" s="28">
        <v>14238000</v>
      </c>
      <c r="AC6125" s="28">
        <v>1038039000</v>
      </c>
      <c r="AD6125" s="28">
        <v>149803000</v>
      </c>
      <c r="AE6125" s="28">
        <v>3286227000</v>
      </c>
      <c r="AF6125" s="28">
        <v>55028000</v>
      </c>
      <c r="AG6125" s="11"/>
    </row>
    <row r="6126">
      <c r="A6126" s="7" t="s">
        <v>7718</v>
      </c>
      <c r="B6126" s="5" t="s">
        <v>15660</v>
      </c>
      <c r="C6126" s="5" t="s">
        <v>23319</v>
      </c>
      <c r="D6126" s="5" t="str">
        <v>561506524179</v>
      </c>
      <c r="E6126" s="0" t="e">
        <f>+7 (495) 5891977
+7 (495) 5891978
+7 (83152) 27627
+7 (83152) 62510</f>
        <v>#NAME?</v>
      </c>
      <c r="F6126" s="5" t="s">
        <v>43269</v>
      </c>
      <c r="G6126" s="5" t="s">
        <v>43270</v>
      </c>
      <c r="H6126" s="26">
        <v>19</v>
      </c>
      <c r="I6126" s="5" t="s">
        <v>43271</v>
      </c>
      <c r="J6126" s="5" t="s">
        <v>26905</v>
      </c>
      <c r="K6126" s="5" t="s">
        <v>355</v>
      </c>
      <c r="L6126" s="5" t="s">
        <v>43272</v>
      </c>
      <c r="M6126" s="27">
        <v>773806</v>
      </c>
      <c r="N6126" s="5" t="s">
        <v>53204</v>
      </c>
      <c r="O6126" s="5" t="str">
        <v>7714550531</v>
      </c>
      <c r="P6126" s="27">
        <v>6000000</v>
      </c>
      <c r="Q6126" s="5" t="s">
        <v>58529</v>
      </c>
      <c r="R6126" s="5" t="s">
        <v>58530</v>
      </c>
      <c r="S6126" s="5" t="s">
        <v>51014</v>
      </c>
      <c r="T6126" s="28">
        <v>8655687000</v>
      </c>
      <c r="U6126" s="28"/>
      <c r="V6126" s="28">
        <v>478861000</v>
      </c>
      <c r="W6126" s="28"/>
      <c r="X6126" s="28">
        <v>262487000</v>
      </c>
      <c r="Y6126" s="28">
        <v>9888731000</v>
      </c>
      <c r="Z6126" s="28">
        <v>942377000</v>
      </c>
      <c r="AA6126" s="28">
        <v>4571820000</v>
      </c>
      <c r="AB6126" s="28">
        <v>600763000</v>
      </c>
      <c r="AC6126" s="28">
        <v>1777829000</v>
      </c>
      <c r="AD6126" s="28">
        <v>1205276000</v>
      </c>
      <c r="AE6126" s="28">
        <v>5480667000</v>
      </c>
      <c r="AF6126" s="28">
        <v>1051639000</v>
      </c>
      <c r="AG6126" s="11"/>
    </row>
    <row r="6127">
      <c r="A6127" s="7" t="s">
        <v>7719</v>
      </c>
      <c r="B6127" s="5" t="s">
        <v>14226</v>
      </c>
      <c r="C6127" s="5" t="s">
        <v>23320</v>
      </c>
      <c r="D6127" s="5" t="str">
        <v>056000435276</v>
      </c>
      <c r="E6127" s="0" t="e">
        <f>+7 (495) 7973578
+7 (499) 3429370</f>
        <v>#NAME?</v>
      </c>
      <c r="F6127" s="5" t="s">
        <v>43273</v>
      </c>
      <c r="G6127" s="5" t="s">
        <v>43274</v>
      </c>
      <c r="H6127" s="26">
        <v>10</v>
      </c>
      <c r="I6127" s="5" t="s">
        <v>43275</v>
      </c>
      <c r="J6127" s="5" t="s">
        <v>599</v>
      </c>
      <c r="K6127" s="5" t="s">
        <v>344</v>
      </c>
      <c r="L6127" s="5" t="s">
        <v>43276</v>
      </c>
      <c r="M6127" s="27">
        <v>204217</v>
      </c>
      <c r="N6127" s="5" t="s">
        <v>49350</v>
      </c>
      <c r="O6127" s="5" t="str">
        <v>7728829621</v>
      </c>
      <c r="P6127" s="27">
        <v>700000</v>
      </c>
      <c r="Q6127" s="5" t="s">
        <v>58531</v>
      </c>
      <c r="R6127" s="5"/>
      <c r="S6127" s="5" t="s">
        <v>52348</v>
      </c>
      <c r="T6127" s="28">
        <v>252122000</v>
      </c>
      <c r="U6127" s="28"/>
      <c r="V6127" s="28">
        <v>2026397000</v>
      </c>
      <c r="W6127" s="28">
        <v>164000000</v>
      </c>
      <c r="X6127" s="28">
        <v>11769000</v>
      </c>
      <c r="Y6127" s="28">
        <v>2488276000</v>
      </c>
      <c r="Z6127" s="28">
        <v>755388000</v>
      </c>
      <c r="AA6127" s="28"/>
      <c r="AB6127" s="28">
        <v>80000000</v>
      </c>
      <c r="AC6127" s="28">
        <v>1666020000</v>
      </c>
      <c r="AD6127" s="28">
        <v>756088000</v>
      </c>
      <c r="AE6127" s="28">
        <v>9550463000</v>
      </c>
      <c r="AF6127" s="28">
        <v>504326000</v>
      </c>
      <c r="AG6127" s="11"/>
    </row>
    <row r="6128">
      <c r="A6128" s="7" t="s">
        <v>7720</v>
      </c>
      <c r="B6128" s="5" t="s">
        <v>15661</v>
      </c>
      <c r="C6128" s="5" t="s">
        <v>23321</v>
      </c>
      <c r="D6128" s="5" t="str">
        <v>030602616124</v>
      </c>
      <c r="E6128" s="0" t="e">
        <f>+7 (3012) 560332
+7 (3022) 711252
+7 (343) 3825935
+7 (346) 2380735
+7 (3517) 512289
+7 (383) 2279591
+7 (384) 2676138
+7 (3843) 601656
+7 (391) 2148288
+7 (3952) 430556
+7 (4232) 19507
+7 (499) 3921067
+7 (920) 4514733
+7 (923) 3438602
+7 (923) 4062124</f>
        <v>#NAME?</v>
      </c>
      <c r="F6128" s="5" t="s">
        <v>43277</v>
      </c>
      <c r="G6128" s="5"/>
      <c r="H6128" s="26">
        <v>5</v>
      </c>
      <c r="I6128" s="5" t="s">
        <v>43278</v>
      </c>
      <c r="J6128" s="5" t="s">
        <v>25674</v>
      </c>
      <c r="K6128" s="5" t="s">
        <v>344</v>
      </c>
      <c r="L6128" s="5" t="s">
        <v>43279</v>
      </c>
      <c r="M6128" s="27">
        <v>1004635</v>
      </c>
      <c r="N6128" s="5" t="s">
        <v>58532</v>
      </c>
      <c r="O6128" s="5" t="str">
        <v>2411028687</v>
      </c>
      <c r="P6128" s="27">
        <v>10000</v>
      </c>
      <c r="Q6128" s="5" t="s">
        <v>49021</v>
      </c>
      <c r="R6128" s="5" t="s">
        <v>53342</v>
      </c>
      <c r="S6128" s="5" t="s">
        <v>58533</v>
      </c>
      <c r="T6128" s="28">
        <v>201390000</v>
      </c>
      <c r="U6128" s="28"/>
      <c r="V6128" s="28">
        <v>946013000</v>
      </c>
      <c r="W6128" s="28">
        <v>1100000</v>
      </c>
      <c r="X6128" s="28">
        <v>126410000</v>
      </c>
      <c r="Y6128" s="28">
        <v>2300548000</v>
      </c>
      <c r="Z6128" s="28">
        <v>1025938000</v>
      </c>
      <c r="AA6128" s="28"/>
      <c r="AB6128" s="28"/>
      <c r="AC6128" s="28">
        <v>1268900000</v>
      </c>
      <c r="AD6128" s="28">
        <v>1025948000</v>
      </c>
      <c r="AE6128" s="28">
        <v>8627001000</v>
      </c>
      <c r="AF6128" s="28">
        <v>856731000</v>
      </c>
      <c r="AG6128" s="11"/>
    </row>
    <row r="6129">
      <c r="A6129" s="7" t="s">
        <v>7721</v>
      </c>
      <c r="B6129" s="5" t="s">
        <v>15662</v>
      </c>
      <c r="C6129" s="5" t="s">
        <v>23322</v>
      </c>
      <c r="D6129" s="5" t="str">
        <v>502801648506</v>
      </c>
      <c r="E6129" s="0" t="e">
        <f>+7 (985) 8458054
+7 (985) 7342060
+7 (985) 8457977</f>
        <v>#NAME?</v>
      </c>
      <c r="F6129" s="5" t="s">
        <v>43280</v>
      </c>
      <c r="G6129" s="5" t="s">
        <v>43281</v>
      </c>
      <c r="H6129" s="26">
        <v>5.5</v>
      </c>
      <c r="I6129" s="5" t="s">
        <v>43282</v>
      </c>
      <c r="J6129" s="5" t="s">
        <v>999</v>
      </c>
      <c r="K6129" s="5" t="s">
        <v>344</v>
      </c>
      <c r="L6129" s="5" t="s">
        <v>43283</v>
      </c>
      <c r="M6129" s="27">
        <v>5263284</v>
      </c>
      <c r="N6129" s="5" t="s">
        <v>58534</v>
      </c>
      <c r="O6129" s="5" t="str">
        <v>7743211928</v>
      </c>
      <c r="P6129" s="27">
        <v>10000</v>
      </c>
      <c r="Q6129" s="5" t="s">
        <v>58535</v>
      </c>
      <c r="R6129" s="5"/>
      <c r="S6129" s="5" t="s">
        <v>58536</v>
      </c>
      <c r="T6129" s="28">
        <v>52668000</v>
      </c>
      <c r="U6129" s="28"/>
      <c r="V6129" s="28">
        <v>2038178000</v>
      </c>
      <c r="W6129" s="28"/>
      <c r="X6129" s="28">
        <v>250817000</v>
      </c>
      <c r="Y6129" s="28">
        <v>3947686000</v>
      </c>
      <c r="Z6129" s="28">
        <v>327628000</v>
      </c>
      <c r="AA6129" s="28"/>
      <c r="AB6129" s="28"/>
      <c r="AC6129" s="28">
        <v>3611686000</v>
      </c>
      <c r="AD6129" s="28">
        <v>327638000</v>
      </c>
      <c r="AE6129" s="28">
        <v>3498444000</v>
      </c>
      <c r="AF6129" s="28">
        <v>72840000</v>
      </c>
      <c r="AG6129" s="11"/>
    </row>
    <row r="6130">
      <c r="A6130" s="7" t="s">
        <v>7722</v>
      </c>
      <c r="B6130" s="5" t="s">
        <v>15663</v>
      </c>
      <c r="C6130" s="5" t="s">
        <v>23323</v>
      </c>
      <c r="D6130" s="5" t="str">
        <v>771585102718</v>
      </c>
      <c r="E6130" s="0" t="e">
        <f>+7 (499) 2605229
+7 (3517) 785262
+7 (384) 2441696
+7 (495) 7374316
+7 (495) 7374319
+7 (913) 3086865</f>
        <v>#NAME?</v>
      </c>
      <c r="F6130" s="5" t="s">
        <v>43284</v>
      </c>
      <c r="G6130" s="5" t="s">
        <v>43285</v>
      </c>
      <c r="H6130" s="26">
        <v>14.5</v>
      </c>
      <c r="I6130" s="5" t="s">
        <v>43286</v>
      </c>
      <c r="J6130" s="5" t="s">
        <v>599</v>
      </c>
      <c r="K6130" s="5" t="s">
        <v>380</v>
      </c>
      <c r="L6130" s="5"/>
      <c r="M6130" s="27">
        <v>12213904583</v>
      </c>
      <c r="N6130" s="5" t="s">
        <v>51815</v>
      </c>
      <c r="O6130" s="5" t="str">
        <v>7714753877</v>
      </c>
      <c r="P6130" s="27">
        <v>30000000</v>
      </c>
      <c r="Q6130" s="5" t="s">
        <v>58537</v>
      </c>
      <c r="R6130" s="5" t="s">
        <v>58538</v>
      </c>
      <c r="S6130" s="5" t="s">
        <v>49175</v>
      </c>
      <c r="T6130" s="28">
        <v>5249890000</v>
      </c>
      <c r="U6130" s="28">
        <v>33650000</v>
      </c>
      <c r="V6130" s="28">
        <v>3043158000</v>
      </c>
      <c r="W6130" s="28">
        <v>425836000</v>
      </c>
      <c r="X6130" s="28">
        <v>2155996000</v>
      </c>
      <c r="Y6130" s="28">
        <v>15252554000</v>
      </c>
      <c r="Z6130" s="28">
        <v>-6813259000</v>
      </c>
      <c r="AA6130" s="28"/>
      <c r="AB6130" s="28">
        <v>10514240000</v>
      </c>
      <c r="AC6130" s="28">
        <v>18360155000</v>
      </c>
      <c r="AD6130" s="28">
        <v>-6498759000</v>
      </c>
      <c r="AE6130" s="28">
        <v>10353149000</v>
      </c>
      <c r="AF6130" s="28">
        <v>341787000</v>
      </c>
      <c r="AG6130" s="11"/>
    </row>
    <row r="6131">
      <c r="A6131" s="7" t="s">
        <v>7723</v>
      </c>
      <c r="B6131" s="5" t="s">
        <v>15664</v>
      </c>
      <c r="C6131" s="5" t="s">
        <v>23324</v>
      </c>
      <c r="D6131" s="5" t="str">
        <v>165918003990</v>
      </c>
      <c r="E6131" s="0" t="e">
        <f>+7 (472) 2257072
+7 (472) 2231772
+7 (472) 2231923
+7 (472) 2257071
+7 (472) 2320433
+7 (472) 2320662
+7 (472) 2554358
+7 (472) 2583821
+7 (910) 7414564</f>
        <v>#NAME?</v>
      </c>
      <c r="F6131" s="5" t="s">
        <v>43287</v>
      </c>
      <c r="G6131" s="5" t="s">
        <v>43288</v>
      </c>
      <c r="H6131" s="26">
        <v>17</v>
      </c>
      <c r="I6131" s="5" t="s">
        <v>43289</v>
      </c>
      <c r="J6131" s="5" t="s">
        <v>364</v>
      </c>
      <c r="K6131" s="5" t="s">
        <v>344</v>
      </c>
      <c r="L6131" s="5"/>
      <c r="M6131" s="27">
        <v>44295</v>
      </c>
      <c r="N6131" s="5" t="s">
        <v>58539</v>
      </c>
      <c r="O6131" s="5" t="str">
        <v>3123136631</v>
      </c>
      <c r="P6131" s="27">
        <v>76400000</v>
      </c>
      <c r="Q6131" s="5" t="s">
        <v>58540</v>
      </c>
      <c r="R6131" s="5"/>
      <c r="S6131" s="5" t="s">
        <v>58541</v>
      </c>
      <c r="T6131" s="28">
        <v>490113000</v>
      </c>
      <c r="U6131" s="28">
        <v>2000</v>
      </c>
      <c r="V6131" s="28">
        <v>1658510000</v>
      </c>
      <c r="W6131" s="28">
        <v>28087000</v>
      </c>
      <c r="X6131" s="28">
        <v>583128000</v>
      </c>
      <c r="Y6131" s="28">
        <v>5169647000</v>
      </c>
      <c r="Z6131" s="28">
        <v>841479000</v>
      </c>
      <c r="AA6131" s="28">
        <v>77000000</v>
      </c>
      <c r="AB6131" s="28">
        <v>1463506000</v>
      </c>
      <c r="AC6131" s="28">
        <v>3883279000</v>
      </c>
      <c r="AD6131" s="28">
        <v>1880439000</v>
      </c>
      <c r="AE6131" s="28">
        <v>3757143000</v>
      </c>
      <c r="AF6131" s="28">
        <v>102921000</v>
      </c>
      <c r="AG6131" s="11"/>
    </row>
    <row r="6132">
      <c r="A6132" s="7" t="s">
        <v>7724</v>
      </c>
      <c r="B6132" s="5" t="s">
        <v>15665</v>
      </c>
      <c r="C6132" s="5" t="s">
        <v>23325</v>
      </c>
      <c r="D6132" s="5" t="str">
        <v>640431011048</v>
      </c>
      <c r="E6132" s="0" t="e">
        <f>+7 (3422) 63545
+7 (3422) 76537
+7 (495) 7288912
+7 (800) 5007749
+7 (8452) 212634
+7 (8452) 212635
+7 (8452) 421140
+7 (8452) 503074
+7 (8452) 530028
+7 (8452) 647244
+7 (8452) 988569
+7 (8452) 988659
+7 (8452) 988737
+7 (905) 330887
+7 (905) 3270514</f>
        <v>#NAME?</v>
      </c>
      <c r="F6132" s="5" t="s">
        <v>43290</v>
      </c>
      <c r="G6132" s="5" t="s">
        <v>43291</v>
      </c>
      <c r="H6132" s="26">
        <v>20</v>
      </c>
      <c r="I6132" s="5" t="s">
        <v>43292</v>
      </c>
      <c r="J6132" s="5" t="s">
        <v>25788</v>
      </c>
      <c r="K6132" s="5" t="s">
        <v>344</v>
      </c>
      <c r="L6132" s="5" t="s">
        <v>43293</v>
      </c>
      <c r="M6132" s="27"/>
      <c r="N6132" s="5" t="s">
        <v>58542</v>
      </c>
      <c r="O6132" s="5" t="str">
        <v>6451402458</v>
      </c>
      <c r="P6132" s="27">
        <v>100000</v>
      </c>
      <c r="Q6132" s="5" t="s">
        <v>49319</v>
      </c>
      <c r="R6132" s="5"/>
      <c r="S6132" s="5" t="s">
        <v>58543</v>
      </c>
      <c r="T6132" s="28">
        <v>279433000</v>
      </c>
      <c r="U6132" s="28"/>
      <c r="V6132" s="28">
        <v>446930000</v>
      </c>
      <c r="W6132" s="28"/>
      <c r="X6132" s="28">
        <v>166161000</v>
      </c>
      <c r="Y6132" s="28">
        <v>1394566000</v>
      </c>
      <c r="Z6132" s="28">
        <v>384406000</v>
      </c>
      <c r="AA6132" s="28">
        <v>800000000</v>
      </c>
      <c r="AB6132" s="28"/>
      <c r="AC6132" s="28">
        <v>200903000</v>
      </c>
      <c r="AD6132" s="28">
        <v>384506000</v>
      </c>
      <c r="AE6132" s="28">
        <v>4404540000</v>
      </c>
      <c r="AF6132" s="28">
        <v>75518000</v>
      </c>
      <c r="AG6132" s="11"/>
    </row>
    <row r="6133">
      <c r="A6133" s="7" t="s">
        <v>7725</v>
      </c>
      <c r="B6133" s="5" t="s">
        <v>15666</v>
      </c>
      <c r="C6133" s="5" t="s">
        <v>23326</v>
      </c>
      <c r="D6133" s="5" t="str">
        <v>590400636225</v>
      </c>
      <c r="E6133" s="0" t="e">
        <f>+7 (3422) 458714
+7 (3422) 642547
+7 (342) 2458554
+7 (3422) 495720
+7 (3422) 642501
+7 (3422) 642536
+7 (3422) 642613
+7 (3422) 813001
+7 (3422) 813214</f>
        <v>#NAME?</v>
      </c>
      <c r="F6133" s="5" t="s">
        <v>43294</v>
      </c>
      <c r="G6133" s="5" t="s">
        <v>43295</v>
      </c>
      <c r="H6133" s="26">
        <v>27.5</v>
      </c>
      <c r="I6133" s="5"/>
      <c r="J6133" s="5" t="s">
        <v>364</v>
      </c>
      <c r="K6133" s="5" t="s">
        <v>380</v>
      </c>
      <c r="L6133" s="5" t="s">
        <v>41494</v>
      </c>
      <c r="M6133" s="27">
        <v>44128919</v>
      </c>
      <c r="N6133" s="5" t="s">
        <v>58544</v>
      </c>
      <c r="O6133" s="5" t="str">
        <v>5904006358</v>
      </c>
      <c r="P6133" s="27">
        <v>150131692</v>
      </c>
      <c r="Q6133" s="5" t="s">
        <v>58545</v>
      </c>
      <c r="R6133" s="5" t="s">
        <v>58546</v>
      </c>
      <c r="S6133" s="5" t="s">
        <v>58547</v>
      </c>
      <c r="T6133" s="28">
        <v>487456000</v>
      </c>
      <c r="U6133" s="28">
        <v>1163248000</v>
      </c>
      <c r="V6133" s="28">
        <v>1205912000</v>
      </c>
      <c r="W6133" s="28">
        <v>27500000</v>
      </c>
      <c r="X6133" s="28">
        <v>4723000</v>
      </c>
      <c r="Y6133" s="28">
        <v>4105667000</v>
      </c>
      <c r="Z6133" s="28">
        <v>549966000</v>
      </c>
      <c r="AA6133" s="28">
        <v>113858000</v>
      </c>
      <c r="AB6133" s="28">
        <v>1387928000</v>
      </c>
      <c r="AC6133" s="28">
        <v>3262804000</v>
      </c>
      <c r="AD6133" s="28">
        <v>700150000</v>
      </c>
      <c r="AE6133" s="28">
        <v>3337145000</v>
      </c>
      <c r="AF6133" s="28">
        <v>-15748000</v>
      </c>
      <c r="AG6133" s="11"/>
    </row>
    <row r="6134">
      <c r="A6134" s="7" t="s">
        <v>7725</v>
      </c>
      <c r="B6134" s="5" t="s">
        <v>15667</v>
      </c>
      <c r="C6134" s="5" t="s">
        <v>23327</v>
      </c>
      <c r="D6134" s="5" t="str">
        <v>220910040525</v>
      </c>
      <c r="E6134" s="0" t="e">
        <f>+7 (343) 3583366
+7 (343) 3801849
+7 (343) 2147757
+7 (343) 2147767
+7 (343) 2179517
+7 (343) 2222772
+7 (343) 3583615
+7 (343) 3850085</f>
        <v>#NAME?</v>
      </c>
      <c r="F6134" s="5" t="s">
        <v>43296</v>
      </c>
      <c r="G6134" s="5" t="s">
        <v>43297</v>
      </c>
      <c r="H6134" s="26">
        <v>17.5</v>
      </c>
      <c r="I6134" s="5"/>
      <c r="J6134" s="5" t="s">
        <v>27568</v>
      </c>
      <c r="K6134" s="5" t="s">
        <v>344</v>
      </c>
      <c r="L6134" s="5"/>
      <c r="M6134" s="27">
        <v>2547042</v>
      </c>
      <c r="N6134" s="5" t="s">
        <v>58548</v>
      </c>
      <c r="O6134" s="5" t="str">
        <v>6659122795</v>
      </c>
      <c r="P6134" s="27">
        <v>100000</v>
      </c>
      <c r="Q6134" s="5" t="s">
        <v>58550</v>
      </c>
      <c r="R6134" s="5"/>
      <c r="S6134" s="5" t="s">
        <v>51316</v>
      </c>
      <c r="T6134" s="28">
        <v>74639000</v>
      </c>
      <c r="U6134" s="28"/>
      <c r="V6134" s="28">
        <v>543347000</v>
      </c>
      <c r="W6134" s="28"/>
      <c r="X6134" s="28">
        <v>532916000</v>
      </c>
      <c r="Y6134" s="28">
        <v>2852363000</v>
      </c>
      <c r="Z6134" s="28">
        <v>-2228716000</v>
      </c>
      <c r="AA6134" s="28"/>
      <c r="AB6134" s="28"/>
      <c r="AC6134" s="28">
        <v>569237000</v>
      </c>
      <c r="AD6134" s="28">
        <v>-2228611000</v>
      </c>
      <c r="AE6134" s="28">
        <v>5737184000</v>
      </c>
      <c r="AF6134" s="28">
        <v>394095000</v>
      </c>
      <c r="AG6134" s="11"/>
    </row>
    <row r="6135">
      <c r="A6135" s="7" t="s">
        <v>7725</v>
      </c>
      <c r="B6135" s="5" t="s">
        <v>15668</v>
      </c>
      <c r="C6135" s="5" t="s">
        <v>23328</v>
      </c>
      <c r="D6135" s="5" t="str">
        <v>665803106375</v>
      </c>
      <c r="E6135" s="0" t="e">
        <f>+7 (3472) 462727
+7 (391) 2258574
+7 (411) 2439141
+7 (343) 3122111
+7 (343) 3126707
+7 (343) 3593939
+7 (343) 3593949
+7 (343) 3593959
+7 (343) 3651530
+7 (346) 2236677
+7 (3466) 293613
+7 (381) 2617171
+7 (391) 2120012
+7 (39151) 48193
+7 (411) 2401888</f>
        <v>#NAME?</v>
      </c>
      <c r="F6135" s="5" t="s">
        <v>43298</v>
      </c>
      <c r="G6135" s="5"/>
      <c r="H6135" s="26">
        <v>16.5</v>
      </c>
      <c r="I6135" s="5"/>
      <c r="J6135" s="5" t="s">
        <v>26880</v>
      </c>
      <c r="K6135" s="5" t="s">
        <v>344</v>
      </c>
      <c r="L6135" s="5" t="s">
        <v>43299</v>
      </c>
      <c r="M6135" s="27">
        <v>4050463</v>
      </c>
      <c r="N6135" s="5" t="s">
        <v>58551</v>
      </c>
      <c r="O6135" s="5" t="str">
        <v>6671197148</v>
      </c>
      <c r="P6135" s="27">
        <v>900957</v>
      </c>
      <c r="Q6135" s="5" t="s">
        <v>58552</v>
      </c>
      <c r="R6135" s="5"/>
      <c r="S6135" s="5" t="s">
        <v>49085</v>
      </c>
      <c r="T6135" s="28">
        <v>2394284000</v>
      </c>
      <c r="U6135" s="28">
        <v>301520000</v>
      </c>
      <c r="V6135" s="28">
        <v>8459355000</v>
      </c>
      <c r="W6135" s="28"/>
      <c r="X6135" s="28">
        <v>476183000</v>
      </c>
      <c r="Y6135" s="28">
        <v>35191413000</v>
      </c>
      <c r="Z6135" s="28">
        <v>25573757000</v>
      </c>
      <c r="AA6135" s="28"/>
      <c r="AB6135" s="28">
        <v>857254000</v>
      </c>
      <c r="AC6135" s="28">
        <v>9616710000</v>
      </c>
      <c r="AD6135" s="28">
        <v>25574703000</v>
      </c>
      <c r="AE6135" s="28">
        <v>129342309000</v>
      </c>
      <c r="AF6135" s="28">
        <v>-838138000</v>
      </c>
      <c r="AG6135" s="11"/>
    </row>
    <row r="6136">
      <c r="A6136" s="7" t="s">
        <v>7726</v>
      </c>
      <c r="B6136" s="5" t="s">
        <v>15669</v>
      </c>
      <c r="C6136" s="5" t="s">
        <v>23329</v>
      </c>
      <c r="D6136" s="5" t="str">
        <v>500502241677</v>
      </c>
      <c r="E6136" s="0" t="e">
        <f>+7 (499) 7998147
+7 (910) 4796051</f>
        <v>#NAME?</v>
      </c>
      <c r="F6136" s="5"/>
      <c r="G6136" s="5" t="s">
        <v>43300</v>
      </c>
      <c r="H6136" s="26">
        <v>7.5</v>
      </c>
      <c r="I6136" s="5" t="s">
        <v>43301</v>
      </c>
      <c r="J6136" s="5" t="s">
        <v>28738</v>
      </c>
      <c r="K6136" s="5" t="s">
        <v>344</v>
      </c>
      <c r="L6136" s="5" t="s">
        <v>43302</v>
      </c>
      <c r="M6136" s="27"/>
      <c r="N6136" s="5"/>
      <c r="O6136" s="5" t="str">
        <v>7706429370</v>
      </c>
      <c r="P6136" s="27">
        <v>10000</v>
      </c>
      <c r="Q6136" s="5"/>
      <c r="R6136" s="5"/>
      <c r="S6136" s="5" t="s">
        <v>49029</v>
      </c>
      <c r="T6136" s="28">
        <v>11170000</v>
      </c>
      <c r="U6136" s="28"/>
      <c r="V6136" s="28">
        <v>345828000</v>
      </c>
      <c r="W6136" s="28">
        <v>350000000</v>
      </c>
      <c r="X6136" s="28">
        <v>347101000</v>
      </c>
      <c r="Y6136" s="28">
        <v>1093409000</v>
      </c>
      <c r="Z6136" s="28">
        <v>130197000</v>
      </c>
      <c r="AA6136" s="28"/>
      <c r="AB6136" s="28"/>
      <c r="AC6136" s="28">
        <v>958311000</v>
      </c>
      <c r="AD6136" s="28">
        <v>130207000</v>
      </c>
      <c r="AE6136" s="28">
        <v>3443070000</v>
      </c>
      <c r="AF6136" s="28">
        <v>112380000</v>
      </c>
      <c r="AG6136" s="11"/>
    </row>
    <row r="6137">
      <c r="A6137" s="7" t="s">
        <v>7726</v>
      </c>
      <c r="B6137" s="5" t="s">
        <v>15670</v>
      </c>
      <c r="C6137" s="5" t="s">
        <v>23330</v>
      </c>
      <c r="D6137" s="5" t="str">
        <v>540428709908</v>
      </c>
      <c r="E6137" s="0" t="e">
        <f>+7 (383) 2160051
+7 (383) 2286710
+7 (383) 3048462
+7 (383) 3340651
+7 (383) 3340654
+7 (383) 3340655
+7 (383) 3340710
+7 (383) 3635705
+7 (38345) 21757
+7 (38345) 29925
+7 (38345) 29927
+7 (38345) 29928
+7 (38345) 29930
+7 (38345) 29933</f>
        <v>#NAME?</v>
      </c>
      <c r="F6137" s="5" t="s">
        <v>43303</v>
      </c>
      <c r="G6137" s="5" t="s">
        <v>43304</v>
      </c>
      <c r="H6137" s="26">
        <v>23</v>
      </c>
      <c r="I6137" s="5" t="s">
        <v>43305</v>
      </c>
      <c r="J6137" s="5" t="s">
        <v>28964</v>
      </c>
      <c r="K6137" s="5" t="s">
        <v>344</v>
      </c>
      <c r="L6137" s="5" t="s">
        <v>43306</v>
      </c>
      <c r="M6137" s="27">
        <v>14543849</v>
      </c>
      <c r="N6137" s="5" t="s">
        <v>58553</v>
      </c>
      <c r="O6137" s="5" t="str">
        <v>5405200166</v>
      </c>
      <c r="P6137" s="27">
        <v>427174200</v>
      </c>
      <c r="Q6137" s="5" t="s">
        <v>49009</v>
      </c>
      <c r="R6137" s="5" t="s">
        <v>58081</v>
      </c>
      <c r="S6137" s="5" t="s">
        <v>52060</v>
      </c>
      <c r="T6137" s="28">
        <v>3763517000</v>
      </c>
      <c r="U6137" s="28"/>
      <c r="V6137" s="28">
        <v>1421128000</v>
      </c>
      <c r="W6137" s="28">
        <v>45128000</v>
      </c>
      <c r="X6137" s="28">
        <v>177006000</v>
      </c>
      <c r="Y6137" s="28">
        <v>6536710000</v>
      </c>
      <c r="Z6137" s="28">
        <v>2963779000</v>
      </c>
      <c r="AA6137" s="28">
        <v>1516178000</v>
      </c>
      <c r="AB6137" s="28">
        <v>509182000</v>
      </c>
      <c r="AC6137" s="28">
        <v>1531907000</v>
      </c>
      <c r="AD6137" s="28">
        <v>3431135000</v>
      </c>
      <c r="AE6137" s="28">
        <v>12919421000</v>
      </c>
      <c r="AF6137" s="28">
        <v>153554000</v>
      </c>
      <c r="AG6137" s="11"/>
    </row>
    <row r="6138">
      <c r="A6138" s="7" t="s">
        <v>7727</v>
      </c>
      <c r="B6138" s="5" t="s">
        <v>15671</v>
      </c>
      <c r="C6138" s="5" t="s">
        <v>23331</v>
      </c>
      <c r="D6138" s="5" t="str">
        <v>772156840443</v>
      </c>
      <c r="E6138" s="0" t="e">
        <f>+7 (903) 7729915
+7 (903) 7239957</f>
        <v>#NAME?</v>
      </c>
      <c r="F6138" s="5"/>
      <c r="G6138" s="5" t="s">
        <v>43307</v>
      </c>
      <c r="H6138" s="26">
        <v>17</v>
      </c>
      <c r="I6138" s="5" t="s">
        <v>43308</v>
      </c>
      <c r="J6138" s="5" t="s">
        <v>947</v>
      </c>
      <c r="K6138" s="5" t="s">
        <v>355</v>
      </c>
      <c r="L6138" s="5" t="s">
        <v>43309</v>
      </c>
      <c r="M6138" s="27">
        <v>1419167</v>
      </c>
      <c r="N6138" s="5"/>
      <c r="O6138" s="5" t="str">
        <v>7728579178</v>
      </c>
      <c r="P6138" s="27">
        <v>500000</v>
      </c>
      <c r="Q6138" s="5" t="s">
        <v>49021</v>
      </c>
      <c r="R6138" s="5"/>
      <c r="S6138" s="5" t="s">
        <v>58555</v>
      </c>
      <c r="T6138" s="28">
        <v>1154558000</v>
      </c>
      <c r="U6138" s="28">
        <v>36873000</v>
      </c>
      <c r="V6138" s="28">
        <v>2494348000</v>
      </c>
      <c r="W6138" s="28">
        <v>25700000</v>
      </c>
      <c r="X6138" s="28">
        <v>31234000</v>
      </c>
      <c r="Y6138" s="28">
        <v>6456359000</v>
      </c>
      <c r="Z6138" s="28">
        <v>683174000</v>
      </c>
      <c r="AA6138" s="28"/>
      <c r="AB6138" s="28">
        <v>97290000</v>
      </c>
      <c r="AC6138" s="28">
        <v>4961245000</v>
      </c>
      <c r="AD6138" s="28">
        <v>792017000</v>
      </c>
      <c r="AE6138" s="28">
        <v>6139570000</v>
      </c>
      <c r="AF6138" s="28">
        <v>2961000</v>
      </c>
      <c r="AG6138" s="11"/>
    </row>
    <row r="6139">
      <c r="A6139" s="7" t="s">
        <v>7728</v>
      </c>
      <c r="B6139" s="5" t="s">
        <v>15672</v>
      </c>
      <c r="C6139" s="5" t="s">
        <v>23332</v>
      </c>
      <c r="D6139" s="5" t="str">
        <v>232906364358</v>
      </c>
      <c r="E6139" s="0" t="e">
        <f>+7 (918) 1119688
+7 (918) 1888538</f>
        <v>#NAME?</v>
      </c>
      <c r="F6139" s="5" t="s">
        <v>43310</v>
      </c>
      <c r="G6139" s="5"/>
      <c r="H6139" s="26">
        <v>5.5</v>
      </c>
      <c r="I6139" s="5" t="s">
        <v>43311</v>
      </c>
      <c r="J6139" s="5" t="s">
        <v>25837</v>
      </c>
      <c r="K6139" s="5" t="s">
        <v>344</v>
      </c>
      <c r="L6139" s="5" t="s">
        <v>43312</v>
      </c>
      <c r="M6139" s="27"/>
      <c r="N6139" s="5"/>
      <c r="O6139" s="5" t="str">
        <v>2364016392</v>
      </c>
      <c r="P6139" s="27">
        <v>420000</v>
      </c>
      <c r="Q6139" s="5" t="s">
        <v>49009</v>
      </c>
      <c r="R6139" s="5"/>
      <c r="S6139" s="5" t="s">
        <v>49066</v>
      </c>
      <c r="T6139" s="28">
        <v>15002000</v>
      </c>
      <c r="U6139" s="28"/>
      <c r="V6139" s="28">
        <v>52371000</v>
      </c>
      <c r="W6139" s="28">
        <v>84358000</v>
      </c>
      <c r="X6139" s="28">
        <v>66000</v>
      </c>
      <c r="Y6139" s="28">
        <v>193628000</v>
      </c>
      <c r="Z6139" s="28">
        <v>114703000</v>
      </c>
      <c r="AA6139" s="28"/>
      <c r="AB6139" s="28"/>
      <c r="AC6139" s="28">
        <v>78505000</v>
      </c>
      <c r="AD6139" s="28">
        <v>115123000</v>
      </c>
      <c r="AE6139" s="28">
        <v>3176133000</v>
      </c>
      <c r="AF6139" s="28">
        <v>75890000</v>
      </c>
      <c r="AG6139" s="11"/>
    </row>
    <row r="6140">
      <c r="A6140" s="7" t="s">
        <v>7729</v>
      </c>
      <c r="B6140" s="5" t="s">
        <v>15673</v>
      </c>
      <c r="C6140" s="5" t="s">
        <v>23333</v>
      </c>
      <c r="D6140" s="5" t="str">
        <v>232203914537</v>
      </c>
      <c r="E6140" s="0" t="e">
        <f>+7 (495) 6496638
+7 (495) 7254078
+7 (495) 7256638</f>
        <v>#NAME?</v>
      </c>
      <c r="F6140" s="5" t="s">
        <v>43313</v>
      </c>
      <c r="G6140" s="5" t="s">
        <v>38565</v>
      </c>
      <c r="H6140" s="26">
        <v>22.5</v>
      </c>
      <c r="I6140" s="5" t="s">
        <v>43314</v>
      </c>
      <c r="J6140" s="5" t="s">
        <v>27085</v>
      </c>
      <c r="K6140" s="5" t="s">
        <v>355</v>
      </c>
      <c r="L6140" s="5" t="s">
        <v>43315</v>
      </c>
      <c r="M6140" s="27"/>
      <c r="N6140" s="5"/>
      <c r="O6140" s="5" t="str">
        <v>7718173605</v>
      </c>
      <c r="P6140" s="27">
        <v>1139372</v>
      </c>
      <c r="Q6140" s="5" t="s">
        <v>49016</v>
      </c>
      <c r="R6140" s="5"/>
      <c r="S6140" s="5" t="s">
        <v>58556</v>
      </c>
      <c r="T6140" s="28">
        <v>615915000</v>
      </c>
      <c r="U6140" s="28">
        <v>811535000</v>
      </c>
      <c r="V6140" s="28">
        <v>2000888000</v>
      </c>
      <c r="W6140" s="28">
        <v>35811000</v>
      </c>
      <c r="X6140" s="28">
        <v>1638000</v>
      </c>
      <c r="Y6140" s="28">
        <v>5019427000</v>
      </c>
      <c r="Z6140" s="28">
        <v>707942000</v>
      </c>
      <c r="AA6140" s="28">
        <v>450000000</v>
      </c>
      <c r="AB6140" s="28">
        <v>1605963000</v>
      </c>
      <c r="AC6140" s="28">
        <v>3372993000</v>
      </c>
      <c r="AD6140" s="28">
        <v>745379000</v>
      </c>
      <c r="AE6140" s="28">
        <v>9862529000</v>
      </c>
      <c r="AF6140" s="28">
        <v>1066381000</v>
      </c>
      <c r="AG6140" s="11"/>
    </row>
    <row r="6141">
      <c r="A6141" s="7" t="s">
        <v>7730</v>
      </c>
      <c r="B6141" s="5" t="s">
        <v>15674</v>
      </c>
      <c r="C6141" s="5" t="s">
        <v>23334</v>
      </c>
      <c r="D6141" s="5" t="str">
        <v>190111869607</v>
      </c>
      <c r="E6141" s="0" t="e">
        <f>+7 (495) 6496638
+7 (495) 7256638
+7 (905) 5373583</f>
        <v>#NAME?</v>
      </c>
      <c r="F6141" s="5" t="s">
        <v>43316</v>
      </c>
      <c r="G6141" s="5"/>
      <c r="H6141" s="26">
        <v>18</v>
      </c>
      <c r="I6141" s="5" t="s">
        <v>43317</v>
      </c>
      <c r="J6141" s="5" t="s">
        <v>27085</v>
      </c>
      <c r="K6141" s="5" t="s">
        <v>344</v>
      </c>
      <c r="L6141" s="5" t="s">
        <v>43318</v>
      </c>
      <c r="M6141" s="27"/>
      <c r="N6141" s="5"/>
      <c r="O6141" s="5" t="str">
        <v>7703539871</v>
      </c>
      <c r="P6141" s="27">
        <v>80020000</v>
      </c>
      <c r="Q6141" s="5" t="s">
        <v>49009</v>
      </c>
      <c r="R6141" s="5"/>
      <c r="S6141" s="5" t="s">
        <v>49093</v>
      </c>
      <c r="T6141" s="28">
        <v>85018000</v>
      </c>
      <c r="U6141" s="28">
        <v>1408188000</v>
      </c>
      <c r="V6141" s="28">
        <v>1611660000</v>
      </c>
      <c r="W6141" s="28">
        <v>102315000</v>
      </c>
      <c r="X6141" s="28">
        <v>41448000</v>
      </c>
      <c r="Y6141" s="28">
        <v>3417459000</v>
      </c>
      <c r="Z6141" s="28">
        <v>194062000</v>
      </c>
      <c r="AA6141" s="28">
        <v>360000000</v>
      </c>
      <c r="AB6141" s="28">
        <v>717383000</v>
      </c>
      <c r="AC6141" s="28">
        <v>2686150000</v>
      </c>
      <c r="AD6141" s="28">
        <v>274082000</v>
      </c>
      <c r="AE6141" s="28">
        <v>11518988000</v>
      </c>
      <c r="AF6141" s="28">
        <v>644517000</v>
      </c>
      <c r="AG6141" s="11"/>
    </row>
    <row r="6142">
      <c r="A6142" s="7" t="s">
        <v>1381</v>
      </c>
      <c r="B6142" s="5" t="s">
        <v>15675</v>
      </c>
      <c r="C6142" s="5" t="s">
        <v>23335</v>
      </c>
      <c r="D6142" s="5" t="str">
        <v>301701504750</v>
      </c>
      <c r="E6142" s="0" t="e">
        <f>+7 (962) 5520391
+7 (855) 2747955
+7 (855) 2747956
+7 (855) 2747969
+7 (855) 2747973
+7 (917) 2752297
+7 (917) 9171034</f>
        <v>#NAME?</v>
      </c>
      <c r="F6142" s="5" t="s">
        <v>43319</v>
      </c>
      <c r="G6142" s="5" t="s">
        <v>43320</v>
      </c>
      <c r="H6142" s="26">
        <v>10.5</v>
      </c>
      <c r="I6142" s="5" t="s">
        <v>43321</v>
      </c>
      <c r="J6142" s="5" t="s">
        <v>25955</v>
      </c>
      <c r="K6142" s="5" t="s">
        <v>344</v>
      </c>
      <c r="L6142" s="5" t="s">
        <v>43322</v>
      </c>
      <c r="M6142" s="27">
        <v>5702510</v>
      </c>
      <c r="N6142" s="5" t="s">
        <v>58557</v>
      </c>
      <c r="O6142" s="5" t="str">
        <v>1650250289</v>
      </c>
      <c r="P6142" s="27">
        <v>10000</v>
      </c>
      <c r="Q6142" s="5" t="s">
        <v>49059</v>
      </c>
      <c r="R6142" s="5"/>
      <c r="S6142" s="5" t="s">
        <v>52448</v>
      </c>
      <c r="T6142" s="28">
        <v>40794000</v>
      </c>
      <c r="U6142" s="28">
        <v>50000000</v>
      </c>
      <c r="V6142" s="28">
        <v>59253000</v>
      </c>
      <c r="W6142" s="28">
        <v>70433000</v>
      </c>
      <c r="X6142" s="28">
        <v>33252000</v>
      </c>
      <c r="Y6142" s="28">
        <v>1123880000</v>
      </c>
      <c r="Z6142" s="28">
        <v>698053000</v>
      </c>
      <c r="AA6142" s="28"/>
      <c r="AB6142" s="28"/>
      <c r="AC6142" s="28">
        <v>422585000</v>
      </c>
      <c r="AD6142" s="28">
        <v>698063000</v>
      </c>
      <c r="AE6142" s="28">
        <v>4121924000</v>
      </c>
      <c r="AF6142" s="28">
        <v>348266000</v>
      </c>
      <c r="AG6142" s="11"/>
    </row>
    <row r="6143">
      <c r="A6143" s="7" t="s">
        <v>7731</v>
      </c>
      <c r="B6143" s="5" t="s">
        <v>15676</v>
      </c>
      <c r="C6143" s="5" t="s">
        <v>23336</v>
      </c>
      <c r="D6143" s="5" t="str">
        <v>780625830943</v>
      </c>
      <c r="E6143" s="0" t="e">
        <f>+7 (965) 3730710</f>
        <v>#NAME?</v>
      </c>
      <c r="F6143" s="5"/>
      <c r="G6143" s="5"/>
      <c r="H6143" s="26">
        <v>21</v>
      </c>
      <c r="I6143" s="5" t="s">
        <v>43323</v>
      </c>
      <c r="J6143" s="5" t="s">
        <v>364</v>
      </c>
      <c r="K6143" s="5" t="s">
        <v>355</v>
      </c>
      <c r="L6143" s="5"/>
      <c r="M6143" s="27"/>
      <c r="N6143" s="5"/>
      <c r="O6143" s="5" t="str">
        <v>7715337622</v>
      </c>
      <c r="P6143" s="27">
        <v>12212000</v>
      </c>
      <c r="Q6143" s="5" t="s">
        <v>58558</v>
      </c>
      <c r="R6143" s="5" t="s">
        <v>58559</v>
      </c>
      <c r="S6143" s="5" t="s">
        <v>50630</v>
      </c>
      <c r="T6143" s="28">
        <v>65507000</v>
      </c>
      <c r="U6143" s="28">
        <v>4990000</v>
      </c>
      <c r="V6143" s="28">
        <v>10898620000</v>
      </c>
      <c r="W6143" s="28"/>
      <c r="X6143" s="28">
        <v>132350000</v>
      </c>
      <c r="Y6143" s="28">
        <v>19791369000</v>
      </c>
      <c r="Z6143" s="28">
        <v>219281000</v>
      </c>
      <c r="AA6143" s="28"/>
      <c r="AB6143" s="28">
        <v>169313000</v>
      </c>
      <c r="AC6143" s="28">
        <v>18111486000</v>
      </c>
      <c r="AD6143" s="28">
        <v>231494000</v>
      </c>
      <c r="AE6143" s="28">
        <v>8027654000</v>
      </c>
      <c r="AF6143" s="28">
        <v>85436000</v>
      </c>
      <c r="AG6143" s="11"/>
    </row>
    <row r="6144">
      <c r="A6144" s="7" t="s">
        <v>7732</v>
      </c>
      <c r="B6144" s="5" t="s">
        <v>15677</v>
      </c>
      <c r="C6144" s="5" t="s">
        <v>23337</v>
      </c>
      <c r="D6144" s="5" t="str">
        <v>505401398279</v>
      </c>
      <c r="E6144" s="0" t="e">
        <f>+7 (495) 1203349
+7 (496) 5471192
+7 (496) 5522021
+7 (496) 5522025
+7 (496) 5522080
+7 (496) 5522121
+7 (4985) 471192
+7 (916) 1141435</f>
        <v>#NAME?</v>
      </c>
      <c r="F6144" s="5" t="s">
        <v>43324</v>
      </c>
      <c r="G6144" s="5"/>
      <c r="H6144" s="26">
        <v>30.5</v>
      </c>
      <c r="I6144" s="5" t="s">
        <v>43325</v>
      </c>
      <c r="J6144" s="5" t="s">
        <v>31454</v>
      </c>
      <c r="K6144" s="5" t="s">
        <v>344</v>
      </c>
      <c r="L6144" s="5"/>
      <c r="M6144" s="27"/>
      <c r="N6144" s="5"/>
      <c r="O6144" s="5" t="str">
        <v>5042015329</v>
      </c>
      <c r="P6144" s="27">
        <v>140302160</v>
      </c>
      <c r="Q6144" s="5" t="s">
        <v>49009</v>
      </c>
      <c r="R6144" s="5"/>
      <c r="S6144" s="5" t="s">
        <v>57610</v>
      </c>
      <c r="T6144" s="28">
        <v>389625000</v>
      </c>
      <c r="U6144" s="28"/>
      <c r="V6144" s="28">
        <v>207839000</v>
      </c>
      <c r="W6144" s="28"/>
      <c r="X6144" s="28">
        <v>14243000</v>
      </c>
      <c r="Y6144" s="28">
        <v>1600517000</v>
      </c>
      <c r="Z6144" s="28">
        <v>168877000</v>
      </c>
      <c r="AA6144" s="28">
        <v>288884000</v>
      </c>
      <c r="AB6144" s="28">
        <v>298244000</v>
      </c>
      <c r="AC6144" s="28">
        <v>1002454000</v>
      </c>
      <c r="AD6144" s="28">
        <v>309179000</v>
      </c>
      <c r="AE6144" s="28">
        <v>3183902000</v>
      </c>
      <c r="AF6144" s="28">
        <v>70181000</v>
      </c>
      <c r="AG6144" s="11"/>
    </row>
    <row r="6145">
      <c r="A6145" s="7" t="s">
        <v>7733</v>
      </c>
      <c r="B6145" s="5" t="s">
        <v>15678</v>
      </c>
      <c r="C6145" s="5" t="s">
        <v>23338</v>
      </c>
      <c r="D6145" s="5" t="str">
        <v>330801933503</v>
      </c>
      <c r="E6145" s="0" t="e">
        <f>+7 (492) 2603501
+7 (904) 354023</f>
        <v>#NAME?</v>
      </c>
      <c r="F6145" s="5" t="s">
        <v>43326</v>
      </c>
      <c r="G6145" s="5"/>
      <c r="H6145" s="26">
        <v>10.5</v>
      </c>
      <c r="I6145" s="5" t="s">
        <v>43327</v>
      </c>
      <c r="J6145" s="5" t="s">
        <v>947</v>
      </c>
      <c r="K6145" s="5" t="s">
        <v>344</v>
      </c>
      <c r="L6145" s="5" t="s">
        <v>43328</v>
      </c>
      <c r="M6145" s="27"/>
      <c r="N6145" s="5" t="s">
        <v>58560</v>
      </c>
      <c r="O6145" s="5" t="str">
        <v>3328483530</v>
      </c>
      <c r="P6145" s="27">
        <v>32000</v>
      </c>
      <c r="Q6145" s="5"/>
      <c r="R6145" s="5"/>
      <c r="S6145" s="5" t="s">
        <v>49110</v>
      </c>
      <c r="T6145" s="28">
        <v>118509000</v>
      </c>
      <c r="U6145" s="28"/>
      <c r="V6145" s="28">
        <v>1345675000</v>
      </c>
      <c r="W6145" s="28"/>
      <c r="X6145" s="28">
        <v>170860000</v>
      </c>
      <c r="Y6145" s="28">
        <v>1657877000</v>
      </c>
      <c r="Z6145" s="28">
        <v>368936000</v>
      </c>
      <c r="AA6145" s="28"/>
      <c r="AB6145" s="28"/>
      <c r="AC6145" s="28">
        <v>1288909000</v>
      </c>
      <c r="AD6145" s="28">
        <v>368968000</v>
      </c>
      <c r="AE6145" s="28">
        <v>4955260000</v>
      </c>
      <c r="AF6145" s="28">
        <v>51686000</v>
      </c>
      <c r="AG6145" s="11"/>
    </row>
    <row r="6146">
      <c r="A6146" s="7" t="s">
        <v>7734</v>
      </c>
      <c r="B6146" s="5" t="s">
        <v>15679</v>
      </c>
      <c r="C6146" s="5" t="s">
        <v>23339</v>
      </c>
      <c r="D6146" s="5" t="str">
        <v>772816905308</v>
      </c>
      <c r="E6146" s="0" t="e">
        <f>+7 (495) 2340033
+7 (495) 2340035
+7 (499) 2340033</f>
        <v>#NAME?</v>
      </c>
      <c r="F6146" s="5" t="s">
        <v>43329</v>
      </c>
      <c r="G6146" s="5"/>
      <c r="H6146" s="26">
        <v>9</v>
      </c>
      <c r="I6146" s="5" t="s">
        <v>43330</v>
      </c>
      <c r="J6146" s="5" t="s">
        <v>678</v>
      </c>
      <c r="K6146" s="5" t="s">
        <v>344</v>
      </c>
      <c r="L6146" s="5" t="s">
        <v>43331</v>
      </c>
      <c r="M6146" s="27"/>
      <c r="N6146" s="5"/>
      <c r="O6146" s="5" t="str">
        <v>7734717820</v>
      </c>
      <c r="P6146" s="27">
        <v>10324</v>
      </c>
      <c r="Q6146" s="5" t="s">
        <v>49021</v>
      </c>
      <c r="R6146" s="5"/>
      <c r="S6146" s="5" t="s">
        <v>58561</v>
      </c>
      <c r="T6146" s="28">
        <v>310971000</v>
      </c>
      <c r="U6146" s="28">
        <v>70000</v>
      </c>
      <c r="V6146" s="28">
        <v>322873000</v>
      </c>
      <c r="W6146" s="28">
        <v>28814000</v>
      </c>
      <c r="X6146" s="28">
        <v>125741000</v>
      </c>
      <c r="Y6146" s="28">
        <v>2264737000</v>
      </c>
      <c r="Z6146" s="28">
        <v>499387000</v>
      </c>
      <c r="AA6146" s="28">
        <v>662179000</v>
      </c>
      <c r="AB6146" s="28">
        <v>8023000</v>
      </c>
      <c r="AC6146" s="28">
        <v>711309000</v>
      </c>
      <c r="AD6146" s="28">
        <v>520219000</v>
      </c>
      <c r="AE6146" s="28">
        <v>5380162000</v>
      </c>
      <c r="AF6146" s="28">
        <v>274719000</v>
      </c>
      <c r="AG6146" s="11"/>
    </row>
    <row r="6147">
      <c r="A6147" s="7" t="s">
        <v>7735</v>
      </c>
      <c r="B6147" s="5" t="s">
        <v>15680</v>
      </c>
      <c r="C6147" s="5" t="s">
        <v>23340</v>
      </c>
      <c r="D6147" s="5" t="str">
        <v>771200795783</v>
      </c>
      <c r="E6147" s="0" t="e">
        <f>+7 (926) 8182777
+7 (495) 2217373
+7 (495) 2320044
+7 (495) 2325000
+7 (495) 2325050
+7 (495) 6095760
+7 (495) 6095827
+7 (495) 9810406
+7 (812) 3332555
+7 (812) 4480448
+7 (831) 2200300
+7 (831) 2200350
+7 (8452) 351715
+7 (8632) 725000
+7 (8632) 808770</f>
        <v>#NAME?</v>
      </c>
      <c r="F6147" s="5" t="s">
        <v>43332</v>
      </c>
      <c r="G6147" s="5" t="s">
        <v>43333</v>
      </c>
      <c r="H6147" s="26">
        <v>17</v>
      </c>
      <c r="I6147" s="5" t="s">
        <v>43334</v>
      </c>
      <c r="J6147" s="5" t="s">
        <v>43335</v>
      </c>
      <c r="K6147" s="5" t="s">
        <v>355</v>
      </c>
      <c r="L6147" s="5" t="s">
        <v>43336</v>
      </c>
      <c r="M6147" s="27"/>
      <c r="N6147" s="5" t="s">
        <v>58562</v>
      </c>
      <c r="O6147" s="5" t="str">
        <v>7728571563</v>
      </c>
      <c r="P6147" s="27">
        <v>350000000</v>
      </c>
      <c r="Q6147" s="5" t="s">
        <v>49579</v>
      </c>
      <c r="R6147" s="5"/>
      <c r="S6147" s="5" t="s">
        <v>58564</v>
      </c>
      <c r="T6147" s="28">
        <v>11074343000</v>
      </c>
      <c r="U6147" s="28">
        <v>1228195000</v>
      </c>
      <c r="V6147" s="28">
        <v>1361966000</v>
      </c>
      <c r="W6147" s="28">
        <v>70916000</v>
      </c>
      <c r="X6147" s="28">
        <v>554438000</v>
      </c>
      <c r="Y6147" s="28">
        <v>16983540000</v>
      </c>
      <c r="Z6147" s="28">
        <v>351199000</v>
      </c>
      <c r="AA6147" s="28">
        <v>292041000</v>
      </c>
      <c r="AB6147" s="28">
        <v>329190000</v>
      </c>
      <c r="AC6147" s="28">
        <v>5782099000</v>
      </c>
      <c r="AD6147" s="28">
        <v>704378000</v>
      </c>
      <c r="AE6147" s="28">
        <v>10000531000</v>
      </c>
      <c r="AF6147" s="28">
        <v>35757000</v>
      </c>
      <c r="AG6147" s="11"/>
    </row>
    <row r="6148">
      <c r="A6148" s="7" t="s">
        <v>1387</v>
      </c>
      <c r="B6148" s="5" t="s">
        <v>15681</v>
      </c>
      <c r="C6148" s="5" t="s">
        <v>23341</v>
      </c>
      <c r="D6148" s="5" t="str">
        <v>352501869349</v>
      </c>
      <c r="E6148" s="0" t="e">
        <f>+7 (495) 7774744
+7 (817) 2222311
+7 (817) 2231115
+7 (817) 2234565
+7 (817) 2236954
+7 (817) 2251511
+7 (817) 2517008
+7 (817) 2521959
+7 (817) 2532020
+7 (817) 2231500
+7 (817) 2231510
+7 (817) 2231511
+7 (817) 2231515
+7 (817) 2231544
+7 (817) 2533620</f>
        <v>#NAME?</v>
      </c>
      <c r="F6148" s="5" t="s">
        <v>43337</v>
      </c>
      <c r="G6148" s="5"/>
      <c r="H6148" s="26">
        <v>4.5</v>
      </c>
      <c r="I6148" s="5" t="s">
        <v>43338</v>
      </c>
      <c r="J6148" s="5" t="s">
        <v>26623</v>
      </c>
      <c r="K6148" s="5" t="s">
        <v>344</v>
      </c>
      <c r="L6148" s="5"/>
      <c r="M6148" s="27">
        <v>23991824</v>
      </c>
      <c r="N6148" s="5" t="s">
        <v>57650</v>
      </c>
      <c r="O6148" s="5" t="str">
        <v>7736317095</v>
      </c>
      <c r="P6148" s="27">
        <v>700000000</v>
      </c>
      <c r="Q6148" s="5" t="s">
        <v>58565</v>
      </c>
      <c r="R6148" s="5"/>
      <c r="S6148" s="5" t="s">
        <v>51350</v>
      </c>
      <c r="T6148" s="28">
        <v>508245000</v>
      </c>
      <c r="U6148" s="28"/>
      <c r="V6148" s="28">
        <v>1591443000</v>
      </c>
      <c r="W6148" s="28"/>
      <c r="X6148" s="28">
        <v>1468226000</v>
      </c>
      <c r="Y6148" s="28">
        <v>4006508000</v>
      </c>
      <c r="Z6148" s="28">
        <v>1250404000</v>
      </c>
      <c r="AA6148" s="28">
        <v>106402000</v>
      </c>
      <c r="AB6148" s="28">
        <v>39232000</v>
      </c>
      <c r="AC6148" s="28">
        <v>1920788000</v>
      </c>
      <c r="AD6148" s="28">
        <v>1954875000</v>
      </c>
      <c r="AE6148" s="28">
        <v>18508430000</v>
      </c>
      <c r="AF6148" s="28">
        <v>525142000</v>
      </c>
      <c r="AG6148" s="11"/>
    </row>
    <row r="6149">
      <c r="A6149" s="7" t="s">
        <v>1387</v>
      </c>
      <c r="B6149" s="5" t="s">
        <v>15682</v>
      </c>
      <c r="C6149" s="5" t="s">
        <v>23342</v>
      </c>
      <c r="D6149" s="5" t="str">
        <v>613200177010</v>
      </c>
      <c r="E6149" s="0" t="e">
        <f>+7 (86356) 21703
+7 (86356) 47130
+7 (8632) 222897
+7 (8632) 222898
+7 (86356) 46365
+7 (86356) 46903</f>
        <v>#NAME?</v>
      </c>
      <c r="F6149" s="5" t="s">
        <v>43339</v>
      </c>
      <c r="G6149" s="5" t="s">
        <v>43340</v>
      </c>
      <c r="H6149" s="26">
        <v>26.5</v>
      </c>
      <c r="I6149" s="5" t="s">
        <v>43341</v>
      </c>
      <c r="J6149" s="5" t="s">
        <v>25231</v>
      </c>
      <c r="K6149" s="5" t="s">
        <v>355</v>
      </c>
      <c r="L6149" s="5" t="s">
        <v>43342</v>
      </c>
      <c r="M6149" s="27"/>
      <c r="N6149" s="5"/>
      <c r="O6149" s="5" t="str">
        <v>6132013173</v>
      </c>
      <c r="P6149" s="27">
        <v>125000000</v>
      </c>
      <c r="Q6149" s="5" t="s">
        <v>49059</v>
      </c>
      <c r="R6149" s="5"/>
      <c r="S6149" s="5" t="s">
        <v>49487</v>
      </c>
      <c r="T6149" s="28">
        <v>2663463000</v>
      </c>
      <c r="U6149" s="28"/>
      <c r="V6149" s="28">
        <v>1048103000</v>
      </c>
      <c r="W6149" s="28"/>
      <c r="X6149" s="28">
        <v>360000</v>
      </c>
      <c r="Y6149" s="28">
        <v>6300679000</v>
      </c>
      <c r="Z6149" s="28">
        <v>409045000</v>
      </c>
      <c r="AA6149" s="28">
        <v>1189078000</v>
      </c>
      <c r="AB6149" s="28">
        <v>3564000000</v>
      </c>
      <c r="AC6149" s="28">
        <v>4552049000</v>
      </c>
      <c r="AD6149" s="28">
        <v>559552000</v>
      </c>
      <c r="AE6149" s="28">
        <v>9743810000</v>
      </c>
      <c r="AF6149" s="28">
        <v>137058000</v>
      </c>
      <c r="AG6149" s="11"/>
    </row>
    <row r="6150">
      <c r="A6150" s="7" t="s">
        <v>1387</v>
      </c>
      <c r="B6150" s="5" t="s">
        <v>15683</v>
      </c>
      <c r="C6150" s="5" t="s">
        <v>23343</v>
      </c>
      <c r="D6150" s="5" t="str">
        <v>860504090941</v>
      </c>
      <c r="E6150" s="0" t="e">
        <f>+7 (3466) 581963
+7 (950) 5104548
+7 (982) 8736046
+7 (3466) 291891</f>
        <v>#NAME?</v>
      </c>
      <c r="F6150" s="5" t="s">
        <v>43343</v>
      </c>
      <c r="G6150" s="5" t="s">
        <v>43344</v>
      </c>
      <c r="H6150" s="26">
        <v>12</v>
      </c>
      <c r="I6150" s="5" t="s">
        <v>43345</v>
      </c>
      <c r="J6150" s="5" t="s">
        <v>467</v>
      </c>
      <c r="K6150" s="5" t="s">
        <v>344</v>
      </c>
      <c r="L6150" s="5" t="s">
        <v>43346</v>
      </c>
      <c r="M6150" s="27">
        <v>22456250</v>
      </c>
      <c r="N6150" s="5" t="s">
        <v>58566</v>
      </c>
      <c r="O6150" s="5" t="str">
        <v>8603181305</v>
      </c>
      <c r="P6150" s="27">
        <v>17000</v>
      </c>
      <c r="Q6150" s="5" t="s">
        <v>58567</v>
      </c>
      <c r="R6150" s="5"/>
      <c r="S6150" s="5" t="s">
        <v>58568</v>
      </c>
      <c r="T6150" s="28">
        <v>2189009000</v>
      </c>
      <c r="U6150" s="28">
        <v>45668000</v>
      </c>
      <c r="V6150" s="28">
        <v>1119880000</v>
      </c>
      <c r="W6150" s="28">
        <v>15106000</v>
      </c>
      <c r="X6150" s="28">
        <v>87682000</v>
      </c>
      <c r="Y6150" s="28">
        <v>4031105000</v>
      </c>
      <c r="Z6150" s="28">
        <v>707278000</v>
      </c>
      <c r="AA6150" s="28"/>
      <c r="AB6150" s="28">
        <v>352575000</v>
      </c>
      <c r="AC6150" s="28">
        <v>1976014000</v>
      </c>
      <c r="AD6150" s="28">
        <v>707295000</v>
      </c>
      <c r="AE6150" s="28">
        <v>4347923000</v>
      </c>
      <c r="AF6150" s="28">
        <v>164884000</v>
      </c>
      <c r="AG6150" s="11"/>
    </row>
    <row r="6151">
      <c r="A6151" s="7" t="s">
        <v>7736</v>
      </c>
      <c r="B6151" s="5" t="s">
        <v>15684</v>
      </c>
      <c r="C6151" s="5" t="s">
        <v>23344</v>
      </c>
      <c r="D6151" s="5" t="str">
        <v>772728563630</v>
      </c>
      <c r="E6151" s="0" t="e">
        <f>+7 (495) 7558179
+7 (495) 7558194
+7 (495) 9747502
+7 (914) 8566936
+7 (495) 5758190
+7 (495) 7274134
+7 (495) 7558143
+7 (495) 7558190
+7 (495) 7558197
+7 (495) 7558198
+7 (495) 7758184
+7 (495) 7777771
+7 (495) 9747522
+7 (495) 9747890</f>
        <v>#NAME?</v>
      </c>
      <c r="F6151" s="5" t="s">
        <v>43347</v>
      </c>
      <c r="G6151" s="5" t="s">
        <v>43348</v>
      </c>
      <c r="H6151" s="26">
        <v>17.5</v>
      </c>
      <c r="I6151" s="5" t="s">
        <v>43349</v>
      </c>
      <c r="J6151" s="5" t="s">
        <v>30285</v>
      </c>
      <c r="K6151" s="5" t="s">
        <v>344</v>
      </c>
      <c r="L6151" s="5" t="s">
        <v>43350</v>
      </c>
      <c r="M6151" s="27">
        <v>6180672</v>
      </c>
      <c r="N6151" s="5" t="s">
        <v>58569</v>
      </c>
      <c r="O6151" s="5" t="str">
        <v>7728551528</v>
      </c>
      <c r="P6151" s="27">
        <v>261642500</v>
      </c>
      <c r="Q6151" s="5" t="s">
        <v>49009</v>
      </c>
      <c r="R6151" s="5"/>
      <c r="S6151" s="5" t="s">
        <v>52628</v>
      </c>
      <c r="T6151" s="28">
        <v>26312994000</v>
      </c>
      <c r="U6151" s="28">
        <v>547371000</v>
      </c>
      <c r="V6151" s="28">
        <v>15510722000</v>
      </c>
      <c r="W6151" s="28">
        <v>462409000</v>
      </c>
      <c r="X6151" s="28">
        <v>3056303000</v>
      </c>
      <c r="Y6151" s="28">
        <v>80250015000</v>
      </c>
      <c r="Z6151" s="28">
        <v>33860616000</v>
      </c>
      <c r="AA6151" s="28"/>
      <c r="AB6151" s="28">
        <v>9668522000</v>
      </c>
      <c r="AC6151" s="28">
        <v>46127663000</v>
      </c>
      <c r="AD6151" s="28">
        <v>34122546000</v>
      </c>
      <c r="AE6151" s="28">
        <v>139612746000</v>
      </c>
      <c r="AF6151" s="28">
        <v>22926016000</v>
      </c>
      <c r="AG6151" s="11"/>
    </row>
    <row r="6152">
      <c r="A6152" s="7" t="s">
        <v>7737</v>
      </c>
      <c r="B6152" s="5" t="s">
        <v>15685</v>
      </c>
      <c r="C6152" s="5" t="s">
        <v>23345</v>
      </c>
      <c r="D6152" s="5" t="str">
        <v>230831195346</v>
      </c>
      <c r="E6152" s="0" t="e">
        <f>+7 (86137) 35600
+7 (86137) 53545</f>
        <v>#NAME?</v>
      </c>
      <c r="F6152" s="5" t="s">
        <v>43351</v>
      </c>
      <c r="G6152" s="5" t="s">
        <v>43352</v>
      </c>
      <c r="H6152" s="26">
        <v>29.5</v>
      </c>
      <c r="I6152" s="5" t="s">
        <v>43353</v>
      </c>
      <c r="J6152" s="5" t="s">
        <v>25812</v>
      </c>
      <c r="K6152" s="5" t="s">
        <v>355</v>
      </c>
      <c r="L6152" s="5"/>
      <c r="M6152" s="27">
        <v>342608</v>
      </c>
      <c r="N6152" s="5"/>
      <c r="O6152" s="5" t="str">
        <v>2302033951</v>
      </c>
      <c r="P6152" s="27">
        <v>10000</v>
      </c>
      <c r="Q6152" s="5"/>
      <c r="R6152" s="5"/>
      <c r="S6152" s="5" t="s">
        <v>49029</v>
      </c>
      <c r="T6152" s="28">
        <v>341658000</v>
      </c>
      <c r="U6152" s="28"/>
      <c r="V6152" s="28">
        <v>480913000</v>
      </c>
      <c r="W6152" s="28">
        <v>7116000</v>
      </c>
      <c r="X6152" s="28">
        <v>227000</v>
      </c>
      <c r="Y6152" s="28">
        <v>1374002000</v>
      </c>
      <c r="Z6152" s="28">
        <v>397076000</v>
      </c>
      <c r="AA6152" s="28">
        <v>668700000</v>
      </c>
      <c r="AB6152" s="28">
        <v>98861000</v>
      </c>
      <c r="AC6152" s="28">
        <v>289448000</v>
      </c>
      <c r="AD6152" s="28">
        <v>398990000</v>
      </c>
      <c r="AE6152" s="28">
        <v>3717039000</v>
      </c>
      <c r="AF6152" s="28">
        <v>122460000</v>
      </c>
      <c r="AG6152" s="11"/>
    </row>
    <row r="6153">
      <c r="A6153" s="7" t="s">
        <v>7738</v>
      </c>
      <c r="B6153" s="5" t="s">
        <v>15686</v>
      </c>
      <c r="C6153" s="5" t="s">
        <v>23346</v>
      </c>
      <c r="D6153" s="5" t="str">
        <v>290202845290</v>
      </c>
      <c r="E6153" s="0" t="e">
        <f>+7 (47234) 25618
+7 (47234) 25839
+7 (47234) 25882
+7 (47234) 25897
+7 (915) 5285954</f>
        <v>#NAME?</v>
      </c>
      <c r="F6153" s="5" t="s">
        <v>43354</v>
      </c>
      <c r="G6153" s="5"/>
      <c r="H6153" s="26">
        <v>30</v>
      </c>
      <c r="I6153" s="5"/>
      <c r="J6153" s="5" t="s">
        <v>364</v>
      </c>
      <c r="K6153" s="5" t="s">
        <v>355</v>
      </c>
      <c r="L6153" s="5" t="s">
        <v>43355</v>
      </c>
      <c r="M6153" s="27"/>
      <c r="N6153" s="5"/>
      <c r="O6153" s="5" t="str">
        <v>3122000081</v>
      </c>
      <c r="P6153" s="27">
        <v>4609</v>
      </c>
      <c r="Q6153" s="5" t="s">
        <v>49009</v>
      </c>
      <c r="R6153" s="5"/>
      <c r="S6153" s="5" t="s">
        <v>49093</v>
      </c>
      <c r="T6153" s="28">
        <v>2153000</v>
      </c>
      <c r="U6153" s="28"/>
      <c r="V6153" s="28">
        <v>8752678000</v>
      </c>
      <c r="W6153" s="28"/>
      <c r="X6153" s="28">
        <v>512000</v>
      </c>
      <c r="Y6153" s="28">
        <v>16280790000</v>
      </c>
      <c r="Z6153" s="28">
        <v>211188000</v>
      </c>
      <c r="AA6153" s="28"/>
      <c r="AB6153" s="28">
        <v>14125944000</v>
      </c>
      <c r="AC6153" s="28">
        <v>16058052000</v>
      </c>
      <c r="AD6153" s="28">
        <v>211193000</v>
      </c>
      <c r="AE6153" s="28">
        <v>7114204000</v>
      </c>
      <c r="AF6153" s="28">
        <v>41650000</v>
      </c>
      <c r="AG6153" s="11"/>
    </row>
    <row r="6154">
      <c r="A6154" s="7" t="s">
        <v>7739</v>
      </c>
      <c r="B6154" s="5" t="s">
        <v>15687</v>
      </c>
      <c r="C6154" s="5" t="s">
        <v>23347</v>
      </c>
      <c r="D6154" s="5" t="str">
        <v>165802841030</v>
      </c>
      <c r="E6154" s="0" t="e">
        <f>+7 (495) 1394318</f>
        <v>#NAME?</v>
      </c>
      <c r="F6154" s="5" t="s">
        <v>43356</v>
      </c>
      <c r="G6154" s="5"/>
      <c r="H6154" s="26">
        <v>7</v>
      </c>
      <c r="I6154" s="5" t="s">
        <v>43357</v>
      </c>
      <c r="J6154" s="5" t="s">
        <v>26308</v>
      </c>
      <c r="K6154" s="5" t="s">
        <v>355</v>
      </c>
      <c r="L6154" s="5" t="s">
        <v>43358</v>
      </c>
      <c r="M6154" s="27">
        <v>343802</v>
      </c>
      <c r="N6154" s="5"/>
      <c r="O6154" s="5" t="str">
        <v>7703406825</v>
      </c>
      <c r="P6154" s="27">
        <v>6000000000</v>
      </c>
      <c r="Q6154" s="5"/>
      <c r="R6154" s="5"/>
      <c r="S6154" s="5" t="s">
        <v>49121</v>
      </c>
      <c r="T6154" s="28">
        <v>7240569000</v>
      </c>
      <c r="U6154" s="28"/>
      <c r="V6154" s="28">
        <v>145958000</v>
      </c>
      <c r="W6154" s="28"/>
      <c r="X6154" s="28">
        <v>922226000</v>
      </c>
      <c r="Y6154" s="28">
        <v>9489148000</v>
      </c>
      <c r="Z6154" s="28">
        <v>-616268000</v>
      </c>
      <c r="AA6154" s="28"/>
      <c r="AB6154" s="28">
        <v>152561000</v>
      </c>
      <c r="AC6154" s="28">
        <v>2064563000</v>
      </c>
      <c r="AD6154" s="28">
        <v>5383732000</v>
      </c>
      <c r="AE6154" s="28">
        <v>14977980000</v>
      </c>
      <c r="AF6154" s="28">
        <v>-491292000</v>
      </c>
      <c r="AG6154" s="11"/>
    </row>
    <row r="6155">
      <c r="A6155" s="7" t="s">
        <v>7740</v>
      </c>
      <c r="B6155" s="5" t="s">
        <v>15688</v>
      </c>
      <c r="C6155" s="5" t="s">
        <v>23348</v>
      </c>
      <c r="D6155" s="5" t="str">
        <v>702201103175</v>
      </c>
      <c r="E6155" s="0" t="e">
        <f>+7 (382) 2211423
+7 (38259) 68488</f>
        <v>#NAME?</v>
      </c>
      <c r="F6155" s="5" t="s">
        <v>43359</v>
      </c>
      <c r="G6155" s="5" t="s">
        <v>43360</v>
      </c>
      <c r="H6155" s="26">
        <v>15</v>
      </c>
      <c r="I6155" s="5" t="s">
        <v>43361</v>
      </c>
      <c r="J6155" s="5" t="s">
        <v>364</v>
      </c>
      <c r="K6155" s="5" t="s">
        <v>344</v>
      </c>
      <c r="L6155" s="5" t="s">
        <v>43362</v>
      </c>
      <c r="M6155" s="27">
        <v>1314119</v>
      </c>
      <c r="N6155" s="5" t="s">
        <v>58570</v>
      </c>
      <c r="O6155" s="5" t="str">
        <v>7017205440</v>
      </c>
      <c r="P6155" s="27">
        <v>10000</v>
      </c>
      <c r="Q6155" s="5" t="s">
        <v>55514</v>
      </c>
      <c r="R6155" s="5"/>
      <c r="S6155" s="5" t="s">
        <v>57064</v>
      </c>
      <c r="T6155" s="28">
        <v>1529086000</v>
      </c>
      <c r="U6155" s="28"/>
      <c r="V6155" s="28">
        <v>963147000</v>
      </c>
      <c r="W6155" s="28">
        <v>10800000</v>
      </c>
      <c r="X6155" s="28">
        <v>289041000</v>
      </c>
      <c r="Y6155" s="28">
        <v>3172093000</v>
      </c>
      <c r="Z6155" s="28">
        <v>1331786000</v>
      </c>
      <c r="AA6155" s="28">
        <v>270644000</v>
      </c>
      <c r="AB6155" s="28"/>
      <c r="AC6155" s="28">
        <v>1161257000</v>
      </c>
      <c r="AD6155" s="28">
        <v>1331796000</v>
      </c>
      <c r="AE6155" s="28">
        <v>4992046000</v>
      </c>
      <c r="AF6155" s="28">
        <v>913827000</v>
      </c>
      <c r="AG6155" s="11"/>
    </row>
    <row r="6156">
      <c r="A6156" s="7" t="s">
        <v>7741</v>
      </c>
      <c r="B6156" s="5" t="s">
        <v>15689</v>
      </c>
      <c r="C6156" s="5" t="s">
        <v>23349</v>
      </c>
      <c r="D6156" s="5" t="str">
        <v>780600900613</v>
      </c>
      <c r="E6156" s="0" t="e">
        <f>+7 (343) 3721200
+7 (3472) 865430
+7 (381) 2433712
+7 (383) 2062645
+7 (391) 2274695
+7 (3952) 559190
+7 (401) 2926700
+7 (472) 2231932
+7 (473) 2022967
+7 (495) 6020497
+7 (495) 6020498
+7 (812) 2416795
+7 (812) 2687319
+7 (812) 3365500
+7 (812) 3365577</f>
        <v>#NAME?</v>
      </c>
      <c r="F6156" s="5" t="s">
        <v>43363</v>
      </c>
      <c r="G6156" s="5" t="s">
        <v>43364</v>
      </c>
      <c r="H6156" s="26">
        <v>31.5</v>
      </c>
      <c r="I6156" s="5" t="s">
        <v>43365</v>
      </c>
      <c r="J6156" s="5" t="s">
        <v>26173</v>
      </c>
      <c r="K6156" s="5" t="s">
        <v>344</v>
      </c>
      <c r="L6156" s="5" t="s">
        <v>43366</v>
      </c>
      <c r="M6156" s="27">
        <v>573065</v>
      </c>
      <c r="N6156" s="5" t="s">
        <v>58572</v>
      </c>
      <c r="O6156" s="5" t="str">
        <v>7816187941</v>
      </c>
      <c r="P6156" s="27">
        <v>800000</v>
      </c>
      <c r="Q6156" s="5" t="s">
        <v>49021</v>
      </c>
      <c r="R6156" s="5"/>
      <c r="S6156" s="5" t="s">
        <v>58573</v>
      </c>
      <c r="T6156" s="28">
        <v>152751000</v>
      </c>
      <c r="U6156" s="28">
        <v>6608000</v>
      </c>
      <c r="V6156" s="28">
        <v>327594000</v>
      </c>
      <c r="W6156" s="28">
        <v>162000000</v>
      </c>
      <c r="X6156" s="28">
        <v>136477000</v>
      </c>
      <c r="Y6156" s="28">
        <v>1957284000</v>
      </c>
      <c r="Z6156" s="28">
        <v>1539682000</v>
      </c>
      <c r="AA6156" s="28">
        <v>8497000</v>
      </c>
      <c r="AB6156" s="28"/>
      <c r="AC6156" s="28">
        <v>223811000</v>
      </c>
      <c r="AD6156" s="28">
        <v>1540602000</v>
      </c>
      <c r="AE6156" s="28">
        <v>3458831000</v>
      </c>
      <c r="AF6156" s="28">
        <v>86442000</v>
      </c>
      <c r="AG6156" s="11"/>
    </row>
    <row r="6157">
      <c r="A6157" s="7" t="s">
        <v>7742</v>
      </c>
      <c r="B6157" s="5" t="s">
        <v>15690</v>
      </c>
      <c r="C6157" s="5" t="s">
        <v>23350</v>
      </c>
      <c r="D6157" s="5" t="str">
        <v>332402107900</v>
      </c>
      <c r="F6157" s="5"/>
      <c r="G6157" s="5"/>
      <c r="H6157" s="26">
        <v>2.5</v>
      </c>
      <c r="I6157" s="5" t="s">
        <v>25390</v>
      </c>
      <c r="J6157" s="5" t="s">
        <v>33361</v>
      </c>
      <c r="K6157" s="5" t="s">
        <v>344</v>
      </c>
      <c r="L6157" s="5"/>
      <c r="M6157" s="27"/>
      <c r="N6157" s="5"/>
      <c r="O6157" s="5" t="str">
        <v>9705149567</v>
      </c>
      <c r="P6157" s="27">
        <v>10000000</v>
      </c>
      <c r="Q6157" s="5"/>
      <c r="R6157" s="5"/>
      <c r="S6157" s="5" t="s">
        <v>49029</v>
      </c>
      <c r="T6157" s="28">
        <v>1024836000</v>
      </c>
      <c r="U6157" s="28"/>
      <c r="V6157" s="28">
        <v>528313000</v>
      </c>
      <c r="W6157" s="28"/>
      <c r="X6157" s="28">
        <v>1673000</v>
      </c>
      <c r="Y6157" s="28">
        <v>2494444000</v>
      </c>
      <c r="Z6157" s="28">
        <v>10811000</v>
      </c>
      <c r="AA6157" s="28">
        <v>2050962000</v>
      </c>
      <c r="AB6157" s="28">
        <v>274356000</v>
      </c>
      <c r="AC6157" s="28">
        <v>422671000</v>
      </c>
      <c r="AD6157" s="28">
        <v>20811000</v>
      </c>
      <c r="AE6157" s="28">
        <v>3515658000</v>
      </c>
      <c r="AF6157" s="28">
        <v>10136000</v>
      </c>
      <c r="AG6157" s="11"/>
    </row>
    <row r="6158">
      <c r="A6158" s="7" t="s">
        <v>7743</v>
      </c>
      <c r="B6158" s="5" t="s">
        <v>15691</v>
      </c>
      <c r="C6158" s="5" t="s">
        <v>23150</v>
      </c>
      <c r="D6158" s="5" t="str">
        <v>780622940786</v>
      </c>
      <c r="E6158" s="0" t="e">
        <f>+7 (800) 5000515
+7 (812) 3327475</f>
        <v>#NAME?</v>
      </c>
      <c r="F6158" s="5" t="s">
        <v>43367</v>
      </c>
      <c r="G6158" s="5"/>
      <c r="H6158" s="26">
        <v>12.5</v>
      </c>
      <c r="I6158" s="5" t="s">
        <v>43368</v>
      </c>
      <c r="J6158" s="5" t="s">
        <v>27522</v>
      </c>
      <c r="K6158" s="5" t="s">
        <v>344</v>
      </c>
      <c r="L6158" s="5"/>
      <c r="M6158" s="27"/>
      <c r="N6158" s="5" t="s">
        <v>58574</v>
      </c>
      <c r="O6158" s="5" t="str">
        <v>7814478840</v>
      </c>
      <c r="P6158" s="27">
        <v>6000900</v>
      </c>
      <c r="Q6158" s="5" t="s">
        <v>49009</v>
      </c>
      <c r="R6158" s="5"/>
      <c r="S6158" s="5" t="s">
        <v>49045</v>
      </c>
      <c r="T6158" s="28">
        <v>82405000</v>
      </c>
      <c r="U6158" s="28"/>
      <c r="V6158" s="28">
        <v>773536000</v>
      </c>
      <c r="W6158" s="28"/>
      <c r="X6158" s="28">
        <v>154075000</v>
      </c>
      <c r="Y6158" s="28">
        <v>3374294000</v>
      </c>
      <c r="Z6158" s="28">
        <v>229042000</v>
      </c>
      <c r="AA6158" s="28"/>
      <c r="AB6158" s="28"/>
      <c r="AC6158" s="28">
        <v>2393099000</v>
      </c>
      <c r="AD6158" s="28">
        <v>899007000</v>
      </c>
      <c r="AE6158" s="28">
        <v>6427418000</v>
      </c>
      <c r="AF6158" s="28">
        <v>-43860000</v>
      </c>
      <c r="AG6158" s="11"/>
    </row>
    <row r="6159">
      <c r="A6159" s="7" t="s">
        <v>7744</v>
      </c>
      <c r="B6159" s="5" t="s">
        <v>15692</v>
      </c>
      <c r="C6159" s="5" t="s">
        <v>23351</v>
      </c>
      <c r="D6159" s="5" t="str">
        <v>501000293722</v>
      </c>
      <c r="F6159" s="5"/>
      <c r="G6159" s="5"/>
      <c r="H6159" s="26">
        <v>2.5</v>
      </c>
      <c r="I6159" s="5" t="s">
        <v>43369</v>
      </c>
      <c r="J6159" s="5" t="s">
        <v>364</v>
      </c>
      <c r="K6159" s="5" t="s">
        <v>344</v>
      </c>
      <c r="L6159" s="5" t="s">
        <v>43370</v>
      </c>
      <c r="M6159" s="27"/>
      <c r="N6159" s="5"/>
      <c r="O6159" s="5" t="str">
        <v>9703012711</v>
      </c>
      <c r="P6159" s="27">
        <v>10000</v>
      </c>
      <c r="Q6159" s="5"/>
      <c r="R6159" s="5"/>
      <c r="S6159" s="5" t="s">
        <v>49121</v>
      </c>
      <c r="T6159" s="28">
        <v>19397000</v>
      </c>
      <c r="U6159" s="28">
        <v>10000</v>
      </c>
      <c r="V6159" s="28">
        <v>2144570000</v>
      </c>
      <c r="W6159" s="28"/>
      <c r="X6159" s="28">
        <v>85105000</v>
      </c>
      <c r="Y6159" s="28">
        <v>3478373000</v>
      </c>
      <c r="Z6159" s="28">
        <v>22127000</v>
      </c>
      <c r="AA6159" s="28"/>
      <c r="AB6159" s="28"/>
      <c r="AC6159" s="28">
        <v>3316132000</v>
      </c>
      <c r="AD6159" s="28">
        <v>22137000</v>
      </c>
      <c r="AE6159" s="28">
        <v>3855185000</v>
      </c>
      <c r="AF6159" s="28">
        <v>18455000</v>
      </c>
      <c r="AG6159" s="11"/>
    </row>
    <row r="6160">
      <c r="A6160" s="7" t="s">
        <v>7744</v>
      </c>
      <c r="B6160" s="5" t="s">
        <v>15693</v>
      </c>
      <c r="C6160" s="5" t="s">
        <v>23352</v>
      </c>
      <c r="D6160" s="5" t="str">
        <v>780163340155</v>
      </c>
      <c r="E6160" s="0" t="e">
        <f>+7 (495) 6462225</f>
        <v>#NAME?</v>
      </c>
      <c r="F6160" s="5"/>
      <c r="G6160" s="5"/>
      <c r="H6160" s="26">
        <v>5.5</v>
      </c>
      <c r="I6160" s="5" t="s">
        <v>43371</v>
      </c>
      <c r="J6160" s="5" t="s">
        <v>30218</v>
      </c>
      <c r="K6160" s="5" t="s">
        <v>344</v>
      </c>
      <c r="L6160" s="5" t="s">
        <v>43372</v>
      </c>
      <c r="M6160" s="27"/>
      <c r="N6160" s="5"/>
      <c r="O6160" s="5" t="str">
        <v>7722418791</v>
      </c>
      <c r="P6160" s="27">
        <v>5000000</v>
      </c>
      <c r="Q6160" s="5" t="s">
        <v>58576</v>
      </c>
      <c r="R6160" s="5"/>
      <c r="S6160" s="5" t="s">
        <v>57566</v>
      </c>
      <c r="T6160" s="28">
        <v>195735000</v>
      </c>
      <c r="U6160" s="28"/>
      <c r="V6160" s="28">
        <v>1750782000</v>
      </c>
      <c r="W6160" s="28"/>
      <c r="X6160" s="28">
        <v>18744000</v>
      </c>
      <c r="Y6160" s="28">
        <v>3306315000</v>
      </c>
      <c r="Z6160" s="28">
        <v>1441894000</v>
      </c>
      <c r="AA6160" s="28"/>
      <c r="AB6160" s="28">
        <v>1429752000</v>
      </c>
      <c r="AC6160" s="28">
        <v>1679697000</v>
      </c>
      <c r="AD6160" s="28">
        <v>1446894000</v>
      </c>
      <c r="AE6160" s="28">
        <v>14141281000</v>
      </c>
      <c r="AF6160" s="28">
        <v>789851000</v>
      </c>
      <c r="AG6160" s="11"/>
    </row>
    <row r="6161">
      <c r="A6161" s="7" t="s">
        <v>7745</v>
      </c>
      <c r="B6161" s="5" t="s">
        <v>15694</v>
      </c>
      <c r="C6161" s="5" t="s">
        <v>23353</v>
      </c>
      <c r="D6161" s="5" t="str">
        <v>392302598851</v>
      </c>
      <c r="E6161" s="0" t="e">
        <f>+7 (496) 6312233
+7 (49663) 41963
+7 (49663) 61255
+7 (49663) 61874
+7 (49663) 61924
+7 (499) 2357484
+7 (926) 5004302
+7 (985) 1893256</f>
        <v>#NAME?</v>
      </c>
      <c r="F6161" s="5" t="s">
        <v>43373</v>
      </c>
      <c r="G6161" s="5" t="s">
        <v>43374</v>
      </c>
      <c r="H6161" s="26">
        <v>16.5</v>
      </c>
      <c r="I6161" s="5" t="s">
        <v>43375</v>
      </c>
      <c r="J6161" s="5" t="s">
        <v>25371</v>
      </c>
      <c r="K6161" s="5" t="s">
        <v>355</v>
      </c>
      <c r="L6161" s="5"/>
      <c r="M6161" s="27">
        <v>3183060</v>
      </c>
      <c r="N6161" s="5"/>
      <c r="O6161" s="5" t="str">
        <v>5072723738</v>
      </c>
      <c r="P6161" s="27">
        <v>10332569814</v>
      </c>
      <c r="Q6161" s="5" t="s">
        <v>49059</v>
      </c>
      <c r="R6161" s="5"/>
      <c r="S6161" s="5" t="s">
        <v>49123</v>
      </c>
      <c r="T6161" s="28">
        <v>1461026000</v>
      </c>
      <c r="U6161" s="28">
        <v>7905898000</v>
      </c>
      <c r="V6161" s="28">
        <v>1092727000</v>
      </c>
      <c r="W6161" s="28">
        <v>395500000</v>
      </c>
      <c r="X6161" s="28">
        <v>18507000</v>
      </c>
      <c r="Y6161" s="28">
        <v>13449066000</v>
      </c>
      <c r="Z6161" s="28">
        <v>-3449759000</v>
      </c>
      <c r="AA6161" s="28"/>
      <c r="AB6161" s="28">
        <v>1684377000</v>
      </c>
      <c r="AC6161" s="28">
        <v>2245889000</v>
      </c>
      <c r="AD6161" s="28">
        <v>10792199000</v>
      </c>
      <c r="AE6161" s="28">
        <v>4115615000</v>
      </c>
      <c r="AF6161" s="28">
        <v>-503680000</v>
      </c>
      <c r="AG6161" s="11"/>
    </row>
    <row r="6162">
      <c r="A6162" s="7" t="s">
        <v>7746</v>
      </c>
      <c r="B6162" s="5" t="s">
        <v>15695</v>
      </c>
      <c r="C6162" s="5" t="s">
        <v>23354</v>
      </c>
      <c r="D6162" s="5"/>
      <c r="E6162" s="0" t="e">
        <f>+7 (495) 2307504
+7 (495) 5443679
+7 (499) 2307501</f>
        <v>#NAME?</v>
      </c>
      <c r="F6162" s="5"/>
      <c r="G6162" s="5" t="s">
        <v>43376</v>
      </c>
      <c r="H6162" s="26">
        <v>8.5</v>
      </c>
      <c r="I6162" s="5" t="s">
        <v>43132</v>
      </c>
      <c r="J6162" s="5" t="s">
        <v>30277</v>
      </c>
      <c r="K6162" s="5" t="s">
        <v>355</v>
      </c>
      <c r="L6162" s="5" t="s">
        <v>43377</v>
      </c>
      <c r="M6162" s="27">
        <v>5272300</v>
      </c>
      <c r="N6162" s="5" t="s">
        <v>58577</v>
      </c>
      <c r="O6162" s="5" t="str">
        <v>7727839730</v>
      </c>
      <c r="P6162" s="27">
        <v>1000000</v>
      </c>
      <c r="Q6162" s="5" t="s">
        <v>58578</v>
      </c>
      <c r="R6162" s="5"/>
      <c r="S6162" s="5" t="s">
        <v>58579</v>
      </c>
      <c r="T6162" s="28">
        <v>265720000</v>
      </c>
      <c r="U6162" s="28">
        <v>2300000000</v>
      </c>
      <c r="V6162" s="28">
        <v>1469213000</v>
      </c>
      <c r="W6162" s="28">
        <v>544678000</v>
      </c>
      <c r="X6162" s="28">
        <v>31254000</v>
      </c>
      <c r="Y6162" s="28">
        <v>5324997000</v>
      </c>
      <c r="Z6162" s="28">
        <v>643486000</v>
      </c>
      <c r="AA6162" s="28">
        <v>1856682000</v>
      </c>
      <c r="AB6162" s="28">
        <v>514262000</v>
      </c>
      <c r="AC6162" s="28">
        <v>2774054000</v>
      </c>
      <c r="AD6162" s="28">
        <v>644486000</v>
      </c>
      <c r="AE6162" s="28">
        <v>4944663000</v>
      </c>
      <c r="AF6162" s="28">
        <v>67370000</v>
      </c>
      <c r="AG6162" s="11"/>
    </row>
    <row r="6163">
      <c r="A6163" s="7" t="s">
        <v>7747</v>
      </c>
      <c r="B6163" s="5" t="s">
        <v>15696</v>
      </c>
      <c r="C6163" s="5" t="s">
        <v>23355</v>
      </c>
      <c r="D6163" s="5" t="str">
        <v>501005026551</v>
      </c>
      <c r="E6163" s="0" t="e">
        <f>+7 (499) 1234780
+7 (800) 3331783
+7 (3433) 182444
+7 (345) 2565776
+7 (3512) 20169
+7 (495) 5454550
+7 (800) 3022130
+7 (812) 3091757
+7 (83142) 91767
+7 (846) 2060179
+7 (861) 2034071
+7 (863) 3036113</f>
        <v>#NAME?</v>
      </c>
      <c r="F6163" s="5" t="s">
        <v>43378</v>
      </c>
      <c r="G6163" s="5"/>
      <c r="H6163" s="26">
        <v>15</v>
      </c>
      <c r="I6163" s="5" t="s">
        <v>43379</v>
      </c>
      <c r="J6163" s="5" t="s">
        <v>43380</v>
      </c>
      <c r="K6163" s="5" t="s">
        <v>355</v>
      </c>
      <c r="L6163" s="5"/>
      <c r="M6163" s="27"/>
      <c r="N6163" s="5" t="s">
        <v>58580</v>
      </c>
      <c r="O6163" s="5" t="str">
        <v>7710718303</v>
      </c>
      <c r="P6163" s="27">
        <v>100000</v>
      </c>
      <c r="Q6163" s="5" t="s">
        <v>49009</v>
      </c>
      <c r="R6163" s="5"/>
      <c r="S6163" s="5" t="s">
        <v>49010</v>
      </c>
      <c r="T6163" s="28">
        <v>46564000</v>
      </c>
      <c r="U6163" s="28"/>
      <c r="V6163" s="28">
        <v>532905000</v>
      </c>
      <c r="W6163" s="28">
        <v>260179000</v>
      </c>
      <c r="X6163" s="28">
        <v>203609000</v>
      </c>
      <c r="Y6163" s="28">
        <v>1280278000</v>
      </c>
      <c r="Z6163" s="28">
        <v>-1055535000</v>
      </c>
      <c r="AA6163" s="28"/>
      <c r="AB6163" s="28"/>
      <c r="AC6163" s="28">
        <v>709707000</v>
      </c>
      <c r="AD6163" s="28">
        <v>498665000</v>
      </c>
      <c r="AE6163" s="28">
        <v>3292368000</v>
      </c>
      <c r="AF6163" s="28">
        <v>-458077000</v>
      </c>
      <c r="AG6163" s="11"/>
    </row>
    <row r="6164">
      <c r="A6164" s="7" t="s">
        <v>7748</v>
      </c>
      <c r="B6164" s="5" t="s">
        <v>15697</v>
      </c>
      <c r="C6164" s="5" t="s">
        <v>23356</v>
      </c>
      <c r="D6164" s="5" t="str">
        <v>140200137882</v>
      </c>
      <c r="E6164" s="0" t="e">
        <f>+7 (41145) 32912
+7 (41145) 21667
+7 (41145) 31083
+7 (41145) 31504
+7 (41145) 31615
+7 (41145) 31667
+7 (41145) 31705
+7 (41145) 41408</f>
        <v>#NAME?</v>
      </c>
      <c r="F6164" s="5" t="s">
        <v>43381</v>
      </c>
      <c r="G6164" s="5"/>
      <c r="H6164" s="26">
        <v>31</v>
      </c>
      <c r="I6164" s="5" t="s">
        <v>43382</v>
      </c>
      <c r="J6164" s="5" t="s">
        <v>467</v>
      </c>
      <c r="K6164" s="5" t="s">
        <v>344</v>
      </c>
      <c r="L6164" s="5" t="s">
        <v>43383</v>
      </c>
      <c r="M6164" s="27">
        <v>161700715</v>
      </c>
      <c r="N6164" s="5" t="s">
        <v>58581</v>
      </c>
      <c r="O6164" s="5" t="str">
        <v>1402011170</v>
      </c>
      <c r="P6164" s="27">
        <v>200000</v>
      </c>
      <c r="Q6164" s="5" t="s">
        <v>58582</v>
      </c>
      <c r="R6164" s="5" t="s">
        <v>51800</v>
      </c>
      <c r="S6164" s="5" t="s">
        <v>51646</v>
      </c>
      <c r="T6164" s="28">
        <v>284111000</v>
      </c>
      <c r="U6164" s="28">
        <v>74764000</v>
      </c>
      <c r="V6164" s="28">
        <v>39708000</v>
      </c>
      <c r="W6164" s="28"/>
      <c r="X6164" s="28">
        <v>511742000</v>
      </c>
      <c r="Y6164" s="28">
        <v>1462999000</v>
      </c>
      <c r="Z6164" s="28">
        <v>816063000</v>
      </c>
      <c r="AA6164" s="28"/>
      <c r="AB6164" s="28"/>
      <c r="AC6164" s="28">
        <v>567794000</v>
      </c>
      <c r="AD6164" s="28">
        <v>817431000</v>
      </c>
      <c r="AE6164" s="28">
        <v>3813187000</v>
      </c>
      <c r="AF6164" s="28">
        <v>344386000</v>
      </c>
      <c r="AG6164" s="11"/>
    </row>
    <row r="6165">
      <c r="A6165" s="7" t="s">
        <v>7749</v>
      </c>
      <c r="B6165" s="5" t="s">
        <v>15698</v>
      </c>
      <c r="C6165" s="5" t="s">
        <v>23357</v>
      </c>
      <c r="D6165" s="5"/>
      <c r="E6165" s="0" t="e">
        <f>+7 (473) 2417017
+7 (473) 2548445
+7 (473) 2602446
+7 (473) 2602456
+7 (473) 2620252
+7 (473) 2637702
+7 (473) 2690014
+7 (473) 2694030
+7 (47372) 27311</f>
        <v>#NAME?</v>
      </c>
      <c r="F6165" s="5"/>
      <c r="G6165" s="5"/>
      <c r="H6165" s="26">
        <v>18</v>
      </c>
      <c r="I6165" s="5" t="s">
        <v>43384</v>
      </c>
      <c r="J6165" s="5" t="s">
        <v>26997</v>
      </c>
      <c r="K6165" s="5" t="s">
        <v>355</v>
      </c>
      <c r="L6165" s="5" t="s">
        <v>43385</v>
      </c>
      <c r="M6165" s="27"/>
      <c r="N6165" s="5"/>
      <c r="O6165" s="5" t="str">
        <v>3666121941</v>
      </c>
      <c r="P6165" s="27">
        <v>20000000</v>
      </c>
      <c r="Q6165" s="5" t="s">
        <v>49009</v>
      </c>
      <c r="R6165" s="5"/>
      <c r="S6165" s="5" t="s">
        <v>49066</v>
      </c>
      <c r="T6165" s="28">
        <v>721298000</v>
      </c>
      <c r="U6165" s="28">
        <v>21168000</v>
      </c>
      <c r="V6165" s="28">
        <v>122398000</v>
      </c>
      <c r="W6165" s="28"/>
      <c r="X6165" s="28">
        <v>49037000</v>
      </c>
      <c r="Y6165" s="28">
        <v>2036496000</v>
      </c>
      <c r="Z6165" s="28">
        <v>620591000</v>
      </c>
      <c r="AA6165" s="28">
        <v>651067000</v>
      </c>
      <c r="AB6165" s="28">
        <v>75000000</v>
      </c>
      <c r="AC6165" s="28">
        <v>744838000</v>
      </c>
      <c r="AD6165" s="28">
        <v>640591000</v>
      </c>
      <c r="AE6165" s="28">
        <v>3249423000</v>
      </c>
      <c r="AF6165" s="28">
        <v>92004000</v>
      </c>
      <c r="AG6165" s="11"/>
    </row>
    <row r="6166">
      <c r="A6166" s="7" t="s">
        <v>7750</v>
      </c>
      <c r="B6166" s="5" t="s">
        <v>15699</v>
      </c>
      <c r="C6166" s="5" t="s">
        <v>22876</v>
      </c>
      <c r="D6166" s="5"/>
      <c r="F6166" s="5"/>
      <c r="G6166" s="5"/>
      <c r="H6166" s="26">
        <v>4</v>
      </c>
      <c r="I6166" s="5" t="s">
        <v>43386</v>
      </c>
      <c r="J6166" s="5" t="s">
        <v>26503</v>
      </c>
      <c r="K6166" s="5" t="s">
        <v>344</v>
      </c>
      <c r="L6166" s="5" t="s">
        <v>35104</v>
      </c>
      <c r="M6166" s="27"/>
      <c r="N6166" s="5"/>
      <c r="O6166" s="5" t="str">
        <v>5007106559</v>
      </c>
      <c r="P6166" s="27">
        <v>80000000</v>
      </c>
      <c r="Q6166" s="5" t="s">
        <v>49207</v>
      </c>
      <c r="R6166" s="5"/>
      <c r="S6166" s="5" t="s">
        <v>53047</v>
      </c>
      <c r="T6166" s="28">
        <v>321727000</v>
      </c>
      <c r="U6166" s="28"/>
      <c r="V6166" s="28">
        <v>742285000</v>
      </c>
      <c r="W6166" s="28">
        <v>100000000</v>
      </c>
      <c r="X6166" s="28">
        <v>363259000</v>
      </c>
      <c r="Y6166" s="28">
        <v>2734264000</v>
      </c>
      <c r="Z6166" s="28">
        <v>124865000</v>
      </c>
      <c r="AA6166" s="28"/>
      <c r="AB6166" s="28">
        <v>35334000</v>
      </c>
      <c r="AC6166" s="28">
        <v>2432889000</v>
      </c>
      <c r="AD6166" s="28">
        <v>204865000</v>
      </c>
      <c r="AE6166" s="28">
        <v>9191392000</v>
      </c>
      <c r="AF6166" s="28">
        <v>62707000</v>
      </c>
      <c r="AG6166" s="11"/>
    </row>
    <row r="6167">
      <c r="A6167" s="7" t="s">
        <v>7751</v>
      </c>
      <c r="B6167" s="5" t="s">
        <v>15700</v>
      </c>
      <c r="C6167" s="5" t="s">
        <v>23358</v>
      </c>
      <c r="D6167" s="5" t="str">
        <v>772026933168</v>
      </c>
      <c r="E6167" s="0" t="e">
        <f>+7 (495) 7863432
+7 (383) 3120434
+7 (495) 6775259
+7 (495) 6776413
+7 (495) 6776424
+7 (495) 6777541
+7 (495) 6793703
+7 (495) 6794694
+7 (495) 7843443
+7 (495) 7863430
+7 (495) 7863443
+7 (495) 7869951</f>
        <v>#NAME?</v>
      </c>
      <c r="F6167" s="5" t="s">
        <v>43387</v>
      </c>
      <c r="G6167" s="5" t="s">
        <v>41914</v>
      </c>
      <c r="H6167" s="26">
        <v>29.5</v>
      </c>
      <c r="I6167" s="5"/>
      <c r="J6167" s="5" t="s">
        <v>39622</v>
      </c>
      <c r="K6167" s="5" t="s">
        <v>344</v>
      </c>
      <c r="L6167" s="5"/>
      <c r="M6167" s="27"/>
      <c r="N6167" s="5" t="s">
        <v>58583</v>
      </c>
      <c r="O6167" s="5" t="str">
        <v>7723005557</v>
      </c>
      <c r="P6167" s="27">
        <v>2125200</v>
      </c>
      <c r="Q6167" s="5" t="s">
        <v>58584</v>
      </c>
      <c r="R6167" s="5"/>
      <c r="S6167" s="5" t="s">
        <v>50902</v>
      </c>
      <c r="T6167" s="28">
        <v>1628422000</v>
      </c>
      <c r="U6167" s="28">
        <v>108423000</v>
      </c>
      <c r="V6167" s="28">
        <v>925833000</v>
      </c>
      <c r="W6167" s="28">
        <v>8000000</v>
      </c>
      <c r="X6167" s="28">
        <v>802595000</v>
      </c>
      <c r="Y6167" s="28">
        <v>3991701000</v>
      </c>
      <c r="Z6167" s="28">
        <v>3747989000</v>
      </c>
      <c r="AA6167" s="28"/>
      <c r="AB6167" s="28"/>
      <c r="AC6167" s="28">
        <v>222009000</v>
      </c>
      <c r="AD6167" s="28">
        <v>3750327000</v>
      </c>
      <c r="AE6167" s="28">
        <v>3790365000</v>
      </c>
      <c r="AF6167" s="28">
        <v>344544000</v>
      </c>
      <c r="AG6167" s="11"/>
    </row>
    <row r="6168">
      <c r="A6168" s="7" t="s">
        <v>7752</v>
      </c>
      <c r="B6168" s="5" t="s">
        <v>15701</v>
      </c>
      <c r="C6168" s="5" t="s">
        <v>23359</v>
      </c>
      <c r="D6168" s="5" t="str">
        <v>504806363177</v>
      </c>
      <c r="E6168" s="0" t="e">
        <f>+7 (495) 7805190
+7 (499) 2704702
+7 (962) 9127826
+7 (495) 6800102
+7 (495) 7805191</f>
        <v>#NAME?</v>
      </c>
      <c r="F6168" s="5"/>
      <c r="G6168" s="5" t="s">
        <v>43388</v>
      </c>
      <c r="H6168" s="26">
        <v>12.5</v>
      </c>
      <c r="I6168" s="5" t="s">
        <v>43389</v>
      </c>
      <c r="J6168" s="5" t="s">
        <v>34655</v>
      </c>
      <c r="K6168" s="5" t="s">
        <v>380</v>
      </c>
      <c r="L6168" s="5"/>
      <c r="M6168" s="27">
        <v>445578433</v>
      </c>
      <c r="N6168" s="5" t="s">
        <v>55486</v>
      </c>
      <c r="O6168" s="5" t="str">
        <v>7729657870</v>
      </c>
      <c r="P6168" s="27">
        <v>3713282719</v>
      </c>
      <c r="Q6168" s="5" t="s">
        <v>58585</v>
      </c>
      <c r="R6168" s="5" t="s">
        <v>58586</v>
      </c>
      <c r="S6168" s="5" t="s">
        <v>50630</v>
      </c>
      <c r="T6168" s="28">
        <v>5602733000</v>
      </c>
      <c r="U6168" s="28"/>
      <c r="V6168" s="28">
        <v>14689212000</v>
      </c>
      <c r="W6168" s="28"/>
      <c r="X6168" s="28">
        <v>2563749000</v>
      </c>
      <c r="Y6168" s="28">
        <v>49344308000</v>
      </c>
      <c r="Z6168" s="28">
        <v>-6804357000</v>
      </c>
      <c r="AA6168" s="28"/>
      <c r="AB6168" s="28">
        <v>2900000000</v>
      </c>
      <c r="AC6168" s="28">
        <v>48001253000</v>
      </c>
      <c r="AD6168" s="28">
        <v>-3058757000</v>
      </c>
      <c r="AE6168" s="28">
        <v>68679646000</v>
      </c>
      <c r="AF6168" s="28">
        <v>481087000</v>
      </c>
      <c r="AG6168" s="11"/>
    </row>
    <row r="6169">
      <c r="A6169" s="7" t="s">
        <v>7753</v>
      </c>
      <c r="B6169" s="5" t="s">
        <v>15284</v>
      </c>
      <c r="C6169" s="5" t="s">
        <v>23360</v>
      </c>
      <c r="D6169" s="5" t="str">
        <v>780107069809</v>
      </c>
      <c r="F6169" s="5" t="s">
        <v>43390</v>
      </c>
      <c r="G6169" s="5" t="s">
        <v>43391</v>
      </c>
      <c r="H6169" s="26">
        <v>31</v>
      </c>
      <c r="I6169" s="5"/>
      <c r="J6169" s="5" t="s">
        <v>31754</v>
      </c>
      <c r="K6169" s="5" t="s">
        <v>355</v>
      </c>
      <c r="L6169" s="5" t="s">
        <v>43392</v>
      </c>
      <c r="M6169" s="27"/>
      <c r="N6169" s="5" t="s">
        <v>58587</v>
      </c>
      <c r="O6169" s="5" t="str">
        <v>7705051102</v>
      </c>
      <c r="P6169" s="27">
        <v>33466665</v>
      </c>
      <c r="Q6169" s="5" t="s">
        <v>58588</v>
      </c>
      <c r="R6169" s="5"/>
      <c r="S6169" s="5" t="s">
        <v>58589</v>
      </c>
      <c r="T6169" s="28">
        <v>348967000</v>
      </c>
      <c r="U6169" s="28">
        <v>64000</v>
      </c>
      <c r="V6169" s="28">
        <v>1403553000</v>
      </c>
      <c r="W6169" s="28"/>
      <c r="X6169" s="28">
        <v>116233000</v>
      </c>
      <c r="Y6169" s="28">
        <v>3758203000</v>
      </c>
      <c r="Z6169" s="28">
        <v>436451000</v>
      </c>
      <c r="AA6169" s="28">
        <v>189500000</v>
      </c>
      <c r="AB6169" s="28"/>
      <c r="AC6169" s="28">
        <v>2579192000</v>
      </c>
      <c r="AD6169" s="28">
        <v>696591000</v>
      </c>
      <c r="AE6169" s="28">
        <v>5836915000</v>
      </c>
      <c r="AF6169" s="28">
        <v>-143740000</v>
      </c>
      <c r="AG6169" s="11"/>
    </row>
    <row r="6170">
      <c r="A6170" s="7" t="s">
        <v>7754</v>
      </c>
      <c r="B6170" s="5" t="s">
        <v>15702</v>
      </c>
      <c r="C6170" s="5" t="s">
        <v>23361</v>
      </c>
      <c r="D6170" s="5" t="str">
        <v>860702702811</v>
      </c>
      <c r="E6170" s="0" t="e">
        <f>+7 (84661) 70562
+7 (495) 2257595
+7 (495) 2257596</f>
        <v>#NAME?</v>
      </c>
      <c r="F6170" s="5" t="s">
        <v>43393</v>
      </c>
      <c r="G6170" s="5" t="s">
        <v>43394</v>
      </c>
      <c r="H6170" s="26">
        <v>23</v>
      </c>
      <c r="I6170" s="5"/>
      <c r="J6170" s="5" t="s">
        <v>28226</v>
      </c>
      <c r="K6170" s="5" t="s">
        <v>344</v>
      </c>
      <c r="L6170" s="5"/>
      <c r="M6170" s="27">
        <v>11347196</v>
      </c>
      <c r="N6170" s="5" t="s">
        <v>58590</v>
      </c>
      <c r="O6170" s="5" t="str">
        <v>0814118403</v>
      </c>
      <c r="P6170" s="27">
        <v>127436400</v>
      </c>
      <c r="Q6170" s="5" t="s">
        <v>58591</v>
      </c>
      <c r="R6170" s="5" t="s">
        <v>58592</v>
      </c>
      <c r="S6170" s="5" t="s">
        <v>56422</v>
      </c>
      <c r="T6170" s="28">
        <v>9220333000</v>
      </c>
      <c r="U6170" s="28"/>
      <c r="V6170" s="28">
        <v>11275983000</v>
      </c>
      <c r="W6170" s="28">
        <v>296360000</v>
      </c>
      <c r="X6170" s="28">
        <v>2030884000</v>
      </c>
      <c r="Y6170" s="28">
        <v>27181072000</v>
      </c>
      <c r="Z6170" s="28">
        <v>7534906000</v>
      </c>
      <c r="AA6170" s="28">
        <v>1482286000</v>
      </c>
      <c r="AB6170" s="28">
        <v>7684538000</v>
      </c>
      <c r="AC6170" s="28">
        <v>16316300000</v>
      </c>
      <c r="AD6170" s="28">
        <v>7668714000</v>
      </c>
      <c r="AE6170" s="28">
        <v>29423619000</v>
      </c>
      <c r="AF6170" s="28">
        <v>741673000</v>
      </c>
      <c r="AG6170" s="11"/>
    </row>
    <row r="6171">
      <c r="A6171" s="7" t="s">
        <v>7754</v>
      </c>
      <c r="B6171" s="5" t="s">
        <v>15703</v>
      </c>
      <c r="C6171" s="5" t="s">
        <v>23362</v>
      </c>
      <c r="D6171" s="5" t="str">
        <v>631800536447</v>
      </c>
      <c r="E6171" s="0" t="e">
        <f>+7 (800) 2223020
+7 (846) 9338028
+7 (8482) 421320
+7 (846) 3415147
+7 (846) 3425862
+7 (846) 3426001
+7 (846) 9338031
+7 (84626) 4021
+7 (84626) 51861</f>
        <v>#NAME?</v>
      </c>
      <c r="F6171" s="5" t="s">
        <v>43395</v>
      </c>
      <c r="G6171" s="5" t="s">
        <v>43396</v>
      </c>
      <c r="H6171" s="26">
        <v>17.5</v>
      </c>
      <c r="I6171" s="5"/>
      <c r="J6171" s="5" t="s">
        <v>27802</v>
      </c>
      <c r="K6171" s="5" t="s">
        <v>344</v>
      </c>
      <c r="L6171" s="5" t="s">
        <v>43397</v>
      </c>
      <c r="M6171" s="27">
        <v>51551829</v>
      </c>
      <c r="N6171" s="5" t="s">
        <v>58593</v>
      </c>
      <c r="O6171" s="5" t="str">
        <v>6367047389</v>
      </c>
      <c r="P6171" s="27">
        <v>1168288100</v>
      </c>
      <c r="Q6171" s="5" t="s">
        <v>58594</v>
      </c>
      <c r="R6171" s="5"/>
      <c r="S6171" s="5" t="s">
        <v>50262</v>
      </c>
      <c r="T6171" s="28">
        <v>42214194000</v>
      </c>
      <c r="U6171" s="28">
        <v>8077000</v>
      </c>
      <c r="V6171" s="28">
        <v>1378687000</v>
      </c>
      <c r="W6171" s="28"/>
      <c r="X6171" s="28">
        <v>1019894000</v>
      </c>
      <c r="Y6171" s="28">
        <v>45224832000</v>
      </c>
      <c r="Z6171" s="28">
        <v>31387391000</v>
      </c>
      <c r="AA6171" s="28"/>
      <c r="AB6171" s="28">
        <v>656000000</v>
      </c>
      <c r="AC6171" s="28">
        <v>2397027000</v>
      </c>
      <c r="AD6171" s="28">
        <v>38327335000</v>
      </c>
      <c r="AE6171" s="28">
        <v>12458217000</v>
      </c>
      <c r="AF6171" s="28">
        <v>1463254000</v>
      </c>
      <c r="AG6171" s="11"/>
    </row>
    <row r="6172">
      <c r="A6172" s="7" t="s">
        <v>7755</v>
      </c>
      <c r="B6172" s="5" t="s">
        <v>15704</v>
      </c>
      <c r="C6172" s="5" t="s">
        <v>23363</v>
      </c>
      <c r="D6172" s="5" t="str">
        <v>784100193716</v>
      </c>
      <c r="E6172" s="0" t="e">
        <f>+7 (495) 6003086
+7 (812) 3255565
+7 (383) 3635345
+7 (495) 1105832
+7 (495) 3255565
+7 (495) 6601886
+7 (495) 6601886
+7 (499) 1105832</f>
        <v>#NAME?</v>
      </c>
      <c r="F6172" s="5" t="s">
        <v>43398</v>
      </c>
      <c r="G6172" s="5" t="s">
        <v>43399</v>
      </c>
      <c r="H6172" s="26">
        <v>15.5</v>
      </c>
      <c r="I6172" s="5"/>
      <c r="J6172" s="5" t="s">
        <v>30320</v>
      </c>
      <c r="K6172" s="5" t="s">
        <v>344</v>
      </c>
      <c r="L6172" s="5" t="s">
        <v>43400</v>
      </c>
      <c r="M6172" s="27"/>
      <c r="N6172" s="5" t="s">
        <v>58595</v>
      </c>
      <c r="O6172" s="5" t="str">
        <v>5074039812</v>
      </c>
      <c r="P6172" s="27">
        <v>3613090</v>
      </c>
      <c r="Q6172" s="5"/>
      <c r="R6172" s="5"/>
      <c r="S6172" s="5" t="s">
        <v>49160</v>
      </c>
      <c r="T6172" s="28">
        <v>1936041000</v>
      </c>
      <c r="U6172" s="28">
        <v>30359000</v>
      </c>
      <c r="V6172" s="28">
        <v>1019484000</v>
      </c>
      <c r="W6172" s="28">
        <v>1296000</v>
      </c>
      <c r="X6172" s="28">
        <v>366822000</v>
      </c>
      <c r="Y6172" s="28">
        <v>4152767000</v>
      </c>
      <c r="Z6172" s="28">
        <v>1740916000</v>
      </c>
      <c r="AA6172" s="28">
        <v>1586605000</v>
      </c>
      <c r="AB6172" s="28">
        <v>7412000</v>
      </c>
      <c r="AC6172" s="28">
        <v>414771000</v>
      </c>
      <c r="AD6172" s="28">
        <v>1981926000</v>
      </c>
      <c r="AE6172" s="28">
        <v>5448193000</v>
      </c>
      <c r="AF6172" s="28">
        <v>1161303000</v>
      </c>
      <c r="AG6172" s="11"/>
    </row>
    <row r="6173">
      <c r="A6173" s="7" t="s">
        <v>7756</v>
      </c>
      <c r="B6173" s="5" t="s">
        <v>15705</v>
      </c>
      <c r="C6173" s="5" t="s">
        <v>23364</v>
      </c>
      <c r="D6173" s="5" t="str">
        <v>504910606813</v>
      </c>
      <c r="E6173" s="0" t="e">
        <f>+7 (495) 4321114
+7 (495) 4321144</f>
        <v>#NAME?</v>
      </c>
      <c r="F6173" s="5" t="s">
        <v>43401</v>
      </c>
      <c r="G6173" s="5" t="s">
        <v>43402</v>
      </c>
      <c r="H6173" s="26">
        <v>8</v>
      </c>
      <c r="I6173" s="5" t="s">
        <v>39566</v>
      </c>
      <c r="J6173" s="5" t="s">
        <v>947</v>
      </c>
      <c r="K6173" s="5" t="s">
        <v>344</v>
      </c>
      <c r="L6173" s="5" t="s">
        <v>43403</v>
      </c>
      <c r="M6173" s="27">
        <v>3421391</v>
      </c>
      <c r="N6173" s="5" t="s">
        <v>58596</v>
      </c>
      <c r="O6173" s="5" t="str">
        <v>7729790409</v>
      </c>
      <c r="P6173" s="27">
        <v>10000</v>
      </c>
      <c r="Q6173" s="5" t="s">
        <v>58597</v>
      </c>
      <c r="R6173" s="5" t="s">
        <v>58598</v>
      </c>
      <c r="S6173" s="5" t="s">
        <v>58599</v>
      </c>
      <c r="T6173" s="28">
        <v>293156000</v>
      </c>
      <c r="U6173" s="28"/>
      <c r="V6173" s="28">
        <v>8981044000</v>
      </c>
      <c r="W6173" s="28">
        <v>952871000</v>
      </c>
      <c r="X6173" s="28">
        <v>1137607000</v>
      </c>
      <c r="Y6173" s="28">
        <v>17118197000</v>
      </c>
      <c r="Z6173" s="28">
        <v>101692000</v>
      </c>
      <c r="AA6173" s="28">
        <v>4648160000</v>
      </c>
      <c r="AB6173" s="28">
        <v>2023753000</v>
      </c>
      <c r="AC6173" s="28">
        <v>12329150000</v>
      </c>
      <c r="AD6173" s="28">
        <v>101702000</v>
      </c>
      <c r="AE6173" s="28">
        <v>8552086000</v>
      </c>
      <c r="AF6173" s="28">
        <v>87340000</v>
      </c>
      <c r="AG6173" s="11"/>
    </row>
    <row r="6174">
      <c r="A6174" s="7" t="s">
        <v>7756</v>
      </c>
      <c r="B6174" s="5" t="s">
        <v>15706</v>
      </c>
      <c r="C6174" s="5" t="s">
        <v>21072</v>
      </c>
      <c r="D6174" s="5"/>
      <c r="E6174" s="0" t="e">
        <f>+7 (917) 2623923</f>
        <v>#NAME?</v>
      </c>
      <c r="F6174" s="5" t="s">
        <v>43404</v>
      </c>
      <c r="G6174" s="5"/>
      <c r="H6174" s="26">
        <v>17</v>
      </c>
      <c r="I6174" s="5" t="s">
        <v>43405</v>
      </c>
      <c r="J6174" s="5" t="s">
        <v>28226</v>
      </c>
      <c r="K6174" s="5" t="s">
        <v>355</v>
      </c>
      <c r="L6174" s="5" t="s">
        <v>43406</v>
      </c>
      <c r="M6174" s="27">
        <v>939678</v>
      </c>
      <c r="N6174" s="5" t="s">
        <v>57965</v>
      </c>
      <c r="O6174" s="5" t="str">
        <v>1660088412</v>
      </c>
      <c r="P6174" s="27">
        <v>1030303</v>
      </c>
      <c r="Q6174" s="5" t="s">
        <v>58600</v>
      </c>
      <c r="R6174" s="5"/>
      <c r="S6174" s="5" t="s">
        <v>56393</v>
      </c>
      <c r="T6174" s="28">
        <v>111449000</v>
      </c>
      <c r="U6174" s="28">
        <v>274826000</v>
      </c>
      <c r="V6174" s="28">
        <v>1092552000</v>
      </c>
      <c r="W6174" s="28"/>
      <c r="X6174" s="28">
        <v>2182000</v>
      </c>
      <c r="Y6174" s="28">
        <v>2317622000</v>
      </c>
      <c r="Z6174" s="28">
        <v>459154000</v>
      </c>
      <c r="AA6174" s="28">
        <v>546730000</v>
      </c>
      <c r="AB6174" s="28">
        <v>629953000</v>
      </c>
      <c r="AC6174" s="28">
        <v>1249690000</v>
      </c>
      <c r="AD6174" s="28">
        <v>460184000</v>
      </c>
      <c r="AE6174" s="28">
        <v>4194441000</v>
      </c>
      <c r="AF6174" s="28">
        <v>318671000</v>
      </c>
      <c r="AG6174" s="11"/>
    </row>
    <row r="6175">
      <c r="A6175" s="7" t="s">
        <v>7757</v>
      </c>
      <c r="B6175" s="5" t="s">
        <v>15707</v>
      </c>
      <c r="C6175" s="5" t="s">
        <v>23365</v>
      </c>
      <c r="D6175" s="5" t="str">
        <v>232018110073</v>
      </c>
      <c r="E6175" s="0" t="e">
        <f>+7 (495) 2521007
+7 (903) 6248510</f>
        <v>#NAME?</v>
      </c>
      <c r="F6175" s="5"/>
      <c r="G6175" s="5"/>
      <c r="H6175" s="26">
        <v>8</v>
      </c>
      <c r="I6175" s="5" t="s">
        <v>43407</v>
      </c>
      <c r="J6175" s="5" t="s">
        <v>364</v>
      </c>
      <c r="K6175" s="5" t="s">
        <v>344</v>
      </c>
      <c r="L6175" s="5" t="s">
        <v>43408</v>
      </c>
      <c r="M6175" s="27">
        <v>1380000</v>
      </c>
      <c r="N6175" s="5" t="s">
        <v>58601</v>
      </c>
      <c r="O6175" s="5" t="str">
        <v>7709457618</v>
      </c>
      <c r="P6175" s="27">
        <v>500000</v>
      </c>
      <c r="Q6175" s="5" t="s">
        <v>58602</v>
      </c>
      <c r="R6175" s="5"/>
      <c r="S6175" s="5" t="s">
        <v>58603</v>
      </c>
      <c r="T6175" s="28">
        <v>97397000</v>
      </c>
      <c r="U6175" s="28"/>
      <c r="V6175" s="28">
        <v>1420862000</v>
      </c>
      <c r="W6175" s="28">
        <v>20000000</v>
      </c>
      <c r="X6175" s="28">
        <v>199295000</v>
      </c>
      <c r="Y6175" s="28">
        <v>2161892000</v>
      </c>
      <c r="Z6175" s="28">
        <v>50372000</v>
      </c>
      <c r="AA6175" s="28"/>
      <c r="AB6175" s="28">
        <v>64035000</v>
      </c>
      <c r="AC6175" s="28">
        <v>1967958000</v>
      </c>
      <c r="AD6175" s="28">
        <v>50872000</v>
      </c>
      <c r="AE6175" s="28">
        <v>4544471000</v>
      </c>
      <c r="AF6175" s="28">
        <v>24697000</v>
      </c>
      <c r="AG6175" s="11"/>
    </row>
    <row r="6176">
      <c r="A6176" s="7" t="s">
        <v>7758</v>
      </c>
      <c r="B6176" s="5" t="s">
        <v>15708</v>
      </c>
      <c r="C6176" s="5" t="s">
        <v>23366</v>
      </c>
      <c r="D6176" s="5" t="str">
        <v>774326766909</v>
      </c>
      <c r="E6176" s="0" t="e">
        <f>+7 (495) 2589170
+7 (495) 2587517
+7 (495) 9335594
+7 (499) 6889008
+7 (985) 1028500</f>
        <v>#NAME?</v>
      </c>
      <c r="F6176" s="5"/>
      <c r="G6176" s="5" t="s">
        <v>43409</v>
      </c>
      <c r="H6176" s="26">
        <v>18.5</v>
      </c>
      <c r="I6176" s="5" t="s">
        <v>43410</v>
      </c>
      <c r="J6176" s="5" t="s">
        <v>43411</v>
      </c>
      <c r="K6176" s="5" t="s">
        <v>380</v>
      </c>
      <c r="L6176" s="5" t="s">
        <v>43412</v>
      </c>
      <c r="M6176" s="27"/>
      <c r="N6176" s="5" t="s">
        <v>58167</v>
      </c>
      <c r="O6176" s="5" t="str">
        <v>7703533301</v>
      </c>
      <c r="P6176" s="27">
        <v>1669000000</v>
      </c>
      <c r="Q6176" s="5"/>
      <c r="R6176" s="5" t="s">
        <v>50633</v>
      </c>
      <c r="S6176" s="5" t="s">
        <v>49053</v>
      </c>
      <c r="T6176" s="28">
        <v>4103559000</v>
      </c>
      <c r="U6176" s="28"/>
      <c r="V6176" s="28">
        <v>923816000</v>
      </c>
      <c r="W6176" s="28"/>
      <c r="X6176" s="28">
        <v>2620908000</v>
      </c>
      <c r="Y6176" s="28">
        <v>17587872000</v>
      </c>
      <c r="Z6176" s="28">
        <v>-2000057000</v>
      </c>
      <c r="AA6176" s="28">
        <v>10873157000</v>
      </c>
      <c r="AB6176" s="28">
        <v>237000000</v>
      </c>
      <c r="AC6176" s="28">
        <v>5232771000</v>
      </c>
      <c r="AD6176" s="28">
        <v>962219000</v>
      </c>
      <c r="AE6176" s="28">
        <v>4396114000</v>
      </c>
      <c r="AF6176" s="28">
        <v>-30496000</v>
      </c>
      <c r="AG6176" s="11"/>
    </row>
    <row r="6177">
      <c r="A6177" s="7" t="s">
        <v>7759</v>
      </c>
      <c r="B6177" s="5" t="s">
        <v>15709</v>
      </c>
      <c r="C6177" s="5" t="s">
        <v>23367</v>
      </c>
      <c r="D6177" s="5" t="str">
        <v>781309167705</v>
      </c>
      <c r="E6177" s="0" t="e">
        <f>+7 (812) 3312434
+7 (812) 3317801</f>
        <v>#NAME?</v>
      </c>
      <c r="F6177" s="5" t="s">
        <v>43413</v>
      </c>
      <c r="G6177" s="5"/>
      <c r="H6177" s="26">
        <v>7</v>
      </c>
      <c r="I6177" s="5" t="s">
        <v>43414</v>
      </c>
      <c r="J6177" s="5" t="s">
        <v>364</v>
      </c>
      <c r="K6177" s="5" t="s">
        <v>344</v>
      </c>
      <c r="L6177" s="5" t="s">
        <v>43415</v>
      </c>
      <c r="M6177" s="27"/>
      <c r="N6177" s="5" t="s">
        <v>53964</v>
      </c>
      <c r="O6177" s="5" t="str">
        <v>7802552898</v>
      </c>
      <c r="P6177" s="27">
        <v>10000</v>
      </c>
      <c r="Q6177" s="5" t="s">
        <v>58604</v>
      </c>
      <c r="R6177" s="5" t="s">
        <v>58605</v>
      </c>
      <c r="S6177" s="5" t="s">
        <v>49496</v>
      </c>
      <c r="T6177" s="28">
        <v>6175000</v>
      </c>
      <c r="U6177" s="28">
        <v>52250000</v>
      </c>
      <c r="V6177" s="28">
        <v>970727000</v>
      </c>
      <c r="W6177" s="28"/>
      <c r="X6177" s="28">
        <v>429208000</v>
      </c>
      <c r="Y6177" s="28">
        <v>1570461000</v>
      </c>
      <c r="Z6177" s="28">
        <v>494998000</v>
      </c>
      <c r="AA6177" s="28"/>
      <c r="AB6177" s="28"/>
      <c r="AC6177" s="28">
        <v>1075453000</v>
      </c>
      <c r="AD6177" s="28">
        <v>495008000</v>
      </c>
      <c r="AE6177" s="28">
        <v>5638468000</v>
      </c>
      <c r="AF6177" s="28">
        <v>255340000</v>
      </c>
      <c r="AG6177" s="11"/>
    </row>
    <row r="6178">
      <c r="A6178" s="7" t="s">
        <v>7760</v>
      </c>
      <c r="B6178" s="5" t="s">
        <v>15710</v>
      </c>
      <c r="C6178" s="5" t="s">
        <v>23368</v>
      </c>
      <c r="D6178" s="5" t="str">
        <v>781003686301</v>
      </c>
      <c r="E6178" s="0" t="e">
        <f>+7 (3472) 264481</f>
        <v>#NAME?</v>
      </c>
      <c r="F6178" s="5"/>
      <c r="G6178" s="5" t="s">
        <v>43416</v>
      </c>
      <c r="H6178" s="26">
        <v>7.5</v>
      </c>
      <c r="I6178" s="5" t="s">
        <v>43417</v>
      </c>
      <c r="J6178" s="5" t="s">
        <v>599</v>
      </c>
      <c r="K6178" s="5" t="s">
        <v>344</v>
      </c>
      <c r="L6178" s="5" t="s">
        <v>42410</v>
      </c>
      <c r="M6178" s="27">
        <v>127467</v>
      </c>
      <c r="N6178" s="5" t="s">
        <v>58606</v>
      </c>
      <c r="O6178" s="5" t="str">
        <v>1655340151</v>
      </c>
      <c r="P6178" s="27">
        <v>100000</v>
      </c>
      <c r="Q6178" s="5" t="s">
        <v>49009</v>
      </c>
      <c r="R6178" s="5"/>
      <c r="S6178" s="5" t="s">
        <v>49361</v>
      </c>
      <c r="T6178" s="28">
        <v>56510000</v>
      </c>
      <c r="U6178" s="28"/>
      <c r="V6178" s="28">
        <v>1537489000</v>
      </c>
      <c r="W6178" s="28"/>
      <c r="X6178" s="28">
        <v>32938000</v>
      </c>
      <c r="Y6178" s="28">
        <v>1672187000</v>
      </c>
      <c r="Z6178" s="28">
        <v>245243000</v>
      </c>
      <c r="AA6178" s="28"/>
      <c r="AB6178" s="28">
        <v>33478000</v>
      </c>
      <c r="AC6178" s="28">
        <v>1391338000</v>
      </c>
      <c r="AD6178" s="28">
        <v>245343000</v>
      </c>
      <c r="AE6178" s="28">
        <v>8837120000</v>
      </c>
      <c r="AF6178" s="28">
        <v>80726000</v>
      </c>
      <c r="AG6178" s="11"/>
    </row>
    <row r="6179">
      <c r="A6179" s="7" t="s">
        <v>7761</v>
      </c>
      <c r="B6179" s="5" t="s">
        <v>15711</v>
      </c>
      <c r="C6179" s="5" t="s">
        <v>23369</v>
      </c>
      <c r="D6179" s="5" t="str">
        <v>620900256580</v>
      </c>
      <c r="E6179" s="0" t="e">
        <f>+7 (49130) 22862
+7 (49132) 21532
+7 (49132) 21745
+7 (49133) 50812
+7 (49136) 22410
+7 (49148) 32164
+7 (49151) 21717
+7 (49151) 29282
+7 (49151) 29914
+7 (49151) 29927
+7 (49158) 22354
+7 (9151) 21717
+7 (920) 9855855</f>
        <v>#NAME?</v>
      </c>
      <c r="F6179" s="5" t="s">
        <v>43418</v>
      </c>
      <c r="G6179" s="5" t="s">
        <v>43419</v>
      </c>
      <c r="H6179" s="26">
        <v>28.5</v>
      </c>
      <c r="I6179" s="5" t="s">
        <v>43420</v>
      </c>
      <c r="J6179" s="5" t="s">
        <v>562</v>
      </c>
      <c r="K6179" s="5" t="s">
        <v>344</v>
      </c>
      <c r="L6179" s="5" t="s">
        <v>43421</v>
      </c>
      <c r="M6179" s="27">
        <v>2438725</v>
      </c>
      <c r="N6179" s="5" t="s">
        <v>58607</v>
      </c>
      <c r="O6179" s="5" t="str">
        <v>6221002617</v>
      </c>
      <c r="P6179" s="27">
        <v>10059785</v>
      </c>
      <c r="Q6179" s="5" t="s">
        <v>58608</v>
      </c>
      <c r="R6179" s="5" t="s">
        <v>54359</v>
      </c>
      <c r="S6179" s="5" t="s">
        <v>58609</v>
      </c>
      <c r="T6179" s="28">
        <v>4131191000</v>
      </c>
      <c r="U6179" s="28"/>
      <c r="V6179" s="28">
        <v>1169942000</v>
      </c>
      <c r="W6179" s="28">
        <v>21582000</v>
      </c>
      <c r="X6179" s="28">
        <v>128608000</v>
      </c>
      <c r="Y6179" s="28">
        <v>7251798000</v>
      </c>
      <c r="Z6179" s="28">
        <v>716299000</v>
      </c>
      <c r="AA6179" s="28">
        <v>100000000</v>
      </c>
      <c r="AB6179" s="28">
        <v>862778000</v>
      </c>
      <c r="AC6179" s="28">
        <v>1646512000</v>
      </c>
      <c r="AD6179" s="28">
        <v>1040782000</v>
      </c>
      <c r="AE6179" s="28">
        <v>5512145000</v>
      </c>
      <c r="AF6179" s="28">
        <v>658261000</v>
      </c>
      <c r="AG6179" s="11"/>
    </row>
    <row r="6180">
      <c r="A6180" s="7" t="s">
        <v>7762</v>
      </c>
      <c r="B6180" s="5" t="s">
        <v>12978</v>
      </c>
      <c r="C6180" s="5" t="s">
        <v>23370</v>
      </c>
      <c r="D6180" s="5" t="str">
        <v>645206593958</v>
      </c>
      <c r="E6180" s="0" t="e">
        <f>+7 (86559) 22020
+7 (86559) 25008
+7 (86559) 31166
+7 (86559) 51236
+7 (86559) 51501</f>
        <v>#NAME?</v>
      </c>
      <c r="F6180" s="5" t="s">
        <v>43422</v>
      </c>
      <c r="G6180" s="5" t="s">
        <v>43423</v>
      </c>
      <c r="H6180" s="26">
        <v>24</v>
      </c>
      <c r="I6180" s="5" t="s">
        <v>43424</v>
      </c>
      <c r="J6180" s="5" t="s">
        <v>26851</v>
      </c>
      <c r="K6180" s="5" t="s">
        <v>344</v>
      </c>
      <c r="L6180" s="5" t="s">
        <v>43425</v>
      </c>
      <c r="M6180" s="27">
        <v>45783520</v>
      </c>
      <c r="N6180" s="5"/>
      <c r="O6180" s="5" t="str">
        <v>2624022320</v>
      </c>
      <c r="P6180" s="27">
        <v>800130920</v>
      </c>
      <c r="Q6180" s="5" t="s">
        <v>58610</v>
      </c>
      <c r="R6180" s="5"/>
      <c r="S6180" s="5" t="s">
        <v>58611</v>
      </c>
      <c r="T6180" s="28">
        <v>28792513000</v>
      </c>
      <c r="U6180" s="28"/>
      <c r="V6180" s="28">
        <v>24138650000</v>
      </c>
      <c r="W6180" s="28"/>
      <c r="X6180" s="28">
        <v>5387000</v>
      </c>
      <c r="Y6180" s="28">
        <v>58857430000</v>
      </c>
      <c r="Z6180" s="28">
        <v>49978689000</v>
      </c>
      <c r="AA6180" s="28"/>
      <c r="AB6180" s="28"/>
      <c r="AC6180" s="28">
        <v>4680934000</v>
      </c>
      <c r="AD6180" s="28">
        <v>51714952000</v>
      </c>
      <c r="AE6180" s="28">
        <v>58151560000</v>
      </c>
      <c r="AF6180" s="28">
        <v>13595983000</v>
      </c>
      <c r="AG6180" s="11"/>
    </row>
    <row r="6181">
      <c r="A6181" s="7" t="s">
        <v>7763</v>
      </c>
      <c r="B6181" s="5" t="s">
        <v>15712</v>
      </c>
      <c r="C6181" s="5" t="s">
        <v>23371</v>
      </c>
      <c r="D6181" s="5" t="str">
        <v>262402923119</v>
      </c>
      <c r="E6181" s="0" t="e">
        <f>+7 (8652) 231846
+7 (8652) 256696
+7 (8652) 262268
+7 (8652) 335985
+7 (8652) 356897
+7 (8652) 365236
+7 (8652) 411152
+7 (8652) 412589
+7 (8652) 425229
+7 (8652) 425555
+7 (8652) 444574
+7 (8652) 452255
+7 (8652) 452855
+7 (8652) 452889
+7 (865) 3852530</f>
        <v>#NAME?</v>
      </c>
      <c r="F6181" s="5" t="s">
        <v>43426</v>
      </c>
      <c r="G6181" s="5" t="s">
        <v>43427</v>
      </c>
      <c r="H6181" s="26">
        <v>24.5</v>
      </c>
      <c r="I6181" s="5" t="s">
        <v>43428</v>
      </c>
      <c r="J6181" s="5" t="s">
        <v>26623</v>
      </c>
      <c r="K6181" s="5" t="s">
        <v>344</v>
      </c>
      <c r="L6181" s="5"/>
      <c r="M6181" s="27">
        <v>837814</v>
      </c>
      <c r="N6181" s="5" t="s">
        <v>56954</v>
      </c>
      <c r="O6181" s="5" t="str">
        <v>2632047085</v>
      </c>
      <c r="P6181" s="27">
        <v>1294906</v>
      </c>
      <c r="Q6181" s="5" t="s">
        <v>58612</v>
      </c>
      <c r="R6181" s="5"/>
      <c r="S6181" s="5" t="s">
        <v>49288</v>
      </c>
      <c r="T6181" s="28">
        <v>229767000</v>
      </c>
      <c r="U6181" s="28"/>
      <c r="V6181" s="28">
        <v>566164000</v>
      </c>
      <c r="W6181" s="28">
        <v>340100000</v>
      </c>
      <c r="X6181" s="28">
        <v>26603000</v>
      </c>
      <c r="Y6181" s="28">
        <v>1181416000</v>
      </c>
      <c r="Z6181" s="28">
        <v>401423000</v>
      </c>
      <c r="AA6181" s="28"/>
      <c r="AB6181" s="28"/>
      <c r="AC6181" s="28">
        <v>552016000</v>
      </c>
      <c r="AD6181" s="28">
        <v>568545000</v>
      </c>
      <c r="AE6181" s="28">
        <v>5978966000</v>
      </c>
      <c r="AF6181" s="28">
        <v>255866000</v>
      </c>
      <c r="AG6181" s="11"/>
    </row>
    <row r="6182">
      <c r="A6182" s="7" t="s">
        <v>7764</v>
      </c>
      <c r="B6182" s="5" t="s">
        <v>15713</v>
      </c>
      <c r="C6182" s="5" t="s">
        <v>23372</v>
      </c>
      <c r="D6182" s="5" t="str">
        <v>890501037850</v>
      </c>
      <c r="E6182" s="0" t="e">
        <f>+7 (8652) 257270
+7 (8652) 263306
+7 (8652) 283080
+7 (8652) 292747
+7 (8652) 345612
+7 (8652) 359458
+7 (8652) 399451
+7 (865) 3363302
+7 (8652) 246570
+7 (8652) 271568
+7 (8652) 356113
+7 (8652) 356741
+7 (8652) 359194
+7 (8652) 359438
+7 (8652) 363302</f>
        <v>#NAME?</v>
      </c>
      <c r="F6182" s="5" t="s">
        <v>43429</v>
      </c>
      <c r="G6182" s="5" t="s">
        <v>43430</v>
      </c>
      <c r="H6182" s="26">
        <v>25.5</v>
      </c>
      <c r="I6182" s="5" t="s">
        <v>43431</v>
      </c>
      <c r="J6182" s="5" t="s">
        <v>27944</v>
      </c>
      <c r="K6182" s="5" t="s">
        <v>344</v>
      </c>
      <c r="L6182" s="5"/>
      <c r="M6182" s="27">
        <v>250738652</v>
      </c>
      <c r="N6182" s="5" t="s">
        <v>58613</v>
      </c>
      <c r="O6182" s="5" t="str">
        <v>2635040105</v>
      </c>
      <c r="P6182" s="27">
        <v>1115993567</v>
      </c>
      <c r="Q6182" s="5" t="s">
        <v>58614</v>
      </c>
      <c r="R6182" s="5" t="s">
        <v>58615</v>
      </c>
      <c r="S6182" s="5" t="s">
        <v>49756</v>
      </c>
      <c r="T6182" s="28">
        <v>4185309000</v>
      </c>
      <c r="U6182" s="28">
        <v>1000</v>
      </c>
      <c r="V6182" s="28">
        <v>1607542000</v>
      </c>
      <c r="W6182" s="28"/>
      <c r="X6182" s="28">
        <v>3280134000</v>
      </c>
      <c r="Y6182" s="28">
        <v>10454216000</v>
      </c>
      <c r="Z6182" s="28">
        <v>233417000</v>
      </c>
      <c r="AA6182" s="28">
        <v>3216965000</v>
      </c>
      <c r="AB6182" s="28">
        <v>412545000</v>
      </c>
      <c r="AC6182" s="28">
        <v>2180454000</v>
      </c>
      <c r="AD6182" s="28">
        <v>5105110000</v>
      </c>
      <c r="AE6182" s="28">
        <v>6679071000</v>
      </c>
      <c r="AF6182" s="28">
        <v>-80019000</v>
      </c>
      <c r="AG6182" s="11"/>
    </row>
    <row r="6183">
      <c r="A6183" s="7" t="s">
        <v>7765</v>
      </c>
      <c r="B6183" s="5" t="s">
        <v>15714</v>
      </c>
      <c r="C6183" s="5" t="s">
        <v>23373</v>
      </c>
      <c r="D6183" s="5"/>
      <c r="E6183" s="0" t="e">
        <f>+7 (86558) 21042
+7 (8652) 260024
+7 (8652) 780001
+7 (86558) 22054
+7 (86558) 22494
+7 (86558) 33380</f>
        <v>#NAME?</v>
      </c>
      <c r="F6183" s="5" t="s">
        <v>43432</v>
      </c>
      <c r="G6183" s="5"/>
      <c r="H6183" s="26">
        <v>17.5</v>
      </c>
      <c r="I6183" s="5" t="s">
        <v>43433</v>
      </c>
      <c r="J6183" s="5" t="s">
        <v>31686</v>
      </c>
      <c r="K6183" s="5" t="s">
        <v>355</v>
      </c>
      <c r="L6183" s="5" t="s">
        <v>43434</v>
      </c>
      <c r="M6183" s="27">
        <v>249744401</v>
      </c>
      <c r="N6183" s="5" t="s">
        <v>58616</v>
      </c>
      <c r="O6183" s="5" t="str">
        <v>2614019198</v>
      </c>
      <c r="P6183" s="27">
        <v>3355056500</v>
      </c>
      <c r="Q6183" s="5" t="s">
        <v>58617</v>
      </c>
      <c r="R6183" s="5" t="s">
        <v>58618</v>
      </c>
      <c r="S6183" s="5" t="s">
        <v>50995</v>
      </c>
      <c r="T6183" s="28">
        <v>7542129000</v>
      </c>
      <c r="U6183" s="28"/>
      <c r="V6183" s="28">
        <v>8127026000</v>
      </c>
      <c r="W6183" s="28"/>
      <c r="X6183" s="28">
        <v>4200000</v>
      </c>
      <c r="Y6183" s="28">
        <v>17767339000</v>
      </c>
      <c r="Z6183" s="28">
        <v>4141434000</v>
      </c>
      <c r="AA6183" s="28"/>
      <c r="AB6183" s="28"/>
      <c r="AC6183" s="28">
        <v>7032949000</v>
      </c>
      <c r="AD6183" s="28">
        <v>8343022000</v>
      </c>
      <c r="AE6183" s="28">
        <v>20748239000</v>
      </c>
      <c r="AF6183" s="28">
        <v>-121539000</v>
      </c>
      <c r="AG6183" s="11"/>
    </row>
    <row r="6184">
      <c r="A6184" s="7" t="s">
        <v>7766</v>
      </c>
      <c r="B6184" s="5" t="s">
        <v>15715</v>
      </c>
      <c r="C6184" s="5" t="s">
        <v>23374</v>
      </c>
      <c r="D6184" s="5" t="str">
        <v>260702462105</v>
      </c>
      <c r="E6184" s="0" t="e">
        <f>+7 (495) 9334400
+7 (86545) 26333</f>
        <v>#NAME?</v>
      </c>
      <c r="F6184" s="5" t="s">
        <v>43435</v>
      </c>
      <c r="G6184" s="5"/>
      <c r="H6184" s="26">
        <v>23.5</v>
      </c>
      <c r="I6184" s="5" t="s">
        <v>43436</v>
      </c>
      <c r="J6184" s="5" t="s">
        <v>25994</v>
      </c>
      <c r="K6184" s="5" t="s">
        <v>344</v>
      </c>
      <c r="L6184" s="5" t="s">
        <v>43437</v>
      </c>
      <c r="M6184" s="27"/>
      <c r="N6184" s="5" t="s">
        <v>58619</v>
      </c>
      <c r="O6184" s="5" t="str">
        <v>2607012219</v>
      </c>
      <c r="P6184" s="27">
        <v>574000</v>
      </c>
      <c r="Q6184" s="5"/>
      <c r="R6184" s="5"/>
      <c r="S6184" s="5" t="s">
        <v>49029</v>
      </c>
      <c r="T6184" s="28">
        <v>160900000</v>
      </c>
      <c r="U6184" s="28">
        <v>99100000</v>
      </c>
      <c r="V6184" s="28">
        <v>1191652000</v>
      </c>
      <c r="W6184" s="28"/>
      <c r="X6184" s="28">
        <v>1131000</v>
      </c>
      <c r="Y6184" s="28">
        <v>2461092000</v>
      </c>
      <c r="Z6184" s="28">
        <v>988479000</v>
      </c>
      <c r="AA6184" s="28">
        <v>3340000</v>
      </c>
      <c r="AB6184" s="28">
        <v>650000000</v>
      </c>
      <c r="AC6184" s="28">
        <v>1312529000</v>
      </c>
      <c r="AD6184" s="28">
        <v>1094833000</v>
      </c>
      <c r="AE6184" s="28">
        <v>3621832000</v>
      </c>
      <c r="AF6184" s="28">
        <v>425872000</v>
      </c>
      <c r="AG6184" s="11"/>
    </row>
    <row r="6185">
      <c r="A6185" s="7" t="s">
        <v>7767</v>
      </c>
      <c r="B6185" s="5" t="s">
        <v>15716</v>
      </c>
      <c r="C6185" s="5" t="s">
        <v>23375</v>
      </c>
      <c r="D6185" s="5" t="str">
        <v>771674454060</v>
      </c>
      <c r="E6185" s="0" t="e">
        <f>+7 (86155) 35136
+7 (47557) 26000
+7 (495) 7417021
+7 (800) 7009039
+7 (86155) 35004
+7 (86155) 35207
+7 (863) 3031075
+7 (8652) 748775
+7 (8652) 748779
+7 (8652) 755775
+7 (8652) 955588
+7 (8652) 955773
+7 (8652) 955775
+7 (8652) 955781
+7 (86547) 42053</f>
        <v>#NAME?</v>
      </c>
      <c r="F6185" s="5" t="s">
        <v>43438</v>
      </c>
      <c r="G6185" s="5" t="s">
        <v>43439</v>
      </c>
      <c r="H6185" s="26">
        <v>20</v>
      </c>
      <c r="I6185" s="5" t="s">
        <v>43440</v>
      </c>
      <c r="J6185" s="5" t="s">
        <v>25450</v>
      </c>
      <c r="K6185" s="5" t="s">
        <v>355</v>
      </c>
      <c r="L6185" s="5" t="s">
        <v>43441</v>
      </c>
      <c r="M6185" s="27">
        <v>26159644</v>
      </c>
      <c r="N6185" s="5"/>
      <c r="O6185" s="5" t="str">
        <v>2623030222</v>
      </c>
      <c r="P6185" s="27">
        <v>404927000</v>
      </c>
      <c r="Q6185" s="5" t="s">
        <v>49059</v>
      </c>
      <c r="R6185" s="5" t="s">
        <v>58621</v>
      </c>
      <c r="S6185" s="5" t="s">
        <v>49961</v>
      </c>
      <c r="T6185" s="28">
        <v>19531411000</v>
      </c>
      <c r="U6185" s="28">
        <v>7895300000</v>
      </c>
      <c r="V6185" s="28">
        <v>11085656000</v>
      </c>
      <c r="W6185" s="28">
        <v>14113578000</v>
      </c>
      <c r="X6185" s="28">
        <v>188575000</v>
      </c>
      <c r="Y6185" s="28">
        <v>61903059000</v>
      </c>
      <c r="Z6185" s="28">
        <v>10623941000</v>
      </c>
      <c r="AA6185" s="28">
        <v>19984317000</v>
      </c>
      <c r="AB6185" s="28">
        <v>16516678000</v>
      </c>
      <c r="AC6185" s="28">
        <v>29950275000</v>
      </c>
      <c r="AD6185" s="28">
        <v>11029808000</v>
      </c>
      <c r="AE6185" s="28">
        <v>48899536000</v>
      </c>
      <c r="AF6185" s="28">
        <v>2304936000</v>
      </c>
      <c r="AG6185" s="11"/>
    </row>
    <row r="6186">
      <c r="A6186" s="7" t="s">
        <v>7768</v>
      </c>
      <c r="B6186" s="5" t="s">
        <v>15717</v>
      </c>
      <c r="C6186" s="5" t="s">
        <v>23376</v>
      </c>
      <c r="D6186" s="5" t="str">
        <v>262301204407</v>
      </c>
      <c r="E6186" s="0" t="e">
        <f>+7 (865) 2330333
+7 (865) 2330940
+7 (800) 6009006
+7 (8652) 330202
+7 (8652) 330937
+7 (8652) 330912
+7 (8652) 330939
+7 (8652) 429050
+7 (8652) 429060
+7 (8652) 953367
+7 (8652) 953674
+7 (8652) 958588
+7 (86552) 30620
+7 (86553) 20121
+7 (86553) 20521</f>
        <v>#NAME?</v>
      </c>
      <c r="F6186" s="5" t="s">
        <v>43442</v>
      </c>
      <c r="G6186" s="5" t="s">
        <v>43443</v>
      </c>
      <c r="H6186" s="26">
        <v>29.5</v>
      </c>
      <c r="I6186" s="5"/>
      <c r="J6186" s="5" t="s">
        <v>26292</v>
      </c>
      <c r="K6186" s="5" t="s">
        <v>344</v>
      </c>
      <c r="L6186" s="5" t="s">
        <v>43444</v>
      </c>
      <c r="M6186" s="27"/>
      <c r="N6186" s="5" t="s">
        <v>58622</v>
      </c>
      <c r="O6186" s="5" t="str">
        <v>2635024103</v>
      </c>
      <c r="P6186" s="27">
        <v>1000</v>
      </c>
      <c r="Q6186" s="5" t="s">
        <v>58623</v>
      </c>
      <c r="R6186" s="5"/>
      <c r="S6186" s="5" t="s">
        <v>49256</v>
      </c>
      <c r="T6186" s="28">
        <v>590708000</v>
      </c>
      <c r="U6186" s="28">
        <v>1390951000</v>
      </c>
      <c r="V6186" s="28">
        <v>1217530000</v>
      </c>
      <c r="W6186" s="28">
        <v>452473000</v>
      </c>
      <c r="X6186" s="28">
        <v>300467000</v>
      </c>
      <c r="Y6186" s="28">
        <v>6246068000</v>
      </c>
      <c r="Z6186" s="28">
        <v>5676050000</v>
      </c>
      <c r="AA6186" s="28"/>
      <c r="AB6186" s="28">
        <v>87716000</v>
      </c>
      <c r="AC6186" s="28">
        <v>547460000</v>
      </c>
      <c r="AD6186" s="28">
        <v>5685800000</v>
      </c>
      <c r="AE6186" s="28">
        <v>9304361000</v>
      </c>
      <c r="AF6186" s="28">
        <v>651354000</v>
      </c>
      <c r="AG6186" s="11"/>
    </row>
    <row r="6187">
      <c r="A6187" s="7" t="s">
        <v>7769</v>
      </c>
      <c r="B6187" s="5" t="s">
        <v>15718</v>
      </c>
      <c r="C6187" s="5" t="s">
        <v>23377</v>
      </c>
      <c r="D6187" s="5" t="str">
        <v>771206607115</v>
      </c>
      <c r="E6187" s="0" t="e">
        <f>+7 (8472) 240000
+7 (8652) 221018
+7 (8652) 222647
+7 (8652) 231133
+7 (8652) 231177
+7 (8652) 231346
+7 (8652) 231646
+7 (8652) 231814
+7 (8652) 231829
+7 (8652) 232623
+7 (8652) 232647
+7 (8652) 233284
+7 (8652) 260509
+7 (8652) 260903
+7 (800) 2344407</f>
        <v>#NAME?</v>
      </c>
      <c r="F6187" s="5" t="s">
        <v>43445</v>
      </c>
      <c r="G6187" s="5"/>
      <c r="H6187" s="26">
        <v>18</v>
      </c>
      <c r="I6187" s="5" t="s">
        <v>43446</v>
      </c>
      <c r="J6187" s="5" t="s">
        <v>26623</v>
      </c>
      <c r="K6187" s="5" t="s">
        <v>344</v>
      </c>
      <c r="L6187" s="5"/>
      <c r="M6187" s="27">
        <v>15755284</v>
      </c>
      <c r="N6187" s="5" t="s">
        <v>58624</v>
      </c>
      <c r="O6187" s="5" t="str">
        <v>2626033550</v>
      </c>
      <c r="P6187" s="27">
        <v>5419000</v>
      </c>
      <c r="Q6187" s="5" t="s">
        <v>58625</v>
      </c>
      <c r="R6187" s="5"/>
      <c r="S6187" s="5" t="s">
        <v>58626</v>
      </c>
      <c r="T6187" s="28">
        <v>582039000</v>
      </c>
      <c r="U6187" s="28">
        <v>1244370000</v>
      </c>
      <c r="V6187" s="28">
        <v>1585815000</v>
      </c>
      <c r="W6187" s="28">
        <v>37612000</v>
      </c>
      <c r="X6187" s="28">
        <v>188246000</v>
      </c>
      <c r="Y6187" s="28">
        <v>3757162000</v>
      </c>
      <c r="Z6187" s="28">
        <v>1151837000</v>
      </c>
      <c r="AA6187" s="28">
        <v>500000000</v>
      </c>
      <c r="AB6187" s="28">
        <v>100000</v>
      </c>
      <c r="AC6187" s="28">
        <v>1656974000</v>
      </c>
      <c r="AD6187" s="28">
        <v>1466067000</v>
      </c>
      <c r="AE6187" s="28">
        <v>22232832000</v>
      </c>
      <c r="AF6187" s="28">
        <v>444362000</v>
      </c>
      <c r="AG6187" s="11"/>
    </row>
    <row r="6188">
      <c r="A6188" s="7" t="s">
        <v>7770</v>
      </c>
      <c r="B6188" s="5" t="s">
        <v>15719</v>
      </c>
      <c r="C6188" s="5" t="s">
        <v>21080</v>
      </c>
      <c r="D6188" s="5" t="str">
        <v>773500537755</v>
      </c>
      <c r="E6188" s="0" t="e">
        <f>+7 (495) 7398474
+7 (495) 7390292
+7 (495) 7390780
+7 (495) 7390787
+7 (495) 7393910
+7 (495) 7413400
+7 (495) 7896928
+7 (495) 7929556
+7 (495) 9816177
+7 (499) 6455060
+7 (499) 7331587
+7 (499) 7389057
+7 (800) 7755223
+7 (800) 7755685</f>
        <v>#NAME?</v>
      </c>
      <c r="F6188" s="5" t="s">
        <v>43447</v>
      </c>
      <c r="G6188" s="5" t="s">
        <v>43448</v>
      </c>
      <c r="H6188" s="26">
        <v>21.5</v>
      </c>
      <c r="I6188" s="5" t="s">
        <v>43449</v>
      </c>
      <c r="J6188" s="5" t="s">
        <v>27085</v>
      </c>
      <c r="K6188" s="5" t="s">
        <v>344</v>
      </c>
      <c r="L6188" s="5" t="s">
        <v>43450</v>
      </c>
      <c r="M6188" s="27"/>
      <c r="N6188" s="5"/>
      <c r="O6188" s="5" t="str">
        <v>7735104584</v>
      </c>
      <c r="P6188" s="27">
        <v>1000000</v>
      </c>
      <c r="Q6188" s="5" t="s">
        <v>49059</v>
      </c>
      <c r="R6188" s="5"/>
      <c r="S6188" s="5" t="s">
        <v>49045</v>
      </c>
      <c r="T6188" s="28">
        <v>12659000</v>
      </c>
      <c r="U6188" s="28"/>
      <c r="V6188" s="28">
        <v>943466000</v>
      </c>
      <c r="W6188" s="28"/>
      <c r="X6188" s="28">
        <v>14794000</v>
      </c>
      <c r="Y6188" s="28">
        <v>1185293000</v>
      </c>
      <c r="Z6188" s="28">
        <v>481588000</v>
      </c>
      <c r="AA6188" s="28"/>
      <c r="AB6188" s="28">
        <v>105488000</v>
      </c>
      <c r="AC6188" s="28">
        <v>702704000</v>
      </c>
      <c r="AD6188" s="28">
        <v>482588000</v>
      </c>
      <c r="AE6188" s="28">
        <v>3831827000</v>
      </c>
      <c r="AF6188" s="28">
        <v>70525000</v>
      </c>
      <c r="AG6188" s="11"/>
    </row>
    <row r="6189">
      <c r="A6189" s="7" t="s">
        <v>7771</v>
      </c>
      <c r="B6189" s="5" t="s">
        <v>15720</v>
      </c>
      <c r="C6189" s="5" t="s">
        <v>23378</v>
      </c>
      <c r="D6189" s="5" t="str">
        <v>611502209434</v>
      </c>
      <c r="E6189" s="0" t="e">
        <f>+7 (863) 2920445
+7 (903) 4893083
+7 (863) 3008354
+7 (863) 3089242
+7 (863) 3089458
+7 (8632) 920366</f>
        <v>#NAME?</v>
      </c>
      <c r="F6189" s="5"/>
      <c r="G6189" s="5" t="s">
        <v>43451</v>
      </c>
      <c r="H6189" s="26">
        <v>13.5</v>
      </c>
      <c r="I6189" s="5" t="s">
        <v>43452</v>
      </c>
      <c r="J6189" s="5" t="s">
        <v>27601</v>
      </c>
      <c r="K6189" s="5" t="s">
        <v>344</v>
      </c>
      <c r="L6189" s="5" t="s">
        <v>43453</v>
      </c>
      <c r="M6189" s="27"/>
      <c r="N6189" s="5" t="s">
        <v>58627</v>
      </c>
      <c r="O6189" s="5" t="str">
        <v>6162016051</v>
      </c>
      <c r="P6189" s="27">
        <v>13000</v>
      </c>
      <c r="Q6189" s="5"/>
      <c r="R6189" s="5"/>
      <c r="S6189" s="5" t="s">
        <v>49110</v>
      </c>
      <c r="T6189" s="28">
        <v>40038000</v>
      </c>
      <c r="U6189" s="28"/>
      <c r="V6189" s="28">
        <v>213095000</v>
      </c>
      <c r="W6189" s="28">
        <v>60000000</v>
      </c>
      <c r="X6189" s="28">
        <v>16290000</v>
      </c>
      <c r="Y6189" s="28">
        <v>417480000</v>
      </c>
      <c r="Z6189" s="28">
        <v>171033000</v>
      </c>
      <c r="AA6189" s="28">
        <v>30694000</v>
      </c>
      <c r="AB6189" s="28">
        <v>25523000</v>
      </c>
      <c r="AC6189" s="28">
        <v>171635000</v>
      </c>
      <c r="AD6189" s="28">
        <v>171046000</v>
      </c>
      <c r="AE6189" s="28">
        <v>3288464000</v>
      </c>
      <c r="AF6189" s="28">
        <v>99558000</v>
      </c>
      <c r="AG6189" s="11"/>
    </row>
    <row r="6190">
      <c r="A6190" s="7" t="s">
        <v>7771</v>
      </c>
      <c r="B6190" s="5" t="s">
        <v>15721</v>
      </c>
      <c r="C6190" s="5" t="s">
        <v>23379</v>
      </c>
      <c r="D6190" s="5" t="str">
        <v>532007630142</v>
      </c>
      <c r="F6190" s="5"/>
      <c r="G6190" s="5"/>
      <c r="H6190" s="26">
        <v>8</v>
      </c>
      <c r="I6190" s="5" t="s">
        <v>43454</v>
      </c>
      <c r="J6190" s="5" t="s">
        <v>43455</v>
      </c>
      <c r="K6190" s="5" t="s">
        <v>344</v>
      </c>
      <c r="L6190" s="5" t="s">
        <v>43456</v>
      </c>
      <c r="M6190" s="27"/>
      <c r="N6190" s="5"/>
      <c r="O6190" s="5" t="str">
        <v>7840028290</v>
      </c>
      <c r="P6190" s="27">
        <v>10000000</v>
      </c>
      <c r="Q6190" s="5" t="s">
        <v>49021</v>
      </c>
      <c r="R6190" s="5"/>
      <c r="S6190" s="5" t="s">
        <v>58628</v>
      </c>
      <c r="T6190" s="28">
        <v>4209000</v>
      </c>
      <c r="U6190" s="28"/>
      <c r="V6190" s="28">
        <v>1215794000</v>
      </c>
      <c r="W6190" s="28"/>
      <c r="X6190" s="28">
        <v>44000</v>
      </c>
      <c r="Y6190" s="28">
        <v>1315098000</v>
      </c>
      <c r="Z6190" s="28">
        <v>16590000</v>
      </c>
      <c r="AA6190" s="28"/>
      <c r="AB6190" s="28">
        <v>579258000</v>
      </c>
      <c r="AC6190" s="28">
        <v>1077297000</v>
      </c>
      <c r="AD6190" s="28">
        <v>233590000</v>
      </c>
      <c r="AE6190" s="28">
        <v>5990826000</v>
      </c>
      <c r="AF6190" s="28">
        <v>7448000</v>
      </c>
      <c r="AG6190" s="11"/>
    </row>
    <row r="6191">
      <c r="A6191" s="7" t="s">
        <v>7772</v>
      </c>
      <c r="B6191" s="5" t="s">
        <v>15722</v>
      </c>
      <c r="C6191" s="5" t="s">
        <v>23380</v>
      </c>
      <c r="D6191" s="5" t="str">
        <v>250206160615</v>
      </c>
      <c r="E6191" s="0" t="e">
        <f>+7 (4232) 390309
+7 (914) 7909686
+7 (4232) 390909
+7 (42337) 30712
+7 (842) 2330712
+7 (914) 7071951
+7 (951) 291951</f>
        <v>#NAME?</v>
      </c>
      <c r="F6191" s="5" t="s">
        <v>43457</v>
      </c>
      <c r="G6191" s="5" t="s">
        <v>43458</v>
      </c>
      <c r="H6191" s="26">
        <v>12</v>
      </c>
      <c r="I6191" s="5" t="s">
        <v>43459</v>
      </c>
      <c r="J6191" s="5" t="s">
        <v>26880</v>
      </c>
      <c r="K6191" s="5" t="s">
        <v>344</v>
      </c>
      <c r="L6191" s="5" t="s">
        <v>43460</v>
      </c>
      <c r="M6191" s="27"/>
      <c r="N6191" s="5" t="s">
        <v>58629</v>
      </c>
      <c r="O6191" s="5" t="str">
        <v>2536240456</v>
      </c>
      <c r="P6191" s="27">
        <v>10000</v>
      </c>
      <c r="Q6191" s="5" t="s">
        <v>58630</v>
      </c>
      <c r="R6191" s="5"/>
      <c r="S6191" s="5" t="s">
        <v>49256</v>
      </c>
      <c r="T6191" s="28">
        <v>127527000</v>
      </c>
      <c r="U6191" s="28"/>
      <c r="V6191" s="28">
        <v>374705000</v>
      </c>
      <c r="W6191" s="28">
        <v>380000</v>
      </c>
      <c r="X6191" s="28">
        <v>18971000</v>
      </c>
      <c r="Y6191" s="28">
        <v>876442000</v>
      </c>
      <c r="Z6191" s="28">
        <v>145065000</v>
      </c>
      <c r="AA6191" s="28">
        <v>72298000</v>
      </c>
      <c r="AB6191" s="28">
        <v>263445000</v>
      </c>
      <c r="AC6191" s="28">
        <v>525840000</v>
      </c>
      <c r="AD6191" s="28">
        <v>145075000</v>
      </c>
      <c r="AE6191" s="28">
        <v>3069363000</v>
      </c>
      <c r="AF6191" s="28">
        <v>28515000</v>
      </c>
      <c r="AG6191" s="11"/>
    </row>
    <row r="6192">
      <c r="A6192" s="7" t="s">
        <v>7773</v>
      </c>
      <c r="B6192" s="5" t="s">
        <v>15723</v>
      </c>
      <c r="C6192" s="5" t="s">
        <v>23381</v>
      </c>
      <c r="D6192" s="5" t="str">
        <v>366514722435</v>
      </c>
      <c r="E6192" s="0" t="e">
        <f>+7 (485) 2240866
+7 (495) 2903095
+7 (495) 6489276
+7 (913) 3602277</f>
        <v>#NAME?</v>
      </c>
      <c r="F6192" s="5"/>
      <c r="G6192" s="5" t="s">
        <v>43461</v>
      </c>
      <c r="H6192" s="26">
        <v>4.5</v>
      </c>
      <c r="I6192" s="5"/>
      <c r="J6192" s="5" t="s">
        <v>445</v>
      </c>
      <c r="K6192" s="5" t="s">
        <v>355</v>
      </c>
      <c r="L6192" s="5"/>
      <c r="M6192" s="27"/>
      <c r="N6192" s="5" t="s">
        <v>58631</v>
      </c>
      <c r="O6192" s="5" t="str">
        <v>7224079673</v>
      </c>
      <c r="P6192" s="27">
        <v>710480000</v>
      </c>
      <c r="Q6192" s="5" t="s">
        <v>58632</v>
      </c>
      <c r="R6192" s="5" t="s">
        <v>51828</v>
      </c>
      <c r="S6192" s="5" t="s">
        <v>49047</v>
      </c>
      <c r="T6192" s="28">
        <v>180243000</v>
      </c>
      <c r="U6192" s="28">
        <v>1185045000</v>
      </c>
      <c r="V6192" s="28">
        <v>3585724000</v>
      </c>
      <c r="W6192" s="28">
        <v>84601000</v>
      </c>
      <c r="X6192" s="28">
        <v>332358000</v>
      </c>
      <c r="Y6192" s="28">
        <v>7876356000</v>
      </c>
      <c r="Z6192" s="28">
        <v>185239000</v>
      </c>
      <c r="AA6192" s="28">
        <v>1113702000</v>
      </c>
      <c r="AB6192" s="28">
        <v>224946000</v>
      </c>
      <c r="AC6192" s="28">
        <v>5623304000</v>
      </c>
      <c r="AD6192" s="28">
        <v>1074842000</v>
      </c>
      <c r="AE6192" s="28">
        <v>7435005000</v>
      </c>
      <c r="AF6192" s="28">
        <v>177127000</v>
      </c>
      <c r="AG6192" s="11"/>
    </row>
    <row r="6193">
      <c r="A6193" s="7" t="s">
        <v>7774</v>
      </c>
      <c r="B6193" s="5" t="s">
        <v>15724</v>
      </c>
      <c r="C6193" s="5" t="s">
        <v>23382</v>
      </c>
      <c r="D6193" s="5" t="str">
        <v>500304262467</v>
      </c>
      <c r="E6193" s="0" t="e">
        <f>+7 (343) 3020442
+7 (487) 2583434
+7 (487) 2707110
+7 (487) 2707430
+7 (495) 4190078
+7 (495) 4190450
+7 (495) 4192570
+7 (950) 9200747
+7 (985) 7303</f>
        <v>#NAME?</v>
      </c>
      <c r="F6193" s="5"/>
      <c r="G6193" s="5" t="s">
        <v>43462</v>
      </c>
      <c r="H6193" s="26">
        <v>6.5</v>
      </c>
      <c r="I6193" s="5" t="s">
        <v>43463</v>
      </c>
      <c r="J6193" s="5" t="s">
        <v>39567</v>
      </c>
      <c r="K6193" s="5" t="s">
        <v>344</v>
      </c>
      <c r="L6193" s="5" t="s">
        <v>43464</v>
      </c>
      <c r="M6193" s="27"/>
      <c r="N6193" s="5" t="s">
        <v>58633</v>
      </c>
      <c r="O6193" s="5" t="str">
        <v>9705072427</v>
      </c>
      <c r="P6193" s="27">
        <v>40000</v>
      </c>
      <c r="Q6193" s="5"/>
      <c r="R6193" s="5"/>
      <c r="S6193" s="5" t="s">
        <v>49110</v>
      </c>
      <c r="T6193" s="28">
        <v>28787000</v>
      </c>
      <c r="U6193" s="28">
        <v>86000</v>
      </c>
      <c r="V6193" s="28">
        <v>35884000</v>
      </c>
      <c r="W6193" s="28">
        <v>5100000</v>
      </c>
      <c r="X6193" s="28">
        <v>55059000</v>
      </c>
      <c r="Y6193" s="28">
        <v>154044000</v>
      </c>
      <c r="Z6193" s="28">
        <v>64139000</v>
      </c>
      <c r="AA6193" s="28"/>
      <c r="AB6193" s="28"/>
      <c r="AC6193" s="28">
        <v>79315000</v>
      </c>
      <c r="AD6193" s="28">
        <v>64189000</v>
      </c>
      <c r="AE6193" s="28">
        <v>4470271000</v>
      </c>
      <c r="AF6193" s="28">
        <v>58157000</v>
      </c>
      <c r="AG6193" s="11"/>
    </row>
    <row r="6194">
      <c r="A6194" s="7" t="s">
        <v>7775</v>
      </c>
      <c r="B6194" s="5" t="s">
        <v>15725</v>
      </c>
      <c r="C6194" s="5" t="s">
        <v>23383</v>
      </c>
      <c r="D6194" s="5" t="str">
        <v>025609334900</v>
      </c>
      <c r="E6194" s="0" t="e">
        <f>+7 (905) 77
+7 (967) 7420521
+7 (961) 3649542
+7 (3472) 926205
+7 (34792) 41900
+7 (861) 2011383
+7 (963) 3517139</f>
        <v>#NAME?</v>
      </c>
      <c r="F6194" s="5" t="s">
        <v>43465</v>
      </c>
      <c r="G6194" s="5" t="s">
        <v>43466</v>
      </c>
      <c r="H6194" s="26">
        <v>20</v>
      </c>
      <c r="I6194" s="5" t="s">
        <v>43467</v>
      </c>
      <c r="J6194" s="5" t="s">
        <v>26292</v>
      </c>
      <c r="K6194" s="5" t="s">
        <v>344</v>
      </c>
      <c r="L6194" s="5" t="s">
        <v>43468</v>
      </c>
      <c r="M6194" s="27">
        <v>369735</v>
      </c>
      <c r="N6194" s="5" t="s">
        <v>58634</v>
      </c>
      <c r="O6194" s="5" t="str">
        <v>7446039583</v>
      </c>
      <c r="P6194" s="27">
        <v>1000000</v>
      </c>
      <c r="Q6194" s="5" t="s">
        <v>49009</v>
      </c>
      <c r="R6194" s="5"/>
      <c r="S6194" s="5" t="s">
        <v>53866</v>
      </c>
      <c r="T6194" s="28">
        <v>36442000</v>
      </c>
      <c r="U6194" s="28">
        <v>79092000</v>
      </c>
      <c r="V6194" s="28">
        <v>599374000</v>
      </c>
      <c r="W6194" s="28"/>
      <c r="X6194" s="28">
        <v>20134000</v>
      </c>
      <c r="Y6194" s="28">
        <v>979204000</v>
      </c>
      <c r="Z6194" s="28">
        <v>572245000</v>
      </c>
      <c r="AA6194" s="28">
        <v>31000000</v>
      </c>
      <c r="AB6194" s="28"/>
      <c r="AC6194" s="28">
        <v>367210000</v>
      </c>
      <c r="AD6194" s="28">
        <v>573245000</v>
      </c>
      <c r="AE6194" s="28">
        <v>3652501000</v>
      </c>
      <c r="AF6194" s="28">
        <v>307796000</v>
      </c>
      <c r="AG6194" s="11"/>
    </row>
    <row r="6195">
      <c r="A6195" s="7" t="s">
        <v>7776</v>
      </c>
      <c r="B6195" s="5" t="s">
        <v>15726</v>
      </c>
      <c r="C6195" s="5" t="s">
        <v>23384</v>
      </c>
      <c r="D6195" s="5" t="str">
        <v>772138387573</v>
      </c>
      <c r="E6195" s="0" t="e">
        <f>+7 (495) 9562178
+7 (495) 9562179
+7 (495) 9562870
+7 (967) 232171
+7 (985) 7609819</f>
        <v>#NAME?</v>
      </c>
      <c r="F6195" s="5"/>
      <c r="G6195" s="5"/>
      <c r="H6195" s="26">
        <v>7.5</v>
      </c>
      <c r="I6195" s="5" t="s">
        <v>43469</v>
      </c>
      <c r="J6195" s="5" t="s">
        <v>30277</v>
      </c>
      <c r="K6195" s="5" t="s">
        <v>344</v>
      </c>
      <c r="L6195" s="5" t="s">
        <v>43470</v>
      </c>
      <c r="M6195" s="27"/>
      <c r="N6195" s="5"/>
      <c r="O6195" s="5" t="str">
        <v>5047172389</v>
      </c>
      <c r="P6195" s="27">
        <v>10000000</v>
      </c>
      <c r="Q6195" s="5" t="s">
        <v>49009</v>
      </c>
      <c r="R6195" s="5"/>
      <c r="S6195" s="5" t="s">
        <v>49010</v>
      </c>
      <c r="T6195" s="28">
        <v>235683000</v>
      </c>
      <c r="U6195" s="28"/>
      <c r="V6195" s="28">
        <v>1968629000</v>
      </c>
      <c r="W6195" s="28"/>
      <c r="X6195" s="28">
        <v>2998682000</v>
      </c>
      <c r="Y6195" s="28">
        <v>7671893000</v>
      </c>
      <c r="Z6195" s="28">
        <v>3829027000</v>
      </c>
      <c r="AA6195" s="28"/>
      <c r="AB6195" s="28"/>
      <c r="AC6195" s="28">
        <v>3832511000</v>
      </c>
      <c r="AD6195" s="28">
        <v>3839027000</v>
      </c>
      <c r="AE6195" s="28">
        <v>26408435000</v>
      </c>
      <c r="AF6195" s="28">
        <v>2891361000</v>
      </c>
      <c r="AG6195" s="11"/>
    </row>
    <row r="6196">
      <c r="A6196" s="7" t="s">
        <v>7777</v>
      </c>
      <c r="B6196" s="5" t="s">
        <v>15727</v>
      </c>
      <c r="C6196" s="5" t="s">
        <v>23385</v>
      </c>
      <c r="D6196" s="5" t="str">
        <v>773463448840</v>
      </c>
      <c r="E6196" s="0" t="e">
        <f>+7 (495) 9452135</f>
        <v>#NAME?</v>
      </c>
      <c r="F6196" s="5"/>
      <c r="G6196" s="5"/>
      <c r="H6196" s="26">
        <v>5</v>
      </c>
      <c r="I6196" s="5" t="s">
        <v>43471</v>
      </c>
      <c r="J6196" s="5" t="s">
        <v>955</v>
      </c>
      <c r="K6196" s="5" t="s">
        <v>344</v>
      </c>
      <c r="L6196" s="5" t="s">
        <v>43472</v>
      </c>
      <c r="M6196" s="27"/>
      <c r="N6196" s="5"/>
      <c r="O6196" s="5" t="str">
        <v>7714425675</v>
      </c>
      <c r="P6196" s="27">
        <v>100000</v>
      </c>
      <c r="Q6196" s="5" t="s">
        <v>49009</v>
      </c>
      <c r="R6196" s="5"/>
      <c r="S6196" s="5" t="s">
        <v>49010</v>
      </c>
      <c r="T6196" s="28"/>
      <c r="U6196" s="28"/>
      <c r="V6196" s="28">
        <v>142769000</v>
      </c>
      <c r="W6196" s="28"/>
      <c r="X6196" s="28">
        <v>995000</v>
      </c>
      <c r="Y6196" s="28">
        <v>143795000</v>
      </c>
      <c r="Z6196" s="28">
        <v>96603000</v>
      </c>
      <c r="AA6196" s="28">
        <v>131000</v>
      </c>
      <c r="AB6196" s="28"/>
      <c r="AC6196" s="28">
        <v>46961000</v>
      </c>
      <c r="AD6196" s="28">
        <v>96703000</v>
      </c>
      <c r="AE6196" s="28">
        <v>3636420000</v>
      </c>
      <c r="AF6196" s="28">
        <v>38740000</v>
      </c>
      <c r="AG6196" s="11"/>
    </row>
    <row r="6197">
      <c r="A6197" s="7" t="s">
        <v>7778</v>
      </c>
      <c r="B6197" s="5" t="s">
        <v>15728</v>
      </c>
      <c r="C6197" s="5" t="s">
        <v>23386</v>
      </c>
      <c r="D6197" s="5" t="str">
        <v>744401779700</v>
      </c>
      <c r="E6197" s="0" t="e">
        <f>+7 (495) 5453822
+7 (3519) 517107
+7 (495) 6459822
+7 (499) 4550053
+7 (8482) 651508
+7 (901) 3504207
+7 (903) 2762836
+7 (903) 3330405
+7 (905) 5764212
+7 (912) 3066441
+7 (915) 4795040
+7 (925) 162040
+7 (977) 9418210
+7 (985) 9984174</f>
        <v>#NAME?</v>
      </c>
      <c r="F6197" s="5" t="s">
        <v>43473</v>
      </c>
      <c r="G6197" s="5" t="s">
        <v>43474</v>
      </c>
      <c r="H6197" s="26">
        <v>19.5</v>
      </c>
      <c r="I6197" s="5" t="s">
        <v>43475</v>
      </c>
      <c r="J6197" s="5" t="s">
        <v>26292</v>
      </c>
      <c r="K6197" s="5" t="s">
        <v>344</v>
      </c>
      <c r="L6197" s="5" t="s">
        <v>43476</v>
      </c>
      <c r="M6197" s="27"/>
      <c r="N6197" s="5" t="s">
        <v>58635</v>
      </c>
      <c r="O6197" s="5" t="str">
        <v>7730171410</v>
      </c>
      <c r="P6197" s="27">
        <v>10000</v>
      </c>
      <c r="Q6197" s="5" t="s">
        <v>49021</v>
      </c>
      <c r="R6197" s="5"/>
      <c r="S6197" s="5" t="s">
        <v>58636</v>
      </c>
      <c r="T6197" s="28">
        <v>460000</v>
      </c>
      <c r="U6197" s="28"/>
      <c r="V6197" s="28">
        <v>955421000</v>
      </c>
      <c r="W6197" s="28"/>
      <c r="X6197" s="28">
        <v>336215000</v>
      </c>
      <c r="Y6197" s="28">
        <v>1336449000</v>
      </c>
      <c r="Z6197" s="28">
        <v>423508000</v>
      </c>
      <c r="AA6197" s="28">
        <v>148943000</v>
      </c>
      <c r="AB6197" s="28"/>
      <c r="AC6197" s="28">
        <v>763988000</v>
      </c>
      <c r="AD6197" s="28">
        <v>423518000</v>
      </c>
      <c r="AE6197" s="28">
        <v>14012837000</v>
      </c>
      <c r="AF6197" s="28">
        <v>99565000</v>
      </c>
      <c r="AG6197" s="11"/>
    </row>
    <row r="6198">
      <c r="A6198" s="7" t="s">
        <v>7779</v>
      </c>
      <c r="B6198" s="5" t="s">
        <v>15729</v>
      </c>
      <c r="C6198" s="5" t="s">
        <v>23387</v>
      </c>
      <c r="D6198" s="5" t="str">
        <v>227500629359</v>
      </c>
      <c r="F6198" s="5" t="s">
        <v>43477</v>
      </c>
      <c r="G6198" s="5"/>
      <c r="H6198" s="26">
        <v>19</v>
      </c>
      <c r="I6198" s="5" t="s">
        <v>43478</v>
      </c>
      <c r="J6198" s="5" t="s">
        <v>26367</v>
      </c>
      <c r="K6198" s="5" t="s">
        <v>344</v>
      </c>
      <c r="L6198" s="5" t="s">
        <v>43479</v>
      </c>
      <c r="M6198" s="27">
        <v>946350</v>
      </c>
      <c r="N6198" s="5" t="s">
        <v>58637</v>
      </c>
      <c r="O6198" s="5" t="str">
        <v>7718502458</v>
      </c>
      <c r="P6198" s="27">
        <v>10312500</v>
      </c>
      <c r="Q6198" s="5" t="s">
        <v>49009</v>
      </c>
      <c r="R6198" s="5"/>
      <c r="S6198" s="5" t="s">
        <v>49371</v>
      </c>
      <c r="T6198" s="28">
        <v>39370000</v>
      </c>
      <c r="U6198" s="28">
        <v>46267000</v>
      </c>
      <c r="V6198" s="28">
        <v>9404758000</v>
      </c>
      <c r="W6198" s="28"/>
      <c r="X6198" s="28">
        <v>13305000</v>
      </c>
      <c r="Y6198" s="28">
        <v>11227812000</v>
      </c>
      <c r="Z6198" s="28">
        <v>1563182000</v>
      </c>
      <c r="AA6198" s="28"/>
      <c r="AB6198" s="28">
        <v>1959342000</v>
      </c>
      <c r="AC6198" s="28">
        <v>9174913000</v>
      </c>
      <c r="AD6198" s="28">
        <v>2052899000</v>
      </c>
      <c r="AE6198" s="28">
        <v>32411192000</v>
      </c>
      <c r="AF6198" s="28">
        <v>262352000</v>
      </c>
      <c r="AG6198" s="11"/>
    </row>
    <row r="6199">
      <c r="A6199" s="7" t="s">
        <v>7780</v>
      </c>
      <c r="B6199" s="5" t="s">
        <v>15730</v>
      </c>
      <c r="C6199" s="5" t="s">
        <v>23388</v>
      </c>
      <c r="D6199" s="5" t="str">
        <v>234912761580</v>
      </c>
      <c r="E6199" s="0" t="e">
        <f>+7 (861) 4336907
+7 (918) 4336907</f>
        <v>#NAME?</v>
      </c>
      <c r="F6199" s="5"/>
      <c r="G6199" s="5"/>
      <c r="H6199" s="26">
        <v>8.5</v>
      </c>
      <c r="I6199" s="5" t="s">
        <v>43480</v>
      </c>
      <c r="J6199" s="5" t="s">
        <v>373</v>
      </c>
      <c r="K6199" s="5" t="s">
        <v>344</v>
      </c>
      <c r="L6199" s="5" t="s">
        <v>43481</v>
      </c>
      <c r="M6199" s="27"/>
      <c r="N6199" s="5"/>
      <c r="O6199" s="5" t="str">
        <v>2370004067</v>
      </c>
      <c r="P6199" s="27">
        <v>150000</v>
      </c>
      <c r="Q6199" s="5" t="s">
        <v>49009</v>
      </c>
      <c r="R6199" s="5"/>
      <c r="S6199" s="5" t="s">
        <v>49010</v>
      </c>
      <c r="T6199" s="28">
        <v>25000</v>
      </c>
      <c r="U6199" s="28"/>
      <c r="V6199" s="28">
        <v>5625917000</v>
      </c>
      <c r="W6199" s="28"/>
      <c r="X6199" s="28">
        <v>155671000</v>
      </c>
      <c r="Y6199" s="28">
        <v>5921378000</v>
      </c>
      <c r="Z6199" s="28">
        <v>1212890000</v>
      </c>
      <c r="AA6199" s="28"/>
      <c r="AB6199" s="28"/>
      <c r="AC6199" s="28">
        <v>4708313000</v>
      </c>
      <c r="AD6199" s="28">
        <v>1213040000</v>
      </c>
      <c r="AE6199" s="28">
        <v>11814495000</v>
      </c>
      <c r="AF6199" s="28">
        <v>76743000</v>
      </c>
      <c r="AG6199" s="11"/>
    </row>
    <row r="6200">
      <c r="A6200" s="7" t="s">
        <v>7781</v>
      </c>
      <c r="B6200" s="5" t="s">
        <v>15731</v>
      </c>
      <c r="C6200" s="5" t="s">
        <v>23389</v>
      </c>
      <c r="D6200" s="5" t="str">
        <v>524307710004</v>
      </c>
      <c r="E6200" s="0" t="e">
        <f>+7 (83147) 76311
+7 (83140) 76311
+7 (83147) 98312
+7 (83147) 98411</f>
        <v>#NAME?</v>
      </c>
      <c r="F6200" s="5"/>
      <c r="G6200" s="5"/>
      <c r="H6200" s="26">
        <v>11.5</v>
      </c>
      <c r="I6200" s="5" t="s">
        <v>43482</v>
      </c>
      <c r="J6200" s="5" t="s">
        <v>25216</v>
      </c>
      <c r="K6200" s="5" t="s">
        <v>355</v>
      </c>
      <c r="L6200" s="5" t="s">
        <v>43483</v>
      </c>
      <c r="M6200" s="27">
        <v>3860000</v>
      </c>
      <c r="N6200" s="5"/>
      <c r="O6200" s="5" t="str">
        <v>5206024903</v>
      </c>
      <c r="P6200" s="27">
        <v>10000</v>
      </c>
      <c r="Q6200" s="5"/>
      <c r="R6200" s="5" t="s">
        <v>58638</v>
      </c>
      <c r="S6200" s="5" t="s">
        <v>49425</v>
      </c>
      <c r="T6200" s="28">
        <v>8231000</v>
      </c>
      <c r="U6200" s="28"/>
      <c r="V6200" s="28">
        <v>984000</v>
      </c>
      <c r="W6200" s="28"/>
      <c r="X6200" s="28">
        <v>1421000</v>
      </c>
      <c r="Y6200" s="28">
        <v>12960000</v>
      </c>
      <c r="Z6200" s="28">
        <v>462000</v>
      </c>
      <c r="AA6200" s="28">
        <v>4861000</v>
      </c>
      <c r="AB6200" s="28">
        <v>5684000</v>
      </c>
      <c r="AC6200" s="28">
        <v>7627000</v>
      </c>
      <c r="AD6200" s="28">
        <v>472000</v>
      </c>
      <c r="AE6200" s="28">
        <v>68223000000</v>
      </c>
      <c r="AF6200" s="28">
        <v>462000000</v>
      </c>
      <c r="AG6200" s="11"/>
    </row>
    <row r="6201">
      <c r="A6201" s="7" t="s">
        <v>7781</v>
      </c>
      <c r="B6201" s="5" t="s">
        <v>15732</v>
      </c>
      <c r="C6201" s="5" t="s">
        <v>23390</v>
      </c>
      <c r="D6201" s="5" t="str">
        <v>450102913394</v>
      </c>
      <c r="E6201" s="0" t="e">
        <f>+7 (3522) 630439
+7 (3522) 234276
+7 (3522) 244239
+7 (3522) 254235
+7 (800) 2504239
+7 (963) 68828</f>
        <v>#NAME?</v>
      </c>
      <c r="F6201" s="5" t="s">
        <v>43484</v>
      </c>
      <c r="G6201" s="5" t="s">
        <v>43485</v>
      </c>
      <c r="H6201" s="26">
        <v>14.5</v>
      </c>
      <c r="I6201" s="5" t="s">
        <v>43486</v>
      </c>
      <c r="J6201" s="5" t="s">
        <v>25788</v>
      </c>
      <c r="K6201" s="5" t="s">
        <v>344</v>
      </c>
      <c r="L6201" s="5" t="s">
        <v>43487</v>
      </c>
      <c r="M6201" s="27"/>
      <c r="N6201" s="5" t="s">
        <v>58639</v>
      </c>
      <c r="O6201" s="5" t="str">
        <v>6670224350</v>
      </c>
      <c r="P6201" s="27">
        <v>7200000</v>
      </c>
      <c r="Q6201" s="5" t="s">
        <v>49009</v>
      </c>
      <c r="R6201" s="5"/>
      <c r="S6201" s="5" t="s">
        <v>49576</v>
      </c>
      <c r="T6201" s="28">
        <v>405958000</v>
      </c>
      <c r="U6201" s="28">
        <v>220000000</v>
      </c>
      <c r="V6201" s="28">
        <v>1276574000</v>
      </c>
      <c r="W6201" s="28">
        <v>87606000</v>
      </c>
      <c r="X6201" s="28">
        <v>102454000</v>
      </c>
      <c r="Y6201" s="28">
        <v>2732658000</v>
      </c>
      <c r="Z6201" s="28">
        <v>535158000</v>
      </c>
      <c r="AA6201" s="28">
        <v>941698000</v>
      </c>
      <c r="AB6201" s="28">
        <v>432791000</v>
      </c>
      <c r="AC6201" s="28">
        <v>970043000</v>
      </c>
      <c r="AD6201" s="28">
        <v>693165000</v>
      </c>
      <c r="AE6201" s="28">
        <v>5288563000</v>
      </c>
      <c r="AF6201" s="28">
        <v>316895000</v>
      </c>
      <c r="AG6201" s="11"/>
    </row>
    <row r="6202">
      <c r="A6202" s="7" t="s">
        <v>7782</v>
      </c>
      <c r="B6202" s="5" t="s">
        <v>15733</v>
      </c>
      <c r="C6202" s="5" t="s">
        <v>23391</v>
      </c>
      <c r="D6202" s="5" t="str">
        <v>290122906638</v>
      </c>
      <c r="F6202" s="5"/>
      <c r="G6202" s="5" t="s">
        <v>43488</v>
      </c>
      <c r="H6202" s="26">
        <v>6</v>
      </c>
      <c r="I6202" s="5" t="s">
        <v>43489</v>
      </c>
      <c r="J6202" s="5" t="s">
        <v>27407</v>
      </c>
      <c r="K6202" s="5" t="s">
        <v>355</v>
      </c>
      <c r="L6202" s="5" t="s">
        <v>43490</v>
      </c>
      <c r="M6202" s="27">
        <v>8730779</v>
      </c>
      <c r="N6202" s="5" t="s">
        <v>58640</v>
      </c>
      <c r="O6202" s="5" t="str">
        <v>7719461839</v>
      </c>
      <c r="P6202" s="27">
        <v>1000000</v>
      </c>
      <c r="Q6202" s="5" t="s">
        <v>52052</v>
      </c>
      <c r="R6202" s="5"/>
      <c r="S6202" s="5" t="s">
        <v>58641</v>
      </c>
      <c r="T6202" s="28">
        <v>62901000</v>
      </c>
      <c r="U6202" s="28"/>
      <c r="V6202" s="28">
        <v>1787760000</v>
      </c>
      <c r="W6202" s="28">
        <v>76810000</v>
      </c>
      <c r="X6202" s="28">
        <v>88530000</v>
      </c>
      <c r="Y6202" s="28">
        <v>4113882000</v>
      </c>
      <c r="Z6202" s="28">
        <v>95720000</v>
      </c>
      <c r="AA6202" s="28"/>
      <c r="AB6202" s="28">
        <v>1641469000</v>
      </c>
      <c r="AC6202" s="28">
        <v>4016892000</v>
      </c>
      <c r="AD6202" s="28">
        <v>97150000</v>
      </c>
      <c r="AE6202" s="28">
        <v>8639412000</v>
      </c>
      <c r="AF6202" s="28">
        <v>216009000</v>
      </c>
      <c r="AG6202" s="11"/>
    </row>
    <row r="6203">
      <c r="A6203" s="7" t="s">
        <v>7783</v>
      </c>
      <c r="B6203" s="5" t="s">
        <v>15734</v>
      </c>
      <c r="C6203" s="5" t="s">
        <v>23392</v>
      </c>
      <c r="D6203" s="5" t="str">
        <v>771301055305</v>
      </c>
      <c r="E6203" s="0" t="e">
        <f>+7 (495) 5551363
+7 (495) 5551590
+7 (30136) 41969
+7 (421) 2215896
+7 (421) 2256660
+7 (421) 2257050
+7 (421) 2304407
+7 (4725) 439055
+7 (4725) 439958
+7 (4725) 439966
+7 (4725) 439968
+7 (495) 5552000
+7 (495) 6413000
+7 (86162) 62200
+7 (86162) 62222</f>
        <v>#NAME?</v>
      </c>
      <c r="F6203" s="5" t="s">
        <v>43491</v>
      </c>
      <c r="G6203" s="5" t="s">
        <v>43492</v>
      </c>
      <c r="H6203" s="26">
        <v>30.5</v>
      </c>
      <c r="I6203" s="5" t="s">
        <v>43493</v>
      </c>
      <c r="J6203" s="5" t="s">
        <v>33553</v>
      </c>
      <c r="K6203" s="5" t="s">
        <v>344</v>
      </c>
      <c r="L6203" s="5" t="s">
        <v>43494</v>
      </c>
      <c r="M6203" s="27"/>
      <c r="N6203" s="5"/>
      <c r="O6203" s="5" t="str">
        <v>5026000614</v>
      </c>
      <c r="P6203" s="27">
        <v>1000000</v>
      </c>
      <c r="Q6203" s="5" t="s">
        <v>49009</v>
      </c>
      <c r="R6203" s="5"/>
      <c r="S6203" s="5" t="s">
        <v>49066</v>
      </c>
      <c r="T6203" s="28">
        <v>431008000</v>
      </c>
      <c r="U6203" s="28">
        <v>107697000</v>
      </c>
      <c r="V6203" s="28">
        <v>397419000</v>
      </c>
      <c r="W6203" s="28"/>
      <c r="X6203" s="28">
        <v>4544000</v>
      </c>
      <c r="Y6203" s="28">
        <v>1749959000</v>
      </c>
      <c r="Z6203" s="28">
        <v>1300743000</v>
      </c>
      <c r="AA6203" s="28"/>
      <c r="AB6203" s="28">
        <v>90225000</v>
      </c>
      <c r="AC6203" s="28">
        <v>409063000</v>
      </c>
      <c r="AD6203" s="28">
        <v>1301743000</v>
      </c>
      <c r="AE6203" s="28">
        <v>5601614000</v>
      </c>
      <c r="AF6203" s="28">
        <v>528973000</v>
      </c>
      <c r="AG6203" s="11"/>
    </row>
    <row r="6204">
      <c r="A6204" s="7" t="s">
        <v>7784</v>
      </c>
      <c r="B6204" s="5" t="s">
        <v>15735</v>
      </c>
      <c r="C6204" s="5" t="s">
        <v>23393</v>
      </c>
      <c r="D6204" s="5" t="str">
        <v>781311389896</v>
      </c>
      <c r="E6204" s="0" t="e">
        <f>+7 (812) 4149803
+7 (921) 3958039</f>
        <v>#NAME?</v>
      </c>
      <c r="F6204" s="5" t="s">
        <v>43495</v>
      </c>
      <c r="G6204" s="5" t="s">
        <v>43496</v>
      </c>
      <c r="H6204" s="26">
        <v>13</v>
      </c>
      <c r="I6204" s="5" t="s">
        <v>43497</v>
      </c>
      <c r="J6204" s="5" t="s">
        <v>364</v>
      </c>
      <c r="K6204" s="5" t="s">
        <v>344</v>
      </c>
      <c r="L6204" s="5"/>
      <c r="M6204" s="27">
        <v>6569360</v>
      </c>
      <c r="N6204" s="5"/>
      <c r="O6204" s="5" t="str">
        <v>7841416641</v>
      </c>
      <c r="P6204" s="27">
        <v>50000</v>
      </c>
      <c r="Q6204" s="5"/>
      <c r="R6204" s="5"/>
      <c r="S6204" s="5" t="s">
        <v>52009</v>
      </c>
      <c r="T6204" s="28">
        <v>24172000</v>
      </c>
      <c r="U6204" s="28"/>
      <c r="V6204" s="28">
        <v>2114395000</v>
      </c>
      <c r="W6204" s="28">
        <v>1157000</v>
      </c>
      <c r="X6204" s="28">
        <v>374385000</v>
      </c>
      <c r="Y6204" s="28">
        <v>2678108000</v>
      </c>
      <c r="Z6204" s="28">
        <v>-292814000</v>
      </c>
      <c r="AA6204" s="28">
        <v>1612000</v>
      </c>
      <c r="AB6204" s="28"/>
      <c r="AC6204" s="28">
        <v>2966170000</v>
      </c>
      <c r="AD6204" s="28">
        <v>-292764000</v>
      </c>
      <c r="AE6204" s="28">
        <v>5573404000</v>
      </c>
      <c r="AF6204" s="28">
        <v>180883000</v>
      </c>
      <c r="AG6204" s="11"/>
    </row>
    <row r="6205">
      <c r="A6205" s="7" t="s">
        <v>7785</v>
      </c>
      <c r="B6205" s="5" t="s">
        <v>15736</v>
      </c>
      <c r="C6205" s="5" t="s">
        <v>21307</v>
      </c>
      <c r="D6205" s="5"/>
      <c r="E6205" s="0" t="e">
        <f>+7 (492) 2332192
+7 (492) 2334771
+7 (492) 2335167
+7 (492) 2335464
+7 (492) 2353574
+7 (492) 2422580
+7 (492) 2430344
+7 (492) 2431113
+7 (492) 2533464
+7 (492) 2778764
+7 (492) 2778765
+7 (800) 2500570</f>
        <v>#NAME?</v>
      </c>
      <c r="F6205" s="5" t="s">
        <v>43498</v>
      </c>
      <c r="G6205" s="5" t="s">
        <v>43499</v>
      </c>
      <c r="H6205" s="26">
        <v>20</v>
      </c>
      <c r="I6205" s="5" t="s">
        <v>43500</v>
      </c>
      <c r="J6205" s="5" t="s">
        <v>31454</v>
      </c>
      <c r="K6205" s="5" t="s">
        <v>344</v>
      </c>
      <c r="L6205" s="5" t="s">
        <v>43501</v>
      </c>
      <c r="M6205" s="27"/>
      <c r="N6205" s="5"/>
      <c r="O6205" s="5" t="str">
        <v>3328426780</v>
      </c>
      <c r="P6205" s="27">
        <v>42879772</v>
      </c>
      <c r="Q6205" s="5" t="s">
        <v>49059</v>
      </c>
      <c r="R6205" s="5"/>
      <c r="S6205" s="5" t="s">
        <v>49029</v>
      </c>
      <c r="T6205" s="28">
        <v>9157518000</v>
      </c>
      <c r="U6205" s="28"/>
      <c r="V6205" s="28">
        <v>3672928000</v>
      </c>
      <c r="W6205" s="28">
        <v>1358500000</v>
      </c>
      <c r="X6205" s="28">
        <v>96056000</v>
      </c>
      <c r="Y6205" s="28">
        <v>16617561000</v>
      </c>
      <c r="Z6205" s="28">
        <v>7934064000</v>
      </c>
      <c r="AA6205" s="28">
        <v>1823658000</v>
      </c>
      <c r="AB6205" s="28">
        <v>5321881000</v>
      </c>
      <c r="AC6205" s="28">
        <v>6412849000</v>
      </c>
      <c r="AD6205" s="28">
        <v>8005482000</v>
      </c>
      <c r="AE6205" s="28">
        <v>47601619000</v>
      </c>
      <c r="AF6205" s="28">
        <v>5114921000</v>
      </c>
      <c r="AG6205" s="11"/>
    </row>
    <row r="6206">
      <c r="A6206" s="7" t="s">
        <v>7786</v>
      </c>
      <c r="B6206" s="5" t="s">
        <v>15737</v>
      </c>
      <c r="C6206" s="5" t="s">
        <v>23394</v>
      </c>
      <c r="D6206" s="5" t="str">
        <v>602716177979</v>
      </c>
      <c r="E6206" s="0" t="e">
        <f>+7 (495) 9098207
+7 (995) 9973824</f>
        <v>#NAME?</v>
      </c>
      <c r="F6206" s="5" t="s">
        <v>43502</v>
      </c>
      <c r="G6206" s="5"/>
      <c r="H6206" s="26">
        <v>5.5</v>
      </c>
      <c r="I6206" s="5" t="s">
        <v>43503</v>
      </c>
      <c r="J6206" s="5" t="s">
        <v>881</v>
      </c>
      <c r="K6206" s="5" t="s">
        <v>380</v>
      </c>
      <c r="L6206" s="5"/>
      <c r="M6206" s="27"/>
      <c r="N6206" s="5" t="s">
        <v>58642</v>
      </c>
      <c r="O6206" s="5" t="str">
        <v>7728374780</v>
      </c>
      <c r="P6206" s="27">
        <v>10000</v>
      </c>
      <c r="Q6206" s="5"/>
      <c r="R6206" s="5"/>
      <c r="S6206" s="5" t="s">
        <v>49110</v>
      </c>
      <c r="T6206" s="28">
        <v>223556000</v>
      </c>
      <c r="U6206" s="28"/>
      <c r="V6206" s="28">
        <v>408012000</v>
      </c>
      <c r="W6206" s="28"/>
      <c r="X6206" s="28">
        <v>624294000</v>
      </c>
      <c r="Y6206" s="28">
        <v>3290710000</v>
      </c>
      <c r="Z6206" s="28">
        <v>-649553000</v>
      </c>
      <c r="AA6206" s="28">
        <v>1273025000</v>
      </c>
      <c r="AB6206" s="28">
        <v>45890000</v>
      </c>
      <c r="AC6206" s="28">
        <v>2150949000</v>
      </c>
      <c r="AD6206" s="28">
        <v>-249543000</v>
      </c>
      <c r="AE6206" s="28">
        <v>4396126000</v>
      </c>
      <c r="AF6206" s="28">
        <v>-133801000</v>
      </c>
      <c r="AG6206" s="11"/>
    </row>
    <row r="6207">
      <c r="A6207" s="7" t="s">
        <v>7787</v>
      </c>
      <c r="B6207" s="5" t="s">
        <v>15738</v>
      </c>
      <c r="C6207" s="5" t="s">
        <v>23395</v>
      </c>
      <c r="D6207" s="5" t="str">
        <v>666300445422</v>
      </c>
      <c r="E6207" s="0" t="e">
        <f>+7 (343) 2786232
+7 (343) 2786233</f>
        <v>#NAME?</v>
      </c>
      <c r="F6207" s="5" t="s">
        <v>43504</v>
      </c>
      <c r="G6207" s="5"/>
      <c r="H6207" s="26">
        <v>12</v>
      </c>
      <c r="I6207" s="5" t="s">
        <v>43505</v>
      </c>
      <c r="J6207" s="5" t="s">
        <v>364</v>
      </c>
      <c r="K6207" s="5" t="s">
        <v>344</v>
      </c>
      <c r="L6207" s="5" t="s">
        <v>31009</v>
      </c>
      <c r="M6207" s="27">
        <v>3107510</v>
      </c>
      <c r="N6207" s="5"/>
      <c r="O6207" s="5" t="str">
        <v>6658383995</v>
      </c>
      <c r="P6207" s="27">
        <v>50000</v>
      </c>
      <c r="Q6207" s="5" t="s">
        <v>49561</v>
      </c>
      <c r="R6207" s="5"/>
      <c r="S6207" s="5" t="s">
        <v>49562</v>
      </c>
      <c r="T6207" s="28">
        <v>23880000</v>
      </c>
      <c r="U6207" s="28"/>
      <c r="V6207" s="28">
        <v>587224000</v>
      </c>
      <c r="W6207" s="28">
        <v>1520000</v>
      </c>
      <c r="X6207" s="28">
        <v>48000</v>
      </c>
      <c r="Y6207" s="28">
        <v>750073000</v>
      </c>
      <c r="Z6207" s="28">
        <v>34619000</v>
      </c>
      <c r="AA6207" s="28">
        <v>50000000</v>
      </c>
      <c r="AB6207" s="28">
        <v>467000</v>
      </c>
      <c r="AC6207" s="28">
        <v>662234000</v>
      </c>
      <c r="AD6207" s="28">
        <v>34669000</v>
      </c>
      <c r="AE6207" s="28">
        <v>3396668000</v>
      </c>
      <c r="AF6207" s="28">
        <v>17241000</v>
      </c>
      <c r="AG6207" s="11"/>
    </row>
    <row r="6208">
      <c r="A6208" s="7" t="s">
        <v>7788</v>
      </c>
      <c r="B6208" s="5" t="s">
        <v>15739</v>
      </c>
      <c r="C6208" s="5" t="s">
        <v>23396</v>
      </c>
      <c r="D6208" s="5" t="str">
        <v>672400288821</v>
      </c>
      <c r="E6208" s="0" t="e">
        <f>+7 (495) 7204253
+7 (903) 7204253
+7 (495) 1338776
+7 (495) 2660778
+7 (4985) 3591</f>
        <v>#NAME?</v>
      </c>
      <c r="F6208" s="5" t="s">
        <v>43506</v>
      </c>
      <c r="G6208" s="5"/>
      <c r="H6208" s="26">
        <v>14</v>
      </c>
      <c r="I6208" s="5" t="s">
        <v>43507</v>
      </c>
      <c r="J6208" s="5" t="s">
        <v>364</v>
      </c>
      <c r="K6208" s="5" t="s">
        <v>344</v>
      </c>
      <c r="L6208" s="5"/>
      <c r="M6208" s="27">
        <v>57927492</v>
      </c>
      <c r="N6208" s="5" t="s">
        <v>58643</v>
      </c>
      <c r="O6208" s="5" t="str">
        <v>5036096048</v>
      </c>
      <c r="P6208" s="27">
        <v>1000000</v>
      </c>
      <c r="Q6208" s="5" t="s">
        <v>58644</v>
      </c>
      <c r="R6208" s="5"/>
      <c r="S6208" s="5" t="s">
        <v>58645</v>
      </c>
      <c r="T6208" s="28">
        <v>185960000</v>
      </c>
      <c r="U6208" s="28"/>
      <c r="V6208" s="28">
        <v>2636156000</v>
      </c>
      <c r="W6208" s="28"/>
      <c r="X6208" s="28">
        <v>253999000</v>
      </c>
      <c r="Y6208" s="28">
        <v>3922418000</v>
      </c>
      <c r="Z6208" s="28">
        <v>104025000</v>
      </c>
      <c r="AA6208" s="28"/>
      <c r="AB6208" s="28">
        <v>65456000</v>
      </c>
      <c r="AC6208" s="28">
        <v>3698718000</v>
      </c>
      <c r="AD6208" s="28">
        <v>106577000</v>
      </c>
      <c r="AE6208" s="28">
        <v>4539071000</v>
      </c>
      <c r="AF6208" s="28">
        <v>23135000</v>
      </c>
      <c r="AG6208" s="11"/>
    </row>
    <row r="6209">
      <c r="A6209" s="7" t="s">
        <v>7789</v>
      </c>
      <c r="B6209" s="5" t="s">
        <v>15740</v>
      </c>
      <c r="C6209" s="5" t="s">
        <v>23397</v>
      </c>
      <c r="D6209" s="5" t="str">
        <v>342898519332</v>
      </c>
      <c r="E6209" s="0" t="e">
        <f>+7 (495) 7905666
+7 (903) 7925038
+7 (926) 8119855
+7 (495) 7905466
+7 (926) 5255265
+7 (985) 9732676</f>
        <v>#NAME?</v>
      </c>
      <c r="F6209" s="5" t="s">
        <v>43508</v>
      </c>
      <c r="G6209" s="5"/>
      <c r="H6209" s="26">
        <v>8</v>
      </c>
      <c r="I6209" s="5" t="s">
        <v>43509</v>
      </c>
      <c r="J6209" s="5" t="s">
        <v>27776</v>
      </c>
      <c r="K6209" s="5" t="s">
        <v>355</v>
      </c>
      <c r="L6209" s="5"/>
      <c r="M6209" s="27">
        <v>7722567</v>
      </c>
      <c r="N6209" s="5" t="s">
        <v>58646</v>
      </c>
      <c r="O6209" s="5" t="str">
        <v>7717285458</v>
      </c>
      <c r="P6209" s="27">
        <v>10000</v>
      </c>
      <c r="Q6209" s="5" t="s">
        <v>58647</v>
      </c>
      <c r="R6209" s="5"/>
      <c r="S6209" s="5" t="s">
        <v>58648</v>
      </c>
      <c r="T6209" s="28">
        <v>5930068000</v>
      </c>
      <c r="U6209" s="28"/>
      <c r="V6209" s="28">
        <v>1179033000</v>
      </c>
      <c r="W6209" s="28">
        <v>1083060000</v>
      </c>
      <c r="X6209" s="28">
        <v>12418000</v>
      </c>
      <c r="Y6209" s="28">
        <v>9621365000</v>
      </c>
      <c r="Z6209" s="28">
        <v>-217647000</v>
      </c>
      <c r="AA6209" s="28">
        <v>79416000</v>
      </c>
      <c r="AB6209" s="28">
        <v>13182000</v>
      </c>
      <c r="AC6209" s="28">
        <v>2120596000</v>
      </c>
      <c r="AD6209" s="28">
        <v>424727000</v>
      </c>
      <c r="AE6209" s="28">
        <v>3519710000</v>
      </c>
      <c r="AF6209" s="28">
        <v>185262000</v>
      </c>
      <c r="AG6209" s="11"/>
    </row>
    <row r="6210">
      <c r="A6210" s="7" t="s">
        <v>7790</v>
      </c>
      <c r="B6210" s="5" t="s">
        <v>15741</v>
      </c>
      <c r="C6210" s="5" t="s">
        <v>23398</v>
      </c>
      <c r="D6210" s="5" t="str">
        <v>772978560696</v>
      </c>
      <c r="E6210" s="0" t="e">
        <f>+7 (495) 2213108
+7 (495) 5765545
+7 (499) 5765545
+7 (926) 2153696</f>
        <v>#NAME?</v>
      </c>
      <c r="F6210" s="5" t="s">
        <v>43510</v>
      </c>
      <c r="G6210" s="5" t="s">
        <v>43511</v>
      </c>
      <c r="H6210" s="26">
        <v>9</v>
      </c>
      <c r="I6210" s="5" t="s">
        <v>43512</v>
      </c>
      <c r="J6210" s="5" t="s">
        <v>1026</v>
      </c>
      <c r="K6210" s="5" t="s">
        <v>344</v>
      </c>
      <c r="L6210" s="5" t="s">
        <v>43513</v>
      </c>
      <c r="M6210" s="27"/>
      <c r="N6210" s="5"/>
      <c r="O6210" s="5" t="str">
        <v>7743911253</v>
      </c>
      <c r="P6210" s="27">
        <v>300000</v>
      </c>
      <c r="Q6210" s="5" t="s">
        <v>58649</v>
      </c>
      <c r="R6210" s="5"/>
      <c r="S6210" s="5" t="s">
        <v>54013</v>
      </c>
      <c r="T6210" s="28">
        <v>66728000</v>
      </c>
      <c r="U6210" s="28"/>
      <c r="V6210" s="28">
        <v>5323659000</v>
      </c>
      <c r="W6210" s="28">
        <v>322000000</v>
      </c>
      <c r="X6210" s="28">
        <v>98920000</v>
      </c>
      <c r="Y6210" s="28">
        <v>8913458000</v>
      </c>
      <c r="Z6210" s="28">
        <v>2041971000</v>
      </c>
      <c r="AA6210" s="28"/>
      <c r="AB6210" s="28">
        <v>290707000</v>
      </c>
      <c r="AC6210" s="28">
        <v>6818136000</v>
      </c>
      <c r="AD6210" s="28">
        <v>2042271000</v>
      </c>
      <c r="AE6210" s="28">
        <v>35014823000</v>
      </c>
      <c r="AF6210" s="28">
        <v>614319000</v>
      </c>
      <c r="AG6210" s="11"/>
    </row>
    <row r="6211">
      <c r="A6211" s="7" t="s">
        <v>7791</v>
      </c>
      <c r="B6211" s="5" t="s">
        <v>15742</v>
      </c>
      <c r="C6211" s="5" t="s">
        <v>23399</v>
      </c>
      <c r="D6211" s="5" t="str">
        <v>246306024843</v>
      </c>
      <c r="E6211" s="0" t="e">
        <f>+7 (391) 2015150
+7 (913) 8332343</f>
        <v>#NAME?</v>
      </c>
      <c r="F6211" s="5"/>
      <c r="G6211" s="5"/>
      <c r="H6211" s="26">
        <v>6</v>
      </c>
      <c r="I6211" s="5" t="s">
        <v>43514</v>
      </c>
      <c r="J6211" s="5" t="s">
        <v>33986</v>
      </c>
      <c r="K6211" s="5" t="s">
        <v>344</v>
      </c>
      <c r="L6211" s="5" t="s">
        <v>39986</v>
      </c>
      <c r="M6211" s="27"/>
      <c r="N6211" s="5"/>
      <c r="O6211" s="5" t="str">
        <v>5401970365</v>
      </c>
      <c r="P6211" s="27">
        <v>10000</v>
      </c>
      <c r="Q6211" s="5"/>
      <c r="R6211" s="5"/>
      <c r="S6211" s="5" t="s">
        <v>49110</v>
      </c>
      <c r="T6211" s="28">
        <v>194000</v>
      </c>
      <c r="U6211" s="28"/>
      <c r="V6211" s="28">
        <v>108705000</v>
      </c>
      <c r="W6211" s="28">
        <v>338323000</v>
      </c>
      <c r="X6211" s="28">
        <v>359778000</v>
      </c>
      <c r="Y6211" s="28">
        <v>978536000</v>
      </c>
      <c r="Z6211" s="28">
        <v>187809000</v>
      </c>
      <c r="AA6211" s="28"/>
      <c r="AB6211" s="28">
        <v>81286000</v>
      </c>
      <c r="AC6211" s="28">
        <v>790717000</v>
      </c>
      <c r="AD6211" s="28">
        <v>187819000</v>
      </c>
      <c r="AE6211" s="28">
        <v>4222981000</v>
      </c>
      <c r="AF6211" s="28">
        <v>80191000</v>
      </c>
      <c r="AG6211" s="11"/>
    </row>
    <row r="6212">
      <c r="A6212" s="7" t="s">
        <v>7792</v>
      </c>
      <c r="B6212" s="5" t="s">
        <v>15743</v>
      </c>
      <c r="C6212" s="5" t="s">
        <v>23400</v>
      </c>
      <c r="D6212" s="5" t="str">
        <v>470600698946</v>
      </c>
      <c r="E6212" s="0" t="e">
        <f>+7 (812) 3656454
+7 (921) 9401530
+7 (812) 3252680
+7 (812) 3255203
+7 (921) 9425204</f>
        <v>#NAME?</v>
      </c>
      <c r="F6212" s="5" t="s">
        <v>43515</v>
      </c>
      <c r="G6212" s="5" t="s">
        <v>43516</v>
      </c>
      <c r="H6212" s="26">
        <v>15</v>
      </c>
      <c r="I6212" s="5" t="s">
        <v>43517</v>
      </c>
      <c r="J6212" s="5" t="s">
        <v>678</v>
      </c>
      <c r="K6212" s="5" t="s">
        <v>344</v>
      </c>
      <c r="L6212" s="5" t="s">
        <v>43518</v>
      </c>
      <c r="M6212" s="27"/>
      <c r="N6212" s="5" t="s">
        <v>58650</v>
      </c>
      <c r="O6212" s="5" t="str">
        <v>7811401214</v>
      </c>
      <c r="P6212" s="27">
        <v>10000</v>
      </c>
      <c r="Q6212" s="5" t="s">
        <v>49021</v>
      </c>
      <c r="R6212" s="5"/>
      <c r="S6212" s="5" t="s">
        <v>58651</v>
      </c>
      <c r="T6212" s="28">
        <v>23024000</v>
      </c>
      <c r="U6212" s="28"/>
      <c r="V6212" s="28">
        <v>2234705000</v>
      </c>
      <c r="W6212" s="28"/>
      <c r="X6212" s="28">
        <v>74885000</v>
      </c>
      <c r="Y6212" s="28">
        <v>2753036000</v>
      </c>
      <c r="Z6212" s="28">
        <v>692926000</v>
      </c>
      <c r="AA6212" s="28"/>
      <c r="AB6212" s="28">
        <v>100446000</v>
      </c>
      <c r="AC6212" s="28">
        <v>2054764000</v>
      </c>
      <c r="AD6212" s="28">
        <v>692936000</v>
      </c>
      <c r="AE6212" s="28">
        <v>3017376000</v>
      </c>
      <c r="AF6212" s="28">
        <v>228390000</v>
      </c>
      <c r="AG6212" s="11"/>
    </row>
    <row r="6213">
      <c r="A6213" s="7" t="s">
        <v>7793</v>
      </c>
      <c r="B6213" s="5" t="s">
        <v>15744</v>
      </c>
      <c r="C6213" s="5" t="s">
        <v>23401</v>
      </c>
      <c r="D6213" s="5" t="str">
        <v>422003862707</v>
      </c>
      <c r="E6213" s="0" t="e">
        <f>+7 (384) 3573601
+7 (3843) 573609
+7 (495) 9887745
+7 (913) 4146069</f>
        <v>#NAME?</v>
      </c>
      <c r="F6213" s="5" t="s">
        <v>43519</v>
      </c>
      <c r="G6213" s="5" t="s">
        <v>43520</v>
      </c>
      <c r="H6213" s="26">
        <v>30</v>
      </c>
      <c r="I6213" s="5"/>
      <c r="J6213" s="5" t="s">
        <v>29188</v>
      </c>
      <c r="K6213" s="5" t="s">
        <v>344</v>
      </c>
      <c r="L6213" s="5"/>
      <c r="M6213" s="27"/>
      <c r="N6213" s="5"/>
      <c r="O6213" s="5" t="str">
        <v>4218005950</v>
      </c>
      <c r="P6213" s="27">
        <v>73080000</v>
      </c>
      <c r="Q6213" s="5"/>
      <c r="R6213" s="5"/>
      <c r="S6213" s="5" t="s">
        <v>49110</v>
      </c>
      <c r="T6213" s="28">
        <v>4051153000</v>
      </c>
      <c r="U6213" s="28">
        <v>2780967000</v>
      </c>
      <c r="V6213" s="28">
        <v>2467376000</v>
      </c>
      <c r="W6213" s="28"/>
      <c r="X6213" s="28">
        <v>30642000</v>
      </c>
      <c r="Y6213" s="28">
        <v>10691970000</v>
      </c>
      <c r="Z6213" s="28">
        <v>7047080000</v>
      </c>
      <c r="AA6213" s="28"/>
      <c r="AB6213" s="28"/>
      <c r="AC6213" s="28">
        <v>3154224000</v>
      </c>
      <c r="AD6213" s="28">
        <v>7127995000</v>
      </c>
      <c r="AE6213" s="28">
        <v>7601258000</v>
      </c>
      <c r="AF6213" s="28">
        <v>11824578000</v>
      </c>
      <c r="AG6213" s="11"/>
    </row>
    <row r="6214">
      <c r="A6214" s="7" t="s">
        <v>7794</v>
      </c>
      <c r="B6214" s="5" t="s">
        <v>15745</v>
      </c>
      <c r="C6214" s="5" t="s">
        <v>23402</v>
      </c>
      <c r="D6214" s="5" t="str">
        <v>773179439649</v>
      </c>
      <c r="E6214" s="0" t="e">
        <f>+7 (495) 6871869
+7 (495) 2871869
+7 (495) 7185066
+7 (495) 7555933</f>
        <v>#NAME?</v>
      </c>
      <c r="F6214" s="5" t="s">
        <v>43521</v>
      </c>
      <c r="G6214" s="5"/>
      <c r="H6214" s="26">
        <v>18</v>
      </c>
      <c r="I6214" s="5" t="s">
        <v>43522</v>
      </c>
      <c r="J6214" s="5" t="s">
        <v>25275</v>
      </c>
      <c r="K6214" s="5" t="s">
        <v>344</v>
      </c>
      <c r="L6214" s="5"/>
      <c r="M6214" s="27"/>
      <c r="N6214" s="5"/>
      <c r="O6214" s="5" t="str">
        <v>7727539704</v>
      </c>
      <c r="P6214" s="27">
        <v>236000000</v>
      </c>
      <c r="Q6214" s="5"/>
      <c r="R6214" s="5"/>
      <c r="S6214" s="5" t="s">
        <v>49029</v>
      </c>
      <c r="T6214" s="28">
        <v>534340000</v>
      </c>
      <c r="U6214" s="28">
        <v>150500000</v>
      </c>
      <c r="V6214" s="28">
        <v>9400768000</v>
      </c>
      <c r="W6214" s="28">
        <v>116800000</v>
      </c>
      <c r="X6214" s="28">
        <v>906496000</v>
      </c>
      <c r="Y6214" s="28">
        <v>14880798000</v>
      </c>
      <c r="Z6214" s="28">
        <v>2194461000</v>
      </c>
      <c r="AA6214" s="28"/>
      <c r="AB6214" s="28">
        <v>202697000</v>
      </c>
      <c r="AC6214" s="28">
        <v>11469148000</v>
      </c>
      <c r="AD6214" s="28">
        <v>2312078000</v>
      </c>
      <c r="AE6214" s="28">
        <v>26932204000</v>
      </c>
      <c r="AF6214" s="28">
        <v>1331493000</v>
      </c>
      <c r="AG6214" s="11"/>
    </row>
    <row r="6215">
      <c r="A6215" s="7" t="s">
        <v>7795</v>
      </c>
      <c r="B6215" s="5" t="s">
        <v>15746</v>
      </c>
      <c r="C6215" s="5" t="s">
        <v>23403</v>
      </c>
      <c r="D6215" s="5" t="str">
        <v>400405860598</v>
      </c>
      <c r="E6215" s="0" t="e">
        <f>+7 (495) 6402036
+7 (48536) 91600
+7 (48536) 91601
+7 (821) 2669027
+7 (8212) 620220
+7 (8212) 620221</f>
        <v>#NAME?</v>
      </c>
      <c r="F6215" s="5" t="s">
        <v>43523</v>
      </c>
      <c r="G6215" s="5" t="s">
        <v>43524</v>
      </c>
      <c r="H6215" s="26">
        <v>15.5</v>
      </c>
      <c r="I6215" s="5" t="s">
        <v>43525</v>
      </c>
      <c r="J6215" s="5" t="s">
        <v>31349</v>
      </c>
      <c r="K6215" s="5" t="s">
        <v>344</v>
      </c>
      <c r="L6215" s="5" t="s">
        <v>43526</v>
      </c>
      <c r="M6215" s="27">
        <v>632134</v>
      </c>
      <c r="N6215" s="5"/>
      <c r="O6215" s="5" t="str">
        <v>1121016110</v>
      </c>
      <c r="P6215" s="27">
        <v>112500000</v>
      </c>
      <c r="Q6215" s="5"/>
      <c r="R6215" s="5"/>
      <c r="S6215" s="5" t="s">
        <v>49123</v>
      </c>
      <c r="T6215" s="28">
        <v>4162199000</v>
      </c>
      <c r="U6215" s="28"/>
      <c r="V6215" s="28">
        <v>1182898000</v>
      </c>
      <c r="W6215" s="28"/>
      <c r="X6215" s="28">
        <v>1390609000</v>
      </c>
      <c r="Y6215" s="28">
        <v>8307920000</v>
      </c>
      <c r="Z6215" s="28">
        <v>3407381000</v>
      </c>
      <c r="AA6215" s="28">
        <v>2972285000</v>
      </c>
      <c r="AB6215" s="28">
        <v>352981000</v>
      </c>
      <c r="AC6215" s="28">
        <v>1333345000</v>
      </c>
      <c r="AD6215" s="28">
        <v>3525506000</v>
      </c>
      <c r="AE6215" s="28">
        <v>10199461000</v>
      </c>
      <c r="AF6215" s="28">
        <v>1477855000</v>
      </c>
      <c r="AG6215" s="11"/>
    </row>
    <row r="6216">
      <c r="A6216" s="7" t="s">
        <v>7796</v>
      </c>
      <c r="B6216" s="5" t="s">
        <v>15747</v>
      </c>
      <c r="C6216" s="5" t="s">
        <v>23404</v>
      </c>
      <c r="D6216" s="5" t="str">
        <v>553102516300</v>
      </c>
      <c r="E6216" s="0" t="e">
        <f>+7 (495) 2871919</f>
        <v>#NAME?</v>
      </c>
      <c r="F6216" s="5" t="s">
        <v>43527</v>
      </c>
      <c r="G6216" s="5"/>
      <c r="H6216" s="26">
        <v>2.5</v>
      </c>
      <c r="I6216" s="5" t="s">
        <v>31180</v>
      </c>
      <c r="J6216" s="5" t="s">
        <v>467</v>
      </c>
      <c r="K6216" s="5" t="s">
        <v>380</v>
      </c>
      <c r="L6216" s="5"/>
      <c r="M6216" s="27">
        <v>25487448</v>
      </c>
      <c r="N6216" s="5"/>
      <c r="O6216" s="5" t="str">
        <v>5035037032</v>
      </c>
      <c r="P6216" s="27">
        <v>10000</v>
      </c>
      <c r="Q6216" s="5" t="s">
        <v>58653</v>
      </c>
      <c r="R6216" s="5"/>
      <c r="S6216" s="5" t="s">
        <v>49743</v>
      </c>
      <c r="T6216" s="28">
        <v>887761000</v>
      </c>
      <c r="U6216" s="28"/>
      <c r="V6216" s="28">
        <v>6258859000</v>
      </c>
      <c r="W6216" s="28"/>
      <c r="X6216" s="28">
        <v>5108000</v>
      </c>
      <c r="Y6216" s="28">
        <v>10252253000</v>
      </c>
      <c r="Z6216" s="28">
        <v>-412911000</v>
      </c>
      <c r="AA6216" s="28"/>
      <c r="AB6216" s="28"/>
      <c r="AC6216" s="28">
        <v>9878710000</v>
      </c>
      <c r="AD6216" s="28">
        <v>-412901000</v>
      </c>
      <c r="AE6216" s="28">
        <v>16899135000</v>
      </c>
      <c r="AF6216" s="28">
        <v>-577394000</v>
      </c>
      <c r="AG6216" s="11"/>
    </row>
    <row r="6217">
      <c r="A6217" s="7" t="s">
        <v>7797</v>
      </c>
      <c r="B6217" s="5" t="s">
        <v>15748</v>
      </c>
      <c r="C6217" s="5" t="s">
        <v>23405</v>
      </c>
      <c r="D6217" s="5" t="str">
        <v>421722687155</v>
      </c>
      <c r="E6217" s="0" t="e">
        <f>+7 (486) 2434310</f>
        <v>#NAME?</v>
      </c>
      <c r="F6217" s="5"/>
      <c r="G6217" s="5"/>
      <c r="H6217" s="26">
        <v>16</v>
      </c>
      <c r="I6217" s="5" t="s">
        <v>43528</v>
      </c>
      <c r="J6217" s="5" t="s">
        <v>364</v>
      </c>
      <c r="K6217" s="5" t="s">
        <v>380</v>
      </c>
      <c r="L6217" s="5"/>
      <c r="M6217" s="27">
        <v>50792087</v>
      </c>
      <c r="N6217" s="5"/>
      <c r="O6217" s="5" t="str">
        <v>7717577891</v>
      </c>
      <c r="P6217" s="27">
        <v>500000</v>
      </c>
      <c r="Q6217" s="5" t="s">
        <v>49009</v>
      </c>
      <c r="R6217" s="5"/>
      <c r="S6217" s="5" t="s">
        <v>49408</v>
      </c>
      <c r="T6217" s="28">
        <v>287626000</v>
      </c>
      <c r="U6217" s="28"/>
      <c r="V6217" s="28">
        <v>9827645000</v>
      </c>
      <c r="W6217" s="28"/>
      <c r="X6217" s="28">
        <v>46159000</v>
      </c>
      <c r="Y6217" s="28">
        <v>14604015000</v>
      </c>
      <c r="Z6217" s="28">
        <v>-3909489000</v>
      </c>
      <c r="AA6217" s="28"/>
      <c r="AB6217" s="28"/>
      <c r="AC6217" s="28">
        <v>17052793000</v>
      </c>
      <c r="AD6217" s="28">
        <v>-3908989000</v>
      </c>
      <c r="AE6217" s="28">
        <v>6886453000</v>
      </c>
      <c r="AF6217" s="28">
        <v>-561074000</v>
      </c>
      <c r="AG6217" s="11"/>
    </row>
    <row r="6218">
      <c r="A6218" s="7" t="s">
        <v>7798</v>
      </c>
      <c r="B6218" s="5" t="s">
        <v>15749</v>
      </c>
      <c r="C6218" s="5" t="s">
        <v>23406</v>
      </c>
      <c r="D6218" s="5" t="str">
        <v>243800187562</v>
      </c>
      <c r="E6218" s="0" t="e">
        <f>+7 (495) 9847202</f>
        <v>#NAME?</v>
      </c>
      <c r="F6218" s="5"/>
      <c r="G6218" s="5"/>
      <c r="H6218" s="26">
        <v>6.5</v>
      </c>
      <c r="I6218" s="5" t="s">
        <v>43529</v>
      </c>
      <c r="J6218" s="5" t="s">
        <v>364</v>
      </c>
      <c r="K6218" s="5" t="s">
        <v>355</v>
      </c>
      <c r="L6218" s="5"/>
      <c r="M6218" s="27">
        <v>25284794</v>
      </c>
      <c r="N6218" s="5"/>
      <c r="O6218" s="5" t="str">
        <v>7714394970</v>
      </c>
      <c r="P6218" s="27">
        <v>10000000</v>
      </c>
      <c r="Q6218" s="5"/>
      <c r="R6218" s="5"/>
      <c r="S6218" s="5" t="s">
        <v>49121</v>
      </c>
      <c r="T6218" s="28">
        <v>78332000</v>
      </c>
      <c r="U6218" s="28"/>
      <c r="V6218" s="28">
        <v>7275212000</v>
      </c>
      <c r="W6218" s="28"/>
      <c r="X6218" s="28">
        <v>521563000</v>
      </c>
      <c r="Y6218" s="28">
        <v>10154491000</v>
      </c>
      <c r="Z6218" s="28">
        <v>-3135272000</v>
      </c>
      <c r="AA6218" s="28"/>
      <c r="AB6218" s="28"/>
      <c r="AC6218" s="28">
        <v>12500849000</v>
      </c>
      <c r="AD6218" s="28">
        <v>-3125272000</v>
      </c>
      <c r="AE6218" s="28">
        <v>4956504000</v>
      </c>
      <c r="AF6218" s="28">
        <v>-2030529000</v>
      </c>
      <c r="AG6218" s="11"/>
    </row>
    <row r="6219">
      <c r="A6219" s="7" t="s">
        <v>7799</v>
      </c>
      <c r="B6219" s="5" t="s">
        <v>15750</v>
      </c>
      <c r="C6219" s="5" t="s">
        <v>23407</v>
      </c>
      <c r="D6219" s="5" t="str">
        <v>010706198937</v>
      </c>
      <c r="F6219" s="5"/>
      <c r="G6219" s="5"/>
      <c r="H6219" s="26">
        <v>9</v>
      </c>
      <c r="I6219" s="5" t="s">
        <v>31180</v>
      </c>
      <c r="J6219" s="5" t="s">
        <v>30025</v>
      </c>
      <c r="K6219" s="5" t="s">
        <v>380</v>
      </c>
      <c r="L6219" s="5"/>
      <c r="M6219" s="27">
        <v>5765800</v>
      </c>
      <c r="N6219" s="5"/>
      <c r="O6219" s="5" t="str">
        <v>7714923825</v>
      </c>
      <c r="P6219" s="27">
        <v>10000</v>
      </c>
      <c r="Q6219" s="5"/>
      <c r="R6219" s="5"/>
      <c r="S6219" s="5" t="s">
        <v>49121</v>
      </c>
      <c r="T6219" s="28">
        <v>2200618000</v>
      </c>
      <c r="U6219" s="28"/>
      <c r="V6219" s="28">
        <v>797274000</v>
      </c>
      <c r="W6219" s="28">
        <v>182000</v>
      </c>
      <c r="X6219" s="28">
        <v>68851000</v>
      </c>
      <c r="Y6219" s="28">
        <v>3435612000</v>
      </c>
      <c r="Z6219" s="28">
        <v>-60177000</v>
      </c>
      <c r="AA6219" s="28"/>
      <c r="AB6219" s="28">
        <v>70976000</v>
      </c>
      <c r="AC6219" s="28">
        <v>2588242000</v>
      </c>
      <c r="AD6219" s="28">
        <v>-60167000</v>
      </c>
      <c r="AE6219" s="28">
        <v>3893686000</v>
      </c>
      <c r="AF6219" s="28">
        <v>47773000</v>
      </c>
      <c r="AG6219" s="11"/>
    </row>
    <row r="6220">
      <c r="A6220" s="7" t="s">
        <v>7800</v>
      </c>
      <c r="B6220" s="5" t="s">
        <v>15751</v>
      </c>
      <c r="C6220" s="5" t="s">
        <v>23408</v>
      </c>
      <c r="D6220" s="5" t="str">
        <v>245004794481</v>
      </c>
      <c r="E6220" s="0" t="e">
        <f>+7 (495) 7271950
+7 (846) 3324712
+7 (846) 9796897
+7 (84633) 27393
+7 (915) 1350728</f>
        <v>#NAME?</v>
      </c>
      <c r="F6220" s="5" t="s">
        <v>43530</v>
      </c>
      <c r="G6220" s="5"/>
      <c r="H6220" s="26">
        <v>22</v>
      </c>
      <c r="I6220" s="5"/>
      <c r="J6220" s="5" t="s">
        <v>364</v>
      </c>
      <c r="K6220" s="5" t="s">
        <v>380</v>
      </c>
      <c r="L6220" s="5"/>
      <c r="M6220" s="27">
        <v>7858953</v>
      </c>
      <c r="N6220" s="5"/>
      <c r="O6220" s="5" t="str">
        <v>6315344937</v>
      </c>
      <c r="P6220" s="27">
        <v>1917000</v>
      </c>
      <c r="Q6220" s="5" t="s">
        <v>49009</v>
      </c>
      <c r="R6220" s="5"/>
      <c r="S6220" s="5" t="s">
        <v>50191</v>
      </c>
      <c r="T6220" s="28">
        <v>211924000</v>
      </c>
      <c r="U6220" s="28"/>
      <c r="V6220" s="28">
        <v>4562558000</v>
      </c>
      <c r="W6220" s="28"/>
      <c r="X6220" s="28">
        <v>1201182000</v>
      </c>
      <c r="Y6220" s="28">
        <v>7706961000</v>
      </c>
      <c r="Z6220" s="28">
        <v>-136228000</v>
      </c>
      <c r="AA6220" s="28"/>
      <c r="AB6220" s="28">
        <v>223794000</v>
      </c>
      <c r="AC6220" s="28">
        <v>7206639000</v>
      </c>
      <c r="AD6220" s="28">
        <v>-134215000</v>
      </c>
      <c r="AE6220" s="28">
        <v>4367225000</v>
      </c>
      <c r="AF6220" s="28">
        <v>-550626000</v>
      </c>
      <c r="AG6220" s="11"/>
    </row>
    <row r="6221">
      <c r="A6221" s="7" t="s">
        <v>7801</v>
      </c>
      <c r="B6221" s="5" t="s">
        <v>15752</v>
      </c>
      <c r="C6221" s="5" t="s">
        <v>23409</v>
      </c>
      <c r="D6221" s="5" t="str">
        <v>780207814969</v>
      </c>
      <c r="E6221" s="0" t="e">
        <f>+7 (812) 5311158
+7 (812) 2969926
+7 (812) 2969930
+7 (812) 2969931
+7 (812) 5309906
+7 (812) 6415955
+7 (812) 6415983
+7 (812) 6435800
+7 (812) 6435857
+7 (812) 6435955
+7 (812) 6435957
+7 (812) 6435967
+7 (812) 6435974
+7 (812) 6437300
+7 (812) 6437353</f>
        <v>#NAME?</v>
      </c>
      <c r="F6221" s="5" t="s">
        <v>43531</v>
      </c>
      <c r="G6221" s="5" t="s">
        <v>43532</v>
      </c>
      <c r="H6221" s="26">
        <v>31.5</v>
      </c>
      <c r="I6221" s="5" t="s">
        <v>43533</v>
      </c>
      <c r="J6221" s="5" t="s">
        <v>39901</v>
      </c>
      <c r="K6221" s="5" t="s">
        <v>344</v>
      </c>
      <c r="L6221" s="5" t="s">
        <v>43534</v>
      </c>
      <c r="M6221" s="27"/>
      <c r="N6221" s="5" t="s">
        <v>58654</v>
      </c>
      <c r="O6221" s="5" t="str">
        <v>7804027534</v>
      </c>
      <c r="P6221" s="27">
        <v>5086834</v>
      </c>
      <c r="Q6221" s="5" t="s">
        <v>58655</v>
      </c>
      <c r="R6221" s="5"/>
      <c r="S6221" s="5" t="s">
        <v>50238</v>
      </c>
      <c r="T6221" s="28">
        <v>2890569000</v>
      </c>
      <c r="U6221" s="28"/>
      <c r="V6221" s="28">
        <v>730188000</v>
      </c>
      <c r="W6221" s="28">
        <v>4661002000</v>
      </c>
      <c r="X6221" s="28">
        <v>365384000</v>
      </c>
      <c r="Y6221" s="28">
        <v>13635618000</v>
      </c>
      <c r="Z6221" s="28">
        <v>4616478000</v>
      </c>
      <c r="AA6221" s="28"/>
      <c r="AB6221" s="28"/>
      <c r="AC6221" s="28">
        <v>2156495000</v>
      </c>
      <c r="AD6221" s="28">
        <v>6941483000</v>
      </c>
      <c r="AE6221" s="28">
        <v>4670428000</v>
      </c>
      <c r="AF6221" s="28">
        <v>281619000</v>
      </c>
      <c r="AG6221" s="11"/>
    </row>
    <row r="6222">
      <c r="A6222" s="7" t="s">
        <v>7802</v>
      </c>
      <c r="B6222" s="5" t="s">
        <v>15753</v>
      </c>
      <c r="C6222" s="5" t="s">
        <v>23410</v>
      </c>
      <c r="D6222" s="5" t="str">
        <v>781431134106</v>
      </c>
      <c r="E6222" s="0" t="e">
        <f>+7 (812) 3297842
+7 (499) 3348888
+7 (812) 3271830
+7 (812) 3290194
+7 (812) 3290195
+7 (812) 3317942
+7 (812) 3347929
+7 (812) 3348888
+7 (812) 6772945</f>
        <v>#NAME?</v>
      </c>
      <c r="F6222" s="5" t="s">
        <v>43535</v>
      </c>
      <c r="G6222" s="5" t="s">
        <v>43536</v>
      </c>
      <c r="H6222" s="26">
        <v>17</v>
      </c>
      <c r="I6222" s="5" t="s">
        <v>43537</v>
      </c>
      <c r="J6222" s="5" t="s">
        <v>27416</v>
      </c>
      <c r="K6222" s="5" t="s">
        <v>344</v>
      </c>
      <c r="L6222" s="5" t="s">
        <v>43538</v>
      </c>
      <c r="M6222" s="27">
        <v>12857431</v>
      </c>
      <c r="N6222" s="5" t="s">
        <v>58656</v>
      </c>
      <c r="O6222" s="5" t="str">
        <v>7802348846</v>
      </c>
      <c r="P6222" s="27">
        <v>2085000</v>
      </c>
      <c r="Q6222" s="5" t="s">
        <v>58657</v>
      </c>
      <c r="R6222" s="5"/>
      <c r="S6222" s="5" t="s">
        <v>58658</v>
      </c>
      <c r="T6222" s="28">
        <v>9896417000</v>
      </c>
      <c r="U6222" s="28">
        <v>1017443000</v>
      </c>
      <c r="V6222" s="28">
        <v>12116773000</v>
      </c>
      <c r="W6222" s="28">
        <v>152011000</v>
      </c>
      <c r="X6222" s="28">
        <v>4553898000</v>
      </c>
      <c r="Y6222" s="28">
        <v>40283850000</v>
      </c>
      <c r="Z6222" s="28">
        <v>13570542000</v>
      </c>
      <c r="AA6222" s="28"/>
      <c r="AB6222" s="28"/>
      <c r="AC6222" s="28">
        <v>18406767000</v>
      </c>
      <c r="AD6222" s="28">
        <v>13572954000</v>
      </c>
      <c r="AE6222" s="28">
        <v>115292486000</v>
      </c>
      <c r="AF6222" s="28">
        <v>9452523000</v>
      </c>
      <c r="AG6222" s="11"/>
    </row>
    <row r="6223">
      <c r="A6223" s="7" t="s">
        <v>7803</v>
      </c>
      <c r="B6223" s="5" t="s">
        <v>15754</v>
      </c>
      <c r="C6223" s="5" t="s">
        <v>23411</v>
      </c>
      <c r="D6223" s="5" t="str">
        <v>781414527925</v>
      </c>
      <c r="E6223" s="0" t="e">
        <f>+7 (800) 5508866
+7 (812) 6008866
+7 (812) 3331540
+7 (911) 9769696</f>
        <v>#NAME?</v>
      </c>
      <c r="F6223" s="5" t="s">
        <v>43539</v>
      </c>
      <c r="G6223" s="5" t="s">
        <v>43540</v>
      </c>
      <c r="H6223" s="26">
        <v>5</v>
      </c>
      <c r="I6223" s="5" t="s">
        <v>43541</v>
      </c>
      <c r="J6223" s="5" t="s">
        <v>37683</v>
      </c>
      <c r="K6223" s="5" t="s">
        <v>344</v>
      </c>
      <c r="L6223" s="5" t="s">
        <v>43542</v>
      </c>
      <c r="M6223" s="27"/>
      <c r="N6223" s="5" t="s">
        <v>58659</v>
      </c>
      <c r="O6223" s="5" t="str">
        <v>7842151733</v>
      </c>
      <c r="P6223" s="27">
        <v>10000</v>
      </c>
      <c r="Q6223" s="5" t="s">
        <v>49009</v>
      </c>
      <c r="R6223" s="5"/>
      <c r="S6223" s="5" t="s">
        <v>49066</v>
      </c>
      <c r="T6223" s="28">
        <v>198434000</v>
      </c>
      <c r="U6223" s="28"/>
      <c r="V6223" s="28">
        <v>68255000</v>
      </c>
      <c r="W6223" s="28">
        <v>2500000</v>
      </c>
      <c r="X6223" s="28">
        <v>294788000</v>
      </c>
      <c r="Y6223" s="28">
        <v>1285870000</v>
      </c>
      <c r="Z6223" s="28">
        <v>662383000</v>
      </c>
      <c r="AA6223" s="28">
        <v>21678000</v>
      </c>
      <c r="AB6223" s="28"/>
      <c r="AC6223" s="28">
        <v>399448000</v>
      </c>
      <c r="AD6223" s="28">
        <v>662393000</v>
      </c>
      <c r="AE6223" s="28">
        <v>3582890000</v>
      </c>
      <c r="AF6223" s="28">
        <v>35542000</v>
      </c>
      <c r="AG6223" s="11"/>
    </row>
    <row r="6224">
      <c r="A6224" s="7" t="s">
        <v>7804</v>
      </c>
      <c r="B6224" s="5" t="s">
        <v>15755</v>
      </c>
      <c r="C6224" s="5" t="s">
        <v>23412</v>
      </c>
      <c r="D6224" s="5" t="str">
        <v>772623441018</v>
      </c>
      <c r="E6224" s="0" t="e">
        <f>+7 (499) 3700040</f>
        <v>#NAME?</v>
      </c>
      <c r="F6224" s="5"/>
      <c r="G6224" s="5"/>
      <c r="H6224" s="26">
        <v>6.5</v>
      </c>
      <c r="I6224" s="5" t="s">
        <v>43543</v>
      </c>
      <c r="J6224" s="5" t="s">
        <v>364</v>
      </c>
      <c r="K6224" s="5" t="s">
        <v>355</v>
      </c>
      <c r="L6224" s="5" t="s">
        <v>43544</v>
      </c>
      <c r="M6224" s="27">
        <v>3147348</v>
      </c>
      <c r="N6224" s="5"/>
      <c r="O6224" s="5" t="str">
        <v>7751030347</v>
      </c>
      <c r="P6224" s="27">
        <v>18100000</v>
      </c>
      <c r="Q6224" s="5" t="s">
        <v>49021</v>
      </c>
      <c r="R6224" s="5"/>
      <c r="S6224" s="5" t="s">
        <v>58661</v>
      </c>
      <c r="T6224" s="28">
        <v>146846000</v>
      </c>
      <c r="U6224" s="28"/>
      <c r="V6224" s="28">
        <v>6561808000</v>
      </c>
      <c r="W6224" s="28">
        <v>1606818000</v>
      </c>
      <c r="X6224" s="28">
        <v>4411000</v>
      </c>
      <c r="Y6224" s="28">
        <v>8363737000</v>
      </c>
      <c r="Z6224" s="28">
        <v>551964000</v>
      </c>
      <c r="AA6224" s="28"/>
      <c r="AB6224" s="28"/>
      <c r="AC6224" s="28">
        <v>7772649000</v>
      </c>
      <c r="AD6224" s="28">
        <v>587464000</v>
      </c>
      <c r="AE6224" s="28">
        <v>4986638000</v>
      </c>
      <c r="AF6224" s="28">
        <v>196800000</v>
      </c>
      <c r="AG6224" s="11"/>
    </row>
    <row r="6225">
      <c r="A6225" s="7" t="s">
        <v>7805</v>
      </c>
      <c r="B6225" s="5" t="s">
        <v>15756</v>
      </c>
      <c r="C6225" s="5" t="s">
        <v>23413</v>
      </c>
      <c r="D6225" s="5" t="str">
        <v>026812366958</v>
      </c>
      <c r="E6225" s="0" t="e">
        <f>+7 (3473) 339898
+7 (917) 4399225</f>
        <v>#NAME?</v>
      </c>
      <c r="F6225" s="5" t="s">
        <v>43545</v>
      </c>
      <c r="G6225" s="5"/>
      <c r="H6225" s="26">
        <v>6</v>
      </c>
      <c r="I6225" s="5" t="s">
        <v>43546</v>
      </c>
      <c r="J6225" s="5" t="s">
        <v>36462</v>
      </c>
      <c r="K6225" s="5" t="s">
        <v>344</v>
      </c>
      <c r="L6225" s="5"/>
      <c r="M6225" s="27"/>
      <c r="N6225" s="5"/>
      <c r="O6225" s="5" t="str">
        <v>0242010590</v>
      </c>
      <c r="P6225" s="27">
        <v>1000000</v>
      </c>
      <c r="Q6225" s="5"/>
      <c r="R6225" s="5"/>
      <c r="S6225" s="5" t="s">
        <v>49029</v>
      </c>
      <c r="T6225" s="28">
        <v>815477000</v>
      </c>
      <c r="U6225" s="28"/>
      <c r="V6225" s="28">
        <v>87594000</v>
      </c>
      <c r="W6225" s="28"/>
      <c r="X6225" s="28">
        <v>273061000</v>
      </c>
      <c r="Y6225" s="28">
        <v>1888217000</v>
      </c>
      <c r="Z6225" s="28">
        <v>766186000</v>
      </c>
      <c r="AA6225" s="28">
        <v>646002000</v>
      </c>
      <c r="AB6225" s="28">
        <v>70219000</v>
      </c>
      <c r="AC6225" s="28">
        <v>293032000</v>
      </c>
      <c r="AD6225" s="28">
        <v>767186000</v>
      </c>
      <c r="AE6225" s="28">
        <v>3693761000</v>
      </c>
      <c r="AF6225" s="28">
        <v>767682000</v>
      </c>
      <c r="AG6225" s="11"/>
    </row>
    <row r="6226">
      <c r="A6226" s="7" t="s">
        <v>7806</v>
      </c>
      <c r="B6226" s="5" t="s">
        <v>15757</v>
      </c>
      <c r="C6226" s="5" t="s">
        <v>23053</v>
      </c>
      <c r="D6226" s="5"/>
      <c r="E6226" s="0" t="e">
        <f>+7 (343) 5035104
+7 (34350) 32026
+7 (34350) 32101
+7 (34350) 32103
+7 (34350) 32127
+7 (34350) 32303
+7 (34350) 32576
+7 (34350) 32870
+7 (34350) 34197
+7 (34350) 35290
+7 (34350) 35293
+7 (34350) 35404
+7 (34350) 35612
+7 (34350) 45544
+7 (484) 2211030</f>
        <v>#NAME?</v>
      </c>
      <c r="F6226" s="5" t="s">
        <v>43547</v>
      </c>
      <c r="G6226" s="5" t="s">
        <v>43548</v>
      </c>
      <c r="H6226" s="26">
        <v>30</v>
      </c>
      <c r="I6226" s="5"/>
      <c r="J6226" s="5" t="s">
        <v>27977</v>
      </c>
      <c r="K6226" s="5" t="s">
        <v>355</v>
      </c>
      <c r="L6226" s="5"/>
      <c r="M6226" s="27">
        <v>6106397</v>
      </c>
      <c r="N6226" s="5" t="s">
        <v>58662</v>
      </c>
      <c r="O6226" s="5" t="str">
        <v>6626002291</v>
      </c>
      <c r="P6226" s="27">
        <v>721936800</v>
      </c>
      <c r="Q6226" s="5" t="s">
        <v>58663</v>
      </c>
      <c r="R6226" s="5"/>
      <c r="S6226" s="5" t="s">
        <v>51151</v>
      </c>
      <c r="T6226" s="28">
        <v>32420656000</v>
      </c>
      <c r="U6226" s="28">
        <v>126886000</v>
      </c>
      <c r="V6226" s="28">
        <v>23227020000</v>
      </c>
      <c r="W6226" s="28">
        <v>115901000</v>
      </c>
      <c r="X6226" s="28">
        <v>57650000</v>
      </c>
      <c r="Y6226" s="28">
        <v>67921795000</v>
      </c>
      <c r="Z6226" s="28">
        <v>9432361000</v>
      </c>
      <c r="AA6226" s="28">
        <v>12000000000</v>
      </c>
      <c r="AB6226" s="28">
        <v>8820203000</v>
      </c>
      <c r="AC6226" s="28">
        <v>41566956000</v>
      </c>
      <c r="AD6226" s="28">
        <v>10626705000</v>
      </c>
      <c r="AE6226" s="28">
        <v>75165749000</v>
      </c>
      <c r="AF6226" s="28">
        <v>1199769000</v>
      </c>
      <c r="AG6226" s="11"/>
    </row>
    <row r="6227">
      <c r="A6227" s="7" t="s">
        <v>7807</v>
      </c>
      <c r="B6227" s="5" t="s">
        <v>15758</v>
      </c>
      <c r="C6227" s="5" t="s">
        <v>23414</v>
      </c>
      <c r="D6227" s="5" t="str">
        <v>771527783144</v>
      </c>
      <c r="E6227" s="0" t="e">
        <f>+7 (903) 1038992
+7 (495) 1202866</f>
        <v>#NAME?</v>
      </c>
      <c r="F6227" s="5" t="s">
        <v>43549</v>
      </c>
      <c r="G6227" s="5" t="s">
        <v>43550</v>
      </c>
      <c r="H6227" s="26">
        <v>3</v>
      </c>
      <c r="I6227" s="5" t="s">
        <v>43551</v>
      </c>
      <c r="J6227" s="5" t="s">
        <v>25210</v>
      </c>
      <c r="K6227" s="5" t="s">
        <v>344</v>
      </c>
      <c r="L6227" s="5" t="s">
        <v>43552</v>
      </c>
      <c r="M6227" s="27"/>
      <c r="N6227" s="5" t="s">
        <v>56827</v>
      </c>
      <c r="O6227" s="5" t="str">
        <v>9702010905</v>
      </c>
      <c r="P6227" s="27">
        <v>1000000</v>
      </c>
      <c r="Q6227" s="5" t="s">
        <v>58664</v>
      </c>
      <c r="R6227" s="5"/>
      <c r="S6227" s="5" t="s">
        <v>58665</v>
      </c>
      <c r="T6227" s="28">
        <v>7938000</v>
      </c>
      <c r="U6227" s="28"/>
      <c r="V6227" s="28">
        <v>2449675000</v>
      </c>
      <c r="W6227" s="28">
        <v>1354042000</v>
      </c>
      <c r="X6227" s="28">
        <v>888834000</v>
      </c>
      <c r="Y6227" s="28">
        <v>4939818000</v>
      </c>
      <c r="Z6227" s="28">
        <v>280424000</v>
      </c>
      <c r="AA6227" s="28">
        <v>4333000</v>
      </c>
      <c r="AB6227" s="28">
        <v>23596000</v>
      </c>
      <c r="AC6227" s="28">
        <v>4653095000</v>
      </c>
      <c r="AD6227" s="28">
        <v>281424000</v>
      </c>
      <c r="AE6227" s="28">
        <v>3512224000</v>
      </c>
      <c r="AF6227" s="28">
        <v>260309000</v>
      </c>
      <c r="AG6227" s="11"/>
    </row>
    <row r="6228">
      <c r="A6228" s="7" t="s">
        <v>7807</v>
      </c>
      <c r="B6228" s="5" t="s">
        <v>15759</v>
      </c>
      <c r="C6228" s="5" t="s">
        <v>23415</v>
      </c>
      <c r="D6228" s="5" t="str">
        <v>890405041780</v>
      </c>
      <c r="E6228" s="0" t="e">
        <f>+7 (925) 9446660</f>
        <v>#NAME?</v>
      </c>
      <c r="F6228" s="5" t="s">
        <v>43553</v>
      </c>
      <c r="G6228" s="5"/>
      <c r="H6228" s="26">
        <v>2.5</v>
      </c>
      <c r="I6228" s="5" t="s">
        <v>43554</v>
      </c>
      <c r="J6228" s="5" t="s">
        <v>364</v>
      </c>
      <c r="K6228" s="5" t="s">
        <v>380</v>
      </c>
      <c r="L6228" s="5"/>
      <c r="M6228" s="27">
        <v>1775903064</v>
      </c>
      <c r="N6228" s="5"/>
      <c r="O6228" s="5" t="str">
        <v>7714460493</v>
      </c>
      <c r="P6228" s="27">
        <v>102790000</v>
      </c>
      <c r="Q6228" s="5"/>
      <c r="R6228" s="5" t="s">
        <v>58667</v>
      </c>
      <c r="S6228" s="5" t="s">
        <v>49121</v>
      </c>
      <c r="T6228" s="28">
        <v>86877000</v>
      </c>
      <c r="U6228" s="28"/>
      <c r="V6228" s="28">
        <v>2750171000</v>
      </c>
      <c r="W6228" s="28"/>
      <c r="X6228" s="28"/>
      <c r="Y6228" s="28">
        <v>3445196000</v>
      </c>
      <c r="Z6228" s="28">
        <v>110992000</v>
      </c>
      <c r="AA6228" s="28"/>
      <c r="AB6228" s="28"/>
      <c r="AC6228" s="28">
        <v>2681171000</v>
      </c>
      <c r="AD6228" s="28">
        <v>213782000</v>
      </c>
      <c r="AE6228" s="28">
        <v>5083291000</v>
      </c>
      <c r="AF6228" s="28">
        <v>139946000</v>
      </c>
      <c r="AG6228" s="11"/>
    </row>
    <row r="6229">
      <c r="A6229" s="7" t="s">
        <v>7808</v>
      </c>
      <c r="B6229" s="5" t="s">
        <v>15760</v>
      </c>
      <c r="C6229" s="5" t="s">
        <v>23416</v>
      </c>
      <c r="D6229" s="5" t="str">
        <v>352806079401</v>
      </c>
      <c r="E6229" s="0" t="e">
        <f>+7 (495) 2256151
+7 (903) 6240413</f>
        <v>#NAME?</v>
      </c>
      <c r="F6229" s="5" t="s">
        <v>43555</v>
      </c>
      <c r="G6229" s="5"/>
      <c r="H6229" s="26">
        <v>4</v>
      </c>
      <c r="I6229" s="5" t="s">
        <v>33535</v>
      </c>
      <c r="J6229" s="5" t="s">
        <v>30277</v>
      </c>
      <c r="K6229" s="5" t="s">
        <v>344</v>
      </c>
      <c r="L6229" s="5"/>
      <c r="M6229" s="27"/>
      <c r="N6229" s="5"/>
      <c r="O6229" s="5" t="str">
        <v>5047220917</v>
      </c>
      <c r="P6229" s="27">
        <v>10000</v>
      </c>
      <c r="Q6229" s="5" t="s">
        <v>49009</v>
      </c>
      <c r="R6229" s="5"/>
      <c r="S6229" s="5" t="s">
        <v>51818</v>
      </c>
      <c r="T6229" s="28">
        <v>8390840000</v>
      </c>
      <c r="U6229" s="28"/>
      <c r="V6229" s="28">
        <v>2048904000</v>
      </c>
      <c r="W6229" s="28"/>
      <c r="X6229" s="28">
        <v>500116000</v>
      </c>
      <c r="Y6229" s="28">
        <v>15377283000</v>
      </c>
      <c r="Z6229" s="28">
        <v>4486845000</v>
      </c>
      <c r="AA6229" s="28">
        <v>8654869000</v>
      </c>
      <c r="AB6229" s="28"/>
      <c r="AC6229" s="28">
        <v>619210000</v>
      </c>
      <c r="AD6229" s="28">
        <v>4486855000</v>
      </c>
      <c r="AE6229" s="28">
        <v>24185603000</v>
      </c>
      <c r="AF6229" s="28">
        <v>1253620000</v>
      </c>
      <c r="AG6229" s="11"/>
    </row>
    <row r="6230">
      <c r="A6230" s="7" t="s">
        <v>7809</v>
      </c>
      <c r="B6230" s="5" t="s">
        <v>15761</v>
      </c>
      <c r="C6230" s="5" t="s">
        <v>23292</v>
      </c>
      <c r="D6230" s="5" t="str">
        <v>330971823956</v>
      </c>
      <c r="E6230" s="0" t="e">
        <f>+7 (495) 5000020
+7 (916) 911032</f>
        <v>#NAME?</v>
      </c>
      <c r="F6230" s="5" t="s">
        <v>43556</v>
      </c>
      <c r="G6230" s="5"/>
      <c r="H6230" s="26">
        <v>11.5</v>
      </c>
      <c r="I6230" s="5" t="s">
        <v>43557</v>
      </c>
      <c r="J6230" s="5" t="s">
        <v>27182</v>
      </c>
      <c r="K6230" s="5" t="s">
        <v>355</v>
      </c>
      <c r="L6230" s="5" t="s">
        <v>43558</v>
      </c>
      <c r="M6230" s="27">
        <v>2182553</v>
      </c>
      <c r="N6230" s="5" t="s">
        <v>58668</v>
      </c>
      <c r="O6230" s="5" t="str">
        <v>7709490911</v>
      </c>
      <c r="P6230" s="27">
        <v>359840000</v>
      </c>
      <c r="Q6230" s="5" t="s">
        <v>49021</v>
      </c>
      <c r="R6230" s="5"/>
      <c r="S6230" s="5" t="s">
        <v>57153</v>
      </c>
      <c r="T6230" s="28">
        <v>67008000</v>
      </c>
      <c r="U6230" s="28"/>
      <c r="V6230" s="28">
        <v>983802000</v>
      </c>
      <c r="W6230" s="28">
        <v>11362475000</v>
      </c>
      <c r="X6230" s="28">
        <v>691159000</v>
      </c>
      <c r="Y6230" s="28">
        <v>42433510000</v>
      </c>
      <c r="Z6230" s="28">
        <v>775022000</v>
      </c>
      <c r="AA6230" s="28">
        <v>12894095000</v>
      </c>
      <c r="AB6230" s="28">
        <v>239703000</v>
      </c>
      <c r="AC6230" s="28">
        <v>23420918000</v>
      </c>
      <c r="AD6230" s="28">
        <v>5006531000</v>
      </c>
      <c r="AE6230" s="28">
        <v>10730422000</v>
      </c>
      <c r="AF6230" s="28">
        <v>38911000</v>
      </c>
      <c r="AG6230" s="11"/>
    </row>
    <row r="6231">
      <c r="A6231" s="7" t="s">
        <v>7810</v>
      </c>
      <c r="B6231" s="5" t="s">
        <v>15762</v>
      </c>
      <c r="C6231" s="5" t="s">
        <v>23417</v>
      </c>
      <c r="D6231" s="5" t="str">
        <v>362905987104</v>
      </c>
      <c r="E6231" s="0" t="e">
        <f>+7 (499) 9578100
+7 (926) 2062220
+7 (495) 7394186</f>
        <v>#NAME?</v>
      </c>
      <c r="F6231" s="5" t="s">
        <v>43559</v>
      </c>
      <c r="G6231" s="5" t="s">
        <v>43560</v>
      </c>
      <c r="H6231" s="26">
        <v>18</v>
      </c>
      <c r="I6231" s="5" t="s">
        <v>43561</v>
      </c>
      <c r="J6231" s="5" t="s">
        <v>28738</v>
      </c>
      <c r="K6231" s="5" t="s">
        <v>344</v>
      </c>
      <c r="L6231" s="5"/>
      <c r="M6231" s="27"/>
      <c r="N6231" s="5" t="s">
        <v>58669</v>
      </c>
      <c r="O6231" s="5" t="str">
        <v>7735508996</v>
      </c>
      <c r="P6231" s="27">
        <v>10000</v>
      </c>
      <c r="Q6231" s="5" t="s">
        <v>58670</v>
      </c>
      <c r="R6231" s="5"/>
      <c r="S6231" s="5" t="s">
        <v>58671</v>
      </c>
      <c r="T6231" s="28">
        <v>67475000</v>
      </c>
      <c r="U6231" s="28"/>
      <c r="V6231" s="28">
        <v>354299000</v>
      </c>
      <c r="W6231" s="28"/>
      <c r="X6231" s="28">
        <v>174360000</v>
      </c>
      <c r="Y6231" s="28">
        <v>723912000</v>
      </c>
      <c r="Z6231" s="28">
        <v>108530000</v>
      </c>
      <c r="AA6231" s="28"/>
      <c r="AB6231" s="28">
        <v>470000000</v>
      </c>
      <c r="AC6231" s="28">
        <v>614274000</v>
      </c>
      <c r="AD6231" s="28">
        <v>108540000</v>
      </c>
      <c r="AE6231" s="28">
        <v>4466518000</v>
      </c>
      <c r="AF6231" s="28">
        <v>5818000</v>
      </c>
      <c r="AG6231" s="11"/>
    </row>
    <row r="6232">
      <c r="A6232" s="7" t="s">
        <v>7811</v>
      </c>
      <c r="B6232" s="5" t="s">
        <v>15763</v>
      </c>
      <c r="C6232" s="5" t="s">
        <v>23418</v>
      </c>
      <c r="D6232" s="5" t="str">
        <v>053405235110</v>
      </c>
      <c r="E6232" s="0" t="e">
        <f>+7 (911) 7702188</f>
        <v>#NAME?</v>
      </c>
      <c r="F6232" s="5" t="s">
        <v>43562</v>
      </c>
      <c r="G6232" s="5"/>
      <c r="H6232" s="26">
        <v>4.5</v>
      </c>
      <c r="I6232" s="5" t="s">
        <v>43563</v>
      </c>
      <c r="J6232" s="5" t="s">
        <v>364</v>
      </c>
      <c r="K6232" s="5" t="s">
        <v>355</v>
      </c>
      <c r="L6232" s="5"/>
      <c r="M6232" s="27"/>
      <c r="N6232" s="5" t="s">
        <v>58672</v>
      </c>
      <c r="O6232" s="5" t="str">
        <v>7810738712</v>
      </c>
      <c r="P6232" s="27">
        <v>10000</v>
      </c>
      <c r="Q6232" s="5"/>
      <c r="R6232" s="5"/>
      <c r="S6232" s="5" t="s">
        <v>49991</v>
      </c>
      <c r="T6232" s="28">
        <v>5274434000</v>
      </c>
      <c r="U6232" s="28">
        <v>1348965000</v>
      </c>
      <c r="V6232" s="28">
        <v>290559000</v>
      </c>
      <c r="W6232" s="28"/>
      <c r="X6232" s="28">
        <v>3175035000</v>
      </c>
      <c r="Y6232" s="28">
        <v>11946705000</v>
      </c>
      <c r="Z6232" s="28">
        <v>7359642000</v>
      </c>
      <c r="AA6232" s="28">
        <v>529863000</v>
      </c>
      <c r="AB6232" s="28">
        <v>78631000</v>
      </c>
      <c r="AC6232" s="28">
        <v>4054244000</v>
      </c>
      <c r="AD6232" s="28">
        <v>7359642000</v>
      </c>
      <c r="AE6232" s="28">
        <v>16268542000</v>
      </c>
      <c r="AF6232" s="28">
        <v>5582324000</v>
      </c>
      <c r="AG6232" s="11"/>
    </row>
    <row r="6233">
      <c r="A6233" s="7" t="s">
        <v>7812</v>
      </c>
      <c r="B6233" s="5" t="s">
        <v>15764</v>
      </c>
      <c r="C6233" s="5" t="s">
        <v>23419</v>
      </c>
      <c r="D6233" s="5" t="str">
        <v>773708116749</v>
      </c>
      <c r="E6233" s="0" t="e">
        <f>+7 (495) 7221328
+7 (495) 6262323
+7 (495) 7221305
+7 (495) 7221321
+7 (499) 1521820
+7 (499) 4028009
+7 (499) 7221305
+7 (499) 7221321
+7 (800) 3500596</f>
        <v>#NAME?</v>
      </c>
      <c r="F6233" s="5" t="s">
        <v>43564</v>
      </c>
      <c r="G6233" s="5"/>
      <c r="H6233" s="26">
        <v>16.5</v>
      </c>
      <c r="I6233" s="5" t="s">
        <v>43565</v>
      </c>
      <c r="J6233" s="5" t="s">
        <v>445</v>
      </c>
      <c r="K6233" s="5" t="s">
        <v>344</v>
      </c>
      <c r="L6233" s="5" t="s">
        <v>43566</v>
      </c>
      <c r="M6233" s="27">
        <v>420300</v>
      </c>
      <c r="N6233" s="5"/>
      <c r="O6233" s="5" t="str">
        <v>7723592506</v>
      </c>
      <c r="P6233" s="27">
        <v>24010000</v>
      </c>
      <c r="Q6233" s="5" t="s">
        <v>49414</v>
      </c>
      <c r="R6233" s="5"/>
      <c r="S6233" s="5" t="s">
        <v>58673</v>
      </c>
      <c r="T6233" s="28">
        <v>397380000</v>
      </c>
      <c r="U6233" s="28"/>
      <c r="V6233" s="28">
        <v>421970000</v>
      </c>
      <c r="W6233" s="28">
        <v>3050000</v>
      </c>
      <c r="X6233" s="28">
        <v>162645000</v>
      </c>
      <c r="Y6233" s="28">
        <v>2438670000</v>
      </c>
      <c r="Z6233" s="28">
        <v>273005000</v>
      </c>
      <c r="AA6233" s="28">
        <v>68081000</v>
      </c>
      <c r="AB6233" s="28">
        <v>568287000</v>
      </c>
      <c r="AC6233" s="28">
        <v>2012195000</v>
      </c>
      <c r="AD6233" s="28">
        <v>358394000</v>
      </c>
      <c r="AE6233" s="28">
        <v>5883748000</v>
      </c>
      <c r="AF6233" s="28">
        <v>22718000</v>
      </c>
      <c r="AG6233" s="11"/>
    </row>
    <row r="6234">
      <c r="A6234" s="7" t="s">
        <v>7813</v>
      </c>
      <c r="B6234" s="5" t="s">
        <v>15765</v>
      </c>
      <c r="C6234" s="5" t="s">
        <v>19422</v>
      </c>
      <c r="D6234" s="5" t="str">
        <v>760304626407</v>
      </c>
      <c r="E6234" s="0" t="e">
        <f>+7 (800) 3338330
+7 (495) 2800122
+7 (495) 6800122</f>
        <v>#NAME?</v>
      </c>
      <c r="F6234" s="5"/>
      <c r="G6234" s="5"/>
      <c r="H6234" s="26">
        <v>10.5</v>
      </c>
      <c r="I6234" s="5" t="s">
        <v>43567</v>
      </c>
      <c r="J6234" s="5" t="s">
        <v>373</v>
      </c>
      <c r="K6234" s="5" t="s">
        <v>344</v>
      </c>
      <c r="L6234" s="5" t="s">
        <v>43568</v>
      </c>
      <c r="M6234" s="27"/>
      <c r="N6234" s="5" t="s">
        <v>58674</v>
      </c>
      <c r="O6234" s="5" t="str">
        <v>7713750464</v>
      </c>
      <c r="P6234" s="27">
        <v>20000</v>
      </c>
      <c r="Q6234" s="5" t="s">
        <v>58675</v>
      </c>
      <c r="R6234" s="5"/>
      <c r="S6234" s="5" t="s">
        <v>49496</v>
      </c>
      <c r="T6234" s="28">
        <v>1676000</v>
      </c>
      <c r="U6234" s="28"/>
      <c r="V6234" s="28">
        <v>3227537000</v>
      </c>
      <c r="W6234" s="28"/>
      <c r="X6234" s="28">
        <v>79605000</v>
      </c>
      <c r="Y6234" s="28">
        <v>3365254000</v>
      </c>
      <c r="Z6234" s="28">
        <v>1607125000</v>
      </c>
      <c r="AA6234" s="28"/>
      <c r="AB6234" s="28"/>
      <c r="AC6234" s="28">
        <v>1757123000</v>
      </c>
      <c r="AD6234" s="28">
        <v>1607150000</v>
      </c>
      <c r="AE6234" s="28">
        <v>21820441000</v>
      </c>
      <c r="AF6234" s="28">
        <v>507730000</v>
      </c>
      <c r="AG6234" s="11"/>
    </row>
    <row r="6235">
      <c r="A6235" s="7" t="s">
        <v>7814</v>
      </c>
      <c r="B6235" s="5" t="s">
        <v>15766</v>
      </c>
      <c r="C6235" s="5" t="s">
        <v>23420</v>
      </c>
      <c r="D6235" s="5" t="str">
        <v>340502713626</v>
      </c>
      <c r="E6235" s="0" t="e">
        <f>+7 (927) 5115115
+7 (844) 2263891
+7 (844) 2515115
+7 (844) 2577999
+7 (902) 3116578
+7 (937) 7368583
+7 (960) 8903000</f>
        <v>#NAME?</v>
      </c>
      <c r="F6235" s="5" t="s">
        <v>43569</v>
      </c>
      <c r="G6235" s="5" t="s">
        <v>43570</v>
      </c>
      <c r="H6235" s="26">
        <v>8.5</v>
      </c>
      <c r="I6235" s="5" t="s">
        <v>43571</v>
      </c>
      <c r="J6235" s="5" t="s">
        <v>25262</v>
      </c>
      <c r="K6235" s="5" t="s">
        <v>344</v>
      </c>
      <c r="L6235" s="5" t="s">
        <v>43572</v>
      </c>
      <c r="M6235" s="27"/>
      <c r="N6235" s="5"/>
      <c r="O6235" s="5" t="str">
        <v>3443932671</v>
      </c>
      <c r="P6235" s="27">
        <v>40000</v>
      </c>
      <c r="Q6235" s="5" t="s">
        <v>49217</v>
      </c>
      <c r="R6235" s="5"/>
      <c r="S6235" s="5" t="s">
        <v>58676</v>
      </c>
      <c r="T6235" s="28">
        <v>172948000</v>
      </c>
      <c r="U6235" s="28"/>
      <c r="V6235" s="28">
        <v>2477423000</v>
      </c>
      <c r="W6235" s="28">
        <v>148807000</v>
      </c>
      <c r="X6235" s="28">
        <v>7876000</v>
      </c>
      <c r="Y6235" s="28">
        <v>3443793000</v>
      </c>
      <c r="Z6235" s="28">
        <v>1068942000</v>
      </c>
      <c r="AA6235" s="28"/>
      <c r="AB6235" s="28">
        <v>1153952000</v>
      </c>
      <c r="AC6235" s="28">
        <v>2131893000</v>
      </c>
      <c r="AD6235" s="28">
        <v>1068982000</v>
      </c>
      <c r="AE6235" s="28">
        <v>4295785000</v>
      </c>
      <c r="AF6235" s="28">
        <v>270779000</v>
      </c>
      <c r="AG6235" s="11"/>
    </row>
    <row r="6236">
      <c r="A6236" s="7" t="s">
        <v>7815</v>
      </c>
      <c r="B6236" s="5" t="s">
        <v>15767</v>
      </c>
      <c r="C6236" s="5" t="s">
        <v>23421</v>
      </c>
      <c r="D6236" s="5" t="str">
        <v>272208554234</v>
      </c>
      <c r="E6236" s="0" t="e">
        <f>+7 (812) 2453000
+7 (499) 2292424
+7 (800) 7079277
+7 (906) 2283339
+7 (911) 9240516</f>
        <v>#NAME?</v>
      </c>
      <c r="F6236" s="5" t="s">
        <v>43573</v>
      </c>
      <c r="G6236" s="5" t="s">
        <v>43574</v>
      </c>
      <c r="H6236" s="26">
        <v>7</v>
      </c>
      <c r="I6236" s="5" t="s">
        <v>43575</v>
      </c>
      <c r="J6236" s="5" t="s">
        <v>26918</v>
      </c>
      <c r="K6236" s="5" t="s">
        <v>344</v>
      </c>
      <c r="L6236" s="5" t="s">
        <v>43576</v>
      </c>
      <c r="M6236" s="27">
        <v>1210814</v>
      </c>
      <c r="N6236" s="5" t="s">
        <v>58677</v>
      </c>
      <c r="O6236" s="5" t="str">
        <v>7811602746</v>
      </c>
      <c r="P6236" s="27">
        <v>100000</v>
      </c>
      <c r="Q6236" s="5" t="s">
        <v>49059</v>
      </c>
      <c r="R6236" s="5"/>
      <c r="S6236" s="5" t="s">
        <v>58678</v>
      </c>
      <c r="T6236" s="28">
        <v>91209000</v>
      </c>
      <c r="U6236" s="28"/>
      <c r="V6236" s="28">
        <v>492242000</v>
      </c>
      <c r="W6236" s="28">
        <v>3000000</v>
      </c>
      <c r="X6236" s="28">
        <v>43632000</v>
      </c>
      <c r="Y6236" s="28">
        <v>770036000</v>
      </c>
      <c r="Z6236" s="28">
        <v>550055000</v>
      </c>
      <c r="AA6236" s="28"/>
      <c r="AB6236" s="28"/>
      <c r="AC6236" s="28">
        <v>108857000</v>
      </c>
      <c r="AD6236" s="28">
        <v>550155000</v>
      </c>
      <c r="AE6236" s="28">
        <v>3194004000</v>
      </c>
      <c r="AF6236" s="28">
        <v>288952000</v>
      </c>
      <c r="AG6236" s="11"/>
    </row>
    <row r="6237">
      <c r="A6237" s="7" t="s">
        <v>7816</v>
      </c>
      <c r="B6237" s="5" t="s">
        <v>15768</v>
      </c>
      <c r="C6237" s="5" t="s">
        <v>23422</v>
      </c>
      <c r="D6237" s="5" t="str">
        <v>551400002666</v>
      </c>
      <c r="E6237" s="0" t="e">
        <f>+7 (381) 2999556
+7 (382) 2456321
+7 (383) 2452486
+7 (913) 9597870
+7 (951) 4004953
+7 (913) 6376461
+7 (953) 3912914</f>
        <v>#NAME?</v>
      </c>
      <c r="F6237" s="5" t="s">
        <v>43577</v>
      </c>
      <c r="G6237" s="5"/>
      <c r="H6237" s="26">
        <v>23.5</v>
      </c>
      <c r="I6237" s="5" t="s">
        <v>43578</v>
      </c>
      <c r="J6237" s="5" t="s">
        <v>25259</v>
      </c>
      <c r="K6237" s="5" t="s">
        <v>355</v>
      </c>
      <c r="L6237" s="5" t="s">
        <v>664</v>
      </c>
      <c r="M6237" s="27">
        <v>96284</v>
      </c>
      <c r="N6237" s="5" t="s">
        <v>58679</v>
      </c>
      <c r="O6237" s="5" t="str">
        <v>5501053274</v>
      </c>
      <c r="P6237" s="27">
        <v>10000</v>
      </c>
      <c r="Q6237" s="5" t="s">
        <v>49579</v>
      </c>
      <c r="R6237" s="5"/>
      <c r="S6237" s="5" t="s">
        <v>58680</v>
      </c>
      <c r="T6237" s="28">
        <v>28717000</v>
      </c>
      <c r="U6237" s="28"/>
      <c r="V6237" s="28">
        <v>15603000</v>
      </c>
      <c r="W6237" s="28"/>
      <c r="X6237" s="28">
        <v>16937000</v>
      </c>
      <c r="Y6237" s="28">
        <v>870919000</v>
      </c>
      <c r="Z6237" s="28">
        <v>3097000</v>
      </c>
      <c r="AA6237" s="28"/>
      <c r="AB6237" s="28">
        <v>158596000</v>
      </c>
      <c r="AC6237" s="28">
        <v>867812000</v>
      </c>
      <c r="AD6237" s="28">
        <v>3107000</v>
      </c>
      <c r="AE6237" s="28">
        <v>3258281000</v>
      </c>
      <c r="AF6237" s="28">
        <v>3020000</v>
      </c>
      <c r="AG6237" s="11"/>
    </row>
    <row r="6238">
      <c r="A6238" s="7" t="s">
        <v>7817</v>
      </c>
      <c r="B6238" s="5" t="s">
        <v>15769</v>
      </c>
      <c r="C6238" s="5" t="s">
        <v>23423</v>
      </c>
      <c r="D6238" s="5" t="str">
        <v>720603878728</v>
      </c>
      <c r="E6238" s="0" t="e">
        <f>+7 (495) 7475910
+7 (495) 9997985</f>
        <v>#NAME?</v>
      </c>
      <c r="F6238" s="5"/>
      <c r="G6238" s="5"/>
      <c r="H6238" s="26">
        <v>9.5</v>
      </c>
      <c r="I6238" s="5" t="s">
        <v>43579</v>
      </c>
      <c r="J6238" s="5" t="s">
        <v>25337</v>
      </c>
      <c r="K6238" s="5" t="s">
        <v>344</v>
      </c>
      <c r="L6238" s="5" t="s">
        <v>43580</v>
      </c>
      <c r="M6238" s="27"/>
      <c r="N6238" s="5"/>
      <c r="O6238" s="5" t="str">
        <v>7736660930</v>
      </c>
      <c r="P6238" s="27">
        <v>20000</v>
      </c>
      <c r="Q6238" s="5" t="s">
        <v>49021</v>
      </c>
      <c r="R6238" s="5"/>
      <c r="S6238" s="5" t="s">
        <v>58681</v>
      </c>
      <c r="T6238" s="28">
        <v>3808000</v>
      </c>
      <c r="U6238" s="28"/>
      <c r="V6238" s="28">
        <v>2045747000</v>
      </c>
      <c r="W6238" s="28">
        <v>29800000</v>
      </c>
      <c r="X6238" s="28">
        <v>69314000</v>
      </c>
      <c r="Y6238" s="28">
        <v>3187637000</v>
      </c>
      <c r="Z6238" s="28">
        <v>324336000</v>
      </c>
      <c r="AA6238" s="28">
        <v>182717000</v>
      </c>
      <c r="AB6238" s="28">
        <v>368359000</v>
      </c>
      <c r="AC6238" s="28">
        <v>2664359000</v>
      </c>
      <c r="AD6238" s="28">
        <v>324356000</v>
      </c>
      <c r="AE6238" s="28">
        <v>5016955000</v>
      </c>
      <c r="AF6238" s="28">
        <v>90385000</v>
      </c>
      <c r="AG6238" s="11"/>
    </row>
    <row r="6239">
      <c r="A6239" s="7" t="s">
        <v>7818</v>
      </c>
      <c r="B6239" s="5" t="s">
        <v>15770</v>
      </c>
      <c r="C6239" s="5" t="s">
        <v>18865</v>
      </c>
      <c r="D6239" s="5" t="str">
        <v>253605464850</v>
      </c>
      <c r="F6239" s="5"/>
      <c r="G6239" s="5"/>
      <c r="H6239" s="26">
        <v>1.5</v>
      </c>
      <c r="I6239" s="5" t="s">
        <v>43581</v>
      </c>
      <c r="J6239" s="5" t="s">
        <v>678</v>
      </c>
      <c r="K6239" s="5" t="s">
        <v>344</v>
      </c>
      <c r="L6239" s="5"/>
      <c r="M6239" s="27"/>
      <c r="N6239" s="5"/>
      <c r="O6239" s="5" t="str">
        <v>2540263343</v>
      </c>
      <c r="P6239" s="27">
        <v>50000000</v>
      </c>
      <c r="Q6239" s="5" t="s">
        <v>58682</v>
      </c>
      <c r="R6239" s="5"/>
      <c r="S6239" s="5" t="s">
        <v>49047</v>
      </c>
      <c r="T6239" s="28">
        <v>274000</v>
      </c>
      <c r="U6239" s="28"/>
      <c r="V6239" s="28">
        <v>663647000</v>
      </c>
      <c r="W6239" s="28">
        <v>116519000</v>
      </c>
      <c r="X6239" s="28">
        <v>64001000</v>
      </c>
      <c r="Y6239" s="28">
        <v>1427641000</v>
      </c>
      <c r="Z6239" s="28">
        <v>588207000</v>
      </c>
      <c r="AA6239" s="28">
        <v>211550000</v>
      </c>
      <c r="AB6239" s="28">
        <v>49280000</v>
      </c>
      <c r="AC6239" s="28">
        <v>577277000</v>
      </c>
      <c r="AD6239" s="28">
        <v>638207000</v>
      </c>
      <c r="AE6239" s="28">
        <v>4769319000</v>
      </c>
      <c r="AF6239" s="28">
        <v>588004000</v>
      </c>
      <c r="AG6239" s="11"/>
    </row>
    <row r="6240">
      <c r="A6240" s="7" t="s">
        <v>7819</v>
      </c>
      <c r="B6240" s="5" t="s">
        <v>15771</v>
      </c>
      <c r="C6240" s="5" t="s">
        <v>23424</v>
      </c>
      <c r="D6240" s="5" t="str">
        <v>027411378531</v>
      </c>
      <c r="E6240" s="0" t="e">
        <f>+7 (937) 3229578
+7 (968) 3289988</f>
        <v>#NAME?</v>
      </c>
      <c r="F6240" s="5"/>
      <c r="G6240" s="5" t="s">
        <v>43582</v>
      </c>
      <c r="H6240" s="26">
        <v>6.5</v>
      </c>
      <c r="I6240" s="5"/>
      <c r="J6240" s="5" t="s">
        <v>693</v>
      </c>
      <c r="K6240" s="5" t="s">
        <v>344</v>
      </c>
      <c r="L6240" s="5" t="s">
        <v>43583</v>
      </c>
      <c r="M6240" s="27"/>
      <c r="N6240" s="5"/>
      <c r="O6240" s="5" t="str">
        <v>0275909104</v>
      </c>
      <c r="P6240" s="27">
        <v>30000</v>
      </c>
      <c r="Q6240" s="5"/>
      <c r="R6240" s="5"/>
      <c r="S6240" s="5" t="s">
        <v>49110</v>
      </c>
      <c r="T6240" s="28">
        <v>29000</v>
      </c>
      <c r="U6240" s="28"/>
      <c r="V6240" s="28">
        <v>193987000</v>
      </c>
      <c r="W6240" s="28">
        <v>11970000</v>
      </c>
      <c r="X6240" s="28">
        <v>230871000</v>
      </c>
      <c r="Y6240" s="28">
        <v>1011526000</v>
      </c>
      <c r="Z6240" s="28">
        <v>18899000</v>
      </c>
      <c r="AA6240" s="28">
        <v>784181000</v>
      </c>
      <c r="AB6240" s="28">
        <v>19766000</v>
      </c>
      <c r="AC6240" s="28">
        <v>208355000</v>
      </c>
      <c r="AD6240" s="28">
        <v>18929000</v>
      </c>
      <c r="AE6240" s="28">
        <v>4120204000</v>
      </c>
      <c r="AF6240" s="28">
        <v>92039000</v>
      </c>
      <c r="AG6240" s="11"/>
    </row>
    <row r="6241">
      <c r="A6241" s="7" t="s">
        <v>7820</v>
      </c>
      <c r="B6241" s="5" t="s">
        <v>15772</v>
      </c>
      <c r="C6241" s="5" t="s">
        <v>23425</v>
      </c>
      <c r="D6241" s="5" t="str">
        <v>771977429993</v>
      </c>
      <c r="E6241" s="0" t="e">
        <f>+7 (968) 3289988</f>
        <v>#NAME?</v>
      </c>
      <c r="F6241" s="5"/>
      <c r="G6241" s="5"/>
      <c r="H6241" s="26">
        <v>6.5</v>
      </c>
      <c r="I6241" s="5"/>
      <c r="J6241" s="5" t="s">
        <v>693</v>
      </c>
      <c r="K6241" s="5" t="s">
        <v>344</v>
      </c>
      <c r="L6241" s="5" t="s">
        <v>43584</v>
      </c>
      <c r="M6241" s="27"/>
      <c r="N6241" s="5"/>
      <c r="O6241" s="5" t="str">
        <v>7716839978</v>
      </c>
      <c r="P6241" s="27">
        <v>30000</v>
      </c>
      <c r="Q6241" s="5" t="s">
        <v>49009</v>
      </c>
      <c r="R6241" s="5"/>
      <c r="S6241" s="5" t="s">
        <v>49010</v>
      </c>
      <c r="T6241" s="28">
        <v>97671000</v>
      </c>
      <c r="U6241" s="28"/>
      <c r="V6241" s="28">
        <v>269396000</v>
      </c>
      <c r="W6241" s="28">
        <v>187000</v>
      </c>
      <c r="X6241" s="28">
        <v>333963000</v>
      </c>
      <c r="Y6241" s="28">
        <v>2350818000</v>
      </c>
      <c r="Z6241" s="28">
        <v>59557000</v>
      </c>
      <c r="AA6241" s="28">
        <v>1595660000</v>
      </c>
      <c r="AB6241" s="28">
        <v>42312000</v>
      </c>
      <c r="AC6241" s="28">
        <v>695444000</v>
      </c>
      <c r="AD6241" s="28">
        <v>59587000</v>
      </c>
      <c r="AE6241" s="28">
        <v>16151939000</v>
      </c>
      <c r="AF6241" s="28">
        <v>411693000</v>
      </c>
      <c r="AG6241" s="11"/>
    </row>
    <row r="6242">
      <c r="A6242" s="7" t="s">
        <v>7821</v>
      </c>
      <c r="B6242" s="5" t="s">
        <v>15773</v>
      </c>
      <c r="C6242" s="5" t="s">
        <v>23426</v>
      </c>
      <c r="D6242" s="5" t="str">
        <v>781123258178</v>
      </c>
      <c r="E6242" s="0" t="e">
        <f>+7 (812) 3202213
+7 (968) 3289988</f>
        <v>#NAME?</v>
      </c>
      <c r="F6242" s="5" t="s">
        <v>43585</v>
      </c>
      <c r="G6242" s="5" t="s">
        <v>43586</v>
      </c>
      <c r="H6242" s="26">
        <v>6.5</v>
      </c>
      <c r="I6242" s="5"/>
      <c r="J6242" s="5" t="s">
        <v>693</v>
      </c>
      <c r="K6242" s="5" t="s">
        <v>344</v>
      </c>
      <c r="L6242" s="5"/>
      <c r="M6242" s="27"/>
      <c r="N6242" s="5"/>
      <c r="O6242" s="5" t="str">
        <v>7810627949</v>
      </c>
      <c r="P6242" s="27">
        <v>30000</v>
      </c>
      <c r="Q6242" s="5" t="s">
        <v>49009</v>
      </c>
      <c r="R6242" s="5"/>
      <c r="S6242" s="5" t="s">
        <v>49010</v>
      </c>
      <c r="T6242" s="28">
        <v>19169000</v>
      </c>
      <c r="U6242" s="28"/>
      <c r="V6242" s="28">
        <v>240211000</v>
      </c>
      <c r="W6242" s="28">
        <v>4375000</v>
      </c>
      <c r="X6242" s="28">
        <v>146338000</v>
      </c>
      <c r="Y6242" s="28">
        <v>1188152000</v>
      </c>
      <c r="Z6242" s="28">
        <v>18238000</v>
      </c>
      <c r="AA6242" s="28">
        <v>495893000</v>
      </c>
      <c r="AB6242" s="28">
        <v>12287000</v>
      </c>
      <c r="AC6242" s="28">
        <v>673547000</v>
      </c>
      <c r="AD6242" s="28">
        <v>18268000</v>
      </c>
      <c r="AE6242" s="28">
        <v>6986806000</v>
      </c>
      <c r="AF6242" s="28">
        <v>109085000</v>
      </c>
      <c r="AG6242" s="11"/>
    </row>
    <row r="6243">
      <c r="A6243" s="7" t="s">
        <v>7822</v>
      </c>
      <c r="B6243" s="5" t="s">
        <v>15774</v>
      </c>
      <c r="C6243" s="5" t="s">
        <v>23427</v>
      </c>
      <c r="D6243" s="5" t="str">
        <v>540607523000</v>
      </c>
      <c r="E6243" s="0" t="e">
        <f>+7 (923) 1120300
+7 (968) 3289988</f>
        <v>#NAME?</v>
      </c>
      <c r="F6243" s="5" t="s">
        <v>43587</v>
      </c>
      <c r="G6243" s="5"/>
      <c r="H6243" s="26">
        <v>6.5</v>
      </c>
      <c r="I6243" s="5"/>
      <c r="J6243" s="5" t="s">
        <v>693</v>
      </c>
      <c r="K6243" s="5" t="s">
        <v>344</v>
      </c>
      <c r="L6243" s="5" t="s">
        <v>43588</v>
      </c>
      <c r="M6243" s="27"/>
      <c r="N6243" s="5"/>
      <c r="O6243" s="5" t="str">
        <v>5404047910</v>
      </c>
      <c r="P6243" s="27">
        <v>30000</v>
      </c>
      <c r="Q6243" s="5" t="s">
        <v>49009</v>
      </c>
      <c r="R6243" s="5"/>
      <c r="S6243" s="5" t="s">
        <v>49010</v>
      </c>
      <c r="T6243" s="28">
        <v>803000</v>
      </c>
      <c r="U6243" s="28"/>
      <c r="V6243" s="28">
        <v>330003000</v>
      </c>
      <c r="W6243" s="28">
        <v>2747000</v>
      </c>
      <c r="X6243" s="28">
        <v>72490000</v>
      </c>
      <c r="Y6243" s="28">
        <v>1772738000</v>
      </c>
      <c r="Z6243" s="28">
        <v>-144870000</v>
      </c>
      <c r="AA6243" s="28">
        <v>1432000000</v>
      </c>
      <c r="AB6243" s="28">
        <v>36032000</v>
      </c>
      <c r="AC6243" s="28">
        <v>485478000</v>
      </c>
      <c r="AD6243" s="28">
        <v>-144840000</v>
      </c>
      <c r="AE6243" s="28">
        <v>8746971000</v>
      </c>
      <c r="AF6243" s="28">
        <v>-1794000</v>
      </c>
      <c r="AG6243" s="11"/>
    </row>
    <row r="6244">
      <c r="A6244" s="7" t="s">
        <v>7823</v>
      </c>
      <c r="B6244" s="5" t="s">
        <v>15775</v>
      </c>
      <c r="C6244" s="5" t="s">
        <v>19100</v>
      </c>
      <c r="D6244" s="5" t="str">
        <v>784810641095</v>
      </c>
      <c r="E6244" s="0" t="e">
        <f>+7 (495) 7414818
+7 (495) 7414817
+7 (495) 9894764
+7 (812) 4497070</f>
        <v>#NAME?</v>
      </c>
      <c r="F6244" s="5" t="s">
        <v>43589</v>
      </c>
      <c r="G6244" s="5" t="s">
        <v>43590</v>
      </c>
      <c r="H6244" s="26">
        <v>18.5</v>
      </c>
      <c r="I6244" s="5"/>
      <c r="J6244" s="5" t="s">
        <v>947</v>
      </c>
      <c r="K6244" s="5" t="s">
        <v>344</v>
      </c>
      <c r="L6244" s="5" t="s">
        <v>43591</v>
      </c>
      <c r="M6244" s="27">
        <v>1087339623</v>
      </c>
      <c r="N6244" s="5" t="s">
        <v>58683</v>
      </c>
      <c r="O6244" s="5" t="str">
        <v>7714572888</v>
      </c>
      <c r="P6244" s="27">
        <v>5800000</v>
      </c>
      <c r="Q6244" s="5" t="s">
        <v>58684</v>
      </c>
      <c r="R6244" s="5" t="s">
        <v>58685</v>
      </c>
      <c r="S6244" s="5" t="s">
        <v>51316</v>
      </c>
      <c r="T6244" s="28">
        <v>7213026000</v>
      </c>
      <c r="U6244" s="28"/>
      <c r="V6244" s="28">
        <v>80120810000</v>
      </c>
      <c r="W6244" s="28"/>
      <c r="X6244" s="28">
        <v>1739619000</v>
      </c>
      <c r="Y6244" s="28">
        <v>127699883000</v>
      </c>
      <c r="Z6244" s="28">
        <v>5406537000</v>
      </c>
      <c r="AA6244" s="28">
        <v>7775876000</v>
      </c>
      <c r="AB6244" s="28"/>
      <c r="AC6244" s="28">
        <v>109589014000</v>
      </c>
      <c r="AD6244" s="28">
        <v>5412627000</v>
      </c>
      <c r="AE6244" s="28">
        <v>191518170000</v>
      </c>
      <c r="AF6244" s="28">
        <v>2538773000</v>
      </c>
      <c r="AG6244" s="11"/>
    </row>
    <row r="6245">
      <c r="A6245" s="7" t="s">
        <v>7824</v>
      </c>
      <c r="B6245" s="5" t="s">
        <v>15776</v>
      </c>
      <c r="C6245" s="5" t="s">
        <v>23428</v>
      </c>
      <c r="D6245" s="5" t="str">
        <v>504793026703</v>
      </c>
      <c r="F6245" s="5"/>
      <c r="G6245" s="5"/>
      <c r="H6245" s="26">
        <v>10</v>
      </c>
      <c r="I6245" s="5" t="s">
        <v>43592</v>
      </c>
      <c r="J6245" s="5" t="s">
        <v>25550</v>
      </c>
      <c r="K6245" s="5" t="s">
        <v>355</v>
      </c>
      <c r="L6245" s="5"/>
      <c r="M6245" s="27"/>
      <c r="N6245" s="5" t="s">
        <v>58686</v>
      </c>
      <c r="O6245" s="5" t="str">
        <v>5024134330</v>
      </c>
      <c r="P6245" s="27">
        <v>50000</v>
      </c>
      <c r="Q6245" s="5" t="s">
        <v>49009</v>
      </c>
      <c r="R6245" s="5"/>
      <c r="S6245" s="5" t="s">
        <v>50310</v>
      </c>
      <c r="T6245" s="28">
        <v>100809000</v>
      </c>
      <c r="U6245" s="28">
        <v>257822000</v>
      </c>
      <c r="V6245" s="28">
        <v>4125941000</v>
      </c>
      <c r="W6245" s="28"/>
      <c r="X6245" s="28">
        <v>4753000</v>
      </c>
      <c r="Y6245" s="28">
        <v>14756969000</v>
      </c>
      <c r="Z6245" s="28">
        <v>-149878000</v>
      </c>
      <c r="AA6245" s="28">
        <v>1302496000</v>
      </c>
      <c r="AB6245" s="28">
        <v>27555000</v>
      </c>
      <c r="AC6245" s="28">
        <v>13549883000</v>
      </c>
      <c r="AD6245" s="28">
        <v>-149828000</v>
      </c>
      <c r="AE6245" s="28">
        <v>9891841000</v>
      </c>
      <c r="AF6245" s="28">
        <v>1107984000</v>
      </c>
      <c r="AG6245" s="11"/>
    </row>
    <row r="6246">
      <c r="A6246" s="7" t="s">
        <v>7825</v>
      </c>
      <c r="B6246" s="5" t="s">
        <v>15777</v>
      </c>
      <c r="C6246" s="5" t="s">
        <v>23429</v>
      </c>
      <c r="D6246" s="5" t="str">
        <v>771800005331</v>
      </c>
      <c r="E6246" s="0" t="e">
        <f>+7 (495) 9881884
+7 (495) 2230113
+7 (495) 6608844
+7 (495) 7201411
+7 (495) 7398636
+7 (495) 7398642
+7 (495) 7398645
+7 (495) 7847383
+7 (495) 7852500
+7 (495) 7852516
+7 (495) 7940122
+7 (495) 9710122
+7 (495) 9740122
+7 (800) 2500725
+7 (800) 5554905</f>
        <v>#NAME?</v>
      </c>
      <c r="F6246" s="5"/>
      <c r="G6246" s="5"/>
      <c r="H6246" s="26">
        <v>19.5</v>
      </c>
      <c r="I6246" s="5"/>
      <c r="J6246" s="5" t="s">
        <v>25738</v>
      </c>
      <c r="K6246" s="5" t="s">
        <v>380</v>
      </c>
      <c r="L6246" s="5" t="s">
        <v>43593</v>
      </c>
      <c r="M6246" s="27"/>
      <c r="N6246" s="5"/>
      <c r="O6246" s="5" t="str">
        <v>7717145242</v>
      </c>
      <c r="P6246" s="27">
        <v>20000000</v>
      </c>
      <c r="Q6246" s="5" t="s">
        <v>49009</v>
      </c>
      <c r="R6246" s="5"/>
      <c r="S6246" s="5" t="s">
        <v>49408</v>
      </c>
      <c r="T6246" s="28">
        <v>7193305000</v>
      </c>
      <c r="U6246" s="28">
        <v>210308000</v>
      </c>
      <c r="V6246" s="28">
        <v>610396000</v>
      </c>
      <c r="W6246" s="28"/>
      <c r="X6246" s="28">
        <v>559090000</v>
      </c>
      <c r="Y6246" s="28">
        <v>11673632000</v>
      </c>
      <c r="Z6246" s="28">
        <v>1106999000</v>
      </c>
      <c r="AA6246" s="28"/>
      <c r="AB6246" s="28">
        <v>2019619000</v>
      </c>
      <c r="AC6246" s="28">
        <v>5500749000</v>
      </c>
      <c r="AD6246" s="28">
        <v>1129999000</v>
      </c>
      <c r="AE6246" s="28">
        <v>9584073000</v>
      </c>
      <c r="AF6246" s="28">
        <v>533277000</v>
      </c>
      <c r="AG6246" s="11"/>
    </row>
    <row r="6247">
      <c r="A6247" s="7" t="s">
        <v>7826</v>
      </c>
      <c r="B6247" s="5" t="s">
        <v>15778</v>
      </c>
      <c r="C6247" s="5" t="s">
        <v>23430</v>
      </c>
      <c r="D6247" s="5" t="str">
        <v>771818089332</v>
      </c>
      <c r="F6247" s="5"/>
      <c r="G6247" s="5"/>
      <c r="H6247" s="26">
        <v>7</v>
      </c>
      <c r="I6247" s="5" t="s">
        <v>37366</v>
      </c>
      <c r="J6247" s="5" t="s">
        <v>26165</v>
      </c>
      <c r="K6247" s="5" t="s">
        <v>344</v>
      </c>
      <c r="L6247" s="5"/>
      <c r="M6247" s="27"/>
      <c r="N6247" s="5"/>
      <c r="O6247" s="5" t="str">
        <v>7728339546</v>
      </c>
      <c r="P6247" s="27">
        <v>10000</v>
      </c>
      <c r="Q6247" s="5" t="s">
        <v>52260</v>
      </c>
      <c r="R6247" s="5"/>
      <c r="S6247" s="5" t="s">
        <v>58687</v>
      </c>
      <c r="T6247" s="28">
        <v>1977509000</v>
      </c>
      <c r="U6247" s="28"/>
      <c r="V6247" s="28">
        <v>559004000</v>
      </c>
      <c r="W6247" s="28">
        <v>67885000</v>
      </c>
      <c r="X6247" s="28">
        <v>2208699000</v>
      </c>
      <c r="Y6247" s="28">
        <v>7857764000</v>
      </c>
      <c r="Z6247" s="28">
        <v>593337000</v>
      </c>
      <c r="AA6247" s="28"/>
      <c r="AB6247" s="28">
        <v>4951000</v>
      </c>
      <c r="AC6247" s="28">
        <v>5037734000</v>
      </c>
      <c r="AD6247" s="28">
        <v>593347000</v>
      </c>
      <c r="AE6247" s="28">
        <v>18479805000</v>
      </c>
      <c r="AF6247" s="28">
        <v>729170000</v>
      </c>
      <c r="AG6247" s="11"/>
    </row>
    <row r="6248">
      <c r="A6248" s="7" t="s">
        <v>7827</v>
      </c>
      <c r="B6248" s="5" t="s">
        <v>15779</v>
      </c>
      <c r="C6248" s="5" t="s">
        <v>23431</v>
      </c>
      <c r="D6248" s="5" t="str">
        <v>502710951505</v>
      </c>
      <c r="E6248" s="0" t="e">
        <f>+7 (495) 6891333
+7 (495) 6892081
+7 (495) 6896432
+7 (495) 6896505
+7 (495) 6898055
+7 (495) 9742936
+7 (495) 4500805
+7 (495) 6893515
+7 (495) 9742891
+7 (495) 9746365
+7 (495) 9747319
+7 (495) 9747559</f>
        <v>#NAME?</v>
      </c>
      <c r="F6248" s="5" t="s">
        <v>43594</v>
      </c>
      <c r="G6248" s="5" t="s">
        <v>43595</v>
      </c>
      <c r="H6248" s="26">
        <v>17</v>
      </c>
      <c r="I6248" s="5"/>
      <c r="J6248" s="5" t="s">
        <v>26165</v>
      </c>
      <c r="K6248" s="5" t="s">
        <v>344</v>
      </c>
      <c r="L6248" s="5" t="s">
        <v>43596</v>
      </c>
      <c r="M6248" s="27">
        <v>324845</v>
      </c>
      <c r="N6248" s="5"/>
      <c r="O6248" s="5" t="str">
        <v>7743919164</v>
      </c>
      <c r="P6248" s="27">
        <v>1928006500</v>
      </c>
      <c r="Q6248" s="5" t="s">
        <v>58688</v>
      </c>
      <c r="R6248" s="5"/>
      <c r="S6248" s="5" t="s">
        <v>52115</v>
      </c>
      <c r="T6248" s="28">
        <v>468383000</v>
      </c>
      <c r="U6248" s="28">
        <v>868980000</v>
      </c>
      <c r="V6248" s="28">
        <v>411722000</v>
      </c>
      <c r="W6248" s="28">
        <v>2614000000</v>
      </c>
      <c r="X6248" s="28">
        <v>891572000</v>
      </c>
      <c r="Y6248" s="28">
        <v>5998743000</v>
      </c>
      <c r="Z6248" s="28">
        <v>3397499000</v>
      </c>
      <c r="AA6248" s="28"/>
      <c r="AB6248" s="28"/>
      <c r="AC6248" s="28">
        <v>596559000</v>
      </c>
      <c r="AD6248" s="28">
        <v>5327246000</v>
      </c>
      <c r="AE6248" s="28">
        <v>3487492000</v>
      </c>
      <c r="AF6248" s="28">
        <v>1132267000</v>
      </c>
      <c r="AG6248" s="11"/>
    </row>
    <row r="6249">
      <c r="A6249" s="7" t="s">
        <v>7828</v>
      </c>
      <c r="B6249" s="5" t="s">
        <v>15780</v>
      </c>
      <c r="C6249" s="5" t="s">
        <v>23432</v>
      </c>
      <c r="D6249" s="5" t="str">
        <v>774399102040</v>
      </c>
      <c r="E6249" s="0" t="e">
        <f>+7 (495) 7857369
+7 (495) 7859371
+7 (495) 7859372
+7 (495) 7859373
+7 (495) 9450945
+7 (499) 1908697
+7 (800) 3508939
+7 (985) 9976305</f>
        <v>#NAME?</v>
      </c>
      <c r="F6249" s="5" t="s">
        <v>43597</v>
      </c>
      <c r="G6249" s="5" t="s">
        <v>43598</v>
      </c>
      <c r="H6249" s="26">
        <v>11</v>
      </c>
      <c r="I6249" s="5" t="s">
        <v>43599</v>
      </c>
      <c r="J6249" s="5" t="s">
        <v>33986</v>
      </c>
      <c r="K6249" s="5" t="s">
        <v>344</v>
      </c>
      <c r="L6249" s="5" t="s">
        <v>43600</v>
      </c>
      <c r="M6249" s="27">
        <v>16852595</v>
      </c>
      <c r="N6249" s="5" t="s">
        <v>58689</v>
      </c>
      <c r="O6249" s="5" t="str">
        <v>7715899269</v>
      </c>
      <c r="P6249" s="27">
        <v>1200000</v>
      </c>
      <c r="Q6249" s="5" t="s">
        <v>49009</v>
      </c>
      <c r="R6249" s="5"/>
      <c r="S6249" s="5" t="s">
        <v>51061</v>
      </c>
      <c r="T6249" s="28">
        <v>67327000</v>
      </c>
      <c r="U6249" s="28"/>
      <c r="V6249" s="28">
        <v>924270000</v>
      </c>
      <c r="W6249" s="28"/>
      <c r="X6249" s="28">
        <v>16240000</v>
      </c>
      <c r="Y6249" s="28">
        <v>1483434000</v>
      </c>
      <c r="Z6249" s="28">
        <v>159527000</v>
      </c>
      <c r="AA6249" s="28"/>
      <c r="AB6249" s="28">
        <v>458702000</v>
      </c>
      <c r="AC6249" s="28">
        <v>1092707000</v>
      </c>
      <c r="AD6249" s="28">
        <v>391261000</v>
      </c>
      <c r="AE6249" s="28">
        <v>3792333000</v>
      </c>
      <c r="AF6249" s="28">
        <v>60791000</v>
      </c>
      <c r="AG6249" s="11"/>
    </row>
    <row r="6250">
      <c r="A6250" s="7" t="s">
        <v>7829</v>
      </c>
      <c r="B6250" s="5" t="s">
        <v>15781</v>
      </c>
      <c r="C6250" s="5" t="s">
        <v>23433</v>
      </c>
      <c r="D6250" s="5" t="str">
        <v>711606305689</v>
      </c>
      <c r="E6250" s="0" t="e">
        <f>+7 (495) 3908512
+7 (495) 3939926
+7 (495) 9843440
+7 (800) 3014343
+7 (903) 1092480
+7 (910) 5517055
+7 (919) 7286566</f>
        <v>#NAME?</v>
      </c>
      <c r="F6250" s="5" t="s">
        <v>43601</v>
      </c>
      <c r="G6250" s="5" t="s">
        <v>43602</v>
      </c>
      <c r="H6250" s="26">
        <v>31</v>
      </c>
      <c r="I6250" s="5" t="s">
        <v>43603</v>
      </c>
      <c r="J6250" s="5" t="s">
        <v>28053</v>
      </c>
      <c r="K6250" s="5" t="s">
        <v>344</v>
      </c>
      <c r="L6250" s="5"/>
      <c r="M6250" s="27"/>
      <c r="N6250" s="5"/>
      <c r="O6250" s="5" t="str">
        <v>7705005321</v>
      </c>
      <c r="P6250" s="27">
        <v>115182819</v>
      </c>
      <c r="Q6250" s="5" t="s">
        <v>49021</v>
      </c>
      <c r="R6250" s="5"/>
      <c r="S6250" s="5" t="s">
        <v>51713</v>
      </c>
      <c r="T6250" s="28">
        <v>790529000</v>
      </c>
      <c r="U6250" s="28"/>
      <c r="V6250" s="28">
        <v>1034706000</v>
      </c>
      <c r="W6250" s="28">
        <v>205371000</v>
      </c>
      <c r="X6250" s="28">
        <v>2628291000</v>
      </c>
      <c r="Y6250" s="28">
        <v>5156516000</v>
      </c>
      <c r="Z6250" s="28">
        <v>2494498000</v>
      </c>
      <c r="AA6250" s="28">
        <v>30000000</v>
      </c>
      <c r="AB6250" s="28"/>
      <c r="AC6250" s="28">
        <v>1564137000</v>
      </c>
      <c r="AD6250" s="28">
        <v>2849129000</v>
      </c>
      <c r="AE6250" s="28">
        <v>58672282000</v>
      </c>
      <c r="AF6250" s="28">
        <v>948141000</v>
      </c>
      <c r="AG6250" s="11"/>
    </row>
    <row r="6251">
      <c r="A6251" s="7" t="s">
        <v>7830</v>
      </c>
      <c r="B6251" s="5" t="s">
        <v>15782</v>
      </c>
      <c r="C6251" s="5" t="s">
        <v>23434</v>
      </c>
      <c r="D6251" s="5" t="str">
        <v>772134602406</v>
      </c>
      <c r="E6251" s="0" t="e">
        <f>+7 (495) 3306625
+7 (495) 3354424
+7 (495) 4628853
+7 (495) 6209754
+7 (495) 6248853
+7 (495) 9428853
+7 (495) 6209731
+7 (925) 5435194</f>
        <v>#NAME?</v>
      </c>
      <c r="F6251" s="5" t="s">
        <v>43604</v>
      </c>
      <c r="G6251" s="5" t="s">
        <v>43605</v>
      </c>
      <c r="H6251" s="26">
        <v>30.5</v>
      </c>
      <c r="I6251" s="5" t="s">
        <v>43606</v>
      </c>
      <c r="J6251" s="5" t="s">
        <v>25429</v>
      </c>
      <c r="K6251" s="5" t="s">
        <v>344</v>
      </c>
      <c r="L6251" s="5" t="s">
        <v>43607</v>
      </c>
      <c r="M6251" s="27"/>
      <c r="N6251" s="5" t="s">
        <v>58691</v>
      </c>
      <c r="O6251" s="5" t="str">
        <v>7704047449</v>
      </c>
      <c r="P6251" s="27">
        <v>1218000</v>
      </c>
      <c r="Q6251" s="5" t="s">
        <v>58692</v>
      </c>
      <c r="R6251" s="5"/>
      <c r="S6251" s="5" t="s">
        <v>58693</v>
      </c>
      <c r="T6251" s="28">
        <v>79379000</v>
      </c>
      <c r="U6251" s="28">
        <v>100000</v>
      </c>
      <c r="V6251" s="28">
        <v>465093000</v>
      </c>
      <c r="W6251" s="28"/>
      <c r="X6251" s="28">
        <v>121377000</v>
      </c>
      <c r="Y6251" s="28">
        <v>1454133000</v>
      </c>
      <c r="Z6251" s="28">
        <v>808152000</v>
      </c>
      <c r="AA6251" s="28"/>
      <c r="AB6251" s="28"/>
      <c r="AC6251" s="28">
        <v>644763000</v>
      </c>
      <c r="AD6251" s="28">
        <v>809370000</v>
      </c>
      <c r="AE6251" s="28">
        <v>4995650000</v>
      </c>
      <c r="AF6251" s="28">
        <v>553698000</v>
      </c>
      <c r="AG6251" s="11"/>
    </row>
    <row r="6252">
      <c r="A6252" s="7" t="s">
        <v>7831</v>
      </c>
      <c r="B6252" s="5" t="s">
        <v>15783</v>
      </c>
      <c r="C6252" s="5" t="s">
        <v>23435</v>
      </c>
      <c r="D6252" s="5" t="str">
        <v>770407533292</v>
      </c>
      <c r="E6252" s="0" t="e">
        <f>+7 (812) 2440923
+7 (921) 4080250
+7 (812) 2922200
+7 (911) 9256090
+7 (921) 6387507</f>
        <v>#NAME?</v>
      </c>
      <c r="F6252" s="5"/>
      <c r="G6252" s="5"/>
      <c r="H6252" s="26">
        <v>10.5</v>
      </c>
      <c r="I6252" s="5" t="s">
        <v>43608</v>
      </c>
      <c r="J6252" s="5" t="s">
        <v>25219</v>
      </c>
      <c r="K6252" s="5" t="s">
        <v>344</v>
      </c>
      <c r="L6252" s="5" t="s">
        <v>43609</v>
      </c>
      <c r="M6252" s="27"/>
      <c r="N6252" s="5"/>
      <c r="O6252" s="5" t="str">
        <v>7813548100</v>
      </c>
      <c r="P6252" s="27">
        <v>530000</v>
      </c>
      <c r="Q6252" s="5"/>
      <c r="R6252" s="5"/>
      <c r="S6252" s="5" t="s">
        <v>49425</v>
      </c>
      <c r="T6252" s="28">
        <v>8753000</v>
      </c>
      <c r="U6252" s="28"/>
      <c r="V6252" s="28">
        <v>51667000</v>
      </c>
      <c r="W6252" s="28"/>
      <c r="X6252" s="28">
        <v>409742000</v>
      </c>
      <c r="Y6252" s="28">
        <v>772530000</v>
      </c>
      <c r="Z6252" s="28">
        <v>60010000</v>
      </c>
      <c r="AA6252" s="28"/>
      <c r="AB6252" s="28"/>
      <c r="AC6252" s="28">
        <v>638839000</v>
      </c>
      <c r="AD6252" s="28">
        <v>133691000</v>
      </c>
      <c r="AE6252" s="28">
        <v>3827517000</v>
      </c>
      <c r="AF6252" s="28">
        <v>-104024000</v>
      </c>
      <c r="AG6252" s="11"/>
    </row>
    <row r="6253">
      <c r="A6253" s="7" t="s">
        <v>7832</v>
      </c>
      <c r="B6253" s="5" t="s">
        <v>15784</v>
      </c>
      <c r="C6253" s="5" t="s">
        <v>23436</v>
      </c>
      <c r="D6253" s="5" t="str">
        <v>234500461940</v>
      </c>
      <c r="E6253" s="0" t="e">
        <f>+7 (495) 9332400
+7 (495) 9379550</f>
        <v>#NAME?</v>
      </c>
      <c r="F6253" s="5" t="s">
        <v>43610</v>
      </c>
      <c r="G6253" s="5"/>
      <c r="H6253" s="26">
        <v>20.5</v>
      </c>
      <c r="I6253" s="5" t="s">
        <v>43611</v>
      </c>
      <c r="J6253" s="5" t="s">
        <v>445</v>
      </c>
      <c r="K6253" s="5" t="s">
        <v>344</v>
      </c>
      <c r="L6253" s="5" t="s">
        <v>43612</v>
      </c>
      <c r="M6253" s="27">
        <v>10641</v>
      </c>
      <c r="N6253" s="5"/>
      <c r="O6253" s="5" t="str">
        <v>7731169647</v>
      </c>
      <c r="P6253" s="27">
        <v>120000</v>
      </c>
      <c r="Q6253" s="5" t="s">
        <v>49009</v>
      </c>
      <c r="R6253" s="5"/>
      <c r="S6253" s="5" t="s">
        <v>49010</v>
      </c>
      <c r="T6253" s="28">
        <v>127589000</v>
      </c>
      <c r="U6253" s="28">
        <v>2560856000</v>
      </c>
      <c r="V6253" s="28">
        <v>4341968000</v>
      </c>
      <c r="W6253" s="28"/>
      <c r="X6253" s="28">
        <v>331676000</v>
      </c>
      <c r="Y6253" s="28">
        <v>9031862000</v>
      </c>
      <c r="Z6253" s="28">
        <v>5652806000</v>
      </c>
      <c r="AA6253" s="28">
        <v>711488000</v>
      </c>
      <c r="AB6253" s="28"/>
      <c r="AC6253" s="28">
        <v>2631580000</v>
      </c>
      <c r="AD6253" s="28">
        <v>5652926000</v>
      </c>
      <c r="AE6253" s="28">
        <v>12853513000</v>
      </c>
      <c r="AF6253" s="28">
        <v>2928498000</v>
      </c>
      <c r="AG6253" s="11"/>
    </row>
    <row r="6254">
      <c r="A6254" s="7" t="s">
        <v>7833</v>
      </c>
      <c r="B6254" s="5" t="s">
        <v>15785</v>
      </c>
      <c r="C6254" s="5" t="s">
        <v>23437</v>
      </c>
      <c r="D6254" s="5" t="str">
        <v>502600015510</v>
      </c>
      <c r="E6254" s="0" t="e">
        <f>+7 (495) 1278388
+7 (495) 4673423
+7 (495) 9801990
+7 (916) 7432342
+7 (925) 82659
+7 (926) 6622439
+7 (927) 9583207
+7 (495) 5648917
+7 (495) 7815078
+7 (495) 7815079
+7 (495) 7815477
+7 (495) 7815478
+7 (495) 9333993
+7 (495) 9811991</f>
        <v>#NAME?</v>
      </c>
      <c r="F6254" s="5" t="s">
        <v>43613</v>
      </c>
      <c r="G6254" s="5" t="s">
        <v>43614</v>
      </c>
      <c r="H6254" s="26">
        <v>23</v>
      </c>
      <c r="I6254" s="5" t="s">
        <v>43615</v>
      </c>
      <c r="J6254" s="5" t="s">
        <v>25670</v>
      </c>
      <c r="K6254" s="5" t="s">
        <v>344</v>
      </c>
      <c r="L6254" s="5" t="s">
        <v>43616</v>
      </c>
      <c r="M6254" s="27">
        <v>943272831</v>
      </c>
      <c r="N6254" s="5" t="s">
        <v>58695</v>
      </c>
      <c r="O6254" s="5" t="str">
        <v>7710329843</v>
      </c>
      <c r="P6254" s="27">
        <v>50000000</v>
      </c>
      <c r="Q6254" s="5" t="s">
        <v>58696</v>
      </c>
      <c r="R6254" s="5"/>
      <c r="S6254" s="5" t="s">
        <v>58697</v>
      </c>
      <c r="T6254" s="28">
        <v>87689000</v>
      </c>
      <c r="U6254" s="28">
        <v>1006000</v>
      </c>
      <c r="V6254" s="28">
        <v>13806510000</v>
      </c>
      <c r="W6254" s="28">
        <v>1859804000</v>
      </c>
      <c r="X6254" s="28">
        <v>1007976000</v>
      </c>
      <c r="Y6254" s="28">
        <v>17687772000</v>
      </c>
      <c r="Z6254" s="28">
        <v>1895137000</v>
      </c>
      <c r="AA6254" s="28">
        <v>12994943000</v>
      </c>
      <c r="AB6254" s="28">
        <v>957502000</v>
      </c>
      <c r="AC6254" s="28">
        <v>2424735000</v>
      </c>
      <c r="AD6254" s="28">
        <v>1945137000</v>
      </c>
      <c r="AE6254" s="28">
        <v>3820682000</v>
      </c>
      <c r="AF6254" s="28">
        <v>383757000</v>
      </c>
      <c r="AG6254" s="11"/>
    </row>
    <row r="6255">
      <c r="A6255" s="7" t="s">
        <v>7834</v>
      </c>
      <c r="B6255" s="5" t="s">
        <v>15786</v>
      </c>
      <c r="C6255" s="5" t="s">
        <v>23438</v>
      </c>
      <c r="D6255" s="5" t="str">
        <v>771911401556</v>
      </c>
      <c r="E6255" s="0" t="e">
        <f>+7 (903) 5186460
+7 (495) 3983980
+7 (495) 7991633
+7 (499) 3983980</f>
        <v>#NAME?</v>
      </c>
      <c r="F6255" s="5"/>
      <c r="G6255" s="5" t="s">
        <v>43617</v>
      </c>
      <c r="H6255" s="26">
        <v>8.5</v>
      </c>
      <c r="I6255" s="5" t="s">
        <v>43618</v>
      </c>
      <c r="J6255" s="5" t="s">
        <v>364</v>
      </c>
      <c r="K6255" s="5" t="s">
        <v>344</v>
      </c>
      <c r="L6255" s="5" t="s">
        <v>33032</v>
      </c>
      <c r="M6255" s="27"/>
      <c r="N6255" s="5"/>
      <c r="O6255" s="5" t="str">
        <v>5027218927</v>
      </c>
      <c r="P6255" s="27">
        <v>20000</v>
      </c>
      <c r="Q6255" s="5" t="s">
        <v>58698</v>
      </c>
      <c r="R6255" s="5"/>
      <c r="S6255" s="5" t="s">
        <v>58699</v>
      </c>
      <c r="T6255" s="28">
        <v>145729000</v>
      </c>
      <c r="U6255" s="28"/>
      <c r="V6255" s="28">
        <v>865540000</v>
      </c>
      <c r="W6255" s="28"/>
      <c r="X6255" s="28">
        <v>86747000</v>
      </c>
      <c r="Y6255" s="28">
        <v>1422880000</v>
      </c>
      <c r="Z6255" s="28">
        <v>87120000</v>
      </c>
      <c r="AA6255" s="28"/>
      <c r="AB6255" s="28">
        <v>3854000</v>
      </c>
      <c r="AC6255" s="28">
        <v>1223309000</v>
      </c>
      <c r="AD6255" s="28">
        <v>87140000</v>
      </c>
      <c r="AE6255" s="28">
        <v>3960256000</v>
      </c>
      <c r="AF6255" s="28">
        <v>87145000</v>
      </c>
      <c r="AG6255" s="11"/>
    </row>
    <row r="6256">
      <c r="A6256" s="7" t="s">
        <v>7835</v>
      </c>
      <c r="B6256" s="5" t="s">
        <v>15787</v>
      </c>
      <c r="C6256" s="5" t="s">
        <v>23439</v>
      </c>
      <c r="D6256" s="5" t="str">
        <v>501700373606</v>
      </c>
      <c r="E6256" s="0" t="e">
        <f>+7 (916) 6972185
+7 (905) 7623606
+7 (495) 9946232
+7 (495) 9946363
+7 (496) 3146808
+7 (4983) 155019
+7 (916) 2010163
+7 (916) 5532434</f>
        <v>#NAME?</v>
      </c>
      <c r="F6256" s="5" t="s">
        <v>43619</v>
      </c>
      <c r="G6256" s="5" t="s">
        <v>43620</v>
      </c>
      <c r="H6256" s="26">
        <v>29.5</v>
      </c>
      <c r="I6256" s="5" t="s">
        <v>43621</v>
      </c>
      <c r="J6256" s="5" t="s">
        <v>364</v>
      </c>
      <c r="K6256" s="5" t="s">
        <v>344</v>
      </c>
      <c r="L6256" s="5" t="s">
        <v>43622</v>
      </c>
      <c r="M6256" s="27"/>
      <c r="N6256" s="5"/>
      <c r="O6256" s="5" t="str">
        <v>5017024859</v>
      </c>
      <c r="P6256" s="27">
        <v>10000</v>
      </c>
      <c r="Q6256" s="5"/>
      <c r="R6256" s="5"/>
      <c r="S6256" s="5" t="s">
        <v>49125</v>
      </c>
      <c r="T6256" s="28">
        <v>64890000</v>
      </c>
      <c r="U6256" s="28"/>
      <c r="V6256" s="28">
        <v>1175044000</v>
      </c>
      <c r="W6256" s="28">
        <v>13951000</v>
      </c>
      <c r="X6256" s="28">
        <v>1083759000</v>
      </c>
      <c r="Y6256" s="28">
        <v>2657766000</v>
      </c>
      <c r="Z6256" s="28">
        <v>607323000</v>
      </c>
      <c r="AA6256" s="28"/>
      <c r="AB6256" s="28">
        <v>30000000</v>
      </c>
      <c r="AC6256" s="28">
        <v>2050433000</v>
      </c>
      <c r="AD6256" s="28">
        <v>607333000</v>
      </c>
      <c r="AE6256" s="28">
        <v>3008503000</v>
      </c>
      <c r="AF6256" s="28">
        <v>104810000</v>
      </c>
      <c r="AG6256" s="11"/>
    </row>
    <row r="6257">
      <c r="A6257" s="7" t="s">
        <v>7836</v>
      </c>
      <c r="B6257" s="5" t="s">
        <v>15788</v>
      </c>
      <c r="C6257" s="5" t="s">
        <v>21269</v>
      </c>
      <c r="D6257" s="5" t="str">
        <v>519043675741</v>
      </c>
      <c r="E6257" s="0" t="e">
        <f>+7 (815) 2288180
+7 (815) 2288198
+7 (815) 2288290
+7 (815) 2459894
+7 (815) 2994899</f>
        <v>#NAME?</v>
      </c>
      <c r="F6257" s="5" t="s">
        <v>43623</v>
      </c>
      <c r="G6257" s="5"/>
      <c r="H6257" s="26">
        <v>25.5</v>
      </c>
      <c r="I6257" s="5" t="s">
        <v>43624</v>
      </c>
      <c r="J6257" s="5" t="s">
        <v>26424</v>
      </c>
      <c r="K6257" s="5" t="s">
        <v>344</v>
      </c>
      <c r="L6257" s="5" t="s">
        <v>43625</v>
      </c>
      <c r="M6257" s="27"/>
      <c r="N6257" s="5" t="s">
        <v>57657</v>
      </c>
      <c r="O6257" s="5" t="str">
        <v>5191407604</v>
      </c>
      <c r="P6257" s="27">
        <v>3937600</v>
      </c>
      <c r="Q6257" s="5"/>
      <c r="R6257" s="5" t="s">
        <v>58700</v>
      </c>
      <c r="S6257" s="5" t="s">
        <v>49029</v>
      </c>
      <c r="T6257" s="28">
        <v>2976330000</v>
      </c>
      <c r="U6257" s="28">
        <v>147724000</v>
      </c>
      <c r="V6257" s="28">
        <v>1730160000</v>
      </c>
      <c r="W6257" s="28"/>
      <c r="X6257" s="28">
        <v>31146000</v>
      </c>
      <c r="Y6257" s="28">
        <v>5284583000</v>
      </c>
      <c r="Z6257" s="28">
        <v>3945719000</v>
      </c>
      <c r="AA6257" s="28"/>
      <c r="AB6257" s="28">
        <v>319799000</v>
      </c>
      <c r="AC6257" s="28">
        <v>1280722000</v>
      </c>
      <c r="AD6257" s="28">
        <v>4003861000</v>
      </c>
      <c r="AE6257" s="28">
        <v>3632575000</v>
      </c>
      <c r="AF6257" s="28">
        <v>950617000</v>
      </c>
      <c r="AG6257" s="11"/>
    </row>
    <row r="6258">
      <c r="A6258" s="7" t="s">
        <v>7837</v>
      </c>
      <c r="B6258" s="5" t="s">
        <v>15789</v>
      </c>
      <c r="C6258" s="5" t="s">
        <v>23440</v>
      </c>
      <c r="D6258" s="5" t="str">
        <v>781005483040</v>
      </c>
      <c r="E6258" s="0" t="e">
        <f>+7 (495) 9039238
+7 (495) 9255025
+7 (495) 9256666
+7 (499) 4290590
+7 (800) 2500990</f>
        <v>#NAME?</v>
      </c>
      <c r="F6258" s="5"/>
      <c r="G6258" s="5" t="s">
        <v>43626</v>
      </c>
      <c r="H6258" s="26">
        <v>13.5</v>
      </c>
      <c r="I6258" s="5" t="s">
        <v>43627</v>
      </c>
      <c r="J6258" s="5" t="s">
        <v>785</v>
      </c>
      <c r="K6258" s="5" t="s">
        <v>344</v>
      </c>
      <c r="L6258" s="5"/>
      <c r="M6258" s="27"/>
      <c r="N6258" s="5" t="s">
        <v>52386</v>
      </c>
      <c r="O6258" s="5" t="str">
        <v>7705893691</v>
      </c>
      <c r="P6258" s="27">
        <v>902022222</v>
      </c>
      <c r="Q6258" s="5" t="s">
        <v>49009</v>
      </c>
      <c r="R6258" s="5" t="s">
        <v>58701</v>
      </c>
      <c r="S6258" s="5" t="s">
        <v>49012</v>
      </c>
      <c r="T6258" s="28">
        <v>33525000</v>
      </c>
      <c r="U6258" s="28">
        <v>832014000</v>
      </c>
      <c r="V6258" s="28">
        <v>2302589000</v>
      </c>
      <c r="W6258" s="28"/>
      <c r="X6258" s="28">
        <v>141607000</v>
      </c>
      <c r="Y6258" s="28">
        <v>3695047000</v>
      </c>
      <c r="Z6258" s="28">
        <v>909027000</v>
      </c>
      <c r="AA6258" s="28"/>
      <c r="AB6258" s="28"/>
      <c r="AC6258" s="28">
        <v>1185080000</v>
      </c>
      <c r="AD6258" s="28">
        <v>2507149000</v>
      </c>
      <c r="AE6258" s="28">
        <v>4130023000</v>
      </c>
      <c r="AF6258" s="28">
        <v>222361000</v>
      </c>
      <c r="AG6258" s="11"/>
    </row>
    <row r="6259">
      <c r="A6259" s="7" t="s">
        <v>7838</v>
      </c>
      <c r="B6259" s="5" t="s">
        <v>15790</v>
      </c>
      <c r="C6259" s="5" t="s">
        <v>23441</v>
      </c>
      <c r="D6259" s="5" t="str">
        <v>690309503645</v>
      </c>
      <c r="E6259" s="0" t="e">
        <f>+7 (482) 2324244
+7 (482) 2330367
+7 (482) 2475770
+7 (910) 6483745</f>
        <v>#NAME?</v>
      </c>
      <c r="F6259" s="5"/>
      <c r="G6259" s="5"/>
      <c r="H6259" s="26">
        <v>18</v>
      </c>
      <c r="I6259" s="5" t="s">
        <v>43628</v>
      </c>
      <c r="J6259" s="5" t="s">
        <v>26511</v>
      </c>
      <c r="K6259" s="5" t="s">
        <v>344</v>
      </c>
      <c r="L6259" s="5" t="s">
        <v>43629</v>
      </c>
      <c r="M6259" s="27"/>
      <c r="N6259" s="5"/>
      <c r="O6259" s="5" t="str">
        <v>6901071632</v>
      </c>
      <c r="P6259" s="27">
        <v>10000</v>
      </c>
      <c r="Q6259" s="5"/>
      <c r="R6259" s="5"/>
      <c r="S6259" s="5" t="s">
        <v>49029</v>
      </c>
      <c r="T6259" s="28">
        <v>77544000</v>
      </c>
      <c r="U6259" s="28"/>
      <c r="V6259" s="28">
        <v>278418000</v>
      </c>
      <c r="W6259" s="28">
        <v>80500000</v>
      </c>
      <c r="X6259" s="28">
        <v>2757000</v>
      </c>
      <c r="Y6259" s="28">
        <v>611589000</v>
      </c>
      <c r="Z6259" s="28">
        <v>266513000</v>
      </c>
      <c r="AA6259" s="28">
        <v>115435000</v>
      </c>
      <c r="AB6259" s="28"/>
      <c r="AC6259" s="28">
        <v>227155000</v>
      </c>
      <c r="AD6259" s="28">
        <v>266523000</v>
      </c>
      <c r="AE6259" s="28">
        <v>8076996000</v>
      </c>
      <c r="AF6259" s="28">
        <v>228374000</v>
      </c>
      <c r="AG6259" s="11"/>
    </row>
    <row r="6260">
      <c r="A6260" s="7" t="s">
        <v>7839</v>
      </c>
      <c r="B6260" s="5" t="s">
        <v>15791</v>
      </c>
      <c r="C6260" s="5" t="s">
        <v>23442</v>
      </c>
      <c r="D6260" s="5" t="str">
        <v>780719870540</v>
      </c>
      <c r="E6260" s="0" t="e">
        <f>+7 (812) 3126569
+7 (812) 6433173</f>
        <v>#NAME?</v>
      </c>
      <c r="F6260" s="5" t="s">
        <v>43630</v>
      </c>
      <c r="G6260" s="5"/>
      <c r="H6260" s="26">
        <v>19.5</v>
      </c>
      <c r="I6260" s="5" t="s">
        <v>43631</v>
      </c>
      <c r="J6260" s="5" t="s">
        <v>26148</v>
      </c>
      <c r="K6260" s="5" t="s">
        <v>344</v>
      </c>
      <c r="L6260" s="5" t="s">
        <v>43632</v>
      </c>
      <c r="M6260" s="27">
        <v>5369989</v>
      </c>
      <c r="N6260" s="5"/>
      <c r="O6260" s="5" t="str">
        <v>7813188168</v>
      </c>
      <c r="P6260" s="27">
        <v>975250000</v>
      </c>
      <c r="Q6260" s="5" t="s">
        <v>49446</v>
      </c>
      <c r="R6260" s="5"/>
      <c r="S6260" s="5" t="s">
        <v>58702</v>
      </c>
      <c r="T6260" s="28">
        <v>601588000</v>
      </c>
      <c r="U6260" s="28"/>
      <c r="V6260" s="28">
        <v>469749000</v>
      </c>
      <c r="W6260" s="28"/>
      <c r="X6260" s="28">
        <v>3089535000</v>
      </c>
      <c r="Y6260" s="28">
        <v>17671335000</v>
      </c>
      <c r="Z6260" s="28">
        <v>6857443000</v>
      </c>
      <c r="AA6260" s="28">
        <v>3517827000</v>
      </c>
      <c r="AB6260" s="28">
        <v>338485000</v>
      </c>
      <c r="AC6260" s="28">
        <v>2373275000</v>
      </c>
      <c r="AD6260" s="28">
        <v>10459727000</v>
      </c>
      <c r="AE6260" s="28">
        <v>8032972000</v>
      </c>
      <c r="AF6260" s="28">
        <v>5355356000</v>
      </c>
      <c r="AG6260" s="11"/>
    </row>
    <row r="6261">
      <c r="A6261" s="7" t="s">
        <v>7840</v>
      </c>
      <c r="B6261" s="5" t="s">
        <v>15792</v>
      </c>
      <c r="C6261" s="5" t="s">
        <v>23443</v>
      </c>
      <c r="D6261" s="5" t="str">
        <v>501808048672</v>
      </c>
      <c r="E6261" s="0" t="e">
        <f>+7 (495) 6440200</f>
        <v>#NAME?</v>
      </c>
      <c r="F6261" s="5"/>
      <c r="G6261" s="5"/>
      <c r="H6261" s="26">
        <v>8</v>
      </c>
      <c r="I6261" s="5" t="s">
        <v>43633</v>
      </c>
      <c r="J6261" s="5" t="s">
        <v>364</v>
      </c>
      <c r="K6261" s="5" t="s">
        <v>344</v>
      </c>
      <c r="L6261" s="5"/>
      <c r="M6261" s="27"/>
      <c r="N6261" s="5"/>
      <c r="O6261" s="5" t="str">
        <v>7723387546</v>
      </c>
      <c r="P6261" s="27">
        <v>10000</v>
      </c>
      <c r="Q6261" s="5" t="s">
        <v>49009</v>
      </c>
      <c r="R6261" s="5"/>
      <c r="S6261" s="5" t="s">
        <v>49358</v>
      </c>
      <c r="T6261" s="28">
        <v>39573000</v>
      </c>
      <c r="U6261" s="28">
        <v>52533000</v>
      </c>
      <c r="V6261" s="28">
        <v>1449083000</v>
      </c>
      <c r="W6261" s="28"/>
      <c r="X6261" s="28">
        <v>383858000</v>
      </c>
      <c r="Y6261" s="28">
        <v>2160738000</v>
      </c>
      <c r="Z6261" s="28">
        <v>285465000</v>
      </c>
      <c r="AA6261" s="28">
        <v>756991000</v>
      </c>
      <c r="AB6261" s="28"/>
      <c r="AC6261" s="28">
        <v>932373000</v>
      </c>
      <c r="AD6261" s="28">
        <v>421297000</v>
      </c>
      <c r="AE6261" s="28">
        <v>5951044000</v>
      </c>
      <c r="AF6261" s="28">
        <v>157384000</v>
      </c>
      <c r="AG6261" s="11"/>
    </row>
    <row r="6262">
      <c r="A6262" s="7" t="s">
        <v>7841</v>
      </c>
      <c r="B6262" s="5" t="s">
        <v>15793</v>
      </c>
      <c r="C6262" s="5" t="s">
        <v>23444</v>
      </c>
      <c r="D6262" s="5" t="str">
        <v>772872136938</v>
      </c>
      <c r="F6262" s="5" t="s">
        <v>43634</v>
      </c>
      <c r="G6262" s="5"/>
      <c r="H6262" s="26">
        <v>12.5</v>
      </c>
      <c r="I6262" s="5" t="s">
        <v>43635</v>
      </c>
      <c r="J6262" s="5" t="s">
        <v>364</v>
      </c>
      <c r="K6262" s="5" t="s">
        <v>344</v>
      </c>
      <c r="L6262" s="5" t="s">
        <v>43636</v>
      </c>
      <c r="M6262" s="27"/>
      <c r="N6262" s="5" t="s">
        <v>58703</v>
      </c>
      <c r="O6262" s="5" t="str">
        <v>7703728420</v>
      </c>
      <c r="P6262" s="27">
        <v>30000</v>
      </c>
      <c r="Q6262" s="5" t="s">
        <v>58704</v>
      </c>
      <c r="R6262" s="5"/>
      <c r="S6262" s="5" t="s">
        <v>49227</v>
      </c>
      <c r="T6262" s="28">
        <v>6898000</v>
      </c>
      <c r="U6262" s="28">
        <v>190900000</v>
      </c>
      <c r="V6262" s="28">
        <v>6371864000</v>
      </c>
      <c r="W6262" s="28"/>
      <c r="X6262" s="28">
        <v>21271000</v>
      </c>
      <c r="Y6262" s="28">
        <v>6693242000</v>
      </c>
      <c r="Z6262" s="28">
        <v>297259000</v>
      </c>
      <c r="AA6262" s="28">
        <v>53116000</v>
      </c>
      <c r="AB6262" s="28"/>
      <c r="AC6262" s="28">
        <v>5727945000</v>
      </c>
      <c r="AD6262" s="28">
        <v>297289000</v>
      </c>
      <c r="AE6262" s="28">
        <v>13188155000</v>
      </c>
      <c r="AF6262" s="28">
        <v>114790000</v>
      </c>
      <c r="AG6262" s="11"/>
    </row>
    <row r="6263">
      <c r="A6263" s="7" t="s">
        <v>7842</v>
      </c>
      <c r="B6263" s="5" t="s">
        <v>15794</v>
      </c>
      <c r="C6263" s="5" t="s">
        <v>23445</v>
      </c>
      <c r="D6263" s="5" t="str">
        <v>231114073753</v>
      </c>
      <c r="E6263" s="0" t="e">
        <f>+7 (800) 1007581</f>
        <v>#NAME?</v>
      </c>
      <c r="F6263" s="5" t="s">
        <v>43637</v>
      </c>
      <c r="G6263" s="5"/>
      <c r="H6263" s="26">
        <v>3</v>
      </c>
      <c r="I6263" s="5" t="s">
        <v>43638</v>
      </c>
      <c r="J6263" s="5" t="s">
        <v>30976</v>
      </c>
      <c r="K6263" s="5" t="s">
        <v>355</v>
      </c>
      <c r="L6263" s="5" t="s">
        <v>43639</v>
      </c>
      <c r="M6263" s="27"/>
      <c r="N6263" s="5"/>
      <c r="O6263" s="5" t="str">
        <v>2312290690</v>
      </c>
      <c r="P6263" s="27">
        <v>10000</v>
      </c>
      <c r="Q6263" s="5" t="s">
        <v>49009</v>
      </c>
      <c r="R6263" s="5"/>
      <c r="S6263" s="5" t="s">
        <v>49010</v>
      </c>
      <c r="T6263" s="28">
        <v>179000</v>
      </c>
      <c r="U6263" s="28"/>
      <c r="V6263" s="28">
        <v>182741000</v>
      </c>
      <c r="W6263" s="28"/>
      <c r="X6263" s="28">
        <v>226528000</v>
      </c>
      <c r="Y6263" s="28">
        <v>409477000</v>
      </c>
      <c r="Z6263" s="28">
        <v>2882000</v>
      </c>
      <c r="AA6263" s="28">
        <v>225000000</v>
      </c>
      <c r="AB6263" s="28"/>
      <c r="AC6263" s="28">
        <v>181553000</v>
      </c>
      <c r="AD6263" s="28">
        <v>2892000</v>
      </c>
      <c r="AE6263" s="28">
        <v>4485689000</v>
      </c>
      <c r="AF6263" s="28">
        <v>2540000</v>
      </c>
      <c r="AG6263" s="11"/>
    </row>
    <row r="6264">
      <c r="A6264" s="7" t="s">
        <v>7843</v>
      </c>
      <c r="B6264" s="5" t="s">
        <v>15795</v>
      </c>
      <c r="C6264" s="5" t="s">
        <v>23446</v>
      </c>
      <c r="D6264" s="5" t="str">
        <v>232102401271</v>
      </c>
      <c r="E6264" s="0" t="e">
        <f>+7 (961) 5270377</f>
        <v>#NAME?</v>
      </c>
      <c r="F6264" s="5" t="s">
        <v>43640</v>
      </c>
      <c r="G6264" s="5"/>
      <c r="H6264" s="26">
        <v>15.5</v>
      </c>
      <c r="I6264" s="5" t="s">
        <v>43641</v>
      </c>
      <c r="J6264" s="5" t="s">
        <v>1095</v>
      </c>
      <c r="K6264" s="5" t="s">
        <v>344</v>
      </c>
      <c r="L6264" s="5" t="s">
        <v>43642</v>
      </c>
      <c r="M6264" s="27"/>
      <c r="N6264" s="5" t="s">
        <v>58705</v>
      </c>
      <c r="O6264" s="5" t="str">
        <v>2308134635</v>
      </c>
      <c r="P6264" s="27">
        <v>20000</v>
      </c>
      <c r="Q6264" s="5" t="s">
        <v>58706</v>
      </c>
      <c r="R6264" s="5"/>
      <c r="S6264" s="5" t="s">
        <v>58707</v>
      </c>
      <c r="T6264" s="28">
        <v>26920000</v>
      </c>
      <c r="U6264" s="28"/>
      <c r="V6264" s="28">
        <v>1884698000</v>
      </c>
      <c r="W6264" s="28">
        <v>2363000</v>
      </c>
      <c r="X6264" s="28">
        <v>129733000</v>
      </c>
      <c r="Y6264" s="28">
        <v>2044273000</v>
      </c>
      <c r="Z6264" s="28">
        <v>148718000</v>
      </c>
      <c r="AA6264" s="28"/>
      <c r="AB6264" s="28">
        <v>602000</v>
      </c>
      <c r="AC6264" s="28">
        <v>1890941000</v>
      </c>
      <c r="AD6264" s="28">
        <v>148738000</v>
      </c>
      <c r="AE6264" s="28">
        <v>5988500000</v>
      </c>
      <c r="AF6264" s="28">
        <v>26861000</v>
      </c>
      <c r="AG6264" s="11"/>
    </row>
    <row r="6265">
      <c r="A6265" s="7" t="s">
        <v>7844</v>
      </c>
      <c r="B6265" s="5" t="s">
        <v>15796</v>
      </c>
      <c r="C6265" s="5" t="s">
        <v>23447</v>
      </c>
      <c r="D6265" s="5" t="str">
        <v>860222444825</v>
      </c>
      <c r="E6265" s="0" t="e">
        <f>+7 (800) 3337719
+7 (926) 325700
+7 (345) 2275216
+7 (345) 2379037
+7 (345) 2380266
+7 (345) 2532301
+7 (345) 2532307
+7 (346) 2219494</f>
        <v>#NAME?</v>
      </c>
      <c r="F6265" s="5" t="s">
        <v>43643</v>
      </c>
      <c r="G6265" s="5" t="s">
        <v>43644</v>
      </c>
      <c r="H6265" s="26">
        <v>13</v>
      </c>
      <c r="I6265" s="5" t="s">
        <v>43645</v>
      </c>
      <c r="J6265" s="5" t="s">
        <v>27416</v>
      </c>
      <c r="K6265" s="5" t="s">
        <v>344</v>
      </c>
      <c r="L6265" s="5" t="s">
        <v>43646</v>
      </c>
      <c r="M6265" s="27">
        <v>5933000</v>
      </c>
      <c r="N6265" s="5" t="s">
        <v>58708</v>
      </c>
      <c r="O6265" s="5" t="str">
        <v>7202206247</v>
      </c>
      <c r="P6265" s="27">
        <v>500000</v>
      </c>
      <c r="Q6265" s="5" t="s">
        <v>49009</v>
      </c>
      <c r="R6265" s="5"/>
      <c r="S6265" s="5" t="s">
        <v>53405</v>
      </c>
      <c r="T6265" s="28">
        <v>1887936000</v>
      </c>
      <c r="U6265" s="28"/>
      <c r="V6265" s="28">
        <v>5783607000</v>
      </c>
      <c r="W6265" s="28"/>
      <c r="X6265" s="28">
        <v>176757000</v>
      </c>
      <c r="Y6265" s="28">
        <v>11679223000</v>
      </c>
      <c r="Z6265" s="28">
        <v>2973905000</v>
      </c>
      <c r="AA6265" s="28">
        <v>1291462000</v>
      </c>
      <c r="AB6265" s="28"/>
      <c r="AC6265" s="28">
        <v>7394795000</v>
      </c>
      <c r="AD6265" s="28">
        <v>2974405000</v>
      </c>
      <c r="AE6265" s="28">
        <v>27161368000</v>
      </c>
      <c r="AF6265" s="28">
        <v>396488000</v>
      </c>
      <c r="AG6265" s="11"/>
    </row>
    <row r="6266">
      <c r="A6266" s="7" t="s">
        <v>7845</v>
      </c>
      <c r="B6266" s="5" t="s">
        <v>15797</v>
      </c>
      <c r="C6266" s="5" t="s">
        <v>23448</v>
      </c>
      <c r="D6266" s="5" t="str">
        <v>451302395310</v>
      </c>
      <c r="E6266" s="0" t="e">
        <f>+7 (345) 2379037
+7 (345) 2684226
+7 (800) 5557733
+7 (992) 3009599</f>
        <v>#NAME?</v>
      </c>
      <c r="F6266" s="5"/>
      <c r="G6266" s="5"/>
      <c r="H6266" s="26">
        <v>14.5</v>
      </c>
      <c r="I6266" s="5" t="s">
        <v>43645</v>
      </c>
      <c r="J6266" s="5" t="s">
        <v>25190</v>
      </c>
      <c r="K6266" s="5" t="s">
        <v>344</v>
      </c>
      <c r="L6266" s="5" t="s">
        <v>43647</v>
      </c>
      <c r="M6266" s="27">
        <v>3610992</v>
      </c>
      <c r="N6266" s="5" t="s">
        <v>58709</v>
      </c>
      <c r="O6266" s="5" t="str">
        <v>7203220766</v>
      </c>
      <c r="P6266" s="27">
        <v>500000</v>
      </c>
      <c r="Q6266" s="5" t="s">
        <v>58710</v>
      </c>
      <c r="R6266" s="5"/>
      <c r="S6266" s="5" t="s">
        <v>50515</v>
      </c>
      <c r="T6266" s="28">
        <v>354056000</v>
      </c>
      <c r="U6266" s="28"/>
      <c r="V6266" s="28">
        <v>1969630000</v>
      </c>
      <c r="W6266" s="28"/>
      <c r="X6266" s="28">
        <v>310233000</v>
      </c>
      <c r="Y6266" s="28">
        <v>3340607000</v>
      </c>
      <c r="Z6266" s="28">
        <v>22205000</v>
      </c>
      <c r="AA6266" s="28"/>
      <c r="AB6266" s="28"/>
      <c r="AC6266" s="28">
        <v>3293047000</v>
      </c>
      <c r="AD6266" s="28">
        <v>22705000</v>
      </c>
      <c r="AE6266" s="28">
        <v>14332049000</v>
      </c>
      <c r="AF6266" s="28">
        <v>15331000</v>
      </c>
      <c r="AG6266" s="11"/>
    </row>
    <row r="6267">
      <c r="A6267" s="7" t="s">
        <v>7846</v>
      </c>
      <c r="B6267" s="5" t="s">
        <v>15798</v>
      </c>
      <c r="C6267" s="5" t="s">
        <v>23449</v>
      </c>
      <c r="D6267" s="5" t="str">
        <v>694909803687</v>
      </c>
      <c r="F6267" s="5"/>
      <c r="G6267" s="5"/>
      <c r="H6267" s="26">
        <v>13</v>
      </c>
      <c r="I6267" s="5" t="s">
        <v>43648</v>
      </c>
      <c r="J6267" s="5" t="s">
        <v>364</v>
      </c>
      <c r="K6267" s="5" t="s">
        <v>344</v>
      </c>
      <c r="L6267" s="5"/>
      <c r="M6267" s="27"/>
      <c r="N6267" s="5"/>
      <c r="O6267" s="5" t="str">
        <v>7715801450</v>
      </c>
      <c r="P6267" s="27">
        <v>1200000</v>
      </c>
      <c r="Q6267" s="5"/>
      <c r="R6267" s="5"/>
      <c r="S6267" s="5" t="s">
        <v>49110</v>
      </c>
      <c r="T6267" s="28">
        <v>302000000</v>
      </c>
      <c r="U6267" s="28"/>
      <c r="V6267" s="28">
        <v>428000</v>
      </c>
      <c r="W6267" s="28"/>
      <c r="X6267" s="28">
        <v>1600000</v>
      </c>
      <c r="Y6267" s="28">
        <v>304028000</v>
      </c>
      <c r="Z6267" s="28">
        <v>828000</v>
      </c>
      <c r="AA6267" s="28"/>
      <c r="AB6267" s="28"/>
      <c r="AC6267" s="28">
        <v>217000000</v>
      </c>
      <c r="AD6267" s="28">
        <v>304028000</v>
      </c>
      <c r="AE6267" s="28">
        <v>4000383000</v>
      </c>
      <c r="AF6267" s="28">
        <v>258000</v>
      </c>
      <c r="AG6267" s="11"/>
    </row>
    <row r="6268">
      <c r="A6268" s="7" t="s">
        <v>7847</v>
      </c>
      <c r="B6268" s="5" t="s">
        <v>15799</v>
      </c>
      <c r="C6268" s="5" t="s">
        <v>23450</v>
      </c>
      <c r="D6268" s="5" t="str">
        <v>772704339333</v>
      </c>
      <c r="E6268" s="0" t="e">
        <f>+7 (495) 1040449
+7 (495) 1070149</f>
        <v>#NAME?</v>
      </c>
      <c r="F6268" s="5"/>
      <c r="G6268" s="5"/>
      <c r="H6268" s="26">
        <v>17.5</v>
      </c>
      <c r="I6268" s="5" t="s">
        <v>43649</v>
      </c>
      <c r="J6268" s="5" t="s">
        <v>29860</v>
      </c>
      <c r="K6268" s="5" t="s">
        <v>344</v>
      </c>
      <c r="L6268" s="5" t="s">
        <v>43650</v>
      </c>
      <c r="M6268" s="27"/>
      <c r="N6268" s="5" t="s">
        <v>58711</v>
      </c>
      <c r="O6268" s="5" t="str">
        <v>7708571131</v>
      </c>
      <c r="P6268" s="27">
        <v>10000</v>
      </c>
      <c r="Q6268" s="5" t="s">
        <v>58712</v>
      </c>
      <c r="R6268" s="5"/>
      <c r="S6268" s="5" t="s">
        <v>58713</v>
      </c>
      <c r="T6268" s="28">
        <v>26441000</v>
      </c>
      <c r="U6268" s="28">
        <v>351708000</v>
      </c>
      <c r="V6268" s="28">
        <v>42234000</v>
      </c>
      <c r="W6268" s="28">
        <v>500000000</v>
      </c>
      <c r="X6268" s="28">
        <v>871428000</v>
      </c>
      <c r="Y6268" s="28">
        <v>3453858000</v>
      </c>
      <c r="Z6268" s="28">
        <v>2326728000</v>
      </c>
      <c r="AA6268" s="28"/>
      <c r="AB6268" s="28">
        <v>191171000</v>
      </c>
      <c r="AC6268" s="28">
        <v>1114157000</v>
      </c>
      <c r="AD6268" s="28">
        <v>2326738000</v>
      </c>
      <c r="AE6268" s="28">
        <v>3507091000</v>
      </c>
      <c r="AF6268" s="28">
        <v>877696000</v>
      </c>
      <c r="AG6268" s="11"/>
    </row>
    <row r="6269">
      <c r="A6269" s="7" t="s">
        <v>7848</v>
      </c>
      <c r="B6269" s="5" t="s">
        <v>15800</v>
      </c>
      <c r="C6269" s="5" t="s">
        <v>23451</v>
      </c>
      <c r="D6269" s="5" t="str">
        <v>072196215486</v>
      </c>
      <c r="E6269" s="0" t="e">
        <f>+7 (812) 6760000</f>
        <v>#NAME?</v>
      </c>
      <c r="F6269" s="5" t="s">
        <v>35253</v>
      </c>
      <c r="G6269" s="5"/>
      <c r="H6269" s="26">
        <v>6.5</v>
      </c>
      <c r="I6269" s="5" t="s">
        <v>35254</v>
      </c>
      <c r="J6269" s="5" t="s">
        <v>364</v>
      </c>
      <c r="K6269" s="5" t="s">
        <v>344</v>
      </c>
      <c r="L6269" s="5" t="s">
        <v>43651</v>
      </c>
      <c r="M6269" s="27"/>
      <c r="N6269" s="5"/>
      <c r="O6269" s="5" t="str">
        <v>4703147195</v>
      </c>
      <c r="P6269" s="27">
        <v>10000</v>
      </c>
      <c r="Q6269" s="5" t="s">
        <v>49561</v>
      </c>
      <c r="R6269" s="5"/>
      <c r="S6269" s="5" t="s">
        <v>53622</v>
      </c>
      <c r="T6269" s="28">
        <v>127815000</v>
      </c>
      <c r="U6269" s="28"/>
      <c r="V6269" s="28">
        <v>2230564000</v>
      </c>
      <c r="W6269" s="28"/>
      <c r="X6269" s="28">
        <v>796000</v>
      </c>
      <c r="Y6269" s="28">
        <v>4174756000</v>
      </c>
      <c r="Z6269" s="28">
        <v>1067860000</v>
      </c>
      <c r="AA6269" s="28"/>
      <c r="AB6269" s="28">
        <v>45556000</v>
      </c>
      <c r="AC6269" s="28">
        <v>3106861000</v>
      </c>
      <c r="AD6269" s="28">
        <v>1067870000</v>
      </c>
      <c r="AE6269" s="28">
        <v>10493675000</v>
      </c>
      <c r="AF6269" s="28">
        <v>414372000</v>
      </c>
      <c r="AG6269" s="11"/>
    </row>
    <row r="6270">
      <c r="A6270" s="7" t="s">
        <v>7849</v>
      </c>
      <c r="B6270" s="5" t="s">
        <v>15801</v>
      </c>
      <c r="C6270" s="5" t="s">
        <v>23452</v>
      </c>
      <c r="D6270" s="5" t="str">
        <v>771513349265</v>
      </c>
      <c r="E6270" s="0" t="e">
        <f>+7 (495) 7858869
+7 (495) 6203540</f>
        <v>#NAME?</v>
      </c>
      <c r="F6270" s="5" t="s">
        <v>43652</v>
      </c>
      <c r="G6270" s="5" t="s">
        <v>43653</v>
      </c>
      <c r="H6270" s="26">
        <v>11.5</v>
      </c>
      <c r="I6270" s="5" t="s">
        <v>43654</v>
      </c>
      <c r="J6270" s="5" t="s">
        <v>939</v>
      </c>
      <c r="K6270" s="5" t="s">
        <v>344</v>
      </c>
      <c r="L6270" s="5"/>
      <c r="M6270" s="27">
        <v>3455734</v>
      </c>
      <c r="N6270" s="5" t="s">
        <v>58714</v>
      </c>
      <c r="O6270" s="5" t="str">
        <v>7720734368</v>
      </c>
      <c r="P6270" s="27">
        <v>1000000</v>
      </c>
      <c r="Q6270" s="5" t="s">
        <v>58716</v>
      </c>
      <c r="R6270" s="5"/>
      <c r="S6270" s="5" t="s">
        <v>58717</v>
      </c>
      <c r="T6270" s="28">
        <v>32771000</v>
      </c>
      <c r="U6270" s="28"/>
      <c r="V6270" s="28">
        <v>3654990000</v>
      </c>
      <c r="W6270" s="28">
        <v>221205000</v>
      </c>
      <c r="X6270" s="28">
        <v>44530000</v>
      </c>
      <c r="Y6270" s="28">
        <v>6656835000</v>
      </c>
      <c r="Z6270" s="28">
        <v>385994000</v>
      </c>
      <c r="AA6270" s="28"/>
      <c r="AB6270" s="28">
        <v>397982000</v>
      </c>
      <c r="AC6270" s="28">
        <v>6263985000</v>
      </c>
      <c r="AD6270" s="28">
        <v>386994000</v>
      </c>
      <c r="AE6270" s="28">
        <v>7261011000</v>
      </c>
      <c r="AF6270" s="28">
        <v>149165000</v>
      </c>
      <c r="AG6270" s="11"/>
    </row>
    <row r="6271">
      <c r="A6271" s="7" t="s">
        <v>7850</v>
      </c>
      <c r="B6271" s="5" t="s">
        <v>15802</v>
      </c>
      <c r="C6271" s="5" t="s">
        <v>23453</v>
      </c>
      <c r="D6271" s="5" t="str">
        <v>027810753142</v>
      </c>
      <c r="E6271" s="0" t="e">
        <f>+7 (8432) 120341
+7 (843) 2000390
+7 (8432) 362142
+7 (917) 8511118</f>
        <v>#NAME?</v>
      </c>
      <c r="F6271" s="5" t="s">
        <v>43655</v>
      </c>
      <c r="G6271" s="5"/>
      <c r="H6271" s="26">
        <v>13</v>
      </c>
      <c r="I6271" s="5" t="s">
        <v>43656</v>
      </c>
      <c r="J6271" s="5" t="s">
        <v>467</v>
      </c>
      <c r="K6271" s="5" t="s">
        <v>344</v>
      </c>
      <c r="L6271" s="5" t="s">
        <v>43657</v>
      </c>
      <c r="M6271" s="27"/>
      <c r="N6271" s="5" t="s">
        <v>58718</v>
      </c>
      <c r="O6271" s="5" t="str">
        <v>1655192390</v>
      </c>
      <c r="P6271" s="27">
        <v>10010000</v>
      </c>
      <c r="Q6271" s="5" t="s">
        <v>58719</v>
      </c>
      <c r="R6271" s="5"/>
      <c r="S6271" s="5" t="s">
        <v>58720</v>
      </c>
      <c r="T6271" s="28">
        <v>1022011000</v>
      </c>
      <c r="U6271" s="28"/>
      <c r="V6271" s="28">
        <v>1060326000</v>
      </c>
      <c r="W6271" s="28">
        <v>46206000</v>
      </c>
      <c r="X6271" s="28">
        <v>957943000</v>
      </c>
      <c r="Y6271" s="28">
        <v>3396691000</v>
      </c>
      <c r="Z6271" s="28">
        <v>273130000</v>
      </c>
      <c r="AA6271" s="28">
        <v>98338000</v>
      </c>
      <c r="AB6271" s="28">
        <v>30026000</v>
      </c>
      <c r="AC6271" s="28">
        <v>2272744000</v>
      </c>
      <c r="AD6271" s="28">
        <v>283140000</v>
      </c>
      <c r="AE6271" s="28">
        <v>3216769000</v>
      </c>
      <c r="AF6271" s="28">
        <v>113923000</v>
      </c>
      <c r="AG6271" s="11"/>
    </row>
    <row r="6272">
      <c r="A6272" s="7" t="s">
        <v>7851</v>
      </c>
      <c r="B6272" s="5" t="s">
        <v>15803</v>
      </c>
      <c r="C6272" s="5" t="s">
        <v>23454</v>
      </c>
      <c r="D6272" s="5" t="str">
        <v>890306122164</v>
      </c>
      <c r="E6272" s="0" t="e">
        <f>+7 (495) 7392920
+7 (495) 7558081</f>
        <v>#NAME?</v>
      </c>
      <c r="F6272" s="5"/>
      <c r="G6272" s="5" t="s">
        <v>43658</v>
      </c>
      <c r="H6272" s="26">
        <v>15.5</v>
      </c>
      <c r="I6272" s="5" t="s">
        <v>43659</v>
      </c>
      <c r="J6272" s="5" t="s">
        <v>27182</v>
      </c>
      <c r="K6272" s="5" t="s">
        <v>344</v>
      </c>
      <c r="L6272" s="5" t="s">
        <v>43660</v>
      </c>
      <c r="M6272" s="27"/>
      <c r="N6272" s="5"/>
      <c r="O6272" s="5" t="str">
        <v>6674230481</v>
      </c>
      <c r="P6272" s="27">
        <v>100000000</v>
      </c>
      <c r="Q6272" s="5"/>
      <c r="R6272" s="5"/>
      <c r="S6272" s="5" t="s">
        <v>49053</v>
      </c>
      <c r="T6272" s="28">
        <v>110295000</v>
      </c>
      <c r="U6272" s="28">
        <v>585000000</v>
      </c>
      <c r="V6272" s="28">
        <v>367576000</v>
      </c>
      <c r="W6272" s="28"/>
      <c r="X6272" s="28">
        <v>248371000</v>
      </c>
      <c r="Y6272" s="28">
        <v>4622673000</v>
      </c>
      <c r="Z6272" s="28">
        <v>371626000</v>
      </c>
      <c r="AA6272" s="28">
        <v>1915633000</v>
      </c>
      <c r="AB6272" s="28"/>
      <c r="AC6272" s="28">
        <v>1705634000</v>
      </c>
      <c r="AD6272" s="28">
        <v>495366000</v>
      </c>
      <c r="AE6272" s="28">
        <v>3482393000</v>
      </c>
      <c r="AF6272" s="28">
        <v>328033000</v>
      </c>
      <c r="AG6272" s="11"/>
    </row>
    <row r="6273">
      <c r="A6273" s="7" t="s">
        <v>7852</v>
      </c>
      <c r="B6273" s="5" t="s">
        <v>10728</v>
      </c>
      <c r="C6273" s="5" t="s">
        <v>23455</v>
      </c>
      <c r="D6273" s="5" t="str">
        <v>540785770579</v>
      </c>
      <c r="E6273" s="0" t="e">
        <f>+7 (495) 3634445
+7 (495) 7875700</f>
        <v>#NAME?</v>
      </c>
      <c r="F6273" s="5" t="s">
        <v>43661</v>
      </c>
      <c r="G6273" s="5"/>
      <c r="H6273" s="26">
        <v>18</v>
      </c>
      <c r="I6273" s="5"/>
      <c r="J6273" s="5" t="s">
        <v>1081</v>
      </c>
      <c r="K6273" s="5" t="s">
        <v>344</v>
      </c>
      <c r="L6273" s="5" t="s">
        <v>43662</v>
      </c>
      <c r="M6273" s="27">
        <v>64910086</v>
      </c>
      <c r="N6273" s="5" t="s">
        <v>58721</v>
      </c>
      <c r="O6273" s="5" t="str">
        <v>7707637478</v>
      </c>
      <c r="P6273" s="27">
        <v>100000</v>
      </c>
      <c r="Q6273" s="5" t="s">
        <v>58722</v>
      </c>
      <c r="R6273" s="5" t="s">
        <v>58723</v>
      </c>
      <c r="S6273" s="5" t="s">
        <v>54702</v>
      </c>
      <c r="T6273" s="28">
        <v>2192282000</v>
      </c>
      <c r="U6273" s="28">
        <v>436208000</v>
      </c>
      <c r="V6273" s="28">
        <v>2146809000</v>
      </c>
      <c r="W6273" s="28">
        <v>12966000</v>
      </c>
      <c r="X6273" s="28">
        <v>464458000</v>
      </c>
      <c r="Y6273" s="28">
        <v>7953580000</v>
      </c>
      <c r="Z6273" s="28">
        <v>-795679000</v>
      </c>
      <c r="AA6273" s="28">
        <v>5536126000</v>
      </c>
      <c r="AB6273" s="28"/>
      <c r="AC6273" s="28">
        <v>3212005000</v>
      </c>
      <c r="AD6273" s="28">
        <v>-795564000</v>
      </c>
      <c r="AE6273" s="28">
        <v>5379622000</v>
      </c>
      <c r="AF6273" s="28">
        <v>-811397000</v>
      </c>
      <c r="AG6273" s="11"/>
    </row>
    <row r="6274">
      <c r="A6274" s="7" t="s">
        <v>7853</v>
      </c>
      <c r="B6274" s="5" t="s">
        <v>15804</v>
      </c>
      <c r="C6274" s="5" t="s">
        <v>23456</v>
      </c>
      <c r="D6274" s="5" t="str">
        <v>744800334533</v>
      </c>
      <c r="E6274" s="0" t="e">
        <f>+7 (3512) 222020
+7 (3512) 253290
+7 (35134) 43371
+7 (35134) 43661
+7 (35134) 49961
+7 (900) 604942
+7 (904) 3019493
+7 (904) 3031964
+7 (904) 9719650
+7 (905) 8372661
+7 (908) 507307
+7 (908) 577401
+7 (908) 857260
+7 (908) 5779894
+7 (912) 836665</f>
        <v>#NAME?</v>
      </c>
      <c r="F6274" s="5" t="s">
        <v>43663</v>
      </c>
      <c r="G6274" s="5" t="s">
        <v>43664</v>
      </c>
      <c r="H6274" s="26">
        <v>8.5</v>
      </c>
      <c r="I6274" s="5" t="s">
        <v>43665</v>
      </c>
      <c r="J6274" s="5" t="s">
        <v>693</v>
      </c>
      <c r="K6274" s="5" t="s">
        <v>355</v>
      </c>
      <c r="L6274" s="5" t="s">
        <v>43666</v>
      </c>
      <c r="M6274" s="27"/>
      <c r="N6274" s="5" t="s">
        <v>58724</v>
      </c>
      <c r="O6274" s="5" t="str">
        <v>7453271996</v>
      </c>
      <c r="P6274" s="27">
        <v>10000</v>
      </c>
      <c r="Q6274" s="5" t="s">
        <v>49009</v>
      </c>
      <c r="R6274" s="5"/>
      <c r="S6274" s="5" t="s">
        <v>49028</v>
      </c>
      <c r="T6274" s="28">
        <v>8026000</v>
      </c>
      <c r="U6274" s="28">
        <v>26356000</v>
      </c>
      <c r="V6274" s="28">
        <v>222918000</v>
      </c>
      <c r="W6274" s="28">
        <v>1300000</v>
      </c>
      <c r="X6274" s="28">
        <v>34336000</v>
      </c>
      <c r="Y6274" s="28">
        <v>1508138000</v>
      </c>
      <c r="Z6274" s="28">
        <v>375319000</v>
      </c>
      <c r="AA6274" s="28"/>
      <c r="AB6274" s="28">
        <v>351118000</v>
      </c>
      <c r="AC6274" s="28">
        <v>1132809000</v>
      </c>
      <c r="AD6274" s="28">
        <v>375329000</v>
      </c>
      <c r="AE6274" s="28">
        <v>3031128000</v>
      </c>
      <c r="AF6274" s="28">
        <v>127474000</v>
      </c>
      <c r="AG6274" s="11"/>
    </row>
    <row r="6275">
      <c r="A6275" s="7" t="s">
        <v>7854</v>
      </c>
      <c r="B6275" s="5" t="s">
        <v>15805</v>
      </c>
      <c r="C6275" s="5" t="s">
        <v>23457</v>
      </c>
      <c r="D6275" s="5" t="str">
        <v>782580869405</v>
      </c>
      <c r="E6275" s="0" t="e">
        <f>+7 (921) 7660226
+7 (921) 6429180
+7 (4862) 255051
+7 (812) 3329623
+7 (812) 3329638</f>
        <v>#NAME?</v>
      </c>
      <c r="F6275" s="5" t="s">
        <v>43667</v>
      </c>
      <c r="G6275" s="5" t="s">
        <v>43668</v>
      </c>
      <c r="H6275" s="26">
        <v>28.5</v>
      </c>
      <c r="I6275" s="5" t="s">
        <v>43669</v>
      </c>
      <c r="J6275" s="5" t="s">
        <v>947</v>
      </c>
      <c r="K6275" s="5" t="s">
        <v>344</v>
      </c>
      <c r="L6275" s="5" t="s">
        <v>43670</v>
      </c>
      <c r="M6275" s="27">
        <v>35720203</v>
      </c>
      <c r="N6275" s="5" t="s">
        <v>58725</v>
      </c>
      <c r="O6275" s="5" t="str">
        <v>0601003655</v>
      </c>
      <c r="P6275" s="27">
        <v>10000</v>
      </c>
      <c r="Q6275" s="5" t="s">
        <v>58726</v>
      </c>
      <c r="R6275" s="5"/>
      <c r="S6275" s="5" t="s">
        <v>58727</v>
      </c>
      <c r="T6275" s="28">
        <v>330694000</v>
      </c>
      <c r="U6275" s="28">
        <v>8269000</v>
      </c>
      <c r="V6275" s="28">
        <v>10442462000</v>
      </c>
      <c r="W6275" s="28">
        <v>428208000</v>
      </c>
      <c r="X6275" s="28">
        <v>567690000</v>
      </c>
      <c r="Y6275" s="28">
        <v>16839141000</v>
      </c>
      <c r="Z6275" s="28">
        <v>564766000</v>
      </c>
      <c r="AA6275" s="28"/>
      <c r="AB6275" s="28">
        <v>28208000</v>
      </c>
      <c r="AC6275" s="28">
        <v>15386684000</v>
      </c>
      <c r="AD6275" s="28">
        <v>564807000</v>
      </c>
      <c r="AE6275" s="28">
        <v>10170913000</v>
      </c>
      <c r="AF6275" s="28">
        <v>36357000</v>
      </c>
      <c r="AG6275" s="11"/>
    </row>
    <row r="6276">
      <c r="A6276" s="7" t="s">
        <v>7855</v>
      </c>
      <c r="B6276" s="5" t="s">
        <v>15806</v>
      </c>
      <c r="C6276" s="5" t="s">
        <v>23458</v>
      </c>
      <c r="D6276" s="5" t="str">
        <v>784290032094</v>
      </c>
      <c r="F6276" s="5"/>
      <c r="G6276" s="5"/>
      <c r="H6276" s="26">
        <v>5.5</v>
      </c>
      <c r="I6276" s="5" t="s">
        <v>43671</v>
      </c>
      <c r="J6276" s="5" t="s">
        <v>648</v>
      </c>
      <c r="K6276" s="5" t="s">
        <v>355</v>
      </c>
      <c r="L6276" s="5"/>
      <c r="M6276" s="27"/>
      <c r="N6276" s="5" t="s">
        <v>58728</v>
      </c>
      <c r="O6276" s="5" t="str">
        <v>5112002100</v>
      </c>
      <c r="P6276" s="27">
        <v>10000</v>
      </c>
      <c r="Q6276" s="5" t="s">
        <v>49207</v>
      </c>
      <c r="R6276" s="5"/>
      <c r="S6276" s="5" t="s">
        <v>58729</v>
      </c>
      <c r="T6276" s="28"/>
      <c r="U6276" s="28"/>
      <c r="V6276" s="28"/>
      <c r="W6276" s="28"/>
      <c r="X6276" s="28"/>
      <c r="Y6276" s="28">
        <v>10000000</v>
      </c>
      <c r="Z6276" s="28"/>
      <c r="AA6276" s="28"/>
      <c r="AB6276" s="28"/>
      <c r="AC6276" s="28"/>
      <c r="AD6276" s="28">
        <v>10000000</v>
      </c>
      <c r="AE6276" s="28">
        <v>5450133000</v>
      </c>
      <c r="AF6276" s="28">
        <v>5450133000</v>
      </c>
      <c r="AG6276" s="11"/>
    </row>
    <row r="6277">
      <c r="A6277" s="7" t="s">
        <v>7856</v>
      </c>
      <c r="B6277" s="5" t="s">
        <v>15807</v>
      </c>
      <c r="C6277" s="5" t="s">
        <v>23459</v>
      </c>
      <c r="D6277" s="5" t="str">
        <v>790201991774</v>
      </c>
      <c r="E6277" s="0" t="e">
        <f>+7 (421) 2561829
+7 (421) 2565051
+7 (914) 2078030</f>
        <v>#NAME?</v>
      </c>
      <c r="F6277" s="5" t="s">
        <v>43672</v>
      </c>
      <c r="G6277" s="5"/>
      <c r="H6277" s="26">
        <v>16</v>
      </c>
      <c r="I6277" s="5" t="s">
        <v>43673</v>
      </c>
      <c r="J6277" s="5" t="s">
        <v>467</v>
      </c>
      <c r="K6277" s="5" t="s">
        <v>344</v>
      </c>
      <c r="L6277" s="5" t="s">
        <v>30296</v>
      </c>
      <c r="M6277" s="27">
        <v>82046437</v>
      </c>
      <c r="N6277" s="5" t="s">
        <v>58730</v>
      </c>
      <c r="O6277" s="5" t="str">
        <v>2724103237</v>
      </c>
      <c r="P6277" s="27">
        <v>20000</v>
      </c>
      <c r="Q6277" s="5" t="s">
        <v>58731</v>
      </c>
      <c r="R6277" s="5" t="s">
        <v>58732</v>
      </c>
      <c r="S6277" s="5" t="s">
        <v>58733</v>
      </c>
      <c r="T6277" s="28">
        <v>1658174000</v>
      </c>
      <c r="U6277" s="28">
        <v>11176000</v>
      </c>
      <c r="V6277" s="28">
        <v>1187747000</v>
      </c>
      <c r="W6277" s="28">
        <v>232000000</v>
      </c>
      <c r="X6277" s="28">
        <v>1182925000</v>
      </c>
      <c r="Y6277" s="28">
        <v>4556964000</v>
      </c>
      <c r="Z6277" s="28">
        <v>363290000</v>
      </c>
      <c r="AA6277" s="28">
        <v>159925000</v>
      </c>
      <c r="AB6277" s="28"/>
      <c r="AC6277" s="28">
        <v>3660368000</v>
      </c>
      <c r="AD6277" s="28">
        <v>363310000</v>
      </c>
      <c r="AE6277" s="28">
        <v>9368485000</v>
      </c>
      <c r="AF6277" s="28">
        <v>388120000</v>
      </c>
      <c r="AG6277" s="11"/>
    </row>
    <row r="6278">
      <c r="A6278" s="7" t="s">
        <v>7857</v>
      </c>
      <c r="B6278" s="5" t="s">
        <v>15808</v>
      </c>
      <c r="C6278" s="5" t="s">
        <v>23460</v>
      </c>
      <c r="D6278" s="5" t="str">
        <v>770700404771</v>
      </c>
      <c r="E6278" s="0" t="e">
        <f>+7 (495) 7836535
+7 (495) 7836537
+7 (381) 2407426
+7 (495) 9468800
+7 (499) 5028437
+7 (812) 2441175
+7 (812) 3330450</f>
        <v>#NAME?</v>
      </c>
      <c r="F6278" s="5" t="s">
        <v>43674</v>
      </c>
      <c r="G6278" s="5" t="s">
        <v>43675</v>
      </c>
      <c r="H6278" s="26">
        <v>19.5</v>
      </c>
      <c r="I6278" s="5" t="s">
        <v>43676</v>
      </c>
      <c r="J6278" s="5" t="s">
        <v>623</v>
      </c>
      <c r="K6278" s="5" t="s">
        <v>355</v>
      </c>
      <c r="L6278" s="5" t="s">
        <v>43677</v>
      </c>
      <c r="M6278" s="27">
        <v>354578</v>
      </c>
      <c r="N6278" s="5" t="s">
        <v>51414</v>
      </c>
      <c r="O6278" s="5" t="str">
        <v>7715380561</v>
      </c>
      <c r="P6278" s="27">
        <v>1000000</v>
      </c>
      <c r="Q6278" s="5" t="s">
        <v>58734</v>
      </c>
      <c r="R6278" s="5"/>
      <c r="S6278" s="5" t="s">
        <v>49487</v>
      </c>
      <c r="T6278" s="28">
        <v>230997000</v>
      </c>
      <c r="U6278" s="28">
        <v>16437000</v>
      </c>
      <c r="V6278" s="28">
        <v>3171111000</v>
      </c>
      <c r="W6278" s="28"/>
      <c r="X6278" s="28">
        <v>160319000</v>
      </c>
      <c r="Y6278" s="28">
        <v>3800364000</v>
      </c>
      <c r="Z6278" s="28">
        <v>1260213000</v>
      </c>
      <c r="AA6278" s="28"/>
      <c r="AB6278" s="28">
        <v>575399000</v>
      </c>
      <c r="AC6278" s="28">
        <v>2339738000</v>
      </c>
      <c r="AD6278" s="28">
        <v>1261213000</v>
      </c>
      <c r="AE6278" s="28">
        <v>4612559000</v>
      </c>
      <c r="AF6278" s="28">
        <v>2152017000</v>
      </c>
      <c r="AG6278" s="11"/>
    </row>
    <row r="6279">
      <c r="A6279" s="7" t="s">
        <v>7858</v>
      </c>
      <c r="B6279" s="5" t="s">
        <v>15809</v>
      </c>
      <c r="C6279" s="5" t="s">
        <v>23461</v>
      </c>
      <c r="D6279" s="5" t="str">
        <v>772881207166</v>
      </c>
      <c r="E6279" s="0" t="e">
        <f>+7 (916) 9900246
+7 (495) 1145057</f>
        <v>#NAME?</v>
      </c>
      <c r="F6279" s="5" t="s">
        <v>43678</v>
      </c>
      <c r="G6279" s="5" t="s">
        <v>43679</v>
      </c>
      <c r="H6279" s="26">
        <v>15</v>
      </c>
      <c r="I6279" s="5" t="s">
        <v>43680</v>
      </c>
      <c r="J6279" s="5" t="s">
        <v>678</v>
      </c>
      <c r="K6279" s="5" t="s">
        <v>344</v>
      </c>
      <c r="L6279" s="5" t="s">
        <v>43681</v>
      </c>
      <c r="M6279" s="27"/>
      <c r="N6279" s="5" t="s">
        <v>58735</v>
      </c>
      <c r="O6279" s="5" t="str">
        <v>7716597550</v>
      </c>
      <c r="P6279" s="27">
        <v>300000</v>
      </c>
      <c r="Q6279" s="5" t="s">
        <v>58736</v>
      </c>
      <c r="R6279" s="5"/>
      <c r="S6279" s="5" t="s">
        <v>58737</v>
      </c>
      <c r="T6279" s="28">
        <v>2929000</v>
      </c>
      <c r="U6279" s="28"/>
      <c r="V6279" s="28">
        <v>3344825000</v>
      </c>
      <c r="W6279" s="28"/>
      <c r="X6279" s="28">
        <v>129394000</v>
      </c>
      <c r="Y6279" s="28">
        <v>3567595000</v>
      </c>
      <c r="Z6279" s="28">
        <v>628167000</v>
      </c>
      <c r="AA6279" s="28">
        <v>502315000</v>
      </c>
      <c r="AB6279" s="28">
        <v>923832000</v>
      </c>
      <c r="AC6279" s="28">
        <v>2436080000</v>
      </c>
      <c r="AD6279" s="28">
        <v>628567000</v>
      </c>
      <c r="AE6279" s="28">
        <v>4676914000</v>
      </c>
      <c r="AF6279" s="28">
        <v>723601000</v>
      </c>
      <c r="AG6279" s="11"/>
    </row>
    <row r="6280">
      <c r="A6280" s="7" t="s">
        <v>7859</v>
      </c>
      <c r="B6280" s="5" t="s">
        <v>15810</v>
      </c>
      <c r="C6280" s="5" t="s">
        <v>23462</v>
      </c>
      <c r="D6280" s="5" t="str">
        <v>663208337236</v>
      </c>
      <c r="E6280" s="0" t="e">
        <f>+7 (495) 1379676
+7 (800) 5059619</f>
        <v>#NAME?</v>
      </c>
      <c r="F6280" s="5" t="s">
        <v>43682</v>
      </c>
      <c r="G6280" s="5"/>
      <c r="H6280" s="26">
        <v>11</v>
      </c>
      <c r="I6280" s="5" t="s">
        <v>43683</v>
      </c>
      <c r="J6280" s="5" t="s">
        <v>364</v>
      </c>
      <c r="K6280" s="5" t="s">
        <v>344</v>
      </c>
      <c r="L6280" s="5" t="s">
        <v>43684</v>
      </c>
      <c r="M6280" s="27"/>
      <c r="N6280" s="5" t="s">
        <v>58738</v>
      </c>
      <c r="O6280" s="5" t="str">
        <v>7719809555</v>
      </c>
      <c r="P6280" s="27">
        <v>1100000</v>
      </c>
      <c r="Q6280" s="5" t="s">
        <v>58739</v>
      </c>
      <c r="R6280" s="5"/>
      <c r="S6280" s="5" t="s">
        <v>58740</v>
      </c>
      <c r="T6280" s="28">
        <v>163097000</v>
      </c>
      <c r="U6280" s="28"/>
      <c r="V6280" s="28">
        <v>1065180000</v>
      </c>
      <c r="W6280" s="28"/>
      <c r="X6280" s="28">
        <v>77797000</v>
      </c>
      <c r="Y6280" s="28">
        <v>2766158000</v>
      </c>
      <c r="Z6280" s="28">
        <v>50495000</v>
      </c>
      <c r="AA6280" s="28">
        <v>10300000</v>
      </c>
      <c r="AB6280" s="28">
        <v>3051000</v>
      </c>
      <c r="AC6280" s="28">
        <v>2626536000</v>
      </c>
      <c r="AD6280" s="28">
        <v>51601000</v>
      </c>
      <c r="AE6280" s="28">
        <v>5542594000</v>
      </c>
      <c r="AF6280" s="28">
        <v>50304000</v>
      </c>
      <c r="AG6280" s="11"/>
    </row>
    <row r="6281">
      <c r="A6281" s="7" t="s">
        <v>7860</v>
      </c>
      <c r="B6281" s="5" t="s">
        <v>15811</v>
      </c>
      <c r="C6281" s="5" t="s">
        <v>23463</v>
      </c>
      <c r="D6281" s="5" t="str">
        <v>771700056526</v>
      </c>
      <c r="E6281" s="0" t="e">
        <f>+7 (495) 6626461</f>
        <v>#NAME?</v>
      </c>
      <c r="F6281" s="5" t="s">
        <v>43685</v>
      </c>
      <c r="G6281" s="5"/>
      <c r="H6281" s="26">
        <v>11.5</v>
      </c>
      <c r="I6281" s="5" t="s">
        <v>43686</v>
      </c>
      <c r="J6281" s="5" t="s">
        <v>26918</v>
      </c>
      <c r="K6281" s="5" t="s">
        <v>344</v>
      </c>
      <c r="L6281" s="5" t="s">
        <v>27161</v>
      </c>
      <c r="M6281" s="27">
        <v>38348341</v>
      </c>
      <c r="N6281" s="5" t="s">
        <v>58741</v>
      </c>
      <c r="O6281" s="5" t="str">
        <v>4401126431</v>
      </c>
      <c r="P6281" s="27">
        <v>50000</v>
      </c>
      <c r="Q6281" s="5" t="s">
        <v>58742</v>
      </c>
      <c r="R6281" s="5"/>
      <c r="S6281" s="5" t="s">
        <v>56799</v>
      </c>
      <c r="T6281" s="28">
        <v>25000</v>
      </c>
      <c r="U6281" s="28"/>
      <c r="V6281" s="28">
        <v>2380162000</v>
      </c>
      <c r="W6281" s="28">
        <v>216673000</v>
      </c>
      <c r="X6281" s="28">
        <v>175263000</v>
      </c>
      <c r="Y6281" s="28">
        <v>10670772000</v>
      </c>
      <c r="Z6281" s="28">
        <v>570479000</v>
      </c>
      <c r="AA6281" s="28">
        <v>2159000000</v>
      </c>
      <c r="AB6281" s="28">
        <v>727709000</v>
      </c>
      <c r="AC6281" s="28">
        <v>7913481000</v>
      </c>
      <c r="AD6281" s="28">
        <v>570529000</v>
      </c>
      <c r="AE6281" s="28">
        <v>16467218000</v>
      </c>
      <c r="AF6281" s="28">
        <v>394170000</v>
      </c>
      <c r="AG6281" s="11"/>
    </row>
    <row r="6282">
      <c r="A6282" s="7" t="s">
        <v>7861</v>
      </c>
      <c r="B6282" s="5" t="s">
        <v>15812</v>
      </c>
      <c r="C6282" s="5" t="s">
        <v>23464</v>
      </c>
      <c r="D6282" s="5" t="str">
        <v>612900087530</v>
      </c>
      <c r="E6282" s="0" t="e">
        <f>+7 (86392) 35727
+7 (86392) 45152</f>
        <v>#NAME?</v>
      </c>
      <c r="F6282" s="5" t="s">
        <v>43687</v>
      </c>
      <c r="G6282" s="5"/>
      <c r="H6282" s="26">
        <v>16</v>
      </c>
      <c r="I6282" s="5" t="s">
        <v>43688</v>
      </c>
      <c r="J6282" s="5" t="s">
        <v>364</v>
      </c>
      <c r="K6282" s="5" t="s">
        <v>344</v>
      </c>
      <c r="L6282" s="5" t="s">
        <v>43689</v>
      </c>
      <c r="M6282" s="27"/>
      <c r="N6282" s="5" t="s">
        <v>58743</v>
      </c>
      <c r="O6282" s="5" t="str">
        <v>6143065504</v>
      </c>
      <c r="P6282" s="27">
        <v>25000</v>
      </c>
      <c r="Q6282" s="5" t="s">
        <v>58744</v>
      </c>
      <c r="R6282" s="5"/>
      <c r="S6282" s="5" t="s">
        <v>58745</v>
      </c>
      <c r="T6282" s="28">
        <v>362590000</v>
      </c>
      <c r="U6282" s="28"/>
      <c r="V6282" s="28">
        <v>1937927000</v>
      </c>
      <c r="W6282" s="28">
        <v>106316000</v>
      </c>
      <c r="X6282" s="28">
        <v>3114000</v>
      </c>
      <c r="Y6282" s="28">
        <v>3274533000</v>
      </c>
      <c r="Z6282" s="28">
        <v>485220000</v>
      </c>
      <c r="AA6282" s="28">
        <v>2053000</v>
      </c>
      <c r="AB6282" s="28">
        <v>434000</v>
      </c>
      <c r="AC6282" s="28">
        <v>2787235000</v>
      </c>
      <c r="AD6282" s="28">
        <v>485245000</v>
      </c>
      <c r="AE6282" s="28">
        <v>6914941000</v>
      </c>
      <c r="AF6282" s="28">
        <v>282630000</v>
      </c>
      <c r="AG6282" s="11"/>
    </row>
    <row r="6283">
      <c r="A6283" s="7" t="s">
        <v>7861</v>
      </c>
      <c r="B6283" s="5" t="s">
        <v>15813</v>
      </c>
      <c r="C6283" s="5" t="s">
        <v>23465</v>
      </c>
      <c r="D6283" s="5" t="str">
        <v>773802376744</v>
      </c>
      <c r="E6283" s="0" t="e">
        <f>+7 (495) 9830181</f>
        <v>#NAME?</v>
      </c>
      <c r="F6283" s="5" t="s">
        <v>43690</v>
      </c>
      <c r="G6283" s="5"/>
      <c r="H6283" s="26">
        <v>7</v>
      </c>
      <c r="I6283" s="5" t="s">
        <v>43691</v>
      </c>
      <c r="J6283" s="5" t="s">
        <v>364</v>
      </c>
      <c r="K6283" s="5" t="s">
        <v>344</v>
      </c>
      <c r="L6283" s="5" t="s">
        <v>43692</v>
      </c>
      <c r="M6283" s="27"/>
      <c r="N6283" s="5"/>
      <c r="O6283" s="5" t="str">
        <v>5024161253</v>
      </c>
      <c r="P6283" s="27">
        <v>10000</v>
      </c>
      <c r="Q6283" s="5" t="s">
        <v>49059</v>
      </c>
      <c r="R6283" s="5"/>
      <c r="S6283" s="5" t="s">
        <v>49010</v>
      </c>
      <c r="T6283" s="28">
        <v>24156000</v>
      </c>
      <c r="U6283" s="28"/>
      <c r="V6283" s="28">
        <v>792722000</v>
      </c>
      <c r="W6283" s="28"/>
      <c r="X6283" s="28">
        <v>8184000</v>
      </c>
      <c r="Y6283" s="28">
        <v>940519000</v>
      </c>
      <c r="Z6283" s="28">
        <v>202532000</v>
      </c>
      <c r="AA6283" s="28"/>
      <c r="AB6283" s="28"/>
      <c r="AC6283" s="28">
        <v>735696000</v>
      </c>
      <c r="AD6283" s="28">
        <v>202542000</v>
      </c>
      <c r="AE6283" s="28">
        <v>3877314000</v>
      </c>
      <c r="AF6283" s="28">
        <v>47437000</v>
      </c>
      <c r="AG6283" s="11"/>
    </row>
    <row r="6284">
      <c r="A6284" s="7" t="s">
        <v>7862</v>
      </c>
      <c r="B6284" s="5" t="s">
        <v>15814</v>
      </c>
      <c r="C6284" s="5" t="s">
        <v>23466</v>
      </c>
      <c r="D6284" s="5" t="str">
        <v>771976794190</v>
      </c>
      <c r="E6284" s="0" t="e">
        <f>+7 (495) 9568710</f>
        <v>#NAME?</v>
      </c>
      <c r="F6284" s="5" t="s">
        <v>43693</v>
      </c>
      <c r="G6284" s="5" t="s">
        <v>43694</v>
      </c>
      <c r="H6284" s="26">
        <v>24.5</v>
      </c>
      <c r="I6284" s="5" t="s">
        <v>43695</v>
      </c>
      <c r="J6284" s="5" t="s">
        <v>364</v>
      </c>
      <c r="K6284" s="5" t="s">
        <v>344</v>
      </c>
      <c r="L6284" s="5" t="s">
        <v>43696</v>
      </c>
      <c r="M6284" s="27"/>
      <c r="N6284" s="5" t="s">
        <v>58746</v>
      </c>
      <c r="O6284" s="5" t="str">
        <v>7705220583</v>
      </c>
      <c r="P6284" s="27">
        <v>3000000</v>
      </c>
      <c r="Q6284" s="5" t="s">
        <v>58747</v>
      </c>
      <c r="R6284" s="5"/>
      <c r="S6284" s="5" t="s">
        <v>49065</v>
      </c>
      <c r="T6284" s="28">
        <v>74330000</v>
      </c>
      <c r="U6284" s="28"/>
      <c r="V6284" s="28">
        <v>1393292000</v>
      </c>
      <c r="W6284" s="28">
        <v>161000000</v>
      </c>
      <c r="X6284" s="28">
        <v>6381000</v>
      </c>
      <c r="Y6284" s="28">
        <v>1777051000</v>
      </c>
      <c r="Z6284" s="28">
        <v>238600000</v>
      </c>
      <c r="AA6284" s="28"/>
      <c r="AB6284" s="28">
        <v>120599000</v>
      </c>
      <c r="AC6284" s="28">
        <v>1535449000</v>
      </c>
      <c r="AD6284" s="28">
        <v>241600000</v>
      </c>
      <c r="AE6284" s="28">
        <v>4518455000</v>
      </c>
      <c r="AF6284" s="28">
        <v>45721000</v>
      </c>
      <c r="AG6284" s="11"/>
    </row>
    <row r="6285">
      <c r="A6285" s="7" t="s">
        <v>7863</v>
      </c>
      <c r="B6285" s="5" t="s">
        <v>15815</v>
      </c>
      <c r="C6285" s="5" t="s">
        <v>23467</v>
      </c>
      <c r="D6285" s="5" t="str">
        <v>771576038618</v>
      </c>
      <c r="E6285" s="0" t="e">
        <f>+7 (925) 1108270
+7 (926) 1260241
+7 (499) 7501414</f>
        <v>#NAME?</v>
      </c>
      <c r="F6285" s="5" t="s">
        <v>43697</v>
      </c>
      <c r="G6285" s="5"/>
      <c r="H6285" s="26">
        <v>6</v>
      </c>
      <c r="I6285" s="5" t="s">
        <v>43698</v>
      </c>
      <c r="J6285" s="5" t="s">
        <v>671</v>
      </c>
      <c r="K6285" s="5" t="s">
        <v>344</v>
      </c>
      <c r="L6285" s="5" t="s">
        <v>43699</v>
      </c>
      <c r="M6285" s="27"/>
      <c r="N6285" s="5" t="s">
        <v>58748</v>
      </c>
      <c r="O6285" s="5" t="str">
        <v>5001111721</v>
      </c>
      <c r="P6285" s="27">
        <v>100000</v>
      </c>
      <c r="Q6285" s="5" t="s">
        <v>58749</v>
      </c>
      <c r="R6285" s="5"/>
      <c r="S6285" s="5" t="s">
        <v>58750</v>
      </c>
      <c r="T6285" s="28">
        <v>10916000</v>
      </c>
      <c r="U6285" s="28">
        <v>3517288000</v>
      </c>
      <c r="V6285" s="28">
        <v>7034999000</v>
      </c>
      <c r="W6285" s="28"/>
      <c r="X6285" s="28">
        <v>2040487000</v>
      </c>
      <c r="Y6285" s="28">
        <v>14015671000</v>
      </c>
      <c r="Z6285" s="28">
        <v>56279000</v>
      </c>
      <c r="AA6285" s="28">
        <v>54961000</v>
      </c>
      <c r="AB6285" s="28">
        <v>7060000</v>
      </c>
      <c r="AC6285" s="28">
        <v>13903599000</v>
      </c>
      <c r="AD6285" s="28">
        <v>56379000</v>
      </c>
      <c r="AE6285" s="28">
        <v>10698860000</v>
      </c>
      <c r="AF6285" s="28">
        <v>19539000</v>
      </c>
      <c r="AG6285" s="11"/>
    </row>
    <row r="6286">
      <c r="A6286" s="7" t="s">
        <v>1429</v>
      </c>
      <c r="B6286" s="5" t="s">
        <v>1430</v>
      </c>
      <c r="C6286" s="5" t="s">
        <v>1431</v>
      </c>
      <c r="D6286" s="5" t="str">
        <v>505203952449</v>
      </c>
      <c r="E6286" s="0" t="e">
        <f>+7 (926) 5861641
+7 (926) 4004662
+7 (985) 2701100</f>
        <v>#NAME?</v>
      </c>
      <c r="F6286" s="5" t="s">
        <v>1433</v>
      </c>
      <c r="G6286" s="5"/>
      <c r="H6286" s="26">
        <v>8</v>
      </c>
      <c r="I6286" s="5" t="s">
        <v>1434</v>
      </c>
      <c r="J6286" s="5" t="s">
        <v>26918</v>
      </c>
      <c r="K6286" s="5" t="s">
        <v>344</v>
      </c>
      <c r="L6286" s="5" t="s">
        <v>1435</v>
      </c>
      <c r="M6286" s="27"/>
      <c r="N6286" s="5" t="s">
        <v>58751</v>
      </c>
      <c r="O6286" s="5" t="str">
        <v>7724317238</v>
      </c>
      <c r="P6286" s="27">
        <v>1000000</v>
      </c>
      <c r="Q6286" s="5" t="s">
        <v>58752</v>
      </c>
      <c r="R6286" s="5"/>
      <c r="S6286" s="5" t="s">
        <v>58753</v>
      </c>
      <c r="T6286" s="28">
        <v>14781000</v>
      </c>
      <c r="U6286" s="28"/>
      <c r="V6286" s="28">
        <v>2061428000</v>
      </c>
      <c r="W6286" s="28">
        <v>2752000</v>
      </c>
      <c r="X6286" s="28">
        <v>38253000</v>
      </c>
      <c r="Y6286" s="28">
        <v>2874216000</v>
      </c>
      <c r="Z6286" s="28">
        <v>343662000</v>
      </c>
      <c r="AA6286" s="28"/>
      <c r="AB6286" s="28">
        <v>157153000</v>
      </c>
      <c r="AC6286" s="28">
        <v>2524564000</v>
      </c>
      <c r="AD6286" s="28">
        <v>344862000</v>
      </c>
      <c r="AE6286" s="28">
        <v>3298010000</v>
      </c>
      <c r="AF6286" s="28">
        <v>289715000</v>
      </c>
      <c r="AG6286" s="11"/>
    </row>
    <row r="6287">
      <c r="A6287" s="7" t="s">
        <v>7864</v>
      </c>
      <c r="B6287" s="5" t="s">
        <v>15816</v>
      </c>
      <c r="C6287" s="5" t="s">
        <v>23468</v>
      </c>
      <c r="D6287" s="5" t="str">
        <v>026700876421</v>
      </c>
      <c r="E6287" s="0" t="e">
        <f>+7 (926) 1260241</f>
        <v>#NAME?</v>
      </c>
      <c r="F6287" s="5"/>
      <c r="G6287" s="5"/>
      <c r="H6287" s="26">
        <v>2.5</v>
      </c>
      <c r="I6287" s="5" t="s">
        <v>43700</v>
      </c>
      <c r="J6287" s="5" t="s">
        <v>671</v>
      </c>
      <c r="K6287" s="5" t="s">
        <v>344</v>
      </c>
      <c r="L6287" s="5" t="s">
        <v>43701</v>
      </c>
      <c r="M6287" s="27"/>
      <c r="N6287" s="5"/>
      <c r="O6287" s="5" t="str">
        <v>9731068339</v>
      </c>
      <c r="P6287" s="27">
        <v>10000</v>
      </c>
      <c r="Q6287" s="5" t="s">
        <v>49688</v>
      </c>
      <c r="R6287" s="5"/>
      <c r="S6287" s="5" t="s">
        <v>58754</v>
      </c>
      <c r="T6287" s="28">
        <v>7609000</v>
      </c>
      <c r="U6287" s="28">
        <v>759330000</v>
      </c>
      <c r="V6287" s="28">
        <v>7014845000</v>
      </c>
      <c r="W6287" s="28"/>
      <c r="X6287" s="28">
        <v>56444000</v>
      </c>
      <c r="Y6287" s="28">
        <v>8366794000</v>
      </c>
      <c r="Z6287" s="28">
        <v>42877000</v>
      </c>
      <c r="AA6287" s="28">
        <v>745000000</v>
      </c>
      <c r="AB6287" s="28">
        <v>11863000</v>
      </c>
      <c r="AC6287" s="28">
        <v>7577828000</v>
      </c>
      <c r="AD6287" s="28">
        <v>42887000</v>
      </c>
      <c r="AE6287" s="28">
        <v>24135126000</v>
      </c>
      <c r="AF6287" s="28">
        <v>26848000</v>
      </c>
      <c r="AG6287" s="11"/>
    </row>
    <row r="6288">
      <c r="A6288" s="7" t="s">
        <v>1436</v>
      </c>
      <c r="B6288" s="5" t="s">
        <v>15817</v>
      </c>
      <c r="C6288" s="5" t="s">
        <v>23469</v>
      </c>
      <c r="D6288" s="5" t="str">
        <v>772805809056</v>
      </c>
      <c r="E6288" s="0" t="e">
        <f>+7 (495) 5188420
+7 (495) 7938401
+7 (499) 5188410
+7 (499) 5188420
+7 (495) 7838401</f>
        <v>#NAME?</v>
      </c>
      <c r="F6288" s="5" t="s">
        <v>43702</v>
      </c>
      <c r="G6288" s="5"/>
      <c r="H6288" s="26">
        <v>11</v>
      </c>
      <c r="I6288" s="5" t="s">
        <v>43703</v>
      </c>
      <c r="J6288" s="5" t="s">
        <v>364</v>
      </c>
      <c r="K6288" s="5" t="s">
        <v>344</v>
      </c>
      <c r="L6288" s="5" t="s">
        <v>43704</v>
      </c>
      <c r="M6288" s="27">
        <v>9210741</v>
      </c>
      <c r="N6288" s="5" t="s">
        <v>58755</v>
      </c>
      <c r="O6288" s="5" t="str">
        <v>7718869248</v>
      </c>
      <c r="P6288" s="27">
        <v>30000</v>
      </c>
      <c r="Q6288" s="5" t="s">
        <v>58756</v>
      </c>
      <c r="R6288" s="5"/>
      <c r="S6288" s="5" t="s">
        <v>58757</v>
      </c>
      <c r="T6288" s="28">
        <v>37545000</v>
      </c>
      <c r="U6288" s="28"/>
      <c r="V6288" s="28">
        <v>2137810000</v>
      </c>
      <c r="W6288" s="28">
        <v>1160209000</v>
      </c>
      <c r="X6288" s="28">
        <v>58566000</v>
      </c>
      <c r="Y6288" s="28">
        <v>5151805000</v>
      </c>
      <c r="Z6288" s="28">
        <v>42990000</v>
      </c>
      <c r="AA6288" s="28">
        <v>100000000</v>
      </c>
      <c r="AB6288" s="28">
        <v>2109006000</v>
      </c>
      <c r="AC6288" s="28">
        <v>4986868000</v>
      </c>
      <c r="AD6288" s="28">
        <v>43020000</v>
      </c>
      <c r="AE6288" s="28">
        <v>10158384000</v>
      </c>
      <c r="AF6288" s="28">
        <v>3460000</v>
      </c>
      <c r="AG6288" s="11"/>
    </row>
    <row r="6289">
      <c r="A6289" s="7" t="s">
        <v>7865</v>
      </c>
      <c r="B6289" s="5" t="s">
        <v>15818</v>
      </c>
      <c r="C6289" s="5" t="s">
        <v>23470</v>
      </c>
      <c r="D6289" s="5" t="str">
        <v>781432819769</v>
      </c>
      <c r="E6289" s="0" t="e">
        <f>+7 (812) 3095909
+7 (911) 8120194</f>
        <v>#NAME?</v>
      </c>
      <c r="F6289" s="5" t="s">
        <v>43705</v>
      </c>
      <c r="G6289" s="5" t="s">
        <v>43706</v>
      </c>
      <c r="H6289" s="26">
        <v>6.5</v>
      </c>
      <c r="I6289" s="5" t="s">
        <v>43707</v>
      </c>
      <c r="J6289" s="5" t="s">
        <v>364</v>
      </c>
      <c r="K6289" s="5" t="s">
        <v>355</v>
      </c>
      <c r="L6289" s="5" t="s">
        <v>43708</v>
      </c>
      <c r="M6289" s="27"/>
      <c r="N6289" s="5"/>
      <c r="O6289" s="5" t="str">
        <v>7804568558</v>
      </c>
      <c r="P6289" s="27">
        <v>300000</v>
      </c>
      <c r="Q6289" s="5" t="s">
        <v>49561</v>
      </c>
      <c r="R6289" s="5"/>
      <c r="S6289" s="5" t="s">
        <v>53622</v>
      </c>
      <c r="T6289" s="28">
        <v>257652000</v>
      </c>
      <c r="U6289" s="28"/>
      <c r="V6289" s="28">
        <v>1855244000</v>
      </c>
      <c r="W6289" s="28">
        <v>6709000</v>
      </c>
      <c r="X6289" s="28">
        <v>1852000</v>
      </c>
      <c r="Y6289" s="28">
        <v>3106640000</v>
      </c>
      <c r="Z6289" s="28">
        <v>294316000</v>
      </c>
      <c r="AA6289" s="28"/>
      <c r="AB6289" s="28"/>
      <c r="AC6289" s="28">
        <v>2690706000</v>
      </c>
      <c r="AD6289" s="28">
        <v>294616000</v>
      </c>
      <c r="AE6289" s="28">
        <v>7408196000</v>
      </c>
      <c r="AF6289" s="28">
        <v>75914000</v>
      </c>
      <c r="AG6289" s="11"/>
    </row>
    <row r="6290">
      <c r="A6290" s="7" t="s">
        <v>1442</v>
      </c>
      <c r="B6290" s="5" t="s">
        <v>1443</v>
      </c>
      <c r="C6290" s="5" t="s">
        <v>1444</v>
      </c>
      <c r="D6290" s="5" t="str">
        <v>575204238182</v>
      </c>
      <c r="E6290" s="0" t="e">
        <f>+7 (499) 1408737
+7 (487) 2722303
+7 (487) 2722304
+7 (487) 2722306</f>
        <v>#NAME?</v>
      </c>
      <c r="F6290" s="5" t="s">
        <v>1446</v>
      </c>
      <c r="G6290" s="5" t="s">
        <v>43709</v>
      </c>
      <c r="H6290" s="26">
        <v>14</v>
      </c>
      <c r="I6290" s="5" t="s">
        <v>1447</v>
      </c>
      <c r="J6290" s="5" t="s">
        <v>467</v>
      </c>
      <c r="K6290" s="5" t="s">
        <v>344</v>
      </c>
      <c r="L6290" s="5" t="s">
        <v>1448</v>
      </c>
      <c r="M6290" s="27"/>
      <c r="N6290" s="5" t="s">
        <v>51767</v>
      </c>
      <c r="O6290" s="5" t="str">
        <v>7731622715</v>
      </c>
      <c r="P6290" s="27">
        <v>10000</v>
      </c>
      <c r="Q6290" s="5" t="s">
        <v>58758</v>
      </c>
      <c r="R6290" s="5"/>
      <c r="S6290" s="5" t="s">
        <v>58759</v>
      </c>
      <c r="T6290" s="28">
        <v>1999096000</v>
      </c>
      <c r="U6290" s="28"/>
      <c r="V6290" s="28">
        <v>1837077000</v>
      </c>
      <c r="W6290" s="28">
        <v>30035000</v>
      </c>
      <c r="X6290" s="28">
        <v>6269631000</v>
      </c>
      <c r="Y6290" s="28">
        <v>18882412000</v>
      </c>
      <c r="Z6290" s="28">
        <v>1514883000</v>
      </c>
      <c r="AA6290" s="28"/>
      <c r="AB6290" s="28">
        <v>1659518000</v>
      </c>
      <c r="AC6290" s="28">
        <v>15931629000</v>
      </c>
      <c r="AD6290" s="28">
        <v>1514895000</v>
      </c>
      <c r="AE6290" s="28">
        <v>6320978000</v>
      </c>
      <c r="AF6290" s="28">
        <v>77739000</v>
      </c>
      <c r="AG6290" s="11"/>
    </row>
    <row r="6291">
      <c r="A6291" s="7" t="s">
        <v>7866</v>
      </c>
      <c r="B6291" s="5" t="s">
        <v>15819</v>
      </c>
      <c r="C6291" s="5" t="s">
        <v>23471</v>
      </c>
      <c r="D6291" s="5" t="str">
        <v>860802864502</v>
      </c>
      <c r="E6291" s="0" t="e">
        <f>+7 (904) 4776346</f>
        <v>#NAME?</v>
      </c>
      <c r="F6291" s="5"/>
      <c r="G6291" s="5"/>
      <c r="H6291" s="26">
        <v>9.5</v>
      </c>
      <c r="I6291" s="5" t="s">
        <v>43710</v>
      </c>
      <c r="J6291" s="5" t="s">
        <v>37683</v>
      </c>
      <c r="K6291" s="5" t="s">
        <v>344</v>
      </c>
      <c r="L6291" s="5"/>
      <c r="M6291" s="27"/>
      <c r="N6291" s="5" t="s">
        <v>58760</v>
      </c>
      <c r="O6291" s="5" t="str">
        <v>8602208434</v>
      </c>
      <c r="P6291" s="27">
        <v>11000</v>
      </c>
      <c r="Q6291" s="5"/>
      <c r="R6291" s="5"/>
      <c r="S6291" s="5" t="s">
        <v>49110</v>
      </c>
      <c r="T6291" s="28"/>
      <c r="U6291" s="28"/>
      <c r="V6291" s="28">
        <v>1989000</v>
      </c>
      <c r="W6291" s="28"/>
      <c r="X6291" s="28">
        <v>15000</v>
      </c>
      <c r="Y6291" s="28">
        <v>2428000</v>
      </c>
      <c r="Z6291" s="28">
        <v>301000</v>
      </c>
      <c r="AA6291" s="28"/>
      <c r="AB6291" s="28"/>
      <c r="AC6291" s="28">
        <v>2117000</v>
      </c>
      <c r="AD6291" s="28">
        <v>311000</v>
      </c>
      <c r="AE6291" s="28">
        <v>7463209000</v>
      </c>
      <c r="AF6291" s="28">
        <v>13896000</v>
      </c>
      <c r="AG6291" s="11"/>
    </row>
    <row r="6292">
      <c r="A6292" s="7" t="s">
        <v>7867</v>
      </c>
      <c r="B6292" s="5" t="s">
        <v>15820</v>
      </c>
      <c r="C6292" s="5" t="s">
        <v>23472</v>
      </c>
      <c r="D6292" s="5" t="str">
        <v>057000315710</v>
      </c>
      <c r="E6292" s="0" t="e">
        <f>+7 (928) 4561225
+7 (928) 4562325
+7 (928) 4562356
+7 (928) 4586323
+7 (928) 4587812
+7 (928) 5403859
+7 (928) 5496606
+7 (928) 8388550</f>
        <v>#NAME?</v>
      </c>
      <c r="F6292" s="5" t="s">
        <v>43711</v>
      </c>
      <c r="G6292" s="5"/>
      <c r="H6292" s="26">
        <v>2.5</v>
      </c>
      <c r="I6292" s="5" t="s">
        <v>43712</v>
      </c>
      <c r="J6292" s="5" t="s">
        <v>364</v>
      </c>
      <c r="K6292" s="5" t="s">
        <v>344</v>
      </c>
      <c r="L6292" s="5"/>
      <c r="M6292" s="27"/>
      <c r="N6292" s="5" t="s">
        <v>58761</v>
      </c>
      <c r="O6292" s="5" t="str">
        <v>0522023352</v>
      </c>
      <c r="P6292" s="27">
        <v>10000</v>
      </c>
      <c r="Q6292" s="5" t="s">
        <v>49387</v>
      </c>
      <c r="R6292" s="5"/>
      <c r="S6292" s="5" t="s">
        <v>58762</v>
      </c>
      <c r="T6292" s="28"/>
      <c r="U6292" s="28"/>
      <c r="V6292" s="28"/>
      <c r="W6292" s="28"/>
      <c r="X6292" s="28">
        <v>2456555000</v>
      </c>
      <c r="Y6292" s="28">
        <v>2456555000</v>
      </c>
      <c r="Z6292" s="28">
        <v>2456555000</v>
      </c>
      <c r="AA6292" s="28"/>
      <c r="AB6292" s="28"/>
      <c r="AC6292" s="28"/>
      <c r="AD6292" s="28">
        <v>2456555000</v>
      </c>
      <c r="AE6292" s="28">
        <v>13224999000</v>
      </c>
      <c r="AF6292" s="28">
        <v>2456555000</v>
      </c>
      <c r="AG6292" s="11"/>
    </row>
    <row r="6293">
      <c r="A6293" s="7" t="s">
        <v>7868</v>
      </c>
      <c r="B6293" s="5" t="s">
        <v>15821</v>
      </c>
      <c r="C6293" s="5" t="s">
        <v>23473</v>
      </c>
      <c r="D6293" s="5" t="str">
        <v>245712466401</v>
      </c>
      <c r="E6293" s="0" t="e">
        <f>+7 (3512) 110114
+7 (3512) 111149
+7 (3512) 220118
+7 (351) 2222220
+7 (351) 2453400
+7 (3512) 110105
+7 (3512) 110122
+7 (3512) 220504
+7 (3512) 220506
+7 (3512) 453404
+7 (3512) 543400</f>
        <v>#NAME?</v>
      </c>
      <c r="F6293" s="5" t="s">
        <v>43713</v>
      </c>
      <c r="G6293" s="5"/>
      <c r="H6293" s="26">
        <v>17.5</v>
      </c>
      <c r="I6293" s="5" t="s">
        <v>43714</v>
      </c>
      <c r="J6293" s="5" t="s">
        <v>364</v>
      </c>
      <c r="K6293" s="5" t="s">
        <v>344</v>
      </c>
      <c r="L6293" s="5" t="s">
        <v>43715</v>
      </c>
      <c r="M6293" s="27">
        <v>170482336</v>
      </c>
      <c r="N6293" s="5" t="s">
        <v>58763</v>
      </c>
      <c r="O6293" s="5" t="str">
        <v>7448072709</v>
      </c>
      <c r="P6293" s="27">
        <v>10000</v>
      </c>
      <c r="Q6293" s="5" t="s">
        <v>58764</v>
      </c>
      <c r="R6293" s="5"/>
      <c r="S6293" s="5" t="s">
        <v>58765</v>
      </c>
      <c r="T6293" s="28">
        <v>361159000</v>
      </c>
      <c r="U6293" s="28">
        <v>571526000</v>
      </c>
      <c r="V6293" s="28">
        <v>4109428000</v>
      </c>
      <c r="W6293" s="28">
        <v>24674000</v>
      </c>
      <c r="X6293" s="28">
        <v>134300000</v>
      </c>
      <c r="Y6293" s="28">
        <v>5684339000</v>
      </c>
      <c r="Z6293" s="28">
        <v>371114000</v>
      </c>
      <c r="AA6293" s="28"/>
      <c r="AB6293" s="28">
        <v>530579000</v>
      </c>
      <c r="AC6293" s="28">
        <v>4288304000</v>
      </c>
      <c r="AD6293" s="28">
        <v>371124000</v>
      </c>
      <c r="AE6293" s="28">
        <v>3484208000</v>
      </c>
      <c r="AF6293" s="28">
        <v>101106000</v>
      </c>
      <c r="AG6293" s="11"/>
    </row>
    <row r="6294">
      <c r="A6294" s="7" t="s">
        <v>7869</v>
      </c>
      <c r="B6294" s="5" t="s">
        <v>15822</v>
      </c>
      <c r="C6294" s="5" t="s">
        <v>23474</v>
      </c>
      <c r="D6294" s="5" t="str">
        <v>502708618521</v>
      </c>
      <c r="E6294" s="0" t="e">
        <f>+7 (495) 5012077
+7 (495) 5012088
+7 (495) 5015033</f>
        <v>#NAME?</v>
      </c>
      <c r="F6294" s="5" t="s">
        <v>43716</v>
      </c>
      <c r="G6294" s="5"/>
      <c r="H6294" s="26">
        <v>30</v>
      </c>
      <c r="I6294" s="5"/>
      <c r="J6294" s="5" t="s">
        <v>373</v>
      </c>
      <c r="K6294" s="5" t="s">
        <v>344</v>
      </c>
      <c r="L6294" s="5" t="s">
        <v>43717</v>
      </c>
      <c r="M6294" s="27"/>
      <c r="N6294" s="5" t="s">
        <v>58766</v>
      </c>
      <c r="O6294" s="5" t="str">
        <v>5027002068</v>
      </c>
      <c r="P6294" s="27">
        <v>47144</v>
      </c>
      <c r="Q6294" s="5" t="s">
        <v>49057</v>
      </c>
      <c r="R6294" s="5"/>
      <c r="S6294" s="5" t="s">
        <v>53587</v>
      </c>
      <c r="T6294" s="28">
        <v>94230000</v>
      </c>
      <c r="U6294" s="28"/>
      <c r="V6294" s="28">
        <v>274902000</v>
      </c>
      <c r="W6294" s="28">
        <v>547195000</v>
      </c>
      <c r="X6294" s="28">
        <v>70145000</v>
      </c>
      <c r="Y6294" s="28">
        <v>1561365000</v>
      </c>
      <c r="Z6294" s="28">
        <v>934680000</v>
      </c>
      <c r="AA6294" s="28">
        <v>118000000</v>
      </c>
      <c r="AB6294" s="28">
        <v>6049000</v>
      </c>
      <c r="AC6294" s="28">
        <v>500685000</v>
      </c>
      <c r="AD6294" s="28">
        <v>934727000</v>
      </c>
      <c r="AE6294" s="28">
        <v>10908914000</v>
      </c>
      <c r="AF6294" s="28">
        <v>215138000</v>
      </c>
      <c r="AG6294" s="11"/>
    </row>
    <row r="6295">
      <c r="A6295" s="7" t="s">
        <v>7870</v>
      </c>
      <c r="B6295" s="5" t="s">
        <v>15823</v>
      </c>
      <c r="C6295" s="5" t="s">
        <v>23475</v>
      </c>
      <c r="D6295" s="5" t="str">
        <v>052905468880</v>
      </c>
      <c r="E6295" s="0" t="e">
        <f>+7 (958) 1117804
+7 (968) 9580340
+7 (968) 9582341</f>
        <v>#NAME?</v>
      </c>
      <c r="F6295" s="5" t="s">
        <v>43718</v>
      </c>
      <c r="G6295" s="5"/>
      <c r="H6295" s="26">
        <v>6</v>
      </c>
      <c r="I6295" s="5" t="s">
        <v>43719</v>
      </c>
      <c r="J6295" s="5" t="s">
        <v>364</v>
      </c>
      <c r="K6295" s="5" t="s">
        <v>344</v>
      </c>
      <c r="L6295" s="5" t="s">
        <v>664</v>
      </c>
      <c r="M6295" s="27"/>
      <c r="N6295" s="5" t="s">
        <v>58510</v>
      </c>
      <c r="O6295" s="5" t="str">
        <v>7708309350</v>
      </c>
      <c r="P6295" s="27">
        <v>12500</v>
      </c>
      <c r="Q6295" s="5"/>
      <c r="R6295" s="5"/>
      <c r="S6295" s="5" t="s">
        <v>49991</v>
      </c>
      <c r="T6295" s="28">
        <v>4371820000</v>
      </c>
      <c r="U6295" s="28">
        <v>1281559000</v>
      </c>
      <c r="V6295" s="28">
        <v>204489000</v>
      </c>
      <c r="W6295" s="28"/>
      <c r="X6295" s="28">
        <v>44000</v>
      </c>
      <c r="Y6295" s="28">
        <v>10211814000</v>
      </c>
      <c r="Z6295" s="28">
        <v>6798954000</v>
      </c>
      <c r="AA6295" s="28">
        <v>805477000</v>
      </c>
      <c r="AB6295" s="28">
        <v>60817000</v>
      </c>
      <c r="AC6295" s="28">
        <v>2605532000</v>
      </c>
      <c r="AD6295" s="28">
        <v>6798966000</v>
      </c>
      <c r="AE6295" s="28">
        <v>11857538000</v>
      </c>
      <c r="AF6295" s="28">
        <v>4171162000</v>
      </c>
      <c r="AG6295" s="11"/>
    </row>
    <row r="6296">
      <c r="A6296" s="7" t="s">
        <v>7871</v>
      </c>
      <c r="B6296" s="5" t="s">
        <v>15824</v>
      </c>
      <c r="C6296" s="5" t="s">
        <v>23476</v>
      </c>
      <c r="D6296" s="5" t="str">
        <v>263699282190</v>
      </c>
      <c r="E6296" s="0" t="e">
        <f>+7 (903) 5207744</f>
        <v>#NAME?</v>
      </c>
      <c r="F6296" s="5"/>
      <c r="G6296" s="5"/>
      <c r="H6296" s="26">
        <v>5</v>
      </c>
      <c r="I6296" s="5" t="s">
        <v>43720</v>
      </c>
      <c r="J6296" s="5" t="s">
        <v>364</v>
      </c>
      <c r="K6296" s="5" t="s">
        <v>344</v>
      </c>
      <c r="L6296" s="5"/>
      <c r="M6296" s="27"/>
      <c r="N6296" s="5"/>
      <c r="O6296" s="5" t="str">
        <v>9718088833</v>
      </c>
      <c r="P6296" s="27">
        <v>10000</v>
      </c>
      <c r="Q6296" s="5" t="s">
        <v>50765</v>
      </c>
      <c r="R6296" s="5"/>
      <c r="S6296" s="5" t="s">
        <v>58768</v>
      </c>
      <c r="T6296" s="28">
        <v>54554000</v>
      </c>
      <c r="U6296" s="28"/>
      <c r="V6296" s="28">
        <v>181347000</v>
      </c>
      <c r="W6296" s="28"/>
      <c r="X6296" s="28">
        <v>5166000</v>
      </c>
      <c r="Y6296" s="28">
        <v>986667000</v>
      </c>
      <c r="Z6296" s="28">
        <v>-19450000</v>
      </c>
      <c r="AA6296" s="28"/>
      <c r="AB6296" s="28"/>
      <c r="AC6296" s="28">
        <v>1005523000</v>
      </c>
      <c r="AD6296" s="28">
        <v>-19440000</v>
      </c>
      <c r="AE6296" s="28">
        <v>3482802000</v>
      </c>
      <c r="AF6296" s="28">
        <v>471000</v>
      </c>
      <c r="AG6296" s="11"/>
    </row>
    <row r="6297">
      <c r="A6297" s="7" t="s">
        <v>7872</v>
      </c>
      <c r="B6297" s="5" t="s">
        <v>15825</v>
      </c>
      <c r="C6297" s="5" t="s">
        <v>23477</v>
      </c>
      <c r="D6297" s="5" t="str">
        <v>712805980739</v>
      </c>
      <c r="E6297" s="0" t="e">
        <f>+7 (499) 1124445
+7 (499) 1124544
+7 (968) 9410445</f>
        <v>#NAME?</v>
      </c>
      <c r="F6297" s="5" t="s">
        <v>43721</v>
      </c>
      <c r="G6297" s="5" t="s">
        <v>43722</v>
      </c>
      <c r="H6297" s="26">
        <v>8</v>
      </c>
      <c r="I6297" s="5" t="s">
        <v>43723</v>
      </c>
      <c r="J6297" s="5" t="s">
        <v>710</v>
      </c>
      <c r="K6297" s="5" t="s">
        <v>344</v>
      </c>
      <c r="L6297" s="5" t="s">
        <v>43724</v>
      </c>
      <c r="M6297" s="27">
        <v>13595133</v>
      </c>
      <c r="N6297" s="5" t="s">
        <v>58769</v>
      </c>
      <c r="O6297" s="5" t="str">
        <v>7733229740</v>
      </c>
      <c r="P6297" s="27">
        <v>4000000</v>
      </c>
      <c r="Q6297" s="5" t="s">
        <v>58770</v>
      </c>
      <c r="R6297" s="5"/>
      <c r="S6297" s="5" t="s">
        <v>58771</v>
      </c>
      <c r="T6297" s="28">
        <v>371933000</v>
      </c>
      <c r="U6297" s="28">
        <v>7000000</v>
      </c>
      <c r="V6297" s="28">
        <v>10197588000</v>
      </c>
      <c r="W6297" s="28">
        <v>140000000</v>
      </c>
      <c r="X6297" s="28">
        <v>831502000</v>
      </c>
      <c r="Y6297" s="28">
        <v>15363055000</v>
      </c>
      <c r="Z6297" s="28">
        <v>596605000</v>
      </c>
      <c r="AA6297" s="28">
        <v>408607000</v>
      </c>
      <c r="AB6297" s="28">
        <v>209506000</v>
      </c>
      <c r="AC6297" s="28">
        <v>14288390000</v>
      </c>
      <c r="AD6297" s="28">
        <v>601205000</v>
      </c>
      <c r="AE6297" s="28">
        <v>8697139000</v>
      </c>
      <c r="AF6297" s="28">
        <v>312322000</v>
      </c>
      <c r="AG6297" s="11"/>
    </row>
    <row r="6298">
      <c r="A6298" s="7" t="s">
        <v>7873</v>
      </c>
      <c r="B6298" s="5" t="s">
        <v>11335</v>
      </c>
      <c r="C6298" s="5" t="s">
        <v>23478</v>
      </c>
      <c r="D6298" s="5" t="str">
        <v>232000688226</v>
      </c>
      <c r="E6298" s="0" t="e">
        <f>+7 (8622) 590559
+7 (8622) 682310
+7 (8622) 682320
+7 (8622) 986260
+7 (918) 17799
+7 (918) 4003349</f>
        <v>#NAME?</v>
      </c>
      <c r="F6298" s="5" t="s">
        <v>43725</v>
      </c>
      <c r="G6298" s="5" t="s">
        <v>43726</v>
      </c>
      <c r="H6298" s="26">
        <v>26.5</v>
      </c>
      <c r="I6298" s="5" t="s">
        <v>43727</v>
      </c>
      <c r="J6298" s="5" t="s">
        <v>364</v>
      </c>
      <c r="K6298" s="5" t="s">
        <v>344</v>
      </c>
      <c r="L6298" s="5" t="s">
        <v>43728</v>
      </c>
      <c r="M6298" s="27">
        <v>1235707</v>
      </c>
      <c r="N6298" s="5" t="s">
        <v>58772</v>
      </c>
      <c r="O6298" s="5" t="str">
        <v>2319023140</v>
      </c>
      <c r="P6298" s="27">
        <v>4800000</v>
      </c>
      <c r="Q6298" s="5" t="s">
        <v>58773</v>
      </c>
      <c r="R6298" s="5"/>
      <c r="S6298" s="5" t="s">
        <v>58774</v>
      </c>
      <c r="T6298" s="28">
        <v>533531000</v>
      </c>
      <c r="U6298" s="28">
        <v>40000000</v>
      </c>
      <c r="V6298" s="28">
        <v>2461497000</v>
      </c>
      <c r="W6298" s="28">
        <v>10126000</v>
      </c>
      <c r="X6298" s="28">
        <v>996147000</v>
      </c>
      <c r="Y6298" s="28">
        <v>4761847000</v>
      </c>
      <c r="Z6298" s="28">
        <v>460418000</v>
      </c>
      <c r="AA6298" s="28"/>
      <c r="AB6298" s="28"/>
      <c r="AC6298" s="28">
        <v>4272111000</v>
      </c>
      <c r="AD6298" s="28">
        <v>465218000</v>
      </c>
      <c r="AE6298" s="28">
        <v>7934673000</v>
      </c>
      <c r="AF6298" s="28">
        <v>119451000</v>
      </c>
      <c r="AG6298" s="11"/>
    </row>
    <row r="6299">
      <c r="A6299" s="7" t="s">
        <v>7874</v>
      </c>
      <c r="B6299" s="5" t="s">
        <v>15826</v>
      </c>
      <c r="C6299" s="5" t="s">
        <v>23479</v>
      </c>
      <c r="D6299" s="5" t="str">
        <v>503700800989</v>
      </c>
      <c r="E6299" s="0" t="e">
        <f>+7 (495) 7993605
+7 (926) 7837253</f>
        <v>#NAME?</v>
      </c>
      <c r="F6299" s="5" t="s">
        <v>43729</v>
      </c>
      <c r="G6299" s="5"/>
      <c r="H6299" s="26">
        <v>4.5</v>
      </c>
      <c r="I6299" s="5" t="s">
        <v>43730</v>
      </c>
      <c r="J6299" s="5" t="s">
        <v>364</v>
      </c>
      <c r="K6299" s="5" t="s">
        <v>355</v>
      </c>
      <c r="L6299" s="5" t="s">
        <v>43731</v>
      </c>
      <c r="M6299" s="27">
        <v>13295649</v>
      </c>
      <c r="N6299" s="5" t="s">
        <v>49787</v>
      </c>
      <c r="O6299" s="5" t="str">
        <v>7719478920</v>
      </c>
      <c r="P6299" s="27">
        <v>10000</v>
      </c>
      <c r="Q6299" s="5" t="s">
        <v>58775</v>
      </c>
      <c r="R6299" s="5" t="s">
        <v>58776</v>
      </c>
      <c r="S6299" s="5" t="s">
        <v>58777</v>
      </c>
      <c r="T6299" s="28">
        <v>17800000</v>
      </c>
      <c r="U6299" s="28"/>
      <c r="V6299" s="28">
        <v>8101343000</v>
      </c>
      <c r="W6299" s="28">
        <v>986845000</v>
      </c>
      <c r="X6299" s="28">
        <v>471311000</v>
      </c>
      <c r="Y6299" s="28">
        <v>13332193000</v>
      </c>
      <c r="Z6299" s="28">
        <v>29462000</v>
      </c>
      <c r="AA6299" s="28">
        <v>1499999000</v>
      </c>
      <c r="AB6299" s="28">
        <v>224545000</v>
      </c>
      <c r="AC6299" s="28">
        <v>11760108000</v>
      </c>
      <c r="AD6299" s="28">
        <v>29472000</v>
      </c>
      <c r="AE6299" s="28">
        <v>5307742000</v>
      </c>
      <c r="AF6299" s="28">
        <v>4555000</v>
      </c>
      <c r="AG6299" s="11"/>
    </row>
    <row r="6300">
      <c r="A6300" s="7" t="s">
        <v>7875</v>
      </c>
      <c r="B6300" s="5" t="s">
        <v>15827</v>
      </c>
      <c r="C6300" s="5" t="s">
        <v>23480</v>
      </c>
      <c r="D6300" s="5" t="str">
        <v>660606559176</v>
      </c>
      <c r="E6300" s="0" t="e">
        <f>+7 (343) 2260686
+7 (912) 6164094
+7 (932) 1290292</f>
        <v>#NAME?</v>
      </c>
      <c r="F6300" s="5" t="s">
        <v>43732</v>
      </c>
      <c r="G6300" s="5" t="s">
        <v>43733</v>
      </c>
      <c r="H6300" s="26">
        <v>3</v>
      </c>
      <c r="I6300" s="5" t="s">
        <v>43734</v>
      </c>
      <c r="J6300" s="5" t="s">
        <v>678</v>
      </c>
      <c r="K6300" s="5" t="s">
        <v>344</v>
      </c>
      <c r="L6300" s="5" t="s">
        <v>43735</v>
      </c>
      <c r="M6300" s="27">
        <v>5738898</v>
      </c>
      <c r="N6300" s="5" t="s">
        <v>58778</v>
      </c>
      <c r="O6300" s="5" t="str">
        <v>6670491468</v>
      </c>
      <c r="P6300" s="27">
        <v>100000</v>
      </c>
      <c r="Q6300" s="5" t="s">
        <v>58779</v>
      </c>
      <c r="R6300" s="5"/>
      <c r="S6300" s="5" t="s">
        <v>58780</v>
      </c>
      <c r="T6300" s="28">
        <v>4340000</v>
      </c>
      <c r="U6300" s="28"/>
      <c r="V6300" s="28">
        <v>2783244000</v>
      </c>
      <c r="W6300" s="28"/>
      <c r="X6300" s="28">
        <v>54516000</v>
      </c>
      <c r="Y6300" s="28">
        <v>4300609000</v>
      </c>
      <c r="Z6300" s="28">
        <v>4555000</v>
      </c>
      <c r="AA6300" s="28"/>
      <c r="AB6300" s="28"/>
      <c r="AC6300" s="28">
        <v>4294402000</v>
      </c>
      <c r="AD6300" s="28">
        <v>4655000</v>
      </c>
      <c r="AE6300" s="28">
        <v>12748732000</v>
      </c>
      <c r="AF6300" s="28">
        <v>39716000</v>
      </c>
      <c r="AG6300" s="11"/>
    </row>
    <row r="6301">
      <c r="A6301" s="7" t="s">
        <v>7876</v>
      </c>
      <c r="B6301" s="5" t="s">
        <v>15828</v>
      </c>
      <c r="C6301" s="5" t="s">
        <v>23481</v>
      </c>
      <c r="D6301" s="5" t="str">
        <v>667203855792</v>
      </c>
      <c r="E6301" s="0" t="e">
        <f>+7 (343) 2285668
+7 (343) 3004135
+7 (343) 3112757
+7 (346) 2385245
+7 (912) 6100154</f>
        <v>#NAME?</v>
      </c>
      <c r="F6301" s="5" t="s">
        <v>43736</v>
      </c>
      <c r="G6301" s="5" t="s">
        <v>43737</v>
      </c>
      <c r="H6301" s="26">
        <v>9</v>
      </c>
      <c r="I6301" s="5" t="s">
        <v>43738</v>
      </c>
      <c r="J6301" s="5" t="s">
        <v>678</v>
      </c>
      <c r="K6301" s="5" t="s">
        <v>344</v>
      </c>
      <c r="L6301" s="5" t="s">
        <v>43739</v>
      </c>
      <c r="M6301" s="27"/>
      <c r="N6301" s="5" t="s">
        <v>58781</v>
      </c>
      <c r="O6301" s="5" t="str">
        <v>6679043767</v>
      </c>
      <c r="P6301" s="27">
        <v>500000</v>
      </c>
      <c r="Q6301" s="5" t="s">
        <v>58782</v>
      </c>
      <c r="R6301" s="5"/>
      <c r="S6301" s="5" t="s">
        <v>51870</v>
      </c>
      <c r="T6301" s="28">
        <v>115457000</v>
      </c>
      <c r="U6301" s="28"/>
      <c r="V6301" s="28">
        <v>318701000</v>
      </c>
      <c r="W6301" s="28">
        <v>12664000</v>
      </c>
      <c r="X6301" s="28">
        <v>79134000</v>
      </c>
      <c r="Y6301" s="28">
        <v>629201000</v>
      </c>
      <c r="Z6301" s="28">
        <v>240157000</v>
      </c>
      <c r="AA6301" s="28"/>
      <c r="AB6301" s="28">
        <v>115479000</v>
      </c>
      <c r="AC6301" s="28">
        <v>347803000</v>
      </c>
      <c r="AD6301" s="28">
        <v>240657000</v>
      </c>
      <c r="AE6301" s="28">
        <v>3375967000</v>
      </c>
      <c r="AF6301" s="28">
        <v>138958000</v>
      </c>
      <c r="AG6301" s="11"/>
    </row>
    <row r="6302">
      <c r="A6302" s="7" t="s">
        <v>7877</v>
      </c>
      <c r="B6302" s="5" t="s">
        <v>15829</v>
      </c>
      <c r="C6302" s="5" t="s">
        <v>23482</v>
      </c>
      <c r="D6302" s="5" t="str">
        <v>500300998560</v>
      </c>
      <c r="E6302" s="0" t="e">
        <f>+7 (495) 7925378
+7 (800) 7075121</f>
        <v>#NAME?</v>
      </c>
      <c r="F6302" s="5" t="s">
        <v>43740</v>
      </c>
      <c r="G6302" s="5" t="s">
        <v>43741</v>
      </c>
      <c r="H6302" s="26">
        <v>16</v>
      </c>
      <c r="I6302" s="5" t="s">
        <v>43742</v>
      </c>
      <c r="J6302" s="5" t="s">
        <v>25190</v>
      </c>
      <c r="K6302" s="5" t="s">
        <v>344</v>
      </c>
      <c r="L6302" s="5" t="s">
        <v>35466</v>
      </c>
      <c r="M6302" s="27"/>
      <c r="N6302" s="5"/>
      <c r="O6302" s="5" t="str">
        <v>5009056896</v>
      </c>
      <c r="P6302" s="27">
        <v>30000000</v>
      </c>
      <c r="Q6302" s="5" t="s">
        <v>49009</v>
      </c>
      <c r="R6302" s="5"/>
      <c r="S6302" s="5" t="s">
        <v>49045</v>
      </c>
      <c r="T6302" s="28">
        <v>232000</v>
      </c>
      <c r="U6302" s="28"/>
      <c r="V6302" s="28">
        <v>241800000</v>
      </c>
      <c r="W6302" s="28">
        <v>199250000</v>
      </c>
      <c r="X6302" s="28">
        <v>10986000</v>
      </c>
      <c r="Y6302" s="28">
        <v>462265000</v>
      </c>
      <c r="Z6302" s="28">
        <v>284144000</v>
      </c>
      <c r="AA6302" s="28"/>
      <c r="AB6302" s="28"/>
      <c r="AC6302" s="28">
        <v>148121000</v>
      </c>
      <c r="AD6302" s="28">
        <v>314144000</v>
      </c>
      <c r="AE6302" s="28">
        <v>5440406000</v>
      </c>
      <c r="AF6302" s="28">
        <v>144049000</v>
      </c>
      <c r="AG6302" s="11"/>
    </row>
    <row r="6303">
      <c r="A6303" s="7" t="s">
        <v>7878</v>
      </c>
      <c r="B6303" s="5" t="s">
        <v>15830</v>
      </c>
      <c r="C6303" s="5" t="s">
        <v>23483</v>
      </c>
      <c r="D6303" s="5" t="str">
        <v>771977166920</v>
      </c>
      <c r="E6303" s="0" t="e">
        <f>+7 (916) 317785</f>
        <v>#NAME?</v>
      </c>
      <c r="F6303" s="5" t="s">
        <v>43743</v>
      </c>
      <c r="G6303" s="5"/>
      <c r="H6303" s="26">
        <v>9.5</v>
      </c>
      <c r="I6303" s="5" t="s">
        <v>43744</v>
      </c>
      <c r="J6303" s="5" t="s">
        <v>38093</v>
      </c>
      <c r="K6303" s="5" t="s">
        <v>355</v>
      </c>
      <c r="L6303" s="5" t="s">
        <v>43745</v>
      </c>
      <c r="M6303" s="27"/>
      <c r="N6303" s="5" t="s">
        <v>58783</v>
      </c>
      <c r="O6303" s="5" t="str">
        <v>7724882293</v>
      </c>
      <c r="P6303" s="27">
        <v>10000</v>
      </c>
      <c r="Q6303" s="5" t="s">
        <v>58784</v>
      </c>
      <c r="R6303" s="5" t="s">
        <v>51952</v>
      </c>
      <c r="S6303" s="5" t="s">
        <v>58785</v>
      </c>
      <c r="T6303" s="28">
        <v>81139000</v>
      </c>
      <c r="U6303" s="28"/>
      <c r="V6303" s="28">
        <v>192202000</v>
      </c>
      <c r="W6303" s="28"/>
      <c r="X6303" s="28">
        <v>5052000</v>
      </c>
      <c r="Y6303" s="28">
        <v>309566000</v>
      </c>
      <c r="Z6303" s="28">
        <v>171226000</v>
      </c>
      <c r="AA6303" s="28"/>
      <c r="AB6303" s="28"/>
      <c r="AC6303" s="28">
        <v>138330000</v>
      </c>
      <c r="AD6303" s="28">
        <v>171236000</v>
      </c>
      <c r="AE6303" s="28">
        <v>3676945000</v>
      </c>
      <c r="AF6303" s="28">
        <v>148846000</v>
      </c>
      <c r="AG6303" s="11"/>
    </row>
    <row r="6304">
      <c r="A6304" s="7" t="s">
        <v>7879</v>
      </c>
      <c r="B6304" s="5" t="s">
        <v>15831</v>
      </c>
      <c r="C6304" s="5" t="s">
        <v>23484</v>
      </c>
      <c r="D6304" s="5" t="str">
        <v>201576607457</v>
      </c>
      <c r="E6304" s="0" t="e">
        <f>+7 (938) 635
+7 (928) 2623140</f>
        <v>#NAME?</v>
      </c>
      <c r="F6304" s="5" t="s">
        <v>43746</v>
      </c>
      <c r="G6304" s="5"/>
      <c r="H6304" s="26">
        <v>23</v>
      </c>
      <c r="I6304" s="5" t="s">
        <v>43747</v>
      </c>
      <c r="J6304" s="5" t="s">
        <v>364</v>
      </c>
      <c r="K6304" s="5" t="s">
        <v>355</v>
      </c>
      <c r="L6304" s="5"/>
      <c r="M6304" s="27"/>
      <c r="N6304" s="5" t="s">
        <v>51414</v>
      </c>
      <c r="O6304" s="5" t="str">
        <v>2020001285</v>
      </c>
      <c r="P6304" s="27">
        <v>10000</v>
      </c>
      <c r="Q6304" s="5"/>
      <c r="R6304" s="5" t="s">
        <v>58786</v>
      </c>
      <c r="S6304" s="5" t="s">
        <v>49110</v>
      </c>
      <c r="T6304" s="28">
        <v>1324000</v>
      </c>
      <c r="U6304" s="28"/>
      <c r="V6304" s="28">
        <v>10329000</v>
      </c>
      <c r="W6304" s="28"/>
      <c r="X6304" s="28">
        <v>219000</v>
      </c>
      <c r="Y6304" s="28">
        <v>15406000</v>
      </c>
      <c r="Z6304" s="28">
        <v>2006000</v>
      </c>
      <c r="AA6304" s="28"/>
      <c r="AB6304" s="28"/>
      <c r="AC6304" s="28">
        <v>13390000</v>
      </c>
      <c r="AD6304" s="28">
        <v>2016000</v>
      </c>
      <c r="AE6304" s="28">
        <v>6163333000</v>
      </c>
      <c r="AF6304" s="28">
        <v>1249165000</v>
      </c>
      <c r="AG6304" s="11"/>
    </row>
    <row r="6305">
      <c r="A6305" s="7" t="s">
        <v>7880</v>
      </c>
      <c r="B6305" s="5" t="s">
        <v>15832</v>
      </c>
      <c r="C6305" s="5" t="s">
        <v>23485</v>
      </c>
      <c r="D6305" s="5" t="str">
        <v>502920277603</v>
      </c>
      <c r="F6305" s="5"/>
      <c r="G6305" s="5" t="s">
        <v>43748</v>
      </c>
      <c r="H6305" s="26">
        <v>9.5</v>
      </c>
      <c r="I6305" s="5" t="s">
        <v>43749</v>
      </c>
      <c r="J6305" s="5" t="s">
        <v>648</v>
      </c>
      <c r="K6305" s="5" t="s">
        <v>380</v>
      </c>
      <c r="L6305" s="5"/>
      <c r="M6305" s="27">
        <v>865036</v>
      </c>
      <c r="N6305" s="5"/>
      <c r="O6305" s="5" t="str">
        <v>5018160131</v>
      </c>
      <c r="P6305" s="27">
        <v>20000</v>
      </c>
      <c r="Q6305" s="5"/>
      <c r="R6305" s="5"/>
      <c r="S6305" s="5" t="s">
        <v>49110</v>
      </c>
      <c r="T6305" s="28">
        <v>80000</v>
      </c>
      <c r="U6305" s="28"/>
      <c r="V6305" s="28">
        <v>5608000</v>
      </c>
      <c r="W6305" s="28"/>
      <c r="X6305" s="28">
        <v>114000</v>
      </c>
      <c r="Y6305" s="28">
        <v>5866000</v>
      </c>
      <c r="Z6305" s="28">
        <v>-7584000</v>
      </c>
      <c r="AA6305" s="28"/>
      <c r="AB6305" s="28">
        <v>350000</v>
      </c>
      <c r="AC6305" s="28">
        <v>13430000</v>
      </c>
      <c r="AD6305" s="28">
        <v>-7564000</v>
      </c>
      <c r="AE6305" s="28">
        <v>28033706000</v>
      </c>
      <c r="AF6305" s="28">
        <v>-774822000</v>
      </c>
      <c r="AG6305" s="11"/>
    </row>
    <row r="6306">
      <c r="A6306" s="7" t="s">
        <v>7881</v>
      </c>
      <c r="B6306" s="5" t="s">
        <v>15833</v>
      </c>
      <c r="C6306" s="5" t="s">
        <v>23486</v>
      </c>
      <c r="D6306" s="5" t="str">
        <v>780161431551</v>
      </c>
      <c r="E6306" s="0" t="e">
        <f>+7 (812) 6775470
+7 (812) 6778251
+7 (812) 8836758</f>
        <v>#NAME?</v>
      </c>
      <c r="F6306" s="5" t="s">
        <v>43750</v>
      </c>
      <c r="G6306" s="5" t="s">
        <v>43751</v>
      </c>
      <c r="H6306" s="26">
        <v>11.5</v>
      </c>
      <c r="I6306" s="5" t="s">
        <v>43752</v>
      </c>
      <c r="J6306" s="5" t="s">
        <v>599</v>
      </c>
      <c r="K6306" s="5" t="s">
        <v>344</v>
      </c>
      <c r="L6306" s="5" t="s">
        <v>43753</v>
      </c>
      <c r="M6306" s="27">
        <v>14398007</v>
      </c>
      <c r="N6306" s="5" t="s">
        <v>58787</v>
      </c>
      <c r="O6306" s="5" t="str">
        <v>7723817213</v>
      </c>
      <c r="P6306" s="27">
        <v>200000000</v>
      </c>
      <c r="Q6306" s="5" t="s">
        <v>58789</v>
      </c>
      <c r="R6306" s="5"/>
      <c r="S6306" s="5" t="s">
        <v>49358</v>
      </c>
      <c r="T6306" s="28">
        <v>2279627000</v>
      </c>
      <c r="U6306" s="28"/>
      <c r="V6306" s="28">
        <v>35188151000</v>
      </c>
      <c r="W6306" s="28">
        <v>279906000</v>
      </c>
      <c r="X6306" s="28">
        <v>11096976000</v>
      </c>
      <c r="Y6306" s="28">
        <v>51677126000</v>
      </c>
      <c r="Z6306" s="28">
        <v>31929486000</v>
      </c>
      <c r="AA6306" s="28"/>
      <c r="AB6306" s="28">
        <v>252576000</v>
      </c>
      <c r="AC6306" s="28">
        <v>19508418000</v>
      </c>
      <c r="AD6306" s="28">
        <v>32129486000</v>
      </c>
      <c r="AE6306" s="28">
        <v>89107069000</v>
      </c>
      <c r="AF6306" s="28">
        <v>30944320000</v>
      </c>
      <c r="AG6306" s="11"/>
    </row>
    <row r="6307">
      <c r="A6307" s="7" t="s">
        <v>7881</v>
      </c>
      <c r="B6307" s="5" t="s">
        <v>15834</v>
      </c>
      <c r="C6307" s="5" t="s">
        <v>23487</v>
      </c>
      <c r="D6307" s="5" t="str">
        <v>380800759727</v>
      </c>
      <c r="E6307" s="0" t="e">
        <f>+7 (983) 4409434
+7 (3952) 434564</f>
        <v>#NAME?</v>
      </c>
      <c r="F6307" s="5" t="s">
        <v>43754</v>
      </c>
      <c r="G6307" s="5" t="s">
        <v>43755</v>
      </c>
      <c r="H6307" s="26">
        <v>15</v>
      </c>
      <c r="I6307" s="5" t="s">
        <v>43756</v>
      </c>
      <c r="J6307" s="5" t="s">
        <v>364</v>
      </c>
      <c r="K6307" s="5" t="s">
        <v>344</v>
      </c>
      <c r="L6307" s="5" t="s">
        <v>43757</v>
      </c>
      <c r="M6307" s="27">
        <v>634242586</v>
      </c>
      <c r="N6307" s="5" t="s">
        <v>58790</v>
      </c>
      <c r="O6307" s="5" t="str">
        <v>3812100526</v>
      </c>
      <c r="P6307" s="27">
        <v>100000000</v>
      </c>
      <c r="Q6307" s="5" t="s">
        <v>58792</v>
      </c>
      <c r="R6307" s="5" t="s">
        <v>58793</v>
      </c>
      <c r="S6307" s="5" t="s">
        <v>58794</v>
      </c>
      <c r="T6307" s="28">
        <v>3775376000</v>
      </c>
      <c r="U6307" s="28"/>
      <c r="V6307" s="28">
        <v>5694795000</v>
      </c>
      <c r="W6307" s="28">
        <v>45352000</v>
      </c>
      <c r="X6307" s="28">
        <v>1082930000</v>
      </c>
      <c r="Y6307" s="28">
        <v>12028030000</v>
      </c>
      <c r="Z6307" s="28">
        <v>2403176000</v>
      </c>
      <c r="AA6307" s="28"/>
      <c r="AB6307" s="28"/>
      <c r="AC6307" s="28">
        <v>5551486000</v>
      </c>
      <c r="AD6307" s="28">
        <v>2503176000</v>
      </c>
      <c r="AE6307" s="28">
        <v>13994047000</v>
      </c>
      <c r="AF6307" s="28">
        <v>964974000</v>
      </c>
      <c r="AG6307" s="11"/>
    </row>
    <row r="6308">
      <c r="A6308" s="7" t="s">
        <v>7882</v>
      </c>
      <c r="B6308" s="5" t="s">
        <v>15835</v>
      </c>
      <c r="C6308" s="5" t="s">
        <v>23488</v>
      </c>
      <c r="D6308" s="5" t="str">
        <v>774307386860</v>
      </c>
      <c r="E6308" s="0" t="e">
        <f>+7 (985) 442860</f>
        <v>#NAME?</v>
      </c>
      <c r="F6308" s="5"/>
      <c r="G6308" s="5"/>
      <c r="H6308" s="26">
        <v>8.5</v>
      </c>
      <c r="I6308" s="5"/>
      <c r="J6308" s="5" t="s">
        <v>693</v>
      </c>
      <c r="K6308" s="5" t="s">
        <v>344</v>
      </c>
      <c r="L6308" s="5" t="s">
        <v>43758</v>
      </c>
      <c r="M6308" s="27"/>
      <c r="N6308" s="5" t="s">
        <v>58795</v>
      </c>
      <c r="O6308" s="5" t="str">
        <v>7717786422</v>
      </c>
      <c r="P6308" s="27">
        <v>100000</v>
      </c>
      <c r="Q6308" s="5" t="s">
        <v>58796</v>
      </c>
      <c r="R6308" s="5"/>
      <c r="S6308" s="5" t="s">
        <v>58797</v>
      </c>
      <c r="T6308" s="28">
        <v>29244000</v>
      </c>
      <c r="U6308" s="28"/>
      <c r="V6308" s="28">
        <v>453391000</v>
      </c>
      <c r="W6308" s="28"/>
      <c r="X6308" s="28">
        <v>2548000</v>
      </c>
      <c r="Y6308" s="28">
        <v>772840000</v>
      </c>
      <c r="Z6308" s="28">
        <v>137451000</v>
      </c>
      <c r="AA6308" s="28">
        <v>49943000</v>
      </c>
      <c r="AB6308" s="28">
        <v>357745000</v>
      </c>
      <c r="AC6308" s="28">
        <v>577403000</v>
      </c>
      <c r="AD6308" s="28">
        <v>137556000</v>
      </c>
      <c r="AE6308" s="28">
        <v>4025705000</v>
      </c>
      <c r="AF6308" s="28">
        <v>16065000</v>
      </c>
      <c r="AG6308" s="11"/>
    </row>
    <row r="6309">
      <c r="A6309" s="7" t="s">
        <v>7883</v>
      </c>
      <c r="B6309" s="5" t="s">
        <v>15836</v>
      </c>
      <c r="C6309" s="5" t="s">
        <v>23489</v>
      </c>
      <c r="D6309" s="5" t="str">
        <v>771870611978</v>
      </c>
      <c r="E6309" s="0" t="e">
        <f>+7 (495) 65657
+7 (913) 1848313
+7 (913) 2382606
+7 (914) 1540796
+7 (914) 5382874
+7 (917) 1990116
+7 (917) 4247513
+7 (917) 6903431
+7 (919) 8700171
+7 (926) 5258723
+7 (983) 2552487
+7 (985) 5856451
+7 (495) 4247513
+7 (926) 5257235
+7 (985) 8586451</f>
        <v>#NAME?</v>
      </c>
      <c r="F6309" s="5" t="s">
        <v>43759</v>
      </c>
      <c r="G6309" s="5"/>
      <c r="H6309" s="26">
        <v>18.5</v>
      </c>
      <c r="I6309" s="5" t="s">
        <v>43760</v>
      </c>
      <c r="J6309" s="5" t="s">
        <v>26918</v>
      </c>
      <c r="K6309" s="5" t="s">
        <v>344</v>
      </c>
      <c r="L6309" s="5" t="s">
        <v>43761</v>
      </c>
      <c r="M6309" s="27"/>
      <c r="N6309" s="5" t="s">
        <v>58798</v>
      </c>
      <c r="O6309" s="5" t="str">
        <v>7743529238</v>
      </c>
      <c r="P6309" s="27">
        <v>10000</v>
      </c>
      <c r="Q6309" s="5" t="s">
        <v>58799</v>
      </c>
      <c r="R6309" s="5"/>
      <c r="S6309" s="5" t="s">
        <v>58800</v>
      </c>
      <c r="T6309" s="28">
        <v>5018000</v>
      </c>
      <c r="U6309" s="28"/>
      <c r="V6309" s="28">
        <v>1844439000</v>
      </c>
      <c r="W6309" s="28"/>
      <c r="X6309" s="28">
        <v>61894000</v>
      </c>
      <c r="Y6309" s="28">
        <v>2671434000</v>
      </c>
      <c r="Z6309" s="28">
        <v>353716000</v>
      </c>
      <c r="AA6309" s="28"/>
      <c r="AB6309" s="28"/>
      <c r="AC6309" s="28">
        <v>2313346000</v>
      </c>
      <c r="AD6309" s="28">
        <v>353726000</v>
      </c>
      <c r="AE6309" s="28">
        <v>3316560000</v>
      </c>
      <c r="AF6309" s="28">
        <v>318911000</v>
      </c>
      <c r="AG6309" s="11"/>
    </row>
    <row r="6310">
      <c r="A6310" s="7" t="s">
        <v>7884</v>
      </c>
      <c r="B6310" s="5" t="s">
        <v>15837</v>
      </c>
      <c r="C6310" s="5" t="s">
        <v>23490</v>
      </c>
      <c r="D6310" s="5" t="str">
        <v>420553037334</v>
      </c>
      <c r="E6310" s="0" t="e">
        <f>+7 (384) 2287260
+7 (384) 2374664
+7 (384) 2490007
+7 (384) 2490922
+7 (38456) 28241
+7 (343) 3450100
+7 (384) 2347106
+7 (384) 2377861
+7 (384) 2377863
+7 (384) 2377864
+7 (384) 2377865
+7 (384) 2490004
+7 (384) 2490919
+7 (384) 2490940
+7 (3843) 366805</f>
        <v>#NAME?</v>
      </c>
      <c r="F6310" s="5" t="s">
        <v>43762</v>
      </c>
      <c r="G6310" s="5" t="s">
        <v>40333</v>
      </c>
      <c r="H6310" s="26">
        <v>29</v>
      </c>
      <c r="I6310" s="5"/>
      <c r="J6310" s="5" t="s">
        <v>373</v>
      </c>
      <c r="K6310" s="5" t="s">
        <v>344</v>
      </c>
      <c r="L6310" s="5" t="s">
        <v>43763</v>
      </c>
      <c r="M6310" s="27">
        <v>1274778</v>
      </c>
      <c r="N6310" s="5" t="s">
        <v>58801</v>
      </c>
      <c r="O6310" s="5" t="str">
        <v>4234001215</v>
      </c>
      <c r="P6310" s="27">
        <v>9000</v>
      </c>
      <c r="Q6310" s="5" t="s">
        <v>58802</v>
      </c>
      <c r="R6310" s="5"/>
      <c r="S6310" s="5" t="s">
        <v>58803</v>
      </c>
      <c r="T6310" s="28">
        <v>1449397000</v>
      </c>
      <c r="U6310" s="28">
        <v>3360443000</v>
      </c>
      <c r="V6310" s="28">
        <v>57911004000</v>
      </c>
      <c r="W6310" s="28">
        <v>701946000</v>
      </c>
      <c r="X6310" s="28">
        <v>1154489000</v>
      </c>
      <c r="Y6310" s="28">
        <v>76333452000</v>
      </c>
      <c r="Z6310" s="28">
        <v>35924891000</v>
      </c>
      <c r="AA6310" s="28">
        <v>6584240000</v>
      </c>
      <c r="AB6310" s="28">
        <v>25738809000</v>
      </c>
      <c r="AC6310" s="28">
        <v>33283657000</v>
      </c>
      <c r="AD6310" s="28">
        <v>35924900000</v>
      </c>
      <c r="AE6310" s="28">
        <v>228759797000</v>
      </c>
      <c r="AF6310" s="28">
        <v>24024498000</v>
      </c>
      <c r="AG6310" s="11"/>
    </row>
    <row r="6311">
      <c r="A6311" s="7" t="s">
        <v>196</v>
      </c>
      <c r="B6311" s="5" t="s">
        <v>15838</v>
      </c>
      <c r="C6311" s="5" t="s">
        <v>23491</v>
      </c>
      <c r="D6311" s="5" t="str">
        <v>772904927043</v>
      </c>
      <c r="E6311" s="0" t="e">
        <f>+7 (495) 9270099
+7 (499) 7218609</f>
        <v>#NAME?</v>
      </c>
      <c r="F6311" s="5"/>
      <c r="G6311" s="5"/>
      <c r="H6311" s="26">
        <v>9</v>
      </c>
      <c r="I6311" s="5" t="s">
        <v>43764</v>
      </c>
      <c r="J6311" s="5" t="s">
        <v>467</v>
      </c>
      <c r="K6311" s="5" t="s">
        <v>355</v>
      </c>
      <c r="L6311" s="5"/>
      <c r="M6311" s="27">
        <v>4923134</v>
      </c>
      <c r="N6311" s="5" t="s">
        <v>58804</v>
      </c>
      <c r="O6311" s="5" t="str">
        <v>7720805643</v>
      </c>
      <c r="P6311" s="27">
        <v>1000000</v>
      </c>
      <c r="Q6311" s="5" t="s">
        <v>58805</v>
      </c>
      <c r="R6311" s="5"/>
      <c r="S6311" s="5" t="s">
        <v>58806</v>
      </c>
      <c r="T6311" s="28">
        <v>208440000</v>
      </c>
      <c r="U6311" s="28"/>
      <c r="V6311" s="28">
        <v>1711987000</v>
      </c>
      <c r="W6311" s="28">
        <v>1802861000</v>
      </c>
      <c r="X6311" s="28">
        <v>366489000</v>
      </c>
      <c r="Y6311" s="28">
        <v>6750089000</v>
      </c>
      <c r="Z6311" s="28">
        <v>197594000</v>
      </c>
      <c r="AA6311" s="28"/>
      <c r="AB6311" s="28">
        <v>248582000</v>
      </c>
      <c r="AC6311" s="28">
        <v>6449347000</v>
      </c>
      <c r="AD6311" s="28">
        <v>228594000</v>
      </c>
      <c r="AE6311" s="28">
        <v>3649980000</v>
      </c>
      <c r="AF6311" s="28">
        <v>4178000</v>
      </c>
      <c r="AG6311" s="11"/>
    </row>
    <row r="6312">
      <c r="A6312" s="7" t="s">
        <v>196</v>
      </c>
      <c r="B6312" s="5" t="s">
        <v>15839</v>
      </c>
      <c r="C6312" s="5" t="s">
        <v>23492</v>
      </c>
      <c r="D6312" s="5" t="str">
        <v>553400489316</v>
      </c>
      <c r="E6312" s="0" t="e">
        <f>+7 (381) 2756318
+7 (381) 2782612
+7 (381) 2731629
+7 (381) 2732534
+7 (381) 2747271
+7 (381) 2747424
+7 (381) 2782221
+7 (381) 2782271
+7 (381) 2782324
+7 (381) 2782613</f>
        <v>#NAME?</v>
      </c>
      <c r="F6312" s="5" t="s">
        <v>43765</v>
      </c>
      <c r="G6312" s="5"/>
      <c r="H6312" s="26">
        <v>29</v>
      </c>
      <c r="I6312" s="5" t="s">
        <v>43766</v>
      </c>
      <c r="J6312" s="5" t="s">
        <v>467</v>
      </c>
      <c r="K6312" s="5" t="s">
        <v>344</v>
      </c>
      <c r="L6312" s="5"/>
      <c r="M6312" s="27"/>
      <c r="N6312" s="5" t="s">
        <v>58807</v>
      </c>
      <c r="O6312" s="5" t="str">
        <v>5534020997</v>
      </c>
      <c r="P6312" s="27">
        <v>18400</v>
      </c>
      <c r="Q6312" s="5" t="s">
        <v>58808</v>
      </c>
      <c r="R6312" s="5"/>
      <c r="S6312" s="5" t="s">
        <v>58809</v>
      </c>
      <c r="T6312" s="28">
        <v>406853000</v>
      </c>
      <c r="U6312" s="28"/>
      <c r="V6312" s="28">
        <v>358840000</v>
      </c>
      <c r="W6312" s="28">
        <v>4535000000</v>
      </c>
      <c r="X6312" s="28">
        <v>357614000</v>
      </c>
      <c r="Y6312" s="28">
        <v>6405756000</v>
      </c>
      <c r="Z6312" s="28">
        <v>5277295000</v>
      </c>
      <c r="AA6312" s="28"/>
      <c r="AB6312" s="28"/>
      <c r="AC6312" s="28">
        <v>1128443000</v>
      </c>
      <c r="AD6312" s="28">
        <v>5277313000</v>
      </c>
      <c r="AE6312" s="28">
        <v>7401441000</v>
      </c>
      <c r="AF6312" s="28">
        <v>610514000</v>
      </c>
      <c r="AG6312" s="11"/>
    </row>
    <row r="6313">
      <c r="A6313" s="7" t="s">
        <v>7885</v>
      </c>
      <c r="B6313" s="5" t="s">
        <v>15840</v>
      </c>
      <c r="C6313" s="5" t="s">
        <v>23493</v>
      </c>
      <c r="D6313" s="5" t="str">
        <v>502206360332</v>
      </c>
      <c r="E6313" s="0" t="e">
        <f>+7 (495) 6410745
+7 (495) 6644241
+7 (495) 7776111
+7 (800) 7004616
+7 (903) 195430
+7 (920) 449174</f>
        <v>#NAME?</v>
      </c>
      <c r="F6313" s="5"/>
      <c r="G6313" s="5" t="s">
        <v>43767</v>
      </c>
      <c r="H6313" s="26">
        <v>8</v>
      </c>
      <c r="I6313" s="5" t="s">
        <v>43768</v>
      </c>
      <c r="J6313" s="5" t="s">
        <v>25190</v>
      </c>
      <c r="K6313" s="5" t="s">
        <v>344</v>
      </c>
      <c r="L6313" s="5" t="s">
        <v>43769</v>
      </c>
      <c r="M6313" s="27"/>
      <c r="N6313" s="5" t="s">
        <v>58810</v>
      </c>
      <c r="O6313" s="5" t="str">
        <v>5041201957</v>
      </c>
      <c r="P6313" s="27">
        <v>10000</v>
      </c>
      <c r="Q6313" s="5"/>
      <c r="R6313" s="5"/>
      <c r="S6313" s="5" t="s">
        <v>49110</v>
      </c>
      <c r="T6313" s="28">
        <v>4009000</v>
      </c>
      <c r="U6313" s="28"/>
      <c r="V6313" s="28">
        <v>790347000</v>
      </c>
      <c r="W6313" s="28"/>
      <c r="X6313" s="28">
        <v>165763000</v>
      </c>
      <c r="Y6313" s="28">
        <v>2046554000</v>
      </c>
      <c r="Z6313" s="28">
        <v>1047401000</v>
      </c>
      <c r="AA6313" s="28"/>
      <c r="AB6313" s="28">
        <v>10000000</v>
      </c>
      <c r="AC6313" s="28">
        <v>998773000</v>
      </c>
      <c r="AD6313" s="28">
        <v>1047411000</v>
      </c>
      <c r="AE6313" s="28">
        <v>5314213000</v>
      </c>
      <c r="AF6313" s="28">
        <v>471950000</v>
      </c>
      <c r="AG6313" s="11"/>
    </row>
    <row r="6314">
      <c r="A6314" s="7" t="s">
        <v>7886</v>
      </c>
      <c r="B6314" s="5" t="s">
        <v>15841</v>
      </c>
      <c r="C6314" s="5" t="s">
        <v>23494</v>
      </c>
      <c r="D6314" s="5" t="str">
        <v>772978431588</v>
      </c>
      <c r="E6314" s="0" t="e">
        <f>+7 (495) 5441875</f>
        <v>#NAME?</v>
      </c>
      <c r="F6314" s="5"/>
      <c r="G6314" s="5"/>
      <c r="H6314" s="26">
        <v>8.5</v>
      </c>
      <c r="I6314" s="5" t="s">
        <v>43770</v>
      </c>
      <c r="J6314" s="5" t="s">
        <v>364</v>
      </c>
      <c r="K6314" s="5" t="s">
        <v>355</v>
      </c>
      <c r="L6314" s="5"/>
      <c r="M6314" s="27"/>
      <c r="N6314" s="5"/>
      <c r="O6314" s="5" t="str">
        <v>5029189171</v>
      </c>
      <c r="P6314" s="27">
        <v>10000</v>
      </c>
      <c r="Q6314" s="5" t="s">
        <v>49817</v>
      </c>
      <c r="R6314" s="5"/>
      <c r="S6314" s="5" t="s">
        <v>58811</v>
      </c>
      <c r="T6314" s="28">
        <v>11799000</v>
      </c>
      <c r="U6314" s="28"/>
      <c r="V6314" s="28">
        <v>1097463000</v>
      </c>
      <c r="W6314" s="28">
        <v>8000000</v>
      </c>
      <c r="X6314" s="28">
        <v>397000</v>
      </c>
      <c r="Y6314" s="28">
        <v>1179410000</v>
      </c>
      <c r="Z6314" s="28">
        <v>-29854000</v>
      </c>
      <c r="AA6314" s="28"/>
      <c r="AB6314" s="28">
        <v>791000</v>
      </c>
      <c r="AC6314" s="28">
        <v>1082944000</v>
      </c>
      <c r="AD6314" s="28">
        <v>96156000</v>
      </c>
      <c r="AE6314" s="28">
        <v>5037431000</v>
      </c>
      <c r="AF6314" s="28">
        <v>-10738000</v>
      </c>
      <c r="AG6314" s="11"/>
    </row>
    <row r="6315">
      <c r="A6315" s="7" t="s">
        <v>7886</v>
      </c>
      <c r="B6315" s="5" t="s">
        <v>15842</v>
      </c>
      <c r="C6315" s="5" t="s">
        <v>23495</v>
      </c>
      <c r="D6315" s="5" t="str">
        <v>026609404388</v>
      </c>
      <c r="E6315" s="0" t="e">
        <f>+7 (381) 2362655
+7 (381) 2518212
+7 (381) 2690821
+7 (381) 2690941
+7 (381) 2690942
+7 (381) 2948323</f>
        <v>#NAME?</v>
      </c>
      <c r="F6315" s="5" t="s">
        <v>43771</v>
      </c>
      <c r="G6315" s="5" t="s">
        <v>43772</v>
      </c>
      <c r="H6315" s="26">
        <v>16</v>
      </c>
      <c r="I6315" s="5" t="s">
        <v>43773</v>
      </c>
      <c r="J6315" s="5" t="s">
        <v>1095</v>
      </c>
      <c r="K6315" s="5" t="s">
        <v>344</v>
      </c>
      <c r="L6315" s="5" t="s">
        <v>43774</v>
      </c>
      <c r="M6315" s="27"/>
      <c r="N6315" s="5" t="s">
        <v>58812</v>
      </c>
      <c r="O6315" s="5" t="str">
        <v>5501105250</v>
      </c>
      <c r="P6315" s="27">
        <v>25000</v>
      </c>
      <c r="Q6315" s="5" t="s">
        <v>49324</v>
      </c>
      <c r="R6315" s="5"/>
      <c r="S6315" s="5" t="s">
        <v>51997</v>
      </c>
      <c r="T6315" s="28">
        <v>99217000</v>
      </c>
      <c r="U6315" s="28"/>
      <c r="V6315" s="28">
        <v>417189000</v>
      </c>
      <c r="W6315" s="28">
        <v>1165732000</v>
      </c>
      <c r="X6315" s="28">
        <v>44742000</v>
      </c>
      <c r="Y6315" s="28">
        <v>2500451000</v>
      </c>
      <c r="Z6315" s="28">
        <v>423269000</v>
      </c>
      <c r="AA6315" s="28"/>
      <c r="AB6315" s="28">
        <v>94000</v>
      </c>
      <c r="AC6315" s="28">
        <v>1816369000</v>
      </c>
      <c r="AD6315" s="28">
        <v>625082000</v>
      </c>
      <c r="AE6315" s="28">
        <v>4140737000</v>
      </c>
      <c r="AF6315" s="28">
        <v>153449000</v>
      </c>
      <c r="AG6315" s="11"/>
    </row>
    <row r="6316">
      <c r="A6316" s="7" t="s">
        <v>7887</v>
      </c>
      <c r="B6316" s="5" t="s">
        <v>15843</v>
      </c>
      <c r="C6316" s="5" t="s">
        <v>23496</v>
      </c>
      <c r="D6316" s="5" t="str">
        <v>507400756736</v>
      </c>
      <c r="E6316" s="0" t="e">
        <f>+7 (495) 5087793
+7 (495) 6460978
+7 (909) 9210025</f>
        <v>#NAME?</v>
      </c>
      <c r="F6316" s="5" t="s">
        <v>43775</v>
      </c>
      <c r="G6316" s="5"/>
      <c r="H6316" s="26">
        <v>15.5</v>
      </c>
      <c r="I6316" s="5" t="s">
        <v>43776</v>
      </c>
      <c r="J6316" s="5" t="s">
        <v>35395</v>
      </c>
      <c r="K6316" s="5" t="s">
        <v>344</v>
      </c>
      <c r="L6316" s="5" t="s">
        <v>31387</v>
      </c>
      <c r="M6316" s="27">
        <v>10999170</v>
      </c>
      <c r="N6316" s="5" t="s">
        <v>58813</v>
      </c>
      <c r="O6316" s="5" t="str">
        <v>7720598732</v>
      </c>
      <c r="P6316" s="27">
        <v>15000</v>
      </c>
      <c r="Q6316" s="5" t="s">
        <v>58814</v>
      </c>
      <c r="R6316" s="5"/>
      <c r="S6316" s="5" t="s">
        <v>58815</v>
      </c>
      <c r="T6316" s="28">
        <v>17433000</v>
      </c>
      <c r="U6316" s="28"/>
      <c r="V6316" s="28">
        <v>2228956000</v>
      </c>
      <c r="W6316" s="28">
        <v>1990115000</v>
      </c>
      <c r="X6316" s="28">
        <v>304751000</v>
      </c>
      <c r="Y6316" s="28">
        <v>6128048000</v>
      </c>
      <c r="Z6316" s="28">
        <v>1238416000</v>
      </c>
      <c r="AA6316" s="28"/>
      <c r="AB6316" s="28">
        <v>1085235000</v>
      </c>
      <c r="AC6316" s="28">
        <v>4875893000</v>
      </c>
      <c r="AD6316" s="28">
        <v>1238431000</v>
      </c>
      <c r="AE6316" s="28">
        <v>6028533000</v>
      </c>
      <c r="AF6316" s="28">
        <v>426793000</v>
      </c>
      <c r="AG6316" s="11"/>
    </row>
    <row r="6317">
      <c r="A6317" s="7" t="s">
        <v>7888</v>
      </c>
      <c r="B6317" s="5" t="s">
        <v>15844</v>
      </c>
      <c r="C6317" s="5" t="s">
        <v>23497</v>
      </c>
      <c r="D6317" s="5" t="str">
        <v>360407785662</v>
      </c>
      <c r="E6317" s="0" t="e">
        <f>+7 (916) 6149593
+7 (495) 6004060
+7 (495) 6210547
+7 (495) 7754757
+7 (495) 9210547
+7 (916) 2219734
+7 (916) 9913315
+7 (985) 9970575</f>
        <v>#NAME?</v>
      </c>
      <c r="F6317" s="5" t="s">
        <v>43777</v>
      </c>
      <c r="G6317" s="5"/>
      <c r="H6317" s="26">
        <v>17.5</v>
      </c>
      <c r="I6317" s="5" t="s">
        <v>43778</v>
      </c>
      <c r="J6317" s="5" t="s">
        <v>28738</v>
      </c>
      <c r="K6317" s="5" t="s">
        <v>344</v>
      </c>
      <c r="L6317" s="5" t="s">
        <v>43779</v>
      </c>
      <c r="M6317" s="27">
        <v>483860</v>
      </c>
      <c r="N6317" s="5"/>
      <c r="O6317" s="5" t="str">
        <v>5001052272</v>
      </c>
      <c r="P6317" s="27">
        <v>40000</v>
      </c>
      <c r="Q6317" s="5" t="s">
        <v>49009</v>
      </c>
      <c r="R6317" s="5"/>
      <c r="S6317" s="5" t="s">
        <v>49012</v>
      </c>
      <c r="T6317" s="28">
        <v>286072000</v>
      </c>
      <c r="U6317" s="28"/>
      <c r="V6317" s="28">
        <v>478699000</v>
      </c>
      <c r="W6317" s="28">
        <v>62003000</v>
      </c>
      <c r="X6317" s="28">
        <v>6401000</v>
      </c>
      <c r="Y6317" s="28">
        <v>1607359000</v>
      </c>
      <c r="Z6317" s="28">
        <v>694002000</v>
      </c>
      <c r="AA6317" s="28"/>
      <c r="AB6317" s="28">
        <v>193097000</v>
      </c>
      <c r="AC6317" s="28">
        <v>663266000</v>
      </c>
      <c r="AD6317" s="28">
        <v>694042000</v>
      </c>
      <c r="AE6317" s="28">
        <v>5142322000</v>
      </c>
      <c r="AF6317" s="28">
        <v>546260000</v>
      </c>
      <c r="AG6317" s="11"/>
    </row>
    <row r="6318">
      <c r="A6318" s="7" t="s">
        <v>7889</v>
      </c>
      <c r="B6318" s="5" t="s">
        <v>15845</v>
      </c>
      <c r="C6318" s="5" t="s">
        <v>23498</v>
      </c>
      <c r="D6318" s="5" t="str">
        <v>352513753701</v>
      </c>
      <c r="E6318" s="0" t="e">
        <f>+7 (817) 2239339
+7 (81755) 22391
+7 (8202) 490100
+7 (921) 1287212
+7 (921) 1287272
+7 (921) 5349923</f>
        <v>#NAME?</v>
      </c>
      <c r="F6318" s="5" t="s">
        <v>43780</v>
      </c>
      <c r="G6318" s="5"/>
      <c r="H6318" s="26">
        <v>5</v>
      </c>
      <c r="I6318" s="5" t="s">
        <v>43781</v>
      </c>
      <c r="J6318" s="5" t="s">
        <v>25190</v>
      </c>
      <c r="K6318" s="5" t="s">
        <v>344</v>
      </c>
      <c r="L6318" s="5" t="s">
        <v>43782</v>
      </c>
      <c r="M6318" s="27"/>
      <c r="N6318" s="5" t="s">
        <v>58816</v>
      </c>
      <c r="O6318" s="5" t="str">
        <v>7714420980</v>
      </c>
      <c r="P6318" s="27">
        <v>10000</v>
      </c>
      <c r="Q6318" s="5" t="s">
        <v>49009</v>
      </c>
      <c r="R6318" s="5"/>
      <c r="S6318" s="5" t="s">
        <v>49116</v>
      </c>
      <c r="T6318" s="28">
        <v>60298000</v>
      </c>
      <c r="U6318" s="28"/>
      <c r="V6318" s="28">
        <v>289217000</v>
      </c>
      <c r="W6318" s="28">
        <v>20000000</v>
      </c>
      <c r="X6318" s="28">
        <v>28454000</v>
      </c>
      <c r="Y6318" s="28">
        <v>842417000</v>
      </c>
      <c r="Z6318" s="28">
        <v>223008000</v>
      </c>
      <c r="AA6318" s="28"/>
      <c r="AB6318" s="28"/>
      <c r="AC6318" s="28">
        <v>602869000</v>
      </c>
      <c r="AD6318" s="28">
        <v>223018000</v>
      </c>
      <c r="AE6318" s="28">
        <v>4044283000</v>
      </c>
      <c r="AF6318" s="28">
        <v>82210000</v>
      </c>
      <c r="AG6318" s="11"/>
    </row>
    <row r="6319">
      <c r="A6319" s="7" t="s">
        <v>7890</v>
      </c>
      <c r="B6319" s="5" t="s">
        <v>15846</v>
      </c>
      <c r="C6319" s="5" t="s">
        <v>23499</v>
      </c>
      <c r="D6319" s="5" t="str">
        <v>260702050694</v>
      </c>
      <c r="E6319" s="0" t="e">
        <f>+7 (861) 2758935
+7 (961) 9441919
+7 (861) 2772323</f>
        <v>#NAME?</v>
      </c>
      <c r="F6319" s="5" t="s">
        <v>43783</v>
      </c>
      <c r="G6319" s="5"/>
      <c r="H6319" s="26">
        <v>8</v>
      </c>
      <c r="I6319" s="5" t="s">
        <v>43784</v>
      </c>
      <c r="J6319" s="5" t="s">
        <v>27182</v>
      </c>
      <c r="K6319" s="5" t="s">
        <v>344</v>
      </c>
      <c r="L6319" s="5" t="s">
        <v>43785</v>
      </c>
      <c r="M6319" s="27"/>
      <c r="N6319" s="5"/>
      <c r="O6319" s="5" t="str">
        <v>2311183953</v>
      </c>
      <c r="P6319" s="27">
        <v>10000</v>
      </c>
      <c r="Q6319" s="5" t="s">
        <v>58817</v>
      </c>
      <c r="R6319" s="5"/>
      <c r="S6319" s="5" t="s">
        <v>58818</v>
      </c>
      <c r="T6319" s="28">
        <v>32612000</v>
      </c>
      <c r="U6319" s="28"/>
      <c r="V6319" s="28">
        <v>1087391000</v>
      </c>
      <c r="W6319" s="28"/>
      <c r="X6319" s="28">
        <v>116458000</v>
      </c>
      <c r="Y6319" s="28">
        <v>2493946000</v>
      </c>
      <c r="Z6319" s="28">
        <v>1248129000</v>
      </c>
      <c r="AA6319" s="28">
        <v>340103000</v>
      </c>
      <c r="AB6319" s="28">
        <v>70091000</v>
      </c>
      <c r="AC6319" s="28">
        <v>893381000</v>
      </c>
      <c r="AD6319" s="28">
        <v>1248139000</v>
      </c>
      <c r="AE6319" s="28">
        <v>9049503000</v>
      </c>
      <c r="AF6319" s="28">
        <v>401192000</v>
      </c>
      <c r="AG6319" s="11"/>
    </row>
    <row r="6320">
      <c r="A6320" s="7" t="s">
        <v>7891</v>
      </c>
      <c r="B6320" s="5" t="s">
        <v>15847</v>
      </c>
      <c r="C6320" s="5" t="s">
        <v>23500</v>
      </c>
      <c r="D6320" s="5" t="str">
        <v>501702921696</v>
      </c>
      <c r="F6320" s="5" t="s">
        <v>43786</v>
      </c>
      <c r="G6320" s="5"/>
      <c r="H6320" s="26">
        <v>4</v>
      </c>
      <c r="I6320" s="5" t="s">
        <v>43787</v>
      </c>
      <c r="J6320" s="5" t="s">
        <v>27115</v>
      </c>
      <c r="K6320" s="5" t="s">
        <v>344</v>
      </c>
      <c r="L6320" s="5" t="s">
        <v>43788</v>
      </c>
      <c r="M6320" s="27"/>
      <c r="N6320" s="5"/>
      <c r="O6320" s="5" t="str">
        <v>5032302613</v>
      </c>
      <c r="P6320" s="27">
        <v>210000</v>
      </c>
      <c r="Q6320" s="5" t="s">
        <v>49059</v>
      </c>
      <c r="R6320" s="5"/>
      <c r="S6320" s="5" t="s">
        <v>49126</v>
      </c>
      <c r="T6320" s="28">
        <v>79488000</v>
      </c>
      <c r="U6320" s="28"/>
      <c r="V6320" s="28">
        <v>261240000</v>
      </c>
      <c r="W6320" s="28">
        <v>32300000</v>
      </c>
      <c r="X6320" s="28">
        <v>75048000</v>
      </c>
      <c r="Y6320" s="28">
        <v>649307000</v>
      </c>
      <c r="Z6320" s="28">
        <v>13237000</v>
      </c>
      <c r="AA6320" s="28"/>
      <c r="AB6320" s="28"/>
      <c r="AC6320" s="28">
        <v>635052000</v>
      </c>
      <c r="AD6320" s="28">
        <v>13447000</v>
      </c>
      <c r="AE6320" s="28">
        <v>5786096000</v>
      </c>
      <c r="AF6320" s="28">
        <v>4133000</v>
      </c>
      <c r="AG6320" s="11"/>
    </row>
    <row r="6321">
      <c r="A6321" s="7" t="s">
        <v>7892</v>
      </c>
      <c r="B6321" s="5" t="s">
        <v>15848</v>
      </c>
      <c r="C6321" s="5" t="s">
        <v>23501</v>
      </c>
      <c r="D6321" s="5" t="str">
        <v>470317930378</v>
      </c>
      <c r="E6321" s="0" t="e">
        <f>+7 (800) 5556666
+7 (8112) 614023
+7 (812) 6666655
+7 (911) 200062
+7 (981) 8809819
+7 (999) 5289780</f>
        <v>#NAME?</v>
      </c>
      <c r="F6321" s="5" t="s">
        <v>43789</v>
      </c>
      <c r="G6321" s="5" t="s">
        <v>43790</v>
      </c>
      <c r="H6321" s="26">
        <v>6</v>
      </c>
      <c r="I6321" s="5" t="s">
        <v>43791</v>
      </c>
      <c r="J6321" s="5" t="s">
        <v>27416</v>
      </c>
      <c r="K6321" s="5" t="s">
        <v>355</v>
      </c>
      <c r="L6321" s="5" t="s">
        <v>43792</v>
      </c>
      <c r="M6321" s="27">
        <v>4840189</v>
      </c>
      <c r="N6321" s="5" t="s">
        <v>58819</v>
      </c>
      <c r="O6321" s="5" t="str">
        <v>4703148343</v>
      </c>
      <c r="P6321" s="27">
        <v>20000</v>
      </c>
      <c r="Q6321" s="5" t="s">
        <v>49009</v>
      </c>
      <c r="R6321" s="5"/>
      <c r="S6321" s="5" t="s">
        <v>49373</v>
      </c>
      <c r="T6321" s="28">
        <v>234132000</v>
      </c>
      <c r="U6321" s="28"/>
      <c r="V6321" s="28">
        <v>115127000</v>
      </c>
      <c r="W6321" s="28">
        <v>242316000</v>
      </c>
      <c r="X6321" s="28">
        <v>15354000</v>
      </c>
      <c r="Y6321" s="28">
        <v>6674590000</v>
      </c>
      <c r="Z6321" s="28">
        <v>421532000</v>
      </c>
      <c r="AA6321" s="28"/>
      <c r="AB6321" s="28">
        <v>372604000</v>
      </c>
      <c r="AC6321" s="28">
        <v>4163781000</v>
      </c>
      <c r="AD6321" s="28">
        <v>421835000</v>
      </c>
      <c r="AE6321" s="28">
        <v>9795393000</v>
      </c>
      <c r="AF6321" s="28">
        <v>6424000</v>
      </c>
      <c r="AG6321" s="11"/>
    </row>
    <row r="6322">
      <c r="A6322" s="7" t="s">
        <v>7893</v>
      </c>
      <c r="B6322" s="5" t="s">
        <v>15849</v>
      </c>
      <c r="C6322" s="5" t="s">
        <v>23502</v>
      </c>
      <c r="D6322" s="5" t="str">
        <v>301711812680</v>
      </c>
      <c r="E6322" s="0" t="e">
        <f>+7 (495) 6479118
+7 (495) 7414817</f>
        <v>#NAME?</v>
      </c>
      <c r="F6322" s="5" t="s">
        <v>43793</v>
      </c>
      <c r="G6322" s="5"/>
      <c r="H6322" s="26">
        <v>8.5</v>
      </c>
      <c r="I6322" s="5" t="s">
        <v>29987</v>
      </c>
      <c r="J6322" s="5" t="s">
        <v>947</v>
      </c>
      <c r="K6322" s="5" t="s">
        <v>380</v>
      </c>
      <c r="L6322" s="5"/>
      <c r="M6322" s="27">
        <v>64100293</v>
      </c>
      <c r="N6322" s="5"/>
      <c r="O6322" s="5" t="str">
        <v>7703813034</v>
      </c>
      <c r="P6322" s="27">
        <v>10000</v>
      </c>
      <c r="Q6322" s="5" t="s">
        <v>49009</v>
      </c>
      <c r="R6322" s="5" t="s">
        <v>58821</v>
      </c>
      <c r="S6322" s="5" t="s">
        <v>49093</v>
      </c>
      <c r="T6322" s="28">
        <v>502492000</v>
      </c>
      <c r="U6322" s="28"/>
      <c r="V6322" s="28">
        <v>23531425000</v>
      </c>
      <c r="W6322" s="28"/>
      <c r="X6322" s="28">
        <v>17688000</v>
      </c>
      <c r="Y6322" s="28">
        <v>33428490000</v>
      </c>
      <c r="Z6322" s="28">
        <v>-1251047000</v>
      </c>
      <c r="AA6322" s="28"/>
      <c r="AB6322" s="28"/>
      <c r="AC6322" s="28">
        <v>34328920000</v>
      </c>
      <c r="AD6322" s="28">
        <v>-1251037000</v>
      </c>
      <c r="AE6322" s="28">
        <v>48329490000</v>
      </c>
      <c r="AF6322" s="28">
        <v>-312426000</v>
      </c>
      <c r="AG6322" s="11"/>
    </row>
    <row r="6323">
      <c r="A6323" s="7" t="s">
        <v>7894</v>
      </c>
      <c r="B6323" s="5" t="s">
        <v>15850</v>
      </c>
      <c r="C6323" s="5" t="s">
        <v>21591</v>
      </c>
      <c r="D6323" s="5" t="str">
        <v>667204529946</v>
      </c>
      <c r="E6323" s="0" t="e">
        <f>+7 (343) 2903536
+7 (912) 6772430
+7 (343) 2870965
+7 (343) 2877778
+7 (343) 3233133
+7 (343) 3233155
+7 (343) 3233241
+7 (343) 3233242
+7 (343) 3233243
+7 (343) 3233244
+7 (3432) 741791</f>
        <v>#NAME?</v>
      </c>
      <c r="F6323" s="5" t="s">
        <v>43794</v>
      </c>
      <c r="G6323" s="5"/>
      <c r="H6323" s="26">
        <v>26.5</v>
      </c>
      <c r="I6323" s="5"/>
      <c r="J6323" s="5" t="s">
        <v>364</v>
      </c>
      <c r="K6323" s="5" t="s">
        <v>344</v>
      </c>
      <c r="L6323" s="5" t="s">
        <v>43795</v>
      </c>
      <c r="M6323" s="27">
        <v>65801330</v>
      </c>
      <c r="N6323" s="5" t="s">
        <v>58822</v>
      </c>
      <c r="O6323" s="5" t="str">
        <v>6660015639</v>
      </c>
      <c r="P6323" s="27">
        <v>80113000</v>
      </c>
      <c r="Q6323" s="5" t="s">
        <v>58823</v>
      </c>
      <c r="R6323" s="5"/>
      <c r="S6323" s="5" t="s">
        <v>58824</v>
      </c>
      <c r="T6323" s="28">
        <v>290548000</v>
      </c>
      <c r="U6323" s="28">
        <v>351585000</v>
      </c>
      <c r="V6323" s="28">
        <v>494560000</v>
      </c>
      <c r="W6323" s="28"/>
      <c r="X6323" s="28">
        <v>2369439000</v>
      </c>
      <c r="Y6323" s="28">
        <v>3776724000</v>
      </c>
      <c r="Z6323" s="28">
        <v>2105731000</v>
      </c>
      <c r="AA6323" s="28"/>
      <c r="AB6323" s="28"/>
      <c r="AC6323" s="28">
        <v>1590675000</v>
      </c>
      <c r="AD6323" s="28">
        <v>2185954000</v>
      </c>
      <c r="AE6323" s="28">
        <v>4594141000</v>
      </c>
      <c r="AF6323" s="28">
        <v>705779000</v>
      </c>
      <c r="AG6323" s="11"/>
    </row>
    <row r="6324">
      <c r="A6324" s="7" t="s">
        <v>7895</v>
      </c>
      <c r="B6324" s="5" t="s">
        <v>15851</v>
      </c>
      <c r="C6324" s="5" t="s">
        <v>23503</v>
      </c>
      <c r="D6324" s="5" t="str">
        <v>770704010425</v>
      </c>
      <c r="F6324" s="5"/>
      <c r="G6324" s="5" t="s">
        <v>43796</v>
      </c>
      <c r="H6324" s="26">
        <v>1.5</v>
      </c>
      <c r="I6324" s="5" t="s">
        <v>43797</v>
      </c>
      <c r="J6324" s="5" t="s">
        <v>31608</v>
      </c>
      <c r="K6324" s="5" t="s">
        <v>344</v>
      </c>
      <c r="L6324" s="5"/>
      <c r="M6324" s="27"/>
      <c r="N6324" s="5"/>
      <c r="O6324" s="5" t="str">
        <v>7743367611</v>
      </c>
      <c r="P6324" s="27">
        <v>720000</v>
      </c>
      <c r="Q6324" s="5" t="s">
        <v>49207</v>
      </c>
      <c r="R6324" s="5"/>
      <c r="S6324" s="5" t="s">
        <v>49311</v>
      </c>
      <c r="T6324" s="28">
        <v>20946000</v>
      </c>
      <c r="U6324" s="28"/>
      <c r="V6324" s="28">
        <v>4088554000</v>
      </c>
      <c r="W6324" s="28"/>
      <c r="X6324" s="28">
        <v>21915000</v>
      </c>
      <c r="Y6324" s="28">
        <v>6751039000</v>
      </c>
      <c r="Z6324" s="28">
        <v>16408000</v>
      </c>
      <c r="AA6324" s="28"/>
      <c r="AB6324" s="28"/>
      <c r="AC6324" s="28">
        <v>6733912000</v>
      </c>
      <c r="AD6324" s="28">
        <v>17128000</v>
      </c>
      <c r="AE6324" s="28">
        <v>6640390000</v>
      </c>
      <c r="AF6324" s="28">
        <v>16408000</v>
      </c>
      <c r="AG6324" s="11"/>
    </row>
    <row r="6325">
      <c r="A6325" s="7" t="s">
        <v>7896</v>
      </c>
      <c r="B6325" s="5" t="s">
        <v>15852</v>
      </c>
      <c r="C6325" s="5" t="s">
        <v>23504</v>
      </c>
      <c r="D6325" s="5" t="str">
        <v>782619566719</v>
      </c>
      <c r="E6325" s="0" t="e">
        <f>+7 (3467) 351584
+7 (812) 3372809
+7 (921) 5902646</f>
        <v>#NAME?</v>
      </c>
      <c r="F6325" s="5" t="s">
        <v>43798</v>
      </c>
      <c r="G6325" s="5" t="s">
        <v>43799</v>
      </c>
      <c r="H6325" s="26">
        <v>15.5</v>
      </c>
      <c r="I6325" s="5" t="s">
        <v>43800</v>
      </c>
      <c r="J6325" s="5" t="s">
        <v>467</v>
      </c>
      <c r="K6325" s="5" t="s">
        <v>344</v>
      </c>
      <c r="L6325" s="5" t="s">
        <v>43801</v>
      </c>
      <c r="M6325" s="27">
        <v>128576</v>
      </c>
      <c r="N6325" s="5"/>
      <c r="O6325" s="5" t="str">
        <v>7804373936</v>
      </c>
      <c r="P6325" s="27">
        <v>10000</v>
      </c>
      <c r="Q6325" s="5" t="s">
        <v>58825</v>
      </c>
      <c r="R6325" s="5"/>
      <c r="S6325" s="5" t="s">
        <v>58826</v>
      </c>
      <c r="T6325" s="28">
        <v>1829967000</v>
      </c>
      <c r="U6325" s="28"/>
      <c r="V6325" s="28">
        <v>723088000</v>
      </c>
      <c r="W6325" s="28">
        <v>5566000</v>
      </c>
      <c r="X6325" s="28">
        <v>159213000</v>
      </c>
      <c r="Y6325" s="28">
        <v>3139621000</v>
      </c>
      <c r="Z6325" s="28">
        <v>2028976000</v>
      </c>
      <c r="AA6325" s="28"/>
      <c r="AB6325" s="28"/>
      <c r="AC6325" s="28">
        <v>508109000</v>
      </c>
      <c r="AD6325" s="28">
        <v>2028986000</v>
      </c>
      <c r="AE6325" s="28">
        <v>4951924000</v>
      </c>
      <c r="AF6325" s="28">
        <v>1334799000</v>
      </c>
      <c r="AG6325" s="11"/>
    </row>
    <row r="6326">
      <c r="A6326" s="7" t="s">
        <v>7897</v>
      </c>
      <c r="B6326" s="5" t="s">
        <v>15853</v>
      </c>
      <c r="C6326" s="5" t="s">
        <v>23505</v>
      </c>
      <c r="D6326" s="5" t="str">
        <v>505510249238</v>
      </c>
      <c r="E6326" s="0" t="e">
        <f>+7 (495) 1520163
+7 (495) 4591278
+7 (495) 6850875
+7 (495) 6853637
+7 (495) 6855608
+7 (495) 6855775
+7 (495) 9806514
+7 (495) 9888647
+7 (499) 1501298</f>
        <v>#NAME?</v>
      </c>
      <c r="F6326" s="5" t="s">
        <v>43802</v>
      </c>
      <c r="G6326" s="5" t="s">
        <v>43803</v>
      </c>
      <c r="H6326" s="26">
        <v>16</v>
      </c>
      <c r="I6326" s="5" t="s">
        <v>43804</v>
      </c>
      <c r="J6326" s="5" t="s">
        <v>25190</v>
      </c>
      <c r="K6326" s="5" t="s">
        <v>344</v>
      </c>
      <c r="L6326" s="5" t="s">
        <v>43805</v>
      </c>
      <c r="M6326" s="27"/>
      <c r="N6326" s="5"/>
      <c r="O6326" s="5" t="str">
        <v>7743625527</v>
      </c>
      <c r="P6326" s="27">
        <v>10000</v>
      </c>
      <c r="Q6326" s="5" t="s">
        <v>49021</v>
      </c>
      <c r="R6326" s="5"/>
      <c r="S6326" s="5" t="s">
        <v>58827</v>
      </c>
      <c r="T6326" s="28">
        <v>10433000</v>
      </c>
      <c r="U6326" s="28"/>
      <c r="V6326" s="28">
        <v>194154000</v>
      </c>
      <c r="W6326" s="28"/>
      <c r="X6326" s="28">
        <v>124806000</v>
      </c>
      <c r="Y6326" s="28">
        <v>334442000</v>
      </c>
      <c r="Z6326" s="28">
        <v>175199000</v>
      </c>
      <c r="AA6326" s="28"/>
      <c r="AB6326" s="28">
        <v>61000</v>
      </c>
      <c r="AC6326" s="28">
        <v>151015000</v>
      </c>
      <c r="AD6326" s="28">
        <v>175209000</v>
      </c>
      <c r="AE6326" s="28">
        <v>3247198000</v>
      </c>
      <c r="AF6326" s="28">
        <v>76643000</v>
      </c>
      <c r="AG6326" s="11"/>
    </row>
    <row r="6327">
      <c r="A6327" s="7" t="s">
        <v>7898</v>
      </c>
      <c r="B6327" s="5" t="s">
        <v>15854</v>
      </c>
      <c r="C6327" s="5" t="s">
        <v>23506</v>
      </c>
      <c r="D6327" s="5" t="str">
        <v>772577279590</v>
      </c>
      <c r="E6327" s="0" t="e">
        <f>+7 (495) 9264316
+7 (495) 9691848
+7 (800) 3333877
+7 (812) 3295673
+7 (812) 3311167</f>
        <v>#NAME?</v>
      </c>
      <c r="F6327" s="5" t="s">
        <v>43806</v>
      </c>
      <c r="G6327" s="5"/>
      <c r="H6327" s="26">
        <v>22</v>
      </c>
      <c r="I6327" s="5" t="s">
        <v>43807</v>
      </c>
      <c r="J6327" s="5" t="s">
        <v>364</v>
      </c>
      <c r="K6327" s="5" t="s">
        <v>344</v>
      </c>
      <c r="L6327" s="5" t="s">
        <v>43808</v>
      </c>
      <c r="M6327" s="27"/>
      <c r="N6327" s="5" t="s">
        <v>58828</v>
      </c>
      <c r="O6327" s="5" t="str">
        <v>5032069220</v>
      </c>
      <c r="P6327" s="27">
        <v>100000000</v>
      </c>
      <c r="Q6327" s="5" t="s">
        <v>58829</v>
      </c>
      <c r="R6327" s="5"/>
      <c r="S6327" s="5" t="s">
        <v>58830</v>
      </c>
      <c r="T6327" s="28">
        <v>106600000</v>
      </c>
      <c r="U6327" s="28">
        <v>10000</v>
      </c>
      <c r="V6327" s="28">
        <v>7265824000</v>
      </c>
      <c r="W6327" s="28"/>
      <c r="X6327" s="28">
        <v>1435214000</v>
      </c>
      <c r="Y6327" s="28">
        <v>9501045000</v>
      </c>
      <c r="Z6327" s="28">
        <v>1569309000</v>
      </c>
      <c r="AA6327" s="28"/>
      <c r="AB6327" s="28">
        <v>879472000</v>
      </c>
      <c r="AC6327" s="28">
        <v>7711935000</v>
      </c>
      <c r="AD6327" s="28">
        <v>1669309000</v>
      </c>
      <c r="AE6327" s="28">
        <v>13326957000</v>
      </c>
      <c r="AF6327" s="28">
        <v>375420000</v>
      </c>
      <c r="AG6327" s="11"/>
    </row>
    <row r="6328">
      <c r="A6328" s="7" t="s">
        <v>7899</v>
      </c>
      <c r="B6328" s="5" t="s">
        <v>15855</v>
      </c>
      <c r="C6328" s="5" t="s">
        <v>23507</v>
      </c>
      <c r="D6328" s="5" t="str">
        <v>263004819015</v>
      </c>
      <c r="E6328" s="0" t="e">
        <f>+7 (8617) 303052
+7 (918) 589593
+7 (8617) 303334
+7 (8617) 766928
+7 (918) 4870848</f>
        <v>#NAME?</v>
      </c>
      <c r="F6328" s="5" t="s">
        <v>43809</v>
      </c>
      <c r="G6328" s="5"/>
      <c r="H6328" s="26">
        <v>12.5</v>
      </c>
      <c r="I6328" s="5" t="s">
        <v>43810</v>
      </c>
      <c r="J6328" s="5" t="s">
        <v>467</v>
      </c>
      <c r="K6328" s="5" t="s">
        <v>344</v>
      </c>
      <c r="L6328" s="5" t="s">
        <v>43811</v>
      </c>
      <c r="M6328" s="27">
        <v>32546737</v>
      </c>
      <c r="N6328" s="5" t="s">
        <v>58831</v>
      </c>
      <c r="O6328" s="5" t="str">
        <v>2349033650</v>
      </c>
      <c r="P6328" s="27">
        <v>50000</v>
      </c>
      <c r="Q6328" s="5" t="s">
        <v>58832</v>
      </c>
      <c r="R6328" s="5"/>
      <c r="S6328" s="5" t="s">
        <v>58833</v>
      </c>
      <c r="T6328" s="28">
        <v>652893000</v>
      </c>
      <c r="U6328" s="28"/>
      <c r="V6328" s="28">
        <v>3005423000</v>
      </c>
      <c r="W6328" s="28">
        <v>99056000</v>
      </c>
      <c r="X6328" s="28">
        <v>5563872000</v>
      </c>
      <c r="Y6328" s="28">
        <v>10024134000</v>
      </c>
      <c r="Z6328" s="28">
        <v>4881744000</v>
      </c>
      <c r="AA6328" s="28"/>
      <c r="AB6328" s="28"/>
      <c r="AC6328" s="28">
        <v>5052817000</v>
      </c>
      <c r="AD6328" s="28">
        <v>4881794000</v>
      </c>
      <c r="AE6328" s="28">
        <v>14559808000</v>
      </c>
      <c r="AF6328" s="28">
        <v>2150758000</v>
      </c>
      <c r="AG6328" s="11"/>
    </row>
    <row r="6329">
      <c r="A6329" s="7" t="s">
        <v>7900</v>
      </c>
      <c r="B6329" s="5" t="s">
        <v>15856</v>
      </c>
      <c r="C6329" s="5" t="s">
        <v>23508</v>
      </c>
      <c r="D6329" s="5" t="str">
        <v>505011735994</v>
      </c>
      <c r="E6329" s="0" t="e">
        <f>+7 (499) 6536299
+7 (916) 1123414
+7 (920) 9935241</f>
        <v>#NAME?</v>
      </c>
      <c r="F6329" s="5" t="s">
        <v>43812</v>
      </c>
      <c r="G6329" s="5"/>
      <c r="H6329" s="26">
        <v>8.5</v>
      </c>
      <c r="I6329" s="5" t="s">
        <v>43813</v>
      </c>
      <c r="J6329" s="5" t="s">
        <v>25842</v>
      </c>
      <c r="K6329" s="5" t="s">
        <v>344</v>
      </c>
      <c r="L6329" s="5" t="s">
        <v>43814</v>
      </c>
      <c r="M6329" s="27"/>
      <c r="N6329" s="5" t="s">
        <v>58834</v>
      </c>
      <c r="O6329" s="5" t="str">
        <v>7720817328</v>
      </c>
      <c r="P6329" s="27">
        <v>10000</v>
      </c>
      <c r="Q6329" s="5" t="s">
        <v>49021</v>
      </c>
      <c r="R6329" s="5"/>
      <c r="S6329" s="5" t="s">
        <v>58835</v>
      </c>
      <c r="T6329" s="28">
        <v>171107000</v>
      </c>
      <c r="U6329" s="28"/>
      <c r="V6329" s="28">
        <v>645956000</v>
      </c>
      <c r="W6329" s="28">
        <v>311936000</v>
      </c>
      <c r="X6329" s="28">
        <v>8211000</v>
      </c>
      <c r="Y6329" s="28">
        <v>1917357000</v>
      </c>
      <c r="Z6329" s="28">
        <v>293811000</v>
      </c>
      <c r="AA6329" s="28"/>
      <c r="AB6329" s="28">
        <v>500000000</v>
      </c>
      <c r="AC6329" s="28">
        <v>1523963000</v>
      </c>
      <c r="AD6329" s="28">
        <v>293821000</v>
      </c>
      <c r="AE6329" s="28">
        <v>3751333000</v>
      </c>
      <c r="AF6329" s="28">
        <v>60218000</v>
      </c>
      <c r="AG6329" s="11"/>
    </row>
    <row r="6330">
      <c r="A6330" s="7" t="s">
        <v>7901</v>
      </c>
      <c r="B6330" s="5" t="s">
        <v>15857</v>
      </c>
      <c r="C6330" s="5" t="s">
        <v>23509</v>
      </c>
      <c r="D6330" s="5" t="str">
        <v>772139244521</v>
      </c>
      <c r="E6330" s="0" t="e">
        <f>+7 (495) 2237181</f>
        <v>#NAME?</v>
      </c>
      <c r="F6330" s="5" t="s">
        <v>43815</v>
      </c>
      <c r="G6330" s="5"/>
      <c r="H6330" s="26">
        <v>4</v>
      </c>
      <c r="I6330" s="5" t="s">
        <v>43816</v>
      </c>
      <c r="J6330" s="5" t="s">
        <v>678</v>
      </c>
      <c r="K6330" s="5" t="s">
        <v>344</v>
      </c>
      <c r="L6330" s="5"/>
      <c r="M6330" s="27"/>
      <c r="N6330" s="5" t="s">
        <v>58836</v>
      </c>
      <c r="O6330" s="5" t="str">
        <v>7708341716</v>
      </c>
      <c r="P6330" s="27">
        <v>500000</v>
      </c>
      <c r="Q6330" s="5" t="s">
        <v>49059</v>
      </c>
      <c r="R6330" s="5"/>
      <c r="S6330" s="5" t="s">
        <v>49110</v>
      </c>
      <c r="T6330" s="28">
        <v>152000</v>
      </c>
      <c r="U6330" s="28"/>
      <c r="V6330" s="28">
        <v>342727000</v>
      </c>
      <c r="W6330" s="28">
        <v>370000000</v>
      </c>
      <c r="X6330" s="28">
        <v>56906000</v>
      </c>
      <c r="Y6330" s="28">
        <v>951036000</v>
      </c>
      <c r="Z6330" s="28">
        <v>716379000</v>
      </c>
      <c r="AA6330" s="28"/>
      <c r="AB6330" s="28"/>
      <c r="AC6330" s="28">
        <v>234157000</v>
      </c>
      <c r="AD6330" s="28">
        <v>716879000</v>
      </c>
      <c r="AE6330" s="28">
        <v>8186584000</v>
      </c>
      <c r="AF6330" s="28">
        <v>758554000</v>
      </c>
      <c r="AG6330" s="11"/>
    </row>
    <row r="6331">
      <c r="A6331" s="7" t="s">
        <v>7902</v>
      </c>
      <c r="B6331" s="5" t="s">
        <v>15858</v>
      </c>
      <c r="C6331" s="5" t="s">
        <v>23510</v>
      </c>
      <c r="D6331" s="5" t="str">
        <v>580200632918</v>
      </c>
      <c r="E6331" s="0" t="e">
        <f>+7 (84156) 90222
+7 (84156) 90444
+7 (84156) 90445</f>
        <v>#NAME?</v>
      </c>
      <c r="F6331" s="5" t="s">
        <v>43817</v>
      </c>
      <c r="G6331" s="5" t="s">
        <v>43818</v>
      </c>
      <c r="H6331" s="26">
        <v>30</v>
      </c>
      <c r="I6331" s="5" t="s">
        <v>43819</v>
      </c>
      <c r="J6331" s="5" t="s">
        <v>725</v>
      </c>
      <c r="K6331" s="5" t="s">
        <v>344</v>
      </c>
      <c r="L6331" s="5" t="s">
        <v>43820</v>
      </c>
      <c r="M6331" s="27"/>
      <c r="N6331" s="5"/>
      <c r="O6331" s="5" t="str">
        <v>5815000308</v>
      </c>
      <c r="P6331" s="27">
        <v>150015215</v>
      </c>
      <c r="Q6331" s="5"/>
      <c r="R6331" s="5"/>
      <c r="S6331" s="5" t="s">
        <v>49425</v>
      </c>
      <c r="T6331" s="28">
        <v>3196275000</v>
      </c>
      <c r="U6331" s="28"/>
      <c r="V6331" s="28">
        <v>1569806000</v>
      </c>
      <c r="W6331" s="28">
        <v>1450000000</v>
      </c>
      <c r="X6331" s="28">
        <v>165869000</v>
      </c>
      <c r="Y6331" s="28">
        <v>7982284000</v>
      </c>
      <c r="Z6331" s="28">
        <v>5344703000</v>
      </c>
      <c r="AA6331" s="28">
        <v>7500000</v>
      </c>
      <c r="AB6331" s="28">
        <v>940945000</v>
      </c>
      <c r="AC6331" s="28">
        <v>1456423000</v>
      </c>
      <c r="AD6331" s="28">
        <v>6166331000</v>
      </c>
      <c r="AE6331" s="28">
        <v>5150230000</v>
      </c>
      <c r="AF6331" s="28">
        <v>2255284000</v>
      </c>
      <c r="AG6331" s="11"/>
    </row>
    <row r="6332">
      <c r="A6332" s="7" t="s">
        <v>7903</v>
      </c>
      <c r="B6332" s="5" t="s">
        <v>15859</v>
      </c>
      <c r="C6332" s="5" t="s">
        <v>23511</v>
      </c>
      <c r="D6332" s="5" t="str">
        <v>504502144381</v>
      </c>
      <c r="E6332" s="0" t="e">
        <f>+7 (495) 7904676
+7 (495) 7907645
+7 (495) 7907646
+7 (495) 7907647
+7 (495) 9885225
+7 (49664) 20219
+7 (49664) 20228
+7 (49664) 21376
+7 (49664) 24269
+7 (49664) 24278
+7 (49664) 27085
+7 (906) 7433468
+7 (909) 6902413
+7 (912) 6413516
+7 (913) 7875477</f>
        <v>#NAME?</v>
      </c>
      <c r="F6332" s="5" t="s">
        <v>43821</v>
      </c>
      <c r="G6332" s="5" t="s">
        <v>43822</v>
      </c>
      <c r="H6332" s="26">
        <v>24.5</v>
      </c>
      <c r="I6332" s="5"/>
      <c r="J6332" s="5" t="s">
        <v>26224</v>
      </c>
      <c r="K6332" s="5" t="s">
        <v>344</v>
      </c>
      <c r="L6332" s="5"/>
      <c r="M6332" s="27">
        <v>766776</v>
      </c>
      <c r="N6332" s="5"/>
      <c r="O6332" s="5" t="str">
        <v>5045022211</v>
      </c>
      <c r="P6332" s="27">
        <v>182760</v>
      </c>
      <c r="Q6332" s="5"/>
      <c r="R6332" s="5" t="s">
        <v>58837</v>
      </c>
      <c r="S6332" s="5" t="s">
        <v>49425</v>
      </c>
      <c r="T6332" s="28">
        <v>751623000</v>
      </c>
      <c r="U6332" s="28"/>
      <c r="V6332" s="28">
        <v>2272964000</v>
      </c>
      <c r="W6332" s="28">
        <v>130000000</v>
      </c>
      <c r="X6332" s="28">
        <v>96221000</v>
      </c>
      <c r="Y6332" s="28">
        <v>4424182000</v>
      </c>
      <c r="Z6332" s="28">
        <v>3736890000</v>
      </c>
      <c r="AA6332" s="28"/>
      <c r="AB6332" s="28"/>
      <c r="AC6332" s="28">
        <v>675522000</v>
      </c>
      <c r="AD6332" s="28">
        <v>3740571000</v>
      </c>
      <c r="AE6332" s="28">
        <v>9007347000</v>
      </c>
      <c r="AF6332" s="28">
        <v>1375518000</v>
      </c>
      <c r="AG6332" s="11"/>
    </row>
    <row r="6333">
      <c r="A6333" s="7" t="s">
        <v>7904</v>
      </c>
      <c r="B6333" s="5" t="s">
        <v>15860</v>
      </c>
      <c r="C6333" s="5" t="s">
        <v>23512</v>
      </c>
      <c r="D6333" s="5" t="str">
        <v>782570241795</v>
      </c>
      <c r="E6333" s="0" t="e">
        <f>+7 (812) 6770079
+7 (812) 6770077
+7 (921) 9669425</f>
        <v>#NAME?</v>
      </c>
      <c r="F6333" s="5" t="s">
        <v>43823</v>
      </c>
      <c r="G6333" s="5" t="s">
        <v>43824</v>
      </c>
      <c r="H6333" s="26">
        <v>11</v>
      </c>
      <c r="I6333" s="5" t="s">
        <v>43825</v>
      </c>
      <c r="J6333" s="5" t="s">
        <v>364</v>
      </c>
      <c r="K6333" s="5" t="s">
        <v>355</v>
      </c>
      <c r="L6333" s="5" t="s">
        <v>43826</v>
      </c>
      <c r="M6333" s="27">
        <v>1233258281</v>
      </c>
      <c r="N6333" s="5"/>
      <c r="O6333" s="5" t="str">
        <v>7804477364</v>
      </c>
      <c r="P6333" s="27">
        <v>5900000</v>
      </c>
      <c r="Q6333" s="5" t="s">
        <v>58838</v>
      </c>
      <c r="R6333" s="5"/>
      <c r="S6333" s="5" t="s">
        <v>58839</v>
      </c>
      <c r="T6333" s="28">
        <v>74662000</v>
      </c>
      <c r="U6333" s="28">
        <v>256444000</v>
      </c>
      <c r="V6333" s="28">
        <v>4465965000</v>
      </c>
      <c r="W6333" s="28">
        <v>301128000</v>
      </c>
      <c r="X6333" s="28">
        <v>464930000</v>
      </c>
      <c r="Y6333" s="28">
        <v>8444957000</v>
      </c>
      <c r="Z6333" s="28">
        <v>731106000</v>
      </c>
      <c r="AA6333" s="28"/>
      <c r="AB6333" s="28"/>
      <c r="AC6333" s="28">
        <v>7374787000</v>
      </c>
      <c r="AD6333" s="28">
        <v>737891000</v>
      </c>
      <c r="AE6333" s="28">
        <v>16269271000</v>
      </c>
      <c r="AF6333" s="28">
        <v>-422432000</v>
      </c>
      <c r="AG6333" s="11"/>
    </row>
    <row r="6334">
      <c r="A6334" s="7" t="s">
        <v>7905</v>
      </c>
      <c r="B6334" s="5" t="s">
        <v>15861</v>
      </c>
      <c r="C6334" s="5" t="s">
        <v>23513</v>
      </c>
      <c r="D6334" s="5" t="str">
        <v>504793394224</v>
      </c>
      <c r="E6334" s="0" t="e">
        <f>+7 (49677) 26572</f>
        <v>#NAME?</v>
      </c>
      <c r="F6334" s="5"/>
      <c r="G6334" s="5"/>
      <c r="H6334" s="26">
        <v>6.5</v>
      </c>
      <c r="I6334" s="5" t="s">
        <v>43827</v>
      </c>
      <c r="J6334" s="5" t="s">
        <v>467</v>
      </c>
      <c r="K6334" s="5" t="s">
        <v>380</v>
      </c>
      <c r="L6334" s="5"/>
      <c r="M6334" s="27">
        <v>14625385</v>
      </c>
      <c r="N6334" s="5"/>
      <c r="O6334" s="5" t="str">
        <v>5043058685</v>
      </c>
      <c r="P6334" s="27">
        <v>2500000</v>
      </c>
      <c r="Q6334" s="5"/>
      <c r="R6334" s="5" t="s">
        <v>58840</v>
      </c>
      <c r="S6334" s="5" t="s">
        <v>49121</v>
      </c>
      <c r="T6334" s="28">
        <v>441894000</v>
      </c>
      <c r="U6334" s="28"/>
      <c r="V6334" s="28">
        <v>4253629000</v>
      </c>
      <c r="W6334" s="28"/>
      <c r="X6334" s="28">
        <v>5193171000</v>
      </c>
      <c r="Y6334" s="28">
        <v>12579101000</v>
      </c>
      <c r="Z6334" s="28">
        <v>-513314000</v>
      </c>
      <c r="AA6334" s="28"/>
      <c r="AB6334" s="28">
        <v>76716000</v>
      </c>
      <c r="AC6334" s="28">
        <v>12323353000</v>
      </c>
      <c r="AD6334" s="28">
        <v>-510814000</v>
      </c>
      <c r="AE6334" s="28">
        <v>9819269000</v>
      </c>
      <c r="AF6334" s="28">
        <v>395526000</v>
      </c>
      <c r="AG6334" s="11"/>
    </row>
    <row r="6335">
      <c r="A6335" s="7" t="s">
        <v>7906</v>
      </c>
      <c r="B6335" s="5" t="s">
        <v>15862</v>
      </c>
      <c r="C6335" s="5" t="s">
        <v>23514</v>
      </c>
      <c r="D6335" s="5" t="str">
        <v>551100022340</v>
      </c>
      <c r="F6335" s="5"/>
      <c r="G6335" s="5"/>
      <c r="H6335" s="26">
        <v>6.5</v>
      </c>
      <c r="I6335" s="5" t="s">
        <v>43827</v>
      </c>
      <c r="J6335" s="5" t="s">
        <v>467</v>
      </c>
      <c r="K6335" s="5" t="s">
        <v>380</v>
      </c>
      <c r="L6335" s="5"/>
      <c r="M6335" s="27"/>
      <c r="N6335" s="5"/>
      <c r="O6335" s="5" t="str">
        <v>5048038065</v>
      </c>
      <c r="P6335" s="27">
        <v>2500000</v>
      </c>
      <c r="Q6335" s="5"/>
      <c r="R6335" s="5"/>
      <c r="S6335" s="5" t="s">
        <v>49743</v>
      </c>
      <c r="T6335" s="28">
        <v>387422000</v>
      </c>
      <c r="U6335" s="28"/>
      <c r="V6335" s="28">
        <v>4133701000</v>
      </c>
      <c r="W6335" s="28"/>
      <c r="X6335" s="28">
        <v>1623466000</v>
      </c>
      <c r="Y6335" s="28">
        <v>7296808000</v>
      </c>
      <c r="Z6335" s="28">
        <v>-101310000</v>
      </c>
      <c r="AA6335" s="28"/>
      <c r="AB6335" s="28">
        <v>4702000</v>
      </c>
      <c r="AC6335" s="28">
        <v>6676040000</v>
      </c>
      <c r="AD6335" s="28">
        <v>-98810000</v>
      </c>
      <c r="AE6335" s="28">
        <v>4567896000</v>
      </c>
      <c r="AF6335" s="28">
        <v>-171041000</v>
      </c>
      <c r="AG6335" s="11"/>
    </row>
    <row r="6336">
      <c r="A6336" s="7" t="s">
        <v>7907</v>
      </c>
      <c r="B6336" s="5" t="s">
        <v>15863</v>
      </c>
      <c r="C6336" s="5" t="s">
        <v>23515</v>
      </c>
      <c r="D6336" s="5" t="str">
        <v>551100023224</v>
      </c>
      <c r="E6336" s="0" t="e">
        <f>+7 (473) 2001213
+7 (473) 2001215</f>
        <v>#NAME?</v>
      </c>
      <c r="F6336" s="5" t="s">
        <v>43828</v>
      </c>
      <c r="G6336" s="5"/>
      <c r="H6336" s="26">
        <v>6.5</v>
      </c>
      <c r="I6336" s="5" t="s">
        <v>43827</v>
      </c>
      <c r="J6336" s="5" t="s">
        <v>467</v>
      </c>
      <c r="K6336" s="5" t="s">
        <v>344</v>
      </c>
      <c r="L6336" s="5"/>
      <c r="M6336" s="27">
        <v>884012</v>
      </c>
      <c r="N6336" s="5"/>
      <c r="O6336" s="5" t="str">
        <v>3662234729</v>
      </c>
      <c r="P6336" s="27">
        <v>2500000</v>
      </c>
      <c r="Q6336" s="5" t="s">
        <v>49009</v>
      </c>
      <c r="R6336" s="5"/>
      <c r="S6336" s="5" t="s">
        <v>49010</v>
      </c>
      <c r="T6336" s="28">
        <v>192433000</v>
      </c>
      <c r="U6336" s="28"/>
      <c r="V6336" s="28">
        <v>3642672000</v>
      </c>
      <c r="W6336" s="28"/>
      <c r="X6336" s="28">
        <v>577764000</v>
      </c>
      <c r="Y6336" s="28">
        <v>6087184000</v>
      </c>
      <c r="Z6336" s="28">
        <v>335386000</v>
      </c>
      <c r="AA6336" s="28">
        <v>121017000</v>
      </c>
      <c r="AB6336" s="28">
        <v>21930000</v>
      </c>
      <c r="AC6336" s="28">
        <v>5435809000</v>
      </c>
      <c r="AD6336" s="28">
        <v>337886000</v>
      </c>
      <c r="AE6336" s="28">
        <v>5220300000</v>
      </c>
      <c r="AF6336" s="28">
        <v>959956000</v>
      </c>
      <c r="AG6336" s="11"/>
    </row>
    <row r="6337">
      <c r="A6337" s="7" t="s">
        <v>7908</v>
      </c>
      <c r="B6337" s="5" t="s">
        <v>15864</v>
      </c>
      <c r="C6337" s="5" t="s">
        <v>23516</v>
      </c>
      <c r="D6337" s="5" t="str">
        <v>860311500790</v>
      </c>
      <c r="F6337" s="5"/>
      <c r="G6337" s="5"/>
      <c r="H6337" s="26">
        <v>6.5</v>
      </c>
      <c r="I6337" s="5" t="s">
        <v>43829</v>
      </c>
      <c r="J6337" s="5" t="s">
        <v>467</v>
      </c>
      <c r="K6337" s="5" t="s">
        <v>355</v>
      </c>
      <c r="L6337" s="5"/>
      <c r="M6337" s="27">
        <v>2631596</v>
      </c>
      <c r="N6337" s="5" t="s">
        <v>58841</v>
      </c>
      <c r="O6337" s="5" t="str">
        <v>8604060896</v>
      </c>
      <c r="P6337" s="27">
        <v>2500000</v>
      </c>
      <c r="Q6337" s="5" t="s">
        <v>49009</v>
      </c>
      <c r="R6337" s="5" t="s">
        <v>50752</v>
      </c>
      <c r="S6337" s="5" t="s">
        <v>49120</v>
      </c>
      <c r="T6337" s="28">
        <v>349128000</v>
      </c>
      <c r="U6337" s="28"/>
      <c r="V6337" s="28">
        <v>7125133000</v>
      </c>
      <c r="W6337" s="28"/>
      <c r="X6337" s="28">
        <v>3526787000</v>
      </c>
      <c r="Y6337" s="28">
        <v>13087217000</v>
      </c>
      <c r="Z6337" s="28">
        <v>-192070000</v>
      </c>
      <c r="AA6337" s="28"/>
      <c r="AB6337" s="28">
        <v>193315000</v>
      </c>
      <c r="AC6337" s="28">
        <v>12526639000</v>
      </c>
      <c r="AD6337" s="28">
        <v>-189570000</v>
      </c>
      <c r="AE6337" s="28">
        <v>10110627000</v>
      </c>
      <c r="AF6337" s="28">
        <v>587078000</v>
      </c>
      <c r="AG6337" s="11"/>
    </row>
    <row r="6338">
      <c r="A6338" s="7" t="s">
        <v>7909</v>
      </c>
      <c r="B6338" s="5" t="s">
        <v>15865</v>
      </c>
      <c r="C6338" s="5" t="s">
        <v>23517</v>
      </c>
      <c r="D6338" s="5" t="str">
        <v>500303460473</v>
      </c>
      <c r="E6338" s="0" t="e">
        <f>+7 (495) 8408982
+7 (495) 9262215</f>
        <v>#NAME?</v>
      </c>
      <c r="F6338" s="5"/>
      <c r="G6338" s="5"/>
      <c r="H6338" s="26">
        <v>23.5</v>
      </c>
      <c r="I6338" s="5" t="s">
        <v>43830</v>
      </c>
      <c r="J6338" s="5" t="s">
        <v>364</v>
      </c>
      <c r="K6338" s="5" t="s">
        <v>344</v>
      </c>
      <c r="L6338" s="5"/>
      <c r="M6338" s="27">
        <v>37507019</v>
      </c>
      <c r="N6338" s="5"/>
      <c r="O6338" s="5" t="str">
        <v>5036039459</v>
      </c>
      <c r="P6338" s="27">
        <v>102180814</v>
      </c>
      <c r="Q6338" s="5" t="s">
        <v>58842</v>
      </c>
      <c r="R6338" s="5" t="s">
        <v>58843</v>
      </c>
      <c r="S6338" s="5" t="s">
        <v>49358</v>
      </c>
      <c r="T6338" s="28">
        <v>1798163000</v>
      </c>
      <c r="U6338" s="28">
        <v>1961000</v>
      </c>
      <c r="V6338" s="28">
        <v>6413765000</v>
      </c>
      <c r="W6338" s="28"/>
      <c r="X6338" s="28">
        <v>575170000</v>
      </c>
      <c r="Y6338" s="28">
        <v>13516466000</v>
      </c>
      <c r="Z6338" s="28">
        <v>-2214425000</v>
      </c>
      <c r="AA6338" s="28">
        <v>1529167000</v>
      </c>
      <c r="AB6338" s="28">
        <v>2378975000</v>
      </c>
      <c r="AC6338" s="28">
        <v>13657346000</v>
      </c>
      <c r="AD6338" s="28">
        <v>-2104116000</v>
      </c>
      <c r="AE6338" s="28">
        <v>17151202000</v>
      </c>
      <c r="AF6338" s="28">
        <v>309155000</v>
      </c>
      <c r="AG6338" s="11"/>
    </row>
    <row r="6339">
      <c r="A6339" s="7" t="s">
        <v>7910</v>
      </c>
      <c r="B6339" s="5" t="s">
        <v>15866</v>
      </c>
      <c r="C6339" s="5" t="s">
        <v>23518</v>
      </c>
      <c r="D6339" s="5" t="str">
        <v>673211160151</v>
      </c>
      <c r="E6339" s="0" t="e">
        <f>+7 (481) 2319509
+7 (481) 2339508
+7 (481) 2643786
+7 (481) 2653653
+7 (481) 2660569
+7 (481) 2660895</f>
        <v>#NAME?</v>
      </c>
      <c r="F6339" s="5" t="s">
        <v>43831</v>
      </c>
      <c r="G6339" s="5"/>
      <c r="H6339" s="26">
        <v>10.5</v>
      </c>
      <c r="I6339" s="5" t="s">
        <v>43832</v>
      </c>
      <c r="J6339" s="5" t="s">
        <v>364</v>
      </c>
      <c r="K6339" s="5" t="s">
        <v>344</v>
      </c>
      <c r="L6339" s="5" t="s">
        <v>43833</v>
      </c>
      <c r="M6339" s="27"/>
      <c r="N6339" s="5" t="s">
        <v>58844</v>
      </c>
      <c r="O6339" s="5" t="str">
        <v>6732038765</v>
      </c>
      <c r="P6339" s="27">
        <v>100000</v>
      </c>
      <c r="Q6339" s="5" t="s">
        <v>58845</v>
      </c>
      <c r="R6339" s="5"/>
      <c r="S6339" s="5" t="s">
        <v>58846</v>
      </c>
      <c r="T6339" s="28">
        <v>24215000</v>
      </c>
      <c r="U6339" s="28">
        <v>508000</v>
      </c>
      <c r="V6339" s="28">
        <v>762650000</v>
      </c>
      <c r="W6339" s="28"/>
      <c r="X6339" s="28">
        <v>143212000</v>
      </c>
      <c r="Y6339" s="28">
        <v>1555871000</v>
      </c>
      <c r="Z6339" s="28">
        <v>209247000</v>
      </c>
      <c r="AA6339" s="28"/>
      <c r="AB6339" s="28">
        <v>9300000</v>
      </c>
      <c r="AC6339" s="28">
        <v>1345755000</v>
      </c>
      <c r="AD6339" s="28">
        <v>209347000</v>
      </c>
      <c r="AE6339" s="28">
        <v>3110005000</v>
      </c>
      <c r="AF6339" s="28">
        <v>133654000</v>
      </c>
      <c r="AG6339" s="11"/>
    </row>
    <row r="6340">
      <c r="A6340" s="7" t="s">
        <v>7911</v>
      </c>
      <c r="B6340" s="5" t="s">
        <v>15867</v>
      </c>
      <c r="C6340" s="5" t="s">
        <v>23519</v>
      </c>
      <c r="D6340" s="5" t="str">
        <v>861100898855</v>
      </c>
      <c r="E6340" s="0" t="e">
        <f>+7 (345) 2413103
+7 (3467) 120183
+7 (34671) 20005</f>
        <v>#NAME?</v>
      </c>
      <c r="F6340" s="5" t="s">
        <v>43834</v>
      </c>
      <c r="G6340" s="5"/>
      <c r="H6340" s="26">
        <v>17.5</v>
      </c>
      <c r="I6340" s="5" t="s">
        <v>43835</v>
      </c>
      <c r="J6340" s="5" t="s">
        <v>27687</v>
      </c>
      <c r="K6340" s="5" t="s">
        <v>355</v>
      </c>
      <c r="L6340" s="5"/>
      <c r="M6340" s="27">
        <v>7215472</v>
      </c>
      <c r="N6340" s="5" t="s">
        <v>58847</v>
      </c>
      <c r="O6340" s="5" t="str">
        <v>8611006836</v>
      </c>
      <c r="P6340" s="27">
        <v>5000000</v>
      </c>
      <c r="Q6340" s="5" t="s">
        <v>50765</v>
      </c>
      <c r="R6340" s="5"/>
      <c r="S6340" s="5" t="s">
        <v>58848</v>
      </c>
      <c r="T6340" s="28">
        <v>355914000</v>
      </c>
      <c r="U6340" s="28"/>
      <c r="V6340" s="28">
        <v>9062398000</v>
      </c>
      <c r="W6340" s="28"/>
      <c r="X6340" s="28">
        <v>924492000</v>
      </c>
      <c r="Y6340" s="28">
        <v>14088984000</v>
      </c>
      <c r="Z6340" s="28">
        <v>-11999000</v>
      </c>
      <c r="AA6340" s="28"/>
      <c r="AB6340" s="28"/>
      <c r="AC6340" s="28">
        <v>12125187000</v>
      </c>
      <c r="AD6340" s="28">
        <v>-6500000</v>
      </c>
      <c r="AE6340" s="28">
        <v>9410128000</v>
      </c>
      <c r="AF6340" s="28">
        <v>3649000</v>
      </c>
      <c r="AG6340" s="11"/>
    </row>
    <row r="6341">
      <c r="A6341" s="7" t="s">
        <v>7912</v>
      </c>
      <c r="B6341" s="5" t="s">
        <v>15868</v>
      </c>
      <c r="C6341" s="5" t="s">
        <v>23520</v>
      </c>
      <c r="D6341" s="5" t="str">
        <v>773177692653</v>
      </c>
      <c r="F6341" s="5"/>
      <c r="G6341" s="5"/>
      <c r="H6341" s="26">
        <v>3</v>
      </c>
      <c r="I6341" s="5" t="s">
        <v>43836</v>
      </c>
      <c r="J6341" s="5" t="s">
        <v>364</v>
      </c>
      <c r="K6341" s="5" t="s">
        <v>344</v>
      </c>
      <c r="L6341" s="5" t="s">
        <v>38047</v>
      </c>
      <c r="M6341" s="27"/>
      <c r="N6341" s="5"/>
      <c r="O6341" s="5" t="str">
        <v>7728495062</v>
      </c>
      <c r="P6341" s="27">
        <v>3000000</v>
      </c>
      <c r="Q6341" s="5"/>
      <c r="R6341" s="5"/>
      <c r="S6341" s="5" t="s">
        <v>49121</v>
      </c>
      <c r="T6341" s="28">
        <v>22507000</v>
      </c>
      <c r="U6341" s="28"/>
      <c r="V6341" s="28">
        <v>1601671000</v>
      </c>
      <c r="W6341" s="28"/>
      <c r="X6341" s="28">
        <v>21883000</v>
      </c>
      <c r="Y6341" s="28">
        <v>1871546000</v>
      </c>
      <c r="Z6341" s="28">
        <v>29541000</v>
      </c>
      <c r="AA6341" s="28"/>
      <c r="AB6341" s="28"/>
      <c r="AC6341" s="28">
        <v>1838107000</v>
      </c>
      <c r="AD6341" s="28">
        <v>32541000</v>
      </c>
      <c r="AE6341" s="28">
        <v>3384600000</v>
      </c>
      <c r="AF6341" s="28">
        <v>6399000</v>
      </c>
      <c r="AG6341" s="11"/>
    </row>
    <row r="6342">
      <c r="A6342" s="7" t="s">
        <v>7913</v>
      </c>
      <c r="B6342" s="5" t="s">
        <v>15869</v>
      </c>
      <c r="C6342" s="5" t="s">
        <v>23521</v>
      </c>
      <c r="D6342" s="5" t="str">
        <v>701717843284</v>
      </c>
      <c r="E6342" s="0" t="e">
        <f>+7 (382) 2244088
+7 (382) 2245173
+7 (382) 2245180
+7 (382) 2710972
+7 (382) 2710974
+7 (382) 2710979
+7 (382) 2710980
+7 (382) 2711295
+7 (903) 9553821</f>
        <v>#NAME?</v>
      </c>
      <c r="F6342" s="5" t="s">
        <v>43837</v>
      </c>
      <c r="G6342" s="5" t="s">
        <v>43838</v>
      </c>
      <c r="H6342" s="26">
        <v>22</v>
      </c>
      <c r="I6342" s="5"/>
      <c r="J6342" s="5" t="s">
        <v>364</v>
      </c>
      <c r="K6342" s="5" t="s">
        <v>355</v>
      </c>
      <c r="L6342" s="5"/>
      <c r="M6342" s="27">
        <v>29974760</v>
      </c>
      <c r="N6342" s="5" t="s">
        <v>58849</v>
      </c>
      <c r="O6342" s="5" t="str">
        <v>7017026874</v>
      </c>
      <c r="P6342" s="27">
        <v>200000</v>
      </c>
      <c r="Q6342" s="5" t="s">
        <v>58850</v>
      </c>
      <c r="R6342" s="5"/>
      <c r="S6342" s="5" t="s">
        <v>58851</v>
      </c>
      <c r="T6342" s="28">
        <v>120745000</v>
      </c>
      <c r="U6342" s="28"/>
      <c r="V6342" s="28">
        <v>3313610000</v>
      </c>
      <c r="W6342" s="28">
        <v>10190000</v>
      </c>
      <c r="X6342" s="28">
        <v>367673000</v>
      </c>
      <c r="Y6342" s="28">
        <v>5278600000</v>
      </c>
      <c r="Z6342" s="28">
        <v>19889000</v>
      </c>
      <c r="AA6342" s="28"/>
      <c r="AB6342" s="28">
        <v>1957018000</v>
      </c>
      <c r="AC6342" s="28">
        <v>5187333000</v>
      </c>
      <c r="AD6342" s="28">
        <v>37299000</v>
      </c>
      <c r="AE6342" s="28">
        <v>6996106000</v>
      </c>
      <c r="AF6342" s="28">
        <v>456000</v>
      </c>
      <c r="AG6342" s="11"/>
    </row>
    <row r="6343">
      <c r="A6343" s="7" t="s">
        <v>7914</v>
      </c>
      <c r="B6343" s="5" t="s">
        <v>15870</v>
      </c>
      <c r="C6343" s="5" t="s">
        <v>23522</v>
      </c>
      <c r="D6343" s="5" t="str">
        <v>780410528644</v>
      </c>
      <c r="F6343" s="5"/>
      <c r="G6343" s="5"/>
      <c r="H6343" s="26">
        <v>7.5</v>
      </c>
      <c r="I6343" s="5" t="s">
        <v>43839</v>
      </c>
      <c r="J6343" s="5" t="s">
        <v>364</v>
      </c>
      <c r="K6343" s="5" t="s">
        <v>344</v>
      </c>
      <c r="L6343" s="5" t="s">
        <v>43840</v>
      </c>
      <c r="M6343" s="27">
        <v>24749130</v>
      </c>
      <c r="N6343" s="5"/>
      <c r="O6343" s="5" t="str">
        <v>7801289154</v>
      </c>
      <c r="P6343" s="27">
        <v>10000</v>
      </c>
      <c r="Q6343" s="5" t="s">
        <v>54923</v>
      </c>
      <c r="R6343" s="5"/>
      <c r="S6343" s="5" t="s">
        <v>58852</v>
      </c>
      <c r="T6343" s="28">
        <v>10842000</v>
      </c>
      <c r="U6343" s="28">
        <v>97581000</v>
      </c>
      <c r="V6343" s="28">
        <v>1522621000</v>
      </c>
      <c r="W6343" s="28">
        <v>193983000</v>
      </c>
      <c r="X6343" s="28">
        <v>54630000</v>
      </c>
      <c r="Y6343" s="28">
        <v>2164241000</v>
      </c>
      <c r="Z6343" s="28">
        <v>23768000</v>
      </c>
      <c r="AA6343" s="28"/>
      <c r="AB6343" s="28">
        <v>393989000</v>
      </c>
      <c r="AC6343" s="28">
        <v>2137982000</v>
      </c>
      <c r="AD6343" s="28">
        <v>23778000</v>
      </c>
      <c r="AE6343" s="28">
        <v>3733254000</v>
      </c>
      <c r="AF6343" s="28">
        <v>74885000</v>
      </c>
      <c r="AG6343" s="11"/>
    </row>
    <row r="6344">
      <c r="A6344" s="7" t="s">
        <v>7915</v>
      </c>
      <c r="B6344" s="5" t="s">
        <v>15871</v>
      </c>
      <c r="C6344" s="5" t="s">
        <v>23523</v>
      </c>
      <c r="D6344" s="5" t="str">
        <v>773415482424</v>
      </c>
      <c r="E6344" s="0" t="e">
        <f>+7 (495) 6158200
+7 (916) 4439908
+7 (495) 4916065
+7 (495) 6162322
+7 (495) 6165329
+7 (499) 9758002</f>
        <v>#NAME?</v>
      </c>
      <c r="F6344" s="5" t="s">
        <v>43841</v>
      </c>
      <c r="G6344" s="5"/>
      <c r="H6344" s="26">
        <v>19</v>
      </c>
      <c r="I6344" s="5"/>
      <c r="J6344" s="5" t="s">
        <v>31608</v>
      </c>
      <c r="K6344" s="5" t="s">
        <v>344</v>
      </c>
      <c r="L6344" s="5"/>
      <c r="M6344" s="27">
        <v>2039400</v>
      </c>
      <c r="N6344" s="5" t="s">
        <v>49787</v>
      </c>
      <c r="O6344" s="5" t="str">
        <v>7729506782</v>
      </c>
      <c r="P6344" s="27">
        <v>100000</v>
      </c>
      <c r="Q6344" s="5" t="s">
        <v>58853</v>
      </c>
      <c r="R6344" s="5"/>
      <c r="S6344" s="5" t="s">
        <v>58854</v>
      </c>
      <c r="T6344" s="28">
        <v>33963000</v>
      </c>
      <c r="U6344" s="28">
        <v>10000</v>
      </c>
      <c r="V6344" s="28">
        <v>6265781000</v>
      </c>
      <c r="W6344" s="28"/>
      <c r="X6344" s="28">
        <v>185618000</v>
      </c>
      <c r="Y6344" s="28">
        <v>6720388000</v>
      </c>
      <c r="Z6344" s="28">
        <v>1059148000</v>
      </c>
      <c r="AA6344" s="28"/>
      <c r="AB6344" s="28"/>
      <c r="AC6344" s="28">
        <v>5635424000</v>
      </c>
      <c r="AD6344" s="28">
        <v>1059253000</v>
      </c>
      <c r="AE6344" s="28">
        <v>16242539000</v>
      </c>
      <c r="AF6344" s="28">
        <v>42027000</v>
      </c>
      <c r="AG6344" s="11"/>
    </row>
    <row r="6345">
      <c r="A6345" s="7" t="s">
        <v>7916</v>
      </c>
      <c r="B6345" s="5" t="s">
        <v>15872</v>
      </c>
      <c r="C6345" s="5" t="s">
        <v>23523</v>
      </c>
      <c r="D6345" s="5" t="str">
        <v>773415482424</v>
      </c>
      <c r="E6345" s="0" t="e">
        <f>+7 (916) 3268792</f>
        <v>#NAME?</v>
      </c>
      <c r="F6345" s="5"/>
      <c r="G6345" s="5"/>
      <c r="H6345" s="26">
        <v>7.5</v>
      </c>
      <c r="I6345" s="5" t="s">
        <v>43842</v>
      </c>
      <c r="J6345" s="5" t="s">
        <v>364</v>
      </c>
      <c r="K6345" s="5" t="s">
        <v>344</v>
      </c>
      <c r="L6345" s="5" t="s">
        <v>32931</v>
      </c>
      <c r="M6345" s="27"/>
      <c r="N6345" s="5"/>
      <c r="O6345" s="5" t="str">
        <v>7736255508</v>
      </c>
      <c r="P6345" s="27">
        <v>150000</v>
      </c>
      <c r="Q6345" s="5" t="s">
        <v>58855</v>
      </c>
      <c r="R6345" s="5"/>
      <c r="S6345" s="5" t="s">
        <v>58856</v>
      </c>
      <c r="T6345" s="28">
        <v>62111000</v>
      </c>
      <c r="U6345" s="28"/>
      <c r="V6345" s="28">
        <v>26229362000</v>
      </c>
      <c r="W6345" s="28">
        <v>71294000</v>
      </c>
      <c r="X6345" s="28">
        <v>1151455000</v>
      </c>
      <c r="Y6345" s="28">
        <v>28565565000</v>
      </c>
      <c r="Z6345" s="28">
        <v>278212000</v>
      </c>
      <c r="AA6345" s="28"/>
      <c r="AB6345" s="28"/>
      <c r="AC6345" s="28">
        <v>28192395000</v>
      </c>
      <c r="AD6345" s="28">
        <v>363609000</v>
      </c>
      <c r="AE6345" s="28">
        <v>26406844000</v>
      </c>
      <c r="AF6345" s="28">
        <v>131708000</v>
      </c>
      <c r="AG6345" s="11"/>
    </row>
    <row r="6346">
      <c r="A6346" s="7" t="s">
        <v>7917</v>
      </c>
      <c r="B6346" s="5" t="s">
        <v>15873</v>
      </c>
      <c r="C6346" s="5" t="s">
        <v>23524</v>
      </c>
      <c r="D6346" s="5" t="str">
        <v>463206780246</v>
      </c>
      <c r="E6346" s="0" t="e">
        <f>+7 (495) 2214016
+7 (495) 6657501
+7 (499) 6739540</f>
        <v>#NAME?</v>
      </c>
      <c r="F6346" s="5" t="s">
        <v>43843</v>
      </c>
      <c r="G6346" s="5"/>
      <c r="H6346" s="26">
        <v>24</v>
      </c>
      <c r="I6346" s="5"/>
      <c r="J6346" s="5" t="s">
        <v>364</v>
      </c>
      <c r="K6346" s="5" t="s">
        <v>344</v>
      </c>
      <c r="L6346" s="5" t="s">
        <v>43844</v>
      </c>
      <c r="M6346" s="27">
        <v>26343338</v>
      </c>
      <c r="N6346" s="5" t="s">
        <v>58857</v>
      </c>
      <c r="O6346" s="5" t="str">
        <v>7729380970</v>
      </c>
      <c r="P6346" s="27">
        <v>10000</v>
      </c>
      <c r="Q6346" s="5" t="s">
        <v>58858</v>
      </c>
      <c r="R6346" s="5"/>
      <c r="S6346" s="5" t="s">
        <v>52306</v>
      </c>
      <c r="T6346" s="28">
        <v>63395000</v>
      </c>
      <c r="U6346" s="28"/>
      <c r="V6346" s="28">
        <v>8841735000</v>
      </c>
      <c r="W6346" s="28">
        <v>500783000</v>
      </c>
      <c r="X6346" s="28">
        <v>1085381000</v>
      </c>
      <c r="Y6346" s="28">
        <v>12165829000</v>
      </c>
      <c r="Z6346" s="28">
        <v>-236409000</v>
      </c>
      <c r="AA6346" s="28">
        <v>3316445000</v>
      </c>
      <c r="AB6346" s="28"/>
      <c r="AC6346" s="28">
        <v>4726288000</v>
      </c>
      <c r="AD6346" s="28">
        <v>3833601000</v>
      </c>
      <c r="AE6346" s="28">
        <v>7552459000</v>
      </c>
      <c r="AF6346" s="28">
        <v>-139036000</v>
      </c>
      <c r="AG6346" s="11"/>
    </row>
    <row r="6347">
      <c r="A6347" s="7" t="s">
        <v>7918</v>
      </c>
      <c r="B6347" s="5" t="s">
        <v>12717</v>
      </c>
      <c r="C6347" s="5" t="s">
        <v>23525</v>
      </c>
      <c r="D6347" s="5" t="str">
        <v>614102116156</v>
      </c>
      <c r="E6347" s="0" t="e">
        <f>+7 (861) 2150245
+7 (861) 2748928</f>
        <v>#NAME?</v>
      </c>
      <c r="F6347" s="5"/>
      <c r="G6347" s="5"/>
      <c r="H6347" s="26">
        <v>15</v>
      </c>
      <c r="I6347" s="5" t="s">
        <v>43845</v>
      </c>
      <c r="J6347" s="5" t="s">
        <v>364</v>
      </c>
      <c r="K6347" s="5" t="s">
        <v>344</v>
      </c>
      <c r="L6347" s="5" t="s">
        <v>43846</v>
      </c>
      <c r="M6347" s="27"/>
      <c r="N6347" s="5"/>
      <c r="O6347" s="5" t="str">
        <v>2310130490</v>
      </c>
      <c r="P6347" s="27">
        <v>10000</v>
      </c>
      <c r="Q6347" s="5" t="s">
        <v>50437</v>
      </c>
      <c r="R6347" s="5"/>
      <c r="S6347" s="5" t="s">
        <v>53066</v>
      </c>
      <c r="T6347" s="28">
        <v>33666000</v>
      </c>
      <c r="U6347" s="28">
        <v>254992000</v>
      </c>
      <c r="V6347" s="28">
        <v>2136445000</v>
      </c>
      <c r="W6347" s="28"/>
      <c r="X6347" s="28">
        <v>2771326000</v>
      </c>
      <c r="Y6347" s="28">
        <v>5415974000</v>
      </c>
      <c r="Z6347" s="28">
        <v>495242000</v>
      </c>
      <c r="AA6347" s="28">
        <v>16800000</v>
      </c>
      <c r="AB6347" s="28">
        <v>466000</v>
      </c>
      <c r="AC6347" s="28">
        <v>4903922000</v>
      </c>
      <c r="AD6347" s="28">
        <v>495252000</v>
      </c>
      <c r="AE6347" s="28">
        <v>5586816000</v>
      </c>
      <c r="AF6347" s="28">
        <v>201401000</v>
      </c>
      <c r="AG6347" s="11"/>
    </row>
    <row r="6348">
      <c r="A6348" s="7" t="s">
        <v>7919</v>
      </c>
      <c r="B6348" s="5" t="s">
        <v>15874</v>
      </c>
      <c r="C6348" s="5" t="s">
        <v>23526</v>
      </c>
      <c r="D6348" s="5" t="str">
        <v>650100805007</v>
      </c>
      <c r="E6348" s="0" t="e">
        <f>+7 (421) 2430832
+7 (424) 2420489
+7 (424) 2421132
+7 (424) 2421486
+7 (424) 2430832
+7 (424) 2431486
+7 (424) 2434486
+7 (424) 2721379
+7 (424) 2721381
+7 (424) 2721383
+7 (424) 2728422
+7 (914) 2855285</f>
        <v>#NAME?</v>
      </c>
      <c r="F6348" s="5" t="s">
        <v>43847</v>
      </c>
      <c r="G6348" s="5" t="s">
        <v>43848</v>
      </c>
      <c r="H6348" s="26">
        <v>30.5</v>
      </c>
      <c r="I6348" s="5"/>
      <c r="J6348" s="5" t="s">
        <v>467</v>
      </c>
      <c r="K6348" s="5" t="s">
        <v>344</v>
      </c>
      <c r="L6348" s="5" t="s">
        <v>43849</v>
      </c>
      <c r="M6348" s="27">
        <v>72274919</v>
      </c>
      <c r="N6348" s="5" t="s">
        <v>57846</v>
      </c>
      <c r="O6348" s="5" t="str">
        <v>6501097940</v>
      </c>
      <c r="P6348" s="27">
        <v>9000</v>
      </c>
      <c r="Q6348" s="5" t="s">
        <v>58859</v>
      </c>
      <c r="R6348" s="5"/>
      <c r="S6348" s="5" t="s">
        <v>58860</v>
      </c>
      <c r="T6348" s="28">
        <v>1727169000</v>
      </c>
      <c r="U6348" s="28"/>
      <c r="V6348" s="28">
        <v>1347620000</v>
      </c>
      <c r="W6348" s="28">
        <v>4100000</v>
      </c>
      <c r="X6348" s="28">
        <v>2019000</v>
      </c>
      <c r="Y6348" s="28">
        <v>5381071000</v>
      </c>
      <c r="Z6348" s="28">
        <v>557326000</v>
      </c>
      <c r="AA6348" s="28">
        <v>2150354000</v>
      </c>
      <c r="AB6348" s="28">
        <v>175840000</v>
      </c>
      <c r="AC6348" s="28">
        <v>1558376000</v>
      </c>
      <c r="AD6348" s="28">
        <v>563132000</v>
      </c>
      <c r="AE6348" s="28">
        <v>3727078000</v>
      </c>
      <c r="AF6348" s="28">
        <v>306215000</v>
      </c>
      <c r="AG6348" s="11"/>
    </row>
    <row r="6349">
      <c r="A6349" s="7" t="s">
        <v>7920</v>
      </c>
      <c r="B6349" s="5" t="s">
        <v>15875</v>
      </c>
      <c r="C6349" s="5" t="s">
        <v>23527</v>
      </c>
      <c r="D6349" s="5" t="str">
        <v>732506307422</v>
      </c>
      <c r="E6349" s="0" t="e">
        <f>+7 (499) 6739375
+7 (499) 6851114
+7 (926) 9891988
+7 (962) 3611799
+7 (965) 1189108</f>
        <v>#NAME?</v>
      </c>
      <c r="F6349" s="5" t="s">
        <v>43850</v>
      </c>
      <c r="G6349" s="5" t="s">
        <v>43851</v>
      </c>
      <c r="H6349" s="26">
        <v>9.5</v>
      </c>
      <c r="I6349" s="5" t="s">
        <v>43852</v>
      </c>
      <c r="J6349" s="5" t="s">
        <v>30025</v>
      </c>
      <c r="K6349" s="5" t="s">
        <v>344</v>
      </c>
      <c r="L6349" s="5" t="s">
        <v>43853</v>
      </c>
      <c r="M6349" s="27"/>
      <c r="N6349" s="5" t="s">
        <v>49819</v>
      </c>
      <c r="O6349" s="5" t="str">
        <v>7722810367</v>
      </c>
      <c r="P6349" s="27">
        <v>100000</v>
      </c>
      <c r="Q6349" s="5" t="s">
        <v>58861</v>
      </c>
      <c r="R6349" s="5"/>
      <c r="S6349" s="5" t="s">
        <v>58862</v>
      </c>
      <c r="T6349" s="28">
        <v>284987000</v>
      </c>
      <c r="U6349" s="28">
        <v>450775000</v>
      </c>
      <c r="V6349" s="28">
        <v>7846361000</v>
      </c>
      <c r="W6349" s="28">
        <v>728256000</v>
      </c>
      <c r="X6349" s="28">
        <v>2804850000</v>
      </c>
      <c r="Y6349" s="28">
        <v>12816046000</v>
      </c>
      <c r="Z6349" s="28">
        <v>1660947000</v>
      </c>
      <c r="AA6349" s="28"/>
      <c r="AB6349" s="28">
        <v>70469000</v>
      </c>
      <c r="AC6349" s="28">
        <v>10177417000</v>
      </c>
      <c r="AD6349" s="28">
        <v>1738885000</v>
      </c>
      <c r="AE6349" s="28">
        <v>10429721000</v>
      </c>
      <c r="AF6349" s="28">
        <v>1482394000</v>
      </c>
      <c r="AG6349" s="11"/>
    </row>
    <row r="6350">
      <c r="A6350" s="7" t="s">
        <v>7921</v>
      </c>
      <c r="B6350" s="5" t="s">
        <v>15876</v>
      </c>
      <c r="C6350" s="5" t="s">
        <v>23528</v>
      </c>
      <c r="D6350" s="5" t="str">
        <v>561014819604</v>
      </c>
      <c r="E6350" s="0" t="e">
        <f>+7 (35324) 31212
+7 (35324) 31222
+7 (35326) 90690
+7 (958) 6704518</f>
        <v>#NAME?</v>
      </c>
      <c r="F6350" s="5" t="s">
        <v>43854</v>
      </c>
      <c r="G6350" s="5" t="s">
        <v>43855</v>
      </c>
      <c r="H6350" s="26">
        <v>8.5</v>
      </c>
      <c r="I6350" s="5" t="s">
        <v>43856</v>
      </c>
      <c r="J6350" s="5" t="s">
        <v>467</v>
      </c>
      <c r="K6350" s="5" t="s">
        <v>344</v>
      </c>
      <c r="L6350" s="5"/>
      <c r="M6350" s="27">
        <v>5451108</v>
      </c>
      <c r="N6350" s="5" t="s">
        <v>58863</v>
      </c>
      <c r="O6350" s="5" t="str">
        <v>6317104240</v>
      </c>
      <c r="P6350" s="27">
        <v>10000</v>
      </c>
      <c r="Q6350" s="5" t="s">
        <v>58864</v>
      </c>
      <c r="R6350" s="5"/>
      <c r="S6350" s="5" t="s">
        <v>58865</v>
      </c>
      <c r="T6350" s="28">
        <v>179432000</v>
      </c>
      <c r="U6350" s="28"/>
      <c r="V6350" s="28">
        <v>736298000</v>
      </c>
      <c r="W6350" s="28">
        <v>34799000</v>
      </c>
      <c r="X6350" s="28">
        <v>313545000</v>
      </c>
      <c r="Y6350" s="28">
        <v>1694763000</v>
      </c>
      <c r="Z6350" s="28">
        <v>95253000</v>
      </c>
      <c r="AA6350" s="28">
        <v>212000000</v>
      </c>
      <c r="AB6350" s="28">
        <v>27255000</v>
      </c>
      <c r="AC6350" s="28">
        <v>1375239000</v>
      </c>
      <c r="AD6350" s="28">
        <v>95263000</v>
      </c>
      <c r="AE6350" s="28">
        <v>3234953000</v>
      </c>
      <c r="AF6350" s="28">
        <v>12135000</v>
      </c>
      <c r="AG6350" s="11"/>
    </row>
    <row r="6351">
      <c r="A6351" s="7" t="s">
        <v>7922</v>
      </c>
      <c r="B6351" s="5" t="s">
        <v>15877</v>
      </c>
      <c r="C6351" s="5" t="s">
        <v>1355</v>
      </c>
      <c r="D6351" s="5" t="str">
        <v>471402147628</v>
      </c>
      <c r="E6351" s="0" t="e">
        <f>+7 (495) 9160514
+7 (495) 9170367
+7 (495) 9170484
+7 (495) 9174556
+7 (495) 9177194
+7 (495) 9179528</f>
        <v>#NAME?</v>
      </c>
      <c r="F6351" s="5" t="s">
        <v>43857</v>
      </c>
      <c r="G6351" s="5"/>
      <c r="H6351" s="26">
        <v>30</v>
      </c>
      <c r="I6351" s="5"/>
      <c r="J6351" s="5" t="s">
        <v>947</v>
      </c>
      <c r="K6351" s="5" t="s">
        <v>380</v>
      </c>
      <c r="L6351" s="5"/>
      <c r="M6351" s="27">
        <v>167672435</v>
      </c>
      <c r="N6351" s="5"/>
      <c r="O6351" s="5" t="str">
        <v>7709021370</v>
      </c>
      <c r="P6351" s="27">
        <v>7000</v>
      </c>
      <c r="Q6351" s="5"/>
      <c r="R6351" s="5" t="s">
        <v>58866</v>
      </c>
      <c r="S6351" s="5" t="s">
        <v>49121</v>
      </c>
      <c r="T6351" s="28">
        <v>140356000</v>
      </c>
      <c r="U6351" s="28"/>
      <c r="V6351" s="28">
        <v>2590431000</v>
      </c>
      <c r="W6351" s="28"/>
      <c r="X6351" s="28">
        <v>66290000</v>
      </c>
      <c r="Y6351" s="28">
        <v>3859801000</v>
      </c>
      <c r="Z6351" s="28">
        <v>154080000</v>
      </c>
      <c r="AA6351" s="28"/>
      <c r="AB6351" s="28">
        <v>71612000</v>
      </c>
      <c r="AC6351" s="28">
        <v>3353714000</v>
      </c>
      <c r="AD6351" s="28">
        <v>154087000</v>
      </c>
      <c r="AE6351" s="28">
        <v>4039614000</v>
      </c>
      <c r="AF6351" s="28">
        <v>-236456000</v>
      </c>
      <c r="AG6351" s="11"/>
    </row>
    <row r="6352">
      <c r="A6352" s="7" t="s">
        <v>7923</v>
      </c>
      <c r="B6352" s="5" t="s">
        <v>15878</v>
      </c>
      <c r="C6352" s="5" t="s">
        <v>23529</v>
      </c>
      <c r="D6352" s="5" t="str">
        <v>612505068261</v>
      </c>
      <c r="E6352" s="0" t="e">
        <f>+7 (844) 2580507
+7 (988) 5712139</f>
        <v>#NAME?</v>
      </c>
      <c r="F6352" s="5" t="s">
        <v>43858</v>
      </c>
      <c r="G6352" s="5"/>
      <c r="H6352" s="26">
        <v>5</v>
      </c>
      <c r="I6352" s="5" t="s">
        <v>43859</v>
      </c>
      <c r="J6352" s="5" t="s">
        <v>467</v>
      </c>
      <c r="K6352" s="5" t="s">
        <v>355</v>
      </c>
      <c r="L6352" s="5" t="s">
        <v>43860</v>
      </c>
      <c r="M6352" s="27">
        <v>27248779</v>
      </c>
      <c r="N6352" s="5"/>
      <c r="O6352" s="5" t="str">
        <v>3443139166</v>
      </c>
      <c r="P6352" s="27">
        <v>10000</v>
      </c>
      <c r="Q6352" s="5" t="s">
        <v>58867</v>
      </c>
      <c r="R6352" s="5" t="s">
        <v>58868</v>
      </c>
      <c r="S6352" s="5" t="s">
        <v>58869</v>
      </c>
      <c r="T6352" s="28">
        <v>518845000</v>
      </c>
      <c r="U6352" s="28"/>
      <c r="V6352" s="28">
        <v>1091473000</v>
      </c>
      <c r="W6352" s="28">
        <v>147896000</v>
      </c>
      <c r="X6352" s="28">
        <v>19269000</v>
      </c>
      <c r="Y6352" s="28">
        <v>2720500000</v>
      </c>
      <c r="Z6352" s="28">
        <v>278268000</v>
      </c>
      <c r="AA6352" s="28"/>
      <c r="AB6352" s="28">
        <v>1315507000</v>
      </c>
      <c r="AC6352" s="28">
        <v>2372423000</v>
      </c>
      <c r="AD6352" s="28">
        <v>278278000</v>
      </c>
      <c r="AE6352" s="28">
        <v>6701449000</v>
      </c>
      <c r="AF6352" s="28">
        <v>174766000</v>
      </c>
      <c r="AG6352" s="11"/>
    </row>
    <row r="6353">
      <c r="A6353" s="7" t="s">
        <v>7924</v>
      </c>
      <c r="B6353" s="5" t="s">
        <v>15879</v>
      </c>
      <c r="C6353" s="5" t="s">
        <v>23530</v>
      </c>
      <c r="D6353" s="5" t="str">
        <v>860100590699</v>
      </c>
      <c r="E6353" s="0" t="e">
        <f>+7 (3466) 235500
+7 (3466) 413847
+7 (3466) 238321
+7 (3466) 413845
+7 (3466) 414800
+7 (3466) 415760
+7 (3466) 415770</f>
        <v>#NAME?</v>
      </c>
      <c r="F6353" s="5" t="s">
        <v>43861</v>
      </c>
      <c r="G6353" s="5"/>
      <c r="H6353" s="26">
        <v>26</v>
      </c>
      <c r="I6353" s="5" t="s">
        <v>43862</v>
      </c>
      <c r="J6353" s="5" t="s">
        <v>467</v>
      </c>
      <c r="K6353" s="5" t="s">
        <v>380</v>
      </c>
      <c r="L6353" s="5"/>
      <c r="M6353" s="27">
        <v>21936875</v>
      </c>
      <c r="N6353" s="5" t="s">
        <v>53994</v>
      </c>
      <c r="O6353" s="5" t="str">
        <v>8603000799</v>
      </c>
      <c r="P6353" s="27">
        <v>10908</v>
      </c>
      <c r="Q6353" s="5" t="s">
        <v>58870</v>
      </c>
      <c r="R6353" s="5"/>
      <c r="S6353" s="5" t="s">
        <v>50047</v>
      </c>
      <c r="T6353" s="28">
        <v>251638000</v>
      </c>
      <c r="U6353" s="28"/>
      <c r="V6353" s="28">
        <v>4469050000</v>
      </c>
      <c r="W6353" s="28"/>
      <c r="X6353" s="28">
        <v>31054000</v>
      </c>
      <c r="Y6353" s="28">
        <v>6107396000</v>
      </c>
      <c r="Z6353" s="28">
        <v>-424384000</v>
      </c>
      <c r="AA6353" s="28"/>
      <c r="AB6353" s="28">
        <v>32000000</v>
      </c>
      <c r="AC6353" s="28">
        <v>5444575000</v>
      </c>
      <c r="AD6353" s="28">
        <v>-286505000</v>
      </c>
      <c r="AE6353" s="28">
        <v>3574813000</v>
      </c>
      <c r="AF6353" s="28">
        <v>-185267000</v>
      </c>
      <c r="AG6353" s="11"/>
    </row>
    <row r="6354">
      <c r="A6354" s="7" t="s">
        <v>7925</v>
      </c>
      <c r="B6354" s="5" t="s">
        <v>15880</v>
      </c>
      <c r="C6354" s="5" t="s">
        <v>23531</v>
      </c>
      <c r="D6354" s="5" t="str">
        <v>772781213977</v>
      </c>
      <c r="F6354" s="5" t="s">
        <v>43863</v>
      </c>
      <c r="G6354" s="5"/>
      <c r="H6354" s="26">
        <v>14</v>
      </c>
      <c r="I6354" s="5" t="s">
        <v>43864</v>
      </c>
      <c r="J6354" s="5" t="s">
        <v>1095</v>
      </c>
      <c r="K6354" s="5" t="s">
        <v>344</v>
      </c>
      <c r="L6354" s="5" t="s">
        <v>43865</v>
      </c>
      <c r="M6354" s="27"/>
      <c r="N6354" s="5" t="s">
        <v>58871</v>
      </c>
      <c r="O6354" s="5" t="str">
        <v>7727668876</v>
      </c>
      <c r="P6354" s="27">
        <v>15000</v>
      </c>
      <c r="Q6354" s="5" t="s">
        <v>49059</v>
      </c>
      <c r="R6354" s="5"/>
      <c r="S6354" s="5" t="s">
        <v>58872</v>
      </c>
      <c r="T6354" s="28">
        <v>8329000</v>
      </c>
      <c r="U6354" s="28"/>
      <c r="V6354" s="28">
        <v>79656000</v>
      </c>
      <c r="W6354" s="28"/>
      <c r="X6354" s="28">
        <v>65000</v>
      </c>
      <c r="Y6354" s="28">
        <v>137427000</v>
      </c>
      <c r="Z6354" s="28">
        <v>11709000</v>
      </c>
      <c r="AA6354" s="28"/>
      <c r="AB6354" s="28">
        <v>-1806000</v>
      </c>
      <c r="AC6354" s="28">
        <v>125703000</v>
      </c>
      <c r="AD6354" s="28">
        <v>11724000</v>
      </c>
      <c r="AE6354" s="28">
        <v>98818799000</v>
      </c>
      <c r="AF6354" s="28">
        <v>1164362000</v>
      </c>
      <c r="AG6354" s="11"/>
    </row>
    <row r="6355">
      <c r="A6355" s="7" t="s">
        <v>7926</v>
      </c>
      <c r="B6355" s="5" t="s">
        <v>15881</v>
      </c>
      <c r="C6355" s="5" t="s">
        <v>23532</v>
      </c>
      <c r="D6355" s="5" t="str">
        <v>470314327073</v>
      </c>
      <c r="E6355" s="0" t="e">
        <f>+7 (921) 980501
+7 (812) 3013993
+7 (812) 4242152
+7 (901) 3013993
+7 (911) 1417228</f>
        <v>#NAME?</v>
      </c>
      <c r="F6355" s="5" t="s">
        <v>43866</v>
      </c>
      <c r="G6355" s="5" t="s">
        <v>43867</v>
      </c>
      <c r="H6355" s="26">
        <v>8</v>
      </c>
      <c r="I6355" s="5" t="s">
        <v>43868</v>
      </c>
      <c r="J6355" s="5" t="s">
        <v>364</v>
      </c>
      <c r="K6355" s="5" t="s">
        <v>344</v>
      </c>
      <c r="L6355" s="5" t="s">
        <v>43869</v>
      </c>
      <c r="M6355" s="27">
        <v>7314479</v>
      </c>
      <c r="N6355" s="5" t="s">
        <v>58873</v>
      </c>
      <c r="O6355" s="5" t="str">
        <v>7802270195</v>
      </c>
      <c r="P6355" s="27">
        <v>10000</v>
      </c>
      <c r="Q6355" s="5" t="s">
        <v>58874</v>
      </c>
      <c r="R6355" s="5"/>
      <c r="S6355" s="5" t="s">
        <v>58875</v>
      </c>
      <c r="T6355" s="28">
        <v>372773000</v>
      </c>
      <c r="U6355" s="28">
        <v>45000</v>
      </c>
      <c r="V6355" s="28">
        <v>140154000</v>
      </c>
      <c r="W6355" s="28"/>
      <c r="X6355" s="28">
        <v>236929000</v>
      </c>
      <c r="Y6355" s="28">
        <v>860678000</v>
      </c>
      <c r="Z6355" s="28">
        <v>290127000</v>
      </c>
      <c r="AA6355" s="28"/>
      <c r="AB6355" s="28">
        <v>40000000</v>
      </c>
      <c r="AC6355" s="28">
        <v>549530000</v>
      </c>
      <c r="AD6355" s="28">
        <v>290137000</v>
      </c>
      <c r="AE6355" s="28">
        <v>3526558000</v>
      </c>
      <c r="AF6355" s="28">
        <v>319195000</v>
      </c>
      <c r="AG6355" s="11"/>
    </row>
    <row r="6356">
      <c r="A6356" s="7" t="s">
        <v>7927</v>
      </c>
      <c r="B6356" s="5" t="s">
        <v>15882</v>
      </c>
      <c r="C6356" s="5" t="s">
        <v>23533</v>
      </c>
      <c r="D6356" s="5" t="str">
        <v>770508826200</v>
      </c>
      <c r="E6356" s="0" t="e">
        <f>+7 (495) 2234050
+7 (495) 2234052
+7 (495) 6756661
+7 (495) 9261863
+7 (495) 9264446
+7 (495) 9264646</f>
        <v>#NAME?</v>
      </c>
      <c r="F6356" s="5"/>
      <c r="G6356" s="5"/>
      <c r="H6356" s="26">
        <v>22.5</v>
      </c>
      <c r="I6356" s="5" t="s">
        <v>43870</v>
      </c>
      <c r="J6356" s="5" t="s">
        <v>25641</v>
      </c>
      <c r="K6356" s="5" t="s">
        <v>344</v>
      </c>
      <c r="L6356" s="5" t="s">
        <v>43871</v>
      </c>
      <c r="M6356" s="27"/>
      <c r="N6356" s="5"/>
      <c r="O6356" s="5" t="str">
        <v>7714176330</v>
      </c>
      <c r="P6356" s="27">
        <v>945654054</v>
      </c>
      <c r="Q6356" s="5" t="s">
        <v>49059</v>
      </c>
      <c r="R6356" s="5"/>
      <c r="S6356" s="5" t="s">
        <v>49010</v>
      </c>
      <c r="T6356" s="28">
        <v>84741000</v>
      </c>
      <c r="U6356" s="28"/>
      <c r="V6356" s="28">
        <v>1439456000</v>
      </c>
      <c r="W6356" s="28"/>
      <c r="X6356" s="28">
        <v>1912963000</v>
      </c>
      <c r="Y6356" s="28">
        <v>4230908000</v>
      </c>
      <c r="Z6356" s="28">
        <v>563858000</v>
      </c>
      <c r="AA6356" s="28"/>
      <c r="AB6356" s="28"/>
      <c r="AC6356" s="28">
        <v>604250000</v>
      </c>
      <c r="AD6356" s="28">
        <v>3622802000</v>
      </c>
      <c r="AE6356" s="28">
        <v>5736477000</v>
      </c>
      <c r="AF6356" s="28">
        <v>236785000</v>
      </c>
      <c r="AG6356" s="11"/>
    </row>
    <row r="6357">
      <c r="A6357" s="7" t="s">
        <v>7928</v>
      </c>
      <c r="B6357" s="5" t="s">
        <v>15883</v>
      </c>
      <c r="C6357" s="5" t="s">
        <v>23534</v>
      </c>
      <c r="D6357" s="5" t="str">
        <v>366500488030</v>
      </c>
      <c r="E6357" s="0" t="e">
        <f>+7 (473) 2433290
+7 (473) 2439745
+7 (473) 2439746
+7 (473) 2439804
+7 (473) 2439831
+7 (4862) 201125</f>
        <v>#NAME?</v>
      </c>
      <c r="F6357" s="5" t="s">
        <v>43872</v>
      </c>
      <c r="G6357" s="5"/>
      <c r="H6357" s="26">
        <v>11.5</v>
      </c>
      <c r="I6357" s="5" t="s">
        <v>43873</v>
      </c>
      <c r="J6357" s="5" t="s">
        <v>32989</v>
      </c>
      <c r="K6357" s="5" t="s">
        <v>344</v>
      </c>
      <c r="L6357" s="5" t="s">
        <v>43874</v>
      </c>
      <c r="M6357" s="27"/>
      <c r="N6357" s="5"/>
      <c r="O6357" s="5" t="str">
        <v>3665085190</v>
      </c>
      <c r="P6357" s="27">
        <v>20000</v>
      </c>
      <c r="Q6357" s="5" t="s">
        <v>49059</v>
      </c>
      <c r="R6357" s="5"/>
      <c r="S6357" s="5" t="s">
        <v>49029</v>
      </c>
      <c r="T6357" s="28">
        <v>128857000</v>
      </c>
      <c r="U6357" s="28"/>
      <c r="V6357" s="28">
        <v>602801000</v>
      </c>
      <c r="W6357" s="28"/>
      <c r="X6357" s="28">
        <v>227910000</v>
      </c>
      <c r="Y6357" s="28">
        <v>1529948000</v>
      </c>
      <c r="Z6357" s="28">
        <v>546687000</v>
      </c>
      <c r="AA6357" s="28"/>
      <c r="AB6357" s="28">
        <v>676565000</v>
      </c>
      <c r="AC6357" s="28">
        <v>859383000</v>
      </c>
      <c r="AD6357" s="28">
        <v>670565000</v>
      </c>
      <c r="AE6357" s="28">
        <v>3791642000</v>
      </c>
      <c r="AF6357" s="28">
        <v>140502000</v>
      </c>
      <c r="AG6357" s="11"/>
    </row>
    <row r="6358">
      <c r="A6358" s="7" t="s">
        <v>7929</v>
      </c>
      <c r="B6358" s="5" t="s">
        <v>15884</v>
      </c>
      <c r="C6358" s="5" t="s">
        <v>18866</v>
      </c>
      <c r="D6358" s="5"/>
      <c r="E6358" s="0" t="e">
        <f>+7 (34397) 24126
+7 (982) 7647921
+7 (34397) 24075
+7 (34397) 24000
+7 (34397) 24027
+7 (34397) 24040
+7 (34397) 24151
+7 (34397) 24619
+7 (34397) 24727
+7 (34397) 46051</f>
        <v>#NAME?</v>
      </c>
      <c r="F6358" s="5" t="s">
        <v>43875</v>
      </c>
      <c r="G6358" s="5" t="s">
        <v>43876</v>
      </c>
      <c r="H6358" s="26">
        <v>26.5</v>
      </c>
      <c r="I6358" s="5" t="s">
        <v>43877</v>
      </c>
      <c r="J6358" s="5" t="s">
        <v>32455</v>
      </c>
      <c r="K6358" s="5" t="s">
        <v>344</v>
      </c>
      <c r="L6358" s="5" t="s">
        <v>43878</v>
      </c>
      <c r="M6358" s="27">
        <v>6195092</v>
      </c>
      <c r="N6358" s="5" t="s">
        <v>58876</v>
      </c>
      <c r="O6358" s="5" t="str">
        <v>6627001318</v>
      </c>
      <c r="P6358" s="27">
        <v>1262436</v>
      </c>
      <c r="Q6358" s="5" t="s">
        <v>49009</v>
      </c>
      <c r="R6358" s="5"/>
      <c r="S6358" s="5" t="s">
        <v>49371</v>
      </c>
      <c r="T6358" s="28">
        <v>11440659000</v>
      </c>
      <c r="U6358" s="28">
        <v>10530000</v>
      </c>
      <c r="V6358" s="28">
        <v>12678715000</v>
      </c>
      <c r="W6358" s="28">
        <v>387000</v>
      </c>
      <c r="X6358" s="28">
        <v>673912000</v>
      </c>
      <c r="Y6358" s="28">
        <v>33997914000</v>
      </c>
      <c r="Z6358" s="28">
        <v>11482163000</v>
      </c>
      <c r="AA6358" s="28">
        <v>5000000000</v>
      </c>
      <c r="AB6358" s="28">
        <v>8209619000</v>
      </c>
      <c r="AC6358" s="28">
        <v>13334464000</v>
      </c>
      <c r="AD6358" s="28">
        <v>14030233000</v>
      </c>
      <c r="AE6358" s="28">
        <v>35513691000</v>
      </c>
      <c r="AF6358" s="28">
        <v>2823109000</v>
      </c>
      <c r="AG6358" s="11"/>
    </row>
    <row r="6359">
      <c r="A6359" s="7" t="s">
        <v>7930</v>
      </c>
      <c r="B6359" s="5" t="s">
        <v>15885</v>
      </c>
      <c r="C6359" s="5" t="s">
        <v>23535</v>
      </c>
      <c r="D6359" s="5" t="str">
        <v>772446717628</v>
      </c>
      <c r="E6359" s="0" t="e">
        <f>+7 (495) 7972842
+7 (495) 7972845
+7 (495) 7972846
+7 (495) 7972847
+7 (495) 7972849
+7 (495) 7972885
+7 (495) 7972886
+7 (421) 2415464
+7 (421) 2473232
+7 (421) 2473522
+7 (421) 2473523
+7 (495) 4904818
+7 (495) 7972686
+7 (495) 7972848
+7 (812) 3139512</f>
        <v>#NAME?</v>
      </c>
      <c r="F6359" s="5" t="s">
        <v>43879</v>
      </c>
      <c r="G6359" s="5"/>
      <c r="H6359" s="26">
        <v>22</v>
      </c>
      <c r="I6359" s="5" t="s">
        <v>43880</v>
      </c>
      <c r="J6359" s="5" t="s">
        <v>678</v>
      </c>
      <c r="K6359" s="5" t="s">
        <v>344</v>
      </c>
      <c r="L6359" s="5" t="s">
        <v>43881</v>
      </c>
      <c r="M6359" s="27">
        <v>7901519</v>
      </c>
      <c r="N6359" s="5" t="s">
        <v>58877</v>
      </c>
      <c r="O6359" s="5" t="str">
        <v>7709340842</v>
      </c>
      <c r="P6359" s="27">
        <v>673554050</v>
      </c>
      <c r="Q6359" s="5" t="s">
        <v>58878</v>
      </c>
      <c r="R6359" s="5"/>
      <c r="S6359" s="5" t="s">
        <v>51668</v>
      </c>
      <c r="T6359" s="28">
        <v>937696000</v>
      </c>
      <c r="U6359" s="28"/>
      <c r="V6359" s="28">
        <v>1453699000</v>
      </c>
      <c r="W6359" s="28"/>
      <c r="X6359" s="28">
        <v>5000034000</v>
      </c>
      <c r="Y6359" s="28">
        <v>14420679000</v>
      </c>
      <c r="Z6359" s="28">
        <v>9383965000</v>
      </c>
      <c r="AA6359" s="28"/>
      <c r="AB6359" s="28"/>
      <c r="AC6359" s="28">
        <v>3894655000</v>
      </c>
      <c r="AD6359" s="28">
        <v>10196421000</v>
      </c>
      <c r="AE6359" s="28">
        <v>27527773000</v>
      </c>
      <c r="AF6359" s="28">
        <v>1155924000</v>
      </c>
      <c r="AG6359" s="11"/>
    </row>
    <row r="6360">
      <c r="A6360" s="7" t="s">
        <v>7931</v>
      </c>
      <c r="B6360" s="5" t="s">
        <v>15886</v>
      </c>
      <c r="C6360" s="5" t="s">
        <v>23536</v>
      </c>
      <c r="D6360" s="5" t="str">
        <v>782612567907</v>
      </c>
      <c r="E6360" s="0" t="e">
        <f>+7 (495) 2216604
+7 (495) 2216605
+7 (800) 2009996
+7 (800) 5509910
+7 (812) 3150462</f>
        <v>#NAME?</v>
      </c>
      <c r="F6360" s="5" t="s">
        <v>43882</v>
      </c>
      <c r="G6360" s="5" t="s">
        <v>43883</v>
      </c>
      <c r="H6360" s="26">
        <v>18</v>
      </c>
      <c r="I6360" s="5" t="s">
        <v>43884</v>
      </c>
      <c r="J6360" s="5" t="s">
        <v>32481</v>
      </c>
      <c r="K6360" s="5" t="s">
        <v>344</v>
      </c>
      <c r="L6360" s="5"/>
      <c r="M6360" s="27"/>
      <c r="N6360" s="5" t="s">
        <v>58879</v>
      </c>
      <c r="O6360" s="5" t="str">
        <v>7838314569</v>
      </c>
      <c r="P6360" s="27">
        <v>464099450</v>
      </c>
      <c r="Q6360" s="5" t="s">
        <v>58880</v>
      </c>
      <c r="R6360" s="5"/>
      <c r="S6360" s="5" t="s">
        <v>58881</v>
      </c>
      <c r="T6360" s="28">
        <v>1100338000</v>
      </c>
      <c r="U6360" s="28">
        <v>4899000</v>
      </c>
      <c r="V6360" s="28">
        <v>2712264000</v>
      </c>
      <c r="W6360" s="28">
        <v>13432000</v>
      </c>
      <c r="X6360" s="28">
        <v>579418000</v>
      </c>
      <c r="Y6360" s="28">
        <v>7804297000</v>
      </c>
      <c r="Z6360" s="28">
        <v>809600000</v>
      </c>
      <c r="AA6360" s="28"/>
      <c r="AB6360" s="28">
        <v>1668852000</v>
      </c>
      <c r="AC6360" s="28">
        <v>4472131000</v>
      </c>
      <c r="AD6360" s="28">
        <v>3245632000</v>
      </c>
      <c r="AE6360" s="28">
        <v>8861159000</v>
      </c>
      <c r="AF6360" s="28">
        <v>328174000</v>
      </c>
      <c r="AG6360" s="11"/>
    </row>
    <row r="6361">
      <c r="A6361" s="7" t="s">
        <v>7932</v>
      </c>
      <c r="B6361" s="5" t="s">
        <v>13438</v>
      </c>
      <c r="C6361" s="5" t="s">
        <v>23537</v>
      </c>
      <c r="D6361" s="5" t="str">
        <v>890409794601</v>
      </c>
      <c r="E6361" s="0" t="e">
        <f>+7 (495) 6441806
+7 (495) 7188958</f>
        <v>#NAME?</v>
      </c>
      <c r="F6361" s="5"/>
      <c r="G6361" s="5" t="s">
        <v>43885</v>
      </c>
      <c r="H6361" s="26">
        <v>21.5</v>
      </c>
      <c r="I6361" s="5" t="s">
        <v>43886</v>
      </c>
      <c r="J6361" s="5" t="s">
        <v>947</v>
      </c>
      <c r="K6361" s="5" t="s">
        <v>344</v>
      </c>
      <c r="L6361" s="5" t="s">
        <v>43887</v>
      </c>
      <c r="M6361" s="27">
        <v>12244959</v>
      </c>
      <c r="N6361" s="5"/>
      <c r="O6361" s="5" t="str">
        <v>7725165531</v>
      </c>
      <c r="P6361" s="27">
        <v>10000</v>
      </c>
      <c r="Q6361" s="5" t="s">
        <v>50809</v>
      </c>
      <c r="R6361" s="5"/>
      <c r="S6361" s="5" t="s">
        <v>53708</v>
      </c>
      <c r="T6361" s="28">
        <v>569383000</v>
      </c>
      <c r="U6361" s="28">
        <v>893860000</v>
      </c>
      <c r="V6361" s="28">
        <v>3402276000</v>
      </c>
      <c r="W6361" s="28">
        <v>860248000</v>
      </c>
      <c r="X6361" s="28">
        <v>1523136000</v>
      </c>
      <c r="Y6361" s="28">
        <v>7763557000</v>
      </c>
      <c r="Z6361" s="28">
        <v>5010623000</v>
      </c>
      <c r="AA6361" s="28"/>
      <c r="AB6361" s="28"/>
      <c r="AC6361" s="28">
        <v>2621730000</v>
      </c>
      <c r="AD6361" s="28">
        <v>5010633000</v>
      </c>
      <c r="AE6361" s="28">
        <v>9526905000</v>
      </c>
      <c r="AF6361" s="28">
        <v>262710000</v>
      </c>
      <c r="AG6361" s="11"/>
    </row>
    <row r="6362">
      <c r="A6362" s="7" t="s">
        <v>7933</v>
      </c>
      <c r="B6362" s="5" t="s">
        <v>15887</v>
      </c>
      <c r="C6362" s="5" t="s">
        <v>23538</v>
      </c>
      <c r="D6362" s="5" t="str">
        <v>772121719502</v>
      </c>
      <c r="F6362" s="5" t="s">
        <v>43888</v>
      </c>
      <c r="G6362" s="5"/>
      <c r="H6362" s="26">
        <v>11</v>
      </c>
      <c r="I6362" s="5" t="s">
        <v>43889</v>
      </c>
      <c r="J6362" s="5" t="s">
        <v>678</v>
      </c>
      <c r="K6362" s="5" t="s">
        <v>344</v>
      </c>
      <c r="L6362" s="5"/>
      <c r="M6362" s="27"/>
      <c r="N6362" s="5"/>
      <c r="O6362" s="5" t="str">
        <v>7709891007</v>
      </c>
      <c r="P6362" s="27">
        <v>20000</v>
      </c>
      <c r="Q6362" s="5" t="s">
        <v>49009</v>
      </c>
      <c r="R6362" s="5"/>
      <c r="S6362" s="5" t="s">
        <v>49010</v>
      </c>
      <c r="T6362" s="28">
        <v>131914000</v>
      </c>
      <c r="U6362" s="28"/>
      <c r="V6362" s="28">
        <v>559390000</v>
      </c>
      <c r="W6362" s="28">
        <v>45599000</v>
      </c>
      <c r="X6362" s="28">
        <v>675000</v>
      </c>
      <c r="Y6362" s="28">
        <v>1089258000</v>
      </c>
      <c r="Z6362" s="28">
        <v>468036000</v>
      </c>
      <c r="AA6362" s="28">
        <v>2295000</v>
      </c>
      <c r="AB6362" s="28">
        <v>5000</v>
      </c>
      <c r="AC6362" s="28">
        <v>613933000</v>
      </c>
      <c r="AD6362" s="28">
        <v>657327000</v>
      </c>
      <c r="AE6362" s="28">
        <v>4802889000</v>
      </c>
      <c r="AF6362" s="28">
        <v>25354000</v>
      </c>
      <c r="AG6362" s="11"/>
    </row>
    <row r="6363">
      <c r="A6363" s="7" t="s">
        <v>7934</v>
      </c>
      <c r="B6363" s="5" t="s">
        <v>15888</v>
      </c>
      <c r="C6363" s="5" t="s">
        <v>23539</v>
      </c>
      <c r="D6363" s="5"/>
      <c r="E6363" s="0" t="e">
        <f>+7 (917) 5778944
+7 (42432) 31995
+7 (42432) 32181
+7 (42432) 33995</f>
        <v>#NAME?</v>
      </c>
      <c r="F6363" s="5" t="s">
        <v>43890</v>
      </c>
      <c r="G6363" s="5"/>
      <c r="H6363" s="26">
        <v>20.5</v>
      </c>
      <c r="I6363" s="5" t="s">
        <v>43891</v>
      </c>
      <c r="J6363" s="5" t="s">
        <v>26939</v>
      </c>
      <c r="K6363" s="5" t="s">
        <v>355</v>
      </c>
      <c r="L6363" s="5" t="s">
        <v>43892</v>
      </c>
      <c r="M6363" s="27">
        <v>98703105</v>
      </c>
      <c r="N6363" s="5" t="s">
        <v>58882</v>
      </c>
      <c r="O6363" s="5" t="str">
        <v>7706277053</v>
      </c>
      <c r="P6363" s="27">
        <v>110000</v>
      </c>
      <c r="Q6363" s="5" t="s">
        <v>49057</v>
      </c>
      <c r="R6363" s="5"/>
      <c r="S6363" s="5" t="s">
        <v>54527</v>
      </c>
      <c r="T6363" s="28">
        <v>32655679000</v>
      </c>
      <c r="U6363" s="28">
        <v>6855528000</v>
      </c>
      <c r="V6363" s="28">
        <v>22230600000</v>
      </c>
      <c r="W6363" s="28">
        <v>15948267000</v>
      </c>
      <c r="X6363" s="28">
        <v>6631515000</v>
      </c>
      <c r="Y6363" s="28">
        <v>93796900000</v>
      </c>
      <c r="Z6363" s="28">
        <v>57935052000</v>
      </c>
      <c r="AA6363" s="28">
        <v>7031078000</v>
      </c>
      <c r="AB6363" s="28">
        <v>6808802000</v>
      </c>
      <c r="AC6363" s="28">
        <v>15807998000</v>
      </c>
      <c r="AD6363" s="28">
        <v>64534833000</v>
      </c>
      <c r="AE6363" s="28">
        <v>80647729000</v>
      </c>
      <c r="AF6363" s="28">
        <v>37492715000</v>
      </c>
      <c r="AG6363" s="11"/>
    </row>
    <row r="6364">
      <c r="A6364" s="7" t="s">
        <v>7935</v>
      </c>
      <c r="B6364" s="5" t="s">
        <v>15889</v>
      </c>
      <c r="C6364" s="5" t="s">
        <v>22868</v>
      </c>
      <c r="D6364" s="5" t="str">
        <v>860203058133</v>
      </c>
      <c r="E6364" s="0" t="e">
        <f>+7 (346) 2769035
+7 (346) 2769066
+7 (346) 2769097
+7 (346) 2769669
+7 (346) 2769755
+7 (495) 6041081
+7 (812) 2441081</f>
        <v>#NAME?</v>
      </c>
      <c r="F6364" s="5" t="s">
        <v>43893</v>
      </c>
      <c r="G6364" s="5"/>
      <c r="H6364" s="26">
        <v>25</v>
      </c>
      <c r="I6364" s="5" t="s">
        <v>43894</v>
      </c>
      <c r="J6364" s="5" t="s">
        <v>947</v>
      </c>
      <c r="K6364" s="5" t="s">
        <v>344</v>
      </c>
      <c r="L6364" s="5"/>
      <c r="M6364" s="27">
        <v>84908878</v>
      </c>
      <c r="N6364" s="5" t="s">
        <v>58883</v>
      </c>
      <c r="O6364" s="5" t="str">
        <v>8617014209</v>
      </c>
      <c r="P6364" s="27">
        <v>14966000</v>
      </c>
      <c r="Q6364" s="5" t="s">
        <v>58885</v>
      </c>
      <c r="R6364" s="5"/>
      <c r="S6364" s="5" t="s">
        <v>58886</v>
      </c>
      <c r="T6364" s="28">
        <v>457448000</v>
      </c>
      <c r="U6364" s="28"/>
      <c r="V6364" s="28">
        <v>1108889000</v>
      </c>
      <c r="W6364" s="28">
        <v>947898000</v>
      </c>
      <c r="X6364" s="28">
        <v>11430000</v>
      </c>
      <c r="Y6364" s="28">
        <v>3544782000</v>
      </c>
      <c r="Z6364" s="28">
        <v>882154000</v>
      </c>
      <c r="AA6364" s="28"/>
      <c r="AB6364" s="28"/>
      <c r="AC6364" s="28">
        <v>2233941000</v>
      </c>
      <c r="AD6364" s="28">
        <v>899365000</v>
      </c>
      <c r="AE6364" s="28">
        <v>5672365000</v>
      </c>
      <c r="AF6364" s="28">
        <v>152047000</v>
      </c>
      <c r="AG6364" s="11"/>
    </row>
    <row r="6365">
      <c r="A6365" s="7" t="s">
        <v>7936</v>
      </c>
      <c r="B6365" s="5" t="s">
        <v>15890</v>
      </c>
      <c r="C6365" s="5" t="s">
        <v>23540</v>
      </c>
      <c r="D6365" s="5" t="str">
        <v>490500434815</v>
      </c>
      <c r="E6365" s="0" t="e">
        <f>+7 (413) 2022158
+7 (413) 2022191
+7 (413) 2203784
+7 (413) 2203999
+7 (413) 2222158
+7 (413) 2222159
+7 (413) 2609750
+7 (413) 2699511
+7 (413) 2699664
+7 (41345) 21439
+7 (41345) 22191
+7 (41345) 23677
+7 (914) 8598003</f>
        <v>#NAME?</v>
      </c>
      <c r="F6365" s="5" t="s">
        <v>43895</v>
      </c>
      <c r="G6365" s="5" t="s">
        <v>43896</v>
      </c>
      <c r="H6365" s="26">
        <v>30.5</v>
      </c>
      <c r="I6365" s="5"/>
      <c r="J6365" s="5" t="s">
        <v>26499</v>
      </c>
      <c r="K6365" s="5" t="s">
        <v>355</v>
      </c>
      <c r="L6365" s="5" t="s">
        <v>43897</v>
      </c>
      <c r="M6365" s="27">
        <v>40937390</v>
      </c>
      <c r="N6365" s="5" t="s">
        <v>58887</v>
      </c>
      <c r="O6365" s="5" t="str">
        <v>4905001978</v>
      </c>
      <c r="P6365" s="27">
        <v>5221598</v>
      </c>
      <c r="Q6365" s="5"/>
      <c r="R6365" s="5"/>
      <c r="S6365" s="5" t="s">
        <v>49110</v>
      </c>
      <c r="T6365" s="28">
        <v>10825614000</v>
      </c>
      <c r="U6365" s="28">
        <v>3838004000</v>
      </c>
      <c r="V6365" s="28">
        <v>3008418000</v>
      </c>
      <c r="W6365" s="28"/>
      <c r="X6365" s="28">
        <v>218162000</v>
      </c>
      <c r="Y6365" s="28">
        <v>36633749000</v>
      </c>
      <c r="Z6365" s="28">
        <v>22638457000</v>
      </c>
      <c r="AA6365" s="28">
        <v>6252952000</v>
      </c>
      <c r="AB6365" s="28">
        <v>778521000</v>
      </c>
      <c r="AC6365" s="28">
        <v>5411395000</v>
      </c>
      <c r="AD6365" s="28">
        <v>22789146000</v>
      </c>
      <c r="AE6365" s="28">
        <v>25511456000</v>
      </c>
      <c r="AF6365" s="28">
        <v>529540000</v>
      </c>
      <c r="AG6365" s="11"/>
    </row>
    <row r="6366">
      <c r="A6366" s="7" t="s">
        <v>7937</v>
      </c>
      <c r="B6366" s="5" t="s">
        <v>15891</v>
      </c>
      <c r="C6366" s="5" t="s">
        <v>23541</v>
      </c>
      <c r="D6366" s="5" t="str">
        <v>482504303730</v>
      </c>
      <c r="E6366" s="0" t="e">
        <f>+7 (920) 5019191
+7 (980) 2671339
+7 (474) 2301269
+7 (910) 2513034
+7 (910) 2522235
+7 (910) 3536987
+7 (915) 5579739
+7 (919) 1615916
+7 (919) 1617112
+7 (980) 3501925</f>
        <v>#NAME?</v>
      </c>
      <c r="F6366" s="5" t="s">
        <v>43898</v>
      </c>
      <c r="G6366" s="5"/>
      <c r="H6366" s="26">
        <v>16.5</v>
      </c>
      <c r="I6366" s="5" t="s">
        <v>43899</v>
      </c>
      <c r="J6366" s="5" t="s">
        <v>25837</v>
      </c>
      <c r="K6366" s="5" t="s">
        <v>344</v>
      </c>
      <c r="L6366" s="5" t="s">
        <v>33243</v>
      </c>
      <c r="M6366" s="27">
        <v>644537</v>
      </c>
      <c r="N6366" s="5" t="s">
        <v>49498</v>
      </c>
      <c r="O6366" s="5" t="str">
        <v>4802010280</v>
      </c>
      <c r="P6366" s="27">
        <v>4000000</v>
      </c>
      <c r="Q6366" s="5" t="s">
        <v>49009</v>
      </c>
      <c r="R6366" s="5"/>
      <c r="S6366" s="5" t="s">
        <v>49028</v>
      </c>
      <c r="T6366" s="28">
        <v>8071000</v>
      </c>
      <c r="U6366" s="28"/>
      <c r="V6366" s="28">
        <v>542170000</v>
      </c>
      <c r="W6366" s="28"/>
      <c r="X6366" s="28">
        <v>604023000</v>
      </c>
      <c r="Y6366" s="28">
        <v>2652246000</v>
      </c>
      <c r="Z6366" s="28">
        <v>695699000</v>
      </c>
      <c r="AA6366" s="28"/>
      <c r="AB6366" s="28">
        <v>830847000</v>
      </c>
      <c r="AC6366" s="28">
        <v>1950755000</v>
      </c>
      <c r="AD6366" s="28">
        <v>699699000</v>
      </c>
      <c r="AE6366" s="28">
        <v>5317732000</v>
      </c>
      <c r="AF6366" s="28">
        <v>251830000</v>
      </c>
      <c r="AG6366" s="11"/>
    </row>
    <row r="6367">
      <c r="A6367" s="7" t="s">
        <v>7938</v>
      </c>
      <c r="B6367" s="5" t="s">
        <v>15892</v>
      </c>
      <c r="C6367" s="5" t="s">
        <v>23542</v>
      </c>
      <c r="D6367" s="5" t="str">
        <v>400401086550</v>
      </c>
      <c r="E6367" s="0" t="e">
        <f>+7 (911) 5015940
+7 (81733) 31892
+7 (81733) 32687</f>
        <v>#NAME?</v>
      </c>
      <c r="F6367" s="5" t="s">
        <v>43900</v>
      </c>
      <c r="G6367" s="5" t="s">
        <v>43901</v>
      </c>
      <c r="H6367" s="26">
        <v>12</v>
      </c>
      <c r="I6367" s="5" t="s">
        <v>43902</v>
      </c>
      <c r="J6367" s="5" t="s">
        <v>26536</v>
      </c>
      <c r="K6367" s="5" t="s">
        <v>344</v>
      </c>
      <c r="L6367" s="5" t="s">
        <v>43903</v>
      </c>
      <c r="M6367" s="27"/>
      <c r="N6367" s="5"/>
      <c r="O6367" s="5" t="str">
        <v>3519003961</v>
      </c>
      <c r="P6367" s="27">
        <v>10000</v>
      </c>
      <c r="Q6367" s="5" t="s">
        <v>49009</v>
      </c>
      <c r="R6367" s="5"/>
      <c r="S6367" s="5" t="s">
        <v>49066</v>
      </c>
      <c r="T6367" s="28">
        <v>4057252000</v>
      </c>
      <c r="U6367" s="28"/>
      <c r="V6367" s="28">
        <v>2101487000</v>
      </c>
      <c r="W6367" s="28"/>
      <c r="X6367" s="28">
        <v>90019000</v>
      </c>
      <c r="Y6367" s="28">
        <v>9291926000</v>
      </c>
      <c r="Z6367" s="28">
        <v>3287718000</v>
      </c>
      <c r="AA6367" s="28">
        <v>3045277000</v>
      </c>
      <c r="AB6367" s="28">
        <v>722046000</v>
      </c>
      <c r="AC6367" s="28">
        <v>2520565000</v>
      </c>
      <c r="AD6367" s="28">
        <v>3287728000</v>
      </c>
      <c r="AE6367" s="28">
        <v>9931075000</v>
      </c>
      <c r="AF6367" s="28">
        <v>645004000</v>
      </c>
      <c r="AG6367" s="11"/>
    </row>
    <row r="6368">
      <c r="A6368" s="7" t="s">
        <v>7939</v>
      </c>
      <c r="B6368" s="5" t="s">
        <v>15893</v>
      </c>
      <c r="C6368" s="5" t="s">
        <v>22980</v>
      </c>
      <c r="D6368" s="5" t="str">
        <v>772630407949</v>
      </c>
      <c r="E6368" s="0" t="e">
        <f>+7 (3012) 214157
+7 (383) 2892914
+7 (38456) 31938
+7 (38456) 70218
+7 (38456) 93311
+7 (39031) 55867
+7 (39031) 55871
+7 (391) 2286001
+7 (391) 2286054
+7 (3952) 794066
+7 (4232) 211408
+7 (495) 3632783
+7 (495) 3636405
+7 (495) 6429175
+7 (495) 7952528</f>
        <v>#NAME?</v>
      </c>
      <c r="F6368" s="5" t="s">
        <v>43904</v>
      </c>
      <c r="G6368" s="5" t="s">
        <v>43905</v>
      </c>
      <c r="H6368" s="26">
        <v>23</v>
      </c>
      <c r="I6368" s="5"/>
      <c r="J6368" s="5" t="s">
        <v>678</v>
      </c>
      <c r="K6368" s="5" t="s">
        <v>344</v>
      </c>
      <c r="L6368" s="5" t="s">
        <v>43906</v>
      </c>
      <c r="M6368" s="27">
        <v>29994021</v>
      </c>
      <c r="N6368" s="5" t="s">
        <v>52386</v>
      </c>
      <c r="O6368" s="5" t="str">
        <v>7708129854</v>
      </c>
      <c r="P6368" s="27">
        <v>1180300</v>
      </c>
      <c r="Q6368" s="5" t="s">
        <v>58889</v>
      </c>
      <c r="R6368" s="5" t="s">
        <v>58890</v>
      </c>
      <c r="S6368" s="5" t="s">
        <v>58891</v>
      </c>
      <c r="T6368" s="28">
        <v>4766340000</v>
      </c>
      <c r="U6368" s="28">
        <v>396127027000</v>
      </c>
      <c r="V6368" s="28">
        <v>87521484000</v>
      </c>
      <c r="W6368" s="28">
        <v>57427204000</v>
      </c>
      <c r="X6368" s="28">
        <v>4265207000</v>
      </c>
      <c r="Y6368" s="28">
        <v>638262132000</v>
      </c>
      <c r="Z6368" s="28">
        <v>256403386000</v>
      </c>
      <c r="AA6368" s="28">
        <v>188212717000</v>
      </c>
      <c r="AB6368" s="28">
        <v>130473414000</v>
      </c>
      <c r="AC6368" s="28">
        <v>174966797000</v>
      </c>
      <c r="AD6368" s="28">
        <v>263760182000</v>
      </c>
      <c r="AE6368" s="28">
        <v>83070385000</v>
      </c>
      <c r="AF6368" s="28">
        <v>84929724000</v>
      </c>
      <c r="AG6368" s="11"/>
    </row>
    <row r="6369">
      <c r="A6369" s="7" t="s">
        <v>7940</v>
      </c>
      <c r="B6369" s="5" t="s">
        <v>15894</v>
      </c>
      <c r="C6369" s="5" t="s">
        <v>23543</v>
      </c>
      <c r="D6369" s="5" t="str">
        <v>245902322800</v>
      </c>
      <c r="E6369" s="0" t="e">
        <f>+7 (391) 2271900
+7 (391) 2286011</f>
        <v>#NAME?</v>
      </c>
      <c r="F6369" s="5" t="s">
        <v>43907</v>
      </c>
      <c r="G6369" s="5"/>
      <c r="H6369" s="26">
        <v>15.5</v>
      </c>
      <c r="I6369" s="5" t="s">
        <v>43908</v>
      </c>
      <c r="J6369" s="5" t="s">
        <v>26939</v>
      </c>
      <c r="K6369" s="5" t="s">
        <v>344</v>
      </c>
      <c r="L6369" s="5" t="s">
        <v>43909</v>
      </c>
      <c r="M6369" s="27">
        <v>15102299</v>
      </c>
      <c r="N6369" s="5" t="s">
        <v>58892</v>
      </c>
      <c r="O6369" s="5" t="str">
        <v>2466152267</v>
      </c>
      <c r="P6369" s="27">
        <v>4317243131</v>
      </c>
      <c r="Q6369" s="5" t="s">
        <v>58893</v>
      </c>
      <c r="R6369" s="5" t="s">
        <v>57074</v>
      </c>
      <c r="S6369" s="5" t="s">
        <v>58894</v>
      </c>
      <c r="T6369" s="28">
        <v>10051118000</v>
      </c>
      <c r="U6369" s="28">
        <v>1709001000</v>
      </c>
      <c r="V6369" s="28">
        <v>7866347000</v>
      </c>
      <c r="W6369" s="28"/>
      <c r="X6369" s="28">
        <v>32471000</v>
      </c>
      <c r="Y6369" s="28">
        <v>22512138000</v>
      </c>
      <c r="Z6369" s="28">
        <v>5326217000</v>
      </c>
      <c r="AA6369" s="28"/>
      <c r="AB6369" s="28">
        <v>5790671000</v>
      </c>
      <c r="AC6369" s="28">
        <v>9341013000</v>
      </c>
      <c r="AD6369" s="28">
        <v>12544958000</v>
      </c>
      <c r="AE6369" s="28">
        <v>36678134000</v>
      </c>
      <c r="AF6369" s="28">
        <v>4036512000</v>
      </c>
      <c r="AG6369" s="11"/>
    </row>
    <row r="6370">
      <c r="A6370" s="7" t="s">
        <v>7941</v>
      </c>
      <c r="B6370" s="5" t="s">
        <v>15895</v>
      </c>
      <c r="C6370" s="5" t="s">
        <v>23544</v>
      </c>
      <c r="D6370" s="5" t="str">
        <v>421101574769</v>
      </c>
      <c r="E6370" s="0" t="e">
        <f>+7 (38456) 27382
+7 (38456) 71333
+7 (38456) 93980
+7 (38456) 93050
+7 (38456) 93156
+7 (38456) 93350
+7 (38456) 27767
+7 (38456) 33219
+7 (38456) 43644
+7 (38456) 52160</f>
        <v>#NAME?</v>
      </c>
      <c r="F6370" s="5" t="s">
        <v>43910</v>
      </c>
      <c r="G6370" s="5" t="s">
        <v>43905</v>
      </c>
      <c r="H6370" s="26">
        <v>16</v>
      </c>
      <c r="I6370" s="5"/>
      <c r="J6370" s="5" t="s">
        <v>43911</v>
      </c>
      <c r="K6370" s="5" t="s">
        <v>344</v>
      </c>
      <c r="L6370" s="5" t="s">
        <v>43912</v>
      </c>
      <c r="M6370" s="27">
        <v>22963549</v>
      </c>
      <c r="N6370" s="5" t="s">
        <v>58895</v>
      </c>
      <c r="O6370" s="5" t="str">
        <v>4212024138</v>
      </c>
      <c r="P6370" s="27">
        <v>17773648675</v>
      </c>
      <c r="Q6370" s="5" t="s">
        <v>58896</v>
      </c>
      <c r="R6370" s="5" t="s">
        <v>58897</v>
      </c>
      <c r="S6370" s="5" t="s">
        <v>51456</v>
      </c>
      <c r="T6370" s="28">
        <v>99914988000</v>
      </c>
      <c r="U6370" s="28">
        <v>1032000</v>
      </c>
      <c r="V6370" s="28">
        <v>78427472000</v>
      </c>
      <c r="W6370" s="28">
        <v>6216671000</v>
      </c>
      <c r="X6370" s="28">
        <v>18241000</v>
      </c>
      <c r="Y6370" s="28">
        <v>202719904000</v>
      </c>
      <c r="Z6370" s="28">
        <v>87490186000</v>
      </c>
      <c r="AA6370" s="28">
        <v>24800009000</v>
      </c>
      <c r="AB6370" s="28">
        <v>21193938000</v>
      </c>
      <c r="AC6370" s="28">
        <v>42771379000</v>
      </c>
      <c r="AD6370" s="28">
        <v>121268307000</v>
      </c>
      <c r="AE6370" s="28">
        <v>240028944000</v>
      </c>
      <c r="AF6370" s="28">
        <v>55207546000</v>
      </c>
      <c r="AG6370" s="11"/>
    </row>
    <row r="6371">
      <c r="A6371" s="7" t="s">
        <v>7942</v>
      </c>
      <c r="B6371" s="5" t="s">
        <v>15893</v>
      </c>
      <c r="C6371" s="5" t="s">
        <v>23545</v>
      </c>
      <c r="D6371" s="5" t="str">
        <v>771534896117</v>
      </c>
      <c r="E6371" s="0" t="e">
        <f>+7 (495) 7952538
+7 (495) 7979523</f>
        <v>#NAME?</v>
      </c>
      <c r="F6371" s="5" t="s">
        <v>43913</v>
      </c>
      <c r="G6371" s="5" t="s">
        <v>43914</v>
      </c>
      <c r="H6371" s="26">
        <v>13</v>
      </c>
      <c r="I6371" s="5" t="s">
        <v>43915</v>
      </c>
      <c r="J6371" s="5" t="s">
        <v>28108</v>
      </c>
      <c r="K6371" s="5" t="s">
        <v>344</v>
      </c>
      <c r="L6371" s="5"/>
      <c r="M6371" s="27"/>
      <c r="N6371" s="5"/>
      <c r="O6371" s="5" t="str">
        <v>7709851798</v>
      </c>
      <c r="P6371" s="27">
        <v>10000</v>
      </c>
      <c r="Q6371" s="5" t="s">
        <v>49021</v>
      </c>
      <c r="R6371" s="5"/>
      <c r="S6371" s="5" t="s">
        <v>49317</v>
      </c>
      <c r="T6371" s="28">
        <v>856000</v>
      </c>
      <c r="U6371" s="28">
        <v>44000000000</v>
      </c>
      <c r="V6371" s="28">
        <v>1826161000</v>
      </c>
      <c r="W6371" s="28">
        <v>41040120000</v>
      </c>
      <c r="X6371" s="28">
        <v>414000</v>
      </c>
      <c r="Y6371" s="28">
        <v>86867758000</v>
      </c>
      <c r="Z6371" s="28">
        <v>54437000</v>
      </c>
      <c r="AA6371" s="28">
        <v>44000000000</v>
      </c>
      <c r="AB6371" s="28">
        <v>42811203000</v>
      </c>
      <c r="AC6371" s="28">
        <v>42812826000</v>
      </c>
      <c r="AD6371" s="28">
        <v>54447000</v>
      </c>
      <c r="AE6371" s="28">
        <v>6105500000</v>
      </c>
      <c r="AF6371" s="28">
        <v>31414000</v>
      </c>
      <c r="AG6371" s="11"/>
    </row>
    <row r="6372">
      <c r="A6372" s="7" t="s">
        <v>7943</v>
      </c>
      <c r="B6372" s="5" t="s">
        <v>15896</v>
      </c>
      <c r="C6372" s="5" t="s">
        <v>23546</v>
      </c>
      <c r="D6372" s="5" t="str">
        <v>190332547407</v>
      </c>
      <c r="E6372" s="0" t="e">
        <f>+7 (39031) 35535
+7 (39031) 55550
+7 (39031) 55845
+7 (39031) 55866
+7 (39031) 55869
+7 (39031) 55870
+7 (39031) 55871
+7 (39031) 55876
+7 (39031) 55877
+7 (39031) 55955
+7 (39031) 64016
+7 (39031) 64096</f>
        <v>#NAME?</v>
      </c>
      <c r="F6372" s="5" t="s">
        <v>43916</v>
      </c>
      <c r="G6372" s="5" t="s">
        <v>43917</v>
      </c>
      <c r="H6372" s="26">
        <v>15.5</v>
      </c>
      <c r="I6372" s="5" t="s">
        <v>43918</v>
      </c>
      <c r="J6372" s="5" t="s">
        <v>28484</v>
      </c>
      <c r="K6372" s="5" t="s">
        <v>344</v>
      </c>
      <c r="L6372" s="5" t="s">
        <v>43919</v>
      </c>
      <c r="M6372" s="27">
        <v>4092429</v>
      </c>
      <c r="N6372" s="5" t="s">
        <v>58898</v>
      </c>
      <c r="O6372" s="5" t="str">
        <v>1903017342</v>
      </c>
      <c r="P6372" s="27">
        <v>2476135827</v>
      </c>
      <c r="Q6372" s="5" t="s">
        <v>58899</v>
      </c>
      <c r="R6372" s="5" t="s">
        <v>57074</v>
      </c>
      <c r="S6372" s="5" t="s">
        <v>58900</v>
      </c>
      <c r="T6372" s="28">
        <v>10146595000</v>
      </c>
      <c r="U6372" s="28">
        <v>923870000</v>
      </c>
      <c r="V6372" s="28">
        <v>28671502000</v>
      </c>
      <c r="W6372" s="28">
        <v>6643000</v>
      </c>
      <c r="X6372" s="28">
        <v>134820000</v>
      </c>
      <c r="Y6372" s="28">
        <v>44941676000</v>
      </c>
      <c r="Z6372" s="28">
        <v>21707228000</v>
      </c>
      <c r="AA6372" s="28">
        <v>6701196000</v>
      </c>
      <c r="AB6372" s="28">
        <v>1388889000</v>
      </c>
      <c r="AC6372" s="28">
        <v>7661764000</v>
      </c>
      <c r="AD6372" s="28">
        <v>27684392000</v>
      </c>
      <c r="AE6372" s="28">
        <v>64070885000</v>
      </c>
      <c r="AF6372" s="28">
        <v>17229749000</v>
      </c>
      <c r="AG6372" s="11"/>
    </row>
    <row r="6373">
      <c r="A6373" s="7" t="s">
        <v>7944</v>
      </c>
      <c r="B6373" s="5" t="s">
        <v>15897</v>
      </c>
      <c r="C6373" s="5" t="s">
        <v>23547</v>
      </c>
      <c r="D6373" s="5"/>
      <c r="E6373" s="0" t="e">
        <f>+7 (345) 2536012
+7 (345) 2536095
+7 (800) 2502874
+7 (345) 2414430
+7 (345) 2536003
+7 (345) 2536061
+7 (345) 2596425
+7 (345) 2596428
+7 (345) 2652337
+7 (345) 2652391
+7 (345) 2652411
+7 (34535) 35850
+7 (34542) 23324
+7 (34551) 71881
+7 (34551) 73558</f>
        <v>#NAME?</v>
      </c>
      <c r="F6373" s="5" t="s">
        <v>43920</v>
      </c>
      <c r="G6373" s="5"/>
      <c r="H6373" s="26">
        <v>20</v>
      </c>
      <c r="I6373" s="5"/>
      <c r="J6373" s="5" t="s">
        <v>27802</v>
      </c>
      <c r="K6373" s="5" t="s">
        <v>344</v>
      </c>
      <c r="L6373" s="5"/>
      <c r="M6373" s="27">
        <v>8447818</v>
      </c>
      <c r="N6373" s="5" t="s">
        <v>58901</v>
      </c>
      <c r="O6373" s="5" t="str">
        <v>7205011944</v>
      </c>
      <c r="P6373" s="27">
        <v>9436350965</v>
      </c>
      <c r="Q6373" s="5" t="s">
        <v>58902</v>
      </c>
      <c r="R6373" s="5" t="s">
        <v>58903</v>
      </c>
      <c r="S6373" s="5" t="s">
        <v>51054</v>
      </c>
      <c r="T6373" s="28">
        <v>48059196000</v>
      </c>
      <c r="U6373" s="28">
        <v>5701232000</v>
      </c>
      <c r="V6373" s="28">
        <v>6767065000</v>
      </c>
      <c r="W6373" s="28">
        <v>1159810000</v>
      </c>
      <c r="X6373" s="28">
        <v>967311000</v>
      </c>
      <c r="Y6373" s="28">
        <v>65563578000</v>
      </c>
      <c r="Z6373" s="28">
        <v>1138522000</v>
      </c>
      <c r="AA6373" s="28">
        <v>7425260000</v>
      </c>
      <c r="AB6373" s="28">
        <v>2644148000</v>
      </c>
      <c r="AC6373" s="28">
        <v>8250024000</v>
      </c>
      <c r="AD6373" s="28">
        <v>37867307000</v>
      </c>
      <c r="AE6373" s="28">
        <v>18781741000</v>
      </c>
      <c r="AF6373" s="28">
        <v>1138522000</v>
      </c>
      <c r="AG6373" s="11"/>
    </row>
    <row r="6374">
      <c r="A6374" s="7" t="s">
        <v>7945</v>
      </c>
      <c r="B6374" s="5" t="s">
        <v>15898</v>
      </c>
      <c r="C6374" s="5" t="s">
        <v>23548</v>
      </c>
      <c r="D6374" s="5" t="str">
        <v>450132624248</v>
      </c>
      <c r="E6374" s="0" t="e">
        <f>+7 (345) 2652659
+7 (352) 2467205
+7 (3522) 633184
+7 (3522) 633659</f>
        <v>#NAME?</v>
      </c>
      <c r="F6374" s="5" t="s">
        <v>43921</v>
      </c>
      <c r="G6374" s="5"/>
      <c r="H6374" s="26">
        <v>15.5</v>
      </c>
      <c r="I6374" s="5" t="s">
        <v>43922</v>
      </c>
      <c r="J6374" s="5" t="s">
        <v>570</v>
      </c>
      <c r="K6374" s="5" t="s">
        <v>344</v>
      </c>
      <c r="L6374" s="5" t="s">
        <v>43923</v>
      </c>
      <c r="M6374" s="27">
        <v>65677</v>
      </c>
      <c r="N6374" s="5" t="s">
        <v>58904</v>
      </c>
      <c r="O6374" s="5" t="str">
        <v>4501131812</v>
      </c>
      <c r="P6374" s="27">
        <v>31000</v>
      </c>
      <c r="Q6374" s="5" t="s">
        <v>58906</v>
      </c>
      <c r="R6374" s="5" t="s">
        <v>58907</v>
      </c>
      <c r="S6374" s="5" t="s">
        <v>58908</v>
      </c>
      <c r="T6374" s="28">
        <v>662673000</v>
      </c>
      <c r="U6374" s="28"/>
      <c r="V6374" s="28">
        <v>1144354000</v>
      </c>
      <c r="W6374" s="28">
        <v>45000000</v>
      </c>
      <c r="X6374" s="28">
        <v>20206000</v>
      </c>
      <c r="Y6374" s="28">
        <v>2592038000</v>
      </c>
      <c r="Z6374" s="28">
        <v>455583000</v>
      </c>
      <c r="AA6374" s="28"/>
      <c r="AB6374" s="28">
        <v>601336000</v>
      </c>
      <c r="AC6374" s="28">
        <v>2005362000</v>
      </c>
      <c r="AD6374" s="28">
        <v>455614000</v>
      </c>
      <c r="AE6374" s="28">
        <v>4121983000</v>
      </c>
      <c r="AF6374" s="28">
        <v>158050000</v>
      </c>
      <c r="AG6374" s="11"/>
    </row>
    <row r="6375">
      <c r="A6375" s="7" t="s">
        <v>7946</v>
      </c>
      <c r="B6375" s="5" t="s">
        <v>15899</v>
      </c>
      <c r="C6375" s="5" t="s">
        <v>23549</v>
      </c>
      <c r="D6375" s="5" t="str">
        <v>470401597728</v>
      </c>
      <c r="E6375" s="0" t="e">
        <f>+7 (812) 2355148
+7 (812) 2357069
+7 (812) 2359427
+7 (812) 3500864
+7 (911) 2101290
+7 (921) 7736277</f>
        <v>#NAME?</v>
      </c>
      <c r="F6375" s="5" t="s">
        <v>43924</v>
      </c>
      <c r="G6375" s="5" t="s">
        <v>43925</v>
      </c>
      <c r="H6375" s="26">
        <v>29.5</v>
      </c>
      <c r="I6375" s="5" t="s">
        <v>43926</v>
      </c>
      <c r="J6375" s="5" t="s">
        <v>807</v>
      </c>
      <c r="K6375" s="5" t="s">
        <v>344</v>
      </c>
      <c r="L6375" s="5"/>
      <c r="M6375" s="27">
        <v>18096586</v>
      </c>
      <c r="N6375" s="5"/>
      <c r="O6375" s="5" t="str">
        <v>7813046950</v>
      </c>
      <c r="P6375" s="27">
        <v>232883</v>
      </c>
      <c r="Q6375" s="5" t="s">
        <v>58909</v>
      </c>
      <c r="R6375" s="5" t="s">
        <v>58910</v>
      </c>
      <c r="S6375" s="5" t="s">
        <v>49358</v>
      </c>
      <c r="T6375" s="28">
        <v>234423000</v>
      </c>
      <c r="U6375" s="28">
        <v>350171000</v>
      </c>
      <c r="V6375" s="28">
        <v>6803086000</v>
      </c>
      <c r="W6375" s="28">
        <v>80000000</v>
      </c>
      <c r="X6375" s="28">
        <v>5854618000</v>
      </c>
      <c r="Y6375" s="28">
        <v>16410809000</v>
      </c>
      <c r="Z6375" s="28">
        <v>797307000</v>
      </c>
      <c r="AA6375" s="28"/>
      <c r="AB6375" s="28"/>
      <c r="AC6375" s="28">
        <v>15193540000</v>
      </c>
      <c r="AD6375" s="28">
        <v>1049187000</v>
      </c>
      <c r="AE6375" s="28">
        <v>12220632000</v>
      </c>
      <c r="AF6375" s="28">
        <v>263270000</v>
      </c>
      <c r="AG6375" s="11"/>
    </row>
    <row r="6376">
      <c r="A6376" s="7" t="s">
        <v>7947</v>
      </c>
      <c r="B6376" s="5" t="s">
        <v>15900</v>
      </c>
      <c r="C6376" s="5" t="s">
        <v>23550</v>
      </c>
      <c r="D6376" s="5" t="str">
        <v>575101856109</v>
      </c>
      <c r="E6376" s="0" t="e">
        <f>+7 (4862) 726303
+7 (486) 6430878
+7 (48744) 22306
+7 (4876) 722306
+7 (848) 6430878</f>
        <v>#NAME?</v>
      </c>
      <c r="F6376" s="5" t="s">
        <v>43927</v>
      </c>
      <c r="G6376" s="5"/>
      <c r="H6376" s="26">
        <v>15.5</v>
      </c>
      <c r="I6376" s="5" t="s">
        <v>43928</v>
      </c>
      <c r="J6376" s="5" t="s">
        <v>467</v>
      </c>
      <c r="K6376" s="5" t="s">
        <v>344</v>
      </c>
      <c r="L6376" s="5" t="s">
        <v>43929</v>
      </c>
      <c r="M6376" s="27"/>
      <c r="N6376" s="5" t="s">
        <v>58911</v>
      </c>
      <c r="O6376" s="5" t="str">
        <v>5751033859</v>
      </c>
      <c r="P6376" s="27">
        <v>23000</v>
      </c>
      <c r="Q6376" s="5" t="s">
        <v>58912</v>
      </c>
      <c r="R6376" s="5"/>
      <c r="S6376" s="5" t="s">
        <v>49560</v>
      </c>
      <c r="T6376" s="28">
        <v>548469000</v>
      </c>
      <c r="U6376" s="28"/>
      <c r="V6376" s="28">
        <v>146754000</v>
      </c>
      <c r="W6376" s="28">
        <v>294001000</v>
      </c>
      <c r="X6376" s="28">
        <v>28171000</v>
      </c>
      <c r="Y6376" s="28">
        <v>1564356000</v>
      </c>
      <c r="Z6376" s="28">
        <v>284832000</v>
      </c>
      <c r="AA6376" s="28"/>
      <c r="AB6376" s="28">
        <v>285391000</v>
      </c>
      <c r="AC6376" s="28">
        <v>656875000</v>
      </c>
      <c r="AD6376" s="28">
        <v>284855000</v>
      </c>
      <c r="AE6376" s="28">
        <v>3061763000</v>
      </c>
      <c r="AF6376" s="28">
        <v>17191000</v>
      </c>
      <c r="AG6376" s="11"/>
    </row>
    <row r="6377">
      <c r="A6377" s="7" t="s">
        <v>7948</v>
      </c>
      <c r="B6377" s="5" t="s">
        <v>15901</v>
      </c>
      <c r="C6377" s="5" t="s">
        <v>23551</v>
      </c>
      <c r="D6377" s="5" t="str">
        <v>770171583074</v>
      </c>
      <c r="F6377" s="5"/>
      <c r="G6377" s="5"/>
      <c r="H6377" s="26">
        <v>2.5</v>
      </c>
      <c r="I6377" s="5" t="s">
        <v>31180</v>
      </c>
      <c r="J6377" s="5" t="s">
        <v>364</v>
      </c>
      <c r="K6377" s="5" t="s">
        <v>344</v>
      </c>
      <c r="L6377" s="5"/>
      <c r="M6377" s="27">
        <v>9545771</v>
      </c>
      <c r="N6377" s="5"/>
      <c r="O6377" s="5" t="str">
        <v>7814776719</v>
      </c>
      <c r="P6377" s="27">
        <v>10000</v>
      </c>
      <c r="Q6377" s="5" t="s">
        <v>58913</v>
      </c>
      <c r="R6377" s="5"/>
      <c r="S6377" s="5" t="s">
        <v>49743</v>
      </c>
      <c r="T6377" s="28">
        <v>109299000</v>
      </c>
      <c r="U6377" s="28"/>
      <c r="V6377" s="28">
        <v>33829424000</v>
      </c>
      <c r="W6377" s="28"/>
      <c r="X6377" s="28">
        <v>351946000</v>
      </c>
      <c r="Y6377" s="28">
        <v>43316898000</v>
      </c>
      <c r="Z6377" s="28">
        <v>614167000</v>
      </c>
      <c r="AA6377" s="28"/>
      <c r="AB6377" s="28"/>
      <c r="AC6377" s="28">
        <v>39171522000</v>
      </c>
      <c r="AD6377" s="28">
        <v>614177000</v>
      </c>
      <c r="AE6377" s="28">
        <v>19118770000</v>
      </c>
      <c r="AF6377" s="28">
        <v>716457000</v>
      </c>
      <c r="AG6377" s="11"/>
    </row>
    <row r="6378">
      <c r="A6378" s="7" t="s">
        <v>7948</v>
      </c>
      <c r="B6378" s="5" t="s">
        <v>15902</v>
      </c>
      <c r="C6378" s="5" t="s">
        <v>23552</v>
      </c>
      <c r="D6378" s="5" t="str">
        <v>650801328899</v>
      </c>
      <c r="E6378" s="0" t="e">
        <f>+7 (421) 2739966
+7 (800) 5009917</f>
        <v>#NAME?</v>
      </c>
      <c r="F6378" s="5" t="s">
        <v>43930</v>
      </c>
      <c r="G6378" s="5" t="s">
        <v>43931</v>
      </c>
      <c r="H6378" s="26">
        <v>14</v>
      </c>
      <c r="I6378" s="5" t="s">
        <v>43932</v>
      </c>
      <c r="J6378" s="5" t="s">
        <v>25446</v>
      </c>
      <c r="K6378" s="5" t="s">
        <v>355</v>
      </c>
      <c r="L6378" s="5" t="s">
        <v>43933</v>
      </c>
      <c r="M6378" s="27"/>
      <c r="N6378" s="5" t="s">
        <v>58914</v>
      </c>
      <c r="O6378" s="5" t="str">
        <v>2724129450</v>
      </c>
      <c r="P6378" s="27">
        <v>1000000</v>
      </c>
      <c r="Q6378" s="5"/>
      <c r="R6378" s="5"/>
      <c r="S6378" s="5" t="s">
        <v>49047</v>
      </c>
      <c r="T6378" s="28">
        <v>207308000</v>
      </c>
      <c r="U6378" s="28"/>
      <c r="V6378" s="28">
        <v>1143666000</v>
      </c>
      <c r="W6378" s="28">
        <v>125000000</v>
      </c>
      <c r="X6378" s="28">
        <v>30382000</v>
      </c>
      <c r="Y6378" s="28">
        <v>4597739000</v>
      </c>
      <c r="Z6378" s="28">
        <v>3140911000</v>
      </c>
      <c r="AA6378" s="28"/>
      <c r="AB6378" s="28">
        <v>349999000</v>
      </c>
      <c r="AC6378" s="28">
        <v>1211251000</v>
      </c>
      <c r="AD6378" s="28">
        <v>3141961000</v>
      </c>
      <c r="AE6378" s="28">
        <v>7171604000</v>
      </c>
      <c r="AF6378" s="28">
        <v>1268578000</v>
      </c>
      <c r="AG6378" s="11"/>
    </row>
    <row r="6379">
      <c r="A6379" s="7" t="s">
        <v>7948</v>
      </c>
      <c r="B6379" s="5" t="s">
        <v>15903</v>
      </c>
      <c r="C6379" s="5" t="s">
        <v>19774</v>
      </c>
      <c r="D6379" s="5"/>
      <c r="E6379" s="0" t="e">
        <f>+7 (812) 2440880</f>
        <v>#NAME?</v>
      </c>
      <c r="F6379" s="5" t="s">
        <v>43934</v>
      </c>
      <c r="G6379" s="5" t="s">
        <v>43935</v>
      </c>
      <c r="H6379" s="26">
        <v>6</v>
      </c>
      <c r="I6379" s="5" t="s">
        <v>43936</v>
      </c>
      <c r="J6379" s="5" t="s">
        <v>785</v>
      </c>
      <c r="K6379" s="5" t="s">
        <v>344</v>
      </c>
      <c r="L6379" s="5" t="s">
        <v>43937</v>
      </c>
      <c r="M6379" s="27"/>
      <c r="N6379" s="5"/>
      <c r="O6379" s="5" t="str">
        <v>7813269850</v>
      </c>
      <c r="P6379" s="27">
        <v>16000</v>
      </c>
      <c r="Q6379" s="5" t="s">
        <v>49016</v>
      </c>
      <c r="R6379" s="5"/>
      <c r="S6379" s="5" t="s">
        <v>49017</v>
      </c>
      <c r="T6379" s="28">
        <v>4129000</v>
      </c>
      <c r="U6379" s="28"/>
      <c r="V6379" s="28">
        <v>693762000</v>
      </c>
      <c r="W6379" s="28">
        <v>1368863000</v>
      </c>
      <c r="X6379" s="28">
        <v>386095000</v>
      </c>
      <c r="Y6379" s="28">
        <v>2466461000</v>
      </c>
      <c r="Z6379" s="28">
        <v>143079000</v>
      </c>
      <c r="AA6379" s="28"/>
      <c r="AB6379" s="28"/>
      <c r="AC6379" s="28">
        <v>2321071000</v>
      </c>
      <c r="AD6379" s="28">
        <v>143095000</v>
      </c>
      <c r="AE6379" s="28">
        <v>3938961000</v>
      </c>
      <c r="AF6379" s="28">
        <v>185479000</v>
      </c>
      <c r="AG6379" s="11"/>
    </row>
    <row r="6380">
      <c r="A6380" s="7" t="s">
        <v>7949</v>
      </c>
      <c r="B6380" s="5" t="s">
        <v>15904</v>
      </c>
      <c r="C6380" s="5" t="s">
        <v>23553</v>
      </c>
      <c r="D6380" s="5" t="str">
        <v>112103482581</v>
      </c>
      <c r="E6380" s="0" t="e">
        <f>+7 (821) 2293848
+7 (8212) 293776
+7 (821) 2669021
+7 (821) 2669473
+7 (8212) 293700
+7 (8212) 293726
+7 (8212) 293730
+7 (8212) 293769
+7 (8212) 293775
+7 (8212) 293777
+7 (8212) 790070</f>
        <v>#NAME?</v>
      </c>
      <c r="F6380" s="5" t="s">
        <v>43938</v>
      </c>
      <c r="G6380" s="5"/>
      <c r="H6380" s="26">
        <v>26</v>
      </c>
      <c r="I6380" s="5" t="s">
        <v>43939</v>
      </c>
      <c r="J6380" s="5" t="s">
        <v>27221</v>
      </c>
      <c r="K6380" s="5" t="s">
        <v>344</v>
      </c>
      <c r="L6380" s="5" t="s">
        <v>43940</v>
      </c>
      <c r="M6380" s="27"/>
      <c r="N6380" s="5"/>
      <c r="O6380" s="5" t="str">
        <v>1121009024</v>
      </c>
      <c r="P6380" s="27">
        <v>147105000</v>
      </c>
      <c r="Q6380" s="5" t="s">
        <v>49324</v>
      </c>
      <c r="R6380" s="5"/>
      <c r="S6380" s="5" t="s">
        <v>50562</v>
      </c>
      <c r="T6380" s="28">
        <v>3158377000</v>
      </c>
      <c r="U6380" s="28">
        <v>7228000</v>
      </c>
      <c r="V6380" s="28">
        <v>1415937000</v>
      </c>
      <c r="W6380" s="28"/>
      <c r="X6380" s="28">
        <v>1543067000</v>
      </c>
      <c r="Y6380" s="28">
        <v>7299001000</v>
      </c>
      <c r="Z6380" s="28">
        <v>5752167000</v>
      </c>
      <c r="AA6380" s="28">
        <v>21734000</v>
      </c>
      <c r="AB6380" s="28">
        <v>178007000</v>
      </c>
      <c r="AC6380" s="28">
        <v>1184080000</v>
      </c>
      <c r="AD6380" s="28">
        <v>5899272000</v>
      </c>
      <c r="AE6380" s="28">
        <v>14134952000</v>
      </c>
      <c r="AF6380" s="28">
        <v>1982027000</v>
      </c>
      <c r="AG6380" s="11"/>
    </row>
    <row r="6381">
      <c r="A6381" s="7" t="s">
        <v>7950</v>
      </c>
      <c r="B6381" s="5" t="s">
        <v>15905</v>
      </c>
      <c r="C6381" s="5" t="s">
        <v>23554</v>
      </c>
      <c r="D6381" s="5" t="str">
        <v>771570371725</v>
      </c>
      <c r="E6381" s="0" t="e">
        <f>+7 (495) 9257655
+7 (499) 9561000</f>
        <v>#NAME?</v>
      </c>
      <c r="F6381" s="5" t="s">
        <v>43941</v>
      </c>
      <c r="G6381" s="5"/>
      <c r="H6381" s="26">
        <v>1.5</v>
      </c>
      <c r="I6381" s="5" t="s">
        <v>43942</v>
      </c>
      <c r="J6381" s="5" t="s">
        <v>27070</v>
      </c>
      <c r="K6381" s="5" t="s">
        <v>344</v>
      </c>
      <c r="L6381" s="5"/>
      <c r="M6381" s="27"/>
      <c r="N6381" s="5"/>
      <c r="O6381" s="5" t="str">
        <v>9704079701</v>
      </c>
      <c r="P6381" s="27">
        <v>1253436209</v>
      </c>
      <c r="Q6381" s="5"/>
      <c r="R6381" s="5"/>
      <c r="S6381" s="5" t="s">
        <v>49029</v>
      </c>
      <c r="T6381" s="28">
        <v>1946885000</v>
      </c>
      <c r="U6381" s="28">
        <v>43647000</v>
      </c>
      <c r="V6381" s="28">
        <v>1586543000</v>
      </c>
      <c r="W6381" s="28"/>
      <c r="X6381" s="28">
        <v>4088000</v>
      </c>
      <c r="Y6381" s="28">
        <v>4699995000</v>
      </c>
      <c r="Z6381" s="28">
        <v>992930000</v>
      </c>
      <c r="AA6381" s="28"/>
      <c r="AB6381" s="28">
        <v>6000</v>
      </c>
      <c r="AC6381" s="28">
        <v>1912161000</v>
      </c>
      <c r="AD6381" s="28">
        <v>2784240000</v>
      </c>
      <c r="AE6381" s="28">
        <v>14966093000</v>
      </c>
      <c r="AF6381" s="28">
        <v>668146000</v>
      </c>
      <c r="AG6381" s="11"/>
    </row>
    <row r="6382">
      <c r="A6382" s="7" t="s">
        <v>7951</v>
      </c>
      <c r="B6382" s="5" t="s">
        <v>15906</v>
      </c>
      <c r="C6382" s="5" t="s">
        <v>23555</v>
      </c>
      <c r="D6382" s="5" t="str">
        <v>771513059710</v>
      </c>
      <c r="E6382" s="0" t="e">
        <f>+7 (495) 7952693
+7 (495) 6827374
+7 (929) 6145749</f>
        <v>#NAME?</v>
      </c>
      <c r="F6382" s="5" t="s">
        <v>43943</v>
      </c>
      <c r="G6382" s="5" t="s">
        <v>43944</v>
      </c>
      <c r="H6382" s="26">
        <v>27</v>
      </c>
      <c r="I6382" s="5" t="s">
        <v>43945</v>
      </c>
      <c r="J6382" s="5" t="s">
        <v>25419</v>
      </c>
      <c r="K6382" s="5" t="s">
        <v>344</v>
      </c>
      <c r="L6382" s="5" t="s">
        <v>43946</v>
      </c>
      <c r="M6382" s="27"/>
      <c r="N6382" s="5"/>
      <c r="O6382" s="5" t="str">
        <v>9717058314</v>
      </c>
      <c r="P6382" s="27">
        <v>5100100</v>
      </c>
      <c r="Q6382" s="5" t="s">
        <v>49009</v>
      </c>
      <c r="R6382" s="5"/>
      <c r="S6382" s="5" t="s">
        <v>49010</v>
      </c>
      <c r="T6382" s="28">
        <v>48864000</v>
      </c>
      <c r="U6382" s="28"/>
      <c r="V6382" s="28">
        <v>459446000</v>
      </c>
      <c r="W6382" s="28"/>
      <c r="X6382" s="28">
        <v>210497000</v>
      </c>
      <c r="Y6382" s="28">
        <v>1308943000</v>
      </c>
      <c r="Z6382" s="28">
        <v>810672000</v>
      </c>
      <c r="AA6382" s="28"/>
      <c r="AB6382" s="28">
        <v>383646000</v>
      </c>
      <c r="AC6382" s="28">
        <v>452466000</v>
      </c>
      <c r="AD6382" s="28">
        <v>817257000</v>
      </c>
      <c r="AE6382" s="28">
        <v>3529546000</v>
      </c>
      <c r="AF6382" s="28">
        <v>266268000</v>
      </c>
      <c r="AG6382" s="11"/>
    </row>
    <row r="6383">
      <c r="A6383" s="7" t="s">
        <v>7952</v>
      </c>
      <c r="B6383" s="5" t="s">
        <v>15907</v>
      </c>
      <c r="C6383" s="5" t="s">
        <v>23556</v>
      </c>
      <c r="D6383" s="5" t="str">
        <v>860400871690</v>
      </c>
      <c r="E6383" s="0" t="e">
        <f>+7 (3463) 225848
+7 (3463) 229230</f>
        <v>#NAME?</v>
      </c>
      <c r="F6383" s="5" t="s">
        <v>43947</v>
      </c>
      <c r="G6383" s="5"/>
      <c r="H6383" s="26">
        <v>23</v>
      </c>
      <c r="I6383" s="5" t="s">
        <v>43948</v>
      </c>
      <c r="J6383" s="5" t="s">
        <v>1095</v>
      </c>
      <c r="K6383" s="5" t="s">
        <v>344</v>
      </c>
      <c r="L6383" s="5" t="s">
        <v>43949</v>
      </c>
      <c r="M6383" s="27"/>
      <c r="N6383" s="5" t="s">
        <v>58915</v>
      </c>
      <c r="O6383" s="5" t="str">
        <v>2311057980</v>
      </c>
      <c r="P6383" s="27">
        <v>15000</v>
      </c>
      <c r="Q6383" s="5" t="s">
        <v>58916</v>
      </c>
      <c r="R6383" s="5" t="s">
        <v>50792</v>
      </c>
      <c r="S6383" s="5" t="s">
        <v>49160</v>
      </c>
      <c r="T6383" s="28">
        <v>73120000</v>
      </c>
      <c r="U6383" s="28"/>
      <c r="V6383" s="28">
        <v>846771000</v>
      </c>
      <c r="W6383" s="28">
        <v>150000000</v>
      </c>
      <c r="X6383" s="28">
        <v>36324000</v>
      </c>
      <c r="Y6383" s="28">
        <v>1851254000</v>
      </c>
      <c r="Z6383" s="28">
        <v>883264000</v>
      </c>
      <c r="AA6383" s="28"/>
      <c r="AB6383" s="28"/>
      <c r="AC6383" s="28">
        <v>967975000</v>
      </c>
      <c r="AD6383" s="28">
        <v>883279000</v>
      </c>
      <c r="AE6383" s="28">
        <v>3236582000</v>
      </c>
      <c r="AF6383" s="28">
        <v>209738000</v>
      </c>
      <c r="AG6383" s="11"/>
    </row>
    <row r="6384">
      <c r="A6384" s="7" t="s">
        <v>7953</v>
      </c>
      <c r="B6384" s="5" t="s">
        <v>15908</v>
      </c>
      <c r="C6384" s="5" t="s">
        <v>23557</v>
      </c>
      <c r="D6384" s="5" t="str">
        <v>360601339362</v>
      </c>
      <c r="E6384" s="0" t="e">
        <f>+7 (473) 6749130
+7 (47367) 49142
+7 (47367) 49190
+7 (47367) 49310
+7 (47367) 49330
+7 (920) 4086686</f>
        <v>#NAME?</v>
      </c>
      <c r="F6384" s="5" t="s">
        <v>43950</v>
      </c>
      <c r="G6384" s="5"/>
      <c r="H6384" s="26">
        <v>17</v>
      </c>
      <c r="I6384" s="5" t="s">
        <v>43951</v>
      </c>
      <c r="J6384" s="5" t="s">
        <v>25901</v>
      </c>
      <c r="K6384" s="5" t="s">
        <v>380</v>
      </c>
      <c r="L6384" s="5" t="s">
        <v>43952</v>
      </c>
      <c r="M6384" s="27"/>
      <c r="N6384" s="5"/>
      <c r="O6384" s="5" t="str">
        <v>3612007551</v>
      </c>
      <c r="P6384" s="27">
        <v>800000000</v>
      </c>
      <c r="Q6384" s="5" t="s">
        <v>49059</v>
      </c>
      <c r="R6384" s="5"/>
      <c r="S6384" s="5" t="s">
        <v>49066</v>
      </c>
      <c r="T6384" s="28">
        <v>3927895000</v>
      </c>
      <c r="U6384" s="28">
        <v>200008000</v>
      </c>
      <c r="V6384" s="28">
        <v>832292000</v>
      </c>
      <c r="W6384" s="28">
        <v>18658000</v>
      </c>
      <c r="X6384" s="28">
        <v>129379000</v>
      </c>
      <c r="Y6384" s="28">
        <v>8548973000</v>
      </c>
      <c r="Z6384" s="28">
        <v>1613337000</v>
      </c>
      <c r="AA6384" s="28">
        <v>2790364000</v>
      </c>
      <c r="AB6384" s="28">
        <v>2121303000</v>
      </c>
      <c r="AC6384" s="28">
        <v>3345272000</v>
      </c>
      <c r="AD6384" s="28">
        <v>2747569000</v>
      </c>
      <c r="AE6384" s="28">
        <v>3879156000</v>
      </c>
      <c r="AF6384" s="28">
        <v>46427000</v>
      </c>
      <c r="AG6384" s="11"/>
    </row>
    <row r="6385">
      <c r="A6385" s="7" t="s">
        <v>7954</v>
      </c>
      <c r="B6385" s="5" t="s">
        <v>15909</v>
      </c>
      <c r="C6385" s="5" t="s">
        <v>23558</v>
      </c>
      <c r="D6385" s="5" t="str">
        <v>771516320480</v>
      </c>
      <c r="E6385" s="0" t="e">
        <f>+7 (483) 2596280
+7 (495) 7858574
+7 (495) 7858576
+7 (495) 9610749
+7 (81153) 25107
+7 (920) 8862031
+7 (925) 1088499
+7 (927) 918339</f>
        <v>#NAME?</v>
      </c>
      <c r="F6385" s="5" t="s">
        <v>43953</v>
      </c>
      <c r="G6385" s="5" t="s">
        <v>43954</v>
      </c>
      <c r="H6385" s="26">
        <v>19</v>
      </c>
      <c r="I6385" s="5"/>
      <c r="J6385" s="5" t="s">
        <v>25842</v>
      </c>
      <c r="K6385" s="5" t="s">
        <v>344</v>
      </c>
      <c r="L6385" s="5" t="s">
        <v>43955</v>
      </c>
      <c r="M6385" s="27">
        <v>11801080</v>
      </c>
      <c r="N6385" s="5" t="s">
        <v>58917</v>
      </c>
      <c r="O6385" s="5" t="str">
        <v>7710536085</v>
      </c>
      <c r="P6385" s="27">
        <v>1078000</v>
      </c>
      <c r="Q6385" s="5" t="s">
        <v>49021</v>
      </c>
      <c r="R6385" s="5"/>
      <c r="S6385" s="5" t="s">
        <v>58918</v>
      </c>
      <c r="T6385" s="28">
        <v>198999000</v>
      </c>
      <c r="U6385" s="28">
        <v>4500000</v>
      </c>
      <c r="V6385" s="28">
        <v>1255160000</v>
      </c>
      <c r="W6385" s="28"/>
      <c r="X6385" s="28">
        <v>168458000</v>
      </c>
      <c r="Y6385" s="28">
        <v>2283651000</v>
      </c>
      <c r="Z6385" s="28">
        <v>733825000</v>
      </c>
      <c r="AA6385" s="28">
        <v>74113000</v>
      </c>
      <c r="AB6385" s="28">
        <v>472448000</v>
      </c>
      <c r="AC6385" s="28">
        <v>1406472000</v>
      </c>
      <c r="AD6385" s="28">
        <v>743840000</v>
      </c>
      <c r="AE6385" s="28">
        <v>3998120000</v>
      </c>
      <c r="AF6385" s="28">
        <v>432318000</v>
      </c>
      <c r="AG6385" s="11"/>
    </row>
    <row r="6386">
      <c r="A6386" s="7" t="s">
        <v>7955</v>
      </c>
      <c r="B6386" s="5" t="s">
        <v>15910</v>
      </c>
      <c r="C6386" s="5" t="s">
        <v>23559</v>
      </c>
      <c r="D6386" s="5" t="str">
        <v>701702430125</v>
      </c>
      <c r="E6386" s="0" t="e">
        <f>+7 (913) 8290838
+7 (382) 2511139
+7 (382) 2514833
+7 (382) 2515569
+7 (382) 2516842</f>
        <v>#NAME?</v>
      </c>
      <c r="F6386" s="5" t="s">
        <v>43956</v>
      </c>
      <c r="G6386" s="5" t="s">
        <v>43957</v>
      </c>
      <c r="H6386" s="26">
        <v>19</v>
      </c>
      <c r="I6386" s="5"/>
      <c r="J6386" s="5" t="s">
        <v>43958</v>
      </c>
      <c r="K6386" s="5" t="s">
        <v>344</v>
      </c>
      <c r="L6386" s="5" t="s">
        <v>43959</v>
      </c>
      <c r="M6386" s="27"/>
      <c r="N6386" s="5" t="s">
        <v>57528</v>
      </c>
      <c r="O6386" s="5" t="str">
        <v>7017086224</v>
      </c>
      <c r="P6386" s="27">
        <v>10000000</v>
      </c>
      <c r="Q6386" s="5" t="s">
        <v>58919</v>
      </c>
      <c r="R6386" s="5"/>
      <c r="S6386" s="5" t="s">
        <v>50959</v>
      </c>
      <c r="T6386" s="28">
        <v>481980000</v>
      </c>
      <c r="U6386" s="28">
        <v>1306893000</v>
      </c>
      <c r="V6386" s="28">
        <v>4432874000</v>
      </c>
      <c r="W6386" s="28">
        <v>125846000</v>
      </c>
      <c r="X6386" s="28">
        <v>875000</v>
      </c>
      <c r="Y6386" s="28">
        <v>6775416000</v>
      </c>
      <c r="Z6386" s="28">
        <v>3380515000</v>
      </c>
      <c r="AA6386" s="28">
        <v>401931000</v>
      </c>
      <c r="AB6386" s="28">
        <v>1068623000</v>
      </c>
      <c r="AC6386" s="28">
        <v>2953950000</v>
      </c>
      <c r="AD6386" s="28">
        <v>3392015000</v>
      </c>
      <c r="AE6386" s="28">
        <v>8346890000</v>
      </c>
      <c r="AF6386" s="28">
        <v>1275487000</v>
      </c>
      <c r="AG6386" s="11"/>
    </row>
    <row r="6387">
      <c r="A6387" s="7" t="s">
        <v>7956</v>
      </c>
      <c r="B6387" s="5" t="s">
        <v>15911</v>
      </c>
      <c r="C6387" s="5" t="s">
        <v>23560</v>
      </c>
      <c r="D6387" s="5" t="str">
        <v>664601781209</v>
      </c>
      <c r="E6387" s="0" t="e">
        <f>+7 (904) 9818069
+7 (3432) 101251</f>
        <v>#NAME?</v>
      </c>
      <c r="F6387" s="5" t="s">
        <v>43960</v>
      </c>
      <c r="G6387" s="5"/>
      <c r="H6387" s="26">
        <v>23</v>
      </c>
      <c r="I6387" s="5" t="s">
        <v>43961</v>
      </c>
      <c r="J6387" s="5" t="s">
        <v>26880</v>
      </c>
      <c r="K6387" s="5" t="s">
        <v>344</v>
      </c>
      <c r="L6387" s="5" t="s">
        <v>43962</v>
      </c>
      <c r="M6387" s="27">
        <v>18816</v>
      </c>
      <c r="N6387" s="5" t="s">
        <v>58920</v>
      </c>
      <c r="O6387" s="5" t="str">
        <v>6658105331</v>
      </c>
      <c r="P6387" s="27">
        <v>2500000</v>
      </c>
      <c r="Q6387" s="5" t="s">
        <v>58921</v>
      </c>
      <c r="R6387" s="5"/>
      <c r="S6387" s="5" t="s">
        <v>58922</v>
      </c>
      <c r="T6387" s="28"/>
      <c r="U6387" s="28"/>
      <c r="V6387" s="28">
        <v>227676000</v>
      </c>
      <c r="W6387" s="28">
        <v>3000000</v>
      </c>
      <c r="X6387" s="28">
        <v>289797000</v>
      </c>
      <c r="Y6387" s="28">
        <v>522160000</v>
      </c>
      <c r="Z6387" s="28">
        <v>244908000</v>
      </c>
      <c r="AA6387" s="28"/>
      <c r="AB6387" s="28"/>
      <c r="AC6387" s="28">
        <v>274752000</v>
      </c>
      <c r="AD6387" s="28">
        <v>247408000</v>
      </c>
      <c r="AE6387" s="28">
        <v>4230307000</v>
      </c>
      <c r="AF6387" s="28">
        <v>76910000</v>
      </c>
      <c r="AG6387" s="11"/>
    </row>
    <row r="6388">
      <c r="A6388" s="7" t="s">
        <v>7957</v>
      </c>
      <c r="B6388" s="5" t="s">
        <v>15912</v>
      </c>
      <c r="C6388" s="5" t="s">
        <v>23561</v>
      </c>
      <c r="D6388" s="5" t="str">
        <v>322700638548</v>
      </c>
      <c r="E6388" s="0" t="e">
        <f>+7 (906) 6952442
+7 (48348) 21257
+7 (48348) 21569
+7 (48348) 22208
+7 (48348) 22282
+7 (48348) 22491
+7 (48348) 22850
+7 (48348) 23831
+7 (48348) 23917
+7 (48348) 24129
+7 (48348) 24188
+7 (48348) 24945</f>
        <v>#NAME?</v>
      </c>
      <c r="F6388" s="5" t="s">
        <v>43963</v>
      </c>
      <c r="G6388" s="5" t="s">
        <v>43964</v>
      </c>
      <c r="H6388" s="26">
        <v>20</v>
      </c>
      <c r="I6388" s="5" t="s">
        <v>43965</v>
      </c>
      <c r="J6388" s="5" t="s">
        <v>25231</v>
      </c>
      <c r="K6388" s="5" t="s">
        <v>344</v>
      </c>
      <c r="L6388" s="5" t="s">
        <v>43966</v>
      </c>
      <c r="M6388" s="27"/>
      <c r="N6388" s="5" t="s">
        <v>58923</v>
      </c>
      <c r="O6388" s="5" t="str">
        <v>3227005513</v>
      </c>
      <c r="P6388" s="27">
        <v>4326000</v>
      </c>
      <c r="Q6388" s="5" t="s">
        <v>49009</v>
      </c>
      <c r="R6388" s="5"/>
      <c r="S6388" s="5" t="s">
        <v>58924</v>
      </c>
      <c r="T6388" s="28">
        <v>1097770000</v>
      </c>
      <c r="U6388" s="28">
        <v>2307000</v>
      </c>
      <c r="V6388" s="28">
        <v>1525690000</v>
      </c>
      <c r="W6388" s="28">
        <v>1500000</v>
      </c>
      <c r="X6388" s="28">
        <v>5111000</v>
      </c>
      <c r="Y6388" s="28">
        <v>4154395000</v>
      </c>
      <c r="Z6388" s="28">
        <v>706318000</v>
      </c>
      <c r="AA6388" s="28">
        <v>272551000</v>
      </c>
      <c r="AB6388" s="28">
        <v>250000000</v>
      </c>
      <c r="AC6388" s="28">
        <v>945318000</v>
      </c>
      <c r="AD6388" s="28">
        <v>2936526000</v>
      </c>
      <c r="AE6388" s="28">
        <v>10984252000</v>
      </c>
      <c r="AF6388" s="28">
        <v>706318000</v>
      </c>
      <c r="AG6388" s="11"/>
    </row>
    <row r="6389">
      <c r="A6389" s="7" t="s">
        <v>7958</v>
      </c>
      <c r="B6389" s="5" t="s">
        <v>15913</v>
      </c>
      <c r="C6389" s="5" t="s">
        <v>23562</v>
      </c>
      <c r="D6389" s="5" t="str">
        <v>131000271357</v>
      </c>
      <c r="E6389" s="0" t="e">
        <f>+7 (83433) 30048
+7 (83433) 30107
+7 (83433) 21573
+7 (83433) 21673
+7 (83433) 30403
+7 (83433) 30448
+7 (83433) 30497
+7 (917) 6960856</f>
        <v>#NAME?</v>
      </c>
      <c r="F6389" s="5"/>
      <c r="G6389" s="5" t="s">
        <v>43967</v>
      </c>
      <c r="H6389" s="26">
        <v>26</v>
      </c>
      <c r="I6389" s="5" t="s">
        <v>43968</v>
      </c>
      <c r="J6389" s="5" t="s">
        <v>27917</v>
      </c>
      <c r="K6389" s="5" t="s">
        <v>344</v>
      </c>
      <c r="L6389" s="5" t="s">
        <v>43969</v>
      </c>
      <c r="M6389" s="27"/>
      <c r="N6389" s="5"/>
      <c r="O6389" s="5" t="str">
        <v>1310000450</v>
      </c>
      <c r="P6389" s="27">
        <v>100000</v>
      </c>
      <c r="Q6389" s="5"/>
      <c r="R6389" s="5" t="s">
        <v>58925</v>
      </c>
      <c r="S6389" s="5" t="s">
        <v>49425</v>
      </c>
      <c r="T6389" s="28">
        <v>419977000</v>
      </c>
      <c r="U6389" s="28">
        <v>224973000</v>
      </c>
      <c r="V6389" s="28">
        <v>1341757000</v>
      </c>
      <c r="W6389" s="28">
        <v>1867132000</v>
      </c>
      <c r="X6389" s="28">
        <v>101108000</v>
      </c>
      <c r="Y6389" s="28">
        <v>5126533000</v>
      </c>
      <c r="Z6389" s="28">
        <v>4784212000</v>
      </c>
      <c r="AA6389" s="28"/>
      <c r="AB6389" s="28">
        <v>130122000</v>
      </c>
      <c r="AC6389" s="28">
        <v>320942000</v>
      </c>
      <c r="AD6389" s="28">
        <v>4805591000</v>
      </c>
      <c r="AE6389" s="28">
        <v>5655054000</v>
      </c>
      <c r="AF6389" s="28">
        <v>959267000</v>
      </c>
      <c r="AG6389" s="11"/>
    </row>
    <row r="6390">
      <c r="A6390" s="7" t="s">
        <v>7959</v>
      </c>
      <c r="B6390" s="5" t="s">
        <v>15914</v>
      </c>
      <c r="C6390" s="5" t="s">
        <v>23563</v>
      </c>
      <c r="D6390" s="5" t="str">
        <v>220901846069</v>
      </c>
      <c r="F6390" s="5"/>
      <c r="G6390" s="5"/>
      <c r="H6390" s="26">
        <v>7</v>
      </c>
      <c r="I6390" s="5" t="s">
        <v>43970</v>
      </c>
      <c r="J6390" s="5" t="s">
        <v>27917</v>
      </c>
      <c r="K6390" s="5" t="s">
        <v>355</v>
      </c>
      <c r="L6390" s="5"/>
      <c r="M6390" s="27">
        <v>546719</v>
      </c>
      <c r="N6390" s="5"/>
      <c r="O6390" s="5" t="str">
        <v>2362000870</v>
      </c>
      <c r="P6390" s="27">
        <v>1910000000</v>
      </c>
      <c r="Q6390" s="5"/>
      <c r="R6390" s="5"/>
      <c r="S6390" s="5" t="s">
        <v>49029</v>
      </c>
      <c r="T6390" s="28">
        <v>7175172000</v>
      </c>
      <c r="U6390" s="28"/>
      <c r="V6390" s="28">
        <v>2181323000</v>
      </c>
      <c r="W6390" s="28"/>
      <c r="X6390" s="28">
        <v>2062000</v>
      </c>
      <c r="Y6390" s="28">
        <v>10390850000</v>
      </c>
      <c r="Z6390" s="28">
        <v>-161833000</v>
      </c>
      <c r="AA6390" s="28">
        <v>6169161000</v>
      </c>
      <c r="AB6390" s="28">
        <v>1698485000</v>
      </c>
      <c r="AC6390" s="28">
        <v>1793108000</v>
      </c>
      <c r="AD6390" s="28">
        <v>2271423000</v>
      </c>
      <c r="AE6390" s="28">
        <v>6813917000</v>
      </c>
      <c r="AF6390" s="28">
        <v>186868000</v>
      </c>
      <c r="AG6390" s="11"/>
    </row>
    <row r="6391">
      <c r="A6391" s="7" t="s">
        <v>7960</v>
      </c>
      <c r="B6391" s="5" t="s">
        <v>15915</v>
      </c>
      <c r="C6391" s="5" t="s">
        <v>23564</v>
      </c>
      <c r="D6391" s="5" t="str">
        <v>772605237228</v>
      </c>
      <c r="E6391" s="0" t="e">
        <f>+7 (495) 7973232
+7 (495) 2284989
+7 (495) 7779902
+7 (495) 7779988
+7 (495) 7779990
+7 (495) 7779992
+7 (495) 7974000
+7 (495) 7974002
+7 (812) 3279964</f>
        <v>#NAME?</v>
      </c>
      <c r="F6391" s="5" t="s">
        <v>43971</v>
      </c>
      <c r="G6391" s="5" t="s">
        <v>43972</v>
      </c>
      <c r="H6391" s="26">
        <v>26</v>
      </c>
      <c r="I6391" s="5"/>
      <c r="J6391" s="5" t="s">
        <v>641</v>
      </c>
      <c r="K6391" s="5" t="s">
        <v>344</v>
      </c>
      <c r="L6391" s="5" t="s">
        <v>43973</v>
      </c>
      <c r="M6391" s="27">
        <v>716990</v>
      </c>
      <c r="N6391" s="5" t="s">
        <v>58926</v>
      </c>
      <c r="O6391" s="5" t="str">
        <v>7712092928</v>
      </c>
      <c r="P6391" s="27">
        <v>215560000</v>
      </c>
      <c r="Q6391" s="5" t="s">
        <v>58927</v>
      </c>
      <c r="R6391" s="5"/>
      <c r="S6391" s="5" t="s">
        <v>58928</v>
      </c>
      <c r="T6391" s="28">
        <v>1415839000</v>
      </c>
      <c r="U6391" s="28">
        <v>1958767000</v>
      </c>
      <c r="V6391" s="28">
        <v>6626104000</v>
      </c>
      <c r="W6391" s="28">
        <v>301701000</v>
      </c>
      <c r="X6391" s="28">
        <v>4842112000</v>
      </c>
      <c r="Y6391" s="28">
        <v>20462774000</v>
      </c>
      <c r="Z6391" s="28">
        <v>3794042000</v>
      </c>
      <c r="AA6391" s="28"/>
      <c r="AB6391" s="28"/>
      <c r="AC6391" s="28">
        <v>14347188000</v>
      </c>
      <c r="AD6391" s="28">
        <v>6076129000</v>
      </c>
      <c r="AE6391" s="28">
        <v>27633443000</v>
      </c>
      <c r="AF6391" s="28">
        <v>-7112467000</v>
      </c>
      <c r="AG6391" s="11"/>
    </row>
    <row r="6392">
      <c r="A6392" s="7" t="s">
        <v>7961</v>
      </c>
      <c r="B6392" s="5" t="s">
        <v>15916</v>
      </c>
      <c r="C6392" s="5" t="s">
        <v>23565</v>
      </c>
      <c r="D6392" s="5" t="str">
        <v>181802088887</v>
      </c>
      <c r="E6392" s="0" t="e">
        <f>+7 (34147) 25641
+7 (34147) 96045
+7 (34147) 96296
+7 (34147) 97210
+7 (34147) 97270
+7 (34147) 97600
+7 (34147) 97710
+7 (34147) 97783
+7 (34147) 97828</f>
        <v>#NAME?</v>
      </c>
      <c r="F6392" s="5" t="s">
        <v>43974</v>
      </c>
      <c r="G6392" s="5" t="s">
        <v>43975</v>
      </c>
      <c r="H6392" s="26">
        <v>30</v>
      </c>
      <c r="I6392" s="5"/>
      <c r="J6392" s="5" t="s">
        <v>26637</v>
      </c>
      <c r="K6392" s="5" t="s">
        <v>344</v>
      </c>
      <c r="L6392" s="5"/>
      <c r="M6392" s="27"/>
      <c r="N6392" s="5" t="s">
        <v>58929</v>
      </c>
      <c r="O6392" s="5" t="str">
        <v>1827001683</v>
      </c>
      <c r="P6392" s="27">
        <v>255041</v>
      </c>
      <c r="Q6392" s="5" t="s">
        <v>58930</v>
      </c>
      <c r="R6392" s="5"/>
      <c r="S6392" s="5" t="s">
        <v>58931</v>
      </c>
      <c r="T6392" s="28">
        <v>3380925000</v>
      </c>
      <c r="U6392" s="28">
        <v>228499000</v>
      </c>
      <c r="V6392" s="28">
        <v>3302928000</v>
      </c>
      <c r="W6392" s="28">
        <v>550000000</v>
      </c>
      <c r="X6392" s="28">
        <v>1272129000</v>
      </c>
      <c r="Y6392" s="28">
        <v>12044475000</v>
      </c>
      <c r="Z6392" s="28">
        <v>7041012000</v>
      </c>
      <c r="AA6392" s="28">
        <v>200000000</v>
      </c>
      <c r="AB6392" s="28">
        <v>68730000</v>
      </c>
      <c r="AC6392" s="28">
        <v>4461851000</v>
      </c>
      <c r="AD6392" s="28">
        <v>7041787000</v>
      </c>
      <c r="AE6392" s="28">
        <v>7894722000</v>
      </c>
      <c r="AF6392" s="28">
        <v>457606000</v>
      </c>
      <c r="AG6392" s="11"/>
    </row>
    <row r="6393">
      <c r="A6393" s="7" t="s">
        <v>7962</v>
      </c>
      <c r="B6393" s="5" t="s">
        <v>15917</v>
      </c>
      <c r="C6393" s="5" t="s">
        <v>23566</v>
      </c>
      <c r="D6393" s="5" t="str">
        <v>780726521564</v>
      </c>
      <c r="E6393" s="0" t="e">
        <f>+7 (812) 4999080
+7 (812) 3091836
+7 (921) 3699611</f>
        <v>#NAME?</v>
      </c>
      <c r="F6393" s="5" t="s">
        <v>43976</v>
      </c>
      <c r="G6393" s="5" t="s">
        <v>43977</v>
      </c>
      <c r="H6393" s="26">
        <v>22.5</v>
      </c>
      <c r="I6393" s="5" t="s">
        <v>43978</v>
      </c>
      <c r="J6393" s="5" t="s">
        <v>999</v>
      </c>
      <c r="K6393" s="5" t="s">
        <v>344</v>
      </c>
      <c r="L6393" s="5" t="s">
        <v>43979</v>
      </c>
      <c r="M6393" s="27">
        <v>1542106727</v>
      </c>
      <c r="N6393" s="5" t="s">
        <v>58932</v>
      </c>
      <c r="O6393" s="5" t="str">
        <v>7810201646</v>
      </c>
      <c r="P6393" s="27">
        <v>126991</v>
      </c>
      <c r="Q6393" s="5" t="s">
        <v>58933</v>
      </c>
      <c r="R6393" s="5"/>
      <c r="S6393" s="5" t="s">
        <v>58934</v>
      </c>
      <c r="T6393" s="28">
        <v>53369000</v>
      </c>
      <c r="U6393" s="28"/>
      <c r="V6393" s="28">
        <v>1875030000</v>
      </c>
      <c r="W6393" s="28">
        <v>704429000</v>
      </c>
      <c r="X6393" s="28">
        <v>2352144000</v>
      </c>
      <c r="Y6393" s="28">
        <v>5269220000</v>
      </c>
      <c r="Z6393" s="28">
        <v>624354000</v>
      </c>
      <c r="AA6393" s="28"/>
      <c r="AB6393" s="28"/>
      <c r="AC6393" s="28">
        <v>4605711000</v>
      </c>
      <c r="AD6393" s="28">
        <v>624481000</v>
      </c>
      <c r="AE6393" s="28">
        <v>7188216000</v>
      </c>
      <c r="AF6393" s="28">
        <v>123129000</v>
      </c>
      <c r="AG6393" s="11"/>
    </row>
    <row r="6394">
      <c r="A6394" s="7" t="s">
        <v>7963</v>
      </c>
      <c r="B6394" s="5" t="s">
        <v>15918</v>
      </c>
      <c r="C6394" s="5" t="s">
        <v>23567</v>
      </c>
      <c r="D6394" s="5" t="str">
        <v>770480159338</v>
      </c>
      <c r="E6394" s="0" t="e">
        <f>+7 (495) 7972400
+7 (495) 1341234
+7 (495) 5404200
+7 (495) 6780275
+7 (495) 7972326
+7 (495) 7972344
+7 (495) 7972353
+7 (495) 7972365
+7 (495) 7972384
+7 (495) 7972395
+7 (495) 9264200
+7 (499) 2777694
+7 (499) 7972400
+7 (800) 5555566
+7 (901) 5222555</f>
        <v>#NAME?</v>
      </c>
      <c r="F6394" s="5" t="s">
        <v>43980</v>
      </c>
      <c r="G6394" s="5" t="s">
        <v>43981</v>
      </c>
      <c r="H6394" s="26">
        <v>16.5</v>
      </c>
      <c r="I6394" s="5" t="s">
        <v>43982</v>
      </c>
      <c r="J6394" s="5" t="s">
        <v>27522</v>
      </c>
      <c r="K6394" s="5" t="s">
        <v>344</v>
      </c>
      <c r="L6394" s="5" t="s">
        <v>43983</v>
      </c>
      <c r="M6394" s="27">
        <v>50000000</v>
      </c>
      <c r="N6394" s="5"/>
      <c r="O6394" s="5" t="str">
        <v>7703608910</v>
      </c>
      <c r="P6394" s="27">
        <v>3183913400</v>
      </c>
      <c r="Q6394" s="5" t="s">
        <v>49009</v>
      </c>
      <c r="R6394" s="5"/>
      <c r="S6394" s="5" t="s">
        <v>49045</v>
      </c>
      <c r="T6394" s="28">
        <v>2475672000</v>
      </c>
      <c r="U6394" s="28"/>
      <c r="V6394" s="28">
        <v>6184330000</v>
      </c>
      <c r="W6394" s="28"/>
      <c r="X6394" s="28">
        <v>32804651000</v>
      </c>
      <c r="Y6394" s="28">
        <v>53825396000</v>
      </c>
      <c r="Z6394" s="28">
        <v>37091831000</v>
      </c>
      <c r="AA6394" s="28"/>
      <c r="AB6394" s="28">
        <v>2528000</v>
      </c>
      <c r="AC6394" s="28">
        <v>11323663000</v>
      </c>
      <c r="AD6394" s="28">
        <v>40612005000</v>
      </c>
      <c r="AE6394" s="28">
        <v>88941224000</v>
      </c>
      <c r="AF6394" s="28">
        <v>-2954739000</v>
      </c>
      <c r="AG6394" s="11"/>
    </row>
    <row r="6395">
      <c r="A6395" s="7" t="s">
        <v>7964</v>
      </c>
      <c r="B6395" s="5" t="s">
        <v>15919</v>
      </c>
      <c r="C6395" s="5" t="s">
        <v>23087</v>
      </c>
      <c r="D6395" s="5" t="str">
        <v>780420977945</v>
      </c>
      <c r="E6395" s="0" t="e">
        <f>+7 (3919) 223333
+7 (401) 2777230
+7 (411) 2219618
+7 (800) 3330355
+7 (812) 3801537
+7 (815) 2288828
+7 (818) 2288880
+7 (921) 5660417</f>
        <v>#NAME?</v>
      </c>
      <c r="F6395" s="5" t="s">
        <v>43984</v>
      </c>
      <c r="G6395" s="5" t="s">
        <v>43985</v>
      </c>
      <c r="H6395" s="26">
        <v>22</v>
      </c>
      <c r="I6395" s="5" t="s">
        <v>43986</v>
      </c>
      <c r="J6395" s="5" t="s">
        <v>27182</v>
      </c>
      <c r="K6395" s="5" t="s">
        <v>344</v>
      </c>
      <c r="L6395" s="5" t="s">
        <v>43987</v>
      </c>
      <c r="M6395" s="27">
        <v>2848</v>
      </c>
      <c r="N6395" s="5" t="s">
        <v>50052</v>
      </c>
      <c r="O6395" s="5" t="str">
        <v>7810212380</v>
      </c>
      <c r="P6395" s="27">
        <v>50000000</v>
      </c>
      <c r="Q6395" s="5" t="s">
        <v>58935</v>
      </c>
      <c r="R6395" s="5"/>
      <c r="S6395" s="5" t="s">
        <v>51290</v>
      </c>
      <c r="T6395" s="28">
        <v>6311000</v>
      </c>
      <c r="U6395" s="28">
        <v>1016182000</v>
      </c>
      <c r="V6395" s="28">
        <v>5975091000</v>
      </c>
      <c r="W6395" s="28">
        <v>223281000</v>
      </c>
      <c r="X6395" s="28">
        <v>678252000</v>
      </c>
      <c r="Y6395" s="28">
        <v>15977532000</v>
      </c>
      <c r="Z6395" s="28">
        <v>75750000</v>
      </c>
      <c r="AA6395" s="28"/>
      <c r="AB6395" s="28"/>
      <c r="AC6395" s="28">
        <v>15287172000</v>
      </c>
      <c r="AD6395" s="28">
        <v>125750000</v>
      </c>
      <c r="AE6395" s="28">
        <v>7351408000</v>
      </c>
      <c r="AF6395" s="28">
        <v>480212000</v>
      </c>
      <c r="AG6395" s="11"/>
    </row>
    <row r="6396">
      <c r="A6396" s="7" t="s">
        <v>7965</v>
      </c>
      <c r="B6396" s="5" t="s">
        <v>15920</v>
      </c>
      <c r="C6396" s="5" t="s">
        <v>18219</v>
      </c>
      <c r="D6396" s="5" t="str">
        <v>472003415997</v>
      </c>
      <c r="E6396" s="0" t="e">
        <f>+7 (812) 3279262</f>
        <v>#NAME?</v>
      </c>
      <c r="F6396" s="5"/>
      <c r="G6396" s="5" t="s">
        <v>43988</v>
      </c>
      <c r="H6396" s="26">
        <v>15.5</v>
      </c>
      <c r="I6396" s="5" t="s">
        <v>43989</v>
      </c>
      <c r="J6396" s="5" t="s">
        <v>27182</v>
      </c>
      <c r="K6396" s="5" t="s">
        <v>344</v>
      </c>
      <c r="L6396" s="5" t="s">
        <v>43990</v>
      </c>
      <c r="M6396" s="27">
        <v>119077152</v>
      </c>
      <c r="N6396" s="5"/>
      <c r="O6396" s="5" t="str">
        <v>7810489897</v>
      </c>
      <c r="P6396" s="27">
        <v>10000</v>
      </c>
      <c r="Q6396" s="5" t="s">
        <v>58936</v>
      </c>
      <c r="R6396" s="5"/>
      <c r="S6396" s="5" t="s">
        <v>50378</v>
      </c>
      <c r="T6396" s="28">
        <v>409890000</v>
      </c>
      <c r="U6396" s="28">
        <v>335324000</v>
      </c>
      <c r="V6396" s="28">
        <v>51756787000</v>
      </c>
      <c r="W6396" s="28">
        <v>2277428000</v>
      </c>
      <c r="X6396" s="28">
        <v>145181000</v>
      </c>
      <c r="Y6396" s="28">
        <v>61393590000</v>
      </c>
      <c r="Z6396" s="28">
        <v>634323000</v>
      </c>
      <c r="AA6396" s="28">
        <v>22291857000</v>
      </c>
      <c r="AB6396" s="28">
        <v>1700955000</v>
      </c>
      <c r="AC6396" s="28">
        <v>38437449000</v>
      </c>
      <c r="AD6396" s="28">
        <v>634333000</v>
      </c>
      <c r="AE6396" s="28">
        <v>78526451000</v>
      </c>
      <c r="AF6396" s="28">
        <v>481455000</v>
      </c>
      <c r="AG6396" s="11"/>
    </row>
    <row r="6397">
      <c r="A6397" s="7" t="s">
        <v>7966</v>
      </c>
      <c r="B6397" s="5" t="s">
        <v>15921</v>
      </c>
      <c r="C6397" s="5" t="s">
        <v>23087</v>
      </c>
      <c r="D6397" s="5" t="str">
        <v>780420977945</v>
      </c>
      <c r="E6397" s="0" t="e">
        <f>+7 (812) 3355111
+7 (921) 5807814
+7 (812) 3279262
+7 (812) 6173107
+7 (812) 6174978
+7 (812) 6175108
+7 (812) 6175165
+7 (812) 6176772
+7 (812) 6190107
+7 (812) 6191584
+7 (812) 6192195
+7 (812) 6192216
+7 (812) 6196021</f>
        <v>#NAME?</v>
      </c>
      <c r="F6397" s="5" t="s">
        <v>43991</v>
      </c>
      <c r="G6397" s="5"/>
      <c r="H6397" s="26">
        <v>16.5</v>
      </c>
      <c r="I6397" s="5" t="s">
        <v>42548</v>
      </c>
      <c r="J6397" s="5" t="s">
        <v>27182</v>
      </c>
      <c r="K6397" s="5" t="s">
        <v>344</v>
      </c>
      <c r="L6397" s="5" t="s">
        <v>43992</v>
      </c>
      <c r="M6397" s="27">
        <v>12385179</v>
      </c>
      <c r="N6397" s="5" t="s">
        <v>58937</v>
      </c>
      <c r="O6397" s="5" t="str">
        <v>7810064510</v>
      </c>
      <c r="P6397" s="27">
        <v>10000000</v>
      </c>
      <c r="Q6397" s="5" t="s">
        <v>58938</v>
      </c>
      <c r="R6397" s="5"/>
      <c r="S6397" s="5" t="s">
        <v>50001</v>
      </c>
      <c r="T6397" s="28">
        <v>14896000</v>
      </c>
      <c r="U6397" s="28"/>
      <c r="V6397" s="28">
        <v>5779768000</v>
      </c>
      <c r="W6397" s="28"/>
      <c r="X6397" s="28">
        <v>760064000</v>
      </c>
      <c r="Y6397" s="28">
        <v>32402834000</v>
      </c>
      <c r="Z6397" s="28">
        <v>1311562000</v>
      </c>
      <c r="AA6397" s="28"/>
      <c r="AB6397" s="28"/>
      <c r="AC6397" s="28">
        <v>30914988000</v>
      </c>
      <c r="AD6397" s="28">
        <v>1321562000</v>
      </c>
      <c r="AE6397" s="28">
        <v>9214866000</v>
      </c>
      <c r="AF6397" s="28">
        <v>3600228000</v>
      </c>
      <c r="AG6397" s="11"/>
    </row>
    <row r="6398">
      <c r="A6398" s="7" t="s">
        <v>7967</v>
      </c>
      <c r="B6398" s="5" t="s">
        <v>15922</v>
      </c>
      <c r="C6398" s="5" t="s">
        <v>23568</v>
      </c>
      <c r="D6398" s="5" t="str">
        <v>780407882500</v>
      </c>
      <c r="F6398" s="5"/>
      <c r="G6398" s="5"/>
      <c r="H6398" s="26">
        <v>17</v>
      </c>
      <c r="I6398" s="5" t="s">
        <v>43993</v>
      </c>
      <c r="J6398" s="5" t="s">
        <v>30185</v>
      </c>
      <c r="K6398" s="5" t="s">
        <v>344</v>
      </c>
      <c r="L6398" s="5" t="s">
        <v>43994</v>
      </c>
      <c r="M6398" s="27"/>
      <c r="N6398" s="5"/>
      <c r="O6398" s="5" t="str">
        <v>7810051736</v>
      </c>
      <c r="P6398" s="27">
        <v>1500000000</v>
      </c>
      <c r="Q6398" s="5" t="s">
        <v>49009</v>
      </c>
      <c r="R6398" s="5"/>
      <c r="S6398" s="5" t="s">
        <v>49010</v>
      </c>
      <c r="T6398" s="28"/>
      <c r="U6398" s="28">
        <v>1923814000</v>
      </c>
      <c r="V6398" s="28">
        <v>43539090000</v>
      </c>
      <c r="W6398" s="28">
        <v>590000</v>
      </c>
      <c r="X6398" s="28">
        <v>33514000</v>
      </c>
      <c r="Y6398" s="28">
        <v>45497011000</v>
      </c>
      <c r="Z6398" s="28">
        <v>34413269000</v>
      </c>
      <c r="AA6398" s="28">
        <v>3233506000</v>
      </c>
      <c r="AB6398" s="28">
        <v>2037052000</v>
      </c>
      <c r="AC6398" s="28">
        <v>6350236000</v>
      </c>
      <c r="AD6398" s="28">
        <v>35913269000</v>
      </c>
      <c r="AE6398" s="28">
        <v>14966792000</v>
      </c>
      <c r="AF6398" s="28">
        <v>14968703000</v>
      </c>
      <c r="AG6398" s="11"/>
    </row>
    <row r="6399">
      <c r="A6399" s="7" t="s">
        <v>7968</v>
      </c>
      <c r="B6399" s="5" t="s">
        <v>15923</v>
      </c>
      <c r="C6399" s="5" t="s">
        <v>23569</v>
      </c>
      <c r="D6399" s="5" t="str">
        <v>772671863605</v>
      </c>
      <c r="E6399" s="0" t="e">
        <f>+7 (495) 1369730
+7 (495) 9510942
+7 (495) 9952633
+7 (495) 9952688
+7 (499) 1369730
+7 (800) 3339688
+7 (909) 9246573</f>
        <v>#NAME?</v>
      </c>
      <c r="F6399" s="5" t="s">
        <v>43995</v>
      </c>
      <c r="G6399" s="5" t="s">
        <v>43996</v>
      </c>
      <c r="H6399" s="26">
        <v>10.5</v>
      </c>
      <c r="I6399" s="5" t="s">
        <v>43997</v>
      </c>
      <c r="J6399" s="5" t="s">
        <v>397</v>
      </c>
      <c r="K6399" s="5" t="s">
        <v>344</v>
      </c>
      <c r="L6399" s="5"/>
      <c r="M6399" s="27">
        <v>177623</v>
      </c>
      <c r="N6399" s="5"/>
      <c r="O6399" s="5" t="str">
        <v>7705993103</v>
      </c>
      <c r="P6399" s="27">
        <v>3005000</v>
      </c>
      <c r="Q6399" s="5" t="s">
        <v>49059</v>
      </c>
      <c r="R6399" s="5"/>
      <c r="S6399" s="5" t="s">
        <v>49045</v>
      </c>
      <c r="T6399" s="28">
        <v>267897000</v>
      </c>
      <c r="U6399" s="28"/>
      <c r="V6399" s="28">
        <v>1774913000</v>
      </c>
      <c r="W6399" s="28"/>
      <c r="X6399" s="28">
        <v>979594000</v>
      </c>
      <c r="Y6399" s="28">
        <v>15388190000</v>
      </c>
      <c r="Z6399" s="28">
        <v>607851000</v>
      </c>
      <c r="AA6399" s="28"/>
      <c r="AB6399" s="28">
        <v>296847000</v>
      </c>
      <c r="AC6399" s="28">
        <v>14559017000</v>
      </c>
      <c r="AD6399" s="28">
        <v>610934000</v>
      </c>
      <c r="AE6399" s="28">
        <v>27470429000</v>
      </c>
      <c r="AF6399" s="28">
        <v>753871000</v>
      </c>
      <c r="AG6399" s="11"/>
    </row>
    <row r="6400">
      <c r="A6400" s="7" t="s">
        <v>7969</v>
      </c>
      <c r="B6400" s="5" t="s">
        <v>15924</v>
      </c>
      <c r="C6400" s="5" t="s">
        <v>23570</v>
      </c>
      <c r="D6400" s="5" t="str">
        <v>510516180533</v>
      </c>
      <c r="E6400" s="0" t="e">
        <f>+7 (495) 9213235
+7 (495) 9213236
+7 (495) 4171197
+7 (495) 6845428
+7 (495) 9213234
+7 (495) 9479002
+7 (499) 7205240
+7 (499) 7306605
+7 (499) 7935022</f>
        <v>#NAME?</v>
      </c>
      <c r="F6400" s="5" t="s">
        <v>43998</v>
      </c>
      <c r="G6400" s="5"/>
      <c r="H6400" s="26">
        <v>28</v>
      </c>
      <c r="I6400" s="5"/>
      <c r="J6400" s="5" t="s">
        <v>25219</v>
      </c>
      <c r="K6400" s="5" t="s">
        <v>344</v>
      </c>
      <c r="L6400" s="5" t="s">
        <v>43999</v>
      </c>
      <c r="M6400" s="27"/>
      <c r="N6400" s="5"/>
      <c r="O6400" s="5" t="str">
        <v>7731162754</v>
      </c>
      <c r="P6400" s="27">
        <v>321850000</v>
      </c>
      <c r="Q6400" s="5" t="s">
        <v>49009</v>
      </c>
      <c r="R6400" s="5" t="s">
        <v>58939</v>
      </c>
      <c r="S6400" s="5" t="s">
        <v>49028</v>
      </c>
      <c r="T6400" s="28">
        <v>10767844000</v>
      </c>
      <c r="U6400" s="28">
        <v>8300000</v>
      </c>
      <c r="V6400" s="28">
        <v>261361000</v>
      </c>
      <c r="W6400" s="28"/>
      <c r="X6400" s="28">
        <v>248884000</v>
      </c>
      <c r="Y6400" s="28">
        <v>16229446000</v>
      </c>
      <c r="Z6400" s="28">
        <v>387290000</v>
      </c>
      <c r="AA6400" s="28">
        <v>1057500000</v>
      </c>
      <c r="AB6400" s="28"/>
      <c r="AC6400" s="28">
        <v>2104508000</v>
      </c>
      <c r="AD6400" s="28">
        <v>757417000</v>
      </c>
      <c r="AE6400" s="28">
        <v>25413793000</v>
      </c>
      <c r="AF6400" s="28">
        <v>303367000</v>
      </c>
      <c r="AG6400" s="11"/>
    </row>
    <row r="6401">
      <c r="A6401" s="7" t="s">
        <v>7970</v>
      </c>
      <c r="B6401" s="5" t="s">
        <v>15925</v>
      </c>
      <c r="C6401" s="5" t="s">
        <v>23571</v>
      </c>
      <c r="D6401" s="5" t="str">
        <v>772637619974</v>
      </c>
      <c r="E6401" s="0" t="e">
        <f>+7 (495) 9661034
+7 (495) 9661045
+7 (495) 9661030
+7 (499) 9661030</f>
        <v>#NAME?</v>
      </c>
      <c r="F6401" s="5" t="s">
        <v>44000</v>
      </c>
      <c r="G6401" s="5" t="s">
        <v>44001</v>
      </c>
      <c r="H6401" s="26">
        <v>15.5</v>
      </c>
      <c r="I6401" s="5" t="s">
        <v>44002</v>
      </c>
      <c r="J6401" s="5" t="s">
        <v>599</v>
      </c>
      <c r="K6401" s="5" t="s">
        <v>344</v>
      </c>
      <c r="L6401" s="5" t="s">
        <v>44003</v>
      </c>
      <c r="M6401" s="27">
        <v>3752</v>
      </c>
      <c r="N6401" s="5" t="s">
        <v>51968</v>
      </c>
      <c r="O6401" s="5" t="str">
        <v>7730566401</v>
      </c>
      <c r="P6401" s="27">
        <v>4310000</v>
      </c>
      <c r="Q6401" s="5" t="s">
        <v>58940</v>
      </c>
      <c r="R6401" s="5"/>
      <c r="S6401" s="5" t="s">
        <v>58941</v>
      </c>
      <c r="T6401" s="28">
        <v>1058418000</v>
      </c>
      <c r="U6401" s="28">
        <v>76704000</v>
      </c>
      <c r="V6401" s="28">
        <v>3691330000</v>
      </c>
      <c r="W6401" s="28"/>
      <c r="X6401" s="28">
        <v>571551000</v>
      </c>
      <c r="Y6401" s="28">
        <v>5697286000</v>
      </c>
      <c r="Z6401" s="28">
        <v>1120755000</v>
      </c>
      <c r="AA6401" s="28"/>
      <c r="AB6401" s="28">
        <v>1368060000</v>
      </c>
      <c r="AC6401" s="28">
        <v>3924273000</v>
      </c>
      <c r="AD6401" s="28">
        <v>1124072000</v>
      </c>
      <c r="AE6401" s="28">
        <v>40492379000</v>
      </c>
      <c r="AF6401" s="28">
        <v>668176000</v>
      </c>
      <c r="AG6401" s="11"/>
    </row>
    <row r="6402">
      <c r="A6402" s="7" t="s">
        <v>7971</v>
      </c>
      <c r="B6402" s="5" t="s">
        <v>15926</v>
      </c>
      <c r="C6402" s="5" t="s">
        <v>23572</v>
      </c>
      <c r="D6402" s="5" t="str">
        <v>616803796263</v>
      </c>
      <c r="E6402" s="0" t="e">
        <f>+7 (918) 5555753</f>
        <v>#NAME?</v>
      </c>
      <c r="F6402" s="5" t="s">
        <v>44004</v>
      </c>
      <c r="G6402" s="5" t="s">
        <v>44005</v>
      </c>
      <c r="H6402" s="26">
        <v>2</v>
      </c>
      <c r="I6402" s="5" t="s">
        <v>44006</v>
      </c>
      <c r="J6402" s="5" t="s">
        <v>467</v>
      </c>
      <c r="K6402" s="5" t="s">
        <v>344</v>
      </c>
      <c r="L6402" s="5"/>
      <c r="M6402" s="27"/>
      <c r="N6402" s="5" t="s">
        <v>58942</v>
      </c>
      <c r="O6402" s="5" t="str">
        <v>6162085200</v>
      </c>
      <c r="P6402" s="27">
        <v>10000000</v>
      </c>
      <c r="Q6402" s="5" t="s">
        <v>58943</v>
      </c>
      <c r="R6402" s="5"/>
      <c r="S6402" s="5" t="s">
        <v>58944</v>
      </c>
      <c r="T6402" s="28">
        <v>111065000</v>
      </c>
      <c r="U6402" s="28"/>
      <c r="V6402" s="28">
        <v>1393292000</v>
      </c>
      <c r="W6402" s="28">
        <v>423239000</v>
      </c>
      <c r="X6402" s="28">
        <v>1955017000</v>
      </c>
      <c r="Y6402" s="28">
        <v>5136630000</v>
      </c>
      <c r="Z6402" s="28">
        <v>1211069000</v>
      </c>
      <c r="AA6402" s="28"/>
      <c r="AB6402" s="28"/>
      <c r="AC6402" s="28">
        <v>3084219000</v>
      </c>
      <c r="AD6402" s="28">
        <v>1221069000</v>
      </c>
      <c r="AE6402" s="28">
        <v>10729703000</v>
      </c>
      <c r="AF6402" s="28">
        <v>907931000</v>
      </c>
      <c r="AG6402" s="11"/>
    </row>
    <row r="6403">
      <c r="A6403" s="7" t="s">
        <v>7972</v>
      </c>
      <c r="B6403" s="5" t="s">
        <v>15927</v>
      </c>
      <c r="C6403" s="5" t="s">
        <v>23573</v>
      </c>
      <c r="D6403" s="5" t="str">
        <v>502989773030</v>
      </c>
      <c r="E6403" s="0" t="e">
        <f>+7 (960) 1273009
+7 (391) 2030453
+7 (473) 2622286
+7 (495) 3801857
+7 (495) 7457923
+7 (495) 7710920
+7 (495) 9742189
+7 (495) 9953937
+7 (495) 9954039</f>
        <v>#NAME?</v>
      </c>
      <c r="F6403" s="5" t="s">
        <v>44007</v>
      </c>
      <c r="G6403" s="5" t="s">
        <v>44008</v>
      </c>
      <c r="H6403" s="26">
        <v>19.5</v>
      </c>
      <c r="I6403" s="5" t="s">
        <v>44009</v>
      </c>
      <c r="J6403" s="5" t="s">
        <v>678</v>
      </c>
      <c r="K6403" s="5" t="s">
        <v>344</v>
      </c>
      <c r="L6403" s="5" t="s">
        <v>44010</v>
      </c>
      <c r="M6403" s="27"/>
      <c r="N6403" s="5" t="s">
        <v>58945</v>
      </c>
      <c r="O6403" s="5" t="str">
        <v>5029071701</v>
      </c>
      <c r="P6403" s="27">
        <v>30784000</v>
      </c>
      <c r="Q6403" s="5" t="s">
        <v>49021</v>
      </c>
      <c r="R6403" s="5"/>
      <c r="S6403" s="5" t="s">
        <v>58947</v>
      </c>
      <c r="T6403" s="28">
        <v>370194000</v>
      </c>
      <c r="U6403" s="28">
        <v>783530000</v>
      </c>
      <c r="V6403" s="28">
        <v>695243000</v>
      </c>
      <c r="W6403" s="28">
        <v>2005214000</v>
      </c>
      <c r="X6403" s="28">
        <v>446268000</v>
      </c>
      <c r="Y6403" s="28">
        <v>11654474000</v>
      </c>
      <c r="Z6403" s="28">
        <v>10201896000</v>
      </c>
      <c r="AA6403" s="28"/>
      <c r="AB6403" s="28">
        <v>30068000</v>
      </c>
      <c r="AC6403" s="28">
        <v>1403867000</v>
      </c>
      <c r="AD6403" s="28">
        <v>10238798000</v>
      </c>
      <c r="AE6403" s="28">
        <v>23447862000</v>
      </c>
      <c r="AF6403" s="28">
        <v>1185147000</v>
      </c>
      <c r="AG6403" s="11"/>
    </row>
    <row r="6404">
      <c r="A6404" s="7" t="s">
        <v>7973</v>
      </c>
      <c r="B6404" s="5" t="s">
        <v>15928</v>
      </c>
      <c r="C6404" s="5" t="s">
        <v>23574</v>
      </c>
      <c r="D6404" s="5" t="str">
        <v>501211245171</v>
      </c>
      <c r="E6404" s="0" t="e">
        <f>+7 (495) 1183106
+7 (495) 7984928
+7 (495) 9268513
+7 (926) 4554737</f>
        <v>#NAME?</v>
      </c>
      <c r="F6404" s="5"/>
      <c r="G6404" s="5" t="s">
        <v>44011</v>
      </c>
      <c r="H6404" s="26">
        <v>4.5</v>
      </c>
      <c r="I6404" s="5" t="s">
        <v>44012</v>
      </c>
      <c r="J6404" s="5" t="s">
        <v>748</v>
      </c>
      <c r="K6404" s="5" t="s">
        <v>355</v>
      </c>
      <c r="L6404" s="5" t="s">
        <v>42698</v>
      </c>
      <c r="M6404" s="27">
        <v>18205531</v>
      </c>
      <c r="N6404" s="5" t="s">
        <v>58948</v>
      </c>
      <c r="O6404" s="5" t="str">
        <v>9718107268</v>
      </c>
      <c r="P6404" s="27">
        <v>10000000</v>
      </c>
      <c r="Q6404" s="5" t="s">
        <v>58950</v>
      </c>
      <c r="R6404" s="5"/>
      <c r="S6404" s="5" t="s">
        <v>50515</v>
      </c>
      <c r="T6404" s="28">
        <v>221772000</v>
      </c>
      <c r="U6404" s="28"/>
      <c r="V6404" s="28">
        <v>736520000</v>
      </c>
      <c r="W6404" s="28"/>
      <c r="X6404" s="28">
        <v>620751000</v>
      </c>
      <c r="Y6404" s="28">
        <v>2876561000</v>
      </c>
      <c r="Z6404" s="28">
        <v>-470592000</v>
      </c>
      <c r="AA6404" s="28">
        <v>883432000</v>
      </c>
      <c r="AB6404" s="28"/>
      <c r="AC6404" s="28">
        <v>2425998000</v>
      </c>
      <c r="AD6404" s="28">
        <v>-460592000</v>
      </c>
      <c r="AE6404" s="28">
        <v>6021753000</v>
      </c>
      <c r="AF6404" s="28">
        <v>-358296000</v>
      </c>
      <c r="AG6404" s="11"/>
    </row>
    <row r="6405">
      <c r="A6405" s="7" t="s">
        <v>7974</v>
      </c>
      <c r="B6405" s="5" t="s">
        <v>15929</v>
      </c>
      <c r="C6405" s="5" t="s">
        <v>23575</v>
      </c>
      <c r="D6405" s="5" t="str">
        <v>701711150910</v>
      </c>
      <c r="E6405" s="0" t="e">
        <f>+7 (495) 6480808
+7 (495) 7270985
+7 (903) 6765868
+7 (915) 1943219
+7 (926) 3713650</f>
        <v>#NAME?</v>
      </c>
      <c r="F6405" s="5"/>
      <c r="G6405" s="5" t="s">
        <v>44013</v>
      </c>
      <c r="H6405" s="26">
        <v>3.5</v>
      </c>
      <c r="I6405" s="5" t="s">
        <v>44014</v>
      </c>
      <c r="J6405" s="5" t="s">
        <v>29913</v>
      </c>
      <c r="K6405" s="5" t="s">
        <v>344</v>
      </c>
      <c r="L6405" s="5"/>
      <c r="M6405" s="27"/>
      <c r="N6405" s="5"/>
      <c r="O6405" s="5" t="str">
        <v>7720484492</v>
      </c>
      <c r="P6405" s="27">
        <v>10000</v>
      </c>
      <c r="Q6405" s="5"/>
      <c r="R6405" s="5"/>
      <c r="S6405" s="5" t="s">
        <v>49029</v>
      </c>
      <c r="T6405" s="28">
        <v>245039000</v>
      </c>
      <c r="U6405" s="28">
        <v>8884934000</v>
      </c>
      <c r="V6405" s="28">
        <v>2231421000</v>
      </c>
      <c r="W6405" s="28">
        <v>334149000</v>
      </c>
      <c r="X6405" s="28">
        <v>106896000</v>
      </c>
      <c r="Y6405" s="28">
        <v>12360550000</v>
      </c>
      <c r="Z6405" s="28">
        <v>2996954000</v>
      </c>
      <c r="AA6405" s="28">
        <v>7655889000</v>
      </c>
      <c r="AB6405" s="28">
        <v>966713000</v>
      </c>
      <c r="AC6405" s="28">
        <v>1402820000</v>
      </c>
      <c r="AD6405" s="28">
        <v>2996964000</v>
      </c>
      <c r="AE6405" s="28">
        <v>5792833000</v>
      </c>
      <c r="AF6405" s="28">
        <v>2684860000</v>
      </c>
      <c r="AG6405" s="11"/>
    </row>
    <row r="6406">
      <c r="A6406" s="7" t="s">
        <v>7975</v>
      </c>
      <c r="B6406" s="5" t="s">
        <v>14255</v>
      </c>
      <c r="C6406" s="5" t="s">
        <v>23576</v>
      </c>
      <c r="D6406" s="5" t="str">
        <v>710511569723</v>
      </c>
      <c r="E6406" s="0" t="e">
        <f>+7 (3012) 640099
+7 (34242) 65547
+7 (343) 2272454
+7 (345) 2716636
+7 (3496) 430636
+7 (3517) 770636
+7 (381) 2500101
+7 (382) 2940100
+7 (383) 3810636
+7 (384) 2760042
+7 (385) 2395536
+7 (343) 2078777
+7 (343) 2900636
+7 (345) 2700025
+7 (3496) 443400</f>
        <v>#NAME?</v>
      </c>
      <c r="F6406" s="5" t="s">
        <v>44015</v>
      </c>
      <c r="G6406" s="5"/>
      <c r="H6406" s="26">
        <v>9.5</v>
      </c>
      <c r="I6406" s="5" t="s">
        <v>44016</v>
      </c>
      <c r="J6406" s="5" t="s">
        <v>32921</v>
      </c>
      <c r="K6406" s="5" t="s">
        <v>344</v>
      </c>
      <c r="L6406" s="5" t="s">
        <v>44017</v>
      </c>
      <c r="M6406" s="27">
        <v>423515934</v>
      </c>
      <c r="N6406" s="5" t="s">
        <v>58951</v>
      </c>
      <c r="O6406" s="5" t="str">
        <v>7743895280</v>
      </c>
      <c r="P6406" s="27">
        <v>9327813603</v>
      </c>
      <c r="Q6406" s="5" t="s">
        <v>58952</v>
      </c>
      <c r="R6406" s="5" t="s">
        <v>56548</v>
      </c>
      <c r="S6406" s="5" t="s">
        <v>58953</v>
      </c>
      <c r="T6406" s="28">
        <v>174929299000</v>
      </c>
      <c r="U6406" s="28">
        <v>12081404000</v>
      </c>
      <c r="V6406" s="28">
        <v>11009211000</v>
      </c>
      <c r="W6406" s="28">
        <v>2900000000</v>
      </c>
      <c r="X6406" s="28">
        <v>1734603000</v>
      </c>
      <c r="Y6406" s="28">
        <v>247320770000</v>
      </c>
      <c r="Z6406" s="28">
        <v>21001615000</v>
      </c>
      <c r="AA6406" s="28">
        <v>93630411000</v>
      </c>
      <c r="AB6406" s="28">
        <v>8788282000</v>
      </c>
      <c r="AC6406" s="28">
        <v>63658656000</v>
      </c>
      <c r="AD6406" s="28">
        <v>35877680000</v>
      </c>
      <c r="AE6406" s="28">
        <v>206833448000</v>
      </c>
      <c r="AF6406" s="28">
        <v>25221541000</v>
      </c>
      <c r="AG6406" s="11"/>
    </row>
    <row r="6407">
      <c r="A6407" s="7" t="s">
        <v>7976</v>
      </c>
      <c r="B6407" s="5" t="s">
        <v>15930</v>
      </c>
      <c r="C6407" s="5" t="s">
        <v>23577</v>
      </c>
      <c r="D6407" s="5" t="str">
        <v>774329613442</v>
      </c>
      <c r="E6407" s="0" t="e">
        <f>+7 (926) 7101265
+7 (495) 6629800
+7 (925) 6423150</f>
        <v>#NAME?</v>
      </c>
      <c r="F6407" s="5" t="s">
        <v>44018</v>
      </c>
      <c r="G6407" s="5" t="s">
        <v>44019</v>
      </c>
      <c r="H6407" s="26">
        <v>19</v>
      </c>
      <c r="I6407" s="5" t="s">
        <v>44020</v>
      </c>
      <c r="J6407" s="5" t="s">
        <v>373</v>
      </c>
      <c r="K6407" s="5" t="s">
        <v>344</v>
      </c>
      <c r="L6407" s="5" t="s">
        <v>44021</v>
      </c>
      <c r="M6407" s="27"/>
      <c r="N6407" s="5" t="s">
        <v>58954</v>
      </c>
      <c r="O6407" s="5" t="str">
        <v>7714535999</v>
      </c>
      <c r="P6407" s="27">
        <v>1000000</v>
      </c>
      <c r="Q6407" s="5" t="s">
        <v>58955</v>
      </c>
      <c r="R6407" s="5"/>
      <c r="S6407" s="5" t="s">
        <v>53003</v>
      </c>
      <c r="T6407" s="28">
        <v>65451000</v>
      </c>
      <c r="U6407" s="28"/>
      <c r="V6407" s="28">
        <v>1360341000</v>
      </c>
      <c r="W6407" s="28">
        <v>129375000</v>
      </c>
      <c r="X6407" s="28">
        <v>340202000</v>
      </c>
      <c r="Y6407" s="28">
        <v>1903408000</v>
      </c>
      <c r="Z6407" s="28">
        <v>567588000</v>
      </c>
      <c r="AA6407" s="28">
        <v>760300000</v>
      </c>
      <c r="AB6407" s="28">
        <v>1008000</v>
      </c>
      <c r="AC6407" s="28">
        <v>561415000</v>
      </c>
      <c r="AD6407" s="28">
        <v>568588000</v>
      </c>
      <c r="AE6407" s="28">
        <v>12991429000</v>
      </c>
      <c r="AF6407" s="28">
        <v>26557000</v>
      </c>
      <c r="AG6407" s="11"/>
    </row>
    <row r="6408">
      <c r="A6408" s="7" t="s">
        <v>7977</v>
      </c>
      <c r="B6408" s="5" t="s">
        <v>15931</v>
      </c>
      <c r="C6408" s="5" t="s">
        <v>23578</v>
      </c>
      <c r="D6408" s="5" t="str">
        <v>745206454160</v>
      </c>
      <c r="E6408" s="0" t="e">
        <f>+7 (495) 3802828
+7 (495) 3802828
+7 (495) 3802829
+7 (499) 6733905
+7 (800) 7074747
+7 (812) 3844447
+7 (911) 2618881
+7 (926) 5205235
+7 (965) 2740498
+7 (967) 1592637
+7 (985) 7769962</f>
        <v>#NAME?</v>
      </c>
      <c r="F6408" s="5" t="s">
        <v>44022</v>
      </c>
      <c r="G6408" s="5" t="s">
        <v>44023</v>
      </c>
      <c r="H6408" s="26">
        <v>19.5</v>
      </c>
      <c r="I6408" s="5" t="s">
        <v>44024</v>
      </c>
      <c r="J6408" s="5" t="s">
        <v>26660</v>
      </c>
      <c r="K6408" s="5" t="s">
        <v>344</v>
      </c>
      <c r="L6408" s="5" t="s">
        <v>44025</v>
      </c>
      <c r="M6408" s="27">
        <v>3044084</v>
      </c>
      <c r="N6408" s="5"/>
      <c r="O6408" s="5" t="str">
        <v>7709505477</v>
      </c>
      <c r="P6408" s="27">
        <v>49500000</v>
      </c>
      <c r="Q6408" s="5" t="s">
        <v>49009</v>
      </c>
      <c r="R6408" s="5"/>
      <c r="S6408" s="5" t="s">
        <v>49093</v>
      </c>
      <c r="T6408" s="28">
        <v>4791782000</v>
      </c>
      <c r="U6408" s="28">
        <v>43000</v>
      </c>
      <c r="V6408" s="28">
        <v>1115266000</v>
      </c>
      <c r="W6408" s="28"/>
      <c r="X6408" s="28">
        <v>596422000</v>
      </c>
      <c r="Y6408" s="28">
        <v>11963942000</v>
      </c>
      <c r="Z6408" s="28">
        <v>3871771000</v>
      </c>
      <c r="AA6408" s="28"/>
      <c r="AB6408" s="28"/>
      <c r="AC6408" s="28">
        <v>2944459000</v>
      </c>
      <c r="AD6408" s="28">
        <v>3926719000</v>
      </c>
      <c r="AE6408" s="28">
        <v>17139340000</v>
      </c>
      <c r="AF6408" s="28">
        <v>455539000</v>
      </c>
      <c r="AG6408" s="11"/>
    </row>
    <row r="6409">
      <c r="A6409" s="7" t="s">
        <v>7978</v>
      </c>
      <c r="B6409" s="5" t="s">
        <v>15932</v>
      </c>
      <c r="C6409" s="5" t="s">
        <v>23579</v>
      </c>
      <c r="D6409" s="5"/>
      <c r="E6409" s="0" t="e">
        <f>+7 (495) 9265300
+7 (499) 9265300</f>
        <v>#NAME?</v>
      </c>
      <c r="F6409" s="5" t="s">
        <v>44026</v>
      </c>
      <c r="G6409" s="5" t="s">
        <v>44027</v>
      </c>
      <c r="H6409" s="26">
        <v>20.5</v>
      </c>
      <c r="I6409" s="5" t="s">
        <v>44028</v>
      </c>
      <c r="J6409" s="5" t="s">
        <v>599</v>
      </c>
      <c r="K6409" s="5" t="s">
        <v>344</v>
      </c>
      <c r="L6409" s="5" t="s">
        <v>44029</v>
      </c>
      <c r="M6409" s="27"/>
      <c r="N6409" s="5"/>
      <c r="O6409" s="5" t="str">
        <v>5032080978</v>
      </c>
      <c r="P6409" s="27">
        <v>13203000</v>
      </c>
      <c r="Q6409" s="5" t="s">
        <v>49009</v>
      </c>
      <c r="R6409" s="5"/>
      <c r="S6409" s="5" t="s">
        <v>49045</v>
      </c>
      <c r="T6409" s="28">
        <v>47567000</v>
      </c>
      <c r="U6409" s="28"/>
      <c r="V6409" s="28">
        <v>662253000</v>
      </c>
      <c r="W6409" s="28"/>
      <c r="X6409" s="28">
        <v>1173934000</v>
      </c>
      <c r="Y6409" s="28">
        <v>2703870000</v>
      </c>
      <c r="Z6409" s="28">
        <v>-2664730000</v>
      </c>
      <c r="AA6409" s="28"/>
      <c r="AB6409" s="28"/>
      <c r="AC6409" s="28">
        <v>1595417000</v>
      </c>
      <c r="AD6409" s="28">
        <v>1106270000</v>
      </c>
      <c r="AE6409" s="28">
        <v>4139583000</v>
      </c>
      <c r="AF6409" s="28">
        <v>386016000</v>
      </c>
      <c r="AG6409" s="11"/>
    </row>
    <row r="6410">
      <c r="A6410" s="7" t="s">
        <v>7979</v>
      </c>
      <c r="B6410" s="5" t="s">
        <v>15933</v>
      </c>
      <c r="C6410" s="5" t="s">
        <v>23580</v>
      </c>
      <c r="D6410" s="5" t="str">
        <v>072111563208</v>
      </c>
      <c r="E6410" s="0" t="e">
        <f>+7 (855) 2409095
+7 (903) 3400494
+7 (965) 6111760</f>
        <v>#NAME?</v>
      </c>
      <c r="F6410" s="5"/>
      <c r="G6410" s="5"/>
      <c r="H6410" s="26">
        <v>7.5</v>
      </c>
      <c r="I6410" s="5" t="s">
        <v>44030</v>
      </c>
      <c r="J6410" s="5" t="s">
        <v>25219</v>
      </c>
      <c r="K6410" s="5" t="s">
        <v>344</v>
      </c>
      <c r="L6410" s="5"/>
      <c r="M6410" s="27">
        <v>149000</v>
      </c>
      <c r="N6410" s="5"/>
      <c r="O6410" s="5" t="str">
        <v>1646041050</v>
      </c>
      <c r="P6410" s="27">
        <v>300000</v>
      </c>
      <c r="Q6410" s="5" t="s">
        <v>49009</v>
      </c>
      <c r="R6410" s="5"/>
      <c r="S6410" s="5" t="s">
        <v>52597</v>
      </c>
      <c r="T6410" s="28">
        <v>4137276000</v>
      </c>
      <c r="U6410" s="28"/>
      <c r="V6410" s="28">
        <v>297077000</v>
      </c>
      <c r="W6410" s="28">
        <v>3300000</v>
      </c>
      <c r="X6410" s="28">
        <v>192037000</v>
      </c>
      <c r="Y6410" s="28">
        <v>7609623000</v>
      </c>
      <c r="Z6410" s="28">
        <v>346548000</v>
      </c>
      <c r="AA6410" s="28"/>
      <c r="AB6410" s="28">
        <v>16964000</v>
      </c>
      <c r="AC6410" s="28">
        <v>3518537000</v>
      </c>
      <c r="AD6410" s="28">
        <v>346848000</v>
      </c>
      <c r="AE6410" s="28">
        <v>37146279000</v>
      </c>
      <c r="AF6410" s="28">
        <v>329452000</v>
      </c>
      <c r="AG6410" s="11"/>
    </row>
    <row r="6411">
      <c r="A6411" s="7" t="s">
        <v>7980</v>
      </c>
      <c r="B6411" s="5" t="s">
        <v>15934</v>
      </c>
      <c r="C6411" s="5" t="s">
        <v>23053</v>
      </c>
      <c r="D6411" s="5"/>
      <c r="E6411" s="0" t="e">
        <f>+7 (8634) 324258
+7 (495) 7757601
+7 (863) 4324268
+7 (863) 4650567
+7 (8634) 324202
+7 (8634) 324204
+7 (8634) 625772
+7 (8634) 650030
+7 (8634) 650065
+7 (8634) 650372
+7 (8634) 650422
+7 (8634) 650430
+7 (8634) 650742</f>
        <v>#NAME?</v>
      </c>
      <c r="F6411" s="5" t="s">
        <v>44031</v>
      </c>
      <c r="G6411" s="5" t="s">
        <v>44032</v>
      </c>
      <c r="H6411" s="26">
        <v>30</v>
      </c>
      <c r="I6411" s="5"/>
      <c r="J6411" s="5" t="s">
        <v>27977</v>
      </c>
      <c r="K6411" s="5" t="s">
        <v>380</v>
      </c>
      <c r="L6411" s="5"/>
      <c r="M6411" s="27">
        <v>13792292</v>
      </c>
      <c r="N6411" s="5" t="s">
        <v>50086</v>
      </c>
      <c r="O6411" s="5" t="str">
        <v>6154011797</v>
      </c>
      <c r="P6411" s="27">
        <v>508706000</v>
      </c>
      <c r="Q6411" s="5" t="s">
        <v>58957</v>
      </c>
      <c r="R6411" s="5" t="s">
        <v>58958</v>
      </c>
      <c r="S6411" s="5" t="s">
        <v>51145</v>
      </c>
      <c r="T6411" s="28">
        <v>12861847000</v>
      </c>
      <c r="U6411" s="28"/>
      <c r="V6411" s="28">
        <v>8161776000</v>
      </c>
      <c r="W6411" s="28"/>
      <c r="X6411" s="28">
        <v>5904000</v>
      </c>
      <c r="Y6411" s="28">
        <v>39764595000</v>
      </c>
      <c r="Z6411" s="28">
        <v>-5194286000</v>
      </c>
      <c r="AA6411" s="28"/>
      <c r="AB6411" s="28"/>
      <c r="AC6411" s="28">
        <v>41773649000</v>
      </c>
      <c r="AD6411" s="28">
        <v>-2535762000</v>
      </c>
      <c r="AE6411" s="28">
        <v>61522511000</v>
      </c>
      <c r="AF6411" s="28">
        <v>-4504296000</v>
      </c>
      <c r="AG6411" s="11"/>
    </row>
    <row r="6412">
      <c r="A6412" s="7" t="s">
        <v>7981</v>
      </c>
      <c r="B6412" s="5" t="s">
        <v>15935</v>
      </c>
      <c r="C6412" s="5" t="s">
        <v>23581</v>
      </c>
      <c r="D6412" s="5" t="str">
        <v>164400940600</v>
      </c>
      <c r="E6412" s="0" t="e">
        <f>+7 (8553) 318246
+7 (8553) 377376
+7 (8553) 377367
+7 (8553) 388203</f>
        <v>#NAME?</v>
      </c>
      <c r="F6412" s="5" t="s">
        <v>44033</v>
      </c>
      <c r="G6412" s="5" t="s">
        <v>44034</v>
      </c>
      <c r="H6412" s="26">
        <v>15</v>
      </c>
      <c r="I6412" s="5" t="s">
        <v>44035</v>
      </c>
      <c r="J6412" s="5" t="s">
        <v>26799</v>
      </c>
      <c r="K6412" s="5" t="s">
        <v>344</v>
      </c>
      <c r="L6412" s="5" t="s">
        <v>44036</v>
      </c>
      <c r="M6412" s="27"/>
      <c r="N6412" s="5" t="s">
        <v>58959</v>
      </c>
      <c r="O6412" s="5" t="str">
        <v>1644046768</v>
      </c>
      <c r="P6412" s="27">
        <v>196078</v>
      </c>
      <c r="Q6412" s="5" t="s">
        <v>58960</v>
      </c>
      <c r="R6412" s="5"/>
      <c r="S6412" s="5" t="s">
        <v>50205</v>
      </c>
      <c r="T6412" s="28">
        <v>1203092000</v>
      </c>
      <c r="U6412" s="28">
        <v>195505000</v>
      </c>
      <c r="V6412" s="28">
        <v>6041523000</v>
      </c>
      <c r="W6412" s="28"/>
      <c r="X6412" s="28">
        <v>48978000</v>
      </c>
      <c r="Y6412" s="28">
        <v>8245788000</v>
      </c>
      <c r="Z6412" s="28">
        <v>5316864000</v>
      </c>
      <c r="AA6412" s="28"/>
      <c r="AB6412" s="28"/>
      <c r="AC6412" s="28">
        <v>2508330000</v>
      </c>
      <c r="AD6412" s="28">
        <v>5317060000</v>
      </c>
      <c r="AE6412" s="28">
        <v>10292380000</v>
      </c>
      <c r="AF6412" s="28">
        <v>1603251000</v>
      </c>
      <c r="AG6412" s="11"/>
    </row>
    <row r="6413">
      <c r="A6413" s="7" t="s">
        <v>7982</v>
      </c>
      <c r="B6413" s="5" t="s">
        <v>15936</v>
      </c>
      <c r="C6413" s="5" t="s">
        <v>23582</v>
      </c>
      <c r="D6413" s="5" t="str">
        <v>161403731510</v>
      </c>
      <c r="E6413" s="0" t="e">
        <f>+7 (8432) 22190
+7 (8432) 30190
+7 (8432) 32071
+7 (8432) 32119
+7 (8432) 32167
+7 (8432) 32191
+7 (8432) 32192
+7 (8432) 132132
+7 (8432) 217788
+7 (8432) 230569
+7 (8432) 302190
+7 (8432) 310023
+7 (8432) 317899
+7 (8432) 356693
+7 (8432) 32190</f>
        <v>#NAME?</v>
      </c>
      <c r="F6413" s="5" t="s">
        <v>44037</v>
      </c>
      <c r="G6413" s="5"/>
      <c r="H6413" s="26">
        <v>18.5</v>
      </c>
      <c r="I6413" s="5" t="s">
        <v>44038</v>
      </c>
      <c r="J6413" s="5" t="s">
        <v>27115</v>
      </c>
      <c r="K6413" s="5" t="s">
        <v>344</v>
      </c>
      <c r="L6413" s="5"/>
      <c r="M6413" s="27">
        <v>9726608</v>
      </c>
      <c r="N6413" s="5" t="s">
        <v>58961</v>
      </c>
      <c r="O6413" s="5" t="str">
        <v>1639028805</v>
      </c>
      <c r="P6413" s="27">
        <v>5747597721</v>
      </c>
      <c r="Q6413" s="5" t="s">
        <v>58962</v>
      </c>
      <c r="R6413" s="5"/>
      <c r="S6413" s="5" t="s">
        <v>58963</v>
      </c>
      <c r="T6413" s="28">
        <v>3642034000</v>
      </c>
      <c r="U6413" s="28">
        <v>1379083000</v>
      </c>
      <c r="V6413" s="28">
        <v>172090000</v>
      </c>
      <c r="W6413" s="28">
        <v>350000</v>
      </c>
      <c r="X6413" s="28">
        <v>2205783000</v>
      </c>
      <c r="Y6413" s="28">
        <v>8631954000</v>
      </c>
      <c r="Z6413" s="28">
        <v>674771000</v>
      </c>
      <c r="AA6413" s="28"/>
      <c r="AB6413" s="28"/>
      <c r="AC6413" s="28">
        <v>1397753000</v>
      </c>
      <c r="AD6413" s="28">
        <v>6422369000</v>
      </c>
      <c r="AE6413" s="28">
        <v>20361778000</v>
      </c>
      <c r="AF6413" s="28">
        <v>1583033000</v>
      </c>
      <c r="AG6413" s="11"/>
    </row>
    <row r="6414">
      <c r="A6414" s="7" t="s">
        <v>7983</v>
      </c>
      <c r="B6414" s="5" t="s">
        <v>15937</v>
      </c>
      <c r="C6414" s="5" t="s">
        <v>23583</v>
      </c>
      <c r="D6414" s="5" t="str">
        <v>772730065135</v>
      </c>
      <c r="E6414" s="0" t="e">
        <f>+7 (495) 6472030
+7 (495) 7893521
+7 (495) 7893522
+7 (495) 7893524
+7 (495) 5488345
+7 (495) 5488350
+7 (495) 6019192
+7 (495) 6019195
+7 (495) 6019197
+7 (495) 6019209
+7 (495) 6472029
+7 (499) 2010811</f>
        <v>#NAME?</v>
      </c>
      <c r="F6414" s="5" t="s">
        <v>44039</v>
      </c>
      <c r="G6414" s="5" t="s">
        <v>44040</v>
      </c>
      <c r="H6414" s="26">
        <v>22.5</v>
      </c>
      <c r="I6414" s="5" t="s">
        <v>44041</v>
      </c>
      <c r="J6414" s="5" t="s">
        <v>26552</v>
      </c>
      <c r="K6414" s="5" t="s">
        <v>344</v>
      </c>
      <c r="L6414" s="5" t="s">
        <v>44042</v>
      </c>
      <c r="M6414" s="27"/>
      <c r="N6414" s="5"/>
      <c r="O6414" s="5" t="str">
        <v>5003112128</v>
      </c>
      <c r="P6414" s="27">
        <v>1067013200</v>
      </c>
      <c r="Q6414" s="5" t="s">
        <v>49009</v>
      </c>
      <c r="R6414" s="5"/>
      <c r="S6414" s="5" t="s">
        <v>58964</v>
      </c>
      <c r="T6414" s="28">
        <v>22258000</v>
      </c>
      <c r="U6414" s="28"/>
      <c r="V6414" s="28">
        <v>2948032000</v>
      </c>
      <c r="W6414" s="28"/>
      <c r="X6414" s="28">
        <v>16801000</v>
      </c>
      <c r="Y6414" s="28">
        <v>4692628000</v>
      </c>
      <c r="Z6414" s="28">
        <v>268781000</v>
      </c>
      <c r="AA6414" s="28">
        <v>1363000000</v>
      </c>
      <c r="AB6414" s="28">
        <v>6396000</v>
      </c>
      <c r="AC6414" s="28">
        <v>1975747000</v>
      </c>
      <c r="AD6414" s="28">
        <v>1335794000</v>
      </c>
      <c r="AE6414" s="28">
        <v>14872123000</v>
      </c>
      <c r="AF6414" s="28">
        <v>311830000</v>
      </c>
      <c r="AG6414" s="11"/>
    </row>
    <row r="6415">
      <c r="A6415" s="7" t="s">
        <v>7984</v>
      </c>
      <c r="B6415" s="5" t="s">
        <v>15938</v>
      </c>
      <c r="C6415" s="5" t="s">
        <v>23584</v>
      </c>
      <c r="D6415" s="5" t="str">
        <v>027613360463</v>
      </c>
      <c r="E6415" s="0" t="e">
        <f>+7 (39131) 31633
+7 (39131) 51040
+7 (39191) 31633
+7 (39191) 51040
+7 (39191) 52452</f>
        <v>#NAME?</v>
      </c>
      <c r="F6415" s="5" t="s">
        <v>44043</v>
      </c>
      <c r="G6415" s="5" t="s">
        <v>44044</v>
      </c>
      <c r="H6415" s="26">
        <v>28</v>
      </c>
      <c r="I6415" s="5"/>
      <c r="J6415" s="5" t="s">
        <v>27806</v>
      </c>
      <c r="K6415" s="5" t="s">
        <v>344</v>
      </c>
      <c r="L6415" s="5"/>
      <c r="M6415" s="27"/>
      <c r="N6415" s="5" t="s">
        <v>55672</v>
      </c>
      <c r="O6415" s="5" t="str">
        <v>8400000578</v>
      </c>
      <c r="P6415" s="27">
        <v>3762710</v>
      </c>
      <c r="Q6415" s="5" t="s">
        <v>58965</v>
      </c>
      <c r="R6415" s="5"/>
      <c r="S6415" s="5" t="s">
        <v>51887</v>
      </c>
      <c r="T6415" s="28">
        <v>225963000</v>
      </c>
      <c r="U6415" s="28"/>
      <c r="V6415" s="28">
        <v>1176876000</v>
      </c>
      <c r="W6415" s="28">
        <v>3518150000</v>
      </c>
      <c r="X6415" s="28">
        <v>502000</v>
      </c>
      <c r="Y6415" s="28">
        <v>6535698000</v>
      </c>
      <c r="Z6415" s="28">
        <v>5412095000</v>
      </c>
      <c r="AA6415" s="28"/>
      <c r="AB6415" s="28"/>
      <c r="AC6415" s="28">
        <v>1011892000</v>
      </c>
      <c r="AD6415" s="28">
        <v>5432173000</v>
      </c>
      <c r="AE6415" s="28">
        <v>9358126000</v>
      </c>
      <c r="AF6415" s="28">
        <v>2378915000</v>
      </c>
      <c r="AG6415" s="11"/>
    </row>
    <row r="6416">
      <c r="A6416" s="7" t="s">
        <v>7985</v>
      </c>
      <c r="B6416" s="5" t="s">
        <v>15939</v>
      </c>
      <c r="C6416" s="5" t="s">
        <v>23585</v>
      </c>
      <c r="D6416" s="5" t="str">
        <v>531300332121</v>
      </c>
      <c r="E6416" s="0" t="e">
        <f>+7 (3952) 261203</f>
        <v>#NAME?</v>
      </c>
      <c r="F6416" s="5" t="s">
        <v>44045</v>
      </c>
      <c r="G6416" s="5"/>
      <c r="H6416" s="26">
        <v>3.5</v>
      </c>
      <c r="I6416" s="5" t="s">
        <v>44046</v>
      </c>
      <c r="J6416" s="5" t="s">
        <v>26951</v>
      </c>
      <c r="K6416" s="5" t="s">
        <v>355</v>
      </c>
      <c r="L6416" s="5" t="s">
        <v>44047</v>
      </c>
      <c r="M6416" s="27">
        <v>24591672</v>
      </c>
      <c r="N6416" s="5"/>
      <c r="O6416" s="5" t="str">
        <v>3811462996</v>
      </c>
      <c r="P6416" s="27">
        <v>100000</v>
      </c>
      <c r="Q6416" s="5" t="s">
        <v>49009</v>
      </c>
      <c r="R6416" s="5" t="s">
        <v>58967</v>
      </c>
      <c r="S6416" s="5" t="s">
        <v>49093</v>
      </c>
      <c r="T6416" s="28">
        <v>3914361000</v>
      </c>
      <c r="U6416" s="28"/>
      <c r="V6416" s="28">
        <v>5690124000</v>
      </c>
      <c r="W6416" s="28">
        <v>784885000</v>
      </c>
      <c r="X6416" s="28">
        <v>78823000</v>
      </c>
      <c r="Y6416" s="28">
        <v>12735507000</v>
      </c>
      <c r="Z6416" s="28">
        <v>978004000</v>
      </c>
      <c r="AA6416" s="28"/>
      <c r="AB6416" s="28">
        <v>2429809000</v>
      </c>
      <c r="AC6416" s="28">
        <v>8542808000</v>
      </c>
      <c r="AD6416" s="28">
        <v>978104000</v>
      </c>
      <c r="AE6416" s="28">
        <v>15158460000</v>
      </c>
      <c r="AF6416" s="28">
        <v>-114523000</v>
      </c>
      <c r="AG6416" s="11"/>
    </row>
    <row r="6417">
      <c r="A6417" s="7" t="s">
        <v>7986</v>
      </c>
      <c r="B6417" s="5" t="s">
        <v>15940</v>
      </c>
      <c r="C6417" s="5" t="s">
        <v>23586</v>
      </c>
      <c r="D6417" s="5" t="str">
        <v>772976455720</v>
      </c>
      <c r="E6417" s="0" t="e">
        <f>+7 (495) 5021626
+7 (495) 5021625
+7 (495) 9335511
+7 (495) 9717950
+7 (800) 5555579
+7 (800) 7008036</f>
        <v>#NAME?</v>
      </c>
      <c r="F6417" s="5" t="s">
        <v>44048</v>
      </c>
      <c r="G6417" s="5" t="s">
        <v>44049</v>
      </c>
      <c r="H6417" s="26">
        <v>29</v>
      </c>
      <c r="I6417" s="5" t="s">
        <v>44050</v>
      </c>
      <c r="J6417" s="5" t="s">
        <v>25429</v>
      </c>
      <c r="K6417" s="5" t="s">
        <v>344</v>
      </c>
      <c r="L6417" s="5"/>
      <c r="M6417" s="27"/>
      <c r="N6417" s="5"/>
      <c r="O6417" s="5" t="str">
        <v>7711067140</v>
      </c>
      <c r="P6417" s="27">
        <v>126316</v>
      </c>
      <c r="Q6417" s="5" t="s">
        <v>49009</v>
      </c>
      <c r="R6417" s="5"/>
      <c r="S6417" s="5" t="s">
        <v>49066</v>
      </c>
      <c r="T6417" s="28">
        <v>726847000</v>
      </c>
      <c r="U6417" s="28"/>
      <c r="V6417" s="28">
        <v>10319300000</v>
      </c>
      <c r="W6417" s="28">
        <v>350384000</v>
      </c>
      <c r="X6417" s="28">
        <v>1192171000</v>
      </c>
      <c r="Y6417" s="28">
        <v>17988488000</v>
      </c>
      <c r="Z6417" s="28">
        <v>2234447000</v>
      </c>
      <c r="AA6417" s="28"/>
      <c r="AB6417" s="28">
        <v>681372000</v>
      </c>
      <c r="AC6417" s="28">
        <v>7110179000</v>
      </c>
      <c r="AD6417" s="28">
        <v>10851873000</v>
      </c>
      <c r="AE6417" s="28">
        <v>26853105000</v>
      </c>
      <c r="AF6417" s="28">
        <v>1880955000</v>
      </c>
      <c r="AG6417" s="11"/>
    </row>
    <row r="6418">
      <c r="A6418" s="7" t="s">
        <v>7987</v>
      </c>
      <c r="B6418" s="5" t="s">
        <v>15941</v>
      </c>
      <c r="C6418" s="5" t="s">
        <v>23587</v>
      </c>
      <c r="D6418" s="5" t="str">
        <v>344406675855</v>
      </c>
      <c r="E6418" s="0" t="e">
        <f>+7 (499) 2014256
+7 (495) 6475074
+7 (499) 2013622
+7 (499) 2019164
+7 (499) 9031485</f>
        <v>#NAME?</v>
      </c>
      <c r="F6418" s="5" t="s">
        <v>44051</v>
      </c>
      <c r="G6418" s="5" t="s">
        <v>44052</v>
      </c>
      <c r="H6418" s="26">
        <v>15.5</v>
      </c>
      <c r="I6418" s="5" t="s">
        <v>28754</v>
      </c>
      <c r="J6418" s="5" t="s">
        <v>27776</v>
      </c>
      <c r="K6418" s="5" t="s">
        <v>380</v>
      </c>
      <c r="L6418" s="5"/>
      <c r="M6418" s="27">
        <v>917412</v>
      </c>
      <c r="N6418" s="5" t="s">
        <v>50908</v>
      </c>
      <c r="O6418" s="5" t="str">
        <v>7715671578</v>
      </c>
      <c r="P6418" s="27">
        <v>10000</v>
      </c>
      <c r="Q6418" s="5" t="s">
        <v>58968</v>
      </c>
      <c r="R6418" s="5"/>
      <c r="S6418" s="5" t="s">
        <v>49857</v>
      </c>
      <c r="T6418" s="28">
        <v>2668920000</v>
      </c>
      <c r="U6418" s="28"/>
      <c r="V6418" s="28">
        <v>360814000</v>
      </c>
      <c r="W6418" s="28">
        <v>201100000</v>
      </c>
      <c r="X6418" s="28">
        <v>13865000</v>
      </c>
      <c r="Y6418" s="28">
        <v>4365448000</v>
      </c>
      <c r="Z6418" s="28">
        <v>-270323000</v>
      </c>
      <c r="AA6418" s="28"/>
      <c r="AB6418" s="28">
        <v>928141000</v>
      </c>
      <c r="AC6418" s="28">
        <v>1553005000</v>
      </c>
      <c r="AD6418" s="28">
        <v>-270313000</v>
      </c>
      <c r="AE6418" s="28">
        <v>3659741000</v>
      </c>
      <c r="AF6418" s="28">
        <v>-574531000</v>
      </c>
      <c r="AG6418" s="11"/>
    </row>
    <row r="6419">
      <c r="A6419" s="7" t="s">
        <v>7988</v>
      </c>
      <c r="B6419" s="5" t="s">
        <v>15942</v>
      </c>
      <c r="C6419" s="5" t="s">
        <v>23588</v>
      </c>
      <c r="D6419" s="5" t="str">
        <v>780408907042</v>
      </c>
      <c r="E6419" s="0" t="e">
        <f>+7 (812) 2242208
+7 (812) 2242258
+7 (812) 3315005
+7 (812) 9022617
+7 (901) 3723883
+7 (921) 3035239
+7 (921) 9022617
+7 (921) 9992272</f>
        <v>#NAME?</v>
      </c>
      <c r="F6419" s="5" t="s">
        <v>44053</v>
      </c>
      <c r="G6419" s="5" t="s">
        <v>44054</v>
      </c>
      <c r="H6419" s="26">
        <v>31.5</v>
      </c>
      <c r="I6419" s="5" t="s">
        <v>44055</v>
      </c>
      <c r="J6419" s="5" t="s">
        <v>25190</v>
      </c>
      <c r="K6419" s="5" t="s">
        <v>344</v>
      </c>
      <c r="L6419" s="5" t="s">
        <v>44056</v>
      </c>
      <c r="M6419" s="27"/>
      <c r="N6419" s="5" t="s">
        <v>58969</v>
      </c>
      <c r="O6419" s="5" t="str">
        <v>7806022588</v>
      </c>
      <c r="P6419" s="27">
        <v>60000000</v>
      </c>
      <c r="Q6419" s="5" t="s">
        <v>49059</v>
      </c>
      <c r="R6419" s="5"/>
      <c r="S6419" s="5" t="s">
        <v>49028</v>
      </c>
      <c r="T6419" s="28">
        <v>432795000</v>
      </c>
      <c r="U6419" s="28"/>
      <c r="V6419" s="28">
        <v>474519000</v>
      </c>
      <c r="W6419" s="28">
        <v>1253016000</v>
      </c>
      <c r="X6419" s="28">
        <v>21435000</v>
      </c>
      <c r="Y6419" s="28">
        <v>2426900000</v>
      </c>
      <c r="Z6419" s="28">
        <v>2126548000</v>
      </c>
      <c r="AA6419" s="28"/>
      <c r="AB6419" s="28">
        <v>114854000</v>
      </c>
      <c r="AC6419" s="28">
        <v>240343000</v>
      </c>
      <c r="AD6419" s="28">
        <v>2186557000</v>
      </c>
      <c r="AE6419" s="28">
        <v>3304181000</v>
      </c>
      <c r="AF6419" s="28">
        <v>388142000</v>
      </c>
      <c r="AG6419" s="11"/>
    </row>
    <row r="6420">
      <c r="A6420" s="7" t="s">
        <v>7989</v>
      </c>
      <c r="B6420" s="5" t="s">
        <v>15943</v>
      </c>
      <c r="C6420" s="5" t="s">
        <v>23589</v>
      </c>
      <c r="D6420" s="5" t="str">
        <v>780416530470</v>
      </c>
      <c r="E6420" s="0" t="e">
        <f>+7 (8622) 433827
+7 (938) 4193710
+7 (989) 7515950
+7 (800) 1008663
+7 (8622) 433839</f>
        <v>#NAME?</v>
      </c>
      <c r="F6420" s="5" t="s">
        <v>44057</v>
      </c>
      <c r="G6420" s="5"/>
      <c r="H6420" s="26">
        <v>8</v>
      </c>
      <c r="I6420" s="5"/>
      <c r="J6420" s="5" t="s">
        <v>42875</v>
      </c>
      <c r="K6420" s="5"/>
      <c r="L6420" s="5"/>
      <c r="M6420" s="27"/>
      <c r="N6420" s="5" t="s">
        <v>58970</v>
      </c>
      <c r="O6420" s="5" t="str">
        <v>2317075619</v>
      </c>
      <c r="P6420" s="27">
        <v>10000</v>
      </c>
      <c r="Q6420" s="5"/>
      <c r="R6420" s="5"/>
      <c r="S6420" s="5" t="s">
        <v>49496</v>
      </c>
      <c r="T6420" s="28">
        <v>86569807000</v>
      </c>
      <c r="U6420" s="28">
        <v>5030000</v>
      </c>
      <c r="V6420" s="28">
        <v>1794738000</v>
      </c>
      <c r="W6420" s="28">
        <v>23527715000</v>
      </c>
      <c r="X6420" s="28">
        <v>790647000</v>
      </c>
      <c r="Y6420" s="28">
        <v>114748520000</v>
      </c>
      <c r="Z6420" s="28"/>
      <c r="AA6420" s="28"/>
      <c r="AB6420" s="28"/>
      <c r="AC6420" s="28">
        <v>1289460000</v>
      </c>
      <c r="AD6420" s="28">
        <v>113459826000</v>
      </c>
      <c r="AE6420" s="28">
        <v>3448318000</v>
      </c>
      <c r="AF6420" s="28">
        <v>969184000</v>
      </c>
      <c r="AG6420" s="11"/>
    </row>
    <row r="6421">
      <c r="A6421" s="7" t="s">
        <v>7990</v>
      </c>
      <c r="B6421" s="5" t="s">
        <v>15944</v>
      </c>
      <c r="C6421" s="5" t="s">
        <v>23590</v>
      </c>
      <c r="D6421" s="5" t="str">
        <v>280105278200</v>
      </c>
      <c r="E6421" s="0" t="e">
        <f>+7 (416) 2350109
+7 (416) 2472140
+7 (416) 2494241
+7 (416) 2559695
+7 (962) 2859695</f>
        <v>#NAME?</v>
      </c>
      <c r="F6421" s="5" t="s">
        <v>44058</v>
      </c>
      <c r="G6421" s="5"/>
      <c r="H6421" s="26">
        <v>6.5</v>
      </c>
      <c r="I6421" s="5" t="s">
        <v>44059</v>
      </c>
      <c r="J6421" s="5" t="s">
        <v>25429</v>
      </c>
      <c r="K6421" s="5" t="s">
        <v>344</v>
      </c>
      <c r="L6421" s="5" t="s">
        <v>44060</v>
      </c>
      <c r="M6421" s="27"/>
      <c r="N6421" s="5" t="s">
        <v>58971</v>
      </c>
      <c r="O6421" s="5" t="str">
        <v>2801225360</v>
      </c>
      <c r="P6421" s="27">
        <v>10000</v>
      </c>
      <c r="Q6421" s="5" t="s">
        <v>49434</v>
      </c>
      <c r="R6421" s="5"/>
      <c r="S6421" s="5" t="s">
        <v>58972</v>
      </c>
      <c r="T6421" s="28">
        <v>3532000</v>
      </c>
      <c r="U6421" s="28"/>
      <c r="V6421" s="28">
        <v>1792742000</v>
      </c>
      <c r="W6421" s="28">
        <v>171240000</v>
      </c>
      <c r="X6421" s="28">
        <v>301709000</v>
      </c>
      <c r="Y6421" s="28">
        <v>2454274000</v>
      </c>
      <c r="Z6421" s="28">
        <v>136496000</v>
      </c>
      <c r="AA6421" s="28"/>
      <c r="AB6421" s="28">
        <v>1108144000</v>
      </c>
      <c r="AC6421" s="28">
        <v>2317768000</v>
      </c>
      <c r="AD6421" s="28">
        <v>136506000</v>
      </c>
      <c r="AE6421" s="28">
        <v>6275760000</v>
      </c>
      <c r="AF6421" s="28">
        <v>71077000</v>
      </c>
      <c r="AG6421" s="11"/>
    </row>
    <row r="6422">
      <c r="A6422" s="7" t="s">
        <v>7991</v>
      </c>
      <c r="B6422" s="5" t="s">
        <v>15945</v>
      </c>
      <c r="C6422" s="5" t="s">
        <v>23591</v>
      </c>
      <c r="D6422" s="5" t="str">
        <v>665900184160</v>
      </c>
      <c r="E6422" s="0" t="e">
        <f>+7 (922) 1828002
+7 (922) 376899
+7 (922) 4840484</f>
        <v>#NAME?</v>
      </c>
      <c r="F6422" s="5" t="s">
        <v>44061</v>
      </c>
      <c r="G6422" s="5" t="s">
        <v>44062</v>
      </c>
      <c r="H6422" s="26">
        <v>9</v>
      </c>
      <c r="I6422" s="5" t="s">
        <v>44063</v>
      </c>
      <c r="J6422" s="5" t="s">
        <v>25231</v>
      </c>
      <c r="K6422" s="5" t="s">
        <v>344</v>
      </c>
      <c r="L6422" s="5" t="s">
        <v>44064</v>
      </c>
      <c r="M6422" s="27">
        <v>100000</v>
      </c>
      <c r="N6422" s="5" t="s">
        <v>58973</v>
      </c>
      <c r="O6422" s="5" t="str">
        <v>6633021880</v>
      </c>
      <c r="P6422" s="27">
        <v>40000</v>
      </c>
      <c r="Q6422" s="5" t="s">
        <v>58974</v>
      </c>
      <c r="R6422" s="5" t="s">
        <v>58975</v>
      </c>
      <c r="S6422" s="5" t="s">
        <v>58976</v>
      </c>
      <c r="T6422" s="28">
        <v>1019699000</v>
      </c>
      <c r="U6422" s="28"/>
      <c r="V6422" s="28">
        <v>573975000</v>
      </c>
      <c r="W6422" s="28">
        <v>713205000</v>
      </c>
      <c r="X6422" s="28">
        <v>5313000</v>
      </c>
      <c r="Y6422" s="28">
        <v>2468207000</v>
      </c>
      <c r="Z6422" s="28">
        <v>1274283000</v>
      </c>
      <c r="AA6422" s="28">
        <v>113045000</v>
      </c>
      <c r="AB6422" s="28">
        <v>650651000</v>
      </c>
      <c r="AC6422" s="28">
        <v>1080412000</v>
      </c>
      <c r="AD6422" s="28">
        <v>1274323000</v>
      </c>
      <c r="AE6422" s="28">
        <v>4589842000</v>
      </c>
      <c r="AF6422" s="28">
        <v>446342000</v>
      </c>
      <c r="AG6422" s="11"/>
    </row>
    <row r="6423">
      <c r="A6423" s="7" t="s">
        <v>7992</v>
      </c>
      <c r="B6423" s="5" t="s">
        <v>15946</v>
      </c>
      <c r="C6423" s="5" t="s">
        <v>23116</v>
      </c>
      <c r="D6423" s="5" t="str">
        <v>780529463271</v>
      </c>
      <c r="E6423" s="0" t="e">
        <f>+7 (925) 4183950
+7 (499) 2720916
+7 (499) 7500660</f>
        <v>#NAME?</v>
      </c>
      <c r="F6423" s="5" t="s">
        <v>44065</v>
      </c>
      <c r="G6423" s="5" t="s">
        <v>44066</v>
      </c>
      <c r="H6423" s="26">
        <v>9</v>
      </c>
      <c r="I6423" s="5" t="s">
        <v>40497</v>
      </c>
      <c r="J6423" s="5" t="s">
        <v>1026</v>
      </c>
      <c r="K6423" s="5" t="s">
        <v>344</v>
      </c>
      <c r="L6423" s="5"/>
      <c r="M6423" s="27"/>
      <c r="N6423" s="5" t="s">
        <v>58977</v>
      </c>
      <c r="O6423" s="5" t="str">
        <v>7715990824</v>
      </c>
      <c r="P6423" s="27">
        <v>1000000</v>
      </c>
      <c r="Q6423" s="5" t="s">
        <v>58978</v>
      </c>
      <c r="R6423" s="5"/>
      <c r="S6423" s="5" t="s">
        <v>58979</v>
      </c>
      <c r="T6423" s="28">
        <v>112685000</v>
      </c>
      <c r="U6423" s="28"/>
      <c r="V6423" s="28">
        <v>1696183000</v>
      </c>
      <c r="W6423" s="28">
        <v>82533000</v>
      </c>
      <c r="X6423" s="28">
        <v>684934000</v>
      </c>
      <c r="Y6423" s="28">
        <v>2973738000</v>
      </c>
      <c r="Z6423" s="28">
        <v>-376696000</v>
      </c>
      <c r="AA6423" s="28"/>
      <c r="AB6423" s="28">
        <v>1178575000</v>
      </c>
      <c r="AC6423" s="28">
        <v>3154889000</v>
      </c>
      <c r="AD6423" s="28">
        <v>-277696000</v>
      </c>
      <c r="AE6423" s="28">
        <v>6272996000</v>
      </c>
      <c r="AF6423" s="28">
        <v>-713884000</v>
      </c>
      <c r="AG6423" s="11"/>
    </row>
    <row r="6424">
      <c r="A6424" s="7" t="s">
        <v>7993</v>
      </c>
      <c r="B6424" s="5" t="s">
        <v>15947</v>
      </c>
      <c r="C6424" s="5" t="s">
        <v>23592</v>
      </c>
      <c r="D6424" s="5" t="str">
        <v>861005110320</v>
      </c>
      <c r="E6424" s="0" t="e">
        <f>+7 (34672) 20729
+7 (34672) 51572
+7 (34672) 51695</f>
        <v>#NAME?</v>
      </c>
      <c r="F6424" s="5" t="s">
        <v>44067</v>
      </c>
      <c r="G6424" s="5" t="s">
        <v>44068</v>
      </c>
      <c r="H6424" s="26">
        <v>24</v>
      </c>
      <c r="I6424" s="5" t="s">
        <v>44069</v>
      </c>
      <c r="J6424" s="5" t="s">
        <v>467</v>
      </c>
      <c r="K6424" s="5" t="s">
        <v>344</v>
      </c>
      <c r="L6424" s="5" t="s">
        <v>44070</v>
      </c>
      <c r="M6424" s="27"/>
      <c r="N6424" s="5"/>
      <c r="O6424" s="5" t="str">
        <v>8614005076</v>
      </c>
      <c r="P6424" s="27">
        <v>10000</v>
      </c>
      <c r="Q6424" s="5"/>
      <c r="R6424" s="5"/>
      <c r="S6424" s="5" t="s">
        <v>49110</v>
      </c>
      <c r="T6424" s="28">
        <v>2929384000</v>
      </c>
      <c r="U6424" s="28"/>
      <c r="V6424" s="28">
        <v>1428949000</v>
      </c>
      <c r="W6424" s="28"/>
      <c r="X6424" s="28">
        <v>506327000</v>
      </c>
      <c r="Y6424" s="28">
        <v>6152124000</v>
      </c>
      <c r="Z6424" s="28">
        <v>4155450000</v>
      </c>
      <c r="AA6424" s="28">
        <v>186692000</v>
      </c>
      <c r="AB6424" s="28">
        <v>8715000</v>
      </c>
      <c r="AC6424" s="28">
        <v>1736585000</v>
      </c>
      <c r="AD6424" s="28">
        <v>4155460000</v>
      </c>
      <c r="AE6424" s="28">
        <v>6829156000</v>
      </c>
      <c r="AF6424" s="28">
        <v>1619726000</v>
      </c>
      <c r="AG6424" s="11"/>
    </row>
    <row r="6425">
      <c r="A6425" s="7" t="s">
        <v>7994</v>
      </c>
      <c r="B6425" s="5" t="s">
        <v>15948</v>
      </c>
      <c r="C6425" s="5" t="s">
        <v>23593</v>
      </c>
      <c r="D6425" s="5" t="str">
        <v>222401583658</v>
      </c>
      <c r="E6425" s="0" t="e">
        <f>+7 (495) 9537444
+7 (384) 6671357
+7 (3846) 671181
+7 (385) 2386645</f>
        <v>#NAME?</v>
      </c>
      <c r="F6425" s="5" t="s">
        <v>44071</v>
      </c>
      <c r="G6425" s="5" t="s">
        <v>44072</v>
      </c>
      <c r="H6425" s="26">
        <v>11</v>
      </c>
      <c r="I6425" s="5"/>
      <c r="J6425" s="5" t="s">
        <v>28484</v>
      </c>
      <c r="K6425" s="5" t="s">
        <v>344</v>
      </c>
      <c r="L6425" s="5" t="s">
        <v>44073</v>
      </c>
      <c r="M6425" s="27"/>
      <c r="N6425" s="5"/>
      <c r="O6425" s="5" t="str">
        <v>4223055709</v>
      </c>
      <c r="P6425" s="27">
        <v>1165000000</v>
      </c>
      <c r="Q6425" s="5"/>
      <c r="R6425" s="5"/>
      <c r="S6425" s="5" t="s">
        <v>50404</v>
      </c>
      <c r="T6425" s="28">
        <v>4429539000</v>
      </c>
      <c r="U6425" s="28">
        <v>7468123000</v>
      </c>
      <c r="V6425" s="28">
        <v>13767588000</v>
      </c>
      <c r="W6425" s="28">
        <v>2453005000</v>
      </c>
      <c r="X6425" s="28">
        <v>988473000</v>
      </c>
      <c r="Y6425" s="28">
        <v>41861670000</v>
      </c>
      <c r="Z6425" s="28">
        <v>17401153000</v>
      </c>
      <c r="AA6425" s="28">
        <v>4452181000</v>
      </c>
      <c r="AB6425" s="28"/>
      <c r="AC6425" s="28">
        <v>4269962000</v>
      </c>
      <c r="AD6425" s="28">
        <v>19379193000</v>
      </c>
      <c r="AE6425" s="28">
        <v>60165773000</v>
      </c>
      <c r="AF6425" s="28">
        <v>7109849000</v>
      </c>
      <c r="AG6425" s="11"/>
    </row>
    <row r="6426">
      <c r="A6426" s="7" t="s">
        <v>7995</v>
      </c>
      <c r="B6426" s="5" t="s">
        <v>15949</v>
      </c>
      <c r="C6426" s="5" t="s">
        <v>23594</v>
      </c>
      <c r="D6426" s="5" t="str">
        <v>482104982090</v>
      </c>
      <c r="E6426" s="0" t="e">
        <f>+7 (475) 2724605
+7 (475) 2428295
+7 (475) 2485085
+7 (475) 2724402
+7 (475) 2729993
+7 (47548) 71120
+7 (960) 6610316</f>
        <v>#NAME?</v>
      </c>
      <c r="F6426" s="5" t="s">
        <v>44074</v>
      </c>
      <c r="G6426" s="5"/>
      <c r="H6426" s="26">
        <v>11.5</v>
      </c>
      <c r="I6426" s="5" t="s">
        <v>44075</v>
      </c>
      <c r="J6426" s="5" t="s">
        <v>25450</v>
      </c>
      <c r="K6426" s="5" t="s">
        <v>344</v>
      </c>
      <c r="L6426" s="5"/>
      <c r="M6426" s="27"/>
      <c r="N6426" s="5"/>
      <c r="O6426" s="5" t="str">
        <v>6829076796</v>
      </c>
      <c r="P6426" s="27">
        <v>6799766097</v>
      </c>
      <c r="Q6426" s="5" t="s">
        <v>49059</v>
      </c>
      <c r="R6426" s="5"/>
      <c r="S6426" s="5" t="s">
        <v>49029</v>
      </c>
      <c r="T6426" s="28">
        <v>10927907000</v>
      </c>
      <c r="U6426" s="28"/>
      <c r="V6426" s="28">
        <v>3671178000</v>
      </c>
      <c r="W6426" s="28"/>
      <c r="X6426" s="28">
        <v>804000</v>
      </c>
      <c r="Y6426" s="28">
        <v>17427425000</v>
      </c>
      <c r="Z6426" s="28">
        <v>-583813000</v>
      </c>
      <c r="AA6426" s="28">
        <v>5117521000</v>
      </c>
      <c r="AB6426" s="28">
        <v>2384022000</v>
      </c>
      <c r="AC6426" s="28">
        <v>4353458000</v>
      </c>
      <c r="AD6426" s="28">
        <v>7755953000</v>
      </c>
      <c r="AE6426" s="28">
        <v>14044400000</v>
      </c>
      <c r="AF6426" s="28">
        <v>1040430000</v>
      </c>
      <c r="AG6426" s="11"/>
    </row>
    <row r="6427">
      <c r="A6427" s="7" t="s">
        <v>7996</v>
      </c>
      <c r="B6427" s="5" t="s">
        <v>15950</v>
      </c>
      <c r="C6427" s="5" t="s">
        <v>23595</v>
      </c>
      <c r="D6427" s="5" t="str">
        <v>682802890253</v>
      </c>
      <c r="E6427" s="0" t="e">
        <f>+7 (47233) 21586
+7 (475) 2313430
+7 (475) 2556688
+7 (475) 2702404
+7 (475) 2723430
+7 (475) 2474687
+7 (475) 2559955
+7 (475) 2559988
+7 (475) 2713440
+7 (475) 2723688
+7 (475) 2723809
+7 (475) 2723907
+7 (475) 2724067
+7 (475) 2724068
+7 (475) 2724366</f>
        <v>#NAME?</v>
      </c>
      <c r="F6427" s="5" t="s">
        <v>44076</v>
      </c>
      <c r="G6427" s="5" t="s">
        <v>44077</v>
      </c>
      <c r="H6427" s="26">
        <v>18</v>
      </c>
      <c r="I6427" s="5"/>
      <c r="J6427" s="5" t="s">
        <v>26623</v>
      </c>
      <c r="K6427" s="5" t="s">
        <v>344</v>
      </c>
      <c r="L6427" s="5"/>
      <c r="M6427" s="27">
        <v>2209469</v>
      </c>
      <c r="N6427" s="5" t="s">
        <v>58981</v>
      </c>
      <c r="O6427" s="5" t="str">
        <v>6829010210</v>
      </c>
      <c r="P6427" s="27">
        <v>34878966</v>
      </c>
      <c r="Q6427" s="5" t="s">
        <v>58982</v>
      </c>
      <c r="R6427" s="5"/>
      <c r="S6427" s="5" t="s">
        <v>49747</v>
      </c>
      <c r="T6427" s="28">
        <v>228410000</v>
      </c>
      <c r="U6427" s="28"/>
      <c r="V6427" s="28">
        <v>518563000</v>
      </c>
      <c r="W6427" s="28"/>
      <c r="X6427" s="28">
        <v>803396000</v>
      </c>
      <c r="Y6427" s="28">
        <v>1661806000</v>
      </c>
      <c r="Z6427" s="28">
        <v>794104000</v>
      </c>
      <c r="AA6427" s="28">
        <v>2788000</v>
      </c>
      <c r="AB6427" s="28">
        <v>98000</v>
      </c>
      <c r="AC6427" s="28">
        <v>794394000</v>
      </c>
      <c r="AD6427" s="28">
        <v>846427000</v>
      </c>
      <c r="AE6427" s="28">
        <v>6959374000</v>
      </c>
      <c r="AF6427" s="28">
        <v>261031000</v>
      </c>
      <c r="AG6427" s="11"/>
    </row>
    <row r="6428">
      <c r="A6428" s="7" t="s">
        <v>7997</v>
      </c>
      <c r="B6428" s="5" t="s">
        <v>15951</v>
      </c>
      <c r="C6428" s="5" t="s">
        <v>23596</v>
      </c>
      <c r="D6428" s="5" t="str">
        <v>420518831456</v>
      </c>
      <c r="E6428" s="0" t="e">
        <f>+7 (475) 2550055
+7 (475) 2700112
+7 (800) 7077202
+7 (910) 8505938</f>
        <v>#NAME?</v>
      </c>
      <c r="F6428" s="5" t="s">
        <v>44078</v>
      </c>
      <c r="G6428" s="5" t="s">
        <v>44079</v>
      </c>
      <c r="H6428" s="26">
        <v>12.5</v>
      </c>
      <c r="I6428" s="5" t="s">
        <v>44080</v>
      </c>
      <c r="J6428" s="5" t="s">
        <v>25371</v>
      </c>
      <c r="K6428" s="5" t="s">
        <v>355</v>
      </c>
      <c r="L6428" s="5" t="s">
        <v>44081</v>
      </c>
      <c r="M6428" s="27">
        <v>12556845</v>
      </c>
      <c r="N6428" s="5"/>
      <c r="O6428" s="5" t="str">
        <v>6803629911</v>
      </c>
      <c r="P6428" s="27">
        <v>16511020000</v>
      </c>
      <c r="Q6428" s="5" t="s">
        <v>58984</v>
      </c>
      <c r="R6428" s="5"/>
      <c r="S6428" s="5" t="s">
        <v>49961</v>
      </c>
      <c r="T6428" s="28">
        <v>27289626000</v>
      </c>
      <c r="U6428" s="28"/>
      <c r="V6428" s="28">
        <v>2236935000</v>
      </c>
      <c r="W6428" s="28">
        <v>6868764000</v>
      </c>
      <c r="X6428" s="28">
        <v>30395000</v>
      </c>
      <c r="Y6428" s="28">
        <v>49523228000</v>
      </c>
      <c r="Z6428" s="28">
        <v>-1806579000</v>
      </c>
      <c r="AA6428" s="28">
        <v>4388717000</v>
      </c>
      <c r="AB6428" s="28">
        <v>16621043000</v>
      </c>
      <c r="AC6428" s="28">
        <v>21205915000</v>
      </c>
      <c r="AD6428" s="28">
        <v>20121475000</v>
      </c>
      <c r="AE6428" s="28">
        <v>38932739000</v>
      </c>
      <c r="AF6428" s="28">
        <v>-2374177000</v>
      </c>
      <c r="AG6428" s="11"/>
    </row>
    <row r="6429">
      <c r="A6429" s="7" t="s">
        <v>7998</v>
      </c>
      <c r="B6429" s="5" t="s">
        <v>15952</v>
      </c>
      <c r="C6429" s="5" t="s">
        <v>23597</v>
      </c>
      <c r="D6429" s="5" t="str">
        <v>230308243498</v>
      </c>
      <c r="F6429" s="5"/>
      <c r="G6429" s="5"/>
      <c r="H6429" s="26">
        <v>3</v>
      </c>
      <c r="I6429" s="5" t="s">
        <v>44082</v>
      </c>
      <c r="J6429" s="5" t="s">
        <v>25450</v>
      </c>
      <c r="K6429" s="5" t="s">
        <v>355</v>
      </c>
      <c r="L6429" s="5"/>
      <c r="M6429" s="27"/>
      <c r="N6429" s="5"/>
      <c r="O6429" s="5" t="str">
        <v>6821000393</v>
      </c>
      <c r="P6429" s="27">
        <v>476100000</v>
      </c>
      <c r="Q6429" s="5" t="s">
        <v>58985</v>
      </c>
      <c r="R6429" s="5"/>
      <c r="S6429" s="5" t="s">
        <v>49053</v>
      </c>
      <c r="T6429" s="28">
        <v>1993678000</v>
      </c>
      <c r="U6429" s="28">
        <v>109741000</v>
      </c>
      <c r="V6429" s="28">
        <v>3138869000</v>
      </c>
      <c r="W6429" s="28"/>
      <c r="X6429" s="28">
        <v>574000</v>
      </c>
      <c r="Y6429" s="28">
        <v>5356295000</v>
      </c>
      <c r="Z6429" s="28">
        <v>289938000</v>
      </c>
      <c r="AA6429" s="28">
        <v>1721003000</v>
      </c>
      <c r="AB6429" s="28">
        <v>1418518000</v>
      </c>
      <c r="AC6429" s="28">
        <v>2865570000</v>
      </c>
      <c r="AD6429" s="28">
        <v>767049000</v>
      </c>
      <c r="AE6429" s="28">
        <v>3911066000</v>
      </c>
      <c r="AF6429" s="28">
        <v>117696000</v>
      </c>
      <c r="AG6429" s="11"/>
    </row>
    <row r="6430">
      <c r="A6430" s="7" t="s">
        <v>7999</v>
      </c>
      <c r="B6430" s="5" t="s">
        <v>15953</v>
      </c>
      <c r="C6430" s="5" t="s">
        <v>23598</v>
      </c>
      <c r="D6430" s="5" t="str">
        <v>323202952432</v>
      </c>
      <c r="E6430" s="0" t="e">
        <f>+7 (844) 2319586
+7 (844) 2319630
+7 (844) 2319631
+7 (844) 2319650
+7 (844) 2613231
+7 (937) 5317427</f>
        <v>#NAME?</v>
      </c>
      <c r="F6430" s="5" t="s">
        <v>44083</v>
      </c>
      <c r="G6430" s="5" t="s">
        <v>44084</v>
      </c>
      <c r="H6430" s="26">
        <v>23.5</v>
      </c>
      <c r="I6430" s="5" t="s">
        <v>44085</v>
      </c>
      <c r="J6430" s="5" t="s">
        <v>26997</v>
      </c>
      <c r="K6430" s="5" t="s">
        <v>355</v>
      </c>
      <c r="L6430" s="5" t="s">
        <v>44086</v>
      </c>
      <c r="M6430" s="27">
        <v>2607549</v>
      </c>
      <c r="N6430" s="5"/>
      <c r="O6430" s="5" t="str">
        <v>3442050010</v>
      </c>
      <c r="P6430" s="27">
        <v>11000000</v>
      </c>
      <c r="Q6430" s="5" t="s">
        <v>49324</v>
      </c>
      <c r="R6430" s="5"/>
      <c r="S6430" s="5" t="s">
        <v>58986</v>
      </c>
      <c r="T6430" s="28">
        <v>5949079000</v>
      </c>
      <c r="U6430" s="28">
        <v>749347000</v>
      </c>
      <c r="V6430" s="28">
        <v>177041000</v>
      </c>
      <c r="W6430" s="28">
        <v>150000000</v>
      </c>
      <c r="X6430" s="28">
        <v>283483000</v>
      </c>
      <c r="Y6430" s="28">
        <v>10997356000</v>
      </c>
      <c r="Z6430" s="28">
        <v>2292173000</v>
      </c>
      <c r="AA6430" s="28"/>
      <c r="AB6430" s="28">
        <v>2475252000</v>
      </c>
      <c r="AC6430" s="28">
        <v>6123681000</v>
      </c>
      <c r="AD6430" s="28">
        <v>2303173000</v>
      </c>
      <c r="AE6430" s="28">
        <v>26872725000</v>
      </c>
      <c r="AF6430" s="28">
        <v>234108000</v>
      </c>
      <c r="AG6430" s="11"/>
    </row>
    <row r="6431">
      <c r="A6431" s="7" t="s">
        <v>8000</v>
      </c>
      <c r="B6431" s="5" t="s">
        <v>15954</v>
      </c>
      <c r="C6431" s="5" t="s">
        <v>23599</v>
      </c>
      <c r="D6431" s="5" t="str">
        <v>391504727201</v>
      </c>
      <c r="E6431" s="0" t="e">
        <f>+7 (495) 7440300
+7 (495) 7999300
+7 (495) 7999422
+7 (800) 3335775</f>
        <v>#NAME?</v>
      </c>
      <c r="F6431" s="5" t="s">
        <v>44087</v>
      </c>
      <c r="G6431" s="5"/>
      <c r="H6431" s="26">
        <v>20</v>
      </c>
      <c r="I6431" s="5" t="s">
        <v>44088</v>
      </c>
      <c r="J6431" s="5" t="s">
        <v>25195</v>
      </c>
      <c r="K6431" s="5" t="s">
        <v>344</v>
      </c>
      <c r="L6431" s="5"/>
      <c r="M6431" s="27"/>
      <c r="N6431" s="5" t="s">
        <v>58987</v>
      </c>
      <c r="O6431" s="5" t="str">
        <v>7727245824</v>
      </c>
      <c r="P6431" s="27">
        <v>1000000</v>
      </c>
      <c r="Q6431" s="5" t="s">
        <v>49009</v>
      </c>
      <c r="R6431" s="5"/>
      <c r="S6431" s="5" t="s">
        <v>58989</v>
      </c>
      <c r="T6431" s="28">
        <v>7344704000</v>
      </c>
      <c r="U6431" s="28">
        <v>71500000</v>
      </c>
      <c r="V6431" s="28">
        <v>1017967000</v>
      </c>
      <c r="W6431" s="28"/>
      <c r="X6431" s="28">
        <v>538336000</v>
      </c>
      <c r="Y6431" s="28">
        <v>16426802000</v>
      </c>
      <c r="Z6431" s="28">
        <v>3309238000</v>
      </c>
      <c r="AA6431" s="28">
        <v>1916409000</v>
      </c>
      <c r="AB6431" s="28">
        <v>2504844000</v>
      </c>
      <c r="AC6431" s="28">
        <v>5009847000</v>
      </c>
      <c r="AD6431" s="28">
        <v>3339056000</v>
      </c>
      <c r="AE6431" s="28">
        <v>12438821000</v>
      </c>
      <c r="AF6431" s="28">
        <v>1519909000</v>
      </c>
      <c r="AG6431" s="11"/>
    </row>
    <row r="6432">
      <c r="A6432" s="7" t="s">
        <v>8001</v>
      </c>
      <c r="B6432" s="5" t="s">
        <v>15955</v>
      </c>
      <c r="C6432" s="5" t="s">
        <v>23600</v>
      </c>
      <c r="D6432" s="5" t="str">
        <v>381201020865</v>
      </c>
      <c r="E6432" s="0" t="e">
        <f>+7 (491) 2242337
+7 (4912) 241728
+7 (4912) 241730
+7 (4912) 241741
+7 (4912) 241742
+7 (4912) 602498
+7 (4912) 950184
+7 (4912) 950185
+7 (4912) 950624
+7 (4912) 950625</f>
        <v>#NAME?</v>
      </c>
      <c r="F6432" s="5" t="s">
        <v>44089</v>
      </c>
      <c r="G6432" s="5" t="s">
        <v>44090</v>
      </c>
      <c r="H6432" s="26">
        <v>19</v>
      </c>
      <c r="I6432" s="5" t="s">
        <v>44091</v>
      </c>
      <c r="J6432" s="5" t="s">
        <v>44092</v>
      </c>
      <c r="K6432" s="5" t="s">
        <v>380</v>
      </c>
      <c r="L6432" s="5"/>
      <c r="M6432" s="27">
        <v>93908</v>
      </c>
      <c r="N6432" s="5"/>
      <c r="O6432" s="5" t="str">
        <v>2313019123</v>
      </c>
      <c r="P6432" s="27">
        <v>381000000</v>
      </c>
      <c r="Q6432" s="5" t="s">
        <v>49009</v>
      </c>
      <c r="R6432" s="5"/>
      <c r="S6432" s="5" t="s">
        <v>49066</v>
      </c>
      <c r="T6432" s="28">
        <v>1091519000</v>
      </c>
      <c r="U6432" s="28"/>
      <c r="V6432" s="28">
        <v>300801000</v>
      </c>
      <c r="W6432" s="28"/>
      <c r="X6432" s="28">
        <v>165170000</v>
      </c>
      <c r="Y6432" s="28">
        <v>2527111000</v>
      </c>
      <c r="Z6432" s="28">
        <v>-124683000</v>
      </c>
      <c r="AA6432" s="28">
        <v>697145000</v>
      </c>
      <c r="AB6432" s="28">
        <v>502586000</v>
      </c>
      <c r="AC6432" s="28">
        <v>1021028000</v>
      </c>
      <c r="AD6432" s="28">
        <v>748542000</v>
      </c>
      <c r="AE6432" s="28">
        <v>3095234000</v>
      </c>
      <c r="AF6432" s="28">
        <v>-89272000</v>
      </c>
      <c r="AG6432" s="11"/>
    </row>
    <row r="6433">
      <c r="A6433" s="7" t="s">
        <v>8002</v>
      </c>
      <c r="B6433" s="5" t="s">
        <v>15956</v>
      </c>
      <c r="C6433" s="5" t="s">
        <v>23601</v>
      </c>
      <c r="D6433" s="5"/>
      <c r="E6433" s="0" t="e">
        <f>+7 (3412) 322956
+7 (3412) 322973
+7 (3412) 572120
+7 (3412) 941631
+7 (34141) 66562
+7 (34141) 66564
+7 (34147) 52024
+7 (34147) 52025
+7 (343) 2058225
+7 (34397) 38089
+7 (3466) 674226
+7 (3472) 222440
+7 (3473) 439449
+7 (34782) 57507
+7 (34782) 75026</f>
        <v>#NAME?</v>
      </c>
      <c r="F6433" s="5" t="s">
        <v>44093</v>
      </c>
      <c r="G6433" s="5" t="s">
        <v>44094</v>
      </c>
      <c r="H6433" s="26">
        <v>26.5</v>
      </c>
      <c r="I6433" s="5" t="s">
        <v>44095</v>
      </c>
      <c r="J6433" s="5" t="s">
        <v>25219</v>
      </c>
      <c r="K6433" s="5" t="s">
        <v>344</v>
      </c>
      <c r="L6433" s="5" t="s">
        <v>44096</v>
      </c>
      <c r="M6433" s="27">
        <v>879758261</v>
      </c>
      <c r="N6433" s="5" t="s">
        <v>58990</v>
      </c>
      <c r="O6433" s="5" t="str">
        <v>2310031475</v>
      </c>
      <c r="P6433" s="27">
        <v>100000000</v>
      </c>
      <c r="Q6433" s="5" t="s">
        <v>58991</v>
      </c>
      <c r="R6433" s="5" t="s">
        <v>58992</v>
      </c>
      <c r="S6433" s="5" t="s">
        <v>58993</v>
      </c>
      <c r="T6433" s="28">
        <v>534419464000</v>
      </c>
      <c r="U6433" s="28">
        <v>173430195000</v>
      </c>
      <c r="V6433" s="28">
        <v>31572301000</v>
      </c>
      <c r="W6433" s="28">
        <v>17402615000</v>
      </c>
      <c r="X6433" s="28">
        <v>230696899000</v>
      </c>
      <c r="Y6433" s="28">
        <v>1237623234000</v>
      </c>
      <c r="Z6433" s="28">
        <v>96208523000</v>
      </c>
      <c r="AA6433" s="28">
        <v>246722959000</v>
      </c>
      <c r="AB6433" s="28">
        <v>161642136000</v>
      </c>
      <c r="AC6433" s="28">
        <v>489205210000</v>
      </c>
      <c r="AD6433" s="28">
        <v>206547812000</v>
      </c>
      <c r="AE6433" s="28">
        <v>2081003922000</v>
      </c>
      <c r="AF6433" s="28">
        <v>39245627000</v>
      </c>
      <c r="AG6433" s="11"/>
    </row>
    <row r="6434">
      <c r="A6434" s="7" t="s">
        <v>8003</v>
      </c>
      <c r="B6434" s="5" t="s">
        <v>13656</v>
      </c>
      <c r="C6434" s="5" t="s">
        <v>23602</v>
      </c>
      <c r="D6434" s="5" t="str">
        <v>165108473203</v>
      </c>
      <c r="E6434" s="0" t="e">
        <f>+7 (855) 5490201
+7 (8555) 426671
+7 (8555) 490200
+7 (8555) 490202
+7 (8555) 490203</f>
        <v>#NAME?</v>
      </c>
      <c r="F6434" s="5" t="s">
        <v>44097</v>
      </c>
      <c r="G6434" s="5" t="s">
        <v>44098</v>
      </c>
      <c r="H6434" s="26">
        <v>17.5</v>
      </c>
      <c r="I6434" s="5" t="s">
        <v>44099</v>
      </c>
      <c r="J6434" s="5" t="s">
        <v>555</v>
      </c>
      <c r="K6434" s="5" t="s">
        <v>355</v>
      </c>
      <c r="L6434" s="5" t="s">
        <v>44100</v>
      </c>
      <c r="M6434" s="27">
        <v>2847491745</v>
      </c>
      <c r="N6434" s="5" t="s">
        <v>58994</v>
      </c>
      <c r="O6434" s="5" t="str">
        <v>1651044095</v>
      </c>
      <c r="P6434" s="27">
        <v>20500000</v>
      </c>
      <c r="Q6434" s="5" t="s">
        <v>58995</v>
      </c>
      <c r="R6434" s="5"/>
      <c r="S6434" s="5" t="s">
        <v>50773</v>
      </c>
      <c r="T6434" s="28">
        <v>408732381000</v>
      </c>
      <c r="U6434" s="28">
        <v>4170000</v>
      </c>
      <c r="V6434" s="28">
        <v>18074372000</v>
      </c>
      <c r="W6434" s="28"/>
      <c r="X6434" s="28">
        <v>59503000</v>
      </c>
      <c r="Y6434" s="28">
        <v>445376280000</v>
      </c>
      <c r="Z6434" s="28">
        <v>125386778000</v>
      </c>
      <c r="AA6434" s="28"/>
      <c r="AB6434" s="28">
        <v>236411569000</v>
      </c>
      <c r="AC6434" s="28">
        <v>283934477000</v>
      </c>
      <c r="AD6434" s="28">
        <v>125467669000</v>
      </c>
      <c r="AE6434" s="28">
        <v>100047038000</v>
      </c>
      <c r="AF6434" s="28">
        <v>37140650000</v>
      </c>
      <c r="AG6434" s="11"/>
    </row>
    <row r="6435">
      <c r="A6435" s="7" t="s">
        <v>8004</v>
      </c>
      <c r="B6435" s="5" t="s">
        <v>15957</v>
      </c>
      <c r="C6435" s="5" t="s">
        <v>23603</v>
      </c>
      <c r="D6435" s="5" t="str">
        <v>780155952309</v>
      </c>
      <c r="E6435" s="0" t="e">
        <f>+7 (343) 2359605
+7 (812) 3123456
+7 (921) 7406836
+7 (926) 5433353
+7 (931) 3589064
+7 (495) 5102740
+7 (812) 5674824
+7 (812) 7777756
+7 (903) 5840578</f>
        <v>#NAME?</v>
      </c>
      <c r="F6435" s="5" t="s">
        <v>44101</v>
      </c>
      <c r="G6435" s="5"/>
      <c r="H6435" s="26">
        <v>15.5</v>
      </c>
      <c r="I6435" s="5" t="s">
        <v>44102</v>
      </c>
      <c r="J6435" s="5" t="s">
        <v>678</v>
      </c>
      <c r="K6435" s="5" t="s">
        <v>344</v>
      </c>
      <c r="L6435" s="5" t="s">
        <v>44103</v>
      </c>
      <c r="M6435" s="27">
        <v>650499</v>
      </c>
      <c r="N6435" s="5" t="s">
        <v>58996</v>
      </c>
      <c r="O6435" s="5" t="str">
        <v>7817311045</v>
      </c>
      <c r="P6435" s="27">
        <v>625000</v>
      </c>
      <c r="Q6435" s="5" t="s">
        <v>49579</v>
      </c>
      <c r="R6435" s="5"/>
      <c r="S6435" s="5" t="s">
        <v>58997</v>
      </c>
      <c r="T6435" s="28">
        <v>251689000</v>
      </c>
      <c r="U6435" s="28"/>
      <c r="V6435" s="28">
        <v>196844000</v>
      </c>
      <c r="W6435" s="28">
        <v>135550000</v>
      </c>
      <c r="X6435" s="28">
        <v>38903000</v>
      </c>
      <c r="Y6435" s="28">
        <v>1215017000</v>
      </c>
      <c r="Z6435" s="28">
        <v>367466000</v>
      </c>
      <c r="AA6435" s="28"/>
      <c r="AB6435" s="28"/>
      <c r="AC6435" s="28">
        <v>637664000</v>
      </c>
      <c r="AD6435" s="28">
        <v>368091000</v>
      </c>
      <c r="AE6435" s="28">
        <v>3394140000</v>
      </c>
      <c r="AF6435" s="28">
        <v>102152000</v>
      </c>
      <c r="AG6435" s="11"/>
    </row>
    <row r="6436">
      <c r="A6436" s="7" t="s">
        <v>8005</v>
      </c>
      <c r="B6436" s="5" t="s">
        <v>15958</v>
      </c>
      <c r="C6436" s="5" t="s">
        <v>23604</v>
      </c>
      <c r="D6436" s="5" t="str">
        <v>550706127607</v>
      </c>
      <c r="E6436" s="0" t="e">
        <f>+7 (495) 2520030
+7 (495) 1234779</f>
        <v>#NAME?</v>
      </c>
      <c r="F6436" s="5"/>
      <c r="G6436" s="5"/>
      <c r="H6436" s="26">
        <v>6.5</v>
      </c>
      <c r="I6436" s="5" t="s">
        <v>44104</v>
      </c>
      <c r="J6436" s="5" t="s">
        <v>25612</v>
      </c>
      <c r="K6436" s="5" t="s">
        <v>344</v>
      </c>
      <c r="L6436" s="5" t="s">
        <v>44105</v>
      </c>
      <c r="M6436" s="27"/>
      <c r="N6436" s="5"/>
      <c r="O6436" s="5" t="str">
        <v>7708300283</v>
      </c>
      <c r="P6436" s="27">
        <v>10000000</v>
      </c>
      <c r="Q6436" s="5" t="s">
        <v>49021</v>
      </c>
      <c r="R6436" s="5"/>
      <c r="S6436" s="5" t="s">
        <v>58998</v>
      </c>
      <c r="T6436" s="28">
        <v>49009000</v>
      </c>
      <c r="U6436" s="28"/>
      <c r="V6436" s="28">
        <v>2062014000</v>
      </c>
      <c r="W6436" s="28"/>
      <c r="X6436" s="28">
        <v>332867000</v>
      </c>
      <c r="Y6436" s="28">
        <v>2782855000</v>
      </c>
      <c r="Z6436" s="28">
        <v>764846000</v>
      </c>
      <c r="AA6436" s="28"/>
      <c r="AB6436" s="28">
        <v>516950000</v>
      </c>
      <c r="AC6436" s="28">
        <v>1951996000</v>
      </c>
      <c r="AD6436" s="28">
        <v>774846000</v>
      </c>
      <c r="AE6436" s="28">
        <v>10752919000</v>
      </c>
      <c r="AF6436" s="28">
        <v>1552703000</v>
      </c>
      <c r="AG6436" s="11"/>
    </row>
    <row r="6437">
      <c r="A6437" s="7" t="s">
        <v>8006</v>
      </c>
      <c r="B6437" s="5" t="s">
        <v>15959</v>
      </c>
      <c r="C6437" s="5" t="s">
        <v>23605</v>
      </c>
      <c r="D6437" s="5" t="str">
        <v>753004559406</v>
      </c>
      <c r="E6437" s="0" t="e">
        <f>+7 (499) 6747853
+7 (913) 3490747
+7 (394) 2224404
+7 (394) 2266501
+7 (495) 6602220</f>
        <v>#NAME?</v>
      </c>
      <c r="F6437" s="5" t="s">
        <v>44106</v>
      </c>
      <c r="G6437" s="5" t="s">
        <v>44107</v>
      </c>
      <c r="H6437" s="26">
        <v>19</v>
      </c>
      <c r="I6437" s="5" t="s">
        <v>44108</v>
      </c>
      <c r="J6437" s="5" t="s">
        <v>26499</v>
      </c>
      <c r="K6437" s="5" t="s">
        <v>344</v>
      </c>
      <c r="L6437" s="5" t="s">
        <v>44109</v>
      </c>
      <c r="M6437" s="27"/>
      <c r="N6437" s="5"/>
      <c r="O6437" s="5" t="str">
        <v>1704003105</v>
      </c>
      <c r="P6437" s="27">
        <v>2781000</v>
      </c>
      <c r="Q6437" s="5" t="s">
        <v>49207</v>
      </c>
      <c r="R6437" s="5"/>
      <c r="S6437" s="5" t="s">
        <v>58999</v>
      </c>
      <c r="T6437" s="28">
        <v>1915512000</v>
      </c>
      <c r="U6437" s="28">
        <v>1472200000</v>
      </c>
      <c r="V6437" s="28">
        <v>373969000</v>
      </c>
      <c r="W6437" s="28"/>
      <c r="X6437" s="28">
        <v>76131000</v>
      </c>
      <c r="Y6437" s="28">
        <v>5122051000</v>
      </c>
      <c r="Z6437" s="28">
        <v>1355195000</v>
      </c>
      <c r="AA6437" s="28">
        <v>722974000</v>
      </c>
      <c r="AB6437" s="28">
        <v>671424000</v>
      </c>
      <c r="AC6437" s="28">
        <v>918582000</v>
      </c>
      <c r="AD6437" s="28">
        <v>3176523000</v>
      </c>
      <c r="AE6437" s="28">
        <v>3519385000</v>
      </c>
      <c r="AF6437" s="28">
        <v>825901000</v>
      </c>
      <c r="AG6437" s="11"/>
    </row>
    <row r="6438">
      <c r="A6438" s="7" t="s">
        <v>8007</v>
      </c>
      <c r="B6438" s="5" t="s">
        <v>15960</v>
      </c>
      <c r="C6438" s="5" t="s">
        <v>23606</v>
      </c>
      <c r="D6438" s="5" t="str">
        <v>772634168177</v>
      </c>
      <c r="E6438" s="0" t="e">
        <f>+7 (495) 1077353
+7 (495) 1081486
+7 (495) 1085373
+7 (495) 1087335
+7 (495) 1087353
+7 (495) 1087356
+7 (495) 1253474
+7 (495) 1287227
+7 (495) 5108735
+7 (844) 2539435
+7 (872) 2994666
+7 (872) 2996747
+7 (906) 733360
+7 (918) 5975707
+7 (918) 7985707</f>
        <v>#NAME?</v>
      </c>
      <c r="F6438" s="5" t="s">
        <v>44110</v>
      </c>
      <c r="G6438" s="5" t="s">
        <v>44111</v>
      </c>
      <c r="H6438" s="26">
        <v>3.5</v>
      </c>
      <c r="I6438" s="5" t="s">
        <v>44112</v>
      </c>
      <c r="J6438" s="5" t="s">
        <v>25429</v>
      </c>
      <c r="K6438" s="5" t="s">
        <v>344</v>
      </c>
      <c r="L6438" s="5" t="s">
        <v>44113</v>
      </c>
      <c r="M6438" s="27"/>
      <c r="N6438" s="5" t="s">
        <v>59000</v>
      </c>
      <c r="O6438" s="5" t="str">
        <v>7720481660</v>
      </c>
      <c r="P6438" s="27">
        <v>100000</v>
      </c>
      <c r="Q6438" s="5" t="s">
        <v>59001</v>
      </c>
      <c r="R6438" s="5"/>
      <c r="S6438" s="5" t="s">
        <v>59002</v>
      </c>
      <c r="T6438" s="28">
        <v>4825000</v>
      </c>
      <c r="U6438" s="28"/>
      <c r="V6438" s="28">
        <v>400827000</v>
      </c>
      <c r="W6438" s="28">
        <v>5182000</v>
      </c>
      <c r="X6438" s="28">
        <v>39087000</v>
      </c>
      <c r="Y6438" s="28">
        <v>922853000</v>
      </c>
      <c r="Z6438" s="28">
        <v>111085000</v>
      </c>
      <c r="AA6438" s="28"/>
      <c r="AB6438" s="28">
        <v>90151000</v>
      </c>
      <c r="AC6438" s="28">
        <v>799902000</v>
      </c>
      <c r="AD6438" s="28">
        <v>111185000</v>
      </c>
      <c r="AE6438" s="28">
        <v>5463005000</v>
      </c>
      <c r="AF6438" s="28">
        <v>90416000</v>
      </c>
      <c r="AG6438" s="11"/>
    </row>
    <row r="6439">
      <c r="A6439" s="7" t="s">
        <v>8008</v>
      </c>
      <c r="B6439" s="5" t="s">
        <v>15961</v>
      </c>
      <c r="C6439" s="5" t="s">
        <v>23607</v>
      </c>
      <c r="D6439" s="5" t="str">
        <v>772730661508</v>
      </c>
      <c r="E6439" s="0" t="e">
        <f>+7 (499) 1242691
+7 (3433) 110461
+7 (3433) 449886
+7 (383) 2300470
+7 (495) 6607055
+7 (495) 7607055
+7 (495) 7733737
+7 (495) 7753737
+7 (499) 1242491
+7 (812) 5421327
+7 (84627) 84527
+7 (8632) 870004
+7 (963) 7712212
+7 (963) 7712237
+7 (963) 7712244</f>
        <v>#NAME?</v>
      </c>
      <c r="F6439" s="5" t="s">
        <v>44114</v>
      </c>
      <c r="G6439" s="5" t="s">
        <v>44115</v>
      </c>
      <c r="H6439" s="26">
        <v>26</v>
      </c>
      <c r="I6439" s="5"/>
      <c r="J6439" s="5" t="s">
        <v>38550</v>
      </c>
      <c r="K6439" s="5" t="s">
        <v>344</v>
      </c>
      <c r="L6439" s="5" t="s">
        <v>44116</v>
      </c>
      <c r="M6439" s="27"/>
      <c r="N6439" s="5"/>
      <c r="O6439" s="5" t="str">
        <v>7727115649</v>
      </c>
      <c r="P6439" s="27">
        <v>10000</v>
      </c>
      <c r="Q6439" s="5" t="s">
        <v>49009</v>
      </c>
      <c r="R6439" s="5"/>
      <c r="S6439" s="5" t="s">
        <v>49093</v>
      </c>
      <c r="T6439" s="28">
        <v>606758000</v>
      </c>
      <c r="U6439" s="28"/>
      <c r="V6439" s="28">
        <v>1982277000</v>
      </c>
      <c r="W6439" s="28"/>
      <c r="X6439" s="28">
        <v>388975000</v>
      </c>
      <c r="Y6439" s="28">
        <v>3582675000</v>
      </c>
      <c r="Z6439" s="28">
        <v>1420137000</v>
      </c>
      <c r="AA6439" s="28"/>
      <c r="AB6439" s="28"/>
      <c r="AC6439" s="28">
        <v>1586533000</v>
      </c>
      <c r="AD6439" s="28">
        <v>1420147000</v>
      </c>
      <c r="AE6439" s="28">
        <v>22754947000</v>
      </c>
      <c r="AF6439" s="28">
        <v>152430000</v>
      </c>
      <c r="AG6439" s="11"/>
    </row>
    <row r="6440">
      <c r="A6440" s="7" t="s">
        <v>8009</v>
      </c>
      <c r="B6440" s="5" t="s">
        <v>15962</v>
      </c>
      <c r="C6440" s="5" t="s">
        <v>23608</v>
      </c>
      <c r="D6440" s="5" t="str">
        <v>772874438275</v>
      </c>
      <c r="E6440" s="0" t="e">
        <f>+7 (495) 6607055
+7 (495) 7753737
+7 (495) 7776983
+7 (499) 1244222</f>
        <v>#NAME?</v>
      </c>
      <c r="F6440" s="5" t="s">
        <v>44117</v>
      </c>
      <c r="G6440" s="5" t="s">
        <v>44118</v>
      </c>
      <c r="H6440" s="26">
        <v>20.5</v>
      </c>
      <c r="I6440" s="5" t="s">
        <v>44119</v>
      </c>
      <c r="J6440" s="5" t="s">
        <v>30872</v>
      </c>
      <c r="K6440" s="5" t="s">
        <v>344</v>
      </c>
      <c r="L6440" s="5"/>
      <c r="M6440" s="27"/>
      <c r="N6440" s="5"/>
      <c r="O6440" s="5" t="str">
        <v>7727223490</v>
      </c>
      <c r="P6440" s="27">
        <v>2183920000</v>
      </c>
      <c r="Q6440" s="5"/>
      <c r="R6440" s="5"/>
      <c r="S6440" s="5" t="s">
        <v>49029</v>
      </c>
      <c r="T6440" s="28">
        <v>2378525000</v>
      </c>
      <c r="U6440" s="28"/>
      <c r="V6440" s="28">
        <v>372180000</v>
      </c>
      <c r="W6440" s="28"/>
      <c r="X6440" s="28">
        <v>58493000</v>
      </c>
      <c r="Y6440" s="28">
        <v>3502858000</v>
      </c>
      <c r="Z6440" s="28">
        <v>-984710000</v>
      </c>
      <c r="AA6440" s="28">
        <v>992750000</v>
      </c>
      <c r="AB6440" s="28">
        <v>2893000</v>
      </c>
      <c r="AC6440" s="28">
        <v>432950000</v>
      </c>
      <c r="AD6440" s="28">
        <v>2061614000</v>
      </c>
      <c r="AE6440" s="28">
        <v>3566894000</v>
      </c>
      <c r="AF6440" s="28">
        <v>-293892000</v>
      </c>
      <c r="AG6440" s="11"/>
    </row>
    <row r="6441">
      <c r="A6441" s="7" t="s">
        <v>8010</v>
      </c>
      <c r="B6441" s="5" t="s">
        <v>15963</v>
      </c>
      <c r="C6441" s="5" t="s">
        <v>23609</v>
      </c>
      <c r="D6441" s="5" t="str">
        <v>631300653488</v>
      </c>
      <c r="E6441" s="0" t="e">
        <f>+7 (846) 6135100
+7 (846) 6135117
+7 (846) 6151526
+7 (84661) 52313
+7 (846) 6135090
+7 (84661) 20056
+7 (84661) 35070
+7 (84661) 50371
+7 (84661) 51450
+7 (84661) 53215
+7 (84661) 53220
+7 (84661) 53309</f>
        <v>#NAME?</v>
      </c>
      <c r="F6441" s="5" t="s">
        <v>44120</v>
      </c>
      <c r="G6441" s="5" t="s">
        <v>44121</v>
      </c>
      <c r="H6441" s="26">
        <v>22</v>
      </c>
      <c r="I6441" s="5"/>
      <c r="J6441" s="5" t="s">
        <v>26268</v>
      </c>
      <c r="K6441" s="5" t="s">
        <v>344</v>
      </c>
      <c r="L6441" s="5" t="s">
        <v>44122</v>
      </c>
      <c r="M6441" s="27"/>
      <c r="N6441" s="5"/>
      <c r="O6441" s="5" t="str">
        <v>6340007043</v>
      </c>
      <c r="P6441" s="27">
        <v>376000000</v>
      </c>
      <c r="Q6441" s="5" t="s">
        <v>49009</v>
      </c>
      <c r="R6441" s="5"/>
      <c r="S6441" s="5" t="s">
        <v>49010</v>
      </c>
      <c r="T6441" s="28">
        <v>3612881000</v>
      </c>
      <c r="U6441" s="28">
        <v>3012602000</v>
      </c>
      <c r="V6441" s="28">
        <v>83831000</v>
      </c>
      <c r="W6441" s="28"/>
      <c r="X6441" s="28">
        <v>6332746000</v>
      </c>
      <c r="Y6441" s="28">
        <v>16011206000</v>
      </c>
      <c r="Z6441" s="28">
        <v>7317757000</v>
      </c>
      <c r="AA6441" s="28">
        <v>2647936000</v>
      </c>
      <c r="AB6441" s="28">
        <v>49993000</v>
      </c>
      <c r="AC6441" s="28">
        <v>4702822000</v>
      </c>
      <c r="AD6441" s="28">
        <v>7787757000</v>
      </c>
      <c r="AE6441" s="28">
        <v>18442511000</v>
      </c>
      <c r="AF6441" s="28">
        <v>2042942000</v>
      </c>
      <c r="AG6441" s="11"/>
    </row>
    <row r="6442">
      <c r="A6442" s="7" t="s">
        <v>8011</v>
      </c>
      <c r="B6442" s="5" t="s">
        <v>15964</v>
      </c>
      <c r="C6442" s="5" t="s">
        <v>23610</v>
      </c>
      <c r="D6442" s="5"/>
      <c r="E6442" s="0" t="e">
        <f>+7 (843) 2117153
+7 (8432) 217122
+7 (8432) 217146
+7 (84377) 21551
+7 (84379) 21267
+7 (843) 2953504
+7 (843) 5192800
+7 (8432) 217126
+7 (8432) 217131
+7 (8432) 217161
+7 (8432) 217172</f>
        <v>#NAME?</v>
      </c>
      <c r="F6442" s="5" t="s">
        <v>44123</v>
      </c>
      <c r="G6442" s="5" t="s">
        <v>44124</v>
      </c>
      <c r="H6442" s="26">
        <v>15</v>
      </c>
      <c r="I6442" s="5"/>
      <c r="J6442" s="5" t="s">
        <v>467</v>
      </c>
      <c r="K6442" s="5" t="s">
        <v>344</v>
      </c>
      <c r="L6442" s="5"/>
      <c r="M6442" s="27">
        <v>1149906</v>
      </c>
      <c r="N6442" s="5" t="s">
        <v>59003</v>
      </c>
      <c r="O6442" s="5" t="str">
        <v>1660110241</v>
      </c>
      <c r="P6442" s="27">
        <v>7933305000</v>
      </c>
      <c r="Q6442" s="5" t="s">
        <v>59004</v>
      </c>
      <c r="R6442" s="5"/>
      <c r="S6442" s="5" t="s">
        <v>59005</v>
      </c>
      <c r="T6442" s="28">
        <v>4700470000</v>
      </c>
      <c r="U6442" s="28"/>
      <c r="V6442" s="28">
        <v>603425000</v>
      </c>
      <c r="W6442" s="28">
        <v>106600000</v>
      </c>
      <c r="X6442" s="28">
        <v>3415094000</v>
      </c>
      <c r="Y6442" s="28">
        <v>12491050000</v>
      </c>
      <c r="Z6442" s="28">
        <v>3382382000</v>
      </c>
      <c r="AA6442" s="28"/>
      <c r="AB6442" s="28"/>
      <c r="AC6442" s="28">
        <v>736676000</v>
      </c>
      <c r="AD6442" s="28">
        <v>11537455000</v>
      </c>
      <c r="AE6442" s="28">
        <v>11929741000</v>
      </c>
      <c r="AF6442" s="28">
        <v>886235000</v>
      </c>
      <c r="AG6442" s="11"/>
    </row>
    <row r="6443">
      <c r="A6443" s="7" t="s">
        <v>8012</v>
      </c>
      <c r="B6443" s="5" t="s">
        <v>15965</v>
      </c>
      <c r="C6443" s="5" t="s">
        <v>23611</v>
      </c>
      <c r="D6443" s="5" t="str">
        <v>166101778705</v>
      </c>
      <c r="E6443" s="0" t="e">
        <f>+7 (8435) 540566
+7 (960) 485604</f>
        <v>#NAME?</v>
      </c>
      <c r="F6443" s="5" t="s">
        <v>44125</v>
      </c>
      <c r="G6443" s="5"/>
      <c r="H6443" s="26">
        <v>8</v>
      </c>
      <c r="I6443" s="5" t="s">
        <v>44126</v>
      </c>
      <c r="J6443" s="5" t="s">
        <v>26992</v>
      </c>
      <c r="K6443" s="5" t="s">
        <v>344</v>
      </c>
      <c r="L6443" s="5" t="s">
        <v>42302</v>
      </c>
      <c r="M6443" s="27"/>
      <c r="N6443" s="5" t="s">
        <v>59006</v>
      </c>
      <c r="O6443" s="5" t="str">
        <v>1660241678</v>
      </c>
      <c r="P6443" s="27">
        <v>20000</v>
      </c>
      <c r="Q6443" s="5"/>
      <c r="R6443" s="5"/>
      <c r="S6443" s="5" t="s">
        <v>50936</v>
      </c>
      <c r="T6443" s="28">
        <v>22400000</v>
      </c>
      <c r="U6443" s="28"/>
      <c r="V6443" s="28">
        <v>137125000</v>
      </c>
      <c r="W6443" s="28">
        <v>1520000</v>
      </c>
      <c r="X6443" s="28">
        <v>216000</v>
      </c>
      <c r="Y6443" s="28">
        <v>398200000</v>
      </c>
      <c r="Z6443" s="28">
        <v>60355000</v>
      </c>
      <c r="AA6443" s="28">
        <v>96552000</v>
      </c>
      <c r="AB6443" s="28">
        <v>78350000</v>
      </c>
      <c r="AC6443" s="28">
        <v>241270000</v>
      </c>
      <c r="AD6443" s="28">
        <v>60375000</v>
      </c>
      <c r="AE6443" s="28">
        <v>4131705000</v>
      </c>
      <c r="AF6443" s="28">
        <v>14442000</v>
      </c>
      <c r="AG6443" s="11"/>
    </row>
    <row r="6444">
      <c r="A6444" s="7" t="s">
        <v>8013</v>
      </c>
      <c r="B6444" s="5" t="s">
        <v>15966</v>
      </c>
      <c r="C6444" s="5" t="s">
        <v>23612</v>
      </c>
      <c r="D6444" s="5" t="str">
        <v>164407129694</v>
      </c>
      <c r="E6444" s="0" t="e">
        <f>+7 (800) 2509100
+7 (8553) 389000
+7 (8553) 389003
+7 (8553) 389013
+7 (8553) 389034
+7 (8553) 389281
+7 (8553) 389307</f>
        <v>#NAME?</v>
      </c>
      <c r="F6444" s="5" t="s">
        <v>44127</v>
      </c>
      <c r="G6444" s="5"/>
      <c r="H6444" s="26">
        <v>15</v>
      </c>
      <c r="I6444" s="5" t="s">
        <v>44128</v>
      </c>
      <c r="J6444" s="5" t="s">
        <v>28226</v>
      </c>
      <c r="K6444" s="5" t="s">
        <v>355</v>
      </c>
      <c r="L6444" s="5" t="s">
        <v>44129</v>
      </c>
      <c r="M6444" s="27"/>
      <c r="N6444" s="5" t="s">
        <v>59007</v>
      </c>
      <c r="O6444" s="5" t="str">
        <v>1644047828</v>
      </c>
      <c r="P6444" s="27">
        <v>1176000</v>
      </c>
      <c r="Q6444" s="5" t="s">
        <v>59008</v>
      </c>
      <c r="R6444" s="5" t="s">
        <v>59009</v>
      </c>
      <c r="S6444" s="5" t="s">
        <v>50951</v>
      </c>
      <c r="T6444" s="28">
        <v>4204622000</v>
      </c>
      <c r="U6444" s="28"/>
      <c r="V6444" s="28">
        <v>1814453000</v>
      </c>
      <c r="W6444" s="28"/>
      <c r="X6444" s="28">
        <v>510000</v>
      </c>
      <c r="Y6444" s="28">
        <v>8156430000</v>
      </c>
      <c r="Z6444" s="28">
        <v>3012522000</v>
      </c>
      <c r="AA6444" s="28"/>
      <c r="AB6444" s="28">
        <v>1510864000</v>
      </c>
      <c r="AC6444" s="28">
        <v>4563348000</v>
      </c>
      <c r="AD6444" s="28">
        <v>3013698000</v>
      </c>
      <c r="AE6444" s="28">
        <v>5920823000</v>
      </c>
      <c r="AF6444" s="28">
        <v>-1051750000</v>
      </c>
      <c r="AG6444" s="11"/>
    </row>
    <row r="6445">
      <c r="A6445" s="7" t="s">
        <v>8014</v>
      </c>
      <c r="B6445" s="5" t="s">
        <v>15967</v>
      </c>
      <c r="C6445" s="5" t="s">
        <v>23613</v>
      </c>
      <c r="D6445" s="5" t="str">
        <v>164400916621</v>
      </c>
      <c r="E6445" s="0" t="e">
        <f>+7 (855) 3259902
+7 (8553) 458017
+7 (8553) 458018
+7 (8553) 458019
+7 (8553) 458024
+7 (8553) 458029
+7 (8553) 458037</f>
        <v>#NAME?</v>
      </c>
      <c r="F6445" s="5" t="s">
        <v>44130</v>
      </c>
      <c r="G6445" s="5"/>
      <c r="H6445" s="26">
        <v>22</v>
      </c>
      <c r="I6445" s="5"/>
      <c r="J6445" s="5" t="s">
        <v>26607</v>
      </c>
      <c r="K6445" s="5" t="s">
        <v>344</v>
      </c>
      <c r="L6445" s="5" t="s">
        <v>44131</v>
      </c>
      <c r="M6445" s="27"/>
      <c r="N6445" s="5"/>
      <c r="O6445" s="5" t="str">
        <v>1644014815</v>
      </c>
      <c r="P6445" s="27">
        <v>1644000</v>
      </c>
      <c r="Q6445" s="5"/>
      <c r="R6445" s="5"/>
      <c r="S6445" s="5" t="s">
        <v>49029</v>
      </c>
      <c r="T6445" s="28">
        <v>5597893000</v>
      </c>
      <c r="U6445" s="28">
        <v>91109000</v>
      </c>
      <c r="V6445" s="28">
        <v>983454000</v>
      </c>
      <c r="W6445" s="28"/>
      <c r="X6445" s="28">
        <v>1949986000</v>
      </c>
      <c r="Y6445" s="28">
        <v>9437486000</v>
      </c>
      <c r="Z6445" s="28">
        <v>6195992000</v>
      </c>
      <c r="AA6445" s="28"/>
      <c r="AB6445" s="28"/>
      <c r="AC6445" s="28">
        <v>1260900000</v>
      </c>
      <c r="AD6445" s="28">
        <v>6365218000</v>
      </c>
      <c r="AE6445" s="28">
        <v>14855978000</v>
      </c>
      <c r="AF6445" s="28">
        <v>1323686000</v>
      </c>
      <c r="AG6445" s="11"/>
    </row>
    <row r="6446">
      <c r="A6446" s="7" t="s">
        <v>8015</v>
      </c>
      <c r="B6446" s="5" t="s">
        <v>15968</v>
      </c>
      <c r="C6446" s="5" t="s">
        <v>23614</v>
      </c>
      <c r="D6446" s="5" t="str">
        <v>162303857303</v>
      </c>
      <c r="E6446" s="0" t="e">
        <f>+7 (843) 2991945
+7 (843) 2991956
+7 (843) 5114666
+7 (8432) 929482
+7 (8432) 793335
+7 (8432) 793397
+7 (8435) 247790
+7 (8435) 247791
+7 (8435) 247792
+7 (8435) 247793
+7 (8435) 247794
+7 (8435) 247795
+7 (8435) 247796
+7 (8435) 247797
+7 (8435) 247798</f>
        <v>#NAME?</v>
      </c>
      <c r="F6446" s="5" t="s">
        <v>44132</v>
      </c>
      <c r="G6446" s="5" t="s">
        <v>44133</v>
      </c>
      <c r="H6446" s="26">
        <v>17</v>
      </c>
      <c r="I6446" s="5" t="s">
        <v>44134</v>
      </c>
      <c r="J6446" s="5" t="s">
        <v>25670</v>
      </c>
      <c r="K6446" s="5" t="s">
        <v>344</v>
      </c>
      <c r="L6446" s="5"/>
      <c r="M6446" s="27"/>
      <c r="N6446" s="5" t="s">
        <v>59010</v>
      </c>
      <c r="O6446" s="5" t="str">
        <v>1655106610</v>
      </c>
      <c r="P6446" s="27">
        <v>2157582746</v>
      </c>
      <c r="Q6446" s="5" t="s">
        <v>59011</v>
      </c>
      <c r="R6446" s="5"/>
      <c r="S6446" s="5" t="s">
        <v>59012</v>
      </c>
      <c r="T6446" s="28">
        <v>675184000</v>
      </c>
      <c r="U6446" s="28">
        <v>10000</v>
      </c>
      <c r="V6446" s="28">
        <v>1119043000</v>
      </c>
      <c r="W6446" s="28">
        <v>169469000</v>
      </c>
      <c r="X6446" s="28">
        <v>609134000</v>
      </c>
      <c r="Y6446" s="28">
        <v>4156850000</v>
      </c>
      <c r="Z6446" s="28">
        <v>-184752000</v>
      </c>
      <c r="AA6446" s="28"/>
      <c r="AB6446" s="28">
        <v>725610000</v>
      </c>
      <c r="AC6446" s="28">
        <v>2110944000</v>
      </c>
      <c r="AD6446" s="28">
        <v>1974684000</v>
      </c>
      <c r="AE6446" s="28">
        <v>6905532000</v>
      </c>
      <c r="AF6446" s="28">
        <v>4872000</v>
      </c>
      <c r="AG6446" s="11"/>
    </row>
    <row r="6447">
      <c r="A6447" s="7" t="s">
        <v>8016</v>
      </c>
      <c r="B6447" s="5" t="s">
        <v>15969</v>
      </c>
      <c r="C6447" s="5" t="s">
        <v>23615</v>
      </c>
      <c r="D6447" s="5" t="str">
        <v>164405987270</v>
      </c>
      <c r="E6447" s="0" t="e">
        <f>+7 (84345) 90209
+7 (8553) 312010
+7 (927) 4901203
+7 (855) 1443454
+7 (855) 1493454
+7 (8553) 371240
+7 (8553) 371241
+7 (8553) 386952
+7 (917) 2754100</f>
        <v>#NAME?</v>
      </c>
      <c r="F6447" s="5" t="s">
        <v>44135</v>
      </c>
      <c r="G6447" s="5"/>
      <c r="H6447" s="26">
        <v>21.5</v>
      </c>
      <c r="I6447" s="5" t="s">
        <v>44136</v>
      </c>
      <c r="J6447" s="5" t="s">
        <v>467</v>
      </c>
      <c r="K6447" s="5" t="s">
        <v>344</v>
      </c>
      <c r="L6447" s="5" t="s">
        <v>44137</v>
      </c>
      <c r="M6447" s="27"/>
      <c r="N6447" s="5" t="s">
        <v>59013</v>
      </c>
      <c r="O6447" s="5" t="str">
        <v>1645000406</v>
      </c>
      <c r="P6447" s="27">
        <v>14076764</v>
      </c>
      <c r="Q6447" s="5" t="s">
        <v>59014</v>
      </c>
      <c r="R6447" s="5"/>
      <c r="S6447" s="5" t="s">
        <v>59015</v>
      </c>
      <c r="T6447" s="28">
        <v>1692494000</v>
      </c>
      <c r="U6447" s="28"/>
      <c r="V6447" s="28">
        <v>160547000</v>
      </c>
      <c r="W6447" s="28"/>
      <c r="X6447" s="28">
        <v>129649000</v>
      </c>
      <c r="Y6447" s="28">
        <v>4200639000</v>
      </c>
      <c r="Z6447" s="28">
        <v>1960736000</v>
      </c>
      <c r="AA6447" s="28"/>
      <c r="AB6447" s="28">
        <v>680954000</v>
      </c>
      <c r="AC6447" s="28">
        <v>2133390000</v>
      </c>
      <c r="AD6447" s="28">
        <v>1976925000</v>
      </c>
      <c r="AE6447" s="28">
        <v>5123367000</v>
      </c>
      <c r="AF6447" s="28">
        <v>271319000</v>
      </c>
      <c r="AG6447" s="11"/>
    </row>
    <row r="6448">
      <c r="A6448" s="7" t="s">
        <v>8017</v>
      </c>
      <c r="B6448" s="5" t="s">
        <v>15970</v>
      </c>
      <c r="C6448" s="5" t="s">
        <v>23616</v>
      </c>
      <c r="D6448" s="5" t="str">
        <v>165501823830</v>
      </c>
      <c r="E6448" s="0" t="e">
        <f>+7 (843) 2957954
+7 (843) 2353954
+7 (843) 2353964</f>
        <v>#NAME?</v>
      </c>
      <c r="F6448" s="5" t="s">
        <v>44138</v>
      </c>
      <c r="G6448" s="5" t="s">
        <v>44139</v>
      </c>
      <c r="H6448" s="26">
        <v>29.5</v>
      </c>
      <c r="I6448" s="5"/>
      <c r="J6448" s="5" t="s">
        <v>31608</v>
      </c>
      <c r="K6448" s="5" t="s">
        <v>355</v>
      </c>
      <c r="L6448" s="5"/>
      <c r="M6448" s="27">
        <v>892526</v>
      </c>
      <c r="N6448" s="5"/>
      <c r="O6448" s="5" t="str">
        <v>1653008600</v>
      </c>
      <c r="P6448" s="27">
        <v>942475</v>
      </c>
      <c r="Q6448" s="5" t="s">
        <v>52260</v>
      </c>
      <c r="R6448" s="5"/>
      <c r="S6448" s="5" t="s">
        <v>59016</v>
      </c>
      <c r="T6448" s="28">
        <v>2838536000</v>
      </c>
      <c r="U6448" s="28">
        <v>12000</v>
      </c>
      <c r="V6448" s="28">
        <v>1028447000</v>
      </c>
      <c r="W6448" s="28">
        <v>90323000</v>
      </c>
      <c r="X6448" s="28">
        <v>1885486000</v>
      </c>
      <c r="Y6448" s="28">
        <v>8705278000</v>
      </c>
      <c r="Z6448" s="28">
        <v>688690000</v>
      </c>
      <c r="AA6448" s="28">
        <v>314028000</v>
      </c>
      <c r="AB6448" s="28"/>
      <c r="AC6448" s="28">
        <v>3256403000</v>
      </c>
      <c r="AD6448" s="28">
        <v>710507000</v>
      </c>
      <c r="AE6448" s="28">
        <v>3851907000</v>
      </c>
      <c r="AF6448" s="28">
        <v>3883000</v>
      </c>
      <c r="AG6448" s="11"/>
    </row>
    <row r="6449">
      <c r="A6449" s="7" t="s">
        <v>8018</v>
      </c>
      <c r="B6449" s="5" t="s">
        <v>15971</v>
      </c>
      <c r="C6449" s="5" t="s">
        <v>23617</v>
      </c>
      <c r="D6449" s="5" t="str">
        <v>164400909656</v>
      </c>
      <c r="E6449" s="0" t="e">
        <f>+7 (8553) 323475
+7 (8553) 231520
+7 (8553) 233577
+7 (8553) 323452
+7 (8553) 323469
+7 (8553) 456776</f>
        <v>#NAME?</v>
      </c>
      <c r="F6449" s="5" t="s">
        <v>44140</v>
      </c>
      <c r="G6449" s="5" t="s">
        <v>44141</v>
      </c>
      <c r="H6449" s="26">
        <v>22.5</v>
      </c>
      <c r="I6449" s="5"/>
      <c r="J6449" s="5" t="s">
        <v>26607</v>
      </c>
      <c r="K6449" s="5" t="s">
        <v>344</v>
      </c>
      <c r="L6449" s="5" t="s">
        <v>44142</v>
      </c>
      <c r="M6449" s="27"/>
      <c r="N6449" s="5"/>
      <c r="O6449" s="5" t="str">
        <v>1644009854</v>
      </c>
      <c r="P6449" s="27">
        <v>26805000</v>
      </c>
      <c r="Q6449" s="5"/>
      <c r="R6449" s="5"/>
      <c r="S6449" s="5" t="s">
        <v>59017</v>
      </c>
      <c r="T6449" s="28">
        <v>3746471000</v>
      </c>
      <c r="U6449" s="28">
        <v>819100000</v>
      </c>
      <c r="V6449" s="28">
        <v>627075000</v>
      </c>
      <c r="W6449" s="28">
        <v>101200000</v>
      </c>
      <c r="X6449" s="28">
        <v>825560000</v>
      </c>
      <c r="Y6449" s="28">
        <v>6659295000</v>
      </c>
      <c r="Z6449" s="28">
        <v>4804280000</v>
      </c>
      <c r="AA6449" s="28"/>
      <c r="AB6449" s="28"/>
      <c r="AC6449" s="28">
        <v>755823000</v>
      </c>
      <c r="AD6449" s="28">
        <v>4934675000</v>
      </c>
      <c r="AE6449" s="28">
        <v>8165035000</v>
      </c>
      <c r="AF6449" s="28">
        <v>2389262000</v>
      </c>
      <c r="AG6449" s="11"/>
    </row>
    <row r="6450">
      <c r="A6450" s="7" t="s">
        <v>8019</v>
      </c>
      <c r="B6450" s="5" t="s">
        <v>15972</v>
      </c>
      <c r="C6450" s="5" t="s">
        <v>23618</v>
      </c>
      <c r="D6450" s="5" t="str">
        <v>163200479362</v>
      </c>
      <c r="E6450" s="0" t="e">
        <f>+7 (84345) 22710
+7 (84345) 41407
+7 (84345) 41415</f>
        <v>#NAME?</v>
      </c>
      <c r="F6450" s="5" t="s">
        <v>44143</v>
      </c>
      <c r="G6450" s="5"/>
      <c r="H6450" s="26">
        <v>24</v>
      </c>
      <c r="I6450" s="5"/>
      <c r="J6450" s="5" t="s">
        <v>26607</v>
      </c>
      <c r="K6450" s="5" t="s">
        <v>344</v>
      </c>
      <c r="L6450" s="5" t="s">
        <v>44144</v>
      </c>
      <c r="M6450" s="27"/>
      <c r="N6450" s="5"/>
      <c r="O6450" s="5" t="str">
        <v>1632004033</v>
      </c>
      <c r="P6450" s="27">
        <v>59255000</v>
      </c>
      <c r="Q6450" s="5"/>
      <c r="R6450" s="5"/>
      <c r="S6450" s="5" t="s">
        <v>49125</v>
      </c>
      <c r="T6450" s="28">
        <v>5588250000</v>
      </c>
      <c r="U6450" s="28">
        <v>34942000</v>
      </c>
      <c r="V6450" s="28">
        <v>697994000</v>
      </c>
      <c r="W6450" s="28"/>
      <c r="X6450" s="28">
        <v>701115000</v>
      </c>
      <c r="Y6450" s="28">
        <v>7828393000</v>
      </c>
      <c r="Z6450" s="28">
        <v>5278406000</v>
      </c>
      <c r="AA6450" s="28"/>
      <c r="AB6450" s="28"/>
      <c r="AC6450" s="28">
        <v>1020180000</v>
      </c>
      <c r="AD6450" s="28">
        <v>5346549000</v>
      </c>
      <c r="AE6450" s="28">
        <v>10734430000</v>
      </c>
      <c r="AF6450" s="28">
        <v>629920000</v>
      </c>
      <c r="AG6450" s="11"/>
    </row>
    <row r="6451">
      <c r="A6451" s="7" t="s">
        <v>8020</v>
      </c>
      <c r="B6451" s="5" t="s">
        <v>15973</v>
      </c>
      <c r="C6451" s="5" t="s">
        <v>23619</v>
      </c>
      <c r="D6451" s="5" t="str">
        <v>164401094935</v>
      </c>
      <c r="E6451" s="0" t="e">
        <f>+7 (855) 3255856
+7 (8352) 390223
+7 (8553) 304191
+7 (8553) 371369
+7 (8432) 926771
+7 (855) 3317661
+7 (8553) 250337
+7 (8553) 301570
+7 (8553) 301673
+7 (8553) 301737
+7 (8553) 307195
+7 (8553) 319090
+7 (8553) 371111
+7 (8553) 386403
+7 (8553) 386428</f>
        <v>#NAME?</v>
      </c>
      <c r="F6451" s="5" t="s">
        <v>44145</v>
      </c>
      <c r="G6451" s="5" t="s">
        <v>44146</v>
      </c>
      <c r="H6451" s="26">
        <v>21</v>
      </c>
      <c r="I6451" s="5" t="s">
        <v>44147</v>
      </c>
      <c r="J6451" s="5" t="s">
        <v>31686</v>
      </c>
      <c r="K6451" s="5" t="s">
        <v>344</v>
      </c>
      <c r="L6451" s="5"/>
      <c r="M6451" s="27">
        <v>5804578435</v>
      </c>
      <c r="N6451" s="5" t="s">
        <v>59018</v>
      </c>
      <c r="O6451" s="5" t="str">
        <v>1644003838</v>
      </c>
      <c r="P6451" s="27">
        <v>2326199200</v>
      </c>
      <c r="Q6451" s="5" t="s">
        <v>59019</v>
      </c>
      <c r="R6451" s="5"/>
      <c r="S6451" s="5" t="s">
        <v>59020</v>
      </c>
      <c r="T6451" s="28">
        <v>343716707000</v>
      </c>
      <c r="U6451" s="28">
        <v>120680289000</v>
      </c>
      <c r="V6451" s="28">
        <v>494878914000</v>
      </c>
      <c r="W6451" s="28">
        <v>1556005000</v>
      </c>
      <c r="X6451" s="28">
        <v>124603743000</v>
      </c>
      <c r="Y6451" s="28">
        <v>1216570313000</v>
      </c>
      <c r="Z6451" s="28">
        <v>896797379000</v>
      </c>
      <c r="AA6451" s="28"/>
      <c r="AB6451" s="28">
        <v>40744357000</v>
      </c>
      <c r="AC6451" s="28">
        <v>233161836000</v>
      </c>
      <c r="AD6451" s="28">
        <v>900112849000</v>
      </c>
      <c r="AE6451" s="28">
        <v>1279855949000</v>
      </c>
      <c r="AF6451" s="28">
        <v>241863402000</v>
      </c>
      <c r="AG6451" s="11"/>
    </row>
    <row r="6452">
      <c r="A6452" s="7" t="s">
        <v>8021</v>
      </c>
      <c r="B6452" s="5" t="s">
        <v>15974</v>
      </c>
      <c r="C6452" s="5" t="s">
        <v>23620</v>
      </c>
      <c r="D6452" s="5" t="str">
        <v>165505237001</v>
      </c>
      <c r="E6452" s="0" t="e">
        <f>+7 (812) 7030622
+7 (931) 2741257
+7 (800) 2222441
+7 (812) 3731313
+7 (812) 7030610
+7 (812) 7030616
+7 (812) 7030798
+7 (921) 9051233
+7 (921) 9493016</f>
        <v>#NAME?</v>
      </c>
      <c r="F6452" s="5" t="s">
        <v>44148</v>
      </c>
      <c r="G6452" s="5"/>
      <c r="H6452" s="26">
        <v>24.5</v>
      </c>
      <c r="I6452" s="5" t="s">
        <v>44149</v>
      </c>
      <c r="J6452" s="5" t="s">
        <v>27115</v>
      </c>
      <c r="K6452" s="5" t="s">
        <v>344</v>
      </c>
      <c r="L6452" s="5"/>
      <c r="M6452" s="27">
        <v>826184</v>
      </c>
      <c r="N6452" s="5" t="s">
        <v>59021</v>
      </c>
      <c r="O6452" s="5" t="str">
        <v>7810145092</v>
      </c>
      <c r="P6452" s="27">
        <v>1868600834</v>
      </c>
      <c r="Q6452" s="5" t="s">
        <v>49057</v>
      </c>
      <c r="R6452" s="5"/>
      <c r="S6452" s="5" t="s">
        <v>52612</v>
      </c>
      <c r="T6452" s="28">
        <v>7344314000</v>
      </c>
      <c r="U6452" s="28"/>
      <c r="V6452" s="28">
        <v>3044400000</v>
      </c>
      <c r="W6452" s="28"/>
      <c r="X6452" s="28">
        <v>283905000</v>
      </c>
      <c r="Y6452" s="28">
        <v>12835211000</v>
      </c>
      <c r="Z6452" s="28">
        <v>6547944000</v>
      </c>
      <c r="AA6452" s="28"/>
      <c r="AB6452" s="28"/>
      <c r="AC6452" s="28">
        <v>3703963000</v>
      </c>
      <c r="AD6452" s="28">
        <v>8482687000</v>
      </c>
      <c r="AE6452" s="28">
        <v>46814611000</v>
      </c>
      <c r="AF6452" s="28">
        <v>2504176000</v>
      </c>
      <c r="AG6452" s="11"/>
    </row>
    <row r="6453">
      <c r="A6453" s="7" t="s">
        <v>8022</v>
      </c>
      <c r="B6453" s="5" t="s">
        <v>15975</v>
      </c>
      <c r="C6453" s="5" t="s">
        <v>23621</v>
      </c>
      <c r="D6453" s="5" t="str">
        <v>164300190329</v>
      </c>
      <c r="E6453" s="0" t="e">
        <f>+7 (855) 3370427
+7 (8553) 316255
+7 (8553) 316322
+7 (8553) 372118
+7 (8553) 300686
+7 (8553) 318244</f>
        <v>#NAME?</v>
      </c>
      <c r="F6453" s="5" t="s">
        <v>44150</v>
      </c>
      <c r="G6453" s="5"/>
      <c r="H6453" s="26">
        <v>21.5</v>
      </c>
      <c r="I6453" s="5" t="s">
        <v>44151</v>
      </c>
      <c r="J6453" s="5" t="s">
        <v>26515</v>
      </c>
      <c r="K6453" s="5" t="s">
        <v>344</v>
      </c>
      <c r="L6453" s="5"/>
      <c r="M6453" s="27"/>
      <c r="N6453" s="5" t="s">
        <v>59022</v>
      </c>
      <c r="O6453" s="5" t="str">
        <v>1644013875</v>
      </c>
      <c r="P6453" s="27">
        <v>8015363756</v>
      </c>
      <c r="Q6453" s="5"/>
      <c r="R6453" s="5" t="s">
        <v>59023</v>
      </c>
      <c r="S6453" s="5" t="s">
        <v>49110</v>
      </c>
      <c r="T6453" s="28">
        <v>14277938000</v>
      </c>
      <c r="U6453" s="28">
        <v>2024412000</v>
      </c>
      <c r="V6453" s="28">
        <v>6115196000</v>
      </c>
      <c r="W6453" s="28">
        <v>552605000</v>
      </c>
      <c r="X6453" s="28">
        <v>1059848000</v>
      </c>
      <c r="Y6453" s="28">
        <v>27409146000</v>
      </c>
      <c r="Z6453" s="28">
        <v>4242562000</v>
      </c>
      <c r="AA6453" s="28">
        <v>2715884000</v>
      </c>
      <c r="AB6453" s="28">
        <v>5732158000</v>
      </c>
      <c r="AC6453" s="28">
        <v>6841316000</v>
      </c>
      <c r="AD6453" s="28">
        <v>17447614000</v>
      </c>
      <c r="AE6453" s="28">
        <v>4892292000</v>
      </c>
      <c r="AF6453" s="28">
        <v>-77934000</v>
      </c>
      <c r="AG6453" s="11"/>
    </row>
    <row r="6454">
      <c r="A6454" s="7" t="s">
        <v>8023</v>
      </c>
      <c r="B6454" s="5" t="s">
        <v>15976</v>
      </c>
      <c r="C6454" s="5" t="s">
        <v>23622</v>
      </c>
      <c r="D6454" s="5"/>
      <c r="E6454" s="0" t="e">
        <f>+7 (855) 3318561
+7 (85569) 42051
+7 (85569) 42054</f>
        <v>#NAME?</v>
      </c>
      <c r="F6454" s="5"/>
      <c r="G6454" s="5"/>
      <c r="H6454" s="26">
        <v>15.5</v>
      </c>
      <c r="I6454" s="5" t="s">
        <v>44152</v>
      </c>
      <c r="J6454" s="5" t="s">
        <v>33468</v>
      </c>
      <c r="K6454" s="5" t="s">
        <v>344</v>
      </c>
      <c r="L6454" s="5" t="s">
        <v>44153</v>
      </c>
      <c r="M6454" s="27"/>
      <c r="N6454" s="5" t="s">
        <v>59024</v>
      </c>
      <c r="O6454" s="5" t="str">
        <v>1611008284</v>
      </c>
      <c r="P6454" s="27">
        <v>1000000</v>
      </c>
      <c r="Q6454" s="5" t="s">
        <v>59025</v>
      </c>
      <c r="R6454" s="5"/>
      <c r="S6454" s="5" t="s">
        <v>57701</v>
      </c>
      <c r="T6454" s="28">
        <v>172687000</v>
      </c>
      <c r="U6454" s="28"/>
      <c r="V6454" s="28">
        <v>475753000</v>
      </c>
      <c r="W6454" s="28">
        <v>50000</v>
      </c>
      <c r="X6454" s="28">
        <v>24661000</v>
      </c>
      <c r="Y6454" s="28">
        <v>1120528000</v>
      </c>
      <c r="Z6454" s="28">
        <v>477806000</v>
      </c>
      <c r="AA6454" s="28"/>
      <c r="AB6454" s="28">
        <v>305275000</v>
      </c>
      <c r="AC6454" s="28">
        <v>513270000</v>
      </c>
      <c r="AD6454" s="28">
        <v>478806000</v>
      </c>
      <c r="AE6454" s="28">
        <v>3564003000</v>
      </c>
      <c r="AF6454" s="28">
        <v>110463000</v>
      </c>
      <c r="AG6454" s="11"/>
    </row>
    <row r="6455">
      <c r="A6455" s="7" t="s">
        <v>8024</v>
      </c>
      <c r="B6455" s="5" t="s">
        <v>15977</v>
      </c>
      <c r="C6455" s="5" t="s">
        <v>23623</v>
      </c>
      <c r="D6455" s="5" t="str">
        <v>164406973721</v>
      </c>
      <c r="E6455" s="0" t="e">
        <f>+7 (855) 3302820</f>
        <v>#NAME?</v>
      </c>
      <c r="F6455" s="5" t="s">
        <v>44154</v>
      </c>
      <c r="G6455" s="5"/>
      <c r="H6455" s="26">
        <v>13</v>
      </c>
      <c r="I6455" s="5" t="s">
        <v>44155</v>
      </c>
      <c r="J6455" s="5" t="s">
        <v>31686</v>
      </c>
      <c r="K6455" s="5" t="s">
        <v>344</v>
      </c>
      <c r="L6455" s="5" t="s">
        <v>44156</v>
      </c>
      <c r="M6455" s="27">
        <v>15551100</v>
      </c>
      <c r="N6455" s="5"/>
      <c r="O6455" s="5" t="str">
        <v>1644057262</v>
      </c>
      <c r="P6455" s="27">
        <v>6000120000</v>
      </c>
      <c r="Q6455" s="5" t="s">
        <v>49009</v>
      </c>
      <c r="R6455" s="5"/>
      <c r="S6455" s="5" t="s">
        <v>49010</v>
      </c>
      <c r="T6455" s="28">
        <v>6689863000</v>
      </c>
      <c r="U6455" s="28"/>
      <c r="V6455" s="28">
        <v>1941701000</v>
      </c>
      <c r="W6455" s="28"/>
      <c r="X6455" s="28">
        <v>6436000</v>
      </c>
      <c r="Y6455" s="28">
        <v>11834522000</v>
      </c>
      <c r="Z6455" s="28">
        <v>2099522000</v>
      </c>
      <c r="AA6455" s="28"/>
      <c r="AB6455" s="28"/>
      <c r="AC6455" s="28">
        <v>1167919000</v>
      </c>
      <c r="AD6455" s="28">
        <v>9121108000</v>
      </c>
      <c r="AE6455" s="28">
        <v>9823395000</v>
      </c>
      <c r="AF6455" s="28">
        <v>211051000</v>
      </c>
      <c r="AG6455" s="11"/>
    </row>
    <row r="6456">
      <c r="A6456" s="7" t="s">
        <v>8025</v>
      </c>
      <c r="B6456" s="5" t="s">
        <v>13656</v>
      </c>
      <c r="C6456" s="5" t="s">
        <v>23624</v>
      </c>
      <c r="D6456" s="5" t="str">
        <v>164401442011</v>
      </c>
      <c r="E6456" s="0" t="e">
        <f>+7 (855) 5383146
+7 (8553) 306063
+7 (8553) 306067
+7 (8555) 317514
+7 (8555) 317703
+7 (8555) 383143
+7 (8555) 383144</f>
        <v>#NAME?</v>
      </c>
      <c r="F6456" s="5" t="s">
        <v>44157</v>
      </c>
      <c r="G6456" s="5" t="s">
        <v>44158</v>
      </c>
      <c r="H6456" s="26">
        <v>20.5</v>
      </c>
      <c r="I6456" s="5" t="s">
        <v>44159</v>
      </c>
      <c r="J6456" s="5" t="s">
        <v>26325</v>
      </c>
      <c r="K6456" s="5" t="s">
        <v>344</v>
      </c>
      <c r="L6456" s="5" t="s">
        <v>44160</v>
      </c>
      <c r="M6456" s="27">
        <v>13825739</v>
      </c>
      <c r="N6456" s="5" t="s">
        <v>50348</v>
      </c>
      <c r="O6456" s="5" t="str">
        <v>1651033505</v>
      </c>
      <c r="P6456" s="27">
        <v>10000</v>
      </c>
      <c r="Q6456" s="5"/>
      <c r="R6456" s="5"/>
      <c r="S6456" s="5" t="s">
        <v>49110</v>
      </c>
      <c r="T6456" s="28">
        <v>320416000</v>
      </c>
      <c r="U6456" s="28">
        <v>10000</v>
      </c>
      <c r="V6456" s="28">
        <v>22317252000</v>
      </c>
      <c r="W6456" s="28"/>
      <c r="X6456" s="28">
        <v>26000</v>
      </c>
      <c r="Y6456" s="28">
        <v>22705375000</v>
      </c>
      <c r="Z6456" s="28">
        <v>19802203000</v>
      </c>
      <c r="AA6456" s="28"/>
      <c r="AB6456" s="28"/>
      <c r="AC6456" s="28">
        <v>2351311000</v>
      </c>
      <c r="AD6456" s="28">
        <v>20306173000</v>
      </c>
      <c r="AE6456" s="28">
        <v>37323737000</v>
      </c>
      <c r="AF6456" s="28">
        <v>4552832000</v>
      </c>
      <c r="AG6456" s="11"/>
    </row>
    <row r="6457">
      <c r="A6457" s="7" t="s">
        <v>8026</v>
      </c>
      <c r="B6457" s="5" t="s">
        <v>15978</v>
      </c>
      <c r="C6457" s="5" t="s">
        <v>23625</v>
      </c>
      <c r="D6457" s="5" t="str">
        <v>164400942477</v>
      </c>
      <c r="E6457" s="0" t="e">
        <f>+7 (8553) 314197
+7 (855) 3397110
+7 (8553) 254039
+7 (8553) 314110
+7 (8553) 314122
+7 (8553) 314241
+7 (8553) 314270</f>
        <v>#NAME?</v>
      </c>
      <c r="F6457" s="5" t="s">
        <v>44161</v>
      </c>
      <c r="G6457" s="5" t="s">
        <v>44162</v>
      </c>
      <c r="H6457" s="26">
        <v>24</v>
      </c>
      <c r="I6457" s="5"/>
      <c r="J6457" s="5" t="s">
        <v>26607</v>
      </c>
      <c r="K6457" s="5" t="s">
        <v>344</v>
      </c>
      <c r="L6457" s="5" t="s">
        <v>44163</v>
      </c>
      <c r="M6457" s="27"/>
      <c r="N6457" s="5"/>
      <c r="O6457" s="5" t="str">
        <v>1644011638</v>
      </c>
      <c r="P6457" s="27">
        <v>25200000</v>
      </c>
      <c r="Q6457" s="5"/>
      <c r="R6457" s="5"/>
      <c r="S6457" s="5" t="s">
        <v>49029</v>
      </c>
      <c r="T6457" s="28">
        <v>9749261000</v>
      </c>
      <c r="U6457" s="28">
        <v>64927000</v>
      </c>
      <c r="V6457" s="28">
        <v>1296217000</v>
      </c>
      <c r="W6457" s="28"/>
      <c r="X6457" s="28">
        <v>834687000</v>
      </c>
      <c r="Y6457" s="28">
        <v>13148706000</v>
      </c>
      <c r="Z6457" s="28">
        <v>8353494000</v>
      </c>
      <c r="AA6457" s="28"/>
      <c r="AB6457" s="28"/>
      <c r="AC6457" s="28">
        <v>1843033000</v>
      </c>
      <c r="AD6457" s="28">
        <v>8464133000</v>
      </c>
      <c r="AE6457" s="28">
        <v>15337355000</v>
      </c>
      <c r="AF6457" s="28">
        <v>1120675000</v>
      </c>
      <c r="AG6457" s="11"/>
    </row>
    <row r="6458">
      <c r="A6458" s="7" t="s">
        <v>8027</v>
      </c>
      <c r="B6458" s="5" t="s">
        <v>15979</v>
      </c>
      <c r="C6458" s="5" t="s">
        <v>23626</v>
      </c>
      <c r="D6458" s="5"/>
      <c r="E6458" s="0" t="e">
        <f>+7 (855) 2778204
+7 (855) 2778858
+7 (855) 2332584
+7 (855) 2778017
+7 (855) 2778037
+7 (855) 2778047
+7 (855) 2778128
+7 (855) 2778580</f>
        <v>#NAME?</v>
      </c>
      <c r="F6458" s="5" t="s">
        <v>44164</v>
      </c>
      <c r="G6458" s="5" t="s">
        <v>44165</v>
      </c>
      <c r="H6458" s="26">
        <v>21</v>
      </c>
      <c r="I6458" s="5"/>
      <c r="J6458" s="5" t="s">
        <v>44166</v>
      </c>
      <c r="K6458" s="5" t="s">
        <v>344</v>
      </c>
      <c r="L6458" s="5"/>
      <c r="M6458" s="27"/>
      <c r="N6458" s="5" t="s">
        <v>59026</v>
      </c>
      <c r="O6458" s="5" t="str">
        <v>1650089015</v>
      </c>
      <c r="P6458" s="27">
        <v>1000000</v>
      </c>
      <c r="Q6458" s="5" t="s">
        <v>49021</v>
      </c>
      <c r="R6458" s="5"/>
      <c r="S6458" s="5" t="s">
        <v>59027</v>
      </c>
      <c r="T6458" s="28">
        <v>72933000</v>
      </c>
      <c r="U6458" s="28"/>
      <c r="V6458" s="28">
        <v>282805000</v>
      </c>
      <c r="W6458" s="28">
        <v>70654000</v>
      </c>
      <c r="X6458" s="28">
        <v>930121000</v>
      </c>
      <c r="Y6458" s="28">
        <v>2224481000</v>
      </c>
      <c r="Z6458" s="28">
        <v>533061000</v>
      </c>
      <c r="AA6458" s="28"/>
      <c r="AB6458" s="28"/>
      <c r="AC6458" s="28">
        <v>1667227000</v>
      </c>
      <c r="AD6458" s="28">
        <v>536283000</v>
      </c>
      <c r="AE6458" s="28">
        <v>13657489000</v>
      </c>
      <c r="AF6458" s="28">
        <v>1202785000</v>
      </c>
      <c r="AG6458" s="11"/>
    </row>
    <row r="6459">
      <c r="A6459" s="7" t="s">
        <v>8028</v>
      </c>
      <c r="B6459" s="5" t="s">
        <v>15980</v>
      </c>
      <c r="C6459" s="5" t="s">
        <v>23627</v>
      </c>
      <c r="D6459" s="5" t="str">
        <v>165702328681</v>
      </c>
      <c r="E6459" s="0" t="e">
        <f>+7 (843) 5186961
+7 (843) 5419500
+7 (843) 5419505
+7 (843) 5419510
+7 (843) 5439633
+7 (843) 5624714
+7 (843) 5673502
+7 (8435) 624805
+7 (8435) 673400
+7 (8435) 673401
+7 (8435) 673501</f>
        <v>#NAME?</v>
      </c>
      <c r="F6459" s="5" t="s">
        <v>44167</v>
      </c>
      <c r="G6459" s="5" t="s">
        <v>44168</v>
      </c>
      <c r="H6459" s="26">
        <v>18</v>
      </c>
      <c r="I6459" s="5"/>
      <c r="J6459" s="5" t="s">
        <v>26503</v>
      </c>
      <c r="K6459" s="5" t="s">
        <v>344</v>
      </c>
      <c r="L6459" s="5" t="s">
        <v>44169</v>
      </c>
      <c r="M6459" s="27">
        <v>864056160</v>
      </c>
      <c r="N6459" s="5" t="s">
        <v>59028</v>
      </c>
      <c r="O6459" s="5" t="str">
        <v>1681000049</v>
      </c>
      <c r="P6459" s="27">
        <v>1742302000</v>
      </c>
      <c r="Q6459" s="5" t="s">
        <v>59029</v>
      </c>
      <c r="R6459" s="5"/>
      <c r="S6459" s="5" t="s">
        <v>59030</v>
      </c>
      <c r="T6459" s="28">
        <v>8253938000</v>
      </c>
      <c r="U6459" s="28">
        <v>622521000</v>
      </c>
      <c r="V6459" s="28">
        <v>15841285000</v>
      </c>
      <c r="W6459" s="28">
        <v>295712000</v>
      </c>
      <c r="X6459" s="28">
        <v>804074000</v>
      </c>
      <c r="Y6459" s="28">
        <v>29458594000</v>
      </c>
      <c r="Z6459" s="28">
        <v>12117558000</v>
      </c>
      <c r="AA6459" s="28">
        <v>3621224000</v>
      </c>
      <c r="AB6459" s="28">
        <v>4857182000</v>
      </c>
      <c r="AC6459" s="28">
        <v>11762291000</v>
      </c>
      <c r="AD6459" s="28">
        <v>13946975000</v>
      </c>
      <c r="AE6459" s="28">
        <v>16658375000</v>
      </c>
      <c r="AF6459" s="28">
        <v>1592901000</v>
      </c>
      <c r="AG6459" s="11"/>
    </row>
    <row r="6460">
      <c r="A6460" s="7" t="s">
        <v>8029</v>
      </c>
      <c r="B6460" s="5" t="s">
        <v>15981</v>
      </c>
      <c r="C6460" s="5" t="s">
        <v>23628</v>
      </c>
      <c r="D6460" s="5" t="str">
        <v>166000732239</v>
      </c>
      <c r="E6460" s="0" t="e">
        <f>+7 (8432) 642126
+7 (4232) 380000
+7 (483) 2280000
+7 (499) 7090117
+7 (800) 5559000
+7 (8342) 211311
+7 (8422) 380000
+7 (843) 2726393
+7 (843) 3238000
+7 (8432) 211211
+7 (8432) 211287
+7 (8432) 211334
+7 (8432) 211338
+7 (8432) 238000
+7 (8432) 390000</f>
        <v>#NAME?</v>
      </c>
      <c r="F6460" s="5" t="s">
        <v>44170</v>
      </c>
      <c r="G6460" s="5" t="s">
        <v>44171</v>
      </c>
      <c r="H6460" s="26">
        <v>19.5</v>
      </c>
      <c r="I6460" s="5" t="s">
        <v>44172</v>
      </c>
      <c r="J6460" s="5" t="s">
        <v>31664</v>
      </c>
      <c r="K6460" s="5" t="s">
        <v>344</v>
      </c>
      <c r="L6460" s="5"/>
      <c r="M6460" s="27">
        <v>15795398</v>
      </c>
      <c r="N6460" s="5" t="s">
        <v>59031</v>
      </c>
      <c r="O6460" s="5" t="str">
        <v>1681000024</v>
      </c>
      <c r="P6460" s="27">
        <v>2084397640</v>
      </c>
      <c r="Q6460" s="5" t="s">
        <v>59033</v>
      </c>
      <c r="R6460" s="5"/>
      <c r="S6460" s="5" t="s">
        <v>59034</v>
      </c>
      <c r="T6460" s="28">
        <v>3854381000</v>
      </c>
      <c r="U6460" s="28">
        <v>7059679000</v>
      </c>
      <c r="V6460" s="28">
        <v>1000116000</v>
      </c>
      <c r="W6460" s="28">
        <v>650000000</v>
      </c>
      <c r="X6460" s="28">
        <v>3328926000</v>
      </c>
      <c r="Y6460" s="28">
        <v>16906179000</v>
      </c>
      <c r="Z6460" s="28">
        <v>11460222000</v>
      </c>
      <c r="AA6460" s="28"/>
      <c r="AB6460" s="28"/>
      <c r="AC6460" s="28">
        <v>2942556000</v>
      </c>
      <c r="AD6460" s="28">
        <v>13836341000</v>
      </c>
      <c r="AE6460" s="28">
        <v>8411673000</v>
      </c>
      <c r="AF6460" s="28">
        <v>1513946000</v>
      </c>
      <c r="AG6460" s="11"/>
    </row>
    <row r="6461">
      <c r="A6461" s="7" t="s">
        <v>8030</v>
      </c>
      <c r="B6461" s="5" t="s">
        <v>15982</v>
      </c>
      <c r="C6461" s="5" t="s">
        <v>23629</v>
      </c>
      <c r="D6461" s="5" t="str">
        <v>165710960083</v>
      </c>
      <c r="E6461" s="0" t="e">
        <f>+7 (483) 2949748
+7 (8432) 42194
+7 (8432) 131313
+7 (8432) 217979
+7 (8432) 313131
+7 (8432) 333403
+7 (8432) 349719
+7 (8432) 360202
+7 (8432) 363636
+7 (843) 2646032
+7 (843) 2646102
+7 (843) 2787938
+7 (843) 2931140
+7 (8432) 292812
+7 (8432) 296827</f>
        <v>#NAME?</v>
      </c>
      <c r="F6461" s="5" t="s">
        <v>44173</v>
      </c>
      <c r="G6461" s="5" t="s">
        <v>44174</v>
      </c>
      <c r="H6461" s="26">
        <v>22.5</v>
      </c>
      <c r="I6461" s="5" t="s">
        <v>44175</v>
      </c>
      <c r="J6461" s="5" t="s">
        <v>25429</v>
      </c>
      <c r="K6461" s="5" t="s">
        <v>344</v>
      </c>
      <c r="L6461" s="5"/>
      <c r="M6461" s="27">
        <v>140206167</v>
      </c>
      <c r="N6461" s="5" t="s">
        <v>59035</v>
      </c>
      <c r="O6461" s="5" t="str">
        <v>1654038766</v>
      </c>
      <c r="P6461" s="27">
        <v>25000000</v>
      </c>
      <c r="Q6461" s="5" t="s">
        <v>59036</v>
      </c>
      <c r="R6461" s="5"/>
      <c r="S6461" s="5" t="s">
        <v>57466</v>
      </c>
      <c r="T6461" s="28">
        <v>1107143000</v>
      </c>
      <c r="U6461" s="28"/>
      <c r="V6461" s="28">
        <v>663658000</v>
      </c>
      <c r="W6461" s="28"/>
      <c r="X6461" s="28">
        <v>811842000</v>
      </c>
      <c r="Y6461" s="28">
        <v>5008395000</v>
      </c>
      <c r="Z6461" s="28">
        <v>554143000</v>
      </c>
      <c r="AA6461" s="28"/>
      <c r="AB6461" s="28"/>
      <c r="AC6461" s="28">
        <v>3951898000</v>
      </c>
      <c r="AD6461" s="28">
        <v>1050849000</v>
      </c>
      <c r="AE6461" s="28">
        <v>12810795000</v>
      </c>
      <c r="AF6461" s="28">
        <v>43723000</v>
      </c>
      <c r="AG6461" s="11"/>
    </row>
    <row r="6462">
      <c r="A6462" s="7" t="s">
        <v>8031</v>
      </c>
      <c r="B6462" s="5" t="s">
        <v>15983</v>
      </c>
      <c r="C6462" s="5" t="s">
        <v>23630</v>
      </c>
      <c r="D6462" s="5" t="str">
        <v>613602385204</v>
      </c>
      <c r="E6462" s="0" t="e">
        <f>+7 (863) 7191972
+7 (86371) 95156
+7 (928) 2968881</f>
        <v>#NAME?</v>
      </c>
      <c r="F6462" s="5" t="s">
        <v>44176</v>
      </c>
      <c r="G6462" s="5"/>
      <c r="H6462" s="26">
        <v>30</v>
      </c>
      <c r="I6462" s="5" t="s">
        <v>44177</v>
      </c>
      <c r="J6462" s="5" t="s">
        <v>25805</v>
      </c>
      <c r="K6462" s="5" t="s">
        <v>344</v>
      </c>
      <c r="L6462" s="5" t="s">
        <v>40220</v>
      </c>
      <c r="M6462" s="27"/>
      <c r="N6462" s="5"/>
      <c r="O6462" s="5" t="str">
        <v>6136003867</v>
      </c>
      <c r="P6462" s="27">
        <v>1000000</v>
      </c>
      <c r="Q6462" s="5" t="s">
        <v>49009</v>
      </c>
      <c r="R6462" s="5"/>
      <c r="S6462" s="5" t="s">
        <v>49066</v>
      </c>
      <c r="T6462" s="28">
        <v>687194000</v>
      </c>
      <c r="U6462" s="28"/>
      <c r="V6462" s="28">
        <v>112174000</v>
      </c>
      <c r="W6462" s="28">
        <v>10500000</v>
      </c>
      <c r="X6462" s="28">
        <v>551000</v>
      </c>
      <c r="Y6462" s="28">
        <v>1740304000</v>
      </c>
      <c r="Z6462" s="28">
        <v>387792000</v>
      </c>
      <c r="AA6462" s="28">
        <v>477000000</v>
      </c>
      <c r="AB6462" s="28">
        <v>325417000</v>
      </c>
      <c r="AC6462" s="28">
        <v>594898000</v>
      </c>
      <c r="AD6462" s="28">
        <v>389303000</v>
      </c>
      <c r="AE6462" s="28">
        <v>6171500000</v>
      </c>
      <c r="AF6462" s="28">
        <v>25744000</v>
      </c>
      <c r="AG6462" s="11"/>
    </row>
    <row r="6463">
      <c r="A6463" s="7" t="s">
        <v>8032</v>
      </c>
      <c r="B6463" s="5" t="s">
        <v>15984</v>
      </c>
      <c r="C6463" s="5" t="s">
        <v>23631</v>
      </c>
      <c r="D6463" s="5" t="str">
        <v>165505875808</v>
      </c>
      <c r="E6463" s="0" t="e">
        <f>+7 (843) 5174349
+7 (843) 5174364
+7 (843) 5173337
+7 (8432) 377003
+7 (8435) 171517</f>
        <v>#NAME?</v>
      </c>
      <c r="F6463" s="5" t="s">
        <v>44178</v>
      </c>
      <c r="G6463" s="5" t="s">
        <v>44179</v>
      </c>
      <c r="H6463" s="26">
        <v>29.5</v>
      </c>
      <c r="I6463" s="5"/>
      <c r="J6463" s="5" t="s">
        <v>710</v>
      </c>
      <c r="K6463" s="5" t="s">
        <v>344</v>
      </c>
      <c r="L6463" s="5"/>
      <c r="M6463" s="27">
        <v>3193218</v>
      </c>
      <c r="N6463" s="5" t="s">
        <v>59037</v>
      </c>
      <c r="O6463" s="5" t="str">
        <v>1657002006</v>
      </c>
      <c r="P6463" s="27">
        <v>51072000</v>
      </c>
      <c r="Q6463" s="5" t="s">
        <v>59038</v>
      </c>
      <c r="R6463" s="5" t="s">
        <v>52108</v>
      </c>
      <c r="S6463" s="5" t="s">
        <v>59039</v>
      </c>
      <c r="T6463" s="28">
        <v>360614000</v>
      </c>
      <c r="U6463" s="28">
        <v>243520000</v>
      </c>
      <c r="V6463" s="28">
        <v>1459570000</v>
      </c>
      <c r="W6463" s="28">
        <v>46329000</v>
      </c>
      <c r="X6463" s="28">
        <v>18028000</v>
      </c>
      <c r="Y6463" s="28">
        <v>2958758000</v>
      </c>
      <c r="Z6463" s="28">
        <v>1369089000</v>
      </c>
      <c r="AA6463" s="28"/>
      <c r="AB6463" s="28">
        <v>303616000</v>
      </c>
      <c r="AC6463" s="28">
        <v>1404413000</v>
      </c>
      <c r="AD6463" s="28">
        <v>1554163000</v>
      </c>
      <c r="AE6463" s="28">
        <v>4571158000</v>
      </c>
      <c r="AF6463" s="28">
        <v>5999000</v>
      </c>
      <c r="AG6463" s="11"/>
    </row>
    <row r="6464">
      <c r="A6464" s="7" t="s">
        <v>8033</v>
      </c>
      <c r="B6464" s="5" t="s">
        <v>15985</v>
      </c>
      <c r="C6464" s="5" t="s">
        <v>23632</v>
      </c>
      <c r="D6464" s="5" t="str">
        <v>165017928693</v>
      </c>
      <c r="E6464" s="0" t="e">
        <f>+7 (843) 2918644
+7 (8432) 21762
+7 (8432) 21769
+7 (8432) 21774
+7 (8432) 21775
+7 (8432) 21776
+7 (8432) 21779
+7 (8432) 24459
+7 (8432) 24859
+7 (8432) 758502
+7 (8432) 918109
+7 (8432) 918648
+7 (8432) 918659
+7 (8432) 918720
+7 (8432) 918738</f>
        <v>#NAME?</v>
      </c>
      <c r="F6464" s="5" t="s">
        <v>44180</v>
      </c>
      <c r="G6464" s="5" t="s">
        <v>44181</v>
      </c>
      <c r="H6464" s="26">
        <v>21</v>
      </c>
      <c r="I6464" s="5" t="s">
        <v>44182</v>
      </c>
      <c r="J6464" s="5" t="s">
        <v>27640</v>
      </c>
      <c r="K6464" s="5" t="s">
        <v>344</v>
      </c>
      <c r="L6464" s="5" t="s">
        <v>44183</v>
      </c>
      <c r="M6464" s="27">
        <v>1772074</v>
      </c>
      <c r="N6464" s="5" t="s">
        <v>59040</v>
      </c>
      <c r="O6464" s="5" t="str">
        <v>1657036630</v>
      </c>
      <c r="P6464" s="27">
        <v>9435462899</v>
      </c>
      <c r="Q6464" s="5" t="s">
        <v>59041</v>
      </c>
      <c r="R6464" s="5" t="s">
        <v>59042</v>
      </c>
      <c r="S6464" s="5" t="s">
        <v>51382</v>
      </c>
      <c r="T6464" s="28">
        <v>43829640000</v>
      </c>
      <c r="U6464" s="28">
        <v>1838993000</v>
      </c>
      <c r="V6464" s="28">
        <v>8046322000</v>
      </c>
      <c r="W6464" s="28">
        <v>2353987000</v>
      </c>
      <c r="X6464" s="28">
        <v>90177000</v>
      </c>
      <c r="Y6464" s="28">
        <v>70339355000</v>
      </c>
      <c r="Z6464" s="28">
        <v>33808583000</v>
      </c>
      <c r="AA6464" s="28">
        <v>8895597000</v>
      </c>
      <c r="AB6464" s="28">
        <v>1419690000</v>
      </c>
      <c r="AC6464" s="28">
        <v>8563205000</v>
      </c>
      <c r="AD6464" s="28">
        <v>48566058000</v>
      </c>
      <c r="AE6464" s="28">
        <v>50098307000</v>
      </c>
      <c r="AF6464" s="28">
        <v>115079000</v>
      </c>
      <c r="AG6464" s="11"/>
    </row>
    <row r="6465">
      <c r="A6465" s="7" t="s">
        <v>8034</v>
      </c>
      <c r="B6465" s="5" t="s">
        <v>15986</v>
      </c>
      <c r="C6465" s="5" t="s">
        <v>18335</v>
      </c>
      <c r="D6465" s="5" t="str">
        <v>166004891800</v>
      </c>
      <c r="E6465" s="0" t="e">
        <f>+7 (483) 2957124
+7 (495) 5677892
+7 (800) 2002520
+7 (800) 2348243
+7 (8432) 21749
+7 (8432) 21787
+7 (8432) 23199
+7 (8432) 45689
+7 (8432) 45898
+7 (8432) 48971
+7 (8432) 58947
+7 (8432) 58978
+7 (8432) 116622
+7 (8432) 117017
+7 (8432) 131313</f>
        <v>#NAME?</v>
      </c>
      <c r="F6465" s="5" t="s">
        <v>44184</v>
      </c>
      <c r="G6465" s="5"/>
      <c r="H6465" s="26">
        <v>14</v>
      </c>
      <c r="I6465" s="5" t="s">
        <v>44185</v>
      </c>
      <c r="J6465" s="5" t="s">
        <v>26623</v>
      </c>
      <c r="K6465" s="5" t="s">
        <v>344</v>
      </c>
      <c r="L6465" s="5" t="s">
        <v>44186</v>
      </c>
      <c r="M6465" s="27">
        <v>15988767</v>
      </c>
      <c r="N6465" s="5" t="s">
        <v>59043</v>
      </c>
      <c r="O6465" s="5" t="str">
        <v>1657082308</v>
      </c>
      <c r="P6465" s="27">
        <v>143052000</v>
      </c>
      <c r="Q6465" s="5" t="s">
        <v>59044</v>
      </c>
      <c r="R6465" s="5"/>
      <c r="S6465" s="5" t="s">
        <v>49271</v>
      </c>
      <c r="T6465" s="28">
        <v>2355690000</v>
      </c>
      <c r="U6465" s="28"/>
      <c r="V6465" s="28">
        <v>4746701000</v>
      </c>
      <c r="W6465" s="28">
        <v>1406000</v>
      </c>
      <c r="X6465" s="28">
        <v>7052736000</v>
      </c>
      <c r="Y6465" s="28">
        <v>14605181000</v>
      </c>
      <c r="Z6465" s="28">
        <v>6899993000</v>
      </c>
      <c r="AA6465" s="28"/>
      <c r="AB6465" s="28"/>
      <c r="AC6465" s="28">
        <v>7554309000</v>
      </c>
      <c r="AD6465" s="28">
        <v>7050872000</v>
      </c>
      <c r="AE6465" s="28">
        <v>84680178000</v>
      </c>
      <c r="AF6465" s="28">
        <v>1691990000</v>
      </c>
      <c r="AG6465" s="11"/>
    </row>
    <row r="6466">
      <c r="A6466" s="7" t="s">
        <v>8035</v>
      </c>
      <c r="B6466" s="5" t="s">
        <v>15987</v>
      </c>
      <c r="C6466" s="5" t="s">
        <v>21269</v>
      </c>
      <c r="D6466" s="5" t="str">
        <v>519043675741</v>
      </c>
      <c r="E6466" s="0" t="e">
        <f>+7 (815) 2459894
+7 (815) 2288180
+7 (815) 2288290</f>
        <v>#NAME?</v>
      </c>
      <c r="F6466" s="5" t="s">
        <v>44187</v>
      </c>
      <c r="G6466" s="5" t="s">
        <v>44188</v>
      </c>
      <c r="H6466" s="26">
        <v>25.5</v>
      </c>
      <c r="I6466" s="5" t="s">
        <v>44189</v>
      </c>
      <c r="J6466" s="5" t="s">
        <v>26424</v>
      </c>
      <c r="K6466" s="5" t="s">
        <v>344</v>
      </c>
      <c r="L6466" s="5" t="s">
        <v>44190</v>
      </c>
      <c r="M6466" s="27"/>
      <c r="N6466" s="5"/>
      <c r="O6466" s="5" t="str">
        <v>5191407587</v>
      </c>
      <c r="P6466" s="27">
        <v>25500</v>
      </c>
      <c r="Q6466" s="5" t="s">
        <v>49009</v>
      </c>
      <c r="R6466" s="5" t="s">
        <v>58700</v>
      </c>
      <c r="S6466" s="5" t="s">
        <v>49066</v>
      </c>
      <c r="T6466" s="28">
        <v>1226981000</v>
      </c>
      <c r="U6466" s="28">
        <v>109668000</v>
      </c>
      <c r="V6466" s="28">
        <v>3222225000</v>
      </c>
      <c r="W6466" s="28">
        <v>853000000</v>
      </c>
      <c r="X6466" s="28">
        <v>56504000</v>
      </c>
      <c r="Y6466" s="28">
        <v>6142205000</v>
      </c>
      <c r="Z6466" s="28">
        <v>5230168000</v>
      </c>
      <c r="AA6466" s="28"/>
      <c r="AB6466" s="28"/>
      <c r="AC6466" s="28">
        <v>906929000</v>
      </c>
      <c r="AD6466" s="28">
        <v>5235276000</v>
      </c>
      <c r="AE6466" s="28">
        <v>5189495000</v>
      </c>
      <c r="AF6466" s="28">
        <v>1797656000</v>
      </c>
      <c r="AG6466" s="11"/>
    </row>
    <row r="6467">
      <c r="A6467" s="7" t="s">
        <v>8036</v>
      </c>
      <c r="B6467" s="5" t="s">
        <v>15988</v>
      </c>
      <c r="C6467" s="5" t="s">
        <v>23633</v>
      </c>
      <c r="D6467" s="5" t="str">
        <v>235100195364</v>
      </c>
      <c r="E6467" s="0" t="e">
        <f>+7 (86158) 58417
+7 (86158) 58447
+7 (86158) 58341
+7 (86158) 58349
+7 (86158) 58448</f>
        <v>#NAME?</v>
      </c>
      <c r="F6467" s="5" t="s">
        <v>44191</v>
      </c>
      <c r="G6467" s="5" t="s">
        <v>44192</v>
      </c>
      <c r="H6467" s="26">
        <v>27.5</v>
      </c>
      <c r="I6467" s="5"/>
      <c r="J6467" s="5" t="s">
        <v>25994</v>
      </c>
      <c r="K6467" s="5" t="s">
        <v>344</v>
      </c>
      <c r="L6467" s="5" t="s">
        <v>44193</v>
      </c>
      <c r="M6467" s="27"/>
      <c r="N6467" s="5"/>
      <c r="O6467" s="5" t="str">
        <v>2351007672</v>
      </c>
      <c r="P6467" s="27">
        <v>50100</v>
      </c>
      <c r="Q6467" s="5" t="s">
        <v>49009</v>
      </c>
      <c r="R6467" s="5"/>
      <c r="S6467" s="5" t="s">
        <v>49028</v>
      </c>
      <c r="T6467" s="28">
        <v>622996000</v>
      </c>
      <c r="U6467" s="28"/>
      <c r="V6467" s="28">
        <v>1066477000</v>
      </c>
      <c r="W6467" s="28"/>
      <c r="X6467" s="28">
        <v>1631000</v>
      </c>
      <c r="Y6467" s="28">
        <v>4261668000</v>
      </c>
      <c r="Z6467" s="28">
        <v>2271660000</v>
      </c>
      <c r="AA6467" s="28"/>
      <c r="AB6467" s="28">
        <v>1000000000</v>
      </c>
      <c r="AC6467" s="28">
        <v>1876309000</v>
      </c>
      <c r="AD6467" s="28">
        <v>2362207000</v>
      </c>
      <c r="AE6467" s="28">
        <v>3579916000</v>
      </c>
      <c r="AF6467" s="28">
        <v>351679000</v>
      </c>
      <c r="AG6467" s="11"/>
    </row>
    <row r="6468">
      <c r="A6468" s="7" t="s">
        <v>8037</v>
      </c>
      <c r="B6468" s="5" t="s">
        <v>15989</v>
      </c>
      <c r="C6468" s="5" t="s">
        <v>23634</v>
      </c>
      <c r="D6468" s="5" t="str">
        <v>290105107868</v>
      </c>
      <c r="E6468" s="0" t="e">
        <f>+7 (48434) 32125
+7 (48434) 32323
+7 (48434) 32421
+7 (48434) 33698
+7 (48434) 33743
+7 (48434) 33955
+7 (48434) 46238</f>
        <v>#NAME?</v>
      </c>
      <c r="F6468" s="5" t="s">
        <v>44194</v>
      </c>
      <c r="G6468" s="5"/>
      <c r="H6468" s="26">
        <v>30</v>
      </c>
      <c r="I6468" s="5"/>
      <c r="J6468" s="5" t="s">
        <v>26536</v>
      </c>
      <c r="K6468" s="5" t="s">
        <v>344</v>
      </c>
      <c r="L6468" s="5"/>
      <c r="M6468" s="27">
        <v>38435</v>
      </c>
      <c r="N6468" s="5"/>
      <c r="O6468" s="5" t="str">
        <v>4004009259</v>
      </c>
      <c r="P6468" s="27">
        <v>85301000</v>
      </c>
      <c r="Q6468" s="5"/>
      <c r="R6468" s="5"/>
      <c r="S6468" s="5" t="s">
        <v>49029</v>
      </c>
      <c r="T6468" s="28">
        <v>1118528000</v>
      </c>
      <c r="U6468" s="28"/>
      <c r="V6468" s="28">
        <v>569381000</v>
      </c>
      <c r="W6468" s="28"/>
      <c r="X6468" s="28">
        <v>119072000</v>
      </c>
      <c r="Y6468" s="28">
        <v>2854948000</v>
      </c>
      <c r="Z6468" s="28">
        <v>-2197517000</v>
      </c>
      <c r="AA6468" s="28"/>
      <c r="AB6468" s="28">
        <v>2443000</v>
      </c>
      <c r="AC6468" s="28">
        <v>645751000</v>
      </c>
      <c r="AD6468" s="28">
        <v>2105273000</v>
      </c>
      <c r="AE6468" s="28">
        <v>3810986000</v>
      </c>
      <c r="AF6468" s="28">
        <v>-1703952000</v>
      </c>
      <c r="AG6468" s="11"/>
    </row>
    <row r="6469">
      <c r="A6469" s="7" t="s">
        <v>8038</v>
      </c>
      <c r="B6469" s="5" t="s">
        <v>15990</v>
      </c>
      <c r="C6469" s="5" t="s">
        <v>23635</v>
      </c>
      <c r="D6469" s="5" t="str">
        <v>771579305090</v>
      </c>
      <c r="F6469" s="5"/>
      <c r="G6469" s="5"/>
      <c r="H6469" s="26">
        <v>4.5</v>
      </c>
      <c r="I6469" s="5" t="s">
        <v>44195</v>
      </c>
      <c r="J6469" s="5" t="s">
        <v>26325</v>
      </c>
      <c r="K6469" s="5" t="s">
        <v>344</v>
      </c>
      <c r="L6469" s="5" t="s">
        <v>44196</v>
      </c>
      <c r="M6469" s="27">
        <v>1827265</v>
      </c>
      <c r="N6469" s="5" t="s">
        <v>59045</v>
      </c>
      <c r="O6469" s="5" t="str">
        <v>7727379754</v>
      </c>
      <c r="P6469" s="27">
        <v>300000</v>
      </c>
      <c r="Q6469" s="5" t="s">
        <v>59046</v>
      </c>
      <c r="R6469" s="5"/>
      <c r="S6469" s="5" t="s">
        <v>59047</v>
      </c>
      <c r="T6469" s="28">
        <v>782295000</v>
      </c>
      <c r="U6469" s="28"/>
      <c r="V6469" s="28">
        <v>454938000</v>
      </c>
      <c r="W6469" s="28"/>
      <c r="X6469" s="28">
        <v>12593000</v>
      </c>
      <c r="Y6469" s="28">
        <v>1422731000</v>
      </c>
      <c r="Z6469" s="28">
        <v>208190000</v>
      </c>
      <c r="AA6469" s="28">
        <v>128900000</v>
      </c>
      <c r="AB6469" s="28">
        <v>104723000</v>
      </c>
      <c r="AC6469" s="28">
        <v>166542000</v>
      </c>
      <c r="AD6469" s="28">
        <v>208490000</v>
      </c>
      <c r="AE6469" s="28">
        <v>4978087000</v>
      </c>
      <c r="AF6469" s="28">
        <v>309940000</v>
      </c>
      <c r="AG6469" s="11"/>
    </row>
    <row r="6470">
      <c r="A6470" s="7" t="s">
        <v>8039</v>
      </c>
      <c r="B6470" s="5" t="s">
        <v>15991</v>
      </c>
      <c r="C6470" s="5" t="s">
        <v>23636</v>
      </c>
      <c r="D6470" s="5" t="str">
        <v>771612290855</v>
      </c>
      <c r="F6470" s="5"/>
      <c r="G6470" s="5"/>
      <c r="H6470" s="26">
        <v>3.5</v>
      </c>
      <c r="I6470" s="5"/>
      <c r="J6470" s="5" t="s">
        <v>28075</v>
      </c>
      <c r="K6470" s="5" t="s">
        <v>344</v>
      </c>
      <c r="L6470" s="5" t="s">
        <v>44197</v>
      </c>
      <c r="M6470" s="27"/>
      <c r="N6470" s="5"/>
      <c r="O6470" s="5" t="str">
        <v>7714451788</v>
      </c>
      <c r="P6470" s="27">
        <v>200000</v>
      </c>
      <c r="Q6470" s="5" t="s">
        <v>49207</v>
      </c>
      <c r="R6470" s="5"/>
      <c r="S6470" s="5" t="s">
        <v>49565</v>
      </c>
      <c r="T6470" s="28">
        <v>141828000</v>
      </c>
      <c r="U6470" s="28"/>
      <c r="V6470" s="28">
        <v>1156596000</v>
      </c>
      <c r="W6470" s="28">
        <v>8700000</v>
      </c>
      <c r="X6470" s="28">
        <v>144054000</v>
      </c>
      <c r="Y6470" s="28">
        <v>2157882000</v>
      </c>
      <c r="Z6470" s="28">
        <v>272142000</v>
      </c>
      <c r="AA6470" s="28"/>
      <c r="AB6470" s="28">
        <v>1724733000</v>
      </c>
      <c r="AC6470" s="28">
        <v>1885540000</v>
      </c>
      <c r="AD6470" s="28">
        <v>272342000</v>
      </c>
      <c r="AE6470" s="28">
        <v>4844316000</v>
      </c>
      <c r="AF6470" s="28">
        <v>211275000</v>
      </c>
      <c r="AG6470" s="11"/>
    </row>
    <row r="6471">
      <c r="A6471" s="7" t="s">
        <v>8040</v>
      </c>
      <c r="B6471" s="5" t="s">
        <v>15992</v>
      </c>
      <c r="C6471" s="5" t="s">
        <v>23637</v>
      </c>
      <c r="D6471" s="5" t="str">
        <v>722401728836</v>
      </c>
      <c r="E6471" s="0" t="e">
        <f>+7 (482) 2320843
+7 (48232) 71105
+7 (48232) 71129
+7 (495) 5029167
+7 (495) 9333335</f>
        <v>#NAME?</v>
      </c>
      <c r="F6471" s="5" t="s">
        <v>44198</v>
      </c>
      <c r="G6471" s="5"/>
      <c r="H6471" s="26">
        <v>23.5</v>
      </c>
      <c r="I6471" s="5" t="s">
        <v>44199</v>
      </c>
      <c r="J6471" s="5" t="s">
        <v>25450</v>
      </c>
      <c r="K6471" s="5" t="s">
        <v>355</v>
      </c>
      <c r="L6471" s="5"/>
      <c r="M6471" s="27"/>
      <c r="N6471" s="5"/>
      <c r="O6471" s="5" t="str">
        <v>5040056721</v>
      </c>
      <c r="P6471" s="27">
        <v>30000000</v>
      </c>
      <c r="Q6471" s="5"/>
      <c r="R6471" s="5"/>
      <c r="S6471" s="5" t="s">
        <v>49425</v>
      </c>
      <c r="T6471" s="28">
        <v>1162052000</v>
      </c>
      <c r="U6471" s="28"/>
      <c r="V6471" s="28">
        <v>128671000</v>
      </c>
      <c r="W6471" s="28"/>
      <c r="X6471" s="28">
        <v>33236000</v>
      </c>
      <c r="Y6471" s="28">
        <v>1615797000</v>
      </c>
      <c r="Z6471" s="28">
        <v>559639000</v>
      </c>
      <c r="AA6471" s="28"/>
      <c r="AB6471" s="28">
        <v>302527000</v>
      </c>
      <c r="AC6471" s="28">
        <v>906137000</v>
      </c>
      <c r="AD6471" s="28">
        <v>709660000</v>
      </c>
      <c r="AE6471" s="28">
        <v>3725268000</v>
      </c>
      <c r="AF6471" s="28">
        <v>-74175000</v>
      </c>
      <c r="AG6471" s="11"/>
    </row>
    <row r="6472">
      <c r="A6472" s="7" t="s">
        <v>8041</v>
      </c>
      <c r="B6472" s="5" t="s">
        <v>15993</v>
      </c>
      <c r="C6472" s="5" t="s">
        <v>23638</v>
      </c>
      <c r="D6472" s="5" t="str">
        <v>770506842654</v>
      </c>
      <c r="E6472" s="0" t="e">
        <f>+7 (495) 6441169
+7 (495) 2603554</f>
        <v>#NAME?</v>
      </c>
      <c r="F6472" s="5" t="s">
        <v>44200</v>
      </c>
      <c r="G6472" s="5"/>
      <c r="H6472" s="26">
        <v>12</v>
      </c>
      <c r="I6472" s="5" t="s">
        <v>44201</v>
      </c>
      <c r="J6472" s="5" t="s">
        <v>785</v>
      </c>
      <c r="K6472" s="5" t="s">
        <v>344</v>
      </c>
      <c r="L6472" s="5" t="s">
        <v>44202</v>
      </c>
      <c r="M6472" s="27"/>
      <c r="N6472" s="5"/>
      <c r="O6472" s="5" t="str">
        <v>7708737725</v>
      </c>
      <c r="P6472" s="27">
        <v>50000</v>
      </c>
      <c r="Q6472" s="5" t="s">
        <v>49021</v>
      </c>
      <c r="R6472" s="5"/>
      <c r="S6472" s="5" t="s">
        <v>49033</v>
      </c>
      <c r="T6472" s="28">
        <v>214000</v>
      </c>
      <c r="U6472" s="28"/>
      <c r="V6472" s="28">
        <v>233239000</v>
      </c>
      <c r="W6472" s="28"/>
      <c r="X6472" s="28">
        <v>175105000</v>
      </c>
      <c r="Y6472" s="28">
        <v>410536000</v>
      </c>
      <c r="Z6472" s="28">
        <v>101153000</v>
      </c>
      <c r="AA6472" s="28"/>
      <c r="AB6472" s="28"/>
      <c r="AC6472" s="28">
        <v>309305000</v>
      </c>
      <c r="AD6472" s="28">
        <v>101203000</v>
      </c>
      <c r="AE6472" s="28">
        <v>3021909000</v>
      </c>
      <c r="AF6472" s="28">
        <v>67513000</v>
      </c>
      <c r="AG6472" s="11"/>
    </row>
    <row r="6473">
      <c r="A6473" s="7" t="s">
        <v>8042</v>
      </c>
      <c r="B6473" s="5" t="s">
        <v>15994</v>
      </c>
      <c r="C6473" s="5" t="s">
        <v>23639</v>
      </c>
      <c r="D6473" s="5" t="str">
        <v>616500218016</v>
      </c>
      <c r="E6473" s="0" t="e">
        <f>+7 (800) 4440699
+7 (8632) 100682
+7 (928) 7514717
+7 (8632) 100698
+7 (906) 1860387
+7 (928) 1241714
+7 (928) 1709945
+7 (928) 2264306</f>
        <v>#NAME?</v>
      </c>
      <c r="F6473" s="5" t="s">
        <v>44203</v>
      </c>
      <c r="G6473" s="5"/>
      <c r="H6473" s="26">
        <v>9.5</v>
      </c>
      <c r="I6473" s="5" t="s">
        <v>44204</v>
      </c>
      <c r="J6473" s="5" t="s">
        <v>25842</v>
      </c>
      <c r="K6473" s="5" t="s">
        <v>344</v>
      </c>
      <c r="L6473" s="5" t="s">
        <v>44205</v>
      </c>
      <c r="M6473" s="27"/>
      <c r="N6473" s="5" t="s">
        <v>59048</v>
      </c>
      <c r="O6473" s="5" t="str">
        <v>6102059170</v>
      </c>
      <c r="P6473" s="27">
        <v>300000</v>
      </c>
      <c r="Q6473" s="5" t="s">
        <v>59049</v>
      </c>
      <c r="R6473" s="5"/>
      <c r="S6473" s="5" t="s">
        <v>50936</v>
      </c>
      <c r="T6473" s="28">
        <v>142594000</v>
      </c>
      <c r="U6473" s="28"/>
      <c r="V6473" s="28">
        <v>257418000</v>
      </c>
      <c r="W6473" s="28">
        <v>19024000</v>
      </c>
      <c r="X6473" s="28">
        <v>16021000</v>
      </c>
      <c r="Y6473" s="28">
        <v>1078954000</v>
      </c>
      <c r="Z6473" s="28">
        <v>625377000</v>
      </c>
      <c r="AA6473" s="28">
        <v>55000000</v>
      </c>
      <c r="AB6473" s="28">
        <v>172000</v>
      </c>
      <c r="AC6473" s="28">
        <v>381234000</v>
      </c>
      <c r="AD6473" s="28">
        <v>625677000</v>
      </c>
      <c r="AE6473" s="28">
        <v>3899438000</v>
      </c>
      <c r="AF6473" s="28">
        <v>320324000</v>
      </c>
      <c r="AG6473" s="11"/>
    </row>
    <row r="6474">
      <c r="A6474" s="7" t="s">
        <v>8043</v>
      </c>
      <c r="B6474" s="5" t="s">
        <v>15995</v>
      </c>
      <c r="C6474" s="5" t="s">
        <v>23640</v>
      </c>
      <c r="D6474" s="5" t="str">
        <v>434601500774</v>
      </c>
      <c r="E6474" s="0" t="e">
        <f>+7 (495) 9212435
+7 (495) 9339989
+7 (861) 2000439
+7 (963) 7130049</f>
        <v>#NAME?</v>
      </c>
      <c r="F6474" s="5" t="s">
        <v>44206</v>
      </c>
      <c r="G6474" s="5"/>
      <c r="H6474" s="26">
        <v>19.5</v>
      </c>
      <c r="I6474" s="5" t="s">
        <v>44207</v>
      </c>
      <c r="J6474" s="5" t="s">
        <v>25316</v>
      </c>
      <c r="K6474" s="5" t="s">
        <v>355</v>
      </c>
      <c r="L6474" s="5" t="s">
        <v>44208</v>
      </c>
      <c r="M6474" s="27">
        <v>1188431</v>
      </c>
      <c r="N6474" s="5"/>
      <c r="O6474" s="5" t="str">
        <v>7728305113</v>
      </c>
      <c r="P6474" s="27">
        <v>123516140</v>
      </c>
      <c r="Q6474" s="5" t="s">
        <v>49207</v>
      </c>
      <c r="R6474" s="5" t="s">
        <v>59050</v>
      </c>
      <c r="S6474" s="5" t="s">
        <v>50911</v>
      </c>
      <c r="T6474" s="28">
        <v>766424000</v>
      </c>
      <c r="U6474" s="28">
        <v>57970000</v>
      </c>
      <c r="V6474" s="28">
        <v>1215694000</v>
      </c>
      <c r="W6474" s="28">
        <v>717000</v>
      </c>
      <c r="X6474" s="28">
        <v>59578000</v>
      </c>
      <c r="Y6474" s="28">
        <v>3842846000</v>
      </c>
      <c r="Z6474" s="28">
        <v>559755000</v>
      </c>
      <c r="AA6474" s="28">
        <v>500000000</v>
      </c>
      <c r="AB6474" s="28">
        <v>559997000</v>
      </c>
      <c r="AC6474" s="28">
        <v>2490618000</v>
      </c>
      <c r="AD6474" s="28">
        <v>683271000</v>
      </c>
      <c r="AE6474" s="28">
        <v>3279584000</v>
      </c>
      <c r="AF6474" s="28">
        <v>95530000</v>
      </c>
      <c r="AG6474" s="11"/>
    </row>
    <row r="6475">
      <c r="A6475" s="7" t="s">
        <v>8044</v>
      </c>
      <c r="B6475" s="5" t="s">
        <v>15996</v>
      </c>
      <c r="C6475" s="5" t="s">
        <v>23641</v>
      </c>
      <c r="D6475" s="5" t="str">
        <v>231002325963</v>
      </c>
      <c r="E6475" s="0" t="e">
        <f>+7 (861) 2341822</f>
        <v>#NAME?</v>
      </c>
      <c r="F6475" s="5"/>
      <c r="G6475" s="5"/>
      <c r="H6475" s="26">
        <v>16</v>
      </c>
      <c r="I6475" s="5" t="s">
        <v>44209</v>
      </c>
      <c r="J6475" s="5" t="s">
        <v>25219</v>
      </c>
      <c r="K6475" s="5" t="s">
        <v>344</v>
      </c>
      <c r="L6475" s="5" t="s">
        <v>44210</v>
      </c>
      <c r="M6475" s="27"/>
      <c r="N6475" s="5" t="s">
        <v>49675</v>
      </c>
      <c r="O6475" s="5" t="str">
        <v>2310123447</v>
      </c>
      <c r="P6475" s="27">
        <v>1000000</v>
      </c>
      <c r="Q6475" s="5" t="s">
        <v>49207</v>
      </c>
      <c r="R6475" s="5"/>
      <c r="S6475" s="5" t="s">
        <v>59052</v>
      </c>
      <c r="T6475" s="28">
        <v>3932057000</v>
      </c>
      <c r="U6475" s="28">
        <v>251500000</v>
      </c>
      <c r="V6475" s="28">
        <v>51423000</v>
      </c>
      <c r="W6475" s="28"/>
      <c r="X6475" s="28">
        <v>825674000</v>
      </c>
      <c r="Y6475" s="28">
        <v>7314688000</v>
      </c>
      <c r="Z6475" s="28">
        <v>1158200000</v>
      </c>
      <c r="AA6475" s="28"/>
      <c r="AB6475" s="28"/>
      <c r="AC6475" s="28">
        <v>1803967000</v>
      </c>
      <c r="AD6475" s="28">
        <v>1159200000</v>
      </c>
      <c r="AE6475" s="28">
        <v>12197378000</v>
      </c>
      <c r="AF6475" s="28">
        <v>404592000</v>
      </c>
      <c r="AG6475" s="11"/>
    </row>
    <row r="6476">
      <c r="A6476" s="7" t="s">
        <v>8045</v>
      </c>
      <c r="B6476" s="5" t="s">
        <v>15997</v>
      </c>
      <c r="C6476" s="5" t="s">
        <v>23642</v>
      </c>
      <c r="D6476" s="5" t="str">
        <v>773711778453</v>
      </c>
      <c r="E6476" s="0" t="e">
        <f>+7 (495) 6041569
+7 (495) 7806115
+7 (495) 7806117
+7 (495) 7806123
+7 (800) 5555696</f>
        <v>#NAME?</v>
      </c>
      <c r="F6476" s="5" t="s">
        <v>44211</v>
      </c>
      <c r="G6476" s="5" t="s">
        <v>44212</v>
      </c>
      <c r="H6476" s="26">
        <v>12.5</v>
      </c>
      <c r="I6476" s="5" t="s">
        <v>44213</v>
      </c>
      <c r="J6476" s="5" t="s">
        <v>25195</v>
      </c>
      <c r="K6476" s="5" t="s">
        <v>344</v>
      </c>
      <c r="L6476" s="5" t="s">
        <v>44214</v>
      </c>
      <c r="M6476" s="27">
        <v>5000000</v>
      </c>
      <c r="N6476" s="5"/>
      <c r="O6476" s="5" t="str">
        <v>7706741162</v>
      </c>
      <c r="P6476" s="27">
        <v>202810000</v>
      </c>
      <c r="Q6476" s="5"/>
      <c r="R6476" s="5"/>
      <c r="S6476" s="5" t="s">
        <v>49121</v>
      </c>
      <c r="T6476" s="28">
        <v>1453818000</v>
      </c>
      <c r="U6476" s="28">
        <v>984321000</v>
      </c>
      <c r="V6476" s="28">
        <v>5829992000</v>
      </c>
      <c r="W6476" s="28">
        <v>500000000</v>
      </c>
      <c r="X6476" s="28">
        <v>283939000</v>
      </c>
      <c r="Y6476" s="28">
        <v>12432031000</v>
      </c>
      <c r="Z6476" s="28">
        <v>5564444000</v>
      </c>
      <c r="AA6476" s="28"/>
      <c r="AB6476" s="28">
        <v>2283466000</v>
      </c>
      <c r="AC6476" s="28">
        <v>5711510000</v>
      </c>
      <c r="AD6476" s="28">
        <v>5767254000</v>
      </c>
      <c r="AE6476" s="28">
        <v>18347148000</v>
      </c>
      <c r="AF6476" s="28">
        <v>1132005000</v>
      </c>
      <c r="AG6476" s="11"/>
    </row>
    <row r="6477">
      <c r="A6477" s="7" t="s">
        <v>8046</v>
      </c>
      <c r="B6477" s="5" t="s">
        <v>15998</v>
      </c>
      <c r="C6477" s="5" t="s">
        <v>23643</v>
      </c>
      <c r="D6477" s="5" t="str">
        <v>720402469933</v>
      </c>
      <c r="F6477" s="5"/>
      <c r="G6477" s="5" t="s">
        <v>44215</v>
      </c>
      <c r="H6477" s="26">
        <v>3</v>
      </c>
      <c r="I6477" s="5" t="s">
        <v>44216</v>
      </c>
      <c r="J6477" s="5" t="s">
        <v>26367</v>
      </c>
      <c r="K6477" s="5" t="s">
        <v>344</v>
      </c>
      <c r="L6477" s="5" t="s">
        <v>44217</v>
      </c>
      <c r="M6477" s="27">
        <v>1005260</v>
      </c>
      <c r="N6477" s="5"/>
      <c r="O6477" s="5" t="str">
        <v>6678107344</v>
      </c>
      <c r="P6477" s="27">
        <v>10000</v>
      </c>
      <c r="Q6477" s="5"/>
      <c r="R6477" s="5"/>
      <c r="S6477" s="5" t="s">
        <v>49029</v>
      </c>
      <c r="T6477" s="28">
        <v>729000</v>
      </c>
      <c r="U6477" s="28"/>
      <c r="V6477" s="28">
        <v>206101000</v>
      </c>
      <c r="W6477" s="28"/>
      <c r="X6477" s="28">
        <v>50638000</v>
      </c>
      <c r="Y6477" s="28">
        <v>394467000</v>
      </c>
      <c r="Z6477" s="28">
        <v>154632000</v>
      </c>
      <c r="AA6477" s="28"/>
      <c r="AB6477" s="28">
        <v>157000</v>
      </c>
      <c r="AC6477" s="28">
        <v>239766000</v>
      </c>
      <c r="AD6477" s="28">
        <v>154642000</v>
      </c>
      <c r="AE6477" s="28">
        <v>3479829000</v>
      </c>
      <c r="AF6477" s="28">
        <v>98429000</v>
      </c>
      <c r="AG6477" s="11"/>
    </row>
    <row r="6478">
      <c r="A6478" s="7" t="s">
        <v>8047</v>
      </c>
      <c r="B6478" s="5" t="s">
        <v>15999</v>
      </c>
      <c r="C6478" s="5" t="s">
        <v>23644</v>
      </c>
      <c r="D6478" s="5" t="str">
        <v>773600143419</v>
      </c>
      <c r="E6478" s="0" t="e">
        <f>+7 (495) 6631472
+7 (495) 6631474</f>
        <v>#NAME?</v>
      </c>
      <c r="F6478" s="5" t="s">
        <v>44218</v>
      </c>
      <c r="G6478" s="5" t="s">
        <v>44219</v>
      </c>
      <c r="H6478" s="26">
        <v>15</v>
      </c>
      <c r="I6478" s="5"/>
      <c r="J6478" s="5" t="s">
        <v>26924</v>
      </c>
      <c r="K6478" s="5" t="s">
        <v>344</v>
      </c>
      <c r="L6478" s="5"/>
      <c r="M6478" s="27"/>
      <c r="N6478" s="5" t="s">
        <v>59053</v>
      </c>
      <c r="O6478" s="5" t="str">
        <v>7708670340</v>
      </c>
      <c r="P6478" s="27">
        <v>1944939000</v>
      </c>
      <c r="Q6478" s="5" t="s">
        <v>59054</v>
      </c>
      <c r="R6478" s="5"/>
      <c r="S6478" s="5" t="s">
        <v>49961</v>
      </c>
      <c r="T6478" s="28">
        <v>758231000</v>
      </c>
      <c r="U6478" s="28"/>
      <c r="V6478" s="28">
        <v>151147000</v>
      </c>
      <c r="W6478" s="28"/>
      <c r="X6478" s="28">
        <v>157643000</v>
      </c>
      <c r="Y6478" s="28">
        <v>1823678000</v>
      </c>
      <c r="Z6478" s="28">
        <v>-1043086000</v>
      </c>
      <c r="AA6478" s="28"/>
      <c r="AB6478" s="28"/>
      <c r="AC6478" s="28">
        <v>528860000</v>
      </c>
      <c r="AD6478" s="28">
        <v>1285085000</v>
      </c>
      <c r="AE6478" s="28">
        <v>6218288000</v>
      </c>
      <c r="AF6478" s="28">
        <v>8365000</v>
      </c>
      <c r="AG6478" s="11"/>
    </row>
    <row r="6479">
      <c r="A6479" s="7" t="s">
        <v>8048</v>
      </c>
      <c r="B6479" s="5" t="s">
        <v>16000</v>
      </c>
      <c r="C6479" s="5" t="s">
        <v>23645</v>
      </c>
      <c r="D6479" s="5" t="str">
        <v>431210995957</v>
      </c>
      <c r="E6479" s="0" t="e">
        <f>+7 (495) 5661905
+7 (495) 7249474
+7 (495) 7279474
+7 (49653) 82163
+7 (49656) 97136
+7 (49672) 79474
+7 (49677) 12418
+7 (925) 3959418
+7 (985) 3959418
+7 (49656) 27136
+7 (49656) 61905
+7 (49656) 66100
+7 (49656) 68500</f>
        <v>#NAME?</v>
      </c>
      <c r="F6479" s="5" t="s">
        <v>44220</v>
      </c>
      <c r="G6479" s="5" t="s">
        <v>44221</v>
      </c>
      <c r="H6479" s="26">
        <v>3</v>
      </c>
      <c r="I6479" s="5" t="s">
        <v>44222</v>
      </c>
      <c r="J6479" s="5" t="s">
        <v>27642</v>
      </c>
      <c r="K6479" s="5" t="s">
        <v>355</v>
      </c>
      <c r="L6479" s="5" t="s">
        <v>40785</v>
      </c>
      <c r="M6479" s="27">
        <v>21667682</v>
      </c>
      <c r="N6479" s="5" t="s">
        <v>59055</v>
      </c>
      <c r="O6479" s="5" t="str">
        <v>7728493770</v>
      </c>
      <c r="P6479" s="27">
        <v>100000</v>
      </c>
      <c r="Q6479" s="5" t="s">
        <v>59056</v>
      </c>
      <c r="R6479" s="5"/>
      <c r="S6479" s="5" t="s">
        <v>51576</v>
      </c>
      <c r="T6479" s="28">
        <v>2732742000</v>
      </c>
      <c r="U6479" s="28">
        <v>63000000</v>
      </c>
      <c r="V6479" s="28">
        <v>656807000</v>
      </c>
      <c r="W6479" s="28"/>
      <c r="X6479" s="28">
        <v>734249000</v>
      </c>
      <c r="Y6479" s="28">
        <v>4717154000</v>
      </c>
      <c r="Z6479" s="28">
        <v>41064000</v>
      </c>
      <c r="AA6479" s="28"/>
      <c r="AB6479" s="28"/>
      <c r="AC6479" s="28">
        <v>1967019000</v>
      </c>
      <c r="AD6479" s="28">
        <v>41164000</v>
      </c>
      <c r="AE6479" s="28">
        <v>3266114000</v>
      </c>
      <c r="AF6479" s="28">
        <v>35277000</v>
      </c>
      <c r="AG6479" s="11"/>
    </row>
    <row r="6480">
      <c r="A6480" s="7" t="s">
        <v>8049</v>
      </c>
      <c r="B6480" s="5" t="s">
        <v>16001</v>
      </c>
      <c r="C6480" s="5" t="s">
        <v>23646</v>
      </c>
      <c r="D6480" s="5" t="str">
        <v>632145113984</v>
      </c>
      <c r="E6480" s="0" t="e">
        <f>+7 (800) 5550375
+7 (81367) 31612
+7 (812) 6555910
+7 (813) 6731594
+7 (81367) 31556
+7 (81367) 31567
+7 (81367) 31605
+7 (81367) 31622
+7 (81367) 31680
+7 (81367) 31684
+7 (81367) 58280</f>
        <v>#NAME?</v>
      </c>
      <c r="F6480" s="5" t="s">
        <v>44223</v>
      </c>
      <c r="G6480" s="5" t="s">
        <v>44224</v>
      </c>
      <c r="H6480" s="26">
        <v>15.5</v>
      </c>
      <c r="I6480" s="5"/>
      <c r="J6480" s="5" t="s">
        <v>29330</v>
      </c>
      <c r="K6480" s="5" t="s">
        <v>380</v>
      </c>
      <c r="L6480" s="5"/>
      <c r="M6480" s="27">
        <v>9568906</v>
      </c>
      <c r="N6480" s="5"/>
      <c r="O6480" s="5" t="str">
        <v>4715019631</v>
      </c>
      <c r="P6480" s="27">
        <v>584531000</v>
      </c>
      <c r="Q6480" s="5" t="s">
        <v>59057</v>
      </c>
      <c r="R6480" s="5"/>
      <c r="S6480" s="5" t="s">
        <v>55508</v>
      </c>
      <c r="T6480" s="28">
        <v>13874076000</v>
      </c>
      <c r="U6480" s="28"/>
      <c r="V6480" s="28">
        <v>17466736000</v>
      </c>
      <c r="W6480" s="28">
        <v>50353000</v>
      </c>
      <c r="X6480" s="28">
        <v>120230000</v>
      </c>
      <c r="Y6480" s="28">
        <v>42874727000</v>
      </c>
      <c r="Z6480" s="28">
        <v>-37844865000</v>
      </c>
      <c r="AA6480" s="28"/>
      <c r="AB6480" s="28">
        <v>27243690000</v>
      </c>
      <c r="AC6480" s="28">
        <v>48309504000</v>
      </c>
      <c r="AD6480" s="28">
        <v>-6429754000</v>
      </c>
      <c r="AE6480" s="28">
        <v>28353183000</v>
      </c>
      <c r="AF6480" s="28">
        <v>-14814085000</v>
      </c>
      <c r="AG6480" s="11"/>
    </row>
    <row r="6481">
      <c r="A6481" s="7" t="s">
        <v>8050</v>
      </c>
      <c r="B6481" s="5" t="s">
        <v>10407</v>
      </c>
      <c r="C6481" s="5" t="s">
        <v>23647</v>
      </c>
      <c r="D6481" s="5" t="str">
        <v>673101111810</v>
      </c>
      <c r="E6481" s="0" t="e">
        <f>+7 (495) 6859641
+7 (495) 2394404
+7 (495) 2394922
+7 (495) 9888282
+7 (495) 9888383</f>
        <v>#NAME?</v>
      </c>
      <c r="F6481" s="5" t="s">
        <v>44225</v>
      </c>
      <c r="G6481" s="5" t="s">
        <v>44226</v>
      </c>
      <c r="H6481" s="26">
        <v>26.5</v>
      </c>
      <c r="I6481" s="5" t="s">
        <v>44227</v>
      </c>
      <c r="J6481" s="5" t="s">
        <v>27575</v>
      </c>
      <c r="K6481" s="5" t="s">
        <v>344</v>
      </c>
      <c r="L6481" s="5" t="s">
        <v>44228</v>
      </c>
      <c r="M6481" s="27"/>
      <c r="N6481" s="5"/>
      <c r="O6481" s="5" t="str">
        <v>7706123550</v>
      </c>
      <c r="P6481" s="27">
        <v>23926252</v>
      </c>
      <c r="Q6481" s="5" t="s">
        <v>59058</v>
      </c>
      <c r="R6481" s="5"/>
      <c r="S6481" s="5" t="s">
        <v>49070</v>
      </c>
      <c r="T6481" s="28">
        <v>1143530000</v>
      </c>
      <c r="U6481" s="28">
        <v>283015514000</v>
      </c>
      <c r="V6481" s="28">
        <v>29979698000</v>
      </c>
      <c r="W6481" s="28">
        <v>104151191000</v>
      </c>
      <c r="X6481" s="28">
        <v>2112146000</v>
      </c>
      <c r="Y6481" s="28">
        <v>567051909000</v>
      </c>
      <c r="Z6481" s="28">
        <v>197054793000</v>
      </c>
      <c r="AA6481" s="28">
        <v>3000000000</v>
      </c>
      <c r="AB6481" s="28">
        <v>82582832000</v>
      </c>
      <c r="AC6481" s="28">
        <v>168038979000</v>
      </c>
      <c r="AD6481" s="28">
        <v>394015149000</v>
      </c>
      <c r="AE6481" s="28">
        <v>215259257000</v>
      </c>
      <c r="AF6481" s="28">
        <v>56347451000</v>
      </c>
      <c r="AG6481" s="11"/>
    </row>
    <row r="6482">
      <c r="A6482" s="7" t="s">
        <v>8051</v>
      </c>
      <c r="B6482" s="5" t="s">
        <v>16002</v>
      </c>
      <c r="C6482" s="5" t="s">
        <v>23648</v>
      </c>
      <c r="D6482" s="5" t="str">
        <v>771614951290</v>
      </c>
      <c r="E6482" s="0" t="e">
        <f>+7 (495) 6624606
+7 (495) 2801782
+7 (495) 3633507</f>
        <v>#NAME?</v>
      </c>
      <c r="F6482" s="5" t="s">
        <v>44229</v>
      </c>
      <c r="G6482" s="5" t="s">
        <v>44230</v>
      </c>
      <c r="H6482" s="26">
        <v>17.5</v>
      </c>
      <c r="I6482" s="5" t="s">
        <v>44231</v>
      </c>
      <c r="J6482" s="5" t="s">
        <v>364</v>
      </c>
      <c r="K6482" s="5" t="s">
        <v>344</v>
      </c>
      <c r="L6482" s="5" t="s">
        <v>44232</v>
      </c>
      <c r="M6482" s="27">
        <v>595223</v>
      </c>
      <c r="N6482" s="5" t="s">
        <v>59059</v>
      </c>
      <c r="O6482" s="5" t="str">
        <v>7726523814</v>
      </c>
      <c r="P6482" s="27">
        <v>10000000</v>
      </c>
      <c r="Q6482" s="5" t="s">
        <v>59060</v>
      </c>
      <c r="R6482" s="5"/>
      <c r="S6482" s="5" t="s">
        <v>59061</v>
      </c>
      <c r="T6482" s="28">
        <v>52710000</v>
      </c>
      <c r="U6482" s="28"/>
      <c r="V6482" s="28">
        <v>691739000</v>
      </c>
      <c r="W6482" s="28"/>
      <c r="X6482" s="28">
        <v>861903000</v>
      </c>
      <c r="Y6482" s="28">
        <v>1694075000</v>
      </c>
      <c r="Z6482" s="28">
        <v>318111000</v>
      </c>
      <c r="AA6482" s="28"/>
      <c r="AB6482" s="28"/>
      <c r="AC6482" s="28">
        <v>1338996000</v>
      </c>
      <c r="AD6482" s="28">
        <v>328611000</v>
      </c>
      <c r="AE6482" s="28">
        <v>5451184000</v>
      </c>
      <c r="AF6482" s="28">
        <v>91920000</v>
      </c>
      <c r="AG6482" s="11"/>
    </row>
    <row r="6483">
      <c r="A6483" s="7" t="s">
        <v>8052</v>
      </c>
      <c r="B6483" s="5" t="s">
        <v>16003</v>
      </c>
      <c r="C6483" s="5" t="s">
        <v>23649</v>
      </c>
      <c r="D6483" s="5" t="str">
        <v>525613708207</v>
      </c>
      <c r="E6483" s="0" t="e">
        <f>+7 (495) 2597608
+7 (903) 2506433</f>
        <v>#NAME?</v>
      </c>
      <c r="F6483" s="5" t="s">
        <v>44233</v>
      </c>
      <c r="G6483" s="5"/>
      <c r="H6483" s="26">
        <v>7</v>
      </c>
      <c r="I6483" s="5" t="s">
        <v>44234</v>
      </c>
      <c r="J6483" s="5" t="s">
        <v>599</v>
      </c>
      <c r="K6483" s="5" t="s">
        <v>355</v>
      </c>
      <c r="L6483" s="5" t="s">
        <v>44235</v>
      </c>
      <c r="M6483" s="27"/>
      <c r="N6483" s="5"/>
      <c r="O6483" s="5" t="str">
        <v>7708290194</v>
      </c>
      <c r="P6483" s="27">
        <v>1020000</v>
      </c>
      <c r="Q6483" s="5" t="s">
        <v>49535</v>
      </c>
      <c r="R6483" s="5"/>
      <c r="S6483" s="5" t="s">
        <v>52099</v>
      </c>
      <c r="T6483" s="28">
        <v>1185893000</v>
      </c>
      <c r="U6483" s="28"/>
      <c r="V6483" s="28">
        <v>504116000</v>
      </c>
      <c r="W6483" s="28">
        <v>29550000</v>
      </c>
      <c r="X6483" s="28">
        <v>25943000</v>
      </c>
      <c r="Y6483" s="28">
        <v>1912777000</v>
      </c>
      <c r="Z6483" s="28">
        <v>942384000</v>
      </c>
      <c r="AA6483" s="28">
        <v>40000000</v>
      </c>
      <c r="AB6483" s="28"/>
      <c r="AC6483" s="28">
        <v>286066000</v>
      </c>
      <c r="AD6483" s="28">
        <v>943404000</v>
      </c>
      <c r="AE6483" s="28">
        <v>8254137000</v>
      </c>
      <c r="AF6483" s="28">
        <v>756187000</v>
      </c>
      <c r="AG6483" s="11"/>
    </row>
    <row r="6484">
      <c r="A6484" s="7" t="s">
        <v>8053</v>
      </c>
      <c r="B6484" s="5" t="s">
        <v>16004</v>
      </c>
      <c r="C6484" s="5" t="s">
        <v>23650</v>
      </c>
      <c r="D6484" s="5" t="str">
        <v>602700224694</v>
      </c>
      <c r="E6484" s="0" t="e">
        <f>+7 (811) 2722327
+7 (909) 5755217
+7 (495) 3691127
+7 (811) 2722336
+7 (811) 2722554
+7 (811) 2731202
+7 (8112) 722326
+7 (8112) 731222
+7 (812) 2447623
+7 (911) 3513067
+7 (911) 3654500</f>
        <v>#NAME?</v>
      </c>
      <c r="F6484" s="5" t="s">
        <v>44236</v>
      </c>
      <c r="G6484" s="5" t="s">
        <v>44237</v>
      </c>
      <c r="H6484" s="26">
        <v>17</v>
      </c>
      <c r="I6484" s="5" t="s">
        <v>44238</v>
      </c>
      <c r="J6484" s="5" t="s">
        <v>27497</v>
      </c>
      <c r="K6484" s="5" t="s">
        <v>344</v>
      </c>
      <c r="L6484" s="5" t="s">
        <v>44239</v>
      </c>
      <c r="M6484" s="27"/>
      <c r="N6484" s="5"/>
      <c r="O6484" s="5" t="str">
        <v>6027094920</v>
      </c>
      <c r="P6484" s="27">
        <v>25011000</v>
      </c>
      <c r="Q6484" s="5" t="s">
        <v>49059</v>
      </c>
      <c r="R6484" s="5"/>
      <c r="S6484" s="5" t="s">
        <v>49110</v>
      </c>
      <c r="T6484" s="28">
        <v>43619000</v>
      </c>
      <c r="U6484" s="28"/>
      <c r="V6484" s="28">
        <v>574822000</v>
      </c>
      <c r="W6484" s="28">
        <v>5000</v>
      </c>
      <c r="X6484" s="28">
        <v>19000</v>
      </c>
      <c r="Y6484" s="28">
        <v>826136000</v>
      </c>
      <c r="Z6484" s="28">
        <v>338211000</v>
      </c>
      <c r="AA6484" s="28">
        <v>99343000</v>
      </c>
      <c r="AB6484" s="28">
        <v>60349000</v>
      </c>
      <c r="AC6484" s="28">
        <v>363572000</v>
      </c>
      <c r="AD6484" s="28">
        <v>363222000</v>
      </c>
      <c r="AE6484" s="28">
        <v>6656638000</v>
      </c>
      <c r="AF6484" s="28">
        <v>232630000</v>
      </c>
      <c r="AG6484" s="11"/>
    </row>
    <row r="6485">
      <c r="A6485" s="7" t="s">
        <v>8054</v>
      </c>
      <c r="B6485" s="5" t="s">
        <v>13988</v>
      </c>
      <c r="C6485" s="5" t="s">
        <v>23651</v>
      </c>
      <c r="D6485" s="5" t="str">
        <v>540697896727</v>
      </c>
      <c r="E6485" s="0" t="e">
        <f>+7 (381) 2233569
+7 (381) 2944193
+7 (381) 2944697
+7 (383) 2892750
+7 (383) 2892752
+7 (383) 3549802
+7 (383) 3554645</f>
        <v>#NAME?</v>
      </c>
      <c r="F6485" s="5" t="s">
        <v>44240</v>
      </c>
      <c r="G6485" s="5"/>
      <c r="H6485" s="26">
        <v>17.5</v>
      </c>
      <c r="I6485" s="5"/>
      <c r="J6485" s="5" t="s">
        <v>25295</v>
      </c>
      <c r="K6485" s="5" t="s">
        <v>344</v>
      </c>
      <c r="L6485" s="5" t="s">
        <v>44241</v>
      </c>
      <c r="M6485" s="27">
        <v>5151000</v>
      </c>
      <c r="N6485" s="5"/>
      <c r="O6485" s="5" t="str">
        <v>5406323202</v>
      </c>
      <c r="P6485" s="27">
        <v>5128277295</v>
      </c>
      <c r="Q6485" s="5" t="s">
        <v>59062</v>
      </c>
      <c r="R6485" s="5"/>
      <c r="S6485" s="5" t="s">
        <v>50951</v>
      </c>
      <c r="T6485" s="28">
        <v>18544572000</v>
      </c>
      <c r="U6485" s="28"/>
      <c r="V6485" s="28">
        <v>2461804000</v>
      </c>
      <c r="W6485" s="28"/>
      <c r="X6485" s="28">
        <v>8448334000</v>
      </c>
      <c r="Y6485" s="28">
        <v>31095076000</v>
      </c>
      <c r="Z6485" s="28">
        <v>15310576000</v>
      </c>
      <c r="AA6485" s="28">
        <v>388369000</v>
      </c>
      <c r="AB6485" s="28">
        <v>44288000</v>
      </c>
      <c r="AC6485" s="28">
        <v>5478869000</v>
      </c>
      <c r="AD6485" s="28">
        <v>22944578000</v>
      </c>
      <c r="AE6485" s="28">
        <v>24405298000</v>
      </c>
      <c r="AF6485" s="28">
        <v>3707597000</v>
      </c>
      <c r="AG6485" s="11"/>
    </row>
    <row r="6486">
      <c r="A6486" s="7" t="s">
        <v>8055</v>
      </c>
      <c r="B6486" s="5" t="s">
        <v>16005</v>
      </c>
      <c r="C6486" s="5" t="s">
        <v>23652</v>
      </c>
      <c r="D6486" s="5" t="str">
        <v>750800029426</v>
      </c>
      <c r="E6486" s="0" t="e">
        <f>+7 (3012) 290802
+7 (3012) 294218
+7 (302) 2384548
+7 (3022) 209939
+7 (3022) 321064
+7 (3022) 324204
+7 (3022) 327960
+7 (3022) 364116
+7 (3022) 384102
+7 (3022) 384114
+7 (3022) 384117
+7 (3022) 384119
+7 (3022) 384122
+7 (3022) 384123
+7 (3022) 384127</f>
        <v>#NAME?</v>
      </c>
      <c r="F6486" s="5" t="s">
        <v>44242</v>
      </c>
      <c r="G6486" s="5" t="s">
        <v>44243</v>
      </c>
      <c r="H6486" s="26">
        <v>18</v>
      </c>
      <c r="I6486" s="5" t="s">
        <v>44244</v>
      </c>
      <c r="J6486" s="5" t="s">
        <v>25295</v>
      </c>
      <c r="K6486" s="5" t="s">
        <v>355</v>
      </c>
      <c r="L6486" s="5"/>
      <c r="M6486" s="27">
        <v>159671886</v>
      </c>
      <c r="N6486" s="5" t="s">
        <v>59063</v>
      </c>
      <c r="O6486" s="5" t="str">
        <v>7534018889</v>
      </c>
      <c r="P6486" s="27">
        <v>1357945609</v>
      </c>
      <c r="Q6486" s="5" t="s">
        <v>59064</v>
      </c>
      <c r="R6486" s="5"/>
      <c r="S6486" s="5" t="s">
        <v>55374</v>
      </c>
      <c r="T6486" s="28">
        <v>11566238000</v>
      </c>
      <c r="U6486" s="28">
        <v>915410000</v>
      </c>
      <c r="V6486" s="28">
        <v>1532012000</v>
      </c>
      <c r="W6486" s="28">
        <v>2707000</v>
      </c>
      <c r="X6486" s="28">
        <v>470480000</v>
      </c>
      <c r="Y6486" s="28">
        <v>15969824000</v>
      </c>
      <c r="Z6486" s="28">
        <v>2919714000</v>
      </c>
      <c r="AA6486" s="28">
        <v>444994000</v>
      </c>
      <c r="AB6486" s="28">
        <v>600000000</v>
      </c>
      <c r="AC6486" s="28">
        <v>4652733000</v>
      </c>
      <c r="AD6486" s="28">
        <v>9267841000</v>
      </c>
      <c r="AE6486" s="28">
        <v>14256716000</v>
      </c>
      <c r="AF6486" s="28">
        <v>671482000</v>
      </c>
      <c r="AG6486" s="11"/>
    </row>
    <row r="6487">
      <c r="A6487" s="7" t="s">
        <v>8056</v>
      </c>
      <c r="B6487" s="5" t="s">
        <v>16006</v>
      </c>
      <c r="C6487" s="5" t="s">
        <v>23653</v>
      </c>
      <c r="D6487" s="5" t="str">
        <v>165500287440</v>
      </c>
      <c r="E6487" s="0" t="e">
        <f>+7 (843) 2037512
+7 (843) 2000258
+7 (843) 2779415
+7 (843) 2918310
+7 (8432) 37506
+7 (8432) 37559</f>
        <v>#NAME?</v>
      </c>
      <c r="F6487" s="5" t="s">
        <v>44245</v>
      </c>
      <c r="G6487" s="5" t="s">
        <v>44246</v>
      </c>
      <c r="H6487" s="26">
        <v>13</v>
      </c>
      <c r="I6487" s="5" t="s">
        <v>44247</v>
      </c>
      <c r="J6487" s="5" t="s">
        <v>25295</v>
      </c>
      <c r="K6487" s="5" t="s">
        <v>344</v>
      </c>
      <c r="L6487" s="5" t="s">
        <v>44248</v>
      </c>
      <c r="M6487" s="27"/>
      <c r="N6487" s="5" t="s">
        <v>59065</v>
      </c>
      <c r="O6487" s="5" t="str">
        <v>1655189422</v>
      </c>
      <c r="P6487" s="27">
        <v>10000000</v>
      </c>
      <c r="Q6487" s="5" t="s">
        <v>59066</v>
      </c>
      <c r="R6487" s="5"/>
      <c r="S6487" s="5" t="s">
        <v>55707</v>
      </c>
      <c r="T6487" s="28">
        <v>19805012000</v>
      </c>
      <c r="U6487" s="28">
        <v>1039557000</v>
      </c>
      <c r="V6487" s="28">
        <v>2733323000</v>
      </c>
      <c r="W6487" s="28">
        <v>4489928000</v>
      </c>
      <c r="X6487" s="28">
        <v>707517000</v>
      </c>
      <c r="Y6487" s="28">
        <v>29407405000</v>
      </c>
      <c r="Z6487" s="28">
        <v>19531619000</v>
      </c>
      <c r="AA6487" s="28">
        <v>663257000</v>
      </c>
      <c r="AB6487" s="28">
        <v>1302354000</v>
      </c>
      <c r="AC6487" s="28">
        <v>7681601000</v>
      </c>
      <c r="AD6487" s="28">
        <v>19542119000</v>
      </c>
      <c r="AE6487" s="28">
        <v>35105269000</v>
      </c>
      <c r="AF6487" s="28">
        <v>6444852000</v>
      </c>
      <c r="AG6487" s="11"/>
    </row>
    <row r="6488">
      <c r="A6488" s="7" t="s">
        <v>8057</v>
      </c>
      <c r="B6488" s="5" t="s">
        <v>16007</v>
      </c>
      <c r="C6488" s="5" t="s">
        <v>23654</v>
      </c>
      <c r="D6488" s="5" t="str">
        <v>444400277434</v>
      </c>
      <c r="E6488" s="0" t="e">
        <f>+7 (812) 2494312
+7 (81737) 40255
+7 (81737) 40288
+7 (818) 2421766
+7 (818) 2424442
+7 (818) 2444903
+7 (818) 2464312
+7 (818) 2464545
+7 (818) 2484404
+7 (818) 2484448
+7 (818) 2493345
+7 (818) 2494003
+7 (818) 2494316
+7 (485) 2797019
+7 (818) 2494313</f>
        <v>#NAME?</v>
      </c>
      <c r="F6488" s="5" t="s">
        <v>44249</v>
      </c>
      <c r="G6488" s="5" t="s">
        <v>44250</v>
      </c>
      <c r="H6488" s="26">
        <v>12</v>
      </c>
      <c r="I6488" s="5" t="s">
        <v>44251</v>
      </c>
      <c r="J6488" s="5" t="s">
        <v>26623</v>
      </c>
      <c r="K6488" s="5" t="s">
        <v>344</v>
      </c>
      <c r="L6488" s="5" t="s">
        <v>44252</v>
      </c>
      <c r="M6488" s="27">
        <v>59968787</v>
      </c>
      <c r="N6488" s="5" t="s">
        <v>59067</v>
      </c>
      <c r="O6488" s="5" t="str">
        <v>7604193710</v>
      </c>
      <c r="P6488" s="27">
        <v>100000</v>
      </c>
      <c r="Q6488" s="5" t="s">
        <v>59068</v>
      </c>
      <c r="R6488" s="5"/>
      <c r="S6488" s="5" t="s">
        <v>51430</v>
      </c>
      <c r="T6488" s="28">
        <v>395940000</v>
      </c>
      <c r="U6488" s="28"/>
      <c r="V6488" s="28">
        <v>2555966000</v>
      </c>
      <c r="W6488" s="28"/>
      <c r="X6488" s="28">
        <v>454694000</v>
      </c>
      <c r="Y6488" s="28">
        <v>3584315000</v>
      </c>
      <c r="Z6488" s="28">
        <v>306780000</v>
      </c>
      <c r="AA6488" s="28"/>
      <c r="AB6488" s="28">
        <v>934132000</v>
      </c>
      <c r="AC6488" s="28">
        <v>2963341000</v>
      </c>
      <c r="AD6488" s="28">
        <v>545235000</v>
      </c>
      <c r="AE6488" s="28">
        <v>17975728000</v>
      </c>
      <c r="AF6488" s="28">
        <v>57578000</v>
      </c>
      <c r="AG6488" s="11"/>
    </row>
    <row r="6489">
      <c r="A6489" s="7" t="s">
        <v>8058</v>
      </c>
      <c r="B6489" s="5" t="s">
        <v>16008</v>
      </c>
      <c r="C6489" s="5" t="s">
        <v>23655</v>
      </c>
      <c r="D6489" s="5" t="str">
        <v>732708143858</v>
      </c>
      <c r="E6489" s="0" t="e">
        <f>+7 (485) 2208511
+7 (485) 2208733
+7 (485) 2320064
+7 (485) 2403060
+7 (485) 2414546
+7 (485) 2586123
+7 (485) 2590752
+7 (485) 2649339
+7 (485) 2649340
+7 (485) 2649359
+7 (485) 2649367
+7 (485) 2736943
+7 (485) 2396639
+7 (485) 2396659
+7 (485) 2585655</f>
        <v>#NAME?</v>
      </c>
      <c r="F6489" s="5" t="s">
        <v>44253</v>
      </c>
      <c r="G6489" s="5" t="s">
        <v>44254</v>
      </c>
      <c r="H6489" s="26">
        <v>18</v>
      </c>
      <c r="I6489" s="5" t="s">
        <v>44255</v>
      </c>
      <c r="J6489" s="5" t="s">
        <v>26435</v>
      </c>
      <c r="K6489" s="5" t="s">
        <v>355</v>
      </c>
      <c r="L6489" s="5"/>
      <c r="M6489" s="27">
        <v>707997800</v>
      </c>
      <c r="N6489" s="5" t="s">
        <v>59069</v>
      </c>
      <c r="O6489" s="5" t="str">
        <v>7606053324</v>
      </c>
      <c r="P6489" s="27">
        <v>14749053844</v>
      </c>
      <c r="Q6489" s="5" t="s">
        <v>59070</v>
      </c>
      <c r="R6489" s="5" t="s">
        <v>50157</v>
      </c>
      <c r="S6489" s="5" t="s">
        <v>59071</v>
      </c>
      <c r="T6489" s="28">
        <v>29227499000</v>
      </c>
      <c r="U6489" s="28">
        <v>6123225000</v>
      </c>
      <c r="V6489" s="28">
        <v>9117919000</v>
      </c>
      <c r="W6489" s="28">
        <v>7900000000</v>
      </c>
      <c r="X6489" s="28">
        <v>197409000</v>
      </c>
      <c r="Y6489" s="28">
        <v>59425192000</v>
      </c>
      <c r="Z6489" s="28">
        <v>-9688606000</v>
      </c>
      <c r="AA6489" s="28">
        <v>4519449000</v>
      </c>
      <c r="AB6489" s="28">
        <v>6848827000</v>
      </c>
      <c r="AC6489" s="28">
        <v>23828829000</v>
      </c>
      <c r="AD6489" s="28">
        <v>22528797000</v>
      </c>
      <c r="AE6489" s="28">
        <v>41860080000</v>
      </c>
      <c r="AF6489" s="28">
        <v>85493000</v>
      </c>
      <c r="AG6489" s="11"/>
    </row>
    <row r="6490">
      <c r="A6490" s="7" t="s">
        <v>8059</v>
      </c>
      <c r="B6490" s="5" t="s">
        <v>16009</v>
      </c>
      <c r="C6490" s="5" t="s">
        <v>22131</v>
      </c>
      <c r="D6490" s="5" t="str">
        <v>780423670630</v>
      </c>
      <c r="E6490" s="0" t="e">
        <f>+7 (812) 3297653
+7 (812) 3634910
+7 (812) 3634925
+7 (812) 9436425</f>
        <v>#NAME?</v>
      </c>
      <c r="F6490" s="5" t="s">
        <v>44256</v>
      </c>
      <c r="G6490" s="5" t="s">
        <v>44257</v>
      </c>
      <c r="H6490" s="26">
        <v>28</v>
      </c>
      <c r="I6490" s="5" t="s">
        <v>44258</v>
      </c>
      <c r="J6490" s="5" t="s">
        <v>947</v>
      </c>
      <c r="K6490" s="5" t="s">
        <v>344</v>
      </c>
      <c r="L6490" s="5" t="s">
        <v>44259</v>
      </c>
      <c r="M6490" s="27"/>
      <c r="N6490" s="5" t="s">
        <v>59072</v>
      </c>
      <c r="O6490" s="5" t="str">
        <v>7825665993</v>
      </c>
      <c r="P6490" s="27">
        <v>961700000</v>
      </c>
      <c r="Q6490" s="5" t="s">
        <v>59073</v>
      </c>
      <c r="R6490" s="5"/>
      <c r="S6490" s="5" t="s">
        <v>58489</v>
      </c>
      <c r="T6490" s="28">
        <v>1152828000</v>
      </c>
      <c r="U6490" s="28"/>
      <c r="V6490" s="28">
        <v>2570368000</v>
      </c>
      <c r="W6490" s="28">
        <v>324271000</v>
      </c>
      <c r="X6490" s="28">
        <v>2314765000</v>
      </c>
      <c r="Y6490" s="28">
        <v>8613664000</v>
      </c>
      <c r="Z6490" s="28">
        <v>795561000</v>
      </c>
      <c r="AA6490" s="28">
        <v>1152354000</v>
      </c>
      <c r="AB6490" s="28"/>
      <c r="AC6490" s="28">
        <v>5703175000</v>
      </c>
      <c r="AD6490" s="28">
        <v>1757261000</v>
      </c>
      <c r="AE6490" s="28">
        <v>4955363000</v>
      </c>
      <c r="AF6490" s="28">
        <v>290958000</v>
      </c>
      <c r="AG6490" s="11"/>
    </row>
    <row r="6491">
      <c r="A6491" s="7" t="s">
        <v>8060</v>
      </c>
      <c r="B6491" s="5" t="s">
        <v>9762</v>
      </c>
      <c r="C6491" s="5" t="s">
        <v>23656</v>
      </c>
      <c r="D6491" s="5" t="str">
        <v>770800177410</v>
      </c>
      <c r="F6491" s="5"/>
      <c r="G6491" s="5" t="s">
        <v>44260</v>
      </c>
      <c r="H6491" s="26">
        <v>12</v>
      </c>
      <c r="I6491" s="5" t="s">
        <v>44261</v>
      </c>
      <c r="J6491" s="5" t="s">
        <v>26367</v>
      </c>
      <c r="K6491" s="5" t="s">
        <v>344</v>
      </c>
      <c r="L6491" s="5" t="s">
        <v>44262</v>
      </c>
      <c r="M6491" s="27"/>
      <c r="N6491" s="5"/>
      <c r="O6491" s="5" t="str">
        <v>2315166684</v>
      </c>
      <c r="P6491" s="27">
        <v>10000000</v>
      </c>
      <c r="Q6491" s="5" t="s">
        <v>49009</v>
      </c>
      <c r="R6491" s="5"/>
      <c r="S6491" s="5" t="s">
        <v>49361</v>
      </c>
      <c r="T6491" s="28">
        <v>95373000</v>
      </c>
      <c r="U6491" s="28">
        <v>11000000</v>
      </c>
      <c r="V6491" s="28">
        <v>2121765000</v>
      </c>
      <c r="W6491" s="28">
        <v>25337000</v>
      </c>
      <c r="X6491" s="28">
        <v>47587000</v>
      </c>
      <c r="Y6491" s="28">
        <v>3379271000</v>
      </c>
      <c r="Z6491" s="28">
        <v>947395000</v>
      </c>
      <c r="AA6491" s="28"/>
      <c r="AB6491" s="28"/>
      <c r="AC6491" s="28">
        <v>2302127000</v>
      </c>
      <c r="AD6491" s="28">
        <v>962395000</v>
      </c>
      <c r="AE6491" s="28">
        <v>8018936000</v>
      </c>
      <c r="AF6491" s="28">
        <v>424574000</v>
      </c>
      <c r="AG6491" s="11"/>
    </row>
    <row r="6492">
      <c r="A6492" s="7" t="s">
        <v>8061</v>
      </c>
      <c r="B6492" s="5" t="s">
        <v>16010</v>
      </c>
      <c r="C6492" s="5" t="s">
        <v>23657</v>
      </c>
      <c r="D6492" s="5"/>
      <c r="E6492" s="0" t="e">
        <f>+7 (495) 2584400
+7 (391) 2549336
+7 (495) 1503465
+7 (495) 2349939
+7 (495) 2871785
+7 (495) 2878456
+7 (495) 5807181
+7 (495) 5807183
+7 (800) 5558555
+7 (812) 7186222</f>
        <v>#NAME?</v>
      </c>
      <c r="F6492" s="5"/>
      <c r="G6492" s="5"/>
      <c r="H6492" s="26">
        <v>14.5</v>
      </c>
      <c r="I6492" s="5" t="s">
        <v>44263</v>
      </c>
      <c r="J6492" s="5" t="s">
        <v>25530</v>
      </c>
      <c r="K6492" s="5" t="s">
        <v>344</v>
      </c>
      <c r="L6492" s="5" t="s">
        <v>44264</v>
      </c>
      <c r="M6492" s="27"/>
      <c r="N6492" s="5"/>
      <c r="O6492" s="5" t="str">
        <v>7726600963</v>
      </c>
      <c r="P6492" s="27">
        <v>136000000</v>
      </c>
      <c r="Q6492" s="5" t="s">
        <v>49021</v>
      </c>
      <c r="R6492" s="5"/>
      <c r="S6492" s="5" t="s">
        <v>55483</v>
      </c>
      <c r="T6492" s="28"/>
      <c r="U6492" s="28"/>
      <c r="V6492" s="28">
        <v>9807403000</v>
      </c>
      <c r="W6492" s="28"/>
      <c r="X6492" s="28">
        <v>305066000</v>
      </c>
      <c r="Y6492" s="28">
        <v>12164090000</v>
      </c>
      <c r="Z6492" s="28">
        <v>1216235000</v>
      </c>
      <c r="AA6492" s="28"/>
      <c r="AB6492" s="28">
        <v>1500000000</v>
      </c>
      <c r="AC6492" s="28">
        <v>10161855000</v>
      </c>
      <c r="AD6492" s="28">
        <v>2002235000</v>
      </c>
      <c r="AE6492" s="28">
        <v>22811779000</v>
      </c>
      <c r="AF6492" s="28">
        <v>719475000</v>
      </c>
      <c r="AG6492" s="11"/>
    </row>
    <row r="6493">
      <c r="A6493" s="7" t="s">
        <v>8062</v>
      </c>
      <c r="B6493" s="5" t="s">
        <v>16011</v>
      </c>
      <c r="C6493" s="5" t="s">
        <v>23658</v>
      </c>
      <c r="D6493" s="5" t="str">
        <v>235000461929</v>
      </c>
      <c r="E6493" s="0" t="e">
        <f>+7 (861) 2018629
+7 (86153) 57792
+7 (918) 3390452
+7 (918) 4316324
+7 (918) 4478121
+7 (918) 4591990
+7 (918) 4607725
+7 (918) 4714498
+7 (918) 4873156
+7 (989) 1994679
+7 (989) 2883196
+7 (989) 8340709
+7 (989) 8340710</f>
        <v>#NAME?</v>
      </c>
      <c r="F6493" s="5" t="s">
        <v>44265</v>
      </c>
      <c r="G6493" s="5" t="s">
        <v>44266</v>
      </c>
      <c r="H6493" s="26">
        <v>17.5</v>
      </c>
      <c r="I6493" s="5" t="s">
        <v>44267</v>
      </c>
      <c r="J6493" s="5" t="s">
        <v>38585</v>
      </c>
      <c r="K6493" s="5" t="s">
        <v>344</v>
      </c>
      <c r="L6493" s="5"/>
      <c r="M6493" s="27"/>
      <c r="N6493" s="5" t="s">
        <v>49485</v>
      </c>
      <c r="O6493" s="5" t="str">
        <v>2350009420</v>
      </c>
      <c r="P6493" s="27">
        <v>10000</v>
      </c>
      <c r="Q6493" s="5" t="s">
        <v>49009</v>
      </c>
      <c r="R6493" s="5"/>
      <c r="S6493" s="5" t="s">
        <v>49028</v>
      </c>
      <c r="T6493" s="28">
        <v>442796000</v>
      </c>
      <c r="U6493" s="28"/>
      <c r="V6493" s="28">
        <v>1588040000</v>
      </c>
      <c r="W6493" s="28">
        <v>1114900000</v>
      </c>
      <c r="X6493" s="28">
        <v>17858000</v>
      </c>
      <c r="Y6493" s="28">
        <v>4151255000</v>
      </c>
      <c r="Z6493" s="28">
        <v>1890272000</v>
      </c>
      <c r="AA6493" s="28"/>
      <c r="AB6493" s="28"/>
      <c r="AC6493" s="28">
        <v>2243385000</v>
      </c>
      <c r="AD6493" s="28">
        <v>1890282000</v>
      </c>
      <c r="AE6493" s="28">
        <v>4292605000</v>
      </c>
      <c r="AF6493" s="28">
        <v>484370000</v>
      </c>
      <c r="AG6493" s="11"/>
    </row>
    <row r="6494">
      <c r="A6494" s="7" t="s">
        <v>8063</v>
      </c>
      <c r="B6494" s="5" t="s">
        <v>16012</v>
      </c>
      <c r="C6494" s="5" t="s">
        <v>23659</v>
      </c>
      <c r="D6494" s="5" t="str">
        <v>222500170997</v>
      </c>
      <c r="E6494" s="0" t="e">
        <f>+7 (383) 3732030
+7 (3843) 714984
+7 (3843) 720243
+7 (3843) 910891
+7 (800) 7005290</f>
        <v>#NAME?</v>
      </c>
      <c r="F6494" s="5" t="s">
        <v>44268</v>
      </c>
      <c r="G6494" s="5" t="s">
        <v>44269</v>
      </c>
      <c r="H6494" s="26">
        <v>12.5</v>
      </c>
      <c r="I6494" s="5" t="s">
        <v>44270</v>
      </c>
      <c r="J6494" s="5" t="s">
        <v>25259</v>
      </c>
      <c r="K6494" s="5" t="s">
        <v>344</v>
      </c>
      <c r="L6494" s="5" t="s">
        <v>44271</v>
      </c>
      <c r="M6494" s="27"/>
      <c r="N6494" s="5" t="s">
        <v>59074</v>
      </c>
      <c r="O6494" s="5" t="str">
        <v>2221180073</v>
      </c>
      <c r="P6494" s="27">
        <v>12500</v>
      </c>
      <c r="Q6494" s="5" t="s">
        <v>49009</v>
      </c>
      <c r="R6494" s="5"/>
      <c r="S6494" s="5" t="s">
        <v>49012</v>
      </c>
      <c r="T6494" s="28">
        <v>271920000</v>
      </c>
      <c r="U6494" s="28"/>
      <c r="V6494" s="28">
        <v>158126000</v>
      </c>
      <c r="W6494" s="28"/>
      <c r="X6494" s="28">
        <v>6927000</v>
      </c>
      <c r="Y6494" s="28">
        <v>1245848000</v>
      </c>
      <c r="Z6494" s="28">
        <v>6576000</v>
      </c>
      <c r="AA6494" s="28">
        <v>1034720000</v>
      </c>
      <c r="AB6494" s="28">
        <v>56060000</v>
      </c>
      <c r="AC6494" s="28">
        <v>174180000</v>
      </c>
      <c r="AD6494" s="28">
        <v>32589000</v>
      </c>
      <c r="AE6494" s="28">
        <v>3087652000</v>
      </c>
      <c r="AF6494" s="28">
        <v>16607000</v>
      </c>
      <c r="AG6494" s="11"/>
    </row>
    <row r="6495">
      <c r="A6495" s="7" t="s">
        <v>8064</v>
      </c>
      <c r="B6495" s="5" t="s">
        <v>16013</v>
      </c>
      <c r="C6495" s="5" t="s">
        <v>23660</v>
      </c>
      <c r="D6495" s="5" t="str">
        <v>312302064873</v>
      </c>
      <c r="E6495" s="0" t="e">
        <f>+7 (472) 2586677
+7 (472) 2586681
+7 (472) 2586954
+7 (800) 2345646
+7 (800) 2502725</f>
        <v>#NAME?</v>
      </c>
      <c r="F6495" s="5" t="s">
        <v>44272</v>
      </c>
      <c r="G6495" s="5" t="s">
        <v>44273</v>
      </c>
      <c r="H6495" s="26">
        <v>15</v>
      </c>
      <c r="I6495" s="5" t="s">
        <v>36734</v>
      </c>
      <c r="J6495" s="5" t="s">
        <v>26125</v>
      </c>
      <c r="K6495" s="5" t="s">
        <v>344</v>
      </c>
      <c r="L6495" s="5"/>
      <c r="M6495" s="27"/>
      <c r="N6495" s="5" t="s">
        <v>59075</v>
      </c>
      <c r="O6495" s="5" t="str">
        <v>3123169789</v>
      </c>
      <c r="P6495" s="27">
        <v>10000</v>
      </c>
      <c r="Q6495" s="5" t="s">
        <v>49009</v>
      </c>
      <c r="R6495" s="5"/>
      <c r="S6495" s="5" t="s">
        <v>49120</v>
      </c>
      <c r="T6495" s="28">
        <v>619958000</v>
      </c>
      <c r="U6495" s="28">
        <v>482000</v>
      </c>
      <c r="V6495" s="28">
        <v>630959000</v>
      </c>
      <c r="W6495" s="28">
        <v>539000</v>
      </c>
      <c r="X6495" s="28">
        <v>96333000</v>
      </c>
      <c r="Y6495" s="28">
        <v>1692730000</v>
      </c>
      <c r="Z6495" s="28">
        <v>18305000</v>
      </c>
      <c r="AA6495" s="28">
        <v>487500000</v>
      </c>
      <c r="AB6495" s="28"/>
      <c r="AC6495" s="28">
        <v>939345000</v>
      </c>
      <c r="AD6495" s="28">
        <v>18315000</v>
      </c>
      <c r="AE6495" s="28">
        <v>30464519000</v>
      </c>
      <c r="AF6495" s="28">
        <v>5361000</v>
      </c>
      <c r="AG6495" s="11"/>
    </row>
    <row r="6496">
      <c r="A6496" s="7" t="s">
        <v>8065</v>
      </c>
      <c r="B6496" s="5" t="s">
        <v>16014</v>
      </c>
      <c r="C6496" s="5" t="s">
        <v>23661</v>
      </c>
      <c r="D6496" s="5" t="str">
        <v>232800176690</v>
      </c>
      <c r="F6496" s="5"/>
      <c r="G6496" s="5"/>
      <c r="H6496" s="26">
        <v>18.5</v>
      </c>
      <c r="I6496" s="5" t="s">
        <v>44274</v>
      </c>
      <c r="J6496" s="5" t="s">
        <v>25388</v>
      </c>
      <c r="K6496" s="5" t="s">
        <v>355</v>
      </c>
      <c r="L6496" s="5" t="s">
        <v>44275</v>
      </c>
      <c r="M6496" s="27">
        <v>98615</v>
      </c>
      <c r="N6496" s="5" t="s">
        <v>59076</v>
      </c>
      <c r="O6496" s="5" t="str">
        <v>2328010821</v>
      </c>
      <c r="P6496" s="27">
        <v>10000</v>
      </c>
      <c r="Q6496" s="5" t="s">
        <v>49009</v>
      </c>
      <c r="R6496" s="5"/>
      <c r="S6496" s="5" t="s">
        <v>49028</v>
      </c>
      <c r="T6496" s="28"/>
      <c r="U6496" s="28">
        <v>70000</v>
      </c>
      <c r="V6496" s="28">
        <v>2956559000</v>
      </c>
      <c r="W6496" s="28">
        <v>23200000</v>
      </c>
      <c r="X6496" s="28">
        <v>11896000</v>
      </c>
      <c r="Y6496" s="28">
        <v>3148716000</v>
      </c>
      <c r="Z6496" s="28">
        <v>222002000</v>
      </c>
      <c r="AA6496" s="28"/>
      <c r="AB6496" s="28">
        <v>147675000</v>
      </c>
      <c r="AC6496" s="28">
        <v>2926704000</v>
      </c>
      <c r="AD6496" s="28">
        <v>222012000</v>
      </c>
      <c r="AE6496" s="28">
        <v>10476741000</v>
      </c>
      <c r="AF6496" s="28">
        <v>447566000</v>
      </c>
      <c r="AG6496" s="11"/>
    </row>
    <row r="6497">
      <c r="A6497" s="7" t="s">
        <v>8066</v>
      </c>
      <c r="B6497" s="5" t="s">
        <v>16015</v>
      </c>
      <c r="C6497" s="5" t="s">
        <v>23662</v>
      </c>
      <c r="D6497" s="5" t="str">
        <v>741500687300</v>
      </c>
      <c r="E6497" s="0" t="e">
        <f>+7 (3513) 291065
+7 (351) 3550939
+7 (351) 3551666
+7 (351) 3551718
+7 (351) 3553570
+7 (3513) 297840
+7 (3513) 553700</f>
        <v>#NAME?</v>
      </c>
      <c r="F6497" s="5" t="s">
        <v>44276</v>
      </c>
      <c r="G6497" s="5"/>
      <c r="H6497" s="26">
        <v>18</v>
      </c>
      <c r="I6497" s="5" t="s">
        <v>44277</v>
      </c>
      <c r="J6497" s="5" t="s">
        <v>423</v>
      </c>
      <c r="K6497" s="5" t="s">
        <v>344</v>
      </c>
      <c r="L6497" s="5" t="s">
        <v>44278</v>
      </c>
      <c r="M6497" s="27"/>
      <c r="N6497" s="5" t="s">
        <v>59077</v>
      </c>
      <c r="O6497" s="5" t="str">
        <v>7415043861</v>
      </c>
      <c r="P6497" s="27">
        <v>3000000</v>
      </c>
      <c r="Q6497" s="5" t="s">
        <v>59078</v>
      </c>
      <c r="R6497" s="5"/>
      <c r="S6497" s="5" t="s">
        <v>59079</v>
      </c>
      <c r="T6497" s="28">
        <v>192000</v>
      </c>
      <c r="U6497" s="28">
        <v>15000</v>
      </c>
      <c r="V6497" s="28">
        <v>2086273000</v>
      </c>
      <c r="W6497" s="28"/>
      <c r="X6497" s="28">
        <v>3281585000</v>
      </c>
      <c r="Y6497" s="28">
        <v>6773959000</v>
      </c>
      <c r="Z6497" s="28">
        <v>206302000</v>
      </c>
      <c r="AA6497" s="28">
        <v>585276000</v>
      </c>
      <c r="AB6497" s="28"/>
      <c r="AC6497" s="28">
        <v>5976779000</v>
      </c>
      <c r="AD6497" s="28">
        <v>209302000</v>
      </c>
      <c r="AE6497" s="28">
        <v>21346042000</v>
      </c>
      <c r="AF6497" s="28">
        <v>299823000</v>
      </c>
      <c r="AG6497" s="11"/>
    </row>
    <row r="6498">
      <c r="A6498" s="7" t="s">
        <v>8067</v>
      </c>
      <c r="B6498" s="5" t="s">
        <v>16016</v>
      </c>
      <c r="C6498" s="5" t="s">
        <v>23663</v>
      </c>
      <c r="D6498" s="5" t="str">
        <v>212706009346</v>
      </c>
      <c r="E6498" s="0" t="e">
        <f>+7 (8352) 633657</f>
        <v>#NAME?</v>
      </c>
      <c r="F6498" s="5" t="s">
        <v>44279</v>
      </c>
      <c r="G6498" s="5"/>
      <c r="H6498" s="26">
        <v>9</v>
      </c>
      <c r="I6498" s="5" t="s">
        <v>44280</v>
      </c>
      <c r="J6498" s="5" t="s">
        <v>33986</v>
      </c>
      <c r="K6498" s="5" t="s">
        <v>344</v>
      </c>
      <c r="L6498" s="5" t="s">
        <v>43235</v>
      </c>
      <c r="M6498" s="27"/>
      <c r="N6498" s="5" t="s">
        <v>59080</v>
      </c>
      <c r="O6498" s="5" t="str">
        <v>2130132795</v>
      </c>
      <c r="P6498" s="27">
        <v>250000</v>
      </c>
      <c r="Q6498" s="5"/>
      <c r="R6498" s="5"/>
      <c r="S6498" s="5" t="s">
        <v>49991</v>
      </c>
      <c r="T6498" s="28">
        <v>21704000</v>
      </c>
      <c r="U6498" s="28"/>
      <c r="V6498" s="28">
        <v>199143000</v>
      </c>
      <c r="W6498" s="28"/>
      <c r="X6498" s="28">
        <v>2696000</v>
      </c>
      <c r="Y6498" s="28">
        <v>358703000</v>
      </c>
      <c r="Z6498" s="28">
        <v>210612000</v>
      </c>
      <c r="AA6498" s="28"/>
      <c r="AB6498" s="28"/>
      <c r="AC6498" s="28">
        <v>120679000</v>
      </c>
      <c r="AD6498" s="28">
        <v>210862000</v>
      </c>
      <c r="AE6498" s="28">
        <v>3556852000</v>
      </c>
      <c r="AF6498" s="28">
        <v>142153000</v>
      </c>
      <c r="AG6498" s="11"/>
    </row>
    <row r="6499">
      <c r="A6499" s="7" t="s">
        <v>8068</v>
      </c>
      <c r="B6499" s="5" t="s">
        <v>16017</v>
      </c>
      <c r="C6499" s="5" t="s">
        <v>23664</v>
      </c>
      <c r="D6499" s="5" t="str">
        <v>165001096136</v>
      </c>
      <c r="E6499" s="0" t="e">
        <f>+7 (800) 7001995
+7 (855) 2770000
+7 (855) 2771111
+7 (909) 3102720
+7 (987) 4127104</f>
        <v>#NAME?</v>
      </c>
      <c r="F6499" s="5" t="s">
        <v>44281</v>
      </c>
      <c r="G6499" s="5" t="s">
        <v>44282</v>
      </c>
      <c r="H6499" s="26">
        <v>15.5</v>
      </c>
      <c r="I6499" s="5" t="s">
        <v>44283</v>
      </c>
      <c r="J6499" s="5" t="s">
        <v>26846</v>
      </c>
      <c r="K6499" s="5" t="s">
        <v>344</v>
      </c>
      <c r="L6499" s="5" t="s">
        <v>44284</v>
      </c>
      <c r="M6499" s="27">
        <v>35941173</v>
      </c>
      <c r="N6499" s="5"/>
      <c r="O6499" s="5" t="str">
        <v>1639036193</v>
      </c>
      <c r="P6499" s="27">
        <v>25000</v>
      </c>
      <c r="Q6499" s="5" t="s">
        <v>49009</v>
      </c>
      <c r="R6499" s="5" t="s">
        <v>54955</v>
      </c>
      <c r="S6499" s="5" t="s">
        <v>49010</v>
      </c>
      <c r="T6499" s="28">
        <v>95593000</v>
      </c>
      <c r="U6499" s="28"/>
      <c r="V6499" s="28">
        <v>814468000</v>
      </c>
      <c r="W6499" s="28">
        <v>28871000</v>
      </c>
      <c r="X6499" s="28">
        <v>5999000</v>
      </c>
      <c r="Y6499" s="28">
        <v>1021100000</v>
      </c>
      <c r="Z6499" s="28">
        <v>42691000</v>
      </c>
      <c r="AA6499" s="28"/>
      <c r="AB6499" s="28">
        <v>145418000</v>
      </c>
      <c r="AC6499" s="28">
        <v>915503000</v>
      </c>
      <c r="AD6499" s="28">
        <v>81461000</v>
      </c>
      <c r="AE6499" s="28">
        <v>4532301000</v>
      </c>
      <c r="AF6499" s="28">
        <v>10158000</v>
      </c>
      <c r="AG6499" s="11"/>
    </row>
    <row r="6500">
      <c r="A6500" s="7" t="s">
        <v>8069</v>
      </c>
      <c r="B6500" s="5" t="s">
        <v>16018</v>
      </c>
      <c r="C6500" s="5" t="s">
        <v>23665</v>
      </c>
      <c r="D6500" s="5" t="str">
        <v>662603734514</v>
      </c>
      <c r="E6500" s="0" t="e">
        <f>+7 (343) 2047877
+7 (343) 2178284</f>
        <v>#NAME?</v>
      </c>
      <c r="F6500" s="5" t="s">
        <v>44285</v>
      </c>
      <c r="G6500" s="5"/>
      <c r="H6500" s="26">
        <v>7.5</v>
      </c>
      <c r="I6500" s="5" t="s">
        <v>44286</v>
      </c>
      <c r="J6500" s="5" t="s">
        <v>25337</v>
      </c>
      <c r="K6500" s="5" t="s">
        <v>344</v>
      </c>
      <c r="L6500" s="5" t="s">
        <v>44287</v>
      </c>
      <c r="M6500" s="27"/>
      <c r="N6500" s="5" t="s">
        <v>59081</v>
      </c>
      <c r="O6500" s="5" t="str">
        <v>6679071644</v>
      </c>
      <c r="P6500" s="27">
        <v>20000</v>
      </c>
      <c r="Q6500" s="5" t="s">
        <v>59082</v>
      </c>
      <c r="R6500" s="5"/>
      <c r="S6500" s="5" t="s">
        <v>59083</v>
      </c>
      <c r="T6500" s="28">
        <v>36607000</v>
      </c>
      <c r="U6500" s="28">
        <v>126330000</v>
      </c>
      <c r="V6500" s="28">
        <v>442473000</v>
      </c>
      <c r="W6500" s="28"/>
      <c r="X6500" s="28">
        <v>3231000</v>
      </c>
      <c r="Y6500" s="28">
        <v>1105407000</v>
      </c>
      <c r="Z6500" s="28">
        <v>362596000</v>
      </c>
      <c r="AA6500" s="28">
        <v>2528000</v>
      </c>
      <c r="AB6500" s="28">
        <v>7678000</v>
      </c>
      <c r="AC6500" s="28">
        <v>735383000</v>
      </c>
      <c r="AD6500" s="28">
        <v>362616000</v>
      </c>
      <c r="AE6500" s="28">
        <v>4638950000</v>
      </c>
      <c r="AF6500" s="28">
        <v>109144000</v>
      </c>
      <c r="AG6500" s="11"/>
    </row>
    <row r="6501">
      <c r="A6501" s="7" t="s">
        <v>8070</v>
      </c>
      <c r="B6501" s="5" t="s">
        <v>16019</v>
      </c>
      <c r="C6501" s="5" t="s">
        <v>23666</v>
      </c>
      <c r="D6501" s="5" t="str">
        <v>300102031045</v>
      </c>
      <c r="E6501" s="0" t="e">
        <f>+7 (929) 5973093</f>
        <v>#NAME?</v>
      </c>
      <c r="F6501" s="5"/>
      <c r="G6501" s="5"/>
      <c r="H6501" s="26">
        <v>6.5</v>
      </c>
      <c r="I6501" s="5" t="s">
        <v>44288</v>
      </c>
      <c r="J6501" s="5" t="s">
        <v>27296</v>
      </c>
      <c r="K6501" s="5" t="s">
        <v>380</v>
      </c>
      <c r="L6501" s="5" t="s">
        <v>44289</v>
      </c>
      <c r="M6501" s="27"/>
      <c r="N6501" s="5"/>
      <c r="O6501" s="5" t="str">
        <v>7704379300</v>
      </c>
      <c r="P6501" s="27">
        <v>30000</v>
      </c>
      <c r="Q6501" s="5" t="s">
        <v>49009</v>
      </c>
      <c r="R6501" s="5"/>
      <c r="S6501" s="5" t="s">
        <v>49010</v>
      </c>
      <c r="T6501" s="28">
        <v>1337000</v>
      </c>
      <c r="U6501" s="28">
        <v>1438010000</v>
      </c>
      <c r="V6501" s="28">
        <v>498735000</v>
      </c>
      <c r="W6501" s="28">
        <v>456280000</v>
      </c>
      <c r="X6501" s="28">
        <v>35256000</v>
      </c>
      <c r="Y6501" s="28">
        <v>2430033000</v>
      </c>
      <c r="Z6501" s="28">
        <v>27009000</v>
      </c>
      <c r="AA6501" s="28"/>
      <c r="AB6501" s="28">
        <v>254113000</v>
      </c>
      <c r="AC6501" s="28">
        <v>2401328000</v>
      </c>
      <c r="AD6501" s="28">
        <v>27039000</v>
      </c>
      <c r="AE6501" s="28">
        <v>3099610000</v>
      </c>
      <c r="AF6501" s="28">
        <v>-14651000</v>
      </c>
      <c r="AG6501" s="11"/>
    </row>
    <row r="6502">
      <c r="A6502" s="7" t="s">
        <v>8071</v>
      </c>
      <c r="B6502" s="5" t="s">
        <v>16020</v>
      </c>
      <c r="C6502" s="5" t="s">
        <v>23667</v>
      </c>
      <c r="D6502" s="5" t="str">
        <v>771205466246</v>
      </c>
      <c r="E6502" s="0" t="e">
        <f>+7 (495) 9372131
+7 (495) 2253240
+7 (985) 7675452
+7 (495) 5581210
+7 (495) 5581317
+7 (495) 6428597
+7 (495) 9814866
+7 (495) 9819070</f>
        <v>#NAME?</v>
      </c>
      <c r="F6502" s="5" t="s">
        <v>44290</v>
      </c>
      <c r="G6502" s="5" t="s">
        <v>44291</v>
      </c>
      <c r="H6502" s="26">
        <v>20</v>
      </c>
      <c r="I6502" s="5" t="s">
        <v>44292</v>
      </c>
      <c r="J6502" s="5" t="s">
        <v>27601</v>
      </c>
      <c r="K6502" s="5" t="s">
        <v>344</v>
      </c>
      <c r="L6502" s="5" t="s">
        <v>44293</v>
      </c>
      <c r="M6502" s="27"/>
      <c r="N6502" s="5" t="s">
        <v>59084</v>
      </c>
      <c r="O6502" s="5" t="str">
        <v>7714308410</v>
      </c>
      <c r="P6502" s="27">
        <v>7600000</v>
      </c>
      <c r="Q6502" s="5" t="s">
        <v>49021</v>
      </c>
      <c r="R6502" s="5"/>
      <c r="S6502" s="5" t="s">
        <v>59085</v>
      </c>
      <c r="T6502" s="28">
        <v>183343000</v>
      </c>
      <c r="U6502" s="28"/>
      <c r="V6502" s="28">
        <v>83158000</v>
      </c>
      <c r="W6502" s="28">
        <v>1061800000</v>
      </c>
      <c r="X6502" s="28">
        <v>68942000</v>
      </c>
      <c r="Y6502" s="28">
        <v>3046148000</v>
      </c>
      <c r="Z6502" s="28">
        <v>2668091000</v>
      </c>
      <c r="AA6502" s="28"/>
      <c r="AB6502" s="28">
        <v>9000</v>
      </c>
      <c r="AC6502" s="28">
        <v>267197000</v>
      </c>
      <c r="AD6502" s="28">
        <v>2676831000</v>
      </c>
      <c r="AE6502" s="28">
        <v>4743448000</v>
      </c>
      <c r="AF6502" s="28">
        <v>670636000</v>
      </c>
      <c r="AG6502" s="11"/>
    </row>
    <row r="6503">
      <c r="A6503" s="7" t="s">
        <v>8072</v>
      </c>
      <c r="B6503" s="5" t="s">
        <v>16021</v>
      </c>
      <c r="C6503" s="5" t="s">
        <v>23668</v>
      </c>
      <c r="D6503" s="5" t="str">
        <v>773106449331</v>
      </c>
      <c r="E6503" s="0" t="e">
        <f>+7 (495) 7775198
+7 (495) 7775520
+7 (495) 7775521</f>
        <v>#NAME?</v>
      </c>
      <c r="F6503" s="5" t="s">
        <v>44294</v>
      </c>
      <c r="G6503" s="5" t="s">
        <v>27149</v>
      </c>
      <c r="H6503" s="26">
        <v>27</v>
      </c>
      <c r="I6503" s="5" t="s">
        <v>44295</v>
      </c>
      <c r="J6503" s="5" t="s">
        <v>26367</v>
      </c>
      <c r="K6503" s="5" t="s">
        <v>344</v>
      </c>
      <c r="L6503" s="5"/>
      <c r="M6503" s="27">
        <v>5000000</v>
      </c>
      <c r="N6503" s="5" t="s">
        <v>50491</v>
      </c>
      <c r="O6503" s="5" t="str">
        <v>7730077601</v>
      </c>
      <c r="P6503" s="27">
        <v>10000000</v>
      </c>
      <c r="Q6503" s="5"/>
      <c r="R6503" s="5"/>
      <c r="S6503" s="5" t="s">
        <v>49029</v>
      </c>
      <c r="T6503" s="28">
        <v>116823000</v>
      </c>
      <c r="U6503" s="28">
        <v>5110000</v>
      </c>
      <c r="V6503" s="28">
        <v>1789302000</v>
      </c>
      <c r="W6503" s="28"/>
      <c r="X6503" s="28">
        <v>18892000</v>
      </c>
      <c r="Y6503" s="28">
        <v>3296341000</v>
      </c>
      <c r="Z6503" s="28">
        <v>988188000</v>
      </c>
      <c r="AA6503" s="28">
        <v>4400000</v>
      </c>
      <c r="AB6503" s="28">
        <v>1292600000</v>
      </c>
      <c r="AC6503" s="28">
        <v>2144608000</v>
      </c>
      <c r="AD6503" s="28">
        <v>998688000</v>
      </c>
      <c r="AE6503" s="28">
        <v>6885813000</v>
      </c>
      <c r="AF6503" s="28">
        <v>193021000</v>
      </c>
      <c r="AG6503" s="11"/>
    </row>
    <row r="6504">
      <c r="A6504" s="7" t="s">
        <v>8073</v>
      </c>
      <c r="B6504" s="5" t="s">
        <v>10355</v>
      </c>
      <c r="C6504" s="5" t="s">
        <v>18246</v>
      </c>
      <c r="D6504" s="5" t="str">
        <v>330502396882</v>
      </c>
      <c r="E6504" s="0" t="e">
        <f>+7 (49232) 99646
+7 (49232) 43033
+7 (49232) 46330
+7 (49232) 55732
+7 (49232) 94615
+7 (49232) 94616
+7 (49232) 94646
+7 (49232) 94647
+7 (49232) 99032
+7 (49232) 99035
+7 (49232) 99395
+7 (49232) 99636
+7 (800) 2004090</f>
        <v>#NAME?</v>
      </c>
      <c r="F6504" s="5" t="s">
        <v>44296</v>
      </c>
      <c r="G6504" s="5" t="s">
        <v>44297</v>
      </c>
      <c r="H6504" s="26">
        <v>18.5</v>
      </c>
      <c r="I6504" s="5" t="s">
        <v>44298</v>
      </c>
      <c r="J6504" s="5" t="s">
        <v>31224</v>
      </c>
      <c r="K6504" s="5" t="s">
        <v>355</v>
      </c>
      <c r="L6504" s="5" t="s">
        <v>44299</v>
      </c>
      <c r="M6504" s="27">
        <v>12638606</v>
      </c>
      <c r="N6504" s="5" t="s">
        <v>59086</v>
      </c>
      <c r="O6504" s="5" t="str">
        <v>3305051742</v>
      </c>
      <c r="P6504" s="27">
        <v>5760976</v>
      </c>
      <c r="Q6504" s="5" t="s">
        <v>49009</v>
      </c>
      <c r="R6504" s="5"/>
      <c r="S6504" s="5" t="s">
        <v>55891</v>
      </c>
      <c r="T6504" s="28">
        <v>859572000</v>
      </c>
      <c r="U6504" s="28">
        <v>715844000</v>
      </c>
      <c r="V6504" s="28">
        <v>4460494000</v>
      </c>
      <c r="W6504" s="28">
        <v>418900000</v>
      </c>
      <c r="X6504" s="28">
        <v>1833225000</v>
      </c>
      <c r="Y6504" s="28">
        <v>13192708000</v>
      </c>
      <c r="Z6504" s="28">
        <v>1917508000</v>
      </c>
      <c r="AA6504" s="28"/>
      <c r="AB6504" s="28">
        <v>3215909000</v>
      </c>
      <c r="AC6504" s="28">
        <v>11160199000</v>
      </c>
      <c r="AD6504" s="28">
        <v>1923272000</v>
      </c>
      <c r="AE6504" s="28">
        <v>40944140000</v>
      </c>
      <c r="AF6504" s="28">
        <v>-919734000</v>
      </c>
      <c r="AG6504" s="11"/>
    </row>
    <row r="6505">
      <c r="A6505" s="7" t="s">
        <v>8074</v>
      </c>
      <c r="B6505" s="5" t="s">
        <v>16022</v>
      </c>
      <c r="C6505" s="5" t="s">
        <v>23669</v>
      </c>
      <c r="D6505" s="5" t="str">
        <v>781608270845</v>
      </c>
      <c r="E6505" s="0" t="e">
        <f>+7 (812) 3350402
+7 (812) 2945803
+7 (812) 2945911
+7 (812) 4413456
+7 (812) 6406963
+7 (901) 3702469</f>
        <v>#NAME?</v>
      </c>
      <c r="F6505" s="5" t="s">
        <v>44300</v>
      </c>
      <c r="G6505" s="5" t="s">
        <v>44301</v>
      </c>
      <c r="H6505" s="26">
        <v>10</v>
      </c>
      <c r="I6505" s="5" t="s">
        <v>44302</v>
      </c>
      <c r="J6505" s="5" t="s">
        <v>27650</v>
      </c>
      <c r="K6505" s="5" t="s">
        <v>344</v>
      </c>
      <c r="L6505" s="5" t="s">
        <v>44303</v>
      </c>
      <c r="M6505" s="27">
        <v>3429710</v>
      </c>
      <c r="N6505" s="5"/>
      <c r="O6505" s="5" t="str">
        <v>7804500052</v>
      </c>
      <c r="P6505" s="27">
        <v>337692686</v>
      </c>
      <c r="Q6505" s="5" t="s">
        <v>49009</v>
      </c>
      <c r="R6505" s="5"/>
      <c r="S6505" s="5" t="s">
        <v>59087</v>
      </c>
      <c r="T6505" s="28">
        <v>667887000</v>
      </c>
      <c r="U6505" s="28">
        <v>105806000</v>
      </c>
      <c r="V6505" s="28">
        <v>3542984000</v>
      </c>
      <c r="W6505" s="28">
        <v>15800000</v>
      </c>
      <c r="X6505" s="28">
        <v>91051000</v>
      </c>
      <c r="Y6505" s="28">
        <v>6336118000</v>
      </c>
      <c r="Z6505" s="28">
        <v>1977610000</v>
      </c>
      <c r="AA6505" s="28"/>
      <c r="AB6505" s="28"/>
      <c r="AC6505" s="28">
        <v>3880018000</v>
      </c>
      <c r="AD6505" s="28">
        <v>2315303000</v>
      </c>
      <c r="AE6505" s="28">
        <v>20373139000</v>
      </c>
      <c r="AF6505" s="28">
        <v>1078772000</v>
      </c>
      <c r="AG6505" s="11"/>
    </row>
    <row r="6506">
      <c r="A6506" s="7" t="s">
        <v>8075</v>
      </c>
      <c r="B6506" s="5" t="s">
        <v>16023</v>
      </c>
      <c r="C6506" s="5" t="s">
        <v>23670</v>
      </c>
      <c r="D6506" s="5" t="str">
        <v>165916138896</v>
      </c>
      <c r="E6506" s="0" t="e">
        <f>+7 (8432) 503400
+7 (960) 485837</f>
        <v>#NAME?</v>
      </c>
      <c r="F6506" s="5"/>
      <c r="G6506" s="5"/>
      <c r="H6506" s="26">
        <v>7.5</v>
      </c>
      <c r="I6506" s="5" t="s">
        <v>44304</v>
      </c>
      <c r="J6506" s="5" t="s">
        <v>373</v>
      </c>
      <c r="K6506" s="5" t="s">
        <v>344</v>
      </c>
      <c r="L6506" s="5" t="s">
        <v>44305</v>
      </c>
      <c r="M6506" s="27">
        <v>111193</v>
      </c>
      <c r="N6506" s="5" t="s">
        <v>59088</v>
      </c>
      <c r="O6506" s="5" t="str">
        <v>1656089607</v>
      </c>
      <c r="P6506" s="27">
        <v>10000</v>
      </c>
      <c r="Q6506" s="5" t="s">
        <v>59089</v>
      </c>
      <c r="R6506" s="5"/>
      <c r="S6506" s="5" t="s">
        <v>53003</v>
      </c>
      <c r="T6506" s="28">
        <v>76991000</v>
      </c>
      <c r="U6506" s="28"/>
      <c r="V6506" s="28">
        <v>756941000</v>
      </c>
      <c r="W6506" s="28"/>
      <c r="X6506" s="28">
        <v>8000</v>
      </c>
      <c r="Y6506" s="28">
        <v>852929000</v>
      </c>
      <c r="Z6506" s="28">
        <v>217139000</v>
      </c>
      <c r="AA6506" s="28"/>
      <c r="AB6506" s="28">
        <v>62019000</v>
      </c>
      <c r="AC6506" s="28">
        <v>628517000</v>
      </c>
      <c r="AD6506" s="28">
        <v>217149000</v>
      </c>
      <c r="AE6506" s="28">
        <v>10814924000</v>
      </c>
      <c r="AF6506" s="28">
        <v>92828000</v>
      </c>
      <c r="AG6506" s="11"/>
    </row>
    <row r="6507">
      <c r="A6507" s="7" t="s">
        <v>8076</v>
      </c>
      <c r="B6507" s="5" t="s">
        <v>16024</v>
      </c>
      <c r="C6507" s="5" t="s">
        <v>23671</v>
      </c>
      <c r="D6507" s="5" t="str">
        <v>165066340551</v>
      </c>
      <c r="E6507" s="0" t="e">
        <f>+7 (495) 6019602
+7 (495) 1253575
+7 (495) 6019603
+7 (495) 7895619
+7 (495) 9958258</f>
        <v>#NAME?</v>
      </c>
      <c r="F6507" s="5" t="s">
        <v>44306</v>
      </c>
      <c r="G6507" s="5" t="s">
        <v>44307</v>
      </c>
      <c r="H6507" s="26">
        <v>17</v>
      </c>
      <c r="I6507" s="5" t="s">
        <v>44308</v>
      </c>
      <c r="J6507" s="5" t="s">
        <v>25550</v>
      </c>
      <c r="K6507" s="5" t="s">
        <v>344</v>
      </c>
      <c r="L6507" s="5"/>
      <c r="M6507" s="27"/>
      <c r="N6507" s="5"/>
      <c r="O6507" s="5" t="str">
        <v>5024075533</v>
      </c>
      <c r="P6507" s="27">
        <v>30010000</v>
      </c>
      <c r="Q6507" s="5" t="s">
        <v>49009</v>
      </c>
      <c r="R6507" s="5"/>
      <c r="S6507" s="5" t="s">
        <v>49010</v>
      </c>
      <c r="T6507" s="28">
        <v>2883000</v>
      </c>
      <c r="U6507" s="28"/>
      <c r="V6507" s="28">
        <v>627348000</v>
      </c>
      <c r="W6507" s="28"/>
      <c r="X6507" s="28">
        <v>19743000</v>
      </c>
      <c r="Y6507" s="28">
        <v>1313653000</v>
      </c>
      <c r="Z6507" s="28">
        <v>1132000</v>
      </c>
      <c r="AA6507" s="28"/>
      <c r="AB6507" s="28">
        <v>579248000</v>
      </c>
      <c r="AC6507" s="28">
        <v>1271424000</v>
      </c>
      <c r="AD6507" s="28">
        <v>31142000</v>
      </c>
      <c r="AE6507" s="28">
        <v>3485785000</v>
      </c>
      <c r="AF6507" s="28">
        <v>3748000</v>
      </c>
      <c r="AG6507" s="11"/>
    </row>
    <row r="6508">
      <c r="A6508" s="7" t="s">
        <v>8077</v>
      </c>
      <c r="B6508" s="5" t="s">
        <v>16025</v>
      </c>
      <c r="C6508" s="5" t="s">
        <v>23672</v>
      </c>
      <c r="D6508" s="5" t="str">
        <v>420577751072</v>
      </c>
      <c r="E6508" s="0" t="e">
        <f>+7 (495) 9564140</f>
        <v>#NAME?</v>
      </c>
      <c r="F6508" s="5" t="s">
        <v>44309</v>
      </c>
      <c r="G6508" s="5"/>
      <c r="H6508" s="26">
        <v>15</v>
      </c>
      <c r="I6508" s="5"/>
      <c r="J6508" s="5" t="s">
        <v>397</v>
      </c>
      <c r="K6508" s="5" t="s">
        <v>344</v>
      </c>
      <c r="L6508" s="5" t="s">
        <v>44310</v>
      </c>
      <c r="M6508" s="27"/>
      <c r="N6508" s="5"/>
      <c r="O6508" s="5" t="str">
        <v>7714724594</v>
      </c>
      <c r="P6508" s="27">
        <v>3000000</v>
      </c>
      <c r="Q6508" s="5" t="s">
        <v>49009</v>
      </c>
      <c r="R6508" s="5"/>
      <c r="S6508" s="5" t="s">
        <v>49010</v>
      </c>
      <c r="T6508" s="28">
        <v>73389000</v>
      </c>
      <c r="U6508" s="28"/>
      <c r="V6508" s="28">
        <v>11698555000</v>
      </c>
      <c r="W6508" s="28"/>
      <c r="X6508" s="28">
        <v>2901004000</v>
      </c>
      <c r="Y6508" s="28">
        <v>16698246000</v>
      </c>
      <c r="Z6508" s="28">
        <v>3367532000</v>
      </c>
      <c r="AA6508" s="28"/>
      <c r="AB6508" s="28"/>
      <c r="AC6508" s="28">
        <v>12069185000</v>
      </c>
      <c r="AD6508" s="28">
        <v>3370682000</v>
      </c>
      <c r="AE6508" s="28">
        <v>65893284000</v>
      </c>
      <c r="AF6508" s="28">
        <v>2679941000</v>
      </c>
      <c r="AG6508" s="11"/>
    </row>
    <row r="6509">
      <c r="A6509" s="7" t="s">
        <v>8078</v>
      </c>
      <c r="B6509" s="5" t="s">
        <v>12757</v>
      </c>
      <c r="C6509" s="5" t="s">
        <v>20567</v>
      </c>
      <c r="D6509" s="5" t="str">
        <v>312318450384</v>
      </c>
      <c r="E6509" s="0" t="e">
        <f>+7 (472) 2269095
+7 (472) 2357457</f>
        <v>#NAME?</v>
      </c>
      <c r="F6509" s="5" t="s">
        <v>44311</v>
      </c>
      <c r="G6509" s="5" t="s">
        <v>34665</v>
      </c>
      <c r="H6509" s="26">
        <v>21</v>
      </c>
      <c r="I6509" s="5" t="s">
        <v>44312</v>
      </c>
      <c r="J6509" s="5" t="s">
        <v>44313</v>
      </c>
      <c r="K6509" s="5" t="s">
        <v>344</v>
      </c>
      <c r="L6509" s="5"/>
      <c r="M6509" s="27"/>
      <c r="N6509" s="5" t="s">
        <v>59090</v>
      </c>
      <c r="O6509" s="5" t="str">
        <v>3123075883</v>
      </c>
      <c r="P6509" s="27">
        <v>20000</v>
      </c>
      <c r="Q6509" s="5" t="s">
        <v>49009</v>
      </c>
      <c r="R6509" s="5"/>
      <c r="S6509" s="5" t="s">
        <v>49045</v>
      </c>
      <c r="T6509" s="28">
        <v>12738000</v>
      </c>
      <c r="U6509" s="28">
        <v>4748000</v>
      </c>
      <c r="V6509" s="28">
        <v>551200000</v>
      </c>
      <c r="W6509" s="28">
        <v>2645000</v>
      </c>
      <c r="X6509" s="28">
        <v>5569000</v>
      </c>
      <c r="Y6509" s="28">
        <v>736606000</v>
      </c>
      <c r="Z6509" s="28">
        <v>59774000</v>
      </c>
      <c r="AA6509" s="28"/>
      <c r="AB6509" s="28">
        <v>42919000</v>
      </c>
      <c r="AC6509" s="28">
        <v>676799000</v>
      </c>
      <c r="AD6509" s="28">
        <v>59794000</v>
      </c>
      <c r="AE6509" s="28">
        <v>4102867000</v>
      </c>
      <c r="AF6509" s="28">
        <v>36116000</v>
      </c>
      <c r="AG6509" s="11"/>
    </row>
    <row r="6510">
      <c r="A6510" s="7" t="s">
        <v>8079</v>
      </c>
      <c r="B6510" s="5" t="s">
        <v>16026</v>
      </c>
      <c r="C6510" s="5" t="s">
        <v>23673</v>
      </c>
      <c r="D6510" s="5" t="str">
        <v>773105868724</v>
      </c>
      <c r="E6510" s="0" t="e">
        <f>+7 (915) 3848387</f>
        <v>#NAME?</v>
      </c>
      <c r="F6510" s="5"/>
      <c r="G6510" s="5"/>
      <c r="H6510" s="26">
        <v>3.5</v>
      </c>
      <c r="I6510" s="5" t="s">
        <v>44314</v>
      </c>
      <c r="J6510" s="5" t="s">
        <v>678</v>
      </c>
      <c r="K6510" s="5" t="s">
        <v>344</v>
      </c>
      <c r="L6510" s="5" t="s">
        <v>44315</v>
      </c>
      <c r="M6510" s="27"/>
      <c r="N6510" s="5"/>
      <c r="O6510" s="5" t="str">
        <v>9702009280</v>
      </c>
      <c r="P6510" s="27">
        <v>300000</v>
      </c>
      <c r="Q6510" s="5" t="s">
        <v>59091</v>
      </c>
      <c r="R6510" s="5"/>
      <c r="S6510" s="5" t="s">
        <v>59092</v>
      </c>
      <c r="T6510" s="28">
        <v>177000</v>
      </c>
      <c r="U6510" s="28"/>
      <c r="V6510" s="28">
        <v>475297000</v>
      </c>
      <c r="W6510" s="28">
        <v>17160000</v>
      </c>
      <c r="X6510" s="28">
        <v>9708000</v>
      </c>
      <c r="Y6510" s="28">
        <v>920503000</v>
      </c>
      <c r="Z6510" s="28">
        <v>250658000</v>
      </c>
      <c r="AA6510" s="28">
        <v>162171000</v>
      </c>
      <c r="AB6510" s="28">
        <v>277634000</v>
      </c>
      <c r="AC6510" s="28">
        <v>506589000</v>
      </c>
      <c r="AD6510" s="28">
        <v>251318000</v>
      </c>
      <c r="AE6510" s="28">
        <v>3066456000</v>
      </c>
      <c r="AF6510" s="28">
        <v>147457000</v>
      </c>
      <c r="AG6510" s="11"/>
    </row>
    <row r="6511">
      <c r="A6511" s="7" t="s">
        <v>8080</v>
      </c>
      <c r="B6511" s="5" t="s">
        <v>16027</v>
      </c>
      <c r="C6511" s="5" t="s">
        <v>23674</v>
      </c>
      <c r="D6511" s="5" t="str">
        <v>771802360701</v>
      </c>
      <c r="E6511" s="0" t="e">
        <f>+7 (495) 7878438
+7 (499) 5538417</f>
        <v>#NAME?</v>
      </c>
      <c r="F6511" s="5"/>
      <c r="G6511" s="5"/>
      <c r="H6511" s="26">
        <v>9.5</v>
      </c>
      <c r="I6511" s="5" t="s">
        <v>44316</v>
      </c>
      <c r="J6511" s="5" t="s">
        <v>26846</v>
      </c>
      <c r="K6511" s="5" t="s">
        <v>344</v>
      </c>
      <c r="L6511" s="5" t="s">
        <v>44317</v>
      </c>
      <c r="M6511" s="27"/>
      <c r="N6511" s="5"/>
      <c r="O6511" s="5" t="str">
        <v>5027203913</v>
      </c>
      <c r="P6511" s="27">
        <v>1942308</v>
      </c>
      <c r="Q6511" s="5" t="s">
        <v>49009</v>
      </c>
      <c r="R6511" s="5"/>
      <c r="S6511" s="5" t="s">
        <v>49010</v>
      </c>
      <c r="T6511" s="28">
        <v>1954000</v>
      </c>
      <c r="U6511" s="28"/>
      <c r="V6511" s="28">
        <v>1325566000</v>
      </c>
      <c r="W6511" s="28"/>
      <c r="X6511" s="28">
        <v>200583000</v>
      </c>
      <c r="Y6511" s="28">
        <v>2085717000</v>
      </c>
      <c r="Z6511" s="28">
        <v>1342815000</v>
      </c>
      <c r="AA6511" s="28">
        <v>409376000</v>
      </c>
      <c r="AB6511" s="28">
        <v>16390000</v>
      </c>
      <c r="AC6511" s="28">
        <v>331584000</v>
      </c>
      <c r="AD6511" s="28">
        <v>1344757000</v>
      </c>
      <c r="AE6511" s="28">
        <v>8025536000</v>
      </c>
      <c r="AF6511" s="28">
        <v>730712000</v>
      </c>
      <c r="AG6511" s="11"/>
    </row>
    <row r="6512">
      <c r="A6512" s="7" t="s">
        <v>8081</v>
      </c>
      <c r="B6512" s="5" t="s">
        <v>16028</v>
      </c>
      <c r="C6512" s="5" t="s">
        <v>23675</v>
      </c>
      <c r="D6512" s="5" t="str">
        <v>616613942276</v>
      </c>
      <c r="E6512" s="0" t="e">
        <f>+7 (800) 2006222
+7 (8632) 370340
+7 (8632) 370352</f>
        <v>#NAME?</v>
      </c>
      <c r="F6512" s="5" t="s">
        <v>44318</v>
      </c>
      <c r="G6512" s="5" t="s">
        <v>44319</v>
      </c>
      <c r="H6512" s="26">
        <v>19</v>
      </c>
      <c r="I6512" s="5" t="s">
        <v>44320</v>
      </c>
      <c r="J6512" s="5" t="s">
        <v>25612</v>
      </c>
      <c r="K6512" s="5" t="s">
        <v>344</v>
      </c>
      <c r="L6512" s="5" t="s">
        <v>44321</v>
      </c>
      <c r="M6512" s="27">
        <v>2193044</v>
      </c>
      <c r="N6512" s="5" t="s">
        <v>59093</v>
      </c>
      <c r="O6512" s="5" t="str">
        <v>6164221031</v>
      </c>
      <c r="P6512" s="27">
        <v>1000000</v>
      </c>
      <c r="Q6512" s="5" t="s">
        <v>59094</v>
      </c>
      <c r="R6512" s="5"/>
      <c r="S6512" s="5" t="s">
        <v>59095</v>
      </c>
      <c r="T6512" s="28">
        <v>7030000</v>
      </c>
      <c r="U6512" s="28"/>
      <c r="V6512" s="28">
        <v>765911000</v>
      </c>
      <c r="W6512" s="28">
        <v>74287000</v>
      </c>
      <c r="X6512" s="28">
        <v>448688000</v>
      </c>
      <c r="Y6512" s="28">
        <v>1672800000</v>
      </c>
      <c r="Z6512" s="28">
        <v>309657000</v>
      </c>
      <c r="AA6512" s="28"/>
      <c r="AB6512" s="28">
        <v>300415000</v>
      </c>
      <c r="AC6512" s="28">
        <v>1303020000</v>
      </c>
      <c r="AD6512" s="28">
        <v>341156000</v>
      </c>
      <c r="AE6512" s="28">
        <v>3004553000</v>
      </c>
      <c r="AF6512" s="28">
        <v>-198289000</v>
      </c>
      <c r="AG6512" s="11"/>
    </row>
    <row r="6513">
      <c r="A6513" s="7" t="s">
        <v>8082</v>
      </c>
      <c r="B6513" s="5" t="s">
        <v>16029</v>
      </c>
      <c r="C6513" s="5" t="s">
        <v>23676</v>
      </c>
      <c r="D6513" s="5" t="str">
        <v>920450890706</v>
      </c>
      <c r="E6513" s="0" t="e">
        <f>+7 (978) 7208265</f>
        <v>#NAME?</v>
      </c>
      <c r="F6513" s="5"/>
      <c r="G6513" s="5"/>
      <c r="H6513" s="26">
        <v>8.5</v>
      </c>
      <c r="I6513" s="5" t="s">
        <v>44322</v>
      </c>
      <c r="J6513" s="5" t="s">
        <v>693</v>
      </c>
      <c r="K6513" s="5" t="s">
        <v>355</v>
      </c>
      <c r="L6513" s="5" t="s">
        <v>44323</v>
      </c>
      <c r="M6513" s="27"/>
      <c r="N6513" s="5"/>
      <c r="O6513" s="5" t="str">
        <v>2370003867</v>
      </c>
      <c r="P6513" s="27">
        <v>10000</v>
      </c>
      <c r="Q6513" s="5" t="s">
        <v>49009</v>
      </c>
      <c r="R6513" s="5"/>
      <c r="S6513" s="5" t="s">
        <v>49010</v>
      </c>
      <c r="T6513" s="28">
        <v>12834000</v>
      </c>
      <c r="U6513" s="28"/>
      <c r="V6513" s="28">
        <v>341499000</v>
      </c>
      <c r="W6513" s="28"/>
      <c r="X6513" s="28">
        <v>1266000</v>
      </c>
      <c r="Y6513" s="28">
        <v>917813000</v>
      </c>
      <c r="Z6513" s="28">
        <v>109201000</v>
      </c>
      <c r="AA6513" s="28">
        <v>90000000</v>
      </c>
      <c r="AB6513" s="28">
        <v>213629000</v>
      </c>
      <c r="AC6513" s="28">
        <v>606584000</v>
      </c>
      <c r="AD6513" s="28">
        <v>211021000</v>
      </c>
      <c r="AE6513" s="28">
        <v>3019921000</v>
      </c>
      <c r="AF6513" s="28">
        <v>32978000</v>
      </c>
      <c r="AG6513" s="11"/>
    </row>
    <row r="6514">
      <c r="A6514" s="7" t="s">
        <v>8083</v>
      </c>
      <c r="B6514" s="5" t="s">
        <v>16030</v>
      </c>
      <c r="C6514" s="5" t="s">
        <v>23677</v>
      </c>
      <c r="D6514" s="5" t="str">
        <v>744804925135</v>
      </c>
      <c r="E6514" s="0" t="e">
        <f>+7 (343) 2899096
+7 (495) 7871114
+7 (495) 7871140
+7 (495) 7871144
+7 (495) 7871175</f>
        <v>#NAME?</v>
      </c>
      <c r="F6514" s="5"/>
      <c r="G6514" s="5" t="s">
        <v>44324</v>
      </c>
      <c r="H6514" s="26">
        <v>16</v>
      </c>
      <c r="I6514" s="5" t="s">
        <v>44325</v>
      </c>
      <c r="J6514" s="5" t="s">
        <v>25759</v>
      </c>
      <c r="K6514" s="5" t="s">
        <v>344</v>
      </c>
      <c r="L6514" s="5" t="s">
        <v>44326</v>
      </c>
      <c r="M6514" s="27"/>
      <c r="N6514" s="5" t="s">
        <v>59096</v>
      </c>
      <c r="O6514" s="5" t="str">
        <v>7721583376</v>
      </c>
      <c r="P6514" s="27">
        <v>100000</v>
      </c>
      <c r="Q6514" s="5" t="s">
        <v>59097</v>
      </c>
      <c r="R6514" s="5"/>
      <c r="S6514" s="5" t="s">
        <v>59098</v>
      </c>
      <c r="T6514" s="28">
        <v>426951000</v>
      </c>
      <c r="U6514" s="28"/>
      <c r="V6514" s="28">
        <v>643905000</v>
      </c>
      <c r="W6514" s="28">
        <v>148000</v>
      </c>
      <c r="X6514" s="28">
        <v>16166000</v>
      </c>
      <c r="Y6514" s="28">
        <v>2118493000</v>
      </c>
      <c r="Z6514" s="28">
        <v>855882000</v>
      </c>
      <c r="AA6514" s="28">
        <v>100000000</v>
      </c>
      <c r="AB6514" s="28">
        <v>412690000</v>
      </c>
      <c r="AC6514" s="28">
        <v>1145080000</v>
      </c>
      <c r="AD6514" s="28">
        <v>856008000</v>
      </c>
      <c r="AE6514" s="28">
        <v>7808204000</v>
      </c>
      <c r="AF6514" s="28">
        <v>588677000</v>
      </c>
      <c r="AG6514" s="11"/>
    </row>
    <row r="6515">
      <c r="A6515" s="7" t="s">
        <v>8084</v>
      </c>
      <c r="B6515" s="5" t="s">
        <v>16031</v>
      </c>
      <c r="C6515" s="5" t="s">
        <v>23678</v>
      </c>
      <c r="D6515" s="5"/>
      <c r="E6515" s="0" t="e">
        <f>+7 (495) 6203011
+7 (495) 6293011
+7 (495) 7454027
+7 (495) 7777565
+7 (495) 7884216
+7 (495) 7884343
+7 (499) 9752581</f>
        <v>#NAME?</v>
      </c>
      <c r="F6515" s="5" t="s">
        <v>44327</v>
      </c>
      <c r="G6515" s="5" t="s">
        <v>44328</v>
      </c>
      <c r="H6515" s="26">
        <v>32</v>
      </c>
      <c r="I6515" s="5"/>
      <c r="J6515" s="5" t="s">
        <v>25738</v>
      </c>
      <c r="K6515" s="5" t="s">
        <v>344</v>
      </c>
      <c r="L6515" s="5" t="s">
        <v>44329</v>
      </c>
      <c r="M6515" s="27">
        <v>266578451</v>
      </c>
      <c r="N6515" s="5" t="s">
        <v>59099</v>
      </c>
      <c r="O6515" s="5" t="str">
        <v>7710035963</v>
      </c>
      <c r="P6515" s="27">
        <v>180000000</v>
      </c>
      <c r="Q6515" s="5" t="s">
        <v>49059</v>
      </c>
      <c r="R6515" s="5"/>
      <c r="S6515" s="5" t="s">
        <v>49884</v>
      </c>
      <c r="T6515" s="28">
        <v>255253000</v>
      </c>
      <c r="U6515" s="28">
        <v>477237000</v>
      </c>
      <c r="V6515" s="28">
        <v>1151548000</v>
      </c>
      <c r="W6515" s="28">
        <v>2758677000</v>
      </c>
      <c r="X6515" s="28">
        <v>86929000</v>
      </c>
      <c r="Y6515" s="28">
        <v>5640822000</v>
      </c>
      <c r="Z6515" s="28">
        <v>2391785000</v>
      </c>
      <c r="AA6515" s="28">
        <v>1400000000</v>
      </c>
      <c r="AB6515" s="28">
        <v>4317000</v>
      </c>
      <c r="AC6515" s="28">
        <v>1602485000</v>
      </c>
      <c r="AD6515" s="28">
        <v>2623943000</v>
      </c>
      <c r="AE6515" s="28">
        <v>6530953000</v>
      </c>
      <c r="AF6515" s="28">
        <v>328044000</v>
      </c>
      <c r="AG6515" s="11"/>
    </row>
    <row r="6516">
      <c r="A6516" s="7" t="s">
        <v>8085</v>
      </c>
      <c r="B6516" s="5" t="s">
        <v>16032</v>
      </c>
      <c r="C6516" s="5" t="s">
        <v>23679</v>
      </c>
      <c r="D6516" s="5" t="str">
        <v>771535806388</v>
      </c>
      <c r="E6516" s="0" t="e">
        <f>+7 (968) 7263302
+7 (49626) 44802
+7 (499) 7348586
+7 (499) 7364075
+7 (910) 9413223</f>
        <v>#NAME?</v>
      </c>
      <c r="F6516" s="5" t="s">
        <v>44330</v>
      </c>
      <c r="G6516" s="5"/>
      <c r="H6516" s="26">
        <v>17.5</v>
      </c>
      <c r="I6516" s="5" t="s">
        <v>44331</v>
      </c>
      <c r="J6516" s="5" t="s">
        <v>30764</v>
      </c>
      <c r="K6516" s="5" t="s">
        <v>355</v>
      </c>
      <c r="L6516" s="5"/>
      <c r="M6516" s="27"/>
      <c r="N6516" s="5" t="s">
        <v>59100</v>
      </c>
      <c r="O6516" s="5" t="str">
        <v>6911023162</v>
      </c>
      <c r="P6516" s="27">
        <v>10000</v>
      </c>
      <c r="Q6516" s="5" t="s">
        <v>49059</v>
      </c>
      <c r="R6516" s="5" t="s">
        <v>55397</v>
      </c>
      <c r="S6516" s="5" t="s">
        <v>49110</v>
      </c>
      <c r="T6516" s="28">
        <v>100198000</v>
      </c>
      <c r="U6516" s="28"/>
      <c r="V6516" s="28">
        <v>2565610000</v>
      </c>
      <c r="W6516" s="28"/>
      <c r="X6516" s="28">
        <v>167991000</v>
      </c>
      <c r="Y6516" s="28">
        <v>2894609000</v>
      </c>
      <c r="Z6516" s="28">
        <v>-2579412000</v>
      </c>
      <c r="AA6516" s="28">
        <v>209271000</v>
      </c>
      <c r="AB6516" s="28"/>
      <c r="AC6516" s="28">
        <v>5251515000</v>
      </c>
      <c r="AD6516" s="28">
        <v>-2573877000</v>
      </c>
      <c r="AE6516" s="28">
        <v>20260377000</v>
      </c>
      <c r="AF6516" s="28">
        <v>-91772000</v>
      </c>
      <c r="AG6516" s="11"/>
    </row>
    <row r="6517">
      <c r="A6517" s="7" t="s">
        <v>8086</v>
      </c>
      <c r="B6517" s="5" t="s">
        <v>16033</v>
      </c>
      <c r="C6517" s="5" t="s">
        <v>23680</v>
      </c>
      <c r="D6517" s="5" t="str">
        <v>772201649258</v>
      </c>
      <c r="E6517" s="0" t="e">
        <f>+7 (3952) 792267
+7 (3952) 792164</f>
        <v>#NAME?</v>
      </c>
      <c r="F6517" s="5" t="s">
        <v>44332</v>
      </c>
      <c r="G6517" s="5"/>
      <c r="H6517" s="26">
        <v>18</v>
      </c>
      <c r="I6517" s="5" t="s">
        <v>44333</v>
      </c>
      <c r="J6517" s="5" t="s">
        <v>27296</v>
      </c>
      <c r="K6517" s="5" t="s">
        <v>344</v>
      </c>
      <c r="L6517" s="5" t="s">
        <v>44334</v>
      </c>
      <c r="M6517" s="27">
        <v>64329507</v>
      </c>
      <c r="N6517" s="5" t="s">
        <v>59101</v>
      </c>
      <c r="O6517" s="5" t="str">
        <v>3808118560</v>
      </c>
      <c r="P6517" s="27">
        <v>19995</v>
      </c>
      <c r="Q6517" s="5" t="s">
        <v>59102</v>
      </c>
      <c r="R6517" s="5"/>
      <c r="S6517" s="5" t="s">
        <v>51430</v>
      </c>
      <c r="T6517" s="28">
        <v>56266000</v>
      </c>
      <c r="U6517" s="28">
        <v>5283676000</v>
      </c>
      <c r="V6517" s="28">
        <v>3354339000</v>
      </c>
      <c r="W6517" s="28">
        <v>59347000</v>
      </c>
      <c r="X6517" s="28">
        <v>480515000</v>
      </c>
      <c r="Y6517" s="28">
        <v>10023571000</v>
      </c>
      <c r="Z6517" s="28">
        <v>3712609000</v>
      </c>
      <c r="AA6517" s="28">
        <v>3393138000</v>
      </c>
      <c r="AB6517" s="28">
        <v>209117000</v>
      </c>
      <c r="AC6517" s="28">
        <v>2703089000</v>
      </c>
      <c r="AD6517" s="28">
        <v>3904250000</v>
      </c>
      <c r="AE6517" s="28">
        <v>12483878000</v>
      </c>
      <c r="AF6517" s="28">
        <v>610359000</v>
      </c>
      <c r="AG6517" s="11"/>
    </row>
    <row r="6518">
      <c r="A6518" s="7" t="s">
        <v>8087</v>
      </c>
      <c r="B6518" s="5" t="s">
        <v>16034</v>
      </c>
      <c r="C6518" s="5" t="s">
        <v>23681</v>
      </c>
      <c r="D6518" s="5" t="str">
        <v>344703697481</v>
      </c>
      <c r="E6518" s="0" t="e">
        <f>+7 (844) 2493781
+7 (844) 2493782
+7 (844) 2596182
+7 (844) 2599732</f>
        <v>#NAME?</v>
      </c>
      <c r="F6518" s="5" t="s">
        <v>44335</v>
      </c>
      <c r="G6518" s="5"/>
      <c r="H6518" s="26">
        <v>15.5</v>
      </c>
      <c r="I6518" s="5" t="s">
        <v>44336</v>
      </c>
      <c r="J6518" s="5" t="s">
        <v>25850</v>
      </c>
      <c r="K6518" s="5" t="s">
        <v>344</v>
      </c>
      <c r="L6518" s="5" t="s">
        <v>44337</v>
      </c>
      <c r="M6518" s="27">
        <v>1618952</v>
      </c>
      <c r="N6518" s="5" t="s">
        <v>59103</v>
      </c>
      <c r="O6518" s="5" t="str">
        <v>3445091590</v>
      </c>
      <c r="P6518" s="27">
        <v>53730000</v>
      </c>
      <c r="Q6518" s="5" t="s">
        <v>59104</v>
      </c>
      <c r="R6518" s="5"/>
      <c r="S6518" s="5" t="s">
        <v>50671</v>
      </c>
      <c r="T6518" s="28">
        <v>83006000</v>
      </c>
      <c r="U6518" s="28"/>
      <c r="V6518" s="28">
        <v>8034653000</v>
      </c>
      <c r="W6518" s="28">
        <v>164939000</v>
      </c>
      <c r="X6518" s="28">
        <v>2416452000</v>
      </c>
      <c r="Y6518" s="28">
        <v>15016887000</v>
      </c>
      <c r="Z6518" s="28">
        <v>1486745000</v>
      </c>
      <c r="AA6518" s="28"/>
      <c r="AB6518" s="28">
        <v>8534194000</v>
      </c>
      <c r="AC6518" s="28">
        <v>13368268000</v>
      </c>
      <c r="AD6518" s="28">
        <v>1540475000</v>
      </c>
      <c r="AE6518" s="28">
        <v>36517393000</v>
      </c>
      <c r="AF6518" s="28">
        <v>716079000</v>
      </c>
      <c r="AG6518" s="11"/>
    </row>
    <row r="6519">
      <c r="A6519" s="7" t="s">
        <v>8088</v>
      </c>
      <c r="B6519" s="5" t="s">
        <v>16035</v>
      </c>
      <c r="C6519" s="5" t="s">
        <v>23682</v>
      </c>
      <c r="D6519" s="5" t="str">
        <v>070302720680</v>
      </c>
      <c r="E6519" s="0" t="e">
        <f>+7 (863) 2539336
+7 (8632) 638406
+7 (8632) 950276</f>
        <v>#NAME?</v>
      </c>
      <c r="F6519" s="5"/>
      <c r="G6519" s="5"/>
      <c r="H6519" s="26">
        <v>18.5</v>
      </c>
      <c r="I6519" s="5" t="s">
        <v>44338</v>
      </c>
      <c r="J6519" s="5" t="s">
        <v>27956</v>
      </c>
      <c r="K6519" s="5" t="s">
        <v>344</v>
      </c>
      <c r="L6519" s="5" t="s">
        <v>44339</v>
      </c>
      <c r="M6519" s="27"/>
      <c r="N6519" s="5"/>
      <c r="O6519" s="5" t="str">
        <v>6167077675</v>
      </c>
      <c r="P6519" s="27">
        <v>10000</v>
      </c>
      <c r="Q6519" s="5" t="s">
        <v>49009</v>
      </c>
      <c r="R6519" s="5"/>
      <c r="S6519" s="5" t="s">
        <v>49028</v>
      </c>
      <c r="T6519" s="28">
        <v>107444000</v>
      </c>
      <c r="U6519" s="28">
        <v>1607000</v>
      </c>
      <c r="V6519" s="28">
        <v>1336971000</v>
      </c>
      <c r="W6519" s="28">
        <v>211450000</v>
      </c>
      <c r="X6519" s="28">
        <v>124730000</v>
      </c>
      <c r="Y6519" s="28">
        <v>2011387000</v>
      </c>
      <c r="Z6519" s="28">
        <v>906754000</v>
      </c>
      <c r="AA6519" s="28">
        <v>389217000</v>
      </c>
      <c r="AB6519" s="28">
        <v>487263000</v>
      </c>
      <c r="AC6519" s="28">
        <v>711550000</v>
      </c>
      <c r="AD6519" s="28">
        <v>906765000</v>
      </c>
      <c r="AE6519" s="28">
        <v>18290632000</v>
      </c>
      <c r="AF6519" s="28">
        <v>453272000</v>
      </c>
      <c r="AG6519" s="11"/>
    </row>
    <row r="6520">
      <c r="A6520" s="7" t="s">
        <v>8089</v>
      </c>
      <c r="B6520" s="5" t="s">
        <v>16036</v>
      </c>
      <c r="C6520" s="5" t="s">
        <v>23683</v>
      </c>
      <c r="D6520" s="5" t="str">
        <v>741805520175</v>
      </c>
      <c r="E6520" s="0" t="e">
        <f>+7 (922) 153513</f>
        <v>#NAME?</v>
      </c>
      <c r="F6520" s="5"/>
      <c r="G6520" s="5"/>
      <c r="H6520" s="26">
        <v>17</v>
      </c>
      <c r="I6520" s="5" t="s">
        <v>44340</v>
      </c>
      <c r="J6520" s="5" t="s">
        <v>26880</v>
      </c>
      <c r="K6520" s="5" t="s">
        <v>344</v>
      </c>
      <c r="L6520" s="5" t="s">
        <v>44341</v>
      </c>
      <c r="M6520" s="27"/>
      <c r="N6520" s="5" t="s">
        <v>59105</v>
      </c>
      <c r="O6520" s="5" t="str">
        <v>7412009301</v>
      </c>
      <c r="P6520" s="27">
        <v>1000000</v>
      </c>
      <c r="Q6520" s="5" t="s">
        <v>59106</v>
      </c>
      <c r="R6520" s="5"/>
      <c r="S6520" s="5" t="s">
        <v>59107</v>
      </c>
      <c r="T6520" s="28">
        <v>8883000</v>
      </c>
      <c r="U6520" s="28"/>
      <c r="V6520" s="28">
        <v>3591638000</v>
      </c>
      <c r="W6520" s="28"/>
      <c r="X6520" s="28">
        <v>6150000</v>
      </c>
      <c r="Y6520" s="28">
        <v>4182279000</v>
      </c>
      <c r="Z6520" s="28">
        <v>702617000</v>
      </c>
      <c r="AA6520" s="28"/>
      <c r="AB6520" s="28">
        <v>654665000</v>
      </c>
      <c r="AC6520" s="28">
        <v>3474760000</v>
      </c>
      <c r="AD6520" s="28">
        <v>703617000</v>
      </c>
      <c r="AE6520" s="28">
        <v>13862370000</v>
      </c>
      <c r="AF6520" s="28">
        <v>515928000</v>
      </c>
      <c r="AG6520" s="11"/>
    </row>
    <row r="6521">
      <c r="A6521" s="7" t="s">
        <v>8090</v>
      </c>
      <c r="B6521" s="5" t="s">
        <v>16037</v>
      </c>
      <c r="C6521" s="5" t="s">
        <v>23684</v>
      </c>
      <c r="D6521" s="5" t="str">
        <v>222109085967</v>
      </c>
      <c r="E6521" s="0" t="e">
        <f>+7 (385) 2720045
+7 (913) 2224224</f>
        <v>#NAME?</v>
      </c>
      <c r="F6521" s="5"/>
      <c r="G6521" s="5"/>
      <c r="H6521" s="26">
        <v>5.5</v>
      </c>
      <c r="I6521" s="5" t="s">
        <v>44342</v>
      </c>
      <c r="J6521" s="5" t="s">
        <v>25864</v>
      </c>
      <c r="K6521" s="5" t="s">
        <v>344</v>
      </c>
      <c r="L6521" s="5" t="s">
        <v>44343</v>
      </c>
      <c r="M6521" s="27"/>
      <c r="N6521" s="5"/>
      <c r="O6521" s="5" t="str">
        <v>2225184738</v>
      </c>
      <c r="P6521" s="27">
        <v>150000</v>
      </c>
      <c r="Q6521" s="5" t="s">
        <v>59108</v>
      </c>
      <c r="R6521" s="5"/>
      <c r="S6521" s="5" t="s">
        <v>59109</v>
      </c>
      <c r="T6521" s="28">
        <v>335537000</v>
      </c>
      <c r="U6521" s="28"/>
      <c r="V6521" s="28">
        <v>798567000</v>
      </c>
      <c r="W6521" s="28">
        <v>10194000</v>
      </c>
      <c r="X6521" s="28">
        <v>306078000</v>
      </c>
      <c r="Y6521" s="28">
        <v>1551084000</v>
      </c>
      <c r="Z6521" s="28">
        <v>444343000</v>
      </c>
      <c r="AA6521" s="28">
        <v>5000</v>
      </c>
      <c r="AB6521" s="28"/>
      <c r="AC6521" s="28">
        <v>1106586000</v>
      </c>
      <c r="AD6521" s="28">
        <v>444493000</v>
      </c>
      <c r="AE6521" s="28">
        <v>4017630000</v>
      </c>
      <c r="AF6521" s="28">
        <v>187862000</v>
      </c>
      <c r="AG6521" s="11"/>
    </row>
    <row r="6522">
      <c r="A6522" s="7" t="s">
        <v>8091</v>
      </c>
      <c r="B6522" s="5" t="s">
        <v>16038</v>
      </c>
      <c r="C6522" s="5" t="s">
        <v>23685</v>
      </c>
      <c r="D6522" s="5" t="str">
        <v>667206072920</v>
      </c>
      <c r="E6522" s="0" t="e">
        <f>+7 (912) 2878038
+7 (800) 5009444
+7 (3432) 720005
+7 (908) 9233887
+7 (912) 2002695
+7 (919) 3768122
+7 (922) 1565886
+7 (922) 2241274</f>
        <v>#NAME?</v>
      </c>
      <c r="F6522" s="5" t="s">
        <v>44344</v>
      </c>
      <c r="G6522" s="5" t="s">
        <v>44345</v>
      </c>
      <c r="H6522" s="26">
        <v>10</v>
      </c>
      <c r="I6522" s="5" t="s">
        <v>44346</v>
      </c>
      <c r="J6522" s="5" t="s">
        <v>33986</v>
      </c>
      <c r="K6522" s="5" t="s">
        <v>344</v>
      </c>
      <c r="L6522" s="5" t="s">
        <v>44347</v>
      </c>
      <c r="M6522" s="27"/>
      <c r="N6522" s="5" t="s">
        <v>59110</v>
      </c>
      <c r="O6522" s="5" t="str">
        <v>6685029954</v>
      </c>
      <c r="P6522" s="27">
        <v>15000</v>
      </c>
      <c r="Q6522" s="5" t="s">
        <v>49009</v>
      </c>
      <c r="R6522" s="5"/>
      <c r="S6522" s="5" t="s">
        <v>49028</v>
      </c>
      <c r="T6522" s="28">
        <v>16760000</v>
      </c>
      <c r="U6522" s="28"/>
      <c r="V6522" s="28">
        <v>195012000</v>
      </c>
      <c r="W6522" s="28"/>
      <c r="X6522" s="28">
        <v>367480000</v>
      </c>
      <c r="Y6522" s="28">
        <v>716493000</v>
      </c>
      <c r="Z6522" s="28">
        <v>499635000</v>
      </c>
      <c r="AA6522" s="28"/>
      <c r="AB6522" s="28"/>
      <c r="AC6522" s="28">
        <v>216729000</v>
      </c>
      <c r="AD6522" s="28">
        <v>499650000</v>
      </c>
      <c r="AE6522" s="28">
        <v>3520909000</v>
      </c>
      <c r="AF6522" s="28">
        <v>313192000</v>
      </c>
      <c r="AG6522" s="11"/>
    </row>
    <row r="6523">
      <c r="A6523" s="7" t="s">
        <v>8092</v>
      </c>
      <c r="B6523" s="5" t="s">
        <v>16039</v>
      </c>
      <c r="C6523" s="5" t="s">
        <v>23686</v>
      </c>
      <c r="D6523" s="5" t="str">
        <v>262602115119</v>
      </c>
      <c r="E6523" s="0" t="e">
        <f>+7 (978) 2796
+7 (978) 8350361</f>
        <v>#NAME?</v>
      </c>
      <c r="F6523" s="5" t="s">
        <v>44348</v>
      </c>
      <c r="G6523" s="5"/>
      <c r="H6523" s="26">
        <v>8.5</v>
      </c>
      <c r="I6523" s="5" t="s">
        <v>44349</v>
      </c>
      <c r="J6523" s="5" t="s">
        <v>25332</v>
      </c>
      <c r="K6523" s="5" t="s">
        <v>344</v>
      </c>
      <c r="L6523" s="5" t="s">
        <v>44350</v>
      </c>
      <c r="M6523" s="27"/>
      <c r="N6523" s="5"/>
      <c r="O6523" s="5" t="str">
        <v>9102004699</v>
      </c>
      <c r="P6523" s="27">
        <v>10000000</v>
      </c>
      <c r="Q6523" s="5" t="s">
        <v>49009</v>
      </c>
      <c r="R6523" s="5"/>
      <c r="S6523" s="5" t="s">
        <v>49010</v>
      </c>
      <c r="T6523" s="28"/>
      <c r="U6523" s="28"/>
      <c r="V6523" s="28">
        <v>1201869000</v>
      </c>
      <c r="W6523" s="28">
        <v>94647000</v>
      </c>
      <c r="X6523" s="28">
        <v>57905000</v>
      </c>
      <c r="Y6523" s="28">
        <v>2056440000</v>
      </c>
      <c r="Z6523" s="28">
        <v>117124000</v>
      </c>
      <c r="AA6523" s="28">
        <v>10000</v>
      </c>
      <c r="AB6523" s="28"/>
      <c r="AC6523" s="28">
        <v>1929306000</v>
      </c>
      <c r="AD6523" s="28">
        <v>127124000</v>
      </c>
      <c r="AE6523" s="28">
        <v>3685873000</v>
      </c>
      <c r="AF6523" s="28">
        <v>37255000</v>
      </c>
      <c r="AG6523" s="11"/>
    </row>
    <row r="6524">
      <c r="A6524" s="7" t="s">
        <v>8093</v>
      </c>
      <c r="B6524" s="5" t="s">
        <v>16040</v>
      </c>
      <c r="C6524" s="5" t="s">
        <v>23687</v>
      </c>
      <c r="D6524" s="5" t="str">
        <v>773004580922</v>
      </c>
      <c r="F6524" s="5"/>
      <c r="G6524" s="5"/>
      <c r="H6524" s="26">
        <v>2.5</v>
      </c>
      <c r="I6524" s="5" t="s">
        <v>44351</v>
      </c>
      <c r="J6524" s="5" t="s">
        <v>28738</v>
      </c>
      <c r="K6524" s="5" t="s">
        <v>344</v>
      </c>
      <c r="L6524" s="5"/>
      <c r="M6524" s="27"/>
      <c r="N6524" s="5"/>
      <c r="O6524" s="5" t="str">
        <v>5031138801</v>
      </c>
      <c r="P6524" s="27">
        <v>54000000</v>
      </c>
      <c r="Q6524" s="5" t="s">
        <v>49021</v>
      </c>
      <c r="R6524" s="5"/>
      <c r="S6524" s="5" t="s">
        <v>59111</v>
      </c>
      <c r="T6524" s="28">
        <v>312188000</v>
      </c>
      <c r="U6524" s="28"/>
      <c r="V6524" s="28">
        <v>508489000</v>
      </c>
      <c r="W6524" s="28">
        <v>36000000</v>
      </c>
      <c r="X6524" s="28">
        <v>133701000</v>
      </c>
      <c r="Y6524" s="28">
        <v>1866633000</v>
      </c>
      <c r="Z6524" s="28">
        <v>293368000</v>
      </c>
      <c r="AA6524" s="28">
        <v>710000000</v>
      </c>
      <c r="AB6524" s="28"/>
      <c r="AC6524" s="28">
        <v>739867000</v>
      </c>
      <c r="AD6524" s="28">
        <v>347368000</v>
      </c>
      <c r="AE6524" s="28">
        <v>7968584000</v>
      </c>
      <c r="AF6524" s="28">
        <v>1036490000</v>
      </c>
      <c r="AG6524" s="11"/>
    </row>
    <row r="6525">
      <c r="A6525" s="7" t="s">
        <v>8094</v>
      </c>
      <c r="B6525" s="5" t="s">
        <v>16041</v>
      </c>
      <c r="C6525" s="5" t="s">
        <v>23688</v>
      </c>
      <c r="D6525" s="5" t="str">
        <v>262511150324</v>
      </c>
      <c r="E6525" s="0" t="e">
        <f>+7 (928) 2963976</f>
        <v>#NAME?</v>
      </c>
      <c r="F6525" s="5" t="s">
        <v>44352</v>
      </c>
      <c r="G6525" s="5"/>
      <c r="H6525" s="26">
        <v>10</v>
      </c>
      <c r="I6525" s="5" t="s">
        <v>44353</v>
      </c>
      <c r="J6525" s="5" t="s">
        <v>28964</v>
      </c>
      <c r="K6525" s="5" t="s">
        <v>344</v>
      </c>
      <c r="L6525" s="5" t="s">
        <v>44354</v>
      </c>
      <c r="M6525" s="27">
        <v>4739939</v>
      </c>
      <c r="N6525" s="5"/>
      <c r="O6525" s="5" t="str">
        <v>2371000820</v>
      </c>
      <c r="P6525" s="27">
        <v>10000</v>
      </c>
      <c r="Q6525" s="5" t="s">
        <v>49009</v>
      </c>
      <c r="R6525" s="5"/>
      <c r="S6525" s="5" t="s">
        <v>49066</v>
      </c>
      <c r="T6525" s="28">
        <v>33813000</v>
      </c>
      <c r="U6525" s="28"/>
      <c r="V6525" s="28">
        <v>264675000</v>
      </c>
      <c r="W6525" s="28">
        <v>13427000</v>
      </c>
      <c r="X6525" s="28">
        <v>314000</v>
      </c>
      <c r="Y6525" s="28">
        <v>703272000</v>
      </c>
      <c r="Z6525" s="28">
        <v>87646000</v>
      </c>
      <c r="AA6525" s="28">
        <v>144524000</v>
      </c>
      <c r="AB6525" s="28">
        <v>244755000</v>
      </c>
      <c r="AC6525" s="28">
        <v>456338000</v>
      </c>
      <c r="AD6525" s="28">
        <v>87656000</v>
      </c>
      <c r="AE6525" s="28">
        <v>3616048000</v>
      </c>
      <c r="AF6525" s="28">
        <v>17985000</v>
      </c>
      <c r="AG6525" s="11"/>
    </row>
    <row r="6526">
      <c r="A6526" s="7" t="s">
        <v>8095</v>
      </c>
      <c r="B6526" s="5" t="s">
        <v>16042</v>
      </c>
      <c r="C6526" s="5" t="s">
        <v>23689</v>
      </c>
      <c r="D6526" s="5" t="str">
        <v>420512162470</v>
      </c>
      <c r="E6526" s="0" t="e">
        <f>+7 (909) 9985933</f>
        <v>#NAME?</v>
      </c>
      <c r="F6526" s="5" t="s">
        <v>44355</v>
      </c>
      <c r="G6526" s="5"/>
      <c r="H6526" s="26">
        <v>6</v>
      </c>
      <c r="I6526" s="5" t="s">
        <v>44356</v>
      </c>
      <c r="J6526" s="5" t="s">
        <v>373</v>
      </c>
      <c r="K6526" s="5" t="s">
        <v>344</v>
      </c>
      <c r="L6526" s="5" t="s">
        <v>44357</v>
      </c>
      <c r="M6526" s="27"/>
      <c r="N6526" s="5" t="s">
        <v>59112</v>
      </c>
      <c r="O6526" s="5" t="str">
        <v>7725363653</v>
      </c>
      <c r="P6526" s="27">
        <v>120000</v>
      </c>
      <c r="Q6526" s="5" t="s">
        <v>59113</v>
      </c>
      <c r="R6526" s="5"/>
      <c r="S6526" s="5" t="s">
        <v>49802</v>
      </c>
      <c r="T6526" s="28">
        <v>3138000</v>
      </c>
      <c r="U6526" s="28">
        <v>2937022000</v>
      </c>
      <c r="V6526" s="28">
        <v>3772626000</v>
      </c>
      <c r="W6526" s="28">
        <v>4456525000</v>
      </c>
      <c r="X6526" s="28">
        <v>140135000</v>
      </c>
      <c r="Y6526" s="28">
        <v>11348971000</v>
      </c>
      <c r="Z6526" s="28">
        <v>3302213000</v>
      </c>
      <c r="AA6526" s="28">
        <v>4880759000</v>
      </c>
      <c r="AB6526" s="28">
        <v>2613162000</v>
      </c>
      <c r="AC6526" s="28">
        <v>3157910000</v>
      </c>
      <c r="AD6526" s="28">
        <v>3302433000</v>
      </c>
      <c r="AE6526" s="28">
        <v>23565600000</v>
      </c>
      <c r="AF6526" s="28">
        <v>3261439000</v>
      </c>
      <c r="AG6526" s="11"/>
    </row>
    <row r="6527">
      <c r="A6527" s="7" t="s">
        <v>8096</v>
      </c>
      <c r="B6527" s="5" t="s">
        <v>16043</v>
      </c>
      <c r="C6527" s="5" t="s">
        <v>23690</v>
      </c>
      <c r="D6527" s="5" t="str">
        <v>732502971537</v>
      </c>
      <c r="E6527" s="0" t="e">
        <f>+7 (495) 7973311</f>
        <v>#NAME?</v>
      </c>
      <c r="F6527" s="5" t="s">
        <v>44358</v>
      </c>
      <c r="G6527" s="5"/>
      <c r="H6527" s="26">
        <v>7</v>
      </c>
      <c r="I6527" s="5" t="s">
        <v>44359</v>
      </c>
      <c r="J6527" s="5" t="s">
        <v>1026</v>
      </c>
      <c r="K6527" s="5" t="s">
        <v>344</v>
      </c>
      <c r="L6527" s="5" t="s">
        <v>44360</v>
      </c>
      <c r="M6527" s="27"/>
      <c r="N6527" s="5" t="s">
        <v>59114</v>
      </c>
      <c r="O6527" s="5" t="str">
        <v>7729490282</v>
      </c>
      <c r="P6527" s="27">
        <v>100000</v>
      </c>
      <c r="Q6527" s="5" t="s">
        <v>59115</v>
      </c>
      <c r="R6527" s="5"/>
      <c r="S6527" s="5" t="s">
        <v>59116</v>
      </c>
      <c r="T6527" s="28">
        <v>5550000</v>
      </c>
      <c r="U6527" s="28"/>
      <c r="V6527" s="28">
        <v>1005639000</v>
      </c>
      <c r="W6527" s="28">
        <v>168180000</v>
      </c>
      <c r="X6527" s="28">
        <v>101431000</v>
      </c>
      <c r="Y6527" s="28">
        <v>1404450000</v>
      </c>
      <c r="Z6527" s="28">
        <v>336725000</v>
      </c>
      <c r="AA6527" s="28"/>
      <c r="AB6527" s="28">
        <v>136495000</v>
      </c>
      <c r="AC6527" s="28">
        <v>1067625000</v>
      </c>
      <c r="AD6527" s="28">
        <v>336825000</v>
      </c>
      <c r="AE6527" s="28">
        <v>3203764000</v>
      </c>
      <c r="AF6527" s="28">
        <v>253579000</v>
      </c>
      <c r="AG6527" s="11"/>
    </row>
    <row r="6528">
      <c r="A6528" s="7" t="s">
        <v>8097</v>
      </c>
      <c r="B6528" s="5" t="s">
        <v>16044</v>
      </c>
      <c r="C6528" s="5" t="s">
        <v>18615</v>
      </c>
      <c r="D6528" s="5" t="str">
        <v>519100677709</v>
      </c>
      <c r="E6528" s="0" t="e">
        <f>+7 (474) 2555888</f>
        <v>#NAME?</v>
      </c>
      <c r="F6528" s="5"/>
      <c r="G6528" s="5"/>
      <c r="H6528" s="26">
        <v>17</v>
      </c>
      <c r="I6528" s="5" t="s">
        <v>44361</v>
      </c>
      <c r="J6528" s="5" t="s">
        <v>678</v>
      </c>
      <c r="K6528" s="5" t="s">
        <v>344</v>
      </c>
      <c r="L6528" s="5" t="s">
        <v>44362</v>
      </c>
      <c r="M6528" s="27">
        <v>1304954</v>
      </c>
      <c r="N6528" s="5" t="s">
        <v>59117</v>
      </c>
      <c r="O6528" s="5" t="str">
        <v>4825045539</v>
      </c>
      <c r="P6528" s="27">
        <v>104100000</v>
      </c>
      <c r="Q6528" s="5" t="s">
        <v>49009</v>
      </c>
      <c r="R6528" s="5"/>
      <c r="S6528" s="5" t="s">
        <v>49116</v>
      </c>
      <c r="T6528" s="28"/>
      <c r="U6528" s="28"/>
      <c r="V6528" s="28">
        <v>3682593000</v>
      </c>
      <c r="W6528" s="28">
        <v>2047200000</v>
      </c>
      <c r="X6528" s="28">
        <v>95758000</v>
      </c>
      <c r="Y6528" s="28">
        <v>6059295000</v>
      </c>
      <c r="Z6528" s="28">
        <v>5190233000</v>
      </c>
      <c r="AA6528" s="28"/>
      <c r="AB6528" s="28">
        <v>105000</v>
      </c>
      <c r="AC6528" s="28">
        <v>764963000</v>
      </c>
      <c r="AD6528" s="28">
        <v>5294333000</v>
      </c>
      <c r="AE6528" s="28">
        <v>16165032000</v>
      </c>
      <c r="AF6528" s="28">
        <v>2327966000</v>
      </c>
      <c r="AG6528" s="11"/>
    </row>
    <row r="6529">
      <c r="A6529" s="7" t="s">
        <v>8098</v>
      </c>
      <c r="B6529" s="5" t="s">
        <v>16045</v>
      </c>
      <c r="C6529" s="5" t="s">
        <v>23691</v>
      </c>
      <c r="D6529" s="5" t="str">
        <v>390602304918</v>
      </c>
      <c r="E6529" s="0" t="e">
        <f>+7 (401) 2777701
+7 (401) 2777707
+7 (495) 7816747
+7 (800) 1005022
+7 (812) 3095205
+7 (812) 3893822
+7 (909) 6992966</f>
        <v>#NAME?</v>
      </c>
      <c r="F6529" s="5" t="s">
        <v>44363</v>
      </c>
      <c r="G6529" s="5" t="s">
        <v>44364</v>
      </c>
      <c r="H6529" s="26">
        <v>16</v>
      </c>
      <c r="I6529" s="5" t="s">
        <v>44365</v>
      </c>
      <c r="J6529" s="5" t="s">
        <v>44366</v>
      </c>
      <c r="K6529" s="5" t="s">
        <v>355</v>
      </c>
      <c r="L6529" s="5" t="s">
        <v>44367</v>
      </c>
      <c r="M6529" s="27">
        <v>179558</v>
      </c>
      <c r="N6529" s="5"/>
      <c r="O6529" s="5" t="str">
        <v>3917032714</v>
      </c>
      <c r="P6529" s="27">
        <v>33000</v>
      </c>
      <c r="Q6529" s="5" t="s">
        <v>49009</v>
      </c>
      <c r="R6529" s="5" t="s">
        <v>59119</v>
      </c>
      <c r="S6529" s="5" t="s">
        <v>49120</v>
      </c>
      <c r="T6529" s="28">
        <v>83321000</v>
      </c>
      <c r="U6529" s="28"/>
      <c r="V6529" s="28">
        <v>2447627000</v>
      </c>
      <c r="W6529" s="28">
        <v>11134000</v>
      </c>
      <c r="X6529" s="28">
        <v>824682000</v>
      </c>
      <c r="Y6529" s="28">
        <v>11407117000</v>
      </c>
      <c r="Z6529" s="28">
        <v>444077000</v>
      </c>
      <c r="AA6529" s="28"/>
      <c r="AB6529" s="28">
        <v>30736000</v>
      </c>
      <c r="AC6529" s="28">
        <v>3631894000</v>
      </c>
      <c r="AD6529" s="28">
        <v>444110000</v>
      </c>
      <c r="AE6529" s="28">
        <v>8464184000</v>
      </c>
      <c r="AF6529" s="28">
        <v>8124000</v>
      </c>
      <c r="AG6529" s="11"/>
    </row>
    <row r="6530">
      <c r="A6530" s="7" t="s">
        <v>8099</v>
      </c>
      <c r="B6530" s="5" t="s">
        <v>16046</v>
      </c>
      <c r="C6530" s="5" t="s">
        <v>23692</v>
      </c>
      <c r="D6530" s="5" t="str">
        <v>671403475715</v>
      </c>
      <c r="E6530" s="0" t="e">
        <f>+7 (910) 7204477</f>
        <v>#NAME?</v>
      </c>
      <c r="F6530" s="5" t="s">
        <v>44368</v>
      </c>
      <c r="G6530" s="5"/>
      <c r="H6530" s="26">
        <v>4.5</v>
      </c>
      <c r="I6530" s="5" t="s">
        <v>44369</v>
      </c>
      <c r="J6530" s="5" t="s">
        <v>25512</v>
      </c>
      <c r="K6530" s="5" t="s">
        <v>344</v>
      </c>
      <c r="L6530" s="5" t="s">
        <v>44370</v>
      </c>
      <c r="M6530" s="27"/>
      <c r="N6530" s="5"/>
      <c r="O6530" s="5" t="str">
        <v>6732168203</v>
      </c>
      <c r="P6530" s="27">
        <v>100000</v>
      </c>
      <c r="Q6530" s="5" t="s">
        <v>49009</v>
      </c>
      <c r="R6530" s="5"/>
      <c r="S6530" s="5" t="s">
        <v>49010</v>
      </c>
      <c r="T6530" s="28">
        <v>1104000</v>
      </c>
      <c r="U6530" s="28"/>
      <c r="V6530" s="28">
        <v>293049000</v>
      </c>
      <c r="W6530" s="28">
        <v>10000000</v>
      </c>
      <c r="X6530" s="28">
        <v>225672000</v>
      </c>
      <c r="Y6530" s="28">
        <v>570457000</v>
      </c>
      <c r="Z6530" s="28">
        <v>240333000</v>
      </c>
      <c r="AA6530" s="28">
        <v>50000000</v>
      </c>
      <c r="AB6530" s="28"/>
      <c r="AC6530" s="28">
        <v>280023000</v>
      </c>
      <c r="AD6530" s="28">
        <v>240433000</v>
      </c>
      <c r="AE6530" s="28">
        <v>4940853000</v>
      </c>
      <c r="AF6530" s="28">
        <v>246410000</v>
      </c>
      <c r="AG6530" s="11"/>
    </row>
    <row r="6531">
      <c r="A6531" s="7" t="s">
        <v>8100</v>
      </c>
      <c r="B6531" s="5" t="s">
        <v>12895</v>
      </c>
      <c r="C6531" s="5" t="s">
        <v>20700</v>
      </c>
      <c r="D6531" s="5" t="str">
        <v>590200135503</v>
      </c>
      <c r="E6531" s="0" t="e">
        <f>+7 (34292) 20630</f>
        <v>#NAME?</v>
      </c>
      <c r="F6531" s="5" t="s">
        <v>38369</v>
      </c>
      <c r="G6531" s="5"/>
      <c r="H6531" s="26">
        <v>7.5</v>
      </c>
      <c r="I6531" s="5" t="s">
        <v>44371</v>
      </c>
      <c r="J6531" s="5" t="s">
        <v>26367</v>
      </c>
      <c r="K6531" s="5" t="s">
        <v>344</v>
      </c>
      <c r="L6531" s="5"/>
      <c r="M6531" s="27"/>
      <c r="N6531" s="5"/>
      <c r="O6531" s="5" t="str">
        <v>5906131153</v>
      </c>
      <c r="P6531" s="27">
        <v>10000000</v>
      </c>
      <c r="Q6531" s="5" t="s">
        <v>49009</v>
      </c>
      <c r="R6531" s="5"/>
      <c r="S6531" s="5" t="s">
        <v>49010</v>
      </c>
      <c r="T6531" s="28">
        <v>14905000</v>
      </c>
      <c r="U6531" s="28"/>
      <c r="V6531" s="28">
        <v>2103832000</v>
      </c>
      <c r="W6531" s="28">
        <v>2000</v>
      </c>
      <c r="X6531" s="28">
        <v>31505000</v>
      </c>
      <c r="Y6531" s="28">
        <v>2886325000</v>
      </c>
      <c r="Z6531" s="28">
        <v>1705418000</v>
      </c>
      <c r="AA6531" s="28">
        <v>38023000</v>
      </c>
      <c r="AB6531" s="28">
        <v>693000</v>
      </c>
      <c r="AC6531" s="28">
        <v>1132884000</v>
      </c>
      <c r="AD6531" s="28">
        <v>1715418000</v>
      </c>
      <c r="AE6531" s="28">
        <v>5620940000</v>
      </c>
      <c r="AF6531" s="28">
        <v>39401000</v>
      </c>
      <c r="AG6531" s="11"/>
    </row>
    <row r="6532">
      <c r="A6532" s="7" t="s">
        <v>8101</v>
      </c>
      <c r="B6532" s="5" t="s">
        <v>16047</v>
      </c>
      <c r="C6532" s="5" t="s">
        <v>23693</v>
      </c>
      <c r="D6532" s="5" t="str">
        <v>732801654293</v>
      </c>
      <c r="E6532" s="0" t="e">
        <f>+7 (495) 1203682
+7 (916) 1190884</f>
        <v>#NAME?</v>
      </c>
      <c r="F6532" s="5" t="s">
        <v>44372</v>
      </c>
      <c r="G6532" s="5"/>
      <c r="H6532" s="26">
        <v>5.5</v>
      </c>
      <c r="I6532" s="5" t="s">
        <v>44373</v>
      </c>
      <c r="J6532" s="5" t="s">
        <v>373</v>
      </c>
      <c r="K6532" s="5" t="s">
        <v>344</v>
      </c>
      <c r="L6532" s="5" t="s">
        <v>607</v>
      </c>
      <c r="M6532" s="27"/>
      <c r="N6532" s="5"/>
      <c r="O6532" s="5" t="str">
        <v>9701084407</v>
      </c>
      <c r="P6532" s="27">
        <v>100000</v>
      </c>
      <c r="Q6532" s="5" t="s">
        <v>49059</v>
      </c>
      <c r="R6532" s="5"/>
      <c r="S6532" s="5" t="s">
        <v>49010</v>
      </c>
      <c r="T6532" s="28"/>
      <c r="U6532" s="28"/>
      <c r="V6532" s="28">
        <v>916044000</v>
      </c>
      <c r="W6532" s="28"/>
      <c r="X6532" s="28">
        <v>1100000</v>
      </c>
      <c r="Y6532" s="28">
        <v>971831000</v>
      </c>
      <c r="Z6532" s="28">
        <v>28115000</v>
      </c>
      <c r="AA6532" s="28"/>
      <c r="AB6532" s="28"/>
      <c r="AC6532" s="28">
        <v>943616000</v>
      </c>
      <c r="AD6532" s="28">
        <v>28215000</v>
      </c>
      <c r="AE6532" s="28">
        <v>27683609000</v>
      </c>
      <c r="AF6532" s="28">
        <v>8274000</v>
      </c>
      <c r="AG6532" s="11"/>
    </row>
    <row r="6533">
      <c r="A6533" s="7" t="s">
        <v>8102</v>
      </c>
      <c r="B6533" s="5" t="s">
        <v>16048</v>
      </c>
      <c r="C6533" s="5" t="s">
        <v>23694</v>
      </c>
      <c r="D6533" s="5" t="str">
        <v>661202643402</v>
      </c>
      <c r="E6533" s="0" t="e">
        <f>+7 (3439) 360111
+7 (3439) 360110
+7 (3439) 360115
+7 (3439) 360144
+7 (3439) 360146
+7 (3439) 360155
+7 (912) 478204</f>
        <v>#NAME?</v>
      </c>
      <c r="F6533" s="5" t="s">
        <v>44374</v>
      </c>
      <c r="G6533" s="5" t="s">
        <v>44375</v>
      </c>
      <c r="H6533" s="26">
        <v>8</v>
      </c>
      <c r="I6533" s="5" t="s">
        <v>44376</v>
      </c>
      <c r="J6533" s="5" t="s">
        <v>32941</v>
      </c>
      <c r="K6533" s="5" t="s">
        <v>344</v>
      </c>
      <c r="L6533" s="5" t="s">
        <v>44377</v>
      </c>
      <c r="M6533" s="27"/>
      <c r="N6533" s="5" t="s">
        <v>59120</v>
      </c>
      <c r="O6533" s="5" t="str">
        <v>6612046468</v>
      </c>
      <c r="P6533" s="27">
        <v>100000</v>
      </c>
      <c r="Q6533" s="5" t="s">
        <v>49009</v>
      </c>
      <c r="R6533" s="5"/>
      <c r="S6533" s="5" t="s">
        <v>49045</v>
      </c>
      <c r="T6533" s="28">
        <v>9110000</v>
      </c>
      <c r="U6533" s="28"/>
      <c r="V6533" s="28">
        <v>16104000</v>
      </c>
      <c r="W6533" s="28">
        <v>366000000</v>
      </c>
      <c r="X6533" s="28">
        <v>56839000</v>
      </c>
      <c r="Y6533" s="28">
        <v>877178000</v>
      </c>
      <c r="Z6533" s="28">
        <v>245929000</v>
      </c>
      <c r="AA6533" s="28"/>
      <c r="AB6533" s="28"/>
      <c r="AC6533" s="28">
        <v>619847000</v>
      </c>
      <c r="AD6533" s="28">
        <v>246029000</v>
      </c>
      <c r="AE6533" s="28">
        <v>24212517000</v>
      </c>
      <c r="AF6533" s="28">
        <v>158569000</v>
      </c>
      <c r="AG6533" s="11"/>
    </row>
    <row r="6534">
      <c r="A6534" s="7" t="s">
        <v>8103</v>
      </c>
      <c r="B6534" s="5" t="s">
        <v>16049</v>
      </c>
      <c r="C6534" s="5" t="s">
        <v>23695</v>
      </c>
      <c r="D6534" s="5" t="str">
        <v>616851182337</v>
      </c>
      <c r="E6534" s="0" t="e">
        <f>+7 (861) 9925555
+7 (8632) 942554
+7 (918) 3336978
+7 (863) 2993434
+7 (8632) 424945
+7 (8632) 941515</f>
        <v>#NAME?</v>
      </c>
      <c r="F6534" s="5" t="s">
        <v>44378</v>
      </c>
      <c r="G6534" s="5" t="s">
        <v>44379</v>
      </c>
      <c r="H6534" s="26">
        <v>17</v>
      </c>
      <c r="I6534" s="5" t="s">
        <v>44380</v>
      </c>
      <c r="J6534" s="5" t="s">
        <v>26367</v>
      </c>
      <c r="K6534" s="5" t="s">
        <v>344</v>
      </c>
      <c r="L6534" s="5"/>
      <c r="M6534" s="27"/>
      <c r="N6534" s="5"/>
      <c r="O6534" s="5" t="str">
        <v>6165129448</v>
      </c>
      <c r="P6534" s="27">
        <v>10000000</v>
      </c>
      <c r="Q6534" s="5" t="s">
        <v>49009</v>
      </c>
      <c r="R6534" s="5"/>
      <c r="S6534" s="5" t="s">
        <v>49066</v>
      </c>
      <c r="T6534" s="28">
        <v>15699000</v>
      </c>
      <c r="U6534" s="28"/>
      <c r="V6534" s="28">
        <v>735067000</v>
      </c>
      <c r="W6534" s="28">
        <v>6270000</v>
      </c>
      <c r="X6534" s="28">
        <v>23990000</v>
      </c>
      <c r="Y6534" s="28">
        <v>1166586000</v>
      </c>
      <c r="Z6534" s="28">
        <v>208878000</v>
      </c>
      <c r="AA6534" s="28">
        <v>242406000</v>
      </c>
      <c r="AB6534" s="28"/>
      <c r="AC6534" s="28">
        <v>705302000</v>
      </c>
      <c r="AD6534" s="28">
        <v>218878000</v>
      </c>
      <c r="AE6534" s="28">
        <v>3513007000</v>
      </c>
      <c r="AF6534" s="28">
        <v>5854000</v>
      </c>
      <c r="AG6534" s="11"/>
    </row>
    <row r="6535">
      <c r="A6535" s="7" t="s">
        <v>8104</v>
      </c>
      <c r="B6535" s="5" t="s">
        <v>16050</v>
      </c>
      <c r="C6535" s="5" t="s">
        <v>23696</v>
      </c>
      <c r="D6535" s="5" t="str">
        <v>782573427501</v>
      </c>
      <c r="E6535" s="0" t="e">
        <f>+7 (812) 6120200
+7 (921) 9663034
+7 (812) 6032262
+7 (812) 6122000</f>
        <v>#NAME?</v>
      </c>
      <c r="F6535" s="5" t="s">
        <v>44381</v>
      </c>
      <c r="G6535" s="5" t="s">
        <v>44382</v>
      </c>
      <c r="H6535" s="26">
        <v>21</v>
      </c>
      <c r="I6535" s="5" t="s">
        <v>44383</v>
      </c>
      <c r="J6535" s="5" t="s">
        <v>33986</v>
      </c>
      <c r="K6535" s="5" t="s">
        <v>344</v>
      </c>
      <c r="L6535" s="5" t="s">
        <v>44384</v>
      </c>
      <c r="M6535" s="27"/>
      <c r="N6535" s="5" t="s">
        <v>59121</v>
      </c>
      <c r="O6535" s="5" t="str">
        <v>7816198943</v>
      </c>
      <c r="P6535" s="27">
        <v>10000</v>
      </c>
      <c r="Q6535" s="5" t="s">
        <v>49059</v>
      </c>
      <c r="R6535" s="5"/>
      <c r="S6535" s="5" t="s">
        <v>49399</v>
      </c>
      <c r="T6535" s="28">
        <v>187506000</v>
      </c>
      <c r="U6535" s="28"/>
      <c r="V6535" s="28">
        <v>588483000</v>
      </c>
      <c r="W6535" s="28"/>
      <c r="X6535" s="28">
        <v>27973000</v>
      </c>
      <c r="Y6535" s="28">
        <v>1238440000</v>
      </c>
      <c r="Z6535" s="28">
        <v>335986000</v>
      </c>
      <c r="AA6535" s="28">
        <v>312809000</v>
      </c>
      <c r="AB6535" s="28"/>
      <c r="AC6535" s="28">
        <v>439429000</v>
      </c>
      <c r="AD6535" s="28">
        <v>335996000</v>
      </c>
      <c r="AE6535" s="28">
        <v>5031325000</v>
      </c>
      <c r="AF6535" s="28">
        <v>52105000</v>
      </c>
      <c r="AG6535" s="11"/>
    </row>
    <row r="6536">
      <c r="A6536" s="7" t="s">
        <v>8105</v>
      </c>
      <c r="B6536" s="5" t="s">
        <v>16051</v>
      </c>
      <c r="C6536" s="5" t="s">
        <v>21397</v>
      </c>
      <c r="D6536" s="5" t="str">
        <v>641101327422</v>
      </c>
      <c r="E6536" s="0" t="e">
        <f>+7 (8482) 208400
+7 (84643) 72177
+7 (84643) 72178
+7 (84695) 98181
+7 (8482) 202518
+7 (8482) 208396
+7 (8482) 215725
+7 (8482) 252099
+7 (8482) 320578
+7 (8482) 379607
+7 (8482) 453259
+7 (8482) 516777
+7 (8482) 516784
+7 (8482) 516786
+7 (8482) 516798</f>
        <v>#NAME?</v>
      </c>
      <c r="F6536" s="5" t="s">
        <v>44385</v>
      </c>
      <c r="G6536" s="5" t="s">
        <v>44386</v>
      </c>
      <c r="H6536" s="26">
        <v>17.5</v>
      </c>
      <c r="I6536" s="5" t="s">
        <v>44387</v>
      </c>
      <c r="J6536" s="5" t="s">
        <v>25853</v>
      </c>
      <c r="K6536" s="5" t="s">
        <v>344</v>
      </c>
      <c r="L6536" s="5"/>
      <c r="M6536" s="27"/>
      <c r="N6536" s="5"/>
      <c r="O6536" s="5" t="str">
        <v>6322033717</v>
      </c>
      <c r="P6536" s="27">
        <v>10000000</v>
      </c>
      <c r="Q6536" s="5" t="s">
        <v>49009</v>
      </c>
      <c r="R6536" s="5"/>
      <c r="S6536" s="5" t="s">
        <v>49066</v>
      </c>
      <c r="T6536" s="28">
        <v>166147000</v>
      </c>
      <c r="U6536" s="28"/>
      <c r="V6536" s="28">
        <v>86707000</v>
      </c>
      <c r="W6536" s="28"/>
      <c r="X6536" s="28">
        <v>389358000</v>
      </c>
      <c r="Y6536" s="28">
        <v>1189292000</v>
      </c>
      <c r="Z6536" s="28">
        <v>224664000</v>
      </c>
      <c r="AA6536" s="28"/>
      <c r="AB6536" s="28">
        <v>90000000</v>
      </c>
      <c r="AC6536" s="28">
        <v>923591000</v>
      </c>
      <c r="AD6536" s="28">
        <v>234664000</v>
      </c>
      <c r="AE6536" s="28">
        <v>4224862000</v>
      </c>
      <c r="AF6536" s="28">
        <v>11222000</v>
      </c>
      <c r="AG6536" s="11"/>
    </row>
    <row r="6537">
      <c r="A6537" s="7" t="s">
        <v>8106</v>
      </c>
      <c r="B6537" s="5" t="s">
        <v>16052</v>
      </c>
      <c r="C6537" s="5" t="s">
        <v>23697</v>
      </c>
      <c r="D6537" s="5" t="str">
        <v>575403131540</v>
      </c>
      <c r="E6537" s="0" t="e">
        <f>+7 (4862) 545331
+7 (4862) 545431
+7 (4862) 735167
+7 (4862) 735420
+7 (4862) 735458
+7 (4862) 735907</f>
        <v>#NAME?</v>
      </c>
      <c r="F6537" s="5" t="s">
        <v>44388</v>
      </c>
      <c r="G6537" s="5" t="s">
        <v>44389</v>
      </c>
      <c r="H6537" s="26">
        <v>13.5</v>
      </c>
      <c r="I6537" s="5" t="s">
        <v>44390</v>
      </c>
      <c r="J6537" s="5" t="s">
        <v>26511</v>
      </c>
      <c r="K6537" s="5" t="s">
        <v>344</v>
      </c>
      <c r="L6537" s="5" t="s">
        <v>40878</v>
      </c>
      <c r="M6537" s="27"/>
      <c r="N6537" s="5" t="s">
        <v>59123</v>
      </c>
      <c r="O6537" s="5" t="str">
        <v>5751037532</v>
      </c>
      <c r="P6537" s="27">
        <v>500000</v>
      </c>
      <c r="Q6537" s="5" t="s">
        <v>49009</v>
      </c>
      <c r="R6537" s="5"/>
      <c r="S6537" s="5" t="s">
        <v>49045</v>
      </c>
      <c r="T6537" s="28">
        <v>12873000</v>
      </c>
      <c r="U6537" s="28"/>
      <c r="V6537" s="28">
        <v>327138000</v>
      </c>
      <c r="W6537" s="28"/>
      <c r="X6537" s="28">
        <v>2505000</v>
      </c>
      <c r="Y6537" s="28">
        <v>430582000</v>
      </c>
      <c r="Z6537" s="28">
        <v>70395000</v>
      </c>
      <c r="AA6537" s="28"/>
      <c r="AB6537" s="28">
        <v>13132000</v>
      </c>
      <c r="AC6537" s="28">
        <v>358417000</v>
      </c>
      <c r="AD6537" s="28">
        <v>72165000</v>
      </c>
      <c r="AE6537" s="28">
        <v>4013811000</v>
      </c>
      <c r="AF6537" s="28">
        <v>35155000</v>
      </c>
      <c r="AG6537" s="11"/>
    </row>
    <row r="6538">
      <c r="A6538" s="7" t="s">
        <v>8107</v>
      </c>
      <c r="B6538" s="5" t="s">
        <v>16053</v>
      </c>
      <c r="C6538" s="5" t="s">
        <v>23698</v>
      </c>
      <c r="D6538" s="5" t="str">
        <v>420531720410</v>
      </c>
      <c r="E6538" s="0" t="e">
        <f>+7 (382) 2711201
+7 (391) 2067738</f>
        <v>#NAME?</v>
      </c>
      <c r="F6538" s="5" t="s">
        <v>44391</v>
      </c>
      <c r="G6538" s="5"/>
      <c r="H6538" s="26">
        <v>12</v>
      </c>
      <c r="I6538" s="5" t="s">
        <v>44392</v>
      </c>
      <c r="J6538" s="5" t="s">
        <v>36875</v>
      </c>
      <c r="K6538" s="5" t="s">
        <v>344</v>
      </c>
      <c r="L6538" s="5" t="s">
        <v>37012</v>
      </c>
      <c r="M6538" s="27"/>
      <c r="N6538" s="5" t="s">
        <v>59124</v>
      </c>
      <c r="O6538" s="5" t="str">
        <v>4205221833</v>
      </c>
      <c r="P6538" s="27">
        <v>1668700</v>
      </c>
      <c r="Q6538" s="5" t="s">
        <v>59125</v>
      </c>
      <c r="R6538" s="5"/>
      <c r="S6538" s="5" t="s">
        <v>50836</v>
      </c>
      <c r="T6538" s="28">
        <v>28328000</v>
      </c>
      <c r="U6538" s="28"/>
      <c r="V6538" s="28">
        <v>607942000</v>
      </c>
      <c r="W6538" s="28"/>
      <c r="X6538" s="28">
        <v>190588000</v>
      </c>
      <c r="Y6538" s="28">
        <v>1303875000</v>
      </c>
      <c r="Z6538" s="28">
        <v>888080000</v>
      </c>
      <c r="AA6538" s="28"/>
      <c r="AB6538" s="28"/>
      <c r="AC6538" s="28">
        <v>398307000</v>
      </c>
      <c r="AD6538" s="28">
        <v>889749000</v>
      </c>
      <c r="AE6538" s="28">
        <v>4496602000</v>
      </c>
      <c r="AF6538" s="28">
        <v>1149211000</v>
      </c>
      <c r="AG6538" s="11"/>
    </row>
    <row r="6539">
      <c r="A6539" s="7" t="s">
        <v>8108</v>
      </c>
      <c r="B6539" s="5" t="s">
        <v>13319</v>
      </c>
      <c r="C6539" s="5" t="s">
        <v>21115</v>
      </c>
      <c r="D6539" s="5" t="str">
        <v>583711366933</v>
      </c>
      <c r="E6539" s="0" t="e">
        <f>+7 (8412) 231400</f>
        <v>#NAME?</v>
      </c>
      <c r="F6539" s="5"/>
      <c r="G6539" s="5"/>
      <c r="H6539" s="26">
        <v>12</v>
      </c>
      <c r="I6539" s="5" t="s">
        <v>44393</v>
      </c>
      <c r="J6539" s="5" t="s">
        <v>25253</v>
      </c>
      <c r="K6539" s="5" t="s">
        <v>355</v>
      </c>
      <c r="L6539" s="5" t="s">
        <v>44394</v>
      </c>
      <c r="M6539" s="27"/>
      <c r="N6539" s="5"/>
      <c r="O6539" s="5" t="str">
        <v>5835089294</v>
      </c>
      <c r="P6539" s="27">
        <v>10000</v>
      </c>
      <c r="Q6539" s="5" t="s">
        <v>49009</v>
      </c>
      <c r="R6539" s="5"/>
      <c r="S6539" s="5" t="s">
        <v>49045</v>
      </c>
      <c r="T6539" s="28">
        <v>245000</v>
      </c>
      <c r="U6539" s="28">
        <v>1708217000</v>
      </c>
      <c r="V6539" s="28">
        <v>359329000</v>
      </c>
      <c r="W6539" s="28"/>
      <c r="X6539" s="28">
        <v>17270000</v>
      </c>
      <c r="Y6539" s="28">
        <v>2086386000</v>
      </c>
      <c r="Z6539" s="28">
        <v>312276000</v>
      </c>
      <c r="AA6539" s="28">
        <v>3250000</v>
      </c>
      <c r="AB6539" s="28"/>
      <c r="AC6539" s="28">
        <v>1770850000</v>
      </c>
      <c r="AD6539" s="28">
        <v>312286000</v>
      </c>
      <c r="AE6539" s="28">
        <v>5706865000</v>
      </c>
      <c r="AF6539" s="28">
        <v>58816000</v>
      </c>
      <c r="AG6539" s="11"/>
    </row>
    <row r="6540">
      <c r="A6540" s="7" t="s">
        <v>8109</v>
      </c>
      <c r="B6540" s="5" t="s">
        <v>16054</v>
      </c>
      <c r="C6540" s="5" t="s">
        <v>23699</v>
      </c>
      <c r="D6540" s="5" t="str">
        <v>263410891864</v>
      </c>
      <c r="E6540" s="0" t="e">
        <f>+7 (916) 7537583
+7 (925) 5134586
+7 (495) 2297879
+7 (495) 6297879
+7 (495) 7814259
+7 (49679) 55516
+7 (985) 7671706</f>
        <v>#NAME?</v>
      </c>
      <c r="F6540" s="5" t="s">
        <v>44395</v>
      </c>
      <c r="G6540" s="5" t="s">
        <v>44396</v>
      </c>
      <c r="H6540" s="26">
        <v>20</v>
      </c>
      <c r="I6540" s="5" t="s">
        <v>44397</v>
      </c>
      <c r="J6540" s="5" t="s">
        <v>25864</v>
      </c>
      <c r="K6540" s="5" t="s">
        <v>344</v>
      </c>
      <c r="L6540" s="5" t="s">
        <v>44398</v>
      </c>
      <c r="M6540" s="27">
        <v>3584819</v>
      </c>
      <c r="N6540" s="5" t="s">
        <v>59126</v>
      </c>
      <c r="O6540" s="5" t="str">
        <v>5009121087</v>
      </c>
      <c r="P6540" s="27">
        <v>100000</v>
      </c>
      <c r="Q6540" s="5" t="s">
        <v>59127</v>
      </c>
      <c r="R6540" s="5"/>
      <c r="S6540" s="5" t="s">
        <v>59128</v>
      </c>
      <c r="T6540" s="28">
        <v>112621000</v>
      </c>
      <c r="U6540" s="28"/>
      <c r="V6540" s="28">
        <v>676335000</v>
      </c>
      <c r="W6540" s="28"/>
      <c r="X6540" s="28">
        <v>740204000</v>
      </c>
      <c r="Y6540" s="28">
        <v>2609334000</v>
      </c>
      <c r="Z6540" s="28">
        <v>702758000</v>
      </c>
      <c r="AA6540" s="28"/>
      <c r="AB6540" s="28">
        <v>49592000</v>
      </c>
      <c r="AC6540" s="28">
        <v>1851327000</v>
      </c>
      <c r="AD6540" s="28">
        <v>702873000</v>
      </c>
      <c r="AE6540" s="28">
        <v>5034843000</v>
      </c>
      <c r="AF6540" s="28">
        <v>259132000</v>
      </c>
      <c r="AG6540" s="11"/>
    </row>
    <row r="6541">
      <c r="A6541" s="7" t="s">
        <v>8110</v>
      </c>
      <c r="B6541" s="5" t="s">
        <v>16055</v>
      </c>
      <c r="C6541" s="5" t="s">
        <v>23700</v>
      </c>
      <c r="D6541" s="5" t="str">
        <v>263502229026</v>
      </c>
      <c r="E6541" s="0" t="e">
        <f>+7 (800) 7002319
+7 (800) 7008218
+7 (800) 7003319
+7 (865) 2260423
+7 (8652) 350791
+7 (961) 4903662
+7 (962) 4017680
+7 (962) 4404812</f>
        <v>#NAME?</v>
      </c>
      <c r="F6541" s="5" t="s">
        <v>44399</v>
      </c>
      <c r="G6541" s="5" t="s">
        <v>44400</v>
      </c>
      <c r="H6541" s="26">
        <v>19</v>
      </c>
      <c r="I6541" s="5" t="s">
        <v>44401</v>
      </c>
      <c r="J6541" s="5" t="s">
        <v>25864</v>
      </c>
      <c r="K6541" s="5" t="s">
        <v>344</v>
      </c>
      <c r="L6541" s="5" t="s">
        <v>44402</v>
      </c>
      <c r="M6541" s="27"/>
      <c r="N6541" s="5" t="s">
        <v>59129</v>
      </c>
      <c r="O6541" s="5" t="str">
        <v>2634060116</v>
      </c>
      <c r="P6541" s="27">
        <v>300000</v>
      </c>
      <c r="Q6541" s="5" t="s">
        <v>59130</v>
      </c>
      <c r="R6541" s="5"/>
      <c r="S6541" s="5" t="s">
        <v>49062</v>
      </c>
      <c r="T6541" s="28">
        <v>354991000</v>
      </c>
      <c r="U6541" s="28">
        <v>64020000</v>
      </c>
      <c r="V6541" s="28">
        <v>316216000</v>
      </c>
      <c r="W6541" s="28">
        <v>410000</v>
      </c>
      <c r="X6541" s="28">
        <v>323775000</v>
      </c>
      <c r="Y6541" s="28">
        <v>3622320000</v>
      </c>
      <c r="Z6541" s="28">
        <v>1019922000</v>
      </c>
      <c r="AA6541" s="28">
        <v>303294000</v>
      </c>
      <c r="AB6541" s="28">
        <v>444000</v>
      </c>
      <c r="AC6541" s="28">
        <v>2286449000</v>
      </c>
      <c r="AD6541" s="28">
        <v>1020267000</v>
      </c>
      <c r="AE6541" s="28">
        <v>4125702000</v>
      </c>
      <c r="AF6541" s="28">
        <v>320941000</v>
      </c>
      <c r="AG6541" s="11"/>
    </row>
    <row r="6542">
      <c r="A6542" s="7" t="s">
        <v>8111</v>
      </c>
      <c r="B6542" s="5" t="s">
        <v>16056</v>
      </c>
      <c r="C6542" s="5" t="s">
        <v>23701</v>
      </c>
      <c r="D6542" s="5" t="str">
        <v>772814331560</v>
      </c>
      <c r="E6542" s="0" t="e">
        <f>+7 (495) 7268415
+7 (903) 9645779
+7 (905) 5095759
+7 (903) 9644954
+7 (905) 5095514</f>
        <v>#NAME?</v>
      </c>
      <c r="F6542" s="5"/>
      <c r="G6542" s="5" t="s">
        <v>44403</v>
      </c>
      <c r="H6542" s="26">
        <v>9</v>
      </c>
      <c r="I6542" s="5" t="s">
        <v>44404</v>
      </c>
      <c r="J6542" s="5" t="s">
        <v>25253</v>
      </c>
      <c r="K6542" s="5" t="s">
        <v>344</v>
      </c>
      <c r="L6542" s="5" t="s">
        <v>44405</v>
      </c>
      <c r="M6542" s="27"/>
      <c r="N6542" s="5"/>
      <c r="O6542" s="5" t="str">
        <v>7839494730</v>
      </c>
      <c r="P6542" s="27">
        <v>20000</v>
      </c>
      <c r="Q6542" s="5" t="s">
        <v>49009</v>
      </c>
      <c r="R6542" s="5"/>
      <c r="S6542" s="5" t="s">
        <v>49010</v>
      </c>
      <c r="T6542" s="28">
        <v>11532000</v>
      </c>
      <c r="U6542" s="28"/>
      <c r="V6542" s="28">
        <v>76870000</v>
      </c>
      <c r="W6542" s="28"/>
      <c r="X6542" s="28">
        <v>16514000</v>
      </c>
      <c r="Y6542" s="28">
        <v>140733000</v>
      </c>
      <c r="Z6542" s="28">
        <v>66716000</v>
      </c>
      <c r="AA6542" s="28">
        <v>30760000</v>
      </c>
      <c r="AB6542" s="28">
        <v>19000</v>
      </c>
      <c r="AC6542" s="28">
        <v>43237000</v>
      </c>
      <c r="AD6542" s="28">
        <v>66736000</v>
      </c>
      <c r="AE6542" s="28">
        <v>4967080000</v>
      </c>
      <c r="AF6542" s="28">
        <v>46737000</v>
      </c>
      <c r="AG6542" s="11"/>
    </row>
    <row r="6543">
      <c r="A6543" s="7" t="s">
        <v>8112</v>
      </c>
      <c r="B6543" s="5" t="s">
        <v>16057</v>
      </c>
      <c r="C6543" s="5" t="s">
        <v>23702</v>
      </c>
      <c r="D6543" s="5" t="str">
        <v>540505016682</v>
      </c>
      <c r="E6543" s="0" t="e">
        <f>+7 (960) 7900919
+7 (383) 2333200
+7 (800) 3335123
+7 (952) 9310971
+7 (960) 7955641</f>
        <v>#NAME?</v>
      </c>
      <c r="F6543" s="5" t="s">
        <v>44406</v>
      </c>
      <c r="G6543" s="5" t="s">
        <v>44407</v>
      </c>
      <c r="H6543" s="26">
        <v>9.5</v>
      </c>
      <c r="I6543" s="5" t="s">
        <v>44408</v>
      </c>
      <c r="J6543" s="5" t="s">
        <v>445</v>
      </c>
      <c r="K6543" s="5" t="s">
        <v>344</v>
      </c>
      <c r="L6543" s="5" t="s">
        <v>44409</v>
      </c>
      <c r="M6543" s="27"/>
      <c r="N6543" s="5" t="s">
        <v>59131</v>
      </c>
      <c r="O6543" s="5" t="str">
        <v>5409239950</v>
      </c>
      <c r="P6543" s="27">
        <v>300000</v>
      </c>
      <c r="Q6543" s="5" t="s">
        <v>346</v>
      </c>
      <c r="R6543" s="5" t="s">
        <v>53011</v>
      </c>
      <c r="S6543" s="5" t="s">
        <v>59132</v>
      </c>
      <c r="T6543" s="28">
        <v>76965000</v>
      </c>
      <c r="U6543" s="28"/>
      <c r="V6543" s="28">
        <v>486294000</v>
      </c>
      <c r="W6543" s="28">
        <v>41000000</v>
      </c>
      <c r="X6543" s="28">
        <v>61527000</v>
      </c>
      <c r="Y6543" s="28">
        <v>1125721000</v>
      </c>
      <c r="Z6543" s="28">
        <v>135013000</v>
      </c>
      <c r="AA6543" s="28"/>
      <c r="AB6543" s="28">
        <v>118604000</v>
      </c>
      <c r="AC6543" s="28">
        <v>990323000</v>
      </c>
      <c r="AD6543" s="28">
        <v>135313000</v>
      </c>
      <c r="AE6543" s="28">
        <v>3107265000</v>
      </c>
      <c r="AF6543" s="28">
        <v>30159000</v>
      </c>
      <c r="AG6543" s="11"/>
    </row>
    <row r="6544">
      <c r="A6544" s="7" t="s">
        <v>8113</v>
      </c>
      <c r="B6544" s="5" t="s">
        <v>16058</v>
      </c>
      <c r="C6544" s="5" t="s">
        <v>23703</v>
      </c>
      <c r="D6544" s="5" t="str">
        <v>500911692110</v>
      </c>
      <c r="E6544" s="0" t="e">
        <f>+7 (495) 9991521
+7 (499) 9991521</f>
        <v>#NAME?</v>
      </c>
      <c r="F6544" s="5"/>
      <c r="G6544" s="5"/>
      <c r="H6544" s="26">
        <v>10</v>
      </c>
      <c r="I6544" s="5" t="s">
        <v>44410</v>
      </c>
      <c r="J6544" s="5" t="s">
        <v>28617</v>
      </c>
      <c r="K6544" s="5" t="s">
        <v>380</v>
      </c>
      <c r="L6544" s="5"/>
      <c r="M6544" s="27">
        <v>586150</v>
      </c>
      <c r="N6544" s="5" t="s">
        <v>59133</v>
      </c>
      <c r="O6544" s="5" t="str">
        <v>7705532790</v>
      </c>
      <c r="P6544" s="27">
        <v>10000</v>
      </c>
      <c r="Q6544" s="5" t="s">
        <v>59134</v>
      </c>
      <c r="R6544" s="5"/>
      <c r="S6544" s="5" t="s">
        <v>51937</v>
      </c>
      <c r="T6544" s="28"/>
      <c r="U6544" s="28"/>
      <c r="V6544" s="28">
        <v>10950620000</v>
      </c>
      <c r="W6544" s="28"/>
      <c r="X6544" s="28">
        <v>2856536000</v>
      </c>
      <c r="Y6544" s="28">
        <v>22266450000</v>
      </c>
      <c r="Z6544" s="28">
        <v>-16388792000</v>
      </c>
      <c r="AA6544" s="28"/>
      <c r="AB6544" s="28">
        <v>16962178000</v>
      </c>
      <c r="AC6544" s="28">
        <v>38575063000</v>
      </c>
      <c r="AD6544" s="28">
        <v>-16308781000</v>
      </c>
      <c r="AE6544" s="28">
        <v>22295603000</v>
      </c>
      <c r="AF6544" s="28">
        <v>-20955404000</v>
      </c>
      <c r="AG6544" s="11"/>
    </row>
    <row r="6545">
      <c r="A6545" s="7" t="s">
        <v>8114</v>
      </c>
      <c r="B6545" s="5" t="s">
        <v>16059</v>
      </c>
      <c r="C6545" s="5" t="s">
        <v>23704</v>
      </c>
      <c r="D6545" s="5" t="str">
        <v>773382665902</v>
      </c>
      <c r="E6545" s="0" t="e">
        <f>+7 (495) 1815150
+7 (495) 2209098
+7 (495) 7871921</f>
        <v>#NAME?</v>
      </c>
      <c r="F6545" s="5" t="s">
        <v>44411</v>
      </c>
      <c r="G6545" s="5"/>
      <c r="H6545" s="26">
        <v>14</v>
      </c>
      <c r="I6545" s="5" t="s">
        <v>44412</v>
      </c>
      <c r="J6545" s="5" t="s">
        <v>27522</v>
      </c>
      <c r="K6545" s="5" t="s">
        <v>344</v>
      </c>
      <c r="L6545" s="5" t="s">
        <v>44413</v>
      </c>
      <c r="M6545" s="27"/>
      <c r="N6545" s="5"/>
      <c r="O6545" s="5" t="str">
        <v>5024101857</v>
      </c>
      <c r="P6545" s="27">
        <v>10000</v>
      </c>
      <c r="Q6545" s="5" t="s">
        <v>49021</v>
      </c>
      <c r="R6545" s="5"/>
      <c r="S6545" s="5" t="s">
        <v>49235</v>
      </c>
      <c r="T6545" s="28">
        <v>1308924000</v>
      </c>
      <c r="U6545" s="28"/>
      <c r="V6545" s="28">
        <v>228000000</v>
      </c>
      <c r="W6545" s="28"/>
      <c r="X6545" s="28">
        <v>878000</v>
      </c>
      <c r="Y6545" s="28">
        <v>3082753000</v>
      </c>
      <c r="Z6545" s="28">
        <v>1613264000</v>
      </c>
      <c r="AA6545" s="28">
        <v>877160000</v>
      </c>
      <c r="AB6545" s="28">
        <v>331634000</v>
      </c>
      <c r="AC6545" s="28">
        <v>592318000</v>
      </c>
      <c r="AD6545" s="28">
        <v>1613274000</v>
      </c>
      <c r="AE6545" s="28">
        <v>10437518000</v>
      </c>
      <c r="AF6545" s="28">
        <v>156624000</v>
      </c>
      <c r="AG6545" s="11"/>
    </row>
    <row r="6546">
      <c r="A6546" s="7" t="s">
        <v>8115</v>
      </c>
      <c r="B6546" s="5" t="s">
        <v>16060</v>
      </c>
      <c r="C6546" s="5" t="s">
        <v>23705</v>
      </c>
      <c r="D6546" s="5"/>
      <c r="E6546" s="0" t="e">
        <f>+7 (495) 3801717
+7 (495) 2019548
+7 (495) 2152181
+7 (495) 6152181
+7 (495) 6379548</f>
        <v>#NAME?</v>
      </c>
      <c r="F6546" s="5" t="s">
        <v>44414</v>
      </c>
      <c r="G6546" s="5" t="s">
        <v>44415</v>
      </c>
      <c r="H6546" s="26">
        <v>16.5</v>
      </c>
      <c r="I6546" s="5"/>
      <c r="J6546" s="5" t="s">
        <v>25190</v>
      </c>
      <c r="K6546" s="5" t="s">
        <v>344</v>
      </c>
      <c r="L6546" s="5" t="s">
        <v>44416</v>
      </c>
      <c r="M6546" s="27">
        <v>2752782</v>
      </c>
      <c r="N6546" s="5" t="s">
        <v>59135</v>
      </c>
      <c r="O6546" s="5" t="str">
        <v>7704602692</v>
      </c>
      <c r="P6546" s="27">
        <v>100000</v>
      </c>
      <c r="Q6546" s="5" t="s">
        <v>49535</v>
      </c>
      <c r="R6546" s="5" t="s">
        <v>59136</v>
      </c>
      <c r="S6546" s="5" t="s">
        <v>59137</v>
      </c>
      <c r="T6546" s="28">
        <v>306808000</v>
      </c>
      <c r="U6546" s="28"/>
      <c r="V6546" s="28">
        <v>1720742000</v>
      </c>
      <c r="W6546" s="28">
        <v>349700000</v>
      </c>
      <c r="X6546" s="28">
        <v>133946000</v>
      </c>
      <c r="Y6546" s="28">
        <v>2689701000</v>
      </c>
      <c r="Z6546" s="28">
        <v>651547000</v>
      </c>
      <c r="AA6546" s="28"/>
      <c r="AB6546" s="28">
        <v>1268174000</v>
      </c>
      <c r="AC6546" s="28">
        <v>1985502000</v>
      </c>
      <c r="AD6546" s="28">
        <v>651652000</v>
      </c>
      <c r="AE6546" s="28">
        <v>10894079000</v>
      </c>
      <c r="AF6546" s="28">
        <v>318487000</v>
      </c>
      <c r="AG6546" s="11"/>
    </row>
    <row r="6547">
      <c r="A6547" s="7" t="s">
        <v>8116</v>
      </c>
      <c r="B6547" s="5" t="s">
        <v>16061</v>
      </c>
      <c r="C6547" s="5" t="s">
        <v>23706</v>
      </c>
      <c r="D6547" s="5" t="str">
        <v>526300256272</v>
      </c>
      <c r="E6547" s="0" t="e">
        <f>+7 (903) 6073019</f>
        <v>#NAME?</v>
      </c>
      <c r="F6547" s="5"/>
      <c r="G6547" s="5"/>
      <c r="H6547" s="26">
        <v>5.5</v>
      </c>
      <c r="I6547" s="5" t="s">
        <v>44417</v>
      </c>
      <c r="J6547" s="5" t="s">
        <v>25559</v>
      </c>
      <c r="K6547" s="5" t="s">
        <v>344</v>
      </c>
      <c r="L6547" s="5" t="s">
        <v>44418</v>
      </c>
      <c r="M6547" s="27"/>
      <c r="N6547" s="5"/>
      <c r="O6547" s="5" t="str">
        <v>5259131585</v>
      </c>
      <c r="P6547" s="27">
        <v>1000000</v>
      </c>
      <c r="Q6547" s="5" t="s">
        <v>49009</v>
      </c>
      <c r="R6547" s="5"/>
      <c r="S6547" s="5" t="s">
        <v>49010</v>
      </c>
      <c r="T6547" s="28"/>
      <c r="U6547" s="28"/>
      <c r="V6547" s="28">
        <v>158756000</v>
      </c>
      <c r="W6547" s="28"/>
      <c r="X6547" s="28">
        <v>574000</v>
      </c>
      <c r="Y6547" s="28">
        <v>508948000</v>
      </c>
      <c r="Z6547" s="28">
        <v>153095000</v>
      </c>
      <c r="AA6547" s="28"/>
      <c r="AB6547" s="28"/>
      <c r="AC6547" s="28">
        <v>354853000</v>
      </c>
      <c r="AD6547" s="28">
        <v>154095000</v>
      </c>
      <c r="AE6547" s="28">
        <v>4342615000</v>
      </c>
      <c r="AF6547" s="28">
        <v>21262000</v>
      </c>
      <c r="AG6547" s="11"/>
    </row>
    <row r="6548">
      <c r="A6548" s="7" t="s">
        <v>8117</v>
      </c>
      <c r="B6548" s="5" t="s">
        <v>16062</v>
      </c>
      <c r="C6548" s="5" t="s">
        <v>19735</v>
      </c>
      <c r="D6548" s="5"/>
      <c r="E6548" s="0" t="e">
        <f>+7 (812) 3343664
+7 (812) 1534139
+7 (812) 1537771
+7 (812) 3343634
+7 (812) 3343666
+7 (812) 7534139</f>
        <v>#NAME?</v>
      </c>
      <c r="F6548" s="5" t="s">
        <v>44419</v>
      </c>
      <c r="G6548" s="5" t="s">
        <v>25777</v>
      </c>
      <c r="H6548" s="26">
        <v>18</v>
      </c>
      <c r="I6548" s="5" t="s">
        <v>44420</v>
      </c>
      <c r="J6548" s="5" t="s">
        <v>678</v>
      </c>
      <c r="K6548" s="5" t="s">
        <v>344</v>
      </c>
      <c r="L6548" s="5" t="s">
        <v>44421</v>
      </c>
      <c r="M6548" s="27"/>
      <c r="N6548" s="5"/>
      <c r="O6548" s="5" t="str">
        <v>7805368914</v>
      </c>
      <c r="P6548" s="27">
        <v>1185000000</v>
      </c>
      <c r="Q6548" s="5" t="s">
        <v>59138</v>
      </c>
      <c r="R6548" s="5"/>
      <c r="S6548" s="5" t="s">
        <v>49747</v>
      </c>
      <c r="T6548" s="28">
        <v>334999000</v>
      </c>
      <c r="U6548" s="28">
        <v>57706000</v>
      </c>
      <c r="V6548" s="28">
        <v>6926627000</v>
      </c>
      <c r="W6548" s="28"/>
      <c r="X6548" s="28">
        <v>1424000</v>
      </c>
      <c r="Y6548" s="28">
        <v>11753098000</v>
      </c>
      <c r="Z6548" s="28">
        <v>975956000</v>
      </c>
      <c r="AA6548" s="28">
        <v>6345665000</v>
      </c>
      <c r="AB6548" s="28">
        <v>443161000</v>
      </c>
      <c r="AC6548" s="28">
        <v>3210852000</v>
      </c>
      <c r="AD6548" s="28">
        <v>2160956000</v>
      </c>
      <c r="AE6548" s="28">
        <v>28877652000</v>
      </c>
      <c r="AF6548" s="28">
        <v>31997000</v>
      </c>
      <c r="AG6548" s="11"/>
    </row>
    <row r="6549">
      <c r="A6549" s="7" t="s">
        <v>8118</v>
      </c>
      <c r="B6549" s="5" t="s">
        <v>16063</v>
      </c>
      <c r="C6549" s="5" t="s">
        <v>23707</v>
      </c>
      <c r="D6549" s="5" t="str">
        <v>772072109325</v>
      </c>
      <c r="F6549" s="5"/>
      <c r="G6549" s="5"/>
      <c r="H6549" s="26">
        <v>10</v>
      </c>
      <c r="I6549" s="5" t="s">
        <v>44422</v>
      </c>
      <c r="J6549" s="5" t="s">
        <v>26564</v>
      </c>
      <c r="K6549" s="5" t="s">
        <v>344</v>
      </c>
      <c r="L6549" s="5" t="s">
        <v>44423</v>
      </c>
      <c r="M6549" s="27">
        <v>1179640</v>
      </c>
      <c r="N6549" s="5"/>
      <c r="O6549" s="5" t="str">
        <v>7720769346</v>
      </c>
      <c r="P6549" s="27">
        <v>10000</v>
      </c>
      <c r="Q6549" s="5" t="s">
        <v>49009</v>
      </c>
      <c r="R6549" s="5" t="s">
        <v>59139</v>
      </c>
      <c r="S6549" s="5" t="s">
        <v>49010</v>
      </c>
      <c r="T6549" s="28">
        <v>146703000</v>
      </c>
      <c r="U6549" s="28"/>
      <c r="V6549" s="28">
        <v>50989000</v>
      </c>
      <c r="W6549" s="28">
        <v>163350000</v>
      </c>
      <c r="X6549" s="28">
        <v>271261000</v>
      </c>
      <c r="Y6549" s="28">
        <v>1355026000</v>
      </c>
      <c r="Z6549" s="28">
        <v>969212000</v>
      </c>
      <c r="AA6549" s="28"/>
      <c r="AB6549" s="28"/>
      <c r="AC6549" s="28">
        <v>259401000</v>
      </c>
      <c r="AD6549" s="28">
        <v>969222000</v>
      </c>
      <c r="AE6549" s="28">
        <v>4715114000</v>
      </c>
      <c r="AF6549" s="28">
        <v>798964000</v>
      </c>
      <c r="AG6549" s="11"/>
    </row>
    <row r="6550">
      <c r="A6550" s="7" t="s">
        <v>8119</v>
      </c>
      <c r="B6550" s="5" t="s">
        <v>16064</v>
      </c>
      <c r="C6550" s="5" t="s">
        <v>23708</v>
      </c>
      <c r="D6550" s="5" t="str">
        <v>773394222743</v>
      </c>
      <c r="E6550" s="0" t="e">
        <f>+7 (495) 6836457
+7 (495) 6837135</f>
        <v>#NAME?</v>
      </c>
      <c r="F6550" s="5"/>
      <c r="G6550" s="5"/>
      <c r="H6550" s="26">
        <v>13</v>
      </c>
      <c r="I6550" s="5" t="s">
        <v>44424</v>
      </c>
      <c r="J6550" s="5" t="s">
        <v>1123</v>
      </c>
      <c r="K6550" s="5" t="s">
        <v>344</v>
      </c>
      <c r="L6550" s="5" t="s">
        <v>44425</v>
      </c>
      <c r="M6550" s="27">
        <v>75000</v>
      </c>
      <c r="N6550" s="5" t="s">
        <v>59140</v>
      </c>
      <c r="O6550" s="5" t="str">
        <v>7724738229</v>
      </c>
      <c r="P6550" s="27">
        <v>20000</v>
      </c>
      <c r="Q6550" s="5" t="s">
        <v>49009</v>
      </c>
      <c r="R6550" s="5"/>
      <c r="S6550" s="5" t="s">
        <v>49028</v>
      </c>
      <c r="T6550" s="28">
        <v>71143000</v>
      </c>
      <c r="U6550" s="28"/>
      <c r="V6550" s="28">
        <v>355333000</v>
      </c>
      <c r="W6550" s="28">
        <v>172940000</v>
      </c>
      <c r="X6550" s="28">
        <v>80189000</v>
      </c>
      <c r="Y6550" s="28">
        <v>1473364000</v>
      </c>
      <c r="Z6550" s="28">
        <v>218462000</v>
      </c>
      <c r="AA6550" s="28"/>
      <c r="AB6550" s="28">
        <v>475000000</v>
      </c>
      <c r="AC6550" s="28">
        <v>1254364000</v>
      </c>
      <c r="AD6550" s="28">
        <v>218482000</v>
      </c>
      <c r="AE6550" s="28">
        <v>6165066000</v>
      </c>
      <c r="AF6550" s="28">
        <v>45833000</v>
      </c>
      <c r="AG6550" s="11"/>
    </row>
    <row r="6551">
      <c r="A6551" s="7" t="s">
        <v>8120</v>
      </c>
      <c r="B6551" s="5" t="s">
        <v>16065</v>
      </c>
      <c r="C6551" s="5" t="s">
        <v>23709</v>
      </c>
      <c r="D6551" s="5" t="str">
        <v>667219718262</v>
      </c>
      <c r="E6551" s="0" t="e">
        <f>+7 (345) 2275946
+7 (902) 2603898
+7 (963) 7100
+7 (343) 3690777
+7 (912) 309529
+7 (978) 5830302</f>
        <v>#NAME?</v>
      </c>
      <c r="F6551" s="5" t="s">
        <v>44426</v>
      </c>
      <c r="G6551" s="5" t="s">
        <v>44427</v>
      </c>
      <c r="H6551" s="26">
        <v>16</v>
      </c>
      <c r="I6551" s="5" t="s">
        <v>44428</v>
      </c>
      <c r="J6551" s="5" t="s">
        <v>26511</v>
      </c>
      <c r="K6551" s="5" t="s">
        <v>344</v>
      </c>
      <c r="L6551" s="5"/>
      <c r="M6551" s="27"/>
      <c r="N6551" s="5" t="s">
        <v>59141</v>
      </c>
      <c r="O6551" s="5" t="str">
        <v>6670170834</v>
      </c>
      <c r="P6551" s="27">
        <v>1000000</v>
      </c>
      <c r="Q6551" s="5" t="s">
        <v>59142</v>
      </c>
      <c r="R6551" s="5"/>
      <c r="S6551" s="5" t="s">
        <v>59143</v>
      </c>
      <c r="T6551" s="28">
        <v>83842000</v>
      </c>
      <c r="U6551" s="28">
        <v>128428000</v>
      </c>
      <c r="V6551" s="28">
        <v>287948000</v>
      </c>
      <c r="W6551" s="28">
        <v>14441000</v>
      </c>
      <c r="X6551" s="28">
        <v>14207000</v>
      </c>
      <c r="Y6551" s="28">
        <v>1049295000</v>
      </c>
      <c r="Z6551" s="28">
        <v>761864000</v>
      </c>
      <c r="AA6551" s="28"/>
      <c r="AB6551" s="28"/>
      <c r="AC6551" s="28">
        <v>284257000</v>
      </c>
      <c r="AD6551" s="28">
        <v>762864000</v>
      </c>
      <c r="AE6551" s="28">
        <v>5332475000</v>
      </c>
      <c r="AF6551" s="28">
        <v>117043000</v>
      </c>
      <c r="AG6551" s="11"/>
    </row>
    <row r="6552">
      <c r="A6552" s="7" t="s">
        <v>8121</v>
      </c>
      <c r="B6552" s="5" t="s">
        <v>16066</v>
      </c>
      <c r="C6552" s="5" t="s">
        <v>23710</v>
      </c>
      <c r="D6552" s="5" t="str">
        <v>422105272190</v>
      </c>
      <c r="E6552" s="0" t="e">
        <f>+7 (495) 7717177
+7 (800) 3334455
+7 (391) 2615199
+7 (923) 3615199
+7 (391) 2662547
+7 (391) 2997888
+7 (495) 9331925
+7 (495) 9331928</f>
        <v>#NAME?</v>
      </c>
      <c r="F6552" s="5" t="s">
        <v>44429</v>
      </c>
      <c r="G6552" s="5" t="s">
        <v>44430</v>
      </c>
      <c r="H6552" s="26">
        <v>14.5</v>
      </c>
      <c r="I6552" s="5" t="s">
        <v>44431</v>
      </c>
      <c r="J6552" s="5" t="s">
        <v>28075</v>
      </c>
      <c r="K6552" s="5" t="s">
        <v>344</v>
      </c>
      <c r="L6552" s="5" t="s">
        <v>44432</v>
      </c>
      <c r="M6552" s="27"/>
      <c r="N6552" s="5" t="s">
        <v>59144</v>
      </c>
      <c r="O6552" s="5" t="str">
        <v>5036091667</v>
      </c>
      <c r="P6552" s="27">
        <v>40000</v>
      </c>
      <c r="Q6552" s="5" t="s">
        <v>49579</v>
      </c>
      <c r="R6552" s="5"/>
      <c r="S6552" s="5" t="s">
        <v>58001</v>
      </c>
      <c r="T6552" s="28">
        <v>81611000</v>
      </c>
      <c r="U6552" s="28"/>
      <c r="V6552" s="28">
        <v>157396000</v>
      </c>
      <c r="W6552" s="28"/>
      <c r="X6552" s="28">
        <v>194662000</v>
      </c>
      <c r="Y6552" s="28">
        <v>862236000</v>
      </c>
      <c r="Z6552" s="28">
        <v>192976000</v>
      </c>
      <c r="AA6552" s="28"/>
      <c r="AB6552" s="28">
        <v>30000</v>
      </c>
      <c r="AC6552" s="28">
        <v>277072000</v>
      </c>
      <c r="AD6552" s="28">
        <v>193016000</v>
      </c>
      <c r="AE6552" s="28">
        <v>3433363000</v>
      </c>
      <c r="AF6552" s="28">
        <v>132894000</v>
      </c>
      <c r="AG6552" s="11"/>
    </row>
    <row r="6553">
      <c r="A6553" s="7" t="s">
        <v>8122</v>
      </c>
      <c r="B6553" s="5" t="s">
        <v>16067</v>
      </c>
      <c r="C6553" s="5" t="s">
        <v>23711</v>
      </c>
      <c r="D6553" s="5" t="str">
        <v>614300366408</v>
      </c>
      <c r="E6553" s="0" t="e">
        <f>+7 (831) 2622489
+7 (918) 5512311</f>
        <v>#NAME?</v>
      </c>
      <c r="F6553" s="5" t="s">
        <v>44433</v>
      </c>
      <c r="G6553" s="5" t="s">
        <v>44434</v>
      </c>
      <c r="H6553" s="26">
        <v>5</v>
      </c>
      <c r="I6553" s="5" t="s">
        <v>44435</v>
      </c>
      <c r="J6553" s="5" t="s">
        <v>26880</v>
      </c>
      <c r="K6553" s="5" t="s">
        <v>344</v>
      </c>
      <c r="L6553" s="5" t="s">
        <v>44436</v>
      </c>
      <c r="M6553" s="27"/>
      <c r="N6553" s="5" t="s">
        <v>59145</v>
      </c>
      <c r="O6553" s="5" t="str">
        <v>5407969528</v>
      </c>
      <c r="P6553" s="27">
        <v>51000000</v>
      </c>
      <c r="Q6553" s="5" t="s">
        <v>59146</v>
      </c>
      <c r="R6553" s="5"/>
      <c r="S6553" s="5" t="s">
        <v>59147</v>
      </c>
      <c r="T6553" s="28">
        <v>74406000</v>
      </c>
      <c r="U6553" s="28"/>
      <c r="V6553" s="28">
        <v>626222000</v>
      </c>
      <c r="W6553" s="28">
        <v>233700000</v>
      </c>
      <c r="X6553" s="28">
        <v>37738000</v>
      </c>
      <c r="Y6553" s="28">
        <v>1709194000</v>
      </c>
      <c r="Z6553" s="28">
        <v>346130000</v>
      </c>
      <c r="AA6553" s="28">
        <v>859000</v>
      </c>
      <c r="AB6553" s="28"/>
      <c r="AC6553" s="28">
        <v>492936000</v>
      </c>
      <c r="AD6553" s="28">
        <v>1214876000</v>
      </c>
      <c r="AE6553" s="28">
        <v>5502479000</v>
      </c>
      <c r="AF6553" s="28">
        <v>146161000</v>
      </c>
      <c r="AG6553" s="11"/>
    </row>
    <row r="6554">
      <c r="A6554" s="7" t="s">
        <v>8123</v>
      </c>
      <c r="B6554" s="5" t="s">
        <v>16068</v>
      </c>
      <c r="C6554" s="5" t="s">
        <v>23712</v>
      </c>
      <c r="D6554" s="5" t="str">
        <v>616509595700</v>
      </c>
      <c r="E6554" s="0" t="e">
        <f>+7 (8632) 910140
+7 (86342) 56224
+7 (86355) 24465
+7 (86370) 21167
+7 (86370) 22777
+7 (86376) 32705
+7 (86392) 57504
+7 (928) 1489983</f>
        <v>#NAME?</v>
      </c>
      <c r="F6554" s="5" t="s">
        <v>44437</v>
      </c>
      <c r="G6554" s="5" t="s">
        <v>44438</v>
      </c>
      <c r="H6554" s="26">
        <v>13</v>
      </c>
      <c r="I6554" s="5" t="s">
        <v>44439</v>
      </c>
      <c r="J6554" s="5" t="s">
        <v>25837</v>
      </c>
      <c r="K6554" s="5" t="s">
        <v>344</v>
      </c>
      <c r="L6554" s="5" t="s">
        <v>44440</v>
      </c>
      <c r="M6554" s="27">
        <v>162574135</v>
      </c>
      <c r="N6554" s="5" t="s">
        <v>59148</v>
      </c>
      <c r="O6554" s="5" t="str">
        <v>6165161667</v>
      </c>
      <c r="P6554" s="27">
        <v>2363635000</v>
      </c>
      <c r="Q6554" s="5" t="s">
        <v>49009</v>
      </c>
      <c r="R6554" s="5"/>
      <c r="S6554" s="5" t="s">
        <v>59149</v>
      </c>
      <c r="T6554" s="28">
        <v>7839403000</v>
      </c>
      <c r="U6554" s="28">
        <v>200200000</v>
      </c>
      <c r="V6554" s="28">
        <v>21197367000</v>
      </c>
      <c r="W6554" s="28">
        <v>1177424000</v>
      </c>
      <c r="X6554" s="28">
        <v>1565453000</v>
      </c>
      <c r="Y6554" s="28">
        <v>52184624000</v>
      </c>
      <c r="Z6554" s="28">
        <v>9210241000</v>
      </c>
      <c r="AA6554" s="28">
        <v>1863038000</v>
      </c>
      <c r="AB6554" s="28">
        <v>32599374000</v>
      </c>
      <c r="AC6554" s="28">
        <v>36801794000</v>
      </c>
      <c r="AD6554" s="28">
        <v>12408785000</v>
      </c>
      <c r="AE6554" s="28">
        <v>188413106000</v>
      </c>
      <c r="AF6554" s="28">
        <v>4340011000</v>
      </c>
      <c r="AG6554" s="11"/>
    </row>
    <row r="6555">
      <c r="A6555" s="7" t="s">
        <v>8124</v>
      </c>
      <c r="B6555" s="5" t="s">
        <v>16069</v>
      </c>
      <c r="C6555" s="5" t="s">
        <v>23713</v>
      </c>
      <c r="D6555" s="5" t="str">
        <v>772804050908</v>
      </c>
      <c r="E6555" s="0" t="e">
        <f>+7 (495) 6442020
+7 (495) 7771777</f>
        <v>#NAME?</v>
      </c>
      <c r="F6555" s="5"/>
      <c r="G6555" s="5" t="s">
        <v>44441</v>
      </c>
      <c r="H6555" s="26">
        <v>12</v>
      </c>
      <c r="I6555" s="5" t="s">
        <v>44442</v>
      </c>
      <c r="J6555" s="5" t="s">
        <v>25332</v>
      </c>
      <c r="K6555" s="5" t="s">
        <v>355</v>
      </c>
      <c r="L6555" s="5" t="s">
        <v>44443</v>
      </c>
      <c r="M6555" s="27"/>
      <c r="N6555" s="5"/>
      <c r="O6555" s="5" t="str">
        <v>7716679026</v>
      </c>
      <c r="P6555" s="27">
        <v>10100000</v>
      </c>
      <c r="Q6555" s="5" t="s">
        <v>49207</v>
      </c>
      <c r="R6555" s="5"/>
      <c r="S6555" s="5" t="s">
        <v>59150</v>
      </c>
      <c r="T6555" s="28">
        <v>71000</v>
      </c>
      <c r="U6555" s="28"/>
      <c r="V6555" s="28">
        <v>3542350000</v>
      </c>
      <c r="W6555" s="28">
        <v>2000000000</v>
      </c>
      <c r="X6555" s="28">
        <v>849000</v>
      </c>
      <c r="Y6555" s="28">
        <v>5823650000</v>
      </c>
      <c r="Z6555" s="28">
        <v>40874000</v>
      </c>
      <c r="AA6555" s="28"/>
      <c r="AB6555" s="28">
        <v>248419000</v>
      </c>
      <c r="AC6555" s="28">
        <v>5721486000</v>
      </c>
      <c r="AD6555" s="28">
        <v>50974000</v>
      </c>
      <c r="AE6555" s="28">
        <v>10347101000</v>
      </c>
      <c r="AF6555" s="28">
        <v>42636000</v>
      </c>
      <c r="AG6555" s="11"/>
    </row>
    <row r="6556">
      <c r="A6556" s="7" t="s">
        <v>8125</v>
      </c>
      <c r="B6556" s="5" t="s">
        <v>16070</v>
      </c>
      <c r="C6556" s="5" t="s">
        <v>23714</v>
      </c>
      <c r="D6556" s="5" t="str">
        <v>780428515702</v>
      </c>
      <c r="E6556" s="0" t="e">
        <f>+7 (495) 2291004
+7 (985) 1078751
+7 (985) 9248529
+7 (3512) 4239
+7 (3522) 545690
+7 (381) 2324651
+7 (381) 2324652
+7 (495) 2291008
+7 (495) 2291018
+7 (495) 6291008</f>
        <v>#NAME?</v>
      </c>
      <c r="F6556" s="5" t="s">
        <v>44444</v>
      </c>
      <c r="G6556" s="5" t="s">
        <v>44445</v>
      </c>
      <c r="H6556" s="26">
        <v>17.5</v>
      </c>
      <c r="I6556" s="5"/>
      <c r="J6556" s="5" t="s">
        <v>44446</v>
      </c>
      <c r="K6556" s="5" t="s">
        <v>344</v>
      </c>
      <c r="L6556" s="5" t="s">
        <v>44447</v>
      </c>
      <c r="M6556" s="27">
        <v>6251037</v>
      </c>
      <c r="N6556" s="5" t="s">
        <v>59151</v>
      </c>
      <c r="O6556" s="5" t="str">
        <v>2221069438</v>
      </c>
      <c r="P6556" s="27">
        <v>100000</v>
      </c>
      <c r="Q6556" s="5" t="s">
        <v>59152</v>
      </c>
      <c r="R6556" s="5"/>
      <c r="S6556" s="5" t="s">
        <v>59153</v>
      </c>
      <c r="T6556" s="28">
        <v>1528101000</v>
      </c>
      <c r="U6556" s="28">
        <v>77007000</v>
      </c>
      <c r="V6556" s="28">
        <v>3019292000</v>
      </c>
      <c r="W6556" s="28">
        <v>582958000</v>
      </c>
      <c r="X6556" s="28">
        <v>168447000</v>
      </c>
      <c r="Y6556" s="28">
        <v>7564613000</v>
      </c>
      <c r="Z6556" s="28">
        <v>2129479000</v>
      </c>
      <c r="AA6556" s="28">
        <v>3888341000</v>
      </c>
      <c r="AB6556" s="28">
        <v>1083655000</v>
      </c>
      <c r="AC6556" s="28">
        <v>1263048000</v>
      </c>
      <c r="AD6556" s="28">
        <v>2129594000</v>
      </c>
      <c r="AE6556" s="28">
        <v>5939804000</v>
      </c>
      <c r="AF6556" s="28">
        <v>20410000</v>
      </c>
      <c r="AG6556" s="11"/>
    </row>
    <row r="6557">
      <c r="A6557" s="7" t="s">
        <v>8126</v>
      </c>
      <c r="B6557" s="5" t="s">
        <v>16071</v>
      </c>
      <c r="C6557" s="5" t="s">
        <v>23715</v>
      </c>
      <c r="D6557" s="5" t="str">
        <v>711702777116</v>
      </c>
      <c r="E6557" s="0" t="e">
        <f>+7 (421) 2400499
+7 (421) 2400600
+7 (421) 2324769
+7 (421) 2400484
+7 (421) 2400500
+7 (42135) 23919</f>
        <v>#NAME?</v>
      </c>
      <c r="F6557" s="5"/>
      <c r="G6557" s="5" t="s">
        <v>44448</v>
      </c>
      <c r="H6557" s="26">
        <v>17</v>
      </c>
      <c r="I6557" s="5" t="s">
        <v>44449</v>
      </c>
      <c r="J6557" s="5" t="s">
        <v>43110</v>
      </c>
      <c r="K6557" s="5" t="s">
        <v>380</v>
      </c>
      <c r="L6557" s="5" t="s">
        <v>27211</v>
      </c>
      <c r="M6557" s="27"/>
      <c r="N6557" s="5"/>
      <c r="O6557" s="5" t="str">
        <v>2724092240</v>
      </c>
      <c r="P6557" s="27">
        <v>480000</v>
      </c>
      <c r="Q6557" s="5" t="s">
        <v>49021</v>
      </c>
      <c r="R6557" s="5"/>
      <c r="S6557" s="5" t="s">
        <v>59154</v>
      </c>
      <c r="T6557" s="28">
        <v>70113000</v>
      </c>
      <c r="U6557" s="28">
        <v>2096128000</v>
      </c>
      <c r="V6557" s="28">
        <v>2552130000</v>
      </c>
      <c r="W6557" s="28"/>
      <c r="X6557" s="28">
        <v>62798000</v>
      </c>
      <c r="Y6557" s="28">
        <v>5214203000</v>
      </c>
      <c r="Z6557" s="28">
        <v>416315000</v>
      </c>
      <c r="AA6557" s="28">
        <v>3121600000</v>
      </c>
      <c r="AB6557" s="28">
        <v>187947000</v>
      </c>
      <c r="AC6557" s="28">
        <v>1126751000</v>
      </c>
      <c r="AD6557" s="28">
        <v>951555000</v>
      </c>
      <c r="AE6557" s="28">
        <v>11640404000</v>
      </c>
      <c r="AF6557" s="28">
        <v>-218352000</v>
      </c>
      <c r="AG6557" s="11"/>
    </row>
    <row r="6558">
      <c r="A6558" s="7" t="s">
        <v>8127</v>
      </c>
      <c r="B6558" s="5" t="s">
        <v>16072</v>
      </c>
      <c r="C6558" s="5" t="s">
        <v>23716</v>
      </c>
      <c r="D6558" s="5" t="str">
        <v>772820609407</v>
      </c>
      <c r="E6558" s="0" t="e">
        <f>+7 (495) 2236000
+7 (903) 9601278
+7 (926) 5479230</f>
        <v>#NAME?</v>
      </c>
      <c r="F6558" s="5" t="s">
        <v>44450</v>
      </c>
      <c r="G6558" s="5"/>
      <c r="H6558" s="26">
        <v>6</v>
      </c>
      <c r="I6558" s="5" t="s">
        <v>44451</v>
      </c>
      <c r="J6558" s="5" t="s">
        <v>25190</v>
      </c>
      <c r="K6558" s="5" t="s">
        <v>344</v>
      </c>
      <c r="L6558" s="5" t="s">
        <v>44452</v>
      </c>
      <c r="M6558" s="27"/>
      <c r="N6558" s="5"/>
      <c r="O6558" s="5" t="str">
        <v>9715289556</v>
      </c>
      <c r="P6558" s="27">
        <v>30000</v>
      </c>
      <c r="Q6558" s="5" t="s">
        <v>49009</v>
      </c>
      <c r="R6558" s="5"/>
      <c r="S6558" s="5" t="s">
        <v>49010</v>
      </c>
      <c r="T6558" s="28">
        <v>12161000</v>
      </c>
      <c r="U6558" s="28"/>
      <c r="V6558" s="28">
        <v>795342000</v>
      </c>
      <c r="W6558" s="28"/>
      <c r="X6558" s="28">
        <v>835693000</v>
      </c>
      <c r="Y6558" s="28">
        <v>3512949000</v>
      </c>
      <c r="Z6558" s="28">
        <v>103461000</v>
      </c>
      <c r="AA6558" s="28">
        <v>2581207000</v>
      </c>
      <c r="AB6558" s="28">
        <v>64975000</v>
      </c>
      <c r="AC6558" s="28">
        <v>819532000</v>
      </c>
      <c r="AD6558" s="28">
        <v>103631000</v>
      </c>
      <c r="AE6558" s="28">
        <v>6428588000</v>
      </c>
      <c r="AF6558" s="28">
        <v>-24475000</v>
      </c>
      <c r="AG6558" s="11"/>
    </row>
    <row r="6559">
      <c r="A6559" s="7" t="s">
        <v>8128</v>
      </c>
      <c r="B6559" s="5" t="s">
        <v>16073</v>
      </c>
      <c r="C6559" s="5" t="s">
        <v>23717</v>
      </c>
      <c r="D6559" s="5" t="str">
        <v>342603529000</v>
      </c>
      <c r="E6559" s="0" t="e">
        <f>+7 (961) 6992692
+7 (903) 7775399
+7 (961) 6992686</f>
        <v>#NAME?</v>
      </c>
      <c r="F6559" s="5" t="s">
        <v>44453</v>
      </c>
      <c r="G6559" s="5"/>
      <c r="H6559" s="26">
        <v>9.5</v>
      </c>
      <c r="I6559" s="5" t="s">
        <v>44454</v>
      </c>
      <c r="J6559" s="5" t="s">
        <v>373</v>
      </c>
      <c r="K6559" s="5" t="s">
        <v>380</v>
      </c>
      <c r="L6559" s="5" t="s">
        <v>35474</v>
      </c>
      <c r="M6559" s="27"/>
      <c r="N6559" s="5" t="s">
        <v>55509</v>
      </c>
      <c r="O6559" s="5" t="str">
        <v>3458000590</v>
      </c>
      <c r="P6559" s="27">
        <v>10000</v>
      </c>
      <c r="Q6559" s="5" t="s">
        <v>49009</v>
      </c>
      <c r="R6559" s="5"/>
      <c r="S6559" s="5" t="s">
        <v>49012</v>
      </c>
      <c r="T6559" s="28">
        <v>906000</v>
      </c>
      <c r="U6559" s="28"/>
      <c r="V6559" s="28">
        <v>285206000</v>
      </c>
      <c r="W6559" s="28"/>
      <c r="X6559" s="28">
        <v>124000</v>
      </c>
      <c r="Y6559" s="28">
        <v>550063000</v>
      </c>
      <c r="Z6559" s="28">
        <v>35917000</v>
      </c>
      <c r="AA6559" s="28">
        <v>267515000</v>
      </c>
      <c r="AB6559" s="28">
        <v>107488000</v>
      </c>
      <c r="AC6559" s="28">
        <v>246272000</v>
      </c>
      <c r="AD6559" s="28">
        <v>35927000</v>
      </c>
      <c r="AE6559" s="28">
        <v>4928093000</v>
      </c>
      <c r="AF6559" s="28">
        <v>5685000</v>
      </c>
      <c r="AG6559" s="11"/>
    </row>
    <row r="6560">
      <c r="A6560" s="7" t="s">
        <v>8129</v>
      </c>
      <c r="B6560" s="5" t="s">
        <v>16074</v>
      </c>
      <c r="C6560" s="5" t="s">
        <v>23718</v>
      </c>
      <c r="D6560" s="5" t="str">
        <v>774314857809</v>
      </c>
      <c r="E6560" s="0" t="e">
        <f>+7 (499) 7031481</f>
        <v>#NAME?</v>
      </c>
      <c r="F6560" s="5" t="s">
        <v>44455</v>
      </c>
      <c r="G6560" s="5" t="s">
        <v>44456</v>
      </c>
      <c r="H6560" s="26">
        <v>11.5</v>
      </c>
      <c r="I6560" s="5"/>
      <c r="J6560" s="5" t="s">
        <v>25805</v>
      </c>
      <c r="K6560" s="5" t="s">
        <v>355</v>
      </c>
      <c r="L6560" s="5" t="s">
        <v>44457</v>
      </c>
      <c r="M6560" s="27">
        <v>112148214</v>
      </c>
      <c r="N6560" s="5"/>
      <c r="O6560" s="5" t="str">
        <v>7731416688</v>
      </c>
      <c r="P6560" s="27">
        <v>10000</v>
      </c>
      <c r="Q6560" s="5" t="s">
        <v>49009</v>
      </c>
      <c r="R6560" s="5"/>
      <c r="S6560" s="5" t="s">
        <v>49010</v>
      </c>
      <c r="T6560" s="28">
        <v>5515000</v>
      </c>
      <c r="U6560" s="28">
        <v>7000000</v>
      </c>
      <c r="V6560" s="28">
        <v>229339000</v>
      </c>
      <c r="W6560" s="28">
        <v>3000000</v>
      </c>
      <c r="X6560" s="28">
        <v>210000</v>
      </c>
      <c r="Y6560" s="28">
        <v>367147000</v>
      </c>
      <c r="Z6560" s="28">
        <v>128135000</v>
      </c>
      <c r="AA6560" s="28">
        <v>15000</v>
      </c>
      <c r="AB6560" s="28">
        <v>227565000</v>
      </c>
      <c r="AC6560" s="28">
        <v>238051000</v>
      </c>
      <c r="AD6560" s="28">
        <v>128145000</v>
      </c>
      <c r="AE6560" s="28">
        <v>3466421000</v>
      </c>
      <c r="AF6560" s="28">
        <v>15489000</v>
      </c>
      <c r="AG6560" s="11"/>
    </row>
    <row r="6561">
      <c r="A6561" s="7" t="s">
        <v>8130</v>
      </c>
      <c r="B6561" s="5" t="s">
        <v>16075</v>
      </c>
      <c r="C6561" s="5" t="s">
        <v>23719</v>
      </c>
      <c r="D6561" s="5" t="str">
        <v>780400316601</v>
      </c>
      <c r="E6561" s="0" t="e">
        <f>+7 (921) 9057106</f>
        <v>#NAME?</v>
      </c>
      <c r="F6561" s="5" t="s">
        <v>44458</v>
      </c>
      <c r="G6561" s="5"/>
      <c r="H6561" s="26">
        <v>5.5</v>
      </c>
      <c r="I6561" s="5" t="s">
        <v>44459</v>
      </c>
      <c r="J6561" s="5" t="s">
        <v>25559</v>
      </c>
      <c r="K6561" s="5" t="s">
        <v>344</v>
      </c>
      <c r="L6561" s="5" t="s">
        <v>44460</v>
      </c>
      <c r="M6561" s="27"/>
      <c r="N6561" s="5"/>
      <c r="O6561" s="5" t="str">
        <v>7820057977</v>
      </c>
      <c r="P6561" s="27">
        <v>1000000</v>
      </c>
      <c r="Q6561" s="5" t="s">
        <v>49009</v>
      </c>
      <c r="R6561" s="5"/>
      <c r="S6561" s="5" t="s">
        <v>49010</v>
      </c>
      <c r="T6561" s="28"/>
      <c r="U6561" s="28"/>
      <c r="V6561" s="28">
        <v>51377000</v>
      </c>
      <c r="W6561" s="28"/>
      <c r="X6561" s="28">
        <v>3816000</v>
      </c>
      <c r="Y6561" s="28">
        <v>308319000</v>
      </c>
      <c r="Z6561" s="28">
        <v>129828000</v>
      </c>
      <c r="AA6561" s="28"/>
      <c r="AB6561" s="28"/>
      <c r="AC6561" s="28">
        <v>177491000</v>
      </c>
      <c r="AD6561" s="28">
        <v>130828000</v>
      </c>
      <c r="AE6561" s="28">
        <v>3937358000</v>
      </c>
      <c r="AF6561" s="28">
        <v>35889000</v>
      </c>
      <c r="AG6561" s="11"/>
    </row>
    <row r="6562">
      <c r="A6562" s="7" t="s">
        <v>8131</v>
      </c>
      <c r="B6562" s="5" t="s">
        <v>16076</v>
      </c>
      <c r="C6562" s="5" t="s">
        <v>23720</v>
      </c>
      <c r="D6562" s="5" t="str">
        <v>540408999797</v>
      </c>
      <c r="E6562" s="0" t="e">
        <f>+7 (913) 9471201</f>
        <v>#NAME?</v>
      </c>
      <c r="F6562" s="5"/>
      <c r="G6562" s="5"/>
      <c r="H6562" s="26">
        <v>5.5</v>
      </c>
      <c r="I6562" s="5" t="s">
        <v>44461</v>
      </c>
      <c r="J6562" s="5" t="s">
        <v>25559</v>
      </c>
      <c r="K6562" s="5" t="s">
        <v>344</v>
      </c>
      <c r="L6562" s="5" t="s">
        <v>44462</v>
      </c>
      <c r="M6562" s="27">
        <v>30083</v>
      </c>
      <c r="N6562" s="5"/>
      <c r="O6562" s="5" t="str">
        <v>5404061791</v>
      </c>
      <c r="P6562" s="27">
        <v>1000000</v>
      </c>
      <c r="Q6562" s="5" t="s">
        <v>49021</v>
      </c>
      <c r="R6562" s="5"/>
      <c r="S6562" s="5" t="s">
        <v>49885</v>
      </c>
      <c r="T6562" s="28"/>
      <c r="U6562" s="28"/>
      <c r="V6562" s="28">
        <v>68971000</v>
      </c>
      <c r="W6562" s="28"/>
      <c r="X6562" s="28">
        <v>2898000</v>
      </c>
      <c r="Y6562" s="28">
        <v>421327000</v>
      </c>
      <c r="Z6562" s="28">
        <v>195239000</v>
      </c>
      <c r="AA6562" s="28"/>
      <c r="AB6562" s="28"/>
      <c r="AC6562" s="28">
        <v>225088000</v>
      </c>
      <c r="AD6562" s="28">
        <v>196239000</v>
      </c>
      <c r="AE6562" s="28">
        <v>3513288000</v>
      </c>
      <c r="AF6562" s="28">
        <v>42704000</v>
      </c>
      <c r="AG6562" s="11"/>
    </row>
    <row r="6563">
      <c r="A6563" s="7" t="s">
        <v>8132</v>
      </c>
      <c r="B6563" s="5" t="s">
        <v>16077</v>
      </c>
      <c r="C6563" s="5" t="s">
        <v>23721</v>
      </c>
      <c r="D6563" s="5" t="str">
        <v>772435052403</v>
      </c>
      <c r="E6563" s="0" t="e">
        <f>+7 (495) 7221328
+7 (496) 7311329
+7 (499) 7221305
+7 (499) 7221321
+7 (499) 7221328
+7 (499) 7221329</f>
        <v>#NAME?</v>
      </c>
      <c r="F6563" s="5"/>
      <c r="G6563" s="5" t="s">
        <v>44463</v>
      </c>
      <c r="H6563" s="26">
        <v>15.5</v>
      </c>
      <c r="I6563" s="5" t="s">
        <v>44464</v>
      </c>
      <c r="J6563" s="5" t="s">
        <v>678</v>
      </c>
      <c r="K6563" s="5" t="s">
        <v>344</v>
      </c>
      <c r="L6563" s="5" t="s">
        <v>44465</v>
      </c>
      <c r="M6563" s="27"/>
      <c r="N6563" s="5"/>
      <c r="O6563" s="5" t="str">
        <v>7723615432</v>
      </c>
      <c r="P6563" s="27">
        <v>20010000</v>
      </c>
      <c r="Q6563" s="5" t="s">
        <v>59155</v>
      </c>
      <c r="R6563" s="5"/>
      <c r="S6563" s="5" t="s">
        <v>59156</v>
      </c>
      <c r="T6563" s="28"/>
      <c r="U6563" s="28"/>
      <c r="V6563" s="28">
        <v>1178283000</v>
      </c>
      <c r="W6563" s="28"/>
      <c r="X6563" s="28">
        <v>143592000</v>
      </c>
      <c r="Y6563" s="28">
        <v>1416255000</v>
      </c>
      <c r="Z6563" s="28">
        <v>213228000</v>
      </c>
      <c r="AA6563" s="28"/>
      <c r="AB6563" s="28">
        <v>597600000</v>
      </c>
      <c r="AC6563" s="28">
        <v>1183017000</v>
      </c>
      <c r="AD6563" s="28">
        <v>233238000</v>
      </c>
      <c r="AE6563" s="28">
        <v>4557102000</v>
      </c>
      <c r="AF6563" s="28">
        <v>23653000</v>
      </c>
      <c r="AG6563" s="11"/>
    </row>
    <row r="6564">
      <c r="A6564" s="7" t="s">
        <v>8133</v>
      </c>
      <c r="B6564" s="5" t="s">
        <v>16078</v>
      </c>
      <c r="C6564" s="5" t="s">
        <v>23722</v>
      </c>
      <c r="D6564" s="5" t="str">
        <v>771505309036</v>
      </c>
      <c r="E6564" s="0" t="e">
        <f>+7 (926) 8180557</f>
        <v>#NAME?</v>
      </c>
      <c r="F6564" s="5"/>
      <c r="G6564" s="5"/>
      <c r="H6564" s="26">
        <v>5.5</v>
      </c>
      <c r="I6564" s="5" t="s">
        <v>44466</v>
      </c>
      <c r="J6564" s="5" t="s">
        <v>25559</v>
      </c>
      <c r="K6564" s="5" t="s">
        <v>344</v>
      </c>
      <c r="L6564" s="5" t="s">
        <v>44467</v>
      </c>
      <c r="M6564" s="27">
        <v>207382</v>
      </c>
      <c r="N6564" s="5" t="s">
        <v>52766</v>
      </c>
      <c r="O6564" s="5" t="str">
        <v>5029222485</v>
      </c>
      <c r="P6564" s="27">
        <v>991000</v>
      </c>
      <c r="Q6564" s="5" t="s">
        <v>49021</v>
      </c>
      <c r="R6564" s="5" t="s">
        <v>59157</v>
      </c>
      <c r="S6564" s="5" t="s">
        <v>49235</v>
      </c>
      <c r="T6564" s="28">
        <v>1625000</v>
      </c>
      <c r="U6564" s="28"/>
      <c r="V6564" s="28">
        <v>296542000</v>
      </c>
      <c r="W6564" s="28">
        <v>130530000</v>
      </c>
      <c r="X6564" s="28">
        <v>11985000</v>
      </c>
      <c r="Y6564" s="28">
        <v>2321672000</v>
      </c>
      <c r="Z6564" s="28">
        <v>1128864000</v>
      </c>
      <c r="AA6564" s="28"/>
      <c r="AB6564" s="28"/>
      <c r="AC6564" s="28">
        <v>1191808000</v>
      </c>
      <c r="AD6564" s="28">
        <v>1129864000</v>
      </c>
      <c r="AE6564" s="28">
        <v>25725837000</v>
      </c>
      <c r="AF6564" s="28">
        <v>302401000</v>
      </c>
      <c r="AG6564" s="11"/>
    </row>
    <row r="6565">
      <c r="A6565" s="7" t="s">
        <v>8134</v>
      </c>
      <c r="B6565" s="5" t="s">
        <v>16079</v>
      </c>
      <c r="C6565" s="5" t="s">
        <v>23723</v>
      </c>
      <c r="D6565" s="5" t="str">
        <v>052103295062</v>
      </c>
      <c r="E6565" s="0" t="e">
        <f>+7 (800) 3019434
+7 (872) 2560060
+7 (872) 2560655
+7 (872) 2656565
+7 (872) 2674886
+7 (928) 5211807
+7 (928) 5556861
+7 (962) 4004493
+7 (964) 4043333
+7 (872) 2560555
+7 (872) 2650555
+7 (963) 4043333</f>
        <v>#NAME?</v>
      </c>
      <c r="F6565" s="5" t="s">
        <v>44468</v>
      </c>
      <c r="G6565" s="5"/>
      <c r="H6565" s="26">
        <v>21</v>
      </c>
      <c r="I6565" s="5" t="s">
        <v>44469</v>
      </c>
      <c r="J6565" s="5" t="s">
        <v>26165</v>
      </c>
      <c r="K6565" s="5" t="s">
        <v>344</v>
      </c>
      <c r="L6565" s="5" t="s">
        <v>44470</v>
      </c>
      <c r="M6565" s="27">
        <v>15586265</v>
      </c>
      <c r="N6565" s="5" t="s">
        <v>59158</v>
      </c>
      <c r="O6565" s="5" t="str">
        <v>0561046931</v>
      </c>
      <c r="P6565" s="27">
        <v>10000</v>
      </c>
      <c r="Q6565" s="5" t="s">
        <v>59159</v>
      </c>
      <c r="R6565" s="5"/>
      <c r="S6565" s="5" t="s">
        <v>52469</v>
      </c>
      <c r="T6565" s="28">
        <v>9852000</v>
      </c>
      <c r="U6565" s="28"/>
      <c r="V6565" s="28">
        <v>374424000</v>
      </c>
      <c r="W6565" s="28"/>
      <c r="X6565" s="28">
        <v>51775000</v>
      </c>
      <c r="Y6565" s="28">
        <v>982037000</v>
      </c>
      <c r="Z6565" s="28">
        <v>482013000</v>
      </c>
      <c r="AA6565" s="28"/>
      <c r="AB6565" s="28">
        <v>98596000</v>
      </c>
      <c r="AC6565" s="28">
        <v>498208000</v>
      </c>
      <c r="AD6565" s="28">
        <v>482023000</v>
      </c>
      <c r="AE6565" s="28">
        <v>6625562000</v>
      </c>
      <c r="AF6565" s="28">
        <v>113903000</v>
      </c>
      <c r="AG6565" s="11"/>
    </row>
    <row r="6566">
      <c r="A6566" s="7" t="s">
        <v>8135</v>
      </c>
      <c r="B6566" s="5" t="s">
        <v>16080</v>
      </c>
      <c r="C6566" s="5" t="s">
        <v>23724</v>
      </c>
      <c r="D6566" s="5" t="str">
        <v>772021361397</v>
      </c>
      <c r="F6566" s="5" t="s">
        <v>44471</v>
      </c>
      <c r="G6566" s="5" t="s">
        <v>44472</v>
      </c>
      <c r="H6566" s="26">
        <v>14.5</v>
      </c>
      <c r="I6566" s="5" t="s">
        <v>44473</v>
      </c>
      <c r="J6566" s="5" t="s">
        <v>27522</v>
      </c>
      <c r="K6566" s="5" t="s">
        <v>344</v>
      </c>
      <c r="L6566" s="5" t="s">
        <v>44474</v>
      </c>
      <c r="M6566" s="27"/>
      <c r="N6566" s="5" t="s">
        <v>59160</v>
      </c>
      <c r="O6566" s="5" t="str">
        <v>7702680818</v>
      </c>
      <c r="P6566" s="27">
        <v>10000000</v>
      </c>
      <c r="Q6566" s="5" t="s">
        <v>49021</v>
      </c>
      <c r="R6566" s="5"/>
      <c r="S6566" s="5" t="s">
        <v>59161</v>
      </c>
      <c r="T6566" s="28">
        <v>235808000</v>
      </c>
      <c r="U6566" s="28"/>
      <c r="V6566" s="28">
        <v>203645000</v>
      </c>
      <c r="W6566" s="28">
        <v>420000000</v>
      </c>
      <c r="X6566" s="28">
        <v>212441000</v>
      </c>
      <c r="Y6566" s="28">
        <v>2073116000</v>
      </c>
      <c r="Z6566" s="28">
        <v>1368153000</v>
      </c>
      <c r="AA6566" s="28"/>
      <c r="AB6566" s="28">
        <v>3000</v>
      </c>
      <c r="AC6566" s="28">
        <v>474927000</v>
      </c>
      <c r="AD6566" s="28">
        <v>1378153000</v>
      </c>
      <c r="AE6566" s="28">
        <v>9453067000</v>
      </c>
      <c r="AF6566" s="28">
        <v>798641000</v>
      </c>
      <c r="AG6566" s="11"/>
    </row>
    <row r="6567">
      <c r="A6567" s="7" t="s">
        <v>8136</v>
      </c>
      <c r="B6567" s="5" t="s">
        <v>16081</v>
      </c>
      <c r="C6567" s="5" t="s">
        <v>23725</v>
      </c>
      <c r="D6567" s="5" t="str">
        <v>525907988116</v>
      </c>
      <c r="E6567" s="0" t="e">
        <f>+7 (485) 2609030
+7 (492) 2666552
+7 (495) 1200852
+7 (812) 3325277
+7 (831) 2020777
+7 (831) 2021570
+7 (831) 2021571
+7 (831) 2021572
+7 (831) 2021573
+7 (831) 2021574
+7 (831) 2021585
+7 (831) 2021591
+7 (83143) 51232
+7 (83147) 95194
+7 (8332) 255001</f>
        <v>#NAME?</v>
      </c>
      <c r="F6567" s="5" t="s">
        <v>44475</v>
      </c>
      <c r="G6567" s="5"/>
      <c r="H6567" s="26">
        <v>12</v>
      </c>
      <c r="I6567" s="5" t="s">
        <v>44476</v>
      </c>
      <c r="J6567" s="5" t="s">
        <v>25530</v>
      </c>
      <c r="K6567" s="5" t="s">
        <v>344</v>
      </c>
      <c r="L6567" s="5" t="s">
        <v>44477</v>
      </c>
      <c r="M6567" s="27"/>
      <c r="N6567" s="5" t="s">
        <v>59162</v>
      </c>
      <c r="O6567" s="5" t="str">
        <v>5260294545</v>
      </c>
      <c r="P6567" s="27">
        <v>105050</v>
      </c>
      <c r="Q6567" s="5" t="s">
        <v>49009</v>
      </c>
      <c r="R6567" s="5" t="s">
        <v>56548</v>
      </c>
      <c r="S6567" s="5" t="s">
        <v>49012</v>
      </c>
      <c r="T6567" s="28">
        <v>28349000</v>
      </c>
      <c r="U6567" s="28"/>
      <c r="V6567" s="28">
        <v>1546002000</v>
      </c>
      <c r="W6567" s="28">
        <v>120802000</v>
      </c>
      <c r="X6567" s="28">
        <v>22685000</v>
      </c>
      <c r="Y6567" s="28">
        <v>2518374000</v>
      </c>
      <c r="Z6567" s="28">
        <v>709770000</v>
      </c>
      <c r="AA6567" s="28"/>
      <c r="AB6567" s="28"/>
      <c r="AC6567" s="28">
        <v>1808594000</v>
      </c>
      <c r="AD6567" s="28">
        <v>709780000</v>
      </c>
      <c r="AE6567" s="28">
        <v>7375734000</v>
      </c>
      <c r="AF6567" s="28">
        <v>90831000</v>
      </c>
      <c r="AG6567" s="11"/>
    </row>
    <row r="6568">
      <c r="A6568" s="7" t="s">
        <v>8137</v>
      </c>
      <c r="B6568" s="5" t="s">
        <v>16082</v>
      </c>
      <c r="C6568" s="5" t="s">
        <v>23726</v>
      </c>
      <c r="D6568" s="5" t="str">
        <v>645113046920</v>
      </c>
      <c r="E6568" s="0" t="e">
        <f>+7 (8452) 382761
+7 (8452) 518855
+7 (8452) 630597
+7 (8452) 630598
+7 (8452) 963209
+7 (8452) 963210
+7 (8452) 963232
+7 (84535) 66415
+7 (917) 2084971</f>
        <v>#NAME?</v>
      </c>
      <c r="F6568" s="5" t="s">
        <v>44478</v>
      </c>
      <c r="G6568" s="5" t="s">
        <v>44479</v>
      </c>
      <c r="H6568" s="26">
        <v>9</v>
      </c>
      <c r="I6568" s="5" t="s">
        <v>44480</v>
      </c>
      <c r="J6568" s="5" t="s">
        <v>678</v>
      </c>
      <c r="K6568" s="5" t="s">
        <v>344</v>
      </c>
      <c r="L6568" s="5" t="s">
        <v>44481</v>
      </c>
      <c r="M6568" s="27"/>
      <c r="N6568" s="5"/>
      <c r="O6568" s="5" t="str">
        <v>6453134194</v>
      </c>
      <c r="P6568" s="27">
        <v>500000</v>
      </c>
      <c r="Q6568" s="5" t="s">
        <v>49059</v>
      </c>
      <c r="R6568" s="5"/>
      <c r="S6568" s="5" t="s">
        <v>49110</v>
      </c>
      <c r="T6568" s="28">
        <v>55064000</v>
      </c>
      <c r="U6568" s="28">
        <v>462000</v>
      </c>
      <c r="V6568" s="28">
        <v>659890000</v>
      </c>
      <c r="W6568" s="28">
        <v>155750000</v>
      </c>
      <c r="X6568" s="28">
        <v>1131590000</v>
      </c>
      <c r="Y6568" s="28">
        <v>2288508000</v>
      </c>
      <c r="Z6568" s="28">
        <v>243810000</v>
      </c>
      <c r="AA6568" s="28"/>
      <c r="AB6568" s="28"/>
      <c r="AC6568" s="28">
        <v>2032482000</v>
      </c>
      <c r="AD6568" s="28">
        <v>244310000</v>
      </c>
      <c r="AE6568" s="28">
        <v>4440860000</v>
      </c>
      <c r="AF6568" s="28">
        <v>17995000</v>
      </c>
      <c r="AG6568" s="11"/>
    </row>
    <row r="6569">
      <c r="A6569" s="7" t="s">
        <v>8138</v>
      </c>
      <c r="B6569" s="5" t="s">
        <v>16083</v>
      </c>
      <c r="C6569" s="5" t="s">
        <v>23727</v>
      </c>
      <c r="D6569" s="5" t="str">
        <v>290214856514</v>
      </c>
      <c r="E6569" s="0" t="e">
        <f>+7 (3843) 920373
+7 (3843) 920676
+7 (473) 2512700
+7 (485) 2744940
+7 (4862) 443031
+7 (3022) 217973
+7 (3412) 610701
+7 (345) 2261646
+7 (346) 2932637
+7 (346) 2932638
+7 (381) 2404747
+7 (3952) 706262
+7 (4232) 316879
+7 (4232) 340009
+7 (481) 2350973</f>
        <v>#NAME?</v>
      </c>
      <c r="F6569" s="5" t="s">
        <v>44482</v>
      </c>
      <c r="G6569" s="5"/>
      <c r="H6569" s="26">
        <v>15.5</v>
      </c>
      <c r="I6569" s="5"/>
      <c r="J6569" s="5" t="s">
        <v>37161</v>
      </c>
      <c r="K6569" s="5" t="s">
        <v>344</v>
      </c>
      <c r="L6569" s="5" t="s">
        <v>44483</v>
      </c>
      <c r="M6569" s="27">
        <v>2158476</v>
      </c>
      <c r="N6569" s="5" t="s">
        <v>59163</v>
      </c>
      <c r="O6569" s="5" t="str">
        <v>7723627621</v>
      </c>
      <c r="P6569" s="27">
        <v>100000</v>
      </c>
      <c r="Q6569" s="5" t="s">
        <v>59164</v>
      </c>
      <c r="R6569" s="5"/>
      <c r="S6569" s="5" t="s">
        <v>49173</v>
      </c>
      <c r="T6569" s="28">
        <v>590000</v>
      </c>
      <c r="U6569" s="28"/>
      <c r="V6569" s="28">
        <v>576440000</v>
      </c>
      <c r="W6569" s="28">
        <v>656000</v>
      </c>
      <c r="X6569" s="28">
        <v>81738000</v>
      </c>
      <c r="Y6569" s="28">
        <v>1074618000</v>
      </c>
      <c r="Z6569" s="28">
        <v>596809000</v>
      </c>
      <c r="AA6569" s="28">
        <v>153150000</v>
      </c>
      <c r="AB6569" s="28">
        <v>1118000</v>
      </c>
      <c r="AC6569" s="28">
        <v>324451000</v>
      </c>
      <c r="AD6569" s="28">
        <v>596914000</v>
      </c>
      <c r="AE6569" s="28">
        <v>4689343000</v>
      </c>
      <c r="AF6569" s="28">
        <v>169439000</v>
      </c>
      <c r="AG6569" s="11"/>
    </row>
    <row r="6570">
      <c r="A6570" s="7" t="s">
        <v>8139</v>
      </c>
      <c r="B6570" s="5" t="s">
        <v>16084</v>
      </c>
      <c r="C6570" s="5" t="s">
        <v>23728</v>
      </c>
      <c r="D6570" s="5" t="str">
        <v>220416228645</v>
      </c>
      <c r="E6570" s="0" t="e">
        <f>+7 (906) 3937574
+7 (909) 9397574
+7 (960) 9397574
+7 (962) 5820405
+7 (962) 5820504
+7 (962) 9397574
+7 (963) 5125502
+7 (906) 9397574
+7 (3843) 993223
+7 (388) 2220626
+7 (388) 2245054</f>
        <v>#NAME?</v>
      </c>
      <c r="F6570" s="5" t="s">
        <v>44484</v>
      </c>
      <c r="G6570" s="5"/>
      <c r="H6570" s="26">
        <v>12</v>
      </c>
      <c r="I6570" s="5" t="s">
        <v>44485</v>
      </c>
      <c r="J6570" s="5" t="s">
        <v>373</v>
      </c>
      <c r="K6570" s="5" t="s">
        <v>344</v>
      </c>
      <c r="L6570" s="5" t="s">
        <v>38702</v>
      </c>
      <c r="M6570" s="27">
        <v>4599518</v>
      </c>
      <c r="N6570" s="5" t="s">
        <v>59165</v>
      </c>
      <c r="O6570" s="5" t="str">
        <v>0411155240</v>
      </c>
      <c r="P6570" s="27">
        <v>1000000</v>
      </c>
      <c r="Q6570" s="5" t="s">
        <v>59166</v>
      </c>
      <c r="R6570" s="5"/>
      <c r="S6570" s="5" t="s">
        <v>59167</v>
      </c>
      <c r="T6570" s="28">
        <v>167216000</v>
      </c>
      <c r="U6570" s="28">
        <v>67348000</v>
      </c>
      <c r="V6570" s="28">
        <v>1704726000</v>
      </c>
      <c r="W6570" s="28"/>
      <c r="X6570" s="28">
        <v>18919000</v>
      </c>
      <c r="Y6570" s="28">
        <v>2645101000</v>
      </c>
      <c r="Z6570" s="28">
        <v>555017000</v>
      </c>
      <c r="AA6570" s="28"/>
      <c r="AB6570" s="28">
        <v>995440000</v>
      </c>
      <c r="AC6570" s="28">
        <v>1996098000</v>
      </c>
      <c r="AD6570" s="28">
        <v>555027000</v>
      </c>
      <c r="AE6570" s="28">
        <v>12128194000</v>
      </c>
      <c r="AF6570" s="28">
        <v>114531000</v>
      </c>
      <c r="AG6570" s="11"/>
    </row>
    <row r="6571">
      <c r="A6571" s="7" t="s">
        <v>8140</v>
      </c>
      <c r="B6571" s="5" t="s">
        <v>16085</v>
      </c>
      <c r="C6571" s="5" t="s">
        <v>23729</v>
      </c>
      <c r="D6571" s="5" t="str">
        <v>502908959705</v>
      </c>
      <c r="E6571" s="0" t="e">
        <f>+7 (953) 7297662
+7 (475) 5443682
+7 (847) 5443682</f>
        <v>#NAME?</v>
      </c>
      <c r="F6571" s="5" t="s">
        <v>44486</v>
      </c>
      <c r="G6571" s="5" t="s">
        <v>44487</v>
      </c>
      <c r="H6571" s="26">
        <v>13</v>
      </c>
      <c r="I6571" s="5" t="s">
        <v>44488</v>
      </c>
      <c r="J6571" s="5" t="s">
        <v>373</v>
      </c>
      <c r="K6571" s="5" t="s">
        <v>380</v>
      </c>
      <c r="L6571" s="5" t="s">
        <v>44489</v>
      </c>
      <c r="M6571" s="27">
        <v>851391014</v>
      </c>
      <c r="N6571" s="5" t="s">
        <v>59168</v>
      </c>
      <c r="O6571" s="5" t="str">
        <v>6820030050</v>
      </c>
      <c r="P6571" s="27">
        <v>90010000</v>
      </c>
      <c r="Q6571" s="5" t="s">
        <v>59169</v>
      </c>
      <c r="R6571" s="5" t="s">
        <v>59170</v>
      </c>
      <c r="S6571" s="5" t="s">
        <v>59171</v>
      </c>
      <c r="T6571" s="28">
        <v>42474000</v>
      </c>
      <c r="U6571" s="28"/>
      <c r="V6571" s="28">
        <v>2723243000</v>
      </c>
      <c r="W6571" s="28"/>
      <c r="X6571" s="28">
        <v>5613000</v>
      </c>
      <c r="Y6571" s="28">
        <v>3427842000</v>
      </c>
      <c r="Z6571" s="28">
        <v>296320000</v>
      </c>
      <c r="AA6571" s="28">
        <v>519562000</v>
      </c>
      <c r="AB6571" s="28">
        <v>736363000</v>
      </c>
      <c r="AC6571" s="28">
        <v>2521949000</v>
      </c>
      <c r="AD6571" s="28">
        <v>386330000</v>
      </c>
      <c r="AE6571" s="28">
        <v>4785066000</v>
      </c>
      <c r="AF6571" s="28">
        <v>30777000</v>
      </c>
      <c r="AG6571" s="11"/>
    </row>
    <row r="6572">
      <c r="A6572" s="7" t="s">
        <v>8141</v>
      </c>
      <c r="B6572" s="5" t="s">
        <v>16086</v>
      </c>
      <c r="C6572" s="5" t="s">
        <v>23730</v>
      </c>
      <c r="D6572" s="5" t="str">
        <v>772074102727</v>
      </c>
      <c r="F6572" s="5"/>
      <c r="G6572" s="5"/>
      <c r="H6572" s="26">
        <v>9.5</v>
      </c>
      <c r="I6572" s="5" t="s">
        <v>44490</v>
      </c>
      <c r="J6572" s="5" t="s">
        <v>27497</v>
      </c>
      <c r="K6572" s="5" t="s">
        <v>344</v>
      </c>
      <c r="L6572" s="5" t="s">
        <v>44491</v>
      </c>
      <c r="M6572" s="27"/>
      <c r="N6572" s="5" t="s">
        <v>51979</v>
      </c>
      <c r="O6572" s="5" t="str">
        <v>7708792476</v>
      </c>
      <c r="P6572" s="27">
        <v>10000</v>
      </c>
      <c r="Q6572" s="5"/>
      <c r="R6572" s="5"/>
      <c r="S6572" s="5" t="s">
        <v>49110</v>
      </c>
      <c r="T6572" s="28">
        <v>5738000</v>
      </c>
      <c r="U6572" s="28"/>
      <c r="V6572" s="28">
        <v>398555000</v>
      </c>
      <c r="W6572" s="28"/>
      <c r="X6572" s="28">
        <v>209000</v>
      </c>
      <c r="Y6572" s="28">
        <v>431554000</v>
      </c>
      <c r="Z6572" s="28">
        <v>194396000</v>
      </c>
      <c r="AA6572" s="28"/>
      <c r="AB6572" s="28">
        <v>133871000</v>
      </c>
      <c r="AC6572" s="28">
        <v>237148000</v>
      </c>
      <c r="AD6572" s="28">
        <v>194406000</v>
      </c>
      <c r="AE6572" s="28">
        <v>5967952000</v>
      </c>
      <c r="AF6572" s="28">
        <v>281455000</v>
      </c>
      <c r="AG6572" s="11"/>
    </row>
    <row r="6573">
      <c r="A6573" s="7" t="s">
        <v>8142</v>
      </c>
      <c r="B6573" s="5" t="s">
        <v>16087</v>
      </c>
      <c r="C6573" s="5" t="s">
        <v>23731</v>
      </c>
      <c r="D6573" s="5" t="str">
        <v>614314836029</v>
      </c>
      <c r="E6573" s="0" t="e">
        <f>+7 (475) 2494702
+7 (495) 1207549
+7 (800) 3337149
+7 (8639) 221324
+7 (86392) 95125
+7 (86392) 95255
+7 (86392) 95423</f>
        <v>#NAME?</v>
      </c>
      <c r="F6573" s="5" t="s">
        <v>44492</v>
      </c>
      <c r="G6573" s="5" t="s">
        <v>44493</v>
      </c>
      <c r="H6573" s="26">
        <v>17</v>
      </c>
      <c r="I6573" s="5" t="s">
        <v>44494</v>
      </c>
      <c r="J6573" s="5" t="s">
        <v>44495</v>
      </c>
      <c r="K6573" s="5" t="s">
        <v>344</v>
      </c>
      <c r="L6573" s="5" t="s">
        <v>38637</v>
      </c>
      <c r="M6573" s="27"/>
      <c r="N6573" s="5"/>
      <c r="O6573" s="5" t="str">
        <v>6143060464</v>
      </c>
      <c r="P6573" s="27">
        <v>10000</v>
      </c>
      <c r="Q6573" s="5"/>
      <c r="R6573" s="5"/>
      <c r="S6573" s="5" t="s">
        <v>49029</v>
      </c>
      <c r="T6573" s="28">
        <v>248797000</v>
      </c>
      <c r="U6573" s="28">
        <v>19962000</v>
      </c>
      <c r="V6573" s="28">
        <v>291641000</v>
      </c>
      <c r="W6573" s="28">
        <v>68588000</v>
      </c>
      <c r="X6573" s="28">
        <v>96122000</v>
      </c>
      <c r="Y6573" s="28">
        <v>1179547000</v>
      </c>
      <c r="Z6573" s="28">
        <v>926089000</v>
      </c>
      <c r="AA6573" s="28"/>
      <c r="AB6573" s="28"/>
      <c r="AC6573" s="28">
        <v>253448000</v>
      </c>
      <c r="AD6573" s="28">
        <v>926099000</v>
      </c>
      <c r="AE6573" s="28">
        <v>3052352000</v>
      </c>
      <c r="AF6573" s="28">
        <v>120896000</v>
      </c>
      <c r="AG6573" s="11"/>
    </row>
    <row r="6574">
      <c r="A6574" s="7" t="s">
        <v>8143</v>
      </c>
      <c r="B6574" s="5" t="s">
        <v>16088</v>
      </c>
      <c r="C6574" s="5" t="s">
        <v>23732</v>
      </c>
      <c r="D6574" s="5" t="str">
        <v>770470666392</v>
      </c>
      <c r="E6574" s="0" t="e">
        <f>+7 (495) 7255680</f>
        <v>#NAME?</v>
      </c>
      <c r="F6574" s="5" t="s">
        <v>44496</v>
      </c>
      <c r="G6574" s="5"/>
      <c r="H6574" s="26">
        <v>4.5</v>
      </c>
      <c r="I6574" s="5" t="s">
        <v>44497</v>
      </c>
      <c r="J6574" s="5" t="s">
        <v>25337</v>
      </c>
      <c r="K6574" s="5" t="s">
        <v>380</v>
      </c>
      <c r="L6574" s="5" t="s">
        <v>44498</v>
      </c>
      <c r="M6574" s="27"/>
      <c r="N6574" s="5" t="s">
        <v>59172</v>
      </c>
      <c r="O6574" s="5" t="str">
        <v>7725495000</v>
      </c>
      <c r="P6574" s="27">
        <v>10000</v>
      </c>
      <c r="Q6574" s="5" t="s">
        <v>59173</v>
      </c>
      <c r="R6574" s="5"/>
      <c r="S6574" s="5" t="s">
        <v>49012</v>
      </c>
      <c r="T6574" s="28">
        <v>61432000</v>
      </c>
      <c r="U6574" s="28">
        <v>2350728000</v>
      </c>
      <c r="V6574" s="28">
        <v>1831697000</v>
      </c>
      <c r="W6574" s="28"/>
      <c r="X6574" s="28">
        <v>240864000</v>
      </c>
      <c r="Y6574" s="28">
        <v>9723549000</v>
      </c>
      <c r="Z6574" s="28">
        <v>-1649551000</v>
      </c>
      <c r="AA6574" s="28"/>
      <c r="AB6574" s="28"/>
      <c r="AC6574" s="28">
        <v>11337882000</v>
      </c>
      <c r="AD6574" s="28">
        <v>-1649541000</v>
      </c>
      <c r="AE6574" s="28">
        <v>46275309000</v>
      </c>
      <c r="AF6574" s="28">
        <v>-2717138000</v>
      </c>
      <c r="AG6574" s="11"/>
    </row>
    <row r="6575">
      <c r="A6575" s="7" t="s">
        <v>8144</v>
      </c>
      <c r="B6575" s="5" t="s">
        <v>16089</v>
      </c>
      <c r="C6575" s="5" t="s">
        <v>23733</v>
      </c>
      <c r="D6575" s="5" t="str">
        <v>910211222003</v>
      </c>
      <c r="E6575" s="0" t="e">
        <f>+7 (3652) 548171
+7 (978) 8324848
+7 (978) 8237923</f>
        <v>#NAME?</v>
      </c>
      <c r="F6575" s="5" t="s">
        <v>44499</v>
      </c>
      <c r="G6575" s="5"/>
      <c r="H6575" s="26">
        <v>9</v>
      </c>
      <c r="I6575" s="5" t="s">
        <v>44500</v>
      </c>
      <c r="J6575" s="5" t="s">
        <v>27115</v>
      </c>
      <c r="K6575" s="5" t="s">
        <v>355</v>
      </c>
      <c r="L6575" s="5"/>
      <c r="M6575" s="27">
        <v>2025717</v>
      </c>
      <c r="N6575" s="5"/>
      <c r="O6575" s="5" t="str">
        <v>9102003448</v>
      </c>
      <c r="P6575" s="27">
        <v>1000000</v>
      </c>
      <c r="Q6575" s="5" t="s">
        <v>49434</v>
      </c>
      <c r="R6575" s="5"/>
      <c r="S6575" s="5" t="s">
        <v>59174</v>
      </c>
      <c r="T6575" s="28">
        <v>114010000</v>
      </c>
      <c r="U6575" s="28"/>
      <c r="V6575" s="28">
        <v>239760000</v>
      </c>
      <c r="W6575" s="28">
        <v>192875000</v>
      </c>
      <c r="X6575" s="28">
        <v>64457000</v>
      </c>
      <c r="Y6575" s="28">
        <v>1098135000</v>
      </c>
      <c r="Z6575" s="28">
        <v>-33526000</v>
      </c>
      <c r="AA6575" s="28"/>
      <c r="AB6575" s="28">
        <v>30513000</v>
      </c>
      <c r="AC6575" s="28">
        <v>1103091000</v>
      </c>
      <c r="AD6575" s="28">
        <v>-32526000</v>
      </c>
      <c r="AE6575" s="28">
        <v>9742508000</v>
      </c>
      <c r="AF6575" s="28">
        <v>101256000</v>
      </c>
      <c r="AG6575" s="11"/>
    </row>
    <row r="6576">
      <c r="A6576" s="7" t="s">
        <v>8145</v>
      </c>
      <c r="B6576" s="5" t="s">
        <v>16090</v>
      </c>
      <c r="C6576" s="5" t="s">
        <v>23734</v>
      </c>
      <c r="D6576" s="5" t="str">
        <v>860800835873</v>
      </c>
      <c r="E6576" s="0" t="e">
        <f>+7 (495) 2492411</f>
        <v>#NAME?</v>
      </c>
      <c r="F6576" s="5" t="s">
        <v>44501</v>
      </c>
      <c r="G6576" s="5" t="s">
        <v>44502</v>
      </c>
      <c r="H6576" s="26">
        <v>8</v>
      </c>
      <c r="I6576" s="5" t="s">
        <v>44503</v>
      </c>
      <c r="J6576" s="5" t="s">
        <v>25612</v>
      </c>
      <c r="K6576" s="5" t="s">
        <v>344</v>
      </c>
      <c r="L6576" s="5" t="s">
        <v>44504</v>
      </c>
      <c r="M6576" s="27"/>
      <c r="N6576" s="5"/>
      <c r="O6576" s="5" t="str">
        <v>7724311620</v>
      </c>
      <c r="P6576" s="27">
        <v>1000000</v>
      </c>
      <c r="Q6576" s="5" t="s">
        <v>49009</v>
      </c>
      <c r="R6576" s="5"/>
      <c r="S6576" s="5" t="s">
        <v>49010</v>
      </c>
      <c r="T6576" s="28">
        <v>52993000</v>
      </c>
      <c r="U6576" s="28"/>
      <c r="V6576" s="28">
        <v>1335205000</v>
      </c>
      <c r="W6576" s="28">
        <v>1880000000</v>
      </c>
      <c r="X6576" s="28">
        <v>413150000</v>
      </c>
      <c r="Y6576" s="28">
        <v>5077446000</v>
      </c>
      <c r="Z6576" s="28">
        <v>1232406000</v>
      </c>
      <c r="AA6576" s="28"/>
      <c r="AB6576" s="28">
        <v>130000000</v>
      </c>
      <c r="AC6576" s="28">
        <v>3843986000</v>
      </c>
      <c r="AD6576" s="28">
        <v>1233406000</v>
      </c>
      <c r="AE6576" s="28">
        <v>5331647000</v>
      </c>
      <c r="AF6576" s="28">
        <v>1403475000</v>
      </c>
      <c r="AG6576" s="11"/>
    </row>
    <row r="6577">
      <c r="A6577" s="7" t="s">
        <v>8146</v>
      </c>
      <c r="B6577" s="5" t="s">
        <v>16091</v>
      </c>
      <c r="C6577" s="5" t="s">
        <v>19751</v>
      </c>
      <c r="D6577" s="5" t="str">
        <v>773501797072</v>
      </c>
      <c r="E6577" s="0" t="e">
        <f>+7 (495) 9871000</f>
        <v>#NAME?</v>
      </c>
      <c r="F6577" s="5" t="s">
        <v>44505</v>
      </c>
      <c r="G6577" s="5"/>
      <c r="H6577" s="26">
        <v>9.5</v>
      </c>
      <c r="I6577" s="5" t="s">
        <v>44506</v>
      </c>
      <c r="J6577" s="5" t="s">
        <v>26846</v>
      </c>
      <c r="K6577" s="5" t="s">
        <v>344</v>
      </c>
      <c r="L6577" s="5" t="s">
        <v>44507</v>
      </c>
      <c r="M6577" s="27"/>
      <c r="N6577" s="5"/>
      <c r="O6577" s="5" t="str">
        <v>7726734011</v>
      </c>
      <c r="P6577" s="27">
        <v>100000</v>
      </c>
      <c r="Q6577" s="5" t="s">
        <v>49021</v>
      </c>
      <c r="R6577" s="5"/>
      <c r="S6577" s="5" t="s">
        <v>50131</v>
      </c>
      <c r="T6577" s="28">
        <v>148804000</v>
      </c>
      <c r="U6577" s="28">
        <v>257447000</v>
      </c>
      <c r="V6577" s="28">
        <v>1075546000</v>
      </c>
      <c r="W6577" s="28">
        <v>234550000</v>
      </c>
      <c r="X6577" s="28">
        <v>10506000</v>
      </c>
      <c r="Y6577" s="28">
        <v>3433787000</v>
      </c>
      <c r="Z6577" s="28">
        <v>2704924000</v>
      </c>
      <c r="AA6577" s="28"/>
      <c r="AB6577" s="28">
        <v>227427000</v>
      </c>
      <c r="AC6577" s="28">
        <v>724251000</v>
      </c>
      <c r="AD6577" s="28">
        <v>2705024000</v>
      </c>
      <c r="AE6577" s="28">
        <v>10318522000</v>
      </c>
      <c r="AF6577" s="28">
        <v>729017000</v>
      </c>
      <c r="AG6577" s="11"/>
    </row>
    <row r="6578">
      <c r="A6578" s="7" t="s">
        <v>8147</v>
      </c>
      <c r="B6578" s="5" t="s">
        <v>16092</v>
      </c>
      <c r="C6578" s="5" t="s">
        <v>23735</v>
      </c>
      <c r="D6578" s="5" t="str">
        <v>434560571702</v>
      </c>
      <c r="E6578" s="0" t="e">
        <f>+7 (495) 9332622
+7 (495) 9332623
+7 (495) 9332624
+7 (495) 9333543
+7 (495) 9333544
+7 (800) 6001020
+7 (383) 3620878
+7 (391) 2130013
+7 (812) 7186461
+7 (8332) 548701</f>
        <v>#NAME?</v>
      </c>
      <c r="F6578" s="5" t="s">
        <v>44508</v>
      </c>
      <c r="G6578" s="5" t="s">
        <v>44509</v>
      </c>
      <c r="H6578" s="26">
        <v>17.5</v>
      </c>
      <c r="I6578" s="5" t="s">
        <v>44510</v>
      </c>
      <c r="J6578" s="5" t="s">
        <v>31043</v>
      </c>
      <c r="K6578" s="5" t="s">
        <v>344</v>
      </c>
      <c r="L6578" s="5" t="s">
        <v>44511</v>
      </c>
      <c r="M6578" s="27">
        <v>3875229</v>
      </c>
      <c r="N6578" s="5" t="s">
        <v>59175</v>
      </c>
      <c r="O6578" s="5" t="str">
        <v>7731530768</v>
      </c>
      <c r="P6578" s="27">
        <v>5000000</v>
      </c>
      <c r="Q6578" s="5" t="s">
        <v>59176</v>
      </c>
      <c r="R6578" s="5"/>
      <c r="S6578" s="5" t="s">
        <v>59177</v>
      </c>
      <c r="T6578" s="28">
        <v>111808000</v>
      </c>
      <c r="U6578" s="28">
        <v>493000</v>
      </c>
      <c r="V6578" s="28">
        <v>2628914000</v>
      </c>
      <c r="W6578" s="28">
        <v>1000000</v>
      </c>
      <c r="X6578" s="28">
        <v>1195789000</v>
      </c>
      <c r="Y6578" s="28">
        <v>4468686000</v>
      </c>
      <c r="Z6578" s="28">
        <v>1260455000</v>
      </c>
      <c r="AA6578" s="28"/>
      <c r="AB6578" s="28"/>
      <c r="AC6578" s="28">
        <v>3104801000</v>
      </c>
      <c r="AD6578" s="28">
        <v>1265455000</v>
      </c>
      <c r="AE6578" s="28">
        <v>38229542000</v>
      </c>
      <c r="AF6578" s="28">
        <v>386560000</v>
      </c>
      <c r="AG6578" s="11"/>
    </row>
    <row r="6579">
      <c r="A6579" s="7" t="s">
        <v>8148</v>
      </c>
      <c r="B6579" s="5" t="s">
        <v>16093</v>
      </c>
      <c r="C6579" s="5" t="s">
        <v>23736</v>
      </c>
      <c r="D6579" s="5" t="str">
        <v>662504340244</v>
      </c>
      <c r="E6579" s="0" t="e">
        <f>+7 (912) 485616</f>
        <v>#NAME?</v>
      </c>
      <c r="F6579" s="5"/>
      <c r="G6579" s="5"/>
      <c r="H6579" s="26">
        <v>5.5</v>
      </c>
      <c r="I6579" s="5" t="s">
        <v>44512</v>
      </c>
      <c r="J6579" s="5" t="s">
        <v>25559</v>
      </c>
      <c r="K6579" s="5" t="s">
        <v>344</v>
      </c>
      <c r="L6579" s="5" t="s">
        <v>44513</v>
      </c>
      <c r="M6579" s="27"/>
      <c r="N6579" s="5"/>
      <c r="O6579" s="5" t="str">
        <v>6686096819</v>
      </c>
      <c r="P6579" s="27">
        <v>1000000</v>
      </c>
      <c r="Q6579" s="5" t="s">
        <v>49009</v>
      </c>
      <c r="R6579" s="5"/>
      <c r="S6579" s="5" t="s">
        <v>49010</v>
      </c>
      <c r="T6579" s="28"/>
      <c r="U6579" s="28"/>
      <c r="V6579" s="28">
        <v>74128000</v>
      </c>
      <c r="W6579" s="28"/>
      <c r="X6579" s="28">
        <v>2001000</v>
      </c>
      <c r="Y6579" s="28">
        <v>522945000</v>
      </c>
      <c r="Z6579" s="28">
        <v>218290000</v>
      </c>
      <c r="AA6579" s="28"/>
      <c r="AB6579" s="28"/>
      <c r="AC6579" s="28">
        <v>303655000</v>
      </c>
      <c r="AD6579" s="28">
        <v>219290000</v>
      </c>
      <c r="AE6579" s="28">
        <v>4998578000</v>
      </c>
      <c r="AF6579" s="28">
        <v>25866000</v>
      </c>
      <c r="AG6579" s="11"/>
    </row>
    <row r="6580">
      <c r="A6580" s="7" t="s">
        <v>8149</v>
      </c>
      <c r="B6580" s="5" t="s">
        <v>16094</v>
      </c>
      <c r="C6580" s="5" t="s">
        <v>23737</v>
      </c>
      <c r="D6580" s="5" t="str">
        <v>666400607123</v>
      </c>
      <c r="E6580" s="0" t="e">
        <f>+7 (343) 3547081
+7 (343) 3861010
+7 (922) 1810333</f>
        <v>#NAME?</v>
      </c>
      <c r="F6580" s="5" t="s">
        <v>44514</v>
      </c>
      <c r="G6580" s="5"/>
      <c r="H6580" s="26">
        <v>8</v>
      </c>
      <c r="I6580" s="5" t="s">
        <v>44515</v>
      </c>
      <c r="J6580" s="5" t="s">
        <v>693</v>
      </c>
      <c r="K6580" s="5" t="s">
        <v>344</v>
      </c>
      <c r="L6580" s="5" t="s">
        <v>44516</v>
      </c>
      <c r="M6580" s="27"/>
      <c r="N6580" s="5" t="s">
        <v>59178</v>
      </c>
      <c r="O6580" s="5" t="str">
        <v>6671469426</v>
      </c>
      <c r="P6580" s="27">
        <v>3000000</v>
      </c>
      <c r="Q6580" s="5" t="s">
        <v>59179</v>
      </c>
      <c r="R6580" s="5"/>
      <c r="S6580" s="5" t="s">
        <v>59180</v>
      </c>
      <c r="T6580" s="28">
        <v>730027000</v>
      </c>
      <c r="U6580" s="28">
        <v>325237000</v>
      </c>
      <c r="V6580" s="28">
        <v>2972291000</v>
      </c>
      <c r="W6580" s="28">
        <v>2520860000</v>
      </c>
      <c r="X6580" s="28">
        <v>25021000</v>
      </c>
      <c r="Y6580" s="28">
        <v>6806454000</v>
      </c>
      <c r="Z6580" s="28">
        <v>2067244000</v>
      </c>
      <c r="AA6580" s="28">
        <v>745638000</v>
      </c>
      <c r="AB6580" s="28">
        <v>1009591000</v>
      </c>
      <c r="AC6580" s="28">
        <v>3335703000</v>
      </c>
      <c r="AD6580" s="28">
        <v>2076086000</v>
      </c>
      <c r="AE6580" s="28">
        <v>19415009000</v>
      </c>
      <c r="AF6580" s="28">
        <v>1241279000</v>
      </c>
      <c r="AG6580" s="11"/>
    </row>
    <row r="6581">
      <c r="A6581" s="7" t="s">
        <v>8150</v>
      </c>
      <c r="B6581" s="5" t="s">
        <v>16095</v>
      </c>
      <c r="C6581" s="5" t="s">
        <v>23738</v>
      </c>
      <c r="D6581" s="5" t="str">
        <v>183200995680</v>
      </c>
      <c r="E6581" s="0" t="e">
        <f>+7 (3412) 998458
+7 (3412) 998568</f>
        <v>#NAME?</v>
      </c>
      <c r="F6581" s="5" t="s">
        <v>44517</v>
      </c>
      <c r="G6581" s="5" t="s">
        <v>44518</v>
      </c>
      <c r="H6581" s="26">
        <v>4.5</v>
      </c>
      <c r="I6581" s="5" t="s">
        <v>44519</v>
      </c>
      <c r="J6581" s="5" t="s">
        <v>641</v>
      </c>
      <c r="K6581" s="5" t="s">
        <v>344</v>
      </c>
      <c r="L6581" s="5" t="s">
        <v>44520</v>
      </c>
      <c r="M6581" s="27"/>
      <c r="N6581" s="5" t="s">
        <v>59181</v>
      </c>
      <c r="O6581" s="5" t="str">
        <v>7814740712</v>
      </c>
      <c r="P6581" s="27">
        <v>250000</v>
      </c>
      <c r="Q6581" s="5" t="s">
        <v>59182</v>
      </c>
      <c r="R6581" s="5"/>
      <c r="S6581" s="5" t="s">
        <v>50936</v>
      </c>
      <c r="T6581" s="28">
        <v>17444000</v>
      </c>
      <c r="U6581" s="28"/>
      <c r="V6581" s="28">
        <v>1555295000</v>
      </c>
      <c r="W6581" s="28">
        <v>239802000</v>
      </c>
      <c r="X6581" s="28">
        <v>139360000</v>
      </c>
      <c r="Y6581" s="28">
        <v>2649233000</v>
      </c>
      <c r="Z6581" s="28">
        <v>451529000</v>
      </c>
      <c r="AA6581" s="28">
        <v>397593000</v>
      </c>
      <c r="AB6581" s="28"/>
      <c r="AC6581" s="28">
        <v>1799861000</v>
      </c>
      <c r="AD6581" s="28">
        <v>451779000</v>
      </c>
      <c r="AE6581" s="28">
        <v>3661724000</v>
      </c>
      <c r="AF6581" s="28">
        <v>226051000</v>
      </c>
      <c r="AG6581" s="11"/>
    </row>
    <row r="6582">
      <c r="A6582" s="7" t="s">
        <v>8151</v>
      </c>
      <c r="B6582" s="5" t="s">
        <v>16096</v>
      </c>
      <c r="C6582" s="5" t="s">
        <v>23739</v>
      </c>
      <c r="D6582" s="5" t="str">
        <v>502201421616</v>
      </c>
      <c r="E6582" s="0" t="e">
        <f>+7 (499) 5196451
+7 (916) 5362184</f>
        <v>#NAME?</v>
      </c>
      <c r="F6582" s="5"/>
      <c r="G6582" s="5"/>
      <c r="H6582" s="26">
        <v>8</v>
      </c>
      <c r="I6582" s="5" t="s">
        <v>44521</v>
      </c>
      <c r="J6582" s="5" t="s">
        <v>26581</v>
      </c>
      <c r="K6582" s="5" t="s">
        <v>344</v>
      </c>
      <c r="L6582" s="5" t="s">
        <v>43328</v>
      </c>
      <c r="M6582" s="27"/>
      <c r="N6582" s="5" t="s">
        <v>54549</v>
      </c>
      <c r="O6582" s="5" t="str">
        <v>7724319154</v>
      </c>
      <c r="P6582" s="27">
        <v>10000</v>
      </c>
      <c r="Q6582" s="5" t="s">
        <v>49009</v>
      </c>
      <c r="R6582" s="5"/>
      <c r="S6582" s="5" t="s">
        <v>49010</v>
      </c>
      <c r="T6582" s="28">
        <v>193337000</v>
      </c>
      <c r="U6582" s="28"/>
      <c r="V6582" s="28">
        <v>773687000</v>
      </c>
      <c r="W6582" s="28"/>
      <c r="X6582" s="28">
        <v>57976000</v>
      </c>
      <c r="Y6582" s="28">
        <v>1156291000</v>
      </c>
      <c r="Z6582" s="28">
        <v>235879000</v>
      </c>
      <c r="AA6582" s="28"/>
      <c r="AB6582" s="28"/>
      <c r="AC6582" s="28">
        <v>877448000</v>
      </c>
      <c r="AD6582" s="28">
        <v>235889000</v>
      </c>
      <c r="AE6582" s="28">
        <v>9604889000</v>
      </c>
      <c r="AF6582" s="28">
        <v>166053000</v>
      </c>
      <c r="AG6582" s="11"/>
    </row>
    <row r="6583">
      <c r="A6583" s="7" t="s">
        <v>8152</v>
      </c>
      <c r="B6583" s="5" t="s">
        <v>16097</v>
      </c>
      <c r="C6583" s="5" t="s">
        <v>23740</v>
      </c>
      <c r="D6583" s="5" t="str">
        <v>772347865569</v>
      </c>
      <c r="E6583" s="0" t="e">
        <f>+7 (81733) 31942
+7 (81733) 32203
+7 (911) 5107117</f>
        <v>#NAME?</v>
      </c>
      <c r="F6583" s="5" t="s">
        <v>44522</v>
      </c>
      <c r="G6583" s="5"/>
      <c r="H6583" s="26">
        <v>10.5</v>
      </c>
      <c r="I6583" s="5" t="s">
        <v>44523</v>
      </c>
      <c r="J6583" s="5" t="s">
        <v>26828</v>
      </c>
      <c r="K6583" s="5" t="s">
        <v>344</v>
      </c>
      <c r="L6583" s="5" t="s">
        <v>44524</v>
      </c>
      <c r="M6583" s="27"/>
      <c r="N6583" s="5"/>
      <c r="O6583" s="5" t="str">
        <v>3525280917</v>
      </c>
      <c r="P6583" s="27">
        <v>5011000</v>
      </c>
      <c r="Q6583" s="5" t="s">
        <v>49059</v>
      </c>
      <c r="R6583" s="5"/>
      <c r="S6583" s="5" t="s">
        <v>49110</v>
      </c>
      <c r="T6583" s="28">
        <v>380580000</v>
      </c>
      <c r="U6583" s="28">
        <v>455030000</v>
      </c>
      <c r="V6583" s="28">
        <v>2443811000</v>
      </c>
      <c r="W6583" s="28">
        <v>1021250000</v>
      </c>
      <c r="X6583" s="28">
        <v>341611000</v>
      </c>
      <c r="Y6583" s="28">
        <v>5263247000</v>
      </c>
      <c r="Z6583" s="28">
        <v>761950000</v>
      </c>
      <c r="AA6583" s="28"/>
      <c r="AB6583" s="28">
        <v>163397000</v>
      </c>
      <c r="AC6583" s="28">
        <v>3697009000</v>
      </c>
      <c r="AD6583" s="28">
        <v>766961000</v>
      </c>
      <c r="AE6583" s="28">
        <v>19948891000</v>
      </c>
      <c r="AF6583" s="28">
        <v>453789000</v>
      </c>
      <c r="AG6583" s="11"/>
    </row>
    <row r="6584">
      <c r="A6584" s="7" t="s">
        <v>8153</v>
      </c>
      <c r="B6584" s="5" t="s">
        <v>16098</v>
      </c>
      <c r="C6584" s="5" t="s">
        <v>23741</v>
      </c>
      <c r="D6584" s="5" t="str">
        <v>910908864077</v>
      </c>
      <c r="E6584" s="0" t="e">
        <f>+7 (978) 7724527</f>
        <v>#NAME?</v>
      </c>
      <c r="F6584" s="5" t="s">
        <v>44525</v>
      </c>
      <c r="G6584" s="5"/>
      <c r="H6584" s="26">
        <v>6</v>
      </c>
      <c r="I6584" s="5" t="s">
        <v>44526</v>
      </c>
      <c r="J6584" s="5" t="s">
        <v>25837</v>
      </c>
      <c r="K6584" s="5" t="s">
        <v>380</v>
      </c>
      <c r="L6584" s="5" t="s">
        <v>1096</v>
      </c>
      <c r="M6584" s="27">
        <v>15832463</v>
      </c>
      <c r="N6584" s="5" t="s">
        <v>57412</v>
      </c>
      <c r="O6584" s="5" t="str">
        <v>7704388784</v>
      </c>
      <c r="P6584" s="27">
        <v>100000</v>
      </c>
      <c r="Q6584" s="5"/>
      <c r="R6584" s="5"/>
      <c r="S6584" s="5" t="s">
        <v>49029</v>
      </c>
      <c r="T6584" s="28">
        <v>119000</v>
      </c>
      <c r="U6584" s="28"/>
      <c r="V6584" s="28">
        <v>5272386000</v>
      </c>
      <c r="W6584" s="28">
        <v>23069000</v>
      </c>
      <c r="X6584" s="28">
        <v>489000</v>
      </c>
      <c r="Y6584" s="28">
        <v>6128917000</v>
      </c>
      <c r="Z6584" s="28">
        <v>146694000</v>
      </c>
      <c r="AA6584" s="28">
        <v>450961000</v>
      </c>
      <c r="AB6584" s="28">
        <v>270164000</v>
      </c>
      <c r="AC6584" s="28">
        <v>5531162000</v>
      </c>
      <c r="AD6584" s="28">
        <v>146794000</v>
      </c>
      <c r="AE6584" s="28">
        <v>4473813000</v>
      </c>
      <c r="AF6584" s="28">
        <v>124832000</v>
      </c>
      <c r="AG6584" s="11"/>
    </row>
    <row r="6585">
      <c r="A6585" s="7" t="s">
        <v>8154</v>
      </c>
      <c r="B6585" s="5" t="s">
        <v>16099</v>
      </c>
      <c r="C6585" s="5" t="s">
        <v>23742</v>
      </c>
      <c r="D6585" s="5" t="str">
        <v>662502382383</v>
      </c>
      <c r="E6585" s="0" t="e">
        <f>+7 (343) 2616078
+7 (343) 2616079</f>
        <v>#NAME?</v>
      </c>
      <c r="F6585" s="5" t="s">
        <v>44527</v>
      </c>
      <c r="G6585" s="5" t="s">
        <v>44528</v>
      </c>
      <c r="H6585" s="26">
        <v>19</v>
      </c>
      <c r="I6585" s="5" t="s">
        <v>44529</v>
      </c>
      <c r="J6585" s="5" t="s">
        <v>678</v>
      </c>
      <c r="K6585" s="5" t="s">
        <v>344</v>
      </c>
      <c r="L6585" s="5"/>
      <c r="M6585" s="27"/>
      <c r="N6585" s="5" t="s">
        <v>55619</v>
      </c>
      <c r="O6585" s="5" t="str">
        <v>6670053231</v>
      </c>
      <c r="P6585" s="27">
        <v>10000</v>
      </c>
      <c r="Q6585" s="5"/>
      <c r="R6585" s="5"/>
      <c r="S6585" s="5" t="s">
        <v>49195</v>
      </c>
      <c r="T6585" s="28">
        <v>2300000</v>
      </c>
      <c r="U6585" s="28"/>
      <c r="V6585" s="28">
        <v>3541838000</v>
      </c>
      <c r="W6585" s="28"/>
      <c r="X6585" s="28">
        <v>1659512000</v>
      </c>
      <c r="Y6585" s="28">
        <v>5224364000</v>
      </c>
      <c r="Z6585" s="28">
        <v>3487660000</v>
      </c>
      <c r="AA6585" s="28"/>
      <c r="AB6585" s="28"/>
      <c r="AC6585" s="28">
        <v>1734040000</v>
      </c>
      <c r="AD6585" s="28">
        <v>3487670000</v>
      </c>
      <c r="AE6585" s="28">
        <v>16327622000</v>
      </c>
      <c r="AF6585" s="28">
        <v>163554000</v>
      </c>
      <c r="AG6585" s="11"/>
    </row>
    <row r="6586">
      <c r="A6586" s="7" t="s">
        <v>8155</v>
      </c>
      <c r="B6586" s="5" t="s">
        <v>16100</v>
      </c>
      <c r="C6586" s="5" t="s">
        <v>23743</v>
      </c>
      <c r="D6586" s="5" t="str">
        <v>561023770948</v>
      </c>
      <c r="E6586" s="0" t="e">
        <f>+7 (916) 1788864
+7 (963) 6681119</f>
        <v>#NAME?</v>
      </c>
      <c r="F6586" s="5"/>
      <c r="G6586" s="5"/>
      <c r="H6586" s="26">
        <v>10</v>
      </c>
      <c r="I6586" s="5" t="s">
        <v>44530</v>
      </c>
      <c r="J6586" s="5" t="s">
        <v>26918</v>
      </c>
      <c r="K6586" s="5" t="s">
        <v>344</v>
      </c>
      <c r="L6586" s="5"/>
      <c r="M6586" s="27">
        <v>167314</v>
      </c>
      <c r="N6586" s="5" t="s">
        <v>59183</v>
      </c>
      <c r="O6586" s="5" t="str">
        <v>7713765710</v>
      </c>
      <c r="P6586" s="27">
        <v>300000</v>
      </c>
      <c r="Q6586" s="5" t="s">
        <v>59184</v>
      </c>
      <c r="R6586" s="5"/>
      <c r="S6586" s="5" t="s">
        <v>49180</v>
      </c>
      <c r="T6586" s="28">
        <v>2655000</v>
      </c>
      <c r="U6586" s="28">
        <v>5000000</v>
      </c>
      <c r="V6586" s="28">
        <v>1840211000</v>
      </c>
      <c r="W6586" s="28"/>
      <c r="X6586" s="28">
        <v>448674000</v>
      </c>
      <c r="Y6586" s="28">
        <v>2680206000</v>
      </c>
      <c r="Z6586" s="28">
        <v>166322000</v>
      </c>
      <c r="AA6586" s="28">
        <v>191107000</v>
      </c>
      <c r="AB6586" s="28"/>
      <c r="AC6586" s="28">
        <v>2317533000</v>
      </c>
      <c r="AD6586" s="28">
        <v>166693000</v>
      </c>
      <c r="AE6586" s="28">
        <v>4385399000</v>
      </c>
      <c r="AF6586" s="28">
        <v>138711000</v>
      </c>
      <c r="AG6586" s="11"/>
    </row>
    <row r="6587">
      <c r="A6587" s="7" t="s">
        <v>8156</v>
      </c>
      <c r="B6587" s="5" t="s">
        <v>16101</v>
      </c>
      <c r="C6587" s="5" t="s">
        <v>23744</v>
      </c>
      <c r="D6587" s="5" t="str">
        <v>773710464197</v>
      </c>
      <c r="E6587" s="0" t="e">
        <f>+7 (916) 8472639
+7 (910) 4535032
+7 (495) 9439703
+7 (495) 9439803</f>
        <v>#NAME?</v>
      </c>
      <c r="F6587" s="5" t="s">
        <v>44531</v>
      </c>
      <c r="G6587" s="5" t="s">
        <v>44532</v>
      </c>
      <c r="H6587" s="26">
        <v>16</v>
      </c>
      <c r="I6587" s="5" t="s">
        <v>44533</v>
      </c>
      <c r="J6587" s="5" t="s">
        <v>25424</v>
      </c>
      <c r="K6587" s="5" t="s">
        <v>344</v>
      </c>
      <c r="L6587" s="5" t="s">
        <v>44534</v>
      </c>
      <c r="M6587" s="27"/>
      <c r="N6587" s="5" t="s">
        <v>59185</v>
      </c>
      <c r="O6587" s="5" t="str">
        <v>7726557242</v>
      </c>
      <c r="P6587" s="27">
        <v>300000</v>
      </c>
      <c r="Q6587" s="5" t="s">
        <v>59186</v>
      </c>
      <c r="R6587" s="5"/>
      <c r="S6587" s="5" t="s">
        <v>59187</v>
      </c>
      <c r="T6587" s="28">
        <v>56439000</v>
      </c>
      <c r="U6587" s="28">
        <v>3500000</v>
      </c>
      <c r="V6587" s="28">
        <v>3546305000</v>
      </c>
      <c r="W6587" s="28"/>
      <c r="X6587" s="28">
        <v>5154000</v>
      </c>
      <c r="Y6587" s="28">
        <v>4511823000</v>
      </c>
      <c r="Z6587" s="28">
        <v>3738913000</v>
      </c>
      <c r="AA6587" s="28"/>
      <c r="AB6587" s="28">
        <v>440000000</v>
      </c>
      <c r="AC6587" s="28">
        <v>747081000</v>
      </c>
      <c r="AD6587" s="28">
        <v>3739213000</v>
      </c>
      <c r="AE6587" s="28">
        <v>7496028000</v>
      </c>
      <c r="AF6587" s="28">
        <v>2800627000</v>
      </c>
      <c r="AG6587" s="11"/>
    </row>
    <row r="6588">
      <c r="A6588" s="7" t="s">
        <v>8157</v>
      </c>
      <c r="B6588" s="5" t="s">
        <v>15524</v>
      </c>
      <c r="C6588" s="5" t="s">
        <v>23188</v>
      </c>
      <c r="D6588" s="5" t="str">
        <v>420506523859</v>
      </c>
      <c r="E6588" s="0" t="e">
        <f>+7 (384) 2345650</f>
        <v>#NAME?</v>
      </c>
      <c r="F6588" s="5" t="s">
        <v>44535</v>
      </c>
      <c r="G6588" s="5" t="s">
        <v>44536</v>
      </c>
      <c r="H6588" s="26">
        <v>9.5</v>
      </c>
      <c r="I6588" s="5" t="s">
        <v>44537</v>
      </c>
      <c r="J6588" s="5" t="s">
        <v>25512</v>
      </c>
      <c r="K6588" s="5" t="s">
        <v>344</v>
      </c>
      <c r="L6588" s="5" t="s">
        <v>44538</v>
      </c>
      <c r="M6588" s="27"/>
      <c r="N6588" s="5" t="s">
        <v>49540</v>
      </c>
      <c r="O6588" s="5" t="str">
        <v>4205269916</v>
      </c>
      <c r="P6588" s="27">
        <v>1000000</v>
      </c>
      <c r="Q6588" s="5" t="s">
        <v>49057</v>
      </c>
      <c r="R6588" s="5"/>
      <c r="S6588" s="5" t="s">
        <v>56933</v>
      </c>
      <c r="T6588" s="28">
        <v>8795000</v>
      </c>
      <c r="U6588" s="28"/>
      <c r="V6588" s="28">
        <v>182964000</v>
      </c>
      <c r="W6588" s="28"/>
      <c r="X6588" s="28">
        <v>124137000</v>
      </c>
      <c r="Y6588" s="28">
        <v>677291000</v>
      </c>
      <c r="Z6588" s="28">
        <v>124566000</v>
      </c>
      <c r="AA6588" s="28"/>
      <c r="AB6588" s="28"/>
      <c r="AC6588" s="28">
        <v>551674000</v>
      </c>
      <c r="AD6588" s="28">
        <v>125566000</v>
      </c>
      <c r="AE6588" s="28">
        <v>6326263000</v>
      </c>
      <c r="AF6588" s="28">
        <v>124012000</v>
      </c>
      <c r="AG6588" s="11"/>
    </row>
    <row r="6589">
      <c r="A6589" s="7" t="s">
        <v>8158</v>
      </c>
      <c r="B6589" s="5" t="s">
        <v>16102</v>
      </c>
      <c r="C6589" s="5" t="s">
        <v>23745</v>
      </c>
      <c r="D6589" s="5" t="str">
        <v>770102838388</v>
      </c>
      <c r="E6589" s="0" t="e">
        <f>+7 (495) 3393277
+7 (495) 5443073
+7 (495) 6267086
+7 (495) 6267087
+7 (495) 6267088
+7 (495) 6442763
+7 (495) 6444988
+7 (495) 6813710
+7 (495) 7429183
+7 (495) 7716651
+7 (495) 7881838
+7 (495) 7881839
+7 (495) 7888840
+7 (495) 8492072
+7 (495) 9300346</f>
        <v>#NAME?</v>
      </c>
      <c r="F6589" s="5" t="s">
        <v>44539</v>
      </c>
      <c r="G6589" s="5" t="s">
        <v>44540</v>
      </c>
      <c r="H6589" s="26">
        <v>29</v>
      </c>
      <c r="I6589" s="5" t="s">
        <v>44541</v>
      </c>
      <c r="J6589" s="5" t="s">
        <v>25195</v>
      </c>
      <c r="K6589" s="5" t="s">
        <v>344</v>
      </c>
      <c r="L6589" s="5" t="s">
        <v>44542</v>
      </c>
      <c r="M6589" s="27"/>
      <c r="N6589" s="5"/>
      <c r="O6589" s="5" t="str">
        <v>7706081452</v>
      </c>
      <c r="P6589" s="27">
        <v>68282480</v>
      </c>
      <c r="Q6589" s="5" t="s">
        <v>49009</v>
      </c>
      <c r="R6589" s="5"/>
      <c r="S6589" s="5" t="s">
        <v>49066</v>
      </c>
      <c r="T6589" s="28">
        <v>1349070000</v>
      </c>
      <c r="U6589" s="28">
        <v>94000</v>
      </c>
      <c r="V6589" s="28">
        <v>195314000</v>
      </c>
      <c r="W6589" s="28"/>
      <c r="X6589" s="28">
        <v>771921000</v>
      </c>
      <c r="Y6589" s="28">
        <v>3600505000</v>
      </c>
      <c r="Z6589" s="28">
        <v>-431065000</v>
      </c>
      <c r="AA6589" s="28">
        <v>978558000</v>
      </c>
      <c r="AB6589" s="28"/>
      <c r="AC6589" s="28">
        <v>957347000</v>
      </c>
      <c r="AD6589" s="28">
        <v>609506000</v>
      </c>
      <c r="AE6589" s="28">
        <v>3230370000</v>
      </c>
      <c r="AF6589" s="28">
        <v>30699000</v>
      </c>
      <c r="AG6589" s="11"/>
    </row>
    <row r="6590">
      <c r="A6590" s="7" t="s">
        <v>8159</v>
      </c>
      <c r="B6590" s="5" t="s">
        <v>16103</v>
      </c>
      <c r="C6590" s="5" t="s">
        <v>23746</v>
      </c>
      <c r="D6590" s="5" t="str">
        <v>770302792839</v>
      </c>
      <c r="E6590" s="0" t="e">
        <f>+7 (495) 9337365
+7 (495) 2922271
+7 (495) 6921819
+7 (495) 6922271
+7 (495) 9259921
+7 (495) 9337300
+7 (495) 9337301
+7 (495) 9337303
+7 (800) 5007346</f>
        <v>#NAME?</v>
      </c>
      <c r="F6590" s="5" t="s">
        <v>44543</v>
      </c>
      <c r="G6590" s="5"/>
      <c r="H6590" s="26">
        <v>30</v>
      </c>
      <c r="I6590" s="5"/>
      <c r="J6590" s="5" t="s">
        <v>25738</v>
      </c>
      <c r="K6590" s="5" t="s">
        <v>344</v>
      </c>
      <c r="L6590" s="5" t="s">
        <v>44544</v>
      </c>
      <c r="M6590" s="27"/>
      <c r="N6590" s="5" t="s">
        <v>59188</v>
      </c>
      <c r="O6590" s="5" t="str">
        <v>7707073366</v>
      </c>
      <c r="P6590" s="27">
        <v>268972500</v>
      </c>
      <c r="Q6590" s="5" t="s">
        <v>49009</v>
      </c>
      <c r="R6590" s="5"/>
      <c r="S6590" s="5" t="s">
        <v>49408</v>
      </c>
      <c r="T6590" s="28">
        <v>13730603000</v>
      </c>
      <c r="U6590" s="28">
        <v>4955310000</v>
      </c>
      <c r="V6590" s="28">
        <v>18635341000</v>
      </c>
      <c r="W6590" s="28"/>
      <c r="X6590" s="28">
        <v>1218715000</v>
      </c>
      <c r="Y6590" s="28">
        <v>42154521000</v>
      </c>
      <c r="Z6590" s="28">
        <v>16208088000</v>
      </c>
      <c r="AA6590" s="28"/>
      <c r="AB6590" s="28">
        <v>780000000</v>
      </c>
      <c r="AC6590" s="28">
        <v>9893036000</v>
      </c>
      <c r="AD6590" s="28">
        <v>21946344000</v>
      </c>
      <c r="AE6590" s="28">
        <v>27104468000</v>
      </c>
      <c r="AF6590" s="28">
        <v>3004248000</v>
      </c>
      <c r="AG6590" s="11"/>
    </row>
    <row r="6591">
      <c r="A6591" s="7" t="s">
        <v>8160</v>
      </c>
      <c r="B6591" s="5" t="s">
        <v>16104</v>
      </c>
      <c r="C6591" s="5" t="s">
        <v>23747</v>
      </c>
      <c r="D6591" s="5" t="str">
        <v>165033106620</v>
      </c>
      <c r="E6591" s="0" t="e">
        <f>+7 (917) 9060952
+7 (800) 2504532
+7 (855) 2306148
+7 (855) 2580206
+7 (855) 2580266</f>
        <v>#NAME?</v>
      </c>
      <c r="F6591" s="5" t="s">
        <v>44545</v>
      </c>
      <c r="G6591" s="5" t="s">
        <v>44546</v>
      </c>
      <c r="H6591" s="26">
        <v>22</v>
      </c>
      <c r="I6591" s="5" t="s">
        <v>44547</v>
      </c>
      <c r="J6591" s="5" t="s">
        <v>25853</v>
      </c>
      <c r="K6591" s="5" t="s">
        <v>355</v>
      </c>
      <c r="L6591" s="5"/>
      <c r="M6591" s="27"/>
      <c r="N6591" s="5"/>
      <c r="O6591" s="5" t="str">
        <v>1650079472</v>
      </c>
      <c r="P6591" s="27">
        <v>300000</v>
      </c>
      <c r="Q6591" s="5" t="s">
        <v>49059</v>
      </c>
      <c r="R6591" s="5"/>
      <c r="S6591" s="5" t="s">
        <v>49066</v>
      </c>
      <c r="T6591" s="28">
        <v>414364000</v>
      </c>
      <c r="U6591" s="28">
        <v>6330000</v>
      </c>
      <c r="V6591" s="28">
        <v>511928000</v>
      </c>
      <c r="W6591" s="28"/>
      <c r="X6591" s="28">
        <v>64196000</v>
      </c>
      <c r="Y6591" s="28">
        <v>1623438000</v>
      </c>
      <c r="Z6591" s="28">
        <v>82486000</v>
      </c>
      <c r="AA6591" s="28">
        <v>20000000</v>
      </c>
      <c r="AB6591" s="28">
        <v>225094000</v>
      </c>
      <c r="AC6591" s="28">
        <v>1489319000</v>
      </c>
      <c r="AD6591" s="28">
        <v>82831000</v>
      </c>
      <c r="AE6591" s="28">
        <v>6341662000</v>
      </c>
      <c r="AF6591" s="28">
        <v>4309000</v>
      </c>
      <c r="AG6591" s="11"/>
    </row>
    <row r="6592">
      <c r="A6592" s="7" t="s">
        <v>8161</v>
      </c>
      <c r="B6592" s="5" t="s">
        <v>16105</v>
      </c>
      <c r="C6592" s="5" t="s">
        <v>23748</v>
      </c>
      <c r="D6592" s="5" t="str">
        <v>772140059594</v>
      </c>
      <c r="E6592" s="0" t="e">
        <f>+7 (495) 5141560
+7 (495) 5141561
+7 (800) 2341150</f>
        <v>#NAME?</v>
      </c>
      <c r="F6592" s="5"/>
      <c r="G6592" s="5" t="s">
        <v>44548</v>
      </c>
      <c r="H6592" s="26">
        <v>25</v>
      </c>
      <c r="I6592" s="5" t="s">
        <v>44549</v>
      </c>
      <c r="J6592" s="5" t="s">
        <v>25986</v>
      </c>
      <c r="K6592" s="5" t="s">
        <v>344</v>
      </c>
      <c r="L6592" s="5"/>
      <c r="M6592" s="27"/>
      <c r="N6592" s="5"/>
      <c r="O6592" s="5" t="str">
        <v>5032046575</v>
      </c>
      <c r="P6592" s="27">
        <v>1000000</v>
      </c>
      <c r="Q6592" s="5" t="s">
        <v>49009</v>
      </c>
      <c r="R6592" s="5"/>
      <c r="S6592" s="5" t="s">
        <v>49028</v>
      </c>
      <c r="T6592" s="28">
        <v>761898000</v>
      </c>
      <c r="U6592" s="28"/>
      <c r="V6592" s="28">
        <v>14968903000</v>
      </c>
      <c r="W6592" s="28">
        <v>137402000</v>
      </c>
      <c r="X6592" s="28">
        <v>20464471000</v>
      </c>
      <c r="Y6592" s="28">
        <v>43822057000</v>
      </c>
      <c r="Z6592" s="28">
        <v>-3478893000</v>
      </c>
      <c r="AA6592" s="28">
        <v>3469969000</v>
      </c>
      <c r="AB6592" s="28">
        <v>9707014000</v>
      </c>
      <c r="AC6592" s="28">
        <v>36590517000</v>
      </c>
      <c r="AD6592" s="28">
        <v>3113220000</v>
      </c>
      <c r="AE6592" s="28">
        <v>154877957000</v>
      </c>
      <c r="AF6592" s="28">
        <v>112164000</v>
      </c>
      <c r="AG6592" s="11"/>
    </row>
    <row r="6593">
      <c r="A6593" s="7" t="s">
        <v>8162</v>
      </c>
      <c r="B6593" s="5" t="s">
        <v>16106</v>
      </c>
      <c r="C6593" s="5" t="s">
        <v>23749</v>
      </c>
      <c r="D6593" s="5" t="str">
        <v>481503030750</v>
      </c>
      <c r="E6593" s="0" t="e">
        <f>+7 (474) 2567422
+7 (903) 8622122</f>
        <v>#NAME?</v>
      </c>
      <c r="F6593" s="5" t="s">
        <v>44550</v>
      </c>
      <c r="G6593" s="5"/>
      <c r="H6593" s="26">
        <v>8.5</v>
      </c>
      <c r="I6593" s="5" t="s">
        <v>44551</v>
      </c>
      <c r="J6593" s="5" t="s">
        <v>38585</v>
      </c>
      <c r="K6593" s="5" t="s">
        <v>344</v>
      </c>
      <c r="L6593" s="5"/>
      <c r="M6593" s="27"/>
      <c r="N6593" s="5"/>
      <c r="O6593" s="5" t="str">
        <v>4826111248</v>
      </c>
      <c r="P6593" s="27">
        <v>135000000</v>
      </c>
      <c r="Q6593" s="5" t="s">
        <v>49059</v>
      </c>
      <c r="R6593" s="5"/>
      <c r="S6593" s="5" t="s">
        <v>49029</v>
      </c>
      <c r="T6593" s="28">
        <v>455000</v>
      </c>
      <c r="U6593" s="28">
        <v>954272000</v>
      </c>
      <c r="V6593" s="28">
        <v>4882299000</v>
      </c>
      <c r="W6593" s="28">
        <v>152000000</v>
      </c>
      <c r="X6593" s="28">
        <v>373532000</v>
      </c>
      <c r="Y6593" s="28">
        <v>8190484000</v>
      </c>
      <c r="Z6593" s="28">
        <v>-440975000</v>
      </c>
      <c r="AA6593" s="28">
        <v>525102000</v>
      </c>
      <c r="AB6593" s="28">
        <v>6099110000</v>
      </c>
      <c r="AC6593" s="28">
        <v>6580081000</v>
      </c>
      <c r="AD6593" s="28">
        <v>-43539000</v>
      </c>
      <c r="AE6593" s="28">
        <v>32227129000</v>
      </c>
      <c r="AF6593" s="28">
        <v>31181000</v>
      </c>
      <c r="AG6593" s="11"/>
    </row>
    <row r="6594">
      <c r="A6594" s="7" t="s">
        <v>8163</v>
      </c>
      <c r="B6594" s="5" t="s">
        <v>16107</v>
      </c>
      <c r="C6594" s="5" t="s">
        <v>21117</v>
      </c>
      <c r="D6594" s="5"/>
      <c r="E6594" s="0" t="e">
        <f>+7 (831) 2601696
+7 (920) 570777
+7 (920) 1117137</f>
        <v>#NAME?</v>
      </c>
      <c r="F6594" s="5" t="s">
        <v>44552</v>
      </c>
      <c r="G6594" s="5"/>
      <c r="H6594" s="26">
        <v>15.5</v>
      </c>
      <c r="I6594" s="5" t="s">
        <v>44553</v>
      </c>
      <c r="J6594" s="5" t="s">
        <v>27497</v>
      </c>
      <c r="K6594" s="5" t="s">
        <v>344</v>
      </c>
      <c r="L6594" s="5"/>
      <c r="M6594" s="27"/>
      <c r="N6594" s="5" t="s">
        <v>59189</v>
      </c>
      <c r="O6594" s="5" t="str">
        <v>5256071867</v>
      </c>
      <c r="P6594" s="27">
        <v>10000</v>
      </c>
      <c r="Q6594" s="5" t="s">
        <v>59190</v>
      </c>
      <c r="R6594" s="5"/>
      <c r="S6594" s="5" t="s">
        <v>59191</v>
      </c>
      <c r="T6594" s="28">
        <v>25342000</v>
      </c>
      <c r="U6594" s="28"/>
      <c r="V6594" s="28">
        <v>330782000</v>
      </c>
      <c r="W6594" s="28">
        <v>513000</v>
      </c>
      <c r="X6594" s="28">
        <v>4685000</v>
      </c>
      <c r="Y6594" s="28">
        <v>387183000</v>
      </c>
      <c r="Z6594" s="28">
        <v>97501000</v>
      </c>
      <c r="AA6594" s="28"/>
      <c r="AB6594" s="28">
        <v>109103000</v>
      </c>
      <c r="AC6594" s="28">
        <v>280442000</v>
      </c>
      <c r="AD6594" s="28">
        <v>97511000</v>
      </c>
      <c r="AE6594" s="28">
        <v>3318334000</v>
      </c>
      <c r="AF6594" s="28">
        <v>22861000</v>
      </c>
      <c r="AG6594" s="11"/>
    </row>
    <row r="6595">
      <c r="A6595" s="7" t="s">
        <v>8164</v>
      </c>
      <c r="B6595" s="5" t="s">
        <v>16108</v>
      </c>
      <c r="C6595" s="5" t="s">
        <v>23750</v>
      </c>
      <c r="D6595" s="5" t="str">
        <v>550309648071</v>
      </c>
      <c r="E6595" s="0" t="e">
        <f>+7 (381) 2416480
+7 (381) 2453554
+7 (381) 2453577</f>
        <v>#NAME?</v>
      </c>
      <c r="F6595" s="5" t="s">
        <v>44554</v>
      </c>
      <c r="G6595" s="5"/>
      <c r="H6595" s="26">
        <v>19.5</v>
      </c>
      <c r="I6595" s="5" t="s">
        <v>44555</v>
      </c>
      <c r="J6595" s="5" t="s">
        <v>1059</v>
      </c>
      <c r="K6595" s="5" t="s">
        <v>344</v>
      </c>
      <c r="L6595" s="5" t="s">
        <v>44556</v>
      </c>
      <c r="M6595" s="27">
        <v>8181500</v>
      </c>
      <c r="N6595" s="5" t="s">
        <v>59192</v>
      </c>
      <c r="O6595" s="5" t="str">
        <v>5504086398</v>
      </c>
      <c r="P6595" s="27">
        <v>10010000</v>
      </c>
      <c r="Q6595" s="5" t="s">
        <v>49009</v>
      </c>
      <c r="R6595" s="5"/>
      <c r="S6595" s="5" t="s">
        <v>49487</v>
      </c>
      <c r="T6595" s="28">
        <v>378212000</v>
      </c>
      <c r="U6595" s="28"/>
      <c r="V6595" s="28">
        <v>2707255000</v>
      </c>
      <c r="W6595" s="28"/>
      <c r="X6595" s="28">
        <v>34580000</v>
      </c>
      <c r="Y6595" s="28">
        <v>4608842000</v>
      </c>
      <c r="Z6595" s="28">
        <v>204514000</v>
      </c>
      <c r="AA6595" s="28"/>
      <c r="AB6595" s="28">
        <v>3672261000</v>
      </c>
      <c r="AC6595" s="28">
        <v>4394318000</v>
      </c>
      <c r="AD6595" s="28">
        <v>214524000</v>
      </c>
      <c r="AE6595" s="28">
        <v>15741471000</v>
      </c>
      <c r="AF6595" s="28">
        <v>47982000</v>
      </c>
      <c r="AG6595" s="11"/>
    </row>
    <row r="6596">
      <c r="A6596" s="7" t="s">
        <v>8165</v>
      </c>
      <c r="B6596" s="5" t="s">
        <v>16109</v>
      </c>
      <c r="C6596" s="5" t="s">
        <v>23751</v>
      </c>
      <c r="D6596" s="5" t="str">
        <v>150205301469</v>
      </c>
      <c r="E6596" s="0" t="e">
        <f>+7 (988) 9507777
+7 (86373) 92704
+7 (988) 5704040</f>
        <v>#NAME?</v>
      </c>
      <c r="F6596" s="5" t="s">
        <v>44557</v>
      </c>
      <c r="G6596" s="5"/>
      <c r="H6596" s="26">
        <v>5.5</v>
      </c>
      <c r="I6596" s="5" t="s">
        <v>44558</v>
      </c>
      <c r="J6596" s="5" t="s">
        <v>26128</v>
      </c>
      <c r="K6596" s="5" t="s">
        <v>344</v>
      </c>
      <c r="L6596" s="5" t="s">
        <v>44559</v>
      </c>
      <c r="M6596" s="27"/>
      <c r="N6596" s="5" t="s">
        <v>59194</v>
      </c>
      <c r="O6596" s="5" t="str">
        <v>6127018602</v>
      </c>
      <c r="P6596" s="27">
        <v>50000</v>
      </c>
      <c r="Q6596" s="5" t="s">
        <v>49009</v>
      </c>
      <c r="R6596" s="5"/>
      <c r="S6596" s="5" t="s">
        <v>49576</v>
      </c>
      <c r="T6596" s="28">
        <v>89128000</v>
      </c>
      <c r="U6596" s="28">
        <v>2000</v>
      </c>
      <c r="V6596" s="28">
        <v>131475000</v>
      </c>
      <c r="W6596" s="28"/>
      <c r="X6596" s="28">
        <v>13532000</v>
      </c>
      <c r="Y6596" s="28">
        <v>325679000</v>
      </c>
      <c r="Z6596" s="28">
        <v>196350000</v>
      </c>
      <c r="AA6596" s="28"/>
      <c r="AB6596" s="28"/>
      <c r="AC6596" s="28">
        <v>125732000</v>
      </c>
      <c r="AD6596" s="28">
        <v>196400000</v>
      </c>
      <c r="AE6596" s="28">
        <v>5680541000</v>
      </c>
      <c r="AF6596" s="28">
        <v>52650000</v>
      </c>
      <c r="AG6596" s="11"/>
    </row>
    <row r="6597">
      <c r="A6597" s="7" t="s">
        <v>8166</v>
      </c>
      <c r="B6597" s="5" t="s">
        <v>16110</v>
      </c>
      <c r="C6597" s="5" t="s">
        <v>21184</v>
      </c>
      <c r="D6597" s="5"/>
      <c r="E6597" s="0" t="e">
        <f>+7 (473) 2620177
+7 (473) 2679777
+7 (906) 5884904</f>
        <v>#NAME?</v>
      </c>
      <c r="F6597" s="5" t="s">
        <v>44560</v>
      </c>
      <c r="G6597" s="5" t="s">
        <v>44561</v>
      </c>
      <c r="H6597" s="26">
        <v>10</v>
      </c>
      <c r="I6597" s="5" t="s">
        <v>44562</v>
      </c>
      <c r="J6597" s="5" t="s">
        <v>27497</v>
      </c>
      <c r="K6597" s="5" t="s">
        <v>380</v>
      </c>
      <c r="L6597" s="5"/>
      <c r="M6597" s="27"/>
      <c r="N6597" s="5"/>
      <c r="O6597" s="5" t="str">
        <v>3614009018</v>
      </c>
      <c r="P6597" s="27">
        <v>100000</v>
      </c>
      <c r="Q6597" s="5"/>
      <c r="R6597" s="5"/>
      <c r="S6597" s="5" t="s">
        <v>49110</v>
      </c>
      <c r="T6597" s="28">
        <v>4025000</v>
      </c>
      <c r="U6597" s="28">
        <v>14185000</v>
      </c>
      <c r="V6597" s="28">
        <v>1041832000</v>
      </c>
      <c r="W6597" s="28"/>
      <c r="X6597" s="28">
        <v>21167000</v>
      </c>
      <c r="Y6597" s="28">
        <v>2016493000</v>
      </c>
      <c r="Z6597" s="28">
        <v>-4216760000</v>
      </c>
      <c r="AA6597" s="28">
        <v>254417000</v>
      </c>
      <c r="AB6597" s="28">
        <v>110031000</v>
      </c>
      <c r="AC6597" s="28">
        <v>5978736000</v>
      </c>
      <c r="AD6597" s="28">
        <v>-4216660000</v>
      </c>
      <c r="AE6597" s="28">
        <v>11123028000</v>
      </c>
      <c r="AF6597" s="28">
        <v>-1785399000</v>
      </c>
      <c r="AG6597" s="11"/>
    </row>
    <row r="6598">
      <c r="A6598" s="7" t="s">
        <v>8167</v>
      </c>
      <c r="B6598" s="5" t="s">
        <v>16111</v>
      </c>
      <c r="C6598" s="5" t="s">
        <v>23752</v>
      </c>
      <c r="D6598" s="5" t="str">
        <v>860303514319</v>
      </c>
      <c r="E6598" s="0" t="e">
        <f>+7 (3466) 555023
+7 (3466) 674300
+7 (34663) 12121
+7 (34663) 12200
+7 (34663) 12323
+7 (34663) 12424</f>
        <v>#NAME?</v>
      </c>
      <c r="F6598" s="5" t="s">
        <v>44563</v>
      </c>
      <c r="G6598" s="5" t="s">
        <v>44564</v>
      </c>
      <c r="H6598" s="26">
        <v>17.5</v>
      </c>
      <c r="I6598" s="5" t="s">
        <v>44565</v>
      </c>
      <c r="J6598" s="5" t="s">
        <v>678</v>
      </c>
      <c r="K6598" s="5" t="s">
        <v>344</v>
      </c>
      <c r="L6598" s="5" t="s">
        <v>37152</v>
      </c>
      <c r="M6598" s="27"/>
      <c r="N6598" s="5" t="s">
        <v>55619</v>
      </c>
      <c r="O6598" s="5" t="str">
        <v>8603127227</v>
      </c>
      <c r="P6598" s="27">
        <v>1000000</v>
      </c>
      <c r="Q6598" s="5" t="s">
        <v>49009</v>
      </c>
      <c r="R6598" s="5"/>
      <c r="S6598" s="5" t="s">
        <v>49358</v>
      </c>
      <c r="T6598" s="28">
        <v>360267000</v>
      </c>
      <c r="U6598" s="28">
        <v>1600000</v>
      </c>
      <c r="V6598" s="28">
        <v>536079000</v>
      </c>
      <c r="W6598" s="28"/>
      <c r="X6598" s="28">
        <v>57768000</v>
      </c>
      <c r="Y6598" s="28">
        <v>1714262000</v>
      </c>
      <c r="Z6598" s="28">
        <v>149530000</v>
      </c>
      <c r="AA6598" s="28"/>
      <c r="AB6598" s="28">
        <v>7000</v>
      </c>
      <c r="AC6598" s="28">
        <v>1560723000</v>
      </c>
      <c r="AD6598" s="28">
        <v>150530000</v>
      </c>
      <c r="AE6598" s="28">
        <v>4807179000</v>
      </c>
      <c r="AF6598" s="28">
        <v>574032000</v>
      </c>
      <c r="AG6598" s="11"/>
    </row>
    <row r="6599">
      <c r="A6599" s="7" t="s">
        <v>8168</v>
      </c>
      <c r="B6599" s="5" t="s">
        <v>16112</v>
      </c>
      <c r="C6599" s="5" t="s">
        <v>23753</v>
      </c>
      <c r="D6599" s="5" t="str">
        <v>780218024916</v>
      </c>
      <c r="E6599" s="0" t="e">
        <f>+7 (812) 6762410
+7 (495) 9892362
+7 (812) 3209048</f>
        <v>#NAME?</v>
      </c>
      <c r="F6599" s="5" t="s">
        <v>44566</v>
      </c>
      <c r="G6599" s="5" t="s">
        <v>44567</v>
      </c>
      <c r="H6599" s="26">
        <v>19</v>
      </c>
      <c r="I6599" s="5" t="s">
        <v>44568</v>
      </c>
      <c r="J6599" s="5" t="s">
        <v>26251</v>
      </c>
      <c r="K6599" s="5" t="s">
        <v>344</v>
      </c>
      <c r="L6599" s="5" t="s">
        <v>44569</v>
      </c>
      <c r="M6599" s="27">
        <v>1501057</v>
      </c>
      <c r="N6599" s="5"/>
      <c r="O6599" s="5" t="str">
        <v>7814152284</v>
      </c>
      <c r="P6599" s="27">
        <v>13000000</v>
      </c>
      <c r="Q6599" s="5"/>
      <c r="R6599" s="5"/>
      <c r="S6599" s="5" t="s">
        <v>49029</v>
      </c>
      <c r="T6599" s="28">
        <v>914489000</v>
      </c>
      <c r="U6599" s="28"/>
      <c r="V6599" s="28">
        <v>542064000</v>
      </c>
      <c r="W6599" s="28"/>
      <c r="X6599" s="28">
        <v>605030000</v>
      </c>
      <c r="Y6599" s="28">
        <v>2548696000</v>
      </c>
      <c r="Z6599" s="28">
        <v>1684443000</v>
      </c>
      <c r="AA6599" s="28"/>
      <c r="AB6599" s="28"/>
      <c r="AC6599" s="28">
        <v>631237000</v>
      </c>
      <c r="AD6599" s="28">
        <v>1697443000</v>
      </c>
      <c r="AE6599" s="28">
        <v>3288156000</v>
      </c>
      <c r="AF6599" s="28">
        <v>410744000</v>
      </c>
      <c r="AG6599" s="11"/>
    </row>
    <row r="6600">
      <c r="A6600" s="7" t="s">
        <v>8169</v>
      </c>
      <c r="B6600" s="5" t="s">
        <v>16113</v>
      </c>
      <c r="C6600" s="5" t="s">
        <v>23754</v>
      </c>
      <c r="D6600" s="5" t="str">
        <v>572004604407</v>
      </c>
      <c r="E6600" s="0" t="e">
        <f>+7 (960) 6410660
+7 (965) 2631076</f>
        <v>#NAME?</v>
      </c>
      <c r="F6600" s="5"/>
      <c r="G6600" s="5" t="s">
        <v>44570</v>
      </c>
      <c r="H6600" s="26">
        <v>8.5</v>
      </c>
      <c r="I6600" s="5" t="s">
        <v>44571</v>
      </c>
      <c r="J6600" s="5" t="s">
        <v>641</v>
      </c>
      <c r="K6600" s="5" t="s">
        <v>344</v>
      </c>
      <c r="L6600" s="5" t="s">
        <v>44572</v>
      </c>
      <c r="M6600" s="27">
        <v>652607</v>
      </c>
      <c r="N6600" s="5"/>
      <c r="O6600" s="5" t="str">
        <v>5754200956</v>
      </c>
      <c r="P6600" s="27">
        <v>11000</v>
      </c>
      <c r="Q6600" s="5" t="s">
        <v>49059</v>
      </c>
      <c r="R6600" s="5"/>
      <c r="S6600" s="5" t="s">
        <v>49110</v>
      </c>
      <c r="T6600" s="28">
        <v>375000</v>
      </c>
      <c r="U6600" s="28"/>
      <c r="V6600" s="28">
        <v>87376000</v>
      </c>
      <c r="W6600" s="28">
        <v>69187000</v>
      </c>
      <c r="X6600" s="28">
        <v>100182000</v>
      </c>
      <c r="Y6600" s="28">
        <v>460402000</v>
      </c>
      <c r="Z6600" s="28">
        <v>87558000</v>
      </c>
      <c r="AA6600" s="28"/>
      <c r="AB6600" s="28">
        <v>686000</v>
      </c>
      <c r="AC6600" s="28">
        <v>372833000</v>
      </c>
      <c r="AD6600" s="28">
        <v>87569000</v>
      </c>
      <c r="AE6600" s="28">
        <v>3868450000</v>
      </c>
      <c r="AF6600" s="28">
        <v>20901000</v>
      </c>
      <c r="AG6600" s="11"/>
    </row>
    <row r="6601">
      <c r="A6601" s="7" t="s">
        <v>8170</v>
      </c>
      <c r="B6601" s="5" t="s">
        <v>16114</v>
      </c>
      <c r="C6601" s="5" t="s">
        <v>23755</v>
      </c>
      <c r="D6601" s="5" t="str">
        <v>723003867624</v>
      </c>
      <c r="E6601" s="0" t="e">
        <f>+7 (910) 4077333
+7 (495) 6469114
+7 (499) 6827089
+7 (903) 2478839</f>
        <v>#NAME?</v>
      </c>
      <c r="F6601" s="5" t="s">
        <v>44573</v>
      </c>
      <c r="G6601" s="5"/>
      <c r="H6601" s="26">
        <v>17</v>
      </c>
      <c r="I6601" s="5" t="s">
        <v>44574</v>
      </c>
      <c r="J6601" s="5" t="s">
        <v>44575</v>
      </c>
      <c r="K6601" s="5" t="s">
        <v>344</v>
      </c>
      <c r="L6601" s="5" t="s">
        <v>44576</v>
      </c>
      <c r="M6601" s="27"/>
      <c r="N6601" s="5"/>
      <c r="O6601" s="5" t="str">
        <v>7725563250</v>
      </c>
      <c r="P6601" s="27">
        <v>35000000</v>
      </c>
      <c r="Q6601" s="5" t="s">
        <v>49009</v>
      </c>
      <c r="R6601" s="5"/>
      <c r="S6601" s="5" t="s">
        <v>49045</v>
      </c>
      <c r="T6601" s="28">
        <v>370000</v>
      </c>
      <c r="U6601" s="28">
        <v>3854000</v>
      </c>
      <c r="V6601" s="28">
        <v>43789000</v>
      </c>
      <c r="W6601" s="28">
        <v>400503000</v>
      </c>
      <c r="X6601" s="28">
        <v>16229000</v>
      </c>
      <c r="Y6601" s="28">
        <v>553834000</v>
      </c>
      <c r="Z6601" s="28">
        <v>67444000</v>
      </c>
      <c r="AA6601" s="28"/>
      <c r="AB6601" s="28"/>
      <c r="AC6601" s="28">
        <v>451375000</v>
      </c>
      <c r="AD6601" s="28">
        <v>102444000</v>
      </c>
      <c r="AE6601" s="28">
        <v>3904336000</v>
      </c>
      <c r="AF6601" s="28">
        <v>301000</v>
      </c>
      <c r="AG6601" s="11"/>
    </row>
    <row r="6602">
      <c r="A6602" s="7" t="s">
        <v>8171</v>
      </c>
      <c r="B6602" s="5" t="s">
        <v>16115</v>
      </c>
      <c r="C6602" s="5" t="s">
        <v>23756</v>
      </c>
      <c r="D6602" s="5" t="str">
        <v>631506350039</v>
      </c>
      <c r="E6602" s="0" t="e">
        <f>+7 (345) 2650101
+7 (812) 2740474
+7 (812) 3204514
+7 (8142) 798150
+7 (818) 2420072
+7 (3472) 912473
+7 (3519) 288482
+7 (3519) 288483
+7 (3519) 288484
+7 (4725) 426251
+7 (4725) 426743
+7 (475) 2537007
+7 (812) 2740447
+7 (812) 3264060
+7 (817) 2285106</f>
        <v>#NAME?</v>
      </c>
      <c r="F6602" s="5" t="s">
        <v>44577</v>
      </c>
      <c r="G6602" s="5" t="s">
        <v>44578</v>
      </c>
      <c r="H6602" s="26">
        <v>9</v>
      </c>
      <c r="I6602" s="5" t="s">
        <v>44579</v>
      </c>
      <c r="J6602" s="5" t="s">
        <v>641</v>
      </c>
      <c r="K6602" s="5" t="s">
        <v>344</v>
      </c>
      <c r="L6602" s="5" t="s">
        <v>44580</v>
      </c>
      <c r="M6602" s="27">
        <v>17740248</v>
      </c>
      <c r="N6602" s="5" t="s">
        <v>59195</v>
      </c>
      <c r="O6602" s="5" t="str">
        <v>7804526950</v>
      </c>
      <c r="P6602" s="27">
        <v>194000</v>
      </c>
      <c r="Q6602" s="5" t="s">
        <v>59196</v>
      </c>
      <c r="R6602" s="5"/>
      <c r="S6602" s="5" t="s">
        <v>59197</v>
      </c>
      <c r="T6602" s="28">
        <v>781209000</v>
      </c>
      <c r="U6602" s="28"/>
      <c r="V6602" s="28">
        <v>22531057000</v>
      </c>
      <c r="W6602" s="28">
        <v>6694551000</v>
      </c>
      <c r="X6602" s="28">
        <v>1553651000</v>
      </c>
      <c r="Y6602" s="28">
        <v>48364440000</v>
      </c>
      <c r="Z6602" s="28">
        <v>27656087000</v>
      </c>
      <c r="AA6602" s="28"/>
      <c r="AB6602" s="28">
        <v>1856922000</v>
      </c>
      <c r="AC6602" s="28">
        <v>20708158000</v>
      </c>
      <c r="AD6602" s="28">
        <v>27656281000</v>
      </c>
      <c r="AE6602" s="28">
        <v>133441238000</v>
      </c>
      <c r="AF6602" s="28">
        <v>4200630000</v>
      </c>
      <c r="AG6602" s="11"/>
    </row>
    <row r="6603">
      <c r="A6603" s="7" t="s">
        <v>8172</v>
      </c>
      <c r="B6603" s="5" t="s">
        <v>16116</v>
      </c>
      <c r="C6603" s="5" t="s">
        <v>23757</v>
      </c>
      <c r="D6603" s="5" t="str">
        <v>616109905354</v>
      </c>
      <c r="E6603" s="0" t="e">
        <f>+7 (918) 5611255</f>
        <v>#NAME?</v>
      </c>
      <c r="F6603" s="5"/>
      <c r="G6603" s="5"/>
      <c r="H6603" s="26">
        <v>5.5</v>
      </c>
      <c r="I6603" s="5" t="s">
        <v>44581</v>
      </c>
      <c r="J6603" s="5" t="s">
        <v>25559</v>
      </c>
      <c r="K6603" s="5" t="s">
        <v>344</v>
      </c>
      <c r="L6603" s="5" t="s">
        <v>44582</v>
      </c>
      <c r="M6603" s="27"/>
      <c r="N6603" s="5"/>
      <c r="O6603" s="5" t="str">
        <v>6102068094</v>
      </c>
      <c r="P6603" s="27">
        <v>1000000</v>
      </c>
      <c r="Q6603" s="5" t="s">
        <v>49021</v>
      </c>
      <c r="R6603" s="5"/>
      <c r="S6603" s="5" t="s">
        <v>52514</v>
      </c>
      <c r="T6603" s="28"/>
      <c r="U6603" s="28"/>
      <c r="V6603" s="28">
        <v>139377000</v>
      </c>
      <c r="W6603" s="28"/>
      <c r="X6603" s="28">
        <v>863000</v>
      </c>
      <c r="Y6603" s="28">
        <v>577222000</v>
      </c>
      <c r="Z6603" s="28">
        <v>263689000</v>
      </c>
      <c r="AA6603" s="28"/>
      <c r="AB6603" s="28"/>
      <c r="AC6603" s="28">
        <v>312533000</v>
      </c>
      <c r="AD6603" s="28">
        <v>264689000</v>
      </c>
      <c r="AE6603" s="28">
        <v>5351246000</v>
      </c>
      <c r="AF6603" s="28">
        <v>32267000</v>
      </c>
      <c r="AG6603" s="11"/>
    </row>
    <row r="6604">
      <c r="A6604" s="7" t="s">
        <v>8173</v>
      </c>
      <c r="B6604" s="5" t="s">
        <v>16117</v>
      </c>
      <c r="C6604" s="5" t="s">
        <v>23758</v>
      </c>
      <c r="D6604" s="5" t="str">
        <v>772152966903</v>
      </c>
      <c r="E6604" s="0" t="e">
        <f>+7 (495) 7776767
+7 (345) 2689377
+7 (472) 2218151
+7 (812) 2499251
+7 (914) 9333371</f>
        <v>#NAME?</v>
      </c>
      <c r="F6604" s="5" t="s">
        <v>44583</v>
      </c>
      <c r="G6604" s="5" t="s">
        <v>44584</v>
      </c>
      <c r="H6604" s="26">
        <v>7.5</v>
      </c>
      <c r="I6604" s="5" t="s">
        <v>44585</v>
      </c>
      <c r="J6604" s="5" t="s">
        <v>25429</v>
      </c>
      <c r="K6604" s="5" t="s">
        <v>344</v>
      </c>
      <c r="L6604" s="5"/>
      <c r="M6604" s="27"/>
      <c r="N6604" s="5" t="s">
        <v>59198</v>
      </c>
      <c r="O6604" s="5" t="str">
        <v>5027233428</v>
      </c>
      <c r="P6604" s="27">
        <v>20000</v>
      </c>
      <c r="Q6604" s="5" t="s">
        <v>59199</v>
      </c>
      <c r="R6604" s="5" t="s">
        <v>54987</v>
      </c>
      <c r="S6604" s="5" t="s">
        <v>59200</v>
      </c>
      <c r="T6604" s="28">
        <v>358198000</v>
      </c>
      <c r="U6604" s="28"/>
      <c r="V6604" s="28">
        <v>2829347000</v>
      </c>
      <c r="W6604" s="28"/>
      <c r="X6604" s="28">
        <v>238703000</v>
      </c>
      <c r="Y6604" s="28">
        <v>5907493000</v>
      </c>
      <c r="Z6604" s="28">
        <v>3555164000</v>
      </c>
      <c r="AA6604" s="28"/>
      <c r="AB6604" s="28"/>
      <c r="AC6604" s="28">
        <v>2295280000</v>
      </c>
      <c r="AD6604" s="28">
        <v>3555184000</v>
      </c>
      <c r="AE6604" s="28">
        <v>9894547000</v>
      </c>
      <c r="AF6604" s="28">
        <v>260932000</v>
      </c>
      <c r="AG6604" s="11"/>
    </row>
    <row r="6605">
      <c r="A6605" s="7" t="s">
        <v>8174</v>
      </c>
      <c r="B6605" s="5" t="s">
        <v>16118</v>
      </c>
      <c r="C6605" s="5" t="s">
        <v>23759</v>
      </c>
      <c r="D6605" s="5" t="str">
        <v>860500719153</v>
      </c>
      <c r="E6605" s="0" t="e">
        <f>+7 (922) 4380837
+7 (982) 5343937</f>
        <v>#NAME?</v>
      </c>
      <c r="F6605" s="5" t="s">
        <v>44586</v>
      </c>
      <c r="G6605" s="5"/>
      <c r="H6605" s="26">
        <v>10</v>
      </c>
      <c r="I6605" s="5" t="s">
        <v>44587</v>
      </c>
      <c r="J6605" s="5" t="s">
        <v>27296</v>
      </c>
      <c r="K6605" s="5" t="s">
        <v>344</v>
      </c>
      <c r="L6605" s="5" t="s">
        <v>44588</v>
      </c>
      <c r="M6605" s="27"/>
      <c r="N6605" s="5"/>
      <c r="O6605" s="5" t="str">
        <v>8603198186</v>
      </c>
      <c r="P6605" s="27">
        <v>10000</v>
      </c>
      <c r="Q6605" s="5" t="s">
        <v>49057</v>
      </c>
      <c r="R6605" s="5"/>
      <c r="S6605" s="5" t="s">
        <v>49452</v>
      </c>
      <c r="T6605" s="28">
        <v>341000</v>
      </c>
      <c r="U6605" s="28"/>
      <c r="V6605" s="28">
        <v>3858781000</v>
      </c>
      <c r="W6605" s="28"/>
      <c r="X6605" s="28">
        <v>113999000</v>
      </c>
      <c r="Y6605" s="28">
        <v>4576833000</v>
      </c>
      <c r="Z6605" s="28">
        <v>188291000</v>
      </c>
      <c r="AA6605" s="28"/>
      <c r="AB6605" s="28">
        <v>2001371000</v>
      </c>
      <c r="AC6605" s="28">
        <v>4361851000</v>
      </c>
      <c r="AD6605" s="28">
        <v>188301000</v>
      </c>
      <c r="AE6605" s="28">
        <v>8162507000</v>
      </c>
      <c r="AF6605" s="28">
        <v>188296000</v>
      </c>
      <c r="AG6605" s="11"/>
    </row>
    <row r="6606">
      <c r="A6606" s="7" t="s">
        <v>8175</v>
      </c>
      <c r="B6606" s="5" t="s">
        <v>12712</v>
      </c>
      <c r="C6606" s="5" t="s">
        <v>23760</v>
      </c>
      <c r="D6606" s="5" t="str">
        <v>231107321966</v>
      </c>
      <c r="E6606" s="0" t="e">
        <f>+7 (3472) 242700
+7 (3472) 466648
+7 (495) 9025876
+7 (495) 9815656
+7 (84537) 95211
+7 (861) 2742040</f>
        <v>#NAME?</v>
      </c>
      <c r="F6606" s="5" t="s">
        <v>44589</v>
      </c>
      <c r="G6606" s="5"/>
      <c r="H6606" s="26">
        <v>23.5</v>
      </c>
      <c r="I6606" s="5" t="s">
        <v>44590</v>
      </c>
      <c r="J6606" s="5" t="s">
        <v>39237</v>
      </c>
      <c r="K6606" s="5" t="s">
        <v>344</v>
      </c>
      <c r="L6606" s="5" t="s">
        <v>44591</v>
      </c>
      <c r="M6606" s="27"/>
      <c r="N6606" s="5"/>
      <c r="O6606" s="5" t="str">
        <v>2310057787</v>
      </c>
      <c r="P6606" s="27">
        <v>10000</v>
      </c>
      <c r="Q6606" s="5"/>
      <c r="R6606" s="5"/>
      <c r="S6606" s="5" t="s">
        <v>49029</v>
      </c>
      <c r="T6606" s="28">
        <v>1570322000</v>
      </c>
      <c r="U6606" s="28"/>
      <c r="V6606" s="28">
        <v>2882750000</v>
      </c>
      <c r="W6606" s="28"/>
      <c r="X6606" s="28">
        <v>1953000</v>
      </c>
      <c r="Y6606" s="28">
        <v>9360974000</v>
      </c>
      <c r="Z6606" s="28">
        <v>4485560000</v>
      </c>
      <c r="AA6606" s="28"/>
      <c r="AB6606" s="28">
        <v>2249841000</v>
      </c>
      <c r="AC6606" s="28">
        <v>3912708000</v>
      </c>
      <c r="AD6606" s="28">
        <v>4486570000</v>
      </c>
      <c r="AE6606" s="28">
        <v>25179207000</v>
      </c>
      <c r="AF6606" s="28">
        <v>3939275000</v>
      </c>
      <c r="AG6606" s="11"/>
    </row>
    <row r="6607">
      <c r="A6607" s="7" t="s">
        <v>8176</v>
      </c>
      <c r="B6607" s="5" t="s">
        <v>16119</v>
      </c>
      <c r="C6607" s="5" t="s">
        <v>23761</v>
      </c>
      <c r="D6607" s="5" t="str">
        <v>773419293756</v>
      </c>
      <c r="F6607" s="5"/>
      <c r="G6607" s="5"/>
      <c r="H6607" s="26">
        <v>3</v>
      </c>
      <c r="I6607" s="5"/>
      <c r="J6607" s="5" t="s">
        <v>27115</v>
      </c>
      <c r="K6607" s="5" t="s">
        <v>380</v>
      </c>
      <c r="L6607" s="5" t="s">
        <v>41156</v>
      </c>
      <c r="M6607" s="27"/>
      <c r="N6607" s="5"/>
      <c r="O6607" s="5" t="str">
        <v>7743333884</v>
      </c>
      <c r="P6607" s="27">
        <v>35000</v>
      </c>
      <c r="Q6607" s="5" t="s">
        <v>49057</v>
      </c>
      <c r="R6607" s="5" t="s">
        <v>59201</v>
      </c>
      <c r="S6607" s="5" t="s">
        <v>49452</v>
      </c>
      <c r="T6607" s="28"/>
      <c r="U6607" s="28"/>
      <c r="V6607" s="28">
        <v>2034167000</v>
      </c>
      <c r="W6607" s="28">
        <v>402016000</v>
      </c>
      <c r="X6607" s="28">
        <v>1000</v>
      </c>
      <c r="Y6607" s="28">
        <v>3335022000</v>
      </c>
      <c r="Z6607" s="28">
        <v>8663000</v>
      </c>
      <c r="AA6607" s="28"/>
      <c r="AB6607" s="28">
        <v>11727000</v>
      </c>
      <c r="AC6607" s="28">
        <v>3326324000</v>
      </c>
      <c r="AD6607" s="28">
        <v>8698000</v>
      </c>
      <c r="AE6607" s="28">
        <v>18373275000</v>
      </c>
      <c r="AF6607" s="28">
        <v>8251000</v>
      </c>
      <c r="AG6607" s="11"/>
    </row>
    <row r="6608">
      <c r="A6608" s="7" t="s">
        <v>8177</v>
      </c>
      <c r="B6608" s="5" t="s">
        <v>16120</v>
      </c>
      <c r="C6608" s="5" t="s">
        <v>23762</v>
      </c>
      <c r="D6608" s="5" t="str">
        <v>505030751494</v>
      </c>
      <c r="E6608" s="0" t="e">
        <f>+7 (495) 6657476
+7 (495) 7974273</f>
        <v>#NAME?</v>
      </c>
      <c r="F6608" s="5"/>
      <c r="G6608" s="5"/>
      <c r="H6608" s="26">
        <v>12.5</v>
      </c>
      <c r="I6608" s="5" t="s">
        <v>44592</v>
      </c>
      <c r="J6608" s="5" t="s">
        <v>25259</v>
      </c>
      <c r="K6608" s="5" t="s">
        <v>344</v>
      </c>
      <c r="L6608" s="5"/>
      <c r="M6608" s="27"/>
      <c r="N6608" s="5"/>
      <c r="O6608" s="5" t="str">
        <v>5029144981</v>
      </c>
      <c r="P6608" s="27">
        <v>64896377</v>
      </c>
      <c r="Q6608" s="5" t="s">
        <v>49021</v>
      </c>
      <c r="R6608" s="5"/>
      <c r="S6608" s="5" t="s">
        <v>59202</v>
      </c>
      <c r="T6608" s="28"/>
      <c r="U6608" s="28">
        <v>7929000</v>
      </c>
      <c r="V6608" s="28">
        <v>280764000</v>
      </c>
      <c r="W6608" s="28">
        <v>151000</v>
      </c>
      <c r="X6608" s="28">
        <v>268000</v>
      </c>
      <c r="Y6608" s="28">
        <v>2264937000</v>
      </c>
      <c r="Z6608" s="28">
        <v>904477000</v>
      </c>
      <c r="AA6608" s="28"/>
      <c r="AB6608" s="28"/>
      <c r="AC6608" s="28">
        <v>1295564000</v>
      </c>
      <c r="AD6608" s="28">
        <v>969373000</v>
      </c>
      <c r="AE6608" s="28">
        <v>5436878000</v>
      </c>
      <c r="AF6608" s="28">
        <v>27569000</v>
      </c>
      <c r="AG6608" s="11"/>
    </row>
    <row r="6609">
      <c r="A6609" s="7" t="s">
        <v>8178</v>
      </c>
      <c r="B6609" s="5" t="s">
        <v>16121</v>
      </c>
      <c r="C6609" s="5" t="s">
        <v>23763</v>
      </c>
      <c r="D6609" s="5" t="str">
        <v>272498125812</v>
      </c>
      <c r="E6609" s="0" t="e">
        <f>+7 (421) 2450709
+7 (421) 2783335
+7 (424) 2255125
+7 (800) 2502690
+7 (914) 1698853
+7 (914) 1870324
+7 (914) 5383717
+7 (914) 7040486
+7 (984) 2849711</f>
        <v>#NAME?</v>
      </c>
      <c r="F6609" s="5"/>
      <c r="G6609" s="5" t="s">
        <v>44593</v>
      </c>
      <c r="H6609" s="26">
        <v>14.5</v>
      </c>
      <c r="I6609" s="5" t="s">
        <v>44594</v>
      </c>
      <c r="J6609" s="5" t="s">
        <v>26918</v>
      </c>
      <c r="K6609" s="5" t="s">
        <v>344</v>
      </c>
      <c r="L6609" s="5" t="s">
        <v>44595</v>
      </c>
      <c r="M6609" s="27"/>
      <c r="N6609" s="5" t="s">
        <v>59203</v>
      </c>
      <c r="O6609" s="5" t="str">
        <v>2724122254</v>
      </c>
      <c r="P6609" s="27">
        <v>250000</v>
      </c>
      <c r="Q6609" s="5"/>
      <c r="R6609" s="5"/>
      <c r="S6609" s="5" t="s">
        <v>49110</v>
      </c>
      <c r="T6609" s="28">
        <v>12578000</v>
      </c>
      <c r="U6609" s="28"/>
      <c r="V6609" s="28">
        <v>60636000</v>
      </c>
      <c r="W6609" s="28">
        <v>188800000</v>
      </c>
      <c r="X6609" s="28">
        <v>537759000</v>
      </c>
      <c r="Y6609" s="28">
        <v>1302834000</v>
      </c>
      <c r="Z6609" s="28">
        <v>716404000</v>
      </c>
      <c r="AA6609" s="28">
        <v>3000</v>
      </c>
      <c r="AB6609" s="28">
        <v>14000</v>
      </c>
      <c r="AC6609" s="28">
        <v>559467000</v>
      </c>
      <c r="AD6609" s="28">
        <v>716654000</v>
      </c>
      <c r="AE6609" s="28">
        <v>3062497000</v>
      </c>
      <c r="AF6609" s="28">
        <v>355124000</v>
      </c>
      <c r="AG6609" s="11"/>
    </row>
    <row r="6610">
      <c r="A6610" s="7" t="s">
        <v>8179</v>
      </c>
      <c r="B6610" s="5" t="s">
        <v>16122</v>
      </c>
      <c r="C6610" s="5" t="s">
        <v>23764</v>
      </c>
      <c r="D6610" s="5" t="str">
        <v>450104549077</v>
      </c>
      <c r="E6610" s="0" t="e">
        <f>+7 (982) 4115201
+7 (346) 1251312
+7 (346) 1251318
+7 (922) 4056405</f>
        <v>#NAME?</v>
      </c>
      <c r="F6610" s="5" t="s">
        <v>44596</v>
      </c>
      <c r="G6610" s="5"/>
      <c r="H6610" s="26">
        <v>15</v>
      </c>
      <c r="I6610" s="5" t="s">
        <v>44597</v>
      </c>
      <c r="J6610" s="5" t="s">
        <v>373</v>
      </c>
      <c r="K6610" s="5" t="s">
        <v>344</v>
      </c>
      <c r="L6610" s="5"/>
      <c r="M6610" s="27">
        <v>1024590</v>
      </c>
      <c r="N6610" s="5" t="s">
        <v>59204</v>
      </c>
      <c r="O6610" s="5" t="str">
        <v>8604042262</v>
      </c>
      <c r="P6610" s="27">
        <v>29650000</v>
      </c>
      <c r="Q6610" s="5" t="s">
        <v>59205</v>
      </c>
      <c r="R6610" s="5"/>
      <c r="S6610" s="5" t="s">
        <v>49361</v>
      </c>
      <c r="T6610" s="28">
        <v>1160386000</v>
      </c>
      <c r="U6610" s="28">
        <v>17439000</v>
      </c>
      <c r="V6610" s="28">
        <v>821266000</v>
      </c>
      <c r="W6610" s="28"/>
      <c r="X6610" s="28">
        <v>9908000</v>
      </c>
      <c r="Y6610" s="28">
        <v>2917961000</v>
      </c>
      <c r="Z6610" s="28">
        <v>269304000</v>
      </c>
      <c r="AA6610" s="28">
        <v>490000000</v>
      </c>
      <c r="AB6610" s="28">
        <v>12000000</v>
      </c>
      <c r="AC6610" s="28">
        <v>693825000</v>
      </c>
      <c r="AD6610" s="28">
        <v>1553811000</v>
      </c>
      <c r="AE6610" s="28">
        <v>4345486000</v>
      </c>
      <c r="AF6610" s="28">
        <v>51416000</v>
      </c>
      <c r="AG6610" s="11"/>
    </row>
    <row r="6611">
      <c r="A6611" s="7" t="s">
        <v>8180</v>
      </c>
      <c r="B6611" s="5" t="s">
        <v>16123</v>
      </c>
      <c r="C6611" s="5" t="s">
        <v>23765</v>
      </c>
      <c r="D6611" s="5" t="str">
        <v>683204895137</v>
      </c>
      <c r="E6611" s="0" t="e">
        <f>+7 (4232) 300530
+7 (495) 6443232
+7 (800) 3335533
+7 (812) 3134110
+7 (909) 2618747</f>
        <v>#NAME?</v>
      </c>
      <c r="F6611" s="5" t="s">
        <v>44598</v>
      </c>
      <c r="G6611" s="5"/>
      <c r="H6611" s="26">
        <v>7.5</v>
      </c>
      <c r="I6611" s="5" t="s">
        <v>44599</v>
      </c>
      <c r="J6611" s="5" t="s">
        <v>26447</v>
      </c>
      <c r="K6611" s="5" t="s">
        <v>344</v>
      </c>
      <c r="L6611" s="5"/>
      <c r="M6611" s="27"/>
      <c r="N6611" s="5"/>
      <c r="O6611" s="5" t="str">
        <v>7724330398</v>
      </c>
      <c r="P6611" s="27">
        <v>710000</v>
      </c>
      <c r="Q6611" s="5" t="s">
        <v>59206</v>
      </c>
      <c r="R6611" s="5"/>
      <c r="S6611" s="5" t="s">
        <v>49053</v>
      </c>
      <c r="T6611" s="28">
        <v>5086000</v>
      </c>
      <c r="U6611" s="28"/>
      <c r="V6611" s="28">
        <v>499990000</v>
      </c>
      <c r="W6611" s="28">
        <v>90000000</v>
      </c>
      <c r="X6611" s="28">
        <v>6279000</v>
      </c>
      <c r="Y6611" s="28">
        <v>710282000</v>
      </c>
      <c r="Z6611" s="28">
        <v>446660000</v>
      </c>
      <c r="AA6611" s="28"/>
      <c r="AB6611" s="28"/>
      <c r="AC6611" s="28">
        <v>260144000</v>
      </c>
      <c r="AD6611" s="28">
        <v>447370000</v>
      </c>
      <c r="AE6611" s="28">
        <v>5086926000</v>
      </c>
      <c r="AF6611" s="28">
        <v>189070000</v>
      </c>
      <c r="AG6611" s="11"/>
    </row>
    <row r="6612">
      <c r="A6612" s="7" t="s">
        <v>8181</v>
      </c>
      <c r="B6612" s="5" t="s">
        <v>16124</v>
      </c>
      <c r="C6612" s="5" t="s">
        <v>23766</v>
      </c>
      <c r="D6612" s="5" t="str">
        <v>503602758457</v>
      </c>
      <c r="E6612" s="0" t="e">
        <f>+7 (495) 7273214</f>
        <v>#NAME?</v>
      </c>
      <c r="F6612" s="5"/>
      <c r="G6612" s="5"/>
      <c r="H6612" s="26">
        <v>5.5</v>
      </c>
      <c r="I6612" s="5" t="s">
        <v>44600</v>
      </c>
      <c r="J6612" s="5" t="s">
        <v>678</v>
      </c>
      <c r="K6612" s="5" t="s">
        <v>355</v>
      </c>
      <c r="L6612" s="5" t="s">
        <v>44601</v>
      </c>
      <c r="M6612" s="27">
        <v>91216</v>
      </c>
      <c r="N6612" s="5"/>
      <c r="O6612" s="5" t="str">
        <v>7724417909</v>
      </c>
      <c r="P6612" s="27">
        <v>200000</v>
      </c>
      <c r="Q6612" s="5" t="s">
        <v>49579</v>
      </c>
      <c r="R6612" s="5"/>
      <c r="S6612" s="5" t="s">
        <v>59207</v>
      </c>
      <c r="T6612" s="28">
        <v>289747000</v>
      </c>
      <c r="U6612" s="28"/>
      <c r="V6612" s="28">
        <v>2752654000</v>
      </c>
      <c r="W6612" s="28">
        <v>607000</v>
      </c>
      <c r="X6612" s="28">
        <v>11239000</v>
      </c>
      <c r="Y6612" s="28">
        <v>7478187000</v>
      </c>
      <c r="Z6612" s="28">
        <v>532464000</v>
      </c>
      <c r="AA6612" s="28">
        <v>45255000</v>
      </c>
      <c r="AB6612" s="28">
        <v>3335079000</v>
      </c>
      <c r="AC6612" s="28">
        <v>6821990000</v>
      </c>
      <c r="AD6612" s="28">
        <v>532664000</v>
      </c>
      <c r="AE6612" s="28">
        <v>10238399000</v>
      </c>
      <c r="AF6612" s="28">
        <v>186298000</v>
      </c>
      <c r="AG6612" s="11"/>
    </row>
    <row r="6613">
      <c r="A6613" s="7" t="s">
        <v>8181</v>
      </c>
      <c r="B6613" s="5" t="s">
        <v>16125</v>
      </c>
      <c r="C6613" s="5" t="s">
        <v>23767</v>
      </c>
      <c r="D6613" s="5" t="str">
        <v>744600325965</v>
      </c>
      <c r="E6613" s="0" t="e">
        <f>+7 (3519) 221458
+7 (904) 6547596
+7 (904) 8453546
+7 (904) 8563545
+7 (904) 8658552
+7 (906) 4563645
+7 (906) 5634523
+7 (908) 5633663
+7 (908) 5696336
+7 (908) 5863245
+7 (908) 5863575
+7 (908) 6283656
+7 (908) 6533665
+7 (908) 8512347
+7 (908) 8582855</f>
        <v>#NAME?</v>
      </c>
      <c r="F6613" s="5"/>
      <c r="G6613" s="5"/>
      <c r="H6613" s="26">
        <v>8</v>
      </c>
      <c r="I6613" s="5" t="s">
        <v>44602</v>
      </c>
      <c r="J6613" s="5" t="s">
        <v>27654</v>
      </c>
      <c r="K6613" s="5" t="s">
        <v>344</v>
      </c>
      <c r="L6613" s="5" t="s">
        <v>44603</v>
      </c>
      <c r="M6613" s="27"/>
      <c r="N6613" s="5" t="s">
        <v>59208</v>
      </c>
      <c r="O6613" s="5" t="str">
        <v>7456025861</v>
      </c>
      <c r="P6613" s="27">
        <v>10000</v>
      </c>
      <c r="Q6613" s="5"/>
      <c r="R6613" s="5"/>
      <c r="S6613" s="5" t="s">
        <v>49425</v>
      </c>
      <c r="T6613" s="28">
        <v>246141000</v>
      </c>
      <c r="U6613" s="28"/>
      <c r="V6613" s="28">
        <v>366027000</v>
      </c>
      <c r="W6613" s="28"/>
      <c r="X6613" s="28">
        <v>3533000</v>
      </c>
      <c r="Y6613" s="28">
        <v>899682000</v>
      </c>
      <c r="Z6613" s="28">
        <v>392118000</v>
      </c>
      <c r="AA6613" s="28">
        <v>7735000</v>
      </c>
      <c r="AB6613" s="28">
        <v>109714000</v>
      </c>
      <c r="AC6613" s="28">
        <v>497455000</v>
      </c>
      <c r="AD6613" s="28">
        <v>392128000</v>
      </c>
      <c r="AE6613" s="28">
        <v>3219019000</v>
      </c>
      <c r="AF6613" s="28">
        <v>155437000</v>
      </c>
      <c r="AG6613" s="11"/>
    </row>
    <row r="6614">
      <c r="A6614" s="7" t="s">
        <v>8182</v>
      </c>
      <c r="B6614" s="5" t="s">
        <v>16126</v>
      </c>
      <c r="C6614" s="5" t="s">
        <v>23768</v>
      </c>
      <c r="D6614" s="5" t="str">
        <v>502714276481</v>
      </c>
      <c r="E6614" s="0" t="e">
        <f>+7 (495) 1501140
+7 (499) 2882841
+7 (925) 7862768
+7 (926) 3420161</f>
        <v>#NAME?</v>
      </c>
      <c r="F6614" s="5" t="s">
        <v>44604</v>
      </c>
      <c r="G6614" s="5" t="s">
        <v>44605</v>
      </c>
      <c r="H6614" s="26">
        <v>7</v>
      </c>
      <c r="I6614" s="5" t="s">
        <v>44606</v>
      </c>
      <c r="J6614" s="5" t="s">
        <v>25955</v>
      </c>
      <c r="K6614" s="5" t="s">
        <v>344</v>
      </c>
      <c r="L6614" s="5" t="s">
        <v>32102</v>
      </c>
      <c r="M6614" s="27">
        <v>3928826</v>
      </c>
      <c r="N6614" s="5" t="s">
        <v>59209</v>
      </c>
      <c r="O6614" s="5" t="str">
        <v>5029210472</v>
      </c>
      <c r="P6614" s="27">
        <v>1000000</v>
      </c>
      <c r="Q6614" s="5" t="s">
        <v>59210</v>
      </c>
      <c r="R6614" s="5"/>
      <c r="S6614" s="5" t="s">
        <v>58979</v>
      </c>
      <c r="T6614" s="28">
        <v>47295000</v>
      </c>
      <c r="U6614" s="28">
        <v>120168000</v>
      </c>
      <c r="V6614" s="28">
        <v>1092159000</v>
      </c>
      <c r="W6614" s="28">
        <v>44000000</v>
      </c>
      <c r="X6614" s="28">
        <v>35770000</v>
      </c>
      <c r="Y6614" s="28">
        <v>2194864000</v>
      </c>
      <c r="Z6614" s="28">
        <v>682369000</v>
      </c>
      <c r="AA6614" s="28"/>
      <c r="AB6614" s="28">
        <v>629993000</v>
      </c>
      <c r="AC6614" s="28">
        <v>1471341000</v>
      </c>
      <c r="AD6614" s="28">
        <v>683369000</v>
      </c>
      <c r="AE6614" s="28">
        <v>4874954000</v>
      </c>
      <c r="AF6614" s="28">
        <v>355169000</v>
      </c>
      <c r="AG6614" s="11"/>
    </row>
    <row r="6615">
      <c r="A6615" s="7" t="s">
        <v>8183</v>
      </c>
      <c r="B6615" s="5" t="s">
        <v>16127</v>
      </c>
      <c r="C6615" s="5" t="s">
        <v>23769</v>
      </c>
      <c r="D6615" s="5" t="str">
        <v>390615313003</v>
      </c>
      <c r="E6615" s="0" t="e">
        <f>+7 (401) 2219258
+7 (401) 2219697
+7 (401) 2312119
+7 (401) 2651220</f>
        <v>#NAME?</v>
      </c>
      <c r="F6615" s="5" t="s">
        <v>44607</v>
      </c>
      <c r="G6615" s="5"/>
      <c r="H6615" s="26">
        <v>21</v>
      </c>
      <c r="I6615" s="5" t="s">
        <v>44608</v>
      </c>
      <c r="J6615" s="5" t="s">
        <v>678</v>
      </c>
      <c r="K6615" s="5" t="s">
        <v>355</v>
      </c>
      <c r="L6615" s="5" t="s">
        <v>44609</v>
      </c>
      <c r="M6615" s="27"/>
      <c r="N6615" s="5"/>
      <c r="O6615" s="5" t="str">
        <v>3904047417</v>
      </c>
      <c r="P6615" s="27">
        <v>25025000</v>
      </c>
      <c r="Q6615" s="5"/>
      <c r="R6615" s="5"/>
      <c r="S6615" s="5" t="s">
        <v>57805</v>
      </c>
      <c r="T6615" s="28">
        <v>630000</v>
      </c>
      <c r="U6615" s="28">
        <v>51004000</v>
      </c>
      <c r="V6615" s="28">
        <v>1378906000</v>
      </c>
      <c r="W6615" s="28"/>
      <c r="X6615" s="28">
        <v>1771000</v>
      </c>
      <c r="Y6615" s="28">
        <v>1794017000</v>
      </c>
      <c r="Z6615" s="28">
        <v>1057737000</v>
      </c>
      <c r="AA6615" s="28"/>
      <c r="AB6615" s="28"/>
      <c r="AC6615" s="28">
        <v>711255000</v>
      </c>
      <c r="AD6615" s="28">
        <v>1082762000</v>
      </c>
      <c r="AE6615" s="28">
        <v>4821401000</v>
      </c>
      <c r="AF6615" s="28">
        <v>-42680000</v>
      </c>
      <c r="AG6615" s="11"/>
    </row>
    <row r="6616">
      <c r="A6616" s="7" t="s">
        <v>8184</v>
      </c>
      <c r="B6616" s="5" t="s">
        <v>15869</v>
      </c>
      <c r="C6616" s="5" t="s">
        <v>23770</v>
      </c>
      <c r="D6616" s="5" t="str">
        <v>701802078884</v>
      </c>
      <c r="E6616" s="0" t="e">
        <f>+7 (382) 2242603
+7 (382) 2242620
+7 (382) 2242675
+7 (382) 2279081
+7 (382) 2445687
+7 (382) 2460059
+7 (382) 2634190
+7 (382) 2634306
+7 (382) 2710993</f>
        <v>#NAME?</v>
      </c>
      <c r="F6616" s="5" t="s">
        <v>44610</v>
      </c>
      <c r="G6616" s="5"/>
      <c r="H6616" s="26">
        <v>21</v>
      </c>
      <c r="I6616" s="5" t="s">
        <v>44611</v>
      </c>
      <c r="J6616" s="5" t="s">
        <v>27174</v>
      </c>
      <c r="K6616" s="5" t="s">
        <v>344</v>
      </c>
      <c r="L6616" s="5" t="s">
        <v>44612</v>
      </c>
      <c r="M6616" s="27">
        <v>32030042</v>
      </c>
      <c r="N6616" s="5" t="s">
        <v>59211</v>
      </c>
      <c r="O6616" s="5" t="str">
        <v>7014036553</v>
      </c>
      <c r="P6616" s="27">
        <v>77573149</v>
      </c>
      <c r="Q6616" s="5" t="s">
        <v>59212</v>
      </c>
      <c r="R6616" s="5"/>
      <c r="S6616" s="5" t="s">
        <v>59213</v>
      </c>
      <c r="T6616" s="28">
        <v>320437000</v>
      </c>
      <c r="U6616" s="28">
        <v>293757000</v>
      </c>
      <c r="V6616" s="28">
        <v>2253236000</v>
      </c>
      <c r="W6616" s="28">
        <v>2746000</v>
      </c>
      <c r="X6616" s="28">
        <v>56000000</v>
      </c>
      <c r="Y6616" s="28">
        <v>11816236000</v>
      </c>
      <c r="Z6616" s="28">
        <v>7019598000</v>
      </c>
      <c r="AA6616" s="28">
        <v>2090342000</v>
      </c>
      <c r="AB6616" s="28">
        <v>170318000</v>
      </c>
      <c r="AC6616" s="28">
        <v>2499419000</v>
      </c>
      <c r="AD6616" s="28">
        <v>7402190000</v>
      </c>
      <c r="AE6616" s="28">
        <v>8268070000</v>
      </c>
      <c r="AF6616" s="28">
        <v>873196000</v>
      </c>
      <c r="AG6616" s="11"/>
    </row>
    <row r="6617">
      <c r="A6617" s="7" t="s">
        <v>8185</v>
      </c>
      <c r="B6617" s="5" t="s">
        <v>16128</v>
      </c>
      <c r="C6617" s="5" t="s">
        <v>23771</v>
      </c>
      <c r="D6617" s="5" t="str">
        <v>720306509100</v>
      </c>
      <c r="E6617" s="0" t="e">
        <f>+7 (982) 9820029
+7 (345) 2220020
+7 (345) 2220096
+7 (345) 2220097
+7 (345) 2220402
+7 (345) 2222200
+7 (345) 2276907
+7 (345) 2276968
+7 (345) 2276981</f>
        <v>#NAME?</v>
      </c>
      <c r="F6617" s="5" t="s">
        <v>44613</v>
      </c>
      <c r="G6617" s="5" t="s">
        <v>44614</v>
      </c>
      <c r="H6617" s="26">
        <v>30.5</v>
      </c>
      <c r="I6617" s="5"/>
      <c r="J6617" s="5" t="s">
        <v>364</v>
      </c>
      <c r="K6617" s="5" t="s">
        <v>344</v>
      </c>
      <c r="L6617" s="5" t="s">
        <v>44615</v>
      </c>
      <c r="M6617" s="27">
        <v>138657</v>
      </c>
      <c r="N6617" s="5" t="s">
        <v>59214</v>
      </c>
      <c r="O6617" s="5" t="str">
        <v>7203032191</v>
      </c>
      <c r="P6617" s="27">
        <v>9767250</v>
      </c>
      <c r="Q6617" s="5" t="s">
        <v>59216</v>
      </c>
      <c r="R6617" s="5"/>
      <c r="S6617" s="5" t="s">
        <v>50179</v>
      </c>
      <c r="T6617" s="28">
        <v>3024945000</v>
      </c>
      <c r="U6617" s="28">
        <v>203907000</v>
      </c>
      <c r="V6617" s="28">
        <v>636892000</v>
      </c>
      <c r="W6617" s="28">
        <v>230172000</v>
      </c>
      <c r="X6617" s="28">
        <v>9550095000</v>
      </c>
      <c r="Y6617" s="28">
        <v>23502460000</v>
      </c>
      <c r="Z6617" s="28">
        <v>22408515000</v>
      </c>
      <c r="AA6617" s="28"/>
      <c r="AB6617" s="28"/>
      <c r="AC6617" s="28">
        <v>607368000</v>
      </c>
      <c r="AD6617" s="28">
        <v>22435749000</v>
      </c>
      <c r="AE6617" s="28">
        <v>12725177000</v>
      </c>
      <c r="AF6617" s="28">
        <v>3755761000</v>
      </c>
      <c r="AG6617" s="11"/>
    </row>
    <row r="6618">
      <c r="A6618" s="7" t="s">
        <v>8186</v>
      </c>
      <c r="B6618" s="5" t="s">
        <v>13311</v>
      </c>
      <c r="C6618" s="5" t="s">
        <v>23772</v>
      </c>
      <c r="D6618" s="5" t="str">
        <v>770510174400</v>
      </c>
      <c r="E6618" s="0" t="e">
        <f>+7 (495) 6041081
+7 (495) 6442235
+7 (495) 9349713
+7 (499) 2349713</f>
        <v>#NAME?</v>
      </c>
      <c r="F6618" s="5" t="s">
        <v>44616</v>
      </c>
      <c r="G6618" s="5" t="s">
        <v>44617</v>
      </c>
      <c r="H6618" s="26">
        <v>23.5</v>
      </c>
      <c r="I6618" s="5" t="s">
        <v>44618</v>
      </c>
      <c r="J6618" s="5" t="s">
        <v>25429</v>
      </c>
      <c r="K6618" s="5" t="s">
        <v>344</v>
      </c>
      <c r="L6618" s="5" t="s">
        <v>44619</v>
      </c>
      <c r="M6618" s="27"/>
      <c r="N6618" s="5" t="s">
        <v>59217</v>
      </c>
      <c r="O6618" s="5" t="str">
        <v>7707282440</v>
      </c>
      <c r="P6618" s="27">
        <v>3130015000</v>
      </c>
      <c r="Q6618" s="5" t="s">
        <v>59218</v>
      </c>
      <c r="R6618" s="5"/>
      <c r="S6618" s="5" t="s">
        <v>49089</v>
      </c>
      <c r="T6618" s="28">
        <v>822023000</v>
      </c>
      <c r="U6618" s="28"/>
      <c r="V6618" s="28">
        <v>13632886000</v>
      </c>
      <c r="W6618" s="28"/>
      <c r="X6618" s="28">
        <v>985657000</v>
      </c>
      <c r="Y6618" s="28">
        <v>21786170000</v>
      </c>
      <c r="Z6618" s="28">
        <v>-9316054000</v>
      </c>
      <c r="AA6618" s="28"/>
      <c r="AB6618" s="28">
        <v>252000</v>
      </c>
      <c r="AC6618" s="28">
        <v>7346439000</v>
      </c>
      <c r="AD6618" s="28">
        <v>13864362000</v>
      </c>
      <c r="AE6618" s="28">
        <v>33831877000</v>
      </c>
      <c r="AF6618" s="28">
        <v>1306409000</v>
      </c>
      <c r="AG6618" s="11"/>
    </row>
    <row r="6619">
      <c r="A6619" s="7" t="s">
        <v>8187</v>
      </c>
      <c r="B6619" s="5" t="s">
        <v>16129</v>
      </c>
      <c r="C6619" s="5" t="s">
        <v>23773</v>
      </c>
      <c r="D6619" s="5" t="str">
        <v>344400616677</v>
      </c>
      <c r="E6619" s="0" t="e">
        <f>+7 (495) 6957112
+7 (343) 3420124
+7 (3519) 485951
+7 (495) 2151006
+7 (495) 5101820
+7 (495) 5101824
+7 (495) 5501820
+7 (495) 6908734
+7 (49622) 54832
+7 (49640) 31890
+7 (812) 4491486
+7 (812) 4492070
+7 (812) 7184090
+7 (812) 9276436
+7 (855) 2528729</f>
        <v>#NAME?</v>
      </c>
      <c r="F6619" s="5" t="s">
        <v>44620</v>
      </c>
      <c r="G6619" s="5" t="s">
        <v>44621</v>
      </c>
      <c r="H6619" s="26">
        <v>31</v>
      </c>
      <c r="I6619" s="5" t="s">
        <v>44622</v>
      </c>
      <c r="J6619" s="5" t="s">
        <v>678</v>
      </c>
      <c r="K6619" s="5" t="s">
        <v>344</v>
      </c>
      <c r="L6619" s="5" t="s">
        <v>44623</v>
      </c>
      <c r="M6619" s="27">
        <v>224962034</v>
      </c>
      <c r="N6619" s="5" t="s">
        <v>59219</v>
      </c>
      <c r="O6619" s="5" t="str">
        <v>7703444041</v>
      </c>
      <c r="P6619" s="27">
        <v>254184720</v>
      </c>
      <c r="Q6619" s="5" t="s">
        <v>59220</v>
      </c>
      <c r="R6619" s="5"/>
      <c r="S6619" s="5" t="s">
        <v>49956</v>
      </c>
      <c r="T6619" s="28">
        <v>1208050000</v>
      </c>
      <c r="U6619" s="28"/>
      <c r="V6619" s="28">
        <v>1228858000</v>
      </c>
      <c r="W6619" s="28"/>
      <c r="X6619" s="28">
        <v>227517000</v>
      </c>
      <c r="Y6619" s="28">
        <v>3482881000</v>
      </c>
      <c r="Z6619" s="28">
        <v>84433000</v>
      </c>
      <c r="AA6619" s="28">
        <v>70000000</v>
      </c>
      <c r="AB6619" s="28">
        <v>24000</v>
      </c>
      <c r="AC6619" s="28">
        <v>449699000</v>
      </c>
      <c r="AD6619" s="28">
        <v>2861355000</v>
      </c>
      <c r="AE6619" s="28">
        <v>5747196000</v>
      </c>
      <c r="AF6619" s="28">
        <v>42514000</v>
      </c>
      <c r="AG6619" s="11"/>
    </row>
    <row r="6620">
      <c r="A6620" s="7" t="s">
        <v>8188</v>
      </c>
      <c r="B6620" s="5" t="s">
        <v>16130</v>
      </c>
      <c r="C6620" s="5" t="s">
        <v>23774</v>
      </c>
      <c r="D6620" s="5" t="str">
        <v>610205756249</v>
      </c>
      <c r="E6620" s="0" t="e">
        <f>+7 (495) 2255591
+7 (495) 9802720
+7 (499) 7348413
+7 (965) 1125808</f>
        <v>#NAME?</v>
      </c>
      <c r="F6620" s="5" t="s">
        <v>44624</v>
      </c>
      <c r="G6620" s="5"/>
      <c r="H6620" s="26">
        <v>16.5</v>
      </c>
      <c r="I6620" s="5" t="s">
        <v>44625</v>
      </c>
      <c r="J6620" s="5" t="s">
        <v>373</v>
      </c>
      <c r="K6620" s="5" t="s">
        <v>344</v>
      </c>
      <c r="L6620" s="5" t="s">
        <v>44626</v>
      </c>
      <c r="M6620" s="27"/>
      <c r="N6620" s="5"/>
      <c r="O6620" s="5" t="str">
        <v>5003062974</v>
      </c>
      <c r="P6620" s="27">
        <v>13310000</v>
      </c>
      <c r="Q6620" s="5"/>
      <c r="R6620" s="5"/>
      <c r="S6620" s="5" t="s">
        <v>49029</v>
      </c>
      <c r="T6620" s="28">
        <v>14027000</v>
      </c>
      <c r="U6620" s="28">
        <v>78007000</v>
      </c>
      <c r="V6620" s="28">
        <v>314350000</v>
      </c>
      <c r="W6620" s="28"/>
      <c r="X6620" s="28">
        <v>312474000</v>
      </c>
      <c r="Y6620" s="28">
        <v>1735083000</v>
      </c>
      <c r="Z6620" s="28">
        <v>1365961000</v>
      </c>
      <c r="AA6620" s="28"/>
      <c r="AB6620" s="28"/>
      <c r="AC6620" s="28">
        <v>355631000</v>
      </c>
      <c r="AD6620" s="28">
        <v>1379414000</v>
      </c>
      <c r="AE6620" s="28">
        <v>4004880000</v>
      </c>
      <c r="AF6620" s="28">
        <v>556454000</v>
      </c>
      <c r="AG6620" s="11"/>
    </row>
    <row r="6621">
      <c r="A6621" s="7" t="s">
        <v>8189</v>
      </c>
      <c r="B6621" s="5" t="s">
        <v>16131</v>
      </c>
      <c r="C6621" s="5" t="s">
        <v>23775</v>
      </c>
      <c r="D6621" s="5" t="str">
        <v>503236671390</v>
      </c>
      <c r="F6621" s="5"/>
      <c r="G6621" s="5"/>
      <c r="H6621" s="26">
        <v>18</v>
      </c>
      <c r="I6621" s="5"/>
      <c r="J6621" s="5" t="s">
        <v>881</v>
      </c>
      <c r="K6621" s="5" t="s">
        <v>344</v>
      </c>
      <c r="L6621" s="5" t="s">
        <v>44627</v>
      </c>
      <c r="M6621" s="27"/>
      <c r="N6621" s="5" t="s">
        <v>59221</v>
      </c>
      <c r="O6621" s="5" t="str">
        <v>7722531204</v>
      </c>
      <c r="P6621" s="27">
        <v>10000000</v>
      </c>
      <c r="Q6621" s="5" t="s">
        <v>59222</v>
      </c>
      <c r="R6621" s="5"/>
      <c r="S6621" s="5" t="s">
        <v>51483</v>
      </c>
      <c r="T6621" s="28">
        <v>207735000</v>
      </c>
      <c r="U6621" s="28">
        <v>88258000</v>
      </c>
      <c r="V6621" s="28">
        <v>2229672000</v>
      </c>
      <c r="W6621" s="28">
        <v>2900700000</v>
      </c>
      <c r="X6621" s="28">
        <v>60802000</v>
      </c>
      <c r="Y6621" s="28">
        <v>5697634000</v>
      </c>
      <c r="Z6621" s="28">
        <v>3073300000</v>
      </c>
      <c r="AA6621" s="28"/>
      <c r="AB6621" s="28"/>
      <c r="AC6621" s="28">
        <v>2338049000</v>
      </c>
      <c r="AD6621" s="28">
        <v>3083305000</v>
      </c>
      <c r="AE6621" s="28">
        <v>7704479000</v>
      </c>
      <c r="AF6621" s="28">
        <v>2019716000</v>
      </c>
      <c r="AG6621" s="11"/>
    </row>
    <row r="6622">
      <c r="A6622" s="7" t="s">
        <v>8190</v>
      </c>
      <c r="B6622" s="5" t="s">
        <v>16132</v>
      </c>
      <c r="C6622" s="5" t="s">
        <v>23776</v>
      </c>
      <c r="D6622" s="5" t="str">
        <v>771306037123</v>
      </c>
      <c r="E6622" s="0" t="e">
        <f>+7 (495) 6892342
+7 (495) 7894829
+7 (8435) 674290
+7 (915) 1300909</f>
        <v>#NAME?</v>
      </c>
      <c r="F6622" s="5" t="s">
        <v>44628</v>
      </c>
      <c r="G6622" s="5" t="s">
        <v>44629</v>
      </c>
      <c r="H6622" s="26">
        <v>13</v>
      </c>
      <c r="I6622" s="5" t="s">
        <v>44630</v>
      </c>
      <c r="J6622" s="5" t="s">
        <v>26256</v>
      </c>
      <c r="K6622" s="5" t="s">
        <v>344</v>
      </c>
      <c r="L6622" s="5" t="s">
        <v>44631</v>
      </c>
      <c r="M6622" s="27"/>
      <c r="N6622" s="5" t="s">
        <v>59223</v>
      </c>
      <c r="O6622" s="5" t="str">
        <v>7731642944</v>
      </c>
      <c r="P6622" s="27">
        <v>73000</v>
      </c>
      <c r="Q6622" s="5" t="s">
        <v>59224</v>
      </c>
      <c r="R6622" s="5"/>
      <c r="S6622" s="5" t="s">
        <v>59225</v>
      </c>
      <c r="T6622" s="28">
        <v>185799000</v>
      </c>
      <c r="U6622" s="28"/>
      <c r="V6622" s="28">
        <v>2428725000</v>
      </c>
      <c r="W6622" s="28">
        <v>765367000</v>
      </c>
      <c r="X6622" s="28">
        <v>196771000</v>
      </c>
      <c r="Y6622" s="28">
        <v>3929151000</v>
      </c>
      <c r="Z6622" s="28">
        <v>1194642000</v>
      </c>
      <c r="AA6622" s="28">
        <v>133996000</v>
      </c>
      <c r="AB6622" s="28">
        <v>1831000</v>
      </c>
      <c r="AC6622" s="28">
        <v>2516580000</v>
      </c>
      <c r="AD6622" s="28">
        <v>1194715000</v>
      </c>
      <c r="AE6622" s="28">
        <v>7461187000</v>
      </c>
      <c r="AF6622" s="28">
        <v>645622000</v>
      </c>
      <c r="AG6622" s="11"/>
    </row>
    <row r="6623">
      <c r="A6623" s="7" t="s">
        <v>8191</v>
      </c>
      <c r="B6623" s="5" t="s">
        <v>16133</v>
      </c>
      <c r="C6623" s="5" t="s">
        <v>23777</v>
      </c>
      <c r="D6623" s="5" t="str">
        <v>504700249643</v>
      </c>
      <c r="E6623" s="0" t="e">
        <f>+7 (495) 9802221
+7 (499) 5570465
+7 (800) 5505189
+7 (960) 932258</f>
        <v>#NAME?</v>
      </c>
      <c r="F6623" s="5" t="s">
        <v>44632</v>
      </c>
      <c r="G6623" s="5" t="s">
        <v>44633</v>
      </c>
      <c r="H6623" s="26">
        <v>6.5</v>
      </c>
      <c r="I6623" s="5" t="s">
        <v>44634</v>
      </c>
      <c r="J6623" s="5" t="s">
        <v>31819</v>
      </c>
      <c r="K6623" s="5" t="s">
        <v>344</v>
      </c>
      <c r="L6623" s="5" t="s">
        <v>44635</v>
      </c>
      <c r="M6623" s="27">
        <v>19588782</v>
      </c>
      <c r="N6623" s="5" t="s">
        <v>59226</v>
      </c>
      <c r="O6623" s="5" t="str">
        <v>7725339890</v>
      </c>
      <c r="P6623" s="27">
        <v>10000</v>
      </c>
      <c r="Q6623" s="5" t="s">
        <v>59227</v>
      </c>
      <c r="R6623" s="5"/>
      <c r="S6623" s="5" t="s">
        <v>59228</v>
      </c>
      <c r="T6623" s="28">
        <v>61436000</v>
      </c>
      <c r="U6623" s="28"/>
      <c r="V6623" s="28">
        <v>1197711000</v>
      </c>
      <c r="W6623" s="28">
        <v>798591000</v>
      </c>
      <c r="X6623" s="28">
        <v>2393000</v>
      </c>
      <c r="Y6623" s="28">
        <v>2839420000</v>
      </c>
      <c r="Z6623" s="28">
        <v>2001885000</v>
      </c>
      <c r="AA6623" s="28"/>
      <c r="AB6623" s="28"/>
      <c r="AC6623" s="28">
        <v>799628000</v>
      </c>
      <c r="AD6623" s="28">
        <v>2030431000</v>
      </c>
      <c r="AE6623" s="28">
        <v>3202687000</v>
      </c>
      <c r="AF6623" s="28">
        <v>730611000</v>
      </c>
      <c r="AG6623" s="11"/>
    </row>
    <row r="6624">
      <c r="A6624" s="7" t="s">
        <v>8192</v>
      </c>
      <c r="B6624" s="5" t="s">
        <v>16134</v>
      </c>
      <c r="C6624" s="5" t="s">
        <v>23778</v>
      </c>
      <c r="D6624" s="5" t="str">
        <v>773169090616</v>
      </c>
      <c r="E6624" s="0" t="e">
        <f>+7 (800) 5118420
+7 (926) 6116942
+7 (968) 7686537
+7 (985) 537284</f>
        <v>#NAME?</v>
      </c>
      <c r="F6624" s="5" t="s">
        <v>44636</v>
      </c>
      <c r="G6624" s="5" t="s">
        <v>44637</v>
      </c>
      <c r="H6624" s="26">
        <v>6.5</v>
      </c>
      <c r="I6624" s="5" t="s">
        <v>44638</v>
      </c>
      <c r="J6624" s="5" t="s">
        <v>25193</v>
      </c>
      <c r="K6624" s="5" t="s">
        <v>344</v>
      </c>
      <c r="L6624" s="5" t="s">
        <v>44639</v>
      </c>
      <c r="M6624" s="27">
        <v>1561479</v>
      </c>
      <c r="N6624" s="5"/>
      <c r="O6624" s="5" t="str">
        <v>9717026658</v>
      </c>
      <c r="P6624" s="27">
        <v>250000</v>
      </c>
      <c r="Q6624" s="5" t="s">
        <v>49021</v>
      </c>
      <c r="R6624" s="5" t="s">
        <v>59229</v>
      </c>
      <c r="S6624" s="5" t="s">
        <v>50525</v>
      </c>
      <c r="T6624" s="28">
        <v>83063000</v>
      </c>
      <c r="U6624" s="28">
        <v>612000000</v>
      </c>
      <c r="V6624" s="28">
        <v>133218000</v>
      </c>
      <c r="W6624" s="28">
        <v>10000000</v>
      </c>
      <c r="X6624" s="28">
        <v>185941000</v>
      </c>
      <c r="Y6624" s="28">
        <v>1910014000</v>
      </c>
      <c r="Z6624" s="28">
        <v>1096956000</v>
      </c>
      <c r="AA6624" s="28">
        <v>28275000</v>
      </c>
      <c r="AB6624" s="28"/>
      <c r="AC6624" s="28">
        <v>685132000</v>
      </c>
      <c r="AD6624" s="28">
        <v>1097206000</v>
      </c>
      <c r="AE6624" s="28">
        <v>4882400000</v>
      </c>
      <c r="AF6624" s="28">
        <v>690247000</v>
      </c>
      <c r="AG6624" s="11"/>
    </row>
    <row r="6625">
      <c r="A6625" s="7" t="s">
        <v>8193</v>
      </c>
      <c r="B6625" s="5" t="s">
        <v>16135</v>
      </c>
      <c r="C6625" s="5" t="s">
        <v>23779</v>
      </c>
      <c r="D6625" s="5" t="str">
        <v>771546288040</v>
      </c>
      <c r="E6625" s="0" t="e">
        <f>+7 (481) 2268328
+7 (481) 2268491
+7 (495) 1344381
+7 (495) 1344384
+7 (495) 5056510
+7 (499) 7052322</f>
        <v>#NAME?</v>
      </c>
      <c r="F6625" s="5"/>
      <c r="G6625" s="5"/>
      <c r="H6625" s="26">
        <v>12</v>
      </c>
      <c r="I6625" s="5" t="s">
        <v>44640</v>
      </c>
      <c r="J6625" s="5" t="s">
        <v>599</v>
      </c>
      <c r="K6625" s="5" t="s">
        <v>344</v>
      </c>
      <c r="L6625" s="5" t="s">
        <v>44641</v>
      </c>
      <c r="M6625" s="27">
        <v>798498</v>
      </c>
      <c r="N6625" s="5"/>
      <c r="O6625" s="5" t="str">
        <v>7733767307</v>
      </c>
      <c r="P6625" s="27">
        <v>10000</v>
      </c>
      <c r="Q6625" s="5" t="s">
        <v>49009</v>
      </c>
      <c r="R6625" s="5"/>
      <c r="S6625" s="5" t="s">
        <v>49010</v>
      </c>
      <c r="T6625" s="28">
        <v>17179000</v>
      </c>
      <c r="U6625" s="28">
        <v>33546000</v>
      </c>
      <c r="V6625" s="28">
        <v>622988000</v>
      </c>
      <c r="W6625" s="28"/>
      <c r="X6625" s="28">
        <v>537443000</v>
      </c>
      <c r="Y6625" s="28">
        <v>1232174000</v>
      </c>
      <c r="Z6625" s="28">
        <v>169225000</v>
      </c>
      <c r="AA6625" s="28"/>
      <c r="AB6625" s="28"/>
      <c r="AC6625" s="28">
        <v>1027915000</v>
      </c>
      <c r="AD6625" s="28">
        <v>169235000</v>
      </c>
      <c r="AE6625" s="28">
        <v>4415984000</v>
      </c>
      <c r="AF6625" s="28">
        <v>83200000</v>
      </c>
      <c r="AG6625" s="11"/>
    </row>
    <row r="6626">
      <c r="A6626" s="7" t="s">
        <v>8194</v>
      </c>
      <c r="B6626" s="5" t="s">
        <v>16136</v>
      </c>
      <c r="C6626" s="5" t="s">
        <v>23780</v>
      </c>
      <c r="D6626" s="5" t="str">
        <v>774344187502</v>
      </c>
      <c r="E6626" s="0" t="e">
        <f>+7 (495) 1344381
+7 (499) 1344381
+7 (926) 2566276
+7 (481) 2268490
+7 (495) 1344384
+7 (925) 5809090</f>
        <v>#NAME?</v>
      </c>
      <c r="F6626" s="5" t="s">
        <v>44642</v>
      </c>
      <c r="G6626" s="5" t="s">
        <v>44643</v>
      </c>
      <c r="H6626" s="26">
        <v>13.5</v>
      </c>
      <c r="I6626" s="5" t="s">
        <v>44644</v>
      </c>
      <c r="J6626" s="5" t="s">
        <v>599</v>
      </c>
      <c r="K6626" s="5" t="s">
        <v>344</v>
      </c>
      <c r="L6626" s="5" t="s">
        <v>37968</v>
      </c>
      <c r="M6626" s="27"/>
      <c r="N6626" s="5"/>
      <c r="O6626" s="5" t="str">
        <v>7743253068</v>
      </c>
      <c r="P6626" s="27">
        <v>10000</v>
      </c>
      <c r="Q6626" s="5" t="s">
        <v>49059</v>
      </c>
      <c r="R6626" s="5"/>
      <c r="S6626" s="5" t="s">
        <v>49371</v>
      </c>
      <c r="T6626" s="28">
        <v>40523000</v>
      </c>
      <c r="U6626" s="28"/>
      <c r="V6626" s="28">
        <v>1105446000</v>
      </c>
      <c r="W6626" s="28"/>
      <c r="X6626" s="28">
        <v>214105000</v>
      </c>
      <c r="Y6626" s="28">
        <v>1383753000</v>
      </c>
      <c r="Z6626" s="28">
        <v>263696000</v>
      </c>
      <c r="AA6626" s="28"/>
      <c r="AB6626" s="28"/>
      <c r="AC6626" s="28">
        <v>1053387000</v>
      </c>
      <c r="AD6626" s="28">
        <v>263706000</v>
      </c>
      <c r="AE6626" s="28">
        <v>5363981000</v>
      </c>
      <c r="AF6626" s="28">
        <v>120646000</v>
      </c>
      <c r="AG6626" s="11"/>
    </row>
    <row r="6627">
      <c r="A6627" s="7" t="s">
        <v>8195</v>
      </c>
      <c r="B6627" s="5" t="s">
        <v>16137</v>
      </c>
      <c r="C6627" s="5" t="s">
        <v>23781</v>
      </c>
      <c r="D6627" s="5" t="str">
        <v>380100211879</v>
      </c>
      <c r="E6627" s="0" t="e">
        <f>+7 (3952) 678765
+7 (902) 5675730
+7 (3952) 435262
+7 (3952) 436768
+7 (3952) 475246
+7 (3952) 475555
+7 (3952) 475765
+7 (3952) 475767
+7 (3952) 475789
+7 (3952) 475813
+7 (3952) 475825
+7 (3952) 476011</f>
        <v>#NAME?</v>
      </c>
      <c r="F6627" s="5" t="s">
        <v>44645</v>
      </c>
      <c r="G6627" s="5" t="s">
        <v>44646</v>
      </c>
      <c r="H6627" s="26">
        <v>15.5</v>
      </c>
      <c r="I6627" s="5"/>
      <c r="J6627" s="5" t="s">
        <v>26292</v>
      </c>
      <c r="K6627" s="5" t="s">
        <v>344</v>
      </c>
      <c r="L6627" s="5" t="s">
        <v>44647</v>
      </c>
      <c r="M6627" s="27"/>
      <c r="N6627" s="5" t="s">
        <v>59230</v>
      </c>
      <c r="O6627" s="5" t="str">
        <v>3810047490</v>
      </c>
      <c r="P6627" s="27">
        <v>100000</v>
      </c>
      <c r="Q6627" s="5" t="s">
        <v>59231</v>
      </c>
      <c r="R6627" s="5"/>
      <c r="S6627" s="5" t="s">
        <v>59232</v>
      </c>
      <c r="T6627" s="28">
        <v>137384000</v>
      </c>
      <c r="U6627" s="28"/>
      <c r="V6627" s="28">
        <v>1825474000</v>
      </c>
      <c r="W6627" s="28">
        <v>623100000</v>
      </c>
      <c r="X6627" s="28">
        <v>21363000</v>
      </c>
      <c r="Y6627" s="28">
        <v>3244165000</v>
      </c>
      <c r="Z6627" s="28">
        <v>2517938000</v>
      </c>
      <c r="AA6627" s="28"/>
      <c r="AB6627" s="28"/>
      <c r="AC6627" s="28">
        <v>718925000</v>
      </c>
      <c r="AD6627" s="28">
        <v>2518043000</v>
      </c>
      <c r="AE6627" s="28">
        <v>7130471000</v>
      </c>
      <c r="AF6627" s="28">
        <v>482849000</v>
      </c>
      <c r="AG6627" s="11"/>
    </row>
    <row r="6628">
      <c r="A6628" s="7" t="s">
        <v>8196</v>
      </c>
      <c r="B6628" s="5" t="s">
        <v>16138</v>
      </c>
      <c r="C6628" s="5" t="s">
        <v>23782</v>
      </c>
      <c r="D6628" s="5" t="str">
        <v>301604103256</v>
      </c>
      <c r="E6628" s="0" t="e">
        <f>+7 (812) 2995555
+7 (861) 2375638
+7 (861) 2995555
+7 (861) 2998888</f>
        <v>#NAME?</v>
      </c>
      <c r="F6628" s="5" t="s">
        <v>44648</v>
      </c>
      <c r="G6628" s="5" t="s">
        <v>44649</v>
      </c>
      <c r="H6628" s="26">
        <v>9.5</v>
      </c>
      <c r="I6628" s="5" t="s">
        <v>44650</v>
      </c>
      <c r="J6628" s="5" t="s">
        <v>397</v>
      </c>
      <c r="K6628" s="5" t="s">
        <v>344</v>
      </c>
      <c r="L6628" s="5" t="s">
        <v>44651</v>
      </c>
      <c r="M6628" s="27">
        <v>1807410</v>
      </c>
      <c r="N6628" s="5" t="s">
        <v>59233</v>
      </c>
      <c r="O6628" s="5" t="str">
        <v>2312205455</v>
      </c>
      <c r="P6628" s="27">
        <v>10000</v>
      </c>
      <c r="Q6628" s="5" t="s">
        <v>59234</v>
      </c>
      <c r="R6628" s="5"/>
      <c r="S6628" s="5" t="s">
        <v>59235</v>
      </c>
      <c r="T6628" s="28">
        <v>189907000</v>
      </c>
      <c r="U6628" s="28">
        <v>5000</v>
      </c>
      <c r="V6628" s="28">
        <v>268501000</v>
      </c>
      <c r="W6628" s="28">
        <v>39289000</v>
      </c>
      <c r="X6628" s="28">
        <v>58123000</v>
      </c>
      <c r="Y6628" s="28">
        <v>963784000</v>
      </c>
      <c r="Z6628" s="28">
        <v>237887000</v>
      </c>
      <c r="AA6628" s="28">
        <v>117147000</v>
      </c>
      <c r="AB6628" s="28">
        <v>503646000</v>
      </c>
      <c r="AC6628" s="28">
        <v>602146000</v>
      </c>
      <c r="AD6628" s="28">
        <v>237897000</v>
      </c>
      <c r="AE6628" s="28">
        <v>3940438000</v>
      </c>
      <c r="AF6628" s="28">
        <v>98912000</v>
      </c>
      <c r="AG6628" s="11"/>
    </row>
    <row r="6629">
      <c r="A6629" s="7" t="s">
        <v>8197</v>
      </c>
      <c r="B6629" s="5" t="s">
        <v>16139</v>
      </c>
      <c r="C6629" s="5" t="s">
        <v>23783</v>
      </c>
      <c r="D6629" s="5" t="str">
        <v>165041230236</v>
      </c>
      <c r="E6629" s="0" t="e">
        <f>+7 (905) 3116911
+7 (906) 1200206
+7 (917) 9128186
+7 (855) 2448869</f>
        <v>#NAME?</v>
      </c>
      <c r="F6629" s="5" t="s">
        <v>44652</v>
      </c>
      <c r="G6629" s="5"/>
      <c r="H6629" s="26">
        <v>2.5</v>
      </c>
      <c r="I6629" s="5" t="s">
        <v>44653</v>
      </c>
      <c r="J6629" s="5" t="s">
        <v>25559</v>
      </c>
      <c r="K6629" s="5" t="s">
        <v>344</v>
      </c>
      <c r="L6629" s="5"/>
      <c r="M6629" s="27">
        <v>53528</v>
      </c>
      <c r="N6629" s="5" t="s">
        <v>59236</v>
      </c>
      <c r="O6629" s="5" t="str">
        <v>1650393576</v>
      </c>
      <c r="P6629" s="27">
        <v>10000</v>
      </c>
      <c r="Q6629" s="5" t="s">
        <v>59237</v>
      </c>
      <c r="R6629" s="5"/>
      <c r="S6629" s="5" t="s">
        <v>59238</v>
      </c>
      <c r="T6629" s="28"/>
      <c r="U6629" s="28"/>
      <c r="V6629" s="28">
        <v>429179000</v>
      </c>
      <c r="W6629" s="28"/>
      <c r="X6629" s="28">
        <v>17403000</v>
      </c>
      <c r="Y6629" s="28">
        <v>512288000</v>
      </c>
      <c r="Z6629" s="28">
        <v>131415000</v>
      </c>
      <c r="AA6629" s="28"/>
      <c r="AB6629" s="28"/>
      <c r="AC6629" s="28">
        <v>380863000</v>
      </c>
      <c r="AD6629" s="28">
        <v>131425000</v>
      </c>
      <c r="AE6629" s="28">
        <v>4931983000</v>
      </c>
      <c r="AF6629" s="28">
        <v>131099000</v>
      </c>
      <c r="AG6629" s="11"/>
    </row>
    <row r="6630">
      <c r="A6630" s="7" t="s">
        <v>8198</v>
      </c>
      <c r="B6630" s="5" t="s">
        <v>16140</v>
      </c>
      <c r="C6630" s="5" t="s">
        <v>23784</v>
      </c>
      <c r="D6630" s="5" t="str">
        <v>165500466625</v>
      </c>
      <c r="E6630" s="0" t="e">
        <f>+7 (843) 2319552
+7 (843) 8437169
+7 (8435) 242121
+7 (8435) 247359
+7 (8435) 264621
+7 (8435) 264763
+7 (84371) 69531</f>
        <v>#NAME?</v>
      </c>
      <c r="F6630" s="5" t="s">
        <v>44654</v>
      </c>
      <c r="G6630" s="5"/>
      <c r="H6630" s="26">
        <v>20</v>
      </c>
      <c r="I6630" s="5" t="s">
        <v>44655</v>
      </c>
      <c r="J6630" s="5" t="s">
        <v>25910</v>
      </c>
      <c r="K6630" s="5" t="s">
        <v>344</v>
      </c>
      <c r="L6630" s="5" t="s">
        <v>44656</v>
      </c>
      <c r="M6630" s="27"/>
      <c r="N6630" s="5"/>
      <c r="O6630" s="5" t="str">
        <v>1655059656</v>
      </c>
      <c r="P6630" s="27">
        <v>75010000</v>
      </c>
      <c r="Q6630" s="5"/>
      <c r="R6630" s="5"/>
      <c r="S6630" s="5" t="s">
        <v>49110</v>
      </c>
      <c r="T6630" s="28">
        <v>4245426000</v>
      </c>
      <c r="U6630" s="28"/>
      <c r="V6630" s="28">
        <v>248682000</v>
      </c>
      <c r="W6630" s="28">
        <v>1100000000</v>
      </c>
      <c r="X6630" s="28">
        <v>905603000</v>
      </c>
      <c r="Y6630" s="28">
        <v>7782366000</v>
      </c>
      <c r="Z6630" s="28">
        <v>7140115000</v>
      </c>
      <c r="AA6630" s="28"/>
      <c r="AB6630" s="28">
        <v>8523000</v>
      </c>
      <c r="AC6630" s="28">
        <v>559741000</v>
      </c>
      <c r="AD6630" s="28">
        <v>7568528000</v>
      </c>
      <c r="AE6630" s="28">
        <v>3414577000</v>
      </c>
      <c r="AF6630" s="28">
        <v>620319000</v>
      </c>
      <c r="AG6630" s="11"/>
    </row>
    <row r="6631">
      <c r="A6631" s="7" t="s">
        <v>8199</v>
      </c>
      <c r="B6631" s="5" t="s">
        <v>16141</v>
      </c>
      <c r="C6631" s="5" t="s">
        <v>23785</v>
      </c>
      <c r="D6631" s="5" t="str">
        <v>503300422267</v>
      </c>
      <c r="E6631" s="0" t="e">
        <f>+7 (495) 6125619
+7 (495) 6230775
+7 (495) 9587411
+7 (495) 9854788
+7 (49661) 25719
+7 (49661) 25752
+7 (495) 6125792
+7 (4966) 230775
+7 (4966) 230776
+7 (49661) 22371
+7 (49661) 23350
+7 (49661) 23953
+7 (49661) 25609
+7 (49661) 25619
+7 (49661) 25671</f>
        <v>#NAME?</v>
      </c>
      <c r="F6631" s="5" t="s">
        <v>44657</v>
      </c>
      <c r="G6631" s="5" t="s">
        <v>44658</v>
      </c>
      <c r="H6631" s="26">
        <v>21</v>
      </c>
      <c r="I6631" s="5" t="s">
        <v>44659</v>
      </c>
      <c r="J6631" s="5" t="s">
        <v>26435</v>
      </c>
      <c r="K6631" s="5" t="s">
        <v>344</v>
      </c>
      <c r="L6631" s="5"/>
      <c r="M6631" s="27"/>
      <c r="N6631" s="5" t="s">
        <v>59239</v>
      </c>
      <c r="O6631" s="5" t="str">
        <v>5022030985</v>
      </c>
      <c r="P6631" s="27">
        <v>55000000</v>
      </c>
      <c r="Q6631" s="5" t="s">
        <v>59240</v>
      </c>
      <c r="R6631" s="5" t="s">
        <v>59241</v>
      </c>
      <c r="S6631" s="5" t="s">
        <v>49747</v>
      </c>
      <c r="T6631" s="28">
        <v>1557074000</v>
      </c>
      <c r="U6631" s="28"/>
      <c r="V6631" s="28">
        <v>1056740000</v>
      </c>
      <c r="W6631" s="28"/>
      <c r="X6631" s="28">
        <v>1502294000</v>
      </c>
      <c r="Y6631" s="28">
        <v>4301848000</v>
      </c>
      <c r="Z6631" s="28">
        <v>1784495000</v>
      </c>
      <c r="AA6631" s="28">
        <v>1044412000</v>
      </c>
      <c r="AB6631" s="28"/>
      <c r="AC6631" s="28">
        <v>706823000</v>
      </c>
      <c r="AD6631" s="28">
        <v>2737366000</v>
      </c>
      <c r="AE6631" s="28">
        <v>3163882000</v>
      </c>
      <c r="AF6631" s="28">
        <v>-88969000</v>
      </c>
      <c r="AG6631" s="11"/>
    </row>
    <row r="6632">
      <c r="A6632" s="7" t="s">
        <v>8200</v>
      </c>
      <c r="B6632" s="5" t="s">
        <v>16142</v>
      </c>
      <c r="C6632" s="5" t="s">
        <v>23786</v>
      </c>
      <c r="D6632" s="5" t="str">
        <v>550602501722</v>
      </c>
      <c r="E6632" s="0" t="e">
        <f>+7 (381) 2651526
+7 (381) 2214578
+7 (381) 2552305
+7 (381) 2616890
+7 (381) 2382118
+7 (381) 2551082
+7 (381) 2612118
+7 (381) 2619890
+7 (381) 2670737
+7 (381) 2680546
+7 (381) 2680554
+7 (381) 2680719
+7 (381) 2680722
+7 (381) 2680864
+7 (381) 2680968</f>
        <v>#NAME?</v>
      </c>
      <c r="F6632" s="5" t="s">
        <v>44660</v>
      </c>
      <c r="G6632" s="5" t="s">
        <v>44661</v>
      </c>
      <c r="H6632" s="26">
        <v>31</v>
      </c>
      <c r="I6632" s="5" t="s">
        <v>44662</v>
      </c>
      <c r="J6632" s="5" t="s">
        <v>28968</v>
      </c>
      <c r="K6632" s="5" t="s">
        <v>380</v>
      </c>
      <c r="L6632" s="5"/>
      <c r="M6632" s="27">
        <v>573679599</v>
      </c>
      <c r="N6632" s="5" t="s">
        <v>59242</v>
      </c>
      <c r="O6632" s="5" t="str">
        <v>5501016762</v>
      </c>
      <c r="P6632" s="27">
        <v>1390000</v>
      </c>
      <c r="Q6632" s="5" t="s">
        <v>59243</v>
      </c>
      <c r="R6632" s="5" t="s">
        <v>56919</v>
      </c>
      <c r="S6632" s="5" t="s">
        <v>49747</v>
      </c>
      <c r="T6632" s="28">
        <v>3770140000</v>
      </c>
      <c r="U6632" s="28"/>
      <c r="V6632" s="28">
        <v>487666000</v>
      </c>
      <c r="W6632" s="28"/>
      <c r="X6632" s="28">
        <v>5190000</v>
      </c>
      <c r="Y6632" s="28">
        <v>4603746000</v>
      </c>
      <c r="Z6632" s="28">
        <v>537262000</v>
      </c>
      <c r="AA6632" s="28"/>
      <c r="AB6632" s="28"/>
      <c r="AC6632" s="28">
        <v>1750943000</v>
      </c>
      <c r="AD6632" s="28">
        <v>2862994000</v>
      </c>
      <c r="AE6632" s="28">
        <v>3199008000</v>
      </c>
      <c r="AF6632" s="28">
        <v>-99822000</v>
      </c>
      <c r="AG6632" s="11"/>
    </row>
    <row r="6633">
      <c r="A6633" s="7" t="s">
        <v>8201</v>
      </c>
      <c r="B6633" s="5" t="s">
        <v>16143</v>
      </c>
      <c r="C6633" s="5" t="s">
        <v>23787</v>
      </c>
      <c r="D6633" s="5" t="str">
        <v>623101387870</v>
      </c>
      <c r="E6633" s="0" t="e">
        <f>+7 (3012) 308930
+7 (345) 2238228
+7 (345) 2605949
+7 (3843) 745371
+7 (4912) 240207
+7 (4912) 240270
+7 (4912) 240478
+7 (4912) 458194
+7 (495) 1340669
+7 (495) 2583738
+7 (495) 9950553
+7 (8142) 705088
+7 (8212) 241267
+7 (8212) 248478
+7 (8432) 32206</f>
        <v>#NAME?</v>
      </c>
      <c r="F6633" s="5" t="s">
        <v>44663</v>
      </c>
      <c r="G6633" s="5" t="s">
        <v>44664</v>
      </c>
      <c r="H6633" s="26">
        <v>25.5</v>
      </c>
      <c r="I6633" s="5" t="s">
        <v>44665</v>
      </c>
      <c r="J6633" s="5" t="s">
        <v>881</v>
      </c>
      <c r="K6633" s="5" t="s">
        <v>344</v>
      </c>
      <c r="L6633" s="5" t="s">
        <v>44666</v>
      </c>
      <c r="M6633" s="27">
        <v>1044811</v>
      </c>
      <c r="N6633" s="5" t="s">
        <v>59244</v>
      </c>
      <c r="O6633" s="5" t="str">
        <v>6230028315</v>
      </c>
      <c r="P6633" s="27">
        <v>12353</v>
      </c>
      <c r="Q6633" s="5" t="s">
        <v>49009</v>
      </c>
      <c r="R6633" s="5"/>
      <c r="S6633" s="5" t="s">
        <v>49487</v>
      </c>
      <c r="T6633" s="28">
        <v>219446000</v>
      </c>
      <c r="U6633" s="28">
        <v>77256000</v>
      </c>
      <c r="V6633" s="28">
        <v>619527000</v>
      </c>
      <c r="W6633" s="28"/>
      <c r="X6633" s="28">
        <v>774592000</v>
      </c>
      <c r="Y6633" s="28">
        <v>2870403000</v>
      </c>
      <c r="Z6633" s="28">
        <v>2309109000</v>
      </c>
      <c r="AA6633" s="28"/>
      <c r="AB6633" s="28"/>
      <c r="AC6633" s="28">
        <v>535170000</v>
      </c>
      <c r="AD6633" s="28">
        <v>2309123000</v>
      </c>
      <c r="AE6633" s="28">
        <v>3045862000</v>
      </c>
      <c r="AF6633" s="28">
        <v>703174000</v>
      </c>
      <c r="AG6633" s="11"/>
    </row>
    <row r="6634">
      <c r="A6634" s="7" t="s">
        <v>8202</v>
      </c>
      <c r="B6634" s="5" t="s">
        <v>16144</v>
      </c>
      <c r="C6634" s="5" t="s">
        <v>23788</v>
      </c>
      <c r="D6634" s="5" t="str">
        <v>745009361742</v>
      </c>
      <c r="E6634" s="0" t="e">
        <f>+7 (812) 3633810
+7 (812) 3465772
+7 (812) 3465775
+7 (812) 3465777
+7 (812) 6032934
+7 (81361) 95770
+7 (81361) 95771
+7 (921) 9364567</f>
        <v>#NAME?</v>
      </c>
      <c r="F6634" s="5" t="s">
        <v>44667</v>
      </c>
      <c r="G6634" s="5" t="s">
        <v>44668</v>
      </c>
      <c r="H6634" s="26">
        <v>17</v>
      </c>
      <c r="I6634" s="5" t="s">
        <v>44669</v>
      </c>
      <c r="J6634" s="5" t="s">
        <v>26243</v>
      </c>
      <c r="K6634" s="5" t="s">
        <v>344</v>
      </c>
      <c r="L6634" s="5"/>
      <c r="M6634" s="27"/>
      <c r="N6634" s="5"/>
      <c r="O6634" s="5" t="str">
        <v>4716025405</v>
      </c>
      <c r="P6634" s="27">
        <v>250000000</v>
      </c>
      <c r="Q6634" s="5"/>
      <c r="R6634" s="5"/>
      <c r="S6634" s="5" t="s">
        <v>49029</v>
      </c>
      <c r="T6634" s="28">
        <v>1493824000</v>
      </c>
      <c r="U6634" s="28"/>
      <c r="V6634" s="28">
        <v>760545000</v>
      </c>
      <c r="W6634" s="28">
        <v>349576000</v>
      </c>
      <c r="X6634" s="28">
        <v>187420000</v>
      </c>
      <c r="Y6634" s="28">
        <v>3720003000</v>
      </c>
      <c r="Z6634" s="28">
        <v>1392156000</v>
      </c>
      <c r="AA6634" s="28">
        <v>1007203000</v>
      </c>
      <c r="AB6634" s="28">
        <v>675083000</v>
      </c>
      <c r="AC6634" s="28">
        <v>906883000</v>
      </c>
      <c r="AD6634" s="28">
        <v>1642195000</v>
      </c>
      <c r="AE6634" s="28">
        <v>4380766000</v>
      </c>
      <c r="AF6634" s="28">
        <v>29929000</v>
      </c>
      <c r="AG6634" s="11"/>
    </row>
    <row r="6635">
      <c r="A6635" s="7" t="s">
        <v>8203</v>
      </c>
      <c r="B6635" s="5" t="s">
        <v>16145</v>
      </c>
      <c r="C6635" s="5" t="s">
        <v>23789</v>
      </c>
      <c r="D6635" s="5" t="str">
        <v>771517961341</v>
      </c>
      <c r="E6635" s="0" t="e">
        <f>+7 (812) 6883398
+7 (812) 6883736
+7 (812) 6884962
+7 (812) 6884974
+7 (812) 6885163
+7 (812) 7031777
+7 (812) 9018225
+7 (812) 6884679
+7 (812) 6884956
+7 (812) 9014646</f>
        <v>#NAME?</v>
      </c>
      <c r="F6635" s="5" t="s">
        <v>44670</v>
      </c>
      <c r="G6635" s="5" t="s">
        <v>44671</v>
      </c>
      <c r="H6635" s="26">
        <v>13</v>
      </c>
      <c r="I6635" s="5"/>
      <c r="J6635" s="5" t="s">
        <v>31714</v>
      </c>
      <c r="K6635" s="5" t="s">
        <v>355</v>
      </c>
      <c r="L6635" s="5"/>
      <c r="M6635" s="27">
        <v>123632232</v>
      </c>
      <c r="N6635" s="5" t="s">
        <v>59245</v>
      </c>
      <c r="O6635" s="5" t="str">
        <v>7810577007</v>
      </c>
      <c r="P6635" s="27">
        <v>38832827277</v>
      </c>
      <c r="Q6635" s="5" t="s">
        <v>59247</v>
      </c>
      <c r="R6635" s="5"/>
      <c r="S6635" s="5" t="s">
        <v>51430</v>
      </c>
      <c r="T6635" s="28">
        <v>52419079000</v>
      </c>
      <c r="U6635" s="28">
        <v>10000</v>
      </c>
      <c r="V6635" s="28">
        <v>662535000</v>
      </c>
      <c r="W6635" s="28"/>
      <c r="X6635" s="28">
        <v>26921000</v>
      </c>
      <c r="Y6635" s="28">
        <v>54039548000</v>
      </c>
      <c r="Z6635" s="28">
        <v>3600656000</v>
      </c>
      <c r="AA6635" s="28"/>
      <c r="AB6635" s="28">
        <v>3098000000</v>
      </c>
      <c r="AC6635" s="28">
        <v>6402001000</v>
      </c>
      <c r="AD6635" s="28">
        <v>44309154000</v>
      </c>
      <c r="AE6635" s="28">
        <v>9933465000</v>
      </c>
      <c r="AF6635" s="28">
        <v>-321219000</v>
      </c>
      <c r="AG6635" s="11"/>
    </row>
    <row r="6636">
      <c r="A6636" s="7" t="s">
        <v>8204</v>
      </c>
      <c r="B6636" s="5" t="s">
        <v>16146</v>
      </c>
      <c r="C6636" s="5" t="s">
        <v>23790</v>
      </c>
      <c r="D6636" s="5"/>
      <c r="E6636" s="0" t="e">
        <f>+7 (495) 5117200
+7 (495) 5119126
+7 (495) 5111665
+7 (495) 5112165
+7 (495) 5112714
+7 (495) 5113969
+7 (495) 5114014
+7 (495) 5115282
+7 (495) 5115508
+7 (495) 5116796
+7 (495) 5116921
+7 (495) 5117193
+7 (495) 5117249
+7 (495) 5118484
+7 (495) 5120067</f>
        <v>#NAME?</v>
      </c>
      <c r="F6636" s="5" t="s">
        <v>44672</v>
      </c>
      <c r="G6636" s="5" t="s">
        <v>44673</v>
      </c>
      <c r="H6636" s="26">
        <v>24.5</v>
      </c>
      <c r="I6636" s="5"/>
      <c r="J6636" s="5" t="s">
        <v>27642</v>
      </c>
      <c r="K6636" s="5" t="s">
        <v>344</v>
      </c>
      <c r="L6636" s="5"/>
      <c r="M6636" s="27">
        <v>940952929</v>
      </c>
      <c r="N6636" s="5" t="s">
        <v>59248</v>
      </c>
      <c r="O6636" s="5" t="str">
        <v>5018134438</v>
      </c>
      <c r="P6636" s="27">
        <v>616776000</v>
      </c>
      <c r="Q6636" s="5" t="s">
        <v>59249</v>
      </c>
      <c r="R6636" s="5"/>
      <c r="S6636" s="5" t="s">
        <v>56336</v>
      </c>
      <c r="T6636" s="28">
        <v>1551813000</v>
      </c>
      <c r="U6636" s="28"/>
      <c r="V6636" s="28">
        <v>1079765000</v>
      </c>
      <c r="W6636" s="28">
        <v>11500000</v>
      </c>
      <c r="X6636" s="28">
        <v>168751000</v>
      </c>
      <c r="Y6636" s="28">
        <v>3008700000</v>
      </c>
      <c r="Z6636" s="28">
        <v>410252000</v>
      </c>
      <c r="AA6636" s="28">
        <v>567200000</v>
      </c>
      <c r="AB6636" s="28">
        <v>51933000</v>
      </c>
      <c r="AC6636" s="28">
        <v>1244375000</v>
      </c>
      <c r="AD6636" s="28">
        <v>1049583000</v>
      </c>
      <c r="AE6636" s="28">
        <v>3260757000</v>
      </c>
      <c r="AF6636" s="28">
        <v>15545000</v>
      </c>
      <c r="AG6636" s="11"/>
    </row>
    <row r="6637">
      <c r="A6637" s="7" t="s">
        <v>8205</v>
      </c>
      <c r="B6637" s="5" t="s">
        <v>16147</v>
      </c>
      <c r="C6637" s="5" t="s">
        <v>23791</v>
      </c>
      <c r="D6637" s="5" t="str">
        <v>332891064471</v>
      </c>
      <c r="E6637" s="0" t="e">
        <f>+7 (492) 2334932
+7 (492) 2539039
+7 (492) 2539909
+7 (492) 2777428</f>
        <v>#NAME?</v>
      </c>
      <c r="F6637" s="5" t="s">
        <v>44674</v>
      </c>
      <c r="G6637" s="5"/>
      <c r="H6637" s="26">
        <v>9</v>
      </c>
      <c r="I6637" s="5" t="s">
        <v>44675</v>
      </c>
      <c r="J6637" s="5" t="s">
        <v>28593</v>
      </c>
      <c r="K6637" s="5" t="s">
        <v>344</v>
      </c>
      <c r="L6637" s="5" t="s">
        <v>44676</v>
      </c>
      <c r="M6637" s="27"/>
      <c r="N6637" s="5"/>
      <c r="O6637" s="5" t="str">
        <v>3328493708</v>
      </c>
      <c r="P6637" s="27">
        <v>20000</v>
      </c>
      <c r="Q6637" s="5"/>
      <c r="R6637" s="5"/>
      <c r="S6637" s="5" t="s">
        <v>49425</v>
      </c>
      <c r="T6637" s="28">
        <v>374339000</v>
      </c>
      <c r="U6637" s="28"/>
      <c r="V6637" s="28">
        <v>633290000</v>
      </c>
      <c r="W6637" s="28">
        <v>598425000</v>
      </c>
      <c r="X6637" s="28">
        <v>1652000</v>
      </c>
      <c r="Y6637" s="28">
        <v>2072609000</v>
      </c>
      <c r="Z6637" s="28">
        <v>343419000</v>
      </c>
      <c r="AA6637" s="28">
        <v>116463000</v>
      </c>
      <c r="AB6637" s="28"/>
      <c r="AC6637" s="28">
        <v>1552252000</v>
      </c>
      <c r="AD6637" s="28">
        <v>343439000</v>
      </c>
      <c r="AE6637" s="28">
        <v>3649506000</v>
      </c>
      <c r="AF6637" s="28">
        <v>107206000</v>
      </c>
      <c r="AG6637" s="11"/>
    </row>
    <row r="6638">
      <c r="A6638" s="7" t="s">
        <v>8206</v>
      </c>
      <c r="B6638" s="5" t="s">
        <v>16148</v>
      </c>
      <c r="C6638" s="5" t="s">
        <v>23792</v>
      </c>
      <c r="D6638" s="5" t="str">
        <v>781136281872</v>
      </c>
      <c r="E6638" s="0" t="e">
        <f>+7 (812) 2255587
+7 (812) 3098450
+7 (950) 17566</f>
        <v>#NAME?</v>
      </c>
      <c r="F6638" s="5" t="s">
        <v>44677</v>
      </c>
      <c r="G6638" s="5" t="s">
        <v>44678</v>
      </c>
      <c r="H6638" s="26">
        <v>14.5</v>
      </c>
      <c r="I6638" s="5" t="s">
        <v>44679</v>
      </c>
      <c r="J6638" s="5" t="s">
        <v>364</v>
      </c>
      <c r="K6638" s="5" t="s">
        <v>344</v>
      </c>
      <c r="L6638" s="5"/>
      <c r="M6638" s="27">
        <v>1176821851</v>
      </c>
      <c r="N6638" s="5" t="s">
        <v>59250</v>
      </c>
      <c r="O6638" s="5" t="str">
        <v>7807337510</v>
      </c>
      <c r="P6638" s="27">
        <v>10000</v>
      </c>
      <c r="Q6638" s="5" t="s">
        <v>59251</v>
      </c>
      <c r="R6638" s="5" t="s">
        <v>59252</v>
      </c>
      <c r="S6638" s="5" t="s">
        <v>59253</v>
      </c>
      <c r="T6638" s="28">
        <v>14268000</v>
      </c>
      <c r="U6638" s="28"/>
      <c r="V6638" s="28">
        <v>1812072000</v>
      </c>
      <c r="W6638" s="28">
        <v>33595000</v>
      </c>
      <c r="X6638" s="28">
        <v>428659000</v>
      </c>
      <c r="Y6638" s="28">
        <v>5066795000</v>
      </c>
      <c r="Z6638" s="28">
        <v>24280000</v>
      </c>
      <c r="AA6638" s="28">
        <v>1278949000</v>
      </c>
      <c r="AB6638" s="28">
        <v>53349000</v>
      </c>
      <c r="AC6638" s="28">
        <v>3762964000</v>
      </c>
      <c r="AD6638" s="28">
        <v>24290000</v>
      </c>
      <c r="AE6638" s="28">
        <v>3400136000</v>
      </c>
      <c r="AF6638" s="28">
        <v>501000</v>
      </c>
      <c r="AG6638" s="11"/>
    </row>
    <row r="6639">
      <c r="A6639" s="7" t="s">
        <v>8207</v>
      </c>
      <c r="B6639" s="5" t="s">
        <v>16149</v>
      </c>
      <c r="C6639" s="5" t="s">
        <v>23793</v>
      </c>
      <c r="D6639" s="5" t="str">
        <v>740200813840</v>
      </c>
      <c r="E6639" s="0" t="e">
        <f>+7 (3512) 392018
+7 (3512) 650923
+7 (3517) 296824
+7 (3519) 200020
+7 (3519) 201302
+7 (3519) 202050
+7 (3519) 202325
+7 (3519) 212141
+7 (3519) 212211
+7 (3519) 212798
+7 (3519) 220000
+7 (3519) 220122
+7 (3519) 220555
+7 (3519) 221232
+7 (3519) 220803</f>
        <v>#NAME?</v>
      </c>
      <c r="F6639" s="5" t="s">
        <v>44680</v>
      </c>
      <c r="G6639" s="5" t="s">
        <v>44681</v>
      </c>
      <c r="H6639" s="26">
        <v>29</v>
      </c>
      <c r="I6639" s="5" t="s">
        <v>44682</v>
      </c>
      <c r="J6639" s="5" t="s">
        <v>30678</v>
      </c>
      <c r="K6639" s="5" t="s">
        <v>344</v>
      </c>
      <c r="L6639" s="5"/>
      <c r="M6639" s="27">
        <v>13915580</v>
      </c>
      <c r="N6639" s="5" t="s">
        <v>59254</v>
      </c>
      <c r="O6639" s="5" t="str">
        <v>7414000657</v>
      </c>
      <c r="P6639" s="27">
        <v>617767451</v>
      </c>
      <c r="Q6639" s="5" t="s">
        <v>59255</v>
      </c>
      <c r="R6639" s="5"/>
      <c r="S6639" s="5" t="s">
        <v>59256</v>
      </c>
      <c r="T6639" s="28">
        <v>1132262000</v>
      </c>
      <c r="U6639" s="28"/>
      <c r="V6639" s="28">
        <v>1416726000</v>
      </c>
      <c r="W6639" s="28"/>
      <c r="X6639" s="28">
        <v>1054000</v>
      </c>
      <c r="Y6639" s="28">
        <v>2725528000</v>
      </c>
      <c r="Z6639" s="28">
        <v>-268398000</v>
      </c>
      <c r="AA6639" s="28"/>
      <c r="AB6639" s="28">
        <v>368688000</v>
      </c>
      <c r="AC6639" s="28">
        <v>1258113000</v>
      </c>
      <c r="AD6639" s="28">
        <v>1423955000</v>
      </c>
      <c r="AE6639" s="28">
        <v>3513948000</v>
      </c>
      <c r="AF6639" s="28">
        <v>5608000</v>
      </c>
      <c r="AG6639" s="11"/>
    </row>
    <row r="6640">
      <c r="A6640" s="7" t="s">
        <v>8208</v>
      </c>
      <c r="B6640" s="5" t="s">
        <v>16150</v>
      </c>
      <c r="C6640" s="5" t="s">
        <v>23794</v>
      </c>
      <c r="D6640" s="5" t="str">
        <v>524915233332</v>
      </c>
      <c r="E6640" s="0" t="e">
        <f>+7 (495) 2779131
+7 (8212) 779135
+7 (831) 2021989
+7 (831) 2262564
+7 (831) 2469958
+7 (831) 2469999
+7 (831) 2554545
+7 (831) 2749131
+7 (831) 2279131
+7 (831) 2299369
+7 (831) 2773191
+7 (831) 2775203
+7 (831) 2775564
+7 (831) 2779031
+7 (831) 2779118</f>
        <v>#NAME?</v>
      </c>
      <c r="F6640" s="5" t="s">
        <v>44683</v>
      </c>
      <c r="G6640" s="5" t="s">
        <v>44684</v>
      </c>
      <c r="H6640" s="26">
        <v>30.5</v>
      </c>
      <c r="I6640" s="5"/>
      <c r="J6640" s="5" t="s">
        <v>28968</v>
      </c>
      <c r="K6640" s="5" t="s">
        <v>344</v>
      </c>
      <c r="L6640" s="5" t="s">
        <v>44685</v>
      </c>
      <c r="M6640" s="27">
        <v>63470603</v>
      </c>
      <c r="N6640" s="5" t="s">
        <v>59257</v>
      </c>
      <c r="O6640" s="5" t="str">
        <v>5257087027</v>
      </c>
      <c r="P6640" s="27">
        <v>812439368</v>
      </c>
      <c r="Q6640" s="5" t="s">
        <v>59258</v>
      </c>
      <c r="R6640" s="5"/>
      <c r="S6640" s="5" t="s">
        <v>49271</v>
      </c>
      <c r="T6640" s="28">
        <v>7185665000</v>
      </c>
      <c r="U6640" s="28">
        <v>970000</v>
      </c>
      <c r="V6640" s="28">
        <v>3049048000</v>
      </c>
      <c r="W6640" s="28">
        <v>78000000</v>
      </c>
      <c r="X6640" s="28">
        <v>179705000</v>
      </c>
      <c r="Y6640" s="28">
        <v>11073702000</v>
      </c>
      <c r="Z6640" s="28">
        <v>4842353000</v>
      </c>
      <c r="AA6640" s="28">
        <v>1053457000</v>
      </c>
      <c r="AB6640" s="28">
        <v>765531000</v>
      </c>
      <c r="AC6640" s="28">
        <v>3384575000</v>
      </c>
      <c r="AD6640" s="28">
        <v>6343056000</v>
      </c>
      <c r="AE6640" s="28">
        <v>12901497000</v>
      </c>
      <c r="AF6640" s="28">
        <v>776774000</v>
      </c>
      <c r="AG6640" s="11"/>
    </row>
    <row r="6641">
      <c r="A6641" s="7" t="s">
        <v>8209</v>
      </c>
      <c r="B6641" s="5" t="s">
        <v>16151</v>
      </c>
      <c r="C6641" s="5" t="s">
        <v>23795</v>
      </c>
      <c r="D6641" s="5" t="str">
        <v>780707825447</v>
      </c>
      <c r="E6641" s="0" t="e">
        <f>+7 (812) 3630939
+7 (812) 3630940
+7 (812) 6175094
+7 (812) 6182794
+7 (931) 5351795</f>
        <v>#NAME?</v>
      </c>
      <c r="F6641" s="5" t="s">
        <v>44686</v>
      </c>
      <c r="G6641" s="5"/>
      <c r="H6641" s="26">
        <v>9</v>
      </c>
      <c r="I6641" s="5" t="s">
        <v>44687</v>
      </c>
      <c r="J6641" s="5" t="s">
        <v>27642</v>
      </c>
      <c r="K6641" s="5" t="s">
        <v>344</v>
      </c>
      <c r="L6641" s="5"/>
      <c r="M6641" s="27"/>
      <c r="N6641" s="5" t="s">
        <v>59259</v>
      </c>
      <c r="O6641" s="5" t="str">
        <v>7802853013</v>
      </c>
      <c r="P6641" s="27">
        <v>1000000</v>
      </c>
      <c r="Q6641" s="5" t="s">
        <v>59260</v>
      </c>
      <c r="R6641" s="5"/>
      <c r="S6641" s="5" t="s">
        <v>49747</v>
      </c>
      <c r="T6641" s="28">
        <v>8893254000</v>
      </c>
      <c r="U6641" s="28"/>
      <c r="V6641" s="28">
        <v>1898469000</v>
      </c>
      <c r="W6641" s="28">
        <v>842017000</v>
      </c>
      <c r="X6641" s="28">
        <v>89952000</v>
      </c>
      <c r="Y6641" s="28">
        <v>11932851000</v>
      </c>
      <c r="Z6641" s="28">
        <v>5157858000</v>
      </c>
      <c r="AA6641" s="28"/>
      <c r="AB6641" s="28"/>
      <c r="AC6641" s="28">
        <v>2253733000</v>
      </c>
      <c r="AD6641" s="28">
        <v>5158858000</v>
      </c>
      <c r="AE6641" s="28">
        <v>4853497000</v>
      </c>
      <c r="AF6641" s="28">
        <v>1781093000</v>
      </c>
      <c r="AG6641" s="11"/>
    </row>
    <row r="6642">
      <c r="A6642" s="7" t="s">
        <v>8210</v>
      </c>
      <c r="B6642" s="5" t="s">
        <v>16152</v>
      </c>
      <c r="C6642" s="5" t="s">
        <v>23796</v>
      </c>
      <c r="D6642" s="5" t="str">
        <v>143502316403</v>
      </c>
      <c r="E6642" s="0" t="e">
        <f>+7 (411) 2455165
+7 (41147) 42179
+7 (411) 2498400
+7 (411) 2498408
+7 (411) 2498409
+7 (411) 2498410
+7 (411) 2498417
+7 (411) 2498427
+7 (411) 2498428
+7 (41136) 73402
+7 (41136) 73564
+7 (41136) 74302
+7 (41137) 24968
+7 (41137) 39213
+7 (41141) 42781</f>
        <v>#NAME?</v>
      </c>
      <c r="F6642" s="5" t="s">
        <v>44688</v>
      </c>
      <c r="G6642" s="5" t="s">
        <v>44689</v>
      </c>
      <c r="H6642" s="26">
        <v>15.5</v>
      </c>
      <c r="I6642" s="5"/>
      <c r="J6642" s="5" t="s">
        <v>28968</v>
      </c>
      <c r="K6642" s="5" t="s">
        <v>355</v>
      </c>
      <c r="L6642" s="5"/>
      <c r="M6642" s="27">
        <v>33398088</v>
      </c>
      <c r="N6642" s="5" t="s">
        <v>59261</v>
      </c>
      <c r="O6642" s="5" t="str">
        <v>1435191592</v>
      </c>
      <c r="P6642" s="27">
        <v>451223000</v>
      </c>
      <c r="Q6642" s="5" t="s">
        <v>59262</v>
      </c>
      <c r="R6642" s="5"/>
      <c r="S6642" s="5" t="s">
        <v>50475</v>
      </c>
      <c r="T6642" s="28">
        <v>1946608000</v>
      </c>
      <c r="U6642" s="28">
        <v>675257000</v>
      </c>
      <c r="V6642" s="28">
        <v>2197771000</v>
      </c>
      <c r="W6642" s="28"/>
      <c r="X6642" s="28">
        <v>49523000</v>
      </c>
      <c r="Y6642" s="28">
        <v>7132830000</v>
      </c>
      <c r="Z6642" s="28">
        <v>-108277000</v>
      </c>
      <c r="AA6642" s="28">
        <v>3493255000</v>
      </c>
      <c r="AB6642" s="28">
        <v>893220000</v>
      </c>
      <c r="AC6642" s="28">
        <v>2914102000</v>
      </c>
      <c r="AD6642" s="28">
        <v>843517000</v>
      </c>
      <c r="AE6642" s="28">
        <v>6304368000</v>
      </c>
      <c r="AF6642" s="28">
        <v>-170868000</v>
      </c>
      <c r="AG6642" s="11"/>
    </row>
    <row r="6643">
      <c r="A6643" s="7" t="s">
        <v>8211</v>
      </c>
      <c r="B6643" s="5" t="s">
        <v>16153</v>
      </c>
      <c r="C6643" s="5" t="s">
        <v>23797</v>
      </c>
      <c r="D6643" s="5" t="str">
        <v>772447251040</v>
      </c>
      <c r="E6643" s="0" t="e">
        <f>+7 (495) 9330044
+7 (495) 9330045
+7 (861) 2007219
+7 (910) 4596418
+7 (915) 1220505
+7 (915) 1370409
+7 (915) 3374425
+7 (916) 5404653
+7 (916) 9336986
+7 (916) 9337091
+7 (916) 9709440
+7 (985) 7637481</f>
        <v>#NAME?</v>
      </c>
      <c r="F6643" s="5" t="s">
        <v>44690</v>
      </c>
      <c r="G6643" s="5" t="s">
        <v>44691</v>
      </c>
      <c r="H6643" s="26">
        <v>25.5</v>
      </c>
      <c r="I6643" s="5"/>
      <c r="J6643" s="5" t="s">
        <v>25683</v>
      </c>
      <c r="K6643" s="5" t="s">
        <v>344</v>
      </c>
      <c r="L6643" s="5" t="s">
        <v>44692</v>
      </c>
      <c r="M6643" s="27"/>
      <c r="N6643" s="5"/>
      <c r="O6643" s="5" t="str">
        <v>7726254329</v>
      </c>
      <c r="P6643" s="27">
        <v>150000</v>
      </c>
      <c r="Q6643" s="5" t="s">
        <v>49021</v>
      </c>
      <c r="R6643" s="5"/>
      <c r="S6643" s="5" t="s">
        <v>57030</v>
      </c>
      <c r="T6643" s="28">
        <v>126485000</v>
      </c>
      <c r="U6643" s="28"/>
      <c r="V6643" s="28">
        <v>200899000</v>
      </c>
      <c r="W6643" s="28"/>
      <c r="X6643" s="28">
        <v>179237000</v>
      </c>
      <c r="Y6643" s="28">
        <v>987553000</v>
      </c>
      <c r="Z6643" s="28">
        <v>674966000</v>
      </c>
      <c r="AA6643" s="28"/>
      <c r="AB6643" s="28"/>
      <c r="AC6643" s="28">
        <v>195176000</v>
      </c>
      <c r="AD6643" s="28">
        <v>675139000</v>
      </c>
      <c r="AE6643" s="28">
        <v>3813898000</v>
      </c>
      <c r="AF6643" s="28">
        <v>103404000</v>
      </c>
      <c r="AG6643" s="11"/>
    </row>
    <row r="6644">
      <c r="A6644" s="7" t="s">
        <v>8212</v>
      </c>
      <c r="B6644" s="5" t="s">
        <v>16154</v>
      </c>
      <c r="C6644" s="5" t="s">
        <v>23798</v>
      </c>
      <c r="D6644" s="5" t="str">
        <v>772901889512</v>
      </c>
      <c r="E6644" s="0" t="e">
        <f>+7 (495) 7752029
+7 (3433) 899100
+7 (383) 3631232
+7 (495) 7752005
+7 (495) 7752023
+7 (495) 7752024
+7 (495) 7752025
+7 (495) 7752026
+7 (495) 7752027
+7 (495) 7752028
+7 (495) 9267026
+7 (495) 9331935
+7 (495) 9701503
+7 (495) 9800549
+7 (800) 7002029</f>
        <v>#NAME?</v>
      </c>
      <c r="F6644" s="5" t="s">
        <v>44693</v>
      </c>
      <c r="G6644" s="5" t="s">
        <v>44694</v>
      </c>
      <c r="H6644" s="26">
        <v>13</v>
      </c>
      <c r="I6644" s="5" t="s">
        <v>44695</v>
      </c>
      <c r="J6644" s="5" t="s">
        <v>28593</v>
      </c>
      <c r="K6644" s="5" t="s">
        <v>344</v>
      </c>
      <c r="L6644" s="5" t="s">
        <v>44696</v>
      </c>
      <c r="M6644" s="27">
        <v>3272856</v>
      </c>
      <c r="N6644" s="5" t="s">
        <v>59263</v>
      </c>
      <c r="O6644" s="5" t="str">
        <v>7729646148</v>
      </c>
      <c r="P6644" s="27">
        <v>100000</v>
      </c>
      <c r="Q6644" s="5" t="s">
        <v>49059</v>
      </c>
      <c r="R6644" s="5"/>
      <c r="S6644" s="5" t="s">
        <v>49012</v>
      </c>
      <c r="T6644" s="28">
        <v>1883031000</v>
      </c>
      <c r="U6644" s="28"/>
      <c r="V6644" s="28">
        <v>1218722000</v>
      </c>
      <c r="W6644" s="28">
        <v>30000000</v>
      </c>
      <c r="X6644" s="28">
        <v>6659510000</v>
      </c>
      <c r="Y6644" s="28">
        <v>13744904000</v>
      </c>
      <c r="Z6644" s="28">
        <v>8359888000</v>
      </c>
      <c r="AA6644" s="28">
        <v>273601000</v>
      </c>
      <c r="AB6644" s="28">
        <v>247304000</v>
      </c>
      <c r="AC6644" s="28">
        <v>1951126000</v>
      </c>
      <c r="AD6644" s="28">
        <v>9307988000</v>
      </c>
      <c r="AE6644" s="28">
        <v>22939685000</v>
      </c>
      <c r="AF6644" s="28">
        <v>3459036000</v>
      </c>
      <c r="AG6644" s="11"/>
    </row>
    <row r="6645">
      <c r="A6645" s="7" t="s">
        <v>8213</v>
      </c>
      <c r="B6645" s="5" t="s">
        <v>16155</v>
      </c>
      <c r="C6645" s="5" t="s">
        <v>23799</v>
      </c>
      <c r="D6645" s="5" t="str">
        <v>772344243873</v>
      </c>
      <c r="E6645" s="0" t="e">
        <f>+7 (812) 3632333
+7 (985) 2200204
+7 (495) 9562730
+7 (991) 1039198
+7 (991) 1039208
+7 (991) 3119355
+7 (991) 3119372
+7 (991) 3332894</f>
        <v>#NAME?</v>
      </c>
      <c r="F6645" s="5" t="s">
        <v>44697</v>
      </c>
      <c r="G6645" s="5" t="s">
        <v>44698</v>
      </c>
      <c r="H6645" s="26">
        <v>19</v>
      </c>
      <c r="I6645" s="5"/>
      <c r="J6645" s="5" t="s">
        <v>26308</v>
      </c>
      <c r="K6645" s="5" t="s">
        <v>344</v>
      </c>
      <c r="L6645" s="5" t="s">
        <v>44699</v>
      </c>
      <c r="M6645" s="27"/>
      <c r="N6645" s="5"/>
      <c r="O6645" s="5" t="str">
        <v>7734506918</v>
      </c>
      <c r="P6645" s="27">
        <v>12000</v>
      </c>
      <c r="Q6645" s="5" t="s">
        <v>49021</v>
      </c>
      <c r="R6645" s="5"/>
      <c r="S6645" s="5" t="s">
        <v>59265</v>
      </c>
      <c r="T6645" s="28">
        <v>1475990000</v>
      </c>
      <c r="U6645" s="28">
        <v>327454000</v>
      </c>
      <c r="V6645" s="28">
        <v>637816000</v>
      </c>
      <c r="W6645" s="28"/>
      <c r="X6645" s="28">
        <v>55359000</v>
      </c>
      <c r="Y6645" s="28">
        <v>3446720000</v>
      </c>
      <c r="Z6645" s="28">
        <v>477107000</v>
      </c>
      <c r="AA6645" s="28">
        <v>393801000</v>
      </c>
      <c r="AB6645" s="28">
        <v>425979000</v>
      </c>
      <c r="AC6645" s="28">
        <v>1033300000</v>
      </c>
      <c r="AD6645" s="28">
        <v>477121000</v>
      </c>
      <c r="AE6645" s="28">
        <v>6113069000</v>
      </c>
      <c r="AF6645" s="28">
        <v>56661000</v>
      </c>
      <c r="AG6645" s="11"/>
    </row>
    <row r="6646">
      <c r="A6646" s="7" t="s">
        <v>8214</v>
      </c>
      <c r="B6646" s="5" t="s">
        <v>16156</v>
      </c>
      <c r="C6646" s="5" t="s">
        <v>23800</v>
      </c>
      <c r="D6646" s="5" t="str">
        <v>780218111823</v>
      </c>
      <c r="E6646" s="0" t="e">
        <f>+7 (812) 2932379
+7 (812) 3632332
+7 (812) 5548379</f>
        <v>#NAME?</v>
      </c>
      <c r="F6646" s="5" t="s">
        <v>44700</v>
      </c>
      <c r="G6646" s="5"/>
      <c r="H6646" s="26">
        <v>20.5</v>
      </c>
      <c r="I6646" s="5" t="s">
        <v>44701</v>
      </c>
      <c r="J6646" s="5" t="s">
        <v>26308</v>
      </c>
      <c r="K6646" s="5" t="s">
        <v>355</v>
      </c>
      <c r="L6646" s="5"/>
      <c r="M6646" s="27">
        <v>153907717</v>
      </c>
      <c r="N6646" s="5"/>
      <c r="O6646" s="5" t="str">
        <v>7825483150</v>
      </c>
      <c r="P6646" s="27">
        <v>20000</v>
      </c>
      <c r="Q6646" s="5" t="s">
        <v>49009</v>
      </c>
      <c r="R6646" s="5"/>
      <c r="S6646" s="5" t="s">
        <v>50023</v>
      </c>
      <c r="T6646" s="28">
        <v>2680884000</v>
      </c>
      <c r="U6646" s="28"/>
      <c r="V6646" s="28">
        <v>189432000</v>
      </c>
      <c r="W6646" s="28"/>
      <c r="X6646" s="28">
        <v>16768000</v>
      </c>
      <c r="Y6646" s="28">
        <v>3735705000</v>
      </c>
      <c r="Z6646" s="28">
        <v>136139000</v>
      </c>
      <c r="AA6646" s="28">
        <v>89491000</v>
      </c>
      <c r="AB6646" s="28">
        <v>287596000</v>
      </c>
      <c r="AC6646" s="28">
        <v>828271000</v>
      </c>
      <c r="AD6646" s="28">
        <v>136159000</v>
      </c>
      <c r="AE6646" s="28">
        <v>4241146000</v>
      </c>
      <c r="AF6646" s="28">
        <v>1874000</v>
      </c>
      <c r="AG6646" s="11"/>
    </row>
    <row r="6647">
      <c r="A6647" s="7" t="s">
        <v>8215</v>
      </c>
      <c r="B6647" s="5" t="s">
        <v>16157</v>
      </c>
      <c r="C6647" s="5" t="s">
        <v>23801</v>
      </c>
      <c r="D6647" s="5" t="str">
        <v>500200155044</v>
      </c>
      <c r="E6647" s="0" t="e">
        <f>+7 (495) 4191414
+7 (495) 7211800
+7 (495) 9243492
+7 (495) 9965706
+7 (49646) 60300
+7 (49646) 60301
+7 (83141) 44373</f>
        <v>#NAME?</v>
      </c>
      <c r="F6647" s="5" t="s">
        <v>44702</v>
      </c>
      <c r="G6647" s="5" t="s">
        <v>44703</v>
      </c>
      <c r="H6647" s="26">
        <v>13</v>
      </c>
      <c r="I6647" s="5" t="s">
        <v>44704</v>
      </c>
      <c r="J6647" s="5" t="s">
        <v>29177</v>
      </c>
      <c r="K6647" s="5" t="s">
        <v>344</v>
      </c>
      <c r="L6647" s="5" t="s">
        <v>39804</v>
      </c>
      <c r="M6647" s="27"/>
      <c r="N6647" s="5"/>
      <c r="O6647" s="5" t="str">
        <v>5040095336</v>
      </c>
      <c r="P6647" s="27">
        <v>36000002</v>
      </c>
      <c r="Q6647" s="5" t="s">
        <v>49009</v>
      </c>
      <c r="R6647" s="5"/>
      <c r="S6647" s="5" t="s">
        <v>49010</v>
      </c>
      <c r="T6647" s="28">
        <v>50506000</v>
      </c>
      <c r="U6647" s="28">
        <v>100000000</v>
      </c>
      <c r="V6647" s="28">
        <v>198107000</v>
      </c>
      <c r="W6647" s="28">
        <v>347500000</v>
      </c>
      <c r="X6647" s="28">
        <v>117439000</v>
      </c>
      <c r="Y6647" s="28">
        <v>1432469000</v>
      </c>
      <c r="Z6647" s="28">
        <v>39280000</v>
      </c>
      <c r="AA6647" s="28">
        <v>154435000</v>
      </c>
      <c r="AB6647" s="28">
        <v>244494000</v>
      </c>
      <c r="AC6647" s="28">
        <v>1202754000</v>
      </c>
      <c r="AD6647" s="28">
        <v>75280000</v>
      </c>
      <c r="AE6647" s="28">
        <v>3517078000</v>
      </c>
      <c r="AF6647" s="28">
        <v>15858000</v>
      </c>
      <c r="AG6647" s="11"/>
    </row>
    <row r="6648">
      <c r="A6648" s="7" t="s">
        <v>8216</v>
      </c>
      <c r="B6648" s="5" t="s">
        <v>16158</v>
      </c>
      <c r="C6648" s="5" t="s">
        <v>23802</v>
      </c>
      <c r="D6648" s="5" t="str">
        <v>250203305527</v>
      </c>
      <c r="E6648" s="0" t="e">
        <f>+7 (423) 6623484
+7 (4232) 499771
+7 (4236) 274504
+7 (4236) 499771
+7 (4236) 623532
+7 (4236) 673164
+7 (4236) 699464
+7 (4236) 699465
+7 (42366) 73965
+7 (914) 7072874</f>
        <v>#NAME?</v>
      </c>
      <c r="F6648" s="5" t="s">
        <v>44705</v>
      </c>
      <c r="G6648" s="5"/>
      <c r="H6648" s="26">
        <v>30.5</v>
      </c>
      <c r="I6648" s="5" t="s">
        <v>44706</v>
      </c>
      <c r="J6648" s="5" t="s">
        <v>26180</v>
      </c>
      <c r="K6648" s="5" t="s">
        <v>344</v>
      </c>
      <c r="L6648" s="5" t="s">
        <v>44707</v>
      </c>
      <c r="M6648" s="27">
        <v>28288</v>
      </c>
      <c r="N6648" s="5" t="s">
        <v>57005</v>
      </c>
      <c r="O6648" s="5" t="str">
        <v>2508001618</v>
      </c>
      <c r="P6648" s="27">
        <v>1329000</v>
      </c>
      <c r="Q6648" s="5" t="s">
        <v>49059</v>
      </c>
      <c r="R6648" s="5"/>
      <c r="S6648" s="5" t="s">
        <v>49454</v>
      </c>
      <c r="T6648" s="28">
        <v>5233685000</v>
      </c>
      <c r="U6648" s="28">
        <v>195375000</v>
      </c>
      <c r="V6648" s="28">
        <v>935682000</v>
      </c>
      <c r="W6648" s="28">
        <v>22673000</v>
      </c>
      <c r="X6648" s="28">
        <v>143822000</v>
      </c>
      <c r="Y6648" s="28">
        <v>7286336000</v>
      </c>
      <c r="Z6648" s="28">
        <v>2714354000</v>
      </c>
      <c r="AA6648" s="28">
        <v>1803134000</v>
      </c>
      <c r="AB6648" s="28">
        <v>136680000</v>
      </c>
      <c r="AC6648" s="28">
        <v>1573073000</v>
      </c>
      <c r="AD6648" s="28">
        <v>2920344000</v>
      </c>
      <c r="AE6648" s="28">
        <v>4693269000</v>
      </c>
      <c r="AF6648" s="28">
        <v>745066000</v>
      </c>
      <c r="AG6648" s="11"/>
    </row>
    <row r="6649">
      <c r="A6649" s="7" t="s">
        <v>8217</v>
      </c>
      <c r="B6649" s="5" t="s">
        <v>16159</v>
      </c>
      <c r="C6649" s="5" t="s">
        <v>23803</v>
      </c>
      <c r="D6649" s="5" t="str">
        <v>232003804921</v>
      </c>
      <c r="F6649" s="5"/>
      <c r="G6649" s="5"/>
      <c r="H6649" s="26">
        <v>7.5</v>
      </c>
      <c r="I6649" s="5" t="s">
        <v>44708</v>
      </c>
      <c r="J6649" s="5" t="s">
        <v>364</v>
      </c>
      <c r="K6649" s="5" t="s">
        <v>380</v>
      </c>
      <c r="L6649" s="5"/>
      <c r="M6649" s="27">
        <v>13573181</v>
      </c>
      <c r="N6649" s="5"/>
      <c r="O6649" s="5" t="str">
        <v>2446007720</v>
      </c>
      <c r="P6649" s="27">
        <v>10000</v>
      </c>
      <c r="Q6649" s="5" t="s">
        <v>59267</v>
      </c>
      <c r="R6649" s="5"/>
      <c r="S6649" s="5" t="s">
        <v>50191</v>
      </c>
      <c r="T6649" s="28">
        <v>8967000</v>
      </c>
      <c r="U6649" s="28"/>
      <c r="V6649" s="28">
        <v>989384000</v>
      </c>
      <c r="W6649" s="28"/>
      <c r="X6649" s="28">
        <v>31115000</v>
      </c>
      <c r="Y6649" s="28">
        <v>1918820000</v>
      </c>
      <c r="Z6649" s="28">
        <v>-285532000</v>
      </c>
      <c r="AA6649" s="28"/>
      <c r="AB6649" s="28"/>
      <c r="AC6649" s="28">
        <v>2200545000</v>
      </c>
      <c r="AD6649" s="28">
        <v>-285521000</v>
      </c>
      <c r="AE6649" s="28">
        <v>3990553000</v>
      </c>
      <c r="AF6649" s="28">
        <v>-196995000</v>
      </c>
      <c r="AG6649" s="11"/>
    </row>
    <row r="6650">
      <c r="A6650" s="7" t="s">
        <v>8218</v>
      </c>
      <c r="B6650" s="5" t="s">
        <v>16160</v>
      </c>
      <c r="C6650" s="5" t="s">
        <v>23804</v>
      </c>
      <c r="D6650" s="5" t="str">
        <v>773423718948</v>
      </c>
      <c r="E6650" s="0" t="e">
        <f>+7 (495) 2585900
+7 (495) 2586900
+7 (495) 2586920
+7 (495) 7446182
+7 (916) 3378430
+7 (926) 1556386</f>
        <v>#NAME?</v>
      </c>
      <c r="F6650" s="5" t="s">
        <v>44709</v>
      </c>
      <c r="G6650" s="5" t="s">
        <v>44710</v>
      </c>
      <c r="H6650" s="26">
        <v>12.5</v>
      </c>
      <c r="I6650" s="5" t="s">
        <v>44711</v>
      </c>
      <c r="J6650" s="5" t="s">
        <v>27115</v>
      </c>
      <c r="K6650" s="5" t="s">
        <v>344</v>
      </c>
      <c r="L6650" s="5" t="s">
        <v>44712</v>
      </c>
      <c r="M6650" s="27">
        <v>510658076</v>
      </c>
      <c r="N6650" s="5" t="s">
        <v>59268</v>
      </c>
      <c r="O6650" s="5" t="str">
        <v>7743792870</v>
      </c>
      <c r="P6650" s="27">
        <v>2964177663</v>
      </c>
      <c r="Q6650" s="5" t="s">
        <v>59269</v>
      </c>
      <c r="R6650" s="5" t="s">
        <v>59270</v>
      </c>
      <c r="S6650" s="5" t="s">
        <v>49956</v>
      </c>
      <c r="T6650" s="28">
        <v>35268696000</v>
      </c>
      <c r="U6650" s="28">
        <v>520000000</v>
      </c>
      <c r="V6650" s="28">
        <v>5670635000</v>
      </c>
      <c r="W6650" s="28">
        <v>5924673000</v>
      </c>
      <c r="X6650" s="28">
        <v>493339000</v>
      </c>
      <c r="Y6650" s="28">
        <v>50439559000</v>
      </c>
      <c r="Z6650" s="28">
        <v>29137650000</v>
      </c>
      <c r="AA6650" s="28"/>
      <c r="AB6650" s="28"/>
      <c r="AC6650" s="28">
        <v>5440533000</v>
      </c>
      <c r="AD6650" s="28">
        <v>42255542000</v>
      </c>
      <c r="AE6650" s="28">
        <v>72843962000</v>
      </c>
      <c r="AF6650" s="28">
        <v>17683751000</v>
      </c>
      <c r="AG6650" s="11"/>
    </row>
    <row r="6651">
      <c r="A6651" s="7" t="s">
        <v>8219</v>
      </c>
      <c r="B6651" s="5" t="s">
        <v>16161</v>
      </c>
      <c r="C6651" s="5" t="s">
        <v>21202</v>
      </c>
      <c r="D6651" s="5"/>
      <c r="E6651" s="0" t="e">
        <f>+7 (3012) 327944
+7 (495) 9130965
+7 (812) 2740616
+7 (812) 3183171
+7 (812) 3183477
+7 (812) 4947765
+7 (812) 5423390
+7 (812) 6883169
+7 (812) 6883284
+7 (812) 6883375
+7 (812) 6883442
+7 (812) 6883446
+7 (812) 6883477
+7 (812) 6883483
+7 (812) 6883484</f>
        <v>#NAME?</v>
      </c>
      <c r="F6651" s="5" t="s">
        <v>44713</v>
      </c>
      <c r="G6651" s="5"/>
      <c r="H6651" s="26">
        <v>18</v>
      </c>
      <c r="I6651" s="5"/>
      <c r="J6651" s="5" t="s">
        <v>27640</v>
      </c>
      <c r="K6651" s="5" t="s">
        <v>344</v>
      </c>
      <c r="L6651" s="5"/>
      <c r="M6651" s="27">
        <v>361971776</v>
      </c>
      <c r="N6651" s="5" t="s">
        <v>59271</v>
      </c>
      <c r="O6651" s="5" t="str">
        <v>7841312071</v>
      </c>
      <c r="P6651" s="27">
        <v>38543414166</v>
      </c>
      <c r="Q6651" s="5" t="s">
        <v>59272</v>
      </c>
      <c r="R6651" s="5"/>
      <c r="S6651" s="5" t="s">
        <v>55613</v>
      </c>
      <c r="T6651" s="28">
        <v>127871811000</v>
      </c>
      <c r="U6651" s="28">
        <v>18737139000</v>
      </c>
      <c r="V6651" s="28">
        <v>16115320000</v>
      </c>
      <c r="W6651" s="28">
        <v>13937614000</v>
      </c>
      <c r="X6651" s="28">
        <v>1123499000</v>
      </c>
      <c r="Y6651" s="28">
        <v>189714167000</v>
      </c>
      <c r="Z6651" s="28">
        <v>79128286000</v>
      </c>
      <c r="AA6651" s="28">
        <v>8222000000</v>
      </c>
      <c r="AB6651" s="28">
        <v>9860793000</v>
      </c>
      <c r="AC6651" s="28">
        <v>23063738000</v>
      </c>
      <c r="AD6651" s="28">
        <v>142977540000</v>
      </c>
      <c r="AE6651" s="28">
        <v>98823872000</v>
      </c>
      <c r="AF6651" s="28">
        <v>7127924000</v>
      </c>
      <c r="AG6651" s="11"/>
    </row>
    <row r="6652">
      <c r="A6652" s="7" t="s">
        <v>8220</v>
      </c>
      <c r="B6652" s="5" t="s">
        <v>16162</v>
      </c>
      <c r="C6652" s="5" t="s">
        <v>23805</v>
      </c>
      <c r="D6652" s="5" t="str">
        <v>352604511555</v>
      </c>
      <c r="E6652" s="0" t="e">
        <f>+7 (928) 369157
+7 (495) 7855216
+7 (988) 4614901</f>
        <v>#NAME?</v>
      </c>
      <c r="F6652" s="5" t="s">
        <v>44714</v>
      </c>
      <c r="G6652" s="5" t="s">
        <v>44715</v>
      </c>
      <c r="H6652" s="26">
        <v>14.5</v>
      </c>
      <c r="I6652" s="5" t="s">
        <v>44716</v>
      </c>
      <c r="J6652" s="5" t="s">
        <v>364</v>
      </c>
      <c r="K6652" s="5" t="s">
        <v>344</v>
      </c>
      <c r="L6652" s="5" t="s">
        <v>44717</v>
      </c>
      <c r="M6652" s="27"/>
      <c r="N6652" s="5"/>
      <c r="O6652" s="5" t="str">
        <v>2312153253</v>
      </c>
      <c r="P6652" s="27">
        <v>20600</v>
      </c>
      <c r="Q6652" s="5" t="s">
        <v>49219</v>
      </c>
      <c r="R6652" s="5"/>
      <c r="S6652" s="5" t="s">
        <v>59273</v>
      </c>
      <c r="T6652" s="28">
        <v>7540000</v>
      </c>
      <c r="U6652" s="28"/>
      <c r="V6652" s="28">
        <v>636983000</v>
      </c>
      <c r="W6652" s="28">
        <v>164420000</v>
      </c>
      <c r="X6652" s="28">
        <v>11972000</v>
      </c>
      <c r="Y6652" s="28">
        <v>898120000</v>
      </c>
      <c r="Z6652" s="28">
        <v>97604000</v>
      </c>
      <c r="AA6652" s="28"/>
      <c r="AB6652" s="28"/>
      <c r="AC6652" s="28">
        <v>800495000</v>
      </c>
      <c r="AD6652" s="28">
        <v>97625000</v>
      </c>
      <c r="AE6652" s="28">
        <v>4525408000</v>
      </c>
      <c r="AF6652" s="28">
        <v>30850000</v>
      </c>
      <c r="AG6652" s="11"/>
    </row>
    <row r="6653">
      <c r="A6653" s="7" t="s">
        <v>8221</v>
      </c>
      <c r="B6653" s="5" t="s">
        <v>16163</v>
      </c>
      <c r="C6653" s="5" t="s">
        <v>23806</v>
      </c>
      <c r="D6653" s="5" t="str">
        <v>552807421486</v>
      </c>
      <c r="E6653" s="0" t="e">
        <f>+7 (913) 1558888</f>
        <v>#NAME?</v>
      </c>
      <c r="F6653" s="5"/>
      <c r="G6653" s="5"/>
      <c r="H6653" s="26">
        <v>6</v>
      </c>
      <c r="I6653" s="5" t="s">
        <v>44718</v>
      </c>
      <c r="J6653" s="5" t="s">
        <v>26999</v>
      </c>
      <c r="K6653" s="5" t="s">
        <v>344</v>
      </c>
      <c r="L6653" s="5" t="s">
        <v>40418</v>
      </c>
      <c r="M6653" s="27"/>
      <c r="N6653" s="5"/>
      <c r="O6653" s="5" t="str">
        <v>5507186739</v>
      </c>
      <c r="P6653" s="27">
        <v>20000</v>
      </c>
      <c r="Q6653" s="5" t="s">
        <v>49414</v>
      </c>
      <c r="R6653" s="5"/>
      <c r="S6653" s="5" t="s">
        <v>59274</v>
      </c>
      <c r="T6653" s="28">
        <v>438000</v>
      </c>
      <c r="U6653" s="28"/>
      <c r="V6653" s="28">
        <v>9236000</v>
      </c>
      <c r="W6653" s="28"/>
      <c r="X6653" s="28">
        <v>3342000</v>
      </c>
      <c r="Y6653" s="28">
        <v>15653000</v>
      </c>
      <c r="Z6653" s="28">
        <v>3144000</v>
      </c>
      <c r="AA6653" s="28"/>
      <c r="AB6653" s="28">
        <v>5206000</v>
      </c>
      <c r="AC6653" s="28">
        <v>12489000</v>
      </c>
      <c r="AD6653" s="28">
        <v>3164000</v>
      </c>
      <c r="AE6653" s="28">
        <v>45429162000</v>
      </c>
      <c r="AF6653" s="28">
        <v>536171000</v>
      </c>
      <c r="AG6653" s="11"/>
    </row>
    <row r="6654">
      <c r="A6654" s="7" t="s">
        <v>8222</v>
      </c>
      <c r="B6654" s="5" t="s">
        <v>16164</v>
      </c>
      <c r="C6654" s="5" t="s">
        <v>23807</v>
      </c>
      <c r="D6654" s="5" t="str">
        <v>027719202435</v>
      </c>
      <c r="E6654" s="0" t="e">
        <f>+7 (3472) 588222
+7 (917) 3446487
+7 (3472) 162244
+7 (3472) 258575
+7 (3472) 400790</f>
        <v>#NAME?</v>
      </c>
      <c r="F6654" s="5" t="s">
        <v>44719</v>
      </c>
      <c r="G6654" s="5" t="s">
        <v>44720</v>
      </c>
      <c r="H6654" s="26">
        <v>15.5</v>
      </c>
      <c r="I6654" s="5" t="s">
        <v>44721</v>
      </c>
      <c r="J6654" s="5" t="s">
        <v>28075</v>
      </c>
      <c r="K6654" s="5" t="s">
        <v>344</v>
      </c>
      <c r="L6654" s="5" t="s">
        <v>44722</v>
      </c>
      <c r="M6654" s="27"/>
      <c r="N6654" s="5" t="s">
        <v>59275</v>
      </c>
      <c r="O6654" s="5" t="str">
        <v>0250005442</v>
      </c>
      <c r="P6654" s="27">
        <v>50000</v>
      </c>
      <c r="Q6654" s="5" t="s">
        <v>49009</v>
      </c>
      <c r="R6654" s="5"/>
      <c r="S6654" s="5" t="s">
        <v>49028</v>
      </c>
      <c r="T6654" s="28">
        <v>52843000</v>
      </c>
      <c r="U6654" s="28"/>
      <c r="V6654" s="28">
        <v>1032254000</v>
      </c>
      <c r="W6654" s="28">
        <v>4126000</v>
      </c>
      <c r="X6654" s="28">
        <v>518000</v>
      </c>
      <c r="Y6654" s="28">
        <v>2533456000</v>
      </c>
      <c r="Z6654" s="28">
        <v>509790000</v>
      </c>
      <c r="AA6654" s="28"/>
      <c r="AB6654" s="28">
        <v>1562407000</v>
      </c>
      <c r="AC6654" s="28">
        <v>2023616000</v>
      </c>
      <c r="AD6654" s="28">
        <v>509840000</v>
      </c>
      <c r="AE6654" s="28">
        <v>13549337000</v>
      </c>
      <c r="AF6654" s="28">
        <v>105770000</v>
      </c>
      <c r="AG6654" s="11"/>
    </row>
    <row r="6655">
      <c r="A6655" s="7" t="s">
        <v>8223</v>
      </c>
      <c r="B6655" s="5" t="s">
        <v>16165</v>
      </c>
      <c r="C6655" s="5" t="s">
        <v>23808</v>
      </c>
      <c r="D6655" s="5" t="str">
        <v>252800121421</v>
      </c>
      <c r="E6655" s="0" t="e">
        <f>+7 (423) 2449972
+7 (423) 2449990
+7 (42374) 33128
+7 (42374) 33298
+7 (42374) 34610
+7 (42374) 34630
+7 (42374) 34717
+7 (42374) 34908</f>
        <v>#NAME?</v>
      </c>
      <c r="F6655" s="5" t="s">
        <v>44723</v>
      </c>
      <c r="G6655" s="5" t="s">
        <v>44724</v>
      </c>
      <c r="H6655" s="26">
        <v>30.5</v>
      </c>
      <c r="I6655" s="5"/>
      <c r="J6655" s="5" t="s">
        <v>29296</v>
      </c>
      <c r="K6655" s="5" t="s">
        <v>344</v>
      </c>
      <c r="L6655" s="5" t="s">
        <v>44725</v>
      </c>
      <c r="M6655" s="27"/>
      <c r="N6655" s="5" t="s">
        <v>59276</v>
      </c>
      <c r="O6655" s="5" t="str">
        <v>2528000813</v>
      </c>
      <c r="P6655" s="27">
        <v>145592000</v>
      </c>
      <c r="Q6655" s="5" t="s">
        <v>49057</v>
      </c>
      <c r="R6655" s="5"/>
      <c r="S6655" s="5" t="s">
        <v>59278</v>
      </c>
      <c r="T6655" s="28">
        <v>9915463000</v>
      </c>
      <c r="U6655" s="28">
        <v>253637000</v>
      </c>
      <c r="V6655" s="28">
        <v>563862000</v>
      </c>
      <c r="W6655" s="28">
        <v>26807000</v>
      </c>
      <c r="X6655" s="28">
        <v>687967000</v>
      </c>
      <c r="Y6655" s="28">
        <v>13196912000</v>
      </c>
      <c r="Z6655" s="28">
        <v>10197350000</v>
      </c>
      <c r="AA6655" s="28">
        <v>718442000</v>
      </c>
      <c r="AB6655" s="28">
        <v>809108000</v>
      </c>
      <c r="AC6655" s="28">
        <v>1288969000</v>
      </c>
      <c r="AD6655" s="28">
        <v>10364781000</v>
      </c>
      <c r="AE6655" s="28">
        <v>9212640000</v>
      </c>
      <c r="AF6655" s="28">
        <v>85610000</v>
      </c>
      <c r="AG6655" s="11"/>
    </row>
    <row r="6656">
      <c r="A6656" s="7" t="s">
        <v>8224</v>
      </c>
      <c r="B6656" s="5" t="s">
        <v>16166</v>
      </c>
      <c r="C6656" s="5" t="s">
        <v>23809</v>
      </c>
      <c r="D6656" s="5" t="str">
        <v>722407115748</v>
      </c>
      <c r="E6656" s="0" t="e">
        <f>+7 (349) 3246065
+7 (34932) 21711
+7 (34932) 27278
+7 (34932) 27330
+7 (34932) 34997
+7 (34932) 47300
+7 (34997) 46070
+7 (34997) 46078</f>
        <v>#NAME?</v>
      </c>
      <c r="F6656" s="5" t="s">
        <v>44726</v>
      </c>
      <c r="G6656" s="5" t="s">
        <v>44727</v>
      </c>
      <c r="H6656" s="26">
        <v>13.5</v>
      </c>
      <c r="I6656" s="5"/>
      <c r="J6656" s="5" t="s">
        <v>27129</v>
      </c>
      <c r="K6656" s="5" t="s">
        <v>344</v>
      </c>
      <c r="L6656" s="5" t="s">
        <v>44728</v>
      </c>
      <c r="M6656" s="27"/>
      <c r="N6656" s="5"/>
      <c r="O6656" s="5" t="str">
        <v>8912002715</v>
      </c>
      <c r="P6656" s="27">
        <v>3498326747</v>
      </c>
      <c r="Q6656" s="5"/>
      <c r="R6656" s="5" t="s">
        <v>59279</v>
      </c>
      <c r="S6656" s="5" t="s">
        <v>49743</v>
      </c>
      <c r="T6656" s="28">
        <v>19240282000</v>
      </c>
      <c r="U6656" s="28"/>
      <c r="V6656" s="28">
        <v>10091143000</v>
      </c>
      <c r="W6656" s="28"/>
      <c r="X6656" s="28">
        <v>462008000</v>
      </c>
      <c r="Y6656" s="28">
        <v>32912766000</v>
      </c>
      <c r="Z6656" s="28">
        <v>-722934000</v>
      </c>
      <c r="AA6656" s="28">
        <v>16324167000</v>
      </c>
      <c r="AB6656" s="28"/>
      <c r="AC6656" s="28">
        <v>1939880000</v>
      </c>
      <c r="AD6656" s="28">
        <v>13370579000</v>
      </c>
      <c r="AE6656" s="28">
        <v>22546520000</v>
      </c>
      <c r="AF6656" s="28">
        <v>6915604000</v>
      </c>
      <c r="AG6656" s="11"/>
    </row>
    <row r="6657">
      <c r="A6657" s="7" t="s">
        <v>8225</v>
      </c>
      <c r="B6657" s="5" t="s">
        <v>16167</v>
      </c>
      <c r="C6657" s="5" t="s">
        <v>23810</v>
      </c>
      <c r="D6657" s="5" t="str">
        <v>463214629104</v>
      </c>
      <c r="E6657" s="0" t="e">
        <f>+7 (495) 5108241</f>
        <v>#NAME?</v>
      </c>
      <c r="F6657" s="5"/>
      <c r="G6657" s="5"/>
      <c r="H6657" s="26">
        <v>2.5</v>
      </c>
      <c r="I6657" s="5" t="s">
        <v>44729</v>
      </c>
      <c r="J6657" s="5" t="s">
        <v>25842</v>
      </c>
      <c r="K6657" s="5" t="s">
        <v>344</v>
      </c>
      <c r="L6657" s="5" t="s">
        <v>365</v>
      </c>
      <c r="M6657" s="27"/>
      <c r="N6657" s="5" t="s">
        <v>59280</v>
      </c>
      <c r="O6657" s="5" t="str">
        <v>7751185333</v>
      </c>
      <c r="P6657" s="27">
        <v>5250000</v>
      </c>
      <c r="Q6657" s="5" t="s">
        <v>59281</v>
      </c>
      <c r="R6657" s="5"/>
      <c r="S6657" s="5" t="s">
        <v>49444</v>
      </c>
      <c r="T6657" s="28">
        <v>22518000</v>
      </c>
      <c r="U6657" s="28">
        <v>10034000</v>
      </c>
      <c r="V6657" s="28">
        <v>464077000</v>
      </c>
      <c r="W6657" s="28"/>
      <c r="X6657" s="28">
        <v>291915000</v>
      </c>
      <c r="Y6657" s="28">
        <v>1060770000</v>
      </c>
      <c r="Z6657" s="28"/>
      <c r="AA6657" s="28"/>
      <c r="AB6657" s="28">
        <v>250000000</v>
      </c>
      <c r="AC6657" s="28">
        <v>759319000</v>
      </c>
      <c r="AD6657" s="28">
        <v>285017000</v>
      </c>
      <c r="AE6657" s="28">
        <v>4711958000</v>
      </c>
      <c r="AF6657" s="28">
        <v>282388000</v>
      </c>
      <c r="AG6657" s="11"/>
    </row>
    <row r="6658">
      <c r="A6658" s="7" t="s">
        <v>8226</v>
      </c>
      <c r="B6658" s="5" t="s">
        <v>16168</v>
      </c>
      <c r="C6658" s="5" t="s">
        <v>23811</v>
      </c>
      <c r="D6658" s="5" t="str">
        <v>312006967882</v>
      </c>
      <c r="E6658" s="0" t="e">
        <f>+7 (495) 7211721
+7 (495) 7211722
+7 (499) 6498386
+7 (916) 5894677</f>
        <v>#NAME?</v>
      </c>
      <c r="F6658" s="5" t="s">
        <v>44730</v>
      </c>
      <c r="G6658" s="5" t="s">
        <v>44731</v>
      </c>
      <c r="H6658" s="26">
        <v>28</v>
      </c>
      <c r="I6658" s="5" t="s">
        <v>44732</v>
      </c>
      <c r="J6658" s="5" t="s">
        <v>881</v>
      </c>
      <c r="K6658" s="5" t="s">
        <v>344</v>
      </c>
      <c r="L6658" s="5"/>
      <c r="M6658" s="27">
        <v>26912503</v>
      </c>
      <c r="N6658" s="5" t="s">
        <v>59282</v>
      </c>
      <c r="O6658" s="5" t="str">
        <v>7729139042</v>
      </c>
      <c r="P6658" s="27">
        <v>100000</v>
      </c>
      <c r="Q6658" s="5" t="s">
        <v>59283</v>
      </c>
      <c r="R6658" s="5"/>
      <c r="S6658" s="5" t="s">
        <v>59284</v>
      </c>
      <c r="T6658" s="28">
        <v>44018000</v>
      </c>
      <c r="U6658" s="28">
        <v>10000</v>
      </c>
      <c r="V6658" s="28">
        <v>1340210000</v>
      </c>
      <c r="W6658" s="28">
        <v>210168000</v>
      </c>
      <c r="X6658" s="28">
        <v>158455000</v>
      </c>
      <c r="Y6658" s="28">
        <v>1930814000</v>
      </c>
      <c r="Z6658" s="28">
        <v>344157000</v>
      </c>
      <c r="AA6658" s="28"/>
      <c r="AB6658" s="28">
        <v>463000</v>
      </c>
      <c r="AC6658" s="28">
        <v>1544728000</v>
      </c>
      <c r="AD6658" s="28">
        <v>344257000</v>
      </c>
      <c r="AE6658" s="28">
        <v>3414109000</v>
      </c>
      <c r="AF6658" s="28">
        <v>179428000</v>
      </c>
      <c r="AG6658" s="11"/>
    </row>
    <row r="6659">
      <c r="A6659" s="7" t="s">
        <v>8227</v>
      </c>
      <c r="B6659" s="5" t="s">
        <v>16169</v>
      </c>
      <c r="C6659" s="5" t="s">
        <v>23812</v>
      </c>
      <c r="D6659" s="5" t="str">
        <v>502402755087</v>
      </c>
      <c r="E6659" s="0" t="e">
        <f>+7 (800) 3338323
+7 (495) 9880795
+7 (495) 9980794</f>
        <v>#NAME?</v>
      </c>
      <c r="F6659" s="5" t="s">
        <v>44733</v>
      </c>
      <c r="G6659" s="5" t="s">
        <v>44734</v>
      </c>
      <c r="H6659" s="26">
        <v>16</v>
      </c>
      <c r="I6659" s="5" t="s">
        <v>44735</v>
      </c>
      <c r="J6659" s="5" t="s">
        <v>1123</v>
      </c>
      <c r="K6659" s="5" t="s">
        <v>344</v>
      </c>
      <c r="L6659" s="5" t="s">
        <v>44736</v>
      </c>
      <c r="M6659" s="27"/>
      <c r="N6659" s="5"/>
      <c r="O6659" s="5" t="str">
        <v>7715636090</v>
      </c>
      <c r="P6659" s="27">
        <v>221818400</v>
      </c>
      <c r="Q6659" s="5" t="s">
        <v>49009</v>
      </c>
      <c r="R6659" s="5"/>
      <c r="S6659" s="5" t="s">
        <v>49045</v>
      </c>
      <c r="T6659" s="28">
        <v>281201000</v>
      </c>
      <c r="U6659" s="28">
        <v>1236000</v>
      </c>
      <c r="V6659" s="28">
        <v>253322000</v>
      </c>
      <c r="W6659" s="28">
        <v>7833000</v>
      </c>
      <c r="X6659" s="28">
        <v>77229000</v>
      </c>
      <c r="Y6659" s="28">
        <v>1359547000</v>
      </c>
      <c r="Z6659" s="28">
        <v>346696000</v>
      </c>
      <c r="AA6659" s="28"/>
      <c r="AB6659" s="28"/>
      <c r="AC6659" s="28">
        <v>644265000</v>
      </c>
      <c r="AD6659" s="28">
        <v>568514000</v>
      </c>
      <c r="AE6659" s="28">
        <v>3329810000</v>
      </c>
      <c r="AF6659" s="28">
        <v>297748000</v>
      </c>
      <c r="AG6659" s="11"/>
    </row>
    <row r="6660">
      <c r="A6660" s="7" t="s">
        <v>8228</v>
      </c>
      <c r="B6660" s="5" t="s">
        <v>16170</v>
      </c>
      <c r="C6660" s="5" t="s">
        <v>23813</v>
      </c>
      <c r="D6660" s="5" t="str">
        <v>165030080282</v>
      </c>
      <c r="E6660" s="0" t="e">
        <f>+7 (855) 2747512
+7 (855) 2747513
+7 (855) 2747514
+7 (855) 2747515</f>
        <v>#NAME?</v>
      </c>
      <c r="F6660" s="5"/>
      <c r="G6660" s="5"/>
      <c r="H6660" s="26">
        <v>8</v>
      </c>
      <c r="I6660" s="5" t="s">
        <v>44737</v>
      </c>
      <c r="J6660" s="5" t="s">
        <v>27695</v>
      </c>
      <c r="K6660" s="5" t="s">
        <v>344</v>
      </c>
      <c r="L6660" s="5" t="s">
        <v>32953</v>
      </c>
      <c r="M6660" s="27"/>
      <c r="N6660" s="5"/>
      <c r="O6660" s="5" t="str">
        <v>1658177337</v>
      </c>
      <c r="P6660" s="27">
        <v>10000</v>
      </c>
      <c r="Q6660" s="5" t="s">
        <v>49009</v>
      </c>
      <c r="R6660" s="5"/>
      <c r="S6660" s="5" t="s">
        <v>49066</v>
      </c>
      <c r="T6660" s="28">
        <v>62762000</v>
      </c>
      <c r="U6660" s="28">
        <v>83500000</v>
      </c>
      <c r="V6660" s="28">
        <v>579237000</v>
      </c>
      <c r="W6660" s="28">
        <v>490597000</v>
      </c>
      <c r="X6660" s="28">
        <v>38880000</v>
      </c>
      <c r="Y6660" s="28">
        <v>1372962000</v>
      </c>
      <c r="Z6660" s="28">
        <v>119739000</v>
      </c>
      <c r="AA6660" s="28">
        <v>758080000</v>
      </c>
      <c r="AB6660" s="28">
        <v>960000</v>
      </c>
      <c r="AC6660" s="28">
        <v>493598000</v>
      </c>
      <c r="AD6660" s="28">
        <v>119749000</v>
      </c>
      <c r="AE6660" s="28">
        <v>3279931000</v>
      </c>
      <c r="AF6660" s="28">
        <v>45982000</v>
      </c>
      <c r="AG6660" s="11"/>
    </row>
    <row r="6661">
      <c r="A6661" s="7" t="s">
        <v>8229</v>
      </c>
      <c r="B6661" s="5" t="s">
        <v>16171</v>
      </c>
      <c r="C6661" s="5" t="s">
        <v>23814</v>
      </c>
      <c r="D6661" s="5" t="str">
        <v>772975731801</v>
      </c>
      <c r="E6661" s="0" t="e">
        <f>+7 (495) 3547765
+7 (495) 7107057
+7 (495) 5985349
+7 (495) 5985410
+7 (495) 5985911
+7 (495) 5985959
+7 (495) 6232840
+7 (495) 7874487
+7 (495) 9232840
+7 (903) 7491095</f>
        <v>#NAME?</v>
      </c>
      <c r="F6661" s="5" t="s">
        <v>44738</v>
      </c>
      <c r="G6661" s="5" t="s">
        <v>44739</v>
      </c>
      <c r="H6661" s="26">
        <v>22</v>
      </c>
      <c r="I6661" s="5" t="s">
        <v>44740</v>
      </c>
      <c r="J6661" s="5" t="s">
        <v>25259</v>
      </c>
      <c r="K6661" s="5" t="s">
        <v>344</v>
      </c>
      <c r="L6661" s="5" t="s">
        <v>44741</v>
      </c>
      <c r="M6661" s="27"/>
      <c r="N6661" s="5" t="s">
        <v>59285</v>
      </c>
      <c r="O6661" s="5" t="str">
        <v>5003124282</v>
      </c>
      <c r="P6661" s="27">
        <v>500000</v>
      </c>
      <c r="Q6661" s="5" t="s">
        <v>49009</v>
      </c>
      <c r="R6661" s="5"/>
      <c r="S6661" s="5" t="s">
        <v>49361</v>
      </c>
      <c r="T6661" s="28">
        <v>42808000</v>
      </c>
      <c r="U6661" s="28"/>
      <c r="V6661" s="28">
        <v>1122359000</v>
      </c>
      <c r="W6661" s="28">
        <v>7500000</v>
      </c>
      <c r="X6661" s="28">
        <v>41735000</v>
      </c>
      <c r="Y6661" s="28">
        <v>2134289000</v>
      </c>
      <c r="Z6661" s="28">
        <v>1008500000</v>
      </c>
      <c r="AA6661" s="28">
        <v>290000000</v>
      </c>
      <c r="AB6661" s="28">
        <v>92091000</v>
      </c>
      <c r="AC6661" s="28">
        <v>693043000</v>
      </c>
      <c r="AD6661" s="28">
        <v>1149075000</v>
      </c>
      <c r="AE6661" s="28">
        <v>6398228000</v>
      </c>
      <c r="AF6661" s="28">
        <v>271970000</v>
      </c>
      <c r="AG6661" s="11"/>
    </row>
    <row r="6662">
      <c r="A6662" s="7" t="s">
        <v>8230</v>
      </c>
      <c r="B6662" s="5" t="s">
        <v>16172</v>
      </c>
      <c r="C6662" s="5" t="s">
        <v>23815</v>
      </c>
      <c r="D6662" s="5" t="str">
        <v>673212082668</v>
      </c>
      <c r="E6662" s="0" t="e">
        <f>+7 (923) 2388448</f>
        <v>#NAME?</v>
      </c>
      <c r="F6662" s="5" t="s">
        <v>44742</v>
      </c>
      <c r="G6662" s="5" t="s">
        <v>44743</v>
      </c>
      <c r="H6662" s="26">
        <v>5</v>
      </c>
      <c r="I6662" s="5" t="s">
        <v>44744</v>
      </c>
      <c r="J6662" s="5" t="s">
        <v>533</v>
      </c>
      <c r="K6662" s="5" t="s">
        <v>380</v>
      </c>
      <c r="L6662" s="5"/>
      <c r="M6662" s="27">
        <v>220396807</v>
      </c>
      <c r="N6662" s="5"/>
      <c r="O6662" s="5" t="str">
        <v>5402039800</v>
      </c>
      <c r="P6662" s="27">
        <v>10000</v>
      </c>
      <c r="Q6662" s="5"/>
      <c r="R6662" s="5"/>
      <c r="S6662" s="5" t="s">
        <v>49121</v>
      </c>
      <c r="T6662" s="28">
        <v>3547797000</v>
      </c>
      <c r="U6662" s="28">
        <v>76000</v>
      </c>
      <c r="V6662" s="28">
        <v>4261014000</v>
      </c>
      <c r="W6662" s="28"/>
      <c r="X6662" s="28">
        <v>33752000</v>
      </c>
      <c r="Y6662" s="28">
        <v>11107811000</v>
      </c>
      <c r="Z6662" s="28">
        <v>4769000</v>
      </c>
      <c r="AA6662" s="28"/>
      <c r="AB6662" s="28"/>
      <c r="AC6662" s="28">
        <v>8673388000</v>
      </c>
      <c r="AD6662" s="28">
        <v>4779000</v>
      </c>
      <c r="AE6662" s="28">
        <v>12338113000</v>
      </c>
      <c r="AF6662" s="28">
        <v>4733000</v>
      </c>
      <c r="AG6662" s="11"/>
    </row>
    <row r="6663">
      <c r="A6663" s="7" t="s">
        <v>8231</v>
      </c>
      <c r="B6663" s="5" t="s">
        <v>16173</v>
      </c>
      <c r="C6663" s="5" t="s">
        <v>23816</v>
      </c>
      <c r="D6663" s="5" t="str">
        <v>781115412122</v>
      </c>
      <c r="E6663" s="0" t="e">
        <f>+7 (812) 2951258
+7 (812) 4034363
+7 (812) 7034363
+7 (812) 3632101
+7 (812) 7030505
+7 (906) 2297878</f>
        <v>#NAME?</v>
      </c>
      <c r="F6663" s="5" t="s">
        <v>44745</v>
      </c>
      <c r="G6663" s="5" t="s">
        <v>44746</v>
      </c>
      <c r="H6663" s="26">
        <v>19</v>
      </c>
      <c r="I6663" s="5" t="s">
        <v>44747</v>
      </c>
      <c r="J6663" s="5" t="s">
        <v>397</v>
      </c>
      <c r="K6663" s="5" t="s">
        <v>344</v>
      </c>
      <c r="L6663" s="5" t="s">
        <v>44748</v>
      </c>
      <c r="M6663" s="27"/>
      <c r="N6663" s="5" t="s">
        <v>59286</v>
      </c>
      <c r="O6663" s="5" t="str">
        <v>7814151450</v>
      </c>
      <c r="P6663" s="27">
        <v>10000</v>
      </c>
      <c r="Q6663" s="5" t="s">
        <v>59287</v>
      </c>
      <c r="R6663" s="5"/>
      <c r="S6663" s="5" t="s">
        <v>59288</v>
      </c>
      <c r="T6663" s="28">
        <v>2827000</v>
      </c>
      <c r="U6663" s="28"/>
      <c r="V6663" s="28">
        <v>343948000</v>
      </c>
      <c r="W6663" s="28"/>
      <c r="X6663" s="28">
        <v>4874000</v>
      </c>
      <c r="Y6663" s="28">
        <v>907687000</v>
      </c>
      <c r="Z6663" s="28">
        <v>103532000</v>
      </c>
      <c r="AA6663" s="28"/>
      <c r="AB6663" s="28">
        <v>20810000</v>
      </c>
      <c r="AC6663" s="28">
        <v>804144000</v>
      </c>
      <c r="AD6663" s="28">
        <v>103542000</v>
      </c>
      <c r="AE6663" s="28">
        <v>5899925000</v>
      </c>
      <c r="AF6663" s="28">
        <v>77805000</v>
      </c>
      <c r="AG6663" s="11"/>
    </row>
    <row r="6664">
      <c r="A6664" s="7" t="s">
        <v>8232</v>
      </c>
      <c r="B6664" s="5" t="s">
        <v>16174</v>
      </c>
      <c r="C6664" s="5" t="s">
        <v>23817</v>
      </c>
      <c r="D6664" s="5" t="str">
        <v>772871995694</v>
      </c>
      <c r="E6664" s="0" t="e">
        <f>+7 (495) 7789860
+7 (495) 1549019
+7 (495) 2415837
+7 (495) 2660133
+7 (495) 2662558
+7 (495) 2665929
+7 (910) 7458585
+7 (925) 1498797</f>
        <v>#NAME?</v>
      </c>
      <c r="F6664" s="5"/>
      <c r="G6664" s="5"/>
      <c r="H6664" s="26">
        <v>5.5</v>
      </c>
      <c r="I6664" s="5" t="s">
        <v>44749</v>
      </c>
      <c r="J6664" s="5" t="s">
        <v>25559</v>
      </c>
      <c r="K6664" s="5" t="s">
        <v>344</v>
      </c>
      <c r="L6664" s="5" t="s">
        <v>44750</v>
      </c>
      <c r="M6664" s="27">
        <v>4100000</v>
      </c>
      <c r="N6664" s="5" t="s">
        <v>59289</v>
      </c>
      <c r="O6664" s="5" t="str">
        <v>6950207759</v>
      </c>
      <c r="P6664" s="27">
        <v>10000000</v>
      </c>
      <c r="Q6664" s="5" t="s">
        <v>59290</v>
      </c>
      <c r="R6664" s="5"/>
      <c r="S6664" s="5" t="s">
        <v>49173</v>
      </c>
      <c r="T6664" s="28">
        <v>391837000</v>
      </c>
      <c r="U6664" s="28"/>
      <c r="V6664" s="28">
        <v>276930000</v>
      </c>
      <c r="W6664" s="28"/>
      <c r="X6664" s="28">
        <v>82900000</v>
      </c>
      <c r="Y6664" s="28">
        <v>3238684000</v>
      </c>
      <c r="Z6664" s="28">
        <v>339811000</v>
      </c>
      <c r="AA6664" s="28">
        <v>1565492000</v>
      </c>
      <c r="AB6664" s="28">
        <v>227702000</v>
      </c>
      <c r="AC6664" s="28">
        <v>886882000</v>
      </c>
      <c r="AD6664" s="28">
        <v>432811000</v>
      </c>
      <c r="AE6664" s="28">
        <v>9206650000</v>
      </c>
      <c r="AF6664" s="28">
        <v>47575000</v>
      </c>
      <c r="AG6664" s="11"/>
    </row>
    <row r="6665">
      <c r="A6665" s="7" t="s">
        <v>8233</v>
      </c>
      <c r="B6665" s="5" t="s">
        <v>16175</v>
      </c>
      <c r="C6665" s="5" t="s">
        <v>23818</v>
      </c>
      <c r="D6665" s="5" t="str">
        <v>504207088700</v>
      </c>
      <c r="E6665" s="0" t="e">
        <f>+7 (495) 2907555
+7 (495) 2865211
+7 (910) 7415526</f>
        <v>#NAME?</v>
      </c>
      <c r="F6665" s="5" t="s">
        <v>44751</v>
      </c>
      <c r="G6665" s="5"/>
      <c r="H6665" s="26">
        <v>5.5</v>
      </c>
      <c r="I6665" s="5" t="s">
        <v>44752</v>
      </c>
      <c r="J6665" s="5" t="s">
        <v>25559</v>
      </c>
      <c r="K6665" s="5" t="s">
        <v>344</v>
      </c>
      <c r="L6665" s="5"/>
      <c r="M6665" s="27">
        <v>4950000</v>
      </c>
      <c r="N6665" s="5" t="s">
        <v>59291</v>
      </c>
      <c r="O6665" s="5" t="str">
        <v>6950207702</v>
      </c>
      <c r="P6665" s="27">
        <v>5000000</v>
      </c>
      <c r="Q6665" s="5" t="s">
        <v>59292</v>
      </c>
      <c r="R6665" s="5"/>
      <c r="S6665" s="5" t="s">
        <v>49857</v>
      </c>
      <c r="T6665" s="28">
        <v>745000</v>
      </c>
      <c r="U6665" s="28"/>
      <c r="V6665" s="28">
        <v>1639366000</v>
      </c>
      <c r="W6665" s="28"/>
      <c r="X6665" s="28">
        <v>33832000</v>
      </c>
      <c r="Y6665" s="28">
        <v>1877063000</v>
      </c>
      <c r="Z6665" s="28">
        <v>21638000</v>
      </c>
      <c r="AA6665" s="28">
        <v>721798000</v>
      </c>
      <c r="AB6665" s="28">
        <v>8764000</v>
      </c>
      <c r="AC6665" s="28">
        <v>1086951000</v>
      </c>
      <c r="AD6665" s="28">
        <v>68161000</v>
      </c>
      <c r="AE6665" s="28">
        <v>6964642000</v>
      </c>
      <c r="AF6665" s="28">
        <v>3492000</v>
      </c>
      <c r="AG6665" s="11"/>
    </row>
    <row r="6666">
      <c r="A6666" s="7" t="s">
        <v>8234</v>
      </c>
      <c r="B6666" s="5" t="s">
        <v>16176</v>
      </c>
      <c r="C6666" s="5" t="s">
        <v>23819</v>
      </c>
      <c r="D6666" s="5" t="str">
        <v>771881182093</v>
      </c>
      <c r="E6666" s="0" t="e">
        <f>+7 (499) 9469798
+7 (910) 4751212
+7 (985) 7635422</f>
        <v>#NAME?</v>
      </c>
      <c r="F6666" s="5" t="s">
        <v>44753</v>
      </c>
      <c r="G6666" s="5"/>
      <c r="H6666" s="26">
        <v>5.5</v>
      </c>
      <c r="I6666" s="5" t="s">
        <v>44754</v>
      </c>
      <c r="J6666" s="5" t="s">
        <v>25559</v>
      </c>
      <c r="K6666" s="5" t="s">
        <v>344</v>
      </c>
      <c r="L6666" s="5" t="s">
        <v>1393</v>
      </c>
      <c r="M6666" s="27">
        <v>14090000</v>
      </c>
      <c r="N6666" s="5" t="s">
        <v>59293</v>
      </c>
      <c r="O6666" s="5" t="str">
        <v>6950207692</v>
      </c>
      <c r="P6666" s="27">
        <v>5000000</v>
      </c>
      <c r="Q6666" s="5" t="s">
        <v>59294</v>
      </c>
      <c r="R6666" s="5"/>
      <c r="S6666" s="5" t="s">
        <v>59295</v>
      </c>
      <c r="T6666" s="28">
        <v>16329000</v>
      </c>
      <c r="U6666" s="28"/>
      <c r="V6666" s="28">
        <v>1188432000</v>
      </c>
      <c r="W6666" s="28">
        <v>68899000</v>
      </c>
      <c r="X6666" s="28">
        <v>266655000</v>
      </c>
      <c r="Y6666" s="28">
        <v>2423316000</v>
      </c>
      <c r="Z6666" s="28">
        <v>20669000</v>
      </c>
      <c r="AA6666" s="28">
        <v>1139603000</v>
      </c>
      <c r="AB6666" s="28">
        <v>177408000</v>
      </c>
      <c r="AC6666" s="28">
        <v>1237150000</v>
      </c>
      <c r="AD6666" s="28">
        <v>29669000</v>
      </c>
      <c r="AE6666" s="28">
        <v>3671011000</v>
      </c>
      <c r="AF6666" s="28">
        <v>2675000</v>
      </c>
      <c r="AG6666" s="11"/>
    </row>
    <row r="6667">
      <c r="A6667" s="7" t="s">
        <v>8235</v>
      </c>
      <c r="B6667" s="5" t="s">
        <v>16177</v>
      </c>
      <c r="C6667" s="5" t="s">
        <v>23820</v>
      </c>
      <c r="D6667" s="5" t="str">
        <v>616300094042</v>
      </c>
      <c r="E6667" s="0" t="e">
        <f>+7 (863) 2424489
+7 (8632) 424481
+7 (8632) 424482
+7 (8632) 424483
+7 (8632) 759660
+7 (8632) 950859</f>
        <v>#NAME?</v>
      </c>
      <c r="F6667" s="5" t="s">
        <v>44755</v>
      </c>
      <c r="G6667" s="5"/>
      <c r="H6667" s="26">
        <v>19.5</v>
      </c>
      <c r="I6667" s="5" t="s">
        <v>44756</v>
      </c>
      <c r="J6667" s="5" t="s">
        <v>373</v>
      </c>
      <c r="K6667" s="5" t="s">
        <v>344</v>
      </c>
      <c r="L6667" s="5"/>
      <c r="M6667" s="27"/>
      <c r="N6667" s="5" t="s">
        <v>59296</v>
      </c>
      <c r="O6667" s="5" t="str">
        <v>6164214482</v>
      </c>
      <c r="P6667" s="27">
        <v>100000</v>
      </c>
      <c r="Q6667" s="5" t="s">
        <v>49021</v>
      </c>
      <c r="R6667" s="5"/>
      <c r="S6667" s="5" t="s">
        <v>59297</v>
      </c>
      <c r="T6667" s="28">
        <v>478120000</v>
      </c>
      <c r="U6667" s="28"/>
      <c r="V6667" s="28">
        <v>961399000</v>
      </c>
      <c r="W6667" s="28">
        <v>353894000</v>
      </c>
      <c r="X6667" s="28">
        <v>1000700000</v>
      </c>
      <c r="Y6667" s="28">
        <v>3075853000</v>
      </c>
      <c r="Z6667" s="28">
        <v>576212000</v>
      </c>
      <c r="AA6667" s="28">
        <v>1416253000</v>
      </c>
      <c r="AB6667" s="28">
        <v>851431000</v>
      </c>
      <c r="AC6667" s="28">
        <v>897595000</v>
      </c>
      <c r="AD6667" s="28">
        <v>761186000</v>
      </c>
      <c r="AE6667" s="28">
        <v>7438310000</v>
      </c>
      <c r="AF6667" s="28">
        <v>54367000</v>
      </c>
      <c r="AG6667" s="11"/>
    </row>
    <row r="6668">
      <c r="A6668" s="7" t="s">
        <v>8236</v>
      </c>
      <c r="B6668" s="5" t="s">
        <v>16178</v>
      </c>
      <c r="C6668" s="5" t="s">
        <v>23821</v>
      </c>
      <c r="D6668" s="5" t="str">
        <v>773169193805</v>
      </c>
      <c r="F6668" s="5" t="s">
        <v>44757</v>
      </c>
      <c r="G6668" s="5"/>
      <c r="H6668" s="26">
        <v>3.5</v>
      </c>
      <c r="I6668" s="5" t="s">
        <v>44758</v>
      </c>
      <c r="J6668" s="5" t="s">
        <v>28290</v>
      </c>
      <c r="K6668" s="5" t="s">
        <v>344</v>
      </c>
      <c r="L6668" s="5" t="s">
        <v>44759</v>
      </c>
      <c r="M6668" s="27"/>
      <c r="N6668" s="5"/>
      <c r="O6668" s="5" t="str">
        <v>9731055266</v>
      </c>
      <c r="P6668" s="27">
        <v>640000000</v>
      </c>
      <c r="Q6668" s="5" t="s">
        <v>49009</v>
      </c>
      <c r="R6668" s="5"/>
      <c r="S6668" s="5" t="s">
        <v>49010</v>
      </c>
      <c r="T6668" s="28">
        <v>111884000</v>
      </c>
      <c r="U6668" s="28"/>
      <c r="V6668" s="28">
        <v>718445000</v>
      </c>
      <c r="W6668" s="28"/>
      <c r="X6668" s="28">
        <v>2114827000</v>
      </c>
      <c r="Y6668" s="28">
        <v>4405273000</v>
      </c>
      <c r="Z6668" s="28">
        <v>2166181000</v>
      </c>
      <c r="AA6668" s="28"/>
      <c r="AB6668" s="28"/>
      <c r="AC6668" s="28">
        <v>1599092000</v>
      </c>
      <c r="AD6668" s="28">
        <v>2806181000</v>
      </c>
      <c r="AE6668" s="28">
        <v>13702260000</v>
      </c>
      <c r="AF6668" s="28">
        <v>915969000</v>
      </c>
      <c r="AG6668" s="11"/>
    </row>
    <row r="6669">
      <c r="A6669" s="7" t="s">
        <v>8237</v>
      </c>
      <c r="B6669" s="5" t="s">
        <v>11580</v>
      </c>
      <c r="C6669" s="5" t="s">
        <v>23822</v>
      </c>
      <c r="D6669" s="5" t="str">
        <v>773186110559</v>
      </c>
      <c r="E6669" s="0" t="e">
        <f>+7 (495) 1233356
+7 (495) 2340686
+7 (495) 2360686
+7 (495) 5878883
+7 (499) 2340686
+7 (800) 7001606
+7 (800) 7001677</f>
        <v>#NAME?</v>
      </c>
      <c r="F6669" s="5" t="s">
        <v>44760</v>
      </c>
      <c r="G6669" s="5" t="s">
        <v>44761</v>
      </c>
      <c r="H6669" s="26">
        <v>22.5</v>
      </c>
      <c r="I6669" s="5" t="s">
        <v>44762</v>
      </c>
      <c r="J6669" s="5" t="s">
        <v>32481</v>
      </c>
      <c r="K6669" s="5" t="s">
        <v>344</v>
      </c>
      <c r="L6669" s="5" t="s">
        <v>44763</v>
      </c>
      <c r="M6669" s="27">
        <v>1575815</v>
      </c>
      <c r="N6669" s="5" t="s">
        <v>59298</v>
      </c>
      <c r="O6669" s="5" t="str">
        <v>7714186804</v>
      </c>
      <c r="P6669" s="27">
        <v>90455888</v>
      </c>
      <c r="Q6669" s="5" t="s">
        <v>59299</v>
      </c>
      <c r="R6669" s="5"/>
      <c r="S6669" s="5" t="s">
        <v>59300</v>
      </c>
      <c r="T6669" s="28">
        <v>11339148000</v>
      </c>
      <c r="U6669" s="28">
        <v>10000</v>
      </c>
      <c r="V6669" s="28">
        <v>24536920000</v>
      </c>
      <c r="W6669" s="28"/>
      <c r="X6669" s="28">
        <v>4466507000</v>
      </c>
      <c r="Y6669" s="28">
        <v>44771980000</v>
      </c>
      <c r="Z6669" s="28">
        <v>15357720000</v>
      </c>
      <c r="AA6669" s="28"/>
      <c r="AB6669" s="28"/>
      <c r="AC6669" s="28">
        <v>29042762000</v>
      </c>
      <c r="AD6669" s="28">
        <v>15729218000</v>
      </c>
      <c r="AE6669" s="28">
        <v>82257721000</v>
      </c>
      <c r="AF6669" s="28">
        <v>821037000</v>
      </c>
      <c r="AG6669" s="11"/>
    </row>
    <row r="6670">
      <c r="A6670" s="7" t="s">
        <v>8238</v>
      </c>
      <c r="B6670" s="5" t="s">
        <v>16179</v>
      </c>
      <c r="C6670" s="5" t="s">
        <v>23823</v>
      </c>
      <c r="D6670" s="5" t="str">
        <v>502009113486</v>
      </c>
      <c r="E6670" s="0" t="e">
        <f>+7 (495) 1303933
+7 (912) 7343256
+7 (343) 3820300
+7 (351) 2632565
+7 (499) 1303933
+7 (903) 1303933</f>
        <v>#NAME?</v>
      </c>
      <c r="F6670" s="5" t="s">
        <v>44764</v>
      </c>
      <c r="G6670" s="5"/>
      <c r="H6670" s="26">
        <v>15</v>
      </c>
      <c r="I6670" s="5" t="s">
        <v>44765</v>
      </c>
      <c r="J6670" s="5" t="s">
        <v>25199</v>
      </c>
      <c r="K6670" s="5" t="s">
        <v>344</v>
      </c>
      <c r="L6670" s="5" t="s">
        <v>44766</v>
      </c>
      <c r="M6670" s="27"/>
      <c r="N6670" s="5" t="s">
        <v>59301</v>
      </c>
      <c r="O6670" s="5" t="str">
        <v>6672258403</v>
      </c>
      <c r="P6670" s="27">
        <v>10000</v>
      </c>
      <c r="Q6670" s="5" t="s">
        <v>59302</v>
      </c>
      <c r="R6670" s="5"/>
      <c r="S6670" s="5" t="s">
        <v>59303</v>
      </c>
      <c r="T6670" s="28">
        <v>19264000</v>
      </c>
      <c r="U6670" s="28"/>
      <c r="V6670" s="28">
        <v>1538133000</v>
      </c>
      <c r="W6670" s="28"/>
      <c r="X6670" s="28">
        <v>1934230000</v>
      </c>
      <c r="Y6670" s="28">
        <v>4305605000</v>
      </c>
      <c r="Z6670" s="28">
        <v>1271865000</v>
      </c>
      <c r="AA6670" s="28"/>
      <c r="AB6670" s="28"/>
      <c r="AC6670" s="28">
        <v>3025934000</v>
      </c>
      <c r="AD6670" s="28">
        <v>1271875000</v>
      </c>
      <c r="AE6670" s="28">
        <v>5261980000</v>
      </c>
      <c r="AF6670" s="28">
        <v>913183000</v>
      </c>
      <c r="AG6670" s="11"/>
    </row>
    <row r="6671">
      <c r="A6671" s="7" t="s">
        <v>8239</v>
      </c>
      <c r="B6671" s="5" t="s">
        <v>16180</v>
      </c>
      <c r="C6671" s="5" t="s">
        <v>23824</v>
      </c>
      <c r="D6671" s="5" t="str">
        <v>504200546817</v>
      </c>
      <c r="E6671" s="0" t="e">
        <f>+7 (903) 5175405
+7 (472) 2248618
+7 (472) 2248619
+7 (473) 2330954
+7 (47391) 28570</f>
        <v>#NAME?</v>
      </c>
      <c r="F6671" s="5" t="s">
        <v>44767</v>
      </c>
      <c r="G6671" s="5" t="s">
        <v>44768</v>
      </c>
      <c r="H6671" s="26">
        <v>15.5</v>
      </c>
      <c r="I6671" s="5" t="s">
        <v>44769</v>
      </c>
      <c r="J6671" s="5" t="s">
        <v>25949</v>
      </c>
      <c r="K6671" s="5" t="s">
        <v>344</v>
      </c>
      <c r="L6671" s="5" t="s">
        <v>44770</v>
      </c>
      <c r="M6671" s="27"/>
      <c r="N6671" s="5"/>
      <c r="O6671" s="5" t="str">
        <v>3123158515</v>
      </c>
      <c r="P6671" s="27">
        <v>697663000</v>
      </c>
      <c r="Q6671" s="5"/>
      <c r="R6671" s="5"/>
      <c r="S6671" s="5" t="s">
        <v>49029</v>
      </c>
      <c r="T6671" s="28">
        <v>457601000</v>
      </c>
      <c r="U6671" s="28"/>
      <c r="V6671" s="28">
        <v>653845000</v>
      </c>
      <c r="W6671" s="28">
        <v>8673000</v>
      </c>
      <c r="X6671" s="28">
        <v>1119616000</v>
      </c>
      <c r="Y6671" s="28">
        <v>2838160000</v>
      </c>
      <c r="Z6671" s="28">
        <v>1866034000</v>
      </c>
      <c r="AA6671" s="28"/>
      <c r="AB6671" s="28"/>
      <c r="AC6671" s="28">
        <v>274203000</v>
      </c>
      <c r="AD6671" s="28">
        <v>2563697000</v>
      </c>
      <c r="AE6671" s="28">
        <v>8428986000</v>
      </c>
      <c r="AF6671" s="28">
        <v>1369701000</v>
      </c>
      <c r="AG6671" s="11"/>
    </row>
    <row r="6672">
      <c r="A6672" s="7" t="s">
        <v>8240</v>
      </c>
      <c r="B6672" s="5" t="s">
        <v>16181</v>
      </c>
      <c r="C6672" s="5" t="s">
        <v>23825</v>
      </c>
      <c r="D6672" s="5" t="str">
        <v>773372771274</v>
      </c>
      <c r="E6672" s="0" t="e">
        <f>+7 (84364) 37603
+7 (912) 6702102
+7 (913) 2382606
+7 (917) 2530271
+7 (495) 6626223
+7 (800) 7006009</f>
        <v>#NAME?</v>
      </c>
      <c r="F6672" s="5" t="s">
        <v>44771</v>
      </c>
      <c r="G6672" s="5"/>
      <c r="H6672" s="26">
        <v>8.5</v>
      </c>
      <c r="I6672" s="5" t="s">
        <v>44772</v>
      </c>
      <c r="J6672" s="5" t="s">
        <v>44773</v>
      </c>
      <c r="K6672" s="5" t="s">
        <v>344</v>
      </c>
      <c r="L6672" s="5" t="s">
        <v>44774</v>
      </c>
      <c r="M6672" s="27">
        <v>19050206</v>
      </c>
      <c r="N6672" s="5" t="s">
        <v>59304</v>
      </c>
      <c r="O6672" s="5" t="str">
        <v>7725844727</v>
      </c>
      <c r="P6672" s="27">
        <v>40000</v>
      </c>
      <c r="Q6672" s="5" t="s">
        <v>59305</v>
      </c>
      <c r="R6672" s="5"/>
      <c r="S6672" s="5" t="s">
        <v>53536</v>
      </c>
      <c r="T6672" s="28"/>
      <c r="U6672" s="28">
        <v>6000</v>
      </c>
      <c r="V6672" s="28">
        <v>3496472000</v>
      </c>
      <c r="W6672" s="28">
        <v>254183000</v>
      </c>
      <c r="X6672" s="28">
        <v>845714000</v>
      </c>
      <c r="Y6672" s="28">
        <v>11822860000</v>
      </c>
      <c r="Z6672" s="28">
        <v>3249984000</v>
      </c>
      <c r="AA6672" s="28">
        <v>379000000</v>
      </c>
      <c r="AB6672" s="28">
        <v>1726997000</v>
      </c>
      <c r="AC6672" s="28">
        <v>8185318000</v>
      </c>
      <c r="AD6672" s="28">
        <v>3250024000</v>
      </c>
      <c r="AE6672" s="28">
        <v>22779354000</v>
      </c>
      <c r="AF6672" s="28">
        <v>2643293000</v>
      </c>
      <c r="AG6672" s="11"/>
    </row>
    <row r="6673">
      <c r="A6673" s="7" t="s">
        <v>8241</v>
      </c>
      <c r="B6673" s="5" t="s">
        <v>16182</v>
      </c>
      <c r="C6673" s="5" t="s">
        <v>23826</v>
      </c>
      <c r="D6673" s="5" t="str">
        <v>667408254908</v>
      </c>
      <c r="E6673" s="0" t="e">
        <f>+7 (963) 8537887
+7 (343) 2130203
+7 (909) 7041074</f>
        <v>#NAME?</v>
      </c>
      <c r="F6673" s="5" t="s">
        <v>44775</v>
      </c>
      <c r="G6673" s="5"/>
      <c r="H6673" s="26">
        <v>11</v>
      </c>
      <c r="I6673" s="5" t="s">
        <v>44776</v>
      </c>
      <c r="J6673" s="5" t="s">
        <v>955</v>
      </c>
      <c r="K6673" s="5" t="s">
        <v>344</v>
      </c>
      <c r="L6673" s="5" t="s">
        <v>44777</v>
      </c>
      <c r="M6673" s="27"/>
      <c r="N6673" s="5"/>
      <c r="O6673" s="5" t="str">
        <v>4501175224</v>
      </c>
      <c r="P6673" s="27">
        <v>400000</v>
      </c>
      <c r="Q6673" s="5" t="s">
        <v>49059</v>
      </c>
      <c r="R6673" s="5"/>
      <c r="S6673" s="5" t="s">
        <v>49884</v>
      </c>
      <c r="T6673" s="28">
        <v>17250000</v>
      </c>
      <c r="U6673" s="28"/>
      <c r="V6673" s="28">
        <v>687772000</v>
      </c>
      <c r="W6673" s="28">
        <v>6756000</v>
      </c>
      <c r="X6673" s="28">
        <v>19296000</v>
      </c>
      <c r="Y6673" s="28">
        <v>846589000</v>
      </c>
      <c r="Z6673" s="28">
        <v>302135000</v>
      </c>
      <c r="AA6673" s="28">
        <v>225000000</v>
      </c>
      <c r="AB6673" s="28">
        <v>132902000</v>
      </c>
      <c r="AC6673" s="28">
        <v>319011000</v>
      </c>
      <c r="AD6673" s="28">
        <v>302535000</v>
      </c>
      <c r="AE6673" s="28">
        <v>4053825000</v>
      </c>
      <c r="AF6673" s="28">
        <v>15500000</v>
      </c>
      <c r="AG6673" s="11"/>
    </row>
    <row r="6674">
      <c r="A6674" s="7" t="s">
        <v>8242</v>
      </c>
      <c r="B6674" s="5" t="s">
        <v>16183</v>
      </c>
      <c r="C6674" s="5" t="s">
        <v>23827</v>
      </c>
      <c r="D6674" s="5" t="str">
        <v>662606602555</v>
      </c>
      <c r="E6674" s="0" t="e">
        <f>+7 (343) 3103300
+7 (343) 3103301
+7 (343) 3103344
+7 (800) 2345005
+7 (343) 7757601
+7 (34341) 15353
+7 (34377) 57600
+7 (495) 7757600
+7 (495) 7757601</f>
        <v>#NAME?</v>
      </c>
      <c r="F6674" s="5" t="s">
        <v>44778</v>
      </c>
      <c r="G6674" s="5" t="s">
        <v>44779</v>
      </c>
      <c r="H6674" s="26">
        <v>23</v>
      </c>
      <c r="I6674" s="5"/>
      <c r="J6674" s="5" t="s">
        <v>678</v>
      </c>
      <c r="K6674" s="5" t="s">
        <v>344</v>
      </c>
      <c r="L6674" s="5"/>
      <c r="M6674" s="27">
        <v>317963</v>
      </c>
      <c r="N6674" s="5" t="s">
        <v>59306</v>
      </c>
      <c r="O6674" s="5" t="str">
        <v>7729392616</v>
      </c>
      <c r="P6674" s="27">
        <v>504840000</v>
      </c>
      <c r="Q6674" s="5" t="s">
        <v>59307</v>
      </c>
      <c r="R6674" s="5" t="s">
        <v>59308</v>
      </c>
      <c r="S6674" s="5" t="s">
        <v>50647</v>
      </c>
      <c r="T6674" s="28">
        <v>11993000</v>
      </c>
      <c r="U6674" s="28">
        <v>5997060000</v>
      </c>
      <c r="V6674" s="28">
        <v>8901552000</v>
      </c>
      <c r="W6674" s="28"/>
      <c r="X6674" s="28">
        <v>642639000</v>
      </c>
      <c r="Y6674" s="28">
        <v>21234394000</v>
      </c>
      <c r="Z6674" s="28">
        <v>7788968000</v>
      </c>
      <c r="AA6674" s="28"/>
      <c r="AB6674" s="28">
        <v>2200000000</v>
      </c>
      <c r="AC6674" s="28">
        <v>12841472000</v>
      </c>
      <c r="AD6674" s="28">
        <v>8319058000</v>
      </c>
      <c r="AE6674" s="28">
        <v>13095827000</v>
      </c>
      <c r="AF6674" s="28">
        <v>840670000</v>
      </c>
      <c r="AG6674" s="11"/>
    </row>
    <row r="6675">
      <c r="A6675" s="7" t="s">
        <v>8243</v>
      </c>
      <c r="B6675" s="5" t="s">
        <v>16184</v>
      </c>
      <c r="C6675" s="5" t="s">
        <v>23828</v>
      </c>
      <c r="D6675" s="5"/>
      <c r="F6675" s="5" t="s">
        <v>44780</v>
      </c>
      <c r="G6675" s="5"/>
      <c r="H6675" s="26">
        <v>10.5</v>
      </c>
      <c r="I6675" s="5" t="s">
        <v>44781</v>
      </c>
      <c r="J6675" s="5" t="s">
        <v>44782</v>
      </c>
      <c r="K6675" s="5" t="s">
        <v>344</v>
      </c>
      <c r="L6675" s="5" t="s">
        <v>42209</v>
      </c>
      <c r="M6675" s="27">
        <v>5734515</v>
      </c>
      <c r="N6675" s="5" t="s">
        <v>59309</v>
      </c>
      <c r="O6675" s="5" t="str">
        <v>5257131420</v>
      </c>
      <c r="P6675" s="27">
        <v>15000</v>
      </c>
      <c r="Q6675" s="5" t="s">
        <v>59310</v>
      </c>
      <c r="R6675" s="5"/>
      <c r="S6675" s="5" t="s">
        <v>59311</v>
      </c>
      <c r="T6675" s="28">
        <v>16190000</v>
      </c>
      <c r="U6675" s="28">
        <v>1781381000</v>
      </c>
      <c r="V6675" s="28">
        <v>204610000</v>
      </c>
      <c r="W6675" s="28"/>
      <c r="X6675" s="28">
        <v>12408000</v>
      </c>
      <c r="Y6675" s="28">
        <v>2734464000</v>
      </c>
      <c r="Z6675" s="28">
        <v>658381000</v>
      </c>
      <c r="AA6675" s="28">
        <v>1500000000</v>
      </c>
      <c r="AB6675" s="28">
        <v>16222000</v>
      </c>
      <c r="AC6675" s="28">
        <v>575124000</v>
      </c>
      <c r="AD6675" s="28">
        <v>658396000</v>
      </c>
      <c r="AE6675" s="28">
        <v>4970315000</v>
      </c>
      <c r="AF6675" s="28">
        <v>147313000</v>
      </c>
      <c r="AG6675" s="11"/>
    </row>
    <row r="6676">
      <c r="A6676" s="7" t="s">
        <v>8244</v>
      </c>
      <c r="B6676" s="5" t="s">
        <v>16185</v>
      </c>
      <c r="C6676" s="5" t="s">
        <v>23829</v>
      </c>
      <c r="D6676" s="5" t="str">
        <v>772478581803</v>
      </c>
      <c r="F6676" s="5"/>
      <c r="G6676" s="5" t="s">
        <v>44783</v>
      </c>
      <c r="H6676" s="26">
        <v>2.5</v>
      </c>
      <c r="I6676" s="5" t="s">
        <v>44784</v>
      </c>
      <c r="J6676" s="5" t="s">
        <v>373</v>
      </c>
      <c r="K6676" s="5" t="s">
        <v>344</v>
      </c>
      <c r="L6676" s="5" t="s">
        <v>44785</v>
      </c>
      <c r="M6676" s="27"/>
      <c r="N6676" s="5"/>
      <c r="O6676" s="5" t="str">
        <v>9705146911</v>
      </c>
      <c r="P6676" s="27">
        <v>10000</v>
      </c>
      <c r="Q6676" s="5" t="s">
        <v>49059</v>
      </c>
      <c r="R6676" s="5"/>
      <c r="S6676" s="5" t="s">
        <v>49010</v>
      </c>
      <c r="T6676" s="28"/>
      <c r="U6676" s="28"/>
      <c r="V6676" s="28">
        <v>1616713000</v>
      </c>
      <c r="W6676" s="28">
        <v>20936000</v>
      </c>
      <c r="X6676" s="28">
        <v>27000</v>
      </c>
      <c r="Y6676" s="28">
        <v>2015951000</v>
      </c>
      <c r="Z6676" s="28">
        <v>8604000</v>
      </c>
      <c r="AA6676" s="28"/>
      <c r="AB6676" s="28"/>
      <c r="AC6676" s="28">
        <v>2007337000</v>
      </c>
      <c r="AD6676" s="28">
        <v>8614000</v>
      </c>
      <c r="AE6676" s="28">
        <v>15206823000</v>
      </c>
      <c r="AF6676" s="28">
        <v>17512000</v>
      </c>
      <c r="AG6676" s="11"/>
    </row>
    <row r="6677">
      <c r="A6677" s="7" t="s">
        <v>8245</v>
      </c>
      <c r="B6677" s="5" t="s">
        <v>16186</v>
      </c>
      <c r="C6677" s="5" t="s">
        <v>23830</v>
      </c>
      <c r="D6677" s="5" t="str">
        <v>231107650713</v>
      </c>
      <c r="E6677" s="0" t="e">
        <f>+7 (86154) 95242
+7 (86556) 55222
+7 (918) 2794545
+7 (861) 2050831
+7 (918) 4454282</f>
        <v>#NAME?</v>
      </c>
      <c r="F6677" s="5" t="s">
        <v>44786</v>
      </c>
      <c r="G6677" s="5" t="s">
        <v>44787</v>
      </c>
      <c r="H6677" s="26">
        <v>16.5</v>
      </c>
      <c r="I6677" s="5" t="s">
        <v>44788</v>
      </c>
      <c r="J6677" s="5" t="s">
        <v>25641</v>
      </c>
      <c r="K6677" s="5" t="s">
        <v>344</v>
      </c>
      <c r="L6677" s="5" t="s">
        <v>44789</v>
      </c>
      <c r="M6677" s="27"/>
      <c r="N6677" s="5" t="s">
        <v>59312</v>
      </c>
      <c r="O6677" s="5" t="str">
        <v>2312127750</v>
      </c>
      <c r="P6677" s="27">
        <v>10010000</v>
      </c>
      <c r="Q6677" s="5" t="s">
        <v>59313</v>
      </c>
      <c r="R6677" s="5"/>
      <c r="S6677" s="5" t="s">
        <v>59314</v>
      </c>
      <c r="T6677" s="28">
        <v>125175000</v>
      </c>
      <c r="U6677" s="28">
        <v>40000</v>
      </c>
      <c r="V6677" s="28">
        <v>116345000</v>
      </c>
      <c r="W6677" s="28">
        <v>8500000</v>
      </c>
      <c r="X6677" s="28">
        <v>45707000</v>
      </c>
      <c r="Y6677" s="28">
        <v>794125000</v>
      </c>
      <c r="Z6677" s="28">
        <v>231080000</v>
      </c>
      <c r="AA6677" s="28"/>
      <c r="AB6677" s="28">
        <v>228220000</v>
      </c>
      <c r="AC6677" s="28">
        <v>492353000</v>
      </c>
      <c r="AD6677" s="28">
        <v>241090000</v>
      </c>
      <c r="AE6677" s="28">
        <v>3088491000</v>
      </c>
      <c r="AF6677" s="28">
        <v>51947000</v>
      </c>
      <c r="AG6677" s="11"/>
    </row>
    <row r="6678">
      <c r="A6678" s="7" t="s">
        <v>8246</v>
      </c>
      <c r="B6678" s="5" t="s">
        <v>16187</v>
      </c>
      <c r="C6678" s="5" t="s">
        <v>23831</v>
      </c>
      <c r="D6678" s="5" t="str">
        <v>782600145330</v>
      </c>
      <c r="E6678" s="0" t="e">
        <f>+7 (812) 4956053
+7 (8112) 201025
+7 (812) 6102510
+7 (812) 6221516
+7 (921) 7222583
+7 (812) 6221560
+7 (81372) 41604
+7 (81372) 41811
+7 (816) 2797238
+7 (817) 2522010
+7 (8202) 550444
+7 (8202) 558552</f>
        <v>#NAME?</v>
      </c>
      <c r="F6678" s="5" t="s">
        <v>44790</v>
      </c>
      <c r="G6678" s="5" t="s">
        <v>44791</v>
      </c>
      <c r="H6678" s="26">
        <v>21</v>
      </c>
      <c r="I6678" s="5" t="s">
        <v>44792</v>
      </c>
      <c r="J6678" s="5" t="s">
        <v>27983</v>
      </c>
      <c r="K6678" s="5" t="s">
        <v>344</v>
      </c>
      <c r="L6678" s="5" t="s">
        <v>44793</v>
      </c>
      <c r="M6678" s="27"/>
      <c r="N6678" s="5" t="s">
        <v>59315</v>
      </c>
      <c r="O6678" s="5" t="str">
        <v>7826125214</v>
      </c>
      <c r="P6678" s="27">
        <v>600000</v>
      </c>
      <c r="Q6678" s="5" t="s">
        <v>59316</v>
      </c>
      <c r="R6678" s="5" t="s">
        <v>59317</v>
      </c>
      <c r="S6678" s="5" t="s">
        <v>59318</v>
      </c>
      <c r="T6678" s="28">
        <v>160427000</v>
      </c>
      <c r="U6678" s="28"/>
      <c r="V6678" s="28">
        <v>431551000</v>
      </c>
      <c r="W6678" s="28"/>
      <c r="X6678" s="28">
        <v>14301000</v>
      </c>
      <c r="Y6678" s="28">
        <v>1111191000</v>
      </c>
      <c r="Z6678" s="28">
        <v>563984000</v>
      </c>
      <c r="AA6678" s="28"/>
      <c r="AB6678" s="28"/>
      <c r="AC6678" s="28">
        <v>472018000</v>
      </c>
      <c r="AD6678" s="28">
        <v>564584000</v>
      </c>
      <c r="AE6678" s="28">
        <v>3789332000</v>
      </c>
      <c r="AF6678" s="28">
        <v>312280000</v>
      </c>
      <c r="AG6678" s="11"/>
    </row>
    <row r="6679">
      <c r="A6679" s="7" t="s">
        <v>8247</v>
      </c>
      <c r="B6679" s="5" t="s">
        <v>16188</v>
      </c>
      <c r="C6679" s="5" t="s">
        <v>23832</v>
      </c>
      <c r="D6679" s="5" t="str">
        <v>741517240140</v>
      </c>
      <c r="E6679" s="0" t="e">
        <f>+7 (922) 164999
+7 (912) 4060284</f>
        <v>#NAME?</v>
      </c>
      <c r="F6679" s="5"/>
      <c r="G6679" s="5"/>
      <c r="H6679" s="26">
        <v>5.5</v>
      </c>
      <c r="I6679" s="5" t="s">
        <v>44794</v>
      </c>
      <c r="J6679" s="5" t="s">
        <v>678</v>
      </c>
      <c r="K6679" s="5" t="s">
        <v>344</v>
      </c>
      <c r="L6679" s="5" t="s">
        <v>44795</v>
      </c>
      <c r="M6679" s="27"/>
      <c r="N6679" s="5" t="s">
        <v>59319</v>
      </c>
      <c r="O6679" s="5" t="str">
        <v>7451428296</v>
      </c>
      <c r="P6679" s="27">
        <v>50000</v>
      </c>
      <c r="Q6679" s="5"/>
      <c r="R6679" s="5"/>
      <c r="S6679" s="5" t="s">
        <v>49110</v>
      </c>
      <c r="T6679" s="28">
        <v>22749000</v>
      </c>
      <c r="U6679" s="28"/>
      <c r="V6679" s="28">
        <v>189433000</v>
      </c>
      <c r="W6679" s="28"/>
      <c r="X6679" s="28">
        <v>35130000</v>
      </c>
      <c r="Y6679" s="28">
        <v>298045000</v>
      </c>
      <c r="Z6679" s="28">
        <v>59196000</v>
      </c>
      <c r="AA6679" s="28"/>
      <c r="AB6679" s="28"/>
      <c r="AC6679" s="28">
        <v>222954000</v>
      </c>
      <c r="AD6679" s="28">
        <v>59246000</v>
      </c>
      <c r="AE6679" s="28">
        <v>3148813000</v>
      </c>
      <c r="AF6679" s="28">
        <v>98162000</v>
      </c>
      <c r="AG6679" s="11"/>
    </row>
    <row r="6680">
      <c r="A6680" s="7" t="s">
        <v>8248</v>
      </c>
      <c r="B6680" s="5" t="s">
        <v>16189</v>
      </c>
      <c r="C6680" s="5" t="s">
        <v>23833</v>
      </c>
      <c r="D6680" s="5" t="str">
        <v>130102129125</v>
      </c>
      <c r="E6680" s="0" t="e">
        <f>+7 (495) 4088244
+7 (495) 7413303
+7 (495) 7810999
+7 (800) 5004817
+7 (800) 5558448
+7 (968) 6769013
+7 (996) 4063515</f>
        <v>#NAME?</v>
      </c>
      <c r="F6680" s="5" t="s">
        <v>44796</v>
      </c>
      <c r="G6680" s="5" t="s">
        <v>44797</v>
      </c>
      <c r="H6680" s="26">
        <v>16</v>
      </c>
      <c r="I6680" s="5" t="s">
        <v>44798</v>
      </c>
      <c r="J6680" s="5" t="s">
        <v>28328</v>
      </c>
      <c r="K6680" s="5" t="s">
        <v>355</v>
      </c>
      <c r="L6680" s="5" t="s">
        <v>44799</v>
      </c>
      <c r="M6680" s="27"/>
      <c r="N6680" s="5"/>
      <c r="O6680" s="5" t="str">
        <v>7728615387</v>
      </c>
      <c r="P6680" s="27">
        <v>171821985</v>
      </c>
      <c r="Q6680" s="5" t="s">
        <v>49021</v>
      </c>
      <c r="R6680" s="5" t="s">
        <v>59320</v>
      </c>
      <c r="S6680" s="5" t="s">
        <v>54365</v>
      </c>
      <c r="T6680" s="28">
        <v>188953000</v>
      </c>
      <c r="U6680" s="28">
        <v>50000000</v>
      </c>
      <c r="V6680" s="28">
        <v>472218000</v>
      </c>
      <c r="W6680" s="28"/>
      <c r="X6680" s="28">
        <v>7874000</v>
      </c>
      <c r="Y6680" s="28">
        <v>3186535000</v>
      </c>
      <c r="Z6680" s="28">
        <v>1015654000</v>
      </c>
      <c r="AA6680" s="28">
        <v>60000000</v>
      </c>
      <c r="AB6680" s="28">
        <v>131791000</v>
      </c>
      <c r="AC6680" s="28">
        <v>1937040000</v>
      </c>
      <c r="AD6680" s="28">
        <v>1187476000</v>
      </c>
      <c r="AE6680" s="28">
        <v>6096107000</v>
      </c>
      <c r="AF6680" s="28">
        <v>112102000</v>
      </c>
      <c r="AG6680" s="11"/>
    </row>
    <row r="6681">
      <c r="A6681" s="7" t="s">
        <v>8249</v>
      </c>
      <c r="B6681" s="5" t="s">
        <v>16190</v>
      </c>
      <c r="C6681" s="5" t="s">
        <v>23834</v>
      </c>
      <c r="D6681" s="5" t="str">
        <v>575301903518</v>
      </c>
      <c r="E6681" s="0" t="e">
        <f>+7 (474) 2393452
+7 (47531) 25900
+7 (47531) 25909
+7 (47531) 25917
+7 (47531) 25928
+7 (483) 2303700
+7 (4862) 391985
+7 (4862) 489849
+7 (4862) 499848
+7 (4862) 499849
+7 (4862) 499949
+7 (48677) 21071
+7 (48677) 21140
+7 (48677) 21150
+7 (48677) 21210</f>
        <v>#NAME?</v>
      </c>
      <c r="F6681" s="5" t="s">
        <v>44800</v>
      </c>
      <c r="G6681" s="5" t="s">
        <v>44801</v>
      </c>
      <c r="H6681" s="26">
        <v>18.5</v>
      </c>
      <c r="I6681" s="5" t="s">
        <v>44802</v>
      </c>
      <c r="J6681" s="5" t="s">
        <v>25842</v>
      </c>
      <c r="K6681" s="5" t="s">
        <v>344</v>
      </c>
      <c r="L6681" s="5" t="s">
        <v>44803</v>
      </c>
      <c r="M6681" s="27">
        <v>49041</v>
      </c>
      <c r="N6681" s="5" t="s">
        <v>59321</v>
      </c>
      <c r="O6681" s="5" t="str">
        <v>5752035190</v>
      </c>
      <c r="P6681" s="27">
        <v>78136000</v>
      </c>
      <c r="Q6681" s="5" t="s">
        <v>59322</v>
      </c>
      <c r="R6681" s="5"/>
      <c r="S6681" s="5" t="s">
        <v>59323</v>
      </c>
      <c r="T6681" s="28">
        <v>977716000</v>
      </c>
      <c r="U6681" s="28">
        <v>24964000</v>
      </c>
      <c r="V6681" s="28">
        <v>3615951000</v>
      </c>
      <c r="W6681" s="28">
        <v>432593000</v>
      </c>
      <c r="X6681" s="28">
        <v>248336000</v>
      </c>
      <c r="Y6681" s="28">
        <v>9371478000</v>
      </c>
      <c r="Z6681" s="28">
        <v>5532360000</v>
      </c>
      <c r="AA6681" s="28"/>
      <c r="AB6681" s="28">
        <v>1917114000</v>
      </c>
      <c r="AC6681" s="28">
        <v>3730982000</v>
      </c>
      <c r="AD6681" s="28">
        <v>5640496000</v>
      </c>
      <c r="AE6681" s="28">
        <v>13033493000</v>
      </c>
      <c r="AF6681" s="28">
        <v>1350580000</v>
      </c>
      <c r="AG6681" s="11"/>
    </row>
    <row r="6682">
      <c r="A6682" s="7" t="s">
        <v>8250</v>
      </c>
      <c r="B6682" s="5" t="s">
        <v>16191</v>
      </c>
      <c r="C6682" s="5" t="s">
        <v>23835</v>
      </c>
      <c r="D6682" s="5" t="str">
        <v>372003072560</v>
      </c>
      <c r="E6682" s="0" t="e">
        <f>+7 (495) 1345174
+7 (495) 1375174</f>
        <v>#NAME?</v>
      </c>
      <c r="F6682" s="5" t="s">
        <v>44804</v>
      </c>
      <c r="G6682" s="5" t="s">
        <v>44805</v>
      </c>
      <c r="H6682" s="26">
        <v>8.5</v>
      </c>
      <c r="I6682" s="5" t="s">
        <v>44806</v>
      </c>
      <c r="J6682" s="5" t="s">
        <v>364</v>
      </c>
      <c r="K6682" s="5" t="s">
        <v>344</v>
      </c>
      <c r="L6682" s="5" t="s">
        <v>44807</v>
      </c>
      <c r="M6682" s="27">
        <v>500185</v>
      </c>
      <c r="N6682" s="5" t="s">
        <v>59324</v>
      </c>
      <c r="O6682" s="5" t="str">
        <v>7704866448</v>
      </c>
      <c r="P6682" s="27">
        <v>100000</v>
      </c>
      <c r="Q6682" s="5" t="s">
        <v>59325</v>
      </c>
      <c r="R6682" s="5"/>
      <c r="S6682" s="5" t="s">
        <v>59326</v>
      </c>
      <c r="T6682" s="28">
        <v>38401000</v>
      </c>
      <c r="U6682" s="28">
        <v>10000</v>
      </c>
      <c r="V6682" s="28">
        <v>10715965000</v>
      </c>
      <c r="W6682" s="28">
        <v>400048000</v>
      </c>
      <c r="X6682" s="28">
        <v>3633792000</v>
      </c>
      <c r="Y6682" s="28">
        <v>15251107000</v>
      </c>
      <c r="Z6682" s="28">
        <v>340724000</v>
      </c>
      <c r="AA6682" s="28"/>
      <c r="AB6682" s="28">
        <v>277771000</v>
      </c>
      <c r="AC6682" s="28">
        <v>14891232000</v>
      </c>
      <c r="AD6682" s="28">
        <v>340824000</v>
      </c>
      <c r="AE6682" s="28">
        <v>10738249000</v>
      </c>
      <c r="AF6682" s="28">
        <v>187729000</v>
      </c>
      <c r="AG6682" s="11"/>
    </row>
    <row r="6683">
      <c r="A6683" s="7" t="s">
        <v>8251</v>
      </c>
      <c r="B6683" s="5" t="s">
        <v>16192</v>
      </c>
      <c r="C6683" s="5" t="s">
        <v>23836</v>
      </c>
      <c r="D6683" s="5" t="str">
        <v>366201696240</v>
      </c>
      <c r="E6683" s="0" t="e">
        <f>+7 (495) 9806960
+7 (800) 7753500</f>
        <v>#NAME?</v>
      </c>
      <c r="F6683" s="5" t="s">
        <v>44808</v>
      </c>
      <c r="G6683" s="5" t="s">
        <v>44809</v>
      </c>
      <c r="H6683" s="26">
        <v>7</v>
      </c>
      <c r="I6683" s="5" t="s">
        <v>44810</v>
      </c>
      <c r="J6683" s="5" t="s">
        <v>641</v>
      </c>
      <c r="K6683" s="5" t="s">
        <v>344</v>
      </c>
      <c r="L6683" s="5" t="s">
        <v>44811</v>
      </c>
      <c r="M6683" s="27">
        <v>203093</v>
      </c>
      <c r="N6683" s="5" t="s">
        <v>59327</v>
      </c>
      <c r="O6683" s="5" t="str">
        <v>6454107010</v>
      </c>
      <c r="P6683" s="27">
        <v>10000</v>
      </c>
      <c r="Q6683" s="5" t="s">
        <v>49021</v>
      </c>
      <c r="R6683" s="5"/>
      <c r="S6683" s="5" t="s">
        <v>59328</v>
      </c>
      <c r="T6683" s="28">
        <v>186041000</v>
      </c>
      <c r="U6683" s="28"/>
      <c r="V6683" s="28">
        <v>586988000</v>
      </c>
      <c r="W6683" s="28">
        <v>100000000</v>
      </c>
      <c r="X6683" s="28">
        <v>434654000</v>
      </c>
      <c r="Y6683" s="28">
        <v>2427268000</v>
      </c>
      <c r="Z6683" s="28">
        <v>1158325000</v>
      </c>
      <c r="AA6683" s="28"/>
      <c r="AB6683" s="28"/>
      <c r="AC6683" s="28">
        <v>1050012000</v>
      </c>
      <c r="AD6683" s="28">
        <v>1158335000</v>
      </c>
      <c r="AE6683" s="28">
        <v>6625411000</v>
      </c>
      <c r="AF6683" s="28">
        <v>518874000</v>
      </c>
      <c r="AG6683" s="11"/>
    </row>
    <row r="6684">
      <c r="A6684" s="7" t="s">
        <v>8252</v>
      </c>
      <c r="B6684" s="5" t="s">
        <v>16193</v>
      </c>
      <c r="C6684" s="5" t="s">
        <v>23837</v>
      </c>
      <c r="D6684" s="5" t="str">
        <v>260602323845</v>
      </c>
      <c r="E6684" s="0" t="e">
        <f>+7 (499) 4043534
+7 (925) 5108712</f>
        <v>#NAME?</v>
      </c>
      <c r="F6684" s="5" t="s">
        <v>44812</v>
      </c>
      <c r="G6684" s="5" t="s">
        <v>44813</v>
      </c>
      <c r="H6684" s="26">
        <v>7.5</v>
      </c>
      <c r="I6684" s="5" t="s">
        <v>44814</v>
      </c>
      <c r="J6684" s="5" t="s">
        <v>748</v>
      </c>
      <c r="K6684" s="5" t="s">
        <v>344</v>
      </c>
      <c r="L6684" s="5" t="s">
        <v>44815</v>
      </c>
      <c r="M6684" s="27"/>
      <c r="N6684" s="5" t="s">
        <v>59329</v>
      </c>
      <c r="O6684" s="5" t="str">
        <v>5024155891</v>
      </c>
      <c r="P6684" s="27">
        <v>1000000</v>
      </c>
      <c r="Q6684" s="5" t="s">
        <v>59330</v>
      </c>
      <c r="R6684" s="5"/>
      <c r="S6684" s="5" t="s">
        <v>59331</v>
      </c>
      <c r="T6684" s="28">
        <v>228000</v>
      </c>
      <c r="U6684" s="28"/>
      <c r="V6684" s="28">
        <v>1336084000</v>
      </c>
      <c r="W6684" s="28"/>
      <c r="X6684" s="28">
        <v>157147000</v>
      </c>
      <c r="Y6684" s="28">
        <v>1517390000</v>
      </c>
      <c r="Z6684" s="28">
        <v>159098000</v>
      </c>
      <c r="AA6684" s="28"/>
      <c r="AB6684" s="28"/>
      <c r="AC6684" s="28">
        <v>1357283000</v>
      </c>
      <c r="AD6684" s="28">
        <v>160098000</v>
      </c>
      <c r="AE6684" s="28">
        <v>4762657000</v>
      </c>
      <c r="AF6684" s="28">
        <v>95282000</v>
      </c>
      <c r="AG6684" s="11"/>
    </row>
    <row r="6685">
      <c r="A6685" s="7" t="s">
        <v>8253</v>
      </c>
      <c r="B6685" s="5" t="s">
        <v>16194</v>
      </c>
      <c r="C6685" s="5" t="s">
        <v>23838</v>
      </c>
      <c r="D6685" s="5" t="str">
        <v>503229804120</v>
      </c>
      <c r="F6685" s="5"/>
      <c r="G6685" s="5" t="s">
        <v>44816</v>
      </c>
      <c r="H6685" s="26">
        <v>30</v>
      </c>
      <c r="I6685" s="5" t="s">
        <v>44817</v>
      </c>
      <c r="J6685" s="5" t="s">
        <v>27921</v>
      </c>
      <c r="K6685" s="5" t="s">
        <v>355</v>
      </c>
      <c r="L6685" s="5" t="s">
        <v>44818</v>
      </c>
      <c r="M6685" s="27">
        <v>164837957</v>
      </c>
      <c r="N6685" s="5" t="s">
        <v>59332</v>
      </c>
      <c r="O6685" s="5" t="str">
        <v>7714024384</v>
      </c>
      <c r="P6685" s="27">
        <v>47800</v>
      </c>
      <c r="Q6685" s="5" t="s">
        <v>59333</v>
      </c>
      <c r="R6685" s="5"/>
      <c r="S6685" s="5" t="s">
        <v>50191</v>
      </c>
      <c r="T6685" s="28">
        <v>8096768000</v>
      </c>
      <c r="U6685" s="28">
        <v>200000</v>
      </c>
      <c r="V6685" s="28">
        <v>9882751000</v>
      </c>
      <c r="W6685" s="28"/>
      <c r="X6685" s="28">
        <v>5640312000</v>
      </c>
      <c r="Y6685" s="28">
        <v>28517870000</v>
      </c>
      <c r="Z6685" s="28">
        <v>9056813000</v>
      </c>
      <c r="AA6685" s="28"/>
      <c r="AB6685" s="28">
        <v>3174079000</v>
      </c>
      <c r="AC6685" s="28">
        <v>13819628000</v>
      </c>
      <c r="AD6685" s="28">
        <v>14250235000</v>
      </c>
      <c r="AE6685" s="28">
        <v>28515591000</v>
      </c>
      <c r="AF6685" s="28">
        <v>2083605000</v>
      </c>
      <c r="AG6685" s="11"/>
    </row>
    <row r="6686">
      <c r="A6686" s="7" t="s">
        <v>8254</v>
      </c>
      <c r="B6686" s="5" t="s">
        <v>16195</v>
      </c>
      <c r="C6686" s="5" t="s">
        <v>23839</v>
      </c>
      <c r="D6686" s="5" t="str">
        <v>772457978491</v>
      </c>
      <c r="F6686" s="5"/>
      <c r="G6686" s="5"/>
      <c r="H6686" s="26">
        <v>3</v>
      </c>
      <c r="I6686" s="5" t="s">
        <v>44819</v>
      </c>
      <c r="J6686" s="5" t="s">
        <v>27174</v>
      </c>
      <c r="K6686" s="5" t="s">
        <v>380</v>
      </c>
      <c r="L6686" s="5" t="s">
        <v>664</v>
      </c>
      <c r="M6686" s="27"/>
      <c r="N6686" s="5"/>
      <c r="O6686" s="5" t="str">
        <v>4401194375</v>
      </c>
      <c r="P6686" s="27">
        <v>30000</v>
      </c>
      <c r="Q6686" s="5" t="s">
        <v>59334</v>
      </c>
      <c r="R6686" s="5"/>
      <c r="S6686" s="5" t="s">
        <v>50865</v>
      </c>
      <c r="T6686" s="28"/>
      <c r="U6686" s="28"/>
      <c r="V6686" s="28">
        <v>114369000</v>
      </c>
      <c r="W6686" s="28">
        <v>28194768000</v>
      </c>
      <c r="X6686" s="28">
        <v>125674000</v>
      </c>
      <c r="Y6686" s="28">
        <v>30923338000</v>
      </c>
      <c r="Z6686" s="28">
        <v>-10006694000</v>
      </c>
      <c r="AA6686" s="28"/>
      <c r="AB6686" s="28">
        <v>34007458000</v>
      </c>
      <c r="AC6686" s="28">
        <v>40930002000</v>
      </c>
      <c r="AD6686" s="28">
        <v>-10006664000</v>
      </c>
      <c r="AE6686" s="28">
        <v>36456435000</v>
      </c>
      <c r="AF6686" s="28">
        <v>-10006984000</v>
      </c>
      <c r="AG6686" s="11"/>
    </row>
    <row r="6687">
      <c r="A6687" s="7" t="s">
        <v>8255</v>
      </c>
      <c r="B6687" s="5" t="s">
        <v>13676</v>
      </c>
      <c r="C6687" s="5" t="s">
        <v>23840</v>
      </c>
      <c r="D6687" s="5" t="str">
        <v>773412551013</v>
      </c>
      <c r="E6687" s="0" t="e">
        <f>+7 (345) 2352061
+7 (345) 2520061
+7 (345) 2520070
+7 (345) 2520447
+7 (345) 2521392
+7 (345) 2521393
+7 (345) 2935820
+7 (382) 2701050
+7 (382) 2701052
+7 (424) 2453840
+7 (424) 2463540
+7 (424) 2463541
+7 (424) 2463940
+7 (424) 2463941
+7 (424) 2464051</f>
        <v>#NAME?</v>
      </c>
      <c r="F6687" s="5" t="s">
        <v>44820</v>
      </c>
      <c r="G6687" s="5" t="s">
        <v>44821</v>
      </c>
      <c r="H6687" s="26">
        <v>20</v>
      </c>
      <c r="I6687" s="5" t="s">
        <v>44822</v>
      </c>
      <c r="J6687" s="5" t="s">
        <v>30361</v>
      </c>
      <c r="K6687" s="5" t="s">
        <v>344</v>
      </c>
      <c r="L6687" s="5" t="s">
        <v>44823</v>
      </c>
      <c r="M6687" s="27">
        <v>38944013</v>
      </c>
      <c r="N6687" s="5" t="s">
        <v>59335</v>
      </c>
      <c r="O6687" s="5" t="str">
        <v>7709413265</v>
      </c>
      <c r="P6687" s="27">
        <v>18756982006</v>
      </c>
      <c r="Q6687" s="5" t="s">
        <v>59336</v>
      </c>
      <c r="R6687" s="5"/>
      <c r="S6687" s="5" t="s">
        <v>51738</v>
      </c>
      <c r="T6687" s="28">
        <v>4360356000</v>
      </c>
      <c r="U6687" s="28">
        <v>18806550000</v>
      </c>
      <c r="V6687" s="28">
        <v>8832571000</v>
      </c>
      <c r="W6687" s="28"/>
      <c r="X6687" s="28">
        <v>4955245000</v>
      </c>
      <c r="Y6687" s="28">
        <v>45991788000</v>
      </c>
      <c r="Z6687" s="28">
        <v>4457493000</v>
      </c>
      <c r="AA6687" s="28"/>
      <c r="AB6687" s="28">
        <v>9805345000</v>
      </c>
      <c r="AC6687" s="28">
        <v>16006522000</v>
      </c>
      <c r="AD6687" s="28">
        <v>28141152000</v>
      </c>
      <c r="AE6687" s="28">
        <v>26811483000</v>
      </c>
      <c r="AF6687" s="28">
        <v>-1886807000</v>
      </c>
      <c r="AG6687" s="11"/>
    </row>
    <row r="6688">
      <c r="A6688" s="7" t="s">
        <v>8256</v>
      </c>
      <c r="B6688" s="5" t="s">
        <v>16196</v>
      </c>
      <c r="C6688" s="5" t="s">
        <v>23841</v>
      </c>
      <c r="D6688" s="5" t="str">
        <v>668201853720</v>
      </c>
      <c r="E6688" s="0" t="e">
        <f>+7 (499) 2133085</f>
        <v>#NAME?</v>
      </c>
      <c r="F6688" s="5" t="s">
        <v>44824</v>
      </c>
      <c r="G6688" s="5" t="s">
        <v>44825</v>
      </c>
      <c r="H6688" s="26">
        <v>5</v>
      </c>
      <c r="I6688" s="5" t="s">
        <v>44826</v>
      </c>
      <c r="J6688" s="5" t="s">
        <v>27977</v>
      </c>
      <c r="K6688" s="5" t="s">
        <v>344</v>
      </c>
      <c r="L6688" s="5" t="s">
        <v>44827</v>
      </c>
      <c r="M6688" s="27">
        <v>18005836</v>
      </c>
      <c r="N6688" s="5"/>
      <c r="O6688" s="5" t="str">
        <v>6682014011</v>
      </c>
      <c r="P6688" s="27">
        <v>5000000</v>
      </c>
      <c r="Q6688" s="5"/>
      <c r="R6688" s="5"/>
      <c r="S6688" s="5" t="s">
        <v>49121</v>
      </c>
      <c r="T6688" s="28">
        <v>732291000</v>
      </c>
      <c r="U6688" s="28"/>
      <c r="V6688" s="28">
        <v>5477865000</v>
      </c>
      <c r="W6688" s="28"/>
      <c r="X6688" s="28">
        <v>311443000</v>
      </c>
      <c r="Y6688" s="28">
        <v>7550277000</v>
      </c>
      <c r="Z6688" s="28">
        <v>2047205000</v>
      </c>
      <c r="AA6688" s="28"/>
      <c r="AB6688" s="28"/>
      <c r="AC6688" s="28">
        <v>5407246000</v>
      </c>
      <c r="AD6688" s="28">
        <v>2052205000</v>
      </c>
      <c r="AE6688" s="28">
        <v>9084360000</v>
      </c>
      <c r="AF6688" s="28">
        <v>1385749000</v>
      </c>
      <c r="AG6688" s="11"/>
    </row>
    <row r="6689">
      <c r="A6689" s="7" t="s">
        <v>8257</v>
      </c>
      <c r="B6689" s="5" t="s">
        <v>16197</v>
      </c>
      <c r="C6689" s="5" t="s">
        <v>23842</v>
      </c>
      <c r="D6689" s="5" t="str">
        <v>623001294164</v>
      </c>
      <c r="E6689" s="0" t="e">
        <f>+7 (495) 2251189
+7 (495) 2256200
+7 (495) 2256265
+7 (495) 9157364
+7 (926) 4532685</f>
        <v>#NAME?</v>
      </c>
      <c r="F6689" s="5" t="s">
        <v>44828</v>
      </c>
      <c r="G6689" s="5" t="s">
        <v>44829</v>
      </c>
      <c r="H6689" s="26">
        <v>16</v>
      </c>
      <c r="I6689" s="5" t="s">
        <v>44830</v>
      </c>
      <c r="J6689" s="5" t="s">
        <v>35321</v>
      </c>
      <c r="K6689" s="5" t="s">
        <v>344</v>
      </c>
      <c r="L6689" s="5" t="s">
        <v>44831</v>
      </c>
      <c r="M6689" s="27"/>
      <c r="N6689" s="5"/>
      <c r="O6689" s="5" t="str">
        <v>5047082270</v>
      </c>
      <c r="P6689" s="27">
        <v>1000010000</v>
      </c>
      <c r="Q6689" s="5" t="s">
        <v>59337</v>
      </c>
      <c r="R6689" s="5"/>
      <c r="S6689" s="5" t="s">
        <v>59338</v>
      </c>
      <c r="T6689" s="28">
        <v>91907000</v>
      </c>
      <c r="U6689" s="28"/>
      <c r="V6689" s="28">
        <v>5260625000</v>
      </c>
      <c r="W6689" s="28"/>
      <c r="X6689" s="28">
        <v>21922000</v>
      </c>
      <c r="Y6689" s="28">
        <v>8364859000</v>
      </c>
      <c r="Z6689" s="28">
        <v>4158505000</v>
      </c>
      <c r="AA6689" s="28"/>
      <c r="AB6689" s="28">
        <v>1000302000</v>
      </c>
      <c r="AC6689" s="28">
        <v>3103041000</v>
      </c>
      <c r="AD6689" s="28">
        <v>5158515000</v>
      </c>
      <c r="AE6689" s="28">
        <v>3623821000</v>
      </c>
      <c r="AF6689" s="28">
        <v>310250000</v>
      </c>
      <c r="AG6689" s="11"/>
    </row>
    <row r="6690">
      <c r="A6690" s="7" t="s">
        <v>8258</v>
      </c>
      <c r="B6690" s="5" t="s">
        <v>16198</v>
      </c>
      <c r="C6690" s="5" t="s">
        <v>23843</v>
      </c>
      <c r="D6690" s="5" t="str">
        <v>525703968640</v>
      </c>
      <c r="E6690" s="0" t="e">
        <f>+7 (908) 7293837
+7 (960) 1728460</f>
        <v>#NAME?</v>
      </c>
      <c r="F6690" s="5"/>
      <c r="G6690" s="5"/>
      <c r="H6690" s="26">
        <v>9.5</v>
      </c>
      <c r="I6690" s="5" t="s">
        <v>44832</v>
      </c>
      <c r="J6690" s="5" t="s">
        <v>26828</v>
      </c>
      <c r="K6690" s="5" t="s">
        <v>344</v>
      </c>
      <c r="L6690" s="5" t="s">
        <v>44833</v>
      </c>
      <c r="M6690" s="27"/>
      <c r="N6690" s="5"/>
      <c r="O6690" s="5" t="str">
        <v>5259107790</v>
      </c>
      <c r="P6690" s="27">
        <v>100000</v>
      </c>
      <c r="Q6690" s="5"/>
      <c r="R6690" s="5"/>
      <c r="S6690" s="5" t="s">
        <v>49991</v>
      </c>
      <c r="T6690" s="28"/>
      <c r="U6690" s="28"/>
      <c r="V6690" s="28">
        <v>576668000</v>
      </c>
      <c r="W6690" s="28"/>
      <c r="X6690" s="28">
        <v>51611000</v>
      </c>
      <c r="Y6690" s="28">
        <v>631684000</v>
      </c>
      <c r="Z6690" s="28">
        <v>32242000</v>
      </c>
      <c r="AA6690" s="28"/>
      <c r="AB6690" s="28"/>
      <c r="AC6690" s="28">
        <v>599342000</v>
      </c>
      <c r="AD6690" s="28">
        <v>32342000</v>
      </c>
      <c r="AE6690" s="28">
        <v>6982683000</v>
      </c>
      <c r="AF6690" s="28">
        <v>-207268000</v>
      </c>
      <c r="AG6690" s="11"/>
    </row>
    <row r="6691">
      <c r="A6691" s="7" t="s">
        <v>8259</v>
      </c>
      <c r="B6691" s="5" t="s">
        <v>16199</v>
      </c>
      <c r="C6691" s="5" t="s">
        <v>23844</v>
      </c>
      <c r="D6691" s="5" t="str">
        <v>550312434457</v>
      </c>
      <c r="F6691" s="5"/>
      <c r="G6691" s="5" t="s">
        <v>44834</v>
      </c>
      <c r="H6691" s="26">
        <v>6.5</v>
      </c>
      <c r="I6691" s="5" t="s">
        <v>44835</v>
      </c>
      <c r="J6691" s="5" t="s">
        <v>678</v>
      </c>
      <c r="K6691" s="5" t="s">
        <v>355</v>
      </c>
      <c r="L6691" s="5" t="s">
        <v>44836</v>
      </c>
      <c r="M6691" s="27"/>
      <c r="N6691" s="5"/>
      <c r="O6691" s="5" t="str">
        <v>5501177826</v>
      </c>
      <c r="P6691" s="27">
        <v>100000</v>
      </c>
      <c r="Q6691" s="5" t="s">
        <v>49057</v>
      </c>
      <c r="R6691" s="5"/>
      <c r="S6691" s="5" t="s">
        <v>49452</v>
      </c>
      <c r="T6691" s="28"/>
      <c r="U6691" s="28"/>
      <c r="V6691" s="28">
        <v>1337158000</v>
      </c>
      <c r="W6691" s="28"/>
      <c r="X6691" s="28">
        <v>206000</v>
      </c>
      <c r="Y6691" s="28">
        <v>1340433000</v>
      </c>
      <c r="Z6691" s="28">
        <v>121833000</v>
      </c>
      <c r="AA6691" s="28"/>
      <c r="AB6691" s="28">
        <v>926371000</v>
      </c>
      <c r="AC6691" s="28">
        <v>1218500000</v>
      </c>
      <c r="AD6691" s="28">
        <v>121933000</v>
      </c>
      <c r="AE6691" s="28">
        <v>8608956000</v>
      </c>
      <c r="AF6691" s="28">
        <v>15976000</v>
      </c>
      <c r="AG6691" s="11"/>
    </row>
    <row r="6692">
      <c r="A6692" s="7" t="s">
        <v>1515</v>
      </c>
      <c r="B6692" s="5" t="s">
        <v>16200</v>
      </c>
      <c r="C6692" s="5" t="s">
        <v>23845</v>
      </c>
      <c r="D6692" s="5" t="str">
        <v>781137377009</v>
      </c>
      <c r="F6692" s="5"/>
      <c r="G6692" s="5"/>
      <c r="H6692" s="26">
        <v>8.5</v>
      </c>
      <c r="I6692" s="5" t="s">
        <v>44837</v>
      </c>
      <c r="J6692" s="5" t="s">
        <v>585</v>
      </c>
      <c r="K6692" s="5" t="s">
        <v>344</v>
      </c>
      <c r="L6692" s="5" t="s">
        <v>44838</v>
      </c>
      <c r="M6692" s="27">
        <v>4015156</v>
      </c>
      <c r="N6692" s="5"/>
      <c r="O6692" s="5" t="str">
        <v>7840515470</v>
      </c>
      <c r="P6692" s="27">
        <v>600000</v>
      </c>
      <c r="Q6692" s="5" t="s">
        <v>49009</v>
      </c>
      <c r="R6692" s="5"/>
      <c r="S6692" s="5" t="s">
        <v>49045</v>
      </c>
      <c r="T6692" s="28">
        <v>32253000</v>
      </c>
      <c r="U6692" s="28"/>
      <c r="V6692" s="28">
        <v>7016812000</v>
      </c>
      <c r="W6692" s="28"/>
      <c r="X6692" s="28">
        <v>41494000</v>
      </c>
      <c r="Y6692" s="28">
        <v>8651347000</v>
      </c>
      <c r="Z6692" s="28">
        <v>535006000</v>
      </c>
      <c r="AA6692" s="28"/>
      <c r="AB6692" s="28"/>
      <c r="AC6692" s="28">
        <v>8089305000</v>
      </c>
      <c r="AD6692" s="28">
        <v>535606000</v>
      </c>
      <c r="AE6692" s="28">
        <v>22441861000</v>
      </c>
      <c r="AF6692" s="28">
        <v>11504000</v>
      </c>
      <c r="AG6692" s="11"/>
    </row>
    <row r="6693">
      <c r="A6693" s="7" t="s">
        <v>8260</v>
      </c>
      <c r="B6693" s="5" t="s">
        <v>16201</v>
      </c>
      <c r="C6693" s="5" t="s">
        <v>23841</v>
      </c>
      <c r="D6693" s="5" t="str">
        <v>668201853720</v>
      </c>
      <c r="E6693" s="0" t="e">
        <f>+7 (922) 2166281
+7 (343) 3440291
+7 (343) 3440292
+7 (343) 3592959
+7 (929) 9941433</f>
        <v>#NAME?</v>
      </c>
      <c r="F6693" s="5" t="s">
        <v>44839</v>
      </c>
      <c r="G6693" s="5" t="s">
        <v>44840</v>
      </c>
      <c r="H6693" s="26">
        <v>13</v>
      </c>
      <c r="I6693" s="5" t="s">
        <v>44841</v>
      </c>
      <c r="J6693" s="5" t="s">
        <v>30277</v>
      </c>
      <c r="K6693" s="5" t="s">
        <v>344</v>
      </c>
      <c r="L6693" s="5" t="s">
        <v>44842</v>
      </c>
      <c r="M6693" s="27"/>
      <c r="N6693" s="5" t="s">
        <v>59340</v>
      </c>
      <c r="O6693" s="5" t="str">
        <v>6621016702</v>
      </c>
      <c r="P6693" s="27">
        <v>62332000</v>
      </c>
      <c r="Q6693" s="5" t="s">
        <v>59341</v>
      </c>
      <c r="R6693" s="5"/>
      <c r="S6693" s="5" t="s">
        <v>49195</v>
      </c>
      <c r="T6693" s="28">
        <v>245593000</v>
      </c>
      <c r="U6693" s="28">
        <v>7800000</v>
      </c>
      <c r="V6693" s="28">
        <v>4142462000</v>
      </c>
      <c r="W6693" s="28">
        <v>5907000</v>
      </c>
      <c r="X6693" s="28">
        <v>267666000</v>
      </c>
      <c r="Y6693" s="28">
        <v>4843238000</v>
      </c>
      <c r="Z6693" s="28">
        <v>2715523000</v>
      </c>
      <c r="AA6693" s="28"/>
      <c r="AB6693" s="28">
        <v>126173000</v>
      </c>
      <c r="AC6693" s="28">
        <v>2042728000</v>
      </c>
      <c r="AD6693" s="28">
        <v>2777874000</v>
      </c>
      <c r="AE6693" s="28">
        <v>3150953000</v>
      </c>
      <c r="AF6693" s="28">
        <v>920060000</v>
      </c>
      <c r="AG6693" s="11"/>
    </row>
    <row r="6694">
      <c r="A6694" s="7" t="s">
        <v>8261</v>
      </c>
      <c r="B6694" s="5" t="s">
        <v>16202</v>
      </c>
      <c r="C6694" s="5" t="s">
        <v>23846</v>
      </c>
      <c r="D6694" s="5" t="str">
        <v>500601381717</v>
      </c>
      <c r="E6694" s="0" t="e">
        <f>+7 (495) 9840594
+7 (926) 9750195</f>
        <v>#NAME?</v>
      </c>
      <c r="F6694" s="5" t="s">
        <v>44843</v>
      </c>
      <c r="G6694" s="5"/>
      <c r="H6694" s="26">
        <v>11.5</v>
      </c>
      <c r="I6694" s="5" t="s">
        <v>44844</v>
      </c>
      <c r="J6694" s="5" t="s">
        <v>36079</v>
      </c>
      <c r="K6694" s="5" t="s">
        <v>344</v>
      </c>
      <c r="L6694" s="5" t="s">
        <v>44845</v>
      </c>
      <c r="M6694" s="27"/>
      <c r="N6694" s="5" t="s">
        <v>59342</v>
      </c>
      <c r="O6694" s="5" t="str">
        <v>7703751613</v>
      </c>
      <c r="P6694" s="27">
        <v>250000</v>
      </c>
      <c r="Q6694" s="5" t="s">
        <v>59343</v>
      </c>
      <c r="R6694" s="5"/>
      <c r="S6694" s="5" t="s">
        <v>59344</v>
      </c>
      <c r="T6694" s="28">
        <v>31219000</v>
      </c>
      <c r="U6694" s="28"/>
      <c r="V6694" s="28">
        <v>228261000</v>
      </c>
      <c r="W6694" s="28">
        <v>50526000</v>
      </c>
      <c r="X6694" s="28">
        <v>364606000</v>
      </c>
      <c r="Y6694" s="28">
        <v>1309352000</v>
      </c>
      <c r="Z6694" s="28">
        <v>738844000</v>
      </c>
      <c r="AA6694" s="28"/>
      <c r="AB6694" s="28">
        <v>7888000</v>
      </c>
      <c r="AC6694" s="28">
        <v>570224000</v>
      </c>
      <c r="AD6694" s="28">
        <v>739094000</v>
      </c>
      <c r="AE6694" s="28">
        <v>4659662000</v>
      </c>
      <c r="AF6694" s="28">
        <v>250321000</v>
      </c>
      <c r="AG6694" s="11"/>
    </row>
    <row r="6695">
      <c r="A6695" s="7" t="s">
        <v>8261</v>
      </c>
      <c r="B6695" s="5" t="s">
        <v>16203</v>
      </c>
      <c r="C6695" s="5" t="s">
        <v>23847</v>
      </c>
      <c r="D6695" s="5" t="str">
        <v>760700351932</v>
      </c>
      <c r="E6695" s="0" t="e">
        <f>+7 (485) 2282012</f>
        <v>#NAME?</v>
      </c>
      <c r="F6695" s="5" t="s">
        <v>44846</v>
      </c>
      <c r="G6695" s="5"/>
      <c r="H6695" s="26">
        <v>9.5</v>
      </c>
      <c r="I6695" s="5" t="s">
        <v>44847</v>
      </c>
      <c r="J6695" s="5" t="s">
        <v>25337</v>
      </c>
      <c r="K6695" s="5" t="s">
        <v>355</v>
      </c>
      <c r="L6695" s="5" t="s">
        <v>44848</v>
      </c>
      <c r="M6695" s="27"/>
      <c r="N6695" s="5"/>
      <c r="O6695" s="5" t="str">
        <v>7604246063</v>
      </c>
      <c r="P6695" s="27">
        <v>200000</v>
      </c>
      <c r="Q6695" s="5" t="s">
        <v>49009</v>
      </c>
      <c r="R6695" s="5"/>
      <c r="S6695" s="5" t="s">
        <v>49010</v>
      </c>
      <c r="T6695" s="28">
        <v>95618000</v>
      </c>
      <c r="U6695" s="28"/>
      <c r="V6695" s="28">
        <v>480846000</v>
      </c>
      <c r="W6695" s="28">
        <v>31824000</v>
      </c>
      <c r="X6695" s="28">
        <v>168000</v>
      </c>
      <c r="Y6695" s="28">
        <v>1021110000</v>
      </c>
      <c r="Z6695" s="28">
        <v>59498000</v>
      </c>
      <c r="AA6695" s="28"/>
      <c r="AB6695" s="28">
        <v>2250000</v>
      </c>
      <c r="AC6695" s="28">
        <v>917747000</v>
      </c>
      <c r="AD6695" s="28">
        <v>59698000</v>
      </c>
      <c r="AE6695" s="28">
        <v>3416448000</v>
      </c>
      <c r="AF6695" s="28">
        <v>29837000</v>
      </c>
      <c r="AG6695" s="11"/>
    </row>
    <row r="6696">
      <c r="A6696" s="7" t="s">
        <v>8262</v>
      </c>
      <c r="B6696" s="5" t="s">
        <v>16204</v>
      </c>
      <c r="C6696" s="5" t="s">
        <v>23848</v>
      </c>
      <c r="D6696" s="5" t="str">
        <v>740400147884</v>
      </c>
      <c r="F6696" s="5"/>
      <c r="G6696" s="5" t="s">
        <v>44849</v>
      </c>
      <c r="H6696" s="26">
        <v>8.5</v>
      </c>
      <c r="I6696" s="5" t="s">
        <v>44850</v>
      </c>
      <c r="J6696" s="5" t="s">
        <v>27522</v>
      </c>
      <c r="K6696" s="5" t="s">
        <v>344</v>
      </c>
      <c r="L6696" s="5" t="s">
        <v>44851</v>
      </c>
      <c r="M6696" s="27"/>
      <c r="N6696" s="5"/>
      <c r="O6696" s="5" t="str">
        <v>7729773330</v>
      </c>
      <c r="P6696" s="27">
        <v>320000</v>
      </c>
      <c r="Q6696" s="5" t="s">
        <v>49059</v>
      </c>
      <c r="R6696" s="5"/>
      <c r="S6696" s="5" t="s">
        <v>49028</v>
      </c>
      <c r="T6696" s="28">
        <v>412031000</v>
      </c>
      <c r="U6696" s="28"/>
      <c r="V6696" s="28">
        <v>348091000</v>
      </c>
      <c r="W6696" s="28"/>
      <c r="X6696" s="28">
        <v>22843000</v>
      </c>
      <c r="Y6696" s="28">
        <v>2991151000</v>
      </c>
      <c r="Z6696" s="28">
        <v>344889000</v>
      </c>
      <c r="AA6696" s="28">
        <v>68554000</v>
      </c>
      <c r="AB6696" s="28">
        <v>187692000</v>
      </c>
      <c r="AC6696" s="28">
        <v>2165732000</v>
      </c>
      <c r="AD6696" s="28">
        <v>345209000</v>
      </c>
      <c r="AE6696" s="28">
        <v>5001979000</v>
      </c>
      <c r="AF6696" s="28">
        <v>121867000</v>
      </c>
      <c r="AG6696" s="11"/>
    </row>
    <row r="6697">
      <c r="A6697" s="7" t="s">
        <v>8263</v>
      </c>
      <c r="B6697" s="5" t="s">
        <v>16205</v>
      </c>
      <c r="C6697" s="5" t="s">
        <v>23849</v>
      </c>
      <c r="D6697" s="5" t="str">
        <v>695004265603</v>
      </c>
      <c r="E6697" s="0" t="e">
        <f>+7 (383) 3358170
+7 (3952) 563671
+7 (3952) 563674
+7 (3952) 563683</f>
        <v>#NAME?</v>
      </c>
      <c r="F6697" s="5" t="s">
        <v>44852</v>
      </c>
      <c r="G6697" s="5" t="s">
        <v>44853</v>
      </c>
      <c r="H6697" s="26">
        <v>22</v>
      </c>
      <c r="I6697" s="5" t="s">
        <v>44854</v>
      </c>
      <c r="J6697" s="5" t="s">
        <v>693</v>
      </c>
      <c r="K6697" s="5" t="s">
        <v>344</v>
      </c>
      <c r="L6697" s="5" t="s">
        <v>44855</v>
      </c>
      <c r="M6697" s="27"/>
      <c r="N6697" s="5" t="s">
        <v>59345</v>
      </c>
      <c r="O6697" s="5" t="str">
        <v>3811066336</v>
      </c>
      <c r="P6697" s="27">
        <v>10000</v>
      </c>
      <c r="Q6697" s="5" t="s">
        <v>49009</v>
      </c>
      <c r="R6697" s="5"/>
      <c r="S6697" s="5" t="s">
        <v>49012</v>
      </c>
      <c r="T6697" s="28">
        <v>50356000</v>
      </c>
      <c r="U6697" s="28"/>
      <c r="V6697" s="28">
        <v>121125000</v>
      </c>
      <c r="W6697" s="28">
        <v>376194000</v>
      </c>
      <c r="X6697" s="28">
        <v>74196000</v>
      </c>
      <c r="Y6697" s="28">
        <v>1310513000</v>
      </c>
      <c r="Z6697" s="28">
        <v>694210000</v>
      </c>
      <c r="AA6697" s="28"/>
      <c r="AB6697" s="28"/>
      <c r="AC6697" s="28">
        <v>603894000</v>
      </c>
      <c r="AD6697" s="28">
        <v>694220000</v>
      </c>
      <c r="AE6697" s="28">
        <v>9857579000</v>
      </c>
      <c r="AF6697" s="28">
        <v>485791000</v>
      </c>
      <c r="AG6697" s="11"/>
    </row>
    <row r="6698">
      <c r="A6698" s="7" t="s">
        <v>8264</v>
      </c>
      <c r="B6698" s="5" t="s">
        <v>16206</v>
      </c>
      <c r="C6698" s="5" t="s">
        <v>23850</v>
      </c>
      <c r="D6698" s="5" t="str">
        <v>771374340907</v>
      </c>
      <c r="E6698" s="0" t="e">
        <f>+7 (4912) 911240
+7 (909) 144441
+7 (981) 7701027
+7 (4912) 911356
+7 (495) 1507744
+7 (495) 9255575
+7 (495) 9335352
+7 (800) 2000565</f>
        <v>#NAME?</v>
      </c>
      <c r="F6698" s="5" t="s">
        <v>44856</v>
      </c>
      <c r="G6698" s="5"/>
      <c r="H6698" s="26">
        <v>19</v>
      </c>
      <c r="I6698" s="5" t="s">
        <v>44857</v>
      </c>
      <c r="J6698" s="5" t="s">
        <v>678</v>
      </c>
      <c r="K6698" s="5" t="s">
        <v>344</v>
      </c>
      <c r="L6698" s="5" t="s">
        <v>44858</v>
      </c>
      <c r="M6698" s="27">
        <v>448504</v>
      </c>
      <c r="N6698" s="5" t="s">
        <v>59346</v>
      </c>
      <c r="O6698" s="5" t="str">
        <v>7702521529</v>
      </c>
      <c r="P6698" s="27">
        <v>2200000</v>
      </c>
      <c r="Q6698" s="5" t="s">
        <v>49009</v>
      </c>
      <c r="R6698" s="5"/>
      <c r="S6698" s="5" t="s">
        <v>59347</v>
      </c>
      <c r="T6698" s="28">
        <v>298687000</v>
      </c>
      <c r="U6698" s="28">
        <v>1554397000</v>
      </c>
      <c r="V6698" s="28">
        <v>3658207000</v>
      </c>
      <c r="W6698" s="28">
        <v>69989000</v>
      </c>
      <c r="X6698" s="28">
        <v>38284456000</v>
      </c>
      <c r="Y6698" s="28">
        <v>52708224000</v>
      </c>
      <c r="Z6698" s="28">
        <v>17649801000</v>
      </c>
      <c r="AA6698" s="28">
        <v>3727453000</v>
      </c>
      <c r="AB6698" s="28">
        <v>4054882000</v>
      </c>
      <c r="AC6698" s="28">
        <v>31186870000</v>
      </c>
      <c r="AD6698" s="28">
        <v>17654319000</v>
      </c>
      <c r="AE6698" s="28">
        <v>159088652000</v>
      </c>
      <c r="AF6698" s="28">
        <v>23995950000</v>
      </c>
      <c r="AG6698" s="11"/>
    </row>
    <row r="6699">
      <c r="A6699" s="7" t="s">
        <v>8265</v>
      </c>
      <c r="B6699" s="5" t="s">
        <v>16207</v>
      </c>
      <c r="C6699" s="5" t="s">
        <v>23851</v>
      </c>
      <c r="D6699" s="5" t="str">
        <v>502716208504</v>
      </c>
      <c r="E6699" s="0" t="e">
        <f>+7 (3433) 565913
+7 (346) 2376004
+7 (3512) 173569
+7 (495) 2255664
+7 (495) 2255665
+7 (812) 4484824
+7 (83177) 96805
+7 (902) 3625243</f>
        <v>#NAME?</v>
      </c>
      <c r="F6699" s="5"/>
      <c r="G6699" s="5"/>
      <c r="H6699" s="26">
        <v>12.5</v>
      </c>
      <c r="I6699" s="5"/>
      <c r="J6699" s="5" t="s">
        <v>25337</v>
      </c>
      <c r="K6699" s="5" t="s">
        <v>380</v>
      </c>
      <c r="L6699" s="5" t="s">
        <v>44859</v>
      </c>
      <c r="M6699" s="27">
        <v>284237377</v>
      </c>
      <c r="N6699" s="5" t="s">
        <v>59348</v>
      </c>
      <c r="O6699" s="5" t="str">
        <v>7701880758</v>
      </c>
      <c r="P6699" s="27">
        <v>1000000</v>
      </c>
      <c r="Q6699" s="5" t="s">
        <v>59349</v>
      </c>
      <c r="R6699" s="5"/>
      <c r="S6699" s="5" t="s">
        <v>49496</v>
      </c>
      <c r="T6699" s="28">
        <v>38440000000</v>
      </c>
      <c r="U6699" s="28">
        <v>18906275000</v>
      </c>
      <c r="V6699" s="28">
        <v>17846799000</v>
      </c>
      <c r="W6699" s="28">
        <v>39579000</v>
      </c>
      <c r="X6699" s="28">
        <v>1454121000</v>
      </c>
      <c r="Y6699" s="28">
        <v>78573136000</v>
      </c>
      <c r="Z6699" s="28">
        <v>1685335000</v>
      </c>
      <c r="AA6699" s="28">
        <v>2760000000</v>
      </c>
      <c r="AB6699" s="28"/>
      <c r="AC6699" s="28">
        <v>36190805000</v>
      </c>
      <c r="AD6699" s="28">
        <v>1686385000</v>
      </c>
      <c r="AE6699" s="28">
        <v>32229621000</v>
      </c>
      <c r="AF6699" s="28">
        <v>272150000</v>
      </c>
      <c r="AG6699" s="11"/>
    </row>
    <row r="6700">
      <c r="A6700" s="7" t="s">
        <v>8266</v>
      </c>
      <c r="B6700" s="5" t="s">
        <v>16208</v>
      </c>
      <c r="C6700" s="5" t="s">
        <v>23852</v>
      </c>
      <c r="D6700" s="5" t="str">
        <v>771901256204</v>
      </c>
      <c r="E6700" s="0" t="e">
        <f>+7 (800) 1005588
+7 (968) 9996535
+7 (499) 7555777
+7 (499) 7602094</f>
        <v>#NAME?</v>
      </c>
      <c r="F6700" s="5" t="s">
        <v>44860</v>
      </c>
      <c r="G6700" s="5" t="s">
        <v>44861</v>
      </c>
      <c r="H6700" s="26">
        <v>16</v>
      </c>
      <c r="I6700" s="5" t="s">
        <v>44862</v>
      </c>
      <c r="J6700" s="5" t="s">
        <v>29940</v>
      </c>
      <c r="K6700" s="5" t="s">
        <v>344</v>
      </c>
      <c r="L6700" s="5" t="s">
        <v>44863</v>
      </c>
      <c r="M6700" s="27">
        <v>360380</v>
      </c>
      <c r="N6700" s="5" t="s">
        <v>59350</v>
      </c>
      <c r="O6700" s="5" t="str">
        <v>7715631511</v>
      </c>
      <c r="P6700" s="27">
        <v>3450000</v>
      </c>
      <c r="Q6700" s="5" t="s">
        <v>49009</v>
      </c>
      <c r="R6700" s="5"/>
      <c r="S6700" s="5" t="s">
        <v>50310</v>
      </c>
      <c r="T6700" s="28">
        <v>1097992000</v>
      </c>
      <c r="U6700" s="28"/>
      <c r="V6700" s="28">
        <v>2274507000</v>
      </c>
      <c r="W6700" s="28">
        <v>3899309000</v>
      </c>
      <c r="X6700" s="28">
        <v>293660000</v>
      </c>
      <c r="Y6700" s="28">
        <v>12082987000</v>
      </c>
      <c r="Z6700" s="28">
        <v>4294558000</v>
      </c>
      <c r="AA6700" s="28"/>
      <c r="AB6700" s="28">
        <v>1099000</v>
      </c>
      <c r="AC6700" s="28">
        <v>7331782000</v>
      </c>
      <c r="AD6700" s="28">
        <v>4316744000</v>
      </c>
      <c r="AE6700" s="28">
        <v>24528890000</v>
      </c>
      <c r="AF6700" s="28">
        <v>993756000</v>
      </c>
      <c r="AG6700" s="11"/>
    </row>
    <row r="6701">
      <c r="A6701" s="7" t="s">
        <v>1529</v>
      </c>
      <c r="B6701" s="5" t="s">
        <v>16209</v>
      </c>
      <c r="C6701" s="5" t="s">
        <v>23853</v>
      </c>
      <c r="D6701" s="5" t="str">
        <v>670100915517</v>
      </c>
      <c r="E6701" s="0" t="e">
        <f>+7 (812) 7171290
+7 (921) 7801105
+7 (921) 8927815
+7 (812) 1178040
+7 (812) 2721720
+7 (812) 2722962
+7 (812) 2729787
+7 (812) 2758233
+7 (812) 4002176
+7 (812) 4002282
+7 (812) 6449908</f>
        <v>#NAME?</v>
      </c>
      <c r="F6701" s="5" t="s">
        <v>44864</v>
      </c>
      <c r="G6701" s="5" t="s">
        <v>44865</v>
      </c>
      <c r="H6701" s="26">
        <v>31</v>
      </c>
      <c r="I6701" s="5" t="s">
        <v>44866</v>
      </c>
      <c r="J6701" s="5" t="s">
        <v>25429</v>
      </c>
      <c r="K6701" s="5" t="s">
        <v>344</v>
      </c>
      <c r="L6701" s="5" t="s">
        <v>44867</v>
      </c>
      <c r="M6701" s="27"/>
      <c r="N6701" s="5" t="s">
        <v>59351</v>
      </c>
      <c r="O6701" s="5" t="str">
        <v>7812022931</v>
      </c>
      <c r="P6701" s="27">
        <v>95014</v>
      </c>
      <c r="Q6701" s="5" t="s">
        <v>59352</v>
      </c>
      <c r="R6701" s="5"/>
      <c r="S6701" s="5" t="s">
        <v>50630</v>
      </c>
      <c r="T6701" s="28">
        <v>40996000</v>
      </c>
      <c r="U6701" s="28"/>
      <c r="V6701" s="28">
        <v>1060259000</v>
      </c>
      <c r="W6701" s="28">
        <v>12092000</v>
      </c>
      <c r="X6701" s="28">
        <v>10377000</v>
      </c>
      <c r="Y6701" s="28">
        <v>1596638000</v>
      </c>
      <c r="Z6701" s="28">
        <v>783111000</v>
      </c>
      <c r="AA6701" s="28"/>
      <c r="AB6701" s="28"/>
      <c r="AC6701" s="28">
        <v>787102000</v>
      </c>
      <c r="AD6701" s="28">
        <v>785533000</v>
      </c>
      <c r="AE6701" s="28">
        <v>4427844000</v>
      </c>
      <c r="AF6701" s="28">
        <v>217315000</v>
      </c>
      <c r="AG6701" s="11"/>
    </row>
    <row r="6702">
      <c r="A6702" s="7" t="s">
        <v>8267</v>
      </c>
      <c r="B6702" s="5" t="s">
        <v>16210</v>
      </c>
      <c r="C6702" s="5" t="s">
        <v>23854</v>
      </c>
      <c r="D6702" s="5" t="str">
        <v>232502117890</v>
      </c>
      <c r="E6702" s="0" t="e">
        <f>+7 (495) 7405887
+7 (383) 3325986
+7 (495) 2129071
+7 (495) 3139071</f>
        <v>#NAME?</v>
      </c>
      <c r="F6702" s="5" t="s">
        <v>44868</v>
      </c>
      <c r="G6702" s="5" t="s">
        <v>44869</v>
      </c>
      <c r="H6702" s="26">
        <v>11.5</v>
      </c>
      <c r="I6702" s="5" t="s">
        <v>44870</v>
      </c>
      <c r="J6702" s="5" t="s">
        <v>26256</v>
      </c>
      <c r="K6702" s="5" t="s">
        <v>344</v>
      </c>
      <c r="L6702" s="5" t="s">
        <v>44871</v>
      </c>
      <c r="M6702" s="27"/>
      <c r="N6702" s="5" t="s">
        <v>59353</v>
      </c>
      <c r="O6702" s="5" t="str">
        <v>7715889775</v>
      </c>
      <c r="P6702" s="27">
        <v>10000</v>
      </c>
      <c r="Q6702" s="5" t="s">
        <v>59354</v>
      </c>
      <c r="R6702" s="5"/>
      <c r="S6702" s="5" t="s">
        <v>59355</v>
      </c>
      <c r="T6702" s="28">
        <v>18381000</v>
      </c>
      <c r="U6702" s="28"/>
      <c r="V6702" s="28">
        <v>498139000</v>
      </c>
      <c r="W6702" s="28"/>
      <c r="X6702" s="28">
        <v>188576000</v>
      </c>
      <c r="Y6702" s="28">
        <v>1235064000</v>
      </c>
      <c r="Z6702" s="28">
        <v>176812000</v>
      </c>
      <c r="AA6702" s="28">
        <v>132955000</v>
      </c>
      <c r="AB6702" s="28">
        <v>313362000</v>
      </c>
      <c r="AC6702" s="28">
        <v>919498000</v>
      </c>
      <c r="AD6702" s="28">
        <v>176822000</v>
      </c>
      <c r="AE6702" s="28">
        <v>3884808000</v>
      </c>
      <c r="AF6702" s="28">
        <v>63608000</v>
      </c>
      <c r="AG6702" s="11"/>
    </row>
    <row r="6703">
      <c r="A6703" s="7" t="s">
        <v>8268</v>
      </c>
      <c r="B6703" s="5" t="s">
        <v>16211</v>
      </c>
      <c r="C6703" s="5" t="s">
        <v>23855</v>
      </c>
      <c r="D6703" s="5" t="str">
        <v>502910756808</v>
      </c>
      <c r="E6703" s="0" t="e">
        <f>+7 (495) 5665672
+7 (495) 6656704
+7 (495) 6656724
+7 (495) 6656734
+7 (495) 7771111
+7 (812) 7777500
+7 (920) 2579491
+7 (922) 4569872
+7 (926) 4138560
+7 (937) 4214066</f>
        <v>#NAME?</v>
      </c>
      <c r="F6703" s="5" t="s">
        <v>44872</v>
      </c>
      <c r="G6703" s="5"/>
      <c r="H6703" s="26">
        <v>3</v>
      </c>
      <c r="I6703" s="5" t="s">
        <v>44873</v>
      </c>
      <c r="J6703" s="5" t="s">
        <v>423</v>
      </c>
      <c r="K6703" s="5" t="s">
        <v>344</v>
      </c>
      <c r="L6703" s="5" t="s">
        <v>42744</v>
      </c>
      <c r="M6703" s="27"/>
      <c r="N6703" s="5" t="s">
        <v>59356</v>
      </c>
      <c r="O6703" s="5" t="str">
        <v>7716945246</v>
      </c>
      <c r="P6703" s="27">
        <v>10000</v>
      </c>
      <c r="Q6703" s="5" t="s">
        <v>59357</v>
      </c>
      <c r="R6703" s="5"/>
      <c r="S6703" s="5" t="s">
        <v>59358</v>
      </c>
      <c r="T6703" s="28"/>
      <c r="U6703" s="28"/>
      <c r="V6703" s="28">
        <v>414374000</v>
      </c>
      <c r="W6703" s="28"/>
      <c r="X6703" s="28">
        <v>347686000</v>
      </c>
      <c r="Y6703" s="28">
        <v>762121000</v>
      </c>
      <c r="Z6703" s="28">
        <v>55987000</v>
      </c>
      <c r="AA6703" s="28"/>
      <c r="AB6703" s="28"/>
      <c r="AC6703" s="28">
        <v>706124000</v>
      </c>
      <c r="AD6703" s="28">
        <v>55997000</v>
      </c>
      <c r="AE6703" s="28">
        <v>3313226000</v>
      </c>
      <c r="AF6703" s="28">
        <v>38856000</v>
      </c>
      <c r="AG6703" s="11"/>
    </row>
    <row r="6704">
      <c r="A6704" s="7" t="s">
        <v>8269</v>
      </c>
      <c r="B6704" s="5" t="s">
        <v>16212</v>
      </c>
      <c r="C6704" s="5" t="s">
        <v>23856</v>
      </c>
      <c r="D6704" s="5" t="str">
        <v>260304365991</v>
      </c>
      <c r="E6704" s="0" t="e">
        <f>+7 (495) 2690018
+7 (925) 2830857</f>
        <v>#NAME?</v>
      </c>
      <c r="F6704" s="5" t="s">
        <v>44874</v>
      </c>
      <c r="G6704" s="5" t="s">
        <v>44875</v>
      </c>
      <c r="H6704" s="26">
        <v>6.5</v>
      </c>
      <c r="I6704" s="5" t="s">
        <v>44876</v>
      </c>
      <c r="J6704" s="5" t="s">
        <v>1026</v>
      </c>
      <c r="K6704" s="5" t="s">
        <v>344</v>
      </c>
      <c r="L6704" s="5" t="s">
        <v>44877</v>
      </c>
      <c r="M6704" s="27"/>
      <c r="N6704" s="5" t="s">
        <v>59359</v>
      </c>
      <c r="O6704" s="5" t="str">
        <v>9729038665</v>
      </c>
      <c r="P6704" s="27">
        <v>1000000</v>
      </c>
      <c r="Q6704" s="5" t="s">
        <v>59360</v>
      </c>
      <c r="R6704" s="5"/>
      <c r="S6704" s="5" t="s">
        <v>49686</v>
      </c>
      <c r="T6704" s="28"/>
      <c r="U6704" s="28"/>
      <c r="V6704" s="28">
        <v>1203762000</v>
      </c>
      <c r="W6704" s="28"/>
      <c r="X6704" s="28">
        <v>963257000</v>
      </c>
      <c r="Y6704" s="28">
        <v>2246274000</v>
      </c>
      <c r="Z6704" s="28">
        <v>108681000</v>
      </c>
      <c r="AA6704" s="28"/>
      <c r="AB6704" s="28"/>
      <c r="AC6704" s="28">
        <v>2136593000</v>
      </c>
      <c r="AD6704" s="28">
        <v>109681000</v>
      </c>
      <c r="AE6704" s="28">
        <v>3002639000</v>
      </c>
      <c r="AF6704" s="28">
        <v>58043000</v>
      </c>
      <c r="AG6704" s="11"/>
    </row>
    <row r="6705">
      <c r="A6705" s="7" t="s">
        <v>8270</v>
      </c>
      <c r="B6705" s="5" t="s">
        <v>16213</v>
      </c>
      <c r="C6705" s="5" t="s">
        <v>23857</v>
      </c>
      <c r="D6705" s="5"/>
      <c r="E6705" s="0" t="e">
        <f>+7 (384) 2901129
+7 (384) 2901139
+7 (3843) 920700
+7 (3843) 920701
+7 (3843) 921129
+7 (388) 2241537
+7 (388) 2261421
+7 (923) 4699965</f>
        <v>#NAME?</v>
      </c>
      <c r="F6705" s="5" t="s">
        <v>44878</v>
      </c>
      <c r="G6705" s="5"/>
      <c r="H6705" s="26">
        <v>25</v>
      </c>
      <c r="I6705" s="5" t="s">
        <v>44879</v>
      </c>
      <c r="J6705" s="5" t="s">
        <v>693</v>
      </c>
      <c r="K6705" s="5" t="s">
        <v>344</v>
      </c>
      <c r="L6705" s="5"/>
      <c r="M6705" s="27">
        <v>2535111</v>
      </c>
      <c r="N6705" s="5" t="s">
        <v>59361</v>
      </c>
      <c r="O6705" s="5" t="str">
        <v>0411170288</v>
      </c>
      <c r="P6705" s="27">
        <v>32000</v>
      </c>
      <c r="Q6705" s="5" t="s">
        <v>59362</v>
      </c>
      <c r="R6705" s="5"/>
      <c r="S6705" s="5" t="s">
        <v>54491</v>
      </c>
      <c r="T6705" s="28">
        <v>31706000</v>
      </c>
      <c r="U6705" s="28"/>
      <c r="V6705" s="28">
        <v>383816000</v>
      </c>
      <c r="W6705" s="28">
        <v>99299000</v>
      </c>
      <c r="X6705" s="28">
        <v>8287000</v>
      </c>
      <c r="Y6705" s="28">
        <v>1431606000</v>
      </c>
      <c r="Z6705" s="28">
        <v>119144000</v>
      </c>
      <c r="AA6705" s="28"/>
      <c r="AB6705" s="28">
        <v>249413000</v>
      </c>
      <c r="AC6705" s="28">
        <v>1312429000</v>
      </c>
      <c r="AD6705" s="28">
        <v>119176000</v>
      </c>
      <c r="AE6705" s="28">
        <v>3812209000</v>
      </c>
      <c r="AF6705" s="28">
        <v>8052000</v>
      </c>
      <c r="AG6705" s="11"/>
    </row>
    <row r="6706">
      <c r="A6706" s="7" t="s">
        <v>8271</v>
      </c>
      <c r="B6706" s="5" t="s">
        <v>16214</v>
      </c>
      <c r="C6706" s="5" t="s">
        <v>23858</v>
      </c>
      <c r="D6706" s="5" t="str">
        <v>503012322869</v>
      </c>
      <c r="E6706" s="0" t="e">
        <f>+7 (345) 2399222
+7 (495) 6410157
+7 (912) 3801711
+7 (919) 9592314</f>
        <v>#NAME?</v>
      </c>
      <c r="F6706" s="5" t="s">
        <v>44880</v>
      </c>
      <c r="G6706" s="5"/>
      <c r="H6706" s="26">
        <v>10</v>
      </c>
      <c r="I6706" s="5" t="s">
        <v>44881</v>
      </c>
      <c r="J6706" s="5" t="s">
        <v>1095</v>
      </c>
      <c r="K6706" s="5" t="s">
        <v>380</v>
      </c>
      <c r="L6706" s="5"/>
      <c r="M6706" s="27">
        <v>230078413</v>
      </c>
      <c r="N6706" s="5"/>
      <c r="O6706" s="5" t="str">
        <v>7224049654</v>
      </c>
      <c r="P6706" s="27">
        <v>2000000</v>
      </c>
      <c r="Q6706" s="5" t="s">
        <v>59363</v>
      </c>
      <c r="R6706" s="5" t="s">
        <v>59364</v>
      </c>
      <c r="S6706" s="5" t="s">
        <v>55225</v>
      </c>
      <c r="T6706" s="28">
        <v>389615000</v>
      </c>
      <c r="U6706" s="28"/>
      <c r="V6706" s="28">
        <v>6409013000</v>
      </c>
      <c r="W6706" s="28">
        <v>144350000</v>
      </c>
      <c r="X6706" s="28">
        <v>884741000</v>
      </c>
      <c r="Y6706" s="28">
        <v>9781924000</v>
      </c>
      <c r="Z6706" s="28">
        <v>-2698952000</v>
      </c>
      <c r="AA6706" s="28">
        <v>256000000</v>
      </c>
      <c r="AB6706" s="28">
        <v>186275000</v>
      </c>
      <c r="AC6706" s="28">
        <v>11990918000</v>
      </c>
      <c r="AD6706" s="28">
        <v>-2696952000</v>
      </c>
      <c r="AE6706" s="28">
        <v>8935991000</v>
      </c>
      <c r="AF6706" s="28">
        <v>770657000</v>
      </c>
      <c r="AG6706" s="11"/>
    </row>
    <row r="6707">
      <c r="A6707" s="7" t="s">
        <v>8272</v>
      </c>
      <c r="B6707" s="5" t="s">
        <v>16215</v>
      </c>
      <c r="C6707" s="5" t="s">
        <v>23859</v>
      </c>
      <c r="D6707" s="5" t="str">
        <v>773108209705</v>
      </c>
      <c r="E6707" s="0" t="e">
        <f>+7 (916) 6439200
+7 (343) 3008008
+7 (343) 3891767
+7 (495) 7803196
+7 (812) 5657425
+7 (905) 7278858
+7 (910) 4348349
+7 (912) 2580999
+7 (912) 6935592
+7 (914) 4140227
+7 (918) 5795259
+7 (919) 3797959
+7 (922) 1822263
+7 (953) 8628899
+7 (980) 3235803</f>
        <v>#NAME?</v>
      </c>
      <c r="F6707" s="5" t="s">
        <v>44882</v>
      </c>
      <c r="G6707" s="5" t="s">
        <v>44883</v>
      </c>
      <c r="H6707" s="26">
        <v>8.5</v>
      </c>
      <c r="I6707" s="5" t="s">
        <v>44884</v>
      </c>
      <c r="J6707" s="5" t="s">
        <v>678</v>
      </c>
      <c r="K6707" s="5" t="s">
        <v>344</v>
      </c>
      <c r="L6707" s="5" t="s">
        <v>44885</v>
      </c>
      <c r="M6707" s="27"/>
      <c r="N6707" s="5" t="s">
        <v>59365</v>
      </c>
      <c r="O6707" s="5" t="str">
        <v>7725841780</v>
      </c>
      <c r="P6707" s="27">
        <v>10000</v>
      </c>
      <c r="Q6707" s="5" t="s">
        <v>49822</v>
      </c>
      <c r="R6707" s="5"/>
      <c r="S6707" s="5" t="s">
        <v>59366</v>
      </c>
      <c r="T6707" s="28">
        <v>6556000</v>
      </c>
      <c r="U6707" s="28"/>
      <c r="V6707" s="28">
        <v>442737000</v>
      </c>
      <c r="W6707" s="28">
        <v>15110000</v>
      </c>
      <c r="X6707" s="28">
        <v>661171000</v>
      </c>
      <c r="Y6707" s="28">
        <v>1400503000</v>
      </c>
      <c r="Z6707" s="28">
        <v>703383000</v>
      </c>
      <c r="AA6707" s="28"/>
      <c r="AB6707" s="28"/>
      <c r="AC6707" s="28">
        <v>696352000</v>
      </c>
      <c r="AD6707" s="28">
        <v>703393000</v>
      </c>
      <c r="AE6707" s="28">
        <v>3902404000</v>
      </c>
      <c r="AF6707" s="28">
        <v>1013183000</v>
      </c>
      <c r="AG6707" s="11"/>
    </row>
    <row r="6708">
      <c r="A6708" s="7" t="s">
        <v>8273</v>
      </c>
      <c r="B6708" s="5" t="s">
        <v>16216</v>
      </c>
      <c r="C6708" s="5" t="s">
        <v>23860</v>
      </c>
      <c r="D6708" s="5" t="str">
        <v>502902955006</v>
      </c>
      <c r="E6708" s="0" t="e">
        <f>+7 (968) 7430223
+7 (910) 9418334
+7 (920) 7419719</f>
        <v>#NAME?</v>
      </c>
      <c r="F6708" s="5" t="s">
        <v>44886</v>
      </c>
      <c r="G6708" s="5" t="s">
        <v>44887</v>
      </c>
      <c r="H6708" s="26">
        <v>6</v>
      </c>
      <c r="I6708" s="5" t="s">
        <v>44888</v>
      </c>
      <c r="J6708" s="5" t="s">
        <v>445</v>
      </c>
      <c r="K6708" s="5" t="s">
        <v>355</v>
      </c>
      <c r="L6708" s="5" t="s">
        <v>44889</v>
      </c>
      <c r="M6708" s="27"/>
      <c r="N6708" s="5"/>
      <c r="O6708" s="5" t="str">
        <v>7107118270</v>
      </c>
      <c r="P6708" s="27">
        <v>10000</v>
      </c>
      <c r="Q6708" s="5" t="s">
        <v>49021</v>
      </c>
      <c r="R6708" s="5"/>
      <c r="S6708" s="5" t="s">
        <v>59367</v>
      </c>
      <c r="T6708" s="28">
        <v>236845000</v>
      </c>
      <c r="U6708" s="28"/>
      <c r="V6708" s="28">
        <v>518943000</v>
      </c>
      <c r="W6708" s="28"/>
      <c r="X6708" s="28">
        <v>2120000</v>
      </c>
      <c r="Y6708" s="28">
        <v>1274796000</v>
      </c>
      <c r="Z6708" s="28">
        <v>114088000</v>
      </c>
      <c r="AA6708" s="28"/>
      <c r="AB6708" s="28">
        <v>62071000</v>
      </c>
      <c r="AC6708" s="28">
        <v>943024000</v>
      </c>
      <c r="AD6708" s="28">
        <v>114098000</v>
      </c>
      <c r="AE6708" s="28">
        <v>3046453000</v>
      </c>
      <c r="AF6708" s="28">
        <v>98500000</v>
      </c>
      <c r="AG6708" s="11"/>
    </row>
    <row r="6709">
      <c r="A6709" s="7" t="s">
        <v>8274</v>
      </c>
      <c r="B6709" s="5" t="s">
        <v>16217</v>
      </c>
      <c r="C6709" s="5" t="s">
        <v>23861</v>
      </c>
      <c r="D6709" s="5" t="str">
        <v>100115067580</v>
      </c>
      <c r="E6709" s="0" t="e">
        <f>+7 (812) 3095035</f>
        <v>#NAME?</v>
      </c>
      <c r="F6709" s="5" t="s">
        <v>44890</v>
      </c>
      <c r="G6709" s="5"/>
      <c r="H6709" s="26">
        <v>7</v>
      </c>
      <c r="I6709" s="5" t="s">
        <v>44891</v>
      </c>
      <c r="J6709" s="5" t="s">
        <v>467</v>
      </c>
      <c r="K6709" s="5" t="s">
        <v>344</v>
      </c>
      <c r="L6709" s="5" t="s">
        <v>44892</v>
      </c>
      <c r="M6709" s="27">
        <v>9724256</v>
      </c>
      <c r="N6709" s="5" t="s">
        <v>59368</v>
      </c>
      <c r="O6709" s="5" t="str">
        <v>7813250320</v>
      </c>
      <c r="P6709" s="27">
        <v>10000</v>
      </c>
      <c r="Q6709" s="5" t="s">
        <v>59369</v>
      </c>
      <c r="R6709" s="5"/>
      <c r="S6709" s="5" t="s">
        <v>53948</v>
      </c>
      <c r="T6709" s="28">
        <v>2661144000</v>
      </c>
      <c r="U6709" s="28"/>
      <c r="V6709" s="28">
        <v>1588534000</v>
      </c>
      <c r="W6709" s="28">
        <v>1061000</v>
      </c>
      <c r="X6709" s="28">
        <v>1631356000</v>
      </c>
      <c r="Y6709" s="28">
        <v>8698657000</v>
      </c>
      <c r="Z6709" s="28">
        <v>1658689000</v>
      </c>
      <c r="AA6709" s="28">
        <v>66849000</v>
      </c>
      <c r="AB6709" s="28">
        <v>867281000</v>
      </c>
      <c r="AC6709" s="28">
        <v>6971159000</v>
      </c>
      <c r="AD6709" s="28">
        <v>1658699000</v>
      </c>
      <c r="AE6709" s="28">
        <v>16203100000</v>
      </c>
      <c r="AF6709" s="28">
        <v>242028000</v>
      </c>
      <c r="AG6709" s="11"/>
    </row>
    <row r="6710">
      <c r="A6710" s="7" t="s">
        <v>8275</v>
      </c>
      <c r="B6710" s="5" t="s">
        <v>16218</v>
      </c>
      <c r="C6710" s="5" t="s">
        <v>23862</v>
      </c>
      <c r="D6710" s="5" t="str">
        <v>471606452066</v>
      </c>
      <c r="E6710" s="0" t="e">
        <f>+7 (812) 4093775</f>
        <v>#NAME?</v>
      </c>
      <c r="F6710" s="5"/>
      <c r="G6710" s="5"/>
      <c r="H6710" s="26">
        <v>5.5</v>
      </c>
      <c r="I6710" s="5" t="s">
        <v>44893</v>
      </c>
      <c r="J6710" s="5" t="s">
        <v>467</v>
      </c>
      <c r="K6710" s="5" t="s">
        <v>344</v>
      </c>
      <c r="L6710" s="5" t="s">
        <v>44894</v>
      </c>
      <c r="M6710" s="27"/>
      <c r="N6710" s="5" t="s">
        <v>59370</v>
      </c>
      <c r="O6710" s="5" t="str">
        <v>7801337256</v>
      </c>
      <c r="P6710" s="27">
        <v>10000</v>
      </c>
      <c r="Q6710" s="5" t="s">
        <v>59371</v>
      </c>
      <c r="R6710" s="5"/>
      <c r="S6710" s="5" t="s">
        <v>59372</v>
      </c>
      <c r="T6710" s="28">
        <v>959773000</v>
      </c>
      <c r="U6710" s="28">
        <v>2270000</v>
      </c>
      <c r="V6710" s="28">
        <v>2313611000</v>
      </c>
      <c r="W6710" s="28">
        <v>142155000</v>
      </c>
      <c r="X6710" s="28">
        <v>4876000</v>
      </c>
      <c r="Y6710" s="28">
        <v>4823620000</v>
      </c>
      <c r="Z6710" s="28">
        <v>960991000</v>
      </c>
      <c r="AA6710" s="28">
        <v>126681000</v>
      </c>
      <c r="AB6710" s="28">
        <v>201290000</v>
      </c>
      <c r="AC6710" s="28">
        <v>3422339000</v>
      </c>
      <c r="AD6710" s="28">
        <v>961001000</v>
      </c>
      <c r="AE6710" s="28">
        <v>3042762000</v>
      </c>
      <c r="AF6710" s="28">
        <v>170156000</v>
      </c>
      <c r="AG6710" s="11"/>
    </row>
    <row r="6711">
      <c r="A6711" s="7" t="s">
        <v>8276</v>
      </c>
      <c r="B6711" s="5" t="s">
        <v>16219</v>
      </c>
      <c r="C6711" s="5" t="s">
        <v>23863</v>
      </c>
      <c r="D6711" s="5" t="str">
        <v>781125848119</v>
      </c>
      <c r="E6711" s="0" t="e">
        <f>+7 (812) 6001222
+7 (921) 3132017</f>
        <v>#NAME?</v>
      </c>
      <c r="F6711" s="5" t="s">
        <v>44895</v>
      </c>
      <c r="G6711" s="5" t="s">
        <v>44896</v>
      </c>
      <c r="H6711" s="26">
        <v>13</v>
      </c>
      <c r="I6711" s="5" t="s">
        <v>44893</v>
      </c>
      <c r="J6711" s="5" t="s">
        <v>467</v>
      </c>
      <c r="K6711" s="5" t="s">
        <v>344</v>
      </c>
      <c r="L6711" s="5" t="s">
        <v>44897</v>
      </c>
      <c r="M6711" s="27"/>
      <c r="N6711" s="5" t="s">
        <v>59373</v>
      </c>
      <c r="O6711" s="5" t="str">
        <v>7839423754</v>
      </c>
      <c r="P6711" s="27">
        <v>10000</v>
      </c>
      <c r="Q6711" s="5" t="s">
        <v>59374</v>
      </c>
      <c r="R6711" s="5"/>
      <c r="S6711" s="5" t="s">
        <v>59375</v>
      </c>
      <c r="T6711" s="28">
        <v>174635000</v>
      </c>
      <c r="U6711" s="28">
        <v>40110000</v>
      </c>
      <c r="V6711" s="28">
        <v>2747734000</v>
      </c>
      <c r="W6711" s="28">
        <v>507260000</v>
      </c>
      <c r="X6711" s="28">
        <v>1817685000</v>
      </c>
      <c r="Y6711" s="28">
        <v>7724733000</v>
      </c>
      <c r="Z6711" s="28">
        <v>1306537000</v>
      </c>
      <c r="AA6711" s="28">
        <v>499589000</v>
      </c>
      <c r="AB6711" s="28">
        <v>872123000</v>
      </c>
      <c r="AC6711" s="28">
        <v>5784571000</v>
      </c>
      <c r="AD6711" s="28">
        <v>1306847000</v>
      </c>
      <c r="AE6711" s="28">
        <v>8733940000</v>
      </c>
      <c r="AF6711" s="28">
        <v>348617000</v>
      </c>
      <c r="AG6711" s="11"/>
    </row>
    <row r="6712">
      <c r="A6712" s="7" t="s">
        <v>8277</v>
      </c>
      <c r="B6712" s="5" t="s">
        <v>16220</v>
      </c>
      <c r="C6712" s="5" t="s">
        <v>23864</v>
      </c>
      <c r="D6712" s="5" t="str">
        <v>761203461197</v>
      </c>
      <c r="E6712" s="0" t="e">
        <f>+7 (485) 2476060
+7 (485) 2476090
+7 (485) 2476094
+7 (485) 2476096
+7 (485) 2476097
+7 (485) 2476098
+7 (485) 2476101
+7 (485) 2476102
+7 (485) 2476105
+7 (485) 2476836
+7 (485) 2721407
+7 (485) 2721408
+7 (910) 6651001</f>
        <v>#NAME?</v>
      </c>
      <c r="F6712" s="5" t="s">
        <v>44898</v>
      </c>
      <c r="G6712" s="5"/>
      <c r="H6712" s="26">
        <v>28.5</v>
      </c>
      <c r="I6712" s="5"/>
      <c r="J6712" s="5" t="s">
        <v>25550</v>
      </c>
      <c r="K6712" s="5" t="s">
        <v>344</v>
      </c>
      <c r="L6712" s="5" t="s">
        <v>44899</v>
      </c>
      <c r="M6712" s="27">
        <v>28616</v>
      </c>
      <c r="N6712" s="5" t="s">
        <v>59376</v>
      </c>
      <c r="O6712" s="5" t="str">
        <v>7627004568</v>
      </c>
      <c r="P6712" s="27">
        <v>10000000</v>
      </c>
      <c r="Q6712" s="5" t="s">
        <v>59377</v>
      </c>
      <c r="R6712" s="5"/>
      <c r="S6712" s="5" t="s">
        <v>49162</v>
      </c>
      <c r="T6712" s="28">
        <v>39021000</v>
      </c>
      <c r="U6712" s="28"/>
      <c r="V6712" s="28">
        <v>302996000</v>
      </c>
      <c r="W6712" s="28"/>
      <c r="X6712" s="28">
        <v>23451000</v>
      </c>
      <c r="Y6712" s="28">
        <v>607706000</v>
      </c>
      <c r="Z6712" s="28">
        <v>62502000</v>
      </c>
      <c r="AA6712" s="28">
        <v>238849000</v>
      </c>
      <c r="AB6712" s="28">
        <v>2082000</v>
      </c>
      <c r="AC6712" s="28">
        <v>293951000</v>
      </c>
      <c r="AD6712" s="28">
        <v>74002000</v>
      </c>
      <c r="AE6712" s="28">
        <v>3079399000</v>
      </c>
      <c r="AF6712" s="28">
        <v>202409000</v>
      </c>
      <c r="AG6712" s="11"/>
    </row>
    <row r="6713">
      <c r="A6713" s="7" t="s">
        <v>8278</v>
      </c>
      <c r="B6713" s="5" t="s">
        <v>16221</v>
      </c>
      <c r="C6713" s="5" t="s">
        <v>23865</v>
      </c>
      <c r="D6713" s="5" t="str">
        <v>233300351514</v>
      </c>
      <c r="E6713" s="0" t="e">
        <f>+7 (861) 2584629
+7 (861) 2721756</f>
        <v>#NAME?</v>
      </c>
      <c r="F6713" s="5"/>
      <c r="G6713" s="5"/>
      <c r="H6713" s="26">
        <v>22.5</v>
      </c>
      <c r="I6713" s="5" t="s">
        <v>44900</v>
      </c>
      <c r="J6713" s="5" t="s">
        <v>27115</v>
      </c>
      <c r="K6713" s="5" t="s">
        <v>380</v>
      </c>
      <c r="L6713" s="5"/>
      <c r="M6713" s="27">
        <v>904500</v>
      </c>
      <c r="N6713" s="5"/>
      <c r="O6713" s="5" t="str">
        <v>2309073022</v>
      </c>
      <c r="P6713" s="27">
        <v>10000</v>
      </c>
      <c r="Q6713" s="5" t="s">
        <v>49057</v>
      </c>
      <c r="R6713" s="5"/>
      <c r="S6713" s="5" t="s">
        <v>50822</v>
      </c>
      <c r="T6713" s="28">
        <v>80000</v>
      </c>
      <c r="U6713" s="28"/>
      <c r="V6713" s="28">
        <v>339803000</v>
      </c>
      <c r="W6713" s="28"/>
      <c r="X6713" s="28">
        <v>311000</v>
      </c>
      <c r="Y6713" s="28">
        <v>696306000</v>
      </c>
      <c r="Z6713" s="28">
        <v>207122000</v>
      </c>
      <c r="AA6713" s="28">
        <v>210000000</v>
      </c>
      <c r="AB6713" s="28">
        <v>207941000</v>
      </c>
      <c r="AC6713" s="28">
        <v>279094000</v>
      </c>
      <c r="AD6713" s="28">
        <v>207132000</v>
      </c>
      <c r="AE6713" s="28">
        <v>4250263000</v>
      </c>
      <c r="AF6713" s="28">
        <v>8160000</v>
      </c>
      <c r="AG6713" s="11"/>
    </row>
    <row r="6714">
      <c r="A6714" s="7" t="s">
        <v>8279</v>
      </c>
      <c r="B6714" s="5" t="s">
        <v>16222</v>
      </c>
      <c r="C6714" s="5" t="s">
        <v>23866</v>
      </c>
      <c r="D6714" s="5" t="str">
        <v>366313660468</v>
      </c>
      <c r="E6714" s="0" t="e">
        <f>+7 (910) 7322300
+7 (473) 2499747</f>
        <v>#NAME?</v>
      </c>
      <c r="F6714" s="5"/>
      <c r="G6714" s="5"/>
      <c r="H6714" s="26">
        <v>17</v>
      </c>
      <c r="I6714" s="5" t="s">
        <v>44901</v>
      </c>
      <c r="J6714" s="5" t="s">
        <v>25327</v>
      </c>
      <c r="K6714" s="5" t="s">
        <v>344</v>
      </c>
      <c r="L6714" s="5" t="s">
        <v>25726</v>
      </c>
      <c r="M6714" s="27"/>
      <c r="N6714" s="5" t="s">
        <v>59378</v>
      </c>
      <c r="O6714" s="5" t="str">
        <v>3663058106</v>
      </c>
      <c r="P6714" s="27">
        <v>12000</v>
      </c>
      <c r="Q6714" s="5" t="s">
        <v>49057</v>
      </c>
      <c r="R6714" s="5"/>
      <c r="S6714" s="5" t="s">
        <v>50063</v>
      </c>
      <c r="T6714" s="28">
        <v>21443000</v>
      </c>
      <c r="U6714" s="28"/>
      <c r="V6714" s="28">
        <v>983073000</v>
      </c>
      <c r="W6714" s="28">
        <v>93000000</v>
      </c>
      <c r="X6714" s="28">
        <v>13856000</v>
      </c>
      <c r="Y6714" s="28">
        <v>1372550000</v>
      </c>
      <c r="Z6714" s="28">
        <v>190380000</v>
      </c>
      <c r="AA6714" s="28"/>
      <c r="AB6714" s="28"/>
      <c r="AC6714" s="28">
        <v>1182033000</v>
      </c>
      <c r="AD6714" s="28">
        <v>190392000</v>
      </c>
      <c r="AE6714" s="28">
        <v>6531001000</v>
      </c>
      <c r="AF6714" s="28">
        <v>38208000</v>
      </c>
      <c r="AG6714" s="11"/>
    </row>
    <row r="6715">
      <c r="A6715" s="7" t="s">
        <v>8280</v>
      </c>
      <c r="B6715" s="5" t="s">
        <v>16223</v>
      </c>
      <c r="C6715" s="5" t="s">
        <v>23867</v>
      </c>
      <c r="D6715" s="5" t="str">
        <v>771515838984</v>
      </c>
      <c r="E6715" s="0" t="e">
        <f>+7 (495) 3633500</f>
        <v>#NAME?</v>
      </c>
      <c r="F6715" s="5" t="s">
        <v>26789</v>
      </c>
      <c r="G6715" s="5" t="s">
        <v>44902</v>
      </c>
      <c r="H6715" s="26">
        <v>7</v>
      </c>
      <c r="I6715" s="5" t="s">
        <v>44903</v>
      </c>
      <c r="J6715" s="5" t="s">
        <v>26165</v>
      </c>
      <c r="K6715" s="5" t="s">
        <v>344</v>
      </c>
      <c r="L6715" s="5"/>
      <c r="M6715" s="27"/>
      <c r="N6715" s="5"/>
      <c r="O6715" s="5" t="str">
        <v>7708284070</v>
      </c>
      <c r="P6715" s="27">
        <v>10000</v>
      </c>
      <c r="Q6715" s="5" t="s">
        <v>49009</v>
      </c>
      <c r="R6715" s="5"/>
      <c r="S6715" s="5" t="s">
        <v>59379</v>
      </c>
      <c r="T6715" s="28">
        <v>219757000</v>
      </c>
      <c r="U6715" s="28"/>
      <c r="V6715" s="28">
        <v>25408000</v>
      </c>
      <c r="W6715" s="28"/>
      <c r="X6715" s="28">
        <v>30510000</v>
      </c>
      <c r="Y6715" s="28">
        <v>670196000</v>
      </c>
      <c r="Z6715" s="28">
        <v>86153000</v>
      </c>
      <c r="AA6715" s="28"/>
      <c r="AB6715" s="28">
        <v>7650000</v>
      </c>
      <c r="AC6715" s="28">
        <v>297791000</v>
      </c>
      <c r="AD6715" s="28">
        <v>86163000</v>
      </c>
      <c r="AE6715" s="28">
        <v>4046756000</v>
      </c>
      <c r="AF6715" s="28">
        <v>134003000</v>
      </c>
      <c r="AG6715" s="11"/>
    </row>
    <row r="6716">
      <c r="A6716" s="7" t="s">
        <v>8281</v>
      </c>
      <c r="B6716" s="5" t="s">
        <v>16224</v>
      </c>
      <c r="C6716" s="5" t="s">
        <v>23868</v>
      </c>
      <c r="D6716" s="5" t="str">
        <v>504218383360</v>
      </c>
      <c r="E6716" s="0" t="e">
        <f>+7 (495) 7216641
+7 (496) 5513336</f>
        <v>#NAME?</v>
      </c>
      <c r="F6716" s="5"/>
      <c r="G6716" s="5"/>
      <c r="H6716" s="26">
        <v>10.5</v>
      </c>
      <c r="I6716" s="5" t="s">
        <v>44904</v>
      </c>
      <c r="J6716" s="5" t="s">
        <v>25402</v>
      </c>
      <c r="K6716" s="5" t="s">
        <v>344</v>
      </c>
      <c r="L6716" s="5" t="s">
        <v>44905</v>
      </c>
      <c r="M6716" s="27"/>
      <c r="N6716" s="5" t="s">
        <v>59380</v>
      </c>
      <c r="O6716" s="5" t="str">
        <v>5042125089</v>
      </c>
      <c r="P6716" s="27">
        <v>50000</v>
      </c>
      <c r="Q6716" s="5" t="s">
        <v>49059</v>
      </c>
      <c r="R6716" s="5"/>
      <c r="S6716" s="5" t="s">
        <v>49029</v>
      </c>
      <c r="T6716" s="28">
        <v>49718000</v>
      </c>
      <c r="U6716" s="28"/>
      <c r="V6716" s="28">
        <v>1014022000</v>
      </c>
      <c r="W6716" s="28">
        <v>326412000</v>
      </c>
      <c r="X6716" s="28">
        <v>42871000</v>
      </c>
      <c r="Y6716" s="28">
        <v>2973920000</v>
      </c>
      <c r="Z6716" s="28">
        <v>1053110000</v>
      </c>
      <c r="AA6716" s="28">
        <v>371516000</v>
      </c>
      <c r="AB6716" s="28">
        <v>286860000</v>
      </c>
      <c r="AC6716" s="28">
        <v>1549244000</v>
      </c>
      <c r="AD6716" s="28">
        <v>1053160000</v>
      </c>
      <c r="AE6716" s="28">
        <v>3736817000</v>
      </c>
      <c r="AF6716" s="28">
        <v>314542000</v>
      </c>
      <c r="AG6716" s="11"/>
    </row>
    <row r="6717">
      <c r="A6717" s="7" t="s">
        <v>8282</v>
      </c>
      <c r="B6717" s="5" t="s">
        <v>16225</v>
      </c>
      <c r="C6717" s="5" t="s">
        <v>23869</v>
      </c>
      <c r="D6717" s="5" t="str">
        <v>164508962648</v>
      </c>
      <c r="E6717" s="0" t="e">
        <f>+7 (8432) 304044</f>
        <v>#NAME?</v>
      </c>
      <c r="F6717" s="5"/>
      <c r="G6717" s="5"/>
      <c r="H6717" s="26">
        <v>4.5</v>
      </c>
      <c r="I6717" s="5" t="s">
        <v>44906</v>
      </c>
      <c r="J6717" s="5" t="s">
        <v>26799</v>
      </c>
      <c r="K6717" s="5" t="s">
        <v>344</v>
      </c>
      <c r="L6717" s="5" t="s">
        <v>44907</v>
      </c>
      <c r="M6717" s="27"/>
      <c r="N6717" s="5"/>
      <c r="O6717" s="5" t="str">
        <v>1660316073</v>
      </c>
      <c r="P6717" s="27">
        <v>1000000</v>
      </c>
      <c r="Q6717" s="5" t="s">
        <v>49217</v>
      </c>
      <c r="R6717" s="5"/>
      <c r="S6717" s="5" t="s">
        <v>59381</v>
      </c>
      <c r="T6717" s="28">
        <v>54027000</v>
      </c>
      <c r="U6717" s="28">
        <v>25000</v>
      </c>
      <c r="V6717" s="28">
        <v>1960977000</v>
      </c>
      <c r="W6717" s="28">
        <v>1001000</v>
      </c>
      <c r="X6717" s="28">
        <v>1391809000</v>
      </c>
      <c r="Y6717" s="28">
        <v>3465964000</v>
      </c>
      <c r="Z6717" s="28">
        <v>1312882000</v>
      </c>
      <c r="AA6717" s="28"/>
      <c r="AB6717" s="28"/>
      <c r="AC6717" s="28">
        <v>2150052000</v>
      </c>
      <c r="AD6717" s="28">
        <v>1313882000</v>
      </c>
      <c r="AE6717" s="28">
        <v>7118073000</v>
      </c>
      <c r="AF6717" s="28">
        <v>922867000</v>
      </c>
      <c r="AG6717" s="11"/>
    </row>
    <row r="6718">
      <c r="A6718" s="7" t="s">
        <v>8283</v>
      </c>
      <c r="B6718" s="5" t="s">
        <v>16226</v>
      </c>
      <c r="C6718" s="5" t="s">
        <v>23870</v>
      </c>
      <c r="D6718" s="5" t="str">
        <v>771822584403</v>
      </c>
      <c r="E6718" s="0" t="e">
        <f>+7 (925) 104165
+7 (925) 1247609</f>
        <v>#NAME?</v>
      </c>
      <c r="F6718" s="5" t="s">
        <v>44908</v>
      </c>
      <c r="G6718" s="5"/>
      <c r="H6718" s="26">
        <v>5</v>
      </c>
      <c r="I6718" s="5" t="s">
        <v>44909</v>
      </c>
      <c r="J6718" s="5" t="s">
        <v>373</v>
      </c>
      <c r="K6718" s="5" t="s">
        <v>344</v>
      </c>
      <c r="L6718" s="5" t="s">
        <v>26178</v>
      </c>
      <c r="M6718" s="27"/>
      <c r="N6718" s="5"/>
      <c r="O6718" s="5" t="str">
        <v>7734410860</v>
      </c>
      <c r="P6718" s="27">
        <v>170000</v>
      </c>
      <c r="Q6718" s="5" t="s">
        <v>49059</v>
      </c>
      <c r="R6718" s="5"/>
      <c r="S6718" s="5" t="s">
        <v>49010</v>
      </c>
      <c r="T6718" s="28"/>
      <c r="U6718" s="28"/>
      <c r="V6718" s="28">
        <v>846361000</v>
      </c>
      <c r="W6718" s="28"/>
      <c r="X6718" s="28">
        <v>924000</v>
      </c>
      <c r="Y6718" s="28">
        <v>847312000</v>
      </c>
      <c r="Z6718" s="28">
        <v>13395000</v>
      </c>
      <c r="AA6718" s="28"/>
      <c r="AB6718" s="28"/>
      <c r="AC6718" s="28">
        <v>833747000</v>
      </c>
      <c r="AD6718" s="28">
        <v>13565000</v>
      </c>
      <c r="AE6718" s="28">
        <v>11869134000</v>
      </c>
      <c r="AF6718" s="28">
        <v>6465000</v>
      </c>
      <c r="AG6718" s="11"/>
    </row>
    <row r="6719">
      <c r="A6719" s="7" t="s">
        <v>8284</v>
      </c>
      <c r="B6719" s="5" t="s">
        <v>16227</v>
      </c>
      <c r="C6719" s="5" t="s">
        <v>23871</v>
      </c>
      <c r="D6719" s="5" t="str">
        <v>244602043881</v>
      </c>
      <c r="E6719" s="0" t="e">
        <f>+7 (391) 2362584
+7 (391) 2025898
+7 (391) 2587577
+7 (391) 2587757
+7 (391) 2695464
+7 (391) 2695474
+7 (391) 2695480
+7 (391) 2695898
+7 (39144) 23626
+7 (39144) 30027
+7 (39144) 30582
+7 (39144) 31942
+7 (39144) 31945
+7 (39144) 32040
+7 (421) 2440044</f>
        <v>#NAME?</v>
      </c>
      <c r="F6719" s="5" t="s">
        <v>44910</v>
      </c>
      <c r="G6719" s="5" t="s">
        <v>44911</v>
      </c>
      <c r="H6719" s="26">
        <v>22</v>
      </c>
      <c r="I6719" s="5"/>
      <c r="J6719" s="5" t="s">
        <v>28075</v>
      </c>
      <c r="K6719" s="5" t="s">
        <v>344</v>
      </c>
      <c r="L6719" s="5" t="s">
        <v>26388</v>
      </c>
      <c r="M6719" s="27">
        <v>280000000</v>
      </c>
      <c r="N6719" s="5" t="s">
        <v>59382</v>
      </c>
      <c r="O6719" s="5" t="str">
        <v>2464035938</v>
      </c>
      <c r="P6719" s="27">
        <v>160000</v>
      </c>
      <c r="Q6719" s="5" t="s">
        <v>59383</v>
      </c>
      <c r="R6719" s="5"/>
      <c r="S6719" s="5" t="s">
        <v>59384</v>
      </c>
      <c r="T6719" s="28">
        <v>812206000</v>
      </c>
      <c r="U6719" s="28">
        <v>123504000</v>
      </c>
      <c r="V6719" s="28">
        <v>5702653000</v>
      </c>
      <c r="W6719" s="28"/>
      <c r="X6719" s="28">
        <v>60443000</v>
      </c>
      <c r="Y6719" s="28">
        <v>7787965000</v>
      </c>
      <c r="Z6719" s="28">
        <v>626803000</v>
      </c>
      <c r="AA6719" s="28">
        <v>54484000</v>
      </c>
      <c r="AB6719" s="28">
        <v>1497449000</v>
      </c>
      <c r="AC6719" s="28">
        <v>6890712000</v>
      </c>
      <c r="AD6719" s="28">
        <v>626963000</v>
      </c>
      <c r="AE6719" s="28">
        <v>9998376000</v>
      </c>
      <c r="AF6719" s="28">
        <v>150724000</v>
      </c>
      <c r="AG6719" s="11"/>
    </row>
    <row r="6720">
      <c r="A6720" s="7" t="s">
        <v>8285</v>
      </c>
      <c r="B6720" s="5" t="s">
        <v>16228</v>
      </c>
      <c r="C6720" s="5" t="s">
        <v>23872</v>
      </c>
      <c r="D6720" s="5" t="str">
        <v>244602584961</v>
      </c>
      <c r="F6720" s="5" t="s">
        <v>44912</v>
      </c>
      <c r="G6720" s="5"/>
      <c r="H6720" s="26">
        <v>15</v>
      </c>
      <c r="I6720" s="5" t="s">
        <v>44913</v>
      </c>
      <c r="J6720" s="5" t="s">
        <v>678</v>
      </c>
      <c r="K6720" s="5" t="s">
        <v>344</v>
      </c>
      <c r="L6720" s="5" t="s">
        <v>44914</v>
      </c>
      <c r="M6720" s="27">
        <v>1913092</v>
      </c>
      <c r="N6720" s="5" t="s">
        <v>59385</v>
      </c>
      <c r="O6720" s="5" t="str">
        <v>2464206510</v>
      </c>
      <c r="P6720" s="27">
        <v>10000</v>
      </c>
      <c r="Q6720" s="5" t="s">
        <v>59386</v>
      </c>
      <c r="R6720" s="5"/>
      <c r="S6720" s="5" t="s">
        <v>49173</v>
      </c>
      <c r="T6720" s="28">
        <v>20384000</v>
      </c>
      <c r="U6720" s="28"/>
      <c r="V6720" s="28">
        <v>1887990000</v>
      </c>
      <c r="W6720" s="28">
        <v>191869000</v>
      </c>
      <c r="X6720" s="28">
        <v>2437000</v>
      </c>
      <c r="Y6720" s="28">
        <v>2652372000</v>
      </c>
      <c r="Z6720" s="28">
        <v>243763000</v>
      </c>
      <c r="AA6720" s="28"/>
      <c r="AB6720" s="28">
        <v>20570000</v>
      </c>
      <c r="AC6720" s="28">
        <v>2394024000</v>
      </c>
      <c r="AD6720" s="28">
        <v>243773000</v>
      </c>
      <c r="AE6720" s="28">
        <v>5030349000</v>
      </c>
      <c r="AF6720" s="28">
        <v>8807000</v>
      </c>
      <c r="AG6720" s="11"/>
    </row>
    <row r="6721">
      <c r="A6721" s="7" t="s">
        <v>8286</v>
      </c>
      <c r="B6721" s="5" t="s">
        <v>16229</v>
      </c>
      <c r="C6721" s="5" t="s">
        <v>23873</v>
      </c>
      <c r="D6721" s="5" t="str">
        <v>770370326554</v>
      </c>
      <c r="E6721" s="0" t="e">
        <f>+7 (495) 7254767
+7 (8632) 850042
+7 (902) 3431009
+7 (925) 3754101
+7 (937) 4214066
+7 (952) 3754101</f>
        <v>#NAME?</v>
      </c>
      <c r="F6721" s="5" t="s">
        <v>44915</v>
      </c>
      <c r="G6721" s="5"/>
      <c r="H6721" s="26">
        <v>2</v>
      </c>
      <c r="I6721" s="5" t="s">
        <v>44916</v>
      </c>
      <c r="J6721" s="5" t="s">
        <v>30520</v>
      </c>
      <c r="K6721" s="5" t="s">
        <v>344</v>
      </c>
      <c r="L6721" s="5"/>
      <c r="M6721" s="27"/>
      <c r="N6721" s="5" t="s">
        <v>59387</v>
      </c>
      <c r="O6721" s="5" t="str">
        <v>6168113051</v>
      </c>
      <c r="P6721" s="27">
        <v>2158321</v>
      </c>
      <c r="Q6721" s="5" t="s">
        <v>59388</v>
      </c>
      <c r="R6721" s="5"/>
      <c r="S6721" s="5" t="s">
        <v>59389</v>
      </c>
      <c r="T6721" s="28"/>
      <c r="U6721" s="28"/>
      <c r="V6721" s="28">
        <v>1277086000</v>
      </c>
      <c r="W6721" s="28">
        <v>1000</v>
      </c>
      <c r="X6721" s="28">
        <v>5497000</v>
      </c>
      <c r="Y6721" s="28">
        <v>1296175000</v>
      </c>
      <c r="Z6721" s="28">
        <v>307525000</v>
      </c>
      <c r="AA6721" s="28">
        <v>867201000</v>
      </c>
      <c r="AB6721" s="28">
        <v>3186000</v>
      </c>
      <c r="AC6721" s="28">
        <v>119290000</v>
      </c>
      <c r="AD6721" s="28">
        <v>309683000</v>
      </c>
      <c r="AE6721" s="28">
        <v>4036895000</v>
      </c>
      <c r="AF6721" s="28">
        <v>232363000</v>
      </c>
      <c r="AG6721" s="11"/>
    </row>
    <row r="6722">
      <c r="A6722" s="7" t="s">
        <v>8287</v>
      </c>
      <c r="B6722" s="5" t="s">
        <v>16230</v>
      </c>
      <c r="C6722" s="5" t="s">
        <v>23874</v>
      </c>
      <c r="D6722" s="5" t="str">
        <v>744804408754</v>
      </c>
      <c r="E6722" s="0" t="e">
        <f>+7 (3512) 169426
+7 (908) 813391</f>
        <v>#NAME?</v>
      </c>
      <c r="F6722" s="5" t="s">
        <v>44917</v>
      </c>
      <c r="G6722" s="5"/>
      <c r="H6722" s="26">
        <v>5.5</v>
      </c>
      <c r="I6722" s="5" t="s">
        <v>44918</v>
      </c>
      <c r="J6722" s="5" t="s">
        <v>26173</v>
      </c>
      <c r="K6722" s="5" t="s">
        <v>344</v>
      </c>
      <c r="L6722" s="5" t="s">
        <v>44919</v>
      </c>
      <c r="M6722" s="27"/>
      <c r="N6722" s="5"/>
      <c r="O6722" s="5" t="str">
        <v>7460038503</v>
      </c>
      <c r="P6722" s="27">
        <v>50000</v>
      </c>
      <c r="Q6722" s="5" t="s">
        <v>49207</v>
      </c>
      <c r="R6722" s="5"/>
      <c r="S6722" s="5" t="s">
        <v>49311</v>
      </c>
      <c r="T6722" s="28">
        <v>377000</v>
      </c>
      <c r="U6722" s="28"/>
      <c r="V6722" s="28">
        <v>1039019000</v>
      </c>
      <c r="W6722" s="28">
        <v>24424000</v>
      </c>
      <c r="X6722" s="28">
        <v>29896000</v>
      </c>
      <c r="Y6722" s="28">
        <v>1161107000</v>
      </c>
      <c r="Z6722" s="28">
        <v>257082000</v>
      </c>
      <c r="AA6722" s="28"/>
      <c r="AB6722" s="28"/>
      <c r="AC6722" s="28">
        <v>903496000</v>
      </c>
      <c r="AD6722" s="28">
        <v>257132000</v>
      </c>
      <c r="AE6722" s="28">
        <v>4765770000</v>
      </c>
      <c r="AF6722" s="28">
        <v>150811000</v>
      </c>
      <c r="AG6722" s="11"/>
    </row>
    <row r="6723">
      <c r="A6723" s="7" t="s">
        <v>8288</v>
      </c>
      <c r="B6723" s="5" t="s">
        <v>16231</v>
      </c>
      <c r="C6723" s="5" t="s">
        <v>23875</v>
      </c>
      <c r="D6723" s="5" t="str">
        <v>245200580782</v>
      </c>
      <c r="E6723" s="0" t="e">
        <f>+7 (499) 6384636
+7 (391) 2052013</f>
        <v>#NAME?</v>
      </c>
      <c r="F6723" s="5" t="s">
        <v>44920</v>
      </c>
      <c r="G6723" s="5" t="s">
        <v>44921</v>
      </c>
      <c r="H6723" s="26">
        <v>11.5</v>
      </c>
      <c r="I6723" s="5" t="s">
        <v>44922</v>
      </c>
      <c r="J6723" s="5" t="s">
        <v>25337</v>
      </c>
      <c r="K6723" s="5" t="s">
        <v>344</v>
      </c>
      <c r="L6723" s="5" t="s">
        <v>44923</v>
      </c>
      <c r="M6723" s="27">
        <v>30000000</v>
      </c>
      <c r="N6723" s="5" t="s">
        <v>59390</v>
      </c>
      <c r="O6723" s="5" t="str">
        <v>7729689448</v>
      </c>
      <c r="P6723" s="27">
        <v>3000000</v>
      </c>
      <c r="Q6723" s="5" t="s">
        <v>59391</v>
      </c>
      <c r="R6723" s="5"/>
      <c r="S6723" s="5" t="s">
        <v>59392</v>
      </c>
      <c r="T6723" s="28">
        <v>118466000</v>
      </c>
      <c r="U6723" s="28"/>
      <c r="V6723" s="28">
        <v>1346598000</v>
      </c>
      <c r="W6723" s="28"/>
      <c r="X6723" s="28">
        <v>98114000</v>
      </c>
      <c r="Y6723" s="28">
        <v>1581309000</v>
      </c>
      <c r="Z6723" s="28"/>
      <c r="AA6723" s="28">
        <v>425902000</v>
      </c>
      <c r="AB6723" s="28">
        <v>58000</v>
      </c>
      <c r="AC6723" s="28">
        <v>934233000</v>
      </c>
      <c r="AD6723" s="28">
        <v>164633000</v>
      </c>
      <c r="AE6723" s="28">
        <v>3020460000</v>
      </c>
      <c r="AF6723" s="28">
        <v>2000000</v>
      </c>
      <c r="AG6723" s="11"/>
    </row>
    <row r="6724">
      <c r="A6724" s="7" t="s">
        <v>8289</v>
      </c>
      <c r="B6724" s="5" t="s">
        <v>16232</v>
      </c>
      <c r="C6724" s="5" t="s">
        <v>23876</v>
      </c>
      <c r="D6724" s="5" t="str">
        <v>540124686744</v>
      </c>
      <c r="E6724" s="0" t="e">
        <f>+7 (383) 3034515
+7 (383) 3048897
+7 (38357) 41035
+7 (384) 2452243
+7 (385) 2502036
+7 (385) 2505295
+7 (913) 4885565
+7 (923) 5046498
+7 (962) 8148000</f>
        <v>#NAME?</v>
      </c>
      <c r="F6724" s="5"/>
      <c r="G6724" s="5" t="s">
        <v>44924</v>
      </c>
      <c r="H6724" s="26">
        <v>8.5</v>
      </c>
      <c r="I6724" s="5" t="s">
        <v>44925</v>
      </c>
      <c r="J6724" s="5" t="s">
        <v>25842</v>
      </c>
      <c r="K6724" s="5" t="s">
        <v>344</v>
      </c>
      <c r="L6724" s="5" t="s">
        <v>44926</v>
      </c>
      <c r="M6724" s="27"/>
      <c r="N6724" s="5"/>
      <c r="O6724" s="5" t="str">
        <v>5405502600</v>
      </c>
      <c r="P6724" s="27">
        <v>1000000</v>
      </c>
      <c r="Q6724" s="5"/>
      <c r="R6724" s="5"/>
      <c r="S6724" s="5" t="s">
        <v>49053</v>
      </c>
      <c r="T6724" s="28">
        <v>119066000</v>
      </c>
      <c r="U6724" s="28"/>
      <c r="V6724" s="28">
        <v>1059082000</v>
      </c>
      <c r="W6724" s="28">
        <v>210000000</v>
      </c>
      <c r="X6724" s="28">
        <v>401629000</v>
      </c>
      <c r="Y6724" s="28">
        <v>2637365000</v>
      </c>
      <c r="Z6724" s="28">
        <v>1278985000</v>
      </c>
      <c r="AA6724" s="28"/>
      <c r="AB6724" s="28"/>
      <c r="AC6724" s="28">
        <v>1320103000</v>
      </c>
      <c r="AD6724" s="28">
        <v>1279985000</v>
      </c>
      <c r="AE6724" s="28">
        <v>4662953000</v>
      </c>
      <c r="AF6724" s="28">
        <v>430689000</v>
      </c>
      <c r="AG6724" s="11"/>
    </row>
    <row r="6725">
      <c r="A6725" s="7" t="s">
        <v>8290</v>
      </c>
      <c r="B6725" s="5" t="s">
        <v>16233</v>
      </c>
      <c r="C6725" s="5" t="s">
        <v>23877</v>
      </c>
      <c r="D6725" s="5" t="str">
        <v>773377077574</v>
      </c>
      <c r="E6725" s="0" t="e">
        <f>+7 (915) 9077710
+7 (495) 6096090</f>
        <v>#NAME?</v>
      </c>
      <c r="F6725" s="5"/>
      <c r="G6725" s="5"/>
      <c r="H6725" s="26">
        <v>8.5</v>
      </c>
      <c r="I6725" s="5" t="s">
        <v>44927</v>
      </c>
      <c r="J6725" s="5" t="s">
        <v>26918</v>
      </c>
      <c r="K6725" s="5" t="s">
        <v>344</v>
      </c>
      <c r="L6725" s="5"/>
      <c r="M6725" s="27">
        <v>1893792</v>
      </c>
      <c r="N6725" s="5" t="s">
        <v>59393</v>
      </c>
      <c r="O6725" s="5" t="str">
        <v>7733902355</v>
      </c>
      <c r="P6725" s="27">
        <v>10000</v>
      </c>
      <c r="Q6725" s="5" t="s">
        <v>59394</v>
      </c>
      <c r="R6725" s="5"/>
      <c r="S6725" s="5" t="s">
        <v>50509</v>
      </c>
      <c r="T6725" s="28"/>
      <c r="U6725" s="28"/>
      <c r="V6725" s="28">
        <v>2988214000</v>
      </c>
      <c r="W6725" s="28">
        <v>683161000</v>
      </c>
      <c r="X6725" s="28">
        <v>30360000</v>
      </c>
      <c r="Y6725" s="28">
        <v>3824426000</v>
      </c>
      <c r="Z6725" s="28">
        <v>455163000</v>
      </c>
      <c r="AA6725" s="28"/>
      <c r="AB6725" s="28"/>
      <c r="AC6725" s="28">
        <v>3360239000</v>
      </c>
      <c r="AD6725" s="28">
        <v>455173000</v>
      </c>
      <c r="AE6725" s="28">
        <v>4127535000</v>
      </c>
      <c r="AF6725" s="28">
        <v>298829000</v>
      </c>
      <c r="AG6725" s="11"/>
    </row>
    <row r="6726">
      <c r="A6726" s="7" t="s">
        <v>8291</v>
      </c>
      <c r="B6726" s="5" t="s">
        <v>16234</v>
      </c>
      <c r="C6726" s="5" t="s">
        <v>23878</v>
      </c>
      <c r="D6726" s="5" t="str">
        <v>280112612103</v>
      </c>
      <c r="E6726" s="0" t="e">
        <f>+7 (416) 2331864
+7 (416) 2500650
+7 (914) 5676788
+7 (909) 8133811
+7 (416) 2330882
+7 (416) 2331884
+7 (416) 2332883
+7 (416) 2334324
+7 (416) 2335005
+7 (416) 2528324
+7 (416) 2592883
+7 (416) 2592884
+7 (84162) 51300
+7 (962) 2856874</f>
        <v>#NAME?</v>
      </c>
      <c r="F6726" s="5" t="s">
        <v>44928</v>
      </c>
      <c r="G6726" s="5" t="s">
        <v>44929</v>
      </c>
      <c r="H6726" s="26">
        <v>17.5</v>
      </c>
      <c r="I6726" s="5"/>
      <c r="J6726" s="5" t="s">
        <v>678</v>
      </c>
      <c r="K6726" s="5" t="s">
        <v>344</v>
      </c>
      <c r="L6726" s="5" t="s">
        <v>44930</v>
      </c>
      <c r="M6726" s="27">
        <v>49486372</v>
      </c>
      <c r="N6726" s="5" t="s">
        <v>59395</v>
      </c>
      <c r="O6726" s="5" t="str">
        <v>2801105922</v>
      </c>
      <c r="P6726" s="27">
        <v>10000</v>
      </c>
      <c r="Q6726" s="5" t="s">
        <v>49009</v>
      </c>
      <c r="R6726" s="5"/>
      <c r="S6726" s="5" t="s">
        <v>55732</v>
      </c>
      <c r="T6726" s="28">
        <v>63124000</v>
      </c>
      <c r="U6726" s="28"/>
      <c r="V6726" s="28">
        <v>781398000</v>
      </c>
      <c r="W6726" s="28">
        <v>54700000</v>
      </c>
      <c r="X6726" s="28">
        <v>21523000</v>
      </c>
      <c r="Y6726" s="28">
        <v>1251352000</v>
      </c>
      <c r="Z6726" s="28">
        <v>219649000</v>
      </c>
      <c r="AA6726" s="28">
        <v>288384000</v>
      </c>
      <c r="AB6726" s="28">
        <v>32271000</v>
      </c>
      <c r="AC6726" s="28">
        <v>729768000</v>
      </c>
      <c r="AD6726" s="28">
        <v>219659000</v>
      </c>
      <c r="AE6726" s="28">
        <v>3129902000</v>
      </c>
      <c r="AF6726" s="28">
        <v>81723000</v>
      </c>
      <c r="AG6726" s="11"/>
    </row>
    <row r="6727">
      <c r="A6727" s="7" t="s">
        <v>8292</v>
      </c>
      <c r="B6727" s="5" t="s">
        <v>16235</v>
      </c>
      <c r="C6727" s="5" t="s">
        <v>23879</v>
      </c>
      <c r="D6727" s="5" t="str">
        <v>270302859053</v>
      </c>
      <c r="E6727" s="0" t="e">
        <f>+7 (914) 7038936
+7 (421) 2203002
+7 (421) 2361805
+7 (421) 2774339
+7 (421) 2789545
+7 (421) 2794232
+7 (4217) 232319
+7 (4217) 232320
+7 (4232) 465663</f>
        <v>#NAME?</v>
      </c>
      <c r="F6727" s="5" t="s">
        <v>44931</v>
      </c>
      <c r="G6727" s="5" t="s">
        <v>44932</v>
      </c>
      <c r="H6727" s="26">
        <v>21.5</v>
      </c>
      <c r="I6727" s="5" t="s">
        <v>44933</v>
      </c>
      <c r="J6727" s="5" t="s">
        <v>423</v>
      </c>
      <c r="K6727" s="5" t="s">
        <v>344</v>
      </c>
      <c r="L6727" s="5" t="s">
        <v>44934</v>
      </c>
      <c r="M6727" s="27"/>
      <c r="N6727" s="5" t="s">
        <v>59396</v>
      </c>
      <c r="O6727" s="5" t="str">
        <v>2724218319</v>
      </c>
      <c r="P6727" s="27">
        <v>30907541</v>
      </c>
      <c r="Q6727" s="5" t="s">
        <v>59397</v>
      </c>
      <c r="R6727" s="5"/>
      <c r="S6727" s="5" t="s">
        <v>59398</v>
      </c>
      <c r="T6727" s="28">
        <v>128290000</v>
      </c>
      <c r="U6727" s="28"/>
      <c r="V6727" s="28">
        <v>511920000</v>
      </c>
      <c r="W6727" s="28">
        <v>4000</v>
      </c>
      <c r="X6727" s="28">
        <v>26547000</v>
      </c>
      <c r="Y6727" s="28">
        <v>1416730000</v>
      </c>
      <c r="Z6727" s="28">
        <v>400199000</v>
      </c>
      <c r="AA6727" s="28"/>
      <c r="AB6727" s="28">
        <v>228236000</v>
      </c>
      <c r="AC6727" s="28">
        <v>985621000</v>
      </c>
      <c r="AD6727" s="28">
        <v>431109000</v>
      </c>
      <c r="AE6727" s="28">
        <v>3439561000</v>
      </c>
      <c r="AF6727" s="28">
        <v>147451000</v>
      </c>
      <c r="AG6727" s="11"/>
    </row>
    <row r="6728">
      <c r="A6728" s="7" t="s">
        <v>8293</v>
      </c>
      <c r="B6728" s="5" t="s">
        <v>16236</v>
      </c>
      <c r="C6728" s="5" t="s">
        <v>23880</v>
      </c>
      <c r="D6728" s="5" t="str">
        <v>773471234619</v>
      </c>
      <c r="E6728" s="0" t="e">
        <f>+7 (499) 3829009</f>
        <v>#NAME?</v>
      </c>
      <c r="F6728" s="5"/>
      <c r="G6728" s="5"/>
      <c r="H6728" s="26">
        <v>10</v>
      </c>
      <c r="I6728" s="5" t="s">
        <v>44935</v>
      </c>
      <c r="J6728" s="5" t="s">
        <v>364</v>
      </c>
      <c r="K6728" s="5" t="s">
        <v>380</v>
      </c>
      <c r="L6728" s="5"/>
      <c r="M6728" s="27">
        <v>11515651</v>
      </c>
      <c r="N6728" s="5"/>
      <c r="O6728" s="5" t="str">
        <v>7704830931</v>
      </c>
      <c r="P6728" s="27">
        <v>10000</v>
      </c>
      <c r="Q6728" s="5"/>
      <c r="R6728" s="5"/>
      <c r="S6728" s="5" t="s">
        <v>49110</v>
      </c>
      <c r="T6728" s="28">
        <v>13610000</v>
      </c>
      <c r="U6728" s="28"/>
      <c r="V6728" s="28">
        <v>3172708000</v>
      </c>
      <c r="W6728" s="28">
        <v>1235088000</v>
      </c>
      <c r="X6728" s="28">
        <v>961000</v>
      </c>
      <c r="Y6728" s="28">
        <v>5003995000</v>
      </c>
      <c r="Z6728" s="28">
        <v>-1569997000</v>
      </c>
      <c r="AA6728" s="28">
        <v>4554862000</v>
      </c>
      <c r="AB6728" s="28">
        <v>66406000</v>
      </c>
      <c r="AC6728" s="28">
        <v>2015765000</v>
      </c>
      <c r="AD6728" s="28">
        <v>-1569987000</v>
      </c>
      <c r="AE6728" s="28">
        <v>3665676000</v>
      </c>
      <c r="AF6728" s="28">
        <v>-595307000</v>
      </c>
      <c r="AG6728" s="11"/>
    </row>
    <row r="6729">
      <c r="A6729" s="7" t="s">
        <v>8294</v>
      </c>
      <c r="B6729" s="5" t="s">
        <v>16237</v>
      </c>
      <c r="C6729" s="5" t="s">
        <v>23881</v>
      </c>
      <c r="D6729" s="5" t="str">
        <v>250203742534</v>
      </c>
      <c r="E6729" s="0" t="e">
        <f>+7 (4232) 600001
+7 (4232) 600200
+7 (42337) 30075
+7 (42337) 30076
+7 (42337) 36831</f>
        <v>#NAME?</v>
      </c>
      <c r="F6729" s="5" t="s">
        <v>44936</v>
      </c>
      <c r="G6729" s="5"/>
      <c r="H6729" s="26">
        <v>18</v>
      </c>
      <c r="I6729" s="5" t="s">
        <v>44937</v>
      </c>
      <c r="J6729" s="5" t="s">
        <v>26229</v>
      </c>
      <c r="K6729" s="5" t="s">
        <v>344</v>
      </c>
      <c r="L6729" s="5" t="s">
        <v>44938</v>
      </c>
      <c r="M6729" s="27">
        <v>2634762</v>
      </c>
      <c r="N6729" s="5" t="s">
        <v>59399</v>
      </c>
      <c r="O6729" s="5" t="str">
        <v>2502030644</v>
      </c>
      <c r="P6729" s="27">
        <v>19500</v>
      </c>
      <c r="Q6729" s="5" t="s">
        <v>59400</v>
      </c>
      <c r="R6729" s="5"/>
      <c r="S6729" s="5" t="s">
        <v>52179</v>
      </c>
      <c r="T6729" s="28">
        <v>4149000</v>
      </c>
      <c r="U6729" s="28"/>
      <c r="V6729" s="28">
        <v>366121000</v>
      </c>
      <c r="W6729" s="28"/>
      <c r="X6729" s="28">
        <v>242148000</v>
      </c>
      <c r="Y6729" s="28">
        <v>731411000</v>
      </c>
      <c r="Z6729" s="28">
        <v>103551000</v>
      </c>
      <c r="AA6729" s="28">
        <v>50000000</v>
      </c>
      <c r="AB6729" s="28">
        <v>95749000</v>
      </c>
      <c r="AC6729" s="28">
        <v>577207000</v>
      </c>
      <c r="AD6729" s="28">
        <v>103571000</v>
      </c>
      <c r="AE6729" s="28">
        <v>3382071000</v>
      </c>
      <c r="AF6729" s="28">
        <v>51684000</v>
      </c>
      <c r="AG6729" s="11"/>
    </row>
    <row r="6730">
      <c r="A6730" s="7" t="s">
        <v>8295</v>
      </c>
      <c r="B6730" s="5" t="s">
        <v>16238</v>
      </c>
      <c r="C6730" s="5" t="s">
        <v>23882</v>
      </c>
      <c r="D6730" s="5" t="str">
        <v>772390398864</v>
      </c>
      <c r="E6730" s="0" t="e">
        <f>+7 (863) 3090712
+7 (8632) 466933</f>
        <v>#NAME?</v>
      </c>
      <c r="F6730" s="5" t="s">
        <v>44939</v>
      </c>
      <c r="G6730" s="5"/>
      <c r="H6730" s="26">
        <v>9.5</v>
      </c>
      <c r="I6730" s="5" t="s">
        <v>44338</v>
      </c>
      <c r="J6730" s="5" t="s">
        <v>25262</v>
      </c>
      <c r="K6730" s="5" t="s">
        <v>355</v>
      </c>
      <c r="L6730" s="5" t="s">
        <v>365</v>
      </c>
      <c r="M6730" s="27"/>
      <c r="N6730" s="5"/>
      <c r="O6730" s="5" t="str">
        <v>6163132149</v>
      </c>
      <c r="P6730" s="27">
        <v>10000</v>
      </c>
      <c r="Q6730" s="5" t="s">
        <v>49057</v>
      </c>
      <c r="R6730" s="5"/>
      <c r="S6730" s="5" t="s">
        <v>49452</v>
      </c>
      <c r="T6730" s="28">
        <v>19780000</v>
      </c>
      <c r="U6730" s="28">
        <v>2000</v>
      </c>
      <c r="V6730" s="28">
        <v>779386000</v>
      </c>
      <c r="W6730" s="28">
        <v>17323000</v>
      </c>
      <c r="X6730" s="28">
        <v>43874000</v>
      </c>
      <c r="Y6730" s="28">
        <v>1329763000</v>
      </c>
      <c r="Z6730" s="28">
        <v>524000</v>
      </c>
      <c r="AA6730" s="28"/>
      <c r="AB6730" s="28">
        <v>109450000</v>
      </c>
      <c r="AC6730" s="28">
        <v>1327526000</v>
      </c>
      <c r="AD6730" s="28">
        <v>534000</v>
      </c>
      <c r="AE6730" s="28">
        <v>4678272000</v>
      </c>
      <c r="AF6730" s="28">
        <v>-5624000</v>
      </c>
      <c r="AG6730" s="11"/>
    </row>
    <row r="6731">
      <c r="A6731" s="7" t="s">
        <v>8296</v>
      </c>
      <c r="B6731" s="5" t="s">
        <v>16239</v>
      </c>
      <c r="C6731" s="5" t="s">
        <v>23883</v>
      </c>
      <c r="D6731" s="5" t="str">
        <v>260704047707</v>
      </c>
      <c r="E6731" s="0" t="e">
        <f>+7 (919) 9670594
+7 (977) 7873380
+7 (499) 7629121
+7 (499) 7629124
+7 (499) 7629131
+7 (499) 7629136</f>
        <v>#NAME?</v>
      </c>
      <c r="F6731" s="5" t="s">
        <v>44940</v>
      </c>
      <c r="G6731" s="5" t="s">
        <v>44941</v>
      </c>
      <c r="H6731" s="26">
        <v>23.5</v>
      </c>
      <c r="I6731" s="5" t="s">
        <v>44942</v>
      </c>
      <c r="J6731" s="5" t="s">
        <v>25327</v>
      </c>
      <c r="K6731" s="5" t="s">
        <v>344</v>
      </c>
      <c r="L6731" s="5" t="s">
        <v>44943</v>
      </c>
      <c r="M6731" s="27"/>
      <c r="N6731" s="5" t="s">
        <v>59401</v>
      </c>
      <c r="O6731" s="5" t="str">
        <v>7734201810</v>
      </c>
      <c r="P6731" s="27">
        <v>284000000</v>
      </c>
      <c r="Q6731" s="5" t="s">
        <v>59402</v>
      </c>
      <c r="R6731" s="5"/>
      <c r="S6731" s="5" t="s">
        <v>59403</v>
      </c>
      <c r="T6731" s="28">
        <v>717586000</v>
      </c>
      <c r="U6731" s="28">
        <v>204266000</v>
      </c>
      <c r="V6731" s="28">
        <v>1602992000</v>
      </c>
      <c r="W6731" s="28">
        <v>57200000</v>
      </c>
      <c r="X6731" s="28">
        <v>108389000</v>
      </c>
      <c r="Y6731" s="28">
        <v>4090928000</v>
      </c>
      <c r="Z6731" s="28">
        <v>900653000</v>
      </c>
      <c r="AA6731" s="28">
        <v>348874000</v>
      </c>
      <c r="AB6731" s="28">
        <v>1492672000</v>
      </c>
      <c r="AC6731" s="28">
        <v>2448778000</v>
      </c>
      <c r="AD6731" s="28">
        <v>1247694000</v>
      </c>
      <c r="AE6731" s="28">
        <v>18223535000</v>
      </c>
      <c r="AF6731" s="28">
        <v>464989000</v>
      </c>
      <c r="AG6731" s="11"/>
    </row>
    <row r="6732">
      <c r="A6732" s="7" t="s">
        <v>8297</v>
      </c>
      <c r="B6732" s="5" t="s">
        <v>16240</v>
      </c>
      <c r="C6732" s="5" t="s">
        <v>23884</v>
      </c>
      <c r="D6732" s="5" t="str">
        <v>742006440430</v>
      </c>
      <c r="E6732" s="0" t="e">
        <f>+7 (844) 2357101</f>
        <v>#NAME?</v>
      </c>
      <c r="F6732" s="5" t="s">
        <v>44944</v>
      </c>
      <c r="G6732" s="5" t="s">
        <v>44945</v>
      </c>
      <c r="H6732" s="26">
        <v>5.5</v>
      </c>
      <c r="I6732" s="5" t="s">
        <v>44946</v>
      </c>
      <c r="J6732" s="5" t="s">
        <v>25327</v>
      </c>
      <c r="K6732" s="5" t="s">
        <v>344</v>
      </c>
      <c r="L6732" s="5" t="s">
        <v>44947</v>
      </c>
      <c r="M6732" s="27"/>
      <c r="N6732" s="5" t="s">
        <v>59404</v>
      </c>
      <c r="O6732" s="5" t="str">
        <v>3444264875</v>
      </c>
      <c r="P6732" s="27">
        <v>563000000</v>
      </c>
      <c r="Q6732" s="5" t="s">
        <v>59405</v>
      </c>
      <c r="R6732" s="5"/>
      <c r="S6732" s="5" t="s">
        <v>49162</v>
      </c>
      <c r="T6732" s="28">
        <v>427980000</v>
      </c>
      <c r="U6732" s="28"/>
      <c r="V6732" s="28">
        <v>308528000</v>
      </c>
      <c r="W6732" s="28">
        <v>256316000</v>
      </c>
      <c r="X6732" s="28">
        <v>189637000</v>
      </c>
      <c r="Y6732" s="28">
        <v>1411701000</v>
      </c>
      <c r="Z6732" s="28">
        <v>241157000</v>
      </c>
      <c r="AA6732" s="28"/>
      <c r="AB6732" s="28"/>
      <c r="AC6732" s="28">
        <v>535619000</v>
      </c>
      <c r="AD6732" s="28">
        <v>853862000</v>
      </c>
      <c r="AE6732" s="28">
        <v>5515984000</v>
      </c>
      <c r="AF6732" s="28">
        <v>391641000</v>
      </c>
      <c r="AG6732" s="11"/>
    </row>
    <row r="6733">
      <c r="A6733" s="7" t="s">
        <v>8298</v>
      </c>
      <c r="B6733" s="5" t="s">
        <v>16241</v>
      </c>
      <c r="C6733" s="5" t="s">
        <v>23885</v>
      </c>
      <c r="D6733" s="5" t="str">
        <v>183300847301</v>
      </c>
      <c r="F6733" s="5" t="s">
        <v>44948</v>
      </c>
      <c r="G6733" s="5"/>
      <c r="H6733" s="26">
        <v>7.5</v>
      </c>
      <c r="I6733" s="5" t="s">
        <v>44949</v>
      </c>
      <c r="J6733" s="5" t="s">
        <v>28603</v>
      </c>
      <c r="K6733" s="5" t="s">
        <v>344</v>
      </c>
      <c r="L6733" s="5" t="s">
        <v>44950</v>
      </c>
      <c r="M6733" s="27"/>
      <c r="N6733" s="5" t="s">
        <v>59406</v>
      </c>
      <c r="O6733" s="5" t="str">
        <v>1831174103</v>
      </c>
      <c r="P6733" s="27">
        <v>1000000</v>
      </c>
      <c r="Q6733" s="5" t="s">
        <v>59407</v>
      </c>
      <c r="R6733" s="5"/>
      <c r="S6733" s="5" t="s">
        <v>49922</v>
      </c>
      <c r="T6733" s="28">
        <v>25429000</v>
      </c>
      <c r="U6733" s="28"/>
      <c r="V6733" s="28">
        <v>450606000</v>
      </c>
      <c r="W6733" s="28"/>
      <c r="X6733" s="28">
        <v>14769000</v>
      </c>
      <c r="Y6733" s="28">
        <v>645582000</v>
      </c>
      <c r="Z6733" s="28">
        <v>212892000</v>
      </c>
      <c r="AA6733" s="28"/>
      <c r="AB6733" s="28">
        <v>369020000</v>
      </c>
      <c r="AC6733" s="28">
        <v>415518000</v>
      </c>
      <c r="AD6733" s="28">
        <v>213897000</v>
      </c>
      <c r="AE6733" s="28">
        <v>3122861000</v>
      </c>
      <c r="AF6733" s="28">
        <v>187828000</v>
      </c>
      <c r="AG6733" s="11"/>
    </row>
    <row r="6734">
      <c r="A6734" s="7" t="s">
        <v>8299</v>
      </c>
      <c r="B6734" s="5" t="s">
        <v>16242</v>
      </c>
      <c r="C6734" s="5" t="s">
        <v>23886</v>
      </c>
      <c r="D6734" s="5" t="str">
        <v>272423214007</v>
      </c>
      <c r="E6734" s="0" t="e">
        <f>+7 (421) 2263301
+7 (421) 2263357
+7 (421) 2263986
+7 (421) 2416731
+7 (421) 2416737
+7 (909) 8587577
+7 (962) 2200073
+7 (421) 2263581
+7 (421) 2263870
+7 (421) 2600073
+7 (421) 2600111</f>
        <v>#NAME?</v>
      </c>
      <c r="F6734" s="5" t="s">
        <v>44951</v>
      </c>
      <c r="G6734" s="5"/>
      <c r="H6734" s="26">
        <v>12</v>
      </c>
      <c r="I6734" s="5" t="s">
        <v>44952</v>
      </c>
      <c r="J6734" s="5" t="s">
        <v>25327</v>
      </c>
      <c r="K6734" s="5" t="s">
        <v>344</v>
      </c>
      <c r="L6734" s="5" t="s">
        <v>44953</v>
      </c>
      <c r="M6734" s="27"/>
      <c r="N6734" s="5" t="s">
        <v>59408</v>
      </c>
      <c r="O6734" s="5" t="str">
        <v>2724152185</v>
      </c>
      <c r="P6734" s="27">
        <v>117647</v>
      </c>
      <c r="Q6734" s="5" t="s">
        <v>59409</v>
      </c>
      <c r="R6734" s="5"/>
      <c r="S6734" s="5" t="s">
        <v>51342</v>
      </c>
      <c r="T6734" s="28">
        <v>110229000</v>
      </c>
      <c r="U6734" s="28"/>
      <c r="V6734" s="28">
        <v>693135000</v>
      </c>
      <c r="W6734" s="28"/>
      <c r="X6734" s="28">
        <v>73839000</v>
      </c>
      <c r="Y6734" s="28">
        <v>1397889000</v>
      </c>
      <c r="Z6734" s="28">
        <v>451996000</v>
      </c>
      <c r="AA6734" s="28"/>
      <c r="AB6734" s="28"/>
      <c r="AC6734" s="28">
        <v>826397000</v>
      </c>
      <c r="AD6734" s="28">
        <v>561720000</v>
      </c>
      <c r="AE6734" s="28">
        <v>8122235000</v>
      </c>
      <c r="AF6734" s="28">
        <v>429695000</v>
      </c>
      <c r="AG6734" s="11"/>
    </row>
    <row r="6735">
      <c r="A6735" s="7" t="s">
        <v>8300</v>
      </c>
      <c r="B6735" s="5" t="s">
        <v>16243</v>
      </c>
      <c r="C6735" s="5" t="s">
        <v>23887</v>
      </c>
      <c r="D6735" s="5" t="str">
        <v>890102886676</v>
      </c>
      <c r="E6735" s="0" t="e">
        <f>+7 (345) 2529783
+7 (345) 2529784
+7 (912) 3948518
+7 (912) 4104849</f>
        <v>#NAME?</v>
      </c>
      <c r="F6735" s="5" t="s">
        <v>44954</v>
      </c>
      <c r="G6735" s="5"/>
      <c r="H6735" s="26">
        <v>10</v>
      </c>
      <c r="I6735" s="5" t="s">
        <v>44955</v>
      </c>
      <c r="J6735" s="5" t="s">
        <v>27921</v>
      </c>
      <c r="K6735" s="5" t="s">
        <v>344</v>
      </c>
      <c r="L6735" s="5" t="s">
        <v>44956</v>
      </c>
      <c r="M6735" s="27"/>
      <c r="N6735" s="5" t="s">
        <v>59410</v>
      </c>
      <c r="O6735" s="5" t="str">
        <v>7203284939</v>
      </c>
      <c r="P6735" s="27">
        <v>100000</v>
      </c>
      <c r="Q6735" s="5" t="s">
        <v>59411</v>
      </c>
      <c r="R6735" s="5"/>
      <c r="S6735" s="5" t="s">
        <v>50774</v>
      </c>
      <c r="T6735" s="28">
        <v>409094000</v>
      </c>
      <c r="U6735" s="28"/>
      <c r="V6735" s="28">
        <v>1869007000</v>
      </c>
      <c r="W6735" s="28">
        <v>390000000</v>
      </c>
      <c r="X6735" s="28">
        <v>7470000</v>
      </c>
      <c r="Y6735" s="28">
        <v>3187122000</v>
      </c>
      <c r="Z6735" s="28">
        <v>2169375000</v>
      </c>
      <c r="AA6735" s="28"/>
      <c r="AB6735" s="28">
        <v>660437000</v>
      </c>
      <c r="AC6735" s="28">
        <v>985983000</v>
      </c>
      <c r="AD6735" s="28">
        <v>2169475000</v>
      </c>
      <c r="AE6735" s="28">
        <v>4055164000</v>
      </c>
      <c r="AF6735" s="28">
        <v>570464000</v>
      </c>
      <c r="AG6735" s="11"/>
    </row>
    <row r="6736">
      <c r="A6736" s="7" t="s">
        <v>8301</v>
      </c>
      <c r="B6736" s="5" t="s">
        <v>16244</v>
      </c>
      <c r="C6736" s="5" t="s">
        <v>23888</v>
      </c>
      <c r="D6736" s="5" t="str">
        <v>613203254707</v>
      </c>
      <c r="E6736" s="0" t="e">
        <f>+7 (918) 412443
+7 (988) 3153489</f>
        <v>#NAME?</v>
      </c>
      <c r="F6736" s="5" t="s">
        <v>44957</v>
      </c>
      <c r="G6736" s="5" t="s">
        <v>44958</v>
      </c>
      <c r="H6736" s="26">
        <v>9.5</v>
      </c>
      <c r="I6736" s="5" t="s">
        <v>31494</v>
      </c>
      <c r="J6736" s="5" t="s">
        <v>33745</v>
      </c>
      <c r="K6736" s="5" t="s">
        <v>355</v>
      </c>
      <c r="L6736" s="5" t="s">
        <v>44959</v>
      </c>
      <c r="M6736" s="27"/>
      <c r="N6736" s="5" t="s">
        <v>50086</v>
      </c>
      <c r="O6736" s="5" t="str">
        <v>2352049724</v>
      </c>
      <c r="P6736" s="27">
        <v>10000</v>
      </c>
      <c r="Q6736" s="5" t="s">
        <v>49009</v>
      </c>
      <c r="R6736" s="5"/>
      <c r="S6736" s="5" t="s">
        <v>50103</v>
      </c>
      <c r="T6736" s="28">
        <v>4758443000</v>
      </c>
      <c r="U6736" s="28"/>
      <c r="V6736" s="28">
        <v>7620210000</v>
      </c>
      <c r="W6736" s="28">
        <v>4167516000</v>
      </c>
      <c r="X6736" s="28">
        <v>27764000</v>
      </c>
      <c r="Y6736" s="28">
        <v>18726025000</v>
      </c>
      <c r="Z6736" s="28">
        <v>1920711000</v>
      </c>
      <c r="AA6736" s="28">
        <v>3291923000</v>
      </c>
      <c r="AB6736" s="28">
        <v>8021058000</v>
      </c>
      <c r="AC6736" s="28">
        <v>13372525000</v>
      </c>
      <c r="AD6736" s="28">
        <v>1920721000</v>
      </c>
      <c r="AE6736" s="28">
        <v>6929420000</v>
      </c>
      <c r="AF6736" s="28">
        <v>134959000</v>
      </c>
      <c r="AG6736" s="11"/>
    </row>
    <row r="6737">
      <c r="A6737" s="7" t="s">
        <v>8302</v>
      </c>
      <c r="B6737" s="5" t="s">
        <v>16245</v>
      </c>
      <c r="C6737" s="5" t="s">
        <v>23889</v>
      </c>
      <c r="D6737" s="5" t="str">
        <v>031301007561</v>
      </c>
      <c r="E6737" s="0" t="e">
        <f>+7 (41154) 20295
+7 (41154) 20849
+7 (41154) 20878
+7 (41154) 22710</f>
        <v>#NAME?</v>
      </c>
      <c r="F6737" s="5" t="s">
        <v>44960</v>
      </c>
      <c r="G6737" s="5"/>
      <c r="H6737" s="26">
        <v>10</v>
      </c>
      <c r="I6737" s="5"/>
      <c r="J6737" s="5" t="s">
        <v>26499</v>
      </c>
      <c r="K6737" s="5" t="s">
        <v>355</v>
      </c>
      <c r="L6737" s="5" t="s">
        <v>44961</v>
      </c>
      <c r="M6737" s="27">
        <v>4557584</v>
      </c>
      <c r="N6737" s="5"/>
      <c r="O6737" s="5" t="str">
        <v>1420004874</v>
      </c>
      <c r="P6737" s="27">
        <v>1000000</v>
      </c>
      <c r="Q6737" s="5" t="s">
        <v>49009</v>
      </c>
      <c r="R6737" s="5" t="s">
        <v>59412</v>
      </c>
      <c r="S6737" s="5" t="s">
        <v>49120</v>
      </c>
      <c r="T6737" s="28">
        <v>6447613000</v>
      </c>
      <c r="U6737" s="28">
        <v>313000</v>
      </c>
      <c r="V6737" s="28">
        <v>695791000</v>
      </c>
      <c r="W6737" s="28"/>
      <c r="X6737" s="28">
        <v>3642590000</v>
      </c>
      <c r="Y6737" s="28">
        <v>23022531000</v>
      </c>
      <c r="Z6737" s="28">
        <v>8927511000</v>
      </c>
      <c r="AA6737" s="28">
        <v>3038696000</v>
      </c>
      <c r="AB6737" s="28">
        <v>5902369000</v>
      </c>
      <c r="AC6737" s="28">
        <v>10368419000</v>
      </c>
      <c r="AD6737" s="28">
        <v>8928511000</v>
      </c>
      <c r="AE6737" s="28">
        <v>11834686000</v>
      </c>
      <c r="AF6737" s="28">
        <v>1789022000</v>
      </c>
      <c r="AG6737" s="11"/>
    </row>
    <row r="6738">
      <c r="A6738" s="7" t="s">
        <v>8303</v>
      </c>
      <c r="B6738" s="5" t="s">
        <v>16246</v>
      </c>
      <c r="C6738" s="5" t="s">
        <v>23890</v>
      </c>
      <c r="D6738" s="5" t="str">
        <v>502499622232</v>
      </c>
      <c r="E6738" s="0" t="e">
        <f>+7 (812) 6005092
+7 (800) 2200004
+7 (812) 6005091
+7 (812) 6005093
+7 (812) 6005094
+7 (921) 3206685
+7 (921) 9436379</f>
        <v>#NAME?</v>
      </c>
      <c r="F6738" s="5" t="s">
        <v>44962</v>
      </c>
      <c r="G6738" s="5" t="s">
        <v>44963</v>
      </c>
      <c r="H6738" s="26">
        <v>12.5</v>
      </c>
      <c r="I6738" s="5" t="s">
        <v>44964</v>
      </c>
      <c r="J6738" s="5" t="s">
        <v>44965</v>
      </c>
      <c r="K6738" s="5" t="s">
        <v>344</v>
      </c>
      <c r="L6738" s="5"/>
      <c r="M6738" s="27"/>
      <c r="N6738" s="5"/>
      <c r="O6738" s="5" t="str">
        <v>4703119938</v>
      </c>
      <c r="P6738" s="27">
        <v>771939670</v>
      </c>
      <c r="Q6738" s="5"/>
      <c r="R6738" s="5"/>
      <c r="S6738" s="5" t="s">
        <v>50509</v>
      </c>
      <c r="T6738" s="28">
        <v>667338000</v>
      </c>
      <c r="U6738" s="28"/>
      <c r="V6738" s="28">
        <v>2110554000</v>
      </c>
      <c r="W6738" s="28"/>
      <c r="X6738" s="28">
        <v>216421000</v>
      </c>
      <c r="Y6738" s="28">
        <v>3715647000</v>
      </c>
      <c r="Z6738" s="28">
        <v>-492361000</v>
      </c>
      <c r="AA6738" s="28"/>
      <c r="AB6738" s="28"/>
      <c r="AC6738" s="28">
        <v>1190134000</v>
      </c>
      <c r="AD6738" s="28">
        <v>2036897000</v>
      </c>
      <c r="AE6738" s="28">
        <v>6897811000</v>
      </c>
      <c r="AF6738" s="28">
        <v>520206000</v>
      </c>
      <c r="AG6738" s="11"/>
    </row>
    <row r="6739">
      <c r="A6739" s="7" t="s">
        <v>8304</v>
      </c>
      <c r="B6739" s="5" t="s">
        <v>16247</v>
      </c>
      <c r="C6739" s="5" t="s">
        <v>23891</v>
      </c>
      <c r="D6739" s="5" t="str">
        <v>362102282347</v>
      </c>
      <c r="E6739" s="0" t="e">
        <f>+7 (473) 2009178
+7 (473) 2123198
+7 (905) 497110</f>
        <v>#NAME?</v>
      </c>
      <c r="F6739" s="5" t="s">
        <v>44966</v>
      </c>
      <c r="G6739" s="5"/>
      <c r="H6739" s="26">
        <v>7</v>
      </c>
      <c r="I6739" s="5" t="s">
        <v>44967</v>
      </c>
      <c r="J6739" s="5" t="s">
        <v>32105</v>
      </c>
      <c r="K6739" s="5" t="s">
        <v>355</v>
      </c>
      <c r="L6739" s="5" t="s">
        <v>44968</v>
      </c>
      <c r="M6739" s="27"/>
      <c r="N6739" s="5" t="s">
        <v>49519</v>
      </c>
      <c r="O6739" s="5" t="str">
        <v>3666205969</v>
      </c>
      <c r="P6739" s="27">
        <v>1100000</v>
      </c>
      <c r="Q6739" s="5"/>
      <c r="R6739" s="5"/>
      <c r="S6739" s="5" t="s">
        <v>49029</v>
      </c>
      <c r="T6739" s="28">
        <v>101939000</v>
      </c>
      <c r="U6739" s="28">
        <v>711000</v>
      </c>
      <c r="V6739" s="28">
        <v>286030000</v>
      </c>
      <c r="W6739" s="28">
        <v>4616000</v>
      </c>
      <c r="X6739" s="28">
        <v>239000</v>
      </c>
      <c r="Y6739" s="28">
        <v>444538000</v>
      </c>
      <c r="Z6739" s="28">
        <v>132370000</v>
      </c>
      <c r="AA6739" s="28"/>
      <c r="AB6739" s="28">
        <v>120617000</v>
      </c>
      <c r="AC6739" s="28">
        <v>257593000</v>
      </c>
      <c r="AD6739" s="28">
        <v>179856000</v>
      </c>
      <c r="AE6739" s="28">
        <v>3474238000</v>
      </c>
      <c r="AF6739" s="28">
        <v>22545000</v>
      </c>
      <c r="AG6739" s="11"/>
    </row>
    <row r="6740">
      <c r="A6740" s="7" t="s">
        <v>8305</v>
      </c>
      <c r="B6740" s="5" t="s">
        <v>16248</v>
      </c>
      <c r="C6740" s="5" t="s">
        <v>23892</v>
      </c>
      <c r="D6740" s="5" t="str">
        <v>661587744912</v>
      </c>
      <c r="E6740" s="0" t="e">
        <f>+7 (34249) 56224
+7 (343) 4220843
+7 (34342) 20277
+7 (34342) 21014
+7 (34342) 21034
+7 (34342) 25269
+7 (34342) 26071
+7 (34342) 26104
+7 (34342) 26135
+7 (34342) 26211
+7 (34342) 26279
+7 (34342) 26282
+7 (34342) 26283
+7 (963) 385878</f>
        <v>#NAME?</v>
      </c>
      <c r="F6740" s="5" t="s">
        <v>44969</v>
      </c>
      <c r="G6740" s="5" t="s">
        <v>44970</v>
      </c>
      <c r="H6740" s="26">
        <v>30</v>
      </c>
      <c r="I6740" s="5"/>
      <c r="J6740" s="5" t="s">
        <v>31843</v>
      </c>
      <c r="K6740" s="5" t="s">
        <v>344</v>
      </c>
      <c r="L6740" s="5" t="s">
        <v>44971</v>
      </c>
      <c r="M6740" s="27">
        <v>290590</v>
      </c>
      <c r="N6740" s="5" t="s">
        <v>59413</v>
      </c>
      <c r="O6740" s="5" t="str">
        <v>6624002881</v>
      </c>
      <c r="P6740" s="27">
        <v>10018818</v>
      </c>
      <c r="Q6740" s="5" t="s">
        <v>49579</v>
      </c>
      <c r="R6740" s="5"/>
      <c r="S6740" s="5" t="s">
        <v>49649</v>
      </c>
      <c r="T6740" s="28">
        <v>496610000</v>
      </c>
      <c r="U6740" s="28">
        <v>19996000</v>
      </c>
      <c r="V6740" s="28">
        <v>187958000</v>
      </c>
      <c r="W6740" s="28">
        <v>2860000</v>
      </c>
      <c r="X6740" s="28">
        <v>732790000</v>
      </c>
      <c r="Y6740" s="28">
        <v>2266365000</v>
      </c>
      <c r="Z6740" s="28">
        <v>1903651000</v>
      </c>
      <c r="AA6740" s="28"/>
      <c r="AB6740" s="28"/>
      <c r="AC6740" s="28">
        <v>334952000</v>
      </c>
      <c r="AD6740" s="28">
        <v>1914670000</v>
      </c>
      <c r="AE6740" s="28">
        <v>3004581000</v>
      </c>
      <c r="AF6740" s="28">
        <v>279581000</v>
      </c>
      <c r="AG6740" s="11"/>
    </row>
    <row r="6741">
      <c r="A6741" s="7" t="s">
        <v>8306</v>
      </c>
      <c r="B6741" s="5" t="s">
        <v>16249</v>
      </c>
      <c r="C6741" s="5" t="s">
        <v>23893</v>
      </c>
      <c r="D6741" s="5" t="str">
        <v>380800189749</v>
      </c>
      <c r="E6741" s="0" t="e">
        <f>+7 (800) 1000770
+7 (383) 3633734
+7 (421) 2400460
+7 (495) 2258812
+7 (800) 7004422
+7 (812) 3133838
+7 (812) 3803399
+7 (812) 3803833
+7 (812) 4491592
+7 (812) 9874872
+7 (911) 2275895
+7 (931) 3538927
+7 (981) 7967334</f>
        <v>#NAME?</v>
      </c>
      <c r="F6741" s="5" t="s">
        <v>44972</v>
      </c>
      <c r="G6741" s="5" t="s">
        <v>44973</v>
      </c>
      <c r="H6741" s="26">
        <v>30</v>
      </c>
      <c r="I6741" s="5" t="s">
        <v>44974</v>
      </c>
      <c r="J6741" s="5" t="s">
        <v>26394</v>
      </c>
      <c r="K6741" s="5" t="s">
        <v>344</v>
      </c>
      <c r="L6741" s="5" t="s">
        <v>44975</v>
      </c>
      <c r="M6741" s="27"/>
      <c r="N6741" s="5" t="s">
        <v>59414</v>
      </c>
      <c r="O6741" s="5" t="str">
        <v>7816424590</v>
      </c>
      <c r="P6741" s="27">
        <v>271473000</v>
      </c>
      <c r="Q6741" s="5" t="s">
        <v>49009</v>
      </c>
      <c r="R6741" s="5"/>
      <c r="S6741" s="5" t="s">
        <v>49028</v>
      </c>
      <c r="T6741" s="28">
        <v>1286045000</v>
      </c>
      <c r="U6741" s="28">
        <v>1844655000</v>
      </c>
      <c r="V6741" s="28">
        <v>736645000</v>
      </c>
      <c r="W6741" s="28"/>
      <c r="X6741" s="28">
        <v>39070000</v>
      </c>
      <c r="Y6741" s="28">
        <v>6500811000</v>
      </c>
      <c r="Z6741" s="28">
        <v>1725828000</v>
      </c>
      <c r="AA6741" s="28"/>
      <c r="AB6741" s="28">
        <v>1700000000</v>
      </c>
      <c r="AC6741" s="28">
        <v>4417962000</v>
      </c>
      <c r="AD6741" s="28">
        <v>1998189000</v>
      </c>
      <c r="AE6741" s="28">
        <v>10923768000</v>
      </c>
      <c r="AF6741" s="28">
        <v>-2312137000</v>
      </c>
      <c r="AG6741" s="11"/>
    </row>
    <row r="6742">
      <c r="A6742" s="7" t="s">
        <v>8307</v>
      </c>
      <c r="B6742" s="5" t="s">
        <v>16250</v>
      </c>
      <c r="C6742" s="5" t="s">
        <v>23894</v>
      </c>
      <c r="D6742" s="5" t="str">
        <v>235301354504</v>
      </c>
      <c r="F6742" s="5"/>
      <c r="G6742" s="5"/>
      <c r="H6742" s="26">
        <v>19.5</v>
      </c>
      <c r="I6742" s="5" t="s">
        <v>44976</v>
      </c>
      <c r="J6742" s="5" t="s">
        <v>26846</v>
      </c>
      <c r="K6742" s="5" t="s">
        <v>344</v>
      </c>
      <c r="L6742" s="5"/>
      <c r="M6742" s="27"/>
      <c r="N6742" s="5" t="s">
        <v>59415</v>
      </c>
      <c r="O6742" s="5" t="str">
        <v>2353019465</v>
      </c>
      <c r="P6742" s="27">
        <v>10000</v>
      </c>
      <c r="Q6742" s="5"/>
      <c r="R6742" s="5"/>
      <c r="S6742" s="5" t="s">
        <v>49425</v>
      </c>
      <c r="T6742" s="28"/>
      <c r="U6742" s="28"/>
      <c r="V6742" s="28"/>
      <c r="W6742" s="28"/>
      <c r="X6742" s="28">
        <v>290000</v>
      </c>
      <c r="Y6742" s="28">
        <v>290000</v>
      </c>
      <c r="Z6742" s="28">
        <v>280000</v>
      </c>
      <c r="AA6742" s="28"/>
      <c r="AB6742" s="28"/>
      <c r="AC6742" s="28"/>
      <c r="AD6742" s="28">
        <v>290000</v>
      </c>
      <c r="AE6742" s="28">
        <v>14761658000</v>
      </c>
      <c r="AF6742" s="28">
        <v>759941000</v>
      </c>
      <c r="AG6742" s="11"/>
    </row>
    <row r="6743">
      <c r="A6743" s="7" t="s">
        <v>8308</v>
      </c>
      <c r="B6743" s="5" t="s">
        <v>16251</v>
      </c>
      <c r="C6743" s="5" t="s">
        <v>23895</v>
      </c>
      <c r="D6743" s="5" t="str">
        <v>381103889047</v>
      </c>
      <c r="E6743" s="0" t="e">
        <f>+7 (3012) 204034
+7 (382) 2652870
+7 (383) 3637201
+7 (384) 2900388
+7 (3843) 200388
+7 (385) 2556722
+7 (391) 2040081
+7 (391) 2737181
+7 (39155) 73838
+7 (395) 2271739
+7 (3952) 199025
+7 (3952) 482460
+7 (3952) 482462
+7 (3953) 371372
+7 (3953) 372373</f>
        <v>#NAME?</v>
      </c>
      <c r="F6743" s="5" t="s">
        <v>44977</v>
      </c>
      <c r="G6743" s="5" t="s">
        <v>44978</v>
      </c>
      <c r="H6743" s="26">
        <v>20</v>
      </c>
      <c r="I6743" s="5" t="s">
        <v>44979</v>
      </c>
      <c r="J6743" s="5" t="s">
        <v>25842</v>
      </c>
      <c r="K6743" s="5" t="s">
        <v>344</v>
      </c>
      <c r="L6743" s="5" t="s">
        <v>44980</v>
      </c>
      <c r="M6743" s="27"/>
      <c r="N6743" s="5" t="s">
        <v>59416</v>
      </c>
      <c r="O6743" s="5" t="str">
        <v>3812073921</v>
      </c>
      <c r="P6743" s="27">
        <v>10000</v>
      </c>
      <c r="Q6743" s="5" t="s">
        <v>59417</v>
      </c>
      <c r="R6743" s="5"/>
      <c r="S6743" s="5" t="s">
        <v>59418</v>
      </c>
      <c r="T6743" s="28">
        <v>1399818000</v>
      </c>
      <c r="U6743" s="28"/>
      <c r="V6743" s="28">
        <v>1366474000</v>
      </c>
      <c r="W6743" s="28"/>
      <c r="X6743" s="28">
        <v>252085000</v>
      </c>
      <c r="Y6743" s="28">
        <v>5278174000</v>
      </c>
      <c r="Z6743" s="28">
        <v>2902460000</v>
      </c>
      <c r="AA6743" s="28">
        <v>125000000</v>
      </c>
      <c r="AB6743" s="28">
        <v>1375806000</v>
      </c>
      <c r="AC6743" s="28">
        <v>2243674000</v>
      </c>
      <c r="AD6743" s="28">
        <v>2902472000</v>
      </c>
      <c r="AE6743" s="28">
        <v>7838441000</v>
      </c>
      <c r="AF6743" s="28">
        <v>935471000</v>
      </c>
      <c r="AG6743" s="11"/>
    </row>
    <row r="6744">
      <c r="A6744" s="7" t="s">
        <v>8309</v>
      </c>
      <c r="B6744" s="5" t="s">
        <v>16252</v>
      </c>
      <c r="C6744" s="5" t="s">
        <v>23896</v>
      </c>
      <c r="D6744" s="5" t="str">
        <v>244702200753</v>
      </c>
      <c r="F6744" s="5"/>
      <c r="G6744" s="5"/>
      <c r="H6744" s="26">
        <v>4</v>
      </c>
      <c r="I6744" s="5" t="s">
        <v>44981</v>
      </c>
      <c r="J6744" s="5" t="s">
        <v>26951</v>
      </c>
      <c r="K6744" s="5" t="s">
        <v>380</v>
      </c>
      <c r="L6744" s="5"/>
      <c r="M6744" s="27">
        <v>128001326</v>
      </c>
      <c r="N6744" s="5"/>
      <c r="O6744" s="5" t="str">
        <v>3808268445</v>
      </c>
      <c r="P6744" s="27">
        <v>10000</v>
      </c>
      <c r="Q6744" s="5"/>
      <c r="R6744" s="5" t="s">
        <v>59420</v>
      </c>
      <c r="S6744" s="5" t="s">
        <v>57805</v>
      </c>
      <c r="T6744" s="28">
        <v>2209739000</v>
      </c>
      <c r="U6744" s="28"/>
      <c r="V6744" s="28">
        <v>2873497000</v>
      </c>
      <c r="W6744" s="28">
        <v>787817000</v>
      </c>
      <c r="X6744" s="28">
        <v>125890000</v>
      </c>
      <c r="Y6744" s="28">
        <v>8856506000</v>
      </c>
      <c r="Z6744" s="28">
        <v>-1207923000</v>
      </c>
      <c r="AA6744" s="28">
        <v>3478350000</v>
      </c>
      <c r="AB6744" s="28">
        <v>7913000</v>
      </c>
      <c r="AC6744" s="28">
        <v>5666413000</v>
      </c>
      <c r="AD6744" s="28">
        <v>-1207913000</v>
      </c>
      <c r="AE6744" s="28">
        <v>11407089000</v>
      </c>
      <c r="AF6744" s="28">
        <v>-1699580000</v>
      </c>
      <c r="AG6744" s="11"/>
    </row>
    <row r="6745">
      <c r="A6745" s="7" t="s">
        <v>8310</v>
      </c>
      <c r="B6745" s="5" t="s">
        <v>16253</v>
      </c>
      <c r="C6745" s="5" t="s">
        <v>23897</v>
      </c>
      <c r="D6745" s="5"/>
      <c r="E6745" s="0" t="e">
        <f>+7 (3422) 190748
+7 (343) 3858011
+7 (3472) 921568
+7 (381) 2367934
+7 (383) 2919096
+7 (3952) 404542
+7 (495) 7441162
+7 (812) 6330386
+7 (8432) 519639
+7 (846) 9720170
+7 (8632) 296877
+7 (937) 4049500</f>
        <v>#NAME?</v>
      </c>
      <c r="F6745" s="5" t="s">
        <v>44982</v>
      </c>
      <c r="G6745" s="5"/>
      <c r="H6745" s="26">
        <v>11</v>
      </c>
      <c r="I6745" s="5" t="s">
        <v>44983</v>
      </c>
      <c r="J6745" s="5" t="s">
        <v>25287</v>
      </c>
      <c r="K6745" s="5" t="s">
        <v>344</v>
      </c>
      <c r="L6745" s="5" t="s">
        <v>41355</v>
      </c>
      <c r="M6745" s="27"/>
      <c r="N6745" s="5"/>
      <c r="O6745" s="5" t="str">
        <v>5027182999</v>
      </c>
      <c r="P6745" s="27">
        <v>15000</v>
      </c>
      <c r="Q6745" s="5" t="s">
        <v>49009</v>
      </c>
      <c r="R6745" s="5"/>
      <c r="S6745" s="5" t="s">
        <v>49420</v>
      </c>
      <c r="T6745" s="28">
        <v>44829000</v>
      </c>
      <c r="U6745" s="28"/>
      <c r="V6745" s="28">
        <v>821150000</v>
      </c>
      <c r="W6745" s="28">
        <v>376241000</v>
      </c>
      <c r="X6745" s="28">
        <v>28529000</v>
      </c>
      <c r="Y6745" s="28">
        <v>2171970000</v>
      </c>
      <c r="Z6745" s="28">
        <v>299777000</v>
      </c>
      <c r="AA6745" s="28"/>
      <c r="AB6745" s="28">
        <v>762246000</v>
      </c>
      <c r="AC6745" s="28">
        <v>1826070000</v>
      </c>
      <c r="AD6745" s="28">
        <v>299792000</v>
      </c>
      <c r="AE6745" s="28">
        <v>4138555000</v>
      </c>
      <c r="AF6745" s="28">
        <v>167226000</v>
      </c>
      <c r="AG6745" s="11"/>
    </row>
    <row r="6746">
      <c r="A6746" s="7" t="s">
        <v>8311</v>
      </c>
      <c r="B6746" s="5" t="s">
        <v>16254</v>
      </c>
      <c r="C6746" s="5" t="s">
        <v>23898</v>
      </c>
      <c r="D6746" s="5" t="str">
        <v>440103795429</v>
      </c>
      <c r="E6746" s="0" t="e">
        <f>+7 (910) 6612999
+7 (910) 9560286</f>
        <v>#NAME?</v>
      </c>
      <c r="F6746" s="5" t="s">
        <v>44984</v>
      </c>
      <c r="G6746" s="5" t="s">
        <v>44985</v>
      </c>
      <c r="H6746" s="26">
        <v>17</v>
      </c>
      <c r="I6746" s="5" t="s">
        <v>44986</v>
      </c>
      <c r="J6746" s="5" t="s">
        <v>26511</v>
      </c>
      <c r="K6746" s="5" t="s">
        <v>344</v>
      </c>
      <c r="L6746" s="5"/>
      <c r="M6746" s="27"/>
      <c r="N6746" s="5" t="s">
        <v>59421</v>
      </c>
      <c r="O6746" s="5" t="str">
        <v>4401060075</v>
      </c>
      <c r="P6746" s="27">
        <v>10000</v>
      </c>
      <c r="Q6746" s="5" t="s">
        <v>694</v>
      </c>
      <c r="R6746" s="5"/>
      <c r="S6746" s="5" t="s">
        <v>59422</v>
      </c>
      <c r="T6746" s="28">
        <v>135820000</v>
      </c>
      <c r="U6746" s="28"/>
      <c r="V6746" s="28">
        <v>501286000</v>
      </c>
      <c r="W6746" s="28"/>
      <c r="X6746" s="28">
        <v>3181000</v>
      </c>
      <c r="Y6746" s="28">
        <v>1027339000</v>
      </c>
      <c r="Z6746" s="28">
        <v>238720000</v>
      </c>
      <c r="AA6746" s="28">
        <v>340000000</v>
      </c>
      <c r="AB6746" s="28">
        <v>2965000</v>
      </c>
      <c r="AC6746" s="28">
        <v>448563000</v>
      </c>
      <c r="AD6746" s="28">
        <v>238730000</v>
      </c>
      <c r="AE6746" s="28">
        <v>3174096000</v>
      </c>
      <c r="AF6746" s="28">
        <v>8055000</v>
      </c>
      <c r="AG6746" s="11"/>
    </row>
    <row r="6747">
      <c r="A6747" s="7" t="s">
        <v>8312</v>
      </c>
      <c r="B6747" s="5" t="s">
        <v>16255</v>
      </c>
      <c r="C6747" s="5" t="s">
        <v>23899</v>
      </c>
      <c r="D6747" s="5" t="str">
        <v>470706930902</v>
      </c>
      <c r="E6747" s="0" t="e">
        <f>+7 (495) 6481000</f>
        <v>#NAME?</v>
      </c>
      <c r="F6747" s="5" t="s">
        <v>44987</v>
      </c>
      <c r="G6747" s="5"/>
      <c r="H6747" s="26">
        <v>6</v>
      </c>
      <c r="I6747" s="5" t="s">
        <v>44988</v>
      </c>
      <c r="J6747" s="5" t="s">
        <v>27783</v>
      </c>
      <c r="K6747" s="5" t="s">
        <v>344</v>
      </c>
      <c r="L6747" s="5"/>
      <c r="M6747" s="27"/>
      <c r="N6747" s="5" t="s">
        <v>59423</v>
      </c>
      <c r="O6747" s="5" t="str">
        <v>7743200179</v>
      </c>
      <c r="P6747" s="27">
        <v>10000</v>
      </c>
      <c r="Q6747" s="5"/>
      <c r="R6747" s="5"/>
      <c r="S6747" s="5" t="s">
        <v>49499</v>
      </c>
      <c r="T6747" s="28">
        <v>121194000</v>
      </c>
      <c r="U6747" s="28"/>
      <c r="V6747" s="28">
        <v>613488000</v>
      </c>
      <c r="W6747" s="28"/>
      <c r="X6747" s="28">
        <v>370783000</v>
      </c>
      <c r="Y6747" s="28">
        <v>2660183000</v>
      </c>
      <c r="Z6747" s="28">
        <v>-2318492000</v>
      </c>
      <c r="AA6747" s="28">
        <v>1141996000</v>
      </c>
      <c r="AB6747" s="28">
        <v>7190000</v>
      </c>
      <c r="AC6747" s="28">
        <v>1225798000</v>
      </c>
      <c r="AD6747" s="28">
        <v>249068000</v>
      </c>
      <c r="AE6747" s="28">
        <v>5687680000</v>
      </c>
      <c r="AF6747" s="28">
        <v>102451000</v>
      </c>
      <c r="AG6747" s="11"/>
    </row>
    <row r="6748">
      <c r="A6748" s="7" t="s">
        <v>8313</v>
      </c>
      <c r="B6748" s="5" t="s">
        <v>16256</v>
      </c>
      <c r="C6748" s="5" t="s">
        <v>23900</v>
      </c>
      <c r="D6748" s="5" t="str">
        <v>772439661075</v>
      </c>
      <c r="F6748" s="5"/>
      <c r="G6748" s="5"/>
      <c r="H6748" s="26">
        <v>6.5</v>
      </c>
      <c r="I6748" s="5" t="s">
        <v>44989</v>
      </c>
      <c r="J6748" s="5" t="s">
        <v>881</v>
      </c>
      <c r="K6748" s="5" t="s">
        <v>344</v>
      </c>
      <c r="L6748" s="5"/>
      <c r="M6748" s="27"/>
      <c r="N6748" s="5"/>
      <c r="O6748" s="5" t="str">
        <v>7743180892</v>
      </c>
      <c r="P6748" s="27">
        <v>10000</v>
      </c>
      <c r="Q6748" s="5" t="s">
        <v>49059</v>
      </c>
      <c r="R6748" s="5"/>
      <c r="S6748" s="5" t="s">
        <v>49121</v>
      </c>
      <c r="T6748" s="28">
        <v>364523000</v>
      </c>
      <c r="U6748" s="28"/>
      <c r="V6748" s="28">
        <v>77535000</v>
      </c>
      <c r="W6748" s="28">
        <v>1146899000</v>
      </c>
      <c r="X6748" s="28">
        <v>376564000</v>
      </c>
      <c r="Y6748" s="28">
        <v>2028987000</v>
      </c>
      <c r="Z6748" s="28">
        <v>723855000</v>
      </c>
      <c r="AA6748" s="28"/>
      <c r="AB6748" s="28"/>
      <c r="AC6748" s="28">
        <v>1299420000</v>
      </c>
      <c r="AD6748" s="28">
        <v>723865000</v>
      </c>
      <c r="AE6748" s="28">
        <v>10742384000</v>
      </c>
      <c r="AF6748" s="28">
        <v>949996000</v>
      </c>
      <c r="AG6748" s="11"/>
    </row>
    <row r="6749">
      <c r="A6749" s="7" t="s">
        <v>8314</v>
      </c>
      <c r="B6749" s="5" t="s">
        <v>16257</v>
      </c>
      <c r="C6749" s="5" t="s">
        <v>23901</v>
      </c>
      <c r="D6749" s="5" t="str">
        <v>780725599046</v>
      </c>
      <c r="E6749" s="0" t="e">
        <f>+7 (800) 5504572
+7 (812) 3279374
+7 (812) 3279375</f>
        <v>#NAME?</v>
      </c>
      <c r="F6749" s="5" t="s">
        <v>44990</v>
      </c>
      <c r="G6749" s="5" t="s">
        <v>44991</v>
      </c>
      <c r="H6749" s="26">
        <v>23.5</v>
      </c>
      <c r="I6749" s="5" t="s">
        <v>44992</v>
      </c>
      <c r="J6749" s="5" t="s">
        <v>36462</v>
      </c>
      <c r="K6749" s="5" t="s">
        <v>344</v>
      </c>
      <c r="L6749" s="5" t="s">
        <v>44993</v>
      </c>
      <c r="M6749" s="27"/>
      <c r="N6749" s="5"/>
      <c r="O6749" s="5" t="str">
        <v>7810177048</v>
      </c>
      <c r="P6749" s="27">
        <v>10000</v>
      </c>
      <c r="Q6749" s="5"/>
      <c r="R6749" s="5"/>
      <c r="S6749" s="5" t="s">
        <v>49029</v>
      </c>
      <c r="T6749" s="28">
        <v>415211000</v>
      </c>
      <c r="U6749" s="28"/>
      <c r="V6749" s="28">
        <v>465904000</v>
      </c>
      <c r="W6749" s="28"/>
      <c r="X6749" s="28">
        <v>39327000</v>
      </c>
      <c r="Y6749" s="28">
        <v>1626611000</v>
      </c>
      <c r="Z6749" s="28">
        <v>377589000</v>
      </c>
      <c r="AA6749" s="28">
        <v>81800000</v>
      </c>
      <c r="AB6749" s="28">
        <v>74181000</v>
      </c>
      <c r="AC6749" s="28">
        <v>871655000</v>
      </c>
      <c r="AD6749" s="28">
        <v>377599000</v>
      </c>
      <c r="AE6749" s="28">
        <v>3046851000</v>
      </c>
      <c r="AF6749" s="28">
        <v>151034000</v>
      </c>
      <c r="AG6749" s="11"/>
    </row>
    <row r="6750">
      <c r="A6750" s="7" t="s">
        <v>8315</v>
      </c>
      <c r="B6750" s="5" t="s">
        <v>16258</v>
      </c>
      <c r="C6750" s="5" t="s">
        <v>23902</v>
      </c>
      <c r="D6750" s="5" t="str">
        <v>471004877311</v>
      </c>
      <c r="E6750" s="0" t="e">
        <f>+7 (812) 3277641
+7 (812) 3277642
+7 (925) 310909
+7 (499) 7501670
+7 (812) 3211427
+7 (812) 3271427
+7 (812) 4618998
+7 (812) 6007215</f>
        <v>#NAME?</v>
      </c>
      <c r="F6750" s="5" t="s">
        <v>44994</v>
      </c>
      <c r="G6750" s="5" t="s">
        <v>44995</v>
      </c>
      <c r="H6750" s="26">
        <v>22.5</v>
      </c>
      <c r="I6750" s="5" t="s">
        <v>44996</v>
      </c>
      <c r="J6750" s="5" t="s">
        <v>36462</v>
      </c>
      <c r="K6750" s="5" t="s">
        <v>344</v>
      </c>
      <c r="L6750" s="5" t="s">
        <v>44997</v>
      </c>
      <c r="M6750" s="27">
        <v>1065776</v>
      </c>
      <c r="N6750" s="5" t="s">
        <v>59425</v>
      </c>
      <c r="O6750" s="5" t="str">
        <v>7826053320</v>
      </c>
      <c r="P6750" s="27">
        <v>10000000</v>
      </c>
      <c r="Q6750" s="5" t="s">
        <v>49009</v>
      </c>
      <c r="R6750" s="5"/>
      <c r="S6750" s="5" t="s">
        <v>49085</v>
      </c>
      <c r="T6750" s="28">
        <v>888307000</v>
      </c>
      <c r="U6750" s="28"/>
      <c r="V6750" s="28">
        <v>897736000</v>
      </c>
      <c r="W6750" s="28">
        <v>153450000</v>
      </c>
      <c r="X6750" s="28">
        <v>257537000</v>
      </c>
      <c r="Y6750" s="28">
        <v>3600650000</v>
      </c>
      <c r="Z6750" s="28">
        <v>1872033000</v>
      </c>
      <c r="AA6750" s="28">
        <v>947149000</v>
      </c>
      <c r="AB6750" s="28">
        <v>35985000</v>
      </c>
      <c r="AC6750" s="28">
        <v>700005000</v>
      </c>
      <c r="AD6750" s="28">
        <v>1867898000</v>
      </c>
      <c r="AE6750" s="28">
        <v>8109067000</v>
      </c>
      <c r="AF6750" s="28">
        <v>1673232000</v>
      </c>
      <c r="AG6750" s="11"/>
    </row>
    <row r="6751">
      <c r="A6751" s="7" t="s">
        <v>8316</v>
      </c>
      <c r="B6751" s="5" t="s">
        <v>16259</v>
      </c>
      <c r="C6751" s="5" t="s">
        <v>23903</v>
      </c>
      <c r="D6751" s="5" t="str">
        <v>525007661735</v>
      </c>
      <c r="E6751" s="0" t="e">
        <f>+7 (831) 2361488
+7 (831) 2369588
+7 (83145) 67700
+7 (83145) 67701
+7 (83145) 67705
+7 (83145) 67707
+7 (83145) 67708
+7 (83145) 67710
+7 (83145) 67717
+7 (83145) 67718
+7 (83145) 67719
+7 (83145) 67722</f>
        <v>#NAME?</v>
      </c>
      <c r="F6751" s="5"/>
      <c r="G6751" s="5"/>
      <c r="H6751" s="26">
        <v>27</v>
      </c>
      <c r="I6751" s="5" t="s">
        <v>44998</v>
      </c>
      <c r="J6751" s="5" t="s">
        <v>27464</v>
      </c>
      <c r="K6751" s="5" t="s">
        <v>344</v>
      </c>
      <c r="L6751" s="5" t="s">
        <v>40160</v>
      </c>
      <c r="M6751" s="27">
        <v>1424936</v>
      </c>
      <c r="N6751" s="5"/>
      <c r="O6751" s="5" t="str">
        <v>5250008604</v>
      </c>
      <c r="P6751" s="27">
        <v>112489000</v>
      </c>
      <c r="Q6751" s="5" t="s">
        <v>49009</v>
      </c>
      <c r="R6751" s="5"/>
      <c r="S6751" s="5" t="s">
        <v>51151</v>
      </c>
      <c r="T6751" s="28">
        <v>1027008000</v>
      </c>
      <c r="U6751" s="28"/>
      <c r="V6751" s="28">
        <v>888493000</v>
      </c>
      <c r="W6751" s="28"/>
      <c r="X6751" s="28">
        <v>1005000</v>
      </c>
      <c r="Y6751" s="28">
        <v>2488550000</v>
      </c>
      <c r="Z6751" s="28">
        <v>727122000</v>
      </c>
      <c r="AA6751" s="28">
        <v>516813000</v>
      </c>
      <c r="AB6751" s="28">
        <v>592449000</v>
      </c>
      <c r="AC6751" s="28">
        <v>968259000</v>
      </c>
      <c r="AD6751" s="28">
        <v>1002075000</v>
      </c>
      <c r="AE6751" s="28">
        <v>10868934000</v>
      </c>
      <c r="AF6751" s="28">
        <v>424321000</v>
      </c>
      <c r="AG6751" s="11"/>
    </row>
    <row r="6752">
      <c r="A6752" s="7" t="s">
        <v>8317</v>
      </c>
      <c r="B6752" s="5" t="s">
        <v>16260</v>
      </c>
      <c r="C6752" s="5" t="s">
        <v>23904</v>
      </c>
      <c r="D6752" s="5" t="str">
        <v>312300909557</v>
      </c>
      <c r="E6752" s="0" t="e">
        <f>+7 (81369) 73914
+7 (81369) 73939</f>
        <v>#NAME?</v>
      </c>
      <c r="F6752" s="5" t="s">
        <v>44999</v>
      </c>
      <c r="G6752" s="5"/>
      <c r="H6752" s="26">
        <v>6</v>
      </c>
      <c r="I6752" s="5" t="s">
        <v>45000</v>
      </c>
      <c r="J6752" s="5" t="s">
        <v>45001</v>
      </c>
      <c r="K6752" s="5" t="s">
        <v>355</v>
      </c>
      <c r="L6752" s="5"/>
      <c r="M6752" s="27"/>
      <c r="N6752" s="5" t="s">
        <v>58633</v>
      </c>
      <c r="O6752" s="5" t="str">
        <v>4726003111</v>
      </c>
      <c r="P6752" s="27">
        <v>223310000</v>
      </c>
      <c r="Q6752" s="5" t="s">
        <v>49688</v>
      </c>
      <c r="R6752" s="5" t="s">
        <v>59426</v>
      </c>
      <c r="S6752" s="5" t="s">
        <v>59427</v>
      </c>
      <c r="T6752" s="28">
        <v>891466000</v>
      </c>
      <c r="U6752" s="28"/>
      <c r="V6752" s="28">
        <v>6702061000</v>
      </c>
      <c r="W6752" s="28"/>
      <c r="X6752" s="28">
        <v>413974000</v>
      </c>
      <c r="Y6752" s="28">
        <v>13142613000</v>
      </c>
      <c r="Z6752" s="28">
        <v>589860000</v>
      </c>
      <c r="AA6752" s="28"/>
      <c r="AB6752" s="28"/>
      <c r="AC6752" s="28">
        <v>11580775000</v>
      </c>
      <c r="AD6752" s="28">
        <v>787532000</v>
      </c>
      <c r="AE6752" s="28">
        <v>4649035000</v>
      </c>
      <c r="AF6752" s="28">
        <v>804992000</v>
      </c>
      <c r="AG6752" s="11"/>
    </row>
    <row r="6753">
      <c r="A6753" s="7" t="s">
        <v>8318</v>
      </c>
      <c r="B6753" s="5" t="s">
        <v>16261</v>
      </c>
      <c r="C6753" s="5" t="s">
        <v>23719</v>
      </c>
      <c r="D6753" s="5" t="str">
        <v>290117417938</v>
      </c>
      <c r="E6753" s="0" t="e">
        <f>+7 (818) 2437115
+7 (81838) 31124
+7 (818) 2207355
+7 (818) 2214390
+7 (818) 2287032
+7 (818) 2287035
+7 (818) 2287037
+7 (818) 2462480
+7 (818) 2462492
+7 (818) 2462496
+7 (818) 2657777
+7 (81855) 31159
+7 (81856) 21451
+7 (81856) 21634
+7 (81856) 27008</f>
        <v>#NAME?</v>
      </c>
      <c r="F6753" s="5" t="s">
        <v>45002</v>
      </c>
      <c r="G6753" s="5" t="s">
        <v>45003</v>
      </c>
      <c r="H6753" s="26">
        <v>31</v>
      </c>
      <c r="I6753" s="5"/>
      <c r="J6753" s="5" t="s">
        <v>26951</v>
      </c>
      <c r="K6753" s="5" t="s">
        <v>344</v>
      </c>
      <c r="L6753" s="5" t="s">
        <v>45004</v>
      </c>
      <c r="M6753" s="27">
        <v>3091541</v>
      </c>
      <c r="N6753" s="5" t="s">
        <v>59428</v>
      </c>
      <c r="O6753" s="5" t="str">
        <v>2901008961</v>
      </c>
      <c r="P6753" s="27">
        <v>109375000</v>
      </c>
      <c r="Q6753" s="5" t="s">
        <v>59429</v>
      </c>
      <c r="R6753" s="5" t="s">
        <v>59430</v>
      </c>
      <c r="S6753" s="5" t="s">
        <v>59431</v>
      </c>
      <c r="T6753" s="28">
        <v>5565918000</v>
      </c>
      <c r="U6753" s="28">
        <v>1671948000</v>
      </c>
      <c r="V6753" s="28">
        <v>1492541000</v>
      </c>
      <c r="W6753" s="28">
        <v>3590000</v>
      </c>
      <c r="X6753" s="28">
        <v>15335000</v>
      </c>
      <c r="Y6753" s="28">
        <v>13819085000</v>
      </c>
      <c r="Z6753" s="28">
        <v>8744232000</v>
      </c>
      <c r="AA6753" s="28">
        <v>200000000</v>
      </c>
      <c r="AB6753" s="28">
        <v>1332871000</v>
      </c>
      <c r="AC6753" s="28">
        <v>4528014000</v>
      </c>
      <c r="AD6753" s="28">
        <v>8833986000</v>
      </c>
      <c r="AE6753" s="28">
        <v>19394498000</v>
      </c>
      <c r="AF6753" s="28">
        <v>2101722000</v>
      </c>
      <c r="AG6753" s="11"/>
    </row>
    <row r="6754">
      <c r="A6754" s="7" t="s">
        <v>8319</v>
      </c>
      <c r="B6754" s="5" t="s">
        <v>13991</v>
      </c>
      <c r="C6754" s="5" t="s">
        <v>23905</v>
      </c>
      <c r="D6754" s="5" t="str">
        <v>550725101530</v>
      </c>
      <c r="E6754" s="0" t="e">
        <f>+7 (381) 2299555
+7 (381) 2925475</f>
        <v>#NAME?</v>
      </c>
      <c r="F6754" s="5" t="s">
        <v>45005</v>
      </c>
      <c r="G6754" s="5" t="s">
        <v>45006</v>
      </c>
      <c r="H6754" s="26">
        <v>7</v>
      </c>
      <c r="I6754" s="5" t="s">
        <v>45007</v>
      </c>
      <c r="J6754" s="5" t="s">
        <v>27296</v>
      </c>
      <c r="K6754" s="5" t="s">
        <v>344</v>
      </c>
      <c r="L6754" s="5" t="s">
        <v>45008</v>
      </c>
      <c r="M6754" s="27"/>
      <c r="N6754" s="5"/>
      <c r="O6754" s="5" t="str">
        <v>5501161569</v>
      </c>
      <c r="P6754" s="27">
        <v>10000</v>
      </c>
      <c r="Q6754" s="5" t="s">
        <v>49059</v>
      </c>
      <c r="R6754" s="5"/>
      <c r="S6754" s="5" t="s">
        <v>49010</v>
      </c>
      <c r="T6754" s="28">
        <v>440000</v>
      </c>
      <c r="U6754" s="28"/>
      <c r="V6754" s="28">
        <v>2530524000</v>
      </c>
      <c r="W6754" s="28"/>
      <c r="X6754" s="28">
        <v>615043000</v>
      </c>
      <c r="Y6754" s="28">
        <v>3254714000</v>
      </c>
      <c r="Z6754" s="28">
        <v>1033697000</v>
      </c>
      <c r="AA6754" s="28"/>
      <c r="AB6754" s="28">
        <v>1602367000</v>
      </c>
      <c r="AC6754" s="28">
        <v>2197659000</v>
      </c>
      <c r="AD6754" s="28">
        <v>1033707000</v>
      </c>
      <c r="AE6754" s="28">
        <v>14419106000</v>
      </c>
      <c r="AF6754" s="28">
        <v>415790000</v>
      </c>
      <c r="AG6754" s="11"/>
    </row>
    <row r="6755">
      <c r="A6755" s="7" t="s">
        <v>8320</v>
      </c>
      <c r="B6755" s="5" t="s">
        <v>16262</v>
      </c>
      <c r="C6755" s="5" t="s">
        <v>23646</v>
      </c>
      <c r="D6755" s="5" t="str">
        <v>632145113984</v>
      </c>
      <c r="E6755" s="0" t="e">
        <f>+7 (499) 9991520
+7 (499) 9991521
+7 (800) 5550375
+7 (813) 6731500
+7 (81367) 31597
+7 (81367) 31612
+7 (81367) 31680</f>
        <v>#NAME?</v>
      </c>
      <c r="F6755" s="5" t="s">
        <v>45009</v>
      </c>
      <c r="G6755" s="5"/>
      <c r="H6755" s="26">
        <v>8.5</v>
      </c>
      <c r="I6755" s="5"/>
      <c r="J6755" s="5" t="s">
        <v>32037</v>
      </c>
      <c r="K6755" s="5" t="s">
        <v>380</v>
      </c>
      <c r="L6755" s="5"/>
      <c r="M6755" s="27">
        <v>17402</v>
      </c>
      <c r="N6755" s="5"/>
      <c r="O6755" s="5" t="str">
        <v>4715029213</v>
      </c>
      <c r="P6755" s="27">
        <v>10000</v>
      </c>
      <c r="Q6755" s="5" t="s">
        <v>49009</v>
      </c>
      <c r="R6755" s="5"/>
      <c r="S6755" s="5" t="s">
        <v>49010</v>
      </c>
      <c r="T6755" s="28">
        <v>460379000</v>
      </c>
      <c r="U6755" s="28"/>
      <c r="V6755" s="28">
        <v>3050722000</v>
      </c>
      <c r="W6755" s="28"/>
      <c r="X6755" s="28">
        <v>4065000</v>
      </c>
      <c r="Y6755" s="28">
        <v>4095633000</v>
      </c>
      <c r="Z6755" s="28">
        <v>-1251810000</v>
      </c>
      <c r="AA6755" s="28"/>
      <c r="AB6755" s="28"/>
      <c r="AC6755" s="28">
        <v>4857284000</v>
      </c>
      <c r="AD6755" s="28">
        <v>-772300000</v>
      </c>
      <c r="AE6755" s="28">
        <v>4257793000</v>
      </c>
      <c r="AF6755" s="28">
        <v>-885131000</v>
      </c>
      <c r="AG6755" s="11"/>
    </row>
    <row r="6756">
      <c r="A6756" s="7" t="s">
        <v>8321</v>
      </c>
      <c r="B6756" s="5" t="s">
        <v>16263</v>
      </c>
      <c r="C6756" s="5" t="s">
        <v>23906</v>
      </c>
      <c r="D6756" s="5" t="str">
        <v>233700571440</v>
      </c>
      <c r="E6756" s="0" t="e">
        <f>+7 (861) 2538052
+7 (86144) 55391</f>
        <v>#NAME?</v>
      </c>
      <c r="F6756" s="5" t="s">
        <v>45010</v>
      </c>
      <c r="G6756" s="5" t="s">
        <v>45011</v>
      </c>
      <c r="H6756" s="26">
        <v>19.5</v>
      </c>
      <c r="I6756" s="5" t="s">
        <v>45012</v>
      </c>
      <c r="J6756" s="5" t="s">
        <v>26180</v>
      </c>
      <c r="K6756" s="5" t="s">
        <v>344</v>
      </c>
      <c r="L6756" s="5"/>
      <c r="M6756" s="27">
        <v>5223087</v>
      </c>
      <c r="N6756" s="5"/>
      <c r="O6756" s="5" t="str">
        <v>2354008184</v>
      </c>
      <c r="P6756" s="27">
        <v>6100000</v>
      </c>
      <c r="Q6756" s="5"/>
      <c r="R6756" s="5"/>
      <c r="S6756" s="5" t="s">
        <v>50404</v>
      </c>
      <c r="T6756" s="28">
        <v>3044000</v>
      </c>
      <c r="U6756" s="28"/>
      <c r="V6756" s="28">
        <v>295310000</v>
      </c>
      <c r="W6756" s="28"/>
      <c r="X6756" s="28">
        <v>1913907000</v>
      </c>
      <c r="Y6756" s="28">
        <v>2305578000</v>
      </c>
      <c r="Z6756" s="28">
        <v>2069550000</v>
      </c>
      <c r="AA6756" s="28"/>
      <c r="AB6756" s="28"/>
      <c r="AC6756" s="28">
        <v>228834000</v>
      </c>
      <c r="AD6756" s="28">
        <v>2075650000</v>
      </c>
      <c r="AE6756" s="28">
        <v>3414537000</v>
      </c>
      <c r="AF6756" s="28">
        <v>65819000</v>
      </c>
      <c r="AG6756" s="11"/>
    </row>
    <row r="6757">
      <c r="A6757" s="7" t="s">
        <v>8322</v>
      </c>
      <c r="B6757" s="5" t="s">
        <v>16264</v>
      </c>
      <c r="C6757" s="5" t="s">
        <v>23907</v>
      </c>
      <c r="D6757" s="5" t="str">
        <v>525616842000</v>
      </c>
      <c r="E6757" s="0" t="e">
        <f>+7 (831) 2201353
+7 (831) 2999301
+7 (831) 4107066</f>
        <v>#NAME?</v>
      </c>
      <c r="F6757" s="5" t="s">
        <v>45013</v>
      </c>
      <c r="G6757" s="5" t="s">
        <v>45014</v>
      </c>
      <c r="H6757" s="26">
        <v>11</v>
      </c>
      <c r="I6757" s="5" t="s">
        <v>44781</v>
      </c>
      <c r="J6757" s="5" t="s">
        <v>33185</v>
      </c>
      <c r="K6757" s="5" t="s">
        <v>344</v>
      </c>
      <c r="L6757" s="5" t="s">
        <v>45015</v>
      </c>
      <c r="M6757" s="27">
        <v>107824</v>
      </c>
      <c r="N6757" s="5"/>
      <c r="O6757" s="5" t="str">
        <v>5256109013</v>
      </c>
      <c r="P6757" s="27">
        <v>15000</v>
      </c>
      <c r="Q6757" s="5"/>
      <c r="R6757" s="5"/>
      <c r="S6757" s="5" t="s">
        <v>59432</v>
      </c>
      <c r="T6757" s="28">
        <v>2698968000</v>
      </c>
      <c r="U6757" s="28">
        <v>72425000</v>
      </c>
      <c r="V6757" s="28">
        <v>988000000</v>
      </c>
      <c r="W6757" s="28">
        <v>833000</v>
      </c>
      <c r="X6757" s="28">
        <v>4536000</v>
      </c>
      <c r="Y6757" s="28">
        <v>3920366000</v>
      </c>
      <c r="Z6757" s="28">
        <v>2063632000</v>
      </c>
      <c r="AA6757" s="28"/>
      <c r="AB6757" s="28">
        <v>963426000</v>
      </c>
      <c r="AC6757" s="28">
        <v>1379789000</v>
      </c>
      <c r="AD6757" s="28">
        <v>2063647000</v>
      </c>
      <c r="AE6757" s="28">
        <v>3120029000</v>
      </c>
      <c r="AF6757" s="28">
        <v>-96257000</v>
      </c>
      <c r="AG6757" s="11"/>
    </row>
    <row r="6758">
      <c r="A6758" s="7" t="s">
        <v>8323</v>
      </c>
      <c r="B6758" s="5" t="s">
        <v>16265</v>
      </c>
      <c r="C6758" s="5" t="s">
        <v>23908</v>
      </c>
      <c r="D6758" s="5" t="str">
        <v>782507951800</v>
      </c>
      <c r="F6758" s="5" t="s">
        <v>45016</v>
      </c>
      <c r="G6758" s="5"/>
      <c r="H6758" s="26">
        <v>14</v>
      </c>
      <c r="I6758" s="5" t="s">
        <v>45017</v>
      </c>
      <c r="J6758" s="5" t="s">
        <v>28927</v>
      </c>
      <c r="K6758" s="5" t="s">
        <v>344</v>
      </c>
      <c r="L6758" s="5" t="s">
        <v>45018</v>
      </c>
      <c r="M6758" s="27"/>
      <c r="N6758" s="5" t="s">
        <v>59433</v>
      </c>
      <c r="O6758" s="5" t="str">
        <v>4705044903</v>
      </c>
      <c r="P6758" s="27">
        <v>10000</v>
      </c>
      <c r="Q6758" s="5" t="s">
        <v>59434</v>
      </c>
      <c r="R6758" s="5"/>
      <c r="S6758" s="5" t="s">
        <v>49020</v>
      </c>
      <c r="T6758" s="28">
        <v>16408000</v>
      </c>
      <c r="U6758" s="28"/>
      <c r="V6758" s="28">
        <v>376302000</v>
      </c>
      <c r="W6758" s="28">
        <v>121500000</v>
      </c>
      <c r="X6758" s="28">
        <v>10384000</v>
      </c>
      <c r="Y6758" s="28">
        <v>1245214000</v>
      </c>
      <c r="Z6758" s="28">
        <v>1090575000</v>
      </c>
      <c r="AA6758" s="28"/>
      <c r="AB6758" s="28"/>
      <c r="AC6758" s="28">
        <v>154629000</v>
      </c>
      <c r="AD6758" s="28">
        <v>1090585000</v>
      </c>
      <c r="AE6758" s="28">
        <v>4476738000</v>
      </c>
      <c r="AF6758" s="28">
        <v>314004000</v>
      </c>
      <c r="AG6758" s="11"/>
    </row>
    <row r="6759">
      <c r="A6759" s="7" t="s">
        <v>8324</v>
      </c>
      <c r="B6759" s="5" t="s">
        <v>16266</v>
      </c>
      <c r="C6759" s="5" t="s">
        <v>23909</v>
      </c>
      <c r="D6759" s="5" t="str">
        <v>450114447719</v>
      </c>
      <c r="E6759" s="0" t="e">
        <f>+7 (495) 6617103
+7 (495) 9814833</f>
        <v>#NAME?</v>
      </c>
      <c r="F6759" s="5" t="s">
        <v>45019</v>
      </c>
      <c r="G6759" s="5" t="s">
        <v>45020</v>
      </c>
      <c r="H6759" s="26">
        <v>10</v>
      </c>
      <c r="I6759" s="5" t="s">
        <v>45021</v>
      </c>
      <c r="J6759" s="5" t="s">
        <v>373</v>
      </c>
      <c r="K6759" s="5" t="s">
        <v>344</v>
      </c>
      <c r="L6759" s="5" t="s">
        <v>35106</v>
      </c>
      <c r="M6759" s="27"/>
      <c r="N6759" s="5"/>
      <c r="O6759" s="5" t="str">
        <v>7729733859</v>
      </c>
      <c r="P6759" s="27">
        <v>20000</v>
      </c>
      <c r="Q6759" s="5" t="s">
        <v>447</v>
      </c>
      <c r="R6759" s="5"/>
      <c r="S6759" s="5" t="s">
        <v>59435</v>
      </c>
      <c r="T6759" s="28">
        <v>32820000</v>
      </c>
      <c r="U6759" s="28">
        <v>2000</v>
      </c>
      <c r="V6759" s="28">
        <v>351082000</v>
      </c>
      <c r="W6759" s="28">
        <v>82954000</v>
      </c>
      <c r="X6759" s="28">
        <v>10885000</v>
      </c>
      <c r="Y6759" s="28">
        <v>791398000</v>
      </c>
      <c r="Z6759" s="28">
        <v>181031000</v>
      </c>
      <c r="AA6759" s="28"/>
      <c r="AB6759" s="28">
        <v>220426000</v>
      </c>
      <c r="AC6759" s="28">
        <v>587864000</v>
      </c>
      <c r="AD6759" s="28">
        <v>181051000</v>
      </c>
      <c r="AE6759" s="28">
        <v>13252135000</v>
      </c>
      <c r="AF6759" s="28">
        <v>76134000</v>
      </c>
      <c r="AG6759" s="11"/>
    </row>
    <row r="6760">
      <c r="A6760" s="7" t="s">
        <v>8325</v>
      </c>
      <c r="B6760" s="5" t="s">
        <v>16267</v>
      </c>
      <c r="C6760" s="5" t="s">
        <v>23910</v>
      </c>
      <c r="D6760" s="5" t="str">
        <v>161603297072</v>
      </c>
      <c r="E6760" s="0" t="e">
        <f>+7 (343) 3517598
+7 (3472) 645
+7 (495) 7825016
+7 (800) 7009710
+7 (8432) 39271
+7 (8435) 5410
+7 (903) 3530148
+7 (904) 7621139
+7 (905) 7566774
+7 (912) 343866
+7 (912) 6912049
+7 (916) 3664586
+7 (917) 2608868
+7 (917) 3408777
+7 (925) 3460200</f>
        <v>#NAME?</v>
      </c>
      <c r="F6760" s="5"/>
      <c r="G6760" s="5" t="s">
        <v>45022</v>
      </c>
      <c r="H6760" s="26">
        <v>8</v>
      </c>
      <c r="I6760" s="5" t="s">
        <v>45023</v>
      </c>
      <c r="J6760" s="5" t="s">
        <v>25337</v>
      </c>
      <c r="K6760" s="5" t="s">
        <v>344</v>
      </c>
      <c r="L6760" s="5" t="s">
        <v>45024</v>
      </c>
      <c r="M6760" s="27">
        <v>7290000</v>
      </c>
      <c r="N6760" s="5" t="s">
        <v>59436</v>
      </c>
      <c r="O6760" s="5" t="str">
        <v>1655324760</v>
      </c>
      <c r="P6760" s="27">
        <v>500000</v>
      </c>
      <c r="Q6760" s="5" t="s">
        <v>59437</v>
      </c>
      <c r="R6760" s="5"/>
      <c r="S6760" s="5" t="s">
        <v>51668</v>
      </c>
      <c r="T6760" s="28">
        <v>39952000</v>
      </c>
      <c r="U6760" s="28"/>
      <c r="V6760" s="28">
        <v>1021129000</v>
      </c>
      <c r="W6760" s="28">
        <v>90266000</v>
      </c>
      <c r="X6760" s="28">
        <v>140083000</v>
      </c>
      <c r="Y6760" s="28">
        <v>2070875000</v>
      </c>
      <c r="Z6760" s="28">
        <v>1062676000</v>
      </c>
      <c r="AA6760" s="28"/>
      <c r="AB6760" s="28">
        <v>4600000</v>
      </c>
      <c r="AC6760" s="28">
        <v>1002525000</v>
      </c>
      <c r="AD6760" s="28">
        <v>1063176000</v>
      </c>
      <c r="AE6760" s="28">
        <v>4269427000</v>
      </c>
      <c r="AF6760" s="28">
        <v>379910000</v>
      </c>
      <c r="AG6760" s="11"/>
    </row>
    <row r="6761">
      <c r="A6761" s="7" t="s">
        <v>8326</v>
      </c>
      <c r="B6761" s="5" t="s">
        <v>16268</v>
      </c>
      <c r="C6761" s="5" t="s">
        <v>23911</v>
      </c>
      <c r="D6761" s="5" t="str">
        <v>026809218741</v>
      </c>
      <c r="E6761" s="0" t="e">
        <f>+7 (8452) 738588</f>
        <v>#NAME?</v>
      </c>
      <c r="F6761" s="5"/>
      <c r="G6761" s="5"/>
      <c r="H6761" s="26">
        <v>4</v>
      </c>
      <c r="I6761" s="5" t="s">
        <v>45025</v>
      </c>
      <c r="J6761" s="5" t="s">
        <v>373</v>
      </c>
      <c r="K6761" s="5" t="s">
        <v>355</v>
      </c>
      <c r="L6761" s="5" t="s">
        <v>45026</v>
      </c>
      <c r="M6761" s="27">
        <v>112000</v>
      </c>
      <c r="N6761" s="5"/>
      <c r="O6761" s="5" t="str">
        <v>6451015113</v>
      </c>
      <c r="P6761" s="27">
        <v>10000</v>
      </c>
      <c r="Q6761" s="5" t="s">
        <v>49057</v>
      </c>
      <c r="R6761" s="5"/>
      <c r="S6761" s="5" t="s">
        <v>59438</v>
      </c>
      <c r="T6761" s="28">
        <v>12480000</v>
      </c>
      <c r="U6761" s="28"/>
      <c r="V6761" s="28">
        <v>378886000</v>
      </c>
      <c r="W6761" s="28"/>
      <c r="X6761" s="28">
        <v>22000</v>
      </c>
      <c r="Y6761" s="28">
        <v>516076000</v>
      </c>
      <c r="Z6761" s="28">
        <v>2459000</v>
      </c>
      <c r="AA6761" s="28"/>
      <c r="AB6761" s="28">
        <v>297200000</v>
      </c>
      <c r="AC6761" s="28">
        <v>503792000</v>
      </c>
      <c r="AD6761" s="28">
        <v>2469000</v>
      </c>
      <c r="AE6761" s="28">
        <v>4067408000</v>
      </c>
      <c r="AF6761" s="28">
        <v>2431000</v>
      </c>
      <c r="AG6761" s="11"/>
    </row>
    <row r="6762">
      <c r="A6762" s="7" t="s">
        <v>8327</v>
      </c>
      <c r="B6762" s="5" t="s">
        <v>16269</v>
      </c>
      <c r="C6762" s="5" t="s">
        <v>23912</v>
      </c>
      <c r="D6762" s="5" t="str">
        <v>690204742759</v>
      </c>
      <c r="E6762" s="0" t="e">
        <f>+7 (3433) 892180
+7 (391) 2181638
+7 (482) 2360136
+7 (482) 2360289
+7 (482) 2360290
+7 (482) 2360343
+7 (482) 2360368
+7 (482) 2452510
+7 (482) 2535453
+7 (482) 2535454
+7 (482) 2535455
+7 (861) 2931005
+7 (906) 5501796</f>
        <v>#NAME?</v>
      </c>
      <c r="F6762" s="5" t="s">
        <v>45027</v>
      </c>
      <c r="G6762" s="5" t="s">
        <v>45028</v>
      </c>
      <c r="H6762" s="26">
        <v>8</v>
      </c>
      <c r="I6762" s="5" t="s">
        <v>45029</v>
      </c>
      <c r="J6762" s="5" t="s">
        <v>25259</v>
      </c>
      <c r="K6762" s="5" t="s">
        <v>344</v>
      </c>
      <c r="L6762" s="5" t="s">
        <v>45030</v>
      </c>
      <c r="M6762" s="27"/>
      <c r="N6762" s="5"/>
      <c r="O6762" s="5" t="str">
        <v>6950234713</v>
      </c>
      <c r="P6762" s="27">
        <v>500000</v>
      </c>
      <c r="Q6762" s="5" t="s">
        <v>49009</v>
      </c>
      <c r="R6762" s="5"/>
      <c r="S6762" s="5" t="s">
        <v>49980</v>
      </c>
      <c r="T6762" s="28">
        <v>1185193000</v>
      </c>
      <c r="U6762" s="28"/>
      <c r="V6762" s="28">
        <v>356139000</v>
      </c>
      <c r="W6762" s="28"/>
      <c r="X6762" s="28">
        <v>341948000</v>
      </c>
      <c r="Y6762" s="28">
        <v>2123831000</v>
      </c>
      <c r="Z6762" s="28">
        <v>917901000</v>
      </c>
      <c r="AA6762" s="28">
        <v>377171000</v>
      </c>
      <c r="AB6762" s="28"/>
      <c r="AC6762" s="28">
        <v>720375000</v>
      </c>
      <c r="AD6762" s="28">
        <v>918426000</v>
      </c>
      <c r="AE6762" s="28">
        <v>4916272000</v>
      </c>
      <c r="AF6762" s="28">
        <v>154508000</v>
      </c>
      <c r="AG6762" s="11"/>
    </row>
    <row r="6763">
      <c r="A6763" s="7" t="s">
        <v>8328</v>
      </c>
      <c r="B6763" s="5" t="s">
        <v>16270</v>
      </c>
      <c r="C6763" s="5" t="s">
        <v>23913</v>
      </c>
      <c r="D6763" s="5"/>
      <c r="E6763" s="0" t="e">
        <f>+7 (351) 2161970</f>
        <v>#NAME?</v>
      </c>
      <c r="F6763" s="5"/>
      <c r="G6763" s="5"/>
      <c r="H6763" s="26">
        <v>10</v>
      </c>
      <c r="I6763" s="5" t="s">
        <v>45031</v>
      </c>
      <c r="J6763" s="5" t="s">
        <v>25219</v>
      </c>
      <c r="K6763" s="5" t="s">
        <v>344</v>
      </c>
      <c r="L6763" s="5" t="s">
        <v>45032</v>
      </c>
      <c r="M6763" s="27">
        <v>45142</v>
      </c>
      <c r="N6763" s="5"/>
      <c r="O6763" s="5" t="str">
        <v>7422049790</v>
      </c>
      <c r="P6763" s="27">
        <v>250000</v>
      </c>
      <c r="Q6763" s="5"/>
      <c r="R6763" s="5"/>
      <c r="S6763" s="5" t="s">
        <v>49110</v>
      </c>
      <c r="T6763" s="28">
        <v>948571000</v>
      </c>
      <c r="U6763" s="28">
        <v>13000</v>
      </c>
      <c r="V6763" s="28">
        <v>401667000</v>
      </c>
      <c r="W6763" s="28"/>
      <c r="X6763" s="28">
        <v>80080000</v>
      </c>
      <c r="Y6763" s="28">
        <v>1903582000</v>
      </c>
      <c r="Z6763" s="28">
        <v>125834000</v>
      </c>
      <c r="AA6763" s="28"/>
      <c r="AB6763" s="28">
        <v>300000</v>
      </c>
      <c r="AC6763" s="28">
        <v>646590000</v>
      </c>
      <c r="AD6763" s="28">
        <v>126084000</v>
      </c>
      <c r="AE6763" s="28">
        <v>6048249000</v>
      </c>
      <c r="AF6763" s="28">
        <v>559576000</v>
      </c>
      <c r="AG6763" s="11"/>
    </row>
    <row r="6764">
      <c r="A6764" s="7" t="s">
        <v>8329</v>
      </c>
      <c r="B6764" s="5" t="s">
        <v>16271</v>
      </c>
      <c r="C6764" s="5" t="s">
        <v>23914</v>
      </c>
      <c r="D6764" s="5" t="str">
        <v>773409900240</v>
      </c>
      <c r="E6764" s="0" t="e">
        <f>+7 (495) 6853919
+7 (495) 6856696
+7 (495) 6857702</f>
        <v>#NAME?</v>
      </c>
      <c r="F6764" s="5" t="s">
        <v>45033</v>
      </c>
      <c r="G6764" s="5" t="s">
        <v>45034</v>
      </c>
      <c r="H6764" s="26">
        <v>19.5</v>
      </c>
      <c r="I6764" s="5" t="s">
        <v>45035</v>
      </c>
      <c r="J6764" s="5" t="s">
        <v>678</v>
      </c>
      <c r="K6764" s="5" t="s">
        <v>344</v>
      </c>
      <c r="L6764" s="5" t="s">
        <v>45036</v>
      </c>
      <c r="M6764" s="27"/>
      <c r="N6764" s="5" t="s">
        <v>57595</v>
      </c>
      <c r="O6764" s="5" t="str">
        <v>7717148589</v>
      </c>
      <c r="P6764" s="27">
        <v>7000000</v>
      </c>
      <c r="Q6764" s="5" t="s">
        <v>49059</v>
      </c>
      <c r="R6764" s="5"/>
      <c r="S6764" s="5" t="s">
        <v>53113</v>
      </c>
      <c r="T6764" s="28">
        <v>92186000</v>
      </c>
      <c r="U6764" s="28">
        <v>10000</v>
      </c>
      <c r="V6764" s="28">
        <v>443473000</v>
      </c>
      <c r="W6764" s="28"/>
      <c r="X6764" s="28">
        <v>381694000</v>
      </c>
      <c r="Y6764" s="28">
        <v>923968000</v>
      </c>
      <c r="Z6764" s="28">
        <v>627703000</v>
      </c>
      <c r="AA6764" s="28"/>
      <c r="AB6764" s="28"/>
      <c r="AC6764" s="28">
        <v>289265000</v>
      </c>
      <c r="AD6764" s="28">
        <v>634703000</v>
      </c>
      <c r="AE6764" s="28">
        <v>7079912000</v>
      </c>
      <c r="AF6764" s="28">
        <v>178530000</v>
      </c>
      <c r="AG6764" s="11"/>
    </row>
    <row r="6765">
      <c r="A6765" s="7" t="s">
        <v>8330</v>
      </c>
      <c r="B6765" s="5" t="s">
        <v>16272</v>
      </c>
      <c r="C6765" s="5" t="s">
        <v>23915</v>
      </c>
      <c r="D6765" s="5" t="str">
        <v>660400022902</v>
      </c>
      <c r="E6765" s="0" t="e">
        <f>+7 (343) 3452000
+7 (3433) 452001
+7 (3433) 452002
+7 (3433) 452003
+7 (3433) 452004
+7 (34369) 99992
+7 (34369) 99993
+7 (34369) 99994
+7 (34369) 99995
+7 (34369) 99997
+7 (34369) 99998
+7 (922) 1700078</f>
        <v>#NAME?</v>
      </c>
      <c r="F6765" s="5" t="s">
        <v>45037</v>
      </c>
      <c r="G6765" s="5" t="s">
        <v>45038</v>
      </c>
      <c r="H6765" s="26">
        <v>16.5</v>
      </c>
      <c r="I6765" s="5" t="s">
        <v>45039</v>
      </c>
      <c r="J6765" s="5" t="s">
        <v>28738</v>
      </c>
      <c r="K6765" s="5" t="s">
        <v>344</v>
      </c>
      <c r="L6765" s="5" t="s">
        <v>45040</v>
      </c>
      <c r="M6765" s="27"/>
      <c r="N6765" s="5" t="s">
        <v>59439</v>
      </c>
      <c r="O6765" s="5" t="str">
        <v>6604017625</v>
      </c>
      <c r="P6765" s="27">
        <v>10000</v>
      </c>
      <c r="Q6765" s="5"/>
      <c r="R6765" s="5"/>
      <c r="S6765" s="5" t="s">
        <v>49047</v>
      </c>
      <c r="T6765" s="28">
        <v>723561000</v>
      </c>
      <c r="U6765" s="28">
        <v>169090000</v>
      </c>
      <c r="V6765" s="28">
        <v>3570414000</v>
      </c>
      <c r="W6765" s="28"/>
      <c r="X6765" s="28">
        <v>18764000</v>
      </c>
      <c r="Y6765" s="28">
        <v>5884061000</v>
      </c>
      <c r="Z6765" s="28">
        <v>1556227000</v>
      </c>
      <c r="AA6765" s="28">
        <v>1080500000</v>
      </c>
      <c r="AB6765" s="28">
        <v>99702000</v>
      </c>
      <c r="AC6765" s="28">
        <v>3025472000</v>
      </c>
      <c r="AD6765" s="28">
        <v>1556239000</v>
      </c>
      <c r="AE6765" s="28">
        <v>10791768000</v>
      </c>
      <c r="AF6765" s="28">
        <v>200993000</v>
      </c>
      <c r="AG6765" s="11"/>
    </row>
    <row r="6766">
      <c r="A6766" s="7" t="s">
        <v>8331</v>
      </c>
      <c r="B6766" s="5" t="s">
        <v>16273</v>
      </c>
      <c r="C6766" s="5" t="s">
        <v>23916</v>
      </c>
      <c r="D6766" s="5" t="str">
        <v>502105676555</v>
      </c>
      <c r="F6766" s="5"/>
      <c r="G6766" s="5"/>
      <c r="H6766" s="26">
        <v>7.5</v>
      </c>
      <c r="I6766" s="5" t="s">
        <v>45041</v>
      </c>
      <c r="J6766" s="5" t="s">
        <v>26125</v>
      </c>
      <c r="K6766" s="5" t="s">
        <v>344</v>
      </c>
      <c r="L6766" s="5" t="s">
        <v>36263</v>
      </c>
      <c r="M6766" s="27"/>
      <c r="N6766" s="5"/>
      <c r="O6766" s="5" t="str">
        <v>7724326867</v>
      </c>
      <c r="P6766" s="27">
        <v>10000</v>
      </c>
      <c r="Q6766" s="5" t="s">
        <v>49059</v>
      </c>
      <c r="R6766" s="5"/>
      <c r="S6766" s="5" t="s">
        <v>49425</v>
      </c>
      <c r="T6766" s="28"/>
      <c r="U6766" s="28"/>
      <c r="V6766" s="28">
        <v>243376000</v>
      </c>
      <c r="W6766" s="28"/>
      <c r="X6766" s="28">
        <v>1381000</v>
      </c>
      <c r="Y6766" s="28">
        <v>265207000</v>
      </c>
      <c r="Z6766" s="28">
        <v>68785000</v>
      </c>
      <c r="AA6766" s="28"/>
      <c r="AB6766" s="28">
        <v>176659000</v>
      </c>
      <c r="AC6766" s="28">
        <v>196412000</v>
      </c>
      <c r="AD6766" s="28">
        <v>68795000</v>
      </c>
      <c r="AE6766" s="28">
        <v>3856938000</v>
      </c>
      <c r="AF6766" s="28">
        <v>15720000</v>
      </c>
      <c r="AG6766" s="11"/>
    </row>
    <row r="6767">
      <c r="A6767" s="7" t="s">
        <v>8332</v>
      </c>
      <c r="B6767" s="5" t="s">
        <v>16274</v>
      </c>
      <c r="C6767" s="5" t="s">
        <v>23917</v>
      </c>
      <c r="D6767" s="5" t="str">
        <v>774300623800</v>
      </c>
      <c r="E6767" s="0" t="e">
        <f>+7 (49254) 31199
+7 (495) 9332939
+7 (903) 355566</f>
        <v>#NAME?</v>
      </c>
      <c r="F6767" s="5" t="s">
        <v>45042</v>
      </c>
      <c r="G6767" s="5"/>
      <c r="H6767" s="26">
        <v>25</v>
      </c>
      <c r="I6767" s="5" t="s">
        <v>45043</v>
      </c>
      <c r="J6767" s="5" t="s">
        <v>30361</v>
      </c>
      <c r="K6767" s="5" t="s">
        <v>344</v>
      </c>
      <c r="L6767" s="5" t="s">
        <v>45044</v>
      </c>
      <c r="M6767" s="27"/>
      <c r="N6767" s="5" t="s">
        <v>59440</v>
      </c>
      <c r="O6767" s="5" t="str">
        <v>7726272977</v>
      </c>
      <c r="P6767" s="27">
        <v>10000</v>
      </c>
      <c r="Q6767" s="5" t="s">
        <v>59441</v>
      </c>
      <c r="R6767" s="5" t="s">
        <v>53949</v>
      </c>
      <c r="S6767" s="5" t="s">
        <v>49227</v>
      </c>
      <c r="T6767" s="28">
        <v>19616000</v>
      </c>
      <c r="U6767" s="28"/>
      <c r="V6767" s="28">
        <v>2782628000</v>
      </c>
      <c r="W6767" s="28">
        <v>429130000</v>
      </c>
      <c r="X6767" s="28">
        <v>52499000</v>
      </c>
      <c r="Y6767" s="28">
        <v>3754997000</v>
      </c>
      <c r="Z6767" s="28">
        <v>2236248000</v>
      </c>
      <c r="AA6767" s="28"/>
      <c r="AB6767" s="28">
        <v>115121000</v>
      </c>
      <c r="AC6767" s="28">
        <v>1495201000</v>
      </c>
      <c r="AD6767" s="28">
        <v>2236257000</v>
      </c>
      <c r="AE6767" s="28">
        <v>3604131000</v>
      </c>
      <c r="AF6767" s="28">
        <v>1065268000</v>
      </c>
      <c r="AG6767" s="11"/>
    </row>
    <row r="6768">
      <c r="A6768" s="7" t="s">
        <v>8333</v>
      </c>
      <c r="B6768" s="5" t="s">
        <v>16275</v>
      </c>
      <c r="C6768" s="5" t="s">
        <v>23918</v>
      </c>
      <c r="D6768" s="5" t="str">
        <v>251200159492</v>
      </c>
      <c r="E6768" s="0" t="e">
        <f>+7 (42366) 98655
+7 (911) 7137811</f>
        <v>#NAME?</v>
      </c>
      <c r="F6768" s="5" t="s">
        <v>45045</v>
      </c>
      <c r="G6768" s="5"/>
      <c r="H6768" s="26">
        <v>3.5</v>
      </c>
      <c r="I6768" s="5" t="s">
        <v>45046</v>
      </c>
      <c r="J6768" s="5" t="s">
        <v>373</v>
      </c>
      <c r="K6768" s="5" t="s">
        <v>344</v>
      </c>
      <c r="L6768" s="5" t="s">
        <v>45047</v>
      </c>
      <c r="M6768" s="27"/>
      <c r="N6768" s="5" t="s">
        <v>59442</v>
      </c>
      <c r="O6768" s="5" t="str">
        <v>2508136044</v>
      </c>
      <c r="P6768" s="27">
        <v>100000</v>
      </c>
      <c r="Q6768" s="5" t="s">
        <v>59443</v>
      </c>
      <c r="R6768" s="5"/>
      <c r="S6768" s="5" t="s">
        <v>50122</v>
      </c>
      <c r="T6768" s="28">
        <v>12205000</v>
      </c>
      <c r="U6768" s="28"/>
      <c r="V6768" s="28">
        <v>567316000</v>
      </c>
      <c r="W6768" s="28"/>
      <c r="X6768" s="28">
        <v>44000</v>
      </c>
      <c r="Y6768" s="28">
        <v>815461000</v>
      </c>
      <c r="Z6768" s="28">
        <v>5506000</v>
      </c>
      <c r="AA6768" s="28">
        <v>509680000</v>
      </c>
      <c r="AB6768" s="28">
        <v>280788000</v>
      </c>
      <c r="AC6768" s="28">
        <v>300175000</v>
      </c>
      <c r="AD6768" s="28">
        <v>5606000</v>
      </c>
      <c r="AE6768" s="28">
        <v>3254743000</v>
      </c>
      <c r="AF6768" s="28">
        <v>2338000</v>
      </c>
      <c r="AG6768" s="11"/>
    </row>
    <row r="6769">
      <c r="A6769" s="7" t="s">
        <v>8334</v>
      </c>
      <c r="B6769" s="5" t="s">
        <v>16276</v>
      </c>
      <c r="C6769" s="5" t="s">
        <v>19484</v>
      </c>
      <c r="D6769" s="5"/>
      <c r="E6769" s="0" t="e">
        <f>+7 (47467) 47900
+7 (47467) 60712
+7 (919) 2532662
+7 (926) 1115666</f>
        <v>#NAME?</v>
      </c>
      <c r="F6769" s="5" t="s">
        <v>45048</v>
      </c>
      <c r="G6769" s="5"/>
      <c r="H6769" s="26">
        <v>8</v>
      </c>
      <c r="I6769" s="5" t="s">
        <v>45049</v>
      </c>
      <c r="J6769" s="5" t="s">
        <v>25910</v>
      </c>
      <c r="K6769" s="5" t="s">
        <v>344</v>
      </c>
      <c r="L6769" s="5" t="s">
        <v>45050</v>
      </c>
      <c r="M6769" s="27"/>
      <c r="N6769" s="5"/>
      <c r="O6769" s="5" t="str">
        <v>4807039564</v>
      </c>
      <c r="P6769" s="27">
        <v>3123556284</v>
      </c>
      <c r="Q6769" s="5" t="s">
        <v>49009</v>
      </c>
      <c r="R6769" s="5"/>
      <c r="S6769" s="5" t="s">
        <v>49093</v>
      </c>
      <c r="T6769" s="28">
        <v>16531382000</v>
      </c>
      <c r="U6769" s="28"/>
      <c r="V6769" s="28">
        <v>3669312000</v>
      </c>
      <c r="W6769" s="28">
        <v>102793000</v>
      </c>
      <c r="X6769" s="28">
        <v>1248262000</v>
      </c>
      <c r="Y6769" s="28">
        <v>23360299000</v>
      </c>
      <c r="Z6769" s="28">
        <v>3309302000</v>
      </c>
      <c r="AA6769" s="28">
        <v>15796123000</v>
      </c>
      <c r="AB6769" s="28">
        <v>700000000</v>
      </c>
      <c r="AC6769" s="28">
        <v>1125971000</v>
      </c>
      <c r="AD6769" s="28">
        <v>6432858000</v>
      </c>
      <c r="AE6769" s="28">
        <v>6319603000</v>
      </c>
      <c r="AF6769" s="28">
        <v>1011384000</v>
      </c>
      <c r="AG6769" s="11"/>
    </row>
    <row r="6770">
      <c r="A6770" s="7" t="s">
        <v>8335</v>
      </c>
      <c r="B6770" s="5" t="s">
        <v>12712</v>
      </c>
      <c r="C6770" s="5" t="s">
        <v>23919</v>
      </c>
      <c r="D6770" s="5" t="str">
        <v>500505030018</v>
      </c>
      <c r="E6770" s="0" t="e">
        <f>+7 (861) 2105170
+7 (861) 2105171
+7 (861) 2105174
+7 (861) 2774554</f>
        <v>#NAME?</v>
      </c>
      <c r="F6770" s="5"/>
      <c r="G6770" s="5"/>
      <c r="H6770" s="26">
        <v>21.5</v>
      </c>
      <c r="I6770" s="5" t="s">
        <v>45051</v>
      </c>
      <c r="J6770" s="5" t="s">
        <v>25829</v>
      </c>
      <c r="K6770" s="5" t="s">
        <v>355</v>
      </c>
      <c r="L6770" s="5" t="s">
        <v>45052</v>
      </c>
      <c r="M6770" s="27"/>
      <c r="N6770" s="5"/>
      <c r="O6770" s="5" t="str">
        <v>7826084060</v>
      </c>
      <c r="P6770" s="27">
        <v>22010000</v>
      </c>
      <c r="Q6770" s="5" t="s">
        <v>49009</v>
      </c>
      <c r="R6770" s="5"/>
      <c r="S6770" s="5" t="s">
        <v>49066</v>
      </c>
      <c r="T6770" s="28">
        <v>12859270000</v>
      </c>
      <c r="U6770" s="28"/>
      <c r="V6770" s="28">
        <v>2030328000</v>
      </c>
      <c r="W6770" s="28"/>
      <c r="X6770" s="28">
        <v>640000</v>
      </c>
      <c r="Y6770" s="28">
        <v>16307918000</v>
      </c>
      <c r="Z6770" s="28">
        <v>4175641000</v>
      </c>
      <c r="AA6770" s="28">
        <v>3078952000</v>
      </c>
      <c r="AB6770" s="28">
        <v>1964936000</v>
      </c>
      <c r="AC6770" s="28">
        <v>3688983000</v>
      </c>
      <c r="AD6770" s="28">
        <v>4245953000</v>
      </c>
      <c r="AE6770" s="28">
        <v>8765850000</v>
      </c>
      <c r="AF6770" s="28">
        <v>2144289000</v>
      </c>
      <c r="AG6770" s="11"/>
    </row>
    <row r="6771">
      <c r="A6771" s="7" t="s">
        <v>8336</v>
      </c>
      <c r="B6771" s="5" t="s">
        <v>16277</v>
      </c>
      <c r="C6771" s="5" t="s">
        <v>23920</v>
      </c>
      <c r="D6771" s="5" t="str">
        <v>504304110119</v>
      </c>
      <c r="E6771" s="0" t="e">
        <f>+7 (383) 3832884
+7 (495) 2326500
+7 (495) 3666165
+7 (495) 3667612
+7 (495) 6428972
+7 (495) 6909080
+7 (812) 3183626
+7 (8432) 122476
+7 (915) 1855405
+7 (929) 9751933
+7 (952) 3717144</f>
        <v>#NAME?</v>
      </c>
      <c r="F6771" s="5" t="s">
        <v>45053</v>
      </c>
      <c r="G6771" s="5"/>
      <c r="H6771" s="26">
        <v>21</v>
      </c>
      <c r="I6771" s="5" t="s">
        <v>45054</v>
      </c>
      <c r="J6771" s="5" t="s">
        <v>25253</v>
      </c>
      <c r="K6771" s="5" t="s">
        <v>344</v>
      </c>
      <c r="L6771" s="5" t="s">
        <v>45055</v>
      </c>
      <c r="M6771" s="27"/>
      <c r="N6771" s="5" t="s">
        <v>59445</v>
      </c>
      <c r="O6771" s="5" t="str">
        <v>7710411907</v>
      </c>
      <c r="P6771" s="27">
        <v>10000000</v>
      </c>
      <c r="Q6771" s="5" t="s">
        <v>49009</v>
      </c>
      <c r="R6771" s="5"/>
      <c r="S6771" s="5" t="s">
        <v>49487</v>
      </c>
      <c r="T6771" s="28">
        <v>90408000</v>
      </c>
      <c r="U6771" s="28"/>
      <c r="V6771" s="28">
        <v>647402000</v>
      </c>
      <c r="W6771" s="28">
        <v>5114000</v>
      </c>
      <c r="X6771" s="28">
        <v>18460000</v>
      </c>
      <c r="Y6771" s="28">
        <v>1198433000</v>
      </c>
      <c r="Z6771" s="28">
        <v>397143000</v>
      </c>
      <c r="AA6771" s="28"/>
      <c r="AB6771" s="28">
        <v>178671000</v>
      </c>
      <c r="AC6771" s="28">
        <v>703059000</v>
      </c>
      <c r="AD6771" s="28">
        <v>408643000</v>
      </c>
      <c r="AE6771" s="28">
        <v>4953681000</v>
      </c>
      <c r="AF6771" s="28">
        <v>295773000</v>
      </c>
      <c r="AG6771" s="11"/>
    </row>
    <row r="6772">
      <c r="A6772" s="7" t="s">
        <v>8337</v>
      </c>
      <c r="B6772" s="5" t="s">
        <v>16278</v>
      </c>
      <c r="C6772" s="5" t="s">
        <v>23921</v>
      </c>
      <c r="D6772" s="5" t="str">
        <v>165808199690</v>
      </c>
      <c r="E6772" s="0" t="e">
        <f>+7 (8432) 553332
+7 (85569) 53272
+7 (965) 5858772
+7 (905) 3131058</f>
        <v>#NAME?</v>
      </c>
      <c r="F6772" s="5" t="s">
        <v>45056</v>
      </c>
      <c r="G6772" s="5" t="s">
        <v>45057</v>
      </c>
      <c r="H6772" s="26">
        <v>3.5</v>
      </c>
      <c r="I6772" s="5" t="s">
        <v>45058</v>
      </c>
      <c r="J6772" s="5" t="s">
        <v>373</v>
      </c>
      <c r="K6772" s="5" t="s">
        <v>344</v>
      </c>
      <c r="L6772" s="5" t="s">
        <v>45059</v>
      </c>
      <c r="M6772" s="27"/>
      <c r="N6772" s="5" t="s">
        <v>59446</v>
      </c>
      <c r="O6772" s="5" t="str">
        <v>1660332340</v>
      </c>
      <c r="P6772" s="27">
        <v>10000</v>
      </c>
      <c r="Q6772" s="5" t="s">
        <v>59447</v>
      </c>
      <c r="R6772" s="5"/>
      <c r="S6772" s="5" t="s">
        <v>59448</v>
      </c>
      <c r="T6772" s="28">
        <v>20738000</v>
      </c>
      <c r="U6772" s="28"/>
      <c r="V6772" s="28">
        <v>213515000</v>
      </c>
      <c r="W6772" s="28">
        <v>801794000</v>
      </c>
      <c r="X6772" s="28">
        <v>126632000</v>
      </c>
      <c r="Y6772" s="28">
        <v>1206012000</v>
      </c>
      <c r="Z6772" s="28">
        <v>447738000</v>
      </c>
      <c r="AA6772" s="28"/>
      <c r="AB6772" s="28"/>
      <c r="AC6772" s="28">
        <v>741488000</v>
      </c>
      <c r="AD6772" s="28">
        <v>447748000</v>
      </c>
      <c r="AE6772" s="28">
        <v>15677816000</v>
      </c>
      <c r="AF6772" s="28">
        <v>172764000</v>
      </c>
      <c r="AG6772" s="11"/>
    </row>
    <row r="6773">
      <c r="A6773" s="7" t="s">
        <v>8338</v>
      </c>
      <c r="B6773" s="5" t="s">
        <v>16279</v>
      </c>
      <c r="C6773" s="5" t="s">
        <v>23922</v>
      </c>
      <c r="D6773" s="5" t="str">
        <v>772309255058</v>
      </c>
      <c r="E6773" s="0" t="e">
        <f>+7 (967) 9757754
+7 (83141) 79330
+7 (83141) 79370
+7 (83141) 79393
+7 (987) 6356789</f>
        <v>#NAME?</v>
      </c>
      <c r="F6773" s="5" t="s">
        <v>45060</v>
      </c>
      <c r="G6773" s="5" t="s">
        <v>45061</v>
      </c>
      <c r="H6773" s="26">
        <v>18</v>
      </c>
      <c r="I6773" s="5" t="s">
        <v>45062</v>
      </c>
      <c r="J6773" s="5" t="s">
        <v>26173</v>
      </c>
      <c r="K6773" s="5" t="s">
        <v>344</v>
      </c>
      <c r="L6773" s="5" t="s">
        <v>45063</v>
      </c>
      <c r="M6773" s="27">
        <v>4948750</v>
      </c>
      <c r="N6773" s="5" t="s">
        <v>59449</v>
      </c>
      <c r="O6773" s="5" t="str">
        <v>5260143987</v>
      </c>
      <c r="P6773" s="27">
        <v>10000</v>
      </c>
      <c r="Q6773" s="5" t="s">
        <v>59450</v>
      </c>
      <c r="R6773" s="5"/>
      <c r="S6773" s="5" t="s">
        <v>59431</v>
      </c>
      <c r="T6773" s="28">
        <v>173817000</v>
      </c>
      <c r="U6773" s="28"/>
      <c r="V6773" s="28">
        <v>657091000</v>
      </c>
      <c r="W6773" s="28">
        <v>200000000</v>
      </c>
      <c r="X6773" s="28">
        <v>69059000</v>
      </c>
      <c r="Y6773" s="28">
        <v>1109945000</v>
      </c>
      <c r="Z6773" s="28">
        <v>223496000</v>
      </c>
      <c r="AA6773" s="28">
        <v>324400000</v>
      </c>
      <c r="AB6773" s="28">
        <v>2881000</v>
      </c>
      <c r="AC6773" s="28">
        <v>562039000</v>
      </c>
      <c r="AD6773" s="28">
        <v>223506000</v>
      </c>
      <c r="AE6773" s="28">
        <v>3669405000</v>
      </c>
      <c r="AF6773" s="28">
        <v>66332000</v>
      </c>
      <c r="AG6773" s="11"/>
    </row>
    <row r="6774">
      <c r="A6774" s="7" t="s">
        <v>8339</v>
      </c>
      <c r="B6774" s="5" t="s">
        <v>16280</v>
      </c>
      <c r="C6774" s="5" t="s">
        <v>23923</v>
      </c>
      <c r="D6774" s="5" t="str">
        <v>590405145541</v>
      </c>
      <c r="E6774" s="0" t="e">
        <f>+7 (951) 9402775
+7 (342) 2441568
+7 (342) 2641568
+7 (3422) 386508
+7 (3422) 386562
+7 (3422) 386572
+7 (3422) 386622
+7 (3422) 386625</f>
        <v>#NAME?</v>
      </c>
      <c r="F6774" s="5" t="s">
        <v>45064</v>
      </c>
      <c r="G6774" s="5"/>
      <c r="H6774" s="26">
        <v>22</v>
      </c>
      <c r="I6774" s="5" t="s">
        <v>45065</v>
      </c>
      <c r="J6774" s="5" t="s">
        <v>30764</v>
      </c>
      <c r="K6774" s="5" t="s">
        <v>344</v>
      </c>
      <c r="L6774" s="5" t="s">
        <v>45066</v>
      </c>
      <c r="M6774" s="27"/>
      <c r="N6774" s="5" t="s">
        <v>59451</v>
      </c>
      <c r="O6774" s="5" t="str">
        <v>5902811246</v>
      </c>
      <c r="P6774" s="27">
        <v>10000</v>
      </c>
      <c r="Q6774" s="5" t="s">
        <v>59452</v>
      </c>
      <c r="R6774" s="5"/>
      <c r="S6774" s="5" t="s">
        <v>50936</v>
      </c>
      <c r="T6774" s="28">
        <v>3574000</v>
      </c>
      <c r="U6774" s="28"/>
      <c r="V6774" s="28">
        <v>143967000</v>
      </c>
      <c r="W6774" s="28">
        <v>3900000</v>
      </c>
      <c r="X6774" s="28">
        <v>3527000</v>
      </c>
      <c r="Y6774" s="28">
        <v>302323000</v>
      </c>
      <c r="Z6774" s="28">
        <v>110156000</v>
      </c>
      <c r="AA6774" s="28"/>
      <c r="AB6774" s="28"/>
      <c r="AC6774" s="28">
        <v>192143000</v>
      </c>
      <c r="AD6774" s="28">
        <v>110166000</v>
      </c>
      <c r="AE6774" s="28">
        <v>3145827000</v>
      </c>
      <c r="AF6774" s="28">
        <v>63922000</v>
      </c>
      <c r="AG6774" s="11"/>
    </row>
    <row r="6775">
      <c r="A6775" s="7" t="s">
        <v>8340</v>
      </c>
      <c r="B6775" s="5" t="s">
        <v>16281</v>
      </c>
      <c r="C6775" s="5" t="s">
        <v>23924</v>
      </c>
      <c r="D6775" s="5" t="str">
        <v>633067747502</v>
      </c>
      <c r="E6775" s="0" t="e">
        <f>+7 (8422) 272361
+7 (8422) 737522
+7 (800) 3331631
+7 (8422) 278603
+7 (8422) 278607
+7 (8422) 584745
+7 (8422) 584893
+7 (8422) 737511</f>
        <v>#NAME?</v>
      </c>
      <c r="F6775" s="5"/>
      <c r="G6775" s="5"/>
      <c r="H6775" s="26">
        <v>10</v>
      </c>
      <c r="I6775" s="5" t="s">
        <v>45067</v>
      </c>
      <c r="J6775" s="5" t="s">
        <v>25219</v>
      </c>
      <c r="K6775" s="5" t="s">
        <v>344</v>
      </c>
      <c r="L6775" s="5" t="s">
        <v>45068</v>
      </c>
      <c r="M6775" s="27">
        <v>4211123</v>
      </c>
      <c r="N6775" s="5"/>
      <c r="O6775" s="5" t="str">
        <v>7327067461</v>
      </c>
      <c r="P6775" s="27">
        <v>10000000</v>
      </c>
      <c r="Q6775" s="5" t="s">
        <v>59453</v>
      </c>
      <c r="R6775" s="5"/>
      <c r="S6775" s="5" t="s">
        <v>52597</v>
      </c>
      <c r="T6775" s="28">
        <v>927305000</v>
      </c>
      <c r="U6775" s="28">
        <v>635940000</v>
      </c>
      <c r="V6775" s="28">
        <v>1016120000</v>
      </c>
      <c r="W6775" s="28">
        <v>847600000</v>
      </c>
      <c r="X6775" s="28">
        <v>945806000</v>
      </c>
      <c r="Y6775" s="28">
        <v>8187117000</v>
      </c>
      <c r="Z6775" s="28">
        <v>496816000</v>
      </c>
      <c r="AA6775" s="28"/>
      <c r="AB6775" s="28"/>
      <c r="AC6775" s="28">
        <v>7624940000</v>
      </c>
      <c r="AD6775" s="28">
        <v>506816000</v>
      </c>
      <c r="AE6775" s="28">
        <v>63177281000</v>
      </c>
      <c r="AF6775" s="28">
        <v>162382000</v>
      </c>
      <c r="AG6775" s="11"/>
    </row>
    <row r="6776">
      <c r="A6776" s="7" t="s">
        <v>8341</v>
      </c>
      <c r="B6776" s="5" t="s">
        <v>16282</v>
      </c>
      <c r="C6776" s="5" t="s">
        <v>19484</v>
      </c>
      <c r="D6776" s="5"/>
      <c r="E6776" s="0" t="e">
        <f>+7 (920) 5003004
+7 (474) 2371370
+7 (47465) 60144</f>
        <v>#NAME?</v>
      </c>
      <c r="F6776" s="5" t="s">
        <v>45069</v>
      </c>
      <c r="G6776" s="5"/>
      <c r="H6776" s="26">
        <v>9.5</v>
      </c>
      <c r="I6776" s="5" t="s">
        <v>45070</v>
      </c>
      <c r="J6776" s="5" t="s">
        <v>25910</v>
      </c>
      <c r="K6776" s="5" t="s">
        <v>355</v>
      </c>
      <c r="L6776" s="5"/>
      <c r="M6776" s="27"/>
      <c r="N6776" s="5"/>
      <c r="O6776" s="5" t="str">
        <v>4803009110</v>
      </c>
      <c r="P6776" s="27">
        <v>1095390000</v>
      </c>
      <c r="Q6776" s="5" t="s">
        <v>59454</v>
      </c>
      <c r="R6776" s="5"/>
      <c r="S6776" s="5" t="s">
        <v>49053</v>
      </c>
      <c r="T6776" s="28">
        <v>10354024000</v>
      </c>
      <c r="U6776" s="28"/>
      <c r="V6776" s="28">
        <v>309870000</v>
      </c>
      <c r="W6776" s="28"/>
      <c r="X6776" s="28">
        <v>934763000</v>
      </c>
      <c r="Y6776" s="28">
        <v>12476607000</v>
      </c>
      <c r="Z6776" s="28">
        <v>1881277000</v>
      </c>
      <c r="AA6776" s="28">
        <v>8810616000</v>
      </c>
      <c r="AB6776" s="28">
        <v>438816000</v>
      </c>
      <c r="AC6776" s="28">
        <v>688160000</v>
      </c>
      <c r="AD6776" s="28">
        <v>2976667000</v>
      </c>
      <c r="AE6776" s="28">
        <v>3351179000</v>
      </c>
      <c r="AF6776" s="28">
        <v>2649000</v>
      </c>
      <c r="AG6776" s="11"/>
    </row>
    <row r="6777">
      <c r="A6777" s="7" t="s">
        <v>8342</v>
      </c>
      <c r="B6777" s="5" t="s">
        <v>16283</v>
      </c>
      <c r="C6777" s="5" t="s">
        <v>23925</v>
      </c>
      <c r="D6777" s="5" t="str">
        <v>772491260238</v>
      </c>
      <c r="E6777" s="0" t="e">
        <f>+7 (926) 5398009</f>
        <v>#NAME?</v>
      </c>
      <c r="F6777" s="5" t="s">
        <v>45071</v>
      </c>
      <c r="G6777" s="5"/>
      <c r="H6777" s="26">
        <v>10</v>
      </c>
      <c r="I6777" s="5" t="s">
        <v>45072</v>
      </c>
      <c r="J6777" s="5" t="s">
        <v>373</v>
      </c>
      <c r="K6777" s="5" t="s">
        <v>344</v>
      </c>
      <c r="L6777" s="5" t="s">
        <v>45073</v>
      </c>
      <c r="M6777" s="27"/>
      <c r="N6777" s="5" t="s">
        <v>59455</v>
      </c>
      <c r="O6777" s="5" t="str">
        <v>7705526892</v>
      </c>
      <c r="P6777" s="27">
        <v>500000</v>
      </c>
      <c r="Q6777" s="5" t="s">
        <v>49021</v>
      </c>
      <c r="R6777" s="5"/>
      <c r="S6777" s="5" t="s">
        <v>59456</v>
      </c>
      <c r="T6777" s="28">
        <v>26704000</v>
      </c>
      <c r="U6777" s="28"/>
      <c r="V6777" s="28">
        <v>317956000</v>
      </c>
      <c r="W6777" s="28"/>
      <c r="X6777" s="28">
        <v>791000</v>
      </c>
      <c r="Y6777" s="28">
        <v>509981000</v>
      </c>
      <c r="Z6777" s="28">
        <v>44073000</v>
      </c>
      <c r="AA6777" s="28"/>
      <c r="AB6777" s="28">
        <v>211249000</v>
      </c>
      <c r="AC6777" s="28">
        <v>464642000</v>
      </c>
      <c r="AD6777" s="28">
        <v>44573000</v>
      </c>
      <c r="AE6777" s="28">
        <v>4056731000</v>
      </c>
      <c r="AF6777" s="28">
        <v>10078000</v>
      </c>
      <c r="AG6777" s="11"/>
    </row>
    <row r="6778">
      <c r="A6778" s="7" t="s">
        <v>8343</v>
      </c>
      <c r="B6778" s="5" t="s">
        <v>16284</v>
      </c>
      <c r="C6778" s="5" t="s">
        <v>23926</v>
      </c>
      <c r="D6778" s="5" t="str">
        <v>772900483125</v>
      </c>
      <c r="E6778" s="0" t="e">
        <f>+7 (3473) 286350
+7 (385) 2500773
+7 (415) 2258943
+7 (483) 2528876
+7 (492) 2778326
+7 (495) 7396976
+7 (495) 7455131
+7 (495) 7771497
+7 (800) 5002899
+7 (812) 5341339</f>
        <v>#NAME?</v>
      </c>
      <c r="F6778" s="5" t="s">
        <v>45074</v>
      </c>
      <c r="G6778" s="5"/>
      <c r="H6778" s="26">
        <v>18</v>
      </c>
      <c r="I6778" s="5"/>
      <c r="J6778" s="5" t="s">
        <v>26564</v>
      </c>
      <c r="K6778" s="5" t="s">
        <v>344</v>
      </c>
      <c r="L6778" s="5" t="s">
        <v>45075</v>
      </c>
      <c r="M6778" s="27">
        <v>807015</v>
      </c>
      <c r="N6778" s="5" t="s">
        <v>59457</v>
      </c>
      <c r="O6778" s="5" t="str">
        <v>5003052454</v>
      </c>
      <c r="P6778" s="27">
        <v>335033000</v>
      </c>
      <c r="Q6778" s="5" t="s">
        <v>59458</v>
      </c>
      <c r="R6778" s="5"/>
      <c r="S6778" s="5" t="s">
        <v>49139</v>
      </c>
      <c r="T6778" s="28">
        <v>7159984000</v>
      </c>
      <c r="U6778" s="28">
        <v>8930171000</v>
      </c>
      <c r="V6778" s="28">
        <v>36672387000</v>
      </c>
      <c r="W6778" s="28">
        <v>1419140000</v>
      </c>
      <c r="X6778" s="28">
        <v>20236241000</v>
      </c>
      <c r="Y6778" s="28">
        <v>121999104000</v>
      </c>
      <c r="Z6778" s="28">
        <v>20713709000</v>
      </c>
      <c r="AA6778" s="28"/>
      <c r="AB6778" s="28">
        <v>683672000</v>
      </c>
      <c r="AC6778" s="28">
        <v>97512787000</v>
      </c>
      <c r="AD6778" s="28">
        <v>21118091000</v>
      </c>
      <c r="AE6778" s="28">
        <v>973521621000</v>
      </c>
      <c r="AF6778" s="28">
        <v>21574787000</v>
      </c>
      <c r="AG6778" s="11"/>
    </row>
    <row r="6779">
      <c r="A6779" s="7" t="s">
        <v>8344</v>
      </c>
      <c r="B6779" s="5" t="s">
        <v>16285</v>
      </c>
      <c r="C6779" s="5" t="s">
        <v>23927</v>
      </c>
      <c r="D6779" s="5" t="str">
        <v>325002491403</v>
      </c>
      <c r="E6779" s="0" t="e">
        <f>+7 (926) 114285
+7 (495) 5619252
+7 (495) 9332937</f>
        <v>#NAME?</v>
      </c>
      <c r="F6779" s="5" t="s">
        <v>45076</v>
      </c>
      <c r="G6779" s="5" t="s">
        <v>36223</v>
      </c>
      <c r="H6779" s="26">
        <v>13</v>
      </c>
      <c r="I6779" s="5" t="s">
        <v>45077</v>
      </c>
      <c r="J6779" s="5" t="s">
        <v>25837</v>
      </c>
      <c r="K6779" s="5" t="s">
        <v>344</v>
      </c>
      <c r="L6779" s="5"/>
      <c r="M6779" s="27">
        <v>37817</v>
      </c>
      <c r="N6779" s="5" t="s">
        <v>59459</v>
      </c>
      <c r="O6779" s="5" t="str">
        <v>5009072150</v>
      </c>
      <c r="P6779" s="27">
        <v>200000</v>
      </c>
      <c r="Q6779" s="5" t="s">
        <v>59460</v>
      </c>
      <c r="R6779" s="5"/>
      <c r="S6779" s="5" t="s">
        <v>59461</v>
      </c>
      <c r="T6779" s="28">
        <v>4833765000</v>
      </c>
      <c r="U6779" s="28"/>
      <c r="V6779" s="28">
        <v>103816026000</v>
      </c>
      <c r="W6779" s="28">
        <v>23022258000</v>
      </c>
      <c r="X6779" s="28">
        <v>7300016000</v>
      </c>
      <c r="Y6779" s="28">
        <v>152666593000</v>
      </c>
      <c r="Z6779" s="28">
        <v>2140201000</v>
      </c>
      <c r="AA6779" s="28"/>
      <c r="AB6779" s="28">
        <v>2371303000</v>
      </c>
      <c r="AC6779" s="28">
        <v>150526192000</v>
      </c>
      <c r="AD6779" s="28">
        <v>2140401000</v>
      </c>
      <c r="AE6779" s="28">
        <v>187405826000</v>
      </c>
      <c r="AF6779" s="28">
        <v>579234000</v>
      </c>
      <c r="AG6779" s="11"/>
    </row>
    <row r="6780">
      <c r="A6780" s="7" t="s">
        <v>8345</v>
      </c>
      <c r="B6780" s="5" t="s">
        <v>16286</v>
      </c>
      <c r="C6780" s="5" t="s">
        <v>18984</v>
      </c>
      <c r="D6780" s="5" t="str">
        <v>532201908448</v>
      </c>
      <c r="E6780" s="0" t="e">
        <f>+7 (815) 2621974
+7 (816) 2621994
+7 (816) 2622234
+7 (816) 2616247
+7 (816) 2617900
+7 (816) 2617901
+7 (816) 2617902
+7 (816) 2617903
+7 (816) 2621839
+7 (816) 2621940
+7 (816) 2621974
+7 (816) 2621987
+7 (816) 2626634
+7 (816) 2627929
+7 (816) 2736728</f>
        <v>#NAME?</v>
      </c>
      <c r="F6780" s="5" t="s">
        <v>45078</v>
      </c>
      <c r="G6780" s="5" t="s">
        <v>45079</v>
      </c>
      <c r="H6780" s="26">
        <v>10</v>
      </c>
      <c r="I6780" s="5" t="s">
        <v>45080</v>
      </c>
      <c r="J6780" s="5" t="s">
        <v>27642</v>
      </c>
      <c r="K6780" s="5" t="s">
        <v>380</v>
      </c>
      <c r="L6780" s="5"/>
      <c r="M6780" s="27">
        <v>13154467</v>
      </c>
      <c r="N6780" s="5" t="s">
        <v>59462</v>
      </c>
      <c r="O6780" s="5" t="str">
        <v>5301003692</v>
      </c>
      <c r="P6780" s="27">
        <v>10000</v>
      </c>
      <c r="Q6780" s="5" t="s">
        <v>59464</v>
      </c>
      <c r="R6780" s="5"/>
      <c r="S6780" s="5" t="s">
        <v>51350</v>
      </c>
      <c r="T6780" s="28">
        <v>4830679000</v>
      </c>
      <c r="U6780" s="28"/>
      <c r="V6780" s="28">
        <v>1246321000</v>
      </c>
      <c r="W6780" s="28">
        <v>306332000</v>
      </c>
      <c r="X6780" s="28">
        <v>48354000</v>
      </c>
      <c r="Y6780" s="28">
        <v>6811202000</v>
      </c>
      <c r="Z6780" s="28">
        <v>233342000</v>
      </c>
      <c r="AA6780" s="28">
        <v>973122000</v>
      </c>
      <c r="AB6780" s="28">
        <v>131064000</v>
      </c>
      <c r="AC6780" s="28">
        <v>1959166000</v>
      </c>
      <c r="AD6780" s="28">
        <v>269097000</v>
      </c>
      <c r="AE6780" s="28">
        <v>5404865000</v>
      </c>
      <c r="AF6780" s="28">
        <v>-8953000</v>
      </c>
      <c r="AG6780" s="11"/>
    </row>
    <row r="6781">
      <c r="A6781" s="7" t="s">
        <v>8346</v>
      </c>
      <c r="B6781" s="5" t="s">
        <v>16287</v>
      </c>
      <c r="C6781" s="5" t="s">
        <v>23928</v>
      </c>
      <c r="D6781" s="5" t="str">
        <v>774330074442</v>
      </c>
      <c r="E6781" s="0" t="e">
        <f>+7 (495) 1233613
+7 (495) 6947930
+7 (964) 5669845</f>
        <v>#NAME?</v>
      </c>
      <c r="F6781" s="5" t="s">
        <v>45081</v>
      </c>
      <c r="G6781" s="5"/>
      <c r="H6781" s="26">
        <v>17.5</v>
      </c>
      <c r="I6781" s="5" t="s">
        <v>45082</v>
      </c>
      <c r="J6781" s="5" t="s">
        <v>27601</v>
      </c>
      <c r="K6781" s="5" t="s">
        <v>344</v>
      </c>
      <c r="L6781" s="5" t="s">
        <v>45083</v>
      </c>
      <c r="M6781" s="27"/>
      <c r="N6781" s="5" t="s">
        <v>59465</v>
      </c>
      <c r="O6781" s="5" t="str">
        <v>7701618013</v>
      </c>
      <c r="P6781" s="27">
        <v>10000</v>
      </c>
      <c r="Q6781" s="5" t="s">
        <v>59466</v>
      </c>
      <c r="R6781" s="5"/>
      <c r="S6781" s="5" t="s">
        <v>59467</v>
      </c>
      <c r="T6781" s="28">
        <v>26939000</v>
      </c>
      <c r="U6781" s="28"/>
      <c r="V6781" s="28">
        <v>1661178000</v>
      </c>
      <c r="W6781" s="28"/>
      <c r="X6781" s="28">
        <v>43746000</v>
      </c>
      <c r="Y6781" s="28">
        <v>2228710000</v>
      </c>
      <c r="Z6781" s="28">
        <v>1053106000</v>
      </c>
      <c r="AA6781" s="28"/>
      <c r="AB6781" s="28">
        <v>195844000</v>
      </c>
      <c r="AC6781" s="28">
        <v>1143000000</v>
      </c>
      <c r="AD6781" s="28">
        <v>1053116000</v>
      </c>
      <c r="AE6781" s="28">
        <v>5778439000</v>
      </c>
      <c r="AF6781" s="28">
        <v>872125000</v>
      </c>
      <c r="AG6781" s="11"/>
    </row>
    <row r="6782">
      <c r="A6782" s="7" t="s">
        <v>8347</v>
      </c>
      <c r="B6782" s="5" t="s">
        <v>16288</v>
      </c>
      <c r="C6782" s="5" t="s">
        <v>23929</v>
      </c>
      <c r="D6782" s="5" t="str">
        <v>060800318062</v>
      </c>
      <c r="E6782" s="0" t="e">
        <f>+7 (499) 6783678</f>
        <v>#NAME?</v>
      </c>
      <c r="F6782" s="5" t="s">
        <v>45084</v>
      </c>
      <c r="G6782" s="5" t="s">
        <v>45085</v>
      </c>
      <c r="H6782" s="26">
        <v>4.5</v>
      </c>
      <c r="I6782" s="5" t="s">
        <v>45086</v>
      </c>
      <c r="J6782" s="5" t="s">
        <v>28451</v>
      </c>
      <c r="K6782" s="5" t="s">
        <v>344</v>
      </c>
      <c r="L6782" s="5" t="s">
        <v>45087</v>
      </c>
      <c r="M6782" s="27"/>
      <c r="N6782" s="5" t="s">
        <v>59468</v>
      </c>
      <c r="O6782" s="5" t="str">
        <v>5005065674</v>
      </c>
      <c r="P6782" s="27">
        <v>70000000</v>
      </c>
      <c r="Q6782" s="5" t="s">
        <v>59469</v>
      </c>
      <c r="R6782" s="5"/>
      <c r="S6782" s="5" t="s">
        <v>59470</v>
      </c>
      <c r="T6782" s="28">
        <v>205107000</v>
      </c>
      <c r="U6782" s="28">
        <v>1200000</v>
      </c>
      <c r="V6782" s="28">
        <v>532898000</v>
      </c>
      <c r="W6782" s="28">
        <v>154759000</v>
      </c>
      <c r="X6782" s="28">
        <v>11921000</v>
      </c>
      <c r="Y6782" s="28">
        <v>1206469000</v>
      </c>
      <c r="Z6782" s="28">
        <v>391819000</v>
      </c>
      <c r="AA6782" s="28">
        <v>88000000</v>
      </c>
      <c r="AB6782" s="28">
        <v>24569000</v>
      </c>
      <c r="AC6782" s="28">
        <v>596550000</v>
      </c>
      <c r="AD6782" s="28">
        <v>441819000</v>
      </c>
      <c r="AE6782" s="28">
        <v>6300060000</v>
      </c>
      <c r="AF6782" s="28">
        <v>166572000</v>
      </c>
      <c r="AG6782" s="11"/>
    </row>
    <row r="6783">
      <c r="A6783" s="7" t="s">
        <v>8348</v>
      </c>
      <c r="B6783" s="5" t="s">
        <v>16289</v>
      </c>
      <c r="C6783" s="5" t="s">
        <v>23930</v>
      </c>
      <c r="D6783" s="5" t="str">
        <v>470304214384</v>
      </c>
      <c r="F6783" s="5"/>
      <c r="G6783" s="5"/>
      <c r="H6783" s="26">
        <v>11</v>
      </c>
      <c r="I6783" s="5" t="s">
        <v>45088</v>
      </c>
      <c r="J6783" s="5" t="s">
        <v>25219</v>
      </c>
      <c r="K6783" s="5" t="s">
        <v>344</v>
      </c>
      <c r="L6783" s="5" t="s">
        <v>45089</v>
      </c>
      <c r="M6783" s="27"/>
      <c r="N6783" s="5"/>
      <c r="O6783" s="5" t="str">
        <v>7838471956</v>
      </c>
      <c r="P6783" s="27">
        <v>1000000</v>
      </c>
      <c r="Q6783" s="5" t="s">
        <v>49009</v>
      </c>
      <c r="R6783" s="5"/>
      <c r="S6783" s="5" t="s">
        <v>49066</v>
      </c>
      <c r="T6783" s="28">
        <v>179812000</v>
      </c>
      <c r="U6783" s="28"/>
      <c r="V6783" s="28">
        <v>251323000</v>
      </c>
      <c r="W6783" s="28">
        <v>430850000</v>
      </c>
      <c r="X6783" s="28">
        <v>745738000</v>
      </c>
      <c r="Y6783" s="28">
        <v>3443729000</v>
      </c>
      <c r="Z6783" s="28">
        <v>697648000</v>
      </c>
      <c r="AA6783" s="28">
        <v>19300000</v>
      </c>
      <c r="AB6783" s="28">
        <v>1349000</v>
      </c>
      <c r="AC6783" s="28">
        <v>2725781000</v>
      </c>
      <c r="AD6783" s="28">
        <v>698648000</v>
      </c>
      <c r="AE6783" s="28">
        <v>36590938000</v>
      </c>
      <c r="AF6783" s="28">
        <v>494012000</v>
      </c>
      <c r="AG6783" s="11"/>
    </row>
    <row r="6784">
      <c r="A6784" s="7" t="s">
        <v>8349</v>
      </c>
      <c r="B6784" s="5" t="s">
        <v>16290</v>
      </c>
      <c r="C6784" s="5" t="s">
        <v>23931</v>
      </c>
      <c r="D6784" s="5" t="str">
        <v>781411403777</v>
      </c>
      <c r="E6784" s="0" t="e">
        <f>+7 (812) 3038202
+7 (812) 6402593
+7 (905) 2610208</f>
        <v>#NAME?</v>
      </c>
      <c r="F6784" s="5" t="s">
        <v>45090</v>
      </c>
      <c r="G6784" s="5" t="s">
        <v>45091</v>
      </c>
      <c r="H6784" s="26">
        <v>9</v>
      </c>
      <c r="I6784" s="5" t="s">
        <v>45092</v>
      </c>
      <c r="J6784" s="5" t="s">
        <v>27956</v>
      </c>
      <c r="K6784" s="5" t="s">
        <v>344</v>
      </c>
      <c r="L6784" s="5" t="s">
        <v>38921</v>
      </c>
      <c r="M6784" s="27"/>
      <c r="N6784" s="5"/>
      <c r="O6784" s="5" t="str">
        <v>7804525353</v>
      </c>
      <c r="P6784" s="27">
        <v>50000</v>
      </c>
      <c r="Q6784" s="5"/>
      <c r="R6784" s="5"/>
      <c r="S6784" s="5" t="s">
        <v>49110</v>
      </c>
      <c r="T6784" s="28">
        <v>35789000</v>
      </c>
      <c r="U6784" s="28"/>
      <c r="V6784" s="28">
        <v>508449000</v>
      </c>
      <c r="W6784" s="28"/>
      <c r="X6784" s="28">
        <v>31901000</v>
      </c>
      <c r="Y6784" s="28">
        <v>1271916000</v>
      </c>
      <c r="Z6784" s="28">
        <v>317890000</v>
      </c>
      <c r="AA6784" s="28"/>
      <c r="AB6784" s="28">
        <v>661634000</v>
      </c>
      <c r="AC6784" s="28">
        <v>951619000</v>
      </c>
      <c r="AD6784" s="28">
        <v>317940000</v>
      </c>
      <c r="AE6784" s="28">
        <v>7626347000</v>
      </c>
      <c r="AF6784" s="28">
        <v>167159000</v>
      </c>
      <c r="AG6784" s="11"/>
    </row>
    <row r="6785">
      <c r="A6785" s="7" t="s">
        <v>8350</v>
      </c>
      <c r="B6785" s="5" t="s">
        <v>16291</v>
      </c>
      <c r="C6785" s="5" t="s">
        <v>23932</v>
      </c>
      <c r="D6785" s="5" t="str">
        <v>911002556759</v>
      </c>
      <c r="E6785" s="0" t="e">
        <f>+7 (36569) 28827
+7 (36569) 28873
+7 (978) 664167
+7 (978) 9388221</f>
        <v>#NAME?</v>
      </c>
      <c r="F6785" s="5" t="s">
        <v>45093</v>
      </c>
      <c r="G6785" s="5"/>
      <c r="H6785" s="26">
        <v>8.5</v>
      </c>
      <c r="I6785" s="5" t="s">
        <v>45094</v>
      </c>
      <c r="J6785" s="5" t="s">
        <v>27742</v>
      </c>
      <c r="K6785" s="5" t="s">
        <v>344</v>
      </c>
      <c r="L6785" s="5" t="s">
        <v>45095</v>
      </c>
      <c r="M6785" s="27">
        <v>3913304</v>
      </c>
      <c r="N6785" s="5"/>
      <c r="O6785" s="5" t="str">
        <v>9107001420</v>
      </c>
      <c r="P6785" s="27">
        <v>273960000</v>
      </c>
      <c r="Q6785" s="5" t="s">
        <v>49009</v>
      </c>
      <c r="R6785" s="5"/>
      <c r="S6785" s="5" t="s">
        <v>49066</v>
      </c>
      <c r="T6785" s="28">
        <v>893391000</v>
      </c>
      <c r="U6785" s="28"/>
      <c r="V6785" s="28">
        <v>782245000</v>
      </c>
      <c r="W6785" s="28"/>
      <c r="X6785" s="28">
        <v>66199000</v>
      </c>
      <c r="Y6785" s="28">
        <v>5111448000</v>
      </c>
      <c r="Z6785" s="28">
        <v>1897333000</v>
      </c>
      <c r="AA6785" s="28">
        <v>142400000</v>
      </c>
      <c r="AB6785" s="28"/>
      <c r="AC6785" s="28">
        <v>2733382000</v>
      </c>
      <c r="AD6785" s="28">
        <v>2171293000</v>
      </c>
      <c r="AE6785" s="28">
        <v>4016005000</v>
      </c>
      <c r="AF6785" s="28">
        <v>1060788000</v>
      </c>
      <c r="AG6785" s="11"/>
    </row>
    <row r="6786">
      <c r="A6786" s="7" t="s">
        <v>8351</v>
      </c>
      <c r="B6786" s="5" t="s">
        <v>16292</v>
      </c>
      <c r="C6786" s="5" t="s">
        <v>23933</v>
      </c>
      <c r="D6786" s="5" t="str">
        <v>352807980993</v>
      </c>
      <c r="F6786" s="5"/>
      <c r="G6786" s="5"/>
      <c r="H6786" s="26">
        <v>11</v>
      </c>
      <c r="I6786" s="5" t="s">
        <v>45096</v>
      </c>
      <c r="J6786" s="5" t="s">
        <v>26057</v>
      </c>
      <c r="K6786" s="5" t="s">
        <v>344</v>
      </c>
      <c r="L6786" s="5" t="s">
        <v>45097</v>
      </c>
      <c r="M6786" s="27"/>
      <c r="N6786" s="5"/>
      <c r="O6786" s="5" t="str">
        <v>7718879609</v>
      </c>
      <c r="P6786" s="27">
        <v>10000</v>
      </c>
      <c r="Q6786" s="5" t="s">
        <v>49579</v>
      </c>
      <c r="R6786" s="5"/>
      <c r="S6786" s="5" t="s">
        <v>49580</v>
      </c>
      <c r="T6786" s="28">
        <v>1667000</v>
      </c>
      <c r="U6786" s="28"/>
      <c r="V6786" s="28">
        <v>333937000</v>
      </c>
      <c r="W6786" s="28">
        <v>101773000</v>
      </c>
      <c r="X6786" s="28">
        <v>12266000</v>
      </c>
      <c r="Y6786" s="28">
        <v>479937000</v>
      </c>
      <c r="Z6786" s="28">
        <v>201803000</v>
      </c>
      <c r="AA6786" s="28">
        <v>114080000</v>
      </c>
      <c r="AB6786" s="28">
        <v>63000</v>
      </c>
      <c r="AC6786" s="28">
        <v>163961000</v>
      </c>
      <c r="AD6786" s="28">
        <v>201815000</v>
      </c>
      <c r="AE6786" s="28">
        <v>3348430000</v>
      </c>
      <c r="AF6786" s="28">
        <v>21428000</v>
      </c>
      <c r="AG6786" s="11"/>
    </row>
    <row r="6787">
      <c r="A6787" s="7" t="s">
        <v>8352</v>
      </c>
      <c r="B6787" s="5" t="s">
        <v>16293</v>
      </c>
      <c r="C6787" s="5" t="s">
        <v>23934</v>
      </c>
      <c r="D6787" s="5" t="str">
        <v>421707560010</v>
      </c>
      <c r="E6787" s="0" t="e">
        <f>+7 (3843) 605885
+7 (800) 2348858</f>
        <v>#NAME?</v>
      </c>
      <c r="F6787" s="5" t="s">
        <v>45098</v>
      </c>
      <c r="G6787" s="5" t="s">
        <v>45099</v>
      </c>
      <c r="H6787" s="26">
        <v>15</v>
      </c>
      <c r="I6787" s="5" t="s">
        <v>45100</v>
      </c>
      <c r="J6787" s="5" t="s">
        <v>866</v>
      </c>
      <c r="K6787" s="5" t="s">
        <v>344</v>
      </c>
      <c r="L6787" s="5"/>
      <c r="M6787" s="27"/>
      <c r="N6787" s="5"/>
      <c r="O6787" s="5" t="str">
        <v>4220037324</v>
      </c>
      <c r="P6787" s="27">
        <v>5005000</v>
      </c>
      <c r="Q6787" s="5" t="s">
        <v>49009</v>
      </c>
      <c r="R6787" s="5"/>
      <c r="S6787" s="5" t="s">
        <v>49010</v>
      </c>
      <c r="T6787" s="28">
        <v>2451059000</v>
      </c>
      <c r="U6787" s="28"/>
      <c r="V6787" s="28">
        <v>836969000</v>
      </c>
      <c r="W6787" s="28">
        <v>285257000</v>
      </c>
      <c r="X6787" s="28">
        <v>29933000</v>
      </c>
      <c r="Y6787" s="28">
        <v>3748624000</v>
      </c>
      <c r="Z6787" s="28">
        <v>2282655000</v>
      </c>
      <c r="AA6787" s="28">
        <v>345163000</v>
      </c>
      <c r="AB6787" s="28">
        <v>4540000</v>
      </c>
      <c r="AC6787" s="28">
        <v>1115801000</v>
      </c>
      <c r="AD6787" s="28">
        <v>2287660000</v>
      </c>
      <c r="AE6787" s="28">
        <v>6234433000</v>
      </c>
      <c r="AF6787" s="28">
        <v>2052619000</v>
      </c>
      <c r="AG6787" s="11"/>
    </row>
    <row r="6788">
      <c r="A6788" s="7" t="s">
        <v>8353</v>
      </c>
      <c r="B6788" s="5" t="s">
        <v>16294</v>
      </c>
      <c r="C6788" s="5" t="s">
        <v>19838</v>
      </c>
      <c r="D6788" s="5"/>
      <c r="E6788" s="0" t="e">
        <f>+7 (495) 2551972
+7 (495) 6638851
+7 (495) 6879090
+7 (495) 7994650</f>
        <v>#NAME?</v>
      </c>
      <c r="F6788" s="5"/>
      <c r="G6788" s="5"/>
      <c r="H6788" s="26">
        <v>19</v>
      </c>
      <c r="I6788" s="5" t="s">
        <v>32329</v>
      </c>
      <c r="J6788" s="5" t="s">
        <v>678</v>
      </c>
      <c r="K6788" s="5" t="s">
        <v>355</v>
      </c>
      <c r="L6788" s="5" t="s">
        <v>45101</v>
      </c>
      <c r="M6788" s="27">
        <v>6560400</v>
      </c>
      <c r="N6788" s="5"/>
      <c r="O6788" s="5" t="str">
        <v>7723500449</v>
      </c>
      <c r="P6788" s="27">
        <v>12000000</v>
      </c>
      <c r="Q6788" s="5" t="s">
        <v>49021</v>
      </c>
      <c r="R6788" s="5"/>
      <c r="S6788" s="5" t="s">
        <v>59471</v>
      </c>
      <c r="T6788" s="28"/>
      <c r="U6788" s="28"/>
      <c r="V6788" s="28">
        <v>800317000</v>
      </c>
      <c r="W6788" s="28">
        <v>317950000</v>
      </c>
      <c r="X6788" s="28">
        <v>61599000</v>
      </c>
      <c r="Y6788" s="28">
        <v>1226079000</v>
      </c>
      <c r="Z6788" s="28">
        <v>764521000</v>
      </c>
      <c r="AA6788" s="28"/>
      <c r="AB6788" s="28">
        <v>58222000</v>
      </c>
      <c r="AC6788" s="28">
        <v>449558000</v>
      </c>
      <c r="AD6788" s="28">
        <v>776521000</v>
      </c>
      <c r="AE6788" s="28">
        <v>3903386000</v>
      </c>
      <c r="AF6788" s="28">
        <v>296203000</v>
      </c>
      <c r="AG6788" s="11"/>
    </row>
    <row r="6789">
      <c r="A6789" s="7" t="s">
        <v>8353</v>
      </c>
      <c r="B6789" s="5" t="s">
        <v>16295</v>
      </c>
      <c r="C6789" s="5" t="s">
        <v>23935</v>
      </c>
      <c r="D6789" s="5" t="str">
        <v>222406219853</v>
      </c>
      <c r="E6789" s="0" t="e">
        <f>+7 (923) 7276601
+7 (905) 9832868</f>
        <v>#NAME?</v>
      </c>
      <c r="F6789" s="5" t="s">
        <v>45102</v>
      </c>
      <c r="G6789" s="5"/>
      <c r="H6789" s="26">
        <v>4</v>
      </c>
      <c r="I6789" s="5" t="s">
        <v>45103</v>
      </c>
      <c r="J6789" s="5" t="s">
        <v>25837</v>
      </c>
      <c r="K6789" s="5" t="s">
        <v>344</v>
      </c>
      <c r="L6789" s="5" t="s">
        <v>45104</v>
      </c>
      <c r="M6789" s="27"/>
      <c r="N6789" s="5"/>
      <c r="O6789" s="5" t="str">
        <v>2225198755</v>
      </c>
      <c r="P6789" s="27">
        <v>10000</v>
      </c>
      <c r="Q6789" s="5"/>
      <c r="R6789" s="5"/>
      <c r="S6789" s="5" t="s">
        <v>49029</v>
      </c>
      <c r="T6789" s="28">
        <v>31369000</v>
      </c>
      <c r="U6789" s="28"/>
      <c r="V6789" s="28">
        <v>252240000</v>
      </c>
      <c r="W6789" s="28">
        <v>35622000</v>
      </c>
      <c r="X6789" s="28">
        <v>4107000</v>
      </c>
      <c r="Y6789" s="28">
        <v>324378000</v>
      </c>
      <c r="Z6789" s="28">
        <v>17813000</v>
      </c>
      <c r="AA6789" s="28"/>
      <c r="AB6789" s="28">
        <v>19435000</v>
      </c>
      <c r="AC6789" s="28">
        <v>306555000</v>
      </c>
      <c r="AD6789" s="28">
        <v>17823000</v>
      </c>
      <c r="AE6789" s="28">
        <v>3305507000</v>
      </c>
      <c r="AF6789" s="28">
        <v>9499000</v>
      </c>
      <c r="AG6789" s="11"/>
    </row>
    <row r="6790">
      <c r="A6790" s="7" t="s">
        <v>8354</v>
      </c>
      <c r="B6790" s="5" t="s">
        <v>16296</v>
      </c>
      <c r="C6790" s="5" t="s">
        <v>23936</v>
      </c>
      <c r="D6790" s="5" t="str">
        <v>591404123096</v>
      </c>
      <c r="E6790" s="0" t="e">
        <f>+7 (914) 7234781
+7 (916) 3003684
+7 (950) 2957966
+7 (39042) 31394
+7 (39042) 32178
+7 (39042) 32266
+7 (39042) 32607
+7 (4232) 469707
+7 (49654) 53579</f>
        <v>#NAME?</v>
      </c>
      <c r="F6790" s="5" t="s">
        <v>45105</v>
      </c>
      <c r="G6790" s="5" t="s">
        <v>45106</v>
      </c>
      <c r="H6790" s="26">
        <v>19.5</v>
      </c>
      <c r="I6790" s="5" t="s">
        <v>45107</v>
      </c>
      <c r="J6790" s="5" t="s">
        <v>25712</v>
      </c>
      <c r="K6790" s="5" t="s">
        <v>355</v>
      </c>
      <c r="L6790" s="5"/>
      <c r="M6790" s="27">
        <v>40292058</v>
      </c>
      <c r="N6790" s="5" t="s">
        <v>59472</v>
      </c>
      <c r="O6790" s="5" t="str">
        <v>1902018248</v>
      </c>
      <c r="P6790" s="27">
        <v>531671380</v>
      </c>
      <c r="Q6790" s="5" t="s">
        <v>59474</v>
      </c>
      <c r="R6790" s="5"/>
      <c r="S6790" s="5" t="s">
        <v>49760</v>
      </c>
      <c r="T6790" s="28">
        <v>3437345000</v>
      </c>
      <c r="U6790" s="28"/>
      <c r="V6790" s="28">
        <v>750691000</v>
      </c>
      <c r="W6790" s="28"/>
      <c r="X6790" s="28">
        <v>23712000</v>
      </c>
      <c r="Y6790" s="28">
        <v>5481587000</v>
      </c>
      <c r="Z6790" s="28">
        <v>659365000</v>
      </c>
      <c r="AA6790" s="28">
        <v>725380000</v>
      </c>
      <c r="AB6790" s="28">
        <v>699671000</v>
      </c>
      <c r="AC6790" s="28">
        <v>3372892000</v>
      </c>
      <c r="AD6790" s="28">
        <v>1191969000</v>
      </c>
      <c r="AE6790" s="28">
        <v>5444732000</v>
      </c>
      <c r="AF6790" s="28">
        <v>-310730000</v>
      </c>
      <c r="AG6790" s="11"/>
    </row>
    <row r="6791">
      <c r="A6791" s="7" t="s">
        <v>8355</v>
      </c>
      <c r="B6791" s="5" t="s">
        <v>16297</v>
      </c>
      <c r="C6791" s="5" t="s">
        <v>23937</v>
      </c>
      <c r="D6791" s="5" t="str">
        <v>772131144405</v>
      </c>
      <c r="E6791" s="0" t="e">
        <f>+7 (495) 455073
+7 (495) 7455073</f>
        <v>#NAME?</v>
      </c>
      <c r="F6791" s="5" t="s">
        <v>45108</v>
      </c>
      <c r="G6791" s="5"/>
      <c r="H6791" s="26">
        <v>21.5</v>
      </c>
      <c r="I6791" s="5" t="s">
        <v>45109</v>
      </c>
      <c r="J6791" s="5" t="s">
        <v>27956</v>
      </c>
      <c r="K6791" s="5" t="s">
        <v>355</v>
      </c>
      <c r="L6791" s="5" t="s">
        <v>45110</v>
      </c>
      <c r="M6791" s="27"/>
      <c r="N6791" s="5"/>
      <c r="O6791" s="5" t="str">
        <v>0411095062</v>
      </c>
      <c r="P6791" s="27">
        <v>1000000</v>
      </c>
      <c r="Q6791" s="5" t="s">
        <v>49009</v>
      </c>
      <c r="R6791" s="5"/>
      <c r="S6791" s="5" t="s">
        <v>49010</v>
      </c>
      <c r="T6791" s="28"/>
      <c r="U6791" s="28">
        <v>2545122000</v>
      </c>
      <c r="V6791" s="28">
        <v>369373000</v>
      </c>
      <c r="W6791" s="28">
        <v>798173000</v>
      </c>
      <c r="X6791" s="28">
        <v>3252060000</v>
      </c>
      <c r="Y6791" s="28">
        <v>9542317000</v>
      </c>
      <c r="Z6791" s="28">
        <v>1455647000</v>
      </c>
      <c r="AA6791" s="28"/>
      <c r="AB6791" s="28">
        <v>700000000</v>
      </c>
      <c r="AC6791" s="28">
        <v>8054346000</v>
      </c>
      <c r="AD6791" s="28">
        <v>1456647000</v>
      </c>
      <c r="AE6791" s="28">
        <v>19649013000</v>
      </c>
      <c r="AF6791" s="28">
        <v>-1647677000</v>
      </c>
      <c r="AG6791" s="11"/>
    </row>
    <row r="6792">
      <c r="A6792" s="7" t="s">
        <v>8356</v>
      </c>
      <c r="B6792" s="5" t="s">
        <v>16298</v>
      </c>
      <c r="C6792" s="5" t="s">
        <v>23938</v>
      </c>
      <c r="D6792" s="5" t="str">
        <v>290124585002</v>
      </c>
      <c r="E6792" s="0" t="e">
        <f>+7 (818) 2229999
+7 (818) 2293992
+7 (818) 2608990
+7 (909) 5552424
+7 (911) 8724923</f>
        <v>#NAME?</v>
      </c>
      <c r="F6792" s="5" t="s">
        <v>45111</v>
      </c>
      <c r="G6792" s="5" t="s">
        <v>45112</v>
      </c>
      <c r="H6792" s="26">
        <v>13</v>
      </c>
      <c r="I6792" s="5" t="s">
        <v>45113</v>
      </c>
      <c r="J6792" s="5" t="s">
        <v>28577</v>
      </c>
      <c r="K6792" s="5" t="s">
        <v>344</v>
      </c>
      <c r="L6792" s="5" t="s">
        <v>45114</v>
      </c>
      <c r="M6792" s="27">
        <v>9966521</v>
      </c>
      <c r="N6792" s="5" t="s">
        <v>59475</v>
      </c>
      <c r="O6792" s="5" t="str">
        <v>2901201732</v>
      </c>
      <c r="P6792" s="27">
        <v>40000</v>
      </c>
      <c r="Q6792" s="5" t="s">
        <v>59476</v>
      </c>
      <c r="R6792" s="5" t="s">
        <v>59477</v>
      </c>
      <c r="S6792" s="5" t="s">
        <v>59478</v>
      </c>
      <c r="T6792" s="28">
        <v>5670425000</v>
      </c>
      <c r="U6792" s="28"/>
      <c r="V6792" s="28">
        <v>1448112000</v>
      </c>
      <c r="W6792" s="28">
        <v>2072947000</v>
      </c>
      <c r="X6792" s="28">
        <v>112366000</v>
      </c>
      <c r="Y6792" s="28">
        <v>9828144000</v>
      </c>
      <c r="Z6792" s="28">
        <v>5589268000</v>
      </c>
      <c r="AA6792" s="28">
        <v>2714118000</v>
      </c>
      <c r="AB6792" s="28">
        <v>21001000</v>
      </c>
      <c r="AC6792" s="28">
        <v>1360742000</v>
      </c>
      <c r="AD6792" s="28">
        <v>5589308000</v>
      </c>
      <c r="AE6792" s="28">
        <v>7271161000</v>
      </c>
      <c r="AF6792" s="28">
        <v>2494395000</v>
      </c>
      <c r="AG6792" s="11"/>
    </row>
    <row r="6793">
      <c r="A6793" s="7" t="s">
        <v>8357</v>
      </c>
      <c r="B6793" s="5" t="s">
        <v>16299</v>
      </c>
      <c r="C6793" s="5" t="s">
        <v>23939</v>
      </c>
      <c r="D6793" s="5" t="str">
        <v>504213627069</v>
      </c>
      <c r="E6793" s="0" t="e">
        <f>+7 (495) 7450088
+7 (495) 9952323
+7 (499) 9732548</f>
        <v>#NAME?</v>
      </c>
      <c r="F6793" s="5" t="s">
        <v>45115</v>
      </c>
      <c r="G6793" s="5"/>
      <c r="H6793" s="26">
        <v>13</v>
      </c>
      <c r="I6793" s="5" t="s">
        <v>45116</v>
      </c>
      <c r="J6793" s="5" t="s">
        <v>678</v>
      </c>
      <c r="K6793" s="5" t="s">
        <v>344</v>
      </c>
      <c r="L6793" s="5" t="s">
        <v>45117</v>
      </c>
      <c r="M6793" s="27"/>
      <c r="N6793" s="5" t="s">
        <v>59479</v>
      </c>
      <c r="O6793" s="5" t="str">
        <v>7705904470</v>
      </c>
      <c r="P6793" s="27">
        <v>739190430</v>
      </c>
      <c r="Q6793" s="5" t="s">
        <v>59480</v>
      </c>
      <c r="R6793" s="5"/>
      <c r="S6793" s="5" t="s">
        <v>50119</v>
      </c>
      <c r="T6793" s="28">
        <v>36477000</v>
      </c>
      <c r="U6793" s="28"/>
      <c r="V6793" s="28">
        <v>1354516000</v>
      </c>
      <c r="W6793" s="28">
        <v>6286000</v>
      </c>
      <c r="X6793" s="28">
        <v>9373000</v>
      </c>
      <c r="Y6793" s="28">
        <v>4626876000</v>
      </c>
      <c r="Z6793" s="28">
        <v>1994715000</v>
      </c>
      <c r="AA6793" s="28"/>
      <c r="AB6793" s="28">
        <v>39000000</v>
      </c>
      <c r="AC6793" s="28">
        <v>1858047000</v>
      </c>
      <c r="AD6793" s="28">
        <v>2733905000</v>
      </c>
      <c r="AE6793" s="28">
        <v>13829672000</v>
      </c>
      <c r="AF6793" s="28">
        <v>234233000</v>
      </c>
      <c r="AG6793" s="11"/>
    </row>
    <row r="6794">
      <c r="A6794" s="7" t="s">
        <v>8358</v>
      </c>
      <c r="B6794" s="5" t="s">
        <v>16300</v>
      </c>
      <c r="C6794" s="5" t="s">
        <v>23940</v>
      </c>
      <c r="D6794" s="5" t="str">
        <v>380410681465</v>
      </c>
      <c r="E6794" s="0" t="e">
        <f>+7 (495) 7406118
+7 (800) 6000870
+7 (812) 6020586
+7 (962) 6997664
+7 (968) 7699935</f>
        <v>#NAME?</v>
      </c>
      <c r="F6794" s="5"/>
      <c r="G6794" s="5" t="s">
        <v>45118</v>
      </c>
      <c r="H6794" s="26">
        <v>7</v>
      </c>
      <c r="I6794" s="5" t="s">
        <v>45119</v>
      </c>
      <c r="J6794" s="5" t="s">
        <v>599</v>
      </c>
      <c r="K6794" s="5" t="s">
        <v>355</v>
      </c>
      <c r="L6794" s="5" t="s">
        <v>45120</v>
      </c>
      <c r="M6794" s="27">
        <v>12288800</v>
      </c>
      <c r="N6794" s="5"/>
      <c r="O6794" s="5" t="str">
        <v>5012091925</v>
      </c>
      <c r="P6794" s="27">
        <v>10000</v>
      </c>
      <c r="Q6794" s="5" t="s">
        <v>59481</v>
      </c>
      <c r="R6794" s="5"/>
      <c r="S6794" s="5" t="s">
        <v>49195</v>
      </c>
      <c r="T6794" s="28">
        <v>9657000</v>
      </c>
      <c r="U6794" s="28">
        <v>9000</v>
      </c>
      <c r="V6794" s="28">
        <v>453269000</v>
      </c>
      <c r="W6794" s="28"/>
      <c r="X6794" s="28">
        <v>55475000</v>
      </c>
      <c r="Y6794" s="28">
        <v>524363000</v>
      </c>
      <c r="Z6794" s="28">
        <v>206180000</v>
      </c>
      <c r="AA6794" s="28"/>
      <c r="AB6794" s="28"/>
      <c r="AC6794" s="28">
        <v>314380000</v>
      </c>
      <c r="AD6794" s="28">
        <v>206190000</v>
      </c>
      <c r="AE6794" s="28">
        <v>6605023000</v>
      </c>
      <c r="AF6794" s="28">
        <v>382449000</v>
      </c>
      <c r="AG6794" s="11"/>
    </row>
    <row r="6795">
      <c r="A6795" s="7" t="s">
        <v>8359</v>
      </c>
      <c r="B6795" s="5" t="s">
        <v>16301</v>
      </c>
      <c r="C6795" s="5" t="s">
        <v>23941</v>
      </c>
      <c r="D6795" s="5" t="str">
        <v>165804642978</v>
      </c>
      <c r="E6795" s="0" t="e">
        <f>+7 (905) 246060
+7 (960) 530513
+7 (800) 5005330
+7 (843) 3395060
+7 (8432) 228555
+7 (8432) 228560
+7 (8432) 228570
+7 (8432) 228580</f>
        <v>#NAME?</v>
      </c>
      <c r="F6795" s="5" t="s">
        <v>45121</v>
      </c>
      <c r="G6795" s="5" t="s">
        <v>45122</v>
      </c>
      <c r="H6795" s="26">
        <v>21.5</v>
      </c>
      <c r="I6795" s="5" t="s">
        <v>45123</v>
      </c>
      <c r="J6795" s="5" t="s">
        <v>373</v>
      </c>
      <c r="K6795" s="5" t="s">
        <v>344</v>
      </c>
      <c r="L6795" s="5" t="s">
        <v>45124</v>
      </c>
      <c r="M6795" s="27">
        <v>12185008</v>
      </c>
      <c r="N6795" s="5" t="s">
        <v>59482</v>
      </c>
      <c r="O6795" s="5" t="str">
        <v>1654035998</v>
      </c>
      <c r="P6795" s="27">
        <v>12000</v>
      </c>
      <c r="Q6795" s="5" t="s">
        <v>59483</v>
      </c>
      <c r="R6795" s="5" t="s">
        <v>53167</v>
      </c>
      <c r="S6795" s="5" t="s">
        <v>59484</v>
      </c>
      <c r="T6795" s="28">
        <v>990000</v>
      </c>
      <c r="U6795" s="28">
        <v>208928000</v>
      </c>
      <c r="V6795" s="28">
        <v>2123714000</v>
      </c>
      <c r="W6795" s="28">
        <v>625425000</v>
      </c>
      <c r="X6795" s="28">
        <v>134210000</v>
      </c>
      <c r="Y6795" s="28">
        <v>3911179000</v>
      </c>
      <c r="Z6795" s="28">
        <v>595436000</v>
      </c>
      <c r="AA6795" s="28">
        <v>2361600000</v>
      </c>
      <c r="AB6795" s="28">
        <v>90048000</v>
      </c>
      <c r="AC6795" s="28">
        <v>928499000</v>
      </c>
      <c r="AD6795" s="28">
        <v>595448000</v>
      </c>
      <c r="AE6795" s="28">
        <v>32177570000</v>
      </c>
      <c r="AF6795" s="28">
        <v>131173000</v>
      </c>
      <c r="AG6795" s="11"/>
    </row>
    <row r="6796">
      <c r="A6796" s="7" t="s">
        <v>8360</v>
      </c>
      <c r="B6796" s="5" t="s">
        <v>16113</v>
      </c>
      <c r="C6796" s="5" t="s">
        <v>23942</v>
      </c>
      <c r="D6796" s="5" t="str">
        <v>575307641266</v>
      </c>
      <c r="E6796" s="0" t="e">
        <f>+7 (906) 7177785
+7 (961) 6240787</f>
        <v>#NAME?</v>
      </c>
      <c r="F6796" s="5"/>
      <c r="G6796" s="5" t="s">
        <v>45125</v>
      </c>
      <c r="H6796" s="26">
        <v>5.5</v>
      </c>
      <c r="I6796" s="5" t="s">
        <v>45126</v>
      </c>
      <c r="J6796" s="5" t="s">
        <v>641</v>
      </c>
      <c r="K6796" s="5" t="s">
        <v>344</v>
      </c>
      <c r="L6796" s="5"/>
      <c r="M6796" s="27"/>
      <c r="N6796" s="5" t="s">
        <v>59485</v>
      </c>
      <c r="O6796" s="5" t="str">
        <v>5720023191</v>
      </c>
      <c r="P6796" s="27">
        <v>10000</v>
      </c>
      <c r="Q6796" s="5" t="s">
        <v>59486</v>
      </c>
      <c r="R6796" s="5"/>
      <c r="S6796" s="5" t="s">
        <v>59487</v>
      </c>
      <c r="T6796" s="28"/>
      <c r="U6796" s="28"/>
      <c r="V6796" s="28">
        <v>488148000</v>
      </c>
      <c r="W6796" s="28">
        <v>34000000</v>
      </c>
      <c r="X6796" s="28">
        <v>3780000</v>
      </c>
      <c r="Y6796" s="28">
        <v>552635000</v>
      </c>
      <c r="Z6796" s="28">
        <v>20026000</v>
      </c>
      <c r="AA6796" s="28">
        <v>150500000</v>
      </c>
      <c r="AB6796" s="28"/>
      <c r="AC6796" s="28">
        <v>382099000</v>
      </c>
      <c r="AD6796" s="28">
        <v>20036000</v>
      </c>
      <c r="AE6796" s="28">
        <v>3219303000</v>
      </c>
      <c r="AF6796" s="28">
        <v>35580000</v>
      </c>
      <c r="AG6796" s="11"/>
    </row>
    <row r="6797">
      <c r="A6797" s="7" t="s">
        <v>8361</v>
      </c>
      <c r="B6797" s="5" t="s">
        <v>16302</v>
      </c>
      <c r="C6797" s="5" t="s">
        <v>23943</v>
      </c>
      <c r="D6797" s="5" t="str">
        <v>774324244520</v>
      </c>
      <c r="E6797" s="0" t="e">
        <f>+7 (343) 2531233
+7 (383) 2408315
+7 (383) 2408355
+7 (495) 9358517
+7 (495) 9358518
+7 (495) 9538517
+7 (499) 9358517
+7 (83146) 19149
+7 (8622) 960103</f>
        <v>#NAME?</v>
      </c>
      <c r="F6797" s="5" t="s">
        <v>45127</v>
      </c>
      <c r="G6797" s="5" t="s">
        <v>45128</v>
      </c>
      <c r="H6797" s="26">
        <v>20.5</v>
      </c>
      <c r="I6797" s="5" t="s">
        <v>45129</v>
      </c>
      <c r="J6797" s="5" t="s">
        <v>518</v>
      </c>
      <c r="K6797" s="5" t="s">
        <v>344</v>
      </c>
      <c r="L6797" s="5" t="s">
        <v>45130</v>
      </c>
      <c r="M6797" s="27">
        <v>100596546</v>
      </c>
      <c r="N6797" s="5" t="s">
        <v>59488</v>
      </c>
      <c r="O6797" s="5" t="str">
        <v>7703342145</v>
      </c>
      <c r="P6797" s="27">
        <v>14343875</v>
      </c>
      <c r="Q6797" s="5" t="s">
        <v>59489</v>
      </c>
      <c r="R6797" s="5"/>
      <c r="S6797" s="5" t="s">
        <v>52342</v>
      </c>
      <c r="T6797" s="28">
        <v>207174000</v>
      </c>
      <c r="U6797" s="28"/>
      <c r="V6797" s="28">
        <v>1530486000</v>
      </c>
      <c r="W6797" s="28"/>
      <c r="X6797" s="28">
        <v>717321000</v>
      </c>
      <c r="Y6797" s="28">
        <v>4158500000</v>
      </c>
      <c r="Z6797" s="28">
        <v>1494427000</v>
      </c>
      <c r="AA6797" s="28"/>
      <c r="AB6797" s="28"/>
      <c r="AC6797" s="28">
        <v>2313696000</v>
      </c>
      <c r="AD6797" s="28">
        <v>1693928000</v>
      </c>
      <c r="AE6797" s="28">
        <v>6592986000</v>
      </c>
      <c r="AF6797" s="28">
        <v>75968000</v>
      </c>
      <c r="AG6797" s="11"/>
    </row>
    <row r="6798">
      <c r="A6798" s="7" t="s">
        <v>8362</v>
      </c>
      <c r="B6798" s="5" t="s">
        <v>14142</v>
      </c>
      <c r="C6798" s="5" t="s">
        <v>23944</v>
      </c>
      <c r="D6798" s="5" t="str">
        <v>024001845890</v>
      </c>
      <c r="E6798" s="0" t="e">
        <f>+7 (495) 9818062
+7 (919) 6150701</f>
        <v>#NAME?</v>
      </c>
      <c r="F6798" s="5" t="s">
        <v>45131</v>
      </c>
      <c r="G6798" s="5"/>
      <c r="H6798" s="26">
        <v>4</v>
      </c>
      <c r="I6798" s="5" t="s">
        <v>45132</v>
      </c>
      <c r="J6798" s="5" t="s">
        <v>678</v>
      </c>
      <c r="K6798" s="5" t="s">
        <v>344</v>
      </c>
      <c r="L6798" s="5" t="s">
        <v>45133</v>
      </c>
      <c r="M6798" s="27"/>
      <c r="N6798" s="5"/>
      <c r="O6798" s="5" t="str">
        <v>7727410281</v>
      </c>
      <c r="P6798" s="27">
        <v>1863546</v>
      </c>
      <c r="Q6798" s="5" t="s">
        <v>59490</v>
      </c>
      <c r="R6798" s="5"/>
      <c r="S6798" s="5" t="s">
        <v>59491</v>
      </c>
      <c r="T6798" s="28">
        <v>3556000</v>
      </c>
      <c r="U6798" s="28"/>
      <c r="V6798" s="28">
        <v>610724000</v>
      </c>
      <c r="W6798" s="28"/>
      <c r="X6798" s="28">
        <v>33682000</v>
      </c>
      <c r="Y6798" s="28">
        <v>686836000</v>
      </c>
      <c r="Z6798" s="28">
        <v>57101000</v>
      </c>
      <c r="AA6798" s="28">
        <v>5293000</v>
      </c>
      <c r="AB6798" s="28">
        <v>3063000</v>
      </c>
      <c r="AC6798" s="28">
        <v>621377000</v>
      </c>
      <c r="AD6798" s="28">
        <v>58965000</v>
      </c>
      <c r="AE6798" s="28">
        <v>5923358000</v>
      </c>
      <c r="AF6798" s="28">
        <v>44648000</v>
      </c>
      <c r="AG6798" s="11"/>
    </row>
    <row r="6799">
      <c r="A6799" s="7" t="s">
        <v>8363</v>
      </c>
      <c r="B6799" s="5" t="s">
        <v>16303</v>
      </c>
      <c r="C6799" s="5" t="s">
        <v>17813</v>
      </c>
      <c r="D6799" s="5" t="str">
        <v>761001040559</v>
      </c>
      <c r="E6799" s="0" t="e">
        <f>+7 (920) 1203354
+7 (931) 2152558
+7 (485) 2287794
+7 (920) 1207558</f>
        <v>#NAME?</v>
      </c>
      <c r="F6799" s="5" t="s">
        <v>45134</v>
      </c>
      <c r="G6799" s="5" t="s">
        <v>45135</v>
      </c>
      <c r="H6799" s="26">
        <v>7.5</v>
      </c>
      <c r="I6799" s="5" t="s">
        <v>25815</v>
      </c>
      <c r="J6799" s="5" t="s">
        <v>25429</v>
      </c>
      <c r="K6799" s="5" t="s">
        <v>344</v>
      </c>
      <c r="L6799" s="5" t="s">
        <v>44217</v>
      </c>
      <c r="M6799" s="27"/>
      <c r="N6799" s="5" t="s">
        <v>59492</v>
      </c>
      <c r="O6799" s="5" t="str">
        <v>7604287662</v>
      </c>
      <c r="P6799" s="27">
        <v>10000</v>
      </c>
      <c r="Q6799" s="5" t="s">
        <v>59493</v>
      </c>
      <c r="R6799" s="5"/>
      <c r="S6799" s="5" t="s">
        <v>49586</v>
      </c>
      <c r="T6799" s="28">
        <v>78329000</v>
      </c>
      <c r="U6799" s="28"/>
      <c r="V6799" s="28">
        <v>690138000</v>
      </c>
      <c r="W6799" s="28">
        <v>111307000</v>
      </c>
      <c r="X6799" s="28">
        <v>18931000</v>
      </c>
      <c r="Y6799" s="28">
        <v>2026299000</v>
      </c>
      <c r="Z6799" s="28">
        <v>667954000</v>
      </c>
      <c r="AA6799" s="28"/>
      <c r="AB6799" s="28">
        <v>494860000</v>
      </c>
      <c r="AC6799" s="28">
        <v>1358335000</v>
      </c>
      <c r="AD6799" s="28">
        <v>667964000</v>
      </c>
      <c r="AE6799" s="28">
        <v>8000641000</v>
      </c>
      <c r="AF6799" s="28">
        <v>195293000</v>
      </c>
      <c r="AG6799" s="11"/>
    </row>
    <row r="6800">
      <c r="A6800" s="7" t="s">
        <v>8364</v>
      </c>
      <c r="B6800" s="5" t="s">
        <v>16304</v>
      </c>
      <c r="C6800" s="5" t="s">
        <v>23945</v>
      </c>
      <c r="D6800" s="5" t="str">
        <v>505002706316</v>
      </c>
      <c r="F6800" s="5" t="s">
        <v>45136</v>
      </c>
      <c r="G6800" s="5"/>
      <c r="H6800" s="26">
        <v>16</v>
      </c>
      <c r="I6800" s="5" t="s">
        <v>45137</v>
      </c>
      <c r="J6800" s="5" t="s">
        <v>373</v>
      </c>
      <c r="K6800" s="5" t="s">
        <v>344</v>
      </c>
      <c r="L6800" s="5" t="s">
        <v>45138</v>
      </c>
      <c r="M6800" s="27"/>
      <c r="N6800" s="5" t="s">
        <v>59494</v>
      </c>
      <c r="O6800" s="5" t="str">
        <v>7719616426</v>
      </c>
      <c r="P6800" s="27">
        <v>510000</v>
      </c>
      <c r="Q6800" s="5" t="s">
        <v>59495</v>
      </c>
      <c r="R6800" s="5"/>
      <c r="S6800" s="5" t="s">
        <v>59496</v>
      </c>
      <c r="T6800" s="28">
        <v>194000</v>
      </c>
      <c r="U6800" s="28"/>
      <c r="V6800" s="28">
        <v>178036000</v>
      </c>
      <c r="W6800" s="28">
        <v>45896000</v>
      </c>
      <c r="X6800" s="28">
        <v>102948000</v>
      </c>
      <c r="Y6800" s="28">
        <v>7358592000</v>
      </c>
      <c r="Z6800" s="28">
        <v>537812000</v>
      </c>
      <c r="AA6800" s="28"/>
      <c r="AB6800" s="28">
        <v>9962000</v>
      </c>
      <c r="AC6800" s="28">
        <v>6810109000</v>
      </c>
      <c r="AD6800" s="28">
        <v>538427000</v>
      </c>
      <c r="AE6800" s="28">
        <v>22292404000</v>
      </c>
      <c r="AF6800" s="28">
        <v>153054000</v>
      </c>
      <c r="AG6800" s="11"/>
    </row>
    <row r="6801">
      <c r="A6801" s="7" t="s">
        <v>8365</v>
      </c>
      <c r="B6801" s="5" t="s">
        <v>16305</v>
      </c>
      <c r="C6801" s="5" t="s">
        <v>23946</v>
      </c>
      <c r="D6801" s="5" t="str">
        <v>773008659330</v>
      </c>
      <c r="E6801" s="0" t="e">
        <f>+7 (915) 4720816</f>
        <v>#NAME?</v>
      </c>
      <c r="F6801" s="5" t="s">
        <v>45139</v>
      </c>
      <c r="G6801" s="5" t="s">
        <v>45140</v>
      </c>
      <c r="H6801" s="26">
        <v>6.5</v>
      </c>
      <c r="I6801" s="5" t="s">
        <v>45141</v>
      </c>
      <c r="J6801" s="5" t="s">
        <v>25837</v>
      </c>
      <c r="K6801" s="5" t="s">
        <v>344</v>
      </c>
      <c r="L6801" s="5" t="s">
        <v>45142</v>
      </c>
      <c r="M6801" s="27"/>
      <c r="N6801" s="5" t="s">
        <v>59497</v>
      </c>
      <c r="O6801" s="5" t="str">
        <v>7716828119</v>
      </c>
      <c r="P6801" s="27">
        <v>10000</v>
      </c>
      <c r="Q6801" s="5"/>
      <c r="R6801" s="5"/>
      <c r="S6801" s="5" t="s">
        <v>49399</v>
      </c>
      <c r="T6801" s="28">
        <v>13660000</v>
      </c>
      <c r="U6801" s="28"/>
      <c r="V6801" s="28">
        <v>517573000</v>
      </c>
      <c r="W6801" s="28">
        <v>7500000</v>
      </c>
      <c r="X6801" s="28">
        <v>749000</v>
      </c>
      <c r="Y6801" s="28">
        <v>688773000</v>
      </c>
      <c r="Z6801" s="28">
        <v>116171000</v>
      </c>
      <c r="AA6801" s="28">
        <v>348814000</v>
      </c>
      <c r="AB6801" s="28">
        <v>116744000</v>
      </c>
      <c r="AC6801" s="28">
        <v>223184000</v>
      </c>
      <c r="AD6801" s="28">
        <v>116181000</v>
      </c>
      <c r="AE6801" s="28">
        <v>3828566000</v>
      </c>
      <c r="AF6801" s="28">
        <v>70939000</v>
      </c>
      <c r="AG6801" s="11"/>
    </row>
    <row r="6802">
      <c r="A6802" s="7" t="s">
        <v>8366</v>
      </c>
      <c r="B6802" s="5" t="s">
        <v>16306</v>
      </c>
      <c r="C6802" s="5" t="s">
        <v>23947</v>
      </c>
      <c r="D6802" s="5" t="str">
        <v>770101909043</v>
      </c>
      <c r="E6802" s="0" t="e">
        <f>+7 (812) 6678868
+7 (812) 6793222
+7 (812) 9203903
+7 (812) 9203904
+7 (910) 71912</f>
        <v>#NAME?</v>
      </c>
      <c r="F6802" s="5" t="s">
        <v>45143</v>
      </c>
      <c r="G6802" s="5" t="s">
        <v>45144</v>
      </c>
      <c r="H6802" s="26">
        <v>10</v>
      </c>
      <c r="I6802" s="5" t="s">
        <v>45145</v>
      </c>
      <c r="J6802" s="5" t="s">
        <v>42295</v>
      </c>
      <c r="K6802" s="5" t="s">
        <v>344</v>
      </c>
      <c r="L6802" s="5"/>
      <c r="M6802" s="27">
        <v>5356823</v>
      </c>
      <c r="N6802" s="5"/>
      <c r="O6802" s="5" t="str">
        <v>6952036026</v>
      </c>
      <c r="P6802" s="27">
        <v>100000</v>
      </c>
      <c r="Q6802" s="5"/>
      <c r="R6802" s="5"/>
      <c r="S6802" s="5" t="s">
        <v>49121</v>
      </c>
      <c r="T6802" s="28">
        <v>30607000</v>
      </c>
      <c r="U6802" s="28">
        <v>815800000</v>
      </c>
      <c r="V6802" s="28">
        <v>694970000</v>
      </c>
      <c r="W6802" s="28">
        <v>882124000</v>
      </c>
      <c r="X6802" s="28">
        <v>202679000</v>
      </c>
      <c r="Y6802" s="28">
        <v>15610666000</v>
      </c>
      <c r="Z6802" s="28">
        <v>1944529000</v>
      </c>
      <c r="AA6802" s="28">
        <v>9533582000</v>
      </c>
      <c r="AB6802" s="28">
        <v>194123000</v>
      </c>
      <c r="AC6802" s="28">
        <v>252990000</v>
      </c>
      <c r="AD6802" s="28">
        <v>1944629000</v>
      </c>
      <c r="AE6802" s="28">
        <v>3109674000</v>
      </c>
      <c r="AF6802" s="28">
        <v>723804000</v>
      </c>
      <c r="AG6802" s="11"/>
    </row>
    <row r="6803">
      <c r="A6803" s="7" t="s">
        <v>8367</v>
      </c>
      <c r="B6803" s="5" t="s">
        <v>16307</v>
      </c>
      <c r="C6803" s="5" t="s">
        <v>23948</v>
      </c>
      <c r="D6803" s="5" t="str">
        <v>272116452296</v>
      </c>
      <c r="F6803" s="5" t="s">
        <v>45146</v>
      </c>
      <c r="G6803" s="5"/>
      <c r="H6803" s="26">
        <v>3.5</v>
      </c>
      <c r="I6803" s="5" t="s">
        <v>45147</v>
      </c>
      <c r="J6803" s="5" t="s">
        <v>671</v>
      </c>
      <c r="K6803" s="5" t="s">
        <v>344</v>
      </c>
      <c r="L6803" s="5" t="s">
        <v>45148</v>
      </c>
      <c r="M6803" s="27"/>
      <c r="N6803" s="5"/>
      <c r="O6803" s="5" t="str">
        <v>2457085141</v>
      </c>
      <c r="P6803" s="27">
        <v>1000000</v>
      </c>
      <c r="Q6803" s="5" t="s">
        <v>59498</v>
      </c>
      <c r="R6803" s="5"/>
      <c r="S6803" s="5" t="s">
        <v>52934</v>
      </c>
      <c r="T6803" s="28">
        <v>16542698000</v>
      </c>
      <c r="U6803" s="28"/>
      <c r="V6803" s="28">
        <v>4523706000</v>
      </c>
      <c r="W6803" s="28">
        <v>50000000</v>
      </c>
      <c r="X6803" s="28">
        <v>1677696000</v>
      </c>
      <c r="Y6803" s="28">
        <v>23540839000</v>
      </c>
      <c r="Z6803" s="28">
        <v>3990429000</v>
      </c>
      <c r="AA6803" s="28">
        <v>19000</v>
      </c>
      <c r="AB6803" s="28"/>
      <c r="AC6803" s="28">
        <v>5745366000</v>
      </c>
      <c r="AD6803" s="28">
        <v>3991429000</v>
      </c>
      <c r="AE6803" s="28">
        <v>14108446000</v>
      </c>
      <c r="AF6803" s="28">
        <v>6250621000</v>
      </c>
      <c r="AG6803" s="11"/>
    </row>
    <row r="6804">
      <c r="A6804" s="7" t="s">
        <v>8368</v>
      </c>
      <c r="B6804" s="5" t="s">
        <v>16308</v>
      </c>
      <c r="C6804" s="5" t="s">
        <v>23949</v>
      </c>
      <c r="D6804" s="5" t="str">
        <v>773603967968</v>
      </c>
      <c r="E6804" s="0" t="e">
        <f>+7 (499) 2323540
+7 (495) 2323540
+7 (495) 6603405
+7 (495) 7881201
+7 (495) 7881214
+7 (499) 2540300
+7 (499) 2546900
+7 (499) 2547475
+7 (499) 2549632
+7 (499) 2549676</f>
        <v>#NAME?</v>
      </c>
      <c r="F6804" s="5" t="s">
        <v>45149</v>
      </c>
      <c r="G6804" s="5" t="s">
        <v>45150</v>
      </c>
      <c r="H6804" s="26">
        <v>28.5</v>
      </c>
      <c r="I6804" s="5"/>
      <c r="J6804" s="5" t="s">
        <v>26459</v>
      </c>
      <c r="K6804" s="5" t="s">
        <v>344</v>
      </c>
      <c r="L6804" s="5" t="s">
        <v>45151</v>
      </c>
      <c r="M6804" s="27"/>
      <c r="N6804" s="5" t="s">
        <v>59499</v>
      </c>
      <c r="O6804" s="5" t="str">
        <v>7714017443</v>
      </c>
      <c r="P6804" s="27">
        <v>1300000</v>
      </c>
      <c r="Q6804" s="5" t="s">
        <v>49021</v>
      </c>
      <c r="R6804" s="5"/>
      <c r="S6804" s="5" t="s">
        <v>59500</v>
      </c>
      <c r="T6804" s="28">
        <v>102125000</v>
      </c>
      <c r="U6804" s="28">
        <v>42510000</v>
      </c>
      <c r="V6804" s="28">
        <v>731069000</v>
      </c>
      <c r="W6804" s="28"/>
      <c r="X6804" s="28">
        <v>6705485000</v>
      </c>
      <c r="Y6804" s="28">
        <v>8181097000</v>
      </c>
      <c r="Z6804" s="28">
        <v>1702586000</v>
      </c>
      <c r="AA6804" s="28"/>
      <c r="AB6804" s="28"/>
      <c r="AC6804" s="28">
        <v>6477015000</v>
      </c>
      <c r="AD6804" s="28">
        <v>1704082000</v>
      </c>
      <c r="AE6804" s="28">
        <v>4000734000</v>
      </c>
      <c r="AF6804" s="28">
        <v>1350283000</v>
      </c>
      <c r="AG6804" s="11"/>
    </row>
    <row r="6805">
      <c r="A6805" s="7" t="s">
        <v>8369</v>
      </c>
      <c r="B6805" s="5" t="s">
        <v>16309</v>
      </c>
      <c r="C6805" s="5" t="s">
        <v>23950</v>
      </c>
      <c r="D6805" s="5" t="str">
        <v>771544520681</v>
      </c>
      <c r="E6805" s="0" t="e">
        <f>+7 (495) 7301788
+7 (495) 6195425
+7 (499) 4002426</f>
        <v>#NAME?</v>
      </c>
      <c r="F6805" s="5" t="s">
        <v>45152</v>
      </c>
      <c r="G6805" s="5"/>
      <c r="H6805" s="26">
        <v>15</v>
      </c>
      <c r="I6805" s="5" t="s">
        <v>45153</v>
      </c>
      <c r="J6805" s="5" t="s">
        <v>25429</v>
      </c>
      <c r="K6805" s="5" t="s">
        <v>344</v>
      </c>
      <c r="L6805" s="5" t="s">
        <v>45154</v>
      </c>
      <c r="M6805" s="27"/>
      <c r="N6805" s="5" t="s">
        <v>59501</v>
      </c>
      <c r="O6805" s="5" t="str">
        <v>7717620226</v>
      </c>
      <c r="P6805" s="27">
        <v>50000</v>
      </c>
      <c r="Q6805" s="5" t="s">
        <v>59502</v>
      </c>
      <c r="R6805" s="5"/>
      <c r="S6805" s="5" t="s">
        <v>49361</v>
      </c>
      <c r="T6805" s="28">
        <v>246408000</v>
      </c>
      <c r="U6805" s="28">
        <v>197829000</v>
      </c>
      <c r="V6805" s="28">
        <v>2001998000</v>
      </c>
      <c r="W6805" s="28">
        <v>415400000</v>
      </c>
      <c r="X6805" s="28">
        <v>1741803000</v>
      </c>
      <c r="Y6805" s="28">
        <v>7130577000</v>
      </c>
      <c r="Z6805" s="28">
        <v>5310845000</v>
      </c>
      <c r="AA6805" s="28"/>
      <c r="AB6805" s="28"/>
      <c r="AC6805" s="28">
        <v>1599127000</v>
      </c>
      <c r="AD6805" s="28">
        <v>5310895000</v>
      </c>
      <c r="AE6805" s="28">
        <v>12587900000</v>
      </c>
      <c r="AF6805" s="28">
        <v>2338389000</v>
      </c>
      <c r="AG6805" s="11"/>
    </row>
    <row r="6806">
      <c r="A6806" s="7" t="s">
        <v>8370</v>
      </c>
      <c r="B6806" s="5" t="s">
        <v>16310</v>
      </c>
      <c r="C6806" s="5" t="s">
        <v>23951</v>
      </c>
      <c r="D6806" s="5" t="str">
        <v>770971339477</v>
      </c>
      <c r="E6806" s="0" t="e">
        <f>+7 (495) 2151103</f>
        <v>#NAME?</v>
      </c>
      <c r="F6806" s="5" t="s">
        <v>45155</v>
      </c>
      <c r="G6806" s="5"/>
      <c r="H6806" s="26">
        <v>6</v>
      </c>
      <c r="I6806" s="5" t="s">
        <v>45156</v>
      </c>
      <c r="J6806" s="5" t="s">
        <v>599</v>
      </c>
      <c r="K6806" s="5" t="s">
        <v>344</v>
      </c>
      <c r="L6806" s="5" t="s">
        <v>45157</v>
      </c>
      <c r="M6806" s="27">
        <v>210000</v>
      </c>
      <c r="N6806" s="5" t="s">
        <v>51968</v>
      </c>
      <c r="O6806" s="5" t="str">
        <v>9715285576</v>
      </c>
      <c r="P6806" s="27">
        <v>20000</v>
      </c>
      <c r="Q6806" s="5" t="s">
        <v>59503</v>
      </c>
      <c r="R6806" s="5"/>
      <c r="S6806" s="5" t="s">
        <v>59504</v>
      </c>
      <c r="T6806" s="28">
        <v>3459000</v>
      </c>
      <c r="U6806" s="28"/>
      <c r="V6806" s="28">
        <v>742336000</v>
      </c>
      <c r="W6806" s="28"/>
      <c r="X6806" s="28">
        <v>391000</v>
      </c>
      <c r="Y6806" s="28">
        <v>760935000</v>
      </c>
      <c r="Z6806" s="28">
        <v>351097000</v>
      </c>
      <c r="AA6806" s="28"/>
      <c r="AB6806" s="28">
        <v>195279000</v>
      </c>
      <c r="AC6806" s="28">
        <v>407109000</v>
      </c>
      <c r="AD6806" s="28">
        <v>351117000</v>
      </c>
      <c r="AE6806" s="28">
        <v>3404143000</v>
      </c>
      <c r="AF6806" s="28">
        <v>224951000</v>
      </c>
      <c r="AG6806" s="11"/>
    </row>
    <row r="6807">
      <c r="A6807" s="7" t="s">
        <v>8371</v>
      </c>
      <c r="B6807" s="5" t="s">
        <v>16311</v>
      </c>
      <c r="C6807" s="5" t="s">
        <v>23952</v>
      </c>
      <c r="D6807" s="5" t="str">
        <v>701723379575</v>
      </c>
      <c r="E6807" s="0" t="e">
        <f>+7 (382) 2505202
+7 (382) 2706726
+7 (382) 2723234</f>
        <v>#NAME?</v>
      </c>
      <c r="F6807" s="5" t="s">
        <v>45158</v>
      </c>
      <c r="G6807" s="5"/>
      <c r="H6807" s="26">
        <v>13.5</v>
      </c>
      <c r="I6807" s="5" t="s">
        <v>45159</v>
      </c>
      <c r="J6807" s="5" t="s">
        <v>43110</v>
      </c>
      <c r="K6807" s="5" t="s">
        <v>344</v>
      </c>
      <c r="L6807" s="5" t="s">
        <v>45160</v>
      </c>
      <c r="M6807" s="27"/>
      <c r="N6807" s="5"/>
      <c r="O6807" s="5" t="str">
        <v>7017245812</v>
      </c>
      <c r="P6807" s="27">
        <v>10000</v>
      </c>
      <c r="Q6807" s="5" t="s">
        <v>49059</v>
      </c>
      <c r="R6807" s="5"/>
      <c r="S6807" s="5" t="s">
        <v>49010</v>
      </c>
      <c r="T6807" s="28">
        <v>30848000</v>
      </c>
      <c r="U6807" s="28">
        <v>848951000</v>
      </c>
      <c r="V6807" s="28">
        <v>671815000</v>
      </c>
      <c r="W6807" s="28">
        <v>56549000</v>
      </c>
      <c r="X6807" s="28">
        <v>1512149000</v>
      </c>
      <c r="Y6807" s="28">
        <v>3422225000</v>
      </c>
      <c r="Z6807" s="28">
        <v>2781255000</v>
      </c>
      <c r="AA6807" s="28"/>
      <c r="AB6807" s="28"/>
      <c r="AC6807" s="28">
        <v>638354000</v>
      </c>
      <c r="AD6807" s="28">
        <v>2781265000</v>
      </c>
      <c r="AE6807" s="28">
        <v>10174214000</v>
      </c>
      <c r="AF6807" s="28">
        <v>937000</v>
      </c>
      <c r="AG6807" s="11"/>
    </row>
    <row r="6808">
      <c r="A6808" s="7" t="s">
        <v>8372</v>
      </c>
      <c r="B6808" s="5" t="s">
        <v>16312</v>
      </c>
      <c r="C6808" s="5" t="s">
        <v>23953</v>
      </c>
      <c r="D6808" s="5" t="str">
        <v>254009374319</v>
      </c>
      <c r="E6808" s="0" t="e">
        <f>+7 (4234) 380323
+7 (914) 7075566
+7 (4232) 214050
+7 (4232) 380323
+7 (499) 2677443</f>
        <v>#NAME?</v>
      </c>
      <c r="F6808" s="5" t="s">
        <v>45161</v>
      </c>
      <c r="G6808" s="5" t="s">
        <v>45162</v>
      </c>
      <c r="H6808" s="26">
        <v>18.5</v>
      </c>
      <c r="I6808" s="5" t="s">
        <v>45163</v>
      </c>
      <c r="J6808" s="5" t="s">
        <v>599</v>
      </c>
      <c r="K6808" s="5" t="s">
        <v>344</v>
      </c>
      <c r="L6808" s="5" t="s">
        <v>45164</v>
      </c>
      <c r="M6808" s="27">
        <v>27146031</v>
      </c>
      <c r="N6808" s="5" t="s">
        <v>59505</v>
      </c>
      <c r="O6808" s="5" t="str">
        <v>7708538014</v>
      </c>
      <c r="P6808" s="27">
        <v>5000000</v>
      </c>
      <c r="Q6808" s="5" t="s">
        <v>49009</v>
      </c>
      <c r="R6808" s="5"/>
      <c r="S6808" s="5" t="s">
        <v>50230</v>
      </c>
      <c r="T6808" s="28">
        <v>185609000</v>
      </c>
      <c r="U6808" s="28">
        <v>28477000</v>
      </c>
      <c r="V6808" s="28">
        <v>873761000</v>
      </c>
      <c r="W6808" s="28">
        <v>13557000</v>
      </c>
      <c r="X6808" s="28">
        <v>328110000</v>
      </c>
      <c r="Y6808" s="28">
        <v>1732253000</v>
      </c>
      <c r="Z6808" s="28">
        <v>505848000</v>
      </c>
      <c r="AA6808" s="28">
        <v>43500000</v>
      </c>
      <c r="AB6808" s="28">
        <v>531000</v>
      </c>
      <c r="AC6808" s="28">
        <v>1074749000</v>
      </c>
      <c r="AD6808" s="28">
        <v>510848000</v>
      </c>
      <c r="AE6808" s="28">
        <v>9257191000</v>
      </c>
      <c r="AF6808" s="28">
        <v>241008000</v>
      </c>
      <c r="AG6808" s="11"/>
    </row>
    <row r="6809">
      <c r="A6809" s="7" t="s">
        <v>8373</v>
      </c>
      <c r="B6809" s="5" t="s">
        <v>16313</v>
      </c>
      <c r="C6809" s="5" t="s">
        <v>23323</v>
      </c>
      <c r="D6809" s="5" t="str">
        <v>771585102718</v>
      </c>
      <c r="E6809" s="0" t="e">
        <f>+7 (495) 7374316
+7 (495) 7374319
+7 (499) 2605229</f>
        <v>#NAME?</v>
      </c>
      <c r="F6809" s="5" t="s">
        <v>45165</v>
      </c>
      <c r="G6809" s="5"/>
      <c r="H6809" s="26">
        <v>9.5</v>
      </c>
      <c r="I6809" s="5" t="s">
        <v>45166</v>
      </c>
      <c r="J6809" s="5" t="s">
        <v>599</v>
      </c>
      <c r="K6809" s="5" t="s">
        <v>344</v>
      </c>
      <c r="L6809" s="5" t="s">
        <v>45167</v>
      </c>
      <c r="M6809" s="27"/>
      <c r="N6809" s="5"/>
      <c r="O6809" s="5" t="str">
        <v>7734703289</v>
      </c>
      <c r="P6809" s="27">
        <v>1000000</v>
      </c>
      <c r="Q6809" s="5"/>
      <c r="R6809" s="5"/>
      <c r="S6809" s="5" t="s">
        <v>49110</v>
      </c>
      <c r="T6809" s="28">
        <v>1700268000</v>
      </c>
      <c r="U6809" s="28"/>
      <c r="V6809" s="28">
        <v>750031000</v>
      </c>
      <c r="W6809" s="28"/>
      <c r="X6809" s="28">
        <v>234634000</v>
      </c>
      <c r="Y6809" s="28">
        <v>3207997000</v>
      </c>
      <c r="Z6809" s="28">
        <v>712802000</v>
      </c>
      <c r="AA6809" s="28">
        <v>99155000</v>
      </c>
      <c r="AB6809" s="28">
        <v>68135000</v>
      </c>
      <c r="AC6809" s="28">
        <v>1902093000</v>
      </c>
      <c r="AD6809" s="28">
        <v>716802000</v>
      </c>
      <c r="AE6809" s="28">
        <v>3068854000</v>
      </c>
      <c r="AF6809" s="28">
        <v>382963000</v>
      </c>
      <c r="AG6809" s="11"/>
    </row>
    <row r="6810">
      <c r="A6810" s="7" t="s">
        <v>8374</v>
      </c>
      <c r="B6810" s="5" t="s">
        <v>16314</v>
      </c>
      <c r="C6810" s="5" t="s">
        <v>23954</v>
      </c>
      <c r="D6810" s="5" t="str">
        <v>772804982178</v>
      </c>
      <c r="E6810" s="0" t="e">
        <f>+7 (495) 6041880
+7 (495) 6041881
+7 (985) 9222282</f>
        <v>#NAME?</v>
      </c>
      <c r="F6810" s="5" t="s">
        <v>45168</v>
      </c>
      <c r="G6810" s="5"/>
      <c r="H6810" s="26">
        <v>18</v>
      </c>
      <c r="I6810" s="5"/>
      <c r="J6810" s="5" t="s">
        <v>30672</v>
      </c>
      <c r="K6810" s="5" t="s">
        <v>355</v>
      </c>
      <c r="L6810" s="5"/>
      <c r="M6810" s="27">
        <v>72351</v>
      </c>
      <c r="N6810" s="5"/>
      <c r="O6810" s="5" t="str">
        <v>7707534602</v>
      </c>
      <c r="P6810" s="27">
        <v>750100000</v>
      </c>
      <c r="Q6810" s="5" t="s">
        <v>49009</v>
      </c>
      <c r="R6810" s="5"/>
      <c r="S6810" s="5" t="s">
        <v>49045</v>
      </c>
      <c r="T6810" s="28">
        <v>7148316000</v>
      </c>
      <c r="U6810" s="28">
        <v>65593000</v>
      </c>
      <c r="V6810" s="28">
        <v>348332000</v>
      </c>
      <c r="W6810" s="28"/>
      <c r="X6810" s="28">
        <v>144601000</v>
      </c>
      <c r="Y6810" s="28">
        <v>10560382000</v>
      </c>
      <c r="Z6810" s="28">
        <v>-4184092000</v>
      </c>
      <c r="AA6810" s="28"/>
      <c r="AB6810" s="28"/>
      <c r="AC6810" s="28">
        <v>10282780000</v>
      </c>
      <c r="AD6810" s="28">
        <v>-3402715000</v>
      </c>
      <c r="AE6810" s="28">
        <v>5268080000</v>
      </c>
      <c r="AF6810" s="28">
        <v>1882147000</v>
      </c>
      <c r="AG6810" s="11"/>
    </row>
    <row r="6811">
      <c r="A6811" s="7" t="s">
        <v>8375</v>
      </c>
      <c r="B6811" s="5" t="s">
        <v>16315</v>
      </c>
      <c r="C6811" s="5" t="s">
        <v>23955</v>
      </c>
      <c r="D6811" s="5" t="str">
        <v>471003188076</v>
      </c>
      <c r="E6811" s="0" t="e">
        <f>+7 (800) 7751516
+7 (812) 4016400
+7 (812) 4954829
+7 (921) 9726598</f>
        <v>#NAME?</v>
      </c>
      <c r="F6811" s="5" t="s">
        <v>45169</v>
      </c>
      <c r="G6811" s="5" t="s">
        <v>45170</v>
      </c>
      <c r="H6811" s="26">
        <v>14.5</v>
      </c>
      <c r="I6811" s="5" t="s">
        <v>45171</v>
      </c>
      <c r="J6811" s="5" t="s">
        <v>599</v>
      </c>
      <c r="K6811" s="5" t="s">
        <v>344</v>
      </c>
      <c r="L6811" s="5" t="s">
        <v>45172</v>
      </c>
      <c r="M6811" s="27">
        <v>3284599</v>
      </c>
      <c r="N6811" s="5" t="s">
        <v>49403</v>
      </c>
      <c r="O6811" s="5" t="str">
        <v>7811419211</v>
      </c>
      <c r="P6811" s="27">
        <v>10000</v>
      </c>
      <c r="Q6811" s="5" t="s">
        <v>49009</v>
      </c>
      <c r="R6811" s="5"/>
      <c r="S6811" s="5" t="s">
        <v>49175</v>
      </c>
      <c r="T6811" s="28">
        <v>135115000</v>
      </c>
      <c r="U6811" s="28">
        <v>12002000</v>
      </c>
      <c r="V6811" s="28">
        <v>574200000</v>
      </c>
      <c r="W6811" s="28">
        <v>98853000</v>
      </c>
      <c r="X6811" s="28">
        <v>3915000</v>
      </c>
      <c r="Y6811" s="28">
        <v>888512000</v>
      </c>
      <c r="Z6811" s="28">
        <v>372105000</v>
      </c>
      <c r="AA6811" s="28"/>
      <c r="AB6811" s="28"/>
      <c r="AC6811" s="28">
        <v>439551000</v>
      </c>
      <c r="AD6811" s="28">
        <v>372115000</v>
      </c>
      <c r="AE6811" s="28">
        <v>4833834000</v>
      </c>
      <c r="AF6811" s="28">
        <v>89119000</v>
      </c>
      <c r="AG6811" s="11"/>
    </row>
    <row r="6812">
      <c r="A6812" s="7" t="s">
        <v>8376</v>
      </c>
      <c r="B6812" s="5" t="s">
        <v>16316</v>
      </c>
      <c r="C6812" s="5" t="s">
        <v>23956</v>
      </c>
      <c r="D6812" s="5" t="str">
        <v>772741842129</v>
      </c>
      <c r="E6812" s="0" t="e">
        <f>+7 (903) 7227287
+7 (492) 2470222
+7 (495) 5444338
+7 (495) 5450540
+7 (495) 7254889
+7 (495) 7666403
+7 (495) 9330311
+7 (495) 9331599
+7 (495) 9698760
+7 (495) 9984926
+7 (812) 6402283
+7 (910) 4741023
+7 (916) 202510
+7 (916) 1206884
+7 (920) 9032036</f>
        <v>#NAME?</v>
      </c>
      <c r="F6812" s="5" t="s">
        <v>45173</v>
      </c>
      <c r="G6812" s="5" t="s">
        <v>45174</v>
      </c>
      <c r="H6812" s="26">
        <v>12</v>
      </c>
      <c r="I6812" s="5" t="s">
        <v>45175</v>
      </c>
      <c r="J6812" s="5" t="s">
        <v>678</v>
      </c>
      <c r="K6812" s="5" t="s">
        <v>344</v>
      </c>
      <c r="L6812" s="5" t="s">
        <v>45176</v>
      </c>
      <c r="M6812" s="27"/>
      <c r="N6812" s="5" t="s">
        <v>56727</v>
      </c>
      <c r="O6812" s="5" t="str">
        <v>7720712565</v>
      </c>
      <c r="P6812" s="27">
        <v>40000000</v>
      </c>
      <c r="Q6812" s="5" t="s">
        <v>49021</v>
      </c>
      <c r="R6812" s="5"/>
      <c r="S6812" s="5" t="s">
        <v>53074</v>
      </c>
      <c r="T6812" s="28">
        <v>10180000</v>
      </c>
      <c r="U6812" s="28"/>
      <c r="V6812" s="28">
        <v>360986000</v>
      </c>
      <c r="W6812" s="28"/>
      <c r="X6812" s="28">
        <v>19404000</v>
      </c>
      <c r="Y6812" s="28">
        <v>1230546000</v>
      </c>
      <c r="Z6812" s="28">
        <v>574719000</v>
      </c>
      <c r="AA6812" s="28">
        <v>30000000</v>
      </c>
      <c r="AB6812" s="28">
        <v>227064000</v>
      </c>
      <c r="AC6812" s="28">
        <v>585827000</v>
      </c>
      <c r="AD6812" s="28">
        <v>614719000</v>
      </c>
      <c r="AE6812" s="28">
        <v>3964756000</v>
      </c>
      <c r="AF6812" s="28">
        <v>148685000</v>
      </c>
      <c r="AG6812" s="11"/>
    </row>
    <row r="6813">
      <c r="A6813" s="7" t="s">
        <v>8377</v>
      </c>
      <c r="B6813" s="5" t="s">
        <v>16317</v>
      </c>
      <c r="C6813" s="5" t="s">
        <v>23957</v>
      </c>
      <c r="D6813" s="5" t="str">
        <v>744919940965</v>
      </c>
      <c r="E6813" s="0" t="e">
        <f>+7 (3512) 115300</f>
        <v>#NAME?</v>
      </c>
      <c r="F6813" s="5" t="s">
        <v>45177</v>
      </c>
      <c r="G6813" s="5"/>
      <c r="H6813" s="26">
        <v>14</v>
      </c>
      <c r="I6813" s="5" t="s">
        <v>45178</v>
      </c>
      <c r="J6813" s="5" t="s">
        <v>25446</v>
      </c>
      <c r="K6813" s="5" t="s">
        <v>344</v>
      </c>
      <c r="L6813" s="5" t="s">
        <v>45179</v>
      </c>
      <c r="M6813" s="27"/>
      <c r="N6813" s="5" t="s">
        <v>59506</v>
      </c>
      <c r="O6813" s="5" t="str">
        <v>7705878809</v>
      </c>
      <c r="P6813" s="27">
        <v>9650000</v>
      </c>
      <c r="Q6813" s="5" t="s">
        <v>59507</v>
      </c>
      <c r="R6813" s="5"/>
      <c r="S6813" s="5" t="s">
        <v>59508</v>
      </c>
      <c r="T6813" s="28">
        <v>20964000</v>
      </c>
      <c r="U6813" s="28">
        <v>169000</v>
      </c>
      <c r="V6813" s="28">
        <v>984901000</v>
      </c>
      <c r="W6813" s="28"/>
      <c r="X6813" s="28">
        <v>52522000</v>
      </c>
      <c r="Y6813" s="28">
        <v>1470425000</v>
      </c>
      <c r="Z6813" s="28">
        <v>587715000</v>
      </c>
      <c r="AA6813" s="28"/>
      <c r="AB6813" s="28">
        <v>614446000</v>
      </c>
      <c r="AC6813" s="28">
        <v>872390000</v>
      </c>
      <c r="AD6813" s="28">
        <v>597365000</v>
      </c>
      <c r="AE6813" s="28">
        <v>9284674000</v>
      </c>
      <c r="AF6813" s="28">
        <v>449883000</v>
      </c>
      <c r="AG6813" s="11"/>
    </row>
    <row r="6814">
      <c r="A6814" s="7" t="s">
        <v>8378</v>
      </c>
      <c r="B6814" s="5" t="s">
        <v>16318</v>
      </c>
      <c r="C6814" s="5" t="s">
        <v>23958</v>
      </c>
      <c r="D6814" s="5" t="str">
        <v>421709246338</v>
      </c>
      <c r="E6814" s="0" t="e">
        <f>+7 (846) 9799191
+7 (3422) 554111
+7 (3422) 554126
+7 (3432) 887634
+7 (3432) 887666
+7 (3512) 3366
+7 (3512) 3667
+7 (800) 7750163
+7 (800) 7775366
+7 (8422) 505090
+7 (8422) 505091
+7 (84243) 21046
+7 (84247) 22247
+7 (84630) 4386
+7 (84630) 4451</f>
        <v>#NAME?</v>
      </c>
      <c r="F6814" s="5"/>
      <c r="G6814" s="5" t="s">
        <v>45180</v>
      </c>
      <c r="H6814" s="26">
        <v>17</v>
      </c>
      <c r="I6814" s="5" t="s">
        <v>45181</v>
      </c>
      <c r="J6814" s="5" t="s">
        <v>955</v>
      </c>
      <c r="K6814" s="5" t="s">
        <v>344</v>
      </c>
      <c r="L6814" s="5" t="s">
        <v>45182</v>
      </c>
      <c r="M6814" s="27">
        <v>1695393</v>
      </c>
      <c r="N6814" s="5"/>
      <c r="O6814" s="5" t="str">
        <v>7804328002</v>
      </c>
      <c r="P6814" s="27">
        <v>500000</v>
      </c>
      <c r="Q6814" s="5" t="s">
        <v>49009</v>
      </c>
      <c r="R6814" s="5" t="s">
        <v>57605</v>
      </c>
      <c r="S6814" s="5" t="s">
        <v>49010</v>
      </c>
      <c r="T6814" s="28">
        <v>150567000</v>
      </c>
      <c r="U6814" s="28">
        <v>2956000</v>
      </c>
      <c r="V6814" s="28">
        <v>3981975000</v>
      </c>
      <c r="W6814" s="28">
        <v>405000</v>
      </c>
      <c r="X6814" s="28">
        <v>2688000</v>
      </c>
      <c r="Y6814" s="28">
        <v>4380084000</v>
      </c>
      <c r="Z6814" s="28">
        <v>572958000</v>
      </c>
      <c r="AA6814" s="28">
        <v>784321000</v>
      </c>
      <c r="AB6814" s="28"/>
      <c r="AC6814" s="28">
        <v>2142049000</v>
      </c>
      <c r="AD6814" s="28">
        <v>1299458000</v>
      </c>
      <c r="AE6814" s="28">
        <v>47595647000</v>
      </c>
      <c r="AF6814" s="28">
        <v>364203000</v>
      </c>
      <c r="AG6814" s="11"/>
    </row>
    <row r="6815">
      <c r="A6815" s="7" t="s">
        <v>8379</v>
      </c>
      <c r="B6815" s="5" t="s">
        <v>16319</v>
      </c>
      <c r="C6815" s="5" t="s">
        <v>23959</v>
      </c>
      <c r="D6815" s="5"/>
      <c r="E6815" s="0" t="e">
        <f>+7 (3466) 654326
+7 (3466) 654340
+7 (3466) 654350
+7 (3466) 654362
+7 (3466) 655891
+7 (3466) 655931</f>
        <v>#NAME?</v>
      </c>
      <c r="F6815" s="5" t="s">
        <v>45183</v>
      </c>
      <c r="G6815" s="5" t="s">
        <v>45184</v>
      </c>
      <c r="H6815" s="26">
        <v>23</v>
      </c>
      <c r="I6815" s="5"/>
      <c r="J6815" s="5" t="s">
        <v>30277</v>
      </c>
      <c r="K6815" s="5" t="s">
        <v>344</v>
      </c>
      <c r="L6815" s="5"/>
      <c r="M6815" s="27"/>
      <c r="N6815" s="5" t="s">
        <v>59340</v>
      </c>
      <c r="O6815" s="5" t="str">
        <v>8603093017</v>
      </c>
      <c r="P6815" s="27">
        <v>570010000</v>
      </c>
      <c r="Q6815" s="5"/>
      <c r="R6815" s="5"/>
      <c r="S6815" s="5" t="s">
        <v>49499</v>
      </c>
      <c r="T6815" s="28">
        <v>397673000</v>
      </c>
      <c r="U6815" s="28"/>
      <c r="V6815" s="28">
        <v>571046000</v>
      </c>
      <c r="W6815" s="28"/>
      <c r="X6815" s="28">
        <v>2440000</v>
      </c>
      <c r="Y6815" s="28">
        <v>1970451000</v>
      </c>
      <c r="Z6815" s="28">
        <v>415100000</v>
      </c>
      <c r="AA6815" s="28"/>
      <c r="AB6815" s="28"/>
      <c r="AC6815" s="28">
        <v>847235000</v>
      </c>
      <c r="AD6815" s="28">
        <v>1013611000</v>
      </c>
      <c r="AE6815" s="28">
        <v>3942747000</v>
      </c>
      <c r="AF6815" s="28">
        <v>178829000</v>
      </c>
      <c r="AG6815" s="11"/>
    </row>
    <row r="6816">
      <c r="A6816" s="7" t="s">
        <v>8380</v>
      </c>
      <c r="B6816" s="5" t="s">
        <v>16320</v>
      </c>
      <c r="C6816" s="5" t="s">
        <v>23960</v>
      </c>
      <c r="D6816" s="5" t="str">
        <v>526016914783</v>
      </c>
      <c r="E6816" s="0" t="e">
        <f>+7 (800) 7007077
+7 (831) 2779701
+7 (831) 2779752</f>
        <v>#NAME?</v>
      </c>
      <c r="F6816" s="5"/>
      <c r="G6816" s="5" t="s">
        <v>45185</v>
      </c>
      <c r="H6816" s="26">
        <v>14.5</v>
      </c>
      <c r="I6816" s="5" t="s">
        <v>45186</v>
      </c>
      <c r="J6816" s="5" t="s">
        <v>32608</v>
      </c>
      <c r="K6816" s="5" t="s">
        <v>344</v>
      </c>
      <c r="L6816" s="5" t="s">
        <v>45187</v>
      </c>
      <c r="M6816" s="27"/>
      <c r="N6816" s="5"/>
      <c r="O6816" s="5" t="str">
        <v>5257102476</v>
      </c>
      <c r="P6816" s="27">
        <v>10000</v>
      </c>
      <c r="Q6816" s="5" t="s">
        <v>49059</v>
      </c>
      <c r="R6816" s="5"/>
      <c r="S6816" s="5" t="s">
        <v>49045</v>
      </c>
      <c r="T6816" s="28">
        <v>123168000</v>
      </c>
      <c r="U6816" s="28"/>
      <c r="V6816" s="28">
        <v>529510000</v>
      </c>
      <c r="W6816" s="28"/>
      <c r="X6816" s="28">
        <v>971000</v>
      </c>
      <c r="Y6816" s="28">
        <v>2277140000</v>
      </c>
      <c r="Z6816" s="28">
        <v>560687000</v>
      </c>
      <c r="AA6816" s="28">
        <v>600827000</v>
      </c>
      <c r="AB6816" s="28">
        <v>377343000</v>
      </c>
      <c r="AC6816" s="28">
        <v>1028332000</v>
      </c>
      <c r="AD6816" s="28">
        <v>632413000</v>
      </c>
      <c r="AE6816" s="28">
        <v>4350380000</v>
      </c>
      <c r="AF6816" s="28">
        <v>114096000</v>
      </c>
      <c r="AG6816" s="11"/>
    </row>
    <row r="6817">
      <c r="A6817" s="7" t="s">
        <v>8381</v>
      </c>
      <c r="B6817" s="5" t="s">
        <v>16321</v>
      </c>
      <c r="C6817" s="5" t="s">
        <v>23234</v>
      </c>
      <c r="D6817" s="5" t="str">
        <v>470311921497</v>
      </c>
      <c r="F6817" s="5"/>
      <c r="G6817" s="5" t="s">
        <v>45188</v>
      </c>
      <c r="H6817" s="26">
        <v>8</v>
      </c>
      <c r="I6817" s="5" t="s">
        <v>45189</v>
      </c>
      <c r="J6817" s="5" t="s">
        <v>26328</v>
      </c>
      <c r="K6817" s="5" t="s">
        <v>344</v>
      </c>
      <c r="L6817" s="5"/>
      <c r="M6817" s="27">
        <v>1291680</v>
      </c>
      <c r="N6817" s="5" t="s">
        <v>59509</v>
      </c>
      <c r="O6817" s="5" t="str">
        <v>7449122840</v>
      </c>
      <c r="P6817" s="27">
        <v>9200000000</v>
      </c>
      <c r="Q6817" s="5" t="s">
        <v>59510</v>
      </c>
      <c r="R6817" s="5"/>
      <c r="S6817" s="5" t="s">
        <v>51599</v>
      </c>
      <c r="T6817" s="28">
        <v>2837910000</v>
      </c>
      <c r="U6817" s="28"/>
      <c r="V6817" s="28">
        <v>28614697000</v>
      </c>
      <c r="W6817" s="28"/>
      <c r="X6817" s="28">
        <v>3968000</v>
      </c>
      <c r="Y6817" s="28">
        <v>33366284000</v>
      </c>
      <c r="Z6817" s="28">
        <v>8423139000</v>
      </c>
      <c r="AA6817" s="28"/>
      <c r="AB6817" s="28">
        <v>39038000</v>
      </c>
      <c r="AC6817" s="28">
        <v>13644749000</v>
      </c>
      <c r="AD6817" s="28">
        <v>19423509000</v>
      </c>
      <c r="AE6817" s="28">
        <v>48627052000</v>
      </c>
      <c r="AF6817" s="28">
        <v>10083778000</v>
      </c>
      <c r="AG6817" s="11"/>
    </row>
    <row r="6818">
      <c r="A6818" s="7" t="s">
        <v>8382</v>
      </c>
      <c r="B6818" s="5" t="s">
        <v>16322</v>
      </c>
      <c r="C6818" s="5" t="s">
        <v>23959</v>
      </c>
      <c r="D6818" s="5"/>
      <c r="E6818" s="0" t="e">
        <f>+7 (3496) 396036
+7 (3496) 396000</f>
        <v>#NAME?</v>
      </c>
      <c r="F6818" s="5" t="s">
        <v>45190</v>
      </c>
      <c r="G6818" s="5" t="s">
        <v>45188</v>
      </c>
      <c r="H6818" s="26">
        <v>3</v>
      </c>
      <c r="I6818" s="5" t="s">
        <v>45191</v>
      </c>
      <c r="J6818" s="5" t="s">
        <v>27921</v>
      </c>
      <c r="K6818" s="5" t="s">
        <v>355</v>
      </c>
      <c r="L6818" s="5" t="s">
        <v>45192</v>
      </c>
      <c r="M6818" s="27">
        <v>607686</v>
      </c>
      <c r="N6818" s="5"/>
      <c r="O6818" s="5" t="str">
        <v>8905066387</v>
      </c>
      <c r="P6818" s="27">
        <v>1000000</v>
      </c>
      <c r="Q6818" s="5" t="s">
        <v>59511</v>
      </c>
      <c r="R6818" s="5" t="s">
        <v>59512</v>
      </c>
      <c r="S6818" s="5" t="s">
        <v>49743</v>
      </c>
      <c r="T6818" s="28">
        <v>395354000</v>
      </c>
      <c r="U6818" s="28"/>
      <c r="V6818" s="28">
        <v>1459019000</v>
      </c>
      <c r="W6818" s="28"/>
      <c r="X6818" s="28">
        <v>55777000</v>
      </c>
      <c r="Y6818" s="28">
        <v>2733297000</v>
      </c>
      <c r="Z6818" s="28">
        <v>1013836000</v>
      </c>
      <c r="AA6818" s="28"/>
      <c r="AB6818" s="28"/>
      <c r="AC6818" s="28">
        <v>1671291000</v>
      </c>
      <c r="AD6818" s="28">
        <v>999650000</v>
      </c>
      <c r="AE6818" s="28">
        <v>3678156000</v>
      </c>
      <c r="AF6818" s="28">
        <v>305042000</v>
      </c>
      <c r="AG6818" s="11"/>
    </row>
    <row r="6819">
      <c r="A6819" s="7" t="s">
        <v>8383</v>
      </c>
      <c r="B6819" s="5" t="s">
        <v>16323</v>
      </c>
      <c r="C6819" s="5" t="s">
        <v>23961</v>
      </c>
      <c r="D6819" s="5" t="str">
        <v>710703201524</v>
      </c>
      <c r="E6819" s="0" t="e">
        <f>+7 (487) 2311327
+7 (487) 2360153
+7 (487) 2326161
+7 (487) 2360113
+7 (487) 2360156
+7 (487) 2360647
+7 (487) 2361156
+7 (487) 2361165
+7 (487) 2361227
+7 (487) 2367222
+7 (487) 2367553
+7 (487) 2367741
+7 (487) 2370596
+7 (487) 2370980
+7 (487) 2373512</f>
        <v>#NAME?</v>
      </c>
      <c r="F6819" s="5" t="s">
        <v>45193</v>
      </c>
      <c r="G6819" s="5" t="s">
        <v>45194</v>
      </c>
      <c r="H6819" s="26">
        <v>30.5</v>
      </c>
      <c r="I6819" s="5"/>
      <c r="J6819" s="5" t="s">
        <v>25231</v>
      </c>
      <c r="K6819" s="5" t="s">
        <v>344</v>
      </c>
      <c r="L6819" s="5"/>
      <c r="M6819" s="27"/>
      <c r="N6819" s="5"/>
      <c r="O6819" s="5" t="str">
        <v>7107009048</v>
      </c>
      <c r="P6819" s="27">
        <v>446866</v>
      </c>
      <c r="Q6819" s="5" t="s">
        <v>49009</v>
      </c>
      <c r="R6819" s="5"/>
      <c r="S6819" s="5" t="s">
        <v>49028</v>
      </c>
      <c r="T6819" s="28">
        <v>1141992000</v>
      </c>
      <c r="U6819" s="28"/>
      <c r="V6819" s="28">
        <v>517785000</v>
      </c>
      <c r="W6819" s="28">
        <v>145000000</v>
      </c>
      <c r="X6819" s="28">
        <v>23856000</v>
      </c>
      <c r="Y6819" s="28">
        <v>2409963000</v>
      </c>
      <c r="Z6819" s="28">
        <v>1724562000</v>
      </c>
      <c r="AA6819" s="28">
        <v>368632000</v>
      </c>
      <c r="AB6819" s="28">
        <v>50000000</v>
      </c>
      <c r="AC6819" s="28">
        <v>235954000</v>
      </c>
      <c r="AD6819" s="28">
        <v>1745863000</v>
      </c>
      <c r="AE6819" s="28">
        <v>5612207000</v>
      </c>
      <c r="AF6819" s="28">
        <v>399662000</v>
      </c>
      <c r="AG6819" s="11"/>
    </row>
    <row r="6820">
      <c r="A6820" s="7" t="s">
        <v>8384</v>
      </c>
      <c r="B6820" s="5" t="s">
        <v>16324</v>
      </c>
      <c r="C6820" s="5" t="s">
        <v>17901</v>
      </c>
      <c r="D6820" s="5"/>
      <c r="E6820" s="0" t="e">
        <f>+7 (910) 2403783</f>
        <v>#NAME?</v>
      </c>
      <c r="F6820" s="5"/>
      <c r="G6820" s="5"/>
      <c r="H6820" s="26">
        <v>9.5</v>
      </c>
      <c r="I6820" s="5" t="s">
        <v>45195</v>
      </c>
      <c r="J6820" s="5" t="s">
        <v>25371</v>
      </c>
      <c r="K6820" s="5" t="s">
        <v>344</v>
      </c>
      <c r="L6820" s="5" t="s">
        <v>45196</v>
      </c>
      <c r="M6820" s="27"/>
      <c r="N6820" s="5"/>
      <c r="O6820" s="5" t="str">
        <v>7103518816</v>
      </c>
      <c r="P6820" s="27">
        <v>10000</v>
      </c>
      <c r="Q6820" s="5"/>
      <c r="R6820" s="5"/>
      <c r="S6820" s="5" t="s">
        <v>49029</v>
      </c>
      <c r="T6820" s="28">
        <v>10093515000</v>
      </c>
      <c r="U6820" s="28"/>
      <c r="V6820" s="28">
        <v>2546362000</v>
      </c>
      <c r="W6820" s="28"/>
      <c r="X6820" s="28">
        <v>2445081000</v>
      </c>
      <c r="Y6820" s="28">
        <v>18066773000</v>
      </c>
      <c r="Z6820" s="28">
        <v>2395389000</v>
      </c>
      <c r="AA6820" s="28">
        <v>10153398000</v>
      </c>
      <c r="AB6820" s="28">
        <v>1295871000</v>
      </c>
      <c r="AC6820" s="28">
        <v>3676889000</v>
      </c>
      <c r="AD6820" s="28">
        <v>4187599000</v>
      </c>
      <c r="AE6820" s="28">
        <v>5881604000</v>
      </c>
      <c r="AF6820" s="28">
        <v>560461000</v>
      </c>
      <c r="AG6820" s="11"/>
    </row>
    <row r="6821">
      <c r="A6821" s="7" t="s">
        <v>8385</v>
      </c>
      <c r="B6821" s="5" t="s">
        <v>15757</v>
      </c>
      <c r="C6821" s="5" t="s">
        <v>23962</v>
      </c>
      <c r="D6821" s="5" t="str">
        <v>662502446975</v>
      </c>
      <c r="E6821" s="0" t="e">
        <f>+7 (34350) 32101
+7 (34350) 34197
+7 (34350) 35892</f>
        <v>#NAME?</v>
      </c>
      <c r="F6821" s="5" t="s">
        <v>45197</v>
      </c>
      <c r="G6821" s="5"/>
      <c r="H6821" s="26">
        <v>16</v>
      </c>
      <c r="I6821" s="5"/>
      <c r="J6821" s="5" t="s">
        <v>27977</v>
      </c>
      <c r="K6821" s="5" t="s">
        <v>344</v>
      </c>
      <c r="L6821" s="5" t="s">
        <v>45198</v>
      </c>
      <c r="M6821" s="27"/>
      <c r="N6821" s="5"/>
      <c r="O6821" s="5" t="str">
        <v>6626016826</v>
      </c>
      <c r="P6821" s="27">
        <v>759100000</v>
      </c>
      <c r="Q6821" s="5" t="s">
        <v>49059</v>
      </c>
      <c r="R6821" s="5"/>
      <c r="S6821" s="5" t="s">
        <v>49029</v>
      </c>
      <c r="T6821" s="28">
        <v>390411000</v>
      </c>
      <c r="U6821" s="28"/>
      <c r="V6821" s="28">
        <v>4766304000</v>
      </c>
      <c r="W6821" s="28"/>
      <c r="X6821" s="28">
        <v>293000</v>
      </c>
      <c r="Y6821" s="28">
        <v>5717916000</v>
      </c>
      <c r="Z6821" s="28">
        <v>1639105000</v>
      </c>
      <c r="AA6821" s="28"/>
      <c r="AB6821" s="28"/>
      <c r="AC6821" s="28">
        <v>3313087000</v>
      </c>
      <c r="AD6821" s="28">
        <v>2398205000</v>
      </c>
      <c r="AE6821" s="28">
        <v>6870753000</v>
      </c>
      <c r="AF6821" s="28">
        <v>525559000</v>
      </c>
      <c r="AG6821" s="11"/>
    </row>
    <row r="6822">
      <c r="A6822" s="7" t="s">
        <v>8386</v>
      </c>
      <c r="B6822" s="5" t="s">
        <v>16325</v>
      </c>
      <c r="C6822" s="5" t="s">
        <v>23053</v>
      </c>
      <c r="D6822" s="5"/>
      <c r="E6822" s="0" t="e">
        <f>+7 (481) 2515979
+7 (48143) 39515
+7 (48143) 39777
+7 (48143) 39807
+7 (48143) 39637
+7 (48143) 39648
+7 (48143) 39716
+7 (48143) 39844
+7 (48143) 39924
+7 (48143) 39951</f>
        <v>#NAME?</v>
      </c>
      <c r="F6822" s="5" t="s">
        <v>45199</v>
      </c>
      <c r="G6822" s="5"/>
      <c r="H6822" s="26">
        <v>6</v>
      </c>
      <c r="I6822" s="5" t="s">
        <v>45200</v>
      </c>
      <c r="J6822" s="5" t="s">
        <v>32426</v>
      </c>
      <c r="K6822" s="5" t="s">
        <v>344</v>
      </c>
      <c r="L6822" s="5" t="s">
        <v>45201</v>
      </c>
      <c r="M6822" s="27">
        <v>11614859</v>
      </c>
      <c r="N6822" s="5" t="s">
        <v>59513</v>
      </c>
      <c r="O6822" s="5" t="str">
        <v>6623122216</v>
      </c>
      <c r="P6822" s="27">
        <v>1450000000</v>
      </c>
      <c r="Q6822" s="5" t="s">
        <v>59515</v>
      </c>
      <c r="R6822" s="5"/>
      <c r="S6822" s="5" t="s">
        <v>49743</v>
      </c>
      <c r="T6822" s="28">
        <v>1045140000</v>
      </c>
      <c r="U6822" s="28"/>
      <c r="V6822" s="28">
        <v>1185584000</v>
      </c>
      <c r="W6822" s="28"/>
      <c r="X6822" s="28">
        <v>22231000</v>
      </c>
      <c r="Y6822" s="28">
        <v>4649857000</v>
      </c>
      <c r="Z6822" s="28">
        <v>1361046000</v>
      </c>
      <c r="AA6822" s="28"/>
      <c r="AB6822" s="28"/>
      <c r="AC6822" s="28">
        <v>1814375000</v>
      </c>
      <c r="AD6822" s="28">
        <v>2811046000</v>
      </c>
      <c r="AE6822" s="28">
        <v>11552139000</v>
      </c>
      <c r="AF6822" s="28">
        <v>-524589000</v>
      </c>
      <c r="AG6822" s="11"/>
    </row>
    <row r="6823">
      <c r="A6823" s="7" t="s">
        <v>8387</v>
      </c>
      <c r="B6823" s="5" t="s">
        <v>16326</v>
      </c>
      <c r="C6823" s="5" t="s">
        <v>23963</v>
      </c>
      <c r="D6823" s="5" t="str">
        <v>164902503184</v>
      </c>
      <c r="E6823" s="0" t="e">
        <f>+7 (800) 2507939
+7 (8553) 300442
+7 (8553) 371381
+7 (8553) 371738
+7 (917) 2690604
+7 (919) 6234585</f>
        <v>#NAME?</v>
      </c>
      <c r="F6823" s="5" t="s">
        <v>45202</v>
      </c>
      <c r="G6823" s="5"/>
      <c r="H6823" s="26">
        <v>17.5</v>
      </c>
      <c r="I6823" s="5" t="s">
        <v>45203</v>
      </c>
      <c r="J6823" s="5" t="s">
        <v>26799</v>
      </c>
      <c r="K6823" s="5" t="s">
        <v>344</v>
      </c>
      <c r="L6823" s="5" t="s">
        <v>45204</v>
      </c>
      <c r="M6823" s="27"/>
      <c r="N6823" s="5" t="s">
        <v>59516</v>
      </c>
      <c r="O6823" s="5" t="str">
        <v>1644034949</v>
      </c>
      <c r="P6823" s="27">
        <v>100000</v>
      </c>
      <c r="Q6823" s="5" t="s">
        <v>59517</v>
      </c>
      <c r="R6823" s="5" t="s">
        <v>59518</v>
      </c>
      <c r="S6823" s="5" t="s">
        <v>51036</v>
      </c>
      <c r="T6823" s="28">
        <v>1726244000</v>
      </c>
      <c r="U6823" s="28">
        <v>162855000</v>
      </c>
      <c r="V6823" s="28">
        <v>1825564000</v>
      </c>
      <c r="W6823" s="28">
        <v>1191000</v>
      </c>
      <c r="X6823" s="28">
        <v>213962000</v>
      </c>
      <c r="Y6823" s="28">
        <v>5468560000</v>
      </c>
      <c r="Z6823" s="28">
        <v>3624129000</v>
      </c>
      <c r="AA6823" s="28"/>
      <c r="AB6823" s="28"/>
      <c r="AC6823" s="28">
        <v>1754776000</v>
      </c>
      <c r="AD6823" s="28">
        <v>3624229000</v>
      </c>
      <c r="AE6823" s="28">
        <v>5824254000</v>
      </c>
      <c r="AF6823" s="28">
        <v>15467147000</v>
      </c>
      <c r="AG6823" s="11"/>
    </row>
    <row r="6824">
      <c r="A6824" s="7" t="s">
        <v>8388</v>
      </c>
      <c r="B6824" s="5" t="s">
        <v>16327</v>
      </c>
      <c r="C6824" s="5" t="s">
        <v>20519</v>
      </c>
      <c r="D6824" s="5"/>
      <c r="E6824" s="0" t="e">
        <f>+7 (86167) 70058
+7 (495) 9330605
+7 (86167) 21835
+7 (86167) 71555
+7 (86167) 71847
+7 (8617) 671371</f>
        <v>#NAME?</v>
      </c>
      <c r="F6824" s="5" t="s">
        <v>45205</v>
      </c>
      <c r="G6824" s="5" t="s">
        <v>45206</v>
      </c>
      <c r="H6824" s="26">
        <v>30</v>
      </c>
      <c r="I6824" s="5"/>
      <c r="J6824" s="5" t="s">
        <v>26180</v>
      </c>
      <c r="K6824" s="5" t="s">
        <v>344</v>
      </c>
      <c r="L6824" s="5" t="s">
        <v>45207</v>
      </c>
      <c r="M6824" s="27">
        <v>3930741</v>
      </c>
      <c r="N6824" s="5" t="s">
        <v>59519</v>
      </c>
      <c r="O6824" s="5" t="str">
        <v>2322001997</v>
      </c>
      <c r="P6824" s="27">
        <v>352888567</v>
      </c>
      <c r="Q6824" s="5" t="s">
        <v>59520</v>
      </c>
      <c r="R6824" s="5" t="s">
        <v>59521</v>
      </c>
      <c r="S6824" s="5" t="s">
        <v>59522</v>
      </c>
      <c r="T6824" s="28">
        <v>6039750000</v>
      </c>
      <c r="U6824" s="28">
        <v>68815000</v>
      </c>
      <c r="V6824" s="28">
        <v>625609000</v>
      </c>
      <c r="W6824" s="28">
        <v>837000</v>
      </c>
      <c r="X6824" s="28">
        <v>1640970000</v>
      </c>
      <c r="Y6824" s="28">
        <v>9203590000</v>
      </c>
      <c r="Z6824" s="28">
        <v>4818277000</v>
      </c>
      <c r="AA6824" s="28">
        <v>1127956000</v>
      </c>
      <c r="AB6824" s="28">
        <v>560974000</v>
      </c>
      <c r="AC6824" s="28">
        <v>1084680000</v>
      </c>
      <c r="AD6824" s="28">
        <v>5207252000</v>
      </c>
      <c r="AE6824" s="28">
        <v>6893421000</v>
      </c>
      <c r="AF6824" s="28">
        <v>3070877000</v>
      </c>
      <c r="AG6824" s="11"/>
    </row>
    <row r="6825">
      <c r="A6825" s="7" t="s">
        <v>8389</v>
      </c>
      <c r="B6825" s="5" t="s">
        <v>15456</v>
      </c>
      <c r="C6825" s="5" t="s">
        <v>23964</v>
      </c>
      <c r="D6825" s="5" t="str">
        <v>505309647646</v>
      </c>
      <c r="E6825" s="0" t="e">
        <f>+7 (495) 1236509
+7 (495) 1236560
+7 (8432) 121547
+7 (985) 2106740</f>
        <v>#NAME?</v>
      </c>
      <c r="F6825" s="5" t="s">
        <v>45208</v>
      </c>
      <c r="G6825" s="5"/>
      <c r="H6825" s="26">
        <v>8</v>
      </c>
      <c r="I6825" s="5" t="s">
        <v>45209</v>
      </c>
      <c r="J6825" s="5" t="s">
        <v>373</v>
      </c>
      <c r="K6825" s="5" t="s">
        <v>344</v>
      </c>
      <c r="L6825" s="5" t="s">
        <v>45210</v>
      </c>
      <c r="M6825" s="27"/>
      <c r="N6825" s="5" t="s">
        <v>59523</v>
      </c>
      <c r="O6825" s="5" t="str">
        <v>1655326862</v>
      </c>
      <c r="P6825" s="27">
        <v>5000000</v>
      </c>
      <c r="Q6825" s="5" t="s">
        <v>59524</v>
      </c>
      <c r="R6825" s="5"/>
      <c r="S6825" s="5" t="s">
        <v>49496</v>
      </c>
      <c r="T6825" s="28">
        <v>114000</v>
      </c>
      <c r="U6825" s="28"/>
      <c r="V6825" s="28">
        <v>974982000</v>
      </c>
      <c r="W6825" s="28">
        <v>323000000</v>
      </c>
      <c r="X6825" s="28">
        <v>195000</v>
      </c>
      <c r="Y6825" s="28">
        <v>1488937000</v>
      </c>
      <c r="Z6825" s="28">
        <v>687489000</v>
      </c>
      <c r="AA6825" s="28"/>
      <c r="AB6825" s="28"/>
      <c r="AC6825" s="28">
        <v>790584000</v>
      </c>
      <c r="AD6825" s="28">
        <v>692489000</v>
      </c>
      <c r="AE6825" s="28">
        <v>4710545000</v>
      </c>
      <c r="AF6825" s="28">
        <v>282586000</v>
      </c>
      <c r="AG6825" s="11"/>
    </row>
    <row r="6826">
      <c r="A6826" s="7" t="s">
        <v>8390</v>
      </c>
      <c r="B6826" s="5" t="s">
        <v>16328</v>
      </c>
      <c r="C6826" s="5" t="s">
        <v>23965</v>
      </c>
      <c r="D6826" s="5" t="str">
        <v>771800020650</v>
      </c>
      <c r="E6826" s="0" t="e">
        <f>+7 (485) 2726014
+7 (495) 2211611
+7 (495) 2271725
+7 (495) 2801247
+7 (495) 2801347
+7 (495) 2801348
+7 (495) 2801747
+7 (495) 4951347
+7 (495) 2801124
+7 (492) 2420546
+7 (492) 2421096
+7 (492) 2421317
+7 (495) 2211603
+7 (495) 2211620
+7 (495) 2211640</f>
        <v>#NAME?</v>
      </c>
      <c r="F6826" s="5" t="s">
        <v>45211</v>
      </c>
      <c r="G6826" s="5" t="s">
        <v>45212</v>
      </c>
      <c r="H6826" s="26">
        <v>16.5</v>
      </c>
      <c r="I6826" s="5" t="s">
        <v>45213</v>
      </c>
      <c r="J6826" s="5" t="s">
        <v>27115</v>
      </c>
      <c r="K6826" s="5" t="s">
        <v>344</v>
      </c>
      <c r="L6826" s="5"/>
      <c r="M6826" s="27">
        <v>2332659</v>
      </c>
      <c r="N6826" s="5" t="s">
        <v>59525</v>
      </c>
      <c r="O6826" s="5" t="str">
        <v>5009053687</v>
      </c>
      <c r="P6826" s="27">
        <v>3630259597</v>
      </c>
      <c r="Q6826" s="5" t="s">
        <v>59526</v>
      </c>
      <c r="R6826" s="5"/>
      <c r="S6826" s="5" t="s">
        <v>59527</v>
      </c>
      <c r="T6826" s="28">
        <v>12390130000</v>
      </c>
      <c r="U6826" s="28">
        <v>11676368000</v>
      </c>
      <c r="V6826" s="28">
        <v>9718963000</v>
      </c>
      <c r="W6826" s="28"/>
      <c r="X6826" s="28">
        <v>283665000</v>
      </c>
      <c r="Y6826" s="28">
        <v>41660443000</v>
      </c>
      <c r="Z6826" s="28">
        <v>262684000</v>
      </c>
      <c r="AA6826" s="28">
        <v>10510215000</v>
      </c>
      <c r="AB6826" s="28">
        <v>11618029000</v>
      </c>
      <c r="AC6826" s="28">
        <v>17288962000</v>
      </c>
      <c r="AD6826" s="28">
        <v>12647098000</v>
      </c>
      <c r="AE6826" s="28">
        <v>120239271000</v>
      </c>
      <c r="AF6826" s="28">
        <v>4622459000</v>
      </c>
      <c r="AG6826" s="11"/>
    </row>
    <row r="6827">
      <c r="A6827" s="7" t="s">
        <v>8391</v>
      </c>
      <c r="B6827" s="5" t="s">
        <v>16329</v>
      </c>
      <c r="C6827" s="5" t="s">
        <v>23966</v>
      </c>
      <c r="D6827" s="5" t="str">
        <v>164410460779</v>
      </c>
      <c r="F6827" s="5" t="s">
        <v>45214</v>
      </c>
      <c r="G6827" s="5"/>
      <c r="H6827" s="26">
        <v>1.5</v>
      </c>
      <c r="I6827" s="5" t="s">
        <v>45215</v>
      </c>
      <c r="J6827" s="5" t="s">
        <v>27921</v>
      </c>
      <c r="K6827" s="5" t="s">
        <v>355</v>
      </c>
      <c r="L6827" s="5"/>
      <c r="M6827" s="27"/>
      <c r="N6827" s="5"/>
      <c r="O6827" s="5" t="str">
        <v>1644098491</v>
      </c>
      <c r="P6827" s="27">
        <v>261000000</v>
      </c>
      <c r="Q6827" s="5"/>
      <c r="R6827" s="5"/>
      <c r="S6827" s="5" t="s">
        <v>49053</v>
      </c>
      <c r="T6827" s="28">
        <v>2052232000</v>
      </c>
      <c r="U6827" s="28"/>
      <c r="V6827" s="28">
        <v>2168584000</v>
      </c>
      <c r="W6827" s="28"/>
      <c r="X6827" s="28">
        <v>603097000</v>
      </c>
      <c r="Y6827" s="28">
        <v>5308170000</v>
      </c>
      <c r="Z6827" s="28">
        <v>268718000</v>
      </c>
      <c r="AA6827" s="28"/>
      <c r="AB6827" s="28">
        <v>2471492000</v>
      </c>
      <c r="AC6827" s="28">
        <v>4685487000</v>
      </c>
      <c r="AD6827" s="28">
        <v>529718000</v>
      </c>
      <c r="AE6827" s="28">
        <v>8384050000</v>
      </c>
      <c r="AF6827" s="28">
        <v>333520000</v>
      </c>
      <c r="AG6827" s="11"/>
    </row>
    <row r="6828">
      <c r="A6828" s="7" t="s">
        <v>8392</v>
      </c>
      <c r="B6828" s="5" t="s">
        <v>14100</v>
      </c>
      <c r="C6828" s="5" t="s">
        <v>23967</v>
      </c>
      <c r="D6828" s="5" t="str">
        <v>235209624117</v>
      </c>
      <c r="E6828" s="0" t="e">
        <f>+7 (495) 7870903
+7 (495) 7870939
+7 (495) 7870968
+7 (86148) 60963
+7 (86148) 60973</f>
        <v>#NAME?</v>
      </c>
      <c r="F6828" s="5" t="s">
        <v>45216</v>
      </c>
      <c r="G6828" s="5" t="s">
        <v>45217</v>
      </c>
      <c r="H6828" s="26">
        <v>29.5</v>
      </c>
      <c r="I6828" s="5"/>
      <c r="J6828" s="5" t="s">
        <v>26905</v>
      </c>
      <c r="K6828" s="5" t="s">
        <v>344</v>
      </c>
      <c r="L6828" s="5" t="s">
        <v>45218</v>
      </c>
      <c r="M6828" s="27">
        <v>174384558</v>
      </c>
      <c r="N6828" s="5" t="s">
        <v>49923</v>
      </c>
      <c r="O6828" s="5" t="str">
        <v>2352013076</v>
      </c>
      <c r="P6828" s="27">
        <v>1041462000</v>
      </c>
      <c r="Q6828" s="5" t="s">
        <v>59528</v>
      </c>
      <c r="R6828" s="5"/>
      <c r="S6828" s="5" t="s">
        <v>50924</v>
      </c>
      <c r="T6828" s="28">
        <v>59728742000</v>
      </c>
      <c r="U6828" s="28">
        <v>19703876000</v>
      </c>
      <c r="V6828" s="28">
        <v>10903977000</v>
      </c>
      <c r="W6828" s="28">
        <v>5251956000</v>
      </c>
      <c r="X6828" s="28">
        <v>2016938000</v>
      </c>
      <c r="Y6828" s="28">
        <v>106468155000</v>
      </c>
      <c r="Z6828" s="28">
        <v>36079884000</v>
      </c>
      <c r="AA6828" s="28">
        <v>37097442000</v>
      </c>
      <c r="AB6828" s="28">
        <v>2881568000</v>
      </c>
      <c r="AC6828" s="28">
        <v>10619414000</v>
      </c>
      <c r="AD6828" s="28">
        <v>53421036000</v>
      </c>
      <c r="AE6828" s="28">
        <v>16695386000</v>
      </c>
      <c r="AF6828" s="28">
        <v>7001569000</v>
      </c>
      <c r="AG6828" s="11"/>
    </row>
    <row r="6829">
      <c r="A6829" s="7" t="s">
        <v>8393</v>
      </c>
      <c r="B6829" s="5" t="s">
        <v>16330</v>
      </c>
      <c r="C6829" s="5" t="s">
        <v>23968</v>
      </c>
      <c r="D6829" s="5"/>
      <c r="E6829" s="0" t="e">
        <f>+7 (855) 1441013</f>
        <v>#NAME?</v>
      </c>
      <c r="F6829" s="5" t="s">
        <v>45219</v>
      </c>
      <c r="G6829" s="5"/>
      <c r="H6829" s="26">
        <v>17.5</v>
      </c>
      <c r="I6829" s="5" t="s">
        <v>45220</v>
      </c>
      <c r="J6829" s="5" t="s">
        <v>27921</v>
      </c>
      <c r="K6829" s="5" t="s">
        <v>344</v>
      </c>
      <c r="L6829" s="5" t="s">
        <v>45221</v>
      </c>
      <c r="M6829" s="27"/>
      <c r="N6829" s="5"/>
      <c r="O6829" s="5" t="str">
        <v>1645019397</v>
      </c>
      <c r="P6829" s="27">
        <v>14903</v>
      </c>
      <c r="Q6829" s="5" t="s">
        <v>49009</v>
      </c>
      <c r="R6829" s="5"/>
      <c r="S6829" s="5" t="s">
        <v>49045</v>
      </c>
      <c r="T6829" s="28">
        <v>541759000</v>
      </c>
      <c r="U6829" s="28"/>
      <c r="V6829" s="28">
        <v>1083545000</v>
      </c>
      <c r="W6829" s="28"/>
      <c r="X6829" s="28">
        <v>4586000</v>
      </c>
      <c r="Y6829" s="28">
        <v>2010621000</v>
      </c>
      <c r="Z6829" s="28">
        <v>178016000</v>
      </c>
      <c r="AA6829" s="28"/>
      <c r="AB6829" s="28"/>
      <c r="AC6829" s="28">
        <v>1712914000</v>
      </c>
      <c r="AD6829" s="28">
        <v>180026000</v>
      </c>
      <c r="AE6829" s="28">
        <v>3910769000</v>
      </c>
      <c r="AF6829" s="28">
        <v>415932000</v>
      </c>
      <c r="AG6829" s="11"/>
    </row>
    <row r="6830">
      <c r="A6830" s="7" t="s">
        <v>8394</v>
      </c>
      <c r="B6830" s="5" t="s">
        <v>16330</v>
      </c>
      <c r="C6830" s="5" t="s">
        <v>23969</v>
      </c>
      <c r="D6830" s="5" t="str">
        <v>164504231559</v>
      </c>
      <c r="E6830" s="0" t="e">
        <f>+7 (85594) 77587
+7 (85594) 77594
+7 (85594) 40533
+7 (85594) 43741
+7 (85594) 77512
+7 (85594) 77570
+7 (85594) 77573</f>
        <v>#NAME?</v>
      </c>
      <c r="F6830" s="5" t="s">
        <v>45222</v>
      </c>
      <c r="G6830" s="5" t="s">
        <v>45223</v>
      </c>
      <c r="H6830" s="26">
        <v>17.5</v>
      </c>
      <c r="I6830" s="5" t="s">
        <v>45224</v>
      </c>
      <c r="J6830" s="5" t="s">
        <v>27921</v>
      </c>
      <c r="K6830" s="5" t="s">
        <v>344</v>
      </c>
      <c r="L6830" s="5" t="s">
        <v>45225</v>
      </c>
      <c r="M6830" s="27"/>
      <c r="N6830" s="5" t="s">
        <v>59530</v>
      </c>
      <c r="O6830" s="5" t="str">
        <v>1645019164</v>
      </c>
      <c r="P6830" s="27">
        <v>100000</v>
      </c>
      <c r="Q6830" s="5" t="s">
        <v>59531</v>
      </c>
      <c r="R6830" s="5"/>
      <c r="S6830" s="5" t="s">
        <v>52842</v>
      </c>
      <c r="T6830" s="28">
        <v>4438617000</v>
      </c>
      <c r="U6830" s="28">
        <v>154385000</v>
      </c>
      <c r="V6830" s="28">
        <v>12497310000</v>
      </c>
      <c r="W6830" s="28">
        <v>26000000</v>
      </c>
      <c r="X6830" s="28">
        <v>546266000</v>
      </c>
      <c r="Y6830" s="28">
        <v>20201307000</v>
      </c>
      <c r="Z6830" s="28">
        <v>11895861000</v>
      </c>
      <c r="AA6830" s="28"/>
      <c r="AB6830" s="28">
        <v>2714985000</v>
      </c>
      <c r="AC6830" s="28">
        <v>7445802000</v>
      </c>
      <c r="AD6830" s="28">
        <v>12243180000</v>
      </c>
      <c r="AE6830" s="28">
        <v>24564333000</v>
      </c>
      <c r="AF6830" s="28">
        <v>3271130000</v>
      </c>
      <c r="AG6830" s="11"/>
    </row>
    <row r="6831">
      <c r="A6831" s="7" t="s">
        <v>8395</v>
      </c>
      <c r="B6831" s="5" t="s">
        <v>16331</v>
      </c>
      <c r="C6831" s="5" t="s">
        <v>23968</v>
      </c>
      <c r="D6831" s="5"/>
      <c r="E6831" s="0" t="e">
        <f>+7 (34669) 32038
+7 (34669) 32322
+7 (917) 9009993</f>
        <v>#NAME?</v>
      </c>
      <c r="F6831" s="5" t="s">
        <v>45226</v>
      </c>
      <c r="G6831" s="5"/>
      <c r="H6831" s="26">
        <v>17.5</v>
      </c>
      <c r="I6831" s="5" t="s">
        <v>45227</v>
      </c>
      <c r="J6831" s="5" t="s">
        <v>27921</v>
      </c>
      <c r="K6831" s="5" t="s">
        <v>344</v>
      </c>
      <c r="L6831" s="5" t="s">
        <v>45228</v>
      </c>
      <c r="M6831" s="27"/>
      <c r="N6831" s="5" t="s">
        <v>59532</v>
      </c>
      <c r="O6831" s="5" t="str">
        <v>8607100522</v>
      </c>
      <c r="P6831" s="27">
        <v>14903</v>
      </c>
      <c r="Q6831" s="5"/>
      <c r="R6831" s="5"/>
      <c r="S6831" s="5" t="s">
        <v>49125</v>
      </c>
      <c r="T6831" s="28">
        <v>373010000</v>
      </c>
      <c r="U6831" s="28"/>
      <c r="V6831" s="28">
        <v>1048239000</v>
      </c>
      <c r="W6831" s="28"/>
      <c r="X6831" s="28">
        <v>1680000</v>
      </c>
      <c r="Y6831" s="28">
        <v>2270026000</v>
      </c>
      <c r="Z6831" s="28">
        <v>763210000</v>
      </c>
      <c r="AA6831" s="28"/>
      <c r="AB6831" s="28"/>
      <c r="AC6831" s="28">
        <v>1420784000</v>
      </c>
      <c r="AD6831" s="28">
        <v>768220000</v>
      </c>
      <c r="AE6831" s="28">
        <v>5824592000</v>
      </c>
      <c r="AF6831" s="28">
        <v>2056523000</v>
      </c>
      <c r="AG6831" s="11"/>
    </row>
    <row r="6832">
      <c r="A6832" s="7" t="s">
        <v>8396</v>
      </c>
      <c r="B6832" s="5" t="s">
        <v>16332</v>
      </c>
      <c r="C6832" s="5" t="s">
        <v>23970</v>
      </c>
      <c r="D6832" s="5" t="str">
        <v>420537710383</v>
      </c>
      <c r="F6832" s="5" t="s">
        <v>45229</v>
      </c>
      <c r="G6832" s="5" t="s">
        <v>45230</v>
      </c>
      <c r="H6832" s="26">
        <v>1.5</v>
      </c>
      <c r="I6832" s="5" t="s">
        <v>45231</v>
      </c>
      <c r="J6832" s="5" t="s">
        <v>373</v>
      </c>
      <c r="K6832" s="5" t="s">
        <v>344</v>
      </c>
      <c r="L6832" s="5"/>
      <c r="M6832" s="27"/>
      <c r="N6832" s="5"/>
      <c r="O6832" s="5" t="str">
        <v>9703041350</v>
      </c>
      <c r="P6832" s="27">
        <v>10000</v>
      </c>
      <c r="Q6832" s="5" t="s">
        <v>49207</v>
      </c>
      <c r="R6832" s="5"/>
      <c r="S6832" s="5" t="s">
        <v>49311</v>
      </c>
      <c r="T6832" s="28">
        <v>17827000</v>
      </c>
      <c r="U6832" s="28"/>
      <c r="V6832" s="28">
        <v>637343000</v>
      </c>
      <c r="W6832" s="28"/>
      <c r="X6832" s="28">
        <v>370000</v>
      </c>
      <c r="Y6832" s="28">
        <v>659964000</v>
      </c>
      <c r="Z6832" s="28">
        <v>645226000</v>
      </c>
      <c r="AA6832" s="28"/>
      <c r="AB6832" s="28"/>
      <c r="AC6832" s="28">
        <v>14729000</v>
      </c>
      <c r="AD6832" s="28">
        <v>645236000</v>
      </c>
      <c r="AE6832" s="28">
        <v>21829100000</v>
      </c>
      <c r="AF6832" s="28">
        <v>406079000</v>
      </c>
      <c r="AG6832" s="11"/>
    </row>
    <row r="6833">
      <c r="A6833" s="7" t="s">
        <v>8397</v>
      </c>
      <c r="B6833" s="5" t="s">
        <v>16333</v>
      </c>
      <c r="C6833" s="5" t="s">
        <v>23971</v>
      </c>
      <c r="D6833" s="5"/>
      <c r="E6833" s="0" t="e">
        <f>+7 (3512) 462700
+7 (3512) 462702</f>
        <v>#NAME?</v>
      </c>
      <c r="F6833" s="5" t="s">
        <v>45232</v>
      </c>
      <c r="G6833" s="5"/>
      <c r="H6833" s="26">
        <v>8</v>
      </c>
      <c r="I6833" s="5"/>
      <c r="J6833" s="5" t="s">
        <v>30421</v>
      </c>
      <c r="K6833" s="5" t="s">
        <v>380</v>
      </c>
      <c r="L6833" s="5" t="s">
        <v>37455</v>
      </c>
      <c r="M6833" s="27">
        <v>329633</v>
      </c>
      <c r="N6833" s="5" t="s">
        <v>59533</v>
      </c>
      <c r="O6833" s="5" t="str">
        <v>7449026737</v>
      </c>
      <c r="P6833" s="27">
        <v>600000000</v>
      </c>
      <c r="Q6833" s="5" t="s">
        <v>59534</v>
      </c>
      <c r="R6833" s="5"/>
      <c r="S6833" s="5" t="s">
        <v>59535</v>
      </c>
      <c r="T6833" s="28">
        <v>5511984000</v>
      </c>
      <c r="U6833" s="28"/>
      <c r="V6833" s="28">
        <v>1283379000</v>
      </c>
      <c r="W6833" s="28"/>
      <c r="X6833" s="28">
        <v>5600000</v>
      </c>
      <c r="Y6833" s="28">
        <v>8836031000</v>
      </c>
      <c r="Z6833" s="28">
        <v>2296428000</v>
      </c>
      <c r="AA6833" s="28">
        <v>551968000</v>
      </c>
      <c r="AB6833" s="28">
        <v>4272000</v>
      </c>
      <c r="AC6833" s="28">
        <v>4904233000</v>
      </c>
      <c r="AD6833" s="28">
        <v>2998657000</v>
      </c>
      <c r="AE6833" s="28">
        <v>5076594000</v>
      </c>
      <c r="AF6833" s="28">
        <v>86502000</v>
      </c>
      <c r="AG6833" s="11"/>
    </row>
    <row r="6834">
      <c r="A6834" s="7" t="s">
        <v>8398</v>
      </c>
      <c r="B6834" s="5" t="s">
        <v>16334</v>
      </c>
      <c r="C6834" s="5" t="s">
        <v>23972</v>
      </c>
      <c r="D6834" s="5" t="str">
        <v>773423237240</v>
      </c>
      <c r="F6834" s="5"/>
      <c r="G6834" s="5" t="s">
        <v>45233</v>
      </c>
      <c r="H6834" s="26">
        <v>11</v>
      </c>
      <c r="I6834" s="5" t="s">
        <v>45234</v>
      </c>
      <c r="J6834" s="5" t="s">
        <v>373</v>
      </c>
      <c r="K6834" s="5" t="s">
        <v>344</v>
      </c>
      <c r="L6834" s="5" t="s">
        <v>45235</v>
      </c>
      <c r="M6834" s="27"/>
      <c r="N6834" s="5" t="s">
        <v>59536</v>
      </c>
      <c r="O6834" s="5" t="str">
        <v>7734673130</v>
      </c>
      <c r="P6834" s="27">
        <v>10000</v>
      </c>
      <c r="Q6834" s="5" t="s">
        <v>49057</v>
      </c>
      <c r="R6834" s="5" t="s">
        <v>53148</v>
      </c>
      <c r="S6834" s="5" t="s">
        <v>49101</v>
      </c>
      <c r="T6834" s="28">
        <v>6990000</v>
      </c>
      <c r="U6834" s="28"/>
      <c r="V6834" s="28">
        <v>576064000</v>
      </c>
      <c r="W6834" s="28">
        <v>5000000</v>
      </c>
      <c r="X6834" s="28">
        <v>1502000</v>
      </c>
      <c r="Y6834" s="28">
        <v>804637000</v>
      </c>
      <c r="Z6834" s="28">
        <v>580892000</v>
      </c>
      <c r="AA6834" s="28"/>
      <c r="AB6834" s="28">
        <v>30000000</v>
      </c>
      <c r="AC6834" s="28">
        <v>221206000</v>
      </c>
      <c r="AD6834" s="28">
        <v>580902000</v>
      </c>
      <c r="AE6834" s="28">
        <v>3743678000</v>
      </c>
      <c r="AF6834" s="28">
        <v>126634000</v>
      </c>
      <c r="AG6834" s="11"/>
    </row>
    <row r="6835">
      <c r="A6835" s="7" t="s">
        <v>8399</v>
      </c>
      <c r="B6835" s="5" t="s">
        <v>16335</v>
      </c>
      <c r="C6835" s="5" t="s">
        <v>23973</v>
      </c>
      <c r="D6835" s="5"/>
      <c r="E6835" s="0" t="e">
        <f>+7 (800) 2500353
+7 (816) 2601089
+7 (816) 2623527
+7 (816) 2624154
+7 (816) 2624475
+7 (816) 2637844
+7 (816) 2649894
+7 (816) 2680115
+7 (816) 2738149
+7 (816) 2738416
+7 (816) 2739419
+7 (812) 3472328
+7 (816) 2738419
+7 (816) 2765248
+7 (816) 2774121</f>
        <v>#NAME?</v>
      </c>
      <c r="F6835" s="5" t="s">
        <v>45236</v>
      </c>
      <c r="G6835" s="5" t="s">
        <v>45237</v>
      </c>
      <c r="H6835" s="26">
        <v>12.5</v>
      </c>
      <c r="I6835" s="5" t="s">
        <v>45238</v>
      </c>
      <c r="J6835" s="5" t="s">
        <v>26623</v>
      </c>
      <c r="K6835" s="5" t="s">
        <v>355</v>
      </c>
      <c r="L6835" s="5" t="s">
        <v>45239</v>
      </c>
      <c r="M6835" s="27">
        <v>123287839</v>
      </c>
      <c r="N6835" s="5" t="s">
        <v>57650</v>
      </c>
      <c r="O6835" s="5" t="str">
        <v>7715825806</v>
      </c>
      <c r="P6835" s="27">
        <v>200000</v>
      </c>
      <c r="Q6835" s="5" t="s">
        <v>59537</v>
      </c>
      <c r="R6835" s="5"/>
      <c r="S6835" s="5" t="s">
        <v>59538</v>
      </c>
      <c r="T6835" s="28">
        <v>49504000</v>
      </c>
      <c r="U6835" s="28"/>
      <c r="V6835" s="28">
        <v>1145437000</v>
      </c>
      <c r="W6835" s="28"/>
      <c r="X6835" s="28">
        <v>47469000</v>
      </c>
      <c r="Y6835" s="28">
        <v>1709406000</v>
      </c>
      <c r="Z6835" s="28">
        <v>177268000</v>
      </c>
      <c r="AA6835" s="28"/>
      <c r="AB6835" s="28">
        <v>350000000</v>
      </c>
      <c r="AC6835" s="28">
        <v>1531928000</v>
      </c>
      <c r="AD6835" s="28">
        <v>177478000</v>
      </c>
      <c r="AE6835" s="28">
        <v>10692720000</v>
      </c>
      <c r="AF6835" s="28">
        <v>140007000</v>
      </c>
      <c r="AG6835" s="11"/>
    </row>
    <row r="6836">
      <c r="A6836" s="7" t="s">
        <v>8400</v>
      </c>
      <c r="B6836" s="5" t="s">
        <v>16336</v>
      </c>
      <c r="C6836" s="5" t="s">
        <v>23973</v>
      </c>
      <c r="D6836" s="5"/>
      <c r="E6836" s="0" t="e">
        <f>+7 (472) 2261876
+7 (47244) 66407
+7 (473) 2020083
+7 (473) 2020233
+7 (473) 2020803
+7 (473) 2020822
+7 (473) 2020823
+7 (473) 2020830
+7 (473) 2020883
+7 (473) 2020899
+7 (473) 2020933
+7 (473) 2050833
+7 (473) 2066800
+7 (473) 2070100
+7 (4725) 466823</f>
        <v>#NAME?</v>
      </c>
      <c r="F6836" s="5" t="s">
        <v>45240</v>
      </c>
      <c r="G6836" s="5" t="s">
        <v>45241</v>
      </c>
      <c r="H6836" s="26">
        <v>18.5</v>
      </c>
      <c r="I6836" s="5" t="s">
        <v>45242</v>
      </c>
      <c r="J6836" s="5" t="s">
        <v>26623</v>
      </c>
      <c r="K6836" s="5" t="s">
        <v>344</v>
      </c>
      <c r="L6836" s="5"/>
      <c r="M6836" s="27">
        <v>30872715</v>
      </c>
      <c r="N6836" s="5" t="s">
        <v>56016</v>
      </c>
      <c r="O6836" s="5" t="str">
        <v>3663050467</v>
      </c>
      <c r="P6836" s="27">
        <v>29947081</v>
      </c>
      <c r="Q6836" s="5" t="s">
        <v>59539</v>
      </c>
      <c r="R6836" s="5"/>
      <c r="S6836" s="5" t="s">
        <v>51048</v>
      </c>
      <c r="T6836" s="28">
        <v>530926000</v>
      </c>
      <c r="U6836" s="28">
        <v>1269356000</v>
      </c>
      <c r="V6836" s="28">
        <v>2244326000</v>
      </c>
      <c r="W6836" s="28">
        <v>132376000</v>
      </c>
      <c r="X6836" s="28">
        <v>849199000</v>
      </c>
      <c r="Y6836" s="28">
        <v>5077631000</v>
      </c>
      <c r="Z6836" s="28">
        <v>1601376000</v>
      </c>
      <c r="AA6836" s="28"/>
      <c r="AB6836" s="28"/>
      <c r="AC6836" s="28">
        <v>3284088000</v>
      </c>
      <c r="AD6836" s="28">
        <v>1787592000</v>
      </c>
      <c r="AE6836" s="28">
        <v>32747473000</v>
      </c>
      <c r="AF6836" s="28">
        <v>1486713000</v>
      </c>
      <c r="AG6836" s="11"/>
    </row>
    <row r="6837">
      <c r="A6837" s="7" t="s">
        <v>8401</v>
      </c>
      <c r="B6837" s="5" t="s">
        <v>16337</v>
      </c>
      <c r="C6837" s="5" t="s">
        <v>23973</v>
      </c>
      <c r="D6837" s="5"/>
      <c r="E6837" s="0" t="e">
        <f>+7 (800) 5507004
+7 (800) 7751044
+7 (8142) 297500
+7 (8142) 592939
+7 (8142) 729250
+7 (8142) 762500
+7 (8142) 762513
+7 (8142) 762610
+7 (8142) 762616
+7 (8142) 762644
+7 (8142) 762659
+7 (8142) 782500
+7 (8142) 782513
+7 (8142) 782581
+7 (8142) 792506</f>
        <v>#NAME?</v>
      </c>
      <c r="F6837" s="5" t="s">
        <v>45243</v>
      </c>
      <c r="G6837" s="5" t="s">
        <v>45244</v>
      </c>
      <c r="H6837" s="26">
        <v>18</v>
      </c>
      <c r="I6837" s="5" t="s">
        <v>45245</v>
      </c>
      <c r="J6837" s="5" t="s">
        <v>29005</v>
      </c>
      <c r="K6837" s="5" t="s">
        <v>344</v>
      </c>
      <c r="L6837" s="5"/>
      <c r="M6837" s="27">
        <v>5690598</v>
      </c>
      <c r="N6837" s="5" t="s">
        <v>57919</v>
      </c>
      <c r="O6837" s="5" t="str">
        <v>1001012875</v>
      </c>
      <c r="P6837" s="27">
        <v>6436079</v>
      </c>
      <c r="Q6837" s="5" t="s">
        <v>59540</v>
      </c>
      <c r="R6837" s="5"/>
      <c r="S6837" s="5" t="s">
        <v>59541</v>
      </c>
      <c r="T6837" s="28">
        <v>453396000</v>
      </c>
      <c r="U6837" s="28"/>
      <c r="V6837" s="28">
        <v>1074772000</v>
      </c>
      <c r="W6837" s="28"/>
      <c r="X6837" s="28">
        <v>68771000</v>
      </c>
      <c r="Y6837" s="28">
        <v>1598779000</v>
      </c>
      <c r="Z6837" s="28">
        <v>448250000</v>
      </c>
      <c r="AA6837" s="28"/>
      <c r="AB6837" s="28">
        <v>150000000</v>
      </c>
      <c r="AC6837" s="28">
        <v>1069024000</v>
      </c>
      <c r="AD6837" s="28">
        <v>457248000</v>
      </c>
      <c r="AE6837" s="28">
        <v>6929474000</v>
      </c>
      <c r="AF6837" s="28">
        <v>20793000</v>
      </c>
      <c r="AG6837" s="11"/>
    </row>
    <row r="6838">
      <c r="A6838" s="7" t="s">
        <v>8402</v>
      </c>
      <c r="B6838" s="5" t="s">
        <v>12771</v>
      </c>
      <c r="C6838" s="5" t="s">
        <v>23973</v>
      </c>
      <c r="D6838" s="5"/>
      <c r="E6838" s="0" t="e">
        <f>+7 (800) 7754423
+7 (8313) 274746
+7 (8313) 355124
+7 (861) 2170584
+7 (861) 2170587
+7 (861) 2170589
+7 (861) 2193394
+7 (861) 2193409
+7 (861) 2196925
+7 (861) 2299072
+7 (861) 2649325
+7 (861) 2658975
+7 (861) 2990280
+7 (861) 2990281
+7 (861) 2990465</f>
        <v>#NAME?</v>
      </c>
      <c r="F6838" s="5" t="s">
        <v>45246</v>
      </c>
      <c r="G6838" s="5" t="s">
        <v>45247</v>
      </c>
      <c r="H6838" s="26">
        <v>29.5</v>
      </c>
      <c r="I6838" s="5" t="s">
        <v>45248</v>
      </c>
      <c r="J6838" s="5" t="s">
        <v>26623</v>
      </c>
      <c r="K6838" s="5" t="s">
        <v>344</v>
      </c>
      <c r="L6838" s="5"/>
      <c r="M6838" s="27">
        <v>3008505040</v>
      </c>
      <c r="N6838" s="5" t="s">
        <v>59542</v>
      </c>
      <c r="O6838" s="5" t="str">
        <v>2308119595</v>
      </c>
      <c r="P6838" s="27">
        <v>10006886</v>
      </c>
      <c r="Q6838" s="5" t="s">
        <v>59543</v>
      </c>
      <c r="R6838" s="5"/>
      <c r="S6838" s="5" t="s">
        <v>59544</v>
      </c>
      <c r="T6838" s="28">
        <v>1997293000</v>
      </c>
      <c r="U6838" s="28">
        <v>1463244000</v>
      </c>
      <c r="V6838" s="28">
        <v>8332543000</v>
      </c>
      <c r="W6838" s="28">
        <v>339524000</v>
      </c>
      <c r="X6838" s="28">
        <v>590370000</v>
      </c>
      <c r="Y6838" s="28">
        <v>12766825000</v>
      </c>
      <c r="Z6838" s="28">
        <v>1146800000</v>
      </c>
      <c r="AA6838" s="28"/>
      <c r="AB6838" s="28">
        <v>2760158000</v>
      </c>
      <c r="AC6838" s="28">
        <v>10050707000</v>
      </c>
      <c r="AD6838" s="28">
        <v>2329660000</v>
      </c>
      <c r="AE6838" s="28">
        <v>71260293000</v>
      </c>
      <c r="AF6838" s="28">
        <v>461307000</v>
      </c>
      <c r="AG6838" s="11"/>
    </row>
    <row r="6839">
      <c r="A6839" s="7" t="s">
        <v>8403</v>
      </c>
      <c r="B6839" s="5" t="s">
        <v>16338</v>
      </c>
      <c r="C6839" s="5" t="s">
        <v>23973</v>
      </c>
      <c r="D6839" s="5"/>
      <c r="E6839" s="0" t="e">
        <f>+7 (8362) 425180
+7 (8362) 451258
+7 (8362) 453323
+7 (8362) 465110
+7 (8362) 465150
+7 (8362) 465780
+7 (8362) 347127
+7 (8362) 412930
+7 (8362) 455180
+7 (8362) 455676
+7 (8362) 456180
+7 (8362) 465595
+7 (8362) 467727
+7 (8362) 467801
+7 (8362) 554338</f>
        <v>#NAME?</v>
      </c>
      <c r="F6839" s="5" t="s">
        <v>45249</v>
      </c>
      <c r="G6839" s="5" t="s">
        <v>45250</v>
      </c>
      <c r="H6839" s="26">
        <v>18</v>
      </c>
      <c r="I6839" s="5" t="s">
        <v>45251</v>
      </c>
      <c r="J6839" s="5" t="s">
        <v>29005</v>
      </c>
      <c r="K6839" s="5" t="s">
        <v>344</v>
      </c>
      <c r="L6839" s="5"/>
      <c r="M6839" s="27">
        <v>2739974</v>
      </c>
      <c r="N6839" s="5" t="s">
        <v>59545</v>
      </c>
      <c r="O6839" s="5" t="str">
        <v>1215099739</v>
      </c>
      <c r="P6839" s="27">
        <v>13250000</v>
      </c>
      <c r="Q6839" s="5" t="s">
        <v>59546</v>
      </c>
      <c r="R6839" s="5"/>
      <c r="S6839" s="5" t="s">
        <v>55751</v>
      </c>
      <c r="T6839" s="28">
        <v>422455000</v>
      </c>
      <c r="U6839" s="28">
        <v>748388000</v>
      </c>
      <c r="V6839" s="28">
        <v>636800000</v>
      </c>
      <c r="W6839" s="28">
        <v>2951000</v>
      </c>
      <c r="X6839" s="28">
        <v>92510000</v>
      </c>
      <c r="Y6839" s="28">
        <v>2015560000</v>
      </c>
      <c r="Z6839" s="28">
        <v>1039166000</v>
      </c>
      <c r="AA6839" s="28"/>
      <c r="AB6839" s="28"/>
      <c r="AC6839" s="28">
        <v>931403000</v>
      </c>
      <c r="AD6839" s="28">
        <v>1075128000</v>
      </c>
      <c r="AE6839" s="28">
        <v>9014886000</v>
      </c>
      <c r="AF6839" s="28">
        <v>469097000</v>
      </c>
      <c r="AG6839" s="11"/>
    </row>
    <row r="6840">
      <c r="A6840" s="7" t="s">
        <v>8404</v>
      </c>
      <c r="B6840" s="5" t="s">
        <v>16339</v>
      </c>
      <c r="C6840" s="5" t="s">
        <v>23973</v>
      </c>
      <c r="D6840" s="5"/>
      <c r="E6840" s="0" t="e">
        <f>+7 (485) 2222165
+7 (499) 7852027
+7 (800) 3010970
+7 (81376) 51820
+7 (831) 2118058
+7 (831) 2164337
+7 (800) 7750970
+7 (831) 2161059
+7 (831) 2220249
+7 (831) 2220396
+7 (831) 2220726
+7 (831) 2220798
+7 (831) 2220987
+7 (831) 2230970
+7 (831) 2252273</f>
        <v>#NAME?</v>
      </c>
      <c r="F6840" s="5" t="s">
        <v>45252</v>
      </c>
      <c r="G6840" s="5" t="s">
        <v>45253</v>
      </c>
      <c r="H6840" s="26">
        <v>18</v>
      </c>
      <c r="I6840" s="5" t="s">
        <v>45254</v>
      </c>
      <c r="J6840" s="5" t="s">
        <v>29005</v>
      </c>
      <c r="K6840" s="5" t="s">
        <v>355</v>
      </c>
      <c r="L6840" s="5"/>
      <c r="M6840" s="27">
        <v>45315279336</v>
      </c>
      <c r="N6840" s="5" t="s">
        <v>56016</v>
      </c>
      <c r="O6840" s="5" t="str">
        <v>5260148520</v>
      </c>
      <c r="P6840" s="27">
        <v>59196995</v>
      </c>
      <c r="Q6840" s="5" t="s">
        <v>59547</v>
      </c>
      <c r="R6840" s="5"/>
      <c r="S6840" s="5" t="s">
        <v>55751</v>
      </c>
      <c r="T6840" s="28">
        <v>864622000</v>
      </c>
      <c r="U6840" s="28">
        <v>814657000</v>
      </c>
      <c r="V6840" s="28">
        <v>19340161000</v>
      </c>
      <c r="W6840" s="28"/>
      <c r="X6840" s="28">
        <v>310354000</v>
      </c>
      <c r="Y6840" s="28">
        <v>21335882000</v>
      </c>
      <c r="Z6840" s="28">
        <v>-10923000</v>
      </c>
      <c r="AA6840" s="28"/>
      <c r="AB6840" s="28">
        <v>4520000000</v>
      </c>
      <c r="AC6840" s="28">
        <v>17148325000</v>
      </c>
      <c r="AD6840" s="28">
        <v>264787000</v>
      </c>
      <c r="AE6840" s="28">
        <v>50345732000</v>
      </c>
      <c r="AF6840" s="28">
        <v>1355000</v>
      </c>
      <c r="AG6840" s="11"/>
    </row>
    <row r="6841">
      <c r="A6841" s="7" t="s">
        <v>8405</v>
      </c>
      <c r="B6841" s="5" t="s">
        <v>16340</v>
      </c>
      <c r="C6841" s="5" t="s">
        <v>23973</v>
      </c>
      <c r="D6841" s="5"/>
      <c r="E6841" s="0" t="e">
        <f>+7 (481) 2559019
+7 (8412) 202152
+7 (8412) 205501
+7 (8412) 209880
+7 (8412) 231373
+7 (8412) 231377
+7 (8412) 231791
+7 (8412) 232960
+7 (8412) 238868
+7 (8412) 252201
+7 (8412) 255019
+7 (411) 2559019
+7 (800) 7001812
+7 (800) 7754458
+7 (8412) 420328</f>
        <v>#NAME?</v>
      </c>
      <c r="F6841" s="5" t="s">
        <v>45255</v>
      </c>
      <c r="G6841" s="5"/>
      <c r="H6841" s="26">
        <v>12.5</v>
      </c>
      <c r="I6841" s="5" t="s">
        <v>45256</v>
      </c>
      <c r="J6841" s="5" t="s">
        <v>26623</v>
      </c>
      <c r="K6841" s="5" t="s">
        <v>344</v>
      </c>
      <c r="L6841" s="5" t="s">
        <v>45257</v>
      </c>
      <c r="M6841" s="27">
        <v>6975167</v>
      </c>
      <c r="N6841" s="5" t="s">
        <v>59548</v>
      </c>
      <c r="O6841" s="5" t="str">
        <v>7702743761</v>
      </c>
      <c r="P6841" s="27">
        <v>10000</v>
      </c>
      <c r="Q6841" s="5" t="s">
        <v>59549</v>
      </c>
      <c r="R6841" s="5"/>
      <c r="S6841" s="5" t="s">
        <v>57722</v>
      </c>
      <c r="T6841" s="28">
        <v>270816000</v>
      </c>
      <c r="U6841" s="28">
        <v>1517883000</v>
      </c>
      <c r="V6841" s="28">
        <v>1885948000</v>
      </c>
      <c r="W6841" s="28">
        <v>39713000</v>
      </c>
      <c r="X6841" s="28">
        <v>159524000</v>
      </c>
      <c r="Y6841" s="28">
        <v>4166421000</v>
      </c>
      <c r="Z6841" s="28">
        <v>1549516000</v>
      </c>
      <c r="AA6841" s="28"/>
      <c r="AB6841" s="28">
        <v>825000000</v>
      </c>
      <c r="AC6841" s="28">
        <v>2366034000</v>
      </c>
      <c r="AD6841" s="28">
        <v>1549655000</v>
      </c>
      <c r="AE6841" s="28">
        <v>14823226000</v>
      </c>
      <c r="AF6841" s="28">
        <v>1141512000</v>
      </c>
      <c r="AG6841" s="11"/>
    </row>
    <row r="6842">
      <c r="A6842" s="7" t="s">
        <v>8406</v>
      </c>
      <c r="B6842" s="5" t="s">
        <v>16341</v>
      </c>
      <c r="C6842" s="5" t="s">
        <v>23973</v>
      </c>
      <c r="D6842" s="5"/>
      <c r="E6842" s="0" t="e">
        <f>+7 (800) 7752160
+7 (800) 7752561
+7 (863) 3002277
+7 (863) 3037303
+7 (863) 3070773
+7 (863) 3077003
+7 (863) 3077903
+7 (863) 3102240
+7 (8632) 1197
+7 (8632) 17460
+7 (8632) 35595
+7 (8632) 35659
+7 (8632) 35900
+7 (800) 7752261
+7 (8622) 35988</f>
        <v>#NAME?</v>
      </c>
      <c r="F6842" s="5" t="s">
        <v>45258</v>
      </c>
      <c r="G6842" s="5" t="s">
        <v>45259</v>
      </c>
      <c r="H6842" s="26">
        <v>19</v>
      </c>
      <c r="I6842" s="5" t="s">
        <v>45260</v>
      </c>
      <c r="J6842" s="5" t="s">
        <v>26623</v>
      </c>
      <c r="K6842" s="5" t="s">
        <v>344</v>
      </c>
      <c r="L6842" s="5"/>
      <c r="M6842" s="27">
        <v>8135683454</v>
      </c>
      <c r="N6842" s="5" t="s">
        <v>59550</v>
      </c>
      <c r="O6842" s="5" t="str">
        <v>6168002922</v>
      </c>
      <c r="P6842" s="27">
        <v>181090039</v>
      </c>
      <c r="Q6842" s="5" t="s">
        <v>59551</v>
      </c>
      <c r="R6842" s="5" t="s">
        <v>59552</v>
      </c>
      <c r="S6842" s="5" t="s">
        <v>59553</v>
      </c>
      <c r="T6842" s="28">
        <v>1052451000</v>
      </c>
      <c r="U6842" s="28">
        <v>1397476000</v>
      </c>
      <c r="V6842" s="28">
        <v>5122033000</v>
      </c>
      <c r="W6842" s="28">
        <v>212640000</v>
      </c>
      <c r="X6842" s="28">
        <v>948463000</v>
      </c>
      <c r="Y6842" s="28">
        <v>9042546000</v>
      </c>
      <c r="Z6842" s="28">
        <v>770595000</v>
      </c>
      <c r="AA6842" s="28"/>
      <c r="AB6842" s="28">
        <v>1553189000</v>
      </c>
      <c r="AC6842" s="28">
        <v>7996031000</v>
      </c>
      <c r="AD6842" s="28">
        <v>1046515000</v>
      </c>
      <c r="AE6842" s="28">
        <v>57969908000</v>
      </c>
      <c r="AF6842" s="28">
        <v>472845000</v>
      </c>
      <c r="AG6842" s="11"/>
    </row>
    <row r="6843">
      <c r="A6843" s="7" t="s">
        <v>8407</v>
      </c>
      <c r="B6843" s="5" t="s">
        <v>16342</v>
      </c>
      <c r="C6843" s="5" t="s">
        <v>23973</v>
      </c>
      <c r="D6843" s="5"/>
      <c r="E6843" s="0" t="e">
        <f>+7 (487) 2209521
+7 (487) 2245221
+7 (487) 2250770
+7 (487) 2250790
+7 (487) 2250977
+7 (487) 2251552
+7 (487) 2252552
+7 (487) 2234704
+7 (487) 2250907
+7 (487) 2250928
+7 (487) 2252366
+7 (487) 2252371
+7 (487) 2252376
+7 (487) 2252382
+7 (487) 2252970</f>
        <v>#NAME?</v>
      </c>
      <c r="F6843" s="5" t="s">
        <v>45261</v>
      </c>
      <c r="G6843" s="5"/>
      <c r="H6843" s="26">
        <v>16.5</v>
      </c>
      <c r="I6843" s="5"/>
      <c r="J6843" s="5" t="s">
        <v>26623</v>
      </c>
      <c r="K6843" s="5" t="s">
        <v>355</v>
      </c>
      <c r="L6843" s="5" t="s">
        <v>27186</v>
      </c>
      <c r="M6843" s="27">
        <v>5381374976</v>
      </c>
      <c r="N6843" s="5" t="s">
        <v>59554</v>
      </c>
      <c r="O6843" s="5" t="str">
        <v>7105037307</v>
      </c>
      <c r="P6843" s="27">
        <v>5010000</v>
      </c>
      <c r="Q6843" s="5" t="s">
        <v>59555</v>
      </c>
      <c r="R6843" s="5"/>
      <c r="S6843" s="5" t="s">
        <v>59556</v>
      </c>
      <c r="T6843" s="28">
        <v>133446000</v>
      </c>
      <c r="U6843" s="28">
        <v>3203000</v>
      </c>
      <c r="V6843" s="28">
        <v>5318238000</v>
      </c>
      <c r="W6843" s="28"/>
      <c r="X6843" s="28">
        <v>106012000</v>
      </c>
      <c r="Y6843" s="28">
        <v>6379466000</v>
      </c>
      <c r="Z6843" s="28">
        <v>164202000</v>
      </c>
      <c r="AA6843" s="28">
        <v>226535000</v>
      </c>
      <c r="AB6843" s="28">
        <v>800593000</v>
      </c>
      <c r="AC6843" s="28">
        <v>5982466000</v>
      </c>
      <c r="AD6843" s="28">
        <v>170465000</v>
      </c>
      <c r="AE6843" s="28">
        <v>26950037000</v>
      </c>
      <c r="AF6843" s="28">
        <v>14264000</v>
      </c>
      <c r="AG6843" s="11"/>
    </row>
    <row r="6844">
      <c r="A6844" s="7" t="s">
        <v>8408</v>
      </c>
      <c r="B6844" s="5" t="s">
        <v>16343</v>
      </c>
      <c r="C6844" s="5" t="s">
        <v>23973</v>
      </c>
      <c r="D6844" s="5"/>
      <c r="E6844" s="0" t="e">
        <f>+7 (482) 2222171
+7 (485) 2200311
+7 (485) 2208733
+7 (485) 2222150
+7 (485) 2222151
+7 (485) 2222152
+7 (485) 2222153
+7 (485) 2222154
+7 (485) 2222155
+7 (485) 2222156
+7 (485) 2222157
+7 (485) 2222158
+7 (485) 2222159
+7 (485) 2222160
+7 (485) 2222162</f>
        <v>#NAME?</v>
      </c>
      <c r="F6844" s="5" t="s">
        <v>45262</v>
      </c>
      <c r="G6844" s="5" t="s">
        <v>45263</v>
      </c>
      <c r="H6844" s="26">
        <v>18</v>
      </c>
      <c r="I6844" s="5"/>
      <c r="J6844" s="5" t="s">
        <v>26623</v>
      </c>
      <c r="K6844" s="5" t="s">
        <v>355</v>
      </c>
      <c r="L6844" s="5"/>
      <c r="M6844" s="27">
        <v>1795306722</v>
      </c>
      <c r="N6844" s="5" t="s">
        <v>59557</v>
      </c>
      <c r="O6844" s="5" t="str">
        <v>7606052264</v>
      </c>
      <c r="P6844" s="27">
        <v>21651000</v>
      </c>
      <c r="Q6844" s="5" t="s">
        <v>59558</v>
      </c>
      <c r="R6844" s="5"/>
      <c r="S6844" s="5" t="s">
        <v>57722</v>
      </c>
      <c r="T6844" s="28">
        <v>1466655000</v>
      </c>
      <c r="U6844" s="28">
        <v>560983000</v>
      </c>
      <c r="V6844" s="28">
        <v>4652048000</v>
      </c>
      <c r="W6844" s="28"/>
      <c r="X6844" s="28">
        <v>77117000</v>
      </c>
      <c r="Y6844" s="28">
        <v>6759051000</v>
      </c>
      <c r="Z6844" s="28">
        <v>340245000</v>
      </c>
      <c r="AA6844" s="28"/>
      <c r="AB6844" s="28">
        <v>1600066000</v>
      </c>
      <c r="AC6844" s="28">
        <v>5895487000</v>
      </c>
      <c r="AD6844" s="28">
        <v>752092000</v>
      </c>
      <c r="AE6844" s="28">
        <v>20489616000</v>
      </c>
      <c r="AF6844" s="28">
        <v>36980000</v>
      </c>
      <c r="AG6844" s="11"/>
    </row>
    <row r="6845">
      <c r="A6845" s="7" t="s">
        <v>8409</v>
      </c>
      <c r="B6845" s="5" t="s">
        <v>16344</v>
      </c>
      <c r="C6845" s="5" t="s">
        <v>23974</v>
      </c>
      <c r="D6845" s="5" t="str">
        <v>390500359509</v>
      </c>
      <c r="E6845" s="0" t="e">
        <f>+7 (485) 2222188
+7 (831) 2430804
+7 (84168) 21350
+7 (861) 2980170
+7 (86156) 32838
+7 (495) 2872484
+7 (495) 6288515
+7 (495) 6329482
+7 (8142) 792727</f>
        <v>#NAME?</v>
      </c>
      <c r="F6845" s="5" t="s">
        <v>45264</v>
      </c>
      <c r="G6845" s="5"/>
      <c r="H6845" s="26">
        <v>20.5</v>
      </c>
      <c r="I6845" s="5" t="s">
        <v>45265</v>
      </c>
      <c r="J6845" s="5" t="s">
        <v>36974</v>
      </c>
      <c r="K6845" s="5" t="s">
        <v>344</v>
      </c>
      <c r="L6845" s="5"/>
      <c r="M6845" s="27"/>
      <c r="N6845" s="5" t="s">
        <v>59559</v>
      </c>
      <c r="O6845" s="5" t="str">
        <v>7705541227</v>
      </c>
      <c r="P6845" s="27">
        <v>13668239</v>
      </c>
      <c r="Q6845" s="5" t="s">
        <v>59560</v>
      </c>
      <c r="R6845" s="5"/>
      <c r="S6845" s="5" t="s">
        <v>59561</v>
      </c>
      <c r="T6845" s="28">
        <v>58690000</v>
      </c>
      <c r="U6845" s="28">
        <v>23878318000</v>
      </c>
      <c r="V6845" s="28">
        <v>1592985000</v>
      </c>
      <c r="W6845" s="28">
        <v>117750000</v>
      </c>
      <c r="X6845" s="28">
        <v>85442000</v>
      </c>
      <c r="Y6845" s="28">
        <v>25738395000</v>
      </c>
      <c r="Z6845" s="28">
        <v>17404354000</v>
      </c>
      <c r="AA6845" s="28"/>
      <c r="AB6845" s="28">
        <v>642294000</v>
      </c>
      <c r="AC6845" s="28">
        <v>1485102000</v>
      </c>
      <c r="AD6845" s="28">
        <v>21684748000</v>
      </c>
      <c r="AE6845" s="28">
        <v>3230922000</v>
      </c>
      <c r="AF6845" s="28">
        <v>-5487456000</v>
      </c>
      <c r="AG6845" s="11"/>
    </row>
    <row r="6846">
      <c r="A6846" s="7" t="s">
        <v>8410</v>
      </c>
      <c r="B6846" s="5" t="s">
        <v>16345</v>
      </c>
      <c r="C6846" s="5" t="s">
        <v>23975</v>
      </c>
      <c r="D6846" s="5" t="str">
        <v>231505377301</v>
      </c>
      <c r="E6846" s="0" t="e">
        <f>+7 (8617) 717215
+7 (8617) 308141</f>
        <v>#NAME?</v>
      </c>
      <c r="F6846" s="5" t="s">
        <v>45266</v>
      </c>
      <c r="G6846" s="5" t="s">
        <v>45267</v>
      </c>
      <c r="H6846" s="26">
        <v>15</v>
      </c>
      <c r="I6846" s="5"/>
      <c r="J6846" s="5" t="s">
        <v>45268</v>
      </c>
      <c r="K6846" s="5" t="s">
        <v>344</v>
      </c>
      <c r="L6846" s="5" t="s">
        <v>45269</v>
      </c>
      <c r="M6846" s="27">
        <v>5302668</v>
      </c>
      <c r="N6846" s="5"/>
      <c r="O6846" s="5" t="str">
        <v>2315143060</v>
      </c>
      <c r="P6846" s="27">
        <v>100000</v>
      </c>
      <c r="Q6846" s="5" t="s">
        <v>59562</v>
      </c>
      <c r="R6846" s="5"/>
      <c r="S6846" s="5" t="s">
        <v>59563</v>
      </c>
      <c r="T6846" s="28">
        <v>15381532000</v>
      </c>
      <c r="U6846" s="28">
        <v>10685000</v>
      </c>
      <c r="V6846" s="28">
        <v>1500379000</v>
      </c>
      <c r="W6846" s="28">
        <v>2941659000</v>
      </c>
      <c r="X6846" s="28">
        <v>30229000</v>
      </c>
      <c r="Y6846" s="28">
        <v>22697464000</v>
      </c>
      <c r="Z6846" s="28">
        <v>15790350000</v>
      </c>
      <c r="AA6846" s="28"/>
      <c r="AB6846" s="28">
        <v>163790000</v>
      </c>
      <c r="AC6846" s="28">
        <v>2339250000</v>
      </c>
      <c r="AD6846" s="28">
        <v>15790826000</v>
      </c>
      <c r="AE6846" s="28">
        <v>7007799000</v>
      </c>
      <c r="AF6846" s="28">
        <v>1521768000</v>
      </c>
      <c r="AG6846" s="11"/>
    </row>
    <row r="6847">
      <c r="A6847" s="7" t="s">
        <v>8411</v>
      </c>
      <c r="B6847" s="5" t="s">
        <v>16346</v>
      </c>
      <c r="C6847" s="5" t="s">
        <v>23976</v>
      </c>
      <c r="D6847" s="5" t="str">
        <v>502404606130</v>
      </c>
      <c r="E6847" s="0" t="e">
        <f>+7 (499) 2551158
+7 (499) 2521169
+7 (495) 7703936</f>
        <v>#NAME?</v>
      </c>
      <c r="F6847" s="5" t="s">
        <v>45270</v>
      </c>
      <c r="G6847" s="5"/>
      <c r="H6847" s="26">
        <v>20</v>
      </c>
      <c r="I6847" s="5" t="s">
        <v>45271</v>
      </c>
      <c r="J6847" s="5" t="s">
        <v>364</v>
      </c>
      <c r="K6847" s="5" t="s">
        <v>380</v>
      </c>
      <c r="L6847" s="5"/>
      <c r="M6847" s="27">
        <v>40108379</v>
      </c>
      <c r="N6847" s="5"/>
      <c r="O6847" s="5" t="str">
        <v>7703371107</v>
      </c>
      <c r="P6847" s="27">
        <v>10000</v>
      </c>
      <c r="Q6847" s="5" t="s">
        <v>59565</v>
      </c>
      <c r="R6847" s="5" t="s">
        <v>59566</v>
      </c>
      <c r="S6847" s="5" t="s">
        <v>59567</v>
      </c>
      <c r="T6847" s="28">
        <v>212307000</v>
      </c>
      <c r="U6847" s="28"/>
      <c r="V6847" s="28">
        <v>1541936000</v>
      </c>
      <c r="W6847" s="28"/>
      <c r="X6847" s="28">
        <v>2187000</v>
      </c>
      <c r="Y6847" s="28">
        <v>3204467000</v>
      </c>
      <c r="Z6847" s="28">
        <v>-909628000</v>
      </c>
      <c r="AA6847" s="28"/>
      <c r="AB6847" s="28">
        <v>371531000</v>
      </c>
      <c r="AC6847" s="28">
        <v>3987844000</v>
      </c>
      <c r="AD6847" s="28">
        <v>-909618000</v>
      </c>
      <c r="AE6847" s="28">
        <v>4074163000</v>
      </c>
      <c r="AF6847" s="28">
        <v>-171195000</v>
      </c>
      <c r="AG6847" s="11"/>
    </row>
    <row r="6848">
      <c r="A6848" s="7" t="s">
        <v>8412</v>
      </c>
      <c r="B6848" s="5" t="s">
        <v>16347</v>
      </c>
      <c r="C6848" s="5" t="s">
        <v>23977</v>
      </c>
      <c r="D6848" s="5" t="str">
        <v>614531669030</v>
      </c>
      <c r="E6848" s="0" t="e">
        <f>+7 (8452) 694410
+7 (8452) 759957
+7 (84567) 21001
+7 (84567) 51001
+7 (84567) 51292</f>
        <v>#NAME?</v>
      </c>
      <c r="F6848" s="5" t="s">
        <v>45272</v>
      </c>
      <c r="G6848" s="5"/>
      <c r="H6848" s="26">
        <v>29</v>
      </c>
      <c r="I6848" s="5" t="s">
        <v>45273</v>
      </c>
      <c r="J6848" s="5" t="s">
        <v>26383</v>
      </c>
      <c r="K6848" s="5" t="s">
        <v>344</v>
      </c>
      <c r="L6848" s="5" t="s">
        <v>45274</v>
      </c>
      <c r="M6848" s="27">
        <v>1452052</v>
      </c>
      <c r="N6848" s="5" t="s">
        <v>59568</v>
      </c>
      <c r="O6848" s="5" t="str">
        <v>6443007550</v>
      </c>
      <c r="P6848" s="27">
        <v>5000000</v>
      </c>
      <c r="Q6848" s="5" t="s">
        <v>49009</v>
      </c>
      <c r="R6848" s="5"/>
      <c r="S6848" s="5" t="s">
        <v>49487</v>
      </c>
      <c r="T6848" s="28">
        <v>480010000</v>
      </c>
      <c r="U6848" s="28">
        <v>1300000</v>
      </c>
      <c r="V6848" s="28">
        <v>461624000</v>
      </c>
      <c r="W6848" s="28">
        <v>472000</v>
      </c>
      <c r="X6848" s="28">
        <v>407692000</v>
      </c>
      <c r="Y6848" s="28">
        <v>2643222000</v>
      </c>
      <c r="Z6848" s="28">
        <v>1128395000</v>
      </c>
      <c r="AA6848" s="28"/>
      <c r="AB6848" s="28">
        <v>609557000</v>
      </c>
      <c r="AC6848" s="28">
        <v>1388527000</v>
      </c>
      <c r="AD6848" s="28">
        <v>1133395000</v>
      </c>
      <c r="AE6848" s="28">
        <v>6517924000</v>
      </c>
      <c r="AF6848" s="28">
        <v>166677000</v>
      </c>
      <c r="AG6848" s="11"/>
    </row>
    <row r="6849">
      <c r="A6849" s="7" t="s">
        <v>8413</v>
      </c>
      <c r="B6849" s="5" t="s">
        <v>16348</v>
      </c>
      <c r="C6849" s="5" t="s">
        <v>23978</v>
      </c>
      <c r="D6849" s="5" t="str">
        <v>623101841734</v>
      </c>
      <c r="E6849" s="0" t="e">
        <f>+7 (482) 2571505
+7 (491) 2988133
+7 (4912) 988220
+7 (4912) 991515
+7 (4912) 991616
+7 (49640) 43378
+7 (905) 5294442
+7 (909) 9068947
+7 (915) 7210671
+7 (916) 4124719
+7 (925) 5507072
+7 (963) 7670801</f>
        <v>#NAME?</v>
      </c>
      <c r="F6849" s="5" t="s">
        <v>45275</v>
      </c>
      <c r="G6849" s="5" t="s">
        <v>45276</v>
      </c>
      <c r="H6849" s="26">
        <v>23</v>
      </c>
      <c r="I6849" s="5" t="s">
        <v>45277</v>
      </c>
      <c r="J6849" s="5" t="s">
        <v>26581</v>
      </c>
      <c r="K6849" s="5" t="s">
        <v>344</v>
      </c>
      <c r="L6849" s="5" t="s">
        <v>45278</v>
      </c>
      <c r="M6849" s="27"/>
      <c r="N6849" s="5"/>
      <c r="O6849" s="5" t="str">
        <v>6227008005</v>
      </c>
      <c r="P6849" s="27">
        <v>8400</v>
      </c>
      <c r="Q6849" s="5" t="s">
        <v>49009</v>
      </c>
      <c r="R6849" s="5"/>
      <c r="S6849" s="5" t="s">
        <v>49045</v>
      </c>
      <c r="T6849" s="28">
        <v>315000</v>
      </c>
      <c r="U6849" s="28">
        <v>12326000</v>
      </c>
      <c r="V6849" s="28">
        <v>210942000</v>
      </c>
      <c r="W6849" s="28"/>
      <c r="X6849" s="28">
        <v>12213000</v>
      </c>
      <c r="Y6849" s="28">
        <v>239976000</v>
      </c>
      <c r="Z6849" s="28">
        <v>58460000</v>
      </c>
      <c r="AA6849" s="28"/>
      <c r="AB6849" s="28"/>
      <c r="AC6849" s="28">
        <v>181508000</v>
      </c>
      <c r="AD6849" s="28">
        <v>58468000</v>
      </c>
      <c r="AE6849" s="28">
        <v>3323630000</v>
      </c>
      <c r="AF6849" s="28">
        <v>210175000</v>
      </c>
      <c r="AG6849" s="11"/>
    </row>
    <row r="6850">
      <c r="A6850" s="7" t="s">
        <v>8414</v>
      </c>
      <c r="B6850" s="5" t="s">
        <v>16349</v>
      </c>
      <c r="C6850" s="5" t="s">
        <v>23979</v>
      </c>
      <c r="D6850" s="5" t="str">
        <v>540228794335</v>
      </c>
      <c r="E6850" s="0" t="e">
        <f>+7 (499) 9901207</f>
        <v>#NAME?</v>
      </c>
      <c r="F6850" s="5"/>
      <c r="G6850" s="5"/>
      <c r="H6850" s="26">
        <v>5</v>
      </c>
      <c r="I6850" s="5" t="s">
        <v>45279</v>
      </c>
      <c r="J6850" s="5" t="s">
        <v>29432</v>
      </c>
      <c r="K6850" s="5" t="s">
        <v>344</v>
      </c>
      <c r="L6850" s="5" t="s">
        <v>45280</v>
      </c>
      <c r="M6850" s="27">
        <v>41254166</v>
      </c>
      <c r="N6850" s="5"/>
      <c r="O6850" s="5" t="str">
        <v>7704450802</v>
      </c>
      <c r="P6850" s="27">
        <v>10000</v>
      </c>
      <c r="Q6850" s="5" t="s">
        <v>49009</v>
      </c>
      <c r="R6850" s="5"/>
      <c r="S6850" s="5" t="s">
        <v>49010</v>
      </c>
      <c r="T6850" s="28">
        <v>790031000</v>
      </c>
      <c r="U6850" s="28"/>
      <c r="V6850" s="28">
        <v>758885000</v>
      </c>
      <c r="W6850" s="28">
        <v>33795000</v>
      </c>
      <c r="X6850" s="28">
        <v>901524000</v>
      </c>
      <c r="Y6850" s="28">
        <v>3378123000</v>
      </c>
      <c r="Z6850" s="28">
        <v>821398000</v>
      </c>
      <c r="AA6850" s="28"/>
      <c r="AB6850" s="28"/>
      <c r="AC6850" s="28">
        <v>2480992000</v>
      </c>
      <c r="AD6850" s="28">
        <v>821408000</v>
      </c>
      <c r="AE6850" s="28">
        <v>13448069000</v>
      </c>
      <c r="AF6850" s="28">
        <v>762064000</v>
      </c>
      <c r="AG6850" s="11"/>
    </row>
    <row r="6851">
      <c r="A6851" s="7" t="s">
        <v>211</v>
      </c>
      <c r="B6851" s="5" t="s">
        <v>16350</v>
      </c>
      <c r="C6851" s="5" t="s">
        <v>23980</v>
      </c>
      <c r="D6851" s="5" t="str">
        <v>891300164716</v>
      </c>
      <c r="E6851" s="0" t="e">
        <f>+7 (345) 2208572
+7 (345) 2246687
+7 (345) 2260196
+7 (345) 2285360
+7 (345) 2298570
+7 (345) 2680548
+7 (345) 2734529
+7 (345) 2280958
+7 (345) 2322493
+7 (345) 2503854
+7 (345) 2683235
+7 (345) 2684253
+7 (345) 2771414
+7 (345) 2771606
+7 (34544) 32254</f>
        <v>#NAME?</v>
      </c>
      <c r="F6851" s="5" t="s">
        <v>45281</v>
      </c>
      <c r="G6851" s="5" t="s">
        <v>45282</v>
      </c>
      <c r="H6851" s="26">
        <v>17</v>
      </c>
      <c r="I6851" s="5"/>
      <c r="J6851" s="5" t="s">
        <v>467</v>
      </c>
      <c r="K6851" s="5" t="s">
        <v>355</v>
      </c>
      <c r="L6851" s="5"/>
      <c r="M6851" s="27">
        <v>2727657</v>
      </c>
      <c r="N6851" s="5" t="s">
        <v>59570</v>
      </c>
      <c r="O6851" s="5" t="str">
        <v>7203175930</v>
      </c>
      <c r="P6851" s="27">
        <v>2120411000</v>
      </c>
      <c r="Q6851" s="5" t="s">
        <v>59571</v>
      </c>
      <c r="R6851" s="5"/>
      <c r="S6851" s="5" t="s">
        <v>59572</v>
      </c>
      <c r="T6851" s="28">
        <v>8915828000</v>
      </c>
      <c r="U6851" s="28">
        <v>468519000</v>
      </c>
      <c r="V6851" s="28">
        <v>1158156000</v>
      </c>
      <c r="W6851" s="28">
        <v>177800000</v>
      </c>
      <c r="X6851" s="28">
        <v>1591074000</v>
      </c>
      <c r="Y6851" s="28">
        <v>17810746000</v>
      </c>
      <c r="Z6851" s="28">
        <v>5700730000</v>
      </c>
      <c r="AA6851" s="28">
        <v>199421000</v>
      </c>
      <c r="AB6851" s="28">
        <v>1862749000</v>
      </c>
      <c r="AC6851" s="28">
        <v>6285580000</v>
      </c>
      <c r="AD6851" s="28">
        <v>8100301000</v>
      </c>
      <c r="AE6851" s="28">
        <v>20299153000</v>
      </c>
      <c r="AF6851" s="28">
        <v>206190000</v>
      </c>
      <c r="AG6851" s="11"/>
    </row>
    <row r="6852">
      <c r="A6852" s="7" t="s">
        <v>8415</v>
      </c>
      <c r="B6852" s="5" t="s">
        <v>16351</v>
      </c>
      <c r="C6852" s="5" t="s">
        <v>23981</v>
      </c>
      <c r="D6852" s="5" t="str">
        <v>771007467840</v>
      </c>
      <c r="E6852" s="0" t="e">
        <f>+7 (495) 2583469
+7 (495) 6800286
+7 (800) 2005775
+7 (495) 2583462
+7 (495) 2583465
+7 (495) 2583466
+7 (495) 2585995
+7 (495) 6441000
+7 (495) 9333717
+7 (800) 2000728
+7 (812) 3051699
+7 (812) 3343023
+7 (812) 3343026</f>
        <v>#NAME?</v>
      </c>
      <c r="F6852" s="5" t="s">
        <v>45283</v>
      </c>
      <c r="G6852" s="5" t="s">
        <v>45284</v>
      </c>
      <c r="H6852" s="26">
        <v>21.5</v>
      </c>
      <c r="I6852" s="5" t="s">
        <v>45285</v>
      </c>
      <c r="J6852" s="5" t="s">
        <v>397</v>
      </c>
      <c r="K6852" s="5" t="s">
        <v>344</v>
      </c>
      <c r="L6852" s="5" t="s">
        <v>45286</v>
      </c>
      <c r="M6852" s="27"/>
      <c r="N6852" s="5"/>
      <c r="O6852" s="5" t="str">
        <v>7710390358</v>
      </c>
      <c r="P6852" s="27">
        <v>4875190000</v>
      </c>
      <c r="Q6852" s="5" t="s">
        <v>49009</v>
      </c>
      <c r="R6852" s="5"/>
      <c r="S6852" s="5" t="s">
        <v>49884</v>
      </c>
      <c r="T6852" s="28">
        <v>2829059000</v>
      </c>
      <c r="U6852" s="28"/>
      <c r="V6852" s="28">
        <v>2380803000</v>
      </c>
      <c r="W6852" s="28">
        <v>15500300000</v>
      </c>
      <c r="X6852" s="28">
        <v>3376931000</v>
      </c>
      <c r="Y6852" s="28">
        <v>27737624000</v>
      </c>
      <c r="Z6852" s="28">
        <v>-662810000</v>
      </c>
      <c r="AA6852" s="28"/>
      <c r="AB6852" s="28"/>
      <c r="AC6852" s="28">
        <v>13053690000</v>
      </c>
      <c r="AD6852" s="28">
        <v>12404340000</v>
      </c>
      <c r="AE6852" s="28">
        <v>70643349000</v>
      </c>
      <c r="AF6852" s="28">
        <v>-32203910000</v>
      </c>
      <c r="AG6852" s="11"/>
    </row>
    <row r="6853">
      <c r="A6853" s="7" t="s">
        <v>8416</v>
      </c>
      <c r="B6853" s="5" t="s">
        <v>16352</v>
      </c>
      <c r="C6853" s="5" t="s">
        <v>23597</v>
      </c>
      <c r="D6853" s="5" t="str">
        <v>230308243498</v>
      </c>
      <c r="E6853" s="0" t="e">
        <f>+7 (47557) 24288
+7 (47557) 24296
+7 (47557) 24300
+7 (910) 8507741</f>
        <v>#NAME?</v>
      </c>
      <c r="F6853" s="5" t="s">
        <v>45287</v>
      </c>
      <c r="G6853" s="5"/>
      <c r="H6853" s="26">
        <v>10</v>
      </c>
      <c r="I6853" s="5"/>
      <c r="J6853" s="5" t="s">
        <v>25450</v>
      </c>
      <c r="K6853" s="5" t="s">
        <v>355</v>
      </c>
      <c r="L6853" s="5" t="s">
        <v>45288</v>
      </c>
      <c r="M6853" s="27">
        <v>26479290</v>
      </c>
      <c r="N6853" s="5"/>
      <c r="O6853" s="5" t="str">
        <v>6821000146</v>
      </c>
      <c r="P6853" s="27">
        <v>1800000000</v>
      </c>
      <c r="Q6853" s="5" t="s">
        <v>59574</v>
      </c>
      <c r="R6853" s="5"/>
      <c r="S6853" s="5" t="s">
        <v>52199</v>
      </c>
      <c r="T6853" s="28">
        <v>17566216000</v>
      </c>
      <c r="U6853" s="28">
        <v>4660983000</v>
      </c>
      <c r="V6853" s="28">
        <v>12066023000</v>
      </c>
      <c r="W6853" s="28">
        <v>3182062000</v>
      </c>
      <c r="X6853" s="28">
        <v>1620000</v>
      </c>
      <c r="Y6853" s="28">
        <v>43095237000</v>
      </c>
      <c r="Z6853" s="28">
        <v>5163069000</v>
      </c>
      <c r="AA6853" s="28">
        <v>13291097000</v>
      </c>
      <c r="AB6853" s="28">
        <v>13314482000</v>
      </c>
      <c r="AC6853" s="28">
        <v>21930555000</v>
      </c>
      <c r="AD6853" s="28">
        <v>6969279000</v>
      </c>
      <c r="AE6853" s="28">
        <v>38999464000</v>
      </c>
      <c r="AF6853" s="28">
        <v>1284831000</v>
      </c>
      <c r="AG6853" s="11"/>
    </row>
    <row r="6854">
      <c r="A6854" s="7" t="s">
        <v>8417</v>
      </c>
      <c r="B6854" s="5" t="s">
        <v>16353</v>
      </c>
      <c r="C6854" s="5" t="s">
        <v>23982</v>
      </c>
      <c r="D6854" s="5" t="str">
        <v>550509519193</v>
      </c>
      <c r="E6854" s="0" t="e">
        <f>+7 (383) 2221705
+7 (383) 2840605
+7 (383) 2848385
+7 (383) 2848445
+7 (383) 2848476
+7 (383) 2848490
+7 (383) 2848497
+7 (383) 2855752
+7 (495) 2520170
+7 (913) 7328696
+7 (913) 7641404
+7 (913) 9015491
+7 (961) 2222628</f>
        <v>#NAME?</v>
      </c>
      <c r="F6854" s="5" t="s">
        <v>45289</v>
      </c>
      <c r="G6854" s="5" t="s">
        <v>45290</v>
      </c>
      <c r="H6854" s="26">
        <v>8.5</v>
      </c>
      <c r="I6854" s="5" t="s">
        <v>45291</v>
      </c>
      <c r="J6854" s="5" t="s">
        <v>430</v>
      </c>
      <c r="K6854" s="5" t="s">
        <v>344</v>
      </c>
      <c r="L6854" s="5" t="s">
        <v>45292</v>
      </c>
      <c r="M6854" s="27"/>
      <c r="N6854" s="5"/>
      <c r="O6854" s="5" t="str">
        <v>5433200129</v>
      </c>
      <c r="P6854" s="27">
        <v>510000</v>
      </c>
      <c r="Q6854" s="5" t="s">
        <v>49579</v>
      </c>
      <c r="R6854" s="5" t="s">
        <v>59575</v>
      </c>
      <c r="S6854" s="5" t="s">
        <v>52781</v>
      </c>
      <c r="T6854" s="28">
        <v>3236245000</v>
      </c>
      <c r="U6854" s="28">
        <v>9000</v>
      </c>
      <c r="V6854" s="28">
        <v>418528000</v>
      </c>
      <c r="W6854" s="28"/>
      <c r="X6854" s="28">
        <v>610786000</v>
      </c>
      <c r="Y6854" s="28">
        <v>5848073000</v>
      </c>
      <c r="Z6854" s="28">
        <v>3028284000</v>
      </c>
      <c r="AA6854" s="28">
        <v>1553456000</v>
      </c>
      <c r="AB6854" s="28">
        <v>747344000</v>
      </c>
      <c r="AC6854" s="28">
        <v>1091137000</v>
      </c>
      <c r="AD6854" s="28">
        <v>3028794000</v>
      </c>
      <c r="AE6854" s="28">
        <v>3023095000</v>
      </c>
      <c r="AF6854" s="28">
        <v>657190000</v>
      </c>
      <c r="AG6854" s="11"/>
    </row>
    <row r="6855">
      <c r="A6855" s="7" t="s">
        <v>8418</v>
      </c>
      <c r="B6855" s="5" t="s">
        <v>16354</v>
      </c>
      <c r="C6855" s="5" t="s">
        <v>23983</v>
      </c>
      <c r="D6855" s="5" t="str">
        <v>740601059099</v>
      </c>
      <c r="E6855" s="0" t="e">
        <f>+7 (351) 2638125
+7 (351) 2004511
+7 (3512) 4510
+7 (965) 8576511</f>
        <v>#NAME?</v>
      </c>
      <c r="F6855" s="5" t="s">
        <v>45293</v>
      </c>
      <c r="G6855" s="5" t="s">
        <v>45294</v>
      </c>
      <c r="H6855" s="26">
        <v>20</v>
      </c>
      <c r="I6855" s="5"/>
      <c r="J6855" s="5" t="s">
        <v>27791</v>
      </c>
      <c r="K6855" s="5" t="s">
        <v>344</v>
      </c>
      <c r="L6855" s="5" t="s">
        <v>45295</v>
      </c>
      <c r="M6855" s="27"/>
      <c r="N6855" s="5"/>
      <c r="O6855" s="5" t="str">
        <v>7403005526</v>
      </c>
      <c r="P6855" s="27">
        <v>102000</v>
      </c>
      <c r="Q6855" s="5" t="s">
        <v>49009</v>
      </c>
      <c r="R6855" s="5"/>
      <c r="S6855" s="5" t="s">
        <v>49010</v>
      </c>
      <c r="T6855" s="28">
        <v>59608713000</v>
      </c>
      <c r="U6855" s="28">
        <v>9448793000</v>
      </c>
      <c r="V6855" s="28">
        <v>73606848000</v>
      </c>
      <c r="W6855" s="28"/>
      <c r="X6855" s="28">
        <v>5676000</v>
      </c>
      <c r="Y6855" s="28">
        <v>155561434000</v>
      </c>
      <c r="Z6855" s="28">
        <v>59092396000</v>
      </c>
      <c r="AA6855" s="28">
        <v>67030536000</v>
      </c>
      <c r="AB6855" s="28">
        <v>7168631000</v>
      </c>
      <c r="AC6855" s="28">
        <v>21763049000</v>
      </c>
      <c r="AD6855" s="28">
        <v>59092498000</v>
      </c>
      <c r="AE6855" s="28">
        <v>75399878000</v>
      </c>
      <c r="AF6855" s="28">
        <v>25794420000</v>
      </c>
      <c r="AG6855" s="11"/>
    </row>
    <row r="6856">
      <c r="A6856" s="7" t="s">
        <v>8419</v>
      </c>
      <c r="B6856" s="5" t="s">
        <v>16355</v>
      </c>
      <c r="C6856" s="5" t="s">
        <v>23984</v>
      </c>
      <c r="D6856" s="5"/>
      <c r="E6856" s="0" t="e">
        <f>+7 (382) 2706727
+7 (382) 2283339
+7 (382) 2283348
+7 (382) 2587916
+7 (382) 2706723
+7 (382) 2706726
+7 (382) 2706734
+7 (382) 2723113
+7 (382) 2723267
+7 (382) 2724353
+7 (495) 7887486
+7 (905) 9929392
+7 (923) 4447074</f>
        <v>#NAME?</v>
      </c>
      <c r="F6856" s="5" t="s">
        <v>45296</v>
      </c>
      <c r="G6856" s="5" t="s">
        <v>45297</v>
      </c>
      <c r="H6856" s="26">
        <v>15</v>
      </c>
      <c r="I6856" s="5" t="s">
        <v>45298</v>
      </c>
      <c r="J6856" s="5" t="s">
        <v>27221</v>
      </c>
      <c r="K6856" s="5" t="s">
        <v>344</v>
      </c>
      <c r="L6856" s="5" t="s">
        <v>45299</v>
      </c>
      <c r="M6856" s="27"/>
      <c r="N6856" s="5"/>
      <c r="O6856" s="5" t="str">
        <v>7017213271</v>
      </c>
      <c r="P6856" s="27">
        <v>10000</v>
      </c>
      <c r="Q6856" s="5" t="s">
        <v>49059</v>
      </c>
      <c r="R6856" s="5"/>
      <c r="S6856" s="5" t="s">
        <v>49029</v>
      </c>
      <c r="T6856" s="28">
        <v>3298867000</v>
      </c>
      <c r="U6856" s="28"/>
      <c r="V6856" s="28">
        <v>1636058000</v>
      </c>
      <c r="W6856" s="28">
        <v>357200000</v>
      </c>
      <c r="X6856" s="28">
        <v>40190000</v>
      </c>
      <c r="Y6856" s="28">
        <v>6971043000</v>
      </c>
      <c r="Z6856" s="28">
        <v>2630859000</v>
      </c>
      <c r="AA6856" s="28">
        <v>2603818000</v>
      </c>
      <c r="AB6856" s="28">
        <v>563385000</v>
      </c>
      <c r="AC6856" s="28">
        <v>1635566000</v>
      </c>
      <c r="AD6856" s="28">
        <v>2630869000</v>
      </c>
      <c r="AE6856" s="28">
        <v>10399689000</v>
      </c>
      <c r="AF6856" s="28">
        <v>429705000</v>
      </c>
      <c r="AG6856" s="11"/>
    </row>
    <row r="6857">
      <c r="A6857" s="7" t="s">
        <v>8420</v>
      </c>
      <c r="B6857" s="5" t="s">
        <v>16356</v>
      </c>
      <c r="C6857" s="5" t="s">
        <v>23985</v>
      </c>
      <c r="D6857" s="5" t="str">
        <v>312100956983</v>
      </c>
      <c r="E6857" s="0" t="e">
        <f>+7 (47244) 44476
+7 (47244) 44757
+7 (47244) 45330
+7 (47244) 45360
+7 (47244) 45362
+7 (47244) 45391
+7 (47244) 45462
+7 (47244) 45833
+7 (47244) 45839
+7 (920) 5571864</f>
        <v>#NAME?</v>
      </c>
      <c r="F6857" s="5" t="s">
        <v>45300</v>
      </c>
      <c r="G6857" s="5" t="s">
        <v>45301</v>
      </c>
      <c r="H6857" s="26">
        <v>30.5</v>
      </c>
      <c r="I6857" s="5"/>
      <c r="J6857" s="5" t="s">
        <v>25231</v>
      </c>
      <c r="K6857" s="5" t="s">
        <v>344</v>
      </c>
      <c r="L6857" s="5" t="s">
        <v>45302</v>
      </c>
      <c r="M6857" s="27"/>
      <c r="N6857" s="5" t="s">
        <v>59577</v>
      </c>
      <c r="O6857" s="5" t="str">
        <v>3121070079</v>
      </c>
      <c r="P6857" s="27">
        <v>200300</v>
      </c>
      <c r="Q6857" s="5" t="s">
        <v>59578</v>
      </c>
      <c r="R6857" s="5"/>
      <c r="S6857" s="5" t="s">
        <v>53269</v>
      </c>
      <c r="T6857" s="28">
        <v>1393041000</v>
      </c>
      <c r="U6857" s="28">
        <v>12000</v>
      </c>
      <c r="V6857" s="28">
        <v>228556000</v>
      </c>
      <c r="W6857" s="28">
        <v>575000000</v>
      </c>
      <c r="X6857" s="28">
        <v>16871000</v>
      </c>
      <c r="Y6857" s="28">
        <v>2456883000</v>
      </c>
      <c r="Z6857" s="28">
        <v>1622812000</v>
      </c>
      <c r="AA6857" s="28">
        <v>300000000</v>
      </c>
      <c r="AB6857" s="28">
        <v>400816000</v>
      </c>
      <c r="AC6857" s="28">
        <v>492502000</v>
      </c>
      <c r="AD6857" s="28">
        <v>1625486000</v>
      </c>
      <c r="AE6857" s="28">
        <v>3681844000</v>
      </c>
      <c r="AF6857" s="28">
        <v>301163000</v>
      </c>
      <c r="AG6857" s="11"/>
    </row>
    <row r="6858">
      <c r="A6858" s="7" t="s">
        <v>8421</v>
      </c>
      <c r="B6858" s="5" t="s">
        <v>16357</v>
      </c>
      <c r="C6858" s="5" t="s">
        <v>23986</v>
      </c>
      <c r="D6858" s="5" t="str">
        <v>701712782013</v>
      </c>
      <c r="E6858" s="0" t="e">
        <f>+7 (382) 2614647
+7 (382) 2285066
+7 (382) 2285155
+7 (382) 2432647
+7 (382) 2554645</f>
        <v>#NAME?</v>
      </c>
      <c r="F6858" s="5" t="s">
        <v>45303</v>
      </c>
      <c r="G6858" s="5" t="s">
        <v>45304</v>
      </c>
      <c r="H6858" s="26">
        <v>30.5</v>
      </c>
      <c r="I6858" s="5"/>
      <c r="J6858" s="5" t="s">
        <v>25295</v>
      </c>
      <c r="K6858" s="5" t="s">
        <v>344</v>
      </c>
      <c r="L6858" s="5"/>
      <c r="M6858" s="27">
        <v>3579124</v>
      </c>
      <c r="N6858" s="5" t="s">
        <v>49520</v>
      </c>
      <c r="O6858" s="5" t="str">
        <v>7017373959</v>
      </c>
      <c r="P6858" s="27">
        <v>2800000000</v>
      </c>
      <c r="Q6858" s="5" t="s">
        <v>59579</v>
      </c>
      <c r="R6858" s="5"/>
      <c r="S6858" s="5" t="s">
        <v>51188</v>
      </c>
      <c r="T6858" s="28">
        <v>6997296000</v>
      </c>
      <c r="U6858" s="28"/>
      <c r="V6858" s="28">
        <v>757604000</v>
      </c>
      <c r="W6858" s="28"/>
      <c r="X6858" s="28">
        <v>5347363000</v>
      </c>
      <c r="Y6858" s="28">
        <v>13725437000</v>
      </c>
      <c r="Z6858" s="28">
        <v>1353760000</v>
      </c>
      <c r="AA6858" s="28">
        <v>148167000</v>
      </c>
      <c r="AB6858" s="28">
        <v>12461000</v>
      </c>
      <c r="AC6858" s="28">
        <v>5669479000</v>
      </c>
      <c r="AD6858" s="28">
        <v>6689258000</v>
      </c>
      <c r="AE6858" s="28">
        <v>9263187000</v>
      </c>
      <c r="AF6858" s="28">
        <v>533793000</v>
      </c>
      <c r="AG6858" s="11"/>
    </row>
    <row r="6859">
      <c r="A6859" s="7" t="s">
        <v>8422</v>
      </c>
      <c r="B6859" s="5" t="s">
        <v>16358</v>
      </c>
      <c r="C6859" s="5" t="s">
        <v>23987</v>
      </c>
      <c r="D6859" s="5"/>
      <c r="E6859" s="0" t="e">
        <f>+7 (382) 2536778
+7 (800) 2348888</f>
        <v>#NAME?</v>
      </c>
      <c r="F6859" s="5" t="s">
        <v>45305</v>
      </c>
      <c r="G6859" s="5"/>
      <c r="H6859" s="26">
        <v>10.5</v>
      </c>
      <c r="I6859" s="5" t="s">
        <v>45306</v>
      </c>
      <c r="J6859" s="5" t="s">
        <v>655</v>
      </c>
      <c r="K6859" s="5" t="s">
        <v>380</v>
      </c>
      <c r="L6859" s="5"/>
      <c r="M6859" s="27">
        <v>148032906</v>
      </c>
      <c r="N6859" s="5" t="s">
        <v>59580</v>
      </c>
      <c r="O6859" s="5" t="str">
        <v>7017307579</v>
      </c>
      <c r="P6859" s="27">
        <v>6135000</v>
      </c>
      <c r="Q6859" s="5" t="s">
        <v>49009</v>
      </c>
      <c r="R6859" s="5" t="s">
        <v>59581</v>
      </c>
      <c r="S6859" s="5" t="s">
        <v>53346</v>
      </c>
      <c r="T6859" s="28"/>
      <c r="U6859" s="28">
        <v>1280600000</v>
      </c>
      <c r="V6859" s="28">
        <v>343103000</v>
      </c>
      <c r="W6859" s="28"/>
      <c r="X6859" s="28">
        <v>257744000</v>
      </c>
      <c r="Y6859" s="28">
        <v>2578439000</v>
      </c>
      <c r="Z6859" s="28">
        <v>614012000</v>
      </c>
      <c r="AA6859" s="28"/>
      <c r="AB6859" s="28"/>
      <c r="AC6859" s="28">
        <v>1961292000</v>
      </c>
      <c r="AD6859" s="28">
        <v>617147000</v>
      </c>
      <c r="AE6859" s="28">
        <v>7543858000</v>
      </c>
      <c r="AF6859" s="28">
        <v>115779000</v>
      </c>
      <c r="AG6859" s="11"/>
    </row>
    <row r="6860">
      <c r="A6860" s="7" t="s">
        <v>8423</v>
      </c>
      <c r="B6860" s="5" t="s">
        <v>16359</v>
      </c>
      <c r="C6860" s="5" t="s">
        <v>23988</v>
      </c>
      <c r="D6860" s="5" t="str">
        <v>890500905430</v>
      </c>
      <c r="E6860" s="0" t="e">
        <f>+7 (38259) 63906
+7 (38259) 63915
+7 (38259) 69503
+7 (38259) 69635</f>
        <v>#NAME?</v>
      </c>
      <c r="F6860" s="5" t="s">
        <v>45307</v>
      </c>
      <c r="G6860" s="5" t="s">
        <v>45308</v>
      </c>
      <c r="H6860" s="26">
        <v>29.5</v>
      </c>
      <c r="I6860" s="5"/>
      <c r="J6860" s="5" t="s">
        <v>26607</v>
      </c>
      <c r="K6860" s="5" t="s">
        <v>355</v>
      </c>
      <c r="L6860" s="5"/>
      <c r="M6860" s="27">
        <v>69170184</v>
      </c>
      <c r="N6860" s="5" t="s">
        <v>59582</v>
      </c>
      <c r="O6860" s="5" t="str">
        <v>7022000310</v>
      </c>
      <c r="P6860" s="27">
        <v>5154000</v>
      </c>
      <c r="Q6860" s="5" t="s">
        <v>59583</v>
      </c>
      <c r="R6860" s="5"/>
      <c r="S6860" s="5" t="s">
        <v>59584</v>
      </c>
      <c r="T6860" s="28">
        <v>90036750000</v>
      </c>
      <c r="U6860" s="28">
        <v>10383009000</v>
      </c>
      <c r="V6860" s="28">
        <v>16428292000</v>
      </c>
      <c r="W6860" s="28"/>
      <c r="X6860" s="28">
        <v>4004083000</v>
      </c>
      <c r="Y6860" s="28">
        <v>134168217000</v>
      </c>
      <c r="Z6860" s="28">
        <v>88757934000</v>
      </c>
      <c r="AA6860" s="28">
        <v>4285680000</v>
      </c>
      <c r="AB6860" s="28">
        <v>305620000</v>
      </c>
      <c r="AC6860" s="28">
        <v>27098560000</v>
      </c>
      <c r="AD6860" s="28">
        <v>89255959000</v>
      </c>
      <c r="AE6860" s="28">
        <v>182609392000</v>
      </c>
      <c r="AF6860" s="28">
        <v>-18702246000</v>
      </c>
      <c r="AG6860" s="11"/>
    </row>
    <row r="6861">
      <c r="A6861" s="7" t="s">
        <v>8424</v>
      </c>
      <c r="B6861" s="5" t="s">
        <v>16360</v>
      </c>
      <c r="C6861" s="5" t="s">
        <v>23989</v>
      </c>
      <c r="D6861" s="5" t="str">
        <v>701706640282</v>
      </c>
      <c r="E6861" s="0" t="e">
        <f>+7 (382) 2416357
+7 (382) 2416460
+7 (382) 2416480
+7 (382) 2423741
+7 (382) 2423835
+7 (382) 2423903
+7 (382) 2424175</f>
        <v>#NAME?</v>
      </c>
      <c r="F6861" s="5" t="s">
        <v>45309</v>
      </c>
      <c r="G6861" s="5"/>
      <c r="H6861" s="26">
        <v>29</v>
      </c>
      <c r="I6861" s="5"/>
      <c r="J6861" s="5" t="s">
        <v>26962</v>
      </c>
      <c r="K6861" s="5" t="s">
        <v>344</v>
      </c>
      <c r="L6861" s="5" t="s">
        <v>45310</v>
      </c>
      <c r="M6861" s="27"/>
      <c r="N6861" s="5" t="s">
        <v>50491</v>
      </c>
      <c r="O6861" s="5" t="str">
        <v>7018011045</v>
      </c>
      <c r="P6861" s="27">
        <v>15046000</v>
      </c>
      <c r="Q6861" s="5" t="s">
        <v>49009</v>
      </c>
      <c r="R6861" s="5"/>
      <c r="S6861" s="5" t="s">
        <v>49066</v>
      </c>
      <c r="T6861" s="28">
        <v>1434249000</v>
      </c>
      <c r="U6861" s="28">
        <v>9326578000</v>
      </c>
      <c r="V6861" s="28">
        <v>2106015000</v>
      </c>
      <c r="W6861" s="28">
        <v>2942986000</v>
      </c>
      <c r="X6861" s="28">
        <v>1027445000</v>
      </c>
      <c r="Y6861" s="28">
        <v>18143823000</v>
      </c>
      <c r="Z6861" s="28">
        <v>17225335000</v>
      </c>
      <c r="AA6861" s="28"/>
      <c r="AB6861" s="28"/>
      <c r="AC6861" s="28">
        <v>836476000</v>
      </c>
      <c r="AD6861" s="28">
        <v>17289806000</v>
      </c>
      <c r="AE6861" s="28">
        <v>6614949000</v>
      </c>
      <c r="AF6861" s="28">
        <v>1777127000</v>
      </c>
      <c r="AG6861" s="11"/>
    </row>
    <row r="6862">
      <c r="A6862" s="7" t="s">
        <v>8425</v>
      </c>
      <c r="B6862" s="5" t="s">
        <v>16361</v>
      </c>
      <c r="C6862" s="5" t="s">
        <v>23990</v>
      </c>
      <c r="D6862" s="5" t="str">
        <v>702100377701</v>
      </c>
      <c r="E6862" s="0" t="e">
        <f>+7 (382) 2223344
+7 (382) 2236547
+7 (382) 2345690
+7 (382) 2413857
+7 (382) 2432561
+7 (382) 2102028
+7 (382) 2285066
+7 (382) 2285188
+7 (382) 2413571
+7 (382) 2421965
+7 (382) 2421969
+7 (382) 2421975
+7 (382) 2421976
+7 (382) 2421977
+7 (382) 2421982</f>
        <v>#NAME?</v>
      </c>
      <c r="F6862" s="5" t="s">
        <v>45311</v>
      </c>
      <c r="G6862" s="5" t="s">
        <v>45312</v>
      </c>
      <c r="H6862" s="26">
        <v>9</v>
      </c>
      <c r="I6862" s="5"/>
      <c r="J6862" s="5" t="s">
        <v>28968</v>
      </c>
      <c r="K6862" s="5" t="s">
        <v>380</v>
      </c>
      <c r="L6862" s="5"/>
      <c r="M6862" s="27">
        <v>19977240</v>
      </c>
      <c r="N6862" s="5" t="s">
        <v>59585</v>
      </c>
      <c r="O6862" s="5" t="str">
        <v>7017351521</v>
      </c>
      <c r="P6862" s="27">
        <v>100000</v>
      </c>
      <c r="Q6862" s="5" t="s">
        <v>59586</v>
      </c>
      <c r="R6862" s="5"/>
      <c r="S6862" s="5" t="s">
        <v>57809</v>
      </c>
      <c r="T6862" s="28">
        <v>2476843000</v>
      </c>
      <c r="U6862" s="28"/>
      <c r="V6862" s="28">
        <v>1672742000</v>
      </c>
      <c r="W6862" s="28"/>
      <c r="X6862" s="28">
        <v>20725000</v>
      </c>
      <c r="Y6862" s="28">
        <v>4504137000</v>
      </c>
      <c r="Z6862" s="28">
        <v>45392000</v>
      </c>
      <c r="AA6862" s="28">
        <v>148870000</v>
      </c>
      <c r="AB6862" s="28">
        <v>2146216000</v>
      </c>
      <c r="AC6862" s="28">
        <v>3341809000</v>
      </c>
      <c r="AD6862" s="28">
        <v>858471000</v>
      </c>
      <c r="AE6862" s="28">
        <v>7225119000</v>
      </c>
      <c r="AF6862" s="28">
        <v>-128413000</v>
      </c>
      <c r="AG6862" s="11"/>
    </row>
    <row r="6863">
      <c r="A6863" s="7" t="s">
        <v>8426</v>
      </c>
      <c r="B6863" s="5" t="s">
        <v>16362</v>
      </c>
      <c r="C6863" s="5" t="s">
        <v>23991</v>
      </c>
      <c r="D6863" s="5" t="str">
        <v>701710447186</v>
      </c>
      <c r="E6863" s="0" t="e">
        <f>+7 (382) 2484777
+7 (3522) 554645
+7 (382) 2252606
+7 (382) 2332817
+7 (382) 2337070
+7 (382) 2442563
+7 (382) 2464777
+7 (382) 2474800
+7 (382) 2480700
+7 (382) 2474700
+7 (382) 2484000
+7 (382) 2484719
+7 (382) 2484727
+7 (382) 2484745
+7 (382) 2484802</f>
        <v>#NAME?</v>
      </c>
      <c r="F6863" s="5" t="s">
        <v>45313</v>
      </c>
      <c r="G6863" s="5" t="s">
        <v>45314</v>
      </c>
      <c r="H6863" s="26">
        <v>18</v>
      </c>
      <c r="I6863" s="5" t="s">
        <v>45315</v>
      </c>
      <c r="J6863" s="5" t="s">
        <v>26623</v>
      </c>
      <c r="K6863" s="5" t="s">
        <v>344</v>
      </c>
      <c r="L6863" s="5"/>
      <c r="M6863" s="27">
        <v>2154223</v>
      </c>
      <c r="N6863" s="5" t="s">
        <v>59587</v>
      </c>
      <c r="O6863" s="5" t="str">
        <v>7017114680</v>
      </c>
      <c r="P6863" s="27">
        <v>40157661</v>
      </c>
      <c r="Q6863" s="5" t="s">
        <v>59588</v>
      </c>
      <c r="R6863" s="5"/>
      <c r="S6863" s="5" t="s">
        <v>59589</v>
      </c>
      <c r="T6863" s="28">
        <v>350342000</v>
      </c>
      <c r="U6863" s="28">
        <v>24954000</v>
      </c>
      <c r="V6863" s="28">
        <v>1501036000</v>
      </c>
      <c r="W6863" s="28">
        <v>395000</v>
      </c>
      <c r="X6863" s="28">
        <v>2285804000</v>
      </c>
      <c r="Y6863" s="28">
        <v>4431019000</v>
      </c>
      <c r="Z6863" s="28">
        <v>1589348000</v>
      </c>
      <c r="AA6863" s="28">
        <v>10303000</v>
      </c>
      <c r="AB6863" s="28">
        <v>5458000</v>
      </c>
      <c r="AC6863" s="28">
        <v>2136625000</v>
      </c>
      <c r="AD6863" s="28">
        <v>2207682000</v>
      </c>
      <c r="AE6863" s="28">
        <v>20804690000</v>
      </c>
      <c r="AF6863" s="28">
        <v>67405000</v>
      </c>
      <c r="AG6863" s="11"/>
    </row>
    <row r="6864">
      <c r="A6864" s="7" t="s">
        <v>8427</v>
      </c>
      <c r="B6864" s="5" t="s">
        <v>16363</v>
      </c>
      <c r="C6864" s="5" t="s">
        <v>23992</v>
      </c>
      <c r="D6864" s="5" t="str">
        <v>702102176782</v>
      </c>
      <c r="E6864" s="0" t="e">
        <f>+7 (382) 2644908
+7 (382) 2691009
+7 (382) 2691020
+7 (382) 2725308</f>
        <v>#NAME?</v>
      </c>
      <c r="F6864" s="5" t="s">
        <v>45316</v>
      </c>
      <c r="G6864" s="5" t="s">
        <v>45317</v>
      </c>
      <c r="H6864" s="26">
        <v>20</v>
      </c>
      <c r="I6864" s="5" t="s">
        <v>45318</v>
      </c>
      <c r="J6864" s="5" t="s">
        <v>30320</v>
      </c>
      <c r="K6864" s="5" t="s">
        <v>344</v>
      </c>
      <c r="L6864" s="5" t="s">
        <v>45319</v>
      </c>
      <c r="M6864" s="27"/>
      <c r="N6864" s="5"/>
      <c r="O6864" s="5" t="str">
        <v>7017071683</v>
      </c>
      <c r="P6864" s="27">
        <v>62271490</v>
      </c>
      <c r="Q6864" s="5" t="s">
        <v>49009</v>
      </c>
      <c r="R6864" s="5"/>
      <c r="S6864" s="5" t="s">
        <v>49066</v>
      </c>
      <c r="T6864" s="28">
        <v>521759000</v>
      </c>
      <c r="U6864" s="28">
        <v>9898000</v>
      </c>
      <c r="V6864" s="28">
        <v>572642000</v>
      </c>
      <c r="W6864" s="28"/>
      <c r="X6864" s="28">
        <v>924000</v>
      </c>
      <c r="Y6864" s="28">
        <v>2105207000</v>
      </c>
      <c r="Z6864" s="28">
        <v>983697000</v>
      </c>
      <c r="AA6864" s="28"/>
      <c r="AB6864" s="28"/>
      <c r="AC6864" s="28">
        <v>1005336000</v>
      </c>
      <c r="AD6864" s="28">
        <v>1045968000</v>
      </c>
      <c r="AE6864" s="28">
        <v>6774907000</v>
      </c>
      <c r="AF6864" s="28">
        <v>528427000</v>
      </c>
      <c r="AG6864" s="11"/>
    </row>
    <row r="6865">
      <c r="A6865" s="7" t="s">
        <v>8428</v>
      </c>
      <c r="B6865" s="5" t="s">
        <v>16364</v>
      </c>
      <c r="C6865" s="5" t="s">
        <v>23993</v>
      </c>
      <c r="D6865" s="5" t="str">
        <v>632104119240</v>
      </c>
      <c r="E6865" s="0" t="e">
        <f>+7 (848) 2505376
+7 (8482) 756560
+7 (8482) 379630
+7 (8482) 502500
+7 (927) 2117601</f>
        <v>#NAME?</v>
      </c>
      <c r="F6865" s="5" t="s">
        <v>45320</v>
      </c>
      <c r="G6865" s="5" t="s">
        <v>45321</v>
      </c>
      <c r="H6865" s="26">
        <v>23.5</v>
      </c>
      <c r="I6865" s="5"/>
      <c r="J6865" s="5" t="s">
        <v>25641</v>
      </c>
      <c r="K6865" s="5" t="s">
        <v>344</v>
      </c>
      <c r="L6865" s="5" t="s">
        <v>45322</v>
      </c>
      <c r="M6865" s="27"/>
      <c r="N6865" s="5" t="s">
        <v>59590</v>
      </c>
      <c r="O6865" s="5" t="str">
        <v>6321085751</v>
      </c>
      <c r="P6865" s="27">
        <v>92400</v>
      </c>
      <c r="Q6865" s="5" t="s">
        <v>49009</v>
      </c>
      <c r="R6865" s="5"/>
      <c r="S6865" s="5" t="s">
        <v>49504</v>
      </c>
      <c r="T6865" s="28">
        <v>183244000</v>
      </c>
      <c r="U6865" s="28"/>
      <c r="V6865" s="28">
        <v>152005000</v>
      </c>
      <c r="W6865" s="28">
        <v>503096000</v>
      </c>
      <c r="X6865" s="28">
        <v>145625000</v>
      </c>
      <c r="Y6865" s="28">
        <v>1149475000</v>
      </c>
      <c r="Z6865" s="28">
        <v>974761000</v>
      </c>
      <c r="AA6865" s="28"/>
      <c r="AB6865" s="28"/>
      <c r="AC6865" s="28">
        <v>167590000</v>
      </c>
      <c r="AD6865" s="28">
        <v>974853000</v>
      </c>
      <c r="AE6865" s="28">
        <v>3152882000</v>
      </c>
      <c r="AF6865" s="28">
        <v>341961000</v>
      </c>
      <c r="AG6865" s="11"/>
    </row>
    <row r="6866">
      <c r="A6866" s="7" t="s">
        <v>8429</v>
      </c>
      <c r="B6866" s="5" t="s">
        <v>16365</v>
      </c>
      <c r="C6866" s="5" t="s">
        <v>23994</v>
      </c>
      <c r="D6866" s="5" t="str">
        <v>502909893214</v>
      </c>
      <c r="E6866" s="0" t="e">
        <f>+7 (49641) 48411
+7 (916) 6962563
+7 (49641) 48448
+7 (49641) 48456
+7 (49641) 48501
+7 (49641) 48503
+7 (49641) 48504
+7 (49641) 48506
+7 (49641) 48703
+7 (49641) 63249
+7 (49641) 63255
+7 (49641) 63288
+7 (800) 7003249
+7 (903) 2009665
+7 (903) 2030417</f>
        <v>#NAME?</v>
      </c>
      <c r="F6866" s="5" t="s">
        <v>45323</v>
      </c>
      <c r="G6866" s="5" t="s">
        <v>45324</v>
      </c>
      <c r="H6866" s="26">
        <v>24.5</v>
      </c>
      <c r="I6866" s="5" t="s">
        <v>45325</v>
      </c>
      <c r="J6866" s="5" t="s">
        <v>414</v>
      </c>
      <c r="K6866" s="5" t="s">
        <v>344</v>
      </c>
      <c r="L6866" s="5" t="s">
        <v>45326</v>
      </c>
      <c r="M6866" s="27">
        <v>4000000</v>
      </c>
      <c r="N6866" s="5" t="s">
        <v>59591</v>
      </c>
      <c r="O6866" s="5" t="str">
        <v>5034016022</v>
      </c>
      <c r="P6866" s="27">
        <v>31164000</v>
      </c>
      <c r="Q6866" s="5" t="s">
        <v>49009</v>
      </c>
      <c r="R6866" s="5"/>
      <c r="S6866" s="5" t="s">
        <v>57635</v>
      </c>
      <c r="T6866" s="28">
        <v>2581400000</v>
      </c>
      <c r="U6866" s="28">
        <v>2410000</v>
      </c>
      <c r="V6866" s="28">
        <v>1885529000</v>
      </c>
      <c r="W6866" s="28"/>
      <c r="X6866" s="28">
        <v>373630000</v>
      </c>
      <c r="Y6866" s="28">
        <v>8640022000</v>
      </c>
      <c r="Z6866" s="28">
        <v>4203967000</v>
      </c>
      <c r="AA6866" s="28">
        <v>1040000000</v>
      </c>
      <c r="AB6866" s="28">
        <v>77961000</v>
      </c>
      <c r="AC6866" s="28">
        <v>3347636000</v>
      </c>
      <c r="AD6866" s="28">
        <v>4235131000</v>
      </c>
      <c r="AE6866" s="28">
        <v>14184474000</v>
      </c>
      <c r="AF6866" s="28">
        <v>579745000</v>
      </c>
      <c r="AG6866" s="11"/>
    </row>
    <row r="6867">
      <c r="A6867" s="7" t="s">
        <v>8430</v>
      </c>
      <c r="B6867" s="5" t="s">
        <v>16366</v>
      </c>
      <c r="C6867" s="5" t="s">
        <v>23995</v>
      </c>
      <c r="D6867" s="5" t="str">
        <v>771603815841</v>
      </c>
      <c r="E6867" s="0" t="e">
        <f>+7 (495) 7570747
+7 (495) 7574923
+7 (495) 9425969
+7 (495) 7560549
+7 (495) 6361612
+7 (495) 7561461</f>
        <v>#NAME?</v>
      </c>
      <c r="F6867" s="5"/>
      <c r="G6867" s="5" t="s">
        <v>45327</v>
      </c>
      <c r="H6867" s="26">
        <v>22</v>
      </c>
      <c r="I6867" s="5" t="s">
        <v>45328</v>
      </c>
      <c r="J6867" s="5" t="s">
        <v>364</v>
      </c>
      <c r="K6867" s="5" t="s">
        <v>380</v>
      </c>
      <c r="L6867" s="5"/>
      <c r="M6867" s="27">
        <v>139255</v>
      </c>
      <c r="N6867" s="5"/>
      <c r="O6867" s="5" t="str">
        <v>7707289870</v>
      </c>
      <c r="P6867" s="27">
        <v>132000</v>
      </c>
      <c r="Q6867" s="5"/>
      <c r="R6867" s="5" t="s">
        <v>59593</v>
      </c>
      <c r="S6867" s="5" t="s">
        <v>49123</v>
      </c>
      <c r="T6867" s="28">
        <v>32296000</v>
      </c>
      <c r="U6867" s="28"/>
      <c r="V6867" s="28">
        <v>322669000</v>
      </c>
      <c r="W6867" s="28"/>
      <c r="X6867" s="28">
        <v>7036000</v>
      </c>
      <c r="Y6867" s="28">
        <v>6768292000</v>
      </c>
      <c r="Z6867" s="28">
        <v>-785331000</v>
      </c>
      <c r="AA6867" s="28"/>
      <c r="AB6867" s="28">
        <v>273419000</v>
      </c>
      <c r="AC6867" s="28">
        <v>6691216000</v>
      </c>
      <c r="AD6867" s="28">
        <v>-785199000</v>
      </c>
      <c r="AE6867" s="28">
        <v>3463176000</v>
      </c>
      <c r="AF6867" s="28">
        <v>-87854000</v>
      </c>
      <c r="AG6867" s="11"/>
    </row>
    <row r="6868">
      <c r="A6868" s="7" t="s">
        <v>8431</v>
      </c>
      <c r="B6868" s="5" t="s">
        <v>16367</v>
      </c>
      <c r="C6868" s="5" t="s">
        <v>23996</v>
      </c>
      <c r="D6868" s="5" t="str">
        <v>071304025395</v>
      </c>
      <c r="E6868" s="0" t="e">
        <f>+7 (863) 2831140
+7 (8632) 831150
+7 (928) 1081734</f>
        <v>#NAME?</v>
      </c>
      <c r="F6868" s="5" t="s">
        <v>45329</v>
      </c>
      <c r="G6868" s="5"/>
      <c r="H6868" s="26">
        <v>18</v>
      </c>
      <c r="I6868" s="5" t="s">
        <v>45330</v>
      </c>
      <c r="J6868" s="5" t="s">
        <v>25850</v>
      </c>
      <c r="K6868" s="5" t="s">
        <v>344</v>
      </c>
      <c r="L6868" s="5" t="s">
        <v>45331</v>
      </c>
      <c r="M6868" s="27"/>
      <c r="N6868" s="5"/>
      <c r="O6868" s="5" t="str">
        <v>6167079560</v>
      </c>
      <c r="P6868" s="27">
        <v>50000000</v>
      </c>
      <c r="Q6868" s="5"/>
      <c r="R6868" s="5"/>
      <c r="S6868" s="5" t="s">
        <v>49029</v>
      </c>
      <c r="T6868" s="28">
        <v>69850000</v>
      </c>
      <c r="U6868" s="28">
        <v>180000000</v>
      </c>
      <c r="V6868" s="28">
        <v>2121968000</v>
      </c>
      <c r="W6868" s="28">
        <v>228320000</v>
      </c>
      <c r="X6868" s="28">
        <v>7143000</v>
      </c>
      <c r="Y6868" s="28">
        <v>4069447000</v>
      </c>
      <c r="Z6868" s="28">
        <v>2442183000</v>
      </c>
      <c r="AA6868" s="28">
        <v>1398902000</v>
      </c>
      <c r="AB6868" s="28">
        <v>1188000</v>
      </c>
      <c r="AC6868" s="28">
        <v>150505000</v>
      </c>
      <c r="AD6868" s="28">
        <v>2492183000</v>
      </c>
      <c r="AE6868" s="28">
        <v>12819436000</v>
      </c>
      <c r="AF6868" s="28">
        <v>295493000</v>
      </c>
      <c r="AG6868" s="11"/>
    </row>
    <row r="6869">
      <c r="A6869" s="7" t="s">
        <v>8432</v>
      </c>
      <c r="B6869" s="5" t="s">
        <v>16368</v>
      </c>
      <c r="C6869" s="5" t="s">
        <v>23997</v>
      </c>
      <c r="D6869" s="5" t="str">
        <v>770870183103</v>
      </c>
      <c r="E6869" s="0" t="e">
        <f>+7 (495) 9373695
+7 (495) 9373784
+7 (495) 9373795
+7 (800) 5053645
+7 (812) 4492344
+7 (8432) 103047
+7 (863) 3100840
+7 (863) 3100850
+7 (8632) 37935
+7 (910) 4571635
+7 (912) 2201174</f>
        <v>#NAME?</v>
      </c>
      <c r="F6869" s="5" t="s">
        <v>45332</v>
      </c>
      <c r="G6869" s="5"/>
      <c r="H6869" s="26">
        <v>15</v>
      </c>
      <c r="I6869" s="5" t="s">
        <v>45333</v>
      </c>
      <c r="J6869" s="5" t="s">
        <v>555</v>
      </c>
      <c r="K6869" s="5" t="s">
        <v>344</v>
      </c>
      <c r="L6869" s="5" t="s">
        <v>45334</v>
      </c>
      <c r="M6869" s="27"/>
      <c r="N6869" s="5"/>
      <c r="O6869" s="5" t="str">
        <v>7707655396</v>
      </c>
      <c r="P6869" s="27">
        <v>36000000</v>
      </c>
      <c r="Q6869" s="5" t="s">
        <v>59594</v>
      </c>
      <c r="R6869" s="5"/>
      <c r="S6869" s="5" t="s">
        <v>49956</v>
      </c>
      <c r="T6869" s="28">
        <v>2468309000</v>
      </c>
      <c r="U6869" s="28">
        <v>21563000</v>
      </c>
      <c r="V6869" s="28">
        <v>547182000</v>
      </c>
      <c r="W6869" s="28">
        <v>33890000</v>
      </c>
      <c r="X6869" s="28">
        <v>4005773000</v>
      </c>
      <c r="Y6869" s="28">
        <v>7922728000</v>
      </c>
      <c r="Z6869" s="28">
        <v>4778069000</v>
      </c>
      <c r="AA6869" s="28"/>
      <c r="AB6869" s="28">
        <v>1233287000</v>
      </c>
      <c r="AC6869" s="28">
        <v>3083339000</v>
      </c>
      <c r="AD6869" s="28">
        <v>4814069000</v>
      </c>
      <c r="AE6869" s="28">
        <v>7381602000</v>
      </c>
      <c r="AF6869" s="28">
        <v>221726000</v>
      </c>
      <c r="AG6869" s="11"/>
    </row>
    <row r="6870">
      <c r="A6870" s="7" t="s">
        <v>8433</v>
      </c>
      <c r="B6870" s="5" t="s">
        <v>16369</v>
      </c>
      <c r="C6870" s="5" t="s">
        <v>23998</v>
      </c>
      <c r="D6870" s="5" t="str">
        <v>780703044749</v>
      </c>
      <c r="E6870" s="0" t="e">
        <f>+7 (3012) 260650
+7 (3422) 22282
+7 (3422) 234466
+7 (3422) 362666
+7 (3422) 543420
+7 (3422) 595186
+7 (3422) 607982
+7 (3422) 640382
+7 (3422) 864320
+7 (3432) 68572
+7 (3432) 783660
+7 (3433) 451213
+7 (3433) 467190
+7 (3439) 380604
+7 (345) 2494854</f>
        <v>#NAME?</v>
      </c>
      <c r="F6870" s="5" t="s">
        <v>45335</v>
      </c>
      <c r="G6870" s="5" t="s">
        <v>45336</v>
      </c>
      <c r="H6870" s="26">
        <v>27</v>
      </c>
      <c r="I6870" s="5" t="s">
        <v>45337</v>
      </c>
      <c r="J6870" s="5" t="s">
        <v>37683</v>
      </c>
      <c r="K6870" s="5" t="s">
        <v>344</v>
      </c>
      <c r="L6870" s="5" t="s">
        <v>45338</v>
      </c>
      <c r="M6870" s="27">
        <v>622548</v>
      </c>
      <c r="N6870" s="5" t="s">
        <v>59595</v>
      </c>
      <c r="O6870" s="5" t="str">
        <v>7825352133</v>
      </c>
      <c r="P6870" s="27">
        <v>487000</v>
      </c>
      <c r="Q6870" s="5" t="s">
        <v>49009</v>
      </c>
      <c r="R6870" s="5"/>
      <c r="S6870" s="5" t="s">
        <v>49045</v>
      </c>
      <c r="T6870" s="28">
        <v>1656000</v>
      </c>
      <c r="U6870" s="28"/>
      <c r="V6870" s="28">
        <v>199326000</v>
      </c>
      <c r="W6870" s="28"/>
      <c r="X6870" s="28">
        <v>12851000</v>
      </c>
      <c r="Y6870" s="28">
        <v>351982000</v>
      </c>
      <c r="Z6870" s="28">
        <v>102163000</v>
      </c>
      <c r="AA6870" s="28"/>
      <c r="AB6870" s="28">
        <v>81248000</v>
      </c>
      <c r="AC6870" s="28">
        <v>249333000</v>
      </c>
      <c r="AD6870" s="28">
        <v>102650000</v>
      </c>
      <c r="AE6870" s="28">
        <v>4389255000</v>
      </c>
      <c r="AF6870" s="28">
        <v>15949000</v>
      </c>
      <c r="AG6870" s="11"/>
    </row>
    <row r="6871">
      <c r="A6871" s="7" t="s">
        <v>8434</v>
      </c>
      <c r="B6871" s="5" t="s">
        <v>16370</v>
      </c>
      <c r="C6871" s="5" t="s">
        <v>23999</v>
      </c>
      <c r="D6871" s="5" t="str">
        <v>971504542042</v>
      </c>
      <c r="F6871" s="5"/>
      <c r="G6871" s="5"/>
      <c r="H6871" s="26">
        <v>5</v>
      </c>
      <c r="I6871" s="5" t="s">
        <v>45339</v>
      </c>
      <c r="J6871" s="5" t="s">
        <v>373</v>
      </c>
      <c r="K6871" s="5" t="s">
        <v>344</v>
      </c>
      <c r="L6871" s="5" t="s">
        <v>45340</v>
      </c>
      <c r="M6871" s="27"/>
      <c r="N6871" s="5"/>
      <c r="O6871" s="5" t="str">
        <v>5024181130</v>
      </c>
      <c r="P6871" s="27">
        <v>1000000</v>
      </c>
      <c r="Q6871" s="5" t="s">
        <v>59596</v>
      </c>
      <c r="R6871" s="5"/>
      <c r="S6871" s="5" t="s">
        <v>54247</v>
      </c>
      <c r="T6871" s="28">
        <v>1164000</v>
      </c>
      <c r="U6871" s="28"/>
      <c r="V6871" s="28">
        <v>146277000</v>
      </c>
      <c r="W6871" s="28"/>
      <c r="X6871" s="28">
        <v>26442000</v>
      </c>
      <c r="Y6871" s="28">
        <v>183709000</v>
      </c>
      <c r="Z6871" s="28">
        <v>139311000</v>
      </c>
      <c r="AA6871" s="28"/>
      <c r="AB6871" s="28">
        <v>3043000</v>
      </c>
      <c r="AC6871" s="28">
        <v>43372000</v>
      </c>
      <c r="AD6871" s="28">
        <v>140311000</v>
      </c>
      <c r="AE6871" s="28">
        <v>3446227000</v>
      </c>
      <c r="AF6871" s="28">
        <v>109480000</v>
      </c>
      <c r="AG6871" s="11"/>
    </row>
    <row r="6872">
      <c r="A6872" s="7" t="s">
        <v>8435</v>
      </c>
      <c r="B6872" s="5" t="s">
        <v>16371</v>
      </c>
      <c r="C6872" s="5" t="s">
        <v>24000</v>
      </c>
      <c r="D6872" s="5" t="str">
        <v>732502451168</v>
      </c>
      <c r="E6872" s="0" t="e">
        <f>+7 (495) 9260375
+7 (926) 5215346</f>
        <v>#NAME?</v>
      </c>
      <c r="F6872" s="5" t="s">
        <v>45341</v>
      </c>
      <c r="G6872" s="5"/>
      <c r="H6872" s="26">
        <v>6.5</v>
      </c>
      <c r="I6872" s="5" t="s">
        <v>45342</v>
      </c>
      <c r="J6872" s="5" t="s">
        <v>373</v>
      </c>
      <c r="K6872" s="5" t="s">
        <v>344</v>
      </c>
      <c r="L6872" s="5" t="s">
        <v>38926</v>
      </c>
      <c r="M6872" s="27"/>
      <c r="N6872" s="5" t="s">
        <v>59597</v>
      </c>
      <c r="O6872" s="5" t="str">
        <v>7714407316</v>
      </c>
      <c r="P6872" s="27">
        <v>100000</v>
      </c>
      <c r="Q6872" s="5" t="s">
        <v>49021</v>
      </c>
      <c r="R6872" s="5"/>
      <c r="S6872" s="5" t="s">
        <v>59598</v>
      </c>
      <c r="T6872" s="28">
        <v>2758000</v>
      </c>
      <c r="U6872" s="28"/>
      <c r="V6872" s="28">
        <v>1687308000</v>
      </c>
      <c r="W6872" s="28"/>
      <c r="X6872" s="28">
        <v>139959000</v>
      </c>
      <c r="Y6872" s="28">
        <v>1830244000</v>
      </c>
      <c r="Z6872" s="28">
        <v>584783000</v>
      </c>
      <c r="AA6872" s="28">
        <v>831314000</v>
      </c>
      <c r="AB6872" s="28"/>
      <c r="AC6872" s="28">
        <v>414045000</v>
      </c>
      <c r="AD6872" s="28">
        <v>584883000</v>
      </c>
      <c r="AE6872" s="28">
        <v>11074816000</v>
      </c>
      <c r="AF6872" s="28">
        <v>445970000</v>
      </c>
      <c r="AG6872" s="11"/>
    </row>
    <row r="6873">
      <c r="A6873" s="7" t="s">
        <v>8436</v>
      </c>
      <c r="B6873" s="5" t="s">
        <v>16372</v>
      </c>
      <c r="C6873" s="5" t="s">
        <v>18146</v>
      </c>
      <c r="D6873" s="5"/>
      <c r="E6873" s="0" t="e">
        <f>+7 (38454) 38035
+7 (38454) 21700
+7 (38454) 21903
+7 (38454) 38010
+7 (38454) 38049
+7 (38454) 45644</f>
        <v>#NAME?</v>
      </c>
      <c r="F6873" s="5" t="s">
        <v>45343</v>
      </c>
      <c r="G6873" s="5"/>
      <c r="H6873" s="26">
        <v>22.5</v>
      </c>
      <c r="I6873" s="5" t="s">
        <v>45344</v>
      </c>
      <c r="J6873" s="5" t="s">
        <v>26407</v>
      </c>
      <c r="K6873" s="5" t="s">
        <v>344</v>
      </c>
      <c r="L6873" s="5" t="s">
        <v>45345</v>
      </c>
      <c r="M6873" s="27"/>
      <c r="N6873" s="5"/>
      <c r="O6873" s="5" t="str">
        <v>4229004316</v>
      </c>
      <c r="P6873" s="27">
        <v>130000000</v>
      </c>
      <c r="Q6873" s="5"/>
      <c r="R6873" s="5"/>
      <c r="S6873" s="5" t="s">
        <v>49029</v>
      </c>
      <c r="T6873" s="28">
        <v>2550825000</v>
      </c>
      <c r="U6873" s="28">
        <v>12643963000</v>
      </c>
      <c r="V6873" s="28">
        <v>3325540000</v>
      </c>
      <c r="W6873" s="28">
        <v>785027000</v>
      </c>
      <c r="X6873" s="28">
        <v>1424224000</v>
      </c>
      <c r="Y6873" s="28">
        <v>22605810000</v>
      </c>
      <c r="Z6873" s="28">
        <v>17674105000</v>
      </c>
      <c r="AA6873" s="28">
        <v>716939000</v>
      </c>
      <c r="AB6873" s="28">
        <v>2840230000</v>
      </c>
      <c r="AC6873" s="28">
        <v>3673218000</v>
      </c>
      <c r="AD6873" s="28">
        <v>17808168000</v>
      </c>
      <c r="AE6873" s="28">
        <v>12803556000</v>
      </c>
      <c r="AF6873" s="28">
        <v>2228992000</v>
      </c>
      <c r="AG6873" s="11"/>
    </row>
    <row r="6874">
      <c r="A6874" s="7" t="s">
        <v>8437</v>
      </c>
      <c r="B6874" s="5" t="s">
        <v>16373</v>
      </c>
      <c r="C6874" s="5" t="s">
        <v>24001</v>
      </c>
      <c r="D6874" s="5" t="str">
        <v>773322435407</v>
      </c>
      <c r="E6874" s="0" t="e">
        <f>+7 (499) 5518888</f>
        <v>#NAME?</v>
      </c>
      <c r="F6874" s="5"/>
      <c r="G6874" s="5" t="s">
        <v>45346</v>
      </c>
      <c r="H6874" s="26">
        <v>5</v>
      </c>
      <c r="I6874" s="5" t="s">
        <v>45347</v>
      </c>
      <c r="J6874" s="5" t="s">
        <v>30025</v>
      </c>
      <c r="K6874" s="5" t="s">
        <v>355</v>
      </c>
      <c r="L6874" s="5" t="s">
        <v>25813</v>
      </c>
      <c r="M6874" s="27">
        <v>6663071</v>
      </c>
      <c r="N6874" s="5" t="s">
        <v>59600</v>
      </c>
      <c r="O6874" s="5" t="str">
        <v>7703443295</v>
      </c>
      <c r="P6874" s="27">
        <v>10000</v>
      </c>
      <c r="Q6874" s="5" t="s">
        <v>59601</v>
      </c>
      <c r="R6874" s="5"/>
      <c r="S6874" s="5" t="s">
        <v>49047</v>
      </c>
      <c r="T6874" s="28">
        <v>1029554000</v>
      </c>
      <c r="U6874" s="28"/>
      <c r="V6874" s="28">
        <v>2406944000</v>
      </c>
      <c r="W6874" s="28">
        <v>218995000</v>
      </c>
      <c r="X6874" s="28">
        <v>49528000</v>
      </c>
      <c r="Y6874" s="28">
        <v>5881986000</v>
      </c>
      <c r="Z6874" s="28">
        <v>27889000</v>
      </c>
      <c r="AA6874" s="28"/>
      <c r="AB6874" s="28"/>
      <c r="AC6874" s="28">
        <v>5101344000</v>
      </c>
      <c r="AD6874" s="28">
        <v>27899000</v>
      </c>
      <c r="AE6874" s="28">
        <v>3216462000</v>
      </c>
      <c r="AF6874" s="28">
        <v>17415000</v>
      </c>
      <c r="AG6874" s="11"/>
    </row>
    <row r="6875">
      <c r="A6875" s="7" t="s">
        <v>8438</v>
      </c>
      <c r="B6875" s="5" t="s">
        <v>16374</v>
      </c>
      <c r="C6875" s="5" t="s">
        <v>24002</v>
      </c>
      <c r="D6875" s="5" t="str">
        <v>352501120581</v>
      </c>
      <c r="E6875" s="0" t="e">
        <f>+7 (982) 5813496
+7 (346) 6523977
+7 (3466) 296484
+7 (3466) 296485
+7 (3466) 524077</f>
        <v>#NAME?</v>
      </c>
      <c r="F6875" s="5" t="s">
        <v>45348</v>
      </c>
      <c r="G6875" s="5"/>
      <c r="H6875" s="26">
        <v>11</v>
      </c>
      <c r="I6875" s="5" t="s">
        <v>45349</v>
      </c>
      <c r="J6875" s="5" t="s">
        <v>25327</v>
      </c>
      <c r="K6875" s="5" t="s">
        <v>344</v>
      </c>
      <c r="L6875" s="5" t="s">
        <v>45350</v>
      </c>
      <c r="M6875" s="27"/>
      <c r="N6875" s="5" t="s">
        <v>59602</v>
      </c>
      <c r="O6875" s="5" t="str">
        <v>8603189181</v>
      </c>
      <c r="P6875" s="27">
        <v>10000</v>
      </c>
      <c r="Q6875" s="5" t="s">
        <v>59603</v>
      </c>
      <c r="R6875" s="5"/>
      <c r="S6875" s="5" t="s">
        <v>59604</v>
      </c>
      <c r="T6875" s="28">
        <v>98554000</v>
      </c>
      <c r="U6875" s="28"/>
      <c r="V6875" s="28">
        <v>237001000</v>
      </c>
      <c r="W6875" s="28"/>
      <c r="X6875" s="28">
        <v>53737000</v>
      </c>
      <c r="Y6875" s="28">
        <v>626774000</v>
      </c>
      <c r="Z6875" s="28">
        <v>359901000</v>
      </c>
      <c r="AA6875" s="28"/>
      <c r="AB6875" s="28">
        <v>2512000</v>
      </c>
      <c r="AC6875" s="28">
        <v>265487000</v>
      </c>
      <c r="AD6875" s="28">
        <v>359911000</v>
      </c>
      <c r="AE6875" s="28">
        <v>3075779000</v>
      </c>
      <c r="AF6875" s="28">
        <v>57330000</v>
      </c>
      <c r="AG6875" s="11"/>
    </row>
    <row r="6876">
      <c r="A6876" s="7" t="s">
        <v>8439</v>
      </c>
      <c r="B6876" s="5" t="s">
        <v>16375</v>
      </c>
      <c r="C6876" s="5" t="s">
        <v>24003</v>
      </c>
      <c r="D6876" s="5" t="str">
        <v>421500175244</v>
      </c>
      <c r="E6876" s="0" t="e">
        <f>+7 (3843) 421035
+7 (3843) 423165
+7 (3843) 528987
+7 (3843) 724435
+7 (3843) 724565
+7 (3843) 993733</f>
        <v>#NAME?</v>
      </c>
      <c r="F6876" s="5" t="s">
        <v>45351</v>
      </c>
      <c r="G6876" s="5"/>
      <c r="H6876" s="26">
        <v>22.5</v>
      </c>
      <c r="I6876" s="5" t="s">
        <v>45352</v>
      </c>
      <c r="J6876" s="5" t="s">
        <v>25283</v>
      </c>
      <c r="K6876" s="5" t="s">
        <v>344</v>
      </c>
      <c r="L6876" s="5" t="s">
        <v>45353</v>
      </c>
      <c r="M6876" s="27">
        <v>32038597</v>
      </c>
      <c r="N6876" s="5"/>
      <c r="O6876" s="5" t="str">
        <v>4220020218</v>
      </c>
      <c r="P6876" s="27">
        <v>8400</v>
      </c>
      <c r="Q6876" s="5" t="s">
        <v>49207</v>
      </c>
      <c r="R6876" s="5"/>
      <c r="S6876" s="5" t="s">
        <v>49311</v>
      </c>
      <c r="T6876" s="28">
        <v>143549000</v>
      </c>
      <c r="U6876" s="28">
        <v>4886086000</v>
      </c>
      <c r="V6876" s="28">
        <v>4554626000</v>
      </c>
      <c r="W6876" s="28"/>
      <c r="X6876" s="28">
        <v>334426000</v>
      </c>
      <c r="Y6876" s="28">
        <v>10854887000</v>
      </c>
      <c r="Z6876" s="28">
        <v>6336561000</v>
      </c>
      <c r="AA6876" s="28">
        <v>1122650000</v>
      </c>
      <c r="AB6876" s="28">
        <v>84857000</v>
      </c>
      <c r="AC6876" s="28">
        <v>2258702000</v>
      </c>
      <c r="AD6876" s="28">
        <v>6336569000</v>
      </c>
      <c r="AE6876" s="28">
        <v>11746808000</v>
      </c>
      <c r="AF6876" s="28">
        <v>683496000</v>
      </c>
      <c r="AG6876" s="11"/>
    </row>
    <row r="6877">
      <c r="A6877" s="7" t="s">
        <v>8440</v>
      </c>
      <c r="B6877" s="5" t="s">
        <v>16376</v>
      </c>
      <c r="C6877" s="5" t="s">
        <v>24004</v>
      </c>
      <c r="D6877" s="5" t="str">
        <v>781138159660</v>
      </c>
      <c r="F6877" s="5"/>
      <c r="G6877" s="5"/>
      <c r="H6877" s="26">
        <v>8</v>
      </c>
      <c r="I6877" s="5" t="s">
        <v>45354</v>
      </c>
      <c r="J6877" s="5" t="s">
        <v>678</v>
      </c>
      <c r="K6877" s="5" t="s">
        <v>344</v>
      </c>
      <c r="L6877" s="5" t="s">
        <v>26784</v>
      </c>
      <c r="M6877" s="27"/>
      <c r="N6877" s="5"/>
      <c r="O6877" s="5" t="str">
        <v>7802879798</v>
      </c>
      <c r="P6877" s="27">
        <v>10000</v>
      </c>
      <c r="Q6877" s="5" t="s">
        <v>49057</v>
      </c>
      <c r="R6877" s="5"/>
      <c r="S6877" s="5" t="s">
        <v>49452</v>
      </c>
      <c r="T6877" s="28"/>
      <c r="U6877" s="28"/>
      <c r="V6877" s="28">
        <v>436753000</v>
      </c>
      <c r="W6877" s="28"/>
      <c r="X6877" s="28">
        <v>862000</v>
      </c>
      <c r="Y6877" s="28">
        <v>676732000</v>
      </c>
      <c r="Z6877" s="28">
        <v>79909000</v>
      </c>
      <c r="AA6877" s="28"/>
      <c r="AB6877" s="28">
        <v>440467000</v>
      </c>
      <c r="AC6877" s="28">
        <v>596813000</v>
      </c>
      <c r="AD6877" s="28">
        <v>79919000</v>
      </c>
      <c r="AE6877" s="28">
        <v>3533156000</v>
      </c>
      <c r="AF6877" s="28">
        <v>36998000</v>
      </c>
      <c r="AG6877" s="11"/>
    </row>
    <row r="6878">
      <c r="A6878" s="7" t="s">
        <v>8441</v>
      </c>
      <c r="B6878" s="5" t="s">
        <v>16377</v>
      </c>
      <c r="C6878" s="5" t="s">
        <v>24005</v>
      </c>
      <c r="D6878" s="5" t="str">
        <v>540363906990</v>
      </c>
      <c r="E6878" s="0" t="e">
        <f>+7 (800) 5005463
+7 (913) 698828
+7 (952) 9331554</f>
        <v>#NAME?</v>
      </c>
      <c r="F6878" s="5" t="s">
        <v>45355</v>
      </c>
      <c r="G6878" s="5" t="s">
        <v>45356</v>
      </c>
      <c r="H6878" s="26">
        <v>7.5</v>
      </c>
      <c r="I6878" s="5" t="s">
        <v>45357</v>
      </c>
      <c r="J6878" s="5" t="s">
        <v>678</v>
      </c>
      <c r="K6878" s="5" t="s">
        <v>344</v>
      </c>
      <c r="L6878" s="5" t="s">
        <v>45358</v>
      </c>
      <c r="M6878" s="27">
        <v>4500</v>
      </c>
      <c r="N6878" s="5" t="s">
        <v>59605</v>
      </c>
      <c r="O6878" s="5" t="str">
        <v>5405963778</v>
      </c>
      <c r="P6878" s="27">
        <v>10000</v>
      </c>
      <c r="Q6878" s="5" t="s">
        <v>49009</v>
      </c>
      <c r="R6878" s="5"/>
      <c r="S6878" s="5" t="s">
        <v>49487</v>
      </c>
      <c r="T6878" s="28">
        <v>4694000</v>
      </c>
      <c r="U6878" s="28"/>
      <c r="V6878" s="28">
        <v>535075000</v>
      </c>
      <c r="W6878" s="28">
        <v>138000</v>
      </c>
      <c r="X6878" s="28">
        <v>22658000</v>
      </c>
      <c r="Y6878" s="28">
        <v>1604244000</v>
      </c>
      <c r="Z6878" s="28">
        <v>238431000</v>
      </c>
      <c r="AA6878" s="28"/>
      <c r="AB6878" s="28">
        <v>419033000</v>
      </c>
      <c r="AC6878" s="28">
        <v>1365753000</v>
      </c>
      <c r="AD6878" s="28">
        <v>238491000</v>
      </c>
      <c r="AE6878" s="28">
        <v>3627103000</v>
      </c>
      <c r="AF6878" s="28">
        <v>160679000</v>
      </c>
      <c r="AG6878" s="11"/>
    </row>
    <row r="6879">
      <c r="A6879" s="7" t="s">
        <v>8442</v>
      </c>
      <c r="B6879" s="5" t="s">
        <v>16378</v>
      </c>
      <c r="C6879" s="5" t="s">
        <v>24006</v>
      </c>
      <c r="D6879" s="5" t="str">
        <v>225702145614</v>
      </c>
      <c r="E6879" s="0" t="e">
        <f>+7 (385) 2360300
+7 (38553) 23094
+7 (38584) 26547
+7 (38595) 45623
+7 (913) 266106</f>
        <v>#NAME?</v>
      </c>
      <c r="F6879" s="5"/>
      <c r="G6879" s="5"/>
      <c r="H6879" s="26">
        <v>5.5</v>
      </c>
      <c r="I6879" s="5" t="s">
        <v>45359</v>
      </c>
      <c r="J6879" s="5" t="s">
        <v>26581</v>
      </c>
      <c r="K6879" s="5" t="s">
        <v>344</v>
      </c>
      <c r="L6879" s="5" t="s">
        <v>45360</v>
      </c>
      <c r="M6879" s="27"/>
      <c r="N6879" s="5"/>
      <c r="O6879" s="5" t="str">
        <v>2225186816</v>
      </c>
      <c r="P6879" s="27">
        <v>10000</v>
      </c>
      <c r="Q6879" s="5" t="s">
        <v>49009</v>
      </c>
      <c r="R6879" s="5"/>
      <c r="S6879" s="5" t="s">
        <v>49028</v>
      </c>
      <c r="T6879" s="28">
        <v>987000</v>
      </c>
      <c r="U6879" s="28">
        <v>250000</v>
      </c>
      <c r="V6879" s="28">
        <v>631715000</v>
      </c>
      <c r="W6879" s="28">
        <v>38650000</v>
      </c>
      <c r="X6879" s="28">
        <v>11714000</v>
      </c>
      <c r="Y6879" s="28">
        <v>692805000</v>
      </c>
      <c r="Z6879" s="28">
        <v>40290000</v>
      </c>
      <c r="AA6879" s="28"/>
      <c r="AB6879" s="28">
        <v>180000000</v>
      </c>
      <c r="AC6879" s="28">
        <v>652505000</v>
      </c>
      <c r="AD6879" s="28">
        <v>40300000</v>
      </c>
      <c r="AE6879" s="28">
        <v>3756668000</v>
      </c>
      <c r="AF6879" s="28">
        <v>12957000</v>
      </c>
      <c r="AG6879" s="11"/>
    </row>
    <row r="6880">
      <c r="A6880" s="7" t="s">
        <v>8443</v>
      </c>
      <c r="B6880" s="5" t="s">
        <v>15087</v>
      </c>
      <c r="C6880" s="5" t="s">
        <v>22782</v>
      </c>
      <c r="D6880" s="5"/>
      <c r="E6880" s="0" t="e">
        <f>+7 (3472) 173873
+7 (3472) 175058
+7 (3472) 176695
+7 (3472) 460095
+7 (3472) 460097</f>
        <v>#NAME?</v>
      </c>
      <c r="F6880" s="5" t="s">
        <v>45361</v>
      </c>
      <c r="G6880" s="5"/>
      <c r="H6880" s="26">
        <v>15</v>
      </c>
      <c r="I6880" s="5" t="s">
        <v>45362</v>
      </c>
      <c r="J6880" s="5" t="s">
        <v>25853</v>
      </c>
      <c r="K6880" s="5" t="s">
        <v>344</v>
      </c>
      <c r="L6880" s="5" t="s">
        <v>39298</v>
      </c>
      <c r="M6880" s="27">
        <v>178935076</v>
      </c>
      <c r="N6880" s="5"/>
      <c r="O6880" s="5" t="str">
        <v>0273068640</v>
      </c>
      <c r="P6880" s="27">
        <v>159563116</v>
      </c>
      <c r="Q6880" s="5"/>
      <c r="R6880" s="5"/>
      <c r="S6880" s="5" t="s">
        <v>49425</v>
      </c>
      <c r="T6880" s="28">
        <v>2827479000</v>
      </c>
      <c r="U6880" s="28">
        <v>12637000</v>
      </c>
      <c r="V6880" s="28">
        <v>753794000</v>
      </c>
      <c r="W6880" s="28">
        <v>248089000</v>
      </c>
      <c r="X6880" s="28">
        <v>136088000</v>
      </c>
      <c r="Y6880" s="28">
        <v>5286817000</v>
      </c>
      <c r="Z6880" s="28">
        <v>380435000</v>
      </c>
      <c r="AA6880" s="28"/>
      <c r="AB6880" s="28"/>
      <c r="AC6880" s="28">
        <v>1126844000</v>
      </c>
      <c r="AD6880" s="28">
        <v>586787000</v>
      </c>
      <c r="AE6880" s="28">
        <v>10079749000</v>
      </c>
      <c r="AF6880" s="28">
        <v>-15645000</v>
      </c>
      <c r="AG6880" s="11"/>
    </row>
    <row r="6881">
      <c r="A6881" s="7" t="s">
        <v>8444</v>
      </c>
      <c r="B6881" s="5" t="s">
        <v>16379</v>
      </c>
      <c r="C6881" s="5" t="s">
        <v>24007</v>
      </c>
      <c r="D6881" s="5" t="str">
        <v>504511401934</v>
      </c>
      <c r="E6881" s="0" t="e">
        <f>+7 (495) 2690394
+7 (495) 4814152
+7 (495) 7450072
+7 (915) 2392598
+7 (925) 3159662</f>
        <v>#NAME?</v>
      </c>
      <c r="F6881" s="5" t="s">
        <v>45363</v>
      </c>
      <c r="G6881" s="5"/>
      <c r="H6881" s="26">
        <v>7</v>
      </c>
      <c r="I6881" s="5" t="s">
        <v>45364</v>
      </c>
      <c r="J6881" s="5" t="s">
        <v>36411</v>
      </c>
      <c r="K6881" s="5" t="s">
        <v>344</v>
      </c>
      <c r="L6881" s="5" t="s">
        <v>45365</v>
      </c>
      <c r="M6881" s="27"/>
      <c r="N6881" s="5" t="s">
        <v>59606</v>
      </c>
      <c r="O6881" s="5" t="str">
        <v>7722362316</v>
      </c>
      <c r="P6881" s="27">
        <v>10000</v>
      </c>
      <c r="Q6881" s="5"/>
      <c r="R6881" s="5"/>
      <c r="S6881" s="5" t="s">
        <v>49110</v>
      </c>
      <c r="T6881" s="28">
        <v>60071000</v>
      </c>
      <c r="U6881" s="28"/>
      <c r="V6881" s="28">
        <v>1196648000</v>
      </c>
      <c r="W6881" s="28">
        <v>1200000</v>
      </c>
      <c r="X6881" s="28">
        <v>33189000</v>
      </c>
      <c r="Y6881" s="28">
        <v>1563162000</v>
      </c>
      <c r="Z6881" s="28">
        <v>289514000</v>
      </c>
      <c r="AA6881" s="28"/>
      <c r="AB6881" s="28"/>
      <c r="AC6881" s="28">
        <v>1242909000</v>
      </c>
      <c r="AD6881" s="28">
        <v>289524000</v>
      </c>
      <c r="AE6881" s="28">
        <v>9662208000</v>
      </c>
      <c r="AF6881" s="28">
        <v>224566000</v>
      </c>
      <c r="AG6881" s="11"/>
    </row>
    <row r="6882">
      <c r="A6882" s="7" t="s">
        <v>8445</v>
      </c>
      <c r="B6882" s="5" t="s">
        <v>16380</v>
      </c>
      <c r="C6882" s="5" t="s">
        <v>24008</v>
      </c>
      <c r="D6882" s="5" t="str">
        <v>183475602895</v>
      </c>
      <c r="E6882" s="0" t="e">
        <f>+7 (495) 5323919
+7 (965) 2270041</f>
        <v>#NAME?</v>
      </c>
      <c r="F6882" s="5" t="s">
        <v>45366</v>
      </c>
      <c r="G6882" s="5"/>
      <c r="H6882" s="26">
        <v>8</v>
      </c>
      <c r="I6882" s="5" t="s">
        <v>45367</v>
      </c>
      <c r="J6882" s="5" t="s">
        <v>678</v>
      </c>
      <c r="K6882" s="5" t="s">
        <v>344</v>
      </c>
      <c r="L6882" s="5" t="s">
        <v>45368</v>
      </c>
      <c r="M6882" s="27">
        <v>13500</v>
      </c>
      <c r="N6882" s="5" t="s">
        <v>59607</v>
      </c>
      <c r="O6882" s="5" t="str">
        <v>7720300160</v>
      </c>
      <c r="P6882" s="27">
        <v>19608</v>
      </c>
      <c r="Q6882" s="5" t="s">
        <v>59608</v>
      </c>
      <c r="R6882" s="5"/>
      <c r="S6882" s="5" t="s">
        <v>59609</v>
      </c>
      <c r="T6882" s="28">
        <v>41811000</v>
      </c>
      <c r="U6882" s="28"/>
      <c r="V6882" s="28">
        <v>471312000</v>
      </c>
      <c r="W6882" s="28">
        <v>124858000</v>
      </c>
      <c r="X6882" s="28">
        <v>10690000</v>
      </c>
      <c r="Y6882" s="28">
        <v>1627040000</v>
      </c>
      <c r="Z6882" s="28">
        <v>356787000</v>
      </c>
      <c r="AA6882" s="28">
        <v>1500000</v>
      </c>
      <c r="AB6882" s="28">
        <v>654213000</v>
      </c>
      <c r="AC6882" s="28">
        <v>1223724000</v>
      </c>
      <c r="AD6882" s="28">
        <v>376300000</v>
      </c>
      <c r="AE6882" s="28">
        <v>3092269000</v>
      </c>
      <c r="AF6882" s="28">
        <v>110054000</v>
      </c>
      <c r="AG6882" s="11"/>
    </row>
    <row r="6883">
      <c r="A6883" s="7" t="s">
        <v>8446</v>
      </c>
      <c r="B6883" s="5" t="s">
        <v>16381</v>
      </c>
      <c r="C6883" s="5" t="s">
        <v>24009</v>
      </c>
      <c r="D6883" s="5" t="str">
        <v>772000487374</v>
      </c>
      <c r="F6883" s="5" t="s">
        <v>45369</v>
      </c>
      <c r="G6883" s="5" t="s">
        <v>45370</v>
      </c>
      <c r="H6883" s="26">
        <v>3</v>
      </c>
      <c r="I6883" s="5" t="s">
        <v>45371</v>
      </c>
      <c r="J6883" s="5" t="s">
        <v>25216</v>
      </c>
      <c r="K6883" s="5" t="s">
        <v>344</v>
      </c>
      <c r="L6883" s="5" t="s">
        <v>45372</v>
      </c>
      <c r="M6883" s="27"/>
      <c r="N6883" s="5"/>
      <c r="O6883" s="5" t="str">
        <v>9718153320</v>
      </c>
      <c r="P6883" s="27">
        <v>10000</v>
      </c>
      <c r="Q6883" s="5" t="s">
        <v>49016</v>
      </c>
      <c r="R6883" s="5"/>
      <c r="S6883" s="5" t="s">
        <v>59610</v>
      </c>
      <c r="T6883" s="28">
        <v>10647000</v>
      </c>
      <c r="U6883" s="28">
        <v>15000</v>
      </c>
      <c r="V6883" s="28">
        <v>424400000</v>
      </c>
      <c r="W6883" s="28"/>
      <c r="X6883" s="28">
        <v>1588000</v>
      </c>
      <c r="Y6883" s="28">
        <v>1431690000</v>
      </c>
      <c r="Z6883" s="28">
        <v>237596000</v>
      </c>
      <c r="AA6883" s="28">
        <v>146500000</v>
      </c>
      <c r="AB6883" s="28">
        <v>352409000</v>
      </c>
      <c r="AC6883" s="28">
        <v>1043502000</v>
      </c>
      <c r="AD6883" s="28">
        <v>237606000</v>
      </c>
      <c r="AE6883" s="28">
        <v>3465313000</v>
      </c>
      <c r="AF6883" s="28">
        <v>328800000</v>
      </c>
      <c r="AG6883" s="11"/>
    </row>
    <row r="6884">
      <c r="A6884" s="7" t="s">
        <v>8447</v>
      </c>
      <c r="B6884" s="5" t="s">
        <v>16382</v>
      </c>
      <c r="C6884" s="5" t="s">
        <v>24010</v>
      </c>
      <c r="D6884" s="5" t="str">
        <v>505203320680</v>
      </c>
      <c r="F6884" s="5"/>
      <c r="G6884" s="5"/>
      <c r="H6884" s="26">
        <v>4.5</v>
      </c>
      <c r="I6884" s="5" t="s">
        <v>45373</v>
      </c>
      <c r="J6884" s="5" t="s">
        <v>26125</v>
      </c>
      <c r="K6884" s="5" t="s">
        <v>344</v>
      </c>
      <c r="L6884" s="5"/>
      <c r="M6884" s="27">
        <v>3810125</v>
      </c>
      <c r="N6884" s="5"/>
      <c r="O6884" s="5" t="str">
        <v>9701123141</v>
      </c>
      <c r="P6884" s="27">
        <v>20000</v>
      </c>
      <c r="Q6884" s="5" t="s">
        <v>49009</v>
      </c>
      <c r="R6884" s="5"/>
      <c r="S6884" s="5" t="s">
        <v>49010</v>
      </c>
      <c r="T6884" s="28">
        <v>45609000</v>
      </c>
      <c r="U6884" s="28"/>
      <c r="V6884" s="28">
        <v>163421000</v>
      </c>
      <c r="W6884" s="28">
        <v>26850000</v>
      </c>
      <c r="X6884" s="28">
        <v>12955000</v>
      </c>
      <c r="Y6884" s="28">
        <v>306414000</v>
      </c>
      <c r="Z6884" s="28">
        <v>40140000</v>
      </c>
      <c r="AA6884" s="28"/>
      <c r="AB6884" s="28">
        <v>100349000</v>
      </c>
      <c r="AC6884" s="28">
        <v>215114000</v>
      </c>
      <c r="AD6884" s="28">
        <v>40160000</v>
      </c>
      <c r="AE6884" s="28">
        <v>3163339000</v>
      </c>
      <c r="AF6884" s="28">
        <v>22433000</v>
      </c>
      <c r="AG6884" s="11"/>
    </row>
    <row r="6885">
      <c r="A6885" s="7" t="s">
        <v>8448</v>
      </c>
      <c r="B6885" s="5" t="s">
        <v>16383</v>
      </c>
      <c r="C6885" s="5" t="s">
        <v>24011</v>
      </c>
      <c r="D6885" s="5" t="str">
        <v>253700151625</v>
      </c>
      <c r="E6885" s="0" t="e">
        <f>+7 (4232) 300540
+7 (914) 6506280
+7 (914) 6900351
+7 (919) 8206337
+7 (4232) 284154
+7 (4232) 517165
+7 (4232) 646621
+7 (984) 1900399</f>
        <v>#NAME?</v>
      </c>
      <c r="F6885" s="5" t="s">
        <v>45374</v>
      </c>
      <c r="G6885" s="5" t="s">
        <v>45375</v>
      </c>
      <c r="H6885" s="26">
        <v>17</v>
      </c>
      <c r="I6885" s="5" t="s">
        <v>45376</v>
      </c>
      <c r="J6885" s="5" t="s">
        <v>30218</v>
      </c>
      <c r="K6885" s="5" t="s">
        <v>344</v>
      </c>
      <c r="L6885" s="5" t="s">
        <v>45377</v>
      </c>
      <c r="M6885" s="27"/>
      <c r="N6885" s="5" t="s">
        <v>59611</v>
      </c>
      <c r="O6885" s="5" t="str">
        <v>2537076946</v>
      </c>
      <c r="P6885" s="27">
        <v>800000</v>
      </c>
      <c r="Q6885" s="5" t="s">
        <v>59612</v>
      </c>
      <c r="R6885" s="5"/>
      <c r="S6885" s="5" t="s">
        <v>49991</v>
      </c>
      <c r="T6885" s="28">
        <v>8217000</v>
      </c>
      <c r="U6885" s="28"/>
      <c r="V6885" s="28">
        <v>283323000</v>
      </c>
      <c r="W6885" s="28">
        <v>227169000</v>
      </c>
      <c r="X6885" s="28">
        <v>11964000</v>
      </c>
      <c r="Y6885" s="28">
        <v>963880000</v>
      </c>
      <c r="Z6885" s="28">
        <v>297630000</v>
      </c>
      <c r="AA6885" s="28">
        <v>400650000</v>
      </c>
      <c r="AB6885" s="28">
        <v>2521000</v>
      </c>
      <c r="AC6885" s="28">
        <v>260649000</v>
      </c>
      <c r="AD6885" s="28">
        <v>298430000</v>
      </c>
      <c r="AE6885" s="28">
        <v>4788484000</v>
      </c>
      <c r="AF6885" s="28">
        <v>81161000</v>
      </c>
      <c r="AG6885" s="11"/>
    </row>
    <row r="6886">
      <c r="A6886" s="7" t="s">
        <v>8449</v>
      </c>
      <c r="B6886" s="5" t="s">
        <v>16384</v>
      </c>
      <c r="C6886" s="5" t="s">
        <v>24012</v>
      </c>
      <c r="D6886" s="5" t="str">
        <v>183508824303</v>
      </c>
      <c r="E6886" s="0" t="e">
        <f>+7 (912) 7614207
+7 (3412) 637606
+7 (3412) 680183
+7 (3412) 681155
+7 (3412) 681366
+7 (3412) 684747
+7 (34147) 42227
+7 (912) 8584500</f>
        <v>#NAME?</v>
      </c>
      <c r="F6886" s="5" t="s">
        <v>45378</v>
      </c>
      <c r="G6886" s="5" t="s">
        <v>45379</v>
      </c>
      <c r="H6886" s="26">
        <v>15.5</v>
      </c>
      <c r="I6886" s="5" t="s">
        <v>45380</v>
      </c>
      <c r="J6886" s="5" t="s">
        <v>25881</v>
      </c>
      <c r="K6886" s="5" t="s">
        <v>355</v>
      </c>
      <c r="L6886" s="5" t="s">
        <v>45381</v>
      </c>
      <c r="M6886" s="27"/>
      <c r="N6886" s="5"/>
      <c r="O6886" s="5" t="str">
        <v>1835081820</v>
      </c>
      <c r="P6886" s="27">
        <v>10000000</v>
      </c>
      <c r="Q6886" s="5"/>
      <c r="R6886" s="5"/>
      <c r="S6886" s="5" t="s">
        <v>50936</v>
      </c>
      <c r="T6886" s="28">
        <v>25000</v>
      </c>
      <c r="U6886" s="28">
        <v>150804000</v>
      </c>
      <c r="V6886" s="28">
        <v>2597069000</v>
      </c>
      <c r="W6886" s="28">
        <v>9730000</v>
      </c>
      <c r="X6886" s="28">
        <v>19076000</v>
      </c>
      <c r="Y6886" s="28">
        <v>2804515000</v>
      </c>
      <c r="Z6886" s="28">
        <v>51369000</v>
      </c>
      <c r="AA6886" s="28"/>
      <c r="AB6886" s="28">
        <v>106128000</v>
      </c>
      <c r="AC6886" s="28">
        <v>2742693000</v>
      </c>
      <c r="AD6886" s="28">
        <v>61822000</v>
      </c>
      <c r="AE6886" s="28">
        <v>3098730000</v>
      </c>
      <c r="AF6886" s="28">
        <v>9331000</v>
      </c>
      <c r="AG6886" s="11"/>
    </row>
    <row r="6887">
      <c r="A6887" s="7" t="s">
        <v>8450</v>
      </c>
      <c r="B6887" s="5" t="s">
        <v>16385</v>
      </c>
      <c r="C6887" s="5" t="s">
        <v>24013</v>
      </c>
      <c r="D6887" s="5" t="str">
        <v>711608036375</v>
      </c>
      <c r="E6887" s="0" t="e">
        <f>+7 (950) 9209895
+7 (48762) 34649
+7 (48762) 61396
+7 (48762) 63420
+7 (919) 811183
+7 (950) 9090852</f>
        <v>#NAME?</v>
      </c>
      <c r="F6887" s="5" t="s">
        <v>45382</v>
      </c>
      <c r="G6887" s="5" t="s">
        <v>45383</v>
      </c>
      <c r="H6887" s="26">
        <v>16</v>
      </c>
      <c r="I6887" s="5" t="s">
        <v>45384</v>
      </c>
      <c r="J6887" s="5" t="s">
        <v>678</v>
      </c>
      <c r="K6887" s="5" t="s">
        <v>344</v>
      </c>
      <c r="L6887" s="5" t="s">
        <v>45385</v>
      </c>
      <c r="M6887" s="27"/>
      <c r="N6887" s="5" t="s">
        <v>59613</v>
      </c>
      <c r="O6887" s="5" t="str">
        <v>7116132961</v>
      </c>
      <c r="P6887" s="27">
        <v>30000</v>
      </c>
      <c r="Q6887" s="5" t="s">
        <v>59614</v>
      </c>
      <c r="R6887" s="5"/>
      <c r="S6887" s="5" t="s">
        <v>52318</v>
      </c>
      <c r="T6887" s="28">
        <v>1179000</v>
      </c>
      <c r="U6887" s="28"/>
      <c r="V6887" s="28">
        <v>147964000</v>
      </c>
      <c r="W6887" s="28">
        <v>177334000</v>
      </c>
      <c r="X6887" s="28">
        <v>58540000</v>
      </c>
      <c r="Y6887" s="28">
        <v>392133000</v>
      </c>
      <c r="Z6887" s="28">
        <v>214338000</v>
      </c>
      <c r="AA6887" s="28"/>
      <c r="AB6887" s="28"/>
      <c r="AC6887" s="28">
        <v>177765000</v>
      </c>
      <c r="AD6887" s="28">
        <v>214368000</v>
      </c>
      <c r="AE6887" s="28">
        <v>3275613000</v>
      </c>
      <c r="AF6887" s="28">
        <v>44829000</v>
      </c>
      <c r="AG6887" s="11"/>
    </row>
    <row r="6888">
      <c r="A6888" s="7" t="s">
        <v>8451</v>
      </c>
      <c r="B6888" s="5" t="s">
        <v>16386</v>
      </c>
      <c r="C6888" s="5" t="s">
        <v>24014</v>
      </c>
      <c r="D6888" s="5" t="str">
        <v>772634698657</v>
      </c>
      <c r="F6888" s="5"/>
      <c r="G6888" s="5"/>
      <c r="H6888" s="26">
        <v>6</v>
      </c>
      <c r="I6888" s="5" t="s">
        <v>45386</v>
      </c>
      <c r="J6888" s="5" t="s">
        <v>27522</v>
      </c>
      <c r="K6888" s="5" t="s">
        <v>344</v>
      </c>
      <c r="L6888" s="5" t="s">
        <v>26011</v>
      </c>
      <c r="M6888" s="27"/>
      <c r="N6888" s="5"/>
      <c r="O6888" s="5" t="str">
        <v>7727308640</v>
      </c>
      <c r="P6888" s="27">
        <v>10000</v>
      </c>
      <c r="Q6888" s="5" t="s">
        <v>49009</v>
      </c>
      <c r="R6888" s="5"/>
      <c r="S6888" s="5" t="s">
        <v>49010</v>
      </c>
      <c r="T6888" s="28"/>
      <c r="U6888" s="28"/>
      <c r="V6888" s="28">
        <v>698466000</v>
      </c>
      <c r="W6888" s="28">
        <v>58000000</v>
      </c>
      <c r="X6888" s="28">
        <v>29760000</v>
      </c>
      <c r="Y6888" s="28">
        <v>1110981000</v>
      </c>
      <c r="Z6888" s="28">
        <v>7851000</v>
      </c>
      <c r="AA6888" s="28">
        <v>125908000</v>
      </c>
      <c r="AB6888" s="28">
        <v>91368000</v>
      </c>
      <c r="AC6888" s="28">
        <v>977213000</v>
      </c>
      <c r="AD6888" s="28">
        <v>7861000</v>
      </c>
      <c r="AE6888" s="28">
        <v>4659308000</v>
      </c>
      <c r="AF6888" s="28">
        <v>4504000</v>
      </c>
      <c r="AG6888" s="11"/>
    </row>
    <row r="6889">
      <c r="A6889" s="7" t="s">
        <v>8452</v>
      </c>
      <c r="B6889" s="5" t="s">
        <v>16387</v>
      </c>
      <c r="C6889" s="5" t="s">
        <v>24015</v>
      </c>
      <c r="D6889" s="5" t="str">
        <v>780154383184</v>
      </c>
      <c r="E6889" s="0" t="e">
        <f>+7 (812) 7034530
+7 (812) 7573322
+7 (906) 2778351
+7 (812) 4350710
+7 (812) 4924880
+7 (812) 7034540
+7 (812) 7141701
+7 (812) 9224003
+7 (812) 9822276</f>
        <v>#NAME?</v>
      </c>
      <c r="F6889" s="5" t="s">
        <v>45387</v>
      </c>
      <c r="G6889" s="5" t="s">
        <v>45388</v>
      </c>
      <c r="H6889" s="26">
        <v>30.5</v>
      </c>
      <c r="I6889" s="5"/>
      <c r="J6889" s="5" t="s">
        <v>25429</v>
      </c>
      <c r="K6889" s="5" t="s">
        <v>344</v>
      </c>
      <c r="L6889" s="5" t="s">
        <v>45389</v>
      </c>
      <c r="M6889" s="27"/>
      <c r="N6889" s="5" t="s">
        <v>59615</v>
      </c>
      <c r="O6889" s="5" t="str">
        <v>7814010561</v>
      </c>
      <c r="P6889" s="27">
        <v>5400</v>
      </c>
      <c r="Q6889" s="5" t="s">
        <v>49059</v>
      </c>
      <c r="R6889" s="5"/>
      <c r="S6889" s="5" t="s">
        <v>49045</v>
      </c>
      <c r="T6889" s="28">
        <v>312975000</v>
      </c>
      <c r="U6889" s="28"/>
      <c r="V6889" s="28">
        <v>1602572000</v>
      </c>
      <c r="W6889" s="28">
        <v>87000</v>
      </c>
      <c r="X6889" s="28">
        <v>13536000</v>
      </c>
      <c r="Y6889" s="28">
        <v>3003808000</v>
      </c>
      <c r="Z6889" s="28">
        <v>421210000</v>
      </c>
      <c r="AA6889" s="28">
        <v>551068000</v>
      </c>
      <c r="AB6889" s="28"/>
      <c r="AC6889" s="28">
        <v>2025821000</v>
      </c>
      <c r="AD6889" s="28">
        <v>421285000</v>
      </c>
      <c r="AE6889" s="28">
        <v>6761724000</v>
      </c>
      <c r="AF6889" s="28">
        <v>59493000</v>
      </c>
      <c r="AG6889" s="11"/>
    </row>
    <row r="6890">
      <c r="A6890" s="7" t="s">
        <v>8453</v>
      </c>
      <c r="B6890" s="5" t="s">
        <v>16388</v>
      </c>
      <c r="C6890" s="5" t="s">
        <v>24016</v>
      </c>
      <c r="D6890" s="5" t="str">
        <v>615403495728</v>
      </c>
      <c r="E6890" s="0" t="e">
        <f>+7 (863) 2950455
+7 (863) 3090595
+7 (863) 3091029
+7 (8632) 950160
+7 (8632) 950422
+7 (918) 5820601</f>
        <v>#NAME?</v>
      </c>
      <c r="F6890" s="5" t="s">
        <v>45390</v>
      </c>
      <c r="G6890" s="5"/>
      <c r="H6890" s="26">
        <v>13</v>
      </c>
      <c r="I6890" s="5" t="s">
        <v>44338</v>
      </c>
      <c r="J6890" s="5" t="s">
        <v>25805</v>
      </c>
      <c r="K6890" s="5" t="s">
        <v>344</v>
      </c>
      <c r="L6890" s="5" t="s">
        <v>45391</v>
      </c>
      <c r="M6890" s="27"/>
      <c r="N6890" s="5"/>
      <c r="O6890" s="5" t="str">
        <v>6163101430</v>
      </c>
      <c r="P6890" s="27">
        <v>10000</v>
      </c>
      <c r="Q6890" s="5" t="s">
        <v>49009</v>
      </c>
      <c r="R6890" s="5"/>
      <c r="S6890" s="5" t="s">
        <v>51145</v>
      </c>
      <c r="T6890" s="28">
        <v>9132000</v>
      </c>
      <c r="U6890" s="28">
        <v>99000</v>
      </c>
      <c r="V6890" s="28">
        <v>17285610000</v>
      </c>
      <c r="W6890" s="28">
        <v>3402792000</v>
      </c>
      <c r="X6890" s="28">
        <v>333561000</v>
      </c>
      <c r="Y6890" s="28">
        <v>22564306000</v>
      </c>
      <c r="Z6890" s="28">
        <v>2591015000</v>
      </c>
      <c r="AA6890" s="28">
        <v>11169730000</v>
      </c>
      <c r="AB6890" s="28">
        <v>88961000</v>
      </c>
      <c r="AC6890" s="28">
        <v>5880513000</v>
      </c>
      <c r="AD6890" s="28">
        <v>2599246000</v>
      </c>
      <c r="AE6890" s="28">
        <v>42993074000</v>
      </c>
      <c r="AF6890" s="28">
        <v>1492046000</v>
      </c>
      <c r="AG6890" s="11"/>
    </row>
    <row r="6891">
      <c r="A6891" s="7" t="s">
        <v>8454</v>
      </c>
      <c r="B6891" s="5" t="s">
        <v>16389</v>
      </c>
      <c r="C6891" s="5" t="s">
        <v>24017</v>
      </c>
      <c r="D6891" s="5" t="str">
        <v>502500139350</v>
      </c>
      <c r="E6891" s="0" t="e">
        <f>+7 (495) 6414007
+7 (495) 9700022
+7 (495) 9957545
+7 (903) 2560286
+7 (905) 7343018
+7 (964) 7168844</f>
        <v>#NAME?</v>
      </c>
      <c r="F6891" s="5" t="s">
        <v>45392</v>
      </c>
      <c r="G6891" s="5" t="s">
        <v>45393</v>
      </c>
      <c r="H6891" s="26">
        <v>8.5</v>
      </c>
      <c r="I6891" s="5" t="s">
        <v>45394</v>
      </c>
      <c r="J6891" s="5" t="s">
        <v>693</v>
      </c>
      <c r="K6891" s="5" t="s">
        <v>344</v>
      </c>
      <c r="L6891" s="5" t="s">
        <v>45395</v>
      </c>
      <c r="M6891" s="27"/>
      <c r="N6891" s="5"/>
      <c r="O6891" s="5" t="str">
        <v>5003110586</v>
      </c>
      <c r="P6891" s="27">
        <v>1000000</v>
      </c>
      <c r="Q6891" s="5"/>
      <c r="R6891" s="5"/>
      <c r="S6891" s="5" t="s">
        <v>49121</v>
      </c>
      <c r="T6891" s="28">
        <v>59520000</v>
      </c>
      <c r="U6891" s="28">
        <v>24399000</v>
      </c>
      <c r="V6891" s="28">
        <v>1074360000</v>
      </c>
      <c r="W6891" s="28">
        <v>319400000</v>
      </c>
      <c r="X6891" s="28">
        <v>45563000</v>
      </c>
      <c r="Y6891" s="28">
        <v>2207630000</v>
      </c>
      <c r="Z6891" s="28">
        <v>290704000</v>
      </c>
      <c r="AA6891" s="28">
        <v>399964000</v>
      </c>
      <c r="AB6891" s="28">
        <v>101000</v>
      </c>
      <c r="AC6891" s="28">
        <v>823284000</v>
      </c>
      <c r="AD6891" s="28">
        <v>949741000</v>
      </c>
      <c r="AE6891" s="28">
        <v>14031927000</v>
      </c>
      <c r="AF6891" s="28">
        <v>143101000</v>
      </c>
      <c r="AG6891" s="11"/>
    </row>
    <row r="6892">
      <c r="A6892" s="7" t="s">
        <v>8455</v>
      </c>
      <c r="B6892" s="5" t="s">
        <v>16390</v>
      </c>
      <c r="C6892" s="5" t="s">
        <v>24018</v>
      </c>
      <c r="D6892" s="5" t="str">
        <v>782607197665</v>
      </c>
      <c r="E6892" s="0" t="e">
        <f>+7 (812) 3216060</f>
        <v>#NAME?</v>
      </c>
      <c r="F6892" s="5" t="s">
        <v>45396</v>
      </c>
      <c r="G6892" s="5" t="s">
        <v>45397</v>
      </c>
      <c r="H6892" s="26">
        <v>25</v>
      </c>
      <c r="I6892" s="5"/>
      <c r="J6892" s="5" t="s">
        <v>25332</v>
      </c>
      <c r="K6892" s="5" t="s">
        <v>344</v>
      </c>
      <c r="L6892" s="5" t="s">
        <v>45398</v>
      </c>
      <c r="M6892" s="27"/>
      <c r="N6892" s="5"/>
      <c r="O6892" s="5" t="str">
        <v>7825400757</v>
      </c>
      <c r="P6892" s="27">
        <v>10004000</v>
      </c>
      <c r="Q6892" s="5" t="s">
        <v>49207</v>
      </c>
      <c r="R6892" s="5" t="s">
        <v>59616</v>
      </c>
      <c r="S6892" s="5" t="s">
        <v>50032</v>
      </c>
      <c r="T6892" s="28">
        <v>7042000</v>
      </c>
      <c r="U6892" s="28"/>
      <c r="V6892" s="28">
        <v>1510534000</v>
      </c>
      <c r="W6892" s="28"/>
      <c r="X6892" s="28">
        <v>4486000</v>
      </c>
      <c r="Y6892" s="28">
        <v>2876443000</v>
      </c>
      <c r="Z6892" s="28">
        <v>173375000</v>
      </c>
      <c r="AA6892" s="28"/>
      <c r="AB6892" s="28">
        <v>20192000</v>
      </c>
      <c r="AC6892" s="28">
        <v>2692563000</v>
      </c>
      <c r="AD6892" s="28">
        <v>183880000</v>
      </c>
      <c r="AE6892" s="28">
        <v>9131183000</v>
      </c>
      <c r="AF6892" s="28">
        <v>39489000</v>
      </c>
      <c r="AG6892" s="11"/>
    </row>
    <row r="6893">
      <c r="A6893" s="7" t="s">
        <v>8456</v>
      </c>
      <c r="B6893" s="5" t="s">
        <v>16391</v>
      </c>
      <c r="C6893" s="5" t="s">
        <v>24019</v>
      </c>
      <c r="D6893" s="5" t="str">
        <v>770379404704</v>
      </c>
      <c r="E6893" s="0" t="e">
        <f>+7 (495) 6496538
+7 (495) 6496546
+7 (495) 6496537
+7 (495) 6496571
+7 (495) 6496578
+7 (812) 6482937
+7 (812) 6482947
+7 (910) 4864233
+7 (916) 2784808
+7 (916) 2857102
+7 (916) 7472095
+7 (921) 5658160
+7 (926) 606303
+7 (931) 3108636
+7 (968) 6151100</f>
        <v>#NAME?</v>
      </c>
      <c r="F6893" s="5" t="s">
        <v>45399</v>
      </c>
      <c r="G6893" s="5" t="s">
        <v>45400</v>
      </c>
      <c r="H6893" s="26">
        <v>15.5</v>
      </c>
      <c r="I6893" s="5" t="s">
        <v>45401</v>
      </c>
      <c r="J6893" s="5" t="s">
        <v>1073</v>
      </c>
      <c r="K6893" s="5" t="s">
        <v>344</v>
      </c>
      <c r="L6893" s="5"/>
      <c r="M6893" s="27">
        <v>11537700</v>
      </c>
      <c r="N6893" s="5"/>
      <c r="O6893" s="5" t="str">
        <v>7714713602</v>
      </c>
      <c r="P6893" s="27">
        <v>290010000</v>
      </c>
      <c r="Q6893" s="5" t="s">
        <v>59617</v>
      </c>
      <c r="R6893" s="5" t="s">
        <v>59618</v>
      </c>
      <c r="S6893" s="5" t="s">
        <v>59619</v>
      </c>
      <c r="T6893" s="28">
        <v>40706000</v>
      </c>
      <c r="U6893" s="28">
        <v>3000</v>
      </c>
      <c r="V6893" s="28">
        <v>5389011000</v>
      </c>
      <c r="W6893" s="28"/>
      <c r="X6893" s="28">
        <v>75910000</v>
      </c>
      <c r="Y6893" s="28">
        <v>8881951000</v>
      </c>
      <c r="Z6893" s="28">
        <v>534055000</v>
      </c>
      <c r="AA6893" s="28"/>
      <c r="AB6893" s="28"/>
      <c r="AC6893" s="28">
        <v>7064911000</v>
      </c>
      <c r="AD6893" s="28">
        <v>824065000</v>
      </c>
      <c r="AE6893" s="28">
        <v>34501977000</v>
      </c>
      <c r="AF6893" s="28">
        <v>500376000</v>
      </c>
      <c r="AG6893" s="11"/>
    </row>
    <row r="6894">
      <c r="A6894" s="7" t="s">
        <v>8456</v>
      </c>
      <c r="B6894" s="5" t="s">
        <v>16392</v>
      </c>
      <c r="C6894" s="5" t="s">
        <v>24020</v>
      </c>
      <c r="D6894" s="5" t="str">
        <v>784233116485</v>
      </c>
      <c r="E6894" s="0" t="e">
        <f>+7 (481) 2415548
+7 (812) 3349940
+7 (812) 4585140</f>
        <v>#NAME?</v>
      </c>
      <c r="F6894" s="5" t="s">
        <v>45402</v>
      </c>
      <c r="G6894" s="5" t="s">
        <v>45403</v>
      </c>
      <c r="H6894" s="26">
        <v>19</v>
      </c>
      <c r="I6894" s="5" t="s">
        <v>45404</v>
      </c>
      <c r="J6894" s="5" t="s">
        <v>955</v>
      </c>
      <c r="K6894" s="5" t="s">
        <v>344</v>
      </c>
      <c r="L6894" s="5"/>
      <c r="M6894" s="27"/>
      <c r="N6894" s="5"/>
      <c r="O6894" s="5" t="str">
        <v>6101034448</v>
      </c>
      <c r="P6894" s="27">
        <v>270000000</v>
      </c>
      <c r="Q6894" s="5" t="s">
        <v>49009</v>
      </c>
      <c r="R6894" s="5"/>
      <c r="S6894" s="5" t="s">
        <v>49010</v>
      </c>
      <c r="T6894" s="28">
        <v>411245000</v>
      </c>
      <c r="U6894" s="28"/>
      <c r="V6894" s="28">
        <v>3221520000</v>
      </c>
      <c r="W6894" s="28"/>
      <c r="X6894" s="28">
        <v>314844000</v>
      </c>
      <c r="Y6894" s="28">
        <v>4320300000</v>
      </c>
      <c r="Z6894" s="28">
        <v>2733369000</v>
      </c>
      <c r="AA6894" s="28"/>
      <c r="AB6894" s="28"/>
      <c r="AC6894" s="28">
        <v>935894000</v>
      </c>
      <c r="AD6894" s="28">
        <v>3192590000</v>
      </c>
      <c r="AE6894" s="28">
        <v>9486850000</v>
      </c>
      <c r="AF6894" s="28">
        <v>557868000</v>
      </c>
      <c r="AG6894" s="11"/>
    </row>
    <row r="6895">
      <c r="A6895" s="7" t="s">
        <v>8457</v>
      </c>
      <c r="B6895" s="5" t="s">
        <v>16393</v>
      </c>
      <c r="C6895" s="5" t="s">
        <v>24021</v>
      </c>
      <c r="D6895" s="5" t="str">
        <v>772445741667</v>
      </c>
      <c r="E6895" s="0" t="e">
        <f>+7 (35191) 16832
+7 (385) 2236585
+7 (385) 2569908
+7 (390) 2215041
+7 (391) 2906431
+7 (495) 2309090
+7 (495) 5509897
+7 (499) 4505232
+7 (800) 5009897
+7 (800) 5509798
+7 (800) 5509800
+7 (800) 5509857
+7 (800) 5509887
+7 (800) 5509893
+7 (48438) 43817</f>
        <v>#NAME?</v>
      </c>
      <c r="F6895" s="5" t="s">
        <v>45405</v>
      </c>
      <c r="G6895" s="5" t="s">
        <v>45406</v>
      </c>
      <c r="H6895" s="26">
        <v>11.5</v>
      </c>
      <c r="I6895" s="5" t="s">
        <v>45407</v>
      </c>
      <c r="J6895" s="5" t="s">
        <v>25429</v>
      </c>
      <c r="K6895" s="5" t="s">
        <v>344</v>
      </c>
      <c r="L6895" s="5" t="s">
        <v>45408</v>
      </c>
      <c r="M6895" s="27"/>
      <c r="N6895" s="5" t="s">
        <v>59620</v>
      </c>
      <c r="O6895" s="5" t="str">
        <v>4003032047</v>
      </c>
      <c r="P6895" s="27">
        <v>10010000</v>
      </c>
      <c r="Q6895" s="5" t="s">
        <v>59621</v>
      </c>
      <c r="R6895" s="5"/>
      <c r="S6895" s="5" t="s">
        <v>59622</v>
      </c>
      <c r="T6895" s="28">
        <v>74437000</v>
      </c>
      <c r="U6895" s="28">
        <v>26679000</v>
      </c>
      <c r="V6895" s="28">
        <v>992677000</v>
      </c>
      <c r="W6895" s="28"/>
      <c r="X6895" s="28">
        <v>33063000</v>
      </c>
      <c r="Y6895" s="28">
        <v>1750199000</v>
      </c>
      <c r="Z6895" s="28">
        <v>244279000</v>
      </c>
      <c r="AA6895" s="28">
        <v>284959000</v>
      </c>
      <c r="AB6895" s="28">
        <v>378000</v>
      </c>
      <c r="AC6895" s="28">
        <v>1123629000</v>
      </c>
      <c r="AD6895" s="28">
        <v>254289000</v>
      </c>
      <c r="AE6895" s="28">
        <v>4254333000</v>
      </c>
      <c r="AF6895" s="28">
        <v>80495000</v>
      </c>
      <c r="AG6895" s="11"/>
    </row>
    <row r="6896">
      <c r="A6896" s="7" t="s">
        <v>8458</v>
      </c>
      <c r="B6896" s="5" t="s">
        <v>16394</v>
      </c>
      <c r="C6896" s="5" t="s">
        <v>24022</v>
      </c>
      <c r="D6896" s="5" t="str">
        <v>673002092050</v>
      </c>
      <c r="E6896" s="0" t="e">
        <f>+7 (910) 7876001
+7 (481) 2200600
+7 (481) 2200630</f>
        <v>#NAME?</v>
      </c>
      <c r="F6896" s="5" t="s">
        <v>45409</v>
      </c>
      <c r="G6896" s="5"/>
      <c r="H6896" s="26">
        <v>17</v>
      </c>
      <c r="I6896" s="5" t="s">
        <v>45410</v>
      </c>
      <c r="J6896" s="5" t="s">
        <v>678</v>
      </c>
      <c r="K6896" s="5" t="s">
        <v>344</v>
      </c>
      <c r="L6896" s="5" t="s">
        <v>45411</v>
      </c>
      <c r="M6896" s="27">
        <v>270451</v>
      </c>
      <c r="N6896" s="5"/>
      <c r="O6896" s="5" t="str">
        <v>7722566077</v>
      </c>
      <c r="P6896" s="27">
        <v>2749726</v>
      </c>
      <c r="Q6896" s="5" t="s">
        <v>49059</v>
      </c>
      <c r="R6896" s="5"/>
      <c r="S6896" s="5" t="s">
        <v>49160</v>
      </c>
      <c r="T6896" s="28">
        <v>11349000</v>
      </c>
      <c r="U6896" s="28"/>
      <c r="V6896" s="28">
        <v>1509342000</v>
      </c>
      <c r="W6896" s="28">
        <v>76528000</v>
      </c>
      <c r="X6896" s="28">
        <v>1180790000</v>
      </c>
      <c r="Y6896" s="28">
        <v>2846979000</v>
      </c>
      <c r="Z6896" s="28">
        <v>601142000</v>
      </c>
      <c r="AA6896" s="28"/>
      <c r="AB6896" s="28"/>
      <c r="AC6896" s="28">
        <v>2243087000</v>
      </c>
      <c r="AD6896" s="28">
        <v>603892000</v>
      </c>
      <c r="AE6896" s="28">
        <v>7237943000</v>
      </c>
      <c r="AF6896" s="28">
        <v>640432000</v>
      </c>
      <c r="AG6896" s="11"/>
    </row>
    <row r="6897">
      <c r="A6897" s="7" t="s">
        <v>8459</v>
      </c>
      <c r="B6897" s="5" t="s">
        <v>16395</v>
      </c>
      <c r="C6897" s="5" t="s">
        <v>24023</v>
      </c>
      <c r="D6897" s="5" t="str">
        <v>525700205337</v>
      </c>
      <c r="E6897" s="0" t="e">
        <f>+7 (831) 4639685
+7 (831) 2817000
+7 (831) 2820730</f>
        <v>#NAME?</v>
      </c>
      <c r="F6897" s="5" t="s">
        <v>45412</v>
      </c>
      <c r="G6897" s="5" t="s">
        <v>45413</v>
      </c>
      <c r="H6897" s="26">
        <v>15.5</v>
      </c>
      <c r="I6897" s="5" t="s">
        <v>45414</v>
      </c>
      <c r="J6897" s="5" t="s">
        <v>26511</v>
      </c>
      <c r="K6897" s="5" t="s">
        <v>344</v>
      </c>
      <c r="L6897" s="5" t="s">
        <v>45415</v>
      </c>
      <c r="M6897" s="27"/>
      <c r="N6897" s="5" t="s">
        <v>59623</v>
      </c>
      <c r="O6897" s="5" t="str">
        <v>5261056600</v>
      </c>
      <c r="P6897" s="27">
        <v>500000</v>
      </c>
      <c r="Q6897" s="5" t="s">
        <v>49009</v>
      </c>
      <c r="R6897" s="5"/>
      <c r="S6897" s="5" t="s">
        <v>49487</v>
      </c>
      <c r="T6897" s="28">
        <v>319000</v>
      </c>
      <c r="U6897" s="28"/>
      <c r="V6897" s="28">
        <v>542432000</v>
      </c>
      <c r="W6897" s="28"/>
      <c r="X6897" s="28">
        <v>7531000</v>
      </c>
      <c r="Y6897" s="28">
        <v>1241485000</v>
      </c>
      <c r="Z6897" s="28">
        <v>163616000</v>
      </c>
      <c r="AA6897" s="28"/>
      <c r="AB6897" s="28">
        <v>751020000</v>
      </c>
      <c r="AC6897" s="28">
        <v>1077369000</v>
      </c>
      <c r="AD6897" s="28">
        <v>164116000</v>
      </c>
      <c r="AE6897" s="28">
        <v>5000667000</v>
      </c>
      <c r="AF6897" s="28">
        <v>55391000</v>
      </c>
      <c r="AG6897" s="11"/>
    </row>
    <row r="6898">
      <c r="A6898" s="7" t="s">
        <v>8460</v>
      </c>
      <c r="B6898" s="5" t="s">
        <v>16396</v>
      </c>
      <c r="C6898" s="5" t="s">
        <v>24024</v>
      </c>
      <c r="D6898" s="5" t="str">
        <v>780712297802</v>
      </c>
      <c r="E6898" s="0" t="e">
        <f>+7 (812) 3315460
+7 (812) 5257200
+7 (911) 2304099</f>
        <v>#NAME?</v>
      </c>
      <c r="F6898" s="5"/>
      <c r="G6898" s="5"/>
      <c r="H6898" s="26">
        <v>12.5</v>
      </c>
      <c r="I6898" s="5" t="s">
        <v>45416</v>
      </c>
      <c r="J6898" s="5" t="s">
        <v>26511</v>
      </c>
      <c r="K6898" s="5" t="s">
        <v>355</v>
      </c>
      <c r="L6898" s="5" t="s">
        <v>45417</v>
      </c>
      <c r="M6898" s="27"/>
      <c r="N6898" s="5"/>
      <c r="O6898" s="5" t="str">
        <v>4703119470</v>
      </c>
      <c r="P6898" s="27">
        <v>10000</v>
      </c>
      <c r="Q6898" s="5" t="s">
        <v>346</v>
      </c>
      <c r="R6898" s="5"/>
      <c r="S6898" s="5" t="s">
        <v>59624</v>
      </c>
      <c r="T6898" s="28">
        <v>1323000</v>
      </c>
      <c r="U6898" s="28"/>
      <c r="V6898" s="28">
        <v>358101000</v>
      </c>
      <c r="W6898" s="28">
        <v>5000000</v>
      </c>
      <c r="X6898" s="28">
        <v>121222000</v>
      </c>
      <c r="Y6898" s="28">
        <v>938451000</v>
      </c>
      <c r="Z6898" s="28">
        <v>85109000</v>
      </c>
      <c r="AA6898" s="28"/>
      <c r="AB6898" s="28"/>
      <c r="AC6898" s="28">
        <v>853332000</v>
      </c>
      <c r="AD6898" s="28">
        <v>85119000</v>
      </c>
      <c r="AE6898" s="28">
        <v>5469077000</v>
      </c>
      <c r="AF6898" s="28">
        <v>6908000</v>
      </c>
      <c r="AG6898" s="11"/>
    </row>
    <row r="6899">
      <c r="A6899" s="7" t="s">
        <v>8461</v>
      </c>
      <c r="B6899" s="5" t="s">
        <v>16397</v>
      </c>
      <c r="C6899" s="5" t="s">
        <v>24025</v>
      </c>
      <c r="D6899" s="5" t="str">
        <v>504800009701</v>
      </c>
      <c r="E6899" s="0" t="e">
        <f>+7 (910) 4587809</f>
        <v>#NAME?</v>
      </c>
      <c r="F6899" s="5" t="s">
        <v>45418</v>
      </c>
      <c r="G6899" s="5" t="s">
        <v>45419</v>
      </c>
      <c r="H6899" s="26">
        <v>16</v>
      </c>
      <c r="I6899" s="5" t="s">
        <v>45420</v>
      </c>
      <c r="J6899" s="5" t="s">
        <v>45421</v>
      </c>
      <c r="K6899" s="5" t="s">
        <v>344</v>
      </c>
      <c r="L6899" s="5" t="s">
        <v>45422</v>
      </c>
      <c r="M6899" s="27"/>
      <c r="N6899" s="5"/>
      <c r="O6899" s="5" t="str">
        <v>7725589450</v>
      </c>
      <c r="P6899" s="27">
        <v>10000</v>
      </c>
      <c r="Q6899" s="5" t="s">
        <v>49059</v>
      </c>
      <c r="R6899" s="5"/>
      <c r="S6899" s="5" t="s">
        <v>49010</v>
      </c>
      <c r="T6899" s="28">
        <v>740000</v>
      </c>
      <c r="U6899" s="28"/>
      <c r="V6899" s="28">
        <v>777109000</v>
      </c>
      <c r="W6899" s="28"/>
      <c r="X6899" s="28">
        <v>8127000</v>
      </c>
      <c r="Y6899" s="28">
        <v>964759000</v>
      </c>
      <c r="Z6899" s="28">
        <v>164663000</v>
      </c>
      <c r="AA6899" s="28"/>
      <c r="AB6899" s="28"/>
      <c r="AC6899" s="28">
        <v>781693000</v>
      </c>
      <c r="AD6899" s="28">
        <v>164673000</v>
      </c>
      <c r="AE6899" s="28">
        <v>3018355000</v>
      </c>
      <c r="AF6899" s="28">
        <v>134976000</v>
      </c>
      <c r="AG6899" s="11"/>
    </row>
    <row r="6900">
      <c r="A6900" s="7" t="s">
        <v>8462</v>
      </c>
      <c r="B6900" s="5" t="s">
        <v>16398</v>
      </c>
      <c r="C6900" s="5" t="s">
        <v>24026</v>
      </c>
      <c r="D6900" s="5" t="str">
        <v>772028079583</v>
      </c>
      <c r="E6900" s="0" t="e">
        <f>+7 (38581) 33266
+7 (495) 7455010
+7 (495) 7455073
+7 (495) 7455080
+7 (499) 6734844
+7 (86149) 75004</f>
        <v>#NAME?</v>
      </c>
      <c r="F6900" s="5" t="s">
        <v>45423</v>
      </c>
      <c r="G6900" s="5" t="s">
        <v>45424</v>
      </c>
      <c r="H6900" s="26">
        <v>22.5</v>
      </c>
      <c r="I6900" s="5" t="s">
        <v>45425</v>
      </c>
      <c r="J6900" s="5" t="s">
        <v>27956</v>
      </c>
      <c r="K6900" s="5" t="s">
        <v>344</v>
      </c>
      <c r="L6900" s="5" t="s">
        <v>45426</v>
      </c>
      <c r="M6900" s="27">
        <v>506890</v>
      </c>
      <c r="N6900" s="5"/>
      <c r="O6900" s="5" t="str">
        <v>6714018269</v>
      </c>
      <c r="P6900" s="27">
        <v>6122449</v>
      </c>
      <c r="Q6900" s="5" t="s">
        <v>49009</v>
      </c>
      <c r="R6900" s="5"/>
      <c r="S6900" s="5" t="s">
        <v>49576</v>
      </c>
      <c r="T6900" s="28">
        <v>300569000</v>
      </c>
      <c r="U6900" s="28">
        <v>1117758000</v>
      </c>
      <c r="V6900" s="28">
        <v>7501247000</v>
      </c>
      <c r="W6900" s="28">
        <v>293015000</v>
      </c>
      <c r="X6900" s="28">
        <v>8043691000</v>
      </c>
      <c r="Y6900" s="28">
        <v>24607409000</v>
      </c>
      <c r="Z6900" s="28">
        <v>4323960000</v>
      </c>
      <c r="AA6900" s="28"/>
      <c r="AB6900" s="28">
        <v>8516000000</v>
      </c>
      <c r="AC6900" s="28">
        <v>19974871000</v>
      </c>
      <c r="AD6900" s="28">
        <v>4330082000</v>
      </c>
      <c r="AE6900" s="28">
        <v>36134996000</v>
      </c>
      <c r="AF6900" s="28">
        <v>600975000</v>
      </c>
      <c r="AG6900" s="11"/>
    </row>
    <row r="6901">
      <c r="A6901" s="7" t="s">
        <v>8463</v>
      </c>
      <c r="B6901" s="5" t="s">
        <v>16399</v>
      </c>
      <c r="C6901" s="5" t="s">
        <v>19719</v>
      </c>
      <c r="D6901" s="5" t="str">
        <v>366504147602</v>
      </c>
      <c r="E6901" s="0" t="e">
        <f>+7 (473) 2605030
+7 (473) 2610703</f>
        <v>#NAME?</v>
      </c>
      <c r="F6901" s="5" t="s">
        <v>45427</v>
      </c>
      <c r="G6901" s="5" t="s">
        <v>31958</v>
      </c>
      <c r="H6901" s="26">
        <v>8</v>
      </c>
      <c r="I6901" s="5" t="s">
        <v>45428</v>
      </c>
      <c r="J6901" s="5" t="s">
        <v>25253</v>
      </c>
      <c r="K6901" s="5" t="s">
        <v>344</v>
      </c>
      <c r="L6901" s="5" t="s">
        <v>43952</v>
      </c>
      <c r="M6901" s="27"/>
      <c r="N6901" s="5"/>
      <c r="O6901" s="5" t="str">
        <v>3628011666</v>
      </c>
      <c r="P6901" s="27">
        <v>10000</v>
      </c>
      <c r="Q6901" s="5" t="s">
        <v>49009</v>
      </c>
      <c r="R6901" s="5"/>
      <c r="S6901" s="5" t="s">
        <v>49045</v>
      </c>
      <c r="T6901" s="28">
        <v>245000</v>
      </c>
      <c r="U6901" s="28"/>
      <c r="V6901" s="28">
        <v>210738000</v>
      </c>
      <c r="W6901" s="28"/>
      <c r="X6901" s="28">
        <v>12818000</v>
      </c>
      <c r="Y6901" s="28">
        <v>253030000</v>
      </c>
      <c r="Z6901" s="28">
        <v>220296000</v>
      </c>
      <c r="AA6901" s="28"/>
      <c r="AB6901" s="28"/>
      <c r="AC6901" s="28">
        <v>32724000</v>
      </c>
      <c r="AD6901" s="28">
        <v>220306000</v>
      </c>
      <c r="AE6901" s="28">
        <v>5864027000</v>
      </c>
      <c r="AF6901" s="28">
        <v>96543000</v>
      </c>
      <c r="AG6901" s="11"/>
    </row>
    <row r="6902">
      <c r="A6902" s="7" t="s">
        <v>8464</v>
      </c>
      <c r="B6902" s="5" t="s">
        <v>16400</v>
      </c>
      <c r="C6902" s="5" t="s">
        <v>24027</v>
      </c>
      <c r="D6902" s="5" t="str">
        <v>164904311135</v>
      </c>
      <c r="E6902" s="0" t="e">
        <f>+7 (937) 5231643
+7 (8435) 185502
+7 (8435) 185572
+7 (8435) 188794
+7 (8435) 620541
+7 (8435) 620581</f>
        <v>#NAME?</v>
      </c>
      <c r="F6902" s="5" t="s">
        <v>45429</v>
      </c>
      <c r="G6902" s="5" t="s">
        <v>45430</v>
      </c>
      <c r="H6902" s="26">
        <v>11.5</v>
      </c>
      <c r="I6902" s="5" t="s">
        <v>45431</v>
      </c>
      <c r="J6902" s="5" t="s">
        <v>373</v>
      </c>
      <c r="K6902" s="5" t="s">
        <v>344</v>
      </c>
      <c r="L6902" s="5" t="s">
        <v>35624</v>
      </c>
      <c r="M6902" s="27"/>
      <c r="N6902" s="5" t="s">
        <v>59625</v>
      </c>
      <c r="O6902" s="5" t="str">
        <v>1612007967</v>
      </c>
      <c r="P6902" s="27">
        <v>15000</v>
      </c>
      <c r="Q6902" s="5" t="s">
        <v>49059</v>
      </c>
      <c r="R6902" s="5"/>
      <c r="S6902" s="5" t="s">
        <v>49110</v>
      </c>
      <c r="T6902" s="28">
        <v>20500000</v>
      </c>
      <c r="U6902" s="28">
        <v>141170000</v>
      </c>
      <c r="V6902" s="28">
        <v>387794000</v>
      </c>
      <c r="W6902" s="28">
        <v>1572000</v>
      </c>
      <c r="X6902" s="28">
        <v>201619000</v>
      </c>
      <c r="Y6902" s="28">
        <v>763948000</v>
      </c>
      <c r="Z6902" s="28">
        <v>170994000</v>
      </c>
      <c r="AA6902" s="28">
        <v>41940000</v>
      </c>
      <c r="AB6902" s="28">
        <v>4601000</v>
      </c>
      <c r="AC6902" s="28">
        <v>547028000</v>
      </c>
      <c r="AD6902" s="28">
        <v>171009000</v>
      </c>
      <c r="AE6902" s="28">
        <v>4892820000</v>
      </c>
      <c r="AF6902" s="28">
        <v>51384000</v>
      </c>
      <c r="AG6902" s="11"/>
    </row>
    <row r="6903">
      <c r="A6903" s="7" t="s">
        <v>8465</v>
      </c>
      <c r="B6903" s="5" t="s">
        <v>16401</v>
      </c>
      <c r="C6903" s="5" t="s">
        <v>17814</v>
      </c>
      <c r="D6903" s="5"/>
      <c r="E6903" s="0" t="e">
        <f>+7 (495) 6628888
+7 (499) 4811039
+7 (499) 4811563</f>
        <v>#NAME?</v>
      </c>
      <c r="F6903" s="5"/>
      <c r="G6903" s="5"/>
      <c r="H6903" s="26">
        <v>25</v>
      </c>
      <c r="I6903" s="5" t="s">
        <v>45432</v>
      </c>
      <c r="J6903" s="5" t="s">
        <v>26367</v>
      </c>
      <c r="K6903" s="5" t="s">
        <v>344</v>
      </c>
      <c r="L6903" s="5" t="s">
        <v>45433</v>
      </c>
      <c r="M6903" s="27">
        <v>57209</v>
      </c>
      <c r="N6903" s="5"/>
      <c r="O6903" s="5" t="str">
        <v>7729361329</v>
      </c>
      <c r="P6903" s="27">
        <v>11771500</v>
      </c>
      <c r="Q6903" s="5"/>
      <c r="R6903" s="5"/>
      <c r="S6903" s="5" t="s">
        <v>49029</v>
      </c>
      <c r="T6903" s="28">
        <v>1924699000</v>
      </c>
      <c r="U6903" s="28">
        <v>99306000</v>
      </c>
      <c r="V6903" s="28">
        <v>3082752000</v>
      </c>
      <c r="W6903" s="28"/>
      <c r="X6903" s="28">
        <v>15066000</v>
      </c>
      <c r="Y6903" s="28">
        <v>12368669000</v>
      </c>
      <c r="Z6903" s="28">
        <v>3140499000</v>
      </c>
      <c r="AA6903" s="28">
        <v>4651831000</v>
      </c>
      <c r="AB6903" s="28">
        <v>68994000</v>
      </c>
      <c r="AC6903" s="28">
        <v>2396867000</v>
      </c>
      <c r="AD6903" s="28">
        <v>3212279000</v>
      </c>
      <c r="AE6903" s="28">
        <v>16044089000</v>
      </c>
      <c r="AF6903" s="28">
        <v>1852055000</v>
      </c>
      <c r="AG6903" s="11"/>
    </row>
    <row r="6904">
      <c r="A6904" s="7" t="s">
        <v>8466</v>
      </c>
      <c r="B6904" s="5" t="s">
        <v>16402</v>
      </c>
      <c r="C6904" s="5" t="s">
        <v>24028</v>
      </c>
      <c r="D6904" s="5" t="str">
        <v>231222364037</v>
      </c>
      <c r="E6904" s="0" t="e">
        <f>+7 (919) 5724354
+7 (8202) 604043
+7 (8202) 693880
+7 (8202) 694042
+7 (8202) 694043
+7 (8202) 694046
+7 (8202) 694047
+7 (8202) 694050
+7 (8202) 694054
+7 (8202) 694055
+7 (8202) 694059
+7 (8202) 694202
+7 (918) 2900193
+7 (988) 5572937</f>
        <v>#NAME?</v>
      </c>
      <c r="F6904" s="5" t="s">
        <v>45434</v>
      </c>
      <c r="G6904" s="5" t="s">
        <v>45435</v>
      </c>
      <c r="H6904" s="26">
        <v>19.5</v>
      </c>
      <c r="I6904" s="5" t="s">
        <v>45436</v>
      </c>
      <c r="J6904" s="5" t="s">
        <v>25864</v>
      </c>
      <c r="K6904" s="5" t="s">
        <v>344</v>
      </c>
      <c r="L6904" s="5" t="s">
        <v>45437</v>
      </c>
      <c r="M6904" s="27"/>
      <c r="N6904" s="5" t="s">
        <v>59626</v>
      </c>
      <c r="O6904" s="5" t="str">
        <v>3523012944</v>
      </c>
      <c r="P6904" s="27">
        <v>642500</v>
      </c>
      <c r="Q6904" s="5" t="s">
        <v>59627</v>
      </c>
      <c r="R6904" s="5"/>
      <c r="S6904" s="5" t="s">
        <v>49256</v>
      </c>
      <c r="T6904" s="28">
        <v>146382000</v>
      </c>
      <c r="U6904" s="28">
        <v>10000</v>
      </c>
      <c r="V6904" s="28">
        <v>988918000</v>
      </c>
      <c r="W6904" s="28">
        <v>2474000</v>
      </c>
      <c r="X6904" s="28">
        <v>947044000</v>
      </c>
      <c r="Y6904" s="28">
        <v>3511417000</v>
      </c>
      <c r="Z6904" s="28">
        <v>978657000</v>
      </c>
      <c r="AA6904" s="28"/>
      <c r="AB6904" s="28">
        <v>200340000</v>
      </c>
      <c r="AC6904" s="28">
        <v>2478651000</v>
      </c>
      <c r="AD6904" s="28">
        <v>1041330000</v>
      </c>
      <c r="AE6904" s="28">
        <v>8126704000</v>
      </c>
      <c r="AF6904" s="28">
        <v>338431000</v>
      </c>
      <c r="AG6904" s="11"/>
    </row>
    <row r="6905">
      <c r="A6905" s="7" t="s">
        <v>8467</v>
      </c>
      <c r="B6905" s="5" t="s">
        <v>16403</v>
      </c>
      <c r="C6905" s="5" t="s">
        <v>24029</v>
      </c>
      <c r="D6905" s="5" t="str">
        <v>540422203505</v>
      </c>
      <c r="E6905" s="0" t="e">
        <f>+7 (383) 3636777
+7 (383) 2471934
+7 (383) 2641566
+7 (383) 2642456
+7 (383) 3638777
+7 (913) 3955547</f>
        <v>#NAME?</v>
      </c>
      <c r="F6905" s="5" t="s">
        <v>45438</v>
      </c>
      <c r="G6905" s="5" t="s">
        <v>45439</v>
      </c>
      <c r="H6905" s="26">
        <v>19</v>
      </c>
      <c r="I6905" s="5" t="s">
        <v>45440</v>
      </c>
      <c r="J6905" s="5" t="s">
        <v>25864</v>
      </c>
      <c r="K6905" s="5" t="s">
        <v>344</v>
      </c>
      <c r="L6905" s="5"/>
      <c r="M6905" s="27">
        <v>1635320</v>
      </c>
      <c r="N6905" s="5" t="s">
        <v>59628</v>
      </c>
      <c r="O6905" s="5" t="str">
        <v>2224913427</v>
      </c>
      <c r="P6905" s="27">
        <v>45000</v>
      </c>
      <c r="Q6905" s="5" t="s">
        <v>59629</v>
      </c>
      <c r="R6905" s="5"/>
      <c r="S6905" s="5" t="s">
        <v>49256</v>
      </c>
      <c r="T6905" s="28">
        <v>80957000</v>
      </c>
      <c r="U6905" s="28"/>
      <c r="V6905" s="28">
        <v>1113408000</v>
      </c>
      <c r="W6905" s="28">
        <v>27500000</v>
      </c>
      <c r="X6905" s="28">
        <v>417000</v>
      </c>
      <c r="Y6905" s="28">
        <v>3508859000</v>
      </c>
      <c r="Z6905" s="28">
        <v>69209000</v>
      </c>
      <c r="AA6905" s="28"/>
      <c r="AB6905" s="28">
        <v>528448000</v>
      </c>
      <c r="AC6905" s="28">
        <v>3397925000</v>
      </c>
      <c r="AD6905" s="28">
        <v>110934000</v>
      </c>
      <c r="AE6905" s="28">
        <v>3352378000</v>
      </c>
      <c r="AF6905" s="28">
        <v>24445000</v>
      </c>
      <c r="AG6905" s="11"/>
    </row>
    <row r="6906">
      <c r="A6906" s="7" t="s">
        <v>8468</v>
      </c>
      <c r="B6906" s="5" t="s">
        <v>12470</v>
      </c>
      <c r="C6906" s="5" t="s">
        <v>24030</v>
      </c>
      <c r="D6906" s="5" t="str">
        <v>561016525279</v>
      </c>
      <c r="F6906" s="5"/>
      <c r="G6906" s="5"/>
      <c r="H6906" s="26">
        <v>5</v>
      </c>
      <c r="I6906" s="5" t="s">
        <v>45441</v>
      </c>
      <c r="J6906" s="5" t="s">
        <v>25327</v>
      </c>
      <c r="K6906" s="5" t="s">
        <v>344</v>
      </c>
      <c r="L6906" s="5" t="s">
        <v>45442</v>
      </c>
      <c r="M6906" s="27"/>
      <c r="N6906" s="5"/>
      <c r="O6906" s="5" t="str">
        <v>5610230614</v>
      </c>
      <c r="P6906" s="27">
        <v>150000000</v>
      </c>
      <c r="Q6906" s="5" t="s">
        <v>49057</v>
      </c>
      <c r="R6906" s="5"/>
      <c r="S6906" s="5" t="s">
        <v>59630</v>
      </c>
      <c r="T6906" s="28">
        <v>5188000</v>
      </c>
      <c r="U6906" s="28">
        <v>536390000</v>
      </c>
      <c r="V6906" s="28">
        <v>6465404000</v>
      </c>
      <c r="W6906" s="28">
        <v>463779000</v>
      </c>
      <c r="X6906" s="28">
        <v>666000</v>
      </c>
      <c r="Y6906" s="28">
        <v>7662892000</v>
      </c>
      <c r="Z6906" s="28">
        <v>3004303000</v>
      </c>
      <c r="AA6906" s="28"/>
      <c r="AB6906" s="28">
        <v>1995794000</v>
      </c>
      <c r="AC6906" s="28">
        <v>4507713000</v>
      </c>
      <c r="AD6906" s="28">
        <v>3154303000</v>
      </c>
      <c r="AE6906" s="28">
        <v>41200224000</v>
      </c>
      <c r="AF6906" s="28">
        <v>1433304000</v>
      </c>
      <c r="AG6906" s="11"/>
    </row>
    <row r="6907">
      <c r="A6907" s="7" t="s">
        <v>8469</v>
      </c>
      <c r="B6907" s="5" t="s">
        <v>16404</v>
      </c>
      <c r="C6907" s="5" t="s">
        <v>24031</v>
      </c>
      <c r="D6907" s="5" t="str">
        <v>500600114892</v>
      </c>
      <c r="E6907" s="0" t="e">
        <f>+7 (495) 4115023
+7 (495) 7773235
+7 (495) 7773240</f>
        <v>#NAME?</v>
      </c>
      <c r="F6907" s="5" t="s">
        <v>45443</v>
      </c>
      <c r="G6907" s="5" t="s">
        <v>45444</v>
      </c>
      <c r="H6907" s="26">
        <v>18.5</v>
      </c>
      <c r="I6907" s="5" t="s">
        <v>45445</v>
      </c>
      <c r="J6907" s="5" t="s">
        <v>25337</v>
      </c>
      <c r="K6907" s="5" t="s">
        <v>355</v>
      </c>
      <c r="L6907" s="5" t="s">
        <v>45446</v>
      </c>
      <c r="M6907" s="27">
        <v>2176561</v>
      </c>
      <c r="N6907" s="5"/>
      <c r="O6907" s="5" t="str">
        <v>7705605953</v>
      </c>
      <c r="P6907" s="27">
        <v>75000000</v>
      </c>
      <c r="Q6907" s="5" t="s">
        <v>49057</v>
      </c>
      <c r="R6907" s="5"/>
      <c r="S6907" s="5" t="s">
        <v>53811</v>
      </c>
      <c r="T6907" s="28">
        <v>5273000</v>
      </c>
      <c r="U6907" s="28"/>
      <c r="V6907" s="28">
        <v>1494444000</v>
      </c>
      <c r="W6907" s="28"/>
      <c r="X6907" s="28">
        <v>93629000</v>
      </c>
      <c r="Y6907" s="28">
        <v>5485268000</v>
      </c>
      <c r="Z6907" s="28">
        <v>-74939000</v>
      </c>
      <c r="AA6907" s="28"/>
      <c r="AB6907" s="28"/>
      <c r="AC6907" s="28">
        <v>5352516000</v>
      </c>
      <c r="AD6907" s="28">
        <v>130061000</v>
      </c>
      <c r="AE6907" s="28">
        <v>35316064000</v>
      </c>
      <c r="AF6907" s="28">
        <v>-279971000</v>
      </c>
      <c r="AG6907" s="11"/>
    </row>
    <row r="6908">
      <c r="A6908" s="7" t="s">
        <v>8470</v>
      </c>
      <c r="B6908" s="5" t="s">
        <v>11959</v>
      </c>
      <c r="C6908" s="5" t="s">
        <v>17814</v>
      </c>
      <c r="D6908" s="5"/>
      <c r="E6908" s="0" t="e">
        <f>+7 (3412) 320132
+7 (3472) 936232
+7 (495) 6625555
+7 (495) 7899595
+7 (800) 2002613
+7 (831) 2778251
+7 (8482) 685374
+7 (8482) 685381
+7 (855) 2390131</f>
        <v>#NAME?</v>
      </c>
      <c r="F6908" s="5" t="s">
        <v>45447</v>
      </c>
      <c r="G6908" s="5" t="s">
        <v>45448</v>
      </c>
      <c r="H6908" s="26">
        <v>29</v>
      </c>
      <c r="I6908" s="5" t="s">
        <v>45449</v>
      </c>
      <c r="J6908" s="5" t="s">
        <v>25219</v>
      </c>
      <c r="K6908" s="5" t="s">
        <v>344</v>
      </c>
      <c r="L6908" s="5" t="s">
        <v>45450</v>
      </c>
      <c r="M6908" s="27">
        <v>344589277</v>
      </c>
      <c r="N6908" s="5" t="s">
        <v>51781</v>
      </c>
      <c r="O6908" s="5" t="str">
        <v>7728029110</v>
      </c>
      <c r="P6908" s="27">
        <v>83818000000</v>
      </c>
      <c r="Q6908" s="5" t="s">
        <v>59631</v>
      </c>
      <c r="R6908" s="5" t="s">
        <v>59632</v>
      </c>
      <c r="S6908" s="5" t="s">
        <v>59633</v>
      </c>
      <c r="T6908" s="28">
        <v>217041538000</v>
      </c>
      <c r="U6908" s="28">
        <v>59434161000</v>
      </c>
      <c r="V6908" s="28">
        <v>98430003000</v>
      </c>
      <c r="W6908" s="28">
        <v>34674890000</v>
      </c>
      <c r="X6908" s="28">
        <v>9182037000</v>
      </c>
      <c r="Y6908" s="28">
        <v>488528916000</v>
      </c>
      <c r="Z6908" s="28">
        <v>11423509000</v>
      </c>
      <c r="AA6908" s="28">
        <v>106449736000</v>
      </c>
      <c r="AB6908" s="28">
        <v>6584776000</v>
      </c>
      <c r="AC6908" s="28">
        <v>123475016000</v>
      </c>
      <c r="AD6908" s="28">
        <v>96771765000</v>
      </c>
      <c r="AE6908" s="28">
        <v>814668403000</v>
      </c>
      <c r="AF6908" s="28">
        <v>7582249000</v>
      </c>
      <c r="AG6908" s="11"/>
    </row>
    <row r="6909">
      <c r="A6909" s="7" t="s">
        <v>8471</v>
      </c>
      <c r="B6909" s="5" t="s">
        <v>16405</v>
      </c>
      <c r="C6909" s="5" t="s">
        <v>24032</v>
      </c>
      <c r="D6909" s="5" t="str">
        <v>400305744245</v>
      </c>
      <c r="E6909" s="0" t="e">
        <f>+7 (481) 2316779
+7 (919) 322544
+7 (48438) 61110
+7 (48438) 61338
+7 (48438) 62348
+7 (800) 3509432
+7 (917) 9406464</f>
        <v>#NAME?</v>
      </c>
      <c r="F6909" s="5"/>
      <c r="G6909" s="5" t="s">
        <v>45451</v>
      </c>
      <c r="H6909" s="26">
        <v>13.5</v>
      </c>
      <c r="I6909" s="5" t="s">
        <v>45452</v>
      </c>
      <c r="J6909" s="5" t="s">
        <v>44495</v>
      </c>
      <c r="K6909" s="5" t="s">
        <v>344</v>
      </c>
      <c r="L6909" s="5" t="s">
        <v>45453</v>
      </c>
      <c r="M6909" s="27">
        <v>751412</v>
      </c>
      <c r="N6909" s="5"/>
      <c r="O6909" s="5" t="str">
        <v>4003029781</v>
      </c>
      <c r="P6909" s="27">
        <v>10000</v>
      </c>
      <c r="Q6909" s="5"/>
      <c r="R6909" s="5"/>
      <c r="S6909" s="5" t="s">
        <v>49047</v>
      </c>
      <c r="T6909" s="28">
        <v>164552000</v>
      </c>
      <c r="U6909" s="28">
        <v>8606000</v>
      </c>
      <c r="V6909" s="28">
        <v>256390000</v>
      </c>
      <c r="W6909" s="28"/>
      <c r="X6909" s="28">
        <v>77469000</v>
      </c>
      <c r="Y6909" s="28">
        <v>1365438000</v>
      </c>
      <c r="Z6909" s="28">
        <v>209278000</v>
      </c>
      <c r="AA6909" s="28">
        <v>89190000</v>
      </c>
      <c r="AB6909" s="28">
        <v>113789000</v>
      </c>
      <c r="AC6909" s="28">
        <v>1066062000</v>
      </c>
      <c r="AD6909" s="28">
        <v>209288000</v>
      </c>
      <c r="AE6909" s="28">
        <v>3570119000</v>
      </c>
      <c r="AF6909" s="28">
        <v>57276000</v>
      </c>
      <c r="AG6909" s="11"/>
    </row>
    <row r="6910">
      <c r="A6910" s="7" t="s">
        <v>8472</v>
      </c>
      <c r="B6910" s="5" t="s">
        <v>16406</v>
      </c>
      <c r="C6910" s="5" t="s">
        <v>24033</v>
      </c>
      <c r="D6910" s="5" t="str">
        <v>501401740706</v>
      </c>
      <c r="E6910" s="0" t="e">
        <f>+7 (916) 2766379
+7 (916) 7258057
+7 (495) 7258070</f>
        <v>#NAME?</v>
      </c>
      <c r="F6910" s="5" t="s">
        <v>45454</v>
      </c>
      <c r="G6910" s="5"/>
      <c r="H6910" s="26">
        <v>8.5</v>
      </c>
      <c r="I6910" s="5" t="s">
        <v>45455</v>
      </c>
      <c r="J6910" s="5" t="s">
        <v>39567</v>
      </c>
      <c r="K6910" s="5" t="s">
        <v>344</v>
      </c>
      <c r="L6910" s="5"/>
      <c r="M6910" s="27"/>
      <c r="N6910" s="5" t="s">
        <v>59634</v>
      </c>
      <c r="O6910" s="5" t="str">
        <v>7733886255</v>
      </c>
      <c r="P6910" s="27">
        <v>10000</v>
      </c>
      <c r="Q6910" s="5" t="s">
        <v>59635</v>
      </c>
      <c r="R6910" s="5"/>
      <c r="S6910" s="5" t="s">
        <v>49065</v>
      </c>
      <c r="T6910" s="28">
        <v>440000</v>
      </c>
      <c r="U6910" s="28"/>
      <c r="V6910" s="28">
        <v>1575099000</v>
      </c>
      <c r="W6910" s="28"/>
      <c r="X6910" s="28">
        <v>9674000</v>
      </c>
      <c r="Y6910" s="28">
        <v>3401272000</v>
      </c>
      <c r="Z6910" s="28">
        <v>13042000</v>
      </c>
      <c r="AA6910" s="28"/>
      <c r="AB6910" s="28">
        <v>103000</v>
      </c>
      <c r="AC6910" s="28">
        <v>3388220000</v>
      </c>
      <c r="AD6910" s="28">
        <v>13052000</v>
      </c>
      <c r="AE6910" s="28">
        <v>4172476000</v>
      </c>
      <c r="AF6910" s="28">
        <v>8422000</v>
      </c>
      <c r="AG6910" s="11"/>
    </row>
    <row r="6911">
      <c r="A6911" s="7" t="s">
        <v>8473</v>
      </c>
      <c r="B6911" s="5" t="s">
        <v>11949</v>
      </c>
      <c r="C6911" s="5" t="s">
        <v>24034</v>
      </c>
      <c r="D6911" s="5" t="str">
        <v>504702790495</v>
      </c>
      <c r="E6911" s="0" t="e">
        <f>+7 (495) 7983024
+7 (495) 7983034
+7 (965) 3157151
+7 (495) 7893024</f>
        <v>#NAME?</v>
      </c>
      <c r="F6911" s="5" t="s">
        <v>45456</v>
      </c>
      <c r="G6911" s="5" t="s">
        <v>45457</v>
      </c>
      <c r="H6911" s="26">
        <v>10</v>
      </c>
      <c r="I6911" s="5" t="s">
        <v>45458</v>
      </c>
      <c r="J6911" s="5" t="s">
        <v>25216</v>
      </c>
      <c r="K6911" s="5" t="s">
        <v>344</v>
      </c>
      <c r="L6911" s="5" t="s">
        <v>45459</v>
      </c>
      <c r="M6911" s="27">
        <v>5019394</v>
      </c>
      <c r="N6911" s="5" t="s">
        <v>59636</v>
      </c>
      <c r="O6911" s="5" t="str">
        <v>7715959694</v>
      </c>
      <c r="P6911" s="27">
        <v>10000</v>
      </c>
      <c r="Q6911" s="5" t="s">
        <v>59637</v>
      </c>
      <c r="R6911" s="5"/>
      <c r="S6911" s="5" t="s">
        <v>50589</v>
      </c>
      <c r="T6911" s="28">
        <v>25396000</v>
      </c>
      <c r="U6911" s="28"/>
      <c r="V6911" s="28">
        <v>919471000</v>
      </c>
      <c r="W6911" s="28"/>
      <c r="X6911" s="28">
        <v>2491826000</v>
      </c>
      <c r="Y6911" s="28">
        <v>3473810000</v>
      </c>
      <c r="Z6911" s="28">
        <v>1621148000</v>
      </c>
      <c r="AA6911" s="28"/>
      <c r="AB6911" s="28"/>
      <c r="AC6911" s="28">
        <v>1809503000</v>
      </c>
      <c r="AD6911" s="28">
        <v>1631158000</v>
      </c>
      <c r="AE6911" s="28">
        <v>8334857000</v>
      </c>
      <c r="AF6911" s="28">
        <v>1684172000</v>
      </c>
      <c r="AG6911" s="11"/>
    </row>
    <row r="6912">
      <c r="A6912" s="7" t="s">
        <v>8474</v>
      </c>
      <c r="B6912" s="5" t="s">
        <v>16407</v>
      </c>
      <c r="C6912" s="5" t="s">
        <v>24035</v>
      </c>
      <c r="D6912" s="5" t="str">
        <v>780208101618</v>
      </c>
      <c r="E6912" s="0" t="e">
        <f>+7 (812) 3093258
+7 (812) 3888308
+7 (812) 4101624
+7 (812) 6330672
+7 (911) 2202666
+7 (960) 2558222</f>
        <v>#NAME?</v>
      </c>
      <c r="F6912" s="5" t="s">
        <v>45460</v>
      </c>
      <c r="G6912" s="5" t="s">
        <v>45461</v>
      </c>
      <c r="H6912" s="26">
        <v>13</v>
      </c>
      <c r="I6912" s="5" t="s">
        <v>45462</v>
      </c>
      <c r="J6912" s="5" t="s">
        <v>25219</v>
      </c>
      <c r="K6912" s="5" t="s">
        <v>344</v>
      </c>
      <c r="L6912" s="5" t="s">
        <v>45463</v>
      </c>
      <c r="M6912" s="27">
        <v>313462</v>
      </c>
      <c r="N6912" s="5"/>
      <c r="O6912" s="5" t="str">
        <v>7805506339</v>
      </c>
      <c r="P6912" s="27">
        <v>1100000</v>
      </c>
      <c r="Q6912" s="5" t="s">
        <v>49009</v>
      </c>
      <c r="R6912" s="5"/>
      <c r="S6912" s="5" t="s">
        <v>49028</v>
      </c>
      <c r="T6912" s="28">
        <v>111747000</v>
      </c>
      <c r="U6912" s="28">
        <v>133546000</v>
      </c>
      <c r="V6912" s="28">
        <v>157470000</v>
      </c>
      <c r="W6912" s="28">
        <v>100000000</v>
      </c>
      <c r="X6912" s="28">
        <v>175706000</v>
      </c>
      <c r="Y6912" s="28">
        <v>1111182000</v>
      </c>
      <c r="Z6912" s="28">
        <v>245091000</v>
      </c>
      <c r="AA6912" s="28"/>
      <c r="AB6912" s="28"/>
      <c r="AC6912" s="28">
        <v>854404000</v>
      </c>
      <c r="AD6912" s="28">
        <v>246191000</v>
      </c>
      <c r="AE6912" s="28">
        <v>9564883000</v>
      </c>
      <c r="AF6912" s="28">
        <v>29522000</v>
      </c>
      <c r="AG6912" s="11"/>
    </row>
    <row r="6913">
      <c r="A6913" s="7" t="s">
        <v>8475</v>
      </c>
      <c r="B6913" s="5" t="s">
        <v>16408</v>
      </c>
      <c r="C6913" s="5" t="s">
        <v>19484</v>
      </c>
      <c r="D6913" s="5"/>
      <c r="E6913" s="0" t="e">
        <f>+7 (812) 3273929</f>
        <v>#NAME?</v>
      </c>
      <c r="F6913" s="5" t="s">
        <v>45464</v>
      </c>
      <c r="G6913" s="5" t="s">
        <v>35410</v>
      </c>
      <c r="H6913" s="26">
        <v>8.5</v>
      </c>
      <c r="I6913" s="5" t="s">
        <v>45465</v>
      </c>
      <c r="J6913" s="5" t="s">
        <v>25938</v>
      </c>
      <c r="K6913" s="5" t="s">
        <v>355</v>
      </c>
      <c r="L6913" s="5"/>
      <c r="M6913" s="27"/>
      <c r="N6913" s="5"/>
      <c r="O6913" s="5" t="str">
        <v>7841507641</v>
      </c>
      <c r="P6913" s="27">
        <v>10000</v>
      </c>
      <c r="Q6913" s="5"/>
      <c r="R6913" s="5"/>
      <c r="S6913" s="5" t="s">
        <v>49110</v>
      </c>
      <c r="T6913" s="28">
        <v>4353000</v>
      </c>
      <c r="U6913" s="28">
        <v>206773000</v>
      </c>
      <c r="V6913" s="28">
        <v>4022552000</v>
      </c>
      <c r="W6913" s="28">
        <v>50000000</v>
      </c>
      <c r="X6913" s="28">
        <v>2669000</v>
      </c>
      <c r="Y6913" s="28">
        <v>4431150000</v>
      </c>
      <c r="Z6913" s="28">
        <v>-85156000</v>
      </c>
      <c r="AA6913" s="28"/>
      <c r="AB6913" s="28"/>
      <c r="AC6913" s="28">
        <v>4511025000</v>
      </c>
      <c r="AD6913" s="28">
        <v>-85146000</v>
      </c>
      <c r="AE6913" s="28">
        <v>32064856000</v>
      </c>
      <c r="AF6913" s="28">
        <v>-79379000</v>
      </c>
      <c r="AG6913" s="11"/>
    </row>
    <row r="6914">
      <c r="A6914" s="7" t="s">
        <v>8476</v>
      </c>
      <c r="B6914" s="5" t="s">
        <v>16409</v>
      </c>
      <c r="C6914" s="5" t="s">
        <v>24036</v>
      </c>
      <c r="D6914" s="5" t="str">
        <v>771771653279</v>
      </c>
      <c r="E6914" s="0" t="e">
        <f>+7 (929) 9006794
+7 (495) 4485239
+7 (495) 5407202
+7 (495) 6478800
+7 (495) 7717114
+7 (495) 7800553
+7 (495) 7836745
+7 (495) 9419262
+7 (499) 6734790
+7 (926) 2249975
+7 (980) 5677878</f>
        <v>#NAME?</v>
      </c>
      <c r="F6914" s="5" t="s">
        <v>45466</v>
      </c>
      <c r="G6914" s="5" t="s">
        <v>45467</v>
      </c>
      <c r="H6914" s="26">
        <v>22</v>
      </c>
      <c r="I6914" s="5" t="s">
        <v>45468</v>
      </c>
      <c r="J6914" s="5" t="s">
        <v>30931</v>
      </c>
      <c r="K6914" s="5" t="s">
        <v>344</v>
      </c>
      <c r="L6914" s="5" t="s">
        <v>45469</v>
      </c>
      <c r="M6914" s="27"/>
      <c r="N6914" s="5" t="s">
        <v>59638</v>
      </c>
      <c r="O6914" s="5" t="str">
        <v>5047042767</v>
      </c>
      <c r="P6914" s="27">
        <v>1000000</v>
      </c>
      <c r="Q6914" s="5" t="s">
        <v>49009</v>
      </c>
      <c r="R6914" s="5"/>
      <c r="S6914" s="5" t="s">
        <v>49045</v>
      </c>
      <c r="T6914" s="28">
        <v>16091000</v>
      </c>
      <c r="U6914" s="28">
        <v>255155000</v>
      </c>
      <c r="V6914" s="28">
        <v>460949000</v>
      </c>
      <c r="W6914" s="28">
        <v>41000000</v>
      </c>
      <c r="X6914" s="28">
        <v>74731000</v>
      </c>
      <c r="Y6914" s="28">
        <v>895443000</v>
      </c>
      <c r="Z6914" s="28">
        <v>418599000</v>
      </c>
      <c r="AA6914" s="28"/>
      <c r="AB6914" s="28">
        <v>14972000</v>
      </c>
      <c r="AC6914" s="28">
        <v>260436000</v>
      </c>
      <c r="AD6914" s="28">
        <v>633427000</v>
      </c>
      <c r="AE6914" s="28">
        <v>4206899000</v>
      </c>
      <c r="AF6914" s="28">
        <v>56550000</v>
      </c>
      <c r="AG6914" s="11"/>
    </row>
    <row r="6915">
      <c r="A6915" s="7" t="s">
        <v>8477</v>
      </c>
      <c r="B6915" s="5" t="s">
        <v>16410</v>
      </c>
      <c r="C6915" s="5" t="s">
        <v>24037</v>
      </c>
      <c r="D6915" s="5" t="str">
        <v>631209826597</v>
      </c>
      <c r="E6915" s="0" t="e">
        <f>+7 (84627) 69899
+7 (927) 2066252</f>
        <v>#NAME?</v>
      </c>
      <c r="F6915" s="5" t="s">
        <v>45470</v>
      </c>
      <c r="G6915" s="5"/>
      <c r="H6915" s="26">
        <v>16</v>
      </c>
      <c r="I6915" s="5" t="s">
        <v>45471</v>
      </c>
      <c r="J6915" s="5" t="s">
        <v>678</v>
      </c>
      <c r="K6915" s="5" t="s">
        <v>344</v>
      </c>
      <c r="L6915" s="5" t="s">
        <v>41611</v>
      </c>
      <c r="M6915" s="27"/>
      <c r="N6915" s="5" t="s">
        <v>59639</v>
      </c>
      <c r="O6915" s="5" t="str">
        <v>6319134842</v>
      </c>
      <c r="P6915" s="27">
        <v>100000</v>
      </c>
      <c r="Q6915" s="5" t="s">
        <v>59640</v>
      </c>
      <c r="R6915" s="5"/>
      <c r="S6915" s="5" t="s">
        <v>59641</v>
      </c>
      <c r="T6915" s="28"/>
      <c r="U6915" s="28"/>
      <c r="V6915" s="28">
        <v>1136752000</v>
      </c>
      <c r="W6915" s="28"/>
      <c r="X6915" s="28">
        <v>33622000</v>
      </c>
      <c r="Y6915" s="28">
        <v>1255908000</v>
      </c>
      <c r="Z6915" s="28">
        <v>25535000</v>
      </c>
      <c r="AA6915" s="28"/>
      <c r="AB6915" s="28"/>
      <c r="AC6915" s="28">
        <v>1230273000</v>
      </c>
      <c r="AD6915" s="28">
        <v>25635000</v>
      </c>
      <c r="AE6915" s="28">
        <v>3933958000</v>
      </c>
      <c r="AF6915" s="28">
        <v>44208000</v>
      </c>
      <c r="AG6915" s="11"/>
    </row>
    <row r="6916">
      <c r="A6916" s="7" t="s">
        <v>8478</v>
      </c>
      <c r="B6916" s="5" t="s">
        <v>16411</v>
      </c>
      <c r="C6916" s="5" t="s">
        <v>24038</v>
      </c>
      <c r="D6916" s="5"/>
      <c r="E6916" s="0" t="e">
        <f>+7 (812) 3276611
+7 (495) 4190042
+7 (495) 6761142
+7 (495) 6765175
+7 (812) 3276622
+7 (812) 3872296
+7 (812) 3874611
+7 (812) 3882296
+7 (812) 3884207
+7 (812) 3886175
+7 (812) 6003810
+7 (812) 6003870
+7 (812) 6003879
+7 (928) 1892255</f>
        <v>#NAME?</v>
      </c>
      <c r="F6916" s="5" t="s">
        <v>45472</v>
      </c>
      <c r="G6916" s="5" t="s">
        <v>45473</v>
      </c>
      <c r="H6916" s="26">
        <v>26.5</v>
      </c>
      <c r="I6916" s="5" t="s">
        <v>45474</v>
      </c>
      <c r="J6916" s="5" t="s">
        <v>25759</v>
      </c>
      <c r="K6916" s="5" t="s">
        <v>344</v>
      </c>
      <c r="L6916" s="5"/>
      <c r="M6916" s="27"/>
      <c r="N6916" s="5"/>
      <c r="O6916" s="5" t="str">
        <v>7810104787</v>
      </c>
      <c r="P6916" s="27">
        <v>71500</v>
      </c>
      <c r="Q6916" s="5"/>
      <c r="R6916" s="5" t="s">
        <v>59642</v>
      </c>
      <c r="S6916" s="5" t="s">
        <v>49110</v>
      </c>
      <c r="T6916" s="28">
        <v>175120000</v>
      </c>
      <c r="U6916" s="28"/>
      <c r="V6916" s="28">
        <v>647781000</v>
      </c>
      <c r="W6916" s="28">
        <v>119612000</v>
      </c>
      <c r="X6916" s="28">
        <v>9628000</v>
      </c>
      <c r="Y6916" s="28">
        <v>1383919000</v>
      </c>
      <c r="Z6916" s="28">
        <v>-63576000</v>
      </c>
      <c r="AA6916" s="28">
        <v>1148163000</v>
      </c>
      <c r="AB6916" s="28">
        <v>63096000</v>
      </c>
      <c r="AC6916" s="28">
        <v>264119000</v>
      </c>
      <c r="AD6916" s="28">
        <v>-63499000</v>
      </c>
      <c r="AE6916" s="28">
        <v>3652672000</v>
      </c>
      <c r="AF6916" s="28">
        <v>29501000</v>
      </c>
      <c r="AG6916" s="11"/>
    </row>
    <row r="6917">
      <c r="A6917" s="7" t="s">
        <v>8479</v>
      </c>
      <c r="B6917" s="5" t="s">
        <v>16412</v>
      </c>
      <c r="C6917" s="5" t="s">
        <v>24039</v>
      </c>
      <c r="D6917" s="5" t="str">
        <v>782023347429</v>
      </c>
      <c r="E6917" s="0" t="e">
        <f>+7 (812) 4682084
+7 (81361) 29139
+7 (812) 3465476
+7 (812) 4657761
+7 (904) 3348168
+7 (911) 8100940
+7 (911) 8101449
+7 (3012) 494957
+7 (812) 3465776
+7 (812) 3871522</f>
        <v>#NAME?</v>
      </c>
      <c r="F6917" s="5" t="s">
        <v>45475</v>
      </c>
      <c r="G6917" s="5" t="s">
        <v>45476</v>
      </c>
      <c r="H6917" s="26">
        <v>23.5</v>
      </c>
      <c r="I6917" s="5" t="s">
        <v>45477</v>
      </c>
      <c r="J6917" s="5" t="s">
        <v>25530</v>
      </c>
      <c r="K6917" s="5" t="s">
        <v>344</v>
      </c>
      <c r="L6917" s="5"/>
      <c r="M6917" s="27"/>
      <c r="N6917" s="5" t="s">
        <v>59643</v>
      </c>
      <c r="O6917" s="5" t="str">
        <v>4716033195</v>
      </c>
      <c r="P6917" s="27">
        <v>337000000</v>
      </c>
      <c r="Q6917" s="5" t="s">
        <v>49009</v>
      </c>
      <c r="R6917" s="5"/>
      <c r="S6917" s="5" t="s">
        <v>49256</v>
      </c>
      <c r="T6917" s="28">
        <v>3815000</v>
      </c>
      <c r="U6917" s="28">
        <v>247000</v>
      </c>
      <c r="V6917" s="28">
        <v>821739000</v>
      </c>
      <c r="W6917" s="28">
        <v>19000</v>
      </c>
      <c r="X6917" s="28">
        <v>80036000</v>
      </c>
      <c r="Y6917" s="28">
        <v>2875591000</v>
      </c>
      <c r="Z6917" s="28">
        <v>355159000</v>
      </c>
      <c r="AA6917" s="28">
        <v>307712000</v>
      </c>
      <c r="AB6917" s="28">
        <v>818515000</v>
      </c>
      <c r="AC6917" s="28">
        <v>1868659000</v>
      </c>
      <c r="AD6917" s="28">
        <v>692159000</v>
      </c>
      <c r="AE6917" s="28">
        <v>7452591000</v>
      </c>
      <c r="AF6917" s="28">
        <v>115927000</v>
      </c>
      <c r="AG6917" s="11"/>
    </row>
    <row r="6918">
      <c r="A6918" s="7" t="s">
        <v>8480</v>
      </c>
      <c r="B6918" s="5" t="s">
        <v>16413</v>
      </c>
      <c r="C6918" s="5" t="s">
        <v>24040</v>
      </c>
      <c r="D6918" s="5" t="str">
        <v>352528629947</v>
      </c>
      <c r="E6918" s="0" t="e">
        <f>+7 (817) 2216970
+7 (900) 5304888
+7 (909) 5968121
+7 (911) 5010122
+7 (921) 612070
+7 (921) 5482923
+7 (817) 2243208
+7 (817) 2567047</f>
        <v>#NAME?</v>
      </c>
      <c r="F6918" s="5" t="s">
        <v>45478</v>
      </c>
      <c r="G6918" s="5"/>
      <c r="H6918" s="26">
        <v>20</v>
      </c>
      <c r="I6918" s="5" t="s">
        <v>45479</v>
      </c>
      <c r="J6918" s="5" t="s">
        <v>28617</v>
      </c>
      <c r="K6918" s="5" t="s">
        <v>344</v>
      </c>
      <c r="L6918" s="5" t="s">
        <v>45480</v>
      </c>
      <c r="M6918" s="27">
        <v>30604127</v>
      </c>
      <c r="N6918" s="5" t="s">
        <v>59644</v>
      </c>
      <c r="O6918" s="5" t="str">
        <v>3525125260</v>
      </c>
      <c r="P6918" s="27">
        <v>1490000</v>
      </c>
      <c r="Q6918" s="5" t="s">
        <v>59645</v>
      </c>
      <c r="R6918" s="5"/>
      <c r="S6918" s="5" t="s">
        <v>59646</v>
      </c>
      <c r="T6918" s="28">
        <v>59000</v>
      </c>
      <c r="U6918" s="28"/>
      <c r="V6918" s="28">
        <v>1390883000</v>
      </c>
      <c r="W6918" s="28">
        <v>500000</v>
      </c>
      <c r="X6918" s="28">
        <v>211182000</v>
      </c>
      <c r="Y6918" s="28">
        <v>1626174000</v>
      </c>
      <c r="Z6918" s="28">
        <v>31650000</v>
      </c>
      <c r="AA6918" s="28">
        <v>518391000</v>
      </c>
      <c r="AB6918" s="28">
        <v>55450000</v>
      </c>
      <c r="AC6918" s="28">
        <v>1074643000</v>
      </c>
      <c r="AD6918" s="28">
        <v>33140000</v>
      </c>
      <c r="AE6918" s="28">
        <v>3685989000</v>
      </c>
      <c r="AF6918" s="28">
        <v>1045000</v>
      </c>
      <c r="AG6918" s="11"/>
    </row>
    <row r="6919">
      <c r="A6919" s="7" t="s">
        <v>8481</v>
      </c>
      <c r="B6919" s="5" t="s">
        <v>16414</v>
      </c>
      <c r="C6919" s="5" t="s">
        <v>24041</v>
      </c>
      <c r="D6919" s="5" t="str">
        <v>662601827210</v>
      </c>
      <c r="E6919" s="0" t="e">
        <f>+7 (932) 6080735
+7 (343) 3506070
+7 (343) 3553313
+7 (343) 3553995
+7 (3433) 554645</f>
        <v>#NAME?</v>
      </c>
      <c r="F6919" s="5" t="s">
        <v>45481</v>
      </c>
      <c r="G6919" s="5"/>
      <c r="H6919" s="26">
        <v>25.5</v>
      </c>
      <c r="I6919" s="5" t="s">
        <v>45482</v>
      </c>
      <c r="J6919" s="5" t="s">
        <v>33955</v>
      </c>
      <c r="K6919" s="5" t="s">
        <v>344</v>
      </c>
      <c r="L6919" s="5"/>
      <c r="M6919" s="27"/>
      <c r="N6919" s="5" t="s">
        <v>59647</v>
      </c>
      <c r="O6919" s="5" t="str">
        <v>6662090110</v>
      </c>
      <c r="P6919" s="27">
        <v>100000</v>
      </c>
      <c r="Q6919" s="5"/>
      <c r="R6919" s="5"/>
      <c r="S6919" s="5" t="s">
        <v>49991</v>
      </c>
      <c r="T6919" s="28">
        <v>140000</v>
      </c>
      <c r="U6919" s="28"/>
      <c r="V6919" s="28">
        <v>460345000</v>
      </c>
      <c r="W6919" s="28"/>
      <c r="X6919" s="28">
        <v>2879000</v>
      </c>
      <c r="Y6919" s="28">
        <v>464195000</v>
      </c>
      <c r="Z6919" s="28">
        <v>19251000</v>
      </c>
      <c r="AA6919" s="28"/>
      <c r="AB6919" s="28"/>
      <c r="AC6919" s="28">
        <v>425613000</v>
      </c>
      <c r="AD6919" s="28">
        <v>38578000</v>
      </c>
      <c r="AE6919" s="28">
        <v>3458829000</v>
      </c>
      <c r="AF6919" s="28">
        <v>4095000</v>
      </c>
      <c r="AG6919" s="11"/>
    </row>
    <row r="6920">
      <c r="A6920" s="7" t="s">
        <v>8482</v>
      </c>
      <c r="B6920" s="5" t="s">
        <v>16415</v>
      </c>
      <c r="C6920" s="5" t="s">
        <v>24042</v>
      </c>
      <c r="D6920" s="5" t="str">
        <v>220502833685</v>
      </c>
      <c r="E6920" s="0" t="e">
        <f>+7 (383) 3152729
+7 (913) 2221727</f>
        <v>#NAME?</v>
      </c>
      <c r="F6920" s="5"/>
      <c r="G6920" s="5"/>
      <c r="H6920" s="26">
        <v>8</v>
      </c>
      <c r="I6920" s="5" t="s">
        <v>45483</v>
      </c>
      <c r="J6920" s="5" t="s">
        <v>27497</v>
      </c>
      <c r="K6920" s="5" t="s">
        <v>344</v>
      </c>
      <c r="L6920" s="5" t="s">
        <v>45484</v>
      </c>
      <c r="M6920" s="27"/>
      <c r="N6920" s="5" t="s">
        <v>59648</v>
      </c>
      <c r="O6920" s="5" t="str">
        <v>5404003038</v>
      </c>
      <c r="P6920" s="27">
        <v>20000</v>
      </c>
      <c r="Q6920" s="5"/>
      <c r="R6920" s="5"/>
      <c r="S6920" s="5" t="s">
        <v>49047</v>
      </c>
      <c r="T6920" s="28">
        <v>15000</v>
      </c>
      <c r="U6920" s="28"/>
      <c r="V6920" s="28">
        <v>201205000</v>
      </c>
      <c r="W6920" s="28"/>
      <c r="X6920" s="28">
        <v>10238000</v>
      </c>
      <c r="Y6920" s="28">
        <v>267047000</v>
      </c>
      <c r="Z6920" s="28">
        <v>99153000</v>
      </c>
      <c r="AA6920" s="28"/>
      <c r="AB6920" s="28"/>
      <c r="AC6920" s="28">
        <v>167874000</v>
      </c>
      <c r="AD6920" s="28">
        <v>99173000</v>
      </c>
      <c r="AE6920" s="28">
        <v>5759337000</v>
      </c>
      <c r="AF6920" s="28">
        <v>36987000</v>
      </c>
      <c r="AG6920" s="11"/>
    </row>
    <row r="6921">
      <c r="A6921" s="7" t="s">
        <v>8483</v>
      </c>
      <c r="B6921" s="5" t="s">
        <v>16416</v>
      </c>
      <c r="C6921" s="5" t="s">
        <v>24043</v>
      </c>
      <c r="D6921" s="5" t="str">
        <v>503202880830</v>
      </c>
      <c r="F6921" s="5"/>
      <c r="G6921" s="5"/>
      <c r="H6921" s="26">
        <v>3</v>
      </c>
      <c r="I6921" s="5" t="s">
        <v>45485</v>
      </c>
      <c r="J6921" s="5" t="s">
        <v>25190</v>
      </c>
      <c r="K6921" s="5" t="s">
        <v>344</v>
      </c>
      <c r="L6921" s="5" t="s">
        <v>45486</v>
      </c>
      <c r="M6921" s="27">
        <v>33007364</v>
      </c>
      <c r="N6921" s="5"/>
      <c r="O6921" s="5" t="str">
        <v>9715383037</v>
      </c>
      <c r="P6921" s="27">
        <v>100000</v>
      </c>
      <c r="Q6921" s="5" t="s">
        <v>49021</v>
      </c>
      <c r="R6921" s="5"/>
      <c r="S6921" s="5" t="s">
        <v>49652</v>
      </c>
      <c r="T6921" s="28">
        <v>215721000</v>
      </c>
      <c r="U6921" s="28"/>
      <c r="V6921" s="28">
        <v>1233222000</v>
      </c>
      <c r="W6921" s="28">
        <v>62500000</v>
      </c>
      <c r="X6921" s="28">
        <v>4052000</v>
      </c>
      <c r="Y6921" s="28">
        <v>1530754000</v>
      </c>
      <c r="Z6921" s="28">
        <v>181001000</v>
      </c>
      <c r="AA6921" s="28"/>
      <c r="AB6921" s="28">
        <v>49999000</v>
      </c>
      <c r="AC6921" s="28">
        <v>1349654000</v>
      </c>
      <c r="AD6921" s="28">
        <v>181101000</v>
      </c>
      <c r="AE6921" s="28">
        <v>5178544000</v>
      </c>
      <c r="AF6921" s="28">
        <v>164570000</v>
      </c>
      <c r="AG6921" s="11"/>
    </row>
    <row r="6922">
      <c r="A6922" s="7" t="s">
        <v>8484</v>
      </c>
      <c r="B6922" s="5" t="s">
        <v>16417</v>
      </c>
      <c r="C6922" s="5" t="s">
        <v>24044</v>
      </c>
      <c r="D6922" s="5" t="str">
        <v>771603869773</v>
      </c>
      <c r="E6922" s="0" t="e">
        <f>+7 (495) 4115074
+7 (495) 4116886
+7 (800) 3336523
+7 (926) 9407689</f>
        <v>#NAME?</v>
      </c>
      <c r="F6922" s="5" t="s">
        <v>45487</v>
      </c>
      <c r="G6922" s="5" t="s">
        <v>45488</v>
      </c>
      <c r="H6922" s="26">
        <v>19</v>
      </c>
      <c r="I6922" s="5" t="s">
        <v>45489</v>
      </c>
      <c r="J6922" s="5" t="s">
        <v>27946</v>
      </c>
      <c r="K6922" s="5" t="s">
        <v>344</v>
      </c>
      <c r="L6922" s="5" t="s">
        <v>45490</v>
      </c>
      <c r="M6922" s="27"/>
      <c r="N6922" s="5" t="s">
        <v>59649</v>
      </c>
      <c r="O6922" s="5" t="str">
        <v>7706514755</v>
      </c>
      <c r="P6922" s="27">
        <v>5959600</v>
      </c>
      <c r="Q6922" s="5" t="s">
        <v>49009</v>
      </c>
      <c r="R6922" s="5"/>
      <c r="S6922" s="5" t="s">
        <v>49045</v>
      </c>
      <c r="T6922" s="28">
        <v>96339000</v>
      </c>
      <c r="U6922" s="28">
        <v>92544000</v>
      </c>
      <c r="V6922" s="28">
        <v>3493270000</v>
      </c>
      <c r="W6922" s="28">
        <v>161000000</v>
      </c>
      <c r="X6922" s="28">
        <v>206152000</v>
      </c>
      <c r="Y6922" s="28">
        <v>4804661000</v>
      </c>
      <c r="Z6922" s="28">
        <v>2644484000</v>
      </c>
      <c r="AA6922" s="28"/>
      <c r="AB6922" s="28"/>
      <c r="AC6922" s="28">
        <v>2053165000</v>
      </c>
      <c r="AD6922" s="28">
        <v>2650444000</v>
      </c>
      <c r="AE6922" s="28">
        <v>10584494000</v>
      </c>
      <c r="AF6922" s="28">
        <v>621159000</v>
      </c>
      <c r="AG6922" s="11"/>
    </row>
    <row r="6923">
      <c r="A6923" s="7" t="s">
        <v>8485</v>
      </c>
      <c r="B6923" s="5" t="s">
        <v>16418</v>
      </c>
      <c r="C6923" s="5" t="s">
        <v>24045</v>
      </c>
      <c r="D6923" s="5" t="str">
        <v>781612700071</v>
      </c>
      <c r="E6923" s="0" t="e">
        <f>+7 (812) 3716374
+7 (800) 2503314
+7 (812) 2427137
+7 (812) 3315151
+7 (812) 3333314
+7 (812) 3333384
+7 (812) 3335151
+7 (812) 4599779
+7 (812) 4599780
+7 (812) 4599788
+7 (812) 4599793</f>
        <v>#NAME?</v>
      </c>
      <c r="F6923" s="5" t="s">
        <v>45491</v>
      </c>
      <c r="G6923" s="5"/>
      <c r="H6923" s="26">
        <v>16.5</v>
      </c>
      <c r="I6923" s="5" t="s">
        <v>45492</v>
      </c>
      <c r="J6923" s="5" t="s">
        <v>25419</v>
      </c>
      <c r="K6923" s="5" t="s">
        <v>344</v>
      </c>
      <c r="L6923" s="5" t="s">
        <v>45493</v>
      </c>
      <c r="M6923" s="27"/>
      <c r="N6923" s="5" t="s">
        <v>59650</v>
      </c>
      <c r="O6923" s="5" t="str">
        <v>7810068296</v>
      </c>
      <c r="P6923" s="27">
        <v>510000</v>
      </c>
      <c r="Q6923" s="5" t="s">
        <v>49009</v>
      </c>
      <c r="R6923" s="5"/>
      <c r="S6923" s="5" t="s">
        <v>49012</v>
      </c>
      <c r="T6923" s="28">
        <v>60553000</v>
      </c>
      <c r="U6923" s="28"/>
      <c r="V6923" s="28">
        <v>599188000</v>
      </c>
      <c r="W6923" s="28">
        <v>900000</v>
      </c>
      <c r="X6923" s="28">
        <v>422821000</v>
      </c>
      <c r="Y6923" s="28">
        <v>1579274000</v>
      </c>
      <c r="Z6923" s="28">
        <v>743429000</v>
      </c>
      <c r="AA6923" s="28">
        <v>246588000</v>
      </c>
      <c r="AB6923" s="28">
        <v>59864000</v>
      </c>
      <c r="AC6923" s="28">
        <v>588747000</v>
      </c>
      <c r="AD6923" s="28">
        <v>743939000</v>
      </c>
      <c r="AE6923" s="28">
        <v>5873161000</v>
      </c>
      <c r="AF6923" s="28">
        <v>211188000</v>
      </c>
      <c r="AG6923" s="11"/>
    </row>
    <row r="6924">
      <c r="A6924" s="7" t="s">
        <v>8486</v>
      </c>
      <c r="B6924" s="5" t="s">
        <v>13736</v>
      </c>
      <c r="C6924" s="5" t="s">
        <v>20958</v>
      </c>
      <c r="D6924" s="5"/>
      <c r="F6924" s="5" t="s">
        <v>45494</v>
      </c>
      <c r="G6924" s="5"/>
      <c r="H6924" s="26">
        <v>14.5</v>
      </c>
      <c r="I6924" s="5"/>
      <c r="J6924" s="5" t="s">
        <v>25283</v>
      </c>
      <c r="K6924" s="5" t="s">
        <v>355</v>
      </c>
      <c r="L6924" s="5"/>
      <c r="M6924" s="27">
        <v>194989</v>
      </c>
      <c r="N6924" s="5"/>
      <c r="O6924" s="5" t="str">
        <v>4217107518</v>
      </c>
      <c r="P6924" s="27">
        <v>100000</v>
      </c>
      <c r="Q6924" s="5" t="s">
        <v>59651</v>
      </c>
      <c r="R6924" s="5"/>
      <c r="S6924" s="5" t="s">
        <v>49496</v>
      </c>
      <c r="T6924" s="28">
        <v>563000</v>
      </c>
      <c r="U6924" s="28">
        <v>2000000</v>
      </c>
      <c r="V6924" s="28">
        <v>16306454000</v>
      </c>
      <c r="W6924" s="28"/>
      <c r="X6924" s="28">
        <v>412086000</v>
      </c>
      <c r="Y6924" s="28">
        <v>17618507000</v>
      </c>
      <c r="Z6924" s="28">
        <v>16627361000</v>
      </c>
      <c r="AA6924" s="28"/>
      <c r="AB6924" s="28"/>
      <c r="AC6924" s="28">
        <v>1710056000</v>
      </c>
      <c r="AD6924" s="28">
        <v>15823175000</v>
      </c>
      <c r="AE6924" s="28">
        <v>59607601000</v>
      </c>
      <c r="AF6924" s="28">
        <v>5261589000</v>
      </c>
      <c r="AG6924" s="11"/>
    </row>
    <row r="6925">
      <c r="A6925" s="7" t="s">
        <v>8487</v>
      </c>
      <c r="B6925" s="5" t="s">
        <v>16419</v>
      </c>
      <c r="C6925" s="5" t="s">
        <v>21021</v>
      </c>
      <c r="D6925" s="5"/>
      <c r="E6925" s="0" t="e">
        <f>+7 (42331) 20255
+7 (914) 702624
+7 (423) 2215989
+7 (423) 2491051
+7 (423) 2491052
+7 (423) 2614701
+7 (4232) 215934
+7 (4232) 215935
+7 (42331) 20312
+7 (42331) 20321
+7 (42331) 20322
+7 (42331) 20367
+7 (42331) 21322</f>
        <v>#NAME?</v>
      </c>
      <c r="F6925" s="5" t="s">
        <v>45495</v>
      </c>
      <c r="G6925" s="5" t="s">
        <v>45496</v>
      </c>
      <c r="H6925" s="26">
        <v>30.5</v>
      </c>
      <c r="I6925" s="5"/>
      <c r="J6925" s="5" t="s">
        <v>29001</v>
      </c>
      <c r="K6925" s="5" t="s">
        <v>344</v>
      </c>
      <c r="L6925" s="5" t="s">
        <v>45497</v>
      </c>
      <c r="M6925" s="27">
        <v>1551971</v>
      </c>
      <c r="N6925" s="5" t="s">
        <v>59652</v>
      </c>
      <c r="O6925" s="5" t="str">
        <v>2531002070</v>
      </c>
      <c r="P6925" s="27">
        <v>1889000</v>
      </c>
      <c r="Q6925" s="5" t="s">
        <v>59653</v>
      </c>
      <c r="R6925" s="5" t="s">
        <v>59654</v>
      </c>
      <c r="S6925" s="5" t="s">
        <v>52597</v>
      </c>
      <c r="T6925" s="28">
        <v>3326705000</v>
      </c>
      <c r="U6925" s="28">
        <v>4310354000</v>
      </c>
      <c r="V6925" s="28">
        <v>3087674000</v>
      </c>
      <c r="W6925" s="28"/>
      <c r="X6925" s="28">
        <v>5161000</v>
      </c>
      <c r="Y6925" s="28">
        <v>11572934000</v>
      </c>
      <c r="Z6925" s="28">
        <v>10054802000</v>
      </c>
      <c r="AA6925" s="28">
        <v>452539000</v>
      </c>
      <c r="AB6925" s="28">
        <v>25858000</v>
      </c>
      <c r="AC6925" s="28">
        <v>496466000</v>
      </c>
      <c r="AD6925" s="28">
        <v>10084127000</v>
      </c>
      <c r="AE6925" s="28">
        <v>4452621000</v>
      </c>
      <c r="AF6925" s="28">
        <v>3862173000</v>
      </c>
      <c r="AG6925" s="11"/>
    </row>
    <row r="6926">
      <c r="A6926" s="7" t="s">
        <v>8488</v>
      </c>
      <c r="B6926" s="5" t="s">
        <v>16420</v>
      </c>
      <c r="C6926" s="5" t="s">
        <v>24046</v>
      </c>
      <c r="D6926" s="5"/>
      <c r="E6926" s="0" t="e">
        <f>+7 (911) 4004309
+7 (911) 4082088
+7 (8142) 719700
+7 (8142) 719719
+7 (8142) 725925</f>
        <v>#NAME?</v>
      </c>
      <c r="F6926" s="5" t="s">
        <v>45498</v>
      </c>
      <c r="G6926" s="5" t="s">
        <v>45499</v>
      </c>
      <c r="H6926" s="26">
        <v>20</v>
      </c>
      <c r="I6926" s="5" t="s">
        <v>45500</v>
      </c>
      <c r="J6926" s="5" t="s">
        <v>25219</v>
      </c>
      <c r="K6926" s="5" t="s">
        <v>355</v>
      </c>
      <c r="L6926" s="5"/>
      <c r="M6926" s="27"/>
      <c r="N6926" s="5"/>
      <c r="O6926" s="5" t="str">
        <v>1001144078</v>
      </c>
      <c r="P6926" s="27">
        <v>400000</v>
      </c>
      <c r="Q6926" s="5" t="s">
        <v>49009</v>
      </c>
      <c r="R6926" s="5"/>
      <c r="S6926" s="5" t="s">
        <v>49028</v>
      </c>
      <c r="T6926" s="28">
        <v>355425000</v>
      </c>
      <c r="U6926" s="28">
        <v>1600000</v>
      </c>
      <c r="V6926" s="28">
        <v>237784000</v>
      </c>
      <c r="W6926" s="28"/>
      <c r="X6926" s="28">
        <v>71419000</v>
      </c>
      <c r="Y6926" s="28">
        <v>1067101000</v>
      </c>
      <c r="Z6926" s="28">
        <v>-16146000</v>
      </c>
      <c r="AA6926" s="28">
        <v>356473000</v>
      </c>
      <c r="AB6926" s="28">
        <v>54127000</v>
      </c>
      <c r="AC6926" s="28">
        <v>538775000</v>
      </c>
      <c r="AD6926" s="28">
        <v>-15746000</v>
      </c>
      <c r="AE6926" s="28">
        <v>3887368000</v>
      </c>
      <c r="AF6926" s="28">
        <v>18387000</v>
      </c>
      <c r="AG6926" s="11"/>
    </row>
    <row r="6927">
      <c r="A6927" s="7" t="s">
        <v>8489</v>
      </c>
      <c r="B6927" s="5" t="s">
        <v>16421</v>
      </c>
      <c r="C6927" s="5" t="s">
        <v>24047</v>
      </c>
      <c r="D6927" s="5" t="str">
        <v>666401266677</v>
      </c>
      <c r="E6927" s="0" t="e">
        <f>+7 (343) 2161330
+7 (343) 2161320
+7 (3432) 256262
+7 (912) 2900184</f>
        <v>#NAME?</v>
      </c>
      <c r="F6927" s="5" t="s">
        <v>45501</v>
      </c>
      <c r="G6927" s="5" t="s">
        <v>45502</v>
      </c>
      <c r="H6927" s="26">
        <v>25.5</v>
      </c>
      <c r="I6927" s="5" t="s">
        <v>45503</v>
      </c>
      <c r="J6927" s="5" t="s">
        <v>45421</v>
      </c>
      <c r="K6927" s="5" t="s">
        <v>344</v>
      </c>
      <c r="L6927" s="5" t="s">
        <v>45504</v>
      </c>
      <c r="M6927" s="27">
        <v>131729</v>
      </c>
      <c r="N6927" s="5" t="s">
        <v>59655</v>
      </c>
      <c r="O6927" s="5" t="str">
        <v>6661068591</v>
      </c>
      <c r="P6927" s="27">
        <v>20000</v>
      </c>
      <c r="Q6927" s="5" t="s">
        <v>49009</v>
      </c>
      <c r="R6927" s="5"/>
      <c r="S6927" s="5" t="s">
        <v>49045</v>
      </c>
      <c r="T6927" s="28">
        <v>36339000</v>
      </c>
      <c r="U6927" s="28">
        <v>2044000</v>
      </c>
      <c r="V6927" s="28">
        <v>443326000</v>
      </c>
      <c r="W6927" s="28"/>
      <c r="X6927" s="28">
        <v>714203000</v>
      </c>
      <c r="Y6927" s="28">
        <v>2184737000</v>
      </c>
      <c r="Z6927" s="28">
        <v>1468117000</v>
      </c>
      <c r="AA6927" s="28"/>
      <c r="AB6927" s="28"/>
      <c r="AC6927" s="28">
        <v>716571000</v>
      </c>
      <c r="AD6927" s="28">
        <v>1468137000</v>
      </c>
      <c r="AE6927" s="28">
        <v>4379467000</v>
      </c>
      <c r="AF6927" s="28">
        <v>358493000</v>
      </c>
      <c r="AG6927" s="11"/>
    </row>
    <row r="6928">
      <c r="A6928" s="7" t="s">
        <v>8490</v>
      </c>
      <c r="B6928" s="5" t="s">
        <v>16083</v>
      </c>
      <c r="C6928" s="5" t="s">
        <v>23727</v>
      </c>
      <c r="D6928" s="5" t="str">
        <v>290214856514</v>
      </c>
      <c r="E6928" s="0" t="e">
        <f>+7 (495) 2589977
+7 (495) 6443358
+7 (495) 6859595
+7 (495) 6859611
+7 (495) 6859677
+7 (495) 6889611
+7 (495) 9419320
+7 (495) 9864532</f>
        <v>#NAME?</v>
      </c>
      <c r="F6928" s="5" t="s">
        <v>45505</v>
      </c>
      <c r="G6928" s="5" t="s">
        <v>45506</v>
      </c>
      <c r="H6928" s="26">
        <v>15.5</v>
      </c>
      <c r="I6928" s="5"/>
      <c r="J6928" s="5" t="s">
        <v>37161</v>
      </c>
      <c r="K6928" s="5" t="s">
        <v>344</v>
      </c>
      <c r="L6928" s="5"/>
      <c r="M6928" s="27"/>
      <c r="N6928" s="5"/>
      <c r="O6928" s="5" t="str">
        <v>7723627614</v>
      </c>
      <c r="P6928" s="27">
        <v>1000000</v>
      </c>
      <c r="Q6928" s="5" t="s">
        <v>49009</v>
      </c>
      <c r="R6928" s="5"/>
      <c r="S6928" s="5" t="s">
        <v>55508</v>
      </c>
      <c r="T6928" s="28">
        <v>121672000</v>
      </c>
      <c r="U6928" s="28"/>
      <c r="V6928" s="28">
        <v>247957000</v>
      </c>
      <c r="W6928" s="28"/>
      <c r="X6928" s="28">
        <v>21204000</v>
      </c>
      <c r="Y6928" s="28">
        <v>1950364000</v>
      </c>
      <c r="Z6928" s="28">
        <v>1037836000</v>
      </c>
      <c r="AA6928" s="28">
        <v>594309000</v>
      </c>
      <c r="AB6928" s="28">
        <v>9953000</v>
      </c>
      <c r="AC6928" s="28">
        <v>316110000</v>
      </c>
      <c r="AD6928" s="28">
        <v>1038836000</v>
      </c>
      <c r="AE6928" s="28">
        <v>3634437000</v>
      </c>
      <c r="AF6928" s="28">
        <v>278658000</v>
      </c>
      <c r="AG6928" s="11"/>
    </row>
    <row r="6929">
      <c r="A6929" s="7" t="s">
        <v>8491</v>
      </c>
      <c r="B6929" s="5" t="s">
        <v>16422</v>
      </c>
      <c r="C6929" s="5" t="s">
        <v>24048</v>
      </c>
      <c r="D6929" s="5" t="str">
        <v>643902416396</v>
      </c>
      <c r="E6929" s="0" t="e">
        <f>+7 (3472) 249244
+7 (34760) 52402
+7 (34767) 30145
+7 (34782) 21722
+7 (34782) 78907
+7 (34783) 36666
+7 (34784) 41666
+7 (34797) 22212</f>
        <v>#NAME?</v>
      </c>
      <c r="F6929" s="5"/>
      <c r="G6929" s="5" t="s">
        <v>45507</v>
      </c>
      <c r="H6929" s="26">
        <v>9</v>
      </c>
      <c r="I6929" s="5" t="s">
        <v>45508</v>
      </c>
      <c r="J6929" s="5" t="s">
        <v>25738</v>
      </c>
      <c r="K6929" s="5" t="s">
        <v>344</v>
      </c>
      <c r="L6929" s="5" t="s">
        <v>26298</v>
      </c>
      <c r="M6929" s="27">
        <v>10099825</v>
      </c>
      <c r="N6929" s="5"/>
      <c r="O6929" s="5" t="str">
        <v>0273096728</v>
      </c>
      <c r="P6929" s="27">
        <v>60000</v>
      </c>
      <c r="Q6929" s="5"/>
      <c r="R6929" s="5"/>
      <c r="S6929" s="5" t="s">
        <v>49110</v>
      </c>
      <c r="T6929" s="28">
        <v>37759000</v>
      </c>
      <c r="U6929" s="28">
        <v>25000000</v>
      </c>
      <c r="V6929" s="28">
        <v>36573000</v>
      </c>
      <c r="W6929" s="28"/>
      <c r="X6929" s="28">
        <v>217528000</v>
      </c>
      <c r="Y6929" s="28">
        <v>3162639000</v>
      </c>
      <c r="Z6929" s="28">
        <v>105262000</v>
      </c>
      <c r="AA6929" s="28">
        <v>29411000</v>
      </c>
      <c r="AB6929" s="28"/>
      <c r="AC6929" s="28">
        <v>2232814000</v>
      </c>
      <c r="AD6929" s="28">
        <v>105322000</v>
      </c>
      <c r="AE6929" s="28">
        <v>8384829000</v>
      </c>
      <c r="AF6929" s="28">
        <v>136074000</v>
      </c>
      <c r="AG6929" s="11"/>
    </row>
    <row r="6930">
      <c r="A6930" s="7" t="s">
        <v>8492</v>
      </c>
      <c r="B6930" s="5" t="s">
        <v>16423</v>
      </c>
      <c r="C6930" s="5" t="s">
        <v>24049</v>
      </c>
      <c r="D6930" s="5" t="str">
        <v>246110157870</v>
      </c>
      <c r="E6930" s="0" t="e">
        <f>+7 (385) 2556794
+7 (38537) 21080
+7 (38564) 21910
+7 (38570) 29608
+7 (38587) 21725
+7 (38595) 71690
+7 (913) 2446680</f>
        <v>#NAME?</v>
      </c>
      <c r="F6930" s="5"/>
      <c r="G6930" s="5"/>
      <c r="H6930" s="26">
        <v>10.5</v>
      </c>
      <c r="I6930" s="5" t="s">
        <v>45509</v>
      </c>
      <c r="J6930" s="5" t="s">
        <v>25738</v>
      </c>
      <c r="K6930" s="5" t="s">
        <v>344</v>
      </c>
      <c r="L6930" s="5" t="s">
        <v>45510</v>
      </c>
      <c r="M6930" s="27">
        <v>68511</v>
      </c>
      <c r="N6930" s="5"/>
      <c r="O6930" s="5" t="str">
        <v>2224156015</v>
      </c>
      <c r="P6930" s="27">
        <v>500000</v>
      </c>
      <c r="Q6930" s="5"/>
      <c r="R6930" s="5"/>
      <c r="S6930" s="5" t="s">
        <v>49110</v>
      </c>
      <c r="T6930" s="28">
        <v>33947000</v>
      </c>
      <c r="U6930" s="28"/>
      <c r="V6930" s="28">
        <v>43764000</v>
      </c>
      <c r="W6930" s="28">
        <v>332520000</v>
      </c>
      <c r="X6930" s="28">
        <v>137033000</v>
      </c>
      <c r="Y6930" s="28">
        <v>1823098000</v>
      </c>
      <c r="Z6930" s="28">
        <v>106289000</v>
      </c>
      <c r="AA6930" s="28"/>
      <c r="AB6930" s="28"/>
      <c r="AC6930" s="28">
        <v>1716309000</v>
      </c>
      <c r="AD6930" s="28">
        <v>106789000</v>
      </c>
      <c r="AE6930" s="28">
        <v>8217320000</v>
      </c>
      <c r="AF6930" s="28">
        <v>237239000</v>
      </c>
      <c r="AG6930" s="11"/>
    </row>
    <row r="6931">
      <c r="A6931" s="7" t="s">
        <v>8493</v>
      </c>
      <c r="B6931" s="5" t="s">
        <v>16424</v>
      </c>
      <c r="C6931" s="5" t="s">
        <v>24050</v>
      </c>
      <c r="D6931" s="5" t="str">
        <v>420503293290</v>
      </c>
      <c r="F6931" s="5"/>
      <c r="G6931" s="5"/>
      <c r="H6931" s="26">
        <v>8.5</v>
      </c>
      <c r="I6931" s="5" t="s">
        <v>45511</v>
      </c>
      <c r="J6931" s="5" t="s">
        <v>25738</v>
      </c>
      <c r="K6931" s="5" t="s">
        <v>344</v>
      </c>
      <c r="L6931" s="5" t="s">
        <v>45512</v>
      </c>
      <c r="M6931" s="27">
        <v>65000</v>
      </c>
      <c r="N6931" s="5"/>
      <c r="O6931" s="5" t="str">
        <v>3849036940</v>
      </c>
      <c r="P6931" s="27">
        <v>30000</v>
      </c>
      <c r="Q6931" s="5" t="s">
        <v>49059</v>
      </c>
      <c r="R6931" s="5"/>
      <c r="S6931" s="5" t="s">
        <v>49110</v>
      </c>
      <c r="T6931" s="28">
        <v>13321000</v>
      </c>
      <c r="U6931" s="28"/>
      <c r="V6931" s="28">
        <v>116433000</v>
      </c>
      <c r="W6931" s="28">
        <v>125778000</v>
      </c>
      <c r="X6931" s="28">
        <v>149826000</v>
      </c>
      <c r="Y6931" s="28">
        <v>1089306000</v>
      </c>
      <c r="Z6931" s="28">
        <v>44933000</v>
      </c>
      <c r="AA6931" s="28">
        <v>12225000</v>
      </c>
      <c r="AB6931" s="28">
        <v>5693000</v>
      </c>
      <c r="AC6931" s="28">
        <v>1032015000</v>
      </c>
      <c r="AD6931" s="28">
        <v>44963000</v>
      </c>
      <c r="AE6931" s="28">
        <v>4589326000</v>
      </c>
      <c r="AF6931" s="28">
        <v>116391000</v>
      </c>
      <c r="AG6931" s="11"/>
    </row>
    <row r="6932">
      <c r="A6932" s="7" t="s">
        <v>8494</v>
      </c>
      <c r="B6932" s="5" t="s">
        <v>16425</v>
      </c>
      <c r="C6932" s="5" t="s">
        <v>24051</v>
      </c>
      <c r="D6932" s="5" t="str">
        <v>253608700263</v>
      </c>
      <c r="E6932" s="0" t="e">
        <f>+7 (4232) 637545</f>
        <v>#NAME?</v>
      </c>
      <c r="F6932" s="5"/>
      <c r="G6932" s="5"/>
      <c r="H6932" s="26">
        <v>7</v>
      </c>
      <c r="I6932" s="5" t="s">
        <v>45513</v>
      </c>
      <c r="J6932" s="5" t="s">
        <v>25738</v>
      </c>
      <c r="K6932" s="5" t="s">
        <v>344</v>
      </c>
      <c r="L6932" s="5" t="s">
        <v>45514</v>
      </c>
      <c r="M6932" s="27">
        <v>883986</v>
      </c>
      <c r="N6932" s="5"/>
      <c r="O6932" s="5" t="str">
        <v>2502054596</v>
      </c>
      <c r="P6932" s="27">
        <v>10000</v>
      </c>
      <c r="Q6932" s="5" t="s">
        <v>49009</v>
      </c>
      <c r="R6932" s="5"/>
      <c r="S6932" s="5" t="s">
        <v>49010</v>
      </c>
      <c r="T6932" s="28">
        <v>32789000</v>
      </c>
      <c r="U6932" s="28"/>
      <c r="V6932" s="28">
        <v>145790000</v>
      </c>
      <c r="W6932" s="28">
        <v>204221000</v>
      </c>
      <c r="X6932" s="28">
        <v>159327000</v>
      </c>
      <c r="Y6932" s="28">
        <v>1510691000</v>
      </c>
      <c r="Z6932" s="28">
        <v>31723000</v>
      </c>
      <c r="AA6932" s="28"/>
      <c r="AB6932" s="28">
        <v>5496000</v>
      </c>
      <c r="AC6932" s="28">
        <v>1478957000</v>
      </c>
      <c r="AD6932" s="28">
        <v>31733000</v>
      </c>
      <c r="AE6932" s="28">
        <v>6578368000</v>
      </c>
      <c r="AF6932" s="28">
        <v>150939000</v>
      </c>
      <c r="AG6932" s="11"/>
    </row>
    <row r="6933">
      <c r="A6933" s="7" t="s">
        <v>8495</v>
      </c>
      <c r="B6933" s="5" t="s">
        <v>16426</v>
      </c>
      <c r="C6933" s="5" t="s">
        <v>24052</v>
      </c>
      <c r="D6933" s="5" t="str">
        <v>241102771710</v>
      </c>
      <c r="E6933" s="0" t="e">
        <f>+7 (421) 2752030
+7 (923) 3372469</f>
        <v>#NAME?</v>
      </c>
      <c r="F6933" s="5"/>
      <c r="G6933" s="5"/>
      <c r="H6933" s="26">
        <v>9</v>
      </c>
      <c r="I6933" s="5" t="s">
        <v>45515</v>
      </c>
      <c r="J6933" s="5" t="s">
        <v>25738</v>
      </c>
      <c r="K6933" s="5" t="s">
        <v>344</v>
      </c>
      <c r="L6933" s="5"/>
      <c r="M6933" s="27"/>
      <c r="N6933" s="5"/>
      <c r="O6933" s="5" t="str">
        <v>2724187340</v>
      </c>
      <c r="P6933" s="27">
        <v>1000000</v>
      </c>
      <c r="Q6933" s="5"/>
      <c r="R6933" s="5"/>
      <c r="S6933" s="5" t="s">
        <v>49110</v>
      </c>
      <c r="T6933" s="28">
        <v>659511000</v>
      </c>
      <c r="U6933" s="28"/>
      <c r="V6933" s="28">
        <v>707982000</v>
      </c>
      <c r="W6933" s="28">
        <v>338376000</v>
      </c>
      <c r="X6933" s="28">
        <v>455082000</v>
      </c>
      <c r="Y6933" s="28">
        <v>3440517000</v>
      </c>
      <c r="Z6933" s="28">
        <v>1432000</v>
      </c>
      <c r="AA6933" s="28"/>
      <c r="AB6933" s="28"/>
      <c r="AC6933" s="28">
        <v>2562314000</v>
      </c>
      <c r="AD6933" s="28">
        <v>2432000</v>
      </c>
      <c r="AE6933" s="28">
        <v>9160544000</v>
      </c>
      <c r="AF6933" s="28">
        <v>520508000</v>
      </c>
      <c r="AG6933" s="11"/>
    </row>
    <row r="6934">
      <c r="A6934" s="7" t="s">
        <v>8496</v>
      </c>
      <c r="B6934" s="5" t="s">
        <v>16427</v>
      </c>
      <c r="C6934" s="5" t="s">
        <v>24053</v>
      </c>
      <c r="D6934" s="5" t="str">
        <v>344301429108</v>
      </c>
      <c r="F6934" s="5"/>
      <c r="G6934" s="5"/>
      <c r="H6934" s="26">
        <v>7</v>
      </c>
      <c r="I6934" s="5" t="s">
        <v>45516</v>
      </c>
      <c r="J6934" s="5" t="s">
        <v>25738</v>
      </c>
      <c r="K6934" s="5" t="s">
        <v>355</v>
      </c>
      <c r="L6934" s="5" t="s">
        <v>45517</v>
      </c>
      <c r="M6934" s="27"/>
      <c r="N6934" s="5"/>
      <c r="O6934" s="5" t="str">
        <v>3443129513</v>
      </c>
      <c r="P6934" s="27">
        <v>50000</v>
      </c>
      <c r="Q6934" s="5" t="s">
        <v>49009</v>
      </c>
      <c r="R6934" s="5"/>
      <c r="S6934" s="5" t="s">
        <v>49045</v>
      </c>
      <c r="T6934" s="28">
        <v>723123000</v>
      </c>
      <c r="U6934" s="28"/>
      <c r="V6934" s="28">
        <v>16563000</v>
      </c>
      <c r="W6934" s="28">
        <v>91542000</v>
      </c>
      <c r="X6934" s="28">
        <v>124899000</v>
      </c>
      <c r="Y6934" s="28">
        <v>2213850000</v>
      </c>
      <c r="Z6934" s="28">
        <v>73557000</v>
      </c>
      <c r="AA6934" s="28"/>
      <c r="AB6934" s="28">
        <v>30000</v>
      </c>
      <c r="AC6934" s="28">
        <v>1348799000</v>
      </c>
      <c r="AD6934" s="28">
        <v>73607000</v>
      </c>
      <c r="AE6934" s="28">
        <v>5289120000</v>
      </c>
      <c r="AF6934" s="28">
        <v>129279000</v>
      </c>
      <c r="AG6934" s="11"/>
    </row>
    <row r="6935">
      <c r="A6935" s="7" t="s">
        <v>8497</v>
      </c>
      <c r="B6935" s="5" t="s">
        <v>16428</v>
      </c>
      <c r="C6935" s="5" t="s">
        <v>24054</v>
      </c>
      <c r="D6935" s="5" t="str">
        <v>422108921300</v>
      </c>
      <c r="E6935" s="0" t="e">
        <f>+7 (38447) 33160
+7 (38448) 21034
+7 (38452) 29036
+7 (38453) 26299
+7 (38453) 40480
+7 (38456) 28015
+7 (38463) 51894
+7 (38471) 53969
+7 (923) 4791701
+7 (923) 5282222</f>
        <v>#NAME?</v>
      </c>
      <c r="F6935" s="5"/>
      <c r="G6935" s="5"/>
      <c r="H6935" s="26">
        <v>30.5</v>
      </c>
      <c r="I6935" s="5" t="s">
        <v>45518</v>
      </c>
      <c r="J6935" s="5" t="s">
        <v>25738</v>
      </c>
      <c r="K6935" s="5" t="s">
        <v>344</v>
      </c>
      <c r="L6935" s="5" t="s">
        <v>45519</v>
      </c>
      <c r="M6935" s="27">
        <v>954886</v>
      </c>
      <c r="N6935" s="5"/>
      <c r="O6935" s="5" t="str">
        <v>4202045001</v>
      </c>
      <c r="P6935" s="27">
        <v>250000</v>
      </c>
      <c r="Q6935" s="5"/>
      <c r="R6935" s="5"/>
      <c r="S6935" s="5" t="s">
        <v>49110</v>
      </c>
      <c r="T6935" s="28">
        <v>37133000</v>
      </c>
      <c r="U6935" s="28"/>
      <c r="V6935" s="28">
        <v>80748000</v>
      </c>
      <c r="W6935" s="28">
        <v>45868000</v>
      </c>
      <c r="X6935" s="28">
        <v>299703000</v>
      </c>
      <c r="Y6935" s="28">
        <v>1963729000</v>
      </c>
      <c r="Z6935" s="28">
        <v>54250000</v>
      </c>
      <c r="AA6935" s="28"/>
      <c r="AB6935" s="28"/>
      <c r="AC6935" s="28">
        <v>1909229000</v>
      </c>
      <c r="AD6935" s="28">
        <v>54500000</v>
      </c>
      <c r="AE6935" s="28">
        <v>8556922000</v>
      </c>
      <c r="AF6935" s="28">
        <v>133007000</v>
      </c>
      <c r="AG6935" s="11"/>
    </row>
    <row r="6936">
      <c r="A6936" s="7" t="s">
        <v>8498</v>
      </c>
      <c r="B6936" s="5" t="s">
        <v>16429</v>
      </c>
      <c r="C6936" s="5" t="s">
        <v>24055</v>
      </c>
      <c r="D6936" s="5" t="str">
        <v>370300407008</v>
      </c>
      <c r="E6936" s="0" t="e">
        <f>+7 (49354) 21014
+7 (962) 907646</f>
        <v>#NAME?</v>
      </c>
      <c r="F6936" s="5" t="s">
        <v>45520</v>
      </c>
      <c r="G6936" s="5"/>
      <c r="H6936" s="26">
        <v>7</v>
      </c>
      <c r="I6936" s="5" t="s">
        <v>45521</v>
      </c>
      <c r="J6936" s="5" t="s">
        <v>25738</v>
      </c>
      <c r="K6936" s="5" t="s">
        <v>355</v>
      </c>
      <c r="L6936" s="5" t="s">
        <v>45522</v>
      </c>
      <c r="M6936" s="27">
        <v>93744</v>
      </c>
      <c r="N6936" s="5"/>
      <c r="O6936" s="5" t="str">
        <v>3702152793</v>
      </c>
      <c r="P6936" s="27">
        <v>300000</v>
      </c>
      <c r="Q6936" s="5"/>
      <c r="R6936" s="5"/>
      <c r="S6936" s="5" t="s">
        <v>49110</v>
      </c>
      <c r="T6936" s="28">
        <v>204551000</v>
      </c>
      <c r="U6936" s="28"/>
      <c r="V6936" s="28">
        <v>44613000</v>
      </c>
      <c r="W6936" s="28"/>
      <c r="X6936" s="28">
        <v>265348000</v>
      </c>
      <c r="Y6936" s="28">
        <v>1555359000</v>
      </c>
      <c r="Z6936" s="28">
        <v>-6353000</v>
      </c>
      <c r="AA6936" s="28"/>
      <c r="AB6936" s="28"/>
      <c r="AC6936" s="28">
        <v>1398923000</v>
      </c>
      <c r="AD6936" s="28">
        <v>-6053000</v>
      </c>
      <c r="AE6936" s="28">
        <v>5900731000</v>
      </c>
      <c r="AF6936" s="28">
        <v>55504000</v>
      </c>
      <c r="AG6936" s="11"/>
    </row>
    <row r="6937">
      <c r="A6937" s="7" t="s">
        <v>8499</v>
      </c>
      <c r="B6937" s="5" t="s">
        <v>16430</v>
      </c>
      <c r="C6937" s="5" t="s">
        <v>24056</v>
      </c>
      <c r="D6937" s="5" t="str">
        <v>382103027952</v>
      </c>
      <c r="E6937" s="0" t="e">
        <f>+7 (40143) 35757
+7 (40161) 31243
+7 (917) 3463555</f>
        <v>#NAME?</v>
      </c>
      <c r="F6937" s="5"/>
      <c r="G6937" s="5"/>
      <c r="H6937" s="26">
        <v>5</v>
      </c>
      <c r="I6937" s="5" t="s">
        <v>45523</v>
      </c>
      <c r="J6937" s="5" t="s">
        <v>25738</v>
      </c>
      <c r="K6937" s="5" t="s">
        <v>355</v>
      </c>
      <c r="L6937" s="5" t="s">
        <v>45524</v>
      </c>
      <c r="M6937" s="27">
        <v>71181</v>
      </c>
      <c r="N6937" s="5"/>
      <c r="O6937" s="5" t="str">
        <v>3914023831</v>
      </c>
      <c r="P6937" s="27">
        <v>200000</v>
      </c>
      <c r="Q6937" s="5" t="s">
        <v>49009</v>
      </c>
      <c r="R6937" s="5"/>
      <c r="S6937" s="5" t="s">
        <v>49010</v>
      </c>
      <c r="T6937" s="28">
        <v>47417000</v>
      </c>
      <c r="U6937" s="28"/>
      <c r="V6937" s="28">
        <v>2370000</v>
      </c>
      <c r="W6937" s="28">
        <v>282995000</v>
      </c>
      <c r="X6937" s="28">
        <v>56685000</v>
      </c>
      <c r="Y6937" s="28">
        <v>1231399000</v>
      </c>
      <c r="Z6937" s="28">
        <v>18384000</v>
      </c>
      <c r="AA6937" s="28"/>
      <c r="AB6937" s="28"/>
      <c r="AC6937" s="28">
        <v>1211498000</v>
      </c>
      <c r="AD6937" s="28">
        <v>18584000</v>
      </c>
      <c r="AE6937" s="28">
        <v>3770965000</v>
      </c>
      <c r="AF6937" s="28">
        <v>41036000</v>
      </c>
      <c r="AG6937" s="11"/>
    </row>
    <row r="6938">
      <c r="A6938" s="7" t="s">
        <v>8500</v>
      </c>
      <c r="B6938" s="5" t="s">
        <v>16431</v>
      </c>
      <c r="C6938" s="5" t="s">
        <v>24057</v>
      </c>
      <c r="D6938" s="5" t="str">
        <v>434601216869</v>
      </c>
      <c r="E6938" s="0" t="e">
        <f>+7 (8332) 254902
+7 (8332) 255583
+7 (8332) 255779
+7 (8332) 255799
+7 (8332) 256253
+7 (8332) 411035
+7 (8332) 699572
+7 (83361) 31013
+7 (83361) 31505
+7 (83362) 40570
+7 (83367) 20352</f>
        <v>#NAME?</v>
      </c>
      <c r="F6938" s="5" t="s">
        <v>45525</v>
      </c>
      <c r="G6938" s="5"/>
      <c r="H6938" s="26">
        <v>6</v>
      </c>
      <c r="I6938" s="5" t="s">
        <v>45526</v>
      </c>
      <c r="J6938" s="5" t="s">
        <v>25738</v>
      </c>
      <c r="K6938" s="5" t="s">
        <v>344</v>
      </c>
      <c r="L6938" s="5" t="s">
        <v>45527</v>
      </c>
      <c r="M6938" s="27"/>
      <c r="N6938" s="5"/>
      <c r="O6938" s="5" t="str">
        <v>4345461666</v>
      </c>
      <c r="P6938" s="27">
        <v>100000</v>
      </c>
      <c r="Q6938" s="5" t="s">
        <v>49059</v>
      </c>
      <c r="R6938" s="5"/>
      <c r="S6938" s="5" t="s">
        <v>49110</v>
      </c>
      <c r="T6938" s="28">
        <v>27020000</v>
      </c>
      <c r="U6938" s="28"/>
      <c r="V6938" s="28">
        <v>19767000</v>
      </c>
      <c r="W6938" s="28">
        <v>46100000</v>
      </c>
      <c r="X6938" s="28">
        <v>130915000</v>
      </c>
      <c r="Y6938" s="28">
        <v>1102369000</v>
      </c>
      <c r="Z6938" s="28">
        <v>26606000</v>
      </c>
      <c r="AA6938" s="28"/>
      <c r="AB6938" s="28"/>
      <c r="AC6938" s="28">
        <v>917739000</v>
      </c>
      <c r="AD6938" s="28">
        <v>26706000</v>
      </c>
      <c r="AE6938" s="28">
        <v>3905829000</v>
      </c>
      <c r="AF6938" s="28">
        <v>59295000</v>
      </c>
      <c r="AG6938" s="11"/>
    </row>
    <row r="6939">
      <c r="A6939" s="7" t="s">
        <v>8501</v>
      </c>
      <c r="B6939" s="5" t="s">
        <v>16432</v>
      </c>
      <c r="C6939" s="5" t="s">
        <v>24058</v>
      </c>
      <c r="D6939" s="5" t="str">
        <v>710401271902</v>
      </c>
      <c r="E6939" s="0" t="e">
        <f>+7 (8313) 397223
+7 (83147) 29039
+7 (83147) 96970
+7 (83148) 51291
+7 (83152) 29303
+7 (920) 2964010</f>
        <v>#NAME?</v>
      </c>
      <c r="F6939" s="5"/>
      <c r="G6939" s="5"/>
      <c r="H6939" s="26">
        <v>8</v>
      </c>
      <c r="I6939" s="5" t="s">
        <v>45528</v>
      </c>
      <c r="J6939" s="5" t="s">
        <v>25738</v>
      </c>
      <c r="K6939" s="5" t="s">
        <v>355</v>
      </c>
      <c r="L6939" s="5" t="s">
        <v>45529</v>
      </c>
      <c r="M6939" s="27">
        <v>96160751</v>
      </c>
      <c r="N6939" s="5"/>
      <c r="O6939" s="5" t="str">
        <v>5244028916</v>
      </c>
      <c r="P6939" s="27">
        <v>500000</v>
      </c>
      <c r="Q6939" s="5"/>
      <c r="R6939" s="5"/>
      <c r="S6939" s="5" t="s">
        <v>49029</v>
      </c>
      <c r="T6939" s="28">
        <v>1260189000</v>
      </c>
      <c r="U6939" s="28"/>
      <c r="V6939" s="28">
        <v>63785000</v>
      </c>
      <c r="W6939" s="28">
        <v>18350000</v>
      </c>
      <c r="X6939" s="28">
        <v>190438000</v>
      </c>
      <c r="Y6939" s="28">
        <v>3448757000</v>
      </c>
      <c r="Z6939" s="28">
        <v>28200000</v>
      </c>
      <c r="AA6939" s="28">
        <v>89100000</v>
      </c>
      <c r="AB6939" s="28">
        <v>10381000</v>
      </c>
      <c r="AC6939" s="28">
        <v>1787985000</v>
      </c>
      <c r="AD6939" s="28">
        <v>28700000</v>
      </c>
      <c r="AE6939" s="28">
        <v>8042383000</v>
      </c>
      <c r="AF6939" s="28">
        <v>102065000</v>
      </c>
      <c r="AG6939" s="11"/>
    </row>
    <row r="6940">
      <c r="A6940" s="7" t="s">
        <v>8502</v>
      </c>
      <c r="B6940" s="5" t="s">
        <v>16433</v>
      </c>
      <c r="C6940" s="5" t="s">
        <v>24059</v>
      </c>
      <c r="D6940" s="5" t="str">
        <v>245013399336</v>
      </c>
      <c r="F6940" s="5"/>
      <c r="G6940" s="5"/>
      <c r="H6940" s="26">
        <v>9.5</v>
      </c>
      <c r="I6940" s="5" t="s">
        <v>45530</v>
      </c>
      <c r="J6940" s="5" t="s">
        <v>25738</v>
      </c>
      <c r="K6940" s="5" t="s">
        <v>344</v>
      </c>
      <c r="L6940" s="5" t="s">
        <v>45531</v>
      </c>
      <c r="M6940" s="27"/>
      <c r="N6940" s="5"/>
      <c r="O6940" s="5" t="str">
        <v>5504242150</v>
      </c>
      <c r="P6940" s="27">
        <v>300000</v>
      </c>
      <c r="Q6940" s="5"/>
      <c r="R6940" s="5"/>
      <c r="S6940" s="5" t="s">
        <v>49110</v>
      </c>
      <c r="T6940" s="28">
        <v>1316927000</v>
      </c>
      <c r="U6940" s="28"/>
      <c r="V6940" s="28">
        <v>341876000</v>
      </c>
      <c r="W6940" s="28">
        <v>198000000</v>
      </c>
      <c r="X6940" s="28">
        <v>114131000</v>
      </c>
      <c r="Y6940" s="28">
        <v>3268157000</v>
      </c>
      <c r="Z6940" s="28">
        <v>46176000</v>
      </c>
      <c r="AA6940" s="28"/>
      <c r="AB6940" s="28">
        <v>704000</v>
      </c>
      <c r="AC6940" s="28">
        <v>1479907000</v>
      </c>
      <c r="AD6940" s="28">
        <v>46476000</v>
      </c>
      <c r="AE6940" s="28">
        <v>5043432000</v>
      </c>
      <c r="AF6940" s="28">
        <v>114580000</v>
      </c>
      <c r="AG6940" s="11"/>
    </row>
    <row r="6941">
      <c r="A6941" s="7" t="s">
        <v>8503</v>
      </c>
      <c r="B6941" s="5" t="s">
        <v>16434</v>
      </c>
      <c r="C6941" s="5" t="s">
        <v>24060</v>
      </c>
      <c r="D6941" s="5" t="str">
        <v>612505822496</v>
      </c>
      <c r="E6941" s="0" t="e">
        <f>+7 (84154) 41008
+7 (913) 5530150
+7 (927) 3677600</f>
        <v>#NAME?</v>
      </c>
      <c r="F6941" s="5"/>
      <c r="G6941" s="5"/>
      <c r="H6941" s="26">
        <v>6</v>
      </c>
      <c r="I6941" s="5" t="s">
        <v>45532</v>
      </c>
      <c r="J6941" s="5" t="s">
        <v>25738</v>
      </c>
      <c r="K6941" s="5" t="s">
        <v>380</v>
      </c>
      <c r="L6941" s="5" t="s">
        <v>45533</v>
      </c>
      <c r="M6941" s="27"/>
      <c r="N6941" s="5"/>
      <c r="O6941" s="5" t="str">
        <v>5834117238</v>
      </c>
      <c r="P6941" s="27">
        <v>250000</v>
      </c>
      <c r="Q6941" s="5"/>
      <c r="R6941" s="5"/>
      <c r="S6941" s="5" t="s">
        <v>49110</v>
      </c>
      <c r="T6941" s="28">
        <v>24699000</v>
      </c>
      <c r="U6941" s="28"/>
      <c r="V6941" s="28">
        <v>56694000</v>
      </c>
      <c r="W6941" s="28"/>
      <c r="X6941" s="28">
        <v>59012000</v>
      </c>
      <c r="Y6941" s="28">
        <v>2024884000</v>
      </c>
      <c r="Z6941" s="28">
        <v>18524000</v>
      </c>
      <c r="AA6941" s="28"/>
      <c r="AB6941" s="28"/>
      <c r="AC6941" s="28">
        <v>1387570000</v>
      </c>
      <c r="AD6941" s="28">
        <v>18774000</v>
      </c>
      <c r="AE6941" s="28">
        <v>5016636000</v>
      </c>
      <c r="AF6941" s="28">
        <v>52582000</v>
      </c>
      <c r="AG6941" s="11"/>
    </row>
    <row r="6942">
      <c r="A6942" s="7" t="s">
        <v>8504</v>
      </c>
      <c r="B6942" s="5" t="s">
        <v>16435</v>
      </c>
      <c r="C6942" s="5" t="s">
        <v>24059</v>
      </c>
      <c r="D6942" s="5" t="str">
        <v>245013399336</v>
      </c>
      <c r="E6942" s="0" t="e">
        <f>+7 (908) 2774491</f>
        <v>#NAME?</v>
      </c>
      <c r="F6942" s="5"/>
      <c r="G6942" s="5"/>
      <c r="H6942" s="26">
        <v>8.5</v>
      </c>
      <c r="I6942" s="5" t="s">
        <v>45532</v>
      </c>
      <c r="J6942" s="5" t="s">
        <v>25738</v>
      </c>
      <c r="K6942" s="5" t="s">
        <v>380</v>
      </c>
      <c r="L6942" s="5" t="s">
        <v>45534</v>
      </c>
      <c r="M6942" s="27">
        <v>1161536</v>
      </c>
      <c r="N6942" s="5"/>
      <c r="O6942" s="5" t="str">
        <v>5906856576</v>
      </c>
      <c r="P6942" s="27">
        <v>250000</v>
      </c>
      <c r="Q6942" s="5"/>
      <c r="R6942" s="5"/>
      <c r="S6942" s="5" t="s">
        <v>49425</v>
      </c>
      <c r="T6942" s="28">
        <v>52325000</v>
      </c>
      <c r="U6942" s="28"/>
      <c r="V6942" s="28">
        <v>51541000</v>
      </c>
      <c r="W6942" s="28">
        <v>15000000</v>
      </c>
      <c r="X6942" s="28">
        <v>110206000</v>
      </c>
      <c r="Y6942" s="28">
        <v>1879966000</v>
      </c>
      <c r="Z6942" s="28">
        <v>12223000</v>
      </c>
      <c r="AA6942" s="28"/>
      <c r="AB6942" s="28"/>
      <c r="AC6942" s="28">
        <v>1550255000</v>
      </c>
      <c r="AD6942" s="28">
        <v>12473000</v>
      </c>
      <c r="AE6942" s="28">
        <v>5442084000</v>
      </c>
      <c r="AF6942" s="28">
        <v>27127000</v>
      </c>
      <c r="AG6942" s="11"/>
    </row>
    <row r="6943">
      <c r="A6943" s="7" t="s">
        <v>8505</v>
      </c>
      <c r="B6943" s="5" t="s">
        <v>16436</v>
      </c>
      <c r="C6943" s="5" t="s">
        <v>24059</v>
      </c>
      <c r="D6943" s="5" t="str">
        <v>245013399336</v>
      </c>
      <c r="F6943" s="5" t="s">
        <v>45535</v>
      </c>
      <c r="G6943" s="5"/>
      <c r="H6943" s="26">
        <v>8</v>
      </c>
      <c r="I6943" s="5" t="s">
        <v>45536</v>
      </c>
      <c r="J6943" s="5" t="s">
        <v>25738</v>
      </c>
      <c r="K6943" s="5" t="s">
        <v>355</v>
      </c>
      <c r="L6943" s="5" t="s">
        <v>45537</v>
      </c>
      <c r="M6943" s="27">
        <v>1152479</v>
      </c>
      <c r="N6943" s="5"/>
      <c r="O6943" s="5" t="str">
        <v>6150079233</v>
      </c>
      <c r="P6943" s="27">
        <v>10000</v>
      </c>
      <c r="Q6943" s="5" t="s">
        <v>49009</v>
      </c>
      <c r="R6943" s="5"/>
      <c r="S6943" s="5" t="s">
        <v>49010</v>
      </c>
      <c r="T6943" s="28">
        <v>431285000</v>
      </c>
      <c r="U6943" s="28"/>
      <c r="V6943" s="28">
        <v>57407000</v>
      </c>
      <c r="W6943" s="28">
        <v>134823000</v>
      </c>
      <c r="X6943" s="28">
        <v>120435000</v>
      </c>
      <c r="Y6943" s="28">
        <v>1841369000</v>
      </c>
      <c r="Z6943" s="28">
        <v>88860000</v>
      </c>
      <c r="AA6943" s="28"/>
      <c r="AB6943" s="28">
        <v>15009000</v>
      </c>
      <c r="AC6943" s="28">
        <v>1252550000</v>
      </c>
      <c r="AD6943" s="28">
        <v>88870000</v>
      </c>
      <c r="AE6943" s="28">
        <v>5096884000</v>
      </c>
      <c r="AF6943" s="28">
        <v>118496000</v>
      </c>
      <c r="AG6943" s="11"/>
    </row>
    <row r="6944">
      <c r="A6944" s="7" t="s">
        <v>8506</v>
      </c>
      <c r="B6944" s="5" t="s">
        <v>16437</v>
      </c>
      <c r="C6944" s="5" t="s">
        <v>24061</v>
      </c>
      <c r="D6944" s="5" t="str">
        <v>613203171024</v>
      </c>
      <c r="E6944" s="0" t="e">
        <f>+7 (846) 2001727
+7 (846) 2540564
+7 (84655) 27599
+7 (84661) 52233
+7 (84676) 23117
+7 (8482) 223112
+7 (8482) 243367
+7 (8482) 557488
+7 (951) 4881974
+7 (996) 7496203</f>
        <v>#NAME?</v>
      </c>
      <c r="F6944" s="5" t="s">
        <v>45538</v>
      </c>
      <c r="G6944" s="5"/>
      <c r="H6944" s="26">
        <v>8.5</v>
      </c>
      <c r="I6944" s="5" t="s">
        <v>45532</v>
      </c>
      <c r="J6944" s="5" t="s">
        <v>25738</v>
      </c>
      <c r="K6944" s="5" t="s">
        <v>380</v>
      </c>
      <c r="L6944" s="5" t="s">
        <v>26663</v>
      </c>
      <c r="M6944" s="27"/>
      <c r="N6944" s="5"/>
      <c r="O6944" s="5" t="str">
        <v>6314039514</v>
      </c>
      <c r="P6944" s="27">
        <v>250000</v>
      </c>
      <c r="Q6944" s="5" t="s">
        <v>49059</v>
      </c>
      <c r="R6944" s="5"/>
      <c r="S6944" s="5" t="s">
        <v>49110</v>
      </c>
      <c r="T6944" s="28">
        <v>65723000</v>
      </c>
      <c r="U6944" s="28"/>
      <c r="V6944" s="28">
        <v>59694000</v>
      </c>
      <c r="W6944" s="28"/>
      <c r="X6944" s="28">
        <v>74197000</v>
      </c>
      <c r="Y6944" s="28">
        <v>2217344000</v>
      </c>
      <c r="Z6944" s="28">
        <v>16068000</v>
      </c>
      <c r="AA6944" s="28"/>
      <c r="AB6944" s="28">
        <v>102196000</v>
      </c>
      <c r="AC6944" s="28">
        <v>1622335000</v>
      </c>
      <c r="AD6944" s="28">
        <v>16318000</v>
      </c>
      <c r="AE6944" s="28">
        <v>5162682000</v>
      </c>
      <c r="AF6944" s="28">
        <v>34735000</v>
      </c>
      <c r="AG6944" s="11"/>
    </row>
    <row r="6945">
      <c r="A6945" s="7" t="s">
        <v>8507</v>
      </c>
      <c r="B6945" s="5" t="s">
        <v>16438</v>
      </c>
      <c r="C6945" s="5" t="s">
        <v>24062</v>
      </c>
      <c r="D6945" s="5" t="str">
        <v>660604859907</v>
      </c>
      <c r="E6945" s="0" t="e">
        <f>+7 (3435) 378590
+7 (3435) 379050
+7 (3435) 379569
+7 (3435) 379910
+7 (34355) 65175
+7 (34376) 54647
+7 (34391) 22450
+7 (909) 240548</f>
        <v>#NAME?</v>
      </c>
      <c r="F6945" s="5" t="s">
        <v>45539</v>
      </c>
      <c r="G6945" s="5"/>
      <c r="H6945" s="26">
        <v>9</v>
      </c>
      <c r="I6945" s="5" t="s">
        <v>45532</v>
      </c>
      <c r="J6945" s="5" t="s">
        <v>25738</v>
      </c>
      <c r="K6945" s="5" t="s">
        <v>355</v>
      </c>
      <c r="L6945" s="5" t="s">
        <v>45540</v>
      </c>
      <c r="M6945" s="27">
        <v>5873147</v>
      </c>
      <c r="N6945" s="5"/>
      <c r="O6945" s="5" t="str">
        <v>6679049818</v>
      </c>
      <c r="P6945" s="27">
        <v>250000</v>
      </c>
      <c r="Q6945" s="5"/>
      <c r="R6945" s="5"/>
      <c r="S6945" s="5" t="s">
        <v>49110</v>
      </c>
      <c r="T6945" s="28">
        <v>39030000</v>
      </c>
      <c r="U6945" s="28"/>
      <c r="V6945" s="28">
        <v>27489000</v>
      </c>
      <c r="W6945" s="28">
        <v>275506000</v>
      </c>
      <c r="X6945" s="28">
        <v>194314000</v>
      </c>
      <c r="Y6945" s="28">
        <v>2880540000</v>
      </c>
      <c r="Z6945" s="28">
        <v>59192000</v>
      </c>
      <c r="AA6945" s="28"/>
      <c r="AB6945" s="28"/>
      <c r="AC6945" s="28">
        <v>2821098000</v>
      </c>
      <c r="AD6945" s="28">
        <v>59442000</v>
      </c>
      <c r="AE6945" s="28">
        <v>11606378000</v>
      </c>
      <c r="AF6945" s="28">
        <v>151837000</v>
      </c>
      <c r="AG6945" s="11"/>
    </row>
    <row r="6946">
      <c r="A6946" s="7" t="s">
        <v>8508</v>
      </c>
      <c r="B6946" s="5" t="s">
        <v>16439</v>
      </c>
      <c r="C6946" s="5" t="s">
        <v>24063</v>
      </c>
      <c r="D6946" s="5" t="str">
        <v>524810515080</v>
      </c>
      <c r="E6946" s="0" t="e">
        <f>+7 (961) 1051048</f>
        <v>#NAME?</v>
      </c>
      <c r="F6946" s="5" t="s">
        <v>45541</v>
      </c>
      <c r="G6946" s="5"/>
      <c r="H6946" s="26">
        <v>8</v>
      </c>
      <c r="I6946" s="5" t="s">
        <v>45542</v>
      </c>
      <c r="J6946" s="5" t="s">
        <v>25738</v>
      </c>
      <c r="K6946" s="5" t="s">
        <v>355</v>
      </c>
      <c r="L6946" s="5" t="s">
        <v>45543</v>
      </c>
      <c r="M6946" s="27"/>
      <c r="N6946" s="5"/>
      <c r="O6946" s="5" t="str">
        <v>7106023201</v>
      </c>
      <c r="P6946" s="27">
        <v>500000</v>
      </c>
      <c r="Q6946" s="5"/>
      <c r="R6946" s="5"/>
      <c r="S6946" s="5" t="s">
        <v>49110</v>
      </c>
      <c r="T6946" s="28">
        <v>92021000</v>
      </c>
      <c r="U6946" s="28"/>
      <c r="V6946" s="28">
        <v>344959000</v>
      </c>
      <c r="W6946" s="28"/>
      <c r="X6946" s="28">
        <v>337475000</v>
      </c>
      <c r="Y6946" s="28">
        <v>2659148000</v>
      </c>
      <c r="Z6946" s="28">
        <v>10558000</v>
      </c>
      <c r="AA6946" s="28">
        <v>8004000</v>
      </c>
      <c r="AB6946" s="28"/>
      <c r="AC6946" s="28">
        <v>2638876000</v>
      </c>
      <c r="AD6946" s="28">
        <v>11058000</v>
      </c>
      <c r="AE6946" s="28">
        <v>11442787000</v>
      </c>
      <c r="AF6946" s="28">
        <v>86148000</v>
      </c>
      <c r="AG6946" s="11"/>
    </row>
    <row r="6947">
      <c r="A6947" s="7" t="s">
        <v>8509</v>
      </c>
      <c r="B6947" s="5" t="s">
        <v>16440</v>
      </c>
      <c r="C6947" s="5" t="s">
        <v>24064</v>
      </c>
      <c r="D6947" s="5" t="str">
        <v>222408522132</v>
      </c>
      <c r="E6947" s="0" t="e">
        <f>+7 (909) 1918142
+7 (929) 2690422</f>
        <v>#NAME?</v>
      </c>
      <c r="F6947" s="5" t="s">
        <v>45544</v>
      </c>
      <c r="G6947" s="5"/>
      <c r="H6947" s="26">
        <v>9</v>
      </c>
      <c r="I6947" s="5" t="s">
        <v>45545</v>
      </c>
      <c r="J6947" s="5" t="s">
        <v>25738</v>
      </c>
      <c r="K6947" s="5" t="s">
        <v>344</v>
      </c>
      <c r="L6947" s="5" t="s">
        <v>45546</v>
      </c>
      <c r="M6947" s="27">
        <v>881861</v>
      </c>
      <c r="N6947" s="5"/>
      <c r="O6947" s="5" t="str">
        <v>7203306290</v>
      </c>
      <c r="P6947" s="27">
        <v>1000000</v>
      </c>
      <c r="Q6947" s="5"/>
      <c r="R6947" s="5"/>
      <c r="S6947" s="5" t="s">
        <v>49110</v>
      </c>
      <c r="T6947" s="28">
        <v>17494000</v>
      </c>
      <c r="U6947" s="28"/>
      <c r="V6947" s="28">
        <v>54605000</v>
      </c>
      <c r="W6947" s="28">
        <v>402427000</v>
      </c>
      <c r="X6947" s="28">
        <v>182217000</v>
      </c>
      <c r="Y6947" s="28">
        <v>2405133000</v>
      </c>
      <c r="Z6947" s="28">
        <v>67439000</v>
      </c>
      <c r="AA6947" s="28"/>
      <c r="AB6947" s="28"/>
      <c r="AC6947" s="28">
        <v>2336690000</v>
      </c>
      <c r="AD6947" s="28">
        <v>68439000</v>
      </c>
      <c r="AE6947" s="28">
        <v>8531586000</v>
      </c>
      <c r="AF6947" s="28">
        <v>104614000</v>
      </c>
      <c r="AG6947" s="11"/>
    </row>
    <row r="6948">
      <c r="A6948" s="7" t="s">
        <v>8510</v>
      </c>
      <c r="B6948" s="5" t="s">
        <v>16441</v>
      </c>
      <c r="C6948" s="5" t="s">
        <v>24065</v>
      </c>
      <c r="D6948" s="5" t="str">
        <v>380500287030</v>
      </c>
      <c r="E6948" s="0" t="e">
        <f>+7 (3022) 250755</f>
        <v>#NAME?</v>
      </c>
      <c r="F6948" s="5" t="s">
        <v>45547</v>
      </c>
      <c r="G6948" s="5"/>
      <c r="H6948" s="26">
        <v>12.5</v>
      </c>
      <c r="I6948" s="5" t="s">
        <v>45548</v>
      </c>
      <c r="J6948" s="5" t="s">
        <v>25738</v>
      </c>
      <c r="K6948" s="5" t="s">
        <v>344</v>
      </c>
      <c r="L6948" s="5" t="s">
        <v>45549</v>
      </c>
      <c r="M6948" s="27"/>
      <c r="N6948" s="5"/>
      <c r="O6948" s="5" t="str">
        <v>7536113009</v>
      </c>
      <c r="P6948" s="27">
        <v>250000</v>
      </c>
      <c r="Q6948" s="5"/>
      <c r="R6948" s="5"/>
      <c r="S6948" s="5" t="s">
        <v>49110</v>
      </c>
      <c r="T6948" s="28">
        <v>1231864000</v>
      </c>
      <c r="U6948" s="28"/>
      <c r="V6948" s="28">
        <v>2372000</v>
      </c>
      <c r="W6948" s="28">
        <v>555589000</v>
      </c>
      <c r="X6948" s="28">
        <v>162953000</v>
      </c>
      <c r="Y6948" s="28">
        <v>4470772000</v>
      </c>
      <c r="Z6948" s="28">
        <v>167022000</v>
      </c>
      <c r="AA6948" s="28"/>
      <c r="AB6948" s="28"/>
      <c r="AC6948" s="28">
        <v>2670251000</v>
      </c>
      <c r="AD6948" s="28">
        <v>167272000</v>
      </c>
      <c r="AE6948" s="28">
        <v>9845912000</v>
      </c>
      <c r="AF6948" s="28">
        <v>283902000</v>
      </c>
      <c r="AG6948" s="11"/>
    </row>
    <row r="6949">
      <c r="A6949" s="7" t="s">
        <v>8511</v>
      </c>
      <c r="B6949" s="5" t="s">
        <v>16442</v>
      </c>
      <c r="C6949" s="5" t="s">
        <v>24066</v>
      </c>
      <c r="D6949" s="5" t="str">
        <v>110112813204</v>
      </c>
      <c r="F6949" s="5" t="s">
        <v>45550</v>
      </c>
      <c r="G6949" s="5"/>
      <c r="H6949" s="26">
        <v>7</v>
      </c>
      <c r="I6949" s="5" t="s">
        <v>45551</v>
      </c>
      <c r="J6949" s="5" t="s">
        <v>25738</v>
      </c>
      <c r="K6949" s="5" t="s">
        <v>355</v>
      </c>
      <c r="L6949" s="5" t="s">
        <v>45552</v>
      </c>
      <c r="M6949" s="27">
        <v>7117694</v>
      </c>
      <c r="N6949" s="5"/>
      <c r="O6949" s="5" t="str">
        <v>7842077938</v>
      </c>
      <c r="P6949" s="27">
        <v>1000000</v>
      </c>
      <c r="Q6949" s="5"/>
      <c r="R6949" s="5"/>
      <c r="S6949" s="5" t="s">
        <v>49110</v>
      </c>
      <c r="T6949" s="28">
        <v>115590000</v>
      </c>
      <c r="U6949" s="28"/>
      <c r="V6949" s="28">
        <v>92691000</v>
      </c>
      <c r="W6949" s="28">
        <v>230000000</v>
      </c>
      <c r="X6949" s="28">
        <v>230837000</v>
      </c>
      <c r="Y6949" s="28">
        <v>3582126000</v>
      </c>
      <c r="Z6949" s="28">
        <v>57537000</v>
      </c>
      <c r="AA6949" s="28"/>
      <c r="AB6949" s="28">
        <v>38799000</v>
      </c>
      <c r="AC6949" s="28">
        <v>3516016000</v>
      </c>
      <c r="AD6949" s="28">
        <v>58537000</v>
      </c>
      <c r="AE6949" s="28">
        <v>15064007000</v>
      </c>
      <c r="AF6949" s="28">
        <v>130000000</v>
      </c>
      <c r="AG6949" s="11"/>
    </row>
    <row r="6950">
      <c r="A6950" s="7" t="s">
        <v>8512</v>
      </c>
      <c r="B6950" s="5" t="s">
        <v>16443</v>
      </c>
      <c r="C6950" s="5" t="s">
        <v>24067</v>
      </c>
      <c r="D6950" s="5" t="str">
        <v>773373942476</v>
      </c>
      <c r="F6950" s="5"/>
      <c r="G6950" s="5"/>
      <c r="H6950" s="26">
        <v>2</v>
      </c>
      <c r="I6950" s="5" t="s">
        <v>45553</v>
      </c>
      <c r="J6950" s="5" t="s">
        <v>678</v>
      </c>
      <c r="K6950" s="5" t="s">
        <v>344</v>
      </c>
      <c r="L6950" s="5"/>
      <c r="M6950" s="27"/>
      <c r="N6950" s="5"/>
      <c r="O6950" s="5" t="str">
        <v>9719010780</v>
      </c>
      <c r="P6950" s="27">
        <v>500000</v>
      </c>
      <c r="Q6950" s="5"/>
      <c r="R6950" s="5"/>
      <c r="S6950" s="5" t="s">
        <v>49029</v>
      </c>
      <c r="T6950" s="28">
        <v>4795000</v>
      </c>
      <c r="U6950" s="28"/>
      <c r="V6950" s="28">
        <v>2359283000</v>
      </c>
      <c r="W6950" s="28">
        <v>64360000</v>
      </c>
      <c r="X6950" s="28">
        <v>279000</v>
      </c>
      <c r="Y6950" s="28">
        <v>2605802000</v>
      </c>
      <c r="Z6950" s="28">
        <v>727498000</v>
      </c>
      <c r="AA6950" s="28"/>
      <c r="AB6950" s="28"/>
      <c r="AC6950" s="28">
        <v>1872009000</v>
      </c>
      <c r="AD6950" s="28">
        <v>727998000</v>
      </c>
      <c r="AE6950" s="28">
        <v>8518773000</v>
      </c>
      <c r="AF6950" s="28">
        <v>721102000</v>
      </c>
      <c r="AG6950" s="11"/>
    </row>
    <row r="6951">
      <c r="A6951" s="7" t="s">
        <v>8513</v>
      </c>
      <c r="B6951" s="5" t="s">
        <v>16444</v>
      </c>
      <c r="C6951" s="5" t="s">
        <v>24068</v>
      </c>
      <c r="D6951" s="5" t="str">
        <v>504107865270</v>
      </c>
      <c r="E6951" s="0" t="e">
        <f>+7 (495) 9676684</f>
        <v>#NAME?</v>
      </c>
      <c r="F6951" s="5" t="s">
        <v>45554</v>
      </c>
      <c r="G6951" s="5" t="s">
        <v>45555</v>
      </c>
      <c r="H6951" s="26">
        <v>4</v>
      </c>
      <c r="I6951" s="5" t="s">
        <v>45556</v>
      </c>
      <c r="J6951" s="5" t="s">
        <v>28069</v>
      </c>
      <c r="K6951" s="5" t="s">
        <v>344</v>
      </c>
      <c r="L6951" s="5"/>
      <c r="M6951" s="27"/>
      <c r="N6951" s="5"/>
      <c r="O6951" s="5" t="str">
        <v>9701127410</v>
      </c>
      <c r="P6951" s="27">
        <v>1000000</v>
      </c>
      <c r="Q6951" s="5" t="s">
        <v>59656</v>
      </c>
      <c r="R6951" s="5"/>
      <c r="S6951" s="5" t="s">
        <v>59657</v>
      </c>
      <c r="T6951" s="28"/>
      <c r="U6951" s="28"/>
      <c r="V6951" s="28">
        <v>4592575000</v>
      </c>
      <c r="W6951" s="28"/>
      <c r="X6951" s="28">
        <v>130912000</v>
      </c>
      <c r="Y6951" s="28">
        <v>7598263000</v>
      </c>
      <c r="Z6951" s="28">
        <v>127310000</v>
      </c>
      <c r="AA6951" s="28"/>
      <c r="AB6951" s="28">
        <v>434765000</v>
      </c>
      <c r="AC6951" s="28">
        <v>7458600000</v>
      </c>
      <c r="AD6951" s="28">
        <v>128310000</v>
      </c>
      <c r="AE6951" s="28">
        <v>9426317000</v>
      </c>
      <c r="AF6951" s="28">
        <v>29977000</v>
      </c>
      <c r="AG6951" s="11"/>
    </row>
    <row r="6952">
      <c r="A6952" s="7" t="s">
        <v>8514</v>
      </c>
      <c r="B6952" s="5" t="s">
        <v>16445</v>
      </c>
      <c r="C6952" s="5" t="s">
        <v>24069</v>
      </c>
      <c r="D6952" s="5" t="str">
        <v>645209239313</v>
      </c>
      <c r="E6952" s="0" t="e">
        <f>+7 (3012) 204025
+7 (3012) 565025
+7 (3412) 772899
+7 (3432) 375555
+7 (3432) 895194
+7 (3433) 734090
+7 (345) 2514941
+7 (3512) 173736
+7 (35324) 81113
+7 (381) 2905212
+7 (382) 2994460
+7 (383) 2840106
+7 (385) 2720804
+7 (391) 2164022
+7 (401) 2615656</f>
        <v>#NAME?</v>
      </c>
      <c r="F6952" s="5" t="s">
        <v>45557</v>
      </c>
      <c r="G6952" s="5" t="s">
        <v>45558</v>
      </c>
      <c r="H6952" s="26">
        <v>30</v>
      </c>
      <c r="I6952" s="5" t="s">
        <v>45559</v>
      </c>
      <c r="J6952" s="5" t="s">
        <v>44166</v>
      </c>
      <c r="K6952" s="5" t="s">
        <v>344</v>
      </c>
      <c r="L6952" s="5"/>
      <c r="M6952" s="27"/>
      <c r="N6952" s="5"/>
      <c r="O6952" s="5" t="str">
        <v>6453013457</v>
      </c>
      <c r="P6952" s="27">
        <v>355300</v>
      </c>
      <c r="Q6952" s="5" t="s">
        <v>49009</v>
      </c>
      <c r="R6952" s="5"/>
      <c r="S6952" s="5" t="s">
        <v>49028</v>
      </c>
      <c r="T6952" s="28">
        <v>912170000</v>
      </c>
      <c r="U6952" s="28"/>
      <c r="V6952" s="28">
        <v>1790770000</v>
      </c>
      <c r="W6952" s="28">
        <v>15000000</v>
      </c>
      <c r="X6952" s="28">
        <v>1000</v>
      </c>
      <c r="Y6952" s="28">
        <v>3136716000</v>
      </c>
      <c r="Z6952" s="28">
        <v>3032745000</v>
      </c>
      <c r="AA6952" s="28"/>
      <c r="AB6952" s="28"/>
      <c r="AC6952" s="28">
        <v>399417000</v>
      </c>
      <c r="AD6952" s="28">
        <v>2673511000</v>
      </c>
      <c r="AE6952" s="28">
        <v>3186225000</v>
      </c>
      <c r="AF6952" s="28">
        <v>42291000</v>
      </c>
      <c r="AG6952" s="11"/>
    </row>
    <row r="6953">
      <c r="A6953" s="7" t="s">
        <v>8515</v>
      </c>
      <c r="B6953" s="5" t="s">
        <v>16446</v>
      </c>
      <c r="C6953" s="5" t="s">
        <v>24070</v>
      </c>
      <c r="D6953" s="5" t="str">
        <v>683103280419</v>
      </c>
      <c r="E6953" s="0" t="e">
        <f>+7 (475) 2563506
+7 (475) 2227260
+7 (475) 2274578
+7 (475) 2276545
+7 (475) 2335489
+7 (475) 2446344
+7 (475) 2446345
+7 (475) 2449395
+7 (475) 2456212
+7 (475) 2457845
+7 (475) 2458978
+7 (475) 2552139
+7 (475) 2555417
+7 (475) 2478945
+7 (475) 2482600</f>
        <v>#NAME?</v>
      </c>
      <c r="F6953" s="5" t="s">
        <v>45560</v>
      </c>
      <c r="G6953" s="5" t="s">
        <v>45561</v>
      </c>
      <c r="H6953" s="26">
        <v>17</v>
      </c>
      <c r="I6953" s="5"/>
      <c r="J6953" s="5" t="s">
        <v>26623</v>
      </c>
      <c r="K6953" s="5" t="s">
        <v>344</v>
      </c>
      <c r="L6953" s="5" t="s">
        <v>45562</v>
      </c>
      <c r="M6953" s="27">
        <v>27289924</v>
      </c>
      <c r="N6953" s="5" t="s">
        <v>59658</v>
      </c>
      <c r="O6953" s="5" t="str">
        <v>6829017247</v>
      </c>
      <c r="P6953" s="27">
        <v>39000000</v>
      </c>
      <c r="Q6953" s="5" t="s">
        <v>59659</v>
      </c>
      <c r="R6953" s="5"/>
      <c r="S6953" s="5" t="s">
        <v>51054</v>
      </c>
      <c r="T6953" s="28">
        <v>342487000</v>
      </c>
      <c r="U6953" s="28">
        <v>246847000</v>
      </c>
      <c r="V6953" s="28">
        <v>489901000</v>
      </c>
      <c r="W6953" s="28">
        <v>65754000</v>
      </c>
      <c r="X6953" s="28">
        <v>123465000</v>
      </c>
      <c r="Y6953" s="28">
        <v>1473214000</v>
      </c>
      <c r="Z6953" s="28">
        <v>199083000</v>
      </c>
      <c r="AA6953" s="28"/>
      <c r="AB6953" s="28">
        <v>455444000</v>
      </c>
      <c r="AC6953" s="28">
        <v>1155939000</v>
      </c>
      <c r="AD6953" s="28">
        <v>240033000</v>
      </c>
      <c r="AE6953" s="28">
        <v>6943766000</v>
      </c>
      <c r="AF6953" s="28">
        <v>101304000</v>
      </c>
      <c r="AG6953" s="11"/>
    </row>
    <row r="6954">
      <c r="A6954" s="7" t="s">
        <v>8516</v>
      </c>
      <c r="B6954" s="5" t="s">
        <v>16447</v>
      </c>
      <c r="C6954" s="5" t="s">
        <v>24071</v>
      </c>
      <c r="D6954" s="5" t="str">
        <v>524901761727</v>
      </c>
      <c r="E6954" s="0" t="e">
        <f>+7 (8313) 255332
+7 (8313) 274101
+7 (8313) 218997
+7 (8313) 220506
+7 (8313) 249390
+7 (8313) 255342
+7 (8313) 255347
+7 (8313) 255442
+7 (8313) 271100
+7 (8313) 274108
+7 (8313) 274109
+7 (8313) 274121
+7 (8313) 274123
+7 (8313) 275092
+7 (8313) 391310</f>
        <v>#NAME?</v>
      </c>
      <c r="F6954" s="5" t="s">
        <v>45563</v>
      </c>
      <c r="G6954" s="5"/>
      <c r="H6954" s="26">
        <v>24.5</v>
      </c>
      <c r="I6954" s="5" t="s">
        <v>45564</v>
      </c>
      <c r="J6954" s="5" t="s">
        <v>26770</v>
      </c>
      <c r="K6954" s="5" t="s">
        <v>344</v>
      </c>
      <c r="L6954" s="5" t="s">
        <v>45565</v>
      </c>
      <c r="M6954" s="27"/>
      <c r="N6954" s="5" t="s">
        <v>59660</v>
      </c>
      <c r="O6954" s="5" t="str">
        <v>5249046147</v>
      </c>
      <c r="P6954" s="27">
        <v>10000</v>
      </c>
      <c r="Q6954" s="5" t="s">
        <v>59661</v>
      </c>
      <c r="R6954" s="5"/>
      <c r="S6954" s="5" t="s">
        <v>53222</v>
      </c>
      <c r="T6954" s="28">
        <v>89447000</v>
      </c>
      <c r="U6954" s="28">
        <v>901215000</v>
      </c>
      <c r="V6954" s="28">
        <v>696037000</v>
      </c>
      <c r="W6954" s="28">
        <v>525786000</v>
      </c>
      <c r="X6954" s="28">
        <v>1443738000</v>
      </c>
      <c r="Y6954" s="28">
        <v>4102272000</v>
      </c>
      <c r="Z6954" s="28">
        <v>2446603000</v>
      </c>
      <c r="AA6954" s="28">
        <v>628418000</v>
      </c>
      <c r="AB6954" s="28">
        <v>273919000</v>
      </c>
      <c r="AC6954" s="28">
        <v>916118000</v>
      </c>
      <c r="AD6954" s="28">
        <v>2446613000</v>
      </c>
      <c r="AE6954" s="28">
        <v>8814916000</v>
      </c>
      <c r="AF6954" s="28">
        <v>1514240000</v>
      </c>
      <c r="AG6954" s="11"/>
    </row>
    <row r="6955">
      <c r="A6955" s="7" t="s">
        <v>8517</v>
      </c>
      <c r="B6955" s="5" t="s">
        <v>16448</v>
      </c>
      <c r="C6955" s="5" t="s">
        <v>24072</v>
      </c>
      <c r="D6955" s="5" t="str">
        <v>622904162576</v>
      </c>
      <c r="E6955" s="0" t="e">
        <f>+7 (4912) 270993
+7 (4912) 271725
+7 (4912) 300102
+7 (4912) 300777
+7 (4912) 300945
+7 (4912) 301320
+7 (4912) 416341</f>
        <v>#NAME?</v>
      </c>
      <c r="F6955" s="5" t="s">
        <v>45566</v>
      </c>
      <c r="G6955" s="5" t="s">
        <v>45567</v>
      </c>
      <c r="H6955" s="26">
        <v>25</v>
      </c>
      <c r="I6955" s="5"/>
      <c r="J6955" s="5" t="s">
        <v>445</v>
      </c>
      <c r="K6955" s="5" t="s">
        <v>344</v>
      </c>
      <c r="L6955" s="5" t="s">
        <v>45568</v>
      </c>
      <c r="M6955" s="27"/>
      <c r="N6955" s="5" t="s">
        <v>59662</v>
      </c>
      <c r="O6955" s="5" t="str">
        <v>6230029069</v>
      </c>
      <c r="P6955" s="27">
        <v>32960826</v>
      </c>
      <c r="Q6955" s="5" t="s">
        <v>59663</v>
      </c>
      <c r="R6955" s="5"/>
      <c r="S6955" s="5" t="s">
        <v>53693</v>
      </c>
      <c r="T6955" s="28">
        <v>566619000</v>
      </c>
      <c r="U6955" s="28">
        <v>1080854000</v>
      </c>
      <c r="V6955" s="28">
        <v>652760000</v>
      </c>
      <c r="W6955" s="28">
        <v>1149414000</v>
      </c>
      <c r="X6955" s="28">
        <v>168618000</v>
      </c>
      <c r="Y6955" s="28">
        <v>5008206000</v>
      </c>
      <c r="Z6955" s="28">
        <v>977019000</v>
      </c>
      <c r="AA6955" s="28">
        <v>1579569000</v>
      </c>
      <c r="AB6955" s="28">
        <v>210654000</v>
      </c>
      <c r="AC6955" s="28">
        <v>1266509000</v>
      </c>
      <c r="AD6955" s="28">
        <v>2049085000</v>
      </c>
      <c r="AE6955" s="28">
        <v>5701522000</v>
      </c>
      <c r="AF6955" s="28">
        <v>405184000</v>
      </c>
      <c r="AG6955" s="11"/>
    </row>
    <row r="6956">
      <c r="A6956" s="7" t="s">
        <v>8518</v>
      </c>
      <c r="B6956" s="5" t="s">
        <v>16449</v>
      </c>
      <c r="C6956" s="5" t="s">
        <v>24073</v>
      </c>
      <c r="D6956" s="5" t="str">
        <v>667101628230</v>
      </c>
      <c r="E6956" s="0" t="e">
        <f>+7 (495) 1981162
+7 (495) 2583350
+7 (495) 2583351
+7 (495) 5681493
+7 (499) 6734510
+7 (800) 2000024</f>
        <v>#NAME?</v>
      </c>
      <c r="F6956" s="5" t="s">
        <v>45569</v>
      </c>
      <c r="G6956" s="5" t="s">
        <v>45570</v>
      </c>
      <c r="H6956" s="26">
        <v>4.5</v>
      </c>
      <c r="I6956" s="5"/>
      <c r="J6956" s="5" t="s">
        <v>30822</v>
      </c>
      <c r="K6956" s="5" t="s">
        <v>344</v>
      </c>
      <c r="L6956" s="5" t="s">
        <v>45571</v>
      </c>
      <c r="M6956" s="27"/>
      <c r="N6956" s="5"/>
      <c r="O6956" s="5" t="str">
        <v>9705120864</v>
      </c>
      <c r="P6956" s="27">
        <v>1000100</v>
      </c>
      <c r="Q6956" s="5"/>
      <c r="R6956" s="5"/>
      <c r="S6956" s="5" t="s">
        <v>49121</v>
      </c>
      <c r="T6956" s="28">
        <v>819293000</v>
      </c>
      <c r="U6956" s="28">
        <v>353148000</v>
      </c>
      <c r="V6956" s="28">
        <v>1305747000</v>
      </c>
      <c r="W6956" s="28">
        <v>28100000</v>
      </c>
      <c r="X6956" s="28">
        <v>9681579000</v>
      </c>
      <c r="Y6956" s="28">
        <v>14069355000</v>
      </c>
      <c r="Z6956" s="28">
        <v>9567478000</v>
      </c>
      <c r="AA6956" s="28"/>
      <c r="AB6956" s="28"/>
      <c r="AC6956" s="28">
        <v>2312208000</v>
      </c>
      <c r="AD6956" s="28">
        <v>11453702000</v>
      </c>
      <c r="AE6956" s="28">
        <v>19607325000</v>
      </c>
      <c r="AF6956" s="28">
        <v>6249415000</v>
      </c>
      <c r="AG6956" s="11"/>
    </row>
    <row r="6957">
      <c r="A6957" s="7" t="s">
        <v>8519</v>
      </c>
      <c r="B6957" s="5" t="s">
        <v>16450</v>
      </c>
      <c r="C6957" s="5" t="s">
        <v>24074</v>
      </c>
      <c r="D6957" s="5" t="str">
        <v>773009086724</v>
      </c>
      <c r="E6957" s="0" t="e">
        <f>+7 (495) 2019299
+7 (977) 1801001</f>
        <v>#NAME?</v>
      </c>
      <c r="F6957" s="5" t="s">
        <v>45572</v>
      </c>
      <c r="G6957" s="5"/>
      <c r="H6957" s="26">
        <v>5.5</v>
      </c>
      <c r="I6957" s="5" t="s">
        <v>45573</v>
      </c>
      <c r="J6957" s="5" t="s">
        <v>641</v>
      </c>
      <c r="K6957" s="5" t="s">
        <v>344</v>
      </c>
      <c r="L6957" s="5" t="s">
        <v>45574</v>
      </c>
      <c r="M6957" s="27"/>
      <c r="N6957" s="5" t="s">
        <v>59664</v>
      </c>
      <c r="O6957" s="5" t="str">
        <v>9718065674</v>
      </c>
      <c r="P6957" s="27">
        <v>250000</v>
      </c>
      <c r="Q6957" s="5" t="s">
        <v>59665</v>
      </c>
      <c r="R6957" s="5"/>
      <c r="S6957" s="5" t="s">
        <v>59504</v>
      </c>
      <c r="T6957" s="28">
        <v>2137000</v>
      </c>
      <c r="U6957" s="28"/>
      <c r="V6957" s="28">
        <v>6295937000</v>
      </c>
      <c r="W6957" s="28">
        <v>1349607000</v>
      </c>
      <c r="X6957" s="28">
        <v>657230000</v>
      </c>
      <c r="Y6957" s="28">
        <v>8337410000</v>
      </c>
      <c r="Z6957" s="28">
        <v>1098004000</v>
      </c>
      <c r="AA6957" s="28"/>
      <c r="AB6957" s="28">
        <v>344377000</v>
      </c>
      <c r="AC6957" s="28">
        <v>7237042000</v>
      </c>
      <c r="AD6957" s="28">
        <v>1098254000</v>
      </c>
      <c r="AE6957" s="28">
        <v>11158784000</v>
      </c>
      <c r="AF6957" s="28">
        <v>1092458000</v>
      </c>
      <c r="AG6957" s="11"/>
    </row>
    <row r="6958">
      <c r="A6958" s="7" t="s">
        <v>8520</v>
      </c>
      <c r="B6958" s="5" t="s">
        <v>16451</v>
      </c>
      <c r="C6958" s="5" t="s">
        <v>24075</v>
      </c>
      <c r="D6958" s="5" t="str">
        <v>780508079459</v>
      </c>
      <c r="E6958" s="0" t="e">
        <f>+7 (952) 2958195
+7 (960) 5328991
+7 (812) 3349833
+7 (812) 5520016
+7 (921) 9083681</f>
        <v>#NAME?</v>
      </c>
      <c r="F6958" s="5" t="s">
        <v>45575</v>
      </c>
      <c r="G6958" s="5" t="s">
        <v>45576</v>
      </c>
      <c r="H6958" s="26">
        <v>16</v>
      </c>
      <c r="I6958" s="5" t="s">
        <v>45577</v>
      </c>
      <c r="J6958" s="5" t="s">
        <v>25550</v>
      </c>
      <c r="K6958" s="5" t="s">
        <v>344</v>
      </c>
      <c r="L6958" s="5" t="s">
        <v>45578</v>
      </c>
      <c r="M6958" s="27"/>
      <c r="N6958" s="5" t="s">
        <v>59666</v>
      </c>
      <c r="O6958" s="5" t="str">
        <v>7802390911</v>
      </c>
      <c r="P6958" s="27">
        <v>500000</v>
      </c>
      <c r="Q6958" s="5" t="s">
        <v>59667</v>
      </c>
      <c r="R6958" s="5"/>
      <c r="S6958" s="5" t="s">
        <v>50836</v>
      </c>
      <c r="T6958" s="28">
        <v>293701000</v>
      </c>
      <c r="U6958" s="28"/>
      <c r="V6958" s="28">
        <v>405547000</v>
      </c>
      <c r="W6958" s="28">
        <v>173500000</v>
      </c>
      <c r="X6958" s="28">
        <v>1280000</v>
      </c>
      <c r="Y6958" s="28">
        <v>1859408000</v>
      </c>
      <c r="Z6958" s="28">
        <v>1210305000</v>
      </c>
      <c r="AA6958" s="28"/>
      <c r="AB6958" s="28"/>
      <c r="AC6958" s="28">
        <v>648603000</v>
      </c>
      <c r="AD6958" s="28">
        <v>1210805000</v>
      </c>
      <c r="AE6958" s="28">
        <v>4187692000</v>
      </c>
      <c r="AF6958" s="28">
        <v>584101000</v>
      </c>
      <c r="AG6958" s="11"/>
    </row>
    <row r="6959">
      <c r="A6959" s="7" t="s">
        <v>8521</v>
      </c>
      <c r="B6959" s="5" t="s">
        <v>16452</v>
      </c>
      <c r="C6959" s="5" t="s">
        <v>24076</v>
      </c>
      <c r="D6959" s="5" t="str">
        <v>773473766249</v>
      </c>
      <c r="E6959" s="0" t="e">
        <f>+7 (495) 1980960
+7 (965) 4332247</f>
        <v>#NAME?</v>
      </c>
      <c r="F6959" s="5" t="s">
        <v>45579</v>
      </c>
      <c r="G6959" s="5"/>
      <c r="H6959" s="26">
        <v>12</v>
      </c>
      <c r="I6959" s="5" t="s">
        <v>45580</v>
      </c>
      <c r="J6959" s="5" t="s">
        <v>45421</v>
      </c>
      <c r="K6959" s="5" t="s">
        <v>344</v>
      </c>
      <c r="L6959" s="5" t="s">
        <v>45581</v>
      </c>
      <c r="M6959" s="27"/>
      <c r="N6959" s="5" t="s">
        <v>57468</v>
      </c>
      <c r="O6959" s="5" t="str">
        <v>5032232300</v>
      </c>
      <c r="P6959" s="27">
        <v>10000</v>
      </c>
      <c r="Q6959" s="5" t="s">
        <v>49059</v>
      </c>
      <c r="R6959" s="5"/>
      <c r="S6959" s="5" t="s">
        <v>49496</v>
      </c>
      <c r="T6959" s="28">
        <v>3376000</v>
      </c>
      <c r="U6959" s="28"/>
      <c r="V6959" s="28">
        <v>1004967000</v>
      </c>
      <c r="W6959" s="28"/>
      <c r="X6959" s="28">
        <v>12482000</v>
      </c>
      <c r="Y6959" s="28">
        <v>1039299000</v>
      </c>
      <c r="Z6959" s="28">
        <v>321424000</v>
      </c>
      <c r="AA6959" s="28"/>
      <c r="AB6959" s="28"/>
      <c r="AC6959" s="28">
        <v>717834000</v>
      </c>
      <c r="AD6959" s="28">
        <v>321434000</v>
      </c>
      <c r="AE6959" s="28">
        <v>5199840000</v>
      </c>
      <c r="AF6959" s="28">
        <v>154662000</v>
      </c>
      <c r="AG6959" s="11"/>
    </row>
    <row r="6960">
      <c r="A6960" s="7" t="s">
        <v>8522</v>
      </c>
      <c r="B6960" s="5" t="s">
        <v>16453</v>
      </c>
      <c r="C6960" s="5" t="s">
        <v>24077</v>
      </c>
      <c r="D6960" s="5" t="str">
        <v>774339495406</v>
      </c>
      <c r="F6960" s="5" t="s">
        <v>45582</v>
      </c>
      <c r="G6960" s="5" t="s">
        <v>45583</v>
      </c>
      <c r="H6960" s="26">
        <v>6</v>
      </c>
      <c r="I6960" s="5" t="s">
        <v>45584</v>
      </c>
      <c r="J6960" s="5" t="s">
        <v>641</v>
      </c>
      <c r="K6960" s="5" t="s">
        <v>344</v>
      </c>
      <c r="L6960" s="5" t="s">
        <v>45585</v>
      </c>
      <c r="M6960" s="27"/>
      <c r="N6960" s="5" t="s">
        <v>59668</v>
      </c>
      <c r="O6960" s="5" t="str">
        <v>7725341089</v>
      </c>
      <c r="P6960" s="27">
        <v>250000</v>
      </c>
      <c r="Q6960" s="5" t="s">
        <v>59669</v>
      </c>
      <c r="R6960" s="5"/>
      <c r="S6960" s="5" t="s">
        <v>49162</v>
      </c>
      <c r="T6960" s="28">
        <v>715000</v>
      </c>
      <c r="U6960" s="28">
        <v>650452000</v>
      </c>
      <c r="V6960" s="28">
        <v>10297080000</v>
      </c>
      <c r="W6960" s="28">
        <v>1180809000</v>
      </c>
      <c r="X6960" s="28">
        <v>473244000</v>
      </c>
      <c r="Y6960" s="28">
        <v>12777959000</v>
      </c>
      <c r="Z6960" s="28">
        <v>2687423000</v>
      </c>
      <c r="AA6960" s="28"/>
      <c r="AB6960" s="28">
        <v>2501322000</v>
      </c>
      <c r="AC6960" s="28">
        <v>10089676000</v>
      </c>
      <c r="AD6960" s="28">
        <v>2687673000</v>
      </c>
      <c r="AE6960" s="28">
        <v>11454263000</v>
      </c>
      <c r="AF6960" s="28">
        <v>1561204000</v>
      </c>
      <c r="AG6960" s="11"/>
    </row>
    <row r="6961">
      <c r="A6961" s="7" t="s">
        <v>8523</v>
      </c>
      <c r="B6961" s="5" t="s">
        <v>16454</v>
      </c>
      <c r="C6961" s="5" t="s">
        <v>24078</v>
      </c>
      <c r="D6961" s="5" t="str">
        <v>390513378587</v>
      </c>
      <c r="E6961" s="0" t="e">
        <f>+7 (401) 2514146
+7 (401) 2524146
+7 (401) 2967731
+7 (401) 2968132
+7 (401) 2968363
+7 (401) 2968621
+7 (401) 2968854</f>
        <v>#NAME?</v>
      </c>
      <c r="F6961" s="5"/>
      <c r="G6961" s="5"/>
      <c r="H6961" s="26">
        <v>17</v>
      </c>
      <c r="I6961" s="5" t="s">
        <v>45586</v>
      </c>
      <c r="J6961" s="5" t="s">
        <v>25450</v>
      </c>
      <c r="K6961" s="5" t="s">
        <v>344</v>
      </c>
      <c r="L6961" s="5"/>
      <c r="M6961" s="27"/>
      <c r="N6961" s="5" t="s">
        <v>59670</v>
      </c>
      <c r="O6961" s="5" t="str">
        <v>3905070698</v>
      </c>
      <c r="P6961" s="27">
        <v>715807190</v>
      </c>
      <c r="Q6961" s="5"/>
      <c r="R6961" s="5"/>
      <c r="S6961" s="5" t="s">
        <v>50538</v>
      </c>
      <c r="T6961" s="28">
        <v>917182000</v>
      </c>
      <c r="U6961" s="28"/>
      <c r="V6961" s="28">
        <v>2120251000</v>
      </c>
      <c r="W6961" s="28"/>
      <c r="X6961" s="28">
        <v>1627000</v>
      </c>
      <c r="Y6961" s="28">
        <v>3704524000</v>
      </c>
      <c r="Z6961" s="28">
        <v>633704000</v>
      </c>
      <c r="AA6961" s="28">
        <v>696308000</v>
      </c>
      <c r="AB6961" s="28">
        <v>689076000</v>
      </c>
      <c r="AC6961" s="28">
        <v>1099108000</v>
      </c>
      <c r="AD6961" s="28">
        <v>1349511000</v>
      </c>
      <c r="AE6961" s="28">
        <v>3367073000</v>
      </c>
      <c r="AF6961" s="28">
        <v>344974000</v>
      </c>
      <c r="AG6961" s="11"/>
    </row>
    <row r="6962">
      <c r="A6962" s="7" t="s">
        <v>8524</v>
      </c>
      <c r="B6962" s="5" t="s">
        <v>16455</v>
      </c>
      <c r="C6962" s="5" t="s">
        <v>24079</v>
      </c>
      <c r="D6962" s="5" t="str">
        <v>590311588210</v>
      </c>
      <c r="E6962" s="0" t="e">
        <f>+7 (342) 2055090
+7 (383) 2060100
+7 (908) 2668098</f>
        <v>#NAME?</v>
      </c>
      <c r="F6962" s="5" t="s">
        <v>45587</v>
      </c>
      <c r="G6962" s="5"/>
      <c r="H6962" s="26">
        <v>10</v>
      </c>
      <c r="I6962" s="5" t="s">
        <v>45588</v>
      </c>
      <c r="J6962" s="5" t="s">
        <v>641</v>
      </c>
      <c r="K6962" s="5" t="s">
        <v>344</v>
      </c>
      <c r="L6962" s="5" t="s">
        <v>37409</v>
      </c>
      <c r="M6962" s="27"/>
      <c r="N6962" s="5" t="s">
        <v>59671</v>
      </c>
      <c r="O6962" s="5" t="str">
        <v>5907053500</v>
      </c>
      <c r="P6962" s="27">
        <v>5000000</v>
      </c>
      <c r="Q6962" s="5" t="s">
        <v>59672</v>
      </c>
      <c r="R6962" s="5"/>
      <c r="S6962" s="5" t="s">
        <v>49361</v>
      </c>
      <c r="T6962" s="28">
        <v>9913000</v>
      </c>
      <c r="U6962" s="28"/>
      <c r="V6962" s="28">
        <v>820569000</v>
      </c>
      <c r="W6962" s="28"/>
      <c r="X6962" s="28">
        <v>120528000</v>
      </c>
      <c r="Y6962" s="28">
        <v>981078000</v>
      </c>
      <c r="Z6962" s="28">
        <v>195355000</v>
      </c>
      <c r="AA6962" s="28"/>
      <c r="AB6962" s="28"/>
      <c r="AC6962" s="28">
        <v>780723000</v>
      </c>
      <c r="AD6962" s="28">
        <v>200355000</v>
      </c>
      <c r="AE6962" s="28">
        <v>8072824000</v>
      </c>
      <c r="AF6962" s="28">
        <v>178721000</v>
      </c>
      <c r="AG6962" s="11"/>
    </row>
    <row r="6963">
      <c r="A6963" s="7" t="s">
        <v>8525</v>
      </c>
      <c r="B6963" s="5" t="s">
        <v>16456</v>
      </c>
      <c r="C6963" s="5" t="s">
        <v>24080</v>
      </c>
      <c r="D6963" s="5" t="str">
        <v>773110917208</v>
      </c>
      <c r="E6963" s="0" t="e">
        <f>+7 (495) 3201774
+7 (915) 3839981</f>
        <v>#NAME?</v>
      </c>
      <c r="F6963" s="5" t="s">
        <v>45589</v>
      </c>
      <c r="G6963" s="5"/>
      <c r="H6963" s="26">
        <v>5.5</v>
      </c>
      <c r="I6963" s="5" t="s">
        <v>45590</v>
      </c>
      <c r="J6963" s="5" t="s">
        <v>678</v>
      </c>
      <c r="K6963" s="5" t="s">
        <v>344</v>
      </c>
      <c r="L6963" s="5" t="s">
        <v>45591</v>
      </c>
      <c r="M6963" s="27">
        <v>4528649</v>
      </c>
      <c r="N6963" s="5" t="s">
        <v>59673</v>
      </c>
      <c r="O6963" s="5" t="str">
        <v>7703432590</v>
      </c>
      <c r="P6963" s="27">
        <v>100000</v>
      </c>
      <c r="Q6963" s="5"/>
      <c r="R6963" s="5"/>
      <c r="S6963" s="5" t="s">
        <v>49496</v>
      </c>
      <c r="T6963" s="28">
        <v>43120000</v>
      </c>
      <c r="U6963" s="28"/>
      <c r="V6963" s="28">
        <v>1214007000</v>
      </c>
      <c r="W6963" s="28">
        <v>53300000</v>
      </c>
      <c r="X6963" s="28">
        <v>524272000</v>
      </c>
      <c r="Y6963" s="28">
        <v>1835771000</v>
      </c>
      <c r="Z6963" s="28">
        <v>295922000</v>
      </c>
      <c r="AA6963" s="28"/>
      <c r="AB6963" s="28"/>
      <c r="AC6963" s="28">
        <v>1539527000</v>
      </c>
      <c r="AD6963" s="28">
        <v>296222000</v>
      </c>
      <c r="AE6963" s="28">
        <v>5489521000</v>
      </c>
      <c r="AF6963" s="28">
        <v>1193971000</v>
      </c>
      <c r="AG6963" s="11"/>
    </row>
    <row r="6964">
      <c r="A6964" s="7" t="s">
        <v>8526</v>
      </c>
      <c r="B6964" s="5" t="s">
        <v>16457</v>
      </c>
      <c r="C6964" s="5" t="s">
        <v>24081</v>
      </c>
      <c r="D6964" s="5" t="str">
        <v>164609642732</v>
      </c>
      <c r="E6964" s="0" t="e">
        <f>+7 (85557) 55325
+7 (85551) 52325
+7 (85557) 32310
+7 (85557) 52350
+7 (986) 9134221
+7 (85557) 52303
+7 (85557) 52314
+7 (85557) 52316
+7 (85557) 52330
+7 (85557) 52335
+7 (85557) 55013
+7 (85557) 55133
+7 (906) 3300333</f>
        <v>#NAME?</v>
      </c>
      <c r="F6964" s="5" t="s">
        <v>45592</v>
      </c>
      <c r="G6964" s="5"/>
      <c r="H6964" s="26">
        <v>20</v>
      </c>
      <c r="I6964" s="5" t="s">
        <v>45593</v>
      </c>
      <c r="J6964" s="5" t="s">
        <v>25864</v>
      </c>
      <c r="K6964" s="5" t="s">
        <v>344</v>
      </c>
      <c r="L6964" s="5" t="s">
        <v>45594</v>
      </c>
      <c r="M6964" s="27"/>
      <c r="N6964" s="5" t="s">
        <v>59674</v>
      </c>
      <c r="O6964" s="5" t="str">
        <v>1646014842</v>
      </c>
      <c r="P6964" s="27">
        <v>1000000</v>
      </c>
      <c r="Q6964" s="5" t="s">
        <v>59675</v>
      </c>
      <c r="R6964" s="5"/>
      <c r="S6964" s="5" t="s">
        <v>59676</v>
      </c>
      <c r="T6964" s="28">
        <v>1469973000</v>
      </c>
      <c r="U6964" s="28"/>
      <c r="V6964" s="28">
        <v>1391130000</v>
      </c>
      <c r="W6964" s="28">
        <v>13099000</v>
      </c>
      <c r="X6964" s="28">
        <v>1195525000</v>
      </c>
      <c r="Y6964" s="28">
        <v>7235618000</v>
      </c>
      <c r="Z6964" s="28">
        <v>1084418000</v>
      </c>
      <c r="AA6964" s="28">
        <v>33827000</v>
      </c>
      <c r="AB6964" s="28">
        <v>497953000</v>
      </c>
      <c r="AC6964" s="28">
        <v>4430180000</v>
      </c>
      <c r="AD6964" s="28">
        <v>2745321000</v>
      </c>
      <c r="AE6964" s="28">
        <v>10924921000</v>
      </c>
      <c r="AF6964" s="28">
        <v>801433000</v>
      </c>
      <c r="AG6964" s="11"/>
    </row>
    <row r="6965">
      <c r="A6965" s="7" t="s">
        <v>8527</v>
      </c>
      <c r="B6965" s="5" t="s">
        <v>16458</v>
      </c>
      <c r="C6965" s="5" t="s">
        <v>24082</v>
      </c>
      <c r="D6965" s="5" t="str">
        <v>780410270258</v>
      </c>
      <c r="E6965" s="0" t="e">
        <f>+7 (812) 3200277
+7 (812) 3200278
+7 (812) 3099994
+7 (812) 3136672
+7 (812) 3200371
+7 (903) 4065111
+7 (915) 3965054</f>
        <v>#NAME?</v>
      </c>
      <c r="F6965" s="5" t="s">
        <v>45595</v>
      </c>
      <c r="G6965" s="5" t="s">
        <v>45596</v>
      </c>
      <c r="H6965" s="26">
        <v>11.5</v>
      </c>
      <c r="I6965" s="5" t="s">
        <v>45597</v>
      </c>
      <c r="J6965" s="5" t="s">
        <v>25424</v>
      </c>
      <c r="K6965" s="5" t="s">
        <v>344</v>
      </c>
      <c r="L6965" s="5" t="s">
        <v>45598</v>
      </c>
      <c r="M6965" s="27"/>
      <c r="N6965" s="5"/>
      <c r="O6965" s="5" t="str">
        <v>7801557759</v>
      </c>
      <c r="P6965" s="27">
        <v>100000</v>
      </c>
      <c r="Q6965" s="5" t="s">
        <v>49207</v>
      </c>
      <c r="R6965" s="5"/>
      <c r="S6965" s="5" t="s">
        <v>50911</v>
      </c>
      <c r="T6965" s="28">
        <v>309053000</v>
      </c>
      <c r="U6965" s="28"/>
      <c r="V6965" s="28">
        <v>1672564000</v>
      </c>
      <c r="W6965" s="28">
        <v>180000000</v>
      </c>
      <c r="X6965" s="28">
        <v>59802000</v>
      </c>
      <c r="Y6965" s="28">
        <v>2564374000</v>
      </c>
      <c r="Z6965" s="28">
        <v>1514578000</v>
      </c>
      <c r="AA6965" s="28">
        <v>122682000</v>
      </c>
      <c r="AB6965" s="28">
        <v>340000</v>
      </c>
      <c r="AC6965" s="28">
        <v>923343000</v>
      </c>
      <c r="AD6965" s="28">
        <v>1514678000</v>
      </c>
      <c r="AE6965" s="28">
        <v>6035629000</v>
      </c>
      <c r="AF6965" s="28">
        <v>420438000</v>
      </c>
      <c r="AG6965" s="11"/>
    </row>
    <row r="6966">
      <c r="A6966" s="7" t="s">
        <v>8528</v>
      </c>
      <c r="B6966" s="5" t="s">
        <v>16459</v>
      </c>
      <c r="C6966" s="5" t="s">
        <v>24083</v>
      </c>
      <c r="D6966" s="5" t="str">
        <v>232300140381</v>
      </c>
      <c r="E6966" s="0" t="e">
        <f>+7 (86133) 53832
+7 (86133) 53834
+7 (86133) 53835
+7 (86133) 54832
+7 (86133) 54834
+7 (86133) 54835</f>
        <v>#NAME?</v>
      </c>
      <c r="F6966" s="5"/>
      <c r="G6966" s="5"/>
      <c r="H6966" s="26">
        <v>18.5</v>
      </c>
      <c r="I6966" s="5" t="s">
        <v>45599</v>
      </c>
      <c r="J6966" s="5" t="s">
        <v>373</v>
      </c>
      <c r="K6966" s="5" t="s">
        <v>355</v>
      </c>
      <c r="L6966" s="5" t="s">
        <v>45600</v>
      </c>
      <c r="M6966" s="27">
        <v>3126280</v>
      </c>
      <c r="N6966" s="5"/>
      <c r="O6966" s="5" t="str">
        <v>2301051034</v>
      </c>
      <c r="P6966" s="27">
        <v>3135000</v>
      </c>
      <c r="Q6966" s="5"/>
      <c r="R6966" s="5" t="s">
        <v>59677</v>
      </c>
      <c r="S6966" s="5" t="s">
        <v>49110</v>
      </c>
      <c r="T6966" s="28">
        <v>497926000</v>
      </c>
      <c r="U6966" s="28">
        <v>9000</v>
      </c>
      <c r="V6966" s="28">
        <v>1260569000</v>
      </c>
      <c r="W6966" s="28"/>
      <c r="X6966" s="28">
        <v>211166000</v>
      </c>
      <c r="Y6966" s="28">
        <v>3676139000</v>
      </c>
      <c r="Z6966" s="28">
        <v>3766000</v>
      </c>
      <c r="AA6966" s="28"/>
      <c r="AB6966" s="28"/>
      <c r="AC6966" s="28">
        <v>3667059000</v>
      </c>
      <c r="AD6966" s="28">
        <v>8701000</v>
      </c>
      <c r="AE6966" s="28">
        <v>13820661000</v>
      </c>
      <c r="AF6966" s="28">
        <v>-332094000</v>
      </c>
      <c r="AG6966" s="11"/>
    </row>
    <row r="6967">
      <c r="A6967" s="7" t="s">
        <v>8529</v>
      </c>
      <c r="B6967" s="5" t="s">
        <v>16460</v>
      </c>
      <c r="C6967" s="5" t="s">
        <v>24084</v>
      </c>
      <c r="D6967" s="5" t="str">
        <v>780435428715</v>
      </c>
      <c r="E6967" s="0" t="e">
        <f>+7 (812) 4487897</f>
        <v>#NAME?</v>
      </c>
      <c r="F6967" s="5" t="s">
        <v>45601</v>
      </c>
      <c r="G6967" s="5" t="s">
        <v>45602</v>
      </c>
      <c r="H6967" s="26">
        <v>11.5</v>
      </c>
      <c r="I6967" s="5" t="s">
        <v>45603</v>
      </c>
      <c r="J6967" s="5" t="s">
        <v>678</v>
      </c>
      <c r="K6967" s="5" t="s">
        <v>344</v>
      </c>
      <c r="L6967" s="5" t="s">
        <v>45604</v>
      </c>
      <c r="M6967" s="27"/>
      <c r="N6967" s="5" t="s">
        <v>59678</v>
      </c>
      <c r="O6967" s="5" t="str">
        <v>7802761605</v>
      </c>
      <c r="P6967" s="27">
        <v>10000</v>
      </c>
      <c r="Q6967" s="5"/>
      <c r="R6967" s="5"/>
      <c r="S6967" s="5" t="s">
        <v>49110</v>
      </c>
      <c r="T6967" s="28">
        <v>145609000</v>
      </c>
      <c r="U6967" s="28">
        <v>92230000</v>
      </c>
      <c r="V6967" s="28">
        <v>1194841000</v>
      </c>
      <c r="W6967" s="28">
        <v>50000000</v>
      </c>
      <c r="X6967" s="28">
        <v>337223000</v>
      </c>
      <c r="Y6967" s="28">
        <v>1841112000</v>
      </c>
      <c r="Z6967" s="28">
        <v>1170863000</v>
      </c>
      <c r="AA6967" s="28"/>
      <c r="AB6967" s="28">
        <v>100000000</v>
      </c>
      <c r="AC6967" s="28">
        <v>546917000</v>
      </c>
      <c r="AD6967" s="28">
        <v>1170873000</v>
      </c>
      <c r="AE6967" s="28">
        <v>3517331000</v>
      </c>
      <c r="AF6967" s="28">
        <v>979706000</v>
      </c>
      <c r="AG6967" s="11"/>
    </row>
    <row r="6968">
      <c r="A6968" s="7" t="s">
        <v>8530</v>
      </c>
      <c r="B6968" s="5" t="s">
        <v>16461</v>
      </c>
      <c r="C6968" s="5" t="s">
        <v>24085</v>
      </c>
      <c r="D6968" s="5" t="str">
        <v>773401176064</v>
      </c>
      <c r="E6968" s="0" t="e">
        <f>+7 (495) 1059496
+7 (495) 6204800</f>
        <v>#NAME?</v>
      </c>
      <c r="F6968" s="5" t="s">
        <v>45605</v>
      </c>
      <c r="G6968" s="5" t="s">
        <v>45606</v>
      </c>
      <c r="H6968" s="26">
        <v>8</v>
      </c>
      <c r="I6968" s="5" t="s">
        <v>45607</v>
      </c>
      <c r="J6968" s="5" t="s">
        <v>25874</v>
      </c>
      <c r="K6968" s="5" t="s">
        <v>344</v>
      </c>
      <c r="L6968" s="5" t="s">
        <v>45608</v>
      </c>
      <c r="M6968" s="27"/>
      <c r="N6968" s="5" t="s">
        <v>59679</v>
      </c>
      <c r="O6968" s="5" t="str">
        <v>5032200315</v>
      </c>
      <c r="P6968" s="27">
        <v>368000000</v>
      </c>
      <c r="Q6968" s="5"/>
      <c r="R6968" s="5"/>
      <c r="S6968" s="5" t="s">
        <v>49110</v>
      </c>
      <c r="T6968" s="28">
        <v>10273000</v>
      </c>
      <c r="U6968" s="28"/>
      <c r="V6968" s="28">
        <v>1508862000</v>
      </c>
      <c r="W6968" s="28">
        <v>411601000</v>
      </c>
      <c r="X6968" s="28">
        <v>54164000</v>
      </c>
      <c r="Y6968" s="28">
        <v>2337633000</v>
      </c>
      <c r="Z6968" s="28">
        <v>1058907000</v>
      </c>
      <c r="AA6968" s="28">
        <v>670631000</v>
      </c>
      <c r="AB6968" s="28">
        <v>45659000</v>
      </c>
      <c r="AC6968" s="28">
        <v>239967000</v>
      </c>
      <c r="AD6968" s="28">
        <v>1426907000</v>
      </c>
      <c r="AE6968" s="28">
        <v>4111522000</v>
      </c>
      <c r="AF6968" s="28">
        <v>601719000</v>
      </c>
      <c r="AG6968" s="11"/>
    </row>
    <row r="6969">
      <c r="A6969" s="7" t="s">
        <v>8531</v>
      </c>
      <c r="B6969" s="5" t="s">
        <v>16462</v>
      </c>
      <c r="C6969" s="5" t="s">
        <v>24086</v>
      </c>
      <c r="D6969" s="5" t="str">
        <v>772130021513</v>
      </c>
      <c r="E6969" s="0" t="e">
        <f>+7 (383) 2461540
+7 (421) 2478986
+7 (495) 7815428
+7 (495) 9098524
+7 (925) 9005572</f>
        <v>#NAME?</v>
      </c>
      <c r="F6969" s="5" t="s">
        <v>45609</v>
      </c>
      <c r="G6969" s="5" t="s">
        <v>45610</v>
      </c>
      <c r="H6969" s="26">
        <v>8.5</v>
      </c>
      <c r="I6969" s="5" t="s">
        <v>31747</v>
      </c>
      <c r="J6969" s="5" t="s">
        <v>890</v>
      </c>
      <c r="K6969" s="5" t="s">
        <v>344</v>
      </c>
      <c r="L6969" s="5" t="s">
        <v>25809</v>
      </c>
      <c r="M6969" s="27">
        <v>2014185</v>
      </c>
      <c r="N6969" s="5" t="s">
        <v>54423</v>
      </c>
      <c r="O6969" s="5" t="str">
        <v>7751524392</v>
      </c>
      <c r="P6969" s="27">
        <v>1000000</v>
      </c>
      <c r="Q6969" s="5" t="s">
        <v>59680</v>
      </c>
      <c r="R6969" s="5"/>
      <c r="S6969" s="5" t="s">
        <v>49012</v>
      </c>
      <c r="T6969" s="28">
        <v>176889000</v>
      </c>
      <c r="U6969" s="28"/>
      <c r="V6969" s="28">
        <v>1616110000</v>
      </c>
      <c r="W6969" s="28"/>
      <c r="X6969" s="28">
        <v>10689000</v>
      </c>
      <c r="Y6969" s="28">
        <v>2152808000</v>
      </c>
      <c r="Z6969" s="28">
        <v>633024000</v>
      </c>
      <c r="AA6969" s="28"/>
      <c r="AB6969" s="28">
        <v>269586000</v>
      </c>
      <c r="AC6969" s="28">
        <v>1435699000</v>
      </c>
      <c r="AD6969" s="28">
        <v>634124000</v>
      </c>
      <c r="AE6969" s="28">
        <v>3089713000</v>
      </c>
      <c r="AF6969" s="28">
        <v>790607000</v>
      </c>
      <c r="AG6969" s="11"/>
    </row>
    <row r="6970">
      <c r="A6970" s="7" t="s">
        <v>8532</v>
      </c>
      <c r="B6970" s="5" t="s">
        <v>16463</v>
      </c>
      <c r="C6970" s="5" t="s">
        <v>24087</v>
      </c>
      <c r="D6970" s="5" t="str">
        <v>770300587030</v>
      </c>
      <c r="E6970" s="0" t="e">
        <f>+7 (495) 1350235
+7 (499) 9952371</f>
        <v>#NAME?</v>
      </c>
      <c r="F6970" s="5" t="s">
        <v>45611</v>
      </c>
      <c r="G6970" s="5"/>
      <c r="H6970" s="26">
        <v>12.5</v>
      </c>
      <c r="I6970" s="5" t="s">
        <v>45612</v>
      </c>
      <c r="J6970" s="5" t="s">
        <v>373</v>
      </c>
      <c r="K6970" s="5" t="s">
        <v>344</v>
      </c>
      <c r="L6970" s="5" t="s">
        <v>45613</v>
      </c>
      <c r="M6970" s="27">
        <v>60489725</v>
      </c>
      <c r="N6970" s="5" t="s">
        <v>59681</v>
      </c>
      <c r="O6970" s="5" t="str">
        <v>7709856242</v>
      </c>
      <c r="P6970" s="27">
        <v>65000</v>
      </c>
      <c r="Q6970" s="5" t="s">
        <v>59682</v>
      </c>
      <c r="R6970" s="5"/>
      <c r="S6970" s="5" t="s">
        <v>59683</v>
      </c>
      <c r="T6970" s="28">
        <v>7051000</v>
      </c>
      <c r="U6970" s="28"/>
      <c r="V6970" s="28">
        <v>1247850000</v>
      </c>
      <c r="W6970" s="28">
        <v>172030000</v>
      </c>
      <c r="X6970" s="28">
        <v>1010237000</v>
      </c>
      <c r="Y6970" s="28">
        <v>2495437000</v>
      </c>
      <c r="Z6970" s="28">
        <v>1406401000</v>
      </c>
      <c r="AA6970" s="28"/>
      <c r="AB6970" s="28"/>
      <c r="AC6970" s="28">
        <v>1088971000</v>
      </c>
      <c r="AD6970" s="28">
        <v>1406466000</v>
      </c>
      <c r="AE6970" s="28">
        <v>22656535000</v>
      </c>
      <c r="AF6970" s="28">
        <v>1376685000</v>
      </c>
      <c r="AG6970" s="11"/>
    </row>
    <row r="6971">
      <c r="A6971" s="7" t="s">
        <v>8533</v>
      </c>
      <c r="B6971" s="5" t="s">
        <v>16464</v>
      </c>
      <c r="C6971" s="5" t="s">
        <v>24088</v>
      </c>
      <c r="D6971" s="5" t="str">
        <v>770172483675</v>
      </c>
      <c r="E6971" s="0" t="e">
        <f>+7 (495) 7975522
+7 (495) 9660766</f>
        <v>#NAME?</v>
      </c>
      <c r="F6971" s="5"/>
      <c r="G6971" s="5" t="s">
        <v>45614</v>
      </c>
      <c r="H6971" s="26">
        <v>7</v>
      </c>
      <c r="I6971" s="5" t="s">
        <v>45615</v>
      </c>
      <c r="J6971" s="5" t="s">
        <v>623</v>
      </c>
      <c r="K6971" s="5" t="s">
        <v>344</v>
      </c>
      <c r="L6971" s="5" t="s">
        <v>45616</v>
      </c>
      <c r="M6971" s="27"/>
      <c r="N6971" s="5"/>
      <c r="O6971" s="5" t="str">
        <v>9701022030</v>
      </c>
      <c r="P6971" s="27">
        <v>151516440</v>
      </c>
      <c r="Q6971" s="5" t="s">
        <v>50437</v>
      </c>
      <c r="R6971" s="5"/>
      <c r="S6971" s="5" t="s">
        <v>59684</v>
      </c>
      <c r="T6971" s="28">
        <v>93849000</v>
      </c>
      <c r="U6971" s="28">
        <v>398820000</v>
      </c>
      <c r="V6971" s="28">
        <v>314949000</v>
      </c>
      <c r="W6971" s="28"/>
      <c r="X6971" s="28">
        <v>504568000</v>
      </c>
      <c r="Y6971" s="28">
        <v>1602182000</v>
      </c>
      <c r="Z6971" s="28">
        <v>1418921000</v>
      </c>
      <c r="AA6971" s="28"/>
      <c r="AB6971" s="28"/>
      <c r="AC6971" s="28">
        <v>30276000</v>
      </c>
      <c r="AD6971" s="28">
        <v>1570437000</v>
      </c>
      <c r="AE6971" s="28">
        <v>7373496000</v>
      </c>
      <c r="AF6971" s="28">
        <v>4707621000</v>
      </c>
      <c r="AG6971" s="11"/>
    </row>
    <row r="6972">
      <c r="A6972" s="7" t="s">
        <v>8534</v>
      </c>
      <c r="B6972" s="5" t="s">
        <v>16465</v>
      </c>
      <c r="C6972" s="5" t="s">
        <v>24089</v>
      </c>
      <c r="D6972" s="5" t="str">
        <v>770874803630</v>
      </c>
      <c r="E6972" s="0" t="e">
        <f>+7 (495) 2285560
+7 (495) 2285566
+7 (499) 7545560
+7 (499) 7545566
+7 (800) 2505560</f>
        <v>#NAME?</v>
      </c>
      <c r="F6972" s="5" t="s">
        <v>45617</v>
      </c>
      <c r="G6972" s="5" t="s">
        <v>45618</v>
      </c>
      <c r="H6972" s="26">
        <v>13.5</v>
      </c>
      <c r="I6972" s="5" t="s">
        <v>45619</v>
      </c>
      <c r="J6972" s="5" t="s">
        <v>25446</v>
      </c>
      <c r="K6972" s="5" t="s">
        <v>344</v>
      </c>
      <c r="L6972" s="5" t="s">
        <v>45620</v>
      </c>
      <c r="M6972" s="27"/>
      <c r="N6972" s="5"/>
      <c r="O6972" s="5" t="str">
        <v>7718782082</v>
      </c>
      <c r="P6972" s="27">
        <v>60000000</v>
      </c>
      <c r="Q6972" s="5" t="s">
        <v>59685</v>
      </c>
      <c r="R6972" s="5"/>
      <c r="S6972" s="5" t="s">
        <v>49496</v>
      </c>
      <c r="T6972" s="28">
        <v>3565000</v>
      </c>
      <c r="U6972" s="28"/>
      <c r="V6972" s="28">
        <v>912838000</v>
      </c>
      <c r="W6972" s="28"/>
      <c r="X6972" s="28">
        <v>46502000</v>
      </c>
      <c r="Y6972" s="28">
        <v>2542077000</v>
      </c>
      <c r="Z6972" s="28">
        <v>1798182000</v>
      </c>
      <c r="AA6972" s="28"/>
      <c r="AB6972" s="28">
        <v>267634000</v>
      </c>
      <c r="AC6972" s="28">
        <v>640660000</v>
      </c>
      <c r="AD6972" s="28">
        <v>1860270000</v>
      </c>
      <c r="AE6972" s="28">
        <v>7424375000</v>
      </c>
      <c r="AF6972" s="28">
        <v>1101820000</v>
      </c>
      <c r="AG6972" s="11"/>
    </row>
    <row r="6973">
      <c r="A6973" s="7" t="s">
        <v>8535</v>
      </c>
      <c r="B6973" s="5" t="s">
        <v>16466</v>
      </c>
      <c r="C6973" s="5" t="s">
        <v>24090</v>
      </c>
      <c r="D6973" s="5" t="str">
        <v>637204197515</v>
      </c>
      <c r="E6973" s="0" t="e">
        <f>+7 (846) 9792616
+7 (846) 9792617
+7 (846) 9792623
+7 (84626) 25048
+7 (84626) 25051
+7 (84655) 24043
+7 (84655) 24275
+7 (84655) 24282
+7 (84655) 24332
+7 (84655) 24373
+7 (84655) 25055
+7 (84655) 25336
+7 (84655) 25636
+7 (84655) 65577
+7 (84655) 65867</f>
        <v>#NAME?</v>
      </c>
      <c r="F6973" s="5"/>
      <c r="G6973" s="5" t="s">
        <v>45621</v>
      </c>
      <c r="H6973" s="26">
        <v>16.5</v>
      </c>
      <c r="I6973" s="5" t="s">
        <v>45622</v>
      </c>
      <c r="J6973" s="5" t="s">
        <v>27806</v>
      </c>
      <c r="K6973" s="5" t="s">
        <v>344</v>
      </c>
      <c r="L6973" s="5" t="s">
        <v>45623</v>
      </c>
      <c r="M6973" s="27"/>
      <c r="N6973" s="5" t="s">
        <v>59686</v>
      </c>
      <c r="O6973" s="5" t="str">
        <v>6381010888</v>
      </c>
      <c r="P6973" s="27">
        <v>10000</v>
      </c>
      <c r="Q6973" s="5" t="s">
        <v>59687</v>
      </c>
      <c r="R6973" s="5" t="s">
        <v>59688</v>
      </c>
      <c r="S6973" s="5" t="s">
        <v>49496</v>
      </c>
      <c r="T6973" s="28">
        <v>1768739000</v>
      </c>
      <c r="U6973" s="28">
        <v>5000</v>
      </c>
      <c r="V6973" s="28">
        <v>2041662000</v>
      </c>
      <c r="W6973" s="28"/>
      <c r="X6973" s="28">
        <v>15925000</v>
      </c>
      <c r="Y6973" s="28">
        <v>4435337000</v>
      </c>
      <c r="Z6973" s="28">
        <v>1540270000</v>
      </c>
      <c r="AA6973" s="28"/>
      <c r="AB6973" s="28">
        <v>431346000</v>
      </c>
      <c r="AC6973" s="28">
        <v>2146114000</v>
      </c>
      <c r="AD6973" s="28">
        <v>1540280000</v>
      </c>
      <c r="AE6973" s="28">
        <v>4541941000</v>
      </c>
      <c r="AF6973" s="28">
        <v>261289000</v>
      </c>
      <c r="AG6973" s="11"/>
    </row>
    <row r="6974">
      <c r="A6974" s="7" t="s">
        <v>8536</v>
      </c>
      <c r="B6974" s="5" t="s">
        <v>16467</v>
      </c>
      <c r="C6974" s="5" t="s">
        <v>24091</v>
      </c>
      <c r="D6974" s="5" t="str">
        <v>771910427368</v>
      </c>
      <c r="E6974" s="0" t="e">
        <f>+7 (495) 6261067
+7 (495) 9261067</f>
        <v>#NAME?</v>
      </c>
      <c r="F6974" s="5"/>
      <c r="G6974" s="5"/>
      <c r="H6974" s="26">
        <v>10</v>
      </c>
      <c r="I6974" s="5" t="s">
        <v>45624</v>
      </c>
      <c r="J6974" s="5" t="s">
        <v>29614</v>
      </c>
      <c r="K6974" s="5" t="s">
        <v>344</v>
      </c>
      <c r="L6974" s="5" t="s">
        <v>45625</v>
      </c>
      <c r="M6974" s="27"/>
      <c r="N6974" s="5"/>
      <c r="O6974" s="5" t="str">
        <v>7720773504</v>
      </c>
      <c r="P6974" s="27">
        <v>100000</v>
      </c>
      <c r="Q6974" s="5" t="s">
        <v>49009</v>
      </c>
      <c r="R6974" s="5"/>
      <c r="S6974" s="5" t="s">
        <v>49120</v>
      </c>
      <c r="T6974" s="28">
        <v>82944000</v>
      </c>
      <c r="U6974" s="28"/>
      <c r="V6974" s="28">
        <v>2741173000</v>
      </c>
      <c r="W6974" s="28">
        <v>230000000</v>
      </c>
      <c r="X6974" s="28">
        <v>173201000</v>
      </c>
      <c r="Y6974" s="28">
        <v>5351342000</v>
      </c>
      <c r="Z6974" s="28">
        <v>2078324000</v>
      </c>
      <c r="AA6974" s="28"/>
      <c r="AB6974" s="28">
        <v>164299000</v>
      </c>
      <c r="AC6974" s="28">
        <v>3194478000</v>
      </c>
      <c r="AD6974" s="28">
        <v>2155320000</v>
      </c>
      <c r="AE6974" s="28">
        <v>11571119000</v>
      </c>
      <c r="AF6974" s="28">
        <v>1699315000</v>
      </c>
      <c r="AG6974" s="11"/>
    </row>
    <row r="6975">
      <c r="A6975" s="7" t="s">
        <v>8537</v>
      </c>
      <c r="B6975" s="5" t="s">
        <v>16468</v>
      </c>
      <c r="C6975" s="5" t="s">
        <v>24092</v>
      </c>
      <c r="D6975" s="5" t="str">
        <v>165027612071</v>
      </c>
      <c r="E6975" s="0" t="e">
        <f>+7 (855) 2709696
+7 (495) 6451401
+7 (3422) 8695
+7 (383) 3732103
+7 (495) 1204652
+7 (495) 6450114
+7 (495) 6450126
+7 (800) 1005727
+7 (800) 7075094
+7 (8422) 553885
+7 (84627) 69889
+7 (855) 2706824
+7 (855) 2709251
+7 (855) 2709444
+7 (855) 2709697</f>
        <v>#NAME?</v>
      </c>
      <c r="F6975" s="5" t="s">
        <v>45626</v>
      </c>
      <c r="G6975" s="5" t="s">
        <v>45627</v>
      </c>
      <c r="H6975" s="26">
        <v>24.5</v>
      </c>
      <c r="I6975" s="5" t="s">
        <v>45628</v>
      </c>
      <c r="J6975" s="5" t="s">
        <v>31548</v>
      </c>
      <c r="K6975" s="5" t="s">
        <v>344</v>
      </c>
      <c r="L6975" s="5" t="s">
        <v>45629</v>
      </c>
      <c r="M6975" s="27">
        <v>21804</v>
      </c>
      <c r="N6975" s="5" t="s">
        <v>59689</v>
      </c>
      <c r="O6975" s="5" t="str">
        <v>1650015510</v>
      </c>
      <c r="P6975" s="27">
        <v>1200000</v>
      </c>
      <c r="Q6975" s="5" t="s">
        <v>59690</v>
      </c>
      <c r="R6975" s="5"/>
      <c r="S6975" s="5" t="s">
        <v>59691</v>
      </c>
      <c r="T6975" s="28">
        <v>72224000</v>
      </c>
      <c r="U6975" s="28"/>
      <c r="V6975" s="28">
        <v>1483807000</v>
      </c>
      <c r="W6975" s="28">
        <v>10000000</v>
      </c>
      <c r="X6975" s="28">
        <v>166029000</v>
      </c>
      <c r="Y6975" s="28">
        <v>4327099000</v>
      </c>
      <c r="Z6975" s="28">
        <v>2011392000</v>
      </c>
      <c r="AA6975" s="28">
        <v>400000000</v>
      </c>
      <c r="AB6975" s="28">
        <v>2563000</v>
      </c>
      <c r="AC6975" s="28">
        <v>1914319000</v>
      </c>
      <c r="AD6975" s="28">
        <v>2012592000</v>
      </c>
      <c r="AE6975" s="28">
        <v>9570106000</v>
      </c>
      <c r="AF6975" s="28">
        <v>599967000</v>
      </c>
      <c r="AG6975" s="11"/>
    </row>
    <row r="6976">
      <c r="A6976" s="7" t="s">
        <v>8538</v>
      </c>
      <c r="B6976" s="5" t="s">
        <v>16469</v>
      </c>
      <c r="C6976" s="5" t="s">
        <v>24093</v>
      </c>
      <c r="D6976" s="5" t="str">
        <v>165019037879</v>
      </c>
      <c r="E6976" s="0" t="e">
        <f>+7 (495) 2250000
+7 (495) 2550455
+7 (495) 2874699
+7 (495) 4115412
+7 (495) 6642165
+7 (495) 7452647
+7 (495) 7975370
+7 (495) 7975375
+7 (495) 9567165
+7 (495) 9567469
+7 (495) 9679428
+7 (812) 3894443
+7 (843) 7452641
+7 (855) 2534955
+7 (915) 1479768</f>
        <v>#NAME?</v>
      </c>
      <c r="F6976" s="5" t="s">
        <v>45630</v>
      </c>
      <c r="G6976" s="5" t="s">
        <v>45631</v>
      </c>
      <c r="H6976" s="26">
        <v>13.5</v>
      </c>
      <c r="I6976" s="5" t="s">
        <v>45632</v>
      </c>
      <c r="J6976" s="5" t="s">
        <v>26229</v>
      </c>
      <c r="K6976" s="5" t="s">
        <v>344</v>
      </c>
      <c r="L6976" s="5" t="s">
        <v>45633</v>
      </c>
      <c r="M6976" s="27">
        <v>3733113</v>
      </c>
      <c r="N6976" s="5" t="s">
        <v>51270</v>
      </c>
      <c r="O6976" s="5" t="str">
        <v>7714790325</v>
      </c>
      <c r="P6976" s="27">
        <v>496110000</v>
      </c>
      <c r="Q6976" s="5" t="s">
        <v>59692</v>
      </c>
      <c r="R6976" s="5"/>
      <c r="S6976" s="5" t="s">
        <v>58518</v>
      </c>
      <c r="T6976" s="28">
        <v>2254298000</v>
      </c>
      <c r="U6976" s="28"/>
      <c r="V6976" s="28">
        <v>5055836000</v>
      </c>
      <c r="W6976" s="28">
        <v>4833497000</v>
      </c>
      <c r="X6976" s="28">
        <v>58628000</v>
      </c>
      <c r="Y6976" s="28">
        <v>29277767000</v>
      </c>
      <c r="Z6976" s="28">
        <v>3804270000</v>
      </c>
      <c r="AA6976" s="28"/>
      <c r="AB6976" s="28"/>
      <c r="AC6976" s="28">
        <v>19114341000</v>
      </c>
      <c r="AD6976" s="28">
        <v>9064924000</v>
      </c>
      <c r="AE6976" s="28">
        <v>29040118000</v>
      </c>
      <c r="AF6976" s="28">
        <v>-5701876000</v>
      </c>
      <c r="AG6976" s="11"/>
    </row>
    <row r="6977">
      <c r="A6977" s="7" t="s">
        <v>8539</v>
      </c>
      <c r="B6977" s="5" t="s">
        <v>16470</v>
      </c>
      <c r="C6977" s="5" t="s">
        <v>24094</v>
      </c>
      <c r="D6977" s="5" t="str">
        <v>290112814650</v>
      </c>
      <c r="E6977" s="0" t="e">
        <f>+7 (812) 7033010
+7 (812) 9234367</f>
        <v>#NAME?</v>
      </c>
      <c r="F6977" s="5" t="s">
        <v>45634</v>
      </c>
      <c r="G6977" s="5" t="s">
        <v>45635</v>
      </c>
      <c r="H6977" s="26">
        <v>6</v>
      </c>
      <c r="I6977" s="5" t="s">
        <v>45636</v>
      </c>
      <c r="J6977" s="5" t="s">
        <v>25842</v>
      </c>
      <c r="K6977" s="5" t="s">
        <v>344</v>
      </c>
      <c r="L6977" s="5" t="s">
        <v>45637</v>
      </c>
      <c r="M6977" s="27">
        <v>313154</v>
      </c>
      <c r="N6977" s="5" t="s">
        <v>59693</v>
      </c>
      <c r="O6977" s="5" t="str">
        <v>7813276167</v>
      </c>
      <c r="P6977" s="27">
        <v>500000</v>
      </c>
      <c r="Q6977" s="5" t="s">
        <v>59694</v>
      </c>
      <c r="R6977" s="5"/>
      <c r="S6977" s="5" t="s">
        <v>59695</v>
      </c>
      <c r="T6977" s="28">
        <v>2117576000</v>
      </c>
      <c r="U6977" s="28"/>
      <c r="V6977" s="28">
        <v>1289626000</v>
      </c>
      <c r="W6977" s="28">
        <v>102099000</v>
      </c>
      <c r="X6977" s="28">
        <v>435745000</v>
      </c>
      <c r="Y6977" s="28">
        <v>8657170000</v>
      </c>
      <c r="Z6977" s="28">
        <v>5367358000</v>
      </c>
      <c r="AA6977" s="28">
        <v>468650000</v>
      </c>
      <c r="AB6977" s="28">
        <v>33326000</v>
      </c>
      <c r="AC6977" s="28">
        <v>1954558000</v>
      </c>
      <c r="AD6977" s="28">
        <v>5578277000</v>
      </c>
      <c r="AE6977" s="28">
        <v>13626181000</v>
      </c>
      <c r="AF6977" s="28">
        <v>1530838000</v>
      </c>
      <c r="AG6977" s="11"/>
    </row>
    <row r="6978">
      <c r="A6978" s="7" t="s">
        <v>8540</v>
      </c>
      <c r="B6978" s="5" t="s">
        <v>16471</v>
      </c>
      <c r="C6978" s="5" t="s">
        <v>24095</v>
      </c>
      <c r="D6978" s="5" t="str">
        <v>502402715503</v>
      </c>
      <c r="E6978" s="0" t="e">
        <f>+7 (916) 1583378
+7 (916) 5908697</f>
        <v>#NAME?</v>
      </c>
      <c r="F6978" s="5" t="s">
        <v>45638</v>
      </c>
      <c r="G6978" s="5" t="s">
        <v>45639</v>
      </c>
      <c r="H6978" s="26">
        <v>12.5</v>
      </c>
      <c r="I6978" s="5" t="s">
        <v>45640</v>
      </c>
      <c r="J6978" s="5" t="s">
        <v>397</v>
      </c>
      <c r="K6978" s="5" t="s">
        <v>344</v>
      </c>
      <c r="L6978" s="5" t="s">
        <v>45641</v>
      </c>
      <c r="M6978" s="27">
        <v>12354000</v>
      </c>
      <c r="N6978" s="5" t="s">
        <v>59696</v>
      </c>
      <c r="O6978" s="5" t="str">
        <v>5038078333</v>
      </c>
      <c r="P6978" s="27">
        <v>50000</v>
      </c>
      <c r="Q6978" s="5" t="s">
        <v>59697</v>
      </c>
      <c r="R6978" s="5"/>
      <c r="S6978" s="5" t="s">
        <v>59698</v>
      </c>
      <c r="T6978" s="28">
        <v>324956000</v>
      </c>
      <c r="U6978" s="28"/>
      <c r="V6978" s="28">
        <v>623890000</v>
      </c>
      <c r="W6978" s="28"/>
      <c r="X6978" s="28">
        <v>4845000</v>
      </c>
      <c r="Y6978" s="28">
        <v>2546328000</v>
      </c>
      <c r="Z6978" s="28">
        <v>722717000</v>
      </c>
      <c r="AA6978" s="28"/>
      <c r="AB6978" s="28">
        <v>589858000</v>
      </c>
      <c r="AC6978" s="28">
        <v>1725254000</v>
      </c>
      <c r="AD6978" s="28">
        <v>797497000</v>
      </c>
      <c r="AE6978" s="28">
        <v>9631076000</v>
      </c>
      <c r="AF6978" s="28">
        <v>535799000</v>
      </c>
      <c r="AG6978" s="11"/>
    </row>
    <row r="6979">
      <c r="A6979" s="7" t="s">
        <v>8541</v>
      </c>
      <c r="B6979" s="5" t="s">
        <v>16472</v>
      </c>
      <c r="C6979" s="5" t="s">
        <v>24096</v>
      </c>
      <c r="D6979" s="5" t="str">
        <v>164610071184</v>
      </c>
      <c r="E6979" s="0" t="e">
        <f>+7 (855) 2254400
+7 (855) 2254401
+7 (855) 2254402
+7 (855) 2254403
+7 (855) 2254404
+7 (855) 5753305
+7 (85557) 53301
+7 (85557) 53361
+7 (85557) 53374</f>
        <v>#NAME?</v>
      </c>
      <c r="F6979" s="5" t="s">
        <v>45642</v>
      </c>
      <c r="G6979" s="5"/>
      <c r="H6979" s="26">
        <v>13</v>
      </c>
      <c r="I6979" s="5" t="s">
        <v>45643</v>
      </c>
      <c r="J6979" s="5" t="s">
        <v>34861</v>
      </c>
      <c r="K6979" s="5" t="s">
        <v>344</v>
      </c>
      <c r="L6979" s="5" t="s">
        <v>45644</v>
      </c>
      <c r="M6979" s="27"/>
      <c r="N6979" s="5"/>
      <c r="O6979" s="5" t="str">
        <v>1646027023</v>
      </c>
      <c r="P6979" s="27">
        <v>7387500100</v>
      </c>
      <c r="Q6979" s="5" t="s">
        <v>49009</v>
      </c>
      <c r="R6979" s="5"/>
      <c r="S6979" s="5" t="s">
        <v>49010</v>
      </c>
      <c r="T6979" s="28">
        <v>3624364000</v>
      </c>
      <c r="U6979" s="28"/>
      <c r="V6979" s="28">
        <v>173080000</v>
      </c>
      <c r="W6979" s="28">
        <v>2225000000</v>
      </c>
      <c r="X6979" s="28">
        <v>5607711000</v>
      </c>
      <c r="Y6979" s="28">
        <v>12607851000</v>
      </c>
      <c r="Z6979" s="28">
        <v>4240585000</v>
      </c>
      <c r="AA6979" s="28"/>
      <c r="AB6979" s="28"/>
      <c r="AC6979" s="28">
        <v>722455000</v>
      </c>
      <c r="AD6979" s="28">
        <v>11884709000</v>
      </c>
      <c r="AE6979" s="28">
        <v>5570715000</v>
      </c>
      <c r="AF6979" s="28">
        <v>1835266000</v>
      </c>
      <c r="AG6979" s="11"/>
    </row>
    <row r="6980">
      <c r="A6980" s="7" t="s">
        <v>8542</v>
      </c>
      <c r="B6980" s="5" t="s">
        <v>16473</v>
      </c>
      <c r="C6980" s="5" t="s">
        <v>24097</v>
      </c>
      <c r="D6980" s="5" t="str">
        <v>490901509708</v>
      </c>
      <c r="E6980" s="0" t="e">
        <f>+7 (415) 2423819
+7 (415) 2423817
+7 (4232) 652073
+7 (495) 6503310
+7 (924) 2078999</f>
        <v>#NAME?</v>
      </c>
      <c r="F6980" s="5" t="s">
        <v>45645</v>
      </c>
      <c r="G6980" s="5"/>
      <c r="H6980" s="26">
        <v>21.5</v>
      </c>
      <c r="I6980" s="5"/>
      <c r="J6980" s="5" t="s">
        <v>26424</v>
      </c>
      <c r="K6980" s="5" t="s">
        <v>344</v>
      </c>
      <c r="L6980" s="5" t="s">
        <v>45646</v>
      </c>
      <c r="M6980" s="27"/>
      <c r="N6980" s="5"/>
      <c r="O6980" s="5" t="str">
        <v>8701003484</v>
      </c>
      <c r="P6980" s="27">
        <v>102000</v>
      </c>
      <c r="Q6980" s="5"/>
      <c r="R6980" s="5"/>
      <c r="S6980" s="5" t="s">
        <v>49029</v>
      </c>
      <c r="T6980" s="28">
        <v>1643468000</v>
      </c>
      <c r="U6980" s="28">
        <v>1823574000</v>
      </c>
      <c r="V6980" s="28">
        <v>1504400000</v>
      </c>
      <c r="W6980" s="28">
        <v>1764830000</v>
      </c>
      <c r="X6980" s="28">
        <v>673715000</v>
      </c>
      <c r="Y6980" s="28">
        <v>11618022000</v>
      </c>
      <c r="Z6980" s="28">
        <v>5894079000</v>
      </c>
      <c r="AA6980" s="28">
        <v>4403138000</v>
      </c>
      <c r="AB6980" s="28"/>
      <c r="AC6980" s="28">
        <v>1320677000</v>
      </c>
      <c r="AD6980" s="28">
        <v>5894207000</v>
      </c>
      <c r="AE6980" s="28">
        <v>6288558000</v>
      </c>
      <c r="AF6980" s="28">
        <v>350728000</v>
      </c>
      <c r="AG6980" s="11"/>
    </row>
    <row r="6981">
      <c r="A6981" s="7" t="s">
        <v>8543</v>
      </c>
      <c r="B6981" s="5" t="s">
        <v>16474</v>
      </c>
      <c r="C6981" s="5" t="s">
        <v>24098</v>
      </c>
      <c r="D6981" s="5" t="str">
        <v>245728456617</v>
      </c>
      <c r="E6981" s="0" t="e">
        <f>+7 (383) 2991298
+7 (391) 2133040
+7 (3919) 435303
+7 (3919) 461291
+7 (3919) 461292
+7 (495) 7781629
+7 (800) 5005343
+7 (812) 6470237
+7 (818) 2671044
+7 (8432) 550099
+7 (8432) 678791
+7 (8432) 678820
+7 (967) 6087276</f>
        <v>#NAME?</v>
      </c>
      <c r="F6981" s="5" t="s">
        <v>45647</v>
      </c>
      <c r="G6981" s="5" t="s">
        <v>45648</v>
      </c>
      <c r="H6981" s="26">
        <v>12</v>
      </c>
      <c r="I6981" s="5" t="s">
        <v>45649</v>
      </c>
      <c r="J6981" s="5" t="s">
        <v>599</v>
      </c>
      <c r="K6981" s="5" t="s">
        <v>344</v>
      </c>
      <c r="L6981" s="5" t="s">
        <v>45650</v>
      </c>
      <c r="M6981" s="27"/>
      <c r="N6981" s="5"/>
      <c r="O6981" s="5" t="str">
        <v>2469001770</v>
      </c>
      <c r="P6981" s="27">
        <v>1000000</v>
      </c>
      <c r="Q6981" s="5" t="s">
        <v>59699</v>
      </c>
      <c r="R6981" s="5"/>
      <c r="S6981" s="5" t="s">
        <v>59700</v>
      </c>
      <c r="T6981" s="28">
        <v>27406000</v>
      </c>
      <c r="U6981" s="28">
        <v>10000000</v>
      </c>
      <c r="V6981" s="28">
        <v>2757297000</v>
      </c>
      <c r="W6981" s="28">
        <v>7072000</v>
      </c>
      <c r="X6981" s="28">
        <v>898573000</v>
      </c>
      <c r="Y6981" s="28">
        <v>3805820000</v>
      </c>
      <c r="Z6981" s="28">
        <v>1118769000</v>
      </c>
      <c r="AA6981" s="28"/>
      <c r="AB6981" s="28">
        <v>882851000</v>
      </c>
      <c r="AC6981" s="28">
        <v>2678735000</v>
      </c>
      <c r="AD6981" s="28">
        <v>1119769000</v>
      </c>
      <c r="AE6981" s="28">
        <v>14054545000</v>
      </c>
      <c r="AF6981" s="28">
        <v>1037254000</v>
      </c>
      <c r="AG6981" s="11"/>
    </row>
    <row r="6982">
      <c r="A6982" s="7" t="s">
        <v>8544</v>
      </c>
      <c r="B6982" s="5" t="s">
        <v>16475</v>
      </c>
      <c r="C6982" s="5" t="s">
        <v>24099</v>
      </c>
      <c r="D6982" s="5" t="str">
        <v>253810768403</v>
      </c>
      <c r="E6982" s="0" t="e">
        <f>+7 (4232) 495813
+7 (4232) 495834
+7 (4232) 497073
+7 (4232) 497086</f>
        <v>#NAME?</v>
      </c>
      <c r="F6982" s="5"/>
      <c r="G6982" s="5" t="s">
        <v>45651</v>
      </c>
      <c r="H6982" s="26">
        <v>15.5</v>
      </c>
      <c r="I6982" s="5" t="s">
        <v>45652</v>
      </c>
      <c r="J6982" s="5" t="s">
        <v>599</v>
      </c>
      <c r="K6982" s="5" t="s">
        <v>344</v>
      </c>
      <c r="L6982" s="5" t="s">
        <v>45653</v>
      </c>
      <c r="M6982" s="27">
        <v>12119319</v>
      </c>
      <c r="N6982" s="5"/>
      <c r="O6982" s="5" t="str">
        <v>2540132492</v>
      </c>
      <c r="P6982" s="27">
        <v>10000</v>
      </c>
      <c r="Q6982" s="5" t="s">
        <v>49009</v>
      </c>
      <c r="R6982" s="5" t="s">
        <v>59701</v>
      </c>
      <c r="S6982" s="5" t="s">
        <v>49045</v>
      </c>
      <c r="T6982" s="28">
        <v>10448151000</v>
      </c>
      <c r="U6982" s="28">
        <v>1503544000</v>
      </c>
      <c r="V6982" s="28">
        <v>4798941000</v>
      </c>
      <c r="W6982" s="28"/>
      <c r="X6982" s="28">
        <v>2345649000</v>
      </c>
      <c r="Y6982" s="28">
        <v>21516018000</v>
      </c>
      <c r="Z6982" s="28">
        <v>11498685000</v>
      </c>
      <c r="AA6982" s="28">
        <v>87770000</v>
      </c>
      <c r="AB6982" s="28"/>
      <c r="AC6982" s="28">
        <v>4697529000</v>
      </c>
      <c r="AD6982" s="28">
        <v>11498695000</v>
      </c>
      <c r="AE6982" s="28">
        <v>42449132000</v>
      </c>
      <c r="AF6982" s="28">
        <v>7401803000</v>
      </c>
      <c r="AG6982" s="11"/>
    </row>
    <row r="6983">
      <c r="A6983" s="7" t="s">
        <v>8545</v>
      </c>
      <c r="B6983" s="5" t="s">
        <v>16476</v>
      </c>
      <c r="C6983" s="5" t="s">
        <v>24100</v>
      </c>
      <c r="D6983" s="5" t="str">
        <v>770203582894</v>
      </c>
      <c r="E6983" s="0" t="e">
        <f>+7 (495) 6701708
+7 (495) 6700400
+7 (495) 6700469
+7 (495) 6701111</f>
        <v>#NAME?</v>
      </c>
      <c r="F6983" s="5" t="s">
        <v>45654</v>
      </c>
      <c r="G6983" s="5" t="s">
        <v>45655</v>
      </c>
      <c r="H6983" s="26">
        <v>23</v>
      </c>
      <c r="I6983" s="5" t="s">
        <v>45656</v>
      </c>
      <c r="J6983" s="5" t="s">
        <v>373</v>
      </c>
      <c r="K6983" s="5" t="s">
        <v>344</v>
      </c>
      <c r="L6983" s="5" t="s">
        <v>45657</v>
      </c>
      <c r="M6983" s="27"/>
      <c r="N6983" s="5" t="s">
        <v>57595</v>
      </c>
      <c r="O6983" s="5" t="str">
        <v>7709298125</v>
      </c>
      <c r="P6983" s="27">
        <v>500000</v>
      </c>
      <c r="Q6983" s="5" t="s">
        <v>59702</v>
      </c>
      <c r="R6983" s="5"/>
      <c r="S6983" s="5" t="s">
        <v>49227</v>
      </c>
      <c r="T6983" s="28">
        <v>35710000</v>
      </c>
      <c r="U6983" s="28">
        <v>26490000</v>
      </c>
      <c r="V6983" s="28">
        <v>431661000</v>
      </c>
      <c r="W6983" s="28"/>
      <c r="X6983" s="28">
        <v>29674000</v>
      </c>
      <c r="Y6983" s="28">
        <v>822947000</v>
      </c>
      <c r="Z6983" s="28">
        <v>157780000</v>
      </c>
      <c r="AA6983" s="28">
        <v>121850000</v>
      </c>
      <c r="AB6983" s="28"/>
      <c r="AC6983" s="28">
        <v>528823000</v>
      </c>
      <c r="AD6983" s="28">
        <v>158280000</v>
      </c>
      <c r="AE6983" s="28">
        <v>5215942000</v>
      </c>
      <c r="AF6983" s="28">
        <v>4695000</v>
      </c>
      <c r="AG6983" s="11"/>
    </row>
    <row r="6984">
      <c r="A6984" s="7" t="s">
        <v>8546</v>
      </c>
      <c r="B6984" s="5" t="s">
        <v>16477</v>
      </c>
      <c r="C6984" s="5" t="s">
        <v>24101</v>
      </c>
      <c r="D6984" s="5" t="str">
        <v>507502845495</v>
      </c>
      <c r="E6984" s="0" t="e">
        <f>+7 (966) 358079
+7 (495) 7450950
+7 (499) 4443988</f>
        <v>#NAME?</v>
      </c>
      <c r="F6984" s="5" t="s">
        <v>45658</v>
      </c>
      <c r="G6984" s="5" t="s">
        <v>45659</v>
      </c>
      <c r="H6984" s="26">
        <v>14.5</v>
      </c>
      <c r="I6984" s="5" t="s">
        <v>45660</v>
      </c>
      <c r="J6984" s="5" t="s">
        <v>364</v>
      </c>
      <c r="K6984" s="5" t="s">
        <v>344</v>
      </c>
      <c r="L6984" s="5" t="s">
        <v>45661</v>
      </c>
      <c r="M6984" s="27">
        <v>5244492</v>
      </c>
      <c r="N6984" s="5" t="s">
        <v>59703</v>
      </c>
      <c r="O6984" s="5" t="str">
        <v>5013057885</v>
      </c>
      <c r="P6984" s="27">
        <v>3011000</v>
      </c>
      <c r="Q6984" s="5" t="s">
        <v>59704</v>
      </c>
      <c r="R6984" s="5"/>
      <c r="S6984" s="5" t="s">
        <v>51006</v>
      </c>
      <c r="T6984" s="28"/>
      <c r="U6984" s="28"/>
      <c r="V6984" s="28">
        <v>10595995000</v>
      </c>
      <c r="W6984" s="28"/>
      <c r="X6984" s="28">
        <v>2906000</v>
      </c>
      <c r="Y6984" s="28">
        <v>12514760000</v>
      </c>
      <c r="Z6984" s="28">
        <v>2758464000</v>
      </c>
      <c r="AA6984" s="28"/>
      <c r="AB6984" s="28"/>
      <c r="AC6984" s="28">
        <v>9753285000</v>
      </c>
      <c r="AD6984" s="28">
        <v>2761475000</v>
      </c>
      <c r="AE6984" s="28">
        <v>7902522000</v>
      </c>
      <c r="AF6984" s="28">
        <v>1572209000</v>
      </c>
      <c r="AG6984" s="11"/>
    </row>
    <row r="6985">
      <c r="A6985" s="7" t="s">
        <v>8547</v>
      </c>
      <c r="B6985" s="5" t="s">
        <v>16478</v>
      </c>
      <c r="C6985" s="5" t="s">
        <v>24102</v>
      </c>
      <c r="D6985" s="5" t="str">
        <v>773372327904</v>
      </c>
      <c r="E6985" s="0" t="e">
        <f>+7 (495) 2690454
+7 (495) 5891968
+7 (495) 7751822</f>
        <v>#NAME?</v>
      </c>
      <c r="F6985" s="5" t="s">
        <v>45662</v>
      </c>
      <c r="G6985" s="5" t="s">
        <v>45663</v>
      </c>
      <c r="H6985" s="26">
        <v>13.5</v>
      </c>
      <c r="I6985" s="5" t="s">
        <v>45664</v>
      </c>
      <c r="J6985" s="5" t="s">
        <v>599</v>
      </c>
      <c r="K6985" s="5" t="s">
        <v>380</v>
      </c>
      <c r="L6985" s="5"/>
      <c r="M6985" s="27">
        <v>851330</v>
      </c>
      <c r="N6985" s="5" t="s">
        <v>49403</v>
      </c>
      <c r="O6985" s="5" t="str">
        <v>7705903195</v>
      </c>
      <c r="P6985" s="27">
        <v>311000000</v>
      </c>
      <c r="Q6985" s="5" t="s">
        <v>59705</v>
      </c>
      <c r="R6985" s="5"/>
      <c r="S6985" s="5" t="s">
        <v>51465</v>
      </c>
      <c r="T6985" s="28">
        <v>14451246000</v>
      </c>
      <c r="U6985" s="28">
        <v>841922000</v>
      </c>
      <c r="V6985" s="28">
        <v>2433884000</v>
      </c>
      <c r="W6985" s="28">
        <v>253504000</v>
      </c>
      <c r="X6985" s="28">
        <v>69617000</v>
      </c>
      <c r="Y6985" s="28">
        <v>18622646000</v>
      </c>
      <c r="Z6985" s="28">
        <v>-101472000</v>
      </c>
      <c r="AA6985" s="28">
        <v>1000625000</v>
      </c>
      <c r="AB6985" s="28">
        <v>448619000</v>
      </c>
      <c r="AC6985" s="28">
        <v>3909321000</v>
      </c>
      <c r="AD6985" s="28">
        <v>219528000</v>
      </c>
      <c r="AE6985" s="28">
        <v>8094274000</v>
      </c>
      <c r="AF6985" s="28">
        <v>-101776000</v>
      </c>
      <c r="AG6985" s="11"/>
    </row>
    <row r="6986">
      <c r="A6986" s="7" t="s">
        <v>8548</v>
      </c>
      <c r="B6986" s="5" t="s">
        <v>16479</v>
      </c>
      <c r="C6986" s="5" t="s">
        <v>24103</v>
      </c>
      <c r="D6986" s="5" t="str">
        <v>352504577369</v>
      </c>
      <c r="E6986" s="0" t="e">
        <f>+7 (900) 5304888
+7 (817) 2216782
+7 (817) 2217077
+7 (817) 2217162
+7 (817) 2285376
+7 (817) 2530153
+7 (817) 2724454</f>
        <v>#NAME?</v>
      </c>
      <c r="F6986" s="5" t="s">
        <v>45665</v>
      </c>
      <c r="G6986" s="5" t="s">
        <v>45666</v>
      </c>
      <c r="H6986" s="26">
        <v>30</v>
      </c>
      <c r="I6986" s="5"/>
      <c r="J6986" s="5" t="s">
        <v>28245</v>
      </c>
      <c r="K6986" s="5" t="s">
        <v>344</v>
      </c>
      <c r="L6986" s="5" t="s">
        <v>40479</v>
      </c>
      <c r="M6986" s="27"/>
      <c r="N6986" s="5" t="s">
        <v>49350</v>
      </c>
      <c r="O6986" s="5" t="str">
        <v>3525003462</v>
      </c>
      <c r="P6986" s="27">
        <v>6632</v>
      </c>
      <c r="Q6986" s="5" t="s">
        <v>59706</v>
      </c>
      <c r="R6986" s="5"/>
      <c r="S6986" s="5" t="s">
        <v>59707</v>
      </c>
      <c r="T6986" s="28">
        <v>128722000</v>
      </c>
      <c r="U6986" s="28"/>
      <c r="V6986" s="28">
        <v>740390000</v>
      </c>
      <c r="W6986" s="28">
        <v>203018000</v>
      </c>
      <c r="X6986" s="28">
        <v>60182000</v>
      </c>
      <c r="Y6986" s="28">
        <v>1739930000</v>
      </c>
      <c r="Z6986" s="28">
        <v>286920000</v>
      </c>
      <c r="AA6986" s="28"/>
      <c r="AB6986" s="28">
        <v>150107000</v>
      </c>
      <c r="AC6986" s="28">
        <v>1437690000</v>
      </c>
      <c r="AD6986" s="28">
        <v>302241000</v>
      </c>
      <c r="AE6986" s="28">
        <v>3436994000</v>
      </c>
      <c r="AF6986" s="28">
        <v>170913000</v>
      </c>
      <c r="AG6986" s="11"/>
    </row>
    <row r="6987">
      <c r="A6987" s="7" t="s">
        <v>8549</v>
      </c>
      <c r="B6987" s="5" t="s">
        <v>16480</v>
      </c>
      <c r="C6987" s="5" t="s">
        <v>24104</v>
      </c>
      <c r="D6987" s="5" t="str">
        <v>470501912148</v>
      </c>
      <c r="E6987" s="0" t="e">
        <f>+7 (862) 5552620
+7 (812) 6221453
+7 (81361) 42106
+7 (81371) 76172</f>
        <v>#NAME?</v>
      </c>
      <c r="F6987" s="5" t="s">
        <v>45667</v>
      </c>
      <c r="G6987" s="5" t="s">
        <v>45668</v>
      </c>
      <c r="H6987" s="26">
        <v>21.5</v>
      </c>
      <c r="I6987" s="5" t="s">
        <v>28754</v>
      </c>
      <c r="J6987" s="5" t="s">
        <v>36708</v>
      </c>
      <c r="K6987" s="5" t="s">
        <v>380</v>
      </c>
      <c r="L6987" s="5"/>
      <c r="M6987" s="27"/>
      <c r="N6987" s="5" t="s">
        <v>50908</v>
      </c>
      <c r="O6987" s="5" t="str">
        <v>4705021744</v>
      </c>
      <c r="P6987" s="27">
        <v>10000</v>
      </c>
      <c r="Q6987" s="5"/>
      <c r="R6987" s="5"/>
      <c r="S6987" s="5" t="s">
        <v>59708</v>
      </c>
      <c r="T6987" s="28">
        <v>475773000</v>
      </c>
      <c r="U6987" s="28"/>
      <c r="V6987" s="28">
        <v>864841000</v>
      </c>
      <c r="W6987" s="28">
        <v>145362000</v>
      </c>
      <c r="X6987" s="28">
        <v>13371000</v>
      </c>
      <c r="Y6987" s="28">
        <v>1863200000</v>
      </c>
      <c r="Z6987" s="28">
        <v>-991662000</v>
      </c>
      <c r="AA6987" s="28">
        <v>298000000</v>
      </c>
      <c r="AB6987" s="28"/>
      <c r="AC6987" s="28">
        <v>1964320000</v>
      </c>
      <c r="AD6987" s="28">
        <v>-991652000</v>
      </c>
      <c r="AE6987" s="28">
        <v>8957297000</v>
      </c>
      <c r="AF6987" s="28">
        <v>-426981000</v>
      </c>
      <c r="AG6987" s="11"/>
    </row>
    <row r="6988">
      <c r="A6988" s="7" t="s">
        <v>8550</v>
      </c>
      <c r="B6988" s="5" t="s">
        <v>16481</v>
      </c>
      <c r="C6988" s="5" t="s">
        <v>24105</v>
      </c>
      <c r="D6988" s="5" t="str">
        <v>525012490972</v>
      </c>
      <c r="E6988" s="0" t="e">
        <f>+7 (83142) 22551
+7 (920) 2508656</f>
        <v>#NAME?</v>
      </c>
      <c r="F6988" s="5" t="s">
        <v>45669</v>
      </c>
      <c r="G6988" s="5"/>
      <c r="H6988" s="26">
        <v>5</v>
      </c>
      <c r="I6988" s="5" t="s">
        <v>45670</v>
      </c>
      <c r="J6988" s="5" t="s">
        <v>373</v>
      </c>
      <c r="K6988" s="5" t="s">
        <v>344</v>
      </c>
      <c r="L6988" s="5" t="s">
        <v>45671</v>
      </c>
      <c r="M6988" s="27"/>
      <c r="N6988" s="5" t="s">
        <v>59709</v>
      </c>
      <c r="O6988" s="5" t="str">
        <v>5261115069</v>
      </c>
      <c r="P6988" s="27">
        <v>10000</v>
      </c>
      <c r="Q6988" s="5" t="s">
        <v>49059</v>
      </c>
      <c r="R6988" s="5"/>
      <c r="S6988" s="5" t="s">
        <v>49454</v>
      </c>
      <c r="T6988" s="28"/>
      <c r="U6988" s="28"/>
      <c r="V6988" s="28">
        <v>344933000</v>
      </c>
      <c r="W6988" s="28">
        <v>2551000</v>
      </c>
      <c r="X6988" s="28">
        <v>47866000</v>
      </c>
      <c r="Y6988" s="28">
        <v>508931000</v>
      </c>
      <c r="Z6988" s="28">
        <v>49697000</v>
      </c>
      <c r="AA6988" s="28">
        <v>29612000</v>
      </c>
      <c r="AB6988" s="28">
        <v>30000000</v>
      </c>
      <c r="AC6988" s="28">
        <v>429612000</v>
      </c>
      <c r="AD6988" s="28">
        <v>49707000</v>
      </c>
      <c r="AE6988" s="28">
        <v>3422936000</v>
      </c>
      <c r="AF6988" s="28">
        <v>19167000</v>
      </c>
      <c r="AG6988" s="11"/>
    </row>
    <row r="6989">
      <c r="A6989" s="7" t="s">
        <v>8551</v>
      </c>
      <c r="B6989" s="5" t="s">
        <v>16482</v>
      </c>
      <c r="C6989" s="5" t="s">
        <v>24106</v>
      </c>
      <c r="D6989" s="5" t="str">
        <v>774317379283</v>
      </c>
      <c r="E6989" s="0" t="e">
        <f>+7 (495) 7887236
+7 (499) 2657501
+7 (499) 2672428
+7 (499) 2679002</f>
        <v>#NAME?</v>
      </c>
      <c r="F6989" s="5" t="s">
        <v>45672</v>
      </c>
      <c r="G6989" s="5" t="s">
        <v>45673</v>
      </c>
      <c r="H6989" s="26">
        <v>28</v>
      </c>
      <c r="I6989" s="5"/>
      <c r="J6989" s="5" t="s">
        <v>27115</v>
      </c>
      <c r="K6989" s="5" t="s">
        <v>380</v>
      </c>
      <c r="L6989" s="5"/>
      <c r="M6989" s="27">
        <v>411251</v>
      </c>
      <c r="N6989" s="5" t="s">
        <v>59710</v>
      </c>
      <c r="O6989" s="5" t="str">
        <v>7708016628</v>
      </c>
      <c r="P6989" s="27">
        <v>1500000</v>
      </c>
      <c r="Q6989" s="5" t="s">
        <v>49009</v>
      </c>
      <c r="R6989" s="5"/>
      <c r="S6989" s="5" t="s">
        <v>49045</v>
      </c>
      <c r="T6989" s="28">
        <v>482733000</v>
      </c>
      <c r="U6989" s="28">
        <v>149000</v>
      </c>
      <c r="V6989" s="28">
        <v>1323830000</v>
      </c>
      <c r="W6989" s="28">
        <v>5727000</v>
      </c>
      <c r="X6989" s="28">
        <v>13586000</v>
      </c>
      <c r="Y6989" s="28">
        <v>1944792000</v>
      </c>
      <c r="Z6989" s="28">
        <v>361891000</v>
      </c>
      <c r="AA6989" s="28"/>
      <c r="AB6989" s="28">
        <v>4267000</v>
      </c>
      <c r="AC6989" s="28">
        <v>1570587000</v>
      </c>
      <c r="AD6989" s="28">
        <v>364313000</v>
      </c>
      <c r="AE6989" s="28">
        <v>3907257000</v>
      </c>
      <c r="AF6989" s="28">
        <v>8050000</v>
      </c>
      <c r="AG6989" s="11"/>
    </row>
    <row r="6990">
      <c r="A6990" s="7" t="s">
        <v>8552</v>
      </c>
      <c r="B6990" s="5" t="s">
        <v>16483</v>
      </c>
      <c r="C6990" s="5" t="s">
        <v>24107</v>
      </c>
      <c r="D6990" s="5" t="str">
        <v>773005604100</v>
      </c>
      <c r="E6990" s="0" t="e">
        <f>+7 (495) 7862317
+7 (495) 7862323</f>
        <v>#NAME?</v>
      </c>
      <c r="F6990" s="5" t="s">
        <v>45674</v>
      </c>
      <c r="G6990" s="5" t="s">
        <v>45675</v>
      </c>
      <c r="H6990" s="26">
        <v>25</v>
      </c>
      <c r="I6990" s="5" t="s">
        <v>45676</v>
      </c>
      <c r="J6990" s="5" t="s">
        <v>27776</v>
      </c>
      <c r="K6990" s="5" t="s">
        <v>355</v>
      </c>
      <c r="L6990" s="5"/>
      <c r="M6990" s="27">
        <v>4534769</v>
      </c>
      <c r="N6990" s="5" t="s">
        <v>50908</v>
      </c>
      <c r="O6990" s="5" t="str">
        <v>7720220965</v>
      </c>
      <c r="P6990" s="27">
        <v>5030000</v>
      </c>
      <c r="Q6990" s="5" t="s">
        <v>59712</v>
      </c>
      <c r="R6990" s="5"/>
      <c r="S6990" s="5" t="s">
        <v>59713</v>
      </c>
      <c r="T6990" s="28">
        <v>2995840000</v>
      </c>
      <c r="U6990" s="28">
        <v>944340000</v>
      </c>
      <c r="V6990" s="28">
        <v>2542945000</v>
      </c>
      <c r="W6990" s="28">
        <v>188869000</v>
      </c>
      <c r="X6990" s="28">
        <v>6694000</v>
      </c>
      <c r="Y6990" s="28">
        <v>7849595000</v>
      </c>
      <c r="Z6990" s="28">
        <v>-918418000</v>
      </c>
      <c r="AA6990" s="28">
        <v>1642563000</v>
      </c>
      <c r="AB6990" s="28">
        <v>2954405000</v>
      </c>
      <c r="AC6990" s="28">
        <v>3798649000</v>
      </c>
      <c r="AD6990" s="28">
        <v>-912569000</v>
      </c>
      <c r="AE6990" s="28">
        <v>4974135000</v>
      </c>
      <c r="AF6990" s="28">
        <v>-510378000</v>
      </c>
      <c r="AG6990" s="11"/>
    </row>
    <row r="6991">
      <c r="A6991" s="7" t="s">
        <v>8553</v>
      </c>
      <c r="B6991" s="5" t="s">
        <v>16484</v>
      </c>
      <c r="C6991" s="5" t="s">
        <v>24108</v>
      </c>
      <c r="D6991" s="5" t="str">
        <v>773802710195</v>
      </c>
      <c r="E6991" s="0" t="e">
        <f>+7 (495) 5141054
+7 (495) 5141067
+7 (495) 6086296
+7 (495) 7753938
+7 (495) 9750177
+7 (800) 5550544</f>
        <v>#NAME?</v>
      </c>
      <c r="F6991" s="5" t="s">
        <v>45677</v>
      </c>
      <c r="G6991" s="5" t="s">
        <v>45678</v>
      </c>
      <c r="H6991" s="26">
        <v>29.5</v>
      </c>
      <c r="I6991" s="5"/>
      <c r="J6991" s="5" t="s">
        <v>25429</v>
      </c>
      <c r="K6991" s="5" t="s">
        <v>344</v>
      </c>
      <c r="L6991" s="5" t="s">
        <v>45679</v>
      </c>
      <c r="M6991" s="27">
        <v>1672343</v>
      </c>
      <c r="N6991" s="5"/>
      <c r="O6991" s="5" t="str">
        <v>7702129431</v>
      </c>
      <c r="P6991" s="27">
        <v>4806000</v>
      </c>
      <c r="Q6991" s="5" t="s">
        <v>49009</v>
      </c>
      <c r="R6991" s="5"/>
      <c r="S6991" s="5" t="s">
        <v>49010</v>
      </c>
      <c r="T6991" s="28">
        <v>140761000</v>
      </c>
      <c r="U6991" s="28">
        <v>111159000</v>
      </c>
      <c r="V6991" s="28">
        <v>1185959000</v>
      </c>
      <c r="W6991" s="28"/>
      <c r="X6991" s="28">
        <v>7480000</v>
      </c>
      <c r="Y6991" s="28">
        <v>2267302000</v>
      </c>
      <c r="Z6991" s="28">
        <v>1100373000</v>
      </c>
      <c r="AA6991" s="28">
        <v>116840000</v>
      </c>
      <c r="AB6991" s="28">
        <v>611915000</v>
      </c>
      <c r="AC6991" s="28">
        <v>981293000</v>
      </c>
      <c r="AD6991" s="28">
        <v>1106130000</v>
      </c>
      <c r="AE6991" s="28">
        <v>3826822000</v>
      </c>
      <c r="AF6991" s="28">
        <v>449077000</v>
      </c>
      <c r="AG6991" s="11"/>
    </row>
    <row r="6992">
      <c r="A6992" s="7" t="s">
        <v>8554</v>
      </c>
      <c r="B6992" s="5" t="s">
        <v>16485</v>
      </c>
      <c r="C6992" s="5" t="s">
        <v>24109</v>
      </c>
      <c r="D6992" s="5" t="str">
        <v>231544478166</v>
      </c>
      <c r="E6992" s="0" t="e">
        <f>+7 (861) 7762562
+7 (8617) 762558</f>
        <v>#NAME?</v>
      </c>
      <c r="F6992" s="5"/>
      <c r="G6992" s="5"/>
      <c r="H6992" s="26">
        <v>21</v>
      </c>
      <c r="I6992" s="5" t="s">
        <v>45680</v>
      </c>
      <c r="J6992" s="5" t="s">
        <v>373</v>
      </c>
      <c r="K6992" s="5" t="s">
        <v>344</v>
      </c>
      <c r="L6992" s="5" t="s">
        <v>45681</v>
      </c>
      <c r="M6992" s="27"/>
      <c r="N6992" s="5"/>
      <c r="O6992" s="5" t="str">
        <v>2315093010</v>
      </c>
      <c r="P6992" s="27">
        <v>1000000</v>
      </c>
      <c r="Q6992" s="5" t="s">
        <v>49059</v>
      </c>
      <c r="R6992" s="5"/>
      <c r="S6992" s="5" t="s">
        <v>49066</v>
      </c>
      <c r="T6992" s="28"/>
      <c r="U6992" s="28"/>
      <c r="V6992" s="28">
        <v>1787422000</v>
      </c>
      <c r="W6992" s="28"/>
      <c r="X6992" s="28">
        <v>18814000</v>
      </c>
      <c r="Y6992" s="28">
        <v>2401551000</v>
      </c>
      <c r="Z6992" s="28">
        <v>1446240000</v>
      </c>
      <c r="AA6992" s="28"/>
      <c r="AB6992" s="28">
        <v>707658000</v>
      </c>
      <c r="AC6992" s="28">
        <v>954311000</v>
      </c>
      <c r="AD6992" s="28">
        <v>1447240000</v>
      </c>
      <c r="AE6992" s="28">
        <v>4870783000</v>
      </c>
      <c r="AF6992" s="28">
        <v>298706000</v>
      </c>
      <c r="AG6992" s="11"/>
    </row>
    <row r="6993">
      <c r="A6993" s="7" t="s">
        <v>8555</v>
      </c>
      <c r="B6993" s="5" t="s">
        <v>16486</v>
      </c>
      <c r="C6993" s="5" t="s">
        <v>24110</v>
      </c>
      <c r="D6993" s="5" t="str">
        <v>644504276303</v>
      </c>
      <c r="E6993" s="0" t="e">
        <f>+7 (927) 1557236
+7 (927) 6228501</f>
        <v>#NAME?</v>
      </c>
      <c r="F6993" s="5" t="s">
        <v>45682</v>
      </c>
      <c r="G6993" s="5"/>
      <c r="H6993" s="26">
        <v>10</v>
      </c>
      <c r="I6993" s="5" t="s">
        <v>45683</v>
      </c>
      <c r="J6993" s="5" t="s">
        <v>28451</v>
      </c>
      <c r="K6993" s="5" t="s">
        <v>344</v>
      </c>
      <c r="L6993" s="5" t="s">
        <v>45684</v>
      </c>
      <c r="M6993" s="27"/>
      <c r="N6993" s="5"/>
      <c r="O6993" s="5" t="str">
        <v>6445006135</v>
      </c>
      <c r="P6993" s="27">
        <v>1010000</v>
      </c>
      <c r="Q6993" s="5" t="s">
        <v>49057</v>
      </c>
      <c r="R6993" s="5"/>
      <c r="S6993" s="5" t="s">
        <v>59714</v>
      </c>
      <c r="T6993" s="28">
        <v>153108000</v>
      </c>
      <c r="U6993" s="28"/>
      <c r="V6993" s="28">
        <v>365570000</v>
      </c>
      <c r="W6993" s="28">
        <v>43016000</v>
      </c>
      <c r="X6993" s="28">
        <v>21834000</v>
      </c>
      <c r="Y6993" s="28">
        <v>1001021000</v>
      </c>
      <c r="Z6993" s="28">
        <v>333557000</v>
      </c>
      <c r="AA6993" s="28">
        <v>43800000</v>
      </c>
      <c r="AB6993" s="28">
        <v>330826000</v>
      </c>
      <c r="AC6993" s="28">
        <v>610140000</v>
      </c>
      <c r="AD6993" s="28">
        <v>334567000</v>
      </c>
      <c r="AE6993" s="28">
        <v>3376874000</v>
      </c>
      <c r="AF6993" s="28">
        <v>184879000</v>
      </c>
      <c r="AG6993" s="11"/>
    </row>
    <row r="6994">
      <c r="A6994" s="7" t="s">
        <v>8556</v>
      </c>
      <c r="B6994" s="5" t="s">
        <v>16487</v>
      </c>
      <c r="C6994" s="5" t="s">
        <v>24111</v>
      </c>
      <c r="D6994" s="5" t="str">
        <v>161404023567</v>
      </c>
      <c r="E6994" s="0" t="e">
        <f>+7 (495) 7838232
+7 (960) 606364</f>
        <v>#NAME?</v>
      </c>
      <c r="F6994" s="5"/>
      <c r="G6994" s="5" t="s">
        <v>45685</v>
      </c>
      <c r="H6994" s="26">
        <v>13.5</v>
      </c>
      <c r="I6994" s="5" t="s">
        <v>45686</v>
      </c>
      <c r="J6994" s="5" t="s">
        <v>599</v>
      </c>
      <c r="K6994" s="5" t="s">
        <v>344</v>
      </c>
      <c r="L6994" s="5" t="s">
        <v>45687</v>
      </c>
      <c r="M6994" s="27"/>
      <c r="N6994" s="5"/>
      <c r="O6994" s="5" t="str">
        <v>7743755607</v>
      </c>
      <c r="P6994" s="27">
        <v>10000</v>
      </c>
      <c r="Q6994" s="5"/>
      <c r="R6994" s="5"/>
      <c r="S6994" s="5" t="s">
        <v>49110</v>
      </c>
      <c r="T6994" s="28">
        <v>8671000</v>
      </c>
      <c r="U6994" s="28">
        <v>268000</v>
      </c>
      <c r="V6994" s="28">
        <v>382557000</v>
      </c>
      <c r="W6994" s="28">
        <v>300000</v>
      </c>
      <c r="X6994" s="28">
        <v>81109000</v>
      </c>
      <c r="Y6994" s="28">
        <v>591748000</v>
      </c>
      <c r="Z6994" s="28">
        <v>205553000</v>
      </c>
      <c r="AA6994" s="28"/>
      <c r="AB6994" s="28"/>
      <c r="AC6994" s="28">
        <v>375600000</v>
      </c>
      <c r="AD6994" s="28">
        <v>205563000</v>
      </c>
      <c r="AE6994" s="28">
        <v>3267168000</v>
      </c>
      <c r="AF6994" s="28">
        <v>117447000</v>
      </c>
      <c r="AG6994" s="11"/>
    </row>
    <row r="6995">
      <c r="A6995" s="7" t="s">
        <v>8557</v>
      </c>
      <c r="B6995" s="5" t="s">
        <v>16488</v>
      </c>
      <c r="C6995" s="5" t="s">
        <v>24112</v>
      </c>
      <c r="D6995" s="5" t="str">
        <v>774342665087</v>
      </c>
      <c r="E6995" s="0" t="e">
        <f>+7 (495) 6404065
+7 (495) 6404075</f>
        <v>#NAME?</v>
      </c>
      <c r="F6995" s="5"/>
      <c r="G6995" s="5" t="s">
        <v>45688</v>
      </c>
      <c r="H6995" s="26">
        <v>13</v>
      </c>
      <c r="I6995" s="5" t="s">
        <v>45689</v>
      </c>
      <c r="J6995" s="5" t="s">
        <v>599</v>
      </c>
      <c r="K6995" s="5" t="s">
        <v>344</v>
      </c>
      <c r="L6995" s="5" t="s">
        <v>45690</v>
      </c>
      <c r="M6995" s="27"/>
      <c r="N6995" s="5"/>
      <c r="O6995" s="5" t="str">
        <v>7743772602</v>
      </c>
      <c r="P6995" s="27">
        <v>300000</v>
      </c>
      <c r="Q6995" s="5" t="s">
        <v>49059</v>
      </c>
      <c r="R6995" s="5"/>
      <c r="S6995" s="5" t="s">
        <v>49010</v>
      </c>
      <c r="T6995" s="28">
        <v>6217000</v>
      </c>
      <c r="U6995" s="28">
        <v>2232000</v>
      </c>
      <c r="V6995" s="28">
        <v>424031000</v>
      </c>
      <c r="W6995" s="28">
        <v>175574000</v>
      </c>
      <c r="X6995" s="28">
        <v>9990000</v>
      </c>
      <c r="Y6995" s="28">
        <v>650835000</v>
      </c>
      <c r="Z6995" s="28">
        <v>157999000</v>
      </c>
      <c r="AA6995" s="28"/>
      <c r="AB6995" s="28"/>
      <c r="AC6995" s="28">
        <v>490952000</v>
      </c>
      <c r="AD6995" s="28">
        <v>158299000</v>
      </c>
      <c r="AE6995" s="28">
        <v>6749966000</v>
      </c>
      <c r="AF6995" s="28">
        <v>101984000</v>
      </c>
      <c r="AG6995" s="11"/>
    </row>
    <row r="6996">
      <c r="A6996" s="7" t="s">
        <v>8558</v>
      </c>
      <c r="B6996" s="5" t="s">
        <v>16489</v>
      </c>
      <c r="C6996" s="5" t="s">
        <v>24113</v>
      </c>
      <c r="D6996" s="5"/>
      <c r="E6996" s="0" t="e">
        <f>+7 (8553) 306053</f>
        <v>#NAME?</v>
      </c>
      <c r="F6996" s="5"/>
      <c r="G6996" s="5"/>
      <c r="H6996" s="26">
        <v>9</v>
      </c>
      <c r="I6996" s="5" t="s">
        <v>45691</v>
      </c>
      <c r="J6996" s="5" t="s">
        <v>533</v>
      </c>
      <c r="K6996" s="5" t="s">
        <v>344</v>
      </c>
      <c r="L6996" s="5"/>
      <c r="M6996" s="27"/>
      <c r="N6996" s="5"/>
      <c r="O6996" s="5" t="str">
        <v>1644069934</v>
      </c>
      <c r="P6996" s="27">
        <v>2000000</v>
      </c>
      <c r="Q6996" s="5"/>
      <c r="R6996" s="5"/>
      <c r="S6996" s="5" t="s">
        <v>49029</v>
      </c>
      <c r="T6996" s="28">
        <v>871108000</v>
      </c>
      <c r="U6996" s="28"/>
      <c r="V6996" s="28">
        <v>679373000</v>
      </c>
      <c r="W6996" s="28"/>
      <c r="X6996" s="28">
        <v>430876000</v>
      </c>
      <c r="Y6996" s="28">
        <v>1998556000</v>
      </c>
      <c r="Z6996" s="28">
        <v>88202000</v>
      </c>
      <c r="AA6996" s="28">
        <v>1374750000</v>
      </c>
      <c r="AB6996" s="28">
        <v>125000000</v>
      </c>
      <c r="AC6996" s="28">
        <v>528802000</v>
      </c>
      <c r="AD6996" s="28">
        <v>90202000</v>
      </c>
      <c r="AE6996" s="28">
        <v>3338116000</v>
      </c>
      <c r="AF6996" s="28">
        <v>222094000</v>
      </c>
      <c r="AG6996" s="11"/>
    </row>
    <row r="6997">
      <c r="A6997" s="7" t="s">
        <v>8559</v>
      </c>
      <c r="B6997" s="5" t="s">
        <v>16490</v>
      </c>
      <c r="C6997" s="5" t="s">
        <v>24114</v>
      </c>
      <c r="D6997" s="5" t="str">
        <v>772900803304</v>
      </c>
      <c r="E6997" s="0" t="e">
        <f>+7 (3512) 592261
+7 (495) 2627578
+7 (495) 2628506
+7 (495) 6096168
+7 (495) 6379178
+7 (495) 7881717
+7 (499) 2627578
+7 (499) 2628506
+7 (8435) 555717
+7 (8452) 390054</f>
        <v>#NAME?</v>
      </c>
      <c r="F6997" s="5" t="s">
        <v>45692</v>
      </c>
      <c r="G6997" s="5" t="s">
        <v>45693</v>
      </c>
      <c r="H6997" s="26">
        <v>17</v>
      </c>
      <c r="I6997" s="5" t="s">
        <v>45694</v>
      </c>
      <c r="J6997" s="5" t="s">
        <v>599</v>
      </c>
      <c r="K6997" s="5" t="s">
        <v>344</v>
      </c>
      <c r="L6997" s="5"/>
      <c r="M6997" s="27">
        <v>34230851</v>
      </c>
      <c r="N6997" s="5" t="s">
        <v>59715</v>
      </c>
      <c r="O6997" s="5" t="str">
        <v>7708591995</v>
      </c>
      <c r="P6997" s="27">
        <v>13894778000</v>
      </c>
      <c r="Q6997" s="5" t="s">
        <v>59716</v>
      </c>
      <c r="R6997" s="5"/>
      <c r="S6997" s="5" t="s">
        <v>59717</v>
      </c>
      <c r="T6997" s="28">
        <v>119622399000</v>
      </c>
      <c r="U6997" s="28">
        <v>12528980000</v>
      </c>
      <c r="V6997" s="28">
        <v>20741010000</v>
      </c>
      <c r="W6997" s="28">
        <v>10406920000</v>
      </c>
      <c r="X6997" s="28">
        <v>5918686000</v>
      </c>
      <c r="Y6997" s="28">
        <v>178430694000</v>
      </c>
      <c r="Z6997" s="28">
        <v>19563222000</v>
      </c>
      <c r="AA6997" s="28">
        <v>54231874000</v>
      </c>
      <c r="AB6997" s="28">
        <v>46562581000</v>
      </c>
      <c r="AC6997" s="28">
        <v>76271035000</v>
      </c>
      <c r="AD6997" s="28">
        <v>35335936000</v>
      </c>
      <c r="AE6997" s="28">
        <v>171473665000</v>
      </c>
      <c r="AF6997" s="28">
        <v>17047343000</v>
      </c>
      <c r="AG6997" s="11"/>
    </row>
    <row r="6998">
      <c r="A6998" s="7" t="s">
        <v>8560</v>
      </c>
      <c r="B6998" s="5" t="s">
        <v>11424</v>
      </c>
      <c r="C6998" s="5" t="s">
        <v>19283</v>
      </c>
      <c r="D6998" s="5"/>
      <c r="E6998" s="0" t="e">
        <f>+7 (391) 2001340
+7 (391) 2001341
+7 (3952) 488670
+7 (421) 2303104
+7 (421) 2303106
+7 (485) 2230439
+7 (485) 2230497
+7 (495) 7716038
+7 (831) 2400859
+7 (910) 4909350
+7 (921) 6384867</f>
        <v>#NAME?</v>
      </c>
      <c r="F6998" s="5" t="s">
        <v>45695</v>
      </c>
      <c r="G6998" s="5" t="s">
        <v>45696</v>
      </c>
      <c r="H6998" s="26">
        <v>17</v>
      </c>
      <c r="I6998" s="5" t="s">
        <v>45697</v>
      </c>
      <c r="J6998" s="5" t="s">
        <v>26325</v>
      </c>
      <c r="K6998" s="5" t="s">
        <v>344</v>
      </c>
      <c r="L6998" s="5" t="s">
        <v>45698</v>
      </c>
      <c r="M6998" s="27">
        <v>117255</v>
      </c>
      <c r="N6998" s="5" t="s">
        <v>49403</v>
      </c>
      <c r="O6998" s="5" t="str">
        <v>7708586346</v>
      </c>
      <c r="P6998" s="27">
        <v>10965835</v>
      </c>
      <c r="Q6998" s="5" t="s">
        <v>49059</v>
      </c>
      <c r="R6998" s="5" t="s">
        <v>59718</v>
      </c>
      <c r="S6998" s="5" t="s">
        <v>52009</v>
      </c>
      <c r="T6998" s="28">
        <v>5376902000</v>
      </c>
      <c r="U6998" s="28"/>
      <c r="V6998" s="28">
        <v>3509484000</v>
      </c>
      <c r="W6998" s="28"/>
      <c r="X6998" s="28">
        <v>1073127000</v>
      </c>
      <c r="Y6998" s="28">
        <v>20662536000</v>
      </c>
      <c r="Z6998" s="28">
        <v>8107712000</v>
      </c>
      <c r="AA6998" s="28">
        <v>2032700000</v>
      </c>
      <c r="AB6998" s="28">
        <v>1791819000</v>
      </c>
      <c r="AC6998" s="28">
        <v>4189855000</v>
      </c>
      <c r="AD6998" s="28">
        <v>8118678000</v>
      </c>
      <c r="AE6998" s="28">
        <v>6709698000</v>
      </c>
      <c r="AF6998" s="28">
        <v>535506000</v>
      </c>
      <c r="AG6998" s="11"/>
    </row>
    <row r="6999">
      <c r="A6999" s="7" t="s">
        <v>8561</v>
      </c>
      <c r="B6999" s="5" t="s">
        <v>16491</v>
      </c>
      <c r="C6999" s="5" t="s">
        <v>24115</v>
      </c>
      <c r="D6999" s="5" t="str">
        <v>772802861001</v>
      </c>
      <c r="E6999" s="0" t="e">
        <f>+7 (495) 2320149
+7 (495) 2343929
+7 (495) 6450084
+7 (495) 6450085
+7 (495) 6450086
+7 (499) 9170847</f>
        <v>#NAME?</v>
      </c>
      <c r="F6999" s="5"/>
      <c r="G6999" s="5"/>
      <c r="H6999" s="26">
        <v>26.5</v>
      </c>
      <c r="I6999" s="5" t="s">
        <v>45699</v>
      </c>
      <c r="J6999" s="5" t="s">
        <v>25283</v>
      </c>
      <c r="K6999" s="5" t="s">
        <v>355</v>
      </c>
      <c r="L6999" s="5" t="s">
        <v>45700</v>
      </c>
      <c r="M6999" s="27">
        <v>16100374</v>
      </c>
      <c r="N6999" s="5"/>
      <c r="O6999" s="5" t="str">
        <v>7706236515</v>
      </c>
      <c r="P6999" s="27">
        <v>65054111</v>
      </c>
      <c r="Q6999" s="5" t="s">
        <v>49009</v>
      </c>
      <c r="R6999" s="5"/>
      <c r="S6999" s="5" t="s">
        <v>49045</v>
      </c>
      <c r="T6999" s="28">
        <v>33268000</v>
      </c>
      <c r="U6999" s="28">
        <v>2170629000</v>
      </c>
      <c r="V6999" s="28">
        <v>6641303000</v>
      </c>
      <c r="W6999" s="28"/>
      <c r="X6999" s="28">
        <v>4041840000</v>
      </c>
      <c r="Y6999" s="28">
        <v>15875647000</v>
      </c>
      <c r="Z6999" s="28">
        <v>3843768000</v>
      </c>
      <c r="AA6999" s="28">
        <v>2933897000</v>
      </c>
      <c r="AB6999" s="28">
        <v>690488000</v>
      </c>
      <c r="AC6999" s="28">
        <v>8945838000</v>
      </c>
      <c r="AD6999" s="28">
        <v>3917170000</v>
      </c>
      <c r="AE6999" s="28">
        <v>38094009000</v>
      </c>
      <c r="AF6999" s="28">
        <v>1006288000</v>
      </c>
      <c r="AG6999" s="11"/>
    </row>
    <row r="7000">
      <c r="A7000" s="7" t="s">
        <v>8562</v>
      </c>
      <c r="B7000" s="5" t="s">
        <v>16492</v>
      </c>
      <c r="C7000" s="5" t="s">
        <v>24116</v>
      </c>
      <c r="D7000" s="5" t="str">
        <v>503618674107</v>
      </c>
      <c r="E7000" s="0" t="e">
        <f>+7 (3022) 717755
+7 (3022) 995222
+7 (3432) 875549
+7 (345) 2593631
+7 (346) 2555330
+7 (3466) 233433
+7 (3472) 164105
+7 (3512) 161996
+7 (3512) 502566
+7 (384) 2671101
+7 (3843) 209755
+7 (391) 2126694
+7 (391) 2268888
+7 (391) 2806763
+7 (3952) 283411</f>
        <v>#NAME?</v>
      </c>
      <c r="F7000" s="5" t="s">
        <v>45701</v>
      </c>
      <c r="G7000" s="5" t="s">
        <v>45702</v>
      </c>
      <c r="H7000" s="26">
        <v>19.5</v>
      </c>
      <c r="I7000" s="5" t="s">
        <v>45703</v>
      </c>
      <c r="J7000" s="5" t="s">
        <v>25612</v>
      </c>
      <c r="K7000" s="5" t="s">
        <v>344</v>
      </c>
      <c r="L7000" s="5" t="s">
        <v>45704</v>
      </c>
      <c r="M7000" s="27"/>
      <c r="N7000" s="5" t="s">
        <v>59719</v>
      </c>
      <c r="O7000" s="5" t="str">
        <v>7707502720</v>
      </c>
      <c r="P7000" s="27">
        <v>12500000</v>
      </c>
      <c r="Q7000" s="5"/>
      <c r="R7000" s="5"/>
      <c r="S7000" s="5" t="s">
        <v>49047</v>
      </c>
      <c r="T7000" s="28">
        <v>749323000</v>
      </c>
      <c r="U7000" s="28"/>
      <c r="V7000" s="28">
        <v>704442000</v>
      </c>
      <c r="W7000" s="28">
        <v>200000000</v>
      </c>
      <c r="X7000" s="28">
        <v>230110000</v>
      </c>
      <c r="Y7000" s="28">
        <v>2631792000</v>
      </c>
      <c r="Z7000" s="28">
        <v>895454000</v>
      </c>
      <c r="AA7000" s="28">
        <v>330000000</v>
      </c>
      <c r="AB7000" s="28"/>
      <c r="AC7000" s="28">
        <v>1296421000</v>
      </c>
      <c r="AD7000" s="28">
        <v>907954000</v>
      </c>
      <c r="AE7000" s="28">
        <v>6233008000</v>
      </c>
      <c r="AF7000" s="28">
        <v>246294000</v>
      </c>
      <c r="AG7000" s="11"/>
    </row>
    <row r="7001">
      <c r="A7001" s="7" t="s">
        <v>8563</v>
      </c>
      <c r="B7001" s="5" t="s">
        <v>16493</v>
      </c>
      <c r="C7001" s="5" t="s">
        <v>24117</v>
      </c>
      <c r="D7001" s="5" t="str">
        <v>231212656344</v>
      </c>
      <c r="E7001" s="0" t="e">
        <f>+7 (928) 4275464
+7 (861) 9924663
+7 (909) 4462999
+7 (964) 9005383</f>
        <v>#NAME?</v>
      </c>
      <c r="F7001" s="5" t="s">
        <v>45705</v>
      </c>
      <c r="G7001" s="5"/>
      <c r="H7001" s="26">
        <v>6.5</v>
      </c>
      <c r="I7001" s="5" t="s">
        <v>45706</v>
      </c>
      <c r="J7001" s="5" t="s">
        <v>373</v>
      </c>
      <c r="K7001" s="5" t="s">
        <v>344</v>
      </c>
      <c r="L7001" s="5" t="s">
        <v>25220</v>
      </c>
      <c r="M7001" s="27"/>
      <c r="N7001" s="5" t="s">
        <v>59720</v>
      </c>
      <c r="O7001" s="5" t="str">
        <v>2310193780</v>
      </c>
      <c r="P7001" s="27">
        <v>100000</v>
      </c>
      <c r="Q7001" s="5" t="s">
        <v>49057</v>
      </c>
      <c r="R7001" s="5"/>
      <c r="S7001" s="5" t="s">
        <v>49450</v>
      </c>
      <c r="T7001" s="28">
        <v>18962000</v>
      </c>
      <c r="U7001" s="28"/>
      <c r="V7001" s="28">
        <v>649356000</v>
      </c>
      <c r="W7001" s="28">
        <v>5766000</v>
      </c>
      <c r="X7001" s="28">
        <v>125000</v>
      </c>
      <c r="Y7001" s="28">
        <v>1045976000</v>
      </c>
      <c r="Z7001" s="28">
        <v>212535000</v>
      </c>
      <c r="AA7001" s="28"/>
      <c r="AB7001" s="28">
        <v>413741000</v>
      </c>
      <c r="AC7001" s="28">
        <v>810371000</v>
      </c>
      <c r="AD7001" s="28">
        <v>212635000</v>
      </c>
      <c r="AE7001" s="28">
        <v>7889687000</v>
      </c>
      <c r="AF7001" s="28">
        <v>55460000</v>
      </c>
      <c r="AG7001" s="11"/>
    </row>
    <row r="7002">
      <c r="A7002" s="7" t="s">
        <v>8564</v>
      </c>
      <c r="B7002" s="5" t="s">
        <v>16494</v>
      </c>
      <c r="C7002" s="5" t="s">
        <v>24118</v>
      </c>
      <c r="D7002" s="5" t="str">
        <v>772002150256</v>
      </c>
      <c r="E7002" s="0" t="e">
        <f>+7 (495) 9159071
+7 (495) 9159078
+7 (495) 9159089
+7 (495) 9159401
+7 (495) 9159402
+7 (495) 9159437
+7 (495) 9159720
+7 (495) 9159801
+7 (495) 9159807
+7 (495) 9159941
+7 (495) 9159982
+7 (812) 9159411
+7 (812) 9159437
+7 (812) 9406402</f>
        <v>#NAME?</v>
      </c>
      <c r="F7002" s="5" t="s">
        <v>45707</v>
      </c>
      <c r="G7002" s="5" t="s">
        <v>45708</v>
      </c>
      <c r="H7002" s="26">
        <v>29.5</v>
      </c>
      <c r="I7002" s="5"/>
      <c r="J7002" s="5" t="s">
        <v>373</v>
      </c>
      <c r="K7002" s="5" t="s">
        <v>344</v>
      </c>
      <c r="L7002" s="5"/>
      <c r="M7002" s="27">
        <v>34500</v>
      </c>
      <c r="N7002" s="5" t="s">
        <v>59721</v>
      </c>
      <c r="O7002" s="5" t="str">
        <v>7709027196</v>
      </c>
      <c r="P7002" s="27">
        <v>1263952668</v>
      </c>
      <c r="Q7002" s="5" t="s">
        <v>59722</v>
      </c>
      <c r="R7002" s="5"/>
      <c r="S7002" s="5" t="s">
        <v>59723</v>
      </c>
      <c r="T7002" s="28">
        <v>331283000</v>
      </c>
      <c r="U7002" s="28"/>
      <c r="V7002" s="28">
        <v>1615520000</v>
      </c>
      <c r="W7002" s="28">
        <v>1558125000</v>
      </c>
      <c r="X7002" s="28">
        <v>302532000</v>
      </c>
      <c r="Y7002" s="28">
        <v>4026405000</v>
      </c>
      <c r="Z7002" s="28">
        <v>1722577000</v>
      </c>
      <c r="AA7002" s="28"/>
      <c r="AB7002" s="28"/>
      <c r="AC7002" s="28">
        <v>695868000</v>
      </c>
      <c r="AD7002" s="28">
        <v>3176123000</v>
      </c>
      <c r="AE7002" s="28">
        <v>11119809000</v>
      </c>
      <c r="AF7002" s="28">
        <v>108730000</v>
      </c>
      <c r="AG7002" s="11"/>
    </row>
    <row r="7003">
      <c r="A7003" s="7" t="s">
        <v>8565</v>
      </c>
      <c r="B7003" s="5" t="s">
        <v>16495</v>
      </c>
      <c r="C7003" s="5" t="s">
        <v>24119</v>
      </c>
      <c r="D7003" s="5" t="str">
        <v>381602725358</v>
      </c>
      <c r="E7003" s="0" t="e">
        <f>+7 (421) 2311629
+7 (499) 7998450
+7 (499) 7998461</f>
        <v>#NAME?</v>
      </c>
      <c r="F7003" s="5" t="s">
        <v>45709</v>
      </c>
      <c r="G7003" s="5" t="s">
        <v>45710</v>
      </c>
      <c r="H7003" s="26">
        <v>9.5</v>
      </c>
      <c r="I7003" s="5" t="s">
        <v>45711</v>
      </c>
      <c r="J7003" s="5" t="s">
        <v>29506</v>
      </c>
      <c r="K7003" s="5" t="s">
        <v>344</v>
      </c>
      <c r="L7003" s="5"/>
      <c r="M7003" s="27"/>
      <c r="N7003" s="5" t="s">
        <v>59724</v>
      </c>
      <c r="O7003" s="5" t="str">
        <v>7715965306</v>
      </c>
      <c r="P7003" s="27">
        <v>10000</v>
      </c>
      <c r="Q7003" s="5" t="s">
        <v>59726</v>
      </c>
      <c r="R7003" s="5"/>
      <c r="S7003" s="5" t="s">
        <v>51430</v>
      </c>
      <c r="T7003" s="28">
        <v>119204000</v>
      </c>
      <c r="U7003" s="28"/>
      <c r="V7003" s="28">
        <v>1347844000</v>
      </c>
      <c r="W7003" s="28"/>
      <c r="X7003" s="28">
        <v>60836000</v>
      </c>
      <c r="Y7003" s="28">
        <v>1599678000</v>
      </c>
      <c r="Z7003" s="28">
        <v>510598000</v>
      </c>
      <c r="AA7003" s="28"/>
      <c r="AB7003" s="28"/>
      <c r="AC7003" s="28">
        <v>1070510000</v>
      </c>
      <c r="AD7003" s="28">
        <v>510608000</v>
      </c>
      <c r="AE7003" s="28">
        <v>5282489000</v>
      </c>
      <c r="AF7003" s="28">
        <v>266812000</v>
      </c>
      <c r="AG7003" s="11"/>
    </row>
    <row r="7004">
      <c r="A7004" s="7" t="s">
        <v>8566</v>
      </c>
      <c r="B7004" s="5" t="s">
        <v>16496</v>
      </c>
      <c r="C7004" s="5" t="s">
        <v>24120</v>
      </c>
      <c r="D7004" s="5" t="str">
        <v>504104115286</v>
      </c>
      <c r="E7004" s="0" t="e">
        <f>+7 (499) 7998396
+7 (495) 9508178
+7 (495) 9508012
+7 (495) 9508135</f>
        <v>#NAME?</v>
      </c>
      <c r="F7004" s="5" t="s">
        <v>45712</v>
      </c>
      <c r="G7004" s="5" t="s">
        <v>45713</v>
      </c>
      <c r="H7004" s="26">
        <v>17</v>
      </c>
      <c r="I7004" s="5" t="s">
        <v>45714</v>
      </c>
      <c r="J7004" s="5" t="s">
        <v>45715</v>
      </c>
      <c r="K7004" s="5" t="s">
        <v>344</v>
      </c>
      <c r="L7004" s="5"/>
      <c r="M7004" s="27"/>
      <c r="N7004" s="5" t="s">
        <v>59727</v>
      </c>
      <c r="O7004" s="5" t="str">
        <v>7736536770</v>
      </c>
      <c r="P7004" s="27">
        <v>300000000</v>
      </c>
      <c r="Q7004" s="5" t="s">
        <v>59728</v>
      </c>
      <c r="R7004" s="5"/>
      <c r="S7004" s="5" t="s">
        <v>49271</v>
      </c>
      <c r="T7004" s="28">
        <v>94341000</v>
      </c>
      <c r="U7004" s="28">
        <v>5617573000</v>
      </c>
      <c r="V7004" s="28">
        <v>1695020000</v>
      </c>
      <c r="W7004" s="28"/>
      <c r="X7004" s="28">
        <v>87847000</v>
      </c>
      <c r="Y7004" s="28">
        <v>8241046000</v>
      </c>
      <c r="Z7004" s="28">
        <v>2826664000</v>
      </c>
      <c r="AA7004" s="28">
        <v>1406684000</v>
      </c>
      <c r="AB7004" s="28">
        <v>7038000</v>
      </c>
      <c r="AC7004" s="28">
        <v>2036309000</v>
      </c>
      <c r="AD7004" s="28">
        <v>4557486000</v>
      </c>
      <c r="AE7004" s="28">
        <v>7623265000</v>
      </c>
      <c r="AF7004" s="28">
        <v>917146000</v>
      </c>
      <c r="AG7004" s="11"/>
    </row>
    <row r="7005">
      <c r="A7005" s="7" t="s">
        <v>8567</v>
      </c>
      <c r="B7005" s="5" t="s">
        <v>16497</v>
      </c>
      <c r="C7005" s="5" t="s">
        <v>24121</v>
      </c>
      <c r="D7005" s="5" t="str">
        <v>761900133852</v>
      </c>
      <c r="E7005" s="0" t="e">
        <f>+7 (812) 3806467
+7 (485) 2491822
+7 (812) 2751110
+7 (812) 2751114
+7 (812) 2751714
+7 (812) 3806225
+7 (812) 3806245
+7 (812) 3806474
+7 (812) 3806491
+7 (812) 3806496
+7 (812) 5421590
+7 (812) 6600765
+7 (812) 6600770
+7 (812) 7031832
+7 (812) 7031833</f>
        <v>#NAME?</v>
      </c>
      <c r="F7005" s="5" t="s">
        <v>45716</v>
      </c>
      <c r="G7005" s="5"/>
      <c r="H7005" s="26">
        <v>22.5</v>
      </c>
      <c r="I7005" s="5" t="s">
        <v>45717</v>
      </c>
      <c r="J7005" s="5" t="s">
        <v>34508</v>
      </c>
      <c r="K7005" s="5" t="s">
        <v>344</v>
      </c>
      <c r="L7005" s="5"/>
      <c r="M7005" s="27">
        <v>21995</v>
      </c>
      <c r="N7005" s="5" t="s">
        <v>59729</v>
      </c>
      <c r="O7005" s="5" t="str">
        <v>4704041900</v>
      </c>
      <c r="P7005" s="27">
        <v>120762212718</v>
      </c>
      <c r="Q7005" s="5" t="s">
        <v>59730</v>
      </c>
      <c r="R7005" s="5"/>
      <c r="S7005" s="5" t="s">
        <v>59731</v>
      </c>
      <c r="T7005" s="28">
        <v>156436730000</v>
      </c>
      <c r="U7005" s="28">
        <v>98895702000</v>
      </c>
      <c r="V7005" s="28">
        <v>28251489000</v>
      </c>
      <c r="W7005" s="28"/>
      <c r="X7005" s="28">
        <v>1502011000</v>
      </c>
      <c r="Y7005" s="28">
        <v>310932513000</v>
      </c>
      <c r="Z7005" s="28">
        <v>155384212000</v>
      </c>
      <c r="AA7005" s="28"/>
      <c r="AB7005" s="28"/>
      <c r="AC7005" s="28">
        <v>11938781000</v>
      </c>
      <c r="AD7005" s="28">
        <v>285102751000</v>
      </c>
      <c r="AE7005" s="28">
        <v>52736038000</v>
      </c>
      <c r="AF7005" s="28">
        <v>6283408000</v>
      </c>
      <c r="AG7005" s="11"/>
    </row>
    <row r="7006">
      <c r="A7006" s="7" t="s">
        <v>8568</v>
      </c>
      <c r="B7006" s="5" t="s">
        <v>16498</v>
      </c>
      <c r="C7006" s="5" t="s">
        <v>24122</v>
      </c>
      <c r="D7006" s="5" t="str">
        <v>165912812240</v>
      </c>
      <c r="E7006" s="0" t="e">
        <f>+7 (4912) 935026
+7 (499) 9228175
+7 (81153) 91949
+7 (81153) 92667
+7 (831) 2377904
+7 (83143) 81725
+7 (83143) 82200
+7 (83143) 82270
+7 (83145) 52643
+7 (83145) 52680
+7 (83145) 52714
+7 (83145) 52717
+7 (8362) 682276
+7 (968) 185020
+7 (968) 185214</f>
        <v>#NAME?</v>
      </c>
      <c r="F7006" s="5" t="s">
        <v>45718</v>
      </c>
      <c r="G7006" s="5"/>
      <c r="H7006" s="26">
        <v>28.5</v>
      </c>
      <c r="I7006" s="5" t="s">
        <v>45719</v>
      </c>
      <c r="J7006" s="5" t="s">
        <v>34508</v>
      </c>
      <c r="K7006" s="5" t="s">
        <v>355</v>
      </c>
      <c r="L7006" s="5"/>
      <c r="M7006" s="27">
        <v>117116496</v>
      </c>
      <c r="N7006" s="5" t="s">
        <v>59732</v>
      </c>
      <c r="O7006" s="5" t="str">
        <v>5260900725</v>
      </c>
      <c r="P7006" s="27">
        <v>589350</v>
      </c>
      <c r="Q7006" s="5" t="s">
        <v>59733</v>
      </c>
      <c r="R7006" s="5"/>
      <c r="S7006" s="5" t="s">
        <v>59535</v>
      </c>
      <c r="T7006" s="28">
        <v>144996582000</v>
      </c>
      <c r="U7006" s="28">
        <v>15463490000</v>
      </c>
      <c r="V7006" s="28">
        <v>24116491000</v>
      </c>
      <c r="W7006" s="28"/>
      <c r="X7006" s="28">
        <v>36454000</v>
      </c>
      <c r="Y7006" s="28">
        <v>209718467000</v>
      </c>
      <c r="Z7006" s="28">
        <v>134417318000</v>
      </c>
      <c r="AA7006" s="28">
        <v>37602126000</v>
      </c>
      <c r="AB7006" s="28">
        <v>5189114000</v>
      </c>
      <c r="AC7006" s="28">
        <v>25815224000</v>
      </c>
      <c r="AD7006" s="28">
        <v>136451096000</v>
      </c>
      <c r="AE7006" s="28">
        <v>54771197000</v>
      </c>
      <c r="AF7006" s="28">
        <v>577777000</v>
      </c>
      <c r="AG7006" s="11"/>
    </row>
    <row r="7007">
      <c r="A7007" s="7" t="s">
        <v>8569</v>
      </c>
      <c r="B7007" s="5" t="s">
        <v>16499</v>
      </c>
      <c r="C7007" s="5" t="s">
        <v>24123</v>
      </c>
      <c r="D7007" s="5" t="str">
        <v>026911981506</v>
      </c>
      <c r="E7007" s="0" t="e">
        <f>+7 (3953) 300639
+7 (3953) 300675
+7 (3953) 300701
+7 (3953) 300703
+7 (3953) 300704
+7 (3953) 300705
+7 (3953) 300709
+7 (3953) 300727
+7 (3953) 300737
+7 (3953) 300743
+7 (3953) 300770
+7 (3953) 300774
+7 (3953) 300800
+7 (3953) 300802
+7 (3953) 330267</f>
        <v>#NAME?</v>
      </c>
      <c r="F7007" s="5" t="s">
        <v>45720</v>
      </c>
      <c r="G7007" s="5" t="s">
        <v>45721</v>
      </c>
      <c r="H7007" s="26">
        <v>17</v>
      </c>
      <c r="I7007" s="5" t="s">
        <v>45722</v>
      </c>
      <c r="J7007" s="5" t="s">
        <v>34508</v>
      </c>
      <c r="K7007" s="5" t="s">
        <v>344</v>
      </c>
      <c r="L7007" s="5"/>
      <c r="M7007" s="27">
        <v>1225358</v>
      </c>
      <c r="N7007" s="5" t="s">
        <v>59734</v>
      </c>
      <c r="O7007" s="5" t="str">
        <v>3801079671</v>
      </c>
      <c r="P7007" s="27">
        <v>128312236493</v>
      </c>
      <c r="Q7007" s="5" t="s">
        <v>59735</v>
      </c>
      <c r="R7007" s="5"/>
      <c r="S7007" s="5" t="s">
        <v>59736</v>
      </c>
      <c r="T7007" s="28">
        <v>449227234000</v>
      </c>
      <c r="U7007" s="28">
        <v>36893739000</v>
      </c>
      <c r="V7007" s="28">
        <v>111857457000</v>
      </c>
      <c r="W7007" s="28"/>
      <c r="X7007" s="28">
        <v>3224797000</v>
      </c>
      <c r="Y7007" s="28">
        <v>632189307000</v>
      </c>
      <c r="Z7007" s="28">
        <v>406292572000</v>
      </c>
      <c r="AA7007" s="28">
        <v>17611876000</v>
      </c>
      <c r="AB7007" s="28">
        <v>125584000</v>
      </c>
      <c r="AC7007" s="28">
        <v>25522664000</v>
      </c>
      <c r="AD7007" s="28">
        <v>540127723000</v>
      </c>
      <c r="AE7007" s="28">
        <v>116978006000</v>
      </c>
      <c r="AF7007" s="28">
        <v>-5558175000</v>
      </c>
      <c r="AG7007" s="11"/>
    </row>
    <row r="7008">
      <c r="A7008" s="7" t="s">
        <v>8570</v>
      </c>
      <c r="B7008" s="5" t="s">
        <v>16500</v>
      </c>
      <c r="C7008" s="5" t="s">
        <v>24124</v>
      </c>
      <c r="D7008" s="5" t="str">
        <v>450802507060</v>
      </c>
      <c r="E7008" s="0" t="e">
        <f>+7 (41641) 36057
+7 (421) 2401101
+7 (421) 2401126
+7 (421) 2401184
+7 (421) 2401188
+7 (421) 2401199
+7 (421) 2401200
+7 (421) 2401216
+7 (421) 2401225
+7 (421) 2401232
+7 (421) 2401237
+7 (421) 2401246
+7 (42356) 30144
+7 (924) 2150155</f>
        <v>#NAME?</v>
      </c>
      <c r="F7008" s="5" t="s">
        <v>45723</v>
      </c>
      <c r="G7008" s="5" t="s">
        <v>45724</v>
      </c>
      <c r="H7008" s="26">
        <v>13.5</v>
      </c>
      <c r="I7008" s="5" t="s">
        <v>45725</v>
      </c>
      <c r="J7008" s="5" t="s">
        <v>34508</v>
      </c>
      <c r="K7008" s="5" t="s">
        <v>344</v>
      </c>
      <c r="L7008" s="5"/>
      <c r="M7008" s="27">
        <v>17530903</v>
      </c>
      <c r="N7008" s="5" t="s">
        <v>59737</v>
      </c>
      <c r="O7008" s="5" t="str">
        <v>2724132118</v>
      </c>
      <c r="P7008" s="27">
        <v>125255749877</v>
      </c>
      <c r="Q7008" s="5" t="s">
        <v>59738</v>
      </c>
      <c r="R7008" s="5" t="s">
        <v>50998</v>
      </c>
      <c r="S7008" s="5" t="s">
        <v>59739</v>
      </c>
      <c r="T7008" s="28">
        <v>282835899000</v>
      </c>
      <c r="U7008" s="28">
        <v>54000</v>
      </c>
      <c r="V7008" s="28">
        <v>37959893000</v>
      </c>
      <c r="W7008" s="28">
        <v>1000</v>
      </c>
      <c r="X7008" s="28">
        <v>17349000</v>
      </c>
      <c r="Y7008" s="28">
        <v>340953127000</v>
      </c>
      <c r="Z7008" s="28">
        <v>118936996000</v>
      </c>
      <c r="AA7008" s="28">
        <v>33207534000</v>
      </c>
      <c r="AB7008" s="28">
        <v>226046000</v>
      </c>
      <c r="AC7008" s="28">
        <v>8038707000</v>
      </c>
      <c r="AD7008" s="28">
        <v>273920969000</v>
      </c>
      <c r="AE7008" s="28">
        <v>51987707000</v>
      </c>
      <c r="AF7008" s="28">
        <v>5062807000</v>
      </c>
      <c r="AG7008" s="11"/>
    </row>
    <row r="7009">
      <c r="A7009" s="7" t="s">
        <v>8571</v>
      </c>
      <c r="B7009" s="5" t="s">
        <v>16501</v>
      </c>
      <c r="C7009" s="5" t="s">
        <v>24125</v>
      </c>
      <c r="D7009" s="5" t="str">
        <v>862100592428</v>
      </c>
      <c r="E7009" s="0" t="e">
        <f>+7 (49663) 21236
+7 (49663) 24036
+7 (49663) 24992
+7 (49663) 50913
+7 (49663) 50914
+7 (49663) 50919
+7 (49663) 50921
+7 (49663) 50923
+7 (49663) 61633</f>
        <v>#NAME?</v>
      </c>
      <c r="F7009" s="5" t="s">
        <v>45726</v>
      </c>
      <c r="G7009" s="5"/>
      <c r="H7009" s="26">
        <v>31</v>
      </c>
      <c r="I7009" s="5"/>
      <c r="J7009" s="5" t="s">
        <v>29568</v>
      </c>
      <c r="K7009" s="5" t="s">
        <v>355</v>
      </c>
      <c r="L7009" s="5"/>
      <c r="M7009" s="27">
        <v>28429254</v>
      </c>
      <c r="N7009" s="5" t="s">
        <v>59740</v>
      </c>
      <c r="O7009" s="5" t="str">
        <v>5072703668</v>
      </c>
      <c r="P7009" s="27">
        <v>10256</v>
      </c>
      <c r="Q7009" s="5" t="s">
        <v>59742</v>
      </c>
      <c r="R7009" s="5"/>
      <c r="S7009" s="5" t="s">
        <v>59743</v>
      </c>
      <c r="T7009" s="28">
        <v>7447725000</v>
      </c>
      <c r="U7009" s="28"/>
      <c r="V7009" s="28">
        <v>2625688000</v>
      </c>
      <c r="W7009" s="28"/>
      <c r="X7009" s="28">
        <v>38243000</v>
      </c>
      <c r="Y7009" s="28">
        <v>14869502000</v>
      </c>
      <c r="Z7009" s="28">
        <v>10068040000</v>
      </c>
      <c r="AA7009" s="28"/>
      <c r="AB7009" s="28"/>
      <c r="AC7009" s="28">
        <v>2176394000</v>
      </c>
      <c r="AD7009" s="28">
        <v>11597111000</v>
      </c>
      <c r="AE7009" s="28">
        <v>8888921000</v>
      </c>
      <c r="AF7009" s="28">
        <v>12044000</v>
      </c>
      <c r="AG7009" s="11"/>
    </row>
    <row r="7010">
      <c r="A7010" s="7" t="s">
        <v>8572</v>
      </c>
      <c r="B7010" s="5" t="s">
        <v>16502</v>
      </c>
      <c r="C7010" s="5" t="s">
        <v>24126</v>
      </c>
      <c r="D7010" s="5" t="str">
        <v>323501327758</v>
      </c>
      <c r="E7010" s="0" t="e">
        <f>+7 (47545) 53547
+7 (483) 2601523
+7 (483) 2601536
+7 (483) 2601551
+7 (483) 2601559
+7 (483) 2601562
+7 (483) 2601564
+7 (483) 2601582
+7 (483) 2676083
+7 (483) 2676161
+7 (483) 2676177
+7 (483) 2676194
+7 (483) 2676220
+7 (483) 2676230
+7 (483) 2676231</f>
        <v>#NAME?</v>
      </c>
      <c r="F7010" s="5" t="s">
        <v>45727</v>
      </c>
      <c r="G7010" s="5"/>
      <c r="H7010" s="26">
        <v>29</v>
      </c>
      <c r="I7010" s="5" t="s">
        <v>45728</v>
      </c>
      <c r="J7010" s="5" t="s">
        <v>45268</v>
      </c>
      <c r="K7010" s="5" t="s">
        <v>344</v>
      </c>
      <c r="L7010" s="5"/>
      <c r="M7010" s="27">
        <v>273841593</v>
      </c>
      <c r="N7010" s="5" t="s">
        <v>59744</v>
      </c>
      <c r="O7010" s="5" t="str">
        <v>3235002178</v>
      </c>
      <c r="P7010" s="27">
        <v>635375</v>
      </c>
      <c r="Q7010" s="5" t="s">
        <v>59745</v>
      </c>
      <c r="R7010" s="5"/>
      <c r="S7010" s="5" t="s">
        <v>53805</v>
      </c>
      <c r="T7010" s="28">
        <v>204216870000</v>
      </c>
      <c r="U7010" s="28">
        <v>110065921000</v>
      </c>
      <c r="V7010" s="28">
        <v>11195887000</v>
      </c>
      <c r="W7010" s="28"/>
      <c r="X7010" s="28">
        <v>45119000</v>
      </c>
      <c r="Y7010" s="28">
        <v>348799980000</v>
      </c>
      <c r="Z7010" s="28">
        <v>277041478000</v>
      </c>
      <c r="AA7010" s="28">
        <v>26169987000</v>
      </c>
      <c r="AB7010" s="28">
        <v>168855000</v>
      </c>
      <c r="AC7010" s="28">
        <v>13778981000</v>
      </c>
      <c r="AD7010" s="28">
        <v>285691019000</v>
      </c>
      <c r="AE7010" s="28">
        <v>51055674000</v>
      </c>
      <c r="AF7010" s="28">
        <v>3535025000</v>
      </c>
      <c r="AG7010" s="11"/>
    </row>
    <row r="7011">
      <c r="A7011" s="7" t="s">
        <v>8573</v>
      </c>
      <c r="B7011" s="5" t="s">
        <v>16503</v>
      </c>
      <c r="C7011" s="5" t="s">
        <v>24127</v>
      </c>
      <c r="D7011" s="5" t="str">
        <v>110200904348</v>
      </c>
      <c r="E7011" s="0" t="e">
        <f>+7 (34551) 23692
+7 (381) 2289115
+7 (381) 2653502
+7 (381) 2657561
+7 (381) 2659846
+7 (381) 2691236
+7 (381) 2691286
+7 (381) 2691323
+7 (381) 2691408
+7 (381) 2691435
+7 (381) 2691456
+7 (381) 2691457
+7 (381) 2691464
+7 (381) 2691475
+7 (381) 2691495</f>
        <v>#NAME?</v>
      </c>
      <c r="F7011" s="5" t="s">
        <v>45729</v>
      </c>
      <c r="G7011" s="5" t="s">
        <v>45730</v>
      </c>
      <c r="H7011" s="26">
        <v>28.5</v>
      </c>
      <c r="I7011" s="5"/>
      <c r="J7011" s="5" t="s">
        <v>34508</v>
      </c>
      <c r="K7011" s="5" t="s">
        <v>344</v>
      </c>
      <c r="L7011" s="5"/>
      <c r="M7011" s="27">
        <v>399160</v>
      </c>
      <c r="N7011" s="5" t="s">
        <v>59746</v>
      </c>
      <c r="O7011" s="5" t="str">
        <v>5502020634</v>
      </c>
      <c r="P7011" s="27">
        <v>550353</v>
      </c>
      <c r="Q7011" s="5" t="s">
        <v>59747</v>
      </c>
      <c r="R7011" s="5" t="s">
        <v>59748</v>
      </c>
      <c r="S7011" s="5" t="s">
        <v>59535</v>
      </c>
      <c r="T7011" s="28">
        <v>159815255000</v>
      </c>
      <c r="U7011" s="28">
        <v>58394238000</v>
      </c>
      <c r="V7011" s="28">
        <v>26697360000</v>
      </c>
      <c r="W7011" s="28"/>
      <c r="X7011" s="28">
        <v>37503000</v>
      </c>
      <c r="Y7011" s="28">
        <v>254759366000</v>
      </c>
      <c r="Z7011" s="28">
        <v>150884447000</v>
      </c>
      <c r="AA7011" s="28">
        <v>2203813000</v>
      </c>
      <c r="AB7011" s="28">
        <v>15076000</v>
      </c>
      <c r="AC7011" s="28">
        <v>25248571000</v>
      </c>
      <c r="AD7011" s="28">
        <v>213053718000</v>
      </c>
      <c r="AE7011" s="28">
        <v>49854338000</v>
      </c>
      <c r="AF7011" s="28">
        <v>4040060000</v>
      </c>
      <c r="AG7011" s="11"/>
    </row>
    <row r="7012">
      <c r="A7012" s="7" t="s">
        <v>8574</v>
      </c>
      <c r="B7012" s="5" t="s">
        <v>16504</v>
      </c>
      <c r="C7012" s="5" t="s">
        <v>24128</v>
      </c>
      <c r="D7012" s="5" t="str">
        <v>523502249018</v>
      </c>
      <c r="E7012" s="0" t="e">
        <f>+7 (495) 6796608
+7 (495) 6797533
+7 (495) 9508700</f>
        <v>#NAME?</v>
      </c>
      <c r="F7012" s="5" t="s">
        <v>45731</v>
      </c>
      <c r="G7012" s="5" t="s">
        <v>45732</v>
      </c>
      <c r="H7012" s="26">
        <v>27.5</v>
      </c>
      <c r="I7012" s="5" t="s">
        <v>45733</v>
      </c>
      <c r="J7012" s="5" t="s">
        <v>45734</v>
      </c>
      <c r="K7012" s="5" t="s">
        <v>344</v>
      </c>
      <c r="L7012" s="5"/>
      <c r="M7012" s="27"/>
      <c r="N7012" s="5" t="s">
        <v>59749</v>
      </c>
      <c r="O7012" s="5" t="str">
        <v>7723107453</v>
      </c>
      <c r="P7012" s="27">
        <v>495500</v>
      </c>
      <c r="Q7012" s="5" t="s">
        <v>59750</v>
      </c>
      <c r="R7012" s="5"/>
      <c r="S7012" s="5" t="s">
        <v>50191</v>
      </c>
      <c r="T7012" s="28">
        <v>459009000</v>
      </c>
      <c r="U7012" s="28"/>
      <c r="V7012" s="28">
        <v>800934000</v>
      </c>
      <c r="W7012" s="28"/>
      <c r="X7012" s="28">
        <v>41504000</v>
      </c>
      <c r="Y7012" s="28">
        <v>1339615000</v>
      </c>
      <c r="Z7012" s="28">
        <v>570075000</v>
      </c>
      <c r="AA7012" s="28"/>
      <c r="AB7012" s="28"/>
      <c r="AC7012" s="28">
        <v>710748000</v>
      </c>
      <c r="AD7012" s="28">
        <v>595410000</v>
      </c>
      <c r="AE7012" s="28">
        <v>3954650000</v>
      </c>
      <c r="AF7012" s="28">
        <v>42875000</v>
      </c>
      <c r="AG7012" s="11"/>
    </row>
    <row r="7013">
      <c r="A7013" s="7" t="s">
        <v>8575</v>
      </c>
      <c r="B7013" s="5" t="s">
        <v>16505</v>
      </c>
      <c r="C7013" s="5" t="s">
        <v>24129</v>
      </c>
      <c r="D7013" s="5" t="str">
        <v>246502697605</v>
      </c>
      <c r="E7013" s="0" t="e">
        <f>+7 (4236) 741044
+7 (4236) 771000
+7 (4236) 771011
+7 (4236) 771015
+7 (4236) 771035
+7 (4236) 771043
+7 (4236) 771071
+7 (4236) 771075</f>
        <v>#NAME?</v>
      </c>
      <c r="F7013" s="5" t="s">
        <v>45735</v>
      </c>
      <c r="G7013" s="5"/>
      <c r="H7013" s="26">
        <v>15</v>
      </c>
      <c r="I7013" s="5" t="s">
        <v>45736</v>
      </c>
      <c r="J7013" s="5" t="s">
        <v>45268</v>
      </c>
      <c r="K7013" s="5" t="s">
        <v>344</v>
      </c>
      <c r="L7013" s="5"/>
      <c r="M7013" s="27">
        <v>3569699</v>
      </c>
      <c r="N7013" s="5" t="s">
        <v>59751</v>
      </c>
      <c r="O7013" s="5" t="str">
        <v>2508081814</v>
      </c>
      <c r="P7013" s="27">
        <v>100000000</v>
      </c>
      <c r="Q7013" s="5" t="s">
        <v>59752</v>
      </c>
      <c r="R7013" s="5"/>
      <c r="S7013" s="5" t="s">
        <v>59753</v>
      </c>
      <c r="T7013" s="28">
        <v>46417816000</v>
      </c>
      <c r="U7013" s="28">
        <v>6950337000</v>
      </c>
      <c r="V7013" s="28">
        <v>7153090000</v>
      </c>
      <c r="W7013" s="28"/>
      <c r="X7013" s="28">
        <v>16100000</v>
      </c>
      <c r="Y7013" s="28">
        <v>64706347000</v>
      </c>
      <c r="Z7013" s="28">
        <v>37564110000</v>
      </c>
      <c r="AA7013" s="28"/>
      <c r="AB7013" s="28"/>
      <c r="AC7013" s="28">
        <v>1512891000</v>
      </c>
      <c r="AD7013" s="28">
        <v>56918798000</v>
      </c>
      <c r="AE7013" s="28">
        <v>11586568000</v>
      </c>
      <c r="AF7013" s="28">
        <v>3507117000</v>
      </c>
      <c r="AG7013" s="11"/>
    </row>
    <row r="7014">
      <c r="A7014" s="7" t="s">
        <v>8576</v>
      </c>
      <c r="B7014" s="5" t="s">
        <v>16506</v>
      </c>
      <c r="C7014" s="5" t="s">
        <v>24130</v>
      </c>
      <c r="D7014" s="5" t="str">
        <v>860400562100</v>
      </c>
      <c r="E7014" s="0" t="e">
        <f>+7 (812) 1160935
+7 (81378) 78720
+7 (81378) 78745
+7 (81378) 78754
+7 (81378) 78778
+7 (81378) 78788
+7 (81378) 78905
+7 (81378) 78950</f>
        <v>#NAME?</v>
      </c>
      <c r="F7014" s="5" t="s">
        <v>45737</v>
      </c>
      <c r="G7014" s="5" t="s">
        <v>45738</v>
      </c>
      <c r="H7014" s="26">
        <v>21.5</v>
      </c>
      <c r="I7014" s="5" t="s">
        <v>45739</v>
      </c>
      <c r="J7014" s="5" t="s">
        <v>26180</v>
      </c>
      <c r="K7014" s="5" t="s">
        <v>344</v>
      </c>
      <c r="L7014" s="5"/>
      <c r="M7014" s="27"/>
      <c r="N7014" s="5" t="s">
        <v>59754</v>
      </c>
      <c r="O7014" s="5" t="str">
        <v>4704045809</v>
      </c>
      <c r="P7014" s="27">
        <v>4985031000</v>
      </c>
      <c r="Q7014" s="5" t="s">
        <v>59755</v>
      </c>
      <c r="R7014" s="5"/>
      <c r="S7014" s="5" t="s">
        <v>55613</v>
      </c>
      <c r="T7014" s="28">
        <v>21856646000</v>
      </c>
      <c r="U7014" s="28">
        <v>11061487000</v>
      </c>
      <c r="V7014" s="28">
        <v>9522322000</v>
      </c>
      <c r="W7014" s="28"/>
      <c r="X7014" s="28">
        <v>5255000</v>
      </c>
      <c r="Y7014" s="28">
        <v>45051184000</v>
      </c>
      <c r="Z7014" s="28">
        <v>30650230000</v>
      </c>
      <c r="AA7014" s="28"/>
      <c r="AB7014" s="28"/>
      <c r="AC7014" s="28">
        <v>941687000</v>
      </c>
      <c r="AD7014" s="28">
        <v>42127465000</v>
      </c>
      <c r="AE7014" s="28">
        <v>7644383000</v>
      </c>
      <c r="AF7014" s="28">
        <v>1290249000</v>
      </c>
      <c r="AG7014" s="11"/>
    </row>
    <row r="7015">
      <c r="A7015" s="7" t="s">
        <v>8577</v>
      </c>
      <c r="B7015" s="5" t="s">
        <v>16507</v>
      </c>
      <c r="C7015" s="5" t="s">
        <v>24131</v>
      </c>
      <c r="D7015" s="5" t="str">
        <v>525001191120</v>
      </c>
      <c r="E7015" s="0" t="e">
        <f>+7 (846) 2333596
+7 (846) 2500239
+7 (846) 2500241
+7 (846) 2798305
+7 (84631) 8311
+7 (84635) 21214
+7 (84699) 94086
+7 (84699) 94142
+7 (84699) 98227
+7 (84699) 98368
+7 (84699) 98431
+7 (84699) 98434
+7 (84699) 98470
+7 (84699) 98567
+7 (84699) 98678</f>
        <v>#NAME?</v>
      </c>
      <c r="F7015" s="5" t="s">
        <v>45740</v>
      </c>
      <c r="G7015" s="5"/>
      <c r="H7015" s="26">
        <v>29</v>
      </c>
      <c r="I7015" s="5" t="s">
        <v>45741</v>
      </c>
      <c r="J7015" s="5" t="s">
        <v>45268</v>
      </c>
      <c r="K7015" s="5" t="s">
        <v>344</v>
      </c>
      <c r="L7015" s="5"/>
      <c r="M7015" s="27">
        <v>64786492</v>
      </c>
      <c r="N7015" s="5" t="s">
        <v>59756</v>
      </c>
      <c r="O7015" s="5" t="str">
        <v>6317024749</v>
      </c>
      <c r="P7015" s="27">
        <v>765148</v>
      </c>
      <c r="Q7015" s="5" t="s">
        <v>59757</v>
      </c>
      <c r="R7015" s="5"/>
      <c r="S7015" s="5" t="s">
        <v>59758</v>
      </c>
      <c r="T7015" s="28">
        <v>190119132000</v>
      </c>
      <c r="U7015" s="28">
        <v>83142000</v>
      </c>
      <c r="V7015" s="28">
        <v>26023487000</v>
      </c>
      <c r="W7015" s="28"/>
      <c r="X7015" s="28">
        <v>39867000</v>
      </c>
      <c r="Y7015" s="28">
        <v>241218073000</v>
      </c>
      <c r="Z7015" s="28">
        <v>182982737000</v>
      </c>
      <c r="AA7015" s="28">
        <v>29757840000</v>
      </c>
      <c r="AB7015" s="28">
        <v>221112000</v>
      </c>
      <c r="AC7015" s="28">
        <v>11547776000</v>
      </c>
      <c r="AD7015" s="28">
        <v>185049473000</v>
      </c>
      <c r="AE7015" s="28">
        <v>55724012000</v>
      </c>
      <c r="AF7015" s="28">
        <v>2094331000</v>
      </c>
      <c r="AG7015" s="11"/>
    </row>
    <row r="7016">
      <c r="A7016" s="7" t="s">
        <v>8578</v>
      </c>
      <c r="B7016" s="5" t="s">
        <v>16508</v>
      </c>
      <c r="C7016" s="5" t="s">
        <v>24132</v>
      </c>
      <c r="D7016" s="5" t="str">
        <v>860802931117</v>
      </c>
      <c r="E7016" s="0" t="e">
        <f>+7 (8432) 492287
+7 (8432) 728467
+7 (8432) 790079
+7 (8432) 790087
+7 (8432) 790112
+7 (8432) 790169
+7 (8432) 790171
+7 (8432) 790198
+7 (8432) 790225
+7 (8432) 790230
+7 (8432) 790260
+7 (8432) 790277
+7 (8432) 790300
+7 (8432) 790317
+7 (8432) 790364</f>
        <v>#NAME?</v>
      </c>
      <c r="F7016" s="5" t="s">
        <v>45742</v>
      </c>
      <c r="G7016" s="5"/>
      <c r="H7016" s="26">
        <v>28.5</v>
      </c>
      <c r="I7016" s="5"/>
      <c r="J7016" s="5" t="s">
        <v>34508</v>
      </c>
      <c r="K7016" s="5" t="s">
        <v>355</v>
      </c>
      <c r="L7016" s="5"/>
      <c r="M7016" s="27">
        <v>1473115</v>
      </c>
      <c r="N7016" s="5" t="s">
        <v>59759</v>
      </c>
      <c r="O7016" s="5" t="str">
        <v>1645000340</v>
      </c>
      <c r="P7016" s="27">
        <v>699878</v>
      </c>
      <c r="Q7016" s="5" t="s">
        <v>59760</v>
      </c>
      <c r="R7016" s="5"/>
      <c r="S7016" s="5" t="s">
        <v>59761</v>
      </c>
      <c r="T7016" s="28">
        <v>199886436000</v>
      </c>
      <c r="U7016" s="28">
        <v>6852755000</v>
      </c>
      <c r="V7016" s="28">
        <v>8178626000</v>
      </c>
      <c r="W7016" s="28"/>
      <c r="X7016" s="28">
        <v>14592000</v>
      </c>
      <c r="Y7016" s="28">
        <v>225367561000</v>
      </c>
      <c r="Z7016" s="28">
        <v>175916100000</v>
      </c>
      <c r="AA7016" s="28">
        <v>10314919000</v>
      </c>
      <c r="AB7016" s="28">
        <v>5367196000</v>
      </c>
      <c r="AC7016" s="28">
        <v>20096076000</v>
      </c>
      <c r="AD7016" s="28">
        <v>177585410000</v>
      </c>
      <c r="AE7016" s="28">
        <v>51126704000</v>
      </c>
      <c r="AF7016" s="28">
        <v>1832118000</v>
      </c>
      <c r="AG7016" s="11"/>
    </row>
    <row r="7017">
      <c r="A7017" s="7" t="s">
        <v>8579</v>
      </c>
      <c r="B7017" s="5" t="s">
        <v>16509</v>
      </c>
      <c r="C7017" s="5" t="s">
        <v>24133</v>
      </c>
      <c r="D7017" s="5" t="str">
        <v>560203380230</v>
      </c>
      <c r="E7017" s="0" t="e">
        <f>+7 (8216) 760171
+7 (8216) 771150
+7 (8216) 771380
+7 (8216) 771459
+7 (8216) 771480
+7 (8216) 771483
+7 (8216) 792891</f>
        <v>#NAME?</v>
      </c>
      <c r="F7017" s="5"/>
      <c r="G7017" s="5" t="s">
        <v>45743</v>
      </c>
      <c r="H7017" s="26">
        <v>28.5</v>
      </c>
      <c r="I7017" s="5"/>
      <c r="J7017" s="5" t="s">
        <v>34508</v>
      </c>
      <c r="K7017" s="5" t="s">
        <v>355</v>
      </c>
      <c r="L7017" s="5"/>
      <c r="M7017" s="27">
        <v>7061322</v>
      </c>
      <c r="N7017" s="5" t="s">
        <v>59762</v>
      </c>
      <c r="O7017" s="5" t="str">
        <v>1102016594</v>
      </c>
      <c r="P7017" s="27">
        <v>328300</v>
      </c>
      <c r="Q7017" s="5" t="s">
        <v>59763</v>
      </c>
      <c r="R7017" s="5"/>
      <c r="S7017" s="5" t="s">
        <v>59761</v>
      </c>
      <c r="T7017" s="28">
        <v>46937445000</v>
      </c>
      <c r="U7017" s="28">
        <v>1548346000</v>
      </c>
      <c r="V7017" s="28">
        <v>1196114000</v>
      </c>
      <c r="W7017" s="28">
        <v>16000</v>
      </c>
      <c r="X7017" s="28">
        <v>25272000</v>
      </c>
      <c r="Y7017" s="28">
        <v>52740609000</v>
      </c>
      <c r="Z7017" s="28">
        <v>44288745000</v>
      </c>
      <c r="AA7017" s="28"/>
      <c r="AB7017" s="28"/>
      <c r="AC7017" s="28">
        <v>5128120000</v>
      </c>
      <c r="AD7017" s="28">
        <v>44298139000</v>
      </c>
      <c r="AE7017" s="28">
        <v>22124063000</v>
      </c>
      <c r="AF7017" s="28">
        <v>454002000</v>
      </c>
      <c r="AG7017" s="11"/>
    </row>
    <row r="7018">
      <c r="A7018" s="7" t="s">
        <v>8580</v>
      </c>
      <c r="B7018" s="5" t="s">
        <v>16510</v>
      </c>
      <c r="C7018" s="5" t="s">
        <v>24134</v>
      </c>
      <c r="D7018" s="5" t="str">
        <v>231502931070</v>
      </c>
      <c r="E7018" s="0" t="e">
        <f>+7 (8617) 717101</f>
        <v>#NAME?</v>
      </c>
      <c r="F7018" s="5" t="s">
        <v>45744</v>
      </c>
      <c r="G7018" s="5" t="s">
        <v>45745</v>
      </c>
      <c r="H7018" s="26">
        <v>14</v>
      </c>
      <c r="I7018" s="5" t="s">
        <v>45746</v>
      </c>
      <c r="J7018" s="5" t="s">
        <v>45747</v>
      </c>
      <c r="K7018" s="5" t="s">
        <v>344</v>
      </c>
      <c r="L7018" s="5" t="s">
        <v>45748</v>
      </c>
      <c r="M7018" s="27"/>
      <c r="N7018" s="5" t="s">
        <v>59764</v>
      </c>
      <c r="O7018" s="5" t="str">
        <v>2315149921</v>
      </c>
      <c r="P7018" s="27">
        <v>850000</v>
      </c>
      <c r="Q7018" s="5" t="s">
        <v>59765</v>
      </c>
      <c r="R7018" s="5"/>
      <c r="S7018" s="5" t="s">
        <v>59766</v>
      </c>
      <c r="T7018" s="28">
        <v>9582391000</v>
      </c>
      <c r="U7018" s="28">
        <v>5174000000</v>
      </c>
      <c r="V7018" s="28">
        <v>479076000</v>
      </c>
      <c r="W7018" s="28"/>
      <c r="X7018" s="28">
        <v>1346871000</v>
      </c>
      <c r="Y7018" s="28">
        <v>17838790000</v>
      </c>
      <c r="Z7018" s="28">
        <v>5839581000</v>
      </c>
      <c r="AA7018" s="28"/>
      <c r="AB7018" s="28"/>
      <c r="AC7018" s="28">
        <v>1120040000</v>
      </c>
      <c r="AD7018" s="28">
        <v>14840431000</v>
      </c>
      <c r="AE7018" s="28">
        <v>6232225000</v>
      </c>
      <c r="AF7018" s="28">
        <v>1385447000</v>
      </c>
      <c r="AG7018" s="11"/>
    </row>
    <row r="7019">
      <c r="A7019" s="7" t="s">
        <v>8581</v>
      </c>
      <c r="B7019" s="5" t="s">
        <v>16511</v>
      </c>
      <c r="C7019" s="5" t="s">
        <v>24135</v>
      </c>
      <c r="D7019" s="5" t="str">
        <v>027718213233</v>
      </c>
      <c r="E7019" s="0" t="e">
        <f>+7 (345) 2202502
+7 (345) 2202597
+7 (345) 2205377
+7 (345) 2222597
+7 (345) 2272663
+7 (345) 2320096
+7 (345) 2320108
+7 (345) 2320209
+7 (345) 2320263
+7 (345) 2320745
+7 (345) 2320873
+7 (345) 2322054
+7 (345) 2322318
+7 (345) 2322661
+7 (345) 2322669</f>
        <v>#NAME?</v>
      </c>
      <c r="F7019" s="5" t="s">
        <v>45749</v>
      </c>
      <c r="G7019" s="5" t="s">
        <v>45750</v>
      </c>
      <c r="H7019" s="26">
        <v>25.5</v>
      </c>
      <c r="I7019" s="5" t="s">
        <v>45751</v>
      </c>
      <c r="J7019" s="5" t="s">
        <v>34508</v>
      </c>
      <c r="K7019" s="5" t="s">
        <v>344</v>
      </c>
      <c r="L7019" s="5"/>
      <c r="M7019" s="27">
        <v>25888581</v>
      </c>
      <c r="N7019" s="5" t="s">
        <v>59767</v>
      </c>
      <c r="O7019" s="5" t="str">
        <v>7201000726</v>
      </c>
      <c r="P7019" s="27">
        <v>1961658</v>
      </c>
      <c r="Q7019" s="5" t="s">
        <v>59768</v>
      </c>
      <c r="R7019" s="5"/>
      <c r="S7019" s="5" t="s">
        <v>59769</v>
      </c>
      <c r="T7019" s="28">
        <v>441396739000</v>
      </c>
      <c r="U7019" s="28">
        <v>35454592000</v>
      </c>
      <c r="V7019" s="28">
        <v>44770298000</v>
      </c>
      <c r="W7019" s="28"/>
      <c r="X7019" s="28">
        <v>113880000</v>
      </c>
      <c r="Y7019" s="28">
        <v>540681593000</v>
      </c>
      <c r="Z7019" s="28">
        <v>403562482000</v>
      </c>
      <c r="AA7019" s="28">
        <v>72137379000</v>
      </c>
      <c r="AB7019" s="28">
        <v>397308000</v>
      </c>
      <c r="AC7019" s="28">
        <v>26717390000</v>
      </c>
      <c r="AD7019" s="28">
        <v>403669871000</v>
      </c>
      <c r="AE7019" s="28">
        <v>131258390000</v>
      </c>
      <c r="AF7019" s="28">
        <v>1726216000</v>
      </c>
      <c r="AG7019" s="11"/>
    </row>
    <row r="7020">
      <c r="A7020" s="7" t="s">
        <v>8582</v>
      </c>
      <c r="B7020" s="5" t="s">
        <v>16512</v>
      </c>
      <c r="C7020" s="5" t="s">
        <v>24136</v>
      </c>
      <c r="D7020" s="5" t="str">
        <v>550506147444</v>
      </c>
      <c r="E7020" s="0" t="e">
        <f>+7 (495) 9508104
+7 (926) 5911852</f>
        <v>#NAME?</v>
      </c>
      <c r="F7020" s="5" t="s">
        <v>45752</v>
      </c>
      <c r="G7020" s="5" t="s">
        <v>45753</v>
      </c>
      <c r="H7020" s="26">
        <v>10.5</v>
      </c>
      <c r="I7020" s="5" t="s">
        <v>45754</v>
      </c>
      <c r="J7020" s="5" t="s">
        <v>25199</v>
      </c>
      <c r="K7020" s="5" t="s">
        <v>344</v>
      </c>
      <c r="L7020" s="5"/>
      <c r="M7020" s="27"/>
      <c r="N7020" s="5" t="s">
        <v>59770</v>
      </c>
      <c r="O7020" s="5" t="str">
        <v>7728815650</v>
      </c>
      <c r="P7020" s="27">
        <v>10000000</v>
      </c>
      <c r="Q7020" s="5" t="s">
        <v>59771</v>
      </c>
      <c r="R7020" s="5"/>
      <c r="S7020" s="5" t="s">
        <v>51512</v>
      </c>
      <c r="T7020" s="28">
        <v>388137000</v>
      </c>
      <c r="U7020" s="28">
        <v>2305515000</v>
      </c>
      <c r="V7020" s="28">
        <v>1676655000</v>
      </c>
      <c r="W7020" s="28"/>
      <c r="X7020" s="28">
        <v>14972000</v>
      </c>
      <c r="Y7020" s="28">
        <v>4928820000</v>
      </c>
      <c r="Z7020" s="28">
        <v>933914000</v>
      </c>
      <c r="AA7020" s="28"/>
      <c r="AB7020" s="28"/>
      <c r="AC7020" s="28">
        <v>1885241000</v>
      </c>
      <c r="AD7020" s="28">
        <v>2941156000</v>
      </c>
      <c r="AE7020" s="28">
        <v>5984471000</v>
      </c>
      <c r="AF7020" s="28">
        <v>154585000</v>
      </c>
      <c r="AG7020" s="11"/>
    </row>
    <row r="7021">
      <c r="A7021" s="7" t="s">
        <v>8583</v>
      </c>
      <c r="B7021" s="5" t="s">
        <v>16513</v>
      </c>
      <c r="C7021" s="5" t="s">
        <v>24137</v>
      </c>
      <c r="D7021" s="5" t="str">
        <v>381303867298</v>
      </c>
      <c r="E7021" s="0" t="e">
        <f>+7 (3472) 729644
+7 (3472) 732227
+7 (3472) 738155
+7 (3472) 738197
+7 (3472) 739218
+7 (3472) 792120
+7 (3472) 792314
+7 (3472) 792335
+7 (3472) 792339
+7 (3472) 792367
+7 (3472) 792387
+7 (3472) 792525
+7 (3472) 792538
+7 (3472) 792594
+7 (3472) 792781</f>
        <v>#NAME?</v>
      </c>
      <c r="F7021" s="5" t="s">
        <v>45755</v>
      </c>
      <c r="G7021" s="5"/>
      <c r="H7021" s="26">
        <v>27.5</v>
      </c>
      <c r="I7021" s="5"/>
      <c r="J7021" s="5" t="s">
        <v>45268</v>
      </c>
      <c r="K7021" s="5" t="s">
        <v>344</v>
      </c>
      <c r="L7021" s="5"/>
      <c r="M7021" s="27">
        <v>40473444</v>
      </c>
      <c r="N7021" s="5" t="s">
        <v>59772</v>
      </c>
      <c r="O7021" s="5" t="str">
        <v>0278039018</v>
      </c>
      <c r="P7021" s="27">
        <v>595920</v>
      </c>
      <c r="Q7021" s="5" t="s">
        <v>59773</v>
      </c>
      <c r="R7021" s="5"/>
      <c r="S7021" s="5" t="s">
        <v>53805</v>
      </c>
      <c r="T7021" s="28">
        <v>160127924000</v>
      </c>
      <c r="U7021" s="28">
        <v>7281881000</v>
      </c>
      <c r="V7021" s="28">
        <v>33519256000</v>
      </c>
      <c r="W7021" s="28"/>
      <c r="X7021" s="28">
        <v>156736000</v>
      </c>
      <c r="Y7021" s="28">
        <v>211647836000</v>
      </c>
      <c r="Z7021" s="28">
        <v>166356867000</v>
      </c>
      <c r="AA7021" s="28">
        <v>9249152000</v>
      </c>
      <c r="AB7021" s="28">
        <v>430065000</v>
      </c>
      <c r="AC7021" s="28">
        <v>13775497000</v>
      </c>
      <c r="AD7021" s="28">
        <v>171040827000</v>
      </c>
      <c r="AE7021" s="28">
        <v>57030427000</v>
      </c>
      <c r="AF7021" s="28">
        <v>3786088000</v>
      </c>
      <c r="AG7021" s="11"/>
    </row>
    <row r="7022">
      <c r="A7022" s="7" t="s">
        <v>8584</v>
      </c>
      <c r="B7022" s="5" t="s">
        <v>16514</v>
      </c>
      <c r="C7022" s="5" t="s">
        <v>24138</v>
      </c>
      <c r="D7022" s="5" t="str">
        <v>231213930977</v>
      </c>
      <c r="E7022" s="0" t="e">
        <f>+7 (495) 6269900
+7 (495) 7874382
+7 (495) 9889613
+7 (499) 7998660</f>
        <v>#NAME?</v>
      </c>
      <c r="F7022" s="5" t="s">
        <v>45756</v>
      </c>
      <c r="G7022" s="5" t="s">
        <v>45757</v>
      </c>
      <c r="H7022" s="26">
        <v>17.5</v>
      </c>
      <c r="I7022" s="5" t="s">
        <v>45711</v>
      </c>
      <c r="J7022" s="5" t="s">
        <v>26623</v>
      </c>
      <c r="K7022" s="5" t="s">
        <v>344</v>
      </c>
      <c r="L7022" s="5" t="s">
        <v>45758</v>
      </c>
      <c r="M7022" s="27">
        <v>25818346</v>
      </c>
      <c r="N7022" s="5" t="s">
        <v>59774</v>
      </c>
      <c r="O7022" s="5" t="str">
        <v>7703552167</v>
      </c>
      <c r="P7022" s="27">
        <v>10000</v>
      </c>
      <c r="Q7022" s="5" t="s">
        <v>59775</v>
      </c>
      <c r="R7022" s="5"/>
      <c r="S7022" s="5" t="s">
        <v>51430</v>
      </c>
      <c r="T7022" s="28">
        <v>66844000</v>
      </c>
      <c r="U7022" s="28"/>
      <c r="V7022" s="28">
        <v>2119152000</v>
      </c>
      <c r="W7022" s="28"/>
      <c r="X7022" s="28">
        <v>1616663000</v>
      </c>
      <c r="Y7022" s="28">
        <v>3924704000</v>
      </c>
      <c r="Z7022" s="28">
        <v>1854472000</v>
      </c>
      <c r="AA7022" s="28"/>
      <c r="AB7022" s="28"/>
      <c r="AC7022" s="28">
        <v>2065527000</v>
      </c>
      <c r="AD7022" s="28">
        <v>1854482000</v>
      </c>
      <c r="AE7022" s="28">
        <v>18806789000</v>
      </c>
      <c r="AF7022" s="28">
        <v>530098000</v>
      </c>
      <c r="AG7022" s="11"/>
    </row>
    <row r="7023">
      <c r="A7023" s="7" t="s">
        <v>8585</v>
      </c>
      <c r="B7023" s="5" t="s">
        <v>16515</v>
      </c>
      <c r="C7023" s="5" t="s">
        <v>24139</v>
      </c>
      <c r="D7023" s="5" t="str">
        <v>165032402785</v>
      </c>
      <c r="E7023" s="0" t="e">
        <f>+7 (952) 465376</f>
        <v>#NAME?</v>
      </c>
      <c r="F7023" s="5" t="s">
        <v>45759</v>
      </c>
      <c r="G7023" s="5"/>
      <c r="H7023" s="26">
        <v>3</v>
      </c>
      <c r="I7023" s="5" t="s">
        <v>45760</v>
      </c>
      <c r="J7023" s="5" t="s">
        <v>678</v>
      </c>
      <c r="K7023" s="5" t="s">
        <v>344</v>
      </c>
      <c r="L7023" s="5" t="s">
        <v>40862</v>
      </c>
      <c r="M7023" s="27"/>
      <c r="N7023" s="5"/>
      <c r="O7023" s="5" t="str">
        <v>1650389844</v>
      </c>
      <c r="P7023" s="27">
        <v>25000</v>
      </c>
      <c r="Q7023" s="5" t="s">
        <v>49207</v>
      </c>
      <c r="R7023" s="5"/>
      <c r="S7023" s="5" t="s">
        <v>49565</v>
      </c>
      <c r="T7023" s="28">
        <v>24470000</v>
      </c>
      <c r="U7023" s="28"/>
      <c r="V7023" s="28">
        <v>101208000</v>
      </c>
      <c r="W7023" s="28"/>
      <c r="X7023" s="28">
        <v>892000</v>
      </c>
      <c r="Y7023" s="28">
        <v>131397000</v>
      </c>
      <c r="Z7023" s="28">
        <v>23839000</v>
      </c>
      <c r="AA7023" s="28">
        <v>13414000</v>
      </c>
      <c r="AB7023" s="28">
        <v>13000</v>
      </c>
      <c r="AC7023" s="28">
        <v>79557000</v>
      </c>
      <c r="AD7023" s="28">
        <v>23864000</v>
      </c>
      <c r="AE7023" s="28">
        <v>3312330000</v>
      </c>
      <c r="AF7023" s="28">
        <v>10064000</v>
      </c>
      <c r="AG7023" s="11"/>
    </row>
    <row r="7024">
      <c r="A7024" s="7" t="s">
        <v>8586</v>
      </c>
      <c r="B7024" s="5" t="s">
        <v>16516</v>
      </c>
      <c r="C7024" s="5" t="s">
        <v>24140</v>
      </c>
      <c r="D7024" s="5" t="str">
        <v>522400653815</v>
      </c>
      <c r="E7024" s="0" t="e">
        <f>+7 (910) 3894126
+7 (952) 7637805
+7 (83139) 21310
+7 (83139) 21378
+7 (83139) 21589
+7 (83139) 21609
+7 (83139) 21698
+7 (83139) 22491
+7 (83139) 22495
+7 (83139) 24678
+7 (83139) 83146
+7 (83146) 21698</f>
        <v>#NAME?</v>
      </c>
      <c r="F7024" s="5" t="s">
        <v>45761</v>
      </c>
      <c r="G7024" s="5"/>
      <c r="H7024" s="26">
        <v>30.5</v>
      </c>
      <c r="I7024" s="5"/>
      <c r="J7024" s="5" t="s">
        <v>36823</v>
      </c>
      <c r="K7024" s="5" t="s">
        <v>344</v>
      </c>
      <c r="L7024" s="5"/>
      <c r="M7024" s="27">
        <v>94340</v>
      </c>
      <c r="N7024" s="5" t="s">
        <v>59776</v>
      </c>
      <c r="O7024" s="5" t="str">
        <v>5224001190</v>
      </c>
      <c r="P7024" s="27">
        <v>77000000</v>
      </c>
      <c r="Q7024" s="5" t="s">
        <v>59777</v>
      </c>
      <c r="R7024" s="5"/>
      <c r="S7024" s="5" t="s">
        <v>51433</v>
      </c>
      <c r="T7024" s="28">
        <v>1581812000</v>
      </c>
      <c r="U7024" s="28">
        <v>93060000</v>
      </c>
      <c r="V7024" s="28">
        <v>1125800000</v>
      </c>
      <c r="W7024" s="28">
        <v>56000</v>
      </c>
      <c r="X7024" s="28">
        <v>322798000</v>
      </c>
      <c r="Y7024" s="28">
        <v>5311675000</v>
      </c>
      <c r="Z7024" s="28">
        <v>4134584000</v>
      </c>
      <c r="AA7024" s="28">
        <v>75000000</v>
      </c>
      <c r="AB7024" s="28"/>
      <c r="AC7024" s="28">
        <v>767700000</v>
      </c>
      <c r="AD7024" s="28">
        <v>4239192000</v>
      </c>
      <c r="AE7024" s="28">
        <v>4905453000</v>
      </c>
      <c r="AF7024" s="28">
        <v>-215137000</v>
      </c>
      <c r="AG7024" s="11"/>
    </row>
    <row r="7025">
      <c r="A7025" s="7" t="s">
        <v>8587</v>
      </c>
      <c r="B7025" s="5" t="s">
        <v>16517</v>
      </c>
      <c r="C7025" s="5" t="s">
        <v>24141</v>
      </c>
      <c r="D7025" s="5" t="str">
        <v>772157010036</v>
      </c>
      <c r="E7025" s="0" t="e">
        <f>+7 (495) 9269132</f>
        <v>#NAME?</v>
      </c>
      <c r="F7025" s="5"/>
      <c r="G7025" s="5" t="s">
        <v>45762</v>
      </c>
      <c r="H7025" s="26">
        <v>17</v>
      </c>
      <c r="I7025" s="5" t="s">
        <v>45763</v>
      </c>
      <c r="J7025" s="5" t="s">
        <v>678</v>
      </c>
      <c r="K7025" s="5" t="s">
        <v>344</v>
      </c>
      <c r="L7025" s="5" t="s">
        <v>45764</v>
      </c>
      <c r="M7025" s="27"/>
      <c r="N7025" s="5" t="s">
        <v>59778</v>
      </c>
      <c r="O7025" s="5" t="str">
        <v>7706604303</v>
      </c>
      <c r="P7025" s="27">
        <v>300000</v>
      </c>
      <c r="Q7025" s="5" t="s">
        <v>59779</v>
      </c>
      <c r="R7025" s="5"/>
      <c r="S7025" s="5" t="s">
        <v>59780</v>
      </c>
      <c r="T7025" s="28">
        <v>801000</v>
      </c>
      <c r="U7025" s="28"/>
      <c r="V7025" s="28">
        <v>2728692000</v>
      </c>
      <c r="W7025" s="28"/>
      <c r="X7025" s="28">
        <v>178564000</v>
      </c>
      <c r="Y7025" s="28">
        <v>3232485000</v>
      </c>
      <c r="Z7025" s="28">
        <v>813486000</v>
      </c>
      <c r="AA7025" s="28"/>
      <c r="AB7025" s="28">
        <v>1805831000</v>
      </c>
      <c r="AC7025" s="28">
        <v>2417711000</v>
      </c>
      <c r="AD7025" s="28">
        <v>814661000</v>
      </c>
      <c r="AE7025" s="28">
        <v>7999802000</v>
      </c>
      <c r="AF7025" s="28">
        <v>296629000</v>
      </c>
      <c r="AG7025" s="11"/>
    </row>
    <row r="7026">
      <c r="A7026" s="7" t="s">
        <v>8588</v>
      </c>
      <c r="B7026" s="5" t="s">
        <v>16518</v>
      </c>
      <c r="C7026" s="5" t="s">
        <v>24142</v>
      </c>
      <c r="D7026" s="5" t="str">
        <v>501304964556</v>
      </c>
      <c r="E7026" s="0" t="e">
        <f>+7 (343) 2877201
+7 (343) 2877202
+7 (3512) 250341
+7 (4232) 791051
+7 (42366) 65952
+7 (42366) 65991
+7 (495) 2150275
+7 (909) 7821200
+7 (913) 9131652
+7 (914) 1321281
+7 (914) 1396625
+7 (914) 1924250
+7 (914) 4392073
+7 (914) 4468447
+7 (916) 2024606</f>
        <v>#NAME?</v>
      </c>
      <c r="F7026" s="5"/>
      <c r="G7026" s="5" t="s">
        <v>45765</v>
      </c>
      <c r="H7026" s="26">
        <v>13</v>
      </c>
      <c r="I7026" s="5" t="s">
        <v>45766</v>
      </c>
      <c r="J7026" s="5" t="s">
        <v>599</v>
      </c>
      <c r="K7026" s="5" t="s">
        <v>344</v>
      </c>
      <c r="L7026" s="5" t="s">
        <v>45767</v>
      </c>
      <c r="M7026" s="27">
        <v>4267571</v>
      </c>
      <c r="N7026" s="5" t="s">
        <v>59781</v>
      </c>
      <c r="O7026" s="5" t="str">
        <v>7713705616</v>
      </c>
      <c r="P7026" s="27">
        <v>10000</v>
      </c>
      <c r="Q7026" s="5" t="s">
        <v>59782</v>
      </c>
      <c r="R7026" s="5"/>
      <c r="S7026" s="5" t="s">
        <v>49496</v>
      </c>
      <c r="T7026" s="28">
        <v>212873000</v>
      </c>
      <c r="U7026" s="28"/>
      <c r="V7026" s="28">
        <v>819856000</v>
      </c>
      <c r="W7026" s="28">
        <v>119877000</v>
      </c>
      <c r="X7026" s="28">
        <v>243119000</v>
      </c>
      <c r="Y7026" s="28">
        <v>1422185000</v>
      </c>
      <c r="Z7026" s="28">
        <v>904456000</v>
      </c>
      <c r="AA7026" s="28"/>
      <c r="AB7026" s="28">
        <v>35024000</v>
      </c>
      <c r="AC7026" s="28">
        <v>500904000</v>
      </c>
      <c r="AD7026" s="28">
        <v>904466000</v>
      </c>
      <c r="AE7026" s="28">
        <v>5124269000</v>
      </c>
      <c r="AF7026" s="28">
        <v>460713000</v>
      </c>
      <c r="AG7026" s="11"/>
    </row>
    <row r="7027">
      <c r="A7027" s="7" t="s">
        <v>8589</v>
      </c>
      <c r="B7027" s="5" t="s">
        <v>16519</v>
      </c>
      <c r="C7027" s="5" t="s">
        <v>24143</v>
      </c>
      <c r="D7027" s="5" t="str">
        <v>701725628322</v>
      </c>
      <c r="E7027" s="0" t="e">
        <f>+7 (382) 2586100
+7 (38259) 50046
+7 (913) 8538415
+7 (932) 503000</f>
        <v>#NAME?</v>
      </c>
      <c r="F7027" s="5" t="s">
        <v>45768</v>
      </c>
      <c r="G7027" s="5" t="s">
        <v>45769</v>
      </c>
      <c r="H7027" s="26">
        <v>20</v>
      </c>
      <c r="I7027" s="5" t="s">
        <v>45770</v>
      </c>
      <c r="J7027" s="5" t="s">
        <v>533</v>
      </c>
      <c r="K7027" s="5" t="s">
        <v>344</v>
      </c>
      <c r="L7027" s="5" t="s">
        <v>45771</v>
      </c>
      <c r="M7027" s="27">
        <v>38432049</v>
      </c>
      <c r="N7027" s="5" t="s">
        <v>59783</v>
      </c>
      <c r="O7027" s="5" t="str">
        <v>7017061886</v>
      </c>
      <c r="P7027" s="27">
        <v>10000</v>
      </c>
      <c r="Q7027" s="5" t="s">
        <v>59785</v>
      </c>
      <c r="R7027" s="5"/>
      <c r="S7027" s="5" t="s">
        <v>49195</v>
      </c>
      <c r="T7027" s="28">
        <v>1485438000</v>
      </c>
      <c r="U7027" s="28">
        <v>10400000</v>
      </c>
      <c r="V7027" s="28">
        <v>750888000</v>
      </c>
      <c r="W7027" s="28">
        <v>9791000</v>
      </c>
      <c r="X7027" s="28">
        <v>72180000</v>
      </c>
      <c r="Y7027" s="28">
        <v>3048061000</v>
      </c>
      <c r="Z7027" s="28">
        <v>1581520000</v>
      </c>
      <c r="AA7027" s="28"/>
      <c r="AB7027" s="28">
        <v>67849000</v>
      </c>
      <c r="AC7027" s="28">
        <v>1097255000</v>
      </c>
      <c r="AD7027" s="28">
        <v>1581530000</v>
      </c>
      <c r="AE7027" s="28">
        <v>3414862000</v>
      </c>
      <c r="AF7027" s="28">
        <v>309063000</v>
      </c>
      <c r="AG7027" s="11"/>
    </row>
    <row r="7028">
      <c r="A7028" s="7" t="s">
        <v>8589</v>
      </c>
      <c r="B7028" s="5" t="s">
        <v>16520</v>
      </c>
      <c r="C7028" s="5" t="s">
        <v>24144</v>
      </c>
      <c r="D7028" s="5" t="str">
        <v>666403837206</v>
      </c>
      <c r="E7028" s="0" t="e">
        <f>+7 (912) 6041192
+7 (982) 6301057
+7 (3466) 277811</f>
        <v>#NAME?</v>
      </c>
      <c r="F7028" s="5" t="s">
        <v>45772</v>
      </c>
      <c r="G7028" s="5"/>
      <c r="H7028" s="26">
        <v>14</v>
      </c>
      <c r="I7028" s="5" t="s">
        <v>45773</v>
      </c>
      <c r="J7028" s="5" t="s">
        <v>930</v>
      </c>
      <c r="K7028" s="5" t="s">
        <v>344</v>
      </c>
      <c r="L7028" s="5" t="s">
        <v>45774</v>
      </c>
      <c r="M7028" s="27">
        <v>8220265</v>
      </c>
      <c r="N7028" s="5" t="s">
        <v>59786</v>
      </c>
      <c r="O7028" s="5" t="str">
        <v>6674322774</v>
      </c>
      <c r="P7028" s="27">
        <v>10000</v>
      </c>
      <c r="Q7028" s="5" t="s">
        <v>59787</v>
      </c>
      <c r="R7028" s="5" t="s">
        <v>50792</v>
      </c>
      <c r="S7028" s="5" t="s">
        <v>59788</v>
      </c>
      <c r="T7028" s="28">
        <v>1219294000</v>
      </c>
      <c r="U7028" s="28"/>
      <c r="V7028" s="28">
        <v>1164005000</v>
      </c>
      <c r="W7028" s="28">
        <v>495555000</v>
      </c>
      <c r="X7028" s="28">
        <v>141688000</v>
      </c>
      <c r="Y7028" s="28">
        <v>3094426000</v>
      </c>
      <c r="Z7028" s="28">
        <v>1374123000</v>
      </c>
      <c r="AA7028" s="28">
        <v>207355000</v>
      </c>
      <c r="AB7028" s="28">
        <v>209310000</v>
      </c>
      <c r="AC7028" s="28">
        <v>1256341000</v>
      </c>
      <c r="AD7028" s="28">
        <v>1374133000</v>
      </c>
      <c r="AE7028" s="28">
        <v>3053325000</v>
      </c>
      <c r="AF7028" s="28">
        <v>260758000</v>
      </c>
      <c r="AG7028" s="11"/>
    </row>
    <row r="7029">
      <c r="A7029" s="7" t="s">
        <v>8590</v>
      </c>
      <c r="B7029" s="5" t="s">
        <v>16521</v>
      </c>
      <c r="C7029" s="5" t="s">
        <v>24145</v>
      </c>
      <c r="D7029" s="5" t="str">
        <v>772825997320</v>
      </c>
      <c r="E7029" s="0" t="e">
        <f>+7 (495) 3631520
+7 (905) 7592418</f>
        <v>#NAME?</v>
      </c>
      <c r="F7029" s="5" t="s">
        <v>45775</v>
      </c>
      <c r="G7029" s="5" t="s">
        <v>45776</v>
      </c>
      <c r="H7029" s="26">
        <v>8</v>
      </c>
      <c r="I7029" s="5" t="s">
        <v>45777</v>
      </c>
      <c r="J7029" s="5" t="s">
        <v>599</v>
      </c>
      <c r="K7029" s="5" t="s">
        <v>344</v>
      </c>
      <c r="L7029" s="5" t="s">
        <v>45778</v>
      </c>
      <c r="M7029" s="27">
        <v>19422385</v>
      </c>
      <c r="N7029" s="5" t="s">
        <v>59789</v>
      </c>
      <c r="O7029" s="5" t="str">
        <v>7726326069</v>
      </c>
      <c r="P7029" s="27">
        <v>50000000</v>
      </c>
      <c r="Q7029" s="5" t="s">
        <v>49059</v>
      </c>
      <c r="R7029" s="5"/>
      <c r="S7029" s="5" t="s">
        <v>49496</v>
      </c>
      <c r="T7029" s="28">
        <v>9743855000</v>
      </c>
      <c r="U7029" s="28">
        <v>41381000</v>
      </c>
      <c r="V7029" s="28">
        <v>1847546000</v>
      </c>
      <c r="W7029" s="28">
        <v>16168000</v>
      </c>
      <c r="X7029" s="28">
        <v>1006709000</v>
      </c>
      <c r="Y7029" s="28">
        <v>13456131000</v>
      </c>
      <c r="Z7029" s="28">
        <v>5790407000</v>
      </c>
      <c r="AA7029" s="28">
        <v>1825000000</v>
      </c>
      <c r="AB7029" s="28">
        <v>84578000</v>
      </c>
      <c r="AC7029" s="28">
        <v>1573170000</v>
      </c>
      <c r="AD7029" s="28">
        <v>5840407000</v>
      </c>
      <c r="AE7029" s="28">
        <v>15594825000</v>
      </c>
      <c r="AF7029" s="28">
        <v>3297177000</v>
      </c>
      <c r="AG7029" s="11"/>
    </row>
    <row r="7030">
      <c r="A7030" s="7" t="s">
        <v>8591</v>
      </c>
      <c r="B7030" s="5" t="s">
        <v>16522</v>
      </c>
      <c r="C7030" s="5" t="s">
        <v>24146</v>
      </c>
      <c r="D7030" s="5" t="str">
        <v>560100666773</v>
      </c>
      <c r="E7030" s="0" t="e">
        <f>+7 (495) 2761659</f>
        <v>#NAME?</v>
      </c>
      <c r="F7030" s="5" t="s">
        <v>45779</v>
      </c>
      <c r="G7030" s="5" t="s">
        <v>45780</v>
      </c>
      <c r="H7030" s="26">
        <v>8</v>
      </c>
      <c r="I7030" s="5" t="s">
        <v>45781</v>
      </c>
      <c r="J7030" s="5" t="s">
        <v>641</v>
      </c>
      <c r="K7030" s="5" t="s">
        <v>344</v>
      </c>
      <c r="L7030" s="5" t="s">
        <v>45782</v>
      </c>
      <c r="M7030" s="27"/>
      <c r="N7030" s="5" t="s">
        <v>59790</v>
      </c>
      <c r="O7030" s="5" t="str">
        <v>5038111044</v>
      </c>
      <c r="P7030" s="27">
        <v>200000</v>
      </c>
      <c r="Q7030" s="5" t="s">
        <v>59791</v>
      </c>
      <c r="R7030" s="5"/>
      <c r="S7030" s="5" t="s">
        <v>59792</v>
      </c>
      <c r="T7030" s="28">
        <v>365000</v>
      </c>
      <c r="U7030" s="28"/>
      <c r="V7030" s="28">
        <v>6559071000</v>
      </c>
      <c r="W7030" s="28"/>
      <c r="X7030" s="28">
        <v>40088000</v>
      </c>
      <c r="Y7030" s="28">
        <v>6867404000</v>
      </c>
      <c r="Z7030" s="28">
        <v>489435000</v>
      </c>
      <c r="AA7030" s="28"/>
      <c r="AB7030" s="28">
        <v>3798427000</v>
      </c>
      <c r="AC7030" s="28">
        <v>6377769000</v>
      </c>
      <c r="AD7030" s="28">
        <v>489635000</v>
      </c>
      <c r="AE7030" s="28">
        <v>6199845000</v>
      </c>
      <c r="AF7030" s="28">
        <v>419756000</v>
      </c>
      <c r="AG7030" s="11"/>
    </row>
    <row r="7031">
      <c r="A7031" s="7" t="s">
        <v>8592</v>
      </c>
      <c r="B7031" s="5" t="s">
        <v>16523</v>
      </c>
      <c r="C7031" s="5" t="s">
        <v>24147</v>
      </c>
      <c r="D7031" s="5" t="str">
        <v>773774109783</v>
      </c>
      <c r="E7031" s="0" t="e">
        <f>+7 (916) 3171230</f>
        <v>#NAME?</v>
      </c>
      <c r="F7031" s="5" t="s">
        <v>45783</v>
      </c>
      <c r="G7031" s="5"/>
      <c r="H7031" s="26">
        <v>17</v>
      </c>
      <c r="I7031" s="5" t="s">
        <v>45784</v>
      </c>
      <c r="J7031" s="5" t="s">
        <v>423</v>
      </c>
      <c r="K7031" s="5" t="s">
        <v>344</v>
      </c>
      <c r="L7031" s="5" t="s">
        <v>45785</v>
      </c>
      <c r="M7031" s="27">
        <v>288315</v>
      </c>
      <c r="N7031" s="5" t="s">
        <v>59793</v>
      </c>
      <c r="O7031" s="5" t="str">
        <v>7726534693</v>
      </c>
      <c r="P7031" s="27">
        <v>350000</v>
      </c>
      <c r="Q7031" s="5" t="s">
        <v>59794</v>
      </c>
      <c r="R7031" s="5"/>
      <c r="S7031" s="5" t="s">
        <v>59795</v>
      </c>
      <c r="T7031" s="28">
        <v>140000</v>
      </c>
      <c r="U7031" s="28"/>
      <c r="V7031" s="28">
        <v>285887000</v>
      </c>
      <c r="W7031" s="28">
        <v>5811000</v>
      </c>
      <c r="X7031" s="28">
        <v>103063000</v>
      </c>
      <c r="Y7031" s="28">
        <v>1058876000</v>
      </c>
      <c r="Z7031" s="28">
        <v>287308000</v>
      </c>
      <c r="AA7031" s="28"/>
      <c r="AB7031" s="28">
        <v>271642000</v>
      </c>
      <c r="AC7031" s="28">
        <v>771183000</v>
      </c>
      <c r="AD7031" s="28">
        <v>287693000</v>
      </c>
      <c r="AE7031" s="28">
        <v>6591485000</v>
      </c>
      <c r="AF7031" s="28">
        <v>349226000</v>
      </c>
      <c r="AG7031" s="11"/>
    </row>
    <row r="7032">
      <c r="A7032" s="7" t="s">
        <v>8593</v>
      </c>
      <c r="B7032" s="5" t="s">
        <v>16524</v>
      </c>
      <c r="C7032" s="5" t="s">
        <v>24148</v>
      </c>
      <c r="D7032" s="5" t="str">
        <v>025500015624</v>
      </c>
      <c r="E7032" s="0" t="e">
        <f>+7 (3472) 799777</f>
        <v>#NAME?</v>
      </c>
      <c r="F7032" s="5"/>
      <c r="G7032" s="5" t="s">
        <v>45786</v>
      </c>
      <c r="H7032" s="26">
        <v>13.5</v>
      </c>
      <c r="I7032" s="5" t="s">
        <v>45787</v>
      </c>
      <c r="J7032" s="5" t="s">
        <v>373</v>
      </c>
      <c r="K7032" s="5" t="s">
        <v>344</v>
      </c>
      <c r="L7032" s="5" t="s">
        <v>45788</v>
      </c>
      <c r="M7032" s="27">
        <v>600000000</v>
      </c>
      <c r="N7032" s="5" t="s">
        <v>53728</v>
      </c>
      <c r="O7032" s="5" t="str">
        <v>0277105412</v>
      </c>
      <c r="P7032" s="27">
        <v>10000</v>
      </c>
      <c r="Q7032" s="5" t="s">
        <v>59796</v>
      </c>
      <c r="R7032" s="5"/>
      <c r="S7032" s="5" t="s">
        <v>50139</v>
      </c>
      <c r="T7032" s="28"/>
      <c r="U7032" s="28"/>
      <c r="V7032" s="28">
        <v>726257000</v>
      </c>
      <c r="W7032" s="28">
        <v>760000000</v>
      </c>
      <c r="X7032" s="28">
        <v>176450000</v>
      </c>
      <c r="Y7032" s="28">
        <v>1726686000</v>
      </c>
      <c r="Z7032" s="28">
        <v>273330000</v>
      </c>
      <c r="AA7032" s="28"/>
      <c r="AB7032" s="28"/>
      <c r="AC7032" s="28">
        <v>1453346000</v>
      </c>
      <c r="AD7032" s="28">
        <v>273340000</v>
      </c>
      <c r="AE7032" s="28">
        <v>24841599000</v>
      </c>
      <c r="AF7032" s="28">
        <v>71686000</v>
      </c>
      <c r="AG7032" s="11"/>
    </row>
    <row r="7033">
      <c r="A7033" s="7" t="s">
        <v>8594</v>
      </c>
      <c r="B7033" s="5" t="s">
        <v>16525</v>
      </c>
      <c r="C7033" s="5" t="s">
        <v>24149</v>
      </c>
      <c r="D7033" s="5" t="str">
        <v>323501059019</v>
      </c>
      <c r="F7033" s="5"/>
      <c r="G7033" s="5" t="s">
        <v>45789</v>
      </c>
      <c r="H7033" s="26">
        <v>16</v>
      </c>
      <c r="I7033" s="5" t="s">
        <v>45790</v>
      </c>
      <c r="J7033" s="5" t="s">
        <v>27397</v>
      </c>
      <c r="K7033" s="5" t="s">
        <v>344</v>
      </c>
      <c r="L7033" s="5" t="s">
        <v>45791</v>
      </c>
      <c r="M7033" s="27">
        <v>862022</v>
      </c>
      <c r="N7033" s="5" t="s">
        <v>59797</v>
      </c>
      <c r="O7033" s="5" t="str">
        <v>6952010010</v>
      </c>
      <c r="P7033" s="27">
        <v>5000000</v>
      </c>
      <c r="Q7033" s="5" t="s">
        <v>59799</v>
      </c>
      <c r="R7033" s="5"/>
      <c r="S7033" s="5" t="s">
        <v>59800</v>
      </c>
      <c r="T7033" s="28">
        <v>554376000</v>
      </c>
      <c r="U7033" s="28">
        <v>176098000</v>
      </c>
      <c r="V7033" s="28">
        <v>1036467000</v>
      </c>
      <c r="W7033" s="28">
        <v>4319000</v>
      </c>
      <c r="X7033" s="28">
        <v>665069000</v>
      </c>
      <c r="Y7033" s="28">
        <v>3829704000</v>
      </c>
      <c r="Z7033" s="28">
        <v>2462990000</v>
      </c>
      <c r="AA7033" s="28"/>
      <c r="AB7033" s="28"/>
      <c r="AC7033" s="28">
        <v>881213000</v>
      </c>
      <c r="AD7033" s="28">
        <v>2468740000</v>
      </c>
      <c r="AE7033" s="28">
        <v>6220404000</v>
      </c>
      <c r="AF7033" s="28">
        <v>860385000</v>
      </c>
      <c r="AG7033" s="11"/>
    </row>
    <row r="7034">
      <c r="A7034" s="7" t="s">
        <v>8595</v>
      </c>
      <c r="B7034" s="5" t="s">
        <v>16526</v>
      </c>
      <c r="C7034" s="5" t="s">
        <v>24150</v>
      </c>
      <c r="D7034" s="5" t="str">
        <v>631929590708</v>
      </c>
      <c r="E7034" s="0" t="e">
        <f>+7 (927) 2608447
+7 (84655) 25004
+7 (84655) 25007</f>
        <v>#NAME?</v>
      </c>
      <c r="F7034" s="5"/>
      <c r="G7034" s="5" t="s">
        <v>45792</v>
      </c>
      <c r="H7034" s="26">
        <v>4.5</v>
      </c>
      <c r="I7034" s="5" t="s">
        <v>45793</v>
      </c>
      <c r="J7034" s="5" t="s">
        <v>45794</v>
      </c>
      <c r="K7034" s="5" t="s">
        <v>355</v>
      </c>
      <c r="L7034" s="5" t="s">
        <v>26436</v>
      </c>
      <c r="M7034" s="27"/>
      <c r="N7034" s="5" t="s">
        <v>53468</v>
      </c>
      <c r="O7034" s="5" t="str">
        <v>6314045606</v>
      </c>
      <c r="P7034" s="27">
        <v>10000</v>
      </c>
      <c r="Q7034" s="5" t="s">
        <v>59801</v>
      </c>
      <c r="R7034" s="5"/>
      <c r="S7034" s="5" t="s">
        <v>49065</v>
      </c>
      <c r="T7034" s="28">
        <v>142718000</v>
      </c>
      <c r="U7034" s="28"/>
      <c r="V7034" s="28">
        <v>2488171000</v>
      </c>
      <c r="W7034" s="28">
        <v>6700000</v>
      </c>
      <c r="X7034" s="28">
        <v>2282000</v>
      </c>
      <c r="Y7034" s="28">
        <v>2664464000</v>
      </c>
      <c r="Z7034" s="28">
        <v>314597000</v>
      </c>
      <c r="AA7034" s="28"/>
      <c r="AB7034" s="28"/>
      <c r="AC7034" s="28">
        <v>2256949000</v>
      </c>
      <c r="AD7034" s="28">
        <v>314607000</v>
      </c>
      <c r="AE7034" s="28">
        <v>3084778000</v>
      </c>
      <c r="AF7034" s="28">
        <v>64335000</v>
      </c>
      <c r="AG7034" s="11"/>
    </row>
    <row r="7035">
      <c r="A7035" s="7" t="s">
        <v>8596</v>
      </c>
      <c r="B7035" s="5" t="s">
        <v>16527</v>
      </c>
      <c r="C7035" s="5" t="s">
        <v>24151</v>
      </c>
      <c r="D7035" s="5" t="str">
        <v>773461206901</v>
      </c>
      <c r="E7035" s="0" t="e">
        <f>+7 (495) 3803762
+7 (495) 3803770
+7 (495) 6071742
+7 (495) 7829761</f>
        <v>#NAME?</v>
      </c>
      <c r="F7035" s="5" t="s">
        <v>45795</v>
      </c>
      <c r="G7035" s="5" t="s">
        <v>45796</v>
      </c>
      <c r="H7035" s="26">
        <v>21</v>
      </c>
      <c r="I7035" s="5"/>
      <c r="J7035" s="5" t="s">
        <v>26623</v>
      </c>
      <c r="K7035" s="5" t="s">
        <v>344</v>
      </c>
      <c r="L7035" s="5" t="s">
        <v>39504</v>
      </c>
      <c r="M7035" s="27">
        <v>830915</v>
      </c>
      <c r="N7035" s="5"/>
      <c r="O7035" s="5" t="str">
        <v>7710430593</v>
      </c>
      <c r="P7035" s="27">
        <v>10000</v>
      </c>
      <c r="Q7035" s="5" t="s">
        <v>49009</v>
      </c>
      <c r="R7035" s="5"/>
      <c r="S7035" s="5" t="s">
        <v>49045</v>
      </c>
      <c r="T7035" s="28">
        <v>1511000</v>
      </c>
      <c r="U7035" s="28"/>
      <c r="V7035" s="28">
        <v>226226000</v>
      </c>
      <c r="W7035" s="28">
        <v>1927000</v>
      </c>
      <c r="X7035" s="28">
        <v>30440000</v>
      </c>
      <c r="Y7035" s="28">
        <v>277554000</v>
      </c>
      <c r="Z7035" s="28">
        <v>5610000</v>
      </c>
      <c r="AA7035" s="28"/>
      <c r="AB7035" s="28">
        <v>4370000</v>
      </c>
      <c r="AC7035" s="28">
        <v>271509000</v>
      </c>
      <c r="AD7035" s="28">
        <v>5622000</v>
      </c>
      <c r="AE7035" s="28">
        <v>4146202000</v>
      </c>
      <c r="AF7035" s="28">
        <v>9414000</v>
      </c>
      <c r="AG7035" s="11"/>
    </row>
    <row r="7036">
      <c r="A7036" s="7" t="s">
        <v>8597</v>
      </c>
      <c r="B7036" s="5" t="s">
        <v>16528</v>
      </c>
      <c r="C7036" s="5" t="s">
        <v>24152</v>
      </c>
      <c r="D7036" s="5" t="str">
        <v>540216650515</v>
      </c>
      <c r="E7036" s="0" t="e">
        <f>+7 (383) 3195545
+7 (383) 3388084</f>
        <v>#NAME?</v>
      </c>
      <c r="F7036" s="5" t="s">
        <v>45797</v>
      </c>
      <c r="G7036" s="5" t="s">
        <v>45798</v>
      </c>
      <c r="H7036" s="26">
        <v>12</v>
      </c>
      <c r="I7036" s="5" t="s">
        <v>45799</v>
      </c>
      <c r="J7036" s="5" t="s">
        <v>25337</v>
      </c>
      <c r="K7036" s="5" t="s">
        <v>344</v>
      </c>
      <c r="L7036" s="5" t="s">
        <v>45800</v>
      </c>
      <c r="M7036" s="27"/>
      <c r="N7036" s="5" t="s">
        <v>59802</v>
      </c>
      <c r="O7036" s="5" t="str">
        <v>5405425610</v>
      </c>
      <c r="P7036" s="27">
        <v>1000000</v>
      </c>
      <c r="Q7036" s="5" t="s">
        <v>59803</v>
      </c>
      <c r="R7036" s="5"/>
      <c r="S7036" s="5" t="s">
        <v>59431</v>
      </c>
      <c r="T7036" s="28">
        <v>29273000</v>
      </c>
      <c r="U7036" s="28"/>
      <c r="V7036" s="28">
        <v>764749000</v>
      </c>
      <c r="W7036" s="28">
        <v>350000000</v>
      </c>
      <c r="X7036" s="28">
        <v>1005188000</v>
      </c>
      <c r="Y7036" s="28">
        <v>3265993000</v>
      </c>
      <c r="Z7036" s="28">
        <v>2015690000</v>
      </c>
      <c r="AA7036" s="28"/>
      <c r="AB7036" s="28">
        <v>1803540000</v>
      </c>
      <c r="AC7036" s="28">
        <v>2511071000</v>
      </c>
      <c r="AD7036" s="28">
        <v>752055000</v>
      </c>
      <c r="AE7036" s="28">
        <v>4727333000</v>
      </c>
      <c r="AF7036" s="28">
        <v>1264888000</v>
      </c>
      <c r="AG7036" s="11"/>
    </row>
    <row r="7037">
      <c r="A7037" s="7" t="s">
        <v>8598</v>
      </c>
      <c r="B7037" s="5" t="s">
        <v>16529</v>
      </c>
      <c r="C7037" s="5" t="s">
        <v>24153</v>
      </c>
      <c r="D7037" s="5" t="str">
        <v>781017891011</v>
      </c>
      <c r="E7037" s="0" t="e">
        <f>+7 (495) 2760732
+7 (499) 4180396
+7 (499) 4180404</f>
        <v>#NAME?</v>
      </c>
      <c r="F7037" s="5" t="s">
        <v>45801</v>
      </c>
      <c r="G7037" s="5" t="s">
        <v>45802</v>
      </c>
      <c r="H7037" s="26">
        <v>9.5</v>
      </c>
      <c r="I7037" s="5" t="s">
        <v>45803</v>
      </c>
      <c r="J7037" s="5" t="s">
        <v>25670</v>
      </c>
      <c r="K7037" s="5" t="s">
        <v>380</v>
      </c>
      <c r="L7037" s="5"/>
      <c r="M7037" s="27">
        <v>100281</v>
      </c>
      <c r="N7037" s="5"/>
      <c r="O7037" s="5" t="str">
        <v>7708797192</v>
      </c>
      <c r="P7037" s="27">
        <v>15630000000</v>
      </c>
      <c r="Q7037" s="5" t="s">
        <v>59804</v>
      </c>
      <c r="R7037" s="5"/>
      <c r="S7037" s="5" t="s">
        <v>59805</v>
      </c>
      <c r="T7037" s="28">
        <v>40263000</v>
      </c>
      <c r="U7037" s="28">
        <v>47461547000</v>
      </c>
      <c r="V7037" s="28">
        <v>5818294000</v>
      </c>
      <c r="W7037" s="28">
        <v>7273145000</v>
      </c>
      <c r="X7037" s="28">
        <v>28864120000</v>
      </c>
      <c r="Y7037" s="28">
        <v>158240883000</v>
      </c>
      <c r="Z7037" s="28">
        <v>42626119000</v>
      </c>
      <c r="AA7037" s="28">
        <v>74800084000</v>
      </c>
      <c r="AB7037" s="28">
        <v>9691984000</v>
      </c>
      <c r="AC7037" s="28">
        <v>18720984000</v>
      </c>
      <c r="AD7037" s="28">
        <v>61026119000</v>
      </c>
      <c r="AE7037" s="28">
        <v>15896044000</v>
      </c>
      <c r="AF7037" s="28">
        <v>18620095000</v>
      </c>
      <c r="AG7037" s="11"/>
    </row>
    <row r="7038">
      <c r="A7038" s="7" t="s">
        <v>8599</v>
      </c>
      <c r="B7038" s="5" t="s">
        <v>16530</v>
      </c>
      <c r="C7038" s="5" t="s">
        <v>24154</v>
      </c>
      <c r="D7038" s="5" t="str">
        <v>246310922688</v>
      </c>
      <c r="E7038" s="0" t="e">
        <f>+7 (495) 4247356
+7 (903) 6111574</f>
        <v>#NAME?</v>
      </c>
      <c r="F7038" s="5" t="s">
        <v>45804</v>
      </c>
      <c r="G7038" s="5" t="s">
        <v>45805</v>
      </c>
      <c r="H7038" s="26">
        <v>20.5</v>
      </c>
      <c r="I7038" s="5"/>
      <c r="J7038" s="5" t="s">
        <v>25670</v>
      </c>
      <c r="K7038" s="5" t="s">
        <v>355</v>
      </c>
      <c r="L7038" s="5"/>
      <c r="M7038" s="27">
        <v>29690644</v>
      </c>
      <c r="N7038" s="5" t="s">
        <v>55319</v>
      </c>
      <c r="O7038" s="5" t="str">
        <v>7706273281</v>
      </c>
      <c r="P7038" s="27">
        <v>10000000</v>
      </c>
      <c r="Q7038" s="5" t="s">
        <v>59806</v>
      </c>
      <c r="R7038" s="5"/>
      <c r="S7038" s="5" t="s">
        <v>54702</v>
      </c>
      <c r="T7038" s="28"/>
      <c r="U7038" s="28">
        <v>3500000000</v>
      </c>
      <c r="V7038" s="28">
        <v>942566000</v>
      </c>
      <c r="W7038" s="28"/>
      <c r="X7038" s="28">
        <v>935308000</v>
      </c>
      <c r="Y7038" s="28">
        <v>74183015000</v>
      </c>
      <c r="Z7038" s="28">
        <v>1888852000</v>
      </c>
      <c r="AA7038" s="28">
        <v>61699137000</v>
      </c>
      <c r="AB7038" s="28">
        <v>4085476000</v>
      </c>
      <c r="AC7038" s="28">
        <v>5994291000</v>
      </c>
      <c r="AD7038" s="28">
        <v>1899852000</v>
      </c>
      <c r="AE7038" s="28">
        <v>6031404000</v>
      </c>
      <c r="AF7038" s="28">
        <v>105333000</v>
      </c>
      <c r="AG7038" s="11"/>
    </row>
    <row r="7039">
      <c r="A7039" s="7" t="s">
        <v>8600</v>
      </c>
      <c r="B7039" s="5" t="s">
        <v>16531</v>
      </c>
      <c r="C7039" s="5" t="s">
        <v>24155</v>
      </c>
      <c r="D7039" s="5" t="str">
        <v>781605395765</v>
      </c>
      <c r="E7039" s="0" t="e">
        <f>+7 (499) 2610371
+7 (495) 2620951
+7 (495) 2623378
+7 (495) 2628420
+7 (495) 2628716
+7 (495) 2629381
+7 (495) 2629543
+7 (495) 2629669
+7 (499) 2629543</f>
        <v>#NAME?</v>
      </c>
      <c r="F7039" s="5" t="s">
        <v>45806</v>
      </c>
      <c r="G7039" s="5" t="s">
        <v>45807</v>
      </c>
      <c r="H7039" s="26">
        <v>26.5</v>
      </c>
      <c r="I7039" s="5"/>
      <c r="J7039" s="5" t="s">
        <v>710</v>
      </c>
      <c r="K7039" s="5" t="s">
        <v>344</v>
      </c>
      <c r="L7039" s="5"/>
      <c r="M7039" s="27">
        <v>37353219</v>
      </c>
      <c r="N7039" s="5" t="s">
        <v>59807</v>
      </c>
      <c r="O7039" s="5" t="str">
        <v>7701024958</v>
      </c>
      <c r="P7039" s="27">
        <v>20792430</v>
      </c>
      <c r="Q7039" s="5" t="s">
        <v>59808</v>
      </c>
      <c r="R7039" s="5"/>
      <c r="S7039" s="5" t="s">
        <v>59809</v>
      </c>
      <c r="T7039" s="28">
        <v>154814000</v>
      </c>
      <c r="U7039" s="28"/>
      <c r="V7039" s="28">
        <v>4894340000</v>
      </c>
      <c r="W7039" s="28"/>
      <c r="X7039" s="28">
        <v>34206000</v>
      </c>
      <c r="Y7039" s="28">
        <v>5528722000</v>
      </c>
      <c r="Z7039" s="28">
        <v>1041548000</v>
      </c>
      <c r="AA7039" s="28"/>
      <c r="AB7039" s="28">
        <v>663994000</v>
      </c>
      <c r="AC7039" s="28">
        <v>4449595000</v>
      </c>
      <c r="AD7039" s="28">
        <v>1076468000</v>
      </c>
      <c r="AE7039" s="28">
        <v>6497381000</v>
      </c>
      <c r="AF7039" s="28">
        <v>758000</v>
      </c>
      <c r="AG7039" s="11"/>
    </row>
    <row r="7040">
      <c r="A7040" s="7" t="s">
        <v>8601</v>
      </c>
      <c r="B7040" s="5" t="s">
        <v>16532</v>
      </c>
      <c r="C7040" s="5" t="s">
        <v>24156</v>
      </c>
      <c r="D7040" s="5" t="str">
        <v>526223377287</v>
      </c>
      <c r="E7040" s="0" t="e">
        <f>+7 (831) 2653204
+7 (831) 2789772
+7 (83143) 1634
+7 (83143) 4227
+7 (83143) 5775
+7 (83143) 5781
+7 (953) 4159734</f>
        <v>#NAME?</v>
      </c>
      <c r="F7040" s="5" t="s">
        <v>45808</v>
      </c>
      <c r="G7040" s="5" t="s">
        <v>45809</v>
      </c>
      <c r="H7040" s="26">
        <v>25.5</v>
      </c>
      <c r="I7040" s="5" t="s">
        <v>45810</v>
      </c>
      <c r="J7040" s="5" t="s">
        <v>25612</v>
      </c>
      <c r="K7040" s="5" t="s">
        <v>344</v>
      </c>
      <c r="L7040" s="5" t="s">
        <v>45811</v>
      </c>
      <c r="M7040" s="27">
        <v>23690429</v>
      </c>
      <c r="N7040" s="5" t="s">
        <v>59810</v>
      </c>
      <c r="O7040" s="5" t="str">
        <v>5031033615</v>
      </c>
      <c r="P7040" s="27">
        <v>10000</v>
      </c>
      <c r="Q7040" s="5" t="s">
        <v>59811</v>
      </c>
      <c r="R7040" s="5"/>
      <c r="S7040" s="5" t="s">
        <v>59812</v>
      </c>
      <c r="T7040" s="28">
        <v>16086000</v>
      </c>
      <c r="U7040" s="28"/>
      <c r="V7040" s="28">
        <v>2515522000</v>
      </c>
      <c r="W7040" s="28">
        <v>649334000</v>
      </c>
      <c r="X7040" s="28">
        <v>70243000</v>
      </c>
      <c r="Y7040" s="28">
        <v>3761224000</v>
      </c>
      <c r="Z7040" s="28">
        <v>632628000</v>
      </c>
      <c r="AA7040" s="28">
        <v>400350000</v>
      </c>
      <c r="AB7040" s="28"/>
      <c r="AC7040" s="28">
        <v>2728236000</v>
      </c>
      <c r="AD7040" s="28">
        <v>632638000</v>
      </c>
      <c r="AE7040" s="28">
        <v>6097763000</v>
      </c>
      <c r="AF7040" s="28">
        <v>445548000</v>
      </c>
      <c r="AG7040" s="11"/>
    </row>
    <row r="7041">
      <c r="A7041" s="7" t="s">
        <v>8602</v>
      </c>
      <c r="B7041" s="5" t="s">
        <v>16533</v>
      </c>
      <c r="C7041" s="5" t="s">
        <v>24157</v>
      </c>
      <c r="D7041" s="5" t="str">
        <v>774311819690</v>
      </c>
      <c r="E7041" s="0" t="e">
        <f>+7 (482) 2319091
+7 (911) 8564005
+7 (925) 8809094
+7 (473) 2009364
+7 (926) 9144491</f>
        <v>#NAME?</v>
      </c>
      <c r="F7041" s="5" t="s">
        <v>45812</v>
      </c>
      <c r="G7041" s="5" t="s">
        <v>45813</v>
      </c>
      <c r="H7041" s="26">
        <v>9</v>
      </c>
      <c r="I7041" s="5" t="s">
        <v>45814</v>
      </c>
      <c r="J7041" s="5" t="s">
        <v>25216</v>
      </c>
      <c r="K7041" s="5" t="s">
        <v>344</v>
      </c>
      <c r="L7041" s="5" t="s">
        <v>45815</v>
      </c>
      <c r="M7041" s="27"/>
      <c r="N7041" s="5" t="s">
        <v>59813</v>
      </c>
      <c r="O7041" s="5" t="str">
        <v>7714931745</v>
      </c>
      <c r="P7041" s="27">
        <v>1000000</v>
      </c>
      <c r="Q7041" s="5" t="s">
        <v>49021</v>
      </c>
      <c r="R7041" s="5"/>
      <c r="S7041" s="5" t="s">
        <v>59814</v>
      </c>
      <c r="T7041" s="28">
        <v>19395000</v>
      </c>
      <c r="U7041" s="28">
        <v>10000</v>
      </c>
      <c r="V7041" s="28">
        <v>1480963000</v>
      </c>
      <c r="W7041" s="28">
        <v>1810000</v>
      </c>
      <c r="X7041" s="28">
        <v>32341000</v>
      </c>
      <c r="Y7041" s="28">
        <v>1736332000</v>
      </c>
      <c r="Z7041" s="28">
        <v>196905000</v>
      </c>
      <c r="AA7041" s="28">
        <v>324942000</v>
      </c>
      <c r="AB7041" s="28"/>
      <c r="AC7041" s="28">
        <v>1208014000</v>
      </c>
      <c r="AD7041" s="28">
        <v>197905000</v>
      </c>
      <c r="AE7041" s="28">
        <v>4454263000</v>
      </c>
      <c r="AF7041" s="28">
        <v>26391000</v>
      </c>
      <c r="AG7041" s="11"/>
    </row>
    <row r="7042">
      <c r="A7042" s="7" t="s">
        <v>8603</v>
      </c>
      <c r="B7042" s="5" t="s">
        <v>16534</v>
      </c>
      <c r="C7042" s="5" t="s">
        <v>24158</v>
      </c>
      <c r="D7042" s="5" t="str">
        <v>773462554267</v>
      </c>
      <c r="E7042" s="0" t="e">
        <f>+7 (495) 5648713
+7 (495) 5648714
+7 (495) 7838587
+7 (800) 7755714
+7 (495) 5648712</f>
        <v>#NAME?</v>
      </c>
      <c r="F7042" s="5" t="s">
        <v>45816</v>
      </c>
      <c r="G7042" s="5" t="s">
        <v>45817</v>
      </c>
      <c r="H7042" s="26">
        <v>27.5</v>
      </c>
      <c r="I7042" s="5" t="s">
        <v>45818</v>
      </c>
      <c r="J7042" s="5" t="s">
        <v>599</v>
      </c>
      <c r="K7042" s="5" t="s">
        <v>344</v>
      </c>
      <c r="L7042" s="5" t="s">
        <v>45819</v>
      </c>
      <c r="M7042" s="27">
        <v>1396755</v>
      </c>
      <c r="N7042" s="5" t="s">
        <v>59815</v>
      </c>
      <c r="O7042" s="5" t="str">
        <v>5024028131</v>
      </c>
      <c r="P7042" s="27">
        <v>4211000</v>
      </c>
      <c r="Q7042" s="5" t="s">
        <v>49009</v>
      </c>
      <c r="R7042" s="5"/>
      <c r="S7042" s="5" t="s">
        <v>49045</v>
      </c>
      <c r="T7042" s="28">
        <v>3523610000</v>
      </c>
      <c r="U7042" s="28">
        <v>11745000</v>
      </c>
      <c r="V7042" s="28">
        <v>1437294000</v>
      </c>
      <c r="W7042" s="28"/>
      <c r="X7042" s="28">
        <v>503242000</v>
      </c>
      <c r="Y7042" s="28">
        <v>5733142000</v>
      </c>
      <c r="Z7042" s="28">
        <v>3303858000</v>
      </c>
      <c r="AA7042" s="28"/>
      <c r="AB7042" s="28"/>
      <c r="AC7042" s="28">
        <v>1501737000</v>
      </c>
      <c r="AD7042" s="28">
        <v>3375537000</v>
      </c>
      <c r="AE7042" s="28">
        <v>12178508000</v>
      </c>
      <c r="AF7042" s="28">
        <v>363511000</v>
      </c>
      <c r="AG7042" s="11"/>
    </row>
    <row r="7043">
      <c r="A7043" s="7" t="s">
        <v>8604</v>
      </c>
      <c r="B7043" s="5" t="s">
        <v>16535</v>
      </c>
      <c r="C7043" s="5" t="s">
        <v>24159</v>
      </c>
      <c r="D7043" s="5" t="str">
        <v>773300694630</v>
      </c>
      <c r="E7043" s="0" t="e">
        <f>+7 (495) 6198354
+7 (499) 9951729
+7 (916) 9695849</f>
        <v>#NAME?</v>
      </c>
      <c r="F7043" s="5" t="s">
        <v>45820</v>
      </c>
      <c r="G7043" s="5"/>
      <c r="H7043" s="26">
        <v>21.5</v>
      </c>
      <c r="I7043" s="5" t="s">
        <v>45821</v>
      </c>
      <c r="J7043" s="5" t="s">
        <v>26905</v>
      </c>
      <c r="K7043" s="5" t="s">
        <v>344</v>
      </c>
      <c r="L7043" s="5"/>
      <c r="M7043" s="27">
        <v>271500</v>
      </c>
      <c r="N7043" s="5" t="s">
        <v>59817</v>
      </c>
      <c r="O7043" s="5" t="str">
        <v>5029060347</v>
      </c>
      <c r="P7043" s="27">
        <v>50000000</v>
      </c>
      <c r="Q7043" s="5" t="s">
        <v>59818</v>
      </c>
      <c r="R7043" s="5" t="s">
        <v>59819</v>
      </c>
      <c r="S7043" s="5" t="s">
        <v>59820</v>
      </c>
      <c r="T7043" s="28">
        <v>2420160000</v>
      </c>
      <c r="U7043" s="28">
        <v>145134000</v>
      </c>
      <c r="V7043" s="28">
        <v>2218686000</v>
      </c>
      <c r="W7043" s="28">
        <v>51008000</v>
      </c>
      <c r="X7043" s="28">
        <v>7444000</v>
      </c>
      <c r="Y7043" s="28">
        <v>6520493000</v>
      </c>
      <c r="Z7043" s="28">
        <v>144456000</v>
      </c>
      <c r="AA7043" s="28"/>
      <c r="AB7043" s="28"/>
      <c r="AC7043" s="28">
        <v>3670692000</v>
      </c>
      <c r="AD7043" s="28">
        <v>194456000</v>
      </c>
      <c r="AE7043" s="28">
        <v>42620449000</v>
      </c>
      <c r="AF7043" s="28">
        <v>78840000</v>
      </c>
      <c r="AG7043" s="11"/>
    </row>
    <row r="7044">
      <c r="A7044" s="7" t="s">
        <v>8605</v>
      </c>
      <c r="B7044" s="5" t="s">
        <v>16536</v>
      </c>
      <c r="C7044" s="5" t="s">
        <v>24160</v>
      </c>
      <c r="D7044" s="5" t="str">
        <v>770100346870</v>
      </c>
      <c r="E7044" s="0" t="e">
        <f>+7 (499) 9036600
+7 (495) 6198354</f>
        <v>#NAME?</v>
      </c>
      <c r="F7044" s="5"/>
      <c r="G7044" s="5"/>
      <c r="H7044" s="26">
        <v>21.5</v>
      </c>
      <c r="I7044" s="5"/>
      <c r="J7044" s="5" t="s">
        <v>364</v>
      </c>
      <c r="K7044" s="5" t="s">
        <v>380</v>
      </c>
      <c r="L7044" s="5"/>
      <c r="M7044" s="27"/>
      <c r="N7044" s="5"/>
      <c r="O7044" s="5" t="str">
        <v>7715297962</v>
      </c>
      <c r="P7044" s="27">
        <v>50000000</v>
      </c>
      <c r="Q7044" s="5" t="s">
        <v>49324</v>
      </c>
      <c r="R7044" s="5" t="s">
        <v>59821</v>
      </c>
      <c r="S7044" s="5" t="s">
        <v>49457</v>
      </c>
      <c r="T7044" s="28">
        <v>4841000</v>
      </c>
      <c r="U7044" s="28"/>
      <c r="V7044" s="28">
        <v>5083313000</v>
      </c>
      <c r="W7044" s="28">
        <v>2181354000</v>
      </c>
      <c r="X7044" s="28">
        <v>1351000</v>
      </c>
      <c r="Y7044" s="28">
        <v>11953954000</v>
      </c>
      <c r="Z7044" s="28">
        <v>557922000</v>
      </c>
      <c r="AA7044" s="28">
        <v>3567161000</v>
      </c>
      <c r="AB7044" s="28">
        <v>237615000</v>
      </c>
      <c r="AC7044" s="28">
        <v>7612033000</v>
      </c>
      <c r="AD7044" s="28">
        <v>747444000</v>
      </c>
      <c r="AE7044" s="28">
        <v>28063593000</v>
      </c>
      <c r="AF7044" s="28">
        <v>658011000</v>
      </c>
      <c r="AG7044" s="11"/>
    </row>
    <row r="7045">
      <c r="A7045" s="7" t="s">
        <v>8606</v>
      </c>
      <c r="B7045" s="5" t="s">
        <v>16537</v>
      </c>
      <c r="C7045" s="5" t="s">
        <v>24161</v>
      </c>
      <c r="D7045" s="5" t="str">
        <v>772826683051</v>
      </c>
      <c r="E7045" s="0" t="e">
        <f>+7 (495) 1270127
+7 (495) 9831149
+7 (800) 2000084
+7 (800) 5512527
+7 (903) 7909771</f>
        <v>#NAME?</v>
      </c>
      <c r="F7045" s="5" t="s">
        <v>45822</v>
      </c>
      <c r="G7045" s="5"/>
      <c r="H7045" s="26">
        <v>7</v>
      </c>
      <c r="I7045" s="5" t="s">
        <v>45823</v>
      </c>
      <c r="J7045" s="5" t="s">
        <v>25195</v>
      </c>
      <c r="K7045" s="5" t="s">
        <v>344</v>
      </c>
      <c r="L7045" s="5"/>
      <c r="M7045" s="27"/>
      <c r="N7045" s="5"/>
      <c r="O7045" s="5" t="str">
        <v>7719433140</v>
      </c>
      <c r="P7045" s="27">
        <v>500000</v>
      </c>
      <c r="Q7045" s="5" t="s">
        <v>49009</v>
      </c>
      <c r="R7045" s="5"/>
      <c r="S7045" s="5" t="s">
        <v>49066</v>
      </c>
      <c r="T7045" s="28">
        <v>4909261000</v>
      </c>
      <c r="U7045" s="28"/>
      <c r="V7045" s="28">
        <v>491008000</v>
      </c>
      <c r="W7045" s="28"/>
      <c r="X7045" s="28">
        <v>215479000</v>
      </c>
      <c r="Y7045" s="28">
        <v>8092471000</v>
      </c>
      <c r="Z7045" s="28">
        <v>572781000</v>
      </c>
      <c r="AA7045" s="28">
        <v>89600000</v>
      </c>
      <c r="AB7045" s="28">
        <v>1216380000</v>
      </c>
      <c r="AC7045" s="28">
        <v>2288489000</v>
      </c>
      <c r="AD7045" s="28">
        <v>573281000</v>
      </c>
      <c r="AE7045" s="28">
        <v>8157238000</v>
      </c>
      <c r="AF7045" s="28">
        <v>271229000</v>
      </c>
      <c r="AG7045" s="11"/>
    </row>
    <row r="7046">
      <c r="A7046" s="7" t="s">
        <v>8607</v>
      </c>
      <c r="B7046" s="5" t="s">
        <v>16538</v>
      </c>
      <c r="C7046" s="5" t="s">
        <v>24162</v>
      </c>
      <c r="D7046" s="5" t="str">
        <v>542306758250</v>
      </c>
      <c r="F7046" s="5"/>
      <c r="G7046" s="5"/>
      <c r="H7046" s="26">
        <v>10.5</v>
      </c>
      <c r="I7046" s="5" t="s">
        <v>45824</v>
      </c>
      <c r="J7046" s="5" t="s">
        <v>1026</v>
      </c>
      <c r="K7046" s="5" t="s">
        <v>344</v>
      </c>
      <c r="L7046" s="5" t="s">
        <v>45825</v>
      </c>
      <c r="M7046" s="27"/>
      <c r="N7046" s="5" t="s">
        <v>59822</v>
      </c>
      <c r="O7046" s="5" t="str">
        <v>5407477533</v>
      </c>
      <c r="P7046" s="27">
        <v>10000</v>
      </c>
      <c r="Q7046" s="5" t="s">
        <v>49009</v>
      </c>
      <c r="R7046" s="5"/>
      <c r="S7046" s="5" t="s">
        <v>49116</v>
      </c>
      <c r="T7046" s="28">
        <v>584000</v>
      </c>
      <c r="U7046" s="28"/>
      <c r="V7046" s="28">
        <v>455731000</v>
      </c>
      <c r="W7046" s="28">
        <v>18345000</v>
      </c>
      <c r="X7046" s="28">
        <v>34873000</v>
      </c>
      <c r="Y7046" s="28">
        <v>1343191000</v>
      </c>
      <c r="Z7046" s="28">
        <v>794087000</v>
      </c>
      <c r="AA7046" s="28"/>
      <c r="AB7046" s="28"/>
      <c r="AC7046" s="28">
        <v>549095000</v>
      </c>
      <c r="AD7046" s="28">
        <v>794097000</v>
      </c>
      <c r="AE7046" s="28">
        <v>5188276000</v>
      </c>
      <c r="AF7046" s="28">
        <v>411799000</v>
      </c>
      <c r="AG7046" s="11"/>
    </row>
    <row r="7047">
      <c r="A7047" s="7" t="s">
        <v>8608</v>
      </c>
      <c r="B7047" s="5" t="s">
        <v>16539</v>
      </c>
      <c r="C7047" s="5" t="s">
        <v>24163</v>
      </c>
      <c r="D7047" s="5" t="str">
        <v>645206092422</v>
      </c>
      <c r="F7047" s="5"/>
      <c r="G7047" s="5"/>
      <c r="H7047" s="26">
        <v>8.5</v>
      </c>
      <c r="I7047" s="5" t="s">
        <v>45826</v>
      </c>
      <c r="J7047" s="5" t="s">
        <v>27497</v>
      </c>
      <c r="K7047" s="5" t="s">
        <v>344</v>
      </c>
      <c r="L7047" s="5" t="s">
        <v>45827</v>
      </c>
      <c r="M7047" s="27"/>
      <c r="N7047" s="5" t="s">
        <v>59823</v>
      </c>
      <c r="O7047" s="5" t="str">
        <v>6319186880</v>
      </c>
      <c r="P7047" s="27">
        <v>100000</v>
      </c>
      <c r="Q7047" s="5"/>
      <c r="R7047" s="5"/>
      <c r="S7047" s="5" t="s">
        <v>49047</v>
      </c>
      <c r="T7047" s="28">
        <v>7613000</v>
      </c>
      <c r="U7047" s="28"/>
      <c r="V7047" s="28">
        <v>198870000</v>
      </c>
      <c r="W7047" s="28"/>
      <c r="X7047" s="28">
        <v>61001000</v>
      </c>
      <c r="Y7047" s="28">
        <v>493254000</v>
      </c>
      <c r="Z7047" s="28">
        <v>16613000</v>
      </c>
      <c r="AA7047" s="28">
        <v>298068000</v>
      </c>
      <c r="AB7047" s="28">
        <v>39635000</v>
      </c>
      <c r="AC7047" s="28">
        <v>170345000</v>
      </c>
      <c r="AD7047" s="28">
        <v>16713000</v>
      </c>
      <c r="AE7047" s="28">
        <v>4741537000</v>
      </c>
      <c r="AF7047" s="28">
        <v>10973000</v>
      </c>
      <c r="AG7047" s="11"/>
    </row>
    <row r="7048">
      <c r="A7048" s="7" t="s">
        <v>8609</v>
      </c>
      <c r="B7048" s="5" t="s">
        <v>9760</v>
      </c>
      <c r="C7048" s="5" t="s">
        <v>21307</v>
      </c>
      <c r="D7048" s="5"/>
      <c r="E7048" s="0" t="e">
        <f>+7 (492) 2353574</f>
        <v>#NAME?</v>
      </c>
      <c r="F7048" s="5" t="s">
        <v>45828</v>
      </c>
      <c r="G7048" s="5"/>
      <c r="H7048" s="26">
        <v>18</v>
      </c>
      <c r="I7048" s="5" t="s">
        <v>45829</v>
      </c>
      <c r="J7048" s="5" t="s">
        <v>30931</v>
      </c>
      <c r="K7048" s="5" t="s">
        <v>344</v>
      </c>
      <c r="L7048" s="5" t="s">
        <v>45830</v>
      </c>
      <c r="M7048" s="27"/>
      <c r="N7048" s="5"/>
      <c r="O7048" s="5" t="str">
        <v>3328434156</v>
      </c>
      <c r="P7048" s="27">
        <v>10000</v>
      </c>
      <c r="Q7048" s="5" t="s">
        <v>49009</v>
      </c>
      <c r="R7048" s="5"/>
      <c r="S7048" s="5" t="s">
        <v>49010</v>
      </c>
      <c r="T7048" s="28">
        <v>874399000</v>
      </c>
      <c r="U7048" s="28"/>
      <c r="V7048" s="28">
        <v>9444726000</v>
      </c>
      <c r="W7048" s="28"/>
      <c r="X7048" s="28">
        <v>1910388000</v>
      </c>
      <c r="Y7048" s="28">
        <v>13146237000</v>
      </c>
      <c r="Z7048" s="28">
        <v>179669000</v>
      </c>
      <c r="AA7048" s="28"/>
      <c r="AB7048" s="28">
        <v>501757000</v>
      </c>
      <c r="AC7048" s="28">
        <v>12311133000</v>
      </c>
      <c r="AD7048" s="28">
        <v>179680000</v>
      </c>
      <c r="AE7048" s="28">
        <v>74175622000</v>
      </c>
      <c r="AF7048" s="28">
        <v>4009000</v>
      </c>
      <c r="AG7048" s="11"/>
    </row>
    <row r="7049">
      <c r="A7049" s="7" t="s">
        <v>8610</v>
      </c>
      <c r="B7049" s="5" t="s">
        <v>16540</v>
      </c>
      <c r="C7049" s="5" t="s">
        <v>24164</v>
      </c>
      <c r="D7049" s="5" t="str">
        <v>507492444075</v>
      </c>
      <c r="E7049" s="0" t="e">
        <f>+7 (495) 9682987</f>
        <v>#NAME?</v>
      </c>
      <c r="F7049" s="5" t="s">
        <v>45831</v>
      </c>
      <c r="G7049" s="5"/>
      <c r="H7049" s="26">
        <v>4</v>
      </c>
      <c r="I7049" s="5" t="s">
        <v>45832</v>
      </c>
      <c r="J7049" s="5" t="s">
        <v>25353</v>
      </c>
      <c r="K7049" s="5" t="s">
        <v>344</v>
      </c>
      <c r="L7049" s="5" t="s">
        <v>45833</v>
      </c>
      <c r="M7049" s="27"/>
      <c r="N7049" s="5"/>
      <c r="O7049" s="5" t="str">
        <v>6732178000</v>
      </c>
      <c r="P7049" s="27">
        <v>100000</v>
      </c>
      <c r="Q7049" s="5" t="s">
        <v>49009</v>
      </c>
      <c r="R7049" s="5"/>
      <c r="S7049" s="5" t="s">
        <v>49010</v>
      </c>
      <c r="T7049" s="28">
        <v>5927000</v>
      </c>
      <c r="U7049" s="28"/>
      <c r="V7049" s="28">
        <v>419181000</v>
      </c>
      <c r="W7049" s="28">
        <v>11328000</v>
      </c>
      <c r="X7049" s="28">
        <v>76214000</v>
      </c>
      <c r="Y7049" s="28">
        <v>735666000</v>
      </c>
      <c r="Z7049" s="28">
        <v>564111000</v>
      </c>
      <c r="AA7049" s="28"/>
      <c r="AB7049" s="28"/>
      <c r="AC7049" s="28">
        <v>171435000</v>
      </c>
      <c r="AD7049" s="28">
        <v>564211000</v>
      </c>
      <c r="AE7049" s="28">
        <v>3653251000</v>
      </c>
      <c r="AF7049" s="28">
        <v>406886000</v>
      </c>
      <c r="AG7049" s="11"/>
    </row>
    <row r="7050">
      <c r="A7050" s="7" t="s">
        <v>8611</v>
      </c>
      <c r="B7050" s="5" t="s">
        <v>16541</v>
      </c>
      <c r="C7050" s="5" t="s">
        <v>24165</v>
      </c>
      <c r="D7050" s="5" t="str">
        <v>616512914875</v>
      </c>
      <c r="E7050" s="0" t="e">
        <f>+7 (495) 3748888</f>
        <v>#NAME?</v>
      </c>
      <c r="F7050" s="5" t="s">
        <v>45834</v>
      </c>
      <c r="G7050" s="5" t="s">
        <v>45835</v>
      </c>
      <c r="H7050" s="26">
        <v>2.5</v>
      </c>
      <c r="I7050" s="5" t="s">
        <v>45836</v>
      </c>
      <c r="J7050" s="5" t="s">
        <v>25559</v>
      </c>
      <c r="K7050" s="5" t="s">
        <v>344</v>
      </c>
      <c r="L7050" s="5" t="s">
        <v>45837</v>
      </c>
      <c r="M7050" s="27"/>
      <c r="N7050" s="5"/>
      <c r="O7050" s="5" t="str">
        <v>7726466429</v>
      </c>
      <c r="P7050" s="27">
        <v>400000</v>
      </c>
      <c r="Q7050" s="5" t="s">
        <v>49009</v>
      </c>
      <c r="R7050" s="5"/>
      <c r="S7050" s="5" t="s">
        <v>49010</v>
      </c>
      <c r="T7050" s="28">
        <v>174408000</v>
      </c>
      <c r="U7050" s="28"/>
      <c r="V7050" s="28">
        <v>33860000</v>
      </c>
      <c r="W7050" s="28"/>
      <c r="X7050" s="28">
        <v>53881000</v>
      </c>
      <c r="Y7050" s="28">
        <v>547923000</v>
      </c>
      <c r="Z7050" s="28">
        <v>138568000</v>
      </c>
      <c r="AA7050" s="28">
        <v>20000</v>
      </c>
      <c r="AB7050" s="28"/>
      <c r="AC7050" s="28">
        <v>196103000</v>
      </c>
      <c r="AD7050" s="28">
        <v>138968000</v>
      </c>
      <c r="AE7050" s="28">
        <v>9997765000</v>
      </c>
      <c r="AF7050" s="28">
        <v>54134000</v>
      </c>
      <c r="AG7050" s="11"/>
    </row>
    <row r="7051">
      <c r="A7051" s="7" t="s">
        <v>8612</v>
      </c>
      <c r="B7051" s="5" t="s">
        <v>16542</v>
      </c>
      <c r="C7051" s="5" t="s">
        <v>24166</v>
      </c>
      <c r="D7051" s="5" t="str">
        <v>140204425088</v>
      </c>
      <c r="E7051" s="0" t="e">
        <f>+7 (800) 6007882
+7 (812) 3200882</f>
        <v>#NAME?</v>
      </c>
      <c r="F7051" s="5" t="s">
        <v>45838</v>
      </c>
      <c r="G7051" s="5" t="s">
        <v>45839</v>
      </c>
      <c r="H7051" s="26">
        <v>6.5</v>
      </c>
      <c r="I7051" s="5" t="s">
        <v>45840</v>
      </c>
      <c r="J7051" s="5" t="s">
        <v>25530</v>
      </c>
      <c r="K7051" s="5" t="s">
        <v>344</v>
      </c>
      <c r="L7051" s="5" t="s">
        <v>45841</v>
      </c>
      <c r="M7051" s="27"/>
      <c r="N7051" s="5" t="s">
        <v>59825</v>
      </c>
      <c r="O7051" s="5" t="str">
        <v>7838058932</v>
      </c>
      <c r="P7051" s="27">
        <v>10000</v>
      </c>
      <c r="Q7051" s="5" t="s">
        <v>49021</v>
      </c>
      <c r="R7051" s="5"/>
      <c r="S7051" s="5" t="s">
        <v>59826</v>
      </c>
      <c r="T7051" s="28">
        <v>437589000</v>
      </c>
      <c r="U7051" s="28"/>
      <c r="V7051" s="28">
        <v>300115000</v>
      </c>
      <c r="W7051" s="28"/>
      <c r="X7051" s="28">
        <v>40139000</v>
      </c>
      <c r="Y7051" s="28">
        <v>3078930000</v>
      </c>
      <c r="Z7051" s="28">
        <v>1697309000</v>
      </c>
      <c r="AA7051" s="28"/>
      <c r="AB7051" s="28">
        <v>764173000</v>
      </c>
      <c r="AC7051" s="28">
        <v>1381593000</v>
      </c>
      <c r="AD7051" s="28">
        <v>1697319000</v>
      </c>
      <c r="AE7051" s="28">
        <v>4713389000</v>
      </c>
      <c r="AF7051" s="28">
        <v>777873000</v>
      </c>
      <c r="AG7051" s="11"/>
    </row>
    <row r="7052">
      <c r="A7052" s="7" t="s">
        <v>8613</v>
      </c>
      <c r="B7052" s="5" t="s">
        <v>16543</v>
      </c>
      <c r="C7052" s="5" t="s">
        <v>24167</v>
      </c>
      <c r="D7052" s="5" t="str">
        <v>027204323686</v>
      </c>
      <c r="E7052" s="0" t="e">
        <f>+7 (495) 6617470
+7 (495) 6617440</f>
        <v>#NAME?</v>
      </c>
      <c r="F7052" s="5" t="s">
        <v>45842</v>
      </c>
      <c r="G7052" s="5"/>
      <c r="H7052" s="26">
        <v>3.5</v>
      </c>
      <c r="I7052" s="5" t="s">
        <v>45843</v>
      </c>
      <c r="J7052" s="5" t="s">
        <v>373</v>
      </c>
      <c r="K7052" s="5" t="s">
        <v>344</v>
      </c>
      <c r="L7052" s="5"/>
      <c r="M7052" s="27"/>
      <c r="N7052" s="5" t="s">
        <v>59827</v>
      </c>
      <c r="O7052" s="5" t="str">
        <v>7704498561</v>
      </c>
      <c r="P7052" s="27">
        <v>1000000</v>
      </c>
      <c r="Q7052" s="5"/>
      <c r="R7052" s="5"/>
      <c r="S7052" s="5" t="s">
        <v>50936</v>
      </c>
      <c r="T7052" s="28">
        <v>495906000</v>
      </c>
      <c r="U7052" s="28"/>
      <c r="V7052" s="28">
        <v>123635000</v>
      </c>
      <c r="W7052" s="28"/>
      <c r="X7052" s="28">
        <v>32021000</v>
      </c>
      <c r="Y7052" s="28">
        <v>860602000</v>
      </c>
      <c r="Z7052" s="28">
        <v>42847000</v>
      </c>
      <c r="AA7052" s="28">
        <v>600000000</v>
      </c>
      <c r="AB7052" s="28">
        <v>68770000</v>
      </c>
      <c r="AC7052" s="28">
        <v>208650000</v>
      </c>
      <c r="AD7052" s="28">
        <v>43997000</v>
      </c>
      <c r="AE7052" s="28">
        <v>3036574000</v>
      </c>
      <c r="AF7052" s="28">
        <v>87962000</v>
      </c>
      <c r="AG7052" s="11"/>
    </row>
    <row r="7053">
      <c r="A7053" s="7" t="s">
        <v>8614</v>
      </c>
      <c r="B7053" s="5" t="s">
        <v>16544</v>
      </c>
      <c r="C7053" s="5" t="s">
        <v>24168</v>
      </c>
      <c r="D7053" s="5" t="str">
        <v>615014714279</v>
      </c>
      <c r="E7053" s="0" t="e">
        <f>+7 (925) 3409594
+7 (346) 2245064</f>
        <v>#NAME?</v>
      </c>
      <c r="F7053" s="5" t="s">
        <v>45844</v>
      </c>
      <c r="G7053" s="5"/>
      <c r="H7053" s="26">
        <v>4</v>
      </c>
      <c r="I7053" s="5" t="s">
        <v>45845</v>
      </c>
      <c r="J7053" s="5" t="s">
        <v>32442</v>
      </c>
      <c r="K7053" s="5" t="s">
        <v>355</v>
      </c>
      <c r="L7053" s="5" t="s">
        <v>45846</v>
      </c>
      <c r="M7053" s="27">
        <v>170804904</v>
      </c>
      <c r="N7053" s="5" t="s">
        <v>59828</v>
      </c>
      <c r="O7053" s="5" t="str">
        <v>8602289578</v>
      </c>
      <c r="P7053" s="27">
        <v>1000000</v>
      </c>
      <c r="Q7053" s="5" t="s">
        <v>59830</v>
      </c>
      <c r="R7053" s="5"/>
      <c r="S7053" s="5" t="s">
        <v>51006</v>
      </c>
      <c r="T7053" s="28">
        <v>487200000</v>
      </c>
      <c r="U7053" s="28">
        <v>10000</v>
      </c>
      <c r="V7053" s="28">
        <v>4055627000</v>
      </c>
      <c r="W7053" s="28">
        <v>31735000</v>
      </c>
      <c r="X7053" s="28">
        <v>56513000</v>
      </c>
      <c r="Y7053" s="28">
        <v>15089872000</v>
      </c>
      <c r="Z7053" s="28">
        <v>119177000</v>
      </c>
      <c r="AA7053" s="28"/>
      <c r="AB7053" s="28">
        <v>5000000</v>
      </c>
      <c r="AC7053" s="28">
        <v>14646827000</v>
      </c>
      <c r="AD7053" s="28">
        <v>120177000</v>
      </c>
      <c r="AE7053" s="28">
        <v>5713885000</v>
      </c>
      <c r="AF7053" s="28">
        <v>58825000</v>
      </c>
      <c r="AG7053" s="11"/>
    </row>
    <row r="7054">
      <c r="A7054" s="7" t="s">
        <v>8615</v>
      </c>
      <c r="B7054" s="5" t="s">
        <v>16545</v>
      </c>
      <c r="C7054" s="5" t="s">
        <v>24169</v>
      </c>
      <c r="D7054" s="5" t="str">
        <v>770300273429</v>
      </c>
      <c r="E7054" s="0" t="e">
        <f>+7 (495) 9515490
+7 (495) 9530171
+7 (495) 9532268
+7 (495) 9535975
+7 (495) 9537461</f>
        <v>#NAME?</v>
      </c>
      <c r="F7054" s="5" t="s">
        <v>45847</v>
      </c>
      <c r="G7054" s="5" t="s">
        <v>45848</v>
      </c>
      <c r="H7054" s="26">
        <v>27</v>
      </c>
      <c r="I7054" s="5"/>
      <c r="J7054" s="5" t="s">
        <v>34655</v>
      </c>
      <c r="K7054" s="5" t="s">
        <v>344</v>
      </c>
      <c r="L7054" s="5"/>
      <c r="M7054" s="27">
        <v>15357042</v>
      </c>
      <c r="N7054" s="5"/>
      <c r="O7054" s="5" t="str">
        <v>7705098679</v>
      </c>
      <c r="P7054" s="27">
        <v>11301260</v>
      </c>
      <c r="Q7054" s="5" t="s">
        <v>49009</v>
      </c>
      <c r="R7054" s="5"/>
      <c r="S7054" s="5" t="s">
        <v>49907</v>
      </c>
      <c r="T7054" s="28">
        <v>2001599000</v>
      </c>
      <c r="U7054" s="28">
        <v>5336994000</v>
      </c>
      <c r="V7054" s="28">
        <v>10331554000</v>
      </c>
      <c r="W7054" s="28"/>
      <c r="X7054" s="28">
        <v>1255238000</v>
      </c>
      <c r="Y7054" s="28">
        <v>28471759000</v>
      </c>
      <c r="Z7054" s="28">
        <v>14419062000</v>
      </c>
      <c r="AA7054" s="28"/>
      <c r="AB7054" s="28"/>
      <c r="AC7054" s="28">
        <v>13952876000</v>
      </c>
      <c r="AD7054" s="28">
        <v>14435811000</v>
      </c>
      <c r="AE7054" s="28">
        <v>44839926000</v>
      </c>
      <c r="AF7054" s="28">
        <v>361049000</v>
      </c>
      <c r="AG7054" s="11"/>
    </row>
    <row r="7055">
      <c r="A7055" s="7" t="s">
        <v>8616</v>
      </c>
      <c r="B7055" s="5" t="s">
        <v>16546</v>
      </c>
      <c r="C7055" s="5" t="s">
        <v>24170</v>
      </c>
      <c r="D7055" s="5" t="str">
        <v>744407768616</v>
      </c>
      <c r="E7055" s="0" t="e">
        <f>+7 (3512) 452020
+7 (3519) 438153
+7 (967) 8261765
+7 (3519) 213552
+7 (3519) 216121
+7 (3519) 438150
+7 (3519) 438157</f>
        <v>#NAME?</v>
      </c>
      <c r="F7055" s="5" t="s">
        <v>45849</v>
      </c>
      <c r="G7055" s="5"/>
      <c r="H7055" s="26">
        <v>18</v>
      </c>
      <c r="I7055" s="5" t="s">
        <v>45850</v>
      </c>
      <c r="J7055" s="5" t="s">
        <v>364</v>
      </c>
      <c r="K7055" s="5" t="s">
        <v>344</v>
      </c>
      <c r="L7055" s="5"/>
      <c r="M7055" s="27">
        <v>21795702</v>
      </c>
      <c r="N7055" s="5" t="s">
        <v>59831</v>
      </c>
      <c r="O7055" s="5" t="str">
        <v>7444043471</v>
      </c>
      <c r="P7055" s="27">
        <v>400000000</v>
      </c>
      <c r="Q7055" s="5" t="s">
        <v>59832</v>
      </c>
      <c r="R7055" s="5"/>
      <c r="S7055" s="5" t="s">
        <v>59833</v>
      </c>
      <c r="T7055" s="28">
        <v>570327000</v>
      </c>
      <c r="U7055" s="28">
        <v>37122000</v>
      </c>
      <c r="V7055" s="28">
        <v>3273331000</v>
      </c>
      <c r="W7055" s="28">
        <v>1039031000</v>
      </c>
      <c r="X7055" s="28">
        <v>158435000</v>
      </c>
      <c r="Y7055" s="28">
        <v>10442643000</v>
      </c>
      <c r="Z7055" s="28">
        <v>835874000</v>
      </c>
      <c r="AA7055" s="28">
        <v>2574962000</v>
      </c>
      <c r="AB7055" s="28">
        <v>1476657000</v>
      </c>
      <c r="AC7055" s="28">
        <v>6631807000</v>
      </c>
      <c r="AD7055" s="28">
        <v>1238679000</v>
      </c>
      <c r="AE7055" s="28">
        <v>3633786000</v>
      </c>
      <c r="AF7055" s="28">
        <v>935000</v>
      </c>
      <c r="AG7055" s="11"/>
    </row>
    <row r="7056">
      <c r="A7056" s="7" t="s">
        <v>8617</v>
      </c>
      <c r="B7056" s="5" t="s">
        <v>10382</v>
      </c>
      <c r="C7056" s="5" t="s">
        <v>24171</v>
      </c>
      <c r="D7056" s="5" t="str">
        <v>613702110524</v>
      </c>
      <c r="E7056" s="0" t="e">
        <f>+7 (916) 6002311
+7 (48255) 72448
+7 (495) 6452212
+7 (831) 2653626
+7 (915) 2520432</f>
        <v>#NAME?</v>
      </c>
      <c r="F7056" s="5" t="s">
        <v>45851</v>
      </c>
      <c r="G7056" s="5" t="s">
        <v>45852</v>
      </c>
      <c r="H7056" s="26">
        <v>18</v>
      </c>
      <c r="I7056" s="5" t="s">
        <v>45853</v>
      </c>
      <c r="J7056" s="5" t="s">
        <v>34655</v>
      </c>
      <c r="K7056" s="5" t="s">
        <v>380</v>
      </c>
      <c r="L7056" s="5"/>
      <c r="M7056" s="27">
        <v>464971</v>
      </c>
      <c r="N7056" s="5" t="s">
        <v>59834</v>
      </c>
      <c r="O7056" s="5" t="str">
        <v>6916013425</v>
      </c>
      <c r="P7056" s="27">
        <v>94037896</v>
      </c>
      <c r="Q7056" s="5" t="s">
        <v>59835</v>
      </c>
      <c r="R7056" s="5"/>
      <c r="S7056" s="5" t="s">
        <v>59836</v>
      </c>
      <c r="T7056" s="28">
        <v>643139000</v>
      </c>
      <c r="U7056" s="28">
        <v>736000</v>
      </c>
      <c r="V7056" s="28">
        <v>10134309000</v>
      </c>
      <c r="W7056" s="28"/>
      <c r="X7056" s="28">
        <v>5660509000</v>
      </c>
      <c r="Y7056" s="28">
        <v>24558214000</v>
      </c>
      <c r="Z7056" s="28">
        <v>-12185026000</v>
      </c>
      <c r="AA7056" s="28"/>
      <c r="AB7056" s="28">
        <v>11483085000</v>
      </c>
      <c r="AC7056" s="28">
        <v>24403928000</v>
      </c>
      <c r="AD7056" s="28">
        <v>149582000</v>
      </c>
      <c r="AE7056" s="28">
        <v>19829768000</v>
      </c>
      <c r="AF7056" s="28">
        <v>-4504499000</v>
      </c>
      <c r="AG7056" s="11"/>
    </row>
    <row r="7057">
      <c r="A7057" s="7" t="s">
        <v>8618</v>
      </c>
      <c r="B7057" s="5" t="s">
        <v>15288</v>
      </c>
      <c r="C7057" s="5" t="s">
        <v>24172</v>
      </c>
      <c r="D7057" s="5" t="str">
        <v>772028175544</v>
      </c>
      <c r="E7057" s="0" t="e">
        <f>+7 (495) 1206070
+7 (812) 6764565
+7 (985) 2229380
+7 (812) 2748848</f>
        <v>#NAME?</v>
      </c>
      <c r="F7057" s="5" t="s">
        <v>45854</v>
      </c>
      <c r="G7057" s="5" t="s">
        <v>45855</v>
      </c>
      <c r="H7057" s="26">
        <v>29.5</v>
      </c>
      <c r="I7057" s="5"/>
      <c r="J7057" s="5" t="s">
        <v>27182</v>
      </c>
      <c r="K7057" s="5" t="s">
        <v>344</v>
      </c>
      <c r="L7057" s="5" t="s">
        <v>27664</v>
      </c>
      <c r="M7057" s="27">
        <v>104333066</v>
      </c>
      <c r="N7057" s="5" t="s">
        <v>59837</v>
      </c>
      <c r="O7057" s="5" t="str">
        <v>7815012466</v>
      </c>
      <c r="P7057" s="27">
        <v>2942000</v>
      </c>
      <c r="Q7057" s="5" t="s">
        <v>59838</v>
      </c>
      <c r="R7057" s="5" t="s">
        <v>52775</v>
      </c>
      <c r="S7057" s="5" t="s">
        <v>59839</v>
      </c>
      <c r="T7057" s="28">
        <v>613481000</v>
      </c>
      <c r="U7057" s="28">
        <v>8114000</v>
      </c>
      <c r="V7057" s="28">
        <v>9273478000</v>
      </c>
      <c r="W7057" s="28">
        <v>146850000</v>
      </c>
      <c r="X7057" s="28">
        <v>372347000</v>
      </c>
      <c r="Y7057" s="28">
        <v>13820158000</v>
      </c>
      <c r="Z7057" s="28">
        <v>605250000</v>
      </c>
      <c r="AA7057" s="28">
        <v>255667000</v>
      </c>
      <c r="AB7057" s="28">
        <v>5908000</v>
      </c>
      <c r="AC7057" s="28">
        <v>12528177000</v>
      </c>
      <c r="AD7057" s="28">
        <v>729427000</v>
      </c>
      <c r="AE7057" s="28">
        <v>17593446000</v>
      </c>
      <c r="AF7057" s="28">
        <v>152094000</v>
      </c>
      <c r="AG7057" s="11"/>
    </row>
    <row r="7058">
      <c r="A7058" s="7" t="s">
        <v>8619</v>
      </c>
      <c r="B7058" s="5" t="s">
        <v>16547</v>
      </c>
      <c r="C7058" s="5" t="s">
        <v>24173</v>
      </c>
      <c r="D7058" s="5" t="str">
        <v>562002126861</v>
      </c>
      <c r="E7058" s="0" t="e">
        <f>+7 (343) 3743721
+7 (343) 3756150
+7 (922) 1176413</f>
        <v>#NAME?</v>
      </c>
      <c r="F7058" s="5" t="s">
        <v>45856</v>
      </c>
      <c r="G7058" s="5"/>
      <c r="H7058" s="26">
        <v>30.5</v>
      </c>
      <c r="I7058" s="5" t="s">
        <v>45857</v>
      </c>
      <c r="J7058" s="5" t="s">
        <v>467</v>
      </c>
      <c r="K7058" s="5" t="s">
        <v>344</v>
      </c>
      <c r="L7058" s="5" t="s">
        <v>45858</v>
      </c>
      <c r="M7058" s="27">
        <v>2219129</v>
      </c>
      <c r="N7058" s="5" t="s">
        <v>59840</v>
      </c>
      <c r="O7058" s="5" t="str">
        <v>6660001058</v>
      </c>
      <c r="P7058" s="27">
        <v>40019000</v>
      </c>
      <c r="Q7058" s="5" t="s">
        <v>59841</v>
      </c>
      <c r="R7058" s="5"/>
      <c r="S7058" s="5" t="s">
        <v>59842</v>
      </c>
      <c r="T7058" s="28">
        <v>598859000</v>
      </c>
      <c r="U7058" s="28">
        <v>3083000</v>
      </c>
      <c r="V7058" s="28">
        <v>1329712000</v>
      </c>
      <c r="W7058" s="28">
        <v>3670000</v>
      </c>
      <c r="X7058" s="28">
        <v>1611175000</v>
      </c>
      <c r="Y7058" s="28">
        <v>4205988000</v>
      </c>
      <c r="Z7058" s="28">
        <v>816867000</v>
      </c>
      <c r="AA7058" s="28"/>
      <c r="AB7058" s="28">
        <v>980778000</v>
      </c>
      <c r="AC7058" s="28">
        <v>3200765000</v>
      </c>
      <c r="AD7058" s="28">
        <v>905481000</v>
      </c>
      <c r="AE7058" s="28">
        <v>6759796000</v>
      </c>
      <c r="AF7058" s="28">
        <v>243284000</v>
      </c>
      <c r="AG7058" s="11"/>
    </row>
    <row r="7059">
      <c r="A7059" s="7" t="s">
        <v>8620</v>
      </c>
      <c r="B7059" s="5" t="s">
        <v>16548</v>
      </c>
      <c r="C7059" s="5" t="s">
        <v>24174</v>
      </c>
      <c r="D7059" s="5" t="str">
        <v>744812757445</v>
      </c>
      <c r="E7059" s="0" t="e">
        <f>+7 (812) 4301300
+7 (812) 6163143
+7 (812) 6163195
+7 (812) 6166457
+7 (812) 6166467
+7 (812) 6167908</f>
        <v>#NAME?</v>
      </c>
      <c r="F7059" s="5" t="s">
        <v>45859</v>
      </c>
      <c r="G7059" s="5" t="s">
        <v>45860</v>
      </c>
      <c r="H7059" s="26">
        <v>19</v>
      </c>
      <c r="I7059" s="5"/>
      <c r="J7059" s="5" t="s">
        <v>467</v>
      </c>
      <c r="K7059" s="5" t="s">
        <v>344</v>
      </c>
      <c r="L7059" s="5" t="s">
        <v>45861</v>
      </c>
      <c r="M7059" s="27">
        <v>12053473</v>
      </c>
      <c r="N7059" s="5" t="s">
        <v>59843</v>
      </c>
      <c r="O7059" s="5" t="str">
        <v>7840008449</v>
      </c>
      <c r="P7059" s="27">
        <v>10000</v>
      </c>
      <c r="Q7059" s="5" t="s">
        <v>59844</v>
      </c>
      <c r="R7059" s="5"/>
      <c r="S7059" s="5" t="s">
        <v>59845</v>
      </c>
      <c r="T7059" s="28">
        <v>74756000</v>
      </c>
      <c r="U7059" s="28"/>
      <c r="V7059" s="28">
        <v>1227465000</v>
      </c>
      <c r="W7059" s="28">
        <v>273430000</v>
      </c>
      <c r="X7059" s="28">
        <v>975167000</v>
      </c>
      <c r="Y7059" s="28">
        <v>2646495000</v>
      </c>
      <c r="Z7059" s="28">
        <v>287480000</v>
      </c>
      <c r="AA7059" s="28"/>
      <c r="AB7059" s="28">
        <v>2372000</v>
      </c>
      <c r="AC7059" s="28">
        <v>2323286000</v>
      </c>
      <c r="AD7059" s="28">
        <v>287490000</v>
      </c>
      <c r="AE7059" s="28">
        <v>3366078000</v>
      </c>
      <c r="AF7059" s="28">
        <v>100023000</v>
      </c>
      <c r="AG7059" s="11"/>
    </row>
    <row r="7060">
      <c r="A7060" s="7" t="s">
        <v>8621</v>
      </c>
      <c r="B7060" s="5" t="s">
        <v>16549</v>
      </c>
      <c r="C7060" s="5" t="s">
        <v>24175</v>
      </c>
      <c r="D7060" s="5" t="str">
        <v>771544242152</v>
      </c>
      <c r="E7060" s="0" t="e">
        <f>+7 (495) 1201075</f>
        <v>#NAME?</v>
      </c>
      <c r="F7060" s="5" t="s">
        <v>45862</v>
      </c>
      <c r="G7060" s="5" t="s">
        <v>45863</v>
      </c>
      <c r="H7060" s="26">
        <v>5</v>
      </c>
      <c r="I7060" s="5" t="s">
        <v>45864</v>
      </c>
      <c r="J7060" s="5" t="s">
        <v>1123</v>
      </c>
      <c r="K7060" s="5" t="s">
        <v>344</v>
      </c>
      <c r="L7060" s="5" t="s">
        <v>45865</v>
      </c>
      <c r="M7060" s="27"/>
      <c r="N7060" s="5"/>
      <c r="O7060" s="5" t="str">
        <v>7730240103</v>
      </c>
      <c r="P7060" s="27">
        <v>10000</v>
      </c>
      <c r="Q7060" s="5" t="s">
        <v>49009</v>
      </c>
      <c r="R7060" s="5"/>
      <c r="S7060" s="5" t="s">
        <v>49010</v>
      </c>
      <c r="T7060" s="28">
        <v>40755000</v>
      </c>
      <c r="U7060" s="28"/>
      <c r="V7060" s="28">
        <v>167618000</v>
      </c>
      <c r="W7060" s="28">
        <v>160000000</v>
      </c>
      <c r="X7060" s="28">
        <v>24768000</v>
      </c>
      <c r="Y7060" s="28">
        <v>989662000</v>
      </c>
      <c r="Z7060" s="28">
        <v>452734000</v>
      </c>
      <c r="AA7060" s="28">
        <v>92905000</v>
      </c>
      <c r="AB7060" s="28"/>
      <c r="AC7060" s="28">
        <v>444013000</v>
      </c>
      <c r="AD7060" s="28">
        <v>452744000</v>
      </c>
      <c r="AE7060" s="28">
        <v>3111959000</v>
      </c>
      <c r="AF7060" s="28">
        <v>128199000</v>
      </c>
      <c r="AG7060" s="11"/>
    </row>
    <row r="7061">
      <c r="A7061" s="7" t="s">
        <v>8622</v>
      </c>
      <c r="B7061" s="5" t="s">
        <v>16550</v>
      </c>
      <c r="C7061" s="5" t="s">
        <v>24176</v>
      </c>
      <c r="D7061" s="5" t="str">
        <v>781422298394</v>
      </c>
      <c r="E7061" s="0" t="e">
        <f>+7 (812) 2952774
+7 (812) 3820888
+7 (812) 4961958
+7 (812) 5917232
+7 (904) 6019642
+7 (911) 7441600
+7 (921) 9533362</f>
        <v>#NAME?</v>
      </c>
      <c r="F7061" s="5" t="s">
        <v>45866</v>
      </c>
      <c r="G7061" s="5"/>
      <c r="H7061" s="26">
        <v>30.5</v>
      </c>
      <c r="I7061" s="5"/>
      <c r="J7061" s="5" t="s">
        <v>36708</v>
      </c>
      <c r="K7061" s="5" t="s">
        <v>344</v>
      </c>
      <c r="L7061" s="5"/>
      <c r="M7061" s="27">
        <v>3060446</v>
      </c>
      <c r="N7061" s="5" t="s">
        <v>50908</v>
      </c>
      <c r="O7061" s="5" t="str">
        <v>7814010096</v>
      </c>
      <c r="P7061" s="27">
        <v>10862000</v>
      </c>
      <c r="Q7061" s="5" t="s">
        <v>59847</v>
      </c>
      <c r="R7061" s="5"/>
      <c r="S7061" s="5" t="s">
        <v>59848</v>
      </c>
      <c r="T7061" s="28">
        <v>12202799000</v>
      </c>
      <c r="U7061" s="28">
        <v>31000</v>
      </c>
      <c r="V7061" s="28">
        <v>3145833000</v>
      </c>
      <c r="W7061" s="28"/>
      <c r="X7061" s="28">
        <v>77944000</v>
      </c>
      <c r="Y7061" s="28">
        <v>16578940000</v>
      </c>
      <c r="Z7061" s="28">
        <v>1533865000</v>
      </c>
      <c r="AA7061" s="28">
        <v>8517709000</v>
      </c>
      <c r="AB7061" s="28">
        <v>2102365000</v>
      </c>
      <c r="AC7061" s="28">
        <v>3924804000</v>
      </c>
      <c r="AD7061" s="28">
        <v>1547521000</v>
      </c>
      <c r="AE7061" s="28">
        <v>7548375000</v>
      </c>
      <c r="AF7061" s="28">
        <v>612236000</v>
      </c>
      <c r="AG7061" s="11"/>
    </row>
    <row r="7062">
      <c r="A7062" s="7" t="s">
        <v>8623</v>
      </c>
      <c r="B7062" s="5" t="s">
        <v>16551</v>
      </c>
      <c r="C7062" s="5" t="s">
        <v>24177</v>
      </c>
      <c r="D7062" s="5" t="str">
        <v>631506185057</v>
      </c>
      <c r="E7062" s="0" t="e">
        <f>+7 (84235) 26480</f>
        <v>#NAME?</v>
      </c>
      <c r="F7062" s="5"/>
      <c r="G7062" s="5"/>
      <c r="H7062" s="26">
        <v>7.5</v>
      </c>
      <c r="I7062" s="5" t="s">
        <v>45867</v>
      </c>
      <c r="J7062" s="5" t="s">
        <v>26962</v>
      </c>
      <c r="K7062" s="5" t="s">
        <v>344</v>
      </c>
      <c r="L7062" s="5"/>
      <c r="M7062" s="27">
        <v>49745756</v>
      </c>
      <c r="N7062" s="5"/>
      <c r="O7062" s="5" t="str">
        <v>6319199159</v>
      </c>
      <c r="P7062" s="27">
        <v>10000</v>
      </c>
      <c r="Q7062" s="5" t="s">
        <v>49009</v>
      </c>
      <c r="R7062" s="5"/>
      <c r="S7062" s="5" t="s">
        <v>49884</v>
      </c>
      <c r="T7062" s="28">
        <v>16675000</v>
      </c>
      <c r="U7062" s="28"/>
      <c r="V7062" s="28">
        <v>5534582000</v>
      </c>
      <c r="W7062" s="28">
        <v>9935452000</v>
      </c>
      <c r="X7062" s="28">
        <v>3077860000</v>
      </c>
      <c r="Y7062" s="28">
        <v>20337996000</v>
      </c>
      <c r="Z7062" s="28">
        <v>931082000</v>
      </c>
      <c r="AA7062" s="28"/>
      <c r="AB7062" s="28">
        <v>7867000</v>
      </c>
      <c r="AC7062" s="28">
        <v>19406191000</v>
      </c>
      <c r="AD7062" s="28">
        <v>1137098000</v>
      </c>
      <c r="AE7062" s="28">
        <v>36399666000</v>
      </c>
      <c r="AF7062" s="28">
        <v>141576000</v>
      </c>
      <c r="AG7062" s="11"/>
    </row>
    <row r="7063">
      <c r="A7063" s="7" t="s">
        <v>8624</v>
      </c>
      <c r="B7063" s="5" t="s">
        <v>16552</v>
      </c>
      <c r="C7063" s="5" t="s">
        <v>24178</v>
      </c>
      <c r="D7063" s="5" t="str">
        <v>771976955707</v>
      </c>
      <c r="E7063" s="0" t="e">
        <f>+7 (495) 6210313
+7 (495) 9210313</f>
        <v>#NAME?</v>
      </c>
      <c r="F7063" s="5"/>
      <c r="G7063" s="5"/>
      <c r="H7063" s="26">
        <v>8.5</v>
      </c>
      <c r="I7063" s="5" t="s">
        <v>45868</v>
      </c>
      <c r="J7063" s="5" t="s">
        <v>26846</v>
      </c>
      <c r="K7063" s="5" t="s">
        <v>344</v>
      </c>
      <c r="L7063" s="5" t="s">
        <v>45869</v>
      </c>
      <c r="M7063" s="27"/>
      <c r="N7063" s="5" t="s">
        <v>59849</v>
      </c>
      <c r="O7063" s="5" t="str">
        <v>7718982300</v>
      </c>
      <c r="P7063" s="27">
        <v>50000</v>
      </c>
      <c r="Q7063" s="5" t="s">
        <v>49009</v>
      </c>
      <c r="R7063" s="5"/>
      <c r="S7063" s="5" t="s">
        <v>49010</v>
      </c>
      <c r="T7063" s="28">
        <v>7097000</v>
      </c>
      <c r="U7063" s="28"/>
      <c r="V7063" s="28">
        <v>1063203000</v>
      </c>
      <c r="W7063" s="28">
        <v>1053594000</v>
      </c>
      <c r="X7063" s="28">
        <v>3815000</v>
      </c>
      <c r="Y7063" s="28">
        <v>2529823000</v>
      </c>
      <c r="Z7063" s="28">
        <v>49596000</v>
      </c>
      <c r="AA7063" s="28"/>
      <c r="AB7063" s="28">
        <v>50000000</v>
      </c>
      <c r="AC7063" s="28">
        <v>2480177000</v>
      </c>
      <c r="AD7063" s="28">
        <v>49646000</v>
      </c>
      <c r="AE7063" s="28">
        <v>3851288000</v>
      </c>
      <c r="AF7063" s="28">
        <v>9541000</v>
      </c>
      <c r="AG7063" s="11"/>
    </row>
    <row r="7064">
      <c r="A7064" s="7" t="s">
        <v>8625</v>
      </c>
      <c r="B7064" s="5" t="s">
        <v>16553</v>
      </c>
      <c r="C7064" s="5" t="s">
        <v>24179</v>
      </c>
      <c r="D7064" s="5" t="str">
        <v>502708473900</v>
      </c>
      <c r="E7064" s="0" t="e">
        <f>+7 (3512) 4556
+7 (485) 2644441
+7 (800) 7772307
+7 (3517) 752856
+7 (495) 6870752
+7 (495) 6871050
+7 (495) 7853668
+7 (495) 7853688</f>
        <v>#NAME?</v>
      </c>
      <c r="F7064" s="5" t="s">
        <v>45870</v>
      </c>
      <c r="G7064" s="5" t="s">
        <v>45871</v>
      </c>
      <c r="H7064" s="26">
        <v>22</v>
      </c>
      <c r="I7064" s="5" t="s">
        <v>45872</v>
      </c>
      <c r="J7064" s="5" t="s">
        <v>678</v>
      </c>
      <c r="K7064" s="5" t="s">
        <v>344</v>
      </c>
      <c r="L7064" s="5" t="s">
        <v>45873</v>
      </c>
      <c r="M7064" s="27"/>
      <c r="N7064" s="5" t="s">
        <v>59850</v>
      </c>
      <c r="O7064" s="5" t="str">
        <v>7715270424</v>
      </c>
      <c r="P7064" s="27">
        <v>1010000</v>
      </c>
      <c r="Q7064" s="5" t="s">
        <v>49009</v>
      </c>
      <c r="R7064" s="5"/>
      <c r="S7064" s="5" t="s">
        <v>49487</v>
      </c>
      <c r="T7064" s="28">
        <v>254976000</v>
      </c>
      <c r="U7064" s="28">
        <v>61054000</v>
      </c>
      <c r="V7064" s="28">
        <v>555467000</v>
      </c>
      <c r="W7064" s="28"/>
      <c r="X7064" s="28">
        <v>19830000</v>
      </c>
      <c r="Y7064" s="28">
        <v>1571787000</v>
      </c>
      <c r="Z7064" s="28">
        <v>287035000</v>
      </c>
      <c r="AA7064" s="28">
        <v>28655000</v>
      </c>
      <c r="AB7064" s="28">
        <v>445327000</v>
      </c>
      <c r="AC7064" s="28">
        <v>989018000</v>
      </c>
      <c r="AD7064" s="28">
        <v>304035000</v>
      </c>
      <c r="AE7064" s="28">
        <v>4841878000</v>
      </c>
      <c r="AF7064" s="28">
        <v>60791000</v>
      </c>
      <c r="AG7064" s="11"/>
    </row>
    <row r="7065">
      <c r="A7065" s="7" t="s">
        <v>8626</v>
      </c>
      <c r="B7065" s="5" t="s">
        <v>16554</v>
      </c>
      <c r="C7065" s="5" t="s">
        <v>24180</v>
      </c>
      <c r="D7065" s="5" t="str">
        <v>524900353972</v>
      </c>
      <c r="E7065" s="0" t="e">
        <f>+7 (8313) 330722
+7 (8313) 322974
+7 (8313) 329857</f>
        <v>#NAME?</v>
      </c>
      <c r="F7065" s="5"/>
      <c r="G7065" s="5"/>
      <c r="H7065" s="26">
        <v>19.5</v>
      </c>
      <c r="I7065" s="5"/>
      <c r="J7065" s="5" t="s">
        <v>41534</v>
      </c>
      <c r="K7065" s="5"/>
      <c r="L7065" s="5"/>
      <c r="M7065" s="27"/>
      <c r="N7065" s="5"/>
      <c r="O7065" s="5" t="str">
        <v>5249069419</v>
      </c>
      <c r="P7065" s="27"/>
      <c r="Q7065" s="5"/>
      <c r="R7065" s="5"/>
      <c r="S7065" s="5" t="s">
        <v>49110</v>
      </c>
      <c r="T7065" s="28">
        <v>365952000</v>
      </c>
      <c r="U7065" s="28"/>
      <c r="V7065" s="28"/>
      <c r="W7065" s="28">
        <v>350573000</v>
      </c>
      <c r="X7065" s="28">
        <v>4565000</v>
      </c>
      <c r="Y7065" s="28">
        <v>4547000000</v>
      </c>
      <c r="Z7065" s="28">
        <v>-18987000000</v>
      </c>
      <c r="AA7065" s="28"/>
      <c r="AB7065" s="28">
        <v>5125000000</v>
      </c>
      <c r="AC7065" s="28">
        <v>23534000000</v>
      </c>
      <c r="AD7065" s="28">
        <v>-18987000000</v>
      </c>
      <c r="AE7065" s="28">
        <v>10395262000</v>
      </c>
      <c r="AF7065" s="28">
        <v>864353000</v>
      </c>
      <c r="AG7065" s="11"/>
    </row>
    <row r="7066">
      <c r="A7066" s="7" t="s">
        <v>8627</v>
      </c>
      <c r="B7066" s="5" t="s">
        <v>16555</v>
      </c>
      <c r="C7066" s="5" t="s">
        <v>24181</v>
      </c>
      <c r="D7066" s="5" t="str">
        <v>720301119019</v>
      </c>
      <c r="E7066" s="0" t="e">
        <f>+7 (345) 2213154
+7 (345) 2790708
+7 (345) 2790709
+7 (345) 2790710</f>
        <v>#NAME?</v>
      </c>
      <c r="F7066" s="5" t="s">
        <v>45874</v>
      </c>
      <c r="G7066" s="5" t="s">
        <v>45875</v>
      </c>
      <c r="H7066" s="26">
        <v>21</v>
      </c>
      <c r="I7066" s="5" t="s">
        <v>45876</v>
      </c>
      <c r="J7066" s="5" t="s">
        <v>26880</v>
      </c>
      <c r="K7066" s="5" t="s">
        <v>344</v>
      </c>
      <c r="L7066" s="5" t="s">
        <v>45877</v>
      </c>
      <c r="M7066" s="27"/>
      <c r="N7066" s="5" t="s">
        <v>59851</v>
      </c>
      <c r="O7066" s="5" t="str">
        <v>7203123924</v>
      </c>
      <c r="P7066" s="27">
        <v>90000000</v>
      </c>
      <c r="Q7066" s="5" t="s">
        <v>59852</v>
      </c>
      <c r="R7066" s="5" t="s">
        <v>59853</v>
      </c>
      <c r="S7066" s="5" t="s">
        <v>49047</v>
      </c>
      <c r="T7066" s="28">
        <v>75374000</v>
      </c>
      <c r="U7066" s="28"/>
      <c r="V7066" s="28">
        <v>181676000</v>
      </c>
      <c r="W7066" s="28">
        <v>3000000</v>
      </c>
      <c r="X7066" s="28">
        <v>168030000</v>
      </c>
      <c r="Y7066" s="28">
        <v>784281000</v>
      </c>
      <c r="Z7066" s="28">
        <v>284816000</v>
      </c>
      <c r="AA7066" s="28"/>
      <c r="AB7066" s="28"/>
      <c r="AC7066" s="28">
        <v>400186000</v>
      </c>
      <c r="AD7066" s="28">
        <v>374818000</v>
      </c>
      <c r="AE7066" s="28">
        <v>3992557000</v>
      </c>
      <c r="AF7066" s="28">
        <v>84063000</v>
      </c>
      <c r="AG7066" s="11"/>
    </row>
    <row r="7067">
      <c r="A7067" s="7" t="s">
        <v>8628</v>
      </c>
      <c r="B7067" s="5" t="s">
        <v>16556</v>
      </c>
      <c r="C7067" s="5" t="s">
        <v>24182</v>
      </c>
      <c r="D7067" s="5" t="str">
        <v>362706175884</v>
      </c>
      <c r="E7067" s="0" t="e">
        <f>+7 (495) 3102713</f>
        <v>#NAME?</v>
      </c>
      <c r="F7067" s="5"/>
      <c r="G7067" s="5"/>
      <c r="H7067" s="26">
        <v>19</v>
      </c>
      <c r="I7067" s="5" t="s">
        <v>45878</v>
      </c>
      <c r="J7067" s="5" t="s">
        <v>26148</v>
      </c>
      <c r="K7067" s="5" t="s">
        <v>355</v>
      </c>
      <c r="L7067" s="5"/>
      <c r="M7067" s="27">
        <v>1054396</v>
      </c>
      <c r="N7067" s="5"/>
      <c r="O7067" s="5" t="str">
        <v>5009045076</v>
      </c>
      <c r="P7067" s="27">
        <v>3089100000</v>
      </c>
      <c r="Q7067" s="5" t="s">
        <v>49059</v>
      </c>
      <c r="R7067" s="5"/>
      <c r="S7067" s="5" t="s">
        <v>49066</v>
      </c>
      <c r="T7067" s="28">
        <v>11251889000</v>
      </c>
      <c r="U7067" s="28">
        <v>100000</v>
      </c>
      <c r="V7067" s="28">
        <v>2052218000</v>
      </c>
      <c r="W7067" s="28"/>
      <c r="X7067" s="28">
        <v>8446000</v>
      </c>
      <c r="Y7067" s="28">
        <v>17281560000</v>
      </c>
      <c r="Z7067" s="28">
        <v>-967613000</v>
      </c>
      <c r="AA7067" s="28">
        <v>7802962000</v>
      </c>
      <c r="AB7067" s="28">
        <v>3199043000</v>
      </c>
      <c r="AC7067" s="28">
        <v>7104109000</v>
      </c>
      <c r="AD7067" s="28">
        <v>2202134000</v>
      </c>
      <c r="AE7067" s="28">
        <v>5316235000</v>
      </c>
      <c r="AF7067" s="28">
        <v>-759698000</v>
      </c>
      <c r="AG7067" s="11"/>
    </row>
    <row r="7068">
      <c r="A7068" s="7" t="s">
        <v>8629</v>
      </c>
      <c r="B7068" s="5" t="s">
        <v>16557</v>
      </c>
      <c r="C7068" s="5" t="s">
        <v>24183</v>
      </c>
      <c r="D7068" s="5" t="str">
        <v>780543911415</v>
      </c>
      <c r="F7068" s="5"/>
      <c r="G7068" s="5"/>
      <c r="H7068" s="26">
        <v>2</v>
      </c>
      <c r="I7068" s="5" t="s">
        <v>45879</v>
      </c>
      <c r="J7068" s="5" t="s">
        <v>31345</v>
      </c>
      <c r="K7068" s="5" t="s">
        <v>344</v>
      </c>
      <c r="L7068" s="5"/>
      <c r="M7068" s="27"/>
      <c r="N7068" s="5"/>
      <c r="O7068" s="5" t="str">
        <v>7810912960</v>
      </c>
      <c r="P7068" s="27">
        <v>250000000</v>
      </c>
      <c r="Q7068" s="5" t="s">
        <v>49207</v>
      </c>
      <c r="R7068" s="5"/>
      <c r="S7068" s="5" t="s">
        <v>49311</v>
      </c>
      <c r="T7068" s="28">
        <v>220000</v>
      </c>
      <c r="U7068" s="28">
        <v>40870000</v>
      </c>
      <c r="V7068" s="28">
        <v>379285000</v>
      </c>
      <c r="W7068" s="28">
        <v>5959000</v>
      </c>
      <c r="X7068" s="28">
        <v>285958000</v>
      </c>
      <c r="Y7068" s="28">
        <v>2132082000</v>
      </c>
      <c r="Z7068" s="28">
        <v>808071000</v>
      </c>
      <c r="AA7068" s="28"/>
      <c r="AB7068" s="28">
        <v>186590000</v>
      </c>
      <c r="AC7068" s="28">
        <v>1064186000</v>
      </c>
      <c r="AD7068" s="28">
        <v>1058071000</v>
      </c>
      <c r="AE7068" s="28">
        <v>5882574000</v>
      </c>
      <c r="AF7068" s="28">
        <v>657916000</v>
      </c>
      <c r="AG7068" s="11"/>
    </row>
    <row r="7069">
      <c r="A7069" s="7" t="s">
        <v>8630</v>
      </c>
      <c r="B7069" s="5" t="s">
        <v>16558</v>
      </c>
      <c r="C7069" s="5" t="s">
        <v>24184</v>
      </c>
      <c r="D7069" s="5" t="str">
        <v>165608321752</v>
      </c>
      <c r="F7069" s="5"/>
      <c r="G7069" s="5"/>
      <c r="H7069" s="26">
        <v>13.5</v>
      </c>
      <c r="I7069" s="5" t="s">
        <v>45880</v>
      </c>
      <c r="J7069" s="5" t="s">
        <v>373</v>
      </c>
      <c r="K7069" s="5" t="s">
        <v>344</v>
      </c>
      <c r="L7069" s="5" t="s">
        <v>45881</v>
      </c>
      <c r="M7069" s="27"/>
      <c r="N7069" s="5"/>
      <c r="O7069" s="5" t="str">
        <v>1660129411</v>
      </c>
      <c r="P7069" s="27">
        <v>30000</v>
      </c>
      <c r="Q7069" s="5" t="s">
        <v>49822</v>
      </c>
      <c r="R7069" s="5"/>
      <c r="S7069" s="5" t="s">
        <v>59854</v>
      </c>
      <c r="T7069" s="28">
        <v>202837000</v>
      </c>
      <c r="U7069" s="28"/>
      <c r="V7069" s="28">
        <v>1132410000</v>
      </c>
      <c r="W7069" s="28"/>
      <c r="X7069" s="28">
        <v>51000</v>
      </c>
      <c r="Y7069" s="28">
        <v>1590823000</v>
      </c>
      <c r="Z7069" s="28">
        <v>261716000</v>
      </c>
      <c r="AA7069" s="28"/>
      <c r="AB7069" s="28">
        <v>265616000</v>
      </c>
      <c r="AC7069" s="28">
        <v>1231375000</v>
      </c>
      <c r="AD7069" s="28">
        <v>343382000</v>
      </c>
      <c r="AE7069" s="28">
        <v>27702839000</v>
      </c>
      <c r="AF7069" s="28">
        <v>119346000</v>
      </c>
      <c r="AG7069" s="11"/>
    </row>
    <row r="7070">
      <c r="A7070" s="7" t="s">
        <v>8631</v>
      </c>
      <c r="B7070" s="5" t="s">
        <v>16559</v>
      </c>
      <c r="C7070" s="5" t="s">
        <v>24185</v>
      </c>
      <c r="D7070" s="5" t="str">
        <v>772503549309</v>
      </c>
      <c r="E7070" s="0" t="e">
        <f>+7 (495) 5895416
+7 (495) 7898026
+7 (343) 2863247
+7 (343) 2863248
+7 (383) 2871205
+7 (383) 3622210
+7 (401) 2777239
+7 (483) 2587370
+7 (483) 2717561
+7 (483) 2750018
+7 (495) 5696690
+7 (495) 7898027
+7 (800) 5557430
+7 (800) 7006690
+7 (812) 3725635</f>
        <v>#NAME?</v>
      </c>
      <c r="F7070" s="5"/>
      <c r="G7070" s="5" t="s">
        <v>45882</v>
      </c>
      <c r="H7070" s="26">
        <v>15</v>
      </c>
      <c r="I7070" s="5" t="s">
        <v>45883</v>
      </c>
      <c r="J7070" s="5" t="s">
        <v>25216</v>
      </c>
      <c r="K7070" s="5" t="s">
        <v>344</v>
      </c>
      <c r="L7070" s="5" t="s">
        <v>45884</v>
      </c>
      <c r="M7070" s="27"/>
      <c r="N7070" s="5"/>
      <c r="O7070" s="5" t="str">
        <v>5012045157</v>
      </c>
      <c r="P7070" s="27">
        <v>10000</v>
      </c>
      <c r="Q7070" s="5"/>
      <c r="R7070" s="5"/>
      <c r="S7070" s="5" t="s">
        <v>49029</v>
      </c>
      <c r="T7070" s="28">
        <v>24876000</v>
      </c>
      <c r="U7070" s="28"/>
      <c r="V7070" s="28">
        <v>419565000</v>
      </c>
      <c r="W7070" s="28"/>
      <c r="X7070" s="28">
        <v>789615000</v>
      </c>
      <c r="Y7070" s="28">
        <v>1676002000</v>
      </c>
      <c r="Z7070" s="28">
        <v>1519056000</v>
      </c>
      <c r="AA7070" s="28"/>
      <c r="AB7070" s="28"/>
      <c r="AC7070" s="28">
        <v>155260000</v>
      </c>
      <c r="AD7070" s="28">
        <v>1519066000</v>
      </c>
      <c r="AE7070" s="28">
        <v>3666784000</v>
      </c>
      <c r="AF7070" s="28">
        <v>336172000</v>
      </c>
      <c r="AG7070" s="11"/>
    </row>
    <row r="7071">
      <c r="A7071" s="7" t="s">
        <v>8632</v>
      </c>
      <c r="B7071" s="5" t="s">
        <v>16560</v>
      </c>
      <c r="C7071" s="5" t="s">
        <v>24186</v>
      </c>
      <c r="D7071" s="5" t="str">
        <v>771317349195</v>
      </c>
      <c r="E7071" s="0" t="e">
        <f>+7 (916) 9984197
+7 (926) 1772494
+7 (926) 4165047
+7 (966) 989661</f>
        <v>#NAME?</v>
      </c>
      <c r="F7071" s="5" t="s">
        <v>45885</v>
      </c>
      <c r="G7071" s="5"/>
      <c r="H7071" s="26">
        <v>5</v>
      </c>
      <c r="I7071" s="5" t="s">
        <v>45886</v>
      </c>
      <c r="J7071" s="5" t="s">
        <v>939</v>
      </c>
      <c r="K7071" s="5" t="s">
        <v>344</v>
      </c>
      <c r="L7071" s="5" t="s">
        <v>45887</v>
      </c>
      <c r="M7071" s="27"/>
      <c r="N7071" s="5" t="s">
        <v>59855</v>
      </c>
      <c r="O7071" s="5" t="str">
        <v>9729169717</v>
      </c>
      <c r="P7071" s="27">
        <v>50000</v>
      </c>
      <c r="Q7071" s="5" t="s">
        <v>59856</v>
      </c>
      <c r="R7071" s="5"/>
      <c r="S7071" s="5" t="s">
        <v>59857</v>
      </c>
      <c r="T7071" s="28">
        <v>20894000</v>
      </c>
      <c r="U7071" s="28"/>
      <c r="V7071" s="28">
        <v>1347116000</v>
      </c>
      <c r="W7071" s="28">
        <v>75000000</v>
      </c>
      <c r="X7071" s="28">
        <v>243045000</v>
      </c>
      <c r="Y7071" s="28">
        <v>2336635000</v>
      </c>
      <c r="Z7071" s="28">
        <v>315316000</v>
      </c>
      <c r="AA7071" s="28"/>
      <c r="AB7071" s="28"/>
      <c r="AC7071" s="28">
        <v>2003036000</v>
      </c>
      <c r="AD7071" s="28">
        <v>319452000</v>
      </c>
      <c r="AE7071" s="28">
        <v>5227256000</v>
      </c>
      <c r="AF7071" s="28">
        <v>106256000</v>
      </c>
      <c r="AG7071" s="11"/>
    </row>
    <row r="7072">
      <c r="A7072" s="7" t="s">
        <v>8632</v>
      </c>
      <c r="B7072" s="5" t="s">
        <v>16561</v>
      </c>
      <c r="C7072" s="5" t="s">
        <v>24187</v>
      </c>
      <c r="D7072" s="5" t="str">
        <v>505014383331</v>
      </c>
      <c r="E7072" s="0" t="e">
        <f>+7 (495) 1201727
+7 (915) 2031032
+7 (926) 4050286</f>
        <v>#NAME?</v>
      </c>
      <c r="F7072" s="5" t="s">
        <v>45888</v>
      </c>
      <c r="G7072" s="5"/>
      <c r="H7072" s="26">
        <v>13</v>
      </c>
      <c r="I7072" s="5" t="s">
        <v>45889</v>
      </c>
      <c r="J7072" s="5" t="s">
        <v>364</v>
      </c>
      <c r="K7072" s="5" t="s">
        <v>344</v>
      </c>
      <c r="L7072" s="5"/>
      <c r="M7072" s="27"/>
      <c r="N7072" s="5" t="s">
        <v>59858</v>
      </c>
      <c r="O7072" s="5" t="str">
        <v>7707725276</v>
      </c>
      <c r="P7072" s="27">
        <v>10000</v>
      </c>
      <c r="Q7072" s="5" t="s">
        <v>59859</v>
      </c>
      <c r="R7072" s="5"/>
      <c r="S7072" s="5" t="s">
        <v>59860</v>
      </c>
      <c r="T7072" s="28">
        <v>58218000</v>
      </c>
      <c r="U7072" s="28"/>
      <c r="V7072" s="28">
        <v>448510000</v>
      </c>
      <c r="W7072" s="28">
        <v>115000000</v>
      </c>
      <c r="X7072" s="28">
        <v>1035236000</v>
      </c>
      <c r="Y7072" s="28">
        <v>1913800000</v>
      </c>
      <c r="Z7072" s="28">
        <v>15195000</v>
      </c>
      <c r="AA7072" s="28"/>
      <c r="AB7072" s="28"/>
      <c r="AC7072" s="28">
        <v>1861227000</v>
      </c>
      <c r="AD7072" s="28">
        <v>15205000</v>
      </c>
      <c r="AE7072" s="28">
        <v>3797166000</v>
      </c>
      <c r="AF7072" s="28">
        <v>15815000</v>
      </c>
      <c r="AG7072" s="11"/>
    </row>
    <row r="7073">
      <c r="A7073" s="7" t="s">
        <v>8632</v>
      </c>
      <c r="B7073" s="5" t="s">
        <v>16562</v>
      </c>
      <c r="C7073" s="5" t="s">
        <v>24188</v>
      </c>
      <c r="D7073" s="5" t="str">
        <v>713602913440</v>
      </c>
      <c r="E7073" s="0" t="e">
        <f>+7 (985) 7285828</f>
        <v>#NAME?</v>
      </c>
      <c r="F7073" s="5" t="s">
        <v>45890</v>
      </c>
      <c r="G7073" s="5" t="s">
        <v>45891</v>
      </c>
      <c r="H7073" s="26">
        <v>16.5</v>
      </c>
      <c r="I7073" s="5" t="s">
        <v>45892</v>
      </c>
      <c r="J7073" s="5" t="s">
        <v>364</v>
      </c>
      <c r="K7073" s="5" t="s">
        <v>344</v>
      </c>
      <c r="L7073" s="5" t="s">
        <v>29524</v>
      </c>
      <c r="M7073" s="27">
        <v>78430665</v>
      </c>
      <c r="N7073" s="5" t="s">
        <v>59861</v>
      </c>
      <c r="O7073" s="5" t="str">
        <v>7701667758</v>
      </c>
      <c r="P7073" s="27">
        <v>210000</v>
      </c>
      <c r="Q7073" s="5" t="s">
        <v>59862</v>
      </c>
      <c r="R7073" s="5"/>
      <c r="S7073" s="5" t="s">
        <v>59863</v>
      </c>
      <c r="T7073" s="28">
        <v>81375000</v>
      </c>
      <c r="U7073" s="28"/>
      <c r="V7073" s="28">
        <v>1823067000</v>
      </c>
      <c r="W7073" s="28">
        <v>1012138000</v>
      </c>
      <c r="X7073" s="28">
        <v>1014125000</v>
      </c>
      <c r="Y7073" s="28">
        <v>5001055000</v>
      </c>
      <c r="Z7073" s="28">
        <v>212193000</v>
      </c>
      <c r="AA7073" s="28"/>
      <c r="AB7073" s="28">
        <v>225000000</v>
      </c>
      <c r="AC7073" s="28">
        <v>4754404000</v>
      </c>
      <c r="AD7073" s="28">
        <v>212403000</v>
      </c>
      <c r="AE7073" s="28">
        <v>6423175000</v>
      </c>
      <c r="AF7073" s="28">
        <v>73234000</v>
      </c>
      <c r="AG7073" s="11"/>
    </row>
    <row r="7074">
      <c r="A7074" s="7" t="s">
        <v>8633</v>
      </c>
      <c r="B7074" s="5" t="s">
        <v>16563</v>
      </c>
      <c r="C7074" s="5" t="s">
        <v>24189</v>
      </c>
      <c r="D7074" s="5" t="str">
        <v>666307587095</v>
      </c>
      <c r="E7074" s="0" t="e">
        <f>+7 (950) 6450808</f>
        <v>#NAME?</v>
      </c>
      <c r="F7074" s="5" t="s">
        <v>45893</v>
      </c>
      <c r="G7074" s="5"/>
      <c r="H7074" s="26">
        <v>8.5</v>
      </c>
      <c r="I7074" s="5" t="s">
        <v>45894</v>
      </c>
      <c r="J7074" s="5" t="s">
        <v>25190</v>
      </c>
      <c r="K7074" s="5" t="s">
        <v>344</v>
      </c>
      <c r="L7074" s="5" t="s">
        <v>43788</v>
      </c>
      <c r="M7074" s="27"/>
      <c r="N7074" s="5" t="s">
        <v>59864</v>
      </c>
      <c r="O7074" s="5" t="str">
        <v>6686055065</v>
      </c>
      <c r="P7074" s="27">
        <v>5000000</v>
      </c>
      <c r="Q7074" s="5" t="s">
        <v>59865</v>
      </c>
      <c r="R7074" s="5"/>
      <c r="S7074" s="5" t="s">
        <v>49204</v>
      </c>
      <c r="T7074" s="28">
        <v>2226000</v>
      </c>
      <c r="U7074" s="28"/>
      <c r="V7074" s="28">
        <v>535769000</v>
      </c>
      <c r="W7074" s="28">
        <v>22565000</v>
      </c>
      <c r="X7074" s="28">
        <v>364135000</v>
      </c>
      <c r="Y7074" s="28">
        <v>1239475000</v>
      </c>
      <c r="Z7074" s="28">
        <v>37345000</v>
      </c>
      <c r="AA7074" s="28"/>
      <c r="AB7074" s="28">
        <v>261229000</v>
      </c>
      <c r="AC7074" s="28">
        <v>1195243000</v>
      </c>
      <c r="AD7074" s="28">
        <v>42345000</v>
      </c>
      <c r="AE7074" s="28">
        <v>3702949000</v>
      </c>
      <c r="AF7074" s="28">
        <v>6118000</v>
      </c>
      <c r="AG7074" s="11"/>
    </row>
    <row r="7075">
      <c r="A7075" s="7" t="s">
        <v>8634</v>
      </c>
      <c r="B7075" s="5" t="s">
        <v>16357</v>
      </c>
      <c r="C7075" s="5" t="s">
        <v>21893</v>
      </c>
      <c r="D7075" s="5" t="str">
        <v>183400928748</v>
      </c>
      <c r="E7075" s="0" t="e">
        <f>+7 (382) 2561285
+7 (382) 2277872
+7 (382) 2277936
+7 (800) 2200220
+7 (382) 2277863
+7 (382) 2557983
+7 (382) 2738657
+7 (800) 2343822</f>
        <v>#NAME?</v>
      </c>
      <c r="F7075" s="5" t="s">
        <v>45895</v>
      </c>
      <c r="G7075" s="5" t="s">
        <v>45896</v>
      </c>
      <c r="H7075" s="26">
        <v>18</v>
      </c>
      <c r="I7075" s="5" t="s">
        <v>45897</v>
      </c>
      <c r="J7075" s="5" t="s">
        <v>27802</v>
      </c>
      <c r="K7075" s="5" t="s">
        <v>344</v>
      </c>
      <c r="L7075" s="5"/>
      <c r="M7075" s="27">
        <v>108597</v>
      </c>
      <c r="N7075" s="5" t="s">
        <v>59866</v>
      </c>
      <c r="O7075" s="5" t="str">
        <v>7017114672</v>
      </c>
      <c r="P7075" s="27">
        <v>2161077817</v>
      </c>
      <c r="Q7075" s="5" t="s">
        <v>59868</v>
      </c>
      <c r="R7075" s="5" t="s">
        <v>59869</v>
      </c>
      <c r="S7075" s="5" t="s">
        <v>51151</v>
      </c>
      <c r="T7075" s="28">
        <v>4576075000</v>
      </c>
      <c r="U7075" s="28"/>
      <c r="V7075" s="28">
        <v>616093000</v>
      </c>
      <c r="W7075" s="28"/>
      <c r="X7075" s="28">
        <v>256599000</v>
      </c>
      <c r="Y7075" s="28">
        <v>5871918000</v>
      </c>
      <c r="Z7075" s="28">
        <v>1885658000</v>
      </c>
      <c r="AA7075" s="28"/>
      <c r="AB7075" s="28"/>
      <c r="AC7075" s="28">
        <v>1312177000</v>
      </c>
      <c r="AD7075" s="28">
        <v>4155179000</v>
      </c>
      <c r="AE7075" s="28">
        <v>8405161000</v>
      </c>
      <c r="AF7075" s="28">
        <v>303180000</v>
      </c>
      <c r="AG7075" s="11"/>
    </row>
    <row r="7076">
      <c r="A7076" s="7" t="s">
        <v>8635</v>
      </c>
      <c r="B7076" s="5" t="s">
        <v>16564</v>
      </c>
      <c r="C7076" s="5" t="s">
        <v>24190</v>
      </c>
      <c r="D7076" s="5" t="str">
        <v>164407329654</v>
      </c>
      <c r="E7076" s="0" t="e">
        <f>+7 (855) 3302808
+7 (8553) 302806
+7 (8553) 314930
+7 (8553) 314931</f>
        <v>#NAME?</v>
      </c>
      <c r="F7076" s="5" t="s">
        <v>45898</v>
      </c>
      <c r="G7076" s="5"/>
      <c r="H7076" s="26">
        <v>20.5</v>
      </c>
      <c r="I7076" s="5"/>
      <c r="J7076" s="5" t="s">
        <v>26607</v>
      </c>
      <c r="K7076" s="5" t="s">
        <v>380</v>
      </c>
      <c r="L7076" s="5" t="s">
        <v>45899</v>
      </c>
      <c r="M7076" s="27"/>
      <c r="N7076" s="5"/>
      <c r="O7076" s="5" t="str">
        <v>1631002442</v>
      </c>
      <c r="P7076" s="27">
        <v>40020000</v>
      </c>
      <c r="Q7076" s="5" t="s">
        <v>56735</v>
      </c>
      <c r="R7076" s="5"/>
      <c r="S7076" s="5" t="s">
        <v>56736</v>
      </c>
      <c r="T7076" s="28">
        <v>3356724000</v>
      </c>
      <c r="U7076" s="28">
        <v>2876000</v>
      </c>
      <c r="V7076" s="28">
        <v>61164000</v>
      </c>
      <c r="W7076" s="28">
        <v>365000</v>
      </c>
      <c r="X7076" s="28">
        <v>32483000</v>
      </c>
      <c r="Y7076" s="28">
        <v>3943467000</v>
      </c>
      <c r="Z7076" s="28">
        <v>1831436000</v>
      </c>
      <c r="AA7076" s="28"/>
      <c r="AB7076" s="28">
        <v>720977000</v>
      </c>
      <c r="AC7076" s="28">
        <v>1379064000</v>
      </c>
      <c r="AD7076" s="28">
        <v>1873457000</v>
      </c>
      <c r="AE7076" s="28">
        <v>7037148000</v>
      </c>
      <c r="AF7076" s="28">
        <v>262484000</v>
      </c>
      <c r="AG7076" s="11"/>
    </row>
    <row r="7077">
      <c r="A7077" s="7" t="s">
        <v>8636</v>
      </c>
      <c r="B7077" s="5" t="s">
        <v>16565</v>
      </c>
      <c r="C7077" s="5" t="s">
        <v>24191</v>
      </c>
      <c r="D7077" s="5" t="str">
        <v>381909863750</v>
      </c>
      <c r="E7077" s="0" t="e">
        <f>+7 (48131) 34104
+7 (49638) 52836
+7 (49638) 52866
+7 (49638) 52873</f>
        <v>#NAME?</v>
      </c>
      <c r="F7077" s="5" t="s">
        <v>45900</v>
      </c>
      <c r="G7077" s="5" t="s">
        <v>45901</v>
      </c>
      <c r="H7077" s="26">
        <v>30</v>
      </c>
      <c r="I7077" s="5"/>
      <c r="J7077" s="5" t="s">
        <v>25371</v>
      </c>
      <c r="K7077" s="5" t="s">
        <v>344</v>
      </c>
      <c r="L7077" s="5"/>
      <c r="M7077" s="27"/>
      <c r="N7077" s="5"/>
      <c r="O7077" s="5" t="str">
        <v>5028001885</v>
      </c>
      <c r="P7077" s="27">
        <v>530009000</v>
      </c>
      <c r="Q7077" s="5"/>
      <c r="R7077" s="5"/>
      <c r="S7077" s="5" t="s">
        <v>49499</v>
      </c>
      <c r="T7077" s="28">
        <v>4309951000</v>
      </c>
      <c r="U7077" s="28">
        <v>123243000</v>
      </c>
      <c r="V7077" s="28">
        <v>461402000</v>
      </c>
      <c r="W7077" s="28">
        <v>1557760000</v>
      </c>
      <c r="X7077" s="28">
        <v>83662000</v>
      </c>
      <c r="Y7077" s="28">
        <v>10483395000</v>
      </c>
      <c r="Z7077" s="28">
        <v>9521381000</v>
      </c>
      <c r="AA7077" s="28"/>
      <c r="AB7077" s="28">
        <v>294186000</v>
      </c>
      <c r="AC7077" s="28">
        <v>389617000</v>
      </c>
      <c r="AD7077" s="28">
        <v>10093778000</v>
      </c>
      <c r="AE7077" s="28">
        <v>7132199000</v>
      </c>
      <c r="AF7077" s="28">
        <v>698323000</v>
      </c>
      <c r="AG7077" s="11"/>
    </row>
    <row r="7078">
      <c r="A7078" s="7" t="s">
        <v>8637</v>
      </c>
      <c r="B7078" s="5" t="s">
        <v>16566</v>
      </c>
      <c r="C7078" s="5" t="s">
        <v>18460</v>
      </c>
      <c r="D7078" s="5"/>
      <c r="E7078" s="0" t="e">
        <f>+7 (919) 1240815
+7 (982) 3459722
+7 (3512) 559513
+7 (83177) 93629</f>
        <v>#NAME?</v>
      </c>
      <c r="F7078" s="5" t="s">
        <v>36296</v>
      </c>
      <c r="G7078" s="5" t="s">
        <v>45902</v>
      </c>
      <c r="H7078" s="26">
        <v>28.5</v>
      </c>
      <c r="I7078" s="5"/>
      <c r="J7078" s="5" t="s">
        <v>26328</v>
      </c>
      <c r="K7078" s="5" t="s">
        <v>344</v>
      </c>
      <c r="L7078" s="5"/>
      <c r="M7078" s="27"/>
      <c r="N7078" s="5" t="s">
        <v>59871</v>
      </c>
      <c r="O7078" s="5" t="str">
        <v>7451047011</v>
      </c>
      <c r="P7078" s="27">
        <v>333050000</v>
      </c>
      <c r="Q7078" s="5" t="s">
        <v>59873</v>
      </c>
      <c r="R7078" s="5"/>
      <c r="S7078" s="5" t="s">
        <v>49907</v>
      </c>
      <c r="T7078" s="28">
        <v>6054286000</v>
      </c>
      <c r="U7078" s="28"/>
      <c r="V7078" s="28">
        <v>2987038000</v>
      </c>
      <c r="W7078" s="28"/>
      <c r="X7078" s="28">
        <v>971912000</v>
      </c>
      <c r="Y7078" s="28">
        <v>13525933000</v>
      </c>
      <c r="Z7078" s="28">
        <v>3842348000</v>
      </c>
      <c r="AA7078" s="28"/>
      <c r="AB7078" s="28">
        <v>4466967000</v>
      </c>
      <c r="AC7078" s="28">
        <v>6334910000</v>
      </c>
      <c r="AD7078" s="28">
        <v>7041712000</v>
      </c>
      <c r="AE7078" s="28">
        <v>10989993000</v>
      </c>
      <c r="AF7078" s="28">
        <v>1455107000</v>
      </c>
      <c r="AG7078" s="11"/>
    </row>
    <row r="7079">
      <c r="A7079" s="7" t="s">
        <v>8638</v>
      </c>
      <c r="B7079" s="5" t="s">
        <v>16567</v>
      </c>
      <c r="C7079" s="5" t="s">
        <v>24192</v>
      </c>
      <c r="D7079" s="5" t="str">
        <v>526006300248</v>
      </c>
      <c r="E7079" s="0" t="e">
        <f>+7 (937) 7164415
+7 (499) 7051858
+7 (927) 5294204
+7 (937) 898862</f>
        <v>#NAME?</v>
      </c>
      <c r="F7079" s="5" t="s">
        <v>45903</v>
      </c>
      <c r="G7079" s="5"/>
      <c r="H7079" s="26">
        <v>9</v>
      </c>
      <c r="I7079" s="5" t="s">
        <v>45904</v>
      </c>
      <c r="J7079" s="5" t="s">
        <v>991</v>
      </c>
      <c r="K7079" s="5" t="s">
        <v>344</v>
      </c>
      <c r="L7079" s="5"/>
      <c r="M7079" s="27"/>
      <c r="N7079" s="5"/>
      <c r="O7079" s="5" t="str">
        <v>3435308501</v>
      </c>
      <c r="P7079" s="27">
        <v>100000</v>
      </c>
      <c r="Q7079" s="5"/>
      <c r="R7079" s="5"/>
      <c r="S7079" s="5" t="s">
        <v>49029</v>
      </c>
      <c r="T7079" s="28">
        <v>1230421000</v>
      </c>
      <c r="U7079" s="28"/>
      <c r="V7079" s="28">
        <v>1056325000</v>
      </c>
      <c r="W7079" s="28"/>
      <c r="X7079" s="28">
        <v>617179000</v>
      </c>
      <c r="Y7079" s="28">
        <v>3322233000</v>
      </c>
      <c r="Z7079" s="28">
        <v>2121322000</v>
      </c>
      <c r="AA7079" s="28"/>
      <c r="AB7079" s="28">
        <v>502680000</v>
      </c>
      <c r="AC7079" s="28">
        <v>1074200000</v>
      </c>
      <c r="AD7079" s="28">
        <v>2121422000</v>
      </c>
      <c r="AE7079" s="28">
        <v>3729420000</v>
      </c>
      <c r="AF7079" s="28">
        <v>1270514000</v>
      </c>
      <c r="AG7079" s="11"/>
    </row>
    <row r="7080">
      <c r="A7080" s="7" t="s">
        <v>8639</v>
      </c>
      <c r="B7080" s="5" t="s">
        <v>16568</v>
      </c>
      <c r="C7080" s="5" t="s">
        <v>24193</v>
      </c>
      <c r="D7080" s="5" t="str">
        <v>024901504860</v>
      </c>
      <c r="E7080" s="0" t="e">
        <f>+7 (855) 2392231
+7 (929) 7610506
+7 (937) 2929157</f>
        <v>#NAME?</v>
      </c>
      <c r="F7080" s="5" t="s">
        <v>45905</v>
      </c>
      <c r="G7080" s="5"/>
      <c r="H7080" s="26">
        <v>26.5</v>
      </c>
      <c r="I7080" s="5" t="s">
        <v>45906</v>
      </c>
      <c r="J7080" s="5" t="s">
        <v>36779</v>
      </c>
      <c r="K7080" s="5" t="s">
        <v>344</v>
      </c>
      <c r="L7080" s="5"/>
      <c r="M7080" s="27">
        <v>5164413</v>
      </c>
      <c r="N7080" s="5" t="s">
        <v>59874</v>
      </c>
      <c r="O7080" s="5" t="str">
        <v>1650058345</v>
      </c>
      <c r="P7080" s="27">
        <v>15000</v>
      </c>
      <c r="Q7080" s="5" t="s">
        <v>59875</v>
      </c>
      <c r="R7080" s="5"/>
      <c r="S7080" s="5" t="s">
        <v>59876</v>
      </c>
      <c r="T7080" s="28">
        <v>91029000</v>
      </c>
      <c r="U7080" s="28"/>
      <c r="V7080" s="28">
        <v>817285000</v>
      </c>
      <c r="W7080" s="28">
        <v>19761000</v>
      </c>
      <c r="X7080" s="28">
        <v>11803000</v>
      </c>
      <c r="Y7080" s="28">
        <v>1996855000</v>
      </c>
      <c r="Z7080" s="28">
        <v>93989000</v>
      </c>
      <c r="AA7080" s="28"/>
      <c r="AB7080" s="28"/>
      <c r="AC7080" s="28">
        <v>1518745000</v>
      </c>
      <c r="AD7080" s="28">
        <v>471065000</v>
      </c>
      <c r="AE7080" s="28">
        <v>4319505000</v>
      </c>
      <c r="AF7080" s="28">
        <v>22486000</v>
      </c>
      <c r="AG7080" s="11"/>
    </row>
    <row r="7081">
      <c r="A7081" s="7" t="s">
        <v>8640</v>
      </c>
      <c r="B7081" s="5" t="s">
        <v>16569</v>
      </c>
      <c r="C7081" s="5" t="s">
        <v>24194</v>
      </c>
      <c r="D7081" s="5" t="str">
        <v>381107352599</v>
      </c>
      <c r="E7081" s="0" t="e">
        <f>+7 (3952) 460245
+7 (3952) 419420
+7 (3952) 563901
+7 (3952) 563907
+7 (3952) 563912
+7 (3952) 563939</f>
        <v>#NAME?</v>
      </c>
      <c r="F7081" s="5" t="s">
        <v>45907</v>
      </c>
      <c r="G7081" s="5" t="s">
        <v>45908</v>
      </c>
      <c r="H7081" s="26">
        <v>26.5</v>
      </c>
      <c r="I7081" s="5"/>
      <c r="J7081" s="5" t="s">
        <v>467</v>
      </c>
      <c r="K7081" s="5" t="s">
        <v>344</v>
      </c>
      <c r="L7081" s="5"/>
      <c r="M7081" s="27">
        <v>1500000</v>
      </c>
      <c r="N7081" s="5" t="s">
        <v>59877</v>
      </c>
      <c r="O7081" s="5" t="str">
        <v>3812035570</v>
      </c>
      <c r="P7081" s="27">
        <v>4200000</v>
      </c>
      <c r="Q7081" s="5" t="s">
        <v>59878</v>
      </c>
      <c r="R7081" s="5"/>
      <c r="S7081" s="5" t="s">
        <v>59879</v>
      </c>
      <c r="T7081" s="28">
        <v>2467815000</v>
      </c>
      <c r="U7081" s="28">
        <v>124683000</v>
      </c>
      <c r="V7081" s="28">
        <v>1506059000</v>
      </c>
      <c r="W7081" s="28"/>
      <c r="X7081" s="28">
        <v>166740000</v>
      </c>
      <c r="Y7081" s="28">
        <v>8808400000</v>
      </c>
      <c r="Z7081" s="28">
        <v>1656260000</v>
      </c>
      <c r="AA7081" s="28">
        <v>3926730000</v>
      </c>
      <c r="AB7081" s="28">
        <v>93982000</v>
      </c>
      <c r="AC7081" s="28">
        <v>1942207000</v>
      </c>
      <c r="AD7081" s="28">
        <v>2220549000</v>
      </c>
      <c r="AE7081" s="28">
        <v>10127101000</v>
      </c>
      <c r="AF7081" s="28">
        <v>28434000</v>
      </c>
      <c r="AG7081" s="11"/>
    </row>
    <row r="7082">
      <c r="A7082" s="7" t="s">
        <v>8641</v>
      </c>
      <c r="B7082" s="5" t="s">
        <v>16570</v>
      </c>
      <c r="C7082" s="5" t="s">
        <v>24195</v>
      </c>
      <c r="D7082" s="5" t="str">
        <v>220405561820</v>
      </c>
      <c r="F7082" s="5" t="s">
        <v>45909</v>
      </c>
      <c r="G7082" s="5"/>
      <c r="H7082" s="26">
        <v>14.5</v>
      </c>
      <c r="I7082" s="5" t="s">
        <v>45910</v>
      </c>
      <c r="J7082" s="5" t="s">
        <v>27855</v>
      </c>
      <c r="K7082" s="5" t="s">
        <v>344</v>
      </c>
      <c r="L7082" s="5"/>
      <c r="M7082" s="27">
        <v>195319</v>
      </c>
      <c r="N7082" s="5"/>
      <c r="O7082" s="5" t="str">
        <v>2204039458</v>
      </c>
      <c r="P7082" s="27">
        <v>10752688</v>
      </c>
      <c r="Q7082" s="5" t="s">
        <v>49009</v>
      </c>
      <c r="R7082" s="5"/>
      <c r="S7082" s="5" t="s">
        <v>49408</v>
      </c>
      <c r="T7082" s="28">
        <v>138240000</v>
      </c>
      <c r="U7082" s="28">
        <v>33474000</v>
      </c>
      <c r="V7082" s="28">
        <v>721825000</v>
      </c>
      <c r="W7082" s="28">
        <v>9827000</v>
      </c>
      <c r="X7082" s="28">
        <v>1196177000</v>
      </c>
      <c r="Y7082" s="28">
        <v>2981608000</v>
      </c>
      <c r="Z7082" s="28">
        <v>636103000</v>
      </c>
      <c r="AA7082" s="28"/>
      <c r="AB7082" s="28"/>
      <c r="AC7082" s="28">
        <v>1882505000</v>
      </c>
      <c r="AD7082" s="28">
        <v>1099103000</v>
      </c>
      <c r="AE7082" s="28">
        <v>12157503000</v>
      </c>
      <c r="AF7082" s="28">
        <v>108053000</v>
      </c>
      <c r="AG7082" s="11"/>
    </row>
    <row r="7083">
      <c r="A7083" s="7" t="s">
        <v>8642</v>
      </c>
      <c r="B7083" s="5" t="s">
        <v>16571</v>
      </c>
      <c r="C7083" s="5" t="s">
        <v>24196</v>
      </c>
      <c r="D7083" s="5" t="str">
        <v>773379389233</v>
      </c>
      <c r="E7083" s="0" t="e">
        <f>+7 (985) 3116221
+7 (495) 6480808
+7 (495) 6480807
+7 (800) 2001027
+7 (916) 1508218
+7 (925) 8859090</f>
        <v>#NAME?</v>
      </c>
      <c r="F7083" s="5" t="s">
        <v>45911</v>
      </c>
      <c r="G7083" s="5" t="s">
        <v>45912</v>
      </c>
      <c r="H7083" s="26">
        <v>3.5</v>
      </c>
      <c r="I7083" s="5" t="s">
        <v>44012</v>
      </c>
      <c r="J7083" s="5" t="s">
        <v>26297</v>
      </c>
      <c r="K7083" s="5" t="s">
        <v>344</v>
      </c>
      <c r="L7083" s="5" t="s">
        <v>45913</v>
      </c>
      <c r="M7083" s="27">
        <v>523816</v>
      </c>
      <c r="N7083" s="5" t="s">
        <v>59880</v>
      </c>
      <c r="O7083" s="5" t="str">
        <v>7720479365</v>
      </c>
      <c r="P7083" s="27">
        <v>10000000</v>
      </c>
      <c r="Q7083" s="5" t="s">
        <v>59881</v>
      </c>
      <c r="R7083" s="5"/>
      <c r="S7083" s="5" t="s">
        <v>52765</v>
      </c>
      <c r="T7083" s="28">
        <v>3711585000</v>
      </c>
      <c r="U7083" s="28">
        <v>20695953000</v>
      </c>
      <c r="V7083" s="28">
        <v>12240659000</v>
      </c>
      <c r="W7083" s="28">
        <v>159000000</v>
      </c>
      <c r="X7083" s="28">
        <v>3969798000</v>
      </c>
      <c r="Y7083" s="28">
        <v>41693822000</v>
      </c>
      <c r="Z7083" s="28">
        <v>4450807000</v>
      </c>
      <c r="AA7083" s="28">
        <v>21448370000</v>
      </c>
      <c r="AB7083" s="28">
        <v>4106004000</v>
      </c>
      <c r="AC7083" s="28">
        <v>12623785000</v>
      </c>
      <c r="AD7083" s="28">
        <v>4460807000</v>
      </c>
      <c r="AE7083" s="28">
        <v>45752485000</v>
      </c>
      <c r="AF7083" s="28">
        <v>2776944000</v>
      </c>
      <c r="AG7083" s="11"/>
    </row>
    <row r="7084">
      <c r="A7084" s="7" t="s">
        <v>8643</v>
      </c>
      <c r="B7084" s="5" t="s">
        <v>16572</v>
      </c>
      <c r="C7084" s="5" t="s">
        <v>24197</v>
      </c>
      <c r="D7084" s="5" t="str">
        <v>246500427201</v>
      </c>
      <c r="E7084" s="0" t="e">
        <f>+7 (391) 2524555
+7 (960) 7561144
+7 (965) 9197494</f>
        <v>#NAME?</v>
      </c>
      <c r="F7084" s="5" t="s">
        <v>45914</v>
      </c>
      <c r="G7084" s="5" t="s">
        <v>45915</v>
      </c>
      <c r="H7084" s="26">
        <v>31</v>
      </c>
      <c r="I7084" s="5" t="s">
        <v>45916</v>
      </c>
      <c r="J7084" s="5" t="s">
        <v>25219</v>
      </c>
      <c r="K7084" s="5" t="s">
        <v>344</v>
      </c>
      <c r="L7084" s="5" t="s">
        <v>45917</v>
      </c>
      <c r="M7084" s="27">
        <v>11457607</v>
      </c>
      <c r="N7084" s="5" t="s">
        <v>59882</v>
      </c>
      <c r="O7084" s="5" t="str">
        <v>2465008567</v>
      </c>
      <c r="P7084" s="27">
        <v>131035002</v>
      </c>
      <c r="Q7084" s="5" t="s">
        <v>49009</v>
      </c>
      <c r="R7084" s="5"/>
      <c r="S7084" s="5" t="s">
        <v>49028</v>
      </c>
      <c r="T7084" s="28">
        <v>3068788000</v>
      </c>
      <c r="U7084" s="28">
        <v>158650000</v>
      </c>
      <c r="V7084" s="28">
        <v>629147000</v>
      </c>
      <c r="W7084" s="28">
        <v>50000000</v>
      </c>
      <c r="X7084" s="28">
        <v>1488205000</v>
      </c>
      <c r="Y7084" s="28">
        <v>23472062000</v>
      </c>
      <c r="Z7084" s="28">
        <v>6025069000</v>
      </c>
      <c r="AA7084" s="28">
        <v>422327000</v>
      </c>
      <c r="AB7084" s="28">
        <v>62444000</v>
      </c>
      <c r="AC7084" s="28">
        <v>5200829000</v>
      </c>
      <c r="AD7084" s="28">
        <v>6156104000</v>
      </c>
      <c r="AE7084" s="28">
        <v>68793894000</v>
      </c>
      <c r="AF7084" s="28">
        <v>1587398000</v>
      </c>
      <c r="AG7084" s="11"/>
    </row>
    <row r="7085">
      <c r="A7085" s="7" t="s">
        <v>8644</v>
      </c>
      <c r="B7085" s="5" t="s">
        <v>16573</v>
      </c>
      <c r="C7085" s="5" t="s">
        <v>24198</v>
      </c>
      <c r="D7085" s="5" t="str">
        <v>504011690526</v>
      </c>
      <c r="E7085" s="0" t="e">
        <f>+7 (929) 9202020</f>
        <v>#NAME?</v>
      </c>
      <c r="F7085" s="5"/>
      <c r="G7085" s="5"/>
      <c r="H7085" s="26">
        <v>6</v>
      </c>
      <c r="I7085" s="5" t="s">
        <v>45918</v>
      </c>
      <c r="J7085" s="5" t="s">
        <v>1081</v>
      </c>
      <c r="K7085" s="5" t="s">
        <v>344</v>
      </c>
      <c r="L7085" s="5"/>
      <c r="M7085" s="27">
        <v>20734698</v>
      </c>
      <c r="N7085" s="5" t="s">
        <v>59883</v>
      </c>
      <c r="O7085" s="5" t="str">
        <v>7801325370</v>
      </c>
      <c r="P7085" s="27">
        <v>10000</v>
      </c>
      <c r="Q7085" s="5" t="s">
        <v>59884</v>
      </c>
      <c r="R7085" s="5"/>
      <c r="S7085" s="5" t="s">
        <v>51456</v>
      </c>
      <c r="T7085" s="28">
        <v>40072000</v>
      </c>
      <c r="U7085" s="28"/>
      <c r="V7085" s="28">
        <v>1542823000</v>
      </c>
      <c r="W7085" s="28">
        <v>142085000</v>
      </c>
      <c r="X7085" s="28">
        <v>480105000</v>
      </c>
      <c r="Y7085" s="28">
        <v>2647078000</v>
      </c>
      <c r="Z7085" s="28">
        <v>208403000</v>
      </c>
      <c r="AA7085" s="28"/>
      <c r="AB7085" s="28"/>
      <c r="AC7085" s="28">
        <v>1993919000</v>
      </c>
      <c r="AD7085" s="28">
        <v>650858000</v>
      </c>
      <c r="AE7085" s="28">
        <v>4081642000</v>
      </c>
      <c r="AF7085" s="28">
        <v>504000</v>
      </c>
      <c r="AG7085" s="11"/>
    </row>
    <row r="7086">
      <c r="A7086" s="7" t="s">
        <v>8645</v>
      </c>
      <c r="B7086" s="5" t="s">
        <v>16574</v>
      </c>
      <c r="C7086" s="5" t="s">
        <v>23575</v>
      </c>
      <c r="D7086" s="5" t="str">
        <v>701711150910</v>
      </c>
      <c r="E7086" s="0" t="e">
        <f>+7 (495) 6480807
+7 (495) 6480808</f>
        <v>#NAME?</v>
      </c>
      <c r="F7086" s="5"/>
      <c r="G7086" s="5"/>
      <c r="H7086" s="26">
        <v>3</v>
      </c>
      <c r="I7086" s="5" t="s">
        <v>45919</v>
      </c>
      <c r="J7086" s="5" t="s">
        <v>881</v>
      </c>
      <c r="K7086" s="5" t="s">
        <v>355</v>
      </c>
      <c r="L7086" s="5" t="s">
        <v>45920</v>
      </c>
      <c r="M7086" s="27"/>
      <c r="N7086" s="5"/>
      <c r="O7086" s="5" t="str">
        <v>9731059310</v>
      </c>
      <c r="P7086" s="27">
        <v>1000000</v>
      </c>
      <c r="Q7086" s="5"/>
      <c r="R7086" s="5"/>
      <c r="S7086" s="5" t="s">
        <v>49125</v>
      </c>
      <c r="T7086" s="28">
        <v>103770000</v>
      </c>
      <c r="U7086" s="28">
        <v>85000000</v>
      </c>
      <c r="V7086" s="28">
        <v>473543000</v>
      </c>
      <c r="W7086" s="28">
        <v>101000000</v>
      </c>
      <c r="X7086" s="28">
        <v>80257000</v>
      </c>
      <c r="Y7086" s="28">
        <v>1473979000</v>
      </c>
      <c r="Z7086" s="28">
        <v>-42121000</v>
      </c>
      <c r="AA7086" s="28">
        <v>1001175000</v>
      </c>
      <c r="AB7086" s="28"/>
      <c r="AC7086" s="28">
        <v>507361000</v>
      </c>
      <c r="AD7086" s="28">
        <v>-41121000</v>
      </c>
      <c r="AE7086" s="28">
        <v>4415679000</v>
      </c>
      <c r="AF7086" s="28">
        <v>-44314000</v>
      </c>
      <c r="AG7086" s="11"/>
    </row>
    <row r="7087">
      <c r="A7087" s="7" t="s">
        <v>8646</v>
      </c>
      <c r="B7087" s="5" t="s">
        <v>16575</v>
      </c>
      <c r="C7087" s="5" t="s">
        <v>24199</v>
      </c>
      <c r="D7087" s="5" t="str">
        <v>590309152112</v>
      </c>
      <c r="E7087" s="0" t="e">
        <f>+7 (343) 3023667
+7 (922) 2200002
+7 (982) 4615555
+7 (953) 457605
+7 (343) 3019988
+7 (343) 3337373
+7 (343) 3337377
+7 (343) 3752275
+7 (343) 3753050
+7 (343) 3753070
+7 (3432) 203</f>
        <v>#NAME?</v>
      </c>
      <c r="F7087" s="5" t="s">
        <v>45921</v>
      </c>
      <c r="G7087" s="5" t="s">
        <v>45922</v>
      </c>
      <c r="H7087" s="26">
        <v>17.5</v>
      </c>
      <c r="I7087" s="5" t="s">
        <v>45923</v>
      </c>
      <c r="J7087" s="5" t="s">
        <v>389</v>
      </c>
      <c r="K7087" s="5" t="s">
        <v>344</v>
      </c>
      <c r="L7087" s="5" t="s">
        <v>45924</v>
      </c>
      <c r="M7087" s="27"/>
      <c r="N7087" s="5" t="s">
        <v>59885</v>
      </c>
      <c r="O7087" s="5" t="str">
        <v>6670086484</v>
      </c>
      <c r="P7087" s="27">
        <v>10000000</v>
      </c>
      <c r="Q7087" s="5" t="s">
        <v>49009</v>
      </c>
      <c r="R7087" s="5"/>
      <c r="S7087" s="5" t="s">
        <v>49256</v>
      </c>
      <c r="T7087" s="28">
        <v>443933000</v>
      </c>
      <c r="U7087" s="28"/>
      <c r="V7087" s="28">
        <v>222681000</v>
      </c>
      <c r="W7087" s="28"/>
      <c r="X7087" s="28">
        <v>13443000</v>
      </c>
      <c r="Y7087" s="28">
        <v>1263375000</v>
      </c>
      <c r="Z7087" s="28">
        <v>276093000</v>
      </c>
      <c r="AA7087" s="28">
        <v>329897000</v>
      </c>
      <c r="AB7087" s="28">
        <v>197105000</v>
      </c>
      <c r="AC7087" s="28">
        <v>487198000</v>
      </c>
      <c r="AD7087" s="28">
        <v>286093000</v>
      </c>
      <c r="AE7087" s="28">
        <v>3538061000</v>
      </c>
      <c r="AF7087" s="28">
        <v>25987000</v>
      </c>
      <c r="AG7087" s="11"/>
    </row>
    <row r="7088">
      <c r="A7088" s="7" t="s">
        <v>8647</v>
      </c>
      <c r="B7088" s="5" t="s">
        <v>16576</v>
      </c>
      <c r="C7088" s="5" t="s">
        <v>24200</v>
      </c>
      <c r="D7088" s="5" t="str">
        <v>784002173990</v>
      </c>
      <c r="E7088" s="0" t="e">
        <f>+7 (812) 3292378
+7 (812) 7087857
+7 (812) 7089214
+7 (931) 3755702</f>
        <v>#NAME?</v>
      </c>
      <c r="F7088" s="5" t="s">
        <v>45925</v>
      </c>
      <c r="G7088" s="5" t="s">
        <v>45926</v>
      </c>
      <c r="H7088" s="26">
        <v>13</v>
      </c>
      <c r="I7088" s="5" t="s">
        <v>45927</v>
      </c>
      <c r="J7088" s="5" t="s">
        <v>25938</v>
      </c>
      <c r="K7088" s="5" t="s">
        <v>344</v>
      </c>
      <c r="L7088" s="5" t="s">
        <v>45928</v>
      </c>
      <c r="M7088" s="27"/>
      <c r="N7088" s="5"/>
      <c r="O7088" s="5" t="str">
        <v>7805514883</v>
      </c>
      <c r="P7088" s="27">
        <v>20000</v>
      </c>
      <c r="Q7088" s="5" t="s">
        <v>49059</v>
      </c>
      <c r="R7088" s="5"/>
      <c r="S7088" s="5" t="s">
        <v>49029</v>
      </c>
      <c r="T7088" s="28">
        <v>45921000</v>
      </c>
      <c r="U7088" s="28"/>
      <c r="V7088" s="28">
        <v>250576000</v>
      </c>
      <c r="W7088" s="28"/>
      <c r="X7088" s="28">
        <v>69323000</v>
      </c>
      <c r="Y7088" s="28">
        <v>828308000</v>
      </c>
      <c r="Z7088" s="28">
        <v>187705000</v>
      </c>
      <c r="AA7088" s="28">
        <v>285000000</v>
      </c>
      <c r="AB7088" s="28">
        <v>104666000</v>
      </c>
      <c r="AC7088" s="28">
        <v>355583000</v>
      </c>
      <c r="AD7088" s="28">
        <v>187725000</v>
      </c>
      <c r="AE7088" s="28">
        <v>5775896000</v>
      </c>
      <c r="AF7088" s="28">
        <v>67185000</v>
      </c>
      <c r="AG7088" s="11"/>
    </row>
    <row r="7089">
      <c r="A7089" s="7" t="s">
        <v>8648</v>
      </c>
      <c r="B7089" s="5" t="s">
        <v>16577</v>
      </c>
      <c r="C7089" s="5" t="s">
        <v>24201</v>
      </c>
      <c r="D7089" s="5"/>
      <c r="E7089" s="0" t="e">
        <f>+7 (415) 2419548
+7 (415) 2215314
+7 (415) 2215319
+7 (415) 2215323
+7 (415) 2215325
+7 (415) 2215326
+7 (415) 2215327
+7 (415) 2215328
+7 (415) 2228211
+7 (415) 2228235
+7 (415) 2257372
+7 (415) 2258963
+7 (415) 2419547
+7 (415) 2419578
+7 (415) 2419579</f>
        <v>#NAME?</v>
      </c>
      <c r="F7089" s="5" t="s">
        <v>45929</v>
      </c>
      <c r="G7089" s="5"/>
      <c r="H7089" s="26">
        <v>29</v>
      </c>
      <c r="I7089" s="5"/>
      <c r="J7089" s="5" t="s">
        <v>26499</v>
      </c>
      <c r="K7089" s="5" t="s">
        <v>344</v>
      </c>
      <c r="L7089" s="5" t="s">
        <v>45930</v>
      </c>
      <c r="M7089" s="27">
        <v>565759</v>
      </c>
      <c r="N7089" s="5" t="s">
        <v>50984</v>
      </c>
      <c r="O7089" s="5" t="str">
        <v>4105003503</v>
      </c>
      <c r="P7089" s="27">
        <v>44000</v>
      </c>
      <c r="Q7089" s="5" t="s">
        <v>49207</v>
      </c>
      <c r="R7089" s="5"/>
      <c r="S7089" s="5" t="s">
        <v>59886</v>
      </c>
      <c r="T7089" s="28">
        <v>2739243000</v>
      </c>
      <c r="U7089" s="28">
        <v>12452828000</v>
      </c>
      <c r="V7089" s="28">
        <v>2372200000</v>
      </c>
      <c r="W7089" s="28"/>
      <c r="X7089" s="28">
        <v>848899000</v>
      </c>
      <c r="Y7089" s="28">
        <v>20566104000</v>
      </c>
      <c r="Z7089" s="28">
        <v>7092904000</v>
      </c>
      <c r="AA7089" s="28">
        <v>12170571000</v>
      </c>
      <c r="AB7089" s="28">
        <v>2287000</v>
      </c>
      <c r="AC7089" s="28">
        <v>441016000</v>
      </c>
      <c r="AD7089" s="28">
        <v>7524992000</v>
      </c>
      <c r="AE7089" s="28">
        <v>6186327000</v>
      </c>
      <c r="AF7089" s="28">
        <v>2519735000</v>
      </c>
      <c r="AG7089" s="11"/>
    </row>
    <row r="7090">
      <c r="A7090" s="7" t="s">
        <v>8649</v>
      </c>
      <c r="B7090" s="5" t="s">
        <v>16578</v>
      </c>
      <c r="C7090" s="5" t="s">
        <v>24202</v>
      </c>
      <c r="D7090" s="5" t="str">
        <v>504707958938</v>
      </c>
      <c r="E7090" s="0" t="e">
        <f>+7 (812) 7801549
+7 (81367) 31500
+7 (81367) 31567
+7 (81367) 31577
+7 (81367) 51392</f>
        <v>#NAME?</v>
      </c>
      <c r="F7090" s="5" t="s">
        <v>45931</v>
      </c>
      <c r="G7090" s="5" t="s">
        <v>45932</v>
      </c>
      <c r="H7090" s="26">
        <v>21</v>
      </c>
      <c r="I7090" s="5"/>
      <c r="J7090" s="5" t="s">
        <v>36823</v>
      </c>
      <c r="K7090" s="5" t="s">
        <v>344</v>
      </c>
      <c r="L7090" s="5" t="s">
        <v>45933</v>
      </c>
      <c r="M7090" s="27">
        <v>6070571</v>
      </c>
      <c r="N7090" s="5" t="s">
        <v>51209</v>
      </c>
      <c r="O7090" s="5" t="str">
        <v>4715012403</v>
      </c>
      <c r="P7090" s="27">
        <v>12810000</v>
      </c>
      <c r="Q7090" s="5"/>
      <c r="R7090" s="5"/>
      <c r="S7090" s="5" t="s">
        <v>49110</v>
      </c>
      <c r="T7090" s="28">
        <v>90299000</v>
      </c>
      <c r="U7090" s="28"/>
      <c r="V7090" s="28">
        <v>1711155000</v>
      </c>
      <c r="W7090" s="28"/>
      <c r="X7090" s="28">
        <v>1649676000</v>
      </c>
      <c r="Y7090" s="28">
        <v>4275910000</v>
      </c>
      <c r="Z7090" s="28">
        <v>1235354000</v>
      </c>
      <c r="AA7090" s="28"/>
      <c r="AB7090" s="28"/>
      <c r="AC7090" s="28">
        <v>2135567000</v>
      </c>
      <c r="AD7090" s="28">
        <v>2138465000</v>
      </c>
      <c r="AE7090" s="28">
        <v>4357680000</v>
      </c>
      <c r="AF7090" s="28">
        <v>789571000</v>
      </c>
      <c r="AG7090" s="11"/>
    </row>
    <row r="7091">
      <c r="A7091" s="7" t="s">
        <v>8650</v>
      </c>
      <c r="B7091" s="5" t="s">
        <v>16579</v>
      </c>
      <c r="C7091" s="5" t="s">
        <v>24203</v>
      </c>
      <c r="D7091" s="5" t="str">
        <v>310601179357</v>
      </c>
      <c r="E7091" s="0" t="e">
        <f>+7 (86130) 54691
+7 (928) 2587941
+7 (928) 4175403</f>
        <v>#NAME?</v>
      </c>
      <c r="F7091" s="5" t="s">
        <v>45934</v>
      </c>
      <c r="G7091" s="5"/>
      <c r="H7091" s="26">
        <v>11</v>
      </c>
      <c r="I7091" s="5" t="s">
        <v>45935</v>
      </c>
      <c r="J7091" s="5" t="s">
        <v>25994</v>
      </c>
      <c r="K7091" s="5" t="s">
        <v>380</v>
      </c>
      <c r="L7091" s="5" t="s">
        <v>43302</v>
      </c>
      <c r="M7091" s="27">
        <v>498815857</v>
      </c>
      <c r="N7091" s="5"/>
      <c r="O7091" s="5" t="str">
        <v>2334024068</v>
      </c>
      <c r="P7091" s="27">
        <v>10000</v>
      </c>
      <c r="Q7091" s="5" t="s">
        <v>49009</v>
      </c>
      <c r="R7091" s="5"/>
      <c r="S7091" s="5" t="s">
        <v>49066</v>
      </c>
      <c r="T7091" s="28">
        <v>792983000</v>
      </c>
      <c r="U7091" s="28"/>
      <c r="V7091" s="28">
        <v>427030000</v>
      </c>
      <c r="W7091" s="28">
        <v>19826000</v>
      </c>
      <c r="X7091" s="28">
        <v>125330000</v>
      </c>
      <c r="Y7091" s="28">
        <v>2087305000</v>
      </c>
      <c r="Z7091" s="28">
        <v>75412000</v>
      </c>
      <c r="AA7091" s="28">
        <v>124990000</v>
      </c>
      <c r="AB7091" s="28">
        <v>654116000</v>
      </c>
      <c r="AC7091" s="28">
        <v>1824951000</v>
      </c>
      <c r="AD7091" s="28">
        <v>85422000</v>
      </c>
      <c r="AE7091" s="28">
        <v>3101145000</v>
      </c>
      <c r="AF7091" s="28">
        <v>16778000</v>
      </c>
      <c r="AG7091" s="11"/>
    </row>
    <row r="7092">
      <c r="A7092" s="7" t="s">
        <v>8651</v>
      </c>
      <c r="B7092" s="5" t="s">
        <v>16580</v>
      </c>
      <c r="C7092" s="5" t="s">
        <v>24204</v>
      </c>
      <c r="D7092" s="5" t="str">
        <v>503114859910</v>
      </c>
      <c r="E7092" s="0" t="e">
        <f>+7 (495) 6759474
+7 (49622) 51433
+7 (499) 7857585
+7 (495) 2251413
+7 (495) 2251423
+7 (495) 4284795
+7 (49643) 32240
+7 (49643) 33925
+7 (499) 7353568
+7 (985) 2251477</f>
        <v>#NAME?</v>
      </c>
      <c r="F7092" s="5" t="s">
        <v>45936</v>
      </c>
      <c r="G7092" s="5" t="s">
        <v>45937</v>
      </c>
      <c r="H7092" s="26">
        <v>11</v>
      </c>
      <c r="I7092" s="5" t="s">
        <v>45938</v>
      </c>
      <c r="J7092" s="5" t="s">
        <v>27642</v>
      </c>
      <c r="K7092" s="5" t="s">
        <v>380</v>
      </c>
      <c r="L7092" s="5"/>
      <c r="M7092" s="27">
        <v>180463821</v>
      </c>
      <c r="N7092" s="5" t="s">
        <v>59887</v>
      </c>
      <c r="O7092" s="5" t="str">
        <v>7729698690</v>
      </c>
      <c r="P7092" s="27">
        <v>8786878679</v>
      </c>
      <c r="Q7092" s="5" t="s">
        <v>59888</v>
      </c>
      <c r="R7092" s="5" t="s">
        <v>54460</v>
      </c>
      <c r="S7092" s="5" t="s">
        <v>49756</v>
      </c>
      <c r="T7092" s="28">
        <v>3967689000</v>
      </c>
      <c r="U7092" s="28">
        <v>100000</v>
      </c>
      <c r="V7092" s="28">
        <v>2932453000</v>
      </c>
      <c r="W7092" s="28">
        <v>249671000</v>
      </c>
      <c r="X7092" s="28">
        <v>279662000</v>
      </c>
      <c r="Y7092" s="28">
        <v>10000797000</v>
      </c>
      <c r="Z7092" s="28">
        <v>-8059495000</v>
      </c>
      <c r="AA7092" s="28">
        <v>3142710000</v>
      </c>
      <c r="AB7092" s="28">
        <v>622982000</v>
      </c>
      <c r="AC7092" s="28">
        <v>5083952000</v>
      </c>
      <c r="AD7092" s="28">
        <v>1330504000</v>
      </c>
      <c r="AE7092" s="28">
        <v>7851892000</v>
      </c>
      <c r="AF7092" s="28">
        <v>-82109000</v>
      </c>
      <c r="AG7092" s="11"/>
    </row>
    <row r="7093">
      <c r="A7093" s="7" t="s">
        <v>8652</v>
      </c>
      <c r="B7093" s="5" t="s">
        <v>16581</v>
      </c>
      <c r="C7093" s="5" t="s">
        <v>24205</v>
      </c>
      <c r="D7093" s="5" t="str">
        <v>773603360813</v>
      </c>
      <c r="E7093" s="0" t="e">
        <f>+7 (495) 6681368
+7 (495) 6881368
+7 (915) 1507016
+7 (915) 2769112</f>
        <v>#NAME?</v>
      </c>
      <c r="F7093" s="5" t="s">
        <v>45939</v>
      </c>
      <c r="G7093" s="5"/>
      <c r="H7093" s="26">
        <v>5.5</v>
      </c>
      <c r="I7093" s="5" t="s">
        <v>45940</v>
      </c>
      <c r="J7093" s="5" t="s">
        <v>1143</v>
      </c>
      <c r="K7093" s="5" t="s">
        <v>344</v>
      </c>
      <c r="L7093" s="5" t="s">
        <v>45941</v>
      </c>
      <c r="M7093" s="27"/>
      <c r="N7093" s="5" t="s">
        <v>59889</v>
      </c>
      <c r="O7093" s="5" t="str">
        <v>5032290284</v>
      </c>
      <c r="P7093" s="27">
        <v>300000</v>
      </c>
      <c r="Q7093" s="5" t="s">
        <v>59890</v>
      </c>
      <c r="R7093" s="5"/>
      <c r="S7093" s="5" t="s">
        <v>59891</v>
      </c>
      <c r="T7093" s="28">
        <v>30726000</v>
      </c>
      <c r="U7093" s="28"/>
      <c r="V7093" s="28">
        <v>149921000</v>
      </c>
      <c r="W7093" s="28"/>
      <c r="X7093" s="28">
        <v>32100000</v>
      </c>
      <c r="Y7093" s="28">
        <v>802907000</v>
      </c>
      <c r="Z7093" s="28">
        <v>634080000</v>
      </c>
      <c r="AA7093" s="28"/>
      <c r="AB7093" s="28">
        <v>47230000</v>
      </c>
      <c r="AC7093" s="28">
        <v>168527000</v>
      </c>
      <c r="AD7093" s="28">
        <v>634380000</v>
      </c>
      <c r="AE7093" s="28">
        <v>3503460000</v>
      </c>
      <c r="AF7093" s="28">
        <v>475728000</v>
      </c>
      <c r="AG7093" s="11"/>
    </row>
    <row r="7094">
      <c r="A7094" s="7" t="s">
        <v>8653</v>
      </c>
      <c r="B7094" s="5" t="s">
        <v>16582</v>
      </c>
      <c r="C7094" s="5" t="s">
        <v>24206</v>
      </c>
      <c r="D7094" s="5" t="str">
        <v>771512842319</v>
      </c>
      <c r="E7094" s="0" t="e">
        <f>+7 (495) 6066090</f>
        <v>#NAME?</v>
      </c>
      <c r="F7094" s="5"/>
      <c r="G7094" s="5"/>
      <c r="H7094" s="26">
        <v>9.5</v>
      </c>
      <c r="I7094" s="5" t="s">
        <v>45942</v>
      </c>
      <c r="J7094" s="5" t="s">
        <v>30025</v>
      </c>
      <c r="K7094" s="5" t="s">
        <v>355</v>
      </c>
      <c r="L7094" s="5" t="s">
        <v>45943</v>
      </c>
      <c r="M7094" s="27"/>
      <c r="N7094" s="5"/>
      <c r="O7094" s="5" t="str">
        <v>7743898041</v>
      </c>
      <c r="P7094" s="27">
        <v>1000000</v>
      </c>
      <c r="Q7094" s="5" t="s">
        <v>55514</v>
      </c>
      <c r="R7094" s="5"/>
      <c r="S7094" s="5" t="s">
        <v>57064</v>
      </c>
      <c r="T7094" s="28">
        <v>3549263000</v>
      </c>
      <c r="U7094" s="28">
        <v>50000</v>
      </c>
      <c r="V7094" s="28">
        <v>2273086000</v>
      </c>
      <c r="W7094" s="28">
        <v>90000000</v>
      </c>
      <c r="X7094" s="28">
        <v>1238000</v>
      </c>
      <c r="Y7094" s="28">
        <v>6160114000</v>
      </c>
      <c r="Z7094" s="28">
        <v>1553796000</v>
      </c>
      <c r="AA7094" s="28">
        <v>107446000</v>
      </c>
      <c r="AB7094" s="28">
        <v>9243000</v>
      </c>
      <c r="AC7094" s="28">
        <v>4472962000</v>
      </c>
      <c r="AD7094" s="28">
        <v>1554796000</v>
      </c>
      <c r="AE7094" s="28">
        <v>3698151000</v>
      </c>
      <c r="AF7094" s="28">
        <v>684840000</v>
      </c>
      <c r="AG7094" s="11"/>
    </row>
    <row r="7095">
      <c r="A7095" s="7" t="s">
        <v>8654</v>
      </c>
      <c r="B7095" s="5" t="s">
        <v>16583</v>
      </c>
      <c r="C7095" s="5" t="s">
        <v>23574</v>
      </c>
      <c r="D7095" s="5" t="str">
        <v>501211245171</v>
      </c>
      <c r="E7095" s="0" t="e">
        <f>+7 (495) 9819292</f>
        <v>#NAME?</v>
      </c>
      <c r="F7095" s="5"/>
      <c r="G7095" s="5"/>
      <c r="H7095" s="26">
        <v>4</v>
      </c>
      <c r="I7095" s="5" t="s">
        <v>45944</v>
      </c>
      <c r="J7095" s="5" t="s">
        <v>748</v>
      </c>
      <c r="K7095" s="5" t="s">
        <v>355</v>
      </c>
      <c r="L7095" s="5" t="s">
        <v>45945</v>
      </c>
      <c r="M7095" s="27"/>
      <c r="N7095" s="5" t="s">
        <v>59892</v>
      </c>
      <c r="O7095" s="5" t="str">
        <v>9718130309</v>
      </c>
      <c r="P7095" s="27">
        <v>100000</v>
      </c>
      <c r="Q7095" s="5" t="s">
        <v>59893</v>
      </c>
      <c r="R7095" s="5"/>
      <c r="S7095" s="5" t="s">
        <v>49162</v>
      </c>
      <c r="T7095" s="28">
        <v>1316000</v>
      </c>
      <c r="U7095" s="28">
        <v>933431000</v>
      </c>
      <c r="V7095" s="28">
        <v>307403000</v>
      </c>
      <c r="W7095" s="28"/>
      <c r="X7095" s="28">
        <v>931268000</v>
      </c>
      <c r="Y7095" s="28">
        <v>2177513000</v>
      </c>
      <c r="Z7095" s="28">
        <v>329511000</v>
      </c>
      <c r="AA7095" s="28"/>
      <c r="AB7095" s="28"/>
      <c r="AC7095" s="28">
        <v>1847509000</v>
      </c>
      <c r="AD7095" s="28">
        <v>329611000</v>
      </c>
      <c r="AE7095" s="28">
        <v>8650407000</v>
      </c>
      <c r="AF7095" s="28">
        <v>117322000</v>
      </c>
      <c r="AG7095" s="11"/>
    </row>
    <row r="7096">
      <c r="A7096" s="7" t="s">
        <v>8655</v>
      </c>
      <c r="B7096" s="5" t="s">
        <v>16584</v>
      </c>
      <c r="C7096" s="5" t="s">
        <v>24207</v>
      </c>
      <c r="D7096" s="5"/>
      <c r="E7096" s="0" t="e">
        <f>+7 (472) 2714865
+7 (47231) 30405
+7 (47355) 43808
+7 (475) 2298845
+7 (475) 2431545
+7 (475) 2440602
+7 (475) 2442846
+7 (475) 2443192
+7 (475) 2445897
+7 (475) 2446502
+7 (475) 2458978
+7 (475) 2482456
+7 (475) 2482457
+7 (47233) 43192
+7 (475) 2482458</f>
        <v>#NAME?</v>
      </c>
      <c r="F7096" s="5" t="s">
        <v>45946</v>
      </c>
      <c r="G7096" s="5"/>
      <c r="H7096" s="26">
        <v>18</v>
      </c>
      <c r="I7096" s="5"/>
      <c r="J7096" s="5" t="s">
        <v>27802</v>
      </c>
      <c r="K7096" s="5" t="s">
        <v>355</v>
      </c>
      <c r="L7096" s="5"/>
      <c r="M7096" s="27">
        <v>534649595</v>
      </c>
      <c r="N7096" s="5" t="s">
        <v>59894</v>
      </c>
      <c r="O7096" s="5" t="str">
        <v>6829012231</v>
      </c>
      <c r="P7096" s="27">
        <v>9339200</v>
      </c>
      <c r="Q7096" s="5" t="s">
        <v>59896</v>
      </c>
      <c r="R7096" s="5" t="s">
        <v>59897</v>
      </c>
      <c r="S7096" s="5" t="s">
        <v>59898</v>
      </c>
      <c r="T7096" s="28">
        <v>2626340000</v>
      </c>
      <c r="U7096" s="28">
        <v>27510000</v>
      </c>
      <c r="V7096" s="28">
        <v>1032709000</v>
      </c>
      <c r="W7096" s="28"/>
      <c r="X7096" s="28">
        <v>5627000</v>
      </c>
      <c r="Y7096" s="28">
        <v>3955625000</v>
      </c>
      <c r="Z7096" s="28">
        <v>424233000</v>
      </c>
      <c r="AA7096" s="28">
        <v>185000000</v>
      </c>
      <c r="AB7096" s="28">
        <v>597692000</v>
      </c>
      <c r="AC7096" s="28">
        <v>2784492000</v>
      </c>
      <c r="AD7096" s="28">
        <v>997622000</v>
      </c>
      <c r="AE7096" s="28">
        <v>4266066000</v>
      </c>
      <c r="AF7096" s="28">
        <v>55947000</v>
      </c>
      <c r="AG7096" s="11"/>
    </row>
    <row r="7097">
      <c r="A7097" s="7" t="s">
        <v>8655</v>
      </c>
      <c r="B7097" s="5" t="s">
        <v>16585</v>
      </c>
      <c r="C7097" s="5" t="s">
        <v>24208</v>
      </c>
      <c r="D7097" s="5" t="str">
        <v>772815063401</v>
      </c>
      <c r="E7097" s="0" t="e">
        <f>+7 (495) 2767799
+7 (495) 6233638
+7 (495) 6235331
+7 (495) 6235714
+7 (495) 6236012
+7 (495) 6250671
+7 (495) 6259035
+7 (495) 6259091</f>
        <v>#NAME?</v>
      </c>
      <c r="F7097" s="5" t="s">
        <v>45947</v>
      </c>
      <c r="G7097" s="5"/>
      <c r="H7097" s="26">
        <v>19</v>
      </c>
      <c r="I7097" s="5"/>
      <c r="J7097" s="5" t="s">
        <v>25337</v>
      </c>
      <c r="K7097" s="5" t="s">
        <v>380</v>
      </c>
      <c r="L7097" s="5"/>
      <c r="M7097" s="27"/>
      <c r="N7097" s="5"/>
      <c r="O7097" s="5" t="str">
        <v>7702661082</v>
      </c>
      <c r="P7097" s="27">
        <v>20020000</v>
      </c>
      <c r="Q7097" s="5" t="s">
        <v>59899</v>
      </c>
      <c r="R7097" s="5" t="s">
        <v>59900</v>
      </c>
      <c r="S7097" s="5" t="s">
        <v>50378</v>
      </c>
      <c r="T7097" s="28">
        <v>177000</v>
      </c>
      <c r="U7097" s="28"/>
      <c r="V7097" s="28">
        <v>7277538000</v>
      </c>
      <c r="W7097" s="28">
        <v>1000000</v>
      </c>
      <c r="X7097" s="28">
        <v>140890000</v>
      </c>
      <c r="Y7097" s="28">
        <v>8138863000</v>
      </c>
      <c r="Z7097" s="28">
        <v>-57078000</v>
      </c>
      <c r="AA7097" s="28"/>
      <c r="AB7097" s="28">
        <v>4121000</v>
      </c>
      <c r="AC7097" s="28">
        <v>8174920000</v>
      </c>
      <c r="AD7097" s="28">
        <v>-36057000</v>
      </c>
      <c r="AE7097" s="28">
        <v>12812265000</v>
      </c>
      <c r="AF7097" s="28">
        <v>4770000</v>
      </c>
      <c r="AG7097" s="11"/>
    </row>
    <row r="7098">
      <c r="A7098" s="7" t="s">
        <v>8656</v>
      </c>
      <c r="B7098" s="5" t="s">
        <v>16586</v>
      </c>
      <c r="C7098" s="5" t="s">
        <v>24209</v>
      </c>
      <c r="D7098" s="5" t="str">
        <v>720401311100</v>
      </c>
      <c r="E7098" s="0" t="e">
        <f>+7 (345) 2746579
+7 (345) 2512367
+7 (904) 4748377
+7 (908) 8746579</f>
        <v>#NAME?</v>
      </c>
      <c r="F7098" s="5" t="s">
        <v>45948</v>
      </c>
      <c r="G7098" s="5"/>
      <c r="H7098" s="26">
        <v>15</v>
      </c>
      <c r="I7098" s="5" t="s">
        <v>45949</v>
      </c>
      <c r="J7098" s="5" t="s">
        <v>1095</v>
      </c>
      <c r="K7098" s="5" t="s">
        <v>344</v>
      </c>
      <c r="L7098" s="5" t="s">
        <v>664</v>
      </c>
      <c r="M7098" s="27">
        <v>1000</v>
      </c>
      <c r="N7098" s="5" t="s">
        <v>59901</v>
      </c>
      <c r="O7098" s="5" t="str">
        <v>7204124536</v>
      </c>
      <c r="P7098" s="27">
        <v>10000</v>
      </c>
      <c r="Q7098" s="5" t="s">
        <v>50486</v>
      </c>
      <c r="R7098" s="5"/>
      <c r="S7098" s="5" t="s">
        <v>59902</v>
      </c>
      <c r="T7098" s="28">
        <v>5786000</v>
      </c>
      <c r="U7098" s="28"/>
      <c r="V7098" s="28">
        <v>4252000</v>
      </c>
      <c r="W7098" s="28"/>
      <c r="X7098" s="28"/>
      <c r="Y7098" s="28">
        <v>10608000</v>
      </c>
      <c r="Z7098" s="28"/>
      <c r="AA7098" s="28"/>
      <c r="AB7098" s="28">
        <v>523000</v>
      </c>
      <c r="AC7098" s="28">
        <v>10598000</v>
      </c>
      <c r="AD7098" s="28">
        <v>2229000</v>
      </c>
      <c r="AE7098" s="28">
        <v>42921977000</v>
      </c>
      <c r="AF7098" s="28">
        <v>49326000</v>
      </c>
      <c r="AG7098" s="11"/>
    </row>
    <row r="7099">
      <c r="A7099" s="7" t="s">
        <v>8657</v>
      </c>
      <c r="B7099" s="5" t="s">
        <v>16587</v>
      </c>
      <c r="C7099" s="5" t="s">
        <v>22567</v>
      </c>
      <c r="D7099" s="5" t="str">
        <v>200703332140</v>
      </c>
      <c r="E7099" s="0" t="e">
        <f>+7 (963) 5948627</f>
        <v>#NAME?</v>
      </c>
      <c r="F7099" s="5"/>
      <c r="G7099" s="5"/>
      <c r="H7099" s="26">
        <v>4.5</v>
      </c>
      <c r="I7099" s="5" t="s">
        <v>40977</v>
      </c>
      <c r="J7099" s="5" t="s">
        <v>25738</v>
      </c>
      <c r="K7099" s="5" t="s">
        <v>355</v>
      </c>
      <c r="L7099" s="5" t="s">
        <v>45950</v>
      </c>
      <c r="M7099" s="27"/>
      <c r="N7099" s="5" t="s">
        <v>59903</v>
      </c>
      <c r="O7099" s="5" t="str">
        <v>2016004220</v>
      </c>
      <c r="P7099" s="27">
        <v>10000</v>
      </c>
      <c r="Q7099" s="5"/>
      <c r="R7099" s="5"/>
      <c r="S7099" s="5" t="s">
        <v>49110</v>
      </c>
      <c r="T7099" s="28"/>
      <c r="U7099" s="28"/>
      <c r="V7099" s="28">
        <v>10445513000</v>
      </c>
      <c r="W7099" s="28"/>
      <c r="X7099" s="28">
        <v>171000</v>
      </c>
      <c r="Y7099" s="28">
        <v>10445684000</v>
      </c>
      <c r="Z7099" s="28">
        <v>6668000</v>
      </c>
      <c r="AA7099" s="28"/>
      <c r="AB7099" s="28"/>
      <c r="AC7099" s="28">
        <v>10439006000</v>
      </c>
      <c r="AD7099" s="28">
        <v>6678000</v>
      </c>
      <c r="AE7099" s="28">
        <v>6019845000</v>
      </c>
      <c r="AF7099" s="28">
        <v>2411000</v>
      </c>
      <c r="AG7099" s="11"/>
    </row>
    <row r="7100">
      <c r="A7100" s="7" t="s">
        <v>8658</v>
      </c>
      <c r="B7100" s="5" t="s">
        <v>16588</v>
      </c>
      <c r="C7100" s="5" t="s">
        <v>24210</v>
      </c>
      <c r="D7100" s="5" t="str">
        <v>773202689287</v>
      </c>
      <c r="E7100" s="0" t="e">
        <f>+7 (495) 2223100
+7 (909) 6808838
+7 (985) 2223100</f>
        <v>#NAME?</v>
      </c>
      <c r="F7100" s="5" t="s">
        <v>45951</v>
      </c>
      <c r="G7100" s="5"/>
      <c r="H7100" s="26">
        <v>8.5</v>
      </c>
      <c r="I7100" s="5" t="s">
        <v>45952</v>
      </c>
      <c r="J7100" s="5" t="s">
        <v>25938</v>
      </c>
      <c r="K7100" s="5" t="s">
        <v>355</v>
      </c>
      <c r="L7100" s="5" t="s">
        <v>45953</v>
      </c>
      <c r="M7100" s="27"/>
      <c r="N7100" s="5"/>
      <c r="O7100" s="5" t="str">
        <v>5032284146</v>
      </c>
      <c r="P7100" s="27">
        <v>1810000</v>
      </c>
      <c r="Q7100" s="5" t="s">
        <v>49207</v>
      </c>
      <c r="R7100" s="5"/>
      <c r="S7100" s="5" t="s">
        <v>49565</v>
      </c>
      <c r="T7100" s="28">
        <v>51000</v>
      </c>
      <c r="U7100" s="28"/>
      <c r="V7100" s="28">
        <v>1457163000</v>
      </c>
      <c r="W7100" s="28">
        <v>529902000</v>
      </c>
      <c r="X7100" s="28">
        <v>3086000</v>
      </c>
      <c r="Y7100" s="28">
        <v>2114853000</v>
      </c>
      <c r="Z7100" s="28">
        <v>224604000</v>
      </c>
      <c r="AA7100" s="28">
        <v>408065000</v>
      </c>
      <c r="AB7100" s="28">
        <v>260429000</v>
      </c>
      <c r="AC7100" s="28">
        <v>1478767000</v>
      </c>
      <c r="AD7100" s="28">
        <v>226419000</v>
      </c>
      <c r="AE7100" s="28">
        <v>7506580000</v>
      </c>
      <c r="AF7100" s="28">
        <v>18532000</v>
      </c>
      <c r="AG7100" s="11"/>
    </row>
    <row r="7101">
      <c r="A7101" s="7" t="s">
        <v>8659</v>
      </c>
      <c r="B7101" s="5" t="s">
        <v>16589</v>
      </c>
      <c r="C7101" s="5" t="s">
        <v>24211</v>
      </c>
      <c r="D7101" s="5" t="str">
        <v>771310071737</v>
      </c>
      <c r="E7101" s="0" t="e">
        <f>+7 (495) 1501505
+7 (495) 5395259
+7 (495) 7816363
+7 (495) 9807765
+7 (495) 9807856
+7 (495) 9807957
+7 (495) 9807966
+7 (495) 9857856
+7 (800) 2005259</f>
        <v>#NAME?</v>
      </c>
      <c r="F7101" s="5" t="s">
        <v>45954</v>
      </c>
      <c r="G7101" s="5" t="s">
        <v>45955</v>
      </c>
      <c r="H7101" s="26">
        <v>11</v>
      </c>
      <c r="I7101" s="5" t="s">
        <v>45956</v>
      </c>
      <c r="J7101" s="5" t="s">
        <v>25424</v>
      </c>
      <c r="K7101" s="5" t="s">
        <v>344</v>
      </c>
      <c r="L7101" s="5" t="s">
        <v>45957</v>
      </c>
      <c r="M7101" s="27"/>
      <c r="N7101" s="5"/>
      <c r="O7101" s="5" t="str">
        <v>7726693904</v>
      </c>
      <c r="P7101" s="27">
        <v>4000000</v>
      </c>
      <c r="Q7101" s="5" t="s">
        <v>49009</v>
      </c>
      <c r="R7101" s="5"/>
      <c r="S7101" s="5" t="s">
        <v>49010</v>
      </c>
      <c r="T7101" s="28">
        <v>635620000</v>
      </c>
      <c r="U7101" s="28"/>
      <c r="V7101" s="28">
        <v>451257000</v>
      </c>
      <c r="W7101" s="28">
        <v>100000</v>
      </c>
      <c r="X7101" s="28">
        <v>437603000</v>
      </c>
      <c r="Y7101" s="28">
        <v>2533646000</v>
      </c>
      <c r="Z7101" s="28">
        <v>1349778000</v>
      </c>
      <c r="AA7101" s="28"/>
      <c r="AB7101" s="28">
        <v>209651000</v>
      </c>
      <c r="AC7101" s="28">
        <v>832072000</v>
      </c>
      <c r="AD7101" s="28">
        <v>1353778000</v>
      </c>
      <c r="AE7101" s="28">
        <v>3799562000</v>
      </c>
      <c r="AF7101" s="28">
        <v>625908000</v>
      </c>
      <c r="AG7101" s="11"/>
    </row>
    <row r="7102">
      <c r="A7102" s="7" t="s">
        <v>8660</v>
      </c>
      <c r="B7102" s="5" t="s">
        <v>16590</v>
      </c>
      <c r="C7102" s="5" t="s">
        <v>24212</v>
      </c>
      <c r="D7102" s="5" t="str">
        <v>770302391146</v>
      </c>
      <c r="E7102" s="0" t="e">
        <f>+7 (495) 9464542
+7 (495) 3478200
+7 (495) 6268195
+7 (495) 6426065
+7 (495) 6426069
+7 (495) 9264542
+7 (495) 9376607
+7 (499) 1163860
+7 (800) 7757758
+7 (926) 8979773
+7 (985) 9991424</f>
        <v>#NAME?</v>
      </c>
      <c r="F7102" s="5" t="s">
        <v>45958</v>
      </c>
      <c r="G7102" s="5" t="s">
        <v>45959</v>
      </c>
      <c r="H7102" s="26">
        <v>14</v>
      </c>
      <c r="I7102" s="5" t="s">
        <v>45960</v>
      </c>
      <c r="J7102" s="5" t="s">
        <v>28573</v>
      </c>
      <c r="K7102" s="5" t="s">
        <v>355</v>
      </c>
      <c r="L7102" s="5"/>
      <c r="M7102" s="27"/>
      <c r="N7102" s="5" t="s">
        <v>59904</v>
      </c>
      <c r="O7102" s="5" t="str">
        <v>7714775020</v>
      </c>
      <c r="P7102" s="27">
        <v>2520561906</v>
      </c>
      <c r="Q7102" s="5" t="s">
        <v>49579</v>
      </c>
      <c r="R7102" s="5"/>
      <c r="S7102" s="5" t="s">
        <v>59905</v>
      </c>
      <c r="T7102" s="28">
        <v>110226000</v>
      </c>
      <c r="U7102" s="28">
        <v>4798000</v>
      </c>
      <c r="V7102" s="28">
        <v>56595782000</v>
      </c>
      <c r="W7102" s="28">
        <v>31150000</v>
      </c>
      <c r="X7102" s="28">
        <v>643597000</v>
      </c>
      <c r="Y7102" s="28">
        <v>59627599000</v>
      </c>
      <c r="Z7102" s="28">
        <v>-9893009000</v>
      </c>
      <c r="AA7102" s="28"/>
      <c r="AB7102" s="28">
        <v>16959522000</v>
      </c>
      <c r="AC7102" s="28">
        <v>54237337000</v>
      </c>
      <c r="AD7102" s="28">
        <v>4808392000</v>
      </c>
      <c r="AE7102" s="28">
        <v>37371286000</v>
      </c>
      <c r="AF7102" s="28">
        <v>3463364000</v>
      </c>
      <c r="AG7102" s="11"/>
    </row>
    <row r="7103">
      <c r="A7103" s="7" t="s">
        <v>8661</v>
      </c>
      <c r="B7103" s="5" t="s">
        <v>11794</v>
      </c>
      <c r="C7103" s="5" t="s">
        <v>24213</v>
      </c>
      <c r="D7103" s="5" t="str">
        <v>253803678614</v>
      </c>
      <c r="E7103" s="0" t="e">
        <f>+7 (391) 2580908
+7 (391) 2580909
+7 (391) 2591961
+7 (495) 5439076</f>
        <v>#NAME?</v>
      </c>
      <c r="F7103" s="5" t="s">
        <v>45961</v>
      </c>
      <c r="G7103" s="5"/>
      <c r="H7103" s="26">
        <v>22</v>
      </c>
      <c r="I7103" s="5"/>
      <c r="J7103" s="5" t="s">
        <v>26180</v>
      </c>
      <c r="K7103" s="5" t="s">
        <v>355</v>
      </c>
      <c r="L7103" s="5"/>
      <c r="M7103" s="27">
        <v>5743500</v>
      </c>
      <c r="N7103" s="5" t="s">
        <v>59906</v>
      </c>
      <c r="O7103" s="5" t="str">
        <v>2460047153</v>
      </c>
      <c r="P7103" s="27">
        <v>8494000</v>
      </c>
      <c r="Q7103" s="5" t="s">
        <v>59907</v>
      </c>
      <c r="R7103" s="5"/>
      <c r="S7103" s="5" t="s">
        <v>59908</v>
      </c>
      <c r="T7103" s="28">
        <v>12433049000</v>
      </c>
      <c r="U7103" s="28"/>
      <c r="V7103" s="28">
        <v>2647120000</v>
      </c>
      <c r="W7103" s="28">
        <v>660467000</v>
      </c>
      <c r="X7103" s="28">
        <v>12959000</v>
      </c>
      <c r="Y7103" s="28">
        <v>21500585000</v>
      </c>
      <c r="Z7103" s="28">
        <v>-4162465000</v>
      </c>
      <c r="AA7103" s="28"/>
      <c r="AB7103" s="28">
        <v>2415000000</v>
      </c>
      <c r="AC7103" s="28">
        <v>6565982000</v>
      </c>
      <c r="AD7103" s="28">
        <v>14886035000</v>
      </c>
      <c r="AE7103" s="28">
        <v>22969066000</v>
      </c>
      <c r="AF7103" s="28">
        <v>-3480301000</v>
      </c>
      <c r="AG7103" s="11"/>
    </row>
    <row r="7104">
      <c r="A7104" s="7" t="s">
        <v>8662</v>
      </c>
      <c r="B7104" s="5" t="s">
        <v>16591</v>
      </c>
      <c r="C7104" s="5" t="s">
        <v>24214</v>
      </c>
      <c r="D7104" s="5" t="str">
        <v>770465015042</v>
      </c>
      <c r="E7104" s="0" t="e">
        <f>+7 (3846) 647111
+7 (3846) 647124
+7 (3846) 647325
+7 (3846) 647800
+7 (499) 7033502
+7 (499) 7033509</f>
        <v>#NAME?</v>
      </c>
      <c r="F7104" s="5"/>
      <c r="G7104" s="5" t="s">
        <v>45962</v>
      </c>
      <c r="H7104" s="26">
        <v>8</v>
      </c>
      <c r="I7104" s="5" t="s">
        <v>45963</v>
      </c>
      <c r="J7104" s="5" t="s">
        <v>27296</v>
      </c>
      <c r="K7104" s="5" t="s">
        <v>344</v>
      </c>
      <c r="L7104" s="5"/>
      <c r="M7104" s="27"/>
      <c r="N7104" s="5" t="s">
        <v>51935</v>
      </c>
      <c r="O7104" s="5" t="str">
        <v>4205302930</v>
      </c>
      <c r="P7104" s="27">
        <v>100000</v>
      </c>
      <c r="Q7104" s="5" t="s">
        <v>49059</v>
      </c>
      <c r="R7104" s="5"/>
      <c r="S7104" s="5" t="s">
        <v>49496</v>
      </c>
      <c r="T7104" s="28">
        <v>103157000</v>
      </c>
      <c r="U7104" s="28"/>
      <c r="V7104" s="28">
        <v>9162727000</v>
      </c>
      <c r="W7104" s="28">
        <v>919800000</v>
      </c>
      <c r="X7104" s="28">
        <v>333592000</v>
      </c>
      <c r="Y7104" s="28">
        <v>10786807000</v>
      </c>
      <c r="Z7104" s="28">
        <v>2442224000</v>
      </c>
      <c r="AA7104" s="28"/>
      <c r="AB7104" s="28">
        <v>3201901000</v>
      </c>
      <c r="AC7104" s="28">
        <v>8074588000</v>
      </c>
      <c r="AD7104" s="28">
        <v>2442324000</v>
      </c>
      <c r="AE7104" s="28">
        <v>17295748000</v>
      </c>
      <c r="AF7104" s="28">
        <v>3032218000</v>
      </c>
      <c r="AG7104" s="11"/>
    </row>
    <row r="7105">
      <c r="A7105" s="7" t="s">
        <v>8662</v>
      </c>
      <c r="B7105" s="5" t="s">
        <v>16592</v>
      </c>
      <c r="C7105" s="5" t="s">
        <v>24215</v>
      </c>
      <c r="D7105" s="5" t="str">
        <v>420524539241</v>
      </c>
      <c r="E7105" s="0" t="e">
        <f>+7 (913) 1242663</f>
        <v>#NAME?</v>
      </c>
      <c r="F7105" s="5" t="s">
        <v>45964</v>
      </c>
      <c r="G7105" s="5"/>
      <c r="H7105" s="26">
        <v>6.5</v>
      </c>
      <c r="I7105" s="5" t="s">
        <v>45965</v>
      </c>
      <c r="J7105" s="5" t="s">
        <v>373</v>
      </c>
      <c r="K7105" s="5" t="s">
        <v>344</v>
      </c>
      <c r="L7105" s="5" t="s">
        <v>45966</v>
      </c>
      <c r="M7105" s="27">
        <v>417009136</v>
      </c>
      <c r="N7105" s="5" t="s">
        <v>50738</v>
      </c>
      <c r="O7105" s="5" t="str">
        <v>7017405576</v>
      </c>
      <c r="P7105" s="27">
        <v>10000</v>
      </c>
      <c r="Q7105" s="5" t="s">
        <v>59909</v>
      </c>
      <c r="R7105" s="5" t="s">
        <v>59910</v>
      </c>
      <c r="S7105" s="5" t="s">
        <v>59911</v>
      </c>
      <c r="T7105" s="28">
        <v>3563000</v>
      </c>
      <c r="U7105" s="28">
        <v>813000000</v>
      </c>
      <c r="V7105" s="28">
        <v>8018888000</v>
      </c>
      <c r="W7105" s="28">
        <v>457771000</v>
      </c>
      <c r="X7105" s="28">
        <v>395839000</v>
      </c>
      <c r="Y7105" s="28">
        <v>10775901000</v>
      </c>
      <c r="Z7105" s="28">
        <v>1881445000</v>
      </c>
      <c r="AA7105" s="28">
        <v>675000000</v>
      </c>
      <c r="AB7105" s="28">
        <v>220438000</v>
      </c>
      <c r="AC7105" s="28">
        <v>8219337000</v>
      </c>
      <c r="AD7105" s="28">
        <v>1881455000</v>
      </c>
      <c r="AE7105" s="28">
        <v>143811807000</v>
      </c>
      <c r="AF7105" s="28">
        <v>1051113000</v>
      </c>
      <c r="AG7105" s="11"/>
    </row>
    <row r="7106">
      <c r="A7106" s="7" t="s">
        <v>8663</v>
      </c>
      <c r="B7106" s="5" t="s">
        <v>16593</v>
      </c>
      <c r="C7106" s="5" t="s">
        <v>24216</v>
      </c>
      <c r="D7106" s="5" t="str">
        <v>662506720900</v>
      </c>
      <c r="E7106" s="0" t="e">
        <f>+7 (343) 3117077
+7 (343) 2877799
+7 (343) 3295209</f>
        <v>#NAME?</v>
      </c>
      <c r="F7106" s="5" t="s">
        <v>45967</v>
      </c>
      <c r="G7106" s="5" t="s">
        <v>45968</v>
      </c>
      <c r="H7106" s="26">
        <v>16</v>
      </c>
      <c r="I7106" s="5"/>
      <c r="J7106" s="5" t="s">
        <v>25337</v>
      </c>
      <c r="K7106" s="5" t="s">
        <v>344</v>
      </c>
      <c r="L7106" s="5" t="s">
        <v>41321</v>
      </c>
      <c r="M7106" s="27"/>
      <c r="N7106" s="5" t="s">
        <v>59912</v>
      </c>
      <c r="O7106" s="5" t="str">
        <v>6673159758</v>
      </c>
      <c r="P7106" s="27">
        <v>760000</v>
      </c>
      <c r="Q7106" s="5" t="s">
        <v>55514</v>
      </c>
      <c r="R7106" s="5"/>
      <c r="S7106" s="5" t="s">
        <v>59913</v>
      </c>
      <c r="T7106" s="28">
        <v>6828000</v>
      </c>
      <c r="U7106" s="28">
        <v>10563000</v>
      </c>
      <c r="V7106" s="28">
        <v>1301494000</v>
      </c>
      <c r="W7106" s="28">
        <v>30050000</v>
      </c>
      <c r="X7106" s="28">
        <v>79654000</v>
      </c>
      <c r="Y7106" s="28">
        <v>2158299000</v>
      </c>
      <c r="Z7106" s="28">
        <v>98757000</v>
      </c>
      <c r="AA7106" s="28"/>
      <c r="AB7106" s="28">
        <v>6176000</v>
      </c>
      <c r="AC7106" s="28">
        <v>2057628000</v>
      </c>
      <c r="AD7106" s="28">
        <v>99555000</v>
      </c>
      <c r="AE7106" s="28">
        <v>4223690000</v>
      </c>
      <c r="AF7106" s="28">
        <v>5474000</v>
      </c>
      <c r="AG7106" s="11"/>
    </row>
    <row r="7107">
      <c r="A7107" s="7" t="s">
        <v>8664</v>
      </c>
      <c r="B7107" s="5" t="s">
        <v>16594</v>
      </c>
      <c r="C7107" s="5" t="s">
        <v>24217</v>
      </c>
      <c r="D7107" s="5" t="str">
        <v>631603699467</v>
      </c>
      <c r="E7107" s="0" t="e">
        <f>+7 (915) 2561933
+7 (343) 3727272
+7 (3519) 495000
+7 (391) 2160490
+7 (473) 2502550
+7 (800) 7750015
+7 (831) 2330000
+7 (83437) 27272
+7 (8452) 394394
+7 (914) 5385840
+7 (495) 7846671</f>
        <v>#NAME?</v>
      </c>
      <c r="F7107" s="5" t="s">
        <v>45969</v>
      </c>
      <c r="G7107" s="5"/>
      <c r="H7107" s="26">
        <v>21</v>
      </c>
      <c r="I7107" s="5" t="s">
        <v>45970</v>
      </c>
      <c r="J7107" s="5" t="s">
        <v>27783</v>
      </c>
      <c r="K7107" s="5" t="s">
        <v>344</v>
      </c>
      <c r="L7107" s="5"/>
      <c r="M7107" s="27">
        <v>5811061</v>
      </c>
      <c r="N7107" s="5" t="s">
        <v>59914</v>
      </c>
      <c r="O7107" s="5" t="str">
        <v>7709362765</v>
      </c>
      <c r="P7107" s="27">
        <v>5637539000</v>
      </c>
      <c r="Q7107" s="5" t="s">
        <v>59915</v>
      </c>
      <c r="R7107" s="5" t="s">
        <v>59916</v>
      </c>
      <c r="S7107" s="5" t="s">
        <v>59917</v>
      </c>
      <c r="T7107" s="28">
        <v>2900402000</v>
      </c>
      <c r="U7107" s="28">
        <v>282301000</v>
      </c>
      <c r="V7107" s="28">
        <v>1260264000</v>
      </c>
      <c r="W7107" s="28">
        <v>911319000</v>
      </c>
      <c r="X7107" s="28">
        <v>136951000</v>
      </c>
      <c r="Y7107" s="28">
        <v>6635222000</v>
      </c>
      <c r="Z7107" s="28">
        <v>-711249000</v>
      </c>
      <c r="AA7107" s="28"/>
      <c r="AB7107" s="28"/>
      <c r="AC7107" s="28">
        <v>1696957000</v>
      </c>
      <c r="AD7107" s="28">
        <v>4839138000</v>
      </c>
      <c r="AE7107" s="28">
        <v>5385115000</v>
      </c>
      <c r="AF7107" s="28">
        <v>-392851000</v>
      </c>
      <c r="AG7107" s="11"/>
    </row>
    <row r="7108">
      <c r="A7108" s="7" t="s">
        <v>8665</v>
      </c>
      <c r="B7108" s="5" t="s">
        <v>16595</v>
      </c>
      <c r="C7108" s="5" t="s">
        <v>24218</v>
      </c>
      <c r="D7108" s="5" t="str">
        <v>860500259266</v>
      </c>
      <c r="E7108" s="0" t="e">
        <f>+7 (904) 4561061
+7 (904) 4661061
+7 (34643) 41367
+7 (34643) 41368
+7 (34643) 41725
+7 (34663) 41619
+7 (34671) 41619
+7 (34671) 41725</f>
        <v>#NAME?</v>
      </c>
      <c r="F7108" s="5" t="s">
        <v>45971</v>
      </c>
      <c r="G7108" s="5"/>
      <c r="H7108" s="26">
        <v>24</v>
      </c>
      <c r="I7108" s="5" t="s">
        <v>45972</v>
      </c>
      <c r="J7108" s="5" t="s">
        <v>33185</v>
      </c>
      <c r="K7108" s="5" t="s">
        <v>344</v>
      </c>
      <c r="L7108" s="5" t="s">
        <v>45973</v>
      </c>
      <c r="M7108" s="27">
        <v>144192</v>
      </c>
      <c r="N7108" s="5" t="s">
        <v>59918</v>
      </c>
      <c r="O7108" s="5" t="str">
        <v>8603217985</v>
      </c>
      <c r="P7108" s="27">
        <v>40000</v>
      </c>
      <c r="Q7108" s="5" t="s">
        <v>59919</v>
      </c>
      <c r="R7108" s="5"/>
      <c r="S7108" s="5" t="s">
        <v>59920</v>
      </c>
      <c r="T7108" s="28">
        <v>299808000</v>
      </c>
      <c r="U7108" s="28"/>
      <c r="V7108" s="28">
        <v>890669000</v>
      </c>
      <c r="W7108" s="28">
        <v>112320000</v>
      </c>
      <c r="X7108" s="28">
        <v>20954000</v>
      </c>
      <c r="Y7108" s="28">
        <v>1767992000</v>
      </c>
      <c r="Z7108" s="28">
        <v>562708000</v>
      </c>
      <c r="AA7108" s="28">
        <v>129004000</v>
      </c>
      <c r="AB7108" s="28">
        <v>235415000</v>
      </c>
      <c r="AC7108" s="28">
        <v>1076234000</v>
      </c>
      <c r="AD7108" s="28">
        <v>562754000</v>
      </c>
      <c r="AE7108" s="28">
        <v>3809634000</v>
      </c>
      <c r="AF7108" s="28">
        <v>194526000</v>
      </c>
      <c r="AG7108" s="11"/>
    </row>
    <row r="7109">
      <c r="A7109" s="7" t="s">
        <v>8666</v>
      </c>
      <c r="B7109" s="5" t="s">
        <v>16596</v>
      </c>
      <c r="C7109" s="5" t="s">
        <v>24219</v>
      </c>
      <c r="D7109" s="5" t="str">
        <v>781427318622</v>
      </c>
      <c r="E7109" s="0" t="e">
        <f>+7 (3432) 75458
+7 (495) 9266684
+7 (495) 9802384
+7 (499) 9170540
+7 (903) 2476852</f>
        <v>#NAME?</v>
      </c>
      <c r="F7109" s="5" t="s">
        <v>45974</v>
      </c>
      <c r="G7109" s="5" t="s">
        <v>45975</v>
      </c>
      <c r="H7109" s="26">
        <v>18.5</v>
      </c>
      <c r="I7109" s="5" t="s">
        <v>45976</v>
      </c>
      <c r="J7109" s="5" t="s">
        <v>25670</v>
      </c>
      <c r="K7109" s="5" t="s">
        <v>344</v>
      </c>
      <c r="L7109" s="5" t="s">
        <v>45977</v>
      </c>
      <c r="M7109" s="27"/>
      <c r="N7109" s="5" t="s">
        <v>59921</v>
      </c>
      <c r="O7109" s="5" t="str">
        <v>7743534196</v>
      </c>
      <c r="P7109" s="27">
        <v>25000000</v>
      </c>
      <c r="Q7109" s="5" t="s">
        <v>59922</v>
      </c>
      <c r="R7109" s="5"/>
      <c r="S7109" s="5" t="s">
        <v>58693</v>
      </c>
      <c r="T7109" s="28">
        <v>379264000</v>
      </c>
      <c r="U7109" s="28"/>
      <c r="V7109" s="28">
        <v>7462434000</v>
      </c>
      <c r="W7109" s="28">
        <v>30000000</v>
      </c>
      <c r="X7109" s="28">
        <v>256258000</v>
      </c>
      <c r="Y7109" s="28">
        <v>9319313000</v>
      </c>
      <c r="Z7109" s="28">
        <v>533866000</v>
      </c>
      <c r="AA7109" s="28">
        <v>7382043000</v>
      </c>
      <c r="AB7109" s="28">
        <v>1530000</v>
      </c>
      <c r="AC7109" s="28">
        <v>107798000</v>
      </c>
      <c r="AD7109" s="28">
        <v>650640000</v>
      </c>
      <c r="AE7109" s="28">
        <v>4297720000</v>
      </c>
      <c r="AF7109" s="28">
        <v>59168000</v>
      </c>
      <c r="AG7109" s="11"/>
    </row>
    <row r="7110">
      <c r="A7110" s="7" t="s">
        <v>8667</v>
      </c>
      <c r="B7110" s="5" t="s">
        <v>16597</v>
      </c>
      <c r="C7110" s="5" t="s">
        <v>24220</v>
      </c>
      <c r="D7110" s="5" t="str">
        <v>622900977232</v>
      </c>
      <c r="E7110" s="0" t="e">
        <f>+7 (495) 9567165
+7 (491) 2312713
+7 (4912) 241029
+7 (4912) 241039
+7 (4912) 957848
+7 (905) 6925018</f>
        <v>#NAME?</v>
      </c>
      <c r="F7110" s="5" t="s">
        <v>45978</v>
      </c>
      <c r="G7110" s="5" t="s">
        <v>45979</v>
      </c>
      <c r="H7110" s="26">
        <v>11.5</v>
      </c>
      <c r="I7110" s="5" t="s">
        <v>45980</v>
      </c>
      <c r="J7110" s="5" t="s">
        <v>26229</v>
      </c>
      <c r="K7110" s="5" t="s">
        <v>344</v>
      </c>
      <c r="L7110" s="5" t="s">
        <v>45981</v>
      </c>
      <c r="M7110" s="27"/>
      <c r="N7110" s="5"/>
      <c r="O7110" s="5" t="str">
        <v>6230075474</v>
      </c>
      <c r="P7110" s="27">
        <v>1000000</v>
      </c>
      <c r="Q7110" s="5" t="s">
        <v>49009</v>
      </c>
      <c r="R7110" s="5"/>
      <c r="S7110" s="5" t="s">
        <v>49066</v>
      </c>
      <c r="T7110" s="28">
        <v>80776000</v>
      </c>
      <c r="U7110" s="28">
        <v>2020000</v>
      </c>
      <c r="V7110" s="28">
        <v>1001267000</v>
      </c>
      <c r="W7110" s="28">
        <v>420000000</v>
      </c>
      <c r="X7110" s="28">
        <v>49156000</v>
      </c>
      <c r="Y7110" s="28">
        <v>3021703000</v>
      </c>
      <c r="Z7110" s="28">
        <v>731870000</v>
      </c>
      <c r="AA7110" s="28">
        <v>80000000</v>
      </c>
      <c r="AB7110" s="28"/>
      <c r="AC7110" s="28">
        <v>2208833000</v>
      </c>
      <c r="AD7110" s="28">
        <v>732870000</v>
      </c>
      <c r="AE7110" s="28">
        <v>3994387000</v>
      </c>
      <c r="AF7110" s="28">
        <v>34365000</v>
      </c>
      <c r="AG7110" s="11"/>
    </row>
    <row r="7111">
      <c r="A7111" s="7" t="s">
        <v>8667</v>
      </c>
      <c r="B7111" s="5" t="s">
        <v>16598</v>
      </c>
      <c r="C7111" s="5" t="s">
        <v>24221</v>
      </c>
      <c r="D7111" s="5" t="str">
        <v>622813236943</v>
      </c>
      <c r="E7111" s="0" t="e">
        <f>+7 (4912) 241051
+7 (910) 9096606
+7 (4912) 241291
+7 (4912) 243369
+7 (4912) 245494
+7 (4912) 245495
+7 (4912) 285296
+7 (495) 1280389
+7 (83146) 18626
+7 (844) 2262914
+7 (855) 2779906
+7 (8632) 752629
+7 (917) 3387773
+7 (920) 401213
+7 (920) 6389662</f>
        <v>#NAME?</v>
      </c>
      <c r="F7111" s="5" t="s">
        <v>45982</v>
      </c>
      <c r="G7111" s="5" t="s">
        <v>45983</v>
      </c>
      <c r="H7111" s="26">
        <v>7</v>
      </c>
      <c r="I7111" s="5" t="s">
        <v>45984</v>
      </c>
      <c r="J7111" s="5" t="s">
        <v>25550</v>
      </c>
      <c r="K7111" s="5" t="s">
        <v>344</v>
      </c>
      <c r="L7111" s="5" t="s">
        <v>45985</v>
      </c>
      <c r="M7111" s="27"/>
      <c r="N7111" s="5" t="s">
        <v>59923</v>
      </c>
      <c r="O7111" s="5" t="str">
        <v>5027238810</v>
      </c>
      <c r="P7111" s="27">
        <v>2020202</v>
      </c>
      <c r="Q7111" s="5" t="s">
        <v>49009</v>
      </c>
      <c r="R7111" s="5"/>
      <c r="S7111" s="5" t="s">
        <v>59924</v>
      </c>
      <c r="T7111" s="28">
        <v>2277000</v>
      </c>
      <c r="U7111" s="28">
        <v>12371000</v>
      </c>
      <c r="V7111" s="28">
        <v>329674000</v>
      </c>
      <c r="W7111" s="28"/>
      <c r="X7111" s="28">
        <v>80497000</v>
      </c>
      <c r="Y7111" s="28">
        <v>866539000</v>
      </c>
      <c r="Z7111" s="28">
        <v>539996000</v>
      </c>
      <c r="AA7111" s="28">
        <v>21041000</v>
      </c>
      <c r="AB7111" s="28">
        <v>88565000</v>
      </c>
      <c r="AC7111" s="28">
        <v>301801000</v>
      </c>
      <c r="AD7111" s="28">
        <v>542016000</v>
      </c>
      <c r="AE7111" s="28">
        <v>3211978000</v>
      </c>
      <c r="AF7111" s="28">
        <v>272966000</v>
      </c>
      <c r="AG7111" s="11"/>
    </row>
    <row r="7112">
      <c r="A7112" s="7" t="s">
        <v>8668</v>
      </c>
      <c r="B7112" s="5" t="s">
        <v>16599</v>
      </c>
      <c r="C7112" s="5" t="s">
        <v>24222</v>
      </c>
      <c r="D7112" s="5" t="str">
        <v>501208587231</v>
      </c>
      <c r="E7112" s="0" t="e">
        <f>+7 (495) 2102502
+7 (495) 9567165
+7 (495) 9567169
+7 (495) 6405725
+7 (495) 6632322
+7 (495) 7653398
+7 (495) 9567153
+7 (495) 9567154
+7 (495) 9567159
+7 (495) 9567162
+7 (495) 9567167
+7 (495) 9567168
+7 (495) 9845400
+7 (905) 1879071
+7 (905) 1879142</f>
        <v>#NAME?</v>
      </c>
      <c r="F7112" s="5" t="s">
        <v>45986</v>
      </c>
      <c r="G7112" s="5" t="s">
        <v>45987</v>
      </c>
      <c r="H7112" s="26">
        <v>12</v>
      </c>
      <c r="I7112" s="5" t="s">
        <v>45988</v>
      </c>
      <c r="J7112" s="5" t="s">
        <v>397</v>
      </c>
      <c r="K7112" s="5" t="s">
        <v>344</v>
      </c>
      <c r="L7112" s="5" t="s">
        <v>45989</v>
      </c>
      <c r="M7112" s="27"/>
      <c r="N7112" s="5" t="s">
        <v>59925</v>
      </c>
      <c r="O7112" s="5" t="str">
        <v>7722747203</v>
      </c>
      <c r="P7112" s="27">
        <v>1000000</v>
      </c>
      <c r="Q7112" s="5" t="s">
        <v>59926</v>
      </c>
      <c r="R7112" s="5"/>
      <c r="S7112" s="5" t="s">
        <v>59927</v>
      </c>
      <c r="T7112" s="28">
        <v>23440000</v>
      </c>
      <c r="U7112" s="28"/>
      <c r="V7112" s="28">
        <v>376884000</v>
      </c>
      <c r="W7112" s="28"/>
      <c r="X7112" s="28">
        <v>83419000</v>
      </c>
      <c r="Y7112" s="28">
        <v>1095721000</v>
      </c>
      <c r="Z7112" s="28">
        <v>301034000</v>
      </c>
      <c r="AA7112" s="28"/>
      <c r="AB7112" s="28">
        <v>60643000</v>
      </c>
      <c r="AC7112" s="28">
        <v>780883000</v>
      </c>
      <c r="AD7112" s="28">
        <v>302034000</v>
      </c>
      <c r="AE7112" s="28">
        <v>5210219000</v>
      </c>
      <c r="AF7112" s="28">
        <v>181635000</v>
      </c>
      <c r="AG7112" s="11"/>
    </row>
    <row r="7113">
      <c r="A7113" s="7" t="s">
        <v>8669</v>
      </c>
      <c r="B7113" s="5" t="s">
        <v>16600</v>
      </c>
      <c r="C7113" s="5" t="s">
        <v>24223</v>
      </c>
      <c r="D7113" s="5" t="str">
        <v>632519687602</v>
      </c>
      <c r="E7113" s="0" t="e">
        <f>+7 (8482) 379118
+7 (8482) 379120
+7 (8482) 379125
+7 (916) 7370077
+7 (927) 2100200</f>
        <v>#NAME?</v>
      </c>
      <c r="F7113" s="5"/>
      <c r="G7113" s="5"/>
      <c r="H7113" s="26">
        <v>7.5</v>
      </c>
      <c r="I7113" s="5" t="s">
        <v>45990</v>
      </c>
      <c r="J7113" s="5" t="s">
        <v>27977</v>
      </c>
      <c r="K7113" s="5" t="s">
        <v>344</v>
      </c>
      <c r="L7113" s="5" t="s">
        <v>45991</v>
      </c>
      <c r="M7113" s="27"/>
      <c r="N7113" s="5"/>
      <c r="O7113" s="5" t="str">
        <v>6324064630</v>
      </c>
      <c r="P7113" s="27">
        <v>10000</v>
      </c>
      <c r="Q7113" s="5" t="s">
        <v>49009</v>
      </c>
      <c r="R7113" s="5" t="s">
        <v>59928</v>
      </c>
      <c r="S7113" s="5" t="s">
        <v>49978</v>
      </c>
      <c r="T7113" s="28">
        <v>299954000</v>
      </c>
      <c r="U7113" s="28"/>
      <c r="V7113" s="28">
        <v>439307000</v>
      </c>
      <c r="W7113" s="28"/>
      <c r="X7113" s="28">
        <v>1663000</v>
      </c>
      <c r="Y7113" s="28">
        <v>1478736000</v>
      </c>
      <c r="Z7113" s="28">
        <v>849539000</v>
      </c>
      <c r="AA7113" s="28"/>
      <c r="AB7113" s="28"/>
      <c r="AC7113" s="28">
        <v>626292000</v>
      </c>
      <c r="AD7113" s="28">
        <v>849549000</v>
      </c>
      <c r="AE7113" s="28">
        <v>3605522000</v>
      </c>
      <c r="AF7113" s="28">
        <v>-12069000</v>
      </c>
      <c r="AG7113" s="11"/>
    </row>
    <row r="7114">
      <c r="A7114" s="7" t="s">
        <v>8670</v>
      </c>
      <c r="B7114" s="5" t="s">
        <v>16601</v>
      </c>
      <c r="C7114" s="5" t="s">
        <v>24224</v>
      </c>
      <c r="D7114" s="5" t="str">
        <v>770100180110</v>
      </c>
      <c r="E7114" s="0" t="e">
        <f>+7 (495) 7758749</f>
        <v>#NAME?</v>
      </c>
      <c r="F7114" s="5"/>
      <c r="G7114" s="5"/>
      <c r="H7114" s="26">
        <v>11</v>
      </c>
      <c r="I7114" s="5" t="s">
        <v>45992</v>
      </c>
      <c r="J7114" s="5" t="s">
        <v>467</v>
      </c>
      <c r="K7114" s="5" t="s">
        <v>355</v>
      </c>
      <c r="L7114" s="5"/>
      <c r="M7114" s="27">
        <v>2550</v>
      </c>
      <c r="N7114" s="5"/>
      <c r="O7114" s="5" t="str">
        <v>7701951751</v>
      </c>
      <c r="P7114" s="27">
        <v>50000</v>
      </c>
      <c r="Q7114" s="5" t="s">
        <v>52260</v>
      </c>
      <c r="R7114" s="5" t="s">
        <v>59929</v>
      </c>
      <c r="S7114" s="5" t="s">
        <v>53812</v>
      </c>
      <c r="T7114" s="28">
        <v>662572000</v>
      </c>
      <c r="U7114" s="28"/>
      <c r="V7114" s="28">
        <v>481051000</v>
      </c>
      <c r="W7114" s="28"/>
      <c r="X7114" s="28">
        <v>29580000</v>
      </c>
      <c r="Y7114" s="28">
        <v>2304864000</v>
      </c>
      <c r="Z7114" s="28">
        <v>615403000</v>
      </c>
      <c r="AA7114" s="28"/>
      <c r="AB7114" s="28">
        <v>181878000</v>
      </c>
      <c r="AC7114" s="28">
        <v>1411932000</v>
      </c>
      <c r="AD7114" s="28">
        <v>735043000</v>
      </c>
      <c r="AE7114" s="28">
        <v>5580547000</v>
      </c>
      <c r="AF7114" s="28">
        <v>42501000</v>
      </c>
      <c r="AG7114" s="11"/>
    </row>
    <row r="7115">
      <c r="A7115" s="7" t="s">
        <v>8671</v>
      </c>
      <c r="B7115" s="5" t="s">
        <v>16602</v>
      </c>
      <c r="C7115" s="5" t="s">
        <v>24225</v>
      </c>
      <c r="D7115" s="5" t="str">
        <v>503211544520</v>
      </c>
      <c r="E7115" s="0" t="e">
        <f>+7 (495) 6175038
+7 (495) 6175040
+7 (495) 6175043
+7 (495) 6175155
+7 (495) 6177099
+7 (495) 6177163
+7 (495) 6177167
+7 (495) 6177189
+7 (495) 6177316
+7 (495) 6177507
+7 (495) 6178082
+7 (495) 6178626
+7 (495) 6178888
+7 (495) 6178977
+7 (495) 6179060</f>
        <v>#NAME?</v>
      </c>
      <c r="F7115" s="5" t="s">
        <v>45993</v>
      </c>
      <c r="G7115" s="5" t="s">
        <v>45994</v>
      </c>
      <c r="H7115" s="26">
        <v>30</v>
      </c>
      <c r="I7115" s="5" t="s">
        <v>28630</v>
      </c>
      <c r="J7115" s="5" t="s">
        <v>25247</v>
      </c>
      <c r="K7115" s="5" t="s">
        <v>344</v>
      </c>
      <c r="L7115" s="5"/>
      <c r="M7115" s="27"/>
      <c r="N7115" s="5" t="s">
        <v>59930</v>
      </c>
      <c r="O7115" s="5" t="str">
        <v>7717022723</v>
      </c>
      <c r="P7115" s="27">
        <v>963780000</v>
      </c>
      <c r="Q7115" s="5" t="s">
        <v>59931</v>
      </c>
      <c r="R7115" s="5"/>
      <c r="S7115" s="5" t="s">
        <v>59932</v>
      </c>
      <c r="T7115" s="28">
        <v>15511713000</v>
      </c>
      <c r="U7115" s="28">
        <v>300000</v>
      </c>
      <c r="V7115" s="28">
        <v>594998000</v>
      </c>
      <c r="W7115" s="28"/>
      <c r="X7115" s="28">
        <v>382529000</v>
      </c>
      <c r="Y7115" s="28">
        <v>17175606000</v>
      </c>
      <c r="Z7115" s="28">
        <v>3269335000</v>
      </c>
      <c r="AA7115" s="28">
        <v>25000000</v>
      </c>
      <c r="AB7115" s="28">
        <v>303213000</v>
      </c>
      <c r="AC7115" s="28">
        <v>7162699000</v>
      </c>
      <c r="AD7115" s="28">
        <v>14152244000</v>
      </c>
      <c r="AE7115" s="28">
        <v>6751714000</v>
      </c>
      <c r="AF7115" s="28">
        <v>484000</v>
      </c>
      <c r="AG7115" s="11"/>
    </row>
    <row r="7116">
      <c r="A7116" s="7" t="s">
        <v>8672</v>
      </c>
      <c r="B7116" s="5" t="s">
        <v>16603</v>
      </c>
      <c r="C7116" s="5" t="s">
        <v>22369</v>
      </c>
      <c r="D7116" s="5" t="str">
        <v>031400029982</v>
      </c>
      <c r="E7116" s="0" t="e">
        <f>+7 (30143) 23096
+7 (30143) 23408
+7 (30143) 23505
+7 (30143) 23507
+7 (30143) 24382
+7 (30143) 24496
+7 (30143) 24512
+7 (30143) 24514
+7 (30143) 24515</f>
        <v>#NAME?</v>
      </c>
      <c r="F7116" s="5" t="s">
        <v>45995</v>
      </c>
      <c r="G7116" s="5" t="s">
        <v>43905</v>
      </c>
      <c r="H7116" s="26">
        <v>17.5</v>
      </c>
      <c r="I7116" s="5" t="s">
        <v>45996</v>
      </c>
      <c r="J7116" s="5" t="s">
        <v>31248</v>
      </c>
      <c r="K7116" s="5" t="s">
        <v>344</v>
      </c>
      <c r="L7116" s="5"/>
      <c r="M7116" s="27"/>
      <c r="N7116" s="5"/>
      <c r="O7116" s="5" t="str">
        <v>2466130383</v>
      </c>
      <c r="P7116" s="27">
        <v>858819300</v>
      </c>
      <c r="Q7116" s="5" t="s">
        <v>49009</v>
      </c>
      <c r="R7116" s="5" t="s">
        <v>57074</v>
      </c>
      <c r="S7116" s="5" t="s">
        <v>49010</v>
      </c>
      <c r="T7116" s="28">
        <v>7700754000</v>
      </c>
      <c r="U7116" s="28"/>
      <c r="V7116" s="28">
        <v>799554000</v>
      </c>
      <c r="W7116" s="28"/>
      <c r="X7116" s="28">
        <v>853000</v>
      </c>
      <c r="Y7116" s="28">
        <v>9195169000</v>
      </c>
      <c r="Z7116" s="28">
        <v>270357000</v>
      </c>
      <c r="AA7116" s="28"/>
      <c r="AB7116" s="28">
        <v>7104861000</v>
      </c>
      <c r="AC7116" s="28">
        <v>7673931000</v>
      </c>
      <c r="AD7116" s="28">
        <v>1258731000</v>
      </c>
      <c r="AE7116" s="28">
        <v>5185554000</v>
      </c>
      <c r="AF7116" s="28">
        <v>769132000</v>
      </c>
      <c r="AG7116" s="11"/>
    </row>
    <row r="7117">
      <c r="A7117" s="7" t="s">
        <v>8673</v>
      </c>
      <c r="B7117" s="5" t="s">
        <v>16604</v>
      </c>
      <c r="C7117" s="5" t="s">
        <v>24226</v>
      </c>
      <c r="D7117" s="5" t="str">
        <v>143501514586</v>
      </c>
      <c r="E7117" s="0" t="e">
        <f>+7 (411) 2353695
+7 (411) 2355395
+7 (411) 2355696
+7 (411) 2318066
+7 (411) 2324298
+7 (411) 2324300
+7 (411) 2324332
+7 (411) 2355695
+7 (411) 2355767
+7 (411) 2433232
+7 (411) 2433454
+7 (411) 2433515
+7 (411) 2434003
+7 (411) 2434843
+7 (914) 2215601</f>
        <v>#NAME?</v>
      </c>
      <c r="F7117" s="5" t="s">
        <v>45997</v>
      </c>
      <c r="G7117" s="5" t="s">
        <v>45998</v>
      </c>
      <c r="H7117" s="26">
        <v>24.5</v>
      </c>
      <c r="I7117" s="5"/>
      <c r="J7117" s="5" t="s">
        <v>25327</v>
      </c>
      <c r="K7117" s="5" t="s">
        <v>344</v>
      </c>
      <c r="L7117" s="5" t="s">
        <v>30980</v>
      </c>
      <c r="M7117" s="27">
        <v>6983213</v>
      </c>
      <c r="N7117" s="5" t="s">
        <v>59933</v>
      </c>
      <c r="O7117" s="5" t="str">
        <v>1435149745</v>
      </c>
      <c r="P7117" s="27">
        <v>95590130</v>
      </c>
      <c r="Q7117" s="5" t="s">
        <v>59934</v>
      </c>
      <c r="R7117" s="5"/>
      <c r="S7117" s="5" t="s">
        <v>59935</v>
      </c>
      <c r="T7117" s="28">
        <v>1737342000</v>
      </c>
      <c r="U7117" s="28">
        <v>369838000</v>
      </c>
      <c r="V7117" s="28">
        <v>1560054000</v>
      </c>
      <c r="W7117" s="28">
        <v>379650000</v>
      </c>
      <c r="X7117" s="28">
        <v>311614000</v>
      </c>
      <c r="Y7117" s="28">
        <v>5383348000</v>
      </c>
      <c r="Z7117" s="28">
        <v>1462761000</v>
      </c>
      <c r="AA7117" s="28">
        <v>960000000</v>
      </c>
      <c r="AB7117" s="28">
        <v>1402481000</v>
      </c>
      <c r="AC7117" s="28">
        <v>2600027000</v>
      </c>
      <c r="AD7117" s="28">
        <v>1580947000</v>
      </c>
      <c r="AE7117" s="28">
        <v>9077061000</v>
      </c>
      <c r="AF7117" s="28">
        <v>301477000</v>
      </c>
      <c r="AG7117" s="11"/>
    </row>
    <row r="7118">
      <c r="A7118" s="7" t="s">
        <v>8674</v>
      </c>
      <c r="B7118" s="5" t="s">
        <v>16605</v>
      </c>
      <c r="C7118" s="5" t="s">
        <v>20400</v>
      </c>
      <c r="D7118" s="5"/>
      <c r="E7118" s="0" t="e">
        <f>+7 (487) 2240111
+7 (487) 2240591
+7 (487) 2240777
+7 (487) 2240904
+7 (487) 2240910
+7 (487) 2361610
+7 (487) 2362396
+7 (910) 5515371</f>
        <v>#NAME?</v>
      </c>
      <c r="F7118" s="5" t="s">
        <v>45999</v>
      </c>
      <c r="G7118" s="5" t="s">
        <v>46000</v>
      </c>
      <c r="H7118" s="26">
        <v>29.5</v>
      </c>
      <c r="I7118" s="5"/>
      <c r="J7118" s="5" t="s">
        <v>389</v>
      </c>
      <c r="K7118" s="5" t="s">
        <v>344</v>
      </c>
      <c r="L7118" s="5" t="s">
        <v>46001</v>
      </c>
      <c r="M7118" s="27"/>
      <c r="N7118" s="5" t="s">
        <v>59936</v>
      </c>
      <c r="O7118" s="5" t="str">
        <v>7107003230</v>
      </c>
      <c r="P7118" s="27">
        <v>80064288</v>
      </c>
      <c r="Q7118" s="5" t="s">
        <v>49009</v>
      </c>
      <c r="R7118" s="5"/>
      <c r="S7118" s="5" t="s">
        <v>59937</v>
      </c>
      <c r="T7118" s="28">
        <v>160647000</v>
      </c>
      <c r="U7118" s="28">
        <v>4009360000</v>
      </c>
      <c r="V7118" s="28">
        <v>357297000</v>
      </c>
      <c r="W7118" s="28">
        <v>731139000</v>
      </c>
      <c r="X7118" s="28">
        <v>58903000</v>
      </c>
      <c r="Y7118" s="28">
        <v>6400259000</v>
      </c>
      <c r="Z7118" s="28">
        <v>-89848000</v>
      </c>
      <c r="AA7118" s="28">
        <v>4604088000</v>
      </c>
      <c r="AB7118" s="28">
        <v>573028000</v>
      </c>
      <c r="AC7118" s="28">
        <v>1798090000</v>
      </c>
      <c r="AD7118" s="28">
        <v>-4750000</v>
      </c>
      <c r="AE7118" s="28">
        <v>3550662000</v>
      </c>
      <c r="AF7118" s="28">
        <v>-291595000</v>
      </c>
      <c r="AG7118" s="11"/>
    </row>
    <row r="7119">
      <c r="A7119" s="7" t="s">
        <v>8675</v>
      </c>
      <c r="B7119" s="5" t="s">
        <v>16606</v>
      </c>
      <c r="C7119" s="5" t="s">
        <v>24227</v>
      </c>
      <c r="D7119" s="5" t="str">
        <v>771607348323</v>
      </c>
      <c r="E7119" s="0" t="e">
        <f>+7 (487) 2365440
+7 (487) 2369498
+7 (487) 2556538
+7 (487) 2200632
+7 (487) 2276534
+7 (487) 2520025
+7 (487) 2525678
+7 (487) 2566534
+7 (910) 5588668
+7 (910) 9413799
+7 (987) 4309212</f>
        <v>#NAME?</v>
      </c>
      <c r="F7119" s="5" t="s">
        <v>46002</v>
      </c>
      <c r="G7119" s="5" t="s">
        <v>46003</v>
      </c>
      <c r="H7119" s="26">
        <v>30.5</v>
      </c>
      <c r="I7119" s="5"/>
      <c r="J7119" s="5" t="s">
        <v>46004</v>
      </c>
      <c r="K7119" s="5" t="s">
        <v>355</v>
      </c>
      <c r="L7119" s="5" t="s">
        <v>46005</v>
      </c>
      <c r="M7119" s="27"/>
      <c r="N7119" s="5" t="s">
        <v>59938</v>
      </c>
      <c r="O7119" s="5" t="str">
        <v>7104002647</v>
      </c>
      <c r="P7119" s="27">
        <v>13886</v>
      </c>
      <c r="Q7119" s="5" t="s">
        <v>59939</v>
      </c>
      <c r="R7119" s="5"/>
      <c r="S7119" s="5" t="s">
        <v>59940</v>
      </c>
      <c r="T7119" s="28">
        <v>320998000</v>
      </c>
      <c r="U7119" s="28"/>
      <c r="V7119" s="28">
        <v>2113062000</v>
      </c>
      <c r="W7119" s="28"/>
      <c r="X7119" s="28">
        <v>356965000</v>
      </c>
      <c r="Y7119" s="28">
        <v>5061414000</v>
      </c>
      <c r="Z7119" s="28">
        <v>864187000</v>
      </c>
      <c r="AA7119" s="28">
        <v>2146824000</v>
      </c>
      <c r="AB7119" s="28">
        <v>32169000</v>
      </c>
      <c r="AC7119" s="28">
        <v>1860141000</v>
      </c>
      <c r="AD7119" s="28">
        <v>1053084000</v>
      </c>
      <c r="AE7119" s="28">
        <v>3969040000</v>
      </c>
      <c r="AF7119" s="28">
        <v>50634000</v>
      </c>
      <c r="AG7119" s="11"/>
    </row>
    <row r="7120">
      <c r="A7120" s="7" t="s">
        <v>8676</v>
      </c>
      <c r="B7120" s="5" t="s">
        <v>16607</v>
      </c>
      <c r="C7120" s="5" t="s">
        <v>24228</v>
      </c>
      <c r="D7120" s="5" t="str">
        <v>710604182616</v>
      </c>
      <c r="E7120" s="0" t="e">
        <f>+7 (487) 2232358
+7 (481) 2425939
+7 (487) 2220570
+7 (487) 2223726
+7 (487) 2253216
+7 (487) 2253741
+7 (487) 2255489
+7 (487) 2335540
+7 (487) 2336647
+7 (487) 2355645
+7 (487) 2361158
+7 (487) 2245939
+7 (487) 2250970
+7 (487) 2252097
+7 (487) 2335412</f>
        <v>#NAME?</v>
      </c>
      <c r="F7120" s="5" t="s">
        <v>46006</v>
      </c>
      <c r="G7120" s="5" t="s">
        <v>46007</v>
      </c>
      <c r="H7120" s="26">
        <v>29</v>
      </c>
      <c r="I7120" s="5"/>
      <c r="J7120" s="5" t="s">
        <v>30678</v>
      </c>
      <c r="K7120" s="5" t="s">
        <v>355</v>
      </c>
      <c r="L7120" s="5"/>
      <c r="M7120" s="27">
        <v>293182526</v>
      </c>
      <c r="N7120" s="5" t="s">
        <v>59941</v>
      </c>
      <c r="O7120" s="5" t="str">
        <v>7102005547</v>
      </c>
      <c r="P7120" s="27">
        <v>36410</v>
      </c>
      <c r="Q7120" s="5" t="s">
        <v>59943</v>
      </c>
      <c r="R7120" s="5"/>
      <c r="S7120" s="5" t="s">
        <v>51350</v>
      </c>
      <c r="T7120" s="28">
        <v>364427000</v>
      </c>
      <c r="U7120" s="28"/>
      <c r="V7120" s="28">
        <v>1342382000</v>
      </c>
      <c r="W7120" s="28"/>
      <c r="X7120" s="28">
        <v>36280000</v>
      </c>
      <c r="Y7120" s="28">
        <v>2148173000</v>
      </c>
      <c r="Z7120" s="28">
        <v>-202300000</v>
      </c>
      <c r="AA7120" s="28"/>
      <c r="AB7120" s="28"/>
      <c r="AC7120" s="28">
        <v>1995867000</v>
      </c>
      <c r="AD7120" s="28">
        <v>-198565000</v>
      </c>
      <c r="AE7120" s="28">
        <v>5035781000</v>
      </c>
      <c r="AF7120" s="28">
        <v>16968000</v>
      </c>
      <c r="AG7120" s="11"/>
    </row>
    <row r="7121">
      <c r="A7121" s="7" t="s">
        <v>8677</v>
      </c>
      <c r="B7121" s="5" t="s">
        <v>16608</v>
      </c>
      <c r="C7121" s="5" t="s">
        <v>24229</v>
      </c>
      <c r="D7121" s="5" t="str">
        <v>710300394672</v>
      </c>
      <c r="E7121" s="0" t="e">
        <f>+7 (906) 6269253
+7 (915) 6860151
+7 (487) 2231765
+7 (487) 2231846
+7 (487) 2273301
+7 (487) 2300350
+7 (487) 2309323
+7 (487) 2329272
+7 (487) 2362757
+7 (487) 2554417
+7 (487) 2558958</f>
        <v>#NAME?</v>
      </c>
      <c r="F7121" s="5" t="s">
        <v>46008</v>
      </c>
      <c r="G7121" s="5"/>
      <c r="H7121" s="26">
        <v>29.5</v>
      </c>
      <c r="I7121" s="5"/>
      <c r="J7121" s="5" t="s">
        <v>32275</v>
      </c>
      <c r="K7121" s="5" t="s">
        <v>344</v>
      </c>
      <c r="L7121" s="5"/>
      <c r="M7121" s="27">
        <v>59213245</v>
      </c>
      <c r="N7121" s="5" t="s">
        <v>59944</v>
      </c>
      <c r="O7121" s="5" t="str">
        <v>7106002829</v>
      </c>
      <c r="P7121" s="27">
        <v>238908000</v>
      </c>
      <c r="Q7121" s="5" t="s">
        <v>59945</v>
      </c>
      <c r="R7121" s="5"/>
      <c r="S7121" s="5" t="s">
        <v>59946</v>
      </c>
      <c r="T7121" s="28">
        <v>2352211000</v>
      </c>
      <c r="U7121" s="28">
        <v>1356358000</v>
      </c>
      <c r="V7121" s="28">
        <v>7428775000</v>
      </c>
      <c r="W7121" s="28"/>
      <c r="X7121" s="28">
        <v>3584340000</v>
      </c>
      <c r="Y7121" s="28">
        <v>19286778000</v>
      </c>
      <c r="Z7121" s="28">
        <v>4656897000</v>
      </c>
      <c r="AA7121" s="28"/>
      <c r="AB7121" s="28"/>
      <c r="AC7121" s="28">
        <v>11285562000</v>
      </c>
      <c r="AD7121" s="28">
        <v>5609167000</v>
      </c>
      <c r="AE7121" s="28">
        <v>10553737000</v>
      </c>
      <c r="AF7121" s="28">
        <v>1050570000</v>
      </c>
      <c r="AG7121" s="11"/>
    </row>
    <row r="7122">
      <c r="A7122" s="7" t="s">
        <v>8678</v>
      </c>
      <c r="B7122" s="5" t="s">
        <v>14316</v>
      </c>
      <c r="C7122" s="5" t="s">
        <v>20243</v>
      </c>
      <c r="D7122" s="5"/>
      <c r="E7122" s="0" t="e">
        <f>+7 (487) 2406754
+7 (487) 2456059
+7 (487) 2331510
+7 (487) 2366364
+7 (487) 2456157
+7 (487) 2456161
+7 (487) 2456256
+7 (487) 2456266
+7 (487) 2456437
+7 (487) 2456482
+7 (487) 2456539
+7 (487) 2456767
+7 (487) 2456777
+7 (487) 2456971
+7 (487) 2457070</f>
        <v>#NAME?</v>
      </c>
      <c r="F7122" s="5" t="s">
        <v>46009</v>
      </c>
      <c r="G7122" s="5" t="s">
        <v>46010</v>
      </c>
      <c r="H7122" s="26">
        <v>31</v>
      </c>
      <c r="I7122" s="5"/>
      <c r="J7122" s="5" t="s">
        <v>32426</v>
      </c>
      <c r="K7122" s="5" t="s">
        <v>355</v>
      </c>
      <c r="L7122" s="5" t="s">
        <v>46011</v>
      </c>
      <c r="M7122" s="27">
        <v>236207173</v>
      </c>
      <c r="N7122" s="5" t="s">
        <v>59947</v>
      </c>
      <c r="O7122" s="5" t="str">
        <v>7105008031</v>
      </c>
      <c r="P7122" s="27">
        <v>10000000</v>
      </c>
      <c r="Q7122" s="5" t="s">
        <v>49009</v>
      </c>
      <c r="R7122" s="5" t="s">
        <v>59948</v>
      </c>
      <c r="S7122" s="5" t="s">
        <v>52448</v>
      </c>
      <c r="T7122" s="28">
        <v>12318275000</v>
      </c>
      <c r="U7122" s="28">
        <v>18363862000</v>
      </c>
      <c r="V7122" s="28">
        <v>27105089000</v>
      </c>
      <c r="W7122" s="28"/>
      <c r="X7122" s="28">
        <v>6831821000</v>
      </c>
      <c r="Y7122" s="28">
        <v>72762895000</v>
      </c>
      <c r="Z7122" s="28">
        <v>4876516000</v>
      </c>
      <c r="AA7122" s="28">
        <v>32945449000</v>
      </c>
      <c r="AB7122" s="28">
        <v>28251017000</v>
      </c>
      <c r="AC7122" s="28">
        <v>34393324000</v>
      </c>
      <c r="AD7122" s="28">
        <v>4930496000</v>
      </c>
      <c r="AE7122" s="28">
        <v>68704237000</v>
      </c>
      <c r="AF7122" s="28">
        <v>-2699355000</v>
      </c>
      <c r="AG7122" s="11"/>
    </row>
    <row r="7123">
      <c r="A7123" s="7" t="s">
        <v>8679</v>
      </c>
      <c r="B7123" s="5" t="s">
        <v>16609</v>
      </c>
      <c r="C7123" s="5" t="s">
        <v>24230</v>
      </c>
      <c r="D7123" s="5" t="str">
        <v>590409039777</v>
      </c>
      <c r="E7123" s="0" t="e">
        <f>+7 (48762) 70441
+7 (487) 2717156
+7 (48762) 70608
+7 (495) 3690236
+7 (499) 9401268
+7 (910) 7024080</f>
        <v>#NAME?</v>
      </c>
      <c r="F7123" s="5" t="s">
        <v>46012</v>
      </c>
      <c r="G7123" s="5" t="s">
        <v>46013</v>
      </c>
      <c r="H7123" s="26">
        <v>10</v>
      </c>
      <c r="I7123" s="5" t="s">
        <v>46014</v>
      </c>
      <c r="J7123" s="5" t="s">
        <v>26503</v>
      </c>
      <c r="K7123" s="5" t="s">
        <v>355</v>
      </c>
      <c r="L7123" s="5"/>
      <c r="M7123" s="27"/>
      <c r="N7123" s="5" t="s">
        <v>59949</v>
      </c>
      <c r="O7123" s="5" t="str">
        <v>7751507541</v>
      </c>
      <c r="P7123" s="27">
        <v>174000000</v>
      </c>
      <c r="Q7123" s="5" t="s">
        <v>59950</v>
      </c>
      <c r="R7123" s="5"/>
      <c r="S7123" s="5" t="s">
        <v>59951</v>
      </c>
      <c r="T7123" s="28">
        <v>1182172000</v>
      </c>
      <c r="U7123" s="28"/>
      <c r="V7123" s="28">
        <v>1634641000</v>
      </c>
      <c r="W7123" s="28">
        <v>7000000</v>
      </c>
      <c r="X7123" s="28">
        <v>6454000</v>
      </c>
      <c r="Y7123" s="28">
        <v>4236133000</v>
      </c>
      <c r="Z7123" s="28">
        <v>336228000</v>
      </c>
      <c r="AA7123" s="28">
        <v>80000000</v>
      </c>
      <c r="AB7123" s="28">
        <v>833670000</v>
      </c>
      <c r="AC7123" s="28">
        <v>3415553000</v>
      </c>
      <c r="AD7123" s="28">
        <v>686100000</v>
      </c>
      <c r="AE7123" s="28">
        <v>4975966000</v>
      </c>
      <c r="AF7123" s="28">
        <v>35278000</v>
      </c>
      <c r="AG7123" s="11"/>
    </row>
    <row r="7124">
      <c r="A7124" s="7" t="s">
        <v>8680</v>
      </c>
      <c r="B7124" s="5" t="s">
        <v>16610</v>
      </c>
      <c r="C7124" s="5" t="s">
        <v>24231</v>
      </c>
      <c r="D7124" s="5" t="str">
        <v>711608758187</v>
      </c>
      <c r="E7124" s="0" t="e">
        <f>+7 (48731) 50226
+7 (48731) 50227
+7 (910) 5814044</f>
        <v>#NAME?</v>
      </c>
      <c r="F7124" s="5" t="s">
        <v>46015</v>
      </c>
      <c r="G7124" s="5" t="s">
        <v>46016</v>
      </c>
      <c r="H7124" s="26">
        <v>5.5</v>
      </c>
      <c r="I7124" s="5" t="s">
        <v>46017</v>
      </c>
      <c r="J7124" s="5" t="s">
        <v>26128</v>
      </c>
      <c r="K7124" s="5" t="s">
        <v>344</v>
      </c>
      <c r="L7124" s="5" t="s">
        <v>46018</v>
      </c>
      <c r="M7124" s="27">
        <v>78046825</v>
      </c>
      <c r="N7124" s="5"/>
      <c r="O7124" s="5" t="str">
        <v>7114023685</v>
      </c>
      <c r="P7124" s="27">
        <v>20000</v>
      </c>
      <c r="Q7124" s="5" t="s">
        <v>49059</v>
      </c>
      <c r="R7124" s="5"/>
      <c r="S7124" s="5" t="s">
        <v>49371</v>
      </c>
      <c r="T7124" s="28">
        <v>166182000</v>
      </c>
      <c r="U7124" s="28"/>
      <c r="V7124" s="28">
        <v>114391000</v>
      </c>
      <c r="W7124" s="28"/>
      <c r="X7124" s="28">
        <v>123785000</v>
      </c>
      <c r="Y7124" s="28">
        <v>469380000</v>
      </c>
      <c r="Z7124" s="28">
        <v>386402000</v>
      </c>
      <c r="AA7124" s="28">
        <v>9500000</v>
      </c>
      <c r="AB7124" s="28">
        <v>13000</v>
      </c>
      <c r="AC7124" s="28">
        <v>57918000</v>
      </c>
      <c r="AD7124" s="28">
        <v>386422000</v>
      </c>
      <c r="AE7124" s="28">
        <v>4699869000</v>
      </c>
      <c r="AF7124" s="28">
        <v>178546000</v>
      </c>
      <c r="AG7124" s="11"/>
    </row>
    <row r="7125">
      <c r="A7125" s="7" t="s">
        <v>8681</v>
      </c>
      <c r="B7125" s="5" t="s">
        <v>16611</v>
      </c>
      <c r="C7125" s="5" t="s">
        <v>24232</v>
      </c>
      <c r="D7125" s="5"/>
      <c r="E7125" s="0" t="e">
        <f>+7 (347) 6621682
+7 (3472) 228374
+7 (3472) 990183
+7 (34766) 23444
+7 (905) 3510162
+7 (905) 3510183</f>
        <v>#NAME?</v>
      </c>
      <c r="F7125" s="5" t="s">
        <v>46019</v>
      </c>
      <c r="G7125" s="5" t="s">
        <v>46020</v>
      </c>
      <c r="H7125" s="26">
        <v>20</v>
      </c>
      <c r="I7125" s="5" t="s">
        <v>46021</v>
      </c>
      <c r="J7125" s="5" t="s">
        <v>25450</v>
      </c>
      <c r="K7125" s="5" t="s">
        <v>355</v>
      </c>
      <c r="L7125" s="5"/>
      <c r="M7125" s="27">
        <v>772607</v>
      </c>
      <c r="N7125" s="5"/>
      <c r="O7125" s="5" t="str">
        <v>0258009128</v>
      </c>
      <c r="P7125" s="27">
        <v>635000000</v>
      </c>
      <c r="Q7125" s="5" t="s">
        <v>49009</v>
      </c>
      <c r="R7125" s="5" t="s">
        <v>56132</v>
      </c>
      <c r="S7125" s="5" t="s">
        <v>49010</v>
      </c>
      <c r="T7125" s="28">
        <v>2588889000</v>
      </c>
      <c r="U7125" s="28"/>
      <c r="V7125" s="28">
        <v>492774000</v>
      </c>
      <c r="W7125" s="28"/>
      <c r="X7125" s="28">
        <v>550000</v>
      </c>
      <c r="Y7125" s="28">
        <v>4346453000</v>
      </c>
      <c r="Z7125" s="28">
        <v>-8868418000</v>
      </c>
      <c r="AA7125" s="28">
        <v>1497687000</v>
      </c>
      <c r="AB7125" s="28">
        <v>33881000</v>
      </c>
      <c r="AC7125" s="28">
        <v>935301000</v>
      </c>
      <c r="AD7125" s="28">
        <v>1914257000</v>
      </c>
      <c r="AE7125" s="28">
        <v>7638303000</v>
      </c>
      <c r="AF7125" s="28">
        <v>-761148000</v>
      </c>
      <c r="AG7125" s="11"/>
    </row>
    <row r="7126">
      <c r="A7126" s="7" t="s">
        <v>8682</v>
      </c>
      <c r="B7126" s="5" t="s">
        <v>16611</v>
      </c>
      <c r="C7126" s="5" t="s">
        <v>19710</v>
      </c>
      <c r="D7126" s="5" t="str">
        <v>502408398995</v>
      </c>
      <c r="E7126" s="0" t="e">
        <f>+7 (800) 3508350
+7 (916) 5200466
+7 (926) 6090721</f>
        <v>#NAME?</v>
      </c>
      <c r="F7126" s="5"/>
      <c r="G7126" s="5"/>
      <c r="H7126" s="26">
        <v>6.5</v>
      </c>
      <c r="I7126" s="5" t="s">
        <v>46022</v>
      </c>
      <c r="J7126" s="5" t="s">
        <v>25986</v>
      </c>
      <c r="K7126" s="5" t="s">
        <v>344</v>
      </c>
      <c r="L7126" s="5"/>
      <c r="M7126" s="27"/>
      <c r="N7126" s="5"/>
      <c r="O7126" s="5" t="str">
        <v>0258950871</v>
      </c>
      <c r="P7126" s="27">
        <v>563416386</v>
      </c>
      <c r="Q7126" s="5"/>
      <c r="R7126" s="5"/>
      <c r="S7126" s="5" t="s">
        <v>49496</v>
      </c>
      <c r="T7126" s="28">
        <v>5449000</v>
      </c>
      <c r="U7126" s="28"/>
      <c r="V7126" s="28">
        <v>490201000</v>
      </c>
      <c r="W7126" s="28"/>
      <c r="X7126" s="28">
        <v>56318000</v>
      </c>
      <c r="Y7126" s="28">
        <v>627718000</v>
      </c>
      <c r="Z7126" s="28">
        <v>-44609000</v>
      </c>
      <c r="AA7126" s="28"/>
      <c r="AB7126" s="28"/>
      <c r="AC7126" s="28">
        <v>108808000</v>
      </c>
      <c r="AD7126" s="28">
        <v>518807000</v>
      </c>
      <c r="AE7126" s="28">
        <v>8959908000</v>
      </c>
      <c r="AF7126" s="28">
        <v>3260000</v>
      </c>
      <c r="AG7126" s="11"/>
    </row>
    <row r="7127">
      <c r="A7127" s="7" t="s">
        <v>8683</v>
      </c>
      <c r="B7127" s="5" t="s">
        <v>12109</v>
      </c>
      <c r="C7127" s="5" t="s">
        <v>18857</v>
      </c>
      <c r="D7127" s="5"/>
      <c r="E7127" s="0" t="e">
        <f>+7 (423) 2406253
+7 (4232) 224167
+7 (4232) 227878
+7 (4232) 269621
+7 (4232) 406252</f>
        <v>#NAME?</v>
      </c>
      <c r="F7127" s="5" t="s">
        <v>46023</v>
      </c>
      <c r="G7127" s="5" t="s">
        <v>46024</v>
      </c>
      <c r="H7127" s="26">
        <v>29.5</v>
      </c>
      <c r="I7127" s="5"/>
      <c r="J7127" s="5" t="s">
        <v>26424</v>
      </c>
      <c r="K7127" s="5" t="s">
        <v>344</v>
      </c>
      <c r="L7127" s="5"/>
      <c r="M7127" s="27"/>
      <c r="N7127" s="5" t="s">
        <v>59953</v>
      </c>
      <c r="O7127" s="5" t="str">
        <v>2536053382</v>
      </c>
      <c r="P7127" s="27">
        <v>242748905</v>
      </c>
      <c r="Q7127" s="5"/>
      <c r="R7127" s="5" t="s">
        <v>59954</v>
      </c>
      <c r="S7127" s="5" t="s">
        <v>49425</v>
      </c>
      <c r="T7127" s="28">
        <v>877315000</v>
      </c>
      <c r="U7127" s="28">
        <v>86204000</v>
      </c>
      <c r="V7127" s="28">
        <v>6477815000</v>
      </c>
      <c r="W7127" s="28"/>
      <c r="X7127" s="28">
        <v>791000</v>
      </c>
      <c r="Y7127" s="28">
        <v>12802670000</v>
      </c>
      <c r="Z7127" s="28">
        <v>-589062000</v>
      </c>
      <c r="AA7127" s="28">
        <v>512040000</v>
      </c>
      <c r="AB7127" s="28">
        <v>855345000</v>
      </c>
      <c r="AC7127" s="28">
        <v>5172119000</v>
      </c>
      <c r="AD7127" s="28">
        <v>6845115000</v>
      </c>
      <c r="AE7127" s="28">
        <v>8089729000</v>
      </c>
      <c r="AF7127" s="28">
        <v>367632000</v>
      </c>
      <c r="AG7127" s="11"/>
    </row>
    <row r="7128">
      <c r="A7128" s="7" t="s">
        <v>8684</v>
      </c>
      <c r="B7128" s="5" t="s">
        <v>16612</v>
      </c>
      <c r="C7128" s="5" t="s">
        <v>24233</v>
      </c>
      <c r="D7128" s="5" t="str">
        <v>780247456822</v>
      </c>
      <c r="E7128" s="0" t="e">
        <f>+7 (81367) 48300
+7 (81367) 52221</f>
        <v>#NAME?</v>
      </c>
      <c r="F7128" s="5" t="s">
        <v>46025</v>
      </c>
      <c r="G7128" s="5"/>
      <c r="H7128" s="26">
        <v>22</v>
      </c>
      <c r="I7128" s="5" t="s">
        <v>46026</v>
      </c>
      <c r="J7128" s="5" t="s">
        <v>31498</v>
      </c>
      <c r="K7128" s="5" t="s">
        <v>344</v>
      </c>
      <c r="L7128" s="5"/>
      <c r="M7128" s="27">
        <v>1596021</v>
      </c>
      <c r="N7128" s="5"/>
      <c r="O7128" s="5" t="str">
        <v>4715026195</v>
      </c>
      <c r="P7128" s="27">
        <v>23608100</v>
      </c>
      <c r="Q7128" s="5" t="s">
        <v>49009</v>
      </c>
      <c r="R7128" s="5"/>
      <c r="S7128" s="5" t="s">
        <v>49010</v>
      </c>
      <c r="T7128" s="28">
        <v>2502486000</v>
      </c>
      <c r="U7128" s="28"/>
      <c r="V7128" s="28">
        <v>435175000</v>
      </c>
      <c r="W7128" s="28"/>
      <c r="X7128" s="28">
        <v>641326000</v>
      </c>
      <c r="Y7128" s="28">
        <v>7737385000</v>
      </c>
      <c r="Z7128" s="28">
        <v>3687720000</v>
      </c>
      <c r="AA7128" s="28">
        <v>1945992000</v>
      </c>
      <c r="AB7128" s="28">
        <v>724315000</v>
      </c>
      <c r="AC7128" s="28">
        <v>1756453000</v>
      </c>
      <c r="AD7128" s="28">
        <v>3711328000</v>
      </c>
      <c r="AE7128" s="28">
        <v>11887289000</v>
      </c>
      <c r="AF7128" s="28">
        <v>3049188000</v>
      </c>
      <c r="AG7128" s="11"/>
    </row>
    <row r="7129">
      <c r="A7129" s="7" t="s">
        <v>8685</v>
      </c>
      <c r="B7129" s="5" t="s">
        <v>16613</v>
      </c>
      <c r="C7129" s="5" t="s">
        <v>24234</v>
      </c>
      <c r="D7129" s="5" t="str">
        <v>423800268126</v>
      </c>
      <c r="E7129" s="0" t="e">
        <f>+7 (904) 9627887
+7 (909) 71010
+7 (3843) 323570
+7 (3843) 323580
+7 (3843) 323590
+7 (3843) 451511
+7 (3843) 451606
+7 (3843) 451653
+7 (3843) 452598
+7 (903) 9095066</f>
        <v>#NAME?</v>
      </c>
      <c r="F7129" s="5" t="s">
        <v>46027</v>
      </c>
      <c r="G7129" s="5" t="s">
        <v>46028</v>
      </c>
      <c r="H7129" s="26">
        <v>9</v>
      </c>
      <c r="I7129" s="5" t="s">
        <v>46029</v>
      </c>
      <c r="J7129" s="5" t="s">
        <v>33185</v>
      </c>
      <c r="K7129" s="5" t="s">
        <v>355</v>
      </c>
      <c r="L7129" s="5" t="s">
        <v>36362</v>
      </c>
      <c r="M7129" s="27">
        <v>235955170</v>
      </c>
      <c r="N7129" s="5"/>
      <c r="O7129" s="5" t="str">
        <v>4253020541</v>
      </c>
      <c r="P7129" s="27">
        <v>1522185464</v>
      </c>
      <c r="Q7129" s="5" t="s">
        <v>59956</v>
      </c>
      <c r="R7129" s="5"/>
      <c r="S7129" s="5" t="s">
        <v>49747</v>
      </c>
      <c r="T7129" s="28">
        <v>7577637000</v>
      </c>
      <c r="U7129" s="28">
        <v>400000</v>
      </c>
      <c r="V7129" s="28">
        <v>1358118000</v>
      </c>
      <c r="W7129" s="28">
        <v>67000</v>
      </c>
      <c r="X7129" s="28">
        <v>403377000</v>
      </c>
      <c r="Y7129" s="28">
        <v>11783236000</v>
      </c>
      <c r="Z7129" s="28">
        <v>-787798000</v>
      </c>
      <c r="AA7129" s="28"/>
      <c r="AB7129" s="28">
        <v>1567192000</v>
      </c>
      <c r="AC7129" s="28">
        <v>5667645000</v>
      </c>
      <c r="AD7129" s="28">
        <v>734388000</v>
      </c>
      <c r="AE7129" s="28">
        <v>10222207000</v>
      </c>
      <c r="AF7129" s="28">
        <v>630595000</v>
      </c>
      <c r="AG7129" s="11"/>
    </row>
    <row r="7130">
      <c r="A7130" s="7" t="s">
        <v>8686</v>
      </c>
      <c r="B7130" s="5" t="s">
        <v>16614</v>
      </c>
      <c r="C7130" s="5" t="s">
        <v>24235</v>
      </c>
      <c r="D7130" s="5" t="str">
        <v>773317546870</v>
      </c>
      <c r="E7130" s="0" t="e">
        <f>+7 (3433) 116101
+7 (383) 3190327
+7 (495) 6497173
+7 (495) 6497175
+7 (495) 6497176
+7 (812) 4494345
+7 (861) 2345322
+7 (920) 314463
+7 (920) 4660301
+7 (921) 7630429
+7 (922) 349303
+7 (922) 5105055
+7 (923) 2345225
+7 (923) 2478879
+7 (923) 3113332</f>
        <v>#NAME?</v>
      </c>
      <c r="F7130" s="5" t="s">
        <v>46030</v>
      </c>
      <c r="G7130" s="5" t="s">
        <v>46031</v>
      </c>
      <c r="H7130" s="26">
        <v>13.5</v>
      </c>
      <c r="I7130" s="5" t="s">
        <v>46032</v>
      </c>
      <c r="J7130" s="5" t="s">
        <v>27522</v>
      </c>
      <c r="K7130" s="5" t="s">
        <v>344</v>
      </c>
      <c r="L7130" s="5"/>
      <c r="M7130" s="27"/>
      <c r="N7130" s="5" t="s">
        <v>59957</v>
      </c>
      <c r="O7130" s="5" t="str">
        <v>7727696432</v>
      </c>
      <c r="P7130" s="27">
        <v>1000000</v>
      </c>
      <c r="Q7130" s="5" t="s">
        <v>49021</v>
      </c>
      <c r="R7130" s="5"/>
      <c r="S7130" s="5" t="s">
        <v>50742</v>
      </c>
      <c r="T7130" s="28">
        <v>226282000</v>
      </c>
      <c r="U7130" s="28">
        <v>103056000</v>
      </c>
      <c r="V7130" s="28">
        <v>7985449000</v>
      </c>
      <c r="W7130" s="28">
        <v>538949000</v>
      </c>
      <c r="X7130" s="28">
        <v>324555000</v>
      </c>
      <c r="Y7130" s="28">
        <v>14440136000</v>
      </c>
      <c r="Z7130" s="28">
        <v>4656257000</v>
      </c>
      <c r="AA7130" s="28">
        <v>1500000000</v>
      </c>
      <c r="AB7130" s="28">
        <v>5768014000</v>
      </c>
      <c r="AC7130" s="28">
        <v>8054497000</v>
      </c>
      <c r="AD7130" s="28">
        <v>4657407000</v>
      </c>
      <c r="AE7130" s="28">
        <v>29367349000</v>
      </c>
      <c r="AF7130" s="28">
        <v>422833000</v>
      </c>
      <c r="AG7130" s="11"/>
    </row>
    <row r="7131">
      <c r="A7131" s="7" t="s">
        <v>8687</v>
      </c>
      <c r="B7131" s="5" t="s">
        <v>16615</v>
      </c>
      <c r="C7131" s="5" t="s">
        <v>24236</v>
      </c>
      <c r="D7131" s="5" t="str">
        <v>312816230705</v>
      </c>
      <c r="E7131" s="0" t="e">
        <f>+7 (472) 2316105
+7 (4725) 233720
+7 (4725) 449743
+7 (4725) 469384
+7 (4725) 469601</f>
        <v>#NAME?</v>
      </c>
      <c r="F7131" s="5" t="s">
        <v>46033</v>
      </c>
      <c r="G7131" s="5" t="s">
        <v>46034</v>
      </c>
      <c r="H7131" s="26">
        <v>25.5</v>
      </c>
      <c r="I7131" s="5"/>
      <c r="J7131" s="5" t="s">
        <v>30657</v>
      </c>
      <c r="K7131" s="5" t="s">
        <v>344</v>
      </c>
      <c r="L7131" s="5" t="s">
        <v>46035</v>
      </c>
      <c r="M7131" s="27">
        <v>28555204</v>
      </c>
      <c r="N7131" s="5" t="s">
        <v>59958</v>
      </c>
      <c r="O7131" s="5" t="str">
        <v>3128028527</v>
      </c>
      <c r="P7131" s="27">
        <v>250000000</v>
      </c>
      <c r="Q7131" s="5" t="s">
        <v>59959</v>
      </c>
      <c r="R7131" s="5"/>
      <c r="S7131" s="5" t="s">
        <v>59960</v>
      </c>
      <c r="T7131" s="28">
        <v>803146000</v>
      </c>
      <c r="U7131" s="28"/>
      <c r="V7131" s="28">
        <v>2378568000</v>
      </c>
      <c r="W7131" s="28">
        <v>2000000</v>
      </c>
      <c r="X7131" s="28">
        <v>17395000</v>
      </c>
      <c r="Y7131" s="28">
        <v>4231864000</v>
      </c>
      <c r="Z7131" s="28">
        <v>409682000</v>
      </c>
      <c r="AA7131" s="28">
        <v>47000000</v>
      </c>
      <c r="AB7131" s="28"/>
      <c r="AC7131" s="28">
        <v>3395566000</v>
      </c>
      <c r="AD7131" s="28">
        <v>659682000</v>
      </c>
      <c r="AE7131" s="28">
        <v>5995914000</v>
      </c>
      <c r="AF7131" s="28">
        <v>125481000</v>
      </c>
      <c r="AG7131" s="11"/>
    </row>
    <row r="7132">
      <c r="A7132" s="7" t="s">
        <v>8688</v>
      </c>
      <c r="B7132" s="5" t="s">
        <v>16616</v>
      </c>
      <c r="C7132" s="5" t="s">
        <v>24237</v>
      </c>
      <c r="D7132" s="5" t="str">
        <v>772401403830</v>
      </c>
      <c r="E7132" s="0" t="e">
        <f>+7 (499) 1710710
+7 (499) 2705695</f>
        <v>#NAME?</v>
      </c>
      <c r="F7132" s="5" t="s">
        <v>46036</v>
      </c>
      <c r="G7132" s="5"/>
      <c r="H7132" s="26">
        <v>23</v>
      </c>
      <c r="I7132" s="5" t="s">
        <v>46037</v>
      </c>
      <c r="J7132" s="5" t="s">
        <v>678</v>
      </c>
      <c r="K7132" s="5" t="s">
        <v>344</v>
      </c>
      <c r="L7132" s="5"/>
      <c r="M7132" s="27"/>
      <c r="N7132" s="5"/>
      <c r="O7132" s="5" t="str">
        <v>7721203560</v>
      </c>
      <c r="P7132" s="27">
        <v>1820000</v>
      </c>
      <c r="Q7132" s="5"/>
      <c r="R7132" s="5"/>
      <c r="S7132" s="5" t="s">
        <v>49110</v>
      </c>
      <c r="T7132" s="28">
        <v>288805000</v>
      </c>
      <c r="U7132" s="28"/>
      <c r="V7132" s="28">
        <v>879447000</v>
      </c>
      <c r="W7132" s="28"/>
      <c r="X7132" s="28">
        <v>65270000</v>
      </c>
      <c r="Y7132" s="28">
        <v>1709009000</v>
      </c>
      <c r="Z7132" s="28">
        <v>980470000</v>
      </c>
      <c r="AA7132" s="28"/>
      <c r="AB7132" s="28"/>
      <c r="AC7132" s="28">
        <v>518929000</v>
      </c>
      <c r="AD7132" s="28">
        <v>982290000</v>
      </c>
      <c r="AE7132" s="28">
        <v>3651021000</v>
      </c>
      <c r="AF7132" s="28">
        <v>30292000</v>
      </c>
      <c r="AG7132" s="11"/>
    </row>
    <row r="7133">
      <c r="A7133" s="7" t="s">
        <v>8689</v>
      </c>
      <c r="B7133" s="5" t="s">
        <v>16617</v>
      </c>
      <c r="C7133" s="5" t="s">
        <v>24238</v>
      </c>
      <c r="D7133" s="5" t="str">
        <v>780608729439</v>
      </c>
      <c r="E7133" s="0" t="e">
        <f>+7 (495) 7975354
+7 (800) 2348257
+7 (812) 4907777
+7 (812) 7188090
+7 (81370) 57020
+7 (81370) 57021
+7 (911) 9904712
+7 (981) 7950291</f>
        <v>#NAME?</v>
      </c>
      <c r="F7133" s="5" t="s">
        <v>46038</v>
      </c>
      <c r="G7133" s="5" t="s">
        <v>46039</v>
      </c>
      <c r="H7133" s="26">
        <v>17.5</v>
      </c>
      <c r="I7133" s="5" t="s">
        <v>46040</v>
      </c>
      <c r="J7133" s="5" t="s">
        <v>397</v>
      </c>
      <c r="K7133" s="5" t="s">
        <v>344</v>
      </c>
      <c r="L7133" s="5"/>
      <c r="M7133" s="27">
        <v>24850801</v>
      </c>
      <c r="N7133" s="5" t="s">
        <v>59961</v>
      </c>
      <c r="O7133" s="5" t="str">
        <v>4703081890</v>
      </c>
      <c r="P7133" s="27">
        <v>22907</v>
      </c>
      <c r="Q7133" s="5" t="s">
        <v>59962</v>
      </c>
      <c r="R7133" s="5"/>
      <c r="S7133" s="5" t="s">
        <v>59963</v>
      </c>
      <c r="T7133" s="28">
        <v>287549000</v>
      </c>
      <c r="U7133" s="28"/>
      <c r="V7133" s="28">
        <v>178796000</v>
      </c>
      <c r="W7133" s="28">
        <v>791000</v>
      </c>
      <c r="X7133" s="28">
        <v>1647000</v>
      </c>
      <c r="Y7133" s="28">
        <v>790870000</v>
      </c>
      <c r="Z7133" s="28">
        <v>116464000</v>
      </c>
      <c r="AA7133" s="28"/>
      <c r="AB7133" s="28">
        <v>144994000</v>
      </c>
      <c r="AC7133" s="28">
        <v>322406000</v>
      </c>
      <c r="AD7133" s="28">
        <v>467667000</v>
      </c>
      <c r="AE7133" s="28">
        <v>3472927000</v>
      </c>
      <c r="AF7133" s="28">
        <v>108847000</v>
      </c>
      <c r="AG7133" s="11"/>
    </row>
    <row r="7134">
      <c r="A7134" s="7" t="s">
        <v>8690</v>
      </c>
      <c r="B7134" s="5" t="s">
        <v>10420</v>
      </c>
      <c r="C7134" s="5" t="s">
        <v>24239</v>
      </c>
      <c r="D7134" s="5" t="str">
        <v>501202203062</v>
      </c>
      <c r="E7134" s="0" t="e">
        <f>+7 (495) 1045474
+7 (495) 1322705
+7 (495) 1510272
+7 (495) 2414717
+7 (495) 9334033
+7 (499) 2292063
+7 (926) 8745544
+7 (945) 9334033</f>
        <v>#NAME?</v>
      </c>
      <c r="F7134" s="5" t="s">
        <v>46041</v>
      </c>
      <c r="G7134" s="5" t="s">
        <v>46042</v>
      </c>
      <c r="H7134" s="26">
        <v>9.5</v>
      </c>
      <c r="I7134" s="5" t="s">
        <v>46043</v>
      </c>
      <c r="J7134" s="5" t="s">
        <v>397</v>
      </c>
      <c r="K7134" s="5" t="s">
        <v>344</v>
      </c>
      <c r="L7134" s="5" t="s">
        <v>46044</v>
      </c>
      <c r="M7134" s="27"/>
      <c r="N7134" s="5"/>
      <c r="O7134" s="5" t="str">
        <v>5032272711</v>
      </c>
      <c r="P7134" s="27">
        <v>10000</v>
      </c>
      <c r="Q7134" s="5" t="s">
        <v>49009</v>
      </c>
      <c r="R7134" s="5"/>
      <c r="S7134" s="5" t="s">
        <v>49010</v>
      </c>
      <c r="T7134" s="28">
        <v>97508000</v>
      </c>
      <c r="U7134" s="28"/>
      <c r="V7134" s="28">
        <v>210288000</v>
      </c>
      <c r="W7134" s="28">
        <v>67132000</v>
      </c>
      <c r="X7134" s="28">
        <v>30098000</v>
      </c>
      <c r="Y7134" s="28">
        <v>1477746000</v>
      </c>
      <c r="Z7134" s="28">
        <v>279847000</v>
      </c>
      <c r="AA7134" s="28">
        <v>73310000</v>
      </c>
      <c r="AB7134" s="28">
        <v>790147000</v>
      </c>
      <c r="AC7134" s="28">
        <v>1119855000</v>
      </c>
      <c r="AD7134" s="28">
        <v>279857000</v>
      </c>
      <c r="AE7134" s="28">
        <v>4978896000</v>
      </c>
      <c r="AF7134" s="28">
        <v>32837000</v>
      </c>
      <c r="AG7134" s="11"/>
    </row>
    <row r="7135">
      <c r="A7135" s="7" t="s">
        <v>8691</v>
      </c>
      <c r="B7135" s="5" t="s">
        <v>16618</v>
      </c>
      <c r="C7135" s="5" t="s">
        <v>17734</v>
      </c>
      <c r="D7135" s="5" t="str">
        <v>770404666520</v>
      </c>
      <c r="E7135" s="0" t="e">
        <f>+7 (495) 3080117
+7 (916) 9090900
+7 (929) 9263364
+7 (985) 7390303</f>
        <v>#NAME?</v>
      </c>
      <c r="F7135" s="5" t="s">
        <v>46045</v>
      </c>
      <c r="G7135" s="5"/>
      <c r="H7135" s="26">
        <v>14.5</v>
      </c>
      <c r="I7135" s="5" t="s">
        <v>37001</v>
      </c>
      <c r="J7135" s="5" t="s">
        <v>389</v>
      </c>
      <c r="K7135" s="5" t="s">
        <v>344</v>
      </c>
      <c r="L7135" s="5" t="s">
        <v>46046</v>
      </c>
      <c r="M7135" s="27">
        <v>11118781</v>
      </c>
      <c r="N7135" s="5" t="s">
        <v>59964</v>
      </c>
      <c r="O7135" s="5" t="str">
        <v>5024097520</v>
      </c>
      <c r="P7135" s="27">
        <v>50000</v>
      </c>
      <c r="Q7135" s="5" t="s">
        <v>59965</v>
      </c>
      <c r="R7135" s="5"/>
      <c r="S7135" s="5" t="s">
        <v>50589</v>
      </c>
      <c r="T7135" s="28">
        <v>35573000</v>
      </c>
      <c r="U7135" s="28">
        <v>2496598000</v>
      </c>
      <c r="V7135" s="28">
        <v>1216765000</v>
      </c>
      <c r="W7135" s="28"/>
      <c r="X7135" s="28">
        <v>203284000</v>
      </c>
      <c r="Y7135" s="28">
        <v>4374127000</v>
      </c>
      <c r="Z7135" s="28">
        <v>397648000</v>
      </c>
      <c r="AA7135" s="28">
        <v>2424000000</v>
      </c>
      <c r="AB7135" s="28">
        <v>105355000</v>
      </c>
      <c r="AC7135" s="28">
        <v>1550676000</v>
      </c>
      <c r="AD7135" s="28">
        <v>397698000</v>
      </c>
      <c r="AE7135" s="28">
        <v>4634479000</v>
      </c>
      <c r="AF7135" s="28">
        <v>397455000</v>
      </c>
      <c r="AG7135" s="11"/>
    </row>
    <row r="7136">
      <c r="A7136" s="7" t="s">
        <v>8692</v>
      </c>
      <c r="B7136" s="5" t="s">
        <v>16619</v>
      </c>
      <c r="C7136" s="5" t="s">
        <v>17734</v>
      </c>
      <c r="D7136" s="5" t="str">
        <v>770404666520</v>
      </c>
      <c r="E7136" s="0" t="e">
        <f>+7 (495) 7300073</f>
        <v>#NAME?</v>
      </c>
      <c r="F7136" s="5"/>
      <c r="G7136" s="5"/>
      <c r="H7136" s="26">
        <v>15.5</v>
      </c>
      <c r="I7136" s="5" t="s">
        <v>25539</v>
      </c>
      <c r="J7136" s="5" t="s">
        <v>389</v>
      </c>
      <c r="K7136" s="5" t="s">
        <v>355</v>
      </c>
      <c r="L7136" s="5" t="s">
        <v>46047</v>
      </c>
      <c r="M7136" s="27">
        <v>190100</v>
      </c>
      <c r="N7136" s="5" t="s">
        <v>59966</v>
      </c>
      <c r="O7136" s="5" t="str">
        <v>7733620640</v>
      </c>
      <c r="P7136" s="27">
        <v>100000</v>
      </c>
      <c r="Q7136" s="5" t="s">
        <v>59967</v>
      </c>
      <c r="R7136" s="5"/>
      <c r="S7136" s="5" t="s">
        <v>50047</v>
      </c>
      <c r="T7136" s="28">
        <v>44939000</v>
      </c>
      <c r="U7136" s="28">
        <v>200000000</v>
      </c>
      <c r="V7136" s="28">
        <v>598902000</v>
      </c>
      <c r="W7136" s="28"/>
      <c r="X7136" s="28">
        <v>28721000</v>
      </c>
      <c r="Y7136" s="28">
        <v>1386911000</v>
      </c>
      <c r="Z7136" s="28">
        <v>482573000</v>
      </c>
      <c r="AA7136" s="28">
        <v>229500000</v>
      </c>
      <c r="AB7136" s="28">
        <v>19808000</v>
      </c>
      <c r="AC7136" s="28">
        <v>674738000</v>
      </c>
      <c r="AD7136" s="28">
        <v>482673000</v>
      </c>
      <c r="AE7136" s="28">
        <v>3019633000</v>
      </c>
      <c r="AF7136" s="28">
        <v>195184000</v>
      </c>
      <c r="AG7136" s="11"/>
    </row>
    <row r="7137">
      <c r="A7137" s="7" t="s">
        <v>8693</v>
      </c>
      <c r="B7137" s="5" t="s">
        <v>16620</v>
      </c>
      <c r="C7137" s="5" t="s">
        <v>23083</v>
      </c>
      <c r="D7137" s="5" t="str">
        <v>410100551802</v>
      </c>
      <c r="E7137" s="0" t="e">
        <f>+7 (415) 2303304
+7 (415) 2414331
+7 (415) 2421657
+7 (415) 2434311
+7 (415) 2434354
+7 (415) 2434362</f>
        <v>#NAME?</v>
      </c>
      <c r="F7137" s="5"/>
      <c r="G7137" s="5" t="s">
        <v>46048</v>
      </c>
      <c r="H7137" s="26">
        <v>23.5</v>
      </c>
      <c r="I7137" s="5" t="s">
        <v>46049</v>
      </c>
      <c r="J7137" s="5" t="s">
        <v>26424</v>
      </c>
      <c r="K7137" s="5" t="s">
        <v>344</v>
      </c>
      <c r="L7137" s="5" t="s">
        <v>46050</v>
      </c>
      <c r="M7137" s="27"/>
      <c r="N7137" s="5" t="s">
        <v>50984</v>
      </c>
      <c r="O7137" s="5" t="str">
        <v>8203002819</v>
      </c>
      <c r="P7137" s="27">
        <v>301000</v>
      </c>
      <c r="Q7137" s="5"/>
      <c r="R7137" s="5"/>
      <c r="S7137" s="5" t="s">
        <v>49425</v>
      </c>
      <c r="T7137" s="28">
        <v>6451062000</v>
      </c>
      <c r="U7137" s="28">
        <v>231313000</v>
      </c>
      <c r="V7137" s="28">
        <v>353320000</v>
      </c>
      <c r="W7137" s="28">
        <v>372000000</v>
      </c>
      <c r="X7137" s="28">
        <v>3899779000</v>
      </c>
      <c r="Y7137" s="28">
        <v>12956752000</v>
      </c>
      <c r="Z7137" s="28">
        <v>11322733000</v>
      </c>
      <c r="AA7137" s="28"/>
      <c r="AB7137" s="28">
        <v>1108834000</v>
      </c>
      <c r="AC7137" s="28">
        <v>1549780000</v>
      </c>
      <c r="AD7137" s="28">
        <v>11323034000</v>
      </c>
      <c r="AE7137" s="28">
        <v>6232939000</v>
      </c>
      <c r="AF7137" s="28">
        <v>1537994000</v>
      </c>
      <c r="AG7137" s="11"/>
    </row>
    <row r="7138">
      <c r="A7138" s="7" t="s">
        <v>8694</v>
      </c>
      <c r="B7138" s="5" t="s">
        <v>16621</v>
      </c>
      <c r="C7138" s="5" t="s">
        <v>24240</v>
      </c>
      <c r="D7138" s="5" t="str">
        <v>631900540373</v>
      </c>
      <c r="E7138" s="0" t="e">
        <f>+7 (495) 3205197</f>
        <v>#NAME?</v>
      </c>
      <c r="F7138" s="5" t="s">
        <v>46051</v>
      </c>
      <c r="G7138" s="5" t="s">
        <v>46052</v>
      </c>
      <c r="H7138" s="26">
        <v>5.5</v>
      </c>
      <c r="I7138" s="5" t="s">
        <v>46053</v>
      </c>
      <c r="J7138" s="5" t="s">
        <v>671</v>
      </c>
      <c r="K7138" s="5" t="s">
        <v>344</v>
      </c>
      <c r="L7138" s="5" t="s">
        <v>46054</v>
      </c>
      <c r="M7138" s="27">
        <v>7172470</v>
      </c>
      <c r="N7138" s="5"/>
      <c r="O7138" s="5" t="str">
        <v>7730237171</v>
      </c>
      <c r="P7138" s="27">
        <v>1200000</v>
      </c>
      <c r="Q7138" s="5" t="s">
        <v>49009</v>
      </c>
      <c r="R7138" s="5"/>
      <c r="S7138" s="5" t="s">
        <v>49010</v>
      </c>
      <c r="T7138" s="28">
        <v>68453000</v>
      </c>
      <c r="U7138" s="28"/>
      <c r="V7138" s="28">
        <v>2896514000</v>
      </c>
      <c r="W7138" s="28"/>
      <c r="X7138" s="28">
        <v>104249000</v>
      </c>
      <c r="Y7138" s="28">
        <v>3071812000</v>
      </c>
      <c r="Z7138" s="28">
        <v>804853000</v>
      </c>
      <c r="AA7138" s="28"/>
      <c r="AB7138" s="28"/>
      <c r="AC7138" s="28">
        <v>2265759000</v>
      </c>
      <c r="AD7138" s="28">
        <v>806053000</v>
      </c>
      <c r="AE7138" s="28">
        <v>10386950000</v>
      </c>
      <c r="AF7138" s="28">
        <v>600813000</v>
      </c>
      <c r="AG7138" s="11"/>
    </row>
    <row r="7139">
      <c r="A7139" s="7" t="s">
        <v>8695</v>
      </c>
      <c r="B7139" s="5" t="s">
        <v>16622</v>
      </c>
      <c r="C7139" s="5" t="s">
        <v>24241</v>
      </c>
      <c r="D7139" s="5" t="str">
        <v>380101713511</v>
      </c>
      <c r="E7139" s="0" t="e">
        <f>+7 (3955) 561606
+7 (3955) 591606</f>
        <v>#NAME?</v>
      </c>
      <c r="F7139" s="5"/>
      <c r="G7139" s="5"/>
      <c r="H7139" s="26">
        <v>10</v>
      </c>
      <c r="I7139" s="5" t="s">
        <v>46055</v>
      </c>
      <c r="J7139" s="5" t="s">
        <v>1073</v>
      </c>
      <c r="K7139" s="5" t="s">
        <v>344</v>
      </c>
      <c r="L7139" s="5" t="s">
        <v>42841</v>
      </c>
      <c r="M7139" s="27">
        <v>3248200</v>
      </c>
      <c r="N7139" s="5" t="s">
        <v>59968</v>
      </c>
      <c r="O7139" s="5" t="str">
        <v>3801123987</v>
      </c>
      <c r="P7139" s="27">
        <v>10000</v>
      </c>
      <c r="Q7139" s="5" t="s">
        <v>59969</v>
      </c>
      <c r="R7139" s="5"/>
      <c r="S7139" s="5" t="s">
        <v>59970</v>
      </c>
      <c r="T7139" s="28">
        <v>30829000</v>
      </c>
      <c r="U7139" s="28"/>
      <c r="V7139" s="28">
        <v>304812000</v>
      </c>
      <c r="W7139" s="28">
        <v>4257000</v>
      </c>
      <c r="X7139" s="28">
        <v>2708000</v>
      </c>
      <c r="Y7139" s="28">
        <v>347532000</v>
      </c>
      <c r="Z7139" s="28">
        <v>135437000</v>
      </c>
      <c r="AA7139" s="28"/>
      <c r="AB7139" s="28">
        <v>55446000</v>
      </c>
      <c r="AC7139" s="28">
        <v>211142000</v>
      </c>
      <c r="AD7139" s="28">
        <v>136390000</v>
      </c>
      <c r="AE7139" s="28">
        <v>5119570000</v>
      </c>
      <c r="AF7139" s="28">
        <v>44053000</v>
      </c>
      <c r="AG7139" s="11"/>
    </row>
    <row r="7140">
      <c r="A7140" s="7" t="s">
        <v>8696</v>
      </c>
      <c r="B7140" s="5" t="s">
        <v>16623</v>
      </c>
      <c r="C7140" s="5" t="s">
        <v>19596</v>
      </c>
      <c r="D7140" s="5" t="str">
        <v>745304762773</v>
      </c>
      <c r="E7140" s="0" t="e">
        <f>+7 (495) 9953990</f>
        <v>#NAME?</v>
      </c>
      <c r="F7140" s="5"/>
      <c r="G7140" s="5" t="s">
        <v>46056</v>
      </c>
      <c r="H7140" s="26">
        <v>8</v>
      </c>
      <c r="I7140" s="5" t="s">
        <v>46057</v>
      </c>
      <c r="J7140" s="5" t="s">
        <v>881</v>
      </c>
      <c r="K7140" s="5" t="s">
        <v>344</v>
      </c>
      <c r="L7140" s="5" t="s">
        <v>46058</v>
      </c>
      <c r="M7140" s="27"/>
      <c r="N7140" s="5" t="s">
        <v>59971</v>
      </c>
      <c r="O7140" s="5" t="str">
        <v>7729448202</v>
      </c>
      <c r="P7140" s="27">
        <v>10000</v>
      </c>
      <c r="Q7140" s="5" t="s">
        <v>59972</v>
      </c>
      <c r="R7140" s="5"/>
      <c r="S7140" s="5" t="s">
        <v>51430</v>
      </c>
      <c r="T7140" s="28">
        <v>96702000</v>
      </c>
      <c r="U7140" s="28"/>
      <c r="V7140" s="28">
        <v>2804088000</v>
      </c>
      <c r="W7140" s="28">
        <v>871108000</v>
      </c>
      <c r="X7140" s="28">
        <v>603263000</v>
      </c>
      <c r="Y7140" s="28">
        <v>4464885000</v>
      </c>
      <c r="Z7140" s="28">
        <v>745212000</v>
      </c>
      <c r="AA7140" s="28"/>
      <c r="AB7140" s="28"/>
      <c r="AC7140" s="28">
        <v>3663685000</v>
      </c>
      <c r="AD7140" s="28">
        <v>745222000</v>
      </c>
      <c r="AE7140" s="28">
        <v>5571456000</v>
      </c>
      <c r="AF7140" s="28">
        <v>155802000</v>
      </c>
      <c r="AG7140" s="11"/>
    </row>
    <row r="7141">
      <c r="A7141" s="7" t="s">
        <v>8697</v>
      </c>
      <c r="B7141" s="5" t="s">
        <v>16624</v>
      </c>
      <c r="C7141" s="5" t="s">
        <v>24242</v>
      </c>
      <c r="D7141" s="5" t="str">
        <v>165038792330</v>
      </c>
      <c r="E7141" s="0" t="e">
        <f>+7 (909) 3129301
+7 (965) 6200003
+7 (800) 5555116
+7 (855) 2567381
+7 (903) 3186288
+7 (909) 3129343
+7 (960) 588786
+7 (960) 777111</f>
        <v>#NAME?</v>
      </c>
      <c r="F7141" s="5" t="s">
        <v>46059</v>
      </c>
      <c r="G7141" s="5"/>
      <c r="H7141" s="26">
        <v>12.5</v>
      </c>
      <c r="I7141" s="5" t="s">
        <v>46060</v>
      </c>
      <c r="J7141" s="5" t="s">
        <v>599</v>
      </c>
      <c r="K7141" s="5" t="s">
        <v>344</v>
      </c>
      <c r="L7141" s="5" t="s">
        <v>44086</v>
      </c>
      <c r="M7141" s="27">
        <v>8168770</v>
      </c>
      <c r="N7141" s="5" t="s">
        <v>49350</v>
      </c>
      <c r="O7141" s="5" t="str">
        <v>1650214682</v>
      </c>
      <c r="P7141" s="27">
        <v>1000000</v>
      </c>
      <c r="Q7141" s="5" t="s">
        <v>59973</v>
      </c>
      <c r="R7141" s="5"/>
      <c r="S7141" s="5" t="s">
        <v>59974</v>
      </c>
      <c r="T7141" s="28">
        <v>371179000</v>
      </c>
      <c r="U7141" s="28"/>
      <c r="V7141" s="28">
        <v>1598088000</v>
      </c>
      <c r="W7141" s="28"/>
      <c r="X7141" s="28">
        <v>25687000</v>
      </c>
      <c r="Y7141" s="28">
        <v>2002849000</v>
      </c>
      <c r="Z7141" s="28">
        <v>451085000</v>
      </c>
      <c r="AA7141" s="28">
        <v>385424000</v>
      </c>
      <c r="AB7141" s="28">
        <v>42145000</v>
      </c>
      <c r="AC7141" s="28">
        <v>1008714000</v>
      </c>
      <c r="AD7141" s="28">
        <v>452085000</v>
      </c>
      <c r="AE7141" s="28">
        <v>8265040000</v>
      </c>
      <c r="AF7141" s="28">
        <v>95429000</v>
      </c>
      <c r="AG7141" s="11"/>
    </row>
    <row r="7142">
      <c r="A7142" s="7" t="s">
        <v>8698</v>
      </c>
      <c r="B7142" s="5" t="s">
        <v>16625</v>
      </c>
      <c r="C7142" s="5" t="s">
        <v>24243</v>
      </c>
      <c r="D7142" s="5" t="str">
        <v>165048060209</v>
      </c>
      <c r="E7142" s="0" t="e">
        <f>+7 (903) 3192325
+7 (962) 5626094</f>
        <v>#NAME?</v>
      </c>
      <c r="F7142" s="5" t="s">
        <v>46061</v>
      </c>
      <c r="G7142" s="5"/>
      <c r="H7142" s="26">
        <v>5</v>
      </c>
      <c r="I7142" s="5" t="s">
        <v>46062</v>
      </c>
      <c r="J7142" s="5" t="s">
        <v>533</v>
      </c>
      <c r="K7142" s="5" t="s">
        <v>344</v>
      </c>
      <c r="L7142" s="5" t="s">
        <v>46063</v>
      </c>
      <c r="M7142" s="27">
        <v>11920009</v>
      </c>
      <c r="N7142" s="5" t="s">
        <v>49900</v>
      </c>
      <c r="O7142" s="5" t="str">
        <v>1658210231</v>
      </c>
      <c r="P7142" s="27">
        <v>2010000</v>
      </c>
      <c r="Q7142" s="5" t="s">
        <v>49009</v>
      </c>
      <c r="R7142" s="5"/>
      <c r="S7142" s="5" t="s">
        <v>52287</v>
      </c>
      <c r="T7142" s="28">
        <v>264434000</v>
      </c>
      <c r="U7142" s="28"/>
      <c r="V7142" s="28">
        <v>442494000</v>
      </c>
      <c r="W7142" s="28"/>
      <c r="X7142" s="28">
        <v>616201000</v>
      </c>
      <c r="Y7142" s="28">
        <v>1601781000</v>
      </c>
      <c r="Z7142" s="28">
        <v>338992000</v>
      </c>
      <c r="AA7142" s="28">
        <v>112743000</v>
      </c>
      <c r="AB7142" s="28"/>
      <c r="AC7142" s="28">
        <v>1137577000</v>
      </c>
      <c r="AD7142" s="28">
        <v>341002000</v>
      </c>
      <c r="AE7142" s="28">
        <v>6206181000</v>
      </c>
      <c r="AF7142" s="28">
        <v>223761000</v>
      </c>
      <c r="AG7142" s="11"/>
    </row>
    <row r="7143">
      <c r="A7143" s="7" t="s">
        <v>8699</v>
      </c>
      <c r="B7143" s="5" t="s">
        <v>16626</v>
      </c>
      <c r="C7143" s="5" t="s">
        <v>24244</v>
      </c>
      <c r="D7143" s="5" t="str">
        <v>780152432380</v>
      </c>
      <c r="E7143" s="0" t="e">
        <f>+7 (812) 3125354
+7 (812) 4030300
+7 (812) 4486980
+7 (812) 3019301
+7 (812) 3145354
+7 (812) 3156920
+7 (812) 3343080
+7 (812) 3656742
+7 (812) 3870226
+7 (812) 3870229
+7 (812) 3881988
+7 (812) 3885294
+7 (812) 4303420
+7 (812) 4304739
+7 (812) 4692964</f>
        <v>#NAME?</v>
      </c>
      <c r="F7143" s="5" t="s">
        <v>46064</v>
      </c>
      <c r="G7143" s="5" t="s">
        <v>46065</v>
      </c>
      <c r="H7143" s="26">
        <v>29.5</v>
      </c>
      <c r="I7143" s="5" t="s">
        <v>46066</v>
      </c>
      <c r="J7143" s="5" t="s">
        <v>28968</v>
      </c>
      <c r="K7143" s="5" t="s">
        <v>344</v>
      </c>
      <c r="L7143" s="5"/>
      <c r="M7143" s="27">
        <v>124653827</v>
      </c>
      <c r="N7143" s="5" t="s">
        <v>59975</v>
      </c>
      <c r="O7143" s="5" t="str">
        <v>7830001028</v>
      </c>
      <c r="P7143" s="27">
        <v>59561503554</v>
      </c>
      <c r="Q7143" s="5" t="s">
        <v>59976</v>
      </c>
      <c r="R7143" s="5"/>
      <c r="S7143" s="5" t="s">
        <v>51565</v>
      </c>
      <c r="T7143" s="28">
        <v>61967362000</v>
      </c>
      <c r="U7143" s="28">
        <v>8332210000</v>
      </c>
      <c r="V7143" s="28">
        <v>11002431000</v>
      </c>
      <c r="W7143" s="28"/>
      <c r="X7143" s="28">
        <v>7273436000</v>
      </c>
      <c r="Y7143" s="28">
        <v>100389483000</v>
      </c>
      <c r="Z7143" s="28">
        <v>14303126000</v>
      </c>
      <c r="AA7143" s="28"/>
      <c r="AB7143" s="28"/>
      <c r="AC7143" s="28">
        <v>12002183000</v>
      </c>
      <c r="AD7143" s="28">
        <v>84466518000</v>
      </c>
      <c r="AE7143" s="28">
        <v>37809596000</v>
      </c>
      <c r="AF7143" s="28">
        <v>1344589000</v>
      </c>
      <c r="AG7143" s="11"/>
    </row>
    <row r="7144">
      <c r="A7144" s="7" t="s">
        <v>8700</v>
      </c>
      <c r="B7144" s="5" t="s">
        <v>16627</v>
      </c>
      <c r="C7144" s="5" t="s">
        <v>24245</v>
      </c>
      <c r="D7144" s="5" t="str">
        <v>212406273759</v>
      </c>
      <c r="E7144" s="0" t="e">
        <f>+7 (8482) 555315
+7 (846) 2556300
+7 (8482) 556318
+7 (927) 7236030
+7 (8482) 555318
+7 (8482) 556306</f>
        <v>#NAME?</v>
      </c>
      <c r="F7144" s="5" t="s">
        <v>46067</v>
      </c>
      <c r="G7144" s="5"/>
      <c r="H7144" s="26">
        <v>15</v>
      </c>
      <c r="I7144" s="5" t="s">
        <v>46068</v>
      </c>
      <c r="J7144" s="5" t="s">
        <v>26623</v>
      </c>
      <c r="K7144" s="5" t="s">
        <v>344</v>
      </c>
      <c r="L7144" s="5" t="s">
        <v>46069</v>
      </c>
      <c r="M7144" s="27"/>
      <c r="N7144" s="5" t="s">
        <v>59977</v>
      </c>
      <c r="O7144" s="5" t="str">
        <v>6321211371</v>
      </c>
      <c r="P7144" s="27">
        <v>7195000</v>
      </c>
      <c r="Q7144" s="5" t="s">
        <v>59978</v>
      </c>
      <c r="R7144" s="5"/>
      <c r="S7144" s="5" t="s">
        <v>49271</v>
      </c>
      <c r="T7144" s="28">
        <v>242903000</v>
      </c>
      <c r="U7144" s="28">
        <v>246000</v>
      </c>
      <c r="V7144" s="28">
        <v>390277000</v>
      </c>
      <c r="W7144" s="28"/>
      <c r="X7144" s="28">
        <v>165707000</v>
      </c>
      <c r="Y7144" s="28">
        <v>856900000</v>
      </c>
      <c r="Z7144" s="28">
        <v>430436000</v>
      </c>
      <c r="AA7144" s="28"/>
      <c r="AB7144" s="28"/>
      <c r="AC7144" s="28">
        <v>414204000</v>
      </c>
      <c r="AD7144" s="28">
        <v>437991000</v>
      </c>
      <c r="AE7144" s="28">
        <v>3609771000</v>
      </c>
      <c r="AF7144" s="28">
        <v>248379000</v>
      </c>
      <c r="AG7144" s="11"/>
    </row>
    <row r="7145">
      <c r="A7145" s="7" t="s">
        <v>8701</v>
      </c>
      <c r="B7145" s="5" t="s">
        <v>16628</v>
      </c>
      <c r="C7145" s="5" t="s">
        <v>24246</v>
      </c>
      <c r="D7145" s="5" t="str">
        <v>233301568936</v>
      </c>
      <c r="E7145" s="0" t="e">
        <f>+7 (861) 9910101</f>
        <v>#NAME?</v>
      </c>
      <c r="F7145" s="5" t="s">
        <v>46070</v>
      </c>
      <c r="G7145" s="5" t="s">
        <v>46071</v>
      </c>
      <c r="H7145" s="26">
        <v>6.5</v>
      </c>
      <c r="I7145" s="5" t="s">
        <v>46072</v>
      </c>
      <c r="J7145" s="5" t="s">
        <v>599</v>
      </c>
      <c r="K7145" s="5" t="s">
        <v>355</v>
      </c>
      <c r="L7145" s="5" t="s">
        <v>46073</v>
      </c>
      <c r="M7145" s="27">
        <v>191227</v>
      </c>
      <c r="N7145" s="5"/>
      <c r="O7145" s="5" t="str">
        <v>9729034075</v>
      </c>
      <c r="P7145" s="27">
        <v>15000000</v>
      </c>
      <c r="Q7145" s="5" t="s">
        <v>49355</v>
      </c>
      <c r="R7145" s="5"/>
      <c r="S7145" s="5" t="s">
        <v>59979</v>
      </c>
      <c r="T7145" s="28">
        <v>388896000</v>
      </c>
      <c r="U7145" s="28"/>
      <c r="V7145" s="28">
        <v>793814000</v>
      </c>
      <c r="W7145" s="28"/>
      <c r="X7145" s="28">
        <v>1541000</v>
      </c>
      <c r="Y7145" s="28">
        <v>1241082000</v>
      </c>
      <c r="Z7145" s="28">
        <v>156495000</v>
      </c>
      <c r="AA7145" s="28">
        <v>359828000</v>
      </c>
      <c r="AB7145" s="28">
        <v>196022000</v>
      </c>
      <c r="AC7145" s="28">
        <v>707603000</v>
      </c>
      <c r="AD7145" s="28">
        <v>171495000</v>
      </c>
      <c r="AE7145" s="28">
        <v>3743773000</v>
      </c>
      <c r="AF7145" s="28">
        <v>48577000</v>
      </c>
      <c r="AG7145" s="11"/>
    </row>
    <row r="7146">
      <c r="A7146" s="7" t="s">
        <v>8702</v>
      </c>
      <c r="B7146" s="5" t="s">
        <v>16629</v>
      </c>
      <c r="C7146" s="5" t="s">
        <v>24247</v>
      </c>
      <c r="D7146" s="5" t="str">
        <v>507701943715</v>
      </c>
      <c r="E7146" s="0" t="e">
        <f>+7 (495) 5803304
+7 (495) 7866361
+7 (499) 9639045</f>
        <v>#NAME?</v>
      </c>
      <c r="F7146" s="5" t="s">
        <v>46074</v>
      </c>
      <c r="G7146" s="5" t="s">
        <v>46075</v>
      </c>
      <c r="H7146" s="26">
        <v>30</v>
      </c>
      <c r="I7146" s="5" t="s">
        <v>46076</v>
      </c>
      <c r="J7146" s="5" t="s">
        <v>364</v>
      </c>
      <c r="K7146" s="5" t="s">
        <v>355</v>
      </c>
      <c r="L7146" s="5" t="s">
        <v>41843</v>
      </c>
      <c r="M7146" s="27">
        <v>105338485</v>
      </c>
      <c r="N7146" s="5"/>
      <c r="O7146" s="5" t="str">
        <v>7736101593</v>
      </c>
      <c r="P7146" s="27">
        <v>1634000</v>
      </c>
      <c r="Q7146" s="5" t="s">
        <v>59980</v>
      </c>
      <c r="R7146" s="5"/>
      <c r="S7146" s="5" t="s">
        <v>59981</v>
      </c>
      <c r="T7146" s="28">
        <v>190732000</v>
      </c>
      <c r="U7146" s="28"/>
      <c r="V7146" s="28">
        <v>6367210000</v>
      </c>
      <c r="W7146" s="28">
        <v>3401000</v>
      </c>
      <c r="X7146" s="28">
        <v>419483000</v>
      </c>
      <c r="Y7146" s="28">
        <v>11819776000</v>
      </c>
      <c r="Z7146" s="28">
        <v>642041000</v>
      </c>
      <c r="AA7146" s="28">
        <v>292312000</v>
      </c>
      <c r="AB7146" s="28">
        <v>14732000</v>
      </c>
      <c r="AC7146" s="28">
        <v>10775107000</v>
      </c>
      <c r="AD7146" s="28">
        <v>643675000</v>
      </c>
      <c r="AE7146" s="28">
        <v>3508988000</v>
      </c>
      <c r="AF7146" s="28">
        <v>105028000</v>
      </c>
      <c r="AG7146" s="11"/>
    </row>
    <row r="7147">
      <c r="A7147" s="7" t="s">
        <v>8703</v>
      </c>
      <c r="B7147" s="5" t="s">
        <v>16630</v>
      </c>
      <c r="C7147" s="5" t="s">
        <v>24248</v>
      </c>
      <c r="D7147" s="5" t="str">
        <v>781113764175</v>
      </c>
      <c r="E7147" s="0" t="e">
        <f>+7 (812) 3241617
+7 (812) 3248797
+7 (812) 6022420
+7 (812) 6022440
+7 (911) 1588411</f>
        <v>#NAME?</v>
      </c>
      <c r="F7147" s="5" t="s">
        <v>46077</v>
      </c>
      <c r="G7147" s="5" t="s">
        <v>46078</v>
      </c>
      <c r="H7147" s="26">
        <v>22</v>
      </c>
      <c r="I7147" s="5" t="s">
        <v>46079</v>
      </c>
      <c r="J7147" s="5" t="s">
        <v>31123</v>
      </c>
      <c r="K7147" s="5" t="s">
        <v>344</v>
      </c>
      <c r="L7147" s="5" t="s">
        <v>46080</v>
      </c>
      <c r="M7147" s="27"/>
      <c r="N7147" s="5"/>
      <c r="O7147" s="5" t="str">
        <v>7802160570</v>
      </c>
      <c r="P7147" s="27">
        <v>15000000</v>
      </c>
      <c r="Q7147" s="5" t="s">
        <v>49059</v>
      </c>
      <c r="R7147" s="5"/>
      <c r="S7147" s="5" t="s">
        <v>49028</v>
      </c>
      <c r="T7147" s="28">
        <v>56635000</v>
      </c>
      <c r="U7147" s="28"/>
      <c r="V7147" s="28">
        <v>45658000</v>
      </c>
      <c r="W7147" s="28"/>
      <c r="X7147" s="28">
        <v>813910000</v>
      </c>
      <c r="Y7147" s="28">
        <v>1269736000</v>
      </c>
      <c r="Z7147" s="28">
        <v>1112247000</v>
      </c>
      <c r="AA7147" s="28"/>
      <c r="AB7147" s="28"/>
      <c r="AC7147" s="28">
        <v>73161000</v>
      </c>
      <c r="AD7147" s="28">
        <v>1127277000</v>
      </c>
      <c r="AE7147" s="28">
        <v>3951486000</v>
      </c>
      <c r="AF7147" s="28">
        <v>338367000</v>
      </c>
      <c r="AG7147" s="11"/>
    </row>
    <row r="7148">
      <c r="A7148" s="7" t="s">
        <v>8704</v>
      </c>
      <c r="B7148" s="5" t="s">
        <v>16631</v>
      </c>
      <c r="C7148" s="5" t="s">
        <v>24249</v>
      </c>
      <c r="D7148" s="5"/>
      <c r="E7148" s="0" t="e">
        <f>+7 (345) 2245896
+7 (345) 2286610
+7 (345) 2358103
+7 (345) 2383225
+7 (345) 2386500
+7 (345) 2396358
+7 (345) 2507217
+7 (345) 2582282
+7 (345) 2596358
+7 (345) 2636358
+7 (345) 2696368
+7 (345) 2696538
+7 (345) 2698358
+7 (34554) 22869
+7 (3456) 275672</f>
        <v>#NAME?</v>
      </c>
      <c r="F7148" s="5" t="s">
        <v>46081</v>
      </c>
      <c r="G7148" s="5" t="s">
        <v>46082</v>
      </c>
      <c r="H7148" s="26">
        <v>9</v>
      </c>
      <c r="I7148" s="5" t="s">
        <v>46083</v>
      </c>
      <c r="J7148" s="5" t="s">
        <v>930</v>
      </c>
      <c r="K7148" s="5" t="s">
        <v>344</v>
      </c>
      <c r="L7148" s="5" t="s">
        <v>46084</v>
      </c>
      <c r="M7148" s="27">
        <v>4226449</v>
      </c>
      <c r="N7148" s="5" t="s">
        <v>59982</v>
      </c>
      <c r="O7148" s="5" t="str">
        <v>7204205739</v>
      </c>
      <c r="P7148" s="27">
        <v>15000000</v>
      </c>
      <c r="Q7148" s="5" t="s">
        <v>59983</v>
      </c>
      <c r="R7148" s="5"/>
      <c r="S7148" s="5" t="s">
        <v>49271</v>
      </c>
      <c r="T7148" s="28">
        <v>3008405000</v>
      </c>
      <c r="U7148" s="28"/>
      <c r="V7148" s="28">
        <v>819774000</v>
      </c>
      <c r="W7148" s="28"/>
      <c r="X7148" s="28">
        <v>243618000</v>
      </c>
      <c r="Y7148" s="28">
        <v>4318408000</v>
      </c>
      <c r="Z7148" s="28">
        <v>740940000</v>
      </c>
      <c r="AA7148" s="28">
        <v>1997685000</v>
      </c>
      <c r="AB7148" s="28">
        <v>359204000</v>
      </c>
      <c r="AC7148" s="28">
        <v>918016000</v>
      </c>
      <c r="AD7148" s="28">
        <v>755940000</v>
      </c>
      <c r="AE7148" s="28">
        <v>3608665000</v>
      </c>
      <c r="AF7148" s="28">
        <v>238248000</v>
      </c>
      <c r="AG7148" s="11"/>
    </row>
    <row r="7149">
      <c r="A7149" s="7" t="s">
        <v>8705</v>
      </c>
      <c r="B7149" s="5" t="s">
        <v>16632</v>
      </c>
      <c r="C7149" s="5" t="s">
        <v>24250</v>
      </c>
      <c r="D7149" s="5" t="str">
        <v>666401466179</v>
      </c>
      <c r="E7149" s="0" t="e">
        <f>+7 (495) 9508046
+7 (495) 2529188
+7 (495) 9508050
+7 (495) 9508237
+7 (800) 5000298
+7 (84627) 5652</f>
        <v>#NAME?</v>
      </c>
      <c r="F7149" s="5" t="s">
        <v>46085</v>
      </c>
      <c r="G7149" s="5" t="s">
        <v>46086</v>
      </c>
      <c r="H7149" s="26">
        <v>22.5</v>
      </c>
      <c r="I7149" s="5" t="s">
        <v>46087</v>
      </c>
      <c r="J7149" s="5" t="s">
        <v>29840</v>
      </c>
      <c r="K7149" s="5" t="s">
        <v>344</v>
      </c>
      <c r="L7149" s="5"/>
      <c r="M7149" s="27"/>
      <c r="N7149" s="5" t="s">
        <v>59984</v>
      </c>
      <c r="O7149" s="5" t="str">
        <v>6311049306</v>
      </c>
      <c r="P7149" s="27">
        <v>199204829</v>
      </c>
      <c r="Q7149" s="5" t="s">
        <v>59985</v>
      </c>
      <c r="R7149" s="5"/>
      <c r="S7149" s="5" t="s">
        <v>49271</v>
      </c>
      <c r="T7149" s="28">
        <v>861948000</v>
      </c>
      <c r="U7149" s="28"/>
      <c r="V7149" s="28">
        <v>821836000</v>
      </c>
      <c r="W7149" s="28"/>
      <c r="X7149" s="28">
        <v>189995000</v>
      </c>
      <c r="Y7149" s="28">
        <v>2069800000</v>
      </c>
      <c r="Z7149" s="28">
        <v>788084000</v>
      </c>
      <c r="AA7149" s="28"/>
      <c r="AB7149" s="28"/>
      <c r="AC7149" s="28">
        <v>516862000</v>
      </c>
      <c r="AD7149" s="28">
        <v>1302505000</v>
      </c>
      <c r="AE7149" s="28">
        <v>3997199000</v>
      </c>
      <c r="AF7149" s="28">
        <v>369169000</v>
      </c>
      <c r="AG7149" s="11"/>
    </row>
    <row r="7150">
      <c r="A7150" s="7" t="s">
        <v>8706</v>
      </c>
      <c r="B7150" s="5" t="s">
        <v>16633</v>
      </c>
      <c r="C7150" s="5" t="s">
        <v>24251</v>
      </c>
      <c r="D7150" s="5" t="str">
        <v>720301427239</v>
      </c>
      <c r="E7150" s="0" t="e">
        <f>+7 (345) 2434908
+7 (345) 2434953
+7 (345) 2434783
+7 (345) 2434914
+7 (345) 2434918
+7 (345) 2434958</f>
        <v>#NAME?</v>
      </c>
      <c r="F7150" s="5" t="s">
        <v>46088</v>
      </c>
      <c r="G7150" s="5" t="s">
        <v>46089</v>
      </c>
      <c r="H7150" s="26">
        <v>28</v>
      </c>
      <c r="I7150" s="5"/>
      <c r="J7150" s="5" t="s">
        <v>46090</v>
      </c>
      <c r="K7150" s="5" t="s">
        <v>344</v>
      </c>
      <c r="L7150" s="5" t="s">
        <v>46091</v>
      </c>
      <c r="M7150" s="27"/>
      <c r="N7150" s="5" t="s">
        <v>59986</v>
      </c>
      <c r="O7150" s="5" t="str">
        <v>7204001630</v>
      </c>
      <c r="P7150" s="27">
        <v>151867560</v>
      </c>
      <c r="Q7150" s="5" t="s">
        <v>49009</v>
      </c>
      <c r="R7150" s="5"/>
      <c r="S7150" s="5" t="s">
        <v>49884</v>
      </c>
      <c r="T7150" s="28">
        <v>1416364000</v>
      </c>
      <c r="U7150" s="28">
        <v>35201000</v>
      </c>
      <c r="V7150" s="28">
        <v>543434000</v>
      </c>
      <c r="W7150" s="28">
        <v>900000000</v>
      </c>
      <c r="X7150" s="28">
        <v>510914000</v>
      </c>
      <c r="Y7150" s="28">
        <v>5376087000</v>
      </c>
      <c r="Z7150" s="28">
        <v>4526757000</v>
      </c>
      <c r="AA7150" s="28"/>
      <c r="AB7150" s="28"/>
      <c r="AC7150" s="28">
        <v>489967000</v>
      </c>
      <c r="AD7150" s="28">
        <v>4717125000</v>
      </c>
      <c r="AE7150" s="28">
        <v>6999068000</v>
      </c>
      <c r="AF7150" s="28">
        <v>914153000</v>
      </c>
      <c r="AG7150" s="11"/>
    </row>
    <row r="7151">
      <c r="A7151" s="7" t="s">
        <v>8707</v>
      </c>
      <c r="B7151" s="5" t="s">
        <v>16634</v>
      </c>
      <c r="C7151" s="5" t="s">
        <v>24252</v>
      </c>
      <c r="D7151" s="5" t="str">
        <v>720200610887</v>
      </c>
      <c r="E7151" s="0" t="e">
        <f>+7 (345) 2450931
+7 (345) 2590940
+7 (8352) 540931
+7 (345) 2331229
+7 (345) 2331625
+7 (345) 2338092
+7 (345) 2520261
+7 (345) 2520467
+7 (345) 2540921
+7 (345) 2540922
+7 (345) 2540924
+7 (345) 2540931
+7 (912) 3881907
+7 (919) 9533967</f>
        <v>#NAME?</v>
      </c>
      <c r="F7151" s="5" t="s">
        <v>46092</v>
      </c>
      <c r="G7151" s="5"/>
      <c r="H7151" s="26">
        <v>17</v>
      </c>
      <c r="I7151" s="5" t="s">
        <v>46093</v>
      </c>
      <c r="J7151" s="5" t="s">
        <v>27944</v>
      </c>
      <c r="K7151" s="5" t="s">
        <v>344</v>
      </c>
      <c r="L7151" s="5" t="s">
        <v>46094</v>
      </c>
      <c r="M7151" s="27">
        <v>73475452</v>
      </c>
      <c r="N7151" s="5" t="s">
        <v>59987</v>
      </c>
      <c r="O7151" s="5" t="str">
        <v>7204095194</v>
      </c>
      <c r="P7151" s="27">
        <v>10000000</v>
      </c>
      <c r="Q7151" s="5" t="s">
        <v>59989</v>
      </c>
      <c r="R7151" s="5" t="s">
        <v>59990</v>
      </c>
      <c r="S7151" s="5" t="s">
        <v>59991</v>
      </c>
      <c r="T7151" s="28">
        <v>24289559000</v>
      </c>
      <c r="U7151" s="28">
        <v>508002000</v>
      </c>
      <c r="V7151" s="28">
        <v>838466000</v>
      </c>
      <c r="W7151" s="28"/>
      <c r="X7151" s="28">
        <v>1914728000</v>
      </c>
      <c r="Y7151" s="28">
        <v>27916485000</v>
      </c>
      <c r="Z7151" s="28">
        <v>10652761000</v>
      </c>
      <c r="AA7151" s="28">
        <v>570370000</v>
      </c>
      <c r="AB7151" s="28">
        <v>164364000</v>
      </c>
      <c r="AC7151" s="28">
        <v>4266187000</v>
      </c>
      <c r="AD7151" s="28">
        <v>10956157000</v>
      </c>
      <c r="AE7151" s="28">
        <v>6869877000</v>
      </c>
      <c r="AF7151" s="28">
        <v>2718662000</v>
      </c>
      <c r="AG7151" s="11"/>
    </row>
    <row r="7152">
      <c r="A7152" s="7" t="s">
        <v>8708</v>
      </c>
      <c r="B7152" s="5" t="s">
        <v>16635</v>
      </c>
      <c r="C7152" s="5" t="s">
        <v>22073</v>
      </c>
      <c r="D7152" s="5"/>
      <c r="E7152" s="0" t="e">
        <f>+7 (343) 3180449
+7 (345) 2521802</f>
        <v>#NAME?</v>
      </c>
      <c r="F7152" s="5" t="s">
        <v>46095</v>
      </c>
      <c r="G7152" s="5"/>
      <c r="H7152" s="26">
        <v>15</v>
      </c>
      <c r="I7152" s="5" t="s">
        <v>33332</v>
      </c>
      <c r="J7152" s="5" t="s">
        <v>39466</v>
      </c>
      <c r="K7152" s="5" t="s">
        <v>344</v>
      </c>
      <c r="L7152" s="5" t="s">
        <v>46096</v>
      </c>
      <c r="M7152" s="27">
        <v>4837591</v>
      </c>
      <c r="N7152" s="5"/>
      <c r="O7152" s="5" t="str">
        <v>7202171410</v>
      </c>
      <c r="P7152" s="27">
        <v>10000</v>
      </c>
      <c r="Q7152" s="5" t="s">
        <v>49059</v>
      </c>
      <c r="R7152" s="5"/>
      <c r="S7152" s="5" t="s">
        <v>49010</v>
      </c>
      <c r="T7152" s="28">
        <v>579794000</v>
      </c>
      <c r="U7152" s="28"/>
      <c r="V7152" s="28">
        <v>34026000</v>
      </c>
      <c r="W7152" s="28"/>
      <c r="X7152" s="28">
        <v>95131000</v>
      </c>
      <c r="Y7152" s="28">
        <v>1192318000</v>
      </c>
      <c r="Z7152" s="28">
        <v>154338000</v>
      </c>
      <c r="AA7152" s="28"/>
      <c r="AB7152" s="28"/>
      <c r="AC7152" s="28">
        <v>1012085000</v>
      </c>
      <c r="AD7152" s="28">
        <v>154348000</v>
      </c>
      <c r="AE7152" s="28">
        <v>10654600000</v>
      </c>
      <c r="AF7152" s="28">
        <v>428101000</v>
      </c>
      <c r="AG7152" s="11"/>
    </row>
    <row r="7153">
      <c r="A7153" s="7" t="s">
        <v>8709</v>
      </c>
      <c r="B7153" s="5" t="s">
        <v>16636</v>
      </c>
      <c r="C7153" s="5" t="s">
        <v>24253</v>
      </c>
      <c r="D7153" s="5" t="str">
        <v>720405510273</v>
      </c>
      <c r="E7153" s="0" t="e">
        <f>+7 (345) 2274367
+7 (345) 2274670
+7 (345) 2274690
+7 (34542) 67092
+7 (345) 2211882
+7 (345) 2213890
+7 (345) 2213897
+7 (345) 2274342
+7 (345) 2399799
+7 (912) 3894226</f>
        <v>#NAME?</v>
      </c>
      <c r="F7153" s="5" t="s">
        <v>46097</v>
      </c>
      <c r="G7153" s="5"/>
      <c r="H7153" s="26">
        <v>24.5</v>
      </c>
      <c r="I7153" s="5"/>
      <c r="J7153" s="5" t="s">
        <v>25842</v>
      </c>
      <c r="K7153" s="5" t="s">
        <v>344</v>
      </c>
      <c r="L7153" s="5" t="s">
        <v>46098</v>
      </c>
      <c r="M7153" s="27">
        <v>4923103</v>
      </c>
      <c r="N7153" s="5" t="s">
        <v>59992</v>
      </c>
      <c r="O7153" s="5" t="str">
        <v>7203090637</v>
      </c>
      <c r="P7153" s="27">
        <v>10000</v>
      </c>
      <c r="Q7153" s="5" t="s">
        <v>49009</v>
      </c>
      <c r="R7153" s="5"/>
      <c r="S7153" s="5" t="s">
        <v>49504</v>
      </c>
      <c r="T7153" s="28">
        <v>212132000</v>
      </c>
      <c r="U7153" s="28">
        <v>500000</v>
      </c>
      <c r="V7153" s="28">
        <v>1067784000</v>
      </c>
      <c r="W7153" s="28"/>
      <c r="X7153" s="28">
        <v>854186000</v>
      </c>
      <c r="Y7153" s="28">
        <v>2500515000</v>
      </c>
      <c r="Z7153" s="28">
        <v>591717000</v>
      </c>
      <c r="AA7153" s="28"/>
      <c r="AB7153" s="28"/>
      <c r="AC7153" s="28">
        <v>1824153000</v>
      </c>
      <c r="AD7153" s="28">
        <v>676362000</v>
      </c>
      <c r="AE7153" s="28">
        <v>3682924000</v>
      </c>
      <c r="AF7153" s="28">
        <v>182382000</v>
      </c>
      <c r="AG7153" s="11"/>
    </row>
    <row r="7154">
      <c r="A7154" s="7" t="s">
        <v>8710</v>
      </c>
      <c r="B7154" s="5" t="s">
        <v>16637</v>
      </c>
      <c r="C7154" s="5" t="s">
        <v>24254</v>
      </c>
      <c r="D7154" s="5" t="str">
        <v>507504801983</v>
      </c>
      <c r="E7154" s="0" t="e">
        <f>+7 (345) 2628750
+7 (345) 2644713
+7 (345) 2689966
+7 (345) 2792916
+7 (912) 3893036</f>
        <v>#NAME?</v>
      </c>
      <c r="F7154" s="5" t="s">
        <v>46099</v>
      </c>
      <c r="G7154" s="5"/>
      <c r="H7154" s="26">
        <v>15</v>
      </c>
      <c r="I7154" s="5" t="s">
        <v>46100</v>
      </c>
      <c r="J7154" s="5" t="s">
        <v>25499</v>
      </c>
      <c r="K7154" s="5" t="s">
        <v>355</v>
      </c>
      <c r="L7154" s="5"/>
      <c r="M7154" s="27">
        <v>98972</v>
      </c>
      <c r="N7154" s="5" t="s">
        <v>59993</v>
      </c>
      <c r="O7154" s="5" t="str">
        <v>7203215660</v>
      </c>
      <c r="P7154" s="27">
        <v>600010000</v>
      </c>
      <c r="Q7154" s="5" t="s">
        <v>59994</v>
      </c>
      <c r="R7154" s="5"/>
      <c r="S7154" s="5" t="s">
        <v>50538</v>
      </c>
      <c r="T7154" s="28">
        <v>700556000</v>
      </c>
      <c r="U7154" s="28">
        <v>110779000</v>
      </c>
      <c r="V7154" s="28">
        <v>799494000</v>
      </c>
      <c r="W7154" s="28"/>
      <c r="X7154" s="28">
        <v>4358000</v>
      </c>
      <c r="Y7154" s="28">
        <v>1843280000</v>
      </c>
      <c r="Z7154" s="28">
        <v>83383000</v>
      </c>
      <c r="AA7154" s="28">
        <v>105662000</v>
      </c>
      <c r="AB7154" s="28">
        <v>474792000</v>
      </c>
      <c r="AC7154" s="28">
        <v>1044930000</v>
      </c>
      <c r="AD7154" s="28">
        <v>695795000</v>
      </c>
      <c r="AE7154" s="28">
        <v>4668723000</v>
      </c>
      <c r="AF7154" s="28">
        <v>32297000</v>
      </c>
      <c r="AG7154" s="11"/>
    </row>
    <row r="7155">
      <c r="A7155" s="7" t="s">
        <v>8711</v>
      </c>
      <c r="B7155" s="5" t="s">
        <v>16638</v>
      </c>
      <c r="C7155" s="5" t="s">
        <v>24255</v>
      </c>
      <c r="D7155" s="5" t="str">
        <v>720405597884</v>
      </c>
      <c r="E7155" s="0" t="e">
        <f>+7 (345) 2393044
+7 (345) 2309130
+7 (345) 2309132
+7 (345) 2309133
+7 (34938) 20331
+7 (904) 4908777</f>
        <v>#NAME?</v>
      </c>
      <c r="F7155" s="5" t="s">
        <v>46101</v>
      </c>
      <c r="G7155" s="5" t="s">
        <v>46102</v>
      </c>
      <c r="H7155" s="26">
        <v>25.5</v>
      </c>
      <c r="I7155" s="5"/>
      <c r="J7155" s="5" t="s">
        <v>364</v>
      </c>
      <c r="K7155" s="5" t="s">
        <v>344</v>
      </c>
      <c r="L7155" s="5" t="s">
        <v>46103</v>
      </c>
      <c r="M7155" s="27">
        <v>2794048</v>
      </c>
      <c r="N7155" s="5" t="s">
        <v>59995</v>
      </c>
      <c r="O7155" s="5" t="str">
        <v>7203085179</v>
      </c>
      <c r="P7155" s="27">
        <v>166800</v>
      </c>
      <c r="Q7155" s="5" t="s">
        <v>59996</v>
      </c>
      <c r="R7155" s="5"/>
      <c r="S7155" s="5" t="s">
        <v>59997</v>
      </c>
      <c r="T7155" s="28">
        <v>287893000</v>
      </c>
      <c r="U7155" s="28">
        <v>8000</v>
      </c>
      <c r="V7155" s="28">
        <v>3011707000</v>
      </c>
      <c r="W7155" s="28">
        <v>9292000</v>
      </c>
      <c r="X7155" s="28">
        <v>6093268000</v>
      </c>
      <c r="Y7155" s="28">
        <v>10591173000</v>
      </c>
      <c r="Z7155" s="28">
        <v>754390000</v>
      </c>
      <c r="AA7155" s="28"/>
      <c r="AB7155" s="28"/>
      <c r="AC7155" s="28">
        <v>8021699000</v>
      </c>
      <c r="AD7155" s="28">
        <v>754582000</v>
      </c>
      <c r="AE7155" s="28">
        <v>3147479000</v>
      </c>
      <c r="AF7155" s="28">
        <v>296699000</v>
      </c>
      <c r="AG7155" s="11"/>
    </row>
    <row r="7156">
      <c r="A7156" s="7" t="s">
        <v>8712</v>
      </c>
      <c r="B7156" s="5" t="s">
        <v>16639</v>
      </c>
      <c r="C7156" s="5" t="s">
        <v>24256</v>
      </c>
      <c r="D7156" s="5" t="str">
        <v>622900933806</v>
      </c>
      <c r="E7156" s="0" t="e">
        <f>+7 (4912) 308193
+7 (910) 6282831
+7 (4912) 308275
+7 (4912) 308136
+7 (4912) 308163
+7 (4912) 308183
+7 (4912) 308199
+7 (4912) 308233
+7 (4912) 362176
+7 (4912) 362252</f>
        <v>#NAME?</v>
      </c>
      <c r="F7156" s="5" t="s">
        <v>46104</v>
      </c>
      <c r="G7156" s="5" t="s">
        <v>46105</v>
      </c>
      <c r="H7156" s="26">
        <v>30</v>
      </c>
      <c r="I7156" s="5" t="s">
        <v>46106</v>
      </c>
      <c r="J7156" s="5" t="s">
        <v>46107</v>
      </c>
      <c r="K7156" s="5" t="s">
        <v>355</v>
      </c>
      <c r="L7156" s="5" t="s">
        <v>46108</v>
      </c>
      <c r="M7156" s="27">
        <v>279646</v>
      </c>
      <c r="N7156" s="5" t="s">
        <v>59998</v>
      </c>
      <c r="O7156" s="5" t="str">
        <v>6229009163</v>
      </c>
      <c r="P7156" s="27">
        <v>123144</v>
      </c>
      <c r="Q7156" s="5" t="s">
        <v>59999</v>
      </c>
      <c r="R7156" s="5" t="s">
        <v>53015</v>
      </c>
      <c r="S7156" s="5" t="s">
        <v>60000</v>
      </c>
      <c r="T7156" s="28">
        <v>577703000</v>
      </c>
      <c r="U7156" s="28">
        <v>24547000</v>
      </c>
      <c r="V7156" s="28">
        <v>3525191000</v>
      </c>
      <c r="W7156" s="28">
        <v>296000</v>
      </c>
      <c r="X7156" s="28">
        <v>89650000</v>
      </c>
      <c r="Y7156" s="28">
        <v>6144438000</v>
      </c>
      <c r="Z7156" s="28">
        <v>4001125000</v>
      </c>
      <c r="AA7156" s="28"/>
      <c r="AB7156" s="28">
        <v>757737000</v>
      </c>
      <c r="AC7156" s="28">
        <v>1890190000</v>
      </c>
      <c r="AD7156" s="28">
        <v>4134333000</v>
      </c>
      <c r="AE7156" s="28">
        <v>5673731000</v>
      </c>
      <c r="AF7156" s="28">
        <v>947176000</v>
      </c>
      <c r="AG7156" s="11"/>
    </row>
    <row r="7157">
      <c r="A7157" s="7" t="s">
        <v>8713</v>
      </c>
      <c r="B7157" s="5" t="s">
        <v>16640</v>
      </c>
      <c r="C7157" s="5" t="s">
        <v>24257</v>
      </c>
      <c r="D7157" s="5" t="str">
        <v>771403834318</v>
      </c>
      <c r="E7157" s="0" t="e">
        <f>+7 (495) 2568989
+7 (926) 2573859
+7 (495) 2583858
+7 (495) 2589999
+7 (495) 7257979
+7 (495) 9562898
+7 (499) 6167120
+7 (499) 6169204
+7 (499) 6182431</f>
        <v>#NAME?</v>
      </c>
      <c r="F7157" s="5" t="s">
        <v>46109</v>
      </c>
      <c r="G7157" s="5" t="s">
        <v>46110</v>
      </c>
      <c r="H7157" s="26">
        <v>26</v>
      </c>
      <c r="I7157" s="5" t="s">
        <v>46111</v>
      </c>
      <c r="J7157" s="5" t="s">
        <v>389</v>
      </c>
      <c r="K7157" s="5" t="s">
        <v>344</v>
      </c>
      <c r="L7157" s="5"/>
      <c r="M7157" s="27"/>
      <c r="N7157" s="5" t="s">
        <v>60001</v>
      </c>
      <c r="O7157" s="5" t="str">
        <v>7725080060</v>
      </c>
      <c r="P7157" s="27">
        <v>11540000</v>
      </c>
      <c r="Q7157" s="5" t="s">
        <v>49059</v>
      </c>
      <c r="R7157" s="5" t="s">
        <v>60002</v>
      </c>
      <c r="S7157" s="5" t="s">
        <v>49045</v>
      </c>
      <c r="T7157" s="28">
        <v>716833000</v>
      </c>
      <c r="U7157" s="28">
        <v>96356000</v>
      </c>
      <c r="V7157" s="28">
        <v>771354000</v>
      </c>
      <c r="W7157" s="28"/>
      <c r="X7157" s="28">
        <v>63526000</v>
      </c>
      <c r="Y7157" s="28">
        <v>4208801000</v>
      </c>
      <c r="Z7157" s="28">
        <v>3100170000</v>
      </c>
      <c r="AA7157" s="28"/>
      <c r="AB7157" s="28">
        <v>387313000</v>
      </c>
      <c r="AC7157" s="28">
        <v>1059534000</v>
      </c>
      <c r="AD7157" s="28">
        <v>3111710000</v>
      </c>
      <c r="AE7157" s="28">
        <v>9284981000</v>
      </c>
      <c r="AF7157" s="28">
        <v>38939000</v>
      </c>
      <c r="AG7157" s="11"/>
    </row>
    <row r="7158">
      <c r="A7158" s="7" t="s">
        <v>8714</v>
      </c>
      <c r="B7158" s="5" t="s">
        <v>16641</v>
      </c>
      <c r="C7158" s="5" t="s">
        <v>24258</v>
      </c>
      <c r="D7158" s="5" t="str">
        <v>183500036269</v>
      </c>
      <c r="E7158" s="0" t="e">
        <f>+7 (3412) 511535
+7 (3412) 668571
+7 (3412) 668577
+7 (3412) 668586
+7 (3412) 668686
+7 (34130) 51535
+7 (34130) 51997
+7 (912) 8565578
+7 (922) 5053535</f>
        <v>#NAME?</v>
      </c>
      <c r="F7158" s="5" t="s">
        <v>46112</v>
      </c>
      <c r="G7158" s="5" t="s">
        <v>46113</v>
      </c>
      <c r="H7158" s="26">
        <v>30</v>
      </c>
      <c r="I7158" s="5" t="s">
        <v>46114</v>
      </c>
      <c r="J7158" s="5" t="s">
        <v>25231</v>
      </c>
      <c r="K7158" s="5" t="s">
        <v>355</v>
      </c>
      <c r="L7158" s="5"/>
      <c r="M7158" s="27">
        <v>1302307</v>
      </c>
      <c r="N7158" s="5"/>
      <c r="O7158" s="5" t="str">
        <v>1821009492</v>
      </c>
      <c r="P7158" s="27">
        <v>19613000</v>
      </c>
      <c r="Q7158" s="5"/>
      <c r="R7158" s="5"/>
      <c r="S7158" s="5" t="s">
        <v>49499</v>
      </c>
      <c r="T7158" s="28">
        <v>975647000</v>
      </c>
      <c r="U7158" s="28">
        <v>656545000</v>
      </c>
      <c r="V7158" s="28">
        <v>1973810000</v>
      </c>
      <c r="W7158" s="28">
        <v>31175000</v>
      </c>
      <c r="X7158" s="28">
        <v>4449000</v>
      </c>
      <c r="Y7158" s="28">
        <v>5257669000</v>
      </c>
      <c r="Z7158" s="28">
        <v>329738000</v>
      </c>
      <c r="AA7158" s="28">
        <v>441334000</v>
      </c>
      <c r="AB7158" s="28">
        <v>1247996000</v>
      </c>
      <c r="AC7158" s="28">
        <v>3527346000</v>
      </c>
      <c r="AD7158" s="28">
        <v>1288989000</v>
      </c>
      <c r="AE7158" s="28">
        <v>13001236000</v>
      </c>
      <c r="AF7158" s="28">
        <v>67175000</v>
      </c>
      <c r="AG7158" s="11"/>
    </row>
    <row r="7159">
      <c r="A7159" s="7" t="s">
        <v>8715</v>
      </c>
      <c r="B7159" s="5" t="s">
        <v>16642</v>
      </c>
      <c r="C7159" s="5" t="s">
        <v>24259</v>
      </c>
      <c r="D7159" s="5" t="str">
        <v>182103578263</v>
      </c>
      <c r="E7159" s="0" t="e">
        <f>+7 (3412) 254749
+7 (3412) 254833
+7 (3412) 606000
+7 (3412) 606002
+7 (3412) 606003
+7 (3412) 606004
+7 (3412) 606005
+7 (3412) 606010
+7 (3412) 606012
+7 (3412) 606013
+7 (3412) 606017
+7 (3412) 606019
+7 (3412) 606050
+7 (3412) 606051
+7 (3412) 606052</f>
        <v>#NAME?</v>
      </c>
      <c r="F7159" s="5" t="s">
        <v>46115</v>
      </c>
      <c r="G7159" s="5" t="s">
        <v>46116</v>
      </c>
      <c r="H7159" s="26">
        <v>19.5</v>
      </c>
      <c r="I7159" s="5" t="s">
        <v>46117</v>
      </c>
      <c r="J7159" s="5" t="s">
        <v>27221</v>
      </c>
      <c r="K7159" s="5" t="s">
        <v>344</v>
      </c>
      <c r="L7159" s="5" t="s">
        <v>46118</v>
      </c>
      <c r="M7159" s="27"/>
      <c r="N7159" s="5"/>
      <c r="O7159" s="5" t="str">
        <v>1831090774</v>
      </c>
      <c r="P7159" s="27">
        <v>210000</v>
      </c>
      <c r="Q7159" s="5" t="s">
        <v>49207</v>
      </c>
      <c r="R7159" s="5" t="s">
        <v>60003</v>
      </c>
      <c r="S7159" s="5" t="s">
        <v>53649</v>
      </c>
      <c r="T7159" s="28">
        <v>5302918000</v>
      </c>
      <c r="U7159" s="28">
        <v>19645000</v>
      </c>
      <c r="V7159" s="28">
        <v>1053725000</v>
      </c>
      <c r="W7159" s="28">
        <v>37514000</v>
      </c>
      <c r="X7159" s="28">
        <v>476541000</v>
      </c>
      <c r="Y7159" s="28">
        <v>13543083000</v>
      </c>
      <c r="Z7159" s="28">
        <v>11400192000</v>
      </c>
      <c r="AA7159" s="28"/>
      <c r="AB7159" s="28">
        <v>328011000</v>
      </c>
      <c r="AC7159" s="28">
        <v>1476186000</v>
      </c>
      <c r="AD7159" s="28">
        <v>11458586000</v>
      </c>
      <c r="AE7159" s="28">
        <v>10654594000</v>
      </c>
      <c r="AF7159" s="28">
        <v>2371928000</v>
      </c>
      <c r="AG7159" s="11"/>
    </row>
    <row r="7160">
      <c r="A7160" s="7" t="s">
        <v>8716</v>
      </c>
      <c r="B7160" s="5" t="s">
        <v>16643</v>
      </c>
      <c r="C7160" s="5" t="s">
        <v>24260</v>
      </c>
      <c r="D7160" s="5" t="str">
        <v>330570327245</v>
      </c>
      <c r="E7160" s="0" t="e">
        <f>+7 (495) 7391429
+7 (495) 7391430</f>
        <v>#NAME?</v>
      </c>
      <c r="F7160" s="5" t="s">
        <v>46119</v>
      </c>
      <c r="G7160" s="5" t="s">
        <v>46120</v>
      </c>
      <c r="H7160" s="26">
        <v>13.5</v>
      </c>
      <c r="I7160" s="5"/>
      <c r="J7160" s="5" t="s">
        <v>25612</v>
      </c>
      <c r="K7160" s="5" t="s">
        <v>344</v>
      </c>
      <c r="L7160" s="5"/>
      <c r="M7160" s="27"/>
      <c r="N7160" s="5" t="s">
        <v>60004</v>
      </c>
      <c r="O7160" s="5" t="str">
        <v>7709835066</v>
      </c>
      <c r="P7160" s="27">
        <v>1000000</v>
      </c>
      <c r="Q7160" s="5" t="s">
        <v>60005</v>
      </c>
      <c r="R7160" s="5" t="s">
        <v>60006</v>
      </c>
      <c r="S7160" s="5" t="s">
        <v>51576</v>
      </c>
      <c r="T7160" s="28">
        <v>106614000</v>
      </c>
      <c r="U7160" s="28"/>
      <c r="V7160" s="28">
        <v>841446000</v>
      </c>
      <c r="W7160" s="28"/>
      <c r="X7160" s="28">
        <v>441837000</v>
      </c>
      <c r="Y7160" s="28">
        <v>1584651000</v>
      </c>
      <c r="Z7160" s="28">
        <v>217258000</v>
      </c>
      <c r="AA7160" s="28"/>
      <c r="AB7160" s="28"/>
      <c r="AC7160" s="28">
        <v>845041000</v>
      </c>
      <c r="AD7160" s="28">
        <v>630294000</v>
      </c>
      <c r="AE7160" s="28">
        <v>8288304000</v>
      </c>
      <c r="AF7160" s="28">
        <v>179418000</v>
      </c>
      <c r="AG7160" s="11"/>
    </row>
    <row r="7161">
      <c r="A7161" s="7" t="s">
        <v>8717</v>
      </c>
      <c r="B7161" s="5" t="s">
        <v>16644</v>
      </c>
      <c r="C7161" s="5" t="s">
        <v>24261</v>
      </c>
      <c r="D7161" s="5" t="str">
        <v>660405888854</v>
      </c>
      <c r="E7161" s="0" t="e">
        <f>+7 (343) 2260688
+7 (343) 2883030
+7 (345) 2652020
+7 (3472) 17707
+7 (3512) 208808
+7 (495) 1377545</f>
        <v>#NAME?</v>
      </c>
      <c r="F7161" s="5" t="s">
        <v>46121</v>
      </c>
      <c r="G7161" s="5"/>
      <c r="H7161" s="26">
        <v>4.5</v>
      </c>
      <c r="I7161" s="5" t="s">
        <v>46122</v>
      </c>
      <c r="J7161" s="5" t="s">
        <v>26880</v>
      </c>
      <c r="K7161" s="5" t="s">
        <v>344</v>
      </c>
      <c r="L7161" s="5" t="s">
        <v>46123</v>
      </c>
      <c r="M7161" s="27">
        <v>7030367</v>
      </c>
      <c r="N7161" s="5" t="s">
        <v>60007</v>
      </c>
      <c r="O7161" s="5" t="str">
        <v>6686108528</v>
      </c>
      <c r="P7161" s="27">
        <v>1000000</v>
      </c>
      <c r="Q7161" s="5" t="s">
        <v>447</v>
      </c>
      <c r="R7161" s="5"/>
      <c r="S7161" s="5" t="s">
        <v>60008</v>
      </c>
      <c r="T7161" s="28">
        <v>40998000</v>
      </c>
      <c r="U7161" s="28"/>
      <c r="V7161" s="28">
        <v>3342562000</v>
      </c>
      <c r="W7161" s="28">
        <v>874672000</v>
      </c>
      <c r="X7161" s="28">
        <v>186239000</v>
      </c>
      <c r="Y7161" s="28">
        <v>6808834000</v>
      </c>
      <c r="Z7161" s="28">
        <v>634322000</v>
      </c>
      <c r="AA7161" s="28"/>
      <c r="AB7161" s="28"/>
      <c r="AC7161" s="28">
        <v>6161481000</v>
      </c>
      <c r="AD7161" s="28">
        <v>635322000</v>
      </c>
      <c r="AE7161" s="28">
        <v>27539479000</v>
      </c>
      <c r="AF7161" s="28">
        <v>114571000</v>
      </c>
      <c r="AG7161" s="11"/>
    </row>
    <row r="7162">
      <c r="A7162" s="7" t="s">
        <v>8718</v>
      </c>
      <c r="B7162" s="5" t="s">
        <v>16645</v>
      </c>
      <c r="C7162" s="5" t="s">
        <v>24262</v>
      </c>
      <c r="D7162" s="5" t="str">
        <v>631702785501</v>
      </c>
      <c r="E7162" s="0" t="e">
        <f>+7 (495) 3281919
+7 (495) 4968677
+7 (383) 3291916
+7 (4232) 469402
+7 (4232) 495480
+7 (4232) 496212
+7 (4232) 496226
+7 (4232) 496392
+7 (4232) 496402
+7 (4232) 497099
+7 (495) 6338479
+7 (495) 9520276
+7 (495) 9520941
+7 (495) 9521923
+7 (495) 9522121</f>
        <v>#NAME?</v>
      </c>
      <c r="F7162" s="5" t="s">
        <v>46124</v>
      </c>
      <c r="G7162" s="5" t="s">
        <v>46125</v>
      </c>
      <c r="H7162" s="26">
        <v>20.5</v>
      </c>
      <c r="I7162" s="5"/>
      <c r="J7162" s="5" t="s">
        <v>46126</v>
      </c>
      <c r="K7162" s="5" t="s">
        <v>344</v>
      </c>
      <c r="L7162" s="5"/>
      <c r="M7162" s="27">
        <v>211731194</v>
      </c>
      <c r="N7162" s="5" t="s">
        <v>60009</v>
      </c>
      <c r="O7162" s="5" t="str">
        <v>7707311363</v>
      </c>
      <c r="P7162" s="27">
        <v>600000000</v>
      </c>
      <c r="Q7162" s="5" t="s">
        <v>60010</v>
      </c>
      <c r="R7162" s="5"/>
      <c r="S7162" s="5" t="s">
        <v>60011</v>
      </c>
      <c r="T7162" s="28">
        <v>1949900000</v>
      </c>
      <c r="U7162" s="28"/>
      <c r="V7162" s="28">
        <v>966776000</v>
      </c>
      <c r="W7162" s="28"/>
      <c r="X7162" s="28">
        <v>2219067000</v>
      </c>
      <c r="Y7162" s="28">
        <v>5303695000</v>
      </c>
      <c r="Z7162" s="28">
        <v>1257452000</v>
      </c>
      <c r="AA7162" s="28"/>
      <c r="AB7162" s="28"/>
      <c r="AC7162" s="28">
        <v>1893378000</v>
      </c>
      <c r="AD7162" s="28">
        <v>3410317000</v>
      </c>
      <c r="AE7162" s="28">
        <v>8076287000</v>
      </c>
      <c r="AF7162" s="28">
        <v>167642000</v>
      </c>
      <c r="AG7162" s="11"/>
    </row>
    <row r="7163">
      <c r="A7163" s="7" t="s">
        <v>8719</v>
      </c>
      <c r="B7163" s="5" t="s">
        <v>16646</v>
      </c>
      <c r="C7163" s="5" t="s">
        <v>24263</v>
      </c>
      <c r="D7163" s="5" t="str">
        <v>222211422966</v>
      </c>
      <c r="E7163" s="0" t="e">
        <f>+7 (495) 3231323</f>
        <v>#NAME?</v>
      </c>
      <c r="F7163" s="5" t="s">
        <v>46127</v>
      </c>
      <c r="G7163" s="5"/>
      <c r="H7163" s="26">
        <v>9</v>
      </c>
      <c r="I7163" s="5" t="s">
        <v>46128</v>
      </c>
      <c r="J7163" s="5" t="s">
        <v>373</v>
      </c>
      <c r="K7163" s="5" t="s">
        <v>344</v>
      </c>
      <c r="L7163" s="5" t="s">
        <v>46129</v>
      </c>
      <c r="M7163" s="27"/>
      <c r="N7163" s="5" t="s">
        <v>60012</v>
      </c>
      <c r="O7163" s="5" t="str">
        <v>7706807582</v>
      </c>
      <c r="P7163" s="27">
        <v>100000</v>
      </c>
      <c r="Q7163" s="5"/>
      <c r="R7163" s="5"/>
      <c r="S7163" s="5" t="s">
        <v>49110</v>
      </c>
      <c r="T7163" s="28">
        <v>1170541000</v>
      </c>
      <c r="U7163" s="28"/>
      <c r="V7163" s="28">
        <v>1679175000</v>
      </c>
      <c r="W7163" s="28">
        <v>100000</v>
      </c>
      <c r="X7163" s="28">
        <v>779834000</v>
      </c>
      <c r="Y7163" s="28">
        <v>4317870000</v>
      </c>
      <c r="Z7163" s="28">
        <v>2296020000</v>
      </c>
      <c r="AA7163" s="28"/>
      <c r="AB7163" s="28"/>
      <c r="AC7163" s="28">
        <v>1143658000</v>
      </c>
      <c r="AD7163" s="28">
        <v>2296120000</v>
      </c>
      <c r="AE7163" s="28">
        <v>11356843000</v>
      </c>
      <c r="AF7163" s="28">
        <v>1417082000</v>
      </c>
      <c r="AG7163" s="11"/>
    </row>
    <row r="7164">
      <c r="A7164" s="7" t="s">
        <v>8720</v>
      </c>
      <c r="B7164" s="5" t="s">
        <v>16647</v>
      </c>
      <c r="C7164" s="5" t="s">
        <v>19836</v>
      </c>
      <c r="D7164" s="5" t="str">
        <v>771577233192</v>
      </c>
      <c r="E7164" s="0" t="e">
        <f>+7 (495) 7758241
+7 (48532) 22576
+7 (48532) 23282
+7 (48532) 29047
+7 (48532) 29048
+7 (48532) 91300
+7 (48532) 91301
+7 (495) 5437300
+7 (495) 5450539
+7 (495) 7758239
+7 (495) 7758240
+7 (495) 7758242
+7 (495) 7758243
+7 (495) 7805551
+7 (499) 1107300</f>
        <v>#NAME?</v>
      </c>
      <c r="F7164" s="5" t="s">
        <v>46130</v>
      </c>
      <c r="G7164" s="5" t="s">
        <v>46131</v>
      </c>
      <c r="H7164" s="26">
        <v>20.5</v>
      </c>
      <c r="I7164" s="5" t="s">
        <v>46132</v>
      </c>
      <c r="J7164" s="5" t="s">
        <v>655</v>
      </c>
      <c r="K7164" s="5" t="s">
        <v>344</v>
      </c>
      <c r="L7164" s="5" t="s">
        <v>46133</v>
      </c>
      <c r="M7164" s="27"/>
      <c r="N7164" s="5"/>
      <c r="O7164" s="5" t="str">
        <v>7710434750</v>
      </c>
      <c r="P7164" s="27">
        <v>470000000</v>
      </c>
      <c r="Q7164" s="5" t="s">
        <v>60013</v>
      </c>
      <c r="R7164" s="5"/>
      <c r="S7164" s="5" t="s">
        <v>60014</v>
      </c>
      <c r="T7164" s="28">
        <v>911722000</v>
      </c>
      <c r="U7164" s="28"/>
      <c r="V7164" s="28">
        <v>1737059000</v>
      </c>
      <c r="W7164" s="28"/>
      <c r="X7164" s="28">
        <v>62958000</v>
      </c>
      <c r="Y7164" s="28">
        <v>3667717000</v>
      </c>
      <c r="Z7164" s="28">
        <v>538504000</v>
      </c>
      <c r="AA7164" s="28"/>
      <c r="AB7164" s="28">
        <v>202049000</v>
      </c>
      <c r="AC7164" s="28">
        <v>697955000</v>
      </c>
      <c r="AD7164" s="28">
        <v>2953577000</v>
      </c>
      <c r="AE7164" s="28">
        <v>7157389000</v>
      </c>
      <c r="AF7164" s="28">
        <v>600260000</v>
      </c>
      <c r="AG7164" s="11"/>
    </row>
    <row r="7165">
      <c r="A7165" s="7" t="s">
        <v>8721</v>
      </c>
      <c r="B7165" s="5" t="s">
        <v>16648</v>
      </c>
      <c r="C7165" s="5" t="s">
        <v>24264</v>
      </c>
      <c r="D7165" s="5" t="str">
        <v>027807658202</v>
      </c>
      <c r="E7165" s="0" t="e">
        <f>+7 (3472) 865510
+7 (3473) 304010
+7 (3472) 164420
+7 (917) 3470951
+7 (917) 4004904</f>
        <v>#NAME?</v>
      </c>
      <c r="F7165" s="5" t="s">
        <v>46134</v>
      </c>
      <c r="G7165" s="5" t="s">
        <v>46135</v>
      </c>
      <c r="H7165" s="26">
        <v>9</v>
      </c>
      <c r="I7165" s="5" t="s">
        <v>46136</v>
      </c>
      <c r="J7165" s="5" t="s">
        <v>25231</v>
      </c>
      <c r="K7165" s="5" t="s">
        <v>344</v>
      </c>
      <c r="L7165" s="5" t="s">
        <v>46137</v>
      </c>
      <c r="M7165" s="27">
        <v>7003297</v>
      </c>
      <c r="N7165" s="5" t="s">
        <v>60015</v>
      </c>
      <c r="O7165" s="5" t="str">
        <v>0277134075</v>
      </c>
      <c r="P7165" s="27">
        <v>100000000</v>
      </c>
      <c r="Q7165" s="5" t="s">
        <v>60016</v>
      </c>
      <c r="R7165" s="5"/>
      <c r="S7165" s="5" t="s">
        <v>60017</v>
      </c>
      <c r="T7165" s="28">
        <v>421577000</v>
      </c>
      <c r="U7165" s="28">
        <v>374000</v>
      </c>
      <c r="V7165" s="28">
        <v>364467000</v>
      </c>
      <c r="W7165" s="28">
        <v>239000000</v>
      </c>
      <c r="X7165" s="28">
        <v>63502000</v>
      </c>
      <c r="Y7165" s="28">
        <v>1497318000</v>
      </c>
      <c r="Z7165" s="28">
        <v>812955000</v>
      </c>
      <c r="AA7165" s="28">
        <v>46439000</v>
      </c>
      <c r="AB7165" s="28">
        <v>300000000</v>
      </c>
      <c r="AC7165" s="28">
        <v>533434000</v>
      </c>
      <c r="AD7165" s="28">
        <v>912955000</v>
      </c>
      <c r="AE7165" s="28">
        <v>3353379000</v>
      </c>
      <c r="AF7165" s="28">
        <v>228237000</v>
      </c>
      <c r="AG7165" s="11"/>
    </row>
    <row r="7166">
      <c r="A7166" s="7" t="s">
        <v>8722</v>
      </c>
      <c r="B7166" s="5" t="s">
        <v>16649</v>
      </c>
      <c r="C7166" s="5" t="s">
        <v>24265</v>
      </c>
      <c r="D7166" s="5" t="str">
        <v>132601941270</v>
      </c>
      <c r="E7166" s="0" t="e">
        <f>+7 (34357) 55170
+7 (34368) 39086
+7 (34368) 39090
+7 (34368) 47425
+7 (34368) 77604
+7 (34368) 77605
+7 (34368) 96775</f>
        <v>#NAME?</v>
      </c>
      <c r="F7166" s="5" t="s">
        <v>46138</v>
      </c>
      <c r="G7166" s="5"/>
      <c r="H7166" s="26">
        <v>19.5</v>
      </c>
      <c r="I7166" s="5"/>
      <c r="J7166" s="5" t="s">
        <v>32941</v>
      </c>
      <c r="K7166" s="5" t="s">
        <v>344</v>
      </c>
      <c r="L7166" s="5" t="s">
        <v>46139</v>
      </c>
      <c r="M7166" s="27"/>
      <c r="N7166" s="5"/>
      <c r="O7166" s="5" t="str">
        <v>6673102127</v>
      </c>
      <c r="P7166" s="27">
        <v>20000</v>
      </c>
      <c r="Q7166" s="5" t="s">
        <v>49009</v>
      </c>
      <c r="R7166" s="5"/>
      <c r="S7166" s="5" t="s">
        <v>49010</v>
      </c>
      <c r="T7166" s="28">
        <v>120549000</v>
      </c>
      <c r="U7166" s="28"/>
      <c r="V7166" s="28">
        <v>2605524000</v>
      </c>
      <c r="W7166" s="28">
        <v>13802000</v>
      </c>
      <c r="X7166" s="28">
        <v>10617000</v>
      </c>
      <c r="Y7166" s="28">
        <v>3880127000</v>
      </c>
      <c r="Z7166" s="28">
        <v>1883865000</v>
      </c>
      <c r="AA7166" s="28"/>
      <c r="AB7166" s="28">
        <v>1363701000</v>
      </c>
      <c r="AC7166" s="28">
        <v>1992155000</v>
      </c>
      <c r="AD7166" s="28">
        <v>1883886000</v>
      </c>
      <c r="AE7166" s="28">
        <v>35979722000</v>
      </c>
      <c r="AF7166" s="28">
        <v>670250000</v>
      </c>
      <c r="AG7166" s="11"/>
    </row>
    <row r="7167">
      <c r="A7167" s="7" t="s">
        <v>8723</v>
      </c>
      <c r="B7167" s="5" t="s">
        <v>16650</v>
      </c>
      <c r="C7167" s="5" t="s">
        <v>24266</v>
      </c>
      <c r="D7167" s="5" t="str">
        <v>665896084107</v>
      </c>
      <c r="E7167" s="0" t="e">
        <f>+7 (343) 3171243
+7 (495) 5325603
+7 (343) 2713003
+7 (343) 2830003
+7 (343) 2830128
+7 (343) 2830808
+7 (343) 3442767
+7 (343) 3442768
+7 (343) 3442777
+7 (343) 3442800
+7 (34368) 47969
+7 (34368) 49578
+7 (800) 2341003</f>
        <v>#NAME?</v>
      </c>
      <c r="F7167" s="5" t="s">
        <v>46140</v>
      </c>
      <c r="G7167" s="5" t="s">
        <v>46141</v>
      </c>
      <c r="H7167" s="26">
        <v>14</v>
      </c>
      <c r="I7167" s="5" t="s">
        <v>46142</v>
      </c>
      <c r="J7167" s="5" t="s">
        <v>33507</v>
      </c>
      <c r="K7167" s="5" t="s">
        <v>355</v>
      </c>
      <c r="L7167" s="5"/>
      <c r="M7167" s="27">
        <v>162870</v>
      </c>
      <c r="N7167" s="5" t="s">
        <v>60018</v>
      </c>
      <c r="O7167" s="5" t="str">
        <v>6671276329</v>
      </c>
      <c r="P7167" s="27">
        <v>142633442</v>
      </c>
      <c r="Q7167" s="5"/>
      <c r="R7167" s="5"/>
      <c r="S7167" s="5" t="s">
        <v>49110</v>
      </c>
      <c r="T7167" s="28">
        <v>3143261000</v>
      </c>
      <c r="U7167" s="28">
        <v>11223000</v>
      </c>
      <c r="V7167" s="28">
        <v>166625000</v>
      </c>
      <c r="W7167" s="28"/>
      <c r="X7167" s="28">
        <v>609422000</v>
      </c>
      <c r="Y7167" s="28">
        <v>4142389000</v>
      </c>
      <c r="Z7167" s="28">
        <v>-725935000</v>
      </c>
      <c r="AA7167" s="28">
        <v>333330000</v>
      </c>
      <c r="AB7167" s="28">
        <v>3482885000</v>
      </c>
      <c r="AC7167" s="28">
        <v>3918045000</v>
      </c>
      <c r="AD7167" s="28">
        <v>-582648000</v>
      </c>
      <c r="AE7167" s="28">
        <v>3693517000</v>
      </c>
      <c r="AF7167" s="28">
        <v>-243444000</v>
      </c>
      <c r="AG7167" s="11"/>
    </row>
    <row r="7168">
      <c r="A7168" s="7" t="s">
        <v>8724</v>
      </c>
      <c r="B7168" s="5" t="s">
        <v>16651</v>
      </c>
      <c r="C7168" s="5" t="s">
        <v>24267</v>
      </c>
      <c r="D7168" s="5" t="str">
        <v>660600446112</v>
      </c>
      <c r="E7168" s="0" t="e">
        <f>+7 (38557) 71700
+7 (34368) 77128
+7 (34368) 96850</f>
        <v>#NAME?</v>
      </c>
      <c r="F7168" s="5" t="s">
        <v>46143</v>
      </c>
      <c r="G7168" s="5" t="s">
        <v>46144</v>
      </c>
      <c r="H7168" s="26">
        <v>17</v>
      </c>
      <c r="I7168" s="5" t="s">
        <v>46145</v>
      </c>
      <c r="J7168" s="5" t="s">
        <v>27783</v>
      </c>
      <c r="K7168" s="5" t="s">
        <v>344</v>
      </c>
      <c r="L7168" s="5" t="s">
        <v>46146</v>
      </c>
      <c r="M7168" s="27">
        <v>10670770</v>
      </c>
      <c r="N7168" s="5" t="s">
        <v>60019</v>
      </c>
      <c r="O7168" s="5" t="str">
        <v>6606022606</v>
      </c>
      <c r="P7168" s="27">
        <v>12500</v>
      </c>
      <c r="Q7168" s="5" t="s">
        <v>60020</v>
      </c>
      <c r="R7168" s="5"/>
      <c r="S7168" s="5" t="s">
        <v>60021</v>
      </c>
      <c r="T7168" s="28">
        <v>834613000</v>
      </c>
      <c r="U7168" s="28">
        <v>5004000</v>
      </c>
      <c r="V7168" s="28">
        <v>1008625000</v>
      </c>
      <c r="W7168" s="28">
        <v>24600000</v>
      </c>
      <c r="X7168" s="28">
        <v>257237000</v>
      </c>
      <c r="Y7168" s="28">
        <v>2881534000</v>
      </c>
      <c r="Z7168" s="28">
        <v>1326019000</v>
      </c>
      <c r="AA7168" s="28"/>
      <c r="AB7168" s="28"/>
      <c r="AC7168" s="28">
        <v>1448622000</v>
      </c>
      <c r="AD7168" s="28">
        <v>1326030000</v>
      </c>
      <c r="AE7168" s="28">
        <v>4232231000</v>
      </c>
      <c r="AF7168" s="28">
        <v>301566000</v>
      </c>
      <c r="AG7168" s="11"/>
    </row>
    <row r="7169">
      <c r="A7169" s="7" t="s">
        <v>8725</v>
      </c>
      <c r="B7169" s="5" t="s">
        <v>16652</v>
      </c>
      <c r="C7169" s="5" t="s">
        <v>24268</v>
      </c>
      <c r="D7169" s="5" t="str">
        <v>772451563941</v>
      </c>
      <c r="E7169" s="0" t="e">
        <f>+7 (34368) 47777
+7 (34368) 96103
+7 (34368) 96118
+7 (34368) 96140
+7 (34368) 96182
+7 (34368) 96199
+7 (34368) 96238
+7 (34368) 96239
+7 (34368) 96284
+7 (34368) 96301
+7 (34368) 96305
+7 (34368) 96319
+7 (34368) 96328
+7 (34368) 96362
+7 (34368) 96363</f>
        <v>#NAME?</v>
      </c>
      <c r="F7169" s="5" t="s">
        <v>46147</v>
      </c>
      <c r="G7169" s="5" t="s">
        <v>46148</v>
      </c>
      <c r="H7169" s="26">
        <v>20.5</v>
      </c>
      <c r="I7169" s="5" t="s">
        <v>46149</v>
      </c>
      <c r="J7169" s="5" t="s">
        <v>599</v>
      </c>
      <c r="K7169" s="5" t="s">
        <v>344</v>
      </c>
      <c r="L7169" s="5"/>
      <c r="M7169" s="27">
        <v>3552780</v>
      </c>
      <c r="N7169" s="5" t="s">
        <v>49403</v>
      </c>
      <c r="O7169" s="5" t="str">
        <v>7707307134</v>
      </c>
      <c r="P7169" s="27">
        <v>20000</v>
      </c>
      <c r="Q7169" s="5" t="s">
        <v>49009</v>
      </c>
      <c r="R7169" s="5"/>
      <c r="S7169" s="5" t="s">
        <v>49010</v>
      </c>
      <c r="T7169" s="28">
        <v>3559921000</v>
      </c>
      <c r="U7169" s="28">
        <v>12527440000</v>
      </c>
      <c r="V7169" s="28">
        <v>728801000</v>
      </c>
      <c r="W7169" s="28"/>
      <c r="X7169" s="28">
        <v>1287648000</v>
      </c>
      <c r="Y7169" s="28">
        <v>18216971000</v>
      </c>
      <c r="Z7169" s="28">
        <v>9989212000</v>
      </c>
      <c r="AA7169" s="28"/>
      <c r="AB7169" s="28"/>
      <c r="AC7169" s="28">
        <v>340775000</v>
      </c>
      <c r="AD7169" s="28">
        <v>16949224000</v>
      </c>
      <c r="AE7169" s="28">
        <v>6883230000</v>
      </c>
      <c r="AF7169" s="28">
        <v>1720982000</v>
      </c>
      <c r="AG7169" s="11"/>
    </row>
    <row r="7170">
      <c r="A7170" s="7" t="s">
        <v>8726</v>
      </c>
      <c r="B7170" s="5" t="s">
        <v>16653</v>
      </c>
      <c r="C7170" s="5" t="s">
        <v>24269</v>
      </c>
      <c r="D7170" s="5" t="str">
        <v>780418020980</v>
      </c>
      <c r="E7170" s="0" t="e">
        <f>+7 (921) 7435533
+7 (3012) 200067
+7 (812) 3315590
+7 (924) 7742527</f>
        <v>#NAME?</v>
      </c>
      <c r="F7170" s="5" t="s">
        <v>46150</v>
      </c>
      <c r="G7170" s="5" t="s">
        <v>46151</v>
      </c>
      <c r="H7170" s="26">
        <v>9.5</v>
      </c>
      <c r="I7170" s="5" t="s">
        <v>46152</v>
      </c>
      <c r="J7170" s="5" t="s">
        <v>866</v>
      </c>
      <c r="K7170" s="5" t="s">
        <v>344</v>
      </c>
      <c r="L7170" s="5" t="s">
        <v>46153</v>
      </c>
      <c r="M7170" s="27">
        <v>3487907</v>
      </c>
      <c r="N7170" s="5" t="s">
        <v>60022</v>
      </c>
      <c r="O7170" s="5" t="str">
        <v>7804513580</v>
      </c>
      <c r="P7170" s="27">
        <v>125000000</v>
      </c>
      <c r="Q7170" s="5" t="s">
        <v>60023</v>
      </c>
      <c r="R7170" s="5"/>
      <c r="S7170" s="5" t="s">
        <v>50836</v>
      </c>
      <c r="T7170" s="28">
        <v>1121471000</v>
      </c>
      <c r="U7170" s="28">
        <v>58000000</v>
      </c>
      <c r="V7170" s="28">
        <v>654907000</v>
      </c>
      <c r="W7170" s="28"/>
      <c r="X7170" s="28">
        <v>15056000</v>
      </c>
      <c r="Y7170" s="28">
        <v>2068055000</v>
      </c>
      <c r="Z7170" s="28">
        <v>253089000</v>
      </c>
      <c r="AA7170" s="28"/>
      <c r="AB7170" s="28">
        <v>298000000</v>
      </c>
      <c r="AC7170" s="28">
        <v>1051137000</v>
      </c>
      <c r="AD7170" s="28">
        <v>378089000</v>
      </c>
      <c r="AE7170" s="28">
        <v>5046931000</v>
      </c>
      <c r="AF7170" s="28">
        <v>167266000</v>
      </c>
      <c r="AG7170" s="11"/>
    </row>
    <row r="7171">
      <c r="A7171" s="7" t="s">
        <v>8727</v>
      </c>
      <c r="B7171" s="5" t="s">
        <v>16654</v>
      </c>
      <c r="C7171" s="5" t="s">
        <v>24270</v>
      </c>
      <c r="D7171" s="5" t="str">
        <v>421214253501</v>
      </c>
      <c r="E7171" s="0" t="e">
        <f>+7 (38445) 41064
+7 (384) 4541822
+7 (38445) 32444
+7 (38445) 41782
+7 (38445) 41810</f>
        <v>#NAME?</v>
      </c>
      <c r="F7171" s="5" t="s">
        <v>46154</v>
      </c>
      <c r="G7171" s="5"/>
      <c r="H7171" s="26">
        <v>13.5</v>
      </c>
      <c r="I7171" s="5"/>
      <c r="J7171" s="5" t="s">
        <v>31248</v>
      </c>
      <c r="K7171" s="5" t="s">
        <v>344</v>
      </c>
      <c r="L7171" s="5"/>
      <c r="M7171" s="27">
        <v>21837581</v>
      </c>
      <c r="N7171" s="5" t="s">
        <v>60024</v>
      </c>
      <c r="O7171" s="5" t="str">
        <v>4250005979</v>
      </c>
      <c r="P7171" s="27">
        <v>263405</v>
      </c>
      <c r="Q7171" s="5" t="s">
        <v>49009</v>
      </c>
      <c r="R7171" s="5"/>
      <c r="S7171" s="5" t="s">
        <v>49175</v>
      </c>
      <c r="T7171" s="28">
        <v>1769819000</v>
      </c>
      <c r="U7171" s="28">
        <v>96673000</v>
      </c>
      <c r="V7171" s="28">
        <v>1955051000</v>
      </c>
      <c r="W7171" s="28"/>
      <c r="X7171" s="28">
        <v>107792000</v>
      </c>
      <c r="Y7171" s="28">
        <v>7648928000</v>
      </c>
      <c r="Z7171" s="28">
        <v>2649187000</v>
      </c>
      <c r="AA7171" s="28"/>
      <c r="AB7171" s="28">
        <v>763823000</v>
      </c>
      <c r="AC7171" s="28">
        <v>4040883000</v>
      </c>
      <c r="AD7171" s="28">
        <v>2885384000</v>
      </c>
      <c r="AE7171" s="28">
        <v>18676310000</v>
      </c>
      <c r="AF7171" s="28">
        <v>4103293000</v>
      </c>
      <c r="AG7171" s="11"/>
    </row>
    <row r="7172">
      <c r="A7172" s="7" t="s">
        <v>8728</v>
      </c>
      <c r="B7172" s="5" t="s">
        <v>16655</v>
      </c>
      <c r="C7172" s="5" t="s">
        <v>24271</v>
      </c>
      <c r="D7172" s="5" t="str">
        <v>761003002904</v>
      </c>
      <c r="E7172" s="0" t="e">
        <f>+7 (301) 2456055
+7 (3012) 200131
+7 (3012) 338021
+7 (3012) 455277
+7 (30133) 53117
+7 (30133) 53222
+7 (30142) 95339</f>
        <v>#NAME?</v>
      </c>
      <c r="F7172" s="5" t="s">
        <v>46155</v>
      </c>
      <c r="G7172" s="5"/>
      <c r="H7172" s="26">
        <v>14.5</v>
      </c>
      <c r="I7172" s="5" t="s">
        <v>46156</v>
      </c>
      <c r="J7172" s="5" t="s">
        <v>26939</v>
      </c>
      <c r="K7172" s="5" t="s">
        <v>355</v>
      </c>
      <c r="L7172" s="5"/>
      <c r="M7172" s="27"/>
      <c r="N7172" s="5" t="s">
        <v>56511</v>
      </c>
      <c r="O7172" s="5" t="str">
        <v>0318015873</v>
      </c>
      <c r="P7172" s="27">
        <v>79515000</v>
      </c>
      <c r="Q7172" s="5" t="s">
        <v>60025</v>
      </c>
      <c r="R7172" s="5"/>
      <c r="S7172" s="5" t="s">
        <v>50951</v>
      </c>
      <c r="T7172" s="28">
        <v>440164000</v>
      </c>
      <c r="U7172" s="28"/>
      <c r="V7172" s="28">
        <v>192205000</v>
      </c>
      <c r="W7172" s="28"/>
      <c r="X7172" s="28">
        <v>95127000</v>
      </c>
      <c r="Y7172" s="28">
        <v>1278300000</v>
      </c>
      <c r="Z7172" s="28">
        <v>-570275000</v>
      </c>
      <c r="AA7172" s="28">
        <v>14124000</v>
      </c>
      <c r="AB7172" s="28">
        <v>4399000</v>
      </c>
      <c r="AC7172" s="28">
        <v>959408000</v>
      </c>
      <c r="AD7172" s="28">
        <v>233533000</v>
      </c>
      <c r="AE7172" s="28">
        <v>4911004000</v>
      </c>
      <c r="AF7172" s="28">
        <v>8867000</v>
      </c>
      <c r="AG7172" s="11"/>
    </row>
    <row r="7173">
      <c r="A7173" s="7" t="s">
        <v>8729</v>
      </c>
      <c r="B7173" s="5" t="s">
        <v>16656</v>
      </c>
      <c r="C7173" s="5" t="s">
        <v>24272</v>
      </c>
      <c r="D7173" s="5" t="str">
        <v>165800592500</v>
      </c>
      <c r="E7173" s="0" t="e">
        <f>+7 (495) 1353063
+7 (495) 1510253
+7 (495) 1813467
+7 (800) 3013467</f>
        <v>#NAME?</v>
      </c>
      <c r="F7173" s="5" t="s">
        <v>46157</v>
      </c>
      <c r="G7173" s="5" t="s">
        <v>46158</v>
      </c>
      <c r="H7173" s="26">
        <v>20</v>
      </c>
      <c r="I7173" s="5" t="s">
        <v>46159</v>
      </c>
      <c r="J7173" s="5" t="s">
        <v>364</v>
      </c>
      <c r="K7173" s="5" t="s">
        <v>344</v>
      </c>
      <c r="L7173" s="5"/>
      <c r="M7173" s="27">
        <v>1936260306</v>
      </c>
      <c r="N7173" s="5" t="s">
        <v>58502</v>
      </c>
      <c r="O7173" s="5" t="str">
        <v>7719272800</v>
      </c>
      <c r="P7173" s="27">
        <v>67200000</v>
      </c>
      <c r="Q7173" s="5" t="s">
        <v>60026</v>
      </c>
      <c r="R7173" s="5"/>
      <c r="S7173" s="5" t="s">
        <v>60027</v>
      </c>
      <c r="T7173" s="28">
        <v>123566609000</v>
      </c>
      <c r="U7173" s="28">
        <v>7143635000</v>
      </c>
      <c r="V7173" s="28">
        <v>1111155000</v>
      </c>
      <c r="W7173" s="28"/>
      <c r="X7173" s="28">
        <v>22570982000</v>
      </c>
      <c r="Y7173" s="28">
        <v>329105688000</v>
      </c>
      <c r="Z7173" s="28">
        <v>60301019000</v>
      </c>
      <c r="AA7173" s="28"/>
      <c r="AB7173" s="28"/>
      <c r="AC7173" s="28">
        <v>7896763000</v>
      </c>
      <c r="AD7173" s="28">
        <v>137204648000</v>
      </c>
      <c r="AE7173" s="28">
        <v>7820324000</v>
      </c>
      <c r="AF7173" s="28">
        <v>2849175000</v>
      </c>
      <c r="AG7173" s="11"/>
    </row>
    <row r="7174">
      <c r="A7174" s="7" t="s">
        <v>8730</v>
      </c>
      <c r="B7174" s="5" t="s">
        <v>16657</v>
      </c>
      <c r="C7174" s="5" t="s">
        <v>24273</v>
      </c>
      <c r="D7174" s="5" t="str">
        <v>770482848090</v>
      </c>
      <c r="E7174" s="0" t="e">
        <f>+7 (495) 2258675
+7 (495) 6469000</f>
        <v>#NAME?</v>
      </c>
      <c r="F7174" s="5"/>
      <c r="G7174" s="5"/>
      <c r="H7174" s="26">
        <v>17.5</v>
      </c>
      <c r="I7174" s="5" t="s">
        <v>46160</v>
      </c>
      <c r="J7174" s="5" t="s">
        <v>46161</v>
      </c>
      <c r="K7174" s="5" t="s">
        <v>344</v>
      </c>
      <c r="L7174" s="5" t="s">
        <v>46162</v>
      </c>
      <c r="M7174" s="27"/>
      <c r="N7174" s="5" t="s">
        <v>55652</v>
      </c>
      <c r="O7174" s="5" t="str">
        <v>7710608533</v>
      </c>
      <c r="P7174" s="27">
        <v>25000</v>
      </c>
      <c r="Q7174" s="5" t="s">
        <v>49009</v>
      </c>
      <c r="R7174" s="5"/>
      <c r="S7174" s="5" t="s">
        <v>49010</v>
      </c>
      <c r="T7174" s="28">
        <v>294518000</v>
      </c>
      <c r="U7174" s="28">
        <v>1000000</v>
      </c>
      <c r="V7174" s="28">
        <v>1901291000</v>
      </c>
      <c r="W7174" s="28">
        <v>3362867000</v>
      </c>
      <c r="X7174" s="28">
        <v>3303048000</v>
      </c>
      <c r="Y7174" s="28">
        <v>10786975000</v>
      </c>
      <c r="Z7174" s="28">
        <v>3853118000</v>
      </c>
      <c r="AA7174" s="28"/>
      <c r="AB7174" s="28"/>
      <c r="AC7174" s="28">
        <v>6813571000</v>
      </c>
      <c r="AD7174" s="28">
        <v>3865666000</v>
      </c>
      <c r="AE7174" s="28">
        <v>7327475000</v>
      </c>
      <c r="AF7174" s="28">
        <v>200220000</v>
      </c>
      <c r="AG7174" s="11"/>
    </row>
    <row r="7175">
      <c r="A7175" s="7" t="s">
        <v>8731</v>
      </c>
      <c r="B7175" s="5" t="s">
        <v>16658</v>
      </c>
      <c r="C7175" s="5" t="s">
        <v>24274</v>
      </c>
      <c r="D7175" s="5"/>
      <c r="E7175" s="0" t="e">
        <f>+7 (3412) 908851
+7 (3412) 908930
+7 (3412) 599893
+7 (3412) 908874
+7 (34134) 43550</f>
        <v>#NAME?</v>
      </c>
      <c r="F7175" s="5" t="s">
        <v>46163</v>
      </c>
      <c r="G7175" s="5" t="s">
        <v>46164</v>
      </c>
      <c r="H7175" s="26">
        <v>30.5</v>
      </c>
      <c r="I7175" s="5"/>
      <c r="J7175" s="5" t="s">
        <v>25603</v>
      </c>
      <c r="K7175" s="5" t="s">
        <v>380</v>
      </c>
      <c r="L7175" s="5"/>
      <c r="M7175" s="27">
        <v>469735123</v>
      </c>
      <c r="N7175" s="5" t="s">
        <v>60028</v>
      </c>
      <c r="O7175" s="5" t="str">
        <v>1832150514</v>
      </c>
      <c r="P7175" s="27">
        <v>3183599000</v>
      </c>
      <c r="Q7175" s="5" t="s">
        <v>60030</v>
      </c>
      <c r="R7175" s="5" t="s">
        <v>60031</v>
      </c>
      <c r="S7175" s="5" t="s">
        <v>60032</v>
      </c>
      <c r="T7175" s="28">
        <v>1078155000</v>
      </c>
      <c r="U7175" s="28">
        <v>1816921000</v>
      </c>
      <c r="V7175" s="28">
        <v>816252000</v>
      </c>
      <c r="W7175" s="28">
        <v>8670000</v>
      </c>
      <c r="X7175" s="28">
        <v>381000</v>
      </c>
      <c r="Y7175" s="28">
        <v>5899290000</v>
      </c>
      <c r="Z7175" s="28">
        <v>-899853000</v>
      </c>
      <c r="AA7175" s="28"/>
      <c r="AB7175" s="28"/>
      <c r="AC7175" s="28">
        <v>3754573000</v>
      </c>
      <c r="AD7175" s="28">
        <v>2283929000</v>
      </c>
      <c r="AE7175" s="28">
        <v>3245710000</v>
      </c>
      <c r="AF7175" s="28">
        <v>-678647000</v>
      </c>
      <c r="AG7175" s="11"/>
    </row>
    <row r="7176">
      <c r="A7176" s="7" t="s">
        <v>8732</v>
      </c>
      <c r="B7176" s="5" t="s">
        <v>16659</v>
      </c>
      <c r="C7176" s="5" t="s">
        <v>24275</v>
      </c>
      <c r="D7176" s="5" t="str">
        <v>183504359542</v>
      </c>
      <c r="E7176" s="0" t="e">
        <f>+7 (3412) 570880
+7 (3412) 908627
+7 (3412) 998000</f>
        <v>#NAME?</v>
      </c>
      <c r="F7176" s="5"/>
      <c r="G7176" s="5" t="s">
        <v>46165</v>
      </c>
      <c r="H7176" s="26">
        <v>7.5</v>
      </c>
      <c r="I7176" s="5" t="s">
        <v>46166</v>
      </c>
      <c r="J7176" s="5" t="s">
        <v>27921</v>
      </c>
      <c r="K7176" s="5" t="s">
        <v>344</v>
      </c>
      <c r="L7176" s="5" t="s">
        <v>46167</v>
      </c>
      <c r="M7176" s="27"/>
      <c r="N7176" s="5"/>
      <c r="O7176" s="5" t="str">
        <v>1840040191</v>
      </c>
      <c r="P7176" s="27">
        <v>126000000</v>
      </c>
      <c r="Q7176" s="5" t="s">
        <v>60033</v>
      </c>
      <c r="R7176" s="5" t="s">
        <v>60034</v>
      </c>
      <c r="S7176" s="5" t="s">
        <v>49053</v>
      </c>
      <c r="T7176" s="28">
        <v>5310073000</v>
      </c>
      <c r="U7176" s="28">
        <v>31053000</v>
      </c>
      <c r="V7176" s="28">
        <v>2623801000</v>
      </c>
      <c r="W7176" s="28">
        <v>6461776000</v>
      </c>
      <c r="X7176" s="28">
        <v>15554000</v>
      </c>
      <c r="Y7176" s="28">
        <v>18806752000</v>
      </c>
      <c r="Z7176" s="28">
        <v>7496771000</v>
      </c>
      <c r="AA7176" s="28">
        <v>7654548000</v>
      </c>
      <c r="AB7176" s="28">
        <v>991248000</v>
      </c>
      <c r="AC7176" s="28">
        <v>2276728000</v>
      </c>
      <c r="AD7176" s="28">
        <v>8064328000</v>
      </c>
      <c r="AE7176" s="28">
        <v>24144100000</v>
      </c>
      <c r="AF7176" s="28">
        <v>81059000</v>
      </c>
      <c r="AG7176" s="11"/>
    </row>
    <row r="7177">
      <c r="A7177" s="7" t="s">
        <v>8733</v>
      </c>
      <c r="B7177" s="5" t="s">
        <v>16660</v>
      </c>
      <c r="C7177" s="5" t="s">
        <v>24276</v>
      </c>
      <c r="D7177" s="5" t="str">
        <v>590298244640</v>
      </c>
      <c r="E7177" s="0" t="e">
        <f>+7 (3422) 540140
+7 (3422) 900800</f>
        <v>#NAME?</v>
      </c>
      <c r="F7177" s="5" t="s">
        <v>46168</v>
      </c>
      <c r="G7177" s="5"/>
      <c r="H7177" s="26">
        <v>15.5</v>
      </c>
      <c r="I7177" s="5" t="s">
        <v>46169</v>
      </c>
      <c r="J7177" s="5" t="s">
        <v>25275</v>
      </c>
      <c r="K7177" s="5" t="s">
        <v>344</v>
      </c>
      <c r="L7177" s="5" t="s">
        <v>46170</v>
      </c>
      <c r="M7177" s="27">
        <v>2055121</v>
      </c>
      <c r="N7177" s="5"/>
      <c r="O7177" s="5" t="str">
        <v>5904171190</v>
      </c>
      <c r="P7177" s="27">
        <v>100000000</v>
      </c>
      <c r="Q7177" s="5"/>
      <c r="R7177" s="5"/>
      <c r="S7177" s="5" t="s">
        <v>49029</v>
      </c>
      <c r="T7177" s="28">
        <v>3189779000</v>
      </c>
      <c r="U7177" s="28">
        <v>110020000</v>
      </c>
      <c r="V7177" s="28">
        <v>3487198000</v>
      </c>
      <c r="W7177" s="28">
        <v>1599287000</v>
      </c>
      <c r="X7177" s="28">
        <v>1246530000</v>
      </c>
      <c r="Y7177" s="28">
        <v>11887272000</v>
      </c>
      <c r="Z7177" s="28">
        <v>5887372000</v>
      </c>
      <c r="AA7177" s="28">
        <v>399375000</v>
      </c>
      <c r="AB7177" s="28">
        <v>2637933000</v>
      </c>
      <c r="AC7177" s="28">
        <v>5395291000</v>
      </c>
      <c r="AD7177" s="28">
        <v>5987372000</v>
      </c>
      <c r="AE7177" s="28">
        <v>7986981000</v>
      </c>
      <c r="AF7177" s="28">
        <v>1939236000</v>
      </c>
      <c r="AG7177" s="11"/>
    </row>
    <row r="7178">
      <c r="A7178" s="7" t="s">
        <v>8734</v>
      </c>
      <c r="B7178" s="5" t="s">
        <v>16661</v>
      </c>
      <c r="C7178" s="5" t="s">
        <v>24277</v>
      </c>
      <c r="D7178" s="5" t="str">
        <v>422106718938</v>
      </c>
      <c r="E7178" s="0" t="e">
        <f>+7 (900) 1058183
+7 (912) 1801245
+7 (960) 6132236
+7 (985) 9201045</f>
        <v>#NAME?</v>
      </c>
      <c r="F7178" s="5"/>
      <c r="G7178" s="5"/>
      <c r="H7178" s="26">
        <v>7.5</v>
      </c>
      <c r="I7178" s="5" t="s">
        <v>46171</v>
      </c>
      <c r="J7178" s="5" t="s">
        <v>39176</v>
      </c>
      <c r="K7178" s="5" t="s">
        <v>344</v>
      </c>
      <c r="L7178" s="5" t="s">
        <v>46172</v>
      </c>
      <c r="M7178" s="27"/>
      <c r="N7178" s="5"/>
      <c r="O7178" s="5" t="str">
        <v>7725278380</v>
      </c>
      <c r="P7178" s="27">
        <v>1120150000</v>
      </c>
      <c r="Q7178" s="5" t="s">
        <v>49009</v>
      </c>
      <c r="R7178" s="5"/>
      <c r="S7178" s="5" t="s">
        <v>50019</v>
      </c>
      <c r="T7178" s="28">
        <v>5822943000</v>
      </c>
      <c r="U7178" s="28"/>
      <c r="V7178" s="28">
        <v>1180900000</v>
      </c>
      <c r="W7178" s="28"/>
      <c r="X7178" s="28">
        <v>2068321000</v>
      </c>
      <c r="Y7178" s="28">
        <v>10662190000</v>
      </c>
      <c r="Z7178" s="28">
        <v>6658293000</v>
      </c>
      <c r="AA7178" s="28"/>
      <c r="AB7178" s="28">
        <v>1561881000</v>
      </c>
      <c r="AC7178" s="28">
        <v>2481958000</v>
      </c>
      <c r="AD7178" s="28">
        <v>7778443000</v>
      </c>
      <c r="AE7178" s="28">
        <v>9309030000</v>
      </c>
      <c r="AF7178" s="28">
        <v>2860483000</v>
      </c>
      <c r="AG7178" s="11"/>
    </row>
    <row r="7179">
      <c r="A7179" s="7" t="s">
        <v>8735</v>
      </c>
      <c r="B7179" s="5" t="s">
        <v>16662</v>
      </c>
      <c r="C7179" s="5" t="s">
        <v>24278</v>
      </c>
      <c r="D7179" s="5" t="str">
        <v>781001352582</v>
      </c>
      <c r="E7179" s="0" t="e">
        <f>+7 (812) 3323760</f>
        <v>#NAME?</v>
      </c>
      <c r="F7179" s="5"/>
      <c r="G7179" s="5"/>
      <c r="H7179" s="26">
        <v>4.5</v>
      </c>
      <c r="I7179" s="5" t="s">
        <v>28237</v>
      </c>
      <c r="J7179" s="5" t="s">
        <v>29913</v>
      </c>
      <c r="K7179" s="5" t="s">
        <v>355</v>
      </c>
      <c r="L7179" s="5" t="s">
        <v>46173</v>
      </c>
      <c r="M7179" s="27">
        <v>300840</v>
      </c>
      <c r="N7179" s="5" t="s">
        <v>60036</v>
      </c>
      <c r="O7179" s="5" t="str">
        <v>7810734203</v>
      </c>
      <c r="P7179" s="27">
        <v>10000</v>
      </c>
      <c r="Q7179" s="5" t="s">
        <v>49009</v>
      </c>
      <c r="R7179" s="5"/>
      <c r="S7179" s="5" t="s">
        <v>49978</v>
      </c>
      <c r="T7179" s="28">
        <v>344000</v>
      </c>
      <c r="U7179" s="28"/>
      <c r="V7179" s="28">
        <v>45427000</v>
      </c>
      <c r="W7179" s="28"/>
      <c r="X7179" s="28">
        <v>598000</v>
      </c>
      <c r="Y7179" s="28">
        <v>111081000</v>
      </c>
      <c r="Z7179" s="28">
        <v>28693000</v>
      </c>
      <c r="AA7179" s="28"/>
      <c r="AB7179" s="28"/>
      <c r="AC7179" s="28">
        <v>82341000</v>
      </c>
      <c r="AD7179" s="28">
        <v>28703000</v>
      </c>
      <c r="AE7179" s="28">
        <v>4273913000</v>
      </c>
      <c r="AF7179" s="28">
        <v>-23000</v>
      </c>
      <c r="AG7179" s="11"/>
    </row>
    <row r="7180">
      <c r="A7180" s="7" t="s">
        <v>8736</v>
      </c>
      <c r="B7180" s="5" t="s">
        <v>16663</v>
      </c>
      <c r="C7180" s="5" t="s">
        <v>24279</v>
      </c>
      <c r="D7180" s="5" t="str">
        <v>500909958718</v>
      </c>
      <c r="E7180" s="0" t="e">
        <f>+7 (985) 2115992
+7 (495) 9091520
+7 (800) 2501221</f>
        <v>#NAME?</v>
      </c>
      <c r="F7180" s="5" t="s">
        <v>46174</v>
      </c>
      <c r="G7180" s="5" t="s">
        <v>46175</v>
      </c>
      <c r="H7180" s="26">
        <v>14.5</v>
      </c>
      <c r="I7180" s="5" t="s">
        <v>46176</v>
      </c>
      <c r="J7180" s="5" t="s">
        <v>29432</v>
      </c>
      <c r="K7180" s="5" t="s">
        <v>344</v>
      </c>
      <c r="L7180" s="5" t="s">
        <v>46177</v>
      </c>
      <c r="M7180" s="27">
        <v>55932314</v>
      </c>
      <c r="N7180" s="5" t="s">
        <v>60037</v>
      </c>
      <c r="O7180" s="5" t="str">
        <v>7723682710</v>
      </c>
      <c r="P7180" s="27">
        <v>526320</v>
      </c>
      <c r="Q7180" s="5" t="s">
        <v>60038</v>
      </c>
      <c r="R7180" s="5"/>
      <c r="S7180" s="5" t="s">
        <v>60039</v>
      </c>
      <c r="T7180" s="28">
        <v>3669352000</v>
      </c>
      <c r="U7180" s="28">
        <v>2055118000</v>
      </c>
      <c r="V7180" s="28">
        <v>23777612000</v>
      </c>
      <c r="W7180" s="28">
        <v>153406000</v>
      </c>
      <c r="X7180" s="28">
        <v>5530538000</v>
      </c>
      <c r="Y7180" s="28">
        <v>37819977000</v>
      </c>
      <c r="Z7180" s="28">
        <v>4223674000</v>
      </c>
      <c r="AA7180" s="28">
        <v>1830975000</v>
      </c>
      <c r="AB7180" s="28">
        <v>1501700000</v>
      </c>
      <c r="AC7180" s="28">
        <v>26631370000</v>
      </c>
      <c r="AD7180" s="28">
        <v>5600216000</v>
      </c>
      <c r="AE7180" s="28">
        <v>43921596000</v>
      </c>
      <c r="AF7180" s="28">
        <v>2246744000</v>
      </c>
      <c r="AG7180" s="11"/>
    </row>
    <row r="7181">
      <c r="A7181" s="7" t="s">
        <v>8737</v>
      </c>
      <c r="B7181" s="5" t="s">
        <v>16664</v>
      </c>
      <c r="C7181" s="5" t="s">
        <v>24280</v>
      </c>
      <c r="D7181" s="5" t="str">
        <v>342512543744</v>
      </c>
      <c r="E7181" s="0" t="e">
        <f>+7 (937) 5592929
+7 (844) 2506566
+7 (844) 2594949
+7 (961) 598015</f>
        <v>#NAME?</v>
      </c>
      <c r="F7181" s="5" t="s">
        <v>46178</v>
      </c>
      <c r="G7181" s="5"/>
      <c r="H7181" s="26">
        <v>9.5</v>
      </c>
      <c r="I7181" s="5" t="s">
        <v>46179</v>
      </c>
      <c r="J7181" s="5" t="s">
        <v>26292</v>
      </c>
      <c r="K7181" s="5" t="s">
        <v>355</v>
      </c>
      <c r="L7181" s="5" t="s">
        <v>46180</v>
      </c>
      <c r="M7181" s="27"/>
      <c r="N7181" s="5" t="s">
        <v>60040</v>
      </c>
      <c r="O7181" s="5" t="str">
        <v>3443923878</v>
      </c>
      <c r="P7181" s="27">
        <v>125000</v>
      </c>
      <c r="Q7181" s="5"/>
      <c r="R7181" s="5" t="s">
        <v>60041</v>
      </c>
      <c r="S7181" s="5" t="s">
        <v>49125</v>
      </c>
      <c r="T7181" s="28">
        <v>439000</v>
      </c>
      <c r="U7181" s="28"/>
      <c r="V7181" s="28">
        <v>5495199000</v>
      </c>
      <c r="W7181" s="28">
        <v>21150000</v>
      </c>
      <c r="X7181" s="28"/>
      <c r="Y7181" s="28">
        <v>5579524000</v>
      </c>
      <c r="Z7181" s="28">
        <v>21234000</v>
      </c>
      <c r="AA7181" s="28">
        <v>3058151000</v>
      </c>
      <c r="AB7181" s="28">
        <v>78382000</v>
      </c>
      <c r="AC7181" s="28">
        <v>2499595000</v>
      </c>
      <c r="AD7181" s="28">
        <v>21359000</v>
      </c>
      <c r="AE7181" s="28">
        <v>7753927000</v>
      </c>
      <c r="AF7181" s="28">
        <v>-109264000</v>
      </c>
      <c r="AG7181" s="11"/>
    </row>
    <row r="7182">
      <c r="A7182" s="7" t="s">
        <v>8738</v>
      </c>
      <c r="B7182" s="5" t="s">
        <v>16665</v>
      </c>
      <c r="C7182" s="5" t="s">
        <v>24281</v>
      </c>
      <c r="D7182" s="5" t="str">
        <v>263507786800</v>
      </c>
      <c r="E7182" s="0" t="e">
        <f>+7 (8652) 298611
+7 (8652) 298839
+7 (962) 4400920</f>
        <v>#NAME?</v>
      </c>
      <c r="F7182" s="5"/>
      <c r="G7182" s="5"/>
      <c r="H7182" s="26">
        <v>10.5</v>
      </c>
      <c r="I7182" s="5" t="s">
        <v>46181</v>
      </c>
      <c r="J7182" s="5" t="s">
        <v>648</v>
      </c>
      <c r="K7182" s="5" t="s">
        <v>355</v>
      </c>
      <c r="L7182" s="5"/>
      <c r="M7182" s="27">
        <v>14583652</v>
      </c>
      <c r="N7182" s="5" t="s">
        <v>60042</v>
      </c>
      <c r="O7182" s="5" t="str">
        <v>2635812457</v>
      </c>
      <c r="P7182" s="27">
        <v>10000</v>
      </c>
      <c r="Q7182" s="5"/>
      <c r="R7182" s="5"/>
      <c r="S7182" s="5" t="s">
        <v>49110</v>
      </c>
      <c r="T7182" s="28"/>
      <c r="U7182" s="28"/>
      <c r="V7182" s="28">
        <v>44548000</v>
      </c>
      <c r="W7182" s="28"/>
      <c r="X7182" s="28">
        <v>13000</v>
      </c>
      <c r="Y7182" s="28">
        <v>44571000</v>
      </c>
      <c r="Z7182" s="28"/>
      <c r="AA7182" s="28"/>
      <c r="AB7182" s="28"/>
      <c r="AC7182" s="28">
        <v>44561000</v>
      </c>
      <c r="AD7182" s="28">
        <v>10000</v>
      </c>
      <c r="AE7182" s="28">
        <v>29128482000</v>
      </c>
      <c r="AF7182" s="28">
        <v>-278295000</v>
      </c>
      <c r="AG7182" s="11"/>
    </row>
    <row r="7183">
      <c r="A7183" s="7" t="s">
        <v>8739</v>
      </c>
      <c r="B7183" s="5" t="s">
        <v>16666</v>
      </c>
      <c r="C7183" s="5" t="s">
        <v>24282</v>
      </c>
      <c r="D7183" s="5" t="str">
        <v>667206013402</v>
      </c>
      <c r="E7183" s="0" t="e">
        <f>+7 (495) 7401660
+7 (495) 9331916
+7 (495) 9331919
+7 (495) 9331983
+7 (8617) 300821
+7 (8617) 301912
+7 (8617) 607436
+7 (8617) 644864
+7 (903) 4488448
+7 (918) 6997313</f>
        <v>#NAME?</v>
      </c>
      <c r="F7183" s="5"/>
      <c r="G7183" s="5" t="s">
        <v>46182</v>
      </c>
      <c r="H7183" s="26">
        <v>7</v>
      </c>
      <c r="I7183" s="5" t="s">
        <v>46183</v>
      </c>
      <c r="J7183" s="5" t="s">
        <v>30210</v>
      </c>
      <c r="K7183" s="5" t="s">
        <v>355</v>
      </c>
      <c r="L7183" s="5" t="s">
        <v>46184</v>
      </c>
      <c r="M7183" s="27"/>
      <c r="N7183" s="5"/>
      <c r="O7183" s="5" t="str">
        <v>7706434676</v>
      </c>
      <c r="P7183" s="27">
        <v>116200</v>
      </c>
      <c r="Q7183" s="5" t="s">
        <v>49021</v>
      </c>
      <c r="R7183" s="5"/>
      <c r="S7183" s="5" t="s">
        <v>54346</v>
      </c>
      <c r="T7183" s="28">
        <v>114237000</v>
      </c>
      <c r="U7183" s="28">
        <v>64818565000</v>
      </c>
      <c r="V7183" s="28">
        <v>2767084000</v>
      </c>
      <c r="W7183" s="28"/>
      <c r="X7183" s="28">
        <v>3033000</v>
      </c>
      <c r="Y7183" s="28">
        <v>99458739000</v>
      </c>
      <c r="Z7183" s="28">
        <v>4549584000</v>
      </c>
      <c r="AA7183" s="28">
        <v>30662345000</v>
      </c>
      <c r="AB7183" s="28">
        <v>12249819000</v>
      </c>
      <c r="AC7183" s="28">
        <v>13050645000</v>
      </c>
      <c r="AD7183" s="28">
        <v>55655403000</v>
      </c>
      <c r="AE7183" s="28">
        <v>6558827000</v>
      </c>
      <c r="AF7183" s="28">
        <v>1710476000</v>
      </c>
      <c r="AG7183" s="11"/>
    </row>
    <row r="7184">
      <c r="A7184" s="7" t="s">
        <v>8740</v>
      </c>
      <c r="B7184" s="5" t="s">
        <v>12674</v>
      </c>
      <c r="C7184" s="5" t="s">
        <v>24283</v>
      </c>
      <c r="D7184" s="5" t="str">
        <v>421707524300</v>
      </c>
      <c r="E7184" s="0" t="e">
        <f>+7 (384) 2440456
+7 (384) 2440645
+7 (384) 2450028
+7 (384) 2246200
+7 (384) 2440011
+7 (384) 2440219
+7 (384) 2440224
+7 (384) 2440225
+7 (384) 2440300
+7 (384) 2440309
+7 (384) 2440440
+7 (384) 2440626
+7 (384) 2440658
+7 (384) 2523329
+7 (384) 2524610</f>
        <v>#NAME?</v>
      </c>
      <c r="F7184" s="5" t="s">
        <v>46185</v>
      </c>
      <c r="G7184" s="5" t="s">
        <v>46186</v>
      </c>
      <c r="H7184" s="26">
        <v>20</v>
      </c>
      <c r="I7184" s="5"/>
      <c r="J7184" s="5" t="s">
        <v>28484</v>
      </c>
      <c r="K7184" s="5" t="s">
        <v>344</v>
      </c>
      <c r="L7184" s="5"/>
      <c r="M7184" s="27">
        <v>38403753</v>
      </c>
      <c r="N7184" s="5" t="s">
        <v>60043</v>
      </c>
      <c r="O7184" s="5" t="str">
        <v>4205049090</v>
      </c>
      <c r="P7184" s="27">
        <v>6113833651</v>
      </c>
      <c r="Q7184" s="5" t="s">
        <v>60044</v>
      </c>
      <c r="R7184" s="5"/>
      <c r="S7184" s="5" t="s">
        <v>53935</v>
      </c>
      <c r="T7184" s="28">
        <v>104836710000</v>
      </c>
      <c r="U7184" s="28">
        <v>7817568000</v>
      </c>
      <c r="V7184" s="28">
        <v>131222424000</v>
      </c>
      <c r="W7184" s="28">
        <v>28989012000</v>
      </c>
      <c r="X7184" s="28">
        <v>13990510000</v>
      </c>
      <c r="Y7184" s="28">
        <v>321076988000</v>
      </c>
      <c r="Z7184" s="28">
        <v>214283045000</v>
      </c>
      <c r="AA7184" s="28">
        <v>8880457000</v>
      </c>
      <c r="AB7184" s="28">
        <v>34673041000</v>
      </c>
      <c r="AC7184" s="28">
        <v>68002418000</v>
      </c>
      <c r="AD7184" s="28">
        <v>221886255000</v>
      </c>
      <c r="AE7184" s="28">
        <v>431499862000</v>
      </c>
      <c r="AF7184" s="28">
        <v>121660229000</v>
      </c>
      <c r="AG7184" s="11"/>
    </row>
    <row r="7185">
      <c r="A7185" s="7" t="s">
        <v>8741</v>
      </c>
      <c r="B7185" s="5" t="s">
        <v>16667</v>
      </c>
      <c r="C7185" s="5" t="s">
        <v>24284</v>
      </c>
      <c r="D7185" s="5" t="str">
        <v>165029501169</v>
      </c>
      <c r="E7185" s="0" t="e">
        <f>+7 (495) 7370864
+7 (8432) 124200
+7 (8432) 769193
+7 (8435) 370999
+7 (8435) 576205
+7 (8435) 622201
+7 (8435) 720513
+7 (8435) 720531
+7 (8435) 720999
+7 (855) 2386782
+7 (855) 2395354
+7 (855) 2399777
+7 (855) 2399801
+7 (855) 2399802
+7 (855) 2537006</f>
        <v>#NAME?</v>
      </c>
      <c r="F7185" s="5" t="s">
        <v>46187</v>
      </c>
      <c r="G7185" s="5" t="s">
        <v>46188</v>
      </c>
      <c r="H7185" s="26">
        <v>19</v>
      </c>
      <c r="I7185" s="5" t="s">
        <v>46189</v>
      </c>
      <c r="J7185" s="5" t="s">
        <v>30185</v>
      </c>
      <c r="K7185" s="5" t="s">
        <v>355</v>
      </c>
      <c r="L7185" s="5"/>
      <c r="M7185" s="27">
        <v>37982809</v>
      </c>
      <c r="N7185" s="5" t="s">
        <v>60045</v>
      </c>
      <c r="O7185" s="5" t="str">
        <v>1657048240</v>
      </c>
      <c r="P7185" s="27">
        <v>10000000</v>
      </c>
      <c r="Q7185" s="5" t="s">
        <v>1685</v>
      </c>
      <c r="R7185" s="5"/>
      <c r="S7185" s="5" t="s">
        <v>60046</v>
      </c>
      <c r="T7185" s="28">
        <v>111975000</v>
      </c>
      <c r="U7185" s="28">
        <v>575250000</v>
      </c>
      <c r="V7185" s="28">
        <v>5523889000</v>
      </c>
      <c r="W7185" s="28">
        <v>271213000</v>
      </c>
      <c r="X7185" s="28">
        <v>4332000</v>
      </c>
      <c r="Y7185" s="28">
        <v>8461883000</v>
      </c>
      <c r="Z7185" s="28">
        <v>1504918000</v>
      </c>
      <c r="AA7185" s="28"/>
      <c r="AB7185" s="28">
        <v>1005633000</v>
      </c>
      <c r="AC7185" s="28">
        <v>6769628000</v>
      </c>
      <c r="AD7185" s="28">
        <v>1519587000</v>
      </c>
      <c r="AE7185" s="28">
        <v>3380302000</v>
      </c>
      <c r="AF7185" s="28">
        <v>8205000</v>
      </c>
      <c r="AG7185" s="11"/>
    </row>
    <row r="7186">
      <c r="A7186" s="7" t="s">
        <v>8742</v>
      </c>
      <c r="B7186" s="5" t="s">
        <v>16668</v>
      </c>
      <c r="C7186" s="5" t="s">
        <v>24285</v>
      </c>
      <c r="D7186" s="5" t="str">
        <v>773113084699</v>
      </c>
      <c r="E7186" s="0" t="e">
        <f>+7 (495) 2213404</f>
        <v>#NAME?</v>
      </c>
      <c r="F7186" s="5"/>
      <c r="G7186" s="5" t="s">
        <v>46190</v>
      </c>
      <c r="H7186" s="26">
        <v>9</v>
      </c>
      <c r="I7186" s="5" t="s">
        <v>46191</v>
      </c>
      <c r="J7186" s="5" t="s">
        <v>354</v>
      </c>
      <c r="K7186" s="5" t="s">
        <v>380</v>
      </c>
      <c r="L7186" s="5" t="s">
        <v>664</v>
      </c>
      <c r="M7186" s="27"/>
      <c r="N7186" s="5" t="s">
        <v>50086</v>
      </c>
      <c r="O7186" s="5" t="str">
        <v>7734714153</v>
      </c>
      <c r="P7186" s="27">
        <v>100000</v>
      </c>
      <c r="Q7186" s="5" t="s">
        <v>49009</v>
      </c>
      <c r="R7186" s="5"/>
      <c r="S7186" s="5" t="s">
        <v>49045</v>
      </c>
      <c r="T7186" s="28">
        <v>41976000</v>
      </c>
      <c r="U7186" s="28">
        <v>2500000000</v>
      </c>
      <c r="V7186" s="28">
        <v>1702903000</v>
      </c>
      <c r="W7186" s="28"/>
      <c r="X7186" s="28">
        <v>6331000</v>
      </c>
      <c r="Y7186" s="28">
        <v>20843630000</v>
      </c>
      <c r="Z7186" s="28">
        <v>346060000</v>
      </c>
      <c r="AA7186" s="28">
        <v>2055533000</v>
      </c>
      <c r="AB7186" s="28">
        <v>414467000</v>
      </c>
      <c r="AC7186" s="28">
        <v>4329439000</v>
      </c>
      <c r="AD7186" s="28">
        <v>346160000</v>
      </c>
      <c r="AE7186" s="28">
        <v>4576658000</v>
      </c>
      <c r="AF7186" s="28">
        <v>321994000</v>
      </c>
      <c r="AG7186" s="11"/>
    </row>
    <row r="7187">
      <c r="A7187" s="7" t="s">
        <v>8743</v>
      </c>
      <c r="B7187" s="5" t="s">
        <v>16669</v>
      </c>
      <c r="C7187" s="5" t="s">
        <v>24286</v>
      </c>
      <c r="D7187" s="5" t="str">
        <v>420500261163</v>
      </c>
      <c r="E7187" s="0" t="e">
        <f>+7 (384) 2362399</f>
        <v>#NAME?</v>
      </c>
      <c r="F7187" s="5"/>
      <c r="G7187" s="5"/>
      <c r="H7187" s="26">
        <v>14.5</v>
      </c>
      <c r="I7187" s="5" t="s">
        <v>46192</v>
      </c>
      <c r="J7187" s="5" t="s">
        <v>373</v>
      </c>
      <c r="K7187" s="5" t="s">
        <v>355</v>
      </c>
      <c r="L7187" s="5" t="s">
        <v>46193</v>
      </c>
      <c r="M7187" s="27">
        <v>136500</v>
      </c>
      <c r="N7187" s="5"/>
      <c r="O7187" s="5" t="str">
        <v>4205164102</v>
      </c>
      <c r="P7187" s="27">
        <v>1000000</v>
      </c>
      <c r="Q7187" s="5" t="s">
        <v>52260</v>
      </c>
      <c r="R7187" s="5"/>
      <c r="S7187" s="5" t="s">
        <v>53812</v>
      </c>
      <c r="T7187" s="28">
        <v>300000</v>
      </c>
      <c r="U7187" s="28"/>
      <c r="V7187" s="28">
        <v>1007317000</v>
      </c>
      <c r="W7187" s="28">
        <v>803524000</v>
      </c>
      <c r="X7187" s="28">
        <v>3221000</v>
      </c>
      <c r="Y7187" s="28">
        <v>2283537000</v>
      </c>
      <c r="Z7187" s="28">
        <v>88819000</v>
      </c>
      <c r="AA7187" s="28">
        <v>750000000</v>
      </c>
      <c r="AB7187" s="28">
        <v>226727000</v>
      </c>
      <c r="AC7187" s="28">
        <v>1442734000</v>
      </c>
      <c r="AD7187" s="28">
        <v>89819000</v>
      </c>
      <c r="AE7187" s="28">
        <v>6745710000</v>
      </c>
      <c r="AF7187" s="28">
        <v>4416000</v>
      </c>
      <c r="AG7187" s="11"/>
    </row>
    <row r="7188">
      <c r="A7188" s="7" t="s">
        <v>8744</v>
      </c>
      <c r="B7188" s="5" t="s">
        <v>16670</v>
      </c>
      <c r="C7188" s="5" t="s">
        <v>24287</v>
      </c>
      <c r="D7188" s="5" t="str">
        <v>772457147546</v>
      </c>
      <c r="E7188" s="0" t="e">
        <f>+7 (8432) 131313
+7 (8432) 220651
+7 (8432) 334455
+7 (8432) 354654
+7 (8432) 356432
+7 (8432) 363635
+7 (8432) 400240
+7 (8432) 583329
+7 (8432) 583697
+7 (8432) 600021
+7 (8432) 600204
+7 (8432) 600340
+7 (8432) 602120
+7 (8432) 602121
+7 (8432) 610261</f>
        <v>#NAME?</v>
      </c>
      <c r="F7188" s="5" t="s">
        <v>46194</v>
      </c>
      <c r="G7188" s="5" t="s">
        <v>46195</v>
      </c>
      <c r="H7188" s="26">
        <v>6.5</v>
      </c>
      <c r="I7188" s="5" t="s">
        <v>46196</v>
      </c>
      <c r="J7188" s="5" t="s">
        <v>930</v>
      </c>
      <c r="K7188" s="5" t="s">
        <v>355</v>
      </c>
      <c r="L7188" s="5"/>
      <c r="M7188" s="27">
        <v>19067689</v>
      </c>
      <c r="N7188" s="5" t="s">
        <v>60047</v>
      </c>
      <c r="O7188" s="5" t="str">
        <v>1660274803</v>
      </c>
      <c r="P7188" s="27">
        <v>10000</v>
      </c>
      <c r="Q7188" s="5" t="s">
        <v>60048</v>
      </c>
      <c r="R7188" s="5"/>
      <c r="S7188" s="5" t="s">
        <v>51039</v>
      </c>
      <c r="T7188" s="28">
        <v>727885000</v>
      </c>
      <c r="U7188" s="28"/>
      <c r="V7188" s="28">
        <v>564082000</v>
      </c>
      <c r="W7188" s="28">
        <v>39000000</v>
      </c>
      <c r="X7188" s="28">
        <v>37730000</v>
      </c>
      <c r="Y7188" s="28">
        <v>1672849000</v>
      </c>
      <c r="Z7188" s="28">
        <v>-544059000</v>
      </c>
      <c r="AA7188" s="28">
        <v>122781000</v>
      </c>
      <c r="AB7188" s="28">
        <v>558892000</v>
      </c>
      <c r="AC7188" s="28">
        <v>1471883000</v>
      </c>
      <c r="AD7188" s="28">
        <v>-544049000</v>
      </c>
      <c r="AE7188" s="28">
        <v>3163376000</v>
      </c>
      <c r="AF7188" s="28">
        <v>-209574000</v>
      </c>
      <c r="AG7188" s="11"/>
    </row>
    <row r="7189">
      <c r="A7189" s="7" t="s">
        <v>8745</v>
      </c>
      <c r="B7189" s="5" t="s">
        <v>16671</v>
      </c>
      <c r="C7189" s="5" t="s">
        <v>24288</v>
      </c>
      <c r="D7189" s="5" t="str">
        <v>781312298377</v>
      </c>
      <c r="E7189" s="0" t="e">
        <f>+7 (812) 2071814
+7 (812) 2071818
+7 (812) 2073818
+7 (812) 2403241
+7 (812) 3126700
+7 (812) 4541714
+7 (812) 4541815
+7 (812) 5451814
+7 (81364) 20626
+7 (911) 9093147
+7 (931) 3447186
+7 (999) 211477
+7 (812) 4541818
+7 (81374) 24440</f>
        <v>#NAME?</v>
      </c>
      <c r="F7189" s="5" t="s">
        <v>46197</v>
      </c>
      <c r="G7189" s="5" t="s">
        <v>46198</v>
      </c>
      <c r="H7189" s="26">
        <v>14.5</v>
      </c>
      <c r="I7189" s="5"/>
      <c r="J7189" s="5" t="s">
        <v>33220</v>
      </c>
      <c r="K7189" s="5" t="s">
        <v>344</v>
      </c>
      <c r="L7189" s="5" t="s">
        <v>46199</v>
      </c>
      <c r="M7189" s="27">
        <v>3990000</v>
      </c>
      <c r="N7189" s="5" t="s">
        <v>60049</v>
      </c>
      <c r="O7189" s="5" t="str">
        <v>4704077078</v>
      </c>
      <c r="P7189" s="27">
        <v>408524000</v>
      </c>
      <c r="Q7189" s="5" t="s">
        <v>60050</v>
      </c>
      <c r="R7189" s="5"/>
      <c r="S7189" s="5" t="s">
        <v>50475</v>
      </c>
      <c r="T7189" s="28">
        <v>547489000</v>
      </c>
      <c r="U7189" s="28">
        <v>107090000</v>
      </c>
      <c r="V7189" s="28">
        <v>1951242000</v>
      </c>
      <c r="W7189" s="28">
        <v>525000000</v>
      </c>
      <c r="X7189" s="28">
        <v>16494000</v>
      </c>
      <c r="Y7189" s="28">
        <v>3185491000</v>
      </c>
      <c r="Z7189" s="28">
        <v>2063093000</v>
      </c>
      <c r="AA7189" s="28"/>
      <c r="AB7189" s="28"/>
      <c r="AC7189" s="28">
        <v>575513000</v>
      </c>
      <c r="AD7189" s="28">
        <v>2492043000</v>
      </c>
      <c r="AE7189" s="28">
        <v>4908691000</v>
      </c>
      <c r="AF7189" s="28">
        <v>156201000</v>
      </c>
      <c r="AG7189" s="11"/>
    </row>
    <row r="7190">
      <c r="A7190" s="7" t="s">
        <v>8746</v>
      </c>
      <c r="B7190" s="5" t="s">
        <v>16672</v>
      </c>
      <c r="C7190" s="5" t="s">
        <v>24289</v>
      </c>
      <c r="D7190" s="5" t="str">
        <v>190302240961</v>
      </c>
      <c r="E7190" s="0" t="e">
        <f>+7 (390) 2298010
+7 (390) 2298020
+7 (390) 2399030
+7 (961) 7449928</f>
        <v>#NAME?</v>
      </c>
      <c r="F7190" s="5"/>
      <c r="G7190" s="5" t="s">
        <v>46200</v>
      </c>
      <c r="H7190" s="26">
        <v>9.5</v>
      </c>
      <c r="I7190" s="5" t="s">
        <v>46201</v>
      </c>
      <c r="J7190" s="5" t="s">
        <v>28484</v>
      </c>
      <c r="K7190" s="5" t="s">
        <v>344</v>
      </c>
      <c r="L7190" s="5" t="s">
        <v>46202</v>
      </c>
      <c r="M7190" s="27"/>
      <c r="N7190" s="5"/>
      <c r="O7190" s="5" t="str">
        <v>1901116203</v>
      </c>
      <c r="P7190" s="27">
        <v>20000</v>
      </c>
      <c r="Q7190" s="5"/>
      <c r="R7190" s="5"/>
      <c r="S7190" s="5" t="s">
        <v>49121</v>
      </c>
      <c r="T7190" s="28">
        <v>2431650000</v>
      </c>
      <c r="U7190" s="28"/>
      <c r="V7190" s="28">
        <v>4099842000</v>
      </c>
      <c r="W7190" s="28">
        <v>72000000</v>
      </c>
      <c r="X7190" s="28">
        <v>517016000</v>
      </c>
      <c r="Y7190" s="28">
        <v>9534394000</v>
      </c>
      <c r="Z7190" s="28">
        <v>8666346000</v>
      </c>
      <c r="AA7190" s="28"/>
      <c r="AB7190" s="28">
        <v>100230000</v>
      </c>
      <c r="AC7190" s="28">
        <v>504889000</v>
      </c>
      <c r="AD7190" s="28">
        <v>8666366000</v>
      </c>
      <c r="AE7190" s="28">
        <v>22318212000</v>
      </c>
      <c r="AF7190" s="28">
        <v>6173264000</v>
      </c>
      <c r="AG7190" s="11"/>
    </row>
    <row r="7191">
      <c r="A7191" s="7" t="s">
        <v>8747</v>
      </c>
      <c r="B7191" s="5" t="s">
        <v>16673</v>
      </c>
      <c r="C7191" s="5" t="s">
        <v>24290</v>
      </c>
      <c r="D7191" s="5" t="str">
        <v>190301885460</v>
      </c>
      <c r="E7191" s="0" t="e">
        <f>+7 (39031) 42502
+7 (39031) 42503
+7 (39031) 42504
+7 (39031) 42501
+7 (39031) 63619
+7 (39031) 63625
+7 (39031) 64964</f>
        <v>#NAME?</v>
      </c>
      <c r="F7191" s="5" t="s">
        <v>46203</v>
      </c>
      <c r="G7191" s="5" t="s">
        <v>46204</v>
      </c>
      <c r="H7191" s="26">
        <v>19.5</v>
      </c>
      <c r="I7191" s="5"/>
      <c r="J7191" s="5" t="s">
        <v>28484</v>
      </c>
      <c r="K7191" s="5" t="s">
        <v>380</v>
      </c>
      <c r="L7191" s="5" t="s">
        <v>46205</v>
      </c>
      <c r="M7191" s="27">
        <v>2559048</v>
      </c>
      <c r="N7191" s="5"/>
      <c r="O7191" s="5" t="str">
        <v>1903021363</v>
      </c>
      <c r="P7191" s="27">
        <v>203250000</v>
      </c>
      <c r="Q7191" s="5" t="s">
        <v>49009</v>
      </c>
      <c r="R7191" s="5"/>
      <c r="S7191" s="5" t="s">
        <v>49010</v>
      </c>
      <c r="T7191" s="28">
        <v>2365185000</v>
      </c>
      <c r="U7191" s="28"/>
      <c r="V7191" s="28">
        <v>2709319000</v>
      </c>
      <c r="W7191" s="28"/>
      <c r="X7191" s="28">
        <v>808975000</v>
      </c>
      <c r="Y7191" s="28">
        <v>8935478000</v>
      </c>
      <c r="Z7191" s="28">
        <v>-1014000</v>
      </c>
      <c r="AA7191" s="28">
        <v>800000000</v>
      </c>
      <c r="AB7191" s="28"/>
      <c r="AC7191" s="28">
        <v>5906207000</v>
      </c>
      <c r="AD7191" s="28">
        <v>541623000</v>
      </c>
      <c r="AE7191" s="28">
        <v>10834225000</v>
      </c>
      <c r="AF7191" s="28">
        <v>-3233102000</v>
      </c>
      <c r="AG7191" s="11"/>
    </row>
    <row r="7192">
      <c r="A7192" s="7" t="s">
        <v>8748</v>
      </c>
      <c r="B7192" s="5" t="s">
        <v>16674</v>
      </c>
      <c r="C7192" s="5" t="s">
        <v>24291</v>
      </c>
      <c r="D7192" s="5" t="str">
        <v>771775010575</v>
      </c>
      <c r="E7192" s="0" t="e">
        <f>+7 (495) 9885677
+7 (495) 9885388
+7 (495) 9885639</f>
        <v>#NAME?</v>
      </c>
      <c r="F7192" s="5" t="s">
        <v>46206</v>
      </c>
      <c r="G7192" s="5" t="s">
        <v>46207</v>
      </c>
      <c r="H7192" s="26">
        <v>9</v>
      </c>
      <c r="I7192" s="5" t="s">
        <v>46208</v>
      </c>
      <c r="J7192" s="5" t="s">
        <v>502</v>
      </c>
      <c r="K7192" s="5" t="s">
        <v>344</v>
      </c>
      <c r="L7192" s="5"/>
      <c r="M7192" s="27"/>
      <c r="N7192" s="5"/>
      <c r="O7192" s="5" t="str">
        <v>7728864753</v>
      </c>
      <c r="P7192" s="27">
        <v>1000000</v>
      </c>
      <c r="Q7192" s="5" t="s">
        <v>60051</v>
      </c>
      <c r="R7192" s="5"/>
      <c r="S7192" s="5" t="s">
        <v>49747</v>
      </c>
      <c r="T7192" s="28">
        <v>190412000</v>
      </c>
      <c r="U7192" s="28">
        <v>14807000</v>
      </c>
      <c r="V7192" s="28">
        <v>2671919000</v>
      </c>
      <c r="W7192" s="28">
        <v>302885000</v>
      </c>
      <c r="X7192" s="28">
        <v>220000</v>
      </c>
      <c r="Y7192" s="28">
        <v>3439489000</v>
      </c>
      <c r="Z7192" s="28">
        <v>1776086000</v>
      </c>
      <c r="AA7192" s="28"/>
      <c r="AB7192" s="28"/>
      <c r="AC7192" s="28">
        <v>1662403000</v>
      </c>
      <c r="AD7192" s="28">
        <v>1777086000</v>
      </c>
      <c r="AE7192" s="28">
        <v>4962191000</v>
      </c>
      <c r="AF7192" s="28">
        <v>399512000</v>
      </c>
      <c r="AG7192" s="11"/>
    </row>
    <row r="7193">
      <c r="A7193" s="7" t="s">
        <v>8749</v>
      </c>
      <c r="B7193" s="5" t="s">
        <v>16675</v>
      </c>
      <c r="C7193" s="5" t="s">
        <v>24292</v>
      </c>
      <c r="D7193" s="5" t="str">
        <v>422202591353</v>
      </c>
      <c r="E7193" s="0" t="e">
        <f>+7 (384) 2221278
+7 (3843) 323482
+7 (3843) 323497
+7 (3843) 323545
+7 (3843) 323560
+7 (3843) 538506
+7 (3843) 920506
+7 (3843) 993354
+7 (3843) 993361
+7 (3843) 993386</f>
        <v>#NAME?</v>
      </c>
      <c r="F7193" s="5" t="s">
        <v>46209</v>
      </c>
      <c r="G7193" s="5" t="s">
        <v>46210</v>
      </c>
      <c r="H7193" s="26">
        <v>18.5</v>
      </c>
      <c r="I7193" s="5"/>
      <c r="J7193" s="5" t="s">
        <v>29188</v>
      </c>
      <c r="K7193" s="5" t="s">
        <v>344</v>
      </c>
      <c r="L7193" s="5" t="s">
        <v>46211</v>
      </c>
      <c r="M7193" s="27"/>
      <c r="N7193" s="5"/>
      <c r="O7193" s="5" t="str">
        <v>4214021372</v>
      </c>
      <c r="P7193" s="27">
        <v>35250000</v>
      </c>
      <c r="Q7193" s="5" t="s">
        <v>49009</v>
      </c>
      <c r="R7193" s="5"/>
      <c r="S7193" s="5" t="s">
        <v>49010</v>
      </c>
      <c r="T7193" s="28">
        <v>29020304000</v>
      </c>
      <c r="U7193" s="28"/>
      <c r="V7193" s="28">
        <v>8918080000</v>
      </c>
      <c r="W7193" s="28"/>
      <c r="X7193" s="28">
        <v>233530000</v>
      </c>
      <c r="Y7193" s="28">
        <v>44727509000</v>
      </c>
      <c r="Z7193" s="28">
        <v>27922932000</v>
      </c>
      <c r="AA7193" s="28">
        <v>10827739000</v>
      </c>
      <c r="AB7193" s="28">
        <v>2404250000</v>
      </c>
      <c r="AC7193" s="28">
        <v>4721690000</v>
      </c>
      <c r="AD7193" s="28">
        <v>27959945000</v>
      </c>
      <c r="AE7193" s="28">
        <v>26064796000</v>
      </c>
      <c r="AF7193" s="28">
        <v>10938329000</v>
      </c>
      <c r="AG7193" s="11"/>
    </row>
    <row r="7194">
      <c r="A7194" s="7" t="s">
        <v>8750</v>
      </c>
      <c r="B7194" s="5" t="s">
        <v>16676</v>
      </c>
      <c r="C7194" s="5" t="s">
        <v>24293</v>
      </c>
      <c r="D7194" s="5" t="str">
        <v>164408540642</v>
      </c>
      <c r="E7194" s="0" t="e">
        <f>+7 (8553) 318168
+7 (8553) 318494
+7 (8553) 318561
+7 (8553) 370754
+7 (8553) 389400
+7 (8553) 389480
+7 (8553) 458913</f>
        <v>#NAME?</v>
      </c>
      <c r="F7194" s="5"/>
      <c r="G7194" s="5" t="s">
        <v>46212</v>
      </c>
      <c r="H7194" s="26">
        <v>14.5</v>
      </c>
      <c r="I7194" s="5" t="s">
        <v>46213</v>
      </c>
      <c r="J7194" s="5" t="s">
        <v>26799</v>
      </c>
      <c r="K7194" s="5" t="s">
        <v>344</v>
      </c>
      <c r="L7194" s="5" t="s">
        <v>46214</v>
      </c>
      <c r="M7194" s="27"/>
      <c r="N7194" s="5" t="s">
        <v>60053</v>
      </c>
      <c r="O7194" s="5" t="str">
        <v>1644049462</v>
      </c>
      <c r="P7194" s="27">
        <v>200000</v>
      </c>
      <c r="Q7194" s="5" t="s">
        <v>60054</v>
      </c>
      <c r="R7194" s="5"/>
      <c r="S7194" s="5" t="s">
        <v>51316</v>
      </c>
      <c r="T7194" s="28">
        <v>4899471000</v>
      </c>
      <c r="U7194" s="28">
        <v>38680000</v>
      </c>
      <c r="V7194" s="28">
        <v>1325326000</v>
      </c>
      <c r="W7194" s="28">
        <v>160000000</v>
      </c>
      <c r="X7194" s="28">
        <v>19324000</v>
      </c>
      <c r="Y7194" s="28">
        <v>6644320000</v>
      </c>
      <c r="Z7194" s="28">
        <v>5236193000</v>
      </c>
      <c r="AA7194" s="28"/>
      <c r="AB7194" s="28">
        <v>186000</v>
      </c>
      <c r="AC7194" s="28">
        <v>798782000</v>
      </c>
      <c r="AD7194" s="28">
        <v>5236393000</v>
      </c>
      <c r="AE7194" s="28">
        <v>5061517000</v>
      </c>
      <c r="AF7194" s="28">
        <v>574344000</v>
      </c>
      <c r="AG7194" s="11"/>
    </row>
    <row r="7195">
      <c r="A7195" s="7" t="s">
        <v>8751</v>
      </c>
      <c r="B7195" s="5" t="s">
        <v>16677</v>
      </c>
      <c r="C7195" s="5" t="s">
        <v>24294</v>
      </c>
      <c r="D7195" s="5" t="str">
        <v>246300010033</v>
      </c>
      <c r="E7195" s="0" t="e">
        <f>+7 (913) 1732323</f>
        <v>#NAME?</v>
      </c>
      <c r="F7195" s="5"/>
      <c r="G7195" s="5"/>
      <c r="H7195" s="26">
        <v>7</v>
      </c>
      <c r="I7195" s="5" t="s">
        <v>46215</v>
      </c>
      <c r="J7195" s="5" t="s">
        <v>27174</v>
      </c>
      <c r="K7195" s="5" t="s">
        <v>344</v>
      </c>
      <c r="L7195" s="5"/>
      <c r="M7195" s="27"/>
      <c r="N7195" s="5" t="s">
        <v>49153</v>
      </c>
      <c r="O7195" s="5" t="str">
        <v>2464124017</v>
      </c>
      <c r="P7195" s="27">
        <v>72658131</v>
      </c>
      <c r="Q7195" s="5" t="s">
        <v>49059</v>
      </c>
      <c r="R7195" s="5" t="s">
        <v>57144</v>
      </c>
      <c r="S7195" s="5" t="s">
        <v>49991</v>
      </c>
      <c r="T7195" s="28">
        <v>306018000</v>
      </c>
      <c r="U7195" s="28">
        <v>1391446000</v>
      </c>
      <c r="V7195" s="28">
        <v>90005000</v>
      </c>
      <c r="W7195" s="28">
        <v>24396000</v>
      </c>
      <c r="X7195" s="28">
        <v>35000</v>
      </c>
      <c r="Y7195" s="28">
        <v>2371343000</v>
      </c>
      <c r="Z7195" s="28">
        <v>437520000</v>
      </c>
      <c r="AA7195" s="28">
        <v>1547696000</v>
      </c>
      <c r="AB7195" s="28">
        <v>6581000</v>
      </c>
      <c r="AC7195" s="28">
        <v>305839000</v>
      </c>
      <c r="AD7195" s="28">
        <v>510178000</v>
      </c>
      <c r="AE7195" s="28">
        <v>3182348000</v>
      </c>
      <c r="AF7195" s="28">
        <v>536132000</v>
      </c>
      <c r="AG7195" s="11"/>
    </row>
    <row r="7196">
      <c r="A7196" s="7" t="s">
        <v>8752</v>
      </c>
      <c r="B7196" s="5" t="s">
        <v>16678</v>
      </c>
      <c r="C7196" s="5" t="s">
        <v>24295</v>
      </c>
      <c r="D7196" s="5" t="str">
        <v>631909393437</v>
      </c>
      <c r="E7196" s="0" t="e">
        <f>+7 (812) 6222211
+7 (812) 3348888
+7 (812) 6222225
+7 (812) 6222226
+7 (812) 7664876</f>
        <v>#NAME?</v>
      </c>
      <c r="F7196" s="5" t="s">
        <v>46216</v>
      </c>
      <c r="G7196" s="5" t="s">
        <v>46217</v>
      </c>
      <c r="H7196" s="26">
        <v>17</v>
      </c>
      <c r="I7196" s="5"/>
      <c r="J7196" s="5" t="s">
        <v>31224</v>
      </c>
      <c r="K7196" s="5" t="s">
        <v>355</v>
      </c>
      <c r="L7196" s="5"/>
      <c r="M7196" s="27">
        <v>392217</v>
      </c>
      <c r="N7196" s="5" t="s">
        <v>49923</v>
      </c>
      <c r="O7196" s="5" t="str">
        <v>7816380127</v>
      </c>
      <c r="P7196" s="27">
        <v>147833280</v>
      </c>
      <c r="Q7196" s="5" t="s">
        <v>49021</v>
      </c>
      <c r="R7196" s="5"/>
      <c r="S7196" s="5" t="s">
        <v>50742</v>
      </c>
      <c r="T7196" s="28">
        <v>3454169000</v>
      </c>
      <c r="U7196" s="28">
        <v>344538000</v>
      </c>
      <c r="V7196" s="28">
        <v>439819000</v>
      </c>
      <c r="W7196" s="28"/>
      <c r="X7196" s="28">
        <v>232428000</v>
      </c>
      <c r="Y7196" s="28">
        <v>6736609000</v>
      </c>
      <c r="Z7196" s="28">
        <v>-366063000</v>
      </c>
      <c r="AA7196" s="28">
        <v>2479000</v>
      </c>
      <c r="AB7196" s="28">
        <v>303683000</v>
      </c>
      <c r="AC7196" s="28">
        <v>3643850000</v>
      </c>
      <c r="AD7196" s="28">
        <v>175204000</v>
      </c>
      <c r="AE7196" s="28">
        <v>6059985000</v>
      </c>
      <c r="AF7196" s="28">
        <v>-159243000</v>
      </c>
      <c r="AG7196" s="11"/>
    </row>
    <row r="7197">
      <c r="A7197" s="7" t="s">
        <v>8753</v>
      </c>
      <c r="B7197" s="5" t="s">
        <v>16679</v>
      </c>
      <c r="C7197" s="5" t="s">
        <v>24296</v>
      </c>
      <c r="D7197" s="5" t="str">
        <v>163600367938</v>
      </c>
      <c r="E7197" s="0" t="e">
        <f>+7 (84345) 90074
+7 (84345) 90107
+7 (8553) 301587
+7 (8553) 301781
+7 (8553) 301929
+7 (8553) 301979
+7 (8553) 314444
+7 (8553) 319156
+7 (8553) 319346
+7 (8553) 377311
+7 (8553) 377312
+7 (8553) 377313
+7 (8553) 377318
+7 (8553) 377321
+7 (85557) 27288</f>
        <v>#NAME?</v>
      </c>
      <c r="F7197" s="5" t="s">
        <v>46218</v>
      </c>
      <c r="G7197" s="5" t="s">
        <v>46219</v>
      </c>
      <c r="H7197" s="26">
        <v>15.5</v>
      </c>
      <c r="I7197" s="5" t="s">
        <v>46220</v>
      </c>
      <c r="J7197" s="5" t="s">
        <v>533</v>
      </c>
      <c r="K7197" s="5" t="s">
        <v>355</v>
      </c>
      <c r="L7197" s="5"/>
      <c r="M7197" s="27">
        <v>396100</v>
      </c>
      <c r="N7197" s="5" t="s">
        <v>60055</v>
      </c>
      <c r="O7197" s="5" t="str">
        <v>1644045764</v>
      </c>
      <c r="P7197" s="27">
        <v>1500000</v>
      </c>
      <c r="Q7197" s="5" t="s">
        <v>60057</v>
      </c>
      <c r="R7197" s="5" t="s">
        <v>54864</v>
      </c>
      <c r="S7197" s="5" t="s">
        <v>50951</v>
      </c>
      <c r="T7197" s="28">
        <v>4334310000</v>
      </c>
      <c r="U7197" s="28"/>
      <c r="V7197" s="28">
        <v>2423481000</v>
      </c>
      <c r="W7197" s="28"/>
      <c r="X7197" s="28">
        <v>20544000</v>
      </c>
      <c r="Y7197" s="28">
        <v>6985408000</v>
      </c>
      <c r="Z7197" s="28">
        <v>4268823000</v>
      </c>
      <c r="AA7197" s="28"/>
      <c r="AB7197" s="28"/>
      <c r="AC7197" s="28">
        <v>2244738000</v>
      </c>
      <c r="AD7197" s="28">
        <v>4270323000</v>
      </c>
      <c r="AE7197" s="28">
        <v>7527490000</v>
      </c>
      <c r="AF7197" s="28">
        <v>90431000</v>
      </c>
      <c r="AG7197" s="11"/>
    </row>
    <row r="7198">
      <c r="A7198" s="7" t="s">
        <v>8754</v>
      </c>
      <c r="B7198" s="5" t="s">
        <v>16680</v>
      </c>
      <c r="C7198" s="5" t="s">
        <v>24297</v>
      </c>
      <c r="D7198" s="5" t="str">
        <v>165108626403</v>
      </c>
      <c r="E7198" s="0" t="e">
        <f>+7 (8555) 499947
+7 (8555) 499917</f>
        <v>#NAME?</v>
      </c>
      <c r="F7198" s="5" t="s">
        <v>46221</v>
      </c>
      <c r="G7198" s="5" t="s">
        <v>46222</v>
      </c>
      <c r="H7198" s="26">
        <v>8.5</v>
      </c>
      <c r="I7198" s="5" t="s">
        <v>46223</v>
      </c>
      <c r="J7198" s="5" t="s">
        <v>364</v>
      </c>
      <c r="K7198" s="5" t="s">
        <v>355</v>
      </c>
      <c r="L7198" s="5" t="s">
        <v>1733</v>
      </c>
      <c r="M7198" s="27">
        <v>1322176</v>
      </c>
      <c r="N7198" s="5"/>
      <c r="O7198" s="5" t="str">
        <v>1651072102</v>
      </c>
      <c r="P7198" s="27">
        <v>1000000</v>
      </c>
      <c r="Q7198" s="5" t="s">
        <v>49009</v>
      </c>
      <c r="R7198" s="5"/>
      <c r="S7198" s="5" t="s">
        <v>49010</v>
      </c>
      <c r="T7198" s="28">
        <v>42136000</v>
      </c>
      <c r="U7198" s="28">
        <v>1035000</v>
      </c>
      <c r="V7198" s="28">
        <v>1474073000</v>
      </c>
      <c r="W7198" s="28"/>
      <c r="X7198" s="28">
        <v>161227000</v>
      </c>
      <c r="Y7198" s="28">
        <v>1819085000</v>
      </c>
      <c r="Z7198" s="28">
        <v>67848000</v>
      </c>
      <c r="AA7198" s="28"/>
      <c r="AB7198" s="28"/>
      <c r="AC7198" s="28">
        <v>1718027000</v>
      </c>
      <c r="AD7198" s="28">
        <v>68848000</v>
      </c>
      <c r="AE7198" s="28">
        <v>5282985000</v>
      </c>
      <c r="AF7198" s="28">
        <v>8184000</v>
      </c>
      <c r="AG7198" s="11"/>
    </row>
    <row r="7199">
      <c r="A7199" s="7" t="s">
        <v>8755</v>
      </c>
      <c r="B7199" s="5" t="s">
        <v>16681</v>
      </c>
      <c r="C7199" s="5" t="s">
        <v>24298</v>
      </c>
      <c r="D7199" s="5" t="str">
        <v>165047648848</v>
      </c>
      <c r="E7199" s="0" t="e">
        <f>+7 (3412) 930130
+7 (3472) 1783
+7 (3472) 1789
+7 (3472) 874157
+7 (3472) 924193
+7 (3472) 924414
+7 (3412) 930103
+7 (3412) 930107
+7 (3412) 930113
+7 (3412) 930117
+7 (3472) 924191
+7 (3472) 924194
+7 (3472) 924196
+7 (3472) 924410
+7 (3472) 924420</f>
        <v>#NAME?</v>
      </c>
      <c r="F7199" s="5" t="s">
        <v>46224</v>
      </c>
      <c r="G7199" s="5" t="s">
        <v>46225</v>
      </c>
      <c r="H7199" s="26">
        <v>17.5</v>
      </c>
      <c r="I7199" s="5" t="s">
        <v>46226</v>
      </c>
      <c r="J7199" s="5" t="s">
        <v>389</v>
      </c>
      <c r="K7199" s="5" t="s">
        <v>344</v>
      </c>
      <c r="L7199" s="5" t="s">
        <v>46227</v>
      </c>
      <c r="M7199" s="27">
        <v>13098044</v>
      </c>
      <c r="N7199" s="5" t="s">
        <v>60058</v>
      </c>
      <c r="O7199" s="5" t="str">
        <v>1650131524</v>
      </c>
      <c r="P7199" s="27">
        <v>110093994</v>
      </c>
      <c r="Q7199" s="5" t="s">
        <v>60060</v>
      </c>
      <c r="R7199" s="5" t="s">
        <v>55487</v>
      </c>
      <c r="S7199" s="5" t="s">
        <v>60061</v>
      </c>
      <c r="T7199" s="28">
        <v>9226381000</v>
      </c>
      <c r="U7199" s="28">
        <v>2892398000</v>
      </c>
      <c r="V7199" s="28">
        <v>2116719000</v>
      </c>
      <c r="W7199" s="28">
        <v>3000000000</v>
      </c>
      <c r="X7199" s="28">
        <v>720490000</v>
      </c>
      <c r="Y7199" s="28">
        <v>31128163000</v>
      </c>
      <c r="Z7199" s="28">
        <v>21907243000</v>
      </c>
      <c r="AA7199" s="28">
        <v>5478354000</v>
      </c>
      <c r="AB7199" s="28">
        <v>15220000</v>
      </c>
      <c r="AC7199" s="28">
        <v>1646851000</v>
      </c>
      <c r="AD7199" s="28">
        <v>23880281000</v>
      </c>
      <c r="AE7199" s="28">
        <v>47742137000</v>
      </c>
      <c r="AF7199" s="28">
        <v>3595324000</v>
      </c>
      <c r="AG7199" s="11"/>
    </row>
    <row r="7200">
      <c r="A7200" s="7" t="s">
        <v>8756</v>
      </c>
      <c r="B7200" s="5" t="s">
        <v>16682</v>
      </c>
      <c r="C7200" s="5" t="s">
        <v>24299</v>
      </c>
      <c r="D7200" s="5" t="str">
        <v>312200455518</v>
      </c>
      <c r="E7200" s="0" t="e">
        <f>+7 (473) 2396312
+7 (495) 2258722
+7 (495) 2258723
+7 (495) 2258724</f>
        <v>#NAME?</v>
      </c>
      <c r="F7200" s="5" t="s">
        <v>46228</v>
      </c>
      <c r="G7200" s="5" t="s">
        <v>46229</v>
      </c>
      <c r="H7200" s="26">
        <v>18</v>
      </c>
      <c r="I7200" s="5"/>
      <c r="J7200" s="5" t="s">
        <v>502</v>
      </c>
      <c r="K7200" s="5" t="s">
        <v>344</v>
      </c>
      <c r="L7200" s="5"/>
      <c r="M7200" s="27"/>
      <c r="N7200" s="5"/>
      <c r="O7200" s="5" t="str">
        <v>3122504272</v>
      </c>
      <c r="P7200" s="27">
        <v>100000</v>
      </c>
      <c r="Q7200" s="5"/>
      <c r="R7200" s="5"/>
      <c r="S7200" s="5" t="s">
        <v>49121</v>
      </c>
      <c r="T7200" s="28">
        <v>161643000</v>
      </c>
      <c r="U7200" s="28">
        <v>52878000</v>
      </c>
      <c r="V7200" s="28">
        <v>1235357000</v>
      </c>
      <c r="W7200" s="28">
        <v>275000000</v>
      </c>
      <c r="X7200" s="28">
        <v>15251000</v>
      </c>
      <c r="Y7200" s="28">
        <v>1907801000</v>
      </c>
      <c r="Z7200" s="28">
        <v>354520000</v>
      </c>
      <c r="AA7200" s="28"/>
      <c r="AB7200" s="28">
        <v>1800000</v>
      </c>
      <c r="AC7200" s="28">
        <v>1553181000</v>
      </c>
      <c r="AD7200" s="28">
        <v>354620000</v>
      </c>
      <c r="AE7200" s="28">
        <v>4842355000</v>
      </c>
      <c r="AF7200" s="28">
        <v>561843000</v>
      </c>
      <c r="AG7200" s="11"/>
    </row>
    <row r="7201">
      <c r="A7201" s="7" t="s">
        <v>8757</v>
      </c>
      <c r="B7201" s="5" t="s">
        <v>16683</v>
      </c>
      <c r="C7201" s="5" t="s">
        <v>24300</v>
      </c>
      <c r="D7201" s="5" t="str">
        <v>741600653047</v>
      </c>
      <c r="E7201" s="0" t="e">
        <f>+7 (351) 2624217
+7 (351) 7307208
+7 (3512) 624195
+7 (3512) 624223</f>
        <v>#NAME?</v>
      </c>
      <c r="F7201" s="5" t="s">
        <v>46230</v>
      </c>
      <c r="G7201" s="5" t="s">
        <v>46231</v>
      </c>
      <c r="H7201" s="26">
        <v>15</v>
      </c>
      <c r="I7201" s="5" t="s">
        <v>46232</v>
      </c>
      <c r="J7201" s="5" t="s">
        <v>25982</v>
      </c>
      <c r="K7201" s="5" t="s">
        <v>344</v>
      </c>
      <c r="L7201" s="5" t="s">
        <v>46233</v>
      </c>
      <c r="M7201" s="27"/>
      <c r="N7201" s="5"/>
      <c r="O7201" s="5" t="str">
        <v>7451258929</v>
      </c>
      <c r="P7201" s="27">
        <v>20000</v>
      </c>
      <c r="Q7201" s="5"/>
      <c r="R7201" s="5" t="s">
        <v>60062</v>
      </c>
      <c r="S7201" s="5" t="s">
        <v>49121</v>
      </c>
      <c r="T7201" s="28">
        <v>302547000</v>
      </c>
      <c r="U7201" s="28">
        <v>54227000</v>
      </c>
      <c r="V7201" s="28">
        <v>2572605000</v>
      </c>
      <c r="W7201" s="28">
        <v>727199000</v>
      </c>
      <c r="X7201" s="28">
        <v>62511000</v>
      </c>
      <c r="Y7201" s="28">
        <v>3785114000</v>
      </c>
      <c r="Z7201" s="28">
        <v>636101000</v>
      </c>
      <c r="AA7201" s="28">
        <v>251700000</v>
      </c>
      <c r="AB7201" s="28">
        <v>22970000</v>
      </c>
      <c r="AC7201" s="28">
        <v>2546340000</v>
      </c>
      <c r="AD7201" s="28">
        <v>636124000</v>
      </c>
      <c r="AE7201" s="28">
        <v>6318397000</v>
      </c>
      <c r="AF7201" s="28">
        <v>574058000</v>
      </c>
      <c r="AG7201" s="11"/>
    </row>
    <row r="7202">
      <c r="A7202" s="7" t="s">
        <v>8758</v>
      </c>
      <c r="B7202" s="5" t="s">
        <v>16684</v>
      </c>
      <c r="C7202" s="5" t="s">
        <v>24301</v>
      </c>
      <c r="D7202" s="5" t="str">
        <v>732715561510</v>
      </c>
      <c r="E7202" s="0" t="e">
        <f>+7 (8422) 588043
+7 (8422) 674449
+7 (902) 2464050
+7 (8422) 413384
+7 (8422) 433630
+7 (8422) 434376
+7 (8422) 434712
+7 (8422) 580555
+7 (8422) 584687
+7 (8422) 587703
+7 (902) 2111915</f>
        <v>#NAME?</v>
      </c>
      <c r="F7202" s="5" t="s">
        <v>46234</v>
      </c>
      <c r="G7202" s="5"/>
      <c r="H7202" s="26">
        <v>29.5</v>
      </c>
      <c r="I7202" s="5"/>
      <c r="J7202" s="5" t="s">
        <v>755</v>
      </c>
      <c r="K7202" s="5" t="s">
        <v>344</v>
      </c>
      <c r="L7202" s="5"/>
      <c r="M7202" s="27">
        <v>147075762</v>
      </c>
      <c r="N7202" s="5" t="s">
        <v>60063</v>
      </c>
      <c r="O7202" s="5" t="str">
        <v>7303005071</v>
      </c>
      <c r="P7202" s="27">
        <v>246643000</v>
      </c>
      <c r="Q7202" s="5" t="s">
        <v>60064</v>
      </c>
      <c r="R7202" s="5" t="s">
        <v>60065</v>
      </c>
      <c r="S7202" s="5" t="s">
        <v>60066</v>
      </c>
      <c r="T7202" s="28">
        <v>2565444000</v>
      </c>
      <c r="U7202" s="28">
        <v>315401000</v>
      </c>
      <c r="V7202" s="28">
        <v>4462809000</v>
      </c>
      <c r="W7202" s="28">
        <v>14000000</v>
      </c>
      <c r="X7202" s="28">
        <v>3343167000</v>
      </c>
      <c r="Y7202" s="28">
        <v>20709045000</v>
      </c>
      <c r="Z7202" s="28">
        <v>5358854000</v>
      </c>
      <c r="AA7202" s="28">
        <v>830764000</v>
      </c>
      <c r="AB7202" s="28">
        <v>156128000</v>
      </c>
      <c r="AC7202" s="28">
        <v>9916224000</v>
      </c>
      <c r="AD7202" s="28">
        <v>9327451000</v>
      </c>
      <c r="AE7202" s="28">
        <v>6625528000</v>
      </c>
      <c r="AF7202" s="28">
        <v>386036000</v>
      </c>
      <c r="AG7202" s="11"/>
    </row>
    <row r="7203">
      <c r="A7203" s="7" t="s">
        <v>8759</v>
      </c>
      <c r="B7203" s="5" t="s">
        <v>16685</v>
      </c>
      <c r="C7203" s="5" t="s">
        <v>24302</v>
      </c>
      <c r="D7203" s="5" t="str">
        <v>504408233997</v>
      </c>
      <c r="E7203" s="0" t="e">
        <f>+7 (495) 2801003
+7 (495) 6133498
+7 (495) 6991131
+7 (926) 2803887</f>
        <v>#NAME?</v>
      </c>
      <c r="F7203" s="5" t="s">
        <v>46235</v>
      </c>
      <c r="G7203" s="5"/>
      <c r="H7203" s="26">
        <v>28</v>
      </c>
      <c r="I7203" s="5"/>
      <c r="J7203" s="5" t="s">
        <v>502</v>
      </c>
      <c r="K7203" s="5" t="s">
        <v>344</v>
      </c>
      <c r="L7203" s="5"/>
      <c r="M7203" s="27">
        <v>140856381</v>
      </c>
      <c r="N7203" s="5" t="s">
        <v>60067</v>
      </c>
      <c r="O7203" s="5" t="str">
        <v>7710147385</v>
      </c>
      <c r="P7203" s="27">
        <v>45000</v>
      </c>
      <c r="Q7203" s="5" t="s">
        <v>60068</v>
      </c>
      <c r="R7203" s="5"/>
      <c r="S7203" s="5" t="s">
        <v>60069</v>
      </c>
      <c r="T7203" s="28">
        <v>43647000</v>
      </c>
      <c r="U7203" s="28"/>
      <c r="V7203" s="28">
        <v>703371000</v>
      </c>
      <c r="W7203" s="28"/>
      <c r="X7203" s="28">
        <v>152045000</v>
      </c>
      <c r="Y7203" s="28">
        <v>970623000</v>
      </c>
      <c r="Z7203" s="28">
        <v>187319000</v>
      </c>
      <c r="AA7203" s="28"/>
      <c r="AB7203" s="28"/>
      <c r="AC7203" s="28">
        <v>855930000</v>
      </c>
      <c r="AD7203" s="28">
        <v>72515000</v>
      </c>
      <c r="AE7203" s="28">
        <v>4455776000</v>
      </c>
      <c r="AF7203" s="28">
        <v>1974000</v>
      </c>
      <c r="AG7203" s="11"/>
    </row>
    <row r="7204">
      <c r="A7204" s="7" t="s">
        <v>8760</v>
      </c>
      <c r="B7204" s="5" t="s">
        <v>13377</v>
      </c>
      <c r="C7204" s="5" t="s">
        <v>21174</v>
      </c>
      <c r="D7204" s="5"/>
      <c r="E7204" s="0" t="e">
        <f>+7 (495) 6991976
+7 (495) 6994910
+7 (495) 6997528
+7 (985) 7609157</f>
        <v>#NAME?</v>
      </c>
      <c r="F7204" s="5" t="s">
        <v>46236</v>
      </c>
      <c r="G7204" s="5" t="s">
        <v>46237</v>
      </c>
      <c r="H7204" s="26">
        <v>27.5</v>
      </c>
      <c r="I7204" s="5"/>
      <c r="J7204" s="5" t="s">
        <v>890</v>
      </c>
      <c r="K7204" s="5" t="s">
        <v>355</v>
      </c>
      <c r="L7204" s="5" t="s">
        <v>37098</v>
      </c>
      <c r="M7204" s="27">
        <v>222734</v>
      </c>
      <c r="N7204" s="5"/>
      <c r="O7204" s="5" t="str">
        <v>7710151688</v>
      </c>
      <c r="P7204" s="27">
        <v>43700</v>
      </c>
      <c r="Q7204" s="5" t="s">
        <v>49021</v>
      </c>
      <c r="R7204" s="5"/>
      <c r="S7204" s="5" t="s">
        <v>60070</v>
      </c>
      <c r="T7204" s="28">
        <v>3631000</v>
      </c>
      <c r="U7204" s="28">
        <v>70000</v>
      </c>
      <c r="V7204" s="28">
        <v>7701084000</v>
      </c>
      <c r="W7204" s="28"/>
      <c r="X7204" s="28">
        <v>31503000</v>
      </c>
      <c r="Y7204" s="28">
        <v>7747295000</v>
      </c>
      <c r="Z7204" s="28">
        <v>44031000</v>
      </c>
      <c r="AA7204" s="28"/>
      <c r="AB7204" s="28"/>
      <c r="AC7204" s="28">
        <v>7703204000</v>
      </c>
      <c r="AD7204" s="28">
        <v>44077000</v>
      </c>
      <c r="AE7204" s="28">
        <v>3458728000</v>
      </c>
      <c r="AF7204" s="28">
        <v>33343000</v>
      </c>
      <c r="AG7204" s="11"/>
    </row>
    <row r="7205">
      <c r="A7205" s="7" t="s">
        <v>8761</v>
      </c>
      <c r="B7205" s="5" t="s">
        <v>16686</v>
      </c>
      <c r="C7205" s="5" t="s">
        <v>24303</v>
      </c>
      <c r="D7205" s="5" t="str">
        <v>667210014198</v>
      </c>
      <c r="E7205" s="0" t="e">
        <f>+7 (343) 3554455
+7 (343) 3556298
+7 (343) 3506298
+7 (343) 3552326
+7 (34346) 36055</f>
        <v>#NAME?</v>
      </c>
      <c r="F7205" s="5"/>
      <c r="G7205" s="5"/>
      <c r="H7205" s="26">
        <v>24</v>
      </c>
      <c r="I7205" s="5" t="s">
        <v>46238</v>
      </c>
      <c r="J7205" s="5" t="s">
        <v>36079</v>
      </c>
      <c r="K7205" s="5" t="s">
        <v>344</v>
      </c>
      <c r="L7205" s="5" t="s">
        <v>46239</v>
      </c>
      <c r="M7205" s="27">
        <v>111656785</v>
      </c>
      <c r="N7205" s="5"/>
      <c r="O7205" s="5" t="str">
        <v>6658096951</v>
      </c>
      <c r="P7205" s="27">
        <v>344560</v>
      </c>
      <c r="Q7205" s="5" t="s">
        <v>50691</v>
      </c>
      <c r="R7205" s="5" t="s">
        <v>54590</v>
      </c>
      <c r="S7205" s="5" t="s">
        <v>60071</v>
      </c>
      <c r="T7205" s="28">
        <v>59254000</v>
      </c>
      <c r="U7205" s="28"/>
      <c r="V7205" s="28">
        <v>16337333000</v>
      </c>
      <c r="W7205" s="28">
        <v>11532000</v>
      </c>
      <c r="X7205" s="28">
        <v>844000</v>
      </c>
      <c r="Y7205" s="28">
        <v>17827915000</v>
      </c>
      <c r="Z7205" s="28">
        <v>293845000</v>
      </c>
      <c r="AA7205" s="28">
        <v>9457818000</v>
      </c>
      <c r="AB7205" s="28">
        <v>793781000</v>
      </c>
      <c r="AC7205" s="28">
        <v>8060031000</v>
      </c>
      <c r="AD7205" s="28">
        <v>294190000</v>
      </c>
      <c r="AE7205" s="28">
        <v>34576421000</v>
      </c>
      <c r="AF7205" s="28">
        <v>88285000</v>
      </c>
      <c r="AG7205" s="11"/>
    </row>
    <row r="7206">
      <c r="A7206" s="7" t="s">
        <v>8762</v>
      </c>
      <c r="B7206" s="5" t="s">
        <v>16687</v>
      </c>
      <c r="C7206" s="5" t="s">
        <v>24232</v>
      </c>
      <c r="D7206" s="5"/>
      <c r="E7206" s="0" t="e">
        <f>+7 (347) 2710132
+7 (347) 2710192
+7 (3472) 228373
+7 (3472) 710087
+7 (3472) 710092
+7 (3472) 710108
+7 (3472) 710112
+7 (3472) 710326
+7 (3472) 710461
+7 (3472) 727796
+7 (3472) 735310</f>
        <v>#NAME?</v>
      </c>
      <c r="F7206" s="5" t="s">
        <v>46240</v>
      </c>
      <c r="G7206" s="5"/>
      <c r="H7206" s="26">
        <v>19.5</v>
      </c>
      <c r="I7206" s="5" t="s">
        <v>46241</v>
      </c>
      <c r="J7206" s="5" t="s">
        <v>26057</v>
      </c>
      <c r="K7206" s="5" t="s">
        <v>344</v>
      </c>
      <c r="L7206" s="5"/>
      <c r="M7206" s="27"/>
      <c r="N7206" s="5" t="s">
        <v>60072</v>
      </c>
      <c r="O7206" s="5" t="str">
        <v>0274092758</v>
      </c>
      <c r="P7206" s="27">
        <v>810000000</v>
      </c>
      <c r="Q7206" s="5"/>
      <c r="R7206" s="5" t="s">
        <v>60073</v>
      </c>
      <c r="S7206" s="5" t="s">
        <v>49425</v>
      </c>
      <c r="T7206" s="28">
        <v>388504000</v>
      </c>
      <c r="U7206" s="28">
        <v>34329000</v>
      </c>
      <c r="V7206" s="28">
        <v>53227000</v>
      </c>
      <c r="W7206" s="28"/>
      <c r="X7206" s="28">
        <v>1994000</v>
      </c>
      <c r="Y7206" s="28">
        <v>1226972000</v>
      </c>
      <c r="Z7206" s="28">
        <v>-2097768000</v>
      </c>
      <c r="AA7206" s="28">
        <v>657218000</v>
      </c>
      <c r="AB7206" s="28"/>
      <c r="AC7206" s="28">
        <v>990854000</v>
      </c>
      <c r="AD7206" s="28">
        <v>-429187000</v>
      </c>
      <c r="AE7206" s="28">
        <v>6134432000</v>
      </c>
      <c r="AF7206" s="28">
        <v>-187523000</v>
      </c>
      <c r="AG7206" s="11"/>
    </row>
    <row r="7207">
      <c r="A7207" s="7" t="s">
        <v>8763</v>
      </c>
      <c r="B7207" s="5" t="s">
        <v>16688</v>
      </c>
      <c r="C7207" s="5" t="s">
        <v>24304</v>
      </c>
      <c r="D7207" s="5" t="str">
        <v>590701995570</v>
      </c>
      <c r="F7207" s="5"/>
      <c r="G7207" s="5"/>
      <c r="H7207" s="26">
        <v>11.5</v>
      </c>
      <c r="I7207" s="5" t="s">
        <v>46242</v>
      </c>
      <c r="J7207" s="5" t="s">
        <v>641</v>
      </c>
      <c r="K7207" s="5" t="s">
        <v>344</v>
      </c>
      <c r="L7207" s="5" t="s">
        <v>46243</v>
      </c>
      <c r="M7207" s="27">
        <v>1479141</v>
      </c>
      <c r="N7207" s="5" t="s">
        <v>60074</v>
      </c>
      <c r="O7207" s="5" t="str">
        <v>5908049024</v>
      </c>
      <c r="P7207" s="27">
        <v>10000</v>
      </c>
      <c r="Q7207" s="5" t="s">
        <v>60075</v>
      </c>
      <c r="R7207" s="5"/>
      <c r="S7207" s="5" t="s">
        <v>49047</v>
      </c>
      <c r="T7207" s="28">
        <v>966000</v>
      </c>
      <c r="U7207" s="28"/>
      <c r="V7207" s="28">
        <v>2361770000</v>
      </c>
      <c r="W7207" s="28"/>
      <c r="X7207" s="28">
        <v>10571000</v>
      </c>
      <c r="Y7207" s="28">
        <v>3605573000</v>
      </c>
      <c r="Z7207" s="28">
        <v>1660390000</v>
      </c>
      <c r="AA7207" s="28"/>
      <c r="AB7207" s="28">
        <v>538600000</v>
      </c>
      <c r="AC7207" s="28">
        <v>1945173000</v>
      </c>
      <c r="AD7207" s="28">
        <v>1660400000</v>
      </c>
      <c r="AE7207" s="28">
        <v>3405753000</v>
      </c>
      <c r="AF7207" s="28">
        <v>5464000</v>
      </c>
      <c r="AG7207" s="11"/>
    </row>
    <row r="7208">
      <c r="A7208" s="7" t="s">
        <v>8764</v>
      </c>
      <c r="B7208" s="5" t="s">
        <v>16091</v>
      </c>
      <c r="C7208" s="5" t="s">
        <v>24305</v>
      </c>
      <c r="D7208" s="5" t="str">
        <v>503603699733</v>
      </c>
      <c r="E7208" s="0" t="e">
        <f>+7 (495) 9871000
+7 (495) 2235858</f>
        <v>#NAME?</v>
      </c>
      <c r="F7208" s="5" t="s">
        <v>46244</v>
      </c>
      <c r="G7208" s="5" t="s">
        <v>46245</v>
      </c>
      <c r="H7208" s="26">
        <v>17.5</v>
      </c>
      <c r="I7208" s="5" t="s">
        <v>46246</v>
      </c>
      <c r="J7208" s="5" t="s">
        <v>26846</v>
      </c>
      <c r="K7208" s="5" t="s">
        <v>344</v>
      </c>
      <c r="L7208" s="5" t="s">
        <v>46247</v>
      </c>
      <c r="M7208" s="27"/>
      <c r="N7208" s="5"/>
      <c r="O7208" s="5" t="str">
        <v>7727548378</v>
      </c>
      <c r="P7208" s="27">
        <v>31187500</v>
      </c>
      <c r="Q7208" s="5" t="s">
        <v>49021</v>
      </c>
      <c r="R7208" s="5"/>
      <c r="S7208" s="5" t="s">
        <v>60076</v>
      </c>
      <c r="T7208" s="28">
        <v>54973000</v>
      </c>
      <c r="U7208" s="28">
        <v>254300000</v>
      </c>
      <c r="V7208" s="28">
        <v>1639952000</v>
      </c>
      <c r="W7208" s="28">
        <v>138558000</v>
      </c>
      <c r="X7208" s="28">
        <v>65700000</v>
      </c>
      <c r="Y7208" s="28">
        <v>2266820000</v>
      </c>
      <c r="Z7208" s="28">
        <v>1715028000</v>
      </c>
      <c r="AA7208" s="28">
        <v>374995000</v>
      </c>
      <c r="AB7208" s="28">
        <v>32255000</v>
      </c>
      <c r="AC7208" s="28">
        <v>130071000</v>
      </c>
      <c r="AD7208" s="28">
        <v>1746215000</v>
      </c>
      <c r="AE7208" s="28">
        <v>5472862000</v>
      </c>
      <c r="AF7208" s="28">
        <v>210212000</v>
      </c>
      <c r="AG7208" s="11"/>
    </row>
    <row r="7209">
      <c r="A7209" s="7" t="s">
        <v>8765</v>
      </c>
      <c r="B7209" s="5" t="s">
        <v>16689</v>
      </c>
      <c r="C7209" s="5" t="s">
        <v>24306</v>
      </c>
      <c r="D7209" s="5" t="str">
        <v>780712396909</v>
      </c>
      <c r="E7209" s="0" t="e">
        <f>+7 (812) 3344385
+7 (812) 3344386
+7 (812) 3444385
+7 (81375) 70258
+7 (81375) 70571
+7 (81375) 70911
+7 (81375) 71026
+7 (911) 9530866</f>
        <v>#NAME?</v>
      </c>
      <c r="F7209" s="5" t="s">
        <v>46248</v>
      </c>
      <c r="G7209" s="5"/>
      <c r="H7209" s="26">
        <v>13.5</v>
      </c>
      <c r="I7209" s="5" t="s">
        <v>46249</v>
      </c>
      <c r="J7209" s="5" t="s">
        <v>26905</v>
      </c>
      <c r="K7209" s="5" t="s">
        <v>344</v>
      </c>
      <c r="L7209" s="5" t="s">
        <v>46250</v>
      </c>
      <c r="M7209" s="27">
        <v>426426563</v>
      </c>
      <c r="N7209" s="5"/>
      <c r="O7209" s="5" t="str">
        <v>7810565869</v>
      </c>
      <c r="P7209" s="27">
        <v>16670</v>
      </c>
      <c r="Q7209" s="5" t="s">
        <v>49009</v>
      </c>
      <c r="R7209" s="5"/>
      <c r="S7209" s="5" t="s">
        <v>49576</v>
      </c>
      <c r="T7209" s="28">
        <v>38620936000</v>
      </c>
      <c r="U7209" s="28">
        <v>3000</v>
      </c>
      <c r="V7209" s="28">
        <v>1749726000</v>
      </c>
      <c r="W7209" s="28"/>
      <c r="X7209" s="28">
        <v>3298617000</v>
      </c>
      <c r="Y7209" s="28">
        <v>49488944000</v>
      </c>
      <c r="Z7209" s="28">
        <v>6463110000</v>
      </c>
      <c r="AA7209" s="28">
        <v>26669212000</v>
      </c>
      <c r="AB7209" s="28">
        <v>3910033000</v>
      </c>
      <c r="AC7209" s="28">
        <v>11533486000</v>
      </c>
      <c r="AD7209" s="28">
        <v>8388359000</v>
      </c>
      <c r="AE7209" s="28">
        <v>13780132000</v>
      </c>
      <c r="AF7209" s="28">
        <v>5319084000</v>
      </c>
      <c r="AG7209" s="11"/>
    </row>
    <row r="7210">
      <c r="A7210" s="7" t="s">
        <v>8766</v>
      </c>
      <c r="B7210" s="5" t="s">
        <v>16690</v>
      </c>
      <c r="C7210" s="5" t="s">
        <v>20110</v>
      </c>
      <c r="D7210" s="5"/>
      <c r="E7210" s="0" t="e">
        <f>+7 (84245) 21553
+7 (384) 2231096
+7 (384) 2453310
+7 (84245) 31090
+7 (842) 4521845
+7 (84245) 31044
+7 (84245) 31045
+7 (84245) 31053
+7 (84245) 31084
+7 (84245) 31096
+7 (84245) 31131
+7 (84245) 31230
+7 (84245) 31498
+7 (84245) 31650</f>
        <v>#NAME?</v>
      </c>
      <c r="F7210" s="5" t="s">
        <v>46251</v>
      </c>
      <c r="G7210" s="5" t="s">
        <v>46252</v>
      </c>
      <c r="H7210" s="26">
        <v>27</v>
      </c>
      <c r="I7210" s="5"/>
      <c r="J7210" s="5" t="s">
        <v>25994</v>
      </c>
      <c r="K7210" s="5" t="s">
        <v>344</v>
      </c>
      <c r="L7210" s="5" t="s">
        <v>46253</v>
      </c>
      <c r="M7210" s="27">
        <v>145171632</v>
      </c>
      <c r="N7210" s="5" t="s">
        <v>60077</v>
      </c>
      <c r="O7210" s="5" t="str">
        <v>7322002100</v>
      </c>
      <c r="P7210" s="27">
        <v>13214656</v>
      </c>
      <c r="Q7210" s="5"/>
      <c r="R7210" s="5"/>
      <c r="S7210" s="5" t="s">
        <v>49110</v>
      </c>
      <c r="T7210" s="28">
        <v>570297000</v>
      </c>
      <c r="U7210" s="28"/>
      <c r="V7210" s="28">
        <v>250816000</v>
      </c>
      <c r="W7210" s="28"/>
      <c r="X7210" s="28">
        <v>181903000</v>
      </c>
      <c r="Y7210" s="28">
        <v>2754372000</v>
      </c>
      <c r="Z7210" s="28">
        <v>775536000</v>
      </c>
      <c r="AA7210" s="28"/>
      <c r="AB7210" s="28"/>
      <c r="AC7210" s="28">
        <v>1943092000</v>
      </c>
      <c r="AD7210" s="28">
        <v>802621000</v>
      </c>
      <c r="AE7210" s="28">
        <v>3398120000</v>
      </c>
      <c r="AF7210" s="28">
        <v>623159000</v>
      </c>
      <c r="AG7210" s="11"/>
    </row>
    <row r="7211">
      <c r="A7211" s="7" t="s">
        <v>8767</v>
      </c>
      <c r="B7211" s="5" t="s">
        <v>16691</v>
      </c>
      <c r="C7211" s="5" t="s">
        <v>24307</v>
      </c>
      <c r="D7211" s="5" t="str">
        <v>632139230217</v>
      </c>
      <c r="E7211" s="0" t="e">
        <f>+7 (8422) 225566
+7 (8422) 229233
+7 (8422) 235689
+7 (8422) 252815
+7 (8422) 256987
+7 (8422) 272269
+7 (8422) 344594
+7 (8422) 348333
+7 (8422) 349345
+7 (8422) 201240
+7 (8422) 345333
+7 (8422) 349330
+7 (8422) 349336
+7 (8422) 349393
+7 (8422) 349423</f>
        <v>#NAME?</v>
      </c>
      <c r="F7211" s="5" t="s">
        <v>46254</v>
      </c>
      <c r="G7211" s="5" t="s">
        <v>46255</v>
      </c>
      <c r="H7211" s="26">
        <v>27</v>
      </c>
      <c r="I7211" s="5"/>
      <c r="J7211" s="5" t="s">
        <v>26623</v>
      </c>
      <c r="K7211" s="5" t="s">
        <v>344</v>
      </c>
      <c r="L7211" s="5"/>
      <c r="M7211" s="27">
        <v>335279819</v>
      </c>
      <c r="N7211" s="5" t="s">
        <v>57759</v>
      </c>
      <c r="O7211" s="5" t="str">
        <v>7327012462</v>
      </c>
      <c r="P7211" s="27">
        <v>27668620</v>
      </c>
      <c r="Q7211" s="5" t="s">
        <v>60078</v>
      </c>
      <c r="R7211" s="5"/>
      <c r="S7211" s="5" t="s">
        <v>51027</v>
      </c>
      <c r="T7211" s="28">
        <v>324626000</v>
      </c>
      <c r="U7211" s="28"/>
      <c r="V7211" s="28">
        <v>3162305000</v>
      </c>
      <c r="W7211" s="28">
        <v>277627000</v>
      </c>
      <c r="X7211" s="28">
        <v>231689000</v>
      </c>
      <c r="Y7211" s="28">
        <v>4410066000</v>
      </c>
      <c r="Z7211" s="28">
        <v>602936000</v>
      </c>
      <c r="AA7211" s="28">
        <v>659976000</v>
      </c>
      <c r="AB7211" s="28">
        <v>1204348000</v>
      </c>
      <c r="AC7211" s="28">
        <v>3088961000</v>
      </c>
      <c r="AD7211" s="28">
        <v>652543000</v>
      </c>
      <c r="AE7211" s="28">
        <v>15125316000</v>
      </c>
      <c r="AF7211" s="28">
        <v>43164000</v>
      </c>
      <c r="AG7211" s="11"/>
    </row>
    <row r="7212">
      <c r="A7212" s="7" t="s">
        <v>8768</v>
      </c>
      <c r="B7212" s="5" t="s">
        <v>16692</v>
      </c>
      <c r="C7212" s="5" t="s">
        <v>24308</v>
      </c>
      <c r="D7212" s="5" t="str">
        <v>781907482703</v>
      </c>
      <c r="F7212" s="5"/>
      <c r="G7212" s="5"/>
      <c r="H7212" s="26">
        <v>7.5</v>
      </c>
      <c r="I7212" s="5" t="s">
        <v>46256</v>
      </c>
      <c r="J7212" s="5" t="s">
        <v>30657</v>
      </c>
      <c r="K7212" s="5" t="s">
        <v>355</v>
      </c>
      <c r="L7212" s="5" t="s">
        <v>46257</v>
      </c>
      <c r="M7212" s="27"/>
      <c r="N7212" s="5" t="s">
        <v>60079</v>
      </c>
      <c r="O7212" s="5" t="str">
        <v>7820045065</v>
      </c>
      <c r="P7212" s="27">
        <v>4989985</v>
      </c>
      <c r="Q7212" s="5" t="s">
        <v>58855</v>
      </c>
      <c r="R7212" s="5" t="s">
        <v>60080</v>
      </c>
      <c r="S7212" s="5" t="s">
        <v>60081</v>
      </c>
      <c r="T7212" s="28">
        <v>760569000</v>
      </c>
      <c r="U7212" s="28"/>
      <c r="V7212" s="28">
        <v>1404794000</v>
      </c>
      <c r="W7212" s="28">
        <v>14807000</v>
      </c>
      <c r="X7212" s="28">
        <v>19719000</v>
      </c>
      <c r="Y7212" s="28">
        <v>2556686000</v>
      </c>
      <c r="Z7212" s="28">
        <v>582507000</v>
      </c>
      <c r="AA7212" s="28">
        <v>423670000</v>
      </c>
      <c r="AB7212" s="28">
        <v>79566000</v>
      </c>
      <c r="AC7212" s="28">
        <v>1447805000</v>
      </c>
      <c r="AD7212" s="28">
        <v>587497000</v>
      </c>
      <c r="AE7212" s="28">
        <v>3270166000</v>
      </c>
      <c r="AF7212" s="28">
        <v>62499000</v>
      </c>
      <c r="AG7212" s="11"/>
    </row>
    <row r="7213">
      <c r="A7213" s="7" t="s">
        <v>8769</v>
      </c>
      <c r="B7213" s="5" t="s">
        <v>16693</v>
      </c>
      <c r="C7213" s="5" t="s">
        <v>24309</v>
      </c>
      <c r="D7213" s="5" t="str">
        <v>772333833140</v>
      </c>
      <c r="E7213" s="0" t="e">
        <f>+7 (916) 1374728
+7 (495) 1953424
+7 (499) 1953424
+7 (499) 1954223
+7 (499) 1954448</f>
        <v>#NAME?</v>
      </c>
      <c r="F7213" s="5" t="s">
        <v>46258</v>
      </c>
      <c r="G7213" s="5" t="s">
        <v>46259</v>
      </c>
      <c r="H7213" s="26">
        <v>29</v>
      </c>
      <c r="I7213" s="5"/>
      <c r="J7213" s="5" t="s">
        <v>27687</v>
      </c>
      <c r="K7213" s="5" t="s">
        <v>344</v>
      </c>
      <c r="L7213" s="5" t="s">
        <v>46260</v>
      </c>
      <c r="M7213" s="27"/>
      <c r="N7213" s="5" t="s">
        <v>60082</v>
      </c>
      <c r="O7213" s="5" t="str">
        <v>7714002581</v>
      </c>
      <c r="P7213" s="27">
        <v>1001000</v>
      </c>
      <c r="Q7213" s="5" t="s">
        <v>60083</v>
      </c>
      <c r="R7213" s="5" t="s">
        <v>60084</v>
      </c>
      <c r="S7213" s="5" t="s">
        <v>50630</v>
      </c>
      <c r="T7213" s="28">
        <v>223543000</v>
      </c>
      <c r="U7213" s="28"/>
      <c r="V7213" s="28">
        <v>551740000</v>
      </c>
      <c r="W7213" s="28">
        <v>125852000</v>
      </c>
      <c r="X7213" s="28">
        <v>124217000</v>
      </c>
      <c r="Y7213" s="28">
        <v>1073824000</v>
      </c>
      <c r="Z7213" s="28">
        <v>666356000</v>
      </c>
      <c r="AA7213" s="28"/>
      <c r="AB7213" s="28"/>
      <c r="AC7213" s="28">
        <v>397996000</v>
      </c>
      <c r="AD7213" s="28">
        <v>674318000</v>
      </c>
      <c r="AE7213" s="28">
        <v>3379995000</v>
      </c>
      <c r="AF7213" s="28">
        <v>137147000</v>
      </c>
      <c r="AG7213" s="11"/>
    </row>
    <row r="7214">
      <c r="A7214" s="7" t="s">
        <v>8770</v>
      </c>
      <c r="B7214" s="5" t="s">
        <v>16694</v>
      </c>
      <c r="C7214" s="5" t="s">
        <v>24310</v>
      </c>
      <c r="D7214" s="5" t="str">
        <v>666003364280</v>
      </c>
      <c r="E7214" s="0" t="e">
        <f>+7 (343) 2741641
+7 (343) 2742242
+7 (343) 3741641
+7 (343) 3742242
+7 (343) 3836711
+7 (343) 3836723
+7 (343) 3836738
+7 (343) 3836754</f>
        <v>#NAME?</v>
      </c>
      <c r="F7214" s="5" t="s">
        <v>46261</v>
      </c>
      <c r="G7214" s="5" t="s">
        <v>46262</v>
      </c>
      <c r="H7214" s="26">
        <v>30</v>
      </c>
      <c r="I7214" s="5"/>
      <c r="J7214" s="5" t="s">
        <v>445</v>
      </c>
      <c r="K7214" s="5" t="s">
        <v>344</v>
      </c>
      <c r="L7214" s="5" t="s">
        <v>46263</v>
      </c>
      <c r="M7214" s="27">
        <v>292000</v>
      </c>
      <c r="N7214" s="5" t="s">
        <v>60085</v>
      </c>
      <c r="O7214" s="5" t="str">
        <v>6660000590</v>
      </c>
      <c r="P7214" s="27">
        <v>27200</v>
      </c>
      <c r="Q7214" s="5" t="s">
        <v>60086</v>
      </c>
      <c r="R7214" s="5"/>
      <c r="S7214" s="5" t="s">
        <v>53903</v>
      </c>
      <c r="T7214" s="28">
        <v>611474000</v>
      </c>
      <c r="U7214" s="28"/>
      <c r="V7214" s="28">
        <v>964316000</v>
      </c>
      <c r="W7214" s="28"/>
      <c r="X7214" s="28">
        <v>3176590000</v>
      </c>
      <c r="Y7214" s="28">
        <v>7584060000</v>
      </c>
      <c r="Z7214" s="28">
        <v>5444896000</v>
      </c>
      <c r="AA7214" s="28"/>
      <c r="AB7214" s="28"/>
      <c r="AC7214" s="28">
        <v>1953731000</v>
      </c>
      <c r="AD7214" s="28">
        <v>5586050000</v>
      </c>
      <c r="AE7214" s="28">
        <v>8688469000</v>
      </c>
      <c r="AF7214" s="28">
        <v>1684664000</v>
      </c>
      <c r="AG7214" s="11"/>
    </row>
    <row r="7215">
      <c r="A7215" s="7" t="s">
        <v>8771</v>
      </c>
      <c r="B7215" s="5" t="s">
        <v>16695</v>
      </c>
      <c r="C7215" s="5"/>
      <c r="D7215" s="5"/>
      <c r="E7215" s="0" t="e">
        <f>+7 (482) 2320051
+7 (482) 2324717
+7 (482) 2326814
+7 (842) 2796444
+7 (8422) 320051
+7 (8422) 323575
+7 (8422) 324717
+7 (8422) 329052
+7 (8422) 358236
+7 (8422) 358242
+7 (8422) 358621
+7 (8422) 796062
+7 (8422) 796088
+7 (8422) 796440
+7 (8422) 796750</f>
        <v>#NAME?</v>
      </c>
      <c r="F7215" s="5" t="s">
        <v>46264</v>
      </c>
      <c r="G7215" s="5"/>
      <c r="H7215" s="26">
        <v>17.5</v>
      </c>
      <c r="I7215" s="5"/>
      <c r="J7215" s="5" t="s">
        <v>46265</v>
      </c>
      <c r="K7215" s="5" t="s">
        <v>344</v>
      </c>
      <c r="L7215" s="5"/>
      <c r="M7215" s="27"/>
      <c r="N7215" s="5"/>
      <c r="O7215" s="5" t="str">
        <v>7326024874</v>
      </c>
      <c r="P7215" s="27">
        <v>25000000</v>
      </c>
      <c r="Q7215" s="5"/>
      <c r="R7215" s="5" t="s">
        <v>60087</v>
      </c>
      <c r="S7215" s="5" t="s">
        <v>49160</v>
      </c>
      <c r="T7215" s="28">
        <v>1197702000</v>
      </c>
      <c r="U7215" s="28"/>
      <c r="V7215" s="28">
        <v>424087000</v>
      </c>
      <c r="W7215" s="28"/>
      <c r="X7215" s="28">
        <v>178849000</v>
      </c>
      <c r="Y7215" s="28">
        <v>2853681000</v>
      </c>
      <c r="Z7215" s="28">
        <v>-724803000</v>
      </c>
      <c r="AA7215" s="28"/>
      <c r="AB7215" s="28">
        <v>833875000</v>
      </c>
      <c r="AC7215" s="28">
        <v>2693686000</v>
      </c>
      <c r="AD7215" s="28">
        <v>-359781000</v>
      </c>
      <c r="AE7215" s="28">
        <v>6029683000</v>
      </c>
      <c r="AF7215" s="28">
        <v>261217000</v>
      </c>
      <c r="AG7215" s="11"/>
    </row>
    <row r="7216">
      <c r="A7216" s="7" t="s">
        <v>8772</v>
      </c>
      <c r="B7216" s="5" t="s">
        <v>16696</v>
      </c>
      <c r="C7216" s="5" t="s">
        <v>24311</v>
      </c>
      <c r="D7216" s="5" t="str">
        <v>519048260807</v>
      </c>
      <c r="E7216" s="0" t="e">
        <f>+7 (495) 7282302
+7 (495) 7576704
+7 (495) 7579591</f>
        <v>#NAME?</v>
      </c>
      <c r="F7216" s="5" t="s">
        <v>46266</v>
      </c>
      <c r="G7216" s="5" t="s">
        <v>46267</v>
      </c>
      <c r="H7216" s="26">
        <v>28.5</v>
      </c>
      <c r="I7216" s="5" t="s">
        <v>46268</v>
      </c>
      <c r="J7216" s="5" t="s">
        <v>34655</v>
      </c>
      <c r="K7216" s="5" t="s">
        <v>355</v>
      </c>
      <c r="L7216" s="5" t="s">
        <v>629</v>
      </c>
      <c r="M7216" s="27"/>
      <c r="N7216" s="5"/>
      <c r="O7216" s="5" t="str">
        <v>7734021590</v>
      </c>
      <c r="P7216" s="27">
        <v>7850</v>
      </c>
      <c r="Q7216" s="5"/>
      <c r="R7216" s="5"/>
      <c r="S7216" s="5" t="s">
        <v>49110</v>
      </c>
      <c r="T7216" s="28">
        <v>3387256000</v>
      </c>
      <c r="U7216" s="28"/>
      <c r="V7216" s="28">
        <v>1108110000</v>
      </c>
      <c r="W7216" s="28"/>
      <c r="X7216" s="28">
        <v>10354840000</v>
      </c>
      <c r="Y7216" s="28">
        <v>14850206000</v>
      </c>
      <c r="Z7216" s="28"/>
      <c r="AA7216" s="28"/>
      <c r="AB7216" s="28"/>
      <c r="AC7216" s="28">
        <v>2515386000</v>
      </c>
      <c r="AD7216" s="28">
        <v>12334820000</v>
      </c>
      <c r="AE7216" s="28">
        <v>38113345000</v>
      </c>
      <c r="AF7216" s="28">
        <v>-3911562000</v>
      </c>
      <c r="AG7216" s="11"/>
    </row>
    <row r="7217">
      <c r="A7217" s="7" t="s">
        <v>8773</v>
      </c>
      <c r="B7217" s="5" t="s">
        <v>16697</v>
      </c>
      <c r="C7217" s="5" t="s">
        <v>24312</v>
      </c>
      <c r="D7217" s="5" t="str">
        <v>505201082503</v>
      </c>
      <c r="E7217" s="0" t="e">
        <f>+7 (346) 2367111
+7 (3512) 311190
+7 (473) 2605369
+7 (485) 2370083
+7 (48731) 57082
+7 (48731) 57083
+7 (48731) 57084
+7 (48731) 57085
+7 (48731) 57088
+7 (48731) 57090
+7 (48731) 57092
+7 (48731) 57093
+7 (48731) 57094
+7 (48731) 57454
+7 (48731) 90474</f>
        <v>#NAME?</v>
      </c>
      <c r="F7217" s="5" t="s">
        <v>46269</v>
      </c>
      <c r="G7217" s="5" t="s">
        <v>46270</v>
      </c>
      <c r="H7217" s="26">
        <v>13.5</v>
      </c>
      <c r="I7217" s="5" t="s">
        <v>46271</v>
      </c>
      <c r="J7217" s="5" t="s">
        <v>25499</v>
      </c>
      <c r="K7217" s="5" t="s">
        <v>344</v>
      </c>
      <c r="L7217" s="5" t="s">
        <v>46272</v>
      </c>
      <c r="M7217" s="27"/>
      <c r="N7217" s="5"/>
      <c r="O7217" s="5" t="str">
        <v>7117501259</v>
      </c>
      <c r="P7217" s="27">
        <v>45010000</v>
      </c>
      <c r="Q7217" s="5" t="s">
        <v>49009</v>
      </c>
      <c r="R7217" s="5" t="s">
        <v>60088</v>
      </c>
      <c r="S7217" s="5" t="s">
        <v>49028</v>
      </c>
      <c r="T7217" s="28">
        <v>492653000</v>
      </c>
      <c r="U7217" s="28">
        <v>50000</v>
      </c>
      <c r="V7217" s="28">
        <v>112889000</v>
      </c>
      <c r="W7217" s="28"/>
      <c r="X7217" s="28">
        <v>136514000</v>
      </c>
      <c r="Y7217" s="28">
        <v>1022723000</v>
      </c>
      <c r="Z7217" s="28">
        <v>561710000</v>
      </c>
      <c r="AA7217" s="28">
        <v>10354000</v>
      </c>
      <c r="AB7217" s="28">
        <v>185000000</v>
      </c>
      <c r="AC7217" s="28">
        <v>387859000</v>
      </c>
      <c r="AD7217" s="28">
        <v>610260000</v>
      </c>
      <c r="AE7217" s="28">
        <v>3913921000</v>
      </c>
      <c r="AF7217" s="28">
        <v>229611000</v>
      </c>
      <c r="AG7217" s="11"/>
    </row>
    <row r="7218">
      <c r="A7218" s="7" t="s">
        <v>8773</v>
      </c>
      <c r="B7218" s="5" t="s">
        <v>16698</v>
      </c>
      <c r="C7218" s="5" t="s">
        <v>24313</v>
      </c>
      <c r="D7218" s="5" t="str">
        <v>744406738802</v>
      </c>
      <c r="E7218" s="0" t="e">
        <f>+7 (3519) 444989
+7 (3519) 490182
+7 (3519) 517015
+7 (3519) 580012
+7 (3519) 580013
+7 (908) 809880
+7 (908) 872244</f>
        <v>#NAME?</v>
      </c>
      <c r="F7218" s="5" t="s">
        <v>46273</v>
      </c>
      <c r="G7218" s="5" t="s">
        <v>46274</v>
      </c>
      <c r="H7218" s="26">
        <v>16.5</v>
      </c>
      <c r="I7218" s="5" t="s">
        <v>46275</v>
      </c>
      <c r="J7218" s="5" t="s">
        <v>445</v>
      </c>
      <c r="K7218" s="5" t="s">
        <v>355</v>
      </c>
      <c r="L7218" s="5" t="s">
        <v>46276</v>
      </c>
      <c r="M7218" s="27"/>
      <c r="N7218" s="5" t="s">
        <v>60089</v>
      </c>
      <c r="O7218" s="5" t="str">
        <v>7444048751</v>
      </c>
      <c r="P7218" s="27">
        <v>60000000</v>
      </c>
      <c r="Q7218" s="5" t="s">
        <v>60090</v>
      </c>
      <c r="R7218" s="5"/>
      <c r="S7218" s="5" t="s">
        <v>49012</v>
      </c>
      <c r="T7218" s="28">
        <v>650911000</v>
      </c>
      <c r="U7218" s="28"/>
      <c r="V7218" s="28">
        <v>2195017000</v>
      </c>
      <c r="W7218" s="28">
        <v>2293000</v>
      </c>
      <c r="X7218" s="28">
        <v>48936000</v>
      </c>
      <c r="Y7218" s="28">
        <v>4225416000</v>
      </c>
      <c r="Z7218" s="28">
        <v>1191915000</v>
      </c>
      <c r="AA7218" s="28">
        <v>501440000</v>
      </c>
      <c r="AB7218" s="28">
        <v>560999000</v>
      </c>
      <c r="AC7218" s="28">
        <v>2385160000</v>
      </c>
      <c r="AD7218" s="28">
        <v>1251915000</v>
      </c>
      <c r="AE7218" s="28">
        <v>10759236000</v>
      </c>
      <c r="AF7218" s="28">
        <v>439600000</v>
      </c>
      <c r="AG7218" s="11"/>
    </row>
    <row r="7219">
      <c r="A7219" s="7" t="s">
        <v>8774</v>
      </c>
      <c r="B7219" s="5" t="s">
        <v>16699</v>
      </c>
      <c r="C7219" s="5" t="s">
        <v>24314</v>
      </c>
      <c r="D7219" s="5" t="str">
        <v>663201189243</v>
      </c>
      <c r="E7219" s="0" t="e">
        <f>+7 (34368) 98090
+7 (34368) 98542
+7 (34368) 98544
+7 (34368) 98566
+7 (34368) 98571
+7 (34368) 98585
+7 (345) 2532880
+7 (345) 2532888
+7 (345) 2532906
+7 (345) 2535521</f>
        <v>#NAME?</v>
      </c>
      <c r="F7219" s="5" t="s">
        <v>46277</v>
      </c>
      <c r="G7219" s="5"/>
      <c r="H7219" s="26">
        <v>17.5</v>
      </c>
      <c r="I7219" s="5" t="s">
        <v>46278</v>
      </c>
      <c r="J7219" s="5" t="s">
        <v>31212</v>
      </c>
      <c r="K7219" s="5" t="s">
        <v>344</v>
      </c>
      <c r="L7219" s="5"/>
      <c r="M7219" s="27"/>
      <c r="N7219" s="5" t="s">
        <v>60091</v>
      </c>
      <c r="O7219" s="5" t="str">
        <v>6606021264</v>
      </c>
      <c r="P7219" s="27">
        <v>909456157</v>
      </c>
      <c r="Q7219" s="5" t="s">
        <v>60092</v>
      </c>
      <c r="R7219" s="5"/>
      <c r="S7219" s="5" t="s">
        <v>60093</v>
      </c>
      <c r="T7219" s="28">
        <v>15789016000</v>
      </c>
      <c r="U7219" s="28">
        <v>418004000</v>
      </c>
      <c r="V7219" s="28">
        <v>6109901000</v>
      </c>
      <c r="W7219" s="28"/>
      <c r="X7219" s="28">
        <v>1068038000</v>
      </c>
      <c r="Y7219" s="28">
        <v>31415483000</v>
      </c>
      <c r="Z7219" s="28">
        <v>-17839179000</v>
      </c>
      <c r="AA7219" s="28">
        <v>4050000000</v>
      </c>
      <c r="AB7219" s="28">
        <v>5425203000</v>
      </c>
      <c r="AC7219" s="28">
        <v>14346782000</v>
      </c>
      <c r="AD7219" s="28">
        <v>12245830000</v>
      </c>
      <c r="AE7219" s="28">
        <v>61360657000</v>
      </c>
      <c r="AF7219" s="28">
        <v>1493098000</v>
      </c>
      <c r="AG7219" s="11"/>
    </row>
    <row r="7220">
      <c r="A7220" s="7" t="s">
        <v>8775</v>
      </c>
      <c r="B7220" s="5" t="s">
        <v>16700</v>
      </c>
      <c r="C7220" s="5" t="s">
        <v>24315</v>
      </c>
      <c r="D7220" s="5"/>
      <c r="E7220" s="0" t="e">
        <f>+7 (343) 2764082
+7 (343) 2764092
+7 (343) 3764082
+7 (343) 3764087
+7 (343) 3764092
+7 (3432) 514473</f>
        <v>#NAME?</v>
      </c>
      <c r="F7220" s="5" t="s">
        <v>46279</v>
      </c>
      <c r="G7220" s="5" t="s">
        <v>46280</v>
      </c>
      <c r="H7220" s="26">
        <v>32</v>
      </c>
      <c r="I7220" s="5"/>
      <c r="J7220" s="5" t="s">
        <v>364</v>
      </c>
      <c r="K7220" s="5" t="s">
        <v>344</v>
      </c>
      <c r="L7220" s="5" t="s">
        <v>44470</v>
      </c>
      <c r="M7220" s="27">
        <v>1840250</v>
      </c>
      <c r="N7220" s="5" t="s">
        <v>54281</v>
      </c>
      <c r="O7220" s="5" t="str">
        <v>6661001614</v>
      </c>
      <c r="P7220" s="27">
        <v>130351000</v>
      </c>
      <c r="Q7220" s="5" t="s">
        <v>60094</v>
      </c>
      <c r="R7220" s="5"/>
      <c r="S7220" s="5" t="s">
        <v>60095</v>
      </c>
      <c r="T7220" s="28">
        <v>72064000</v>
      </c>
      <c r="U7220" s="28"/>
      <c r="V7220" s="28">
        <v>1529568000</v>
      </c>
      <c r="W7220" s="28"/>
      <c r="X7220" s="28">
        <v>413629000</v>
      </c>
      <c r="Y7220" s="28">
        <v>3333820000</v>
      </c>
      <c r="Z7220" s="28">
        <v>485848000</v>
      </c>
      <c r="AA7220" s="28"/>
      <c r="AB7220" s="28">
        <v>37500000</v>
      </c>
      <c r="AC7220" s="28">
        <v>2538088000</v>
      </c>
      <c r="AD7220" s="28">
        <v>766199000</v>
      </c>
      <c r="AE7220" s="28">
        <v>5834165000</v>
      </c>
      <c r="AF7220" s="28">
        <v>294979000</v>
      </c>
      <c r="AG7220" s="11"/>
    </row>
    <row r="7221">
      <c r="A7221" s="7" t="s">
        <v>8776</v>
      </c>
      <c r="B7221" s="5" t="s">
        <v>16701</v>
      </c>
      <c r="C7221" s="5" t="s">
        <v>24316</v>
      </c>
      <c r="D7221" s="5" t="str">
        <v>440703904912</v>
      </c>
      <c r="F7221" s="5" t="s">
        <v>46281</v>
      </c>
      <c r="G7221" s="5"/>
      <c r="H7221" s="26">
        <v>5.5</v>
      </c>
      <c r="I7221" s="5"/>
      <c r="J7221" s="5" t="s">
        <v>35646</v>
      </c>
      <c r="K7221" s="5" t="s">
        <v>344</v>
      </c>
      <c r="L7221" s="5"/>
      <c r="M7221" s="27">
        <v>2615440</v>
      </c>
      <c r="N7221" s="5"/>
      <c r="O7221" s="5" t="str">
        <v>7811657720</v>
      </c>
      <c r="P7221" s="27">
        <v>1110000</v>
      </c>
      <c r="Q7221" s="5" t="s">
        <v>49009</v>
      </c>
      <c r="R7221" s="5"/>
      <c r="S7221" s="5" t="s">
        <v>49093</v>
      </c>
      <c r="T7221" s="28">
        <v>1270857000</v>
      </c>
      <c r="U7221" s="28">
        <v>15100000</v>
      </c>
      <c r="V7221" s="28">
        <v>6020322000</v>
      </c>
      <c r="W7221" s="28">
        <v>2777600000</v>
      </c>
      <c r="X7221" s="28">
        <v>7484465000</v>
      </c>
      <c r="Y7221" s="28">
        <v>33765654000</v>
      </c>
      <c r="Z7221" s="28">
        <v>-24373620000</v>
      </c>
      <c r="AA7221" s="28"/>
      <c r="AB7221" s="28">
        <v>9163578000</v>
      </c>
      <c r="AC7221" s="28">
        <v>18775524000</v>
      </c>
      <c r="AD7221" s="28">
        <v>14292892000</v>
      </c>
      <c r="AE7221" s="28">
        <v>68189489000</v>
      </c>
      <c r="AF7221" s="28">
        <v>-10687660000</v>
      </c>
      <c r="AG7221" s="11"/>
    </row>
    <row r="7222">
      <c r="A7222" s="7" t="s">
        <v>8777</v>
      </c>
      <c r="B7222" s="5" t="s">
        <v>16702</v>
      </c>
      <c r="C7222" s="5" t="s">
        <v>23539</v>
      </c>
      <c r="D7222" s="5"/>
      <c r="E7222" s="0" t="e">
        <f>+7 (424) 2550019
+7 (424) 3231072
+7 (42432) 30989
+7 (42432) 31442</f>
        <v>#NAME?</v>
      </c>
      <c r="F7222" s="5"/>
      <c r="G7222" s="5"/>
      <c r="H7222" s="26">
        <v>25</v>
      </c>
      <c r="I7222" s="5" t="s">
        <v>46282</v>
      </c>
      <c r="J7222" s="5" t="s">
        <v>26905</v>
      </c>
      <c r="K7222" s="5" t="s">
        <v>344</v>
      </c>
      <c r="L7222" s="5"/>
      <c r="M7222" s="27">
        <v>13690608</v>
      </c>
      <c r="N7222" s="5" t="s">
        <v>60096</v>
      </c>
      <c r="O7222" s="5" t="str">
        <v>6508005948</v>
      </c>
      <c r="P7222" s="27">
        <v>10000</v>
      </c>
      <c r="Q7222" s="5"/>
      <c r="R7222" s="5"/>
      <c r="S7222" s="5" t="s">
        <v>49047</v>
      </c>
      <c r="T7222" s="28">
        <v>2865342000</v>
      </c>
      <c r="U7222" s="28"/>
      <c r="V7222" s="28">
        <v>1559884000</v>
      </c>
      <c r="W7222" s="28"/>
      <c r="X7222" s="28">
        <v>25106000</v>
      </c>
      <c r="Y7222" s="28">
        <v>5044881000</v>
      </c>
      <c r="Z7222" s="28">
        <v>1287687000</v>
      </c>
      <c r="AA7222" s="28">
        <v>625125000</v>
      </c>
      <c r="AB7222" s="28">
        <v>499330000</v>
      </c>
      <c r="AC7222" s="28">
        <v>1565265000</v>
      </c>
      <c r="AD7222" s="28">
        <v>2285714000</v>
      </c>
      <c r="AE7222" s="28">
        <v>5661976000</v>
      </c>
      <c r="AF7222" s="28">
        <v>436782000</v>
      </c>
      <c r="AG7222" s="11"/>
    </row>
    <row r="7223">
      <c r="A7223" s="7" t="s">
        <v>8778</v>
      </c>
      <c r="B7223" s="5" t="s">
        <v>16703</v>
      </c>
      <c r="C7223" s="5" t="s">
        <v>24317</v>
      </c>
      <c r="D7223" s="5"/>
      <c r="E7223" s="0" t="e">
        <f>+7 (48356) 91664
+7 (48356) 91176
+7 (48356) 91704
+7 (48356) 97004
+7 (495) 7821516
+7 (846) 9313889
+7 (926) 7172092</f>
        <v>#NAME?</v>
      </c>
      <c r="F7223" s="5" t="s">
        <v>46283</v>
      </c>
      <c r="G7223" s="5" t="s">
        <v>46284</v>
      </c>
      <c r="H7223" s="26">
        <v>24.5</v>
      </c>
      <c r="I7223" s="5"/>
      <c r="J7223" s="5" t="s">
        <v>27917</v>
      </c>
      <c r="K7223" s="5" t="s">
        <v>355</v>
      </c>
      <c r="L7223" s="5" t="s">
        <v>46285</v>
      </c>
      <c r="M7223" s="27"/>
      <c r="N7223" s="5"/>
      <c r="O7223" s="5" t="str">
        <v>3249004697</v>
      </c>
      <c r="P7223" s="27">
        <v>250000</v>
      </c>
      <c r="Q7223" s="5" t="s">
        <v>49579</v>
      </c>
      <c r="R7223" s="5"/>
      <c r="S7223" s="5" t="s">
        <v>60097</v>
      </c>
      <c r="T7223" s="28">
        <v>1970283000</v>
      </c>
      <c r="U7223" s="28">
        <v>163879000</v>
      </c>
      <c r="V7223" s="28">
        <v>703354000</v>
      </c>
      <c r="W7223" s="28"/>
      <c r="X7223" s="28">
        <v>120741000</v>
      </c>
      <c r="Y7223" s="28">
        <v>3309203000</v>
      </c>
      <c r="Z7223" s="28">
        <v>631092000</v>
      </c>
      <c r="AA7223" s="28">
        <v>1397777000</v>
      </c>
      <c r="AB7223" s="28">
        <v>860009000</v>
      </c>
      <c r="AC7223" s="28">
        <v>1180825000</v>
      </c>
      <c r="AD7223" s="28">
        <v>631454000</v>
      </c>
      <c r="AE7223" s="28">
        <v>4350541000</v>
      </c>
      <c r="AF7223" s="28">
        <v>190868000</v>
      </c>
      <c r="AG7223" s="11"/>
    </row>
    <row r="7224">
      <c r="A7224" s="7" t="s">
        <v>8779</v>
      </c>
      <c r="B7224" s="5" t="s">
        <v>16704</v>
      </c>
      <c r="C7224" s="5" t="s">
        <v>24318</v>
      </c>
      <c r="D7224" s="5" t="str">
        <v>781410507195</v>
      </c>
      <c r="E7224" s="0" t="e">
        <f>+7 (812) 6801999
+7 (812) 7604707
+7 (813) 7176839
+7 (81373) 21010</f>
        <v>#NAME?</v>
      </c>
      <c r="F7224" s="5" t="s">
        <v>46286</v>
      </c>
      <c r="G7224" s="5" t="s">
        <v>46287</v>
      </c>
      <c r="H7224" s="26">
        <v>16</v>
      </c>
      <c r="I7224" s="5" t="s">
        <v>46288</v>
      </c>
      <c r="J7224" s="5" t="s">
        <v>955</v>
      </c>
      <c r="K7224" s="5" t="s">
        <v>344</v>
      </c>
      <c r="L7224" s="5" t="s">
        <v>46289</v>
      </c>
      <c r="M7224" s="27"/>
      <c r="N7224" s="5"/>
      <c r="O7224" s="5" t="str">
        <v>4716027579</v>
      </c>
      <c r="P7224" s="27">
        <v>101981460</v>
      </c>
      <c r="Q7224" s="5" t="s">
        <v>49009</v>
      </c>
      <c r="R7224" s="5" t="s">
        <v>60098</v>
      </c>
      <c r="S7224" s="5" t="s">
        <v>50019</v>
      </c>
      <c r="T7224" s="28">
        <v>1644925000</v>
      </c>
      <c r="U7224" s="28">
        <v>5000000</v>
      </c>
      <c r="V7224" s="28">
        <v>2547205000</v>
      </c>
      <c r="W7224" s="28"/>
      <c r="X7224" s="28">
        <v>79127000</v>
      </c>
      <c r="Y7224" s="28">
        <v>4697615000</v>
      </c>
      <c r="Z7224" s="28">
        <v>701888000</v>
      </c>
      <c r="AA7224" s="28">
        <v>550000000</v>
      </c>
      <c r="AB7224" s="28">
        <v>45412000</v>
      </c>
      <c r="AC7224" s="28">
        <v>2260866000</v>
      </c>
      <c r="AD7224" s="28">
        <v>803869000</v>
      </c>
      <c r="AE7224" s="28">
        <v>9117758000</v>
      </c>
      <c r="AF7224" s="28">
        <v>247197000</v>
      </c>
      <c r="AG7224" s="11"/>
    </row>
    <row r="7225">
      <c r="A7225" s="7" t="s">
        <v>8780</v>
      </c>
      <c r="B7225" s="5" t="s">
        <v>16705</v>
      </c>
      <c r="C7225" s="5" t="s">
        <v>24319</v>
      </c>
      <c r="D7225" s="5" t="str">
        <v>165503106910</v>
      </c>
      <c r="E7225" s="0" t="e">
        <f>+7 (8432) 381049
+7 (474) 2480233
+7 (495) 2583428
+7 (495) 9567937
+7 (800) 3504613
+7 (8432) 411313
+7 (8435) 223456
+7 (8435) 263465
+7 (8435) 423465
+7 (8435) 623165
+7 (8435) 623265
+7 (8435) 623346
+7 (8435) 623452
+7 (8435) 623455
+7 (8432) 381490</f>
        <v>#NAME?</v>
      </c>
      <c r="F7225" s="5" t="s">
        <v>46290</v>
      </c>
      <c r="G7225" s="5"/>
      <c r="H7225" s="26">
        <v>22</v>
      </c>
      <c r="I7225" s="5" t="s">
        <v>46291</v>
      </c>
      <c r="J7225" s="5" t="s">
        <v>25429</v>
      </c>
      <c r="K7225" s="5" t="s">
        <v>344</v>
      </c>
      <c r="L7225" s="5" t="s">
        <v>46292</v>
      </c>
      <c r="M7225" s="27"/>
      <c r="N7225" s="5" t="s">
        <v>60099</v>
      </c>
      <c r="O7225" s="5" t="str">
        <v>1660049999</v>
      </c>
      <c r="P7225" s="27">
        <v>20000</v>
      </c>
      <c r="Q7225" s="5" t="s">
        <v>60100</v>
      </c>
      <c r="R7225" s="5"/>
      <c r="S7225" s="5" t="s">
        <v>60101</v>
      </c>
      <c r="T7225" s="28">
        <v>6991000</v>
      </c>
      <c r="U7225" s="28"/>
      <c r="V7225" s="28">
        <v>636534000</v>
      </c>
      <c r="W7225" s="28"/>
      <c r="X7225" s="28">
        <v>284857000</v>
      </c>
      <c r="Y7225" s="28">
        <v>1914962000</v>
      </c>
      <c r="Z7225" s="28">
        <v>957852000</v>
      </c>
      <c r="AA7225" s="28"/>
      <c r="AB7225" s="28"/>
      <c r="AC7225" s="28">
        <v>932228000</v>
      </c>
      <c r="AD7225" s="28">
        <v>957872000</v>
      </c>
      <c r="AE7225" s="28">
        <v>6657312000</v>
      </c>
      <c r="AF7225" s="28">
        <v>512054000</v>
      </c>
      <c r="AG7225" s="11"/>
    </row>
    <row r="7226">
      <c r="A7226" s="7" t="s">
        <v>8781</v>
      </c>
      <c r="B7226" s="5" t="s">
        <v>16706</v>
      </c>
      <c r="C7226" s="5" t="s">
        <v>24320</v>
      </c>
      <c r="D7226" s="5" t="str">
        <v>353001560787</v>
      </c>
      <c r="E7226" s="0" t="e">
        <f>+7 (906) 2959438
+7 (921) 5463267
+7 (81754) 21900
+7 (921) 5391651</f>
        <v>#NAME?</v>
      </c>
      <c r="F7226" s="5"/>
      <c r="G7226" s="5" t="s">
        <v>46293</v>
      </c>
      <c r="H7226" s="26">
        <v>18</v>
      </c>
      <c r="I7226" s="5" t="s">
        <v>46294</v>
      </c>
      <c r="J7226" s="5" t="s">
        <v>46295</v>
      </c>
      <c r="K7226" s="5"/>
      <c r="L7226" s="5"/>
      <c r="M7226" s="27"/>
      <c r="N7226" s="5" t="s">
        <v>51731</v>
      </c>
      <c r="O7226" s="5" t="str">
        <v>3514006180</v>
      </c>
      <c r="P7226" s="27">
        <v>10000</v>
      </c>
      <c r="Q7226" s="5" t="s">
        <v>60102</v>
      </c>
      <c r="R7226" s="5"/>
      <c r="S7226" s="5" t="s">
        <v>60103</v>
      </c>
      <c r="T7226" s="28">
        <v>4740000</v>
      </c>
      <c r="U7226" s="28"/>
      <c r="V7226" s="28">
        <v>39000</v>
      </c>
      <c r="W7226" s="28"/>
      <c r="X7226" s="28">
        <v>34000</v>
      </c>
      <c r="Y7226" s="28">
        <v>4913000</v>
      </c>
      <c r="Z7226" s="28">
        <v>1101000</v>
      </c>
      <c r="AA7226" s="28">
        <v>428000</v>
      </c>
      <c r="AB7226" s="28"/>
      <c r="AC7226" s="28">
        <v>219000</v>
      </c>
      <c r="AD7226" s="28">
        <v>4266000</v>
      </c>
      <c r="AE7226" s="28">
        <v>4661500000</v>
      </c>
      <c r="AF7226" s="28">
        <v>4656939000</v>
      </c>
      <c r="AG7226" s="11"/>
    </row>
    <row r="7227">
      <c r="A7227" s="7" t="s">
        <v>8782</v>
      </c>
      <c r="B7227" s="5" t="s">
        <v>16707</v>
      </c>
      <c r="C7227" s="5" t="s">
        <v>24321</v>
      </c>
      <c r="D7227" s="5" t="str">
        <v>690501801774</v>
      </c>
      <c r="E7227" s="0" t="e">
        <f>+7 (482) 2351915
+7 (482) 2351917
+7 (482) 2365451
+7 (482) 2446726
+7 (482) 2448032
+7 (482) 2448325
+7 (482) 2448591
+7 (482) 2448972
+7 (482) 2448995</f>
        <v>#NAME?</v>
      </c>
      <c r="F7227" s="5"/>
      <c r="G7227" s="5"/>
      <c r="H7227" s="26">
        <v>28.5</v>
      </c>
      <c r="I7227" s="5"/>
      <c r="J7227" s="5" t="s">
        <v>34912</v>
      </c>
      <c r="K7227" s="5" t="s">
        <v>344</v>
      </c>
      <c r="L7227" s="5"/>
      <c r="M7227" s="27"/>
      <c r="N7227" s="5"/>
      <c r="O7227" s="5" t="str">
        <v>6904000439</v>
      </c>
      <c r="P7227" s="27">
        <v>10672200</v>
      </c>
      <c r="Q7227" s="5"/>
      <c r="R7227" s="5"/>
      <c r="S7227" s="5" t="s">
        <v>49425</v>
      </c>
      <c r="T7227" s="28">
        <v>841166000</v>
      </c>
      <c r="U7227" s="28">
        <v>17573000</v>
      </c>
      <c r="V7227" s="28">
        <v>24199000</v>
      </c>
      <c r="W7227" s="28">
        <v>1111844000</v>
      </c>
      <c r="X7227" s="28">
        <v>53306000</v>
      </c>
      <c r="Y7227" s="28">
        <v>2567630000</v>
      </c>
      <c r="Z7227" s="28">
        <v>2206956000</v>
      </c>
      <c r="AA7227" s="28"/>
      <c r="AB7227" s="28"/>
      <c r="AC7227" s="28">
        <v>305024000</v>
      </c>
      <c r="AD7227" s="28">
        <v>2262558000</v>
      </c>
      <c r="AE7227" s="28">
        <v>4196931000</v>
      </c>
      <c r="AF7227" s="28">
        <v>213311000</v>
      </c>
      <c r="AG7227" s="11"/>
    </row>
    <row r="7228">
      <c r="A7228" s="7" t="s">
        <v>8783</v>
      </c>
      <c r="B7228" s="5" t="s">
        <v>16708</v>
      </c>
      <c r="C7228" s="5" t="s">
        <v>24322</v>
      </c>
      <c r="D7228" s="5"/>
      <c r="E7228" s="0" t="e">
        <f>+7 (812) 7021733
+7 (812) 7021730
+7 (812) 7021732
+7 (812) 7021734
+7 (921) 3979855</f>
        <v>#NAME?</v>
      </c>
      <c r="F7228" s="5" t="s">
        <v>46296</v>
      </c>
      <c r="G7228" s="5" t="s">
        <v>46297</v>
      </c>
      <c r="H7228" s="26">
        <v>24</v>
      </c>
      <c r="I7228" s="5" t="s">
        <v>46298</v>
      </c>
      <c r="J7228" s="5" t="s">
        <v>570</v>
      </c>
      <c r="K7228" s="5" t="s">
        <v>344</v>
      </c>
      <c r="L7228" s="5" t="s">
        <v>46299</v>
      </c>
      <c r="M7228" s="27">
        <v>735876</v>
      </c>
      <c r="N7228" s="5" t="s">
        <v>60104</v>
      </c>
      <c r="O7228" s="5" t="str">
        <v>7816136866</v>
      </c>
      <c r="P7228" s="27">
        <v>247900000</v>
      </c>
      <c r="Q7228" s="5" t="s">
        <v>60105</v>
      </c>
      <c r="R7228" s="5" t="s">
        <v>60106</v>
      </c>
      <c r="S7228" s="5" t="s">
        <v>51738</v>
      </c>
      <c r="T7228" s="28">
        <v>51347000</v>
      </c>
      <c r="U7228" s="28">
        <v>500000</v>
      </c>
      <c r="V7228" s="28">
        <v>497329000</v>
      </c>
      <c r="W7228" s="28">
        <v>23700000</v>
      </c>
      <c r="X7228" s="28">
        <v>414686000</v>
      </c>
      <c r="Y7228" s="28">
        <v>1511689000</v>
      </c>
      <c r="Z7228" s="28">
        <v>429578000</v>
      </c>
      <c r="AA7228" s="28"/>
      <c r="AB7228" s="28">
        <v>103726000</v>
      </c>
      <c r="AC7228" s="28">
        <v>766455000</v>
      </c>
      <c r="AD7228" s="28">
        <v>677478000</v>
      </c>
      <c r="AE7228" s="28">
        <v>3041030000</v>
      </c>
      <c r="AF7228" s="28">
        <v>113800000</v>
      </c>
      <c r="AG7228" s="11"/>
    </row>
    <row r="7229">
      <c r="A7229" s="7" t="s">
        <v>8784</v>
      </c>
      <c r="B7229" s="5" t="s">
        <v>16709</v>
      </c>
      <c r="C7229" s="5" t="s">
        <v>21018</v>
      </c>
      <c r="D7229" s="5"/>
      <c r="E7229" s="0" t="e">
        <f>+7 (41147) 42024
+7 (41147) 43874
+7 (41147) 96125
+7 (41147) 96138
+7 (41147) 96163
+7 (41147) 96242
+7 (41147) 96262
+7 (41147) 96305
+7 (41147) 96827</f>
        <v>#NAME?</v>
      </c>
      <c r="F7229" s="5" t="s">
        <v>46300</v>
      </c>
      <c r="G7229" s="5"/>
      <c r="H7229" s="26">
        <v>27.5</v>
      </c>
      <c r="I7229" s="5" t="s">
        <v>46301</v>
      </c>
      <c r="J7229" s="5" t="s">
        <v>32368</v>
      </c>
      <c r="K7229" s="5" t="s">
        <v>344</v>
      </c>
      <c r="L7229" s="5" t="s">
        <v>46302</v>
      </c>
      <c r="M7229" s="27">
        <v>51980868</v>
      </c>
      <c r="N7229" s="5" t="s">
        <v>60107</v>
      </c>
      <c r="O7229" s="5" t="str">
        <v>1434026980</v>
      </c>
      <c r="P7229" s="27">
        <v>404199</v>
      </c>
      <c r="Q7229" s="5" t="s">
        <v>60108</v>
      </c>
      <c r="R7229" s="5" t="s">
        <v>51765</v>
      </c>
      <c r="S7229" s="5" t="s">
        <v>60109</v>
      </c>
      <c r="T7229" s="28">
        <v>6769436000</v>
      </c>
      <c r="U7229" s="28">
        <v>11430805000</v>
      </c>
      <c r="V7229" s="28">
        <v>16937620000</v>
      </c>
      <c r="W7229" s="28"/>
      <c r="X7229" s="28">
        <v>357360000</v>
      </c>
      <c r="Y7229" s="28">
        <v>41639980000</v>
      </c>
      <c r="Z7229" s="28">
        <v>-2386525000</v>
      </c>
      <c r="AA7229" s="28">
        <v>19036929000</v>
      </c>
      <c r="AB7229" s="28">
        <v>1250257000</v>
      </c>
      <c r="AC7229" s="28">
        <v>5529848000</v>
      </c>
      <c r="AD7229" s="28">
        <v>15793090000</v>
      </c>
      <c r="AE7229" s="28">
        <v>48609076000</v>
      </c>
      <c r="AF7229" s="28">
        <v>7721300000</v>
      </c>
      <c r="AG7229" s="11"/>
    </row>
    <row r="7230">
      <c r="A7230" s="7" t="s">
        <v>8785</v>
      </c>
      <c r="B7230" s="5" t="s">
        <v>16710</v>
      </c>
      <c r="C7230" s="5" t="s">
        <v>24323</v>
      </c>
      <c r="D7230" s="5" t="str">
        <v>272308942061</v>
      </c>
      <c r="E7230" s="0" t="e">
        <f>+7 (421) 2749570
+7 (421) 2380916
+7 (421) 2423320
+7 (421) 2783599
+7 (499) 1120767</f>
        <v>#NAME?</v>
      </c>
      <c r="F7230" s="5" t="s">
        <v>46303</v>
      </c>
      <c r="G7230" s="5" t="s">
        <v>46304</v>
      </c>
      <c r="H7230" s="26">
        <v>22</v>
      </c>
      <c r="I7230" s="5"/>
      <c r="J7230" s="5" t="s">
        <v>25670</v>
      </c>
      <c r="K7230" s="5" t="s">
        <v>344</v>
      </c>
      <c r="L7230" s="5" t="s">
        <v>46305</v>
      </c>
      <c r="M7230" s="27">
        <v>10590062</v>
      </c>
      <c r="N7230" s="5" t="s">
        <v>60110</v>
      </c>
      <c r="O7230" s="5" t="str">
        <v>2721084628</v>
      </c>
      <c r="P7230" s="27">
        <v>675000000</v>
      </c>
      <c r="Q7230" s="5"/>
      <c r="R7230" s="5"/>
      <c r="S7230" s="5" t="s">
        <v>49195</v>
      </c>
      <c r="T7230" s="28">
        <v>507761000</v>
      </c>
      <c r="U7230" s="28"/>
      <c r="V7230" s="28">
        <v>29344702000</v>
      </c>
      <c r="W7230" s="28">
        <v>510936000</v>
      </c>
      <c r="X7230" s="28">
        <v>1143023000</v>
      </c>
      <c r="Y7230" s="28">
        <v>37792736000</v>
      </c>
      <c r="Z7230" s="28">
        <v>4576004000</v>
      </c>
      <c r="AA7230" s="28">
        <v>17663896000</v>
      </c>
      <c r="AB7230" s="28">
        <v>11656297000</v>
      </c>
      <c r="AC7230" s="28">
        <v>14945890000</v>
      </c>
      <c r="AD7230" s="28">
        <v>5048504000</v>
      </c>
      <c r="AE7230" s="28">
        <v>5374831000</v>
      </c>
      <c r="AF7230" s="28">
        <v>1774993000</v>
      </c>
      <c r="AG7230" s="11"/>
    </row>
    <row r="7231">
      <c r="A7231" s="7" t="s">
        <v>8786</v>
      </c>
      <c r="B7231" s="5" t="s">
        <v>16711</v>
      </c>
      <c r="C7231" s="5" t="s">
        <v>24324</v>
      </c>
      <c r="D7231" s="5" t="str">
        <v>420513194757</v>
      </c>
      <c r="E7231" s="0" t="e">
        <f>+7 (384) 2640323
+7 (913) 2831197
+7 (923) 6069696
+7 (384) 2462109
+7 (384) 2462122
+7 (384) 2640354</f>
        <v>#NAME?</v>
      </c>
      <c r="F7231" s="5" t="s">
        <v>46306</v>
      </c>
      <c r="G7231" s="5"/>
      <c r="H7231" s="26">
        <v>10</v>
      </c>
      <c r="I7231" s="5" t="s">
        <v>46307</v>
      </c>
      <c r="J7231" s="5" t="s">
        <v>25219</v>
      </c>
      <c r="K7231" s="5" t="s">
        <v>344</v>
      </c>
      <c r="L7231" s="5" t="s">
        <v>46308</v>
      </c>
      <c r="M7231" s="27">
        <v>63210</v>
      </c>
      <c r="N7231" s="5" t="s">
        <v>60111</v>
      </c>
      <c r="O7231" s="5" t="str">
        <v>4205259611</v>
      </c>
      <c r="P7231" s="27">
        <v>49750000</v>
      </c>
      <c r="Q7231" s="5" t="s">
        <v>49059</v>
      </c>
      <c r="R7231" s="5"/>
      <c r="S7231" s="5" t="s">
        <v>54639</v>
      </c>
      <c r="T7231" s="28">
        <v>1579690000</v>
      </c>
      <c r="U7231" s="28"/>
      <c r="V7231" s="28">
        <v>66610000</v>
      </c>
      <c r="W7231" s="28">
        <v>44000000</v>
      </c>
      <c r="X7231" s="28">
        <v>119800000</v>
      </c>
      <c r="Y7231" s="28">
        <v>2688998000</v>
      </c>
      <c r="Z7231" s="28">
        <v>488373000</v>
      </c>
      <c r="AA7231" s="28"/>
      <c r="AB7231" s="28">
        <v>447891000</v>
      </c>
      <c r="AC7231" s="28">
        <v>1267236000</v>
      </c>
      <c r="AD7231" s="28">
        <v>538123000</v>
      </c>
      <c r="AE7231" s="28">
        <v>8446621000</v>
      </c>
      <c r="AF7231" s="28">
        <v>170467000</v>
      </c>
      <c r="AG7231" s="11"/>
    </row>
    <row r="7232">
      <c r="A7232" s="7" t="s">
        <v>8787</v>
      </c>
      <c r="B7232" s="5" t="s">
        <v>16712</v>
      </c>
      <c r="C7232" s="5" t="s">
        <v>24325</v>
      </c>
      <c r="D7232" s="5" t="str">
        <v>525609095639</v>
      </c>
      <c r="E7232" s="0" t="e">
        <f>+7 (3513) 296569
+7 (3513) 297840
+7 (3513) 551637
+7 (3513) 551718
+7 (3513) 551822
+7 (3513) 553700
+7 (3513) 554962
+7 (3522) 630362
+7 (3522) 630363
+7 (3522) 630365
+7 (485) 2274518
+7 (485) 2274621
+7 (485) 2274707
+7 (485) 2406001
+7 (485) 2587878</f>
        <v>#NAME?</v>
      </c>
      <c r="F7232" s="5" t="s">
        <v>46309</v>
      </c>
      <c r="G7232" s="5" t="s">
        <v>46310</v>
      </c>
      <c r="H7232" s="26">
        <v>18</v>
      </c>
      <c r="I7232" s="5"/>
      <c r="J7232" s="5" t="s">
        <v>26159</v>
      </c>
      <c r="K7232" s="5" t="s">
        <v>380</v>
      </c>
      <c r="L7232" s="5"/>
      <c r="M7232" s="27">
        <v>44595613</v>
      </c>
      <c r="N7232" s="5" t="s">
        <v>60112</v>
      </c>
      <c r="O7232" s="5" t="str">
        <v>7730522644</v>
      </c>
      <c r="P7232" s="27">
        <v>12688633</v>
      </c>
      <c r="Q7232" s="5" t="s">
        <v>60113</v>
      </c>
      <c r="R7232" s="5"/>
      <c r="S7232" s="5" t="s">
        <v>49032</v>
      </c>
      <c r="T7232" s="28">
        <v>11988000</v>
      </c>
      <c r="U7232" s="28">
        <v>20157000</v>
      </c>
      <c r="V7232" s="28">
        <v>242183000</v>
      </c>
      <c r="W7232" s="28"/>
      <c r="X7232" s="28">
        <v>712974000</v>
      </c>
      <c r="Y7232" s="28">
        <v>1158046000</v>
      </c>
      <c r="Z7232" s="28">
        <v>-2243037000</v>
      </c>
      <c r="AA7232" s="28"/>
      <c r="AB7232" s="28">
        <v>661054000</v>
      </c>
      <c r="AC7232" s="28">
        <v>2726900000</v>
      </c>
      <c r="AD7232" s="28">
        <v>-1570594000</v>
      </c>
      <c r="AE7232" s="28">
        <v>4609990000</v>
      </c>
      <c r="AF7232" s="28">
        <v>-794172000</v>
      </c>
      <c r="AG7232" s="11"/>
    </row>
    <row r="7233">
      <c r="A7233" s="7" t="s">
        <v>8788</v>
      </c>
      <c r="B7233" s="5" t="s">
        <v>16713</v>
      </c>
      <c r="C7233" s="5" t="s">
        <v>24326</v>
      </c>
      <c r="D7233" s="5" t="str">
        <v>732715092717</v>
      </c>
      <c r="E7233" s="0" t="e">
        <f>+7 (842) 2640610
+7 (8422) 635965
+7 (8422) 651065
+7 (8422) 653839
+7 (8422) 654607
+7 (8422) 655740
+7 (8422) 655863
+7 (8422) 655867
+7 (8422) 658617
+7 (8422) 680300
+7 (8422) 680301
+7 (8422) 680304
+7 (84235) 71230
+7 (8432) 55817
+7 (8432) 118866</f>
        <v>#NAME?</v>
      </c>
      <c r="F7233" s="5" t="s">
        <v>46311</v>
      </c>
      <c r="G7233" s="5" t="s">
        <v>46312</v>
      </c>
      <c r="H7233" s="26">
        <v>22.5</v>
      </c>
      <c r="I7233" s="5" t="s">
        <v>46313</v>
      </c>
      <c r="J7233" s="5" t="s">
        <v>25512</v>
      </c>
      <c r="K7233" s="5" t="s">
        <v>344</v>
      </c>
      <c r="L7233" s="5" t="s">
        <v>27651</v>
      </c>
      <c r="M7233" s="27"/>
      <c r="N7233" s="5" t="s">
        <v>60114</v>
      </c>
      <c r="O7233" s="5" t="str">
        <v>7326015326</v>
      </c>
      <c r="P7233" s="27">
        <v>10000</v>
      </c>
      <c r="Q7233" s="5" t="s">
        <v>49057</v>
      </c>
      <c r="R7233" s="5"/>
      <c r="S7233" s="5" t="s">
        <v>50338</v>
      </c>
      <c r="T7233" s="28">
        <v>64242000</v>
      </c>
      <c r="U7233" s="28"/>
      <c r="V7233" s="28">
        <v>883445000</v>
      </c>
      <c r="W7233" s="28">
        <v>78119000</v>
      </c>
      <c r="X7233" s="28">
        <v>1290000</v>
      </c>
      <c r="Y7233" s="28">
        <v>1742844000</v>
      </c>
      <c r="Z7233" s="28">
        <v>240187000</v>
      </c>
      <c r="AA7233" s="28"/>
      <c r="AB7233" s="28">
        <v>18304000</v>
      </c>
      <c r="AC7233" s="28">
        <v>1464655000</v>
      </c>
      <c r="AD7233" s="28">
        <v>240197000</v>
      </c>
      <c r="AE7233" s="28">
        <v>4317741000</v>
      </c>
      <c r="AF7233" s="28">
        <v>234049000</v>
      </c>
      <c r="AG7233" s="11"/>
    </row>
    <row r="7234">
      <c r="A7234" s="7" t="s">
        <v>8789</v>
      </c>
      <c r="B7234" s="5" t="s">
        <v>16714</v>
      </c>
      <c r="C7234" s="5" t="s">
        <v>24327</v>
      </c>
      <c r="D7234" s="5" t="str">
        <v>771989310047</v>
      </c>
      <c r="E7234" s="0" t="e">
        <f>+7 (495) 6629291</f>
        <v>#NAME?</v>
      </c>
      <c r="F7234" s="5" t="s">
        <v>46314</v>
      </c>
      <c r="G7234" s="5" t="s">
        <v>46315</v>
      </c>
      <c r="H7234" s="26">
        <v>13</v>
      </c>
      <c r="I7234" s="5" t="s">
        <v>46316</v>
      </c>
      <c r="J7234" s="5" t="s">
        <v>46317</v>
      </c>
      <c r="K7234" s="5" t="s">
        <v>344</v>
      </c>
      <c r="L7234" s="5" t="s">
        <v>46318</v>
      </c>
      <c r="M7234" s="27"/>
      <c r="N7234" s="5" t="s">
        <v>60115</v>
      </c>
      <c r="O7234" s="5" t="str">
        <v>7736245838</v>
      </c>
      <c r="P7234" s="27">
        <v>5000000</v>
      </c>
      <c r="Q7234" s="5" t="s">
        <v>60116</v>
      </c>
      <c r="R7234" s="5"/>
      <c r="S7234" s="5" t="s">
        <v>60117</v>
      </c>
      <c r="T7234" s="28">
        <v>4214000</v>
      </c>
      <c r="U7234" s="28"/>
      <c r="V7234" s="28">
        <v>628784000</v>
      </c>
      <c r="W7234" s="28"/>
      <c r="X7234" s="28">
        <v>572779000</v>
      </c>
      <c r="Y7234" s="28">
        <v>1333782000</v>
      </c>
      <c r="Z7234" s="28">
        <v>642613000</v>
      </c>
      <c r="AA7234" s="28"/>
      <c r="AB7234" s="28">
        <v>42271000</v>
      </c>
      <c r="AC7234" s="28">
        <v>680061000</v>
      </c>
      <c r="AD7234" s="28">
        <v>647613000</v>
      </c>
      <c r="AE7234" s="28">
        <v>3531899000</v>
      </c>
      <c r="AF7234" s="28">
        <v>467397000</v>
      </c>
      <c r="AG7234" s="11"/>
    </row>
    <row r="7235">
      <c r="A7235" s="7" t="s">
        <v>8790</v>
      </c>
      <c r="B7235" s="5" t="s">
        <v>16715</v>
      </c>
      <c r="C7235" s="5" t="s">
        <v>24328</v>
      </c>
      <c r="D7235" s="5" t="str">
        <v>971513746250</v>
      </c>
      <c r="E7235" s="0" t="e">
        <f>+7 (495) 9873251
+7 (495) 9873261
+7 (964) 7749859</f>
        <v>#NAME?</v>
      </c>
      <c r="F7235" s="5"/>
      <c r="G7235" s="5"/>
      <c r="H7235" s="26">
        <v>7.5</v>
      </c>
      <c r="I7235" s="5" t="s">
        <v>46319</v>
      </c>
      <c r="J7235" s="5" t="s">
        <v>32226</v>
      </c>
      <c r="K7235" s="5" t="s">
        <v>344</v>
      </c>
      <c r="L7235" s="5" t="s">
        <v>41176</v>
      </c>
      <c r="M7235" s="27"/>
      <c r="N7235" s="5"/>
      <c r="O7235" s="5" t="str">
        <v>9715228401</v>
      </c>
      <c r="P7235" s="27">
        <v>3000000</v>
      </c>
      <c r="Q7235" s="5" t="s">
        <v>49059</v>
      </c>
      <c r="R7235" s="5"/>
      <c r="S7235" s="5" t="s">
        <v>49010</v>
      </c>
      <c r="T7235" s="28">
        <v>41000</v>
      </c>
      <c r="U7235" s="28"/>
      <c r="V7235" s="28">
        <v>306303000</v>
      </c>
      <c r="W7235" s="28"/>
      <c r="X7235" s="28">
        <v>10573000</v>
      </c>
      <c r="Y7235" s="28">
        <v>445183000</v>
      </c>
      <c r="Z7235" s="28">
        <v>35383000</v>
      </c>
      <c r="AA7235" s="28"/>
      <c r="AB7235" s="28"/>
      <c r="AC7235" s="28">
        <v>405143000</v>
      </c>
      <c r="AD7235" s="28">
        <v>38383000</v>
      </c>
      <c r="AE7235" s="28">
        <v>3080451000</v>
      </c>
      <c r="AF7235" s="28">
        <v>6781000</v>
      </c>
      <c r="AG7235" s="11"/>
    </row>
    <row r="7236">
      <c r="A7236" s="7" t="s">
        <v>8791</v>
      </c>
      <c r="B7236" s="5" t="s">
        <v>16716</v>
      </c>
      <c r="C7236" s="5" t="s">
        <v>24329</v>
      </c>
      <c r="D7236" s="5" t="str">
        <v>782575777903</v>
      </c>
      <c r="E7236" s="0" t="e">
        <f>+7 (905) 2226627
+7 (812) 2511013
+7 (812) 2511498
+7 (812) 2514207
+7 (812) 2514302</f>
        <v>#NAME?</v>
      </c>
      <c r="F7236" s="5" t="s">
        <v>46320</v>
      </c>
      <c r="G7236" s="5"/>
      <c r="H7236" s="26">
        <v>29.5</v>
      </c>
      <c r="I7236" s="5" t="s">
        <v>46321</v>
      </c>
      <c r="J7236" s="5" t="s">
        <v>364</v>
      </c>
      <c r="K7236" s="5" t="s">
        <v>344</v>
      </c>
      <c r="L7236" s="5" t="s">
        <v>46322</v>
      </c>
      <c r="M7236" s="27">
        <v>4709492</v>
      </c>
      <c r="N7236" s="5" t="s">
        <v>54015</v>
      </c>
      <c r="O7236" s="5" t="str">
        <v>7826072650</v>
      </c>
      <c r="P7236" s="27">
        <v>23400</v>
      </c>
      <c r="Q7236" s="5" t="s">
        <v>60118</v>
      </c>
      <c r="R7236" s="5"/>
      <c r="S7236" s="5" t="s">
        <v>60119</v>
      </c>
      <c r="T7236" s="28">
        <v>95706000</v>
      </c>
      <c r="U7236" s="28">
        <v>4250000</v>
      </c>
      <c r="V7236" s="28">
        <v>4220753000</v>
      </c>
      <c r="W7236" s="28">
        <v>36231000</v>
      </c>
      <c r="X7236" s="28">
        <v>227519000</v>
      </c>
      <c r="Y7236" s="28">
        <v>7075427000</v>
      </c>
      <c r="Z7236" s="28">
        <v>93363000</v>
      </c>
      <c r="AA7236" s="28"/>
      <c r="AB7236" s="28"/>
      <c r="AC7236" s="28">
        <v>6873319000</v>
      </c>
      <c r="AD7236" s="28">
        <v>93389000</v>
      </c>
      <c r="AE7236" s="28">
        <v>4033610000</v>
      </c>
      <c r="AF7236" s="28">
        <v>83576000</v>
      </c>
      <c r="AG7236" s="11"/>
    </row>
    <row r="7237">
      <c r="A7237" s="7" t="s">
        <v>8792</v>
      </c>
      <c r="B7237" s="5" t="s">
        <v>16717</v>
      </c>
      <c r="C7237" s="5" t="s">
        <v>24330</v>
      </c>
      <c r="D7237" s="5" t="str">
        <v>772844928723</v>
      </c>
      <c r="E7237" s="0" t="e">
        <f>+7 (495) 9565917</f>
        <v>#NAME?</v>
      </c>
      <c r="F7237" s="5"/>
      <c r="G7237" s="5" t="s">
        <v>46323</v>
      </c>
      <c r="H7237" s="26">
        <v>7</v>
      </c>
      <c r="I7237" s="5" t="s">
        <v>46324</v>
      </c>
      <c r="J7237" s="5" t="s">
        <v>26918</v>
      </c>
      <c r="K7237" s="5" t="s">
        <v>344</v>
      </c>
      <c r="L7237" s="5"/>
      <c r="M7237" s="27"/>
      <c r="N7237" s="5" t="s">
        <v>60120</v>
      </c>
      <c r="O7237" s="5" t="str">
        <v>7728333128</v>
      </c>
      <c r="P7237" s="27">
        <v>705800</v>
      </c>
      <c r="Q7237" s="5"/>
      <c r="R7237" s="5"/>
      <c r="S7237" s="5" t="s">
        <v>49195</v>
      </c>
      <c r="T7237" s="28">
        <v>2639000</v>
      </c>
      <c r="U7237" s="28"/>
      <c r="V7237" s="28">
        <v>257465000</v>
      </c>
      <c r="W7237" s="28"/>
      <c r="X7237" s="28">
        <v>182994000</v>
      </c>
      <c r="Y7237" s="28">
        <v>503313000</v>
      </c>
      <c r="Z7237" s="28">
        <v>26757000</v>
      </c>
      <c r="AA7237" s="28"/>
      <c r="AB7237" s="28"/>
      <c r="AC7237" s="28">
        <v>475850000</v>
      </c>
      <c r="AD7237" s="28">
        <v>27463000</v>
      </c>
      <c r="AE7237" s="28">
        <v>3665809000</v>
      </c>
      <c r="AF7237" s="28">
        <v>1072000</v>
      </c>
      <c r="AG7237" s="11"/>
    </row>
    <row r="7238">
      <c r="A7238" s="7" t="s">
        <v>8793</v>
      </c>
      <c r="B7238" s="5" t="s">
        <v>16718</v>
      </c>
      <c r="C7238" s="5" t="s">
        <v>21482</v>
      </c>
      <c r="D7238" s="5"/>
      <c r="E7238" s="0" t="e">
        <f>+7 (475) 2637764
+7 (495) 9936040
+7 (495) 9936041</f>
        <v>#NAME?</v>
      </c>
      <c r="F7238" s="5"/>
      <c r="G7238" s="5"/>
      <c r="H7238" s="26">
        <v>17.5</v>
      </c>
      <c r="I7238" s="5" t="s">
        <v>46325</v>
      </c>
      <c r="J7238" s="5" t="s">
        <v>25216</v>
      </c>
      <c r="K7238" s="5" t="s">
        <v>344</v>
      </c>
      <c r="L7238" s="5" t="s">
        <v>46326</v>
      </c>
      <c r="M7238" s="27"/>
      <c r="N7238" s="5" t="s">
        <v>60121</v>
      </c>
      <c r="O7238" s="5" t="str">
        <v>7716533436</v>
      </c>
      <c r="P7238" s="27">
        <v>5000000</v>
      </c>
      <c r="Q7238" s="5" t="s">
        <v>49016</v>
      </c>
      <c r="R7238" s="5" t="s">
        <v>60122</v>
      </c>
      <c r="S7238" s="5" t="s">
        <v>60123</v>
      </c>
      <c r="T7238" s="28">
        <v>77926000</v>
      </c>
      <c r="U7238" s="28">
        <v>28000</v>
      </c>
      <c r="V7238" s="28">
        <v>5570234000</v>
      </c>
      <c r="W7238" s="28">
        <v>1666658000</v>
      </c>
      <c r="X7238" s="28">
        <v>187022000</v>
      </c>
      <c r="Y7238" s="28">
        <v>9888377000</v>
      </c>
      <c r="Z7238" s="28">
        <v>1062272000</v>
      </c>
      <c r="AA7238" s="28">
        <v>163656000</v>
      </c>
      <c r="AB7238" s="28">
        <v>1328682000</v>
      </c>
      <c r="AC7238" s="28">
        <v>8593614000</v>
      </c>
      <c r="AD7238" s="28">
        <v>1067272000</v>
      </c>
      <c r="AE7238" s="28">
        <v>24769963000</v>
      </c>
      <c r="AF7238" s="28">
        <v>159362000</v>
      </c>
      <c r="AG7238" s="11"/>
    </row>
    <row r="7239">
      <c r="A7239" s="7" t="s">
        <v>8794</v>
      </c>
      <c r="B7239" s="5" t="s">
        <v>16719</v>
      </c>
      <c r="C7239" s="5" t="s">
        <v>24331</v>
      </c>
      <c r="D7239" s="5" t="str">
        <v>540412427915</v>
      </c>
      <c r="E7239" s="0" t="e">
        <f>+7 (926) 3114307
+7 (495) 7874713
+7 (495) 7874724
+7 (495) 7878000
+7 (495) 7878001
+7 (495) 7878002
+7 (495) 7878057
+7 (495) 7878112
+7 (495) 7878144
+7 (812) 3468120
+7 (812) 3468121
+7 (812) 3468128
+7 (916) 3647547</f>
        <v>#NAME?</v>
      </c>
      <c r="F7239" s="5" t="s">
        <v>46327</v>
      </c>
      <c r="G7239" s="5" t="s">
        <v>46328</v>
      </c>
      <c r="H7239" s="26">
        <v>30</v>
      </c>
      <c r="I7239" s="5"/>
      <c r="J7239" s="5" t="s">
        <v>755</v>
      </c>
      <c r="K7239" s="5" t="s">
        <v>355</v>
      </c>
      <c r="L7239" s="5" t="s">
        <v>46329</v>
      </c>
      <c r="M7239" s="27">
        <v>94172896</v>
      </c>
      <c r="N7239" s="5" t="s">
        <v>60124</v>
      </c>
      <c r="O7239" s="5" t="str">
        <v>7706017070</v>
      </c>
      <c r="P7239" s="27">
        <v>1454185865</v>
      </c>
      <c r="Q7239" s="5" t="s">
        <v>49009</v>
      </c>
      <c r="R7239" s="5"/>
      <c r="S7239" s="5" t="s">
        <v>49085</v>
      </c>
      <c r="T7239" s="28">
        <v>5454831000</v>
      </c>
      <c r="U7239" s="28"/>
      <c r="V7239" s="28">
        <v>3391525000</v>
      </c>
      <c r="W7239" s="28"/>
      <c r="X7239" s="28">
        <v>1998976000</v>
      </c>
      <c r="Y7239" s="28">
        <v>17021267000</v>
      </c>
      <c r="Z7239" s="28">
        <v>2117341000</v>
      </c>
      <c r="AA7239" s="28"/>
      <c r="AB7239" s="28">
        <v>2648545000</v>
      </c>
      <c r="AC7239" s="28">
        <v>11961570000</v>
      </c>
      <c r="AD7239" s="28">
        <v>3726679000</v>
      </c>
      <c r="AE7239" s="28">
        <v>29162544000</v>
      </c>
      <c r="AF7239" s="28">
        <v>1638109000</v>
      </c>
      <c r="AG7239" s="11"/>
    </row>
    <row r="7240">
      <c r="A7240" s="7" t="s">
        <v>8795</v>
      </c>
      <c r="B7240" s="5" t="s">
        <v>16720</v>
      </c>
      <c r="C7240" s="5" t="s">
        <v>24332</v>
      </c>
      <c r="D7240" s="5" t="str">
        <v>590426638330</v>
      </c>
      <c r="E7240" s="0" t="e">
        <f>+7 (3412) 240822
+7 (3412) 240828
+7 (342) 2985875
+7 (3422) 113409
+7 (3422) 113420
+7 (3422) 113424
+7 (3422) 113435
+7 (3422) 113447
+7 (3422) 408209
+7 (3422) 409646</f>
        <v>#NAME?</v>
      </c>
      <c r="F7240" s="5" t="s">
        <v>46330</v>
      </c>
      <c r="G7240" s="5" t="s">
        <v>46331</v>
      </c>
      <c r="H7240" s="26">
        <v>22</v>
      </c>
      <c r="I7240" s="5" t="s">
        <v>46332</v>
      </c>
      <c r="J7240" s="5" t="s">
        <v>28520</v>
      </c>
      <c r="K7240" s="5" t="s">
        <v>344</v>
      </c>
      <c r="L7240" s="5" t="s">
        <v>46333</v>
      </c>
      <c r="M7240" s="27"/>
      <c r="N7240" s="5"/>
      <c r="O7240" s="5" t="str">
        <v>5902136249</v>
      </c>
      <c r="P7240" s="27">
        <v>107210000</v>
      </c>
      <c r="Q7240" s="5"/>
      <c r="R7240" s="5"/>
      <c r="S7240" s="5" t="s">
        <v>49425</v>
      </c>
      <c r="T7240" s="28">
        <v>907163000</v>
      </c>
      <c r="U7240" s="28"/>
      <c r="V7240" s="28">
        <v>275638000</v>
      </c>
      <c r="W7240" s="28">
        <v>86271000</v>
      </c>
      <c r="X7240" s="28">
        <v>4592000</v>
      </c>
      <c r="Y7240" s="28">
        <v>1757185000</v>
      </c>
      <c r="Z7240" s="28">
        <v>1305564000</v>
      </c>
      <c r="AA7240" s="28">
        <v>160000000</v>
      </c>
      <c r="AB7240" s="28">
        <v>18000</v>
      </c>
      <c r="AC7240" s="28">
        <v>184411000</v>
      </c>
      <c r="AD7240" s="28">
        <v>1448874000</v>
      </c>
      <c r="AE7240" s="28">
        <v>3125413000</v>
      </c>
      <c r="AF7240" s="28">
        <v>560455000</v>
      </c>
      <c r="AG7240" s="11"/>
    </row>
    <row r="7241">
      <c r="A7241" s="7" t="s">
        <v>8796</v>
      </c>
      <c r="B7241" s="5" t="s">
        <v>16721</v>
      </c>
      <c r="C7241" s="5" t="s">
        <v>20519</v>
      </c>
      <c r="D7241" s="5"/>
      <c r="E7241" s="0" t="e">
        <f>+7 (812) 2341151
+7 (812) 3153945
+7 (812) 4494712
+7 (812) 5714804
+7 (812) 6802983
+7 (812) 6802985</f>
        <v>#NAME?</v>
      </c>
      <c r="F7241" s="5" t="s">
        <v>46334</v>
      </c>
      <c r="G7241" s="5" t="s">
        <v>46335</v>
      </c>
      <c r="H7241" s="26">
        <v>13</v>
      </c>
      <c r="I7241" s="5" t="s">
        <v>46336</v>
      </c>
      <c r="J7241" s="5" t="s">
        <v>26905</v>
      </c>
      <c r="K7241" s="5" t="s">
        <v>344</v>
      </c>
      <c r="L7241" s="5" t="s">
        <v>46337</v>
      </c>
      <c r="M7241" s="27">
        <v>573753</v>
      </c>
      <c r="N7241" s="5"/>
      <c r="O7241" s="5" t="str">
        <v>4707029682</v>
      </c>
      <c r="P7241" s="27">
        <v>5000000</v>
      </c>
      <c r="Q7241" s="5" t="s">
        <v>49059</v>
      </c>
      <c r="R7241" s="5"/>
      <c r="S7241" s="5" t="s">
        <v>49029</v>
      </c>
      <c r="T7241" s="28">
        <v>1670188000</v>
      </c>
      <c r="U7241" s="28"/>
      <c r="V7241" s="28">
        <v>1470139000</v>
      </c>
      <c r="W7241" s="28"/>
      <c r="X7241" s="28">
        <v>1957654000</v>
      </c>
      <c r="Y7241" s="28">
        <v>5207606000</v>
      </c>
      <c r="Z7241" s="28">
        <v>3659010000</v>
      </c>
      <c r="AA7241" s="28"/>
      <c r="AB7241" s="28"/>
      <c r="AC7241" s="28">
        <v>201354000</v>
      </c>
      <c r="AD7241" s="28">
        <v>4808981000</v>
      </c>
      <c r="AE7241" s="28">
        <v>3579819000</v>
      </c>
      <c r="AF7241" s="28">
        <v>2035828000</v>
      </c>
      <c r="AG7241" s="11"/>
    </row>
    <row r="7242">
      <c r="A7242" s="7" t="s">
        <v>8797</v>
      </c>
      <c r="B7242" s="5" t="s">
        <v>16722</v>
      </c>
      <c r="C7242" s="5" t="s">
        <v>24333</v>
      </c>
      <c r="D7242" s="5" t="str">
        <v>631602965684</v>
      </c>
      <c r="E7242" s="0" t="e">
        <f>+7 (846) 9798041
+7 (846) 2299745
+7 (846) 3390188
+7 (84630) 28515
+7 (84657) 23072</f>
        <v>#NAME?</v>
      </c>
      <c r="F7242" s="5" t="s">
        <v>46338</v>
      </c>
      <c r="G7242" s="5" t="s">
        <v>46339</v>
      </c>
      <c r="H7242" s="26">
        <v>20.5</v>
      </c>
      <c r="I7242" s="5"/>
      <c r="J7242" s="5" t="s">
        <v>27921</v>
      </c>
      <c r="K7242" s="5" t="s">
        <v>344</v>
      </c>
      <c r="L7242" s="5" t="s">
        <v>46340</v>
      </c>
      <c r="M7242" s="27"/>
      <c r="N7242" s="5"/>
      <c r="O7242" s="5" t="str">
        <v>6376000010</v>
      </c>
      <c r="P7242" s="27">
        <v>15933800</v>
      </c>
      <c r="Q7242" s="5" t="s">
        <v>49579</v>
      </c>
      <c r="R7242" s="5"/>
      <c r="S7242" s="5" t="s">
        <v>49580</v>
      </c>
      <c r="T7242" s="28">
        <v>3590421000</v>
      </c>
      <c r="U7242" s="28">
        <v>2007591000</v>
      </c>
      <c r="V7242" s="28">
        <v>2793320000</v>
      </c>
      <c r="W7242" s="28"/>
      <c r="X7242" s="28">
        <v>2020482000</v>
      </c>
      <c r="Y7242" s="28">
        <v>11619085000</v>
      </c>
      <c r="Z7242" s="28">
        <v>8581370000</v>
      </c>
      <c r="AA7242" s="28"/>
      <c r="AB7242" s="28"/>
      <c r="AC7242" s="28">
        <v>2906760000</v>
      </c>
      <c r="AD7242" s="28">
        <v>8640614000</v>
      </c>
      <c r="AE7242" s="28">
        <v>20041690000</v>
      </c>
      <c r="AF7242" s="28">
        <v>1813131000</v>
      </c>
      <c r="AG7242" s="11"/>
    </row>
    <row r="7243">
      <c r="A7243" s="7" t="s">
        <v>8798</v>
      </c>
      <c r="B7243" s="5" t="s">
        <v>16723</v>
      </c>
      <c r="C7243" s="5" t="s">
        <v>24334</v>
      </c>
      <c r="D7243" s="5" t="str">
        <v>550705936370</v>
      </c>
      <c r="E7243" s="0" t="e">
        <f>+7 (381) 2330056
+7 (381) 2234246
+7 (381) 2333105
+7 (381) 2930105
+7 (908) 8039850
+7 (38166) 21690
+7 (38171) 21584</f>
        <v>#NAME?</v>
      </c>
      <c r="F7243" s="5" t="s">
        <v>46341</v>
      </c>
      <c r="G7243" s="5" t="s">
        <v>46342</v>
      </c>
      <c r="H7243" s="26">
        <v>10.5</v>
      </c>
      <c r="I7243" s="5" t="s">
        <v>46343</v>
      </c>
      <c r="J7243" s="5" t="s">
        <v>27115</v>
      </c>
      <c r="K7243" s="5" t="s">
        <v>344</v>
      </c>
      <c r="L7243" s="5"/>
      <c r="M7243" s="27">
        <v>5528475</v>
      </c>
      <c r="N7243" s="5" t="s">
        <v>60125</v>
      </c>
      <c r="O7243" s="5" t="str">
        <v>5501244039</v>
      </c>
      <c r="P7243" s="27">
        <v>55500</v>
      </c>
      <c r="Q7243" s="5" t="s">
        <v>60126</v>
      </c>
      <c r="R7243" s="5"/>
      <c r="S7243" s="5" t="s">
        <v>55630</v>
      </c>
      <c r="T7243" s="28">
        <v>771786000</v>
      </c>
      <c r="U7243" s="28"/>
      <c r="V7243" s="28">
        <v>1815516000</v>
      </c>
      <c r="W7243" s="28">
        <v>921914000</v>
      </c>
      <c r="X7243" s="28">
        <v>85459000</v>
      </c>
      <c r="Y7243" s="28">
        <v>3743824000</v>
      </c>
      <c r="Z7243" s="28">
        <v>1645864000</v>
      </c>
      <c r="AA7243" s="28">
        <v>330292000</v>
      </c>
      <c r="AB7243" s="28">
        <v>922394000</v>
      </c>
      <c r="AC7243" s="28">
        <v>1659208000</v>
      </c>
      <c r="AD7243" s="28">
        <v>1914509000</v>
      </c>
      <c r="AE7243" s="28">
        <v>10748694000</v>
      </c>
      <c r="AF7243" s="28">
        <v>691377000</v>
      </c>
      <c r="AG7243" s="11"/>
    </row>
    <row r="7244">
      <c r="A7244" s="7" t="s">
        <v>8799</v>
      </c>
      <c r="B7244" s="5" t="s">
        <v>16724</v>
      </c>
      <c r="C7244" s="5" t="s">
        <v>24335</v>
      </c>
      <c r="D7244" s="5" t="str">
        <v>860802383750</v>
      </c>
      <c r="E7244" s="0" t="e">
        <f>+7 (904) 4771887
+7 (34667) 44550
+7 (34667) 64902
+7 (34667) 64904
+7 (34667) 64906
+7 (34667) 64924</f>
        <v>#NAME?</v>
      </c>
      <c r="F7244" s="5" t="s">
        <v>46344</v>
      </c>
      <c r="G7244" s="5" t="s">
        <v>46345</v>
      </c>
      <c r="H7244" s="26">
        <v>15</v>
      </c>
      <c r="I7244" s="5" t="s">
        <v>46346</v>
      </c>
      <c r="J7244" s="5" t="s">
        <v>648</v>
      </c>
      <c r="K7244" s="5" t="s">
        <v>344</v>
      </c>
      <c r="L7244" s="5"/>
      <c r="M7244" s="27"/>
      <c r="N7244" s="5" t="s">
        <v>60127</v>
      </c>
      <c r="O7244" s="5" t="str">
        <v>8608053160</v>
      </c>
      <c r="P7244" s="27">
        <v>31835309</v>
      </c>
      <c r="Q7244" s="5" t="s">
        <v>60128</v>
      </c>
      <c r="R7244" s="5"/>
      <c r="S7244" s="5" t="s">
        <v>50122</v>
      </c>
      <c r="T7244" s="28">
        <v>102833000</v>
      </c>
      <c r="U7244" s="28"/>
      <c r="V7244" s="28">
        <v>319198000</v>
      </c>
      <c r="W7244" s="28"/>
      <c r="X7244" s="28">
        <v>199751000</v>
      </c>
      <c r="Y7244" s="28">
        <v>764447000</v>
      </c>
      <c r="Z7244" s="28">
        <v>232077000</v>
      </c>
      <c r="AA7244" s="28"/>
      <c r="AB7244" s="28"/>
      <c r="AC7244" s="28">
        <v>498957000</v>
      </c>
      <c r="AD7244" s="28">
        <v>265490000</v>
      </c>
      <c r="AE7244" s="28">
        <v>3236822000</v>
      </c>
      <c r="AF7244" s="28">
        <v>-11069000</v>
      </c>
      <c r="AG7244" s="11"/>
    </row>
    <row r="7245">
      <c r="A7245" s="7" t="s">
        <v>8800</v>
      </c>
      <c r="B7245" s="5" t="s">
        <v>16725</v>
      </c>
      <c r="C7245" s="5" t="s">
        <v>24336</v>
      </c>
      <c r="D7245" s="5" t="str">
        <v>526200550129</v>
      </c>
      <c r="E7245" s="0" t="e">
        <f>+7 (831) 2020279
+7 (831) 2383434
+7 (831) 2597747
+7 (831) 2597777</f>
        <v>#NAME?</v>
      </c>
      <c r="F7245" s="5" t="s">
        <v>46347</v>
      </c>
      <c r="G7245" s="5" t="s">
        <v>46348</v>
      </c>
      <c r="H7245" s="26">
        <v>21.5</v>
      </c>
      <c r="I7245" s="5"/>
      <c r="J7245" s="5" t="s">
        <v>32652</v>
      </c>
      <c r="K7245" s="5" t="s">
        <v>380</v>
      </c>
      <c r="L7245" s="5"/>
      <c r="M7245" s="27"/>
      <c r="N7245" s="5"/>
      <c r="O7245" s="5" t="str">
        <v>5256038700</v>
      </c>
      <c r="P7245" s="27">
        <v>33911220</v>
      </c>
      <c r="Q7245" s="5"/>
      <c r="R7245" s="5"/>
      <c r="S7245" s="5" t="s">
        <v>49425</v>
      </c>
      <c r="T7245" s="28">
        <v>1412191000</v>
      </c>
      <c r="U7245" s="28">
        <v>1015555000</v>
      </c>
      <c r="V7245" s="28">
        <v>4047740000</v>
      </c>
      <c r="W7245" s="28">
        <v>57500000</v>
      </c>
      <c r="X7245" s="28">
        <v>11233000</v>
      </c>
      <c r="Y7245" s="28">
        <v>9544554000</v>
      </c>
      <c r="Z7245" s="28">
        <v>-132085000</v>
      </c>
      <c r="AA7245" s="28">
        <v>2919573000</v>
      </c>
      <c r="AB7245" s="28">
        <v>4464021000</v>
      </c>
      <c r="AC7245" s="28">
        <v>4976651000</v>
      </c>
      <c r="AD7245" s="28">
        <v>1230660000</v>
      </c>
      <c r="AE7245" s="28">
        <v>7971144000</v>
      </c>
      <c r="AF7245" s="28">
        <v>-717236000</v>
      </c>
      <c r="AG7245" s="11"/>
    </row>
    <row r="7246">
      <c r="A7246" s="7" t="s">
        <v>8801</v>
      </c>
      <c r="B7246" s="5" t="s">
        <v>16726</v>
      </c>
      <c r="C7246" s="5" t="s">
        <v>24337</v>
      </c>
      <c r="D7246" s="5" t="str">
        <v>230102559762</v>
      </c>
      <c r="E7246" s="0" t="e">
        <f>+7 (918) 1718431
+7 (800) 5007766
+7 (473) 2007788
+7 (473) 2027788
+7 (473) 2322640
+7 (473) 2556170
+7 (473) 2556611
+7 (86133) 32495
+7 (86133) 60370
+7 (86133) 60950
+7 (86133) 61342
+7 (86133) 66342
+7 (910) 7322640
+7 (918) 6720077
+7 (988) 3366342</f>
        <v>#NAME?</v>
      </c>
      <c r="F7246" s="5" t="s">
        <v>46349</v>
      </c>
      <c r="G7246" s="5"/>
      <c r="H7246" s="26">
        <v>15</v>
      </c>
      <c r="I7246" s="5" t="s">
        <v>46350</v>
      </c>
      <c r="J7246" s="5" t="s">
        <v>46351</v>
      </c>
      <c r="K7246" s="5" t="s">
        <v>344</v>
      </c>
      <c r="L7246" s="5" t="s">
        <v>365</v>
      </c>
      <c r="M7246" s="27"/>
      <c r="N7246" s="5" t="s">
        <v>60129</v>
      </c>
      <c r="O7246" s="5" t="str">
        <v>2301065615</v>
      </c>
      <c r="P7246" s="27">
        <v>12500</v>
      </c>
      <c r="Q7246" s="5"/>
      <c r="R7246" s="5"/>
      <c r="S7246" s="5" t="s">
        <v>49110</v>
      </c>
      <c r="T7246" s="28">
        <v>120000</v>
      </c>
      <c r="U7246" s="28"/>
      <c r="V7246" s="28">
        <v>7256048000</v>
      </c>
      <c r="W7246" s="28"/>
      <c r="X7246" s="28">
        <v>12456700000</v>
      </c>
      <c r="Y7246" s="28">
        <v>19712868000</v>
      </c>
      <c r="Z7246" s="28"/>
      <c r="AA7246" s="28"/>
      <c r="AB7246" s="28"/>
      <c r="AC7246" s="28">
        <v>19652368000</v>
      </c>
      <c r="AD7246" s="28">
        <v>60500000</v>
      </c>
      <c r="AE7246" s="28">
        <v>19832748000</v>
      </c>
      <c r="AF7246" s="28">
        <v>7376272000</v>
      </c>
      <c r="AG7246" s="11"/>
    </row>
    <row r="7247">
      <c r="A7247" s="7" t="s">
        <v>8802</v>
      </c>
      <c r="B7247" s="5" t="s">
        <v>16727</v>
      </c>
      <c r="C7247" s="5" t="s">
        <v>24338</v>
      </c>
      <c r="D7247" s="5" t="str">
        <v>666200890155</v>
      </c>
      <c r="E7247" s="0" t="e">
        <f>+7 (495) 2219044
+7 (495) 2293167
+7 (495) 2293869
+7 (495) 2293887
+7 (495) 6443402
+7 (495) 6616588
+7 (495) 6617344
+7 (495) 6681388
+7 (495) 6681430
+7 (495) 9897800
+7 (800) 3336047
+7 (8652) 684342
+7 (916) 952433
+7 (921) 9423217
+7 (978) 2161013</f>
        <v>#NAME?</v>
      </c>
      <c r="F7247" s="5" t="s">
        <v>46352</v>
      </c>
      <c r="G7247" s="5" t="s">
        <v>46353</v>
      </c>
      <c r="H7247" s="26">
        <v>15.5</v>
      </c>
      <c r="I7247" s="5" t="s">
        <v>46354</v>
      </c>
      <c r="J7247" s="5" t="s">
        <v>28053</v>
      </c>
      <c r="K7247" s="5" t="s">
        <v>344</v>
      </c>
      <c r="L7247" s="5" t="s">
        <v>46355</v>
      </c>
      <c r="M7247" s="27"/>
      <c r="N7247" s="5"/>
      <c r="O7247" s="5" t="str">
        <v>7714707736</v>
      </c>
      <c r="P7247" s="27">
        <v>120100000</v>
      </c>
      <c r="Q7247" s="5" t="s">
        <v>49021</v>
      </c>
      <c r="R7247" s="5"/>
      <c r="S7247" s="5" t="s">
        <v>60130</v>
      </c>
      <c r="T7247" s="28">
        <v>1136780000</v>
      </c>
      <c r="U7247" s="28">
        <v>608564000</v>
      </c>
      <c r="V7247" s="28">
        <v>2049649000</v>
      </c>
      <c r="W7247" s="28">
        <v>65000000</v>
      </c>
      <c r="X7247" s="28">
        <v>5478842000</v>
      </c>
      <c r="Y7247" s="28">
        <v>10612145000</v>
      </c>
      <c r="Z7247" s="28">
        <v>6644874000</v>
      </c>
      <c r="AA7247" s="28"/>
      <c r="AB7247" s="28">
        <v>630000000</v>
      </c>
      <c r="AC7247" s="28">
        <v>2927994000</v>
      </c>
      <c r="AD7247" s="28">
        <v>6765012000</v>
      </c>
      <c r="AE7247" s="28">
        <v>43565477000</v>
      </c>
      <c r="AF7247" s="28">
        <v>13138000000</v>
      </c>
      <c r="AG7247" s="11"/>
    </row>
    <row r="7248">
      <c r="A7248" s="7" t="s">
        <v>8803</v>
      </c>
      <c r="B7248" s="5" t="s">
        <v>16728</v>
      </c>
      <c r="C7248" s="5" t="s">
        <v>24339</v>
      </c>
      <c r="D7248" s="5" t="str">
        <v>540860341282</v>
      </c>
      <c r="E7248" s="0" t="e">
        <f>+7 (495) 3632612
+7 (495) 3632620
+7 (495) 6623035</f>
        <v>#NAME?</v>
      </c>
      <c r="F7248" s="5" t="s">
        <v>46356</v>
      </c>
      <c r="G7248" s="5"/>
      <c r="H7248" s="26">
        <v>19.5</v>
      </c>
      <c r="I7248" s="5" t="s">
        <v>46357</v>
      </c>
      <c r="J7248" s="5" t="s">
        <v>678</v>
      </c>
      <c r="K7248" s="5" t="s">
        <v>344</v>
      </c>
      <c r="L7248" s="5"/>
      <c r="M7248" s="27"/>
      <c r="N7248" s="5"/>
      <c r="O7248" s="5" t="str">
        <v>5074024291</v>
      </c>
      <c r="P7248" s="27">
        <v>3160000</v>
      </c>
      <c r="Q7248" s="5"/>
      <c r="R7248" s="5" t="s">
        <v>52431</v>
      </c>
      <c r="S7248" s="5" t="s">
        <v>49125</v>
      </c>
      <c r="T7248" s="28">
        <v>75865000</v>
      </c>
      <c r="U7248" s="28"/>
      <c r="V7248" s="28">
        <v>1121282000</v>
      </c>
      <c r="W7248" s="28"/>
      <c r="X7248" s="28">
        <v>119920000</v>
      </c>
      <c r="Y7248" s="28">
        <v>2231676000</v>
      </c>
      <c r="Z7248" s="28">
        <v>117682000</v>
      </c>
      <c r="AA7248" s="28">
        <v>840998000</v>
      </c>
      <c r="AB7248" s="28"/>
      <c r="AC7248" s="28">
        <v>1256411000</v>
      </c>
      <c r="AD7248" s="28">
        <v>120842000</v>
      </c>
      <c r="AE7248" s="28">
        <v>4654121000</v>
      </c>
      <c r="AF7248" s="28">
        <v>-79600000</v>
      </c>
      <c r="AG7248" s="11"/>
    </row>
    <row r="7249">
      <c r="A7249" s="7" t="s">
        <v>8804</v>
      </c>
      <c r="B7249" s="5" t="s">
        <v>16729</v>
      </c>
      <c r="C7249" s="5" t="s">
        <v>24340</v>
      </c>
      <c r="D7249" s="5" t="str">
        <v>781309347480</v>
      </c>
      <c r="E7249" s="0" t="e">
        <f>+7 (812) 6220285
+7 (812) 9672859</f>
        <v>#NAME?</v>
      </c>
      <c r="F7249" s="5"/>
      <c r="G7249" s="5"/>
      <c r="H7249" s="26">
        <v>14</v>
      </c>
      <c r="I7249" s="5" t="s">
        <v>46358</v>
      </c>
      <c r="J7249" s="5" t="s">
        <v>30277</v>
      </c>
      <c r="K7249" s="5" t="s">
        <v>344</v>
      </c>
      <c r="L7249" s="5" t="s">
        <v>46359</v>
      </c>
      <c r="M7249" s="27"/>
      <c r="N7249" s="5" t="s">
        <v>60131</v>
      </c>
      <c r="O7249" s="5" t="str">
        <v>7801485085</v>
      </c>
      <c r="P7249" s="27">
        <v>24975847</v>
      </c>
      <c r="Q7249" s="5" t="s">
        <v>447</v>
      </c>
      <c r="R7249" s="5"/>
      <c r="S7249" s="5" t="s">
        <v>60132</v>
      </c>
      <c r="T7249" s="28">
        <v>422264000</v>
      </c>
      <c r="U7249" s="28"/>
      <c r="V7249" s="28">
        <v>361381000</v>
      </c>
      <c r="W7249" s="28">
        <v>31500000</v>
      </c>
      <c r="X7249" s="28">
        <v>36886000</v>
      </c>
      <c r="Y7249" s="28">
        <v>1460566000</v>
      </c>
      <c r="Z7249" s="28">
        <v>136062000</v>
      </c>
      <c r="AA7249" s="28">
        <v>537112000</v>
      </c>
      <c r="AB7249" s="28">
        <v>2938000</v>
      </c>
      <c r="AC7249" s="28">
        <v>666309000</v>
      </c>
      <c r="AD7249" s="28">
        <v>242552000</v>
      </c>
      <c r="AE7249" s="28">
        <v>3691053000</v>
      </c>
      <c r="AF7249" s="28">
        <v>63162000</v>
      </c>
      <c r="AG7249" s="11"/>
    </row>
    <row r="7250">
      <c r="A7250" s="7" t="s">
        <v>8805</v>
      </c>
      <c r="B7250" s="5" t="s">
        <v>16730</v>
      </c>
      <c r="C7250" s="5" t="s">
        <v>24341</v>
      </c>
      <c r="D7250" s="5" t="str">
        <v>780621446430</v>
      </c>
      <c r="E7250" s="0" t="e">
        <f>+7 (812) 3059178</f>
        <v>#NAME?</v>
      </c>
      <c r="F7250" s="5" t="s">
        <v>46360</v>
      </c>
      <c r="G7250" s="5"/>
      <c r="H7250" s="26">
        <v>19</v>
      </c>
      <c r="I7250" s="5" t="s">
        <v>46361</v>
      </c>
      <c r="J7250" s="5" t="s">
        <v>693</v>
      </c>
      <c r="K7250" s="5" t="s">
        <v>344</v>
      </c>
      <c r="L7250" s="5" t="s">
        <v>44785</v>
      </c>
      <c r="M7250" s="27"/>
      <c r="N7250" s="5"/>
      <c r="O7250" s="5" t="str">
        <v>7814150738</v>
      </c>
      <c r="P7250" s="27">
        <v>400000</v>
      </c>
      <c r="Q7250" s="5" t="s">
        <v>49009</v>
      </c>
      <c r="R7250" s="5"/>
      <c r="S7250" s="5" t="s">
        <v>49093</v>
      </c>
      <c r="T7250" s="28">
        <v>24071000</v>
      </c>
      <c r="U7250" s="28"/>
      <c r="V7250" s="28">
        <v>798563000</v>
      </c>
      <c r="W7250" s="28"/>
      <c r="X7250" s="28">
        <v>74016000</v>
      </c>
      <c r="Y7250" s="28">
        <v>898579000</v>
      </c>
      <c r="Z7250" s="28">
        <v>140131000</v>
      </c>
      <c r="AA7250" s="28"/>
      <c r="AB7250" s="28"/>
      <c r="AC7250" s="28">
        <v>735564000</v>
      </c>
      <c r="AD7250" s="28">
        <v>140591000</v>
      </c>
      <c r="AE7250" s="28">
        <v>6546987000</v>
      </c>
      <c r="AF7250" s="28">
        <v>43479000</v>
      </c>
      <c r="AG7250" s="11"/>
    </row>
    <row r="7251">
      <c r="A7251" s="7" t="s">
        <v>8806</v>
      </c>
      <c r="B7251" s="5" t="s">
        <v>16731</v>
      </c>
      <c r="C7251" s="5" t="s">
        <v>18868</v>
      </c>
      <c r="D7251" s="5"/>
      <c r="E7251" s="0" t="e">
        <f>+7 (912) 8502719
+7 (3412) 936217
+7 (3412) 949700
+7 (3412) 949707
+7 (34141) 37500
+7 (34141) 38555
+7 (34141) 38600
+7 (34141) 38700
+7 (34141) 39901
+7 (34141) 66730
+7 (3422) 197685</f>
        <v>#NAME?</v>
      </c>
      <c r="F7251" s="5" t="s">
        <v>46362</v>
      </c>
      <c r="G7251" s="5"/>
      <c r="H7251" s="26">
        <v>12</v>
      </c>
      <c r="I7251" s="5" t="s">
        <v>46363</v>
      </c>
      <c r="J7251" s="5" t="s">
        <v>25450</v>
      </c>
      <c r="K7251" s="5" t="s">
        <v>355</v>
      </c>
      <c r="L7251" s="5" t="s">
        <v>46364</v>
      </c>
      <c r="M7251" s="27"/>
      <c r="N7251" s="5" t="s">
        <v>60133</v>
      </c>
      <c r="O7251" s="5" t="str">
        <v>1837008416</v>
      </c>
      <c r="P7251" s="27">
        <v>164235000</v>
      </c>
      <c r="Q7251" s="5" t="s">
        <v>49059</v>
      </c>
      <c r="R7251" s="5"/>
      <c r="S7251" s="5" t="s">
        <v>49425</v>
      </c>
      <c r="T7251" s="28">
        <v>1817300000</v>
      </c>
      <c r="U7251" s="28"/>
      <c r="V7251" s="28">
        <v>176795000</v>
      </c>
      <c r="W7251" s="28">
        <v>3030020000</v>
      </c>
      <c r="X7251" s="28">
        <v>23590000</v>
      </c>
      <c r="Y7251" s="28">
        <v>5708127000</v>
      </c>
      <c r="Z7251" s="28">
        <v>523721000</v>
      </c>
      <c r="AA7251" s="28">
        <v>1219705000</v>
      </c>
      <c r="AB7251" s="28">
        <v>2269136000</v>
      </c>
      <c r="AC7251" s="28">
        <v>3729752000</v>
      </c>
      <c r="AD7251" s="28">
        <v>711201000</v>
      </c>
      <c r="AE7251" s="28">
        <v>6178421000</v>
      </c>
      <c r="AF7251" s="28">
        <v>89150000</v>
      </c>
      <c r="AG7251" s="11"/>
    </row>
    <row r="7252">
      <c r="A7252" s="7" t="s">
        <v>8807</v>
      </c>
      <c r="B7252" s="5" t="s">
        <v>16732</v>
      </c>
      <c r="C7252" s="5" t="s">
        <v>24342</v>
      </c>
      <c r="D7252" s="5" t="str">
        <v>771120092249</v>
      </c>
      <c r="E7252" s="0" t="e">
        <f>+7 (495) 7838383
+7 (912) 4876991</f>
        <v>#NAME?</v>
      </c>
      <c r="F7252" s="5" t="s">
        <v>46365</v>
      </c>
      <c r="G7252" s="5" t="s">
        <v>46366</v>
      </c>
      <c r="H7252" s="26">
        <v>15</v>
      </c>
      <c r="I7252" s="5" t="s">
        <v>46367</v>
      </c>
      <c r="J7252" s="5" t="s">
        <v>599</v>
      </c>
      <c r="K7252" s="5" t="s">
        <v>355</v>
      </c>
      <c r="L7252" s="5" t="s">
        <v>46368</v>
      </c>
      <c r="M7252" s="27">
        <v>464239232</v>
      </c>
      <c r="N7252" s="5"/>
      <c r="O7252" s="5" t="str">
        <v>5904179223</v>
      </c>
      <c r="P7252" s="27">
        <v>1010000</v>
      </c>
      <c r="Q7252" s="5"/>
      <c r="R7252" s="5" t="s">
        <v>60134</v>
      </c>
      <c r="S7252" s="5" t="s">
        <v>49110</v>
      </c>
      <c r="T7252" s="28">
        <v>10051246000</v>
      </c>
      <c r="U7252" s="28"/>
      <c r="V7252" s="28">
        <v>3370790000</v>
      </c>
      <c r="W7252" s="28"/>
      <c r="X7252" s="28">
        <v>25827000</v>
      </c>
      <c r="Y7252" s="28">
        <v>16495905000</v>
      </c>
      <c r="Z7252" s="28">
        <v>1318760000</v>
      </c>
      <c r="AA7252" s="28"/>
      <c r="AB7252" s="28">
        <v>2345930000</v>
      </c>
      <c r="AC7252" s="28">
        <v>4316062000</v>
      </c>
      <c r="AD7252" s="28">
        <v>1320239000</v>
      </c>
      <c r="AE7252" s="28">
        <v>10358765000</v>
      </c>
      <c r="AF7252" s="28">
        <v>28498000</v>
      </c>
      <c r="AG7252" s="11"/>
    </row>
    <row r="7253">
      <c r="A7253" s="7" t="s">
        <v>8808</v>
      </c>
      <c r="B7253" s="5" t="s">
        <v>16733</v>
      </c>
      <c r="C7253" s="5" t="s">
        <v>24343</v>
      </c>
      <c r="D7253" s="5" t="str">
        <v>741501178104</v>
      </c>
      <c r="E7253" s="0" t="e">
        <f>+7 (351) 3248266
+7 (3513) 525563
+7 (3513) 531818
+7 (3513) 531919
+7 (800) 7753300
+7 (992) 5124838</f>
        <v>#NAME?</v>
      </c>
      <c r="F7253" s="5"/>
      <c r="G7253" s="5"/>
      <c r="H7253" s="26">
        <v>18</v>
      </c>
      <c r="I7253" s="5" t="s">
        <v>46369</v>
      </c>
      <c r="J7253" s="5" t="s">
        <v>25747</v>
      </c>
      <c r="K7253" s="5" t="s">
        <v>344</v>
      </c>
      <c r="L7253" s="5" t="s">
        <v>46370</v>
      </c>
      <c r="M7253" s="27">
        <v>417939</v>
      </c>
      <c r="N7253" s="5" t="s">
        <v>60135</v>
      </c>
      <c r="O7253" s="5" t="str">
        <v>7415044142</v>
      </c>
      <c r="P7253" s="27">
        <v>120000000</v>
      </c>
      <c r="Q7253" s="5" t="s">
        <v>60136</v>
      </c>
      <c r="R7253" s="5"/>
      <c r="S7253" s="5" t="s">
        <v>49361</v>
      </c>
      <c r="T7253" s="28">
        <v>10628000</v>
      </c>
      <c r="U7253" s="28"/>
      <c r="V7253" s="28">
        <v>1678575000</v>
      </c>
      <c r="W7253" s="28"/>
      <c r="X7253" s="28">
        <v>9213000</v>
      </c>
      <c r="Y7253" s="28">
        <v>1848072000</v>
      </c>
      <c r="Z7253" s="28">
        <v>1120725000</v>
      </c>
      <c r="AA7253" s="28"/>
      <c r="AB7253" s="28">
        <v>229000</v>
      </c>
      <c r="AC7253" s="28">
        <v>537048000</v>
      </c>
      <c r="AD7253" s="28">
        <v>1309770000</v>
      </c>
      <c r="AE7253" s="28">
        <v>6161262000</v>
      </c>
      <c r="AF7253" s="28">
        <v>793924000</v>
      </c>
      <c r="AG7253" s="11"/>
    </row>
    <row r="7254">
      <c r="A7254" s="7" t="s">
        <v>8809</v>
      </c>
      <c r="B7254" s="5" t="s">
        <v>16734</v>
      </c>
      <c r="C7254" s="5" t="s">
        <v>24344</v>
      </c>
      <c r="D7254" s="5" t="str">
        <v>740404602460</v>
      </c>
      <c r="E7254" s="0" t="e">
        <f>+7 (912) 8947888
+7 (3513) 620441
+7 (3513) 620448
+7 (3513) 621353
+7 (912) 8972953</f>
        <v>#NAME?</v>
      </c>
      <c r="F7254" s="5" t="s">
        <v>46371</v>
      </c>
      <c r="G7254" s="5" t="s">
        <v>46372</v>
      </c>
      <c r="H7254" s="26">
        <v>22</v>
      </c>
      <c r="I7254" s="5" t="s">
        <v>46373</v>
      </c>
      <c r="J7254" s="5" t="s">
        <v>26292</v>
      </c>
      <c r="K7254" s="5" t="s">
        <v>355</v>
      </c>
      <c r="L7254" s="5" t="s">
        <v>46374</v>
      </c>
      <c r="M7254" s="27"/>
      <c r="N7254" s="5" t="s">
        <v>60137</v>
      </c>
      <c r="O7254" s="5" t="str">
        <v>7404032642</v>
      </c>
      <c r="P7254" s="27">
        <v>10000</v>
      </c>
      <c r="Q7254" s="5"/>
      <c r="R7254" s="5"/>
      <c r="S7254" s="5" t="s">
        <v>49160</v>
      </c>
      <c r="T7254" s="28">
        <v>141092000</v>
      </c>
      <c r="U7254" s="28"/>
      <c r="V7254" s="28">
        <v>553450000</v>
      </c>
      <c r="W7254" s="28">
        <v>5710000</v>
      </c>
      <c r="X7254" s="28">
        <v>59235000</v>
      </c>
      <c r="Y7254" s="28">
        <v>1374455000</v>
      </c>
      <c r="Z7254" s="28">
        <v>110547000</v>
      </c>
      <c r="AA7254" s="28"/>
      <c r="AB7254" s="28">
        <v>30400000</v>
      </c>
      <c r="AC7254" s="28">
        <v>1263898000</v>
      </c>
      <c r="AD7254" s="28">
        <v>110557000</v>
      </c>
      <c r="AE7254" s="28">
        <v>5975971000</v>
      </c>
      <c r="AF7254" s="28">
        <v>32276000</v>
      </c>
      <c r="AG7254" s="11"/>
    </row>
    <row r="7255">
      <c r="A7255" s="7" t="s">
        <v>8810</v>
      </c>
      <c r="B7255" s="5" t="s">
        <v>16735</v>
      </c>
      <c r="C7255" s="5" t="s">
        <v>24344</v>
      </c>
      <c r="D7255" s="5" t="str">
        <v>740404602460</v>
      </c>
      <c r="E7255" s="0" t="e">
        <f>+7 (912) 7728404</f>
        <v>#NAME?</v>
      </c>
      <c r="F7255" s="5"/>
      <c r="G7255" s="5"/>
      <c r="H7255" s="26">
        <v>8.5</v>
      </c>
      <c r="I7255" s="5" t="s">
        <v>46373</v>
      </c>
      <c r="J7255" s="5" t="s">
        <v>25337</v>
      </c>
      <c r="K7255" s="5" t="s">
        <v>344</v>
      </c>
      <c r="L7255" s="5" t="s">
        <v>46375</v>
      </c>
      <c r="M7255" s="27"/>
      <c r="N7255" s="5" t="s">
        <v>60138</v>
      </c>
      <c r="O7255" s="5" t="str">
        <v>7404064228</v>
      </c>
      <c r="P7255" s="27">
        <v>10000</v>
      </c>
      <c r="Q7255" s="5" t="s">
        <v>60139</v>
      </c>
      <c r="R7255" s="5"/>
      <c r="S7255" s="5" t="s">
        <v>60140</v>
      </c>
      <c r="T7255" s="28">
        <v>3164000</v>
      </c>
      <c r="U7255" s="28"/>
      <c r="V7255" s="28">
        <v>214717000</v>
      </c>
      <c r="W7255" s="28">
        <v>19600000</v>
      </c>
      <c r="X7255" s="28">
        <v>72289000</v>
      </c>
      <c r="Y7255" s="28">
        <v>642903000</v>
      </c>
      <c r="Z7255" s="28">
        <v>58228000</v>
      </c>
      <c r="AA7255" s="28"/>
      <c r="AB7255" s="28"/>
      <c r="AC7255" s="28">
        <v>584665000</v>
      </c>
      <c r="AD7255" s="28">
        <v>58238000</v>
      </c>
      <c r="AE7255" s="28">
        <v>3095405000</v>
      </c>
      <c r="AF7255" s="28">
        <v>20379000</v>
      </c>
      <c r="AG7255" s="11"/>
    </row>
    <row r="7256">
      <c r="A7256" s="7" t="s">
        <v>8811</v>
      </c>
      <c r="B7256" s="5" t="s">
        <v>16736</v>
      </c>
      <c r="C7256" s="5" t="s">
        <v>24345</v>
      </c>
      <c r="D7256" s="5" t="str">
        <v>744704328505</v>
      </c>
      <c r="E7256" s="0" t="e">
        <f>+7 (912) 8921896
+7 (919) 3330707</f>
        <v>#NAME?</v>
      </c>
      <c r="F7256" s="5" t="s">
        <v>46376</v>
      </c>
      <c r="G7256" s="5"/>
      <c r="H7256" s="26">
        <v>12</v>
      </c>
      <c r="I7256" s="5" t="s">
        <v>46377</v>
      </c>
      <c r="J7256" s="5" t="s">
        <v>25759</v>
      </c>
      <c r="K7256" s="5" t="s">
        <v>344</v>
      </c>
      <c r="L7256" s="5" t="s">
        <v>46378</v>
      </c>
      <c r="M7256" s="27"/>
      <c r="N7256" s="5"/>
      <c r="O7256" s="5" t="str">
        <v>7401015938</v>
      </c>
      <c r="P7256" s="27">
        <v>10000</v>
      </c>
      <c r="Q7256" s="5" t="s">
        <v>49009</v>
      </c>
      <c r="R7256" s="5" t="s">
        <v>50655</v>
      </c>
      <c r="S7256" s="5" t="s">
        <v>49012</v>
      </c>
      <c r="T7256" s="28">
        <v>14703000</v>
      </c>
      <c r="U7256" s="28"/>
      <c r="V7256" s="28">
        <v>502550000</v>
      </c>
      <c r="W7256" s="28">
        <v>100000000</v>
      </c>
      <c r="X7256" s="28">
        <v>285731000</v>
      </c>
      <c r="Y7256" s="28">
        <v>1534534000</v>
      </c>
      <c r="Z7256" s="28">
        <v>1127333000</v>
      </c>
      <c r="AA7256" s="28"/>
      <c r="AB7256" s="28"/>
      <c r="AC7256" s="28">
        <v>407031000</v>
      </c>
      <c r="AD7256" s="28">
        <v>1127343000</v>
      </c>
      <c r="AE7256" s="28">
        <v>6970208000</v>
      </c>
      <c r="AF7256" s="28">
        <v>356381000</v>
      </c>
      <c r="AG7256" s="11"/>
    </row>
    <row r="7257">
      <c r="A7257" s="7" t="s">
        <v>8812</v>
      </c>
      <c r="B7257" s="5" t="s">
        <v>16737</v>
      </c>
      <c r="C7257" s="5" t="s">
        <v>24346</v>
      </c>
      <c r="D7257" s="5" t="str">
        <v>660300846007</v>
      </c>
      <c r="E7257" s="0" t="e">
        <f>+7 (343) 3784022
+7 (343) 3784023
+7 (343) 3784024
+7 (343) 3784025
+7 (343) 3784026
+7 (343) 6541536
+7 (34365) 26247
+7 (34365) 41009
+7 (34365) 41211
+7 (34365) 41336
+7 (34365) 41347
+7 (34365) 41509
+7 (34365) 41555
+7 (34365) 41663
+7 (34365) 41692</f>
        <v>#NAME?</v>
      </c>
      <c r="F7257" s="5" t="s">
        <v>46379</v>
      </c>
      <c r="G7257" s="5"/>
      <c r="H7257" s="26">
        <v>30</v>
      </c>
      <c r="I7257" s="5" t="s">
        <v>46380</v>
      </c>
      <c r="J7257" s="5" t="s">
        <v>38604</v>
      </c>
      <c r="K7257" s="5" t="s">
        <v>355</v>
      </c>
      <c r="L7257" s="5" t="s">
        <v>46381</v>
      </c>
      <c r="M7257" s="27">
        <v>25738</v>
      </c>
      <c r="N7257" s="5" t="s">
        <v>60141</v>
      </c>
      <c r="O7257" s="5" t="str">
        <v>6603001252</v>
      </c>
      <c r="P7257" s="27">
        <v>987132000</v>
      </c>
      <c r="Q7257" s="5" t="s">
        <v>49009</v>
      </c>
      <c r="R7257" s="5"/>
      <c r="S7257" s="5" t="s">
        <v>60142</v>
      </c>
      <c r="T7257" s="28">
        <v>5358465000</v>
      </c>
      <c r="U7257" s="28">
        <v>1572857000</v>
      </c>
      <c r="V7257" s="28">
        <v>7109316000</v>
      </c>
      <c r="W7257" s="28">
        <v>7007000</v>
      </c>
      <c r="X7257" s="28">
        <v>737079000</v>
      </c>
      <c r="Y7257" s="28">
        <v>17710367000</v>
      </c>
      <c r="Z7257" s="28">
        <v>11573326000</v>
      </c>
      <c r="AA7257" s="28">
        <v>385263000</v>
      </c>
      <c r="AB7257" s="28">
        <v>1361228000</v>
      </c>
      <c r="AC7257" s="28">
        <v>2688460000</v>
      </c>
      <c r="AD7257" s="28">
        <v>13637657000</v>
      </c>
      <c r="AE7257" s="28">
        <v>18558651000</v>
      </c>
      <c r="AF7257" s="28">
        <v>1400717000</v>
      </c>
      <c r="AG7257" s="11"/>
    </row>
    <row r="7258">
      <c r="A7258" s="7" t="s">
        <v>8813</v>
      </c>
      <c r="B7258" s="5" t="s">
        <v>16738</v>
      </c>
      <c r="C7258" s="5" t="s">
        <v>24347</v>
      </c>
      <c r="D7258" s="5" t="str">
        <v>667209254004</v>
      </c>
      <c r="E7258" s="0" t="e">
        <f>+7 (3422) 155266
+7 (343) 2637405
+7 (343) 3453434
+7 (3432) 610847
+7 (3432) 705844
+7 (34355) 45129</f>
        <v>#NAME?</v>
      </c>
      <c r="F7258" s="5" t="s">
        <v>46382</v>
      </c>
      <c r="G7258" s="5" t="s">
        <v>46383</v>
      </c>
      <c r="H7258" s="26">
        <v>22.5</v>
      </c>
      <c r="I7258" s="5"/>
      <c r="J7258" s="5" t="s">
        <v>25805</v>
      </c>
      <c r="K7258" s="5" t="s">
        <v>344</v>
      </c>
      <c r="L7258" s="5" t="s">
        <v>46384</v>
      </c>
      <c r="M7258" s="27"/>
      <c r="N7258" s="5" t="s">
        <v>60143</v>
      </c>
      <c r="O7258" s="5" t="str">
        <v>6660145170</v>
      </c>
      <c r="P7258" s="27">
        <v>250000</v>
      </c>
      <c r="Q7258" s="5" t="s">
        <v>60144</v>
      </c>
      <c r="R7258" s="5"/>
      <c r="S7258" s="5" t="s">
        <v>49487</v>
      </c>
      <c r="T7258" s="28">
        <v>28832000</v>
      </c>
      <c r="U7258" s="28"/>
      <c r="V7258" s="28">
        <v>1345751000</v>
      </c>
      <c r="W7258" s="28"/>
      <c r="X7258" s="28">
        <v>1075000</v>
      </c>
      <c r="Y7258" s="28">
        <v>1872062000</v>
      </c>
      <c r="Z7258" s="28">
        <v>276561000</v>
      </c>
      <c r="AA7258" s="28">
        <v>63636000</v>
      </c>
      <c r="AB7258" s="28">
        <v>650808000</v>
      </c>
      <c r="AC7258" s="28">
        <v>1377548000</v>
      </c>
      <c r="AD7258" s="28">
        <v>276824000</v>
      </c>
      <c r="AE7258" s="28">
        <v>3627616000</v>
      </c>
      <c r="AF7258" s="28">
        <v>52842000</v>
      </c>
      <c r="AG7258" s="11"/>
    </row>
    <row r="7259">
      <c r="A7259" s="7" t="s">
        <v>8814</v>
      </c>
      <c r="B7259" s="5" t="s">
        <v>16739</v>
      </c>
      <c r="C7259" s="5" t="s">
        <v>24232</v>
      </c>
      <c r="D7259" s="5"/>
      <c r="E7259" s="0" t="e">
        <f>+7 (351) 3191141
+7 (3512) 196135
+7 (35131) 92766
+7 (35131) 96110
+7 (35131) 96135
+7 (35131) 96136
+7 (3517) 770777
+7 (922) 151684</f>
        <v>#NAME?</v>
      </c>
      <c r="F7259" s="5" t="s">
        <v>46385</v>
      </c>
      <c r="G7259" s="5"/>
      <c r="H7259" s="26">
        <v>24.5</v>
      </c>
      <c r="I7259" s="5" t="s">
        <v>46386</v>
      </c>
      <c r="J7259" s="5" t="s">
        <v>25450</v>
      </c>
      <c r="K7259" s="5" t="s">
        <v>355</v>
      </c>
      <c r="L7259" s="5"/>
      <c r="M7259" s="27">
        <v>7542448</v>
      </c>
      <c r="N7259" s="5"/>
      <c r="O7259" s="5" t="str">
        <v>7453048356</v>
      </c>
      <c r="P7259" s="27">
        <v>1500000000</v>
      </c>
      <c r="Q7259" s="5" t="s">
        <v>49009</v>
      </c>
      <c r="R7259" s="5" t="s">
        <v>49329</v>
      </c>
      <c r="S7259" s="5" t="s">
        <v>49045</v>
      </c>
      <c r="T7259" s="28">
        <v>2407912000</v>
      </c>
      <c r="U7259" s="28"/>
      <c r="V7259" s="28">
        <v>441592000</v>
      </c>
      <c r="W7259" s="28"/>
      <c r="X7259" s="28">
        <v>1070000</v>
      </c>
      <c r="Y7259" s="28">
        <v>4199964000</v>
      </c>
      <c r="Z7259" s="28">
        <v>-5547889000</v>
      </c>
      <c r="AA7259" s="28">
        <v>493612000</v>
      </c>
      <c r="AB7259" s="28">
        <v>200844000</v>
      </c>
      <c r="AC7259" s="28">
        <v>2943479000</v>
      </c>
      <c r="AD7259" s="28">
        <v>234388000</v>
      </c>
      <c r="AE7259" s="28">
        <v>6079483000</v>
      </c>
      <c r="AF7259" s="28">
        <v>-1313167000</v>
      </c>
      <c r="AG7259" s="11"/>
    </row>
    <row r="7260">
      <c r="A7260" s="7" t="s">
        <v>8815</v>
      </c>
      <c r="B7260" s="5" t="s">
        <v>16740</v>
      </c>
      <c r="C7260" s="5" t="s">
        <v>24348</v>
      </c>
      <c r="D7260" s="5" t="str">
        <v>745001672640</v>
      </c>
      <c r="E7260" s="0" t="e">
        <f>+7 (3422) 357545
+7 (3422) 639090
+7 (495) 1377355
+7 (912) 5824087</f>
        <v>#NAME?</v>
      </c>
      <c r="F7260" s="5" t="s">
        <v>46387</v>
      </c>
      <c r="G7260" s="5"/>
      <c r="H7260" s="26">
        <v>25.5</v>
      </c>
      <c r="I7260" s="5" t="s">
        <v>46388</v>
      </c>
      <c r="J7260" s="5" t="s">
        <v>27070</v>
      </c>
      <c r="K7260" s="5" t="s">
        <v>344</v>
      </c>
      <c r="L7260" s="5" t="s">
        <v>46389</v>
      </c>
      <c r="M7260" s="27">
        <v>32788</v>
      </c>
      <c r="N7260" s="5"/>
      <c r="O7260" s="5" t="str">
        <v>7405005401</v>
      </c>
      <c r="P7260" s="27">
        <v>41250</v>
      </c>
      <c r="Q7260" s="5" t="s">
        <v>60146</v>
      </c>
      <c r="R7260" s="5"/>
      <c r="S7260" s="5" t="s">
        <v>50509</v>
      </c>
      <c r="T7260" s="28">
        <v>6662173000</v>
      </c>
      <c r="U7260" s="28">
        <v>10000</v>
      </c>
      <c r="V7260" s="28">
        <v>2458165000</v>
      </c>
      <c r="W7260" s="28"/>
      <c r="X7260" s="28">
        <v>507760000</v>
      </c>
      <c r="Y7260" s="28">
        <v>10543326000</v>
      </c>
      <c r="Z7260" s="28">
        <v>3783911000</v>
      </c>
      <c r="AA7260" s="28">
        <v>2840991000</v>
      </c>
      <c r="AB7260" s="28">
        <v>173567000</v>
      </c>
      <c r="AC7260" s="28">
        <v>1637643000</v>
      </c>
      <c r="AD7260" s="28">
        <v>5934340000</v>
      </c>
      <c r="AE7260" s="28">
        <v>15996147000</v>
      </c>
      <c r="AF7260" s="28">
        <v>1461058000</v>
      </c>
      <c r="AG7260" s="11"/>
    </row>
    <row r="7261">
      <c r="A7261" s="7" t="s">
        <v>8816</v>
      </c>
      <c r="B7261" s="5" t="s">
        <v>16741</v>
      </c>
      <c r="C7261" s="5" t="s">
        <v>24349</v>
      </c>
      <c r="D7261" s="5" t="str">
        <v>594203387070</v>
      </c>
      <c r="E7261" s="0" t="e">
        <f>+7 (912) 8856675
+7 (3422) 357545
+7 (950) 4757051</f>
        <v>#NAME?</v>
      </c>
      <c r="F7261" s="5"/>
      <c r="G7261" s="5"/>
      <c r="H7261" s="26">
        <v>12.5</v>
      </c>
      <c r="I7261" s="5" t="s">
        <v>46390</v>
      </c>
      <c r="J7261" s="5" t="s">
        <v>31043</v>
      </c>
      <c r="K7261" s="5" t="s">
        <v>344</v>
      </c>
      <c r="L7261" s="5"/>
      <c r="M7261" s="27">
        <v>18000</v>
      </c>
      <c r="N7261" s="5"/>
      <c r="O7261" s="5" t="str">
        <v>5907046158</v>
      </c>
      <c r="P7261" s="27">
        <v>10000</v>
      </c>
      <c r="Q7261" s="5" t="s">
        <v>49057</v>
      </c>
      <c r="R7261" s="5" t="s">
        <v>60147</v>
      </c>
      <c r="S7261" s="5" t="s">
        <v>60148</v>
      </c>
      <c r="T7261" s="28">
        <v>3414000</v>
      </c>
      <c r="U7261" s="28">
        <v>10000</v>
      </c>
      <c r="V7261" s="28">
        <v>560265000</v>
      </c>
      <c r="W7261" s="28"/>
      <c r="X7261" s="28">
        <v>40666000</v>
      </c>
      <c r="Y7261" s="28">
        <v>640185000</v>
      </c>
      <c r="Z7261" s="28">
        <v>142224000</v>
      </c>
      <c r="AA7261" s="28"/>
      <c r="AB7261" s="28"/>
      <c r="AC7261" s="28">
        <v>497430000</v>
      </c>
      <c r="AD7261" s="28">
        <v>142234000</v>
      </c>
      <c r="AE7261" s="28">
        <v>4023257000</v>
      </c>
      <c r="AF7261" s="28">
        <v>-688000</v>
      </c>
      <c r="AG7261" s="11"/>
    </row>
    <row r="7262">
      <c r="A7262" s="7" t="s">
        <v>8817</v>
      </c>
      <c r="B7262" s="5" t="s">
        <v>16742</v>
      </c>
      <c r="C7262" s="5" t="s">
        <v>24350</v>
      </c>
      <c r="D7262" s="5" t="str">
        <v>660601591867</v>
      </c>
      <c r="E7262" s="0" t="e">
        <f>+7 (922) 2031741</f>
        <v>#NAME?</v>
      </c>
      <c r="F7262" s="5"/>
      <c r="G7262" s="5"/>
      <c r="H7262" s="26">
        <v>6.5</v>
      </c>
      <c r="I7262" s="5" t="s">
        <v>46391</v>
      </c>
      <c r="J7262" s="5" t="s">
        <v>955</v>
      </c>
      <c r="K7262" s="5" t="s">
        <v>344</v>
      </c>
      <c r="L7262" s="5" t="s">
        <v>46392</v>
      </c>
      <c r="M7262" s="27"/>
      <c r="N7262" s="5"/>
      <c r="O7262" s="5" t="str">
        <v>6678076456</v>
      </c>
      <c r="P7262" s="27">
        <v>250000</v>
      </c>
      <c r="Q7262" s="5" t="s">
        <v>49009</v>
      </c>
      <c r="R7262" s="5"/>
      <c r="S7262" s="5" t="s">
        <v>49010</v>
      </c>
      <c r="T7262" s="28"/>
      <c r="U7262" s="28"/>
      <c r="V7262" s="28">
        <v>5071038000</v>
      </c>
      <c r="W7262" s="28"/>
      <c r="X7262" s="28">
        <v>14301000</v>
      </c>
      <c r="Y7262" s="28">
        <v>5139543000</v>
      </c>
      <c r="Z7262" s="28">
        <v>313460000</v>
      </c>
      <c r="AA7262" s="28">
        <v>88988000</v>
      </c>
      <c r="AB7262" s="28">
        <v>367400000</v>
      </c>
      <c r="AC7262" s="28">
        <v>4736845000</v>
      </c>
      <c r="AD7262" s="28">
        <v>313710000</v>
      </c>
      <c r="AE7262" s="28">
        <v>12963876000</v>
      </c>
      <c r="AF7262" s="28">
        <v>90563000</v>
      </c>
      <c r="AG7262" s="11"/>
    </row>
    <row r="7263">
      <c r="A7263" s="7" t="s">
        <v>8818</v>
      </c>
      <c r="B7263" s="5" t="s">
        <v>16743</v>
      </c>
      <c r="C7263" s="5" t="s">
        <v>24351</v>
      </c>
      <c r="D7263" s="5" t="str">
        <v>667219821830</v>
      </c>
      <c r="E7263" s="0" t="e">
        <f>+7 (343) 2830401
+7 (343) 2830402
+7 (343) 2830986
+7 (902) 2629299</f>
        <v>#NAME?</v>
      </c>
      <c r="F7263" s="5" t="s">
        <v>46393</v>
      </c>
      <c r="G7263" s="5" t="s">
        <v>46394</v>
      </c>
      <c r="H7263" s="26">
        <v>7.5</v>
      </c>
      <c r="I7263" s="5" t="s">
        <v>46395</v>
      </c>
      <c r="J7263" s="5" t="s">
        <v>955</v>
      </c>
      <c r="K7263" s="5" t="s">
        <v>344</v>
      </c>
      <c r="L7263" s="5" t="s">
        <v>46396</v>
      </c>
      <c r="M7263" s="27"/>
      <c r="N7263" s="5"/>
      <c r="O7263" s="5" t="str">
        <v>6685099285</v>
      </c>
      <c r="P7263" s="27">
        <v>300000</v>
      </c>
      <c r="Q7263" s="5" t="s">
        <v>49009</v>
      </c>
      <c r="R7263" s="5"/>
      <c r="S7263" s="5" t="s">
        <v>49010</v>
      </c>
      <c r="T7263" s="28">
        <v>253719000</v>
      </c>
      <c r="U7263" s="28"/>
      <c r="V7263" s="28">
        <v>11761998000</v>
      </c>
      <c r="W7263" s="28">
        <v>920074000</v>
      </c>
      <c r="X7263" s="28">
        <v>6856444000</v>
      </c>
      <c r="Y7263" s="28">
        <v>21409633000</v>
      </c>
      <c r="Z7263" s="28">
        <v>4366398000</v>
      </c>
      <c r="AA7263" s="28">
        <v>4003665000</v>
      </c>
      <c r="AB7263" s="28"/>
      <c r="AC7263" s="28">
        <v>13039270000</v>
      </c>
      <c r="AD7263" s="28">
        <v>4366698000</v>
      </c>
      <c r="AE7263" s="28">
        <v>109160258000</v>
      </c>
      <c r="AF7263" s="28">
        <v>2024176000</v>
      </c>
      <c r="AG7263" s="11"/>
    </row>
    <row r="7264">
      <c r="A7264" s="7" t="s">
        <v>8819</v>
      </c>
      <c r="B7264" s="5" t="s">
        <v>16744</v>
      </c>
      <c r="C7264" s="5" t="s">
        <v>24352</v>
      </c>
      <c r="D7264" s="5" t="str">
        <v>665803319334</v>
      </c>
      <c r="E7264" s="0" t="e">
        <f>+7 (343) 2450974
+7 (343) 2458812
+7 (343) 2539329
+7 (3432) 456114
+7 (3432) 458346
+7 (3432) 458893
+7 (34350) 33171</f>
        <v>#NAME?</v>
      </c>
      <c r="F7264" s="5"/>
      <c r="G7264" s="5" t="s">
        <v>46397</v>
      </c>
      <c r="H7264" s="26">
        <v>18</v>
      </c>
      <c r="I7264" s="5" t="s">
        <v>46398</v>
      </c>
      <c r="J7264" s="5" t="s">
        <v>46399</v>
      </c>
      <c r="K7264" s="5" t="s">
        <v>344</v>
      </c>
      <c r="L7264" s="5" t="s">
        <v>35041</v>
      </c>
      <c r="M7264" s="27">
        <v>63937655</v>
      </c>
      <c r="N7264" s="5"/>
      <c r="O7264" s="5" t="str">
        <v>6658206185</v>
      </c>
      <c r="P7264" s="27">
        <v>10000</v>
      </c>
      <c r="Q7264" s="5" t="s">
        <v>49009</v>
      </c>
      <c r="R7264" s="5" t="s">
        <v>60149</v>
      </c>
      <c r="S7264" s="5" t="s">
        <v>49066</v>
      </c>
      <c r="T7264" s="28">
        <v>136510000</v>
      </c>
      <c r="U7264" s="28"/>
      <c r="V7264" s="28">
        <v>2051686000</v>
      </c>
      <c r="W7264" s="28"/>
      <c r="X7264" s="28">
        <v>1453256000</v>
      </c>
      <c r="Y7264" s="28">
        <v>4264664000</v>
      </c>
      <c r="Z7264" s="28">
        <v>383311000</v>
      </c>
      <c r="AA7264" s="28"/>
      <c r="AB7264" s="28"/>
      <c r="AC7264" s="28">
        <v>3879545000</v>
      </c>
      <c r="AD7264" s="28">
        <v>383321000</v>
      </c>
      <c r="AE7264" s="28">
        <v>6614975000</v>
      </c>
      <c r="AF7264" s="28">
        <v>239394000</v>
      </c>
      <c r="AG7264" s="11"/>
    </row>
    <row r="7265">
      <c r="A7265" s="7" t="s">
        <v>8820</v>
      </c>
      <c r="B7265" s="5" t="s">
        <v>16745</v>
      </c>
      <c r="C7265" s="5" t="s">
        <v>24353</v>
      </c>
      <c r="D7265" s="5" t="str">
        <v>665806571490</v>
      </c>
      <c r="E7265" s="0" t="e">
        <f>+7 (343) 3420139
+7 (343) 2179134
+7 (343) 6689803
+7 (912) 6926777
+7 (922) 2030283</f>
        <v>#NAME?</v>
      </c>
      <c r="F7265" s="5" t="s">
        <v>46400</v>
      </c>
      <c r="G7265" s="5"/>
      <c r="H7265" s="26">
        <v>18.5</v>
      </c>
      <c r="I7265" s="5" t="s">
        <v>46401</v>
      </c>
      <c r="J7265" s="5" t="s">
        <v>467</v>
      </c>
      <c r="K7265" s="5" t="s">
        <v>344</v>
      </c>
      <c r="L7265" s="5" t="s">
        <v>46402</v>
      </c>
      <c r="M7265" s="27">
        <v>23333714</v>
      </c>
      <c r="N7265" s="5" t="s">
        <v>60150</v>
      </c>
      <c r="O7265" s="5" t="str">
        <v>6672175034</v>
      </c>
      <c r="P7265" s="27">
        <v>33330</v>
      </c>
      <c r="Q7265" s="5" t="s">
        <v>60151</v>
      </c>
      <c r="R7265" s="5"/>
      <c r="S7265" s="5" t="s">
        <v>60152</v>
      </c>
      <c r="T7265" s="28">
        <v>228972000</v>
      </c>
      <c r="U7265" s="28">
        <v>13148000</v>
      </c>
      <c r="V7265" s="28">
        <v>1051261000</v>
      </c>
      <c r="W7265" s="28"/>
      <c r="X7265" s="28">
        <v>289412000</v>
      </c>
      <c r="Y7265" s="28">
        <v>2635280000</v>
      </c>
      <c r="Z7265" s="28">
        <v>200640000</v>
      </c>
      <c r="AA7265" s="28">
        <v>5249000</v>
      </c>
      <c r="AB7265" s="28">
        <v>707004000</v>
      </c>
      <c r="AC7265" s="28">
        <v>2120388000</v>
      </c>
      <c r="AD7265" s="28">
        <v>200673000</v>
      </c>
      <c r="AE7265" s="28">
        <v>3907391000</v>
      </c>
      <c r="AF7265" s="28">
        <v>48023000</v>
      </c>
      <c r="AG7265" s="11"/>
    </row>
    <row r="7266">
      <c r="A7266" s="7" t="s">
        <v>8821</v>
      </c>
      <c r="B7266" s="5" t="s">
        <v>16746</v>
      </c>
      <c r="C7266" s="5" t="s">
        <v>24354</v>
      </c>
      <c r="D7266" s="5" t="str">
        <v>666300772275</v>
      </c>
      <c r="E7266" s="0" t="e">
        <f>+7 (3432) 781555
+7 (345) 2490323
+7 (345) 2490324
+7 (3433) 411568
+7 (345) 2540570</f>
        <v>#NAME?</v>
      </c>
      <c r="F7266" s="5" t="s">
        <v>46403</v>
      </c>
      <c r="G7266" s="5" t="s">
        <v>46404</v>
      </c>
      <c r="H7266" s="26">
        <v>22</v>
      </c>
      <c r="I7266" s="5" t="s">
        <v>46405</v>
      </c>
      <c r="J7266" s="5" t="s">
        <v>25190</v>
      </c>
      <c r="K7266" s="5" t="s">
        <v>344</v>
      </c>
      <c r="L7266" s="5" t="s">
        <v>46406</v>
      </c>
      <c r="M7266" s="27">
        <v>471424</v>
      </c>
      <c r="N7266" s="5" t="s">
        <v>60153</v>
      </c>
      <c r="O7266" s="5" t="str">
        <v>6663079817</v>
      </c>
      <c r="P7266" s="27">
        <v>1000000</v>
      </c>
      <c r="Q7266" s="5" t="s">
        <v>49009</v>
      </c>
      <c r="R7266" s="5"/>
      <c r="S7266" s="5" t="s">
        <v>49012</v>
      </c>
      <c r="T7266" s="28">
        <v>21879000</v>
      </c>
      <c r="U7266" s="28"/>
      <c r="V7266" s="28">
        <v>735164000</v>
      </c>
      <c r="W7266" s="28">
        <v>160019000</v>
      </c>
      <c r="X7266" s="28">
        <v>229322000</v>
      </c>
      <c r="Y7266" s="28">
        <v>1846232000</v>
      </c>
      <c r="Z7266" s="28">
        <v>435347000</v>
      </c>
      <c r="AA7266" s="28">
        <v>379824000</v>
      </c>
      <c r="AB7266" s="28">
        <v>201413000</v>
      </c>
      <c r="AC7266" s="28">
        <v>804156000</v>
      </c>
      <c r="AD7266" s="28">
        <v>660347000</v>
      </c>
      <c r="AE7266" s="28">
        <v>7139324000</v>
      </c>
      <c r="AF7266" s="28">
        <v>213061000</v>
      </c>
      <c r="AG7266" s="11"/>
    </row>
    <row r="7267">
      <c r="A7267" s="7" t="s">
        <v>8822</v>
      </c>
      <c r="B7267" s="5" t="s">
        <v>16747</v>
      </c>
      <c r="C7267" s="5" t="s">
        <v>24355</v>
      </c>
      <c r="D7267" s="5" t="str">
        <v>591911922740</v>
      </c>
      <c r="E7267" s="0" t="e">
        <f>+7 (342) 4296656
+7 (3422) 296266
+7 (3422) 296656
+7 (34242) 96003
+7 (34253) 96460</f>
        <v>#NAME?</v>
      </c>
      <c r="F7267" s="5" t="s">
        <v>46407</v>
      </c>
      <c r="G7267" s="5" t="s">
        <v>42819</v>
      </c>
      <c r="H7267" s="26">
        <v>11.5</v>
      </c>
      <c r="I7267" s="5" t="s">
        <v>46408</v>
      </c>
      <c r="J7267" s="5" t="s">
        <v>897</v>
      </c>
      <c r="K7267" s="5" t="s">
        <v>344</v>
      </c>
      <c r="L7267" s="5" t="s">
        <v>46409</v>
      </c>
      <c r="M7267" s="27">
        <v>814309</v>
      </c>
      <c r="N7267" s="5"/>
      <c r="O7267" s="5" t="str">
        <v>5911065428</v>
      </c>
      <c r="P7267" s="27">
        <v>15000000</v>
      </c>
      <c r="Q7267" s="5"/>
      <c r="R7267" s="5"/>
      <c r="S7267" s="5" t="s">
        <v>49029</v>
      </c>
      <c r="T7267" s="28">
        <v>386049000</v>
      </c>
      <c r="U7267" s="28"/>
      <c r="V7267" s="28">
        <v>2632571000</v>
      </c>
      <c r="W7267" s="28"/>
      <c r="X7267" s="28">
        <v>18703000</v>
      </c>
      <c r="Y7267" s="28">
        <v>5542077000</v>
      </c>
      <c r="Z7267" s="28">
        <v>2118374000</v>
      </c>
      <c r="AA7267" s="28"/>
      <c r="AB7267" s="28"/>
      <c r="AC7267" s="28">
        <v>2847373000</v>
      </c>
      <c r="AD7267" s="28">
        <v>2241052000</v>
      </c>
      <c r="AE7267" s="28">
        <v>12200772000</v>
      </c>
      <c r="AF7267" s="28">
        <v>254344000</v>
      </c>
      <c r="AG7267" s="11"/>
    </row>
    <row r="7268">
      <c r="A7268" s="7" t="s">
        <v>8823</v>
      </c>
      <c r="B7268" s="5" t="s">
        <v>16748</v>
      </c>
      <c r="C7268" s="5" t="s">
        <v>24356</v>
      </c>
      <c r="D7268" s="5" t="str">
        <v>450102526821</v>
      </c>
      <c r="E7268" s="0" t="e">
        <f>+7 (3472) 828831
+7 (351) 2263972
+7 (351) 2263994
+7 (351) 2631511
+7 (3512) 639942</f>
        <v>#NAME?</v>
      </c>
      <c r="F7268" s="5" t="s">
        <v>46410</v>
      </c>
      <c r="G7268" s="5" t="s">
        <v>46411</v>
      </c>
      <c r="H7268" s="26">
        <v>29</v>
      </c>
      <c r="I7268" s="5"/>
      <c r="J7268" s="5" t="s">
        <v>1081</v>
      </c>
      <c r="K7268" s="5" t="s">
        <v>344</v>
      </c>
      <c r="L7268" s="5"/>
      <c r="M7268" s="27">
        <v>583820346</v>
      </c>
      <c r="N7268" s="5" t="s">
        <v>60154</v>
      </c>
      <c r="O7268" s="5" t="str">
        <v>7451048960</v>
      </c>
      <c r="P7268" s="27">
        <v>96722</v>
      </c>
      <c r="Q7268" s="5" t="s">
        <v>60155</v>
      </c>
      <c r="R7268" s="5"/>
      <c r="S7268" s="5" t="s">
        <v>60156</v>
      </c>
      <c r="T7268" s="28">
        <v>623389000</v>
      </c>
      <c r="U7268" s="28"/>
      <c r="V7268" s="28">
        <v>2651845000</v>
      </c>
      <c r="W7268" s="28">
        <v>606300000</v>
      </c>
      <c r="X7268" s="28">
        <v>1362541000</v>
      </c>
      <c r="Y7268" s="28">
        <v>7090686000</v>
      </c>
      <c r="Z7268" s="28">
        <v>1954439000</v>
      </c>
      <c r="AA7268" s="28"/>
      <c r="AB7268" s="28">
        <v>54285000</v>
      </c>
      <c r="AC7268" s="28">
        <v>5005987000</v>
      </c>
      <c r="AD7268" s="28">
        <v>2067490000</v>
      </c>
      <c r="AE7268" s="28">
        <v>4708408000</v>
      </c>
      <c r="AF7268" s="28">
        <v>23721000</v>
      </c>
      <c r="AG7268" s="11"/>
    </row>
    <row r="7269">
      <c r="A7269" s="7" t="s">
        <v>8824</v>
      </c>
      <c r="B7269" s="5" t="s">
        <v>16749</v>
      </c>
      <c r="C7269" s="5" t="s">
        <v>24357</v>
      </c>
      <c r="D7269" s="5" t="str">
        <v>744905560681</v>
      </c>
      <c r="E7269" s="0" t="e">
        <f>+7 (351) 2524642
+7 (351) 7998088
+7 (3512) 524695
+7 (3512) 526495
+7 (3512) 526497
+7 (3512) 560725
+7 (3512) 564642
+7 (3512) 565653
+7 (3512) 828060
+7 (3512) 828088</f>
        <v>#NAME?</v>
      </c>
      <c r="F7269" s="5" t="s">
        <v>46412</v>
      </c>
      <c r="G7269" s="5" t="s">
        <v>46413</v>
      </c>
      <c r="H7269" s="26">
        <v>18.5</v>
      </c>
      <c r="I7269" s="5" t="s">
        <v>46414</v>
      </c>
      <c r="J7269" s="5" t="s">
        <v>26328</v>
      </c>
      <c r="K7269" s="5" t="s">
        <v>355</v>
      </c>
      <c r="L7269" s="5"/>
      <c r="M7269" s="27">
        <v>14011210</v>
      </c>
      <c r="N7269" s="5" t="s">
        <v>60157</v>
      </c>
      <c r="O7269" s="5" t="str">
        <v>7449046042</v>
      </c>
      <c r="P7269" s="27">
        <v>2333334</v>
      </c>
      <c r="Q7269" s="5" t="s">
        <v>60158</v>
      </c>
      <c r="R7269" s="5"/>
      <c r="S7269" s="5" t="s">
        <v>49160</v>
      </c>
      <c r="T7269" s="28">
        <v>212621000</v>
      </c>
      <c r="U7269" s="28"/>
      <c r="V7269" s="28">
        <v>858631000</v>
      </c>
      <c r="W7269" s="28">
        <v>11400000</v>
      </c>
      <c r="X7269" s="28">
        <v>9539000</v>
      </c>
      <c r="Y7269" s="28">
        <v>2050721000</v>
      </c>
      <c r="Z7269" s="28">
        <v>920262000</v>
      </c>
      <c r="AA7269" s="28">
        <v>26000000</v>
      </c>
      <c r="AB7269" s="28">
        <v>461188000</v>
      </c>
      <c r="AC7269" s="28">
        <v>885277000</v>
      </c>
      <c r="AD7269" s="28">
        <v>1136625000</v>
      </c>
      <c r="AE7269" s="28">
        <v>3132342000</v>
      </c>
      <c r="AF7269" s="28">
        <v>13767000</v>
      </c>
      <c r="AG7269" s="11"/>
    </row>
    <row r="7270">
      <c r="A7270" s="7" t="s">
        <v>8825</v>
      </c>
      <c r="B7270" s="5" t="s">
        <v>16750</v>
      </c>
      <c r="C7270" s="5" t="s">
        <v>24358</v>
      </c>
      <c r="D7270" s="5" t="str">
        <v>027700815950</v>
      </c>
      <c r="E7270" s="0" t="e">
        <f>+7 (3472) 164400
+7 (3472) 462200
+7 (987) 1483777</f>
        <v>#NAME?</v>
      </c>
      <c r="F7270" s="5" t="s">
        <v>46415</v>
      </c>
      <c r="G7270" s="5" t="s">
        <v>46416</v>
      </c>
      <c r="H7270" s="26">
        <v>7.5</v>
      </c>
      <c r="I7270" s="5" t="s">
        <v>46417</v>
      </c>
      <c r="J7270" s="5" t="s">
        <v>373</v>
      </c>
      <c r="K7270" s="5" t="s">
        <v>344</v>
      </c>
      <c r="L7270" s="5" t="s">
        <v>46418</v>
      </c>
      <c r="M7270" s="27">
        <v>76500</v>
      </c>
      <c r="N7270" s="5" t="s">
        <v>60159</v>
      </c>
      <c r="O7270" s="5" t="str">
        <v>0276906995</v>
      </c>
      <c r="P7270" s="27">
        <v>10000</v>
      </c>
      <c r="Q7270" s="5" t="s">
        <v>60160</v>
      </c>
      <c r="R7270" s="5"/>
      <c r="S7270" s="5" t="s">
        <v>60161</v>
      </c>
      <c r="T7270" s="28">
        <v>14300000</v>
      </c>
      <c r="U7270" s="28">
        <v>73320000</v>
      </c>
      <c r="V7270" s="28">
        <v>450982000</v>
      </c>
      <c r="W7270" s="28">
        <v>4605000</v>
      </c>
      <c r="X7270" s="28">
        <v>9425000</v>
      </c>
      <c r="Y7270" s="28">
        <v>679441000</v>
      </c>
      <c r="Z7270" s="28">
        <v>51842000</v>
      </c>
      <c r="AA7270" s="28"/>
      <c r="AB7270" s="28">
        <v>280778000</v>
      </c>
      <c r="AC7270" s="28">
        <v>616864000</v>
      </c>
      <c r="AD7270" s="28">
        <v>51852000</v>
      </c>
      <c r="AE7270" s="28">
        <v>4521220000</v>
      </c>
      <c r="AF7270" s="28">
        <v>14045000</v>
      </c>
      <c r="AG7270" s="11"/>
    </row>
    <row r="7271">
      <c r="A7271" s="7" t="s">
        <v>8826</v>
      </c>
      <c r="B7271" s="5" t="s">
        <v>16751</v>
      </c>
      <c r="C7271" s="5" t="s">
        <v>24359</v>
      </c>
      <c r="D7271" s="5"/>
      <c r="E7271" s="0" t="e">
        <f>+7 (3422) 181303
+7 (3422) 336035</f>
        <v>#NAME?</v>
      </c>
      <c r="F7271" s="5" t="s">
        <v>46419</v>
      </c>
      <c r="G7271" s="5" t="s">
        <v>46420</v>
      </c>
      <c r="H7271" s="26">
        <v>6</v>
      </c>
      <c r="I7271" s="5" t="s">
        <v>46421</v>
      </c>
      <c r="J7271" s="5" t="s">
        <v>26607</v>
      </c>
      <c r="K7271" s="5" t="s">
        <v>355</v>
      </c>
      <c r="L7271" s="5" t="s">
        <v>46422</v>
      </c>
      <c r="M7271" s="27"/>
      <c r="N7271" s="5"/>
      <c r="O7271" s="5" t="str">
        <v>5902040755</v>
      </c>
      <c r="P7271" s="27">
        <v>10000</v>
      </c>
      <c r="Q7271" s="5"/>
      <c r="R7271" s="5"/>
      <c r="S7271" s="5" t="s">
        <v>49496</v>
      </c>
      <c r="T7271" s="28">
        <v>9192851000</v>
      </c>
      <c r="U7271" s="28"/>
      <c r="V7271" s="28">
        <v>1144284000</v>
      </c>
      <c r="W7271" s="28"/>
      <c r="X7271" s="28"/>
      <c r="Y7271" s="28">
        <v>11357372000</v>
      </c>
      <c r="Z7271" s="28">
        <v>815698000</v>
      </c>
      <c r="AA7271" s="28"/>
      <c r="AB7271" s="28">
        <v>6942987000</v>
      </c>
      <c r="AC7271" s="28">
        <v>9039300000</v>
      </c>
      <c r="AD7271" s="28">
        <v>816011000</v>
      </c>
      <c r="AE7271" s="28">
        <v>18283585000</v>
      </c>
      <c r="AF7271" s="28">
        <v>599452000</v>
      </c>
      <c r="AG7271" s="11"/>
    </row>
    <row r="7272">
      <c r="A7272" s="7" t="s">
        <v>8827</v>
      </c>
      <c r="B7272" s="5" t="s">
        <v>16752</v>
      </c>
      <c r="C7272" s="5" t="s">
        <v>24360</v>
      </c>
      <c r="D7272" s="5" t="str">
        <v>667209700403</v>
      </c>
      <c r="E7272" s="0" t="e">
        <f>+7 (965) 5650036
+7 (343) 2161620
+7 (345) 2658777
+7 (3472) 1002
+7 (381) 2446775
+7 (381) 2572971
+7 (383) 2095959
+7 (383) 3990069
+7 (800) 3013110
+7 (912) 118068
+7 (912) 2876769</f>
        <v>#NAME?</v>
      </c>
      <c r="F7272" s="5" t="s">
        <v>46423</v>
      </c>
      <c r="G7272" s="5" t="s">
        <v>46424</v>
      </c>
      <c r="H7272" s="26">
        <v>10</v>
      </c>
      <c r="I7272" s="5" t="s">
        <v>46425</v>
      </c>
      <c r="J7272" s="5" t="s">
        <v>678</v>
      </c>
      <c r="K7272" s="5" t="s">
        <v>344</v>
      </c>
      <c r="L7272" s="5" t="s">
        <v>46426</v>
      </c>
      <c r="M7272" s="27">
        <v>3704019</v>
      </c>
      <c r="N7272" s="5" t="s">
        <v>60162</v>
      </c>
      <c r="O7272" s="5" t="str">
        <v>6679025768</v>
      </c>
      <c r="P7272" s="27">
        <v>120000</v>
      </c>
      <c r="Q7272" s="5" t="s">
        <v>49009</v>
      </c>
      <c r="R7272" s="5"/>
      <c r="S7272" s="5" t="s">
        <v>49120</v>
      </c>
      <c r="T7272" s="28">
        <v>389301000</v>
      </c>
      <c r="U7272" s="28"/>
      <c r="V7272" s="28">
        <v>235241000</v>
      </c>
      <c r="W7272" s="28"/>
      <c r="X7272" s="28">
        <v>137921000</v>
      </c>
      <c r="Y7272" s="28">
        <v>1385595000</v>
      </c>
      <c r="Z7272" s="28">
        <v>715841000</v>
      </c>
      <c r="AA7272" s="28"/>
      <c r="AB7272" s="28"/>
      <c r="AC7272" s="28">
        <v>228118000</v>
      </c>
      <c r="AD7272" s="28">
        <v>728063000</v>
      </c>
      <c r="AE7272" s="28">
        <v>4366705000</v>
      </c>
      <c r="AF7272" s="28">
        <v>241292000</v>
      </c>
      <c r="AG7272" s="11"/>
    </row>
    <row r="7273">
      <c r="A7273" s="7" t="s">
        <v>8828</v>
      </c>
      <c r="B7273" s="5" t="s">
        <v>16753</v>
      </c>
      <c r="C7273" s="5" t="s">
        <v>24361</v>
      </c>
      <c r="D7273" s="5" t="str">
        <v>662502837200</v>
      </c>
      <c r="E7273" s="0" t="e">
        <f>+7 (343) 3792187</f>
        <v>#NAME?</v>
      </c>
      <c r="F7273" s="5" t="s">
        <v>46427</v>
      </c>
      <c r="G7273" s="5"/>
      <c r="H7273" s="26">
        <v>12.5</v>
      </c>
      <c r="I7273" s="5" t="s">
        <v>46428</v>
      </c>
      <c r="J7273" s="5" t="s">
        <v>25337</v>
      </c>
      <c r="K7273" s="5" t="s">
        <v>344</v>
      </c>
      <c r="L7273" s="5" t="s">
        <v>46429</v>
      </c>
      <c r="M7273" s="27"/>
      <c r="N7273" s="5" t="s">
        <v>60163</v>
      </c>
      <c r="O7273" s="5" t="str">
        <v>6672319624</v>
      </c>
      <c r="P7273" s="27">
        <v>150000</v>
      </c>
      <c r="Q7273" s="5" t="s">
        <v>60164</v>
      </c>
      <c r="R7273" s="5"/>
      <c r="S7273" s="5" t="s">
        <v>60165</v>
      </c>
      <c r="T7273" s="28">
        <v>86464000</v>
      </c>
      <c r="U7273" s="28"/>
      <c r="V7273" s="28">
        <v>551972000</v>
      </c>
      <c r="W7273" s="28">
        <v>1573000</v>
      </c>
      <c r="X7273" s="28">
        <v>87388000</v>
      </c>
      <c r="Y7273" s="28">
        <v>1329487000</v>
      </c>
      <c r="Z7273" s="28">
        <v>673014000</v>
      </c>
      <c r="AA7273" s="28"/>
      <c r="AB7273" s="28"/>
      <c r="AC7273" s="28">
        <v>577492000</v>
      </c>
      <c r="AD7273" s="28">
        <v>744164000</v>
      </c>
      <c r="AE7273" s="28">
        <v>4329835000</v>
      </c>
      <c r="AF7273" s="28">
        <v>206820000</v>
      </c>
      <c r="AG7273" s="11"/>
    </row>
    <row r="7274">
      <c r="A7274" s="7" t="s">
        <v>8829</v>
      </c>
      <c r="B7274" s="5" t="s">
        <v>16754</v>
      </c>
      <c r="C7274" s="5" t="s">
        <v>24362</v>
      </c>
      <c r="D7274" s="5" t="str">
        <v>660400540580</v>
      </c>
      <c r="E7274" s="0" t="e">
        <f>+7 (922) 2093038
+7 (343) 2780151
+7 (343) 2789050
+7 (343) 2789051
+7 (343) 3100220
+7 (495) 7405779</f>
        <v>#NAME?</v>
      </c>
      <c r="F7274" s="5" t="s">
        <v>46430</v>
      </c>
      <c r="G7274" s="5"/>
      <c r="H7274" s="26">
        <v>9.5</v>
      </c>
      <c r="I7274" s="5" t="s">
        <v>46431</v>
      </c>
      <c r="J7274" s="5" t="s">
        <v>678</v>
      </c>
      <c r="K7274" s="5" t="s">
        <v>344</v>
      </c>
      <c r="L7274" s="5" t="s">
        <v>46432</v>
      </c>
      <c r="M7274" s="27"/>
      <c r="N7274" s="5" t="s">
        <v>60166</v>
      </c>
      <c r="O7274" s="5" t="str">
        <v>6678029946</v>
      </c>
      <c r="P7274" s="27">
        <v>100000</v>
      </c>
      <c r="Q7274" s="5" t="s">
        <v>49009</v>
      </c>
      <c r="R7274" s="5"/>
      <c r="S7274" s="5" t="s">
        <v>49012</v>
      </c>
      <c r="T7274" s="28">
        <v>18792000</v>
      </c>
      <c r="U7274" s="28"/>
      <c r="V7274" s="28">
        <v>538267000</v>
      </c>
      <c r="W7274" s="28">
        <v>241900000</v>
      </c>
      <c r="X7274" s="28">
        <v>19191000</v>
      </c>
      <c r="Y7274" s="28">
        <v>2158813000</v>
      </c>
      <c r="Z7274" s="28">
        <v>806351000</v>
      </c>
      <c r="AA7274" s="28">
        <v>109901000</v>
      </c>
      <c r="AB7274" s="28"/>
      <c r="AC7274" s="28">
        <v>1234672000</v>
      </c>
      <c r="AD7274" s="28">
        <v>806451000</v>
      </c>
      <c r="AE7274" s="28">
        <v>7030055000</v>
      </c>
      <c r="AF7274" s="28">
        <v>427123000</v>
      </c>
      <c r="AG7274" s="11"/>
    </row>
    <row r="7275">
      <c r="A7275" s="7" t="s">
        <v>8830</v>
      </c>
      <c r="B7275" s="5" t="s">
        <v>16755</v>
      </c>
      <c r="C7275" s="5" t="s">
        <v>24363</v>
      </c>
      <c r="D7275" s="5" t="str">
        <v>744406842401</v>
      </c>
      <c r="E7275" s="0" t="e">
        <f>+7 (964) 2457733
+7 (3519) 496919
+7 (495) 1375502
+7 (906) 8991501</f>
        <v>#NAME?</v>
      </c>
      <c r="F7275" s="5" t="s">
        <v>46433</v>
      </c>
      <c r="G7275" s="5"/>
      <c r="H7275" s="26">
        <v>11</v>
      </c>
      <c r="I7275" s="5" t="s">
        <v>46434</v>
      </c>
      <c r="J7275" s="5" t="s">
        <v>26394</v>
      </c>
      <c r="K7275" s="5" t="s">
        <v>344</v>
      </c>
      <c r="L7275" s="5" t="s">
        <v>46435</v>
      </c>
      <c r="M7275" s="27"/>
      <c r="N7275" s="5"/>
      <c r="O7275" s="5" t="str">
        <v>7456008560</v>
      </c>
      <c r="P7275" s="27">
        <v>70010000</v>
      </c>
      <c r="Q7275" s="5"/>
      <c r="R7275" s="5"/>
      <c r="S7275" s="5" t="s">
        <v>49029</v>
      </c>
      <c r="T7275" s="28">
        <v>573852000</v>
      </c>
      <c r="U7275" s="28"/>
      <c r="V7275" s="28">
        <v>468147000</v>
      </c>
      <c r="W7275" s="28"/>
      <c r="X7275" s="28">
        <v>689945000</v>
      </c>
      <c r="Y7275" s="28">
        <v>3331677000</v>
      </c>
      <c r="Z7275" s="28">
        <v>1063057000</v>
      </c>
      <c r="AA7275" s="28">
        <v>1132369000</v>
      </c>
      <c r="AB7275" s="28"/>
      <c r="AC7275" s="28">
        <v>1025287000</v>
      </c>
      <c r="AD7275" s="28">
        <v>1133067000</v>
      </c>
      <c r="AE7275" s="28">
        <v>3895908000</v>
      </c>
      <c r="AF7275" s="28">
        <v>487390000</v>
      </c>
      <c r="AG7275" s="11"/>
    </row>
    <row r="7276">
      <c r="A7276" s="7" t="s">
        <v>8831</v>
      </c>
      <c r="B7276" s="5" t="s">
        <v>16756</v>
      </c>
      <c r="C7276" s="5" t="s">
        <v>24364</v>
      </c>
      <c r="D7276" s="5" t="str">
        <v>667107014194</v>
      </c>
      <c r="E7276" s="0" t="e">
        <f>+7 (343) 3110700
+7 (343) 3114100
+7 (3433) 110749
+7 (34368) 44090
+7 (34368) 53440
+7 (34368) 92015
+7 (34368) 92035
+7 (34368) 92050
+7 (34368) 92081
+7 (34368) 92082
+7 (912) 6308656</f>
        <v>#NAME?</v>
      </c>
      <c r="F7276" s="5" t="s">
        <v>46436</v>
      </c>
      <c r="G7276" s="5"/>
      <c r="H7276" s="26">
        <v>30</v>
      </c>
      <c r="I7276" s="5"/>
      <c r="J7276" s="5" t="s">
        <v>46437</v>
      </c>
      <c r="K7276" s="5" t="s">
        <v>344</v>
      </c>
      <c r="L7276" s="5" t="s">
        <v>46438</v>
      </c>
      <c r="M7276" s="27"/>
      <c r="N7276" s="5"/>
      <c r="O7276" s="5" t="str">
        <v>6606002529</v>
      </c>
      <c r="P7276" s="27">
        <v>119000</v>
      </c>
      <c r="Q7276" s="5" t="s">
        <v>49009</v>
      </c>
      <c r="R7276" s="5"/>
      <c r="S7276" s="5" t="s">
        <v>49901</v>
      </c>
      <c r="T7276" s="28">
        <v>593145000</v>
      </c>
      <c r="U7276" s="28">
        <v>343000</v>
      </c>
      <c r="V7276" s="28">
        <v>667412000</v>
      </c>
      <c r="W7276" s="28">
        <v>70337000</v>
      </c>
      <c r="X7276" s="28">
        <v>990369000</v>
      </c>
      <c r="Y7276" s="28">
        <v>3904218000</v>
      </c>
      <c r="Z7276" s="28">
        <v>3395684000</v>
      </c>
      <c r="AA7276" s="28"/>
      <c r="AB7276" s="28"/>
      <c r="AC7276" s="28">
        <v>236240000</v>
      </c>
      <c r="AD7276" s="28">
        <v>3474654000</v>
      </c>
      <c r="AE7276" s="28">
        <v>6793553000</v>
      </c>
      <c r="AF7276" s="28">
        <v>640972000</v>
      </c>
      <c r="AG7276" s="11"/>
    </row>
    <row r="7277">
      <c r="A7277" s="7" t="s">
        <v>8832</v>
      </c>
      <c r="B7277" s="5" t="s">
        <v>16757</v>
      </c>
      <c r="C7277" s="5" t="s">
        <v>24365</v>
      </c>
      <c r="D7277" s="5" t="str">
        <v>280100141058</v>
      </c>
      <c r="E7277" s="0" t="e">
        <f>+7 (346) 2451033
+7 (346) 2223044
+7 (346) 2223055
+7 (346) 2223278
+7 (346) 2318402
+7 (346) 2318416
+7 (346) 2318448
+7 (346) 2318460
+7 (346) 2318462
+7 (346) 2318490
+7 (346) 2319356
+7 (346) 2319358
+7 (346) 2319362
+7 (346) 2451053</f>
        <v>#NAME?</v>
      </c>
      <c r="F7277" s="5" t="s">
        <v>46439</v>
      </c>
      <c r="G7277" s="5" t="s">
        <v>46440</v>
      </c>
      <c r="H7277" s="26">
        <v>25.5</v>
      </c>
      <c r="I7277" s="5"/>
      <c r="J7277" s="5" t="s">
        <v>881</v>
      </c>
      <c r="K7277" s="5" t="s">
        <v>344</v>
      </c>
      <c r="L7277" s="5" t="s">
        <v>46441</v>
      </c>
      <c r="M7277" s="27">
        <v>3671378</v>
      </c>
      <c r="N7277" s="5" t="s">
        <v>60167</v>
      </c>
      <c r="O7277" s="5" t="str">
        <v>8602060026</v>
      </c>
      <c r="P7277" s="27">
        <v>105585</v>
      </c>
      <c r="Q7277" s="5" t="s">
        <v>60168</v>
      </c>
      <c r="R7277" s="5"/>
      <c r="S7277" s="5" t="s">
        <v>60169</v>
      </c>
      <c r="T7277" s="28">
        <v>635770000</v>
      </c>
      <c r="U7277" s="28">
        <v>10000</v>
      </c>
      <c r="V7277" s="28">
        <v>2434287000</v>
      </c>
      <c r="W7277" s="28">
        <v>18390000</v>
      </c>
      <c r="X7277" s="28">
        <v>1617329000</v>
      </c>
      <c r="Y7277" s="28">
        <v>5602315000</v>
      </c>
      <c r="Z7277" s="28">
        <v>2157164000</v>
      </c>
      <c r="AA7277" s="28"/>
      <c r="AB7277" s="28"/>
      <c r="AC7277" s="28">
        <v>3084005000</v>
      </c>
      <c r="AD7277" s="28">
        <v>2286211000</v>
      </c>
      <c r="AE7277" s="28">
        <v>9037242000</v>
      </c>
      <c r="AF7277" s="28">
        <v>908370000</v>
      </c>
      <c r="AG7277" s="11"/>
    </row>
    <row r="7278">
      <c r="A7278" s="7" t="s">
        <v>8833</v>
      </c>
      <c r="B7278" s="5" t="s">
        <v>16758</v>
      </c>
      <c r="C7278" s="5" t="s">
        <v>24366</v>
      </c>
      <c r="D7278" s="5" t="str">
        <v>540700221808</v>
      </c>
      <c r="E7278" s="0" t="e">
        <f>+7 (913) 9162701
+7 (983) 1323976
+7 (383) 3250002
+7 (383) 3250005</f>
        <v>#NAME?</v>
      </c>
      <c r="F7278" s="5" t="s">
        <v>46442</v>
      </c>
      <c r="G7278" s="5"/>
      <c r="H7278" s="26">
        <v>16.5</v>
      </c>
      <c r="I7278" s="5" t="s">
        <v>46443</v>
      </c>
      <c r="J7278" s="5" t="s">
        <v>26880</v>
      </c>
      <c r="K7278" s="5" t="s">
        <v>344</v>
      </c>
      <c r="L7278" s="5" t="s">
        <v>46444</v>
      </c>
      <c r="M7278" s="27"/>
      <c r="N7278" s="5" t="s">
        <v>60170</v>
      </c>
      <c r="O7278" s="5" t="str">
        <v>5404294348</v>
      </c>
      <c r="P7278" s="27">
        <v>600000</v>
      </c>
      <c r="Q7278" s="5" t="s">
        <v>60171</v>
      </c>
      <c r="R7278" s="5"/>
      <c r="S7278" s="5" t="s">
        <v>51813</v>
      </c>
      <c r="T7278" s="28">
        <v>41490000</v>
      </c>
      <c r="U7278" s="28">
        <v>4000000</v>
      </c>
      <c r="V7278" s="28">
        <v>331111000</v>
      </c>
      <c r="W7278" s="28"/>
      <c r="X7278" s="28">
        <v>16499000</v>
      </c>
      <c r="Y7278" s="28">
        <v>1353669000</v>
      </c>
      <c r="Z7278" s="28">
        <v>744714000</v>
      </c>
      <c r="AA7278" s="28"/>
      <c r="AB7278" s="28"/>
      <c r="AC7278" s="28">
        <v>572698000</v>
      </c>
      <c r="AD7278" s="28">
        <v>745314000</v>
      </c>
      <c r="AE7278" s="28">
        <v>6124675000</v>
      </c>
      <c r="AF7278" s="28">
        <v>8972000</v>
      </c>
      <c r="AG7278" s="11"/>
    </row>
    <row r="7279">
      <c r="A7279" s="7" t="s">
        <v>8834</v>
      </c>
      <c r="B7279" s="5" t="s">
        <v>16733</v>
      </c>
      <c r="C7279" s="5" t="s">
        <v>24367</v>
      </c>
      <c r="D7279" s="5" t="str">
        <v>741500344341</v>
      </c>
      <c r="E7279" s="0" t="e">
        <f>+7 (351) 3546300
+7 (3512) 111693
+7 (3513) 525563
+7 (3513) 525577
+7 (3513) 530720
+7 (3513) 531818
+7 (3513) 531919
+7 (3513) 534244
+7 (3513) 535833
+7 (3513) 545266
+7 (3513) 545758
+7 (3513) 548266
+7 (82144) 91050
+7 (992) 5124838</f>
        <v>#NAME?</v>
      </c>
      <c r="F7279" s="5"/>
      <c r="G7279" s="5" t="s">
        <v>46445</v>
      </c>
      <c r="H7279" s="26">
        <v>22.5</v>
      </c>
      <c r="I7279" s="5" t="s">
        <v>46446</v>
      </c>
      <c r="J7279" s="5" t="s">
        <v>25955</v>
      </c>
      <c r="K7279" s="5" t="s">
        <v>344</v>
      </c>
      <c r="L7279" s="5" t="s">
        <v>46447</v>
      </c>
      <c r="M7279" s="27"/>
      <c r="N7279" s="5"/>
      <c r="O7279" s="5" t="str">
        <v>7415029514</v>
      </c>
      <c r="P7279" s="27">
        <v>12000000</v>
      </c>
      <c r="Q7279" s="5" t="s">
        <v>49009</v>
      </c>
      <c r="R7279" s="5"/>
      <c r="S7279" s="5" t="s">
        <v>49066</v>
      </c>
      <c r="T7279" s="28">
        <v>210934000</v>
      </c>
      <c r="U7279" s="28"/>
      <c r="V7279" s="28">
        <v>270168000</v>
      </c>
      <c r="W7279" s="28"/>
      <c r="X7279" s="28">
        <v>48852000</v>
      </c>
      <c r="Y7279" s="28">
        <v>3130400000</v>
      </c>
      <c r="Z7279" s="28">
        <v>424751000</v>
      </c>
      <c r="AA7279" s="28"/>
      <c r="AB7279" s="28">
        <v>631239000</v>
      </c>
      <c r="AC7279" s="28">
        <v>2566565000</v>
      </c>
      <c r="AD7279" s="28">
        <v>461751000</v>
      </c>
      <c r="AE7279" s="28">
        <v>5078725000</v>
      </c>
      <c r="AF7279" s="28">
        <v>105850000</v>
      </c>
      <c r="AG7279" s="11"/>
    </row>
    <row r="7280">
      <c r="A7280" s="7" t="s">
        <v>8835</v>
      </c>
      <c r="B7280" s="5" t="s">
        <v>16759</v>
      </c>
      <c r="C7280" s="5" t="s">
        <v>24368</v>
      </c>
      <c r="D7280" s="5" t="str">
        <v>745206281535</v>
      </c>
      <c r="E7280" s="0" t="e">
        <f>+7 (3512) 377633</f>
        <v>#NAME?</v>
      </c>
      <c r="F7280" s="5" t="s">
        <v>46448</v>
      </c>
      <c r="G7280" s="5" t="s">
        <v>46449</v>
      </c>
      <c r="H7280" s="26">
        <v>6.5</v>
      </c>
      <c r="I7280" s="5" t="s">
        <v>46450</v>
      </c>
      <c r="J7280" s="5" t="s">
        <v>678</v>
      </c>
      <c r="K7280" s="5" t="s">
        <v>344</v>
      </c>
      <c r="L7280" s="5" t="s">
        <v>46451</v>
      </c>
      <c r="M7280" s="27"/>
      <c r="N7280" s="5" t="s">
        <v>60172</v>
      </c>
      <c r="O7280" s="5" t="str">
        <v>7451408162</v>
      </c>
      <c r="P7280" s="27">
        <v>20000</v>
      </c>
      <c r="Q7280" s="5"/>
      <c r="R7280" s="5"/>
      <c r="S7280" s="5" t="s">
        <v>49496</v>
      </c>
      <c r="T7280" s="28">
        <v>12612000</v>
      </c>
      <c r="U7280" s="28"/>
      <c r="V7280" s="28">
        <v>693679000</v>
      </c>
      <c r="W7280" s="28"/>
      <c r="X7280" s="28">
        <v>32628000</v>
      </c>
      <c r="Y7280" s="28">
        <v>900966000</v>
      </c>
      <c r="Z7280" s="28">
        <v>410319000</v>
      </c>
      <c r="AA7280" s="28"/>
      <c r="AB7280" s="28"/>
      <c r="AC7280" s="28">
        <v>490627000</v>
      </c>
      <c r="AD7280" s="28">
        <v>410339000</v>
      </c>
      <c r="AE7280" s="28">
        <v>3455182000</v>
      </c>
      <c r="AF7280" s="28">
        <v>142454000</v>
      </c>
      <c r="AG7280" s="11"/>
    </row>
    <row r="7281">
      <c r="A7281" s="7" t="s">
        <v>8836</v>
      </c>
      <c r="B7281" s="5" t="s">
        <v>16760</v>
      </c>
      <c r="C7281" s="5" t="s">
        <v>24369</v>
      </c>
      <c r="D7281" s="5" t="str">
        <v>590581193935</v>
      </c>
      <c r="E7281" s="0" t="e">
        <f>+7 (342) 2458685
+7 (342) 2459656
+7 (342) 2689272
+7 (3422) 420675
+7 (3422) 592040
+7 (3422) 812085
+7 (3422) 812225
+7 (3422) 812256</f>
        <v>#NAME?</v>
      </c>
      <c r="F7281" s="5" t="s">
        <v>46452</v>
      </c>
      <c r="G7281" s="5"/>
      <c r="H7281" s="26">
        <v>25.5</v>
      </c>
      <c r="I7281" s="5" t="s">
        <v>46453</v>
      </c>
      <c r="J7281" s="5" t="s">
        <v>27956</v>
      </c>
      <c r="K7281" s="5" t="s">
        <v>344</v>
      </c>
      <c r="L7281" s="5" t="s">
        <v>46454</v>
      </c>
      <c r="M7281" s="27"/>
      <c r="N7281" s="5" t="s">
        <v>60173</v>
      </c>
      <c r="O7281" s="5" t="str">
        <v>5904036578</v>
      </c>
      <c r="P7281" s="27">
        <v>8400</v>
      </c>
      <c r="Q7281" s="5" t="s">
        <v>49009</v>
      </c>
      <c r="R7281" s="5"/>
      <c r="S7281" s="5" t="s">
        <v>49028</v>
      </c>
      <c r="T7281" s="28">
        <v>34285000</v>
      </c>
      <c r="U7281" s="28"/>
      <c r="V7281" s="28">
        <v>136104000</v>
      </c>
      <c r="W7281" s="28">
        <v>150000</v>
      </c>
      <c r="X7281" s="28">
        <v>2473000</v>
      </c>
      <c r="Y7281" s="28">
        <v>480648000</v>
      </c>
      <c r="Z7281" s="28">
        <v>158073000</v>
      </c>
      <c r="AA7281" s="28"/>
      <c r="AB7281" s="28">
        <v>262277000</v>
      </c>
      <c r="AC7281" s="28">
        <v>320202000</v>
      </c>
      <c r="AD7281" s="28">
        <v>158081000</v>
      </c>
      <c r="AE7281" s="28">
        <v>3971565000</v>
      </c>
      <c r="AF7281" s="28">
        <v>26405000</v>
      </c>
      <c r="AG7281" s="11"/>
    </row>
    <row r="7282">
      <c r="A7282" s="7" t="s">
        <v>8837</v>
      </c>
      <c r="B7282" s="5" t="s">
        <v>16761</v>
      </c>
      <c r="C7282" s="5" t="s">
        <v>24370</v>
      </c>
      <c r="D7282" s="5" t="str">
        <v>662512778183</v>
      </c>
      <c r="E7282" s="0" t="e">
        <f>+7 (3439) 634782
+7 (3439) 634899
+7 (3439) 634924
+7 (3439) 634939
+7 (34392) 25127
+7 (34392) 96900
+7 (34392) 96925
+7 (34392) 96940
+7 (34392) 97221
+7 (34392) 97226
+7 (34392) 97501
+7 (34392) 97502
+7 (34392) 97511
+7 (34392) 97516
+7 (34392) 97517</f>
        <v>#NAME?</v>
      </c>
      <c r="F7282" s="5" t="s">
        <v>46455</v>
      </c>
      <c r="G7282" s="5" t="s">
        <v>46456</v>
      </c>
      <c r="H7282" s="26">
        <v>29</v>
      </c>
      <c r="I7282" s="5" t="s">
        <v>46457</v>
      </c>
      <c r="J7282" s="5" t="s">
        <v>27977</v>
      </c>
      <c r="K7282" s="5" t="s">
        <v>344</v>
      </c>
      <c r="L7282" s="5"/>
      <c r="M7282" s="27"/>
      <c r="N7282" s="5" t="s">
        <v>60174</v>
      </c>
      <c r="O7282" s="5" t="str">
        <v>6625005042</v>
      </c>
      <c r="P7282" s="27">
        <v>1153000</v>
      </c>
      <c r="Q7282" s="5" t="s">
        <v>60175</v>
      </c>
      <c r="R7282" s="5"/>
      <c r="S7282" s="5" t="s">
        <v>49998</v>
      </c>
      <c r="T7282" s="28">
        <v>3959554000</v>
      </c>
      <c r="U7282" s="28"/>
      <c r="V7282" s="28">
        <v>1820702000</v>
      </c>
      <c r="W7282" s="28">
        <v>106000000</v>
      </c>
      <c r="X7282" s="28">
        <v>518208000</v>
      </c>
      <c r="Y7282" s="28">
        <v>10130401000</v>
      </c>
      <c r="Z7282" s="28">
        <v>5479375000</v>
      </c>
      <c r="AA7282" s="28"/>
      <c r="AB7282" s="28">
        <v>148000</v>
      </c>
      <c r="AC7282" s="28">
        <v>4099258000</v>
      </c>
      <c r="AD7282" s="28">
        <v>5488176000</v>
      </c>
      <c r="AE7282" s="28">
        <v>11862482000</v>
      </c>
      <c r="AF7282" s="28">
        <v>41995000</v>
      </c>
      <c r="AG7282" s="11"/>
    </row>
    <row r="7283">
      <c r="A7283" s="7" t="s">
        <v>8838</v>
      </c>
      <c r="B7283" s="5" t="s">
        <v>13307</v>
      </c>
      <c r="C7283" s="5" t="s">
        <v>24371</v>
      </c>
      <c r="D7283" s="5" t="str">
        <v>770402577088</v>
      </c>
      <c r="E7283" s="0" t="e">
        <f>+7 (495) 7218585
+7 (495) 7218989</f>
        <v>#NAME?</v>
      </c>
      <c r="F7283" s="5"/>
      <c r="G7283" s="5"/>
      <c r="H7283" s="26">
        <v>15</v>
      </c>
      <c r="I7283" s="5" t="s">
        <v>46458</v>
      </c>
      <c r="J7283" s="5" t="s">
        <v>599</v>
      </c>
      <c r="K7283" s="5" t="s">
        <v>355</v>
      </c>
      <c r="L7283" s="5" t="s">
        <v>46459</v>
      </c>
      <c r="M7283" s="27">
        <v>2672901</v>
      </c>
      <c r="N7283" s="5"/>
      <c r="O7283" s="5" t="str">
        <v>7703651760</v>
      </c>
      <c r="P7283" s="27">
        <v>2924260000</v>
      </c>
      <c r="Q7283" s="5" t="s">
        <v>60176</v>
      </c>
      <c r="R7283" s="5"/>
      <c r="S7283" s="5" t="s">
        <v>60177</v>
      </c>
      <c r="T7283" s="28">
        <v>6289874000</v>
      </c>
      <c r="U7283" s="28"/>
      <c r="V7283" s="28">
        <v>6755102000</v>
      </c>
      <c r="W7283" s="28"/>
      <c r="X7283" s="28">
        <v>4153000</v>
      </c>
      <c r="Y7283" s="28">
        <v>18818911000</v>
      </c>
      <c r="Z7283" s="28">
        <v>1080479000</v>
      </c>
      <c r="AA7283" s="28">
        <v>1250460000</v>
      </c>
      <c r="AB7283" s="28">
        <v>7906939000</v>
      </c>
      <c r="AC7283" s="28">
        <v>11414529000</v>
      </c>
      <c r="AD7283" s="28">
        <v>4005976000</v>
      </c>
      <c r="AE7283" s="28">
        <v>24758366000</v>
      </c>
      <c r="AF7283" s="28">
        <v>-72864000</v>
      </c>
      <c r="AG7283" s="11"/>
    </row>
    <row r="7284">
      <c r="A7284" s="7" t="s">
        <v>8839</v>
      </c>
      <c r="B7284" s="5" t="s">
        <v>16762</v>
      </c>
      <c r="C7284" s="5" t="s">
        <v>24372</v>
      </c>
      <c r="D7284" s="5" t="str">
        <v>666003122330</v>
      </c>
      <c r="E7284" s="0" t="e">
        <f>+7 (343) 2125029
+7 (343) 2125056
+7 (343) 2127387
+7 (343) 2127466
+7 (343) 2129801
+7 (343) 2129831
+7 (343) 2129871
+7 (34357) 41409</f>
        <v>#NAME?</v>
      </c>
      <c r="F7284" s="5" t="s">
        <v>46460</v>
      </c>
      <c r="G7284" s="5"/>
      <c r="H7284" s="26">
        <v>16</v>
      </c>
      <c r="I7284" s="5" t="s">
        <v>46461</v>
      </c>
      <c r="J7284" s="5" t="s">
        <v>678</v>
      </c>
      <c r="K7284" s="5" t="s">
        <v>344</v>
      </c>
      <c r="L7284" s="5" t="s">
        <v>46462</v>
      </c>
      <c r="M7284" s="27"/>
      <c r="N7284" s="5"/>
      <c r="O7284" s="5" t="str">
        <v>6621013540</v>
      </c>
      <c r="P7284" s="27">
        <v>895805</v>
      </c>
      <c r="Q7284" s="5" t="s">
        <v>49009</v>
      </c>
      <c r="R7284" s="5"/>
      <c r="S7284" s="5" t="s">
        <v>49010</v>
      </c>
      <c r="T7284" s="28">
        <v>13041000</v>
      </c>
      <c r="U7284" s="28"/>
      <c r="V7284" s="28">
        <v>645460000</v>
      </c>
      <c r="W7284" s="28"/>
      <c r="X7284" s="28">
        <v>99804000</v>
      </c>
      <c r="Y7284" s="28">
        <v>1167384000</v>
      </c>
      <c r="Z7284" s="28">
        <v>525315000</v>
      </c>
      <c r="AA7284" s="28"/>
      <c r="AB7284" s="28">
        <v>245514000</v>
      </c>
      <c r="AC7284" s="28">
        <v>636098000</v>
      </c>
      <c r="AD7284" s="28">
        <v>526211000</v>
      </c>
      <c r="AE7284" s="28">
        <v>11571966000</v>
      </c>
      <c r="AF7284" s="28">
        <v>398835000</v>
      </c>
      <c r="AG7284" s="11"/>
    </row>
    <row r="7285">
      <c r="A7285" s="7" t="s">
        <v>8840</v>
      </c>
      <c r="B7285" s="5" t="s">
        <v>16763</v>
      </c>
      <c r="C7285" s="5" t="s">
        <v>23959</v>
      </c>
      <c r="D7285" s="5"/>
      <c r="E7285" s="0" t="e">
        <f>+7 (3422) 554915
+7 (343) 2904665
+7 (345) 2658906
+7 (346) 2779540
+7 (383) 2359427</f>
        <v>#NAME?</v>
      </c>
      <c r="F7285" s="5" t="s">
        <v>46463</v>
      </c>
      <c r="G7285" s="5" t="s">
        <v>46464</v>
      </c>
      <c r="H7285" s="26">
        <v>12</v>
      </c>
      <c r="I7285" s="5" t="s">
        <v>46465</v>
      </c>
      <c r="J7285" s="5" t="s">
        <v>30277</v>
      </c>
      <c r="K7285" s="5" t="s">
        <v>344</v>
      </c>
      <c r="L7285" s="5" t="s">
        <v>46466</v>
      </c>
      <c r="M7285" s="27">
        <v>4486911</v>
      </c>
      <c r="N7285" s="5" t="s">
        <v>60178</v>
      </c>
      <c r="O7285" s="5" t="str">
        <v>6672333153</v>
      </c>
      <c r="P7285" s="27">
        <v>10000000</v>
      </c>
      <c r="Q7285" s="5" t="s">
        <v>60179</v>
      </c>
      <c r="R7285" s="5" t="s">
        <v>60180</v>
      </c>
      <c r="S7285" s="5" t="s">
        <v>50324</v>
      </c>
      <c r="T7285" s="28">
        <v>393041000</v>
      </c>
      <c r="U7285" s="28"/>
      <c r="V7285" s="28">
        <v>701219000</v>
      </c>
      <c r="W7285" s="28">
        <v>110000</v>
      </c>
      <c r="X7285" s="28">
        <v>9049000</v>
      </c>
      <c r="Y7285" s="28">
        <v>1821955000</v>
      </c>
      <c r="Z7285" s="28">
        <v>1009396000</v>
      </c>
      <c r="AA7285" s="28"/>
      <c r="AB7285" s="28"/>
      <c r="AC7285" s="28">
        <v>759332000</v>
      </c>
      <c r="AD7285" s="28">
        <v>1019896000</v>
      </c>
      <c r="AE7285" s="28">
        <v>4322288000</v>
      </c>
      <c r="AF7285" s="28">
        <v>769544000</v>
      </c>
      <c r="AG7285" s="11"/>
    </row>
    <row r="7286">
      <c r="A7286" s="7" t="s">
        <v>8841</v>
      </c>
      <c r="B7286" s="5" t="s">
        <v>16764</v>
      </c>
      <c r="C7286" s="5" t="s">
        <v>24373</v>
      </c>
      <c r="D7286" s="5" t="str">
        <v>771375227735</v>
      </c>
      <c r="E7286" s="0" t="e">
        <f>+7 (495) 6476769</f>
        <v>#NAME?</v>
      </c>
      <c r="F7286" s="5" t="s">
        <v>46467</v>
      </c>
      <c r="G7286" s="5" t="s">
        <v>46468</v>
      </c>
      <c r="H7286" s="26">
        <v>2.5</v>
      </c>
      <c r="I7286" s="5" t="s">
        <v>46469</v>
      </c>
      <c r="J7286" s="5" t="s">
        <v>25337</v>
      </c>
      <c r="K7286" s="5" t="s">
        <v>344</v>
      </c>
      <c r="L7286" s="5" t="s">
        <v>46470</v>
      </c>
      <c r="M7286" s="27"/>
      <c r="N7286" s="5"/>
      <c r="O7286" s="5" t="str">
        <v>7713476003</v>
      </c>
      <c r="P7286" s="27">
        <v>10000000</v>
      </c>
      <c r="Q7286" s="5" t="s">
        <v>60181</v>
      </c>
      <c r="R7286" s="5"/>
      <c r="S7286" s="5" t="s">
        <v>54247</v>
      </c>
      <c r="T7286" s="28">
        <v>13287000</v>
      </c>
      <c r="U7286" s="28"/>
      <c r="V7286" s="28">
        <v>361153000</v>
      </c>
      <c r="W7286" s="28"/>
      <c r="X7286" s="28">
        <v>136628000</v>
      </c>
      <c r="Y7286" s="28">
        <v>964437000</v>
      </c>
      <c r="Z7286" s="28">
        <v>325961000</v>
      </c>
      <c r="AA7286" s="28"/>
      <c r="AB7286" s="28">
        <v>147190000</v>
      </c>
      <c r="AC7286" s="28">
        <v>622744000</v>
      </c>
      <c r="AD7286" s="28">
        <v>335961000</v>
      </c>
      <c r="AE7286" s="28">
        <v>3632901000</v>
      </c>
      <c r="AF7286" s="28">
        <v>411630000</v>
      </c>
      <c r="AG7286" s="11"/>
    </row>
    <row r="7287">
      <c r="A7287" s="7" t="s">
        <v>8842</v>
      </c>
      <c r="B7287" s="5" t="s">
        <v>16765</v>
      </c>
      <c r="C7287" s="5" t="s">
        <v>24374</v>
      </c>
      <c r="D7287" s="5" t="str">
        <v>667008456378</v>
      </c>
      <c r="E7287" s="0" t="e">
        <f>+7 (343) 46200
+7 (343) 3794828
+7 (343) 3794836
+7 (34368) 46051
+7 (34368) 46200
+7 (34368) 96166
+7 (34368) 96207
+7 (34368) 96352
+7 (34368) 96712
+7 (34368) 96713
+7 (34368) 96774
+7 (34368) 96862</f>
        <v>#NAME?</v>
      </c>
      <c r="F7287" s="5" t="s">
        <v>46471</v>
      </c>
      <c r="G7287" s="5" t="s">
        <v>46472</v>
      </c>
      <c r="H7287" s="26">
        <v>23.5</v>
      </c>
      <c r="I7287" s="5"/>
      <c r="J7287" s="5" t="s">
        <v>32455</v>
      </c>
      <c r="K7287" s="5" t="s">
        <v>344</v>
      </c>
      <c r="L7287" s="5" t="s">
        <v>46473</v>
      </c>
      <c r="M7287" s="27">
        <v>2629336</v>
      </c>
      <c r="N7287" s="5" t="s">
        <v>60182</v>
      </c>
      <c r="O7287" s="5" t="str">
        <v>6606013640</v>
      </c>
      <c r="P7287" s="27">
        <v>420000000</v>
      </c>
      <c r="Q7287" s="5" t="s">
        <v>60183</v>
      </c>
      <c r="R7287" s="5" t="s">
        <v>60184</v>
      </c>
      <c r="S7287" s="5" t="s">
        <v>60185</v>
      </c>
      <c r="T7287" s="28">
        <v>6459951000</v>
      </c>
      <c r="U7287" s="28">
        <v>191778138000</v>
      </c>
      <c r="V7287" s="28">
        <v>76162921000</v>
      </c>
      <c r="W7287" s="28">
        <v>2461501000</v>
      </c>
      <c r="X7287" s="28">
        <v>2565803000</v>
      </c>
      <c r="Y7287" s="28">
        <v>302228801000</v>
      </c>
      <c r="Z7287" s="28">
        <v>27402959000</v>
      </c>
      <c r="AA7287" s="28">
        <v>119049151000</v>
      </c>
      <c r="AB7287" s="28">
        <v>113721125000</v>
      </c>
      <c r="AC7287" s="28">
        <v>153003573000</v>
      </c>
      <c r="AD7287" s="28">
        <v>28123959000</v>
      </c>
      <c r="AE7287" s="28">
        <v>299477378000</v>
      </c>
      <c r="AF7287" s="28">
        <v>14682915000</v>
      </c>
      <c r="AG7287" s="11"/>
    </row>
    <row r="7288">
      <c r="A7288" s="7" t="s">
        <v>8843</v>
      </c>
      <c r="B7288" s="5" t="s">
        <v>16766</v>
      </c>
      <c r="C7288" s="5" t="s">
        <v>24375</v>
      </c>
      <c r="D7288" s="5" t="str">
        <v>662501093068</v>
      </c>
      <c r="E7288" s="0" t="e">
        <f>+7 (932) 6185151
+7 (343) 2278734
+7 (3439) 663063
+7 (3439) 663162
+7 (3439) 663278</f>
        <v>#NAME?</v>
      </c>
      <c r="F7288" s="5" t="s">
        <v>46474</v>
      </c>
      <c r="G7288" s="5" t="s">
        <v>46475</v>
      </c>
      <c r="H7288" s="26">
        <v>9.5</v>
      </c>
      <c r="I7288" s="5" t="s">
        <v>46476</v>
      </c>
      <c r="J7288" s="5" t="s">
        <v>26880</v>
      </c>
      <c r="K7288" s="5" t="s">
        <v>344</v>
      </c>
      <c r="L7288" s="5" t="s">
        <v>46370</v>
      </c>
      <c r="M7288" s="27"/>
      <c r="N7288" s="5" t="s">
        <v>60186</v>
      </c>
      <c r="O7288" s="5" t="str">
        <v>6671437865</v>
      </c>
      <c r="P7288" s="27">
        <v>10000</v>
      </c>
      <c r="Q7288" s="5"/>
      <c r="R7288" s="5"/>
      <c r="S7288" s="5" t="s">
        <v>49110</v>
      </c>
      <c r="T7288" s="28">
        <v>20419000</v>
      </c>
      <c r="U7288" s="28"/>
      <c r="V7288" s="28">
        <v>162887000</v>
      </c>
      <c r="W7288" s="28">
        <v>9988000</v>
      </c>
      <c r="X7288" s="28">
        <v>4905000</v>
      </c>
      <c r="Y7288" s="28">
        <v>1601615000</v>
      </c>
      <c r="Z7288" s="28">
        <v>790346000</v>
      </c>
      <c r="AA7288" s="28">
        <v>46600000</v>
      </c>
      <c r="AB7288" s="28">
        <v>144224000</v>
      </c>
      <c r="AC7288" s="28">
        <v>755652000</v>
      </c>
      <c r="AD7288" s="28">
        <v>790356000</v>
      </c>
      <c r="AE7288" s="28">
        <v>3120943000</v>
      </c>
      <c r="AF7288" s="28">
        <v>359278000</v>
      </c>
      <c r="AG7288" s="11"/>
    </row>
    <row r="7289">
      <c r="A7289" s="7" t="s">
        <v>8844</v>
      </c>
      <c r="B7289" s="5" t="s">
        <v>16767</v>
      </c>
      <c r="C7289" s="5" t="s">
        <v>24232</v>
      </c>
      <c r="D7289" s="5"/>
      <c r="E7289" s="0" t="e">
        <f>+7 (3512) 116881
+7 (3512) 116883
+7 (3512) 116885
+7 (3517) 770777
+7 (922) 151684
+7 (922) 7556432
+7 (932) 2300166
+7 (932) 2300180
+7 (932) 2303099</f>
        <v>#NAME?</v>
      </c>
      <c r="F7289" s="5" t="s">
        <v>46477</v>
      </c>
      <c r="G7289" s="5"/>
      <c r="H7289" s="26">
        <v>12.5</v>
      </c>
      <c r="I7289" s="5" t="s">
        <v>31928</v>
      </c>
      <c r="J7289" s="5" t="s">
        <v>25450</v>
      </c>
      <c r="K7289" s="5" t="s">
        <v>355</v>
      </c>
      <c r="L7289" s="5"/>
      <c r="M7289" s="27">
        <v>26487389</v>
      </c>
      <c r="N7289" s="5"/>
      <c r="O7289" s="5" t="str">
        <v>7438028838</v>
      </c>
      <c r="P7289" s="27">
        <v>10000</v>
      </c>
      <c r="Q7289" s="5" t="s">
        <v>49009</v>
      </c>
      <c r="R7289" s="5" t="s">
        <v>56829</v>
      </c>
      <c r="S7289" s="5" t="s">
        <v>49028</v>
      </c>
      <c r="T7289" s="28">
        <v>2782020000</v>
      </c>
      <c r="U7289" s="28"/>
      <c r="V7289" s="28">
        <v>161926000</v>
      </c>
      <c r="W7289" s="28"/>
      <c r="X7289" s="28">
        <v>586000</v>
      </c>
      <c r="Y7289" s="28">
        <v>3551616000</v>
      </c>
      <c r="Z7289" s="28">
        <v>-3182878000</v>
      </c>
      <c r="AA7289" s="28">
        <v>456540000</v>
      </c>
      <c r="AB7289" s="28">
        <v>365891000</v>
      </c>
      <c r="AC7289" s="28">
        <v>2468720000</v>
      </c>
      <c r="AD7289" s="28">
        <v>623850000</v>
      </c>
      <c r="AE7289" s="28">
        <v>4606519000</v>
      </c>
      <c r="AF7289" s="28">
        <v>-767974000</v>
      </c>
      <c r="AG7289" s="11"/>
    </row>
    <row r="7290">
      <c r="A7290" s="7" t="s">
        <v>8845</v>
      </c>
      <c r="B7290" s="5" t="s">
        <v>16768</v>
      </c>
      <c r="C7290" s="5" t="s">
        <v>24376</v>
      </c>
      <c r="D7290" s="5" t="str">
        <v>366410636502</v>
      </c>
      <c r="F7290" s="5"/>
      <c r="G7290" s="5" t="s">
        <v>46478</v>
      </c>
      <c r="H7290" s="26">
        <v>8</v>
      </c>
      <c r="I7290" s="5" t="s">
        <v>46479</v>
      </c>
      <c r="J7290" s="5" t="s">
        <v>25512</v>
      </c>
      <c r="K7290" s="5" t="s">
        <v>355</v>
      </c>
      <c r="L7290" s="5"/>
      <c r="M7290" s="27"/>
      <c r="N7290" s="5"/>
      <c r="O7290" s="5" t="str">
        <v>3664206734</v>
      </c>
      <c r="P7290" s="27">
        <v>10000</v>
      </c>
      <c r="Q7290" s="5" t="s">
        <v>49057</v>
      </c>
      <c r="R7290" s="5"/>
      <c r="S7290" s="5" t="s">
        <v>49452</v>
      </c>
      <c r="T7290" s="28">
        <v>19490000</v>
      </c>
      <c r="U7290" s="28"/>
      <c r="V7290" s="28">
        <v>5010771000</v>
      </c>
      <c r="W7290" s="28"/>
      <c r="X7290" s="28">
        <v>62440000</v>
      </c>
      <c r="Y7290" s="28">
        <v>7042224000</v>
      </c>
      <c r="Z7290" s="28">
        <v>451880000</v>
      </c>
      <c r="AA7290" s="28">
        <v>3397331000</v>
      </c>
      <c r="AB7290" s="28">
        <v>2166304000</v>
      </c>
      <c r="AC7290" s="28">
        <v>3173003000</v>
      </c>
      <c r="AD7290" s="28">
        <v>471890000</v>
      </c>
      <c r="AE7290" s="28">
        <v>15240219000</v>
      </c>
      <c r="AF7290" s="28">
        <v>23872000</v>
      </c>
      <c r="AG7290" s="11"/>
    </row>
    <row r="7291">
      <c r="A7291" s="7" t="s">
        <v>8846</v>
      </c>
      <c r="B7291" s="5" t="s">
        <v>16769</v>
      </c>
      <c r="C7291" s="5" t="s">
        <v>24377</v>
      </c>
      <c r="D7291" s="5"/>
      <c r="E7291" s="0" t="e">
        <f>+7 (353) 7662096
+7 (353) 7662586
+7 (35376) 62075
+7 (35329) 98855
+7 (35376) 57009
+7 (35376) 57020
+7 (35376) 57026
+7 (353) 7660296
+7 (353) 7666611
+7 (3537) 662280
+7 (35376) 62001
+7 (35376) 62077
+7 (35376) 62078
+7 (35376) 62098
+7 (35376) 62153</f>
        <v>#NAME?</v>
      </c>
      <c r="F7291" s="5" t="s">
        <v>46480</v>
      </c>
      <c r="G7291" s="5" t="s">
        <v>46481</v>
      </c>
      <c r="H7291" s="26">
        <v>20</v>
      </c>
      <c r="I7291" s="5" t="s">
        <v>46482</v>
      </c>
      <c r="J7291" s="5" t="s">
        <v>32426</v>
      </c>
      <c r="K7291" s="5" t="s">
        <v>344</v>
      </c>
      <c r="L7291" s="5"/>
      <c r="M7291" s="27">
        <v>31287963</v>
      </c>
      <c r="N7291" s="5" t="s">
        <v>60187</v>
      </c>
      <c r="O7291" s="5" t="str">
        <v>5607019523</v>
      </c>
      <c r="P7291" s="27">
        <v>2156165000</v>
      </c>
      <c r="Q7291" s="5" t="s">
        <v>49207</v>
      </c>
      <c r="R7291" s="5"/>
      <c r="S7291" s="5" t="s">
        <v>60188</v>
      </c>
      <c r="T7291" s="28">
        <v>27913874000</v>
      </c>
      <c r="U7291" s="28">
        <v>896830000</v>
      </c>
      <c r="V7291" s="28">
        <v>23907626000</v>
      </c>
      <c r="W7291" s="28">
        <v>579200000</v>
      </c>
      <c r="X7291" s="28">
        <v>21650853000</v>
      </c>
      <c r="Y7291" s="28">
        <v>93915417000</v>
      </c>
      <c r="Z7291" s="28">
        <v>34217248000</v>
      </c>
      <c r="AA7291" s="28">
        <v>10000000000</v>
      </c>
      <c r="AB7291" s="28">
        <v>5900000</v>
      </c>
      <c r="AC7291" s="28">
        <v>25543260000</v>
      </c>
      <c r="AD7291" s="28">
        <v>55956221000</v>
      </c>
      <c r="AE7291" s="28">
        <v>142737929000</v>
      </c>
      <c r="AF7291" s="28">
        <v>11707709000</v>
      </c>
      <c r="AG7291" s="11"/>
    </row>
    <row r="7292">
      <c r="A7292" s="7" t="s">
        <v>8847</v>
      </c>
      <c r="B7292" s="5" t="s">
        <v>16770</v>
      </c>
      <c r="C7292" s="5" t="s">
        <v>24378</v>
      </c>
      <c r="D7292" s="5" t="str">
        <v>772010559388</v>
      </c>
      <c r="E7292" s="0" t="e">
        <f>+7 (495) 5404592</f>
        <v>#NAME?</v>
      </c>
      <c r="F7292" s="5" t="s">
        <v>46483</v>
      </c>
      <c r="G7292" s="5" t="s">
        <v>46484</v>
      </c>
      <c r="H7292" s="26">
        <v>14</v>
      </c>
      <c r="I7292" s="5" t="s">
        <v>46485</v>
      </c>
      <c r="J7292" s="5" t="s">
        <v>599</v>
      </c>
      <c r="K7292" s="5" t="s">
        <v>355</v>
      </c>
      <c r="L7292" s="5" t="s">
        <v>46486</v>
      </c>
      <c r="M7292" s="27">
        <v>1777598</v>
      </c>
      <c r="N7292" s="5" t="s">
        <v>54776</v>
      </c>
      <c r="O7292" s="5" t="str">
        <v>7715744882</v>
      </c>
      <c r="P7292" s="27">
        <v>5000000</v>
      </c>
      <c r="Q7292" s="5" t="s">
        <v>60189</v>
      </c>
      <c r="R7292" s="5"/>
      <c r="S7292" s="5" t="s">
        <v>49195</v>
      </c>
      <c r="T7292" s="28">
        <v>5808534000</v>
      </c>
      <c r="U7292" s="28">
        <v>2170000</v>
      </c>
      <c r="V7292" s="28">
        <v>939900000</v>
      </c>
      <c r="W7292" s="28"/>
      <c r="X7292" s="28">
        <v>11249000</v>
      </c>
      <c r="Y7292" s="28">
        <v>8199111000</v>
      </c>
      <c r="Z7292" s="28">
        <v>739724000</v>
      </c>
      <c r="AA7292" s="28"/>
      <c r="AB7292" s="28">
        <v>164000000</v>
      </c>
      <c r="AC7292" s="28">
        <v>2141322000</v>
      </c>
      <c r="AD7292" s="28">
        <v>744743000</v>
      </c>
      <c r="AE7292" s="28">
        <v>4998719000</v>
      </c>
      <c r="AF7292" s="28">
        <v>355822000</v>
      </c>
      <c r="AG7292" s="11"/>
    </row>
    <row r="7293">
      <c r="A7293" s="7" t="s">
        <v>8848</v>
      </c>
      <c r="B7293" s="5" t="s">
        <v>16771</v>
      </c>
      <c r="C7293" s="5" t="s">
        <v>24379</v>
      </c>
      <c r="D7293" s="5" t="str">
        <v>667208094823</v>
      </c>
      <c r="E7293" s="0" t="e">
        <f>+7 (343) 2726080
+7 (343) 3139037
+7 (343) 2628625
+7 (343) 2640919
+7 (343) 2647988
+7 (343) 2726002
+7 (343) 2726070
+7 (343) 3129037
+7 (343) 3129045
+7 (343) 3129055
+7 (343) 3129068
+7 (3432) 647606
+7 (495) 1394101
+7 (495) 7872888
+7 (499) 9202252</f>
        <v>#NAME?</v>
      </c>
      <c r="F7293" s="5" t="s">
        <v>46487</v>
      </c>
      <c r="G7293" s="5" t="s">
        <v>46488</v>
      </c>
      <c r="H7293" s="26">
        <v>29</v>
      </c>
      <c r="I7293" s="5"/>
      <c r="J7293" s="5" t="s">
        <v>25454</v>
      </c>
      <c r="K7293" s="5" t="s">
        <v>344</v>
      </c>
      <c r="L7293" s="5"/>
      <c r="M7293" s="27">
        <v>253811</v>
      </c>
      <c r="N7293" s="5" t="s">
        <v>60190</v>
      </c>
      <c r="O7293" s="5" t="str">
        <v>6608003013</v>
      </c>
      <c r="P7293" s="27">
        <v>159600</v>
      </c>
      <c r="Q7293" s="5" t="s">
        <v>60191</v>
      </c>
      <c r="R7293" s="5"/>
      <c r="S7293" s="5" t="s">
        <v>53522</v>
      </c>
      <c r="T7293" s="28">
        <v>49417391000</v>
      </c>
      <c r="U7293" s="28">
        <v>1246000</v>
      </c>
      <c r="V7293" s="28">
        <v>7836371000</v>
      </c>
      <c r="W7293" s="28"/>
      <c r="X7293" s="28">
        <v>28786775000</v>
      </c>
      <c r="Y7293" s="28">
        <v>89144615000</v>
      </c>
      <c r="Z7293" s="28">
        <v>20030486000</v>
      </c>
      <c r="AA7293" s="28">
        <v>2301279000</v>
      </c>
      <c r="AB7293" s="28">
        <v>117000</v>
      </c>
      <c r="AC7293" s="28">
        <v>29691679000</v>
      </c>
      <c r="AD7293" s="28">
        <v>21811214000</v>
      </c>
      <c r="AE7293" s="28">
        <v>89377990000</v>
      </c>
      <c r="AF7293" s="28">
        <v>13482831000</v>
      </c>
      <c r="AG7293" s="11"/>
    </row>
    <row r="7294">
      <c r="A7294" s="7" t="s">
        <v>8849</v>
      </c>
      <c r="B7294" s="5" t="s">
        <v>16772</v>
      </c>
      <c r="C7294" s="5" t="s">
        <v>24380</v>
      </c>
      <c r="D7294" s="5" t="str">
        <v>233910635725</v>
      </c>
      <c r="E7294" s="0" t="e">
        <f>+7 (35323) 96949</f>
        <v>#NAME?</v>
      </c>
      <c r="F7294" s="5" t="s">
        <v>46489</v>
      </c>
      <c r="G7294" s="5"/>
      <c r="H7294" s="26">
        <v>6.5</v>
      </c>
      <c r="I7294" s="5" t="s">
        <v>46490</v>
      </c>
      <c r="J7294" s="5" t="s">
        <v>25450</v>
      </c>
      <c r="K7294" s="5" t="s">
        <v>355</v>
      </c>
      <c r="L7294" s="5"/>
      <c r="M7294" s="27"/>
      <c r="N7294" s="5"/>
      <c r="O7294" s="5" t="str">
        <v>5642023868</v>
      </c>
      <c r="P7294" s="27">
        <v>1413973000</v>
      </c>
      <c r="Q7294" s="5" t="s">
        <v>49059</v>
      </c>
      <c r="R7294" s="5" t="s">
        <v>54329</v>
      </c>
      <c r="S7294" s="5" t="s">
        <v>49120</v>
      </c>
      <c r="T7294" s="28">
        <v>2577174000</v>
      </c>
      <c r="U7294" s="28">
        <v>17000</v>
      </c>
      <c r="V7294" s="28">
        <v>4522564000</v>
      </c>
      <c r="W7294" s="28"/>
      <c r="X7294" s="28">
        <v>727000</v>
      </c>
      <c r="Y7294" s="28">
        <v>7872305000</v>
      </c>
      <c r="Z7294" s="28">
        <v>208574000</v>
      </c>
      <c r="AA7294" s="28">
        <v>1125792000</v>
      </c>
      <c r="AB7294" s="28">
        <v>2418989000</v>
      </c>
      <c r="AC7294" s="28">
        <v>5074783000</v>
      </c>
      <c r="AD7294" s="28">
        <v>1622547000</v>
      </c>
      <c r="AE7294" s="28">
        <v>4779728000</v>
      </c>
      <c r="AF7294" s="28">
        <v>169597000</v>
      </c>
      <c r="AG7294" s="11"/>
    </row>
    <row r="7295">
      <c r="A7295" s="7" t="s">
        <v>8850</v>
      </c>
      <c r="B7295" s="5" t="s">
        <v>16773</v>
      </c>
      <c r="C7295" s="5" t="s">
        <v>24381</v>
      </c>
      <c r="D7295" s="5" t="str">
        <v>641797015180</v>
      </c>
      <c r="E7295" s="0" t="e">
        <f>+7 (3472) 842463</f>
        <v>#NAME?</v>
      </c>
      <c r="F7295" s="5" t="s">
        <v>46491</v>
      </c>
      <c r="G7295" s="5"/>
      <c r="H7295" s="26">
        <v>5</v>
      </c>
      <c r="I7295" s="5" t="s">
        <v>46492</v>
      </c>
      <c r="J7295" s="5" t="s">
        <v>29296</v>
      </c>
      <c r="K7295" s="5" t="s">
        <v>344</v>
      </c>
      <c r="L7295" s="5" t="s">
        <v>46493</v>
      </c>
      <c r="M7295" s="27">
        <v>25118087</v>
      </c>
      <c r="N7295" s="5"/>
      <c r="O7295" s="5" t="str">
        <v>0278939234</v>
      </c>
      <c r="P7295" s="27">
        <v>10000</v>
      </c>
      <c r="Q7295" s="5" t="s">
        <v>49009</v>
      </c>
      <c r="R7295" s="5"/>
      <c r="S7295" s="5" t="s">
        <v>60193</v>
      </c>
      <c r="T7295" s="28">
        <v>498229000</v>
      </c>
      <c r="U7295" s="28"/>
      <c r="V7295" s="28">
        <v>435597000</v>
      </c>
      <c r="W7295" s="28">
        <v>483511000</v>
      </c>
      <c r="X7295" s="28">
        <v>51463000</v>
      </c>
      <c r="Y7295" s="28">
        <v>1790774000</v>
      </c>
      <c r="Z7295" s="28">
        <v>435021000</v>
      </c>
      <c r="AA7295" s="28">
        <v>250000000</v>
      </c>
      <c r="AB7295" s="28">
        <v>12876000</v>
      </c>
      <c r="AC7295" s="28">
        <v>951552000</v>
      </c>
      <c r="AD7295" s="28">
        <v>435031000</v>
      </c>
      <c r="AE7295" s="28">
        <v>3362474000</v>
      </c>
      <c r="AF7295" s="28">
        <v>184193000</v>
      </c>
      <c r="AG7295" s="11"/>
    </row>
    <row r="7296">
      <c r="A7296" s="7" t="s">
        <v>8851</v>
      </c>
      <c r="B7296" s="5" t="s">
        <v>16765</v>
      </c>
      <c r="C7296" s="5" t="s">
        <v>18866</v>
      </c>
      <c r="D7296" s="5"/>
      <c r="E7296" s="0" t="e">
        <f>+7 (343) 3794070
+7 (343) 3794071
+7 (34357) 54252
+7 (34357) 54350
+7 (34368) 42626
+7 (34368) 46013
+7 (34368) 46073
+7 (34368) 46105
+7 (34368) 46121
+7 (34368) 46134
+7 (34368) 46210
+7 (34368) 46216
+7 (34368) 46239
+7 (34368) 46309
+7 (34368) 46317</f>
        <v>#NAME?</v>
      </c>
      <c r="F7296" s="5" t="s">
        <v>46494</v>
      </c>
      <c r="G7296" s="5" t="s">
        <v>46495</v>
      </c>
      <c r="H7296" s="26">
        <v>30</v>
      </c>
      <c r="I7296" s="5" t="s">
        <v>46496</v>
      </c>
      <c r="J7296" s="5" t="s">
        <v>32455</v>
      </c>
      <c r="K7296" s="5" t="s">
        <v>344</v>
      </c>
      <c r="L7296" s="5" t="s">
        <v>46497</v>
      </c>
      <c r="M7296" s="27">
        <v>268734</v>
      </c>
      <c r="N7296" s="5" t="s">
        <v>60194</v>
      </c>
      <c r="O7296" s="5" t="str">
        <v>6606003385</v>
      </c>
      <c r="P7296" s="27">
        <v>5071415</v>
      </c>
      <c r="Q7296" s="5" t="s">
        <v>49009</v>
      </c>
      <c r="R7296" s="5"/>
      <c r="S7296" s="5" t="s">
        <v>60195</v>
      </c>
      <c r="T7296" s="28">
        <v>24554442000</v>
      </c>
      <c r="U7296" s="28">
        <v>3168443000</v>
      </c>
      <c r="V7296" s="28">
        <v>6698550000</v>
      </c>
      <c r="W7296" s="28">
        <v>29729000</v>
      </c>
      <c r="X7296" s="28">
        <v>711429000</v>
      </c>
      <c r="Y7296" s="28">
        <v>48901168000</v>
      </c>
      <c r="Z7296" s="28">
        <v>33508737000</v>
      </c>
      <c r="AA7296" s="28">
        <v>3306000000</v>
      </c>
      <c r="AB7296" s="28">
        <v>4589665000</v>
      </c>
      <c r="AC7296" s="28">
        <v>10640361000</v>
      </c>
      <c r="AD7296" s="28">
        <v>33516513000</v>
      </c>
      <c r="AE7296" s="28">
        <v>46566566000</v>
      </c>
      <c r="AF7296" s="28">
        <v>-531618000</v>
      </c>
      <c r="AG7296" s="11"/>
    </row>
    <row r="7297">
      <c r="A7297" s="7" t="s">
        <v>8852</v>
      </c>
      <c r="B7297" s="5" t="s">
        <v>16774</v>
      </c>
      <c r="C7297" s="5" t="s">
        <v>24382</v>
      </c>
      <c r="D7297" s="5" t="str">
        <v>666201372205</v>
      </c>
      <c r="E7297" s="0" t="e">
        <f>+7 (343) 2697272
+7 (343) 2697277
+7 (495) 3858675
+7 (922) 3201774
+7 (343) 3504202
+7 (343) 3858675
+7 (34369) 46250
+7 (34369) 46251
+7 (34369) 46255
+7 (34369) 46259
+7 (912) 6743044</f>
        <v>#NAME?</v>
      </c>
      <c r="F7297" s="5" t="s">
        <v>46498</v>
      </c>
      <c r="G7297" s="5" t="s">
        <v>46499</v>
      </c>
      <c r="H7297" s="26">
        <v>23</v>
      </c>
      <c r="I7297" s="5"/>
      <c r="J7297" s="5" t="s">
        <v>25210</v>
      </c>
      <c r="K7297" s="5" t="s">
        <v>344</v>
      </c>
      <c r="L7297" s="5" t="s">
        <v>39654</v>
      </c>
      <c r="M7297" s="27">
        <v>311089144</v>
      </c>
      <c r="N7297" s="5" t="s">
        <v>60196</v>
      </c>
      <c r="O7297" s="5" t="str">
        <v>6659056609</v>
      </c>
      <c r="P7297" s="27">
        <v>10080000</v>
      </c>
      <c r="Q7297" s="5" t="s">
        <v>60197</v>
      </c>
      <c r="R7297" s="5" t="s">
        <v>60198</v>
      </c>
      <c r="S7297" s="5" t="s">
        <v>60199</v>
      </c>
      <c r="T7297" s="28">
        <v>282598000</v>
      </c>
      <c r="U7297" s="28"/>
      <c r="V7297" s="28">
        <v>2556581000</v>
      </c>
      <c r="W7297" s="28">
        <v>791192000</v>
      </c>
      <c r="X7297" s="28">
        <v>285456000</v>
      </c>
      <c r="Y7297" s="28">
        <v>5125030000</v>
      </c>
      <c r="Z7297" s="28">
        <v>1409496000</v>
      </c>
      <c r="AA7297" s="28">
        <v>25000000</v>
      </c>
      <c r="AB7297" s="28">
        <v>649988000</v>
      </c>
      <c r="AC7297" s="28">
        <v>3414355000</v>
      </c>
      <c r="AD7297" s="28">
        <v>1421089000</v>
      </c>
      <c r="AE7297" s="28">
        <v>3932185000</v>
      </c>
      <c r="AF7297" s="28">
        <v>143016000</v>
      </c>
      <c r="AG7297" s="11"/>
    </row>
    <row r="7298">
      <c r="A7298" s="7" t="s">
        <v>8853</v>
      </c>
      <c r="B7298" s="5" t="s">
        <v>16775</v>
      </c>
      <c r="C7298" s="5" t="s">
        <v>24383</v>
      </c>
      <c r="D7298" s="5" t="str">
        <v>771872296432</v>
      </c>
      <c r="E7298" s="0" t="e">
        <f>+7 (3512) 3383
+7 (3512) 104055
+7 (3512) 112640
+7 (3512) 132640
+7 (3512) 132650
+7 (3512) 140014
+7 (3512) 140016
+7 (3512) 140073
+7 (3512) 140518
+7 (3512) 140640
+7 (3512) 140752
+7 (3512) 140865
+7 (3512) 141007
+7 (3512) 140074
+7 (3512) 140963</f>
        <v>#NAME?</v>
      </c>
      <c r="F7298" s="5" t="s">
        <v>46500</v>
      </c>
      <c r="G7298" s="5"/>
      <c r="H7298" s="26">
        <v>5.5</v>
      </c>
      <c r="I7298" s="5" t="s">
        <v>46501</v>
      </c>
      <c r="J7298" s="5" t="s">
        <v>26623</v>
      </c>
      <c r="K7298" s="5" t="s">
        <v>344</v>
      </c>
      <c r="L7298" s="5" t="s">
        <v>46502</v>
      </c>
      <c r="M7298" s="27">
        <v>52038905</v>
      </c>
      <c r="N7298" s="5" t="s">
        <v>60200</v>
      </c>
      <c r="O7298" s="5" t="str">
        <v>7453313477</v>
      </c>
      <c r="P7298" s="27">
        <v>2000000</v>
      </c>
      <c r="Q7298" s="5" t="s">
        <v>60202</v>
      </c>
      <c r="R7298" s="5"/>
      <c r="S7298" s="5" t="s">
        <v>51512</v>
      </c>
      <c r="T7298" s="28">
        <v>336989000</v>
      </c>
      <c r="U7298" s="28">
        <v>16000000</v>
      </c>
      <c r="V7298" s="28">
        <v>4858002000</v>
      </c>
      <c r="W7298" s="28"/>
      <c r="X7298" s="28">
        <v>719521000</v>
      </c>
      <c r="Y7298" s="28">
        <v>9455145000</v>
      </c>
      <c r="Z7298" s="28">
        <v>1020350000</v>
      </c>
      <c r="AA7298" s="28">
        <v>2197178000</v>
      </c>
      <c r="AB7298" s="28">
        <v>530344000</v>
      </c>
      <c r="AC7298" s="28">
        <v>6001713000</v>
      </c>
      <c r="AD7298" s="28">
        <v>1022350000</v>
      </c>
      <c r="AE7298" s="28">
        <v>54083783000</v>
      </c>
      <c r="AF7298" s="28">
        <v>1007007000</v>
      </c>
      <c r="AG7298" s="11"/>
    </row>
    <row r="7299">
      <c r="A7299" s="7" t="s">
        <v>8854</v>
      </c>
      <c r="B7299" s="5" t="s">
        <v>10407</v>
      </c>
      <c r="C7299" s="5" t="s">
        <v>24384</v>
      </c>
      <c r="D7299" s="5" t="str">
        <v>772449327746</v>
      </c>
      <c r="E7299" s="0" t="e">
        <f>+7 (495) 5445554
+7 (495) 6602965</f>
        <v>#NAME?</v>
      </c>
      <c r="F7299" s="5" t="s">
        <v>46503</v>
      </c>
      <c r="G7299" s="5" t="s">
        <v>46504</v>
      </c>
      <c r="H7299" s="26">
        <v>16</v>
      </c>
      <c r="I7299" s="5"/>
      <c r="J7299" s="5" t="s">
        <v>28108</v>
      </c>
      <c r="K7299" s="5" t="s">
        <v>380</v>
      </c>
      <c r="L7299" s="5" t="s">
        <v>46505</v>
      </c>
      <c r="M7299" s="27"/>
      <c r="N7299" s="5" t="s">
        <v>60203</v>
      </c>
      <c r="O7299" s="5" t="str">
        <v>7706641432</v>
      </c>
      <c r="P7299" s="27">
        <v>3857560000</v>
      </c>
      <c r="Q7299" s="5" t="s">
        <v>60204</v>
      </c>
      <c r="R7299" s="5"/>
      <c r="S7299" s="5" t="s">
        <v>49743</v>
      </c>
      <c r="T7299" s="28">
        <v>13249000</v>
      </c>
      <c r="U7299" s="28">
        <v>288649447000</v>
      </c>
      <c r="V7299" s="28">
        <v>4879589000</v>
      </c>
      <c r="W7299" s="28">
        <v>15225485000</v>
      </c>
      <c r="X7299" s="28">
        <v>67856000</v>
      </c>
      <c r="Y7299" s="28">
        <v>311592451000</v>
      </c>
      <c r="Z7299" s="28">
        <v>32753661000</v>
      </c>
      <c r="AA7299" s="28">
        <v>239877153000</v>
      </c>
      <c r="AB7299" s="28">
        <v>4754886000</v>
      </c>
      <c r="AC7299" s="28">
        <v>5963253000</v>
      </c>
      <c r="AD7299" s="28">
        <v>65751760000</v>
      </c>
      <c r="AE7299" s="28">
        <v>5614142000</v>
      </c>
      <c r="AF7299" s="28">
        <v>-4161188000</v>
      </c>
      <c r="AG7299" s="11"/>
    </row>
    <row r="7300">
      <c r="A7300" s="7" t="s">
        <v>8855</v>
      </c>
      <c r="B7300" s="5" t="s">
        <v>16776</v>
      </c>
      <c r="C7300" s="5" t="s">
        <v>24385</v>
      </c>
      <c r="D7300" s="5" t="str">
        <v>667106418405</v>
      </c>
      <c r="E7300" s="0" t="e">
        <f>+7 (42149) 35455
+7 (42149) 51587
+7 (42149) 51768
+7 (42149) 52338
+7 (42149) 53578</f>
        <v>#NAME?</v>
      </c>
      <c r="F7300" s="5" t="s">
        <v>46506</v>
      </c>
      <c r="G7300" s="5" t="s">
        <v>46507</v>
      </c>
      <c r="H7300" s="26">
        <v>28.5</v>
      </c>
      <c r="I7300" s="5" t="s">
        <v>46508</v>
      </c>
      <c r="J7300" s="5" t="s">
        <v>43911</v>
      </c>
      <c r="K7300" s="5" t="s">
        <v>344</v>
      </c>
      <c r="L7300" s="5"/>
      <c r="M7300" s="27">
        <v>4130681</v>
      </c>
      <c r="N7300" s="5" t="s">
        <v>60205</v>
      </c>
      <c r="O7300" s="5" t="str">
        <v>2710001186</v>
      </c>
      <c r="P7300" s="27">
        <v>4240047000</v>
      </c>
      <c r="Q7300" s="5" t="s">
        <v>60206</v>
      </c>
      <c r="R7300" s="5"/>
      <c r="S7300" s="5" t="s">
        <v>55591</v>
      </c>
      <c r="T7300" s="28">
        <v>35202292000</v>
      </c>
      <c r="U7300" s="28"/>
      <c r="V7300" s="28">
        <v>15646477000</v>
      </c>
      <c r="W7300" s="28"/>
      <c r="X7300" s="28">
        <v>13104000</v>
      </c>
      <c r="Y7300" s="28">
        <v>61777693000</v>
      </c>
      <c r="Z7300" s="28">
        <v>4077092000</v>
      </c>
      <c r="AA7300" s="28"/>
      <c r="AB7300" s="28">
        <v>31844000000</v>
      </c>
      <c r="AC7300" s="28">
        <v>38543676000</v>
      </c>
      <c r="AD7300" s="28">
        <v>22028024000</v>
      </c>
      <c r="AE7300" s="28">
        <v>57485800000</v>
      </c>
      <c r="AF7300" s="28">
        <v>14251749000</v>
      </c>
      <c r="AG7300" s="11"/>
    </row>
    <row r="7301">
      <c r="A7301" s="7" t="s">
        <v>8856</v>
      </c>
      <c r="B7301" s="5" t="s">
        <v>16777</v>
      </c>
      <c r="C7301" s="5" t="s">
        <v>24386</v>
      </c>
      <c r="D7301" s="5" t="str">
        <v>890401807023</v>
      </c>
      <c r="E7301" s="0" t="e">
        <f>+7 (3494) 248505
+7 (3494) 231734
+7 (3494) 231741
+7 (3494) 233064
+7 (3494) 236073
+7 (3494) 248504
+7 (3494) 248526
+7 (3494) 248548
+7 (3494) 248566
+7 (3494) 248608
+7 (3494) 248622
+7 (3494) 248625
+7 (3494) 248666
+7 (3494) 947497
+7 (3494) 947576</f>
        <v>#NAME?</v>
      </c>
      <c r="F7301" s="5" t="s">
        <v>46509</v>
      </c>
      <c r="G7301" s="5" t="s">
        <v>46510</v>
      </c>
      <c r="H7301" s="26">
        <v>9</v>
      </c>
      <c r="I7301" s="5" t="s">
        <v>46511</v>
      </c>
      <c r="J7301" s="5" t="s">
        <v>467</v>
      </c>
      <c r="K7301" s="5" t="s">
        <v>344</v>
      </c>
      <c r="L7301" s="5" t="s">
        <v>46512</v>
      </c>
      <c r="M7301" s="27">
        <v>431195</v>
      </c>
      <c r="N7301" s="5" t="s">
        <v>60207</v>
      </c>
      <c r="O7301" s="5" t="str">
        <v>8904073529</v>
      </c>
      <c r="P7301" s="27">
        <v>422387</v>
      </c>
      <c r="Q7301" s="5" t="s">
        <v>60208</v>
      </c>
      <c r="R7301" s="5"/>
      <c r="S7301" s="5" t="s">
        <v>60209</v>
      </c>
      <c r="T7301" s="28">
        <v>2664428000</v>
      </c>
      <c r="U7301" s="28"/>
      <c r="V7301" s="28">
        <v>4355464000</v>
      </c>
      <c r="W7301" s="28"/>
      <c r="X7301" s="28">
        <v>152820000</v>
      </c>
      <c r="Y7301" s="28">
        <v>8650716000</v>
      </c>
      <c r="Z7301" s="28">
        <v>825296000</v>
      </c>
      <c r="AA7301" s="28">
        <v>276630000</v>
      </c>
      <c r="AB7301" s="28">
        <v>708917000</v>
      </c>
      <c r="AC7301" s="28">
        <v>6311888000</v>
      </c>
      <c r="AD7301" s="28">
        <v>1401050000</v>
      </c>
      <c r="AE7301" s="28">
        <v>12282744000</v>
      </c>
      <c r="AF7301" s="28">
        <v>84642000</v>
      </c>
      <c r="AG7301" s="11"/>
    </row>
    <row r="7302">
      <c r="A7302" s="7" t="s">
        <v>8857</v>
      </c>
      <c r="B7302" s="5" t="s">
        <v>16778</v>
      </c>
      <c r="C7302" s="5" t="s">
        <v>24387</v>
      </c>
      <c r="D7302" s="5" t="str">
        <v>532114664153</v>
      </c>
      <c r="E7302" s="0" t="e">
        <f>+7 (812) 3137273
+7 (812) 3137272
+7 (81665) 46180
+7 (921) 9669091</f>
        <v>#NAME?</v>
      </c>
      <c r="F7302" s="5" t="s">
        <v>46513</v>
      </c>
      <c r="G7302" s="5" t="s">
        <v>46514</v>
      </c>
      <c r="H7302" s="26">
        <v>19</v>
      </c>
      <c r="I7302" s="5" t="s">
        <v>46515</v>
      </c>
      <c r="J7302" s="5" t="s">
        <v>31843</v>
      </c>
      <c r="K7302" s="5" t="s">
        <v>344</v>
      </c>
      <c r="L7302" s="5" t="s">
        <v>46516</v>
      </c>
      <c r="M7302" s="27"/>
      <c r="N7302" s="5"/>
      <c r="O7302" s="5" t="str">
        <v>7810316291</v>
      </c>
      <c r="P7302" s="27">
        <v>429704723</v>
      </c>
      <c r="Q7302" s="5" t="s">
        <v>49009</v>
      </c>
      <c r="R7302" s="5"/>
      <c r="S7302" s="5" t="s">
        <v>49066</v>
      </c>
      <c r="T7302" s="28">
        <v>2382715000</v>
      </c>
      <c r="U7302" s="28"/>
      <c r="V7302" s="28">
        <v>447035000</v>
      </c>
      <c r="W7302" s="28">
        <v>520436000</v>
      </c>
      <c r="X7302" s="28">
        <v>1295067000</v>
      </c>
      <c r="Y7302" s="28">
        <v>5743103000</v>
      </c>
      <c r="Z7302" s="28">
        <v>4197048000</v>
      </c>
      <c r="AA7302" s="28"/>
      <c r="AB7302" s="28"/>
      <c r="AC7302" s="28">
        <v>974013000</v>
      </c>
      <c r="AD7302" s="28">
        <v>4626753000</v>
      </c>
      <c r="AE7302" s="28">
        <v>6166394000</v>
      </c>
      <c r="AF7302" s="28">
        <v>723029000</v>
      </c>
      <c r="AG7302" s="11"/>
    </row>
    <row r="7303">
      <c r="A7303" s="7" t="s">
        <v>8858</v>
      </c>
      <c r="B7303" s="5" t="s">
        <v>16779</v>
      </c>
      <c r="C7303" s="5" t="s">
        <v>24388</v>
      </c>
      <c r="D7303" s="5" t="str">
        <v>505602301368</v>
      </c>
      <c r="E7303" s="0" t="e">
        <f>+7 (495) 9400703
+7 (495) 2251940
+7 (499) 2530741
+7 (499) 2530889
+7 (499) 2531713
+7 (925) 872479</f>
        <v>#NAME?</v>
      </c>
      <c r="F7303" s="5" t="s">
        <v>46517</v>
      </c>
      <c r="G7303" s="5"/>
      <c r="H7303" s="26">
        <v>27.5</v>
      </c>
      <c r="I7303" s="5"/>
      <c r="J7303" s="5" t="s">
        <v>364</v>
      </c>
      <c r="K7303" s="5" t="s">
        <v>344</v>
      </c>
      <c r="L7303" s="5" t="s">
        <v>38354</v>
      </c>
      <c r="M7303" s="27">
        <v>11589928</v>
      </c>
      <c r="N7303" s="5" t="s">
        <v>60210</v>
      </c>
      <c r="O7303" s="5" t="str">
        <v>7703800010</v>
      </c>
      <c r="P7303" s="27">
        <v>275757000</v>
      </c>
      <c r="Q7303" s="5" t="s">
        <v>60212</v>
      </c>
      <c r="R7303" s="5"/>
      <c r="S7303" s="5" t="s">
        <v>57237</v>
      </c>
      <c r="T7303" s="28">
        <v>584312000</v>
      </c>
      <c r="U7303" s="28"/>
      <c r="V7303" s="28">
        <v>2980775000</v>
      </c>
      <c r="W7303" s="28"/>
      <c r="X7303" s="28">
        <v>557985000</v>
      </c>
      <c r="Y7303" s="28">
        <v>6598649000</v>
      </c>
      <c r="Z7303" s="28">
        <v>1257990000</v>
      </c>
      <c r="AA7303" s="28"/>
      <c r="AB7303" s="28"/>
      <c r="AC7303" s="28">
        <v>4990498000</v>
      </c>
      <c r="AD7303" s="28">
        <v>1595706000</v>
      </c>
      <c r="AE7303" s="28">
        <v>14477190000</v>
      </c>
      <c r="AF7303" s="28">
        <v>253416000</v>
      </c>
      <c r="AG7303" s="11"/>
    </row>
    <row r="7304">
      <c r="A7304" s="7" t="s">
        <v>8859</v>
      </c>
      <c r="B7304" s="5" t="s">
        <v>16780</v>
      </c>
      <c r="C7304" s="5" t="s">
        <v>24389</v>
      </c>
      <c r="D7304" s="5" t="str">
        <v>743400516463</v>
      </c>
      <c r="E7304" s="0" t="e">
        <f>+7 (351) 2557184
+7 (3519) 437020
+7 (908) 864644
+7 (3512) 6152</f>
        <v>#NAME?</v>
      </c>
      <c r="F7304" s="5" t="s">
        <v>46518</v>
      </c>
      <c r="G7304" s="5"/>
      <c r="H7304" s="26">
        <v>16.5</v>
      </c>
      <c r="I7304" s="5" t="s">
        <v>46519</v>
      </c>
      <c r="J7304" s="5" t="s">
        <v>467</v>
      </c>
      <c r="K7304" s="5" t="s">
        <v>344</v>
      </c>
      <c r="L7304" s="5" t="s">
        <v>46520</v>
      </c>
      <c r="M7304" s="27">
        <v>11184071</v>
      </c>
      <c r="N7304" s="5" t="s">
        <v>60213</v>
      </c>
      <c r="O7304" s="5" t="str">
        <v>7449061146</v>
      </c>
      <c r="P7304" s="27">
        <v>10000</v>
      </c>
      <c r="Q7304" s="5" t="s">
        <v>60214</v>
      </c>
      <c r="R7304" s="5"/>
      <c r="S7304" s="5" t="s">
        <v>60215</v>
      </c>
      <c r="T7304" s="28">
        <v>15872000</v>
      </c>
      <c r="U7304" s="28"/>
      <c r="V7304" s="28">
        <v>607292000</v>
      </c>
      <c r="W7304" s="28">
        <v>2903000</v>
      </c>
      <c r="X7304" s="28">
        <v>365907000</v>
      </c>
      <c r="Y7304" s="28">
        <v>1918574000</v>
      </c>
      <c r="Z7304" s="28">
        <v>774600000</v>
      </c>
      <c r="AA7304" s="28"/>
      <c r="AB7304" s="28">
        <v>150000000</v>
      </c>
      <c r="AC7304" s="28">
        <v>1139646000</v>
      </c>
      <c r="AD7304" s="28">
        <v>774693000</v>
      </c>
      <c r="AE7304" s="28">
        <v>6199322000</v>
      </c>
      <c r="AF7304" s="28">
        <v>93309000</v>
      </c>
      <c r="AG7304" s="11"/>
    </row>
    <row r="7305">
      <c r="A7305" s="7" t="s">
        <v>8860</v>
      </c>
      <c r="B7305" s="5" t="s">
        <v>16781</v>
      </c>
      <c r="C7305" s="5" t="s">
        <v>24390</v>
      </c>
      <c r="D7305" s="5" t="str">
        <v>246502758382</v>
      </c>
      <c r="E7305" s="0" t="e">
        <f>+7 (391) 2745922
+7 (391) 2749560
+7 (391) 2749569</f>
        <v>#NAME?</v>
      </c>
      <c r="F7305" s="5" t="s">
        <v>46521</v>
      </c>
      <c r="G7305" s="5" t="s">
        <v>46522</v>
      </c>
      <c r="H7305" s="26">
        <v>13.5</v>
      </c>
      <c r="I7305" s="5"/>
      <c r="J7305" s="5" t="s">
        <v>364</v>
      </c>
      <c r="K7305" s="5" t="s">
        <v>355</v>
      </c>
      <c r="L7305" s="5"/>
      <c r="M7305" s="27">
        <v>194275</v>
      </c>
      <c r="N7305" s="5"/>
      <c r="O7305" s="5" t="str">
        <v>2464218272</v>
      </c>
      <c r="P7305" s="27">
        <v>190100000</v>
      </c>
      <c r="Q7305" s="5" t="s">
        <v>60216</v>
      </c>
      <c r="R7305" s="5" t="s">
        <v>55383</v>
      </c>
      <c r="S7305" s="5" t="s">
        <v>49227</v>
      </c>
      <c r="T7305" s="28">
        <v>105588000</v>
      </c>
      <c r="U7305" s="28">
        <v>1575361000</v>
      </c>
      <c r="V7305" s="28">
        <v>1479156000</v>
      </c>
      <c r="W7305" s="28">
        <v>301097000</v>
      </c>
      <c r="X7305" s="28">
        <v>3593000</v>
      </c>
      <c r="Y7305" s="28">
        <v>3749395000</v>
      </c>
      <c r="Z7305" s="28">
        <v>-14886000</v>
      </c>
      <c r="AA7305" s="28">
        <v>30100000</v>
      </c>
      <c r="AB7305" s="28">
        <v>92000</v>
      </c>
      <c r="AC7305" s="28">
        <v>3445123000</v>
      </c>
      <c r="AD7305" s="28">
        <v>178066000</v>
      </c>
      <c r="AE7305" s="28">
        <v>4885741000</v>
      </c>
      <c r="AF7305" s="28">
        <v>427000</v>
      </c>
      <c r="AG7305" s="11"/>
    </row>
    <row r="7306">
      <c r="A7306" s="7" t="s">
        <v>8861</v>
      </c>
      <c r="B7306" s="5" t="s">
        <v>10564</v>
      </c>
      <c r="C7306" s="5" t="s">
        <v>24391</v>
      </c>
      <c r="D7306" s="5" t="str">
        <v>381904961626</v>
      </c>
      <c r="E7306" s="0" t="e">
        <f>+7 (395) 4350233
+7 (39543) 50219
+7 (39543) 50228
+7 (39543) 50231
+7 (39543) 50240
+7 (39543) 50250
+7 (39543) 50253
+7 (39543) 50268
+7 (39543) 50274
+7 (39543) 66690
+7 (39543) 95340</f>
        <v>#NAME?</v>
      </c>
      <c r="F7306" s="5" t="s">
        <v>46523</v>
      </c>
      <c r="G7306" s="5" t="s">
        <v>46524</v>
      </c>
      <c r="H7306" s="26">
        <v>30</v>
      </c>
      <c r="I7306" s="5"/>
      <c r="J7306" s="5" t="s">
        <v>25371</v>
      </c>
      <c r="K7306" s="5" t="s">
        <v>344</v>
      </c>
      <c r="L7306" s="5" t="s">
        <v>46525</v>
      </c>
      <c r="M7306" s="27"/>
      <c r="N7306" s="5"/>
      <c r="O7306" s="5" t="str">
        <v>3840006571</v>
      </c>
      <c r="P7306" s="27">
        <v>57400</v>
      </c>
      <c r="Q7306" s="5" t="s">
        <v>49009</v>
      </c>
      <c r="R7306" s="5"/>
      <c r="S7306" s="5" t="s">
        <v>49028</v>
      </c>
      <c r="T7306" s="28">
        <v>1731874000</v>
      </c>
      <c r="U7306" s="28">
        <v>69650000</v>
      </c>
      <c r="V7306" s="28">
        <v>289850000</v>
      </c>
      <c r="W7306" s="28">
        <v>4386789000</v>
      </c>
      <c r="X7306" s="28">
        <v>98818000</v>
      </c>
      <c r="Y7306" s="28">
        <v>8279349000</v>
      </c>
      <c r="Z7306" s="28">
        <v>5077301000</v>
      </c>
      <c r="AA7306" s="28"/>
      <c r="AB7306" s="28">
        <v>589124000</v>
      </c>
      <c r="AC7306" s="28">
        <v>862927000</v>
      </c>
      <c r="AD7306" s="28">
        <v>7476722000</v>
      </c>
      <c r="AE7306" s="28">
        <v>7731851000</v>
      </c>
      <c r="AF7306" s="28">
        <v>711035000</v>
      </c>
      <c r="AG7306" s="11"/>
    </row>
    <row r="7307">
      <c r="A7307" s="7" t="s">
        <v>8862</v>
      </c>
      <c r="B7307" s="5" t="s">
        <v>16782</v>
      </c>
      <c r="C7307" s="5" t="s">
        <v>24392</v>
      </c>
      <c r="D7307" s="5" t="str">
        <v>235701142166</v>
      </c>
      <c r="E7307" s="0" t="e">
        <f>+7 (495) 9334400
+7 (86140) 54672
+7 (86140) 54696
+7 (86140) 57260
+7 (903) 4581102
+7 (918) 3843323
+7 (988) 5215214</f>
        <v>#NAME?</v>
      </c>
      <c r="F7307" s="5" t="s">
        <v>46526</v>
      </c>
      <c r="G7307" s="5" t="s">
        <v>46527</v>
      </c>
      <c r="H7307" s="26">
        <v>19.5</v>
      </c>
      <c r="I7307" s="5"/>
      <c r="J7307" s="5" t="s">
        <v>25994</v>
      </c>
      <c r="K7307" s="5" t="s">
        <v>344</v>
      </c>
      <c r="L7307" s="5" t="s">
        <v>46528</v>
      </c>
      <c r="M7307" s="27"/>
      <c r="N7307" s="5" t="s">
        <v>60217</v>
      </c>
      <c r="O7307" s="5" t="str">
        <v>2357005329</v>
      </c>
      <c r="P7307" s="27">
        <v>100676000</v>
      </c>
      <c r="Q7307" s="5" t="s">
        <v>60218</v>
      </c>
      <c r="R7307" s="5"/>
      <c r="S7307" s="5" t="s">
        <v>53222</v>
      </c>
      <c r="T7307" s="28">
        <v>1049669000</v>
      </c>
      <c r="U7307" s="28"/>
      <c r="V7307" s="28">
        <v>905322000</v>
      </c>
      <c r="W7307" s="28">
        <v>10000000</v>
      </c>
      <c r="X7307" s="28">
        <v>383000</v>
      </c>
      <c r="Y7307" s="28">
        <v>5149977000</v>
      </c>
      <c r="Z7307" s="28">
        <v>2783059000</v>
      </c>
      <c r="AA7307" s="28">
        <v>263393000</v>
      </c>
      <c r="AB7307" s="28">
        <v>915000000</v>
      </c>
      <c r="AC7307" s="28">
        <v>1855577000</v>
      </c>
      <c r="AD7307" s="28">
        <v>2965265000</v>
      </c>
      <c r="AE7307" s="28">
        <v>7444960000</v>
      </c>
      <c r="AF7307" s="28">
        <v>1636692000</v>
      </c>
      <c r="AG7307" s="11"/>
    </row>
    <row r="7308">
      <c r="A7308" s="7" t="s">
        <v>8863</v>
      </c>
      <c r="B7308" s="5" t="s">
        <v>16783</v>
      </c>
      <c r="C7308" s="5" t="s">
        <v>24393</v>
      </c>
      <c r="D7308" s="5" t="str">
        <v>660607464664</v>
      </c>
      <c r="E7308" s="0" t="e">
        <f>+7 (343) 3792999
+7 (343) 3836041
+7 (343) 3836042</f>
        <v>#NAME?</v>
      </c>
      <c r="F7308" s="5" t="s">
        <v>46529</v>
      </c>
      <c r="G7308" s="5" t="s">
        <v>46530</v>
      </c>
      <c r="H7308" s="26">
        <v>17.5</v>
      </c>
      <c r="I7308" s="5"/>
      <c r="J7308" s="5" t="s">
        <v>32045</v>
      </c>
      <c r="K7308" s="5" t="s">
        <v>344</v>
      </c>
      <c r="L7308" s="5" t="s">
        <v>46531</v>
      </c>
      <c r="M7308" s="27">
        <v>1119130</v>
      </c>
      <c r="N7308" s="5" t="s">
        <v>60219</v>
      </c>
      <c r="O7308" s="5" t="str">
        <v>6673128630</v>
      </c>
      <c r="P7308" s="27">
        <v>1010000</v>
      </c>
      <c r="Q7308" s="5" t="s">
        <v>60220</v>
      </c>
      <c r="R7308" s="5" t="s">
        <v>52880</v>
      </c>
      <c r="S7308" s="5" t="s">
        <v>60221</v>
      </c>
      <c r="T7308" s="28">
        <v>885645000</v>
      </c>
      <c r="U7308" s="28">
        <v>2001000</v>
      </c>
      <c r="V7308" s="28">
        <v>10514531000</v>
      </c>
      <c r="W7308" s="28"/>
      <c r="X7308" s="28">
        <v>4318214000</v>
      </c>
      <c r="Y7308" s="28">
        <v>21312279000</v>
      </c>
      <c r="Z7308" s="28">
        <v>2551803000</v>
      </c>
      <c r="AA7308" s="28"/>
      <c r="AB7308" s="28"/>
      <c r="AC7308" s="28">
        <v>3697354000</v>
      </c>
      <c r="AD7308" s="28">
        <v>2553131000</v>
      </c>
      <c r="AE7308" s="28">
        <v>12443151000</v>
      </c>
      <c r="AF7308" s="28">
        <v>2943050000</v>
      </c>
      <c r="AG7308" s="11"/>
    </row>
    <row r="7309">
      <c r="A7309" s="7" t="s">
        <v>8864</v>
      </c>
      <c r="B7309" s="5" t="s">
        <v>16784</v>
      </c>
      <c r="C7309" s="5" t="s">
        <v>24394</v>
      </c>
      <c r="D7309" s="5" t="str">
        <v>540131515997</v>
      </c>
      <c r="E7309" s="0" t="e">
        <f>+7 (384) 3200444
+7 (383) 2276327
+7 (383) 3250001
+7 (383) 3250002
+7 (383) 3250005
+7 (384) 2657065
+7 (391) 2286463
+7 (923) 4691418</f>
        <v>#NAME?</v>
      </c>
      <c r="F7309" s="5" t="s">
        <v>46532</v>
      </c>
      <c r="G7309" s="5" t="s">
        <v>46533</v>
      </c>
      <c r="H7309" s="26">
        <v>22.5</v>
      </c>
      <c r="I7309" s="5" t="s">
        <v>46534</v>
      </c>
      <c r="J7309" s="5" t="s">
        <v>26880</v>
      </c>
      <c r="K7309" s="5" t="s">
        <v>344</v>
      </c>
      <c r="L7309" s="5" t="s">
        <v>46535</v>
      </c>
      <c r="M7309" s="27"/>
      <c r="N7309" s="5" t="s">
        <v>60222</v>
      </c>
      <c r="O7309" s="5" t="str">
        <v>5404170960</v>
      </c>
      <c r="P7309" s="27">
        <v>135135</v>
      </c>
      <c r="Q7309" s="5" t="s">
        <v>60223</v>
      </c>
      <c r="R7309" s="5"/>
      <c r="S7309" s="5" t="s">
        <v>49358</v>
      </c>
      <c r="T7309" s="28">
        <v>252647000</v>
      </c>
      <c r="U7309" s="28"/>
      <c r="V7309" s="28">
        <v>809290000</v>
      </c>
      <c r="W7309" s="28"/>
      <c r="X7309" s="28">
        <v>576102000</v>
      </c>
      <c r="Y7309" s="28">
        <v>2421584000</v>
      </c>
      <c r="Z7309" s="28">
        <v>1556684000</v>
      </c>
      <c r="AA7309" s="28">
        <v>211169000</v>
      </c>
      <c r="AB7309" s="28"/>
      <c r="AC7309" s="28">
        <v>648142000</v>
      </c>
      <c r="AD7309" s="28">
        <v>1556819000</v>
      </c>
      <c r="AE7309" s="28">
        <v>10862859000</v>
      </c>
      <c r="AF7309" s="28">
        <v>245075000</v>
      </c>
      <c r="AG7309" s="11"/>
    </row>
    <row r="7310">
      <c r="A7310" s="7" t="s">
        <v>8865</v>
      </c>
      <c r="B7310" s="5" t="s">
        <v>16785</v>
      </c>
      <c r="C7310" s="5" t="s">
        <v>24395</v>
      </c>
      <c r="D7310" s="5" t="str">
        <v>510890847310</v>
      </c>
      <c r="E7310" s="0" t="e">
        <f>+7 (3952) 211352
+7 (495) 2975783
+7 (967) 1543733</f>
        <v>#NAME?</v>
      </c>
      <c r="F7310" s="5" t="s">
        <v>46536</v>
      </c>
      <c r="G7310" s="5"/>
      <c r="H7310" s="26">
        <v>7.5</v>
      </c>
      <c r="I7310" s="5" t="s">
        <v>46537</v>
      </c>
      <c r="J7310" s="5" t="s">
        <v>28010</v>
      </c>
      <c r="K7310" s="5" t="s">
        <v>344</v>
      </c>
      <c r="L7310" s="5"/>
      <c r="M7310" s="27"/>
      <c r="N7310" s="5"/>
      <c r="O7310" s="5" t="str">
        <v>3849054001</v>
      </c>
      <c r="P7310" s="27">
        <v>8990000000</v>
      </c>
      <c r="Q7310" s="5" t="s">
        <v>49059</v>
      </c>
      <c r="R7310" s="5"/>
      <c r="S7310" s="5" t="s">
        <v>49029</v>
      </c>
      <c r="T7310" s="28">
        <v>19460887000</v>
      </c>
      <c r="U7310" s="28"/>
      <c r="V7310" s="28">
        <v>1808411000</v>
      </c>
      <c r="W7310" s="28"/>
      <c r="X7310" s="28">
        <v>22958000</v>
      </c>
      <c r="Y7310" s="28">
        <v>22157386000</v>
      </c>
      <c r="Z7310" s="28">
        <v>418931000</v>
      </c>
      <c r="AA7310" s="28">
        <v>11730002000</v>
      </c>
      <c r="AB7310" s="28"/>
      <c r="AC7310" s="28">
        <v>622516000</v>
      </c>
      <c r="AD7310" s="28">
        <v>9410431000</v>
      </c>
      <c r="AE7310" s="28">
        <v>5562740000</v>
      </c>
      <c r="AF7310" s="28">
        <v>484223000</v>
      </c>
      <c r="AG7310" s="11"/>
    </row>
    <row r="7311">
      <c r="A7311" s="7" t="s">
        <v>8866</v>
      </c>
      <c r="B7311" s="5" t="s">
        <v>16786</v>
      </c>
      <c r="C7311" s="5" t="s">
        <v>21378</v>
      </c>
      <c r="D7311" s="5" t="str">
        <v>770301104173</v>
      </c>
      <c r="E7311" s="0" t="e">
        <f>+7 (812) 7021674
+7 (812) 7021670
+7 (81375) 64130</f>
        <v>#NAME?</v>
      </c>
      <c r="F7311" s="5" t="s">
        <v>46538</v>
      </c>
      <c r="G7311" s="5" t="s">
        <v>46539</v>
      </c>
      <c r="H7311" s="26">
        <v>25.5</v>
      </c>
      <c r="I7311" s="5"/>
      <c r="J7311" s="5" t="s">
        <v>26905</v>
      </c>
      <c r="K7311" s="5" t="s">
        <v>344</v>
      </c>
      <c r="L7311" s="5" t="s">
        <v>46540</v>
      </c>
      <c r="M7311" s="27">
        <v>2475496</v>
      </c>
      <c r="N7311" s="5"/>
      <c r="O7311" s="5" t="str">
        <v>4707013516</v>
      </c>
      <c r="P7311" s="27">
        <v>1922000000</v>
      </c>
      <c r="Q7311" s="5" t="s">
        <v>49009</v>
      </c>
      <c r="R7311" s="5"/>
      <c r="S7311" s="5" t="s">
        <v>49545</v>
      </c>
      <c r="T7311" s="28">
        <v>22540608000</v>
      </c>
      <c r="U7311" s="28">
        <v>10000</v>
      </c>
      <c r="V7311" s="28">
        <v>1721679000</v>
      </c>
      <c r="W7311" s="28"/>
      <c r="X7311" s="28">
        <v>13106439000</v>
      </c>
      <c r="Y7311" s="28">
        <v>38491709000</v>
      </c>
      <c r="Z7311" s="28">
        <v>33036382000</v>
      </c>
      <c r="AA7311" s="28"/>
      <c r="AB7311" s="28"/>
      <c r="AC7311" s="28">
        <v>1348447000</v>
      </c>
      <c r="AD7311" s="28">
        <v>36196834000</v>
      </c>
      <c r="AE7311" s="28">
        <v>31485718000</v>
      </c>
      <c r="AF7311" s="28">
        <v>22251034000</v>
      </c>
      <c r="AG7311" s="11"/>
    </row>
    <row r="7312">
      <c r="A7312" s="7" t="s">
        <v>8867</v>
      </c>
      <c r="B7312" s="5" t="s">
        <v>16787</v>
      </c>
      <c r="C7312" s="5" t="s">
        <v>24396</v>
      </c>
      <c r="D7312" s="5" t="str">
        <v>470414895263</v>
      </c>
      <c r="E7312" s="0" t="e">
        <f>+7 (421) 2453545
+7 (413) 2222600
+7 (413) 2222605
+7 (413) 2677901
+7 (421) 2211520
+7 (924) 6920046
+7 (924) 8549332</f>
        <v>#NAME?</v>
      </c>
      <c r="F7312" s="5" t="s">
        <v>46541</v>
      </c>
      <c r="G7312" s="5" t="s">
        <v>46542</v>
      </c>
      <c r="H7312" s="26">
        <v>15.5</v>
      </c>
      <c r="I7312" s="5" t="s">
        <v>46543</v>
      </c>
      <c r="J7312" s="5" t="s">
        <v>30741</v>
      </c>
      <c r="K7312" s="5" t="s">
        <v>380</v>
      </c>
      <c r="L7312" s="5"/>
      <c r="M7312" s="27">
        <v>186694350</v>
      </c>
      <c r="N7312" s="5" t="s">
        <v>60224</v>
      </c>
      <c r="O7312" s="5" t="str">
        <v>4909095279</v>
      </c>
      <c r="P7312" s="27">
        <v>297546814</v>
      </c>
      <c r="Q7312" s="5" t="s">
        <v>60225</v>
      </c>
      <c r="R7312" s="5"/>
      <c r="S7312" s="5" t="s">
        <v>60226</v>
      </c>
      <c r="T7312" s="28">
        <v>395132000</v>
      </c>
      <c r="U7312" s="28"/>
      <c r="V7312" s="28">
        <v>4003251000</v>
      </c>
      <c r="W7312" s="28"/>
      <c r="X7312" s="28">
        <v>242653000</v>
      </c>
      <c r="Y7312" s="28">
        <v>17050914000</v>
      </c>
      <c r="Z7312" s="28">
        <v>-2119692000</v>
      </c>
      <c r="AA7312" s="28">
        <v>650000000</v>
      </c>
      <c r="AB7312" s="28">
        <v>450000000</v>
      </c>
      <c r="AC7312" s="28">
        <v>17306406000</v>
      </c>
      <c r="AD7312" s="28">
        <v>-1803802000</v>
      </c>
      <c r="AE7312" s="28">
        <v>14934169000</v>
      </c>
      <c r="AF7312" s="28">
        <v>-541089000</v>
      </c>
      <c r="AG7312" s="11"/>
    </row>
    <row r="7313">
      <c r="A7313" s="7" t="s">
        <v>8868</v>
      </c>
      <c r="B7313" s="5" t="s">
        <v>16788</v>
      </c>
      <c r="C7313" s="5" t="s">
        <v>24397</v>
      </c>
      <c r="D7313" s="5" t="str">
        <v>745310655699</v>
      </c>
      <c r="E7313" s="0" t="e">
        <f>+7 (345) 2248763
+7 (345) 2300564
+7 (345) 2316180
+7 (345) 2368680
+7 (345) 2289710
+7 (345) 2289713
+7 (345) 2289729
+7 (345) 2289745
+7 (345) 2289753
+7 (345) 2289779
+7 (345) 2289780
+7 (345) 2289800
+7 (345) 2289835
+7 (345) 2289857
+7 (345) 2289899</f>
        <v>#NAME?</v>
      </c>
      <c r="F7313" s="5" t="s">
        <v>46544</v>
      </c>
      <c r="G7313" s="5" t="s">
        <v>46545</v>
      </c>
      <c r="H7313" s="26">
        <v>5.5</v>
      </c>
      <c r="I7313" s="5"/>
      <c r="J7313" s="5" t="s">
        <v>26435</v>
      </c>
      <c r="K7313" s="5" t="s">
        <v>344</v>
      </c>
      <c r="L7313" s="5" t="s">
        <v>46546</v>
      </c>
      <c r="M7313" s="27">
        <v>109482266</v>
      </c>
      <c r="N7313" s="5" t="s">
        <v>60227</v>
      </c>
      <c r="O7313" s="5" t="str">
        <v>7203420973</v>
      </c>
      <c r="P7313" s="27">
        <v>300000000</v>
      </c>
      <c r="Q7313" s="5" t="s">
        <v>60228</v>
      </c>
      <c r="R7313" s="5"/>
      <c r="S7313" s="5" t="s">
        <v>49747</v>
      </c>
      <c r="T7313" s="28">
        <v>5688949000</v>
      </c>
      <c r="U7313" s="28"/>
      <c r="V7313" s="28">
        <v>2717095000</v>
      </c>
      <c r="W7313" s="28"/>
      <c r="X7313" s="28">
        <v>462825000</v>
      </c>
      <c r="Y7313" s="28">
        <v>9937059000</v>
      </c>
      <c r="Z7313" s="28">
        <v>2343427000</v>
      </c>
      <c r="AA7313" s="28">
        <v>16433000</v>
      </c>
      <c r="AB7313" s="28">
        <v>772985000</v>
      </c>
      <c r="AC7313" s="28">
        <v>3441530000</v>
      </c>
      <c r="AD7313" s="28">
        <v>2758427000</v>
      </c>
      <c r="AE7313" s="28">
        <v>10040679000</v>
      </c>
      <c r="AF7313" s="28">
        <v>902889000</v>
      </c>
      <c r="AG7313" s="11"/>
    </row>
    <row r="7314">
      <c r="A7314" s="7" t="s">
        <v>8869</v>
      </c>
      <c r="B7314" s="5" t="s">
        <v>16789</v>
      </c>
      <c r="C7314" s="5" t="s">
        <v>24398</v>
      </c>
      <c r="D7314" s="5" t="str">
        <v>450301205967</v>
      </c>
      <c r="E7314" s="0" t="e">
        <f>+7 (3512) 1943
+7 (3512) 140690
+7 (3512) 142560
+7 (3512) 142650
+7 (3512) 146070
+7 (3512) 146556
+7 (3512) 148765
+7 (3512) 149551
+7 (3512) 165696
+7 (3512) 435696
+7 (3512) 455696
+7 (3512) 460569
+7 (3512) 462650
+7 (3512) 463569
+7 (343) 2465404</f>
        <v>#NAME?</v>
      </c>
      <c r="F7314" s="5" t="s">
        <v>46547</v>
      </c>
      <c r="G7314" s="5" t="s">
        <v>46548</v>
      </c>
      <c r="H7314" s="26">
        <v>5</v>
      </c>
      <c r="I7314" s="5"/>
      <c r="J7314" s="5" t="s">
        <v>26435</v>
      </c>
      <c r="K7314" s="5" t="s">
        <v>355</v>
      </c>
      <c r="L7314" s="5" t="s">
        <v>46549</v>
      </c>
      <c r="M7314" s="27">
        <v>435907062</v>
      </c>
      <c r="N7314" s="5" t="s">
        <v>60229</v>
      </c>
      <c r="O7314" s="5" t="str">
        <v>7453320202</v>
      </c>
      <c r="P7314" s="27">
        <v>300000000</v>
      </c>
      <c r="Q7314" s="5" t="s">
        <v>60230</v>
      </c>
      <c r="R7314" s="5"/>
      <c r="S7314" s="5" t="s">
        <v>49271</v>
      </c>
      <c r="T7314" s="28">
        <v>2216888000</v>
      </c>
      <c r="U7314" s="28"/>
      <c r="V7314" s="28">
        <v>4602680000</v>
      </c>
      <c r="W7314" s="28">
        <v>101735000</v>
      </c>
      <c r="X7314" s="28">
        <v>210244000</v>
      </c>
      <c r="Y7314" s="28">
        <v>7791009000</v>
      </c>
      <c r="Z7314" s="28">
        <v>388060000</v>
      </c>
      <c r="AA7314" s="28"/>
      <c r="AB7314" s="28">
        <v>800000000</v>
      </c>
      <c r="AC7314" s="28">
        <v>5754433000</v>
      </c>
      <c r="AD7314" s="28">
        <v>702548000</v>
      </c>
      <c r="AE7314" s="28">
        <v>13733094000</v>
      </c>
      <c r="AF7314" s="28">
        <v>352048000</v>
      </c>
      <c r="AG7314" s="11"/>
    </row>
    <row r="7315">
      <c r="A7315" s="7" t="s">
        <v>8870</v>
      </c>
      <c r="B7315" s="5" t="s">
        <v>16790</v>
      </c>
      <c r="C7315" s="5" t="s">
        <v>24399</v>
      </c>
      <c r="D7315" s="5" t="str">
        <v>502903664306</v>
      </c>
      <c r="E7315" s="0" t="e">
        <f>+7 (495) 9251020
+7 (495) 9335352
+7 (3466) 296309
+7 (495) 2042709
+7 (800) 3330020
+7 (800) 3331613
+7 (916) 3523231</f>
        <v>#NAME?</v>
      </c>
      <c r="F7315" s="5" t="s">
        <v>46550</v>
      </c>
      <c r="G7315" s="5" t="s">
        <v>46551</v>
      </c>
      <c r="H7315" s="26">
        <v>22</v>
      </c>
      <c r="I7315" s="5" t="s">
        <v>46552</v>
      </c>
      <c r="J7315" s="5" t="s">
        <v>678</v>
      </c>
      <c r="K7315" s="5" t="s">
        <v>344</v>
      </c>
      <c r="L7315" s="5" t="s">
        <v>46553</v>
      </c>
      <c r="M7315" s="27">
        <v>840258</v>
      </c>
      <c r="N7315" s="5" t="s">
        <v>60231</v>
      </c>
      <c r="O7315" s="5" t="str">
        <v>7709331654</v>
      </c>
      <c r="P7315" s="27">
        <v>1000000</v>
      </c>
      <c r="Q7315" s="5" t="s">
        <v>49009</v>
      </c>
      <c r="R7315" s="5"/>
      <c r="S7315" s="5" t="s">
        <v>49020</v>
      </c>
      <c r="T7315" s="28">
        <v>99757000</v>
      </c>
      <c r="U7315" s="28">
        <v>29202000</v>
      </c>
      <c r="V7315" s="28">
        <v>393184000</v>
      </c>
      <c r="W7315" s="28">
        <v>1297780000</v>
      </c>
      <c r="X7315" s="28">
        <v>3589867000</v>
      </c>
      <c r="Y7315" s="28">
        <v>6440675000</v>
      </c>
      <c r="Z7315" s="28">
        <v>4467779000</v>
      </c>
      <c r="AA7315" s="28"/>
      <c r="AB7315" s="28">
        <v>546123000</v>
      </c>
      <c r="AC7315" s="28">
        <v>1954852000</v>
      </c>
      <c r="AD7315" s="28">
        <v>4468779000</v>
      </c>
      <c r="AE7315" s="28">
        <v>24967216000</v>
      </c>
      <c r="AF7315" s="28">
        <v>988786000</v>
      </c>
      <c r="AG7315" s="11"/>
    </row>
    <row r="7316">
      <c r="A7316" s="7" t="s">
        <v>8871</v>
      </c>
      <c r="B7316" s="5" t="s">
        <v>16791</v>
      </c>
      <c r="C7316" s="5" t="s">
        <v>24400</v>
      </c>
      <c r="D7316" s="5"/>
      <c r="E7316" s="0" t="e">
        <f>+7 (34672) 50228
+7 (34672) 52223</f>
        <v>#NAME?</v>
      </c>
      <c r="F7316" s="5" t="s">
        <v>46554</v>
      </c>
      <c r="G7316" s="5" t="s">
        <v>46555</v>
      </c>
      <c r="H7316" s="26">
        <v>20</v>
      </c>
      <c r="I7316" s="5"/>
      <c r="J7316" s="5" t="s">
        <v>33185</v>
      </c>
      <c r="K7316" s="5" t="s">
        <v>344</v>
      </c>
      <c r="L7316" s="5"/>
      <c r="M7316" s="27">
        <v>4995550</v>
      </c>
      <c r="N7316" s="5" t="s">
        <v>60232</v>
      </c>
      <c r="O7316" s="5" t="str">
        <v>8614006094</v>
      </c>
      <c r="P7316" s="27">
        <v>7870000</v>
      </c>
      <c r="Q7316" s="5" t="s">
        <v>60233</v>
      </c>
      <c r="R7316" s="5"/>
      <c r="S7316" s="5" t="s">
        <v>49175</v>
      </c>
      <c r="T7316" s="28">
        <v>916154000</v>
      </c>
      <c r="U7316" s="28">
        <v>185555000</v>
      </c>
      <c r="V7316" s="28">
        <v>1078335000</v>
      </c>
      <c r="W7316" s="28">
        <v>5675000</v>
      </c>
      <c r="X7316" s="28">
        <v>2812000</v>
      </c>
      <c r="Y7316" s="28">
        <v>2642022000</v>
      </c>
      <c r="Z7316" s="28">
        <v>447376000</v>
      </c>
      <c r="AA7316" s="28">
        <v>443000000</v>
      </c>
      <c r="AB7316" s="28">
        <v>60071000</v>
      </c>
      <c r="AC7316" s="28">
        <v>699866000</v>
      </c>
      <c r="AD7316" s="28">
        <v>455640000</v>
      </c>
      <c r="AE7316" s="28">
        <v>3510404000</v>
      </c>
      <c r="AF7316" s="28">
        <v>59974000</v>
      </c>
      <c r="AG7316" s="11"/>
    </row>
    <row r="7317">
      <c r="A7317" s="7" t="s">
        <v>8872</v>
      </c>
      <c r="B7317" s="5" t="s">
        <v>16792</v>
      </c>
      <c r="C7317" s="5" t="s">
        <v>22934</v>
      </c>
      <c r="D7317" s="5"/>
      <c r="E7317" s="0" t="e">
        <f>+7 (495) 1375225
+7 (495) 7395985
+7 (495) 7820971
+7 (495) 7820974</f>
        <v>#NAME?</v>
      </c>
      <c r="F7317" s="5"/>
      <c r="G7317" s="5"/>
      <c r="H7317" s="26">
        <v>11</v>
      </c>
      <c r="I7317" s="5" t="s">
        <v>46556</v>
      </c>
      <c r="J7317" s="5" t="s">
        <v>33185</v>
      </c>
      <c r="K7317" s="5" t="s">
        <v>344</v>
      </c>
      <c r="L7317" s="5" t="s">
        <v>46557</v>
      </c>
      <c r="M7317" s="27">
        <v>13760765</v>
      </c>
      <c r="N7317" s="5"/>
      <c r="O7317" s="5" t="str">
        <v>7727767316</v>
      </c>
      <c r="P7317" s="27">
        <v>1138475400</v>
      </c>
      <c r="Q7317" s="5" t="s">
        <v>60234</v>
      </c>
      <c r="R7317" s="5" t="s">
        <v>60235</v>
      </c>
      <c r="S7317" s="5" t="s">
        <v>50191</v>
      </c>
      <c r="T7317" s="28">
        <v>1177528000</v>
      </c>
      <c r="U7317" s="28"/>
      <c r="V7317" s="28">
        <v>6326411000</v>
      </c>
      <c r="W7317" s="28"/>
      <c r="X7317" s="28">
        <v>153501000</v>
      </c>
      <c r="Y7317" s="28">
        <v>9718038000</v>
      </c>
      <c r="Z7317" s="28">
        <v>1244760000</v>
      </c>
      <c r="AA7317" s="28"/>
      <c r="AB7317" s="28"/>
      <c r="AC7317" s="28">
        <v>6334938000</v>
      </c>
      <c r="AD7317" s="28">
        <v>2444274000</v>
      </c>
      <c r="AE7317" s="28">
        <v>8454665000</v>
      </c>
      <c r="AF7317" s="28">
        <v>754511000</v>
      </c>
      <c r="AG7317" s="11"/>
    </row>
    <row r="7318">
      <c r="A7318" s="7" t="s">
        <v>8873</v>
      </c>
      <c r="B7318" s="5" t="s">
        <v>16793</v>
      </c>
      <c r="C7318" s="5" t="s">
        <v>24401</v>
      </c>
      <c r="D7318" s="5" t="str">
        <v>595700426429</v>
      </c>
      <c r="E7318" s="0" t="e">
        <f>+7 (82144) 20253
+7 (82144) 20272
+7 (82144) 20507
+7 (82144) 20521
+7 (912) 9475897</f>
        <v>#NAME?</v>
      </c>
      <c r="F7318" s="5" t="s">
        <v>46558</v>
      </c>
      <c r="G7318" s="5" t="s">
        <v>46559</v>
      </c>
      <c r="H7318" s="26">
        <v>18</v>
      </c>
      <c r="I7318" s="5" t="s">
        <v>46560</v>
      </c>
      <c r="J7318" s="5" t="s">
        <v>533</v>
      </c>
      <c r="K7318" s="5" t="s">
        <v>355</v>
      </c>
      <c r="L7318" s="5" t="s">
        <v>46561</v>
      </c>
      <c r="M7318" s="27">
        <v>1859000</v>
      </c>
      <c r="N7318" s="5" t="s">
        <v>60236</v>
      </c>
      <c r="O7318" s="5" t="str">
        <v>1106018070</v>
      </c>
      <c r="P7318" s="27">
        <v>161200000</v>
      </c>
      <c r="Q7318" s="5" t="s">
        <v>60237</v>
      </c>
      <c r="R7318" s="5"/>
      <c r="S7318" s="5" t="s">
        <v>51433</v>
      </c>
      <c r="T7318" s="28">
        <v>1790120000</v>
      </c>
      <c r="U7318" s="28">
        <v>426000000</v>
      </c>
      <c r="V7318" s="28">
        <v>985070000</v>
      </c>
      <c r="W7318" s="28">
        <v>2305715000</v>
      </c>
      <c r="X7318" s="28">
        <v>481869000</v>
      </c>
      <c r="Y7318" s="28">
        <v>6359909000</v>
      </c>
      <c r="Z7318" s="28">
        <v>1066494000</v>
      </c>
      <c r="AA7318" s="28"/>
      <c r="AB7318" s="28"/>
      <c r="AC7318" s="28">
        <v>4153029000</v>
      </c>
      <c r="AD7318" s="28">
        <v>1228500000</v>
      </c>
      <c r="AE7318" s="28">
        <v>5000662000</v>
      </c>
      <c r="AF7318" s="28">
        <v>204969000</v>
      </c>
      <c r="AG7318" s="11"/>
    </row>
    <row r="7319">
      <c r="A7319" s="7" t="s">
        <v>8874</v>
      </c>
      <c r="B7319" s="5" t="s">
        <v>16794</v>
      </c>
      <c r="C7319" s="5" t="s">
        <v>24402</v>
      </c>
      <c r="D7319" s="5" t="str">
        <v>027800531006</v>
      </c>
      <c r="E7319" s="0" t="e">
        <f>+7 (347) 2482287
+7 (3472) 380898
+7 (3472) 381286
+7 (3472) 382237
+7 (3472) 389949
+7 (3472) 391198
+7 (3472) 391936
+7 (3472) 392287
+7 (3472) 394813
+7 (3472) 394875</f>
        <v>#NAME?</v>
      </c>
      <c r="F7319" s="5" t="s">
        <v>46562</v>
      </c>
      <c r="G7319" s="5" t="s">
        <v>46563</v>
      </c>
      <c r="H7319" s="26">
        <v>23.5</v>
      </c>
      <c r="I7319" s="5" t="s">
        <v>46564</v>
      </c>
      <c r="J7319" s="5" t="s">
        <v>30025</v>
      </c>
      <c r="K7319" s="5" t="s">
        <v>344</v>
      </c>
      <c r="L7319" s="5" t="s">
        <v>46565</v>
      </c>
      <c r="M7319" s="27">
        <v>4439746</v>
      </c>
      <c r="N7319" s="5" t="s">
        <v>60238</v>
      </c>
      <c r="O7319" s="5" t="str">
        <v>0273034055</v>
      </c>
      <c r="P7319" s="27">
        <v>300000</v>
      </c>
      <c r="Q7319" s="5" t="s">
        <v>60239</v>
      </c>
      <c r="R7319" s="5"/>
      <c r="S7319" s="5" t="s">
        <v>56422</v>
      </c>
      <c r="T7319" s="28">
        <v>32950000</v>
      </c>
      <c r="U7319" s="28"/>
      <c r="V7319" s="28">
        <v>2855153000</v>
      </c>
      <c r="W7319" s="28">
        <v>288239000</v>
      </c>
      <c r="X7319" s="28">
        <v>172585000</v>
      </c>
      <c r="Y7319" s="28">
        <v>3395389000</v>
      </c>
      <c r="Z7319" s="28">
        <v>541120000</v>
      </c>
      <c r="AA7319" s="28"/>
      <c r="AB7319" s="28"/>
      <c r="AC7319" s="28">
        <v>2837079000</v>
      </c>
      <c r="AD7319" s="28">
        <v>541435000</v>
      </c>
      <c r="AE7319" s="28">
        <v>4942586000</v>
      </c>
      <c r="AF7319" s="28">
        <v>58674000</v>
      </c>
      <c r="AG7319" s="11"/>
    </row>
    <row r="7320">
      <c r="A7320" s="7" t="s">
        <v>8875</v>
      </c>
      <c r="B7320" s="5" t="s">
        <v>16795</v>
      </c>
      <c r="C7320" s="5" t="s">
        <v>24403</v>
      </c>
      <c r="D7320" s="5" t="str">
        <v>026605522800</v>
      </c>
      <c r="E7320" s="0" t="e">
        <f>+7 (3472) 120025
+7 (3472) 148448
+7 (3472) 208006
+7 (3472) 221010
+7 (3472) 281278
+7 (3472) 286730
+7 (3472) 345698
+7 (3472) 360058
+7 (3472) 452635
+7 (3472) 458565
+7 (347) 2311355
+7 (3472) 161033
+7 (3472) 285420
+7 (3472) 311550
+7 (3472) 327382</f>
        <v>#NAME?</v>
      </c>
      <c r="F7320" s="5" t="s">
        <v>46566</v>
      </c>
      <c r="G7320" s="5" t="s">
        <v>46567</v>
      </c>
      <c r="H7320" s="26">
        <v>29.5</v>
      </c>
      <c r="I7320" s="5" t="s">
        <v>46568</v>
      </c>
      <c r="J7320" s="5" t="s">
        <v>34010</v>
      </c>
      <c r="K7320" s="5" t="s">
        <v>344</v>
      </c>
      <c r="L7320" s="5"/>
      <c r="M7320" s="27">
        <v>2122860549</v>
      </c>
      <c r="N7320" s="5" t="s">
        <v>60240</v>
      </c>
      <c r="O7320" s="5" t="str">
        <v>0275000238</v>
      </c>
      <c r="P7320" s="27">
        <v>1507894343</v>
      </c>
      <c r="Q7320" s="5" t="s">
        <v>60241</v>
      </c>
      <c r="R7320" s="5"/>
      <c r="S7320" s="5" t="s">
        <v>50475</v>
      </c>
      <c r="T7320" s="28">
        <v>13890277000</v>
      </c>
      <c r="U7320" s="28"/>
      <c r="V7320" s="28">
        <v>1735796000</v>
      </c>
      <c r="W7320" s="28"/>
      <c r="X7320" s="28">
        <v>1218184000</v>
      </c>
      <c r="Y7320" s="28">
        <v>18219948000</v>
      </c>
      <c r="Z7320" s="28">
        <v>6539604000</v>
      </c>
      <c r="AA7320" s="28">
        <v>1157696000</v>
      </c>
      <c r="AB7320" s="28"/>
      <c r="AC7320" s="28">
        <v>2258428000</v>
      </c>
      <c r="AD7320" s="28">
        <v>13735054000</v>
      </c>
      <c r="AE7320" s="28">
        <v>3613243000</v>
      </c>
      <c r="AF7320" s="28">
        <v>2097000</v>
      </c>
      <c r="AG7320" s="11"/>
    </row>
    <row r="7321">
      <c r="A7321" s="7" t="s">
        <v>8876</v>
      </c>
      <c r="B7321" s="5" t="s">
        <v>16796</v>
      </c>
      <c r="C7321" s="5" t="s">
        <v>24404</v>
      </c>
      <c r="D7321" s="5" t="str">
        <v>027814696939</v>
      </c>
      <c r="E7321" s="0" t="e">
        <f>+7 (937) 303999
+7 (3472) 900400
+7 (3472) 900419
+7 (35324) 30001
+7 (35324) 30303</f>
        <v>#NAME?</v>
      </c>
      <c r="F7321" s="5" t="s">
        <v>46569</v>
      </c>
      <c r="G7321" s="5"/>
      <c r="H7321" s="26">
        <v>18</v>
      </c>
      <c r="I7321" s="5"/>
      <c r="J7321" s="5" t="s">
        <v>27783</v>
      </c>
      <c r="K7321" s="5" t="s">
        <v>344</v>
      </c>
      <c r="L7321" s="5" t="s">
        <v>46570</v>
      </c>
      <c r="M7321" s="27">
        <v>8822394</v>
      </c>
      <c r="N7321" s="5" t="s">
        <v>60242</v>
      </c>
      <c r="O7321" s="5" t="str">
        <v>0278109628</v>
      </c>
      <c r="P7321" s="27">
        <v>1145430100</v>
      </c>
      <c r="Q7321" s="5" t="s">
        <v>60244</v>
      </c>
      <c r="R7321" s="5" t="s">
        <v>57032</v>
      </c>
      <c r="S7321" s="5" t="s">
        <v>60245</v>
      </c>
      <c r="T7321" s="28">
        <v>6370759000</v>
      </c>
      <c r="U7321" s="28">
        <v>461620000</v>
      </c>
      <c r="V7321" s="28">
        <v>1781765000</v>
      </c>
      <c r="W7321" s="28">
        <v>14000000</v>
      </c>
      <c r="X7321" s="28">
        <v>120209000</v>
      </c>
      <c r="Y7321" s="28">
        <v>9946852000</v>
      </c>
      <c r="Z7321" s="28">
        <v>2197121000</v>
      </c>
      <c r="AA7321" s="28">
        <v>2382060000</v>
      </c>
      <c r="AB7321" s="28">
        <v>1562946000</v>
      </c>
      <c r="AC7321" s="28">
        <v>2690554000</v>
      </c>
      <c r="AD7321" s="28">
        <v>3750947000</v>
      </c>
      <c r="AE7321" s="28">
        <v>7660484000</v>
      </c>
      <c r="AF7321" s="28">
        <v>822864000</v>
      </c>
      <c r="AG7321" s="11"/>
    </row>
    <row r="7322">
      <c r="A7322" s="7" t="s">
        <v>8877</v>
      </c>
      <c r="B7322" s="5" t="s">
        <v>16797</v>
      </c>
      <c r="C7322" s="5" t="s">
        <v>24405</v>
      </c>
      <c r="D7322" s="5" t="str">
        <v>662304629790</v>
      </c>
      <c r="E7322" s="0" t="e">
        <f>+7 (3435) 346225
+7 (3435) 346011
+7 (3435) 346089
+7 (3435) 346110
+7 (3435) 346173
+7 (3435) 346201
+7 (3435) 346293
+7 (3435) 346433
+7 (3435) 346532
+7 (3435) 346601
+7 (3435) 346643
+7 (3435) 346667
+7 (3435) 346693
+7 (3435) 346710
+7 (3435) 346748</f>
        <v>#NAME?</v>
      </c>
      <c r="F7322" s="5" t="s">
        <v>46571</v>
      </c>
      <c r="G7322" s="5" t="s">
        <v>46572</v>
      </c>
      <c r="H7322" s="26">
        <v>22</v>
      </c>
      <c r="I7322" s="5" t="s">
        <v>46573</v>
      </c>
      <c r="J7322" s="5" t="s">
        <v>26851</v>
      </c>
      <c r="K7322" s="5" t="s">
        <v>344</v>
      </c>
      <c r="L7322" s="5" t="s">
        <v>46574</v>
      </c>
      <c r="M7322" s="27">
        <v>1905632</v>
      </c>
      <c r="N7322" s="5" t="s">
        <v>60246</v>
      </c>
      <c r="O7322" s="5" t="str">
        <v>6623005777</v>
      </c>
      <c r="P7322" s="27">
        <v>347905000</v>
      </c>
      <c r="Q7322" s="5" t="s">
        <v>60247</v>
      </c>
      <c r="R7322" s="5"/>
      <c r="S7322" s="5" t="s">
        <v>51813</v>
      </c>
      <c r="T7322" s="28">
        <v>1958074000</v>
      </c>
      <c r="U7322" s="28">
        <v>338701000</v>
      </c>
      <c r="V7322" s="28">
        <v>545896000</v>
      </c>
      <c r="W7322" s="28">
        <v>33109000</v>
      </c>
      <c r="X7322" s="28">
        <v>145696000</v>
      </c>
      <c r="Y7322" s="28">
        <v>4819393000</v>
      </c>
      <c r="Z7322" s="28">
        <v>1831020000</v>
      </c>
      <c r="AA7322" s="28">
        <v>1027118000</v>
      </c>
      <c r="AB7322" s="28">
        <v>878665000</v>
      </c>
      <c r="AC7322" s="28">
        <v>1446649000</v>
      </c>
      <c r="AD7322" s="28">
        <v>2196320000</v>
      </c>
      <c r="AE7322" s="28">
        <v>7270729000</v>
      </c>
      <c r="AF7322" s="28">
        <v>624757000</v>
      </c>
      <c r="AG7322" s="11"/>
    </row>
    <row r="7323">
      <c r="A7323" s="7" t="s">
        <v>8878</v>
      </c>
      <c r="B7323" s="5" t="s">
        <v>16798</v>
      </c>
      <c r="C7323" s="5" t="s">
        <v>24406</v>
      </c>
      <c r="D7323" s="5" t="str">
        <v>667220363014</v>
      </c>
      <c r="E7323" s="0" t="e">
        <f>+7 (343) 2862439
+7 (343) 3799834
+7 (343) 3820563
+7 (916) 2068664</f>
        <v>#NAME?</v>
      </c>
      <c r="F7323" s="5" t="s">
        <v>46575</v>
      </c>
      <c r="G7323" s="5" t="s">
        <v>46576</v>
      </c>
      <c r="H7323" s="26">
        <v>16</v>
      </c>
      <c r="I7323" s="5" t="s">
        <v>46577</v>
      </c>
      <c r="J7323" s="5" t="s">
        <v>26256</v>
      </c>
      <c r="K7323" s="5" t="s">
        <v>344</v>
      </c>
      <c r="L7323" s="5" t="s">
        <v>46578</v>
      </c>
      <c r="M7323" s="27"/>
      <c r="N7323" s="5" t="s">
        <v>60248</v>
      </c>
      <c r="O7323" s="5" t="str">
        <v>6672235068</v>
      </c>
      <c r="P7323" s="27">
        <v>6000000</v>
      </c>
      <c r="Q7323" s="5" t="s">
        <v>60249</v>
      </c>
      <c r="R7323" s="5"/>
      <c r="S7323" s="5" t="s">
        <v>60250</v>
      </c>
      <c r="T7323" s="28">
        <v>189387000</v>
      </c>
      <c r="U7323" s="28">
        <v>20000000</v>
      </c>
      <c r="V7323" s="28">
        <v>3053879000</v>
      </c>
      <c r="W7323" s="28">
        <v>272748000</v>
      </c>
      <c r="X7323" s="28">
        <v>44421000</v>
      </c>
      <c r="Y7323" s="28">
        <v>4054421000</v>
      </c>
      <c r="Z7323" s="28">
        <v>1026264000</v>
      </c>
      <c r="AA7323" s="28"/>
      <c r="AB7323" s="28">
        <v>121250000</v>
      </c>
      <c r="AC7323" s="28">
        <v>2877484000</v>
      </c>
      <c r="AD7323" s="28">
        <v>1032264000</v>
      </c>
      <c r="AE7323" s="28">
        <v>5349876000</v>
      </c>
      <c r="AF7323" s="28">
        <v>484793000</v>
      </c>
      <c r="AG7323" s="11"/>
    </row>
    <row r="7324">
      <c r="A7324" s="7" t="s">
        <v>8879</v>
      </c>
      <c r="B7324" s="5" t="s">
        <v>16799</v>
      </c>
      <c r="C7324" s="5" t="s">
        <v>24407</v>
      </c>
      <c r="D7324" s="5" t="str">
        <v>661205979418</v>
      </c>
      <c r="E7324" s="0" t="e">
        <f>+7 (343) 3699400
+7 (343) 2220260
+7 (343) 2700404
+7 (343) 2700427
+7 (3432) 700429
+7 (3432) 700430
+7 (3432) 700431</f>
        <v>#NAME?</v>
      </c>
      <c r="F7324" s="5" t="s">
        <v>46579</v>
      </c>
      <c r="G7324" s="5" t="s">
        <v>46580</v>
      </c>
      <c r="H7324" s="26">
        <v>8.5</v>
      </c>
      <c r="I7324" s="5" t="s">
        <v>46581</v>
      </c>
      <c r="J7324" s="5" t="s">
        <v>1123</v>
      </c>
      <c r="K7324" s="5" t="s">
        <v>344</v>
      </c>
      <c r="L7324" s="5" t="s">
        <v>46582</v>
      </c>
      <c r="M7324" s="27"/>
      <c r="N7324" s="5" t="s">
        <v>60251</v>
      </c>
      <c r="O7324" s="5" t="str">
        <v>6686052547</v>
      </c>
      <c r="P7324" s="27">
        <v>44000</v>
      </c>
      <c r="Q7324" s="5" t="s">
        <v>60252</v>
      </c>
      <c r="R7324" s="5"/>
      <c r="S7324" s="5" t="s">
        <v>60253</v>
      </c>
      <c r="T7324" s="28">
        <v>39563000</v>
      </c>
      <c r="U7324" s="28">
        <v>5000000</v>
      </c>
      <c r="V7324" s="28">
        <v>568857000</v>
      </c>
      <c r="W7324" s="28"/>
      <c r="X7324" s="28">
        <v>237096000</v>
      </c>
      <c r="Y7324" s="28">
        <v>1722797000</v>
      </c>
      <c r="Z7324" s="28">
        <v>1140108000</v>
      </c>
      <c r="AA7324" s="28"/>
      <c r="AB7324" s="28"/>
      <c r="AC7324" s="28">
        <v>582511000</v>
      </c>
      <c r="AD7324" s="28">
        <v>1140154000</v>
      </c>
      <c r="AE7324" s="28">
        <v>5027117000</v>
      </c>
      <c r="AF7324" s="28">
        <v>316766000</v>
      </c>
      <c r="AG7324" s="11"/>
    </row>
    <row r="7325">
      <c r="A7325" s="7" t="s">
        <v>8880</v>
      </c>
      <c r="B7325" s="5" t="s">
        <v>16800</v>
      </c>
      <c r="C7325" s="5" t="s">
        <v>18866</v>
      </c>
      <c r="D7325" s="5"/>
      <c r="E7325" s="0" t="e">
        <f>+7 (34791) 60536
+7 (34791) 61374
+7 (34791) 62003
+7 (34791) 65555
+7 (34791) 95141
+7 (34791) 95181
+7 (34791) 95552</f>
        <v>#NAME?</v>
      </c>
      <c r="F7325" s="5" t="s">
        <v>46583</v>
      </c>
      <c r="G7325" s="5" t="s">
        <v>46584</v>
      </c>
      <c r="H7325" s="26">
        <v>28</v>
      </c>
      <c r="I7325" s="5"/>
      <c r="J7325" s="5" t="s">
        <v>27791</v>
      </c>
      <c r="K7325" s="5" t="s">
        <v>344</v>
      </c>
      <c r="L7325" s="5" t="s">
        <v>46585</v>
      </c>
      <c r="M7325" s="27">
        <v>2242941528</v>
      </c>
      <c r="N7325" s="5" t="s">
        <v>60254</v>
      </c>
      <c r="O7325" s="5" t="str">
        <v>0270007455</v>
      </c>
      <c r="P7325" s="27">
        <v>761655000</v>
      </c>
      <c r="Q7325" s="5" t="s">
        <v>60255</v>
      </c>
      <c r="R7325" s="5"/>
      <c r="S7325" s="5" t="s">
        <v>52597</v>
      </c>
      <c r="T7325" s="28">
        <v>35602031000</v>
      </c>
      <c r="U7325" s="28">
        <v>9629641000</v>
      </c>
      <c r="V7325" s="28">
        <v>3406004000</v>
      </c>
      <c r="W7325" s="28"/>
      <c r="X7325" s="28">
        <v>35707000</v>
      </c>
      <c r="Y7325" s="28">
        <v>54527493000</v>
      </c>
      <c r="Z7325" s="28">
        <v>38631129000</v>
      </c>
      <c r="AA7325" s="28">
        <v>5470000000</v>
      </c>
      <c r="AB7325" s="28">
        <v>3059479000</v>
      </c>
      <c r="AC7325" s="28">
        <v>7308699000</v>
      </c>
      <c r="AD7325" s="28">
        <v>39441190000</v>
      </c>
      <c r="AE7325" s="28">
        <v>33336126000</v>
      </c>
      <c r="AF7325" s="28">
        <v>3142437000</v>
      </c>
      <c r="AG7325" s="11"/>
    </row>
    <row r="7326">
      <c r="A7326" s="7" t="s">
        <v>8881</v>
      </c>
      <c r="B7326" s="5" t="s">
        <v>16801</v>
      </c>
      <c r="C7326" s="5" t="s">
        <v>20243</v>
      </c>
      <c r="D7326" s="5"/>
      <c r="E7326" s="0" t="e">
        <f>+7 (38464) 20030
+7 (38464) 20968
+7 (38464) 20983
+7 (38464) 20987</f>
        <v>#NAME?</v>
      </c>
      <c r="F7326" s="5" t="s">
        <v>46586</v>
      </c>
      <c r="G7326" s="5"/>
      <c r="H7326" s="26">
        <v>20.5</v>
      </c>
      <c r="I7326" s="5" t="s">
        <v>46587</v>
      </c>
      <c r="J7326" s="5" t="s">
        <v>32368</v>
      </c>
      <c r="K7326" s="5" t="s">
        <v>344</v>
      </c>
      <c r="L7326" s="5" t="s">
        <v>46588</v>
      </c>
      <c r="M7326" s="27"/>
      <c r="N7326" s="5"/>
      <c r="O7326" s="5" t="str">
        <v>4211014419</v>
      </c>
      <c r="P7326" s="27">
        <v>30317900</v>
      </c>
      <c r="Q7326" s="5" t="s">
        <v>49009</v>
      </c>
      <c r="R7326" s="5"/>
      <c r="S7326" s="5" t="s">
        <v>49010</v>
      </c>
      <c r="T7326" s="28">
        <v>3812257000</v>
      </c>
      <c r="U7326" s="28">
        <v>932640000</v>
      </c>
      <c r="V7326" s="28">
        <v>10740868000</v>
      </c>
      <c r="W7326" s="28"/>
      <c r="X7326" s="28">
        <v>268765000</v>
      </c>
      <c r="Y7326" s="28">
        <v>16667521000</v>
      </c>
      <c r="Z7326" s="28">
        <v>14620040000</v>
      </c>
      <c r="AA7326" s="28"/>
      <c r="AB7326" s="28"/>
      <c r="AC7326" s="28">
        <v>1261183000</v>
      </c>
      <c r="AD7326" s="28">
        <v>14652689000</v>
      </c>
      <c r="AE7326" s="28">
        <v>11509941000</v>
      </c>
      <c r="AF7326" s="28">
        <v>4098785000</v>
      </c>
      <c r="AG7326" s="11"/>
    </row>
    <row r="7327">
      <c r="A7327" s="7" t="s">
        <v>8882</v>
      </c>
      <c r="B7327" s="5" t="s">
        <v>16802</v>
      </c>
      <c r="C7327" s="5" t="s">
        <v>24408</v>
      </c>
      <c r="D7327" s="5" t="str">
        <v>352511231019</v>
      </c>
      <c r="E7327" s="0" t="e">
        <f>+7 (817) 2525551
+7 (817) 2525602
+7 (817) 2525649
+7 (817) 2761058
+7 (817) 2761078
+7 (817) 2761398
+7 (817) 2761554
+7 (817) 2761602
+7 (817) 2764130
+7 (817) 2764134
+7 (817) 2764144
+7 (817) 2764446
+7 (817) 2764547
+7 (817) 2764692</f>
        <v>#NAME?</v>
      </c>
      <c r="F7327" s="5" t="s">
        <v>46589</v>
      </c>
      <c r="G7327" s="5" t="s">
        <v>46590</v>
      </c>
      <c r="H7327" s="26">
        <v>64.5</v>
      </c>
      <c r="I7327" s="5"/>
      <c r="J7327" s="5" t="s">
        <v>25499</v>
      </c>
      <c r="K7327" s="5" t="s">
        <v>344</v>
      </c>
      <c r="L7327" s="5" t="s">
        <v>46591</v>
      </c>
      <c r="M7327" s="27"/>
      <c r="N7327" s="5"/>
      <c r="O7327" s="5" t="str">
        <v>3525279862</v>
      </c>
      <c r="P7327" s="27">
        <v>334785300</v>
      </c>
      <c r="Q7327" s="5" t="s">
        <v>60256</v>
      </c>
      <c r="R7327" s="5"/>
      <c r="S7327" s="5" t="s">
        <v>60257</v>
      </c>
      <c r="T7327" s="28">
        <v>1194333000</v>
      </c>
      <c r="U7327" s="28"/>
      <c r="V7327" s="28">
        <v>215684000</v>
      </c>
      <c r="W7327" s="28"/>
      <c r="X7327" s="28">
        <v>107626000</v>
      </c>
      <c r="Y7327" s="28">
        <v>2008165000</v>
      </c>
      <c r="Z7327" s="28">
        <v>698898000</v>
      </c>
      <c r="AA7327" s="28"/>
      <c r="AB7327" s="28">
        <v>685428000</v>
      </c>
      <c r="AC7327" s="28">
        <v>800346000</v>
      </c>
      <c r="AD7327" s="28">
        <v>1046329000</v>
      </c>
      <c r="AE7327" s="28">
        <v>3112658000</v>
      </c>
      <c r="AF7327" s="28">
        <v>61310000</v>
      </c>
      <c r="AG7327" s="11"/>
    </row>
    <row r="7328">
      <c r="A7328" s="7" t="s">
        <v>8883</v>
      </c>
      <c r="B7328" s="5" t="s">
        <v>16803</v>
      </c>
      <c r="C7328" s="5" t="s">
        <v>24409</v>
      </c>
      <c r="D7328" s="5" t="str">
        <v>503416273543</v>
      </c>
      <c r="E7328" s="0" t="e">
        <f>+7 (800) 5003052
+7 (800) 5003072
+7 (991) 254100</f>
        <v>#NAME?</v>
      </c>
      <c r="F7328" s="5" t="s">
        <v>46592</v>
      </c>
      <c r="G7328" s="5" t="s">
        <v>46593</v>
      </c>
      <c r="H7328" s="26">
        <v>10.5</v>
      </c>
      <c r="I7328" s="5" t="s">
        <v>46594</v>
      </c>
      <c r="J7328" s="5" t="s">
        <v>881</v>
      </c>
      <c r="K7328" s="5" t="s">
        <v>344</v>
      </c>
      <c r="L7328" s="5" t="s">
        <v>46595</v>
      </c>
      <c r="M7328" s="27"/>
      <c r="N7328" s="5" t="s">
        <v>60258</v>
      </c>
      <c r="O7328" s="5" t="str">
        <v>7704821246</v>
      </c>
      <c r="P7328" s="27">
        <v>1000000</v>
      </c>
      <c r="Q7328" s="5" t="s">
        <v>49021</v>
      </c>
      <c r="R7328" s="5"/>
      <c r="S7328" s="5" t="s">
        <v>60259</v>
      </c>
      <c r="T7328" s="28">
        <v>68071000</v>
      </c>
      <c r="U7328" s="28">
        <v>1357739000</v>
      </c>
      <c r="V7328" s="28">
        <v>35221000</v>
      </c>
      <c r="W7328" s="28"/>
      <c r="X7328" s="28">
        <v>952067000</v>
      </c>
      <c r="Y7328" s="28">
        <v>2692882000</v>
      </c>
      <c r="Z7328" s="28">
        <v>1095262000</v>
      </c>
      <c r="AA7328" s="28"/>
      <c r="AB7328" s="28"/>
      <c r="AC7328" s="28">
        <v>1358620000</v>
      </c>
      <c r="AD7328" s="28">
        <v>1334262000</v>
      </c>
      <c r="AE7328" s="28">
        <v>3022445000</v>
      </c>
      <c r="AF7328" s="28">
        <v>779469000</v>
      </c>
      <c r="AG7328" s="11"/>
    </row>
    <row r="7329">
      <c r="A7329" s="7" t="s">
        <v>8884</v>
      </c>
      <c r="B7329" s="5" t="s">
        <v>16804</v>
      </c>
      <c r="C7329" s="5" t="s">
        <v>24410</v>
      </c>
      <c r="D7329" s="5" t="str">
        <v>771609210391</v>
      </c>
      <c r="E7329" s="0" t="e">
        <f>+7 (916) 5619999
+7 (964) 5817189</f>
        <v>#NAME?</v>
      </c>
      <c r="F7329" s="5" t="s">
        <v>46596</v>
      </c>
      <c r="G7329" s="5"/>
      <c r="H7329" s="26">
        <v>4.5</v>
      </c>
      <c r="I7329" s="5" t="s">
        <v>46597</v>
      </c>
      <c r="J7329" s="5" t="s">
        <v>27182</v>
      </c>
      <c r="K7329" s="5" t="s">
        <v>380</v>
      </c>
      <c r="L7329" s="5"/>
      <c r="M7329" s="27">
        <v>935051</v>
      </c>
      <c r="N7329" s="5" t="s">
        <v>49611</v>
      </c>
      <c r="O7329" s="5" t="str">
        <v>9710061692</v>
      </c>
      <c r="P7329" s="27">
        <v>10000</v>
      </c>
      <c r="Q7329" s="5" t="s">
        <v>52380</v>
      </c>
      <c r="R7329" s="5"/>
      <c r="S7329" s="5" t="s">
        <v>60260</v>
      </c>
      <c r="T7329" s="28">
        <v>32762000</v>
      </c>
      <c r="U7329" s="28"/>
      <c r="V7329" s="28">
        <v>48074931000</v>
      </c>
      <c r="W7329" s="28"/>
      <c r="X7329" s="28">
        <v>276960000</v>
      </c>
      <c r="Y7329" s="28">
        <v>55438137000</v>
      </c>
      <c r="Z7329" s="28">
        <v>70266000</v>
      </c>
      <c r="AA7329" s="28"/>
      <c r="AB7329" s="28">
        <v>181333000</v>
      </c>
      <c r="AC7329" s="28">
        <v>55364540000</v>
      </c>
      <c r="AD7329" s="28">
        <v>73597000</v>
      </c>
      <c r="AE7329" s="28">
        <v>29399371000</v>
      </c>
      <c r="AF7329" s="28">
        <v>224950000</v>
      </c>
      <c r="AG7329" s="11"/>
    </row>
    <row r="7330">
      <c r="A7330" s="7" t="s">
        <v>8885</v>
      </c>
      <c r="B7330" s="5" t="s">
        <v>16805</v>
      </c>
      <c r="C7330" s="5" t="s">
        <v>24411</v>
      </c>
      <c r="D7330" s="5" t="str">
        <v>246308478151</v>
      </c>
      <c r="E7330" s="0" t="e">
        <f>+7 (343) 3504202
+7 (343) 3504507
+7 (343) 2476782
+7 (343) 3891927
+7 (343) 3891941
+7 (343) 3891944
+7 (3432) 891941
+7 (3433) 891942
+7 (3433) 891946
+7 (960) 7522827</f>
        <v>#NAME?</v>
      </c>
      <c r="F7330" s="5" t="s">
        <v>46598</v>
      </c>
      <c r="G7330" s="5" t="s">
        <v>46599</v>
      </c>
      <c r="H7330" s="26">
        <v>18.5</v>
      </c>
      <c r="I7330" s="5"/>
      <c r="J7330" s="5" t="s">
        <v>999</v>
      </c>
      <c r="K7330" s="5" t="s">
        <v>344</v>
      </c>
      <c r="L7330" s="5" t="s">
        <v>33939</v>
      </c>
      <c r="M7330" s="27">
        <v>14385074</v>
      </c>
      <c r="N7330" s="5" t="s">
        <v>60261</v>
      </c>
      <c r="O7330" s="5" t="str">
        <v>5903047697</v>
      </c>
      <c r="P7330" s="27">
        <v>100000</v>
      </c>
      <c r="Q7330" s="5" t="s">
        <v>60262</v>
      </c>
      <c r="R7330" s="5"/>
      <c r="S7330" s="5" t="s">
        <v>60263</v>
      </c>
      <c r="T7330" s="28">
        <v>706847000</v>
      </c>
      <c r="U7330" s="28">
        <v>4930000</v>
      </c>
      <c r="V7330" s="28">
        <v>9236490000</v>
      </c>
      <c r="W7330" s="28">
        <v>231667000</v>
      </c>
      <c r="X7330" s="28">
        <v>3475110000</v>
      </c>
      <c r="Y7330" s="28">
        <v>15276742000</v>
      </c>
      <c r="Z7330" s="28">
        <v>1578079000</v>
      </c>
      <c r="AA7330" s="28"/>
      <c r="AB7330" s="28">
        <v>681810000</v>
      </c>
      <c r="AC7330" s="28">
        <v>13141646000</v>
      </c>
      <c r="AD7330" s="28">
        <v>1578184000</v>
      </c>
      <c r="AE7330" s="28">
        <v>10830068000</v>
      </c>
      <c r="AF7330" s="28">
        <v>150728000</v>
      </c>
      <c r="AG7330" s="11"/>
    </row>
    <row r="7331">
      <c r="A7331" s="7" t="s">
        <v>8886</v>
      </c>
      <c r="B7331" s="5" t="s">
        <v>16806</v>
      </c>
      <c r="C7331" s="5" t="s">
        <v>24412</v>
      </c>
      <c r="D7331" s="5" t="str">
        <v>380102484060</v>
      </c>
      <c r="E7331" s="0" t="e">
        <f>+7 (34370) 57902
+7 (34370) 53032
+7 (34370) 53210
+7 (34370) 54505
+7 (34370) 56044
+7 (34370) 56103
+7 (34370) 56585
+7 (34370) 57052
+7 (34370) 57108
+7 (34370) 57120
+7 (34370) 57192
+7 (34370) 57333
+7 (34370) 92424
+7 (34370) 92521
+7 (34370) 92727</f>
        <v>#NAME?</v>
      </c>
      <c r="F7331" s="5" t="s">
        <v>46600</v>
      </c>
      <c r="G7331" s="5" t="s">
        <v>46601</v>
      </c>
      <c r="H7331" s="26">
        <v>14.5</v>
      </c>
      <c r="I7331" s="5"/>
      <c r="J7331" s="5" t="s">
        <v>27575</v>
      </c>
      <c r="K7331" s="5" t="s">
        <v>344</v>
      </c>
      <c r="L7331" s="5"/>
      <c r="M7331" s="27"/>
      <c r="N7331" s="5" t="s">
        <v>60264</v>
      </c>
      <c r="O7331" s="5" t="str">
        <v>6629022962</v>
      </c>
      <c r="P7331" s="27">
        <v>41785044063</v>
      </c>
      <c r="Q7331" s="5" t="s">
        <v>60265</v>
      </c>
      <c r="R7331" s="5"/>
      <c r="S7331" s="5" t="s">
        <v>57671</v>
      </c>
      <c r="T7331" s="28">
        <v>59846495000</v>
      </c>
      <c r="U7331" s="28">
        <v>1006041000</v>
      </c>
      <c r="V7331" s="28">
        <v>9034547000</v>
      </c>
      <c r="W7331" s="28">
        <v>32370000000</v>
      </c>
      <c r="X7331" s="28">
        <v>229099000</v>
      </c>
      <c r="Y7331" s="28">
        <v>103387309000</v>
      </c>
      <c r="Z7331" s="28">
        <v>54591219000</v>
      </c>
      <c r="AA7331" s="28"/>
      <c r="AB7331" s="28"/>
      <c r="AC7331" s="28">
        <v>2608276000</v>
      </c>
      <c r="AD7331" s="28">
        <v>98837455000</v>
      </c>
      <c r="AE7331" s="28">
        <v>22005933000</v>
      </c>
      <c r="AF7331" s="28">
        <v>6502656000</v>
      </c>
      <c r="AG7331" s="11"/>
    </row>
    <row r="7332">
      <c r="A7332" s="7" t="s">
        <v>8887</v>
      </c>
      <c r="B7332" s="5" t="s">
        <v>16807</v>
      </c>
      <c r="C7332" s="5" t="s">
        <v>24413</v>
      </c>
      <c r="D7332" s="5" t="str">
        <v>771913856132</v>
      </c>
      <c r="E7332" s="0" t="e">
        <f>+7 (495) 7898000
+7 (985) 1608280
+7 (985) 1608732</f>
        <v>#NAME?</v>
      </c>
      <c r="F7332" s="5" t="s">
        <v>46602</v>
      </c>
      <c r="G7332" s="5" t="s">
        <v>46603</v>
      </c>
      <c r="H7332" s="26">
        <v>15.5</v>
      </c>
      <c r="I7332" s="5" t="s">
        <v>46604</v>
      </c>
      <c r="J7332" s="5" t="s">
        <v>25259</v>
      </c>
      <c r="K7332" s="5" t="s">
        <v>344</v>
      </c>
      <c r="L7332" s="5" t="s">
        <v>46605</v>
      </c>
      <c r="M7332" s="27"/>
      <c r="N7332" s="5"/>
      <c r="O7332" s="5" t="str">
        <v>7743666731</v>
      </c>
      <c r="P7332" s="27">
        <v>15000</v>
      </c>
      <c r="Q7332" s="5" t="s">
        <v>49535</v>
      </c>
      <c r="R7332" s="5"/>
      <c r="S7332" s="5" t="s">
        <v>52176</v>
      </c>
      <c r="T7332" s="28">
        <v>548655000</v>
      </c>
      <c r="U7332" s="28">
        <v>381511000</v>
      </c>
      <c r="V7332" s="28">
        <v>2879010000</v>
      </c>
      <c r="W7332" s="28">
        <v>1006810000</v>
      </c>
      <c r="X7332" s="28">
        <v>4407081000</v>
      </c>
      <c r="Y7332" s="28">
        <v>21588811000</v>
      </c>
      <c r="Z7332" s="28">
        <v>14768757000</v>
      </c>
      <c r="AA7332" s="28">
        <v>4808829000</v>
      </c>
      <c r="AB7332" s="28">
        <v>253597000</v>
      </c>
      <c r="AC7332" s="28">
        <v>1756283000</v>
      </c>
      <c r="AD7332" s="28">
        <v>14768772000</v>
      </c>
      <c r="AE7332" s="28">
        <v>29705809000</v>
      </c>
      <c r="AF7332" s="28">
        <v>7191368000</v>
      </c>
      <c r="AG7332" s="11"/>
    </row>
    <row r="7333">
      <c r="A7333" s="7" t="s">
        <v>8888</v>
      </c>
      <c r="B7333" s="5" t="s">
        <v>16808</v>
      </c>
      <c r="C7333" s="5" t="s">
        <v>24414</v>
      </c>
      <c r="D7333" s="5" t="str">
        <v>772156802720</v>
      </c>
      <c r="E7333" s="0" t="e">
        <f>+7 (800) 1007234
+7 (495) 6477077
+7 (495) 6789156
+7 (495) 9942409
+7 (495) 9942410
+7 (495) 9942412
+7 (495) 9944498</f>
        <v>#NAME?</v>
      </c>
      <c r="F7333" s="5" t="s">
        <v>46606</v>
      </c>
      <c r="G7333" s="5"/>
      <c r="H7333" s="26">
        <v>8</v>
      </c>
      <c r="I7333" s="5" t="s">
        <v>46607</v>
      </c>
      <c r="J7333" s="5" t="s">
        <v>46608</v>
      </c>
      <c r="K7333" s="5" t="s">
        <v>344</v>
      </c>
      <c r="L7333" s="5" t="s">
        <v>46609</v>
      </c>
      <c r="M7333" s="27"/>
      <c r="N7333" s="5"/>
      <c r="O7333" s="5" t="str">
        <v>9715010229</v>
      </c>
      <c r="P7333" s="27">
        <v>600000000</v>
      </c>
      <c r="Q7333" s="5" t="s">
        <v>49021</v>
      </c>
      <c r="R7333" s="5"/>
      <c r="S7333" s="5" t="s">
        <v>49033</v>
      </c>
      <c r="T7333" s="28">
        <v>530960000</v>
      </c>
      <c r="U7333" s="28"/>
      <c r="V7333" s="28">
        <v>4704792000</v>
      </c>
      <c r="W7333" s="28">
        <v>768520000</v>
      </c>
      <c r="X7333" s="28">
        <v>503062000</v>
      </c>
      <c r="Y7333" s="28">
        <v>6548215000</v>
      </c>
      <c r="Z7333" s="28">
        <v>5466607000</v>
      </c>
      <c r="AA7333" s="28"/>
      <c r="AB7333" s="28"/>
      <c r="AC7333" s="28">
        <v>291608000</v>
      </c>
      <c r="AD7333" s="28">
        <v>6256607000</v>
      </c>
      <c r="AE7333" s="28">
        <v>19990055000</v>
      </c>
      <c r="AF7333" s="28">
        <v>5256695000</v>
      </c>
      <c r="AG7333" s="11"/>
    </row>
    <row r="7334">
      <c r="A7334" s="7" t="s">
        <v>8889</v>
      </c>
      <c r="B7334" s="5" t="s">
        <v>16809</v>
      </c>
      <c r="C7334" s="5" t="s">
        <v>24415</v>
      </c>
      <c r="D7334" s="5" t="str">
        <v>524921129530</v>
      </c>
      <c r="E7334" s="0" t="e">
        <f>+7 (910) 7949752
+7 (383) 2395316
+7 (495) 9842919
+7 (800) 2502151
+7 (800) 3332211
+7 (83141) 11110
+7 (8435) 378899
+7 (869) 2474444
+7 (910) 3881371
+7 (915) 9489074
+7 (927) 2404627</f>
        <v>#NAME?</v>
      </c>
      <c r="F7334" s="5" t="s">
        <v>46610</v>
      </c>
      <c r="G7334" s="5" t="s">
        <v>46611</v>
      </c>
      <c r="H7334" s="26">
        <v>14.5</v>
      </c>
      <c r="I7334" s="5" t="s">
        <v>46612</v>
      </c>
      <c r="J7334" s="5" t="s">
        <v>30872</v>
      </c>
      <c r="K7334" s="5" t="s">
        <v>344</v>
      </c>
      <c r="L7334" s="5" t="s">
        <v>46613</v>
      </c>
      <c r="M7334" s="27"/>
      <c r="N7334" s="5" t="s">
        <v>60266</v>
      </c>
      <c r="O7334" s="5" t="str">
        <v>7715705700</v>
      </c>
      <c r="P7334" s="27">
        <v>60000</v>
      </c>
      <c r="Q7334" s="5" t="s">
        <v>60267</v>
      </c>
      <c r="R7334" s="5"/>
      <c r="S7334" s="5" t="s">
        <v>60268</v>
      </c>
      <c r="T7334" s="28">
        <v>382047000</v>
      </c>
      <c r="U7334" s="28">
        <v>28942000</v>
      </c>
      <c r="V7334" s="28">
        <v>734488000</v>
      </c>
      <c r="W7334" s="28">
        <v>68866000</v>
      </c>
      <c r="X7334" s="28">
        <v>280279000</v>
      </c>
      <c r="Y7334" s="28">
        <v>1743212000</v>
      </c>
      <c r="Z7334" s="28">
        <v>565095000</v>
      </c>
      <c r="AA7334" s="28">
        <v>350000000</v>
      </c>
      <c r="AB7334" s="28">
        <v>3177000</v>
      </c>
      <c r="AC7334" s="28">
        <v>744645000</v>
      </c>
      <c r="AD7334" s="28">
        <v>566551000</v>
      </c>
      <c r="AE7334" s="28">
        <v>3408162000</v>
      </c>
      <c r="AF7334" s="28">
        <v>229811000</v>
      </c>
      <c r="AG7334" s="11"/>
    </row>
    <row r="7335">
      <c r="A7335" s="7" t="s">
        <v>8890</v>
      </c>
      <c r="B7335" s="5" t="s">
        <v>16810</v>
      </c>
      <c r="C7335" s="5" t="s">
        <v>24416</v>
      </c>
      <c r="D7335" s="5" t="str">
        <v>772647335379</v>
      </c>
      <c r="E7335" s="0" t="e">
        <f>+7 (495) 2800357
+7 (495) 7788509
+7 (495) 7788528
+7 (495) 7888509
+7 (495) 7888526
+7 (495) 7888528
+7 (495) 7888535
+7 (495) 9818904
+7 (800) 5009371
+7 (902) 1101101</f>
        <v>#NAME?</v>
      </c>
      <c r="F7335" s="5" t="s">
        <v>46614</v>
      </c>
      <c r="G7335" s="5" t="s">
        <v>46615</v>
      </c>
      <c r="H7335" s="26">
        <v>25</v>
      </c>
      <c r="I7335" s="5"/>
      <c r="J7335" s="5" t="s">
        <v>27147</v>
      </c>
      <c r="K7335" s="5" t="s">
        <v>344</v>
      </c>
      <c r="L7335" s="5" t="s">
        <v>46616</v>
      </c>
      <c r="M7335" s="27">
        <v>639980</v>
      </c>
      <c r="N7335" s="5" t="s">
        <v>51175</v>
      </c>
      <c r="O7335" s="5" t="str">
        <v>5001026970</v>
      </c>
      <c r="P7335" s="27">
        <v>35562000</v>
      </c>
      <c r="Q7335" s="5" t="s">
        <v>60269</v>
      </c>
      <c r="R7335" s="5"/>
      <c r="S7335" s="5" t="s">
        <v>60270</v>
      </c>
      <c r="T7335" s="28">
        <v>2026410000</v>
      </c>
      <c r="U7335" s="28">
        <v>181698000</v>
      </c>
      <c r="V7335" s="28">
        <v>3157341000</v>
      </c>
      <c r="W7335" s="28">
        <v>892074000</v>
      </c>
      <c r="X7335" s="28">
        <v>683770000</v>
      </c>
      <c r="Y7335" s="28">
        <v>13886256000</v>
      </c>
      <c r="Z7335" s="28">
        <v>6814402000</v>
      </c>
      <c r="AA7335" s="28">
        <v>2201247000</v>
      </c>
      <c r="AB7335" s="28">
        <v>1514341000</v>
      </c>
      <c r="AC7335" s="28">
        <v>4429834000</v>
      </c>
      <c r="AD7335" s="28">
        <v>7075334000</v>
      </c>
      <c r="AE7335" s="28">
        <v>20229438000</v>
      </c>
      <c r="AF7335" s="28">
        <v>1868278000</v>
      </c>
      <c r="AG7335" s="11"/>
    </row>
    <row r="7336">
      <c r="A7336" s="7" t="s">
        <v>8891</v>
      </c>
      <c r="B7336" s="5" t="s">
        <v>16811</v>
      </c>
      <c r="C7336" s="5" t="s">
        <v>20217</v>
      </c>
      <c r="D7336" s="5" t="str">
        <v>263210486322</v>
      </c>
      <c r="E7336" s="0" t="e">
        <f>+7 (86142) 36011
+7 (918) 2340045
+7 (988) 8880373</f>
        <v>#NAME?</v>
      </c>
      <c r="F7336" s="5"/>
      <c r="G7336" s="5"/>
      <c r="H7336" s="26">
        <v>16</v>
      </c>
      <c r="I7336" s="5" t="s">
        <v>46617</v>
      </c>
      <c r="J7336" s="5" t="s">
        <v>29074</v>
      </c>
      <c r="K7336" s="5" t="s">
        <v>344</v>
      </c>
      <c r="L7336" s="5" t="s">
        <v>46618</v>
      </c>
      <c r="M7336" s="27">
        <v>23625107</v>
      </c>
      <c r="N7336" s="5"/>
      <c r="O7336" s="5" t="str">
        <v>2311095094</v>
      </c>
      <c r="P7336" s="27">
        <v>18750</v>
      </c>
      <c r="Q7336" s="5"/>
      <c r="R7336" s="5"/>
      <c r="S7336" s="5" t="s">
        <v>49029</v>
      </c>
      <c r="T7336" s="28">
        <v>3697959000</v>
      </c>
      <c r="U7336" s="28"/>
      <c r="V7336" s="28">
        <v>877683000</v>
      </c>
      <c r="W7336" s="28">
        <v>2511000000</v>
      </c>
      <c r="X7336" s="28">
        <v>604349000</v>
      </c>
      <c r="Y7336" s="28">
        <v>8913374000</v>
      </c>
      <c r="Z7336" s="28">
        <v>7052807000</v>
      </c>
      <c r="AA7336" s="28">
        <v>1398827000</v>
      </c>
      <c r="AB7336" s="28">
        <v>31000</v>
      </c>
      <c r="AC7336" s="28">
        <v>305350000</v>
      </c>
      <c r="AD7336" s="28">
        <v>7052826000</v>
      </c>
      <c r="AE7336" s="28">
        <v>13726469000</v>
      </c>
      <c r="AF7336" s="28">
        <v>2093278000</v>
      </c>
      <c r="AG7336" s="11"/>
    </row>
    <row r="7337">
      <c r="A7337" s="7" t="s">
        <v>8892</v>
      </c>
      <c r="B7337" s="5" t="s">
        <v>16812</v>
      </c>
      <c r="C7337" s="5" t="s">
        <v>24417</v>
      </c>
      <c r="D7337" s="5" t="str">
        <v>771908446317</v>
      </c>
      <c r="E7337" s="0" t="e">
        <f>+7 (499) 3989648
+7 (495) 5586375
+7 (495) 5586376</f>
        <v>#NAME?</v>
      </c>
      <c r="F7337" s="5" t="s">
        <v>46619</v>
      </c>
      <c r="G7337" s="5" t="s">
        <v>46620</v>
      </c>
      <c r="H7337" s="26">
        <v>6.5</v>
      </c>
      <c r="I7337" s="5" t="s">
        <v>46621</v>
      </c>
      <c r="J7337" s="5" t="s">
        <v>42008</v>
      </c>
      <c r="K7337" s="5" t="s">
        <v>344</v>
      </c>
      <c r="L7337" s="5" t="s">
        <v>46622</v>
      </c>
      <c r="M7337" s="27"/>
      <c r="N7337" s="5" t="s">
        <v>60271</v>
      </c>
      <c r="O7337" s="5" t="str">
        <v>5010052215</v>
      </c>
      <c r="P7337" s="27">
        <v>20000</v>
      </c>
      <c r="Q7337" s="5" t="s">
        <v>60272</v>
      </c>
      <c r="R7337" s="5"/>
      <c r="S7337" s="5" t="s">
        <v>60273</v>
      </c>
      <c r="T7337" s="28">
        <v>258663000</v>
      </c>
      <c r="U7337" s="28"/>
      <c r="V7337" s="28">
        <v>775353000</v>
      </c>
      <c r="W7337" s="28"/>
      <c r="X7337" s="28">
        <v>360940000</v>
      </c>
      <c r="Y7337" s="28">
        <v>1635689000</v>
      </c>
      <c r="Z7337" s="28">
        <v>993946000</v>
      </c>
      <c r="AA7337" s="28"/>
      <c r="AB7337" s="28">
        <v>354410000</v>
      </c>
      <c r="AC7337" s="28">
        <v>641564000</v>
      </c>
      <c r="AD7337" s="28">
        <v>993966000</v>
      </c>
      <c r="AE7337" s="28">
        <v>3469671000</v>
      </c>
      <c r="AF7337" s="28">
        <v>471490000</v>
      </c>
      <c r="AG7337" s="11"/>
    </row>
    <row r="7338">
      <c r="A7338" s="7" t="s">
        <v>8893</v>
      </c>
      <c r="B7338" s="5" t="s">
        <v>16813</v>
      </c>
      <c r="C7338" s="5" t="s">
        <v>24418</v>
      </c>
      <c r="D7338" s="5" t="str">
        <v>672907465820</v>
      </c>
      <c r="E7338" s="0" t="e">
        <f>+7 (481) 2345278
+7 (481) 2348976
+7 (481) 2356248
+7 (481) 2356923
+7 (481) 2641698
+7 (481) 2665202
+7 (481) 2667960
+7 (481) 2667975
+7 (48134) 20898</f>
        <v>#NAME?</v>
      </c>
      <c r="F7338" s="5" t="s">
        <v>46623</v>
      </c>
      <c r="G7338" s="5"/>
      <c r="H7338" s="26">
        <v>17</v>
      </c>
      <c r="I7338" s="5" t="s">
        <v>46624</v>
      </c>
      <c r="J7338" s="5" t="s">
        <v>46625</v>
      </c>
      <c r="K7338" s="5" t="s">
        <v>344</v>
      </c>
      <c r="L7338" s="5"/>
      <c r="M7338" s="27"/>
      <c r="N7338" s="5" t="s">
        <v>60274</v>
      </c>
      <c r="O7338" s="5" t="str">
        <v>6730061529</v>
      </c>
      <c r="P7338" s="27">
        <v>80000</v>
      </c>
      <c r="Q7338" s="5" t="s">
        <v>49059</v>
      </c>
      <c r="R7338" s="5"/>
      <c r="S7338" s="5" t="s">
        <v>49028</v>
      </c>
      <c r="T7338" s="28">
        <v>62242000</v>
      </c>
      <c r="U7338" s="28">
        <v>29000</v>
      </c>
      <c r="V7338" s="28">
        <v>1942424000</v>
      </c>
      <c r="W7338" s="28">
        <v>17251000</v>
      </c>
      <c r="X7338" s="28">
        <v>865000</v>
      </c>
      <c r="Y7338" s="28">
        <v>3272306000</v>
      </c>
      <c r="Z7338" s="28">
        <v>-232252000</v>
      </c>
      <c r="AA7338" s="28"/>
      <c r="AB7338" s="28">
        <v>19741000</v>
      </c>
      <c r="AC7338" s="28">
        <v>3504478000</v>
      </c>
      <c r="AD7338" s="28">
        <v>-232172000</v>
      </c>
      <c r="AE7338" s="28">
        <v>4343059000</v>
      </c>
      <c r="AF7338" s="28">
        <v>106216000</v>
      </c>
      <c r="AG7338" s="11"/>
    </row>
    <row r="7339">
      <c r="A7339" s="7" t="s">
        <v>8894</v>
      </c>
      <c r="B7339" s="5" t="s">
        <v>16814</v>
      </c>
      <c r="C7339" s="5" t="s">
        <v>24419</v>
      </c>
      <c r="D7339" s="5" t="str">
        <v>745307987574</v>
      </c>
      <c r="E7339" s="0" t="e">
        <f>+7 (35152) 53316
+7 (3512) 453316
+7 (35152) 22914
+7 (35152) 30345
+7 (35152) 30346
+7 (35152) 30347
+7 (35152) 30348
+7 (35152) 30349
+7 (35152) 30850
+7 (35152) 30851
+7 (35152) 30852
+7 (35152) 30853
+7 (35152) 30854
+7 (963) 4643026</f>
        <v>#NAME?</v>
      </c>
      <c r="F7339" s="5" t="s">
        <v>46626</v>
      </c>
      <c r="G7339" s="5" t="s">
        <v>46627</v>
      </c>
      <c r="H7339" s="26">
        <v>15</v>
      </c>
      <c r="I7339" s="5" t="s">
        <v>46628</v>
      </c>
      <c r="J7339" s="5" t="s">
        <v>27070</v>
      </c>
      <c r="K7339" s="5" t="s">
        <v>344</v>
      </c>
      <c r="L7339" s="5" t="s">
        <v>46629</v>
      </c>
      <c r="M7339" s="27">
        <v>31483032</v>
      </c>
      <c r="N7339" s="5" t="s">
        <v>60276</v>
      </c>
      <c r="O7339" s="5" t="str">
        <v>7452058834</v>
      </c>
      <c r="P7339" s="27">
        <v>250010000</v>
      </c>
      <c r="Q7339" s="5" t="s">
        <v>60277</v>
      </c>
      <c r="R7339" s="5"/>
      <c r="S7339" s="5" t="s">
        <v>49180</v>
      </c>
      <c r="T7339" s="28">
        <v>589334000</v>
      </c>
      <c r="U7339" s="28"/>
      <c r="V7339" s="28">
        <v>643816000</v>
      </c>
      <c r="W7339" s="28">
        <v>57600000</v>
      </c>
      <c r="X7339" s="28">
        <v>8630000</v>
      </c>
      <c r="Y7339" s="28">
        <v>1598038000</v>
      </c>
      <c r="Z7339" s="28">
        <v>901818000</v>
      </c>
      <c r="AA7339" s="28">
        <v>21020000</v>
      </c>
      <c r="AB7339" s="28">
        <v>142211000</v>
      </c>
      <c r="AC7339" s="28">
        <v>414165000</v>
      </c>
      <c r="AD7339" s="28">
        <v>1151828000</v>
      </c>
      <c r="AE7339" s="28">
        <v>3604588000</v>
      </c>
      <c r="AF7339" s="28">
        <v>586518000</v>
      </c>
      <c r="AG7339" s="11"/>
    </row>
    <row r="7340">
      <c r="A7340" s="7" t="s">
        <v>8895</v>
      </c>
      <c r="B7340" s="5" t="s">
        <v>16815</v>
      </c>
      <c r="C7340" s="5" t="s">
        <v>24420</v>
      </c>
      <c r="D7340" s="5" t="str">
        <v>774331523468</v>
      </c>
      <c r="F7340" s="5"/>
      <c r="G7340" s="5"/>
      <c r="H7340" s="26">
        <v>4.5</v>
      </c>
      <c r="I7340" s="5" t="s">
        <v>46630</v>
      </c>
      <c r="J7340" s="5" t="s">
        <v>26297</v>
      </c>
      <c r="K7340" s="5" t="s">
        <v>344</v>
      </c>
      <c r="L7340" s="5" t="s">
        <v>46631</v>
      </c>
      <c r="M7340" s="27"/>
      <c r="N7340" s="5" t="s">
        <v>60278</v>
      </c>
      <c r="O7340" s="5" t="str">
        <v>7751146052</v>
      </c>
      <c r="P7340" s="27">
        <v>1000000</v>
      </c>
      <c r="Q7340" s="5"/>
      <c r="R7340" s="5"/>
      <c r="S7340" s="5" t="s">
        <v>49399</v>
      </c>
      <c r="T7340" s="28">
        <v>5199000</v>
      </c>
      <c r="U7340" s="28"/>
      <c r="V7340" s="28">
        <v>875471000</v>
      </c>
      <c r="W7340" s="28">
        <v>2500000</v>
      </c>
      <c r="X7340" s="28">
        <v>681000</v>
      </c>
      <c r="Y7340" s="28">
        <v>1003602000</v>
      </c>
      <c r="Z7340" s="28">
        <v>103073000</v>
      </c>
      <c r="AA7340" s="28"/>
      <c r="AB7340" s="28"/>
      <c r="AC7340" s="28">
        <v>889448000</v>
      </c>
      <c r="AD7340" s="28">
        <v>104073000</v>
      </c>
      <c r="AE7340" s="28">
        <v>3344473000</v>
      </c>
      <c r="AF7340" s="28">
        <v>99272000</v>
      </c>
      <c r="AG7340" s="11"/>
    </row>
    <row r="7341">
      <c r="A7341" s="7" t="s">
        <v>8896</v>
      </c>
      <c r="B7341" s="5" t="s">
        <v>16816</v>
      </c>
      <c r="C7341" s="5" t="s">
        <v>24421</v>
      </c>
      <c r="D7341" s="5" t="str">
        <v>772844048126</v>
      </c>
      <c r="E7341" s="0" t="e">
        <f>+7 (495) 6859281
+7 (495) 6859314
+7 (495) 6859329</f>
        <v>#NAME?</v>
      </c>
      <c r="F7341" s="5"/>
      <c r="G7341" s="5" t="s">
        <v>46632</v>
      </c>
      <c r="H7341" s="26">
        <v>15.5</v>
      </c>
      <c r="I7341" s="5" t="s">
        <v>46633</v>
      </c>
      <c r="J7341" s="5" t="s">
        <v>423</v>
      </c>
      <c r="K7341" s="5" t="s">
        <v>344</v>
      </c>
      <c r="L7341" s="5" t="s">
        <v>46634</v>
      </c>
      <c r="M7341" s="27"/>
      <c r="N7341" s="5"/>
      <c r="O7341" s="5" t="str">
        <v>7726571783</v>
      </c>
      <c r="P7341" s="27">
        <v>11406610</v>
      </c>
      <c r="Q7341" s="5" t="s">
        <v>49009</v>
      </c>
      <c r="R7341" s="5"/>
      <c r="S7341" s="5" t="s">
        <v>49010</v>
      </c>
      <c r="T7341" s="28">
        <v>15613000</v>
      </c>
      <c r="U7341" s="28"/>
      <c r="V7341" s="28">
        <v>3455892000</v>
      </c>
      <c r="W7341" s="28"/>
      <c r="X7341" s="28">
        <v>2560611000</v>
      </c>
      <c r="Y7341" s="28">
        <v>10739833000</v>
      </c>
      <c r="Z7341" s="28">
        <v>1318964000</v>
      </c>
      <c r="AA7341" s="28"/>
      <c r="AB7341" s="28"/>
      <c r="AC7341" s="28">
        <v>9387102000</v>
      </c>
      <c r="AD7341" s="28">
        <v>1349863000</v>
      </c>
      <c r="AE7341" s="28">
        <v>27925931000</v>
      </c>
      <c r="AF7341" s="28">
        <v>922660000</v>
      </c>
      <c r="AG7341" s="11"/>
    </row>
    <row r="7342">
      <c r="A7342" s="7" t="s">
        <v>8897</v>
      </c>
      <c r="B7342" s="5" t="s">
        <v>16817</v>
      </c>
      <c r="C7342" s="5" t="s">
        <v>24422</v>
      </c>
      <c r="D7342" s="5" t="str">
        <v>772747827590</v>
      </c>
      <c r="E7342" s="0" t="e">
        <f>+7 (495) 7862504</f>
        <v>#NAME?</v>
      </c>
      <c r="F7342" s="5"/>
      <c r="G7342" s="5" t="s">
        <v>46635</v>
      </c>
      <c r="H7342" s="26">
        <v>10</v>
      </c>
      <c r="I7342" s="5" t="s">
        <v>46636</v>
      </c>
      <c r="J7342" s="5" t="s">
        <v>389</v>
      </c>
      <c r="K7342" s="5" t="s">
        <v>355</v>
      </c>
      <c r="L7342" s="5"/>
      <c r="M7342" s="27"/>
      <c r="N7342" s="5"/>
      <c r="O7342" s="5" t="str">
        <v>7719841492</v>
      </c>
      <c r="P7342" s="27">
        <v>80000000</v>
      </c>
      <c r="Q7342" s="5" t="s">
        <v>49021</v>
      </c>
      <c r="R7342" s="5"/>
      <c r="S7342" s="5" t="s">
        <v>60279</v>
      </c>
      <c r="T7342" s="28">
        <v>951053000</v>
      </c>
      <c r="U7342" s="28"/>
      <c r="V7342" s="28">
        <v>1629985000</v>
      </c>
      <c r="W7342" s="28"/>
      <c r="X7342" s="28">
        <v>19672000</v>
      </c>
      <c r="Y7342" s="28">
        <v>3227683000</v>
      </c>
      <c r="Z7342" s="28">
        <v>2393880000</v>
      </c>
      <c r="AA7342" s="28"/>
      <c r="AB7342" s="28">
        <v>37776000</v>
      </c>
      <c r="AC7342" s="28">
        <v>517072000</v>
      </c>
      <c r="AD7342" s="28">
        <v>2473880000</v>
      </c>
      <c r="AE7342" s="28">
        <v>3190683000</v>
      </c>
      <c r="AF7342" s="28">
        <v>1752000</v>
      </c>
      <c r="AG7342" s="11"/>
    </row>
    <row r="7343">
      <c r="A7343" s="7" t="s">
        <v>8898</v>
      </c>
      <c r="B7343" s="5" t="s">
        <v>16818</v>
      </c>
      <c r="C7343" s="5" t="s">
        <v>24423</v>
      </c>
      <c r="D7343" s="5" t="str">
        <v>500308127003</v>
      </c>
      <c r="E7343" s="0" t="e">
        <f>+7 (495) 210839
+7 (495) 218172
+7 (495) 233602
+7 (495) 1043265
+7 (495) 1044258
+7 (495) 1047486
+7 (495) 1047591
+7 (495) 1334250
+7 (495) 1512026
+7 (495) 1625228
+7 (495) 1625268
+7 (495) 1625287
+7 (495) 1625290
+7 (495) 1910363
+7 (495) 1910373</f>
        <v>#NAME?</v>
      </c>
      <c r="F7343" s="5"/>
      <c r="G7343" s="5" t="s">
        <v>46637</v>
      </c>
      <c r="H7343" s="26">
        <v>14</v>
      </c>
      <c r="I7343" s="5" t="s">
        <v>46638</v>
      </c>
      <c r="J7343" s="5" t="s">
        <v>389</v>
      </c>
      <c r="K7343" s="5" t="s">
        <v>380</v>
      </c>
      <c r="L7343" s="5" t="s">
        <v>46639</v>
      </c>
      <c r="M7343" s="27">
        <v>1459449</v>
      </c>
      <c r="N7343" s="5" t="s">
        <v>60280</v>
      </c>
      <c r="O7343" s="5" t="str">
        <v>7716639217</v>
      </c>
      <c r="P7343" s="27">
        <v>80040000</v>
      </c>
      <c r="Q7343" s="5" t="s">
        <v>49021</v>
      </c>
      <c r="R7343" s="5"/>
      <c r="S7343" s="5" t="s">
        <v>60281</v>
      </c>
      <c r="T7343" s="28">
        <v>1065862000</v>
      </c>
      <c r="U7343" s="28"/>
      <c r="V7343" s="28">
        <v>1592678000</v>
      </c>
      <c r="W7343" s="28"/>
      <c r="X7343" s="28">
        <v>45556000</v>
      </c>
      <c r="Y7343" s="28">
        <v>4340692000</v>
      </c>
      <c r="Z7343" s="28">
        <v>1648597000</v>
      </c>
      <c r="AA7343" s="28"/>
      <c r="AB7343" s="28">
        <v>114751000</v>
      </c>
      <c r="AC7343" s="28">
        <v>1379433000</v>
      </c>
      <c r="AD7343" s="28">
        <v>1728637000</v>
      </c>
      <c r="AE7343" s="28">
        <v>4362608000</v>
      </c>
      <c r="AF7343" s="28">
        <v>-43849000</v>
      </c>
      <c r="AG7343" s="11"/>
    </row>
    <row r="7344">
      <c r="A7344" s="7" t="s">
        <v>8899</v>
      </c>
      <c r="B7344" s="5" t="s">
        <v>16819</v>
      </c>
      <c r="C7344" s="5" t="s">
        <v>24424</v>
      </c>
      <c r="D7344" s="5" t="str">
        <v>773383444328</v>
      </c>
      <c r="E7344" s="0" t="e">
        <f>+7 (800) 5555550
+7 (965) 4347444
+7 (495) 7862504</f>
        <v>#NAME?</v>
      </c>
      <c r="F7344" s="5" t="s">
        <v>46640</v>
      </c>
      <c r="G7344" s="5" t="s">
        <v>46641</v>
      </c>
      <c r="H7344" s="26">
        <v>16</v>
      </c>
      <c r="I7344" s="5" t="s">
        <v>46642</v>
      </c>
      <c r="J7344" s="5" t="s">
        <v>397</v>
      </c>
      <c r="K7344" s="5" t="s">
        <v>344</v>
      </c>
      <c r="L7344" s="5" t="s">
        <v>25865</v>
      </c>
      <c r="M7344" s="27"/>
      <c r="N7344" s="5" t="s">
        <v>60282</v>
      </c>
      <c r="O7344" s="5" t="str">
        <v>7743635229</v>
      </c>
      <c r="P7344" s="27">
        <v>20000</v>
      </c>
      <c r="Q7344" s="5" t="s">
        <v>60283</v>
      </c>
      <c r="R7344" s="5"/>
      <c r="S7344" s="5" t="s">
        <v>50230</v>
      </c>
      <c r="T7344" s="28">
        <v>464171000</v>
      </c>
      <c r="U7344" s="28"/>
      <c r="V7344" s="28">
        <v>914100000</v>
      </c>
      <c r="W7344" s="28"/>
      <c r="X7344" s="28">
        <v>28826000</v>
      </c>
      <c r="Y7344" s="28">
        <v>2219799000</v>
      </c>
      <c r="Z7344" s="28">
        <v>684284000</v>
      </c>
      <c r="AA7344" s="28"/>
      <c r="AB7344" s="28">
        <v>240400000</v>
      </c>
      <c r="AC7344" s="28">
        <v>1199858000</v>
      </c>
      <c r="AD7344" s="28">
        <v>684304000</v>
      </c>
      <c r="AE7344" s="28">
        <v>4063336000</v>
      </c>
      <c r="AF7344" s="28">
        <v>560000</v>
      </c>
      <c r="AG7344" s="11"/>
    </row>
    <row r="7345">
      <c r="A7345" s="7" t="s">
        <v>8900</v>
      </c>
      <c r="B7345" s="5" t="s">
        <v>16820</v>
      </c>
      <c r="C7345" s="5" t="s">
        <v>24425</v>
      </c>
      <c r="D7345" s="5"/>
      <c r="E7345" s="0" t="e">
        <f>+7 (495) 7754143
+7 (910) 4223101</f>
        <v>#NAME?</v>
      </c>
      <c r="F7345" s="5" t="s">
        <v>46643</v>
      </c>
      <c r="G7345" s="5"/>
      <c r="H7345" s="26">
        <v>13.5</v>
      </c>
      <c r="I7345" s="5"/>
      <c r="J7345" s="5" t="s">
        <v>25429</v>
      </c>
      <c r="K7345" s="5" t="s">
        <v>344</v>
      </c>
      <c r="L7345" s="5" t="s">
        <v>46644</v>
      </c>
      <c r="M7345" s="27"/>
      <c r="N7345" s="5" t="s">
        <v>60284</v>
      </c>
      <c r="O7345" s="5" t="str">
        <v>5001074156</v>
      </c>
      <c r="P7345" s="27">
        <v>10000</v>
      </c>
      <c r="Q7345" s="5" t="s">
        <v>49009</v>
      </c>
      <c r="R7345" s="5"/>
      <c r="S7345" s="5" t="s">
        <v>49116</v>
      </c>
      <c r="T7345" s="28">
        <v>485874000</v>
      </c>
      <c r="U7345" s="28"/>
      <c r="V7345" s="28">
        <v>1535464000</v>
      </c>
      <c r="W7345" s="28">
        <v>64763000</v>
      </c>
      <c r="X7345" s="28">
        <v>100875000</v>
      </c>
      <c r="Y7345" s="28">
        <v>3281151000</v>
      </c>
      <c r="Z7345" s="28">
        <v>872408000</v>
      </c>
      <c r="AA7345" s="28">
        <v>434300000</v>
      </c>
      <c r="AB7345" s="28">
        <v>486596000</v>
      </c>
      <c r="AC7345" s="28">
        <v>1973185000</v>
      </c>
      <c r="AD7345" s="28">
        <v>872418000</v>
      </c>
      <c r="AE7345" s="28">
        <v>3638286000</v>
      </c>
      <c r="AF7345" s="28">
        <v>519987000</v>
      </c>
      <c r="AG7345" s="11"/>
    </row>
    <row r="7346">
      <c r="A7346" s="7" t="s">
        <v>8901</v>
      </c>
      <c r="B7346" s="5" t="s">
        <v>16821</v>
      </c>
      <c r="C7346" s="5" t="s">
        <v>24426</v>
      </c>
      <c r="D7346" s="5" t="str">
        <v>780700085634</v>
      </c>
      <c r="E7346" s="0" t="e">
        <f>+7 (812) 3364160
+7 (495) 7648510
+7 (812) 6769510
+7 (812) 6769511
+7 (812) 9648510
+7 (913) 9289707
+7 (928) 3641619</f>
        <v>#NAME?</v>
      </c>
      <c r="F7346" s="5" t="s">
        <v>46645</v>
      </c>
      <c r="G7346" s="5" t="s">
        <v>46646</v>
      </c>
      <c r="H7346" s="26">
        <v>18</v>
      </c>
      <c r="I7346" s="5"/>
      <c r="J7346" s="5" t="s">
        <v>27654</v>
      </c>
      <c r="K7346" s="5" t="s">
        <v>344</v>
      </c>
      <c r="L7346" s="5" t="s">
        <v>46647</v>
      </c>
      <c r="M7346" s="27"/>
      <c r="N7346" s="5"/>
      <c r="O7346" s="5" t="str">
        <v>7841307995</v>
      </c>
      <c r="P7346" s="27">
        <v>200000</v>
      </c>
      <c r="Q7346" s="5"/>
      <c r="R7346" s="5"/>
      <c r="S7346" s="5" t="s">
        <v>49425</v>
      </c>
      <c r="T7346" s="28">
        <v>1176000</v>
      </c>
      <c r="U7346" s="28"/>
      <c r="V7346" s="28">
        <v>704569000</v>
      </c>
      <c r="W7346" s="28">
        <v>105500000</v>
      </c>
      <c r="X7346" s="28">
        <v>48991000</v>
      </c>
      <c r="Y7346" s="28">
        <v>1435543000</v>
      </c>
      <c r="Z7346" s="28">
        <v>801478000</v>
      </c>
      <c r="AA7346" s="28"/>
      <c r="AB7346" s="28">
        <v>296214000</v>
      </c>
      <c r="AC7346" s="28">
        <v>585864000</v>
      </c>
      <c r="AD7346" s="28">
        <v>801693000</v>
      </c>
      <c r="AE7346" s="28">
        <v>3062040000</v>
      </c>
      <c r="AF7346" s="28">
        <v>248769000</v>
      </c>
      <c r="AG7346" s="11"/>
    </row>
    <row r="7347">
      <c r="A7347" s="7" t="s">
        <v>8902</v>
      </c>
      <c r="B7347" s="5" t="s">
        <v>16822</v>
      </c>
      <c r="C7347" s="5" t="s">
        <v>24427</v>
      </c>
      <c r="D7347" s="5" t="str">
        <v>771612338218</v>
      </c>
      <c r="E7347" s="0" t="e">
        <f>+7 (960) 6789009</f>
        <v>#NAME?</v>
      </c>
      <c r="F7347" s="5"/>
      <c r="G7347" s="5" t="s">
        <v>46648</v>
      </c>
      <c r="H7347" s="26">
        <v>6.5</v>
      </c>
      <c r="I7347" s="5" t="s">
        <v>46649</v>
      </c>
      <c r="J7347" s="5" t="s">
        <v>34362</v>
      </c>
      <c r="K7347" s="5" t="s">
        <v>344</v>
      </c>
      <c r="L7347" s="5" t="s">
        <v>42078</v>
      </c>
      <c r="M7347" s="27"/>
      <c r="N7347" s="5" t="s">
        <v>60285</v>
      </c>
      <c r="O7347" s="5" t="str">
        <v>9715277423</v>
      </c>
      <c r="P7347" s="27">
        <v>76000000</v>
      </c>
      <c r="Q7347" s="5" t="s">
        <v>60286</v>
      </c>
      <c r="R7347" s="5"/>
      <c r="S7347" s="5" t="s">
        <v>60287</v>
      </c>
      <c r="T7347" s="28">
        <v>200076000</v>
      </c>
      <c r="U7347" s="28"/>
      <c r="V7347" s="28">
        <v>191269000</v>
      </c>
      <c r="W7347" s="28"/>
      <c r="X7347" s="28">
        <v>276831000</v>
      </c>
      <c r="Y7347" s="28">
        <v>1616991000</v>
      </c>
      <c r="Z7347" s="28">
        <v>64607000</v>
      </c>
      <c r="AA7347" s="28">
        <v>365500000</v>
      </c>
      <c r="AB7347" s="28">
        <v>414026000</v>
      </c>
      <c r="AC7347" s="28">
        <v>908553000</v>
      </c>
      <c r="AD7347" s="28">
        <v>140607000</v>
      </c>
      <c r="AE7347" s="28">
        <v>3022948000</v>
      </c>
      <c r="AF7347" s="28">
        <v>31859000</v>
      </c>
      <c r="AG7347" s="11"/>
    </row>
    <row r="7348">
      <c r="A7348" s="7" t="s">
        <v>8903</v>
      </c>
      <c r="B7348" s="5" t="s">
        <v>16823</v>
      </c>
      <c r="C7348" s="5" t="s">
        <v>24428</v>
      </c>
      <c r="D7348" s="5" t="str">
        <v>771407543655</v>
      </c>
      <c r="E7348" s="0" t="e">
        <f>+7 (3012) 200036
+7 (3012) 204336
+7 (3012) 480106
+7 (3022) 284021
+7 (3022) 284022
+7 (3022) 284200
+7 (3022) 284204
+7 (3412) 310611
+7 (3412) 655586
+7 (3412) 903862
+7 (3412) 908604
+7 (3412) 930149
+7 (34141) 28285
+7 (3422) 60071
+7 (3422) 62183</f>
        <v>#NAME?</v>
      </c>
      <c r="F7348" s="5" t="s">
        <v>46650</v>
      </c>
      <c r="G7348" s="5" t="s">
        <v>46651</v>
      </c>
      <c r="H7348" s="26">
        <v>16.5</v>
      </c>
      <c r="I7348" s="5" t="s">
        <v>46652</v>
      </c>
      <c r="J7348" s="5" t="s">
        <v>25195</v>
      </c>
      <c r="K7348" s="5" t="s">
        <v>344</v>
      </c>
      <c r="L7348" s="5" t="s">
        <v>46653</v>
      </c>
      <c r="M7348" s="27">
        <v>197919</v>
      </c>
      <c r="N7348" s="5"/>
      <c r="O7348" s="5" t="str">
        <v>7728594673</v>
      </c>
      <c r="P7348" s="27">
        <v>365005250</v>
      </c>
      <c r="Q7348" s="5" t="s">
        <v>49535</v>
      </c>
      <c r="R7348" s="5"/>
      <c r="S7348" s="5" t="s">
        <v>60288</v>
      </c>
      <c r="T7348" s="28">
        <v>8021675000</v>
      </c>
      <c r="U7348" s="28"/>
      <c r="V7348" s="28">
        <v>653434000</v>
      </c>
      <c r="W7348" s="28"/>
      <c r="X7348" s="28">
        <v>2087429000</v>
      </c>
      <c r="Y7348" s="28">
        <v>16492578000</v>
      </c>
      <c r="Z7348" s="28">
        <v>6112223000</v>
      </c>
      <c r="AA7348" s="28"/>
      <c r="AB7348" s="28"/>
      <c r="AC7348" s="28">
        <v>3772308000</v>
      </c>
      <c r="AD7348" s="28">
        <v>6477228000</v>
      </c>
      <c r="AE7348" s="28">
        <v>24022923000</v>
      </c>
      <c r="AF7348" s="28">
        <v>3816376000</v>
      </c>
      <c r="AG7348" s="11"/>
    </row>
    <row r="7349">
      <c r="A7349" s="7" t="s">
        <v>8904</v>
      </c>
      <c r="B7349" s="5" t="s">
        <v>16824</v>
      </c>
      <c r="C7349" s="5" t="s">
        <v>24429</v>
      </c>
      <c r="D7349" s="5" t="str">
        <v>504306574564</v>
      </c>
      <c r="F7349" s="5"/>
      <c r="G7349" s="5"/>
      <c r="H7349" s="26">
        <v>1.5</v>
      </c>
      <c r="I7349" s="5" t="s">
        <v>46654</v>
      </c>
      <c r="J7349" s="5" t="s">
        <v>364</v>
      </c>
      <c r="K7349" s="5" t="s">
        <v>344</v>
      </c>
      <c r="L7349" s="5"/>
      <c r="M7349" s="27"/>
      <c r="N7349" s="5"/>
      <c r="O7349" s="5" t="str">
        <v>7734444130</v>
      </c>
      <c r="P7349" s="27">
        <v>620000</v>
      </c>
      <c r="Q7349" s="5" t="s">
        <v>49207</v>
      </c>
      <c r="R7349" s="5"/>
      <c r="S7349" s="5" t="s">
        <v>49311</v>
      </c>
      <c r="T7349" s="28">
        <v>16731000</v>
      </c>
      <c r="U7349" s="28"/>
      <c r="V7349" s="28">
        <v>5758415000</v>
      </c>
      <c r="W7349" s="28"/>
      <c r="X7349" s="28">
        <v>31390000</v>
      </c>
      <c r="Y7349" s="28">
        <v>8461699000</v>
      </c>
      <c r="Z7349" s="28">
        <v>14396000</v>
      </c>
      <c r="AA7349" s="28"/>
      <c r="AB7349" s="28"/>
      <c r="AC7349" s="28">
        <v>8446993000</v>
      </c>
      <c r="AD7349" s="28">
        <v>14706000</v>
      </c>
      <c r="AE7349" s="28">
        <v>17166418000</v>
      </c>
      <c r="AF7349" s="28">
        <v>11840000</v>
      </c>
      <c r="AG7349" s="11"/>
    </row>
    <row r="7350">
      <c r="A7350" s="7" t="s">
        <v>8905</v>
      </c>
      <c r="B7350" s="5" t="s">
        <v>16825</v>
      </c>
      <c r="C7350" s="5" t="s">
        <v>24430</v>
      </c>
      <c r="D7350" s="5" t="str">
        <v>751601397106</v>
      </c>
      <c r="E7350" s="0" t="e">
        <f>+7 (4232) 25292
+7 (499) 1105292
+7 (914) 6974675
+7 (914) 7925930
+7 (964) 4322344
+7 (985) 9040497</f>
        <v>#NAME?</v>
      </c>
      <c r="F7350" s="5" t="s">
        <v>46655</v>
      </c>
      <c r="G7350" s="5"/>
      <c r="H7350" s="26">
        <v>8.5</v>
      </c>
      <c r="I7350" s="5" t="s">
        <v>46656</v>
      </c>
      <c r="J7350" s="5" t="s">
        <v>599</v>
      </c>
      <c r="K7350" s="5" t="s">
        <v>344</v>
      </c>
      <c r="L7350" s="5" t="s">
        <v>46657</v>
      </c>
      <c r="M7350" s="27"/>
      <c r="N7350" s="5"/>
      <c r="O7350" s="5" t="str">
        <v>2536274776</v>
      </c>
      <c r="P7350" s="27">
        <v>20000</v>
      </c>
      <c r="Q7350" s="5" t="s">
        <v>60289</v>
      </c>
      <c r="R7350" s="5"/>
      <c r="S7350" s="5" t="s">
        <v>49371</v>
      </c>
      <c r="T7350" s="28">
        <v>68317000</v>
      </c>
      <c r="U7350" s="28"/>
      <c r="V7350" s="28">
        <v>438283000</v>
      </c>
      <c r="W7350" s="28">
        <v>25928000</v>
      </c>
      <c r="X7350" s="28">
        <v>30235000</v>
      </c>
      <c r="Y7350" s="28">
        <v>582076000</v>
      </c>
      <c r="Z7350" s="28">
        <v>126532000</v>
      </c>
      <c r="AA7350" s="28"/>
      <c r="AB7350" s="28">
        <v>44977000</v>
      </c>
      <c r="AC7350" s="28">
        <v>452611000</v>
      </c>
      <c r="AD7350" s="28">
        <v>126552000</v>
      </c>
      <c r="AE7350" s="28">
        <v>3573919000</v>
      </c>
      <c r="AF7350" s="28">
        <v>90580000</v>
      </c>
      <c r="AG7350" s="11"/>
    </row>
    <row r="7351">
      <c r="A7351" s="7" t="s">
        <v>8906</v>
      </c>
      <c r="B7351" s="5" t="s">
        <v>16826</v>
      </c>
      <c r="C7351" s="5" t="s">
        <v>18018</v>
      </c>
      <c r="D7351" s="5"/>
      <c r="E7351" s="0" t="e">
        <f>+7 (401) 2307711
+7 (401) 2307700</f>
        <v>#NAME?</v>
      </c>
      <c r="F7351" s="5"/>
      <c r="G7351" s="5"/>
      <c r="H7351" s="26">
        <v>11.5</v>
      </c>
      <c r="I7351" s="5" t="s">
        <v>46658</v>
      </c>
      <c r="J7351" s="5" t="s">
        <v>364</v>
      </c>
      <c r="K7351" s="5" t="s">
        <v>344</v>
      </c>
      <c r="L7351" s="5"/>
      <c r="M7351" s="27">
        <v>37698355</v>
      </c>
      <c r="N7351" s="5"/>
      <c r="O7351" s="5" t="str">
        <v>3923501280</v>
      </c>
      <c r="P7351" s="27">
        <v>100000</v>
      </c>
      <c r="Q7351" s="5" t="s">
        <v>49009</v>
      </c>
      <c r="R7351" s="5"/>
      <c r="S7351" s="5" t="s">
        <v>49010</v>
      </c>
      <c r="T7351" s="28">
        <v>37899000</v>
      </c>
      <c r="U7351" s="28"/>
      <c r="V7351" s="28">
        <v>492381000</v>
      </c>
      <c r="W7351" s="28"/>
      <c r="X7351" s="28">
        <v>620640000</v>
      </c>
      <c r="Y7351" s="28">
        <v>1284258000</v>
      </c>
      <c r="Z7351" s="28">
        <v>142458000</v>
      </c>
      <c r="AA7351" s="28"/>
      <c r="AB7351" s="28"/>
      <c r="AC7351" s="28">
        <v>1136372000</v>
      </c>
      <c r="AD7351" s="28">
        <v>142558000</v>
      </c>
      <c r="AE7351" s="28">
        <v>3324637000</v>
      </c>
      <c r="AF7351" s="28">
        <v>99362000</v>
      </c>
      <c r="AG7351" s="11"/>
    </row>
    <row r="7352">
      <c r="A7352" s="7" t="s">
        <v>8907</v>
      </c>
      <c r="B7352" s="5" t="s">
        <v>16827</v>
      </c>
      <c r="C7352" s="5" t="s">
        <v>24431</v>
      </c>
      <c r="D7352" s="5" t="str">
        <v>772503175692</v>
      </c>
      <c r="E7352" s="0" t="e">
        <f>+7 (472) 2353491
+7 (472) 2355698
+7 (481) 2647405
+7 (482) 2787893
+7 (4912) 300550
+7 (492) 2474258
+7 (49331) 33988
+7 (495) 3801000
+7 (4712) 540804
+7 (472) 2250636
+7 (472) 2357491
+7 (475) 2724329
+7 (4862) 436797
+7 (4862) 760742
+7 (495) 3801400</f>
        <v>#NAME?</v>
      </c>
      <c r="F7352" s="5" t="s">
        <v>46659</v>
      </c>
      <c r="G7352" s="5" t="s">
        <v>46660</v>
      </c>
      <c r="H7352" s="26">
        <v>28.5</v>
      </c>
      <c r="I7352" s="5"/>
      <c r="J7352" s="5" t="s">
        <v>38785</v>
      </c>
      <c r="K7352" s="5" t="s">
        <v>344</v>
      </c>
      <c r="L7352" s="5"/>
      <c r="M7352" s="27"/>
      <c r="N7352" s="5" t="s">
        <v>60290</v>
      </c>
      <c r="O7352" s="5" t="str">
        <v>7701019588</v>
      </c>
      <c r="P7352" s="27">
        <v>50000</v>
      </c>
      <c r="Q7352" s="5" t="s">
        <v>60291</v>
      </c>
      <c r="R7352" s="5"/>
      <c r="S7352" s="5" t="s">
        <v>60292</v>
      </c>
      <c r="T7352" s="28">
        <v>416986000</v>
      </c>
      <c r="U7352" s="28"/>
      <c r="V7352" s="28">
        <v>1114832000</v>
      </c>
      <c r="W7352" s="28"/>
      <c r="X7352" s="28">
        <v>16815000</v>
      </c>
      <c r="Y7352" s="28">
        <v>3174743000</v>
      </c>
      <c r="Z7352" s="28">
        <v>1406916000</v>
      </c>
      <c r="AA7352" s="28">
        <v>392100000</v>
      </c>
      <c r="AB7352" s="28">
        <v>94968000</v>
      </c>
      <c r="AC7352" s="28">
        <v>903735000</v>
      </c>
      <c r="AD7352" s="28">
        <v>1407451000</v>
      </c>
      <c r="AE7352" s="28">
        <v>8134414000</v>
      </c>
      <c r="AF7352" s="28">
        <v>142560000</v>
      </c>
      <c r="AG7352" s="11"/>
    </row>
    <row r="7353">
      <c r="A7353" s="7" t="s">
        <v>8908</v>
      </c>
      <c r="B7353" s="5" t="s">
        <v>16828</v>
      </c>
      <c r="C7353" s="5" t="s">
        <v>24432</v>
      </c>
      <c r="D7353" s="5" t="str">
        <v>772395939500</v>
      </c>
      <c r="E7353" s="0" t="e">
        <f>+7 (926) 6015807
+7 (495) 7417708
+7 (499) 1623241</f>
        <v>#NAME?</v>
      </c>
      <c r="F7353" s="5" t="s">
        <v>46661</v>
      </c>
      <c r="G7353" s="5" t="s">
        <v>46662</v>
      </c>
      <c r="H7353" s="26">
        <v>8.5</v>
      </c>
      <c r="I7353" s="5" t="s">
        <v>46663</v>
      </c>
      <c r="J7353" s="5" t="s">
        <v>25429</v>
      </c>
      <c r="K7353" s="5" t="s">
        <v>344</v>
      </c>
      <c r="L7353" s="5" t="s">
        <v>46664</v>
      </c>
      <c r="M7353" s="27"/>
      <c r="N7353" s="5" t="s">
        <v>60293</v>
      </c>
      <c r="O7353" s="5" t="str">
        <v>7718984970</v>
      </c>
      <c r="P7353" s="27">
        <v>100000</v>
      </c>
      <c r="Q7353" s="5" t="s">
        <v>49021</v>
      </c>
      <c r="R7353" s="5"/>
      <c r="S7353" s="5" t="s">
        <v>60294</v>
      </c>
      <c r="T7353" s="28">
        <v>342618000</v>
      </c>
      <c r="U7353" s="28">
        <v>309638000</v>
      </c>
      <c r="V7353" s="28">
        <v>1930898000</v>
      </c>
      <c r="W7353" s="28">
        <v>364351000</v>
      </c>
      <c r="X7353" s="28">
        <v>30980000</v>
      </c>
      <c r="Y7353" s="28">
        <v>4230301000</v>
      </c>
      <c r="Z7353" s="28">
        <v>1122758000</v>
      </c>
      <c r="AA7353" s="28">
        <v>234040000</v>
      </c>
      <c r="AB7353" s="28">
        <v>1841720000</v>
      </c>
      <c r="AC7353" s="28">
        <v>2870726000</v>
      </c>
      <c r="AD7353" s="28">
        <v>1122858000</v>
      </c>
      <c r="AE7353" s="28">
        <v>3930082000</v>
      </c>
      <c r="AF7353" s="28">
        <v>100047000</v>
      </c>
      <c r="AG7353" s="11"/>
    </row>
    <row r="7354">
      <c r="A7354" s="7" t="s">
        <v>8909</v>
      </c>
      <c r="B7354" s="5" t="s">
        <v>16829</v>
      </c>
      <c r="C7354" s="5" t="s">
        <v>24433</v>
      </c>
      <c r="D7354" s="5" t="str">
        <v>263400551139</v>
      </c>
      <c r="E7354" s="0" t="e">
        <f>+7 (8652) 999005
+7 (8652) 990055
+7 (965) 2990050</f>
        <v>#NAME?</v>
      </c>
      <c r="F7354" s="5" t="s">
        <v>46665</v>
      </c>
      <c r="G7354" s="5"/>
      <c r="H7354" s="26">
        <v>15.5</v>
      </c>
      <c r="I7354" s="5" t="s">
        <v>46666</v>
      </c>
      <c r="J7354" s="5" t="s">
        <v>25429</v>
      </c>
      <c r="K7354" s="5" t="s">
        <v>344</v>
      </c>
      <c r="L7354" s="5" t="s">
        <v>46667</v>
      </c>
      <c r="M7354" s="27"/>
      <c r="N7354" s="5" t="s">
        <v>60295</v>
      </c>
      <c r="O7354" s="5" t="str">
        <v>2636052865</v>
      </c>
      <c r="P7354" s="27">
        <v>10000</v>
      </c>
      <c r="Q7354" s="5" t="s">
        <v>60296</v>
      </c>
      <c r="R7354" s="5"/>
      <c r="S7354" s="5" t="s">
        <v>60297</v>
      </c>
      <c r="T7354" s="28">
        <v>3836000</v>
      </c>
      <c r="U7354" s="28"/>
      <c r="V7354" s="28">
        <v>561925000</v>
      </c>
      <c r="W7354" s="28"/>
      <c r="X7354" s="28">
        <v>17110000</v>
      </c>
      <c r="Y7354" s="28">
        <v>796147000</v>
      </c>
      <c r="Z7354" s="28">
        <v>254067000</v>
      </c>
      <c r="AA7354" s="28">
        <v>132375000</v>
      </c>
      <c r="AB7354" s="28"/>
      <c r="AC7354" s="28">
        <v>409695000</v>
      </c>
      <c r="AD7354" s="28">
        <v>254077000</v>
      </c>
      <c r="AE7354" s="28">
        <v>3289875000</v>
      </c>
      <c r="AF7354" s="28">
        <v>101334000</v>
      </c>
      <c r="AG7354" s="11"/>
    </row>
    <row r="7355">
      <c r="A7355" s="7" t="s">
        <v>8910</v>
      </c>
      <c r="B7355" s="5" t="s">
        <v>16830</v>
      </c>
      <c r="C7355" s="5" t="s">
        <v>24434</v>
      </c>
      <c r="D7355" s="5" t="str">
        <v>183105080281</v>
      </c>
      <c r="E7355" s="0" t="e">
        <f>+7 (3412) 423452
+7 (3412) 263093
+7 (3412) 340444
+7 (3412) 656953
+7 (3412) 656970</f>
        <v>#NAME?</v>
      </c>
      <c r="F7355" s="5" t="s">
        <v>46668</v>
      </c>
      <c r="G7355" s="5"/>
      <c r="H7355" s="26">
        <v>29</v>
      </c>
      <c r="I7355" s="5" t="s">
        <v>46669</v>
      </c>
      <c r="J7355" s="5" t="s">
        <v>25429</v>
      </c>
      <c r="K7355" s="5" t="s">
        <v>344</v>
      </c>
      <c r="L7355" s="5"/>
      <c r="M7355" s="27"/>
      <c r="N7355" s="5" t="s">
        <v>60298</v>
      </c>
      <c r="O7355" s="5" t="str">
        <v>1832007271</v>
      </c>
      <c r="P7355" s="27">
        <v>10000</v>
      </c>
      <c r="Q7355" s="5" t="s">
        <v>49009</v>
      </c>
      <c r="R7355" s="5"/>
      <c r="S7355" s="5" t="s">
        <v>49373</v>
      </c>
      <c r="T7355" s="28">
        <v>493459000</v>
      </c>
      <c r="U7355" s="28">
        <v>220224000</v>
      </c>
      <c r="V7355" s="28">
        <v>5656771000</v>
      </c>
      <c r="W7355" s="28">
        <v>1008000</v>
      </c>
      <c r="X7355" s="28">
        <v>6964000</v>
      </c>
      <c r="Y7355" s="28">
        <v>8859642000</v>
      </c>
      <c r="Z7355" s="28">
        <v>433049000</v>
      </c>
      <c r="AA7355" s="28"/>
      <c r="AB7355" s="28">
        <v>1524558000</v>
      </c>
      <c r="AC7355" s="28">
        <v>8255651000</v>
      </c>
      <c r="AD7355" s="28">
        <v>433086000</v>
      </c>
      <c r="AE7355" s="28">
        <v>17252149000</v>
      </c>
      <c r="AF7355" s="28">
        <v>20198000</v>
      </c>
      <c r="AG7355" s="11"/>
    </row>
    <row r="7356">
      <c r="A7356" s="7" t="s">
        <v>8911</v>
      </c>
      <c r="B7356" s="5" t="s">
        <v>16831</v>
      </c>
      <c r="C7356" s="5" t="s">
        <v>24435</v>
      </c>
      <c r="D7356" s="5"/>
      <c r="E7356" s="0" t="e">
        <f>+7 (495) 1202918
+7 (495) 9567937
+7 (495) 9849848
+7 (812) 6606801
+7 (495) 1202919
+7 (495) 1205918</f>
        <v>#NAME?</v>
      </c>
      <c r="F7356" s="5" t="s">
        <v>46670</v>
      </c>
      <c r="G7356" s="5"/>
      <c r="H7356" s="26">
        <v>12.5</v>
      </c>
      <c r="I7356" s="5" t="s">
        <v>46671</v>
      </c>
      <c r="J7356" s="5" t="s">
        <v>25429</v>
      </c>
      <c r="K7356" s="5" t="s">
        <v>344</v>
      </c>
      <c r="L7356" s="5" t="s">
        <v>46672</v>
      </c>
      <c r="M7356" s="27"/>
      <c r="N7356" s="5" t="s">
        <v>60299</v>
      </c>
      <c r="O7356" s="5" t="str">
        <v>7708726226</v>
      </c>
      <c r="P7356" s="27">
        <v>100000</v>
      </c>
      <c r="Q7356" s="5" t="s">
        <v>60300</v>
      </c>
      <c r="R7356" s="5"/>
      <c r="S7356" s="5" t="s">
        <v>60301</v>
      </c>
      <c r="T7356" s="28">
        <v>1944000</v>
      </c>
      <c r="U7356" s="28"/>
      <c r="V7356" s="28">
        <v>3473053000</v>
      </c>
      <c r="W7356" s="28">
        <v>73430000</v>
      </c>
      <c r="X7356" s="28">
        <v>164620000</v>
      </c>
      <c r="Y7356" s="28">
        <v>4824204000</v>
      </c>
      <c r="Z7356" s="28">
        <v>814148000</v>
      </c>
      <c r="AA7356" s="28">
        <v>1260349000</v>
      </c>
      <c r="AB7356" s="28">
        <v>11338000</v>
      </c>
      <c r="AC7356" s="28">
        <v>2749033000</v>
      </c>
      <c r="AD7356" s="28">
        <v>814248000</v>
      </c>
      <c r="AE7356" s="28">
        <v>6294615000</v>
      </c>
      <c r="AF7356" s="28">
        <v>569299000</v>
      </c>
      <c r="AG7356" s="11"/>
    </row>
    <row r="7357">
      <c r="A7357" s="7" t="s">
        <v>8912</v>
      </c>
      <c r="B7357" s="5" t="s">
        <v>16832</v>
      </c>
      <c r="C7357" s="5" t="s">
        <v>24436</v>
      </c>
      <c r="D7357" s="5" t="str">
        <v>773007177415</v>
      </c>
      <c r="E7357" s="0" t="e">
        <f>+7 (495) 7072401
+7 (495) 7440618
+7 (495) 7440627
+7 (495) 7740618
+7 (800) 7001919
+7 (926) 3770251
+7 (983) 3034977</f>
        <v>#NAME?</v>
      </c>
      <c r="F7357" s="5" t="s">
        <v>46673</v>
      </c>
      <c r="G7357" s="5" t="s">
        <v>46674</v>
      </c>
      <c r="H7357" s="26">
        <v>28</v>
      </c>
      <c r="I7357" s="5"/>
      <c r="J7357" s="5" t="s">
        <v>678</v>
      </c>
      <c r="K7357" s="5" t="s">
        <v>344</v>
      </c>
      <c r="L7357" s="5"/>
      <c r="M7357" s="27"/>
      <c r="N7357" s="5" t="s">
        <v>60302</v>
      </c>
      <c r="O7357" s="5" t="str">
        <v>7723021855</v>
      </c>
      <c r="P7357" s="27">
        <v>1000000</v>
      </c>
      <c r="Q7357" s="5" t="s">
        <v>49009</v>
      </c>
      <c r="R7357" s="5"/>
      <c r="S7357" s="5" t="s">
        <v>49045</v>
      </c>
      <c r="T7357" s="28">
        <v>30154000</v>
      </c>
      <c r="U7357" s="28">
        <v>4693000</v>
      </c>
      <c r="V7357" s="28">
        <v>313646000</v>
      </c>
      <c r="W7357" s="28"/>
      <c r="X7357" s="28">
        <v>194459000</v>
      </c>
      <c r="Y7357" s="28">
        <v>975886000</v>
      </c>
      <c r="Z7357" s="28">
        <v>453888000</v>
      </c>
      <c r="AA7357" s="28"/>
      <c r="AB7357" s="28"/>
      <c r="AC7357" s="28">
        <v>511594000</v>
      </c>
      <c r="AD7357" s="28">
        <v>464272000</v>
      </c>
      <c r="AE7357" s="28">
        <v>4894723000</v>
      </c>
      <c r="AF7357" s="28">
        <v>1517205000</v>
      </c>
      <c r="AG7357" s="11"/>
    </row>
    <row r="7358">
      <c r="A7358" s="7" t="s">
        <v>8913</v>
      </c>
      <c r="B7358" s="5" t="s">
        <v>16833</v>
      </c>
      <c r="C7358" s="5" t="s">
        <v>24437</v>
      </c>
      <c r="D7358" s="5" t="str">
        <v>753403083253</v>
      </c>
      <c r="E7358" s="0" t="e">
        <f>+7 (495) 950188
+7 (495) 980187
+7 (495) 980188
+7 (495) 981188
+7 (495) 8850888
+7 (812) 3310342
+7 (916) 9202050
+7 (985) 980188</f>
        <v>#NAME?</v>
      </c>
      <c r="F7358" s="5" t="s">
        <v>46675</v>
      </c>
      <c r="G7358" s="5" t="s">
        <v>46676</v>
      </c>
      <c r="H7358" s="26">
        <v>4.5</v>
      </c>
      <c r="I7358" s="5" t="s">
        <v>46677</v>
      </c>
      <c r="J7358" s="5" t="s">
        <v>25429</v>
      </c>
      <c r="K7358" s="5" t="s">
        <v>344</v>
      </c>
      <c r="L7358" s="5" t="s">
        <v>46678</v>
      </c>
      <c r="M7358" s="27"/>
      <c r="N7358" s="5" t="s">
        <v>60303</v>
      </c>
      <c r="O7358" s="5" t="str">
        <v>5027270388</v>
      </c>
      <c r="P7358" s="27">
        <v>10000</v>
      </c>
      <c r="Q7358" s="5" t="s">
        <v>60304</v>
      </c>
      <c r="R7358" s="5"/>
      <c r="S7358" s="5" t="s">
        <v>60305</v>
      </c>
      <c r="T7358" s="28">
        <v>40624000</v>
      </c>
      <c r="U7358" s="28">
        <v>127000</v>
      </c>
      <c r="V7358" s="28">
        <v>2057248000</v>
      </c>
      <c r="W7358" s="28">
        <v>4450000</v>
      </c>
      <c r="X7358" s="28">
        <v>988791000</v>
      </c>
      <c r="Y7358" s="28">
        <v>3596708000</v>
      </c>
      <c r="Z7358" s="28">
        <v>703995000</v>
      </c>
      <c r="AA7358" s="28">
        <v>57493000</v>
      </c>
      <c r="AB7358" s="28">
        <v>1369000</v>
      </c>
      <c r="AC7358" s="28">
        <v>2812910000</v>
      </c>
      <c r="AD7358" s="28">
        <v>704005000</v>
      </c>
      <c r="AE7358" s="28">
        <v>5966510000</v>
      </c>
      <c r="AF7358" s="28">
        <v>649800000</v>
      </c>
      <c r="AG7358" s="11"/>
    </row>
    <row r="7359">
      <c r="A7359" s="7" t="s">
        <v>8914</v>
      </c>
      <c r="B7359" s="5" t="s">
        <v>16834</v>
      </c>
      <c r="C7359" s="5" t="s">
        <v>24438</v>
      </c>
      <c r="D7359" s="5" t="str">
        <v>711105523608</v>
      </c>
      <c r="E7359" s="0" t="e">
        <f>+7 (3952) 550325
+7 (812) 2404515</f>
        <v>#NAME?</v>
      </c>
      <c r="F7359" s="5" t="s">
        <v>46679</v>
      </c>
      <c r="G7359" s="5"/>
      <c r="H7359" s="26">
        <v>13</v>
      </c>
      <c r="I7359" s="5"/>
      <c r="J7359" s="5" t="s">
        <v>28030</v>
      </c>
      <c r="K7359" s="5" t="s">
        <v>344</v>
      </c>
      <c r="L7359" s="5" t="s">
        <v>25870</v>
      </c>
      <c r="M7359" s="27">
        <v>19676522</v>
      </c>
      <c r="N7359" s="5"/>
      <c r="O7359" s="5" t="str">
        <v>3851000490</v>
      </c>
      <c r="P7359" s="27">
        <v>100000</v>
      </c>
      <c r="Q7359" s="5"/>
      <c r="R7359" s="5"/>
      <c r="S7359" s="5" t="s">
        <v>49029</v>
      </c>
      <c r="T7359" s="28">
        <v>5989393000</v>
      </c>
      <c r="U7359" s="28"/>
      <c r="V7359" s="28">
        <v>1255885000</v>
      </c>
      <c r="W7359" s="28"/>
      <c r="X7359" s="28">
        <v>1151974000</v>
      </c>
      <c r="Y7359" s="28">
        <v>13875596000</v>
      </c>
      <c r="Z7359" s="28">
        <v>1476858000</v>
      </c>
      <c r="AA7359" s="28">
        <v>5005927000</v>
      </c>
      <c r="AB7359" s="28">
        <v>890635000</v>
      </c>
      <c r="AC7359" s="28">
        <v>6183968000</v>
      </c>
      <c r="AD7359" s="28">
        <v>2129860000</v>
      </c>
      <c r="AE7359" s="28">
        <v>5022181000</v>
      </c>
      <c r="AF7359" s="28">
        <v>674765000</v>
      </c>
      <c r="AG7359" s="11"/>
    </row>
    <row r="7360">
      <c r="A7360" s="7" t="s">
        <v>8915</v>
      </c>
      <c r="B7360" s="5" t="s">
        <v>16835</v>
      </c>
      <c r="C7360" s="5" t="s">
        <v>24439</v>
      </c>
      <c r="D7360" s="5" t="str">
        <v>616514271605</v>
      </c>
      <c r="E7360" s="0" t="e">
        <f>+7 (495) 5122335
+7 (495) 5454896
+7 (495) 7373500
+7 (499) 4578523
+7 (86135) 22020
+7 (86137) 22595
+7 (863) 3020428
+7 (863) 3088890
+7 (863) 3220042
+7 (863) 3220128
+7 (863) 3220248
+7 (863) 3220402
+7 (863) 3220408
+7 (863) 3220425
+7 (863) 3220427</f>
        <v>#NAME?</v>
      </c>
      <c r="F7360" s="5" t="s">
        <v>46680</v>
      </c>
      <c r="G7360" s="5"/>
      <c r="H7360" s="26">
        <v>3</v>
      </c>
      <c r="I7360" s="5"/>
      <c r="J7360" s="5" t="s">
        <v>25429</v>
      </c>
      <c r="K7360" s="5" t="s">
        <v>344</v>
      </c>
      <c r="L7360" s="5" t="s">
        <v>46681</v>
      </c>
      <c r="M7360" s="27">
        <v>32947</v>
      </c>
      <c r="N7360" s="5" t="s">
        <v>60306</v>
      </c>
      <c r="O7360" s="5" t="str">
        <v>6166118833</v>
      </c>
      <c r="P7360" s="27">
        <v>10000</v>
      </c>
      <c r="Q7360" s="5" t="s">
        <v>60307</v>
      </c>
      <c r="R7360" s="5"/>
      <c r="S7360" s="5" t="s">
        <v>60308</v>
      </c>
      <c r="T7360" s="28">
        <v>48286000</v>
      </c>
      <c r="U7360" s="28"/>
      <c r="V7360" s="28">
        <v>442386000</v>
      </c>
      <c r="W7360" s="28">
        <v>23500000</v>
      </c>
      <c r="X7360" s="28">
        <v>33580000</v>
      </c>
      <c r="Y7360" s="28">
        <v>590041000</v>
      </c>
      <c r="Z7360" s="28">
        <v>41158000</v>
      </c>
      <c r="AA7360" s="28"/>
      <c r="AB7360" s="28"/>
      <c r="AC7360" s="28">
        <v>492657000</v>
      </c>
      <c r="AD7360" s="28">
        <v>41168000</v>
      </c>
      <c r="AE7360" s="28">
        <v>4135392000</v>
      </c>
      <c r="AF7360" s="28">
        <v>13034000</v>
      </c>
      <c r="AG7360" s="11"/>
    </row>
    <row r="7361">
      <c r="A7361" s="7" t="s">
        <v>8916</v>
      </c>
      <c r="B7361" s="5" t="s">
        <v>16836</v>
      </c>
      <c r="C7361" s="5" t="s">
        <v>24440</v>
      </c>
      <c r="D7361" s="5" t="str">
        <v>616705549812</v>
      </c>
      <c r="E7361" s="0" t="e">
        <f>+7 (863) 3033033
+7 (863) 3220428
+7 (8632) 232470
+7 (8632) 232541
+7 (8632) 257802
+7 (8632) 277845
+7 (8632) 279802
+7 (495) 1202986
+7 (863) 2354850
+7 (863) 2524482
+7 (863) 2554433
+7 (863) 2923238
+7 (863) 2924062
+7 (8632) 276287
+7 (8632) 277872</f>
        <v>#NAME?</v>
      </c>
      <c r="F7361" s="5" t="s">
        <v>46682</v>
      </c>
      <c r="G7361" s="5" t="s">
        <v>46683</v>
      </c>
      <c r="H7361" s="26">
        <v>30</v>
      </c>
      <c r="I7361" s="5"/>
      <c r="J7361" s="5" t="s">
        <v>25429</v>
      </c>
      <c r="K7361" s="5" t="s">
        <v>344</v>
      </c>
      <c r="L7361" s="5" t="s">
        <v>46684</v>
      </c>
      <c r="M7361" s="27"/>
      <c r="N7361" s="5" t="s">
        <v>60309</v>
      </c>
      <c r="O7361" s="5" t="str">
        <v>6165016437</v>
      </c>
      <c r="P7361" s="27">
        <v>2000000</v>
      </c>
      <c r="Q7361" s="5" t="s">
        <v>60310</v>
      </c>
      <c r="R7361" s="5"/>
      <c r="S7361" s="5" t="s">
        <v>60311</v>
      </c>
      <c r="T7361" s="28">
        <v>184182000</v>
      </c>
      <c r="U7361" s="28">
        <v>73450000</v>
      </c>
      <c r="V7361" s="28">
        <v>1924275000</v>
      </c>
      <c r="W7361" s="28">
        <v>1250000000</v>
      </c>
      <c r="X7361" s="28">
        <v>55338000</v>
      </c>
      <c r="Y7361" s="28">
        <v>4707580000</v>
      </c>
      <c r="Z7361" s="28">
        <v>1739650000</v>
      </c>
      <c r="AA7361" s="28"/>
      <c r="AB7361" s="28"/>
      <c r="AC7361" s="28">
        <v>2802214000</v>
      </c>
      <c r="AD7361" s="28">
        <v>1742623000</v>
      </c>
      <c r="AE7361" s="28">
        <v>19391677000</v>
      </c>
      <c r="AF7361" s="28">
        <v>1219943000</v>
      </c>
      <c r="AG7361" s="11"/>
    </row>
    <row r="7362">
      <c r="A7362" s="7" t="s">
        <v>8917</v>
      </c>
      <c r="B7362" s="5" t="s">
        <v>16837</v>
      </c>
      <c r="C7362" s="5" t="s">
        <v>24441</v>
      </c>
      <c r="D7362" s="5" t="str">
        <v>583607791882</v>
      </c>
      <c r="E7362" s="0" t="e">
        <f>+7 (818) 2208092
+7 (818) 2436049
+7 (818) 2606131
+7 (818) 2635049
+7 (818) 2208245
+7 (818) 2606083
+7 (818) 2606331
+7 (818) 2610485
+7 (818) 2610665
+7 (818) 2618514
+7 (818) 2620640
+7 (818) 2620662
+7 (818) 2620675
+7 (818) 2627074
+7 (818) 2633031</f>
        <v>#NAME?</v>
      </c>
      <c r="F7362" s="5" t="s">
        <v>46685</v>
      </c>
      <c r="G7362" s="5"/>
      <c r="H7362" s="26">
        <v>31</v>
      </c>
      <c r="I7362" s="5" t="s">
        <v>46686</v>
      </c>
      <c r="J7362" s="5" t="s">
        <v>25429</v>
      </c>
      <c r="K7362" s="5" t="s">
        <v>344</v>
      </c>
      <c r="L7362" s="5"/>
      <c r="M7362" s="27"/>
      <c r="N7362" s="5" t="s">
        <v>60312</v>
      </c>
      <c r="O7362" s="5" t="str">
        <v>2900000247</v>
      </c>
      <c r="P7362" s="27">
        <v>50000000</v>
      </c>
      <c r="Q7362" s="5" t="s">
        <v>60313</v>
      </c>
      <c r="R7362" s="5"/>
      <c r="S7362" s="5" t="s">
        <v>51118</v>
      </c>
      <c r="T7362" s="28">
        <v>217712000</v>
      </c>
      <c r="U7362" s="28"/>
      <c r="V7362" s="28">
        <v>624112000</v>
      </c>
      <c r="W7362" s="28"/>
      <c r="X7362" s="28">
        <v>798987000</v>
      </c>
      <c r="Y7362" s="28">
        <v>2813935000</v>
      </c>
      <c r="Z7362" s="28">
        <v>205240000</v>
      </c>
      <c r="AA7362" s="28">
        <v>200000000</v>
      </c>
      <c r="AB7362" s="28">
        <v>99080000</v>
      </c>
      <c r="AC7362" s="28">
        <v>2239012000</v>
      </c>
      <c r="AD7362" s="28">
        <v>262740000</v>
      </c>
      <c r="AE7362" s="28">
        <v>4514064000</v>
      </c>
      <c r="AF7362" s="28">
        <v>76451000</v>
      </c>
      <c r="AG7362" s="11"/>
    </row>
    <row r="7363">
      <c r="A7363" s="7" t="s">
        <v>8918</v>
      </c>
      <c r="B7363" s="5" t="s">
        <v>16838</v>
      </c>
      <c r="C7363" s="5" t="s">
        <v>24442</v>
      </c>
      <c r="D7363" s="5" t="str">
        <v>380107871659</v>
      </c>
      <c r="E7363" s="0" t="e">
        <f>+7 (3951) 513333
+7 (3952) 202352
+7 (3952) 485353
+7 (3955) 513200
+7 (3955) 513333</f>
        <v>#NAME?</v>
      </c>
      <c r="F7363" s="5" t="s">
        <v>46687</v>
      </c>
      <c r="G7363" s="5"/>
      <c r="H7363" s="26">
        <v>27</v>
      </c>
      <c r="I7363" s="5" t="s">
        <v>46688</v>
      </c>
      <c r="J7363" s="5" t="s">
        <v>26165</v>
      </c>
      <c r="K7363" s="5" t="s">
        <v>344</v>
      </c>
      <c r="L7363" s="5" t="s">
        <v>46689</v>
      </c>
      <c r="M7363" s="27">
        <v>13334</v>
      </c>
      <c r="N7363" s="5"/>
      <c r="O7363" s="5" t="str">
        <v>3801042576</v>
      </c>
      <c r="P7363" s="27">
        <v>16800000</v>
      </c>
      <c r="Q7363" s="5" t="s">
        <v>52110</v>
      </c>
      <c r="R7363" s="5"/>
      <c r="S7363" s="5" t="s">
        <v>49012</v>
      </c>
      <c r="T7363" s="28">
        <v>600429000</v>
      </c>
      <c r="U7363" s="28"/>
      <c r="V7363" s="28">
        <v>107025000</v>
      </c>
      <c r="W7363" s="28">
        <v>870000000</v>
      </c>
      <c r="X7363" s="28">
        <v>197014000</v>
      </c>
      <c r="Y7363" s="28">
        <v>3793803000</v>
      </c>
      <c r="Z7363" s="28">
        <v>1651774000</v>
      </c>
      <c r="AA7363" s="28"/>
      <c r="AB7363" s="28">
        <v>900000</v>
      </c>
      <c r="AC7363" s="28">
        <v>1981152000</v>
      </c>
      <c r="AD7363" s="28">
        <v>1668574000</v>
      </c>
      <c r="AE7363" s="28">
        <v>9761468000</v>
      </c>
      <c r="AF7363" s="28">
        <v>785483000</v>
      </c>
      <c r="AG7363" s="11"/>
    </row>
    <row r="7364">
      <c r="A7364" s="7" t="s">
        <v>8919</v>
      </c>
      <c r="B7364" s="5" t="s">
        <v>16839</v>
      </c>
      <c r="C7364" s="5" t="s">
        <v>24443</v>
      </c>
      <c r="D7364" s="5" t="str">
        <v>770700061700</v>
      </c>
      <c r="E7364" s="0" t="e">
        <f>+7 (385) 2365189
+7 (385) 2365489
+7 (385) 2778721
+7 (401) 2706055
+7 (495) 4016312
+7 (495) 4036316
+7 (345) 2332341
+7 (345) 2332860
+7 (3472) 163531
+7 (3472) 482649
+7 (385) 2778725
+7 (484) 2225067
+7 (484) 2225068
+7 (484) 2225069
+7 (495) 4841959</f>
        <v>#NAME?</v>
      </c>
      <c r="F7364" s="5" t="s">
        <v>46690</v>
      </c>
      <c r="G7364" s="5" t="s">
        <v>46691</v>
      </c>
      <c r="H7364" s="26">
        <v>29</v>
      </c>
      <c r="I7364" s="5" t="s">
        <v>46692</v>
      </c>
      <c r="J7364" s="5" t="s">
        <v>25429</v>
      </c>
      <c r="K7364" s="5" t="s">
        <v>344</v>
      </c>
      <c r="L7364" s="5" t="s">
        <v>46693</v>
      </c>
      <c r="M7364" s="27">
        <v>278593</v>
      </c>
      <c r="N7364" s="5" t="s">
        <v>60315</v>
      </c>
      <c r="O7364" s="5" t="str">
        <v>7710106212</v>
      </c>
      <c r="P7364" s="27">
        <v>50639700</v>
      </c>
      <c r="Q7364" s="5" t="s">
        <v>60316</v>
      </c>
      <c r="R7364" s="5"/>
      <c r="S7364" s="5" t="s">
        <v>60317</v>
      </c>
      <c r="T7364" s="28">
        <v>1376299000</v>
      </c>
      <c r="U7364" s="28">
        <v>44774000</v>
      </c>
      <c r="V7364" s="28">
        <v>16576705000</v>
      </c>
      <c r="W7364" s="28">
        <v>6089000</v>
      </c>
      <c r="X7364" s="28">
        <v>240263000</v>
      </c>
      <c r="Y7364" s="28">
        <v>37373357000</v>
      </c>
      <c r="Z7364" s="28">
        <v>4393413000</v>
      </c>
      <c r="AA7364" s="28"/>
      <c r="AB7364" s="28">
        <v>5649340000</v>
      </c>
      <c r="AC7364" s="28">
        <v>31733257000</v>
      </c>
      <c r="AD7364" s="28">
        <v>5640100000</v>
      </c>
      <c r="AE7364" s="28">
        <v>57942275000</v>
      </c>
      <c r="AF7364" s="28">
        <v>1347905000</v>
      </c>
      <c r="AG7364" s="11"/>
    </row>
    <row r="7365">
      <c r="A7365" s="7" t="s">
        <v>8920</v>
      </c>
      <c r="B7365" s="5" t="s">
        <v>16840</v>
      </c>
      <c r="C7365" s="5" t="s">
        <v>24444</v>
      </c>
      <c r="D7365" s="5" t="str">
        <v>770905460921</v>
      </c>
      <c r="E7365" s="0" t="e">
        <f>+7 (492) 2412104
+7 (495) 2700860
+7 (495) 5140321
+7 (495) 8550098
+7 (495) 8550898
+7 (495) 9567937
+7 (495) 9700660
+7 (495) 9700800
+7 (495) 9700864
+7 (495) 9701086
+7 (495) 9708006
+7 (495) 9700806
+7 (495) 9700860
+7 (495) 9708060
+7 (499) 4329839</f>
        <v>#NAME?</v>
      </c>
      <c r="F7365" s="5" t="s">
        <v>46694</v>
      </c>
      <c r="G7365" s="5" t="s">
        <v>46695</v>
      </c>
      <c r="H7365" s="26">
        <v>10.5</v>
      </c>
      <c r="I7365" s="5" t="s">
        <v>46696</v>
      </c>
      <c r="J7365" s="5" t="s">
        <v>25429</v>
      </c>
      <c r="K7365" s="5" t="s">
        <v>344</v>
      </c>
      <c r="L7365" s="5" t="s">
        <v>46697</v>
      </c>
      <c r="M7365" s="27"/>
      <c r="N7365" s="5" t="s">
        <v>60318</v>
      </c>
      <c r="O7365" s="5" t="str">
        <v>7729717511</v>
      </c>
      <c r="P7365" s="27">
        <v>10000</v>
      </c>
      <c r="Q7365" s="5" t="s">
        <v>60319</v>
      </c>
      <c r="R7365" s="5"/>
      <c r="S7365" s="5" t="s">
        <v>60320</v>
      </c>
      <c r="T7365" s="28">
        <v>857000</v>
      </c>
      <c r="U7365" s="28">
        <v>360000</v>
      </c>
      <c r="V7365" s="28">
        <v>693062000</v>
      </c>
      <c r="W7365" s="28">
        <v>344000000</v>
      </c>
      <c r="X7365" s="28">
        <v>18735000</v>
      </c>
      <c r="Y7365" s="28">
        <v>1606953000</v>
      </c>
      <c r="Z7365" s="28">
        <v>279969000</v>
      </c>
      <c r="AA7365" s="28"/>
      <c r="AB7365" s="28"/>
      <c r="AC7365" s="28">
        <v>1291995000</v>
      </c>
      <c r="AD7365" s="28">
        <v>279979000</v>
      </c>
      <c r="AE7365" s="28">
        <v>3842094000</v>
      </c>
      <c r="AF7365" s="28">
        <v>255127000</v>
      </c>
      <c r="AG7365" s="11"/>
    </row>
    <row r="7366">
      <c r="A7366" s="7" t="s">
        <v>8921</v>
      </c>
      <c r="B7366" s="5" t="s">
        <v>16841</v>
      </c>
      <c r="C7366" s="5" t="s">
        <v>24445</v>
      </c>
      <c r="D7366" s="5" t="str">
        <v>526201613318</v>
      </c>
      <c r="E7366" s="0" t="e">
        <f>+7 (831) 2778180
+7 (831) 2778170
+7 (831) 2778177
+7 (831) 2778183</f>
        <v>#NAME?</v>
      </c>
      <c r="F7366" s="5" t="s">
        <v>46698</v>
      </c>
      <c r="G7366" s="5" t="s">
        <v>46699</v>
      </c>
      <c r="H7366" s="26">
        <v>28</v>
      </c>
      <c r="I7366" s="5" t="s">
        <v>46700</v>
      </c>
      <c r="J7366" s="5" t="s">
        <v>25429</v>
      </c>
      <c r="K7366" s="5" t="s">
        <v>344</v>
      </c>
      <c r="L7366" s="5" t="s">
        <v>46701</v>
      </c>
      <c r="M7366" s="27"/>
      <c r="N7366" s="5" t="s">
        <v>60321</v>
      </c>
      <c r="O7366" s="5" t="str">
        <v>5262036363</v>
      </c>
      <c r="P7366" s="27">
        <v>1000000</v>
      </c>
      <c r="Q7366" s="5" t="s">
        <v>60322</v>
      </c>
      <c r="R7366" s="5"/>
      <c r="S7366" s="5" t="s">
        <v>60323</v>
      </c>
      <c r="T7366" s="28">
        <v>384243000</v>
      </c>
      <c r="U7366" s="28"/>
      <c r="V7366" s="28">
        <v>11112486000</v>
      </c>
      <c r="W7366" s="28"/>
      <c r="X7366" s="28">
        <v>5529929000</v>
      </c>
      <c r="Y7366" s="28">
        <v>32208053000</v>
      </c>
      <c r="Z7366" s="28">
        <v>4866174000</v>
      </c>
      <c r="AA7366" s="28"/>
      <c r="AB7366" s="28"/>
      <c r="AC7366" s="28">
        <v>27200331000</v>
      </c>
      <c r="AD7366" s="28">
        <v>4867174000</v>
      </c>
      <c r="AE7366" s="28">
        <v>64619823000</v>
      </c>
      <c r="AF7366" s="28">
        <v>846914000</v>
      </c>
      <c r="AG7366" s="11"/>
    </row>
    <row r="7367">
      <c r="A7367" s="7" t="s">
        <v>8922</v>
      </c>
      <c r="B7367" s="5" t="s">
        <v>16842</v>
      </c>
      <c r="C7367" s="5" t="s">
        <v>24446</v>
      </c>
      <c r="D7367" s="5" t="str">
        <v>771765000909</v>
      </c>
      <c r="E7367" s="0" t="e">
        <f>+7 (493) 2340735
+7 (495) 2010080
+7 (495) 2040704
+7 (495) 2048555
+7 (495) 2103336
+7 (495) 2232470
+7 (495) 2335637
+7 (495) 2340070
+7 (495) 2340474
+7 (495) 2340706
+7 (495) 2340708
+7 (495) 2340724
+7 (495) 1340704
+7 (495) 2340407
+7 (495) 2340707</f>
        <v>#NAME?</v>
      </c>
      <c r="F7367" s="5" t="s">
        <v>46702</v>
      </c>
      <c r="G7367" s="5"/>
      <c r="H7367" s="26">
        <v>19.5</v>
      </c>
      <c r="I7367" s="5" t="s">
        <v>46703</v>
      </c>
      <c r="J7367" s="5" t="s">
        <v>25429</v>
      </c>
      <c r="K7367" s="5" t="s">
        <v>355</v>
      </c>
      <c r="L7367" s="5" t="s">
        <v>46704</v>
      </c>
      <c r="M7367" s="27"/>
      <c r="N7367" s="5" t="s">
        <v>60324</v>
      </c>
      <c r="O7367" s="5" t="str">
        <v>7714511476</v>
      </c>
      <c r="P7367" s="27">
        <v>3000000</v>
      </c>
      <c r="Q7367" s="5" t="s">
        <v>60325</v>
      </c>
      <c r="R7367" s="5"/>
      <c r="S7367" s="5" t="s">
        <v>60326</v>
      </c>
      <c r="T7367" s="28">
        <v>99944000</v>
      </c>
      <c r="U7367" s="28">
        <v>247328000</v>
      </c>
      <c r="V7367" s="28">
        <v>1905680000</v>
      </c>
      <c r="W7367" s="28"/>
      <c r="X7367" s="28">
        <v>13940000</v>
      </c>
      <c r="Y7367" s="28">
        <v>3326037000</v>
      </c>
      <c r="Z7367" s="28">
        <v>484505000</v>
      </c>
      <c r="AA7367" s="28"/>
      <c r="AB7367" s="28">
        <v>1050347000</v>
      </c>
      <c r="AC7367" s="28">
        <v>2737453000</v>
      </c>
      <c r="AD7367" s="28">
        <v>487505000</v>
      </c>
      <c r="AE7367" s="28">
        <v>10521967000</v>
      </c>
      <c r="AF7367" s="28">
        <v>54371000</v>
      </c>
      <c r="AG7367" s="11"/>
    </row>
    <row r="7368">
      <c r="A7368" s="7" t="s">
        <v>8923</v>
      </c>
      <c r="B7368" s="5" t="s">
        <v>16843</v>
      </c>
      <c r="C7368" s="5" t="s">
        <v>24447</v>
      </c>
      <c r="D7368" s="5" t="str">
        <v>027812624343</v>
      </c>
      <c r="E7368" s="0" t="e">
        <f>+7 (3472) 269858
+7 (800) 5500393
+7 (917) 4474489
+7 (987) 476767</f>
        <v>#NAME?</v>
      </c>
      <c r="F7368" s="5" t="s">
        <v>46705</v>
      </c>
      <c r="G7368" s="5" t="s">
        <v>46706</v>
      </c>
      <c r="H7368" s="26">
        <v>25.5</v>
      </c>
      <c r="I7368" s="5"/>
      <c r="J7368" s="5" t="s">
        <v>26165</v>
      </c>
      <c r="K7368" s="5" t="s">
        <v>355</v>
      </c>
      <c r="L7368" s="5" t="s">
        <v>46707</v>
      </c>
      <c r="M7368" s="27"/>
      <c r="N7368" s="5"/>
      <c r="O7368" s="5" t="str">
        <v>0273028277</v>
      </c>
      <c r="P7368" s="27">
        <v>10000</v>
      </c>
      <c r="Q7368" s="5"/>
      <c r="R7368" s="5"/>
      <c r="S7368" s="5" t="s">
        <v>49110</v>
      </c>
      <c r="T7368" s="28">
        <v>1607129000</v>
      </c>
      <c r="U7368" s="28"/>
      <c r="V7368" s="28">
        <v>2077567000</v>
      </c>
      <c r="W7368" s="28">
        <v>800100000</v>
      </c>
      <c r="X7368" s="28">
        <v>764887000</v>
      </c>
      <c r="Y7368" s="28">
        <v>10198138000</v>
      </c>
      <c r="Z7368" s="28">
        <v>1325552000</v>
      </c>
      <c r="AA7368" s="28"/>
      <c r="AB7368" s="28"/>
      <c r="AC7368" s="28">
        <v>8837801000</v>
      </c>
      <c r="AD7368" s="28">
        <v>1325562000</v>
      </c>
      <c r="AE7368" s="28">
        <v>25145765000</v>
      </c>
      <c r="AF7368" s="28">
        <v>417550000</v>
      </c>
      <c r="AG7368" s="11"/>
    </row>
    <row r="7369">
      <c r="A7369" s="7" t="s">
        <v>8924</v>
      </c>
      <c r="B7369" s="5" t="s">
        <v>16844</v>
      </c>
      <c r="C7369" s="5" t="s">
        <v>24448</v>
      </c>
      <c r="D7369" s="5" t="str">
        <v>201402886241</v>
      </c>
      <c r="E7369" s="0" t="e">
        <f>+7 (871) 2222325
+7 (871) 2222335
+7 (871) 2223435
+7 (871) 2225038
+7 (871) 2225765
+7 (871) 2234567
+7 (871) 2235689
+7 (871) 2248651
+7 (871) 2290099
+7 (871) 2295637
+7 (87778) 54696
+7 (87964) 56431
+7 (922) 2221202
+7 (922) 2221222
+7 (922) 7867540</f>
        <v>#NAME?</v>
      </c>
      <c r="F7369" s="5" t="s">
        <v>46708</v>
      </c>
      <c r="G7369" s="5"/>
      <c r="H7369" s="26">
        <v>4</v>
      </c>
      <c r="I7369" s="5" t="s">
        <v>46709</v>
      </c>
      <c r="J7369" s="5" t="s">
        <v>25429</v>
      </c>
      <c r="K7369" s="5" t="s">
        <v>344</v>
      </c>
      <c r="L7369" s="5" t="s">
        <v>46710</v>
      </c>
      <c r="M7369" s="27"/>
      <c r="N7369" s="5" t="s">
        <v>60327</v>
      </c>
      <c r="O7369" s="5" t="str">
        <v>2014018354</v>
      </c>
      <c r="P7369" s="27">
        <v>20000</v>
      </c>
      <c r="Q7369" s="5" t="s">
        <v>60328</v>
      </c>
      <c r="R7369" s="5"/>
      <c r="S7369" s="5" t="s">
        <v>60329</v>
      </c>
      <c r="T7369" s="28">
        <v>443000</v>
      </c>
      <c r="U7369" s="28"/>
      <c r="V7369" s="28">
        <v>626442000</v>
      </c>
      <c r="W7369" s="28"/>
      <c r="X7369" s="28">
        <v>722433000</v>
      </c>
      <c r="Y7369" s="28">
        <v>1352895000</v>
      </c>
      <c r="Z7369" s="28">
        <v>79583000</v>
      </c>
      <c r="AA7369" s="28"/>
      <c r="AB7369" s="28"/>
      <c r="AC7369" s="28">
        <v>1273292000</v>
      </c>
      <c r="AD7369" s="28">
        <v>79603000</v>
      </c>
      <c r="AE7369" s="28">
        <v>5609324000</v>
      </c>
      <c r="AF7369" s="28">
        <v>37326000</v>
      </c>
      <c r="AG7369" s="11"/>
    </row>
    <row r="7370">
      <c r="A7370" s="7" t="s">
        <v>8925</v>
      </c>
      <c r="B7370" s="5" t="s">
        <v>16845</v>
      </c>
      <c r="C7370" s="5" t="s">
        <v>24449</v>
      </c>
      <c r="D7370" s="5" t="str">
        <v>201403910909</v>
      </c>
      <c r="E7370" s="0" t="e">
        <f>+7 (495) 3215245
+7 (495) 4125252
+7 (903) 7715470</f>
        <v>#NAME?</v>
      </c>
      <c r="F7370" s="5" t="s">
        <v>46711</v>
      </c>
      <c r="G7370" s="5"/>
      <c r="H7370" s="26">
        <v>6</v>
      </c>
      <c r="I7370" s="5" t="s">
        <v>46712</v>
      </c>
      <c r="J7370" s="5" t="s">
        <v>25429</v>
      </c>
      <c r="K7370" s="5" t="s">
        <v>344</v>
      </c>
      <c r="L7370" s="5"/>
      <c r="M7370" s="27"/>
      <c r="N7370" s="5" t="s">
        <v>60330</v>
      </c>
      <c r="O7370" s="5" t="str">
        <v>7731345620</v>
      </c>
      <c r="P7370" s="27">
        <v>500000</v>
      </c>
      <c r="Q7370" s="5" t="s">
        <v>60331</v>
      </c>
      <c r="R7370" s="5"/>
      <c r="S7370" s="5" t="s">
        <v>60332</v>
      </c>
      <c r="T7370" s="28">
        <v>3570320000</v>
      </c>
      <c r="U7370" s="28">
        <v>1046607000</v>
      </c>
      <c r="V7370" s="28">
        <v>240478000</v>
      </c>
      <c r="W7370" s="28"/>
      <c r="X7370" s="28">
        <v>4056420000</v>
      </c>
      <c r="Y7370" s="28">
        <v>10506014000</v>
      </c>
      <c r="Z7370" s="28">
        <v>6652491000</v>
      </c>
      <c r="AA7370" s="28">
        <v>1356984000</v>
      </c>
      <c r="AB7370" s="28"/>
      <c r="AC7370" s="28">
        <v>2493821000</v>
      </c>
      <c r="AD7370" s="28">
        <v>6652491000</v>
      </c>
      <c r="AE7370" s="28">
        <v>9683656000</v>
      </c>
      <c r="AF7370" s="28">
        <v>3265735000</v>
      </c>
      <c r="AG7370" s="11"/>
    </row>
    <row r="7371">
      <c r="A7371" s="7" t="s">
        <v>8926</v>
      </c>
      <c r="B7371" s="5" t="s">
        <v>16846</v>
      </c>
      <c r="C7371" s="5" t="s">
        <v>24450</v>
      </c>
      <c r="D7371" s="5" t="str">
        <v>631904530496</v>
      </c>
      <c r="E7371" s="0" t="e">
        <f>+7 (3012) 201021
+7 (3412) 310437
+7 (3422) 737897
+7 (343) 3613181
+7 (34551) 79917
+7 (3472) 663749
+7 (3512) 170630
+7 (3522) 265474
+7 (35324) 50930
+7 (381) 2956039
+7 (382) 2990998
+7 (383) 2857880
+7 (3843) 328088
+7 (385) 2570180
+7 (38532) 33020</f>
        <v>#NAME?</v>
      </c>
      <c r="F7371" s="5"/>
      <c r="G7371" s="5"/>
      <c r="H7371" s="26">
        <v>20</v>
      </c>
      <c r="I7371" s="5"/>
      <c r="J7371" s="5" t="s">
        <v>25429</v>
      </c>
      <c r="K7371" s="5" t="s">
        <v>344</v>
      </c>
      <c r="L7371" s="5" t="s">
        <v>46713</v>
      </c>
      <c r="M7371" s="27">
        <v>1841862</v>
      </c>
      <c r="N7371" s="5"/>
      <c r="O7371" s="5" t="str">
        <v>4028069779</v>
      </c>
      <c r="P7371" s="27">
        <v>13158</v>
      </c>
      <c r="Q7371" s="5" t="s">
        <v>49059</v>
      </c>
      <c r="R7371" s="5"/>
      <c r="S7371" s="5" t="s">
        <v>49408</v>
      </c>
      <c r="T7371" s="28">
        <v>1884314000</v>
      </c>
      <c r="U7371" s="28">
        <v>68908000</v>
      </c>
      <c r="V7371" s="28">
        <v>12543708000</v>
      </c>
      <c r="W7371" s="28">
        <v>366392000</v>
      </c>
      <c r="X7371" s="28">
        <v>102837000</v>
      </c>
      <c r="Y7371" s="28">
        <v>30824577000</v>
      </c>
      <c r="Z7371" s="28">
        <v>4059580000</v>
      </c>
      <c r="AA7371" s="28">
        <v>1000000</v>
      </c>
      <c r="AB7371" s="28">
        <v>5769917000</v>
      </c>
      <c r="AC7371" s="28">
        <v>26673921000</v>
      </c>
      <c r="AD7371" s="28">
        <v>4059595000</v>
      </c>
      <c r="AE7371" s="28">
        <v>74524284000</v>
      </c>
      <c r="AF7371" s="28">
        <v>774913000</v>
      </c>
      <c r="AG7371" s="11"/>
    </row>
    <row r="7372">
      <c r="A7372" s="7" t="s">
        <v>8927</v>
      </c>
      <c r="B7372" s="5" t="s">
        <v>16847</v>
      </c>
      <c r="C7372" s="5" t="s">
        <v>24451</v>
      </c>
      <c r="D7372" s="5" t="str">
        <v>772738364659</v>
      </c>
      <c r="E7372" s="0" t="e">
        <f>+7 (495) 3633500
+7 (499) 6475021</f>
        <v>#NAME?</v>
      </c>
      <c r="F7372" s="5" t="s">
        <v>26789</v>
      </c>
      <c r="G7372" s="5" t="s">
        <v>44902</v>
      </c>
      <c r="H7372" s="26">
        <v>9.5</v>
      </c>
      <c r="I7372" s="5" t="s">
        <v>46714</v>
      </c>
      <c r="J7372" s="5" t="s">
        <v>25429</v>
      </c>
      <c r="K7372" s="5" t="s">
        <v>344</v>
      </c>
      <c r="L7372" s="5" t="s">
        <v>46715</v>
      </c>
      <c r="M7372" s="27"/>
      <c r="N7372" s="5"/>
      <c r="O7372" s="5" t="str">
        <v>7706795062</v>
      </c>
      <c r="P7372" s="27">
        <v>20000</v>
      </c>
      <c r="Q7372" s="5" t="s">
        <v>49009</v>
      </c>
      <c r="R7372" s="5"/>
      <c r="S7372" s="5" t="s">
        <v>49010</v>
      </c>
      <c r="T7372" s="28">
        <v>431022000</v>
      </c>
      <c r="U7372" s="28">
        <v>5000</v>
      </c>
      <c r="V7372" s="28">
        <v>1439784000</v>
      </c>
      <c r="W7372" s="28">
        <v>651000000</v>
      </c>
      <c r="X7372" s="28">
        <v>32355000</v>
      </c>
      <c r="Y7372" s="28">
        <v>3855408000</v>
      </c>
      <c r="Z7372" s="28">
        <v>322776000</v>
      </c>
      <c r="AA7372" s="28"/>
      <c r="AB7372" s="28"/>
      <c r="AC7372" s="28">
        <v>2973076000</v>
      </c>
      <c r="AD7372" s="28">
        <v>322796000</v>
      </c>
      <c r="AE7372" s="28">
        <v>16917213000</v>
      </c>
      <c r="AF7372" s="28">
        <v>43837000</v>
      </c>
      <c r="AG7372" s="11"/>
    </row>
    <row r="7373">
      <c r="A7373" s="7" t="s">
        <v>8928</v>
      </c>
      <c r="B7373" s="5" t="s">
        <v>16848</v>
      </c>
      <c r="C7373" s="5" t="s">
        <v>24452</v>
      </c>
      <c r="D7373" s="5" t="str">
        <v>230305687833</v>
      </c>
      <c r="E7373" s="0" t="e">
        <f>+7 (3472) 165874
+7 (3472) 168789
+7 (495) 1287170
+7 (495) 1326716
+7 (495) 9567937
+7 (812) 2514741
+7 (812) 3310342
+7 (861) 2554567
+7 (913) 4387265
+7 (915) 4387265
+7 (800) 2500001
+7 (800) 2500100
+7 (861) 2500001
+7 (861) 3659911
+7 (905) 4755545</f>
        <v>#NAME?</v>
      </c>
      <c r="F7373" s="5" t="s">
        <v>46716</v>
      </c>
      <c r="G7373" s="5" t="s">
        <v>46717</v>
      </c>
      <c r="H7373" s="26">
        <v>12</v>
      </c>
      <c r="I7373" s="5" t="s">
        <v>46718</v>
      </c>
      <c r="J7373" s="5" t="s">
        <v>25429</v>
      </c>
      <c r="K7373" s="5" t="s">
        <v>344</v>
      </c>
      <c r="L7373" s="5" t="s">
        <v>46719</v>
      </c>
      <c r="M7373" s="27">
        <v>186753465</v>
      </c>
      <c r="N7373" s="5" t="s">
        <v>60333</v>
      </c>
      <c r="O7373" s="5" t="str">
        <v>2312178145</v>
      </c>
      <c r="P7373" s="27">
        <v>102000</v>
      </c>
      <c r="Q7373" s="5" t="s">
        <v>60334</v>
      </c>
      <c r="R7373" s="5"/>
      <c r="S7373" s="5" t="s">
        <v>60335</v>
      </c>
      <c r="T7373" s="28">
        <v>406839000</v>
      </c>
      <c r="U7373" s="28"/>
      <c r="V7373" s="28">
        <v>1960057000</v>
      </c>
      <c r="W7373" s="28">
        <v>22402000</v>
      </c>
      <c r="X7373" s="28">
        <v>23049000</v>
      </c>
      <c r="Y7373" s="28">
        <v>5268960000</v>
      </c>
      <c r="Z7373" s="28">
        <v>1635879000</v>
      </c>
      <c r="AA7373" s="28"/>
      <c r="AB7373" s="28">
        <v>889486000</v>
      </c>
      <c r="AC7373" s="28">
        <v>3547156000</v>
      </c>
      <c r="AD7373" s="28">
        <v>1635981000</v>
      </c>
      <c r="AE7373" s="28">
        <v>14226422000</v>
      </c>
      <c r="AF7373" s="28">
        <v>277854000</v>
      </c>
      <c r="AG7373" s="11"/>
    </row>
    <row r="7374">
      <c r="A7374" s="7" t="s">
        <v>8929</v>
      </c>
      <c r="B7374" s="5" t="s">
        <v>16849</v>
      </c>
      <c r="C7374" s="5" t="s">
        <v>24453</v>
      </c>
      <c r="D7374" s="5" t="str">
        <v>771206463470</v>
      </c>
      <c r="E7374" s="0" t="e">
        <f>+7 (495) 7900030
+7 (495) 9300030
+7 (495) 9700033
+7 (495) 9700070
+7 (495) 9700880
+7 (495) 9703032
+7 (495) 9770003
+7 (495) 9700003
+7 (495) 9700032
+7 (495) 9703000
+7 (495) 9709030</f>
        <v>#NAME?</v>
      </c>
      <c r="F7374" s="5" t="s">
        <v>46720</v>
      </c>
      <c r="G7374" s="5" t="s">
        <v>46721</v>
      </c>
      <c r="H7374" s="26">
        <v>17</v>
      </c>
      <c r="I7374" s="5"/>
      <c r="J7374" s="5" t="s">
        <v>25429</v>
      </c>
      <c r="K7374" s="5" t="s">
        <v>344</v>
      </c>
      <c r="L7374" s="5" t="s">
        <v>46722</v>
      </c>
      <c r="M7374" s="27">
        <v>1670706</v>
      </c>
      <c r="N7374" s="5" t="s">
        <v>60336</v>
      </c>
      <c r="O7374" s="5" t="str">
        <v>0274110679</v>
      </c>
      <c r="P7374" s="27">
        <v>37792603</v>
      </c>
      <c r="Q7374" s="5" t="s">
        <v>60337</v>
      </c>
      <c r="R7374" s="5"/>
      <c r="S7374" s="5" t="s">
        <v>60338</v>
      </c>
      <c r="T7374" s="28">
        <v>1778626000</v>
      </c>
      <c r="U7374" s="28">
        <v>16413930000</v>
      </c>
      <c r="V7374" s="28">
        <v>80435101000</v>
      </c>
      <c r="W7374" s="28">
        <v>22436304000</v>
      </c>
      <c r="X7374" s="28">
        <v>42076921000</v>
      </c>
      <c r="Y7374" s="28">
        <v>183958839000</v>
      </c>
      <c r="Z7374" s="28">
        <v>53872580000</v>
      </c>
      <c r="AA7374" s="28"/>
      <c r="AB7374" s="28">
        <v>19776232000</v>
      </c>
      <c r="AC7374" s="28">
        <v>128477456000</v>
      </c>
      <c r="AD7374" s="28">
        <v>53912952000</v>
      </c>
      <c r="AE7374" s="28">
        <v>135010136000</v>
      </c>
      <c r="AF7374" s="28">
        <v>49211909000</v>
      </c>
      <c r="AG7374" s="11"/>
    </row>
    <row r="7375">
      <c r="A7375" s="7" t="s">
        <v>8930</v>
      </c>
      <c r="B7375" s="5" t="s">
        <v>16850</v>
      </c>
      <c r="C7375" s="5" t="s">
        <v>24454</v>
      </c>
      <c r="D7375" s="5" t="str">
        <v>772707373607</v>
      </c>
      <c r="E7375" s="0" t="e">
        <f>+7 (495) 5898221
+7 (495) 5898220
+7 (495) 9090338
+7 (499) 9050056</f>
        <v>#NAME?</v>
      </c>
      <c r="F7375" s="5" t="s">
        <v>46723</v>
      </c>
      <c r="G7375" s="5" t="s">
        <v>46724</v>
      </c>
      <c r="H7375" s="26">
        <v>19</v>
      </c>
      <c r="I7375" s="5" t="s">
        <v>46725</v>
      </c>
      <c r="J7375" s="5" t="s">
        <v>25429</v>
      </c>
      <c r="K7375" s="5" t="s">
        <v>344</v>
      </c>
      <c r="L7375" s="5" t="s">
        <v>46726</v>
      </c>
      <c r="M7375" s="27">
        <v>8000000</v>
      </c>
      <c r="N7375" s="5" t="s">
        <v>60339</v>
      </c>
      <c r="O7375" s="5" t="str">
        <v>7713514202</v>
      </c>
      <c r="P7375" s="27">
        <v>2000000</v>
      </c>
      <c r="Q7375" s="5" t="s">
        <v>49021</v>
      </c>
      <c r="R7375" s="5"/>
      <c r="S7375" s="5" t="s">
        <v>58827</v>
      </c>
      <c r="T7375" s="28">
        <v>4432000</v>
      </c>
      <c r="U7375" s="28"/>
      <c r="V7375" s="28">
        <v>105337000</v>
      </c>
      <c r="W7375" s="28"/>
      <c r="X7375" s="28">
        <v>4770000</v>
      </c>
      <c r="Y7375" s="28">
        <v>310790000</v>
      </c>
      <c r="Z7375" s="28">
        <v>67458000</v>
      </c>
      <c r="AA7375" s="28"/>
      <c r="AB7375" s="28">
        <v>26000</v>
      </c>
      <c r="AC7375" s="28">
        <v>241256000</v>
      </c>
      <c r="AD7375" s="28">
        <v>69458000</v>
      </c>
      <c r="AE7375" s="28">
        <v>3837581000</v>
      </c>
      <c r="AF7375" s="28">
        <v>40116000</v>
      </c>
      <c r="AG7375" s="11"/>
    </row>
    <row r="7376">
      <c r="A7376" s="7" t="s">
        <v>8931</v>
      </c>
      <c r="B7376" s="5" t="s">
        <v>16851</v>
      </c>
      <c r="C7376" s="5" t="s">
        <v>24455</v>
      </c>
      <c r="D7376" s="5" t="str">
        <v>501721153802</v>
      </c>
      <c r="E7376" s="0" t="e">
        <f>+7 (495) 1144426
+7 (495) 1314442
+7 (495) 1344425
+7 (495) 1344428
+7 (495) 1344626
+7 (495) 9567937
+7 (495) 1344416
+7 (962) 1745229</f>
        <v>#NAME?</v>
      </c>
      <c r="F7376" s="5" t="s">
        <v>46727</v>
      </c>
      <c r="G7376" s="5" t="s">
        <v>46728</v>
      </c>
      <c r="H7376" s="26">
        <v>10</v>
      </c>
      <c r="I7376" s="5" t="s">
        <v>46729</v>
      </c>
      <c r="J7376" s="5" t="s">
        <v>25429</v>
      </c>
      <c r="K7376" s="5" t="s">
        <v>344</v>
      </c>
      <c r="L7376" s="5" t="s">
        <v>46730</v>
      </c>
      <c r="M7376" s="27">
        <v>9837013</v>
      </c>
      <c r="N7376" s="5" t="s">
        <v>55720</v>
      </c>
      <c r="O7376" s="5" t="str">
        <v>7106526780</v>
      </c>
      <c r="P7376" s="27">
        <v>51407000</v>
      </c>
      <c r="Q7376" s="5" t="s">
        <v>60340</v>
      </c>
      <c r="R7376" s="5"/>
      <c r="S7376" s="5" t="s">
        <v>60341</v>
      </c>
      <c r="T7376" s="28">
        <v>216965000</v>
      </c>
      <c r="U7376" s="28"/>
      <c r="V7376" s="28">
        <v>5074502000</v>
      </c>
      <c r="W7376" s="28"/>
      <c r="X7376" s="28">
        <v>7443000</v>
      </c>
      <c r="Y7376" s="28">
        <v>7206216000</v>
      </c>
      <c r="Z7376" s="28">
        <v>932270000</v>
      </c>
      <c r="AA7376" s="28">
        <v>3102380000</v>
      </c>
      <c r="AB7376" s="28">
        <v>105049000</v>
      </c>
      <c r="AC7376" s="28">
        <v>2973589000</v>
      </c>
      <c r="AD7376" s="28">
        <v>983677000</v>
      </c>
      <c r="AE7376" s="28">
        <v>16505507000</v>
      </c>
      <c r="AF7376" s="28">
        <v>325031000</v>
      </c>
      <c r="AG7376" s="11"/>
    </row>
    <row r="7377">
      <c r="A7377" s="7" t="s">
        <v>8932</v>
      </c>
      <c r="B7377" s="5" t="s">
        <v>16852</v>
      </c>
      <c r="C7377" s="5" t="s">
        <v>24456</v>
      </c>
      <c r="D7377" s="5" t="str">
        <v>263602855958</v>
      </c>
      <c r="E7377" s="0" t="e">
        <f>+7 (391) 2778836
+7 (391) 2777303
+7 (391) 2777812
+7 (391) 2778747
+7 (391) 2778748
+7 (391) 2778835
+7 (913) 5370448</f>
        <v>#NAME?</v>
      </c>
      <c r="F7377" s="5" t="s">
        <v>46731</v>
      </c>
      <c r="G7377" s="5"/>
      <c r="H7377" s="26">
        <v>17</v>
      </c>
      <c r="I7377" s="5"/>
      <c r="J7377" s="5" t="s">
        <v>364</v>
      </c>
      <c r="K7377" s="5" t="s">
        <v>344</v>
      </c>
      <c r="L7377" s="5" t="s">
        <v>46732</v>
      </c>
      <c r="M7377" s="27"/>
      <c r="N7377" s="5" t="s">
        <v>60342</v>
      </c>
      <c r="O7377" s="5" t="str">
        <v>2465096588</v>
      </c>
      <c r="P7377" s="27">
        <v>500000</v>
      </c>
      <c r="Q7377" s="5" t="s">
        <v>60343</v>
      </c>
      <c r="R7377" s="5"/>
      <c r="S7377" s="5" t="s">
        <v>60344</v>
      </c>
      <c r="T7377" s="28">
        <v>502768000</v>
      </c>
      <c r="U7377" s="28"/>
      <c r="V7377" s="28">
        <v>1700310000</v>
      </c>
      <c r="W7377" s="28">
        <v>10000000</v>
      </c>
      <c r="X7377" s="28">
        <v>803086000</v>
      </c>
      <c r="Y7377" s="28">
        <v>4070165000</v>
      </c>
      <c r="Z7377" s="28">
        <v>2681128000</v>
      </c>
      <c r="AA7377" s="28"/>
      <c r="AB7377" s="28"/>
      <c r="AC7377" s="28">
        <v>1321287000</v>
      </c>
      <c r="AD7377" s="28">
        <v>2681628000</v>
      </c>
      <c r="AE7377" s="28">
        <v>5511850000</v>
      </c>
      <c r="AF7377" s="28">
        <v>1842297000</v>
      </c>
      <c r="AG7377" s="11"/>
    </row>
    <row r="7378">
      <c r="A7378" s="7" t="s">
        <v>8933</v>
      </c>
      <c r="B7378" s="5" t="s">
        <v>16853</v>
      </c>
      <c r="C7378" s="5" t="s">
        <v>24457</v>
      </c>
      <c r="D7378" s="5" t="str">
        <v>772593845606</v>
      </c>
      <c r="F7378" s="5"/>
      <c r="G7378" s="5"/>
      <c r="H7378" s="26">
        <v>6</v>
      </c>
      <c r="I7378" s="5" t="s">
        <v>46733</v>
      </c>
      <c r="J7378" s="5" t="s">
        <v>364</v>
      </c>
      <c r="K7378" s="5" t="s">
        <v>344</v>
      </c>
      <c r="L7378" s="5" t="s">
        <v>30379</v>
      </c>
      <c r="M7378" s="27">
        <v>12500</v>
      </c>
      <c r="N7378" s="5"/>
      <c r="O7378" s="5" t="str">
        <v>7704409716</v>
      </c>
      <c r="P7378" s="27">
        <v>100000</v>
      </c>
      <c r="Q7378" s="5" t="s">
        <v>447</v>
      </c>
      <c r="R7378" s="5"/>
      <c r="S7378" s="5" t="s">
        <v>60345</v>
      </c>
      <c r="T7378" s="28">
        <v>80214000</v>
      </c>
      <c r="U7378" s="28"/>
      <c r="V7378" s="28">
        <v>1559817000</v>
      </c>
      <c r="W7378" s="28">
        <v>7335000</v>
      </c>
      <c r="X7378" s="28">
        <v>269803000</v>
      </c>
      <c r="Y7378" s="28">
        <v>3454683000</v>
      </c>
      <c r="Z7378" s="28">
        <v>121685000</v>
      </c>
      <c r="AA7378" s="28"/>
      <c r="AB7378" s="28">
        <v>12000</v>
      </c>
      <c r="AC7378" s="28">
        <v>3310117000</v>
      </c>
      <c r="AD7378" s="28">
        <v>121785000</v>
      </c>
      <c r="AE7378" s="28">
        <v>3086251000</v>
      </c>
      <c r="AF7378" s="28">
        <v>55962000</v>
      </c>
      <c r="AG7378" s="11"/>
    </row>
    <row r="7379">
      <c r="A7379" s="7" t="s">
        <v>8934</v>
      </c>
      <c r="B7379" s="5" t="s">
        <v>16854</v>
      </c>
      <c r="C7379" s="5" t="s">
        <v>24458</v>
      </c>
      <c r="D7379" s="5" t="str">
        <v>500908205687</v>
      </c>
      <c r="E7379" s="0" t="e">
        <f>+7 (495) 9335399</f>
        <v>#NAME?</v>
      </c>
      <c r="F7379" s="5" t="s">
        <v>46734</v>
      </c>
      <c r="G7379" s="5"/>
      <c r="H7379" s="26">
        <v>6.5</v>
      </c>
      <c r="I7379" s="5" t="s">
        <v>46735</v>
      </c>
      <c r="J7379" s="5" t="s">
        <v>487</v>
      </c>
      <c r="K7379" s="5" t="s">
        <v>344</v>
      </c>
      <c r="L7379" s="5" t="s">
        <v>46736</v>
      </c>
      <c r="M7379" s="27"/>
      <c r="N7379" s="5" t="s">
        <v>60346</v>
      </c>
      <c r="O7379" s="5" t="str">
        <v>7726380108</v>
      </c>
      <c r="P7379" s="27">
        <v>1000000</v>
      </c>
      <c r="Q7379" s="5"/>
      <c r="R7379" s="5"/>
      <c r="S7379" s="5" t="s">
        <v>50096</v>
      </c>
      <c r="T7379" s="28">
        <v>84524000</v>
      </c>
      <c r="U7379" s="28">
        <v>8673000</v>
      </c>
      <c r="V7379" s="28">
        <v>945057000</v>
      </c>
      <c r="W7379" s="28">
        <v>6500000</v>
      </c>
      <c r="X7379" s="28">
        <v>226527000</v>
      </c>
      <c r="Y7379" s="28">
        <v>3500977000</v>
      </c>
      <c r="Z7379" s="28">
        <v>478354000</v>
      </c>
      <c r="AA7379" s="28"/>
      <c r="AB7379" s="28"/>
      <c r="AC7379" s="28">
        <v>2785308000</v>
      </c>
      <c r="AD7379" s="28">
        <v>478364000</v>
      </c>
      <c r="AE7379" s="28">
        <v>4935472000</v>
      </c>
      <c r="AF7379" s="28">
        <v>386771000</v>
      </c>
      <c r="AG7379" s="11"/>
    </row>
    <row r="7380">
      <c r="A7380" s="7" t="s">
        <v>8935</v>
      </c>
      <c r="B7380" s="5" t="s">
        <v>16855</v>
      </c>
      <c r="C7380" s="5" t="s">
        <v>24459</v>
      </c>
      <c r="D7380" s="5" t="str">
        <v>263600310081</v>
      </c>
      <c r="E7380" s="0" t="e">
        <f>+7 (499) 2613045
+7 (499) 2613358
+7 (915) 3887286
+7 (495) 6541214
+7 (499) 6782950
+7 (499) 6783277
+7 (904) 5154034
+7 (916) 1216549</f>
        <v>#NAME?</v>
      </c>
      <c r="F7380" s="5" t="s">
        <v>46737</v>
      </c>
      <c r="G7380" s="5" t="s">
        <v>46738</v>
      </c>
      <c r="H7380" s="26">
        <v>23</v>
      </c>
      <c r="I7380" s="5" t="s">
        <v>46739</v>
      </c>
      <c r="J7380" s="5" t="s">
        <v>26308</v>
      </c>
      <c r="K7380" s="5" t="s">
        <v>344</v>
      </c>
      <c r="L7380" s="5"/>
      <c r="M7380" s="27">
        <v>3044239</v>
      </c>
      <c r="N7380" s="5" t="s">
        <v>50111</v>
      </c>
      <c r="O7380" s="5" t="str">
        <v>7703234453</v>
      </c>
      <c r="P7380" s="27">
        <v>1008400</v>
      </c>
      <c r="Q7380" s="5" t="s">
        <v>49688</v>
      </c>
      <c r="R7380" s="5"/>
      <c r="S7380" s="5" t="s">
        <v>60347</v>
      </c>
      <c r="T7380" s="28">
        <v>250362000</v>
      </c>
      <c r="U7380" s="28">
        <v>1486806000</v>
      </c>
      <c r="V7380" s="28">
        <v>548948000</v>
      </c>
      <c r="W7380" s="28"/>
      <c r="X7380" s="28">
        <v>6682000</v>
      </c>
      <c r="Y7380" s="28">
        <v>2715288000</v>
      </c>
      <c r="Z7380" s="28">
        <v>794100000</v>
      </c>
      <c r="AA7380" s="28">
        <v>778126000</v>
      </c>
      <c r="AB7380" s="28">
        <v>299961000</v>
      </c>
      <c r="AC7380" s="28">
        <v>1100657000</v>
      </c>
      <c r="AD7380" s="28">
        <v>795109000</v>
      </c>
      <c r="AE7380" s="28">
        <v>3498957000</v>
      </c>
      <c r="AF7380" s="28">
        <v>9832000</v>
      </c>
      <c r="AG7380" s="11"/>
    </row>
    <row r="7381">
      <c r="A7381" s="7" t="s">
        <v>8936</v>
      </c>
      <c r="B7381" s="5" t="s">
        <v>16856</v>
      </c>
      <c r="C7381" s="5" t="s">
        <v>24460</v>
      </c>
      <c r="D7381" s="5" t="str">
        <v>772072538701</v>
      </c>
      <c r="E7381" s="0" t="e">
        <f>+7 (495) 1339811
+7 (965) 1793445</f>
        <v>#NAME?</v>
      </c>
      <c r="F7381" s="5" t="s">
        <v>46740</v>
      </c>
      <c r="G7381" s="5" t="s">
        <v>46741</v>
      </c>
      <c r="H7381" s="26">
        <v>5</v>
      </c>
      <c r="I7381" s="5" t="s">
        <v>46742</v>
      </c>
      <c r="J7381" s="5" t="s">
        <v>25259</v>
      </c>
      <c r="K7381" s="5" t="s">
        <v>344</v>
      </c>
      <c r="L7381" s="5" t="s">
        <v>46743</v>
      </c>
      <c r="M7381" s="27"/>
      <c r="N7381" s="5"/>
      <c r="O7381" s="5" t="str">
        <v>7743235414</v>
      </c>
      <c r="P7381" s="27">
        <v>100000</v>
      </c>
      <c r="Q7381" s="5" t="s">
        <v>49021</v>
      </c>
      <c r="R7381" s="5"/>
      <c r="S7381" s="5" t="s">
        <v>60348</v>
      </c>
      <c r="T7381" s="28">
        <v>6333000</v>
      </c>
      <c r="U7381" s="28">
        <v>2000</v>
      </c>
      <c r="V7381" s="28">
        <v>213062000</v>
      </c>
      <c r="W7381" s="28"/>
      <c r="X7381" s="28">
        <v>15523000</v>
      </c>
      <c r="Y7381" s="28">
        <v>2803036000</v>
      </c>
      <c r="Z7381" s="28">
        <v>130656000</v>
      </c>
      <c r="AA7381" s="28">
        <v>370050000</v>
      </c>
      <c r="AB7381" s="28">
        <v>1621000</v>
      </c>
      <c r="AC7381" s="28">
        <v>2298635000</v>
      </c>
      <c r="AD7381" s="28">
        <v>130756000</v>
      </c>
      <c r="AE7381" s="28">
        <v>5700613000</v>
      </c>
      <c r="AF7381" s="28">
        <v>83104000</v>
      </c>
      <c r="AG7381" s="11"/>
    </row>
    <row r="7382">
      <c r="A7382" s="7" t="s">
        <v>8937</v>
      </c>
      <c r="B7382" s="5" t="s">
        <v>16857</v>
      </c>
      <c r="C7382" s="5" t="s">
        <v>24461</v>
      </c>
      <c r="D7382" s="5" t="str">
        <v>032609992918</v>
      </c>
      <c r="E7382" s="0" t="e">
        <f>+7 (985) 6973399
+7 (301) 2211608</f>
        <v>#NAME?</v>
      </c>
      <c r="F7382" s="5" t="s">
        <v>46744</v>
      </c>
      <c r="G7382" s="5"/>
      <c r="H7382" s="26">
        <v>29</v>
      </c>
      <c r="I7382" s="5" t="s">
        <v>28630</v>
      </c>
      <c r="J7382" s="5" t="s">
        <v>755</v>
      </c>
      <c r="K7382" s="5"/>
      <c r="L7382" s="5"/>
      <c r="M7382" s="27">
        <v>48000</v>
      </c>
      <c r="N7382" s="5" t="s">
        <v>60349</v>
      </c>
      <c r="O7382" s="5" t="str">
        <v>0323045827</v>
      </c>
      <c r="P7382" s="27"/>
      <c r="Q7382" s="5"/>
      <c r="R7382" s="5" t="s">
        <v>60350</v>
      </c>
      <c r="S7382" s="5" t="s">
        <v>49125</v>
      </c>
      <c r="T7382" s="28">
        <v>340196000</v>
      </c>
      <c r="U7382" s="28"/>
      <c r="V7382" s="28">
        <v>76144000</v>
      </c>
      <c r="W7382" s="28">
        <v>5300000</v>
      </c>
      <c r="X7382" s="28">
        <v>6465154000</v>
      </c>
      <c r="Y7382" s="28">
        <v>619317323000</v>
      </c>
      <c r="Z7382" s="28"/>
      <c r="AA7382" s="28"/>
      <c r="AB7382" s="28"/>
      <c r="AC7382" s="28"/>
      <c r="AD7382" s="28">
        <v>636894015000</v>
      </c>
      <c r="AE7382" s="28">
        <v>22624700000</v>
      </c>
      <c r="AF7382" s="28">
        <v>-2565991000</v>
      </c>
      <c r="AG7382" s="11"/>
    </row>
    <row r="7383">
      <c r="A7383" s="7" t="s">
        <v>8938</v>
      </c>
      <c r="B7383" s="5" t="s">
        <v>16858</v>
      </c>
      <c r="C7383" s="5" t="s">
        <v>24462</v>
      </c>
      <c r="D7383" s="5" t="str">
        <v>772742007530</v>
      </c>
      <c r="E7383" s="0" t="e">
        <f>+7 (343) 2584943
+7 (343) 3807144
+7 (473) 2651660
+7 (499) 2621777
+7 (800) 2504777
+7 (812) 4586677
+7 (831) 2331515
+7 (84630) 30445
+7 (8632) 382838</f>
        <v>#NAME?</v>
      </c>
      <c r="F7383" s="5" t="s">
        <v>46745</v>
      </c>
      <c r="G7383" s="5" t="s">
        <v>46746</v>
      </c>
      <c r="H7383" s="26">
        <v>12.5</v>
      </c>
      <c r="I7383" s="5"/>
      <c r="J7383" s="5" t="s">
        <v>30672</v>
      </c>
      <c r="K7383" s="5" t="s">
        <v>344</v>
      </c>
      <c r="L7383" s="5"/>
      <c r="M7383" s="27">
        <v>3530616</v>
      </c>
      <c r="N7383" s="5" t="s">
        <v>60351</v>
      </c>
      <c r="O7383" s="5" t="str">
        <v>6659209750</v>
      </c>
      <c r="P7383" s="27">
        <v>67013855049</v>
      </c>
      <c r="Q7383" s="5" t="s">
        <v>60352</v>
      </c>
      <c r="R7383" s="5"/>
      <c r="S7383" s="5" t="s">
        <v>60353</v>
      </c>
      <c r="T7383" s="28">
        <v>155717661000</v>
      </c>
      <c r="U7383" s="28"/>
      <c r="V7383" s="28">
        <v>2820657000</v>
      </c>
      <c r="W7383" s="28"/>
      <c r="X7383" s="28">
        <v>11469680000</v>
      </c>
      <c r="Y7383" s="28">
        <v>226150112000</v>
      </c>
      <c r="Z7383" s="28">
        <v>79979041000</v>
      </c>
      <c r="AA7383" s="28">
        <v>10820000000</v>
      </c>
      <c r="AB7383" s="28">
        <v>1046486000</v>
      </c>
      <c r="AC7383" s="28">
        <v>24219170000</v>
      </c>
      <c r="AD7383" s="28">
        <v>152809974000</v>
      </c>
      <c r="AE7383" s="28">
        <v>99300843000</v>
      </c>
      <c r="AF7383" s="28">
        <v>41256367000</v>
      </c>
      <c r="AG7383" s="11"/>
    </row>
    <row r="7384">
      <c r="A7384" s="7" t="s">
        <v>8939</v>
      </c>
      <c r="B7384" s="5" t="s">
        <v>16859</v>
      </c>
      <c r="C7384" s="5" t="s">
        <v>24463</v>
      </c>
      <c r="D7384" s="5" t="str">
        <v>773317031920</v>
      </c>
      <c r="E7384" s="0" t="e">
        <f>+7 (3472) 291310
+7 (3652) 663525
+7 (383) 2993467
+7 (384) 2772189
+7 (384) 2773580
+7 (385) 2393459
+7 (3952) 632987
+7 (421) 2383947
+7 (343) 3585802
+7 (3472) 291627
+7 (3512) 684816
+7 (384) 2323039
+7 (385) 2293459
+7 (3952) 634200
+7 (421) 2415438</f>
        <v>#NAME?</v>
      </c>
      <c r="F7384" s="5" t="s">
        <v>46747</v>
      </c>
      <c r="G7384" s="5"/>
      <c r="H7384" s="26">
        <v>20</v>
      </c>
      <c r="I7384" s="5"/>
      <c r="J7384" s="5" t="s">
        <v>46126</v>
      </c>
      <c r="K7384" s="5" t="s">
        <v>344</v>
      </c>
      <c r="L7384" s="5"/>
      <c r="M7384" s="27">
        <v>14456774</v>
      </c>
      <c r="N7384" s="5" t="s">
        <v>60354</v>
      </c>
      <c r="O7384" s="5" t="str">
        <v>7701330105</v>
      </c>
      <c r="P7384" s="27">
        <v>2189798565</v>
      </c>
      <c r="Q7384" s="5" t="s">
        <v>60355</v>
      </c>
      <c r="R7384" s="5"/>
      <c r="S7384" s="5" t="s">
        <v>60356</v>
      </c>
      <c r="T7384" s="28">
        <v>4434577000</v>
      </c>
      <c r="U7384" s="28"/>
      <c r="V7384" s="28">
        <v>4453938000</v>
      </c>
      <c r="W7384" s="28"/>
      <c r="X7384" s="28">
        <v>3224659000</v>
      </c>
      <c r="Y7384" s="28">
        <v>12822949000</v>
      </c>
      <c r="Z7384" s="28">
        <v>3283599000</v>
      </c>
      <c r="AA7384" s="28"/>
      <c r="AB7384" s="28"/>
      <c r="AC7384" s="28">
        <v>6021721000</v>
      </c>
      <c r="AD7384" s="28">
        <v>5611112000</v>
      </c>
      <c r="AE7384" s="28">
        <v>36721148000</v>
      </c>
      <c r="AF7384" s="28">
        <v>280853000</v>
      </c>
      <c r="AG7384" s="11"/>
    </row>
    <row r="7385">
      <c r="A7385" s="7" t="s">
        <v>8940</v>
      </c>
      <c r="B7385" s="5" t="s">
        <v>16860</v>
      </c>
      <c r="C7385" s="5" t="s">
        <v>24464</v>
      </c>
      <c r="D7385" s="5" t="str">
        <v>771546224896</v>
      </c>
      <c r="E7385" s="0" t="e">
        <f>+7 (424) 2312060
+7 (424) 2312061
+7 (424) 2312062
+7 (424) 2312071
+7 (499) 6826017
+7 (812) 2402938
+7 (815) 2777046</f>
        <v>#NAME?</v>
      </c>
      <c r="F7385" s="5" t="s">
        <v>46748</v>
      </c>
      <c r="G7385" s="5" t="s">
        <v>46749</v>
      </c>
      <c r="H7385" s="26">
        <v>18.5</v>
      </c>
      <c r="I7385" s="5" t="s">
        <v>46750</v>
      </c>
      <c r="J7385" s="5" t="s">
        <v>46751</v>
      </c>
      <c r="K7385" s="5" t="s">
        <v>355</v>
      </c>
      <c r="L7385" s="5"/>
      <c r="M7385" s="27"/>
      <c r="N7385" s="5"/>
      <c r="O7385" s="5" t="str">
        <v>6501152580</v>
      </c>
      <c r="P7385" s="27">
        <v>100000</v>
      </c>
      <c r="Q7385" s="5"/>
      <c r="R7385" s="5"/>
      <c r="S7385" s="5" t="s">
        <v>49195</v>
      </c>
      <c r="T7385" s="28">
        <v>10433333000</v>
      </c>
      <c r="U7385" s="28"/>
      <c r="V7385" s="28">
        <v>2007499000</v>
      </c>
      <c r="W7385" s="28">
        <v>48300000</v>
      </c>
      <c r="X7385" s="28">
        <v>1332581000</v>
      </c>
      <c r="Y7385" s="28">
        <v>16205501000</v>
      </c>
      <c r="Z7385" s="28">
        <v>444833000</v>
      </c>
      <c r="AA7385" s="28">
        <v>305000000</v>
      </c>
      <c r="AB7385" s="28">
        <v>1680000</v>
      </c>
      <c r="AC7385" s="28">
        <v>5607159000</v>
      </c>
      <c r="AD7385" s="28">
        <v>444933000</v>
      </c>
      <c r="AE7385" s="28">
        <v>7952054000</v>
      </c>
      <c r="AF7385" s="28">
        <v>128818000</v>
      </c>
      <c r="AG7385" s="11"/>
    </row>
    <row r="7386">
      <c r="A7386" s="7" t="s">
        <v>8941</v>
      </c>
      <c r="B7386" s="5" t="s">
        <v>16861</v>
      </c>
      <c r="C7386" s="5" t="s">
        <v>21709</v>
      </c>
      <c r="D7386" s="5" t="str">
        <v>410100393183</v>
      </c>
      <c r="E7386" s="0" t="e">
        <f>+7 (415) 2421183
+7 (415) 2421188</f>
        <v>#NAME?</v>
      </c>
      <c r="F7386" s="5" t="s">
        <v>46752</v>
      </c>
      <c r="G7386" s="5"/>
      <c r="H7386" s="26">
        <v>11.5</v>
      </c>
      <c r="I7386" s="5"/>
      <c r="J7386" s="5" t="s">
        <v>26424</v>
      </c>
      <c r="K7386" s="5" t="s">
        <v>344</v>
      </c>
      <c r="L7386" s="5" t="s">
        <v>46753</v>
      </c>
      <c r="M7386" s="27"/>
      <c r="N7386" s="5"/>
      <c r="O7386" s="5" t="str">
        <v>4101145169</v>
      </c>
      <c r="P7386" s="27">
        <v>100000</v>
      </c>
      <c r="Q7386" s="5"/>
      <c r="R7386" s="5" t="s">
        <v>60357</v>
      </c>
      <c r="S7386" s="5" t="s">
        <v>49029</v>
      </c>
      <c r="T7386" s="28">
        <v>1095868000</v>
      </c>
      <c r="U7386" s="28"/>
      <c r="V7386" s="28">
        <v>125041000</v>
      </c>
      <c r="W7386" s="28">
        <v>101500000</v>
      </c>
      <c r="X7386" s="28">
        <v>2699853000</v>
      </c>
      <c r="Y7386" s="28">
        <v>4718212000</v>
      </c>
      <c r="Z7386" s="28">
        <v>843553000</v>
      </c>
      <c r="AA7386" s="28"/>
      <c r="AB7386" s="28"/>
      <c r="AC7386" s="28">
        <v>3874554000</v>
      </c>
      <c r="AD7386" s="28">
        <v>843658000</v>
      </c>
      <c r="AE7386" s="28">
        <v>4374037000</v>
      </c>
      <c r="AF7386" s="28">
        <v>2732096000</v>
      </c>
      <c r="AG7386" s="11"/>
    </row>
    <row r="7387">
      <c r="A7387" s="7" t="s">
        <v>8942</v>
      </c>
      <c r="B7387" s="5" t="s">
        <v>16862</v>
      </c>
      <c r="C7387" s="5" t="s">
        <v>24465</v>
      </c>
      <c r="D7387" s="5" t="str">
        <v>910308072707</v>
      </c>
      <c r="E7387" s="0" t="e">
        <f>+7 (481) 2218107
+7 (481) 2270341
+7 (481) 2271361
+7 (481) 2272787
+7 (481) 2683157</f>
        <v>#NAME?</v>
      </c>
      <c r="F7387" s="5"/>
      <c r="G7387" s="5"/>
      <c r="H7387" s="26">
        <v>6.5</v>
      </c>
      <c r="I7387" s="5" t="s">
        <v>46754</v>
      </c>
      <c r="J7387" s="5" t="s">
        <v>26125</v>
      </c>
      <c r="K7387" s="5" t="s">
        <v>344</v>
      </c>
      <c r="L7387" s="5" t="s">
        <v>46755</v>
      </c>
      <c r="M7387" s="27"/>
      <c r="N7387" s="5"/>
      <c r="O7387" s="5" t="str">
        <v>6726022894</v>
      </c>
      <c r="P7387" s="27">
        <v>100000</v>
      </c>
      <c r="Q7387" s="5" t="s">
        <v>49207</v>
      </c>
      <c r="R7387" s="5"/>
      <c r="S7387" s="5" t="s">
        <v>49565</v>
      </c>
      <c r="T7387" s="28"/>
      <c r="U7387" s="28"/>
      <c r="V7387" s="28">
        <v>683231000</v>
      </c>
      <c r="W7387" s="28">
        <v>72041000</v>
      </c>
      <c r="X7387" s="28">
        <v>675000</v>
      </c>
      <c r="Y7387" s="28">
        <v>1079432000</v>
      </c>
      <c r="Z7387" s="28">
        <v>167787000</v>
      </c>
      <c r="AA7387" s="28">
        <v>1135000</v>
      </c>
      <c r="AB7387" s="28">
        <v>5107000</v>
      </c>
      <c r="AC7387" s="28">
        <v>910410000</v>
      </c>
      <c r="AD7387" s="28">
        <v>167887000</v>
      </c>
      <c r="AE7387" s="28">
        <v>4135426000</v>
      </c>
      <c r="AF7387" s="28">
        <v>18754000</v>
      </c>
      <c r="AG7387" s="11"/>
    </row>
    <row r="7388">
      <c r="A7388" s="7" t="s">
        <v>8942</v>
      </c>
      <c r="B7388" s="5" t="s">
        <v>16863</v>
      </c>
      <c r="C7388" s="5" t="s">
        <v>24466</v>
      </c>
      <c r="D7388" s="5" t="str">
        <v>772782522946</v>
      </c>
      <c r="E7388" s="0" t="e">
        <f>+7 (487) 2702512
+7 (495) 1342992
+7 (495) 6481000
+7 (800) 3332992
+7 (926) 3358216</f>
        <v>#NAME?</v>
      </c>
      <c r="F7388" s="5" t="s">
        <v>46756</v>
      </c>
      <c r="G7388" s="5" t="s">
        <v>46757</v>
      </c>
      <c r="H7388" s="26">
        <v>8.5</v>
      </c>
      <c r="I7388" s="5" t="s">
        <v>46758</v>
      </c>
      <c r="J7388" s="5" t="s">
        <v>26272</v>
      </c>
      <c r="K7388" s="5" t="s">
        <v>344</v>
      </c>
      <c r="L7388" s="5" t="s">
        <v>46759</v>
      </c>
      <c r="M7388" s="27">
        <v>18975</v>
      </c>
      <c r="N7388" s="5"/>
      <c r="O7388" s="5" t="str">
        <v>7713793524</v>
      </c>
      <c r="P7388" s="27">
        <v>33250000</v>
      </c>
      <c r="Q7388" s="5" t="s">
        <v>49009</v>
      </c>
      <c r="R7388" s="5"/>
      <c r="S7388" s="5" t="s">
        <v>49010</v>
      </c>
      <c r="T7388" s="28"/>
      <c r="U7388" s="28"/>
      <c r="V7388" s="28">
        <v>68805000</v>
      </c>
      <c r="W7388" s="28">
        <v>11084910000</v>
      </c>
      <c r="X7388" s="28">
        <v>3704734000</v>
      </c>
      <c r="Y7388" s="28">
        <v>14860050000</v>
      </c>
      <c r="Z7388" s="28">
        <v>13358774000</v>
      </c>
      <c r="AA7388" s="28">
        <v>1462100000</v>
      </c>
      <c r="AB7388" s="28">
        <v>1195000</v>
      </c>
      <c r="AC7388" s="28">
        <v>5925000</v>
      </c>
      <c r="AD7388" s="28">
        <v>13392024000</v>
      </c>
      <c r="AE7388" s="28">
        <v>10699356000</v>
      </c>
      <c r="AF7388" s="28">
        <v>5366147000</v>
      </c>
      <c r="AG7388" s="11"/>
    </row>
    <row r="7389">
      <c r="A7389" s="7" t="s">
        <v>8943</v>
      </c>
      <c r="B7389" s="5" t="s">
        <v>16864</v>
      </c>
      <c r="C7389" s="5" t="s">
        <v>24467</v>
      </c>
      <c r="D7389" s="5" t="str">
        <v>165050047276</v>
      </c>
      <c r="E7389" s="0" t="e">
        <f>+7 (855) 2380886
+7 (960) 867700
+7 (987) 2238985
+7 (800) 2509848
+7 (855) 2537700
+7 (855) 2915002
+7 (855) 2915005
+7 (917) 2344240
+7 (917) 2957700
+7 (917) 2957722
+7 (960) 836222
+7 (960) 887722
+7 (962) 5729286
+7 (965) 6147700</f>
        <v>#NAME?</v>
      </c>
      <c r="F7389" s="5" t="s">
        <v>46760</v>
      </c>
      <c r="G7389" s="5" t="s">
        <v>46761</v>
      </c>
      <c r="H7389" s="26">
        <v>12.5</v>
      </c>
      <c r="I7389" s="5" t="s">
        <v>46762</v>
      </c>
      <c r="J7389" s="5" t="s">
        <v>26229</v>
      </c>
      <c r="K7389" s="5" t="s">
        <v>344</v>
      </c>
      <c r="L7389" s="5" t="s">
        <v>46763</v>
      </c>
      <c r="M7389" s="27">
        <v>400000</v>
      </c>
      <c r="N7389" s="5" t="s">
        <v>60358</v>
      </c>
      <c r="O7389" s="5" t="str">
        <v>1650208400</v>
      </c>
      <c r="P7389" s="27">
        <v>10000</v>
      </c>
      <c r="Q7389" s="5" t="s">
        <v>60359</v>
      </c>
      <c r="R7389" s="5"/>
      <c r="S7389" s="5" t="s">
        <v>60360</v>
      </c>
      <c r="T7389" s="28">
        <v>338259000</v>
      </c>
      <c r="U7389" s="28"/>
      <c r="V7389" s="28">
        <v>702808000</v>
      </c>
      <c r="W7389" s="28">
        <v>10588000</v>
      </c>
      <c r="X7389" s="28">
        <v>29093000</v>
      </c>
      <c r="Y7389" s="28">
        <v>2456460000</v>
      </c>
      <c r="Z7389" s="28">
        <v>1502624000</v>
      </c>
      <c r="AA7389" s="28"/>
      <c r="AB7389" s="28">
        <v>98935000</v>
      </c>
      <c r="AC7389" s="28">
        <v>858103000</v>
      </c>
      <c r="AD7389" s="28">
        <v>1502634000</v>
      </c>
      <c r="AE7389" s="28">
        <v>5769237000</v>
      </c>
      <c r="AF7389" s="28">
        <v>724990000</v>
      </c>
      <c r="AG7389" s="11"/>
    </row>
    <row r="7390">
      <c r="A7390" s="7" t="s">
        <v>8944</v>
      </c>
      <c r="B7390" s="5" t="s">
        <v>16865</v>
      </c>
      <c r="C7390" s="5" t="s">
        <v>24468</v>
      </c>
      <c r="D7390" s="5" t="str">
        <v>507500577473</v>
      </c>
      <c r="E7390" s="0" t="e">
        <f>+7 (495) 6407055</f>
        <v>#NAME?</v>
      </c>
      <c r="F7390" s="5"/>
      <c r="G7390" s="5"/>
      <c r="H7390" s="26">
        <v>12.5</v>
      </c>
      <c r="I7390" s="5" t="s">
        <v>46764</v>
      </c>
      <c r="J7390" s="5" t="s">
        <v>364</v>
      </c>
      <c r="K7390" s="5" t="s">
        <v>355</v>
      </c>
      <c r="L7390" s="5" t="s">
        <v>46765</v>
      </c>
      <c r="M7390" s="27"/>
      <c r="N7390" s="5" t="s">
        <v>58668</v>
      </c>
      <c r="O7390" s="5" t="str">
        <v>7728748323</v>
      </c>
      <c r="P7390" s="27">
        <v>1000000</v>
      </c>
      <c r="Q7390" s="5" t="s">
        <v>60362</v>
      </c>
      <c r="R7390" s="5"/>
      <c r="S7390" s="5" t="s">
        <v>60363</v>
      </c>
      <c r="T7390" s="28">
        <v>4380180000</v>
      </c>
      <c r="U7390" s="28"/>
      <c r="V7390" s="28">
        <v>5029163000</v>
      </c>
      <c r="W7390" s="28">
        <v>41256000</v>
      </c>
      <c r="X7390" s="28">
        <v>2284859000</v>
      </c>
      <c r="Y7390" s="28">
        <v>13248628000</v>
      </c>
      <c r="Z7390" s="28">
        <v>2413401000</v>
      </c>
      <c r="AA7390" s="28">
        <v>1725328000</v>
      </c>
      <c r="AB7390" s="28">
        <v>10138000</v>
      </c>
      <c r="AC7390" s="28">
        <v>8574580000</v>
      </c>
      <c r="AD7390" s="28">
        <v>2498304000</v>
      </c>
      <c r="AE7390" s="28">
        <v>12764146000</v>
      </c>
      <c r="AF7390" s="28">
        <v>1265606000</v>
      </c>
      <c r="AG7390" s="11"/>
    </row>
    <row r="7391">
      <c r="A7391" s="7" t="s">
        <v>8945</v>
      </c>
      <c r="B7391" s="5" t="s">
        <v>16866</v>
      </c>
      <c r="C7391" s="5" t="s">
        <v>24469</v>
      </c>
      <c r="D7391" s="5" t="str">
        <v>614301739437</v>
      </c>
      <c r="E7391" s="0" t="e">
        <f>+7 (861) 2567581
+7 (928) 2042327</f>
        <v>#NAME?</v>
      </c>
      <c r="F7391" s="5" t="s">
        <v>46766</v>
      </c>
      <c r="G7391" s="5"/>
      <c r="H7391" s="26">
        <v>4</v>
      </c>
      <c r="I7391" s="5" t="s">
        <v>46767</v>
      </c>
      <c r="J7391" s="5" t="s">
        <v>955</v>
      </c>
      <c r="K7391" s="5" t="s">
        <v>355</v>
      </c>
      <c r="L7391" s="5" t="s">
        <v>46768</v>
      </c>
      <c r="M7391" s="27"/>
      <c r="N7391" s="5"/>
      <c r="O7391" s="5" t="str">
        <v>2311284976</v>
      </c>
      <c r="P7391" s="27">
        <v>400000</v>
      </c>
      <c r="Q7391" s="5"/>
      <c r="R7391" s="5"/>
      <c r="S7391" s="5" t="s">
        <v>49125</v>
      </c>
      <c r="T7391" s="28">
        <v>29667000</v>
      </c>
      <c r="U7391" s="28"/>
      <c r="V7391" s="28">
        <v>411446000</v>
      </c>
      <c r="W7391" s="28"/>
      <c r="X7391" s="28">
        <v>37036000</v>
      </c>
      <c r="Y7391" s="28">
        <v>792794000</v>
      </c>
      <c r="Z7391" s="28">
        <v>306248000</v>
      </c>
      <c r="AA7391" s="28"/>
      <c r="AB7391" s="28">
        <v>82079000</v>
      </c>
      <c r="AC7391" s="28">
        <v>478051000</v>
      </c>
      <c r="AD7391" s="28">
        <v>306648000</v>
      </c>
      <c r="AE7391" s="28">
        <v>5165757000</v>
      </c>
      <c r="AF7391" s="28">
        <v>267000</v>
      </c>
      <c r="AG7391" s="11"/>
    </row>
    <row r="7392">
      <c r="A7392" s="7" t="s">
        <v>8946</v>
      </c>
      <c r="B7392" s="5" t="s">
        <v>16867</v>
      </c>
      <c r="C7392" s="5" t="s">
        <v>24470</v>
      </c>
      <c r="D7392" s="5" t="str">
        <v>773606632198</v>
      </c>
      <c r="E7392" s="0" t="e">
        <f>+7 (495) 9612410
+7 (492) 2379185
+7 (492) 2379191
+7 (492) 2379192
+7 (495) 9612400
+7 (800) 7007600
+7 (964) 7210733
+7 (985) 1494184</f>
        <v>#NAME?</v>
      </c>
      <c r="F7392" s="5" t="s">
        <v>46769</v>
      </c>
      <c r="G7392" s="5" t="s">
        <v>46770</v>
      </c>
      <c r="H7392" s="26">
        <v>26</v>
      </c>
      <c r="I7392" s="5"/>
      <c r="J7392" s="5" t="s">
        <v>29202</v>
      </c>
      <c r="K7392" s="5" t="s">
        <v>344</v>
      </c>
      <c r="L7392" s="5" t="s">
        <v>46771</v>
      </c>
      <c r="M7392" s="27"/>
      <c r="N7392" s="5"/>
      <c r="O7392" s="5" t="str">
        <v>5044018861</v>
      </c>
      <c r="P7392" s="27">
        <v>1994800500</v>
      </c>
      <c r="Q7392" s="5" t="s">
        <v>49009</v>
      </c>
      <c r="R7392" s="5"/>
      <c r="S7392" s="5" t="s">
        <v>49010</v>
      </c>
      <c r="T7392" s="28">
        <v>8268082000</v>
      </c>
      <c r="U7392" s="28"/>
      <c r="V7392" s="28">
        <v>8789441000</v>
      </c>
      <c r="W7392" s="28">
        <v>6900000000</v>
      </c>
      <c r="X7392" s="28">
        <v>462595000</v>
      </c>
      <c r="Y7392" s="28">
        <v>32150354000</v>
      </c>
      <c r="Z7392" s="28">
        <v>21504740000</v>
      </c>
      <c r="AA7392" s="28"/>
      <c r="AB7392" s="28">
        <v>85000</v>
      </c>
      <c r="AC7392" s="28">
        <v>7773670000</v>
      </c>
      <c r="AD7392" s="28">
        <v>23599291000</v>
      </c>
      <c r="AE7392" s="28">
        <v>50904150000</v>
      </c>
      <c r="AF7392" s="28">
        <v>8195033000</v>
      </c>
      <c r="AG7392" s="11"/>
    </row>
    <row r="7393">
      <c r="A7393" s="7" t="s">
        <v>8947</v>
      </c>
      <c r="B7393" s="5" t="s">
        <v>16868</v>
      </c>
      <c r="C7393" s="5" t="s">
        <v>24471</v>
      </c>
      <c r="D7393" s="5" t="str">
        <v>121521556193</v>
      </c>
      <c r="E7393" s="0" t="e">
        <f>+7 (8362) 380038
+7 (800) 7000331
+7 (800) 7000549
+7 (8362) 382938
+7 (918) 9400227</f>
        <v>#NAME?</v>
      </c>
      <c r="F7393" s="5" t="s">
        <v>46772</v>
      </c>
      <c r="G7393" s="5" t="s">
        <v>46773</v>
      </c>
      <c r="H7393" s="26">
        <v>6.5</v>
      </c>
      <c r="I7393" s="5" t="s">
        <v>46774</v>
      </c>
      <c r="J7393" s="5" t="s">
        <v>44166</v>
      </c>
      <c r="K7393" s="5" t="s">
        <v>344</v>
      </c>
      <c r="L7393" s="5" t="s">
        <v>46775</v>
      </c>
      <c r="M7393" s="27">
        <v>1775183742</v>
      </c>
      <c r="N7393" s="5"/>
      <c r="O7393" s="5" t="str">
        <v>1207021256</v>
      </c>
      <c r="P7393" s="27">
        <v>66549100</v>
      </c>
      <c r="Q7393" s="5" t="s">
        <v>55643</v>
      </c>
      <c r="R7393" s="5"/>
      <c r="S7393" s="5" t="s">
        <v>60365</v>
      </c>
      <c r="T7393" s="28">
        <v>650526000</v>
      </c>
      <c r="U7393" s="28"/>
      <c r="V7393" s="28">
        <v>3669074000</v>
      </c>
      <c r="W7393" s="28"/>
      <c r="X7393" s="28">
        <v>1458000</v>
      </c>
      <c r="Y7393" s="28">
        <v>5321519000</v>
      </c>
      <c r="Z7393" s="28">
        <v>166032000</v>
      </c>
      <c r="AA7393" s="28">
        <v>996826000</v>
      </c>
      <c r="AB7393" s="28">
        <v>405352000</v>
      </c>
      <c r="AC7393" s="28">
        <v>2781581000</v>
      </c>
      <c r="AD7393" s="28">
        <v>232581000</v>
      </c>
      <c r="AE7393" s="28">
        <v>7677500000</v>
      </c>
      <c r="AF7393" s="28">
        <v>104000</v>
      </c>
      <c r="AG7393" s="11"/>
    </row>
    <row r="7394">
      <c r="A7394" s="7" t="s">
        <v>8948</v>
      </c>
      <c r="B7394" s="5" t="s">
        <v>16869</v>
      </c>
      <c r="C7394" s="5" t="s">
        <v>24472</v>
      </c>
      <c r="D7394" s="5" t="str">
        <v>645317174977</v>
      </c>
      <c r="E7394" s="0" t="e">
        <f>+7 (921) 4218675
+7 (8482) 388140
+7 (964) 9120324</f>
        <v>#NAME?</v>
      </c>
      <c r="F7394" s="5" t="s">
        <v>46776</v>
      </c>
      <c r="G7394" s="5"/>
      <c r="H7394" s="26">
        <v>3.5</v>
      </c>
      <c r="I7394" s="5" t="s">
        <v>46777</v>
      </c>
      <c r="J7394" s="5" t="s">
        <v>44166</v>
      </c>
      <c r="K7394" s="5" t="s">
        <v>355</v>
      </c>
      <c r="L7394" s="5" t="s">
        <v>46778</v>
      </c>
      <c r="M7394" s="27">
        <v>68389564</v>
      </c>
      <c r="N7394" s="5" t="s">
        <v>60366</v>
      </c>
      <c r="O7394" s="5" t="str">
        <v>6324104160</v>
      </c>
      <c r="P7394" s="27">
        <v>200010000</v>
      </c>
      <c r="Q7394" s="5" t="s">
        <v>55514</v>
      </c>
      <c r="R7394" s="5"/>
      <c r="S7394" s="5" t="s">
        <v>60368</v>
      </c>
      <c r="T7394" s="28">
        <v>4943105000</v>
      </c>
      <c r="U7394" s="28"/>
      <c r="V7394" s="28">
        <v>1655804000</v>
      </c>
      <c r="W7394" s="28"/>
      <c r="X7394" s="28">
        <v>2680000</v>
      </c>
      <c r="Y7394" s="28">
        <v>7975880000</v>
      </c>
      <c r="Z7394" s="28">
        <v>782898000</v>
      </c>
      <c r="AA7394" s="28">
        <v>1688610000</v>
      </c>
      <c r="AB7394" s="28">
        <v>1368848000</v>
      </c>
      <c r="AC7394" s="28">
        <v>4698118000</v>
      </c>
      <c r="AD7394" s="28">
        <v>1303728000</v>
      </c>
      <c r="AE7394" s="28">
        <v>4576749000</v>
      </c>
      <c r="AF7394" s="28">
        <v>474166000</v>
      </c>
      <c r="AG7394" s="11"/>
    </row>
    <row r="7395">
      <c r="A7395" s="7" t="s">
        <v>8949</v>
      </c>
      <c r="B7395" s="5" t="s">
        <v>16870</v>
      </c>
      <c r="C7395" s="5" t="s">
        <v>24473</v>
      </c>
      <c r="D7395" s="5" t="str">
        <v>380406089457</v>
      </c>
      <c r="E7395" s="0" t="e">
        <f>+7 (343) 3182852
+7 (3512) 20113
+7 (383) 3631261
+7 (385) 2730140
+7 (3952) 288396
+7 (401) 2720344
+7 (421) 2260545
+7 (4232) 546909
+7 (4712) 770420
+7 (473) 2045470
+7 (499) 7033872
+7 (812) 3091458
+7 (8362) 380038
+7 (8432) 60353
+7 (844) 2268709</f>
        <v>#NAME?</v>
      </c>
      <c r="F7395" s="5" t="s">
        <v>46779</v>
      </c>
      <c r="G7395" s="5" t="s">
        <v>46780</v>
      </c>
      <c r="H7395" s="26">
        <v>16.5</v>
      </c>
      <c r="I7395" s="5" t="s">
        <v>46781</v>
      </c>
      <c r="J7395" s="5" t="s">
        <v>693</v>
      </c>
      <c r="K7395" s="5" t="s">
        <v>380</v>
      </c>
      <c r="L7395" s="5"/>
      <c r="M7395" s="27">
        <v>1756020889</v>
      </c>
      <c r="N7395" s="5" t="s">
        <v>60369</v>
      </c>
      <c r="O7395" s="5" t="str">
        <v>2312128345</v>
      </c>
      <c r="P7395" s="27">
        <v>15800000</v>
      </c>
      <c r="Q7395" s="5" t="s">
        <v>49009</v>
      </c>
      <c r="R7395" s="5" t="s">
        <v>59139</v>
      </c>
      <c r="S7395" s="5" t="s">
        <v>52628</v>
      </c>
      <c r="T7395" s="28">
        <v>183775000</v>
      </c>
      <c r="U7395" s="28">
        <v>1688615000</v>
      </c>
      <c r="V7395" s="28">
        <v>910506000</v>
      </c>
      <c r="W7395" s="28"/>
      <c r="X7395" s="28">
        <v>12863000</v>
      </c>
      <c r="Y7395" s="28">
        <v>4878973000</v>
      </c>
      <c r="Z7395" s="28">
        <v>679804000</v>
      </c>
      <c r="AA7395" s="28">
        <v>679731000</v>
      </c>
      <c r="AB7395" s="28">
        <v>1136734000</v>
      </c>
      <c r="AC7395" s="28">
        <v>3391056000</v>
      </c>
      <c r="AD7395" s="28">
        <v>806084000</v>
      </c>
      <c r="AE7395" s="28">
        <v>11782051000</v>
      </c>
      <c r="AF7395" s="28">
        <v>15463000</v>
      </c>
      <c r="AG7395" s="11"/>
    </row>
    <row r="7396">
      <c r="A7396" s="7" t="s">
        <v>8950</v>
      </c>
      <c r="B7396" s="5" t="s">
        <v>16871</v>
      </c>
      <c r="C7396" s="5" t="s">
        <v>24474</v>
      </c>
      <c r="D7396" s="5" t="str">
        <v>526302611660</v>
      </c>
      <c r="E7396" s="0" t="e">
        <f>+7 (831) 2613000
+7 (831) 2739749</f>
        <v>#NAME?</v>
      </c>
      <c r="F7396" s="5" t="s">
        <v>46782</v>
      </c>
      <c r="G7396" s="5" t="s">
        <v>46783</v>
      </c>
      <c r="H7396" s="26">
        <v>20</v>
      </c>
      <c r="I7396" s="5" t="s">
        <v>46784</v>
      </c>
      <c r="J7396" s="5" t="s">
        <v>30277</v>
      </c>
      <c r="K7396" s="5" t="s">
        <v>344</v>
      </c>
      <c r="L7396" s="5" t="s">
        <v>46785</v>
      </c>
      <c r="M7396" s="27"/>
      <c r="N7396" s="5" t="s">
        <v>60370</v>
      </c>
      <c r="O7396" s="5" t="str">
        <v>5263039350</v>
      </c>
      <c r="P7396" s="27">
        <v>300000</v>
      </c>
      <c r="Q7396" s="5" t="s">
        <v>60371</v>
      </c>
      <c r="R7396" s="5"/>
      <c r="S7396" s="5" t="s">
        <v>60372</v>
      </c>
      <c r="T7396" s="28">
        <v>201958000</v>
      </c>
      <c r="U7396" s="28"/>
      <c r="V7396" s="28">
        <v>1262552000</v>
      </c>
      <c r="W7396" s="28">
        <v>18000000</v>
      </c>
      <c r="X7396" s="28">
        <v>85911000</v>
      </c>
      <c r="Y7396" s="28">
        <v>2094208000</v>
      </c>
      <c r="Z7396" s="28">
        <v>603745000</v>
      </c>
      <c r="AA7396" s="28"/>
      <c r="AB7396" s="28">
        <v>715405000</v>
      </c>
      <c r="AC7396" s="28">
        <v>1454323000</v>
      </c>
      <c r="AD7396" s="28">
        <v>604045000</v>
      </c>
      <c r="AE7396" s="28">
        <v>4723648000</v>
      </c>
      <c r="AF7396" s="28">
        <v>70301000</v>
      </c>
      <c r="AG7396" s="11"/>
    </row>
    <row r="7397">
      <c r="A7397" s="7" t="s">
        <v>8950</v>
      </c>
      <c r="B7397" s="5" t="s">
        <v>16872</v>
      </c>
      <c r="C7397" s="5" t="s">
        <v>24475</v>
      </c>
      <c r="D7397" s="5" t="str">
        <v>543311811630</v>
      </c>
      <c r="E7397" s="0" t="e">
        <f>+7 (3952) 799977
+7 (913) 7350599</f>
        <v>#NAME?</v>
      </c>
      <c r="F7397" s="5"/>
      <c r="G7397" s="5" t="s">
        <v>46786</v>
      </c>
      <c r="H7397" s="26">
        <v>6.5</v>
      </c>
      <c r="I7397" s="5" t="s">
        <v>46787</v>
      </c>
      <c r="J7397" s="5" t="s">
        <v>25337</v>
      </c>
      <c r="K7397" s="5" t="s">
        <v>344</v>
      </c>
      <c r="L7397" s="5" t="s">
        <v>26679</v>
      </c>
      <c r="M7397" s="27">
        <v>330420</v>
      </c>
      <c r="N7397" s="5" t="s">
        <v>60373</v>
      </c>
      <c r="O7397" s="5" t="str">
        <v>5403020168</v>
      </c>
      <c r="P7397" s="27">
        <v>40000</v>
      </c>
      <c r="Q7397" s="5" t="s">
        <v>49009</v>
      </c>
      <c r="R7397" s="5" t="s">
        <v>60374</v>
      </c>
      <c r="S7397" s="5" t="s">
        <v>49045</v>
      </c>
      <c r="T7397" s="28">
        <v>137461000</v>
      </c>
      <c r="U7397" s="28"/>
      <c r="V7397" s="28">
        <v>2307430000</v>
      </c>
      <c r="W7397" s="28">
        <v>350635000</v>
      </c>
      <c r="X7397" s="28">
        <v>1185103000</v>
      </c>
      <c r="Y7397" s="28">
        <v>5786311000</v>
      </c>
      <c r="Z7397" s="28">
        <v>268893000</v>
      </c>
      <c r="AA7397" s="28"/>
      <c r="AB7397" s="28">
        <v>481376000</v>
      </c>
      <c r="AC7397" s="28">
        <v>1123096000</v>
      </c>
      <c r="AD7397" s="28">
        <v>4654154000</v>
      </c>
      <c r="AE7397" s="28">
        <v>21696411000</v>
      </c>
      <c r="AF7397" s="28">
        <v>55408000</v>
      </c>
      <c r="AG7397" s="11"/>
    </row>
    <row r="7398">
      <c r="A7398" s="7" t="s">
        <v>8951</v>
      </c>
      <c r="B7398" s="5" t="s">
        <v>16873</v>
      </c>
      <c r="C7398" s="5" t="s">
        <v>24476</v>
      </c>
      <c r="D7398" s="5" t="str">
        <v>544507314723</v>
      </c>
      <c r="E7398" s="0" t="e">
        <f>+7 (383) 3638303
+7 (913) 7350599
+7 (913) 9480175</f>
        <v>#NAME?</v>
      </c>
      <c r="F7398" s="5"/>
      <c r="G7398" s="5"/>
      <c r="H7398" s="26">
        <v>11</v>
      </c>
      <c r="I7398" s="5" t="s">
        <v>46788</v>
      </c>
      <c r="J7398" s="5" t="s">
        <v>25337</v>
      </c>
      <c r="K7398" s="5" t="s">
        <v>344</v>
      </c>
      <c r="L7398" s="5" t="s">
        <v>46789</v>
      </c>
      <c r="M7398" s="27"/>
      <c r="N7398" s="5" t="s">
        <v>60375</v>
      </c>
      <c r="O7398" s="5" t="str">
        <v>5407471570</v>
      </c>
      <c r="P7398" s="27">
        <v>10000</v>
      </c>
      <c r="Q7398" s="5"/>
      <c r="R7398" s="5"/>
      <c r="S7398" s="5" t="s">
        <v>49047</v>
      </c>
      <c r="T7398" s="28">
        <v>38800000</v>
      </c>
      <c r="U7398" s="28"/>
      <c r="V7398" s="28">
        <v>75017000</v>
      </c>
      <c r="W7398" s="28">
        <v>393000</v>
      </c>
      <c r="X7398" s="28">
        <v>823000</v>
      </c>
      <c r="Y7398" s="28">
        <v>278382000</v>
      </c>
      <c r="Z7398" s="28">
        <v>78053000</v>
      </c>
      <c r="AA7398" s="28"/>
      <c r="AB7398" s="28"/>
      <c r="AC7398" s="28">
        <v>200319000</v>
      </c>
      <c r="AD7398" s="28">
        <v>78063000</v>
      </c>
      <c r="AE7398" s="28">
        <v>4705497000</v>
      </c>
      <c r="AF7398" s="28">
        <v>16396000</v>
      </c>
      <c r="AG7398" s="11"/>
    </row>
    <row r="7399">
      <c r="A7399" s="7" t="s">
        <v>8952</v>
      </c>
      <c r="B7399" s="5" t="s">
        <v>16874</v>
      </c>
      <c r="C7399" s="5" t="s">
        <v>24477</v>
      </c>
      <c r="D7399" s="5" t="str">
        <v>472004388337</v>
      </c>
      <c r="E7399" s="0" t="e">
        <f>+7 (812) 2404491
+7 (812) 3110300
+7 (921) 9181042
+7 (931) 3665178</f>
        <v>#NAME?</v>
      </c>
      <c r="F7399" s="5" t="s">
        <v>46790</v>
      </c>
      <c r="G7399" s="5" t="s">
        <v>46791</v>
      </c>
      <c r="H7399" s="26">
        <v>20</v>
      </c>
      <c r="I7399" s="5" t="s">
        <v>46792</v>
      </c>
      <c r="J7399" s="5" t="s">
        <v>46793</v>
      </c>
      <c r="K7399" s="5" t="s">
        <v>355</v>
      </c>
      <c r="L7399" s="5" t="s">
        <v>46794</v>
      </c>
      <c r="M7399" s="27">
        <v>480171</v>
      </c>
      <c r="N7399" s="5" t="s">
        <v>60376</v>
      </c>
      <c r="O7399" s="5" t="str">
        <v>7802208912</v>
      </c>
      <c r="P7399" s="27">
        <v>514000</v>
      </c>
      <c r="Q7399" s="5" t="s">
        <v>60377</v>
      </c>
      <c r="R7399" s="5"/>
      <c r="S7399" s="5" t="s">
        <v>60378</v>
      </c>
      <c r="T7399" s="28">
        <v>683139000</v>
      </c>
      <c r="U7399" s="28">
        <v>28340000</v>
      </c>
      <c r="V7399" s="28">
        <v>3871689000</v>
      </c>
      <c r="W7399" s="28"/>
      <c r="X7399" s="28">
        <v>469660000</v>
      </c>
      <c r="Y7399" s="28">
        <v>6130509000</v>
      </c>
      <c r="Z7399" s="28">
        <v>1882947000</v>
      </c>
      <c r="AA7399" s="28"/>
      <c r="AB7399" s="28"/>
      <c r="AC7399" s="28">
        <v>3825050000</v>
      </c>
      <c r="AD7399" s="28">
        <v>1884228000</v>
      </c>
      <c r="AE7399" s="28">
        <v>7270501000</v>
      </c>
      <c r="AF7399" s="28">
        <v>220160000</v>
      </c>
      <c r="AG7399" s="11"/>
    </row>
    <row r="7400">
      <c r="A7400" s="7" t="s">
        <v>8953</v>
      </c>
      <c r="B7400" s="5" t="s">
        <v>16875</v>
      </c>
      <c r="C7400" s="5" t="s">
        <v>24478</v>
      </c>
      <c r="D7400" s="5" t="str">
        <v>540630075050</v>
      </c>
      <c r="E7400" s="0" t="e">
        <f>+7 (495) 6609408
+7 (495) 6609409
+7 (49622) 52769
+7 (49622) 52793</f>
        <v>#NAME?</v>
      </c>
      <c r="F7400" s="5"/>
      <c r="G7400" s="5"/>
      <c r="H7400" s="26">
        <v>17.5</v>
      </c>
      <c r="I7400" s="5" t="s">
        <v>46795</v>
      </c>
      <c r="J7400" s="5" t="s">
        <v>32531</v>
      </c>
      <c r="K7400" s="5" t="s">
        <v>344</v>
      </c>
      <c r="L7400" s="5"/>
      <c r="M7400" s="27"/>
      <c r="N7400" s="5" t="s">
        <v>60379</v>
      </c>
      <c r="O7400" s="5" t="str">
        <v>5007049413</v>
      </c>
      <c r="P7400" s="27">
        <v>1401000000</v>
      </c>
      <c r="Q7400" s="5" t="s">
        <v>60380</v>
      </c>
      <c r="R7400" s="5" t="s">
        <v>60381</v>
      </c>
      <c r="S7400" s="5" t="s">
        <v>49487</v>
      </c>
      <c r="T7400" s="28">
        <v>609268000</v>
      </c>
      <c r="U7400" s="28"/>
      <c r="V7400" s="28">
        <v>1837991000</v>
      </c>
      <c r="W7400" s="28"/>
      <c r="X7400" s="28">
        <v>327203000</v>
      </c>
      <c r="Y7400" s="28">
        <v>5013452000</v>
      </c>
      <c r="Z7400" s="28">
        <v>2152889000</v>
      </c>
      <c r="AA7400" s="28"/>
      <c r="AB7400" s="28"/>
      <c r="AC7400" s="28">
        <v>1125174000</v>
      </c>
      <c r="AD7400" s="28">
        <v>3553889000</v>
      </c>
      <c r="AE7400" s="28">
        <v>10672227000</v>
      </c>
      <c r="AF7400" s="28">
        <v>1368406000</v>
      </c>
      <c r="AG7400" s="11"/>
    </row>
    <row r="7401">
      <c r="A7401" s="7" t="s">
        <v>8954</v>
      </c>
      <c r="B7401" s="5" t="s">
        <v>16876</v>
      </c>
      <c r="C7401" s="5" t="s">
        <v>24479</v>
      </c>
      <c r="D7401" s="5" t="str">
        <v>131901525864</v>
      </c>
      <c r="E7401" s="0" t="e">
        <f>+7 (495) 3635144
+7 (495) 3635146
+7 (495) 4306809
+7 (495) 4307721
+7 (495) 4337714
+7 (495) 4465904
+7 (812) 6004940</f>
        <v>#NAME?</v>
      </c>
      <c r="F7401" s="5" t="s">
        <v>46796</v>
      </c>
      <c r="G7401" s="5" t="s">
        <v>46797</v>
      </c>
      <c r="H7401" s="26">
        <v>22</v>
      </c>
      <c r="I7401" s="5" t="s">
        <v>46798</v>
      </c>
      <c r="J7401" s="5" t="s">
        <v>866</v>
      </c>
      <c r="K7401" s="5" t="s">
        <v>355</v>
      </c>
      <c r="L7401" s="5" t="s">
        <v>46799</v>
      </c>
      <c r="M7401" s="27">
        <v>3242090</v>
      </c>
      <c r="N7401" s="5"/>
      <c r="O7401" s="5" t="str">
        <v>7729405449</v>
      </c>
      <c r="P7401" s="27">
        <v>1500000</v>
      </c>
      <c r="Q7401" s="5" t="s">
        <v>49324</v>
      </c>
      <c r="R7401" s="5"/>
      <c r="S7401" s="5" t="s">
        <v>49457</v>
      </c>
      <c r="T7401" s="28">
        <v>602336000</v>
      </c>
      <c r="U7401" s="28"/>
      <c r="V7401" s="28">
        <v>1096810000</v>
      </c>
      <c r="W7401" s="28"/>
      <c r="X7401" s="28">
        <v>52196000</v>
      </c>
      <c r="Y7401" s="28">
        <v>1797148000</v>
      </c>
      <c r="Z7401" s="28">
        <v>688362000</v>
      </c>
      <c r="AA7401" s="28">
        <v>60000000</v>
      </c>
      <c r="AB7401" s="28"/>
      <c r="AC7401" s="28">
        <v>949602000</v>
      </c>
      <c r="AD7401" s="28">
        <v>690087000</v>
      </c>
      <c r="AE7401" s="28">
        <v>3823910000</v>
      </c>
      <c r="AF7401" s="28">
        <v>503426000</v>
      </c>
      <c r="AG7401" s="11"/>
    </row>
    <row r="7402">
      <c r="A7402" s="7" t="s">
        <v>8955</v>
      </c>
      <c r="B7402" s="5" t="s">
        <v>16877</v>
      </c>
      <c r="C7402" s="5" t="s">
        <v>24480</v>
      </c>
      <c r="D7402" s="5" t="str">
        <v>772794524970</v>
      </c>
      <c r="E7402" s="0" t="e">
        <f>+7 (495) 1085293
+7 (903) 2364587</f>
        <v>#NAME?</v>
      </c>
      <c r="F7402" s="5" t="s">
        <v>46800</v>
      </c>
      <c r="G7402" s="5" t="s">
        <v>46801</v>
      </c>
      <c r="H7402" s="26">
        <v>12</v>
      </c>
      <c r="I7402" s="5" t="s">
        <v>46802</v>
      </c>
      <c r="J7402" s="5" t="s">
        <v>1026</v>
      </c>
      <c r="K7402" s="5" t="s">
        <v>344</v>
      </c>
      <c r="L7402" s="5" t="s">
        <v>46803</v>
      </c>
      <c r="M7402" s="27">
        <v>1338699</v>
      </c>
      <c r="N7402" s="5" t="s">
        <v>60382</v>
      </c>
      <c r="O7402" s="5" t="str">
        <v>7724786430</v>
      </c>
      <c r="P7402" s="27">
        <v>22222</v>
      </c>
      <c r="Q7402" s="5" t="s">
        <v>60383</v>
      </c>
      <c r="R7402" s="5"/>
      <c r="S7402" s="5" t="s">
        <v>60384</v>
      </c>
      <c r="T7402" s="28">
        <v>1748000</v>
      </c>
      <c r="U7402" s="28"/>
      <c r="V7402" s="28">
        <v>506736000</v>
      </c>
      <c r="W7402" s="28"/>
      <c r="X7402" s="28">
        <v>107210000</v>
      </c>
      <c r="Y7402" s="28">
        <v>923132000</v>
      </c>
      <c r="Z7402" s="28">
        <v>207096000</v>
      </c>
      <c r="AA7402" s="28"/>
      <c r="AB7402" s="28"/>
      <c r="AC7402" s="28">
        <v>477347000</v>
      </c>
      <c r="AD7402" s="28">
        <v>442118000</v>
      </c>
      <c r="AE7402" s="28">
        <v>4003913000</v>
      </c>
      <c r="AF7402" s="28">
        <v>17337000</v>
      </c>
      <c r="AG7402" s="11"/>
    </row>
    <row r="7403">
      <c r="A7403" s="7" t="s">
        <v>8956</v>
      </c>
      <c r="B7403" s="5" t="s">
        <v>16878</v>
      </c>
      <c r="C7403" s="5" t="s">
        <v>24481</v>
      </c>
      <c r="D7403" s="5" t="str">
        <v>231905818494</v>
      </c>
      <c r="E7403" s="0" t="e">
        <f>+7 (495) 7300331
+7 (495) 7309589</f>
        <v>#NAME?</v>
      </c>
      <c r="F7403" s="5" t="s">
        <v>46804</v>
      </c>
      <c r="G7403" s="5" t="s">
        <v>46805</v>
      </c>
      <c r="H7403" s="26">
        <v>26.5</v>
      </c>
      <c r="I7403" s="5" t="s">
        <v>46806</v>
      </c>
      <c r="J7403" s="5" t="s">
        <v>27695</v>
      </c>
      <c r="K7403" s="5" t="s">
        <v>344</v>
      </c>
      <c r="L7403" s="5" t="s">
        <v>46807</v>
      </c>
      <c r="M7403" s="27"/>
      <c r="N7403" s="5"/>
      <c r="O7403" s="5" t="str">
        <v>7710209063</v>
      </c>
      <c r="P7403" s="27">
        <v>107600</v>
      </c>
      <c r="Q7403" s="5" t="s">
        <v>49009</v>
      </c>
      <c r="R7403" s="5"/>
      <c r="S7403" s="5" t="s">
        <v>49066</v>
      </c>
      <c r="T7403" s="28">
        <v>213533000</v>
      </c>
      <c r="U7403" s="28"/>
      <c r="V7403" s="28">
        <v>603594000</v>
      </c>
      <c r="W7403" s="28">
        <v>159500000</v>
      </c>
      <c r="X7403" s="28">
        <v>1408194000</v>
      </c>
      <c r="Y7403" s="28">
        <v>2511105000</v>
      </c>
      <c r="Z7403" s="28">
        <v>2111468000</v>
      </c>
      <c r="AA7403" s="28"/>
      <c r="AB7403" s="28"/>
      <c r="AC7403" s="28">
        <v>274242000</v>
      </c>
      <c r="AD7403" s="28">
        <v>2111576000</v>
      </c>
      <c r="AE7403" s="28">
        <v>4688446000</v>
      </c>
      <c r="AF7403" s="28">
        <v>704316000</v>
      </c>
      <c r="AG7403" s="11"/>
    </row>
    <row r="7404">
      <c r="A7404" s="7" t="s">
        <v>8957</v>
      </c>
      <c r="B7404" s="5" t="s">
        <v>16879</v>
      </c>
      <c r="C7404" s="5" t="s">
        <v>24482</v>
      </c>
      <c r="D7404" s="5" t="str">
        <v>246408464191</v>
      </c>
      <c r="E7404" s="0" t="e">
        <f>+7 (391) 2923433
+7 (913) 1843298
+7 (923) 3410607</f>
        <v>#NAME?</v>
      </c>
      <c r="F7404" s="5" t="s">
        <v>46808</v>
      </c>
      <c r="G7404" s="5"/>
      <c r="H7404" s="26">
        <v>10</v>
      </c>
      <c r="I7404" s="5" t="s">
        <v>46809</v>
      </c>
      <c r="J7404" s="5" t="s">
        <v>26869</v>
      </c>
      <c r="K7404" s="5" t="s">
        <v>355</v>
      </c>
      <c r="L7404" s="5" t="s">
        <v>46810</v>
      </c>
      <c r="M7404" s="27"/>
      <c r="N7404" s="5" t="s">
        <v>60385</v>
      </c>
      <c r="O7404" s="5" t="str">
        <v>2450029532</v>
      </c>
      <c r="P7404" s="27">
        <v>10000</v>
      </c>
      <c r="Q7404" s="5" t="s">
        <v>49009</v>
      </c>
      <c r="R7404" s="5"/>
      <c r="S7404" s="5" t="s">
        <v>50707</v>
      </c>
      <c r="T7404" s="28">
        <v>487750000</v>
      </c>
      <c r="U7404" s="28"/>
      <c r="V7404" s="28">
        <v>435707000</v>
      </c>
      <c r="W7404" s="28"/>
      <c r="X7404" s="28">
        <v>1548000</v>
      </c>
      <c r="Y7404" s="28">
        <v>1101953000</v>
      </c>
      <c r="Z7404" s="28">
        <v>178716000</v>
      </c>
      <c r="AA7404" s="28">
        <v>318424000</v>
      </c>
      <c r="AB7404" s="28">
        <v>92000000</v>
      </c>
      <c r="AC7404" s="28">
        <v>500866000</v>
      </c>
      <c r="AD7404" s="28">
        <v>178726000</v>
      </c>
      <c r="AE7404" s="28">
        <v>3081275000</v>
      </c>
      <c r="AF7404" s="28">
        <v>26055000</v>
      </c>
      <c r="AG7404" s="11"/>
    </row>
    <row r="7405">
      <c r="A7405" s="7" t="s">
        <v>8958</v>
      </c>
      <c r="B7405" s="5" t="s">
        <v>16880</v>
      </c>
      <c r="C7405" s="5" t="s">
        <v>24483</v>
      </c>
      <c r="D7405" s="5" t="str">
        <v>780404136600</v>
      </c>
      <c r="E7405" s="0" t="e">
        <f>+7 (812) 3246625
+7 (812) 7184545
+7 (812) 7184546</f>
        <v>#NAME?</v>
      </c>
      <c r="F7405" s="5" t="s">
        <v>46811</v>
      </c>
      <c r="G7405" s="5" t="s">
        <v>46812</v>
      </c>
      <c r="H7405" s="26">
        <v>26.5</v>
      </c>
      <c r="I7405" s="5"/>
      <c r="J7405" s="5" t="s">
        <v>27742</v>
      </c>
      <c r="K7405" s="5" t="s">
        <v>344</v>
      </c>
      <c r="L7405" s="5" t="s">
        <v>46813</v>
      </c>
      <c r="M7405" s="27"/>
      <c r="N7405" s="5"/>
      <c r="O7405" s="5" t="str">
        <v>4720007247</v>
      </c>
      <c r="P7405" s="27">
        <v>6585655734</v>
      </c>
      <c r="Q7405" s="5" t="s">
        <v>49009</v>
      </c>
      <c r="R7405" s="5"/>
      <c r="S7405" s="5" t="s">
        <v>49066</v>
      </c>
      <c r="T7405" s="28">
        <v>27946628000</v>
      </c>
      <c r="U7405" s="28"/>
      <c r="V7405" s="28">
        <v>88771808000</v>
      </c>
      <c r="W7405" s="28"/>
      <c r="X7405" s="28">
        <v>39045677000</v>
      </c>
      <c r="Y7405" s="28">
        <v>176992338000</v>
      </c>
      <c r="Z7405" s="28">
        <v>100422392000</v>
      </c>
      <c r="AA7405" s="28"/>
      <c r="AB7405" s="28"/>
      <c r="AC7405" s="28">
        <v>67098433000</v>
      </c>
      <c r="AD7405" s="28">
        <v>107460379000</v>
      </c>
      <c r="AE7405" s="28">
        <v>140266333000</v>
      </c>
      <c r="AF7405" s="28">
        <v>48247768000</v>
      </c>
      <c r="AG7405" s="11"/>
    </row>
    <row r="7406">
      <c r="A7406" s="7" t="s">
        <v>8959</v>
      </c>
      <c r="B7406" s="5" t="s">
        <v>10537</v>
      </c>
      <c r="C7406" s="5" t="s">
        <v>24484</v>
      </c>
      <c r="D7406" s="5" t="str">
        <v>631106972902</v>
      </c>
      <c r="E7406" s="0" t="e">
        <f>+7 (495) 9339300
+7 (495) 7961348
+7 (495) 9330336
+7 (495) 9330338
+7 (495) 9330339
+7 (495) 9379300
+7 (495) 9612426
+7 (495) 9739300
+7 (800) 2000880
+7 (800) 2000881
+7 (915) 279760
+7 (985) 1640334</f>
        <v>#NAME?</v>
      </c>
      <c r="F7406" s="5" t="s">
        <v>46814</v>
      </c>
      <c r="G7406" s="5" t="s">
        <v>46815</v>
      </c>
      <c r="H7406" s="26">
        <v>30</v>
      </c>
      <c r="I7406" s="5" t="s">
        <v>46816</v>
      </c>
      <c r="J7406" s="5" t="s">
        <v>27522</v>
      </c>
      <c r="K7406" s="5" t="s">
        <v>344</v>
      </c>
      <c r="L7406" s="5" t="s">
        <v>46817</v>
      </c>
      <c r="M7406" s="27"/>
      <c r="N7406" s="5" t="s">
        <v>60386</v>
      </c>
      <c r="O7406" s="5" t="str">
        <v>7704216778</v>
      </c>
      <c r="P7406" s="27">
        <v>1402692900</v>
      </c>
      <c r="Q7406" s="5" t="s">
        <v>60387</v>
      </c>
      <c r="R7406" s="5"/>
      <c r="S7406" s="5" t="s">
        <v>60388</v>
      </c>
      <c r="T7406" s="28">
        <v>518679000</v>
      </c>
      <c r="U7406" s="28">
        <v>10000</v>
      </c>
      <c r="V7406" s="28">
        <v>7408272000</v>
      </c>
      <c r="W7406" s="28"/>
      <c r="X7406" s="28">
        <v>1512338000</v>
      </c>
      <c r="Y7406" s="28">
        <v>12186973000</v>
      </c>
      <c r="Z7406" s="28">
        <v>1905208000</v>
      </c>
      <c r="AA7406" s="28">
        <v>1250000000</v>
      </c>
      <c r="AB7406" s="28">
        <v>1000000000</v>
      </c>
      <c r="AC7406" s="28">
        <v>7281021000</v>
      </c>
      <c r="AD7406" s="28">
        <v>3346119000</v>
      </c>
      <c r="AE7406" s="28">
        <v>19689462000</v>
      </c>
      <c r="AF7406" s="28">
        <v>-500134000</v>
      </c>
      <c r="AG7406" s="11"/>
    </row>
    <row r="7407">
      <c r="A7407" s="7" t="s">
        <v>8960</v>
      </c>
      <c r="B7407" s="5" t="s">
        <v>16881</v>
      </c>
      <c r="C7407" s="5" t="s">
        <v>24485</v>
      </c>
      <c r="D7407" s="5" t="str">
        <v>771872397790</v>
      </c>
      <c r="F7407" s="5" t="s">
        <v>46818</v>
      </c>
      <c r="G7407" s="5"/>
      <c r="H7407" s="26">
        <v>12</v>
      </c>
      <c r="I7407" s="5" t="s">
        <v>44765</v>
      </c>
      <c r="J7407" s="5" t="s">
        <v>26459</v>
      </c>
      <c r="K7407" s="5" t="s">
        <v>344</v>
      </c>
      <c r="L7407" s="5" t="s">
        <v>46819</v>
      </c>
      <c r="M7407" s="27"/>
      <c r="N7407" s="5" t="s">
        <v>60389</v>
      </c>
      <c r="O7407" s="5" t="str">
        <v>7713728490</v>
      </c>
      <c r="P7407" s="27">
        <v>10000</v>
      </c>
      <c r="Q7407" s="5" t="s">
        <v>60391</v>
      </c>
      <c r="R7407" s="5"/>
      <c r="S7407" s="5" t="s">
        <v>60392</v>
      </c>
      <c r="T7407" s="28">
        <v>292768000</v>
      </c>
      <c r="U7407" s="28">
        <v>30000000</v>
      </c>
      <c r="V7407" s="28">
        <v>2895051000</v>
      </c>
      <c r="W7407" s="28"/>
      <c r="X7407" s="28">
        <v>1745835000</v>
      </c>
      <c r="Y7407" s="28">
        <v>5774668000</v>
      </c>
      <c r="Z7407" s="28">
        <v>2143456000</v>
      </c>
      <c r="AA7407" s="28"/>
      <c r="AB7407" s="28"/>
      <c r="AC7407" s="28">
        <v>3510761000</v>
      </c>
      <c r="AD7407" s="28">
        <v>2143466000</v>
      </c>
      <c r="AE7407" s="28">
        <v>11541987000</v>
      </c>
      <c r="AF7407" s="28">
        <v>1511993000</v>
      </c>
      <c r="AG7407" s="11"/>
    </row>
    <row r="7408">
      <c r="A7408" s="7" t="s">
        <v>8961</v>
      </c>
      <c r="B7408" s="5" t="s">
        <v>16882</v>
      </c>
      <c r="C7408" s="5" t="s">
        <v>18274</v>
      </c>
      <c r="D7408" s="5"/>
      <c r="E7408" s="0" t="e">
        <f>+7 (915) 6611892</f>
        <v>#NAME?</v>
      </c>
      <c r="F7408" s="5" t="s">
        <v>46820</v>
      </c>
      <c r="G7408" s="5"/>
      <c r="H7408" s="26">
        <v>7.5</v>
      </c>
      <c r="I7408" s="5" t="s">
        <v>46821</v>
      </c>
      <c r="J7408" s="5" t="s">
        <v>26128</v>
      </c>
      <c r="K7408" s="5" t="s">
        <v>380</v>
      </c>
      <c r="L7408" s="5"/>
      <c r="M7408" s="27"/>
      <c r="N7408" s="5"/>
      <c r="O7408" s="5" t="str">
        <v>7708258698</v>
      </c>
      <c r="P7408" s="27">
        <v>51000000</v>
      </c>
      <c r="Q7408" s="5"/>
      <c r="R7408" s="5"/>
      <c r="S7408" s="5" t="s">
        <v>49029</v>
      </c>
      <c r="T7408" s="28">
        <v>1543626000</v>
      </c>
      <c r="U7408" s="28"/>
      <c r="V7408" s="28">
        <v>286100000</v>
      </c>
      <c r="W7408" s="28"/>
      <c r="X7408" s="28">
        <v>5163000</v>
      </c>
      <c r="Y7408" s="28">
        <v>2049894000</v>
      </c>
      <c r="Z7408" s="28">
        <v>-8131303000</v>
      </c>
      <c r="AA7408" s="28"/>
      <c r="AB7408" s="28">
        <v>1778401000</v>
      </c>
      <c r="AC7408" s="28">
        <v>2087981000</v>
      </c>
      <c r="AD7408" s="28">
        <v>-49291000</v>
      </c>
      <c r="AE7408" s="28">
        <v>4604869000</v>
      </c>
      <c r="AF7408" s="28">
        <v>-802990000</v>
      </c>
      <c r="AG7408" s="11"/>
    </row>
    <row r="7409">
      <c r="A7409" s="7" t="s">
        <v>8962</v>
      </c>
      <c r="B7409" s="5" t="s">
        <v>16883</v>
      </c>
      <c r="C7409" s="5" t="s">
        <v>24486</v>
      </c>
      <c r="D7409" s="5" t="str">
        <v>772639903557</v>
      </c>
      <c r="E7409" s="0" t="e">
        <f>+7 (495) 2475585
+7 (495) 9332383
+7 (800) 3333385</f>
        <v>#NAME?</v>
      </c>
      <c r="F7409" s="5" t="s">
        <v>46822</v>
      </c>
      <c r="G7409" s="5" t="s">
        <v>46823</v>
      </c>
      <c r="H7409" s="26">
        <v>15</v>
      </c>
      <c r="I7409" s="5"/>
      <c r="J7409" s="5" t="s">
        <v>25612</v>
      </c>
      <c r="K7409" s="5" t="s">
        <v>344</v>
      </c>
      <c r="L7409" s="5" t="s">
        <v>46824</v>
      </c>
      <c r="M7409" s="27"/>
      <c r="N7409" s="5" t="s">
        <v>60393</v>
      </c>
      <c r="O7409" s="5" t="str">
        <v>7721609835</v>
      </c>
      <c r="P7409" s="27">
        <v>1020000</v>
      </c>
      <c r="Q7409" s="5" t="s">
        <v>60394</v>
      </c>
      <c r="R7409" s="5"/>
      <c r="S7409" s="5" t="s">
        <v>60395</v>
      </c>
      <c r="T7409" s="28">
        <v>47393000</v>
      </c>
      <c r="U7409" s="28"/>
      <c r="V7409" s="28">
        <v>2832356000</v>
      </c>
      <c r="W7409" s="28">
        <v>525131000</v>
      </c>
      <c r="X7409" s="28">
        <v>946291000</v>
      </c>
      <c r="Y7409" s="28">
        <v>5835483000</v>
      </c>
      <c r="Z7409" s="28">
        <v>3837234000</v>
      </c>
      <c r="AA7409" s="28"/>
      <c r="AB7409" s="28"/>
      <c r="AC7409" s="28">
        <v>1911553000</v>
      </c>
      <c r="AD7409" s="28">
        <v>3838254000</v>
      </c>
      <c r="AE7409" s="28">
        <v>3020778000</v>
      </c>
      <c r="AF7409" s="28">
        <v>-414871000</v>
      </c>
      <c r="AG7409" s="11"/>
    </row>
    <row r="7410">
      <c r="A7410" s="7" t="s">
        <v>8963</v>
      </c>
      <c r="B7410" s="5" t="s">
        <v>16884</v>
      </c>
      <c r="C7410" s="5" t="s">
        <v>24487</v>
      </c>
      <c r="D7410" s="5" t="str">
        <v>550722882519</v>
      </c>
      <c r="F7410" s="5"/>
      <c r="G7410" s="5"/>
      <c r="H7410" s="26">
        <v>9.5</v>
      </c>
      <c r="I7410" s="5" t="s">
        <v>46825</v>
      </c>
      <c r="J7410" s="5" t="s">
        <v>27654</v>
      </c>
      <c r="K7410" s="5" t="s">
        <v>344</v>
      </c>
      <c r="L7410" s="5" t="s">
        <v>32443</v>
      </c>
      <c r="M7410" s="27"/>
      <c r="N7410" s="5" t="s">
        <v>60396</v>
      </c>
      <c r="O7410" s="5" t="str">
        <v>2721202896</v>
      </c>
      <c r="P7410" s="27">
        <v>10000</v>
      </c>
      <c r="Q7410" s="5"/>
      <c r="R7410" s="5"/>
      <c r="S7410" s="5" t="s">
        <v>49110</v>
      </c>
      <c r="T7410" s="28">
        <v>110000</v>
      </c>
      <c r="U7410" s="28"/>
      <c r="V7410" s="28">
        <v>211101000</v>
      </c>
      <c r="W7410" s="28">
        <v>54282000</v>
      </c>
      <c r="X7410" s="28">
        <v>13049000</v>
      </c>
      <c r="Y7410" s="28">
        <v>1373549000</v>
      </c>
      <c r="Z7410" s="28">
        <v>57598000</v>
      </c>
      <c r="AA7410" s="28"/>
      <c r="AB7410" s="28">
        <v>3000</v>
      </c>
      <c r="AC7410" s="28">
        <v>1315941000</v>
      </c>
      <c r="AD7410" s="28">
        <v>57608000</v>
      </c>
      <c r="AE7410" s="28">
        <v>3255127000</v>
      </c>
      <c r="AF7410" s="28">
        <v>7534000</v>
      </c>
      <c r="AG7410" s="11"/>
    </row>
    <row r="7411">
      <c r="A7411" s="7" t="s">
        <v>8964</v>
      </c>
      <c r="B7411" s="5" t="s">
        <v>16885</v>
      </c>
      <c r="C7411" s="5" t="s">
        <v>24488</v>
      </c>
      <c r="D7411" s="5" t="str">
        <v>504807009718</v>
      </c>
      <c r="E7411" s="0" t="e">
        <f>+7 (495) 5105344
+7 (495) 6176962
+7 (495) 9681489
+7 (985) 7860186</f>
        <v>#NAME?</v>
      </c>
      <c r="F7411" s="5" t="s">
        <v>46826</v>
      </c>
      <c r="G7411" s="5"/>
      <c r="H7411" s="26">
        <v>23</v>
      </c>
      <c r="I7411" s="5" t="s">
        <v>46827</v>
      </c>
      <c r="J7411" s="5" t="s">
        <v>785</v>
      </c>
      <c r="K7411" s="5" t="s">
        <v>344</v>
      </c>
      <c r="L7411" s="5" t="s">
        <v>46828</v>
      </c>
      <c r="M7411" s="27"/>
      <c r="N7411" s="5" t="s">
        <v>60397</v>
      </c>
      <c r="O7411" s="5" t="str">
        <v>7718157152</v>
      </c>
      <c r="P7411" s="27">
        <v>1000000</v>
      </c>
      <c r="Q7411" s="5" t="s">
        <v>49822</v>
      </c>
      <c r="R7411" s="5" t="s">
        <v>60398</v>
      </c>
      <c r="S7411" s="5" t="s">
        <v>60399</v>
      </c>
      <c r="T7411" s="28">
        <v>75534000</v>
      </c>
      <c r="U7411" s="28"/>
      <c r="V7411" s="28">
        <v>1314640000</v>
      </c>
      <c r="W7411" s="28"/>
      <c r="X7411" s="28">
        <v>17367000</v>
      </c>
      <c r="Y7411" s="28">
        <v>1512015000</v>
      </c>
      <c r="Z7411" s="28">
        <v>30664000</v>
      </c>
      <c r="AA7411" s="28"/>
      <c r="AB7411" s="28">
        <v>40000000</v>
      </c>
      <c r="AC7411" s="28">
        <v>1480351000</v>
      </c>
      <c r="AD7411" s="28">
        <v>31664000</v>
      </c>
      <c r="AE7411" s="28">
        <v>5052683000</v>
      </c>
      <c r="AF7411" s="28">
        <v>10008000</v>
      </c>
      <c r="AG7411" s="11"/>
    </row>
    <row r="7412">
      <c r="A7412" s="7" t="s">
        <v>8965</v>
      </c>
      <c r="B7412" s="5" t="s">
        <v>16886</v>
      </c>
      <c r="C7412" s="5" t="s">
        <v>24489</v>
      </c>
      <c r="D7412" s="5" t="str">
        <v>540206691417</v>
      </c>
      <c r="E7412" s="0" t="e">
        <f>+7 (383) 2142782
+7 (383) 2881434
+7 (383) 2120009
+7 (383) 2125646
+7 (383) 2125647
+7 (383) 2125648
+7 (383) 2125649
+7 (383) 2125747
+7 (383) 2125748
+7 (383) 2125749
+7 (383) 2795030
+7 (383) 2881467
+7 (383) 2881477</f>
        <v>#NAME?</v>
      </c>
      <c r="F7412" s="5" t="s">
        <v>46829</v>
      </c>
      <c r="G7412" s="5" t="s">
        <v>46830</v>
      </c>
      <c r="H7412" s="26">
        <v>26</v>
      </c>
      <c r="I7412" s="5"/>
      <c r="J7412" s="5" t="s">
        <v>38785</v>
      </c>
      <c r="K7412" s="5" t="s">
        <v>344</v>
      </c>
      <c r="L7412" s="5" t="s">
        <v>46831</v>
      </c>
      <c r="M7412" s="27">
        <v>400000</v>
      </c>
      <c r="N7412" s="5" t="s">
        <v>60400</v>
      </c>
      <c r="O7412" s="5" t="str">
        <v>5406138217</v>
      </c>
      <c r="P7412" s="27">
        <v>1000000</v>
      </c>
      <c r="Q7412" s="5" t="s">
        <v>49009</v>
      </c>
      <c r="R7412" s="5"/>
      <c r="S7412" s="5" t="s">
        <v>49256</v>
      </c>
      <c r="T7412" s="28">
        <v>45804000</v>
      </c>
      <c r="U7412" s="28"/>
      <c r="V7412" s="28">
        <v>901146000</v>
      </c>
      <c r="W7412" s="28"/>
      <c r="X7412" s="28">
        <v>71891000</v>
      </c>
      <c r="Y7412" s="28">
        <v>2491254000</v>
      </c>
      <c r="Z7412" s="28">
        <v>1104265000</v>
      </c>
      <c r="AA7412" s="28"/>
      <c r="AB7412" s="28">
        <v>395524000</v>
      </c>
      <c r="AC7412" s="28">
        <v>1385989000</v>
      </c>
      <c r="AD7412" s="28">
        <v>1105265000</v>
      </c>
      <c r="AE7412" s="28">
        <v>10358836000</v>
      </c>
      <c r="AF7412" s="28">
        <v>506817000</v>
      </c>
      <c r="AG7412" s="11"/>
    </row>
    <row r="7413">
      <c r="A7413" s="7" t="s">
        <v>8966</v>
      </c>
      <c r="B7413" s="5" t="s">
        <v>16887</v>
      </c>
      <c r="C7413" s="5" t="s">
        <v>19813</v>
      </c>
      <c r="D7413" s="5"/>
      <c r="E7413" s="0" t="e">
        <f>+7 (812) 3323483
+7 (812) 3320249
+7 (3953) 340439
+7 (812) 3320245
+7 (812) 3320424
+7 (812) 3323796
+7 (812) 4601210
+7 (812) 4601893
+7 (812) 4603085
+7 (81850) 45725</f>
        <v>#NAME?</v>
      </c>
      <c r="F7413" s="5" t="s">
        <v>46832</v>
      </c>
      <c r="G7413" s="5" t="s">
        <v>46833</v>
      </c>
      <c r="H7413" s="26">
        <v>14</v>
      </c>
      <c r="I7413" s="5" t="s">
        <v>46834</v>
      </c>
      <c r="J7413" s="5" t="s">
        <v>599</v>
      </c>
      <c r="K7413" s="5" t="s">
        <v>355</v>
      </c>
      <c r="L7413" s="5"/>
      <c r="M7413" s="27">
        <v>866972</v>
      </c>
      <c r="N7413" s="5" t="s">
        <v>49403</v>
      </c>
      <c r="O7413" s="5" t="str">
        <v>7838425340</v>
      </c>
      <c r="P7413" s="27">
        <v>8981863</v>
      </c>
      <c r="Q7413" s="5" t="s">
        <v>58281</v>
      </c>
      <c r="R7413" s="5" t="s">
        <v>60402</v>
      </c>
      <c r="S7413" s="5" t="s">
        <v>49139</v>
      </c>
      <c r="T7413" s="28">
        <v>5455696000</v>
      </c>
      <c r="U7413" s="28"/>
      <c r="V7413" s="28">
        <v>1995464000</v>
      </c>
      <c r="W7413" s="28"/>
      <c r="X7413" s="28">
        <v>13082000</v>
      </c>
      <c r="Y7413" s="28">
        <v>11880128000</v>
      </c>
      <c r="Z7413" s="28">
        <v>1244971000</v>
      </c>
      <c r="AA7413" s="28"/>
      <c r="AB7413" s="28"/>
      <c r="AC7413" s="28">
        <v>6740666000</v>
      </c>
      <c r="AD7413" s="28">
        <v>1253953000</v>
      </c>
      <c r="AE7413" s="28">
        <v>7419588000</v>
      </c>
      <c r="AF7413" s="28">
        <v>-201134000</v>
      </c>
      <c r="AG7413" s="11"/>
    </row>
    <row r="7414">
      <c r="A7414" s="7" t="s">
        <v>8967</v>
      </c>
      <c r="B7414" s="5" t="s">
        <v>16888</v>
      </c>
      <c r="C7414" s="5" t="s">
        <v>24490</v>
      </c>
      <c r="D7414" s="5" t="str">
        <v>771610846199</v>
      </c>
      <c r="E7414" s="0" t="e">
        <f>+7 (985) 9976998
+7 (495) 9255675
+7 (495) 9495867</f>
        <v>#NAME?</v>
      </c>
      <c r="F7414" s="5" t="s">
        <v>46835</v>
      </c>
      <c r="G7414" s="5" t="s">
        <v>46836</v>
      </c>
      <c r="H7414" s="26">
        <v>27</v>
      </c>
      <c r="I7414" s="5"/>
      <c r="J7414" s="5" t="s">
        <v>25429</v>
      </c>
      <c r="K7414" s="5" t="s">
        <v>344</v>
      </c>
      <c r="L7414" s="5" t="s">
        <v>46837</v>
      </c>
      <c r="M7414" s="27"/>
      <c r="N7414" s="5" t="s">
        <v>60403</v>
      </c>
      <c r="O7414" s="5" t="str">
        <v>7709190971</v>
      </c>
      <c r="P7414" s="27">
        <v>6400</v>
      </c>
      <c r="Q7414" s="5" t="s">
        <v>60404</v>
      </c>
      <c r="R7414" s="5"/>
      <c r="S7414" s="5" t="s">
        <v>60405</v>
      </c>
      <c r="T7414" s="28">
        <v>38296000</v>
      </c>
      <c r="U7414" s="28"/>
      <c r="V7414" s="28">
        <v>656124000</v>
      </c>
      <c r="W7414" s="28"/>
      <c r="X7414" s="28">
        <v>34264000</v>
      </c>
      <c r="Y7414" s="28">
        <v>1608942000</v>
      </c>
      <c r="Z7414" s="28">
        <v>572150000</v>
      </c>
      <c r="AA7414" s="28"/>
      <c r="AB7414" s="28">
        <v>157984000</v>
      </c>
      <c r="AC7414" s="28">
        <v>1012617000</v>
      </c>
      <c r="AD7414" s="28">
        <v>572156000</v>
      </c>
      <c r="AE7414" s="28">
        <v>3953133000</v>
      </c>
      <c r="AF7414" s="28">
        <v>562163000</v>
      </c>
      <c r="AG7414" s="11"/>
    </row>
    <row r="7415">
      <c r="A7415" s="7" t="s">
        <v>8968</v>
      </c>
      <c r="B7415" s="5" t="s">
        <v>16889</v>
      </c>
      <c r="C7415" s="5" t="s">
        <v>24491</v>
      </c>
      <c r="D7415" s="5" t="str">
        <v>771406308994</v>
      </c>
      <c r="E7415" s="0" t="e">
        <f>+7 (495) 7059222
+7 (495) 7059220
+7 (800) 2002707</f>
        <v>#NAME?</v>
      </c>
      <c r="F7415" s="5"/>
      <c r="G7415" s="5" t="s">
        <v>46812</v>
      </c>
      <c r="H7415" s="26">
        <v>24</v>
      </c>
      <c r="I7415" s="5" t="s">
        <v>46838</v>
      </c>
      <c r="J7415" s="5" t="s">
        <v>26564</v>
      </c>
      <c r="K7415" s="5" t="s">
        <v>344</v>
      </c>
      <c r="L7415" s="5" t="s">
        <v>46839</v>
      </c>
      <c r="M7415" s="27"/>
      <c r="N7415" s="5"/>
      <c r="O7415" s="5" t="str">
        <v>7710298176</v>
      </c>
      <c r="P7415" s="27">
        <v>112900000</v>
      </c>
      <c r="Q7415" s="5" t="s">
        <v>49009</v>
      </c>
      <c r="R7415" s="5"/>
      <c r="S7415" s="5" t="s">
        <v>49581</v>
      </c>
      <c r="T7415" s="28">
        <v>2809741000</v>
      </c>
      <c r="U7415" s="28"/>
      <c r="V7415" s="28">
        <v>39631841000</v>
      </c>
      <c r="W7415" s="28"/>
      <c r="X7415" s="28">
        <v>2724384000</v>
      </c>
      <c r="Y7415" s="28">
        <v>93353581000</v>
      </c>
      <c r="Z7415" s="28">
        <v>7595409000</v>
      </c>
      <c r="AA7415" s="28"/>
      <c r="AB7415" s="28"/>
      <c r="AC7415" s="28">
        <v>84194342000</v>
      </c>
      <c r="AD7415" s="28">
        <v>7776031000</v>
      </c>
      <c r="AE7415" s="28">
        <v>399922115000</v>
      </c>
      <c r="AF7415" s="28">
        <v>4909210000</v>
      </c>
      <c r="AG7415" s="11"/>
    </row>
    <row r="7416">
      <c r="A7416" s="7" t="s">
        <v>8969</v>
      </c>
      <c r="B7416" s="5" t="s">
        <v>16890</v>
      </c>
      <c r="C7416" s="5" t="s">
        <v>24492</v>
      </c>
      <c r="D7416" s="5" t="str">
        <v>773603726909</v>
      </c>
      <c r="E7416" s="0" t="e">
        <f>+7 (383) 2061204
+7 (383) 2532134
+7 (385) 2222291
+7 (385) 2222956
+7 (391) 2115151
+7 (495) 2215674
+7 (495) 2287061
+7 (3422) 60096
+7 (343) 2161742
+7 (34373) 54225
+7 (3472) 516815
+7 (381) 2511217
+7 (473) 2533363
+7 (495) 1274947
+7 (495) 2211703</f>
        <v>#NAME?</v>
      </c>
      <c r="F7416" s="5" t="s">
        <v>46840</v>
      </c>
      <c r="G7416" s="5" t="s">
        <v>46841</v>
      </c>
      <c r="H7416" s="26">
        <v>26.5</v>
      </c>
      <c r="I7416" s="5"/>
      <c r="J7416" s="5" t="s">
        <v>25429</v>
      </c>
      <c r="K7416" s="5" t="s">
        <v>344</v>
      </c>
      <c r="L7416" s="5" t="s">
        <v>46842</v>
      </c>
      <c r="M7416" s="27">
        <v>2525</v>
      </c>
      <c r="N7416" s="5" t="s">
        <v>60406</v>
      </c>
      <c r="O7416" s="5" t="str">
        <v>7731241639</v>
      </c>
      <c r="P7416" s="27">
        <v>1000013</v>
      </c>
      <c r="Q7416" s="5" t="s">
        <v>60407</v>
      </c>
      <c r="R7416" s="5" t="s">
        <v>60408</v>
      </c>
      <c r="S7416" s="5" t="s">
        <v>60409</v>
      </c>
      <c r="T7416" s="28">
        <v>163730000</v>
      </c>
      <c r="U7416" s="28">
        <v>2500000</v>
      </c>
      <c r="V7416" s="28">
        <v>3036851000</v>
      </c>
      <c r="W7416" s="28">
        <v>1621084000</v>
      </c>
      <c r="X7416" s="28">
        <v>87813000</v>
      </c>
      <c r="Y7416" s="28">
        <v>8397604000</v>
      </c>
      <c r="Z7416" s="28">
        <v>2766498000</v>
      </c>
      <c r="AA7416" s="28"/>
      <c r="AB7416" s="28">
        <v>1714000000</v>
      </c>
      <c r="AC7416" s="28">
        <v>5630106000</v>
      </c>
      <c r="AD7416" s="28">
        <v>2767498000</v>
      </c>
      <c r="AE7416" s="28">
        <v>18719601000</v>
      </c>
      <c r="AF7416" s="28">
        <v>213466000</v>
      </c>
      <c r="AG7416" s="11"/>
    </row>
    <row r="7417">
      <c r="A7417" s="7" t="s">
        <v>8970</v>
      </c>
      <c r="B7417" s="5" t="s">
        <v>16891</v>
      </c>
      <c r="C7417" s="5" t="s">
        <v>24493</v>
      </c>
      <c r="D7417" s="5" t="str">
        <v>246506649793</v>
      </c>
      <c r="E7417" s="0" t="e">
        <f>+7 (391) 2015929
+7 (391) 2016040
+7 (391) 2016092
+7 (391) 2016128
+7 (391) 2133867
+7 (391) 2272994
+7 (391) 2341780
+7 (391) 2348054
+7 (391) 2633091
+7 (391) 2655243
+7 (391) 2909661
+7 (391) 2916749
+7 (391) 2916799
+7 (391) 2916866
+7 (391) 2916878</f>
        <v>#NAME?</v>
      </c>
      <c r="F7417" s="5" t="s">
        <v>46843</v>
      </c>
      <c r="G7417" s="5" t="s">
        <v>46844</v>
      </c>
      <c r="H7417" s="26">
        <v>31</v>
      </c>
      <c r="I7417" s="5"/>
      <c r="J7417" s="5" t="s">
        <v>991</v>
      </c>
      <c r="K7417" s="5" t="s">
        <v>344</v>
      </c>
      <c r="L7417" s="5" t="s">
        <v>28644</v>
      </c>
      <c r="M7417" s="27">
        <v>16350027</v>
      </c>
      <c r="N7417" s="5" t="s">
        <v>60410</v>
      </c>
      <c r="O7417" s="5" t="str">
        <v>2464000780</v>
      </c>
      <c r="P7417" s="27">
        <v>251140000</v>
      </c>
      <c r="Q7417" s="5" t="s">
        <v>60412</v>
      </c>
      <c r="R7417" s="5"/>
      <c r="S7417" s="5" t="s">
        <v>60413</v>
      </c>
      <c r="T7417" s="28">
        <v>1148909000</v>
      </c>
      <c r="U7417" s="28">
        <v>600000</v>
      </c>
      <c r="V7417" s="28">
        <v>1121251000</v>
      </c>
      <c r="W7417" s="28">
        <v>521900000</v>
      </c>
      <c r="X7417" s="28">
        <v>140181000</v>
      </c>
      <c r="Y7417" s="28">
        <v>4122508000</v>
      </c>
      <c r="Z7417" s="28">
        <v>1623297000</v>
      </c>
      <c r="AA7417" s="28"/>
      <c r="AB7417" s="28"/>
      <c r="AC7417" s="28">
        <v>2100563000</v>
      </c>
      <c r="AD7417" s="28">
        <v>1946949000</v>
      </c>
      <c r="AE7417" s="28">
        <v>4743079000</v>
      </c>
      <c r="AF7417" s="28">
        <v>599353000</v>
      </c>
      <c r="AG7417" s="11"/>
    </row>
    <row r="7418">
      <c r="A7418" s="7" t="s">
        <v>8971</v>
      </c>
      <c r="B7418" s="5" t="s">
        <v>16892</v>
      </c>
      <c r="C7418" s="5" t="s">
        <v>24494</v>
      </c>
      <c r="D7418" s="5" t="str">
        <v>090100581726</v>
      </c>
      <c r="E7418" s="0" t="e">
        <f>+7 (878) 2295456
+7 (8652) 238555
+7 (878) 2210696
+7 (905) 4207676
+7 (928) 251260
+7 (963) 3893642</f>
        <v>#NAME?</v>
      </c>
      <c r="F7418" s="5" t="s">
        <v>46845</v>
      </c>
      <c r="G7418" s="5"/>
      <c r="H7418" s="26">
        <v>27</v>
      </c>
      <c r="I7418" s="5" t="s">
        <v>46846</v>
      </c>
      <c r="J7418" s="5" t="s">
        <v>25327</v>
      </c>
      <c r="K7418" s="5" t="s">
        <v>344</v>
      </c>
      <c r="L7418" s="5" t="s">
        <v>36017</v>
      </c>
      <c r="M7418" s="27">
        <v>171458</v>
      </c>
      <c r="N7418" s="5" t="s">
        <v>60414</v>
      </c>
      <c r="O7418" s="5" t="str">
        <v>0901049280</v>
      </c>
      <c r="P7418" s="27">
        <v>275095000</v>
      </c>
      <c r="Q7418" s="5" t="s">
        <v>49057</v>
      </c>
      <c r="R7418" s="5"/>
      <c r="S7418" s="5" t="s">
        <v>60415</v>
      </c>
      <c r="T7418" s="28">
        <v>626811000</v>
      </c>
      <c r="U7418" s="28">
        <v>207635000</v>
      </c>
      <c r="V7418" s="28">
        <v>1887839000</v>
      </c>
      <c r="W7418" s="28"/>
      <c r="X7418" s="28">
        <v>89042000</v>
      </c>
      <c r="Y7418" s="28">
        <v>4477826000</v>
      </c>
      <c r="Z7418" s="28">
        <v>1220837000</v>
      </c>
      <c r="AA7418" s="28">
        <v>1579991000</v>
      </c>
      <c r="AB7418" s="28"/>
      <c r="AC7418" s="28">
        <v>1390216000</v>
      </c>
      <c r="AD7418" s="28">
        <v>1497296000</v>
      </c>
      <c r="AE7418" s="28">
        <v>6668353000</v>
      </c>
      <c r="AF7418" s="28">
        <v>133334000</v>
      </c>
      <c r="AG7418" s="11"/>
    </row>
    <row r="7419">
      <c r="A7419" s="7" t="s">
        <v>8972</v>
      </c>
      <c r="B7419" s="5" t="s">
        <v>16893</v>
      </c>
      <c r="C7419" s="5" t="s">
        <v>24495</v>
      </c>
      <c r="D7419" s="5" t="str">
        <v>590412343985</v>
      </c>
      <c r="E7419" s="0" t="e">
        <f>+7 (342) 2446335
+7 (3422) 182255
+7 (3422) 389238
+7 (345) 2520447
+7 (495) 9358200
+7 (985) 1301883</f>
        <v>#NAME?</v>
      </c>
      <c r="F7419" s="5" t="s">
        <v>46847</v>
      </c>
      <c r="G7419" s="5"/>
      <c r="H7419" s="26">
        <v>40.5</v>
      </c>
      <c r="I7419" s="5" t="s">
        <v>46848</v>
      </c>
      <c r="J7419" s="5" t="s">
        <v>46849</v>
      </c>
      <c r="K7419" s="5" t="s">
        <v>344</v>
      </c>
      <c r="L7419" s="5" t="s">
        <v>46850</v>
      </c>
      <c r="M7419" s="27">
        <v>4795144</v>
      </c>
      <c r="N7419" s="5" t="s">
        <v>60416</v>
      </c>
      <c r="O7419" s="5" t="str">
        <v>5904017215</v>
      </c>
      <c r="P7419" s="27">
        <v>168177495</v>
      </c>
      <c r="Q7419" s="5" t="s">
        <v>54995</v>
      </c>
      <c r="R7419" s="5"/>
      <c r="S7419" s="5" t="s">
        <v>60417</v>
      </c>
      <c r="T7419" s="28">
        <v>1162431000</v>
      </c>
      <c r="U7419" s="28">
        <v>9376000</v>
      </c>
      <c r="V7419" s="28">
        <v>1461264000</v>
      </c>
      <c r="W7419" s="28"/>
      <c r="X7419" s="28">
        <v>426824000</v>
      </c>
      <c r="Y7419" s="28">
        <v>4921708000</v>
      </c>
      <c r="Z7419" s="28">
        <v>1757960000</v>
      </c>
      <c r="AA7419" s="28"/>
      <c r="AB7419" s="28">
        <v>109000</v>
      </c>
      <c r="AC7419" s="28">
        <v>589833000</v>
      </c>
      <c r="AD7419" s="28">
        <v>4148296000</v>
      </c>
      <c r="AE7419" s="28">
        <v>4377929000</v>
      </c>
      <c r="AF7419" s="28">
        <v>794863000</v>
      </c>
      <c r="AG7419" s="11"/>
    </row>
    <row r="7420">
      <c r="A7420" s="7" t="s">
        <v>8973</v>
      </c>
      <c r="B7420" s="5" t="s">
        <v>16894</v>
      </c>
      <c r="C7420" s="5" t="s">
        <v>24496</v>
      </c>
      <c r="D7420" s="5" t="str">
        <v>165702478969</v>
      </c>
      <c r="E7420" s="0" t="e">
        <f>+7 (843) 2721575
+7 (843) 2724450
+7 (843) 2731565
+7 (843) 2731575
+7 (843) 2751575
+7 (8432) 9987
+7 (960) 512195
+7 (960) 559605</f>
        <v>#NAME?</v>
      </c>
      <c r="F7420" s="5" t="s">
        <v>46851</v>
      </c>
      <c r="G7420" s="5" t="s">
        <v>46852</v>
      </c>
      <c r="H7420" s="26">
        <v>23</v>
      </c>
      <c r="I7420" s="5" t="s">
        <v>46853</v>
      </c>
      <c r="J7420" s="5" t="s">
        <v>26367</v>
      </c>
      <c r="K7420" s="5" t="s">
        <v>344</v>
      </c>
      <c r="L7420" s="5" t="s">
        <v>46854</v>
      </c>
      <c r="M7420" s="27">
        <v>864056160</v>
      </c>
      <c r="N7420" s="5" t="s">
        <v>60418</v>
      </c>
      <c r="O7420" s="5" t="str">
        <v>1655029757</v>
      </c>
      <c r="P7420" s="27">
        <v>10662130</v>
      </c>
      <c r="Q7420" s="5"/>
      <c r="R7420" s="5" t="s">
        <v>60419</v>
      </c>
      <c r="S7420" s="5" t="s">
        <v>49047</v>
      </c>
      <c r="T7420" s="28">
        <v>359141000</v>
      </c>
      <c r="U7420" s="28"/>
      <c r="V7420" s="28">
        <v>1522281000</v>
      </c>
      <c r="W7420" s="28"/>
      <c r="X7420" s="28">
        <v>28663000</v>
      </c>
      <c r="Y7420" s="28">
        <v>2854675000</v>
      </c>
      <c r="Z7420" s="28">
        <v>680548000</v>
      </c>
      <c r="AA7420" s="28"/>
      <c r="AB7420" s="28">
        <v>509344000</v>
      </c>
      <c r="AC7420" s="28">
        <v>1961701000</v>
      </c>
      <c r="AD7420" s="28">
        <v>874346000</v>
      </c>
      <c r="AE7420" s="28">
        <v>5389940000</v>
      </c>
      <c r="AF7420" s="28">
        <v>290484000</v>
      </c>
      <c r="AG7420" s="11"/>
    </row>
    <row r="7421">
      <c r="A7421" s="7" t="s">
        <v>8974</v>
      </c>
      <c r="B7421" s="5" t="s">
        <v>16895</v>
      </c>
      <c r="C7421" s="5" t="s">
        <v>24497</v>
      </c>
      <c r="D7421" s="5" t="str">
        <v>782506355957</v>
      </c>
      <c r="E7421" s="0" t="e">
        <f>+7 (812) 3257920
+7 (800) 5505840
+7 (812) 3209292
+7 (812) 3255840
+7 (812) 3255920
+7 (812) 3257917
+7 (812) 4122280
+7 (812) 4128864
+7 (812) 5678853
+7 (812) 5678864
+7 (921) 9505400</f>
        <v>#NAME?</v>
      </c>
      <c r="F7421" s="5" t="s">
        <v>46855</v>
      </c>
      <c r="G7421" s="5" t="s">
        <v>46856</v>
      </c>
      <c r="H7421" s="26">
        <v>27</v>
      </c>
      <c r="I7421" s="5" t="s">
        <v>46857</v>
      </c>
      <c r="J7421" s="5" t="s">
        <v>26292</v>
      </c>
      <c r="K7421" s="5" t="s">
        <v>344</v>
      </c>
      <c r="L7421" s="5" t="s">
        <v>46858</v>
      </c>
      <c r="M7421" s="27"/>
      <c r="N7421" s="5"/>
      <c r="O7421" s="5" t="str">
        <v>7825348232</v>
      </c>
      <c r="P7421" s="27">
        <v>2500000</v>
      </c>
      <c r="Q7421" s="5" t="s">
        <v>49009</v>
      </c>
      <c r="R7421" s="5"/>
      <c r="S7421" s="5" t="s">
        <v>49045</v>
      </c>
      <c r="T7421" s="28">
        <v>486782000</v>
      </c>
      <c r="U7421" s="28">
        <v>5589000</v>
      </c>
      <c r="V7421" s="28">
        <v>52879000</v>
      </c>
      <c r="W7421" s="28">
        <v>1732000</v>
      </c>
      <c r="X7421" s="28">
        <v>1038633000</v>
      </c>
      <c r="Y7421" s="28">
        <v>2257834000</v>
      </c>
      <c r="Z7421" s="28">
        <v>1833116000</v>
      </c>
      <c r="AA7421" s="28"/>
      <c r="AB7421" s="28"/>
      <c r="AC7421" s="28">
        <v>412912000</v>
      </c>
      <c r="AD7421" s="28">
        <v>1835866000</v>
      </c>
      <c r="AE7421" s="28">
        <v>4948233000</v>
      </c>
      <c r="AF7421" s="28">
        <v>130940000</v>
      </c>
      <c r="AG7421" s="11"/>
    </row>
    <row r="7422">
      <c r="A7422" s="7" t="s">
        <v>8975</v>
      </c>
      <c r="B7422" s="5" t="s">
        <v>16896</v>
      </c>
      <c r="C7422" s="5" t="s">
        <v>24498</v>
      </c>
      <c r="D7422" s="5" t="str">
        <v>470419295372</v>
      </c>
      <c r="E7422" s="0" t="e">
        <f>+7 (812) 7027341</f>
        <v>#NAME?</v>
      </c>
      <c r="F7422" s="5"/>
      <c r="G7422" s="5" t="s">
        <v>46859</v>
      </c>
      <c r="H7422" s="26">
        <v>16.5</v>
      </c>
      <c r="I7422" s="5" t="s">
        <v>46860</v>
      </c>
      <c r="J7422" s="5" t="s">
        <v>30320</v>
      </c>
      <c r="K7422" s="5" t="s">
        <v>344</v>
      </c>
      <c r="L7422" s="5" t="s">
        <v>25642</v>
      </c>
      <c r="M7422" s="27"/>
      <c r="N7422" s="5" t="s">
        <v>60420</v>
      </c>
      <c r="O7422" s="5" t="str">
        <v>7839341396</v>
      </c>
      <c r="P7422" s="27">
        <v>20000</v>
      </c>
      <c r="Q7422" s="5"/>
      <c r="R7422" s="5"/>
      <c r="S7422" s="5" t="s">
        <v>49053</v>
      </c>
      <c r="T7422" s="28">
        <v>369118000</v>
      </c>
      <c r="U7422" s="28"/>
      <c r="V7422" s="28"/>
      <c r="W7422" s="28"/>
      <c r="X7422" s="28">
        <v>180418000</v>
      </c>
      <c r="Y7422" s="28">
        <v>882469000</v>
      </c>
      <c r="Z7422" s="28">
        <v>153286000</v>
      </c>
      <c r="AA7422" s="28"/>
      <c r="AB7422" s="28"/>
      <c r="AC7422" s="28">
        <v>709183000</v>
      </c>
      <c r="AD7422" s="28">
        <v>173286000</v>
      </c>
      <c r="AE7422" s="28">
        <v>15328566000</v>
      </c>
      <c r="AF7422" s="28">
        <v>153286000</v>
      </c>
      <c r="AG7422" s="11"/>
    </row>
    <row r="7423">
      <c r="A7423" s="7" t="s">
        <v>8976</v>
      </c>
      <c r="B7423" s="5" t="s">
        <v>16897</v>
      </c>
      <c r="C7423" s="5" t="s">
        <v>24499</v>
      </c>
      <c r="D7423" s="5" t="str">
        <v>773200795681</v>
      </c>
      <c r="E7423" s="0" t="e">
        <f>+7 (495) 2303026
+7 (495) 7898654
+7 (952) 6340267</f>
        <v>#NAME?</v>
      </c>
      <c r="F7423" s="5" t="s">
        <v>46861</v>
      </c>
      <c r="G7423" s="5" t="s">
        <v>46862</v>
      </c>
      <c r="H7423" s="26">
        <v>29</v>
      </c>
      <c r="I7423" s="5"/>
      <c r="J7423" s="5" t="s">
        <v>30361</v>
      </c>
      <c r="K7423" s="5" t="s">
        <v>344</v>
      </c>
      <c r="L7423" s="5" t="s">
        <v>46863</v>
      </c>
      <c r="M7423" s="27">
        <v>37430846</v>
      </c>
      <c r="N7423" s="5" t="s">
        <v>60421</v>
      </c>
      <c r="O7423" s="5" t="str">
        <v>7707011088</v>
      </c>
      <c r="P7423" s="27">
        <v>20</v>
      </c>
      <c r="Q7423" s="5" t="s">
        <v>60422</v>
      </c>
      <c r="R7423" s="5"/>
      <c r="S7423" s="5" t="s">
        <v>60423</v>
      </c>
      <c r="T7423" s="28">
        <v>112759000</v>
      </c>
      <c r="U7423" s="28">
        <v>100000</v>
      </c>
      <c r="V7423" s="28">
        <v>1358271000</v>
      </c>
      <c r="W7423" s="28">
        <v>58685000</v>
      </c>
      <c r="X7423" s="28">
        <v>298117000</v>
      </c>
      <c r="Y7423" s="28">
        <v>4922722000</v>
      </c>
      <c r="Z7423" s="28">
        <v>3279494000</v>
      </c>
      <c r="AA7423" s="28"/>
      <c r="AB7423" s="28">
        <v>244058000</v>
      </c>
      <c r="AC7423" s="28">
        <v>1642907000</v>
      </c>
      <c r="AD7423" s="28">
        <v>3279526000</v>
      </c>
      <c r="AE7423" s="28">
        <v>3616006000</v>
      </c>
      <c r="AF7423" s="28">
        <v>494055000</v>
      </c>
      <c r="AG7423" s="11"/>
    </row>
    <row r="7424">
      <c r="A7424" s="7" t="s">
        <v>8977</v>
      </c>
      <c r="B7424" s="5" t="s">
        <v>16898</v>
      </c>
      <c r="C7424" s="5" t="s">
        <v>24500</v>
      </c>
      <c r="D7424" s="5"/>
      <c r="E7424" s="0" t="e">
        <f>+7 (800) 2344499
+7 (916) 2623783
+7 (3512) 659380
+7 (812) 4587868
+7 (8212) 620244
+7 (910) 3273904
+7 (914) 9299869
+7 (919) 3014330</f>
        <v>#NAME?</v>
      </c>
      <c r="F7424" s="5" t="s">
        <v>46864</v>
      </c>
      <c r="G7424" s="5" t="s">
        <v>46865</v>
      </c>
      <c r="H7424" s="26">
        <v>25</v>
      </c>
      <c r="I7424" s="5" t="s">
        <v>46866</v>
      </c>
      <c r="J7424" s="5" t="s">
        <v>599</v>
      </c>
      <c r="K7424" s="5" t="s">
        <v>355</v>
      </c>
      <c r="L7424" s="5"/>
      <c r="M7424" s="27">
        <v>755591</v>
      </c>
      <c r="N7424" s="5" t="s">
        <v>60424</v>
      </c>
      <c r="O7424" s="5" t="str">
        <v>7712098983</v>
      </c>
      <c r="P7424" s="27">
        <v>3696850000</v>
      </c>
      <c r="Q7424" s="5" t="s">
        <v>60425</v>
      </c>
      <c r="R7424" s="5"/>
      <c r="S7424" s="5" t="s">
        <v>60426</v>
      </c>
      <c r="T7424" s="28">
        <v>22685141000</v>
      </c>
      <c r="U7424" s="28">
        <v>838352000</v>
      </c>
      <c r="V7424" s="28">
        <v>2017077000</v>
      </c>
      <c r="W7424" s="28">
        <v>1474754000</v>
      </c>
      <c r="X7424" s="28">
        <v>12793000</v>
      </c>
      <c r="Y7424" s="28">
        <v>32092448000</v>
      </c>
      <c r="Z7424" s="28">
        <v>3167771000</v>
      </c>
      <c r="AA7424" s="28">
        <v>2078634000</v>
      </c>
      <c r="AB7424" s="28">
        <v>5960012000</v>
      </c>
      <c r="AC7424" s="28">
        <v>9744831000</v>
      </c>
      <c r="AD7424" s="28">
        <v>6864621000</v>
      </c>
      <c r="AE7424" s="28">
        <v>6463219000</v>
      </c>
      <c r="AF7424" s="28">
        <v>408930000</v>
      </c>
      <c r="AG7424" s="11"/>
    </row>
    <row r="7425">
      <c r="A7425" s="7" t="s">
        <v>8978</v>
      </c>
      <c r="B7425" s="5" t="s">
        <v>16899</v>
      </c>
      <c r="C7425" s="5" t="s">
        <v>24501</v>
      </c>
      <c r="D7425" s="5" t="str">
        <v>910216023650</v>
      </c>
      <c r="E7425" s="0" t="e">
        <f>+7 (3652) 547183
+7 (3652) 548137
+7 (3652) 549917
+7 (800) 5556135
+7 (978) 996284
+7 (978) 1521488
+7 (978) 3009811
+7 (978) 7034936
+7 (978) 7057880
+7 (978) 8085427
+7 (978) 8323322
+7 (978) 8324477
+7 (3652) 548171
+7 (978) 8207755
+7 (978) 8322522</f>
        <v>#NAME?</v>
      </c>
      <c r="F7425" s="5" t="s">
        <v>46867</v>
      </c>
      <c r="G7425" s="5"/>
      <c r="H7425" s="26">
        <v>30.5</v>
      </c>
      <c r="I7425" s="5" t="s">
        <v>46868</v>
      </c>
      <c r="J7425" s="5" t="s">
        <v>373</v>
      </c>
      <c r="K7425" s="5" t="s">
        <v>380</v>
      </c>
      <c r="L7425" s="5"/>
      <c r="M7425" s="27">
        <v>137166926</v>
      </c>
      <c r="N7425" s="5" t="s">
        <v>60427</v>
      </c>
      <c r="O7425" s="5" t="str">
        <v>9102036098</v>
      </c>
      <c r="P7425" s="27">
        <v>90000000</v>
      </c>
      <c r="Q7425" s="5" t="s">
        <v>1685</v>
      </c>
      <c r="R7425" s="5"/>
      <c r="S7425" s="5" t="s">
        <v>60428</v>
      </c>
      <c r="T7425" s="28">
        <v>1663149000</v>
      </c>
      <c r="U7425" s="28">
        <v>69143000</v>
      </c>
      <c r="V7425" s="28">
        <v>2175239000</v>
      </c>
      <c r="W7425" s="28">
        <v>317241000</v>
      </c>
      <c r="X7425" s="28">
        <v>28815000</v>
      </c>
      <c r="Y7425" s="28">
        <v>4824751000</v>
      </c>
      <c r="Z7425" s="28">
        <v>360419000</v>
      </c>
      <c r="AA7425" s="28">
        <v>2236076000</v>
      </c>
      <c r="AB7425" s="28">
        <v>293968000</v>
      </c>
      <c r="AC7425" s="28">
        <v>2092452000</v>
      </c>
      <c r="AD7425" s="28">
        <v>522419000</v>
      </c>
      <c r="AE7425" s="28">
        <v>11933903000</v>
      </c>
      <c r="AF7425" s="28">
        <v>607535000</v>
      </c>
      <c r="AG7425" s="11"/>
    </row>
    <row r="7426">
      <c r="A7426" s="7" t="s">
        <v>8979</v>
      </c>
      <c r="B7426" s="5" t="s">
        <v>16900</v>
      </c>
      <c r="C7426" s="5" t="s">
        <v>19131</v>
      </c>
      <c r="D7426" s="5" t="str">
        <v>780526478311</v>
      </c>
      <c r="E7426" s="0" t="e">
        <f>+7 (800) 5003528
+7 (800) 5004527
+7 (800) 5507326
+7 (800) 5552730
+7 (800) 6002469</f>
        <v>#NAME?</v>
      </c>
      <c r="F7426" s="5" t="s">
        <v>46869</v>
      </c>
      <c r="G7426" s="5" t="s">
        <v>46870</v>
      </c>
      <c r="H7426" s="26">
        <v>6.5</v>
      </c>
      <c r="I7426" s="5" t="s">
        <v>46871</v>
      </c>
      <c r="J7426" s="5" t="s">
        <v>28568</v>
      </c>
      <c r="K7426" s="5" t="s">
        <v>344</v>
      </c>
      <c r="L7426" s="5" t="s">
        <v>27123</v>
      </c>
      <c r="M7426" s="27"/>
      <c r="N7426" s="5"/>
      <c r="O7426" s="5" t="str">
        <v>7805680908</v>
      </c>
      <c r="P7426" s="27">
        <v>10000</v>
      </c>
      <c r="Q7426" s="5" t="s">
        <v>49207</v>
      </c>
      <c r="R7426" s="5"/>
      <c r="S7426" s="5" t="s">
        <v>52322</v>
      </c>
      <c r="T7426" s="28"/>
      <c r="U7426" s="28"/>
      <c r="V7426" s="28">
        <v>478849000</v>
      </c>
      <c r="W7426" s="28"/>
      <c r="X7426" s="28">
        <v>14839000</v>
      </c>
      <c r="Y7426" s="28">
        <v>733562000</v>
      </c>
      <c r="Z7426" s="28">
        <v>327392000</v>
      </c>
      <c r="AA7426" s="28"/>
      <c r="AB7426" s="28"/>
      <c r="AC7426" s="28">
        <v>406160000</v>
      </c>
      <c r="AD7426" s="28">
        <v>327402000</v>
      </c>
      <c r="AE7426" s="28">
        <v>3316982000</v>
      </c>
      <c r="AF7426" s="28">
        <v>73094000</v>
      </c>
      <c r="AG7426" s="11"/>
    </row>
    <row r="7427">
      <c r="A7427" s="7" t="s">
        <v>8980</v>
      </c>
      <c r="B7427" s="5" t="s">
        <v>16901</v>
      </c>
      <c r="C7427" s="5" t="s">
        <v>24502</v>
      </c>
      <c r="D7427" s="5" t="str">
        <v>771507256848</v>
      </c>
      <c r="E7427" s="0" t="e">
        <f>+7 (495) 2281255
+7 (495) 2281422
+7 (495) 2281279
+7 (495) 2281424</f>
        <v>#NAME?</v>
      </c>
      <c r="F7427" s="5" t="s">
        <v>46872</v>
      </c>
      <c r="G7427" s="5" t="s">
        <v>46873</v>
      </c>
      <c r="H7427" s="26">
        <v>30.5</v>
      </c>
      <c r="I7427" s="5"/>
      <c r="J7427" s="5" t="s">
        <v>26125</v>
      </c>
      <c r="K7427" s="5" t="s">
        <v>344</v>
      </c>
      <c r="L7427" s="5"/>
      <c r="M7427" s="27"/>
      <c r="N7427" s="5"/>
      <c r="O7427" s="5" t="str">
        <v>7724226319</v>
      </c>
      <c r="P7427" s="27">
        <v>2200000</v>
      </c>
      <c r="Q7427" s="5" t="s">
        <v>49021</v>
      </c>
      <c r="R7427" s="5"/>
      <c r="S7427" s="5" t="s">
        <v>49235</v>
      </c>
      <c r="T7427" s="28">
        <v>184280000</v>
      </c>
      <c r="U7427" s="28">
        <v>456546000</v>
      </c>
      <c r="V7427" s="28">
        <v>825253000</v>
      </c>
      <c r="W7427" s="28">
        <v>857000</v>
      </c>
      <c r="X7427" s="28">
        <v>708641000</v>
      </c>
      <c r="Y7427" s="28">
        <v>2258851000</v>
      </c>
      <c r="Z7427" s="28">
        <v>823537000</v>
      </c>
      <c r="AA7427" s="28"/>
      <c r="AB7427" s="28">
        <v>60369000</v>
      </c>
      <c r="AC7427" s="28">
        <v>1312463000</v>
      </c>
      <c r="AD7427" s="28">
        <v>825847000</v>
      </c>
      <c r="AE7427" s="28">
        <v>8170804000</v>
      </c>
      <c r="AF7427" s="28">
        <v>19384000</v>
      </c>
      <c r="AG7427" s="11"/>
    </row>
    <row r="7428">
      <c r="A7428" s="7" t="s">
        <v>8981</v>
      </c>
      <c r="B7428" s="5" t="s">
        <v>16902</v>
      </c>
      <c r="C7428" s="5" t="s">
        <v>24503</v>
      </c>
      <c r="D7428" s="5" t="str">
        <v>771606880937</v>
      </c>
      <c r="E7428" s="0" t="e">
        <f>+7 (495) 3478442
+7 (495) 9561543</f>
        <v>#NAME?</v>
      </c>
      <c r="F7428" s="5" t="s">
        <v>46874</v>
      </c>
      <c r="G7428" s="5" t="s">
        <v>46875</v>
      </c>
      <c r="H7428" s="26">
        <v>23.5</v>
      </c>
      <c r="I7428" s="5" t="s">
        <v>46876</v>
      </c>
      <c r="J7428" s="5" t="s">
        <v>25437</v>
      </c>
      <c r="K7428" s="5" t="s">
        <v>344</v>
      </c>
      <c r="L7428" s="5" t="s">
        <v>46877</v>
      </c>
      <c r="M7428" s="27"/>
      <c r="N7428" s="5" t="s">
        <v>60429</v>
      </c>
      <c r="O7428" s="5" t="str">
        <v>7751147024</v>
      </c>
      <c r="P7428" s="27">
        <v>5500000</v>
      </c>
      <c r="Q7428" s="5" t="s">
        <v>49059</v>
      </c>
      <c r="R7428" s="5"/>
      <c r="S7428" s="5" t="s">
        <v>49399</v>
      </c>
      <c r="T7428" s="28">
        <v>1440726000</v>
      </c>
      <c r="U7428" s="28"/>
      <c r="V7428" s="28">
        <v>2833856000</v>
      </c>
      <c r="W7428" s="28">
        <v>1210536000</v>
      </c>
      <c r="X7428" s="28">
        <v>352294000</v>
      </c>
      <c r="Y7428" s="28">
        <v>7173171000</v>
      </c>
      <c r="Z7428" s="28">
        <v>6441316000</v>
      </c>
      <c r="AA7428" s="28"/>
      <c r="AB7428" s="28"/>
      <c r="AC7428" s="28">
        <v>630861000</v>
      </c>
      <c r="AD7428" s="28">
        <v>6446816000</v>
      </c>
      <c r="AE7428" s="28">
        <v>5134999000</v>
      </c>
      <c r="AF7428" s="28">
        <v>2654330000</v>
      </c>
      <c r="AG7428" s="11"/>
    </row>
    <row r="7429">
      <c r="A7429" s="7" t="s">
        <v>8982</v>
      </c>
      <c r="B7429" s="5" t="s">
        <v>16903</v>
      </c>
      <c r="C7429" s="5" t="s">
        <v>24500</v>
      </c>
      <c r="D7429" s="5"/>
      <c r="E7429" s="0" t="e">
        <f>+7 (499) 7414928
+7 (4232) 57110
+7 (4232) 521216
+7 (914) 7052925
+7 (4232) 497039
+7 (4232) 521414
+7 (424) 2772883
+7 (495) 7300110
+7 (495) 7300140
+7 (495) 7414929</f>
        <v>#NAME?</v>
      </c>
      <c r="F7429" s="5" t="s">
        <v>46878</v>
      </c>
      <c r="G7429" s="5" t="s">
        <v>46879</v>
      </c>
      <c r="H7429" s="26">
        <v>24.5</v>
      </c>
      <c r="I7429" s="5" t="s">
        <v>46880</v>
      </c>
      <c r="J7429" s="5" t="s">
        <v>599</v>
      </c>
      <c r="K7429" s="5" t="s">
        <v>344</v>
      </c>
      <c r="L7429" s="5" t="s">
        <v>46881</v>
      </c>
      <c r="M7429" s="27">
        <v>147174854</v>
      </c>
      <c r="N7429" s="5" t="s">
        <v>60430</v>
      </c>
      <c r="O7429" s="5" t="str">
        <v>7710293280</v>
      </c>
      <c r="P7429" s="27">
        <v>100000</v>
      </c>
      <c r="Q7429" s="5" t="s">
        <v>60431</v>
      </c>
      <c r="R7429" s="5" t="s">
        <v>50752</v>
      </c>
      <c r="S7429" s="5" t="s">
        <v>60432</v>
      </c>
      <c r="T7429" s="28">
        <v>23097000</v>
      </c>
      <c r="U7429" s="28">
        <v>2444098000</v>
      </c>
      <c r="V7429" s="28">
        <v>18874845000</v>
      </c>
      <c r="W7429" s="28">
        <v>6148242000</v>
      </c>
      <c r="X7429" s="28">
        <v>16951840000</v>
      </c>
      <c r="Y7429" s="28">
        <v>55018057000</v>
      </c>
      <c r="Z7429" s="28">
        <v>4060957000</v>
      </c>
      <c r="AA7429" s="28">
        <v>5727000</v>
      </c>
      <c r="AB7429" s="28"/>
      <c r="AC7429" s="28">
        <v>49150582000</v>
      </c>
      <c r="AD7429" s="28">
        <v>4061057000</v>
      </c>
      <c r="AE7429" s="28">
        <v>100140740000</v>
      </c>
      <c r="AF7429" s="28">
        <v>4056565000</v>
      </c>
      <c r="AG7429" s="11"/>
    </row>
    <row r="7430">
      <c r="A7430" s="7" t="s">
        <v>8983</v>
      </c>
      <c r="B7430" s="5" t="s">
        <v>16904</v>
      </c>
      <c r="C7430" s="5" t="s">
        <v>24504</v>
      </c>
      <c r="D7430" s="5" t="str">
        <v>632203361442</v>
      </c>
      <c r="E7430" s="0" t="e">
        <f>+7 (800) 2228205
+7 (8482) 697180
+7 (927) 8941288
+7 (939) 7093994</f>
        <v>#NAME?</v>
      </c>
      <c r="F7430" s="5" t="s">
        <v>46882</v>
      </c>
      <c r="G7430" s="5"/>
      <c r="H7430" s="26">
        <v>6</v>
      </c>
      <c r="I7430" s="5" t="s">
        <v>42687</v>
      </c>
      <c r="J7430" s="5" t="s">
        <v>46883</v>
      </c>
      <c r="K7430" s="5" t="s">
        <v>344</v>
      </c>
      <c r="L7430" s="5" t="s">
        <v>46884</v>
      </c>
      <c r="M7430" s="27"/>
      <c r="N7430" s="5"/>
      <c r="O7430" s="5" t="str">
        <v>6324078738</v>
      </c>
      <c r="P7430" s="27">
        <v>10000</v>
      </c>
      <c r="Q7430" s="5" t="s">
        <v>49207</v>
      </c>
      <c r="R7430" s="5"/>
      <c r="S7430" s="5" t="s">
        <v>53047</v>
      </c>
      <c r="T7430" s="28">
        <v>1469064000</v>
      </c>
      <c r="U7430" s="28"/>
      <c r="V7430" s="28">
        <v>213459000</v>
      </c>
      <c r="W7430" s="28">
        <v>2988000</v>
      </c>
      <c r="X7430" s="28">
        <v>415772000</v>
      </c>
      <c r="Y7430" s="28">
        <v>3255631000</v>
      </c>
      <c r="Z7430" s="28">
        <v>2314992000</v>
      </c>
      <c r="AA7430" s="28"/>
      <c r="AB7430" s="28">
        <v>562779000</v>
      </c>
      <c r="AC7430" s="28">
        <v>794525000</v>
      </c>
      <c r="AD7430" s="28">
        <v>2411142000</v>
      </c>
      <c r="AE7430" s="28">
        <v>4893625000</v>
      </c>
      <c r="AF7430" s="28">
        <v>1037219000</v>
      </c>
      <c r="AG7430" s="11"/>
    </row>
    <row r="7431">
      <c r="A7431" s="7" t="s">
        <v>8984</v>
      </c>
      <c r="B7431" s="5" t="s">
        <v>16905</v>
      </c>
      <c r="C7431" s="5" t="s">
        <v>24505</v>
      </c>
      <c r="D7431" s="5" t="str">
        <v>525208377925</v>
      </c>
      <c r="E7431" s="0" t="e">
        <f>+7 (495) 6478930
+7 (495) 2308161
+7 (910) 190296
+7 (916) 34900</f>
        <v>#NAME?</v>
      </c>
      <c r="F7431" s="5" t="s">
        <v>46885</v>
      </c>
      <c r="G7431" s="5" t="s">
        <v>46886</v>
      </c>
      <c r="H7431" s="26">
        <v>31.5</v>
      </c>
      <c r="I7431" s="5" t="s">
        <v>46887</v>
      </c>
      <c r="J7431" s="5" t="s">
        <v>364</v>
      </c>
      <c r="K7431" s="5" t="s">
        <v>344</v>
      </c>
      <c r="L7431" s="5" t="s">
        <v>46888</v>
      </c>
      <c r="M7431" s="27">
        <v>1833116370</v>
      </c>
      <c r="N7431" s="5" t="s">
        <v>60433</v>
      </c>
      <c r="O7431" s="5" t="str">
        <v>5003014378</v>
      </c>
      <c r="P7431" s="27">
        <v>10000</v>
      </c>
      <c r="Q7431" s="5" t="s">
        <v>60434</v>
      </c>
      <c r="R7431" s="5" t="s">
        <v>50633</v>
      </c>
      <c r="S7431" s="5" t="s">
        <v>49428</v>
      </c>
      <c r="T7431" s="28">
        <v>76331000</v>
      </c>
      <c r="U7431" s="28">
        <v>264719000</v>
      </c>
      <c r="V7431" s="28">
        <v>4447907000</v>
      </c>
      <c r="W7431" s="28">
        <v>609790000</v>
      </c>
      <c r="X7431" s="28">
        <v>33775000</v>
      </c>
      <c r="Y7431" s="28">
        <v>7588502000</v>
      </c>
      <c r="Z7431" s="28">
        <v>789376000</v>
      </c>
      <c r="AA7431" s="28"/>
      <c r="AB7431" s="28">
        <v>230752000</v>
      </c>
      <c r="AC7431" s="28">
        <v>4835015000</v>
      </c>
      <c r="AD7431" s="28">
        <v>789386000</v>
      </c>
      <c r="AE7431" s="28">
        <v>7957257000</v>
      </c>
      <c r="AF7431" s="28">
        <v>402236000</v>
      </c>
      <c r="AG7431" s="11"/>
    </row>
    <row r="7432">
      <c r="A7432" s="7" t="s">
        <v>8985</v>
      </c>
      <c r="B7432" s="5" t="s">
        <v>16906</v>
      </c>
      <c r="C7432" s="5" t="s">
        <v>24506</v>
      </c>
      <c r="D7432" s="5" t="str">
        <v>504016804826</v>
      </c>
      <c r="E7432" s="0" t="e">
        <f>+7 (906) 7980309
+7 (3512) 233747
+7 (495) 6642617
+7 (495) 6642618
+7 (499) 9228922
+7 (800) 7778549</f>
        <v>#NAME?</v>
      </c>
      <c r="F7432" s="5" t="s">
        <v>46889</v>
      </c>
      <c r="G7432" s="5" t="s">
        <v>46890</v>
      </c>
      <c r="H7432" s="26">
        <v>20</v>
      </c>
      <c r="I7432" s="5" t="s">
        <v>46891</v>
      </c>
      <c r="J7432" s="5" t="s">
        <v>27147</v>
      </c>
      <c r="K7432" s="5" t="s">
        <v>344</v>
      </c>
      <c r="L7432" s="5" t="s">
        <v>46892</v>
      </c>
      <c r="M7432" s="27"/>
      <c r="N7432" s="5"/>
      <c r="O7432" s="5" t="str">
        <v>7733154124</v>
      </c>
      <c r="P7432" s="27">
        <v>10000</v>
      </c>
      <c r="Q7432" s="5" t="s">
        <v>49059</v>
      </c>
      <c r="R7432" s="5" t="s">
        <v>60435</v>
      </c>
      <c r="S7432" s="5" t="s">
        <v>49028</v>
      </c>
      <c r="T7432" s="28">
        <v>925840000</v>
      </c>
      <c r="U7432" s="28"/>
      <c r="V7432" s="28">
        <v>1242143000</v>
      </c>
      <c r="W7432" s="28"/>
      <c r="X7432" s="28">
        <v>26125000</v>
      </c>
      <c r="Y7432" s="28">
        <v>3198888000</v>
      </c>
      <c r="Z7432" s="28">
        <v>364269000</v>
      </c>
      <c r="AA7432" s="28">
        <v>869000000</v>
      </c>
      <c r="AB7432" s="28">
        <v>116631000</v>
      </c>
      <c r="AC7432" s="28">
        <v>837989000</v>
      </c>
      <c r="AD7432" s="28">
        <v>1490779000</v>
      </c>
      <c r="AE7432" s="28">
        <v>3994267000</v>
      </c>
      <c r="AF7432" s="28">
        <v>12338000</v>
      </c>
      <c r="AG7432" s="11"/>
    </row>
    <row r="7433">
      <c r="A7433" s="7" t="s">
        <v>8986</v>
      </c>
      <c r="B7433" s="5" t="s">
        <v>16907</v>
      </c>
      <c r="C7433" s="5" t="s">
        <v>24507</v>
      </c>
      <c r="D7433" s="5" t="str">
        <v>471001323379</v>
      </c>
      <c r="E7433" s="0" t="e">
        <f>+7 (812) 3634347
+7 (495) 3747900
+7 (812) 6481737</f>
        <v>#NAME?</v>
      </c>
      <c r="F7433" s="5" t="s">
        <v>46893</v>
      </c>
      <c r="G7433" s="5" t="s">
        <v>46894</v>
      </c>
      <c r="H7433" s="26">
        <v>8.5</v>
      </c>
      <c r="I7433" s="5" t="s">
        <v>46895</v>
      </c>
      <c r="J7433" s="5" t="s">
        <v>30218</v>
      </c>
      <c r="K7433" s="5" t="s">
        <v>344</v>
      </c>
      <c r="L7433" s="5" t="s">
        <v>46896</v>
      </c>
      <c r="M7433" s="27"/>
      <c r="N7433" s="5"/>
      <c r="O7433" s="5" t="str">
        <v>7816589577</v>
      </c>
      <c r="P7433" s="27">
        <v>30000000</v>
      </c>
      <c r="Q7433" s="5" t="s">
        <v>49009</v>
      </c>
      <c r="R7433" s="5"/>
      <c r="S7433" s="5" t="s">
        <v>49010</v>
      </c>
      <c r="T7433" s="28">
        <v>6553000</v>
      </c>
      <c r="U7433" s="28"/>
      <c r="V7433" s="28">
        <v>854058000</v>
      </c>
      <c r="W7433" s="28">
        <v>35000000</v>
      </c>
      <c r="X7433" s="28">
        <v>25446000</v>
      </c>
      <c r="Y7433" s="28">
        <v>1372773000</v>
      </c>
      <c r="Z7433" s="28">
        <v>542781000</v>
      </c>
      <c r="AA7433" s="28"/>
      <c r="AB7433" s="28">
        <v>267701000</v>
      </c>
      <c r="AC7433" s="28">
        <v>791684000</v>
      </c>
      <c r="AD7433" s="28">
        <v>581038000</v>
      </c>
      <c r="AE7433" s="28">
        <v>5408449000</v>
      </c>
      <c r="AF7433" s="28">
        <v>127629000</v>
      </c>
      <c r="AG7433" s="11"/>
    </row>
    <row r="7434">
      <c r="A7434" s="7" t="s">
        <v>8987</v>
      </c>
      <c r="B7434" s="5" t="s">
        <v>16908</v>
      </c>
      <c r="C7434" s="5" t="s">
        <v>24508</v>
      </c>
      <c r="D7434" s="5" t="str">
        <v>772334704540</v>
      </c>
      <c r="E7434" s="0" t="e">
        <f>+7 (965) 3601424
+7 (977) 7088514
+7 (495) 2300117
+7 (495) 3635555</f>
        <v>#NAME?</v>
      </c>
      <c r="F7434" s="5" t="s">
        <v>46897</v>
      </c>
      <c r="G7434" s="5" t="s">
        <v>46898</v>
      </c>
      <c r="H7434" s="26">
        <v>20.5</v>
      </c>
      <c r="I7434" s="5" t="s">
        <v>46899</v>
      </c>
      <c r="J7434" s="5" t="s">
        <v>25429</v>
      </c>
      <c r="K7434" s="5" t="s">
        <v>344</v>
      </c>
      <c r="L7434" s="5" t="s">
        <v>46900</v>
      </c>
      <c r="M7434" s="27"/>
      <c r="N7434" s="5" t="s">
        <v>60436</v>
      </c>
      <c r="O7434" s="5" t="str">
        <v>7724244710</v>
      </c>
      <c r="P7434" s="27">
        <v>3912500</v>
      </c>
      <c r="Q7434" s="5" t="s">
        <v>60437</v>
      </c>
      <c r="R7434" s="5"/>
      <c r="S7434" s="5" t="s">
        <v>60438</v>
      </c>
      <c r="T7434" s="28">
        <v>49799000</v>
      </c>
      <c r="U7434" s="28"/>
      <c r="V7434" s="28">
        <v>633283000</v>
      </c>
      <c r="W7434" s="28"/>
      <c r="X7434" s="28">
        <v>260449000</v>
      </c>
      <c r="Y7434" s="28">
        <v>1540427000</v>
      </c>
      <c r="Z7434" s="28">
        <v>392440000</v>
      </c>
      <c r="AA7434" s="28">
        <v>7511000</v>
      </c>
      <c r="AB7434" s="28">
        <v>65634000</v>
      </c>
      <c r="AC7434" s="28">
        <v>1136362000</v>
      </c>
      <c r="AD7434" s="28">
        <v>396353000</v>
      </c>
      <c r="AE7434" s="28">
        <v>3924280000</v>
      </c>
      <c r="AF7434" s="28">
        <v>48498000</v>
      </c>
      <c r="AG7434" s="11"/>
    </row>
    <row r="7435">
      <c r="A7435" s="7" t="s">
        <v>8988</v>
      </c>
      <c r="B7435" s="5" t="s">
        <v>16909</v>
      </c>
      <c r="C7435" s="5" t="s">
        <v>24509</v>
      </c>
      <c r="D7435" s="5" t="str">
        <v>027812285210</v>
      </c>
      <c r="E7435" s="0" t="e">
        <f>+7 (905) 2905515
+7 (999) 8620546</f>
        <v>#NAME?</v>
      </c>
      <c r="F7435" s="5" t="s">
        <v>46901</v>
      </c>
      <c r="G7435" s="5"/>
      <c r="H7435" s="26">
        <v>7</v>
      </c>
      <c r="I7435" s="5" t="s">
        <v>46902</v>
      </c>
      <c r="J7435" s="5" t="s">
        <v>25429</v>
      </c>
      <c r="K7435" s="5" t="s">
        <v>380</v>
      </c>
      <c r="L7435" s="5" t="s">
        <v>1294</v>
      </c>
      <c r="M7435" s="27"/>
      <c r="N7435" s="5" t="s">
        <v>60439</v>
      </c>
      <c r="O7435" s="5" t="str">
        <v>5047182355</v>
      </c>
      <c r="P7435" s="27">
        <v>10000</v>
      </c>
      <c r="Q7435" s="5" t="s">
        <v>49021</v>
      </c>
      <c r="R7435" s="5"/>
      <c r="S7435" s="5" t="s">
        <v>60440</v>
      </c>
      <c r="T7435" s="28">
        <v>4415532000</v>
      </c>
      <c r="U7435" s="28">
        <v>1294375000</v>
      </c>
      <c r="V7435" s="28">
        <v>206534000</v>
      </c>
      <c r="W7435" s="28"/>
      <c r="X7435" s="28">
        <v>47000</v>
      </c>
      <c r="Y7435" s="28">
        <v>10298929000</v>
      </c>
      <c r="Z7435" s="28">
        <v>6851953000</v>
      </c>
      <c r="AA7435" s="28">
        <v>813533000</v>
      </c>
      <c r="AB7435" s="28">
        <v>61425000</v>
      </c>
      <c r="AC7435" s="28">
        <v>2631587000</v>
      </c>
      <c r="AD7435" s="28">
        <v>6851953000</v>
      </c>
      <c r="AE7435" s="28">
        <v>11976113000</v>
      </c>
      <c r="AF7435" s="28">
        <v>4038848000</v>
      </c>
      <c r="AG7435" s="11"/>
    </row>
    <row r="7436">
      <c r="A7436" s="7" t="s">
        <v>8989</v>
      </c>
      <c r="B7436" s="5" t="s">
        <v>16910</v>
      </c>
      <c r="C7436" s="5" t="s">
        <v>24510</v>
      </c>
      <c r="D7436" s="5" t="str">
        <v>253703455942</v>
      </c>
      <c r="E7436" s="0" t="e">
        <f>+7 (964) 4454680
+7 (4232) 659347</f>
        <v>#NAME?</v>
      </c>
      <c r="F7436" s="5" t="s">
        <v>46903</v>
      </c>
      <c r="G7436" s="5"/>
      <c r="H7436" s="26">
        <v>4</v>
      </c>
      <c r="I7436" s="5" t="s">
        <v>46904</v>
      </c>
      <c r="J7436" s="5" t="s">
        <v>25429</v>
      </c>
      <c r="K7436" s="5" t="s">
        <v>344</v>
      </c>
      <c r="L7436" s="5"/>
      <c r="M7436" s="27"/>
      <c r="N7436" s="5" t="s">
        <v>60441</v>
      </c>
      <c r="O7436" s="5" t="str">
        <v>2543135780</v>
      </c>
      <c r="P7436" s="27">
        <v>10000</v>
      </c>
      <c r="Q7436" s="5" t="s">
        <v>50928</v>
      </c>
      <c r="R7436" s="5"/>
      <c r="S7436" s="5" t="s">
        <v>50836</v>
      </c>
      <c r="T7436" s="28">
        <v>33782000</v>
      </c>
      <c r="U7436" s="28"/>
      <c r="V7436" s="28">
        <v>382431000</v>
      </c>
      <c r="W7436" s="28"/>
      <c r="X7436" s="28">
        <v>602000</v>
      </c>
      <c r="Y7436" s="28">
        <v>857993000</v>
      </c>
      <c r="Z7436" s="28">
        <v>-7385000</v>
      </c>
      <c r="AA7436" s="28"/>
      <c r="AB7436" s="28"/>
      <c r="AC7436" s="28">
        <v>818554000</v>
      </c>
      <c r="AD7436" s="28">
        <v>14625000</v>
      </c>
      <c r="AE7436" s="28">
        <v>3124097000</v>
      </c>
      <c r="AF7436" s="28">
        <v>3112000</v>
      </c>
      <c r="AG7436" s="11"/>
    </row>
    <row r="7437">
      <c r="A7437" s="7" t="s">
        <v>8990</v>
      </c>
      <c r="B7437" s="5" t="s">
        <v>16911</v>
      </c>
      <c r="C7437" s="5" t="s">
        <v>24511</v>
      </c>
      <c r="D7437" s="5" t="str">
        <v>344300008805</v>
      </c>
      <c r="E7437" s="0" t="e">
        <f>+7 (960) 8673311
+7 (844) 2269630</f>
        <v>#NAME?</v>
      </c>
      <c r="F7437" s="5" t="s">
        <v>46905</v>
      </c>
      <c r="G7437" s="5"/>
      <c r="H7437" s="26">
        <v>6.5</v>
      </c>
      <c r="I7437" s="5" t="s">
        <v>46906</v>
      </c>
      <c r="J7437" s="5" t="s">
        <v>25429</v>
      </c>
      <c r="K7437" s="5" t="s">
        <v>344</v>
      </c>
      <c r="L7437" s="5" t="s">
        <v>511</v>
      </c>
      <c r="M7437" s="27"/>
      <c r="N7437" s="5" t="s">
        <v>60442</v>
      </c>
      <c r="O7437" s="5" t="str">
        <v>3459069718</v>
      </c>
      <c r="P7437" s="27">
        <v>6000000</v>
      </c>
      <c r="Q7437" s="5" t="s">
        <v>60443</v>
      </c>
      <c r="R7437" s="5"/>
      <c r="S7437" s="5" t="s">
        <v>59504</v>
      </c>
      <c r="T7437" s="28">
        <v>5382000</v>
      </c>
      <c r="U7437" s="28"/>
      <c r="V7437" s="28">
        <v>898178000</v>
      </c>
      <c r="W7437" s="28"/>
      <c r="X7437" s="28">
        <v>22632000</v>
      </c>
      <c r="Y7437" s="28">
        <v>1393328000</v>
      </c>
      <c r="Z7437" s="28">
        <v>7327000</v>
      </c>
      <c r="AA7437" s="28"/>
      <c r="AB7437" s="28"/>
      <c r="AC7437" s="28">
        <v>1378469000</v>
      </c>
      <c r="AD7437" s="28">
        <v>13327000</v>
      </c>
      <c r="AE7437" s="28">
        <v>5994930000</v>
      </c>
      <c r="AF7437" s="28">
        <v>5332000</v>
      </c>
      <c r="AG7437" s="11"/>
    </row>
    <row r="7438">
      <c r="A7438" s="7" t="s">
        <v>8991</v>
      </c>
      <c r="B7438" s="5" t="s">
        <v>16912</v>
      </c>
      <c r="C7438" s="5" t="s">
        <v>24512</v>
      </c>
      <c r="D7438" s="5" t="str">
        <v>482400823100</v>
      </c>
      <c r="E7438" s="0" t="e">
        <f>+7 (472) 2218355
+7 (474) 2553346
+7 (495) 2583428
+7 (473) 2000476
+7 (960) 1159811</f>
        <v>#NAME?</v>
      </c>
      <c r="F7438" s="5" t="s">
        <v>46907</v>
      </c>
      <c r="G7438" s="5"/>
      <c r="H7438" s="26">
        <v>6.5</v>
      </c>
      <c r="I7438" s="5" t="s">
        <v>46906</v>
      </c>
      <c r="J7438" s="5" t="s">
        <v>25429</v>
      </c>
      <c r="K7438" s="5" t="s">
        <v>344</v>
      </c>
      <c r="L7438" s="5"/>
      <c r="M7438" s="27"/>
      <c r="N7438" s="5" t="s">
        <v>60444</v>
      </c>
      <c r="O7438" s="5" t="str">
        <v>3661073243</v>
      </c>
      <c r="P7438" s="27">
        <v>6000000</v>
      </c>
      <c r="Q7438" s="5" t="s">
        <v>60445</v>
      </c>
      <c r="R7438" s="5"/>
      <c r="S7438" s="5" t="s">
        <v>60446</v>
      </c>
      <c r="T7438" s="28">
        <v>71154000</v>
      </c>
      <c r="U7438" s="28"/>
      <c r="V7438" s="28">
        <v>786648000</v>
      </c>
      <c r="W7438" s="28"/>
      <c r="X7438" s="28">
        <v>7231000</v>
      </c>
      <c r="Y7438" s="28">
        <v>1360623000</v>
      </c>
      <c r="Z7438" s="28">
        <v>-113183000</v>
      </c>
      <c r="AA7438" s="28"/>
      <c r="AB7438" s="28"/>
      <c r="AC7438" s="28">
        <v>1392892000</v>
      </c>
      <c r="AD7438" s="28">
        <v>-107183000</v>
      </c>
      <c r="AE7438" s="28">
        <v>4968651000</v>
      </c>
      <c r="AF7438" s="28">
        <v>49582000</v>
      </c>
      <c r="AG7438" s="11"/>
    </row>
    <row r="7439">
      <c r="A7439" s="7" t="s">
        <v>8992</v>
      </c>
      <c r="B7439" s="5" t="s">
        <v>16913</v>
      </c>
      <c r="C7439" s="5" t="s">
        <v>24513</v>
      </c>
      <c r="D7439" s="5" t="str">
        <v>590298239048</v>
      </c>
      <c r="E7439" s="0" t="e">
        <f>+7 (909) 112711
+7 (343) 3122989</f>
        <v>#NAME?</v>
      </c>
      <c r="F7439" s="5" t="s">
        <v>46908</v>
      </c>
      <c r="G7439" s="5" t="s">
        <v>46909</v>
      </c>
      <c r="H7439" s="26">
        <v>6.5</v>
      </c>
      <c r="I7439" s="5" t="s">
        <v>46910</v>
      </c>
      <c r="J7439" s="5" t="s">
        <v>25429</v>
      </c>
      <c r="K7439" s="5" t="s">
        <v>344</v>
      </c>
      <c r="L7439" s="5"/>
      <c r="M7439" s="27"/>
      <c r="N7439" s="5" t="s">
        <v>60447</v>
      </c>
      <c r="O7439" s="5" t="str">
        <v>6686081932</v>
      </c>
      <c r="P7439" s="27">
        <v>16000000</v>
      </c>
      <c r="Q7439" s="5" t="s">
        <v>49009</v>
      </c>
      <c r="R7439" s="5"/>
      <c r="S7439" s="5" t="s">
        <v>49012</v>
      </c>
      <c r="T7439" s="28">
        <v>40488000</v>
      </c>
      <c r="U7439" s="28"/>
      <c r="V7439" s="28">
        <v>1796023000</v>
      </c>
      <c r="W7439" s="28"/>
      <c r="X7439" s="28">
        <v>7342000</v>
      </c>
      <c r="Y7439" s="28">
        <v>2498880000</v>
      </c>
      <c r="Z7439" s="28">
        <v>-65448000</v>
      </c>
      <c r="AA7439" s="28"/>
      <c r="AB7439" s="28"/>
      <c r="AC7439" s="28">
        <v>2483595000</v>
      </c>
      <c r="AD7439" s="28">
        <v>-49448000</v>
      </c>
      <c r="AE7439" s="28">
        <v>7660422000</v>
      </c>
      <c r="AF7439" s="28">
        <v>79678000</v>
      </c>
      <c r="AG7439" s="11"/>
    </row>
    <row r="7440">
      <c r="A7440" s="7" t="s">
        <v>8993</v>
      </c>
      <c r="B7440" s="5" t="s">
        <v>16914</v>
      </c>
      <c r="C7440" s="5" t="s">
        <v>24514</v>
      </c>
      <c r="D7440" s="5" t="str">
        <v>230904964204</v>
      </c>
      <c r="E7440" s="0" t="e">
        <f>+7 (861) 2100619
+7 (909) 4606084
+7 (909) 4614510
+7 (909) 4631058
+7 (912) 8822748</f>
        <v>#NAME?</v>
      </c>
      <c r="F7440" s="5" t="s">
        <v>46911</v>
      </c>
      <c r="G7440" s="5"/>
      <c r="H7440" s="26">
        <v>6.5</v>
      </c>
      <c r="I7440" s="5" t="s">
        <v>46912</v>
      </c>
      <c r="J7440" s="5" t="s">
        <v>25429</v>
      </c>
      <c r="K7440" s="5" t="s">
        <v>355</v>
      </c>
      <c r="L7440" s="5"/>
      <c r="M7440" s="27"/>
      <c r="N7440" s="5"/>
      <c r="O7440" s="5" t="str">
        <v>2311220605</v>
      </c>
      <c r="P7440" s="27">
        <v>8000000</v>
      </c>
      <c r="Q7440" s="5" t="s">
        <v>60448</v>
      </c>
      <c r="R7440" s="5"/>
      <c r="S7440" s="5" t="s">
        <v>53872</v>
      </c>
      <c r="T7440" s="28">
        <v>63797000</v>
      </c>
      <c r="U7440" s="28"/>
      <c r="V7440" s="28">
        <v>1590730000</v>
      </c>
      <c r="W7440" s="28"/>
      <c r="X7440" s="28">
        <v>15067000</v>
      </c>
      <c r="Y7440" s="28">
        <v>2332681000</v>
      </c>
      <c r="Z7440" s="28">
        <v>-82462000</v>
      </c>
      <c r="AA7440" s="28"/>
      <c r="AB7440" s="28"/>
      <c r="AC7440" s="28">
        <v>2351577000</v>
      </c>
      <c r="AD7440" s="28">
        <v>-74462000</v>
      </c>
      <c r="AE7440" s="28">
        <v>9057210000</v>
      </c>
      <c r="AF7440" s="28">
        <v>112688000</v>
      </c>
      <c r="AG7440" s="11"/>
    </row>
    <row r="7441">
      <c r="A7441" s="7" t="s">
        <v>8994</v>
      </c>
      <c r="B7441" s="5" t="s">
        <v>16915</v>
      </c>
      <c r="C7441" s="5" t="s">
        <v>24515</v>
      </c>
      <c r="D7441" s="5" t="str">
        <v>246501425888</v>
      </c>
      <c r="E7441" s="0" t="e">
        <f>+7 (902) 9900905
+7 (391) 2571007</f>
        <v>#NAME?</v>
      </c>
      <c r="F7441" s="5" t="s">
        <v>46913</v>
      </c>
      <c r="G7441" s="5"/>
      <c r="H7441" s="26">
        <v>6.5</v>
      </c>
      <c r="I7441" s="5" t="s">
        <v>46914</v>
      </c>
      <c r="J7441" s="5" t="s">
        <v>25429</v>
      </c>
      <c r="K7441" s="5" t="s">
        <v>344</v>
      </c>
      <c r="L7441" s="5" t="s">
        <v>915</v>
      </c>
      <c r="M7441" s="27"/>
      <c r="N7441" s="5" t="s">
        <v>60449</v>
      </c>
      <c r="O7441" s="5" t="str">
        <v>2463102268</v>
      </c>
      <c r="P7441" s="27">
        <v>11000000</v>
      </c>
      <c r="Q7441" s="5" t="s">
        <v>60450</v>
      </c>
      <c r="R7441" s="5"/>
      <c r="S7441" s="5" t="s">
        <v>51668</v>
      </c>
      <c r="T7441" s="28">
        <v>14799000</v>
      </c>
      <c r="U7441" s="28"/>
      <c r="V7441" s="28">
        <v>835609000</v>
      </c>
      <c r="W7441" s="28"/>
      <c r="X7441" s="28">
        <v>2662000</v>
      </c>
      <c r="Y7441" s="28">
        <v>1295855000</v>
      </c>
      <c r="Z7441" s="28">
        <v>9696000</v>
      </c>
      <c r="AA7441" s="28"/>
      <c r="AB7441" s="28"/>
      <c r="AC7441" s="28">
        <v>1256248000</v>
      </c>
      <c r="AD7441" s="28">
        <v>20696000</v>
      </c>
      <c r="AE7441" s="28">
        <v>4261368000</v>
      </c>
      <c r="AF7441" s="28">
        <v>7720000</v>
      </c>
      <c r="AG7441" s="11"/>
    </row>
    <row r="7442">
      <c r="A7442" s="7" t="s">
        <v>8995</v>
      </c>
      <c r="B7442" s="5" t="s">
        <v>16916</v>
      </c>
      <c r="C7442" s="5" t="s">
        <v>24516</v>
      </c>
      <c r="D7442" s="5" t="str">
        <v>540139442772</v>
      </c>
      <c r="E7442" s="0" t="e">
        <f>+7 (383) 2308021
+7 (906) 9087019
+7 (965) 8230845</f>
        <v>#NAME?</v>
      </c>
      <c r="F7442" s="5" t="s">
        <v>46915</v>
      </c>
      <c r="G7442" s="5"/>
      <c r="H7442" s="26">
        <v>6.5</v>
      </c>
      <c r="I7442" s="5" t="s">
        <v>46914</v>
      </c>
      <c r="J7442" s="5" t="s">
        <v>25429</v>
      </c>
      <c r="K7442" s="5" t="s">
        <v>344</v>
      </c>
      <c r="L7442" s="5"/>
      <c r="M7442" s="27"/>
      <c r="N7442" s="5" t="s">
        <v>60451</v>
      </c>
      <c r="O7442" s="5" t="str">
        <v>5403018962</v>
      </c>
      <c r="P7442" s="27">
        <v>11000000</v>
      </c>
      <c r="Q7442" s="5" t="s">
        <v>60452</v>
      </c>
      <c r="R7442" s="5"/>
      <c r="S7442" s="5" t="s">
        <v>51790</v>
      </c>
      <c r="T7442" s="28">
        <v>63907000</v>
      </c>
      <c r="U7442" s="28"/>
      <c r="V7442" s="28">
        <v>1297972000</v>
      </c>
      <c r="W7442" s="28"/>
      <c r="X7442" s="28">
        <v>6957000</v>
      </c>
      <c r="Y7442" s="28">
        <v>2013549000</v>
      </c>
      <c r="Z7442" s="28">
        <v>-6563000</v>
      </c>
      <c r="AA7442" s="28"/>
      <c r="AB7442" s="28"/>
      <c r="AC7442" s="28">
        <v>1939255000</v>
      </c>
      <c r="AD7442" s="28">
        <v>4437000</v>
      </c>
      <c r="AE7442" s="28">
        <v>6476454000</v>
      </c>
      <c r="AF7442" s="28">
        <v>72828000</v>
      </c>
      <c r="AG7442" s="11"/>
    </row>
    <row r="7443">
      <c r="A7443" s="7" t="s">
        <v>8996</v>
      </c>
      <c r="B7443" s="5" t="s">
        <v>16917</v>
      </c>
      <c r="C7443" s="5" t="s">
        <v>24517</v>
      </c>
      <c r="D7443" s="5" t="str">
        <v>290200569950</v>
      </c>
      <c r="E7443" s="0" t="e">
        <f>+7 (495) 2582525
+7 (495) 2583428
+7 (931) 5857757
+7 (906) 7142604
+7 (965) 446268
+7 (969) 7292437</f>
        <v>#NAME?</v>
      </c>
      <c r="F7443" s="5" t="s">
        <v>46916</v>
      </c>
      <c r="G7443" s="5"/>
      <c r="H7443" s="26">
        <v>6.5</v>
      </c>
      <c r="I7443" s="5" t="s">
        <v>46917</v>
      </c>
      <c r="J7443" s="5" t="s">
        <v>25429</v>
      </c>
      <c r="K7443" s="5" t="s">
        <v>344</v>
      </c>
      <c r="L7443" s="5"/>
      <c r="M7443" s="27"/>
      <c r="N7443" s="5" t="s">
        <v>60453</v>
      </c>
      <c r="O7443" s="5" t="str">
        <v>7820048725</v>
      </c>
      <c r="P7443" s="27">
        <v>10000000</v>
      </c>
      <c r="Q7443" s="5" t="s">
        <v>49009</v>
      </c>
      <c r="R7443" s="5"/>
      <c r="S7443" s="5" t="s">
        <v>49204</v>
      </c>
      <c r="T7443" s="28">
        <v>61397000</v>
      </c>
      <c r="U7443" s="28"/>
      <c r="V7443" s="28">
        <v>2120887000</v>
      </c>
      <c r="W7443" s="28"/>
      <c r="X7443" s="28">
        <v>28790000</v>
      </c>
      <c r="Y7443" s="28">
        <v>3065738000</v>
      </c>
      <c r="Z7443" s="28">
        <v>91330000</v>
      </c>
      <c r="AA7443" s="28"/>
      <c r="AB7443" s="28"/>
      <c r="AC7443" s="28">
        <v>2890905000</v>
      </c>
      <c r="AD7443" s="28">
        <v>101330000</v>
      </c>
      <c r="AE7443" s="28">
        <v>7873389000</v>
      </c>
      <c r="AF7443" s="28">
        <v>43314000</v>
      </c>
      <c r="AG7443" s="11"/>
    </row>
    <row r="7444">
      <c r="A7444" s="7" t="s">
        <v>8997</v>
      </c>
      <c r="B7444" s="5" t="s">
        <v>16918</v>
      </c>
      <c r="C7444" s="5" t="s">
        <v>24518</v>
      </c>
      <c r="D7444" s="5" t="str">
        <v>671000890677</v>
      </c>
      <c r="E7444" s="0" t="e">
        <f>+7 (920) 6612429
+7 (481) 2294633</f>
        <v>#NAME?</v>
      </c>
      <c r="F7444" s="5" t="s">
        <v>46918</v>
      </c>
      <c r="G7444" s="5"/>
      <c r="H7444" s="26">
        <v>4</v>
      </c>
      <c r="I7444" s="5" t="s">
        <v>46904</v>
      </c>
      <c r="J7444" s="5" t="s">
        <v>25429</v>
      </c>
      <c r="K7444" s="5" t="s">
        <v>344</v>
      </c>
      <c r="L7444" s="5" t="s">
        <v>43662</v>
      </c>
      <c r="M7444" s="27"/>
      <c r="N7444" s="5" t="s">
        <v>60454</v>
      </c>
      <c r="O7444" s="5" t="str">
        <v>6732175641</v>
      </c>
      <c r="P7444" s="27">
        <v>10000</v>
      </c>
      <c r="Q7444" s="5" t="s">
        <v>60455</v>
      </c>
      <c r="R7444" s="5"/>
      <c r="S7444" s="5" t="s">
        <v>49361</v>
      </c>
      <c r="T7444" s="28">
        <v>21644000</v>
      </c>
      <c r="U7444" s="28"/>
      <c r="V7444" s="28">
        <v>945349000</v>
      </c>
      <c r="W7444" s="28"/>
      <c r="X7444" s="28">
        <v>12933000</v>
      </c>
      <c r="Y7444" s="28">
        <v>1277623000</v>
      </c>
      <c r="Z7444" s="28">
        <v>27547000</v>
      </c>
      <c r="AA7444" s="28"/>
      <c r="AB7444" s="28"/>
      <c r="AC7444" s="28">
        <v>1237468000</v>
      </c>
      <c r="AD7444" s="28">
        <v>31057000</v>
      </c>
      <c r="AE7444" s="28">
        <v>4162913000</v>
      </c>
      <c r="AF7444" s="28">
        <v>11348000</v>
      </c>
      <c r="AG7444" s="11"/>
    </row>
    <row r="7445">
      <c r="A7445" s="7" t="s">
        <v>8998</v>
      </c>
      <c r="B7445" s="5" t="s">
        <v>16919</v>
      </c>
      <c r="C7445" s="5" t="s">
        <v>24519</v>
      </c>
      <c r="D7445" s="5" t="str">
        <v>720402460095</v>
      </c>
      <c r="E7445" s="0" t="e">
        <f>+7 (499) 7024489
+7 (345) 2550053</f>
        <v>#NAME?</v>
      </c>
      <c r="F7445" s="5" t="s">
        <v>46919</v>
      </c>
      <c r="G7445" s="5"/>
      <c r="H7445" s="26">
        <v>6.5</v>
      </c>
      <c r="I7445" s="5" t="s">
        <v>46906</v>
      </c>
      <c r="J7445" s="5" t="s">
        <v>25429</v>
      </c>
      <c r="K7445" s="5" t="s">
        <v>344</v>
      </c>
      <c r="L7445" s="5"/>
      <c r="M7445" s="27"/>
      <c r="N7445" s="5" t="s">
        <v>60456</v>
      </c>
      <c r="O7445" s="5" t="str">
        <v>7203387370</v>
      </c>
      <c r="P7445" s="27">
        <v>6000000</v>
      </c>
      <c r="Q7445" s="5" t="s">
        <v>60457</v>
      </c>
      <c r="R7445" s="5"/>
      <c r="S7445" s="5" t="s">
        <v>51772</v>
      </c>
      <c r="T7445" s="28">
        <v>32516000</v>
      </c>
      <c r="U7445" s="28"/>
      <c r="V7445" s="28">
        <v>946662000</v>
      </c>
      <c r="W7445" s="28"/>
      <c r="X7445" s="28">
        <v>1970000</v>
      </c>
      <c r="Y7445" s="28">
        <v>1366402000</v>
      </c>
      <c r="Z7445" s="28">
        <v>-98887000</v>
      </c>
      <c r="AA7445" s="28"/>
      <c r="AB7445" s="28"/>
      <c r="AC7445" s="28">
        <v>1416637000</v>
      </c>
      <c r="AD7445" s="28">
        <v>-92887000</v>
      </c>
      <c r="AE7445" s="28">
        <v>3621945000</v>
      </c>
      <c r="AF7445" s="28">
        <v>39339000</v>
      </c>
      <c r="AG7445" s="11"/>
    </row>
    <row r="7446">
      <c r="A7446" s="7" t="s">
        <v>8999</v>
      </c>
      <c r="B7446" s="5" t="s">
        <v>16920</v>
      </c>
      <c r="C7446" s="5" t="s">
        <v>24520</v>
      </c>
      <c r="D7446" s="5" t="str">
        <v>463207275856</v>
      </c>
      <c r="E7446" s="0" t="e">
        <f>+7 (495) 2583428
+7 (987) 2268188
+7 (8352) 367030
+7 (8352) 367040
+7 (905) 969362</f>
        <v>#NAME?</v>
      </c>
      <c r="F7446" s="5" t="s">
        <v>46920</v>
      </c>
      <c r="G7446" s="5" t="s">
        <v>46921</v>
      </c>
      <c r="H7446" s="26">
        <v>6.5</v>
      </c>
      <c r="I7446" s="5" t="s">
        <v>46922</v>
      </c>
      <c r="J7446" s="5" t="s">
        <v>25429</v>
      </c>
      <c r="K7446" s="5" t="s">
        <v>344</v>
      </c>
      <c r="L7446" s="5"/>
      <c r="M7446" s="27"/>
      <c r="N7446" s="5" t="s">
        <v>60458</v>
      </c>
      <c r="O7446" s="5" t="str">
        <v>2130174989</v>
      </c>
      <c r="P7446" s="27">
        <v>4000000</v>
      </c>
      <c r="Q7446" s="5" t="s">
        <v>60459</v>
      </c>
      <c r="R7446" s="5"/>
      <c r="S7446" s="5" t="s">
        <v>60446</v>
      </c>
      <c r="T7446" s="28">
        <v>16942000</v>
      </c>
      <c r="U7446" s="28"/>
      <c r="V7446" s="28">
        <v>1369459000</v>
      </c>
      <c r="W7446" s="28"/>
      <c r="X7446" s="28">
        <v>13303000</v>
      </c>
      <c r="Y7446" s="28">
        <v>1867457000</v>
      </c>
      <c r="Z7446" s="28">
        <v>-2839000</v>
      </c>
      <c r="AA7446" s="28"/>
      <c r="AB7446" s="28"/>
      <c r="AC7446" s="28">
        <v>1852539000</v>
      </c>
      <c r="AD7446" s="28">
        <v>1161000</v>
      </c>
      <c r="AE7446" s="28">
        <v>6068751000</v>
      </c>
      <c r="AF7446" s="28">
        <v>49701000</v>
      </c>
      <c r="AG7446" s="11"/>
    </row>
    <row r="7447">
      <c r="A7447" s="7" t="s">
        <v>9000</v>
      </c>
      <c r="B7447" s="5" t="s">
        <v>16921</v>
      </c>
      <c r="C7447" s="5" t="s">
        <v>24521</v>
      </c>
      <c r="D7447" s="5" t="str">
        <v>504406181670</v>
      </c>
      <c r="E7447" s="0" t="e">
        <f>+7 (345) 2243526
+7 (3512) 200445
+7 (473) 2000476
+7 (495) 1233406
+7 (495) 1415656
+7 (495) 2574147
+7 (495) 2582428
+7 (495) 2582438
+7 (495) 2583423
+7 (495) 2583424
+7 (495) 2583425
+7 (481) 2294633
+7 (495) 2583342
+7 (495) 2583429
+7 (495) 2583430</f>
        <v>#NAME?</v>
      </c>
      <c r="F7447" s="5" t="s">
        <v>46923</v>
      </c>
      <c r="G7447" s="5" t="s">
        <v>46924</v>
      </c>
      <c r="H7447" s="26">
        <v>20.5</v>
      </c>
      <c r="I7447" s="5" t="s">
        <v>46925</v>
      </c>
      <c r="J7447" s="5" t="s">
        <v>25429</v>
      </c>
      <c r="K7447" s="5" t="s">
        <v>344</v>
      </c>
      <c r="L7447" s="5" t="s">
        <v>46926</v>
      </c>
      <c r="M7447" s="27"/>
      <c r="N7447" s="5" t="s">
        <v>60460</v>
      </c>
      <c r="O7447" s="5" t="str">
        <v>7729418511</v>
      </c>
      <c r="P7447" s="27">
        <v>200000000</v>
      </c>
      <c r="Q7447" s="5" t="s">
        <v>60461</v>
      </c>
      <c r="R7447" s="5"/>
      <c r="S7447" s="5" t="s">
        <v>60462</v>
      </c>
      <c r="T7447" s="28">
        <v>1333589000</v>
      </c>
      <c r="U7447" s="28">
        <v>307615000</v>
      </c>
      <c r="V7447" s="28">
        <v>34801258000</v>
      </c>
      <c r="W7447" s="28"/>
      <c r="X7447" s="28">
        <v>407406000</v>
      </c>
      <c r="Y7447" s="28">
        <v>49403795000</v>
      </c>
      <c r="Z7447" s="28">
        <v>3600153000</v>
      </c>
      <c r="AA7447" s="28"/>
      <c r="AB7447" s="28">
        <v>2500000000</v>
      </c>
      <c r="AC7447" s="28">
        <v>44266937000</v>
      </c>
      <c r="AD7447" s="28">
        <v>3800153000</v>
      </c>
      <c r="AE7447" s="28">
        <v>113924220000</v>
      </c>
      <c r="AF7447" s="28">
        <v>775786000</v>
      </c>
      <c r="AG7447" s="11"/>
    </row>
    <row r="7448">
      <c r="A7448" s="7" t="s">
        <v>9001</v>
      </c>
      <c r="B7448" s="5" t="s">
        <v>16922</v>
      </c>
      <c r="C7448" s="5" t="s">
        <v>24522</v>
      </c>
      <c r="D7448" s="5" t="str">
        <v>780617595245</v>
      </c>
      <c r="E7448" s="0" t="e">
        <f>+7 (495) 6121462
+7 (495) 6122242
+7 (495) 6127092
+7 (495) 6127172
+7 (495) 6128432
+7 (495) 6128531
+7 (495) 6131612
+7 (495) 6131668
+7 (495) 6138305
+7 (495) 6148131
+7 (495) 6427071
+7 (495) 6427172
+7 (495) 6662162</f>
        <v>#NAME?</v>
      </c>
      <c r="F7448" s="5" t="s">
        <v>46927</v>
      </c>
      <c r="G7448" s="5" t="s">
        <v>46928</v>
      </c>
      <c r="H7448" s="26">
        <v>31</v>
      </c>
      <c r="I7448" s="5"/>
      <c r="J7448" s="5" t="s">
        <v>46929</v>
      </c>
      <c r="K7448" s="5" t="s">
        <v>344</v>
      </c>
      <c r="L7448" s="5"/>
      <c r="M7448" s="27"/>
      <c r="N7448" s="5"/>
      <c r="O7448" s="5" t="str">
        <v>7714067099</v>
      </c>
      <c r="P7448" s="27">
        <v>349757985</v>
      </c>
      <c r="Q7448" s="5" t="s">
        <v>60463</v>
      </c>
      <c r="R7448" s="5"/>
      <c r="S7448" s="5" t="s">
        <v>57701</v>
      </c>
      <c r="T7448" s="28">
        <v>1601507000</v>
      </c>
      <c r="U7448" s="28">
        <v>2420000</v>
      </c>
      <c r="V7448" s="28">
        <v>688490000</v>
      </c>
      <c r="W7448" s="28"/>
      <c r="X7448" s="28">
        <v>705043000</v>
      </c>
      <c r="Y7448" s="28">
        <v>8097192000</v>
      </c>
      <c r="Z7448" s="28">
        <v>-9055607000</v>
      </c>
      <c r="AA7448" s="28">
        <v>2013539000</v>
      </c>
      <c r="AB7448" s="28">
        <v>3554132000</v>
      </c>
      <c r="AC7448" s="28">
        <v>5732942000</v>
      </c>
      <c r="AD7448" s="28">
        <v>269518000</v>
      </c>
      <c r="AE7448" s="28">
        <v>7422358000</v>
      </c>
      <c r="AF7448" s="28">
        <v>277155000</v>
      </c>
      <c r="AG7448" s="11"/>
    </row>
    <row r="7449">
      <c r="A7449" s="7" t="s">
        <v>9002</v>
      </c>
      <c r="B7449" s="5" t="s">
        <v>16923</v>
      </c>
      <c r="C7449" s="5" t="s">
        <v>24523</v>
      </c>
      <c r="D7449" s="5" t="str">
        <v>773001245972</v>
      </c>
      <c r="E7449" s="0" t="e">
        <f>+7 (903) 7201060
+7 (800) 2501327
+7 (812) 2321622
+7 (812) 2442222
+7 (812) 2443333
+7 (812) 3017542
+7 (812) 3017543
+7 (812) 3017545
+7 (812) 3156202
+7 (812) 3200897
+7 (812) 3218844
+7 (812) 3288919
+7 (812) 4380838
+7 (812) 7779081
+7 (812) 7779082</f>
        <v>#NAME?</v>
      </c>
      <c r="F7449" s="5" t="s">
        <v>46930</v>
      </c>
      <c r="G7449" s="5" t="s">
        <v>46931</v>
      </c>
      <c r="H7449" s="26">
        <v>29.5</v>
      </c>
      <c r="I7449" s="5"/>
      <c r="J7449" s="5" t="s">
        <v>35858</v>
      </c>
      <c r="K7449" s="5" t="s">
        <v>355</v>
      </c>
      <c r="L7449" s="5"/>
      <c r="M7449" s="27"/>
      <c r="N7449" s="5" t="s">
        <v>60464</v>
      </c>
      <c r="O7449" s="5" t="str">
        <v>7812005799</v>
      </c>
      <c r="P7449" s="27">
        <v>39004000</v>
      </c>
      <c r="Q7449" s="5" t="s">
        <v>60465</v>
      </c>
      <c r="R7449" s="5"/>
      <c r="S7449" s="5" t="s">
        <v>49175</v>
      </c>
      <c r="T7449" s="28">
        <v>2859943000</v>
      </c>
      <c r="U7449" s="28">
        <v>1779257000</v>
      </c>
      <c r="V7449" s="28">
        <v>924451000</v>
      </c>
      <c r="W7449" s="28">
        <v>569622000</v>
      </c>
      <c r="X7449" s="28">
        <v>406790000</v>
      </c>
      <c r="Y7449" s="28">
        <v>16884428000</v>
      </c>
      <c r="Z7449" s="28">
        <v>-4692205000</v>
      </c>
      <c r="AA7449" s="28"/>
      <c r="AB7449" s="28"/>
      <c r="AC7449" s="28">
        <v>10700310000</v>
      </c>
      <c r="AD7449" s="28">
        <v>5678978000</v>
      </c>
      <c r="AE7449" s="28">
        <v>13776498000</v>
      </c>
      <c r="AF7449" s="28">
        <v>-647911000</v>
      </c>
      <c r="AG7449" s="11"/>
    </row>
    <row r="7450">
      <c r="A7450" s="7" t="s">
        <v>9003</v>
      </c>
      <c r="B7450" s="5" t="s">
        <v>16924</v>
      </c>
      <c r="C7450" s="5" t="s">
        <v>24524</v>
      </c>
      <c r="D7450" s="5" t="str">
        <v>770465092600</v>
      </c>
      <c r="E7450" s="0" t="e">
        <f>+7 (495) 5003101
+7 (495) 5003102
+7 (495) 4701678
+7 (495) 4703136
+7 (495) 4703290
+7 (495) 4705873
+7 (495) 5003040
+7 (495) 5003107
+7 (499) 1614361</f>
        <v>#NAME?</v>
      </c>
      <c r="F7450" s="5" t="s">
        <v>46932</v>
      </c>
      <c r="G7450" s="5" t="s">
        <v>46933</v>
      </c>
      <c r="H7450" s="26">
        <v>21</v>
      </c>
      <c r="I7450" s="5"/>
      <c r="J7450" s="5" t="s">
        <v>46934</v>
      </c>
      <c r="K7450" s="5" t="s">
        <v>355</v>
      </c>
      <c r="L7450" s="5"/>
      <c r="M7450" s="27"/>
      <c r="N7450" s="5"/>
      <c r="O7450" s="5" t="str">
        <v>7718200111</v>
      </c>
      <c r="P7450" s="27">
        <v>3300050000</v>
      </c>
      <c r="Q7450" s="5" t="s">
        <v>60466</v>
      </c>
      <c r="R7450" s="5"/>
      <c r="S7450" s="5" t="s">
        <v>49032</v>
      </c>
      <c r="T7450" s="28">
        <v>56433000</v>
      </c>
      <c r="U7450" s="28"/>
      <c r="V7450" s="28">
        <v>2093091000</v>
      </c>
      <c r="W7450" s="28"/>
      <c r="X7450" s="28">
        <v>683148000</v>
      </c>
      <c r="Y7450" s="28">
        <v>8075128000</v>
      </c>
      <c r="Z7450" s="28">
        <v>-3805354000</v>
      </c>
      <c r="AA7450" s="28"/>
      <c r="AB7450" s="28"/>
      <c r="AC7450" s="28">
        <v>4403771000</v>
      </c>
      <c r="AD7450" s="28">
        <v>3009015000</v>
      </c>
      <c r="AE7450" s="28">
        <v>6785050000</v>
      </c>
      <c r="AF7450" s="28">
        <v>2990000</v>
      </c>
      <c r="AG7450" s="11"/>
    </row>
    <row r="7451">
      <c r="A7451" s="7" t="s">
        <v>9004</v>
      </c>
      <c r="B7451" s="5" t="s">
        <v>16925</v>
      </c>
      <c r="C7451" s="5" t="s">
        <v>24525</v>
      </c>
      <c r="D7451" s="5" t="str">
        <v>507800422978</v>
      </c>
      <c r="E7451" s="0" t="e">
        <f>+7 (385) 2290004
+7 (495) 1089808
+7 (495) 2574147
+7 (495) 3748123
+7 (495) 5464546
+7 (495) 5665762
+7 (495) 6656720
+7 (495) 6657020
+7 (495) 6657520
+7 (495) 6657625
+7 (495) 6657666
+7 (495) 6657920
+7 (495) 5718175
+7 (495) 5755198
+7 (495) 6557620</f>
        <v>#NAME?</v>
      </c>
      <c r="F7451" s="5" t="s">
        <v>46935</v>
      </c>
      <c r="G7451" s="5" t="s">
        <v>46936</v>
      </c>
      <c r="H7451" s="26">
        <v>21.5</v>
      </c>
      <c r="I7451" s="5" t="s">
        <v>46937</v>
      </c>
      <c r="J7451" s="5" t="s">
        <v>25429</v>
      </c>
      <c r="K7451" s="5" t="s">
        <v>344</v>
      </c>
      <c r="L7451" s="5" t="s">
        <v>46938</v>
      </c>
      <c r="M7451" s="27"/>
      <c r="N7451" s="5" t="s">
        <v>60467</v>
      </c>
      <c r="O7451" s="5" t="str">
        <v>5047045359</v>
      </c>
      <c r="P7451" s="27">
        <v>2000000</v>
      </c>
      <c r="Q7451" s="5" t="s">
        <v>60468</v>
      </c>
      <c r="R7451" s="5"/>
      <c r="S7451" s="5" t="s">
        <v>60469</v>
      </c>
      <c r="T7451" s="28">
        <v>910001000</v>
      </c>
      <c r="U7451" s="28">
        <v>1014840000</v>
      </c>
      <c r="V7451" s="28">
        <v>60996729000</v>
      </c>
      <c r="W7451" s="28"/>
      <c r="X7451" s="28">
        <v>9230065000</v>
      </c>
      <c r="Y7451" s="28">
        <v>112123382000</v>
      </c>
      <c r="Z7451" s="28">
        <v>21568056000</v>
      </c>
      <c r="AA7451" s="28"/>
      <c r="AB7451" s="28"/>
      <c r="AC7451" s="28">
        <v>88983529000</v>
      </c>
      <c r="AD7451" s="28">
        <v>21570056000</v>
      </c>
      <c r="AE7451" s="28">
        <v>278452668000</v>
      </c>
      <c r="AF7451" s="28">
        <v>6875670000</v>
      </c>
      <c r="AG7451" s="11"/>
    </row>
    <row r="7452">
      <c r="A7452" s="7" t="s">
        <v>9005</v>
      </c>
      <c r="B7452" s="5" t="s">
        <v>16926</v>
      </c>
      <c r="C7452" s="5" t="s">
        <v>24526</v>
      </c>
      <c r="D7452" s="5" t="str">
        <v>772318515746</v>
      </c>
      <c r="E7452" s="0" t="e">
        <f>+7 (495) 7859460
+7 (495) 5309507
+7 (495) 5309508
+7 (495) 9936101</f>
        <v>#NAME?</v>
      </c>
      <c r="F7452" s="5" t="s">
        <v>46939</v>
      </c>
      <c r="G7452" s="5" t="s">
        <v>46940</v>
      </c>
      <c r="H7452" s="26">
        <v>23</v>
      </c>
      <c r="I7452" s="5"/>
      <c r="J7452" s="5" t="s">
        <v>35858</v>
      </c>
      <c r="K7452" s="5" t="s">
        <v>355</v>
      </c>
      <c r="L7452" s="5"/>
      <c r="M7452" s="27"/>
      <c r="N7452" s="5" t="s">
        <v>60470</v>
      </c>
      <c r="O7452" s="5" t="str">
        <v>7728212268</v>
      </c>
      <c r="P7452" s="27">
        <v>90000</v>
      </c>
      <c r="Q7452" s="5" t="s">
        <v>49009</v>
      </c>
      <c r="R7452" s="5"/>
      <c r="S7452" s="5" t="s">
        <v>49093</v>
      </c>
      <c r="T7452" s="28">
        <v>641216000</v>
      </c>
      <c r="U7452" s="28">
        <v>495000000</v>
      </c>
      <c r="V7452" s="28">
        <v>5518790000</v>
      </c>
      <c r="W7452" s="28">
        <v>35000000</v>
      </c>
      <c r="X7452" s="28">
        <v>68920000</v>
      </c>
      <c r="Y7452" s="28">
        <v>13652338000</v>
      </c>
      <c r="Z7452" s="28">
        <v>-1722701000</v>
      </c>
      <c r="AA7452" s="28"/>
      <c r="AB7452" s="28">
        <v>628887000</v>
      </c>
      <c r="AC7452" s="28">
        <v>2203546000</v>
      </c>
      <c r="AD7452" s="28">
        <v>10929819000</v>
      </c>
      <c r="AE7452" s="28">
        <v>5829706000</v>
      </c>
      <c r="AF7452" s="28">
        <v>-1823413000</v>
      </c>
      <c r="AG7452" s="11"/>
    </row>
    <row r="7453">
      <c r="A7453" s="7" t="s">
        <v>9006</v>
      </c>
      <c r="B7453" s="5" t="s">
        <v>16927</v>
      </c>
      <c r="C7453" s="5" t="s">
        <v>24527</v>
      </c>
      <c r="D7453" s="5" t="str">
        <v>502716198863</v>
      </c>
      <c r="E7453" s="0" t="e">
        <f>+7 (495) 1500696
+7 (499) 1500696
+7 (42366) 65634
+7 (812) 6678200</f>
        <v>#NAME?</v>
      </c>
      <c r="F7453" s="5" t="s">
        <v>46941</v>
      </c>
      <c r="G7453" s="5" t="s">
        <v>46942</v>
      </c>
      <c r="H7453" s="26">
        <v>10.5</v>
      </c>
      <c r="I7453" s="5" t="s">
        <v>46943</v>
      </c>
      <c r="J7453" s="5" t="s">
        <v>533</v>
      </c>
      <c r="K7453" s="5" t="s">
        <v>344</v>
      </c>
      <c r="L7453" s="5" t="s">
        <v>46944</v>
      </c>
      <c r="M7453" s="27">
        <v>1202055</v>
      </c>
      <c r="N7453" s="5"/>
      <c r="O7453" s="5" t="str">
        <v>7721763555</v>
      </c>
      <c r="P7453" s="27">
        <v>1000000</v>
      </c>
      <c r="Q7453" s="5" t="s">
        <v>49688</v>
      </c>
      <c r="R7453" s="5"/>
      <c r="S7453" s="5" t="s">
        <v>60471</v>
      </c>
      <c r="T7453" s="28">
        <v>1962888000</v>
      </c>
      <c r="U7453" s="28"/>
      <c r="V7453" s="28">
        <v>970269000</v>
      </c>
      <c r="W7453" s="28"/>
      <c r="X7453" s="28">
        <v>26474000</v>
      </c>
      <c r="Y7453" s="28">
        <v>3252717000</v>
      </c>
      <c r="Z7453" s="28">
        <v>754308000</v>
      </c>
      <c r="AA7453" s="28">
        <v>368839000</v>
      </c>
      <c r="AB7453" s="28"/>
      <c r="AC7453" s="28">
        <v>509968000</v>
      </c>
      <c r="AD7453" s="28">
        <v>804988000</v>
      </c>
      <c r="AE7453" s="28">
        <v>5875455000</v>
      </c>
      <c r="AF7453" s="28">
        <v>248226000</v>
      </c>
      <c r="AG7453" s="11"/>
    </row>
    <row r="7454">
      <c r="A7454" s="7" t="s">
        <v>9007</v>
      </c>
      <c r="B7454" s="5" t="s">
        <v>16928</v>
      </c>
      <c r="C7454" s="5" t="s">
        <v>24528</v>
      </c>
      <c r="D7454" s="5" t="str">
        <v>504700147338</v>
      </c>
      <c r="E7454" s="0" t="e">
        <f>+7 (495) 9942462
+7 (495) 2762616
+7 (495) 5409956
+7 (495) 9269956
+7 (495) 9942463
+7 (499) 1893737
+7 (499) 1896074
+7 (499) 1896157</f>
        <v>#NAME?</v>
      </c>
      <c r="F7454" s="5" t="s">
        <v>46945</v>
      </c>
      <c r="G7454" s="5" t="s">
        <v>46946</v>
      </c>
      <c r="H7454" s="26">
        <v>30.5</v>
      </c>
      <c r="I7454" s="5" t="s">
        <v>46947</v>
      </c>
      <c r="J7454" s="5" t="s">
        <v>26355</v>
      </c>
      <c r="K7454" s="5" t="s">
        <v>344</v>
      </c>
      <c r="L7454" s="5" t="s">
        <v>46948</v>
      </c>
      <c r="M7454" s="27">
        <v>433612</v>
      </c>
      <c r="N7454" s="5"/>
      <c r="O7454" s="5" t="str">
        <v>7710301171</v>
      </c>
      <c r="P7454" s="27">
        <v>10000</v>
      </c>
      <c r="Q7454" s="5"/>
      <c r="R7454" s="5"/>
      <c r="S7454" s="5" t="s">
        <v>49425</v>
      </c>
      <c r="T7454" s="28">
        <v>658539000</v>
      </c>
      <c r="U7454" s="28">
        <v>23920000</v>
      </c>
      <c r="V7454" s="28">
        <v>880620000</v>
      </c>
      <c r="W7454" s="28"/>
      <c r="X7454" s="28">
        <v>69272000</v>
      </c>
      <c r="Y7454" s="28">
        <v>2553133000</v>
      </c>
      <c r="Z7454" s="28">
        <v>1259974000</v>
      </c>
      <c r="AA7454" s="28">
        <v>151992000</v>
      </c>
      <c r="AB7454" s="28">
        <v>171523000</v>
      </c>
      <c r="AC7454" s="28">
        <v>668537000</v>
      </c>
      <c r="AD7454" s="28">
        <v>1259984000</v>
      </c>
      <c r="AE7454" s="28">
        <v>3786995000</v>
      </c>
      <c r="AF7454" s="28">
        <v>643563000</v>
      </c>
      <c r="AG7454" s="11"/>
    </row>
    <row r="7455">
      <c r="A7455" s="7" t="s">
        <v>9008</v>
      </c>
      <c r="B7455" s="5" t="s">
        <v>16929</v>
      </c>
      <c r="C7455" s="5" t="s">
        <v>24529</v>
      </c>
      <c r="D7455" s="5" t="str">
        <v>503002356795</v>
      </c>
      <c r="E7455" s="0" t="e">
        <f>+7 (495) 2853401
+7 (909) 9602184</f>
        <v>#NAME?</v>
      </c>
      <c r="F7455" s="5" t="s">
        <v>46949</v>
      </c>
      <c r="G7455" s="5"/>
      <c r="H7455" s="26">
        <v>9.5</v>
      </c>
      <c r="I7455" s="5" t="s">
        <v>46950</v>
      </c>
      <c r="J7455" s="5" t="s">
        <v>27687</v>
      </c>
      <c r="K7455" s="5" t="s">
        <v>344</v>
      </c>
      <c r="L7455" s="5" t="s">
        <v>46951</v>
      </c>
      <c r="M7455" s="27">
        <v>2036560</v>
      </c>
      <c r="N7455" s="5"/>
      <c r="O7455" s="5" t="str">
        <v>7734707205</v>
      </c>
      <c r="P7455" s="27">
        <v>25000</v>
      </c>
      <c r="Q7455" s="5"/>
      <c r="R7455" s="5"/>
      <c r="S7455" s="5" t="s">
        <v>49110</v>
      </c>
      <c r="T7455" s="28">
        <v>90732000</v>
      </c>
      <c r="U7455" s="28"/>
      <c r="V7455" s="28">
        <v>702037000</v>
      </c>
      <c r="W7455" s="28">
        <v>2116000</v>
      </c>
      <c r="X7455" s="28">
        <v>6268000</v>
      </c>
      <c r="Y7455" s="28">
        <v>1248635000</v>
      </c>
      <c r="Z7455" s="28">
        <v>67433000</v>
      </c>
      <c r="AA7455" s="28">
        <v>37400000</v>
      </c>
      <c r="AB7455" s="28">
        <v>30000000</v>
      </c>
      <c r="AC7455" s="28">
        <v>1117209000</v>
      </c>
      <c r="AD7455" s="28">
        <v>67458000</v>
      </c>
      <c r="AE7455" s="28">
        <v>3592132000</v>
      </c>
      <c r="AF7455" s="28">
        <v>60986000</v>
      </c>
      <c r="AG7455" s="11"/>
    </row>
    <row r="7456">
      <c r="A7456" s="7" t="s">
        <v>9009</v>
      </c>
      <c r="B7456" s="5" t="s">
        <v>16930</v>
      </c>
      <c r="C7456" s="5" t="s">
        <v>24530</v>
      </c>
      <c r="D7456" s="5" t="str">
        <v>504514354087</v>
      </c>
      <c r="F7456" s="5"/>
      <c r="G7456" s="5"/>
      <c r="H7456" s="26">
        <v>4.5</v>
      </c>
      <c r="I7456" s="5" t="s">
        <v>46952</v>
      </c>
      <c r="J7456" s="5" t="s">
        <v>28075</v>
      </c>
      <c r="K7456" s="5" t="s">
        <v>344</v>
      </c>
      <c r="L7456" s="5" t="s">
        <v>46953</v>
      </c>
      <c r="M7456" s="27"/>
      <c r="N7456" s="5"/>
      <c r="O7456" s="5" t="str">
        <v>5045063426</v>
      </c>
      <c r="P7456" s="27">
        <v>1613992393</v>
      </c>
      <c r="Q7456" s="5" t="s">
        <v>49009</v>
      </c>
      <c r="R7456" s="5"/>
      <c r="S7456" s="5" t="s">
        <v>49884</v>
      </c>
      <c r="T7456" s="28">
        <v>4486389000</v>
      </c>
      <c r="U7456" s="28"/>
      <c r="V7456" s="28">
        <v>1023008000</v>
      </c>
      <c r="W7456" s="28"/>
      <c r="X7456" s="28">
        <v>312313000</v>
      </c>
      <c r="Y7456" s="28">
        <v>7621923000</v>
      </c>
      <c r="Z7456" s="28">
        <v>1685251000</v>
      </c>
      <c r="AA7456" s="28">
        <v>2000037000</v>
      </c>
      <c r="AB7456" s="28">
        <v>416939000</v>
      </c>
      <c r="AC7456" s="28">
        <v>2297656000</v>
      </c>
      <c r="AD7456" s="28">
        <v>3298467000</v>
      </c>
      <c r="AE7456" s="28">
        <v>7186078000</v>
      </c>
      <c r="AF7456" s="28">
        <v>657519000</v>
      </c>
      <c r="AG7456" s="11"/>
    </row>
    <row r="7457">
      <c r="A7457" s="7" t="s">
        <v>9010</v>
      </c>
      <c r="B7457" s="5" t="s">
        <v>16931</v>
      </c>
      <c r="C7457" s="5" t="s">
        <v>24531</v>
      </c>
      <c r="D7457" s="5" t="str">
        <v>773702844100</v>
      </c>
      <c r="E7457" s="0" t="e">
        <f>+7 (495) 3209672
+7 (495) 3635776
+7 (499) 3209672
+7 (499) 3209673
+7 (499) 3209674
+7 (499) 3233257
+7 (499) 3234602
+7 (903) 3635776</f>
        <v>#NAME?</v>
      </c>
      <c r="F7457" s="5" t="s">
        <v>46954</v>
      </c>
      <c r="G7457" s="5"/>
      <c r="H7457" s="26">
        <v>23.5</v>
      </c>
      <c r="I7457" s="5" t="s">
        <v>46955</v>
      </c>
      <c r="J7457" s="5" t="s">
        <v>30320</v>
      </c>
      <c r="K7457" s="5" t="s">
        <v>344</v>
      </c>
      <c r="L7457" s="5" t="s">
        <v>46956</v>
      </c>
      <c r="M7457" s="27"/>
      <c r="N7457" s="5"/>
      <c r="O7457" s="5" t="str">
        <v>7714156246</v>
      </c>
      <c r="P7457" s="27">
        <v>10000</v>
      </c>
      <c r="Q7457" s="5" t="s">
        <v>49207</v>
      </c>
      <c r="R7457" s="5"/>
      <c r="S7457" s="5" t="s">
        <v>50911</v>
      </c>
      <c r="T7457" s="28">
        <v>135972000</v>
      </c>
      <c r="U7457" s="28">
        <v>600000000</v>
      </c>
      <c r="V7457" s="28">
        <v>462020000</v>
      </c>
      <c r="W7457" s="28"/>
      <c r="X7457" s="28">
        <v>12708000</v>
      </c>
      <c r="Y7457" s="28">
        <v>1427199000</v>
      </c>
      <c r="Z7457" s="28">
        <v>807182000</v>
      </c>
      <c r="AA7457" s="28"/>
      <c r="AB7457" s="28">
        <v>240648000</v>
      </c>
      <c r="AC7457" s="28">
        <v>569855000</v>
      </c>
      <c r="AD7457" s="28">
        <v>807192000</v>
      </c>
      <c r="AE7457" s="28">
        <v>3838080000</v>
      </c>
      <c r="AF7457" s="28">
        <v>259292000</v>
      </c>
      <c r="AG7457" s="11"/>
    </row>
    <row r="7458">
      <c r="A7458" s="7" t="s">
        <v>9011</v>
      </c>
      <c r="B7458" s="5" t="s">
        <v>16932</v>
      </c>
      <c r="C7458" s="5" t="s">
        <v>24532</v>
      </c>
      <c r="D7458" s="5" t="str">
        <v>143521733378</v>
      </c>
      <c r="E7458" s="0" t="e">
        <f>+7 (861) 7692013
+7 (8617) 604241
+7 (8617) 604258
+7 (8617) 767582</f>
        <v>#NAME?</v>
      </c>
      <c r="F7458" s="5" t="s">
        <v>46957</v>
      </c>
      <c r="G7458" s="5"/>
      <c r="H7458" s="26">
        <v>30.5</v>
      </c>
      <c r="I7458" s="5"/>
      <c r="J7458" s="5" t="s">
        <v>40228</v>
      </c>
      <c r="K7458" s="5" t="s">
        <v>344</v>
      </c>
      <c r="L7458" s="5" t="s">
        <v>46958</v>
      </c>
      <c r="M7458" s="27"/>
      <c r="N7458" s="5" t="s">
        <v>60472</v>
      </c>
      <c r="O7458" s="5" t="str">
        <v>2315005197</v>
      </c>
      <c r="P7458" s="27">
        <v>160800</v>
      </c>
      <c r="Q7458" s="5" t="s">
        <v>60473</v>
      </c>
      <c r="R7458" s="5"/>
      <c r="S7458" s="5" t="s">
        <v>51316</v>
      </c>
      <c r="T7458" s="28">
        <v>6460510000</v>
      </c>
      <c r="U7458" s="28"/>
      <c r="V7458" s="28">
        <v>190310000</v>
      </c>
      <c r="W7458" s="28"/>
      <c r="X7458" s="28">
        <v>2800618000</v>
      </c>
      <c r="Y7458" s="28">
        <v>11341953000</v>
      </c>
      <c r="Z7458" s="28">
        <v>3101385000</v>
      </c>
      <c r="AA7458" s="28">
        <v>1300000000</v>
      </c>
      <c r="AB7458" s="28">
        <v>11000</v>
      </c>
      <c r="AC7458" s="28">
        <v>2196658000</v>
      </c>
      <c r="AD7458" s="28">
        <v>3645643000</v>
      </c>
      <c r="AE7458" s="28">
        <v>6028822000</v>
      </c>
      <c r="AF7458" s="28">
        <v>618849000</v>
      </c>
      <c r="AG7458" s="11"/>
    </row>
    <row r="7459">
      <c r="A7459" s="7" t="s">
        <v>9012</v>
      </c>
      <c r="B7459" s="5" t="s">
        <v>16933</v>
      </c>
      <c r="C7459" s="5" t="s">
        <v>24533</v>
      </c>
      <c r="D7459" s="5" t="str">
        <v>773104126825</v>
      </c>
      <c r="E7459" s="0" t="e">
        <f>+7 (495) 6251101
+7 (495) 7611211
+7 (495) 1051101
+7 (495) 6251103
+7 (495) 9251100
+7 (499) 4891135
+7 (499) 4891144</f>
        <v>#NAME?</v>
      </c>
      <c r="F7459" s="5" t="s">
        <v>46959</v>
      </c>
      <c r="G7459" s="5" t="s">
        <v>46960</v>
      </c>
      <c r="H7459" s="26">
        <v>27</v>
      </c>
      <c r="I7459" s="5" t="s">
        <v>46961</v>
      </c>
      <c r="J7459" s="5" t="s">
        <v>364</v>
      </c>
      <c r="K7459" s="5" t="s">
        <v>355</v>
      </c>
      <c r="L7459" s="5" t="s">
        <v>46962</v>
      </c>
      <c r="M7459" s="27">
        <v>35843093</v>
      </c>
      <c r="N7459" s="5"/>
      <c r="O7459" s="5" t="str">
        <v>7710176315</v>
      </c>
      <c r="P7459" s="27">
        <v>1208483718</v>
      </c>
      <c r="Q7459" s="5" t="s">
        <v>60475</v>
      </c>
      <c r="R7459" s="5"/>
      <c r="S7459" s="5" t="s">
        <v>49162</v>
      </c>
      <c r="T7459" s="28">
        <v>695192000</v>
      </c>
      <c r="U7459" s="28">
        <v>1144550000</v>
      </c>
      <c r="V7459" s="28">
        <v>4761621000</v>
      </c>
      <c r="W7459" s="28">
        <v>167189000</v>
      </c>
      <c r="X7459" s="28">
        <v>704977000</v>
      </c>
      <c r="Y7459" s="28">
        <v>11567236000</v>
      </c>
      <c r="Z7459" s="28">
        <v>1433558000</v>
      </c>
      <c r="AA7459" s="28">
        <v>868517000</v>
      </c>
      <c r="AB7459" s="28">
        <v>675815000</v>
      </c>
      <c r="AC7459" s="28">
        <v>7525896000</v>
      </c>
      <c r="AD7459" s="28">
        <v>2973466000</v>
      </c>
      <c r="AE7459" s="28">
        <v>4513865000</v>
      </c>
      <c r="AF7459" s="28">
        <v>840986000</v>
      </c>
      <c r="AG7459" s="11"/>
    </row>
    <row r="7460">
      <c r="A7460" s="7" t="s">
        <v>9013</v>
      </c>
      <c r="B7460" s="5" t="s">
        <v>16934</v>
      </c>
      <c r="C7460" s="5" t="s">
        <v>24534</v>
      </c>
      <c r="D7460" s="5" t="str">
        <v>645001266491</v>
      </c>
      <c r="E7460" s="0" t="e">
        <f>+7 (928) 1909436
+7 (863) 2538763
+7 (863) 2618699
+7 (905) 4537827
+7 (928) 1247054</f>
        <v>#NAME?</v>
      </c>
      <c r="F7460" s="5" t="s">
        <v>46963</v>
      </c>
      <c r="G7460" s="5"/>
      <c r="H7460" s="26">
        <v>25.5</v>
      </c>
      <c r="I7460" s="5" t="s">
        <v>46964</v>
      </c>
      <c r="J7460" s="5" t="s">
        <v>25283</v>
      </c>
      <c r="K7460" s="5" t="s">
        <v>344</v>
      </c>
      <c r="L7460" s="5"/>
      <c r="M7460" s="27"/>
      <c r="N7460" s="5" t="s">
        <v>60476</v>
      </c>
      <c r="O7460" s="5" t="str">
        <v>6167042778</v>
      </c>
      <c r="P7460" s="27">
        <v>185000</v>
      </c>
      <c r="Q7460" s="5" t="s">
        <v>49728</v>
      </c>
      <c r="R7460" s="5"/>
      <c r="S7460" s="5" t="s">
        <v>60477</v>
      </c>
      <c r="T7460" s="28">
        <v>381870000</v>
      </c>
      <c r="U7460" s="28">
        <v>400000</v>
      </c>
      <c r="V7460" s="28">
        <v>313462000</v>
      </c>
      <c r="W7460" s="28"/>
      <c r="X7460" s="28">
        <v>188722000</v>
      </c>
      <c r="Y7460" s="28">
        <v>1099692000</v>
      </c>
      <c r="Z7460" s="28">
        <v>665800000</v>
      </c>
      <c r="AA7460" s="28"/>
      <c r="AB7460" s="28"/>
      <c r="AC7460" s="28">
        <v>270713000</v>
      </c>
      <c r="AD7460" s="28">
        <v>665985000</v>
      </c>
      <c r="AE7460" s="28">
        <v>3680468000</v>
      </c>
      <c r="AF7460" s="28">
        <v>163955000</v>
      </c>
      <c r="AG7460" s="11"/>
    </row>
    <row r="7461">
      <c r="A7461" s="7" t="s">
        <v>9014</v>
      </c>
      <c r="B7461" s="5" t="s">
        <v>16935</v>
      </c>
      <c r="C7461" s="5" t="s">
        <v>24535</v>
      </c>
      <c r="D7461" s="5" t="str">
        <v>027001769980</v>
      </c>
      <c r="E7461" s="0" t="e">
        <f>+7 (495) 1828221
+7 (495) 1828239
+7 (495) 1828269
+7 (495) 1828279
+7 (495) 1828290
+7 (495) 7373954
+7 (495) 7373955
+7 (495) 7373958
+7 (495) 7373975</f>
        <v>#NAME?</v>
      </c>
      <c r="F7461" s="5" t="s">
        <v>46965</v>
      </c>
      <c r="G7461" s="5" t="s">
        <v>46966</v>
      </c>
      <c r="H7461" s="26">
        <v>25.5</v>
      </c>
      <c r="I7461" s="5"/>
      <c r="J7461" s="5" t="s">
        <v>28451</v>
      </c>
      <c r="K7461" s="5" t="s">
        <v>344</v>
      </c>
      <c r="L7461" s="5" t="s">
        <v>46967</v>
      </c>
      <c r="M7461" s="27">
        <v>1182499</v>
      </c>
      <c r="N7461" s="5"/>
      <c r="O7461" s="5" t="str">
        <v>5047027173</v>
      </c>
      <c r="P7461" s="27">
        <v>73000000</v>
      </c>
      <c r="Q7461" s="5" t="s">
        <v>49009</v>
      </c>
      <c r="R7461" s="5"/>
      <c r="S7461" s="5" t="s">
        <v>50290</v>
      </c>
      <c r="T7461" s="28">
        <v>10890670000</v>
      </c>
      <c r="U7461" s="28">
        <v>5630000</v>
      </c>
      <c r="V7461" s="28">
        <v>4103392000</v>
      </c>
      <c r="W7461" s="28"/>
      <c r="X7461" s="28">
        <v>1299681000</v>
      </c>
      <c r="Y7461" s="28">
        <v>17290373000</v>
      </c>
      <c r="Z7461" s="28">
        <v>4822896000</v>
      </c>
      <c r="AA7461" s="28"/>
      <c r="AB7461" s="28"/>
      <c r="AC7461" s="28">
        <v>3951398000</v>
      </c>
      <c r="AD7461" s="28">
        <v>4906846000</v>
      </c>
      <c r="AE7461" s="28">
        <v>17753534000</v>
      </c>
      <c r="AF7461" s="28">
        <v>856028000</v>
      </c>
      <c r="AG7461" s="11"/>
    </row>
    <row r="7462">
      <c r="A7462" s="7" t="s">
        <v>9015</v>
      </c>
      <c r="B7462" s="5" t="s">
        <v>16936</v>
      </c>
      <c r="C7462" s="5" t="s">
        <v>24536</v>
      </c>
      <c r="D7462" s="5" t="str">
        <v>553200011000</v>
      </c>
      <c r="E7462" s="0" t="e">
        <f>+7 (495) 9811719
+7 (925) 946454</f>
        <v>#NAME?</v>
      </c>
      <c r="F7462" s="5"/>
      <c r="G7462" s="5"/>
      <c r="H7462" s="26">
        <v>7</v>
      </c>
      <c r="I7462" s="5" t="s">
        <v>46968</v>
      </c>
      <c r="J7462" s="5" t="s">
        <v>502</v>
      </c>
      <c r="K7462" s="5" t="s">
        <v>344</v>
      </c>
      <c r="L7462" s="5"/>
      <c r="M7462" s="27"/>
      <c r="N7462" s="5"/>
      <c r="O7462" s="5" t="str">
        <v>5032225951</v>
      </c>
      <c r="P7462" s="27">
        <v>1000000</v>
      </c>
      <c r="Q7462" s="5" t="s">
        <v>49009</v>
      </c>
      <c r="R7462" s="5"/>
      <c r="S7462" s="5" t="s">
        <v>49010</v>
      </c>
      <c r="T7462" s="28">
        <v>175747000</v>
      </c>
      <c r="U7462" s="28"/>
      <c r="V7462" s="28">
        <v>306549000</v>
      </c>
      <c r="W7462" s="28"/>
      <c r="X7462" s="28">
        <v>256845000</v>
      </c>
      <c r="Y7462" s="28">
        <v>901039000</v>
      </c>
      <c r="Z7462" s="28">
        <v>44596000</v>
      </c>
      <c r="AA7462" s="28"/>
      <c r="AB7462" s="28">
        <v>229570000</v>
      </c>
      <c r="AC7462" s="28">
        <v>760037000</v>
      </c>
      <c r="AD7462" s="28">
        <v>45596000</v>
      </c>
      <c r="AE7462" s="28">
        <v>5350260000</v>
      </c>
      <c r="AF7462" s="28">
        <v>237518000</v>
      </c>
      <c r="AG7462" s="11"/>
    </row>
    <row r="7463">
      <c r="A7463" s="7" t="s">
        <v>9016</v>
      </c>
      <c r="B7463" s="5" t="s">
        <v>16937</v>
      </c>
      <c r="C7463" s="5" t="s">
        <v>24537</v>
      </c>
      <c r="D7463" s="5" t="str">
        <v>774308663428</v>
      </c>
      <c r="E7463" s="0" t="e">
        <f>+7 (916) 7660140
+7 (495) 7270166
+7 (495) 7412735
+7 (495) 9763913
+7 (916) 1335301</f>
        <v>#NAME?</v>
      </c>
      <c r="F7463" s="5" t="s">
        <v>46969</v>
      </c>
      <c r="G7463" s="5" t="s">
        <v>46970</v>
      </c>
      <c r="H7463" s="26">
        <v>14</v>
      </c>
      <c r="I7463" s="5"/>
      <c r="J7463" s="5" t="s">
        <v>25402</v>
      </c>
      <c r="K7463" s="5" t="s">
        <v>344</v>
      </c>
      <c r="L7463" s="5" t="s">
        <v>46971</v>
      </c>
      <c r="M7463" s="27"/>
      <c r="N7463" s="5" t="s">
        <v>60479</v>
      </c>
      <c r="O7463" s="5" t="str">
        <v>7713684860</v>
      </c>
      <c r="P7463" s="27">
        <v>72600000</v>
      </c>
      <c r="Q7463" s="5" t="s">
        <v>49057</v>
      </c>
      <c r="R7463" s="5"/>
      <c r="S7463" s="5" t="s">
        <v>60480</v>
      </c>
      <c r="T7463" s="28">
        <v>615293000</v>
      </c>
      <c r="U7463" s="28">
        <v>25000</v>
      </c>
      <c r="V7463" s="28">
        <v>1970039000</v>
      </c>
      <c r="W7463" s="28"/>
      <c r="X7463" s="28">
        <v>18702000</v>
      </c>
      <c r="Y7463" s="28">
        <v>6314441000</v>
      </c>
      <c r="Z7463" s="28">
        <v>1327550000</v>
      </c>
      <c r="AA7463" s="28">
        <v>179867000</v>
      </c>
      <c r="AB7463" s="28">
        <v>1302228000</v>
      </c>
      <c r="AC7463" s="28">
        <v>4320164000</v>
      </c>
      <c r="AD7463" s="28">
        <v>1410152000</v>
      </c>
      <c r="AE7463" s="28">
        <v>6192428000</v>
      </c>
      <c r="AF7463" s="28">
        <v>696571000</v>
      </c>
      <c r="AG7463" s="11"/>
    </row>
    <row r="7464">
      <c r="A7464" s="7" t="s">
        <v>9017</v>
      </c>
      <c r="B7464" s="5" t="s">
        <v>16938</v>
      </c>
      <c r="C7464" s="5" t="s">
        <v>24538</v>
      </c>
      <c r="D7464" s="5" t="str">
        <v>780610097794</v>
      </c>
      <c r="E7464" s="0" t="e">
        <f>+7 (985) 7609305
+7 (345) 2677748
+7 (346) 2758097
+7 (391) 2904078
+7 (495) 6004333
+7 (495) 6639237
+7 (495) 6639238
+7 (495) 9335316
+7 (495) 9375485
+7 (800) 1008658
+7 (812) 3748899
+7 (8432) 116060
+7 (913) 4983814</f>
        <v>#NAME?</v>
      </c>
      <c r="F7464" s="5" t="s">
        <v>46972</v>
      </c>
      <c r="G7464" s="5" t="s">
        <v>46973</v>
      </c>
      <c r="H7464" s="26">
        <v>13</v>
      </c>
      <c r="I7464" s="5" t="s">
        <v>46974</v>
      </c>
      <c r="J7464" s="5" t="s">
        <v>397</v>
      </c>
      <c r="K7464" s="5" t="s">
        <v>344</v>
      </c>
      <c r="L7464" s="5" t="s">
        <v>46975</v>
      </c>
      <c r="M7464" s="27">
        <v>5375370</v>
      </c>
      <c r="N7464" s="5" t="s">
        <v>60481</v>
      </c>
      <c r="O7464" s="5" t="str">
        <v>7710761161</v>
      </c>
      <c r="P7464" s="27">
        <v>8010000</v>
      </c>
      <c r="Q7464" s="5" t="s">
        <v>60482</v>
      </c>
      <c r="R7464" s="5"/>
      <c r="S7464" s="5" t="s">
        <v>60483</v>
      </c>
      <c r="T7464" s="28">
        <v>1072077000</v>
      </c>
      <c r="U7464" s="28">
        <v>1563408000</v>
      </c>
      <c r="V7464" s="28">
        <v>3428761000</v>
      </c>
      <c r="W7464" s="28">
        <v>225960000</v>
      </c>
      <c r="X7464" s="28">
        <v>429274000</v>
      </c>
      <c r="Y7464" s="28">
        <v>11248401000</v>
      </c>
      <c r="Z7464" s="28">
        <v>7464824000</v>
      </c>
      <c r="AA7464" s="28">
        <v>1877642000</v>
      </c>
      <c r="AB7464" s="28">
        <v>2824000</v>
      </c>
      <c r="AC7464" s="28">
        <v>958768000</v>
      </c>
      <c r="AD7464" s="28">
        <v>8071416000</v>
      </c>
      <c r="AE7464" s="28">
        <v>24378521000</v>
      </c>
      <c r="AF7464" s="28">
        <v>1904293000</v>
      </c>
      <c r="AG7464" s="11"/>
    </row>
    <row r="7465">
      <c r="A7465" s="7" t="s">
        <v>9018</v>
      </c>
      <c r="B7465" s="5" t="s">
        <v>16939</v>
      </c>
      <c r="C7465" s="5" t="s">
        <v>24539</v>
      </c>
      <c r="D7465" s="5" t="str">
        <v>301608790433</v>
      </c>
      <c r="E7465" s="0" t="e">
        <f>+7 (985) 9215834</f>
        <v>#NAME?</v>
      </c>
      <c r="F7465" s="5"/>
      <c r="G7465" s="5" t="s">
        <v>46973</v>
      </c>
      <c r="H7465" s="26">
        <v>9</v>
      </c>
      <c r="I7465" s="5" t="s">
        <v>46976</v>
      </c>
      <c r="J7465" s="5" t="s">
        <v>25344</v>
      </c>
      <c r="K7465" s="5" t="s">
        <v>344</v>
      </c>
      <c r="L7465" s="5" t="s">
        <v>46977</v>
      </c>
      <c r="M7465" s="27">
        <v>2507972</v>
      </c>
      <c r="N7465" s="5"/>
      <c r="O7465" s="5" t="str">
        <v>5047151332</v>
      </c>
      <c r="P7465" s="27">
        <v>8810000</v>
      </c>
      <c r="Q7465" s="5"/>
      <c r="R7465" s="5"/>
      <c r="S7465" s="5" t="s">
        <v>49496</v>
      </c>
      <c r="T7465" s="28">
        <v>2797771000</v>
      </c>
      <c r="U7465" s="28"/>
      <c r="V7465" s="28">
        <v>1861893000</v>
      </c>
      <c r="W7465" s="28">
        <v>748825000</v>
      </c>
      <c r="X7465" s="28">
        <v>3462000</v>
      </c>
      <c r="Y7465" s="28">
        <v>6781456000</v>
      </c>
      <c r="Z7465" s="28">
        <v>2701398000</v>
      </c>
      <c r="AA7465" s="28"/>
      <c r="AB7465" s="28"/>
      <c r="AC7465" s="28">
        <v>3548861000</v>
      </c>
      <c r="AD7465" s="28">
        <v>2716508000</v>
      </c>
      <c r="AE7465" s="28">
        <v>10350390000</v>
      </c>
      <c r="AF7465" s="28">
        <v>1773810000</v>
      </c>
      <c r="AG7465" s="11"/>
    </row>
    <row r="7466">
      <c r="A7466" s="7" t="s">
        <v>9019</v>
      </c>
      <c r="B7466" s="5" t="s">
        <v>16940</v>
      </c>
      <c r="C7466" s="5" t="s">
        <v>24540</v>
      </c>
      <c r="D7466" s="5" t="str">
        <v>770904538741</v>
      </c>
      <c r="E7466" s="0" t="e">
        <f>+7 (926) 2358949
+7 (495) 2807274
+7 (499) 6850077</f>
        <v>#NAME?</v>
      </c>
      <c r="F7466" s="5"/>
      <c r="G7466" s="5"/>
      <c r="H7466" s="26">
        <v>5</v>
      </c>
      <c r="I7466" s="5" t="s">
        <v>46978</v>
      </c>
      <c r="J7466" s="5" t="s">
        <v>364</v>
      </c>
      <c r="K7466" s="5" t="s">
        <v>344</v>
      </c>
      <c r="L7466" s="5" t="s">
        <v>46979</v>
      </c>
      <c r="M7466" s="27"/>
      <c r="N7466" s="5"/>
      <c r="O7466" s="5" t="str">
        <v>7728387525</v>
      </c>
      <c r="P7466" s="27">
        <v>100000</v>
      </c>
      <c r="Q7466" s="5" t="s">
        <v>60484</v>
      </c>
      <c r="R7466" s="5"/>
      <c r="S7466" s="5" t="s">
        <v>60485</v>
      </c>
      <c r="T7466" s="28">
        <v>60472000</v>
      </c>
      <c r="U7466" s="28"/>
      <c r="V7466" s="28">
        <v>1390045000</v>
      </c>
      <c r="W7466" s="28">
        <v>860000</v>
      </c>
      <c r="X7466" s="28">
        <v>362858000</v>
      </c>
      <c r="Y7466" s="28">
        <v>2314302000</v>
      </c>
      <c r="Z7466" s="28">
        <v>141234000</v>
      </c>
      <c r="AA7466" s="28"/>
      <c r="AB7466" s="28"/>
      <c r="AC7466" s="28">
        <v>2172157000</v>
      </c>
      <c r="AD7466" s="28">
        <v>141349000</v>
      </c>
      <c r="AE7466" s="28">
        <v>4028112000</v>
      </c>
      <c r="AF7466" s="28">
        <v>57854000</v>
      </c>
      <c r="AG7466" s="11"/>
    </row>
    <row r="7467">
      <c r="A7467" s="7" t="s">
        <v>9020</v>
      </c>
      <c r="B7467" s="5" t="s">
        <v>16941</v>
      </c>
      <c r="C7467" s="5" t="s">
        <v>24541</v>
      </c>
      <c r="D7467" s="5" t="str">
        <v>614306027056</v>
      </c>
      <c r="E7467" s="0" t="e">
        <f>+7 (495) 2762033
+7 (495) 2762066
+7 (495) 6762066</f>
        <v>#NAME?</v>
      </c>
      <c r="F7467" s="5"/>
      <c r="G7467" s="5"/>
      <c r="H7467" s="26">
        <v>10</v>
      </c>
      <c r="I7467" s="5"/>
      <c r="J7467" s="5" t="s">
        <v>364</v>
      </c>
      <c r="K7467" s="5" t="s">
        <v>355</v>
      </c>
      <c r="L7467" s="5"/>
      <c r="M7467" s="27">
        <v>9051898</v>
      </c>
      <c r="N7467" s="5" t="s">
        <v>60486</v>
      </c>
      <c r="O7467" s="5" t="str">
        <v>7729732573</v>
      </c>
      <c r="P7467" s="27">
        <v>4200000</v>
      </c>
      <c r="Q7467" s="5" t="s">
        <v>60487</v>
      </c>
      <c r="R7467" s="5"/>
      <c r="S7467" s="5" t="s">
        <v>52348</v>
      </c>
      <c r="T7467" s="28"/>
      <c r="U7467" s="28"/>
      <c r="V7467" s="28">
        <v>6259645000</v>
      </c>
      <c r="W7467" s="28"/>
      <c r="X7467" s="28">
        <v>7504000</v>
      </c>
      <c r="Y7467" s="28">
        <v>7279455000</v>
      </c>
      <c r="Z7467" s="28">
        <v>145763000</v>
      </c>
      <c r="AA7467" s="28">
        <v>4002000</v>
      </c>
      <c r="AB7467" s="28"/>
      <c r="AC7467" s="28">
        <v>7064190000</v>
      </c>
      <c r="AD7467" s="28">
        <v>150173000</v>
      </c>
      <c r="AE7467" s="28">
        <v>6400080000</v>
      </c>
      <c r="AF7467" s="28">
        <v>23644000</v>
      </c>
      <c r="AG7467" s="11"/>
    </row>
    <row r="7468">
      <c r="A7468" s="7" t="s">
        <v>9021</v>
      </c>
      <c r="B7468" s="5" t="s">
        <v>16942</v>
      </c>
      <c r="C7468" s="5" t="s">
        <v>24542</v>
      </c>
      <c r="D7468" s="5" t="str">
        <v>772823346481</v>
      </c>
      <c r="E7468" s="0" t="e">
        <f>+7 (495) 4336577
+7 (495) 4336622
+7 (925) 7715030
+7 (495) 2762066
+7 (495) 3656677
+7 (495) 4336566</f>
        <v>#NAME?</v>
      </c>
      <c r="F7468" s="5" t="s">
        <v>46980</v>
      </c>
      <c r="G7468" s="5" t="s">
        <v>46981</v>
      </c>
      <c r="H7468" s="26">
        <v>25.5</v>
      </c>
      <c r="I7468" s="5" t="s">
        <v>46982</v>
      </c>
      <c r="J7468" s="5" t="s">
        <v>364</v>
      </c>
      <c r="K7468" s="5" t="s">
        <v>344</v>
      </c>
      <c r="L7468" s="5"/>
      <c r="M7468" s="27"/>
      <c r="N7468" s="5"/>
      <c r="O7468" s="5" t="str">
        <v>7729355935</v>
      </c>
      <c r="P7468" s="27">
        <v>600000</v>
      </c>
      <c r="Q7468" s="5" t="s">
        <v>60488</v>
      </c>
      <c r="R7468" s="5"/>
      <c r="S7468" s="5" t="s">
        <v>60489</v>
      </c>
      <c r="T7468" s="28"/>
      <c r="U7468" s="28">
        <v>110401000</v>
      </c>
      <c r="V7468" s="28">
        <v>17747449000</v>
      </c>
      <c r="W7468" s="28">
        <v>139800000</v>
      </c>
      <c r="X7468" s="28">
        <v>5624473000</v>
      </c>
      <c r="Y7468" s="28">
        <v>27936291000</v>
      </c>
      <c r="Z7468" s="28">
        <v>1126042000</v>
      </c>
      <c r="AA7468" s="28"/>
      <c r="AB7468" s="28"/>
      <c r="AC7468" s="28">
        <v>26367109000</v>
      </c>
      <c r="AD7468" s="28">
        <v>1126672000</v>
      </c>
      <c r="AE7468" s="28">
        <v>38715657000</v>
      </c>
      <c r="AF7468" s="28">
        <v>700664000</v>
      </c>
      <c r="AG7468" s="11"/>
    </row>
    <row r="7469">
      <c r="A7469" s="7" t="s">
        <v>9022</v>
      </c>
      <c r="B7469" s="5" t="s">
        <v>16943</v>
      </c>
      <c r="C7469" s="5" t="s">
        <v>24543</v>
      </c>
      <c r="D7469" s="5" t="str">
        <v>402721771830</v>
      </c>
      <c r="E7469" s="0" t="e">
        <f>+7 (495) 2583901
+7 (484) 2711599
+7 (3412) 930111
+7 (3652) 530277
+7 (401) 2777007
+7 (421) 2915025
+7 (484) 2711002
+7 (484) 2711020
+7 (484) 2711140
+7 (484) 2711173
+7 (484) 2711240
+7 (484) 2711668
+7 (484) 2711688
+7 (492) 2222393
+7 (495) 44915</f>
        <v>#NAME?</v>
      </c>
      <c r="F7469" s="5" t="s">
        <v>46983</v>
      </c>
      <c r="G7469" s="5" t="s">
        <v>46984</v>
      </c>
      <c r="H7469" s="26">
        <v>23</v>
      </c>
      <c r="I7469" s="5" t="s">
        <v>46985</v>
      </c>
      <c r="J7469" s="5" t="s">
        <v>26229</v>
      </c>
      <c r="K7469" s="5" t="s">
        <v>355</v>
      </c>
      <c r="L7469" s="5" t="s">
        <v>46986</v>
      </c>
      <c r="M7469" s="27">
        <v>15645213723</v>
      </c>
      <c r="N7469" s="5" t="s">
        <v>60490</v>
      </c>
      <c r="O7469" s="5" t="str">
        <v>5042059767</v>
      </c>
      <c r="P7469" s="27">
        <v>7854573349</v>
      </c>
      <c r="Q7469" s="5" t="s">
        <v>49009</v>
      </c>
      <c r="R7469" s="5"/>
      <c r="S7469" s="5" t="s">
        <v>49066</v>
      </c>
      <c r="T7469" s="28">
        <v>50851931000</v>
      </c>
      <c r="U7469" s="28">
        <v>88558000</v>
      </c>
      <c r="V7469" s="28">
        <v>3269137000</v>
      </c>
      <c r="W7469" s="28"/>
      <c r="X7469" s="28">
        <v>8777908000</v>
      </c>
      <c r="Y7469" s="28">
        <v>77769617000</v>
      </c>
      <c r="Z7469" s="28">
        <v>32477932000</v>
      </c>
      <c r="AA7469" s="28"/>
      <c r="AB7469" s="28">
        <v>369000</v>
      </c>
      <c r="AC7469" s="28">
        <v>26396078000</v>
      </c>
      <c r="AD7469" s="28">
        <v>40355805000</v>
      </c>
      <c r="AE7469" s="28">
        <v>99976228000</v>
      </c>
      <c r="AF7469" s="28">
        <v>-8802708000</v>
      </c>
      <c r="AG7469" s="11"/>
    </row>
    <row r="7470">
      <c r="A7470" s="7" t="s">
        <v>9023</v>
      </c>
      <c r="B7470" s="5" t="s">
        <v>16944</v>
      </c>
      <c r="C7470" s="5" t="s">
        <v>24544</v>
      </c>
      <c r="D7470" s="5" t="str">
        <v>262400034259</v>
      </c>
      <c r="E7470" s="0" t="e">
        <f>+7 (495) 9613503
+7 (495) 1063839
+7 (495) 6604150
+7 (495) 7776703
+7 (499) 9510309
+7 (800) 5008246</f>
        <v>#NAME?</v>
      </c>
      <c r="F7470" s="5"/>
      <c r="G7470" s="5"/>
      <c r="H7470" s="26">
        <v>22</v>
      </c>
      <c r="I7470" s="5" t="s">
        <v>46987</v>
      </c>
      <c r="J7470" s="5" t="s">
        <v>678</v>
      </c>
      <c r="K7470" s="5" t="s">
        <v>344</v>
      </c>
      <c r="L7470" s="5" t="s">
        <v>46988</v>
      </c>
      <c r="M7470" s="27"/>
      <c r="N7470" s="5"/>
      <c r="O7470" s="5" t="str">
        <v>7710368698</v>
      </c>
      <c r="P7470" s="27">
        <v>277832480</v>
      </c>
      <c r="Q7470" s="5" t="s">
        <v>49009</v>
      </c>
      <c r="R7470" s="5"/>
      <c r="S7470" s="5" t="s">
        <v>49093</v>
      </c>
      <c r="T7470" s="28">
        <v>20069000</v>
      </c>
      <c r="U7470" s="28">
        <v>4573147000</v>
      </c>
      <c r="V7470" s="28">
        <v>3192880000</v>
      </c>
      <c r="W7470" s="28">
        <v>137200000</v>
      </c>
      <c r="X7470" s="28">
        <v>7632000</v>
      </c>
      <c r="Y7470" s="28">
        <v>9450115000</v>
      </c>
      <c r="Z7470" s="28">
        <v>5141775000</v>
      </c>
      <c r="AA7470" s="28">
        <v>580000000</v>
      </c>
      <c r="AB7470" s="28">
        <v>1310728000</v>
      </c>
      <c r="AC7470" s="28">
        <v>3441915000</v>
      </c>
      <c r="AD7470" s="28">
        <v>5419607000</v>
      </c>
      <c r="AE7470" s="28">
        <v>10144422000</v>
      </c>
      <c r="AF7470" s="28">
        <v>512120000</v>
      </c>
      <c r="AG7470" s="11"/>
    </row>
    <row r="7471">
      <c r="A7471" s="7" t="s">
        <v>9024</v>
      </c>
      <c r="B7471" s="5" t="s">
        <v>16945</v>
      </c>
      <c r="C7471" s="5" t="s">
        <v>24545</v>
      </c>
      <c r="D7471" s="5" t="str">
        <v>772703201043</v>
      </c>
      <c r="E7471" s="0" t="e">
        <f>+7 (495) 1202877</f>
        <v>#NAME?</v>
      </c>
      <c r="F7471" s="5" t="s">
        <v>46989</v>
      </c>
      <c r="G7471" s="5" t="s">
        <v>46990</v>
      </c>
      <c r="H7471" s="26">
        <v>3.5</v>
      </c>
      <c r="I7471" s="5"/>
      <c r="J7471" s="5" t="s">
        <v>25612</v>
      </c>
      <c r="K7471" s="5" t="s">
        <v>344</v>
      </c>
      <c r="L7471" s="5"/>
      <c r="M7471" s="27">
        <v>3577321</v>
      </c>
      <c r="N7471" s="5" t="s">
        <v>60491</v>
      </c>
      <c r="O7471" s="5" t="str">
        <v>7727429726</v>
      </c>
      <c r="P7471" s="27">
        <v>201300000</v>
      </c>
      <c r="Q7471" s="5" t="s">
        <v>60492</v>
      </c>
      <c r="R7471" s="5"/>
      <c r="S7471" s="5" t="s">
        <v>57292</v>
      </c>
      <c r="T7471" s="28">
        <v>54633000</v>
      </c>
      <c r="U7471" s="28"/>
      <c r="V7471" s="28">
        <v>2873929000</v>
      </c>
      <c r="W7471" s="28">
        <v>1292410000</v>
      </c>
      <c r="X7471" s="28">
        <v>343236000</v>
      </c>
      <c r="Y7471" s="28">
        <v>5781763000</v>
      </c>
      <c r="Z7471" s="28">
        <v>72378000</v>
      </c>
      <c r="AA7471" s="28"/>
      <c r="AB7471" s="28">
        <v>4685707000</v>
      </c>
      <c r="AC7471" s="28">
        <v>5434794000</v>
      </c>
      <c r="AD7471" s="28">
        <v>273743000</v>
      </c>
      <c r="AE7471" s="28">
        <v>4628985000</v>
      </c>
      <c r="AF7471" s="28">
        <v>51556000</v>
      </c>
      <c r="AG7471" s="11"/>
    </row>
    <row r="7472">
      <c r="A7472" s="7" t="s">
        <v>9025</v>
      </c>
      <c r="B7472" s="5" t="s">
        <v>16946</v>
      </c>
      <c r="C7472" s="5" t="s">
        <v>24546</v>
      </c>
      <c r="D7472" s="5" t="str">
        <v>773410118358</v>
      </c>
      <c r="E7472" s="0" t="e">
        <f>+7 (495) 2111969
+7 (495) 4760163
+7 (915) 4013698
+7 (916) 5536462
+7 (916) 9980785</f>
        <v>#NAME?</v>
      </c>
      <c r="F7472" s="5"/>
      <c r="G7472" s="5"/>
      <c r="H7472" s="26">
        <v>8.5</v>
      </c>
      <c r="I7472" s="5" t="s">
        <v>46991</v>
      </c>
      <c r="J7472" s="5" t="s">
        <v>28053</v>
      </c>
      <c r="K7472" s="5" t="s">
        <v>344</v>
      </c>
      <c r="L7472" s="5" t="s">
        <v>46992</v>
      </c>
      <c r="M7472" s="27"/>
      <c r="N7472" s="5"/>
      <c r="O7472" s="5" t="str">
        <v>7726752148</v>
      </c>
      <c r="P7472" s="27">
        <v>1200012000</v>
      </c>
      <c r="Q7472" s="5"/>
      <c r="R7472" s="5"/>
      <c r="S7472" s="5" t="s">
        <v>49029</v>
      </c>
      <c r="T7472" s="28">
        <v>468944000</v>
      </c>
      <c r="U7472" s="28">
        <v>16798000000</v>
      </c>
      <c r="V7472" s="28">
        <v>1767709000</v>
      </c>
      <c r="W7472" s="28">
        <v>205000000</v>
      </c>
      <c r="X7472" s="28">
        <v>7135385000</v>
      </c>
      <c r="Y7472" s="28">
        <v>30717902000</v>
      </c>
      <c r="Z7472" s="28">
        <v>27363267000</v>
      </c>
      <c r="AA7472" s="28"/>
      <c r="AB7472" s="28"/>
      <c r="AC7472" s="28">
        <v>1925066000</v>
      </c>
      <c r="AD7472" s="28">
        <v>28682128000</v>
      </c>
      <c r="AE7472" s="28">
        <v>220778088000</v>
      </c>
      <c r="AF7472" s="28">
        <v>26356823000</v>
      </c>
      <c r="AG7472" s="11"/>
    </row>
    <row r="7473">
      <c r="A7473" s="7" t="s">
        <v>9026</v>
      </c>
      <c r="B7473" s="5" t="s">
        <v>16947</v>
      </c>
      <c r="C7473" s="5" t="s">
        <v>24547</v>
      </c>
      <c r="D7473" s="5" t="str">
        <v>665901622723</v>
      </c>
      <c r="E7473" s="0" t="e">
        <f>+7 (3433) 450646
+7 (495) 7390930
+7 (343) 3450630
+7 (3433) 450643
+7 (3433) 461520
+7 (3433) 761520</f>
        <v>#NAME?</v>
      </c>
      <c r="F7473" s="5" t="s">
        <v>46993</v>
      </c>
      <c r="G7473" s="5" t="s">
        <v>46994</v>
      </c>
      <c r="H7473" s="26">
        <v>19.5</v>
      </c>
      <c r="I7473" s="5"/>
      <c r="J7473" s="5" t="s">
        <v>29432</v>
      </c>
      <c r="K7473" s="5" t="s">
        <v>344</v>
      </c>
      <c r="L7473" s="5"/>
      <c r="M7473" s="27">
        <v>11730165</v>
      </c>
      <c r="N7473" s="5" t="s">
        <v>60494</v>
      </c>
      <c r="O7473" s="5" t="str">
        <v>7716236962</v>
      </c>
      <c r="P7473" s="27">
        <v>50000000</v>
      </c>
      <c r="Q7473" s="5" t="s">
        <v>60495</v>
      </c>
      <c r="R7473" s="5"/>
      <c r="S7473" s="5" t="s">
        <v>60496</v>
      </c>
      <c r="T7473" s="28">
        <v>115146000</v>
      </c>
      <c r="U7473" s="28"/>
      <c r="V7473" s="28">
        <v>2868839000</v>
      </c>
      <c r="W7473" s="28"/>
      <c r="X7473" s="28">
        <v>24865000</v>
      </c>
      <c r="Y7473" s="28">
        <v>3346556000</v>
      </c>
      <c r="Z7473" s="28">
        <v>556861000</v>
      </c>
      <c r="AA7473" s="28"/>
      <c r="AB7473" s="28">
        <v>297573000</v>
      </c>
      <c r="AC7473" s="28">
        <v>2733307000</v>
      </c>
      <c r="AD7473" s="28">
        <v>609361000</v>
      </c>
      <c r="AE7473" s="28">
        <v>4905017000</v>
      </c>
      <c r="AF7473" s="28">
        <v>284667000</v>
      </c>
      <c r="AG7473" s="11"/>
    </row>
    <row r="7474">
      <c r="A7474" s="7" t="s">
        <v>9027</v>
      </c>
      <c r="B7474" s="5" t="s">
        <v>16948</v>
      </c>
      <c r="C7474" s="5" t="s">
        <v>24548</v>
      </c>
      <c r="D7474" s="5" t="str">
        <v>027602432300</v>
      </c>
      <c r="E7474" s="0" t="e">
        <f>+7 (347) 2381981
+7 (347) 2482997
+7 (3472) 394509
+7 (3472) 404411
+7 (3472) 404421
+7 (3472) 404455
+7 (3472) 404488
+7 (3472) 404499
+7 (3472) 798458
+7 (3472) 798460
+7 (34750) 21881
+7 (34775) 20258
+7 (34792) 72690
+7 (800) 7009880
+7 (937) 3365343</f>
        <v>#NAME?</v>
      </c>
      <c r="F7474" s="5" t="s">
        <v>46995</v>
      </c>
      <c r="G7474" s="5" t="s">
        <v>46996</v>
      </c>
      <c r="H7474" s="26">
        <v>27.5</v>
      </c>
      <c r="I7474" s="5"/>
      <c r="J7474" s="5" t="s">
        <v>25853</v>
      </c>
      <c r="K7474" s="5" t="s">
        <v>355</v>
      </c>
      <c r="L7474" s="5"/>
      <c r="M7474" s="27">
        <v>1264967164</v>
      </c>
      <c r="N7474" s="5"/>
      <c r="O7474" s="5" t="str">
        <v>0277028422</v>
      </c>
      <c r="P7474" s="27">
        <v>15000000</v>
      </c>
      <c r="Q7474" s="5"/>
      <c r="R7474" s="5"/>
      <c r="S7474" s="5" t="s">
        <v>49123</v>
      </c>
      <c r="T7474" s="28">
        <v>647900000</v>
      </c>
      <c r="U7474" s="28"/>
      <c r="V7474" s="28">
        <v>28508000</v>
      </c>
      <c r="W7474" s="28">
        <v>322101000</v>
      </c>
      <c r="X7474" s="28">
        <v>59034000</v>
      </c>
      <c r="Y7474" s="28">
        <v>1190839000</v>
      </c>
      <c r="Z7474" s="28">
        <v>118006000</v>
      </c>
      <c r="AA7474" s="28"/>
      <c r="AB7474" s="28">
        <v>11193000</v>
      </c>
      <c r="AC7474" s="28">
        <v>1054568000</v>
      </c>
      <c r="AD7474" s="28">
        <v>135756000</v>
      </c>
      <c r="AE7474" s="28">
        <v>3590311000</v>
      </c>
      <c r="AF7474" s="28">
        <v>-21497000</v>
      </c>
      <c r="AG7474" s="11"/>
    </row>
    <row r="7475">
      <c r="A7475" s="7" t="s">
        <v>9028</v>
      </c>
      <c r="B7475" s="5" t="s">
        <v>16949</v>
      </c>
      <c r="C7475" s="5" t="s">
        <v>24549</v>
      </c>
      <c r="D7475" s="5" t="str">
        <v>665811212480</v>
      </c>
      <c r="E7475" s="0" t="e">
        <f>+7 (351) 2648907
+7 (343) 2877037</f>
        <v>#NAME?</v>
      </c>
      <c r="F7475" s="5" t="s">
        <v>46997</v>
      </c>
      <c r="G7475" s="5"/>
      <c r="H7475" s="26">
        <v>12</v>
      </c>
      <c r="I7475" s="5" t="s">
        <v>46998</v>
      </c>
      <c r="J7475" s="5" t="s">
        <v>364</v>
      </c>
      <c r="K7475" s="5" t="s">
        <v>344</v>
      </c>
      <c r="L7475" s="5" t="s">
        <v>46999</v>
      </c>
      <c r="M7475" s="27">
        <v>3126512</v>
      </c>
      <c r="N7475" s="5" t="s">
        <v>50353</v>
      </c>
      <c r="O7475" s="5" t="str">
        <v>7453231200</v>
      </c>
      <c r="P7475" s="27">
        <v>27000</v>
      </c>
      <c r="Q7475" s="5" t="s">
        <v>60497</v>
      </c>
      <c r="R7475" s="5"/>
      <c r="S7475" s="5" t="s">
        <v>60498</v>
      </c>
      <c r="T7475" s="28">
        <v>894481000</v>
      </c>
      <c r="U7475" s="28"/>
      <c r="V7475" s="28">
        <v>2915754000</v>
      </c>
      <c r="W7475" s="28">
        <v>355815000</v>
      </c>
      <c r="X7475" s="28">
        <v>2863744000</v>
      </c>
      <c r="Y7475" s="28">
        <v>8471737000</v>
      </c>
      <c r="Z7475" s="28">
        <v>116597000</v>
      </c>
      <c r="AA7475" s="28">
        <v>999241000</v>
      </c>
      <c r="AB7475" s="28">
        <v>492664000</v>
      </c>
      <c r="AC7475" s="28">
        <v>7236244000</v>
      </c>
      <c r="AD7475" s="28">
        <v>116624000</v>
      </c>
      <c r="AE7475" s="28">
        <v>6439880000</v>
      </c>
      <c r="AF7475" s="28">
        <v>80762000</v>
      </c>
      <c r="AG7475" s="11"/>
    </row>
    <row r="7476">
      <c r="A7476" s="7" t="s">
        <v>9029</v>
      </c>
      <c r="B7476" s="5" t="s">
        <v>16950</v>
      </c>
      <c r="C7476" s="5" t="s">
        <v>24550</v>
      </c>
      <c r="D7476" s="5" t="str">
        <v>025004459647</v>
      </c>
      <c r="E7476" s="0" t="e">
        <f>+7 (342) 2152423
+7 (34241) 32347
+7 (34241) 34775</f>
        <v>#NAME?</v>
      </c>
      <c r="F7476" s="5" t="s">
        <v>47000</v>
      </c>
      <c r="G7476" s="5"/>
      <c r="H7476" s="26">
        <v>12.5</v>
      </c>
      <c r="I7476" s="5" t="s">
        <v>47001</v>
      </c>
      <c r="J7476" s="5" t="s">
        <v>389</v>
      </c>
      <c r="K7476" s="5" t="s">
        <v>344</v>
      </c>
      <c r="L7476" s="5"/>
      <c r="M7476" s="27"/>
      <c r="N7476" s="5" t="s">
        <v>60499</v>
      </c>
      <c r="O7476" s="5" t="str">
        <v>5902174928</v>
      </c>
      <c r="P7476" s="27">
        <v>10000000</v>
      </c>
      <c r="Q7476" s="5" t="s">
        <v>60500</v>
      </c>
      <c r="R7476" s="5"/>
      <c r="S7476" s="5" t="s">
        <v>60501</v>
      </c>
      <c r="T7476" s="28">
        <v>204408000</v>
      </c>
      <c r="U7476" s="28"/>
      <c r="V7476" s="28">
        <v>155060000</v>
      </c>
      <c r="W7476" s="28">
        <v>11737000</v>
      </c>
      <c r="X7476" s="28">
        <v>6508000</v>
      </c>
      <c r="Y7476" s="28">
        <v>1096819000</v>
      </c>
      <c r="Z7476" s="28">
        <v>290293000</v>
      </c>
      <c r="AA7476" s="28">
        <v>240575000</v>
      </c>
      <c r="AB7476" s="28">
        <v>41045000</v>
      </c>
      <c r="AC7476" s="28">
        <v>496746000</v>
      </c>
      <c r="AD7476" s="28">
        <v>300293000</v>
      </c>
      <c r="AE7476" s="28">
        <v>4400592000</v>
      </c>
      <c r="AF7476" s="28">
        <v>51007000</v>
      </c>
      <c r="AG7476" s="11"/>
    </row>
    <row r="7477">
      <c r="A7477" s="7" t="s">
        <v>9029</v>
      </c>
      <c r="B7477" s="5" t="s">
        <v>16951</v>
      </c>
      <c r="C7477" s="5" t="s">
        <v>24550</v>
      </c>
      <c r="D7477" s="5" t="str">
        <v>025004459647</v>
      </c>
      <c r="E7477" s="0" t="e">
        <f>+7 (3422) 155252
+7 (346) 2512121
+7 (346) 2512151
+7 (3422) 700101
+7 (346) 2555758
+7 (346) 2555759
+7 (346) 2555760
+7 (346) 2555765</f>
        <v>#NAME?</v>
      </c>
      <c r="F7477" s="5" t="s">
        <v>47002</v>
      </c>
      <c r="G7477" s="5" t="s">
        <v>47003</v>
      </c>
      <c r="H7477" s="26">
        <v>17.5</v>
      </c>
      <c r="I7477" s="5" t="s">
        <v>47004</v>
      </c>
      <c r="J7477" s="5" t="s">
        <v>389</v>
      </c>
      <c r="K7477" s="5" t="s">
        <v>344</v>
      </c>
      <c r="L7477" s="5" t="s">
        <v>47005</v>
      </c>
      <c r="M7477" s="27"/>
      <c r="N7477" s="5" t="s">
        <v>60502</v>
      </c>
      <c r="O7477" s="5" t="str">
        <v>8602248613</v>
      </c>
      <c r="P7477" s="27">
        <v>22020000</v>
      </c>
      <c r="Q7477" s="5" t="s">
        <v>1215</v>
      </c>
      <c r="R7477" s="5"/>
      <c r="S7477" s="5" t="s">
        <v>60503</v>
      </c>
      <c r="T7477" s="28">
        <v>255266000</v>
      </c>
      <c r="U7477" s="28"/>
      <c r="V7477" s="28">
        <v>222946000</v>
      </c>
      <c r="W7477" s="28">
        <v>18835000</v>
      </c>
      <c r="X7477" s="28">
        <v>8804000</v>
      </c>
      <c r="Y7477" s="28">
        <v>977065000</v>
      </c>
      <c r="Z7477" s="28">
        <v>160169000</v>
      </c>
      <c r="AA7477" s="28">
        <v>208940000</v>
      </c>
      <c r="AB7477" s="28">
        <v>111111000</v>
      </c>
      <c r="AC7477" s="28">
        <v>453143000</v>
      </c>
      <c r="AD7477" s="28">
        <v>281244000</v>
      </c>
      <c r="AE7477" s="28">
        <v>3475434000</v>
      </c>
      <c r="AF7477" s="28">
        <v>17781000</v>
      </c>
      <c r="AG7477" s="11"/>
    </row>
    <row r="7478">
      <c r="A7478" s="7" t="s">
        <v>9030</v>
      </c>
      <c r="B7478" s="5" t="s">
        <v>16948</v>
      </c>
      <c r="C7478" s="5" t="s">
        <v>24551</v>
      </c>
      <c r="D7478" s="5" t="str">
        <v>027812582510</v>
      </c>
      <c r="E7478" s="0" t="e">
        <f>+7 (917) 7518102
+7 (347) 2423839
+7 (347) 2798458
+7 (347) 2798459
+7 (3472) 603810</f>
        <v>#NAME?</v>
      </c>
      <c r="F7478" s="5" t="s">
        <v>47006</v>
      </c>
      <c r="G7478" s="5"/>
      <c r="H7478" s="26">
        <v>26</v>
      </c>
      <c r="I7478" s="5" t="s">
        <v>47007</v>
      </c>
      <c r="J7478" s="5" t="s">
        <v>25332</v>
      </c>
      <c r="K7478" s="5" t="s">
        <v>344</v>
      </c>
      <c r="L7478" s="5"/>
      <c r="M7478" s="27"/>
      <c r="N7478" s="5" t="s">
        <v>60504</v>
      </c>
      <c r="O7478" s="5" t="str">
        <v>0277034560</v>
      </c>
      <c r="P7478" s="27">
        <v>10000000</v>
      </c>
      <c r="Q7478" s="5" t="s">
        <v>49009</v>
      </c>
      <c r="R7478" s="5"/>
      <c r="S7478" s="5" t="s">
        <v>49200</v>
      </c>
      <c r="T7478" s="28">
        <v>183096000</v>
      </c>
      <c r="U7478" s="28"/>
      <c r="V7478" s="28">
        <v>590886000</v>
      </c>
      <c r="W7478" s="28"/>
      <c r="X7478" s="28">
        <v>433000</v>
      </c>
      <c r="Y7478" s="28">
        <v>926679000</v>
      </c>
      <c r="Z7478" s="28">
        <v>301747000</v>
      </c>
      <c r="AA7478" s="28"/>
      <c r="AB7478" s="28">
        <v>51827000</v>
      </c>
      <c r="AC7478" s="28">
        <v>448425000</v>
      </c>
      <c r="AD7478" s="28">
        <v>311747000</v>
      </c>
      <c r="AE7478" s="28">
        <v>3530964000</v>
      </c>
      <c r="AF7478" s="28">
        <v>10638000</v>
      </c>
      <c r="AG7478" s="11"/>
    </row>
    <row r="7479">
      <c r="A7479" s="7" t="s">
        <v>9031</v>
      </c>
      <c r="B7479" s="5" t="s">
        <v>16952</v>
      </c>
      <c r="C7479" s="5" t="s">
        <v>24552</v>
      </c>
      <c r="D7479" s="5" t="str">
        <v>632123731810</v>
      </c>
      <c r="E7479" s="0" t="e">
        <f>+7 (484) 2211903
+7 (484) 2210100
+7 (484) 2210142
+7 (484) 2211913
+7 (484) 2211914
+7 (484) 2591943
+7 (484) 2591944
+7 (484) 2716990
+7 (484) 2716998
+7 (495) 7393344
+7 (495) 7393355
+7 (8482) 378243
+7 (8482) 708001
+7 (965) 7005215
+7 (967) 4919042</f>
        <v>#NAME?</v>
      </c>
      <c r="F7479" s="5" t="s">
        <v>47008</v>
      </c>
      <c r="G7479" s="5"/>
      <c r="H7479" s="26">
        <v>15</v>
      </c>
      <c r="I7479" s="5" t="s">
        <v>47009</v>
      </c>
      <c r="J7479" s="5" t="s">
        <v>31114</v>
      </c>
      <c r="K7479" s="5" t="s">
        <v>380</v>
      </c>
      <c r="L7479" s="5" t="s">
        <v>36304</v>
      </c>
      <c r="M7479" s="27">
        <v>4281495</v>
      </c>
      <c r="N7479" s="5"/>
      <c r="O7479" s="5" t="str">
        <v>7730579094</v>
      </c>
      <c r="P7479" s="27">
        <v>413738000</v>
      </c>
      <c r="Q7479" s="5"/>
      <c r="R7479" s="5" t="s">
        <v>60505</v>
      </c>
      <c r="S7479" s="5" t="s">
        <v>49029</v>
      </c>
      <c r="T7479" s="28">
        <v>2066000</v>
      </c>
      <c r="U7479" s="28">
        <v>1846655000</v>
      </c>
      <c r="V7479" s="28">
        <v>951373000</v>
      </c>
      <c r="W7479" s="28">
        <v>2500000000</v>
      </c>
      <c r="X7479" s="28">
        <v>358156000</v>
      </c>
      <c r="Y7479" s="28">
        <v>7129224000</v>
      </c>
      <c r="Z7479" s="28">
        <v>-1810572000</v>
      </c>
      <c r="AA7479" s="28"/>
      <c r="AB7479" s="28"/>
      <c r="AC7479" s="28">
        <v>2241033000</v>
      </c>
      <c r="AD7479" s="28">
        <v>4872641000</v>
      </c>
      <c r="AE7479" s="28">
        <v>4221676000</v>
      </c>
      <c r="AF7479" s="28">
        <v>-2402669000</v>
      </c>
      <c r="AG7479" s="11"/>
    </row>
    <row r="7480">
      <c r="A7480" s="7" t="s">
        <v>9032</v>
      </c>
      <c r="B7480" s="5" t="s">
        <v>16953</v>
      </c>
      <c r="C7480" s="5" t="s">
        <v>24553</v>
      </c>
      <c r="D7480" s="5" t="str">
        <v>470307416780</v>
      </c>
      <c r="F7480" s="5" t="s">
        <v>47010</v>
      </c>
      <c r="G7480" s="5"/>
      <c r="H7480" s="26">
        <v>10</v>
      </c>
      <c r="I7480" s="5" t="s">
        <v>47011</v>
      </c>
      <c r="J7480" s="5" t="s">
        <v>25259</v>
      </c>
      <c r="K7480" s="5" t="s">
        <v>344</v>
      </c>
      <c r="L7480" s="5" t="s">
        <v>47012</v>
      </c>
      <c r="M7480" s="27"/>
      <c r="N7480" s="5"/>
      <c r="O7480" s="5" t="str">
        <v>7814558598</v>
      </c>
      <c r="P7480" s="27">
        <v>10000</v>
      </c>
      <c r="Q7480" s="5" t="s">
        <v>49009</v>
      </c>
      <c r="R7480" s="5"/>
      <c r="S7480" s="5" t="s">
        <v>49010</v>
      </c>
      <c r="T7480" s="28">
        <v>33411000</v>
      </c>
      <c r="U7480" s="28"/>
      <c r="V7480" s="28">
        <v>538918000</v>
      </c>
      <c r="W7480" s="28"/>
      <c r="X7480" s="28">
        <v>14545000</v>
      </c>
      <c r="Y7480" s="28">
        <v>634833000</v>
      </c>
      <c r="Z7480" s="28">
        <v>265229000</v>
      </c>
      <c r="AA7480" s="28"/>
      <c r="AB7480" s="28"/>
      <c r="AC7480" s="28">
        <v>369594000</v>
      </c>
      <c r="AD7480" s="28">
        <v>265239000</v>
      </c>
      <c r="AE7480" s="28">
        <v>4706734000</v>
      </c>
      <c r="AF7480" s="28">
        <v>110210000</v>
      </c>
      <c r="AG7480" s="11"/>
    </row>
    <row r="7481">
      <c r="A7481" s="7" t="s">
        <v>9033</v>
      </c>
      <c r="B7481" s="5" t="s">
        <v>16954</v>
      </c>
      <c r="C7481" s="5" t="s">
        <v>24554</v>
      </c>
      <c r="D7481" s="5" t="str">
        <v>771310751411</v>
      </c>
      <c r="E7481" s="0" t="e">
        <f>+7 (812) 3878992
+7 (812) 7033228</f>
        <v>#NAME?</v>
      </c>
      <c r="F7481" s="5"/>
      <c r="G7481" s="5"/>
      <c r="H7481" s="26">
        <v>21</v>
      </c>
      <c r="I7481" s="5" t="s">
        <v>47013</v>
      </c>
      <c r="J7481" s="5" t="s">
        <v>26828</v>
      </c>
      <c r="K7481" s="5" t="s">
        <v>344</v>
      </c>
      <c r="L7481" s="5" t="s">
        <v>47014</v>
      </c>
      <c r="M7481" s="27"/>
      <c r="N7481" s="5"/>
      <c r="O7481" s="5" t="str">
        <v>7826111042</v>
      </c>
      <c r="P7481" s="27">
        <v>20000</v>
      </c>
      <c r="Q7481" s="5" t="s">
        <v>49009</v>
      </c>
      <c r="R7481" s="5"/>
      <c r="S7481" s="5" t="s">
        <v>49045</v>
      </c>
      <c r="T7481" s="28">
        <v>73000</v>
      </c>
      <c r="U7481" s="28"/>
      <c r="V7481" s="28">
        <v>152794000</v>
      </c>
      <c r="W7481" s="28">
        <v>98800000</v>
      </c>
      <c r="X7481" s="28">
        <v>128983000</v>
      </c>
      <c r="Y7481" s="28">
        <v>577086000</v>
      </c>
      <c r="Z7481" s="28">
        <v>51939000</v>
      </c>
      <c r="AA7481" s="28">
        <v>165000000</v>
      </c>
      <c r="AB7481" s="28"/>
      <c r="AC7481" s="28">
        <v>360068000</v>
      </c>
      <c r="AD7481" s="28">
        <v>51959000</v>
      </c>
      <c r="AE7481" s="28">
        <v>3508652000</v>
      </c>
      <c r="AF7481" s="28">
        <v>50065000</v>
      </c>
      <c r="AG7481" s="11"/>
    </row>
    <row r="7482">
      <c r="A7482" s="7" t="s">
        <v>9033</v>
      </c>
      <c r="B7482" s="5" t="s">
        <v>16955</v>
      </c>
      <c r="C7482" s="5" t="s">
        <v>24555</v>
      </c>
      <c r="D7482" s="5" t="str">
        <v>550306789652</v>
      </c>
      <c r="E7482" s="0" t="e">
        <f>+7 (381) 2320370
+7 (381) 2511851
+7 (381) 2511852
+7 (381) 2660318
+7 (381) 2660322
+7 (381) 2660331
+7 (381) 2660332
+7 (381) 2660333</f>
        <v>#NAME?</v>
      </c>
      <c r="F7482" s="5" t="s">
        <v>47015</v>
      </c>
      <c r="G7482" s="5"/>
      <c r="H7482" s="26">
        <v>17.5</v>
      </c>
      <c r="I7482" s="5" t="s">
        <v>47016</v>
      </c>
      <c r="J7482" s="5" t="s">
        <v>25738</v>
      </c>
      <c r="K7482" s="5" t="s">
        <v>344</v>
      </c>
      <c r="L7482" s="5" t="s">
        <v>45157</v>
      </c>
      <c r="M7482" s="27">
        <v>1252953</v>
      </c>
      <c r="N7482" s="5"/>
      <c r="O7482" s="5" t="str">
        <v>5534010734</v>
      </c>
      <c r="P7482" s="27">
        <v>500000</v>
      </c>
      <c r="Q7482" s="5"/>
      <c r="R7482" s="5" t="s">
        <v>50636</v>
      </c>
      <c r="S7482" s="5" t="s">
        <v>49029</v>
      </c>
      <c r="T7482" s="28">
        <v>1414187000</v>
      </c>
      <c r="U7482" s="28"/>
      <c r="V7482" s="28">
        <v>302086000</v>
      </c>
      <c r="W7482" s="28">
        <v>475482000</v>
      </c>
      <c r="X7482" s="28">
        <v>150261000</v>
      </c>
      <c r="Y7482" s="28">
        <v>2760007000</v>
      </c>
      <c r="Z7482" s="28">
        <v>677138000</v>
      </c>
      <c r="AA7482" s="28"/>
      <c r="AB7482" s="28">
        <v>43359000</v>
      </c>
      <c r="AC7482" s="28">
        <v>1069631000</v>
      </c>
      <c r="AD7482" s="28">
        <v>677638000</v>
      </c>
      <c r="AE7482" s="28">
        <v>6826712000</v>
      </c>
      <c r="AF7482" s="28">
        <v>44104000</v>
      </c>
      <c r="AG7482" s="11"/>
    </row>
    <row r="7483">
      <c r="A7483" s="7" t="s">
        <v>9034</v>
      </c>
      <c r="B7483" s="5" t="s">
        <v>16956</v>
      </c>
      <c r="C7483" s="5" t="s">
        <v>24556</v>
      </c>
      <c r="D7483" s="5" t="str">
        <v>666000342190</v>
      </c>
      <c r="E7483" s="0" t="e">
        <f>+7 (912) 2298721</f>
        <v>#NAME?</v>
      </c>
      <c r="F7483" s="5" t="s">
        <v>47017</v>
      </c>
      <c r="G7483" s="5"/>
      <c r="H7483" s="26">
        <v>7</v>
      </c>
      <c r="I7483" s="5" t="s">
        <v>47018</v>
      </c>
      <c r="J7483" s="5" t="s">
        <v>364</v>
      </c>
      <c r="K7483" s="5" t="s">
        <v>344</v>
      </c>
      <c r="L7483" s="5" t="s">
        <v>47019</v>
      </c>
      <c r="M7483" s="27"/>
      <c r="N7483" s="5"/>
      <c r="O7483" s="5" t="str">
        <v>6685106694</v>
      </c>
      <c r="P7483" s="27">
        <v>5000000</v>
      </c>
      <c r="Q7483" s="5" t="s">
        <v>49324</v>
      </c>
      <c r="R7483" s="5" t="s">
        <v>53352</v>
      </c>
      <c r="S7483" s="5" t="s">
        <v>49457</v>
      </c>
      <c r="T7483" s="28">
        <v>849000</v>
      </c>
      <c r="U7483" s="28"/>
      <c r="V7483" s="28">
        <v>2200807000</v>
      </c>
      <c r="W7483" s="28">
        <v>55440000</v>
      </c>
      <c r="X7483" s="28">
        <v>237493000</v>
      </c>
      <c r="Y7483" s="28">
        <v>2790334000</v>
      </c>
      <c r="Z7483" s="28">
        <v>971000</v>
      </c>
      <c r="AA7483" s="28"/>
      <c r="AB7483" s="28"/>
      <c r="AC7483" s="28">
        <v>2784223000</v>
      </c>
      <c r="AD7483" s="28">
        <v>5971000</v>
      </c>
      <c r="AE7483" s="28">
        <v>3825232000</v>
      </c>
      <c r="AF7483" s="28">
        <v>575000</v>
      </c>
      <c r="AG7483" s="11"/>
    </row>
    <row r="7484">
      <c r="A7484" s="7" t="s">
        <v>9035</v>
      </c>
      <c r="B7484" s="5" t="s">
        <v>16957</v>
      </c>
      <c r="C7484" s="5" t="s">
        <v>24557</v>
      </c>
      <c r="D7484" s="5" t="str">
        <v>760300004370</v>
      </c>
      <c r="E7484" s="0" t="e">
        <f>+7 (930) 1151355
+7 (930) 1151553</f>
        <v>#NAME?</v>
      </c>
      <c r="F7484" s="5" t="s">
        <v>47020</v>
      </c>
      <c r="G7484" s="5"/>
      <c r="H7484" s="26">
        <v>11.5</v>
      </c>
      <c r="I7484" s="5" t="s">
        <v>47021</v>
      </c>
      <c r="J7484" s="5" t="s">
        <v>25550</v>
      </c>
      <c r="K7484" s="5" t="s">
        <v>344</v>
      </c>
      <c r="L7484" s="5" t="s">
        <v>47022</v>
      </c>
      <c r="M7484" s="27"/>
      <c r="N7484" s="5" t="s">
        <v>60507</v>
      </c>
      <c r="O7484" s="5" t="str">
        <v>7602088206</v>
      </c>
      <c r="P7484" s="27">
        <v>10000</v>
      </c>
      <c r="Q7484" s="5" t="s">
        <v>49059</v>
      </c>
      <c r="R7484" s="5"/>
      <c r="S7484" s="5" t="s">
        <v>50936</v>
      </c>
      <c r="T7484" s="28"/>
      <c r="U7484" s="28"/>
      <c r="V7484" s="28">
        <v>317008000</v>
      </c>
      <c r="W7484" s="28">
        <v>265111000</v>
      </c>
      <c r="X7484" s="28">
        <v>6865000</v>
      </c>
      <c r="Y7484" s="28">
        <v>642309000</v>
      </c>
      <c r="Z7484" s="28">
        <v>98071000</v>
      </c>
      <c r="AA7484" s="28"/>
      <c r="AB7484" s="28">
        <v>157440000</v>
      </c>
      <c r="AC7484" s="28">
        <v>544197000</v>
      </c>
      <c r="AD7484" s="28">
        <v>98081000</v>
      </c>
      <c r="AE7484" s="28">
        <v>3046604000</v>
      </c>
      <c r="AF7484" s="28">
        <v>65072000</v>
      </c>
      <c r="AG7484" s="11"/>
    </row>
    <row r="7485">
      <c r="A7485" s="7" t="s">
        <v>9036</v>
      </c>
      <c r="B7485" s="5" t="s">
        <v>16958</v>
      </c>
      <c r="C7485" s="5" t="s">
        <v>24558</v>
      </c>
      <c r="D7485" s="5" t="str">
        <v>631208266102</v>
      </c>
      <c r="E7485" s="0" t="e">
        <f>+7 (926) 2087161
+7 (495) 7408738
+7 (925) 117745
+7 (927) 7414055
+7 (929) 7013835
+7 (937) 693167</f>
        <v>#NAME?</v>
      </c>
      <c r="F7485" s="5"/>
      <c r="G7485" s="5"/>
      <c r="H7485" s="26">
        <v>12.5</v>
      </c>
      <c r="I7485" s="5" t="s">
        <v>47023</v>
      </c>
      <c r="J7485" s="5" t="s">
        <v>25429</v>
      </c>
      <c r="K7485" s="5" t="s">
        <v>344</v>
      </c>
      <c r="L7485" s="5" t="s">
        <v>47024</v>
      </c>
      <c r="M7485" s="27">
        <v>1163433</v>
      </c>
      <c r="N7485" s="5"/>
      <c r="O7485" s="5" t="str">
        <v>7719757138</v>
      </c>
      <c r="P7485" s="27">
        <v>80000000</v>
      </c>
      <c r="Q7485" s="5" t="s">
        <v>49207</v>
      </c>
      <c r="R7485" s="5"/>
      <c r="S7485" s="5" t="s">
        <v>56686</v>
      </c>
      <c r="T7485" s="28">
        <v>65479000</v>
      </c>
      <c r="U7485" s="28"/>
      <c r="V7485" s="28">
        <v>991745000</v>
      </c>
      <c r="W7485" s="28"/>
      <c r="X7485" s="28">
        <v>867000</v>
      </c>
      <c r="Y7485" s="28">
        <v>7019226000</v>
      </c>
      <c r="Z7485" s="28">
        <v>1006989000</v>
      </c>
      <c r="AA7485" s="28"/>
      <c r="AB7485" s="28"/>
      <c r="AC7485" s="28">
        <v>5907853000</v>
      </c>
      <c r="AD7485" s="28">
        <v>1086989000</v>
      </c>
      <c r="AE7485" s="28">
        <v>13626876000</v>
      </c>
      <c r="AF7485" s="28">
        <v>180366000</v>
      </c>
      <c r="AG7485" s="11"/>
    </row>
    <row r="7486">
      <c r="A7486" s="7" t="s">
        <v>9037</v>
      </c>
      <c r="B7486" s="5" t="s">
        <v>16959</v>
      </c>
      <c r="C7486" s="5" t="s">
        <v>24559</v>
      </c>
      <c r="D7486" s="5" t="str">
        <v>620200469367</v>
      </c>
      <c r="E7486" s="0" t="e">
        <f>+7 (909) 6662001</f>
        <v>#NAME?</v>
      </c>
      <c r="F7486" s="5"/>
      <c r="G7486" s="5"/>
      <c r="H7486" s="26">
        <v>4.5</v>
      </c>
      <c r="I7486" s="5" t="s">
        <v>47025</v>
      </c>
      <c r="J7486" s="5" t="s">
        <v>364</v>
      </c>
      <c r="K7486" s="5" t="s">
        <v>344</v>
      </c>
      <c r="L7486" s="5" t="s">
        <v>47026</v>
      </c>
      <c r="M7486" s="27"/>
      <c r="N7486" s="5" t="s">
        <v>60508</v>
      </c>
      <c r="O7486" s="5" t="str">
        <v>9723052600</v>
      </c>
      <c r="P7486" s="27">
        <v>2000000</v>
      </c>
      <c r="Q7486" s="5" t="s">
        <v>60509</v>
      </c>
      <c r="R7486" s="5"/>
      <c r="S7486" s="5" t="s">
        <v>60510</v>
      </c>
      <c r="T7486" s="28">
        <v>146437000</v>
      </c>
      <c r="U7486" s="28"/>
      <c r="V7486" s="28">
        <v>1095721000</v>
      </c>
      <c r="W7486" s="28">
        <v>3500000</v>
      </c>
      <c r="X7486" s="28">
        <v>1562000</v>
      </c>
      <c r="Y7486" s="28">
        <v>1301135000</v>
      </c>
      <c r="Z7486" s="28">
        <v>32920000</v>
      </c>
      <c r="AA7486" s="28"/>
      <c r="AB7486" s="28"/>
      <c r="AC7486" s="28">
        <v>1228643000</v>
      </c>
      <c r="AD7486" s="28">
        <v>34920000</v>
      </c>
      <c r="AE7486" s="28">
        <v>4846107000</v>
      </c>
      <c r="AF7486" s="28">
        <v>21315000</v>
      </c>
      <c r="AG7486" s="11"/>
    </row>
    <row r="7487">
      <c r="A7487" s="7" t="s">
        <v>9038</v>
      </c>
      <c r="B7487" s="5" t="s">
        <v>16960</v>
      </c>
      <c r="C7487" s="5" t="s">
        <v>24560</v>
      </c>
      <c r="D7487" s="5" t="str">
        <v>772436299837</v>
      </c>
      <c r="E7487" s="0" t="e">
        <f>+7 (495) 7477040</f>
        <v>#NAME?</v>
      </c>
      <c r="F7487" s="5" t="s">
        <v>47027</v>
      </c>
      <c r="G7487" s="5"/>
      <c r="H7487" s="26">
        <v>23.5</v>
      </c>
      <c r="I7487" s="5" t="s">
        <v>47028</v>
      </c>
      <c r="J7487" s="5" t="s">
        <v>881</v>
      </c>
      <c r="K7487" s="5" t="s">
        <v>344</v>
      </c>
      <c r="L7487" s="5" t="s">
        <v>47029</v>
      </c>
      <c r="M7487" s="27">
        <v>8683004</v>
      </c>
      <c r="N7487" s="5" t="s">
        <v>60511</v>
      </c>
      <c r="O7487" s="5" t="str">
        <v>7702270040</v>
      </c>
      <c r="P7487" s="27">
        <v>3050000</v>
      </c>
      <c r="Q7487" s="5" t="s">
        <v>60512</v>
      </c>
      <c r="R7487" s="5"/>
      <c r="S7487" s="5" t="s">
        <v>60513</v>
      </c>
      <c r="T7487" s="28">
        <v>28061000</v>
      </c>
      <c r="U7487" s="28">
        <v>211000</v>
      </c>
      <c r="V7487" s="28">
        <v>1893596000</v>
      </c>
      <c r="W7487" s="28">
        <v>808031000</v>
      </c>
      <c r="X7487" s="28">
        <v>376719000</v>
      </c>
      <c r="Y7487" s="28">
        <v>3144570000</v>
      </c>
      <c r="Z7487" s="28">
        <v>946968000</v>
      </c>
      <c r="AA7487" s="28"/>
      <c r="AB7487" s="28">
        <v>65849000</v>
      </c>
      <c r="AC7487" s="28">
        <v>2194552000</v>
      </c>
      <c r="AD7487" s="28">
        <v>950018000</v>
      </c>
      <c r="AE7487" s="28">
        <v>4137923000</v>
      </c>
      <c r="AF7487" s="28">
        <v>234454000</v>
      </c>
      <c r="AG7487" s="11"/>
    </row>
    <row r="7488">
      <c r="A7488" s="7" t="s">
        <v>9039</v>
      </c>
      <c r="B7488" s="5" t="s">
        <v>16961</v>
      </c>
      <c r="C7488" s="5" t="s">
        <v>24561</v>
      </c>
      <c r="D7488" s="5" t="str">
        <v>781423449448</v>
      </c>
      <c r="E7488" s="0" t="e">
        <f>+7 (812) 3241290
+7 (812) 3317432
+7 (931) 2560740</f>
        <v>#NAME?</v>
      </c>
      <c r="F7488" s="5" t="s">
        <v>47030</v>
      </c>
      <c r="G7488" s="5" t="s">
        <v>47031</v>
      </c>
      <c r="H7488" s="26">
        <v>11.5</v>
      </c>
      <c r="I7488" s="5" t="s">
        <v>47032</v>
      </c>
      <c r="J7488" s="5" t="s">
        <v>25259</v>
      </c>
      <c r="K7488" s="5" t="s">
        <v>344</v>
      </c>
      <c r="L7488" s="5" t="s">
        <v>47033</v>
      </c>
      <c r="M7488" s="27"/>
      <c r="N7488" s="5"/>
      <c r="O7488" s="5" t="str">
        <v>7806460052</v>
      </c>
      <c r="P7488" s="27">
        <v>1000000</v>
      </c>
      <c r="Q7488" s="5" t="s">
        <v>49009</v>
      </c>
      <c r="R7488" s="5"/>
      <c r="S7488" s="5" t="s">
        <v>60514</v>
      </c>
      <c r="T7488" s="28">
        <v>172188000</v>
      </c>
      <c r="U7488" s="28"/>
      <c r="V7488" s="28">
        <v>254510000</v>
      </c>
      <c r="W7488" s="28">
        <v>761170000</v>
      </c>
      <c r="X7488" s="28">
        <v>240051000</v>
      </c>
      <c r="Y7488" s="28">
        <v>4826445000</v>
      </c>
      <c r="Z7488" s="28">
        <v>3836399000</v>
      </c>
      <c r="AA7488" s="28"/>
      <c r="AB7488" s="28"/>
      <c r="AC7488" s="28">
        <v>929770000</v>
      </c>
      <c r="AD7488" s="28">
        <v>3837675000</v>
      </c>
      <c r="AE7488" s="28">
        <v>9882031000</v>
      </c>
      <c r="AF7488" s="28">
        <v>1849822000</v>
      </c>
      <c r="AG7488" s="11"/>
    </row>
    <row r="7489">
      <c r="A7489" s="7" t="s">
        <v>9039</v>
      </c>
      <c r="B7489" s="5" t="s">
        <v>16962</v>
      </c>
      <c r="C7489" s="5" t="s">
        <v>24562</v>
      </c>
      <c r="D7489" s="5"/>
      <c r="E7489" s="0" t="e">
        <f>+7 (4912) 217263
+7 (4912) 242441
+7 (4912) 701500
+7 (4912) 701501
+7 (4912) 701502
+7 (4912) 701503
+7 (495) 6044856
+7 (499) 9221969</f>
        <v>#NAME?</v>
      </c>
      <c r="F7489" s="5" t="s">
        <v>47034</v>
      </c>
      <c r="G7489" s="5"/>
      <c r="H7489" s="26">
        <v>16.5</v>
      </c>
      <c r="I7489" s="5" t="s">
        <v>47035</v>
      </c>
      <c r="J7489" s="5" t="s">
        <v>25437</v>
      </c>
      <c r="K7489" s="5" t="s">
        <v>344</v>
      </c>
      <c r="L7489" s="5" t="s">
        <v>47036</v>
      </c>
      <c r="M7489" s="27">
        <v>2816891</v>
      </c>
      <c r="N7489" s="5" t="s">
        <v>60515</v>
      </c>
      <c r="O7489" s="5" t="str">
        <v>6234028965</v>
      </c>
      <c r="P7489" s="27">
        <v>400000000</v>
      </c>
      <c r="Q7489" s="5" t="s">
        <v>60516</v>
      </c>
      <c r="R7489" s="5"/>
      <c r="S7489" s="5" t="s">
        <v>60517</v>
      </c>
      <c r="T7489" s="28">
        <v>3585253000</v>
      </c>
      <c r="U7489" s="28">
        <v>10000</v>
      </c>
      <c r="V7489" s="28">
        <v>845751000</v>
      </c>
      <c r="W7489" s="28"/>
      <c r="X7489" s="28">
        <v>1985939000</v>
      </c>
      <c r="Y7489" s="28">
        <v>8798593000</v>
      </c>
      <c r="Z7489" s="28">
        <v>6518317000</v>
      </c>
      <c r="AA7489" s="28"/>
      <c r="AB7489" s="28">
        <v>558000</v>
      </c>
      <c r="AC7489" s="28">
        <v>1621973000</v>
      </c>
      <c r="AD7489" s="28">
        <v>7013409000</v>
      </c>
      <c r="AE7489" s="28">
        <v>7410556000</v>
      </c>
      <c r="AF7489" s="28">
        <v>2726389000</v>
      </c>
      <c r="AG7489" s="11"/>
    </row>
    <row r="7490">
      <c r="A7490" s="7" t="s">
        <v>9040</v>
      </c>
      <c r="B7490" s="5" t="s">
        <v>16963</v>
      </c>
      <c r="C7490" s="5" t="s">
        <v>24563</v>
      </c>
      <c r="D7490" s="5" t="str">
        <v>770702690983</v>
      </c>
      <c r="E7490" s="0" t="e">
        <f>+7 (3422) 700307
+7 (343) 2700370
+7 (343) 3836301
+7 (3512) 106362
+7 (3512) 325696
+7 (3512) 326591
+7 (3512) 328151
+7 (343) 2158903
+7 (343) 2158908
+7 (343) 2158912
+7 (343) 2158913
+7 (346) 2213832
+7 (346) 2213833
+7 (346) 2213834
+7 (346) 2213835</f>
        <v>#NAME?</v>
      </c>
      <c r="F7490" s="5" t="s">
        <v>47037</v>
      </c>
      <c r="G7490" s="5" t="s">
        <v>47038</v>
      </c>
      <c r="H7490" s="26">
        <v>28.5</v>
      </c>
      <c r="I7490" s="5" t="s">
        <v>47039</v>
      </c>
      <c r="J7490" s="5" t="s">
        <v>25429</v>
      </c>
      <c r="K7490" s="5" t="s">
        <v>344</v>
      </c>
      <c r="L7490" s="5"/>
      <c r="M7490" s="27"/>
      <c r="N7490" s="5" t="s">
        <v>60518</v>
      </c>
      <c r="O7490" s="5" t="str">
        <v>7724053916</v>
      </c>
      <c r="P7490" s="27">
        <v>100000000</v>
      </c>
      <c r="Q7490" s="5" t="s">
        <v>60519</v>
      </c>
      <c r="R7490" s="5" t="s">
        <v>59241</v>
      </c>
      <c r="S7490" s="5" t="s">
        <v>60520</v>
      </c>
      <c r="T7490" s="28">
        <v>6865744000</v>
      </c>
      <c r="U7490" s="28">
        <v>1116000</v>
      </c>
      <c r="V7490" s="28">
        <v>59494443000</v>
      </c>
      <c r="W7490" s="28">
        <v>870200000</v>
      </c>
      <c r="X7490" s="28">
        <v>329121000</v>
      </c>
      <c r="Y7490" s="28">
        <v>108057056000</v>
      </c>
      <c r="Z7490" s="28">
        <v>7864029000</v>
      </c>
      <c r="AA7490" s="28">
        <v>1600000000</v>
      </c>
      <c r="AB7490" s="28">
        <v>2413552000</v>
      </c>
      <c r="AC7490" s="28">
        <v>95982136000</v>
      </c>
      <c r="AD7490" s="28">
        <v>8188819000</v>
      </c>
      <c r="AE7490" s="28">
        <v>256930048000</v>
      </c>
      <c r="AF7490" s="28">
        <v>2523437000</v>
      </c>
      <c r="AG7490" s="11"/>
    </row>
    <row r="7491">
      <c r="A7491" s="7" t="s">
        <v>9041</v>
      </c>
      <c r="B7491" s="5" t="s">
        <v>16964</v>
      </c>
      <c r="C7491" s="5" t="s">
        <v>24564</v>
      </c>
      <c r="D7491" s="5" t="str">
        <v>614003778832</v>
      </c>
      <c r="E7491" s="0" t="e">
        <f>+7 (844) 2319921
+7 (844) 2319920
+7 (844) 2632475
+7 (844) 2634275
+7 (844) 2644275
+7 (905) 3300569
+7 (909) 4295550
+7 (961) 3044343</f>
        <v>#NAME?</v>
      </c>
      <c r="F7491" s="5" t="s">
        <v>47040</v>
      </c>
      <c r="G7491" s="5" t="s">
        <v>47041</v>
      </c>
      <c r="H7491" s="26">
        <v>9.5</v>
      </c>
      <c r="I7491" s="5" t="s">
        <v>47042</v>
      </c>
      <c r="J7491" s="5" t="s">
        <v>47043</v>
      </c>
      <c r="K7491" s="5" t="s">
        <v>344</v>
      </c>
      <c r="L7491" s="5" t="s">
        <v>47044</v>
      </c>
      <c r="M7491" s="27"/>
      <c r="N7491" s="5"/>
      <c r="O7491" s="5" t="str">
        <v>6138013388</v>
      </c>
      <c r="P7491" s="27">
        <v>10000</v>
      </c>
      <c r="Q7491" s="5" t="s">
        <v>49324</v>
      </c>
      <c r="R7491" s="5"/>
      <c r="S7491" s="5" t="s">
        <v>60521</v>
      </c>
      <c r="T7491" s="28">
        <v>89058000</v>
      </c>
      <c r="U7491" s="28"/>
      <c r="V7491" s="28">
        <v>4785990000</v>
      </c>
      <c r="W7491" s="28"/>
      <c r="X7491" s="28">
        <v>5376000</v>
      </c>
      <c r="Y7491" s="28">
        <v>4991621000</v>
      </c>
      <c r="Z7491" s="28">
        <v>635802000</v>
      </c>
      <c r="AA7491" s="28">
        <v>2051067000</v>
      </c>
      <c r="AB7491" s="28">
        <v>197670000</v>
      </c>
      <c r="AC7491" s="28">
        <v>2304742000</v>
      </c>
      <c r="AD7491" s="28">
        <v>635812000</v>
      </c>
      <c r="AE7491" s="28">
        <v>8514349000</v>
      </c>
      <c r="AF7491" s="28">
        <v>142688000</v>
      </c>
      <c r="AG7491" s="11"/>
    </row>
    <row r="7492">
      <c r="A7492" s="7" t="s">
        <v>9042</v>
      </c>
      <c r="B7492" s="5" t="s">
        <v>16965</v>
      </c>
      <c r="C7492" s="5" t="s">
        <v>24565</v>
      </c>
      <c r="D7492" s="5" t="str">
        <v>344505018219</v>
      </c>
      <c r="E7492" s="0" t="e">
        <f>+7 (844) 2605500
+7 (844) 2634275
+7 (961) 795448
+7 (961) 2733443</f>
        <v>#NAME?</v>
      </c>
      <c r="F7492" s="5" t="s">
        <v>47045</v>
      </c>
      <c r="G7492" s="5" t="s">
        <v>47046</v>
      </c>
      <c r="H7492" s="26">
        <v>13</v>
      </c>
      <c r="I7492" s="5" t="s">
        <v>47047</v>
      </c>
      <c r="J7492" s="5" t="s">
        <v>47043</v>
      </c>
      <c r="K7492" s="5" t="s">
        <v>344</v>
      </c>
      <c r="L7492" s="5" t="s">
        <v>47048</v>
      </c>
      <c r="M7492" s="27"/>
      <c r="N7492" s="5"/>
      <c r="O7492" s="5" t="str">
        <v>3448049188</v>
      </c>
      <c r="P7492" s="27">
        <v>5000000</v>
      </c>
      <c r="Q7492" s="5" t="s">
        <v>49324</v>
      </c>
      <c r="R7492" s="5" t="s">
        <v>60522</v>
      </c>
      <c r="S7492" s="5" t="s">
        <v>60523</v>
      </c>
      <c r="T7492" s="28">
        <v>1529656000</v>
      </c>
      <c r="U7492" s="28"/>
      <c r="V7492" s="28">
        <v>264755000</v>
      </c>
      <c r="W7492" s="28"/>
      <c r="X7492" s="28">
        <v>52000</v>
      </c>
      <c r="Y7492" s="28">
        <v>3952034000</v>
      </c>
      <c r="Z7492" s="28">
        <v>238581000</v>
      </c>
      <c r="AA7492" s="28">
        <v>267248000</v>
      </c>
      <c r="AB7492" s="28">
        <v>812307000</v>
      </c>
      <c r="AC7492" s="28">
        <v>3441201000</v>
      </c>
      <c r="AD7492" s="28">
        <v>243585000</v>
      </c>
      <c r="AE7492" s="28">
        <v>3077074000</v>
      </c>
      <c r="AF7492" s="28">
        <v>95917000</v>
      </c>
      <c r="AG7492" s="11"/>
    </row>
    <row r="7493">
      <c r="A7493" s="7" t="s">
        <v>9043</v>
      </c>
      <c r="B7493" s="5" t="s">
        <v>16966</v>
      </c>
      <c r="C7493" s="5" t="s">
        <v>24566</v>
      </c>
      <c r="D7493" s="5" t="str">
        <v>616302894485</v>
      </c>
      <c r="E7493" s="0" t="e">
        <f>+7 (383) 2483171
+7 (844) 2319920
+7 (844) 2634275
+7 (863) 2687406
+7 (8632) 42040</f>
        <v>#NAME?</v>
      </c>
      <c r="F7493" s="5"/>
      <c r="G7493" s="5" t="s">
        <v>47049</v>
      </c>
      <c r="H7493" s="26">
        <v>17</v>
      </c>
      <c r="I7493" s="5" t="s">
        <v>47050</v>
      </c>
      <c r="J7493" s="5" t="s">
        <v>25530</v>
      </c>
      <c r="K7493" s="5" t="s">
        <v>344</v>
      </c>
      <c r="L7493" s="5" t="s">
        <v>47051</v>
      </c>
      <c r="M7493" s="27">
        <v>789179</v>
      </c>
      <c r="N7493" s="5" t="s">
        <v>60524</v>
      </c>
      <c r="O7493" s="5" t="str">
        <v>6163076960</v>
      </c>
      <c r="P7493" s="27">
        <v>10555</v>
      </c>
      <c r="Q7493" s="5" t="s">
        <v>49324</v>
      </c>
      <c r="R7493" s="5" t="s">
        <v>60522</v>
      </c>
      <c r="S7493" s="5" t="s">
        <v>60525</v>
      </c>
      <c r="T7493" s="28">
        <v>1880263000</v>
      </c>
      <c r="U7493" s="28">
        <v>762569000</v>
      </c>
      <c r="V7493" s="28">
        <v>6399693000</v>
      </c>
      <c r="W7493" s="28">
        <v>62824000</v>
      </c>
      <c r="X7493" s="28">
        <v>102701000</v>
      </c>
      <c r="Y7493" s="28">
        <v>13463884000</v>
      </c>
      <c r="Z7493" s="28">
        <v>2341613000</v>
      </c>
      <c r="AA7493" s="28">
        <v>201043000</v>
      </c>
      <c r="AB7493" s="28">
        <v>8675841000</v>
      </c>
      <c r="AC7493" s="28">
        <v>9574077000</v>
      </c>
      <c r="AD7493" s="28">
        <v>3688764000</v>
      </c>
      <c r="AE7493" s="28">
        <v>15689675000</v>
      </c>
      <c r="AF7493" s="28">
        <v>1305981000</v>
      </c>
      <c r="AG7493" s="11"/>
    </row>
    <row r="7494">
      <c r="A7494" s="7" t="s">
        <v>9044</v>
      </c>
      <c r="B7494" s="5" t="s">
        <v>16967</v>
      </c>
      <c r="C7494" s="5" t="s">
        <v>24567</v>
      </c>
      <c r="D7494" s="5" t="str">
        <v>772804224400</v>
      </c>
      <c r="E7494" s="0" t="e">
        <f>+7 (495) 6415908
+7 (495) 6415900</f>
        <v>#NAME?</v>
      </c>
      <c r="F7494" s="5" t="s">
        <v>47052</v>
      </c>
      <c r="G7494" s="5" t="s">
        <v>47053</v>
      </c>
      <c r="H7494" s="26">
        <v>12</v>
      </c>
      <c r="I7494" s="5"/>
      <c r="J7494" s="5" t="s">
        <v>25327</v>
      </c>
      <c r="K7494" s="5" t="s">
        <v>344</v>
      </c>
      <c r="L7494" s="5"/>
      <c r="M7494" s="27"/>
      <c r="N7494" s="5"/>
      <c r="O7494" s="5" t="str">
        <v>7707743204</v>
      </c>
      <c r="P7494" s="27">
        <v>20000000</v>
      </c>
      <c r="Q7494" s="5" t="s">
        <v>60526</v>
      </c>
      <c r="R7494" s="5"/>
      <c r="S7494" s="5" t="s">
        <v>49835</v>
      </c>
      <c r="T7494" s="28">
        <v>313148000</v>
      </c>
      <c r="U7494" s="28">
        <v>28493404000</v>
      </c>
      <c r="V7494" s="28">
        <v>41654976000</v>
      </c>
      <c r="W7494" s="28">
        <v>1857935000</v>
      </c>
      <c r="X7494" s="28">
        <v>2393444000</v>
      </c>
      <c r="Y7494" s="28">
        <v>88450671000</v>
      </c>
      <c r="Z7494" s="28">
        <v>-23251713000</v>
      </c>
      <c r="AA7494" s="28">
        <v>21723649000</v>
      </c>
      <c r="AB7494" s="28">
        <v>16701693000</v>
      </c>
      <c r="AC7494" s="28">
        <v>64754636000</v>
      </c>
      <c r="AD7494" s="28">
        <v>-23230713000</v>
      </c>
      <c r="AE7494" s="28">
        <v>298307051000</v>
      </c>
      <c r="AF7494" s="28">
        <v>36354051000</v>
      </c>
      <c r="AG7494" s="11"/>
    </row>
    <row r="7495">
      <c r="A7495" s="7" t="s">
        <v>9045</v>
      </c>
      <c r="B7495" s="5" t="s">
        <v>16968</v>
      </c>
      <c r="C7495" s="5" t="s">
        <v>24568</v>
      </c>
      <c r="D7495" s="5" t="str">
        <v>562701363015</v>
      </c>
      <c r="E7495" s="0" t="e">
        <f>+7 (495) 2600113</f>
        <v>#NAME?</v>
      </c>
      <c r="F7495" s="5" t="s">
        <v>47054</v>
      </c>
      <c r="G7495" s="5"/>
      <c r="H7495" s="26">
        <v>3.5</v>
      </c>
      <c r="I7495" s="5" t="s">
        <v>47055</v>
      </c>
      <c r="J7495" s="5" t="s">
        <v>47056</v>
      </c>
      <c r="K7495" s="5" t="s">
        <v>344</v>
      </c>
      <c r="L7495" s="5"/>
      <c r="M7495" s="27"/>
      <c r="N7495" s="5"/>
      <c r="O7495" s="5" t="str">
        <v>9710076392</v>
      </c>
      <c r="P7495" s="27">
        <v>14286</v>
      </c>
      <c r="Q7495" s="5" t="s">
        <v>49021</v>
      </c>
      <c r="R7495" s="5"/>
      <c r="S7495" s="5" t="s">
        <v>49652</v>
      </c>
      <c r="T7495" s="28">
        <v>45712000</v>
      </c>
      <c r="U7495" s="28"/>
      <c r="V7495" s="28">
        <v>922605000</v>
      </c>
      <c r="W7495" s="28"/>
      <c r="X7495" s="28">
        <v>691199000</v>
      </c>
      <c r="Y7495" s="28">
        <v>2183406000</v>
      </c>
      <c r="Z7495" s="28">
        <v>81748000</v>
      </c>
      <c r="AA7495" s="28"/>
      <c r="AB7495" s="28"/>
      <c r="AC7495" s="28">
        <v>2090971000</v>
      </c>
      <c r="AD7495" s="28">
        <v>81758000</v>
      </c>
      <c r="AE7495" s="28">
        <v>3652846000</v>
      </c>
      <c r="AF7495" s="28">
        <v>57338000</v>
      </c>
      <c r="AG7495" s="11"/>
    </row>
    <row r="7496">
      <c r="A7496" s="7" t="s">
        <v>9046</v>
      </c>
      <c r="B7496" s="5" t="s">
        <v>16969</v>
      </c>
      <c r="C7496" s="5" t="s">
        <v>24569</v>
      </c>
      <c r="D7496" s="5" t="str">
        <v>027302496045</v>
      </c>
      <c r="E7496" s="0" t="e">
        <f>+7 (34672) 39436
+7 (34672) 39457
+7 (34672) 39476
+7 (34672) 39479
+7 (3512) 552470
+7 (3512) 593291
+7 (3512) 593304
+7 (3512) 593323
+7 (3512) 593326
+7 (3512) 593403
+7 (3512) 593453
+7 (3512) 593454
+7 (3512) 593461
+7 (3512) 593464
+7 (3512) 593485</f>
        <v>#NAME?</v>
      </c>
      <c r="F7496" s="5" t="s">
        <v>47057</v>
      </c>
      <c r="G7496" s="5" t="s">
        <v>47058</v>
      </c>
      <c r="H7496" s="26">
        <v>17.5</v>
      </c>
      <c r="I7496" s="5" t="s">
        <v>47059</v>
      </c>
      <c r="J7496" s="5" t="s">
        <v>27640</v>
      </c>
      <c r="K7496" s="5" t="s">
        <v>355</v>
      </c>
      <c r="L7496" s="5" t="s">
        <v>47060</v>
      </c>
      <c r="M7496" s="27">
        <v>6248507</v>
      </c>
      <c r="N7496" s="5" t="s">
        <v>60527</v>
      </c>
      <c r="O7496" s="5" t="str">
        <v>7203162698</v>
      </c>
      <c r="P7496" s="27">
        <v>1461442549</v>
      </c>
      <c r="Q7496" s="5" t="s">
        <v>60528</v>
      </c>
      <c r="R7496" s="5"/>
      <c r="S7496" s="5" t="s">
        <v>60529</v>
      </c>
      <c r="T7496" s="28">
        <v>105451816000</v>
      </c>
      <c r="U7496" s="28">
        <v>59797603000</v>
      </c>
      <c r="V7496" s="28">
        <v>11874274000</v>
      </c>
      <c r="W7496" s="28">
        <v>3026954000</v>
      </c>
      <c r="X7496" s="28">
        <v>23093122000</v>
      </c>
      <c r="Y7496" s="28">
        <v>217383977000</v>
      </c>
      <c r="Z7496" s="28">
        <v>35112114000</v>
      </c>
      <c r="AA7496" s="28">
        <v>23565439000</v>
      </c>
      <c r="AB7496" s="28">
        <v>58392913000</v>
      </c>
      <c r="AC7496" s="28">
        <v>74544330000</v>
      </c>
      <c r="AD7496" s="28">
        <v>103967299000</v>
      </c>
      <c r="AE7496" s="28">
        <v>79746795000</v>
      </c>
      <c r="AF7496" s="28">
        <v>11208890000</v>
      </c>
      <c r="AG7496" s="11"/>
    </row>
    <row r="7497">
      <c r="A7497" s="7" t="s">
        <v>9047</v>
      </c>
      <c r="B7497" s="5" t="s">
        <v>16970</v>
      </c>
      <c r="C7497" s="5" t="s">
        <v>24570</v>
      </c>
      <c r="D7497" s="5" t="str">
        <v>616608679076</v>
      </c>
      <c r="E7497" s="0" t="e">
        <f>+7 (800) 1007475
+7 (863) 2186320
+7 (863) 2990272</f>
        <v>#NAME?</v>
      </c>
      <c r="F7497" s="5" t="s">
        <v>47061</v>
      </c>
      <c r="G7497" s="5"/>
      <c r="H7497" s="26">
        <v>20.5</v>
      </c>
      <c r="I7497" s="5" t="s">
        <v>47062</v>
      </c>
      <c r="J7497" s="5" t="s">
        <v>28053</v>
      </c>
      <c r="K7497" s="5" t="s">
        <v>344</v>
      </c>
      <c r="L7497" s="5" t="s">
        <v>47063</v>
      </c>
      <c r="M7497" s="27"/>
      <c r="N7497" s="5"/>
      <c r="O7497" s="5" t="str">
        <v>6164205110</v>
      </c>
      <c r="P7497" s="27">
        <v>206046364</v>
      </c>
      <c r="Q7497" s="5" t="s">
        <v>60530</v>
      </c>
      <c r="R7497" s="5"/>
      <c r="S7497" s="5" t="s">
        <v>60531</v>
      </c>
      <c r="T7497" s="28">
        <v>302549000</v>
      </c>
      <c r="U7497" s="28"/>
      <c r="V7497" s="28">
        <v>242584000</v>
      </c>
      <c r="W7497" s="28">
        <v>154425000</v>
      </c>
      <c r="X7497" s="28">
        <v>1452364000</v>
      </c>
      <c r="Y7497" s="28">
        <v>3344372000</v>
      </c>
      <c r="Z7497" s="28">
        <v>1220420000</v>
      </c>
      <c r="AA7497" s="28"/>
      <c r="AB7497" s="28"/>
      <c r="AC7497" s="28">
        <v>795392000</v>
      </c>
      <c r="AD7497" s="28">
        <v>2548980000</v>
      </c>
      <c r="AE7497" s="28">
        <v>36901030000</v>
      </c>
      <c r="AF7497" s="28">
        <v>647428000</v>
      </c>
      <c r="AG7497" s="11"/>
    </row>
    <row r="7498">
      <c r="A7498" s="7" t="s">
        <v>9047</v>
      </c>
      <c r="B7498" s="5" t="s">
        <v>16971</v>
      </c>
      <c r="C7498" s="5" t="s">
        <v>24571</v>
      </c>
      <c r="D7498" s="5" t="str">
        <v>366414978666</v>
      </c>
      <c r="E7498" s="0" t="e">
        <f>+7 (963) 6977878
+7 (965) 2440500</f>
        <v>#NAME?</v>
      </c>
      <c r="F7498" s="5"/>
      <c r="G7498" s="5"/>
      <c r="H7498" s="26">
        <v>9.5</v>
      </c>
      <c r="I7498" s="5" t="s">
        <v>47064</v>
      </c>
      <c r="J7498" s="5" t="s">
        <v>25938</v>
      </c>
      <c r="K7498" s="5" t="s">
        <v>355</v>
      </c>
      <c r="L7498" s="5" t="s">
        <v>47065</v>
      </c>
      <c r="M7498" s="27">
        <v>711911</v>
      </c>
      <c r="N7498" s="5"/>
      <c r="O7498" s="5" t="str">
        <v>7735596706</v>
      </c>
      <c r="P7498" s="27">
        <v>12000</v>
      </c>
      <c r="Q7498" s="5"/>
      <c r="R7498" s="5"/>
      <c r="S7498" s="5" t="s">
        <v>49029</v>
      </c>
      <c r="T7498" s="28">
        <v>639000</v>
      </c>
      <c r="U7498" s="28"/>
      <c r="V7498" s="28">
        <v>458539000</v>
      </c>
      <c r="W7498" s="28"/>
      <c r="X7498" s="28">
        <v>7353000</v>
      </c>
      <c r="Y7498" s="28">
        <v>606054000</v>
      </c>
      <c r="Z7498" s="28">
        <v>19587000</v>
      </c>
      <c r="AA7498" s="28">
        <v>136000</v>
      </c>
      <c r="AB7498" s="28">
        <v>83341000</v>
      </c>
      <c r="AC7498" s="28">
        <v>583986000</v>
      </c>
      <c r="AD7498" s="28">
        <v>19599000</v>
      </c>
      <c r="AE7498" s="28">
        <v>3357670000</v>
      </c>
      <c r="AF7498" s="28">
        <v>19587000</v>
      </c>
      <c r="AG7498" s="11"/>
    </row>
    <row r="7499">
      <c r="A7499" s="7" t="s">
        <v>9048</v>
      </c>
      <c r="B7499" s="5" t="s">
        <v>16972</v>
      </c>
      <c r="C7499" s="5" t="s">
        <v>24572</v>
      </c>
      <c r="D7499" s="5" t="str">
        <v>772905725339</v>
      </c>
      <c r="E7499" s="0" t="e">
        <f>+7 (812) 7407020
+7 (812) 7407570
+7 (495) 6204876
+7 (495) 6496971
+7 (495) 7969687
+7 (800) 3333987
+7 (812) 4956329
+7 (8142) 761614
+7 (831) 2748571
+7 (831) 2748753</f>
        <v>#NAME?</v>
      </c>
      <c r="F7499" s="5"/>
      <c r="G7499" s="5" t="s">
        <v>47066</v>
      </c>
      <c r="H7499" s="26">
        <v>27</v>
      </c>
      <c r="I7499" s="5"/>
      <c r="J7499" s="5" t="s">
        <v>678</v>
      </c>
      <c r="K7499" s="5" t="s">
        <v>344</v>
      </c>
      <c r="L7499" s="5" t="s">
        <v>47067</v>
      </c>
      <c r="M7499" s="27">
        <v>97186</v>
      </c>
      <c r="N7499" s="5" t="s">
        <v>60532</v>
      </c>
      <c r="O7499" s="5" t="str">
        <v>7713043056</v>
      </c>
      <c r="P7499" s="27">
        <v>40000</v>
      </c>
      <c r="Q7499" s="5" t="s">
        <v>49009</v>
      </c>
      <c r="R7499" s="5"/>
      <c r="S7499" s="5" t="s">
        <v>49085</v>
      </c>
      <c r="T7499" s="28">
        <v>3737000</v>
      </c>
      <c r="U7499" s="28"/>
      <c r="V7499" s="28">
        <v>887625000</v>
      </c>
      <c r="W7499" s="28"/>
      <c r="X7499" s="28">
        <v>46444000</v>
      </c>
      <c r="Y7499" s="28">
        <v>1395984000</v>
      </c>
      <c r="Z7499" s="28">
        <v>630409000</v>
      </c>
      <c r="AA7499" s="28"/>
      <c r="AB7499" s="28">
        <v>1000</v>
      </c>
      <c r="AC7499" s="28">
        <v>762284000</v>
      </c>
      <c r="AD7499" s="28">
        <v>631701000</v>
      </c>
      <c r="AE7499" s="28">
        <v>4913989000</v>
      </c>
      <c r="AF7499" s="28">
        <v>217590000</v>
      </c>
      <c r="AG7499" s="11"/>
    </row>
    <row r="7500">
      <c r="A7500" s="7" t="s">
        <v>9049</v>
      </c>
      <c r="B7500" s="5" t="s">
        <v>16973</v>
      </c>
      <c r="C7500" s="5" t="s">
        <v>24573</v>
      </c>
      <c r="D7500" s="5" t="str">
        <v>666102715540</v>
      </c>
      <c r="E7500" s="0" t="e">
        <f>+7 (343) 2158877
+7 (343) 2159220
+7 (343) 2159222
+7 (3432) 159295
+7 (3432) 882853</f>
        <v>#NAME?</v>
      </c>
      <c r="F7500" s="5" t="s">
        <v>47068</v>
      </c>
      <c r="G7500" s="5" t="s">
        <v>47069</v>
      </c>
      <c r="H7500" s="26">
        <v>15</v>
      </c>
      <c r="I7500" s="5"/>
      <c r="J7500" s="5" t="s">
        <v>364</v>
      </c>
      <c r="K7500" s="5" t="s">
        <v>344</v>
      </c>
      <c r="L7500" s="5" t="s">
        <v>47070</v>
      </c>
      <c r="M7500" s="27"/>
      <c r="N7500" s="5" t="s">
        <v>60533</v>
      </c>
      <c r="O7500" s="5" t="str">
        <v>6671245923</v>
      </c>
      <c r="P7500" s="27">
        <v>333000000</v>
      </c>
      <c r="Q7500" s="5" t="s">
        <v>49059</v>
      </c>
      <c r="R7500" s="5"/>
      <c r="S7500" s="5" t="s">
        <v>49496</v>
      </c>
      <c r="T7500" s="28">
        <v>134095000</v>
      </c>
      <c r="U7500" s="28">
        <v>1426169000</v>
      </c>
      <c r="V7500" s="28">
        <v>3284222000</v>
      </c>
      <c r="W7500" s="28">
        <v>1700000</v>
      </c>
      <c r="X7500" s="28">
        <v>909000</v>
      </c>
      <c r="Y7500" s="28">
        <v>4940927000</v>
      </c>
      <c r="Z7500" s="28">
        <v>3082613000</v>
      </c>
      <c r="AA7500" s="28"/>
      <c r="AB7500" s="28"/>
      <c r="AC7500" s="28">
        <v>1390643000</v>
      </c>
      <c r="AD7500" s="28">
        <v>3428248000</v>
      </c>
      <c r="AE7500" s="28">
        <v>5347677000</v>
      </c>
      <c r="AF7500" s="28">
        <v>2760205000</v>
      </c>
      <c r="AG7500" s="11"/>
    </row>
    <row r="7501">
      <c r="A7501" s="7" t="s">
        <v>9050</v>
      </c>
      <c r="B7501" s="5" t="s">
        <v>16974</v>
      </c>
      <c r="C7501" s="5" t="s">
        <v>24574</v>
      </c>
      <c r="D7501" s="5" t="str">
        <v>666002611233</v>
      </c>
      <c r="E7501" s="0" t="e">
        <f>+7 (343) 2571191
+7 (343) 2577577
+7 (343) 2578578
+7 (343) 2641728
+7 (343) 2641731
+7 (343) 2700320
+7 (3432) 570340
+7 (34373) 40209
+7 (3466) 641663
+7 (34672) 51281</f>
        <v>#NAME?</v>
      </c>
      <c r="F7501" s="5" t="s">
        <v>47071</v>
      </c>
      <c r="G7501" s="5" t="s">
        <v>44528</v>
      </c>
      <c r="H7501" s="26">
        <v>24</v>
      </c>
      <c r="I7501" s="5" t="s">
        <v>47072</v>
      </c>
      <c r="J7501" s="5" t="s">
        <v>25321</v>
      </c>
      <c r="K7501" s="5" t="s">
        <v>344</v>
      </c>
      <c r="L7501" s="5"/>
      <c r="M7501" s="27"/>
      <c r="N7501" s="5"/>
      <c r="O7501" s="5" t="str">
        <v>6658092629</v>
      </c>
      <c r="P7501" s="27">
        <v>2517750</v>
      </c>
      <c r="Q7501" s="5" t="s">
        <v>49009</v>
      </c>
      <c r="R7501" s="5"/>
      <c r="S7501" s="5" t="s">
        <v>49028</v>
      </c>
      <c r="T7501" s="28">
        <v>3545315000</v>
      </c>
      <c r="U7501" s="28">
        <v>2220936000</v>
      </c>
      <c r="V7501" s="28">
        <v>1756152000</v>
      </c>
      <c r="W7501" s="28">
        <v>85916000</v>
      </c>
      <c r="X7501" s="28">
        <v>158030000</v>
      </c>
      <c r="Y7501" s="28">
        <v>9300896000</v>
      </c>
      <c r="Z7501" s="28">
        <v>6502140000</v>
      </c>
      <c r="AA7501" s="28"/>
      <c r="AB7501" s="28">
        <v>240000000</v>
      </c>
      <c r="AC7501" s="28">
        <v>2634603000</v>
      </c>
      <c r="AD7501" s="28">
        <v>6504658000</v>
      </c>
      <c r="AE7501" s="28">
        <v>14728697000</v>
      </c>
      <c r="AF7501" s="28">
        <v>828488000</v>
      </c>
      <c r="AG7501" s="11"/>
    </row>
    <row r="7502">
      <c r="A7502" s="7" t="s">
        <v>9051</v>
      </c>
      <c r="B7502" s="5" t="s">
        <v>16975</v>
      </c>
      <c r="C7502" s="5" t="s">
        <v>24575</v>
      </c>
      <c r="D7502" s="5" t="str">
        <v>773607642174</v>
      </c>
      <c r="E7502" s="0" t="e">
        <f>+7 (495) 2325893
+7 (495) 2306228
+7 (495) 2325898
+7 (495) 2329689
+7 (495) 9561902
+7 (499) 2306228</f>
        <v>#NAME?</v>
      </c>
      <c r="F7502" s="5" t="s">
        <v>47073</v>
      </c>
      <c r="G7502" s="5" t="s">
        <v>47074</v>
      </c>
      <c r="H7502" s="26">
        <v>21.5</v>
      </c>
      <c r="I7502" s="5" t="s">
        <v>47075</v>
      </c>
      <c r="J7502" s="5" t="s">
        <v>25376</v>
      </c>
      <c r="K7502" s="5" t="s">
        <v>344</v>
      </c>
      <c r="L7502" s="5"/>
      <c r="M7502" s="27"/>
      <c r="N7502" s="5"/>
      <c r="O7502" s="5" t="str">
        <v>7736216869</v>
      </c>
      <c r="P7502" s="27">
        <v>323750000</v>
      </c>
      <c r="Q7502" s="5" t="s">
        <v>49009</v>
      </c>
      <c r="R7502" s="5"/>
      <c r="S7502" s="5" t="s">
        <v>49010</v>
      </c>
      <c r="T7502" s="28">
        <v>18777000</v>
      </c>
      <c r="U7502" s="28">
        <v>95900449000</v>
      </c>
      <c r="V7502" s="28">
        <v>5138962000</v>
      </c>
      <c r="W7502" s="28">
        <v>65970186000</v>
      </c>
      <c r="X7502" s="28">
        <v>28513000</v>
      </c>
      <c r="Y7502" s="28">
        <v>181164636000</v>
      </c>
      <c r="Z7502" s="28">
        <v>65039558000</v>
      </c>
      <c r="AA7502" s="28">
        <v>70337500000</v>
      </c>
      <c r="AB7502" s="28">
        <v>36157856000</v>
      </c>
      <c r="AC7502" s="28">
        <v>37034947000</v>
      </c>
      <c r="AD7502" s="28">
        <v>72243502000</v>
      </c>
      <c r="AE7502" s="28">
        <v>159537962000</v>
      </c>
      <c r="AF7502" s="28">
        <v>147896939000</v>
      </c>
      <c r="AG7502" s="11"/>
    </row>
    <row r="7503">
      <c r="A7503" s="7" t="s">
        <v>9052</v>
      </c>
      <c r="B7503" s="5" t="s">
        <v>16976</v>
      </c>
      <c r="C7503" s="5" t="s">
        <v>24576</v>
      </c>
      <c r="D7503" s="5"/>
      <c r="E7503" s="0" t="e">
        <f>+7 (472) 2321194
+7 (472) 2321609
+7 (472) 2322379
+7 (472) 2324283
+7 (472) 2356338
+7 (47232) 54587
+7 (47234) 56021
+7 (47245) 56411
+7 (951) 7674482</f>
        <v>#NAME?</v>
      </c>
      <c r="F7503" s="5" t="s">
        <v>47076</v>
      </c>
      <c r="G7503" s="5" t="s">
        <v>47077</v>
      </c>
      <c r="H7503" s="26">
        <v>22.5</v>
      </c>
      <c r="I7503" s="5" t="s">
        <v>47078</v>
      </c>
      <c r="J7503" s="5" t="s">
        <v>25262</v>
      </c>
      <c r="K7503" s="5" t="s">
        <v>344</v>
      </c>
      <c r="L7503" s="5" t="s">
        <v>47079</v>
      </c>
      <c r="M7503" s="27"/>
      <c r="N7503" s="5" t="s">
        <v>49453</v>
      </c>
      <c r="O7503" s="5" t="str">
        <v>3102012593</v>
      </c>
      <c r="P7503" s="27">
        <v>1393000</v>
      </c>
      <c r="Q7503" s="5" t="s">
        <v>49057</v>
      </c>
      <c r="R7503" s="5"/>
      <c r="S7503" s="5" t="s">
        <v>49101</v>
      </c>
      <c r="T7503" s="28">
        <v>323812000</v>
      </c>
      <c r="U7503" s="28"/>
      <c r="V7503" s="28">
        <v>724895000</v>
      </c>
      <c r="W7503" s="28"/>
      <c r="X7503" s="28">
        <v>316644000</v>
      </c>
      <c r="Y7503" s="28">
        <v>3403973000</v>
      </c>
      <c r="Z7503" s="28">
        <v>1533100000</v>
      </c>
      <c r="AA7503" s="28"/>
      <c r="AB7503" s="28"/>
      <c r="AC7503" s="28">
        <v>1857788000</v>
      </c>
      <c r="AD7503" s="28">
        <v>1534702000</v>
      </c>
      <c r="AE7503" s="28">
        <v>8577087000</v>
      </c>
      <c r="AF7503" s="28">
        <v>279357000</v>
      </c>
      <c r="AG7503" s="11"/>
    </row>
    <row r="7504">
      <c r="A7504" s="7" t="s">
        <v>9053</v>
      </c>
      <c r="B7504" s="5" t="s">
        <v>16977</v>
      </c>
      <c r="C7504" s="5" t="s">
        <v>24576</v>
      </c>
      <c r="D7504" s="5"/>
      <c r="E7504" s="0" t="e">
        <f>+7 (831) 2304647
+7 (473) 2332300
+7 (831) 2332300
+7 (831) 2815555
+7 (831) 4332339
+7 (83143) 70213
+7 (83143) 70511
+7 (83143) 73586
+7 (83148) 52668</f>
        <v>#NAME?</v>
      </c>
      <c r="F7504" s="5" t="s">
        <v>47080</v>
      </c>
      <c r="G7504" s="5"/>
      <c r="H7504" s="26">
        <v>24</v>
      </c>
      <c r="I7504" s="5" t="s">
        <v>47081</v>
      </c>
      <c r="J7504" s="5" t="s">
        <v>25262</v>
      </c>
      <c r="K7504" s="5" t="s">
        <v>344</v>
      </c>
      <c r="L7504" s="5" t="s">
        <v>47082</v>
      </c>
      <c r="M7504" s="27"/>
      <c r="N7504" s="5" t="s">
        <v>60534</v>
      </c>
      <c r="O7504" s="5" t="str">
        <v>5225002704</v>
      </c>
      <c r="P7504" s="27">
        <v>10000</v>
      </c>
      <c r="Q7504" s="5" t="s">
        <v>60535</v>
      </c>
      <c r="R7504" s="5"/>
      <c r="S7504" s="5" t="s">
        <v>60536</v>
      </c>
      <c r="T7504" s="28">
        <v>178560000</v>
      </c>
      <c r="U7504" s="28"/>
      <c r="V7504" s="28">
        <v>451347000</v>
      </c>
      <c r="W7504" s="28"/>
      <c r="X7504" s="28">
        <v>758869000</v>
      </c>
      <c r="Y7504" s="28">
        <v>2109480000</v>
      </c>
      <c r="Z7504" s="28">
        <v>1177329000</v>
      </c>
      <c r="AA7504" s="28"/>
      <c r="AB7504" s="28"/>
      <c r="AC7504" s="28">
        <v>907842000</v>
      </c>
      <c r="AD7504" s="28">
        <v>1177341000</v>
      </c>
      <c r="AE7504" s="28">
        <v>10015408000</v>
      </c>
      <c r="AF7504" s="28">
        <v>302132000</v>
      </c>
      <c r="AG7504" s="11"/>
    </row>
    <row r="7505">
      <c r="A7505" s="7" t="s">
        <v>9054</v>
      </c>
      <c r="B7505" s="5" t="s">
        <v>16978</v>
      </c>
      <c r="C7505" s="5" t="s">
        <v>24576</v>
      </c>
      <c r="D7505" s="5"/>
      <c r="E7505" s="0" t="e">
        <f>+7 (495) 9560965
+7 (495) 9561902
+7 (8632) 36500</f>
        <v>#NAME?</v>
      </c>
      <c r="F7505" s="5" t="s">
        <v>47083</v>
      </c>
      <c r="G7505" s="5"/>
      <c r="H7505" s="26">
        <v>23</v>
      </c>
      <c r="I7505" s="5" t="s">
        <v>47084</v>
      </c>
      <c r="J7505" s="5" t="s">
        <v>25262</v>
      </c>
      <c r="K7505" s="5" t="s">
        <v>344</v>
      </c>
      <c r="L7505" s="5" t="s">
        <v>47085</v>
      </c>
      <c r="M7505" s="27"/>
      <c r="N7505" s="5" t="s">
        <v>60537</v>
      </c>
      <c r="O7505" s="5" t="str">
        <v>6161032815</v>
      </c>
      <c r="P7505" s="27">
        <v>4438438</v>
      </c>
      <c r="Q7505" s="5" t="s">
        <v>49057</v>
      </c>
      <c r="R7505" s="5" t="s">
        <v>58621</v>
      </c>
      <c r="S7505" s="5" t="s">
        <v>59278</v>
      </c>
      <c r="T7505" s="28">
        <v>382080000</v>
      </c>
      <c r="U7505" s="28"/>
      <c r="V7505" s="28">
        <v>1128437000</v>
      </c>
      <c r="W7505" s="28"/>
      <c r="X7505" s="28">
        <v>172865000</v>
      </c>
      <c r="Y7505" s="28">
        <v>2682459000</v>
      </c>
      <c r="Z7505" s="28">
        <v>1733741000</v>
      </c>
      <c r="AA7505" s="28"/>
      <c r="AB7505" s="28"/>
      <c r="AC7505" s="28">
        <v>926872000</v>
      </c>
      <c r="AD7505" s="28">
        <v>1738830000</v>
      </c>
      <c r="AE7505" s="28">
        <v>9149292000</v>
      </c>
      <c r="AF7505" s="28">
        <v>374196000</v>
      </c>
      <c r="AG7505" s="11"/>
    </row>
    <row r="7506">
      <c r="A7506" s="7" t="s">
        <v>9055</v>
      </c>
      <c r="B7506" s="5" t="s">
        <v>16979</v>
      </c>
      <c r="C7506" s="5" t="s">
        <v>24576</v>
      </c>
      <c r="D7506" s="5"/>
      <c r="E7506" s="0" t="e">
        <f>+7 (915) 5608169
+7 (861) 2204451
+7 (861) 2744056</f>
        <v>#NAME?</v>
      </c>
      <c r="F7506" s="5" t="s">
        <v>47086</v>
      </c>
      <c r="G7506" s="5"/>
      <c r="H7506" s="26">
        <v>23.5</v>
      </c>
      <c r="I7506" s="5" t="s">
        <v>47087</v>
      </c>
      <c r="J7506" s="5" t="s">
        <v>25262</v>
      </c>
      <c r="K7506" s="5" t="s">
        <v>344</v>
      </c>
      <c r="L7506" s="5" t="s">
        <v>47088</v>
      </c>
      <c r="M7506" s="27"/>
      <c r="N7506" s="5" t="s">
        <v>60538</v>
      </c>
      <c r="O7506" s="5" t="str">
        <v>2310058004</v>
      </c>
      <c r="P7506" s="27">
        <v>860588</v>
      </c>
      <c r="Q7506" s="5" t="s">
        <v>49059</v>
      </c>
      <c r="R7506" s="5" t="s">
        <v>60539</v>
      </c>
      <c r="S7506" s="5" t="s">
        <v>49426</v>
      </c>
      <c r="T7506" s="28">
        <v>471918000</v>
      </c>
      <c r="U7506" s="28"/>
      <c r="V7506" s="28">
        <v>1097198000</v>
      </c>
      <c r="W7506" s="28"/>
      <c r="X7506" s="28">
        <v>194226000</v>
      </c>
      <c r="Y7506" s="28">
        <v>2873814000</v>
      </c>
      <c r="Z7506" s="28">
        <v>2219847000</v>
      </c>
      <c r="AA7506" s="28"/>
      <c r="AB7506" s="28"/>
      <c r="AC7506" s="28">
        <v>620110000</v>
      </c>
      <c r="AD7506" s="28">
        <v>2220924000</v>
      </c>
      <c r="AE7506" s="28">
        <v>10732893000</v>
      </c>
      <c r="AF7506" s="28">
        <v>432556000</v>
      </c>
      <c r="AG7506" s="11"/>
    </row>
    <row r="7507">
      <c r="A7507" s="7" t="s">
        <v>9056</v>
      </c>
      <c r="B7507" s="5" t="s">
        <v>16980</v>
      </c>
      <c r="C7507" s="5" t="s">
        <v>24576</v>
      </c>
      <c r="D7507" s="5"/>
      <c r="E7507" s="0" t="e">
        <f>+7 (471) 2358859
+7 (4712) 378997
+7 (4712) 383511
+7 (4712) 384358
+7 (4712) 384589
+7 (4712) 384591
+7 (4712) 384644
+7 (4712) 384828
+7 (4712) 540305
+7 (4712) 540944
+7 (4712) 707014
+7 (47133) 21463</f>
        <v>#NAME?</v>
      </c>
      <c r="F7507" s="5" t="s">
        <v>47089</v>
      </c>
      <c r="G7507" s="5"/>
      <c r="H7507" s="26">
        <v>20.5</v>
      </c>
      <c r="I7507" s="5" t="s">
        <v>47090</v>
      </c>
      <c r="J7507" s="5" t="s">
        <v>25262</v>
      </c>
      <c r="K7507" s="5" t="s">
        <v>344</v>
      </c>
      <c r="L7507" s="5" t="s">
        <v>47091</v>
      </c>
      <c r="M7507" s="27"/>
      <c r="N7507" s="5" t="s">
        <v>49451</v>
      </c>
      <c r="O7507" s="5" t="str">
        <v>4632024638</v>
      </c>
      <c r="P7507" s="27">
        <v>3122571</v>
      </c>
      <c r="Q7507" s="5" t="s">
        <v>49057</v>
      </c>
      <c r="R7507" s="5"/>
      <c r="S7507" s="5" t="s">
        <v>60148</v>
      </c>
      <c r="T7507" s="28">
        <v>188000000</v>
      </c>
      <c r="U7507" s="28"/>
      <c r="V7507" s="28">
        <v>266502000</v>
      </c>
      <c r="W7507" s="28"/>
      <c r="X7507" s="28">
        <v>176172000</v>
      </c>
      <c r="Y7507" s="28">
        <v>1884035000</v>
      </c>
      <c r="Z7507" s="28">
        <v>1078532000</v>
      </c>
      <c r="AA7507" s="28"/>
      <c r="AB7507" s="28"/>
      <c r="AC7507" s="28">
        <v>789411000</v>
      </c>
      <c r="AD7507" s="28">
        <v>1082123000</v>
      </c>
      <c r="AE7507" s="28">
        <v>5694562000</v>
      </c>
      <c r="AF7507" s="28">
        <v>312316000</v>
      </c>
      <c r="AG7507" s="11"/>
    </row>
    <row r="7508">
      <c r="A7508" s="7" t="s">
        <v>9057</v>
      </c>
      <c r="B7508" s="5" t="s">
        <v>16981</v>
      </c>
      <c r="C7508" s="5" t="s">
        <v>24576</v>
      </c>
      <c r="D7508" s="5"/>
      <c r="E7508" s="0" t="e">
        <f>+7 (474) 2478695
+7 (474) 2478855
+7 (474) 2488815
+7 (474) 2770502</f>
        <v>#NAME?</v>
      </c>
      <c r="F7508" s="5"/>
      <c r="G7508" s="5"/>
      <c r="H7508" s="26">
        <v>20.5</v>
      </c>
      <c r="I7508" s="5" t="s">
        <v>47092</v>
      </c>
      <c r="J7508" s="5" t="s">
        <v>25262</v>
      </c>
      <c r="K7508" s="5" t="s">
        <v>344</v>
      </c>
      <c r="L7508" s="5" t="s">
        <v>47093</v>
      </c>
      <c r="M7508" s="27"/>
      <c r="N7508" s="5" t="s">
        <v>60540</v>
      </c>
      <c r="O7508" s="5" t="str">
        <v>4826035910</v>
      </c>
      <c r="P7508" s="27">
        <v>4910000</v>
      </c>
      <c r="Q7508" s="5" t="s">
        <v>49057</v>
      </c>
      <c r="R7508" s="5"/>
      <c r="S7508" s="5" t="s">
        <v>49426</v>
      </c>
      <c r="T7508" s="28">
        <v>122152000</v>
      </c>
      <c r="U7508" s="28"/>
      <c r="V7508" s="28">
        <v>390178000</v>
      </c>
      <c r="W7508" s="28"/>
      <c r="X7508" s="28">
        <v>258639000</v>
      </c>
      <c r="Y7508" s="28">
        <v>1349237000</v>
      </c>
      <c r="Z7508" s="28">
        <v>852136000</v>
      </c>
      <c r="AA7508" s="28"/>
      <c r="AB7508" s="28"/>
      <c r="AC7508" s="28">
        <v>483941000</v>
      </c>
      <c r="AD7508" s="28">
        <v>858620000</v>
      </c>
      <c r="AE7508" s="28">
        <v>3962027000</v>
      </c>
      <c r="AF7508" s="28">
        <v>129862000</v>
      </c>
      <c r="AG7508" s="11"/>
    </row>
    <row r="7509">
      <c r="A7509" s="7" t="s">
        <v>9058</v>
      </c>
      <c r="B7509" s="5" t="s">
        <v>16982</v>
      </c>
      <c r="C7509" s="5" t="s">
        <v>24576</v>
      </c>
      <c r="D7509" s="5"/>
      <c r="E7509" s="0" t="e">
        <f>+7 (4862) 495337
+7 (4862) 495338
+7 (4862) 495340
+7 (48677) 72145
+7 (495) 9560965</f>
        <v>#NAME?</v>
      </c>
      <c r="F7509" s="5" t="s">
        <v>47094</v>
      </c>
      <c r="G7509" s="5"/>
      <c r="H7509" s="26">
        <v>20.5</v>
      </c>
      <c r="I7509" s="5" t="s">
        <v>47095</v>
      </c>
      <c r="J7509" s="5" t="s">
        <v>25262</v>
      </c>
      <c r="K7509" s="5" t="s">
        <v>344</v>
      </c>
      <c r="L7509" s="5" t="s">
        <v>47096</v>
      </c>
      <c r="M7509" s="27"/>
      <c r="N7509" s="5" t="s">
        <v>60541</v>
      </c>
      <c r="O7509" s="5" t="str">
        <v>5725002861</v>
      </c>
      <c r="P7509" s="27">
        <v>3011472</v>
      </c>
      <c r="Q7509" s="5" t="s">
        <v>60542</v>
      </c>
      <c r="R7509" s="5"/>
      <c r="S7509" s="5" t="s">
        <v>59908</v>
      </c>
      <c r="T7509" s="28">
        <v>201482000</v>
      </c>
      <c r="U7509" s="28">
        <v>225000</v>
      </c>
      <c r="V7509" s="28">
        <v>1115128000</v>
      </c>
      <c r="W7509" s="28"/>
      <c r="X7509" s="28">
        <v>744824000</v>
      </c>
      <c r="Y7509" s="28">
        <v>3028655000</v>
      </c>
      <c r="Z7509" s="28">
        <v>1305397000</v>
      </c>
      <c r="AA7509" s="28"/>
      <c r="AB7509" s="28"/>
      <c r="AC7509" s="28">
        <v>1711070000</v>
      </c>
      <c r="AD7509" s="28">
        <v>1308860000</v>
      </c>
      <c r="AE7509" s="28">
        <v>7418602000</v>
      </c>
      <c r="AF7509" s="28">
        <v>294558000</v>
      </c>
      <c r="AG7509" s="11"/>
    </row>
    <row r="7510">
      <c r="A7510" s="7" t="s">
        <v>9059</v>
      </c>
      <c r="B7510" s="5" t="s">
        <v>16983</v>
      </c>
      <c r="C7510" s="5" t="s">
        <v>24576</v>
      </c>
      <c r="D7510" s="5"/>
      <c r="E7510" s="0" t="e">
        <f>+7 (8202) 501302
+7 (8202) 593340
+7 (8202) 593655</f>
        <v>#NAME?</v>
      </c>
      <c r="F7510" s="5"/>
      <c r="G7510" s="5"/>
      <c r="H7510" s="26">
        <v>16</v>
      </c>
      <c r="I7510" s="5" t="s">
        <v>47097</v>
      </c>
      <c r="J7510" s="5" t="s">
        <v>25262</v>
      </c>
      <c r="K7510" s="5" t="s">
        <v>344</v>
      </c>
      <c r="L7510" s="5" t="s">
        <v>47098</v>
      </c>
      <c r="M7510" s="27"/>
      <c r="N7510" s="5" t="s">
        <v>60543</v>
      </c>
      <c r="O7510" s="5" t="str">
        <v>3528118912</v>
      </c>
      <c r="P7510" s="27">
        <v>1000000</v>
      </c>
      <c r="Q7510" s="5" t="s">
        <v>60544</v>
      </c>
      <c r="R7510" s="5"/>
      <c r="S7510" s="5" t="s">
        <v>49058</v>
      </c>
      <c r="T7510" s="28">
        <v>15128000</v>
      </c>
      <c r="U7510" s="28"/>
      <c r="V7510" s="28">
        <v>1214447000</v>
      </c>
      <c r="W7510" s="28"/>
      <c r="X7510" s="28">
        <v>987521000</v>
      </c>
      <c r="Y7510" s="28">
        <v>2656927000</v>
      </c>
      <c r="Z7510" s="28">
        <v>989536000</v>
      </c>
      <c r="AA7510" s="28"/>
      <c r="AB7510" s="28"/>
      <c r="AC7510" s="28">
        <v>1660301000</v>
      </c>
      <c r="AD7510" s="28">
        <v>990686000</v>
      </c>
      <c r="AE7510" s="28">
        <v>18763751000</v>
      </c>
      <c r="AF7510" s="28">
        <v>687868000</v>
      </c>
      <c r="AG7510" s="11"/>
    </row>
    <row r="7511">
      <c r="A7511" s="7" t="s">
        <v>9060</v>
      </c>
      <c r="B7511" s="5" t="s">
        <v>16984</v>
      </c>
      <c r="C7511" s="5" t="s">
        <v>24576</v>
      </c>
      <c r="D7511" s="5"/>
      <c r="E7511" s="0" t="e">
        <f>+7 (865) 2665552
+7 (8652) 665551
+7 (8652) 759241</f>
        <v>#NAME?</v>
      </c>
      <c r="F7511" s="5" t="s">
        <v>47099</v>
      </c>
      <c r="G7511" s="5"/>
      <c r="H7511" s="26">
        <v>21</v>
      </c>
      <c r="I7511" s="5" t="s">
        <v>47100</v>
      </c>
      <c r="J7511" s="5" t="s">
        <v>25262</v>
      </c>
      <c r="K7511" s="5" t="s">
        <v>355</v>
      </c>
      <c r="L7511" s="5" t="s">
        <v>47101</v>
      </c>
      <c r="M7511" s="27"/>
      <c r="N7511" s="5"/>
      <c r="O7511" s="5" t="str">
        <v>2635060359</v>
      </c>
      <c r="P7511" s="27">
        <v>710000</v>
      </c>
      <c r="Q7511" s="5" t="s">
        <v>49057</v>
      </c>
      <c r="R7511" s="5"/>
      <c r="S7511" s="5" t="s">
        <v>49426</v>
      </c>
      <c r="T7511" s="28">
        <v>306431000</v>
      </c>
      <c r="U7511" s="28"/>
      <c r="V7511" s="28">
        <v>666564000</v>
      </c>
      <c r="W7511" s="28"/>
      <c r="X7511" s="28">
        <v>412104000</v>
      </c>
      <c r="Y7511" s="28">
        <v>2297616000</v>
      </c>
      <c r="Z7511" s="28">
        <v>1430753000</v>
      </c>
      <c r="AA7511" s="28"/>
      <c r="AB7511" s="28"/>
      <c r="AC7511" s="28">
        <v>792419000</v>
      </c>
      <c r="AD7511" s="28">
        <v>1488570000</v>
      </c>
      <c r="AE7511" s="28">
        <v>8179597000</v>
      </c>
      <c r="AF7511" s="28">
        <v>262808000</v>
      </c>
      <c r="AG7511" s="11"/>
    </row>
    <row r="7512">
      <c r="A7512" s="7" t="s">
        <v>9061</v>
      </c>
      <c r="B7512" s="5" t="s">
        <v>16985</v>
      </c>
      <c r="C7512" s="5" t="s">
        <v>24576</v>
      </c>
      <c r="D7512" s="5"/>
      <c r="E7512" s="0" t="e">
        <f>+7 (47557) 25013</f>
        <v>#NAME?</v>
      </c>
      <c r="F7512" s="5"/>
      <c r="G7512" s="5"/>
      <c r="H7512" s="26">
        <v>16</v>
      </c>
      <c r="I7512" s="5" t="s">
        <v>47102</v>
      </c>
      <c r="J7512" s="5" t="s">
        <v>25262</v>
      </c>
      <c r="K7512" s="5" t="s">
        <v>344</v>
      </c>
      <c r="L7512" s="5" t="s">
        <v>47103</v>
      </c>
      <c r="M7512" s="27"/>
      <c r="N7512" s="5"/>
      <c r="O7512" s="5" t="str">
        <v>6829028859</v>
      </c>
      <c r="P7512" s="27">
        <v>2000000</v>
      </c>
      <c r="Q7512" s="5" t="s">
        <v>49059</v>
      </c>
      <c r="R7512" s="5"/>
      <c r="S7512" s="5" t="s">
        <v>60148</v>
      </c>
      <c r="T7512" s="28">
        <v>209310000</v>
      </c>
      <c r="U7512" s="28"/>
      <c r="V7512" s="28">
        <v>236888000</v>
      </c>
      <c r="W7512" s="28"/>
      <c r="X7512" s="28">
        <v>24468000</v>
      </c>
      <c r="Y7512" s="28">
        <v>1799964000</v>
      </c>
      <c r="Z7512" s="28">
        <v>673644000</v>
      </c>
      <c r="AA7512" s="28"/>
      <c r="AB7512" s="28">
        <v>68503000</v>
      </c>
      <c r="AC7512" s="28">
        <v>1117821000</v>
      </c>
      <c r="AD7512" s="28">
        <v>675944000</v>
      </c>
      <c r="AE7512" s="28">
        <v>4542811000</v>
      </c>
      <c r="AF7512" s="28">
        <v>166189000</v>
      </c>
      <c r="AG7512" s="11"/>
    </row>
    <row r="7513">
      <c r="A7513" s="7" t="s">
        <v>9062</v>
      </c>
      <c r="B7513" s="5" t="s">
        <v>16986</v>
      </c>
      <c r="C7513" s="5" t="s">
        <v>24577</v>
      </c>
      <c r="D7513" s="5" t="str">
        <v>311300061956</v>
      </c>
      <c r="E7513" s="0" t="e">
        <f>+7 (473) 2390945
+7 (473) 2391363
+7 (473) 2604492
+7 (473) 2604493
+7 (473) 2617592
+7 (47354) 90365
+7 (47354) 91470
+7 (920) 4140075</f>
        <v>#NAME?</v>
      </c>
      <c r="F7513" s="5" t="s">
        <v>47104</v>
      </c>
      <c r="G7513" s="5" t="s">
        <v>47105</v>
      </c>
      <c r="H7513" s="26">
        <v>16.5</v>
      </c>
      <c r="I7513" s="5" t="s">
        <v>47106</v>
      </c>
      <c r="J7513" s="5" t="s">
        <v>27650</v>
      </c>
      <c r="K7513" s="5" t="s">
        <v>344</v>
      </c>
      <c r="L7513" s="5" t="s">
        <v>47107</v>
      </c>
      <c r="M7513" s="27"/>
      <c r="N7513" s="5"/>
      <c r="O7513" s="5" t="str">
        <v>3665057179</v>
      </c>
      <c r="P7513" s="27">
        <v>10000</v>
      </c>
      <c r="Q7513" s="5"/>
      <c r="R7513" s="5"/>
      <c r="S7513" s="5" t="s">
        <v>49425</v>
      </c>
      <c r="T7513" s="28">
        <v>153262000</v>
      </c>
      <c r="U7513" s="28"/>
      <c r="V7513" s="28">
        <v>505837000</v>
      </c>
      <c r="W7513" s="28"/>
      <c r="X7513" s="28">
        <v>5838000</v>
      </c>
      <c r="Y7513" s="28">
        <v>1194786000</v>
      </c>
      <c r="Z7513" s="28">
        <v>214858000</v>
      </c>
      <c r="AA7513" s="28">
        <v>205079000</v>
      </c>
      <c r="AB7513" s="28">
        <v>239430000</v>
      </c>
      <c r="AC7513" s="28">
        <v>774367000</v>
      </c>
      <c r="AD7513" s="28">
        <v>214868000</v>
      </c>
      <c r="AE7513" s="28">
        <v>3104753000</v>
      </c>
      <c r="AF7513" s="28">
        <v>44857000</v>
      </c>
      <c r="AG7513" s="11"/>
    </row>
    <row r="7514">
      <c r="A7514" s="7" t="s">
        <v>9063</v>
      </c>
      <c r="B7514" s="5" t="s">
        <v>16987</v>
      </c>
      <c r="C7514" s="5" t="s">
        <v>19881</v>
      </c>
      <c r="D7514" s="5" t="str">
        <v>632115635817</v>
      </c>
      <c r="E7514" s="0" t="e">
        <f>+7 (848) 2294397
+7 (848) 2298616
+7 (8482) 518485
+7 (8482) 759212</f>
        <v>#NAME?</v>
      </c>
      <c r="F7514" s="5" t="s">
        <v>47108</v>
      </c>
      <c r="G7514" s="5"/>
      <c r="H7514" s="26">
        <v>30</v>
      </c>
      <c r="I7514" s="5"/>
      <c r="J7514" s="5" t="s">
        <v>32455</v>
      </c>
      <c r="K7514" s="5" t="s">
        <v>344</v>
      </c>
      <c r="L7514" s="5"/>
      <c r="M7514" s="27"/>
      <c r="N7514" s="5" t="s">
        <v>60545</v>
      </c>
      <c r="O7514" s="5" t="str">
        <v>6320006429</v>
      </c>
      <c r="P7514" s="27">
        <v>81652857</v>
      </c>
      <c r="Q7514" s="5" t="s">
        <v>60546</v>
      </c>
      <c r="R7514" s="5" t="s">
        <v>60547</v>
      </c>
      <c r="S7514" s="5" t="s">
        <v>60548</v>
      </c>
      <c r="T7514" s="28">
        <v>1570702000</v>
      </c>
      <c r="U7514" s="28"/>
      <c r="V7514" s="28">
        <v>1112675000</v>
      </c>
      <c r="W7514" s="28"/>
      <c r="X7514" s="28">
        <v>238389000</v>
      </c>
      <c r="Y7514" s="28">
        <v>3495840000</v>
      </c>
      <c r="Z7514" s="28">
        <v>156238000</v>
      </c>
      <c r="AA7514" s="28">
        <v>344139000</v>
      </c>
      <c r="AB7514" s="28">
        <v>577306000</v>
      </c>
      <c r="AC7514" s="28">
        <v>1960080000</v>
      </c>
      <c r="AD7514" s="28">
        <v>1169365000</v>
      </c>
      <c r="AE7514" s="28">
        <v>6904191000</v>
      </c>
      <c r="AF7514" s="28">
        <v>349928000</v>
      </c>
      <c r="AG7514" s="11"/>
    </row>
    <row r="7515">
      <c r="A7515" s="7" t="s">
        <v>9064</v>
      </c>
      <c r="B7515" s="5" t="s">
        <v>16988</v>
      </c>
      <c r="C7515" s="5" t="s">
        <v>24578</v>
      </c>
      <c r="D7515" s="5" t="str">
        <v>772115604180</v>
      </c>
      <c r="E7515" s="0" t="e">
        <f>+7 (495) 6450011
+7 (495) 6451010
+7 (495) 6653020
+7 (499) 2410006
+7 (499) 2410107
+7 (499) 2416378
+7 (499) 6450011</f>
        <v>#NAME?</v>
      </c>
      <c r="F7515" s="5" t="s">
        <v>47109</v>
      </c>
      <c r="G7515" s="5" t="s">
        <v>47110</v>
      </c>
      <c r="H7515" s="26">
        <v>22</v>
      </c>
      <c r="I7515" s="5"/>
      <c r="J7515" s="5" t="s">
        <v>34362</v>
      </c>
      <c r="K7515" s="5" t="s">
        <v>344</v>
      </c>
      <c r="L7515" s="5"/>
      <c r="M7515" s="27"/>
      <c r="N7515" s="5" t="s">
        <v>60549</v>
      </c>
      <c r="O7515" s="5" t="str">
        <v>7703268269</v>
      </c>
      <c r="P7515" s="27">
        <v>750000000</v>
      </c>
      <c r="Q7515" s="5" t="s">
        <v>60550</v>
      </c>
      <c r="R7515" s="5"/>
      <c r="S7515" s="5" t="s">
        <v>60551</v>
      </c>
      <c r="T7515" s="28">
        <v>42610000</v>
      </c>
      <c r="U7515" s="28">
        <v>322088000</v>
      </c>
      <c r="V7515" s="28">
        <v>2903592000</v>
      </c>
      <c r="W7515" s="28">
        <v>792679000</v>
      </c>
      <c r="X7515" s="28">
        <v>294746000</v>
      </c>
      <c r="Y7515" s="28">
        <v>9323053000</v>
      </c>
      <c r="Z7515" s="28">
        <v>6483553000</v>
      </c>
      <c r="AA7515" s="28"/>
      <c r="AB7515" s="28"/>
      <c r="AC7515" s="28">
        <v>2046180000</v>
      </c>
      <c r="AD7515" s="28">
        <v>7276873000</v>
      </c>
      <c r="AE7515" s="28">
        <v>11007139000</v>
      </c>
      <c r="AF7515" s="28">
        <v>1347087000</v>
      </c>
      <c r="AG7515" s="11"/>
    </row>
    <row r="7516">
      <c r="A7516" s="7" t="s">
        <v>9065</v>
      </c>
      <c r="B7516" s="5" t="s">
        <v>14771</v>
      </c>
      <c r="C7516" s="5" t="s">
        <v>24579</v>
      </c>
      <c r="D7516" s="5" t="str">
        <v>740404334042</v>
      </c>
      <c r="E7516" s="0" t="e">
        <f>+7 (3472) 299700
+7 (35327) 42792
+7 (3022) 350137
+7 (3422) 302222
+7 (343) 3582183
+7 (343) 3582463
+7 (343) 3584076
+7 (343) 3584814
+7 (3512) 682533
+7 (3512) 684050
+7 (35327) 44701
+7 (383) 2292550
+7 (383) 2292799
+7 (383) 2292819
+7 (383) 2292976</f>
        <v>#NAME?</v>
      </c>
      <c r="F7516" s="5" t="s">
        <v>47111</v>
      </c>
      <c r="G7516" s="5"/>
      <c r="H7516" s="26">
        <v>13</v>
      </c>
      <c r="I7516" s="5" t="s">
        <v>47112</v>
      </c>
      <c r="J7516" s="5" t="s">
        <v>30460</v>
      </c>
      <c r="K7516" s="5" t="s">
        <v>344</v>
      </c>
      <c r="L7516" s="5"/>
      <c r="M7516" s="27">
        <v>487321803</v>
      </c>
      <c r="N7516" s="5" t="s">
        <v>60552</v>
      </c>
      <c r="O7516" s="5" t="str">
        <v>7708709686</v>
      </c>
      <c r="P7516" s="27">
        <v>248588838994</v>
      </c>
      <c r="Q7516" s="5" t="s">
        <v>60553</v>
      </c>
      <c r="R7516" s="5"/>
      <c r="S7516" s="5" t="s">
        <v>60554</v>
      </c>
      <c r="T7516" s="28">
        <v>311617468000</v>
      </c>
      <c r="U7516" s="28">
        <v>1247137000</v>
      </c>
      <c r="V7516" s="28">
        <v>24164222000</v>
      </c>
      <c r="W7516" s="28"/>
      <c r="X7516" s="28">
        <v>8811052000</v>
      </c>
      <c r="Y7516" s="28">
        <v>358363378000</v>
      </c>
      <c r="Z7516" s="28">
        <v>-9502463000</v>
      </c>
      <c r="AA7516" s="28">
        <v>41500000000</v>
      </c>
      <c r="AB7516" s="28">
        <v>25600399000</v>
      </c>
      <c r="AC7516" s="28">
        <v>65905200000</v>
      </c>
      <c r="AD7516" s="28">
        <v>250827643000</v>
      </c>
      <c r="AE7516" s="28">
        <v>250456808000</v>
      </c>
      <c r="AF7516" s="28">
        <v>11038611000</v>
      </c>
      <c r="AG7516" s="11"/>
    </row>
    <row r="7517">
      <c r="A7517" s="7" t="s">
        <v>9066</v>
      </c>
      <c r="B7517" s="5" t="s">
        <v>16989</v>
      </c>
      <c r="C7517" s="5" t="s">
        <v>24580</v>
      </c>
      <c r="D7517" s="5" t="str">
        <v>644920789674</v>
      </c>
      <c r="E7517" s="0" t="e">
        <f>+7 (495) 1392405
+7 (84535) 44555
+7 (84535) 44777
+7 (84535) 44778
+7 (84535) 44779
+7 (84535) 44780
+7 (84535) 44781
+7 (84535) 44782
+7 (84535) 44783
+7 (84535) 44784
+7 (84535) 44785</f>
        <v>#NAME?</v>
      </c>
      <c r="F7517" s="5" t="s">
        <v>47113</v>
      </c>
      <c r="G7517" s="5" t="s">
        <v>47114</v>
      </c>
      <c r="H7517" s="26">
        <v>15.5</v>
      </c>
      <c r="I7517" s="5" t="s">
        <v>47115</v>
      </c>
      <c r="J7517" s="5" t="s">
        <v>26799</v>
      </c>
      <c r="K7517" s="5" t="s">
        <v>344</v>
      </c>
      <c r="L7517" s="5" t="s">
        <v>47116</v>
      </c>
      <c r="M7517" s="27">
        <v>1106615361</v>
      </c>
      <c r="N7517" s="5" t="s">
        <v>60555</v>
      </c>
      <c r="O7517" s="5" t="str">
        <v>6432005462</v>
      </c>
      <c r="P7517" s="27">
        <v>1000000</v>
      </c>
      <c r="Q7517" s="5" t="s">
        <v>60557</v>
      </c>
      <c r="R7517" s="5" t="s">
        <v>60558</v>
      </c>
      <c r="S7517" s="5" t="s">
        <v>60559</v>
      </c>
      <c r="T7517" s="28">
        <v>3408313000</v>
      </c>
      <c r="U7517" s="28">
        <v>1100000</v>
      </c>
      <c r="V7517" s="28">
        <v>6001066000</v>
      </c>
      <c r="W7517" s="28">
        <v>1511600000</v>
      </c>
      <c r="X7517" s="28">
        <v>241852000</v>
      </c>
      <c r="Y7517" s="28">
        <v>13356899000</v>
      </c>
      <c r="Z7517" s="28">
        <v>5572306000</v>
      </c>
      <c r="AA7517" s="28">
        <v>187210000</v>
      </c>
      <c r="AB7517" s="28">
        <v>1660469000</v>
      </c>
      <c r="AC7517" s="28">
        <v>5548048000</v>
      </c>
      <c r="AD7517" s="28">
        <v>5573306000</v>
      </c>
      <c r="AE7517" s="28">
        <v>10008942000</v>
      </c>
      <c r="AF7517" s="28">
        <v>857577000</v>
      </c>
      <c r="AG7517" s="11"/>
    </row>
    <row r="7518">
      <c r="A7518" s="7" t="s">
        <v>9067</v>
      </c>
      <c r="B7518" s="5" t="s">
        <v>16990</v>
      </c>
      <c r="C7518" s="5" t="s">
        <v>24581</v>
      </c>
      <c r="D7518" s="5"/>
      <c r="E7518" s="0" t="e">
        <f>+7 (84535) 54784
+7 (937) 9739727</f>
        <v>#NAME?</v>
      </c>
      <c r="F7518" s="5" t="s">
        <v>47117</v>
      </c>
      <c r="G7518" s="5" t="s">
        <v>47118</v>
      </c>
      <c r="H7518" s="26">
        <v>7.5</v>
      </c>
      <c r="I7518" s="5" t="s">
        <v>47119</v>
      </c>
      <c r="J7518" s="5" t="s">
        <v>364</v>
      </c>
      <c r="K7518" s="5" t="s">
        <v>344</v>
      </c>
      <c r="L7518" s="5" t="s">
        <v>47120</v>
      </c>
      <c r="M7518" s="27">
        <v>8123373</v>
      </c>
      <c r="N7518" s="5" t="s">
        <v>60560</v>
      </c>
      <c r="O7518" s="5" t="str">
        <v>7728312689</v>
      </c>
      <c r="P7518" s="27">
        <v>1000000</v>
      </c>
      <c r="Q7518" s="5" t="s">
        <v>60561</v>
      </c>
      <c r="R7518" s="5" t="s">
        <v>56432</v>
      </c>
      <c r="S7518" s="5" t="s">
        <v>60562</v>
      </c>
      <c r="T7518" s="28">
        <v>468510000</v>
      </c>
      <c r="U7518" s="28"/>
      <c r="V7518" s="28">
        <v>8832050000</v>
      </c>
      <c r="W7518" s="28">
        <v>330613000</v>
      </c>
      <c r="X7518" s="28">
        <v>315396000</v>
      </c>
      <c r="Y7518" s="28">
        <v>13828851000</v>
      </c>
      <c r="Z7518" s="28">
        <v>78812000</v>
      </c>
      <c r="AA7518" s="28"/>
      <c r="AB7518" s="28">
        <v>608986000</v>
      </c>
      <c r="AC7518" s="28">
        <v>11548326000</v>
      </c>
      <c r="AD7518" s="28">
        <v>1454890000</v>
      </c>
      <c r="AE7518" s="28">
        <v>9661731000</v>
      </c>
      <c r="AF7518" s="28">
        <v>587060000</v>
      </c>
      <c r="AG7518" s="11"/>
    </row>
    <row r="7519">
      <c r="A7519" s="7" t="s">
        <v>9068</v>
      </c>
      <c r="B7519" s="5" t="s">
        <v>16991</v>
      </c>
      <c r="C7519" s="5" t="s">
        <v>24582</v>
      </c>
      <c r="D7519" s="5" t="str">
        <v>773467999238</v>
      </c>
      <c r="E7519" s="0" t="e">
        <f>+7 (495) 2460250
+7 (495) 9505714
+7 (495) 9884578
+7 (495) 9884579
+7 (499) 2460250</f>
        <v>#NAME?</v>
      </c>
      <c r="F7519" s="5" t="s">
        <v>47121</v>
      </c>
      <c r="G7519" s="5" t="s">
        <v>47122</v>
      </c>
      <c r="H7519" s="26">
        <v>15</v>
      </c>
      <c r="I7519" s="5" t="s">
        <v>47123</v>
      </c>
      <c r="J7519" s="5" t="s">
        <v>25429</v>
      </c>
      <c r="K7519" s="5" t="s">
        <v>344</v>
      </c>
      <c r="L7519" s="5" t="s">
        <v>47124</v>
      </c>
      <c r="M7519" s="27"/>
      <c r="N7519" s="5"/>
      <c r="O7519" s="5" t="str">
        <v>7704689446</v>
      </c>
      <c r="P7519" s="27">
        <v>3600000</v>
      </c>
      <c r="Q7519" s="5" t="s">
        <v>49009</v>
      </c>
      <c r="R7519" s="5"/>
      <c r="S7519" s="5" t="s">
        <v>49010</v>
      </c>
      <c r="T7519" s="28">
        <v>73488000</v>
      </c>
      <c r="U7519" s="28"/>
      <c r="V7519" s="28">
        <v>2141809000</v>
      </c>
      <c r="W7519" s="28"/>
      <c r="X7519" s="28">
        <v>158824000</v>
      </c>
      <c r="Y7519" s="28">
        <v>3354691000</v>
      </c>
      <c r="Z7519" s="28">
        <v>1978873000</v>
      </c>
      <c r="AA7519" s="28"/>
      <c r="AB7519" s="28"/>
      <c r="AC7519" s="28">
        <v>1345101000</v>
      </c>
      <c r="AD7519" s="28">
        <v>1982556000</v>
      </c>
      <c r="AE7519" s="28">
        <v>4597433000</v>
      </c>
      <c r="AF7519" s="28">
        <v>621687000</v>
      </c>
      <c r="AG7519" s="11"/>
    </row>
    <row r="7520">
      <c r="A7520" s="7" t="s">
        <v>9069</v>
      </c>
      <c r="B7520" s="5" t="s">
        <v>16992</v>
      </c>
      <c r="C7520" s="5" t="s">
        <v>24583</v>
      </c>
      <c r="D7520" s="5" t="str">
        <v>610201894671</v>
      </c>
      <c r="E7520" s="0" t="e">
        <f>+7 (927) 2709677
+7 (495) 7896465
+7 (499) 2340155
+7 (962) 9454177</f>
        <v>#NAME?</v>
      </c>
      <c r="F7520" s="5"/>
      <c r="G7520" s="5" t="s">
        <v>47125</v>
      </c>
      <c r="H7520" s="26">
        <v>18</v>
      </c>
      <c r="I7520" s="5" t="s">
        <v>47126</v>
      </c>
      <c r="J7520" s="5" t="s">
        <v>33507</v>
      </c>
      <c r="K7520" s="5" t="s">
        <v>344</v>
      </c>
      <c r="L7520" s="5"/>
      <c r="M7520" s="27"/>
      <c r="N7520" s="5" t="s">
        <v>60563</v>
      </c>
      <c r="O7520" s="5" t="str">
        <v>7736522023</v>
      </c>
      <c r="P7520" s="27">
        <v>3000000</v>
      </c>
      <c r="Q7520" s="5" t="s">
        <v>60564</v>
      </c>
      <c r="R7520" s="5"/>
      <c r="S7520" s="5" t="s">
        <v>49857</v>
      </c>
      <c r="T7520" s="28">
        <v>536716000</v>
      </c>
      <c r="U7520" s="28"/>
      <c r="V7520" s="28">
        <v>148315000</v>
      </c>
      <c r="W7520" s="28">
        <v>133091000</v>
      </c>
      <c r="X7520" s="28">
        <v>444392000</v>
      </c>
      <c r="Y7520" s="28">
        <v>7264139000</v>
      </c>
      <c r="Z7520" s="28">
        <v>-4540468000</v>
      </c>
      <c r="AA7520" s="28"/>
      <c r="AB7520" s="28">
        <v>29173000</v>
      </c>
      <c r="AC7520" s="28">
        <v>1673195000</v>
      </c>
      <c r="AD7520" s="28">
        <v>-10723000</v>
      </c>
      <c r="AE7520" s="28">
        <v>4278514000</v>
      </c>
      <c r="AF7520" s="28">
        <v>-732018000</v>
      </c>
      <c r="AG7520" s="11"/>
    </row>
    <row r="7521">
      <c r="A7521" s="7" t="s">
        <v>9070</v>
      </c>
      <c r="B7521" s="5" t="s">
        <v>16993</v>
      </c>
      <c r="C7521" s="5" t="s">
        <v>24584</v>
      </c>
      <c r="D7521" s="5" t="str">
        <v>770470932622</v>
      </c>
      <c r="E7521" s="0" t="e">
        <f>+7 (383) 3991020
+7 (495) 7839645
+7 (495) 7986454
+7 (495) 7308149
+7 (495) 7896452
+7 (495) 7896455
+7 (495) 9362341
+7 (495) 9362342
+7 (495) 9362344
+7 (499) 7398149
+7 (985) 7896454
+7 (987) 2976621</f>
        <v>#NAME?</v>
      </c>
      <c r="F7521" s="5" t="s">
        <v>47127</v>
      </c>
      <c r="G7521" s="5" t="s">
        <v>47128</v>
      </c>
      <c r="H7521" s="26">
        <v>29</v>
      </c>
      <c r="I7521" s="5" t="s">
        <v>47129</v>
      </c>
      <c r="J7521" s="5" t="s">
        <v>25429</v>
      </c>
      <c r="K7521" s="5" t="s">
        <v>344</v>
      </c>
      <c r="L7521" s="5" t="s">
        <v>47130</v>
      </c>
      <c r="M7521" s="27"/>
      <c r="N7521" s="5" t="s">
        <v>60565</v>
      </c>
      <c r="O7521" s="5" t="str">
        <v>7736045187</v>
      </c>
      <c r="P7521" s="27">
        <v>2050</v>
      </c>
      <c r="Q7521" s="5" t="s">
        <v>60566</v>
      </c>
      <c r="R7521" s="5"/>
      <c r="S7521" s="5" t="s">
        <v>49173</v>
      </c>
      <c r="T7521" s="28">
        <v>140119000</v>
      </c>
      <c r="U7521" s="28"/>
      <c r="V7521" s="28">
        <v>2488572000</v>
      </c>
      <c r="W7521" s="28"/>
      <c r="X7521" s="28">
        <v>312585000</v>
      </c>
      <c r="Y7521" s="28">
        <v>5854725000</v>
      </c>
      <c r="Z7521" s="28">
        <v>4356201000</v>
      </c>
      <c r="AA7521" s="28"/>
      <c r="AB7521" s="28">
        <v>211605000</v>
      </c>
      <c r="AC7521" s="28">
        <v>1488749000</v>
      </c>
      <c r="AD7521" s="28">
        <v>4356203000</v>
      </c>
      <c r="AE7521" s="28">
        <v>7241897000</v>
      </c>
      <c r="AF7521" s="28">
        <v>343025000</v>
      </c>
      <c r="AG7521" s="11"/>
    </row>
    <row r="7522">
      <c r="A7522" s="7" t="s">
        <v>9071</v>
      </c>
      <c r="B7522" s="5" t="s">
        <v>16994</v>
      </c>
      <c r="C7522" s="5" t="s">
        <v>24585</v>
      </c>
      <c r="D7522" s="5" t="str">
        <v>772985776921</v>
      </c>
      <c r="E7522" s="0" t="e">
        <f>+7 (495) 7753171
+7 (495) 7854478
+7 (495) 7854485
+7 (495) 7854496
+7 (800) 2504906</f>
        <v>#NAME?</v>
      </c>
      <c r="F7522" s="5" t="s">
        <v>47131</v>
      </c>
      <c r="G7522" s="5" t="s">
        <v>47132</v>
      </c>
      <c r="H7522" s="26">
        <v>26.5</v>
      </c>
      <c r="I7522" s="5"/>
      <c r="J7522" s="5" t="s">
        <v>39607</v>
      </c>
      <c r="K7522" s="5" t="s">
        <v>380</v>
      </c>
      <c r="L7522" s="5"/>
      <c r="M7522" s="27">
        <v>15345787</v>
      </c>
      <c r="N7522" s="5" t="s">
        <v>60567</v>
      </c>
      <c r="O7522" s="5" t="str">
        <v>7728142525</v>
      </c>
      <c r="P7522" s="27">
        <v>10000000</v>
      </c>
      <c r="Q7522" s="5" t="s">
        <v>60569</v>
      </c>
      <c r="R7522" s="5"/>
      <c r="S7522" s="5" t="s">
        <v>60570</v>
      </c>
      <c r="T7522" s="28">
        <v>756851000</v>
      </c>
      <c r="U7522" s="28">
        <v>489951000</v>
      </c>
      <c r="V7522" s="28">
        <v>923589000</v>
      </c>
      <c r="W7522" s="28">
        <v>50768000</v>
      </c>
      <c r="X7522" s="28">
        <v>29805000</v>
      </c>
      <c r="Y7522" s="28">
        <v>4383835000</v>
      </c>
      <c r="Z7522" s="28">
        <v>-1703513000</v>
      </c>
      <c r="AA7522" s="28"/>
      <c r="AB7522" s="28">
        <v>600222000</v>
      </c>
      <c r="AC7522" s="28">
        <v>1899260000</v>
      </c>
      <c r="AD7522" s="28">
        <v>846553000</v>
      </c>
      <c r="AE7522" s="28">
        <v>4348401000</v>
      </c>
      <c r="AF7522" s="28">
        <v>-1122864000</v>
      </c>
      <c r="AG7522" s="11"/>
    </row>
    <row r="7523">
      <c r="A7523" s="7" t="s">
        <v>9072</v>
      </c>
      <c r="B7523" s="5" t="s">
        <v>16995</v>
      </c>
      <c r="C7523" s="5" t="s">
        <v>24586</v>
      </c>
      <c r="D7523" s="5" t="str">
        <v>366490010605</v>
      </c>
      <c r="E7523" s="0" t="e">
        <f>+7 (495) 7303737
+7 (929) 9030615
+7 (929) 9032534</f>
        <v>#NAME?</v>
      </c>
      <c r="F7523" s="5"/>
      <c r="G7523" s="5"/>
      <c r="H7523" s="26">
        <v>5.5</v>
      </c>
      <c r="I7523" s="5" t="s">
        <v>47133</v>
      </c>
      <c r="J7523" s="5" t="s">
        <v>389</v>
      </c>
      <c r="K7523" s="5" t="s">
        <v>344</v>
      </c>
      <c r="L7523" s="5" t="s">
        <v>42773</v>
      </c>
      <c r="M7523" s="27"/>
      <c r="N7523" s="5" t="s">
        <v>60571</v>
      </c>
      <c r="O7523" s="5" t="str">
        <v>7724423589</v>
      </c>
      <c r="P7523" s="27">
        <v>10000</v>
      </c>
      <c r="Q7523" s="5" t="s">
        <v>60572</v>
      </c>
      <c r="R7523" s="5"/>
      <c r="S7523" s="5" t="s">
        <v>49047</v>
      </c>
      <c r="T7523" s="28">
        <v>84528000</v>
      </c>
      <c r="U7523" s="28"/>
      <c r="V7523" s="28">
        <v>318367000</v>
      </c>
      <c r="W7523" s="28">
        <v>68927000</v>
      </c>
      <c r="X7523" s="28">
        <v>17482000</v>
      </c>
      <c r="Y7523" s="28">
        <v>859359000</v>
      </c>
      <c r="Z7523" s="28">
        <v>45621000</v>
      </c>
      <c r="AA7523" s="28"/>
      <c r="AB7523" s="28">
        <v>420663000</v>
      </c>
      <c r="AC7523" s="28">
        <v>674489000</v>
      </c>
      <c r="AD7523" s="28">
        <v>45631000</v>
      </c>
      <c r="AE7523" s="28">
        <v>3382560000</v>
      </c>
      <c r="AF7523" s="28">
        <v>27753000</v>
      </c>
      <c r="AG7523" s="11"/>
    </row>
    <row r="7524">
      <c r="A7524" s="7" t="s">
        <v>9073</v>
      </c>
      <c r="B7524" s="5" t="s">
        <v>16996</v>
      </c>
      <c r="C7524" s="5" t="s">
        <v>24587</v>
      </c>
      <c r="D7524" s="5" t="str">
        <v>505395629969</v>
      </c>
      <c r="E7524" s="0" t="e">
        <f>+7 (473) 2122962
+7 (844) 2551222
+7 (8632) 508008
+7 (8632) 580000
+7 (8632) 850923
+7 (8652) 266845
+7 (908) 1741786
+7 (960) 8789888
+7 (999) 9056811</f>
        <v>#NAME?</v>
      </c>
      <c r="F7524" s="5" t="s">
        <v>47134</v>
      </c>
      <c r="G7524" s="5"/>
      <c r="H7524" s="26">
        <v>6.5</v>
      </c>
      <c r="I7524" s="5" t="s">
        <v>47133</v>
      </c>
      <c r="J7524" s="5" t="s">
        <v>389</v>
      </c>
      <c r="K7524" s="5" t="s">
        <v>344</v>
      </c>
      <c r="L7524" s="5" t="s">
        <v>47135</v>
      </c>
      <c r="M7524" s="27">
        <v>682981</v>
      </c>
      <c r="N7524" s="5" t="s">
        <v>60573</v>
      </c>
      <c r="O7524" s="5" t="str">
        <v>6102065946</v>
      </c>
      <c r="P7524" s="27">
        <v>10000</v>
      </c>
      <c r="Q7524" s="5" t="s">
        <v>49059</v>
      </c>
      <c r="R7524" s="5"/>
      <c r="S7524" s="5" t="s">
        <v>50936</v>
      </c>
      <c r="T7524" s="28">
        <v>33946000</v>
      </c>
      <c r="U7524" s="28">
        <v>85140000</v>
      </c>
      <c r="V7524" s="28">
        <v>795066000</v>
      </c>
      <c r="W7524" s="28">
        <v>138807000</v>
      </c>
      <c r="X7524" s="28">
        <v>4231000</v>
      </c>
      <c r="Y7524" s="28">
        <v>1579599000</v>
      </c>
      <c r="Z7524" s="28">
        <v>374184000</v>
      </c>
      <c r="AA7524" s="28"/>
      <c r="AB7524" s="28">
        <v>776624000</v>
      </c>
      <c r="AC7524" s="28">
        <v>955886000</v>
      </c>
      <c r="AD7524" s="28">
        <v>374194000</v>
      </c>
      <c r="AE7524" s="28">
        <v>3073094000</v>
      </c>
      <c r="AF7524" s="28">
        <v>95778000</v>
      </c>
      <c r="AG7524" s="11"/>
    </row>
    <row r="7525">
      <c r="A7525" s="7" t="s">
        <v>9074</v>
      </c>
      <c r="B7525" s="5" t="s">
        <v>16997</v>
      </c>
      <c r="C7525" s="5" t="s">
        <v>24588</v>
      </c>
      <c r="D7525" s="5" t="str">
        <v>503126453985</v>
      </c>
      <c r="E7525" s="0" t="e">
        <f>+7 (800) 5002755
+7 (925) 8036373
+7 (495) 6644042
+7 (49664) 94964
+7 (499) 2721648
+7 (915) 4739919
+7 (925) 4360518</f>
        <v>#NAME?</v>
      </c>
      <c r="F7525" s="5"/>
      <c r="G7525" s="5" t="s">
        <v>47136</v>
      </c>
      <c r="H7525" s="26">
        <v>11.5</v>
      </c>
      <c r="I7525" s="5" t="s">
        <v>47137</v>
      </c>
      <c r="J7525" s="5" t="s">
        <v>25219</v>
      </c>
      <c r="K7525" s="5" t="s">
        <v>355</v>
      </c>
      <c r="L7525" s="5"/>
      <c r="M7525" s="27">
        <v>271938</v>
      </c>
      <c r="N7525" s="5"/>
      <c r="O7525" s="5" t="str">
        <v>7806461539</v>
      </c>
      <c r="P7525" s="27">
        <v>510010000</v>
      </c>
      <c r="Q7525" s="5" t="s">
        <v>49009</v>
      </c>
      <c r="R7525" s="5"/>
      <c r="S7525" s="5" t="s">
        <v>50707</v>
      </c>
      <c r="T7525" s="28">
        <v>20927744000</v>
      </c>
      <c r="U7525" s="28"/>
      <c r="V7525" s="28">
        <v>1510339000</v>
      </c>
      <c r="W7525" s="28"/>
      <c r="X7525" s="28">
        <v>992183000</v>
      </c>
      <c r="Y7525" s="28">
        <v>34859157000</v>
      </c>
      <c r="Z7525" s="28">
        <v>-16862699000</v>
      </c>
      <c r="AA7525" s="28">
        <v>21395000000</v>
      </c>
      <c r="AB7525" s="28"/>
      <c r="AC7525" s="28">
        <v>8243100000</v>
      </c>
      <c r="AD7525" s="28">
        <v>2167856000</v>
      </c>
      <c r="AE7525" s="28">
        <v>55326059000</v>
      </c>
      <c r="AF7525" s="28">
        <v>-549692000</v>
      </c>
      <c r="AG7525" s="11"/>
    </row>
    <row r="7526">
      <c r="A7526" s="7" t="s">
        <v>9075</v>
      </c>
      <c r="B7526" s="5" t="s">
        <v>16998</v>
      </c>
      <c r="C7526" s="5" t="s">
        <v>24589</v>
      </c>
      <c r="D7526" s="5" t="str">
        <v>710608786859</v>
      </c>
      <c r="E7526" s="0" t="e">
        <f>+7 (920) 7927219
+7 (925) 3848769
+7 (926) 6250306</f>
        <v>#NAME?</v>
      </c>
      <c r="F7526" s="5"/>
      <c r="G7526" s="5" t="s">
        <v>47138</v>
      </c>
      <c r="H7526" s="26">
        <v>7</v>
      </c>
      <c r="I7526" s="5" t="s">
        <v>47139</v>
      </c>
      <c r="J7526" s="5" t="s">
        <v>47140</v>
      </c>
      <c r="K7526" s="5" t="s">
        <v>355</v>
      </c>
      <c r="L7526" s="5"/>
      <c r="M7526" s="27"/>
      <c r="N7526" s="5"/>
      <c r="O7526" s="5" t="str">
        <v>7107110866</v>
      </c>
      <c r="P7526" s="27">
        <v>10000</v>
      </c>
      <c r="Q7526" s="5"/>
      <c r="R7526" s="5"/>
      <c r="S7526" s="5" t="s">
        <v>49121</v>
      </c>
      <c r="T7526" s="28">
        <v>75137000</v>
      </c>
      <c r="U7526" s="28">
        <v>194376000</v>
      </c>
      <c r="V7526" s="28">
        <v>677630000</v>
      </c>
      <c r="W7526" s="28">
        <v>204413000</v>
      </c>
      <c r="X7526" s="28">
        <v>4064000</v>
      </c>
      <c r="Y7526" s="28">
        <v>1175806000</v>
      </c>
      <c r="Z7526" s="28">
        <v>-287670000</v>
      </c>
      <c r="AA7526" s="28">
        <v>876231000</v>
      </c>
      <c r="AB7526" s="28">
        <v>408312000</v>
      </c>
      <c r="AC7526" s="28">
        <v>521916000</v>
      </c>
      <c r="AD7526" s="28">
        <v>-287660000</v>
      </c>
      <c r="AE7526" s="28">
        <v>5041098000</v>
      </c>
      <c r="AF7526" s="28">
        <v>3006000</v>
      </c>
      <c r="AG7526" s="11"/>
    </row>
    <row r="7527">
      <c r="A7527" s="7" t="s">
        <v>9076</v>
      </c>
      <c r="B7527" s="5" t="s">
        <v>16999</v>
      </c>
      <c r="C7527" s="5" t="s">
        <v>24590</v>
      </c>
      <c r="D7527" s="5" t="str">
        <v>472005234795</v>
      </c>
      <c r="E7527" s="0" t="e">
        <f>+7 (4862) 200100
+7 (4862) 200110
+7 (4862) 360404
+7 (4862) 360415
+7 (495) 6406164
+7 (910) 7480491</f>
        <v>#NAME?</v>
      </c>
      <c r="F7527" s="5" t="s">
        <v>47141</v>
      </c>
      <c r="G7527" s="5" t="s">
        <v>47142</v>
      </c>
      <c r="H7527" s="26">
        <v>25.5</v>
      </c>
      <c r="I7527" s="5" t="s">
        <v>47143</v>
      </c>
      <c r="J7527" s="5" t="s">
        <v>28328</v>
      </c>
      <c r="K7527" s="5" t="s">
        <v>344</v>
      </c>
      <c r="L7527" s="5" t="s">
        <v>47144</v>
      </c>
      <c r="M7527" s="27"/>
      <c r="N7527" s="5"/>
      <c r="O7527" s="5" t="str">
        <v>5752019857</v>
      </c>
      <c r="P7527" s="27">
        <v>154141000</v>
      </c>
      <c r="Q7527" s="5"/>
      <c r="R7527" s="5"/>
      <c r="S7527" s="5" t="s">
        <v>49029</v>
      </c>
      <c r="T7527" s="28">
        <v>505207000</v>
      </c>
      <c r="U7527" s="28"/>
      <c r="V7527" s="28">
        <v>5963661000</v>
      </c>
      <c r="W7527" s="28"/>
      <c r="X7527" s="28">
        <v>490706000</v>
      </c>
      <c r="Y7527" s="28">
        <v>8472139000</v>
      </c>
      <c r="Z7527" s="28">
        <v>3271513000</v>
      </c>
      <c r="AA7527" s="28"/>
      <c r="AB7527" s="28">
        <v>2152394000</v>
      </c>
      <c r="AC7527" s="28">
        <v>5044840000</v>
      </c>
      <c r="AD7527" s="28">
        <v>3427215000</v>
      </c>
      <c r="AE7527" s="28">
        <v>10291586000</v>
      </c>
      <c r="AF7527" s="28">
        <v>-486154000</v>
      </c>
      <c r="AG7527" s="11"/>
    </row>
    <row r="7528">
      <c r="A7528" s="7" t="s">
        <v>9077</v>
      </c>
      <c r="B7528" s="5" t="s">
        <v>17000</v>
      </c>
      <c r="C7528" s="5" t="s">
        <v>24591</v>
      </c>
      <c r="D7528" s="5" t="str">
        <v>281901530562</v>
      </c>
      <c r="E7528" s="0" t="e">
        <f>+7 (495) 6519252</f>
        <v>#NAME?</v>
      </c>
      <c r="F7528" s="5"/>
      <c r="G7528" s="5"/>
      <c r="H7528" s="26">
        <v>18.5</v>
      </c>
      <c r="I7528" s="5" t="s">
        <v>47145</v>
      </c>
      <c r="J7528" s="5" t="s">
        <v>533</v>
      </c>
      <c r="K7528" s="5" t="s">
        <v>344</v>
      </c>
      <c r="L7528" s="5" t="s">
        <v>47146</v>
      </c>
      <c r="M7528" s="27">
        <v>3808774</v>
      </c>
      <c r="N7528" s="5"/>
      <c r="O7528" s="5" t="str">
        <v>7724522491</v>
      </c>
      <c r="P7528" s="27">
        <v>665000000</v>
      </c>
      <c r="Q7528" s="5" t="s">
        <v>49059</v>
      </c>
      <c r="R7528" s="5"/>
      <c r="S7528" s="5" t="s">
        <v>49093</v>
      </c>
      <c r="T7528" s="28">
        <v>3641098000</v>
      </c>
      <c r="U7528" s="28"/>
      <c r="V7528" s="28">
        <v>3785842000</v>
      </c>
      <c r="W7528" s="28"/>
      <c r="X7528" s="28">
        <v>4261000</v>
      </c>
      <c r="Y7528" s="28">
        <v>8263735000</v>
      </c>
      <c r="Z7528" s="28">
        <v>28326000</v>
      </c>
      <c r="AA7528" s="28">
        <v>3669852000</v>
      </c>
      <c r="AB7528" s="28">
        <v>724000000</v>
      </c>
      <c r="AC7528" s="28">
        <v>3010098000</v>
      </c>
      <c r="AD7528" s="28">
        <v>693326000</v>
      </c>
      <c r="AE7528" s="28">
        <v>11203236000</v>
      </c>
      <c r="AF7528" s="28">
        <v>83423000</v>
      </c>
      <c r="AG7528" s="11"/>
    </row>
    <row r="7529">
      <c r="A7529" s="7" t="s">
        <v>9078</v>
      </c>
      <c r="B7529" s="5" t="s">
        <v>17001</v>
      </c>
      <c r="C7529" s="5" t="s">
        <v>24592</v>
      </c>
      <c r="D7529" s="5"/>
      <c r="E7529" s="0" t="e">
        <f>+7 (4232) 908868
+7 (47466) 34487
+7 (495) 7758000
+7 (495) 7758001
+7 (495) 7758008
+7 (495) 9370550
+7 (495) 9370555
+7 (49669) 32233
+7 (861) 2542024
+7 (8632) 180938
+7 (8632) 689536
+7 (86342) 62201
+7 (86342) 62203
+7 (86342) 62208</f>
        <v>#NAME?</v>
      </c>
      <c r="F7529" s="5" t="s">
        <v>47147</v>
      </c>
      <c r="G7529" s="5" t="s">
        <v>47148</v>
      </c>
      <c r="H7529" s="26">
        <v>25</v>
      </c>
      <c r="I7529" s="5" t="s">
        <v>47149</v>
      </c>
      <c r="J7529" s="5" t="s">
        <v>28793</v>
      </c>
      <c r="K7529" s="5" t="s">
        <v>344</v>
      </c>
      <c r="L7529" s="5" t="s">
        <v>47150</v>
      </c>
      <c r="M7529" s="27"/>
      <c r="N7529" s="5"/>
      <c r="O7529" s="5" t="str">
        <v>7705189397</v>
      </c>
      <c r="P7529" s="27">
        <v>11648542244</v>
      </c>
      <c r="Q7529" s="5" t="s">
        <v>49009</v>
      </c>
      <c r="R7529" s="5"/>
      <c r="S7529" s="5" t="s">
        <v>49066</v>
      </c>
      <c r="T7529" s="28">
        <v>8228146000</v>
      </c>
      <c r="U7529" s="28">
        <v>25427344000</v>
      </c>
      <c r="V7529" s="28">
        <v>1550387000</v>
      </c>
      <c r="W7529" s="28"/>
      <c r="X7529" s="28">
        <v>17689000</v>
      </c>
      <c r="Y7529" s="28">
        <v>37195681000</v>
      </c>
      <c r="Z7529" s="28">
        <v>23567848000</v>
      </c>
      <c r="AA7529" s="28">
        <v>468585000</v>
      </c>
      <c r="AB7529" s="28">
        <v>6537000</v>
      </c>
      <c r="AC7529" s="28">
        <v>1325972000</v>
      </c>
      <c r="AD7529" s="28">
        <v>35218326000</v>
      </c>
      <c r="AE7529" s="28">
        <v>5902813000</v>
      </c>
      <c r="AF7529" s="28">
        <v>270298000</v>
      </c>
      <c r="AG7529" s="11"/>
    </row>
    <row r="7530">
      <c r="A7530" s="7" t="s">
        <v>9079</v>
      </c>
      <c r="B7530" s="5" t="s">
        <v>17002</v>
      </c>
      <c r="C7530" s="5" t="s">
        <v>24593</v>
      </c>
      <c r="D7530" s="5" t="str">
        <v>525603696859</v>
      </c>
      <c r="E7530" s="0" t="e">
        <f>+7 (831) 2778312
+7 (831) 2778347
+7 (83161) 21212
+7 (83161) 21216</f>
        <v>#NAME?</v>
      </c>
      <c r="F7530" s="5" t="s">
        <v>47151</v>
      </c>
      <c r="G7530" s="5" t="s">
        <v>47152</v>
      </c>
      <c r="H7530" s="26">
        <v>18.5</v>
      </c>
      <c r="I7530" s="5" t="s">
        <v>47153</v>
      </c>
      <c r="J7530" s="5" t="s">
        <v>25366</v>
      </c>
      <c r="K7530" s="5" t="s">
        <v>344</v>
      </c>
      <c r="L7530" s="5" t="s">
        <v>47154</v>
      </c>
      <c r="M7530" s="27"/>
      <c r="N7530" s="5"/>
      <c r="O7530" s="5" t="str">
        <v>5260138465</v>
      </c>
      <c r="P7530" s="27">
        <v>283063000</v>
      </c>
      <c r="Q7530" s="5" t="s">
        <v>49009</v>
      </c>
      <c r="R7530" s="5"/>
      <c r="S7530" s="5" t="s">
        <v>49010</v>
      </c>
      <c r="T7530" s="28">
        <v>509983000</v>
      </c>
      <c r="U7530" s="28"/>
      <c r="V7530" s="28">
        <v>85432000</v>
      </c>
      <c r="W7530" s="28"/>
      <c r="X7530" s="28">
        <v>2478334000</v>
      </c>
      <c r="Y7530" s="28">
        <v>3512282000</v>
      </c>
      <c r="Z7530" s="28">
        <v>703905000</v>
      </c>
      <c r="AA7530" s="28"/>
      <c r="AB7530" s="28"/>
      <c r="AC7530" s="28">
        <v>1687071000</v>
      </c>
      <c r="AD7530" s="28">
        <v>1815129000</v>
      </c>
      <c r="AE7530" s="28">
        <v>4659205000</v>
      </c>
      <c r="AF7530" s="28">
        <v>1498668000</v>
      </c>
      <c r="AG7530" s="11"/>
    </row>
    <row r="7531">
      <c r="A7531" s="7" t="s">
        <v>9080</v>
      </c>
      <c r="B7531" s="5" t="s">
        <v>17003</v>
      </c>
      <c r="C7531" s="5" t="s">
        <v>24594</v>
      </c>
      <c r="D7531" s="5" t="str">
        <v>420504010788</v>
      </c>
      <c r="E7531" s="0" t="e">
        <f>+7 (495) 7972602</f>
        <v>#NAME?</v>
      </c>
      <c r="F7531" s="5" t="s">
        <v>47155</v>
      </c>
      <c r="G7531" s="5"/>
      <c r="H7531" s="26">
        <v>6.5</v>
      </c>
      <c r="I7531" s="5" t="s">
        <v>47156</v>
      </c>
      <c r="J7531" s="5" t="s">
        <v>29074</v>
      </c>
      <c r="K7531" s="5" t="s">
        <v>344</v>
      </c>
      <c r="L7531" s="5" t="s">
        <v>47157</v>
      </c>
      <c r="M7531" s="27"/>
      <c r="N7531" s="5"/>
      <c r="O7531" s="5" t="str">
        <v>9705068847</v>
      </c>
      <c r="P7531" s="27">
        <v>1682000000</v>
      </c>
      <c r="Q7531" s="5" t="s">
        <v>49009</v>
      </c>
      <c r="R7531" s="5"/>
      <c r="S7531" s="5" t="s">
        <v>49581</v>
      </c>
      <c r="T7531" s="28">
        <v>1255210000</v>
      </c>
      <c r="U7531" s="28"/>
      <c r="V7531" s="28">
        <v>474746000</v>
      </c>
      <c r="W7531" s="28"/>
      <c r="X7531" s="28">
        <v>3195799000</v>
      </c>
      <c r="Y7531" s="28">
        <v>6189119000</v>
      </c>
      <c r="Z7531" s="28">
        <v>2918737000</v>
      </c>
      <c r="AA7531" s="28"/>
      <c r="AB7531" s="28"/>
      <c r="AC7531" s="28">
        <v>1575978000</v>
      </c>
      <c r="AD7531" s="28">
        <v>4600793000</v>
      </c>
      <c r="AE7531" s="28">
        <v>10345732000</v>
      </c>
      <c r="AF7531" s="28">
        <v>2112342000</v>
      </c>
      <c r="AG7531" s="11"/>
    </row>
    <row r="7532">
      <c r="A7532" s="7" t="s">
        <v>9081</v>
      </c>
      <c r="B7532" s="5" t="s">
        <v>17004</v>
      </c>
      <c r="C7532" s="5" t="s">
        <v>24595</v>
      </c>
      <c r="D7532" s="5" t="str">
        <v>232000296300</v>
      </c>
      <c r="E7532" s="0" t="e">
        <f>+7 (918) 6112410
+7 (963) 1620376
+7 (966) 7790250
+7 (988) 4133122</f>
        <v>#NAME?</v>
      </c>
      <c r="F7532" s="5" t="s">
        <v>47158</v>
      </c>
      <c r="G7532" s="5"/>
      <c r="H7532" s="26">
        <v>8.5</v>
      </c>
      <c r="I7532" s="5" t="s">
        <v>47159</v>
      </c>
      <c r="J7532" s="5" t="s">
        <v>25938</v>
      </c>
      <c r="K7532" s="5" t="s">
        <v>344</v>
      </c>
      <c r="L7532" s="5"/>
      <c r="M7532" s="27">
        <v>5841457</v>
      </c>
      <c r="N7532" s="5"/>
      <c r="O7532" s="5" t="str">
        <v>2320226378</v>
      </c>
      <c r="P7532" s="27">
        <v>310000</v>
      </c>
      <c r="Q7532" s="5" t="s">
        <v>49059</v>
      </c>
      <c r="R7532" s="5"/>
      <c r="S7532" s="5" t="s">
        <v>49029</v>
      </c>
      <c r="T7532" s="28"/>
      <c r="U7532" s="28"/>
      <c r="V7532" s="28">
        <v>1030445000</v>
      </c>
      <c r="W7532" s="28">
        <v>23797000</v>
      </c>
      <c r="X7532" s="28">
        <v>73853000</v>
      </c>
      <c r="Y7532" s="28">
        <v>1241885000</v>
      </c>
      <c r="Z7532" s="28">
        <v>-41090000</v>
      </c>
      <c r="AA7532" s="28">
        <v>13000000</v>
      </c>
      <c r="AB7532" s="28">
        <v>10541000</v>
      </c>
      <c r="AC7532" s="28">
        <v>1269666000</v>
      </c>
      <c r="AD7532" s="28">
        <v>-40780000</v>
      </c>
      <c r="AE7532" s="28">
        <v>8751456000</v>
      </c>
      <c r="AF7532" s="28">
        <v>49748000</v>
      </c>
      <c r="AG7532" s="11"/>
    </row>
    <row r="7533">
      <c r="A7533" s="7" t="s">
        <v>9082</v>
      </c>
      <c r="B7533" s="5" t="s">
        <v>17005</v>
      </c>
      <c r="C7533" s="5" t="s">
        <v>24596</v>
      </c>
      <c r="D7533" s="5" t="str">
        <v>631803399252</v>
      </c>
      <c r="E7533" s="0" t="e">
        <f>+7 (495) 2218918
+7 (495) 7470114
+7 (495) 7473162
+7 (495) 7772991
+7 (49656) 35389
+7 (49656) 35577
+7 (49656) 35600
+7 (49656) 35872
+7 (49656) 35898</f>
        <v>#NAME?</v>
      </c>
      <c r="F7533" s="5" t="s">
        <v>47160</v>
      </c>
      <c r="G7533" s="5" t="s">
        <v>47161</v>
      </c>
      <c r="H7533" s="26">
        <v>16</v>
      </c>
      <c r="I7533" s="5" t="s">
        <v>47162</v>
      </c>
      <c r="J7533" s="5" t="s">
        <v>28950</v>
      </c>
      <c r="K7533" s="5" t="s">
        <v>344</v>
      </c>
      <c r="L7533" s="5" t="s">
        <v>47163</v>
      </c>
      <c r="M7533" s="27"/>
      <c r="N7533" s="5"/>
      <c r="O7533" s="5" t="str">
        <v>5050063580</v>
      </c>
      <c r="P7533" s="27">
        <v>196325336</v>
      </c>
      <c r="Q7533" s="5"/>
      <c r="R7533" s="5" t="s">
        <v>60575</v>
      </c>
      <c r="S7533" s="5" t="s">
        <v>49029</v>
      </c>
      <c r="T7533" s="28">
        <v>1726844000</v>
      </c>
      <c r="U7533" s="28"/>
      <c r="V7533" s="28">
        <v>326427000</v>
      </c>
      <c r="W7533" s="28"/>
      <c r="X7533" s="28">
        <v>8617000</v>
      </c>
      <c r="Y7533" s="28">
        <v>4029074000</v>
      </c>
      <c r="Z7533" s="28">
        <v>1150621000</v>
      </c>
      <c r="AA7533" s="28">
        <v>742649000</v>
      </c>
      <c r="AB7533" s="28">
        <v>446907000</v>
      </c>
      <c r="AC7533" s="28">
        <v>863968000</v>
      </c>
      <c r="AD7533" s="28">
        <v>2112289000</v>
      </c>
      <c r="AE7533" s="28">
        <v>4529332000</v>
      </c>
      <c r="AF7533" s="28">
        <v>208117000</v>
      </c>
      <c r="AG7533" s="11"/>
    </row>
    <row r="7534">
      <c r="A7534" s="7" t="s">
        <v>9083</v>
      </c>
      <c r="B7534" s="5" t="s">
        <v>17006</v>
      </c>
      <c r="C7534" s="5" t="s">
        <v>24597</v>
      </c>
      <c r="D7534" s="5" t="str">
        <v>027500745906</v>
      </c>
      <c r="E7534" s="0" t="e">
        <f>+7 (911) 8110349
+7 (812) 3340290
+7 (812) 3340293
+7 (812) 4954310</f>
        <v>#NAME?</v>
      </c>
      <c r="F7534" s="5" t="s">
        <v>47164</v>
      </c>
      <c r="G7534" s="5"/>
      <c r="H7534" s="26">
        <v>17</v>
      </c>
      <c r="I7534" s="5" t="s">
        <v>47165</v>
      </c>
      <c r="J7534" s="5" t="s">
        <v>33185</v>
      </c>
      <c r="K7534" s="5" t="s">
        <v>355</v>
      </c>
      <c r="L7534" s="5"/>
      <c r="M7534" s="27">
        <v>1685024</v>
      </c>
      <c r="N7534" s="5" t="s">
        <v>60576</v>
      </c>
      <c r="O7534" s="5" t="str">
        <v>7802355025</v>
      </c>
      <c r="P7534" s="27">
        <v>435000</v>
      </c>
      <c r="Q7534" s="5" t="s">
        <v>49822</v>
      </c>
      <c r="R7534" s="5"/>
      <c r="S7534" s="5" t="s">
        <v>60577</v>
      </c>
      <c r="T7534" s="28">
        <v>946826000</v>
      </c>
      <c r="U7534" s="28"/>
      <c r="V7534" s="28">
        <v>1223191000</v>
      </c>
      <c r="W7534" s="28">
        <v>3754000</v>
      </c>
      <c r="X7534" s="28">
        <v>1953000</v>
      </c>
      <c r="Y7534" s="28">
        <v>3008644000</v>
      </c>
      <c r="Z7534" s="28">
        <v>247309000</v>
      </c>
      <c r="AA7534" s="28">
        <v>45037000</v>
      </c>
      <c r="AB7534" s="28"/>
      <c r="AC7534" s="28">
        <v>1771671000</v>
      </c>
      <c r="AD7534" s="28">
        <v>247744000</v>
      </c>
      <c r="AE7534" s="28">
        <v>5099880000</v>
      </c>
      <c r="AF7534" s="28">
        <v>14279000</v>
      </c>
      <c r="AG7534" s="11"/>
    </row>
    <row r="7535">
      <c r="A7535" s="7" t="s">
        <v>9084</v>
      </c>
      <c r="B7535" s="5" t="s">
        <v>17007</v>
      </c>
      <c r="C7535" s="5" t="s">
        <v>24598</v>
      </c>
      <c r="D7535" s="5" t="str">
        <v>234505293858</v>
      </c>
      <c r="E7535" s="0" t="e">
        <f>+7 (985) 1521740</f>
        <v>#NAME?</v>
      </c>
      <c r="F7535" s="5" t="s">
        <v>47166</v>
      </c>
      <c r="G7535" s="5"/>
      <c r="H7535" s="26">
        <v>5</v>
      </c>
      <c r="I7535" s="5" t="s">
        <v>47167</v>
      </c>
      <c r="J7535" s="5" t="s">
        <v>27650</v>
      </c>
      <c r="K7535" s="5" t="s">
        <v>344</v>
      </c>
      <c r="L7535" s="5" t="s">
        <v>30542</v>
      </c>
      <c r="M7535" s="27"/>
      <c r="N7535" s="5"/>
      <c r="O7535" s="5" t="str">
        <v>5007103702</v>
      </c>
      <c r="P7535" s="27">
        <v>100000</v>
      </c>
      <c r="Q7535" s="5"/>
      <c r="R7535" s="5"/>
      <c r="S7535" s="5" t="s">
        <v>49029</v>
      </c>
      <c r="T7535" s="28">
        <v>30615000</v>
      </c>
      <c r="U7535" s="28"/>
      <c r="V7535" s="28">
        <v>340410000</v>
      </c>
      <c r="W7535" s="28"/>
      <c r="X7535" s="28">
        <v>28314000</v>
      </c>
      <c r="Y7535" s="28">
        <v>569177000</v>
      </c>
      <c r="Z7535" s="28">
        <v>54219000</v>
      </c>
      <c r="AA7535" s="28">
        <v>40849000</v>
      </c>
      <c r="AB7535" s="28"/>
      <c r="AC7535" s="28">
        <v>462605000</v>
      </c>
      <c r="AD7535" s="28">
        <v>54319000</v>
      </c>
      <c r="AE7535" s="28">
        <v>3429374000</v>
      </c>
      <c r="AF7535" s="28">
        <v>44353000</v>
      </c>
      <c r="AG7535" s="11"/>
    </row>
    <row r="7536">
      <c r="A7536" s="7" t="s">
        <v>9085</v>
      </c>
      <c r="B7536" s="5" t="s">
        <v>10461</v>
      </c>
      <c r="C7536" s="5" t="s">
        <v>18348</v>
      </c>
      <c r="D7536" s="5" t="str">
        <v>631200509843</v>
      </c>
      <c r="E7536" s="0" t="e">
        <f>+7 (84463) 45450
+7 (84635) 64052
+7 (927) 2608618</f>
        <v>#NAME?</v>
      </c>
      <c r="F7536" s="5" t="s">
        <v>47168</v>
      </c>
      <c r="G7536" s="5"/>
      <c r="H7536" s="26">
        <v>10.5</v>
      </c>
      <c r="I7536" s="5" t="s">
        <v>47169</v>
      </c>
      <c r="J7536" s="5" t="s">
        <v>28586</v>
      </c>
      <c r="K7536" s="5" t="s">
        <v>344</v>
      </c>
      <c r="L7536" s="5" t="s">
        <v>47170</v>
      </c>
      <c r="M7536" s="27"/>
      <c r="N7536" s="5" t="s">
        <v>60578</v>
      </c>
      <c r="O7536" s="5" t="str">
        <v>6319166442</v>
      </c>
      <c r="P7536" s="27">
        <v>100000</v>
      </c>
      <c r="Q7536" s="5" t="s">
        <v>49009</v>
      </c>
      <c r="R7536" s="5"/>
      <c r="S7536" s="5" t="s">
        <v>49256</v>
      </c>
      <c r="T7536" s="28">
        <v>67304000</v>
      </c>
      <c r="U7536" s="28"/>
      <c r="V7536" s="28">
        <v>1613629000</v>
      </c>
      <c r="W7536" s="28"/>
      <c r="X7536" s="28">
        <v>34152000</v>
      </c>
      <c r="Y7536" s="28">
        <v>3067463000</v>
      </c>
      <c r="Z7536" s="28">
        <v>211240000</v>
      </c>
      <c r="AA7536" s="28">
        <v>108000000</v>
      </c>
      <c r="AB7536" s="28">
        <v>769961000</v>
      </c>
      <c r="AC7536" s="28">
        <v>2655282000</v>
      </c>
      <c r="AD7536" s="28">
        <v>211340000</v>
      </c>
      <c r="AE7536" s="28">
        <v>13979524000</v>
      </c>
      <c r="AF7536" s="28">
        <v>66453000</v>
      </c>
      <c r="AG7536" s="11"/>
    </row>
    <row r="7537">
      <c r="A7537" s="7" t="s">
        <v>9086</v>
      </c>
      <c r="B7537" s="5" t="s">
        <v>17008</v>
      </c>
      <c r="C7537" s="5" t="s">
        <v>24599</v>
      </c>
      <c r="D7537" s="5" t="str">
        <v>402800305302</v>
      </c>
      <c r="E7537" s="0" t="e">
        <f>+7 (485) 2260427
+7 (485) 2260428
+7 (485) 2260430
+7 (485) 2407427
+7 (485) 2407430
+7 (495) 9610190
+7 (495) 9612741</f>
        <v>#NAME?</v>
      </c>
      <c r="F7537" s="5" t="s">
        <v>47171</v>
      </c>
      <c r="G7537" s="5" t="s">
        <v>47172</v>
      </c>
      <c r="H7537" s="26">
        <v>29</v>
      </c>
      <c r="I7537" s="5" t="s">
        <v>47173</v>
      </c>
      <c r="J7537" s="5" t="s">
        <v>373</v>
      </c>
      <c r="K7537" s="5" t="s">
        <v>344</v>
      </c>
      <c r="L7537" s="5" t="s">
        <v>47174</v>
      </c>
      <c r="M7537" s="27">
        <v>14842</v>
      </c>
      <c r="N7537" s="5" t="s">
        <v>60579</v>
      </c>
      <c r="O7537" s="5" t="str">
        <v>7611001307</v>
      </c>
      <c r="P7537" s="27">
        <v>2910000</v>
      </c>
      <c r="Q7537" s="5" t="s">
        <v>49009</v>
      </c>
      <c r="R7537" s="5"/>
      <c r="S7537" s="5" t="s">
        <v>49956</v>
      </c>
      <c r="T7537" s="28">
        <v>1638833000</v>
      </c>
      <c r="U7537" s="28"/>
      <c r="V7537" s="28">
        <v>622453000</v>
      </c>
      <c r="W7537" s="28"/>
      <c r="X7537" s="28">
        <v>118589000</v>
      </c>
      <c r="Y7537" s="28">
        <v>4609639000</v>
      </c>
      <c r="Z7537" s="28">
        <v>1718629000</v>
      </c>
      <c r="AA7537" s="28"/>
      <c r="AB7537" s="28">
        <v>1946737000</v>
      </c>
      <c r="AC7537" s="28">
        <v>2492469000</v>
      </c>
      <c r="AD7537" s="28">
        <v>2051567000</v>
      </c>
      <c r="AE7537" s="28">
        <v>5834132000</v>
      </c>
      <c r="AF7537" s="28">
        <v>536968000</v>
      </c>
      <c r="AG7537" s="11"/>
    </row>
    <row r="7538">
      <c r="A7538" s="7" t="s">
        <v>9087</v>
      </c>
      <c r="B7538" s="5" t="s">
        <v>17009</v>
      </c>
      <c r="C7538" s="5" t="s">
        <v>24600</v>
      </c>
      <c r="D7538" s="5" t="str">
        <v>182104042267</v>
      </c>
      <c r="E7538" s="0" t="e">
        <f>+7 (34130) 45662
+7 (34130) 45757
+7 (3412) 570784</f>
        <v>#NAME?</v>
      </c>
      <c r="F7538" s="5" t="s">
        <v>47175</v>
      </c>
      <c r="G7538" s="5" t="s">
        <v>47176</v>
      </c>
      <c r="H7538" s="26">
        <v>17.5</v>
      </c>
      <c r="I7538" s="5" t="s">
        <v>47177</v>
      </c>
      <c r="J7538" s="5" t="s">
        <v>36462</v>
      </c>
      <c r="K7538" s="5" t="s">
        <v>344</v>
      </c>
      <c r="L7538" s="5" t="s">
        <v>47178</v>
      </c>
      <c r="M7538" s="27"/>
      <c r="N7538" s="5" t="s">
        <v>53159</v>
      </c>
      <c r="O7538" s="5" t="str">
        <v>1821005963</v>
      </c>
      <c r="P7538" s="27">
        <v>243774592</v>
      </c>
      <c r="Q7538" s="5" t="s">
        <v>60580</v>
      </c>
      <c r="R7538" s="5"/>
      <c r="S7538" s="5" t="s">
        <v>60581</v>
      </c>
      <c r="T7538" s="28">
        <v>644889000</v>
      </c>
      <c r="U7538" s="28"/>
      <c r="V7538" s="28">
        <v>318572000</v>
      </c>
      <c r="W7538" s="28"/>
      <c r="X7538" s="28">
        <v>59824000</v>
      </c>
      <c r="Y7538" s="28">
        <v>1603667000</v>
      </c>
      <c r="Z7538" s="28">
        <v>1078698000</v>
      </c>
      <c r="AA7538" s="28"/>
      <c r="AB7538" s="28"/>
      <c r="AC7538" s="28">
        <v>129589000</v>
      </c>
      <c r="AD7538" s="28">
        <v>1359063000</v>
      </c>
      <c r="AE7538" s="28">
        <v>3649238000</v>
      </c>
      <c r="AF7538" s="28">
        <v>156363000</v>
      </c>
      <c r="AG7538" s="11"/>
    </row>
    <row r="7539">
      <c r="A7539" s="7" t="s">
        <v>9088</v>
      </c>
      <c r="B7539" s="5" t="s">
        <v>17010</v>
      </c>
      <c r="C7539" s="5" t="s">
        <v>17917</v>
      </c>
      <c r="D7539" s="5" t="str">
        <v>392000049460</v>
      </c>
      <c r="E7539" s="0" t="e">
        <f>+7 (401) 2355424
+7 (906) 2378331
+7 (960) 5441707
+7 (962) 2623717
+7 (40143) 33580
+7 (40143) 77711
+7 (905) 2442590</f>
        <v>#NAME?</v>
      </c>
      <c r="F7539" s="5" t="s">
        <v>47179</v>
      </c>
      <c r="G7539" s="5"/>
      <c r="H7539" s="26">
        <v>15.5</v>
      </c>
      <c r="I7539" s="5" t="s">
        <v>47180</v>
      </c>
      <c r="J7539" s="5" t="s">
        <v>25895</v>
      </c>
      <c r="K7539" s="5" t="s">
        <v>344</v>
      </c>
      <c r="L7539" s="5" t="s">
        <v>47181</v>
      </c>
      <c r="M7539" s="27"/>
      <c r="N7539" s="5" t="s">
        <v>60582</v>
      </c>
      <c r="O7539" s="5" t="str">
        <v>3902068620</v>
      </c>
      <c r="P7539" s="27">
        <v>11000</v>
      </c>
      <c r="Q7539" s="5" t="s">
        <v>49009</v>
      </c>
      <c r="R7539" s="5"/>
      <c r="S7539" s="5" t="s">
        <v>49200</v>
      </c>
      <c r="T7539" s="28">
        <v>2282203000</v>
      </c>
      <c r="U7539" s="28">
        <v>210569000</v>
      </c>
      <c r="V7539" s="28">
        <v>2770668000</v>
      </c>
      <c r="W7539" s="28">
        <v>117791000</v>
      </c>
      <c r="X7539" s="28">
        <v>766202000</v>
      </c>
      <c r="Y7539" s="28">
        <v>7734129000</v>
      </c>
      <c r="Z7539" s="28">
        <v>4877258000</v>
      </c>
      <c r="AA7539" s="28">
        <v>1034080000</v>
      </c>
      <c r="AB7539" s="28">
        <v>1018006000</v>
      </c>
      <c r="AC7539" s="28">
        <v>1818864000</v>
      </c>
      <c r="AD7539" s="28">
        <v>4877269000</v>
      </c>
      <c r="AE7539" s="28">
        <v>3695791000</v>
      </c>
      <c r="AF7539" s="28">
        <v>1230270000</v>
      </c>
      <c r="AG7539" s="11"/>
    </row>
    <row r="7540">
      <c r="A7540" s="7" t="s">
        <v>9089</v>
      </c>
      <c r="B7540" s="5" t="s">
        <v>15956</v>
      </c>
      <c r="C7540" s="5" t="s">
        <v>23345</v>
      </c>
      <c r="D7540" s="5" t="str">
        <v>230831195346</v>
      </c>
      <c r="E7540" s="0" t="e">
        <f>+7 (861) 2108980
+7 (861) 2108990
+7 (861) 2980720
+7 (861) 9445959
+7 (928) 4168171
+7 (953) 843384
+7 (961) 5257897
+7 (962) 8649993</f>
        <v>#NAME?</v>
      </c>
      <c r="F7540" s="5"/>
      <c r="G7540" s="5" t="s">
        <v>47182</v>
      </c>
      <c r="H7540" s="26">
        <v>15</v>
      </c>
      <c r="I7540" s="5" t="s">
        <v>47183</v>
      </c>
      <c r="J7540" s="5" t="s">
        <v>47184</v>
      </c>
      <c r="K7540" s="5" t="s">
        <v>355</v>
      </c>
      <c r="L7540" s="5"/>
      <c r="M7540" s="27">
        <v>917600</v>
      </c>
      <c r="N7540" s="5" t="s">
        <v>60583</v>
      </c>
      <c r="O7540" s="5" t="str">
        <v>2310981325</v>
      </c>
      <c r="P7540" s="27">
        <v>15000</v>
      </c>
      <c r="Q7540" s="5"/>
      <c r="R7540" s="5"/>
      <c r="S7540" s="5" t="s">
        <v>49110</v>
      </c>
      <c r="T7540" s="28">
        <v>445819000</v>
      </c>
      <c r="U7540" s="28"/>
      <c r="V7540" s="28">
        <v>1448927000</v>
      </c>
      <c r="W7540" s="28">
        <v>5498706000</v>
      </c>
      <c r="X7540" s="28">
        <v>3431495000</v>
      </c>
      <c r="Y7540" s="28">
        <v>12178479000</v>
      </c>
      <c r="Z7540" s="28">
        <v>-9031031000</v>
      </c>
      <c r="AA7540" s="28"/>
      <c r="AB7540" s="28"/>
      <c r="AC7540" s="28">
        <v>10285379000</v>
      </c>
      <c r="AD7540" s="28">
        <v>1437567000</v>
      </c>
      <c r="AE7540" s="28">
        <v>3180351000</v>
      </c>
      <c r="AF7540" s="28">
        <v>-4809252000</v>
      </c>
      <c r="AG7540" s="11"/>
    </row>
    <row r="7541">
      <c r="A7541" s="7" t="s">
        <v>9090</v>
      </c>
      <c r="B7541" s="5" t="s">
        <v>17011</v>
      </c>
      <c r="C7541" s="5" t="s">
        <v>24601</v>
      </c>
      <c r="D7541" s="5" t="str">
        <v>402918453584</v>
      </c>
      <c r="E7541" s="0" t="e">
        <f>+7 (484) 2909629
+7 (484) 2790335
+7 (484) 2909610
+7 (484) 2909612
+7 (484) 2909613
+7 (484) 2909620
+7 (484) 2909648
+7 (484) 2909652
+7 (915) 8902205
+7 (930) 7522086</f>
        <v>#NAME?</v>
      </c>
      <c r="F7541" s="5" t="s">
        <v>47185</v>
      </c>
      <c r="G7541" s="5"/>
      <c r="H7541" s="26">
        <v>13</v>
      </c>
      <c r="I7541" s="5" t="s">
        <v>47186</v>
      </c>
      <c r="J7541" s="5" t="s">
        <v>31114</v>
      </c>
      <c r="K7541" s="5" t="s">
        <v>344</v>
      </c>
      <c r="L7541" s="5" t="s">
        <v>47187</v>
      </c>
      <c r="M7541" s="27">
        <v>604554</v>
      </c>
      <c r="N7541" s="5"/>
      <c r="O7541" s="5" t="str">
        <v>4028047687</v>
      </c>
      <c r="P7541" s="27">
        <v>5332574197</v>
      </c>
      <c r="Q7541" s="5"/>
      <c r="R7541" s="5"/>
      <c r="S7541" s="5" t="s">
        <v>49029</v>
      </c>
      <c r="T7541" s="28">
        <v>2723686000</v>
      </c>
      <c r="U7541" s="28">
        <v>250000</v>
      </c>
      <c r="V7541" s="28">
        <v>305930000</v>
      </c>
      <c r="W7541" s="28"/>
      <c r="X7541" s="28">
        <v>558637000</v>
      </c>
      <c r="Y7541" s="28">
        <v>4797307000</v>
      </c>
      <c r="Z7541" s="28">
        <v>-4062381000</v>
      </c>
      <c r="AA7541" s="28">
        <v>2980664000</v>
      </c>
      <c r="AB7541" s="28"/>
      <c r="AC7541" s="28">
        <v>461373000</v>
      </c>
      <c r="AD7541" s="28">
        <v>1255892000</v>
      </c>
      <c r="AE7541" s="28">
        <v>4132633000</v>
      </c>
      <c r="AF7541" s="28">
        <v>414885000</v>
      </c>
      <c r="AG7541" s="11"/>
    </row>
    <row r="7542">
      <c r="A7542" s="7" t="s">
        <v>9091</v>
      </c>
      <c r="B7542" s="5" t="s">
        <v>17012</v>
      </c>
      <c r="C7542" s="5" t="s">
        <v>24602</v>
      </c>
      <c r="D7542" s="5" t="str">
        <v>503201665903</v>
      </c>
      <c r="E7542" s="0" t="e">
        <f>+7 (903) 1515459
+7 (903) 7268693
+7 (910) 5515118
+7 (985) 7629984</f>
        <v>#NAME?</v>
      </c>
      <c r="F7542" s="5"/>
      <c r="G7542" s="5"/>
      <c r="H7542" s="26">
        <v>7.5</v>
      </c>
      <c r="I7542" s="5" t="s">
        <v>47188</v>
      </c>
      <c r="J7542" s="5" t="s">
        <v>27695</v>
      </c>
      <c r="K7542" s="5" t="s">
        <v>344</v>
      </c>
      <c r="L7542" s="5" t="s">
        <v>47189</v>
      </c>
      <c r="M7542" s="27">
        <v>12658550</v>
      </c>
      <c r="N7542" s="5"/>
      <c r="O7542" s="5" t="str">
        <v>7123006005</v>
      </c>
      <c r="P7542" s="27">
        <v>10000</v>
      </c>
      <c r="Q7542" s="5" t="s">
        <v>49009</v>
      </c>
      <c r="R7542" s="5" t="s">
        <v>60584</v>
      </c>
      <c r="S7542" s="5" t="s">
        <v>49408</v>
      </c>
      <c r="T7542" s="28">
        <v>1107627000</v>
      </c>
      <c r="U7542" s="28">
        <v>45492000</v>
      </c>
      <c r="V7542" s="28">
        <v>888472000</v>
      </c>
      <c r="W7542" s="28">
        <v>490605000</v>
      </c>
      <c r="X7542" s="28">
        <v>23036000</v>
      </c>
      <c r="Y7542" s="28">
        <v>2732986000</v>
      </c>
      <c r="Z7542" s="28">
        <v>1732121000</v>
      </c>
      <c r="AA7542" s="28">
        <v>367937000</v>
      </c>
      <c r="AB7542" s="28">
        <v>250697000</v>
      </c>
      <c r="AC7542" s="28">
        <v>585893000</v>
      </c>
      <c r="AD7542" s="28">
        <v>1732131000</v>
      </c>
      <c r="AE7542" s="28">
        <v>3283229000</v>
      </c>
      <c r="AF7542" s="28">
        <v>1207316000</v>
      </c>
      <c r="AG7542" s="11"/>
    </row>
    <row r="7543">
      <c r="A7543" s="7" t="s">
        <v>9092</v>
      </c>
      <c r="B7543" s="5" t="s">
        <v>17013</v>
      </c>
      <c r="C7543" s="5" t="s">
        <v>24603</v>
      </c>
      <c r="D7543" s="5" t="str">
        <v>503603494165</v>
      </c>
      <c r="E7543" s="0" t="e">
        <f>+7 (495) 9844250</f>
        <v>#NAME?</v>
      </c>
      <c r="F7543" s="5"/>
      <c r="G7543" s="5" t="s">
        <v>47190</v>
      </c>
      <c r="H7543" s="26">
        <v>7.5</v>
      </c>
      <c r="I7543" s="5" t="s">
        <v>47191</v>
      </c>
      <c r="J7543" s="5" t="s">
        <v>373</v>
      </c>
      <c r="K7543" s="5" t="s">
        <v>344</v>
      </c>
      <c r="L7543" s="5" t="s">
        <v>47192</v>
      </c>
      <c r="M7543" s="27"/>
      <c r="N7543" s="5" t="s">
        <v>52188</v>
      </c>
      <c r="O7543" s="5" t="str">
        <v>7716804380</v>
      </c>
      <c r="P7543" s="27">
        <v>1010000</v>
      </c>
      <c r="Q7543" s="5" t="s">
        <v>49057</v>
      </c>
      <c r="R7543" s="5"/>
      <c r="S7543" s="5" t="s">
        <v>60585</v>
      </c>
      <c r="T7543" s="28">
        <v>283702000</v>
      </c>
      <c r="U7543" s="28"/>
      <c r="V7543" s="28">
        <v>4990953000</v>
      </c>
      <c r="W7543" s="28"/>
      <c r="X7543" s="28">
        <v>33645000</v>
      </c>
      <c r="Y7543" s="28">
        <v>5596882000</v>
      </c>
      <c r="Z7543" s="28">
        <v>1299004000</v>
      </c>
      <c r="AA7543" s="28">
        <v>481075000</v>
      </c>
      <c r="AB7543" s="28">
        <v>233791000</v>
      </c>
      <c r="AC7543" s="28">
        <v>3814606000</v>
      </c>
      <c r="AD7543" s="28">
        <v>1300014000</v>
      </c>
      <c r="AE7543" s="28">
        <v>78705733000</v>
      </c>
      <c r="AF7543" s="28">
        <v>564795000</v>
      </c>
      <c r="AG7543" s="11"/>
    </row>
    <row r="7544">
      <c r="A7544" s="7" t="s">
        <v>9093</v>
      </c>
      <c r="B7544" s="5" t="s">
        <v>17014</v>
      </c>
      <c r="C7544" s="5" t="s">
        <v>24604</v>
      </c>
      <c r="D7544" s="5" t="str">
        <v>263404826514</v>
      </c>
      <c r="E7544" s="0" t="e">
        <f>+7 (800) 7707726
+7 (961) 4890301
+7 (8652) 316506
+7 (8652) 316507
+7 (8652) 316512
+7 (8652) 316538
+7 (961) 4891234
+7 (962) 4513051</f>
        <v>#NAME?</v>
      </c>
      <c r="F7544" s="5" t="s">
        <v>47193</v>
      </c>
      <c r="G7544" s="5" t="s">
        <v>47194</v>
      </c>
      <c r="H7544" s="26">
        <v>10.5</v>
      </c>
      <c r="I7544" s="5" t="s">
        <v>47195</v>
      </c>
      <c r="J7544" s="5" t="s">
        <v>25262</v>
      </c>
      <c r="K7544" s="5" t="s">
        <v>344</v>
      </c>
      <c r="L7544" s="5"/>
      <c r="M7544" s="27">
        <v>29839914</v>
      </c>
      <c r="N7544" s="5" t="s">
        <v>60586</v>
      </c>
      <c r="O7544" s="5" t="str">
        <v>2634807221</v>
      </c>
      <c r="P7544" s="27">
        <v>70000000</v>
      </c>
      <c r="Q7544" s="5" t="s">
        <v>49009</v>
      </c>
      <c r="R7544" s="5"/>
      <c r="S7544" s="5" t="s">
        <v>49361</v>
      </c>
      <c r="T7544" s="28">
        <v>73713000</v>
      </c>
      <c r="U7544" s="28">
        <v>5000000</v>
      </c>
      <c r="V7544" s="28">
        <v>2435477000</v>
      </c>
      <c r="W7544" s="28">
        <v>41484000</v>
      </c>
      <c r="X7544" s="28">
        <v>1272300000</v>
      </c>
      <c r="Y7544" s="28">
        <v>7447002000</v>
      </c>
      <c r="Z7544" s="28">
        <v>1430708000</v>
      </c>
      <c r="AA7544" s="28">
        <v>500000000</v>
      </c>
      <c r="AB7544" s="28">
        <v>1352651000</v>
      </c>
      <c r="AC7544" s="28">
        <v>5317908000</v>
      </c>
      <c r="AD7544" s="28">
        <v>1500708000</v>
      </c>
      <c r="AE7544" s="28">
        <v>10842064000</v>
      </c>
      <c r="AF7544" s="28">
        <v>404845000</v>
      </c>
      <c r="AG7544" s="11"/>
    </row>
    <row r="7545">
      <c r="A7545" s="7" t="s">
        <v>9094</v>
      </c>
      <c r="B7545" s="5" t="s">
        <v>17015</v>
      </c>
      <c r="C7545" s="5" t="s">
        <v>24605</v>
      </c>
      <c r="D7545" s="5" t="str">
        <v>270903122151</v>
      </c>
      <c r="E7545" s="0" t="e">
        <f>+7 (421) 2315417
+7 (421) 2273211
+7 (421) 2273413
+7 (421) 2273418
+7 (421) 2273433
+7 (421) 2273533
+7 (421) 2913211</f>
        <v>#NAME?</v>
      </c>
      <c r="F7545" s="5" t="s">
        <v>47196</v>
      </c>
      <c r="G7545" s="5" t="s">
        <v>47197</v>
      </c>
      <c r="H7545" s="26">
        <v>23</v>
      </c>
      <c r="I7545" s="5" t="s">
        <v>47198</v>
      </c>
      <c r="J7545" s="5" t="s">
        <v>373</v>
      </c>
      <c r="K7545" s="5" t="s">
        <v>344</v>
      </c>
      <c r="L7545" s="5" t="s">
        <v>47199</v>
      </c>
      <c r="M7545" s="27"/>
      <c r="N7545" s="5" t="s">
        <v>60587</v>
      </c>
      <c r="O7545" s="5" t="str">
        <v>2721077660</v>
      </c>
      <c r="P7545" s="27">
        <v>142500000</v>
      </c>
      <c r="Q7545" s="5" t="s">
        <v>60588</v>
      </c>
      <c r="R7545" s="5"/>
      <c r="S7545" s="5" t="s">
        <v>60589</v>
      </c>
      <c r="T7545" s="28">
        <v>5590000</v>
      </c>
      <c r="U7545" s="28"/>
      <c r="V7545" s="28">
        <v>3844154000</v>
      </c>
      <c r="W7545" s="28"/>
      <c r="X7545" s="28">
        <v>41768000</v>
      </c>
      <c r="Y7545" s="28">
        <v>5826504000</v>
      </c>
      <c r="Z7545" s="28">
        <v>2936189000</v>
      </c>
      <c r="AA7545" s="28"/>
      <c r="AB7545" s="28">
        <v>1156127000</v>
      </c>
      <c r="AC7545" s="28">
        <v>2747356000</v>
      </c>
      <c r="AD7545" s="28">
        <v>3078689000</v>
      </c>
      <c r="AE7545" s="28">
        <v>32548777000</v>
      </c>
      <c r="AF7545" s="28">
        <v>1504371000</v>
      </c>
      <c r="AG7545" s="11"/>
    </row>
    <row r="7546">
      <c r="A7546" s="7" t="s">
        <v>9095</v>
      </c>
      <c r="B7546" s="5" t="s">
        <v>17016</v>
      </c>
      <c r="C7546" s="5" t="s">
        <v>24606</v>
      </c>
      <c r="D7546" s="5" t="str">
        <v>711618586145</v>
      </c>
      <c r="E7546" s="0" t="e">
        <f>+7 (487) 2716068
+7 (48731) 50506
+7 (48731) 50510</f>
        <v>#NAME?</v>
      </c>
      <c r="F7546" s="5" t="s">
        <v>47200</v>
      </c>
      <c r="G7546" s="5" t="s">
        <v>47201</v>
      </c>
      <c r="H7546" s="26">
        <v>8.5</v>
      </c>
      <c r="I7546" s="5" t="s">
        <v>47202</v>
      </c>
      <c r="J7546" s="5" t="s">
        <v>25571</v>
      </c>
      <c r="K7546" s="5" t="s">
        <v>344</v>
      </c>
      <c r="L7546" s="5"/>
      <c r="M7546" s="27"/>
      <c r="N7546" s="5" t="s">
        <v>50648</v>
      </c>
      <c r="O7546" s="5" t="str">
        <v>7104525439</v>
      </c>
      <c r="P7546" s="27">
        <v>20381868932</v>
      </c>
      <c r="Q7546" s="5" t="s">
        <v>49009</v>
      </c>
      <c r="R7546" s="5"/>
      <c r="S7546" s="5" t="s">
        <v>49028</v>
      </c>
      <c r="T7546" s="28">
        <v>22881176000</v>
      </c>
      <c r="U7546" s="28"/>
      <c r="V7546" s="28">
        <v>4221160000</v>
      </c>
      <c r="W7546" s="28"/>
      <c r="X7546" s="28">
        <v>15813067000</v>
      </c>
      <c r="Y7546" s="28">
        <v>61928521000</v>
      </c>
      <c r="Z7546" s="28">
        <v>13628391000</v>
      </c>
      <c r="AA7546" s="28">
        <v>5891327000</v>
      </c>
      <c r="AB7546" s="28">
        <v>14751929000</v>
      </c>
      <c r="AC7546" s="28">
        <v>21609242000</v>
      </c>
      <c r="AD7546" s="28">
        <v>34439720000</v>
      </c>
      <c r="AE7546" s="28">
        <v>74517781000</v>
      </c>
      <c r="AF7546" s="28">
        <v>27742019000</v>
      </c>
      <c r="AG7546" s="11"/>
    </row>
    <row r="7547">
      <c r="A7547" s="7" t="s">
        <v>9096</v>
      </c>
      <c r="B7547" s="5" t="s">
        <v>17017</v>
      </c>
      <c r="C7547" s="5" t="s">
        <v>24607</v>
      </c>
      <c r="D7547" s="5" t="str">
        <v>972708091520</v>
      </c>
      <c r="E7547" s="0" t="e">
        <f>+7 (495) 2680272
+7 (499) 2722227
+7 (905) 5980655
+7 (915) 3336622
+7 (926) 8621909</f>
        <v>#NAME?</v>
      </c>
      <c r="F7547" s="5"/>
      <c r="G7547" s="5" t="s">
        <v>47203</v>
      </c>
      <c r="H7547" s="26">
        <v>9</v>
      </c>
      <c r="I7547" s="5" t="s">
        <v>47204</v>
      </c>
      <c r="J7547" s="5" t="s">
        <v>397</v>
      </c>
      <c r="K7547" s="5" t="s">
        <v>344</v>
      </c>
      <c r="L7547" s="5"/>
      <c r="M7547" s="27"/>
      <c r="N7547" s="5"/>
      <c r="O7547" s="5" t="str">
        <v>7729763331</v>
      </c>
      <c r="P7547" s="27">
        <v>1890800000</v>
      </c>
      <c r="Q7547" s="5" t="s">
        <v>49009</v>
      </c>
      <c r="R7547" s="5"/>
      <c r="S7547" s="5" t="s">
        <v>49066</v>
      </c>
      <c r="T7547" s="28">
        <v>159810000</v>
      </c>
      <c r="U7547" s="28"/>
      <c r="V7547" s="28">
        <v>3574293000</v>
      </c>
      <c r="W7547" s="28"/>
      <c r="X7547" s="28">
        <v>1194239000</v>
      </c>
      <c r="Y7547" s="28">
        <v>8171405000</v>
      </c>
      <c r="Z7547" s="28">
        <v>-3257513000</v>
      </c>
      <c r="AA7547" s="28"/>
      <c r="AB7547" s="28"/>
      <c r="AC7547" s="28">
        <v>9303012000</v>
      </c>
      <c r="AD7547" s="28">
        <v>-1258119000</v>
      </c>
      <c r="AE7547" s="28">
        <v>82840934000</v>
      </c>
      <c r="AF7547" s="28">
        <v>517177000</v>
      </c>
      <c r="AG7547" s="11"/>
    </row>
    <row r="7548">
      <c r="A7548" s="7" t="s">
        <v>9097</v>
      </c>
      <c r="B7548" s="5" t="s">
        <v>17018</v>
      </c>
      <c r="C7548" s="5" t="s">
        <v>24608</v>
      </c>
      <c r="D7548" s="5" t="str">
        <v>770501461542</v>
      </c>
      <c r="E7548" s="0" t="e">
        <f>+7 (495) 5266050
+7 (495) 5266079
+7 (495) 5266161
+7 (495) 5266174
+7 (495) 9252096
+7 (495) 9252303
+7 (499) 7446607
+7 (903) 1308601</f>
        <v>#NAME?</v>
      </c>
      <c r="F7548" s="5" t="s">
        <v>47205</v>
      </c>
      <c r="G7548" s="5" t="s">
        <v>47206</v>
      </c>
      <c r="H7548" s="26">
        <v>22.5</v>
      </c>
      <c r="I7548" s="5" t="s">
        <v>47207</v>
      </c>
      <c r="J7548" s="5" t="s">
        <v>29848</v>
      </c>
      <c r="K7548" s="5" t="s">
        <v>344</v>
      </c>
      <c r="L7548" s="5" t="s">
        <v>47208</v>
      </c>
      <c r="M7548" s="27"/>
      <c r="N7548" s="5" t="s">
        <v>60590</v>
      </c>
      <c r="O7548" s="5" t="str">
        <v>7706219750</v>
      </c>
      <c r="P7548" s="27">
        <v>5167890579</v>
      </c>
      <c r="Q7548" s="5" t="s">
        <v>49009</v>
      </c>
      <c r="R7548" s="5"/>
      <c r="S7548" s="5" t="s">
        <v>49093</v>
      </c>
      <c r="T7548" s="28">
        <v>10099282000</v>
      </c>
      <c r="U7548" s="28">
        <v>8942628000</v>
      </c>
      <c r="V7548" s="28">
        <v>971860000</v>
      </c>
      <c r="W7548" s="28">
        <v>725697000</v>
      </c>
      <c r="X7548" s="28">
        <v>729829000</v>
      </c>
      <c r="Y7548" s="28">
        <v>22126270000</v>
      </c>
      <c r="Z7548" s="28">
        <v>11470113000</v>
      </c>
      <c r="AA7548" s="28">
        <v>233534000</v>
      </c>
      <c r="AB7548" s="28">
        <v>958283000</v>
      </c>
      <c r="AC7548" s="28">
        <v>3039732000</v>
      </c>
      <c r="AD7548" s="28">
        <v>18854596000</v>
      </c>
      <c r="AE7548" s="28">
        <v>10339253000</v>
      </c>
      <c r="AF7548" s="28">
        <v>667330000</v>
      </c>
      <c r="AG7548" s="11"/>
    </row>
    <row r="7549">
      <c r="A7549" s="7" t="s">
        <v>9098</v>
      </c>
      <c r="B7549" s="5" t="s">
        <v>17019</v>
      </c>
      <c r="C7549" s="5" t="s">
        <v>24609</v>
      </c>
      <c r="D7549" s="5" t="str">
        <v>770479895887</v>
      </c>
      <c r="E7549" s="0" t="e">
        <f>+7 (987) 2705026</f>
        <v>#NAME?</v>
      </c>
      <c r="F7549" s="5" t="s">
        <v>47209</v>
      </c>
      <c r="G7549" s="5"/>
      <c r="H7549" s="26">
        <v>4.5</v>
      </c>
      <c r="I7549" s="5" t="s">
        <v>47210</v>
      </c>
      <c r="J7549" s="5" t="s">
        <v>26243</v>
      </c>
      <c r="K7549" s="5" t="s">
        <v>344</v>
      </c>
      <c r="L7549" s="5"/>
      <c r="M7549" s="27"/>
      <c r="N7549" s="5"/>
      <c r="O7549" s="5" t="str">
        <v>1650371043</v>
      </c>
      <c r="P7549" s="27">
        <v>2114114788</v>
      </c>
      <c r="Q7549" s="5" t="s">
        <v>49009</v>
      </c>
      <c r="R7549" s="5" t="s">
        <v>60593</v>
      </c>
      <c r="S7549" s="5" t="s">
        <v>50023</v>
      </c>
      <c r="T7549" s="28">
        <v>13134182000</v>
      </c>
      <c r="U7549" s="28"/>
      <c r="V7549" s="28">
        <v>11555215000</v>
      </c>
      <c r="W7549" s="28"/>
      <c r="X7549" s="28">
        <v>2462831000</v>
      </c>
      <c r="Y7549" s="28">
        <v>30912649000</v>
      </c>
      <c r="Z7549" s="28">
        <v>8124558000</v>
      </c>
      <c r="AA7549" s="28">
        <v>250000000</v>
      </c>
      <c r="AB7549" s="28">
        <v>2666997000</v>
      </c>
      <c r="AC7549" s="28">
        <v>5648210000</v>
      </c>
      <c r="AD7549" s="28">
        <v>24726252000</v>
      </c>
      <c r="AE7549" s="28">
        <v>25232844000</v>
      </c>
      <c r="AF7549" s="28">
        <v>1136085000</v>
      </c>
      <c r="AG7549" s="11"/>
    </row>
    <row r="7550">
      <c r="A7550" s="7" t="s">
        <v>9099</v>
      </c>
      <c r="B7550" s="5" t="s">
        <v>17020</v>
      </c>
      <c r="C7550" s="5" t="s">
        <v>24610</v>
      </c>
      <c r="D7550" s="5" t="str">
        <v>281700880567</v>
      </c>
      <c r="E7550" s="0" t="e">
        <f>+7 (495) 2695960
+7 (902) 5297311</f>
        <v>#NAME?</v>
      </c>
      <c r="F7550" s="5" t="s">
        <v>47211</v>
      </c>
      <c r="G7550" s="5" t="s">
        <v>47212</v>
      </c>
      <c r="H7550" s="26">
        <v>6.5</v>
      </c>
      <c r="I7550" s="5" t="s">
        <v>47213</v>
      </c>
      <c r="J7550" s="5" t="s">
        <v>25216</v>
      </c>
      <c r="K7550" s="5" t="s">
        <v>344</v>
      </c>
      <c r="L7550" s="5" t="s">
        <v>47214</v>
      </c>
      <c r="M7550" s="27"/>
      <c r="N7550" s="5"/>
      <c r="O7550" s="5" t="str">
        <v>7719447979</v>
      </c>
      <c r="P7550" s="27">
        <v>50000</v>
      </c>
      <c r="Q7550" s="5" t="s">
        <v>49009</v>
      </c>
      <c r="R7550" s="5"/>
      <c r="S7550" s="5" t="s">
        <v>49010</v>
      </c>
      <c r="T7550" s="28">
        <v>26596000</v>
      </c>
      <c r="U7550" s="28"/>
      <c r="V7550" s="28">
        <v>654009000</v>
      </c>
      <c r="W7550" s="28">
        <v>21059000</v>
      </c>
      <c r="X7550" s="28">
        <v>116610000</v>
      </c>
      <c r="Y7550" s="28">
        <v>916148000</v>
      </c>
      <c r="Z7550" s="28">
        <v>399850000</v>
      </c>
      <c r="AA7550" s="28"/>
      <c r="AB7550" s="28">
        <v>130000000</v>
      </c>
      <c r="AC7550" s="28">
        <v>510166000</v>
      </c>
      <c r="AD7550" s="28">
        <v>399925000</v>
      </c>
      <c r="AE7550" s="28">
        <v>3537895000</v>
      </c>
      <c r="AF7550" s="28">
        <v>230623000</v>
      </c>
      <c r="AG7550" s="11"/>
    </row>
    <row r="7551">
      <c r="A7551" s="7" t="s">
        <v>9100</v>
      </c>
      <c r="B7551" s="5" t="s">
        <v>17021</v>
      </c>
      <c r="C7551" s="5" t="s">
        <v>24611</v>
      </c>
      <c r="D7551" s="5" t="str">
        <v>230501723950</v>
      </c>
      <c r="E7551" s="0" t="e">
        <f>+7 (495) 7846461
+7 (495) 7861360
+7 (800) 5118505</f>
        <v>#NAME?</v>
      </c>
      <c r="F7551" s="5"/>
      <c r="G7551" s="5" t="s">
        <v>47215</v>
      </c>
      <c r="H7551" s="26">
        <v>14.5</v>
      </c>
      <c r="I7551" s="5" t="s">
        <v>47216</v>
      </c>
      <c r="J7551" s="5" t="s">
        <v>423</v>
      </c>
      <c r="K7551" s="5" t="s">
        <v>344</v>
      </c>
      <c r="L7551" s="5" t="s">
        <v>36761</v>
      </c>
      <c r="M7551" s="27"/>
      <c r="N7551" s="5"/>
      <c r="O7551" s="5" t="str">
        <v>7709803307</v>
      </c>
      <c r="P7551" s="27">
        <v>500000</v>
      </c>
      <c r="Q7551" s="5" t="s">
        <v>49021</v>
      </c>
      <c r="R7551" s="5"/>
      <c r="S7551" s="5" t="s">
        <v>50131</v>
      </c>
      <c r="T7551" s="28">
        <v>7767000</v>
      </c>
      <c r="U7551" s="28"/>
      <c r="V7551" s="28">
        <v>5340242000</v>
      </c>
      <c r="W7551" s="28"/>
      <c r="X7551" s="28">
        <v>1186817000</v>
      </c>
      <c r="Y7551" s="28">
        <v>8554417000</v>
      </c>
      <c r="Z7551" s="28">
        <v>177478000</v>
      </c>
      <c r="AA7551" s="28"/>
      <c r="AB7551" s="28">
        <v>3864295000</v>
      </c>
      <c r="AC7551" s="28">
        <v>8371191000</v>
      </c>
      <c r="AD7551" s="28">
        <v>177978000</v>
      </c>
      <c r="AE7551" s="28">
        <v>14900885000</v>
      </c>
      <c r="AF7551" s="28">
        <v>167467000</v>
      </c>
      <c r="AG7551" s="11"/>
    </row>
    <row r="7552">
      <c r="A7552" s="7" t="s">
        <v>9101</v>
      </c>
      <c r="B7552" s="5" t="s">
        <v>17022</v>
      </c>
      <c r="C7552" s="5" t="s">
        <v>24612</v>
      </c>
      <c r="D7552" s="5" t="str">
        <v>503618942204</v>
      </c>
      <c r="E7552" s="0" t="e">
        <f>+7 (495) 5056800
+7 (3473) 299066
+7 (3473) 299094
+7 (48753) 20000
+7 (495) 1222348
+7 (495) 1233218
+7 (495) 1233219
+7 (495) 5056803
+7 (495) 6621063</f>
        <v>#NAME?</v>
      </c>
      <c r="F7552" s="5"/>
      <c r="G7552" s="5" t="s">
        <v>47217</v>
      </c>
      <c r="H7552" s="26">
        <v>16.5</v>
      </c>
      <c r="I7552" s="5" t="s">
        <v>47218</v>
      </c>
      <c r="J7552" s="5" t="s">
        <v>26407</v>
      </c>
      <c r="K7552" s="5" t="s">
        <v>344</v>
      </c>
      <c r="L7552" s="5" t="s">
        <v>47219</v>
      </c>
      <c r="M7552" s="27"/>
      <c r="N7552" s="5" t="s">
        <v>60594</v>
      </c>
      <c r="O7552" s="5" t="str">
        <v>5036074848</v>
      </c>
      <c r="P7552" s="27">
        <v>6375703350</v>
      </c>
      <c r="Q7552" s="5" t="s">
        <v>60595</v>
      </c>
      <c r="R7552" s="5"/>
      <c r="S7552" s="5" t="s">
        <v>49884</v>
      </c>
      <c r="T7552" s="28">
        <v>14281208000</v>
      </c>
      <c r="U7552" s="28">
        <v>517704000</v>
      </c>
      <c r="V7552" s="28">
        <v>502861000</v>
      </c>
      <c r="W7552" s="28">
        <v>3651364000</v>
      </c>
      <c r="X7552" s="28">
        <v>2604722000</v>
      </c>
      <c r="Y7552" s="28">
        <v>23974040000</v>
      </c>
      <c r="Z7552" s="28">
        <v>9338060000</v>
      </c>
      <c r="AA7552" s="28"/>
      <c r="AB7552" s="28">
        <v>1365716000</v>
      </c>
      <c r="AC7552" s="28">
        <v>3487437000</v>
      </c>
      <c r="AD7552" s="28">
        <v>19501389000</v>
      </c>
      <c r="AE7552" s="28">
        <v>17227036000</v>
      </c>
      <c r="AF7552" s="28">
        <v>4474741000</v>
      </c>
      <c r="AG7552" s="11"/>
    </row>
    <row r="7553">
      <c r="A7553" s="7" t="s">
        <v>9102</v>
      </c>
      <c r="B7553" s="5" t="s">
        <v>17023</v>
      </c>
      <c r="C7553" s="5" t="s">
        <v>24613</v>
      </c>
      <c r="D7553" s="5" t="str">
        <v>773431151959</v>
      </c>
      <c r="E7553" s="0" t="e">
        <f>+7 (495) 5488362
+7 (495) 7453640
+7 (495) 9338840
+7 (499) 7033153</f>
        <v>#NAME?</v>
      </c>
      <c r="F7553" s="5" t="s">
        <v>47220</v>
      </c>
      <c r="G7553" s="5" t="s">
        <v>47221</v>
      </c>
      <c r="H7553" s="26">
        <v>24.5</v>
      </c>
      <c r="I7553" s="5"/>
      <c r="J7553" s="5" t="s">
        <v>31349</v>
      </c>
      <c r="K7553" s="5" t="s">
        <v>344</v>
      </c>
      <c r="L7553" s="5"/>
      <c r="M7553" s="27"/>
      <c r="N7553" s="5" t="s">
        <v>60596</v>
      </c>
      <c r="O7553" s="5" t="str">
        <v>5003023478</v>
      </c>
      <c r="P7553" s="27">
        <v>559228000</v>
      </c>
      <c r="Q7553" s="5"/>
      <c r="R7553" s="5"/>
      <c r="S7553" s="5" t="s">
        <v>49425</v>
      </c>
      <c r="T7553" s="28">
        <v>491463000</v>
      </c>
      <c r="U7553" s="28"/>
      <c r="V7553" s="28">
        <v>1459351000</v>
      </c>
      <c r="W7553" s="28"/>
      <c r="X7553" s="28">
        <v>16894000</v>
      </c>
      <c r="Y7553" s="28">
        <v>3357072000</v>
      </c>
      <c r="Z7553" s="28">
        <v>183497000</v>
      </c>
      <c r="AA7553" s="28"/>
      <c r="AB7553" s="28">
        <v>568653000</v>
      </c>
      <c r="AC7553" s="28">
        <v>1932169000</v>
      </c>
      <c r="AD7553" s="28">
        <v>1319740000</v>
      </c>
      <c r="AE7553" s="28">
        <v>6314444000</v>
      </c>
      <c r="AF7553" s="28">
        <v>468059000</v>
      </c>
      <c r="AG7553" s="11"/>
    </row>
    <row r="7554">
      <c r="A7554" s="7" t="s">
        <v>9103</v>
      </c>
      <c r="B7554" s="5" t="s">
        <v>17024</v>
      </c>
      <c r="C7554" s="5" t="s">
        <v>19529</v>
      </c>
      <c r="D7554" s="5" t="str">
        <v>526101039266</v>
      </c>
      <c r="E7554" s="0" t="e">
        <f>+7 (831) 2007777
+7 (831) 2778543
+7 (83141) 15177
+7 (83146) 34645
+7 (931) 4115177</f>
        <v>#NAME?</v>
      </c>
      <c r="F7554" s="5" t="s">
        <v>47222</v>
      </c>
      <c r="G7554" s="5" t="s">
        <v>47223</v>
      </c>
      <c r="H7554" s="26">
        <v>15.5</v>
      </c>
      <c r="I7554" s="5" t="s">
        <v>47224</v>
      </c>
      <c r="J7554" s="5" t="s">
        <v>31349</v>
      </c>
      <c r="K7554" s="5" t="s">
        <v>344</v>
      </c>
      <c r="L7554" s="5"/>
      <c r="M7554" s="27"/>
      <c r="N7554" s="5"/>
      <c r="O7554" s="5" t="str">
        <v>5261058974</v>
      </c>
      <c r="P7554" s="27">
        <v>100000000</v>
      </c>
      <c r="Q7554" s="5"/>
      <c r="R7554" s="5"/>
      <c r="S7554" s="5" t="s">
        <v>49029</v>
      </c>
      <c r="T7554" s="28">
        <v>421357000</v>
      </c>
      <c r="U7554" s="28"/>
      <c r="V7554" s="28">
        <v>2470819000</v>
      </c>
      <c r="W7554" s="28"/>
      <c r="X7554" s="28">
        <v>366472000</v>
      </c>
      <c r="Y7554" s="28">
        <v>5282600000</v>
      </c>
      <c r="Z7554" s="28">
        <v>-332777000</v>
      </c>
      <c r="AA7554" s="28">
        <v>2934152000</v>
      </c>
      <c r="AB7554" s="28"/>
      <c r="AC7554" s="28">
        <v>1276744000</v>
      </c>
      <c r="AD7554" s="28">
        <v>1004691000</v>
      </c>
      <c r="AE7554" s="28">
        <v>12409779000</v>
      </c>
      <c r="AF7554" s="28">
        <v>2066932000</v>
      </c>
      <c r="AG7554" s="11"/>
    </row>
    <row r="7555">
      <c r="A7555" s="7" t="s">
        <v>9104</v>
      </c>
      <c r="B7555" s="5" t="s">
        <v>17025</v>
      </c>
      <c r="C7555" s="5" t="s">
        <v>24614</v>
      </c>
      <c r="D7555" s="5" t="str">
        <v>780228840173</v>
      </c>
      <c r="E7555" s="0" t="e">
        <f>+7 (800) 6002381
+7 (925) 919025
+7 (925) 5073661
+7 (962) 4423594</f>
        <v>#NAME?</v>
      </c>
      <c r="F7555" s="5" t="s">
        <v>47225</v>
      </c>
      <c r="G7555" s="5"/>
      <c r="H7555" s="26">
        <v>8.5</v>
      </c>
      <c r="I7555" s="5" t="s">
        <v>47226</v>
      </c>
      <c r="J7555" s="5" t="s">
        <v>28451</v>
      </c>
      <c r="K7555" s="5" t="s">
        <v>355</v>
      </c>
      <c r="L7555" s="5" t="s">
        <v>47227</v>
      </c>
      <c r="M7555" s="27">
        <v>346518954</v>
      </c>
      <c r="N7555" s="5" t="s">
        <v>60597</v>
      </c>
      <c r="O7555" s="5" t="str">
        <v>2634815455</v>
      </c>
      <c r="P7555" s="27">
        <v>15000</v>
      </c>
      <c r="Q7555" s="5" t="s">
        <v>60598</v>
      </c>
      <c r="R7555" s="5" t="s">
        <v>56636</v>
      </c>
      <c r="S7555" s="5" t="s">
        <v>60599</v>
      </c>
      <c r="T7555" s="28">
        <v>16830000</v>
      </c>
      <c r="U7555" s="28"/>
      <c r="V7555" s="28">
        <v>1807354000</v>
      </c>
      <c r="W7555" s="28">
        <v>32000000</v>
      </c>
      <c r="X7555" s="28">
        <v>109353000</v>
      </c>
      <c r="Y7555" s="28">
        <v>4487712000</v>
      </c>
      <c r="Z7555" s="28">
        <v>310185000</v>
      </c>
      <c r="AA7555" s="28"/>
      <c r="AB7555" s="28"/>
      <c r="AC7555" s="28">
        <v>4177505000</v>
      </c>
      <c r="AD7555" s="28">
        <v>310200000</v>
      </c>
      <c r="AE7555" s="28">
        <v>4092956000</v>
      </c>
      <c r="AF7555" s="28">
        <v>68405000</v>
      </c>
      <c r="AG7555" s="11"/>
    </row>
    <row r="7556">
      <c r="A7556" s="7" t="s">
        <v>9105</v>
      </c>
      <c r="B7556" s="5" t="s">
        <v>17026</v>
      </c>
      <c r="C7556" s="5" t="s">
        <v>24615</v>
      </c>
      <c r="D7556" s="5" t="str">
        <v>773614035413</v>
      </c>
      <c r="E7556" s="0" t="e">
        <f>+7 (499) 2680100
+7 (495) 9562340
+7 (495) 2680100
+7 (495) 2680104
+7 (495) 9562343</f>
        <v>#NAME?</v>
      </c>
      <c r="F7556" s="5" t="s">
        <v>47228</v>
      </c>
      <c r="G7556" s="5"/>
      <c r="H7556" s="26">
        <v>13</v>
      </c>
      <c r="I7556" s="5" t="s">
        <v>47229</v>
      </c>
      <c r="J7556" s="5" t="s">
        <v>25259</v>
      </c>
      <c r="K7556" s="5" t="s">
        <v>344</v>
      </c>
      <c r="L7556" s="5" t="s">
        <v>47230</v>
      </c>
      <c r="M7556" s="27"/>
      <c r="N7556" s="5"/>
      <c r="O7556" s="5" t="str">
        <v>7704750838</v>
      </c>
      <c r="P7556" s="27">
        <v>171244737</v>
      </c>
      <c r="Q7556" s="5" t="s">
        <v>49009</v>
      </c>
      <c r="R7556" s="5"/>
      <c r="S7556" s="5" t="s">
        <v>49010</v>
      </c>
      <c r="T7556" s="28">
        <v>8688000</v>
      </c>
      <c r="U7556" s="28"/>
      <c r="V7556" s="28">
        <v>481895000</v>
      </c>
      <c r="W7556" s="28"/>
      <c r="X7556" s="28">
        <v>899444000</v>
      </c>
      <c r="Y7556" s="28">
        <v>1992600000</v>
      </c>
      <c r="Z7556" s="28">
        <v>560947000</v>
      </c>
      <c r="AA7556" s="28"/>
      <c r="AB7556" s="28"/>
      <c r="AC7556" s="28">
        <v>1259869000</v>
      </c>
      <c r="AD7556" s="28">
        <v>732192000</v>
      </c>
      <c r="AE7556" s="28">
        <v>3078514000</v>
      </c>
      <c r="AF7556" s="28">
        <v>318935000</v>
      </c>
      <c r="AG7556" s="11"/>
    </row>
    <row r="7557">
      <c r="A7557" s="7" t="s">
        <v>9106</v>
      </c>
      <c r="B7557" s="5" t="s">
        <v>17027</v>
      </c>
      <c r="C7557" s="5" t="s">
        <v>24616</v>
      </c>
      <c r="D7557" s="5" t="str">
        <v>644911545664</v>
      </c>
      <c r="E7557" s="0" t="e">
        <f>+7 (495) 1981770
+7 (965) 2743133</f>
        <v>#NAME?</v>
      </c>
      <c r="F7557" s="5" t="s">
        <v>47231</v>
      </c>
      <c r="G7557" s="5" t="s">
        <v>47232</v>
      </c>
      <c r="H7557" s="26">
        <v>7.5</v>
      </c>
      <c r="I7557" s="5" t="s">
        <v>47233</v>
      </c>
      <c r="J7557" s="5" t="s">
        <v>373</v>
      </c>
      <c r="K7557" s="5" t="s">
        <v>355</v>
      </c>
      <c r="L7557" s="5" t="s">
        <v>47234</v>
      </c>
      <c r="M7557" s="27"/>
      <c r="N7557" s="5" t="s">
        <v>60600</v>
      </c>
      <c r="O7557" s="5" t="str">
        <v>7717295745</v>
      </c>
      <c r="P7557" s="27">
        <v>1010000</v>
      </c>
      <c r="Q7557" s="5" t="s">
        <v>60601</v>
      </c>
      <c r="R7557" s="5"/>
      <c r="S7557" s="5" t="s">
        <v>60602</v>
      </c>
      <c r="T7557" s="28">
        <v>29386000</v>
      </c>
      <c r="U7557" s="28"/>
      <c r="V7557" s="28">
        <v>1083050000</v>
      </c>
      <c r="W7557" s="28">
        <v>13500000</v>
      </c>
      <c r="X7557" s="28">
        <v>27912000</v>
      </c>
      <c r="Y7557" s="28">
        <v>1352162000</v>
      </c>
      <c r="Z7557" s="28">
        <v>79909000</v>
      </c>
      <c r="AA7557" s="28">
        <v>149846000</v>
      </c>
      <c r="AB7557" s="28">
        <v>509560000</v>
      </c>
      <c r="AC7557" s="28">
        <v>1088133000</v>
      </c>
      <c r="AD7557" s="28">
        <v>80919000</v>
      </c>
      <c r="AE7557" s="28">
        <v>8213618000</v>
      </c>
      <c r="AF7557" s="28">
        <v>58796000</v>
      </c>
      <c r="AG7557" s="11"/>
    </row>
    <row r="7558">
      <c r="A7558" s="7" t="s">
        <v>9107</v>
      </c>
      <c r="B7558" s="5" t="s">
        <v>17028</v>
      </c>
      <c r="C7558" s="5" t="s">
        <v>24617</v>
      </c>
      <c r="D7558" s="5" t="str">
        <v>165801947499</v>
      </c>
      <c r="E7558" s="0" t="e">
        <f>+7 (3517) 995508
+7 (383) 2303607
+7 (48439) 60503
+7 (48439) 93444
+7 (495) 7807300
+7 (495) 9099100
+7 (495) 9138756
+7 (8482) 207715
+7 (8482) 207716
+7 (8482) 391011
+7 (863) 3089323
+7 (910) 6098670
+7 (916) 2221555</f>
        <v>#NAME?</v>
      </c>
      <c r="F7558" s="5" t="s">
        <v>47235</v>
      </c>
      <c r="G7558" s="5" t="s">
        <v>47236</v>
      </c>
      <c r="H7558" s="26">
        <v>27</v>
      </c>
      <c r="I7558" s="5"/>
      <c r="J7558" s="5" t="s">
        <v>26394</v>
      </c>
      <c r="K7558" s="5" t="s">
        <v>344</v>
      </c>
      <c r="L7558" s="5" t="s">
        <v>47237</v>
      </c>
      <c r="M7558" s="27"/>
      <c r="N7558" s="5"/>
      <c r="O7558" s="5" t="str">
        <v>4025044085</v>
      </c>
      <c r="P7558" s="27">
        <v>6804855</v>
      </c>
      <c r="Q7558" s="5"/>
      <c r="R7558" s="5"/>
      <c r="S7558" s="5" t="s">
        <v>49499</v>
      </c>
      <c r="T7558" s="28">
        <v>303766000</v>
      </c>
      <c r="U7558" s="28">
        <v>709124000</v>
      </c>
      <c r="V7558" s="28">
        <v>1320514000</v>
      </c>
      <c r="W7558" s="28">
        <v>850000000</v>
      </c>
      <c r="X7558" s="28">
        <v>1059399000</v>
      </c>
      <c r="Y7558" s="28">
        <v>4916386000</v>
      </c>
      <c r="Z7558" s="28">
        <v>4365979000</v>
      </c>
      <c r="AA7558" s="28"/>
      <c r="AB7558" s="28">
        <v>201611000</v>
      </c>
      <c r="AC7558" s="28">
        <v>425482000</v>
      </c>
      <c r="AD7558" s="28">
        <v>4374619000</v>
      </c>
      <c r="AE7558" s="28">
        <v>7298217000</v>
      </c>
      <c r="AF7558" s="28">
        <v>527684000</v>
      </c>
      <c r="AG7558" s="11"/>
    </row>
    <row r="7559">
      <c r="A7559" s="7" t="s">
        <v>9108</v>
      </c>
      <c r="B7559" s="5" t="s">
        <v>17029</v>
      </c>
      <c r="C7559" s="5" t="s">
        <v>24609</v>
      </c>
      <c r="D7559" s="5" t="str">
        <v>770479895887</v>
      </c>
      <c r="E7559" s="0" t="e">
        <f>+7 (495) 7821020
+7 (800) 2001706
+7 (800) 5058590
+7 (855) 2202632
+7 (855) 2202650
+7 (855) 2534516
+7 (917) 2676888
+7 (917) 2707888
+7 (919) 6205850
+7 (925) 103272
+7 (926) 5806111</f>
        <v>#NAME?</v>
      </c>
      <c r="F7559" s="5" t="s">
        <v>47238</v>
      </c>
      <c r="G7559" s="5" t="s">
        <v>47239</v>
      </c>
      <c r="H7559" s="26">
        <v>8.5</v>
      </c>
      <c r="I7559" s="5" t="s">
        <v>47240</v>
      </c>
      <c r="J7559" s="5" t="s">
        <v>27522</v>
      </c>
      <c r="K7559" s="5" t="s">
        <v>344</v>
      </c>
      <c r="L7559" s="5"/>
      <c r="M7559" s="27"/>
      <c r="N7559" s="5"/>
      <c r="O7559" s="5" t="str">
        <v>1650292810</v>
      </c>
      <c r="P7559" s="27">
        <v>1260000000</v>
      </c>
      <c r="Q7559" s="5" t="s">
        <v>49207</v>
      </c>
      <c r="R7559" s="5"/>
      <c r="S7559" s="5" t="s">
        <v>50911</v>
      </c>
      <c r="T7559" s="28">
        <v>2172943000</v>
      </c>
      <c r="U7559" s="28">
        <v>23143792000</v>
      </c>
      <c r="V7559" s="28">
        <v>14598720000</v>
      </c>
      <c r="W7559" s="28">
        <v>1351500000</v>
      </c>
      <c r="X7559" s="28">
        <v>1644355000</v>
      </c>
      <c r="Y7559" s="28">
        <v>49858941000</v>
      </c>
      <c r="Z7559" s="28">
        <v>7022710000</v>
      </c>
      <c r="AA7559" s="28"/>
      <c r="AB7559" s="28"/>
      <c r="AC7559" s="28">
        <v>19190791000</v>
      </c>
      <c r="AD7559" s="28">
        <v>29296219000</v>
      </c>
      <c r="AE7559" s="28">
        <v>62762873000</v>
      </c>
      <c r="AF7559" s="28">
        <v>6113568000</v>
      </c>
      <c r="AG7559" s="11"/>
    </row>
    <row r="7560">
      <c r="A7560" s="7" t="s">
        <v>9109</v>
      </c>
      <c r="B7560" s="5" t="s">
        <v>17030</v>
      </c>
      <c r="C7560" s="5" t="s">
        <v>24618</v>
      </c>
      <c r="D7560" s="5" t="str">
        <v>526203701665</v>
      </c>
      <c r="E7560" s="0" t="e">
        <f>+7 (3422) 62210
+7 (3432) 789091
+7 (3435) 920442
+7 (345) 2500569
+7 (3467) 300001
+7 (35139) 4903
+7 (35326) 63066
+7 (381) 2215767
+7 (382) 2673573
+7 (3843) 538305
+7 (3843) 773206
+7 (38451) 63334
+7 (391) 2054747
+7 (3953) 459907
+7 (413) 2600689</f>
        <v>#NAME?</v>
      </c>
      <c r="F7560" s="5" t="s">
        <v>47241</v>
      </c>
      <c r="G7560" s="5" t="s">
        <v>47242</v>
      </c>
      <c r="H7560" s="26">
        <v>11.5</v>
      </c>
      <c r="I7560" s="5" t="s">
        <v>47243</v>
      </c>
      <c r="J7560" s="5" t="s">
        <v>33774</v>
      </c>
      <c r="K7560" s="5" t="s">
        <v>344</v>
      </c>
      <c r="L7560" s="5" t="s">
        <v>47244</v>
      </c>
      <c r="M7560" s="27"/>
      <c r="N7560" s="5"/>
      <c r="O7560" s="5" t="str">
        <v>7703750666</v>
      </c>
      <c r="P7560" s="27">
        <v>28200000</v>
      </c>
      <c r="Q7560" s="5" t="s">
        <v>49059</v>
      </c>
      <c r="R7560" s="5"/>
      <c r="S7560" s="5" t="s">
        <v>49110</v>
      </c>
      <c r="T7560" s="28">
        <v>4287000</v>
      </c>
      <c r="U7560" s="28">
        <v>1250000000</v>
      </c>
      <c r="V7560" s="28">
        <v>312610000</v>
      </c>
      <c r="W7560" s="28"/>
      <c r="X7560" s="28">
        <v>1270847000</v>
      </c>
      <c r="Y7560" s="28">
        <v>2857693000</v>
      </c>
      <c r="Z7560" s="28">
        <v>2509301000</v>
      </c>
      <c r="AA7560" s="28"/>
      <c r="AB7560" s="28"/>
      <c r="AC7560" s="28">
        <v>42585000</v>
      </c>
      <c r="AD7560" s="28">
        <v>2814270000</v>
      </c>
      <c r="AE7560" s="28">
        <v>4067094000</v>
      </c>
      <c r="AF7560" s="28">
        <v>-320388000</v>
      </c>
      <c r="AG7560" s="11"/>
    </row>
    <row r="7561">
      <c r="A7561" s="7" t="s">
        <v>9110</v>
      </c>
      <c r="B7561" s="5" t="s">
        <v>17031</v>
      </c>
      <c r="C7561" s="5" t="s">
        <v>24619</v>
      </c>
      <c r="D7561" s="5"/>
      <c r="E7561" s="0" t="e">
        <f>+7 (81732) 21161
+7 (81732) 22071
+7 (81732) 23605
+7 (81732) 55368
+7 (921) 8302138</f>
        <v>#NAME?</v>
      </c>
      <c r="F7561" s="5" t="s">
        <v>47245</v>
      </c>
      <c r="G7561" s="5" t="s">
        <v>47246</v>
      </c>
      <c r="H7561" s="26">
        <v>21.5</v>
      </c>
      <c r="I7561" s="5" t="s">
        <v>47247</v>
      </c>
      <c r="J7561" s="5" t="s">
        <v>27291</v>
      </c>
      <c r="K7561" s="5" t="s">
        <v>344</v>
      </c>
      <c r="L7561" s="5" t="s">
        <v>47248</v>
      </c>
      <c r="M7561" s="27"/>
      <c r="N7561" s="5" t="s">
        <v>60603</v>
      </c>
      <c r="O7561" s="5" t="str">
        <v>3521004049</v>
      </c>
      <c r="P7561" s="27">
        <v>421019000</v>
      </c>
      <c r="Q7561" s="5"/>
      <c r="R7561" s="5"/>
      <c r="S7561" s="5" t="s">
        <v>49047</v>
      </c>
      <c r="T7561" s="28">
        <v>1637058000</v>
      </c>
      <c r="U7561" s="28"/>
      <c r="V7561" s="28">
        <v>1280427000</v>
      </c>
      <c r="W7561" s="28">
        <v>2812000</v>
      </c>
      <c r="X7561" s="28">
        <v>537000</v>
      </c>
      <c r="Y7561" s="28">
        <v>4047169000</v>
      </c>
      <c r="Z7561" s="28">
        <v>2077816000</v>
      </c>
      <c r="AA7561" s="28">
        <v>66470000</v>
      </c>
      <c r="AB7561" s="28">
        <v>27000</v>
      </c>
      <c r="AC7561" s="28">
        <v>435298000</v>
      </c>
      <c r="AD7561" s="28">
        <v>2498835000</v>
      </c>
      <c r="AE7561" s="28">
        <v>4583621000</v>
      </c>
      <c r="AF7561" s="28">
        <v>-137733000</v>
      </c>
      <c r="AG7561" s="11"/>
    </row>
    <row r="7562">
      <c r="A7562" s="7" t="s">
        <v>9111</v>
      </c>
      <c r="B7562" s="5" t="s">
        <v>17032</v>
      </c>
      <c r="C7562" s="5" t="s">
        <v>24620</v>
      </c>
      <c r="D7562" s="5" t="str">
        <v>772201528310</v>
      </c>
      <c r="E7562" s="0" t="e">
        <f>+7 (485) 2202020
+7 (485) 2205496
+7 (485) 2207220
+7 (485) 2207262
+7 (485) 2207292
+7 (485) 2207502
+7 (485) 2208202
+7 (485) 2227202
+7 (485) 2233800
+7 (485) 2433647
+7 (485) 2737976
+7 (485) 2795088
+7 (485) 2207002
+7 (485) 2208067
+7 (485) 2208526</f>
        <v>#NAME?</v>
      </c>
      <c r="F7562" s="5" t="s">
        <v>47249</v>
      </c>
      <c r="G7562" s="5" t="s">
        <v>47250</v>
      </c>
      <c r="H7562" s="26">
        <v>10.5</v>
      </c>
      <c r="I7562" s="5" t="s">
        <v>47251</v>
      </c>
      <c r="J7562" s="5" t="s">
        <v>33220</v>
      </c>
      <c r="K7562" s="5" t="s">
        <v>344</v>
      </c>
      <c r="L7562" s="5" t="s">
        <v>47252</v>
      </c>
      <c r="M7562" s="27">
        <v>11303782</v>
      </c>
      <c r="N7562" s="5" t="s">
        <v>60604</v>
      </c>
      <c r="O7562" s="5" t="str">
        <v>7703770101</v>
      </c>
      <c r="P7562" s="27">
        <v>5000000</v>
      </c>
      <c r="Q7562" s="5" t="s">
        <v>60606</v>
      </c>
      <c r="R7562" s="5"/>
      <c r="S7562" s="5" t="s">
        <v>60607</v>
      </c>
      <c r="T7562" s="28">
        <v>1789241000</v>
      </c>
      <c r="U7562" s="28">
        <v>728554000</v>
      </c>
      <c r="V7562" s="28">
        <v>3360773000</v>
      </c>
      <c r="W7562" s="28"/>
      <c r="X7562" s="28">
        <v>34682000</v>
      </c>
      <c r="Y7562" s="28">
        <v>6496984000</v>
      </c>
      <c r="Z7562" s="28">
        <v>2108468000</v>
      </c>
      <c r="AA7562" s="28">
        <v>857074000</v>
      </c>
      <c r="AB7562" s="28">
        <v>869730000</v>
      </c>
      <c r="AC7562" s="28">
        <v>2842828000</v>
      </c>
      <c r="AD7562" s="28">
        <v>2115226000</v>
      </c>
      <c r="AE7562" s="28">
        <v>13491506000</v>
      </c>
      <c r="AF7562" s="28">
        <v>699453000</v>
      </c>
      <c r="AG7562" s="11"/>
    </row>
    <row r="7563">
      <c r="A7563" s="7" t="s">
        <v>9112</v>
      </c>
      <c r="B7563" s="5" t="s">
        <v>17033</v>
      </c>
      <c r="C7563" s="5" t="s">
        <v>24621</v>
      </c>
      <c r="D7563" s="5" t="str">
        <v>773370664157</v>
      </c>
      <c r="E7563" s="0" t="e">
        <f>+7 (495) 2761071
+7 (495) 3169527
+7 (495) 3169544
+7 (495) 3118441
+7 (495) 9251108</f>
        <v>#NAME?</v>
      </c>
      <c r="F7563" s="5" t="s">
        <v>47253</v>
      </c>
      <c r="G7563" s="5" t="s">
        <v>47254</v>
      </c>
      <c r="H7563" s="26">
        <v>24</v>
      </c>
      <c r="I7563" s="5" t="s">
        <v>47255</v>
      </c>
      <c r="J7563" s="5" t="s">
        <v>32184</v>
      </c>
      <c r="K7563" s="5" t="s">
        <v>344</v>
      </c>
      <c r="L7563" s="5" t="s">
        <v>47256</v>
      </c>
      <c r="M7563" s="27"/>
      <c r="N7563" s="5"/>
      <c r="O7563" s="5" t="str">
        <v>7709268931</v>
      </c>
      <c r="P7563" s="27">
        <v>100000</v>
      </c>
      <c r="Q7563" s="5" t="s">
        <v>60608</v>
      </c>
      <c r="R7563" s="5"/>
      <c r="S7563" s="5" t="s">
        <v>60609</v>
      </c>
      <c r="T7563" s="28">
        <v>286251000</v>
      </c>
      <c r="U7563" s="28">
        <v>73721000</v>
      </c>
      <c r="V7563" s="28">
        <v>1258643000</v>
      </c>
      <c r="W7563" s="28"/>
      <c r="X7563" s="28">
        <v>10434000</v>
      </c>
      <c r="Y7563" s="28">
        <v>3457938000</v>
      </c>
      <c r="Z7563" s="28">
        <v>1839039000</v>
      </c>
      <c r="AA7563" s="28"/>
      <c r="AB7563" s="28">
        <v>830444000</v>
      </c>
      <c r="AC7563" s="28">
        <v>1404920000</v>
      </c>
      <c r="AD7563" s="28">
        <v>2049010000</v>
      </c>
      <c r="AE7563" s="28">
        <v>4374950000</v>
      </c>
      <c r="AF7563" s="28">
        <v>556751000</v>
      </c>
      <c r="AG7563" s="11"/>
    </row>
    <row r="7564">
      <c r="A7564" s="7" t="s">
        <v>9113</v>
      </c>
      <c r="B7564" s="5" t="s">
        <v>17034</v>
      </c>
      <c r="C7564" s="5" t="s">
        <v>24622</v>
      </c>
      <c r="D7564" s="5" t="str">
        <v>770483011940</v>
      </c>
      <c r="E7564" s="0" t="e">
        <f>+7 (495) 7854201
+7 (85557) 53025
+7 (85557) 53096
+7 (85557) 53105
+7 (85557) 55175
+7 (85557) 59139
+7 (985) 3125038
+7 (987) 1740788
+7 (987) 4000214</f>
        <v>#NAME?</v>
      </c>
      <c r="F7564" s="5" t="s">
        <v>47257</v>
      </c>
      <c r="G7564" s="5"/>
      <c r="H7564" s="26">
        <v>12</v>
      </c>
      <c r="I7564" s="5" t="s">
        <v>47258</v>
      </c>
      <c r="J7564" s="5" t="s">
        <v>31349</v>
      </c>
      <c r="K7564" s="5" t="s">
        <v>344</v>
      </c>
      <c r="L7564" s="5" t="s">
        <v>47259</v>
      </c>
      <c r="M7564" s="27"/>
      <c r="N7564" s="5"/>
      <c r="O7564" s="5" t="str">
        <v>1646030731</v>
      </c>
      <c r="P7564" s="27">
        <v>300000000</v>
      </c>
      <c r="Q7564" s="5"/>
      <c r="R7564" s="5"/>
      <c r="S7564" s="5" t="s">
        <v>52199</v>
      </c>
      <c r="T7564" s="28">
        <v>7799100000</v>
      </c>
      <c r="U7564" s="28">
        <v>2671376000</v>
      </c>
      <c r="V7564" s="28">
        <v>9388323000</v>
      </c>
      <c r="W7564" s="28"/>
      <c r="X7564" s="28">
        <v>50551000</v>
      </c>
      <c r="Y7564" s="28">
        <v>22837324000</v>
      </c>
      <c r="Z7564" s="28">
        <v>4322348000</v>
      </c>
      <c r="AA7564" s="28">
        <v>1852876000</v>
      </c>
      <c r="AB7564" s="28">
        <v>1294638000</v>
      </c>
      <c r="AC7564" s="28">
        <v>5510185000</v>
      </c>
      <c r="AD7564" s="28">
        <v>15456929000</v>
      </c>
      <c r="AE7564" s="28">
        <v>18193054000</v>
      </c>
      <c r="AF7564" s="28">
        <v>5266992000</v>
      </c>
      <c r="AG7564" s="11"/>
    </row>
    <row r="7565">
      <c r="A7565" s="7" t="s">
        <v>9114</v>
      </c>
      <c r="B7565" s="5" t="s">
        <v>17035</v>
      </c>
      <c r="C7565" s="5" t="s">
        <v>24622</v>
      </c>
      <c r="D7565" s="5" t="str">
        <v>770483011940</v>
      </c>
      <c r="E7565" s="0" t="e">
        <f>+7 (987) 2303414
+7 (495) 7854201</f>
        <v>#NAME?</v>
      </c>
      <c r="F7565" s="5"/>
      <c r="G7565" s="5" t="s">
        <v>47260</v>
      </c>
      <c r="H7565" s="26">
        <v>11.5</v>
      </c>
      <c r="I7565" s="5" t="s">
        <v>47261</v>
      </c>
      <c r="J7565" s="5" t="s">
        <v>26588</v>
      </c>
      <c r="K7565" s="5" t="s">
        <v>380</v>
      </c>
      <c r="L7565" s="5"/>
      <c r="M7565" s="27"/>
      <c r="N7565" s="5"/>
      <c r="O7565" s="5" t="str">
        <v>2315170296</v>
      </c>
      <c r="P7565" s="27">
        <v>252000</v>
      </c>
      <c r="Q7565" s="5" t="s">
        <v>54416</v>
      </c>
      <c r="R7565" s="5"/>
      <c r="S7565" s="5" t="s">
        <v>60610</v>
      </c>
      <c r="T7565" s="28">
        <v>109833000</v>
      </c>
      <c r="U7565" s="28">
        <v>246000</v>
      </c>
      <c r="V7565" s="28">
        <v>6139504000</v>
      </c>
      <c r="W7565" s="28"/>
      <c r="X7565" s="28">
        <v>59399000</v>
      </c>
      <c r="Y7565" s="28">
        <v>7127248000</v>
      </c>
      <c r="Z7565" s="28">
        <v>-272451000</v>
      </c>
      <c r="AA7565" s="28">
        <v>385714000</v>
      </c>
      <c r="AB7565" s="28">
        <v>260164000</v>
      </c>
      <c r="AC7565" s="28">
        <v>6798157000</v>
      </c>
      <c r="AD7565" s="28">
        <v>-122451000</v>
      </c>
      <c r="AE7565" s="28">
        <v>26738361000</v>
      </c>
      <c r="AF7565" s="28">
        <v>568970000</v>
      </c>
      <c r="AG7565" s="11"/>
    </row>
    <row r="7566">
      <c r="A7566" s="7" t="s">
        <v>9115</v>
      </c>
      <c r="B7566" s="5" t="s">
        <v>17036</v>
      </c>
      <c r="C7566" s="5" t="s">
        <v>24623</v>
      </c>
      <c r="D7566" s="5"/>
      <c r="F7566" s="5" t="s">
        <v>47262</v>
      </c>
      <c r="G7566" s="5"/>
      <c r="H7566" s="26">
        <v>6</v>
      </c>
      <c r="I7566" s="5" t="s">
        <v>47263</v>
      </c>
      <c r="J7566" s="5" t="s">
        <v>26292</v>
      </c>
      <c r="K7566" s="5" t="s">
        <v>355</v>
      </c>
      <c r="L7566" s="5"/>
      <c r="M7566" s="27">
        <v>32079168</v>
      </c>
      <c r="N7566" s="5"/>
      <c r="O7566" s="5" t="str">
        <v>7413024246</v>
      </c>
      <c r="P7566" s="27">
        <v>10000</v>
      </c>
      <c r="Q7566" s="5" t="s">
        <v>49059</v>
      </c>
      <c r="R7566" s="5"/>
      <c r="S7566" s="5" t="s">
        <v>49121</v>
      </c>
      <c r="T7566" s="28">
        <v>58028000</v>
      </c>
      <c r="U7566" s="28">
        <v>14402000</v>
      </c>
      <c r="V7566" s="28">
        <v>1229842000</v>
      </c>
      <c r="W7566" s="28">
        <v>57000000</v>
      </c>
      <c r="X7566" s="28">
        <v>927000</v>
      </c>
      <c r="Y7566" s="28">
        <v>1413481000</v>
      </c>
      <c r="Z7566" s="28">
        <v>118791000</v>
      </c>
      <c r="AA7566" s="28"/>
      <c r="AB7566" s="28"/>
      <c r="AC7566" s="28">
        <v>1236982000</v>
      </c>
      <c r="AD7566" s="28">
        <v>130803000</v>
      </c>
      <c r="AE7566" s="28">
        <v>6168937000</v>
      </c>
      <c r="AF7566" s="28">
        <v>159207000</v>
      </c>
      <c r="AG7566" s="11"/>
    </row>
    <row r="7567">
      <c r="A7567" s="7" t="s">
        <v>9116</v>
      </c>
      <c r="B7567" s="5" t="s">
        <v>17037</v>
      </c>
      <c r="C7567" s="5" t="s">
        <v>24624</v>
      </c>
      <c r="D7567" s="5" t="str">
        <v>772646231257</v>
      </c>
      <c r="E7567" s="0" t="e">
        <f>+7 (495) 9404829
+7 (383) 3280088
+7 (4232) 791054
+7 (495) 6408365
+7 (495) 6657757
+7 (499) 7544818
+7 (812) 4007757
+7 (81378) 52989
+7 (831) 2330255
+7 (8617) 762570</f>
        <v>#NAME?</v>
      </c>
      <c r="F7567" s="5" t="s">
        <v>47264</v>
      </c>
      <c r="G7567" s="5" t="s">
        <v>47265</v>
      </c>
      <c r="H7567" s="26">
        <v>15</v>
      </c>
      <c r="I7567" s="5" t="s">
        <v>47266</v>
      </c>
      <c r="J7567" s="5" t="s">
        <v>599</v>
      </c>
      <c r="K7567" s="5" t="s">
        <v>344</v>
      </c>
      <c r="L7567" s="5" t="s">
        <v>36732</v>
      </c>
      <c r="M7567" s="27"/>
      <c r="N7567" s="5"/>
      <c r="O7567" s="5" t="str">
        <v>7715679440</v>
      </c>
      <c r="P7567" s="27">
        <v>1000000</v>
      </c>
      <c r="Q7567" s="5" t="s">
        <v>49579</v>
      </c>
      <c r="R7567" s="5" t="s">
        <v>55208</v>
      </c>
      <c r="S7567" s="5" t="s">
        <v>60611</v>
      </c>
      <c r="T7567" s="28">
        <v>89166000</v>
      </c>
      <c r="U7567" s="28"/>
      <c r="V7567" s="28">
        <v>480309000</v>
      </c>
      <c r="W7567" s="28"/>
      <c r="X7567" s="28">
        <v>86716000</v>
      </c>
      <c r="Y7567" s="28">
        <v>671088000</v>
      </c>
      <c r="Z7567" s="28">
        <v>187652000</v>
      </c>
      <c r="AA7567" s="28">
        <v>48151000</v>
      </c>
      <c r="AB7567" s="28">
        <v>38100000</v>
      </c>
      <c r="AC7567" s="28">
        <v>344160000</v>
      </c>
      <c r="AD7567" s="28">
        <v>188652000</v>
      </c>
      <c r="AE7567" s="28">
        <v>3165691000</v>
      </c>
      <c r="AF7567" s="28">
        <v>33603000</v>
      </c>
      <c r="AG7567" s="11"/>
    </row>
    <row r="7568">
      <c r="A7568" s="7" t="s">
        <v>9117</v>
      </c>
      <c r="B7568" s="5" t="s">
        <v>17038</v>
      </c>
      <c r="C7568" s="5" t="s">
        <v>24625</v>
      </c>
      <c r="D7568" s="5" t="str">
        <v>781700397667</v>
      </c>
      <c r="E7568" s="0" t="e">
        <f>+7 (812) 6103030</f>
        <v>#NAME?</v>
      </c>
      <c r="F7568" s="5" t="s">
        <v>47267</v>
      </c>
      <c r="G7568" s="5" t="s">
        <v>47268</v>
      </c>
      <c r="H7568" s="26">
        <v>6.5</v>
      </c>
      <c r="I7568" s="5" t="s">
        <v>47269</v>
      </c>
      <c r="J7568" s="5" t="s">
        <v>27561</v>
      </c>
      <c r="K7568" s="5" t="s">
        <v>344</v>
      </c>
      <c r="L7568" s="5"/>
      <c r="M7568" s="27"/>
      <c r="N7568" s="5" t="s">
        <v>60612</v>
      </c>
      <c r="O7568" s="5" t="str">
        <v>7807127784</v>
      </c>
      <c r="P7568" s="27">
        <v>1951616233</v>
      </c>
      <c r="Q7568" s="5" t="s">
        <v>60613</v>
      </c>
      <c r="R7568" s="5"/>
      <c r="S7568" s="5" t="s">
        <v>60614</v>
      </c>
      <c r="T7568" s="28">
        <v>572351000</v>
      </c>
      <c r="U7568" s="28">
        <v>139121000</v>
      </c>
      <c r="V7568" s="28">
        <v>2478963000</v>
      </c>
      <c r="W7568" s="28">
        <v>64632000</v>
      </c>
      <c r="X7568" s="28">
        <v>95660000</v>
      </c>
      <c r="Y7568" s="28">
        <v>3423522000</v>
      </c>
      <c r="Z7568" s="28">
        <v>-171259000</v>
      </c>
      <c r="AA7568" s="28">
        <v>1365000</v>
      </c>
      <c r="AB7568" s="28">
        <v>1030000</v>
      </c>
      <c r="AC7568" s="28">
        <v>1616431000</v>
      </c>
      <c r="AD7568" s="28">
        <v>1780357000</v>
      </c>
      <c r="AE7568" s="28">
        <v>4158896000</v>
      </c>
      <c r="AF7568" s="28">
        <v>-92179000</v>
      </c>
      <c r="AG7568" s="11"/>
    </row>
    <row r="7569">
      <c r="A7569" s="7" t="s">
        <v>9118</v>
      </c>
      <c r="B7569" s="5" t="s">
        <v>17039</v>
      </c>
      <c r="C7569" s="5" t="s">
        <v>24626</v>
      </c>
      <c r="D7569" s="5" t="str">
        <v>780200764162</v>
      </c>
      <c r="E7569" s="0" t="e">
        <f>+7 (495) 6462000
+7 (495) 6462020
+7 (495) 7751497
+7 (495) 7751498
+7 (499) 6171389</f>
        <v>#NAME?</v>
      </c>
      <c r="F7569" s="5" t="s">
        <v>47270</v>
      </c>
      <c r="G7569" s="5"/>
      <c r="H7569" s="26">
        <v>15</v>
      </c>
      <c r="I7569" s="5" t="s">
        <v>47271</v>
      </c>
      <c r="J7569" s="5" t="s">
        <v>599</v>
      </c>
      <c r="K7569" s="5" t="s">
        <v>344</v>
      </c>
      <c r="L7569" s="5" t="s">
        <v>47272</v>
      </c>
      <c r="M7569" s="27">
        <v>480511</v>
      </c>
      <c r="N7569" s="5"/>
      <c r="O7569" s="5" t="str">
        <v>7722637955</v>
      </c>
      <c r="P7569" s="27">
        <v>7550000</v>
      </c>
      <c r="Q7569" s="5" t="s">
        <v>49009</v>
      </c>
      <c r="R7569" s="5" t="s">
        <v>60615</v>
      </c>
      <c r="S7569" s="5" t="s">
        <v>49010</v>
      </c>
      <c r="T7569" s="28">
        <v>236930000</v>
      </c>
      <c r="U7569" s="28">
        <v>1253000</v>
      </c>
      <c r="V7569" s="28">
        <v>546214000</v>
      </c>
      <c r="W7569" s="28">
        <v>68127000</v>
      </c>
      <c r="X7569" s="28">
        <v>60601000</v>
      </c>
      <c r="Y7569" s="28">
        <v>1344884000</v>
      </c>
      <c r="Z7569" s="28">
        <v>7421000</v>
      </c>
      <c r="AA7569" s="28">
        <v>77418000</v>
      </c>
      <c r="AB7569" s="28"/>
      <c r="AC7569" s="28">
        <v>587053000</v>
      </c>
      <c r="AD7569" s="28">
        <v>239959000</v>
      </c>
      <c r="AE7569" s="28">
        <v>4260375000</v>
      </c>
      <c r="AF7569" s="28">
        <v>-83736000</v>
      </c>
      <c r="AG7569" s="11"/>
    </row>
    <row r="7570">
      <c r="A7570" s="7" t="s">
        <v>9119</v>
      </c>
      <c r="B7570" s="5" t="s">
        <v>17040</v>
      </c>
      <c r="C7570" s="5" t="s">
        <v>24627</v>
      </c>
      <c r="D7570" s="5" t="str">
        <v>781455713350</v>
      </c>
      <c r="E7570" s="0" t="e">
        <f>+7 (812) 6009302</f>
        <v>#NAME?</v>
      </c>
      <c r="F7570" s="5" t="s">
        <v>47273</v>
      </c>
      <c r="G7570" s="5" t="s">
        <v>47274</v>
      </c>
      <c r="H7570" s="26">
        <v>3.5</v>
      </c>
      <c r="I7570" s="5" t="s">
        <v>47275</v>
      </c>
      <c r="J7570" s="5" t="s">
        <v>26229</v>
      </c>
      <c r="K7570" s="5" t="s">
        <v>344</v>
      </c>
      <c r="L7570" s="5"/>
      <c r="M7570" s="27"/>
      <c r="N7570" s="5"/>
      <c r="O7570" s="5" t="str">
        <v>7814763371</v>
      </c>
      <c r="P7570" s="27">
        <v>6873844000</v>
      </c>
      <c r="Q7570" s="5"/>
      <c r="R7570" s="5"/>
      <c r="S7570" s="5" t="s">
        <v>49053</v>
      </c>
      <c r="T7570" s="28">
        <v>2999787000</v>
      </c>
      <c r="U7570" s="28"/>
      <c r="V7570" s="28">
        <v>181495000</v>
      </c>
      <c r="W7570" s="28"/>
      <c r="X7570" s="28">
        <v>2325941000</v>
      </c>
      <c r="Y7570" s="28">
        <v>13278732000</v>
      </c>
      <c r="Z7570" s="28">
        <v>-10042225000</v>
      </c>
      <c r="AA7570" s="28">
        <v>10364776000</v>
      </c>
      <c r="AB7570" s="28">
        <v>42417000</v>
      </c>
      <c r="AC7570" s="28">
        <v>6042258000</v>
      </c>
      <c r="AD7570" s="28">
        <v>-3140446000</v>
      </c>
      <c r="AE7570" s="28">
        <v>5006358000</v>
      </c>
      <c r="AF7570" s="28">
        <v>-9995125000</v>
      </c>
      <c r="AG7570" s="11"/>
    </row>
    <row r="7571">
      <c r="A7571" s="7" t="s">
        <v>9120</v>
      </c>
      <c r="B7571" s="5" t="s">
        <v>17041</v>
      </c>
      <c r="C7571" s="5" t="s">
        <v>24628</v>
      </c>
      <c r="D7571" s="5" t="str">
        <v>770373733276</v>
      </c>
      <c r="E7571" s="0" t="e">
        <f>+7 (495) 7886267
+7 (495) 9884715
+7 (495) 2581434
+7 (495) 6625500
+7 (495) 6625501
+7 (495) 7884759
+7 (495) 7884859
+7 (495) 9884714
+7 (495) 9887414
+7 (495) 9887415</f>
        <v>#NAME?</v>
      </c>
      <c r="F7571" s="5" t="s">
        <v>47276</v>
      </c>
      <c r="G7571" s="5" t="s">
        <v>47277</v>
      </c>
      <c r="H7571" s="26">
        <v>16</v>
      </c>
      <c r="I7571" s="5" t="s">
        <v>47278</v>
      </c>
      <c r="J7571" s="5" t="s">
        <v>397</v>
      </c>
      <c r="K7571" s="5" t="s">
        <v>344</v>
      </c>
      <c r="L7571" s="5" t="s">
        <v>47279</v>
      </c>
      <c r="M7571" s="27"/>
      <c r="N7571" s="5"/>
      <c r="O7571" s="5" t="str">
        <v>7703623202</v>
      </c>
      <c r="P7571" s="27">
        <v>1856319500</v>
      </c>
      <c r="Q7571" s="5" t="s">
        <v>49009</v>
      </c>
      <c r="R7571" s="5"/>
      <c r="S7571" s="5" t="s">
        <v>52287</v>
      </c>
      <c r="T7571" s="28">
        <v>2995473000</v>
      </c>
      <c r="U7571" s="28">
        <v>29700000</v>
      </c>
      <c r="V7571" s="28">
        <v>1207050000</v>
      </c>
      <c r="W7571" s="28"/>
      <c r="X7571" s="28">
        <v>40525129000</v>
      </c>
      <c r="Y7571" s="28">
        <v>55384839000</v>
      </c>
      <c r="Z7571" s="28">
        <v>47794508000</v>
      </c>
      <c r="AA7571" s="28"/>
      <c r="AB7571" s="28"/>
      <c r="AC7571" s="28">
        <v>5410647000</v>
      </c>
      <c r="AD7571" s="28">
        <v>49651801000</v>
      </c>
      <c r="AE7571" s="28">
        <v>111951984000</v>
      </c>
      <c r="AF7571" s="28">
        <v>12600461000</v>
      </c>
      <c r="AG7571" s="11"/>
    </row>
    <row r="7572">
      <c r="A7572" s="7" t="s">
        <v>9121</v>
      </c>
      <c r="B7572" s="5" t="s">
        <v>17042</v>
      </c>
      <c r="C7572" s="5" t="s">
        <v>24629</v>
      </c>
      <c r="D7572" s="5" t="str">
        <v>772875028641</v>
      </c>
      <c r="E7572" s="0" t="e">
        <f>+7 (495) 9565172
+7 (495) 9565897
+7 (495) 9565926</f>
        <v>#NAME?</v>
      </c>
      <c r="F7572" s="5" t="s">
        <v>47280</v>
      </c>
      <c r="G7572" s="5"/>
      <c r="H7572" s="26">
        <v>9.5</v>
      </c>
      <c r="I7572" s="5" t="s">
        <v>47281</v>
      </c>
      <c r="J7572" s="5" t="s">
        <v>25446</v>
      </c>
      <c r="K7572" s="5" t="s">
        <v>344</v>
      </c>
      <c r="L7572" s="5" t="s">
        <v>47282</v>
      </c>
      <c r="M7572" s="27"/>
      <c r="N7572" s="5" t="s">
        <v>60616</v>
      </c>
      <c r="O7572" s="5" t="str">
        <v>7722811106</v>
      </c>
      <c r="P7572" s="27">
        <v>47703000</v>
      </c>
      <c r="Q7572" s="5" t="s">
        <v>60617</v>
      </c>
      <c r="R7572" s="5"/>
      <c r="S7572" s="5" t="s">
        <v>49496</v>
      </c>
      <c r="T7572" s="28">
        <v>7746000</v>
      </c>
      <c r="U7572" s="28"/>
      <c r="V7572" s="28">
        <v>1639831000</v>
      </c>
      <c r="W7572" s="28"/>
      <c r="X7572" s="28">
        <v>465682000</v>
      </c>
      <c r="Y7572" s="28">
        <v>2201149000</v>
      </c>
      <c r="Z7572" s="28">
        <v>534038000</v>
      </c>
      <c r="AA7572" s="28"/>
      <c r="AB7572" s="28"/>
      <c r="AC7572" s="28">
        <v>1617659000</v>
      </c>
      <c r="AD7572" s="28">
        <v>581741000</v>
      </c>
      <c r="AE7572" s="28">
        <v>17609095000</v>
      </c>
      <c r="AF7572" s="28">
        <v>193219000</v>
      </c>
      <c r="AG7572" s="11"/>
    </row>
    <row r="7573">
      <c r="A7573" s="7" t="s">
        <v>9122</v>
      </c>
      <c r="B7573" s="5" t="s">
        <v>17043</v>
      </c>
      <c r="C7573" s="5" t="s">
        <v>24630</v>
      </c>
      <c r="D7573" s="5" t="str">
        <v>781703514925</v>
      </c>
      <c r="E7573" s="0" t="e">
        <f>+7 (3412) 310840
+7 (3422) 255551
+7 (3422) 404111
+7 (3422) 651365
+7 (343) 2161620
+7 (343) 2165754
+7 (343) 2531955
+7 (343) 2720880
+7 (343) 3573155
+7 (345) 2380980
+7 (345) 2638880
+7 (346) 2609282
+7 (346) 2687210
+7 (3472) 165537
+7 (3472) 935001</f>
        <v>#NAME?</v>
      </c>
      <c r="F7573" s="5" t="s">
        <v>47283</v>
      </c>
      <c r="G7573" s="5" t="s">
        <v>47284</v>
      </c>
      <c r="H7573" s="26">
        <v>27.5</v>
      </c>
      <c r="I7573" s="5" t="s">
        <v>47285</v>
      </c>
      <c r="J7573" s="5" t="s">
        <v>678</v>
      </c>
      <c r="K7573" s="5" t="s">
        <v>344</v>
      </c>
      <c r="L7573" s="5" t="s">
        <v>47286</v>
      </c>
      <c r="M7573" s="27"/>
      <c r="N7573" s="5"/>
      <c r="O7573" s="5" t="str">
        <v>5035012687</v>
      </c>
      <c r="P7573" s="27">
        <v>64213200</v>
      </c>
      <c r="Q7573" s="5"/>
      <c r="R7573" s="5"/>
      <c r="S7573" s="5" t="s">
        <v>49425</v>
      </c>
      <c r="T7573" s="28">
        <v>309877000</v>
      </c>
      <c r="U7573" s="28"/>
      <c r="V7573" s="28">
        <v>376366000</v>
      </c>
      <c r="W7573" s="28"/>
      <c r="X7573" s="28">
        <v>87300000</v>
      </c>
      <c r="Y7573" s="28">
        <v>1824361000</v>
      </c>
      <c r="Z7573" s="28">
        <v>1093132000</v>
      </c>
      <c r="AA7573" s="28"/>
      <c r="AB7573" s="28"/>
      <c r="AC7573" s="28">
        <v>647506000</v>
      </c>
      <c r="AD7573" s="28">
        <v>1166985000</v>
      </c>
      <c r="AE7573" s="28">
        <v>5033989000</v>
      </c>
      <c r="AF7573" s="28">
        <v>203589000</v>
      </c>
      <c r="AG7573" s="11"/>
    </row>
    <row r="7574">
      <c r="A7574" s="7" t="s">
        <v>9123</v>
      </c>
      <c r="B7574" s="5" t="s">
        <v>17044</v>
      </c>
      <c r="C7574" s="5" t="s">
        <v>24631</v>
      </c>
      <c r="D7574" s="5" t="str">
        <v>771620111309</v>
      </c>
      <c r="E7574" s="0" t="e">
        <f>+7 (495) 6696799
+7 (495) 7878552
+7 (800) 7707263
+7 (812) 3131963
+7 (963) 6965168
+7 (968) 7225353</f>
        <v>#NAME?</v>
      </c>
      <c r="F7574" s="5"/>
      <c r="G7574" s="5"/>
      <c r="H7574" s="26">
        <v>8</v>
      </c>
      <c r="I7574" s="5" t="s">
        <v>47287</v>
      </c>
      <c r="J7574" s="5" t="s">
        <v>678</v>
      </c>
      <c r="K7574" s="5" t="s">
        <v>344</v>
      </c>
      <c r="L7574" s="5" t="s">
        <v>47288</v>
      </c>
      <c r="M7574" s="27"/>
      <c r="N7574" s="5"/>
      <c r="O7574" s="5" t="str">
        <v>7716240782</v>
      </c>
      <c r="P7574" s="27">
        <v>6000000</v>
      </c>
      <c r="Q7574" s="5" t="s">
        <v>49009</v>
      </c>
      <c r="R7574" s="5"/>
      <c r="S7574" s="5" t="s">
        <v>49066</v>
      </c>
      <c r="T7574" s="28">
        <v>22144000</v>
      </c>
      <c r="U7574" s="28"/>
      <c r="V7574" s="28">
        <v>2388955000</v>
      </c>
      <c r="W7574" s="28"/>
      <c r="X7574" s="28">
        <v>69264000</v>
      </c>
      <c r="Y7574" s="28">
        <v>6031333000</v>
      </c>
      <c r="Z7574" s="28">
        <v>778042000</v>
      </c>
      <c r="AA7574" s="28"/>
      <c r="AB7574" s="28"/>
      <c r="AC7574" s="28">
        <v>4946412000</v>
      </c>
      <c r="AD7574" s="28">
        <v>784042000</v>
      </c>
      <c r="AE7574" s="28">
        <v>10851382000</v>
      </c>
      <c r="AF7574" s="28">
        <v>1263900000</v>
      </c>
      <c r="AG7574" s="11"/>
    </row>
    <row r="7575">
      <c r="A7575" s="7" t="s">
        <v>9124</v>
      </c>
      <c r="B7575" s="5" t="s">
        <v>17045</v>
      </c>
      <c r="C7575" s="5" t="s">
        <v>24632</v>
      </c>
      <c r="D7575" s="5" t="str">
        <v>234306674369</v>
      </c>
      <c r="E7575" s="0" t="e">
        <f>+7 (495) 7925257
+7 (495) 6621362
+7 (495) 7925251
+7 (495) 7925252
+7 (495) 7925253
+7 (495) 7925263
+7 (495) 7925274
+7 (49679) 25252
+7 (800) 7005252</f>
        <v>#NAME?</v>
      </c>
      <c r="F7575" s="5" t="s">
        <v>47289</v>
      </c>
      <c r="G7575" s="5"/>
      <c r="H7575" s="26">
        <v>30</v>
      </c>
      <c r="I7575" s="5"/>
      <c r="J7575" s="5" t="s">
        <v>25216</v>
      </c>
      <c r="K7575" s="5" t="s">
        <v>344</v>
      </c>
      <c r="L7575" s="5" t="s">
        <v>47290</v>
      </c>
      <c r="M7575" s="27">
        <v>266965022</v>
      </c>
      <c r="N7575" s="5" t="s">
        <v>60618</v>
      </c>
      <c r="O7575" s="5" t="str">
        <v>7710050305</v>
      </c>
      <c r="P7575" s="27">
        <v>500015000</v>
      </c>
      <c r="Q7575" s="5" t="s">
        <v>60619</v>
      </c>
      <c r="R7575" s="5"/>
      <c r="S7575" s="5" t="s">
        <v>49020</v>
      </c>
      <c r="T7575" s="28">
        <v>866125000</v>
      </c>
      <c r="U7575" s="28"/>
      <c r="V7575" s="28">
        <v>1032079000</v>
      </c>
      <c r="W7575" s="28"/>
      <c r="X7575" s="28">
        <v>808925000</v>
      </c>
      <c r="Y7575" s="28">
        <v>5771889000</v>
      </c>
      <c r="Z7575" s="28">
        <v>831600000</v>
      </c>
      <c r="AA7575" s="28"/>
      <c r="AB7575" s="28">
        <v>887450000</v>
      </c>
      <c r="AC7575" s="28">
        <v>4397342000</v>
      </c>
      <c r="AD7575" s="28">
        <v>1366374000</v>
      </c>
      <c r="AE7575" s="28">
        <v>9154608000</v>
      </c>
      <c r="AF7575" s="28">
        <v>115690000</v>
      </c>
      <c r="AG7575" s="11"/>
    </row>
    <row r="7576">
      <c r="A7576" s="7" t="s">
        <v>9125</v>
      </c>
      <c r="B7576" s="5" t="s">
        <v>17046</v>
      </c>
      <c r="C7576" s="5" t="s">
        <v>24633</v>
      </c>
      <c r="D7576" s="5" t="str">
        <v>772341473340</v>
      </c>
      <c r="E7576" s="0" t="e">
        <f>+7 (495) 9849037
+7 (985) 2117493</f>
        <v>#NAME?</v>
      </c>
      <c r="F7576" s="5" t="s">
        <v>47291</v>
      </c>
      <c r="G7576" s="5"/>
      <c r="H7576" s="26">
        <v>13.5</v>
      </c>
      <c r="I7576" s="5" t="s">
        <v>47292</v>
      </c>
      <c r="J7576" s="5" t="s">
        <v>25512</v>
      </c>
      <c r="K7576" s="5" t="s">
        <v>344</v>
      </c>
      <c r="L7576" s="5" t="s">
        <v>47293</v>
      </c>
      <c r="M7576" s="27"/>
      <c r="N7576" s="5"/>
      <c r="O7576" s="5" t="str">
        <v>7722698933</v>
      </c>
      <c r="P7576" s="27">
        <v>10000</v>
      </c>
      <c r="Q7576" s="5" t="s">
        <v>49057</v>
      </c>
      <c r="R7576" s="5"/>
      <c r="S7576" s="5" t="s">
        <v>49101</v>
      </c>
      <c r="T7576" s="28">
        <v>80476000</v>
      </c>
      <c r="U7576" s="28"/>
      <c r="V7576" s="28">
        <v>908591000</v>
      </c>
      <c r="W7576" s="28">
        <v>21000000</v>
      </c>
      <c r="X7576" s="28">
        <v>425498000</v>
      </c>
      <c r="Y7576" s="28">
        <v>1807258000</v>
      </c>
      <c r="Z7576" s="28">
        <v>1613649000</v>
      </c>
      <c r="AA7576" s="28"/>
      <c r="AB7576" s="28"/>
      <c r="AC7576" s="28">
        <v>183103000</v>
      </c>
      <c r="AD7576" s="28">
        <v>1613659000</v>
      </c>
      <c r="AE7576" s="28">
        <v>5522915000</v>
      </c>
      <c r="AF7576" s="28">
        <v>690192000</v>
      </c>
      <c r="AG7576" s="11"/>
    </row>
    <row r="7577">
      <c r="A7577" s="7" t="s">
        <v>9126</v>
      </c>
      <c r="B7577" s="5" t="s">
        <v>17047</v>
      </c>
      <c r="C7577" s="5" t="s">
        <v>24634</v>
      </c>
      <c r="D7577" s="5" t="str">
        <v>470903236500</v>
      </c>
      <c r="E7577" s="0" t="e">
        <f>+7 (861) 2103933
+7 (861) 2981597
+7 (861) 2103833
+7 (861) 2980697</f>
        <v>#NAME?</v>
      </c>
      <c r="F7577" s="5" t="s">
        <v>47294</v>
      </c>
      <c r="G7577" s="5"/>
      <c r="H7577" s="26">
        <v>12</v>
      </c>
      <c r="I7577" s="5" t="s">
        <v>47295</v>
      </c>
      <c r="J7577" s="5" t="s">
        <v>31123</v>
      </c>
      <c r="K7577" s="5" t="s">
        <v>344</v>
      </c>
      <c r="L7577" s="5" t="s">
        <v>47296</v>
      </c>
      <c r="M7577" s="27"/>
      <c r="N7577" s="5"/>
      <c r="O7577" s="5" t="str">
        <v>2311132878</v>
      </c>
      <c r="P7577" s="27">
        <v>150000</v>
      </c>
      <c r="Q7577" s="5" t="s">
        <v>60620</v>
      </c>
      <c r="R7577" s="5"/>
      <c r="S7577" s="5" t="s">
        <v>60621</v>
      </c>
      <c r="T7577" s="28">
        <v>31958000</v>
      </c>
      <c r="U7577" s="28"/>
      <c r="V7577" s="28">
        <v>477627000</v>
      </c>
      <c r="W7577" s="28">
        <v>141371000</v>
      </c>
      <c r="X7577" s="28">
        <v>1093000</v>
      </c>
      <c r="Y7577" s="28">
        <v>856871000</v>
      </c>
      <c r="Z7577" s="28">
        <v>149048000</v>
      </c>
      <c r="AA7577" s="28"/>
      <c r="AB7577" s="28">
        <v>204878000</v>
      </c>
      <c r="AC7577" s="28">
        <v>681113000</v>
      </c>
      <c r="AD7577" s="28">
        <v>149198000</v>
      </c>
      <c r="AE7577" s="28">
        <v>6026415000</v>
      </c>
      <c r="AF7577" s="28">
        <v>112492000</v>
      </c>
      <c r="AG7577" s="11"/>
    </row>
    <row r="7578">
      <c r="A7578" s="7" t="s">
        <v>9127</v>
      </c>
      <c r="B7578" s="5" t="s">
        <v>17048</v>
      </c>
      <c r="C7578" s="5" t="s">
        <v>24635</v>
      </c>
      <c r="D7578" s="5" t="str">
        <v>772012622500</v>
      </c>
      <c r="E7578" s="0" t="e">
        <f>+7 (495) 2155579
+7 (495) 2300392
+7 (495) 6481479
+7 (495) 7108637
+7 (495) 7108642</f>
        <v>#NAME?</v>
      </c>
      <c r="F7578" s="5"/>
      <c r="G7578" s="5" t="s">
        <v>47297</v>
      </c>
      <c r="H7578" s="26">
        <v>11.5</v>
      </c>
      <c r="I7578" s="5" t="s">
        <v>47298</v>
      </c>
      <c r="J7578" s="5" t="s">
        <v>25512</v>
      </c>
      <c r="K7578" s="5" t="s">
        <v>344</v>
      </c>
      <c r="L7578" s="5" t="s">
        <v>47299</v>
      </c>
      <c r="M7578" s="27">
        <v>132796675</v>
      </c>
      <c r="N7578" s="5"/>
      <c r="O7578" s="5" t="str">
        <v>7716698163</v>
      </c>
      <c r="P7578" s="27">
        <v>1000000</v>
      </c>
      <c r="Q7578" s="5" t="s">
        <v>49057</v>
      </c>
      <c r="R7578" s="5"/>
      <c r="S7578" s="5" t="s">
        <v>54102</v>
      </c>
      <c r="T7578" s="28">
        <v>7353000</v>
      </c>
      <c r="U7578" s="28"/>
      <c r="V7578" s="28">
        <v>1378508000</v>
      </c>
      <c r="W7578" s="28">
        <v>23085000</v>
      </c>
      <c r="X7578" s="28">
        <v>50261000</v>
      </c>
      <c r="Y7578" s="28">
        <v>2690381000</v>
      </c>
      <c r="Z7578" s="28">
        <v>283117000</v>
      </c>
      <c r="AA7578" s="28">
        <v>588912000</v>
      </c>
      <c r="AB7578" s="28"/>
      <c r="AC7578" s="28">
        <v>1817353000</v>
      </c>
      <c r="AD7578" s="28">
        <v>284117000</v>
      </c>
      <c r="AE7578" s="28">
        <v>4230846000</v>
      </c>
      <c r="AF7578" s="28">
        <v>64808000</v>
      </c>
      <c r="AG7578" s="11"/>
    </row>
    <row r="7579">
      <c r="A7579" s="7" t="s">
        <v>9128</v>
      </c>
      <c r="B7579" s="5" t="s">
        <v>17049</v>
      </c>
      <c r="C7579" s="5" t="s">
        <v>24636</v>
      </c>
      <c r="D7579" s="5" t="str">
        <v>590809685937</v>
      </c>
      <c r="E7579" s="0" t="e">
        <f>+7 (912) 4831111
+7 (342) 4730111
+7 (3422) 250206
+7 (3422) 836560
+7 (3422) 837229
+7 (3422) 837781</f>
        <v>#NAME?</v>
      </c>
      <c r="F7579" s="5" t="s">
        <v>47300</v>
      </c>
      <c r="G7579" s="5" t="s">
        <v>47301</v>
      </c>
      <c r="H7579" s="26">
        <v>20</v>
      </c>
      <c r="I7579" s="5" t="s">
        <v>47302</v>
      </c>
      <c r="J7579" s="5" t="s">
        <v>26770</v>
      </c>
      <c r="K7579" s="5" t="s">
        <v>344</v>
      </c>
      <c r="L7579" s="5" t="s">
        <v>47303</v>
      </c>
      <c r="M7579" s="27"/>
      <c r="N7579" s="5" t="s">
        <v>60622</v>
      </c>
      <c r="O7579" s="5" t="str">
        <v>5916014057</v>
      </c>
      <c r="P7579" s="27">
        <v>1000000</v>
      </c>
      <c r="Q7579" s="5" t="s">
        <v>49009</v>
      </c>
      <c r="R7579" s="5"/>
      <c r="S7579" s="5" t="s">
        <v>49085</v>
      </c>
      <c r="T7579" s="28">
        <v>216732000</v>
      </c>
      <c r="U7579" s="28">
        <v>12239000</v>
      </c>
      <c r="V7579" s="28">
        <v>1684683000</v>
      </c>
      <c r="W7579" s="28">
        <v>96777000</v>
      </c>
      <c r="X7579" s="28">
        <v>168000</v>
      </c>
      <c r="Y7579" s="28">
        <v>3141359000</v>
      </c>
      <c r="Z7579" s="28">
        <v>2026786000</v>
      </c>
      <c r="AA7579" s="28"/>
      <c r="AB7579" s="28">
        <v>311930000</v>
      </c>
      <c r="AC7579" s="28">
        <v>1071798000</v>
      </c>
      <c r="AD7579" s="28">
        <v>2027786000</v>
      </c>
      <c r="AE7579" s="28">
        <v>7685721000</v>
      </c>
      <c r="AF7579" s="28">
        <v>1007897000</v>
      </c>
      <c r="AG7579" s="11"/>
    </row>
    <row r="7580">
      <c r="A7580" s="7" t="s">
        <v>9128</v>
      </c>
      <c r="B7580" s="5" t="s">
        <v>17050</v>
      </c>
      <c r="C7580" s="5" t="s">
        <v>24637</v>
      </c>
      <c r="D7580" s="5" t="str">
        <v>771303630663</v>
      </c>
      <c r="F7580" s="5"/>
      <c r="G7580" s="5"/>
      <c r="H7580" s="26">
        <v>7</v>
      </c>
      <c r="I7580" s="5" t="s">
        <v>47304</v>
      </c>
      <c r="J7580" s="5" t="s">
        <v>373</v>
      </c>
      <c r="K7580" s="5" t="s">
        <v>344</v>
      </c>
      <c r="L7580" s="5" t="s">
        <v>47305</v>
      </c>
      <c r="M7580" s="27"/>
      <c r="N7580" s="5"/>
      <c r="O7580" s="5" t="str">
        <v>7720329313</v>
      </c>
      <c r="P7580" s="27">
        <v>300000</v>
      </c>
      <c r="Q7580" s="5" t="s">
        <v>49059</v>
      </c>
      <c r="R7580" s="5"/>
      <c r="S7580" s="5" t="s">
        <v>49452</v>
      </c>
      <c r="T7580" s="28">
        <v>47000</v>
      </c>
      <c r="U7580" s="28"/>
      <c r="V7580" s="28">
        <v>205713000</v>
      </c>
      <c r="W7580" s="28"/>
      <c r="X7580" s="28">
        <v>330000</v>
      </c>
      <c r="Y7580" s="28">
        <v>206151000</v>
      </c>
      <c r="Z7580" s="28">
        <v>65839000</v>
      </c>
      <c r="AA7580" s="28">
        <v>23500000</v>
      </c>
      <c r="AB7580" s="28">
        <v>112040000</v>
      </c>
      <c r="AC7580" s="28">
        <v>116512000</v>
      </c>
      <c r="AD7580" s="28">
        <v>66139000</v>
      </c>
      <c r="AE7580" s="28">
        <v>3478286000</v>
      </c>
      <c r="AF7580" s="28">
        <v>39882000</v>
      </c>
      <c r="AG7580" s="11"/>
    </row>
    <row r="7581">
      <c r="A7581" s="7" t="s">
        <v>9129</v>
      </c>
      <c r="B7581" s="5" t="s">
        <v>17051</v>
      </c>
      <c r="C7581" s="5" t="s">
        <v>24638</v>
      </c>
      <c r="D7581" s="5"/>
      <c r="E7581" s="0" t="e">
        <f>+7 (8352) 735555
+7 (8352) 735315
+7 (800) 1004465
+7 (8352) 730573
+7 (8352) 735005
+7 (8352) 735030
+7 (8352) 735055
+7 (8352) 735278
+7 (8352) 735358
+7 (8352) 738723
+7 (8352) 740273</f>
        <v>#NAME?</v>
      </c>
      <c r="F7581" s="5" t="s">
        <v>47306</v>
      </c>
      <c r="G7581" s="5" t="s">
        <v>47307</v>
      </c>
      <c r="H7581" s="26">
        <v>28.5</v>
      </c>
      <c r="I7581" s="5"/>
      <c r="J7581" s="5" t="s">
        <v>25495</v>
      </c>
      <c r="K7581" s="5" t="s">
        <v>344</v>
      </c>
      <c r="L7581" s="5"/>
      <c r="M7581" s="27">
        <v>412701327</v>
      </c>
      <c r="N7581" s="5" t="s">
        <v>60623</v>
      </c>
      <c r="O7581" s="5" t="str">
        <v>2124009521</v>
      </c>
      <c r="P7581" s="27">
        <v>918526000</v>
      </c>
      <c r="Q7581" s="5" t="s">
        <v>60624</v>
      </c>
      <c r="R7581" s="5"/>
      <c r="S7581" s="5" t="s">
        <v>60625</v>
      </c>
      <c r="T7581" s="28">
        <v>5933767000</v>
      </c>
      <c r="U7581" s="28">
        <v>2132481000</v>
      </c>
      <c r="V7581" s="28">
        <v>2667275000</v>
      </c>
      <c r="W7581" s="28">
        <v>1207900000</v>
      </c>
      <c r="X7581" s="28">
        <v>387878000</v>
      </c>
      <c r="Y7581" s="28">
        <v>16335287000</v>
      </c>
      <c r="Z7581" s="28">
        <v>7570669000</v>
      </c>
      <c r="AA7581" s="28">
        <v>1262500000</v>
      </c>
      <c r="AB7581" s="28">
        <v>2097105000</v>
      </c>
      <c r="AC7581" s="28">
        <v>5652958000</v>
      </c>
      <c r="AD7581" s="28">
        <v>8817826000</v>
      </c>
      <c r="AE7581" s="28">
        <v>15082945000</v>
      </c>
      <c r="AF7581" s="28">
        <v>3037066000</v>
      </c>
      <c r="AG7581" s="11"/>
    </row>
    <row r="7582">
      <c r="A7582" s="7" t="s">
        <v>9130</v>
      </c>
      <c r="B7582" s="5" t="s">
        <v>17052</v>
      </c>
      <c r="C7582" s="5" t="s">
        <v>24639</v>
      </c>
      <c r="D7582" s="5" t="str">
        <v>771674822147</v>
      </c>
      <c r="E7582" s="0" t="e">
        <f>+7 (495) 5234799
+7 (495) 9944217</f>
        <v>#NAME?</v>
      </c>
      <c r="F7582" s="5" t="s">
        <v>47308</v>
      </c>
      <c r="G7582" s="5" t="s">
        <v>47309</v>
      </c>
      <c r="H7582" s="26">
        <v>10</v>
      </c>
      <c r="I7582" s="5"/>
      <c r="J7582" s="5" t="s">
        <v>25512</v>
      </c>
      <c r="K7582" s="5" t="s">
        <v>344</v>
      </c>
      <c r="L7582" s="5" t="s">
        <v>35530</v>
      </c>
      <c r="M7582" s="27"/>
      <c r="N7582" s="5" t="s">
        <v>60626</v>
      </c>
      <c r="O7582" s="5" t="str">
        <v>7733829641</v>
      </c>
      <c r="P7582" s="27">
        <v>10000</v>
      </c>
      <c r="Q7582" s="5" t="s">
        <v>60627</v>
      </c>
      <c r="R7582" s="5"/>
      <c r="S7582" s="5" t="s">
        <v>50290</v>
      </c>
      <c r="T7582" s="28"/>
      <c r="U7582" s="28"/>
      <c r="V7582" s="28">
        <v>935953000</v>
      </c>
      <c r="W7582" s="28"/>
      <c r="X7582" s="28">
        <v>28369000</v>
      </c>
      <c r="Y7582" s="28">
        <v>2342436000</v>
      </c>
      <c r="Z7582" s="28">
        <v>1023249000</v>
      </c>
      <c r="AA7582" s="28"/>
      <c r="AB7582" s="28">
        <v>442130000</v>
      </c>
      <c r="AC7582" s="28">
        <v>1318511000</v>
      </c>
      <c r="AD7582" s="28">
        <v>1023259000</v>
      </c>
      <c r="AE7582" s="28">
        <v>5193496000</v>
      </c>
      <c r="AF7582" s="28">
        <v>845628000</v>
      </c>
      <c r="AG7582" s="11"/>
    </row>
    <row r="7583">
      <c r="A7583" s="7" t="s">
        <v>9131</v>
      </c>
      <c r="B7583" s="5" t="s">
        <v>17053</v>
      </c>
      <c r="C7583" s="5" t="s">
        <v>24640</v>
      </c>
      <c r="D7583" s="5" t="str">
        <v>771503012449</v>
      </c>
      <c r="E7583" s="0" t="e">
        <f>+7 (495) 2343799
+7 (495) 2767729
+7 (495) 6255151
+7 (499) 2343799</f>
        <v>#NAME?</v>
      </c>
      <c r="F7583" s="5" t="s">
        <v>47310</v>
      </c>
      <c r="G7583" s="5" t="s">
        <v>47309</v>
      </c>
      <c r="H7583" s="26">
        <v>20.5</v>
      </c>
      <c r="I7583" s="5"/>
      <c r="J7583" s="5" t="s">
        <v>32521</v>
      </c>
      <c r="K7583" s="5" t="s">
        <v>344</v>
      </c>
      <c r="L7583" s="5" t="s">
        <v>47311</v>
      </c>
      <c r="M7583" s="27"/>
      <c r="N7583" s="5" t="s">
        <v>60628</v>
      </c>
      <c r="O7583" s="5" t="str">
        <v>7733133678</v>
      </c>
      <c r="P7583" s="27">
        <v>50000</v>
      </c>
      <c r="Q7583" s="5"/>
      <c r="R7583" s="5"/>
      <c r="S7583" s="5" t="s">
        <v>50538</v>
      </c>
      <c r="T7583" s="28"/>
      <c r="U7583" s="28"/>
      <c r="V7583" s="28">
        <v>763840000</v>
      </c>
      <c r="W7583" s="28">
        <v>3877237000</v>
      </c>
      <c r="X7583" s="28">
        <v>147715000</v>
      </c>
      <c r="Y7583" s="28">
        <v>4810869000</v>
      </c>
      <c r="Z7583" s="28">
        <v>3854211000</v>
      </c>
      <c r="AA7583" s="28"/>
      <c r="AB7583" s="28">
        <v>650913000</v>
      </c>
      <c r="AC7583" s="28">
        <v>955803000</v>
      </c>
      <c r="AD7583" s="28">
        <v>3854261000</v>
      </c>
      <c r="AE7583" s="28">
        <v>13858096000</v>
      </c>
      <c r="AF7583" s="28">
        <v>985924000</v>
      </c>
      <c r="AG7583" s="11"/>
    </row>
    <row r="7584">
      <c r="A7584" s="7" t="s">
        <v>9132</v>
      </c>
      <c r="B7584" s="5" t="s">
        <v>17054</v>
      </c>
      <c r="C7584" s="5" t="s">
        <v>22167</v>
      </c>
      <c r="D7584" s="5" t="str">
        <v>230903587105</v>
      </c>
      <c r="E7584" s="0" t="e">
        <f>+7 (918) 595641
+7 (928) 2838990</f>
        <v>#NAME?</v>
      </c>
      <c r="F7584" s="5" t="s">
        <v>47312</v>
      </c>
      <c r="G7584" s="5"/>
      <c r="H7584" s="26">
        <v>15.5</v>
      </c>
      <c r="I7584" s="5" t="s">
        <v>39758</v>
      </c>
      <c r="J7584" s="5" t="s">
        <v>25262</v>
      </c>
      <c r="K7584" s="5" t="s">
        <v>344</v>
      </c>
      <c r="L7584" s="5" t="s">
        <v>47313</v>
      </c>
      <c r="M7584" s="27"/>
      <c r="N7584" s="5" t="s">
        <v>60629</v>
      </c>
      <c r="O7584" s="5" t="str">
        <v>2312141890</v>
      </c>
      <c r="P7584" s="27">
        <v>10000</v>
      </c>
      <c r="Q7584" s="5" t="s">
        <v>49207</v>
      </c>
      <c r="R7584" s="5"/>
      <c r="S7584" s="5" t="s">
        <v>51253</v>
      </c>
      <c r="T7584" s="28">
        <v>269039000</v>
      </c>
      <c r="U7584" s="28">
        <v>17652000</v>
      </c>
      <c r="V7584" s="28">
        <v>2083384000</v>
      </c>
      <c r="W7584" s="28"/>
      <c r="X7584" s="28">
        <v>26126000</v>
      </c>
      <c r="Y7584" s="28">
        <v>3662831000</v>
      </c>
      <c r="Z7584" s="28">
        <v>928881000</v>
      </c>
      <c r="AA7584" s="28"/>
      <c r="AB7584" s="28">
        <v>489500000</v>
      </c>
      <c r="AC7584" s="28">
        <v>2663925000</v>
      </c>
      <c r="AD7584" s="28">
        <v>928891000</v>
      </c>
      <c r="AE7584" s="28">
        <v>6479192000</v>
      </c>
      <c r="AF7584" s="28">
        <v>376293000</v>
      </c>
      <c r="AG7584" s="11"/>
    </row>
    <row r="7585">
      <c r="A7585" s="7" t="s">
        <v>9133</v>
      </c>
      <c r="B7585" s="5" t="s">
        <v>17055</v>
      </c>
      <c r="C7585" s="5" t="s">
        <v>24641</v>
      </c>
      <c r="D7585" s="5" t="str">
        <v>645318945132</v>
      </c>
      <c r="E7585" s="0" t="e">
        <f>+7 (8452) 759059
+7 (999) 1715555
+7 (845) 2339499
+7 (8452) 208844
+7 (8452) 338698
+7 (902) 7171148
+7 (964) 9985705</f>
        <v>#NAME?</v>
      </c>
      <c r="F7585" s="5" t="s">
        <v>47314</v>
      </c>
      <c r="G7585" s="5" t="s">
        <v>47315</v>
      </c>
      <c r="H7585" s="26">
        <v>13</v>
      </c>
      <c r="I7585" s="5" t="s">
        <v>47316</v>
      </c>
      <c r="J7585" s="5" t="s">
        <v>42284</v>
      </c>
      <c r="K7585" s="5" t="s">
        <v>344</v>
      </c>
      <c r="L7585" s="5" t="s">
        <v>30247</v>
      </c>
      <c r="M7585" s="27">
        <v>7803347</v>
      </c>
      <c r="N7585" s="5" t="s">
        <v>60630</v>
      </c>
      <c r="O7585" s="5" t="str">
        <v>6454099048</v>
      </c>
      <c r="P7585" s="27">
        <v>1200000</v>
      </c>
      <c r="Q7585" s="5" t="s">
        <v>447</v>
      </c>
      <c r="R7585" s="5" t="s">
        <v>60631</v>
      </c>
      <c r="S7585" s="5" t="s">
        <v>60632</v>
      </c>
      <c r="T7585" s="28">
        <v>134111000</v>
      </c>
      <c r="U7585" s="28"/>
      <c r="V7585" s="28">
        <v>885405000</v>
      </c>
      <c r="W7585" s="28">
        <v>373480000</v>
      </c>
      <c r="X7585" s="28">
        <v>257775000</v>
      </c>
      <c r="Y7585" s="28">
        <v>1814337000</v>
      </c>
      <c r="Z7585" s="28">
        <v>289170000</v>
      </c>
      <c r="AA7585" s="28"/>
      <c r="AB7585" s="28">
        <v>338393000</v>
      </c>
      <c r="AC7585" s="28">
        <v>1463287000</v>
      </c>
      <c r="AD7585" s="28">
        <v>290382000</v>
      </c>
      <c r="AE7585" s="28">
        <v>4326285000</v>
      </c>
      <c r="AF7585" s="28">
        <v>147022000</v>
      </c>
      <c r="AG7585" s="11"/>
    </row>
    <row r="7586">
      <c r="A7586" s="7" t="s">
        <v>9134</v>
      </c>
      <c r="B7586" s="5" t="s">
        <v>17056</v>
      </c>
      <c r="C7586" s="5" t="s">
        <v>24642</v>
      </c>
      <c r="D7586" s="5" t="str">
        <v>380116974509</v>
      </c>
      <c r="E7586" s="0" t="e">
        <f>+7 (908) 6503188
+7 (395) 5528902
+7 (3955) 513051
+7 (902) 5606903</f>
        <v>#NAME?</v>
      </c>
      <c r="F7586" s="5" t="s">
        <v>47317</v>
      </c>
      <c r="G7586" s="5"/>
      <c r="H7586" s="26">
        <v>14.5</v>
      </c>
      <c r="I7586" s="5" t="s">
        <v>47318</v>
      </c>
      <c r="J7586" s="5" t="s">
        <v>25512</v>
      </c>
      <c r="K7586" s="5" t="s">
        <v>344</v>
      </c>
      <c r="L7586" s="5" t="s">
        <v>47319</v>
      </c>
      <c r="M7586" s="27">
        <v>2172900</v>
      </c>
      <c r="N7586" s="5" t="s">
        <v>60633</v>
      </c>
      <c r="O7586" s="5" t="str">
        <v>3801098120</v>
      </c>
      <c r="P7586" s="27">
        <v>310000</v>
      </c>
      <c r="Q7586" s="5" t="s">
        <v>49822</v>
      </c>
      <c r="R7586" s="5"/>
      <c r="S7586" s="5" t="s">
        <v>60634</v>
      </c>
      <c r="T7586" s="28">
        <v>56266000</v>
      </c>
      <c r="U7586" s="28"/>
      <c r="V7586" s="28">
        <v>207353000</v>
      </c>
      <c r="W7586" s="28">
        <v>5445000</v>
      </c>
      <c r="X7586" s="28">
        <v>478000</v>
      </c>
      <c r="Y7586" s="28">
        <v>347632000</v>
      </c>
      <c r="Z7586" s="28">
        <v>44626000</v>
      </c>
      <c r="AA7586" s="28"/>
      <c r="AB7586" s="28">
        <v>144182000</v>
      </c>
      <c r="AC7586" s="28">
        <v>291270000</v>
      </c>
      <c r="AD7586" s="28">
        <v>44936000</v>
      </c>
      <c r="AE7586" s="28">
        <v>3206742000</v>
      </c>
      <c r="AF7586" s="28">
        <v>19134000</v>
      </c>
      <c r="AG7586" s="11"/>
    </row>
    <row r="7587">
      <c r="A7587" s="7" t="s">
        <v>9135</v>
      </c>
      <c r="B7587" s="5" t="s">
        <v>17057</v>
      </c>
      <c r="C7587" s="5" t="s">
        <v>24643</v>
      </c>
      <c r="D7587" s="5" t="str">
        <v>973304512735</v>
      </c>
      <c r="E7587" s="0" t="e">
        <f>+7 (495) 3745544
+7 (4232) 600033</f>
        <v>#NAME?</v>
      </c>
      <c r="F7587" s="5" t="s">
        <v>47320</v>
      </c>
      <c r="G7587" s="5" t="s">
        <v>47321</v>
      </c>
      <c r="H7587" s="26">
        <v>14.5</v>
      </c>
      <c r="I7587" s="5" t="s">
        <v>47322</v>
      </c>
      <c r="J7587" s="5" t="s">
        <v>397</v>
      </c>
      <c r="K7587" s="5" t="s">
        <v>344</v>
      </c>
      <c r="L7587" s="5" t="s">
        <v>47323</v>
      </c>
      <c r="M7587" s="27"/>
      <c r="N7587" s="5"/>
      <c r="O7587" s="5" t="str">
        <v>7703669870</v>
      </c>
      <c r="P7587" s="27">
        <v>1065000000</v>
      </c>
      <c r="Q7587" s="5" t="s">
        <v>49535</v>
      </c>
      <c r="R7587" s="5"/>
      <c r="S7587" s="5" t="s">
        <v>50674</v>
      </c>
      <c r="T7587" s="28">
        <v>4999000</v>
      </c>
      <c r="U7587" s="28"/>
      <c r="V7587" s="28">
        <v>68181000</v>
      </c>
      <c r="W7587" s="28"/>
      <c r="X7587" s="28">
        <v>3326633000</v>
      </c>
      <c r="Y7587" s="28">
        <v>4509330000</v>
      </c>
      <c r="Z7587" s="28">
        <v>885993000</v>
      </c>
      <c r="AA7587" s="28"/>
      <c r="AB7587" s="28">
        <v>2027731000</v>
      </c>
      <c r="AC7587" s="28">
        <v>2468091000</v>
      </c>
      <c r="AD7587" s="28">
        <v>1950993000</v>
      </c>
      <c r="AE7587" s="28">
        <v>3814541000</v>
      </c>
      <c r="AF7587" s="28">
        <v>-886644000</v>
      </c>
      <c r="AG7587" s="11"/>
    </row>
    <row r="7588">
      <c r="A7588" s="7" t="s">
        <v>9136</v>
      </c>
      <c r="B7588" s="5" t="s">
        <v>17058</v>
      </c>
      <c r="C7588" s="5" t="s">
        <v>24644</v>
      </c>
      <c r="D7588" s="5" t="str">
        <v>772130122166</v>
      </c>
      <c r="E7588" s="0" t="e">
        <f>+7 (3012) 301275
+7 (3022) 995156
+7 (3422) 179702
+7 (3422) 179704
+7 (3432) 724141
+7 (345) 2683822
+7 (345) 2683833
+7 (346) 2774051
+7 (3472) 465858
+7 (3494) 944414
+7 (3512) 161116
+7 (381) 2907161
+7 (383) 3284041
+7 (383) 3284087
+7 (383) 3284094</f>
        <v>#NAME?</v>
      </c>
      <c r="F7588" s="5" t="s">
        <v>47324</v>
      </c>
      <c r="G7588" s="5"/>
      <c r="H7588" s="26">
        <v>6</v>
      </c>
      <c r="I7588" s="5" t="s">
        <v>47325</v>
      </c>
      <c r="J7588" s="5" t="s">
        <v>26918</v>
      </c>
      <c r="K7588" s="5" t="s">
        <v>344</v>
      </c>
      <c r="L7588" s="5" t="s">
        <v>47326</v>
      </c>
      <c r="M7588" s="27">
        <v>7387699</v>
      </c>
      <c r="N7588" s="5" t="s">
        <v>60635</v>
      </c>
      <c r="O7588" s="5" t="str">
        <v>7714960930</v>
      </c>
      <c r="P7588" s="27">
        <v>70000000</v>
      </c>
      <c r="Q7588" s="5" t="s">
        <v>60636</v>
      </c>
      <c r="R7588" s="5"/>
      <c r="S7588" s="5" t="s">
        <v>60637</v>
      </c>
      <c r="T7588" s="28">
        <v>475145000</v>
      </c>
      <c r="U7588" s="28"/>
      <c r="V7588" s="28">
        <v>604405000</v>
      </c>
      <c r="W7588" s="28">
        <v>1073000000</v>
      </c>
      <c r="X7588" s="28">
        <v>356177000</v>
      </c>
      <c r="Y7588" s="28">
        <v>5900887000</v>
      </c>
      <c r="Z7588" s="28">
        <v>1873522000</v>
      </c>
      <c r="AA7588" s="28"/>
      <c r="AB7588" s="28"/>
      <c r="AC7588" s="28">
        <v>3910480000</v>
      </c>
      <c r="AD7588" s="28">
        <v>1943522000</v>
      </c>
      <c r="AE7588" s="28">
        <v>14665042000</v>
      </c>
      <c r="AF7588" s="28">
        <v>2241973000</v>
      </c>
      <c r="AG7588" s="11"/>
    </row>
    <row r="7589">
      <c r="A7589" s="7" t="s">
        <v>9137</v>
      </c>
      <c r="B7589" s="5" t="s">
        <v>17059</v>
      </c>
      <c r="C7589" s="5" t="s">
        <v>24645</v>
      </c>
      <c r="D7589" s="5" t="str">
        <v>421801105201</v>
      </c>
      <c r="E7589" s="0" t="e">
        <f>+7 (3843) 991188
+7 (3843) 991277</f>
        <v>#NAME?</v>
      </c>
      <c r="F7589" s="5" t="s">
        <v>47327</v>
      </c>
      <c r="G7589" s="5"/>
      <c r="H7589" s="26">
        <v>19.5</v>
      </c>
      <c r="I7589" s="5" t="s">
        <v>47328</v>
      </c>
      <c r="J7589" s="5" t="s">
        <v>373</v>
      </c>
      <c r="K7589" s="5" t="s">
        <v>355</v>
      </c>
      <c r="L7589" s="5" t="s">
        <v>47329</v>
      </c>
      <c r="M7589" s="27">
        <v>2722200774</v>
      </c>
      <c r="N7589" s="5"/>
      <c r="O7589" s="5" t="str">
        <v>4238014695</v>
      </c>
      <c r="P7589" s="27">
        <v>15010000</v>
      </c>
      <c r="Q7589" s="5" t="s">
        <v>49057</v>
      </c>
      <c r="R7589" s="5"/>
      <c r="S7589" s="5" t="s">
        <v>53811</v>
      </c>
      <c r="T7589" s="28">
        <v>108441000</v>
      </c>
      <c r="U7589" s="28">
        <v>14887000</v>
      </c>
      <c r="V7589" s="28">
        <v>1552776000</v>
      </c>
      <c r="W7589" s="28">
        <v>50200000</v>
      </c>
      <c r="X7589" s="28">
        <v>48047000</v>
      </c>
      <c r="Y7589" s="28">
        <v>2059422000</v>
      </c>
      <c r="Z7589" s="28">
        <v>456946000</v>
      </c>
      <c r="AA7589" s="28">
        <v>594980000</v>
      </c>
      <c r="AB7589" s="28">
        <v>148877000</v>
      </c>
      <c r="AC7589" s="28">
        <v>932001000</v>
      </c>
      <c r="AD7589" s="28">
        <v>471956000</v>
      </c>
      <c r="AE7589" s="28">
        <v>6496219000</v>
      </c>
      <c r="AF7589" s="28">
        <v>228332000</v>
      </c>
      <c r="AG7589" s="11"/>
    </row>
    <row r="7590">
      <c r="A7590" s="7" t="s">
        <v>9138</v>
      </c>
      <c r="B7590" s="5" t="s">
        <v>17060</v>
      </c>
      <c r="C7590" s="5" t="s">
        <v>20635</v>
      </c>
      <c r="D7590" s="5"/>
      <c r="E7590" s="0" t="e">
        <f>+7 (35376) 6200
+7 (35376) 62153
+7 (47148) 94105
+7 (47241) 94455
+7 (4725) 372707
+7 (495) 7899997
+7 (495) 7899998
+7 (495) 9815555
+7 (495) 9819992</f>
        <v>#NAME?</v>
      </c>
      <c r="F7590" s="5" t="s">
        <v>47330</v>
      </c>
      <c r="G7590" s="5" t="s">
        <v>36069</v>
      </c>
      <c r="H7590" s="26">
        <v>22.5</v>
      </c>
      <c r="I7590" s="5" t="s">
        <v>47331</v>
      </c>
      <c r="J7590" s="5" t="s">
        <v>30185</v>
      </c>
      <c r="K7590" s="5" t="s">
        <v>344</v>
      </c>
      <c r="L7590" s="5"/>
      <c r="M7590" s="27"/>
      <c r="N7590" s="5"/>
      <c r="O7590" s="5" t="str">
        <v>7705392230</v>
      </c>
      <c r="P7590" s="27">
        <v>3745853000</v>
      </c>
      <c r="Q7590" s="5" t="s">
        <v>49021</v>
      </c>
      <c r="R7590" s="5"/>
      <c r="S7590" s="5" t="s">
        <v>52514</v>
      </c>
      <c r="T7590" s="28">
        <v>3777000</v>
      </c>
      <c r="U7590" s="28">
        <v>502706572000</v>
      </c>
      <c r="V7590" s="28">
        <v>1850025000</v>
      </c>
      <c r="W7590" s="28">
        <v>6681992000</v>
      </c>
      <c r="X7590" s="28">
        <v>7380767000</v>
      </c>
      <c r="Y7590" s="28">
        <v>518629718000</v>
      </c>
      <c r="Z7590" s="28">
        <v>418589947000</v>
      </c>
      <c r="AA7590" s="28">
        <v>84785811000</v>
      </c>
      <c r="AB7590" s="28">
        <v>11228417000</v>
      </c>
      <c r="AC7590" s="28">
        <v>11305209000</v>
      </c>
      <c r="AD7590" s="28">
        <v>422535049000</v>
      </c>
      <c r="AE7590" s="28">
        <v>121417162000</v>
      </c>
      <c r="AF7590" s="28">
        <v>110346287000</v>
      </c>
      <c r="AG7590" s="11"/>
    </row>
    <row r="7591">
      <c r="A7591" s="7" t="s">
        <v>9139</v>
      </c>
      <c r="B7591" s="5" t="s">
        <v>17061</v>
      </c>
      <c r="C7591" s="5" t="s">
        <v>24646</v>
      </c>
      <c r="D7591" s="5" t="str">
        <v>772814410765</v>
      </c>
      <c r="F7591" s="5"/>
      <c r="G7591" s="5" t="s">
        <v>47332</v>
      </c>
      <c r="H7591" s="26">
        <v>4.5</v>
      </c>
      <c r="I7591" s="5"/>
      <c r="J7591" s="5" t="s">
        <v>25376</v>
      </c>
      <c r="K7591" s="5" t="s">
        <v>355</v>
      </c>
      <c r="L7591" s="5" t="s">
        <v>47333</v>
      </c>
      <c r="M7591" s="27"/>
      <c r="N7591" s="5"/>
      <c r="O7591" s="5" t="str">
        <v>7706460690</v>
      </c>
      <c r="P7591" s="27">
        <v>300000000</v>
      </c>
      <c r="Q7591" s="5" t="s">
        <v>49009</v>
      </c>
      <c r="R7591" s="5"/>
      <c r="S7591" s="5" t="s">
        <v>49010</v>
      </c>
      <c r="T7591" s="28">
        <v>4175965000</v>
      </c>
      <c r="U7591" s="28">
        <v>9369515000</v>
      </c>
      <c r="V7591" s="28">
        <v>2105651000</v>
      </c>
      <c r="W7591" s="28">
        <v>5659817000</v>
      </c>
      <c r="X7591" s="28">
        <v>611198000</v>
      </c>
      <c r="Y7591" s="28">
        <v>22289245000</v>
      </c>
      <c r="Z7591" s="28">
        <v>1685719000</v>
      </c>
      <c r="AA7591" s="28">
        <v>15072729000</v>
      </c>
      <c r="AB7591" s="28">
        <v>3488731000</v>
      </c>
      <c r="AC7591" s="28">
        <v>4564881000</v>
      </c>
      <c r="AD7591" s="28">
        <v>2019829000</v>
      </c>
      <c r="AE7591" s="28">
        <v>16059329000</v>
      </c>
      <c r="AF7591" s="28">
        <v>419482000</v>
      </c>
      <c r="AG7591" s="11"/>
    </row>
    <row r="7592">
      <c r="A7592" s="7" t="s">
        <v>9140</v>
      </c>
      <c r="B7592" s="5" t="s">
        <v>17062</v>
      </c>
      <c r="C7592" s="5" t="s">
        <v>24647</v>
      </c>
      <c r="D7592" s="5" t="str">
        <v>504305474140</v>
      </c>
      <c r="F7592" s="5"/>
      <c r="G7592" s="5"/>
      <c r="H7592" s="26">
        <v>15</v>
      </c>
      <c r="I7592" s="5" t="s">
        <v>47334</v>
      </c>
      <c r="J7592" s="5" t="s">
        <v>31043</v>
      </c>
      <c r="K7592" s="5" t="s">
        <v>344</v>
      </c>
      <c r="L7592" s="5" t="s">
        <v>47335</v>
      </c>
      <c r="M7592" s="27"/>
      <c r="N7592" s="5" t="s">
        <v>60638</v>
      </c>
      <c r="O7592" s="5" t="str">
        <v>5030061585</v>
      </c>
      <c r="P7592" s="27">
        <v>500000</v>
      </c>
      <c r="Q7592" s="5" t="s">
        <v>60639</v>
      </c>
      <c r="R7592" s="5"/>
      <c r="S7592" s="5" t="s">
        <v>49012</v>
      </c>
      <c r="T7592" s="28">
        <v>20233000</v>
      </c>
      <c r="U7592" s="28">
        <v>30000</v>
      </c>
      <c r="V7592" s="28">
        <v>801897000</v>
      </c>
      <c r="W7592" s="28">
        <v>11720000</v>
      </c>
      <c r="X7592" s="28">
        <v>21244000</v>
      </c>
      <c r="Y7592" s="28">
        <v>910774000</v>
      </c>
      <c r="Z7592" s="28">
        <v>472662000</v>
      </c>
      <c r="AA7592" s="28"/>
      <c r="AB7592" s="28">
        <v>5002000</v>
      </c>
      <c r="AC7592" s="28">
        <v>392462000</v>
      </c>
      <c r="AD7592" s="28">
        <v>473237000</v>
      </c>
      <c r="AE7592" s="28">
        <v>3872875000</v>
      </c>
      <c r="AF7592" s="28">
        <v>143054000</v>
      </c>
      <c r="AG7592" s="11"/>
    </row>
    <row r="7593">
      <c r="A7593" s="7" t="s">
        <v>9141</v>
      </c>
      <c r="B7593" s="5" t="s">
        <v>17063</v>
      </c>
      <c r="C7593" s="5" t="s">
        <v>18866</v>
      </c>
      <c r="D7593" s="5"/>
      <c r="E7593" s="0" t="e">
        <f>+7 (343) 2478002
+7 (343) 2478900
+7 (343) 2478934
+7 (343) 3555858
+7 (3432) 425111
+7 (382) 2700800
+7 (800) 7000100</f>
        <v>#NAME?</v>
      </c>
      <c r="F7593" s="5" t="s">
        <v>47336</v>
      </c>
      <c r="G7593" s="5" t="s">
        <v>47337</v>
      </c>
      <c r="H7593" s="26">
        <v>11.5</v>
      </c>
      <c r="I7593" s="5" t="s">
        <v>47338</v>
      </c>
      <c r="J7593" s="5" t="s">
        <v>502</v>
      </c>
      <c r="K7593" s="5" t="s">
        <v>344</v>
      </c>
      <c r="L7593" s="5"/>
      <c r="M7593" s="27"/>
      <c r="N7593" s="5" t="s">
        <v>60640</v>
      </c>
      <c r="O7593" s="5" t="str">
        <v>6658388288</v>
      </c>
      <c r="P7593" s="27">
        <v>10000000</v>
      </c>
      <c r="Q7593" s="5" t="s">
        <v>60641</v>
      </c>
      <c r="R7593" s="5"/>
      <c r="S7593" s="5" t="s">
        <v>60642</v>
      </c>
      <c r="T7593" s="28">
        <v>22536000</v>
      </c>
      <c r="U7593" s="28">
        <v>5899476000</v>
      </c>
      <c r="V7593" s="28">
        <v>5037104000</v>
      </c>
      <c r="W7593" s="28">
        <v>3923000</v>
      </c>
      <c r="X7593" s="28">
        <v>4429428000</v>
      </c>
      <c r="Y7593" s="28">
        <v>15542440000</v>
      </c>
      <c r="Z7593" s="28">
        <v>563506000</v>
      </c>
      <c r="AA7593" s="28">
        <v>3828608000</v>
      </c>
      <c r="AB7593" s="28">
        <v>5743059000</v>
      </c>
      <c r="AC7593" s="28">
        <v>11132398000</v>
      </c>
      <c r="AD7593" s="28">
        <v>573506000</v>
      </c>
      <c r="AE7593" s="28">
        <v>62758718000</v>
      </c>
      <c r="AF7593" s="28">
        <v>165967000</v>
      </c>
      <c r="AG7593" s="11"/>
    </row>
    <row r="7594">
      <c r="A7594" s="7" t="s">
        <v>9142</v>
      </c>
      <c r="B7594" s="5" t="s">
        <v>17064</v>
      </c>
      <c r="C7594" s="5" t="s">
        <v>24648</v>
      </c>
      <c r="D7594" s="5" t="str">
        <v>666401399483</v>
      </c>
      <c r="E7594" s="0" t="e">
        <f>+7 (343) 2873083
+7 (952) 7336751</f>
        <v>#NAME?</v>
      </c>
      <c r="F7594" s="5" t="s">
        <v>47339</v>
      </c>
      <c r="G7594" s="5"/>
      <c r="H7594" s="26">
        <v>5</v>
      </c>
      <c r="I7594" s="5" t="s">
        <v>47340</v>
      </c>
      <c r="J7594" s="5" t="s">
        <v>25612</v>
      </c>
      <c r="K7594" s="5" t="s">
        <v>344</v>
      </c>
      <c r="L7594" s="5" t="s">
        <v>47341</v>
      </c>
      <c r="M7594" s="27">
        <v>492332</v>
      </c>
      <c r="N7594" s="5" t="s">
        <v>60643</v>
      </c>
      <c r="O7594" s="5" t="str">
        <v>6658515472</v>
      </c>
      <c r="P7594" s="27">
        <v>300000</v>
      </c>
      <c r="Q7594" s="5" t="s">
        <v>60644</v>
      </c>
      <c r="R7594" s="5"/>
      <c r="S7594" s="5" t="s">
        <v>49256</v>
      </c>
      <c r="T7594" s="28">
        <v>1177000</v>
      </c>
      <c r="U7594" s="28"/>
      <c r="V7594" s="28">
        <v>400891000</v>
      </c>
      <c r="W7594" s="28"/>
      <c r="X7594" s="28">
        <v>11853000</v>
      </c>
      <c r="Y7594" s="28">
        <v>455751000</v>
      </c>
      <c r="Z7594" s="28">
        <v>311074000</v>
      </c>
      <c r="AA7594" s="28"/>
      <c r="AB7594" s="28"/>
      <c r="AC7594" s="28">
        <v>143458000</v>
      </c>
      <c r="AD7594" s="28">
        <v>311374000</v>
      </c>
      <c r="AE7594" s="28">
        <v>3114301000</v>
      </c>
      <c r="AF7594" s="28">
        <v>289915000</v>
      </c>
      <c r="AG7594" s="11"/>
    </row>
    <row r="7595">
      <c r="A7595" s="7" t="s">
        <v>9143</v>
      </c>
      <c r="B7595" s="5" t="s">
        <v>17065</v>
      </c>
      <c r="C7595" s="5" t="s">
        <v>24649</v>
      </c>
      <c r="D7595" s="5" t="str">
        <v>770475739358</v>
      </c>
      <c r="E7595" s="0" t="e">
        <f>+7 (482) 2371400
+7 (482) 2371401
+7 (482) 2371402
+7 (495) 7307180
+7 (495) 9335133
+7 (905) 6030022</f>
        <v>#NAME?</v>
      </c>
      <c r="F7595" s="5"/>
      <c r="G7595" s="5" t="s">
        <v>47342</v>
      </c>
      <c r="H7595" s="26">
        <v>12</v>
      </c>
      <c r="I7595" s="5" t="s">
        <v>47343</v>
      </c>
      <c r="J7595" s="5" t="s">
        <v>27991</v>
      </c>
      <c r="K7595" s="5" t="s">
        <v>344</v>
      </c>
      <c r="L7595" s="5" t="s">
        <v>47344</v>
      </c>
      <c r="M7595" s="27"/>
      <c r="N7595" s="5"/>
      <c r="O7595" s="5" t="str">
        <v>6950130168</v>
      </c>
      <c r="P7595" s="27">
        <v>1739357000</v>
      </c>
      <c r="Q7595" s="5" t="s">
        <v>50516</v>
      </c>
      <c r="R7595" s="5"/>
      <c r="S7595" s="5" t="s">
        <v>60645</v>
      </c>
      <c r="T7595" s="28">
        <v>1869769000</v>
      </c>
      <c r="U7595" s="28"/>
      <c r="V7595" s="28">
        <v>4032397000</v>
      </c>
      <c r="W7595" s="28"/>
      <c r="X7595" s="28">
        <v>7681059000</v>
      </c>
      <c r="Y7595" s="28">
        <v>20615490000</v>
      </c>
      <c r="Z7595" s="28">
        <v>3074330000</v>
      </c>
      <c r="AA7595" s="28"/>
      <c r="AB7595" s="28">
        <v>7695467000</v>
      </c>
      <c r="AC7595" s="28">
        <v>14445013000</v>
      </c>
      <c r="AD7595" s="28">
        <v>5716508000</v>
      </c>
      <c r="AE7595" s="28">
        <v>17615248000</v>
      </c>
      <c r="AF7595" s="28">
        <v>757083000</v>
      </c>
      <c r="AG7595" s="11"/>
    </row>
    <row r="7596">
      <c r="A7596" s="7" t="s">
        <v>9144</v>
      </c>
      <c r="B7596" s="5" t="s">
        <v>17066</v>
      </c>
      <c r="C7596" s="5" t="s">
        <v>24650</v>
      </c>
      <c r="D7596" s="5" t="str">
        <v>281302519658</v>
      </c>
      <c r="E7596" s="0" t="e">
        <f>+7 (416) 2203170
+7 (416) 2203205
+7 (416) 2384521
+7 (914) 5354261
+7 (416) 2332602
+7 (416) 2494552
+7 (914) 5615855
+7 (961) 9560489
+7 (962) 2852289</f>
        <v>#NAME?</v>
      </c>
      <c r="F7596" s="5" t="s">
        <v>47345</v>
      </c>
      <c r="G7596" s="5" t="s">
        <v>47346</v>
      </c>
      <c r="H7596" s="26">
        <v>5</v>
      </c>
      <c r="I7596" s="5" t="s">
        <v>47347</v>
      </c>
      <c r="J7596" s="5" t="s">
        <v>25231</v>
      </c>
      <c r="K7596" s="5" t="s">
        <v>344</v>
      </c>
      <c r="L7596" s="5" t="s">
        <v>47348</v>
      </c>
      <c r="M7596" s="27"/>
      <c r="N7596" s="5" t="s">
        <v>60646</v>
      </c>
      <c r="O7596" s="5" t="str">
        <v>2801240167</v>
      </c>
      <c r="P7596" s="27">
        <v>10000</v>
      </c>
      <c r="Q7596" s="5"/>
      <c r="R7596" s="5" t="s">
        <v>59241</v>
      </c>
      <c r="S7596" s="5" t="s">
        <v>53269</v>
      </c>
      <c r="T7596" s="28">
        <v>634444000</v>
      </c>
      <c r="U7596" s="28"/>
      <c r="V7596" s="28">
        <v>300350000</v>
      </c>
      <c r="W7596" s="28"/>
      <c r="X7596" s="28">
        <v>496148000</v>
      </c>
      <c r="Y7596" s="28">
        <v>1592068000</v>
      </c>
      <c r="Z7596" s="28">
        <v>827655000</v>
      </c>
      <c r="AA7596" s="28">
        <v>32500000</v>
      </c>
      <c r="AB7596" s="28">
        <v>240169000</v>
      </c>
      <c r="AC7596" s="28">
        <v>621484000</v>
      </c>
      <c r="AD7596" s="28">
        <v>909543000</v>
      </c>
      <c r="AE7596" s="28">
        <v>10871015000</v>
      </c>
      <c r="AF7596" s="28">
        <v>266431000</v>
      </c>
      <c r="AG7596" s="11"/>
    </row>
    <row r="7597">
      <c r="A7597" s="7" t="s">
        <v>9145</v>
      </c>
      <c r="B7597" s="5" t="s">
        <v>17067</v>
      </c>
      <c r="C7597" s="5" t="s">
        <v>20249</v>
      </c>
      <c r="D7597" s="5" t="str">
        <v>780602509420</v>
      </c>
      <c r="E7597" s="0" t="e">
        <f>+7 (495) 2257200
+7 (495) 2257253
+7 (812) 1188313
+7 (812) 3137200
+7 (812) 3137201
+7 (812) 3137220
+7 (812) 3468546
+7 (812) 4497800
+7 (812) 4938300
+7 (812) 4938313
+7 (812) 4938333
+7 (812) 4938334
+7 (812) 4938340
+7 (812) 4938375
+7 (812) 4938381</f>
        <v>#NAME?</v>
      </c>
      <c r="F7597" s="5" t="s">
        <v>47349</v>
      </c>
      <c r="G7597" s="5" t="s">
        <v>47350</v>
      </c>
      <c r="H7597" s="26">
        <v>27.5</v>
      </c>
      <c r="I7597" s="5" t="s">
        <v>47351</v>
      </c>
      <c r="J7597" s="5" t="s">
        <v>27695</v>
      </c>
      <c r="K7597" s="5" t="s">
        <v>344</v>
      </c>
      <c r="L7597" s="5"/>
      <c r="M7597" s="27"/>
      <c r="N7597" s="5" t="s">
        <v>60647</v>
      </c>
      <c r="O7597" s="5" t="str">
        <v>7810356819</v>
      </c>
      <c r="P7597" s="27">
        <v>21270840</v>
      </c>
      <c r="Q7597" s="5" t="s">
        <v>49009</v>
      </c>
      <c r="R7597" s="5" t="s">
        <v>60648</v>
      </c>
      <c r="S7597" s="5" t="s">
        <v>49487</v>
      </c>
      <c r="T7597" s="28">
        <v>4464996000</v>
      </c>
      <c r="U7597" s="28">
        <v>5882000000</v>
      </c>
      <c r="V7597" s="28">
        <v>1500020000</v>
      </c>
      <c r="W7597" s="28"/>
      <c r="X7597" s="28">
        <v>1098259000</v>
      </c>
      <c r="Y7597" s="28">
        <v>13808796000</v>
      </c>
      <c r="Z7597" s="28">
        <v>7592170000</v>
      </c>
      <c r="AA7597" s="28">
        <v>3200000000</v>
      </c>
      <c r="AB7597" s="28">
        <v>91191000</v>
      </c>
      <c r="AC7597" s="28">
        <v>2071287000</v>
      </c>
      <c r="AD7597" s="28">
        <v>8409069000</v>
      </c>
      <c r="AE7597" s="28">
        <v>15064293000</v>
      </c>
      <c r="AF7597" s="28">
        <v>2014600000</v>
      </c>
      <c r="AG7597" s="11"/>
    </row>
    <row r="7598">
      <c r="A7598" s="7" t="s">
        <v>9146</v>
      </c>
      <c r="B7598" s="5" t="s">
        <v>17068</v>
      </c>
      <c r="C7598" s="5" t="s">
        <v>24651</v>
      </c>
      <c r="D7598" s="5" t="str">
        <v>780205275246</v>
      </c>
      <c r="E7598" s="0" t="e">
        <f>+7 (495) 1064379
+7 (495) 2560208
+7 (499) 2560208
+7 (499) 4900011
+7 (911) 2987755</f>
        <v>#NAME?</v>
      </c>
      <c r="F7598" s="5"/>
      <c r="G7598" s="5" t="s">
        <v>47352</v>
      </c>
      <c r="H7598" s="26">
        <v>27.5</v>
      </c>
      <c r="I7598" s="5"/>
      <c r="J7598" s="5" t="s">
        <v>364</v>
      </c>
      <c r="K7598" s="5" t="s">
        <v>344</v>
      </c>
      <c r="L7598" s="5"/>
      <c r="M7598" s="27"/>
      <c r="N7598" s="5"/>
      <c r="O7598" s="5" t="str">
        <v>7703627133</v>
      </c>
      <c r="P7598" s="27">
        <v>241600</v>
      </c>
      <c r="Q7598" s="5"/>
      <c r="R7598" s="5"/>
      <c r="S7598" s="5" t="s">
        <v>49121</v>
      </c>
      <c r="T7598" s="28">
        <v>734082000</v>
      </c>
      <c r="U7598" s="28"/>
      <c r="V7598" s="28">
        <v>1740566000</v>
      </c>
      <c r="W7598" s="28">
        <v>900000</v>
      </c>
      <c r="X7598" s="28">
        <v>319104000</v>
      </c>
      <c r="Y7598" s="28">
        <v>4789067000</v>
      </c>
      <c r="Z7598" s="28">
        <v>1686636000</v>
      </c>
      <c r="AA7598" s="28">
        <v>904942000</v>
      </c>
      <c r="AB7598" s="28">
        <v>76055000</v>
      </c>
      <c r="AC7598" s="28">
        <v>1995866000</v>
      </c>
      <c r="AD7598" s="28">
        <v>1888259000</v>
      </c>
      <c r="AE7598" s="28">
        <v>3796966000</v>
      </c>
      <c r="AF7598" s="28">
        <v>1444497000</v>
      </c>
      <c r="AG7598" s="11"/>
    </row>
    <row r="7599">
      <c r="A7599" s="7" t="s">
        <v>9147</v>
      </c>
      <c r="B7599" s="5" t="s">
        <v>17069</v>
      </c>
      <c r="C7599" s="5" t="s">
        <v>24652</v>
      </c>
      <c r="D7599" s="5" t="str">
        <v>662916314162</v>
      </c>
      <c r="E7599" s="0" t="e">
        <f>+7 (351) 7438314
+7 (3512) 689082
+7 (3517) 410364
+7 (3517) 418314
+7 (3517) 418364
+7 (3517) 418601
+7 (383) 2119330
+7 (48143) 35454
+7 (48143) 35758
+7 (495) 6642426
+7 (495) 7894607
+7 (495) 7894608
+7 (495) 7894623
+7 (495) 7894624
+7 (495) 7894632</f>
        <v>#NAME?</v>
      </c>
      <c r="F7599" s="5" t="s">
        <v>47353</v>
      </c>
      <c r="G7599" s="5"/>
      <c r="H7599" s="26">
        <v>23</v>
      </c>
      <c r="I7599" s="5"/>
      <c r="J7599" s="5" t="s">
        <v>26410</v>
      </c>
      <c r="K7599" s="5" t="s">
        <v>344</v>
      </c>
      <c r="L7599" s="5" t="s">
        <v>47354</v>
      </c>
      <c r="M7599" s="27">
        <v>4452909</v>
      </c>
      <c r="N7599" s="5"/>
      <c r="O7599" s="5" t="str">
        <v>7448027569</v>
      </c>
      <c r="P7599" s="27">
        <v>57120000</v>
      </c>
      <c r="Q7599" s="5" t="s">
        <v>49009</v>
      </c>
      <c r="R7599" s="5"/>
      <c r="S7599" s="5" t="s">
        <v>49028</v>
      </c>
      <c r="T7599" s="28">
        <v>6217336000</v>
      </c>
      <c r="U7599" s="28">
        <v>14971000</v>
      </c>
      <c r="V7599" s="28">
        <v>1610196000</v>
      </c>
      <c r="W7599" s="28"/>
      <c r="X7599" s="28">
        <v>1990204000</v>
      </c>
      <c r="Y7599" s="28">
        <v>11447060000</v>
      </c>
      <c r="Z7599" s="28">
        <v>5365418000</v>
      </c>
      <c r="AA7599" s="28">
        <v>1948435000</v>
      </c>
      <c r="AB7599" s="28">
        <v>472258000</v>
      </c>
      <c r="AC7599" s="28">
        <v>2639746000</v>
      </c>
      <c r="AD7599" s="28">
        <v>6289288000</v>
      </c>
      <c r="AE7599" s="28">
        <v>17427040000</v>
      </c>
      <c r="AF7599" s="28">
        <v>2052259000</v>
      </c>
      <c r="AG7599" s="11"/>
    </row>
    <row r="7600">
      <c r="A7600" s="7" t="s">
        <v>9148</v>
      </c>
      <c r="B7600" s="5" t="s">
        <v>17070</v>
      </c>
      <c r="C7600" s="5" t="s">
        <v>24653</v>
      </c>
      <c r="D7600" s="5" t="str">
        <v>772007374482</v>
      </c>
      <c r="E7600" s="0" t="e">
        <f>+7 (49646) 79555
+7 (495) 4247771
+7 (495) 6557575
+7 (495) 6657575
+7 (495) 6657665
+7 (495) 7299914</f>
        <v>#NAME?</v>
      </c>
      <c r="F7600" s="5" t="s">
        <v>47355</v>
      </c>
      <c r="G7600" s="5"/>
      <c r="H7600" s="26">
        <v>22.5</v>
      </c>
      <c r="I7600" s="5"/>
      <c r="J7600" s="5" t="s">
        <v>678</v>
      </c>
      <c r="K7600" s="5" t="s">
        <v>344</v>
      </c>
      <c r="L7600" s="5" t="s">
        <v>43805</v>
      </c>
      <c r="M7600" s="27"/>
      <c r="N7600" s="5"/>
      <c r="O7600" s="5" t="str">
        <v>5040050261</v>
      </c>
      <c r="P7600" s="27">
        <v>3500000</v>
      </c>
      <c r="Q7600" s="5" t="s">
        <v>49021</v>
      </c>
      <c r="R7600" s="5"/>
      <c r="S7600" s="5" t="s">
        <v>49033</v>
      </c>
      <c r="T7600" s="28">
        <v>4000</v>
      </c>
      <c r="U7600" s="28"/>
      <c r="V7600" s="28">
        <v>587427000</v>
      </c>
      <c r="W7600" s="28">
        <v>21154000</v>
      </c>
      <c r="X7600" s="28">
        <v>827000</v>
      </c>
      <c r="Y7600" s="28">
        <v>612858000</v>
      </c>
      <c r="Z7600" s="28">
        <v>176555000</v>
      </c>
      <c r="AA7600" s="28">
        <v>202585000</v>
      </c>
      <c r="AB7600" s="28">
        <v>14085000</v>
      </c>
      <c r="AC7600" s="28">
        <v>226607000</v>
      </c>
      <c r="AD7600" s="28">
        <v>180055000</v>
      </c>
      <c r="AE7600" s="28">
        <v>3425908000</v>
      </c>
      <c r="AF7600" s="28">
        <v>135565000</v>
      </c>
      <c r="AG7600" s="11"/>
    </row>
    <row r="7601">
      <c r="A7601" s="7" t="s">
        <v>9149</v>
      </c>
      <c r="B7601" s="5" t="s">
        <v>17071</v>
      </c>
      <c r="C7601" s="5" t="s">
        <v>24654</v>
      </c>
      <c r="D7601" s="5" t="str">
        <v>551003150058</v>
      </c>
      <c r="E7601" s="0" t="e">
        <f>+7 (346) 2358271
+7 (346) 2515220
+7 (343) 2178263
+7 (346) 2326999
+7 (346) 2500900
+7 (346) 2515656</f>
        <v>#NAME?</v>
      </c>
      <c r="F7601" s="5" t="s">
        <v>47356</v>
      </c>
      <c r="G7601" s="5"/>
      <c r="H7601" s="26">
        <v>24.5</v>
      </c>
      <c r="I7601" s="5" t="s">
        <v>47357</v>
      </c>
      <c r="J7601" s="5" t="s">
        <v>467</v>
      </c>
      <c r="K7601" s="5" t="s">
        <v>344</v>
      </c>
      <c r="L7601" s="5"/>
      <c r="M7601" s="27">
        <v>145493668</v>
      </c>
      <c r="N7601" s="5" t="s">
        <v>60649</v>
      </c>
      <c r="O7601" s="5" t="str">
        <v>8601013827</v>
      </c>
      <c r="P7601" s="27">
        <v>127946400</v>
      </c>
      <c r="Q7601" s="5" t="s">
        <v>60650</v>
      </c>
      <c r="R7601" s="5" t="s">
        <v>60651</v>
      </c>
      <c r="S7601" s="5" t="s">
        <v>60652</v>
      </c>
      <c r="T7601" s="28">
        <v>2020933000</v>
      </c>
      <c r="U7601" s="28">
        <v>64707000</v>
      </c>
      <c r="V7601" s="28">
        <v>35094428000</v>
      </c>
      <c r="W7601" s="28"/>
      <c r="X7601" s="28">
        <v>457957000</v>
      </c>
      <c r="Y7601" s="28">
        <v>41166645000</v>
      </c>
      <c r="Z7601" s="28">
        <v>2258224000</v>
      </c>
      <c r="AA7601" s="28">
        <v>695000000</v>
      </c>
      <c r="AB7601" s="28">
        <v>1579084000</v>
      </c>
      <c r="AC7601" s="28">
        <v>32702855000</v>
      </c>
      <c r="AD7601" s="28">
        <v>3835616000</v>
      </c>
      <c r="AE7601" s="28">
        <v>18879350000</v>
      </c>
      <c r="AF7601" s="28">
        <v>124497000</v>
      </c>
      <c r="AG7601" s="11"/>
    </row>
    <row r="7602">
      <c r="A7602" s="7" t="s">
        <v>9150</v>
      </c>
      <c r="B7602" s="5" t="s">
        <v>17072</v>
      </c>
      <c r="C7602" s="5" t="s">
        <v>24655</v>
      </c>
      <c r="D7602" s="5"/>
      <c r="E7602" s="0" t="e">
        <f>+7 (391) 2502397
+7 (391) 2139915
+7 (391) 2139940
+7 (391) 2139972
+7 (391) 2331648
+7 (391) 2340939
+7 (391) 2350298
+7 (391) 2614015
+7 (913) 313454
+7 (983) 5047750</f>
        <v>#NAME?</v>
      </c>
      <c r="F7602" s="5" t="s">
        <v>47358</v>
      </c>
      <c r="G7602" s="5" t="s">
        <v>47359</v>
      </c>
      <c r="H7602" s="26">
        <v>29.5</v>
      </c>
      <c r="I7602" s="5" t="s">
        <v>47360</v>
      </c>
      <c r="J7602" s="5" t="s">
        <v>28418</v>
      </c>
      <c r="K7602" s="5" t="s">
        <v>344</v>
      </c>
      <c r="L7602" s="5" t="s">
        <v>47361</v>
      </c>
      <c r="M7602" s="27"/>
      <c r="N7602" s="5" t="s">
        <v>60653</v>
      </c>
      <c r="O7602" s="5" t="str">
        <v>2464003340</v>
      </c>
      <c r="P7602" s="27">
        <v>3051486</v>
      </c>
      <c r="Q7602" s="5" t="s">
        <v>60654</v>
      </c>
      <c r="R7602" s="5"/>
      <c r="S7602" s="5" t="s">
        <v>60655</v>
      </c>
      <c r="T7602" s="28">
        <v>1006779000</v>
      </c>
      <c r="U7602" s="28">
        <v>25786000</v>
      </c>
      <c r="V7602" s="28">
        <v>2465305000</v>
      </c>
      <c r="W7602" s="28">
        <v>888204000</v>
      </c>
      <c r="X7602" s="28">
        <v>1778084000</v>
      </c>
      <c r="Y7602" s="28">
        <v>7415357000</v>
      </c>
      <c r="Z7602" s="28">
        <v>4601575000</v>
      </c>
      <c r="AA7602" s="28"/>
      <c r="AB7602" s="28">
        <v>1929058000</v>
      </c>
      <c r="AC7602" s="28">
        <v>2261352000</v>
      </c>
      <c r="AD7602" s="28">
        <v>5032645000</v>
      </c>
      <c r="AE7602" s="28">
        <v>6422704000</v>
      </c>
      <c r="AF7602" s="28">
        <v>3561663000</v>
      </c>
      <c r="AG7602" s="11"/>
    </row>
    <row r="7603">
      <c r="A7603" s="7" t="s">
        <v>9151</v>
      </c>
      <c r="B7603" s="5" t="s">
        <v>17073</v>
      </c>
      <c r="C7603" s="5" t="s">
        <v>24656</v>
      </c>
      <c r="D7603" s="5" t="str">
        <v>781317654501</v>
      </c>
      <c r="E7603" s="0" t="e">
        <f>+7 (4232) 611323
+7 (494) 2451761
+7 (494) 2552272
+7 (495) 7716920
+7 (495) 7819119
+7 (495) 7872011
+7 (812) 3187290
+7 (812) 3187303
+7 (812) 3187318
+7 (812) 4180100
+7 (812) 4180101
+7 (812) 4180341
+7 (812) 4180501
+7 (855) 2443101</f>
        <v>#NAME?</v>
      </c>
      <c r="F7603" s="5" t="s">
        <v>47362</v>
      </c>
      <c r="G7603" s="5" t="s">
        <v>47277</v>
      </c>
      <c r="H7603" s="26">
        <v>15</v>
      </c>
      <c r="I7603" s="5" t="s">
        <v>47363</v>
      </c>
      <c r="J7603" s="5" t="s">
        <v>26229</v>
      </c>
      <c r="K7603" s="5" t="s">
        <v>344</v>
      </c>
      <c r="L7603" s="5" t="s">
        <v>47364</v>
      </c>
      <c r="M7603" s="27"/>
      <c r="N7603" s="5"/>
      <c r="O7603" s="5" t="str">
        <v>7801463902</v>
      </c>
      <c r="P7603" s="27">
        <v>10395810000</v>
      </c>
      <c r="Q7603" s="5" t="s">
        <v>49059</v>
      </c>
      <c r="R7603" s="5"/>
      <c r="S7603" s="5" t="s">
        <v>49499</v>
      </c>
      <c r="T7603" s="28">
        <v>10819257000</v>
      </c>
      <c r="U7603" s="28">
        <v>35328000</v>
      </c>
      <c r="V7603" s="28">
        <v>959926000</v>
      </c>
      <c r="W7603" s="28">
        <v>1057911000</v>
      </c>
      <c r="X7603" s="28">
        <v>23757978000</v>
      </c>
      <c r="Y7603" s="28">
        <v>74846271000</v>
      </c>
      <c r="Z7603" s="28">
        <v>39780301000</v>
      </c>
      <c r="AA7603" s="28">
        <v>11247969000</v>
      </c>
      <c r="AB7603" s="28">
        <v>5889234000</v>
      </c>
      <c r="AC7603" s="28">
        <v>10278272000</v>
      </c>
      <c r="AD7603" s="28">
        <v>50456311000</v>
      </c>
      <c r="AE7603" s="28">
        <v>50292997000</v>
      </c>
      <c r="AF7603" s="28">
        <v>-18772150000</v>
      </c>
      <c r="AG7603" s="11"/>
    </row>
    <row r="7604">
      <c r="A7604" s="7" t="s">
        <v>9152</v>
      </c>
      <c r="B7604" s="5" t="s">
        <v>17074</v>
      </c>
      <c r="C7604" s="5" t="s">
        <v>24657</v>
      </c>
      <c r="D7604" s="5" t="str">
        <v>840300210912</v>
      </c>
      <c r="E7604" s="0" t="e">
        <f>+7 (39176) 21047
+7 (39176) 21393
+7 (39176) 21394
+7 (39176) 21457
+7 (39176) 21554
+7 (39198) 72934
+7 (39198) 72957
+7 (902) 9928122</f>
        <v>#NAME?</v>
      </c>
      <c r="F7604" s="5" t="s">
        <v>47365</v>
      </c>
      <c r="G7604" s="5" t="s">
        <v>47366</v>
      </c>
      <c r="H7604" s="26">
        <v>17</v>
      </c>
      <c r="I7604" s="5"/>
      <c r="J7604" s="5" t="s">
        <v>28577</v>
      </c>
      <c r="K7604" s="5" t="s">
        <v>344</v>
      </c>
      <c r="L7604" s="5" t="s">
        <v>47367</v>
      </c>
      <c r="M7604" s="27"/>
      <c r="N7604" s="5" t="s">
        <v>60656</v>
      </c>
      <c r="O7604" s="5" t="str">
        <v>2460073530</v>
      </c>
      <c r="P7604" s="27">
        <v>12900000</v>
      </c>
      <c r="Q7604" s="5" t="s">
        <v>60657</v>
      </c>
      <c r="R7604" s="5"/>
      <c r="S7604" s="5" t="s">
        <v>60658</v>
      </c>
      <c r="T7604" s="28">
        <v>1779276000</v>
      </c>
      <c r="U7604" s="28"/>
      <c r="V7604" s="28">
        <v>920224000</v>
      </c>
      <c r="W7604" s="28"/>
      <c r="X7604" s="28">
        <v>1328864000</v>
      </c>
      <c r="Y7604" s="28">
        <v>5185060000</v>
      </c>
      <c r="Z7604" s="28">
        <v>2477981000</v>
      </c>
      <c r="AA7604" s="28"/>
      <c r="AB7604" s="28"/>
      <c r="AC7604" s="28">
        <v>1148439000</v>
      </c>
      <c r="AD7604" s="28">
        <v>2491632000</v>
      </c>
      <c r="AE7604" s="28">
        <v>4220976000</v>
      </c>
      <c r="AF7604" s="28">
        <v>76963000</v>
      </c>
      <c r="AG7604" s="11"/>
    </row>
    <row r="7605">
      <c r="A7605" s="7" t="s">
        <v>9153</v>
      </c>
      <c r="B7605" s="5" t="s">
        <v>17075</v>
      </c>
      <c r="C7605" s="5" t="s">
        <v>24658</v>
      </c>
      <c r="D7605" s="5" t="str">
        <v>773388473629</v>
      </c>
      <c r="E7605" s="0" t="e">
        <f>+7 (812) 9601581
+7 (812) 2448888
+7 (812) 7131132
+7 (812) 7132421
+7 (812) 9601580
+7 (812) 9601582
+7 (960) 1580145</f>
        <v>#NAME?</v>
      </c>
      <c r="F7605" s="5" t="s">
        <v>47368</v>
      </c>
      <c r="G7605" s="5" t="s">
        <v>47369</v>
      </c>
      <c r="H7605" s="26">
        <v>16.5</v>
      </c>
      <c r="I7605" s="5" t="s">
        <v>47370</v>
      </c>
      <c r="J7605" s="5" t="s">
        <v>785</v>
      </c>
      <c r="K7605" s="5" t="s">
        <v>344</v>
      </c>
      <c r="L7605" s="5" t="s">
        <v>47371</v>
      </c>
      <c r="M7605" s="27"/>
      <c r="N7605" s="5" t="s">
        <v>60659</v>
      </c>
      <c r="O7605" s="5" t="str">
        <v>7813242873</v>
      </c>
      <c r="P7605" s="27">
        <v>3000000</v>
      </c>
      <c r="Q7605" s="5"/>
      <c r="R7605" s="5"/>
      <c r="S7605" s="5" t="s">
        <v>49125</v>
      </c>
      <c r="T7605" s="28">
        <v>3452341000</v>
      </c>
      <c r="U7605" s="28">
        <v>46847000</v>
      </c>
      <c r="V7605" s="28">
        <v>393310000</v>
      </c>
      <c r="W7605" s="28">
        <v>10000000</v>
      </c>
      <c r="X7605" s="28">
        <v>281258000</v>
      </c>
      <c r="Y7605" s="28">
        <v>4499008000</v>
      </c>
      <c r="Z7605" s="28">
        <v>3240264000</v>
      </c>
      <c r="AA7605" s="28"/>
      <c r="AB7605" s="28"/>
      <c r="AC7605" s="28">
        <v>837015000</v>
      </c>
      <c r="AD7605" s="28">
        <v>3243264000</v>
      </c>
      <c r="AE7605" s="28">
        <v>6454837000</v>
      </c>
      <c r="AF7605" s="28">
        <v>-330386000</v>
      </c>
      <c r="AG7605" s="11"/>
    </row>
    <row r="7606">
      <c r="A7606" s="7" t="s">
        <v>9154</v>
      </c>
      <c r="B7606" s="5" t="s">
        <v>17076</v>
      </c>
      <c r="C7606" s="5" t="s">
        <v>24659</v>
      </c>
      <c r="D7606" s="5" t="str">
        <v>770265008168</v>
      </c>
      <c r="E7606" s="0" t="e">
        <f>+7 (495) 4457452
+7 (800) 5507452
+7 (87932) 46010
+7 (87934) 23503
+7 (87934) 48878</f>
        <v>#NAME?</v>
      </c>
      <c r="F7606" s="5" t="s">
        <v>47372</v>
      </c>
      <c r="G7606" s="5" t="s">
        <v>47373</v>
      </c>
      <c r="H7606" s="26">
        <v>5</v>
      </c>
      <c r="I7606" s="5" t="s">
        <v>47374</v>
      </c>
      <c r="J7606" s="5" t="s">
        <v>47375</v>
      </c>
      <c r="K7606" s="5" t="s">
        <v>344</v>
      </c>
      <c r="L7606" s="5"/>
      <c r="M7606" s="27"/>
      <c r="N7606" s="5"/>
      <c r="O7606" s="5" t="str">
        <v>2626047111</v>
      </c>
      <c r="P7606" s="27">
        <v>10000</v>
      </c>
      <c r="Q7606" s="5" t="s">
        <v>49021</v>
      </c>
      <c r="R7606" s="5"/>
      <c r="S7606" s="5" t="s">
        <v>60660</v>
      </c>
      <c r="T7606" s="28">
        <v>66680000</v>
      </c>
      <c r="U7606" s="28"/>
      <c r="V7606" s="28">
        <v>634906000</v>
      </c>
      <c r="W7606" s="28"/>
      <c r="X7606" s="28">
        <v>792650000</v>
      </c>
      <c r="Y7606" s="28">
        <v>1588324000</v>
      </c>
      <c r="Z7606" s="28">
        <v>386777000</v>
      </c>
      <c r="AA7606" s="28">
        <v>88089000</v>
      </c>
      <c r="AB7606" s="28"/>
      <c r="AC7606" s="28">
        <v>1100766000</v>
      </c>
      <c r="AD7606" s="28">
        <v>386787000</v>
      </c>
      <c r="AE7606" s="28">
        <v>4364118000</v>
      </c>
      <c r="AF7606" s="28">
        <v>381863000</v>
      </c>
      <c r="AG7606" s="11"/>
    </row>
    <row r="7607">
      <c r="A7607" s="7" t="s">
        <v>9155</v>
      </c>
      <c r="B7607" s="5" t="s">
        <v>17077</v>
      </c>
      <c r="C7607" s="5" t="s">
        <v>24660</v>
      </c>
      <c r="D7607" s="5" t="str">
        <v>772001285349</v>
      </c>
      <c r="E7607" s="0" t="e">
        <f>+7 (499) 5411054
+7 (499) 7860448
+7 (812) 3630902
+7 (499) 2462331
+7 (499) 2641150
+7 (499) 2646423
+7 (812) 3255960
+7 (985) 7860448</f>
        <v>#NAME?</v>
      </c>
      <c r="F7607" s="5" t="s">
        <v>47376</v>
      </c>
      <c r="G7607" s="5"/>
      <c r="H7607" s="26">
        <v>13.5</v>
      </c>
      <c r="I7607" s="5" t="s">
        <v>47377</v>
      </c>
      <c r="J7607" s="5" t="s">
        <v>33986</v>
      </c>
      <c r="K7607" s="5" t="s">
        <v>344</v>
      </c>
      <c r="L7607" s="5" t="s">
        <v>47378</v>
      </c>
      <c r="M7607" s="27">
        <v>34792254</v>
      </c>
      <c r="N7607" s="5" t="s">
        <v>60661</v>
      </c>
      <c r="O7607" s="5" t="str">
        <v>7708701831</v>
      </c>
      <c r="P7607" s="27">
        <v>500000</v>
      </c>
      <c r="Q7607" s="5" t="s">
        <v>60662</v>
      </c>
      <c r="R7607" s="5"/>
      <c r="S7607" s="5" t="s">
        <v>60663</v>
      </c>
      <c r="T7607" s="28">
        <v>17671000</v>
      </c>
      <c r="U7607" s="28"/>
      <c r="V7607" s="28">
        <v>777547000</v>
      </c>
      <c r="W7607" s="28">
        <v>112974000</v>
      </c>
      <c r="X7607" s="28">
        <v>77645000</v>
      </c>
      <c r="Y7607" s="28">
        <v>1853256000</v>
      </c>
      <c r="Z7607" s="28">
        <v>176106000</v>
      </c>
      <c r="AA7607" s="28">
        <v>476946000</v>
      </c>
      <c r="AB7607" s="28"/>
      <c r="AC7607" s="28">
        <v>1199704000</v>
      </c>
      <c r="AD7607" s="28">
        <v>176606000</v>
      </c>
      <c r="AE7607" s="28">
        <v>3417446000</v>
      </c>
      <c r="AF7607" s="28">
        <v>58097000</v>
      </c>
      <c r="AG7607" s="11"/>
    </row>
    <row r="7608">
      <c r="A7608" s="7" t="s">
        <v>9156</v>
      </c>
      <c r="B7608" s="5" t="s">
        <v>17078</v>
      </c>
      <c r="C7608" s="5" t="s">
        <v>20816</v>
      </c>
      <c r="D7608" s="5" t="str">
        <v>773381123431</v>
      </c>
      <c r="F7608" s="5"/>
      <c r="G7608" s="5"/>
      <c r="H7608" s="26">
        <v>3.5</v>
      </c>
      <c r="I7608" s="5" t="s">
        <v>47379</v>
      </c>
      <c r="J7608" s="5" t="s">
        <v>25376</v>
      </c>
      <c r="K7608" s="5" t="s">
        <v>355</v>
      </c>
      <c r="L7608" s="5" t="s">
        <v>47380</v>
      </c>
      <c r="M7608" s="27"/>
      <c r="N7608" s="5"/>
      <c r="O7608" s="5" t="str">
        <v>7841086979</v>
      </c>
      <c r="P7608" s="27">
        <v>298200000</v>
      </c>
      <c r="Q7608" s="5"/>
      <c r="R7608" s="5"/>
      <c r="S7608" s="5" t="s">
        <v>49053</v>
      </c>
      <c r="T7608" s="28"/>
      <c r="U7608" s="28">
        <v>23206136000</v>
      </c>
      <c r="V7608" s="28">
        <v>1088000</v>
      </c>
      <c r="W7608" s="28">
        <v>2010455000</v>
      </c>
      <c r="X7608" s="28">
        <v>1106095000</v>
      </c>
      <c r="Y7608" s="28">
        <v>26581693000</v>
      </c>
      <c r="Z7608" s="28">
        <v>365466000</v>
      </c>
      <c r="AA7608" s="28">
        <v>22791926000</v>
      </c>
      <c r="AB7608" s="28">
        <v>1821735000</v>
      </c>
      <c r="AC7608" s="28">
        <v>3061259000</v>
      </c>
      <c r="AD7608" s="28">
        <v>663666000</v>
      </c>
      <c r="AE7608" s="28">
        <v>3050694000</v>
      </c>
      <c r="AF7608" s="28">
        <v>152392000</v>
      </c>
      <c r="AG7608" s="11"/>
    </row>
    <row r="7609">
      <c r="A7609" s="7" t="s">
        <v>9157</v>
      </c>
      <c r="B7609" s="5" t="s">
        <v>17079</v>
      </c>
      <c r="C7609" s="5" t="s">
        <v>24661</v>
      </c>
      <c r="D7609" s="5" t="str">
        <v>771406381360</v>
      </c>
      <c r="F7609" s="5"/>
      <c r="G7609" s="5" t="s">
        <v>47381</v>
      </c>
      <c r="H7609" s="26">
        <v>11</v>
      </c>
      <c r="I7609" s="5" t="s">
        <v>32646</v>
      </c>
      <c r="J7609" s="5" t="s">
        <v>25216</v>
      </c>
      <c r="K7609" s="5" t="s">
        <v>344</v>
      </c>
      <c r="L7609" s="5" t="s">
        <v>47382</v>
      </c>
      <c r="M7609" s="27"/>
      <c r="N7609" s="5" t="s">
        <v>60664</v>
      </c>
      <c r="O7609" s="5" t="str">
        <v>7730656038</v>
      </c>
      <c r="P7609" s="27">
        <v>10000</v>
      </c>
      <c r="Q7609" s="5" t="s">
        <v>49009</v>
      </c>
      <c r="R7609" s="5"/>
      <c r="S7609" s="5" t="s">
        <v>49045</v>
      </c>
      <c r="T7609" s="28">
        <v>133078000</v>
      </c>
      <c r="U7609" s="28">
        <v>4168000</v>
      </c>
      <c r="V7609" s="28">
        <v>651693000</v>
      </c>
      <c r="W7609" s="28">
        <v>140968000</v>
      </c>
      <c r="X7609" s="28">
        <v>806209000</v>
      </c>
      <c r="Y7609" s="28">
        <v>2221749000</v>
      </c>
      <c r="Z7609" s="28">
        <v>1326615000</v>
      </c>
      <c r="AA7609" s="28"/>
      <c r="AB7609" s="28"/>
      <c r="AC7609" s="28">
        <v>796169000</v>
      </c>
      <c r="AD7609" s="28">
        <v>1326625000</v>
      </c>
      <c r="AE7609" s="28">
        <v>4569529000</v>
      </c>
      <c r="AF7609" s="28">
        <v>403545000</v>
      </c>
      <c r="AG7609" s="11"/>
    </row>
    <row r="7610">
      <c r="A7610" s="7" t="s">
        <v>9158</v>
      </c>
      <c r="B7610" s="5" t="s">
        <v>14278</v>
      </c>
      <c r="C7610" s="5" t="s">
        <v>24662</v>
      </c>
      <c r="D7610" s="5" t="str">
        <v>771802767328</v>
      </c>
      <c r="E7610" s="0" t="e">
        <f>+7 (495) 7778249
+7 (905) 7937766
+7 (495) 7778200
+7 (495) 7778201
+7 (495) 7778205
+7 (495) 7778211
+7 (495) 7778212
+7 (495) 7778225
+7 (495) 7778226
+7 (495) 9631525</f>
        <v>#NAME?</v>
      </c>
      <c r="F7610" s="5" t="s">
        <v>47383</v>
      </c>
      <c r="G7610" s="5"/>
      <c r="H7610" s="26">
        <v>29.5</v>
      </c>
      <c r="I7610" s="5"/>
      <c r="J7610" s="5" t="s">
        <v>25612</v>
      </c>
      <c r="K7610" s="5" t="s">
        <v>344</v>
      </c>
      <c r="L7610" s="5" t="s">
        <v>47384</v>
      </c>
      <c r="M7610" s="27">
        <v>53706580</v>
      </c>
      <c r="N7610" s="5" t="s">
        <v>60665</v>
      </c>
      <c r="O7610" s="5" t="str">
        <v>7718013390</v>
      </c>
      <c r="P7610" s="27">
        <v>61547348</v>
      </c>
      <c r="Q7610" s="5" t="s">
        <v>60666</v>
      </c>
      <c r="R7610" s="5" t="s">
        <v>60667</v>
      </c>
      <c r="S7610" s="5" t="s">
        <v>60668</v>
      </c>
      <c r="T7610" s="28">
        <v>3220149000</v>
      </c>
      <c r="U7610" s="28">
        <v>1331469000</v>
      </c>
      <c r="V7610" s="28">
        <v>5417955000</v>
      </c>
      <c r="W7610" s="28">
        <v>4768851000</v>
      </c>
      <c r="X7610" s="28">
        <v>1038219000</v>
      </c>
      <c r="Y7610" s="28">
        <v>17963239000</v>
      </c>
      <c r="Z7610" s="28">
        <v>14469777000</v>
      </c>
      <c r="AA7610" s="28"/>
      <c r="AB7610" s="28">
        <v>838159000</v>
      </c>
      <c r="AC7610" s="28">
        <v>3044649000</v>
      </c>
      <c r="AD7610" s="28">
        <v>14570657000</v>
      </c>
      <c r="AE7610" s="28">
        <v>6313237000</v>
      </c>
      <c r="AF7610" s="28">
        <v>-2530076000</v>
      </c>
      <c r="AG7610" s="11"/>
    </row>
    <row r="7611">
      <c r="A7611" s="7" t="s">
        <v>9159</v>
      </c>
      <c r="B7611" s="5" t="s">
        <v>17080</v>
      </c>
      <c r="C7611" s="5" t="s">
        <v>24663</v>
      </c>
      <c r="D7611" s="5" t="str">
        <v>611333331500</v>
      </c>
      <c r="E7611" s="0" t="e">
        <f>+7 (8632) 674827
+7 (8632) 674943
+7 (86345) 96305</f>
        <v>#NAME?</v>
      </c>
      <c r="F7611" s="5" t="s">
        <v>47385</v>
      </c>
      <c r="G7611" s="5" t="s">
        <v>47386</v>
      </c>
      <c r="H7611" s="26">
        <v>19.5</v>
      </c>
      <c r="I7611" s="5" t="s">
        <v>47387</v>
      </c>
      <c r="J7611" s="5" t="s">
        <v>25850</v>
      </c>
      <c r="K7611" s="5" t="s">
        <v>344</v>
      </c>
      <c r="L7611" s="5" t="s">
        <v>47388</v>
      </c>
      <c r="M7611" s="27"/>
      <c r="N7611" s="5" t="s">
        <v>60669</v>
      </c>
      <c r="O7611" s="5" t="str">
        <v>6113015778</v>
      </c>
      <c r="P7611" s="27">
        <v>1000000</v>
      </c>
      <c r="Q7611" s="5"/>
      <c r="R7611" s="5" t="s">
        <v>52794</v>
      </c>
      <c r="S7611" s="5" t="s">
        <v>49029</v>
      </c>
      <c r="T7611" s="28">
        <v>93116000</v>
      </c>
      <c r="U7611" s="28">
        <v>1582051000</v>
      </c>
      <c r="V7611" s="28">
        <v>730633000</v>
      </c>
      <c r="W7611" s="28">
        <v>2699892000</v>
      </c>
      <c r="X7611" s="28">
        <v>13759000</v>
      </c>
      <c r="Y7611" s="28">
        <v>5618673000</v>
      </c>
      <c r="Z7611" s="28">
        <v>4747190000</v>
      </c>
      <c r="AA7611" s="28"/>
      <c r="AB7611" s="28"/>
      <c r="AC7611" s="28">
        <v>869737000</v>
      </c>
      <c r="AD7611" s="28">
        <v>4748190000</v>
      </c>
      <c r="AE7611" s="28">
        <v>4149905000</v>
      </c>
      <c r="AF7611" s="28">
        <v>1411356000</v>
      </c>
      <c r="AG7611" s="11"/>
    </row>
    <row r="7612">
      <c r="A7612" s="7" t="s">
        <v>9160</v>
      </c>
      <c r="B7612" s="5" t="s">
        <v>17081</v>
      </c>
      <c r="C7612" s="5" t="s">
        <v>24664</v>
      </c>
      <c r="D7612" s="5" t="str">
        <v>550305477611</v>
      </c>
      <c r="E7612" s="0" t="e">
        <f>+7 (381) 2453549
+7 (381) 2453556
+7 (381) 2453578
+7 (381) 2939184
+7 (800) 2507650
+7 (913) 1460887
+7 (913) 6142227
+7 (913) 9721085
+7 (983) 1124599
+7 (983) 3843002
+7 (983) 5626731</f>
        <v>#NAME?</v>
      </c>
      <c r="F7612" s="5" t="s">
        <v>47389</v>
      </c>
      <c r="G7612" s="5"/>
      <c r="H7612" s="26">
        <v>16</v>
      </c>
      <c r="I7612" s="5" t="s">
        <v>47390</v>
      </c>
      <c r="J7612" s="5" t="s">
        <v>25853</v>
      </c>
      <c r="K7612" s="5" t="s">
        <v>344</v>
      </c>
      <c r="L7612" s="5"/>
      <c r="M7612" s="27">
        <v>1034706</v>
      </c>
      <c r="N7612" s="5" t="s">
        <v>53256</v>
      </c>
      <c r="O7612" s="5" t="str">
        <v>5505043485</v>
      </c>
      <c r="P7612" s="27">
        <v>20300000</v>
      </c>
      <c r="Q7612" s="5" t="s">
        <v>52110</v>
      </c>
      <c r="R7612" s="5"/>
      <c r="S7612" s="5" t="s">
        <v>49028</v>
      </c>
      <c r="T7612" s="28">
        <v>1170427000</v>
      </c>
      <c r="U7612" s="28"/>
      <c r="V7612" s="28">
        <v>35411000</v>
      </c>
      <c r="W7612" s="28"/>
      <c r="X7612" s="28">
        <v>148720000</v>
      </c>
      <c r="Y7612" s="28">
        <v>1869281000</v>
      </c>
      <c r="Z7612" s="28">
        <v>19279000</v>
      </c>
      <c r="AA7612" s="28"/>
      <c r="AB7612" s="28">
        <v>781301000</v>
      </c>
      <c r="AC7612" s="28">
        <v>1596374000</v>
      </c>
      <c r="AD7612" s="28">
        <v>39579000</v>
      </c>
      <c r="AE7612" s="28">
        <v>9417465000</v>
      </c>
      <c r="AF7612" s="28">
        <v>6779000</v>
      </c>
      <c r="AG7612" s="11"/>
    </row>
    <row r="7613">
      <c r="A7613" s="7" t="s">
        <v>9161</v>
      </c>
      <c r="B7613" s="5" t="s">
        <v>17082</v>
      </c>
      <c r="C7613" s="5" t="s">
        <v>20626</v>
      </c>
      <c r="D7613" s="5" t="str">
        <v>773707660378</v>
      </c>
      <c r="E7613" s="0" t="e">
        <f>+7 (495) 6121842
+7 (495) 7457130
+7 (495) 9267131
+7 (496) 6139316
+7 (496) 6169015
+7 (49661) 21812
+7 (49661) 69016
+7 (49661) 69023
+7 (49661) 69052
+7 (49661) 69073
+7 (903) 7446714</f>
        <v>#NAME?</v>
      </c>
      <c r="F7613" s="5" t="s">
        <v>47391</v>
      </c>
      <c r="G7613" s="5" t="s">
        <v>47392</v>
      </c>
      <c r="H7613" s="26">
        <v>24.5</v>
      </c>
      <c r="I7613" s="5" t="s">
        <v>47393</v>
      </c>
      <c r="J7613" s="5" t="s">
        <v>26407</v>
      </c>
      <c r="K7613" s="5" t="s">
        <v>344</v>
      </c>
      <c r="L7613" s="5" t="s">
        <v>47394</v>
      </c>
      <c r="M7613" s="27">
        <v>467155214</v>
      </c>
      <c r="N7613" s="5" t="s">
        <v>50052</v>
      </c>
      <c r="O7613" s="5" t="str">
        <v>5022050558</v>
      </c>
      <c r="P7613" s="27">
        <v>9000000</v>
      </c>
      <c r="Q7613" s="5" t="s">
        <v>49009</v>
      </c>
      <c r="R7613" s="5"/>
      <c r="S7613" s="5" t="s">
        <v>49066</v>
      </c>
      <c r="T7613" s="28">
        <v>29471237000</v>
      </c>
      <c r="U7613" s="28">
        <v>11351155000</v>
      </c>
      <c r="V7613" s="28">
        <v>2067465000</v>
      </c>
      <c r="W7613" s="28"/>
      <c r="X7613" s="28">
        <v>86601000</v>
      </c>
      <c r="Y7613" s="28">
        <v>51398428000</v>
      </c>
      <c r="Z7613" s="28">
        <v>7034861000</v>
      </c>
      <c r="AA7613" s="28">
        <v>9784070000</v>
      </c>
      <c r="AB7613" s="28"/>
      <c r="AC7613" s="28">
        <v>4598821000</v>
      </c>
      <c r="AD7613" s="28">
        <v>35354693000</v>
      </c>
      <c r="AE7613" s="28">
        <v>20596149000</v>
      </c>
      <c r="AF7613" s="28">
        <v>3780748000</v>
      </c>
      <c r="AG7613" s="11"/>
    </row>
    <row r="7614">
      <c r="A7614" s="7" t="s">
        <v>9162</v>
      </c>
      <c r="B7614" s="5" t="s">
        <v>17083</v>
      </c>
      <c r="C7614" s="5" t="s">
        <v>20626</v>
      </c>
      <c r="D7614" s="5" t="str">
        <v>773707660378</v>
      </c>
      <c r="E7614" s="0" t="e">
        <f>+7 (495) 7457131
+7 (84593) 68101
+7 (84593) 68107
+7 (84593) 68121
+7 (84593) 68197
+7 (84593) 68245
+7 (84593) 68298
+7 (84593) 74213</f>
        <v>#NAME?</v>
      </c>
      <c r="F7614" s="5" t="s">
        <v>47395</v>
      </c>
      <c r="G7614" s="5" t="s">
        <v>47396</v>
      </c>
      <c r="H7614" s="26">
        <v>9</v>
      </c>
      <c r="I7614" s="5" t="s">
        <v>47397</v>
      </c>
      <c r="J7614" s="5" t="s">
        <v>26407</v>
      </c>
      <c r="K7614" s="5" t="s">
        <v>344</v>
      </c>
      <c r="L7614" s="5"/>
      <c r="M7614" s="27"/>
      <c r="N7614" s="5" t="s">
        <v>52041</v>
      </c>
      <c r="O7614" s="5" t="str">
        <v>6441025673</v>
      </c>
      <c r="P7614" s="27">
        <v>6394290</v>
      </c>
      <c r="Q7614" s="5" t="s">
        <v>60671</v>
      </c>
      <c r="R7614" s="5"/>
      <c r="S7614" s="5" t="s">
        <v>49998</v>
      </c>
      <c r="T7614" s="28">
        <v>14655881000</v>
      </c>
      <c r="U7614" s="28"/>
      <c r="V7614" s="28">
        <v>337695000</v>
      </c>
      <c r="W7614" s="28"/>
      <c r="X7614" s="28">
        <v>2994369000</v>
      </c>
      <c r="Y7614" s="28">
        <v>19661472000</v>
      </c>
      <c r="Z7614" s="28">
        <v>1839357000</v>
      </c>
      <c r="AA7614" s="28">
        <v>4288655000</v>
      </c>
      <c r="AB7614" s="28">
        <v>1145000000</v>
      </c>
      <c r="AC7614" s="28">
        <v>3306813000</v>
      </c>
      <c r="AD7614" s="28">
        <v>11412830000</v>
      </c>
      <c r="AE7614" s="28">
        <v>7585999000</v>
      </c>
      <c r="AF7614" s="28">
        <v>831820000</v>
      </c>
      <c r="AG7614" s="11"/>
    </row>
    <row r="7615">
      <c r="A7615" s="7" t="s">
        <v>9163</v>
      </c>
      <c r="B7615" s="5" t="s">
        <v>17084</v>
      </c>
      <c r="C7615" s="5" t="s">
        <v>24665</v>
      </c>
      <c r="D7615" s="5" t="str">
        <v>772025611802</v>
      </c>
      <c r="E7615" s="0" t="e">
        <f>+7 (800) 7075025
+7 (495) 5393885
+7 (495) 5870078
+7 (499) 4000236
+7 (800) 7072076
+7 (985) 1210859</f>
        <v>#NAME?</v>
      </c>
      <c r="F7615" s="5" t="s">
        <v>47398</v>
      </c>
      <c r="G7615" s="5"/>
      <c r="H7615" s="26">
        <v>10</v>
      </c>
      <c r="I7615" s="5" t="s">
        <v>47399</v>
      </c>
      <c r="J7615" s="5" t="s">
        <v>27764</v>
      </c>
      <c r="K7615" s="5" t="s">
        <v>355</v>
      </c>
      <c r="L7615" s="5"/>
      <c r="M7615" s="27"/>
      <c r="N7615" s="5"/>
      <c r="O7615" s="5" t="str">
        <v>7722807332</v>
      </c>
      <c r="P7615" s="27">
        <v>10000</v>
      </c>
      <c r="Q7615" s="5" t="s">
        <v>49009</v>
      </c>
      <c r="R7615" s="5"/>
      <c r="S7615" s="5" t="s">
        <v>49010</v>
      </c>
      <c r="T7615" s="28">
        <v>41499000</v>
      </c>
      <c r="U7615" s="28">
        <v>40000000</v>
      </c>
      <c r="V7615" s="28">
        <v>351125000</v>
      </c>
      <c r="W7615" s="28"/>
      <c r="X7615" s="28">
        <v>422000</v>
      </c>
      <c r="Y7615" s="28">
        <v>933411000</v>
      </c>
      <c r="Z7615" s="28">
        <v>83278000</v>
      </c>
      <c r="AA7615" s="28">
        <v>147380000</v>
      </c>
      <c r="AB7615" s="28">
        <v>80848000</v>
      </c>
      <c r="AC7615" s="28">
        <v>686085000</v>
      </c>
      <c r="AD7615" s="28">
        <v>83288000</v>
      </c>
      <c r="AE7615" s="28">
        <v>3223639000</v>
      </c>
      <c r="AF7615" s="28">
        <v>36280000</v>
      </c>
      <c r="AG7615" s="11"/>
    </row>
    <row r="7616">
      <c r="A7616" s="7" t="s">
        <v>9164</v>
      </c>
      <c r="B7616" s="5" t="s">
        <v>14246</v>
      </c>
      <c r="C7616" s="5" t="s">
        <v>24666</v>
      </c>
      <c r="D7616" s="5" t="str">
        <v>332701966481</v>
      </c>
      <c r="E7616" s="0" t="e">
        <f>+7 (487) 2329930
+7 (487) 2329966
+7 (812) 3259325
+7 (812) 3262158
+7 (812) 3266158
+7 (904) 601160
+7 (961) 1490337
+7 (961) 6311368
+7 (963) 3031314
+7 (965) 75354</f>
        <v>#NAME?</v>
      </c>
      <c r="F7616" s="5" t="s">
        <v>47400</v>
      </c>
      <c r="G7616" s="5" t="s">
        <v>47401</v>
      </c>
      <c r="H7616" s="26">
        <v>9.5</v>
      </c>
      <c r="I7616" s="5" t="s">
        <v>47402</v>
      </c>
      <c r="J7616" s="5" t="s">
        <v>27906</v>
      </c>
      <c r="K7616" s="5" t="s">
        <v>344</v>
      </c>
      <c r="L7616" s="5" t="s">
        <v>47403</v>
      </c>
      <c r="M7616" s="27"/>
      <c r="N7616" s="5"/>
      <c r="O7616" s="5" t="str">
        <v>7802831436</v>
      </c>
      <c r="P7616" s="27">
        <v>3820010000</v>
      </c>
      <c r="Q7616" s="5"/>
      <c r="R7616" s="5"/>
      <c r="S7616" s="5" t="s">
        <v>50509</v>
      </c>
      <c r="T7616" s="28">
        <v>1003351000</v>
      </c>
      <c r="U7616" s="28">
        <v>4165254000</v>
      </c>
      <c r="V7616" s="28">
        <v>1269122000</v>
      </c>
      <c r="W7616" s="28">
        <v>482402000</v>
      </c>
      <c r="X7616" s="28">
        <v>114359000</v>
      </c>
      <c r="Y7616" s="28">
        <v>11094823000</v>
      </c>
      <c r="Z7616" s="28">
        <v>4586221000</v>
      </c>
      <c r="AA7616" s="28"/>
      <c r="AB7616" s="28"/>
      <c r="AC7616" s="28">
        <v>1321232000</v>
      </c>
      <c r="AD7616" s="28">
        <v>9036231000</v>
      </c>
      <c r="AE7616" s="28">
        <v>10858952000</v>
      </c>
      <c r="AF7616" s="28">
        <v>752677000</v>
      </c>
      <c r="AG7616" s="11"/>
    </row>
    <row r="7617">
      <c r="A7617" s="7" t="s">
        <v>9165</v>
      </c>
      <c r="B7617" s="5" t="s">
        <v>17085</v>
      </c>
      <c r="C7617" s="5" t="s">
        <v>24667</v>
      </c>
      <c r="D7617" s="5" t="str">
        <v>131500600962</v>
      </c>
      <c r="E7617" s="0" t="e">
        <f>+7 (83437) 30028
+7 (83447) 25350
+7 (927) 1798530</f>
        <v>#NAME?</v>
      </c>
      <c r="F7617" s="5" t="s">
        <v>47404</v>
      </c>
      <c r="G7617" s="5"/>
      <c r="H7617" s="26">
        <v>17.5</v>
      </c>
      <c r="I7617" s="5" t="s">
        <v>47405</v>
      </c>
      <c r="J7617" s="5" t="s">
        <v>25901</v>
      </c>
      <c r="K7617" s="5" t="s">
        <v>355</v>
      </c>
      <c r="L7617" s="5" t="s">
        <v>47406</v>
      </c>
      <c r="M7617" s="27"/>
      <c r="N7617" s="5"/>
      <c r="O7617" s="5" t="str">
        <v>1306075703</v>
      </c>
      <c r="P7617" s="27">
        <v>20000</v>
      </c>
      <c r="Q7617" s="5"/>
      <c r="R7617" s="5"/>
      <c r="S7617" s="5" t="s">
        <v>49425</v>
      </c>
      <c r="T7617" s="28">
        <v>3982801000</v>
      </c>
      <c r="U7617" s="28"/>
      <c r="V7617" s="28">
        <v>537609000</v>
      </c>
      <c r="W7617" s="28">
        <v>995000</v>
      </c>
      <c r="X7617" s="28">
        <v>2479000</v>
      </c>
      <c r="Y7617" s="28">
        <v>7882520000</v>
      </c>
      <c r="Z7617" s="28">
        <v>1699105000</v>
      </c>
      <c r="AA7617" s="28">
        <v>803657000</v>
      </c>
      <c r="AB7617" s="28">
        <v>3806635000</v>
      </c>
      <c r="AC7617" s="28">
        <v>5124465000</v>
      </c>
      <c r="AD7617" s="28">
        <v>1699125000</v>
      </c>
      <c r="AE7617" s="28">
        <v>3975199000</v>
      </c>
      <c r="AF7617" s="28">
        <v>814547000</v>
      </c>
      <c r="AG7617" s="11"/>
    </row>
    <row r="7618">
      <c r="A7618" s="7" t="s">
        <v>9166</v>
      </c>
      <c r="B7618" s="5" t="s">
        <v>17086</v>
      </c>
      <c r="C7618" s="5" t="s">
        <v>24668</v>
      </c>
      <c r="D7618" s="5" t="str">
        <v>132605367338</v>
      </c>
      <c r="E7618" s="0" t="e">
        <f>+7 (917) 720286
+7 (834) 2722093
+7 (834) 2726398
+7 (8342) 333019
+7 (8342) 333051
+7 (8342) 333052
+7 (8342) 333059
+7 (8342) 750888
+7 (987) 6948103</f>
        <v>#NAME?</v>
      </c>
      <c r="F7618" s="5" t="s">
        <v>47407</v>
      </c>
      <c r="G7618" s="5"/>
      <c r="H7618" s="26">
        <v>14.5</v>
      </c>
      <c r="I7618" s="5" t="s">
        <v>47408</v>
      </c>
      <c r="J7618" s="5" t="s">
        <v>47409</v>
      </c>
      <c r="K7618" s="5" t="s">
        <v>355</v>
      </c>
      <c r="L7618" s="5"/>
      <c r="M7618" s="27"/>
      <c r="N7618" s="5" t="s">
        <v>60672</v>
      </c>
      <c r="O7618" s="5" t="str">
        <v>1327007101</v>
      </c>
      <c r="P7618" s="27">
        <v>10000</v>
      </c>
      <c r="Q7618" s="5"/>
      <c r="R7618" s="5"/>
      <c r="S7618" s="5" t="s">
        <v>49991</v>
      </c>
      <c r="T7618" s="28">
        <v>2199000</v>
      </c>
      <c r="U7618" s="28"/>
      <c r="V7618" s="28">
        <v>269376000</v>
      </c>
      <c r="W7618" s="28"/>
      <c r="X7618" s="28">
        <v>6808000</v>
      </c>
      <c r="Y7618" s="28">
        <v>278567000</v>
      </c>
      <c r="Z7618" s="28">
        <v>18003000</v>
      </c>
      <c r="AA7618" s="28"/>
      <c r="AB7618" s="28"/>
      <c r="AC7618" s="28">
        <v>260554000</v>
      </c>
      <c r="AD7618" s="28">
        <v>18013000</v>
      </c>
      <c r="AE7618" s="28">
        <v>4028556000</v>
      </c>
      <c r="AF7618" s="28">
        <v>-3393000</v>
      </c>
      <c r="AG7618" s="11"/>
    </row>
    <row r="7619">
      <c r="A7619" s="7" t="s">
        <v>9167</v>
      </c>
      <c r="B7619" s="5" t="s">
        <v>17087</v>
      </c>
      <c r="C7619" s="5" t="s">
        <v>24669</v>
      </c>
      <c r="D7619" s="5" t="str">
        <v>481800475800</v>
      </c>
      <c r="E7619" s="0" t="e">
        <f>+7 (47475) 25340</f>
        <v>#NAME?</v>
      </c>
      <c r="F7619" s="5"/>
      <c r="G7619" s="5" t="s">
        <v>47410</v>
      </c>
      <c r="H7619" s="26">
        <v>13</v>
      </c>
      <c r="I7619" s="5" t="s">
        <v>47411</v>
      </c>
      <c r="J7619" s="5" t="s">
        <v>30520</v>
      </c>
      <c r="K7619" s="5" t="s">
        <v>344</v>
      </c>
      <c r="L7619" s="5" t="s">
        <v>47412</v>
      </c>
      <c r="M7619" s="27">
        <v>45565760</v>
      </c>
      <c r="N7619" s="5"/>
      <c r="O7619" s="5" t="str">
        <v>4813013074</v>
      </c>
      <c r="P7619" s="27">
        <v>8632000</v>
      </c>
      <c r="Q7619" s="5" t="s">
        <v>49009</v>
      </c>
      <c r="R7619" s="5"/>
      <c r="S7619" s="5" t="s">
        <v>49010</v>
      </c>
      <c r="T7619" s="28">
        <v>346454000</v>
      </c>
      <c r="U7619" s="28">
        <v>769000</v>
      </c>
      <c r="V7619" s="28">
        <v>1039789000</v>
      </c>
      <c r="W7619" s="28">
        <v>1962000</v>
      </c>
      <c r="X7619" s="28">
        <v>261343000</v>
      </c>
      <c r="Y7619" s="28">
        <v>3409120000</v>
      </c>
      <c r="Z7619" s="28">
        <v>1429296000</v>
      </c>
      <c r="AA7619" s="28">
        <v>109700000</v>
      </c>
      <c r="AB7619" s="28">
        <v>58571000</v>
      </c>
      <c r="AC7619" s="28">
        <v>1810625000</v>
      </c>
      <c r="AD7619" s="28">
        <v>1463398000</v>
      </c>
      <c r="AE7619" s="28">
        <v>6908246000</v>
      </c>
      <c r="AF7619" s="28">
        <v>517253000</v>
      </c>
      <c r="AG7619" s="11"/>
    </row>
    <row r="7620">
      <c r="A7620" s="7" t="s">
        <v>1636</v>
      </c>
      <c r="B7620" s="5" t="s">
        <v>1637</v>
      </c>
      <c r="C7620" s="5" t="s">
        <v>1638</v>
      </c>
      <c r="D7620" s="5" t="str">
        <v>644202279940</v>
      </c>
      <c r="E7620" s="0" t="e">
        <f>+7 (49654) 33144
+7 (49654) 33444
+7 (495) 2624237
+7 (495) 2627309
+7 (49654) 33142
+7 (499) 4907174
+7 (905) 5122333</f>
        <v>#NAME?</v>
      </c>
      <c r="F7620" s="5" t="s">
        <v>1640</v>
      </c>
      <c r="G7620" s="5" t="s">
        <v>47413</v>
      </c>
      <c r="H7620" s="26">
        <v>30</v>
      </c>
      <c r="I7620" s="5"/>
      <c r="J7620" s="5" t="s">
        <v>467</v>
      </c>
      <c r="K7620" s="5" t="s">
        <v>344</v>
      </c>
      <c r="L7620" s="5" t="s">
        <v>1641</v>
      </c>
      <c r="M7620" s="27">
        <v>36140451</v>
      </c>
      <c r="N7620" s="5" t="s">
        <v>60673</v>
      </c>
      <c r="O7620" s="5" t="str">
        <v>5042001439</v>
      </c>
      <c r="P7620" s="27">
        <v>38632000</v>
      </c>
      <c r="Q7620" s="5" t="s">
        <v>60675</v>
      </c>
      <c r="R7620" s="5"/>
      <c r="S7620" s="5" t="s">
        <v>60676</v>
      </c>
      <c r="T7620" s="28">
        <v>3168678000</v>
      </c>
      <c r="U7620" s="28">
        <v>436221000</v>
      </c>
      <c r="V7620" s="28">
        <v>11302274000</v>
      </c>
      <c r="W7620" s="28">
        <v>1548235000</v>
      </c>
      <c r="X7620" s="28">
        <v>370353000</v>
      </c>
      <c r="Y7620" s="28">
        <v>30764226000</v>
      </c>
      <c r="Z7620" s="28">
        <v>3475784000</v>
      </c>
      <c r="AA7620" s="28">
        <v>150000000</v>
      </c>
      <c r="AB7620" s="28">
        <v>266533000</v>
      </c>
      <c r="AC7620" s="28">
        <v>9131653000</v>
      </c>
      <c r="AD7620" s="28">
        <v>4121958000</v>
      </c>
      <c r="AE7620" s="28">
        <v>16374627000</v>
      </c>
      <c r="AF7620" s="28">
        <v>309591000</v>
      </c>
      <c r="AG7620" s="11"/>
    </row>
    <row r="7621">
      <c r="A7621" s="7" t="s">
        <v>9168</v>
      </c>
      <c r="B7621" s="5" t="s">
        <v>17088</v>
      </c>
      <c r="C7621" s="5" t="s">
        <v>24670</v>
      </c>
      <c r="D7621" s="5" t="str">
        <v>771600126434</v>
      </c>
      <c r="E7621" s="0" t="e">
        <f>+7 (905) 7589466
+7 (495) 2320674
+7 (495) 2320700
+7 (800) 5550408
+7 (812) 6220532
+7 (861) 2002600
+7 (861) 2930304
+7 (863) 3030730
+7 (916) 6356560</f>
        <v>#NAME?</v>
      </c>
      <c r="F7621" s="5" t="s">
        <v>47414</v>
      </c>
      <c r="G7621" s="5" t="s">
        <v>47415</v>
      </c>
      <c r="H7621" s="26">
        <v>19.5</v>
      </c>
      <c r="I7621" s="5" t="s">
        <v>47416</v>
      </c>
      <c r="J7621" s="5" t="s">
        <v>27522</v>
      </c>
      <c r="K7621" s="5" t="s">
        <v>380</v>
      </c>
      <c r="L7621" s="5"/>
      <c r="M7621" s="27"/>
      <c r="N7621" s="5"/>
      <c r="O7621" s="5" t="str">
        <v>7710516184</v>
      </c>
      <c r="P7621" s="27">
        <v>20000</v>
      </c>
      <c r="Q7621" s="5" t="s">
        <v>49009</v>
      </c>
      <c r="R7621" s="5"/>
      <c r="S7621" s="5" t="s">
        <v>49028</v>
      </c>
      <c r="T7621" s="28">
        <v>549000</v>
      </c>
      <c r="U7621" s="28">
        <v>603426000</v>
      </c>
      <c r="V7621" s="28">
        <v>769710000</v>
      </c>
      <c r="W7621" s="28"/>
      <c r="X7621" s="28">
        <v>20937000</v>
      </c>
      <c r="Y7621" s="28">
        <v>2178094000</v>
      </c>
      <c r="Z7621" s="28">
        <v>27709000</v>
      </c>
      <c r="AA7621" s="28"/>
      <c r="AB7621" s="28">
        <v>1009767000</v>
      </c>
      <c r="AC7621" s="28">
        <v>2150332000</v>
      </c>
      <c r="AD7621" s="28">
        <v>27729000</v>
      </c>
      <c r="AE7621" s="28">
        <v>4583076000</v>
      </c>
      <c r="AF7621" s="28">
        <v>12161000</v>
      </c>
      <c r="AG7621" s="11"/>
    </row>
    <row r="7622">
      <c r="A7622" s="7" t="s">
        <v>9169</v>
      </c>
      <c r="B7622" s="5" t="s">
        <v>17089</v>
      </c>
      <c r="C7622" s="5" t="s">
        <v>24671</v>
      </c>
      <c r="D7622" s="5" t="str">
        <v>780203043666</v>
      </c>
      <c r="E7622" s="0" t="e">
        <f>+7 (47242) 21130
+7 (47242) 21175
+7 (47242) 23571
+7 (47242) 23572
+7 (47242) 23573
+7 (495) 7770206
+7 (495) 7770905
+7 (495) 7770906
+7 (800) 5001303</f>
        <v>#NAME?</v>
      </c>
      <c r="F7622" s="5" t="s">
        <v>47417</v>
      </c>
      <c r="G7622" s="5" t="s">
        <v>47418</v>
      </c>
      <c r="H7622" s="26">
        <v>23</v>
      </c>
      <c r="I7622" s="5" t="s">
        <v>47419</v>
      </c>
      <c r="J7622" s="5" t="s">
        <v>27917</v>
      </c>
      <c r="K7622" s="5" t="s">
        <v>344</v>
      </c>
      <c r="L7622" s="5" t="s">
        <v>47420</v>
      </c>
      <c r="M7622" s="27"/>
      <c r="N7622" s="5"/>
      <c r="O7622" s="5" t="str">
        <v>5040048921</v>
      </c>
      <c r="P7622" s="27">
        <v>1009650759</v>
      </c>
      <c r="Q7622" s="5" t="s">
        <v>49009</v>
      </c>
      <c r="R7622" s="5"/>
      <c r="S7622" s="5" t="s">
        <v>49066</v>
      </c>
      <c r="T7622" s="28">
        <v>9130695000</v>
      </c>
      <c r="U7622" s="28">
        <v>30860000</v>
      </c>
      <c r="V7622" s="28">
        <v>2396304000</v>
      </c>
      <c r="W7622" s="28">
        <v>1200000000</v>
      </c>
      <c r="X7622" s="28">
        <v>541046000</v>
      </c>
      <c r="Y7622" s="28">
        <v>16976532000</v>
      </c>
      <c r="Z7622" s="28">
        <v>12159450000</v>
      </c>
      <c r="AA7622" s="28"/>
      <c r="AB7622" s="28">
        <v>847507000</v>
      </c>
      <c r="AC7622" s="28">
        <v>2961534000</v>
      </c>
      <c r="AD7622" s="28">
        <v>13810893000</v>
      </c>
      <c r="AE7622" s="28">
        <v>36745848000</v>
      </c>
      <c r="AF7622" s="28">
        <v>3972657000</v>
      </c>
      <c r="AG7622" s="11"/>
    </row>
    <row r="7623">
      <c r="A7623" s="7" t="s">
        <v>9170</v>
      </c>
      <c r="B7623" s="5" t="s">
        <v>17090</v>
      </c>
      <c r="C7623" s="5" t="s">
        <v>24672</v>
      </c>
      <c r="D7623" s="5" t="str">
        <v>261200409935</v>
      </c>
      <c r="E7623" s="0" t="e">
        <f>+7 (47353) 51487
+7 (47353) 51683
+7 (47353) 51770
+7 (47353) 51897
+7 (961) 1899628</f>
        <v>#NAME?</v>
      </c>
      <c r="F7623" s="5" t="s">
        <v>47421</v>
      </c>
      <c r="G7623" s="5" t="s">
        <v>47422</v>
      </c>
      <c r="H7623" s="26">
        <v>5.5</v>
      </c>
      <c r="I7623" s="5" t="s">
        <v>47423</v>
      </c>
      <c r="J7623" s="5" t="s">
        <v>32105</v>
      </c>
      <c r="K7623" s="5" t="s">
        <v>344</v>
      </c>
      <c r="L7623" s="5" t="s">
        <v>47424</v>
      </c>
      <c r="M7623" s="27"/>
      <c r="N7623" s="5" t="s">
        <v>52996</v>
      </c>
      <c r="O7623" s="5" t="str">
        <v>3617008735</v>
      </c>
      <c r="P7623" s="27">
        <v>100000</v>
      </c>
      <c r="Q7623" s="5" t="s">
        <v>60677</v>
      </c>
      <c r="R7623" s="5"/>
      <c r="S7623" s="5" t="s">
        <v>60678</v>
      </c>
      <c r="T7623" s="28">
        <v>76706000</v>
      </c>
      <c r="U7623" s="28"/>
      <c r="V7623" s="28">
        <v>223814000</v>
      </c>
      <c r="W7623" s="28"/>
      <c r="X7623" s="28">
        <v>119884000</v>
      </c>
      <c r="Y7623" s="28">
        <v>538999000</v>
      </c>
      <c r="Z7623" s="28">
        <v>354410000</v>
      </c>
      <c r="AA7623" s="28"/>
      <c r="AB7623" s="28"/>
      <c r="AC7623" s="28">
        <v>128943000</v>
      </c>
      <c r="AD7623" s="28">
        <v>387857000</v>
      </c>
      <c r="AE7623" s="28">
        <v>6086167000</v>
      </c>
      <c r="AF7623" s="28">
        <v>203695000</v>
      </c>
      <c r="AG7623" s="11"/>
    </row>
    <row r="7624">
      <c r="A7624" s="7" t="s">
        <v>9171</v>
      </c>
      <c r="B7624" s="5" t="s">
        <v>17091</v>
      </c>
      <c r="C7624" s="5" t="s">
        <v>24673</v>
      </c>
      <c r="D7624" s="5" t="str">
        <v>782510420768</v>
      </c>
      <c r="E7624" s="0" t="e">
        <f>+7 (421) 2722097
+7 (924) 3629651
+7 (41147) 79329
+7 (421) 2720068
+7 (421) 2720081
+7 (421) 2720085
+7 (421) 2744714
+7 (421) 2744954
+7 (42135) 26728</f>
        <v>#NAME?</v>
      </c>
      <c r="F7624" s="5" t="s">
        <v>47425</v>
      </c>
      <c r="G7624" s="5" t="s">
        <v>47426</v>
      </c>
      <c r="H7624" s="26">
        <v>19</v>
      </c>
      <c r="I7624" s="5" t="s">
        <v>47427</v>
      </c>
      <c r="J7624" s="5" t="s">
        <v>25295</v>
      </c>
      <c r="K7624" s="5" t="s">
        <v>355</v>
      </c>
      <c r="L7624" s="5"/>
      <c r="M7624" s="27"/>
      <c r="N7624" s="5" t="s">
        <v>60679</v>
      </c>
      <c r="O7624" s="5" t="str">
        <v>2725031842</v>
      </c>
      <c r="P7624" s="27">
        <v>377481200</v>
      </c>
      <c r="Q7624" s="5" t="s">
        <v>60681</v>
      </c>
      <c r="R7624" s="5" t="s">
        <v>60682</v>
      </c>
      <c r="S7624" s="5" t="s">
        <v>60683</v>
      </c>
      <c r="T7624" s="28">
        <v>666897000</v>
      </c>
      <c r="U7624" s="28"/>
      <c r="V7624" s="28">
        <v>530065000</v>
      </c>
      <c r="W7624" s="28"/>
      <c r="X7624" s="28">
        <v>16175000</v>
      </c>
      <c r="Y7624" s="28">
        <v>2110182000</v>
      </c>
      <c r="Z7624" s="28">
        <v>285505000</v>
      </c>
      <c r="AA7624" s="28">
        <v>70591000</v>
      </c>
      <c r="AB7624" s="28"/>
      <c r="AC7624" s="28">
        <v>1266962000</v>
      </c>
      <c r="AD7624" s="28">
        <v>669501000</v>
      </c>
      <c r="AE7624" s="28">
        <v>4554561000</v>
      </c>
      <c r="AF7624" s="28">
        <v>1488000</v>
      </c>
      <c r="AG7624" s="11"/>
    </row>
    <row r="7625">
      <c r="A7625" s="7" t="s">
        <v>1642</v>
      </c>
      <c r="B7625" s="5" t="s">
        <v>1643</v>
      </c>
      <c r="C7625" s="5" t="s">
        <v>1644</v>
      </c>
      <c r="D7625" s="5" t="str">
        <v>772940202839</v>
      </c>
      <c r="F7625" s="5"/>
      <c r="G7625" s="5"/>
      <c r="H7625" s="26">
        <v>4</v>
      </c>
      <c r="I7625" s="5"/>
      <c r="J7625" s="5" t="s">
        <v>373</v>
      </c>
      <c r="K7625" s="5" t="s">
        <v>344</v>
      </c>
      <c r="L7625" s="5" t="s">
        <v>1645</v>
      </c>
      <c r="M7625" s="27"/>
      <c r="N7625" s="5"/>
      <c r="O7625" s="5" t="str">
        <v>7708339756</v>
      </c>
      <c r="P7625" s="27">
        <v>10000</v>
      </c>
      <c r="Q7625" s="5" t="s">
        <v>346</v>
      </c>
      <c r="R7625" s="5"/>
      <c r="S7625" s="5" t="s">
        <v>60684</v>
      </c>
      <c r="T7625" s="28">
        <v>22807000</v>
      </c>
      <c r="U7625" s="28"/>
      <c r="V7625" s="28">
        <v>255314000</v>
      </c>
      <c r="W7625" s="28">
        <v>439582000</v>
      </c>
      <c r="X7625" s="28">
        <v>79035000</v>
      </c>
      <c r="Y7625" s="28">
        <v>797942000</v>
      </c>
      <c r="Z7625" s="28">
        <v>251999000</v>
      </c>
      <c r="AA7625" s="28"/>
      <c r="AB7625" s="28"/>
      <c r="AC7625" s="28">
        <v>545925000</v>
      </c>
      <c r="AD7625" s="28">
        <v>252009000</v>
      </c>
      <c r="AE7625" s="28">
        <v>3448048000</v>
      </c>
      <c r="AF7625" s="28">
        <v>103254000</v>
      </c>
      <c r="AG7625" s="11"/>
    </row>
    <row r="7626">
      <c r="A7626" s="7" t="s">
        <v>9172</v>
      </c>
      <c r="B7626" s="5" t="s">
        <v>17092</v>
      </c>
      <c r="C7626" s="5" t="s">
        <v>24674</v>
      </c>
      <c r="D7626" s="5" t="str">
        <v>760417855158</v>
      </c>
      <c r="E7626" s="0" t="e">
        <f>+7 (485) 2797938
+7 (485) 2598800
+7 (485) 2598878
+7 (485) 2675000
+7 (485) 2797140</f>
        <v>#NAME?</v>
      </c>
      <c r="F7626" s="5"/>
      <c r="G7626" s="5" t="s">
        <v>47428</v>
      </c>
      <c r="H7626" s="26">
        <v>11</v>
      </c>
      <c r="I7626" s="5" t="s">
        <v>47429</v>
      </c>
      <c r="J7626" s="5" t="s">
        <v>25295</v>
      </c>
      <c r="K7626" s="5" t="s">
        <v>355</v>
      </c>
      <c r="L7626" s="5"/>
      <c r="M7626" s="27">
        <v>137542040</v>
      </c>
      <c r="N7626" s="5"/>
      <c r="O7626" s="5" t="str">
        <v>7604217961</v>
      </c>
      <c r="P7626" s="27">
        <v>6421847143</v>
      </c>
      <c r="Q7626" s="5" t="s">
        <v>60685</v>
      </c>
      <c r="R7626" s="5"/>
      <c r="S7626" s="5" t="s">
        <v>49271</v>
      </c>
      <c r="T7626" s="28">
        <v>16324197000</v>
      </c>
      <c r="U7626" s="28"/>
      <c r="V7626" s="28">
        <v>766402000</v>
      </c>
      <c r="W7626" s="28"/>
      <c r="X7626" s="28">
        <v>1482155000</v>
      </c>
      <c r="Y7626" s="28">
        <v>21092931000</v>
      </c>
      <c r="Z7626" s="28">
        <v>-5693015000</v>
      </c>
      <c r="AA7626" s="28">
        <v>11359506000</v>
      </c>
      <c r="AB7626" s="28">
        <v>6592834000</v>
      </c>
      <c r="AC7626" s="28">
        <v>7462126000</v>
      </c>
      <c r="AD7626" s="28">
        <v>728832000</v>
      </c>
      <c r="AE7626" s="28">
        <v>7837581000</v>
      </c>
      <c r="AF7626" s="28">
        <v>1444399000</v>
      </c>
      <c r="AG7626" s="11"/>
    </row>
    <row r="7627">
      <c r="A7627" s="7" t="s">
        <v>9173</v>
      </c>
      <c r="B7627" s="5" t="s">
        <v>17093</v>
      </c>
      <c r="C7627" s="5" t="s">
        <v>24675</v>
      </c>
      <c r="D7627" s="5" t="str">
        <v>160601305488</v>
      </c>
      <c r="E7627" s="0" t="e">
        <f>+7 (929) 7219780</f>
        <v>#NAME?</v>
      </c>
      <c r="F7627" s="5" t="s">
        <v>47430</v>
      </c>
      <c r="G7627" s="5"/>
      <c r="H7627" s="26">
        <v>8.5</v>
      </c>
      <c r="I7627" s="5" t="s">
        <v>47431</v>
      </c>
      <c r="J7627" s="5" t="s">
        <v>25895</v>
      </c>
      <c r="K7627" s="5" t="s">
        <v>355</v>
      </c>
      <c r="L7627" s="5" t="s">
        <v>47432</v>
      </c>
      <c r="M7627" s="27">
        <v>10573684</v>
      </c>
      <c r="N7627" s="5"/>
      <c r="O7627" s="5" t="str">
        <v>1606006813</v>
      </c>
      <c r="P7627" s="27">
        <v>380000</v>
      </c>
      <c r="Q7627" s="5" t="s">
        <v>49009</v>
      </c>
      <c r="R7627" s="5"/>
      <c r="S7627" s="5" t="s">
        <v>49066</v>
      </c>
      <c r="T7627" s="28">
        <v>2144335000</v>
      </c>
      <c r="U7627" s="28"/>
      <c r="V7627" s="28">
        <v>354389000</v>
      </c>
      <c r="W7627" s="28"/>
      <c r="X7627" s="28">
        <v>31101000</v>
      </c>
      <c r="Y7627" s="28">
        <v>4717998000</v>
      </c>
      <c r="Z7627" s="28">
        <v>2063185000</v>
      </c>
      <c r="AA7627" s="28"/>
      <c r="AB7627" s="28"/>
      <c r="AC7627" s="28">
        <v>2654423000</v>
      </c>
      <c r="AD7627" s="28">
        <v>2063575000</v>
      </c>
      <c r="AE7627" s="28">
        <v>3126716000</v>
      </c>
      <c r="AF7627" s="28">
        <v>255341000</v>
      </c>
      <c r="AG7627" s="11"/>
    </row>
    <row r="7628">
      <c r="A7628" s="7" t="s">
        <v>9174</v>
      </c>
      <c r="B7628" s="5" t="s">
        <v>17094</v>
      </c>
      <c r="C7628" s="5" t="s">
        <v>24676</v>
      </c>
      <c r="D7628" s="5" t="str">
        <v>773501416930</v>
      </c>
      <c r="E7628" s="0" t="e">
        <f>+7 (495) 7972654
+7 (495) 7972670
+7 (495) 7972672
+7 (495) 9331382
+7 (495) 9372800
+7 (495) 9377873</f>
        <v>#NAME?</v>
      </c>
      <c r="F7628" s="5"/>
      <c r="G7628" s="5" t="s">
        <v>47433</v>
      </c>
      <c r="H7628" s="26">
        <v>25.5</v>
      </c>
      <c r="I7628" s="5" t="s">
        <v>47434</v>
      </c>
      <c r="J7628" s="5" t="s">
        <v>25842</v>
      </c>
      <c r="K7628" s="5" t="s">
        <v>344</v>
      </c>
      <c r="L7628" s="5" t="s">
        <v>47435</v>
      </c>
      <c r="M7628" s="27"/>
      <c r="N7628" s="5"/>
      <c r="O7628" s="5" t="str">
        <v>5047004970</v>
      </c>
      <c r="P7628" s="27">
        <v>26443660</v>
      </c>
      <c r="Q7628" s="5" t="s">
        <v>49009</v>
      </c>
      <c r="R7628" s="5"/>
      <c r="S7628" s="5" t="s">
        <v>49814</v>
      </c>
      <c r="T7628" s="28">
        <v>6989000</v>
      </c>
      <c r="U7628" s="28"/>
      <c r="V7628" s="28">
        <v>392656000</v>
      </c>
      <c r="W7628" s="28"/>
      <c r="X7628" s="28">
        <v>790559000</v>
      </c>
      <c r="Y7628" s="28">
        <v>1244891000</v>
      </c>
      <c r="Z7628" s="28">
        <v>875584000</v>
      </c>
      <c r="AA7628" s="28"/>
      <c r="AB7628" s="28"/>
      <c r="AC7628" s="28">
        <v>283449000</v>
      </c>
      <c r="AD7628" s="28">
        <v>902028000</v>
      </c>
      <c r="AE7628" s="28">
        <v>4492865000</v>
      </c>
      <c r="AF7628" s="28">
        <v>-4671000</v>
      </c>
      <c r="AG7628" s="11"/>
    </row>
    <row r="7629">
      <c r="A7629" s="7" t="s">
        <v>9175</v>
      </c>
      <c r="B7629" s="5" t="s">
        <v>17095</v>
      </c>
      <c r="C7629" s="5" t="s">
        <v>24677</v>
      </c>
      <c r="D7629" s="5" t="str">
        <v>772805252600</v>
      </c>
      <c r="E7629" s="0" t="e">
        <f>+7 (499) 9213250
+7 (495) 6878903
+7 (499) 4034248
+7 (499) 4034700</f>
        <v>#NAME?</v>
      </c>
      <c r="F7629" s="5"/>
      <c r="G7629" s="5" t="s">
        <v>47436</v>
      </c>
      <c r="H7629" s="26">
        <v>8</v>
      </c>
      <c r="I7629" s="5" t="s">
        <v>47437</v>
      </c>
      <c r="J7629" s="5" t="s">
        <v>26256</v>
      </c>
      <c r="K7629" s="5" t="s">
        <v>380</v>
      </c>
      <c r="L7629" s="5" t="s">
        <v>47438</v>
      </c>
      <c r="M7629" s="27">
        <v>3774730961</v>
      </c>
      <c r="N7629" s="5" t="s">
        <v>60686</v>
      </c>
      <c r="O7629" s="5" t="str">
        <v>7743098542</v>
      </c>
      <c r="P7629" s="27">
        <v>7200000</v>
      </c>
      <c r="Q7629" s="5" t="s">
        <v>60687</v>
      </c>
      <c r="R7629" s="5" t="s">
        <v>58868</v>
      </c>
      <c r="S7629" s="5" t="s">
        <v>49361</v>
      </c>
      <c r="T7629" s="28">
        <v>858031000</v>
      </c>
      <c r="U7629" s="28">
        <v>42037000</v>
      </c>
      <c r="V7629" s="28">
        <v>1959954000</v>
      </c>
      <c r="W7629" s="28">
        <v>94289000</v>
      </c>
      <c r="X7629" s="28">
        <v>1156130000</v>
      </c>
      <c r="Y7629" s="28">
        <v>8022082000</v>
      </c>
      <c r="Z7629" s="28">
        <v>2553340000</v>
      </c>
      <c r="AA7629" s="28"/>
      <c r="AB7629" s="28">
        <v>393500000</v>
      </c>
      <c r="AC7629" s="28">
        <v>5383423000</v>
      </c>
      <c r="AD7629" s="28">
        <v>2569535000</v>
      </c>
      <c r="AE7629" s="28">
        <v>4641767000</v>
      </c>
      <c r="AF7629" s="28">
        <v>-2152387000</v>
      </c>
      <c r="AG7629" s="11"/>
    </row>
    <row r="7630">
      <c r="A7630" s="7" t="s">
        <v>9176</v>
      </c>
      <c r="B7630" s="5" t="s">
        <v>17096</v>
      </c>
      <c r="C7630" s="5" t="s">
        <v>24678</v>
      </c>
      <c r="D7630" s="5" t="str">
        <v>602504391106</v>
      </c>
      <c r="E7630" s="0" t="e">
        <f>+7 (391) 2273424
+7 (391) 2737156
+7 (473) 2065065
+7 (495) 7886870
+7 (495) 9746427
+7 (800) 1006427
+7 (812) 6077729</f>
        <v>#NAME?</v>
      </c>
      <c r="F7630" s="5" t="s">
        <v>47439</v>
      </c>
      <c r="G7630" s="5" t="s">
        <v>47440</v>
      </c>
      <c r="H7630" s="26">
        <v>16</v>
      </c>
      <c r="I7630" s="5" t="s">
        <v>47441</v>
      </c>
      <c r="J7630" s="5" t="s">
        <v>25199</v>
      </c>
      <c r="K7630" s="5" t="s">
        <v>344</v>
      </c>
      <c r="L7630" s="5"/>
      <c r="M7630" s="27">
        <v>10000</v>
      </c>
      <c r="N7630" s="5" t="s">
        <v>60688</v>
      </c>
      <c r="O7630" s="5" t="str">
        <v>7718620740</v>
      </c>
      <c r="P7630" s="27">
        <v>4276258</v>
      </c>
      <c r="Q7630" s="5" t="s">
        <v>60689</v>
      </c>
      <c r="R7630" s="5"/>
      <c r="S7630" s="5" t="s">
        <v>60690</v>
      </c>
      <c r="T7630" s="28">
        <v>836854000</v>
      </c>
      <c r="U7630" s="28">
        <v>10435538000</v>
      </c>
      <c r="V7630" s="28">
        <v>1157409000</v>
      </c>
      <c r="W7630" s="28">
        <v>315618000</v>
      </c>
      <c r="X7630" s="28">
        <v>7753676000</v>
      </c>
      <c r="Y7630" s="28">
        <v>20981903000</v>
      </c>
      <c r="Z7630" s="28">
        <v>8206842000</v>
      </c>
      <c r="AA7630" s="28">
        <v>7521974000</v>
      </c>
      <c r="AB7630" s="28">
        <v>97764000</v>
      </c>
      <c r="AC7630" s="28">
        <v>5002672000</v>
      </c>
      <c r="AD7630" s="28">
        <v>8320616000</v>
      </c>
      <c r="AE7630" s="28">
        <v>16331899000</v>
      </c>
      <c r="AF7630" s="28">
        <v>6369364000</v>
      </c>
      <c r="AG7630" s="11"/>
    </row>
    <row r="7631">
      <c r="A7631" s="7" t="s">
        <v>9177</v>
      </c>
      <c r="B7631" s="5" t="s">
        <v>17097</v>
      </c>
      <c r="C7631" s="5" t="s">
        <v>24679</v>
      </c>
      <c r="D7631" s="5" t="str">
        <v>470801432640</v>
      </c>
      <c r="E7631" s="0" t="e">
        <f>+7 (81368) 20226
+7 (81368) 51335
+7 (81368) 52341
+7 (81368) 52919
+7 (81368) 69169
+7 (81368) 69200</f>
        <v>#NAME?</v>
      </c>
      <c r="F7631" s="5" t="s">
        <v>47442</v>
      </c>
      <c r="G7631" s="5" t="s">
        <v>47443</v>
      </c>
      <c r="H7631" s="26">
        <v>28.5</v>
      </c>
      <c r="I7631" s="5"/>
      <c r="J7631" s="5" t="s">
        <v>373</v>
      </c>
      <c r="K7631" s="5" t="s">
        <v>344</v>
      </c>
      <c r="L7631" s="5" t="s">
        <v>47444</v>
      </c>
      <c r="M7631" s="27"/>
      <c r="N7631" s="5" t="s">
        <v>60691</v>
      </c>
      <c r="O7631" s="5" t="str">
        <v>4708003990</v>
      </c>
      <c r="P7631" s="27">
        <v>30750000</v>
      </c>
      <c r="Q7631" s="5" t="s">
        <v>60692</v>
      </c>
      <c r="R7631" s="5"/>
      <c r="S7631" s="5" t="s">
        <v>60693</v>
      </c>
      <c r="T7631" s="28">
        <v>129339000</v>
      </c>
      <c r="U7631" s="28">
        <v>166000</v>
      </c>
      <c r="V7631" s="28">
        <v>1704328000</v>
      </c>
      <c r="W7631" s="28">
        <v>155111000</v>
      </c>
      <c r="X7631" s="28">
        <v>227505000</v>
      </c>
      <c r="Y7631" s="28">
        <v>2533729000</v>
      </c>
      <c r="Z7631" s="28">
        <v>2419056000</v>
      </c>
      <c r="AA7631" s="28"/>
      <c r="AB7631" s="28"/>
      <c r="AC7631" s="28">
        <v>82047000</v>
      </c>
      <c r="AD7631" s="28">
        <v>2451344000</v>
      </c>
      <c r="AE7631" s="28">
        <v>5482025000</v>
      </c>
      <c r="AF7631" s="28">
        <v>168316000</v>
      </c>
      <c r="AG7631" s="11"/>
    </row>
    <row r="7632">
      <c r="A7632" s="7" t="s">
        <v>9178</v>
      </c>
      <c r="B7632" s="5" t="s">
        <v>17098</v>
      </c>
      <c r="C7632" s="5" t="s">
        <v>24680</v>
      </c>
      <c r="D7632" s="5" t="str">
        <v>666101562555</v>
      </c>
      <c r="E7632" s="0" t="e">
        <f>+7 (921) 7097232
+7 (81531) 31781
+7 (81531) 35268
+7 (81531) 54033
+7 (81531) 54058
+7 (81531) 54168
+7 (81531) 55119
+7 (81531) 56322
+7 (81531) 56543</f>
        <v>#NAME?</v>
      </c>
      <c r="F7632" s="5" t="s">
        <v>47445</v>
      </c>
      <c r="G7632" s="5" t="s">
        <v>47446</v>
      </c>
      <c r="H7632" s="26">
        <v>11.5</v>
      </c>
      <c r="I7632" s="5" t="s">
        <v>47447</v>
      </c>
      <c r="J7632" s="5" t="s">
        <v>26623</v>
      </c>
      <c r="K7632" s="5" t="s">
        <v>344</v>
      </c>
      <c r="L7632" s="5" t="s">
        <v>47448</v>
      </c>
      <c r="M7632" s="27"/>
      <c r="N7632" s="5" t="s">
        <v>60694</v>
      </c>
      <c r="O7632" s="5" t="str">
        <v>5103065898</v>
      </c>
      <c r="P7632" s="27">
        <v>6000000</v>
      </c>
      <c r="Q7632" s="5" t="s">
        <v>60695</v>
      </c>
      <c r="R7632" s="5"/>
      <c r="S7632" s="5" t="s">
        <v>49444</v>
      </c>
      <c r="T7632" s="28">
        <v>15104000</v>
      </c>
      <c r="U7632" s="28"/>
      <c r="V7632" s="28">
        <v>945516000</v>
      </c>
      <c r="W7632" s="28"/>
      <c r="X7632" s="28">
        <v>16111000</v>
      </c>
      <c r="Y7632" s="28">
        <v>979197000</v>
      </c>
      <c r="Z7632" s="28">
        <v>385837000</v>
      </c>
      <c r="AA7632" s="28"/>
      <c r="AB7632" s="28"/>
      <c r="AC7632" s="28">
        <v>586709000</v>
      </c>
      <c r="AD7632" s="28">
        <v>391837000</v>
      </c>
      <c r="AE7632" s="28">
        <v>8418941000</v>
      </c>
      <c r="AF7632" s="28">
        <v>80291000</v>
      </c>
      <c r="AG7632" s="11"/>
    </row>
    <row r="7633">
      <c r="A7633" s="7" t="s">
        <v>9179</v>
      </c>
      <c r="B7633" s="5" t="s">
        <v>17099</v>
      </c>
      <c r="C7633" s="5" t="s">
        <v>24681</v>
      </c>
      <c r="D7633" s="5" t="str">
        <v>773613948724</v>
      </c>
      <c r="E7633" s="0" t="e">
        <f>+7 (499) 5500780
+7 (495) 5500720
+7 (499) 5500783
+7 (917) 5415860</f>
        <v>#NAME?</v>
      </c>
      <c r="F7633" s="5"/>
      <c r="G7633" s="5"/>
      <c r="H7633" s="26">
        <v>7</v>
      </c>
      <c r="I7633" s="5" t="s">
        <v>47449</v>
      </c>
      <c r="J7633" s="5" t="s">
        <v>25612</v>
      </c>
      <c r="K7633" s="5" t="s">
        <v>355</v>
      </c>
      <c r="L7633" s="5"/>
      <c r="M7633" s="27"/>
      <c r="N7633" s="5" t="s">
        <v>60696</v>
      </c>
      <c r="O7633" s="5" t="str">
        <v>7729488710</v>
      </c>
      <c r="P7633" s="27">
        <v>700000</v>
      </c>
      <c r="Q7633" s="5"/>
      <c r="R7633" s="5"/>
      <c r="S7633" s="5" t="s">
        <v>49399</v>
      </c>
      <c r="T7633" s="28">
        <v>81613000</v>
      </c>
      <c r="U7633" s="28"/>
      <c r="V7633" s="28">
        <v>3301894000</v>
      </c>
      <c r="W7633" s="28">
        <v>670627000</v>
      </c>
      <c r="X7633" s="28">
        <v>185036000</v>
      </c>
      <c r="Y7633" s="28">
        <v>5659923000</v>
      </c>
      <c r="Z7633" s="28">
        <v>265448000</v>
      </c>
      <c r="AA7633" s="28">
        <v>629633000</v>
      </c>
      <c r="AB7633" s="28">
        <v>264833000</v>
      </c>
      <c r="AC7633" s="28">
        <v>3363960000</v>
      </c>
      <c r="AD7633" s="28">
        <v>1514274000</v>
      </c>
      <c r="AE7633" s="28">
        <v>4515429000</v>
      </c>
      <c r="AF7633" s="28">
        <v>374753000</v>
      </c>
      <c r="AG7633" s="11"/>
    </row>
    <row r="7634">
      <c r="A7634" s="7" t="s">
        <v>9180</v>
      </c>
      <c r="B7634" s="5" t="s">
        <v>17100</v>
      </c>
      <c r="C7634" s="5" t="s">
        <v>24682</v>
      </c>
      <c r="D7634" s="5" t="str">
        <v>773706365740</v>
      </c>
      <c r="E7634" s="0" t="e">
        <f>+7 (495) 2281266
+7 (495) 3250972
+7 (495) 3250990
+7 (495) 3251795
+7 (495) 3253455
+7 (495) 3253860
+7 (495) 7410477
+7 (499) 3202166</f>
        <v>#NAME?</v>
      </c>
      <c r="F7634" s="5" t="s">
        <v>47450</v>
      </c>
      <c r="G7634" s="5" t="s">
        <v>46873</v>
      </c>
      <c r="H7634" s="26">
        <v>29.5</v>
      </c>
      <c r="I7634" s="5"/>
      <c r="J7634" s="5" t="s">
        <v>25788</v>
      </c>
      <c r="K7634" s="5" t="s">
        <v>344</v>
      </c>
      <c r="L7634" s="5"/>
      <c r="M7634" s="27">
        <v>162000</v>
      </c>
      <c r="N7634" s="5"/>
      <c r="O7634" s="5" t="str">
        <v>7724017435</v>
      </c>
      <c r="P7634" s="27">
        <v>82072</v>
      </c>
      <c r="Q7634" s="5" t="s">
        <v>49021</v>
      </c>
      <c r="R7634" s="5"/>
      <c r="S7634" s="5" t="s">
        <v>60697</v>
      </c>
      <c r="T7634" s="28">
        <v>693298000</v>
      </c>
      <c r="U7634" s="28">
        <v>34713000</v>
      </c>
      <c r="V7634" s="28">
        <v>864933000</v>
      </c>
      <c r="W7634" s="28">
        <v>200000</v>
      </c>
      <c r="X7634" s="28">
        <v>906000</v>
      </c>
      <c r="Y7634" s="28">
        <v>2053652000</v>
      </c>
      <c r="Z7634" s="28">
        <v>1233045000</v>
      </c>
      <c r="AA7634" s="28">
        <v>27778000</v>
      </c>
      <c r="AB7634" s="28">
        <v>155516000</v>
      </c>
      <c r="AC7634" s="28">
        <v>541038000</v>
      </c>
      <c r="AD7634" s="28">
        <v>1363885000</v>
      </c>
      <c r="AE7634" s="28">
        <v>4553094000</v>
      </c>
      <c r="AF7634" s="28">
        <v>332485000</v>
      </c>
      <c r="AG7634" s="11"/>
    </row>
    <row r="7635">
      <c r="A7635" s="7" t="s">
        <v>9181</v>
      </c>
      <c r="B7635" s="5" t="s">
        <v>11615</v>
      </c>
      <c r="C7635" s="5" t="s">
        <v>24683</v>
      </c>
      <c r="D7635" s="5" t="str">
        <v>540816232894</v>
      </c>
      <c r="E7635" s="0" t="e">
        <f>+7 (495) 2283657
+7 (495) 2283671
+7 (495) 2283677
+7 (495) 6412936
+7 (495) 6629385
+7 (495) 6629388
+7 (495) 6647856
+7 (495) 7550701
+7 (495) 7559690
+7 (495) 7559701
+7 (495) 7559726
+7 (495) 7559738
+7 (495) 7559758
+7 (495) 7559842
+7 (495) 7559864</f>
        <v>#NAME?</v>
      </c>
      <c r="F7635" s="5" t="s">
        <v>47451</v>
      </c>
      <c r="G7635" s="5" t="s">
        <v>47452</v>
      </c>
      <c r="H7635" s="26">
        <v>20.5</v>
      </c>
      <c r="I7635" s="5" t="s">
        <v>47453</v>
      </c>
      <c r="J7635" s="5" t="s">
        <v>31358</v>
      </c>
      <c r="K7635" s="5" t="s">
        <v>344</v>
      </c>
      <c r="L7635" s="5" t="s">
        <v>47454</v>
      </c>
      <c r="M7635" s="27"/>
      <c r="N7635" s="5" t="s">
        <v>60698</v>
      </c>
      <c r="O7635" s="5" t="str">
        <v>7709383532</v>
      </c>
      <c r="P7635" s="27">
        <v>10000000</v>
      </c>
      <c r="Q7635" s="5" t="s">
        <v>60699</v>
      </c>
      <c r="R7635" s="5"/>
      <c r="S7635" s="5" t="s">
        <v>60700</v>
      </c>
      <c r="T7635" s="28">
        <v>688730000</v>
      </c>
      <c r="U7635" s="28">
        <v>175000</v>
      </c>
      <c r="V7635" s="28">
        <v>900219000</v>
      </c>
      <c r="W7635" s="28">
        <v>6088000</v>
      </c>
      <c r="X7635" s="28">
        <v>617595000</v>
      </c>
      <c r="Y7635" s="28">
        <v>3943801000</v>
      </c>
      <c r="Z7635" s="28">
        <v>290699000</v>
      </c>
      <c r="AA7635" s="28"/>
      <c r="AB7635" s="28">
        <v>117515000</v>
      </c>
      <c r="AC7635" s="28">
        <v>2563805000</v>
      </c>
      <c r="AD7635" s="28">
        <v>302199000</v>
      </c>
      <c r="AE7635" s="28">
        <v>7336587000</v>
      </c>
      <c r="AF7635" s="28">
        <v>34853000</v>
      </c>
      <c r="AG7635" s="11"/>
    </row>
    <row r="7636">
      <c r="A7636" s="7" t="s">
        <v>9182</v>
      </c>
      <c r="B7636" s="5" t="s">
        <v>17101</v>
      </c>
      <c r="C7636" s="5" t="s">
        <v>24684</v>
      </c>
      <c r="D7636" s="5"/>
      <c r="E7636" s="0" t="e">
        <f>+7 (495) 7752010</f>
        <v>#NAME?</v>
      </c>
      <c r="F7636" s="5"/>
      <c r="G7636" s="5"/>
      <c r="H7636" s="26">
        <v>18</v>
      </c>
      <c r="I7636" s="5"/>
      <c r="J7636" s="5" t="s">
        <v>27534</v>
      </c>
      <c r="K7636" s="5" t="s">
        <v>344</v>
      </c>
      <c r="L7636" s="5" t="s">
        <v>47455</v>
      </c>
      <c r="M7636" s="27"/>
      <c r="N7636" s="5" t="s">
        <v>60701</v>
      </c>
      <c r="O7636" s="5" t="str">
        <v>7732503238</v>
      </c>
      <c r="P7636" s="27">
        <v>24350000</v>
      </c>
      <c r="Q7636" s="5"/>
      <c r="R7636" s="5"/>
      <c r="S7636" s="5" t="s">
        <v>49110</v>
      </c>
      <c r="T7636" s="28">
        <v>1578543000</v>
      </c>
      <c r="U7636" s="28">
        <v>500100000</v>
      </c>
      <c r="V7636" s="28">
        <v>1983865000</v>
      </c>
      <c r="W7636" s="28">
        <v>2281688000</v>
      </c>
      <c r="X7636" s="28">
        <v>596696000</v>
      </c>
      <c r="Y7636" s="28">
        <v>7312854000</v>
      </c>
      <c r="Z7636" s="28">
        <v>2478348000</v>
      </c>
      <c r="AA7636" s="28">
        <v>2470556000</v>
      </c>
      <c r="AB7636" s="28">
        <v>414783000</v>
      </c>
      <c r="AC7636" s="28">
        <v>964173000</v>
      </c>
      <c r="AD7636" s="28">
        <v>2503916000</v>
      </c>
      <c r="AE7636" s="28">
        <v>4522432000</v>
      </c>
      <c r="AF7636" s="28">
        <v>1387006000</v>
      </c>
      <c r="AG7636" s="11"/>
    </row>
    <row r="7637">
      <c r="A7637" s="7" t="s">
        <v>9183</v>
      </c>
      <c r="B7637" s="5" t="s">
        <v>17102</v>
      </c>
      <c r="C7637" s="5" t="s">
        <v>24685</v>
      </c>
      <c r="D7637" s="5" t="str">
        <v>781410782882</v>
      </c>
      <c r="E7637" s="0" t="e">
        <f>+7 (812) 2444580
+7 (812) 5935479
+7 (921) 9668506
+7 (812) 5937092
+7 (812) 5939019
+7 (812) 5953530
+7 (812) 6550456</f>
        <v>#NAME?</v>
      </c>
      <c r="F7637" s="5" t="s">
        <v>47456</v>
      </c>
      <c r="G7637" s="5"/>
      <c r="H7637" s="26">
        <v>24</v>
      </c>
      <c r="I7637" s="5" t="s">
        <v>47457</v>
      </c>
      <c r="J7637" s="5" t="s">
        <v>533</v>
      </c>
      <c r="K7637" s="5" t="s">
        <v>344</v>
      </c>
      <c r="L7637" s="5"/>
      <c r="M7637" s="27">
        <v>30987871</v>
      </c>
      <c r="N7637" s="5" t="s">
        <v>60702</v>
      </c>
      <c r="O7637" s="5" t="str">
        <v>4703041174</v>
      </c>
      <c r="P7637" s="27">
        <v>3248266525</v>
      </c>
      <c r="Q7637" s="5" t="s">
        <v>60703</v>
      </c>
      <c r="R7637" s="5"/>
      <c r="S7637" s="5" t="s">
        <v>49089</v>
      </c>
      <c r="T7637" s="28">
        <v>3258545000</v>
      </c>
      <c r="U7637" s="28">
        <v>5000</v>
      </c>
      <c r="V7637" s="28">
        <v>1790148000</v>
      </c>
      <c r="W7637" s="28">
        <v>45000000</v>
      </c>
      <c r="X7637" s="28">
        <v>3709000</v>
      </c>
      <c r="Y7637" s="28">
        <v>9407785000</v>
      </c>
      <c r="Z7637" s="28">
        <v>-573131000</v>
      </c>
      <c r="AA7637" s="28">
        <v>1168300000</v>
      </c>
      <c r="AB7637" s="28">
        <v>1720000</v>
      </c>
      <c r="AC7637" s="28">
        <v>2458679000</v>
      </c>
      <c r="AD7637" s="28">
        <v>4730139000</v>
      </c>
      <c r="AE7637" s="28">
        <v>5823042000</v>
      </c>
      <c r="AF7637" s="28">
        <v>157067000</v>
      </c>
      <c r="AG7637" s="11"/>
    </row>
    <row r="7638">
      <c r="A7638" s="7" t="s">
        <v>9184</v>
      </c>
      <c r="B7638" s="5" t="s">
        <v>17103</v>
      </c>
      <c r="C7638" s="5" t="s">
        <v>24686</v>
      </c>
      <c r="D7638" s="5" t="str">
        <v>525901941295</v>
      </c>
      <c r="E7638" s="0" t="e">
        <f>+7 (383) 2303130
+7 (495) 7375858
+7 (800) 2001711
+7 (800) 2343130
+7 (800) 3337573
+7 (812) 6221717
+7 (903) 1045493
+7 (903) 1045955
+7 (903) 6182274
+7 (903) 6183628
+7 (903) 6185044
+7 (903) 6186743
+7 (905) 5049000
+7 (905) 5301552
+7 (905) 5301734</f>
        <v>#NAME?</v>
      </c>
      <c r="F7638" s="5"/>
      <c r="G7638" s="5"/>
      <c r="H7638" s="26">
        <v>8.5</v>
      </c>
      <c r="I7638" s="5" t="s">
        <v>47458</v>
      </c>
      <c r="J7638" s="5" t="s">
        <v>47459</v>
      </c>
      <c r="K7638" s="5" t="s">
        <v>344</v>
      </c>
      <c r="L7638" s="5" t="s">
        <v>47460</v>
      </c>
      <c r="M7638" s="27"/>
      <c r="N7638" s="5"/>
      <c r="O7638" s="5" t="str">
        <v>7727835125</v>
      </c>
      <c r="P7638" s="27">
        <v>1000000</v>
      </c>
      <c r="Q7638" s="5" t="s">
        <v>49021</v>
      </c>
      <c r="R7638" s="5"/>
      <c r="S7638" s="5" t="s">
        <v>51713</v>
      </c>
      <c r="T7638" s="28">
        <v>34645000</v>
      </c>
      <c r="U7638" s="28"/>
      <c r="V7638" s="28">
        <v>814774000</v>
      </c>
      <c r="W7638" s="28"/>
      <c r="X7638" s="28">
        <v>21507000</v>
      </c>
      <c r="Y7638" s="28">
        <v>1088780000</v>
      </c>
      <c r="Z7638" s="28">
        <v>67831000</v>
      </c>
      <c r="AA7638" s="28"/>
      <c r="AB7638" s="28">
        <v>295020000</v>
      </c>
      <c r="AC7638" s="28">
        <v>1019792000</v>
      </c>
      <c r="AD7638" s="28">
        <v>68831000</v>
      </c>
      <c r="AE7638" s="28">
        <v>3998825000</v>
      </c>
      <c r="AF7638" s="28">
        <v>64368000</v>
      </c>
      <c r="AG7638" s="11"/>
    </row>
    <row r="7639">
      <c r="A7639" s="7" t="s">
        <v>9185</v>
      </c>
      <c r="B7639" s="5" t="s">
        <v>17104</v>
      </c>
      <c r="C7639" s="5" t="s">
        <v>24687</v>
      </c>
      <c r="D7639" s="5" t="str">
        <v>321800697249</v>
      </c>
      <c r="E7639" s="0" t="e">
        <f>+7 (495) 6214227
+7 (495) 6215765
+7 (495) 6255549
+7 (495) 6284748
+7 (495) 6285152
+7 (495) 6285793
+7 (495) 6286245</f>
        <v>#NAME?</v>
      </c>
      <c r="F7639" s="5" t="s">
        <v>47461</v>
      </c>
      <c r="G7639" s="5" t="s">
        <v>47462</v>
      </c>
      <c r="H7639" s="26">
        <v>30.5</v>
      </c>
      <c r="I7639" s="5" t="s">
        <v>47463</v>
      </c>
      <c r="J7639" s="5" t="s">
        <v>467</v>
      </c>
      <c r="K7639" s="5" t="s">
        <v>344</v>
      </c>
      <c r="L7639" s="5" t="s">
        <v>47464</v>
      </c>
      <c r="M7639" s="27">
        <v>678647806</v>
      </c>
      <c r="N7639" s="5" t="s">
        <v>60704</v>
      </c>
      <c r="O7639" s="5" t="str">
        <v>7702059544</v>
      </c>
      <c r="P7639" s="27">
        <v>22882</v>
      </c>
      <c r="Q7639" s="5" t="s">
        <v>60706</v>
      </c>
      <c r="R7639" s="5" t="s">
        <v>60707</v>
      </c>
      <c r="S7639" s="5" t="s">
        <v>60708</v>
      </c>
      <c r="T7639" s="28">
        <v>772129000</v>
      </c>
      <c r="U7639" s="28">
        <v>20000000</v>
      </c>
      <c r="V7639" s="28">
        <v>2698382000</v>
      </c>
      <c r="W7639" s="28">
        <v>67596000</v>
      </c>
      <c r="X7639" s="28">
        <v>5789866000</v>
      </c>
      <c r="Y7639" s="28">
        <v>21362634000</v>
      </c>
      <c r="Z7639" s="28">
        <v>2231219000</v>
      </c>
      <c r="AA7639" s="28">
        <v>15000000</v>
      </c>
      <c r="AB7639" s="28">
        <v>5368414000</v>
      </c>
      <c r="AC7639" s="28">
        <v>18652693000</v>
      </c>
      <c r="AD7639" s="28">
        <v>2269697000</v>
      </c>
      <c r="AE7639" s="28">
        <v>13456672000</v>
      </c>
      <c r="AF7639" s="28">
        <v>197374000</v>
      </c>
      <c r="AG7639" s="11"/>
    </row>
    <row r="7640">
      <c r="A7640" s="7" t="s">
        <v>9186</v>
      </c>
      <c r="B7640" s="5" t="s">
        <v>17105</v>
      </c>
      <c r="C7640" s="5" t="s">
        <v>24688</v>
      </c>
      <c r="D7640" s="5" t="str">
        <v>503009698950</v>
      </c>
      <c r="E7640" s="0" t="e">
        <f>+7 (495) 1203779</f>
        <v>#NAME?</v>
      </c>
      <c r="F7640" s="5"/>
      <c r="G7640" s="5"/>
      <c r="H7640" s="26">
        <v>8</v>
      </c>
      <c r="I7640" s="5" t="s">
        <v>47465</v>
      </c>
      <c r="J7640" s="5" t="s">
        <v>25216</v>
      </c>
      <c r="K7640" s="5" t="s">
        <v>344</v>
      </c>
      <c r="L7640" s="5" t="s">
        <v>28712</v>
      </c>
      <c r="M7640" s="27"/>
      <c r="N7640" s="5"/>
      <c r="O7640" s="5" t="str">
        <v>5029197278</v>
      </c>
      <c r="P7640" s="27">
        <v>500000</v>
      </c>
      <c r="Q7640" s="5" t="s">
        <v>49009</v>
      </c>
      <c r="R7640" s="5"/>
      <c r="S7640" s="5" t="s">
        <v>49010</v>
      </c>
      <c r="T7640" s="28">
        <v>3694000</v>
      </c>
      <c r="U7640" s="28"/>
      <c r="V7640" s="28">
        <v>72697000</v>
      </c>
      <c r="W7640" s="28"/>
      <c r="X7640" s="28">
        <v>14471000</v>
      </c>
      <c r="Y7640" s="28">
        <v>1281074000</v>
      </c>
      <c r="Z7640" s="28">
        <v>251604000</v>
      </c>
      <c r="AA7640" s="28">
        <v>128100000</v>
      </c>
      <c r="AB7640" s="28">
        <v>546216000</v>
      </c>
      <c r="AC7640" s="28">
        <v>900730000</v>
      </c>
      <c r="AD7640" s="28">
        <v>252104000</v>
      </c>
      <c r="AE7640" s="28">
        <v>3035608000</v>
      </c>
      <c r="AF7640" s="28">
        <v>1648000</v>
      </c>
      <c r="AG7640" s="11"/>
    </row>
    <row r="7641">
      <c r="A7641" s="7" t="s">
        <v>9187</v>
      </c>
      <c r="B7641" s="5" t="s">
        <v>17106</v>
      </c>
      <c r="C7641" s="5" t="s">
        <v>24689</v>
      </c>
      <c r="D7641" s="5" t="str">
        <v>502407604701</v>
      </c>
      <c r="E7641" s="0" t="e">
        <f>+7 (495) 5727011
+7 (495) 5727020
+7 (495) 5727070
+7 (495) 7454560</f>
        <v>#NAME?</v>
      </c>
      <c r="F7641" s="5" t="s">
        <v>47466</v>
      </c>
      <c r="G7641" s="5" t="s">
        <v>47467</v>
      </c>
      <c r="H7641" s="26">
        <v>23.5</v>
      </c>
      <c r="I7641" s="5" t="s">
        <v>47468</v>
      </c>
      <c r="J7641" s="5" t="s">
        <v>25530</v>
      </c>
      <c r="K7641" s="5" t="s">
        <v>344</v>
      </c>
      <c r="L7641" s="5" t="s">
        <v>47469</v>
      </c>
      <c r="M7641" s="27"/>
      <c r="N7641" s="5" t="s">
        <v>60709</v>
      </c>
      <c r="O7641" s="5" t="str">
        <v>5047034389</v>
      </c>
      <c r="P7641" s="27">
        <v>10000</v>
      </c>
      <c r="Q7641" s="5" t="s">
        <v>49579</v>
      </c>
      <c r="R7641" s="5"/>
      <c r="S7641" s="5" t="s">
        <v>54828</v>
      </c>
      <c r="T7641" s="28">
        <v>301000</v>
      </c>
      <c r="U7641" s="28"/>
      <c r="V7641" s="28">
        <v>1363324000</v>
      </c>
      <c r="W7641" s="28"/>
      <c r="X7641" s="28">
        <v>19938000</v>
      </c>
      <c r="Y7641" s="28">
        <v>3681475000</v>
      </c>
      <c r="Z7641" s="28">
        <v>933458000</v>
      </c>
      <c r="AA7641" s="28"/>
      <c r="AB7641" s="28">
        <v>1049978000</v>
      </c>
      <c r="AC7641" s="28">
        <v>2747108000</v>
      </c>
      <c r="AD7641" s="28">
        <v>933468000</v>
      </c>
      <c r="AE7641" s="28">
        <v>9668011000</v>
      </c>
      <c r="AF7641" s="28">
        <v>371054000</v>
      </c>
      <c r="AG7641" s="11"/>
    </row>
    <row r="7642">
      <c r="A7642" s="7" t="s">
        <v>9188</v>
      </c>
      <c r="B7642" s="5" t="s">
        <v>17107</v>
      </c>
      <c r="C7642" s="5" t="s">
        <v>24690</v>
      </c>
      <c r="D7642" s="5" t="str">
        <v>773380151637</v>
      </c>
      <c r="E7642" s="0" t="e">
        <f>+7 (925) 7405877
+7 (495) 2233400
+7 (83145) 39991
+7 (921) 3811815
+7 (922) 1688386
+7 (923) 2480092
+7 (926) 76322
+7 (926) 2084116
+7 (928) 3341787</f>
        <v>#NAME?</v>
      </c>
      <c r="F7642" s="5" t="s">
        <v>47470</v>
      </c>
      <c r="G7642" s="5" t="s">
        <v>47471</v>
      </c>
      <c r="H7642" s="26">
        <v>17.5</v>
      </c>
      <c r="I7642" s="5" t="s">
        <v>47472</v>
      </c>
      <c r="J7642" s="5" t="s">
        <v>27522</v>
      </c>
      <c r="K7642" s="5" t="s">
        <v>344</v>
      </c>
      <c r="L7642" s="5" t="s">
        <v>47473</v>
      </c>
      <c r="M7642" s="27"/>
      <c r="N7642" s="5" t="s">
        <v>60710</v>
      </c>
      <c r="O7642" s="5" t="str">
        <v>5047067909</v>
      </c>
      <c r="P7642" s="27">
        <v>1000000000</v>
      </c>
      <c r="Q7642" s="5" t="s">
        <v>49009</v>
      </c>
      <c r="R7642" s="5"/>
      <c r="S7642" s="5" t="s">
        <v>49358</v>
      </c>
      <c r="T7642" s="28">
        <v>19919000</v>
      </c>
      <c r="U7642" s="28"/>
      <c r="V7642" s="28">
        <v>8175545000</v>
      </c>
      <c r="W7642" s="28">
        <v>2423613000</v>
      </c>
      <c r="X7642" s="28">
        <v>579469000</v>
      </c>
      <c r="Y7642" s="28">
        <v>13133120000</v>
      </c>
      <c r="Z7642" s="28">
        <v>1774063000</v>
      </c>
      <c r="AA7642" s="28"/>
      <c r="AB7642" s="28">
        <v>5227732000</v>
      </c>
      <c r="AC7642" s="28">
        <v>10295937000</v>
      </c>
      <c r="AD7642" s="28">
        <v>2774063000</v>
      </c>
      <c r="AE7642" s="28">
        <v>18197867000</v>
      </c>
      <c r="AF7642" s="28">
        <v>1286520000</v>
      </c>
      <c r="AG7642" s="11"/>
    </row>
    <row r="7643">
      <c r="A7643" s="7" t="s">
        <v>9189</v>
      </c>
      <c r="B7643" s="5" t="s">
        <v>17108</v>
      </c>
      <c r="C7643" s="5" t="s">
        <v>24691</v>
      </c>
      <c r="D7643" s="5" t="str">
        <v>230906442066</v>
      </c>
      <c r="E7643" s="0" t="e">
        <f>+7 (861) 2622646
+7 (928) 2330366
+7 (938) 4934953</f>
        <v>#NAME?</v>
      </c>
      <c r="F7643" s="5" t="s">
        <v>47474</v>
      </c>
      <c r="G7643" s="5"/>
      <c r="H7643" s="26">
        <v>16</v>
      </c>
      <c r="I7643" s="5"/>
      <c r="J7643" s="5" t="s">
        <v>34211</v>
      </c>
      <c r="K7643" s="5" t="s">
        <v>344</v>
      </c>
      <c r="L7643" s="5"/>
      <c r="M7643" s="27">
        <v>42290717</v>
      </c>
      <c r="N7643" s="5" t="s">
        <v>60711</v>
      </c>
      <c r="O7643" s="5" t="str">
        <v>2309102040</v>
      </c>
      <c r="P7643" s="27">
        <v>42652562538</v>
      </c>
      <c r="Q7643" s="5" t="s">
        <v>60712</v>
      </c>
      <c r="R7643" s="5" t="s">
        <v>60713</v>
      </c>
      <c r="S7643" s="5" t="s">
        <v>60714</v>
      </c>
      <c r="T7643" s="28">
        <v>7882075000</v>
      </c>
      <c r="U7643" s="28"/>
      <c r="V7643" s="28">
        <v>141541000</v>
      </c>
      <c r="W7643" s="28"/>
      <c r="X7643" s="28">
        <v>4171939000</v>
      </c>
      <c r="Y7643" s="28">
        <v>14929548000</v>
      </c>
      <c r="Z7643" s="28">
        <v>-35317592000</v>
      </c>
      <c r="AA7643" s="28"/>
      <c r="AB7643" s="28"/>
      <c r="AC7643" s="28">
        <v>1284552000</v>
      </c>
      <c r="AD7643" s="28">
        <v>13035355000</v>
      </c>
      <c r="AE7643" s="28">
        <v>3166119000</v>
      </c>
      <c r="AF7643" s="28">
        <v>1183899000</v>
      </c>
      <c r="AG7643" s="11"/>
    </row>
    <row r="7644">
      <c r="A7644" s="7" t="s">
        <v>9190</v>
      </c>
      <c r="B7644" s="5" t="s">
        <v>17109</v>
      </c>
      <c r="C7644" s="5" t="s">
        <v>24692</v>
      </c>
      <c r="D7644" s="5" t="str">
        <v>774343998508</v>
      </c>
      <c r="E7644" s="0" t="e">
        <f>+7 (495) 7896422
+7 (495) 7899600
+7 (800) 1005474
+7 (800) 5007800</f>
        <v>#NAME?</v>
      </c>
      <c r="F7644" s="5" t="s">
        <v>47475</v>
      </c>
      <c r="G7644" s="5" t="s">
        <v>47476</v>
      </c>
      <c r="H7644" s="26">
        <v>15</v>
      </c>
      <c r="I7644" s="5" t="s">
        <v>47477</v>
      </c>
      <c r="J7644" s="5" t="s">
        <v>25195</v>
      </c>
      <c r="K7644" s="5" t="s">
        <v>355</v>
      </c>
      <c r="L7644" s="5" t="s">
        <v>47478</v>
      </c>
      <c r="M7644" s="27">
        <v>295759964</v>
      </c>
      <c r="N7644" s="5"/>
      <c r="O7644" s="5" t="str">
        <v>7705840940</v>
      </c>
      <c r="P7644" s="27">
        <v>12000000</v>
      </c>
      <c r="Q7644" s="5" t="s">
        <v>49009</v>
      </c>
      <c r="R7644" s="5"/>
      <c r="S7644" s="5" t="s">
        <v>49066</v>
      </c>
      <c r="T7644" s="28">
        <v>2499638000</v>
      </c>
      <c r="U7644" s="28"/>
      <c r="V7644" s="28">
        <v>1807036000</v>
      </c>
      <c r="W7644" s="28"/>
      <c r="X7644" s="28">
        <v>10983723000</v>
      </c>
      <c r="Y7644" s="28">
        <v>19298232000</v>
      </c>
      <c r="Z7644" s="28">
        <v>11420364000</v>
      </c>
      <c r="AA7644" s="28"/>
      <c r="AB7644" s="28"/>
      <c r="AC7644" s="28">
        <v>7654677000</v>
      </c>
      <c r="AD7644" s="28">
        <v>11432364000</v>
      </c>
      <c r="AE7644" s="28">
        <v>29264601000</v>
      </c>
      <c r="AF7644" s="28">
        <v>-9727882000</v>
      </c>
      <c r="AG7644" s="11"/>
    </row>
    <row r="7645">
      <c r="A7645" s="7" t="s">
        <v>9191</v>
      </c>
      <c r="B7645" s="5" t="s">
        <v>17110</v>
      </c>
      <c r="C7645" s="5" t="s">
        <v>24693</v>
      </c>
      <c r="D7645" s="5" t="str">
        <v>424604142400</v>
      </c>
      <c r="F7645" s="5" t="s">
        <v>47479</v>
      </c>
      <c r="G7645" s="5"/>
      <c r="H7645" s="26">
        <v>6</v>
      </c>
      <c r="I7645" s="5" t="s">
        <v>47480</v>
      </c>
      <c r="J7645" s="5" t="s">
        <v>25262</v>
      </c>
      <c r="K7645" s="5" t="s">
        <v>344</v>
      </c>
      <c r="L7645" s="5" t="s">
        <v>47481</v>
      </c>
      <c r="M7645" s="27"/>
      <c r="N7645" s="5"/>
      <c r="O7645" s="5" t="str">
        <v>4205352064</v>
      </c>
      <c r="P7645" s="27">
        <v>150000</v>
      </c>
      <c r="Q7645" s="5" t="s">
        <v>49009</v>
      </c>
      <c r="R7645" s="5"/>
      <c r="S7645" s="5" t="s">
        <v>49371</v>
      </c>
      <c r="T7645" s="28">
        <v>255314000</v>
      </c>
      <c r="U7645" s="28">
        <v>279810000</v>
      </c>
      <c r="V7645" s="28">
        <v>1079692000</v>
      </c>
      <c r="W7645" s="28"/>
      <c r="X7645" s="28">
        <v>661888000</v>
      </c>
      <c r="Y7645" s="28">
        <v>3077778000</v>
      </c>
      <c r="Z7645" s="28">
        <v>1024359000</v>
      </c>
      <c r="AA7645" s="28">
        <v>700000000</v>
      </c>
      <c r="AB7645" s="28"/>
      <c r="AC7645" s="28">
        <v>1330846000</v>
      </c>
      <c r="AD7645" s="28">
        <v>1024509000</v>
      </c>
      <c r="AE7645" s="28">
        <v>4580033000</v>
      </c>
      <c r="AF7645" s="28">
        <v>324723000</v>
      </c>
      <c r="AG7645" s="11"/>
    </row>
    <row r="7646">
      <c r="A7646" s="7" t="s">
        <v>9192</v>
      </c>
      <c r="B7646" s="5" t="s">
        <v>17111</v>
      </c>
      <c r="C7646" s="5" t="s">
        <v>24694</v>
      </c>
      <c r="D7646" s="5" t="str">
        <v>711802211934</v>
      </c>
      <c r="E7646" s="0" t="e">
        <f>+7 (343) 2105901
+7 (343) 2542225
+7 (343) 2567395
+7 (343) 2573575
+7 (343) 2662903
+7 (343) 3698390</f>
        <v>#NAME?</v>
      </c>
      <c r="F7646" s="5" t="s">
        <v>47482</v>
      </c>
      <c r="G7646" s="5"/>
      <c r="H7646" s="26">
        <v>17</v>
      </c>
      <c r="I7646" s="5" t="s">
        <v>47483</v>
      </c>
      <c r="J7646" s="5" t="s">
        <v>364</v>
      </c>
      <c r="K7646" s="5" t="s">
        <v>344</v>
      </c>
      <c r="L7646" s="5" t="s">
        <v>47484</v>
      </c>
      <c r="M7646" s="27">
        <v>308080</v>
      </c>
      <c r="N7646" s="5"/>
      <c r="O7646" s="5" t="str">
        <v>6685081866</v>
      </c>
      <c r="P7646" s="27">
        <v>1050000</v>
      </c>
      <c r="Q7646" s="5" t="s">
        <v>49009</v>
      </c>
      <c r="R7646" s="5"/>
      <c r="S7646" s="5" t="s">
        <v>49010</v>
      </c>
      <c r="T7646" s="28">
        <v>11699000</v>
      </c>
      <c r="U7646" s="28"/>
      <c r="V7646" s="28">
        <v>1304675000</v>
      </c>
      <c r="W7646" s="28"/>
      <c r="X7646" s="28">
        <v>230282000</v>
      </c>
      <c r="Y7646" s="28">
        <v>1801162000</v>
      </c>
      <c r="Z7646" s="28">
        <v>109859000</v>
      </c>
      <c r="AA7646" s="28">
        <v>30000000</v>
      </c>
      <c r="AB7646" s="28">
        <v>81519000</v>
      </c>
      <c r="AC7646" s="28">
        <v>1650597000</v>
      </c>
      <c r="AD7646" s="28">
        <v>110909000</v>
      </c>
      <c r="AE7646" s="28">
        <v>12907649000</v>
      </c>
      <c r="AF7646" s="28">
        <v>201043000</v>
      </c>
      <c r="AG7646" s="11"/>
    </row>
    <row r="7647">
      <c r="A7647" s="7" t="s">
        <v>9193</v>
      </c>
      <c r="B7647" s="5" t="s">
        <v>17112</v>
      </c>
      <c r="C7647" s="5" t="s">
        <v>24695</v>
      </c>
      <c r="D7647" s="5" t="str">
        <v>645000030373</v>
      </c>
      <c r="E7647" s="0" t="e">
        <f>+7 (845) 2291682
+7 (8452) 291402
+7 (8452) 291681
+7 (8452) 670900
+7 (8452) 670906
+7 (8452) 670949
+7 (8452) 670980
+7 (8452) 670999</f>
        <v>#NAME?</v>
      </c>
      <c r="F7647" s="5" t="s">
        <v>47485</v>
      </c>
      <c r="G7647" s="5" t="s">
        <v>47486</v>
      </c>
      <c r="H7647" s="26">
        <v>22</v>
      </c>
      <c r="I7647" s="5" t="s">
        <v>47487</v>
      </c>
      <c r="J7647" s="5" t="s">
        <v>25219</v>
      </c>
      <c r="K7647" s="5" t="s">
        <v>344</v>
      </c>
      <c r="L7647" s="5"/>
      <c r="M7647" s="27"/>
      <c r="N7647" s="5"/>
      <c r="O7647" s="5" t="str">
        <v>6452071939</v>
      </c>
      <c r="P7647" s="27">
        <v>250000</v>
      </c>
      <c r="Q7647" s="5"/>
      <c r="R7647" s="5"/>
      <c r="S7647" s="5" t="s">
        <v>49425</v>
      </c>
      <c r="T7647" s="28">
        <v>1456373000</v>
      </c>
      <c r="U7647" s="28"/>
      <c r="V7647" s="28">
        <v>47228000</v>
      </c>
      <c r="W7647" s="28"/>
      <c r="X7647" s="28">
        <v>111678000</v>
      </c>
      <c r="Y7647" s="28">
        <v>2770964000</v>
      </c>
      <c r="Z7647" s="28">
        <v>473633000</v>
      </c>
      <c r="AA7647" s="28">
        <v>311031000</v>
      </c>
      <c r="AB7647" s="28">
        <v>969000</v>
      </c>
      <c r="AC7647" s="28">
        <v>777139000</v>
      </c>
      <c r="AD7647" s="28">
        <v>473883000</v>
      </c>
      <c r="AE7647" s="28">
        <v>8903253000</v>
      </c>
      <c r="AF7647" s="28">
        <v>32887000</v>
      </c>
      <c r="AG7647" s="11"/>
    </row>
    <row r="7648">
      <c r="A7648" s="7" t="s">
        <v>9194</v>
      </c>
      <c r="B7648" s="5" t="s">
        <v>17113</v>
      </c>
      <c r="C7648" s="5" t="s">
        <v>24696</v>
      </c>
      <c r="D7648" s="5" t="str">
        <v>230907142844</v>
      </c>
      <c r="E7648" s="0" t="e">
        <f>+7 (861) 2195280
+7 (861) 2208059
+7 (861) 2229361
+7 (861) 2251498</f>
        <v>#NAME?</v>
      </c>
      <c r="F7648" s="5" t="s">
        <v>47488</v>
      </c>
      <c r="G7648" s="5"/>
      <c r="H7648" s="26">
        <v>16</v>
      </c>
      <c r="I7648" s="5" t="s">
        <v>47489</v>
      </c>
      <c r="J7648" s="5" t="s">
        <v>25190</v>
      </c>
      <c r="K7648" s="5" t="s">
        <v>344</v>
      </c>
      <c r="L7648" s="5" t="s">
        <v>47490</v>
      </c>
      <c r="M7648" s="27"/>
      <c r="N7648" s="5"/>
      <c r="O7648" s="5" t="str">
        <v>2308127589</v>
      </c>
      <c r="P7648" s="27">
        <v>10000</v>
      </c>
      <c r="Q7648" s="5"/>
      <c r="R7648" s="5"/>
      <c r="S7648" s="5" t="s">
        <v>49425</v>
      </c>
      <c r="T7648" s="28">
        <v>182972000</v>
      </c>
      <c r="U7648" s="28"/>
      <c r="V7648" s="28">
        <v>774618000</v>
      </c>
      <c r="W7648" s="28">
        <v>25000000</v>
      </c>
      <c r="X7648" s="28">
        <v>3021000</v>
      </c>
      <c r="Y7648" s="28">
        <v>1165627000</v>
      </c>
      <c r="Z7648" s="28">
        <v>561962000</v>
      </c>
      <c r="AA7648" s="28">
        <v>133000000</v>
      </c>
      <c r="AB7648" s="28">
        <v>111563000</v>
      </c>
      <c r="AC7648" s="28">
        <v>436250000</v>
      </c>
      <c r="AD7648" s="28">
        <v>595528000</v>
      </c>
      <c r="AE7648" s="28">
        <v>5478019000</v>
      </c>
      <c r="AF7648" s="28">
        <v>57966000</v>
      </c>
      <c r="AG7648" s="11"/>
    </row>
    <row r="7649">
      <c r="A7649" s="7" t="s">
        <v>9195</v>
      </c>
      <c r="B7649" s="5" t="s">
        <v>17114</v>
      </c>
      <c r="C7649" s="5" t="s">
        <v>24697</v>
      </c>
      <c r="D7649" s="5" t="str">
        <v>550602092484</v>
      </c>
      <c r="E7649" s="0" t="e">
        <f>+7 (346) 2311561
+7 (381) 2407188
+7 (382) 2725893
+7 (384) 2407705
+7 (381) 2310676
+7 (381) 2371873
+7 (381) 2381084
+7 (381) 2531047
+7 (381) 2531061
+7 (381) 2531160
+7 (381) 2531361
+7 (381) 2531395
+7 (381) 2531501
+7 (381) 2531924
+7 (381) 2533188</f>
        <v>#NAME?</v>
      </c>
      <c r="F7649" s="5" t="s">
        <v>47491</v>
      </c>
      <c r="G7649" s="5" t="s">
        <v>47492</v>
      </c>
      <c r="H7649" s="26">
        <v>21.5</v>
      </c>
      <c r="I7649" s="5" t="s">
        <v>47493</v>
      </c>
      <c r="J7649" s="5" t="s">
        <v>25259</v>
      </c>
      <c r="K7649" s="5" t="s">
        <v>344</v>
      </c>
      <c r="L7649" s="5" t="s">
        <v>47494</v>
      </c>
      <c r="M7649" s="27">
        <v>308940</v>
      </c>
      <c r="N7649" s="5" t="s">
        <v>60715</v>
      </c>
      <c r="O7649" s="5" t="str">
        <v>5503061143</v>
      </c>
      <c r="P7649" s="27">
        <v>10000</v>
      </c>
      <c r="Q7649" s="5" t="s">
        <v>60716</v>
      </c>
      <c r="R7649" s="5"/>
      <c r="S7649" s="5" t="s">
        <v>60717</v>
      </c>
      <c r="T7649" s="28">
        <v>65390000</v>
      </c>
      <c r="U7649" s="28"/>
      <c r="V7649" s="28">
        <v>521262000</v>
      </c>
      <c r="W7649" s="28"/>
      <c r="X7649" s="28">
        <v>31262000</v>
      </c>
      <c r="Y7649" s="28">
        <v>1756369000</v>
      </c>
      <c r="Z7649" s="28">
        <v>904701000</v>
      </c>
      <c r="AA7649" s="28"/>
      <c r="AB7649" s="28">
        <v>49538000</v>
      </c>
      <c r="AC7649" s="28">
        <v>838938000</v>
      </c>
      <c r="AD7649" s="28">
        <v>904711000</v>
      </c>
      <c r="AE7649" s="28">
        <v>4044918000</v>
      </c>
      <c r="AF7649" s="28">
        <v>346680000</v>
      </c>
      <c r="AG7649" s="11"/>
    </row>
    <row r="7650">
      <c r="A7650" s="7" t="s">
        <v>9196</v>
      </c>
      <c r="B7650" s="5" t="s">
        <v>17115</v>
      </c>
      <c r="C7650" s="5" t="s">
        <v>24698</v>
      </c>
      <c r="D7650" s="5" t="str">
        <v>420591494405</v>
      </c>
      <c r="E7650" s="0" t="e">
        <f>+7 (913) 700066
+7 (391) 2778796
+7 (800) 5505724
+7 (495) 2105900
+7 (800) 2343302
+7 (800) 2509946
+7 (906) 9289046
+7 (913) 704422
+7 (913) 705588
+7 (913) 707161
+7 (913) 707175
+7 (913) 707181
+7 (913) 707191
+7 (913) 707221
+7 (913) 707242</f>
        <v>#NAME?</v>
      </c>
      <c r="F7650" s="5" t="s">
        <v>47495</v>
      </c>
      <c r="G7650" s="5" t="s">
        <v>47496</v>
      </c>
      <c r="H7650" s="26">
        <v>9.5</v>
      </c>
      <c r="I7650" s="5" t="s">
        <v>47497</v>
      </c>
      <c r="J7650" s="5" t="s">
        <v>27407</v>
      </c>
      <c r="K7650" s="5" t="s">
        <v>344</v>
      </c>
      <c r="L7650" s="5" t="s">
        <v>47498</v>
      </c>
      <c r="M7650" s="27">
        <v>25709897</v>
      </c>
      <c r="N7650" s="5" t="s">
        <v>60718</v>
      </c>
      <c r="O7650" s="5" t="str">
        <v>4205274440</v>
      </c>
      <c r="P7650" s="27">
        <v>10000</v>
      </c>
      <c r="Q7650" s="5"/>
      <c r="R7650" s="5"/>
      <c r="S7650" s="5" t="s">
        <v>50936</v>
      </c>
      <c r="T7650" s="28">
        <v>26157000</v>
      </c>
      <c r="U7650" s="28"/>
      <c r="V7650" s="28">
        <v>620571000</v>
      </c>
      <c r="W7650" s="28"/>
      <c r="X7650" s="28">
        <v>317084000</v>
      </c>
      <c r="Y7650" s="28">
        <v>1303428000</v>
      </c>
      <c r="Z7650" s="28"/>
      <c r="AA7650" s="28"/>
      <c r="AB7650" s="28"/>
      <c r="AC7650" s="28">
        <v>1097533000</v>
      </c>
      <c r="AD7650" s="28">
        <v>182513000</v>
      </c>
      <c r="AE7650" s="28">
        <v>4974858000</v>
      </c>
      <c r="AF7650" s="28">
        <v>148832000</v>
      </c>
      <c r="AG7650" s="11"/>
    </row>
    <row r="7651">
      <c r="A7651" s="7" t="s">
        <v>9197</v>
      </c>
      <c r="B7651" s="5" t="s">
        <v>17116</v>
      </c>
      <c r="C7651" s="5" t="s">
        <v>24699</v>
      </c>
      <c r="D7651" s="5" t="str">
        <v>027406991051</v>
      </c>
      <c r="F7651" s="5"/>
      <c r="G7651" s="5"/>
      <c r="H7651" s="26">
        <v>12.5</v>
      </c>
      <c r="I7651" s="5" t="s">
        <v>47499</v>
      </c>
      <c r="J7651" s="5" t="s">
        <v>25612</v>
      </c>
      <c r="K7651" s="5" t="s">
        <v>380</v>
      </c>
      <c r="L7651" s="5" t="s">
        <v>47500</v>
      </c>
      <c r="M7651" s="27"/>
      <c r="N7651" s="5" t="s">
        <v>60719</v>
      </c>
      <c r="O7651" s="5" t="str">
        <v>0274150167</v>
      </c>
      <c r="P7651" s="27">
        <v>20000</v>
      </c>
      <c r="Q7651" s="5" t="s">
        <v>60720</v>
      </c>
      <c r="R7651" s="5" t="s">
        <v>60721</v>
      </c>
      <c r="S7651" s="5" t="s">
        <v>49496</v>
      </c>
      <c r="T7651" s="28">
        <v>138658000</v>
      </c>
      <c r="U7651" s="28"/>
      <c r="V7651" s="28">
        <v>2316510000</v>
      </c>
      <c r="W7651" s="28">
        <v>627448000</v>
      </c>
      <c r="X7651" s="28">
        <v>3100000</v>
      </c>
      <c r="Y7651" s="28">
        <v>3813095000</v>
      </c>
      <c r="Z7651" s="28">
        <v>26552000</v>
      </c>
      <c r="AA7651" s="28">
        <v>16690000</v>
      </c>
      <c r="AB7651" s="28"/>
      <c r="AC7651" s="28">
        <v>3769833000</v>
      </c>
      <c r="AD7651" s="28">
        <v>26572000</v>
      </c>
      <c r="AE7651" s="28">
        <v>3067807000</v>
      </c>
      <c r="AF7651" s="28">
        <v>16743000</v>
      </c>
      <c r="AG7651" s="11"/>
    </row>
    <row r="7652">
      <c r="A7652" s="7" t="s">
        <v>9198</v>
      </c>
      <c r="B7652" s="5" t="s">
        <v>17117</v>
      </c>
      <c r="C7652" s="5" t="s">
        <v>24700</v>
      </c>
      <c r="D7652" s="5" t="str">
        <v>781410677373</v>
      </c>
      <c r="E7652" s="0" t="e">
        <f>+7 (985) 7627533
+7 (495) 6456886</f>
        <v>#NAME?</v>
      </c>
      <c r="F7652" s="5" t="s">
        <v>47501</v>
      </c>
      <c r="G7652" s="5" t="s">
        <v>47502</v>
      </c>
      <c r="H7652" s="26">
        <v>16.5</v>
      </c>
      <c r="I7652" s="5" t="s">
        <v>47503</v>
      </c>
      <c r="J7652" s="5" t="s">
        <v>30822</v>
      </c>
      <c r="K7652" s="5" t="s">
        <v>344</v>
      </c>
      <c r="L7652" s="5"/>
      <c r="M7652" s="27"/>
      <c r="N7652" s="5" t="s">
        <v>60722</v>
      </c>
      <c r="O7652" s="5" t="str">
        <v>7703616170</v>
      </c>
      <c r="P7652" s="27">
        <v>645344978</v>
      </c>
      <c r="Q7652" s="5" t="s">
        <v>60723</v>
      </c>
      <c r="R7652" s="5" t="s">
        <v>60724</v>
      </c>
      <c r="S7652" s="5" t="s">
        <v>60725</v>
      </c>
      <c r="T7652" s="28">
        <v>23027891000</v>
      </c>
      <c r="U7652" s="28">
        <v>31591194000</v>
      </c>
      <c r="V7652" s="28">
        <v>6926071000</v>
      </c>
      <c r="W7652" s="28">
        <v>2707019000</v>
      </c>
      <c r="X7652" s="28">
        <v>1697519000</v>
      </c>
      <c r="Y7652" s="28">
        <v>70347478000</v>
      </c>
      <c r="Z7652" s="28">
        <v>-1305859000</v>
      </c>
      <c r="AA7652" s="28">
        <v>3765000000</v>
      </c>
      <c r="AB7652" s="28">
        <v>1185857000</v>
      </c>
      <c r="AC7652" s="28">
        <v>10379054000</v>
      </c>
      <c r="AD7652" s="28">
        <v>43822551000</v>
      </c>
      <c r="AE7652" s="28">
        <v>14335493000</v>
      </c>
      <c r="AF7652" s="28">
        <v>805804000</v>
      </c>
      <c r="AG7652" s="11"/>
    </row>
    <row r="7653">
      <c r="A7653" s="7" t="s">
        <v>9199</v>
      </c>
      <c r="B7653" s="5" t="s">
        <v>17118</v>
      </c>
      <c r="C7653" s="5" t="s">
        <v>24701</v>
      </c>
      <c r="D7653" s="5" t="str">
        <v>860323245600</v>
      </c>
      <c r="E7653" s="0" t="e">
        <f>+7 (499) 7090408
+7 (3494) 915010
+7 (3494) 922053
+7 (3494) 922947
+7 (495) 7800801
+7 (495) 7820971
+7 (922) 512015</f>
        <v>#NAME?</v>
      </c>
      <c r="F7653" s="5" t="s">
        <v>47504</v>
      </c>
      <c r="G7653" s="5"/>
      <c r="H7653" s="26">
        <v>11</v>
      </c>
      <c r="I7653" s="5" t="s">
        <v>47505</v>
      </c>
      <c r="J7653" s="5" t="s">
        <v>27921</v>
      </c>
      <c r="K7653" s="5" t="s">
        <v>344</v>
      </c>
      <c r="L7653" s="5" t="s">
        <v>47506</v>
      </c>
      <c r="M7653" s="27"/>
      <c r="N7653" s="5" t="s">
        <v>60726</v>
      </c>
      <c r="O7653" s="5" t="str">
        <v>8904069106</v>
      </c>
      <c r="P7653" s="27">
        <v>784334880</v>
      </c>
      <c r="Q7653" s="5" t="s">
        <v>49009</v>
      </c>
      <c r="R7653" s="5" t="s">
        <v>60727</v>
      </c>
      <c r="S7653" s="5" t="s">
        <v>50191</v>
      </c>
      <c r="T7653" s="28">
        <v>1348793000</v>
      </c>
      <c r="U7653" s="28">
        <v>201000</v>
      </c>
      <c r="V7653" s="28">
        <v>2232073000</v>
      </c>
      <c r="W7653" s="28"/>
      <c r="X7653" s="28">
        <v>128822000</v>
      </c>
      <c r="Y7653" s="28">
        <v>5000687000</v>
      </c>
      <c r="Z7653" s="28">
        <v>2094971000</v>
      </c>
      <c r="AA7653" s="28"/>
      <c r="AB7653" s="28">
        <v>604462000</v>
      </c>
      <c r="AC7653" s="28">
        <v>1458079000</v>
      </c>
      <c r="AD7653" s="28">
        <v>2951141000</v>
      </c>
      <c r="AE7653" s="28">
        <v>5042250000</v>
      </c>
      <c r="AF7653" s="28">
        <v>921665000</v>
      </c>
      <c r="AG7653" s="11"/>
    </row>
    <row r="7654">
      <c r="A7654" s="7" t="s">
        <v>9200</v>
      </c>
      <c r="B7654" s="5" t="s">
        <v>17119</v>
      </c>
      <c r="C7654" s="5" t="s">
        <v>24702</v>
      </c>
      <c r="D7654" s="5" t="str">
        <v>560705513571</v>
      </c>
      <c r="E7654" s="0" t="e">
        <f>+7 (812) 7750357
+7 (812) 7750374
+7 (812) 7750400
+7 (903) 935885
+7 (812) 2716737
+7 (812) 7172365
+7 (812) 7750351
+7 (904) 5152303
+7 (921) 9369958
+7 (921) 9482349</f>
        <v>#NAME?</v>
      </c>
      <c r="F7654" s="5" t="s">
        <v>47507</v>
      </c>
      <c r="G7654" s="5" t="s">
        <v>47508</v>
      </c>
      <c r="H7654" s="26">
        <v>30</v>
      </c>
      <c r="I7654" s="5" t="s">
        <v>47509</v>
      </c>
      <c r="J7654" s="5" t="s">
        <v>930</v>
      </c>
      <c r="K7654" s="5" t="s">
        <v>344</v>
      </c>
      <c r="L7654" s="5"/>
      <c r="M7654" s="27">
        <v>8602886</v>
      </c>
      <c r="N7654" s="5" t="s">
        <v>60728</v>
      </c>
      <c r="O7654" s="5" t="str">
        <v>7812021254</v>
      </c>
      <c r="P7654" s="27">
        <v>2918392356</v>
      </c>
      <c r="Q7654" s="5" t="s">
        <v>60729</v>
      </c>
      <c r="R7654" s="5"/>
      <c r="S7654" s="5" t="s">
        <v>60730</v>
      </c>
      <c r="T7654" s="28">
        <v>3163173000</v>
      </c>
      <c r="U7654" s="28"/>
      <c r="V7654" s="28">
        <v>225747000</v>
      </c>
      <c r="W7654" s="28"/>
      <c r="X7654" s="28">
        <v>632593000</v>
      </c>
      <c r="Y7654" s="28">
        <v>4630127000</v>
      </c>
      <c r="Z7654" s="28">
        <v>-1490007000</v>
      </c>
      <c r="AA7654" s="28"/>
      <c r="AB7654" s="28"/>
      <c r="AC7654" s="28">
        <v>969207000</v>
      </c>
      <c r="AD7654" s="28">
        <v>3623700000</v>
      </c>
      <c r="AE7654" s="28">
        <v>4479463000</v>
      </c>
      <c r="AF7654" s="28">
        <v>-673617000</v>
      </c>
      <c r="AG7654" s="11"/>
    </row>
    <row r="7655">
      <c r="A7655" s="7" t="s">
        <v>9201</v>
      </c>
      <c r="B7655" s="5" t="s">
        <v>17120</v>
      </c>
      <c r="C7655" s="5" t="s">
        <v>24703</v>
      </c>
      <c r="D7655" s="5" t="str">
        <v>772079168489</v>
      </c>
      <c r="E7655" s="0" t="e">
        <f>+7 (495) 6071277
+7 (495) 6071517
+7 (495) 6079366
+7 (495) 6079405
+7 (495) 6079417
+7 (495) 6079437
+7 (495) 6086163
+7 (495) 6915454
+7 (499) 5780800</f>
        <v>#NAME?</v>
      </c>
      <c r="F7655" s="5" t="s">
        <v>47510</v>
      </c>
      <c r="G7655" s="5" t="s">
        <v>47511</v>
      </c>
      <c r="H7655" s="26">
        <v>24.5</v>
      </c>
      <c r="I7655" s="5"/>
      <c r="J7655" s="5" t="s">
        <v>25324</v>
      </c>
      <c r="K7655" s="5" t="s">
        <v>355</v>
      </c>
      <c r="L7655" s="5" t="s">
        <v>47512</v>
      </c>
      <c r="M7655" s="27">
        <v>2839540</v>
      </c>
      <c r="N7655" s="5" t="s">
        <v>60731</v>
      </c>
      <c r="O7655" s="5" t="str">
        <v>7702745198</v>
      </c>
      <c r="P7655" s="27">
        <v>1506626000</v>
      </c>
      <c r="Q7655" s="5" t="s">
        <v>60732</v>
      </c>
      <c r="R7655" s="5"/>
      <c r="S7655" s="5" t="s">
        <v>50191</v>
      </c>
      <c r="T7655" s="28">
        <v>285536000</v>
      </c>
      <c r="U7655" s="28"/>
      <c r="V7655" s="28">
        <v>12311089000</v>
      </c>
      <c r="W7655" s="28"/>
      <c r="X7655" s="28">
        <v>612648000</v>
      </c>
      <c r="Y7655" s="28">
        <v>37033122000</v>
      </c>
      <c r="Z7655" s="28">
        <v>15219871000</v>
      </c>
      <c r="AA7655" s="28"/>
      <c r="AB7655" s="28"/>
      <c r="AC7655" s="28">
        <v>16411370000</v>
      </c>
      <c r="AD7655" s="28">
        <v>19619713000</v>
      </c>
      <c r="AE7655" s="28">
        <v>10269877000</v>
      </c>
      <c r="AF7655" s="28">
        <v>6023118000</v>
      </c>
      <c r="AG7655" s="11"/>
    </row>
    <row r="7656">
      <c r="A7656" s="7" t="s">
        <v>9202</v>
      </c>
      <c r="B7656" s="5" t="s">
        <v>17121</v>
      </c>
      <c r="C7656" s="5" t="s">
        <v>24704</v>
      </c>
      <c r="D7656" s="5" t="str">
        <v>432402741330</v>
      </c>
      <c r="E7656" s="0" t="e">
        <f>+7 (495) 5877889
+7 (495) 5877898
+7 (495) 9503610
+7 (495) 9503651
+7 (495) 9503699
+7 (495) 9503710
+7 (495) 9503720
+7 (495) 9503849
+7 (495) 9503851
+7 (499) 2660265</f>
        <v>#NAME?</v>
      </c>
      <c r="F7656" s="5" t="s">
        <v>47513</v>
      </c>
      <c r="G7656" s="5" t="s">
        <v>47514</v>
      </c>
      <c r="H7656" s="26">
        <v>17</v>
      </c>
      <c r="I7656" s="5" t="s">
        <v>47515</v>
      </c>
      <c r="J7656" s="5" t="s">
        <v>27568</v>
      </c>
      <c r="K7656" s="5" t="s">
        <v>355</v>
      </c>
      <c r="L7656" s="5"/>
      <c r="M7656" s="27">
        <v>106375226</v>
      </c>
      <c r="N7656" s="5" t="s">
        <v>60733</v>
      </c>
      <c r="O7656" s="5" t="str">
        <v>7705705370</v>
      </c>
      <c r="P7656" s="27">
        <v>262000</v>
      </c>
      <c r="Q7656" s="5" t="s">
        <v>60734</v>
      </c>
      <c r="R7656" s="5" t="s">
        <v>60735</v>
      </c>
      <c r="S7656" s="5" t="s">
        <v>60736</v>
      </c>
      <c r="T7656" s="28">
        <v>162479869000</v>
      </c>
      <c r="U7656" s="28">
        <v>1430191000</v>
      </c>
      <c r="V7656" s="28">
        <v>8163558000</v>
      </c>
      <c r="W7656" s="28">
        <v>124407000</v>
      </c>
      <c r="X7656" s="28">
        <v>1969052000</v>
      </c>
      <c r="Y7656" s="28">
        <v>227615806000</v>
      </c>
      <c r="Z7656" s="28">
        <v>13250766000</v>
      </c>
      <c r="AA7656" s="28">
        <v>8645000000</v>
      </c>
      <c r="AB7656" s="28">
        <v>3662102000</v>
      </c>
      <c r="AC7656" s="28">
        <v>24712463000</v>
      </c>
      <c r="AD7656" s="28">
        <v>17839242000</v>
      </c>
      <c r="AE7656" s="28">
        <v>62814598000</v>
      </c>
      <c r="AF7656" s="28">
        <v>-502675000</v>
      </c>
      <c r="AG7656" s="11"/>
    </row>
    <row r="7657">
      <c r="A7657" s="7" t="s">
        <v>9203</v>
      </c>
      <c r="B7657" s="5" t="s">
        <v>17122</v>
      </c>
      <c r="C7657" s="5" t="s">
        <v>24705</v>
      </c>
      <c r="D7657" s="5" t="str">
        <v>710707032683</v>
      </c>
      <c r="E7657" s="0" t="e">
        <f>+7 (487) 2311138
+7 (487) 2331056
+7 (487) 2364030
+7 (487) 2700036
+7 (487) 2702840
+7 (487) 2702847</f>
        <v>#NAME?</v>
      </c>
      <c r="F7657" s="5" t="s">
        <v>47516</v>
      </c>
      <c r="G7657" s="5" t="s">
        <v>47517</v>
      </c>
      <c r="H7657" s="26">
        <v>30.5</v>
      </c>
      <c r="I7657" s="5"/>
      <c r="J7657" s="5" t="s">
        <v>28593</v>
      </c>
      <c r="K7657" s="5" t="s">
        <v>344</v>
      </c>
      <c r="L7657" s="5" t="s">
        <v>47518</v>
      </c>
      <c r="M7657" s="27"/>
      <c r="N7657" s="5" t="s">
        <v>60737</v>
      </c>
      <c r="O7657" s="5" t="str">
        <v>7107018050</v>
      </c>
      <c r="P7657" s="27">
        <v>110000</v>
      </c>
      <c r="Q7657" s="5"/>
      <c r="R7657" s="5"/>
      <c r="S7657" s="5" t="s">
        <v>49425</v>
      </c>
      <c r="T7657" s="28">
        <v>77022000</v>
      </c>
      <c r="U7657" s="28">
        <v>82730000</v>
      </c>
      <c r="V7657" s="28">
        <v>129319000</v>
      </c>
      <c r="W7657" s="28"/>
      <c r="X7657" s="28">
        <v>107532000</v>
      </c>
      <c r="Y7657" s="28">
        <v>808335000</v>
      </c>
      <c r="Z7657" s="28">
        <v>483038000</v>
      </c>
      <c r="AA7657" s="28"/>
      <c r="AB7657" s="28"/>
      <c r="AC7657" s="28">
        <v>249280000</v>
      </c>
      <c r="AD7657" s="28">
        <v>483462000</v>
      </c>
      <c r="AE7657" s="28">
        <v>3283149000</v>
      </c>
      <c r="AF7657" s="28">
        <v>153161000</v>
      </c>
      <c r="AG7657" s="11"/>
    </row>
    <row r="7658">
      <c r="A7658" s="7" t="s">
        <v>9204</v>
      </c>
      <c r="B7658" s="5" t="s">
        <v>17123</v>
      </c>
      <c r="C7658" s="5" t="s">
        <v>24706</v>
      </c>
      <c r="D7658" s="5" t="str">
        <v>772883086051</v>
      </c>
      <c r="E7658" s="0" t="e">
        <f>+7 (915) 3775723
+7 (925) 8154386
+7 (925) 8154720</f>
        <v>#NAME?</v>
      </c>
      <c r="F7658" s="5"/>
      <c r="G7658" s="5"/>
      <c r="H7658" s="26">
        <v>9.5</v>
      </c>
      <c r="I7658" s="5" t="s">
        <v>47519</v>
      </c>
      <c r="J7658" s="5" t="s">
        <v>31686</v>
      </c>
      <c r="K7658" s="5" t="s">
        <v>380</v>
      </c>
      <c r="L7658" s="5" t="s">
        <v>41831</v>
      </c>
      <c r="M7658" s="27">
        <v>70920285</v>
      </c>
      <c r="N7658" s="5"/>
      <c r="O7658" s="5" t="str">
        <v>7701370330</v>
      </c>
      <c r="P7658" s="27">
        <v>561254444</v>
      </c>
      <c r="Q7658" s="5"/>
      <c r="R7658" s="5" t="s">
        <v>50714</v>
      </c>
      <c r="S7658" s="5" t="s">
        <v>49053</v>
      </c>
      <c r="T7658" s="28">
        <v>11837000</v>
      </c>
      <c r="U7658" s="28">
        <v>2126864000</v>
      </c>
      <c r="V7658" s="28">
        <v>2831546000</v>
      </c>
      <c r="W7658" s="28">
        <v>91998000</v>
      </c>
      <c r="X7658" s="28">
        <v>8873000</v>
      </c>
      <c r="Y7658" s="28">
        <v>5094662000</v>
      </c>
      <c r="Z7658" s="28">
        <v>164190000</v>
      </c>
      <c r="AA7658" s="28">
        <v>823907000</v>
      </c>
      <c r="AB7658" s="28">
        <v>58322000</v>
      </c>
      <c r="AC7658" s="28">
        <v>3533217000</v>
      </c>
      <c r="AD7658" s="28">
        <v>735444000</v>
      </c>
      <c r="AE7658" s="28">
        <v>3194975000</v>
      </c>
      <c r="AF7658" s="28">
        <v>131572000</v>
      </c>
      <c r="AG7658" s="11"/>
    </row>
    <row r="7659">
      <c r="A7659" s="7" t="s">
        <v>9205</v>
      </c>
      <c r="B7659" s="5" t="s">
        <v>17124</v>
      </c>
      <c r="C7659" s="5" t="s">
        <v>24707</v>
      </c>
      <c r="D7659" s="5" t="str">
        <v>744604477912</v>
      </c>
      <c r="E7659" s="0" t="e">
        <f>+7 (3519) 200194
+7 (3519) 438338</f>
        <v>#NAME?</v>
      </c>
      <c r="F7659" s="5" t="s">
        <v>47520</v>
      </c>
      <c r="G7659" s="5" t="s">
        <v>47521</v>
      </c>
      <c r="H7659" s="26">
        <v>13.5</v>
      </c>
      <c r="I7659" s="5" t="s">
        <v>47522</v>
      </c>
      <c r="J7659" s="5" t="s">
        <v>26880</v>
      </c>
      <c r="K7659" s="5" t="s">
        <v>344</v>
      </c>
      <c r="L7659" s="5" t="s">
        <v>47523</v>
      </c>
      <c r="M7659" s="27"/>
      <c r="N7659" s="5" t="s">
        <v>60738</v>
      </c>
      <c r="O7659" s="5" t="str">
        <v>7444062530</v>
      </c>
      <c r="P7659" s="27">
        <v>516000</v>
      </c>
      <c r="Q7659" s="5" t="s">
        <v>49009</v>
      </c>
      <c r="R7659" s="5"/>
      <c r="S7659" s="5" t="s">
        <v>49120</v>
      </c>
      <c r="T7659" s="28">
        <v>6931000</v>
      </c>
      <c r="U7659" s="28">
        <v>16468000</v>
      </c>
      <c r="V7659" s="28">
        <v>564388000</v>
      </c>
      <c r="W7659" s="28"/>
      <c r="X7659" s="28">
        <v>146000</v>
      </c>
      <c r="Y7659" s="28">
        <v>599688000</v>
      </c>
      <c r="Z7659" s="28">
        <v>120203000</v>
      </c>
      <c r="AA7659" s="28"/>
      <c r="AB7659" s="28">
        <v>44258000</v>
      </c>
      <c r="AC7659" s="28">
        <v>478968000</v>
      </c>
      <c r="AD7659" s="28">
        <v>120719000</v>
      </c>
      <c r="AE7659" s="28">
        <v>5131057000</v>
      </c>
      <c r="AF7659" s="28">
        <v>45084000</v>
      </c>
      <c r="AG7659" s="11"/>
    </row>
    <row r="7660">
      <c r="A7660" s="7" t="s">
        <v>9206</v>
      </c>
      <c r="B7660" s="5" t="s">
        <v>17125</v>
      </c>
      <c r="C7660" s="5" t="s">
        <v>24708</v>
      </c>
      <c r="D7660" s="5" t="str">
        <v>503400806549</v>
      </c>
      <c r="E7660" s="0" t="e">
        <f>+7 (495) 2258346
+7 (495) 9339555
+7 (800) 1003106</f>
        <v>#NAME?</v>
      </c>
      <c r="F7660" s="5" t="s">
        <v>47524</v>
      </c>
      <c r="G7660" s="5" t="s">
        <v>47525</v>
      </c>
      <c r="H7660" s="26">
        <v>13.5</v>
      </c>
      <c r="I7660" s="5" t="s">
        <v>47526</v>
      </c>
      <c r="J7660" s="5" t="s">
        <v>25512</v>
      </c>
      <c r="K7660" s="5" t="s">
        <v>344</v>
      </c>
      <c r="L7660" s="5" t="s">
        <v>47527</v>
      </c>
      <c r="M7660" s="27"/>
      <c r="N7660" s="5"/>
      <c r="O7660" s="5" t="str">
        <v>7719726620</v>
      </c>
      <c r="P7660" s="27">
        <v>5010000</v>
      </c>
      <c r="Q7660" s="5" t="s">
        <v>49021</v>
      </c>
      <c r="R7660" s="5"/>
      <c r="S7660" s="5" t="s">
        <v>60739</v>
      </c>
      <c r="T7660" s="28">
        <v>41232000</v>
      </c>
      <c r="U7660" s="28">
        <v>313000</v>
      </c>
      <c r="V7660" s="28">
        <v>1296631000</v>
      </c>
      <c r="W7660" s="28">
        <v>60000000</v>
      </c>
      <c r="X7660" s="28">
        <v>170576000</v>
      </c>
      <c r="Y7660" s="28">
        <v>2482899000</v>
      </c>
      <c r="Z7660" s="28">
        <v>1434055000</v>
      </c>
      <c r="AA7660" s="28"/>
      <c r="AB7660" s="28">
        <v>821613000</v>
      </c>
      <c r="AC7660" s="28">
        <v>1001198000</v>
      </c>
      <c r="AD7660" s="28">
        <v>1439065000</v>
      </c>
      <c r="AE7660" s="28">
        <v>13190416000</v>
      </c>
      <c r="AF7660" s="28">
        <v>143893000</v>
      </c>
      <c r="AG7660" s="11"/>
    </row>
    <row r="7661">
      <c r="A7661" s="7" t="s">
        <v>9207</v>
      </c>
      <c r="B7661" s="5" t="s">
        <v>17126</v>
      </c>
      <c r="C7661" s="5" t="s">
        <v>24709</v>
      </c>
      <c r="D7661" s="5" t="str">
        <v>771505975205</v>
      </c>
      <c r="E7661" s="0" t="e">
        <f>+7 (495) 7775151
+7 (800) 7754161
+7 (903) 5141414
+7 (903) 6181818
+7 (909) 9935343
+7 (909) 9935863</f>
        <v>#NAME?</v>
      </c>
      <c r="F7661" s="5" t="s">
        <v>47528</v>
      </c>
      <c r="G7661" s="5" t="s">
        <v>47529</v>
      </c>
      <c r="H7661" s="26">
        <v>6</v>
      </c>
      <c r="I7661" s="5" t="s">
        <v>47530</v>
      </c>
      <c r="J7661" s="5" t="s">
        <v>34946</v>
      </c>
      <c r="K7661" s="5" t="s">
        <v>344</v>
      </c>
      <c r="L7661" s="5" t="s">
        <v>47531</v>
      </c>
      <c r="M7661" s="27"/>
      <c r="N7661" s="5" t="s">
        <v>60740</v>
      </c>
      <c r="O7661" s="5" t="str">
        <v>7734400541</v>
      </c>
      <c r="P7661" s="27">
        <v>1000000</v>
      </c>
      <c r="Q7661" s="5"/>
      <c r="R7661" s="5"/>
      <c r="S7661" s="5" t="s">
        <v>49110</v>
      </c>
      <c r="T7661" s="28">
        <v>291823000</v>
      </c>
      <c r="U7661" s="28"/>
      <c r="V7661" s="28">
        <v>588268000</v>
      </c>
      <c r="W7661" s="28"/>
      <c r="X7661" s="28">
        <v>46958000</v>
      </c>
      <c r="Y7661" s="28">
        <v>3478419000</v>
      </c>
      <c r="Z7661" s="28">
        <v>2491679000</v>
      </c>
      <c r="AA7661" s="28">
        <v>386933000</v>
      </c>
      <c r="AB7661" s="28">
        <v>1972000</v>
      </c>
      <c r="AC7661" s="28">
        <v>416693000</v>
      </c>
      <c r="AD7661" s="28">
        <v>2492679000</v>
      </c>
      <c r="AE7661" s="28">
        <v>3058532000</v>
      </c>
      <c r="AF7661" s="28">
        <v>752616000</v>
      </c>
      <c r="AG7661" s="11"/>
    </row>
    <row r="7662">
      <c r="A7662" s="7" t="s">
        <v>9208</v>
      </c>
      <c r="B7662" s="5" t="s">
        <v>17127</v>
      </c>
      <c r="C7662" s="5" t="s">
        <v>24710</v>
      </c>
      <c r="D7662" s="5" t="str">
        <v>560900918606</v>
      </c>
      <c r="E7662" s="0" t="e">
        <f>+7 (35323) 64174
+7 (495) 4284800
+7 (495) 6268422
+7 (49656) 64172
+7 (49656) 64480</f>
        <v>#NAME?</v>
      </c>
      <c r="F7662" s="5" t="s">
        <v>47532</v>
      </c>
      <c r="G7662" s="5" t="s">
        <v>47533</v>
      </c>
      <c r="H7662" s="26">
        <v>30.5</v>
      </c>
      <c r="I7662" s="5" t="s">
        <v>47534</v>
      </c>
      <c r="J7662" s="5" t="s">
        <v>897</v>
      </c>
      <c r="K7662" s="5" t="s">
        <v>380</v>
      </c>
      <c r="L7662" s="5"/>
      <c r="M7662" s="27">
        <v>77198929</v>
      </c>
      <c r="N7662" s="5" t="s">
        <v>60741</v>
      </c>
      <c r="O7662" s="5" t="str">
        <v>5050002450</v>
      </c>
      <c r="P7662" s="27">
        <v>14429473</v>
      </c>
      <c r="Q7662" s="5" t="s">
        <v>60742</v>
      </c>
      <c r="R7662" s="5"/>
      <c r="S7662" s="5" t="s">
        <v>50191</v>
      </c>
      <c r="T7662" s="28">
        <v>359660000</v>
      </c>
      <c r="U7662" s="28">
        <v>42586000</v>
      </c>
      <c r="V7662" s="28">
        <v>3066871000</v>
      </c>
      <c r="W7662" s="28">
        <v>3010000</v>
      </c>
      <c r="X7662" s="28">
        <v>121532000</v>
      </c>
      <c r="Y7662" s="28">
        <v>5807618000</v>
      </c>
      <c r="Z7662" s="28">
        <v>-2918423000</v>
      </c>
      <c r="AA7662" s="28">
        <v>3692414000</v>
      </c>
      <c r="AB7662" s="28">
        <v>2415324000</v>
      </c>
      <c r="AC7662" s="28">
        <v>4764846000</v>
      </c>
      <c r="AD7662" s="28">
        <v>-2920186000</v>
      </c>
      <c r="AE7662" s="28">
        <v>5491205000</v>
      </c>
      <c r="AF7662" s="28">
        <v>-1008838000</v>
      </c>
      <c r="AG7662" s="11"/>
    </row>
    <row r="7663">
      <c r="A7663" s="7" t="s">
        <v>9209</v>
      </c>
      <c r="B7663" s="5" t="s">
        <v>17128</v>
      </c>
      <c r="C7663" s="5" t="s">
        <v>24711</v>
      </c>
      <c r="D7663" s="5" t="str">
        <v>402706808108</v>
      </c>
      <c r="E7663" s="0" t="e">
        <f>+7 (495) 4284783
+7 (495) 4284798</f>
        <v>#NAME?</v>
      </c>
      <c r="F7663" s="5" t="s">
        <v>47535</v>
      </c>
      <c r="G7663" s="5"/>
      <c r="H7663" s="26">
        <v>14.5</v>
      </c>
      <c r="I7663" s="5"/>
      <c r="J7663" s="5" t="s">
        <v>30185</v>
      </c>
      <c r="K7663" s="5" t="s">
        <v>344</v>
      </c>
      <c r="L7663" s="5"/>
      <c r="M7663" s="27"/>
      <c r="N7663" s="5"/>
      <c r="O7663" s="5" t="str">
        <v>7729604395</v>
      </c>
      <c r="P7663" s="27">
        <v>872658070</v>
      </c>
      <c r="Q7663" s="5"/>
      <c r="R7663" s="5"/>
      <c r="S7663" s="5" t="s">
        <v>50404</v>
      </c>
      <c r="T7663" s="28">
        <v>538000</v>
      </c>
      <c r="U7663" s="28">
        <v>48904795000</v>
      </c>
      <c r="V7663" s="28">
        <v>954654000</v>
      </c>
      <c r="W7663" s="28">
        <v>1045844000</v>
      </c>
      <c r="X7663" s="28"/>
      <c r="Y7663" s="28">
        <v>57914090000</v>
      </c>
      <c r="Z7663" s="28">
        <v>23466592000</v>
      </c>
      <c r="AA7663" s="28">
        <v>1046108000</v>
      </c>
      <c r="AB7663" s="28"/>
      <c r="AC7663" s="28">
        <v>5946000</v>
      </c>
      <c r="AD7663" s="28">
        <v>52588886000</v>
      </c>
      <c r="AE7663" s="28">
        <v>8495098000</v>
      </c>
      <c r="AF7663" s="28">
        <v>1646532000</v>
      </c>
      <c r="AG7663" s="11"/>
    </row>
    <row r="7664">
      <c r="A7664" s="7" t="s">
        <v>9210</v>
      </c>
      <c r="B7664" s="5" t="s">
        <v>17129</v>
      </c>
      <c r="C7664" s="5" t="s">
        <v>24712</v>
      </c>
      <c r="D7664" s="5" t="str">
        <v>463202910279</v>
      </c>
      <c r="E7664" s="0" t="e">
        <f>+7 (495) 7458478
+7 (499) 2213535
+7 (495) 2293453
+7 (495) 7452884
+7 (800) 5001122</f>
        <v>#NAME?</v>
      </c>
      <c r="F7664" s="5" t="s">
        <v>47536</v>
      </c>
      <c r="G7664" s="5"/>
      <c r="H7664" s="26">
        <v>25.5</v>
      </c>
      <c r="I7664" s="5" t="s">
        <v>47537</v>
      </c>
      <c r="J7664" s="5" t="s">
        <v>26173</v>
      </c>
      <c r="K7664" s="5" t="s">
        <v>344</v>
      </c>
      <c r="L7664" s="5" t="s">
        <v>47538</v>
      </c>
      <c r="M7664" s="27">
        <v>13701581</v>
      </c>
      <c r="N7664" s="5" t="s">
        <v>60743</v>
      </c>
      <c r="O7664" s="5" t="str">
        <v>7702192017</v>
      </c>
      <c r="P7664" s="27">
        <v>466490450</v>
      </c>
      <c r="Q7664" s="5" t="s">
        <v>60744</v>
      </c>
      <c r="R7664" s="5"/>
      <c r="S7664" s="5" t="s">
        <v>50179</v>
      </c>
      <c r="T7664" s="28">
        <v>1596330000</v>
      </c>
      <c r="U7664" s="28">
        <v>542000</v>
      </c>
      <c r="V7664" s="28">
        <v>2357581000</v>
      </c>
      <c r="W7664" s="28">
        <v>213514000</v>
      </c>
      <c r="X7664" s="28">
        <v>1173267000</v>
      </c>
      <c r="Y7664" s="28">
        <v>8857263000</v>
      </c>
      <c r="Z7664" s="28">
        <v>2600117000</v>
      </c>
      <c r="AA7664" s="28"/>
      <c r="AB7664" s="28">
        <v>2389273000</v>
      </c>
      <c r="AC7664" s="28">
        <v>5054326000</v>
      </c>
      <c r="AD7664" s="28">
        <v>3118408000</v>
      </c>
      <c r="AE7664" s="28">
        <v>26572668000</v>
      </c>
      <c r="AF7664" s="28">
        <v>152361000</v>
      </c>
      <c r="AG7664" s="11"/>
    </row>
    <row r="7665">
      <c r="A7665" s="7" t="s">
        <v>9211</v>
      </c>
      <c r="B7665" s="5" t="s">
        <v>17130</v>
      </c>
      <c r="C7665" s="5" t="s">
        <v>24612</v>
      </c>
      <c r="D7665" s="5" t="str">
        <v>503618942204</v>
      </c>
      <c r="E7665" s="0" t="e">
        <f>+7 (812) 3363641
+7 (812) 3366288
+7 (812) 6796288
+7 (812) 7185795
+7 (81374) 22561
+7 (81374) 23053
+7 (81374) 72140
+7 (81374) 72181
+7 (81374) 72341
+7 (981) 9910248</f>
        <v>#NAME?</v>
      </c>
      <c r="F7665" s="5" t="s">
        <v>47539</v>
      </c>
      <c r="G7665" s="5" t="s">
        <v>47540</v>
      </c>
      <c r="H7665" s="26">
        <v>25.5</v>
      </c>
      <c r="I7665" s="5"/>
      <c r="J7665" s="5" t="s">
        <v>26407</v>
      </c>
      <c r="K7665" s="5" t="s">
        <v>355</v>
      </c>
      <c r="L7665" s="5"/>
      <c r="M7665" s="27"/>
      <c r="N7665" s="5"/>
      <c r="O7665" s="5" t="str">
        <v>4713000120</v>
      </c>
      <c r="P7665" s="27">
        <v>86106</v>
      </c>
      <c r="Q7665" s="5"/>
      <c r="R7665" s="5" t="s">
        <v>60745</v>
      </c>
      <c r="S7665" s="5" t="s">
        <v>49110</v>
      </c>
      <c r="T7665" s="28">
        <v>3604864000</v>
      </c>
      <c r="U7665" s="28"/>
      <c r="V7665" s="28">
        <v>158665000</v>
      </c>
      <c r="W7665" s="28"/>
      <c r="X7665" s="28">
        <v>63255000</v>
      </c>
      <c r="Y7665" s="28">
        <v>6076493000</v>
      </c>
      <c r="Z7665" s="28">
        <v>-139473000</v>
      </c>
      <c r="AA7665" s="28"/>
      <c r="AB7665" s="28">
        <v>4640113000</v>
      </c>
      <c r="AC7665" s="28">
        <v>5026322000</v>
      </c>
      <c r="AD7665" s="28">
        <v>601760000</v>
      </c>
      <c r="AE7665" s="28">
        <v>4204792000</v>
      </c>
      <c r="AF7665" s="28">
        <v>-194365000</v>
      </c>
      <c r="AG7665" s="11"/>
    </row>
    <row r="7666">
      <c r="A7666" s="7" t="s">
        <v>9212</v>
      </c>
      <c r="B7666" s="5" t="s">
        <v>17131</v>
      </c>
      <c r="C7666" s="5" t="s">
        <v>24713</v>
      </c>
      <c r="D7666" s="5" t="str">
        <v>463212171789</v>
      </c>
      <c r="E7666" s="0" t="e">
        <f>+7 (4712) 262989
+7 (4712) 341959</f>
        <v>#NAME?</v>
      </c>
      <c r="F7666" s="5" t="s">
        <v>47541</v>
      </c>
      <c r="G7666" s="5"/>
      <c r="H7666" s="26">
        <v>29.5</v>
      </c>
      <c r="I7666" s="5"/>
      <c r="J7666" s="5" t="s">
        <v>27956</v>
      </c>
      <c r="K7666" s="5" t="s">
        <v>344</v>
      </c>
      <c r="L7666" s="5" t="s">
        <v>47542</v>
      </c>
      <c r="M7666" s="27"/>
      <c r="N7666" s="5"/>
      <c r="O7666" s="5" t="str">
        <v>4629014848</v>
      </c>
      <c r="P7666" s="27">
        <v>140</v>
      </c>
      <c r="Q7666" s="5" t="s">
        <v>49059</v>
      </c>
      <c r="R7666" s="5"/>
      <c r="S7666" s="5" t="s">
        <v>49425</v>
      </c>
      <c r="T7666" s="28">
        <v>291898000</v>
      </c>
      <c r="U7666" s="28"/>
      <c r="V7666" s="28">
        <v>404136000</v>
      </c>
      <c r="W7666" s="28"/>
      <c r="X7666" s="28">
        <v>218764000</v>
      </c>
      <c r="Y7666" s="28">
        <v>1383289000</v>
      </c>
      <c r="Z7666" s="28">
        <v>1308746000</v>
      </c>
      <c r="AA7666" s="28"/>
      <c r="AB7666" s="28"/>
      <c r="AC7666" s="28">
        <v>62604000</v>
      </c>
      <c r="AD7666" s="28">
        <v>1308746000</v>
      </c>
      <c r="AE7666" s="28">
        <v>8298158000</v>
      </c>
      <c r="AF7666" s="28">
        <v>300284000</v>
      </c>
      <c r="AG7666" s="11"/>
    </row>
    <row r="7667">
      <c r="A7667" s="7" t="s">
        <v>9213</v>
      </c>
      <c r="B7667" s="5" t="s">
        <v>13668</v>
      </c>
      <c r="C7667" s="5" t="s">
        <v>21276</v>
      </c>
      <c r="D7667" s="5" t="str">
        <v>526211802498</v>
      </c>
      <c r="E7667" s="0" t="e">
        <f>+7 (495) 6662333
+7 (495) 2290497</f>
        <v>#NAME?</v>
      </c>
      <c r="F7667" s="5"/>
      <c r="G7667" s="5" t="s">
        <v>47543</v>
      </c>
      <c r="H7667" s="26">
        <v>7.5</v>
      </c>
      <c r="I7667" s="5"/>
      <c r="J7667" s="5" t="s">
        <v>881</v>
      </c>
      <c r="K7667" s="5" t="s">
        <v>355</v>
      </c>
      <c r="L7667" s="5" t="s">
        <v>47544</v>
      </c>
      <c r="M7667" s="27"/>
      <c r="N7667" s="5"/>
      <c r="O7667" s="5" t="str">
        <v>9701012339</v>
      </c>
      <c r="P7667" s="27">
        <v>25974026</v>
      </c>
      <c r="Q7667" s="5" t="s">
        <v>49009</v>
      </c>
      <c r="R7667" s="5" t="s">
        <v>52715</v>
      </c>
      <c r="S7667" s="5" t="s">
        <v>49814</v>
      </c>
      <c r="T7667" s="28">
        <v>114754000</v>
      </c>
      <c r="U7667" s="28">
        <v>10954673000</v>
      </c>
      <c r="V7667" s="28">
        <v>1935140000</v>
      </c>
      <c r="W7667" s="28"/>
      <c r="X7667" s="28">
        <v>1045682000</v>
      </c>
      <c r="Y7667" s="28">
        <v>14091341000</v>
      </c>
      <c r="Z7667" s="28">
        <v>6941309000</v>
      </c>
      <c r="AA7667" s="28"/>
      <c r="AB7667" s="28">
        <v>2274462000</v>
      </c>
      <c r="AC7667" s="28">
        <v>7027071000</v>
      </c>
      <c r="AD7667" s="28">
        <v>6967283000</v>
      </c>
      <c r="AE7667" s="28">
        <v>5208494000</v>
      </c>
      <c r="AF7667" s="28">
        <v>8097382000</v>
      </c>
      <c r="AG7667" s="11"/>
    </row>
    <row r="7668">
      <c r="A7668" s="7" t="s">
        <v>1653</v>
      </c>
      <c r="B7668" s="5" t="s">
        <v>1654</v>
      </c>
      <c r="C7668" s="5" t="s">
        <v>1655</v>
      </c>
      <c r="D7668" s="5" t="str">
        <v>504100517160</v>
      </c>
      <c r="E7668" s="0" t="e">
        <f>+7 (927) 6162121
+7 (495) 7106060
+7 (495) 7109060</f>
        <v>#NAME?</v>
      </c>
      <c r="F7668" s="5" t="s">
        <v>1657</v>
      </c>
      <c r="G7668" s="5" t="s">
        <v>47545</v>
      </c>
      <c r="H7668" s="26">
        <v>15</v>
      </c>
      <c r="I7668" s="5"/>
      <c r="J7668" s="5" t="s">
        <v>999</v>
      </c>
      <c r="K7668" s="5" t="s">
        <v>344</v>
      </c>
      <c r="L7668" s="5" t="s">
        <v>1658</v>
      </c>
      <c r="M7668" s="27">
        <v>13813289</v>
      </c>
      <c r="N7668" s="5" t="s">
        <v>60746</v>
      </c>
      <c r="O7668" s="5" t="str">
        <v>7728645409</v>
      </c>
      <c r="P7668" s="27">
        <v>833000000</v>
      </c>
      <c r="Q7668" s="5" t="s">
        <v>60747</v>
      </c>
      <c r="R7668" s="5"/>
      <c r="S7668" s="5" t="s">
        <v>60748</v>
      </c>
      <c r="T7668" s="28">
        <v>304433000</v>
      </c>
      <c r="U7668" s="28"/>
      <c r="V7668" s="28">
        <v>29687689000</v>
      </c>
      <c r="W7668" s="28"/>
      <c r="X7668" s="28">
        <v>9461827000</v>
      </c>
      <c r="Y7668" s="28">
        <v>40235462000</v>
      </c>
      <c r="Z7668" s="28">
        <v>923463000</v>
      </c>
      <c r="AA7668" s="28"/>
      <c r="AB7668" s="28"/>
      <c r="AC7668" s="28">
        <v>33835398000</v>
      </c>
      <c r="AD7668" s="28">
        <v>2199679000</v>
      </c>
      <c r="AE7668" s="28">
        <v>34011974000</v>
      </c>
      <c r="AF7668" s="28">
        <v>1079914000</v>
      </c>
      <c r="AG7668" s="11"/>
    </row>
    <row r="7669">
      <c r="A7669" s="7" t="s">
        <v>9214</v>
      </c>
      <c r="B7669" s="5" t="s">
        <v>17132</v>
      </c>
      <c r="C7669" s="5" t="s">
        <v>24714</v>
      </c>
      <c r="D7669" s="5" t="str">
        <v>246100998722</v>
      </c>
      <c r="E7669" s="0" t="e">
        <f>+7 (495) 1981760
+7 (985) 1382804</f>
        <v>#NAME?</v>
      </c>
      <c r="F7669" s="5" t="s">
        <v>47546</v>
      </c>
      <c r="G7669" s="5"/>
      <c r="H7669" s="26">
        <v>5</v>
      </c>
      <c r="I7669" s="5" t="s">
        <v>47547</v>
      </c>
      <c r="J7669" s="5" t="s">
        <v>25341</v>
      </c>
      <c r="K7669" s="5" t="s">
        <v>344</v>
      </c>
      <c r="L7669" s="5"/>
      <c r="M7669" s="27">
        <v>229418</v>
      </c>
      <c r="N7669" s="5" t="s">
        <v>54132</v>
      </c>
      <c r="O7669" s="5" t="str">
        <v>7708330979</v>
      </c>
      <c r="P7669" s="27">
        <v>518170000</v>
      </c>
      <c r="Q7669" s="5" t="s">
        <v>60749</v>
      </c>
      <c r="R7669" s="5"/>
      <c r="S7669" s="5" t="s">
        <v>60750</v>
      </c>
      <c r="T7669" s="28">
        <v>8499000</v>
      </c>
      <c r="U7669" s="28"/>
      <c r="V7669" s="28">
        <v>1155685000</v>
      </c>
      <c r="W7669" s="28"/>
      <c r="X7669" s="28">
        <v>998621000</v>
      </c>
      <c r="Y7669" s="28">
        <v>2531054000</v>
      </c>
      <c r="Z7669" s="28">
        <v>53192000</v>
      </c>
      <c r="AA7669" s="28"/>
      <c r="AB7669" s="28"/>
      <c r="AC7669" s="28">
        <v>1957138000</v>
      </c>
      <c r="AD7669" s="28">
        <v>572439000</v>
      </c>
      <c r="AE7669" s="28">
        <v>15434244000</v>
      </c>
      <c r="AF7669" s="28">
        <v>81023000</v>
      </c>
      <c r="AG7669" s="11"/>
    </row>
    <row r="7670">
      <c r="A7670" s="7" t="s">
        <v>9215</v>
      </c>
      <c r="B7670" s="5" t="s">
        <v>17133</v>
      </c>
      <c r="C7670" s="5"/>
      <c r="D7670" s="5"/>
      <c r="E7670" s="0" t="e">
        <f>+7 (916) 6515368
+7 (916) 7242326</f>
        <v>#NAME?</v>
      </c>
      <c r="F7670" s="5"/>
      <c r="G7670" s="5"/>
      <c r="H7670" s="26">
        <v>7</v>
      </c>
      <c r="I7670" s="5"/>
      <c r="J7670" s="5" t="s">
        <v>36974</v>
      </c>
      <c r="K7670" s="5" t="s">
        <v>380</v>
      </c>
      <c r="L7670" s="5" t="s">
        <v>47548</v>
      </c>
      <c r="M7670" s="27"/>
      <c r="N7670" s="5"/>
      <c r="O7670" s="5" t="str">
        <v>7736256452</v>
      </c>
      <c r="P7670" s="27">
        <v>7301517000</v>
      </c>
      <c r="Q7670" s="5" t="s">
        <v>60751</v>
      </c>
      <c r="R7670" s="5"/>
      <c r="S7670" s="5" t="s">
        <v>49743</v>
      </c>
      <c r="T7670" s="28">
        <v>2068000</v>
      </c>
      <c r="U7670" s="28">
        <v>450488815000</v>
      </c>
      <c r="V7670" s="28">
        <v>10504929000</v>
      </c>
      <c r="W7670" s="28">
        <v>36011000000</v>
      </c>
      <c r="X7670" s="28">
        <v>25569111000</v>
      </c>
      <c r="Y7670" s="28">
        <v>522648329000</v>
      </c>
      <c r="Z7670" s="28">
        <v>-85857326000</v>
      </c>
      <c r="AA7670" s="28"/>
      <c r="AB7670" s="28">
        <v>83534217000</v>
      </c>
      <c r="AC7670" s="28">
        <v>83837259000</v>
      </c>
      <c r="AD7670" s="28">
        <v>438810628000</v>
      </c>
      <c r="AE7670" s="28">
        <v>231550789000</v>
      </c>
      <c r="AF7670" s="28">
        <v>-98575297000</v>
      </c>
      <c r="AG7670" s="11"/>
    </row>
    <row r="7671">
      <c r="A7671" s="7" t="s">
        <v>9216</v>
      </c>
      <c r="B7671" s="5" t="s">
        <v>17133</v>
      </c>
      <c r="C7671" s="5"/>
      <c r="D7671" s="5"/>
      <c r="E7671" s="0" t="e">
        <f>+7 (916) 7242326</f>
        <v>#NAME?</v>
      </c>
      <c r="F7671" s="5"/>
      <c r="G7671" s="5"/>
      <c r="H7671" s="26">
        <v>7.5</v>
      </c>
      <c r="I7671" s="5"/>
      <c r="J7671" s="5" t="s">
        <v>36974</v>
      </c>
      <c r="K7671" s="5" t="s">
        <v>344</v>
      </c>
      <c r="L7671" s="5"/>
      <c r="M7671" s="27"/>
      <c r="N7671" s="5"/>
      <c r="O7671" s="5" t="str">
        <v>7736252313</v>
      </c>
      <c r="P7671" s="27">
        <v>8027278563</v>
      </c>
      <c r="Q7671" s="5"/>
      <c r="R7671" s="5"/>
      <c r="S7671" s="5" t="s">
        <v>51576</v>
      </c>
      <c r="T7671" s="28">
        <v>25098000</v>
      </c>
      <c r="U7671" s="28">
        <v>457760098000</v>
      </c>
      <c r="V7671" s="28">
        <v>4473390000</v>
      </c>
      <c r="W7671" s="28">
        <v>25145000</v>
      </c>
      <c r="X7671" s="28">
        <v>4033339000</v>
      </c>
      <c r="Y7671" s="28">
        <v>466996370000</v>
      </c>
      <c r="Z7671" s="28">
        <v>-75825039000</v>
      </c>
      <c r="AA7671" s="28"/>
      <c r="AB7671" s="28"/>
      <c r="AC7671" s="28">
        <v>48806000</v>
      </c>
      <c r="AD7671" s="28">
        <v>466916959000</v>
      </c>
      <c r="AE7671" s="28">
        <v>3256017000</v>
      </c>
      <c r="AF7671" s="28">
        <v>-74967270000</v>
      </c>
      <c r="AG7671" s="11"/>
    </row>
    <row r="7672">
      <c r="A7672" s="7" t="s">
        <v>9217</v>
      </c>
      <c r="B7672" s="5" t="s">
        <v>17134</v>
      </c>
      <c r="C7672" s="5" t="s">
        <v>24715</v>
      </c>
      <c r="D7672" s="5" t="str">
        <v>231513440652</v>
      </c>
      <c r="E7672" s="0" t="e">
        <f>+7 (495) 1112233
+7 (495) 9116834
+7 (499) 9116834
+7 (915) 8338581
+7 (916) 1227588
+7 (495) 5681128
+7 (495) 5681945
+7 (495) 5681946
+7 (800) 3011559</f>
        <v>#NAME?</v>
      </c>
      <c r="F7672" s="5" t="s">
        <v>47549</v>
      </c>
      <c r="G7672" s="5" t="s">
        <v>47550</v>
      </c>
      <c r="H7672" s="26">
        <v>3.5</v>
      </c>
      <c r="I7672" s="5" t="s">
        <v>47551</v>
      </c>
      <c r="J7672" s="5" t="s">
        <v>881</v>
      </c>
      <c r="K7672" s="5" t="s">
        <v>355</v>
      </c>
      <c r="L7672" s="5"/>
      <c r="M7672" s="27">
        <v>64519580</v>
      </c>
      <c r="N7672" s="5" t="s">
        <v>60752</v>
      </c>
      <c r="O7672" s="5" t="str">
        <v>7730251909</v>
      </c>
      <c r="P7672" s="27">
        <v>10000</v>
      </c>
      <c r="Q7672" s="5" t="s">
        <v>60753</v>
      </c>
      <c r="R7672" s="5"/>
      <c r="S7672" s="5" t="s">
        <v>60754</v>
      </c>
      <c r="T7672" s="28">
        <v>244581000</v>
      </c>
      <c r="U7672" s="28">
        <v>7000</v>
      </c>
      <c r="V7672" s="28">
        <v>2819542000</v>
      </c>
      <c r="W7672" s="28"/>
      <c r="X7672" s="28">
        <v>1586164000</v>
      </c>
      <c r="Y7672" s="28">
        <v>4813577000</v>
      </c>
      <c r="Z7672" s="28">
        <v>74849000</v>
      </c>
      <c r="AA7672" s="28"/>
      <c r="AB7672" s="28">
        <v>1492558000</v>
      </c>
      <c r="AC7672" s="28">
        <v>4555523000</v>
      </c>
      <c r="AD7672" s="28">
        <v>74859000</v>
      </c>
      <c r="AE7672" s="28">
        <v>5565119000</v>
      </c>
      <c r="AF7672" s="28">
        <v>-146721000</v>
      </c>
      <c r="AG7672" s="11"/>
    </row>
    <row r="7673">
      <c r="A7673" s="7" t="s">
        <v>9218</v>
      </c>
      <c r="B7673" s="5" t="s">
        <v>17135</v>
      </c>
      <c r="C7673" s="5" t="s">
        <v>24716</v>
      </c>
      <c r="D7673" s="5" t="str">
        <v>781105308813</v>
      </c>
      <c r="E7673" s="0" t="e">
        <f>+7 (812) 1135132
+7 (812) 1643749
+7 (812) 4075132
+7 (812) 4930401
+7 (812) 4941011
+7 (812) 4941020
+7 (812) 4941024
+7 (812) 4941039
+7 (812) 4941043
+7 (812) 4941051
+7 (812) 4941062
+7 (812) 4941082
+7 (812) 4941089
+7 (812) 4941115
+7 (812) 4941155</f>
        <v>#NAME?</v>
      </c>
      <c r="F7673" s="5" t="s">
        <v>47552</v>
      </c>
      <c r="G7673" s="5" t="s">
        <v>47553</v>
      </c>
      <c r="H7673" s="26">
        <v>14.5</v>
      </c>
      <c r="I7673" s="5" t="s">
        <v>47554</v>
      </c>
      <c r="J7673" s="5" t="s">
        <v>755</v>
      </c>
      <c r="K7673" s="5" t="s">
        <v>355</v>
      </c>
      <c r="L7673" s="5"/>
      <c r="M7673" s="27">
        <v>286170360</v>
      </c>
      <c r="N7673" s="5" t="s">
        <v>60755</v>
      </c>
      <c r="O7673" s="5" t="str">
        <v>7838418751</v>
      </c>
      <c r="P7673" s="27">
        <v>3974821000</v>
      </c>
      <c r="Q7673" s="5" t="s">
        <v>60756</v>
      </c>
      <c r="R7673" s="5"/>
      <c r="S7673" s="5" t="s">
        <v>49756</v>
      </c>
      <c r="T7673" s="28">
        <v>2251717000</v>
      </c>
      <c r="U7673" s="28">
        <v>1715606000</v>
      </c>
      <c r="V7673" s="28">
        <v>298084335000</v>
      </c>
      <c r="W7673" s="28">
        <v>934946000</v>
      </c>
      <c r="X7673" s="28">
        <v>14850528000</v>
      </c>
      <c r="Y7673" s="28">
        <v>320893218000</v>
      </c>
      <c r="Z7673" s="28">
        <v>16917475000</v>
      </c>
      <c r="AA7673" s="28"/>
      <c r="AB7673" s="28"/>
      <c r="AC7673" s="28">
        <v>139915299000</v>
      </c>
      <c r="AD7673" s="28">
        <v>21578431000</v>
      </c>
      <c r="AE7673" s="28">
        <v>28279623000</v>
      </c>
      <c r="AF7673" s="28">
        <v>2265595000</v>
      </c>
      <c r="AG7673" s="11"/>
    </row>
    <row r="7674">
      <c r="A7674" s="7" t="s">
        <v>9219</v>
      </c>
      <c r="B7674" s="5" t="s">
        <v>17136</v>
      </c>
      <c r="C7674" s="5" t="s">
        <v>24717</v>
      </c>
      <c r="D7674" s="5" t="str">
        <v>616405398739</v>
      </c>
      <c r="E7674" s="0" t="e">
        <f>+7 (499) 1812453
+7 (495) 6376990
+7 (495) 1812452
+7 (495) 3524245
+7 (499) 1609583
+7 (499) 1811513
+7 (499) 1812123
+7 (499) 1812128
+7 (499) 1812227
+7 (499) 1812452
+7 (499) 1812573
+7 (499) 1870817
+7 (499) 1871132
+7 (499) 1878165
+7 (499) 1879492</f>
        <v>#NAME?</v>
      </c>
      <c r="F7674" s="5" t="s">
        <v>47555</v>
      </c>
      <c r="G7674" s="5" t="s">
        <v>47556</v>
      </c>
      <c r="H7674" s="26">
        <v>18.5</v>
      </c>
      <c r="I7674" s="5" t="s">
        <v>33226</v>
      </c>
      <c r="J7674" s="5" t="s">
        <v>25349</v>
      </c>
      <c r="K7674" s="5"/>
      <c r="L7674" s="5"/>
      <c r="M7674" s="27"/>
      <c r="N7674" s="5" t="s">
        <v>60757</v>
      </c>
      <c r="O7674" s="5" t="str">
        <v>7716511464</v>
      </c>
      <c r="P7674" s="27"/>
      <c r="Q7674" s="5" t="s">
        <v>49009</v>
      </c>
      <c r="R7674" s="5"/>
      <c r="S7674" s="5" t="s">
        <v>53872</v>
      </c>
      <c r="T7674" s="28">
        <v>3269778000</v>
      </c>
      <c r="U7674" s="28"/>
      <c r="V7674" s="28">
        <v>396504000</v>
      </c>
      <c r="W7674" s="28">
        <v>80000000</v>
      </c>
      <c r="X7674" s="28">
        <v>141244000</v>
      </c>
      <c r="Y7674" s="28">
        <v>4761215000</v>
      </c>
      <c r="Z7674" s="28"/>
      <c r="AA7674" s="28"/>
      <c r="AB7674" s="28"/>
      <c r="AC7674" s="28">
        <v>621124000</v>
      </c>
      <c r="AD7674" s="28">
        <v>4140090000</v>
      </c>
      <c r="AE7674" s="28">
        <v>6051640000</v>
      </c>
      <c r="AF7674" s="28">
        <v>-174698000</v>
      </c>
      <c r="AG7674" s="11"/>
    </row>
    <row r="7675">
      <c r="A7675" s="7" t="s">
        <v>9220</v>
      </c>
      <c r="B7675" s="5" t="s">
        <v>17137</v>
      </c>
      <c r="C7675" s="5" t="s">
        <v>24718</v>
      </c>
      <c r="D7675" s="5" t="str">
        <v>421700454319</v>
      </c>
      <c r="E7675" s="0" t="e">
        <f>+7 (903) 5498576
+7 (812) 2242075
+7 (812) 2249487
+7 (812) 3228102
+7 (812) 3253105
+7 (812) 3365481
+7 (812) 4608843
+7 (812) 6766300
+7 (812) 6766363
+7 (812) 6766391
+7 (812) 6766499
+7 (812) 6766500</f>
        <v>#NAME?</v>
      </c>
      <c r="F7675" s="5" t="s">
        <v>47557</v>
      </c>
      <c r="G7675" s="5" t="s">
        <v>47558</v>
      </c>
      <c r="H7675" s="26">
        <v>14.5</v>
      </c>
      <c r="I7675" s="5" t="s">
        <v>47559</v>
      </c>
      <c r="J7675" s="5" t="s">
        <v>31029</v>
      </c>
      <c r="K7675" s="5" t="s">
        <v>344</v>
      </c>
      <c r="L7675" s="5" t="s">
        <v>47560</v>
      </c>
      <c r="M7675" s="27">
        <v>2941018</v>
      </c>
      <c r="N7675" s="5" t="s">
        <v>60758</v>
      </c>
      <c r="O7675" s="5" t="str">
        <v>7806394392</v>
      </c>
      <c r="P7675" s="27">
        <v>854258962</v>
      </c>
      <c r="Q7675" s="5" t="s">
        <v>60759</v>
      </c>
      <c r="R7675" s="5"/>
      <c r="S7675" s="5" t="s">
        <v>54908</v>
      </c>
      <c r="T7675" s="28">
        <v>3062723000</v>
      </c>
      <c r="U7675" s="28"/>
      <c r="V7675" s="28">
        <v>14887404000</v>
      </c>
      <c r="W7675" s="28">
        <v>5897671000</v>
      </c>
      <c r="X7675" s="28">
        <v>1158409000</v>
      </c>
      <c r="Y7675" s="28">
        <v>32406683000</v>
      </c>
      <c r="Z7675" s="28">
        <v>4162009000</v>
      </c>
      <c r="AA7675" s="28"/>
      <c r="AB7675" s="28"/>
      <c r="AC7675" s="28">
        <v>23199138000</v>
      </c>
      <c r="AD7675" s="28">
        <v>5058981000</v>
      </c>
      <c r="AE7675" s="28">
        <v>6960342000</v>
      </c>
      <c r="AF7675" s="28">
        <v>1058831000</v>
      </c>
      <c r="AG7675" s="11"/>
    </row>
    <row r="7676">
      <c r="A7676" s="7" t="s">
        <v>9221</v>
      </c>
      <c r="B7676" s="5" t="s">
        <v>17138</v>
      </c>
      <c r="C7676" s="5" t="s">
        <v>24719</v>
      </c>
      <c r="D7676" s="5" t="str">
        <v>231002582417</v>
      </c>
      <c r="E7676" s="0" t="e">
        <f>+7 (812) 2404310
+7 (48646) 74200
+7 (48646) 74201
+7 (48646) 74202
+7 (48646) 74203
+7 (48646) 74204
+7 (48646) 74205
+7 (812) 2404330
+7 (84646) 74201
+7 (903) 6373223
+7 (919) 2638613</f>
        <v>#NAME?</v>
      </c>
      <c r="F7676" s="5" t="s">
        <v>47561</v>
      </c>
      <c r="G7676" s="5"/>
      <c r="H7676" s="26">
        <v>11</v>
      </c>
      <c r="I7676" s="5" t="s">
        <v>47562</v>
      </c>
      <c r="J7676" s="5" t="s">
        <v>32951</v>
      </c>
      <c r="K7676" s="5" t="s">
        <v>344</v>
      </c>
      <c r="L7676" s="5"/>
      <c r="M7676" s="27"/>
      <c r="N7676" s="5"/>
      <c r="O7676" s="5" t="str">
        <v>5717003646</v>
      </c>
      <c r="P7676" s="27">
        <v>463997261</v>
      </c>
      <c r="Q7676" s="5"/>
      <c r="R7676" s="5"/>
      <c r="S7676" s="5" t="s">
        <v>49029</v>
      </c>
      <c r="T7676" s="28">
        <v>685814000</v>
      </c>
      <c r="U7676" s="28">
        <v>1000</v>
      </c>
      <c r="V7676" s="28">
        <v>1379797000</v>
      </c>
      <c r="W7676" s="28"/>
      <c r="X7676" s="28">
        <v>552000</v>
      </c>
      <c r="Y7676" s="28">
        <v>2365594000</v>
      </c>
      <c r="Z7676" s="28">
        <v>154344000</v>
      </c>
      <c r="AA7676" s="28"/>
      <c r="AB7676" s="28">
        <v>1300000000</v>
      </c>
      <c r="AC7676" s="28">
        <v>1700488000</v>
      </c>
      <c r="AD7676" s="28">
        <v>618341000</v>
      </c>
      <c r="AE7676" s="28">
        <v>3415306000</v>
      </c>
      <c r="AF7676" s="28">
        <v>1954000</v>
      </c>
      <c r="AG7676" s="11"/>
    </row>
    <row r="7677">
      <c r="A7677" s="7" t="s">
        <v>9222</v>
      </c>
      <c r="B7677" s="5" t="s">
        <v>17139</v>
      </c>
      <c r="C7677" s="5" t="s">
        <v>24720</v>
      </c>
      <c r="D7677" s="5" t="str">
        <v>482414559744</v>
      </c>
      <c r="E7677" s="0" t="e">
        <f>+7 (474) 2441853
+7 (474) 2444456
+7 (474) 2445909
+7 (474) 2501930</f>
        <v>#NAME?</v>
      </c>
      <c r="F7677" s="5" t="s">
        <v>47563</v>
      </c>
      <c r="G7677" s="5"/>
      <c r="H7677" s="26">
        <v>12</v>
      </c>
      <c r="I7677" s="5" t="s">
        <v>47564</v>
      </c>
      <c r="J7677" s="5" t="s">
        <v>30822</v>
      </c>
      <c r="K7677" s="5" t="s">
        <v>344</v>
      </c>
      <c r="L7677" s="5" t="s">
        <v>47565</v>
      </c>
      <c r="M7677" s="27"/>
      <c r="N7677" s="5" t="s">
        <v>60760</v>
      </c>
      <c r="O7677" s="5" t="str">
        <v>4823040990</v>
      </c>
      <c r="P7677" s="27">
        <v>21000000</v>
      </c>
      <c r="Q7677" s="5" t="s">
        <v>49059</v>
      </c>
      <c r="R7677" s="5"/>
      <c r="S7677" s="5" t="s">
        <v>49110</v>
      </c>
      <c r="T7677" s="28">
        <v>307622000</v>
      </c>
      <c r="U7677" s="28">
        <v>999000</v>
      </c>
      <c r="V7677" s="28">
        <v>126943000</v>
      </c>
      <c r="W7677" s="28"/>
      <c r="X7677" s="28">
        <v>981168000</v>
      </c>
      <c r="Y7677" s="28">
        <v>2919169000</v>
      </c>
      <c r="Z7677" s="28">
        <v>244476000</v>
      </c>
      <c r="AA7677" s="28">
        <v>566849000</v>
      </c>
      <c r="AB7677" s="28">
        <v>216915000</v>
      </c>
      <c r="AC7677" s="28">
        <v>1773791000</v>
      </c>
      <c r="AD7677" s="28">
        <v>317863000</v>
      </c>
      <c r="AE7677" s="28">
        <v>5178251000</v>
      </c>
      <c r="AF7677" s="28">
        <v>36786000</v>
      </c>
      <c r="AG7677" s="11"/>
    </row>
    <row r="7678">
      <c r="A7678" s="7" t="s">
        <v>9223</v>
      </c>
      <c r="B7678" s="5" t="s">
        <v>17140</v>
      </c>
      <c r="C7678" s="5" t="s">
        <v>24721</v>
      </c>
      <c r="D7678" s="5" t="str">
        <v>740415686053</v>
      </c>
      <c r="E7678" s="0" t="e">
        <f>+7 (3512) 338
+7 (3512) 2283
+7 (3512) 2383
+7 (3512) 3334
+7 (3512) 3338
+7 (3512) 3373
+7 (3512) 3380
+7 (3512) 3381
+7 (3512) 3382
+7 (3512) 3386
+7 (3512) 3387
+7 (3512) 3388
+7 (3512) 3883
+7 (3512) 4383
+7 (3512) 4719</f>
        <v>#NAME?</v>
      </c>
      <c r="F7678" s="5" t="s">
        <v>47566</v>
      </c>
      <c r="G7678" s="5"/>
      <c r="H7678" s="26">
        <v>7.5</v>
      </c>
      <c r="I7678" s="5" t="s">
        <v>47567</v>
      </c>
      <c r="J7678" s="5" t="s">
        <v>930</v>
      </c>
      <c r="K7678" s="5" t="s">
        <v>344</v>
      </c>
      <c r="L7678" s="5"/>
      <c r="M7678" s="27">
        <v>48619216</v>
      </c>
      <c r="N7678" s="5" t="s">
        <v>60762</v>
      </c>
      <c r="O7678" s="5" t="str">
        <v>7456027298</v>
      </c>
      <c r="P7678" s="27">
        <v>10000</v>
      </c>
      <c r="Q7678" s="5" t="s">
        <v>60763</v>
      </c>
      <c r="R7678" s="5"/>
      <c r="S7678" s="5" t="s">
        <v>51342</v>
      </c>
      <c r="T7678" s="28">
        <v>136300000</v>
      </c>
      <c r="U7678" s="28">
        <v>9230000</v>
      </c>
      <c r="V7678" s="28">
        <v>1887558000</v>
      </c>
      <c r="W7678" s="28"/>
      <c r="X7678" s="28">
        <v>195079000</v>
      </c>
      <c r="Y7678" s="28">
        <v>2266806000</v>
      </c>
      <c r="Z7678" s="28">
        <v>204286000</v>
      </c>
      <c r="AA7678" s="28"/>
      <c r="AB7678" s="28">
        <v>243759000</v>
      </c>
      <c r="AC7678" s="28">
        <v>1968959000</v>
      </c>
      <c r="AD7678" s="28">
        <v>204296000</v>
      </c>
      <c r="AE7678" s="28">
        <v>4940037000</v>
      </c>
      <c r="AF7678" s="28">
        <v>203461000</v>
      </c>
      <c r="AG7678" s="11"/>
    </row>
    <row r="7679">
      <c r="A7679" s="7" t="s">
        <v>9224</v>
      </c>
      <c r="B7679" s="5" t="s">
        <v>17141</v>
      </c>
      <c r="C7679" s="5" t="s">
        <v>24722</v>
      </c>
      <c r="D7679" s="5" t="str">
        <v>772504640737</v>
      </c>
      <c r="E7679" s="0" t="e">
        <f>+7 (83141) 11362
+7 (495) 3633810
+7 (495) 7376733
+7 (926) 2912396
+7 (926) 2912397</f>
        <v>#NAME?</v>
      </c>
      <c r="F7679" s="5" t="s">
        <v>47568</v>
      </c>
      <c r="G7679" s="5" t="s">
        <v>47569</v>
      </c>
      <c r="H7679" s="26">
        <v>5.5</v>
      </c>
      <c r="I7679" s="5" t="s">
        <v>47570</v>
      </c>
      <c r="J7679" s="5" t="s">
        <v>678</v>
      </c>
      <c r="K7679" s="5" t="s">
        <v>344</v>
      </c>
      <c r="L7679" s="5" t="s">
        <v>47571</v>
      </c>
      <c r="M7679" s="27"/>
      <c r="N7679" s="5" t="s">
        <v>60764</v>
      </c>
      <c r="O7679" s="5" t="str">
        <v>9709007034</v>
      </c>
      <c r="P7679" s="27">
        <v>1000000</v>
      </c>
      <c r="Q7679" s="5" t="s">
        <v>60765</v>
      </c>
      <c r="R7679" s="5"/>
      <c r="S7679" s="5" t="s">
        <v>60766</v>
      </c>
      <c r="T7679" s="28">
        <v>19342000</v>
      </c>
      <c r="U7679" s="28"/>
      <c r="V7679" s="28">
        <v>332203000</v>
      </c>
      <c r="W7679" s="28">
        <v>450000</v>
      </c>
      <c r="X7679" s="28">
        <v>149146000</v>
      </c>
      <c r="Y7679" s="28">
        <v>905821000</v>
      </c>
      <c r="Z7679" s="28">
        <v>569814000</v>
      </c>
      <c r="AA7679" s="28"/>
      <c r="AB7679" s="28"/>
      <c r="AC7679" s="28">
        <v>332454000</v>
      </c>
      <c r="AD7679" s="28">
        <v>570814000</v>
      </c>
      <c r="AE7679" s="28">
        <v>3253942000</v>
      </c>
      <c r="AF7679" s="28">
        <v>310264000</v>
      </c>
      <c r="AG7679" s="11"/>
    </row>
    <row r="7680">
      <c r="A7680" s="7" t="s">
        <v>9225</v>
      </c>
      <c r="B7680" s="5" t="s">
        <v>17142</v>
      </c>
      <c r="C7680" s="5" t="s">
        <v>24723</v>
      </c>
      <c r="D7680" s="5" t="str">
        <v>772773520565</v>
      </c>
      <c r="E7680" s="0" t="e">
        <f>+7 (910) 4596913</f>
        <v>#NAME?</v>
      </c>
      <c r="F7680" s="5" t="s">
        <v>47572</v>
      </c>
      <c r="G7680" s="5"/>
      <c r="H7680" s="26">
        <v>9.5</v>
      </c>
      <c r="I7680" s="5"/>
      <c r="J7680" s="5" t="s">
        <v>25424</v>
      </c>
      <c r="K7680" s="5" t="s">
        <v>344</v>
      </c>
      <c r="L7680" s="5" t="s">
        <v>47573</v>
      </c>
      <c r="M7680" s="27">
        <v>5731712</v>
      </c>
      <c r="N7680" s="5"/>
      <c r="O7680" s="5" t="str">
        <v>7714906202</v>
      </c>
      <c r="P7680" s="27">
        <v>50000</v>
      </c>
      <c r="Q7680" s="5" t="s">
        <v>49579</v>
      </c>
      <c r="R7680" s="5"/>
      <c r="S7680" s="5" t="s">
        <v>49580</v>
      </c>
      <c r="T7680" s="28">
        <v>70835000</v>
      </c>
      <c r="U7680" s="28">
        <v>892000</v>
      </c>
      <c r="V7680" s="28">
        <v>445924000</v>
      </c>
      <c r="W7680" s="28">
        <v>8575000</v>
      </c>
      <c r="X7680" s="28">
        <v>1269000</v>
      </c>
      <c r="Y7680" s="28">
        <v>1165465000</v>
      </c>
      <c r="Z7680" s="28">
        <v>135897000</v>
      </c>
      <c r="AA7680" s="28"/>
      <c r="AB7680" s="28">
        <v>24490000</v>
      </c>
      <c r="AC7680" s="28">
        <v>1029420000</v>
      </c>
      <c r="AD7680" s="28">
        <v>135952000</v>
      </c>
      <c r="AE7680" s="28">
        <v>14632687000</v>
      </c>
      <c r="AF7680" s="28">
        <v>38454000</v>
      </c>
      <c r="AG7680" s="11"/>
    </row>
    <row r="7681">
      <c r="A7681" s="7" t="s">
        <v>9226</v>
      </c>
      <c r="B7681" s="5" t="s">
        <v>17143</v>
      </c>
      <c r="C7681" s="5" t="s">
        <v>24724</v>
      </c>
      <c r="D7681" s="5" t="str">
        <v>201303884821</v>
      </c>
      <c r="E7681" s="0" t="e">
        <f>+7 (812) 3313864
+7 (81371) 72722</f>
        <v>#NAME?</v>
      </c>
      <c r="F7681" s="5" t="s">
        <v>47574</v>
      </c>
      <c r="G7681" s="5"/>
      <c r="H7681" s="26">
        <v>23.5</v>
      </c>
      <c r="I7681" s="5" t="s">
        <v>47575</v>
      </c>
      <c r="J7681" s="5" t="s">
        <v>364</v>
      </c>
      <c r="K7681" s="5" t="s">
        <v>355</v>
      </c>
      <c r="L7681" s="5"/>
      <c r="M7681" s="27"/>
      <c r="N7681" s="5"/>
      <c r="O7681" s="5" t="str">
        <v>7805663388</v>
      </c>
      <c r="P7681" s="27">
        <v>20000</v>
      </c>
      <c r="Q7681" s="5"/>
      <c r="R7681" s="5"/>
      <c r="S7681" s="5" t="s">
        <v>49110</v>
      </c>
      <c r="T7681" s="28">
        <v>5569699000</v>
      </c>
      <c r="U7681" s="28">
        <v>1632706000</v>
      </c>
      <c r="V7681" s="28">
        <v>260519000</v>
      </c>
      <c r="W7681" s="28"/>
      <c r="X7681" s="28">
        <v>59000</v>
      </c>
      <c r="Y7681" s="28">
        <v>13009854000</v>
      </c>
      <c r="Z7681" s="28">
        <v>8661886000</v>
      </c>
      <c r="AA7681" s="28">
        <v>1026177000</v>
      </c>
      <c r="AB7681" s="28">
        <v>77481000</v>
      </c>
      <c r="AC7681" s="28">
        <v>3319448000</v>
      </c>
      <c r="AD7681" s="28">
        <v>8661886000</v>
      </c>
      <c r="AE7681" s="28">
        <v>15106503000</v>
      </c>
      <c r="AF7681" s="28">
        <v>5094546000</v>
      </c>
      <c r="AG7681" s="11"/>
    </row>
    <row r="7682">
      <c r="A7682" s="7" t="s">
        <v>9226</v>
      </c>
      <c r="B7682" s="5" t="s">
        <v>17144</v>
      </c>
      <c r="C7682" s="5" t="s">
        <v>24725</v>
      </c>
      <c r="D7682" s="5" t="str">
        <v>365203007871</v>
      </c>
      <c r="E7682" s="0" t="e">
        <f>+7 (473) 2602216
+7 (47350) 40084</f>
        <v>#NAME?</v>
      </c>
      <c r="F7682" s="5"/>
      <c r="G7682" s="5"/>
      <c r="H7682" s="26">
        <v>7.5</v>
      </c>
      <c r="I7682" s="5" t="s">
        <v>47576</v>
      </c>
      <c r="J7682" s="5" t="s">
        <v>25869</v>
      </c>
      <c r="K7682" s="5" t="s">
        <v>344</v>
      </c>
      <c r="L7682" s="5" t="s">
        <v>47577</v>
      </c>
      <c r="M7682" s="27"/>
      <c r="N7682" s="5"/>
      <c r="O7682" s="5" t="str">
        <v>3652011392</v>
      </c>
      <c r="P7682" s="27">
        <v>15000</v>
      </c>
      <c r="Q7682" s="5" t="s">
        <v>49009</v>
      </c>
      <c r="R7682" s="5"/>
      <c r="S7682" s="5" t="s">
        <v>51818</v>
      </c>
      <c r="T7682" s="28">
        <v>9411000</v>
      </c>
      <c r="U7682" s="28">
        <v>30449000</v>
      </c>
      <c r="V7682" s="28">
        <v>60312000</v>
      </c>
      <c r="W7682" s="28">
        <v>86935000</v>
      </c>
      <c r="X7682" s="28">
        <v>15084000</v>
      </c>
      <c r="Y7682" s="28">
        <v>397705000</v>
      </c>
      <c r="Z7682" s="28">
        <v>257255000</v>
      </c>
      <c r="AA7682" s="28"/>
      <c r="AB7682" s="28">
        <v>56233000</v>
      </c>
      <c r="AC7682" s="28">
        <v>140435000</v>
      </c>
      <c r="AD7682" s="28">
        <v>257270000</v>
      </c>
      <c r="AE7682" s="28">
        <v>3308312000</v>
      </c>
      <c r="AF7682" s="28">
        <v>95395000</v>
      </c>
      <c r="AG7682" s="11"/>
    </row>
    <row r="7683">
      <c r="A7683" s="7" t="s">
        <v>9227</v>
      </c>
      <c r="B7683" s="5" t="s">
        <v>17145</v>
      </c>
      <c r="C7683" s="5" t="s">
        <v>24726</v>
      </c>
      <c r="D7683" s="5" t="str">
        <v>771003528394</v>
      </c>
      <c r="E7683" s="0" t="e">
        <f>+7 (495) 2535777
+7 (495) 2581000
+7 (495) 2581043
+7 (495) 2581170
+7 (495) 2581171
+7 (495) 2531041
+7 (495) 2581001
+7 (495) 2581083
+7 (495) 2581212
+7 (495) 2581276
+7 (495) 2581449
+7 (495) 2581500
+7 (495) 2581700
+7 (495) 2581799
+7 (495) 2582222</f>
        <v>#NAME?</v>
      </c>
      <c r="F7683" s="5" t="s">
        <v>47578</v>
      </c>
      <c r="G7683" s="5" t="s">
        <v>47579</v>
      </c>
      <c r="H7683" s="26">
        <v>30.5</v>
      </c>
      <c r="I7683" s="5" t="s">
        <v>47580</v>
      </c>
      <c r="J7683" s="5" t="s">
        <v>25484</v>
      </c>
      <c r="K7683" s="5" t="s">
        <v>344</v>
      </c>
      <c r="L7683" s="5"/>
      <c r="M7683" s="27"/>
      <c r="N7683" s="5" t="s">
        <v>60767</v>
      </c>
      <c r="O7683" s="5" t="str">
        <v>7703034574</v>
      </c>
      <c r="P7683" s="27">
        <v>1245000000</v>
      </c>
      <c r="Q7683" s="5" t="s">
        <v>60768</v>
      </c>
      <c r="R7683" s="5"/>
      <c r="S7683" s="5" t="s">
        <v>53958</v>
      </c>
      <c r="T7683" s="28">
        <v>8344581000</v>
      </c>
      <c r="U7683" s="28">
        <v>1788127000</v>
      </c>
      <c r="V7683" s="28">
        <v>358109000</v>
      </c>
      <c r="W7683" s="28">
        <v>6106252000</v>
      </c>
      <c r="X7683" s="28">
        <v>3381075000</v>
      </c>
      <c r="Y7683" s="28">
        <v>20871750000</v>
      </c>
      <c r="Z7683" s="28">
        <v>15775368000</v>
      </c>
      <c r="AA7683" s="28"/>
      <c r="AB7683" s="28"/>
      <c r="AC7683" s="28">
        <v>1393124000</v>
      </c>
      <c r="AD7683" s="28">
        <v>19478626000</v>
      </c>
      <c r="AE7683" s="28">
        <v>6633199000</v>
      </c>
      <c r="AF7683" s="28">
        <v>1386162000</v>
      </c>
      <c r="AG7683" s="11"/>
    </row>
    <row r="7684">
      <c r="A7684" s="7" t="s">
        <v>9228</v>
      </c>
      <c r="B7684" s="5" t="s">
        <v>17146</v>
      </c>
      <c r="C7684" s="5" t="s">
        <v>24727</v>
      </c>
      <c r="D7684" s="5" t="str">
        <v>245301005228</v>
      </c>
      <c r="E7684" s="0" t="e">
        <f>+7 (34370) 59914
+7 (34370) 52660
+7 (3955) 592814
+7 (913) 394207</f>
        <v>#NAME?</v>
      </c>
      <c r="F7684" s="5" t="s">
        <v>47581</v>
      </c>
      <c r="G7684" s="5" t="s">
        <v>47582</v>
      </c>
      <c r="H7684" s="26">
        <v>16.5</v>
      </c>
      <c r="I7684" s="5"/>
      <c r="J7684" s="5" t="s">
        <v>27575</v>
      </c>
      <c r="K7684" s="5" t="s">
        <v>344</v>
      </c>
      <c r="L7684" s="5" t="s">
        <v>47583</v>
      </c>
      <c r="M7684" s="27"/>
      <c r="N7684" s="5"/>
      <c r="O7684" s="5" t="str">
        <v>3801085668</v>
      </c>
      <c r="P7684" s="27">
        <v>5573476000</v>
      </c>
      <c r="Q7684" s="5" t="s">
        <v>49009</v>
      </c>
      <c r="R7684" s="5"/>
      <c r="S7684" s="5" t="s">
        <v>49010</v>
      </c>
      <c r="T7684" s="28">
        <v>522000</v>
      </c>
      <c r="U7684" s="28"/>
      <c r="V7684" s="28">
        <v>191885000</v>
      </c>
      <c r="W7684" s="28">
        <v>6430000000</v>
      </c>
      <c r="X7684" s="28">
        <v>23142000</v>
      </c>
      <c r="Y7684" s="28">
        <v>9725966000</v>
      </c>
      <c r="Z7684" s="28">
        <v>1298356000</v>
      </c>
      <c r="AA7684" s="28"/>
      <c r="AB7684" s="28"/>
      <c r="AC7684" s="28">
        <v>2714469000</v>
      </c>
      <c r="AD7684" s="28">
        <v>7011497000</v>
      </c>
      <c r="AE7684" s="28">
        <v>14526462000</v>
      </c>
      <c r="AF7684" s="28">
        <v>2916886000</v>
      </c>
      <c r="AG7684" s="11"/>
    </row>
    <row r="7685">
      <c r="A7685" s="7" t="s">
        <v>9229</v>
      </c>
      <c r="B7685" s="5" t="s">
        <v>17147</v>
      </c>
      <c r="C7685" s="5" t="s">
        <v>24728</v>
      </c>
      <c r="D7685" s="5" t="str">
        <v>745311042328</v>
      </c>
      <c r="E7685" s="0" t="e">
        <f>+7 (351) 2988101
+7 (351) 2988108
+7 (3512) 674510
+7 (3517) 988101
+7 (3517) 988102
+7 (3517) 988112
+7 (86148) 32183</f>
        <v>#NAME?</v>
      </c>
      <c r="F7685" s="5" t="s">
        <v>47584</v>
      </c>
      <c r="G7685" s="5" t="s">
        <v>47585</v>
      </c>
      <c r="H7685" s="26">
        <v>25</v>
      </c>
      <c r="I7685" s="5" t="s">
        <v>47586</v>
      </c>
      <c r="J7685" s="5" t="s">
        <v>25316</v>
      </c>
      <c r="K7685" s="5" t="s">
        <v>344</v>
      </c>
      <c r="L7685" s="5"/>
      <c r="M7685" s="27"/>
      <c r="N7685" s="5" t="s">
        <v>60769</v>
      </c>
      <c r="O7685" s="5" t="str">
        <v>7423012592</v>
      </c>
      <c r="P7685" s="27">
        <v>80500000</v>
      </c>
      <c r="Q7685" s="5"/>
      <c r="R7685" s="5" t="s">
        <v>60770</v>
      </c>
      <c r="S7685" s="5" t="s">
        <v>49029</v>
      </c>
      <c r="T7685" s="28">
        <v>1057869000</v>
      </c>
      <c r="U7685" s="28"/>
      <c r="V7685" s="28">
        <v>1750864000</v>
      </c>
      <c r="W7685" s="28">
        <v>31810000</v>
      </c>
      <c r="X7685" s="28">
        <v>631154000</v>
      </c>
      <c r="Y7685" s="28">
        <v>4845756000</v>
      </c>
      <c r="Z7685" s="28">
        <v>771276000</v>
      </c>
      <c r="AA7685" s="28">
        <v>873000000</v>
      </c>
      <c r="AB7685" s="28">
        <v>1837954000</v>
      </c>
      <c r="AC7685" s="28">
        <v>3057900000</v>
      </c>
      <c r="AD7685" s="28">
        <v>851776000</v>
      </c>
      <c r="AE7685" s="28">
        <v>3135037000</v>
      </c>
      <c r="AF7685" s="28">
        <v>222364000</v>
      </c>
      <c r="AG7685" s="11"/>
    </row>
    <row r="7686">
      <c r="A7686" s="7" t="s">
        <v>9230</v>
      </c>
      <c r="B7686" s="5" t="s">
        <v>17148</v>
      </c>
      <c r="C7686" s="5" t="s">
        <v>24729</v>
      </c>
      <c r="D7686" s="5" t="str">
        <v>523602575047</v>
      </c>
      <c r="E7686" s="0" t="e">
        <f>+7 (495) 1095106
+7 (495) 4146066
+7 (495) 6355106
+7 (495) 6385406
+7 (495) 6385706
+7 (495) 4891244
+7 (985) 7623565</f>
        <v>#NAME?</v>
      </c>
      <c r="F7686" s="5" t="s">
        <v>47587</v>
      </c>
      <c r="G7686" s="5" t="s">
        <v>47588</v>
      </c>
      <c r="H7686" s="26">
        <v>30</v>
      </c>
      <c r="I7686" s="5" t="s">
        <v>47589</v>
      </c>
      <c r="J7686" s="5" t="s">
        <v>30822</v>
      </c>
      <c r="K7686" s="5" t="s">
        <v>344</v>
      </c>
      <c r="L7686" s="5"/>
      <c r="M7686" s="27">
        <v>6688</v>
      </c>
      <c r="N7686" s="5" t="s">
        <v>60771</v>
      </c>
      <c r="O7686" s="5" t="str">
        <v>7743085399</v>
      </c>
      <c r="P7686" s="27">
        <v>2695000</v>
      </c>
      <c r="Q7686" s="5" t="s">
        <v>60772</v>
      </c>
      <c r="R7686" s="5"/>
      <c r="S7686" s="5" t="s">
        <v>60773</v>
      </c>
      <c r="T7686" s="28"/>
      <c r="U7686" s="28"/>
      <c r="V7686" s="28">
        <v>441040000</v>
      </c>
      <c r="W7686" s="28">
        <v>10182000</v>
      </c>
      <c r="X7686" s="28">
        <v>1859000</v>
      </c>
      <c r="Y7686" s="28">
        <v>464100000</v>
      </c>
      <c r="Z7686" s="28">
        <v>6525000</v>
      </c>
      <c r="AA7686" s="28"/>
      <c r="AB7686" s="28">
        <v>237678000</v>
      </c>
      <c r="AC7686" s="28">
        <v>457084000</v>
      </c>
      <c r="AD7686" s="28">
        <v>7015000</v>
      </c>
      <c r="AE7686" s="28">
        <v>3644446000</v>
      </c>
      <c r="AF7686" s="28">
        <v>1000</v>
      </c>
      <c r="AG7686" s="11"/>
    </row>
    <row r="7687">
      <c r="A7687" s="7" t="s">
        <v>9231</v>
      </c>
      <c r="B7687" s="5" t="s">
        <v>17149</v>
      </c>
      <c r="C7687" s="5" t="s">
        <v>24730</v>
      </c>
      <c r="D7687" s="5" t="str">
        <v>782615925903</v>
      </c>
      <c r="E7687" s="0" t="e">
        <f>+7 (495) 7473624
+7 (906) 9180710
+7 (926) 4000910
+7 (495) 9569007
+7 (495) 9575168</f>
        <v>#NAME?</v>
      </c>
      <c r="F7687" s="5" t="s">
        <v>47590</v>
      </c>
      <c r="G7687" s="5"/>
      <c r="H7687" s="26">
        <v>11.5</v>
      </c>
      <c r="I7687" s="5"/>
      <c r="J7687" s="5" t="s">
        <v>25199</v>
      </c>
      <c r="K7687" s="5" t="s">
        <v>344</v>
      </c>
      <c r="L7687" s="5" t="s">
        <v>47591</v>
      </c>
      <c r="M7687" s="27"/>
      <c r="N7687" s="5" t="s">
        <v>54733</v>
      </c>
      <c r="O7687" s="5" t="str">
        <v>7702770003</v>
      </c>
      <c r="P7687" s="27">
        <v>300000000</v>
      </c>
      <c r="Q7687" s="5" t="s">
        <v>60774</v>
      </c>
      <c r="R7687" s="5"/>
      <c r="S7687" s="5" t="s">
        <v>50191</v>
      </c>
      <c r="T7687" s="28">
        <v>484664000</v>
      </c>
      <c r="U7687" s="28"/>
      <c r="V7687" s="28">
        <v>3919573000</v>
      </c>
      <c r="W7687" s="28"/>
      <c r="X7687" s="28">
        <v>5550499000</v>
      </c>
      <c r="Y7687" s="28">
        <v>13868215000</v>
      </c>
      <c r="Z7687" s="28">
        <v>3209476000</v>
      </c>
      <c r="AA7687" s="28"/>
      <c r="AB7687" s="28"/>
      <c r="AC7687" s="28">
        <v>10135871000</v>
      </c>
      <c r="AD7687" s="28">
        <v>6277089000</v>
      </c>
      <c r="AE7687" s="28">
        <v>55945586000</v>
      </c>
      <c r="AF7687" s="28">
        <v>2963621000</v>
      </c>
      <c r="AG7687" s="11"/>
    </row>
    <row r="7688">
      <c r="A7688" s="7" t="s">
        <v>9232</v>
      </c>
      <c r="B7688" s="5" t="s">
        <v>17150</v>
      </c>
      <c r="C7688" s="5" t="s">
        <v>24731</v>
      </c>
      <c r="D7688" s="5" t="str">
        <v>773202967248</v>
      </c>
      <c r="E7688" s="0" t="e">
        <f>+7 (495) 6516735
+7 (495) 9401277
+7 (495) 9401280
+7 (495) 9702985
+7 (499) 2511674
+7 (499) 2511723</f>
        <v>#NAME?</v>
      </c>
      <c r="F7688" s="5"/>
      <c r="G7688" s="5"/>
      <c r="H7688" s="26">
        <v>15</v>
      </c>
      <c r="I7688" s="5" t="s">
        <v>47592</v>
      </c>
      <c r="J7688" s="5" t="s">
        <v>25612</v>
      </c>
      <c r="K7688" s="5" t="s">
        <v>344</v>
      </c>
      <c r="L7688" s="5" t="s">
        <v>47593</v>
      </c>
      <c r="M7688" s="27">
        <v>131940720</v>
      </c>
      <c r="N7688" s="5"/>
      <c r="O7688" s="5" t="str">
        <v>7714730848</v>
      </c>
      <c r="P7688" s="27">
        <v>4335000</v>
      </c>
      <c r="Q7688" s="5" t="s">
        <v>60775</v>
      </c>
      <c r="R7688" s="5"/>
      <c r="S7688" s="5" t="s">
        <v>49160</v>
      </c>
      <c r="T7688" s="28">
        <v>362000</v>
      </c>
      <c r="U7688" s="28">
        <v>34799000</v>
      </c>
      <c r="V7688" s="28">
        <v>2526024000</v>
      </c>
      <c r="W7688" s="28"/>
      <c r="X7688" s="28">
        <v>359904000</v>
      </c>
      <c r="Y7688" s="28">
        <v>3011465000</v>
      </c>
      <c r="Z7688" s="28">
        <v>24786000</v>
      </c>
      <c r="AA7688" s="28"/>
      <c r="AB7688" s="28"/>
      <c r="AC7688" s="28">
        <v>2981725000</v>
      </c>
      <c r="AD7688" s="28">
        <v>29121000</v>
      </c>
      <c r="AE7688" s="28">
        <v>7945658000</v>
      </c>
      <c r="AF7688" s="28">
        <v>140551000</v>
      </c>
      <c r="AG7688" s="11"/>
    </row>
    <row r="7689">
      <c r="A7689" s="7" t="s">
        <v>9233</v>
      </c>
      <c r="B7689" s="5" t="s">
        <v>17151</v>
      </c>
      <c r="C7689" s="5" t="s">
        <v>24732</v>
      </c>
      <c r="D7689" s="5" t="str">
        <v>471400004575</v>
      </c>
      <c r="E7689" s="0" t="e">
        <f>+7 (800) 3330355
+7 (800) 1003994
+7 (812) 3279262
+7 (812) 3355136
+7 (911) 9197750</f>
        <v>#NAME?</v>
      </c>
      <c r="F7689" s="5" t="s">
        <v>47594</v>
      </c>
      <c r="G7689" s="5" t="s">
        <v>47595</v>
      </c>
      <c r="H7689" s="26">
        <v>28</v>
      </c>
      <c r="I7689" s="5" t="s">
        <v>47596</v>
      </c>
      <c r="J7689" s="5" t="s">
        <v>792</v>
      </c>
      <c r="K7689" s="5" t="s">
        <v>344</v>
      </c>
      <c r="L7689" s="5" t="s">
        <v>47597</v>
      </c>
      <c r="M7689" s="27"/>
      <c r="N7689" s="5"/>
      <c r="O7689" s="5" t="str">
        <v>7816094750</v>
      </c>
      <c r="P7689" s="27">
        <v>2500</v>
      </c>
      <c r="Q7689" s="5"/>
      <c r="R7689" s="5"/>
      <c r="S7689" s="5" t="s">
        <v>49121</v>
      </c>
      <c r="T7689" s="28">
        <v>137217000</v>
      </c>
      <c r="U7689" s="28"/>
      <c r="V7689" s="28">
        <v>2016703000</v>
      </c>
      <c r="W7689" s="28"/>
      <c r="X7689" s="28">
        <v>1830435000</v>
      </c>
      <c r="Y7689" s="28">
        <v>4069743000</v>
      </c>
      <c r="Z7689" s="28">
        <v>532766000</v>
      </c>
      <c r="AA7689" s="28"/>
      <c r="AB7689" s="28"/>
      <c r="AC7689" s="28">
        <v>3391331000</v>
      </c>
      <c r="AD7689" s="28">
        <v>532769000</v>
      </c>
      <c r="AE7689" s="28">
        <v>6648549000</v>
      </c>
      <c r="AF7689" s="28">
        <v>1865603000</v>
      </c>
      <c r="AG7689" s="11"/>
    </row>
    <row r="7690">
      <c r="A7690" s="7" t="s">
        <v>9234</v>
      </c>
      <c r="B7690" s="5" t="s">
        <v>17152</v>
      </c>
      <c r="C7690" s="5" t="s">
        <v>24733</v>
      </c>
      <c r="D7690" s="5" t="str">
        <v>502770479630</v>
      </c>
      <c r="E7690" s="0" t="e">
        <f>+7 (495) 5327749</f>
        <v>#NAME?</v>
      </c>
      <c r="F7690" s="5" t="s">
        <v>47598</v>
      </c>
      <c r="G7690" s="5"/>
      <c r="H7690" s="26">
        <v>4.5</v>
      </c>
      <c r="I7690" s="5"/>
      <c r="J7690" s="5" t="s">
        <v>599</v>
      </c>
      <c r="K7690" s="5" t="s">
        <v>380</v>
      </c>
      <c r="L7690" s="5" t="s">
        <v>47599</v>
      </c>
      <c r="M7690" s="27"/>
      <c r="N7690" s="5" t="s">
        <v>51815</v>
      </c>
      <c r="O7690" s="5" t="str">
        <v>7728446629</v>
      </c>
      <c r="P7690" s="27">
        <v>10000</v>
      </c>
      <c r="Q7690" s="5"/>
      <c r="R7690" s="5"/>
      <c r="S7690" s="5" t="s">
        <v>49195</v>
      </c>
      <c r="T7690" s="28">
        <v>287571000</v>
      </c>
      <c r="U7690" s="28">
        <v>2933599000</v>
      </c>
      <c r="V7690" s="28">
        <v>1768320000</v>
      </c>
      <c r="W7690" s="28">
        <v>160235000</v>
      </c>
      <c r="X7690" s="28">
        <v>578000</v>
      </c>
      <c r="Y7690" s="28">
        <v>5245353000</v>
      </c>
      <c r="Z7690" s="28">
        <v>1238597000</v>
      </c>
      <c r="AA7690" s="28"/>
      <c r="AB7690" s="28">
        <v>2285973000</v>
      </c>
      <c r="AC7690" s="28">
        <v>3665179000</v>
      </c>
      <c r="AD7690" s="28">
        <v>1238647000</v>
      </c>
      <c r="AE7690" s="28">
        <v>4702783000</v>
      </c>
      <c r="AF7690" s="28">
        <v>297589000</v>
      </c>
      <c r="AG7690" s="11"/>
    </row>
    <row r="7691">
      <c r="A7691" s="7" t="s">
        <v>9235</v>
      </c>
      <c r="B7691" s="5" t="s">
        <v>17153</v>
      </c>
      <c r="C7691" s="5" t="s">
        <v>24734</v>
      </c>
      <c r="D7691" s="5" t="str">
        <v>772988488960</v>
      </c>
      <c r="E7691" s="0" t="e">
        <f>+7 (499) 6776851
+7 (918) 3922410
+7 (958) 7568068
+7 (977) 3372245
+7 (495) 1327400
+7 (499) 6771918
+7 (800) 5552597
+7 (925) 8509700
+7 (985) 1485959</f>
        <v>#NAME?</v>
      </c>
      <c r="F7691" s="5" t="s">
        <v>47600</v>
      </c>
      <c r="G7691" s="5" t="s">
        <v>47601</v>
      </c>
      <c r="H7691" s="26">
        <v>7</v>
      </c>
      <c r="I7691" s="5" t="s">
        <v>47602</v>
      </c>
      <c r="J7691" s="5" t="s">
        <v>25190</v>
      </c>
      <c r="K7691" s="5" t="s">
        <v>344</v>
      </c>
      <c r="L7691" s="5" t="s">
        <v>47603</v>
      </c>
      <c r="M7691" s="27"/>
      <c r="N7691" s="5" t="s">
        <v>60776</v>
      </c>
      <c r="O7691" s="5" t="str">
        <v>5047184546</v>
      </c>
      <c r="P7691" s="27">
        <v>1000000</v>
      </c>
      <c r="Q7691" s="5" t="s">
        <v>60777</v>
      </c>
      <c r="R7691" s="5"/>
      <c r="S7691" s="5" t="s">
        <v>60778</v>
      </c>
      <c r="T7691" s="28">
        <v>480795000</v>
      </c>
      <c r="U7691" s="28"/>
      <c r="V7691" s="28">
        <v>771565000</v>
      </c>
      <c r="W7691" s="28"/>
      <c r="X7691" s="28">
        <v>85251000</v>
      </c>
      <c r="Y7691" s="28">
        <v>3210163000</v>
      </c>
      <c r="Z7691" s="28">
        <v>515223000</v>
      </c>
      <c r="AA7691" s="28">
        <v>199543000</v>
      </c>
      <c r="AB7691" s="28">
        <v>1189110000</v>
      </c>
      <c r="AC7691" s="28">
        <v>2025632000</v>
      </c>
      <c r="AD7691" s="28">
        <v>984698000</v>
      </c>
      <c r="AE7691" s="28">
        <v>7459292000</v>
      </c>
      <c r="AF7691" s="28">
        <v>135570000</v>
      </c>
      <c r="AG7691" s="11"/>
    </row>
    <row r="7692">
      <c r="A7692" s="7" t="s">
        <v>9236</v>
      </c>
      <c r="B7692" s="5" t="s">
        <v>17154</v>
      </c>
      <c r="C7692" s="5" t="s">
        <v>24735</v>
      </c>
      <c r="D7692" s="5" t="str">
        <v>772872310047</v>
      </c>
      <c r="E7692" s="0" t="e">
        <f>+7 (495) 3501080
+7 (495) 7807674
+7 (495) 9887383
+7 (499) 3501080</f>
        <v>#NAME?</v>
      </c>
      <c r="F7692" s="5" t="s">
        <v>47604</v>
      </c>
      <c r="G7692" s="5" t="s">
        <v>47605</v>
      </c>
      <c r="H7692" s="26">
        <v>10</v>
      </c>
      <c r="I7692" s="5"/>
      <c r="J7692" s="5" t="s">
        <v>34280</v>
      </c>
      <c r="K7692" s="5" t="s">
        <v>344</v>
      </c>
      <c r="L7692" s="5" t="s">
        <v>47606</v>
      </c>
      <c r="M7692" s="27"/>
      <c r="N7692" s="5"/>
      <c r="O7692" s="5" t="str">
        <v>7714903667</v>
      </c>
      <c r="P7692" s="27">
        <v>1849491000</v>
      </c>
      <c r="Q7692" s="5" t="s">
        <v>60779</v>
      </c>
      <c r="R7692" s="5" t="s">
        <v>60780</v>
      </c>
      <c r="S7692" s="5" t="s">
        <v>52597</v>
      </c>
      <c r="T7692" s="28">
        <v>371810000</v>
      </c>
      <c r="U7692" s="28">
        <v>1190592000</v>
      </c>
      <c r="V7692" s="28">
        <v>1128791000</v>
      </c>
      <c r="W7692" s="28"/>
      <c r="X7692" s="28">
        <v>2813169000</v>
      </c>
      <c r="Y7692" s="28">
        <v>7653528000</v>
      </c>
      <c r="Z7692" s="28">
        <v>1784595000</v>
      </c>
      <c r="AA7692" s="28"/>
      <c r="AB7692" s="28"/>
      <c r="AC7692" s="28">
        <v>897097000</v>
      </c>
      <c r="AD7692" s="28">
        <v>6364513000</v>
      </c>
      <c r="AE7692" s="28">
        <v>4658887000</v>
      </c>
      <c r="AF7692" s="28">
        <v>918202000</v>
      </c>
      <c r="AG7692" s="11"/>
    </row>
    <row r="7693">
      <c r="A7693" s="7" t="s">
        <v>9237</v>
      </c>
      <c r="B7693" s="5" t="s">
        <v>17155</v>
      </c>
      <c r="C7693" s="5" t="s">
        <v>24736</v>
      </c>
      <c r="D7693" s="5" t="str">
        <v>323400484680</v>
      </c>
      <c r="E7693" s="0" t="e">
        <f>+7 (483) 2400113
+7 (483) 2400114
+7 (483) 2599437
+7 (483) 2728561
+7 (483) 2728598
+7 (483) 2758565
+7 (48333) 30606
+7 (48333) 48333
+7 (499) 3462198
+7 (903) 6441553
+7 (910) 3301492
+7 (910) 3330615
+7 (910) 3365016
+7 (910) 7430263
+7 (910) 7432629</f>
        <v>#NAME?</v>
      </c>
      <c r="F7693" s="5" t="s">
        <v>47607</v>
      </c>
      <c r="G7693" s="5" t="s">
        <v>47608</v>
      </c>
      <c r="H7693" s="26">
        <v>12.5</v>
      </c>
      <c r="I7693" s="5" t="s">
        <v>47609</v>
      </c>
      <c r="J7693" s="5" t="s">
        <v>25275</v>
      </c>
      <c r="K7693" s="5" t="s">
        <v>344</v>
      </c>
      <c r="L7693" s="5" t="s">
        <v>47610</v>
      </c>
      <c r="M7693" s="27"/>
      <c r="N7693" s="5" t="s">
        <v>60781</v>
      </c>
      <c r="O7693" s="5" t="str">
        <v>3254508604</v>
      </c>
      <c r="P7693" s="27">
        <v>5000000</v>
      </c>
      <c r="Q7693" s="5" t="s">
        <v>49009</v>
      </c>
      <c r="R7693" s="5"/>
      <c r="S7693" s="5" t="s">
        <v>51780</v>
      </c>
      <c r="T7693" s="28">
        <v>222935000</v>
      </c>
      <c r="U7693" s="28">
        <v>39311000</v>
      </c>
      <c r="V7693" s="28">
        <v>388441000</v>
      </c>
      <c r="W7693" s="28">
        <v>9080000</v>
      </c>
      <c r="X7693" s="28">
        <v>29322000</v>
      </c>
      <c r="Y7693" s="28">
        <v>1513480000</v>
      </c>
      <c r="Z7693" s="28">
        <v>301337000</v>
      </c>
      <c r="AA7693" s="28">
        <v>350149000</v>
      </c>
      <c r="AB7693" s="28">
        <v>576000</v>
      </c>
      <c r="AC7693" s="28">
        <v>839798000</v>
      </c>
      <c r="AD7693" s="28">
        <v>306337000</v>
      </c>
      <c r="AE7693" s="28">
        <v>3774007000</v>
      </c>
      <c r="AF7693" s="28">
        <v>67791000</v>
      </c>
      <c r="AG7693" s="11"/>
    </row>
    <row r="7694">
      <c r="A7694" s="7" t="s">
        <v>9238</v>
      </c>
      <c r="B7694" s="5" t="s">
        <v>17156</v>
      </c>
      <c r="C7694" s="5" t="s">
        <v>24737</v>
      </c>
      <c r="D7694" s="5" t="str">
        <v>771709196172</v>
      </c>
      <c r="E7694" s="0" t="e">
        <f>+7 (495) 7853652
+7 (495) 6731508
+7 (495) 7558114</f>
        <v>#NAME?</v>
      </c>
      <c r="F7694" s="5" t="s">
        <v>47611</v>
      </c>
      <c r="G7694" s="5" t="s">
        <v>47612</v>
      </c>
      <c r="H7694" s="26">
        <v>46</v>
      </c>
      <c r="I7694" s="5" t="s">
        <v>47613</v>
      </c>
      <c r="J7694" s="5" t="s">
        <v>354</v>
      </c>
      <c r="K7694" s="5" t="s">
        <v>344</v>
      </c>
      <c r="L7694" s="5"/>
      <c r="M7694" s="27">
        <v>11877741</v>
      </c>
      <c r="N7694" s="5" t="s">
        <v>60782</v>
      </c>
      <c r="O7694" s="5" t="str">
        <v>7705059380</v>
      </c>
      <c r="P7694" s="27">
        <v>4268850530</v>
      </c>
      <c r="Q7694" s="5" t="s">
        <v>60783</v>
      </c>
      <c r="R7694" s="5" t="s">
        <v>60784</v>
      </c>
      <c r="S7694" s="5" t="s">
        <v>60785</v>
      </c>
      <c r="T7694" s="28">
        <v>13418290000</v>
      </c>
      <c r="U7694" s="28">
        <v>30349781000</v>
      </c>
      <c r="V7694" s="28">
        <v>4684191000</v>
      </c>
      <c r="W7694" s="28">
        <v>3000000000</v>
      </c>
      <c r="X7694" s="28">
        <v>6945206000</v>
      </c>
      <c r="Y7694" s="28">
        <v>67024272000</v>
      </c>
      <c r="Z7694" s="28">
        <v>36212321000</v>
      </c>
      <c r="AA7694" s="28"/>
      <c r="AB7694" s="28"/>
      <c r="AC7694" s="28">
        <v>2442408000</v>
      </c>
      <c r="AD7694" s="28">
        <v>63371984000</v>
      </c>
      <c r="AE7694" s="28">
        <v>11084891000</v>
      </c>
      <c r="AF7694" s="28">
        <v>5521440000</v>
      </c>
      <c r="AG7694" s="11"/>
    </row>
    <row r="7695">
      <c r="A7695" s="7" t="s">
        <v>9239</v>
      </c>
      <c r="B7695" s="5" t="s">
        <v>17157</v>
      </c>
      <c r="C7695" s="5" t="s">
        <v>24738</v>
      </c>
      <c r="D7695" s="5" t="str">
        <v>770902646205</v>
      </c>
      <c r="E7695" s="0" t="e">
        <f>+7 (495) 6603200
+7 (495) 9953200
+7 (495) 6603100
+7 (903) 6116154</f>
        <v>#NAME?</v>
      </c>
      <c r="F7695" s="5" t="s">
        <v>47614</v>
      </c>
      <c r="G7695" s="5" t="s">
        <v>47615</v>
      </c>
      <c r="H7695" s="26">
        <v>19.5</v>
      </c>
      <c r="I7695" s="5" t="s">
        <v>47616</v>
      </c>
      <c r="J7695" s="5" t="s">
        <v>678</v>
      </c>
      <c r="K7695" s="5" t="s">
        <v>355</v>
      </c>
      <c r="L7695" s="5" t="s">
        <v>37688</v>
      </c>
      <c r="M7695" s="27">
        <v>5883444</v>
      </c>
      <c r="N7695" s="5" t="s">
        <v>60786</v>
      </c>
      <c r="O7695" s="5" t="str">
        <v>7709434882</v>
      </c>
      <c r="P7695" s="27">
        <v>8000000</v>
      </c>
      <c r="Q7695" s="5" t="s">
        <v>60787</v>
      </c>
      <c r="R7695" s="5"/>
      <c r="S7695" s="5" t="s">
        <v>60788</v>
      </c>
      <c r="T7695" s="28">
        <v>12377000</v>
      </c>
      <c r="U7695" s="28">
        <v>3161000</v>
      </c>
      <c r="V7695" s="28">
        <v>1356665000</v>
      </c>
      <c r="W7695" s="28">
        <v>131400000</v>
      </c>
      <c r="X7695" s="28">
        <v>195845000</v>
      </c>
      <c r="Y7695" s="28">
        <v>2621884000</v>
      </c>
      <c r="Z7695" s="28">
        <v>651944000</v>
      </c>
      <c r="AA7695" s="28">
        <v>146951000</v>
      </c>
      <c r="AB7695" s="28">
        <v>408956000</v>
      </c>
      <c r="AC7695" s="28">
        <v>1780773000</v>
      </c>
      <c r="AD7695" s="28">
        <v>809944000</v>
      </c>
      <c r="AE7695" s="28">
        <v>4390665000</v>
      </c>
      <c r="AF7695" s="28">
        <v>162582000</v>
      </c>
      <c r="AG7695" s="11"/>
    </row>
    <row r="7696">
      <c r="A7696" s="7" t="s">
        <v>9240</v>
      </c>
      <c r="B7696" s="5" t="s">
        <v>17158</v>
      </c>
      <c r="C7696" s="5" t="s">
        <v>24739</v>
      </c>
      <c r="D7696" s="5" t="str">
        <v>540411434162</v>
      </c>
      <c r="E7696" s="0" t="e">
        <f>+7 (800) 2001224
+7 (3432) 873392
+7 (383) 3399230
+7 (495) 6041220
+7 (495) 7805012
+7 (812) 6124742
+7 (919) 3739112</f>
        <v>#NAME?</v>
      </c>
      <c r="F7696" s="5" t="s">
        <v>47617</v>
      </c>
      <c r="G7696" s="5" t="s">
        <v>47618</v>
      </c>
      <c r="H7696" s="26">
        <v>30</v>
      </c>
      <c r="I7696" s="5"/>
      <c r="J7696" s="5" t="s">
        <v>881</v>
      </c>
      <c r="K7696" s="5" t="s">
        <v>344</v>
      </c>
      <c r="L7696" s="5" t="s">
        <v>47619</v>
      </c>
      <c r="M7696" s="27"/>
      <c r="N7696" s="5" t="s">
        <v>60789</v>
      </c>
      <c r="O7696" s="5" t="str">
        <v>5407125059</v>
      </c>
      <c r="P7696" s="27">
        <v>900000</v>
      </c>
      <c r="Q7696" s="5" t="s">
        <v>60790</v>
      </c>
      <c r="R7696" s="5" t="s">
        <v>50933</v>
      </c>
      <c r="S7696" s="5" t="s">
        <v>60791</v>
      </c>
      <c r="T7696" s="28">
        <v>196367000</v>
      </c>
      <c r="U7696" s="28">
        <v>41000</v>
      </c>
      <c r="V7696" s="28">
        <v>1010919000</v>
      </c>
      <c r="W7696" s="28"/>
      <c r="X7696" s="28">
        <v>826378000</v>
      </c>
      <c r="Y7696" s="28">
        <v>2179961000</v>
      </c>
      <c r="Z7696" s="28">
        <v>1217178000</v>
      </c>
      <c r="AA7696" s="28"/>
      <c r="AB7696" s="28"/>
      <c r="AC7696" s="28">
        <v>961838000</v>
      </c>
      <c r="AD7696" s="28">
        <v>1218123000</v>
      </c>
      <c r="AE7696" s="28">
        <v>7933080000</v>
      </c>
      <c r="AF7696" s="28">
        <v>1525541000</v>
      </c>
      <c r="AG7696" s="11"/>
    </row>
    <row r="7697">
      <c r="A7697" s="7" t="s">
        <v>9241</v>
      </c>
      <c r="B7697" s="5" t="s">
        <v>17159</v>
      </c>
      <c r="C7697" s="5" t="s">
        <v>17954</v>
      </c>
      <c r="D7697" s="5"/>
      <c r="E7697" s="0" t="e">
        <f>+7 (473) 2333462
+7 (47238) 55181
+7 (47238) 57211
+7 (473) 2065600
+7 (473) 2333410
+7 (473) 2567425
+7 (47343) 72119
+7 (47344) 33245
+7 (47344) 42135
+7 (47346) 21534
+7 (47346) 22657
+7 (47346) 50248
+7 (47352) 51966
+7 (47357) 48148
+7 (47357) 48192</f>
        <v>#NAME?</v>
      </c>
      <c r="F7697" s="5" t="s">
        <v>47620</v>
      </c>
      <c r="G7697" s="5"/>
      <c r="H7697" s="26">
        <v>12</v>
      </c>
      <c r="I7697" s="5" t="s">
        <v>47621</v>
      </c>
      <c r="J7697" s="5" t="s">
        <v>841</v>
      </c>
      <c r="K7697" s="5" t="s">
        <v>344</v>
      </c>
      <c r="L7697" s="5" t="s">
        <v>47622</v>
      </c>
      <c r="M7697" s="27">
        <v>424540</v>
      </c>
      <c r="N7697" s="5" t="s">
        <v>60792</v>
      </c>
      <c r="O7697" s="5" t="str">
        <v>3666170000</v>
      </c>
      <c r="P7697" s="27">
        <v>1206808821</v>
      </c>
      <c r="Q7697" s="5" t="s">
        <v>60794</v>
      </c>
      <c r="R7697" s="5" t="s">
        <v>57491</v>
      </c>
      <c r="S7697" s="5" t="s">
        <v>49487</v>
      </c>
      <c r="T7697" s="28">
        <v>9261213000</v>
      </c>
      <c r="U7697" s="28">
        <v>861280000</v>
      </c>
      <c r="V7697" s="28">
        <v>6621869000</v>
      </c>
      <c r="W7697" s="28">
        <v>343680000</v>
      </c>
      <c r="X7697" s="28">
        <v>317071000</v>
      </c>
      <c r="Y7697" s="28">
        <v>24682847000</v>
      </c>
      <c r="Z7697" s="28">
        <v>13928953000</v>
      </c>
      <c r="AA7697" s="28">
        <v>2772513000</v>
      </c>
      <c r="AB7697" s="28">
        <v>1400008000</v>
      </c>
      <c r="AC7697" s="28">
        <v>3433304000</v>
      </c>
      <c r="AD7697" s="28">
        <v>15328435000</v>
      </c>
      <c r="AE7697" s="28">
        <v>17743904000</v>
      </c>
      <c r="AF7697" s="28">
        <v>7831881000</v>
      </c>
      <c r="AG7697" s="11"/>
    </row>
    <row r="7698">
      <c r="A7698" s="7" t="s">
        <v>9242</v>
      </c>
      <c r="B7698" s="5" t="s">
        <v>17160</v>
      </c>
      <c r="C7698" s="5" t="s">
        <v>24740</v>
      </c>
      <c r="D7698" s="5" t="str">
        <v>771200612503</v>
      </c>
      <c r="E7698" s="0" t="e">
        <f>+7 (495) 9091720
+7 (499) 5320057
+7 (495) 5320057
+7 (915) 2827368</f>
        <v>#NAME?</v>
      </c>
      <c r="F7698" s="5" t="s">
        <v>47623</v>
      </c>
      <c r="G7698" s="5" t="s">
        <v>47624</v>
      </c>
      <c r="H7698" s="26">
        <v>23</v>
      </c>
      <c r="I7698" s="5"/>
      <c r="J7698" s="5" t="s">
        <v>373</v>
      </c>
      <c r="K7698" s="5" t="s">
        <v>344</v>
      </c>
      <c r="L7698" s="5"/>
      <c r="M7698" s="27"/>
      <c r="N7698" s="5"/>
      <c r="O7698" s="5" t="str">
        <v>9722010773</v>
      </c>
      <c r="P7698" s="27">
        <v>709376000</v>
      </c>
      <c r="Q7698" s="5" t="s">
        <v>60795</v>
      </c>
      <c r="R7698" s="5"/>
      <c r="S7698" s="5" t="s">
        <v>60796</v>
      </c>
      <c r="T7698" s="28">
        <v>119503000</v>
      </c>
      <c r="U7698" s="28">
        <v>187000</v>
      </c>
      <c r="V7698" s="28">
        <v>61067213000</v>
      </c>
      <c r="W7698" s="28">
        <v>3600000</v>
      </c>
      <c r="X7698" s="28">
        <v>98734000</v>
      </c>
      <c r="Y7698" s="28">
        <v>66994625000</v>
      </c>
      <c r="Z7698" s="28">
        <v>258990000</v>
      </c>
      <c r="AA7698" s="28"/>
      <c r="AB7698" s="28">
        <v>25721712000</v>
      </c>
      <c r="AC7698" s="28">
        <v>64513965000</v>
      </c>
      <c r="AD7698" s="28">
        <v>970260000</v>
      </c>
      <c r="AE7698" s="28">
        <v>261531509000</v>
      </c>
      <c r="AF7698" s="28">
        <v>541513000</v>
      </c>
      <c r="AG7698" s="11"/>
    </row>
    <row r="7699">
      <c r="A7699" s="7" t="s">
        <v>9243</v>
      </c>
      <c r="B7699" s="5" t="s">
        <v>17161</v>
      </c>
      <c r="C7699" s="5" t="s">
        <v>24741</v>
      </c>
      <c r="D7699" s="5" t="str">
        <v>352200852165</v>
      </c>
      <c r="E7699" s="0" t="e">
        <f>+7 (474) 2515300
+7 (81741) 21440
+7 (81741) 25212
+7 (81741) 25239</f>
        <v>#NAME?</v>
      </c>
      <c r="F7699" s="5" t="s">
        <v>47625</v>
      </c>
      <c r="G7699" s="5"/>
      <c r="H7699" s="26">
        <v>24</v>
      </c>
      <c r="I7699" s="5" t="s">
        <v>47626</v>
      </c>
      <c r="J7699" s="5" t="s">
        <v>33361</v>
      </c>
      <c r="K7699" s="5" t="s">
        <v>344</v>
      </c>
      <c r="L7699" s="5"/>
      <c r="M7699" s="27">
        <v>290798</v>
      </c>
      <c r="N7699" s="5"/>
      <c r="O7699" s="5" t="str">
        <v>3522002573</v>
      </c>
      <c r="P7699" s="27">
        <v>165000</v>
      </c>
      <c r="Q7699" s="5" t="s">
        <v>49009</v>
      </c>
      <c r="R7699" s="5"/>
      <c r="S7699" s="5" t="s">
        <v>49010</v>
      </c>
      <c r="T7699" s="28">
        <v>1442952000</v>
      </c>
      <c r="U7699" s="28">
        <v>3565604000</v>
      </c>
      <c r="V7699" s="28">
        <v>1242049000</v>
      </c>
      <c r="W7699" s="28"/>
      <c r="X7699" s="28">
        <v>231084000</v>
      </c>
      <c r="Y7699" s="28">
        <v>8587282000</v>
      </c>
      <c r="Z7699" s="28">
        <v>412371000</v>
      </c>
      <c r="AA7699" s="28">
        <v>3654888000</v>
      </c>
      <c r="AB7699" s="28"/>
      <c r="AC7699" s="28">
        <v>513103000</v>
      </c>
      <c r="AD7699" s="28">
        <v>2268929000</v>
      </c>
      <c r="AE7699" s="28">
        <v>3409964000</v>
      </c>
      <c r="AF7699" s="28">
        <v>244950000</v>
      </c>
      <c r="AG7699" s="11"/>
    </row>
    <row r="7700">
      <c r="A7700" s="7" t="s">
        <v>9244</v>
      </c>
      <c r="B7700" s="5" t="s">
        <v>17162</v>
      </c>
      <c r="C7700" s="5" t="s">
        <v>24742</v>
      </c>
      <c r="D7700" s="5" t="str">
        <v>772448820726</v>
      </c>
      <c r="E7700" s="0" t="e">
        <f>+7 (495) 7857399
+7 (495) 9116801
+7 (916) 6249912</f>
        <v>#NAME?</v>
      </c>
      <c r="F7700" s="5" t="s">
        <v>47627</v>
      </c>
      <c r="G7700" s="5"/>
      <c r="H7700" s="26">
        <v>8.5</v>
      </c>
      <c r="I7700" s="5" t="s">
        <v>47628</v>
      </c>
      <c r="J7700" s="5" t="s">
        <v>31548</v>
      </c>
      <c r="K7700" s="5" t="s">
        <v>344</v>
      </c>
      <c r="L7700" s="5" t="s">
        <v>47629</v>
      </c>
      <c r="M7700" s="27"/>
      <c r="N7700" s="5" t="s">
        <v>60797</v>
      </c>
      <c r="O7700" s="5" t="str">
        <v>7716775700</v>
      </c>
      <c r="P7700" s="27">
        <v>12000</v>
      </c>
      <c r="Q7700" s="5" t="s">
        <v>49528</v>
      </c>
      <c r="R7700" s="5"/>
      <c r="S7700" s="5" t="s">
        <v>60798</v>
      </c>
      <c r="T7700" s="28">
        <v>10170000</v>
      </c>
      <c r="U7700" s="28"/>
      <c r="V7700" s="28">
        <v>234705000</v>
      </c>
      <c r="W7700" s="28"/>
      <c r="X7700" s="28">
        <v>1993000</v>
      </c>
      <c r="Y7700" s="28">
        <v>1288351000</v>
      </c>
      <c r="Z7700" s="28">
        <v>624441000</v>
      </c>
      <c r="AA7700" s="28"/>
      <c r="AB7700" s="28">
        <v>141248000</v>
      </c>
      <c r="AC7700" s="28">
        <v>663548000</v>
      </c>
      <c r="AD7700" s="28">
        <v>624453000</v>
      </c>
      <c r="AE7700" s="28">
        <v>3066853000</v>
      </c>
      <c r="AF7700" s="28">
        <v>384148000</v>
      </c>
      <c r="AG7700" s="11"/>
    </row>
    <row r="7701">
      <c r="A7701" s="7" t="s">
        <v>9245</v>
      </c>
      <c r="B7701" s="5" t="s">
        <v>17163</v>
      </c>
      <c r="C7701" s="5" t="s">
        <v>24743</v>
      </c>
      <c r="D7701" s="5" t="str">
        <v>774335227808</v>
      </c>
      <c r="E7701" s="0" t="e">
        <f>+7 (495) 7395678
+7 (499) 2704230
+7 (499) 2704231
+7 (499) 2717354
+7 (499) 2777914
+7 (800) 3336668
+7 (967) 2978639
+7 (985) 1484568</f>
        <v>#NAME?</v>
      </c>
      <c r="F7701" s="5"/>
      <c r="G7701" s="5" t="s">
        <v>47630</v>
      </c>
      <c r="H7701" s="26">
        <v>9.5</v>
      </c>
      <c r="I7701" s="5" t="s">
        <v>47631</v>
      </c>
      <c r="J7701" s="5" t="s">
        <v>26229</v>
      </c>
      <c r="K7701" s="5" t="s">
        <v>344</v>
      </c>
      <c r="L7701" s="5" t="s">
        <v>47632</v>
      </c>
      <c r="M7701" s="27"/>
      <c r="N7701" s="5"/>
      <c r="O7701" s="5" t="str">
        <v>7721810117</v>
      </c>
      <c r="P7701" s="27">
        <v>2203824523</v>
      </c>
      <c r="Q7701" s="5" t="s">
        <v>49009</v>
      </c>
      <c r="R7701" s="5"/>
      <c r="S7701" s="5" t="s">
        <v>49010</v>
      </c>
      <c r="T7701" s="28">
        <v>21605000</v>
      </c>
      <c r="U7701" s="28"/>
      <c r="V7701" s="28">
        <v>2484139000</v>
      </c>
      <c r="W7701" s="28"/>
      <c r="X7701" s="28">
        <v>1021223000</v>
      </c>
      <c r="Y7701" s="28">
        <v>4948756000</v>
      </c>
      <c r="Z7701" s="28">
        <v>-24951000</v>
      </c>
      <c r="AA7701" s="28"/>
      <c r="AB7701" s="28"/>
      <c r="AC7701" s="28">
        <v>2756039000</v>
      </c>
      <c r="AD7701" s="28">
        <v>2178874000</v>
      </c>
      <c r="AE7701" s="28">
        <v>5657377000</v>
      </c>
      <c r="AF7701" s="28">
        <v>955423000</v>
      </c>
      <c r="AG7701" s="11"/>
    </row>
    <row r="7702">
      <c r="A7702" s="7" t="s">
        <v>9246</v>
      </c>
      <c r="B7702" s="5" t="s">
        <v>17164</v>
      </c>
      <c r="C7702" s="5" t="s">
        <v>24744</v>
      </c>
      <c r="D7702" s="5"/>
      <c r="E7702" s="0" t="e">
        <f>+7 (495) 7818098
+7 (482) 2458966
+7 (482) 2483266
+7 (482) 2506371
+7 (482) 2582370
+7 (482) 2585852
+7 (482) 2790101
+7 (482) 2790102
+7 (482) 2790103
+7 (495) 7818099
+7 (960) 7140077</f>
        <v>#NAME?</v>
      </c>
      <c r="F7702" s="5" t="s">
        <v>47633</v>
      </c>
      <c r="G7702" s="5"/>
      <c r="H7702" s="26">
        <v>23</v>
      </c>
      <c r="I7702" s="5" t="s">
        <v>47634</v>
      </c>
      <c r="J7702" s="5" t="s">
        <v>26962</v>
      </c>
      <c r="K7702" s="5" t="s">
        <v>344</v>
      </c>
      <c r="L7702" s="5" t="s">
        <v>47635</v>
      </c>
      <c r="M7702" s="27">
        <v>2527539</v>
      </c>
      <c r="N7702" s="5" t="s">
        <v>60799</v>
      </c>
      <c r="O7702" s="5" t="str">
        <v>7704209474</v>
      </c>
      <c r="P7702" s="27">
        <v>23239898</v>
      </c>
      <c r="Q7702" s="5" t="s">
        <v>49021</v>
      </c>
      <c r="R7702" s="5"/>
      <c r="S7702" s="5" t="s">
        <v>60800</v>
      </c>
      <c r="T7702" s="28">
        <v>1066718000</v>
      </c>
      <c r="U7702" s="28">
        <v>100698000</v>
      </c>
      <c r="V7702" s="28">
        <v>661432000</v>
      </c>
      <c r="W7702" s="28">
        <v>145263000</v>
      </c>
      <c r="X7702" s="28">
        <v>44056000</v>
      </c>
      <c r="Y7702" s="28">
        <v>2430080000</v>
      </c>
      <c r="Z7702" s="28">
        <v>379702000</v>
      </c>
      <c r="AA7702" s="28">
        <v>776545000</v>
      </c>
      <c r="AB7702" s="28"/>
      <c r="AC7702" s="28">
        <v>962123000</v>
      </c>
      <c r="AD7702" s="28">
        <v>579050000</v>
      </c>
      <c r="AE7702" s="28">
        <v>3498242000</v>
      </c>
      <c r="AF7702" s="28">
        <v>177904000</v>
      </c>
      <c r="AG7702" s="11"/>
    </row>
    <row r="7703">
      <c r="A7703" s="7" t="s">
        <v>9247</v>
      </c>
      <c r="B7703" s="5" t="s">
        <v>15217</v>
      </c>
      <c r="C7703" s="5" t="s">
        <v>24745</v>
      </c>
      <c r="D7703" s="5" t="str">
        <v>761015289955</v>
      </c>
      <c r="E7703" s="0" t="e">
        <f>+7 (42737) 42283
+7 (495) 6277556
+7 (413) 2638595
+7 (413) 2643738
+7 (413) 2690650
+7 (4232) 643766
+7 (427) 2222003
+7 (427) 2222043
+7 (427) 2222045
+7 (427) 2224704
+7 (427) 2229007
+7 (42738) 26612
+7 (42738) 26759
+7 (42738) 26892
+7 (914) 8599005</f>
        <v>#NAME?</v>
      </c>
      <c r="F7703" s="5" t="s">
        <v>47636</v>
      </c>
      <c r="G7703" s="5"/>
      <c r="H7703" s="26">
        <v>21</v>
      </c>
      <c r="I7703" s="5" t="s">
        <v>47637</v>
      </c>
      <c r="J7703" s="5" t="s">
        <v>26499</v>
      </c>
      <c r="K7703" s="5" t="s">
        <v>344</v>
      </c>
      <c r="L7703" s="5" t="s">
        <v>47638</v>
      </c>
      <c r="M7703" s="27"/>
      <c r="N7703" s="5"/>
      <c r="O7703" s="5" t="str">
        <v>8709009294</v>
      </c>
      <c r="P7703" s="27">
        <v>1358699768</v>
      </c>
      <c r="Q7703" s="5" t="s">
        <v>49021</v>
      </c>
      <c r="R7703" s="5"/>
      <c r="S7703" s="5" t="s">
        <v>60801</v>
      </c>
      <c r="T7703" s="28">
        <v>6556852000</v>
      </c>
      <c r="U7703" s="28">
        <v>73983676000</v>
      </c>
      <c r="V7703" s="28">
        <v>7739568000</v>
      </c>
      <c r="W7703" s="28">
        <v>756688000</v>
      </c>
      <c r="X7703" s="28">
        <v>2869882000</v>
      </c>
      <c r="Y7703" s="28">
        <v>113084694000</v>
      </c>
      <c r="Z7703" s="28">
        <v>79754599000</v>
      </c>
      <c r="AA7703" s="28">
        <v>24971400000</v>
      </c>
      <c r="AB7703" s="28"/>
      <c r="AC7703" s="28">
        <v>1880708000</v>
      </c>
      <c r="AD7703" s="28">
        <v>81514200000</v>
      </c>
      <c r="AE7703" s="28">
        <v>32442989000</v>
      </c>
      <c r="AF7703" s="28">
        <v>2682928000</v>
      </c>
      <c r="AG7703" s="11"/>
    </row>
    <row r="7704">
      <c r="A7704" s="7" t="s">
        <v>9248</v>
      </c>
      <c r="B7704" s="5" t="s">
        <v>17165</v>
      </c>
      <c r="C7704" s="5" t="s">
        <v>24746</v>
      </c>
      <c r="D7704" s="5" t="str">
        <v>744912187453</v>
      </c>
      <c r="E7704" s="0" t="e">
        <f>+7 (3512) 635214
+7 (3512) 630780
+7 (35151) 78010
+7 (35168) 21690
+7 (35168) 71191
+7 (35168) 71304
+7 (35168) 71318
+7 (35168) 71332
+7 (35168) 71374
+7 (35168) 71516
+7 (35168) 71543
+7 (35168) 71555
+7 (35168) 71605
+7 (35168) 71813
+7 (35168) 71840</f>
        <v>#NAME?</v>
      </c>
      <c r="F7704" s="5" t="s">
        <v>47639</v>
      </c>
      <c r="G7704" s="5" t="s">
        <v>47640</v>
      </c>
      <c r="H7704" s="26">
        <v>19</v>
      </c>
      <c r="I7704" s="5" t="s">
        <v>47641</v>
      </c>
      <c r="J7704" s="5" t="s">
        <v>25450</v>
      </c>
      <c r="K7704" s="5" t="s">
        <v>344</v>
      </c>
      <c r="L7704" s="5"/>
      <c r="M7704" s="27">
        <v>8973748</v>
      </c>
      <c r="N7704" s="5" t="s">
        <v>60802</v>
      </c>
      <c r="O7704" s="5" t="str">
        <v>7420008157</v>
      </c>
      <c r="P7704" s="27">
        <v>183970722</v>
      </c>
      <c r="Q7704" s="5" t="s">
        <v>60804</v>
      </c>
      <c r="R7704" s="5"/>
      <c r="S7704" s="5" t="s">
        <v>51199</v>
      </c>
      <c r="T7704" s="28">
        <v>3427477000</v>
      </c>
      <c r="U7704" s="28">
        <v>3539000</v>
      </c>
      <c r="V7704" s="28">
        <v>334990000</v>
      </c>
      <c r="W7704" s="28">
        <v>718193000</v>
      </c>
      <c r="X7704" s="28">
        <v>648085000</v>
      </c>
      <c r="Y7704" s="28">
        <v>7440057000</v>
      </c>
      <c r="Z7704" s="28">
        <v>5932522000</v>
      </c>
      <c r="AA7704" s="28"/>
      <c r="AB7704" s="28">
        <v>800178000</v>
      </c>
      <c r="AC7704" s="28">
        <v>1261672000</v>
      </c>
      <c r="AD7704" s="28">
        <v>6138136000</v>
      </c>
      <c r="AE7704" s="28">
        <v>6527220000</v>
      </c>
      <c r="AF7704" s="28">
        <v>116371000</v>
      </c>
      <c r="AG7704" s="11"/>
    </row>
    <row r="7705">
      <c r="A7705" s="7" t="s">
        <v>9249</v>
      </c>
      <c r="B7705" s="5" t="s">
        <v>17166</v>
      </c>
      <c r="C7705" s="5" t="s">
        <v>24747</v>
      </c>
      <c r="D7705" s="5" t="str">
        <v>742001589355</v>
      </c>
      <c r="E7705" s="0" t="e">
        <f>+7 (35168) 25029
+7 (3512) 232651
+7 (3512) 232652
+7 (3512) 232653
+7 (3512) 232654
+7 (3513) 590351
+7 (3513) 591619
+7 (35168) 21885
+7 (35168) 22219
+7 (35168) 22337
+7 (35168) 22906
+7 (35168) 23891
+7 (35168) 60175</f>
        <v>#NAME?</v>
      </c>
      <c r="F7705" s="5" t="s">
        <v>47642</v>
      </c>
      <c r="G7705" s="5" t="s">
        <v>47643</v>
      </c>
      <c r="H7705" s="26">
        <v>29</v>
      </c>
      <c r="I7705" s="5"/>
      <c r="J7705" s="5" t="s">
        <v>25231</v>
      </c>
      <c r="K7705" s="5" t="s">
        <v>344</v>
      </c>
      <c r="L7705" s="5" t="s">
        <v>47644</v>
      </c>
      <c r="M7705" s="27"/>
      <c r="N7705" s="5" t="s">
        <v>60805</v>
      </c>
      <c r="O7705" s="5" t="str">
        <v>7420005460</v>
      </c>
      <c r="P7705" s="27">
        <v>996400</v>
      </c>
      <c r="Q7705" s="5" t="s">
        <v>60806</v>
      </c>
      <c r="R7705" s="5"/>
      <c r="S7705" s="5" t="s">
        <v>49717</v>
      </c>
      <c r="T7705" s="28">
        <v>647920000</v>
      </c>
      <c r="U7705" s="28">
        <v>6076000</v>
      </c>
      <c r="V7705" s="28">
        <v>479060000</v>
      </c>
      <c r="W7705" s="28">
        <v>940000000</v>
      </c>
      <c r="X7705" s="28">
        <v>34697000</v>
      </c>
      <c r="Y7705" s="28">
        <v>2757137000</v>
      </c>
      <c r="Z7705" s="28">
        <v>2143891000</v>
      </c>
      <c r="AA7705" s="28"/>
      <c r="AB7705" s="28">
        <v>474044000</v>
      </c>
      <c r="AC7705" s="28">
        <v>582555000</v>
      </c>
      <c r="AD7705" s="28">
        <v>2150085000</v>
      </c>
      <c r="AE7705" s="28">
        <v>4171646000</v>
      </c>
      <c r="AF7705" s="28">
        <v>328095000</v>
      </c>
      <c r="AG7705" s="11"/>
    </row>
    <row r="7706">
      <c r="A7706" s="7" t="s">
        <v>9250</v>
      </c>
      <c r="B7706" s="5" t="s">
        <v>17167</v>
      </c>
      <c r="C7706" s="5" t="s">
        <v>24748</v>
      </c>
      <c r="D7706" s="5" t="str">
        <v>212904929666</v>
      </c>
      <c r="E7706" s="0" t="e">
        <f>+7 (3433) 890748
+7 (3512) 599090
+7 (495) 7846761
+7 (499) 6776245
+7 (812) 7777500
+7 (831) 2723828
+7 (8352) 224733
+7 (8352) 225722
+7 (8432) 219494
+7 (8632) 370650</f>
        <v>#NAME?</v>
      </c>
      <c r="F7706" s="5" t="s">
        <v>47645</v>
      </c>
      <c r="G7706" s="5" t="s">
        <v>47646</v>
      </c>
      <c r="H7706" s="26">
        <v>31</v>
      </c>
      <c r="I7706" s="5"/>
      <c r="J7706" s="5" t="s">
        <v>414</v>
      </c>
      <c r="K7706" s="5" t="s">
        <v>355</v>
      </c>
      <c r="L7706" s="5"/>
      <c r="M7706" s="27">
        <v>149028852</v>
      </c>
      <c r="N7706" s="5"/>
      <c r="O7706" s="5" t="str">
        <v>2126002786</v>
      </c>
      <c r="P7706" s="27">
        <v>135450000</v>
      </c>
      <c r="Q7706" s="5" t="s">
        <v>49059</v>
      </c>
      <c r="R7706" s="5"/>
      <c r="S7706" s="5" t="s">
        <v>60807</v>
      </c>
      <c r="T7706" s="28">
        <v>2258219000</v>
      </c>
      <c r="U7706" s="28"/>
      <c r="V7706" s="28">
        <v>437856000</v>
      </c>
      <c r="W7706" s="28">
        <v>575000</v>
      </c>
      <c r="X7706" s="28">
        <v>37408000</v>
      </c>
      <c r="Y7706" s="28">
        <v>4930138000</v>
      </c>
      <c r="Z7706" s="28">
        <v>825268000</v>
      </c>
      <c r="AA7706" s="28">
        <v>860740000</v>
      </c>
      <c r="AB7706" s="28">
        <v>366490000</v>
      </c>
      <c r="AC7706" s="28">
        <v>2475966000</v>
      </c>
      <c r="AD7706" s="28">
        <v>981036000</v>
      </c>
      <c r="AE7706" s="28">
        <v>3101381000</v>
      </c>
      <c r="AF7706" s="28">
        <v>58755000</v>
      </c>
      <c r="AG7706" s="11"/>
    </row>
    <row r="7707">
      <c r="A7707" s="7" t="s">
        <v>9251</v>
      </c>
      <c r="B7707" s="5" t="s">
        <v>17168</v>
      </c>
      <c r="C7707" s="5" t="s">
        <v>24749</v>
      </c>
      <c r="D7707" s="5"/>
      <c r="E7707" s="0" t="e">
        <f>+7 (917) 2896045
+7 (855) 2397551
+7 (855) 2537553</f>
        <v>#NAME?</v>
      </c>
      <c r="F7707" s="5" t="s">
        <v>47647</v>
      </c>
      <c r="G7707" s="5" t="s">
        <v>47648</v>
      </c>
      <c r="H7707" s="26">
        <v>13.5</v>
      </c>
      <c r="I7707" s="5" t="s">
        <v>47649</v>
      </c>
      <c r="J7707" s="5" t="s">
        <v>1073</v>
      </c>
      <c r="K7707" s="5" t="s">
        <v>344</v>
      </c>
      <c r="L7707" s="5"/>
      <c r="M7707" s="27">
        <v>683622</v>
      </c>
      <c r="N7707" s="5" t="s">
        <v>60808</v>
      </c>
      <c r="O7707" s="5" t="str">
        <v>1650198416</v>
      </c>
      <c r="P7707" s="27">
        <v>10000</v>
      </c>
      <c r="Q7707" s="5"/>
      <c r="R7707" s="5"/>
      <c r="S7707" s="5" t="s">
        <v>53269</v>
      </c>
      <c r="T7707" s="28">
        <v>32802000</v>
      </c>
      <c r="U7707" s="28">
        <v>82000</v>
      </c>
      <c r="V7707" s="28">
        <v>142577000</v>
      </c>
      <c r="W7707" s="28">
        <v>565000</v>
      </c>
      <c r="X7707" s="28">
        <v>2759000</v>
      </c>
      <c r="Y7707" s="28">
        <v>403368000</v>
      </c>
      <c r="Z7707" s="28">
        <v>-99241000</v>
      </c>
      <c r="AA7707" s="28"/>
      <c r="AB7707" s="28">
        <v>92263000</v>
      </c>
      <c r="AC7707" s="28">
        <v>501765000</v>
      </c>
      <c r="AD7707" s="28">
        <v>-99231000</v>
      </c>
      <c r="AE7707" s="28">
        <v>3667151000</v>
      </c>
      <c r="AF7707" s="28">
        <v>4241000</v>
      </c>
      <c r="AG7707" s="11"/>
    </row>
    <row r="7708">
      <c r="A7708" s="7" t="s">
        <v>9252</v>
      </c>
      <c r="B7708" s="5" t="s">
        <v>17169</v>
      </c>
      <c r="C7708" s="5" t="s">
        <v>24750</v>
      </c>
      <c r="D7708" s="5" t="str">
        <v>165012408041</v>
      </c>
      <c r="E7708" s="0" t="e">
        <f>+7 (855) 2392245
+7 (917) 2941266
+7 (855) 2397252
+7 (855) 2531520
+7 (855) 2537252
+7 (855) 2538724</f>
        <v>#NAME?</v>
      </c>
      <c r="F7708" s="5" t="s">
        <v>47650</v>
      </c>
      <c r="G7708" s="5" t="s">
        <v>47651</v>
      </c>
      <c r="H7708" s="26">
        <v>22</v>
      </c>
      <c r="I7708" s="5"/>
      <c r="J7708" s="5" t="s">
        <v>29074</v>
      </c>
      <c r="K7708" s="5" t="s">
        <v>344</v>
      </c>
      <c r="L7708" s="5" t="s">
        <v>47652</v>
      </c>
      <c r="M7708" s="27">
        <v>177877</v>
      </c>
      <c r="N7708" s="5" t="s">
        <v>60809</v>
      </c>
      <c r="O7708" s="5" t="str">
        <v>1650079031</v>
      </c>
      <c r="P7708" s="27">
        <v>26575000</v>
      </c>
      <c r="Q7708" s="5"/>
      <c r="R7708" s="5"/>
      <c r="S7708" s="5" t="s">
        <v>49029</v>
      </c>
      <c r="T7708" s="28">
        <v>2660924000</v>
      </c>
      <c r="U7708" s="28">
        <v>107159000</v>
      </c>
      <c r="V7708" s="28">
        <v>258250000</v>
      </c>
      <c r="W7708" s="28">
        <v>500000</v>
      </c>
      <c r="X7708" s="28">
        <v>1979448000</v>
      </c>
      <c r="Y7708" s="28">
        <v>5718016000</v>
      </c>
      <c r="Z7708" s="28">
        <v>5040806000</v>
      </c>
      <c r="AA7708" s="28">
        <v>230000000</v>
      </c>
      <c r="AB7708" s="28"/>
      <c r="AC7708" s="28">
        <v>176749000</v>
      </c>
      <c r="AD7708" s="28">
        <v>5154904000</v>
      </c>
      <c r="AE7708" s="28">
        <v>3963372000</v>
      </c>
      <c r="AF7708" s="28">
        <v>608262000</v>
      </c>
      <c r="AG7708" s="11"/>
    </row>
    <row r="7709">
      <c r="A7709" s="7" t="s">
        <v>9253</v>
      </c>
      <c r="B7709" s="5" t="s">
        <v>17170</v>
      </c>
      <c r="C7709" s="5" t="s">
        <v>17861</v>
      </c>
      <c r="D7709" s="5"/>
      <c r="E7709" s="0" t="e">
        <f>+7 (855) 2340272
+7 (855) 2344784
+7 (855) 2443206
+7 (855) 2443784
+7 (855) 2553012
+7 (855) 2553124
+7 (855) 2553784
+7 (855) 2746031
+7 (855) 2746050</f>
        <v>#NAME?</v>
      </c>
      <c r="F7709" s="5" t="s">
        <v>47653</v>
      </c>
      <c r="G7709" s="5" t="s">
        <v>47654</v>
      </c>
      <c r="H7709" s="26">
        <v>20</v>
      </c>
      <c r="I7709" s="5" t="s">
        <v>47655</v>
      </c>
      <c r="J7709" s="5" t="s">
        <v>25450</v>
      </c>
      <c r="K7709" s="5" t="s">
        <v>355</v>
      </c>
      <c r="L7709" s="5" t="s">
        <v>47656</v>
      </c>
      <c r="M7709" s="27"/>
      <c r="N7709" s="5" t="s">
        <v>60810</v>
      </c>
      <c r="O7709" s="5" t="str">
        <v>1639025000</v>
      </c>
      <c r="P7709" s="27">
        <v>624228000</v>
      </c>
      <c r="Q7709" s="5" t="s">
        <v>60812</v>
      </c>
      <c r="R7709" s="5"/>
      <c r="S7709" s="5" t="s">
        <v>49723</v>
      </c>
      <c r="T7709" s="28">
        <v>6744768000</v>
      </c>
      <c r="U7709" s="28">
        <v>288378000</v>
      </c>
      <c r="V7709" s="28">
        <v>4161733000</v>
      </c>
      <c r="W7709" s="28">
        <v>563560000</v>
      </c>
      <c r="X7709" s="28">
        <v>1740000</v>
      </c>
      <c r="Y7709" s="28">
        <v>13761821000</v>
      </c>
      <c r="Z7709" s="28">
        <v>5900074000</v>
      </c>
      <c r="AA7709" s="28">
        <v>562848000</v>
      </c>
      <c r="AB7709" s="28">
        <v>1294658000</v>
      </c>
      <c r="AC7709" s="28">
        <v>6423322000</v>
      </c>
      <c r="AD7709" s="28">
        <v>6968968000</v>
      </c>
      <c r="AE7709" s="28">
        <v>12352733000</v>
      </c>
      <c r="AF7709" s="28">
        <v>808840000</v>
      </c>
      <c r="AG7709" s="11"/>
    </row>
    <row r="7710">
      <c r="A7710" s="7" t="s">
        <v>9254</v>
      </c>
      <c r="B7710" s="5" t="s">
        <v>17171</v>
      </c>
      <c r="C7710" s="5" t="s">
        <v>24751</v>
      </c>
      <c r="D7710" s="5" t="str">
        <v>165044425272</v>
      </c>
      <c r="E7710" s="0" t="e">
        <f>+7 (927) 4958101
+7 (495) 2341912
+7 (855) 2423432
+7 (855) 2424143
+7 (855) 2470215
+7 (855) 2470218
+7 (855) 2470290
+7 (855) 2707167
+7 (855) 2707628
+7 (855) 2707810
+7 (855) 2772080
+7 (962) 5734779</f>
        <v>#NAME?</v>
      </c>
      <c r="F7710" s="5" t="s">
        <v>47657</v>
      </c>
      <c r="G7710" s="5" t="s">
        <v>47658</v>
      </c>
      <c r="H7710" s="26">
        <v>28.5</v>
      </c>
      <c r="I7710" s="5"/>
      <c r="J7710" s="5" t="s">
        <v>26526</v>
      </c>
      <c r="K7710" s="5" t="s">
        <v>380</v>
      </c>
      <c r="L7710" s="5" t="s">
        <v>43126</v>
      </c>
      <c r="M7710" s="27">
        <v>985913</v>
      </c>
      <c r="N7710" s="5"/>
      <c r="O7710" s="5" t="str">
        <v>1639004000</v>
      </c>
      <c r="P7710" s="27">
        <v>831890</v>
      </c>
      <c r="Q7710" s="5" t="s">
        <v>49009</v>
      </c>
      <c r="R7710" s="5"/>
      <c r="S7710" s="5" t="s">
        <v>49200</v>
      </c>
      <c r="T7710" s="28">
        <v>1187046000</v>
      </c>
      <c r="U7710" s="28">
        <v>14850000</v>
      </c>
      <c r="V7710" s="28">
        <v>57078000</v>
      </c>
      <c r="W7710" s="28">
        <v>11137000</v>
      </c>
      <c r="X7710" s="28">
        <v>1733000</v>
      </c>
      <c r="Y7710" s="28">
        <v>2109861000</v>
      </c>
      <c r="Z7710" s="28">
        <v>417269000</v>
      </c>
      <c r="AA7710" s="28"/>
      <c r="AB7710" s="28">
        <v>1098254000</v>
      </c>
      <c r="AC7710" s="28">
        <v>1426801000</v>
      </c>
      <c r="AD7710" s="28">
        <v>546114000</v>
      </c>
      <c r="AE7710" s="28">
        <v>4892861000</v>
      </c>
      <c r="AF7710" s="28">
        <v>111095000</v>
      </c>
      <c r="AG7710" s="11"/>
    </row>
    <row r="7711">
      <c r="A7711" s="7" t="s">
        <v>9255</v>
      </c>
      <c r="B7711" s="5" t="s">
        <v>17172</v>
      </c>
      <c r="C7711" s="5" t="s">
        <v>24752</v>
      </c>
      <c r="D7711" s="5" t="str">
        <v>744502604417</v>
      </c>
      <c r="E7711" s="0" t="e">
        <f>+7 (3517) 911714
+7 (3517) 914783
+7 (3517) 914961
+7 (3517) 914965</f>
        <v>#NAME?</v>
      </c>
      <c r="F7711" s="5" t="s">
        <v>47659</v>
      </c>
      <c r="G7711" s="5"/>
      <c r="H7711" s="26">
        <v>30</v>
      </c>
      <c r="I7711" s="5"/>
      <c r="J7711" s="5" t="s">
        <v>28875</v>
      </c>
      <c r="K7711" s="5" t="s">
        <v>344</v>
      </c>
      <c r="L7711" s="5" t="s">
        <v>47660</v>
      </c>
      <c r="M7711" s="27"/>
      <c r="N7711" s="5"/>
      <c r="O7711" s="5" t="str">
        <v>7448009721</v>
      </c>
      <c r="P7711" s="27">
        <v>75504</v>
      </c>
      <c r="Q7711" s="5" t="s">
        <v>49059</v>
      </c>
      <c r="R7711" s="5"/>
      <c r="S7711" s="5" t="s">
        <v>49125</v>
      </c>
      <c r="T7711" s="28">
        <v>328558000</v>
      </c>
      <c r="U7711" s="28"/>
      <c r="V7711" s="28">
        <v>349646000</v>
      </c>
      <c r="W7711" s="28"/>
      <c r="X7711" s="28">
        <v>1560000</v>
      </c>
      <c r="Y7711" s="28">
        <v>826808000</v>
      </c>
      <c r="Z7711" s="28">
        <v>560504000</v>
      </c>
      <c r="AA7711" s="28"/>
      <c r="AB7711" s="28"/>
      <c r="AC7711" s="28">
        <v>62596000</v>
      </c>
      <c r="AD7711" s="28">
        <v>732727000</v>
      </c>
      <c r="AE7711" s="28">
        <v>4364593000</v>
      </c>
      <c r="AF7711" s="28">
        <v>-93779000</v>
      </c>
      <c r="AG7711" s="11"/>
    </row>
    <row r="7712">
      <c r="A7712" s="7" t="s">
        <v>9256</v>
      </c>
      <c r="B7712" s="5" t="s">
        <v>17173</v>
      </c>
      <c r="C7712" s="5" t="s">
        <v>24753</v>
      </c>
      <c r="D7712" s="5" t="str">
        <v>450203484328</v>
      </c>
      <c r="E7712" s="0" t="e">
        <f>+7 (3512) 599229</f>
        <v>#NAME?</v>
      </c>
      <c r="F7712" s="5" t="s">
        <v>47661</v>
      </c>
      <c r="G7712" s="5"/>
      <c r="H7712" s="26">
        <v>15.5</v>
      </c>
      <c r="I7712" s="5"/>
      <c r="J7712" s="5" t="s">
        <v>25612</v>
      </c>
      <c r="K7712" s="5" t="s">
        <v>344</v>
      </c>
      <c r="L7712" s="5" t="s">
        <v>47662</v>
      </c>
      <c r="M7712" s="27"/>
      <c r="N7712" s="5" t="s">
        <v>60813</v>
      </c>
      <c r="O7712" s="5" t="str">
        <v>7453182792</v>
      </c>
      <c r="P7712" s="27">
        <v>100000</v>
      </c>
      <c r="Q7712" s="5" t="s">
        <v>60814</v>
      </c>
      <c r="R7712" s="5"/>
      <c r="S7712" s="5" t="s">
        <v>50122</v>
      </c>
      <c r="T7712" s="28">
        <v>22603000</v>
      </c>
      <c r="U7712" s="28"/>
      <c r="V7712" s="28">
        <v>287570000</v>
      </c>
      <c r="W7712" s="28"/>
      <c r="X7712" s="28">
        <v>456108000</v>
      </c>
      <c r="Y7712" s="28">
        <v>845768000</v>
      </c>
      <c r="Z7712" s="28">
        <v>339866000</v>
      </c>
      <c r="AA7712" s="28"/>
      <c r="AB7712" s="28"/>
      <c r="AC7712" s="28">
        <v>479595000</v>
      </c>
      <c r="AD7712" s="28">
        <v>339971000</v>
      </c>
      <c r="AE7712" s="28">
        <v>5597901000</v>
      </c>
      <c r="AF7712" s="28">
        <v>71153000</v>
      </c>
      <c r="AG7712" s="11"/>
    </row>
    <row r="7713">
      <c r="A7713" s="7" t="s">
        <v>9257</v>
      </c>
      <c r="B7713" s="5" t="s">
        <v>17174</v>
      </c>
      <c r="C7713" s="5" t="s">
        <v>24754</v>
      </c>
      <c r="D7713" s="5" t="str">
        <v>434100390418</v>
      </c>
      <c r="E7713" s="0" t="e">
        <f>+7 (83361) 58082
+7 (83361) 58083
+7 (83361) 58085
+7 (83361) 58087
+7 (953) 6930202</f>
        <v>#NAME?</v>
      </c>
      <c r="F7713" s="5" t="s">
        <v>47663</v>
      </c>
      <c r="G7713" s="5" t="s">
        <v>47664</v>
      </c>
      <c r="H7713" s="26">
        <v>7.5</v>
      </c>
      <c r="I7713" s="5" t="s">
        <v>47665</v>
      </c>
      <c r="J7713" s="5" t="s">
        <v>25512</v>
      </c>
      <c r="K7713" s="5" t="s">
        <v>344</v>
      </c>
      <c r="L7713" s="5" t="s">
        <v>47666</v>
      </c>
      <c r="M7713" s="27"/>
      <c r="N7713" s="5" t="s">
        <v>60815</v>
      </c>
      <c r="O7713" s="5" t="str">
        <v>4312151563</v>
      </c>
      <c r="P7713" s="27">
        <v>10000</v>
      </c>
      <c r="Q7713" s="5" t="s">
        <v>49057</v>
      </c>
      <c r="R7713" s="5"/>
      <c r="S7713" s="5" t="s">
        <v>60816</v>
      </c>
      <c r="T7713" s="28">
        <v>204000</v>
      </c>
      <c r="U7713" s="28"/>
      <c r="V7713" s="28">
        <v>307293000</v>
      </c>
      <c r="W7713" s="28"/>
      <c r="X7713" s="28">
        <v>3791000</v>
      </c>
      <c r="Y7713" s="28">
        <v>456364000</v>
      </c>
      <c r="Z7713" s="28">
        <v>39937000</v>
      </c>
      <c r="AA7713" s="28"/>
      <c r="AB7713" s="28">
        <v>157209000</v>
      </c>
      <c r="AC7713" s="28">
        <v>416400000</v>
      </c>
      <c r="AD7713" s="28">
        <v>39947000</v>
      </c>
      <c r="AE7713" s="28">
        <v>3311370000</v>
      </c>
      <c r="AF7713" s="28">
        <v>83541000</v>
      </c>
      <c r="AG7713" s="11"/>
    </row>
    <row r="7714">
      <c r="A7714" s="7" t="s">
        <v>9258</v>
      </c>
      <c r="B7714" s="5" t="s">
        <v>17175</v>
      </c>
      <c r="C7714" s="5" t="s">
        <v>24755</v>
      </c>
      <c r="D7714" s="5" t="str">
        <v>434541692243</v>
      </c>
      <c r="E7714" s="0" t="e">
        <f>+7 (8332) 651001
+7 (83361) 25832
+7 (83361) 58300
+7 (83361) 58322
+7 (83361) 58332
+7 (8332) 331357
+7 (83361) 25306
+7 (83361) 26062
+7 (83361) 34305
+7 (83361) 34306
+7 (83361) 34324
+7 (83361) 34325
+7 (83361) 34367
+7 (83361) 34423
+7 (83361) 64046</f>
        <v>#NAME?</v>
      </c>
      <c r="F7714" s="5" t="s">
        <v>47667</v>
      </c>
      <c r="G7714" s="5"/>
      <c r="H7714" s="26">
        <v>28</v>
      </c>
      <c r="I7714" s="5" t="s">
        <v>47668</v>
      </c>
      <c r="J7714" s="5" t="s">
        <v>27115</v>
      </c>
      <c r="K7714" s="5" t="s">
        <v>344</v>
      </c>
      <c r="L7714" s="5"/>
      <c r="M7714" s="27">
        <v>122756</v>
      </c>
      <c r="N7714" s="5" t="s">
        <v>60817</v>
      </c>
      <c r="O7714" s="5" t="str">
        <v>4341000350</v>
      </c>
      <c r="P7714" s="27">
        <v>777777777</v>
      </c>
      <c r="Q7714" s="5" t="s">
        <v>60818</v>
      </c>
      <c r="R7714" s="5"/>
      <c r="S7714" s="5" t="s">
        <v>60819</v>
      </c>
      <c r="T7714" s="28">
        <v>15219000</v>
      </c>
      <c r="U7714" s="28"/>
      <c r="V7714" s="28">
        <v>1240527000</v>
      </c>
      <c r="W7714" s="28">
        <v>14271000</v>
      </c>
      <c r="X7714" s="28">
        <v>59701000</v>
      </c>
      <c r="Y7714" s="28">
        <v>2151598000</v>
      </c>
      <c r="Z7714" s="28">
        <v>397163000</v>
      </c>
      <c r="AA7714" s="28"/>
      <c r="AB7714" s="28">
        <v>805202000</v>
      </c>
      <c r="AC7714" s="28">
        <v>1052243000</v>
      </c>
      <c r="AD7714" s="28">
        <v>1098624000</v>
      </c>
      <c r="AE7714" s="28">
        <v>10903577000</v>
      </c>
      <c r="AF7714" s="28">
        <v>327408000</v>
      </c>
      <c r="AG7714" s="11"/>
    </row>
    <row r="7715">
      <c r="A7715" s="7" t="s">
        <v>9259</v>
      </c>
      <c r="B7715" s="5" t="s">
        <v>17176</v>
      </c>
      <c r="C7715" s="5" t="s">
        <v>24756</v>
      </c>
      <c r="D7715" s="5" t="str">
        <v>226101277801</v>
      </c>
      <c r="E7715" s="0" t="e">
        <f>+7 (38511) 33232
+7 (38511) 33261
+7 (38511) 33262
+7 (38511) 33629
+7 (38511) 38581
+7 (38581) 33199
+7 (38581) 33232
+7 (38581) 33261
+7 (38581) 33262
+7 (38581) 33265
+7 (38581) 33266
+7 (38581) 33284
+7 (38581) 33291
+7 (38581) 33335
+7 (38581) 33629</f>
        <v>#NAME?</v>
      </c>
      <c r="F7715" s="5" t="s">
        <v>47669</v>
      </c>
      <c r="G7715" s="5" t="s">
        <v>47670</v>
      </c>
      <c r="H7715" s="26">
        <v>30</v>
      </c>
      <c r="I7715" s="5"/>
      <c r="J7715" s="5" t="s">
        <v>25994</v>
      </c>
      <c r="K7715" s="5" t="s">
        <v>344</v>
      </c>
      <c r="L7715" s="5" t="s">
        <v>47671</v>
      </c>
      <c r="M7715" s="27"/>
      <c r="N7715" s="5"/>
      <c r="O7715" s="5" t="str">
        <v>2261001027</v>
      </c>
      <c r="P7715" s="27">
        <v>14980000</v>
      </c>
      <c r="Q7715" s="5"/>
      <c r="R7715" s="5"/>
      <c r="S7715" s="5" t="s">
        <v>49110</v>
      </c>
      <c r="T7715" s="28">
        <v>417462000</v>
      </c>
      <c r="U7715" s="28"/>
      <c r="V7715" s="28">
        <v>3549755000</v>
      </c>
      <c r="W7715" s="28">
        <v>306000</v>
      </c>
      <c r="X7715" s="28">
        <v>2021929000</v>
      </c>
      <c r="Y7715" s="28">
        <v>8436487000</v>
      </c>
      <c r="Z7715" s="28">
        <v>4809676000</v>
      </c>
      <c r="AA7715" s="28">
        <v>787734000</v>
      </c>
      <c r="AB7715" s="28">
        <v>525021000</v>
      </c>
      <c r="AC7715" s="28">
        <v>2727866000</v>
      </c>
      <c r="AD7715" s="28">
        <v>4825405000</v>
      </c>
      <c r="AE7715" s="28">
        <v>8313113000</v>
      </c>
      <c r="AF7715" s="28">
        <v>1700944000</v>
      </c>
      <c r="AG7715" s="11"/>
    </row>
    <row r="7716">
      <c r="A7716" s="7" t="s">
        <v>9260</v>
      </c>
      <c r="B7716" s="5" t="s">
        <v>17177</v>
      </c>
      <c r="C7716" s="5" t="s">
        <v>24757</v>
      </c>
      <c r="D7716" s="5" t="str">
        <v>772900738091</v>
      </c>
      <c r="E7716" s="0" t="e">
        <f>+7 (495) 7976393
+7 (495) 2329362
+7 (495) 7414991
+7 (495) 7867385
+7 (495) 7976394
+7 (800) 5559989
+7 (800) 5559998</f>
        <v>#NAME?</v>
      </c>
      <c r="F7716" s="5" t="s">
        <v>47672</v>
      </c>
      <c r="G7716" s="5" t="s">
        <v>47673</v>
      </c>
      <c r="H7716" s="26">
        <v>17</v>
      </c>
      <c r="I7716" s="5"/>
      <c r="J7716" s="5" t="s">
        <v>397</v>
      </c>
      <c r="K7716" s="5" t="s">
        <v>344</v>
      </c>
      <c r="L7716" s="5"/>
      <c r="M7716" s="27">
        <v>2013286</v>
      </c>
      <c r="N7716" s="5"/>
      <c r="O7716" s="5" t="str">
        <v>7743578549</v>
      </c>
      <c r="P7716" s="27">
        <v>12310000</v>
      </c>
      <c r="Q7716" s="5" t="s">
        <v>49016</v>
      </c>
      <c r="R7716" s="5"/>
      <c r="S7716" s="5" t="s">
        <v>60820</v>
      </c>
      <c r="T7716" s="28">
        <v>206756000</v>
      </c>
      <c r="U7716" s="28">
        <v>277000</v>
      </c>
      <c r="V7716" s="28">
        <v>35107746000</v>
      </c>
      <c r="W7716" s="28"/>
      <c r="X7716" s="28">
        <v>3724078000</v>
      </c>
      <c r="Y7716" s="28">
        <v>58315045000</v>
      </c>
      <c r="Z7716" s="28">
        <v>30098130000</v>
      </c>
      <c r="AA7716" s="28"/>
      <c r="AB7716" s="28">
        <v>9009227000</v>
      </c>
      <c r="AC7716" s="28">
        <v>25958353000</v>
      </c>
      <c r="AD7716" s="28">
        <v>32325498000</v>
      </c>
      <c r="AE7716" s="28">
        <v>147453695000</v>
      </c>
      <c r="AF7716" s="28">
        <v>29792664000</v>
      </c>
      <c r="AG7716" s="11"/>
    </row>
    <row r="7717">
      <c r="A7717" s="7" t="s">
        <v>9261</v>
      </c>
      <c r="B7717" s="5" t="s">
        <v>17178</v>
      </c>
      <c r="C7717" s="5" t="s">
        <v>21839</v>
      </c>
      <c r="D7717" s="5" t="str">
        <v>771806962224</v>
      </c>
      <c r="E7717" s="0" t="e">
        <f>+7 (496) 6930980
+7 (496) 6930971</f>
        <v>#NAME?</v>
      </c>
      <c r="F7717" s="5"/>
      <c r="G7717" s="5"/>
      <c r="H7717" s="26">
        <v>26</v>
      </c>
      <c r="I7717" s="5"/>
      <c r="J7717" s="5" t="s">
        <v>31454</v>
      </c>
      <c r="K7717" s="5" t="s">
        <v>344</v>
      </c>
      <c r="L7717" s="5" t="s">
        <v>47674</v>
      </c>
      <c r="M7717" s="27"/>
      <c r="N7717" s="5"/>
      <c r="O7717" s="5" t="str">
        <v>5019023508</v>
      </c>
      <c r="P7717" s="27">
        <v>304477000</v>
      </c>
      <c r="Q7717" s="5" t="s">
        <v>49009</v>
      </c>
      <c r="R7717" s="5"/>
      <c r="S7717" s="5" t="s">
        <v>49408</v>
      </c>
      <c r="T7717" s="28">
        <v>4460984000</v>
      </c>
      <c r="U7717" s="28"/>
      <c r="V7717" s="28">
        <v>3157278000</v>
      </c>
      <c r="W7717" s="28"/>
      <c r="X7717" s="28">
        <v>482000</v>
      </c>
      <c r="Y7717" s="28">
        <v>8062385000</v>
      </c>
      <c r="Z7717" s="28">
        <v>-153776000</v>
      </c>
      <c r="AA7717" s="28">
        <v>442528000</v>
      </c>
      <c r="AB7717" s="28">
        <v>422346000</v>
      </c>
      <c r="AC7717" s="28">
        <v>4553553000</v>
      </c>
      <c r="AD7717" s="28">
        <v>2937656000</v>
      </c>
      <c r="AE7717" s="28">
        <v>5475251000</v>
      </c>
      <c r="AF7717" s="28">
        <v>716010000</v>
      </c>
      <c r="AG7717" s="11"/>
    </row>
    <row r="7718">
      <c r="A7718" s="7" t="s">
        <v>9262</v>
      </c>
      <c r="B7718" s="5" t="s">
        <v>17179</v>
      </c>
      <c r="C7718" s="5" t="s">
        <v>24758</v>
      </c>
      <c r="D7718" s="5" t="str">
        <v>771908946711</v>
      </c>
      <c r="F7718" s="5"/>
      <c r="G7718" s="5"/>
      <c r="H7718" s="26">
        <v>4.5</v>
      </c>
      <c r="I7718" s="5" t="s">
        <v>47675</v>
      </c>
      <c r="J7718" s="5" t="s">
        <v>25800</v>
      </c>
      <c r="K7718" s="5" t="s">
        <v>355</v>
      </c>
      <c r="L7718" s="5"/>
      <c r="M7718" s="27"/>
      <c r="N7718" s="5"/>
      <c r="O7718" s="5" t="str">
        <v>4821049973</v>
      </c>
      <c r="P7718" s="27">
        <v>100000</v>
      </c>
      <c r="Q7718" s="5"/>
      <c r="R7718" s="5"/>
      <c r="S7718" s="5" t="s">
        <v>49029</v>
      </c>
      <c r="T7718" s="28">
        <v>9830095000</v>
      </c>
      <c r="U7718" s="28"/>
      <c r="V7718" s="28">
        <v>3544097000</v>
      </c>
      <c r="W7718" s="28"/>
      <c r="X7718" s="28">
        <v>15906000</v>
      </c>
      <c r="Y7718" s="28">
        <v>17050052000</v>
      </c>
      <c r="Z7718" s="28">
        <v>-12283000</v>
      </c>
      <c r="AA7718" s="28">
        <v>6179996000</v>
      </c>
      <c r="AB7718" s="28">
        <v>1322945000</v>
      </c>
      <c r="AC7718" s="28">
        <v>7246954000</v>
      </c>
      <c r="AD7718" s="28">
        <v>3247817000</v>
      </c>
      <c r="AE7718" s="28">
        <v>4248945000</v>
      </c>
      <c r="AF7718" s="28">
        <v>-26082000</v>
      </c>
      <c r="AG7718" s="11"/>
    </row>
    <row r="7719">
      <c r="A7719" s="7" t="s">
        <v>9263</v>
      </c>
      <c r="B7719" s="5" t="s">
        <v>17180</v>
      </c>
      <c r="C7719" s="5" t="s">
        <v>24759</v>
      </c>
      <c r="D7719" s="5" t="str">
        <v>362804340470</v>
      </c>
      <c r="E7719" s="0" t="e">
        <f>+7 (473) 2393343
+7 (474) 2907400
+7 (4862) 201030
+7 (4862) 201694
+7 (48646) 60646
+7 (915) 8671115
+7 (917) 5571975
+7 (985) 1545884</f>
        <v>#NAME?</v>
      </c>
      <c r="F7719" s="5"/>
      <c r="G7719" s="5"/>
      <c r="H7719" s="26">
        <v>16</v>
      </c>
      <c r="I7719" s="5" t="s">
        <v>47676</v>
      </c>
      <c r="J7719" s="5" t="s">
        <v>841</v>
      </c>
      <c r="K7719" s="5" t="s">
        <v>344</v>
      </c>
      <c r="L7719" s="5" t="s">
        <v>47677</v>
      </c>
      <c r="M7719" s="27">
        <v>13095354</v>
      </c>
      <c r="N7719" s="5"/>
      <c r="O7719" s="5" t="str">
        <v>3664078874</v>
      </c>
      <c r="P7719" s="27">
        <v>12010000</v>
      </c>
      <c r="Q7719" s="5" t="s">
        <v>49009</v>
      </c>
      <c r="R7719" s="5" t="s">
        <v>52015</v>
      </c>
      <c r="S7719" s="5" t="s">
        <v>49010</v>
      </c>
      <c r="T7719" s="28">
        <v>6675875000</v>
      </c>
      <c r="U7719" s="28"/>
      <c r="V7719" s="28">
        <v>10341062000</v>
      </c>
      <c r="W7719" s="28"/>
      <c r="X7719" s="28">
        <v>1489000</v>
      </c>
      <c r="Y7719" s="28">
        <v>24877679000</v>
      </c>
      <c r="Z7719" s="28">
        <v>12886139000</v>
      </c>
      <c r="AA7719" s="28">
        <v>611195000</v>
      </c>
      <c r="AB7719" s="28">
        <v>4759782000</v>
      </c>
      <c r="AC7719" s="28">
        <v>8025372000</v>
      </c>
      <c r="AD7719" s="28">
        <v>14260142000</v>
      </c>
      <c r="AE7719" s="28">
        <v>11620832000</v>
      </c>
      <c r="AF7719" s="28">
        <v>2714885000</v>
      </c>
      <c r="AG7719" s="11"/>
    </row>
    <row r="7720">
      <c r="A7720" s="7" t="s">
        <v>9264</v>
      </c>
      <c r="B7720" s="5" t="s">
        <v>17181</v>
      </c>
      <c r="C7720" s="5" t="s">
        <v>24760</v>
      </c>
      <c r="D7720" s="5" t="str">
        <v>362601415320</v>
      </c>
      <c r="E7720" s="0" t="e">
        <f>+7 (474) 2726873
+7 (474) 2726880</f>
        <v>#NAME?</v>
      </c>
      <c r="F7720" s="5" t="s">
        <v>47678</v>
      </c>
      <c r="G7720" s="5"/>
      <c r="H7720" s="26">
        <v>8.5</v>
      </c>
      <c r="I7720" s="5" t="s">
        <v>47679</v>
      </c>
      <c r="J7720" s="5" t="s">
        <v>25371</v>
      </c>
      <c r="K7720" s="5" t="s">
        <v>344</v>
      </c>
      <c r="L7720" s="5" t="s">
        <v>47680</v>
      </c>
      <c r="M7720" s="27">
        <v>13467370</v>
      </c>
      <c r="N7720" s="5"/>
      <c r="O7720" s="5" t="str">
        <v>4812042756</v>
      </c>
      <c r="P7720" s="27">
        <v>325277991</v>
      </c>
      <c r="Q7720" s="5" t="s">
        <v>49009</v>
      </c>
      <c r="R7720" s="5" t="s">
        <v>60821</v>
      </c>
      <c r="S7720" s="5" t="s">
        <v>49028</v>
      </c>
      <c r="T7720" s="28">
        <v>24514571000</v>
      </c>
      <c r="U7720" s="28">
        <v>34020000</v>
      </c>
      <c r="V7720" s="28">
        <v>4167524000</v>
      </c>
      <c r="W7720" s="28"/>
      <c r="X7720" s="28">
        <v>11574000</v>
      </c>
      <c r="Y7720" s="28">
        <v>38696398000</v>
      </c>
      <c r="Z7720" s="28">
        <v>9069506000</v>
      </c>
      <c r="AA7720" s="28">
        <v>5691711000</v>
      </c>
      <c r="AB7720" s="28">
        <v>17464428000</v>
      </c>
      <c r="AC7720" s="28">
        <v>22477320000</v>
      </c>
      <c r="AD7720" s="28">
        <v>10367893000</v>
      </c>
      <c r="AE7720" s="28">
        <v>35637196000</v>
      </c>
      <c r="AF7720" s="28">
        <v>2825075000</v>
      </c>
      <c r="AG7720" s="11"/>
    </row>
    <row r="7721">
      <c r="A7721" s="7" t="s">
        <v>9265</v>
      </c>
      <c r="B7721" s="5" t="s">
        <v>17182</v>
      </c>
      <c r="C7721" s="5" t="s">
        <v>24761</v>
      </c>
      <c r="D7721" s="5" t="str">
        <v>660307730072</v>
      </c>
      <c r="E7721" s="0" t="e">
        <f>+7 (343) 3834109
+7 (912) 6575058</f>
        <v>#NAME?</v>
      </c>
      <c r="F7721" s="5" t="s">
        <v>47681</v>
      </c>
      <c r="G7721" s="5"/>
      <c r="H7721" s="26">
        <v>5</v>
      </c>
      <c r="I7721" s="5" t="s">
        <v>47682</v>
      </c>
      <c r="J7721" s="5" t="s">
        <v>955</v>
      </c>
      <c r="K7721" s="5" t="s">
        <v>344</v>
      </c>
      <c r="L7721" s="5" t="s">
        <v>47683</v>
      </c>
      <c r="M7721" s="27"/>
      <c r="N7721" s="5"/>
      <c r="O7721" s="5" t="str">
        <v>6670461569</v>
      </c>
      <c r="P7721" s="27">
        <v>10000000</v>
      </c>
      <c r="Q7721" s="5" t="s">
        <v>49009</v>
      </c>
      <c r="R7721" s="5"/>
      <c r="S7721" s="5" t="s">
        <v>49010</v>
      </c>
      <c r="T7721" s="28">
        <v>302035000</v>
      </c>
      <c r="U7721" s="28">
        <v>10300000</v>
      </c>
      <c r="V7721" s="28">
        <v>138404000</v>
      </c>
      <c r="W7721" s="28"/>
      <c r="X7721" s="28">
        <v>16618000</v>
      </c>
      <c r="Y7721" s="28">
        <v>956569000</v>
      </c>
      <c r="Z7721" s="28">
        <v>177003000</v>
      </c>
      <c r="AA7721" s="28">
        <v>368529000</v>
      </c>
      <c r="AB7721" s="28">
        <v>561000</v>
      </c>
      <c r="AC7721" s="28">
        <v>327026000</v>
      </c>
      <c r="AD7721" s="28">
        <v>187003000</v>
      </c>
      <c r="AE7721" s="28">
        <v>6317491000</v>
      </c>
      <c r="AF7721" s="28">
        <v>55501000</v>
      </c>
      <c r="AG7721" s="11"/>
    </row>
    <row r="7722">
      <c r="A7722" s="7" t="s">
        <v>9266</v>
      </c>
      <c r="B7722" s="5" t="s">
        <v>17183</v>
      </c>
      <c r="C7722" s="5" t="s">
        <v>24762</v>
      </c>
      <c r="D7722" s="5" t="str">
        <v>420301094609</v>
      </c>
      <c r="E7722" s="0" t="e">
        <f>+7 (34369) 96212
+7 (34369) 96300
+7 (38445) 37714
+7 (38445) 96000
+7 (38445) 96383</f>
        <v>#NAME?</v>
      </c>
      <c r="F7722" s="5" t="s">
        <v>47684</v>
      </c>
      <c r="G7722" s="5"/>
      <c r="H7722" s="26">
        <v>31</v>
      </c>
      <c r="I7722" s="5"/>
      <c r="J7722" s="5" t="s">
        <v>28484</v>
      </c>
      <c r="K7722" s="5" t="s">
        <v>344</v>
      </c>
      <c r="L7722" s="5" t="s">
        <v>47685</v>
      </c>
      <c r="M7722" s="27">
        <v>349692</v>
      </c>
      <c r="N7722" s="5" t="s">
        <v>54794</v>
      </c>
      <c r="O7722" s="5" t="str">
        <v>4203001913</v>
      </c>
      <c r="P7722" s="27">
        <v>533947000</v>
      </c>
      <c r="Q7722" s="5" t="s">
        <v>49324</v>
      </c>
      <c r="R7722" s="5"/>
      <c r="S7722" s="5" t="s">
        <v>60822</v>
      </c>
      <c r="T7722" s="28">
        <v>16755299000</v>
      </c>
      <c r="U7722" s="28">
        <v>30569000</v>
      </c>
      <c r="V7722" s="28">
        <v>5893603000</v>
      </c>
      <c r="W7722" s="28">
        <v>3247152000</v>
      </c>
      <c r="X7722" s="28">
        <v>14034000</v>
      </c>
      <c r="Y7722" s="28">
        <v>30063746000</v>
      </c>
      <c r="Z7722" s="28">
        <v>14253021000</v>
      </c>
      <c r="AA7722" s="28">
        <v>2306071000</v>
      </c>
      <c r="AB7722" s="28">
        <v>1633880000</v>
      </c>
      <c r="AC7722" s="28">
        <v>7670532000</v>
      </c>
      <c r="AD7722" s="28">
        <v>17346484000</v>
      </c>
      <c r="AE7722" s="28">
        <v>43887789000</v>
      </c>
      <c r="AF7722" s="28">
        <v>7205794000</v>
      </c>
      <c r="AG7722" s="11"/>
    </row>
    <row r="7723">
      <c r="A7723" s="7" t="s">
        <v>9267</v>
      </c>
      <c r="B7723" s="5" t="s">
        <v>17184</v>
      </c>
      <c r="C7723" s="5" t="s">
        <v>24763</v>
      </c>
      <c r="D7723" s="5" t="str">
        <v>614906530600</v>
      </c>
      <c r="E7723" s="0" t="e">
        <f>+7 (47474) 27100
+7 (903) 8622102
+7 (903) 8645616
+7 (903) 8646761
+7 (905) 6841252
+7 (909) 2184598
+7 (909) 2184607
+7 (961) 326150
+7 (961) 6020392
+7 (961) 6057595</f>
        <v>#NAME?</v>
      </c>
      <c r="F7723" s="5"/>
      <c r="G7723" s="5"/>
      <c r="H7723" s="26">
        <v>11</v>
      </c>
      <c r="I7723" s="5" t="s">
        <v>47686</v>
      </c>
      <c r="J7723" s="5" t="s">
        <v>25800</v>
      </c>
      <c r="K7723" s="5" t="s">
        <v>344</v>
      </c>
      <c r="L7723" s="5"/>
      <c r="M7723" s="27"/>
      <c r="N7723" s="5"/>
      <c r="O7723" s="5" t="str">
        <v>4815006410</v>
      </c>
      <c r="P7723" s="27">
        <v>1840000000</v>
      </c>
      <c r="Q7723" s="5" t="s">
        <v>49059</v>
      </c>
      <c r="R7723" s="5"/>
      <c r="S7723" s="5" t="s">
        <v>49121</v>
      </c>
      <c r="T7723" s="28">
        <v>8124452000</v>
      </c>
      <c r="U7723" s="28"/>
      <c r="V7723" s="28">
        <v>24146000</v>
      </c>
      <c r="W7723" s="28"/>
      <c r="X7723" s="28">
        <v>960000</v>
      </c>
      <c r="Y7723" s="28">
        <v>9010068000</v>
      </c>
      <c r="Z7723" s="28">
        <v>-771263000</v>
      </c>
      <c r="AA7723" s="28">
        <v>2794139000</v>
      </c>
      <c r="AB7723" s="28">
        <v>2148000</v>
      </c>
      <c r="AC7723" s="28">
        <v>152487000</v>
      </c>
      <c r="AD7723" s="28">
        <v>3797483000</v>
      </c>
      <c r="AE7723" s="28">
        <v>6095765000</v>
      </c>
      <c r="AF7723" s="28">
        <v>318836000</v>
      </c>
      <c r="AG7723" s="11"/>
    </row>
    <row r="7724">
      <c r="A7724" s="7" t="s">
        <v>9268</v>
      </c>
      <c r="B7724" s="5" t="s">
        <v>17185</v>
      </c>
      <c r="C7724" s="5" t="s">
        <v>24764</v>
      </c>
      <c r="D7724" s="5" t="str">
        <v>720601557905</v>
      </c>
      <c r="E7724" s="0" t="e">
        <f>+7 (8617) 293451
+7 (8617) 251401</f>
        <v>#NAME?</v>
      </c>
      <c r="F7724" s="5" t="s">
        <v>47687</v>
      </c>
      <c r="G7724" s="5" t="s">
        <v>47688</v>
      </c>
      <c r="H7724" s="26">
        <v>36</v>
      </c>
      <c r="I7724" s="5" t="s">
        <v>47689</v>
      </c>
      <c r="J7724" s="5" t="s">
        <v>45268</v>
      </c>
      <c r="K7724" s="5" t="s">
        <v>344</v>
      </c>
      <c r="L7724" s="5" t="s">
        <v>47690</v>
      </c>
      <c r="M7724" s="27">
        <v>33365463</v>
      </c>
      <c r="N7724" s="5" t="s">
        <v>60823</v>
      </c>
      <c r="O7724" s="5" t="str">
        <v>2315072242</v>
      </c>
      <c r="P7724" s="27">
        <v>263497</v>
      </c>
      <c r="Q7724" s="5" t="s">
        <v>60824</v>
      </c>
      <c r="R7724" s="5"/>
      <c r="S7724" s="5" t="s">
        <v>60825</v>
      </c>
      <c r="T7724" s="28">
        <v>153927395000</v>
      </c>
      <c r="U7724" s="28">
        <v>36051228000</v>
      </c>
      <c r="V7724" s="28">
        <v>15495748000</v>
      </c>
      <c r="W7724" s="28">
        <v>121397000</v>
      </c>
      <c r="X7724" s="28">
        <v>20337000</v>
      </c>
      <c r="Y7724" s="28">
        <v>213544974000</v>
      </c>
      <c r="Z7724" s="28">
        <v>179870016000</v>
      </c>
      <c r="AA7724" s="28">
        <v>12156017000</v>
      </c>
      <c r="AB7724" s="28">
        <v>82011000</v>
      </c>
      <c r="AC7724" s="28">
        <v>7936138000</v>
      </c>
      <c r="AD7724" s="28">
        <v>181704596000</v>
      </c>
      <c r="AE7724" s="28">
        <v>37333600000</v>
      </c>
      <c r="AF7724" s="28">
        <v>3040896000</v>
      </c>
      <c r="AG7724" s="11"/>
    </row>
    <row r="7725">
      <c r="A7725" s="7" t="s">
        <v>9269</v>
      </c>
      <c r="B7725" s="5" t="s">
        <v>17186</v>
      </c>
      <c r="C7725" s="5" t="s">
        <v>22523</v>
      </c>
      <c r="D7725" s="5"/>
      <c r="F7725" s="5"/>
      <c r="G7725" s="5"/>
      <c r="H7725" s="26">
        <v>6</v>
      </c>
      <c r="I7725" s="5" t="s">
        <v>40830</v>
      </c>
      <c r="J7725" s="5" t="s">
        <v>1081</v>
      </c>
      <c r="K7725" s="5" t="s">
        <v>344</v>
      </c>
      <c r="L7725" s="5" t="s">
        <v>47691</v>
      </c>
      <c r="M7725" s="27"/>
      <c r="N7725" s="5"/>
      <c r="O7725" s="5" t="str">
        <v>7728356380</v>
      </c>
      <c r="P7725" s="27">
        <v>10000</v>
      </c>
      <c r="Q7725" s="5" t="s">
        <v>49009</v>
      </c>
      <c r="R7725" s="5"/>
      <c r="S7725" s="5" t="s">
        <v>49010</v>
      </c>
      <c r="T7725" s="28">
        <v>253535000</v>
      </c>
      <c r="U7725" s="28"/>
      <c r="V7725" s="28">
        <v>12911302000</v>
      </c>
      <c r="W7725" s="28"/>
      <c r="X7725" s="28">
        <v>2377333000</v>
      </c>
      <c r="Y7725" s="28">
        <v>16668593000</v>
      </c>
      <c r="Z7725" s="28">
        <v>26008000</v>
      </c>
      <c r="AA7725" s="28">
        <v>13809640000</v>
      </c>
      <c r="AB7725" s="28">
        <v>709960000</v>
      </c>
      <c r="AC7725" s="28">
        <v>2578998000</v>
      </c>
      <c r="AD7725" s="28">
        <v>26238000</v>
      </c>
      <c r="AE7725" s="28">
        <v>6665922000</v>
      </c>
      <c r="AF7725" s="28">
        <v>13319000</v>
      </c>
      <c r="AG7725" s="11"/>
    </row>
    <row r="7726">
      <c r="A7726" s="7" t="s">
        <v>9270</v>
      </c>
      <c r="B7726" s="5" t="s">
        <v>17187</v>
      </c>
      <c r="C7726" s="5" t="s">
        <v>18905</v>
      </c>
      <c r="D7726" s="5"/>
      <c r="E7726" s="0" t="e">
        <f>+7 (495) 3367600
+7 (495) 7373242
+7 (495) 7883101
+7 (495) 7884688
+7 (495) 7868917</f>
        <v>#NAME?</v>
      </c>
      <c r="F7726" s="5"/>
      <c r="G7726" s="5"/>
      <c r="H7726" s="26">
        <v>4.5</v>
      </c>
      <c r="I7726" s="5" t="s">
        <v>47692</v>
      </c>
      <c r="J7726" s="5" t="s">
        <v>27640</v>
      </c>
      <c r="K7726" s="5" t="s">
        <v>344</v>
      </c>
      <c r="L7726" s="5" t="s">
        <v>47693</v>
      </c>
      <c r="M7726" s="27"/>
      <c r="N7726" s="5"/>
      <c r="O7726" s="5" t="str">
        <v>7703466461</v>
      </c>
      <c r="P7726" s="27">
        <v>416093000</v>
      </c>
      <c r="Q7726" s="5" t="s">
        <v>60826</v>
      </c>
      <c r="R7726" s="5"/>
      <c r="S7726" s="5" t="s">
        <v>60827</v>
      </c>
      <c r="T7726" s="28">
        <v>17319793000</v>
      </c>
      <c r="U7726" s="28"/>
      <c r="V7726" s="28">
        <v>853460000</v>
      </c>
      <c r="W7726" s="28"/>
      <c r="X7726" s="28">
        <v>1321458000</v>
      </c>
      <c r="Y7726" s="28">
        <v>19726610000</v>
      </c>
      <c r="Z7726" s="28">
        <v>995233000</v>
      </c>
      <c r="AA7726" s="28">
        <v>12989857000</v>
      </c>
      <c r="AB7726" s="28">
        <v>945271000</v>
      </c>
      <c r="AC7726" s="28">
        <v>1418403000</v>
      </c>
      <c r="AD7726" s="28">
        <v>5156163000</v>
      </c>
      <c r="AE7726" s="28">
        <v>4654133000</v>
      </c>
      <c r="AF7726" s="28">
        <v>788702000</v>
      </c>
      <c r="AG7726" s="11"/>
    </row>
    <row r="7727">
      <c r="A7727" s="7" t="s">
        <v>9271</v>
      </c>
      <c r="B7727" s="5" t="s">
        <v>17188</v>
      </c>
      <c r="C7727" s="5" t="s">
        <v>24765</v>
      </c>
      <c r="D7727" s="5" t="str">
        <v>462902444504</v>
      </c>
      <c r="E7727" s="0" t="e">
        <f>+7 (495) 6639014</f>
        <v>#NAME?</v>
      </c>
      <c r="F7727" s="5" t="s">
        <v>47694</v>
      </c>
      <c r="G7727" s="5"/>
      <c r="H7727" s="26">
        <v>13.5</v>
      </c>
      <c r="I7727" s="5" t="s">
        <v>47695</v>
      </c>
      <c r="J7727" s="5" t="s">
        <v>27956</v>
      </c>
      <c r="K7727" s="5" t="s">
        <v>344</v>
      </c>
      <c r="L7727" s="5" t="s">
        <v>47696</v>
      </c>
      <c r="M7727" s="27"/>
      <c r="N7727" s="5"/>
      <c r="O7727" s="5" t="str">
        <v>5048017724</v>
      </c>
      <c r="P7727" s="27">
        <v>10000</v>
      </c>
      <c r="Q7727" s="5"/>
      <c r="R7727" s="5"/>
      <c r="S7727" s="5" t="s">
        <v>49029</v>
      </c>
      <c r="T7727" s="28">
        <v>13264000</v>
      </c>
      <c r="U7727" s="28"/>
      <c r="V7727" s="28">
        <v>428485000</v>
      </c>
      <c r="W7727" s="28"/>
      <c r="X7727" s="28">
        <v>892000</v>
      </c>
      <c r="Y7727" s="28">
        <v>896262000</v>
      </c>
      <c r="Z7727" s="28">
        <v>308846000</v>
      </c>
      <c r="AA7727" s="28"/>
      <c r="AB7727" s="28">
        <v>490854000</v>
      </c>
      <c r="AC7727" s="28">
        <v>587406000</v>
      </c>
      <c r="AD7727" s="28">
        <v>308856000</v>
      </c>
      <c r="AE7727" s="28">
        <v>5326559000</v>
      </c>
      <c r="AF7727" s="28">
        <v>142356000</v>
      </c>
      <c r="AG7727" s="11"/>
    </row>
    <row r="7728">
      <c r="A7728" s="7" t="s">
        <v>9272</v>
      </c>
      <c r="B7728" s="5" t="s">
        <v>17189</v>
      </c>
      <c r="C7728" s="5" t="s">
        <v>24766</v>
      </c>
      <c r="D7728" s="5" t="str">
        <v>771676563723</v>
      </c>
      <c r="E7728" s="0" t="e">
        <f>+7 (871) 2299701
+7 (871) 2299702
+7 (871) 2299705
+7 (87146) 22236
+7 (928) 171387</f>
        <v>#NAME?</v>
      </c>
      <c r="F7728" s="5" t="s">
        <v>47697</v>
      </c>
      <c r="G7728" s="5"/>
      <c r="H7728" s="26">
        <v>22.5</v>
      </c>
      <c r="I7728" s="5"/>
      <c r="J7728" s="5" t="s">
        <v>26407</v>
      </c>
      <c r="K7728" s="5" t="s">
        <v>344</v>
      </c>
      <c r="L7728" s="5"/>
      <c r="M7728" s="27">
        <v>1743750</v>
      </c>
      <c r="N7728" s="5" t="s">
        <v>50908</v>
      </c>
      <c r="O7728" s="5" t="str">
        <v>2012006949</v>
      </c>
      <c r="P7728" s="27">
        <v>1238828000</v>
      </c>
      <c r="Q7728" s="5" t="s">
        <v>49009</v>
      </c>
      <c r="R7728" s="5"/>
      <c r="S7728" s="5" t="s">
        <v>49010</v>
      </c>
      <c r="T7728" s="28">
        <v>4132310000</v>
      </c>
      <c r="U7728" s="28"/>
      <c r="V7728" s="28">
        <v>520306000</v>
      </c>
      <c r="W7728" s="28"/>
      <c r="X7728" s="28">
        <v>102877000</v>
      </c>
      <c r="Y7728" s="28">
        <v>5811950000</v>
      </c>
      <c r="Z7728" s="28">
        <v>884285000</v>
      </c>
      <c r="AA7728" s="28">
        <v>612079000</v>
      </c>
      <c r="AB7728" s="28"/>
      <c r="AC7728" s="28">
        <v>1290265000</v>
      </c>
      <c r="AD7728" s="28">
        <v>2665041000</v>
      </c>
      <c r="AE7728" s="28">
        <v>3197226000</v>
      </c>
      <c r="AF7728" s="28">
        <v>227311000</v>
      </c>
      <c r="AG7728" s="11"/>
    </row>
    <row r="7729">
      <c r="A7729" s="7" t="s">
        <v>9273</v>
      </c>
      <c r="B7729" s="5" t="s">
        <v>17190</v>
      </c>
      <c r="C7729" s="5" t="s">
        <v>24767</v>
      </c>
      <c r="D7729" s="5"/>
      <c r="E7729" s="0" t="e">
        <f>+7 (8112) 226438
+7 (818) 2226438
+7 (871) 2222027
+7 (871) 2222144
+7 (871) 2222643
+7 (871) 2222719
+7 (871) 2223468
+7 (871) 2226138
+7 (871) 2226413
+7 (871) 2226469
+7 (871) 2232224
+7 (871) 2234567
+7 (871) 2223080
+7 (871) 2226428
+7 (871) 2226738</f>
        <v>#NAME?</v>
      </c>
      <c r="F7729" s="5" t="s">
        <v>47698</v>
      </c>
      <c r="G7729" s="5"/>
      <c r="H7729" s="26">
        <v>15</v>
      </c>
      <c r="I7729" s="5"/>
      <c r="J7729" s="5" t="s">
        <v>27802</v>
      </c>
      <c r="K7729" s="5" t="s">
        <v>355</v>
      </c>
      <c r="L7729" s="5"/>
      <c r="M7729" s="27">
        <v>330103113</v>
      </c>
      <c r="N7729" s="5" t="s">
        <v>60828</v>
      </c>
      <c r="O7729" s="5" t="str">
        <v>2016081143</v>
      </c>
      <c r="P7729" s="27">
        <v>10603938459</v>
      </c>
      <c r="Q7729" s="5" t="s">
        <v>60830</v>
      </c>
      <c r="R7729" s="5"/>
      <c r="S7729" s="5" t="s">
        <v>49288</v>
      </c>
      <c r="T7729" s="28">
        <v>5280351000</v>
      </c>
      <c r="U7729" s="28"/>
      <c r="V7729" s="28">
        <v>1648622000</v>
      </c>
      <c r="W7729" s="28"/>
      <c r="X7729" s="28">
        <v>3561229000</v>
      </c>
      <c r="Y7729" s="28">
        <v>11112595000</v>
      </c>
      <c r="Z7729" s="28">
        <v>-23437563000</v>
      </c>
      <c r="AA7729" s="28">
        <v>309621000</v>
      </c>
      <c r="AB7729" s="28">
        <v>147841000</v>
      </c>
      <c r="AC7729" s="28">
        <v>8742787000</v>
      </c>
      <c r="AD7729" s="28">
        <v>2109734000</v>
      </c>
      <c r="AE7729" s="28">
        <v>7115746000</v>
      </c>
      <c r="AF7729" s="28">
        <v>-1561110000</v>
      </c>
      <c r="AG7729" s="11"/>
    </row>
    <row r="7730">
      <c r="A7730" s="7" t="s">
        <v>9274</v>
      </c>
      <c r="B7730" s="5" t="s">
        <v>17191</v>
      </c>
      <c r="C7730" s="5" t="s">
        <v>24768</v>
      </c>
      <c r="D7730" s="5" t="str">
        <v>744914103040</v>
      </c>
      <c r="E7730" s="0" t="e">
        <f>+7 (351) 7929106
+7 (3517) 299106
+7 (4912) 293401
+7 (499) 7044018
+7 (499) 7045991
+7 (499) 7050276
+7 (800) 3339325</f>
        <v>#NAME?</v>
      </c>
      <c r="F7730" s="5" t="s">
        <v>47699</v>
      </c>
      <c r="G7730" s="5" t="s">
        <v>47700</v>
      </c>
      <c r="H7730" s="26">
        <v>14.5</v>
      </c>
      <c r="I7730" s="5" t="s">
        <v>47701</v>
      </c>
      <c r="J7730" s="5" t="s">
        <v>445</v>
      </c>
      <c r="K7730" s="5" t="s">
        <v>344</v>
      </c>
      <c r="L7730" s="5" t="s">
        <v>47702</v>
      </c>
      <c r="M7730" s="27"/>
      <c r="N7730" s="5" t="s">
        <v>60831</v>
      </c>
      <c r="O7730" s="5" t="str">
        <v>7450061013</v>
      </c>
      <c r="P7730" s="27">
        <v>150000</v>
      </c>
      <c r="Q7730" s="5" t="s">
        <v>60832</v>
      </c>
      <c r="R7730" s="5"/>
      <c r="S7730" s="5" t="s">
        <v>60833</v>
      </c>
      <c r="T7730" s="28">
        <v>517283000</v>
      </c>
      <c r="U7730" s="28"/>
      <c r="V7730" s="28">
        <v>665392000</v>
      </c>
      <c r="W7730" s="28"/>
      <c r="X7730" s="28">
        <v>250979000</v>
      </c>
      <c r="Y7730" s="28">
        <v>1966973000</v>
      </c>
      <c r="Z7730" s="28">
        <v>375759000</v>
      </c>
      <c r="AA7730" s="28">
        <v>50000000</v>
      </c>
      <c r="AB7730" s="28">
        <v>636000</v>
      </c>
      <c r="AC7730" s="28">
        <v>1460395000</v>
      </c>
      <c r="AD7730" s="28">
        <v>375909000</v>
      </c>
      <c r="AE7730" s="28">
        <v>3548448000</v>
      </c>
      <c r="AF7730" s="28">
        <v>334728000</v>
      </c>
      <c r="AG7730" s="11"/>
    </row>
    <row r="7731">
      <c r="A7731" s="7" t="s">
        <v>9275</v>
      </c>
      <c r="B7731" s="5" t="s">
        <v>17192</v>
      </c>
      <c r="C7731" s="5" t="s">
        <v>24769</v>
      </c>
      <c r="D7731" s="5" t="str">
        <v>745307123334</v>
      </c>
      <c r="E7731" s="0" t="e">
        <f>+7 (351) 2721666
+7 (351) 2721709
+7 (351) 7410809
+7 (351) 7721666
+7 (3512) 594715
+7 (3512) 594721
+7 (3512) 594751
+7 (3512) 594780
+7 (3512) 594800
+7 (3512) 594812
+7 (3512) 594828
+7 (3512) 594851
+7 (3512) 594869
+7 (3512) 594928
+7 (3512) 594933</f>
        <v>#NAME?</v>
      </c>
      <c r="F7731" s="5" t="s">
        <v>47703</v>
      </c>
      <c r="G7731" s="5" t="s">
        <v>47704</v>
      </c>
      <c r="H7731" s="26">
        <v>29.5</v>
      </c>
      <c r="I7731" s="5" t="s">
        <v>47705</v>
      </c>
      <c r="J7731" s="5" t="s">
        <v>445</v>
      </c>
      <c r="K7731" s="5" t="s">
        <v>344</v>
      </c>
      <c r="L7731" s="5"/>
      <c r="M7731" s="27">
        <v>5469391</v>
      </c>
      <c r="N7731" s="5" t="s">
        <v>60834</v>
      </c>
      <c r="O7731" s="5" t="str">
        <v>7447014976</v>
      </c>
      <c r="P7731" s="27">
        <v>83828745</v>
      </c>
      <c r="Q7731" s="5" t="s">
        <v>60835</v>
      </c>
      <c r="R7731" s="5"/>
      <c r="S7731" s="5" t="s">
        <v>49020</v>
      </c>
      <c r="T7731" s="28">
        <v>1614335000</v>
      </c>
      <c r="U7731" s="28">
        <v>78382000</v>
      </c>
      <c r="V7731" s="28">
        <v>2242799000</v>
      </c>
      <c r="W7731" s="28">
        <v>5075000</v>
      </c>
      <c r="X7731" s="28">
        <v>64563000</v>
      </c>
      <c r="Y7731" s="28">
        <v>4334764000</v>
      </c>
      <c r="Z7731" s="28">
        <v>268504000</v>
      </c>
      <c r="AA7731" s="28">
        <v>500000000</v>
      </c>
      <c r="AB7731" s="28">
        <v>334484000</v>
      </c>
      <c r="AC7731" s="28">
        <v>2236455000</v>
      </c>
      <c r="AD7731" s="28">
        <v>1562895000</v>
      </c>
      <c r="AE7731" s="28">
        <v>9563139000</v>
      </c>
      <c r="AF7731" s="28">
        <v>235886000</v>
      </c>
      <c r="AG7731" s="11"/>
    </row>
    <row r="7732">
      <c r="A7732" s="7" t="s">
        <v>9276</v>
      </c>
      <c r="B7732" s="5" t="s">
        <v>17193</v>
      </c>
      <c r="C7732" s="5" t="s">
        <v>24770</v>
      </c>
      <c r="D7732" s="5" t="str">
        <v>230805919962</v>
      </c>
      <c r="E7732" s="0" t="e">
        <f>+7 (495) 7300700
+7 (495) 7307711
+7 (495) 9812705
+7 (495) 9812792
+7 (495) 9812795
+7 (495) 9812798</f>
        <v>#NAME?</v>
      </c>
      <c r="F7732" s="5" t="s">
        <v>47706</v>
      </c>
      <c r="G7732" s="5" t="s">
        <v>47707</v>
      </c>
      <c r="H7732" s="26">
        <v>19.5</v>
      </c>
      <c r="I7732" s="5" t="s">
        <v>47708</v>
      </c>
      <c r="J7732" s="5" t="s">
        <v>25419</v>
      </c>
      <c r="K7732" s="5" t="s">
        <v>344</v>
      </c>
      <c r="L7732" s="5" t="s">
        <v>32207</v>
      </c>
      <c r="M7732" s="27"/>
      <c r="N7732" s="5"/>
      <c r="O7732" s="5" t="str">
        <v>7710502329</v>
      </c>
      <c r="P7732" s="27">
        <v>368006040</v>
      </c>
      <c r="Q7732" s="5"/>
      <c r="R7732" s="5"/>
      <c r="S7732" s="5" t="s">
        <v>49029</v>
      </c>
      <c r="T7732" s="28">
        <v>45087000</v>
      </c>
      <c r="U7732" s="28"/>
      <c r="V7732" s="28">
        <v>990507000</v>
      </c>
      <c r="W7732" s="28"/>
      <c r="X7732" s="28">
        <v>25397000</v>
      </c>
      <c r="Y7732" s="28">
        <v>2040498000</v>
      </c>
      <c r="Z7732" s="28">
        <v>1681095000</v>
      </c>
      <c r="AA7732" s="28"/>
      <c r="AB7732" s="28">
        <v>157293000</v>
      </c>
      <c r="AC7732" s="28">
        <v>284827000</v>
      </c>
      <c r="AD7732" s="28">
        <v>1750562000</v>
      </c>
      <c r="AE7732" s="28">
        <v>3462867000</v>
      </c>
      <c r="AF7732" s="28">
        <v>681255000</v>
      </c>
      <c r="AG7732" s="11"/>
    </row>
    <row r="7733">
      <c r="A7733" s="7" t="s">
        <v>9277</v>
      </c>
      <c r="B7733" s="5" t="s">
        <v>17194</v>
      </c>
      <c r="C7733" s="5" t="s">
        <v>24771</v>
      </c>
      <c r="D7733" s="5" t="str">
        <v>773414375677</v>
      </c>
      <c r="E7733" s="0" t="e">
        <f>+7 (499) 5190030</f>
        <v>#NAME?</v>
      </c>
      <c r="F7733" s="5"/>
      <c r="G7733" s="5"/>
      <c r="H7733" s="26">
        <v>10.5</v>
      </c>
      <c r="I7733" s="5" t="s">
        <v>47709</v>
      </c>
      <c r="J7733" s="5" t="s">
        <v>26511</v>
      </c>
      <c r="K7733" s="5" t="s">
        <v>344</v>
      </c>
      <c r="L7733" s="5" t="s">
        <v>47710</v>
      </c>
      <c r="M7733" s="27"/>
      <c r="N7733" s="5"/>
      <c r="O7733" s="5" t="str">
        <v>7720751941</v>
      </c>
      <c r="P7733" s="27">
        <v>300000</v>
      </c>
      <c r="Q7733" s="5" t="s">
        <v>49021</v>
      </c>
      <c r="R7733" s="5"/>
      <c r="S7733" s="5" t="s">
        <v>52798</v>
      </c>
      <c r="T7733" s="28">
        <v>24278000</v>
      </c>
      <c r="U7733" s="28"/>
      <c r="V7733" s="28">
        <v>560102000</v>
      </c>
      <c r="W7733" s="28"/>
      <c r="X7733" s="28">
        <v>37528000</v>
      </c>
      <c r="Y7733" s="28">
        <v>1179372000</v>
      </c>
      <c r="Z7733" s="28">
        <v>409802000</v>
      </c>
      <c r="AA7733" s="28">
        <v>59000000</v>
      </c>
      <c r="AB7733" s="28">
        <v>455478000</v>
      </c>
      <c r="AC7733" s="28">
        <v>710267000</v>
      </c>
      <c r="AD7733" s="28">
        <v>410102000</v>
      </c>
      <c r="AE7733" s="28">
        <v>7757925000</v>
      </c>
      <c r="AF7733" s="28">
        <v>160610000</v>
      </c>
      <c r="AG7733" s="11"/>
    </row>
    <row r="7734">
      <c r="A7734" s="7" t="s">
        <v>9278</v>
      </c>
      <c r="B7734" s="5" t="s">
        <v>17195</v>
      </c>
      <c r="C7734" s="5" t="s">
        <v>24772</v>
      </c>
      <c r="D7734" s="5" t="str">
        <v>500303069502</v>
      </c>
      <c r="E7734" s="0" t="e">
        <f>+7 (495) 5000753
+7 (495) 5440007
+7 (495) 5440008
+7 (495) 6310963
+7 (495) 6313145
+7 (495) 7809500
+7 (495) 7809509</f>
        <v>#NAME?</v>
      </c>
      <c r="F7734" s="5" t="s">
        <v>47711</v>
      </c>
      <c r="G7734" s="5" t="s">
        <v>47712</v>
      </c>
      <c r="H7734" s="26">
        <v>28</v>
      </c>
      <c r="I7734" s="5"/>
      <c r="J7734" s="5" t="s">
        <v>28568</v>
      </c>
      <c r="K7734" s="5" t="s">
        <v>344</v>
      </c>
      <c r="L7734" s="5" t="s">
        <v>47713</v>
      </c>
      <c r="M7734" s="27">
        <v>38573</v>
      </c>
      <c r="N7734" s="5" t="s">
        <v>60836</v>
      </c>
      <c r="O7734" s="5" t="str">
        <v>7729108750</v>
      </c>
      <c r="P7734" s="27">
        <v>30000</v>
      </c>
      <c r="Q7734" s="5" t="s">
        <v>49009</v>
      </c>
      <c r="R7734" s="5"/>
      <c r="S7734" s="5" t="s">
        <v>49256</v>
      </c>
      <c r="T7734" s="28">
        <v>608120000</v>
      </c>
      <c r="U7734" s="28">
        <v>11766000</v>
      </c>
      <c r="V7734" s="28">
        <v>694348000</v>
      </c>
      <c r="W7734" s="28">
        <v>170400000</v>
      </c>
      <c r="X7734" s="28">
        <v>227233000</v>
      </c>
      <c r="Y7734" s="28">
        <v>3418349000</v>
      </c>
      <c r="Z7734" s="28">
        <v>2067880000</v>
      </c>
      <c r="AA7734" s="28"/>
      <c r="AB7734" s="28"/>
      <c r="AC7734" s="28">
        <v>677678000</v>
      </c>
      <c r="AD7734" s="28">
        <v>2067931000</v>
      </c>
      <c r="AE7734" s="28">
        <v>6975329000</v>
      </c>
      <c r="AF7734" s="28">
        <v>1420057000</v>
      </c>
      <c r="AG7734" s="11"/>
    </row>
    <row r="7735">
      <c r="A7735" s="7" t="s">
        <v>9279</v>
      </c>
      <c r="B7735" s="5" t="s">
        <v>17196</v>
      </c>
      <c r="C7735" s="5" t="s">
        <v>24773</v>
      </c>
      <c r="D7735" s="5" t="str">
        <v>781615272138</v>
      </c>
      <c r="E7735" s="0" t="e">
        <f>+7 (812) 1417000
+7 (812) 1418000
+7 (812) 3363500
+7 (812) 7108195
+7 (812) 7775077</f>
        <v>#NAME?</v>
      </c>
      <c r="F7735" s="5" t="s">
        <v>47714</v>
      </c>
      <c r="G7735" s="5" t="s">
        <v>47715</v>
      </c>
      <c r="H7735" s="26">
        <v>23.5</v>
      </c>
      <c r="I7735" s="5" t="s">
        <v>47716</v>
      </c>
      <c r="J7735" s="5" t="s">
        <v>26410</v>
      </c>
      <c r="K7735" s="5" t="s">
        <v>344</v>
      </c>
      <c r="L7735" s="5"/>
      <c r="M7735" s="27"/>
      <c r="N7735" s="5"/>
      <c r="O7735" s="5" t="str">
        <v>7807061269</v>
      </c>
      <c r="P7735" s="27">
        <v>1313019222</v>
      </c>
      <c r="Q7735" s="5" t="s">
        <v>49009</v>
      </c>
      <c r="R7735" s="5"/>
      <c r="S7735" s="5" t="s">
        <v>49066</v>
      </c>
      <c r="T7735" s="28">
        <v>1157477000</v>
      </c>
      <c r="U7735" s="28"/>
      <c r="V7735" s="28">
        <v>962823000</v>
      </c>
      <c r="W7735" s="28"/>
      <c r="X7735" s="28">
        <v>1154732000</v>
      </c>
      <c r="Y7735" s="28">
        <v>4231610000</v>
      </c>
      <c r="Z7735" s="28">
        <v>1739024000</v>
      </c>
      <c r="AA7735" s="28"/>
      <c r="AB7735" s="28"/>
      <c r="AC7735" s="28">
        <v>1022198000</v>
      </c>
      <c r="AD7735" s="28">
        <v>3052054000</v>
      </c>
      <c r="AE7735" s="28">
        <v>8156865000</v>
      </c>
      <c r="AF7735" s="28">
        <v>884022000</v>
      </c>
      <c r="AG7735" s="11"/>
    </row>
    <row r="7736">
      <c r="A7736" s="7" t="s">
        <v>9280</v>
      </c>
      <c r="B7736" s="5" t="s">
        <v>17197</v>
      </c>
      <c r="C7736" s="5" t="s">
        <v>24774</v>
      </c>
      <c r="D7736" s="5" t="str">
        <v>281300175000</v>
      </c>
      <c r="E7736" s="0" t="e">
        <f>+7 (872) 2641151
+7 (872) 2676869
+7 (926) 6315105
+7 (928) 5002976</f>
        <v>#NAME?</v>
      </c>
      <c r="F7736" s="5" t="s">
        <v>47717</v>
      </c>
      <c r="G7736" s="5" t="s">
        <v>47718</v>
      </c>
      <c r="H7736" s="26">
        <v>30</v>
      </c>
      <c r="I7736" s="5"/>
      <c r="J7736" s="5" t="s">
        <v>30741</v>
      </c>
      <c r="K7736" s="5" t="s">
        <v>355</v>
      </c>
      <c r="L7736" s="5"/>
      <c r="M7736" s="27">
        <v>207915215</v>
      </c>
      <c r="N7736" s="5" t="s">
        <v>60837</v>
      </c>
      <c r="O7736" s="5" t="str">
        <v>0533001760</v>
      </c>
      <c r="P7736" s="27">
        <v>332920000</v>
      </c>
      <c r="Q7736" s="5" t="s">
        <v>60838</v>
      </c>
      <c r="R7736" s="5" t="s">
        <v>51952</v>
      </c>
      <c r="S7736" s="5" t="s">
        <v>60839</v>
      </c>
      <c r="T7736" s="28">
        <v>448102000</v>
      </c>
      <c r="U7736" s="28"/>
      <c r="V7736" s="28">
        <v>857271000</v>
      </c>
      <c r="W7736" s="28"/>
      <c r="X7736" s="28">
        <v>71975000</v>
      </c>
      <c r="Y7736" s="28">
        <v>4202051000</v>
      </c>
      <c r="Z7736" s="28">
        <v>-733978000</v>
      </c>
      <c r="AA7736" s="28"/>
      <c r="AB7736" s="28">
        <v>517387000</v>
      </c>
      <c r="AC7736" s="28">
        <v>4506308000</v>
      </c>
      <c r="AD7736" s="28">
        <v>-347012000</v>
      </c>
      <c r="AE7736" s="28">
        <v>4930748000</v>
      </c>
      <c r="AF7736" s="28">
        <v>-60609000</v>
      </c>
      <c r="AG7736" s="11"/>
    </row>
    <row r="7737">
      <c r="A7737" s="7" t="s">
        <v>9281</v>
      </c>
      <c r="B7737" s="5" t="s">
        <v>17198</v>
      </c>
      <c r="C7737" s="5" t="s">
        <v>24775</v>
      </c>
      <c r="D7737" s="5" t="str">
        <v>640202930931</v>
      </c>
      <c r="E7737" s="0" t="e">
        <f>+7 (495) 1202233
+7 (800) 5004833
+7 (919) 9976262</f>
        <v>#NAME?</v>
      </c>
      <c r="F7737" s="5"/>
      <c r="G7737" s="5"/>
      <c r="H7737" s="26">
        <v>30</v>
      </c>
      <c r="I7737" s="5" t="s">
        <v>47719</v>
      </c>
      <c r="J7737" s="5" t="s">
        <v>25499</v>
      </c>
      <c r="K7737" s="5" t="s">
        <v>344</v>
      </c>
      <c r="L7737" s="5" t="s">
        <v>47720</v>
      </c>
      <c r="M7737" s="27"/>
      <c r="N7737" s="5"/>
      <c r="O7737" s="5" t="str">
        <v>5008060096</v>
      </c>
      <c r="P7737" s="27">
        <v>2000000</v>
      </c>
      <c r="Q7737" s="5" t="s">
        <v>49009</v>
      </c>
      <c r="R7737" s="5"/>
      <c r="S7737" s="5" t="s">
        <v>49066</v>
      </c>
      <c r="T7737" s="28">
        <v>2942571000</v>
      </c>
      <c r="U7737" s="28"/>
      <c r="V7737" s="28">
        <v>2806964000</v>
      </c>
      <c r="W7737" s="28">
        <v>937000000</v>
      </c>
      <c r="X7737" s="28">
        <v>67774000</v>
      </c>
      <c r="Y7737" s="28">
        <v>6821243000</v>
      </c>
      <c r="Z7737" s="28">
        <v>2938761000</v>
      </c>
      <c r="AA7737" s="28">
        <v>1726397000</v>
      </c>
      <c r="AB7737" s="28">
        <v>263000</v>
      </c>
      <c r="AC7737" s="28">
        <v>1695776000</v>
      </c>
      <c r="AD7737" s="28">
        <v>2940761000</v>
      </c>
      <c r="AE7737" s="28">
        <v>8892030000</v>
      </c>
      <c r="AF7737" s="28">
        <v>808937000</v>
      </c>
      <c r="AG7737" s="11"/>
    </row>
    <row r="7738">
      <c r="A7738" s="7" t="s">
        <v>9282</v>
      </c>
      <c r="B7738" s="5" t="s">
        <v>17199</v>
      </c>
      <c r="C7738" s="5" t="s">
        <v>17806</v>
      </c>
      <c r="D7738" s="5"/>
      <c r="E7738" s="0" t="e">
        <f>+7 (384) 3231121
+7 (3843) 328216
+7 (3843) 328219
+7 (3843) 328221
+7 (3843) 328305
+7 (3843) 420560</f>
        <v>#NAME?</v>
      </c>
      <c r="F7738" s="5" t="s">
        <v>47721</v>
      </c>
      <c r="G7738" s="5"/>
      <c r="H7738" s="26">
        <v>20.5</v>
      </c>
      <c r="I7738" s="5" t="s">
        <v>47722</v>
      </c>
      <c r="J7738" s="5" t="s">
        <v>25371</v>
      </c>
      <c r="K7738" s="5" t="s">
        <v>355</v>
      </c>
      <c r="L7738" s="5"/>
      <c r="M7738" s="27"/>
      <c r="N7738" s="5" t="s">
        <v>60840</v>
      </c>
      <c r="O7738" s="5" t="str">
        <v>4238013194</v>
      </c>
      <c r="P7738" s="27">
        <v>102895104</v>
      </c>
      <c r="Q7738" s="5" t="s">
        <v>49009</v>
      </c>
      <c r="R7738" s="5" t="s">
        <v>60841</v>
      </c>
      <c r="S7738" s="5" t="s">
        <v>49093</v>
      </c>
      <c r="T7738" s="28">
        <v>7251163000</v>
      </c>
      <c r="U7738" s="28"/>
      <c r="V7738" s="28">
        <v>1963173000</v>
      </c>
      <c r="W7738" s="28"/>
      <c r="X7738" s="28">
        <v>4745000</v>
      </c>
      <c r="Y7738" s="28">
        <v>12316363000</v>
      </c>
      <c r="Z7738" s="28">
        <v>360303000</v>
      </c>
      <c r="AA7738" s="28">
        <v>7011572000</v>
      </c>
      <c r="AB7738" s="28">
        <v>2576437000</v>
      </c>
      <c r="AC7738" s="28">
        <v>4798971000</v>
      </c>
      <c r="AD7738" s="28">
        <v>465398000</v>
      </c>
      <c r="AE7738" s="28">
        <v>6865440000</v>
      </c>
      <c r="AF7738" s="28">
        <v>-770958000</v>
      </c>
      <c r="AG7738" s="11"/>
    </row>
    <row r="7739">
      <c r="A7739" s="7" t="s">
        <v>9283</v>
      </c>
      <c r="B7739" s="5" t="s">
        <v>17200</v>
      </c>
      <c r="C7739" s="5" t="s">
        <v>24776</v>
      </c>
      <c r="D7739" s="5" t="str">
        <v>165200086848</v>
      </c>
      <c r="E7739" s="0" t="e">
        <f>+7 (84342) 57230
+7 (986) 9062670
+7 (84342) 56922</f>
        <v>#NAME?</v>
      </c>
      <c r="F7739" s="5" t="s">
        <v>47723</v>
      </c>
      <c r="G7739" s="5" t="s">
        <v>47724</v>
      </c>
      <c r="H7739" s="26">
        <v>8</v>
      </c>
      <c r="I7739" s="5" t="s">
        <v>47725</v>
      </c>
      <c r="J7739" s="5" t="s">
        <v>25812</v>
      </c>
      <c r="K7739" s="5" t="s">
        <v>344</v>
      </c>
      <c r="L7739" s="5" t="s">
        <v>47726</v>
      </c>
      <c r="M7739" s="27"/>
      <c r="N7739" s="5"/>
      <c r="O7739" s="5" t="str">
        <v>1652023130</v>
      </c>
      <c r="P7739" s="27">
        <v>510000</v>
      </c>
      <c r="Q7739" s="5"/>
      <c r="R7739" s="5"/>
      <c r="S7739" s="5" t="s">
        <v>49029</v>
      </c>
      <c r="T7739" s="28">
        <v>13893000</v>
      </c>
      <c r="U7739" s="28"/>
      <c r="V7739" s="28">
        <v>641762000</v>
      </c>
      <c r="W7739" s="28">
        <v>581200000</v>
      </c>
      <c r="X7739" s="28">
        <v>3247000</v>
      </c>
      <c r="Y7739" s="28">
        <v>3074280000</v>
      </c>
      <c r="Z7739" s="28">
        <v>1627891000</v>
      </c>
      <c r="AA7739" s="28">
        <v>215610000</v>
      </c>
      <c r="AB7739" s="28">
        <v>1199910000</v>
      </c>
      <c r="AC7739" s="28">
        <v>1226342000</v>
      </c>
      <c r="AD7739" s="28">
        <v>1628401000</v>
      </c>
      <c r="AE7739" s="28">
        <v>4994364000</v>
      </c>
      <c r="AF7739" s="28">
        <v>856925000</v>
      </c>
      <c r="AG7739" s="11"/>
    </row>
    <row r="7740">
      <c r="A7740" s="7" t="s">
        <v>9284</v>
      </c>
      <c r="B7740" s="5" t="s">
        <v>17201</v>
      </c>
      <c r="C7740" s="5" t="s">
        <v>24777</v>
      </c>
      <c r="D7740" s="5" t="str">
        <v>511601266790</v>
      </c>
      <c r="E7740" s="0" t="e">
        <f>+7 (3012) 201000
+7 (3012) 212324
+7 (3012) 212329
+7 (3012) 212334
+7 (3012) 212391
+7 (3012) 212392
+7 (3012) 212394
+7 (3012) 214930
+7 (3012) 231123
+7 (3012) 232326
+7 (3012) 232710
+7 (3012) 233399
+7 (3012) 239100
+7 (3012) 210981
+7 (3012) 212326</f>
        <v>#NAME?</v>
      </c>
      <c r="F7740" s="5" t="s">
        <v>47727</v>
      </c>
      <c r="G7740" s="5" t="s">
        <v>47728</v>
      </c>
      <c r="H7740" s="26">
        <v>17</v>
      </c>
      <c r="I7740" s="5"/>
      <c r="J7740" s="5" t="s">
        <v>26623</v>
      </c>
      <c r="K7740" s="5" t="s">
        <v>344</v>
      </c>
      <c r="L7740" s="5"/>
      <c r="M7740" s="27">
        <v>1107108533</v>
      </c>
      <c r="N7740" s="5" t="s">
        <v>60842</v>
      </c>
      <c r="O7740" s="5" t="str">
        <v>7536066430</v>
      </c>
      <c r="P7740" s="27">
        <v>20621416</v>
      </c>
      <c r="Q7740" s="5" t="s">
        <v>60843</v>
      </c>
      <c r="R7740" s="5"/>
      <c r="S7740" s="5" t="s">
        <v>60844</v>
      </c>
      <c r="T7740" s="28">
        <v>1097304000</v>
      </c>
      <c r="U7740" s="28">
        <v>144975000</v>
      </c>
      <c r="V7740" s="28">
        <v>6386988000</v>
      </c>
      <c r="W7740" s="28"/>
      <c r="X7740" s="28">
        <v>513749000</v>
      </c>
      <c r="Y7740" s="28">
        <v>8993775000</v>
      </c>
      <c r="Z7740" s="28">
        <v>648256000</v>
      </c>
      <c r="AA7740" s="28"/>
      <c r="AB7740" s="28">
        <v>645454000</v>
      </c>
      <c r="AC7740" s="28">
        <v>5086793000</v>
      </c>
      <c r="AD7740" s="28">
        <v>1643419000</v>
      </c>
      <c r="AE7740" s="28">
        <v>24522066000</v>
      </c>
      <c r="AF7740" s="28">
        <v>11305000</v>
      </c>
      <c r="AG7740" s="11"/>
    </row>
    <row r="7741">
      <c r="A7741" s="7" t="s">
        <v>9285</v>
      </c>
      <c r="B7741" s="5" t="s">
        <v>17202</v>
      </c>
      <c r="C7741" s="5" t="s">
        <v>24778</v>
      </c>
      <c r="D7741" s="5" t="str">
        <v>025004115318</v>
      </c>
      <c r="E7741" s="0" t="e">
        <f>+7 (34797) 20627
+7 (34797) 22124
+7 (34797) 22164
+7 (961) 384427</f>
        <v>#NAME?</v>
      </c>
      <c r="F7741" s="5" t="s">
        <v>47729</v>
      </c>
      <c r="G7741" s="5" t="s">
        <v>47730</v>
      </c>
      <c r="H7741" s="26">
        <v>9</v>
      </c>
      <c r="I7741" s="5" t="s">
        <v>47731</v>
      </c>
      <c r="J7741" s="5" t="s">
        <v>26383</v>
      </c>
      <c r="K7741" s="5" t="s">
        <v>344</v>
      </c>
      <c r="L7741" s="5" t="s">
        <v>47732</v>
      </c>
      <c r="M7741" s="27">
        <v>285686</v>
      </c>
      <c r="N7741" s="5"/>
      <c r="O7741" s="5" t="str">
        <v>0250146651</v>
      </c>
      <c r="P7741" s="27">
        <v>100000</v>
      </c>
      <c r="Q7741" s="5" t="s">
        <v>49009</v>
      </c>
      <c r="R7741" s="5"/>
      <c r="S7741" s="5" t="s">
        <v>50019</v>
      </c>
      <c r="T7741" s="28">
        <v>6447000</v>
      </c>
      <c r="U7741" s="28">
        <v>374106000</v>
      </c>
      <c r="V7741" s="28">
        <v>3933843000</v>
      </c>
      <c r="W7741" s="28"/>
      <c r="X7741" s="28">
        <v>724274000</v>
      </c>
      <c r="Y7741" s="28">
        <v>8815220000</v>
      </c>
      <c r="Z7741" s="28">
        <v>4690305000</v>
      </c>
      <c r="AA7741" s="28">
        <v>491600000</v>
      </c>
      <c r="AB7741" s="28">
        <v>3009533000</v>
      </c>
      <c r="AC7741" s="28">
        <v>3570279000</v>
      </c>
      <c r="AD7741" s="28">
        <v>4690405000</v>
      </c>
      <c r="AE7741" s="28">
        <v>15257785000</v>
      </c>
      <c r="AF7741" s="28">
        <v>1052105000</v>
      </c>
      <c r="AG7741" s="11"/>
    </row>
    <row r="7742">
      <c r="A7742" s="7" t="s">
        <v>9286</v>
      </c>
      <c r="B7742" s="5" t="s">
        <v>17203</v>
      </c>
      <c r="C7742" s="5" t="s">
        <v>24779</v>
      </c>
      <c r="D7742" s="5" t="str">
        <v>744805045750</v>
      </c>
      <c r="E7742" s="0" t="e">
        <f>+7 (3512) 591098
+7 (351) 2597065
+7 (351) 2597093
+7 (3512) 536860
+7 (3512) 591091
+7 (3512) 591112
+7 (3512) 591177
+7 (3512) 591257
+7 (3512) 594518
+7 (3512) 594527
+7 (3512) 594550
+7 (3512) 594601
+7 (3512) 594605
+7 (3512) 594629
+7 (3512) 594644</f>
        <v>#NAME?</v>
      </c>
      <c r="F7742" s="5" t="s">
        <v>47733</v>
      </c>
      <c r="G7742" s="5" t="s">
        <v>47734</v>
      </c>
      <c r="H7742" s="26">
        <v>30</v>
      </c>
      <c r="I7742" s="5"/>
      <c r="J7742" s="5" t="s">
        <v>25955</v>
      </c>
      <c r="K7742" s="5" t="s">
        <v>355</v>
      </c>
      <c r="L7742" s="5"/>
      <c r="M7742" s="27">
        <v>30591541</v>
      </c>
      <c r="N7742" s="5" t="s">
        <v>60845</v>
      </c>
      <c r="O7742" s="5" t="str">
        <v>7449006184</v>
      </c>
      <c r="P7742" s="27">
        <v>160058000</v>
      </c>
      <c r="Q7742" s="5" t="s">
        <v>49009</v>
      </c>
      <c r="R7742" s="5" t="s">
        <v>60846</v>
      </c>
      <c r="S7742" s="5" t="s">
        <v>49020</v>
      </c>
      <c r="T7742" s="28">
        <v>7730846000</v>
      </c>
      <c r="U7742" s="28">
        <v>402070000</v>
      </c>
      <c r="V7742" s="28">
        <v>5068586000</v>
      </c>
      <c r="W7742" s="28">
        <v>71236000</v>
      </c>
      <c r="X7742" s="28">
        <v>6463342000</v>
      </c>
      <c r="Y7742" s="28">
        <v>32102791000</v>
      </c>
      <c r="Z7742" s="28">
        <v>2043763000</v>
      </c>
      <c r="AA7742" s="28">
        <v>3672429000</v>
      </c>
      <c r="AB7742" s="28">
        <v>5672423000</v>
      </c>
      <c r="AC7742" s="28">
        <v>25409291000</v>
      </c>
      <c r="AD7742" s="28">
        <v>2445087000</v>
      </c>
      <c r="AE7742" s="28">
        <v>22576123000</v>
      </c>
      <c r="AF7742" s="28">
        <v>150381000</v>
      </c>
      <c r="AG7742" s="11"/>
    </row>
    <row r="7743">
      <c r="A7743" s="7" t="s">
        <v>9287</v>
      </c>
      <c r="B7743" s="5" t="s">
        <v>17204</v>
      </c>
      <c r="C7743" s="5" t="s">
        <v>24780</v>
      </c>
      <c r="D7743" s="5" t="str">
        <v>263516256862</v>
      </c>
      <c r="E7743" s="0" t="e">
        <f>+7 (3512) 181262
+7 (3512) 251739
+7 (3512) 320181
+7 (3512) 336015
+7 (3512) 465406
+7 (3512) 639698
+7 (3517) 2019
+7 (3517) 223008
+7 (3512) 136541
+7 (3512) 351321
+7 (3512) 400341
+7 (3512) 400342
+7 (3512) 453046
+7 (3512) 485689
+7 (3517) 210181</f>
        <v>#NAME?</v>
      </c>
      <c r="F7743" s="5" t="s">
        <v>47735</v>
      </c>
      <c r="G7743" s="5"/>
      <c r="H7743" s="26">
        <v>31</v>
      </c>
      <c r="I7743" s="5" t="s">
        <v>47736</v>
      </c>
      <c r="J7743" s="5" t="s">
        <v>42225</v>
      </c>
      <c r="K7743" s="5" t="s">
        <v>355</v>
      </c>
      <c r="L7743" s="5"/>
      <c r="M7743" s="27">
        <v>383943640</v>
      </c>
      <c r="N7743" s="5" t="s">
        <v>60847</v>
      </c>
      <c r="O7743" s="5" t="str">
        <v>7448005075</v>
      </c>
      <c r="P7743" s="27">
        <v>11805000</v>
      </c>
      <c r="Q7743" s="5" t="s">
        <v>60848</v>
      </c>
      <c r="R7743" s="5"/>
      <c r="S7743" s="5" t="s">
        <v>49271</v>
      </c>
      <c r="T7743" s="28">
        <v>444938000</v>
      </c>
      <c r="U7743" s="28"/>
      <c r="V7743" s="28">
        <v>1490281000</v>
      </c>
      <c r="W7743" s="28">
        <v>14020000</v>
      </c>
      <c r="X7743" s="28">
        <v>39443000</v>
      </c>
      <c r="Y7743" s="28">
        <v>2434853000</v>
      </c>
      <c r="Z7743" s="28">
        <v>-79949000</v>
      </c>
      <c r="AA7743" s="28"/>
      <c r="AB7743" s="28">
        <v>75000000</v>
      </c>
      <c r="AC7743" s="28">
        <v>2292552000</v>
      </c>
      <c r="AD7743" s="28">
        <v>96421000</v>
      </c>
      <c r="AE7743" s="28">
        <v>3282058000</v>
      </c>
      <c r="AF7743" s="28">
        <v>152000</v>
      </c>
      <c r="AG7743" s="11"/>
    </row>
    <row r="7744">
      <c r="A7744" s="7" t="s">
        <v>9288</v>
      </c>
      <c r="B7744" s="5" t="s">
        <v>17205</v>
      </c>
      <c r="C7744" s="5" t="s">
        <v>24781</v>
      </c>
      <c r="D7744" s="5" t="str">
        <v>352829630128</v>
      </c>
      <c r="E7744" s="0" t="e">
        <f>+7 (820) 2576455
+7 (820) 2202836
+7 (8202) 202828
+7 (8202) 202838</f>
        <v>#NAME?</v>
      </c>
      <c r="F7744" s="5" t="s">
        <v>47737</v>
      </c>
      <c r="G7744" s="5" t="s">
        <v>47738</v>
      </c>
      <c r="H7744" s="26">
        <v>30</v>
      </c>
      <c r="I7744" s="5"/>
      <c r="J7744" s="5" t="s">
        <v>46399</v>
      </c>
      <c r="K7744" s="5" t="s">
        <v>355</v>
      </c>
      <c r="L7744" s="5" t="s">
        <v>47739</v>
      </c>
      <c r="M7744" s="27">
        <v>7040922</v>
      </c>
      <c r="N7744" s="5" t="s">
        <v>60849</v>
      </c>
      <c r="O7744" s="5" t="str">
        <v>3528010612</v>
      </c>
      <c r="P7744" s="27">
        <v>30000000</v>
      </c>
      <c r="Q7744" s="5" t="s">
        <v>60850</v>
      </c>
      <c r="R7744" s="5" t="s">
        <v>60851</v>
      </c>
      <c r="S7744" s="5" t="s">
        <v>60852</v>
      </c>
      <c r="T7744" s="28">
        <v>283429000</v>
      </c>
      <c r="U7744" s="28">
        <v>145657000</v>
      </c>
      <c r="V7744" s="28">
        <v>237102000</v>
      </c>
      <c r="W7744" s="28"/>
      <c r="X7744" s="28">
        <v>723383000</v>
      </c>
      <c r="Y7744" s="28">
        <v>2701127000</v>
      </c>
      <c r="Z7744" s="28">
        <v>-9193000</v>
      </c>
      <c r="AA7744" s="28"/>
      <c r="AB7744" s="28">
        <v>1050177000</v>
      </c>
      <c r="AC7744" s="28">
        <v>2638349000</v>
      </c>
      <c r="AD7744" s="28">
        <v>37444000</v>
      </c>
      <c r="AE7744" s="28">
        <v>4811314000</v>
      </c>
      <c r="AF7744" s="28">
        <v>29364000</v>
      </c>
      <c r="AG7744" s="11"/>
    </row>
    <row r="7745">
      <c r="A7745" s="7" t="s">
        <v>9289</v>
      </c>
      <c r="B7745" s="5" t="s">
        <v>17206</v>
      </c>
      <c r="C7745" s="5" t="s">
        <v>18460</v>
      </c>
      <c r="D7745" s="5"/>
      <c r="E7745" s="0" t="e">
        <f>+7 (34256) 63121
+7 (34256) 63107
+7 (34256) 63360
+7 (34256) 63197
+7 (342) 5663571
+7 (34256) 31264
+7 (34256) 44912
+7 (34256) 47894
+7 (34256) 62061
+7 (34256) 62066
+7 (34256) 63209
+7 (34256) 63379
+7 (34256) 63582
+7 (34256) 63626
+7 (34256) 63689</f>
        <v>#NAME?</v>
      </c>
      <c r="F7745" s="5" t="s">
        <v>47740</v>
      </c>
      <c r="G7745" s="5" t="s">
        <v>47741</v>
      </c>
      <c r="H7745" s="26">
        <v>30.5</v>
      </c>
      <c r="I7745" s="5" t="s">
        <v>47742</v>
      </c>
      <c r="J7745" s="5" t="s">
        <v>47743</v>
      </c>
      <c r="K7745" s="5" t="s">
        <v>344</v>
      </c>
      <c r="L7745" s="5" t="s">
        <v>47744</v>
      </c>
      <c r="M7745" s="27"/>
      <c r="N7745" s="5" t="s">
        <v>60853</v>
      </c>
      <c r="O7745" s="5" t="str">
        <v>5921002018</v>
      </c>
      <c r="P7745" s="27">
        <v>1008000000</v>
      </c>
      <c r="Q7745" s="5"/>
      <c r="R7745" s="5"/>
      <c r="S7745" s="5" t="s">
        <v>49991</v>
      </c>
      <c r="T7745" s="28">
        <v>8071580000</v>
      </c>
      <c r="U7745" s="28">
        <v>141000</v>
      </c>
      <c r="V7745" s="28">
        <v>1926861000</v>
      </c>
      <c r="W7745" s="28"/>
      <c r="X7745" s="28">
        <v>1649000</v>
      </c>
      <c r="Y7745" s="28">
        <v>17903923000</v>
      </c>
      <c r="Z7745" s="28">
        <v>6760067000</v>
      </c>
      <c r="AA7745" s="28"/>
      <c r="AB7745" s="28">
        <v>4062941000</v>
      </c>
      <c r="AC7745" s="28">
        <v>5397251000</v>
      </c>
      <c r="AD7745" s="28">
        <v>10683306000</v>
      </c>
      <c r="AE7745" s="28">
        <v>12783196000</v>
      </c>
      <c r="AF7745" s="28">
        <v>2594462000</v>
      </c>
      <c r="AG7745" s="11"/>
    </row>
    <row r="7746">
      <c r="A7746" s="7" t="s">
        <v>9289</v>
      </c>
      <c r="B7746" s="5" t="s">
        <v>17207</v>
      </c>
      <c r="C7746" s="5" t="s">
        <v>24782</v>
      </c>
      <c r="D7746" s="5" t="str">
        <v>182901832347</v>
      </c>
      <c r="E7746" s="0" t="e">
        <f>+7 (912) 7665741
+7 (34141) 32626
+7 (34141) 32641
+7 (34141) 32660
+7 (34141) 32695
+7 (34141) 34507
+7 (34141) 34577
+7 (34141) 34705
+7 (34141) 35025
+7 (34141) 35485
+7 (34141) 36070
+7 (34141) 53837
+7 (34141) 96813</f>
        <v>#NAME?</v>
      </c>
      <c r="F7746" s="5" t="s">
        <v>47745</v>
      </c>
      <c r="G7746" s="5" t="s">
        <v>47746</v>
      </c>
      <c r="H7746" s="26">
        <v>27</v>
      </c>
      <c r="I7746" s="5" t="s">
        <v>47747</v>
      </c>
      <c r="J7746" s="5" t="s">
        <v>27575</v>
      </c>
      <c r="K7746" s="5" t="s">
        <v>355</v>
      </c>
      <c r="L7746" s="5"/>
      <c r="M7746" s="27">
        <v>2500</v>
      </c>
      <c r="N7746" s="5" t="s">
        <v>60854</v>
      </c>
      <c r="O7746" s="5" t="str">
        <v>1829008035</v>
      </c>
      <c r="P7746" s="27">
        <v>1888179528</v>
      </c>
      <c r="Q7746" s="5" t="s">
        <v>60855</v>
      </c>
      <c r="R7746" s="5"/>
      <c r="S7746" s="5" t="s">
        <v>60856</v>
      </c>
      <c r="T7746" s="28">
        <v>15675116000</v>
      </c>
      <c r="U7746" s="28">
        <v>887374000</v>
      </c>
      <c r="V7746" s="28">
        <v>4684068000</v>
      </c>
      <c r="W7746" s="28">
        <v>5781181000</v>
      </c>
      <c r="X7746" s="28">
        <v>1412509000</v>
      </c>
      <c r="Y7746" s="28">
        <v>39327035000</v>
      </c>
      <c r="Z7746" s="28">
        <v>25292744000</v>
      </c>
      <c r="AA7746" s="28"/>
      <c r="AB7746" s="28">
        <v>179825000</v>
      </c>
      <c r="AC7746" s="28">
        <v>4460126000</v>
      </c>
      <c r="AD7746" s="28">
        <v>33127974000</v>
      </c>
      <c r="AE7746" s="28">
        <v>20570018000</v>
      </c>
      <c r="AF7746" s="28">
        <v>2254706000</v>
      </c>
      <c r="AG7746" s="11"/>
    </row>
    <row r="7747">
      <c r="A7747" s="7" t="s">
        <v>9290</v>
      </c>
      <c r="B7747" s="5" t="s">
        <v>17208</v>
      </c>
      <c r="C7747" s="5" t="s">
        <v>24783</v>
      </c>
      <c r="D7747" s="5" t="str">
        <v>745100907269</v>
      </c>
      <c r="E7747" s="0" t="e">
        <f>+7 (351) 2534922
+7 (3512) 599117
+7 (3512) 599189
+7 (3512) 599215
+7 (3512) 599305
+7 (3512) 599326
+7 (3512) 599331
+7 (3512) 599393</f>
        <v>#NAME?</v>
      </c>
      <c r="F7747" s="5" t="s">
        <v>47748</v>
      </c>
      <c r="G7747" s="5" t="s">
        <v>47749</v>
      </c>
      <c r="H7747" s="26">
        <v>29.5</v>
      </c>
      <c r="I7747" s="5" t="s">
        <v>47750</v>
      </c>
      <c r="J7747" s="5" t="s">
        <v>25955</v>
      </c>
      <c r="K7747" s="5" t="s">
        <v>355</v>
      </c>
      <c r="L7747" s="5" t="s">
        <v>28356</v>
      </c>
      <c r="M7747" s="27"/>
      <c r="N7747" s="5" t="s">
        <v>60857</v>
      </c>
      <c r="O7747" s="5" t="str">
        <v>7449000721</v>
      </c>
      <c r="P7747" s="27">
        <v>67495</v>
      </c>
      <c r="Q7747" s="5"/>
      <c r="R7747" s="5"/>
      <c r="S7747" s="5" t="s">
        <v>50081</v>
      </c>
      <c r="T7747" s="28">
        <v>816543000</v>
      </c>
      <c r="U7747" s="28"/>
      <c r="V7747" s="28">
        <v>441338000</v>
      </c>
      <c r="W7747" s="28"/>
      <c r="X7747" s="28">
        <v>139912000</v>
      </c>
      <c r="Y7747" s="28">
        <v>2755965000</v>
      </c>
      <c r="Z7747" s="28">
        <v>1410331000</v>
      </c>
      <c r="AA7747" s="28"/>
      <c r="AB7747" s="28"/>
      <c r="AC7747" s="28">
        <v>695877000</v>
      </c>
      <c r="AD7747" s="28">
        <v>1426945000</v>
      </c>
      <c r="AE7747" s="28">
        <v>6597092000</v>
      </c>
      <c r="AF7747" s="28">
        <v>894448000</v>
      </c>
      <c r="AG7747" s="11"/>
    </row>
    <row r="7748">
      <c r="A7748" s="7" t="s">
        <v>9291</v>
      </c>
      <c r="B7748" s="5" t="s">
        <v>17209</v>
      </c>
      <c r="C7748" s="5" t="s">
        <v>21839</v>
      </c>
      <c r="D7748" s="5" t="str">
        <v>771806962224</v>
      </c>
      <c r="E7748" s="0" t="e">
        <f>+7 (499) 7883232
+7 (8412) 210055
+7 (963) 9789285</f>
        <v>#NAME?</v>
      </c>
      <c r="F7748" s="5" t="s">
        <v>33851</v>
      </c>
      <c r="G7748" s="5" t="s">
        <v>28611</v>
      </c>
      <c r="H7748" s="26">
        <v>29</v>
      </c>
      <c r="I7748" s="5"/>
      <c r="J7748" s="5" t="s">
        <v>31454</v>
      </c>
      <c r="K7748" s="5" t="s">
        <v>355</v>
      </c>
      <c r="L7748" s="5"/>
      <c r="M7748" s="27">
        <v>63636065</v>
      </c>
      <c r="N7748" s="5"/>
      <c r="O7748" s="5" t="str">
        <v>7718013714</v>
      </c>
      <c r="P7748" s="27">
        <v>10446287</v>
      </c>
      <c r="Q7748" s="5" t="s">
        <v>49009</v>
      </c>
      <c r="R7748" s="5"/>
      <c r="S7748" s="5" t="s">
        <v>49929</v>
      </c>
      <c r="T7748" s="28">
        <v>6032691000</v>
      </c>
      <c r="U7748" s="28">
        <v>457456000</v>
      </c>
      <c r="V7748" s="28">
        <v>12851969000</v>
      </c>
      <c r="W7748" s="28"/>
      <c r="X7748" s="28">
        <v>71446000</v>
      </c>
      <c r="Y7748" s="28">
        <v>23140776000</v>
      </c>
      <c r="Z7748" s="28">
        <v>-5357453000</v>
      </c>
      <c r="AA7748" s="28"/>
      <c r="AB7748" s="28">
        <v>15200103000</v>
      </c>
      <c r="AC7748" s="28">
        <v>23851360000</v>
      </c>
      <c r="AD7748" s="28">
        <v>-1074633000</v>
      </c>
      <c r="AE7748" s="28">
        <v>47837953000</v>
      </c>
      <c r="AF7748" s="28">
        <v>980622000</v>
      </c>
      <c r="AG7748" s="11"/>
    </row>
    <row r="7749">
      <c r="A7749" s="7" t="s">
        <v>9292</v>
      </c>
      <c r="B7749" s="5" t="s">
        <v>17210</v>
      </c>
      <c r="C7749" s="5" t="s">
        <v>24784</v>
      </c>
      <c r="D7749" s="5" t="str">
        <v>910225129004</v>
      </c>
      <c r="E7749" s="0" t="e">
        <f>+7 (918) 4118989
+7 (918) 4588989
+7 (918) 6579898
+7 (918) 6939898
+7 (978) 280562
+7 (978) 776633
+7 (978) 8065677
+7 (978) 8432366</f>
        <v>#NAME?</v>
      </c>
      <c r="F7749" s="5" t="s">
        <v>47751</v>
      </c>
      <c r="G7749" s="5" t="s">
        <v>47752</v>
      </c>
      <c r="H7749" s="26">
        <v>5</v>
      </c>
      <c r="I7749" s="5" t="s">
        <v>47753</v>
      </c>
      <c r="J7749" s="5" t="s">
        <v>28603</v>
      </c>
      <c r="K7749" s="5" t="s">
        <v>355</v>
      </c>
      <c r="L7749" s="5"/>
      <c r="M7749" s="27">
        <v>158576213</v>
      </c>
      <c r="N7749" s="5" t="s">
        <v>60858</v>
      </c>
      <c r="O7749" s="5" t="str">
        <v>9108121617</v>
      </c>
      <c r="P7749" s="27">
        <v>600000000</v>
      </c>
      <c r="Q7749" s="5" t="s">
        <v>60859</v>
      </c>
      <c r="R7749" s="5" t="s">
        <v>52004</v>
      </c>
      <c r="S7749" s="5" t="s">
        <v>60066</v>
      </c>
      <c r="T7749" s="28">
        <v>368340000</v>
      </c>
      <c r="U7749" s="28"/>
      <c r="V7749" s="28">
        <v>2287316000</v>
      </c>
      <c r="W7749" s="28"/>
      <c r="X7749" s="28">
        <v>5714000</v>
      </c>
      <c r="Y7749" s="28">
        <v>4615400000</v>
      </c>
      <c r="Z7749" s="28">
        <v>61553000</v>
      </c>
      <c r="AA7749" s="28"/>
      <c r="AB7749" s="28"/>
      <c r="AC7749" s="28">
        <v>3821952000</v>
      </c>
      <c r="AD7749" s="28">
        <v>661553000</v>
      </c>
      <c r="AE7749" s="28">
        <v>3242245000</v>
      </c>
      <c r="AF7749" s="28">
        <v>2548000</v>
      </c>
      <c r="AG7749" s="11"/>
    </row>
    <row r="7750">
      <c r="A7750" s="7" t="s">
        <v>9293</v>
      </c>
      <c r="B7750" s="5" t="s">
        <v>17211</v>
      </c>
      <c r="C7750" s="5" t="s">
        <v>24785</v>
      </c>
      <c r="D7750" s="5" t="str">
        <v>051704986714</v>
      </c>
      <c r="E7750" s="0" t="e">
        <f>+7 (914) 242888
+7 (914) 252888
+7 (914) 258888
+7 (914) 9924064
+7 (924) 6826666
+7 (924) 6856666</f>
        <v>#NAME?</v>
      </c>
      <c r="F7750" s="5" t="s">
        <v>47754</v>
      </c>
      <c r="G7750" s="5"/>
      <c r="H7750" s="26">
        <v>6.5</v>
      </c>
      <c r="I7750" s="5" t="s">
        <v>47755</v>
      </c>
      <c r="J7750" s="5" t="s">
        <v>38813</v>
      </c>
      <c r="K7750" s="5" t="s">
        <v>344</v>
      </c>
      <c r="L7750" s="5" t="s">
        <v>38737</v>
      </c>
      <c r="M7750" s="27"/>
      <c r="N7750" s="5" t="s">
        <v>60860</v>
      </c>
      <c r="O7750" s="5" t="str">
        <v>4101175445</v>
      </c>
      <c r="P7750" s="27">
        <v>1250000</v>
      </c>
      <c r="Q7750" s="5"/>
      <c r="R7750" s="5"/>
      <c r="S7750" s="5" t="s">
        <v>49991</v>
      </c>
      <c r="T7750" s="28">
        <v>26705000</v>
      </c>
      <c r="U7750" s="28"/>
      <c r="V7750" s="28">
        <v>21662000</v>
      </c>
      <c r="W7750" s="28"/>
      <c r="X7750" s="28">
        <v>26424000</v>
      </c>
      <c r="Y7750" s="28">
        <v>77023000</v>
      </c>
      <c r="Z7750" s="28"/>
      <c r="AA7750" s="28"/>
      <c r="AB7750" s="28"/>
      <c r="AC7750" s="28">
        <v>13420000</v>
      </c>
      <c r="AD7750" s="28">
        <v>63603000</v>
      </c>
      <c r="AE7750" s="28">
        <v>89467828000</v>
      </c>
      <c r="AF7750" s="28">
        <v>20490851000</v>
      </c>
      <c r="AG7750" s="11"/>
    </row>
    <row r="7751">
      <c r="A7751" s="7" t="s">
        <v>9294</v>
      </c>
      <c r="B7751" s="5" t="s">
        <v>17212</v>
      </c>
      <c r="C7751" s="5" t="s">
        <v>24786</v>
      </c>
      <c r="D7751" s="5" t="str">
        <v>053301751819</v>
      </c>
      <c r="E7751" s="0" t="e">
        <f>+7 (872) 2555534
+7 (872) 2775555
+7 (872) 2912911
+7 (928) 5077789
+7 (928) 8031833
+7 (967) 6618580
+7 (988) 7806515</f>
        <v>#NAME?</v>
      </c>
      <c r="F7751" s="5" t="s">
        <v>47756</v>
      </c>
      <c r="G7751" s="5"/>
      <c r="H7751" s="26">
        <v>12.5</v>
      </c>
      <c r="I7751" s="5" t="s">
        <v>47757</v>
      </c>
      <c r="J7751" s="5" t="s">
        <v>38813</v>
      </c>
      <c r="K7751" s="5" t="s">
        <v>344</v>
      </c>
      <c r="L7751" s="5" t="s">
        <v>47758</v>
      </c>
      <c r="M7751" s="27"/>
      <c r="N7751" s="5" t="s">
        <v>60861</v>
      </c>
      <c r="O7751" s="5" t="str">
        <v>0570001246</v>
      </c>
      <c r="P7751" s="27">
        <v>250000</v>
      </c>
      <c r="Q7751" s="5" t="s">
        <v>49387</v>
      </c>
      <c r="R7751" s="5"/>
      <c r="S7751" s="5" t="s">
        <v>60862</v>
      </c>
      <c r="T7751" s="28">
        <v>13000000000</v>
      </c>
      <c r="U7751" s="28"/>
      <c r="V7751" s="28">
        <v>2000000000</v>
      </c>
      <c r="W7751" s="28"/>
      <c r="X7751" s="28">
        <v>35000000000</v>
      </c>
      <c r="Y7751" s="28">
        <v>50000000000</v>
      </c>
      <c r="Z7751" s="28"/>
      <c r="AA7751" s="28"/>
      <c r="AB7751" s="28"/>
      <c r="AC7751" s="28">
        <v>30000000000</v>
      </c>
      <c r="AD7751" s="28">
        <v>20000000000</v>
      </c>
      <c r="AE7751" s="28">
        <v>93771338000</v>
      </c>
      <c r="AF7751" s="28">
        <v>31950120000</v>
      </c>
      <c r="AG7751" s="11"/>
    </row>
    <row r="7752">
      <c r="A7752" s="7" t="s">
        <v>9295</v>
      </c>
      <c r="B7752" s="5" t="s">
        <v>10515</v>
      </c>
      <c r="C7752" s="5" t="s">
        <v>24787</v>
      </c>
      <c r="D7752" s="5" t="str">
        <v>361001590022</v>
      </c>
      <c r="E7752" s="0" t="e">
        <f>+7 (34797) 28111
+7 (34797) 28122
+7 (34797) 28134
+7 (34797) 28211
+7 (987) 2508677</f>
        <v>#NAME?</v>
      </c>
      <c r="F7752" s="5" t="s">
        <v>47759</v>
      </c>
      <c r="G7752" s="5" t="s">
        <v>47760</v>
      </c>
      <c r="H7752" s="26">
        <v>27.5</v>
      </c>
      <c r="I7752" s="5" t="s">
        <v>47761</v>
      </c>
      <c r="J7752" s="5" t="s">
        <v>25994</v>
      </c>
      <c r="K7752" s="5" t="s">
        <v>344</v>
      </c>
      <c r="L7752" s="5" t="s">
        <v>47762</v>
      </c>
      <c r="M7752" s="27">
        <v>660380589</v>
      </c>
      <c r="N7752" s="5"/>
      <c r="O7752" s="5" t="str">
        <v>0250005763</v>
      </c>
      <c r="P7752" s="27">
        <v>47487000</v>
      </c>
      <c r="Q7752" s="5" t="s">
        <v>49009</v>
      </c>
      <c r="R7752" s="5"/>
      <c r="S7752" s="5" t="s">
        <v>49093</v>
      </c>
      <c r="T7752" s="28">
        <v>1733102000</v>
      </c>
      <c r="U7752" s="28">
        <v>241263000</v>
      </c>
      <c r="V7752" s="28">
        <v>7385383000</v>
      </c>
      <c r="W7752" s="28">
        <v>30000</v>
      </c>
      <c r="X7752" s="28">
        <v>106812000</v>
      </c>
      <c r="Y7752" s="28">
        <v>11770024000</v>
      </c>
      <c r="Z7752" s="28">
        <v>7844985000</v>
      </c>
      <c r="AA7752" s="28">
        <v>292000000</v>
      </c>
      <c r="AB7752" s="28">
        <v>629555000</v>
      </c>
      <c r="AC7752" s="28">
        <v>2655129000</v>
      </c>
      <c r="AD7752" s="28">
        <v>8729707000</v>
      </c>
      <c r="AE7752" s="28">
        <v>4993952000</v>
      </c>
      <c r="AF7752" s="28">
        <v>6230506000</v>
      </c>
      <c r="AG7752" s="11"/>
    </row>
    <row r="7753">
      <c r="A7753" s="7" t="s">
        <v>9296</v>
      </c>
      <c r="B7753" s="5" t="s">
        <v>17213</v>
      </c>
      <c r="C7753" s="5" t="s">
        <v>24788</v>
      </c>
      <c r="D7753" s="5" t="str">
        <v>352200192529</v>
      </c>
      <c r="E7753" s="0" t="e">
        <f>+7 (474) 2515300
+7 (474) 2515303
+7 (495) 7555635</f>
        <v>#NAME?</v>
      </c>
      <c r="F7753" s="5"/>
      <c r="G7753" s="5" t="s">
        <v>47763</v>
      </c>
      <c r="H7753" s="26">
        <v>16.5</v>
      </c>
      <c r="I7753" s="5" t="s">
        <v>47764</v>
      </c>
      <c r="J7753" s="5" t="s">
        <v>33361</v>
      </c>
      <c r="K7753" s="5" t="s">
        <v>344</v>
      </c>
      <c r="L7753" s="5"/>
      <c r="M7753" s="27"/>
      <c r="N7753" s="5"/>
      <c r="O7753" s="5" t="str">
        <v>4802010032</v>
      </c>
      <c r="P7753" s="27">
        <v>1432000000</v>
      </c>
      <c r="Q7753" s="5"/>
      <c r="R7753" s="5"/>
      <c r="S7753" s="5" t="s">
        <v>49425</v>
      </c>
      <c r="T7753" s="28">
        <v>1634710000</v>
      </c>
      <c r="U7753" s="28"/>
      <c r="V7753" s="28">
        <v>1375905000</v>
      </c>
      <c r="W7753" s="28">
        <v>1424368000</v>
      </c>
      <c r="X7753" s="28">
        <v>287292000</v>
      </c>
      <c r="Y7753" s="28">
        <v>7357936000</v>
      </c>
      <c r="Z7753" s="28">
        <v>-2654193000</v>
      </c>
      <c r="AA7753" s="28">
        <v>4656817000</v>
      </c>
      <c r="AB7753" s="28">
        <v>100004000</v>
      </c>
      <c r="AC7753" s="28">
        <v>1190634000</v>
      </c>
      <c r="AD7753" s="28">
        <v>1345559000</v>
      </c>
      <c r="AE7753" s="28">
        <v>4453287000</v>
      </c>
      <c r="AF7753" s="28">
        <v>167124000</v>
      </c>
      <c r="AG7753" s="11"/>
    </row>
    <row r="7754">
      <c r="A7754" s="7" t="s">
        <v>9297</v>
      </c>
      <c r="B7754" s="5" t="s">
        <v>17214</v>
      </c>
      <c r="C7754" s="5" t="s">
        <v>24789</v>
      </c>
      <c r="D7754" s="5" t="str">
        <v>870400055770</v>
      </c>
      <c r="E7754" s="0" t="e">
        <f>+7 (427) 2222416
+7 (427) 2222630
+7 (427) 2261025
+7 (42734) 22275
+7 (42734) 22443
+7 (42734) 22630
+7 (42734) 22698
+7 (42734) 22738
+7 (42734) 22857
+7 (42734) 22923
+7 (42734) 22962
+7 (42734) 23010
+7 (964) 4802054</f>
        <v>#NAME?</v>
      </c>
      <c r="F7754" s="5" t="s">
        <v>47765</v>
      </c>
      <c r="G7754" s="5"/>
      <c r="H7754" s="26">
        <v>29</v>
      </c>
      <c r="I7754" s="5"/>
      <c r="J7754" s="5" t="s">
        <v>364</v>
      </c>
      <c r="K7754" s="5" t="s">
        <v>380</v>
      </c>
      <c r="L7754" s="5"/>
      <c r="M7754" s="27">
        <v>387986981</v>
      </c>
      <c r="N7754" s="5" t="s">
        <v>60863</v>
      </c>
      <c r="O7754" s="5" t="str">
        <v>8704000668</v>
      </c>
      <c r="P7754" s="27">
        <v>1150000</v>
      </c>
      <c r="Q7754" s="5" t="s">
        <v>60864</v>
      </c>
      <c r="R7754" s="5"/>
      <c r="S7754" s="5" t="s">
        <v>60865</v>
      </c>
      <c r="T7754" s="28">
        <v>1539733000</v>
      </c>
      <c r="U7754" s="28">
        <v>6106000</v>
      </c>
      <c r="V7754" s="28">
        <v>899770000</v>
      </c>
      <c r="W7754" s="28"/>
      <c r="X7754" s="28">
        <v>422499000</v>
      </c>
      <c r="Y7754" s="28">
        <v>9096981000</v>
      </c>
      <c r="Z7754" s="28">
        <v>374083000</v>
      </c>
      <c r="AA7754" s="28">
        <v>4451682000</v>
      </c>
      <c r="AB7754" s="28">
        <v>1049273000</v>
      </c>
      <c r="AC7754" s="28">
        <v>4013120000</v>
      </c>
      <c r="AD7754" s="28">
        <v>375233000</v>
      </c>
      <c r="AE7754" s="28">
        <v>4011191000</v>
      </c>
      <c r="AF7754" s="28">
        <v>-1647523000</v>
      </c>
      <c r="AG7754" s="11"/>
    </row>
    <row r="7755">
      <c r="A7755" s="7" t="s">
        <v>9298</v>
      </c>
      <c r="B7755" s="5" t="s">
        <v>17215</v>
      </c>
      <c r="C7755" s="5" t="s">
        <v>24790</v>
      </c>
      <c r="D7755" s="5" t="str">
        <v>210900001665</v>
      </c>
      <c r="E7755" s="0" t="e">
        <f>+7 (8352) 635294
+7 (8352) 635337
+7 (8352) 213279
+7 (8352) 213464
+7 (8352) 630435
+7 (8352) 630877
+7 (8352) 631034
+7 (8352) 634333
+7 (8352) 662151
+7 (83533) 47571
+7 (83533) 47813
+7 (83534) 24481
+7 (83537) 25359
+7 (83537) 25618
+7 (83544) 21842</f>
        <v>#NAME?</v>
      </c>
      <c r="F7755" s="5" t="s">
        <v>47766</v>
      </c>
      <c r="G7755" s="5"/>
      <c r="H7755" s="26">
        <v>29.5</v>
      </c>
      <c r="I7755" s="5" t="s">
        <v>47767</v>
      </c>
      <c r="J7755" s="5" t="s">
        <v>32951</v>
      </c>
      <c r="K7755" s="5" t="s">
        <v>344</v>
      </c>
      <c r="L7755" s="5"/>
      <c r="M7755" s="27"/>
      <c r="N7755" s="5" t="s">
        <v>60866</v>
      </c>
      <c r="O7755" s="5" t="str">
        <v>2130092180</v>
      </c>
      <c r="P7755" s="27">
        <v>338586900</v>
      </c>
      <c r="Q7755" s="5" t="s">
        <v>60867</v>
      </c>
      <c r="R7755" s="5"/>
      <c r="S7755" s="5" t="s">
        <v>60868</v>
      </c>
      <c r="T7755" s="28">
        <v>360798000</v>
      </c>
      <c r="U7755" s="28">
        <v>151200000</v>
      </c>
      <c r="V7755" s="28">
        <v>109766000</v>
      </c>
      <c r="W7755" s="28">
        <v>100000</v>
      </c>
      <c r="X7755" s="28">
        <v>30761000</v>
      </c>
      <c r="Y7755" s="28">
        <v>1321437000</v>
      </c>
      <c r="Z7755" s="28">
        <v>376136000</v>
      </c>
      <c r="AA7755" s="28"/>
      <c r="AB7755" s="28">
        <v>315000000</v>
      </c>
      <c r="AC7755" s="28">
        <v>552714000</v>
      </c>
      <c r="AD7755" s="28">
        <v>732306000</v>
      </c>
      <c r="AE7755" s="28">
        <v>3302403000</v>
      </c>
      <c r="AF7755" s="28">
        <v>132135000</v>
      </c>
      <c r="AG7755" s="11"/>
    </row>
    <row r="7756">
      <c r="A7756" s="7" t="s">
        <v>9299</v>
      </c>
      <c r="B7756" s="5" t="s">
        <v>17216</v>
      </c>
      <c r="C7756" s="5" t="s">
        <v>24791</v>
      </c>
      <c r="D7756" s="5" t="str">
        <v>772154031278</v>
      </c>
      <c r="E7756" s="0" t="e">
        <f>+7 (424) 2220621
+7 (427) 2226761
+7 (924) 6651700
+7 (427) 2220467
+7 (427) 2220621
+7 (427) 2220696
+7 (427) 2226643
+7 (427) 2229509
+7 (427) 2229524
+7 (427) 2229525</f>
        <v>#NAME?</v>
      </c>
      <c r="F7756" s="5" t="s">
        <v>47768</v>
      </c>
      <c r="G7756" s="5"/>
      <c r="H7756" s="26">
        <v>22</v>
      </c>
      <c r="I7756" s="5" t="s">
        <v>47769</v>
      </c>
      <c r="J7756" s="5" t="s">
        <v>25327</v>
      </c>
      <c r="K7756" s="5" t="s">
        <v>344</v>
      </c>
      <c r="L7756" s="5"/>
      <c r="M7756" s="27"/>
      <c r="N7756" s="5" t="s">
        <v>60869</v>
      </c>
      <c r="O7756" s="5" t="str">
        <v>8709908421</v>
      </c>
      <c r="P7756" s="27">
        <v>6673976000</v>
      </c>
      <c r="Q7756" s="5" t="s">
        <v>60870</v>
      </c>
      <c r="R7756" s="5"/>
      <c r="S7756" s="5" t="s">
        <v>60871</v>
      </c>
      <c r="T7756" s="28">
        <v>3388883000</v>
      </c>
      <c r="U7756" s="28">
        <v>592370000</v>
      </c>
      <c r="V7756" s="28">
        <v>3997996000</v>
      </c>
      <c r="W7756" s="28">
        <v>1100225000</v>
      </c>
      <c r="X7756" s="28">
        <v>593653000</v>
      </c>
      <c r="Y7756" s="28">
        <v>13453898000</v>
      </c>
      <c r="Z7756" s="28">
        <v>320847000</v>
      </c>
      <c r="AA7756" s="28"/>
      <c r="AB7756" s="28">
        <v>5500000000</v>
      </c>
      <c r="AC7756" s="28">
        <v>6266495000</v>
      </c>
      <c r="AD7756" s="28">
        <v>7014197000</v>
      </c>
      <c r="AE7756" s="28">
        <v>12570794000</v>
      </c>
      <c r="AF7756" s="28">
        <v>193997000</v>
      </c>
      <c r="AG7756" s="11"/>
    </row>
    <row r="7757">
      <c r="A7757" s="7" t="s">
        <v>9300</v>
      </c>
      <c r="B7757" s="5" t="s">
        <v>17217</v>
      </c>
      <c r="C7757" s="5" t="s">
        <v>24792</v>
      </c>
      <c r="D7757" s="5" t="str">
        <v>280602915770</v>
      </c>
      <c r="E7757" s="0" t="e">
        <f>+7 (421) 2220549
+7 (4217) 573051
+7 (424) 2226120
+7 (427) 2220096
+7 (427) 2220410
+7 (427) 2220550
+7 (427) 2220703
+7 (427) 2220730
+7 (427) 2222175
+7 (427) 2222184
+7 (427) 2222229
+7 (427) 2222319
+7 (427) 2222341
+7 (427) 2222473
+7 (427) 2222616</f>
        <v>#NAME?</v>
      </c>
      <c r="F7757" s="5" t="s">
        <v>47770</v>
      </c>
      <c r="G7757" s="5" t="s">
        <v>47771</v>
      </c>
      <c r="H7757" s="26">
        <v>25</v>
      </c>
      <c r="I7757" s="5" t="s">
        <v>47772</v>
      </c>
      <c r="J7757" s="5" t="s">
        <v>25295</v>
      </c>
      <c r="K7757" s="5" t="s">
        <v>355</v>
      </c>
      <c r="L7757" s="5"/>
      <c r="M7757" s="27">
        <v>146664765</v>
      </c>
      <c r="N7757" s="5" t="s">
        <v>60872</v>
      </c>
      <c r="O7757" s="5" t="str">
        <v>8700000339</v>
      </c>
      <c r="P7757" s="27">
        <v>18161586122</v>
      </c>
      <c r="Q7757" s="5" t="s">
        <v>60873</v>
      </c>
      <c r="R7757" s="5"/>
      <c r="S7757" s="5" t="s">
        <v>60874</v>
      </c>
      <c r="T7757" s="28">
        <v>29244024000</v>
      </c>
      <c r="U7757" s="28"/>
      <c r="V7757" s="28">
        <v>4733090000</v>
      </c>
      <c r="W7757" s="28"/>
      <c r="X7757" s="28">
        <v>93575000</v>
      </c>
      <c r="Y7757" s="28">
        <v>38227528000</v>
      </c>
      <c r="Z7757" s="28">
        <v>4838500000</v>
      </c>
      <c r="AA7757" s="28">
        <v>343523000</v>
      </c>
      <c r="AB7757" s="28">
        <v>7727751000</v>
      </c>
      <c r="AC7757" s="28">
        <v>13690772000</v>
      </c>
      <c r="AD7757" s="28">
        <v>23050512000</v>
      </c>
      <c r="AE7757" s="28">
        <v>14217150000</v>
      </c>
      <c r="AF7757" s="28">
        <v>306853000</v>
      </c>
      <c r="AG7757" s="11"/>
    </row>
    <row r="7758">
      <c r="A7758" s="7" t="s">
        <v>9301</v>
      </c>
      <c r="B7758" s="5" t="s">
        <v>17218</v>
      </c>
      <c r="C7758" s="5" t="s">
        <v>24793</v>
      </c>
      <c r="D7758" s="5" t="str">
        <v>781017765507</v>
      </c>
      <c r="E7758" s="0" t="e">
        <f>+7 (8202) 214589
+7 (495) 1182222
+7 (8202) 291165
+7 (8202) 291443
+7 (8202) 291696
+7 (8202) 292540
+7 (8202) 295729
+7 (8202) 296440
+7 (8202) 297235
+7 (8202) 297834
+7 (8202) 299524</f>
        <v>#NAME?</v>
      </c>
      <c r="F7758" s="5" t="s">
        <v>47773</v>
      </c>
      <c r="G7758" s="5" t="s">
        <v>47774</v>
      </c>
      <c r="H7758" s="26">
        <v>30.5</v>
      </c>
      <c r="I7758" s="5"/>
      <c r="J7758" s="5" t="s">
        <v>27221</v>
      </c>
      <c r="K7758" s="5" t="s">
        <v>344</v>
      </c>
      <c r="L7758" s="5" t="s">
        <v>47775</v>
      </c>
      <c r="M7758" s="27"/>
      <c r="N7758" s="5" t="s">
        <v>60875</v>
      </c>
      <c r="O7758" s="5" t="str">
        <v>3528006408</v>
      </c>
      <c r="P7758" s="27">
        <v>885000</v>
      </c>
      <c r="Q7758" s="5" t="s">
        <v>49021</v>
      </c>
      <c r="R7758" s="5"/>
      <c r="S7758" s="5" t="s">
        <v>60801</v>
      </c>
      <c r="T7758" s="28">
        <v>2581797000</v>
      </c>
      <c r="U7758" s="28">
        <v>4732512000</v>
      </c>
      <c r="V7758" s="28">
        <v>1233535000</v>
      </c>
      <c r="W7758" s="28">
        <v>1736706000</v>
      </c>
      <c r="X7758" s="28">
        <v>1728786000</v>
      </c>
      <c r="Y7758" s="28">
        <v>13647068000</v>
      </c>
      <c r="Z7758" s="28">
        <v>5812488000</v>
      </c>
      <c r="AA7758" s="28"/>
      <c r="AB7758" s="28">
        <v>50000000</v>
      </c>
      <c r="AC7758" s="28">
        <v>616613000</v>
      </c>
      <c r="AD7758" s="28">
        <v>11893423000</v>
      </c>
      <c r="AE7758" s="28">
        <v>8318612000</v>
      </c>
      <c r="AF7758" s="28">
        <v>1605685000</v>
      </c>
      <c r="AG7758" s="11"/>
    </row>
    <row r="7759">
      <c r="A7759" s="7" t="s">
        <v>9302</v>
      </c>
      <c r="B7759" s="5" t="s">
        <v>17219</v>
      </c>
      <c r="C7759" s="5" t="s">
        <v>18866</v>
      </c>
      <c r="D7759" s="5"/>
      <c r="E7759" s="0" t="e">
        <f>+7 (351) 2990000
+7 (351) 2990065
+7 (351) 7990035
+7 (3512) 455614
+7 (3512) 455663
+7 (3512) 455679
+7 (3512) 455713
+7 (3512) 631638
+7 (3512) 803894
+7 (3512) 803895
+7 (3517) 913745
+7 (3517) 913774
+7 (3517) 990000
+7 (3517) 990006
+7 (3517) 990009</f>
        <v>#NAME?</v>
      </c>
      <c r="F7759" s="5" t="s">
        <v>47776</v>
      </c>
      <c r="G7759" s="5"/>
      <c r="H7759" s="26">
        <v>30</v>
      </c>
      <c r="I7759" s="5" t="s">
        <v>47777</v>
      </c>
      <c r="J7759" s="5" t="s">
        <v>25946</v>
      </c>
      <c r="K7759" s="5" t="s">
        <v>344</v>
      </c>
      <c r="L7759" s="5"/>
      <c r="M7759" s="27">
        <v>50503586</v>
      </c>
      <c r="N7759" s="5" t="s">
        <v>60876</v>
      </c>
      <c r="O7759" s="5" t="str">
        <v>7448000013</v>
      </c>
      <c r="P7759" s="27">
        <v>54195410</v>
      </c>
      <c r="Q7759" s="5" t="s">
        <v>49009</v>
      </c>
      <c r="R7759" s="5"/>
      <c r="S7759" s="5" t="s">
        <v>53872</v>
      </c>
      <c r="T7759" s="28">
        <v>13421198000</v>
      </c>
      <c r="U7759" s="28">
        <v>10693260000</v>
      </c>
      <c r="V7759" s="28">
        <v>7849563000</v>
      </c>
      <c r="W7759" s="28"/>
      <c r="X7759" s="28">
        <v>3543144000</v>
      </c>
      <c r="Y7759" s="28">
        <v>37695957000</v>
      </c>
      <c r="Z7759" s="28">
        <v>29465522000</v>
      </c>
      <c r="AA7759" s="28"/>
      <c r="AB7759" s="28"/>
      <c r="AC7759" s="28">
        <v>5952373000</v>
      </c>
      <c r="AD7759" s="28">
        <v>30977148000</v>
      </c>
      <c r="AE7759" s="28">
        <v>33028857000</v>
      </c>
      <c r="AF7759" s="28">
        <v>4587176000</v>
      </c>
      <c r="AG7759" s="11"/>
    </row>
    <row r="7760">
      <c r="A7760" s="7" t="s">
        <v>9303</v>
      </c>
      <c r="B7760" s="5" t="s">
        <v>17220</v>
      </c>
      <c r="C7760" s="5" t="s">
        <v>24794</v>
      </c>
      <c r="D7760" s="5" t="str">
        <v>744701015060</v>
      </c>
      <c r="E7760" s="0" t="e">
        <f>+7 (3512) 200237
+7 (3517) 726310
+7 (3517) 726338
+7 (3517) 726366
+7 (3517) 726373
+7 (3517) 726646
+7 (3517) 727974
+7 (3517) 729478
+7 (3517) 730504
+7 (3517) 792441
+7 (3517) 792685
+7 (3517) 792737</f>
        <v>#NAME?</v>
      </c>
      <c r="F7760" s="5" t="s">
        <v>47778</v>
      </c>
      <c r="G7760" s="5" t="s">
        <v>47779</v>
      </c>
      <c r="H7760" s="26">
        <v>30</v>
      </c>
      <c r="I7760" s="5" t="s">
        <v>47780</v>
      </c>
      <c r="J7760" s="5" t="s">
        <v>31498</v>
      </c>
      <c r="K7760" s="5" t="s">
        <v>344</v>
      </c>
      <c r="L7760" s="5" t="s">
        <v>47781</v>
      </c>
      <c r="M7760" s="27">
        <v>15479171</v>
      </c>
      <c r="N7760" s="5" t="s">
        <v>60877</v>
      </c>
      <c r="O7760" s="5" t="str">
        <v>7447010227</v>
      </c>
      <c r="P7760" s="27">
        <v>11911327601</v>
      </c>
      <c r="Q7760" s="5"/>
      <c r="R7760" s="5" t="s">
        <v>60878</v>
      </c>
      <c r="S7760" s="5" t="s">
        <v>49425</v>
      </c>
      <c r="T7760" s="28">
        <v>20776391000</v>
      </c>
      <c r="U7760" s="28">
        <v>4627000</v>
      </c>
      <c r="V7760" s="28">
        <v>14428060000</v>
      </c>
      <c r="W7760" s="28"/>
      <c r="X7760" s="28">
        <v>9383200000</v>
      </c>
      <c r="Y7760" s="28">
        <v>66046119000</v>
      </c>
      <c r="Z7760" s="28">
        <v>23436862000</v>
      </c>
      <c r="AA7760" s="28">
        <v>14179030000</v>
      </c>
      <c r="AB7760" s="28">
        <v>5274341000</v>
      </c>
      <c r="AC7760" s="28">
        <v>14048317000</v>
      </c>
      <c r="AD7760" s="28">
        <v>35963504000</v>
      </c>
      <c r="AE7760" s="28">
        <v>97514199000</v>
      </c>
      <c r="AF7760" s="28">
        <v>14722565000</v>
      </c>
      <c r="AG7760" s="11"/>
    </row>
    <row r="7761">
      <c r="A7761" s="7" t="s">
        <v>9304</v>
      </c>
      <c r="B7761" s="5" t="s">
        <v>17221</v>
      </c>
      <c r="C7761" s="5" t="s">
        <v>24795</v>
      </c>
      <c r="D7761" s="5" t="str">
        <v>212900526835</v>
      </c>
      <c r="E7761" s="0" t="e">
        <f>+7 (8352) 223786
+7 (8352) 280608
+7 (8352) 280829
+7 (8352) 281520
+7 (8352) 281888
+7 (8352) 281999
+7 (8352) 308005
+7 (8352) 308006
+7 (8352) 308288
+7 (8352) 541713
+7 (8352) 541787
+7 (8352) 630019
+7 (8352) 630625
+7 (927) 390990</f>
        <v>#NAME?</v>
      </c>
      <c r="F7761" s="5" t="s">
        <v>47782</v>
      </c>
      <c r="G7761" s="5" t="s">
        <v>47783</v>
      </c>
      <c r="H7761" s="26">
        <v>21.5</v>
      </c>
      <c r="I7761" s="5" t="s">
        <v>47784</v>
      </c>
      <c r="J7761" s="5" t="s">
        <v>773</v>
      </c>
      <c r="K7761" s="5" t="s">
        <v>344</v>
      </c>
      <c r="L7761" s="5" t="s">
        <v>47785</v>
      </c>
      <c r="M7761" s="27">
        <v>1729000</v>
      </c>
      <c r="N7761" s="5" t="s">
        <v>60879</v>
      </c>
      <c r="O7761" s="5" t="str">
        <v>2129042924</v>
      </c>
      <c r="P7761" s="27">
        <v>10000000</v>
      </c>
      <c r="Q7761" s="5" t="s">
        <v>60880</v>
      </c>
      <c r="R7761" s="5"/>
      <c r="S7761" s="5" t="s">
        <v>53260</v>
      </c>
      <c r="T7761" s="28">
        <v>226998000</v>
      </c>
      <c r="U7761" s="28">
        <v>816543000</v>
      </c>
      <c r="V7761" s="28">
        <v>915355000</v>
      </c>
      <c r="W7761" s="28">
        <v>40000</v>
      </c>
      <c r="X7761" s="28">
        <v>1611310000</v>
      </c>
      <c r="Y7761" s="28">
        <v>4015044000</v>
      </c>
      <c r="Z7761" s="28">
        <v>3532153000</v>
      </c>
      <c r="AA7761" s="28"/>
      <c r="AB7761" s="28"/>
      <c r="AC7761" s="28">
        <v>461364000</v>
      </c>
      <c r="AD7761" s="28">
        <v>3543653000</v>
      </c>
      <c r="AE7761" s="28">
        <v>4009638000</v>
      </c>
      <c r="AF7761" s="28">
        <v>839006000</v>
      </c>
      <c r="AG7761" s="11"/>
    </row>
    <row r="7762">
      <c r="A7762" s="7" t="s">
        <v>9305</v>
      </c>
      <c r="B7762" s="5" t="s">
        <v>17222</v>
      </c>
      <c r="C7762" s="5" t="s">
        <v>24796</v>
      </c>
      <c r="D7762" s="5" t="str">
        <v>450201615864</v>
      </c>
      <c r="E7762" s="0" t="e">
        <f>+7 (352) 5332929
+7 (35253) 32938
+7 (35253) 32939
+7 (35253) 33023
+7 (35253) 35038
+7 (35253) 61452
+7 (35253) 62284
+7 (35253) 63296
+7 (35253) 63729
+7 (35253) 91602
+7 (35253) 91656
+7 (35253) 91669
+7 (35253) 91892</f>
        <v>#NAME?</v>
      </c>
      <c r="F7762" s="5" t="s">
        <v>47786</v>
      </c>
      <c r="G7762" s="5" t="s">
        <v>47787</v>
      </c>
      <c r="H7762" s="26">
        <v>30.5</v>
      </c>
      <c r="I7762" s="5" t="s">
        <v>47788</v>
      </c>
      <c r="J7762" s="5" t="s">
        <v>31114</v>
      </c>
      <c r="K7762" s="5" t="s">
        <v>344</v>
      </c>
      <c r="L7762" s="5"/>
      <c r="M7762" s="27">
        <v>134000</v>
      </c>
      <c r="N7762" s="5" t="s">
        <v>60881</v>
      </c>
      <c r="O7762" s="5" t="str">
        <v>4502000019</v>
      </c>
      <c r="P7762" s="27">
        <v>1284570</v>
      </c>
      <c r="Q7762" s="5" t="s">
        <v>49009</v>
      </c>
      <c r="R7762" s="5"/>
      <c r="S7762" s="5" t="s">
        <v>51456</v>
      </c>
      <c r="T7762" s="28">
        <v>1023588000</v>
      </c>
      <c r="U7762" s="28">
        <v>21258000</v>
      </c>
      <c r="V7762" s="28">
        <v>2245484000</v>
      </c>
      <c r="W7762" s="28"/>
      <c r="X7762" s="28">
        <v>465297000</v>
      </c>
      <c r="Y7762" s="28">
        <v>5900486000</v>
      </c>
      <c r="Z7762" s="28">
        <v>2996027000</v>
      </c>
      <c r="AA7762" s="28"/>
      <c r="AB7762" s="28">
        <v>765788000</v>
      </c>
      <c r="AC7762" s="28">
        <v>2780570000</v>
      </c>
      <c r="AD7762" s="28">
        <v>2998082000</v>
      </c>
      <c r="AE7762" s="28">
        <v>11933240000</v>
      </c>
      <c r="AF7762" s="28">
        <v>864112000</v>
      </c>
      <c r="AG7762" s="11"/>
    </row>
    <row r="7763">
      <c r="A7763" s="7" t="s">
        <v>9306</v>
      </c>
      <c r="B7763" s="5" t="s">
        <v>17223</v>
      </c>
      <c r="C7763" s="5" t="s">
        <v>24797</v>
      </c>
      <c r="D7763" s="5"/>
      <c r="E7763" s="0" t="e">
        <f>+7 (415) 2411013
+7 (415) 2225604
+7 (415) 2111011
+7 (415) 2111013
+7 (415) 2201286
+7 (415) 2201287
+7 (415) 2201380
+7 (415) 2201402
+7 (41531) 73867
+7 (41531) 73910
+7 (914) 6201011
+7 (914) 6235555</f>
        <v>#NAME?</v>
      </c>
      <c r="F7763" s="5" t="s">
        <v>47789</v>
      </c>
      <c r="G7763" s="5"/>
      <c r="H7763" s="26">
        <v>17.5</v>
      </c>
      <c r="I7763" s="5" t="s">
        <v>47790</v>
      </c>
      <c r="J7763" s="5" t="s">
        <v>25853</v>
      </c>
      <c r="K7763" s="5" t="s">
        <v>344</v>
      </c>
      <c r="L7763" s="5"/>
      <c r="M7763" s="27"/>
      <c r="N7763" s="5" t="s">
        <v>60882</v>
      </c>
      <c r="O7763" s="5" t="str">
        <v>4101102824</v>
      </c>
      <c r="P7763" s="27">
        <v>510000</v>
      </c>
      <c r="Q7763" s="5"/>
      <c r="R7763" s="5"/>
      <c r="S7763" s="5" t="s">
        <v>49425</v>
      </c>
      <c r="T7763" s="28">
        <v>1083503000</v>
      </c>
      <c r="U7763" s="28">
        <v>48467000</v>
      </c>
      <c r="V7763" s="28">
        <v>117187000</v>
      </c>
      <c r="W7763" s="28"/>
      <c r="X7763" s="28">
        <v>124345000</v>
      </c>
      <c r="Y7763" s="28">
        <v>1963113000</v>
      </c>
      <c r="Z7763" s="28">
        <v>31159000</v>
      </c>
      <c r="AA7763" s="28">
        <v>30000000</v>
      </c>
      <c r="AB7763" s="28">
        <v>91000</v>
      </c>
      <c r="AC7763" s="28">
        <v>1081890000</v>
      </c>
      <c r="AD7763" s="28">
        <v>31669000</v>
      </c>
      <c r="AE7763" s="28">
        <v>6269068000</v>
      </c>
      <c r="AF7763" s="28">
        <v>23440000</v>
      </c>
      <c r="AG7763" s="11"/>
    </row>
    <row r="7764">
      <c r="A7764" s="7" t="s">
        <v>9307</v>
      </c>
      <c r="B7764" s="5" t="s">
        <v>17224</v>
      </c>
      <c r="C7764" s="5" t="s">
        <v>24798</v>
      </c>
      <c r="D7764" s="5" t="str">
        <v>500308139506</v>
      </c>
      <c r="E7764" s="0" t="e">
        <f>+7 (495) 7211353
+7 (495) 7211071
+7 (495) 7211354
+7 (495) 7211355
+7 (495) 7211359
+7 (495) 7221354
+7 (926) 2782774</f>
        <v>#NAME?</v>
      </c>
      <c r="F7764" s="5"/>
      <c r="G7764" s="5" t="s">
        <v>47791</v>
      </c>
      <c r="H7764" s="26">
        <v>21</v>
      </c>
      <c r="I7764" s="5" t="s">
        <v>47792</v>
      </c>
      <c r="J7764" s="5" t="s">
        <v>678</v>
      </c>
      <c r="K7764" s="5" t="s">
        <v>380</v>
      </c>
      <c r="L7764" s="5"/>
      <c r="M7764" s="27"/>
      <c r="N7764" s="5"/>
      <c r="O7764" s="5" t="str">
        <v>7702331790</v>
      </c>
      <c r="P7764" s="27">
        <v>6300000</v>
      </c>
      <c r="Q7764" s="5" t="s">
        <v>49059</v>
      </c>
      <c r="R7764" s="5"/>
      <c r="S7764" s="5" t="s">
        <v>49010</v>
      </c>
      <c r="T7764" s="28">
        <v>4664082000</v>
      </c>
      <c r="U7764" s="28"/>
      <c r="V7764" s="28">
        <v>264698000</v>
      </c>
      <c r="W7764" s="28"/>
      <c r="X7764" s="28">
        <v>1518870000</v>
      </c>
      <c r="Y7764" s="28">
        <v>9456759000</v>
      </c>
      <c r="Z7764" s="28">
        <v>-736042000</v>
      </c>
      <c r="AA7764" s="28"/>
      <c r="AB7764" s="28">
        <v>2647924000</v>
      </c>
      <c r="AC7764" s="28">
        <v>6503403000</v>
      </c>
      <c r="AD7764" s="28">
        <v>-725702000</v>
      </c>
      <c r="AE7764" s="28">
        <v>4501793000</v>
      </c>
      <c r="AF7764" s="28">
        <v>-1835289000</v>
      </c>
      <c r="AG7764" s="11"/>
    </row>
    <row r="7765">
      <c r="A7765" s="7" t="s">
        <v>9308</v>
      </c>
      <c r="B7765" s="5" t="s">
        <v>17225</v>
      </c>
      <c r="C7765" s="5" t="s">
        <v>24799</v>
      </c>
      <c r="D7765" s="5" t="str">
        <v>366300224513</v>
      </c>
      <c r="E7765" s="0" t="e">
        <f>+7 (900) 9484466
+7 (920) 4220821
+7 (923) 5678879
+7 (953) 1246433
+7 (906) 5844258
+7 (473) 2605703</f>
        <v>#NAME?</v>
      </c>
      <c r="F7765" s="5" t="s">
        <v>47793</v>
      </c>
      <c r="G7765" s="5" t="s">
        <v>47794</v>
      </c>
      <c r="H7765" s="26">
        <v>4</v>
      </c>
      <c r="I7765" s="5" t="s">
        <v>47795</v>
      </c>
      <c r="J7765" s="5" t="s">
        <v>25262</v>
      </c>
      <c r="K7765" s="5" t="s">
        <v>344</v>
      </c>
      <c r="L7765" s="5"/>
      <c r="M7765" s="27"/>
      <c r="N7765" s="5" t="s">
        <v>60883</v>
      </c>
      <c r="O7765" s="5" t="str">
        <v>3661172276</v>
      </c>
      <c r="P7765" s="27">
        <v>101000</v>
      </c>
      <c r="Q7765" s="5" t="s">
        <v>60884</v>
      </c>
      <c r="R7765" s="5"/>
      <c r="S7765" s="5" t="s">
        <v>60885</v>
      </c>
      <c r="T7765" s="28">
        <v>310689000</v>
      </c>
      <c r="U7765" s="28">
        <v>568928000</v>
      </c>
      <c r="V7765" s="28">
        <v>2441584000</v>
      </c>
      <c r="W7765" s="28">
        <v>228552000</v>
      </c>
      <c r="X7765" s="28">
        <v>70552000</v>
      </c>
      <c r="Y7765" s="28">
        <v>5392129000</v>
      </c>
      <c r="Z7765" s="28">
        <v>163610000</v>
      </c>
      <c r="AA7765" s="28">
        <v>1466895000</v>
      </c>
      <c r="AB7765" s="28"/>
      <c r="AC7765" s="28">
        <v>3566846000</v>
      </c>
      <c r="AD7765" s="28">
        <v>163711000</v>
      </c>
      <c r="AE7765" s="28">
        <v>7906972000</v>
      </c>
      <c r="AF7765" s="28">
        <v>207767000</v>
      </c>
      <c r="AG7765" s="11"/>
    </row>
    <row r="7766">
      <c r="A7766" s="7" t="s">
        <v>9309</v>
      </c>
      <c r="B7766" s="5" t="s">
        <v>17226</v>
      </c>
      <c r="C7766" s="5" t="s">
        <v>24800</v>
      </c>
      <c r="D7766" s="5" t="str">
        <v>480700117824</v>
      </c>
      <c r="E7766" s="0" t="e">
        <f>+7 (47467) 77000
+7 (920) 2121467
+7 (920) 4485664</f>
        <v>#NAME?</v>
      </c>
      <c r="F7766" s="5" t="s">
        <v>47796</v>
      </c>
      <c r="G7766" s="5"/>
      <c r="H7766" s="26">
        <v>5.5</v>
      </c>
      <c r="I7766" s="5" t="s">
        <v>47797</v>
      </c>
      <c r="J7766" s="5" t="s">
        <v>32652</v>
      </c>
      <c r="K7766" s="5" t="s">
        <v>344</v>
      </c>
      <c r="L7766" s="5" t="s">
        <v>47798</v>
      </c>
      <c r="M7766" s="27">
        <v>29511034</v>
      </c>
      <c r="N7766" s="5"/>
      <c r="O7766" s="5" t="str">
        <v>4807040182</v>
      </c>
      <c r="P7766" s="27">
        <v>3586903923</v>
      </c>
      <c r="Q7766" s="5" t="s">
        <v>49207</v>
      </c>
      <c r="R7766" s="5"/>
      <c r="S7766" s="5" t="s">
        <v>49565</v>
      </c>
      <c r="T7766" s="28">
        <v>2247148000</v>
      </c>
      <c r="U7766" s="28"/>
      <c r="V7766" s="28">
        <v>3681677000</v>
      </c>
      <c r="W7766" s="28"/>
      <c r="X7766" s="28">
        <v>14735000</v>
      </c>
      <c r="Y7766" s="28">
        <v>11374217000</v>
      </c>
      <c r="Z7766" s="28">
        <v>2962572000</v>
      </c>
      <c r="AA7766" s="28">
        <v>2263479000</v>
      </c>
      <c r="AB7766" s="28">
        <v>2353695000</v>
      </c>
      <c r="AC7766" s="28">
        <v>3824673000</v>
      </c>
      <c r="AD7766" s="28">
        <v>5276481000</v>
      </c>
      <c r="AE7766" s="28">
        <v>7754130000</v>
      </c>
      <c r="AF7766" s="28">
        <v>2451840000</v>
      </c>
      <c r="AG7766" s="11"/>
    </row>
    <row r="7767">
      <c r="A7767" s="7" t="s">
        <v>9310</v>
      </c>
      <c r="B7767" s="5" t="s">
        <v>17227</v>
      </c>
      <c r="C7767" s="5" t="s">
        <v>24801</v>
      </c>
      <c r="D7767" s="5" t="str">
        <v>750536658064</v>
      </c>
      <c r="E7767" s="0" t="e">
        <f>+7 (914) 4503050
+7 (3022) 218377</f>
        <v>#NAME?</v>
      </c>
      <c r="F7767" s="5"/>
      <c r="G7767" s="5"/>
      <c r="H7767" s="26">
        <v>5.5</v>
      </c>
      <c r="I7767" s="5" t="s">
        <v>47799</v>
      </c>
      <c r="J7767" s="5" t="s">
        <v>423</v>
      </c>
      <c r="K7767" s="5" t="s">
        <v>344</v>
      </c>
      <c r="L7767" s="5" t="s">
        <v>47800</v>
      </c>
      <c r="M7767" s="27"/>
      <c r="N7767" s="5" t="s">
        <v>56551</v>
      </c>
      <c r="O7767" s="5" t="str">
        <v>7536167149</v>
      </c>
      <c r="P7767" s="27">
        <v>10000</v>
      </c>
      <c r="Q7767" s="5"/>
      <c r="R7767" s="5" t="s">
        <v>57543</v>
      </c>
      <c r="S7767" s="5" t="s">
        <v>49047</v>
      </c>
      <c r="T7767" s="28">
        <v>10656000</v>
      </c>
      <c r="U7767" s="28"/>
      <c r="V7767" s="28">
        <v>545424000</v>
      </c>
      <c r="W7767" s="28">
        <v>6012000</v>
      </c>
      <c r="X7767" s="28">
        <v>2129000</v>
      </c>
      <c r="Y7767" s="28">
        <v>1895062000</v>
      </c>
      <c r="Z7767" s="28">
        <v>490482000</v>
      </c>
      <c r="AA7767" s="28">
        <v>1500000</v>
      </c>
      <c r="AB7767" s="28">
        <v>31502000</v>
      </c>
      <c r="AC7767" s="28">
        <v>1403027000</v>
      </c>
      <c r="AD7767" s="28">
        <v>490492000</v>
      </c>
      <c r="AE7767" s="28">
        <v>6413600000</v>
      </c>
      <c r="AF7767" s="28">
        <v>457474000</v>
      </c>
      <c r="AG7767" s="11"/>
    </row>
    <row r="7768">
      <c r="A7768" s="7" t="s">
        <v>9311</v>
      </c>
      <c r="B7768" s="5" t="s">
        <v>17228</v>
      </c>
      <c r="C7768" s="5" t="s">
        <v>24802</v>
      </c>
      <c r="D7768" s="5" t="str">
        <v>503215018367</v>
      </c>
      <c r="E7768" s="0" t="e">
        <f>+7 (3422) 543280
+7 (3433) 859858
+7 (3433) 859863
+7 (495) 9953137
+7 (495) 9953138
+7 (495) 9953140
+7 (905) 3070460
+7 (912) 2677769
+7 (912) 4807736
+7 (912) 5201731
+7 (912) 7904104
+7 (912) 7904385
+7 (916) 4436550
+7 (922) 2634626
+7 (925) 895866</f>
        <v>#NAME?</v>
      </c>
      <c r="F7768" s="5" t="s">
        <v>47801</v>
      </c>
      <c r="G7768" s="5" t="s">
        <v>47802</v>
      </c>
      <c r="H7768" s="26">
        <v>11</v>
      </c>
      <c r="I7768" s="5" t="s">
        <v>47803</v>
      </c>
      <c r="J7768" s="5" t="s">
        <v>25259</v>
      </c>
      <c r="K7768" s="5" t="s">
        <v>344</v>
      </c>
      <c r="L7768" s="5" t="s">
        <v>47804</v>
      </c>
      <c r="M7768" s="27"/>
      <c r="N7768" s="5" t="s">
        <v>60886</v>
      </c>
      <c r="O7768" s="5" t="str">
        <v>7720749068</v>
      </c>
      <c r="P7768" s="27">
        <v>10000000</v>
      </c>
      <c r="Q7768" s="5" t="s">
        <v>49009</v>
      </c>
      <c r="R7768" s="5"/>
      <c r="S7768" s="5" t="s">
        <v>49980</v>
      </c>
      <c r="T7768" s="28">
        <v>2389550000</v>
      </c>
      <c r="U7768" s="28"/>
      <c r="V7768" s="28">
        <v>1027254000</v>
      </c>
      <c r="W7768" s="28"/>
      <c r="X7768" s="28">
        <v>18066000</v>
      </c>
      <c r="Y7768" s="28">
        <v>8972244000</v>
      </c>
      <c r="Z7768" s="28">
        <v>2249429000</v>
      </c>
      <c r="AA7768" s="28"/>
      <c r="AB7768" s="28">
        <v>2664185000</v>
      </c>
      <c r="AC7768" s="28">
        <v>4857700000</v>
      </c>
      <c r="AD7768" s="28">
        <v>2274819000</v>
      </c>
      <c r="AE7768" s="28">
        <v>13707662000</v>
      </c>
      <c r="AF7768" s="28">
        <v>1517840000</v>
      </c>
      <c r="AG7768" s="11"/>
    </row>
    <row r="7769">
      <c r="A7769" s="7" t="s">
        <v>9312</v>
      </c>
      <c r="B7769" s="5" t="s">
        <v>17229</v>
      </c>
      <c r="C7769" s="5" t="s">
        <v>24803</v>
      </c>
      <c r="D7769" s="5" t="str">
        <v>504902054799</v>
      </c>
      <c r="E7769" s="0" t="e">
        <f>+7 (495) 7874791
+7 (495) 7874797
+7 (496) 4520643
+7 (345) 2520280
+7 (495) 6623150
+7 (495) 7874790
+7 (495) 7874792
+7 (495) 7874793
+7 (496) 4520964
+7 (496) 4522482
+7 (968) 9670005</f>
        <v>#NAME?</v>
      </c>
      <c r="F7769" s="5" t="s">
        <v>47805</v>
      </c>
      <c r="G7769" s="5" t="s">
        <v>47806</v>
      </c>
      <c r="H7769" s="26">
        <v>23</v>
      </c>
      <c r="I7769" s="5" t="s">
        <v>47807</v>
      </c>
      <c r="J7769" s="5" t="s">
        <v>36462</v>
      </c>
      <c r="K7769" s="5" t="s">
        <v>344</v>
      </c>
      <c r="L7769" s="5" t="s">
        <v>47808</v>
      </c>
      <c r="M7769" s="27">
        <v>31130837</v>
      </c>
      <c r="N7769" s="5" t="s">
        <v>53159</v>
      </c>
      <c r="O7769" s="5" t="str">
        <v>5049011877</v>
      </c>
      <c r="P7769" s="27">
        <v>252280000</v>
      </c>
      <c r="Q7769" s="5" t="s">
        <v>60887</v>
      </c>
      <c r="R7769" s="5"/>
      <c r="S7769" s="5" t="s">
        <v>49162</v>
      </c>
      <c r="T7769" s="28">
        <v>2969943000</v>
      </c>
      <c r="U7769" s="28"/>
      <c r="V7769" s="28">
        <v>355499000</v>
      </c>
      <c r="W7769" s="28"/>
      <c r="X7769" s="28">
        <v>1655703000</v>
      </c>
      <c r="Y7769" s="28">
        <v>6757314000</v>
      </c>
      <c r="Z7769" s="28">
        <v>5621617000</v>
      </c>
      <c r="AA7769" s="28">
        <v>125000000</v>
      </c>
      <c r="AB7769" s="28">
        <v>188000</v>
      </c>
      <c r="AC7769" s="28">
        <v>550475000</v>
      </c>
      <c r="AD7769" s="28">
        <v>5874073000</v>
      </c>
      <c r="AE7769" s="28">
        <v>6358953000</v>
      </c>
      <c r="AF7769" s="28">
        <v>554739000</v>
      </c>
      <c r="AG7769" s="11"/>
    </row>
    <row r="7770">
      <c r="A7770" s="7" t="s">
        <v>9313</v>
      </c>
      <c r="B7770" s="5" t="s">
        <v>17230</v>
      </c>
      <c r="C7770" s="5" t="s">
        <v>24804</v>
      </c>
      <c r="D7770" s="5" t="str">
        <v>504910877323</v>
      </c>
      <c r="E7770" s="0" t="e">
        <f>+7 (49645) 25684
+7 (903) 7902974
+7 (495) 5453702
+7 (495) 5453708
+7 (495) 7875727
+7 (495) 7875734
+7 (495) 7875736
+7 (49645) 23538
+7 (49645) 61002
+7 (49645) 61003
+7 (49645) 61016
+7 (915) 3162140</f>
        <v>#NAME?</v>
      </c>
      <c r="F7770" s="5" t="s">
        <v>47809</v>
      </c>
      <c r="G7770" s="5" t="s">
        <v>47810</v>
      </c>
      <c r="H7770" s="26">
        <v>30.5</v>
      </c>
      <c r="I7770" s="5"/>
      <c r="J7770" s="5" t="s">
        <v>31765</v>
      </c>
      <c r="K7770" s="5" t="s">
        <v>344</v>
      </c>
      <c r="L7770" s="5" t="s">
        <v>47811</v>
      </c>
      <c r="M7770" s="27"/>
      <c r="N7770" s="5" t="s">
        <v>60888</v>
      </c>
      <c r="O7770" s="5" t="str">
        <v>5049007736</v>
      </c>
      <c r="P7770" s="27">
        <v>193023700</v>
      </c>
      <c r="Q7770" s="5"/>
      <c r="R7770" s="5"/>
      <c r="S7770" s="5" t="s">
        <v>49110</v>
      </c>
      <c r="T7770" s="28">
        <v>776395000</v>
      </c>
      <c r="U7770" s="28">
        <v>1000</v>
      </c>
      <c r="V7770" s="28">
        <v>566541000</v>
      </c>
      <c r="W7770" s="28">
        <v>157317000</v>
      </c>
      <c r="X7770" s="28">
        <v>73930000</v>
      </c>
      <c r="Y7770" s="28">
        <v>2404235000</v>
      </c>
      <c r="Z7770" s="28">
        <v>1135464000</v>
      </c>
      <c r="AA7770" s="28"/>
      <c r="AB7770" s="28"/>
      <c r="AC7770" s="28">
        <v>598506000</v>
      </c>
      <c r="AD7770" s="28">
        <v>1750009000</v>
      </c>
      <c r="AE7770" s="28">
        <v>4276793000</v>
      </c>
      <c r="AF7770" s="28">
        <v>404517000</v>
      </c>
      <c r="AG7770" s="11"/>
    </row>
    <row r="7771">
      <c r="A7771" s="7" t="s">
        <v>9314</v>
      </c>
      <c r="B7771" s="5" t="s">
        <v>17231</v>
      </c>
      <c r="C7771" s="5" t="s">
        <v>24805</v>
      </c>
      <c r="D7771" s="5" t="str">
        <v>421205125398</v>
      </c>
      <c r="E7771" s="0" t="e">
        <f>+7 (384) 2349234
+7 (384) 2366440
+7 (384) 5644664
+7 (38452) 44664
+7 (38452) 99119
+7 (38452) 99575</f>
        <v>#NAME?</v>
      </c>
      <c r="F7771" s="5" t="s">
        <v>47812</v>
      </c>
      <c r="G7771" s="5"/>
      <c r="H7771" s="26">
        <v>19</v>
      </c>
      <c r="I7771" s="5" t="s">
        <v>47813</v>
      </c>
      <c r="J7771" s="5" t="s">
        <v>43911</v>
      </c>
      <c r="K7771" s="5" t="s">
        <v>355</v>
      </c>
      <c r="L7771" s="5"/>
      <c r="M7771" s="27"/>
      <c r="N7771" s="5"/>
      <c r="O7771" s="5" t="str">
        <v>4205062661</v>
      </c>
      <c r="P7771" s="27">
        <v>10000</v>
      </c>
      <c r="Q7771" s="5"/>
      <c r="R7771" s="5"/>
      <c r="S7771" s="5" t="s">
        <v>49121</v>
      </c>
      <c r="T7771" s="28">
        <v>5567311000</v>
      </c>
      <c r="U7771" s="28"/>
      <c r="V7771" s="28">
        <v>2257268000</v>
      </c>
      <c r="W7771" s="28"/>
      <c r="X7771" s="28">
        <v>10271000</v>
      </c>
      <c r="Y7771" s="28">
        <v>8437433000</v>
      </c>
      <c r="Z7771" s="28">
        <v>-27737000</v>
      </c>
      <c r="AA7771" s="28"/>
      <c r="AB7771" s="28"/>
      <c r="AC7771" s="28">
        <v>8181968000</v>
      </c>
      <c r="AD7771" s="28">
        <v>-27727000</v>
      </c>
      <c r="AE7771" s="28">
        <v>4630511000</v>
      </c>
      <c r="AF7771" s="28">
        <v>449078000</v>
      </c>
      <c r="AG7771" s="11"/>
    </row>
    <row r="7772">
      <c r="A7772" s="7" t="s">
        <v>9315</v>
      </c>
      <c r="B7772" s="5" t="s">
        <v>17232</v>
      </c>
      <c r="C7772" s="5" t="s">
        <v>24806</v>
      </c>
      <c r="D7772" s="5" t="str">
        <v>420520394316</v>
      </c>
      <c r="E7772" s="0" t="e">
        <f>+7 (384) 2496868
+7 (384) 5299946
+7 (38452) 46048
+7 (38452) 46054
+7 (38452) 46065
+7 (38452) 46066
+7 (38452) 46575
+7 (38452) 99937
+7 (38452) 99942
+7 (3846) 674001</f>
        <v>#NAME?</v>
      </c>
      <c r="F7772" s="5" t="s">
        <v>47814</v>
      </c>
      <c r="G7772" s="5"/>
      <c r="H7772" s="26">
        <v>28.5</v>
      </c>
      <c r="I7772" s="5"/>
      <c r="J7772" s="5" t="s">
        <v>28484</v>
      </c>
      <c r="K7772" s="5" t="s">
        <v>344</v>
      </c>
      <c r="L7772" s="5" t="s">
        <v>47815</v>
      </c>
      <c r="M7772" s="27">
        <v>704093</v>
      </c>
      <c r="N7772" s="5"/>
      <c r="O7772" s="5" t="str">
        <v>4231001947</v>
      </c>
      <c r="P7772" s="27">
        <v>227050000</v>
      </c>
      <c r="Q7772" s="5" t="s">
        <v>49009</v>
      </c>
      <c r="R7772" s="5"/>
      <c r="S7772" s="5" t="s">
        <v>49093</v>
      </c>
      <c r="T7772" s="28">
        <v>8202256000</v>
      </c>
      <c r="U7772" s="28">
        <v>50949000</v>
      </c>
      <c r="V7772" s="28">
        <v>14665000</v>
      </c>
      <c r="W7772" s="28"/>
      <c r="X7772" s="28">
        <v>661000</v>
      </c>
      <c r="Y7772" s="28">
        <v>8711696000</v>
      </c>
      <c r="Z7772" s="28">
        <v>1545345000</v>
      </c>
      <c r="AA7772" s="28">
        <v>3565782000</v>
      </c>
      <c r="AB7772" s="28">
        <v>457682000</v>
      </c>
      <c r="AC7772" s="28">
        <v>2261764000</v>
      </c>
      <c r="AD7772" s="28">
        <v>1783748000</v>
      </c>
      <c r="AE7772" s="28">
        <v>9327995000</v>
      </c>
      <c r="AF7772" s="28">
        <v>388946000</v>
      </c>
      <c r="AG7772" s="11"/>
    </row>
    <row r="7773">
      <c r="A7773" s="7" t="s">
        <v>9316</v>
      </c>
      <c r="B7773" s="5" t="s">
        <v>17233</v>
      </c>
      <c r="C7773" s="5" t="s">
        <v>20243</v>
      </c>
      <c r="D7773" s="5"/>
      <c r="E7773" s="0" t="e">
        <f>+7 (38456) 30511
+7 (913) 2815360</f>
        <v>#NAME?</v>
      </c>
      <c r="F7773" s="5" t="s">
        <v>47816</v>
      </c>
      <c r="G7773" s="5"/>
      <c r="H7773" s="26">
        <v>12.5</v>
      </c>
      <c r="I7773" s="5" t="s">
        <v>47817</v>
      </c>
      <c r="J7773" s="5" t="s">
        <v>38779</v>
      </c>
      <c r="K7773" s="5" t="s">
        <v>355</v>
      </c>
      <c r="L7773" s="5"/>
      <c r="M7773" s="27">
        <v>58784290</v>
      </c>
      <c r="N7773" s="5" t="s">
        <v>60889</v>
      </c>
      <c r="O7773" s="5" t="str">
        <v>4212030766</v>
      </c>
      <c r="P7773" s="27">
        <v>40000</v>
      </c>
      <c r="Q7773" s="5" t="s">
        <v>49009</v>
      </c>
      <c r="R7773" s="5"/>
      <c r="S7773" s="5" t="s">
        <v>49010</v>
      </c>
      <c r="T7773" s="28">
        <v>18731776000</v>
      </c>
      <c r="U7773" s="28"/>
      <c r="V7773" s="28">
        <v>416927000</v>
      </c>
      <c r="W7773" s="28"/>
      <c r="X7773" s="28">
        <v>144343000</v>
      </c>
      <c r="Y7773" s="28">
        <v>24198783000</v>
      </c>
      <c r="Z7773" s="28">
        <v>291619000</v>
      </c>
      <c r="AA7773" s="28">
        <v>11911817000</v>
      </c>
      <c r="AB7773" s="28">
        <v>5334400000</v>
      </c>
      <c r="AC7773" s="28">
        <v>6787431000</v>
      </c>
      <c r="AD7773" s="28">
        <v>4088465000</v>
      </c>
      <c r="AE7773" s="28">
        <v>9445117000</v>
      </c>
      <c r="AF7773" s="28">
        <v>3528015000</v>
      </c>
      <c r="AG7773" s="11"/>
    </row>
    <row r="7774">
      <c r="A7774" s="7" t="s">
        <v>9317</v>
      </c>
      <c r="B7774" s="5" t="s">
        <v>17234</v>
      </c>
      <c r="C7774" s="5" t="s">
        <v>24807</v>
      </c>
      <c r="D7774" s="5" t="str">
        <v>421200344340</v>
      </c>
      <c r="E7774" s="0" t="e">
        <f>+7 (384) 5295127
+7 (38452) 36144
+7 (38452) 40057
+7 (38452) 43978
+7 (38452) 50020</f>
        <v>#NAME?</v>
      </c>
      <c r="F7774" s="5" t="s">
        <v>47818</v>
      </c>
      <c r="G7774" s="5"/>
      <c r="H7774" s="26">
        <v>20</v>
      </c>
      <c r="I7774" s="5" t="s">
        <v>47819</v>
      </c>
      <c r="J7774" s="5" t="s">
        <v>39176</v>
      </c>
      <c r="K7774" s="5" t="s">
        <v>355</v>
      </c>
      <c r="L7774" s="5"/>
      <c r="M7774" s="27">
        <v>708125</v>
      </c>
      <c r="N7774" s="5" t="s">
        <v>60890</v>
      </c>
      <c r="O7774" s="5" t="str">
        <v>5410145930</v>
      </c>
      <c r="P7774" s="27">
        <v>7015371006</v>
      </c>
      <c r="Q7774" s="5" t="s">
        <v>49324</v>
      </c>
      <c r="R7774" s="5"/>
      <c r="S7774" s="5" t="s">
        <v>60891</v>
      </c>
      <c r="T7774" s="28">
        <v>8812202000</v>
      </c>
      <c r="U7774" s="28">
        <v>14800000</v>
      </c>
      <c r="V7774" s="28">
        <v>315352000</v>
      </c>
      <c r="W7774" s="28">
        <v>1186000</v>
      </c>
      <c r="X7774" s="28">
        <v>440000</v>
      </c>
      <c r="Y7774" s="28">
        <v>13410772000</v>
      </c>
      <c r="Z7774" s="28">
        <v>-9539915000</v>
      </c>
      <c r="AA7774" s="28">
        <v>1671656000</v>
      </c>
      <c r="AB7774" s="28">
        <v>8533013000</v>
      </c>
      <c r="AC7774" s="28">
        <v>13364197000</v>
      </c>
      <c r="AD7774" s="28">
        <v>-2524544000</v>
      </c>
      <c r="AE7774" s="28">
        <v>6583786000</v>
      </c>
      <c r="AF7774" s="28">
        <v>-4186988000</v>
      </c>
      <c r="AG7774" s="11"/>
    </row>
    <row r="7775">
      <c r="A7775" s="7" t="s">
        <v>9318</v>
      </c>
      <c r="B7775" s="5" t="s">
        <v>17235</v>
      </c>
      <c r="C7775" s="5" t="s">
        <v>21853</v>
      </c>
      <c r="D7775" s="5"/>
      <c r="E7775" s="0" t="e">
        <f>+7 (38471) 72560
+7 (384) 7172517
+7 (3843) 997397</f>
        <v>#NAME?</v>
      </c>
      <c r="F7775" s="5" t="s">
        <v>47820</v>
      </c>
      <c r="G7775" s="5"/>
      <c r="H7775" s="26">
        <v>11.5</v>
      </c>
      <c r="I7775" s="5" t="s">
        <v>47821</v>
      </c>
      <c r="J7775" s="5" t="s">
        <v>38779</v>
      </c>
      <c r="K7775" s="5" t="s">
        <v>344</v>
      </c>
      <c r="L7775" s="5" t="s">
        <v>47822</v>
      </c>
      <c r="M7775" s="27"/>
      <c r="N7775" s="5"/>
      <c r="O7775" s="5" t="str">
        <v>4222013696</v>
      </c>
      <c r="P7775" s="27">
        <v>497226400</v>
      </c>
      <c r="Q7775" s="5" t="s">
        <v>49009</v>
      </c>
      <c r="R7775" s="5"/>
      <c r="S7775" s="5" t="s">
        <v>49371</v>
      </c>
      <c r="T7775" s="28">
        <v>7327989000</v>
      </c>
      <c r="U7775" s="28"/>
      <c r="V7775" s="28">
        <v>3971680000</v>
      </c>
      <c r="W7775" s="28">
        <v>4754000</v>
      </c>
      <c r="X7775" s="28">
        <v>6279000</v>
      </c>
      <c r="Y7775" s="28">
        <v>14695943000</v>
      </c>
      <c r="Z7775" s="28">
        <v>11124564000</v>
      </c>
      <c r="AA7775" s="28"/>
      <c r="AB7775" s="28">
        <v>145444000</v>
      </c>
      <c r="AC7775" s="28">
        <v>2361885000</v>
      </c>
      <c r="AD7775" s="28">
        <v>11714908000</v>
      </c>
      <c r="AE7775" s="28">
        <v>9153855000</v>
      </c>
      <c r="AF7775" s="28">
        <v>2898672000</v>
      </c>
      <c r="AG7775" s="11"/>
    </row>
    <row r="7776">
      <c r="A7776" s="7" t="s">
        <v>9319</v>
      </c>
      <c r="B7776" s="5" t="s">
        <v>17236</v>
      </c>
      <c r="C7776" s="5" t="s">
        <v>24808</v>
      </c>
      <c r="D7776" s="5" t="str">
        <v>422003637557</v>
      </c>
      <c r="E7776" s="0" t="e">
        <f>+7 (3843) 910762
+7 (3843) 910899
+7 (3843) 576301
+7 (3843) 997167</f>
        <v>#NAME?</v>
      </c>
      <c r="F7776" s="5" t="s">
        <v>47823</v>
      </c>
      <c r="G7776" s="5"/>
      <c r="H7776" s="26">
        <v>12.5</v>
      </c>
      <c r="I7776" s="5" t="s">
        <v>47824</v>
      </c>
      <c r="J7776" s="5" t="s">
        <v>29188</v>
      </c>
      <c r="K7776" s="5" t="s">
        <v>355</v>
      </c>
      <c r="L7776" s="5" t="s">
        <v>47825</v>
      </c>
      <c r="M7776" s="27"/>
      <c r="N7776" s="5"/>
      <c r="O7776" s="5" t="str">
        <v>4218107045</v>
      </c>
      <c r="P7776" s="27">
        <v>221444410</v>
      </c>
      <c r="Q7776" s="5"/>
      <c r="R7776" s="5"/>
      <c r="S7776" s="5" t="s">
        <v>49110</v>
      </c>
      <c r="T7776" s="28">
        <v>7713737000</v>
      </c>
      <c r="U7776" s="28"/>
      <c r="V7776" s="28">
        <v>616876000</v>
      </c>
      <c r="W7776" s="28"/>
      <c r="X7776" s="28">
        <v>139076000</v>
      </c>
      <c r="Y7776" s="28">
        <v>13119389000</v>
      </c>
      <c r="Z7776" s="28">
        <v>3123197000</v>
      </c>
      <c r="AA7776" s="28">
        <v>5863732000</v>
      </c>
      <c r="AB7776" s="28">
        <v>366250000</v>
      </c>
      <c r="AC7776" s="28">
        <v>2516693000</v>
      </c>
      <c r="AD7776" s="28">
        <v>4199476000</v>
      </c>
      <c r="AE7776" s="28">
        <v>5394583000</v>
      </c>
      <c r="AF7776" s="28">
        <v>25574000</v>
      </c>
      <c r="AG7776" s="11"/>
    </row>
    <row r="7777">
      <c r="A7777" s="7" t="s">
        <v>9320</v>
      </c>
      <c r="B7777" s="5" t="s">
        <v>17237</v>
      </c>
      <c r="C7777" s="5" t="s">
        <v>21898</v>
      </c>
      <c r="D7777" s="5"/>
      <c r="E7777" s="0" t="e">
        <f>+7 (3432) 957303
+7 (345) 2346542
+7 (345) 2346546
+7 (345) 2346800
+7 (3472) 298764
+7 (3472) 298765
+7 (3472) 932077
+7 (381) 2513907
+7 (383) 3472424
+7 (383) 3474490
+7 (391) 2752819
+7 (391) 2752975
+7 (3952) 486947
+7 (3952) 709573
+7 (473) 2632890</f>
        <v>#NAME?</v>
      </c>
      <c r="F7777" s="5" t="s">
        <v>38915</v>
      </c>
      <c r="G7777" s="5" t="s">
        <v>47826</v>
      </c>
      <c r="H7777" s="26">
        <v>8.5</v>
      </c>
      <c r="I7777" s="5" t="s">
        <v>38917</v>
      </c>
      <c r="J7777" s="5" t="s">
        <v>28950</v>
      </c>
      <c r="K7777" s="5" t="s">
        <v>344</v>
      </c>
      <c r="L7777" s="5" t="s">
        <v>47827</v>
      </c>
      <c r="M7777" s="27"/>
      <c r="N7777" s="5"/>
      <c r="O7777" s="5" t="str">
        <v>7710971730</v>
      </c>
      <c r="P7777" s="27">
        <v>100000</v>
      </c>
      <c r="Q7777" s="5"/>
      <c r="R7777" s="5"/>
      <c r="S7777" s="5" t="s">
        <v>49132</v>
      </c>
      <c r="T7777" s="28">
        <v>1682486000</v>
      </c>
      <c r="U7777" s="28">
        <v>6821000</v>
      </c>
      <c r="V7777" s="28">
        <v>2017807000</v>
      </c>
      <c r="W7777" s="28">
        <v>1376000</v>
      </c>
      <c r="X7777" s="28">
        <v>3257000</v>
      </c>
      <c r="Y7777" s="28">
        <v>4981066000</v>
      </c>
      <c r="Z7777" s="28">
        <v>916108000</v>
      </c>
      <c r="AA7777" s="28">
        <v>2001898000</v>
      </c>
      <c r="AB7777" s="28">
        <v>840563000</v>
      </c>
      <c r="AC7777" s="28">
        <v>1621161000</v>
      </c>
      <c r="AD7777" s="28">
        <v>1251217000</v>
      </c>
      <c r="AE7777" s="28">
        <v>5414992000</v>
      </c>
      <c r="AF7777" s="28">
        <v>196289000</v>
      </c>
      <c r="AG7777" s="11"/>
    </row>
    <row r="7778">
      <c r="A7778" s="7" t="s">
        <v>9321</v>
      </c>
      <c r="B7778" s="5" t="s">
        <v>17238</v>
      </c>
      <c r="C7778" s="5" t="s">
        <v>24809</v>
      </c>
      <c r="D7778" s="5" t="str">
        <v>420207202462</v>
      </c>
      <c r="E7778" s="0" t="e">
        <f>+7 (384) 3790249
+7 (3846) 645249
+7 (3846) 645255</f>
        <v>#NAME?</v>
      </c>
      <c r="F7778" s="5" t="s">
        <v>47828</v>
      </c>
      <c r="G7778" s="5"/>
      <c r="H7778" s="26">
        <v>17</v>
      </c>
      <c r="I7778" s="5" t="s">
        <v>47829</v>
      </c>
      <c r="J7778" s="5" t="s">
        <v>28484</v>
      </c>
      <c r="K7778" s="5" t="s">
        <v>380</v>
      </c>
      <c r="L7778" s="5"/>
      <c r="M7778" s="27">
        <v>1449274</v>
      </c>
      <c r="N7778" s="5" t="s">
        <v>51968</v>
      </c>
      <c r="O7778" s="5" t="str">
        <v>4205101039</v>
      </c>
      <c r="P7778" s="27">
        <v>2000000</v>
      </c>
      <c r="Q7778" s="5" t="s">
        <v>49324</v>
      </c>
      <c r="R7778" s="5"/>
      <c r="S7778" s="5" t="s">
        <v>49457</v>
      </c>
      <c r="T7778" s="28">
        <v>16459224000</v>
      </c>
      <c r="U7778" s="28">
        <v>6873000</v>
      </c>
      <c r="V7778" s="28">
        <v>1972098000</v>
      </c>
      <c r="W7778" s="28">
        <v>2625929000</v>
      </c>
      <c r="X7778" s="28">
        <v>4820000</v>
      </c>
      <c r="Y7778" s="28">
        <v>24451609000</v>
      </c>
      <c r="Z7778" s="28">
        <v>5484646000</v>
      </c>
      <c r="AA7778" s="28">
        <v>1909684000</v>
      </c>
      <c r="AB7778" s="28">
        <v>4793477000</v>
      </c>
      <c r="AC7778" s="28">
        <v>14834039000</v>
      </c>
      <c r="AD7778" s="28">
        <v>5486646000</v>
      </c>
      <c r="AE7778" s="28">
        <v>22364455000</v>
      </c>
      <c r="AF7778" s="28">
        <v>588233000</v>
      </c>
      <c r="AG7778" s="11"/>
    </row>
    <row r="7779">
      <c r="A7779" s="7" t="s">
        <v>9322</v>
      </c>
      <c r="B7779" s="5" t="s">
        <v>17239</v>
      </c>
      <c r="C7779" s="5" t="s">
        <v>24810</v>
      </c>
      <c r="D7779" s="5" t="str">
        <v>500124552512</v>
      </c>
      <c r="E7779" s="0" t="e">
        <f>+7 (86361) 33779
+7 (86369) 21790</f>
        <v>#NAME?</v>
      </c>
      <c r="F7779" s="5" t="s">
        <v>47830</v>
      </c>
      <c r="G7779" s="5" t="s">
        <v>47831</v>
      </c>
      <c r="H7779" s="26">
        <v>21</v>
      </c>
      <c r="I7779" s="5"/>
      <c r="J7779" s="5" t="s">
        <v>31257</v>
      </c>
      <c r="K7779" s="5" t="s">
        <v>380</v>
      </c>
      <c r="L7779" s="5" t="s">
        <v>47832</v>
      </c>
      <c r="M7779" s="27">
        <v>5411528</v>
      </c>
      <c r="N7779" s="5"/>
      <c r="O7779" s="5" t="str">
        <v>6146004404</v>
      </c>
      <c r="P7779" s="27">
        <v>400000000</v>
      </c>
      <c r="Q7779" s="5" t="s">
        <v>60893</v>
      </c>
      <c r="R7779" s="5"/>
      <c r="S7779" s="5" t="s">
        <v>58258</v>
      </c>
      <c r="T7779" s="28">
        <v>7798285000</v>
      </c>
      <c r="U7779" s="28"/>
      <c r="V7779" s="28">
        <v>625758000</v>
      </c>
      <c r="W7779" s="28"/>
      <c r="X7779" s="28">
        <v>721330000</v>
      </c>
      <c r="Y7779" s="28">
        <v>13616266000</v>
      </c>
      <c r="Z7779" s="28">
        <v>2371189000</v>
      </c>
      <c r="AA7779" s="28"/>
      <c r="AB7779" s="28">
        <v>7853781000</v>
      </c>
      <c r="AC7779" s="28">
        <v>9810859000</v>
      </c>
      <c r="AD7779" s="28">
        <v>2791189000</v>
      </c>
      <c r="AE7779" s="28">
        <v>11516894000</v>
      </c>
      <c r="AF7779" s="28">
        <v>-7806815000</v>
      </c>
      <c r="AG7779" s="11"/>
    </row>
    <row r="7780">
      <c r="A7780" s="7" t="s">
        <v>9323</v>
      </c>
      <c r="B7780" s="5" t="s">
        <v>17240</v>
      </c>
      <c r="C7780" s="5" t="s">
        <v>24811</v>
      </c>
      <c r="D7780" s="5"/>
      <c r="E7780" s="0" t="e">
        <f>+7 (863) 1352002
+7 (863) 1352182
+7 (86313) 52171
+7 (8632) 35558
+7 (8636) 264100</f>
        <v>#NAME?</v>
      </c>
      <c r="F7780" s="5" t="s">
        <v>47833</v>
      </c>
      <c r="G7780" s="5" t="s">
        <v>47834</v>
      </c>
      <c r="H7780" s="26">
        <v>19</v>
      </c>
      <c r="I7780" s="5" t="s">
        <v>47835</v>
      </c>
      <c r="J7780" s="5" t="s">
        <v>31257</v>
      </c>
      <c r="K7780" s="5" t="s">
        <v>344</v>
      </c>
      <c r="L7780" s="5" t="s">
        <v>47836</v>
      </c>
      <c r="M7780" s="27">
        <v>8975721</v>
      </c>
      <c r="N7780" s="5"/>
      <c r="O7780" s="5" t="str">
        <v>6142018519</v>
      </c>
      <c r="P7780" s="27">
        <v>114010000</v>
      </c>
      <c r="Q7780" s="5" t="s">
        <v>49021</v>
      </c>
      <c r="R7780" s="5"/>
      <c r="S7780" s="5" t="s">
        <v>60895</v>
      </c>
      <c r="T7780" s="28">
        <v>6340275000</v>
      </c>
      <c r="U7780" s="28">
        <v>35986000</v>
      </c>
      <c r="V7780" s="28">
        <v>2193544000</v>
      </c>
      <c r="W7780" s="28"/>
      <c r="X7780" s="28">
        <v>1379472000</v>
      </c>
      <c r="Y7780" s="28">
        <v>11376912000</v>
      </c>
      <c r="Z7780" s="28">
        <v>8280919000</v>
      </c>
      <c r="AA7780" s="28">
        <v>789474000</v>
      </c>
      <c r="AB7780" s="28">
        <v>704693000</v>
      </c>
      <c r="AC7780" s="28">
        <v>1620787000</v>
      </c>
      <c r="AD7780" s="28">
        <v>8394929000</v>
      </c>
      <c r="AE7780" s="28">
        <v>8270725000</v>
      </c>
      <c r="AF7780" s="28">
        <v>2200839000</v>
      </c>
      <c r="AG7780" s="11"/>
    </row>
    <row r="7781">
      <c r="A7781" s="7" t="s">
        <v>9324</v>
      </c>
      <c r="B7781" s="5" t="s">
        <v>17241</v>
      </c>
      <c r="C7781" s="5" t="s">
        <v>24812</v>
      </c>
      <c r="D7781" s="5" t="str">
        <v>183467497647</v>
      </c>
      <c r="E7781" s="0" t="e">
        <f>+7 (495) 6496343
+7 (925) 5894893</f>
        <v>#NAME?</v>
      </c>
      <c r="F7781" s="5" t="s">
        <v>47837</v>
      </c>
      <c r="G7781" s="5" t="s">
        <v>47838</v>
      </c>
      <c r="H7781" s="26">
        <v>9.5</v>
      </c>
      <c r="I7781" s="5" t="s">
        <v>47839</v>
      </c>
      <c r="J7781" s="5" t="s">
        <v>373</v>
      </c>
      <c r="K7781" s="5" t="s">
        <v>344</v>
      </c>
      <c r="L7781" s="5" t="s">
        <v>47840</v>
      </c>
      <c r="M7781" s="27">
        <v>597600</v>
      </c>
      <c r="N7781" s="5" t="s">
        <v>53429</v>
      </c>
      <c r="O7781" s="5" t="str">
        <v>7731454588</v>
      </c>
      <c r="P7781" s="27">
        <v>10000</v>
      </c>
      <c r="Q7781" s="5" t="s">
        <v>60896</v>
      </c>
      <c r="R7781" s="5"/>
      <c r="S7781" s="5" t="s">
        <v>60897</v>
      </c>
      <c r="T7781" s="28">
        <v>10296000</v>
      </c>
      <c r="U7781" s="28">
        <v>3670000</v>
      </c>
      <c r="V7781" s="28">
        <v>1439984000</v>
      </c>
      <c r="W7781" s="28"/>
      <c r="X7781" s="28">
        <v>71732000</v>
      </c>
      <c r="Y7781" s="28">
        <v>1640769000</v>
      </c>
      <c r="Z7781" s="28">
        <v>270613000</v>
      </c>
      <c r="AA7781" s="28">
        <v>168562000</v>
      </c>
      <c r="AB7781" s="28">
        <v>481453000</v>
      </c>
      <c r="AC7781" s="28">
        <v>1170633000</v>
      </c>
      <c r="AD7781" s="28">
        <v>270623000</v>
      </c>
      <c r="AE7781" s="28">
        <v>8994358000</v>
      </c>
      <c r="AF7781" s="28">
        <v>151651000</v>
      </c>
      <c r="AG7781" s="11"/>
    </row>
    <row r="7782">
      <c r="A7782" s="7" t="s">
        <v>9325</v>
      </c>
      <c r="B7782" s="5" t="s">
        <v>17242</v>
      </c>
      <c r="C7782" s="5" t="s">
        <v>24813</v>
      </c>
      <c r="D7782" s="5" t="str">
        <v>772503726974</v>
      </c>
      <c r="E7782" s="0" t="e">
        <f>+7 (495) 7231087
+7 (495) 7820056
+7 (495) 9601507
+7 (495) 9758971
+7 (495) 9961186
+7 (49679) 62602
+7 (49679) 62603
+7 (499) 9298971
+7 (499) 9298974</f>
        <v>#NAME?</v>
      </c>
      <c r="F7782" s="5" t="s">
        <v>47841</v>
      </c>
      <c r="G7782" s="5" t="s">
        <v>47842</v>
      </c>
      <c r="H7782" s="26">
        <v>23</v>
      </c>
      <c r="I7782" s="5" t="s">
        <v>47843</v>
      </c>
      <c r="J7782" s="5" t="s">
        <v>26128</v>
      </c>
      <c r="K7782" s="5" t="s">
        <v>344</v>
      </c>
      <c r="L7782" s="5"/>
      <c r="M7782" s="27">
        <v>5352785</v>
      </c>
      <c r="N7782" s="5"/>
      <c r="O7782" s="5" t="str">
        <v>5003029656</v>
      </c>
      <c r="P7782" s="27">
        <v>25000</v>
      </c>
      <c r="Q7782" s="5" t="s">
        <v>49021</v>
      </c>
      <c r="R7782" s="5"/>
      <c r="S7782" s="5" t="s">
        <v>57902</v>
      </c>
      <c r="T7782" s="28">
        <v>428014000</v>
      </c>
      <c r="U7782" s="28"/>
      <c r="V7782" s="28">
        <v>1219949000</v>
      </c>
      <c r="W7782" s="28">
        <v>310696000</v>
      </c>
      <c r="X7782" s="28">
        <v>14778000</v>
      </c>
      <c r="Y7782" s="28">
        <v>3641720000</v>
      </c>
      <c r="Z7782" s="28">
        <v>1148986000</v>
      </c>
      <c r="AA7782" s="28">
        <v>963670000</v>
      </c>
      <c r="AB7782" s="28">
        <v>1059910000</v>
      </c>
      <c r="AC7782" s="28">
        <v>1523973000</v>
      </c>
      <c r="AD7782" s="28">
        <v>1149011000</v>
      </c>
      <c r="AE7782" s="28">
        <v>4028544000</v>
      </c>
      <c r="AF7782" s="28">
        <v>60342000</v>
      </c>
      <c r="AG7782" s="11"/>
    </row>
    <row r="7783">
      <c r="A7783" s="7" t="s">
        <v>9326</v>
      </c>
      <c r="B7783" s="5" t="s">
        <v>17243</v>
      </c>
      <c r="C7783" s="5" t="s">
        <v>24814</v>
      </c>
      <c r="D7783" s="5" t="str">
        <v>770165668890</v>
      </c>
      <c r="E7783" s="0" t="e">
        <f>+7 (495) 6210733
+7 (495) 6280020
+7 (495) 7772580
+7 (495) 7772581
+7 (495) 7772585
+7 (800) 7772585</f>
        <v>#NAME?</v>
      </c>
      <c r="F7783" s="5" t="s">
        <v>47844</v>
      </c>
      <c r="G7783" s="5" t="s">
        <v>47845</v>
      </c>
      <c r="H7783" s="26">
        <v>30.5</v>
      </c>
      <c r="I7783" s="5"/>
      <c r="J7783" s="5" t="s">
        <v>599</v>
      </c>
      <c r="K7783" s="5" t="s">
        <v>344</v>
      </c>
      <c r="L7783" s="5"/>
      <c r="M7783" s="27">
        <v>4037526</v>
      </c>
      <c r="N7783" s="5" t="s">
        <v>60898</v>
      </c>
      <c r="O7783" s="5" t="str">
        <v>7810944666</v>
      </c>
      <c r="P7783" s="27">
        <v>44200</v>
      </c>
      <c r="Q7783" s="5" t="s">
        <v>49009</v>
      </c>
      <c r="R7783" s="5" t="s">
        <v>58192</v>
      </c>
      <c r="S7783" s="5" t="s">
        <v>49045</v>
      </c>
      <c r="T7783" s="28">
        <v>180931000</v>
      </c>
      <c r="U7783" s="28"/>
      <c r="V7783" s="28">
        <v>822161000</v>
      </c>
      <c r="W7783" s="28"/>
      <c r="X7783" s="28">
        <v>195327000</v>
      </c>
      <c r="Y7783" s="28">
        <v>1285490000</v>
      </c>
      <c r="Z7783" s="28">
        <v>501128000</v>
      </c>
      <c r="AA7783" s="28"/>
      <c r="AB7783" s="28">
        <v>200000000</v>
      </c>
      <c r="AC7783" s="28">
        <v>463719000</v>
      </c>
      <c r="AD7783" s="28">
        <v>802759000</v>
      </c>
      <c r="AE7783" s="28">
        <v>5219132000</v>
      </c>
      <c r="AF7783" s="28">
        <v>-142926000</v>
      </c>
      <c r="AG7783" s="11"/>
    </row>
    <row r="7784">
      <c r="A7784" s="7" t="s">
        <v>9327</v>
      </c>
      <c r="B7784" s="5" t="s">
        <v>17244</v>
      </c>
      <c r="C7784" s="5" t="s">
        <v>24815</v>
      </c>
      <c r="D7784" s="5" t="str">
        <v>500112028431</v>
      </c>
      <c r="E7784" s="0" t="e">
        <f>+7 (495) 5783948
+7 (495) 5782663
+7 (495) 5784534
+7 (495) 5788185
+7 (495) 7556807
+7 (495) 7556808</f>
        <v>#NAME?</v>
      </c>
      <c r="F7784" s="5" t="s">
        <v>47846</v>
      </c>
      <c r="G7784" s="5" t="s">
        <v>47847</v>
      </c>
      <c r="H7784" s="26">
        <v>25</v>
      </c>
      <c r="I7784" s="5" t="s">
        <v>47848</v>
      </c>
      <c r="J7784" s="5" t="s">
        <v>27564</v>
      </c>
      <c r="K7784" s="5" t="s">
        <v>344</v>
      </c>
      <c r="L7784" s="5" t="s">
        <v>47849</v>
      </c>
      <c r="M7784" s="27"/>
      <c r="N7784" s="5" t="s">
        <v>60899</v>
      </c>
      <c r="O7784" s="5" t="str">
        <v>7714122960</v>
      </c>
      <c r="P7784" s="27">
        <v>100000</v>
      </c>
      <c r="Q7784" s="5" t="s">
        <v>60901</v>
      </c>
      <c r="R7784" s="5"/>
      <c r="S7784" s="5" t="s">
        <v>49032</v>
      </c>
      <c r="T7784" s="28">
        <v>161178000</v>
      </c>
      <c r="U7784" s="28"/>
      <c r="V7784" s="28">
        <v>259720000</v>
      </c>
      <c r="W7784" s="28"/>
      <c r="X7784" s="28">
        <v>830843000</v>
      </c>
      <c r="Y7784" s="28">
        <v>1803523000</v>
      </c>
      <c r="Z7784" s="28">
        <v>1170948000</v>
      </c>
      <c r="AA7784" s="28"/>
      <c r="AB7784" s="28"/>
      <c r="AC7784" s="28">
        <v>601038000</v>
      </c>
      <c r="AD7784" s="28">
        <v>1171073000</v>
      </c>
      <c r="AE7784" s="28">
        <v>3346176000</v>
      </c>
      <c r="AF7784" s="28">
        <v>335774000</v>
      </c>
      <c r="AG7784" s="11"/>
    </row>
    <row r="7785">
      <c r="A7785" s="7" t="s">
        <v>9328</v>
      </c>
      <c r="B7785" s="5" t="s">
        <v>17245</v>
      </c>
      <c r="C7785" s="5" t="s">
        <v>24816</v>
      </c>
      <c r="D7785" s="5" t="str">
        <v>772776527199</v>
      </c>
      <c r="E7785" s="0" t="e">
        <f>+7 (495) 6954540
+7 (495) 7887363
+7 (495) 9995555
+7 (495) 6952828
+7 (495) 6954543
+7 (495) 6977799
+7 (495) 6979503
+7 (495) 7887362
+7 (495) 9810909
+7 (499) 2688300</f>
        <v>#NAME?</v>
      </c>
      <c r="F7785" s="5" t="s">
        <v>47850</v>
      </c>
      <c r="G7785" s="5" t="s">
        <v>47851</v>
      </c>
      <c r="H7785" s="26">
        <v>26.5</v>
      </c>
      <c r="I7785" s="5" t="s">
        <v>47852</v>
      </c>
      <c r="J7785" s="5" t="s">
        <v>27534</v>
      </c>
      <c r="K7785" s="5" t="s">
        <v>344</v>
      </c>
      <c r="L7785" s="5" t="s">
        <v>47853</v>
      </c>
      <c r="M7785" s="27"/>
      <c r="N7785" s="5" t="s">
        <v>60902</v>
      </c>
      <c r="O7785" s="5" t="str">
        <v>9701115609</v>
      </c>
      <c r="P7785" s="27">
        <v>50000</v>
      </c>
      <c r="Q7785" s="5" t="s">
        <v>60903</v>
      </c>
      <c r="R7785" s="5"/>
      <c r="S7785" s="5" t="s">
        <v>49756</v>
      </c>
      <c r="T7785" s="28">
        <v>1518583000</v>
      </c>
      <c r="U7785" s="28"/>
      <c r="V7785" s="28">
        <v>608586000</v>
      </c>
      <c r="W7785" s="28"/>
      <c r="X7785" s="28">
        <v>1006971000</v>
      </c>
      <c r="Y7785" s="28">
        <v>5178524000</v>
      </c>
      <c r="Z7785" s="28">
        <v>4137400000</v>
      </c>
      <c r="AA7785" s="28"/>
      <c r="AB7785" s="28"/>
      <c r="AC7785" s="28">
        <v>859980000</v>
      </c>
      <c r="AD7785" s="28">
        <v>4137453000</v>
      </c>
      <c r="AE7785" s="28">
        <v>3759887000</v>
      </c>
      <c r="AF7785" s="28">
        <v>674655000</v>
      </c>
      <c r="AG7785" s="11"/>
    </row>
    <row r="7786">
      <c r="A7786" s="7" t="s">
        <v>9329</v>
      </c>
      <c r="B7786" s="5" t="s">
        <v>17246</v>
      </c>
      <c r="C7786" s="5" t="s">
        <v>24817</v>
      </c>
      <c r="D7786" s="5" t="str">
        <v>644913166407</v>
      </c>
      <c r="E7786" s="0" t="e">
        <f>+7 (495) 5784646
+7 (495) 5786161
+7 (495) 7302506
+7 (926) 2445059</f>
        <v>#NAME?</v>
      </c>
      <c r="F7786" s="5" t="s">
        <v>47854</v>
      </c>
      <c r="G7786" s="5" t="s">
        <v>47855</v>
      </c>
      <c r="H7786" s="26">
        <v>20</v>
      </c>
      <c r="I7786" s="5" t="s">
        <v>47856</v>
      </c>
      <c r="J7786" s="5" t="s">
        <v>31237</v>
      </c>
      <c r="K7786" s="5" t="s">
        <v>344</v>
      </c>
      <c r="L7786" s="5"/>
      <c r="M7786" s="27">
        <v>17674322</v>
      </c>
      <c r="N7786" s="5" t="s">
        <v>57560</v>
      </c>
      <c r="O7786" s="5" t="str">
        <v>5025018591</v>
      </c>
      <c r="P7786" s="27">
        <v>802683000</v>
      </c>
      <c r="Q7786" s="5" t="s">
        <v>60905</v>
      </c>
      <c r="R7786" s="5"/>
      <c r="S7786" s="5" t="s">
        <v>49747</v>
      </c>
      <c r="T7786" s="28">
        <v>7240557000</v>
      </c>
      <c r="U7786" s="28"/>
      <c r="V7786" s="28">
        <v>1341113000</v>
      </c>
      <c r="W7786" s="28"/>
      <c r="X7786" s="28">
        <v>2144682000</v>
      </c>
      <c r="Y7786" s="28">
        <v>12921631000</v>
      </c>
      <c r="Z7786" s="28">
        <v>-1660017000</v>
      </c>
      <c r="AA7786" s="28">
        <v>3200000000</v>
      </c>
      <c r="AB7786" s="28"/>
      <c r="AC7786" s="28">
        <v>4451380000</v>
      </c>
      <c r="AD7786" s="28">
        <v>836143000</v>
      </c>
      <c r="AE7786" s="28">
        <v>9625191000</v>
      </c>
      <c r="AF7786" s="28">
        <v>150812000</v>
      </c>
      <c r="AG7786" s="11"/>
    </row>
    <row r="7787">
      <c r="A7787" s="7" t="s">
        <v>9330</v>
      </c>
      <c r="B7787" s="5" t="s">
        <v>17247</v>
      </c>
      <c r="C7787" s="5" t="s">
        <v>24818</v>
      </c>
      <c r="D7787" s="5" t="str">
        <v>420537658849</v>
      </c>
      <c r="E7787" s="0" t="e">
        <f>+7 (38463) 51259
+7 (960) 9046932
+7 (384) 5222514
+7 (38452) 60176
+7 (38452) 95235
+7 (38463) 22514
+7 (38463) 51320
+7 (38463) 52199
+7 (38463) 59081
+7 (38463) 59085</f>
        <v>#NAME?</v>
      </c>
      <c r="F7787" s="5" t="s">
        <v>47857</v>
      </c>
      <c r="G7787" s="5"/>
      <c r="H7787" s="26">
        <v>29.5</v>
      </c>
      <c r="I7787" s="5"/>
      <c r="J7787" s="5" t="s">
        <v>32368</v>
      </c>
      <c r="K7787" s="5" t="s">
        <v>344</v>
      </c>
      <c r="L7787" s="5"/>
      <c r="M7787" s="27">
        <v>4606605</v>
      </c>
      <c r="N7787" s="5"/>
      <c r="O7787" s="5" t="str">
        <v>4232000174</v>
      </c>
      <c r="P7787" s="27">
        <v>41800</v>
      </c>
      <c r="Q7787" s="5"/>
      <c r="R7787" s="5"/>
      <c r="S7787" s="5" t="s">
        <v>49110</v>
      </c>
      <c r="T7787" s="28">
        <v>10705232000</v>
      </c>
      <c r="U7787" s="28"/>
      <c r="V7787" s="28">
        <v>1877212000</v>
      </c>
      <c r="W7787" s="28"/>
      <c r="X7787" s="28">
        <v>660000</v>
      </c>
      <c r="Y7787" s="28">
        <v>16732416000</v>
      </c>
      <c r="Z7787" s="28">
        <v>3007758000</v>
      </c>
      <c r="AA7787" s="28"/>
      <c r="AB7787" s="28"/>
      <c r="AC7787" s="28">
        <v>11453156000</v>
      </c>
      <c r="AD7787" s="28">
        <v>3560465000</v>
      </c>
      <c r="AE7787" s="28">
        <v>12887864000</v>
      </c>
      <c r="AF7787" s="28">
        <v>2488263000</v>
      </c>
      <c r="AG7787" s="11"/>
    </row>
    <row r="7788">
      <c r="A7788" s="7" t="s">
        <v>9331</v>
      </c>
      <c r="B7788" s="5" t="s">
        <v>17248</v>
      </c>
      <c r="C7788" s="5" t="s">
        <v>21969</v>
      </c>
      <c r="D7788" s="5"/>
      <c r="E7788" s="0" t="e">
        <f>+7 (855) 3393901
+7 (8553) 374701
+7 (8553) 374702
+7 (8553) 393904</f>
        <v>#NAME?</v>
      </c>
      <c r="F7788" s="5" t="s">
        <v>47858</v>
      </c>
      <c r="G7788" s="5" t="s">
        <v>47859</v>
      </c>
      <c r="H7788" s="26">
        <v>25</v>
      </c>
      <c r="I7788" s="5"/>
      <c r="J7788" s="5" t="s">
        <v>26607</v>
      </c>
      <c r="K7788" s="5" t="s">
        <v>355</v>
      </c>
      <c r="L7788" s="5"/>
      <c r="M7788" s="27"/>
      <c r="N7788" s="5"/>
      <c r="O7788" s="5" t="str">
        <v>1631002298</v>
      </c>
      <c r="P7788" s="27">
        <v>80000000</v>
      </c>
      <c r="Q7788" s="5"/>
      <c r="R7788" s="5"/>
      <c r="S7788" s="5" t="s">
        <v>49121</v>
      </c>
      <c r="T7788" s="28">
        <v>9020247000</v>
      </c>
      <c r="U7788" s="28">
        <v>2181714000</v>
      </c>
      <c r="V7788" s="28">
        <v>1306585000</v>
      </c>
      <c r="W7788" s="28">
        <v>1981500000</v>
      </c>
      <c r="X7788" s="28">
        <v>2855031000</v>
      </c>
      <c r="Y7788" s="28">
        <v>21094558000</v>
      </c>
      <c r="Z7788" s="28">
        <v>14478829000</v>
      </c>
      <c r="AA7788" s="28">
        <v>3177800000</v>
      </c>
      <c r="AB7788" s="28"/>
      <c r="AC7788" s="28">
        <v>1670355000</v>
      </c>
      <c r="AD7788" s="28">
        <v>14627989000</v>
      </c>
      <c r="AE7788" s="28">
        <v>14125490000</v>
      </c>
      <c r="AF7788" s="28">
        <v>49654000</v>
      </c>
      <c r="AG7788" s="11"/>
    </row>
    <row r="7789">
      <c r="A7789" s="7" t="s">
        <v>9332</v>
      </c>
      <c r="B7789" s="5" t="s">
        <v>17249</v>
      </c>
      <c r="C7789" s="5" t="s">
        <v>24819</v>
      </c>
      <c r="D7789" s="5" t="str">
        <v>745216957163</v>
      </c>
      <c r="E7789" s="0" t="e">
        <f>+7 (351) 2621423
+7 (912) 4777740
+7 (912) 8923975</f>
        <v>#NAME?</v>
      </c>
      <c r="F7789" s="5" t="s">
        <v>47860</v>
      </c>
      <c r="G7789" s="5"/>
      <c r="H7789" s="26">
        <v>22.5</v>
      </c>
      <c r="I7789" s="5" t="s">
        <v>47861</v>
      </c>
      <c r="J7789" s="5" t="s">
        <v>678</v>
      </c>
      <c r="K7789" s="5" t="s">
        <v>344</v>
      </c>
      <c r="L7789" s="5" t="s">
        <v>47862</v>
      </c>
      <c r="M7789" s="27"/>
      <c r="N7789" s="5" t="s">
        <v>60906</v>
      </c>
      <c r="O7789" s="5" t="str">
        <v>7451092286</v>
      </c>
      <c r="P7789" s="27">
        <v>28400</v>
      </c>
      <c r="Q7789" s="5" t="s">
        <v>49059</v>
      </c>
      <c r="R7789" s="5" t="s">
        <v>60907</v>
      </c>
      <c r="S7789" s="5" t="s">
        <v>49358</v>
      </c>
      <c r="T7789" s="28">
        <v>105637000</v>
      </c>
      <c r="U7789" s="28">
        <v>10000000</v>
      </c>
      <c r="V7789" s="28">
        <v>726098000</v>
      </c>
      <c r="W7789" s="28"/>
      <c r="X7789" s="28">
        <v>7279000</v>
      </c>
      <c r="Y7789" s="28">
        <v>2935038000</v>
      </c>
      <c r="Z7789" s="28">
        <v>865223000</v>
      </c>
      <c r="AA7789" s="28">
        <v>341366000</v>
      </c>
      <c r="AB7789" s="28">
        <v>101360000</v>
      </c>
      <c r="AC7789" s="28">
        <v>1637918000</v>
      </c>
      <c r="AD7789" s="28">
        <v>882251000</v>
      </c>
      <c r="AE7789" s="28">
        <v>7144236000</v>
      </c>
      <c r="AF7789" s="28">
        <v>529227000</v>
      </c>
      <c r="AG7789" s="11"/>
    </row>
    <row r="7790">
      <c r="A7790" s="7" t="s">
        <v>9333</v>
      </c>
      <c r="B7790" s="5" t="s">
        <v>17250</v>
      </c>
      <c r="C7790" s="5" t="s">
        <v>24820</v>
      </c>
      <c r="D7790" s="5" t="str">
        <v>772202765874</v>
      </c>
      <c r="E7790" s="0" t="e">
        <f>+7 (499) 2312047
+7 (499) 2312227
+7 (495) 2294672
+7 (495) 6294672
+7 (495) 7811168</f>
        <v>#NAME?</v>
      </c>
      <c r="F7790" s="5" t="s">
        <v>47863</v>
      </c>
      <c r="G7790" s="5" t="s">
        <v>47864</v>
      </c>
      <c r="H7790" s="26">
        <v>13</v>
      </c>
      <c r="I7790" s="5" t="s">
        <v>47865</v>
      </c>
      <c r="J7790" s="5" t="s">
        <v>25550</v>
      </c>
      <c r="K7790" s="5" t="s">
        <v>344</v>
      </c>
      <c r="L7790" s="5" t="s">
        <v>47866</v>
      </c>
      <c r="M7790" s="27"/>
      <c r="N7790" s="5"/>
      <c r="O7790" s="5" t="str">
        <v>7725693620</v>
      </c>
      <c r="P7790" s="27">
        <v>1000000</v>
      </c>
      <c r="Q7790" s="5" t="s">
        <v>60908</v>
      </c>
      <c r="R7790" s="5"/>
      <c r="S7790" s="5" t="s">
        <v>60909</v>
      </c>
      <c r="T7790" s="28">
        <v>1938430000</v>
      </c>
      <c r="U7790" s="28">
        <v>47010000</v>
      </c>
      <c r="V7790" s="28">
        <v>3004746000</v>
      </c>
      <c r="W7790" s="28">
        <v>57250000</v>
      </c>
      <c r="X7790" s="28">
        <v>549407000</v>
      </c>
      <c r="Y7790" s="28">
        <v>15187082000</v>
      </c>
      <c r="Z7790" s="28">
        <v>3855765000</v>
      </c>
      <c r="AA7790" s="28">
        <v>289762000</v>
      </c>
      <c r="AB7790" s="28">
        <v>2581000000</v>
      </c>
      <c r="AC7790" s="28">
        <v>8660468000</v>
      </c>
      <c r="AD7790" s="28">
        <v>4605411000</v>
      </c>
      <c r="AE7790" s="28">
        <v>22264230000</v>
      </c>
      <c r="AF7790" s="28">
        <v>2031762000</v>
      </c>
      <c r="AG7790" s="11"/>
    </row>
    <row r="7791">
      <c r="A7791" s="7" t="s">
        <v>9334</v>
      </c>
      <c r="B7791" s="5" t="s">
        <v>17251</v>
      </c>
      <c r="C7791" s="5" t="s">
        <v>24821</v>
      </c>
      <c r="D7791" s="5" t="str">
        <v>770305788615</v>
      </c>
      <c r="E7791" s="0" t="e">
        <f>+7 (3412) 333385
+7 (485) 2725828
+7 (4912) 248320
+7 (495) 3223481
+7 (812) 3276457
+7 (81751) 23506
+7 (81751) 23941
+7 (81751) 23955
+7 (81751) 29319
+7 (81751) 29330
+7 (81751) 29388
+7 (81751) 29541
+7 (81751) 29545
+7 (81751) 29706
+7 (81751) 29715</f>
        <v>#NAME?</v>
      </c>
      <c r="F7791" s="5" t="s">
        <v>47867</v>
      </c>
      <c r="G7791" s="5" t="s">
        <v>47868</v>
      </c>
      <c r="H7791" s="26">
        <v>22.5</v>
      </c>
      <c r="I7791" s="5" t="s">
        <v>47869</v>
      </c>
      <c r="J7791" s="5" t="s">
        <v>27221</v>
      </c>
      <c r="K7791" s="5" t="s">
        <v>344</v>
      </c>
      <c r="L7791" s="5" t="s">
        <v>32720</v>
      </c>
      <c r="M7791" s="27">
        <v>3665342</v>
      </c>
      <c r="N7791" s="5"/>
      <c r="O7791" s="5" t="str">
        <v>3524009045</v>
      </c>
      <c r="P7791" s="27">
        <v>10000</v>
      </c>
      <c r="Q7791" s="5" t="s">
        <v>49059</v>
      </c>
      <c r="R7791" s="5"/>
      <c r="S7791" s="5" t="s">
        <v>49425</v>
      </c>
      <c r="T7791" s="28">
        <v>1435583000</v>
      </c>
      <c r="U7791" s="28"/>
      <c r="V7791" s="28">
        <v>115522000</v>
      </c>
      <c r="W7791" s="28"/>
      <c r="X7791" s="28">
        <v>298031000</v>
      </c>
      <c r="Y7791" s="28">
        <v>2368553000</v>
      </c>
      <c r="Z7791" s="28">
        <v>1650915000</v>
      </c>
      <c r="AA7791" s="28"/>
      <c r="AB7791" s="28">
        <v>575000</v>
      </c>
      <c r="AC7791" s="28">
        <v>262060000</v>
      </c>
      <c r="AD7791" s="28">
        <v>1976110000</v>
      </c>
      <c r="AE7791" s="28">
        <v>3520164000</v>
      </c>
      <c r="AF7791" s="28">
        <v>266135000</v>
      </c>
      <c r="AG7791" s="11"/>
    </row>
    <row r="7792">
      <c r="A7792" s="7" t="s">
        <v>9335</v>
      </c>
      <c r="B7792" s="5" t="s">
        <v>17252</v>
      </c>
      <c r="C7792" s="5" t="s">
        <v>24822</v>
      </c>
      <c r="D7792" s="5" t="str">
        <v>772506257640</v>
      </c>
      <c r="E7792" s="0" t="e">
        <f>+7 (495) 9017800
+7 (926) 3977950
+7 (929) 6549429
+7 (967) 427556
+7 (495) 3370373
+7 (495) 3370560
+7 (495) 3371111
+7 (495) 3371955
+7 (495) 3374369
+7 (495) 3381077
+7 (495) 4240424
+7 (812) 6556394
+7 (929) 6230321</f>
        <v>#NAME?</v>
      </c>
      <c r="F7792" s="5" t="s">
        <v>47870</v>
      </c>
      <c r="G7792" s="5" t="s">
        <v>47871</v>
      </c>
      <c r="H7792" s="26">
        <v>30.5</v>
      </c>
      <c r="I7792" s="5" t="s">
        <v>47872</v>
      </c>
      <c r="J7792" s="5" t="s">
        <v>585</v>
      </c>
      <c r="K7792" s="5" t="s">
        <v>344</v>
      </c>
      <c r="L7792" s="5" t="s">
        <v>47873</v>
      </c>
      <c r="M7792" s="27"/>
      <c r="N7792" s="5" t="s">
        <v>60910</v>
      </c>
      <c r="O7792" s="5" t="str">
        <v>7728095201</v>
      </c>
      <c r="P7792" s="27">
        <v>150000</v>
      </c>
      <c r="Q7792" s="5" t="s">
        <v>60912</v>
      </c>
      <c r="R7792" s="5"/>
      <c r="S7792" s="5" t="s">
        <v>60913</v>
      </c>
      <c r="T7792" s="28">
        <v>392338000</v>
      </c>
      <c r="U7792" s="28"/>
      <c r="V7792" s="28">
        <v>655687000</v>
      </c>
      <c r="W7792" s="28"/>
      <c r="X7792" s="28">
        <v>1861152000</v>
      </c>
      <c r="Y7792" s="28">
        <v>3109437000</v>
      </c>
      <c r="Z7792" s="28">
        <v>564040000</v>
      </c>
      <c r="AA7792" s="28"/>
      <c r="AB7792" s="28"/>
      <c r="AC7792" s="28">
        <v>2189782000</v>
      </c>
      <c r="AD7792" s="28">
        <v>564190000</v>
      </c>
      <c r="AE7792" s="28">
        <v>5394216000</v>
      </c>
      <c r="AF7792" s="28">
        <v>245349000</v>
      </c>
      <c r="AG7792" s="11"/>
    </row>
    <row r="7793">
      <c r="A7793" s="7" t="s">
        <v>9336</v>
      </c>
      <c r="B7793" s="5" t="s">
        <v>17253</v>
      </c>
      <c r="C7793" s="5" t="s">
        <v>24823</v>
      </c>
      <c r="D7793" s="5" t="str">
        <v>744601532160</v>
      </c>
      <c r="E7793" s="0" t="e">
        <f>+7 (3519) 246311
+7 (3519) 247271</f>
        <v>#NAME?</v>
      </c>
      <c r="F7793" s="5" t="s">
        <v>47874</v>
      </c>
      <c r="G7793" s="5"/>
      <c r="H7793" s="26">
        <v>18</v>
      </c>
      <c r="I7793" s="5" t="s">
        <v>47875</v>
      </c>
      <c r="J7793" s="5" t="s">
        <v>47876</v>
      </c>
      <c r="K7793" s="5" t="s">
        <v>344</v>
      </c>
      <c r="L7793" s="5" t="s">
        <v>47877</v>
      </c>
      <c r="M7793" s="27"/>
      <c r="N7793" s="5"/>
      <c r="O7793" s="5" t="str">
        <v>7445026038</v>
      </c>
      <c r="P7793" s="27">
        <v>5500000</v>
      </c>
      <c r="Q7793" s="5"/>
      <c r="R7793" s="5"/>
      <c r="S7793" s="5" t="s">
        <v>49121</v>
      </c>
      <c r="T7793" s="28">
        <v>1083956000</v>
      </c>
      <c r="U7793" s="28"/>
      <c r="V7793" s="28">
        <v>405628000</v>
      </c>
      <c r="W7793" s="28">
        <v>521750000</v>
      </c>
      <c r="X7793" s="28">
        <v>47000</v>
      </c>
      <c r="Y7793" s="28">
        <v>2401629000</v>
      </c>
      <c r="Z7793" s="28">
        <v>945081000</v>
      </c>
      <c r="AA7793" s="28"/>
      <c r="AB7793" s="28"/>
      <c r="AC7793" s="28">
        <v>708157000</v>
      </c>
      <c r="AD7793" s="28">
        <v>966391000</v>
      </c>
      <c r="AE7793" s="28">
        <v>3440461000</v>
      </c>
      <c r="AF7793" s="28">
        <v>438387000</v>
      </c>
      <c r="AG7793" s="11"/>
    </row>
    <row r="7794">
      <c r="A7794" s="7" t="s">
        <v>9337</v>
      </c>
      <c r="B7794" s="5" t="s">
        <v>17254</v>
      </c>
      <c r="C7794" s="5" t="s">
        <v>23840</v>
      </c>
      <c r="D7794" s="5" t="str">
        <v>773412551013</v>
      </c>
      <c r="E7794" s="0" t="e">
        <f>+7 (345) 2520447
+7 (34643) 47174
+7 (424) 2463902
+7 (424) 2494070</f>
        <v>#NAME?</v>
      </c>
      <c r="F7794" s="5" t="s">
        <v>47878</v>
      </c>
      <c r="G7794" s="5"/>
      <c r="H7794" s="26">
        <v>19</v>
      </c>
      <c r="I7794" s="5" t="s">
        <v>47879</v>
      </c>
      <c r="J7794" s="5" t="s">
        <v>27921</v>
      </c>
      <c r="K7794" s="5" t="s">
        <v>355</v>
      </c>
      <c r="L7794" s="5"/>
      <c r="M7794" s="27">
        <v>48048</v>
      </c>
      <c r="N7794" s="5"/>
      <c r="O7794" s="5" t="str">
        <v>7709542704</v>
      </c>
      <c r="P7794" s="27">
        <v>6000000</v>
      </c>
      <c r="Q7794" s="5" t="s">
        <v>60914</v>
      </c>
      <c r="R7794" s="5"/>
      <c r="S7794" s="5" t="s">
        <v>49195</v>
      </c>
      <c r="T7794" s="28">
        <v>3653925000</v>
      </c>
      <c r="U7794" s="28"/>
      <c r="V7794" s="28">
        <v>4856960000</v>
      </c>
      <c r="W7794" s="28"/>
      <c r="X7794" s="28">
        <v>807348000</v>
      </c>
      <c r="Y7794" s="28">
        <v>9869331000</v>
      </c>
      <c r="Z7794" s="28">
        <v>1920857000</v>
      </c>
      <c r="AA7794" s="28">
        <v>1500000000</v>
      </c>
      <c r="AB7794" s="28"/>
      <c r="AC7794" s="28">
        <v>6076584000</v>
      </c>
      <c r="AD7794" s="28">
        <v>1926857000</v>
      </c>
      <c r="AE7794" s="28">
        <v>16247515000</v>
      </c>
      <c r="AF7794" s="28">
        <v>-75487000</v>
      </c>
      <c r="AG7794" s="11"/>
    </row>
    <row r="7795">
      <c r="A7795" s="7" t="s">
        <v>9338</v>
      </c>
      <c r="B7795" s="5" t="s">
        <v>17255</v>
      </c>
      <c r="C7795" s="5" t="s">
        <v>24824</v>
      </c>
      <c r="D7795" s="5" t="str">
        <v>774329551718</v>
      </c>
      <c r="E7795" s="0" t="e">
        <f>+7 (495) 9896146
+7 (812) 4934717
+7 (495) 6400403
+7 (495) 9896145
+7 (499) 7536434
+7 (985) 7657803</f>
        <v>#NAME?</v>
      </c>
      <c r="F7795" s="5" t="s">
        <v>47880</v>
      </c>
      <c r="G7795" s="5" t="s">
        <v>47881</v>
      </c>
      <c r="H7795" s="26">
        <v>16</v>
      </c>
      <c r="I7795" s="5" t="s">
        <v>47882</v>
      </c>
      <c r="J7795" s="5" t="s">
        <v>397</v>
      </c>
      <c r="K7795" s="5" t="s">
        <v>344</v>
      </c>
      <c r="L7795" s="5" t="s">
        <v>47883</v>
      </c>
      <c r="M7795" s="27"/>
      <c r="N7795" s="5"/>
      <c r="O7795" s="5" t="str">
        <v>4703091270</v>
      </c>
      <c r="P7795" s="27">
        <v>4733941</v>
      </c>
      <c r="Q7795" s="5" t="s">
        <v>49009</v>
      </c>
      <c r="R7795" s="5" t="s">
        <v>60915</v>
      </c>
      <c r="S7795" s="5" t="s">
        <v>49066</v>
      </c>
      <c r="T7795" s="28">
        <v>7863000</v>
      </c>
      <c r="U7795" s="28"/>
      <c r="V7795" s="28">
        <v>185187000</v>
      </c>
      <c r="W7795" s="28">
        <v>652451000</v>
      </c>
      <c r="X7795" s="28">
        <v>73504000</v>
      </c>
      <c r="Y7795" s="28">
        <v>998152000</v>
      </c>
      <c r="Z7795" s="28">
        <v>939212000</v>
      </c>
      <c r="AA7795" s="28"/>
      <c r="AB7795" s="28"/>
      <c r="AC7795" s="28">
        <v>46438000</v>
      </c>
      <c r="AD7795" s="28">
        <v>943946000</v>
      </c>
      <c r="AE7795" s="28">
        <v>5347716000</v>
      </c>
      <c r="AF7795" s="28">
        <v>-94354000</v>
      </c>
      <c r="AG7795" s="11"/>
    </row>
    <row r="7796">
      <c r="A7796" s="7" t="s">
        <v>9339</v>
      </c>
      <c r="B7796" s="5" t="s">
        <v>17256</v>
      </c>
      <c r="C7796" s="5" t="s">
        <v>24825</v>
      </c>
      <c r="D7796" s="5" t="str">
        <v>121520203614</v>
      </c>
      <c r="E7796" s="0" t="e">
        <f>+7 (836) 2735159
+7 (8362) 531123
+7 (8362) 531169
+7 (8362) 531185
+7 (8362) 735153
+7 (8362) 735169</f>
        <v>#NAME?</v>
      </c>
      <c r="F7796" s="5"/>
      <c r="G7796" s="5" t="s">
        <v>47884</v>
      </c>
      <c r="H7796" s="26">
        <v>20.5</v>
      </c>
      <c r="I7796" s="5"/>
      <c r="J7796" s="5" t="s">
        <v>25371</v>
      </c>
      <c r="K7796" s="5" t="s">
        <v>344</v>
      </c>
      <c r="L7796" s="5" t="s">
        <v>47885</v>
      </c>
      <c r="M7796" s="27"/>
      <c r="N7796" s="5" t="s">
        <v>49923</v>
      </c>
      <c r="O7796" s="5" t="str">
        <v>1207001605</v>
      </c>
      <c r="P7796" s="27">
        <v>1853970</v>
      </c>
      <c r="Q7796" s="5"/>
      <c r="R7796" s="5"/>
      <c r="S7796" s="5" t="s">
        <v>49425</v>
      </c>
      <c r="T7796" s="28">
        <v>3334589000</v>
      </c>
      <c r="U7796" s="28">
        <v>681000</v>
      </c>
      <c r="V7796" s="28">
        <v>210634000</v>
      </c>
      <c r="W7796" s="28">
        <v>1600000000</v>
      </c>
      <c r="X7796" s="28">
        <v>81707000</v>
      </c>
      <c r="Y7796" s="28">
        <v>7106304000</v>
      </c>
      <c r="Z7796" s="28">
        <v>4663711000</v>
      </c>
      <c r="AA7796" s="28">
        <v>805391000</v>
      </c>
      <c r="AB7796" s="28">
        <v>1304528000</v>
      </c>
      <c r="AC7796" s="28">
        <v>1591270000</v>
      </c>
      <c r="AD7796" s="28">
        <v>4709643000</v>
      </c>
      <c r="AE7796" s="28">
        <v>3257697000</v>
      </c>
      <c r="AF7796" s="28">
        <v>687194000</v>
      </c>
      <c r="AG7796" s="11"/>
    </row>
    <row r="7797">
      <c r="A7797" s="7" t="s">
        <v>9340</v>
      </c>
      <c r="B7797" s="5" t="s">
        <v>17257</v>
      </c>
      <c r="C7797" s="5" t="s">
        <v>24826</v>
      </c>
      <c r="D7797" s="5" t="str">
        <v>772372350355</v>
      </c>
      <c r="E7797" s="0" t="e">
        <f>+7 (495) 9677797
+7 (495) 4118189
+7 (800) 5001444
+7 (800) 5004800
+7 (800) 5006500
+7 (800) 5007555</f>
        <v>#NAME?</v>
      </c>
      <c r="F7797" s="5"/>
      <c r="G7797" s="5" t="s">
        <v>47886</v>
      </c>
      <c r="H7797" s="26">
        <v>11</v>
      </c>
      <c r="I7797" s="5" t="s">
        <v>47887</v>
      </c>
      <c r="J7797" s="5" t="s">
        <v>34748</v>
      </c>
      <c r="K7797" s="5" t="s">
        <v>355</v>
      </c>
      <c r="L7797" s="5" t="s">
        <v>47888</v>
      </c>
      <c r="M7797" s="27">
        <v>447481</v>
      </c>
      <c r="N7797" s="5"/>
      <c r="O7797" s="5" t="str">
        <v>7723823400</v>
      </c>
      <c r="P7797" s="27">
        <v>11160000</v>
      </c>
      <c r="Q7797" s="5" t="s">
        <v>49009</v>
      </c>
      <c r="R7797" s="5" t="s">
        <v>60916</v>
      </c>
      <c r="S7797" s="5" t="s">
        <v>49010</v>
      </c>
      <c r="T7797" s="28">
        <v>1627000</v>
      </c>
      <c r="U7797" s="28"/>
      <c r="V7797" s="28">
        <v>414771000</v>
      </c>
      <c r="W7797" s="28">
        <v>201050000</v>
      </c>
      <c r="X7797" s="28">
        <v>588556000</v>
      </c>
      <c r="Y7797" s="28">
        <v>1882435000</v>
      </c>
      <c r="Z7797" s="28">
        <v>477593000</v>
      </c>
      <c r="AA7797" s="28"/>
      <c r="AB7797" s="28"/>
      <c r="AC7797" s="28">
        <v>1393449000</v>
      </c>
      <c r="AD7797" s="28">
        <v>488753000</v>
      </c>
      <c r="AE7797" s="28">
        <v>6276679000</v>
      </c>
      <c r="AF7797" s="28">
        <v>-376771000</v>
      </c>
      <c r="AG7797" s="11"/>
    </row>
    <row r="7798">
      <c r="A7798" s="7" t="s">
        <v>9341</v>
      </c>
      <c r="B7798" s="5" t="s">
        <v>17258</v>
      </c>
      <c r="C7798" s="5" t="s">
        <v>24827</v>
      </c>
      <c r="D7798" s="5" t="str">
        <v>742901581581</v>
      </c>
      <c r="E7798" s="0" t="e">
        <f>+7 (34791) 69957
+7 (34791) 95821
+7 (34791) 97070
+7 (35143) 97070
+7 (35143) 97157</f>
        <v>#NAME?</v>
      </c>
      <c r="F7798" s="5" t="s">
        <v>47889</v>
      </c>
      <c r="G7798" s="5"/>
      <c r="H7798" s="26">
        <v>14</v>
      </c>
      <c r="I7798" s="5" t="s">
        <v>47890</v>
      </c>
      <c r="J7798" s="5" t="s">
        <v>38093</v>
      </c>
      <c r="K7798" s="5" t="s">
        <v>344</v>
      </c>
      <c r="L7798" s="5"/>
      <c r="M7798" s="27">
        <v>66475858</v>
      </c>
      <c r="N7798" s="5"/>
      <c r="O7798" s="5" t="str">
        <v>0270019718</v>
      </c>
      <c r="P7798" s="27">
        <v>144810746</v>
      </c>
      <c r="Q7798" s="5" t="s">
        <v>49009</v>
      </c>
      <c r="R7798" s="5" t="s">
        <v>60918</v>
      </c>
      <c r="S7798" s="5" t="s">
        <v>49093</v>
      </c>
      <c r="T7798" s="28">
        <v>2673466000</v>
      </c>
      <c r="U7798" s="28">
        <v>900000</v>
      </c>
      <c r="V7798" s="28">
        <v>983988000</v>
      </c>
      <c r="W7798" s="28">
        <v>341000</v>
      </c>
      <c r="X7798" s="28">
        <v>93726000</v>
      </c>
      <c r="Y7798" s="28">
        <v>4598256000</v>
      </c>
      <c r="Z7798" s="28">
        <v>483370000</v>
      </c>
      <c r="AA7798" s="28">
        <v>1953481000</v>
      </c>
      <c r="AB7798" s="28">
        <v>499467000</v>
      </c>
      <c r="AC7798" s="28">
        <v>1848120000</v>
      </c>
      <c r="AD7798" s="28">
        <v>632882000</v>
      </c>
      <c r="AE7798" s="28">
        <v>6331104000</v>
      </c>
      <c r="AF7798" s="28">
        <v>216896000</v>
      </c>
      <c r="AG7798" s="11"/>
    </row>
    <row r="7799">
      <c r="A7799" s="7" t="s">
        <v>9342</v>
      </c>
      <c r="B7799" s="5" t="s">
        <v>17259</v>
      </c>
      <c r="C7799" s="5" t="s">
        <v>24828</v>
      </c>
      <c r="D7799" s="5"/>
      <c r="E7799" s="0" t="e">
        <f>+7 (384) 6654111</f>
        <v>#NAME?</v>
      </c>
      <c r="F7799" s="5"/>
      <c r="G7799" s="5"/>
      <c r="H7799" s="26">
        <v>12.5</v>
      </c>
      <c r="I7799" s="5"/>
      <c r="J7799" s="5" t="s">
        <v>29188</v>
      </c>
      <c r="K7799" s="5" t="s">
        <v>344</v>
      </c>
      <c r="L7799" s="5" t="s">
        <v>47891</v>
      </c>
      <c r="M7799" s="27">
        <v>17114456</v>
      </c>
      <c r="N7799" s="5" t="s">
        <v>60919</v>
      </c>
      <c r="O7799" s="5" t="str">
        <v>4223713620</v>
      </c>
      <c r="P7799" s="27">
        <v>1880967128</v>
      </c>
      <c r="Q7799" s="5" t="s">
        <v>49059</v>
      </c>
      <c r="R7799" s="5"/>
      <c r="S7799" s="5" t="s">
        <v>49053</v>
      </c>
      <c r="T7799" s="28">
        <v>3447003000</v>
      </c>
      <c r="U7799" s="28"/>
      <c r="V7799" s="28">
        <v>2591563000</v>
      </c>
      <c r="W7799" s="28">
        <v>273350000</v>
      </c>
      <c r="X7799" s="28">
        <v>2383000</v>
      </c>
      <c r="Y7799" s="28">
        <v>7477191000</v>
      </c>
      <c r="Z7799" s="28">
        <v>3220206000</v>
      </c>
      <c r="AA7799" s="28">
        <v>214387000</v>
      </c>
      <c r="AB7799" s="28"/>
      <c r="AC7799" s="28">
        <v>1760828000</v>
      </c>
      <c r="AD7799" s="28">
        <v>5256015000</v>
      </c>
      <c r="AE7799" s="28">
        <v>19022350000</v>
      </c>
      <c r="AF7799" s="28">
        <v>4118762000</v>
      </c>
      <c r="AG7799" s="11"/>
    </row>
    <row r="7800">
      <c r="A7800" s="7" t="s">
        <v>9343</v>
      </c>
      <c r="B7800" s="5" t="s">
        <v>17260</v>
      </c>
      <c r="C7800" s="5" t="s">
        <v>24829</v>
      </c>
      <c r="D7800" s="5" t="str">
        <v>770403106941</v>
      </c>
      <c r="E7800" s="0" t="e">
        <f>+7 (495) 2321620
+7 (495) 9371615
+7 (495) 9371620</f>
        <v>#NAME?</v>
      </c>
      <c r="F7800" s="5"/>
      <c r="G7800" s="5" t="s">
        <v>47892</v>
      </c>
      <c r="H7800" s="26">
        <v>26</v>
      </c>
      <c r="I7800" s="5" t="s">
        <v>47893</v>
      </c>
      <c r="J7800" s="5" t="s">
        <v>30947</v>
      </c>
      <c r="K7800" s="5" t="s">
        <v>344</v>
      </c>
      <c r="L7800" s="5" t="s">
        <v>47894</v>
      </c>
      <c r="M7800" s="27"/>
      <c r="N7800" s="5"/>
      <c r="O7800" s="5" t="str">
        <v>7710233193</v>
      </c>
      <c r="P7800" s="27">
        <v>4000000</v>
      </c>
      <c r="Q7800" s="5" t="s">
        <v>49009</v>
      </c>
      <c r="R7800" s="5"/>
      <c r="S7800" s="5" t="s">
        <v>49010</v>
      </c>
      <c r="T7800" s="28">
        <v>102357000</v>
      </c>
      <c r="U7800" s="28"/>
      <c r="V7800" s="28">
        <v>2230135000</v>
      </c>
      <c r="W7800" s="28"/>
      <c r="X7800" s="28">
        <v>4961000</v>
      </c>
      <c r="Y7800" s="28">
        <v>3156996000</v>
      </c>
      <c r="Z7800" s="28">
        <v>597803000</v>
      </c>
      <c r="AA7800" s="28"/>
      <c r="AB7800" s="28">
        <v>74173000</v>
      </c>
      <c r="AC7800" s="28">
        <v>2307691000</v>
      </c>
      <c r="AD7800" s="28">
        <v>601803000</v>
      </c>
      <c r="AE7800" s="28">
        <v>11067402000</v>
      </c>
      <c r="AF7800" s="28">
        <v>475680000</v>
      </c>
      <c r="AG7800" s="11"/>
    </row>
    <row r="7801">
      <c r="A7801" s="7" t="s">
        <v>9344</v>
      </c>
      <c r="B7801" s="5" t="s">
        <v>17261</v>
      </c>
      <c r="C7801" s="5" t="s">
        <v>24830</v>
      </c>
      <c r="D7801" s="5" t="str">
        <v>774352765098</v>
      </c>
      <c r="E7801" s="0" t="e">
        <f>+7 (495) 7370381
+7 (495) 7370384
+7 (495) 9562463
+7 (495) 2257501
+7 (495) 5406900
+7 (495) 6502525
+7 (495) 6940867
+7 (495) 6946198
+7 (495) 6946290
+7 (495) 6946594
+7 (495) 6946777
+7 (495) 6946879
+7 (495) 7370380
+7 (495) 9887507
+7 (499) 7204164</f>
        <v>#NAME?</v>
      </c>
      <c r="F7801" s="5" t="s">
        <v>47895</v>
      </c>
      <c r="G7801" s="5" t="s">
        <v>47896</v>
      </c>
      <c r="H7801" s="26">
        <v>29</v>
      </c>
      <c r="I7801" s="5"/>
      <c r="J7801" s="5" t="s">
        <v>364</v>
      </c>
      <c r="K7801" s="5" t="s">
        <v>355</v>
      </c>
      <c r="L7801" s="5"/>
      <c r="M7801" s="27">
        <v>33159209</v>
      </c>
      <c r="N7801" s="5"/>
      <c r="O7801" s="5" t="str">
        <v>7707007451</v>
      </c>
      <c r="P7801" s="27">
        <v>14926000</v>
      </c>
      <c r="Q7801" s="5" t="s">
        <v>60920</v>
      </c>
      <c r="R7801" s="5"/>
      <c r="S7801" s="5" t="s">
        <v>49428</v>
      </c>
      <c r="T7801" s="28">
        <v>382720000</v>
      </c>
      <c r="U7801" s="28"/>
      <c r="V7801" s="28">
        <v>3238859000</v>
      </c>
      <c r="W7801" s="28">
        <v>1350000</v>
      </c>
      <c r="X7801" s="28">
        <v>696947000</v>
      </c>
      <c r="Y7801" s="28">
        <v>4930396000</v>
      </c>
      <c r="Z7801" s="28">
        <v>-1408324000</v>
      </c>
      <c r="AA7801" s="28"/>
      <c r="AB7801" s="28"/>
      <c r="AC7801" s="28">
        <v>5031118000</v>
      </c>
      <c r="AD7801" s="28">
        <v>-290417000</v>
      </c>
      <c r="AE7801" s="28">
        <v>4868184000</v>
      </c>
      <c r="AF7801" s="28">
        <v>-871183000</v>
      </c>
      <c r="AG7801" s="11"/>
    </row>
    <row r="7802">
      <c r="A7802" s="7" t="s">
        <v>9345</v>
      </c>
      <c r="B7802" s="5" t="s">
        <v>17262</v>
      </c>
      <c r="C7802" s="5" t="s">
        <v>24831</v>
      </c>
      <c r="D7802" s="5" t="str">
        <v>772984549010</v>
      </c>
      <c r="E7802" s="0" t="e">
        <f>+7 (495) 1397474
+7 (963) 9231320</f>
        <v>#NAME?</v>
      </c>
      <c r="F7802" s="5" t="s">
        <v>47897</v>
      </c>
      <c r="G7802" s="5" t="s">
        <v>47898</v>
      </c>
      <c r="H7802" s="26">
        <v>7.5</v>
      </c>
      <c r="I7802" s="5" t="s">
        <v>47899</v>
      </c>
      <c r="J7802" s="5" t="s">
        <v>25429</v>
      </c>
      <c r="K7802" s="5" t="s">
        <v>344</v>
      </c>
      <c r="L7802" s="5" t="s">
        <v>47900</v>
      </c>
      <c r="M7802" s="27"/>
      <c r="N7802" s="5" t="s">
        <v>60921</v>
      </c>
      <c r="O7802" s="5" t="str">
        <v>7728274232</v>
      </c>
      <c r="P7802" s="27">
        <v>21000000</v>
      </c>
      <c r="Q7802" s="5" t="s">
        <v>49059</v>
      </c>
      <c r="R7802" s="5"/>
      <c r="S7802" s="5" t="s">
        <v>49012</v>
      </c>
      <c r="T7802" s="28">
        <v>88385000</v>
      </c>
      <c r="U7802" s="28"/>
      <c r="V7802" s="28">
        <v>623699000</v>
      </c>
      <c r="W7802" s="28"/>
      <c r="X7802" s="28">
        <v>170694000</v>
      </c>
      <c r="Y7802" s="28">
        <v>2662389000</v>
      </c>
      <c r="Z7802" s="28">
        <v>579918000</v>
      </c>
      <c r="AA7802" s="28"/>
      <c r="AB7802" s="28"/>
      <c r="AC7802" s="28">
        <v>1699982000</v>
      </c>
      <c r="AD7802" s="28">
        <v>890918000</v>
      </c>
      <c r="AE7802" s="28">
        <v>3106621000</v>
      </c>
      <c r="AF7802" s="28">
        <v>38707000</v>
      </c>
      <c r="AG7802" s="11"/>
    </row>
    <row r="7803">
      <c r="A7803" s="7" t="s">
        <v>9346</v>
      </c>
      <c r="B7803" s="5" t="s">
        <v>17263</v>
      </c>
      <c r="C7803" s="5" t="s">
        <v>24832</v>
      </c>
      <c r="D7803" s="5" t="str">
        <v>504795983786</v>
      </c>
      <c r="E7803" s="0" t="e">
        <f>+7 (495) 2300076
+7 (495) 6205971
+7 (495) 6205972
+7 (495) 6493229
+7 (495) 2300077
+7 (495) 9332430
+7 (915) 7516807</f>
        <v>#NAME?</v>
      </c>
      <c r="F7803" s="5" t="s">
        <v>47901</v>
      </c>
      <c r="G7803" s="5" t="s">
        <v>47902</v>
      </c>
      <c r="H7803" s="26">
        <v>15</v>
      </c>
      <c r="I7803" s="5" t="s">
        <v>47903</v>
      </c>
      <c r="J7803" s="5" t="s">
        <v>25419</v>
      </c>
      <c r="K7803" s="5" t="s">
        <v>344</v>
      </c>
      <c r="L7803" s="5" t="s">
        <v>47904</v>
      </c>
      <c r="M7803" s="27"/>
      <c r="N7803" s="5"/>
      <c r="O7803" s="5" t="str">
        <v>7726584503</v>
      </c>
      <c r="P7803" s="27">
        <v>3500000</v>
      </c>
      <c r="Q7803" s="5" t="s">
        <v>49009</v>
      </c>
      <c r="R7803" s="5"/>
      <c r="S7803" s="5" t="s">
        <v>49028</v>
      </c>
      <c r="T7803" s="28">
        <v>695062000</v>
      </c>
      <c r="U7803" s="28"/>
      <c r="V7803" s="28">
        <v>3016750000</v>
      </c>
      <c r="W7803" s="28"/>
      <c r="X7803" s="28">
        <v>126860000</v>
      </c>
      <c r="Y7803" s="28">
        <v>5879288000</v>
      </c>
      <c r="Z7803" s="28">
        <v>3032900000</v>
      </c>
      <c r="AA7803" s="28">
        <v>998036000</v>
      </c>
      <c r="AB7803" s="28">
        <v>811162000</v>
      </c>
      <c r="AC7803" s="28">
        <v>1324342000</v>
      </c>
      <c r="AD7803" s="28">
        <v>3554552000</v>
      </c>
      <c r="AE7803" s="28">
        <v>11564287000</v>
      </c>
      <c r="AF7803" s="28">
        <v>1891865000</v>
      </c>
      <c r="AG7803" s="11"/>
    </row>
    <row r="7804">
      <c r="A7804" s="7" t="s">
        <v>9347</v>
      </c>
      <c r="B7804" s="5" t="s">
        <v>17264</v>
      </c>
      <c r="C7804" s="5" t="s">
        <v>24833</v>
      </c>
      <c r="D7804" s="5" t="str">
        <v>781316970494</v>
      </c>
      <c r="E7804" s="0" t="e">
        <f>+7 (343) 3110194
+7 (383) 2300293
+7 (3952) 781025
+7 (421) 2400433
+7 (495) 9375044
+7 (495) 9375237
+7 (495) 9375805
+7 (495) 9376519
+7 (499) 9554654
+7 (812) 3225345
+7 (8435) 671907
+7 (84627) 39561
+7 (861) 2739807
+7 (8632) 44020</f>
        <v>#NAME?</v>
      </c>
      <c r="F7804" s="5" t="s">
        <v>47905</v>
      </c>
      <c r="G7804" s="5" t="s">
        <v>47906</v>
      </c>
      <c r="H7804" s="26">
        <v>26</v>
      </c>
      <c r="I7804" s="5"/>
      <c r="J7804" s="5" t="s">
        <v>693</v>
      </c>
      <c r="K7804" s="5" t="s">
        <v>344</v>
      </c>
      <c r="L7804" s="5" t="s">
        <v>47907</v>
      </c>
      <c r="M7804" s="27">
        <v>2019140</v>
      </c>
      <c r="N7804" s="5"/>
      <c r="O7804" s="5" t="str">
        <v>5044019801</v>
      </c>
      <c r="P7804" s="27">
        <v>402650000</v>
      </c>
      <c r="Q7804" s="5" t="s">
        <v>49009</v>
      </c>
      <c r="R7804" s="5"/>
      <c r="S7804" s="5" t="s">
        <v>49045</v>
      </c>
      <c r="T7804" s="28">
        <v>347319000</v>
      </c>
      <c r="U7804" s="28">
        <v>5000</v>
      </c>
      <c r="V7804" s="28">
        <v>748364000</v>
      </c>
      <c r="W7804" s="28"/>
      <c r="X7804" s="28">
        <v>1406419000</v>
      </c>
      <c r="Y7804" s="28">
        <v>3541754000</v>
      </c>
      <c r="Z7804" s="28">
        <v>1147635000</v>
      </c>
      <c r="AA7804" s="28"/>
      <c r="AB7804" s="28"/>
      <c r="AC7804" s="28">
        <v>1256786000</v>
      </c>
      <c r="AD7804" s="28">
        <v>2096956000</v>
      </c>
      <c r="AE7804" s="28">
        <v>5837655000</v>
      </c>
      <c r="AF7804" s="28">
        <v>113717000</v>
      </c>
      <c r="AG7804" s="11"/>
    </row>
    <row r="7805">
      <c r="A7805" s="7" t="s">
        <v>9348</v>
      </c>
      <c r="B7805" s="5" t="s">
        <v>17265</v>
      </c>
      <c r="C7805" s="5" t="s">
        <v>24834</v>
      </c>
      <c r="D7805" s="5" t="str">
        <v>710407494736</v>
      </c>
      <c r="E7805" s="0" t="e">
        <f>+7 (3512) 221850
+7 (3517) 299106
+7 (487) 5196774
+7 (48751) 48751
+7 (48751) 92403
+7 (48751) 92428</f>
        <v>#NAME?</v>
      </c>
      <c r="F7805" s="5" t="s">
        <v>47908</v>
      </c>
      <c r="G7805" s="5" t="s">
        <v>47909</v>
      </c>
      <c r="H7805" s="26">
        <v>30</v>
      </c>
      <c r="I7805" s="5"/>
      <c r="J7805" s="5" t="s">
        <v>28418</v>
      </c>
      <c r="K7805" s="5" t="s">
        <v>344</v>
      </c>
      <c r="L7805" s="5" t="s">
        <v>47910</v>
      </c>
      <c r="M7805" s="27">
        <v>11865328</v>
      </c>
      <c r="N7805" s="5" t="s">
        <v>60922</v>
      </c>
      <c r="O7805" s="5" t="str">
        <v>7118004789</v>
      </c>
      <c r="P7805" s="27">
        <v>1050000</v>
      </c>
      <c r="Q7805" s="5" t="s">
        <v>60923</v>
      </c>
      <c r="R7805" s="5"/>
      <c r="S7805" s="5" t="s">
        <v>60924</v>
      </c>
      <c r="T7805" s="28">
        <v>82394545000</v>
      </c>
      <c r="U7805" s="28">
        <v>1759123000</v>
      </c>
      <c r="V7805" s="28">
        <v>3556845000</v>
      </c>
      <c r="W7805" s="28"/>
      <c r="X7805" s="28">
        <v>15874358000</v>
      </c>
      <c r="Y7805" s="28">
        <v>113166988000</v>
      </c>
      <c r="Z7805" s="28">
        <v>41630059000</v>
      </c>
      <c r="AA7805" s="28">
        <v>21418648000</v>
      </c>
      <c r="AB7805" s="28">
        <v>18802042000</v>
      </c>
      <c r="AC7805" s="28">
        <v>27132538000</v>
      </c>
      <c r="AD7805" s="28">
        <v>43100912000</v>
      </c>
      <c r="AE7805" s="28">
        <v>54582207000</v>
      </c>
      <c r="AF7805" s="28">
        <v>14231486000</v>
      </c>
      <c r="AG7805" s="11"/>
    </row>
    <row r="7806">
      <c r="A7806" s="7" t="s">
        <v>9349</v>
      </c>
      <c r="B7806" s="5" t="s">
        <v>17266</v>
      </c>
      <c r="C7806" s="5" t="s">
        <v>24835</v>
      </c>
      <c r="D7806" s="5" t="str">
        <v>710402516880</v>
      </c>
      <c r="E7806" s="0" t="e">
        <f>+7 (487) 5196785
+7 (487) 5196917
+7 (48751) 96034
+7 (48751) 96695
+7 (48751) 96745
+7 (48751) 96759
+7 (48751) 96774
+7 (87230) 8900</f>
        <v>#NAME?</v>
      </c>
      <c r="F7806" s="5" t="s">
        <v>47911</v>
      </c>
      <c r="G7806" s="5" t="s">
        <v>47912</v>
      </c>
      <c r="H7806" s="26">
        <v>21</v>
      </c>
      <c r="I7806" s="5" t="s">
        <v>47913</v>
      </c>
      <c r="J7806" s="5" t="s">
        <v>678</v>
      </c>
      <c r="K7806" s="5" t="s">
        <v>344</v>
      </c>
      <c r="L7806" s="5" t="s">
        <v>47914</v>
      </c>
      <c r="M7806" s="27"/>
      <c r="N7806" s="5" t="s">
        <v>60925</v>
      </c>
      <c r="O7806" s="5" t="str">
        <v>7118019746</v>
      </c>
      <c r="P7806" s="27">
        <v>21832737</v>
      </c>
      <c r="Q7806" s="5" t="s">
        <v>60926</v>
      </c>
      <c r="R7806" s="5"/>
      <c r="S7806" s="5" t="s">
        <v>49752</v>
      </c>
      <c r="T7806" s="28">
        <v>152000</v>
      </c>
      <c r="U7806" s="28">
        <v>154148000</v>
      </c>
      <c r="V7806" s="28">
        <v>5667588000</v>
      </c>
      <c r="W7806" s="28">
        <v>50000000</v>
      </c>
      <c r="X7806" s="28">
        <v>1974175000</v>
      </c>
      <c r="Y7806" s="28">
        <v>8378544000</v>
      </c>
      <c r="Z7806" s="28">
        <v>1021714000</v>
      </c>
      <c r="AA7806" s="28">
        <v>150000000</v>
      </c>
      <c r="AB7806" s="28">
        <v>4324665000</v>
      </c>
      <c r="AC7806" s="28">
        <v>7082608000</v>
      </c>
      <c r="AD7806" s="28">
        <v>1043547000</v>
      </c>
      <c r="AE7806" s="28">
        <v>26242901000</v>
      </c>
      <c r="AF7806" s="28">
        <v>912391000</v>
      </c>
      <c r="AG7806" s="11"/>
    </row>
    <row r="7807">
      <c r="A7807" s="7" t="s">
        <v>9350</v>
      </c>
      <c r="B7807" s="5" t="s">
        <v>17267</v>
      </c>
      <c r="C7807" s="5" t="s">
        <v>24836</v>
      </c>
      <c r="D7807" s="5" t="str">
        <v>505004750751</v>
      </c>
      <c r="E7807" s="0" t="e">
        <f>+7 (495) 7778493
+7 (4962) 523077
+7 (3472) 744044
+7 (4862) 469851
+7 (4862) 764497
+7 (495) 7450198
+7 (495) 7450551
+7 (495) 7778490
+7 (495) 7778492
+7 (495) 7778494</f>
        <v>#NAME?</v>
      </c>
      <c r="F7807" s="5" t="s">
        <v>47915</v>
      </c>
      <c r="G7807" s="5" t="s">
        <v>47916</v>
      </c>
      <c r="H7807" s="26">
        <v>23.5</v>
      </c>
      <c r="I7807" s="5"/>
      <c r="J7807" s="5" t="s">
        <v>25402</v>
      </c>
      <c r="K7807" s="5" t="s">
        <v>344</v>
      </c>
      <c r="L7807" s="5" t="s">
        <v>47917</v>
      </c>
      <c r="M7807" s="27">
        <v>2874028</v>
      </c>
      <c r="N7807" s="5" t="s">
        <v>60927</v>
      </c>
      <c r="O7807" s="5" t="str">
        <v>5050029646</v>
      </c>
      <c r="P7807" s="27">
        <v>197000000</v>
      </c>
      <c r="Q7807" s="5" t="s">
        <v>60928</v>
      </c>
      <c r="R7807" s="5"/>
      <c r="S7807" s="5" t="s">
        <v>60929</v>
      </c>
      <c r="T7807" s="28">
        <v>5216585000</v>
      </c>
      <c r="U7807" s="28">
        <v>4147390000</v>
      </c>
      <c r="V7807" s="28">
        <v>29901197000</v>
      </c>
      <c r="W7807" s="28">
        <v>5065204000</v>
      </c>
      <c r="X7807" s="28">
        <v>1451253000</v>
      </c>
      <c r="Y7807" s="28">
        <v>68025222000</v>
      </c>
      <c r="Z7807" s="28">
        <v>29292925000</v>
      </c>
      <c r="AA7807" s="28">
        <v>9468623000</v>
      </c>
      <c r="AB7807" s="28">
        <v>16277172000</v>
      </c>
      <c r="AC7807" s="28">
        <v>25943544000</v>
      </c>
      <c r="AD7807" s="28">
        <v>31507675000</v>
      </c>
      <c r="AE7807" s="28">
        <v>38117651000</v>
      </c>
      <c r="AF7807" s="28">
        <v>7099609000</v>
      </c>
      <c r="AG7807" s="11"/>
    </row>
    <row r="7808">
      <c r="A7808" s="7" t="s">
        <v>9351</v>
      </c>
      <c r="B7808" s="5" t="s">
        <v>17268</v>
      </c>
      <c r="C7808" s="5" t="s">
        <v>24837</v>
      </c>
      <c r="D7808" s="5" t="str">
        <v>504401943807</v>
      </c>
      <c r="E7808" s="0" t="e">
        <f>+7 (495) 9338071
+7 (495) 7265538
+7 (800) 2501880
+7 (906) 563799
+7 (965) 1498944</f>
        <v>#NAME?</v>
      </c>
      <c r="F7808" s="5"/>
      <c r="G7808" s="5" t="s">
        <v>47918</v>
      </c>
      <c r="H7808" s="26">
        <v>13.5</v>
      </c>
      <c r="I7808" s="5" t="s">
        <v>47919</v>
      </c>
      <c r="J7808" s="5" t="s">
        <v>25788</v>
      </c>
      <c r="K7808" s="5" t="s">
        <v>344</v>
      </c>
      <c r="L7808" s="5" t="s">
        <v>47920</v>
      </c>
      <c r="M7808" s="27">
        <v>1298684</v>
      </c>
      <c r="N7808" s="5"/>
      <c r="O7808" s="5" t="str">
        <v>5050078523</v>
      </c>
      <c r="P7808" s="27">
        <v>2000000</v>
      </c>
      <c r="Q7808" s="5" t="s">
        <v>49009</v>
      </c>
      <c r="R7808" s="5"/>
      <c r="S7808" s="5" t="s">
        <v>49066</v>
      </c>
      <c r="T7808" s="28">
        <v>880401000</v>
      </c>
      <c r="U7808" s="28">
        <v>431312000</v>
      </c>
      <c r="V7808" s="28">
        <v>1063853000</v>
      </c>
      <c r="W7808" s="28"/>
      <c r="X7808" s="28">
        <v>404949000</v>
      </c>
      <c r="Y7808" s="28">
        <v>3777333000</v>
      </c>
      <c r="Z7808" s="28">
        <v>638882000</v>
      </c>
      <c r="AA7808" s="28">
        <v>1627150000</v>
      </c>
      <c r="AB7808" s="28">
        <v>601175000</v>
      </c>
      <c r="AC7808" s="28">
        <v>905661000</v>
      </c>
      <c r="AD7808" s="28">
        <v>640882000</v>
      </c>
      <c r="AE7808" s="28">
        <v>5800645000</v>
      </c>
      <c r="AF7808" s="28">
        <v>130795000</v>
      </c>
      <c r="AG7808" s="11"/>
    </row>
    <row r="7809">
      <c r="A7809" s="7" t="s">
        <v>9352</v>
      </c>
      <c r="B7809" s="5" t="s">
        <v>17269</v>
      </c>
      <c r="C7809" s="5" t="s">
        <v>24838</v>
      </c>
      <c r="D7809" s="5" t="str">
        <v>632103233479</v>
      </c>
      <c r="E7809" s="0" t="e">
        <f>+7 (928) 6174013
+7 (495) 4119288</f>
        <v>#NAME?</v>
      </c>
      <c r="F7809" s="5"/>
      <c r="G7809" s="5"/>
      <c r="H7809" s="26">
        <v>29</v>
      </c>
      <c r="I7809" s="5"/>
      <c r="J7809" s="5" t="s">
        <v>29268</v>
      </c>
      <c r="K7809" s="5" t="s">
        <v>344</v>
      </c>
      <c r="L7809" s="5" t="s">
        <v>47921</v>
      </c>
      <c r="M7809" s="27">
        <v>7465179</v>
      </c>
      <c r="N7809" s="5" t="s">
        <v>57528</v>
      </c>
      <c r="O7809" s="5" t="str">
        <v>7124021687</v>
      </c>
      <c r="P7809" s="27">
        <v>101100</v>
      </c>
      <c r="Q7809" s="5"/>
      <c r="R7809" s="5"/>
      <c r="S7809" s="5" t="s">
        <v>49425</v>
      </c>
      <c r="T7809" s="28">
        <v>294318000</v>
      </c>
      <c r="U7809" s="28"/>
      <c r="V7809" s="28">
        <v>569064000</v>
      </c>
      <c r="W7809" s="28">
        <v>486139000</v>
      </c>
      <c r="X7809" s="28">
        <v>8501000</v>
      </c>
      <c r="Y7809" s="28">
        <v>1732420000</v>
      </c>
      <c r="Z7809" s="28">
        <v>1286683000</v>
      </c>
      <c r="AA7809" s="28">
        <v>58259000</v>
      </c>
      <c r="AB7809" s="28"/>
      <c r="AC7809" s="28">
        <v>383396000</v>
      </c>
      <c r="AD7809" s="28">
        <v>1290765000</v>
      </c>
      <c r="AE7809" s="28">
        <v>3148165000</v>
      </c>
      <c r="AF7809" s="28">
        <v>928367000</v>
      </c>
      <c r="AG7809" s="11"/>
    </row>
    <row r="7810">
      <c r="A7810" s="7" t="s">
        <v>9353</v>
      </c>
      <c r="B7810" s="5" t="s">
        <v>17270</v>
      </c>
      <c r="C7810" s="5" t="s">
        <v>24839</v>
      </c>
      <c r="D7810" s="5"/>
      <c r="E7810" s="0" t="e">
        <f>+7 (919) 1700196
+7 (47145) 41188
+7 (47145) 42651
+7 (47145) 42694
+7 (47145) 42731
+7 (47145) 44816
+7 (47145) 44964
+7 (910) 2108881
+7 (910) 2111687</f>
        <v>#NAME?</v>
      </c>
      <c r="F7810" s="5" t="s">
        <v>47922</v>
      </c>
      <c r="G7810" s="5" t="s">
        <v>47923</v>
      </c>
      <c r="H7810" s="26">
        <v>29.5</v>
      </c>
      <c r="I7810" s="5"/>
      <c r="J7810" s="5" t="s">
        <v>25949</v>
      </c>
      <c r="K7810" s="5" t="s">
        <v>344</v>
      </c>
      <c r="L7810" s="5" t="s">
        <v>47924</v>
      </c>
      <c r="M7810" s="27">
        <v>82467</v>
      </c>
      <c r="N7810" s="5" t="s">
        <v>60930</v>
      </c>
      <c r="O7810" s="5" t="str">
        <v>4628001532</v>
      </c>
      <c r="P7810" s="27">
        <v>460900</v>
      </c>
      <c r="Q7810" s="5"/>
      <c r="R7810" s="5"/>
      <c r="S7810" s="5" t="s">
        <v>53269</v>
      </c>
      <c r="T7810" s="28">
        <v>2375532000</v>
      </c>
      <c r="U7810" s="28">
        <v>10614000</v>
      </c>
      <c r="V7810" s="28">
        <v>664838000</v>
      </c>
      <c r="W7810" s="28"/>
      <c r="X7810" s="28">
        <v>475307000</v>
      </c>
      <c r="Y7810" s="28">
        <v>4434347000</v>
      </c>
      <c r="Z7810" s="28">
        <v>2675020000</v>
      </c>
      <c r="AA7810" s="28">
        <v>825207000</v>
      </c>
      <c r="AB7810" s="28">
        <v>352290000</v>
      </c>
      <c r="AC7810" s="28">
        <v>743155000</v>
      </c>
      <c r="AD7810" s="28">
        <v>2728685000</v>
      </c>
      <c r="AE7810" s="28">
        <v>3840490000</v>
      </c>
      <c r="AF7810" s="28">
        <v>218725000</v>
      </c>
      <c r="AG7810" s="11"/>
    </row>
    <row r="7811">
      <c r="A7811" s="7" t="s">
        <v>9354</v>
      </c>
      <c r="B7811" s="5" t="s">
        <v>17271</v>
      </c>
      <c r="C7811" s="5" t="s">
        <v>24840</v>
      </c>
      <c r="D7811" s="5" t="str">
        <v>772372919602</v>
      </c>
      <c r="E7811" s="0" t="e">
        <f>+7 (495) 7396703
+7 (381) 2397630
+7 (3843) 353837
+7 (473) 3003393
+7 (492) 2474795
+7 (495) 5505353
+7 (495) 6658839
+7 (495) 7126700
+7 (495) 7126990
+7 (495) 7366702
+7 (495) 7390067
+7 (495) 7396000
+7 (495) 7396700
+7 (495) 7396702
+7 (495) 7396707</f>
        <v>#NAME?</v>
      </c>
      <c r="F7811" s="5" t="s">
        <v>47925</v>
      </c>
      <c r="G7811" s="5" t="s">
        <v>47926</v>
      </c>
      <c r="H7811" s="26">
        <v>22.5</v>
      </c>
      <c r="I7811" s="5"/>
      <c r="J7811" s="5" t="s">
        <v>31557</v>
      </c>
      <c r="K7811" s="5" t="s">
        <v>344</v>
      </c>
      <c r="L7811" s="5"/>
      <c r="M7811" s="27">
        <v>108124435</v>
      </c>
      <c r="N7811" s="5" t="s">
        <v>60931</v>
      </c>
      <c r="O7811" s="5" t="str">
        <v>5051000880</v>
      </c>
      <c r="P7811" s="27">
        <v>37593</v>
      </c>
      <c r="Q7811" s="5" t="s">
        <v>60932</v>
      </c>
      <c r="R7811" s="5"/>
      <c r="S7811" s="5" t="s">
        <v>60933</v>
      </c>
      <c r="T7811" s="28">
        <v>1849368000</v>
      </c>
      <c r="U7811" s="28">
        <v>489940000</v>
      </c>
      <c r="V7811" s="28">
        <v>4678894000</v>
      </c>
      <c r="W7811" s="28"/>
      <c r="X7811" s="28">
        <v>1511821000</v>
      </c>
      <c r="Y7811" s="28">
        <v>11349495000</v>
      </c>
      <c r="Z7811" s="28">
        <v>858673000</v>
      </c>
      <c r="AA7811" s="28">
        <v>492170000</v>
      </c>
      <c r="AB7811" s="28">
        <v>2998159000</v>
      </c>
      <c r="AC7811" s="28">
        <v>6692879000</v>
      </c>
      <c r="AD7811" s="28">
        <v>4211166000</v>
      </c>
      <c r="AE7811" s="28">
        <v>10982937000</v>
      </c>
      <c r="AF7811" s="28">
        <v>-1374635000</v>
      </c>
      <c r="AG7811" s="11"/>
    </row>
    <row r="7812">
      <c r="A7812" s="7" t="s">
        <v>9355</v>
      </c>
      <c r="B7812" s="5" t="s">
        <v>17272</v>
      </c>
      <c r="C7812" s="5" t="s">
        <v>24841</v>
      </c>
      <c r="D7812" s="5" t="str">
        <v>682000237843</v>
      </c>
      <c r="E7812" s="0" t="e">
        <f>+7 (900) 4902838
+7 (962) 2367636
+7 (475) 2559668
+7 (475) 2668976
+7 (475) 2725586
+7 (475) 2725632
+7 (475) 2756396
+7 (47537) 33370
+7 (47556) 22269
+7 (47558) 44555
+7 (47559) 24127
+7 (47559) 24434
+7 (47559) 24633</f>
        <v>#NAME?</v>
      </c>
      <c r="F7812" s="5" t="s">
        <v>47927</v>
      </c>
      <c r="G7812" s="5"/>
      <c r="H7812" s="26">
        <v>20.5</v>
      </c>
      <c r="I7812" s="5" t="s">
        <v>47928</v>
      </c>
      <c r="J7812" s="5" t="s">
        <v>678</v>
      </c>
      <c r="K7812" s="5" t="s">
        <v>344</v>
      </c>
      <c r="L7812" s="5" t="s">
        <v>29905</v>
      </c>
      <c r="M7812" s="27"/>
      <c r="N7812" s="5" t="s">
        <v>60934</v>
      </c>
      <c r="O7812" s="5" t="str">
        <v>6832040165</v>
      </c>
      <c r="P7812" s="27">
        <v>14564</v>
      </c>
      <c r="Q7812" s="5" t="s">
        <v>60935</v>
      </c>
      <c r="R7812" s="5"/>
      <c r="S7812" s="5" t="s">
        <v>60936</v>
      </c>
      <c r="T7812" s="28">
        <v>297277000</v>
      </c>
      <c r="U7812" s="28"/>
      <c r="V7812" s="28">
        <v>579440000</v>
      </c>
      <c r="W7812" s="28">
        <v>4760000</v>
      </c>
      <c r="X7812" s="28">
        <v>18985000</v>
      </c>
      <c r="Y7812" s="28">
        <v>1371408000</v>
      </c>
      <c r="Z7812" s="28">
        <v>185852000</v>
      </c>
      <c r="AA7812" s="28"/>
      <c r="AB7812" s="28">
        <v>460153000</v>
      </c>
      <c r="AC7812" s="28">
        <v>916215000</v>
      </c>
      <c r="AD7812" s="28">
        <v>185866000</v>
      </c>
      <c r="AE7812" s="28">
        <v>6180986000</v>
      </c>
      <c r="AF7812" s="28">
        <v>152190000</v>
      </c>
      <c r="AG7812" s="11"/>
    </row>
    <row r="7813">
      <c r="A7813" s="7" t="s">
        <v>9356</v>
      </c>
      <c r="B7813" s="5" t="s">
        <v>17273</v>
      </c>
      <c r="C7813" s="5" t="s">
        <v>18034</v>
      </c>
      <c r="D7813" s="5" t="str">
        <v>772582172067</v>
      </c>
      <c r="E7813" s="0" t="e">
        <f>+7 (495) 2584270
+7 (495) 2584277
+7 (495) 2584287</f>
        <v>#NAME?</v>
      </c>
      <c r="F7813" s="5"/>
      <c r="G7813" s="5"/>
      <c r="H7813" s="26">
        <v>10.5</v>
      </c>
      <c r="I7813" s="5" t="s">
        <v>47929</v>
      </c>
      <c r="J7813" s="5" t="s">
        <v>25429</v>
      </c>
      <c r="K7813" s="5" t="s">
        <v>344</v>
      </c>
      <c r="L7813" s="5"/>
      <c r="M7813" s="27"/>
      <c r="N7813" s="5"/>
      <c r="O7813" s="5" t="str">
        <v>7743855873</v>
      </c>
      <c r="P7813" s="27">
        <v>5100010000</v>
      </c>
      <c r="Q7813" s="5" t="s">
        <v>49009</v>
      </c>
      <c r="R7813" s="5"/>
      <c r="S7813" s="5" t="s">
        <v>49066</v>
      </c>
      <c r="T7813" s="28">
        <v>490730000</v>
      </c>
      <c r="U7813" s="28"/>
      <c r="V7813" s="28">
        <v>9932995000</v>
      </c>
      <c r="W7813" s="28"/>
      <c r="X7813" s="28">
        <v>1304927000</v>
      </c>
      <c r="Y7813" s="28">
        <v>12646971000</v>
      </c>
      <c r="Z7813" s="28">
        <v>81096000</v>
      </c>
      <c r="AA7813" s="28"/>
      <c r="AB7813" s="28"/>
      <c r="AC7813" s="28">
        <v>2413680000</v>
      </c>
      <c r="AD7813" s="28">
        <v>9284933000</v>
      </c>
      <c r="AE7813" s="28">
        <v>11631396000</v>
      </c>
      <c r="AF7813" s="28">
        <v>245313000</v>
      </c>
      <c r="AG7813" s="11"/>
    </row>
    <row r="7814">
      <c r="A7814" s="7" t="s">
        <v>9357</v>
      </c>
      <c r="B7814" s="5" t="s">
        <v>10474</v>
      </c>
      <c r="C7814" s="5" t="s">
        <v>24842</v>
      </c>
      <c r="D7814" s="5" t="str">
        <v>770378167480</v>
      </c>
      <c r="E7814" s="0" t="e">
        <f>+7 (495) 2524280
+7 (963) 6113635
+7 (967) 2588292
+7 (495) 2584271
+7 (495) 2584280
+7 (495) 2584281</f>
        <v>#NAME?</v>
      </c>
      <c r="F7814" s="5" t="s">
        <v>47930</v>
      </c>
      <c r="G7814" s="5" t="s">
        <v>47931</v>
      </c>
      <c r="H7814" s="26">
        <v>16</v>
      </c>
      <c r="I7814" s="5" t="s">
        <v>47932</v>
      </c>
      <c r="J7814" s="5" t="s">
        <v>25429</v>
      </c>
      <c r="K7814" s="5" t="s">
        <v>344</v>
      </c>
      <c r="L7814" s="5"/>
      <c r="M7814" s="27"/>
      <c r="N7814" s="5" t="s">
        <v>60937</v>
      </c>
      <c r="O7814" s="5" t="str">
        <v>7725594604</v>
      </c>
      <c r="P7814" s="27">
        <v>1500000</v>
      </c>
      <c r="Q7814" s="5" t="s">
        <v>60938</v>
      </c>
      <c r="R7814" s="5"/>
      <c r="S7814" s="5" t="s">
        <v>52297</v>
      </c>
      <c r="T7814" s="28">
        <v>3901823000</v>
      </c>
      <c r="U7814" s="28"/>
      <c r="V7814" s="28">
        <v>18719506000</v>
      </c>
      <c r="W7814" s="28">
        <v>46982127000</v>
      </c>
      <c r="X7814" s="28">
        <v>3059490000</v>
      </c>
      <c r="Y7814" s="28">
        <v>79392665000</v>
      </c>
      <c r="Z7814" s="28">
        <v>12487533000</v>
      </c>
      <c r="AA7814" s="28"/>
      <c r="AB7814" s="28">
        <v>33243263000</v>
      </c>
      <c r="AC7814" s="28">
        <v>41267034000</v>
      </c>
      <c r="AD7814" s="28">
        <v>37178293000</v>
      </c>
      <c r="AE7814" s="28">
        <v>49667558000</v>
      </c>
      <c r="AF7814" s="28">
        <v>3914430000</v>
      </c>
      <c r="AG7814" s="11"/>
    </row>
    <row r="7815">
      <c r="A7815" s="7" t="s">
        <v>9358</v>
      </c>
      <c r="B7815" s="5" t="s">
        <v>17274</v>
      </c>
      <c r="C7815" s="5" t="s">
        <v>24843</v>
      </c>
      <c r="D7815" s="5" t="str">
        <v>220401039229</v>
      </c>
      <c r="E7815" s="0" t="e">
        <f>+7 (3854) 390084
+7 (3854) 390000
+7 (3854) 390034
+7 (3854) 390043
+7 (3854) 390047
+7 (3854) 390050
+7 (3854) 390062
+7 (3854) 390063
+7 (3854) 390065
+7 (3854) 390077
+7 (3854) 390078
+7 (3854) 390081
+7 (3854) 390087
+7 (3854) 390088
+7 (3854) 390095</f>
        <v>#NAME?</v>
      </c>
      <c r="F7815" s="5" t="s">
        <v>47933</v>
      </c>
      <c r="G7815" s="5" t="s">
        <v>47934</v>
      </c>
      <c r="H7815" s="26">
        <v>31</v>
      </c>
      <c r="I7815" s="5"/>
      <c r="J7815" s="5" t="s">
        <v>28030</v>
      </c>
      <c r="K7815" s="5" t="s">
        <v>344</v>
      </c>
      <c r="L7815" s="5" t="s">
        <v>47935</v>
      </c>
      <c r="M7815" s="27"/>
      <c r="N7815" s="5"/>
      <c r="O7815" s="5" t="str">
        <v>2227000087</v>
      </c>
      <c r="P7815" s="27">
        <v>230000</v>
      </c>
      <c r="Q7815" s="5" t="s">
        <v>49009</v>
      </c>
      <c r="R7815" s="5"/>
      <c r="S7815" s="5" t="s">
        <v>49066</v>
      </c>
      <c r="T7815" s="28">
        <v>4415789000</v>
      </c>
      <c r="U7815" s="28">
        <v>3320000</v>
      </c>
      <c r="V7815" s="28">
        <v>5951964000</v>
      </c>
      <c r="W7815" s="28">
        <v>6996430000</v>
      </c>
      <c r="X7815" s="28">
        <v>1689914000</v>
      </c>
      <c r="Y7815" s="28">
        <v>22062515000</v>
      </c>
      <c r="Z7815" s="28">
        <v>20383304000</v>
      </c>
      <c r="AA7815" s="28">
        <v>301765000</v>
      </c>
      <c r="AB7815" s="28"/>
      <c r="AC7815" s="28">
        <v>1344987000</v>
      </c>
      <c r="AD7815" s="28">
        <v>20383890000</v>
      </c>
      <c r="AE7815" s="28">
        <v>12952139000</v>
      </c>
      <c r="AF7815" s="28">
        <v>2343171000</v>
      </c>
      <c r="AG7815" s="11"/>
    </row>
    <row r="7816">
      <c r="A7816" s="7" t="s">
        <v>9359</v>
      </c>
      <c r="B7816" s="5" t="s">
        <v>17275</v>
      </c>
      <c r="C7816" s="5" t="s">
        <v>24844</v>
      </c>
      <c r="D7816" s="5" t="str">
        <v>645312181770</v>
      </c>
      <c r="E7816" s="0" t="e">
        <f>+7 (812) 3359317
+7 (985) 7300306
+7 (495) 6632184
+7 (499) 3729505
+7 (917) 5403354
+7 (929) 6524822</f>
        <v>#NAME?</v>
      </c>
      <c r="F7816" s="5" t="s">
        <v>47936</v>
      </c>
      <c r="G7816" s="5"/>
      <c r="H7816" s="26">
        <v>16</v>
      </c>
      <c r="I7816" s="5"/>
      <c r="J7816" s="5" t="s">
        <v>364</v>
      </c>
      <c r="K7816" s="5" t="s">
        <v>355</v>
      </c>
      <c r="L7816" s="5" t="s">
        <v>47937</v>
      </c>
      <c r="M7816" s="27"/>
      <c r="N7816" s="5" t="s">
        <v>60940</v>
      </c>
      <c r="O7816" s="5" t="str">
        <v>7718625040</v>
      </c>
      <c r="P7816" s="27">
        <v>10000</v>
      </c>
      <c r="Q7816" s="5" t="s">
        <v>60941</v>
      </c>
      <c r="R7816" s="5"/>
      <c r="S7816" s="5" t="s">
        <v>60942</v>
      </c>
      <c r="T7816" s="28">
        <v>19929000</v>
      </c>
      <c r="U7816" s="28">
        <v>3960000</v>
      </c>
      <c r="V7816" s="28">
        <v>10674174000</v>
      </c>
      <c r="W7816" s="28">
        <v>242017000</v>
      </c>
      <c r="X7816" s="28">
        <v>332530000</v>
      </c>
      <c r="Y7816" s="28">
        <v>12211829000</v>
      </c>
      <c r="Z7816" s="28">
        <v>234635000</v>
      </c>
      <c r="AA7816" s="28"/>
      <c r="AB7816" s="28">
        <v>374570000</v>
      </c>
      <c r="AC7816" s="28">
        <v>11977174000</v>
      </c>
      <c r="AD7816" s="28">
        <v>234645000</v>
      </c>
      <c r="AE7816" s="28">
        <v>3542637000</v>
      </c>
      <c r="AF7816" s="28">
        <v>60629000</v>
      </c>
      <c r="AG7816" s="11"/>
    </row>
    <row r="7817">
      <c r="A7817" s="7" t="s">
        <v>9360</v>
      </c>
      <c r="B7817" s="5" t="s">
        <v>17276</v>
      </c>
      <c r="C7817" s="5" t="s">
        <v>23104</v>
      </c>
      <c r="D7817" s="5" t="str">
        <v>672402479652</v>
      </c>
      <c r="E7817" s="0" t="e">
        <f>+7 (495) 1235050
+7 (495) 1235656
+7 (495) 1235665
+7 (499) 6734996</f>
        <v>#NAME?</v>
      </c>
      <c r="F7817" s="5" t="s">
        <v>42602</v>
      </c>
      <c r="G7817" s="5"/>
      <c r="H7817" s="26">
        <v>12.5</v>
      </c>
      <c r="I7817" s="5" t="s">
        <v>47938</v>
      </c>
      <c r="J7817" s="5" t="s">
        <v>364</v>
      </c>
      <c r="K7817" s="5" t="s">
        <v>380</v>
      </c>
      <c r="L7817" s="5" t="s">
        <v>47939</v>
      </c>
      <c r="M7817" s="27">
        <v>15172435</v>
      </c>
      <c r="N7817" s="5"/>
      <c r="O7817" s="5" t="str">
        <v>7703731800</v>
      </c>
      <c r="P7817" s="27">
        <v>10000</v>
      </c>
      <c r="Q7817" s="5" t="s">
        <v>50437</v>
      </c>
      <c r="R7817" s="5"/>
      <c r="S7817" s="5" t="s">
        <v>54573</v>
      </c>
      <c r="T7817" s="28">
        <v>110439000</v>
      </c>
      <c r="U7817" s="28"/>
      <c r="V7817" s="28">
        <v>2495852000</v>
      </c>
      <c r="W7817" s="28"/>
      <c r="X7817" s="28">
        <v>21424000</v>
      </c>
      <c r="Y7817" s="28">
        <v>4367820000</v>
      </c>
      <c r="Z7817" s="28">
        <v>72650000</v>
      </c>
      <c r="AA7817" s="28"/>
      <c r="AB7817" s="28">
        <v>618816000</v>
      </c>
      <c r="AC7817" s="28">
        <v>4292109000</v>
      </c>
      <c r="AD7817" s="28">
        <v>72708000</v>
      </c>
      <c r="AE7817" s="28">
        <v>4386083000</v>
      </c>
      <c r="AF7817" s="28">
        <v>26232000</v>
      </c>
      <c r="AG7817" s="11"/>
    </row>
    <row r="7818">
      <c r="A7818" s="7" t="s">
        <v>9360</v>
      </c>
      <c r="B7818" s="5" t="s">
        <v>17277</v>
      </c>
      <c r="C7818" s="5" t="s">
        <v>24845</v>
      </c>
      <c r="D7818" s="5" t="str">
        <v>782570892645</v>
      </c>
      <c r="F7818" s="5"/>
      <c r="G7818" s="5"/>
      <c r="H7818" s="26">
        <v>4</v>
      </c>
      <c r="I7818" s="5" t="s">
        <v>47940</v>
      </c>
      <c r="J7818" s="5" t="s">
        <v>955</v>
      </c>
      <c r="K7818" s="5" t="s">
        <v>355</v>
      </c>
      <c r="L7818" s="5" t="s">
        <v>47941</v>
      </c>
      <c r="M7818" s="27">
        <v>818645</v>
      </c>
      <c r="N7818" s="5"/>
      <c r="O7818" s="5" t="str">
        <v>7802687214</v>
      </c>
      <c r="P7818" s="27">
        <v>10000</v>
      </c>
      <c r="Q7818" s="5" t="s">
        <v>49009</v>
      </c>
      <c r="R7818" s="5"/>
      <c r="S7818" s="5" t="s">
        <v>49010</v>
      </c>
      <c r="T7818" s="28">
        <v>52857000</v>
      </c>
      <c r="U7818" s="28"/>
      <c r="V7818" s="28">
        <v>318723000</v>
      </c>
      <c r="W7818" s="28"/>
      <c r="X7818" s="28">
        <v>166000</v>
      </c>
      <c r="Y7818" s="28">
        <v>481143000</v>
      </c>
      <c r="Z7818" s="28">
        <v>10852000</v>
      </c>
      <c r="AA7818" s="28"/>
      <c r="AB7818" s="28">
        <v>34433000</v>
      </c>
      <c r="AC7818" s="28">
        <v>465431000</v>
      </c>
      <c r="AD7818" s="28">
        <v>10862000</v>
      </c>
      <c r="AE7818" s="28">
        <v>4968137000</v>
      </c>
      <c r="AF7818" s="28">
        <v>5636000</v>
      </c>
      <c r="AG7818" s="11"/>
    </row>
    <row r="7819">
      <c r="A7819" s="7" t="s">
        <v>9361</v>
      </c>
      <c r="B7819" s="5" t="s">
        <v>17278</v>
      </c>
      <c r="C7819" s="5" t="s">
        <v>24846</v>
      </c>
      <c r="D7819" s="5" t="str">
        <v>263503519793</v>
      </c>
      <c r="E7819" s="0" t="e">
        <f>+7 (918) 8600768
+7 (861) 2774704
+7 (8652) 942556</f>
        <v>#NAME?</v>
      </c>
      <c r="F7819" s="5" t="s">
        <v>47942</v>
      </c>
      <c r="G7819" s="5" t="s">
        <v>47943</v>
      </c>
      <c r="H7819" s="26">
        <v>24</v>
      </c>
      <c r="I7819" s="5" t="s">
        <v>47944</v>
      </c>
      <c r="J7819" s="5" t="s">
        <v>39567</v>
      </c>
      <c r="K7819" s="5" t="s">
        <v>344</v>
      </c>
      <c r="L7819" s="5" t="s">
        <v>47945</v>
      </c>
      <c r="M7819" s="27">
        <v>80069</v>
      </c>
      <c r="N7819" s="5" t="s">
        <v>60943</v>
      </c>
      <c r="O7819" s="5" t="str">
        <v>2635045921</v>
      </c>
      <c r="P7819" s="27">
        <v>196078</v>
      </c>
      <c r="Q7819" s="5" t="s">
        <v>49009</v>
      </c>
      <c r="R7819" s="5"/>
      <c r="S7819" s="5" t="s">
        <v>49045</v>
      </c>
      <c r="T7819" s="28">
        <v>156691000</v>
      </c>
      <c r="U7819" s="28">
        <v>25500000</v>
      </c>
      <c r="V7819" s="28">
        <v>649131000</v>
      </c>
      <c r="W7819" s="28">
        <v>28869000</v>
      </c>
      <c r="X7819" s="28">
        <v>143327000</v>
      </c>
      <c r="Y7819" s="28">
        <v>1658738000</v>
      </c>
      <c r="Z7819" s="28">
        <v>619628000</v>
      </c>
      <c r="AA7819" s="28"/>
      <c r="AB7819" s="28">
        <v>185000000</v>
      </c>
      <c r="AC7819" s="28">
        <v>975320000</v>
      </c>
      <c r="AD7819" s="28">
        <v>620204000</v>
      </c>
      <c r="AE7819" s="28">
        <v>5950267000</v>
      </c>
      <c r="AF7819" s="28">
        <v>107857000</v>
      </c>
      <c r="AG7819" s="11"/>
    </row>
    <row r="7820">
      <c r="A7820" s="7" t="s">
        <v>9362</v>
      </c>
      <c r="B7820" s="5" t="s">
        <v>17279</v>
      </c>
      <c r="C7820" s="5" t="s">
        <v>24847</v>
      </c>
      <c r="D7820" s="5" t="str">
        <v>524912866908</v>
      </c>
      <c r="E7820" s="0" t="e">
        <f>+7 (8313) 340437</f>
        <v>#NAME?</v>
      </c>
      <c r="F7820" s="5"/>
      <c r="G7820" s="5"/>
      <c r="H7820" s="26">
        <v>18</v>
      </c>
      <c r="I7820" s="5" t="s">
        <v>47946</v>
      </c>
      <c r="J7820" s="5" t="s">
        <v>678</v>
      </c>
      <c r="K7820" s="5" t="s">
        <v>355</v>
      </c>
      <c r="L7820" s="5" t="s">
        <v>47947</v>
      </c>
      <c r="M7820" s="27"/>
      <c r="N7820" s="5"/>
      <c r="O7820" s="5" t="str">
        <v>5249075405</v>
      </c>
      <c r="P7820" s="27">
        <v>10000</v>
      </c>
      <c r="Q7820" s="5"/>
      <c r="R7820" s="5"/>
      <c r="S7820" s="5" t="s">
        <v>49110</v>
      </c>
      <c r="T7820" s="28"/>
      <c r="U7820" s="28"/>
      <c r="V7820" s="28">
        <v>7844000</v>
      </c>
      <c r="W7820" s="28"/>
      <c r="X7820" s="28">
        <v>3705000</v>
      </c>
      <c r="Y7820" s="28">
        <v>15202000</v>
      </c>
      <c r="Z7820" s="28"/>
      <c r="AA7820" s="28"/>
      <c r="AB7820" s="28">
        <v>3300000</v>
      </c>
      <c r="AC7820" s="28">
        <v>8250000</v>
      </c>
      <c r="AD7820" s="28">
        <v>6952000</v>
      </c>
      <c r="AE7820" s="28">
        <v>17700185000</v>
      </c>
      <c r="AF7820" s="28">
        <v>17682997000</v>
      </c>
      <c r="AG7820" s="11"/>
    </row>
    <row r="7821">
      <c r="A7821" s="7" t="s">
        <v>9363</v>
      </c>
      <c r="B7821" s="5" t="s">
        <v>17280</v>
      </c>
      <c r="C7821" s="5" t="s">
        <v>24848</v>
      </c>
      <c r="D7821" s="5" t="str">
        <v>235307545304</v>
      </c>
      <c r="E7821" s="0" t="e">
        <f>+7 (86130) 51604
+7 (86130) 51716</f>
        <v>#NAME?</v>
      </c>
      <c r="F7821" s="5" t="s">
        <v>47948</v>
      </c>
      <c r="G7821" s="5"/>
      <c r="H7821" s="26">
        <v>20</v>
      </c>
      <c r="I7821" s="5" t="s">
        <v>47949</v>
      </c>
      <c r="J7821" s="5" t="s">
        <v>27486</v>
      </c>
      <c r="K7821" s="5" t="s">
        <v>344</v>
      </c>
      <c r="L7821" s="5" t="s">
        <v>47950</v>
      </c>
      <c r="M7821" s="27"/>
      <c r="N7821" s="5"/>
      <c r="O7821" s="5" t="str">
        <v>2353019120</v>
      </c>
      <c r="P7821" s="27">
        <v>116724377</v>
      </c>
      <c r="Q7821" s="5"/>
      <c r="R7821" s="5" t="s">
        <v>60944</v>
      </c>
      <c r="S7821" s="5" t="s">
        <v>49029</v>
      </c>
      <c r="T7821" s="28">
        <v>322019000</v>
      </c>
      <c r="U7821" s="28">
        <v>355598000</v>
      </c>
      <c r="V7821" s="28">
        <v>345724000</v>
      </c>
      <c r="W7821" s="28">
        <v>109700000</v>
      </c>
      <c r="X7821" s="28">
        <v>40361000</v>
      </c>
      <c r="Y7821" s="28">
        <v>2154203000</v>
      </c>
      <c r="Z7821" s="28">
        <v>1447973000</v>
      </c>
      <c r="AA7821" s="28"/>
      <c r="AB7821" s="28"/>
      <c r="AC7821" s="28">
        <v>489080000</v>
      </c>
      <c r="AD7821" s="28">
        <v>1564697000</v>
      </c>
      <c r="AE7821" s="28">
        <v>4353540000</v>
      </c>
      <c r="AF7821" s="28">
        <v>-136261000</v>
      </c>
      <c r="AG7821" s="11"/>
    </row>
    <row r="7822">
      <c r="A7822" s="7" t="s">
        <v>9364</v>
      </c>
      <c r="B7822" s="5" t="s">
        <v>17281</v>
      </c>
      <c r="C7822" s="5" t="s">
        <v>24849</v>
      </c>
      <c r="D7822" s="5" t="str">
        <v>575402993331</v>
      </c>
      <c r="E7822" s="0" t="e">
        <f>+7 (495) 5140864
+7 (495) 7212852
+7 (495) 7212860
+7 (495) 7212861
+7 (495) 7212862
+7 (495) 7212866</f>
        <v>#NAME?</v>
      </c>
      <c r="F7822" s="5" t="s">
        <v>47951</v>
      </c>
      <c r="G7822" s="5" t="s">
        <v>47952</v>
      </c>
      <c r="H7822" s="26">
        <v>17.5</v>
      </c>
      <c r="I7822" s="5" t="s">
        <v>47953</v>
      </c>
      <c r="J7822" s="5" t="s">
        <v>25512</v>
      </c>
      <c r="K7822" s="5" t="s">
        <v>344</v>
      </c>
      <c r="L7822" s="5" t="s">
        <v>47954</v>
      </c>
      <c r="M7822" s="27"/>
      <c r="N7822" s="5" t="s">
        <v>60945</v>
      </c>
      <c r="O7822" s="5" t="str">
        <v>7729527750</v>
      </c>
      <c r="P7822" s="27">
        <v>35861600</v>
      </c>
      <c r="Q7822" s="5"/>
      <c r="R7822" s="5"/>
      <c r="S7822" s="5" t="s">
        <v>49047</v>
      </c>
      <c r="T7822" s="28">
        <v>20355000</v>
      </c>
      <c r="U7822" s="28"/>
      <c r="V7822" s="28">
        <v>73781000</v>
      </c>
      <c r="W7822" s="28"/>
      <c r="X7822" s="28">
        <v>962025000</v>
      </c>
      <c r="Y7822" s="28">
        <v>1426810000</v>
      </c>
      <c r="Z7822" s="28">
        <v>1333918000</v>
      </c>
      <c r="AA7822" s="28"/>
      <c r="AB7822" s="28">
        <v>246000</v>
      </c>
      <c r="AC7822" s="28">
        <v>58227000</v>
      </c>
      <c r="AD7822" s="28">
        <v>1368583000</v>
      </c>
      <c r="AE7822" s="28">
        <v>4602354000</v>
      </c>
      <c r="AF7822" s="28">
        <v>-10588000</v>
      </c>
      <c r="AG7822" s="11"/>
    </row>
    <row r="7823">
      <c r="A7823" s="7" t="s">
        <v>9365</v>
      </c>
      <c r="B7823" s="5" t="s">
        <v>17282</v>
      </c>
      <c r="C7823" s="5" t="s">
        <v>24850</v>
      </c>
      <c r="D7823" s="5" t="str">
        <v>771409245460</v>
      </c>
      <c r="E7823" s="0" t="e">
        <f>+7 (910) 1245133
+7 (495) 9334451
+7 (495) 9334452
+7 (800) 6001615
+7 (800) 7005907</f>
        <v>#NAME?</v>
      </c>
      <c r="F7823" s="5" t="s">
        <v>47955</v>
      </c>
      <c r="G7823" s="5" t="s">
        <v>47956</v>
      </c>
      <c r="H7823" s="26">
        <v>7.5</v>
      </c>
      <c r="I7823" s="5"/>
      <c r="J7823" s="5" t="s">
        <v>26297</v>
      </c>
      <c r="K7823" s="5" t="s">
        <v>344</v>
      </c>
      <c r="L7823" s="5"/>
      <c r="M7823" s="27"/>
      <c r="N7823" s="5" t="s">
        <v>60946</v>
      </c>
      <c r="O7823" s="5" t="str">
        <v>9715225506</v>
      </c>
      <c r="P7823" s="27">
        <v>100000</v>
      </c>
      <c r="Q7823" s="5" t="s">
        <v>60947</v>
      </c>
      <c r="R7823" s="5"/>
      <c r="S7823" s="5" t="s">
        <v>60948</v>
      </c>
      <c r="T7823" s="28">
        <v>272503000</v>
      </c>
      <c r="U7823" s="28">
        <v>123073000</v>
      </c>
      <c r="V7823" s="28">
        <v>1492683000</v>
      </c>
      <c r="W7823" s="28"/>
      <c r="X7823" s="28">
        <v>559029000</v>
      </c>
      <c r="Y7823" s="28">
        <v>4109536000</v>
      </c>
      <c r="Z7823" s="28">
        <v>-445730000</v>
      </c>
      <c r="AA7823" s="28"/>
      <c r="AB7823" s="28"/>
      <c r="AC7823" s="28">
        <v>2317281000</v>
      </c>
      <c r="AD7823" s="28">
        <v>2013894000</v>
      </c>
      <c r="AE7823" s="28">
        <v>6581999000</v>
      </c>
      <c r="AF7823" s="28">
        <v>879733000</v>
      </c>
      <c r="AG7823" s="11"/>
    </row>
    <row r="7824">
      <c r="A7824" s="7" t="s">
        <v>9366</v>
      </c>
      <c r="B7824" s="5" t="s">
        <v>17283</v>
      </c>
      <c r="C7824" s="5" t="s">
        <v>24851</v>
      </c>
      <c r="D7824" s="5" t="str">
        <v>501702106490</v>
      </c>
      <c r="E7824" s="0" t="e">
        <f>+7 (495) 4541111
+7 (495) 4562231
+7 (495) 7875570
+7 (905) 7594170</f>
        <v>#NAME?</v>
      </c>
      <c r="F7824" s="5" t="s">
        <v>47957</v>
      </c>
      <c r="G7824" s="5" t="s">
        <v>47958</v>
      </c>
      <c r="H7824" s="26">
        <v>15.5</v>
      </c>
      <c r="I7824" s="5" t="s">
        <v>47959</v>
      </c>
      <c r="J7824" s="5" t="s">
        <v>33986</v>
      </c>
      <c r="K7824" s="5" t="s">
        <v>344</v>
      </c>
      <c r="L7824" s="5"/>
      <c r="M7824" s="27"/>
      <c r="N7824" s="5" t="s">
        <v>60949</v>
      </c>
      <c r="O7824" s="5" t="str">
        <v>7743654415</v>
      </c>
      <c r="P7824" s="27">
        <v>50000</v>
      </c>
      <c r="Q7824" s="5" t="s">
        <v>49021</v>
      </c>
      <c r="R7824" s="5"/>
      <c r="S7824" s="5" t="s">
        <v>49235</v>
      </c>
      <c r="T7824" s="28">
        <v>3163000</v>
      </c>
      <c r="U7824" s="28"/>
      <c r="V7824" s="28">
        <v>1090450000</v>
      </c>
      <c r="W7824" s="28">
        <v>470208000</v>
      </c>
      <c r="X7824" s="28">
        <v>43949000</v>
      </c>
      <c r="Y7824" s="28">
        <v>3320218000</v>
      </c>
      <c r="Z7824" s="28">
        <v>1575644000</v>
      </c>
      <c r="AA7824" s="28"/>
      <c r="AB7824" s="28"/>
      <c r="AC7824" s="28">
        <v>1739594000</v>
      </c>
      <c r="AD7824" s="28">
        <v>1575694000</v>
      </c>
      <c r="AE7824" s="28">
        <v>3072223000</v>
      </c>
      <c r="AF7824" s="28">
        <v>1484584000</v>
      </c>
      <c r="AG7824" s="11"/>
    </row>
    <row r="7825">
      <c r="A7825" s="7" t="s">
        <v>9367</v>
      </c>
      <c r="B7825" s="5" t="s">
        <v>17284</v>
      </c>
      <c r="C7825" s="5" t="s">
        <v>24852</v>
      </c>
      <c r="D7825" s="5" t="str">
        <v>666200734318</v>
      </c>
      <c r="E7825" s="0" t="e">
        <f>+7 (343) 2564793
+7 (343) 3554793
+7 (343) 3554794
+7 (982) 6472932</f>
        <v>#NAME?</v>
      </c>
      <c r="F7825" s="5" t="s">
        <v>47960</v>
      </c>
      <c r="G7825" s="5" t="s">
        <v>47961</v>
      </c>
      <c r="H7825" s="26">
        <v>29.5</v>
      </c>
      <c r="I7825" s="5" t="s">
        <v>47962</v>
      </c>
      <c r="J7825" s="5" t="s">
        <v>33955</v>
      </c>
      <c r="K7825" s="5" t="s">
        <v>344</v>
      </c>
      <c r="L7825" s="5" t="s">
        <v>47963</v>
      </c>
      <c r="M7825" s="27"/>
      <c r="N7825" s="5"/>
      <c r="O7825" s="5" t="str">
        <v>6661032700</v>
      </c>
      <c r="P7825" s="27">
        <v>10000</v>
      </c>
      <c r="Q7825" s="5"/>
      <c r="R7825" s="5"/>
      <c r="S7825" s="5" t="s">
        <v>49110</v>
      </c>
      <c r="T7825" s="28">
        <v>159986000</v>
      </c>
      <c r="U7825" s="28">
        <v>9000</v>
      </c>
      <c r="V7825" s="28">
        <v>1000892000</v>
      </c>
      <c r="W7825" s="28"/>
      <c r="X7825" s="28">
        <v>232000</v>
      </c>
      <c r="Y7825" s="28">
        <v>1492488000</v>
      </c>
      <c r="Z7825" s="28">
        <v>438388000</v>
      </c>
      <c r="AA7825" s="28"/>
      <c r="AB7825" s="28">
        <v>45683000</v>
      </c>
      <c r="AC7825" s="28">
        <v>1006000000</v>
      </c>
      <c r="AD7825" s="28">
        <v>483818000</v>
      </c>
      <c r="AE7825" s="28">
        <v>6708211000</v>
      </c>
      <c r="AF7825" s="28">
        <v>60601000</v>
      </c>
      <c r="AG7825" s="11"/>
    </row>
    <row r="7826">
      <c r="A7826" s="7" t="s">
        <v>9368</v>
      </c>
      <c r="B7826" s="5" t="s">
        <v>17285</v>
      </c>
      <c r="C7826" s="5" t="s">
        <v>24853</v>
      </c>
      <c r="D7826" s="5" t="str">
        <v>673110504920</v>
      </c>
      <c r="E7826" s="0" t="e">
        <f>+7 (910) 7113724
+7 (48135) 35126
+7 (48135) 35951
+7 (48135) 79300
+7 (48135) 79301
+7 (48135) 79306
+7 (48135) 79311
+7 (48135) 79577</f>
        <v>#NAME?</v>
      </c>
      <c r="F7826" s="5" t="s">
        <v>47964</v>
      </c>
      <c r="G7826" s="5"/>
      <c r="H7826" s="26">
        <v>17</v>
      </c>
      <c r="I7826" s="5" t="s">
        <v>47965</v>
      </c>
      <c r="J7826" s="5" t="s">
        <v>29296</v>
      </c>
      <c r="K7826" s="5" t="s">
        <v>344</v>
      </c>
      <c r="L7826" s="5" t="s">
        <v>47966</v>
      </c>
      <c r="M7826" s="27"/>
      <c r="N7826" s="5"/>
      <c r="O7826" s="5" t="str">
        <v>6723019741</v>
      </c>
      <c r="P7826" s="27">
        <v>6341055303</v>
      </c>
      <c r="Q7826" s="5" t="s">
        <v>49009</v>
      </c>
      <c r="R7826" s="5"/>
      <c r="S7826" s="5" t="s">
        <v>49010</v>
      </c>
      <c r="T7826" s="28">
        <v>14980693000</v>
      </c>
      <c r="U7826" s="28">
        <v>8367301000</v>
      </c>
      <c r="V7826" s="28">
        <v>2221064000</v>
      </c>
      <c r="W7826" s="28"/>
      <c r="X7826" s="28">
        <v>4332581000</v>
      </c>
      <c r="Y7826" s="28">
        <v>34823495000</v>
      </c>
      <c r="Z7826" s="28">
        <v>4597905000</v>
      </c>
      <c r="AA7826" s="28"/>
      <c r="AB7826" s="28"/>
      <c r="AC7826" s="28">
        <v>1433767000</v>
      </c>
      <c r="AD7826" s="28">
        <v>32946729000</v>
      </c>
      <c r="AE7826" s="28">
        <v>23904129000</v>
      </c>
      <c r="AF7826" s="28">
        <v>1758070000</v>
      </c>
      <c r="AG7826" s="11"/>
    </row>
    <row r="7827">
      <c r="A7827" s="7" t="s">
        <v>9369</v>
      </c>
      <c r="B7827" s="5" t="s">
        <v>17286</v>
      </c>
      <c r="C7827" s="5" t="s">
        <v>24854</v>
      </c>
      <c r="D7827" s="5" t="str">
        <v>370250056129</v>
      </c>
      <c r="E7827" s="0" t="e">
        <f>+7 (49351) 39111
+7 (48135) 79300
+7 (49351) 32166
+7 (49351) 32989
+7 (49351) 39000
+7 (49351) 39436</f>
        <v>#NAME?</v>
      </c>
      <c r="F7827" s="5" t="s">
        <v>47967</v>
      </c>
      <c r="G7827" s="5" t="s">
        <v>47968</v>
      </c>
      <c r="H7827" s="26">
        <v>19.5</v>
      </c>
      <c r="I7827" s="5" t="s">
        <v>47969</v>
      </c>
      <c r="J7827" s="5" t="s">
        <v>27221</v>
      </c>
      <c r="K7827" s="5" t="s">
        <v>344</v>
      </c>
      <c r="L7827" s="5" t="s">
        <v>47970</v>
      </c>
      <c r="M7827" s="27"/>
      <c r="N7827" s="5"/>
      <c r="O7827" s="5" t="str">
        <v>7704267807</v>
      </c>
      <c r="P7827" s="27">
        <v>1841390347</v>
      </c>
      <c r="Q7827" s="5" t="s">
        <v>49009</v>
      </c>
      <c r="R7827" s="5"/>
      <c r="S7827" s="5" t="s">
        <v>49010</v>
      </c>
      <c r="T7827" s="28">
        <v>2849908000</v>
      </c>
      <c r="U7827" s="28">
        <v>14192615000</v>
      </c>
      <c r="V7827" s="28">
        <v>629389000</v>
      </c>
      <c r="W7827" s="28"/>
      <c r="X7827" s="28">
        <v>795056000</v>
      </c>
      <c r="Y7827" s="28">
        <v>19646296000</v>
      </c>
      <c r="Z7827" s="28">
        <v>3985762000</v>
      </c>
      <c r="AA7827" s="28">
        <v>100000000</v>
      </c>
      <c r="AB7827" s="28">
        <v>1000</v>
      </c>
      <c r="AC7827" s="28">
        <v>770777000</v>
      </c>
      <c r="AD7827" s="28">
        <v>18524548000</v>
      </c>
      <c r="AE7827" s="28">
        <v>10211174000</v>
      </c>
      <c r="AF7827" s="28">
        <v>1299261000</v>
      </c>
      <c r="AG7827" s="11"/>
    </row>
    <row r="7828">
      <c r="A7828" s="7" t="s">
        <v>9370</v>
      </c>
      <c r="B7828" s="5" t="s">
        <v>17287</v>
      </c>
      <c r="C7828" s="5" t="s">
        <v>24855</v>
      </c>
      <c r="D7828" s="5" t="str">
        <v>166101712694</v>
      </c>
      <c r="E7828" s="0" t="e">
        <f>+7 (3412) 905400
+7 (3432) 283846
+7 (3435) 440819
+7 (34713) 31472
+7 (34763) 94992
+7 (3512) 595215
+7 (381) 2590393
+7 (382) 2503232
+7 (384) 2453978
+7 (3843) 528866
+7 (473) 2437237
+7 (474) 2710265
+7 (484) 2751692
+7 (492) 2349530
+7 (800) 2501861</f>
        <v>#NAME?</v>
      </c>
      <c r="F7828" s="5" t="s">
        <v>47971</v>
      </c>
      <c r="G7828" s="5" t="s">
        <v>47972</v>
      </c>
      <c r="H7828" s="26">
        <v>24</v>
      </c>
      <c r="I7828" s="5" t="s">
        <v>47973</v>
      </c>
      <c r="J7828" s="5" t="s">
        <v>26851</v>
      </c>
      <c r="K7828" s="5" t="s">
        <v>344</v>
      </c>
      <c r="L7828" s="5" t="s">
        <v>47974</v>
      </c>
      <c r="M7828" s="27"/>
      <c r="N7828" s="5" t="s">
        <v>60950</v>
      </c>
      <c r="O7828" s="5" t="str">
        <v>1656018691</v>
      </c>
      <c r="P7828" s="27">
        <v>15000000</v>
      </c>
      <c r="Q7828" s="5" t="s">
        <v>49009</v>
      </c>
      <c r="R7828" s="5"/>
      <c r="S7828" s="5" t="s">
        <v>49028</v>
      </c>
      <c r="T7828" s="28">
        <v>2118068000</v>
      </c>
      <c r="U7828" s="28">
        <v>302330000</v>
      </c>
      <c r="V7828" s="28">
        <v>1304318000</v>
      </c>
      <c r="W7828" s="28">
        <v>200918000</v>
      </c>
      <c r="X7828" s="28">
        <v>73766000</v>
      </c>
      <c r="Y7828" s="28">
        <v>4951028000</v>
      </c>
      <c r="Z7828" s="28">
        <v>3688454000</v>
      </c>
      <c r="AA7828" s="28">
        <v>524000000</v>
      </c>
      <c r="AB7828" s="28">
        <v>349000</v>
      </c>
      <c r="AC7828" s="28">
        <v>662971000</v>
      </c>
      <c r="AD7828" s="28">
        <v>3703454000</v>
      </c>
      <c r="AE7828" s="28">
        <v>8919915000</v>
      </c>
      <c r="AF7828" s="28">
        <v>483482000</v>
      </c>
      <c r="AG7828" s="11"/>
    </row>
    <row r="7829">
      <c r="A7829" s="7" t="s">
        <v>9371</v>
      </c>
      <c r="B7829" s="5" t="s">
        <v>17288</v>
      </c>
      <c r="C7829" s="5" t="s">
        <v>24856</v>
      </c>
      <c r="D7829" s="5" t="str">
        <v>332706645682</v>
      </c>
      <c r="E7829" s="0" t="e">
        <f>+7 (831) 2721106
+7 (831) 8076470
+7 (83168) 23704
+7 (83168) 23705
+7 (912) 8078372
+7 (930) 8076470</f>
        <v>#NAME?</v>
      </c>
      <c r="F7829" s="5" t="s">
        <v>47975</v>
      </c>
      <c r="G7829" s="5" t="s">
        <v>47976</v>
      </c>
      <c r="H7829" s="26">
        <v>8.5</v>
      </c>
      <c r="I7829" s="5" t="s">
        <v>47977</v>
      </c>
      <c r="J7829" s="5" t="s">
        <v>25231</v>
      </c>
      <c r="K7829" s="5" t="s">
        <v>344</v>
      </c>
      <c r="L7829" s="5"/>
      <c r="M7829" s="27">
        <v>1101666</v>
      </c>
      <c r="N7829" s="5"/>
      <c r="O7829" s="5" t="str">
        <v>5259113794</v>
      </c>
      <c r="P7829" s="27">
        <v>10000</v>
      </c>
      <c r="Q7829" s="5"/>
      <c r="R7829" s="5" t="s">
        <v>60951</v>
      </c>
      <c r="S7829" s="5" t="s">
        <v>49029</v>
      </c>
      <c r="T7829" s="28">
        <v>373938000</v>
      </c>
      <c r="U7829" s="28"/>
      <c r="V7829" s="28">
        <v>140796000</v>
      </c>
      <c r="W7829" s="28"/>
      <c r="X7829" s="28">
        <v>1776000</v>
      </c>
      <c r="Y7829" s="28">
        <v>665241000</v>
      </c>
      <c r="Z7829" s="28">
        <v>146419000</v>
      </c>
      <c r="AA7829" s="28">
        <v>446281000</v>
      </c>
      <c r="AB7829" s="28"/>
      <c r="AC7829" s="28">
        <v>71681000</v>
      </c>
      <c r="AD7829" s="28">
        <v>146429000</v>
      </c>
      <c r="AE7829" s="28">
        <v>3127474000</v>
      </c>
      <c r="AF7829" s="28">
        <v>138612000</v>
      </c>
      <c r="AG7829" s="11"/>
    </row>
    <row r="7830">
      <c r="A7830" s="7" t="s">
        <v>9372</v>
      </c>
      <c r="B7830" s="5" t="s">
        <v>17289</v>
      </c>
      <c r="C7830" s="5" t="s">
        <v>24857</v>
      </c>
      <c r="D7830" s="5" t="str">
        <v>166101524997</v>
      </c>
      <c r="E7830" s="0" t="e">
        <f>+7 (843) 5249400
+7 (843) 2923871
+7 (8432) 923892
+7 (905) 255827</f>
        <v>#NAME?</v>
      </c>
      <c r="F7830" s="5" t="s">
        <v>47978</v>
      </c>
      <c r="G7830" s="5"/>
      <c r="H7830" s="26">
        <v>22.5</v>
      </c>
      <c r="I7830" s="5" t="s">
        <v>47979</v>
      </c>
      <c r="J7830" s="5" t="s">
        <v>829</v>
      </c>
      <c r="K7830" s="5" t="s">
        <v>344</v>
      </c>
      <c r="L7830" s="5" t="s">
        <v>47980</v>
      </c>
      <c r="M7830" s="27"/>
      <c r="N7830" s="5" t="s">
        <v>60950</v>
      </c>
      <c r="O7830" s="5" t="str">
        <v>1661005017</v>
      </c>
      <c r="P7830" s="27">
        <v>1800000</v>
      </c>
      <c r="Q7830" s="5" t="s">
        <v>49009</v>
      </c>
      <c r="R7830" s="5"/>
      <c r="S7830" s="5" t="s">
        <v>49045</v>
      </c>
      <c r="T7830" s="28">
        <v>86044000</v>
      </c>
      <c r="U7830" s="28">
        <v>96941000</v>
      </c>
      <c r="V7830" s="28">
        <v>412719000</v>
      </c>
      <c r="W7830" s="28">
        <v>157650000</v>
      </c>
      <c r="X7830" s="28">
        <v>29916000</v>
      </c>
      <c r="Y7830" s="28">
        <v>1223345000</v>
      </c>
      <c r="Z7830" s="28">
        <v>940168000</v>
      </c>
      <c r="AA7830" s="28"/>
      <c r="AB7830" s="28">
        <v>80020000</v>
      </c>
      <c r="AC7830" s="28">
        <v>173702000</v>
      </c>
      <c r="AD7830" s="28">
        <v>941968000</v>
      </c>
      <c r="AE7830" s="28">
        <v>3382042000</v>
      </c>
      <c r="AF7830" s="28">
        <v>187510000</v>
      </c>
      <c r="AG7830" s="11"/>
    </row>
    <row r="7831">
      <c r="A7831" s="7" t="s">
        <v>9373</v>
      </c>
      <c r="B7831" s="5" t="s">
        <v>17290</v>
      </c>
      <c r="C7831" s="5" t="s">
        <v>24858</v>
      </c>
      <c r="D7831" s="5" t="str">
        <v>774305403654</v>
      </c>
      <c r="E7831" s="0" t="e">
        <f>+7 (495) 2254652
+7 (495) 4329231
+7 (495) 5410734
+7 (495) 5488326
+7 (495) 5488638
+7 (495) 5488639
+7 (495) 5488784
+7 (495) 5488792
+7 (495) 5488793
+7 (495) 6456338
+7 (812) 3263285</f>
        <v>#NAME?</v>
      </c>
      <c r="F7831" s="5" t="s">
        <v>47981</v>
      </c>
      <c r="G7831" s="5" t="s">
        <v>47982</v>
      </c>
      <c r="H7831" s="26">
        <v>26.5</v>
      </c>
      <c r="I7831" s="5"/>
      <c r="J7831" s="5" t="s">
        <v>30320</v>
      </c>
      <c r="K7831" s="5" t="s">
        <v>344</v>
      </c>
      <c r="L7831" s="5" t="s">
        <v>47983</v>
      </c>
      <c r="M7831" s="27"/>
      <c r="N7831" s="5"/>
      <c r="O7831" s="5" t="str">
        <v>7729329445</v>
      </c>
      <c r="P7831" s="27">
        <v>7600</v>
      </c>
      <c r="Q7831" s="5" t="s">
        <v>49009</v>
      </c>
      <c r="R7831" s="5"/>
      <c r="S7831" s="5" t="s">
        <v>52807</v>
      </c>
      <c r="T7831" s="28">
        <v>547496000</v>
      </c>
      <c r="U7831" s="28"/>
      <c r="V7831" s="28">
        <v>645315000</v>
      </c>
      <c r="W7831" s="28"/>
      <c r="X7831" s="28">
        <v>196014000</v>
      </c>
      <c r="Y7831" s="28">
        <v>1718917000</v>
      </c>
      <c r="Z7831" s="28">
        <v>393797000</v>
      </c>
      <c r="AA7831" s="28">
        <v>311542000</v>
      </c>
      <c r="AB7831" s="28">
        <v>46119000</v>
      </c>
      <c r="AC7831" s="28">
        <v>760590000</v>
      </c>
      <c r="AD7831" s="28">
        <v>582467000</v>
      </c>
      <c r="AE7831" s="28">
        <v>3897413000</v>
      </c>
      <c r="AF7831" s="28">
        <v>355402000</v>
      </c>
      <c r="AG7831" s="11"/>
    </row>
    <row r="7832">
      <c r="A7832" s="7" t="s">
        <v>9374</v>
      </c>
      <c r="B7832" s="5" t="s">
        <v>17291</v>
      </c>
      <c r="C7832" s="5" t="s">
        <v>24859</v>
      </c>
      <c r="D7832" s="5" t="str">
        <v>246209871548</v>
      </c>
      <c r="E7832" s="0" t="e">
        <f>+7 (495) 3800761
+7 (495) 6610115
+7 (495) 7829961
+7 (916) 2493909
+7 (926) 501495</f>
        <v>#NAME?</v>
      </c>
      <c r="F7832" s="5" t="s">
        <v>47984</v>
      </c>
      <c r="G7832" s="5"/>
      <c r="H7832" s="26">
        <v>6.5</v>
      </c>
      <c r="I7832" s="5" t="s">
        <v>47985</v>
      </c>
      <c r="J7832" s="5" t="s">
        <v>678</v>
      </c>
      <c r="K7832" s="5" t="s">
        <v>344</v>
      </c>
      <c r="L7832" s="5" t="s">
        <v>27384</v>
      </c>
      <c r="M7832" s="27"/>
      <c r="N7832" s="5" t="s">
        <v>60952</v>
      </c>
      <c r="O7832" s="5" t="str">
        <v>7733290511</v>
      </c>
      <c r="P7832" s="27">
        <v>2000000</v>
      </c>
      <c r="Q7832" s="5"/>
      <c r="R7832" s="5"/>
      <c r="S7832" s="5" t="s">
        <v>49047</v>
      </c>
      <c r="T7832" s="28">
        <v>39672000</v>
      </c>
      <c r="U7832" s="28">
        <v>64290000</v>
      </c>
      <c r="V7832" s="28">
        <v>1450696000</v>
      </c>
      <c r="W7832" s="28"/>
      <c r="X7832" s="28">
        <v>31105000</v>
      </c>
      <c r="Y7832" s="28">
        <v>3717565000</v>
      </c>
      <c r="Z7832" s="28">
        <v>127690000</v>
      </c>
      <c r="AA7832" s="28"/>
      <c r="AB7832" s="28"/>
      <c r="AC7832" s="28">
        <v>3547853000</v>
      </c>
      <c r="AD7832" s="28">
        <v>129756000</v>
      </c>
      <c r="AE7832" s="28">
        <v>8491796000</v>
      </c>
      <c r="AF7832" s="28">
        <v>52385000</v>
      </c>
      <c r="AG7832" s="11"/>
    </row>
    <row r="7833">
      <c r="A7833" s="7" t="s">
        <v>9375</v>
      </c>
      <c r="B7833" s="5" t="s">
        <v>17292</v>
      </c>
      <c r="C7833" s="5" t="s">
        <v>24860</v>
      </c>
      <c r="D7833" s="5" t="str">
        <v>440102468002</v>
      </c>
      <c r="E7833" s="0" t="e">
        <f>+7 (474) 2317661
+7 (474) 2334422
+7 (474) 2336648
+7 (495) 6607311
+7 (800) 1001314</f>
        <v>#NAME?</v>
      </c>
      <c r="F7833" s="5" t="s">
        <v>47986</v>
      </c>
      <c r="G7833" s="5"/>
      <c r="H7833" s="26">
        <v>25</v>
      </c>
      <c r="I7833" s="5" t="s">
        <v>47987</v>
      </c>
      <c r="J7833" s="5" t="s">
        <v>47375</v>
      </c>
      <c r="K7833" s="5" t="s">
        <v>344</v>
      </c>
      <c r="L7833" s="5"/>
      <c r="M7833" s="27">
        <v>5601861</v>
      </c>
      <c r="N7833" s="5"/>
      <c r="O7833" s="5" t="str">
        <v>4807003494</v>
      </c>
      <c r="P7833" s="27">
        <v>121437000</v>
      </c>
      <c r="Q7833" s="5"/>
      <c r="R7833" s="5"/>
      <c r="S7833" s="5" t="s">
        <v>49029</v>
      </c>
      <c r="T7833" s="28">
        <v>1351359000</v>
      </c>
      <c r="U7833" s="28">
        <v>180800000</v>
      </c>
      <c r="V7833" s="28">
        <v>1659783000</v>
      </c>
      <c r="W7833" s="28"/>
      <c r="X7833" s="28">
        <v>733000</v>
      </c>
      <c r="Y7833" s="28">
        <v>3633983000</v>
      </c>
      <c r="Z7833" s="28">
        <v>2107058000</v>
      </c>
      <c r="AA7833" s="28">
        <v>306744000</v>
      </c>
      <c r="AB7833" s="28">
        <v>437000</v>
      </c>
      <c r="AC7833" s="28">
        <v>1004038000</v>
      </c>
      <c r="AD7833" s="28">
        <v>2228692000</v>
      </c>
      <c r="AE7833" s="28">
        <v>3260730000</v>
      </c>
      <c r="AF7833" s="28">
        <v>83824000</v>
      </c>
      <c r="AG7833" s="11"/>
    </row>
    <row r="7834">
      <c r="A7834" s="7" t="s">
        <v>9376</v>
      </c>
      <c r="B7834" s="5" t="s">
        <v>17293</v>
      </c>
      <c r="C7834" s="5" t="s">
        <v>24861</v>
      </c>
      <c r="D7834" s="5" t="str">
        <v>380102130583</v>
      </c>
      <c r="E7834" s="0" t="e">
        <f>+7 (3952) 285705</f>
        <v>#NAME?</v>
      </c>
      <c r="F7834" s="5" t="s">
        <v>47988</v>
      </c>
      <c r="G7834" s="5"/>
      <c r="H7834" s="26">
        <v>17.5</v>
      </c>
      <c r="I7834" s="5" t="s">
        <v>47989</v>
      </c>
      <c r="J7834" s="5" t="s">
        <v>373</v>
      </c>
      <c r="K7834" s="5" t="s">
        <v>344</v>
      </c>
      <c r="L7834" s="5" t="s">
        <v>43566</v>
      </c>
      <c r="M7834" s="27"/>
      <c r="N7834" s="5"/>
      <c r="O7834" s="5" t="str">
        <v>3801078477</v>
      </c>
      <c r="P7834" s="27">
        <v>5625000</v>
      </c>
      <c r="Q7834" s="5" t="s">
        <v>49059</v>
      </c>
      <c r="R7834" s="5"/>
      <c r="S7834" s="5" t="s">
        <v>53811</v>
      </c>
      <c r="T7834" s="28">
        <v>2483000</v>
      </c>
      <c r="U7834" s="28"/>
      <c r="V7834" s="28">
        <v>565639000</v>
      </c>
      <c r="W7834" s="28">
        <v>189500000</v>
      </c>
      <c r="X7834" s="28">
        <v>804000</v>
      </c>
      <c r="Y7834" s="28">
        <v>1498610000</v>
      </c>
      <c r="Z7834" s="28">
        <v>582768000</v>
      </c>
      <c r="AA7834" s="28"/>
      <c r="AB7834" s="28">
        <v>608185000</v>
      </c>
      <c r="AC7834" s="28">
        <v>845817000</v>
      </c>
      <c r="AD7834" s="28">
        <v>652793000</v>
      </c>
      <c r="AE7834" s="28">
        <v>5381210000</v>
      </c>
      <c r="AF7834" s="28">
        <v>103868000</v>
      </c>
      <c r="AG7834" s="11"/>
    </row>
    <row r="7835">
      <c r="A7835" s="7" t="s">
        <v>9377</v>
      </c>
      <c r="B7835" s="5" t="s">
        <v>17294</v>
      </c>
      <c r="C7835" s="5" t="s">
        <v>19998</v>
      </c>
      <c r="D7835" s="5"/>
      <c r="E7835" s="0" t="e">
        <f>+7 (985) 9111317</f>
        <v>#NAME?</v>
      </c>
      <c r="F7835" s="5"/>
      <c r="G7835" s="5"/>
      <c r="H7835" s="26">
        <v>6.5</v>
      </c>
      <c r="I7835" s="5" t="s">
        <v>47990</v>
      </c>
      <c r="J7835" s="5" t="s">
        <v>25938</v>
      </c>
      <c r="K7835" s="5" t="s">
        <v>344</v>
      </c>
      <c r="L7835" s="5" t="s">
        <v>47991</v>
      </c>
      <c r="M7835" s="27"/>
      <c r="N7835" s="5"/>
      <c r="O7835" s="5" t="str">
        <v>9729016848</v>
      </c>
      <c r="P7835" s="27">
        <v>10000</v>
      </c>
      <c r="Q7835" s="5"/>
      <c r="R7835" s="5"/>
      <c r="S7835" s="5" t="s">
        <v>49029</v>
      </c>
      <c r="T7835" s="28">
        <v>1513000</v>
      </c>
      <c r="U7835" s="28"/>
      <c r="V7835" s="28">
        <v>286523000</v>
      </c>
      <c r="W7835" s="28"/>
      <c r="X7835" s="28">
        <v>231000</v>
      </c>
      <c r="Y7835" s="28">
        <v>998468000</v>
      </c>
      <c r="Z7835" s="28">
        <v>124253000</v>
      </c>
      <c r="AA7835" s="28"/>
      <c r="AB7835" s="28">
        <v>200056000</v>
      </c>
      <c r="AC7835" s="28">
        <v>874102000</v>
      </c>
      <c r="AD7835" s="28">
        <v>124263000</v>
      </c>
      <c r="AE7835" s="28">
        <v>3185953000</v>
      </c>
      <c r="AF7835" s="28">
        <v>129157000</v>
      </c>
      <c r="AG7835" s="11"/>
    </row>
    <row r="7836">
      <c r="A7836" s="7" t="s">
        <v>9378</v>
      </c>
      <c r="B7836" s="5" t="s">
        <v>17295</v>
      </c>
      <c r="C7836" s="5" t="s">
        <v>24862</v>
      </c>
      <c r="D7836" s="5" t="str">
        <v>770405860907</v>
      </c>
      <c r="E7836" s="0" t="e">
        <f>+7 (495) 2232331
+7 (383) 2112818
+7 (383) 2853700
+7 (495) 2320700
+7 (495) 2322204
+7 (812) 6020600
+7 (812) 6220440
+7 (846) 2060030
+7 (846) 2336000</f>
        <v>#NAME?</v>
      </c>
      <c r="F7836" s="5" t="s">
        <v>47992</v>
      </c>
      <c r="G7836" s="5" t="s">
        <v>47993</v>
      </c>
      <c r="H7836" s="26">
        <v>19.5</v>
      </c>
      <c r="I7836" s="5" t="s">
        <v>47994</v>
      </c>
      <c r="J7836" s="5" t="s">
        <v>29940</v>
      </c>
      <c r="K7836" s="5" t="s">
        <v>355</v>
      </c>
      <c r="L7836" s="5"/>
      <c r="M7836" s="27">
        <v>2621324</v>
      </c>
      <c r="N7836" s="5" t="s">
        <v>60953</v>
      </c>
      <c r="O7836" s="5" t="str">
        <v>7733510051</v>
      </c>
      <c r="P7836" s="27">
        <v>1000000</v>
      </c>
      <c r="Q7836" s="5" t="s">
        <v>49021</v>
      </c>
      <c r="R7836" s="5"/>
      <c r="S7836" s="5" t="s">
        <v>60954</v>
      </c>
      <c r="T7836" s="28">
        <v>1541235000</v>
      </c>
      <c r="U7836" s="28">
        <v>16537000</v>
      </c>
      <c r="V7836" s="28">
        <v>4594273000</v>
      </c>
      <c r="W7836" s="28"/>
      <c r="X7836" s="28">
        <v>456114000</v>
      </c>
      <c r="Y7836" s="28">
        <v>11387381000</v>
      </c>
      <c r="Z7836" s="28">
        <v>777348000</v>
      </c>
      <c r="AA7836" s="28"/>
      <c r="AB7836" s="28">
        <v>3825207000</v>
      </c>
      <c r="AC7836" s="28">
        <v>9486913000</v>
      </c>
      <c r="AD7836" s="28">
        <v>891348000</v>
      </c>
      <c r="AE7836" s="28">
        <v>27452403000</v>
      </c>
      <c r="AF7836" s="28">
        <v>38301000</v>
      </c>
      <c r="AG7836" s="11"/>
    </row>
    <row r="7837">
      <c r="A7837" s="7" t="s">
        <v>9379</v>
      </c>
      <c r="B7837" s="5" t="s">
        <v>17296</v>
      </c>
      <c r="C7837" s="5" t="s">
        <v>24863</v>
      </c>
      <c r="D7837" s="5" t="str">
        <v>524611168917</v>
      </c>
      <c r="E7837" s="0" t="e">
        <f>+7 (495) 4116564
+7 (495) 4116565
+7 (495) 7839569
+7 (495) 7839571
+7 (812) 3256270
+7 (83159) 28148</f>
        <v>#NAME?</v>
      </c>
      <c r="F7837" s="5"/>
      <c r="G7837" s="5"/>
      <c r="H7837" s="26">
        <v>20.5</v>
      </c>
      <c r="I7837" s="5" t="s">
        <v>47995</v>
      </c>
      <c r="J7837" s="5" t="s">
        <v>41631</v>
      </c>
      <c r="K7837" s="5" t="s">
        <v>344</v>
      </c>
      <c r="L7837" s="5" t="s">
        <v>47996</v>
      </c>
      <c r="M7837" s="27"/>
      <c r="N7837" s="5" t="s">
        <v>60955</v>
      </c>
      <c r="O7837" s="5" t="str">
        <v>5020033028</v>
      </c>
      <c r="P7837" s="27">
        <v>4259767910</v>
      </c>
      <c r="Q7837" s="5" t="s">
        <v>49009</v>
      </c>
      <c r="R7837" s="5"/>
      <c r="S7837" s="5" t="s">
        <v>49093</v>
      </c>
      <c r="T7837" s="28">
        <v>5601373000</v>
      </c>
      <c r="U7837" s="28"/>
      <c r="V7837" s="28">
        <v>1959001000</v>
      </c>
      <c r="W7837" s="28">
        <v>1198325000</v>
      </c>
      <c r="X7837" s="28">
        <v>4169891000</v>
      </c>
      <c r="Y7837" s="28">
        <v>16036776000</v>
      </c>
      <c r="Z7837" s="28">
        <v>6999894000</v>
      </c>
      <c r="AA7837" s="28"/>
      <c r="AB7837" s="28"/>
      <c r="AC7837" s="28">
        <v>3125007000</v>
      </c>
      <c r="AD7837" s="28">
        <v>11259662000</v>
      </c>
      <c r="AE7837" s="28">
        <v>18071665000</v>
      </c>
      <c r="AF7837" s="28">
        <v>2130943000</v>
      </c>
      <c r="AG7837" s="11"/>
    </row>
    <row r="7838">
      <c r="A7838" s="7" t="s">
        <v>9380</v>
      </c>
      <c r="B7838" s="5" t="s">
        <v>17297</v>
      </c>
      <c r="C7838" s="5" t="s">
        <v>24864</v>
      </c>
      <c r="D7838" s="5" t="str">
        <v>771870380600</v>
      </c>
      <c r="F7838" s="5"/>
      <c r="G7838" s="5"/>
      <c r="H7838" s="26">
        <v>12</v>
      </c>
      <c r="I7838" s="5" t="s">
        <v>47997</v>
      </c>
      <c r="J7838" s="5" t="s">
        <v>26308</v>
      </c>
      <c r="K7838" s="5" t="s">
        <v>380</v>
      </c>
      <c r="L7838" s="5"/>
      <c r="M7838" s="27"/>
      <c r="N7838" s="5"/>
      <c r="O7838" s="5" t="str">
        <v>7719768926</v>
      </c>
      <c r="P7838" s="27">
        <v>100000</v>
      </c>
      <c r="Q7838" s="5" t="s">
        <v>49009</v>
      </c>
      <c r="R7838" s="5"/>
      <c r="S7838" s="5" t="s">
        <v>49045</v>
      </c>
      <c r="T7838" s="28">
        <v>2919512000</v>
      </c>
      <c r="U7838" s="28"/>
      <c r="V7838" s="28">
        <v>522967000</v>
      </c>
      <c r="W7838" s="28">
        <v>130033000</v>
      </c>
      <c r="X7838" s="28">
        <v>166930000</v>
      </c>
      <c r="Y7838" s="28">
        <v>4826530000</v>
      </c>
      <c r="Z7838" s="28">
        <v>-807582000</v>
      </c>
      <c r="AA7838" s="28">
        <v>2590631000</v>
      </c>
      <c r="AB7838" s="28">
        <v>257945000</v>
      </c>
      <c r="AC7838" s="28">
        <v>2662007000</v>
      </c>
      <c r="AD7838" s="28">
        <v>-807482000</v>
      </c>
      <c r="AE7838" s="28">
        <v>8570116000</v>
      </c>
      <c r="AF7838" s="28">
        <v>31608000</v>
      </c>
      <c r="AG7838" s="11"/>
    </row>
    <row r="7839">
      <c r="A7839" s="7" t="s">
        <v>9381</v>
      </c>
      <c r="B7839" s="5" t="s">
        <v>17298</v>
      </c>
      <c r="C7839" s="5" t="s">
        <v>24865</v>
      </c>
      <c r="D7839" s="5" t="str">
        <v>770900199495</v>
      </c>
      <c r="E7839" s="0" t="e">
        <f>+7 (3422) 371158
+7 (3422) 371160
+7 (381) 2510896
+7 (381) 2530587
+7 (383) 2112817
+7 (391) 2752331
+7 (391) 2752332
+7 (391) 2752338
+7 (495) 2215217
+7 (495) 9373344
+7 (800) 2000380
+7 (812) 4956677
+7 (8632) 111190
+7 (8632) 111191
+7 (8632) 111192</f>
        <v>#NAME?</v>
      </c>
      <c r="F7839" s="5"/>
      <c r="G7839" s="5" t="s">
        <v>47998</v>
      </c>
      <c r="H7839" s="26">
        <v>16.5</v>
      </c>
      <c r="I7839" s="5" t="s">
        <v>47999</v>
      </c>
      <c r="J7839" s="5" t="s">
        <v>25429</v>
      </c>
      <c r="K7839" s="5" t="s">
        <v>344</v>
      </c>
      <c r="L7839" s="5" t="s">
        <v>48000</v>
      </c>
      <c r="M7839" s="27"/>
      <c r="N7839" s="5" t="s">
        <v>60956</v>
      </c>
      <c r="O7839" s="5" t="str">
        <v>7731547200</v>
      </c>
      <c r="P7839" s="27">
        <v>505247680</v>
      </c>
      <c r="Q7839" s="5" t="s">
        <v>60957</v>
      </c>
      <c r="R7839" s="5"/>
      <c r="S7839" s="5" t="s">
        <v>49162</v>
      </c>
      <c r="T7839" s="28">
        <v>170282000</v>
      </c>
      <c r="U7839" s="28"/>
      <c r="V7839" s="28">
        <v>1325422000</v>
      </c>
      <c r="W7839" s="28"/>
      <c r="X7839" s="28">
        <v>1022872000</v>
      </c>
      <c r="Y7839" s="28">
        <v>3781136000</v>
      </c>
      <c r="Z7839" s="28">
        <v>2198727000</v>
      </c>
      <c r="AA7839" s="28"/>
      <c r="AB7839" s="28"/>
      <c r="AC7839" s="28">
        <v>407078000</v>
      </c>
      <c r="AD7839" s="28">
        <v>3230134000</v>
      </c>
      <c r="AE7839" s="28">
        <v>4656410000</v>
      </c>
      <c r="AF7839" s="28">
        <v>601167000</v>
      </c>
      <c r="AG7839" s="11"/>
    </row>
    <row r="7840">
      <c r="A7840" s="7" t="s">
        <v>9382</v>
      </c>
      <c r="B7840" s="5" t="s">
        <v>17299</v>
      </c>
      <c r="C7840" s="5" t="s">
        <v>19816</v>
      </c>
      <c r="D7840" s="5" t="str">
        <v>272104873797</v>
      </c>
      <c r="E7840" s="0" t="e">
        <f>+7 (411) 2331525
+7 (411) 2331537
+7 (411) 2331553
+7 (41147) 92365
+7 (42137) 63313
+7 (4217) 549787
+7 (4217) 549858
+7 (4232) 460484
+7 (4232) 790983
+7 (4232) 790984
+7 (4234) 231597
+7 (4234) 231598
+7 (42366) 99423
+7 (42366) 99424
+7 (800) 2504260</f>
        <v>#NAME?</v>
      </c>
      <c r="F7840" s="5" t="s">
        <v>48001</v>
      </c>
      <c r="G7840" s="5" t="s">
        <v>48002</v>
      </c>
      <c r="H7840" s="26">
        <v>21.5</v>
      </c>
      <c r="I7840" s="5" t="s">
        <v>48003</v>
      </c>
      <c r="J7840" s="5" t="s">
        <v>27085</v>
      </c>
      <c r="K7840" s="5" t="s">
        <v>344</v>
      </c>
      <c r="L7840" s="5" t="s">
        <v>48004</v>
      </c>
      <c r="M7840" s="27">
        <v>655492</v>
      </c>
      <c r="N7840" s="5" t="s">
        <v>60958</v>
      </c>
      <c r="O7840" s="5" t="str">
        <v>2725026521</v>
      </c>
      <c r="P7840" s="27">
        <v>10000</v>
      </c>
      <c r="Q7840" s="5" t="s">
        <v>50809</v>
      </c>
      <c r="R7840" s="5"/>
      <c r="S7840" s="5" t="s">
        <v>60959</v>
      </c>
      <c r="T7840" s="28">
        <v>2378140000</v>
      </c>
      <c r="U7840" s="28">
        <v>271112000</v>
      </c>
      <c r="V7840" s="28">
        <v>3986938000</v>
      </c>
      <c r="W7840" s="28">
        <v>1050545000</v>
      </c>
      <c r="X7840" s="28">
        <v>42116000</v>
      </c>
      <c r="Y7840" s="28">
        <v>10983091000</v>
      </c>
      <c r="Z7840" s="28">
        <v>1580717000</v>
      </c>
      <c r="AA7840" s="28">
        <v>279200000</v>
      </c>
      <c r="AB7840" s="28">
        <v>5468745000</v>
      </c>
      <c r="AC7840" s="28">
        <v>6416983000</v>
      </c>
      <c r="AD7840" s="28">
        <v>1580727000</v>
      </c>
      <c r="AE7840" s="28">
        <v>18687794000</v>
      </c>
      <c r="AF7840" s="28">
        <v>400677000</v>
      </c>
      <c r="AG7840" s="11"/>
    </row>
    <row r="7841">
      <c r="A7841" s="7" t="s">
        <v>9383</v>
      </c>
      <c r="B7841" s="5" t="s">
        <v>17300</v>
      </c>
      <c r="C7841" s="5" t="s">
        <v>24866</v>
      </c>
      <c r="D7841" s="5" t="str">
        <v>540108344912</v>
      </c>
      <c r="F7841" s="5"/>
      <c r="G7841" s="5"/>
      <c r="H7841" s="26">
        <v>14</v>
      </c>
      <c r="I7841" s="5" t="s">
        <v>48005</v>
      </c>
      <c r="J7841" s="5" t="s">
        <v>26325</v>
      </c>
      <c r="K7841" s="5" t="s">
        <v>344</v>
      </c>
      <c r="L7841" s="5" t="s">
        <v>48006</v>
      </c>
      <c r="M7841" s="27">
        <v>331200</v>
      </c>
      <c r="N7841" s="5" t="s">
        <v>60960</v>
      </c>
      <c r="O7841" s="5" t="str">
        <v>7722685934</v>
      </c>
      <c r="P7841" s="27">
        <v>500000</v>
      </c>
      <c r="Q7841" s="5" t="s">
        <v>49009</v>
      </c>
      <c r="R7841" s="5"/>
      <c r="S7841" s="5" t="s">
        <v>49045</v>
      </c>
      <c r="T7841" s="28">
        <v>3208679000</v>
      </c>
      <c r="U7841" s="28"/>
      <c r="V7841" s="28">
        <v>1110379000</v>
      </c>
      <c r="W7841" s="28">
        <v>195500000</v>
      </c>
      <c r="X7841" s="28">
        <v>33970000</v>
      </c>
      <c r="Y7841" s="28">
        <v>5119616000</v>
      </c>
      <c r="Z7841" s="28">
        <v>1577777000</v>
      </c>
      <c r="AA7841" s="28">
        <v>948700000</v>
      </c>
      <c r="AB7841" s="28"/>
      <c r="AC7841" s="28">
        <v>391741000</v>
      </c>
      <c r="AD7841" s="28">
        <v>1578277000</v>
      </c>
      <c r="AE7841" s="28">
        <v>5424786000</v>
      </c>
      <c r="AF7841" s="28">
        <v>72017000</v>
      </c>
      <c r="AG7841" s="11"/>
    </row>
    <row r="7842">
      <c r="A7842" s="7" t="s">
        <v>9384</v>
      </c>
      <c r="B7842" s="5" t="s">
        <v>17301</v>
      </c>
      <c r="C7842" s="5" t="s">
        <v>24867</v>
      </c>
      <c r="D7842" s="5" t="str">
        <v>772901121417</v>
      </c>
      <c r="E7842" s="0" t="e">
        <f>+7 (495) 6636962
+7 (495) 5445200
+7 (495) 6265353
+7 (495) 7923600
+7 (495) 7923611
+7 (495) 7923678
+7 (800) 2007007
+7 (812) 7034401</f>
        <v>#NAME?</v>
      </c>
      <c r="F7842" s="5" t="s">
        <v>48007</v>
      </c>
      <c r="G7842" s="5" t="s">
        <v>48008</v>
      </c>
      <c r="H7842" s="26">
        <v>30</v>
      </c>
      <c r="I7842" s="5" t="s">
        <v>48009</v>
      </c>
      <c r="J7842" s="5" t="s">
        <v>28582</v>
      </c>
      <c r="K7842" s="5" t="s">
        <v>344</v>
      </c>
      <c r="L7842" s="5" t="s">
        <v>48010</v>
      </c>
      <c r="M7842" s="27"/>
      <c r="N7842" s="5"/>
      <c r="O7842" s="5" t="str">
        <v>7708234256</v>
      </c>
      <c r="P7842" s="27">
        <v>600352202</v>
      </c>
      <c r="Q7842" s="5"/>
      <c r="R7842" s="5"/>
      <c r="S7842" s="5" t="s">
        <v>49029</v>
      </c>
      <c r="T7842" s="28">
        <v>1736262000</v>
      </c>
      <c r="U7842" s="28">
        <v>990000</v>
      </c>
      <c r="V7842" s="28">
        <v>854916000</v>
      </c>
      <c r="W7842" s="28">
        <v>33385000</v>
      </c>
      <c r="X7842" s="28">
        <v>2252237000</v>
      </c>
      <c r="Y7842" s="28">
        <v>6502407000</v>
      </c>
      <c r="Z7842" s="28">
        <v>2781926000</v>
      </c>
      <c r="AA7842" s="28"/>
      <c r="AB7842" s="28"/>
      <c r="AC7842" s="28">
        <v>2761025000</v>
      </c>
      <c r="AD7842" s="28">
        <v>3382278000</v>
      </c>
      <c r="AE7842" s="28">
        <v>13897383000</v>
      </c>
      <c r="AF7842" s="28">
        <v>1348866000</v>
      </c>
      <c r="AG7842" s="11"/>
    </row>
    <row r="7843">
      <c r="A7843" s="7" t="s">
        <v>9385</v>
      </c>
      <c r="B7843" s="5" t="s">
        <v>17302</v>
      </c>
      <c r="C7843" s="5" t="s">
        <v>24868</v>
      </c>
      <c r="D7843" s="5" t="str">
        <v>772020091878</v>
      </c>
      <c r="E7843" s="0" t="e">
        <f>+7 (383) 3732616
+7 (391) 2858547
+7 (391) 2858548
+7 (495) 1220660
+7 (495) 2334536
+7 (495) 4191133
+7 (495) 7815665
+7 (495) 7819339
+7 (495) 9887117
+7 (800) 7775050
+7 (800) 7775087
+7 (812) 4294918
+7 (812) 6002074
+7 (812) 9281092
+7 (903) 5499343</f>
        <v>#NAME?</v>
      </c>
      <c r="F7843" s="5" t="s">
        <v>48011</v>
      </c>
      <c r="G7843" s="5" t="s">
        <v>48012</v>
      </c>
      <c r="H7843" s="26">
        <v>15.5</v>
      </c>
      <c r="I7843" s="5" t="s">
        <v>48013</v>
      </c>
      <c r="J7843" s="5" t="s">
        <v>533</v>
      </c>
      <c r="K7843" s="5" t="s">
        <v>344</v>
      </c>
      <c r="L7843" s="5" t="s">
        <v>48014</v>
      </c>
      <c r="M7843" s="27"/>
      <c r="N7843" s="5" t="s">
        <v>60961</v>
      </c>
      <c r="O7843" s="5" t="str">
        <v>7720592297</v>
      </c>
      <c r="P7843" s="27">
        <v>21201</v>
      </c>
      <c r="Q7843" s="5" t="s">
        <v>49009</v>
      </c>
      <c r="R7843" s="5"/>
      <c r="S7843" s="5" t="s">
        <v>49175</v>
      </c>
      <c r="T7843" s="28">
        <v>251268000</v>
      </c>
      <c r="U7843" s="28"/>
      <c r="V7843" s="28">
        <v>445689000</v>
      </c>
      <c r="W7843" s="28"/>
      <c r="X7843" s="28">
        <v>594894000</v>
      </c>
      <c r="Y7843" s="28">
        <v>1320885000</v>
      </c>
      <c r="Z7843" s="28">
        <v>754034000</v>
      </c>
      <c r="AA7843" s="28">
        <v>37805000</v>
      </c>
      <c r="AB7843" s="28"/>
      <c r="AC7843" s="28">
        <v>476764000</v>
      </c>
      <c r="AD7843" s="28">
        <v>754055000</v>
      </c>
      <c r="AE7843" s="28">
        <v>4394152000</v>
      </c>
      <c r="AF7843" s="28">
        <v>423668000</v>
      </c>
      <c r="AG7843" s="11"/>
    </row>
    <row r="7844">
      <c r="A7844" s="7" t="s">
        <v>9386</v>
      </c>
      <c r="B7844" s="5" t="s">
        <v>17303</v>
      </c>
      <c r="C7844" s="5" t="s">
        <v>24869</v>
      </c>
      <c r="D7844" s="5" t="str">
        <v>260706777917</v>
      </c>
      <c r="F7844" s="5"/>
      <c r="G7844" s="5" t="s">
        <v>48015</v>
      </c>
      <c r="H7844" s="26">
        <v>3.5</v>
      </c>
      <c r="I7844" s="5" t="s">
        <v>48016</v>
      </c>
      <c r="J7844" s="5" t="s">
        <v>641</v>
      </c>
      <c r="K7844" s="5" t="s">
        <v>355</v>
      </c>
      <c r="L7844" s="5"/>
      <c r="M7844" s="27">
        <v>3415016</v>
      </c>
      <c r="N7844" s="5" t="s">
        <v>60962</v>
      </c>
      <c r="O7844" s="5" t="str">
        <v>7722477719</v>
      </c>
      <c r="P7844" s="27">
        <v>100000</v>
      </c>
      <c r="Q7844" s="5" t="s">
        <v>49009</v>
      </c>
      <c r="R7844" s="5" t="s">
        <v>60963</v>
      </c>
      <c r="S7844" s="5" t="s">
        <v>49487</v>
      </c>
      <c r="T7844" s="28">
        <v>572132000</v>
      </c>
      <c r="U7844" s="28"/>
      <c r="V7844" s="28">
        <v>923443000</v>
      </c>
      <c r="W7844" s="28"/>
      <c r="X7844" s="28">
        <v>557321000</v>
      </c>
      <c r="Y7844" s="28">
        <v>3136767000</v>
      </c>
      <c r="Z7844" s="28">
        <v>-181803000</v>
      </c>
      <c r="AA7844" s="28"/>
      <c r="AB7844" s="28">
        <v>468000</v>
      </c>
      <c r="AC7844" s="28">
        <v>2529573000</v>
      </c>
      <c r="AD7844" s="28">
        <v>507719000</v>
      </c>
      <c r="AE7844" s="28">
        <v>4070657000</v>
      </c>
      <c r="AF7844" s="28">
        <v>-326482000</v>
      </c>
      <c r="AG7844" s="11"/>
    </row>
    <row r="7845">
      <c r="A7845" s="7" t="s">
        <v>9387</v>
      </c>
      <c r="B7845" s="5" t="s">
        <v>17304</v>
      </c>
      <c r="C7845" s="5" t="s">
        <v>24870</v>
      </c>
      <c r="D7845" s="5" t="str">
        <v>772000140478</v>
      </c>
      <c r="E7845" s="0" t="e">
        <f>+7 (495) 2878903
+7 (495) 6878903
+7 (495) 7973500
+7 (499) 9213101
+7 (499) 9213250
+7 (915) 1401453</f>
        <v>#NAME?</v>
      </c>
      <c r="F7845" s="5"/>
      <c r="G7845" s="5"/>
      <c r="H7845" s="26">
        <v>8</v>
      </c>
      <c r="I7845" s="5" t="s">
        <v>48017</v>
      </c>
      <c r="J7845" s="5" t="s">
        <v>1026</v>
      </c>
      <c r="K7845" s="5" t="s">
        <v>355</v>
      </c>
      <c r="L7845" s="5" t="s">
        <v>48018</v>
      </c>
      <c r="M7845" s="27"/>
      <c r="N7845" s="5"/>
      <c r="O7845" s="5" t="str">
        <v>7743101210</v>
      </c>
      <c r="P7845" s="27">
        <v>100000</v>
      </c>
      <c r="Q7845" s="5" t="s">
        <v>49009</v>
      </c>
      <c r="R7845" s="5"/>
      <c r="S7845" s="5" t="s">
        <v>49045</v>
      </c>
      <c r="T7845" s="28">
        <v>34000</v>
      </c>
      <c r="U7845" s="28"/>
      <c r="V7845" s="28">
        <v>80479000</v>
      </c>
      <c r="W7845" s="28"/>
      <c r="X7845" s="28">
        <v>78144000</v>
      </c>
      <c r="Y7845" s="28">
        <v>158657000</v>
      </c>
      <c r="Z7845" s="28">
        <v>-3580000</v>
      </c>
      <c r="AA7845" s="28"/>
      <c r="AB7845" s="28"/>
      <c r="AC7845" s="28">
        <v>162137000</v>
      </c>
      <c r="AD7845" s="28">
        <v>-3480000</v>
      </c>
      <c r="AE7845" s="28">
        <v>15023231000</v>
      </c>
      <c r="AF7845" s="28">
        <v>-1737558000</v>
      </c>
      <c r="AG7845" s="11"/>
    </row>
    <row r="7846">
      <c r="A7846" s="7" t="s">
        <v>9388</v>
      </c>
      <c r="B7846" s="5" t="s">
        <v>17305</v>
      </c>
      <c r="C7846" s="5" t="s">
        <v>24871</v>
      </c>
      <c r="D7846" s="5" t="str">
        <v>860213829554</v>
      </c>
      <c r="E7846" s="0" t="e">
        <f>+7 (345) 2224335
+7 (345) 2226589
+7 (345) 2275946
+7 (345) 2297496
+7 (345) 2356577
+7 (345) 2386638
+7 (345) 2386709
+7 (345) 2386755
+7 (345) 2388511
+7 (345) 2608093
+7 (345) 2642500
+7 (345) 2696358
+7 (34535) 35859
+7 (345) 2386666
+7 (34539) 23696</f>
        <v>#NAME?</v>
      </c>
      <c r="F7846" s="5" t="s">
        <v>48019</v>
      </c>
      <c r="G7846" s="5" t="s">
        <v>48020</v>
      </c>
      <c r="H7846" s="26">
        <v>21</v>
      </c>
      <c r="I7846" s="5"/>
      <c r="J7846" s="5" t="s">
        <v>26623</v>
      </c>
      <c r="K7846" s="5" t="s">
        <v>344</v>
      </c>
      <c r="L7846" s="5" t="s">
        <v>48021</v>
      </c>
      <c r="M7846" s="27">
        <v>5479957</v>
      </c>
      <c r="N7846" s="5" t="s">
        <v>60964</v>
      </c>
      <c r="O7846" s="5" t="str">
        <v>7705424509</v>
      </c>
      <c r="P7846" s="27">
        <v>770000000</v>
      </c>
      <c r="Q7846" s="5" t="s">
        <v>60965</v>
      </c>
      <c r="R7846" s="5"/>
      <c r="S7846" s="5" t="s">
        <v>60966</v>
      </c>
      <c r="T7846" s="28">
        <v>7738252000</v>
      </c>
      <c r="U7846" s="28">
        <v>2052357000</v>
      </c>
      <c r="V7846" s="28">
        <v>5665592000</v>
      </c>
      <c r="W7846" s="28">
        <v>684691000</v>
      </c>
      <c r="X7846" s="28">
        <v>346721000</v>
      </c>
      <c r="Y7846" s="28">
        <v>18072230000</v>
      </c>
      <c r="Z7846" s="28">
        <v>2611563000</v>
      </c>
      <c r="AA7846" s="28"/>
      <c r="AB7846" s="28">
        <v>3977919000</v>
      </c>
      <c r="AC7846" s="28">
        <v>11043519000</v>
      </c>
      <c r="AD7846" s="28">
        <v>4846062000</v>
      </c>
      <c r="AE7846" s="28">
        <v>39937880000</v>
      </c>
      <c r="AF7846" s="28">
        <v>2000731000</v>
      </c>
      <c r="AG7846" s="11"/>
    </row>
    <row r="7847">
      <c r="A7847" s="7" t="s">
        <v>9389</v>
      </c>
      <c r="B7847" s="5" t="s">
        <v>17306</v>
      </c>
      <c r="C7847" s="5" t="s">
        <v>24872</v>
      </c>
      <c r="D7847" s="5" t="str">
        <v>226701884999</v>
      </c>
      <c r="E7847" s="0" t="e">
        <f>+7 (911) 7523717
+7 (3512) 253063
+7 (38464) 23601
+7 (38464) 24805
+7 (800) 6008320
+7 (812) 2511373
+7 (812) 2513258</f>
        <v>#NAME?</v>
      </c>
      <c r="F7847" s="5" t="s">
        <v>48022</v>
      </c>
      <c r="G7847" s="5" t="s">
        <v>48023</v>
      </c>
      <c r="H7847" s="26">
        <v>7.5</v>
      </c>
      <c r="I7847" s="5" t="s">
        <v>48024</v>
      </c>
      <c r="J7847" s="5" t="s">
        <v>26623</v>
      </c>
      <c r="K7847" s="5" t="s">
        <v>344</v>
      </c>
      <c r="L7847" s="5" t="s">
        <v>48025</v>
      </c>
      <c r="M7847" s="27">
        <v>2531772</v>
      </c>
      <c r="N7847" s="5" t="s">
        <v>60967</v>
      </c>
      <c r="O7847" s="5" t="str">
        <v>7839041402</v>
      </c>
      <c r="P7847" s="27">
        <v>10000</v>
      </c>
      <c r="Q7847" s="5" t="s">
        <v>49009</v>
      </c>
      <c r="R7847" s="5"/>
      <c r="S7847" s="5" t="s">
        <v>50001</v>
      </c>
      <c r="T7847" s="28">
        <v>15844000</v>
      </c>
      <c r="U7847" s="28"/>
      <c r="V7847" s="28">
        <v>229988000</v>
      </c>
      <c r="W7847" s="28">
        <v>685000</v>
      </c>
      <c r="X7847" s="28">
        <v>42872000</v>
      </c>
      <c r="Y7847" s="28">
        <v>294737000</v>
      </c>
      <c r="Z7847" s="28">
        <v>54886000</v>
      </c>
      <c r="AA7847" s="28"/>
      <c r="AB7847" s="28">
        <v>762000</v>
      </c>
      <c r="AC7847" s="28">
        <v>227943000</v>
      </c>
      <c r="AD7847" s="28">
        <v>54896000</v>
      </c>
      <c r="AE7847" s="28">
        <v>3130712000</v>
      </c>
      <c r="AF7847" s="28">
        <v>29575000</v>
      </c>
      <c r="AG7847" s="11"/>
    </row>
    <row r="7848">
      <c r="A7848" s="7" t="s">
        <v>9390</v>
      </c>
      <c r="B7848" s="5" t="s">
        <v>17307</v>
      </c>
      <c r="C7848" s="5" t="s">
        <v>24873</v>
      </c>
      <c r="D7848" s="5" t="str">
        <v>771983026093</v>
      </c>
      <c r="E7848" s="0" t="e">
        <f>+7 (981) 8897386</f>
        <v>#NAME?</v>
      </c>
      <c r="F7848" s="5" t="s">
        <v>48026</v>
      </c>
      <c r="G7848" s="5"/>
      <c r="H7848" s="26">
        <v>4.5</v>
      </c>
      <c r="I7848" s="5"/>
      <c r="J7848" s="5" t="s">
        <v>373</v>
      </c>
      <c r="K7848" s="5" t="s">
        <v>344</v>
      </c>
      <c r="L7848" s="5" t="s">
        <v>48027</v>
      </c>
      <c r="M7848" s="27"/>
      <c r="N7848" s="5"/>
      <c r="O7848" s="5" t="str">
        <v>7810736514</v>
      </c>
      <c r="P7848" s="27">
        <v>500000</v>
      </c>
      <c r="Q7848" s="5" t="s">
        <v>49057</v>
      </c>
      <c r="R7848" s="5"/>
      <c r="S7848" s="5" t="s">
        <v>53811</v>
      </c>
      <c r="T7848" s="28">
        <v>905000</v>
      </c>
      <c r="U7848" s="28"/>
      <c r="V7848" s="28">
        <v>26271000</v>
      </c>
      <c r="W7848" s="28"/>
      <c r="X7848" s="28">
        <v>277773000</v>
      </c>
      <c r="Y7848" s="28">
        <v>651586000</v>
      </c>
      <c r="Z7848" s="28">
        <v>563140000</v>
      </c>
      <c r="AA7848" s="28"/>
      <c r="AB7848" s="28"/>
      <c r="AC7848" s="28">
        <v>84025000</v>
      </c>
      <c r="AD7848" s="28">
        <v>566415000</v>
      </c>
      <c r="AE7848" s="28">
        <v>7781853000</v>
      </c>
      <c r="AF7848" s="28">
        <v>1235548000</v>
      </c>
      <c r="AG7848" s="11"/>
    </row>
    <row r="7849">
      <c r="A7849" s="7" t="s">
        <v>9391</v>
      </c>
      <c r="B7849" s="5" t="s">
        <v>17308</v>
      </c>
      <c r="C7849" s="5" t="s">
        <v>24874</v>
      </c>
      <c r="D7849" s="5" t="str">
        <v>770905675290</v>
      </c>
      <c r="F7849" s="5"/>
      <c r="G7849" s="5" t="s">
        <v>48028</v>
      </c>
      <c r="H7849" s="26">
        <v>2</v>
      </c>
      <c r="I7849" s="5"/>
      <c r="J7849" s="5" t="s">
        <v>364</v>
      </c>
      <c r="K7849" s="5" t="s">
        <v>344</v>
      </c>
      <c r="L7849" s="5"/>
      <c r="M7849" s="27">
        <v>608065</v>
      </c>
      <c r="N7849" s="5"/>
      <c r="O7849" s="5" t="str">
        <v>7714470572</v>
      </c>
      <c r="P7849" s="27">
        <v>10000</v>
      </c>
      <c r="Q7849" s="5"/>
      <c r="R7849" s="5"/>
      <c r="S7849" s="5" t="s">
        <v>49121</v>
      </c>
      <c r="T7849" s="28">
        <v>6560000</v>
      </c>
      <c r="U7849" s="28"/>
      <c r="V7849" s="28">
        <v>1222800000</v>
      </c>
      <c r="W7849" s="28">
        <v>1050000</v>
      </c>
      <c r="X7849" s="28">
        <v>18036000</v>
      </c>
      <c r="Y7849" s="28">
        <v>4015779000</v>
      </c>
      <c r="Z7849" s="28">
        <v>17248000</v>
      </c>
      <c r="AA7849" s="28"/>
      <c r="AB7849" s="28"/>
      <c r="AC7849" s="28">
        <v>3998419000</v>
      </c>
      <c r="AD7849" s="28">
        <v>17259000</v>
      </c>
      <c r="AE7849" s="28">
        <v>3378198000</v>
      </c>
      <c r="AF7849" s="28">
        <v>7711000</v>
      </c>
      <c r="AG7849" s="11"/>
    </row>
    <row r="7850">
      <c r="A7850" s="7" t="s">
        <v>9392</v>
      </c>
      <c r="B7850" s="5" t="s">
        <v>17309</v>
      </c>
      <c r="C7850" s="5" t="s">
        <v>18866</v>
      </c>
      <c r="D7850" s="5"/>
      <c r="E7850" s="0" t="e">
        <f>+7 (49245) 20650
+7 (49245) 23350
+7 (49245) 93830
+7 (49245) 95333</f>
        <v>#NAME?</v>
      </c>
      <c r="F7850" s="5" t="s">
        <v>48029</v>
      </c>
      <c r="G7850" s="5" t="s">
        <v>48030</v>
      </c>
      <c r="H7850" s="26">
        <v>30</v>
      </c>
      <c r="I7850" s="5"/>
      <c r="J7850" s="5" t="s">
        <v>655</v>
      </c>
      <c r="K7850" s="5" t="s">
        <v>344</v>
      </c>
      <c r="L7850" s="5"/>
      <c r="M7850" s="27">
        <v>805633</v>
      </c>
      <c r="N7850" s="5" t="s">
        <v>60968</v>
      </c>
      <c r="O7850" s="5" t="str">
        <v>3306007697</v>
      </c>
      <c r="P7850" s="27">
        <v>369965</v>
      </c>
      <c r="Q7850" s="5" t="s">
        <v>60969</v>
      </c>
      <c r="R7850" s="5"/>
      <c r="S7850" s="5" t="s">
        <v>49180</v>
      </c>
      <c r="T7850" s="28">
        <v>2802661000</v>
      </c>
      <c r="U7850" s="28">
        <v>35067000</v>
      </c>
      <c r="V7850" s="28">
        <v>1401662000</v>
      </c>
      <c r="W7850" s="28"/>
      <c r="X7850" s="28">
        <v>629263000</v>
      </c>
      <c r="Y7850" s="28">
        <v>8609377000</v>
      </c>
      <c r="Z7850" s="28">
        <v>4226644000</v>
      </c>
      <c r="AA7850" s="28">
        <v>677760000</v>
      </c>
      <c r="AB7850" s="28"/>
      <c r="AC7850" s="28">
        <v>2396532000</v>
      </c>
      <c r="AD7850" s="28">
        <v>4987343000</v>
      </c>
      <c r="AE7850" s="28">
        <v>20199392000</v>
      </c>
      <c r="AF7850" s="28">
        <v>978270000</v>
      </c>
      <c r="AG7850" s="11"/>
    </row>
    <row r="7851">
      <c r="A7851" s="7" t="s">
        <v>9393</v>
      </c>
      <c r="B7851" s="5" t="s">
        <v>17310</v>
      </c>
      <c r="C7851" s="5" t="s">
        <v>24875</v>
      </c>
      <c r="D7851" s="5" t="str">
        <v>770876677564</v>
      </c>
      <c r="F7851" s="5" t="s">
        <v>48031</v>
      </c>
      <c r="G7851" s="5"/>
      <c r="H7851" s="26">
        <v>4</v>
      </c>
      <c r="I7851" s="5" t="s">
        <v>48032</v>
      </c>
      <c r="J7851" s="5" t="s">
        <v>25938</v>
      </c>
      <c r="K7851" s="5" t="s">
        <v>344</v>
      </c>
      <c r="L7851" s="5" t="s">
        <v>48033</v>
      </c>
      <c r="M7851" s="27">
        <v>496217</v>
      </c>
      <c r="N7851" s="5"/>
      <c r="O7851" s="5" t="str">
        <v>5032307629</v>
      </c>
      <c r="P7851" s="27">
        <v>10000</v>
      </c>
      <c r="Q7851" s="5" t="s">
        <v>49009</v>
      </c>
      <c r="R7851" s="5"/>
      <c r="S7851" s="5" t="s">
        <v>49814</v>
      </c>
      <c r="T7851" s="28"/>
      <c r="U7851" s="28"/>
      <c r="V7851" s="28">
        <v>485940000</v>
      </c>
      <c r="W7851" s="28">
        <v>143349000</v>
      </c>
      <c r="X7851" s="28">
        <v>6164000</v>
      </c>
      <c r="Y7851" s="28">
        <v>1200845000</v>
      </c>
      <c r="Z7851" s="28">
        <v>111792000</v>
      </c>
      <c r="AA7851" s="28">
        <v>825337000</v>
      </c>
      <c r="AB7851" s="28">
        <v>87966000</v>
      </c>
      <c r="AC7851" s="28">
        <v>263559000</v>
      </c>
      <c r="AD7851" s="28">
        <v>111802000</v>
      </c>
      <c r="AE7851" s="28">
        <v>4310881000</v>
      </c>
      <c r="AF7851" s="28">
        <v>2080000</v>
      </c>
      <c r="AG7851" s="11"/>
    </row>
    <row r="7852">
      <c r="A7852" s="7" t="s">
        <v>9394</v>
      </c>
      <c r="B7852" s="5" t="s">
        <v>17311</v>
      </c>
      <c r="C7852" s="5" t="s">
        <v>24876</v>
      </c>
      <c r="D7852" s="5" t="str">
        <v>780610829230</v>
      </c>
      <c r="E7852" s="0" t="e">
        <f>+7 (3472) 468404
+7 (3472) 739765
+7 (495) 9373997
+7 (812) 6333638
+7 (913) 9739490</f>
        <v>#NAME?</v>
      </c>
      <c r="F7852" s="5"/>
      <c r="G7852" s="5"/>
      <c r="H7852" s="26">
        <v>9.5</v>
      </c>
      <c r="I7852" s="5" t="s">
        <v>48034</v>
      </c>
      <c r="J7852" s="5" t="s">
        <v>641</v>
      </c>
      <c r="K7852" s="5" t="s">
        <v>344</v>
      </c>
      <c r="L7852" s="5" t="s">
        <v>48035</v>
      </c>
      <c r="M7852" s="27"/>
      <c r="N7852" s="5" t="s">
        <v>60970</v>
      </c>
      <c r="O7852" s="5" t="str">
        <v>0278204832</v>
      </c>
      <c r="P7852" s="27">
        <v>550000</v>
      </c>
      <c r="Q7852" s="5" t="s">
        <v>60971</v>
      </c>
      <c r="R7852" s="5"/>
      <c r="S7852" s="5" t="s">
        <v>54178</v>
      </c>
      <c r="T7852" s="28">
        <v>21949000</v>
      </c>
      <c r="U7852" s="28"/>
      <c r="V7852" s="28">
        <v>892831000</v>
      </c>
      <c r="W7852" s="28">
        <v>2188671000</v>
      </c>
      <c r="X7852" s="28">
        <v>144187000</v>
      </c>
      <c r="Y7852" s="28">
        <v>3736136000</v>
      </c>
      <c r="Z7852" s="28">
        <v>539152000</v>
      </c>
      <c r="AA7852" s="28">
        <v>43388000</v>
      </c>
      <c r="AB7852" s="28">
        <v>2673000</v>
      </c>
      <c r="AC7852" s="28">
        <v>3152924000</v>
      </c>
      <c r="AD7852" s="28">
        <v>539702000</v>
      </c>
      <c r="AE7852" s="28">
        <v>11214330000</v>
      </c>
      <c r="AF7852" s="28">
        <v>352566000</v>
      </c>
      <c r="AG7852" s="11"/>
    </row>
    <row r="7853">
      <c r="A7853" s="7" t="s">
        <v>9395</v>
      </c>
      <c r="B7853" s="5" t="s">
        <v>17312</v>
      </c>
      <c r="C7853" s="5" t="s">
        <v>24877</v>
      </c>
      <c r="D7853" s="5" t="str">
        <v>470321511771</v>
      </c>
      <c r="E7853" s="0" t="e">
        <f>+7 (911) 9036092
+7 (921) 8902655
+7 (812) 9063252
+7 (911) 1911680
+7 (911) 2215419
+7 (965) 7971054</f>
        <v>#NAME?</v>
      </c>
      <c r="F7853" s="5" t="s">
        <v>48036</v>
      </c>
      <c r="G7853" s="5"/>
      <c r="H7853" s="26">
        <v>8</v>
      </c>
      <c r="I7853" s="5" t="s">
        <v>48037</v>
      </c>
      <c r="J7853" s="5" t="s">
        <v>930</v>
      </c>
      <c r="K7853" s="5" t="s">
        <v>344</v>
      </c>
      <c r="L7853" s="5" t="s">
        <v>48038</v>
      </c>
      <c r="M7853" s="27"/>
      <c r="N7853" s="5" t="s">
        <v>60972</v>
      </c>
      <c r="O7853" s="5" t="str">
        <v>7839031482</v>
      </c>
      <c r="P7853" s="27">
        <v>10000</v>
      </c>
      <c r="Q7853" s="5" t="s">
        <v>60973</v>
      </c>
      <c r="R7853" s="5"/>
      <c r="S7853" s="5" t="s">
        <v>60974</v>
      </c>
      <c r="T7853" s="28">
        <v>395555000</v>
      </c>
      <c r="U7853" s="28"/>
      <c r="V7853" s="28">
        <v>703226000</v>
      </c>
      <c r="W7853" s="28">
        <v>48557000</v>
      </c>
      <c r="X7853" s="28">
        <v>174081000</v>
      </c>
      <c r="Y7853" s="28">
        <v>1349968000</v>
      </c>
      <c r="Z7853" s="28">
        <v>376575000</v>
      </c>
      <c r="AA7853" s="28">
        <v>200000000</v>
      </c>
      <c r="AB7853" s="28">
        <v>27671000</v>
      </c>
      <c r="AC7853" s="28">
        <v>609970000</v>
      </c>
      <c r="AD7853" s="28">
        <v>376585000</v>
      </c>
      <c r="AE7853" s="28">
        <v>3312081000</v>
      </c>
      <c r="AF7853" s="28">
        <v>185721000</v>
      </c>
      <c r="AG7853" s="11"/>
    </row>
    <row r="7854">
      <c r="A7854" s="7" t="s">
        <v>9396</v>
      </c>
      <c r="B7854" s="5" t="s">
        <v>17313</v>
      </c>
      <c r="C7854" s="5" t="s">
        <v>24878</v>
      </c>
      <c r="D7854" s="5" t="str">
        <v>290122469071</v>
      </c>
      <c r="E7854" s="0" t="e">
        <f>+7 (906) 2841428
+7 (818) 2422717
+7 (818) 2424456
+7 (911) 5988826
+7 (960) 90204
+7 (963) 2004456
+7 (964) 2998385</f>
        <v>#NAME?</v>
      </c>
      <c r="F7854" s="5" t="s">
        <v>48039</v>
      </c>
      <c r="G7854" s="5" t="s">
        <v>48040</v>
      </c>
      <c r="H7854" s="26">
        <v>11</v>
      </c>
      <c r="I7854" s="5" t="s">
        <v>48041</v>
      </c>
      <c r="J7854" s="5" t="s">
        <v>28577</v>
      </c>
      <c r="K7854" s="5" t="s">
        <v>344</v>
      </c>
      <c r="L7854" s="5" t="s">
        <v>48042</v>
      </c>
      <c r="M7854" s="27">
        <v>73701</v>
      </c>
      <c r="N7854" s="5" t="s">
        <v>60975</v>
      </c>
      <c r="O7854" s="5" t="str">
        <v>2901223574</v>
      </c>
      <c r="P7854" s="27">
        <v>15000</v>
      </c>
      <c r="Q7854" s="5" t="s">
        <v>60976</v>
      </c>
      <c r="R7854" s="5"/>
      <c r="S7854" s="5" t="s">
        <v>60977</v>
      </c>
      <c r="T7854" s="28">
        <v>3080019000</v>
      </c>
      <c r="U7854" s="28"/>
      <c r="V7854" s="28">
        <v>972596000</v>
      </c>
      <c r="W7854" s="28">
        <v>230000000</v>
      </c>
      <c r="X7854" s="28">
        <v>2030895000</v>
      </c>
      <c r="Y7854" s="28">
        <v>6448995000</v>
      </c>
      <c r="Z7854" s="28">
        <v>3380798000</v>
      </c>
      <c r="AA7854" s="28">
        <v>934643000</v>
      </c>
      <c r="AB7854" s="28">
        <v>319840000</v>
      </c>
      <c r="AC7854" s="28">
        <v>1255060000</v>
      </c>
      <c r="AD7854" s="28">
        <v>3380813000</v>
      </c>
      <c r="AE7854" s="28">
        <v>4682501000</v>
      </c>
      <c r="AF7854" s="28">
        <v>1780764000</v>
      </c>
      <c r="AG7854" s="11"/>
    </row>
    <row r="7855">
      <c r="A7855" s="7" t="s">
        <v>9397</v>
      </c>
      <c r="B7855" s="5" t="s">
        <v>17314</v>
      </c>
      <c r="C7855" s="5" t="s">
        <v>24879</v>
      </c>
      <c r="D7855" s="5" t="str">
        <v>504712602020</v>
      </c>
      <c r="E7855" s="0" t="e">
        <f>+7 (915) 5547587</f>
        <v>#NAME?</v>
      </c>
      <c r="F7855" s="5" t="s">
        <v>48043</v>
      </c>
      <c r="G7855" s="5"/>
      <c r="H7855" s="26">
        <v>9.5</v>
      </c>
      <c r="I7855" s="5" t="s">
        <v>48044</v>
      </c>
      <c r="J7855" s="5" t="s">
        <v>25938</v>
      </c>
      <c r="K7855" s="5" t="s">
        <v>355</v>
      </c>
      <c r="L7855" s="5" t="s">
        <v>27186</v>
      </c>
      <c r="M7855" s="27">
        <v>15674713</v>
      </c>
      <c r="N7855" s="5"/>
      <c r="O7855" s="5" t="str">
        <v>7106527696</v>
      </c>
      <c r="P7855" s="27">
        <v>10000</v>
      </c>
      <c r="Q7855" s="5"/>
      <c r="R7855" s="5"/>
      <c r="S7855" s="5" t="s">
        <v>49029</v>
      </c>
      <c r="T7855" s="28">
        <v>523880000</v>
      </c>
      <c r="U7855" s="28">
        <v>11488248000</v>
      </c>
      <c r="V7855" s="28">
        <v>7448723000</v>
      </c>
      <c r="W7855" s="28"/>
      <c r="X7855" s="28">
        <v>21004000</v>
      </c>
      <c r="Y7855" s="28">
        <v>19964269000</v>
      </c>
      <c r="Z7855" s="28">
        <v>106859000</v>
      </c>
      <c r="AA7855" s="28">
        <v>7466818000</v>
      </c>
      <c r="AB7855" s="28"/>
      <c r="AC7855" s="28">
        <v>12119863000</v>
      </c>
      <c r="AD7855" s="28">
        <v>106869000</v>
      </c>
      <c r="AE7855" s="28">
        <v>17367521000</v>
      </c>
      <c r="AF7855" s="28">
        <v>125583000</v>
      </c>
      <c r="AG7855" s="11"/>
    </row>
    <row r="7856">
      <c r="A7856" s="7" t="s">
        <v>9398</v>
      </c>
      <c r="B7856" s="5" t="s">
        <v>17315</v>
      </c>
      <c r="C7856" s="5" t="s">
        <v>24880</v>
      </c>
      <c r="D7856" s="5" t="str">
        <v>772814609600</v>
      </c>
      <c r="E7856" s="0" t="e">
        <f>+7 (495) 7454350
+7 (495) 7483151
+7 (495) 7484354
+7 (495) 7485350
+7 (495) 7487350
+7 (4987) 484350
+7 (903) 7629565
+7 (495) 2149152
+7 (495) 6123918
+7 (495) 6149150
+7 (495) 6149152
+7 (495) 6149152
+7 (495) 7484550</f>
        <v>#NAME?</v>
      </c>
      <c r="F7856" s="5" t="s">
        <v>48045</v>
      </c>
      <c r="G7856" s="5" t="s">
        <v>48046</v>
      </c>
      <c r="H7856" s="26">
        <v>20.5</v>
      </c>
      <c r="I7856" s="5" t="s">
        <v>48047</v>
      </c>
      <c r="J7856" s="5" t="s">
        <v>25429</v>
      </c>
      <c r="K7856" s="5" t="s">
        <v>344</v>
      </c>
      <c r="L7856" s="5" t="s">
        <v>48048</v>
      </c>
      <c r="M7856" s="27"/>
      <c r="N7856" s="5" t="s">
        <v>60978</v>
      </c>
      <c r="O7856" s="5" t="str">
        <v>7722265873</v>
      </c>
      <c r="P7856" s="27">
        <v>10000</v>
      </c>
      <c r="Q7856" s="5" t="s">
        <v>60979</v>
      </c>
      <c r="R7856" s="5"/>
      <c r="S7856" s="5" t="s">
        <v>60980</v>
      </c>
      <c r="T7856" s="28">
        <v>150061000</v>
      </c>
      <c r="U7856" s="28"/>
      <c r="V7856" s="28">
        <v>134883000</v>
      </c>
      <c r="W7856" s="28">
        <v>17000000</v>
      </c>
      <c r="X7856" s="28">
        <v>262779000</v>
      </c>
      <c r="Y7856" s="28">
        <v>1940202000</v>
      </c>
      <c r="Z7856" s="28">
        <v>1233527000</v>
      </c>
      <c r="AA7856" s="28"/>
      <c r="AB7856" s="28"/>
      <c r="AC7856" s="28">
        <v>574982000</v>
      </c>
      <c r="AD7856" s="28">
        <v>1233721000</v>
      </c>
      <c r="AE7856" s="28">
        <v>3075734000</v>
      </c>
      <c r="AF7856" s="28">
        <v>411972000</v>
      </c>
      <c r="AG7856" s="11"/>
    </row>
    <row r="7857">
      <c r="A7857" s="7" t="s">
        <v>9399</v>
      </c>
      <c r="B7857" s="5" t="s">
        <v>17316</v>
      </c>
      <c r="C7857" s="5" t="s">
        <v>24881</v>
      </c>
      <c r="D7857" s="5" t="str">
        <v>470403997746</v>
      </c>
      <c r="E7857" s="0" t="e">
        <f>+7 (812) 3340490
+7 (812) 4621742
+7 (812) 4621902
+7 (812) 6793423
+7 (962) 7271243
+7 (962) 7271261
+7 (962) 7271292
+7 (962) 7271328</f>
        <v>#NAME?</v>
      </c>
      <c r="F7857" s="5" t="s">
        <v>48049</v>
      </c>
      <c r="G7857" s="5" t="s">
        <v>48050</v>
      </c>
      <c r="H7857" s="26">
        <v>28</v>
      </c>
      <c r="I7857" s="5" t="s">
        <v>48051</v>
      </c>
      <c r="J7857" s="5" t="s">
        <v>25327</v>
      </c>
      <c r="K7857" s="5" t="s">
        <v>344</v>
      </c>
      <c r="L7857" s="5" t="s">
        <v>48052</v>
      </c>
      <c r="M7857" s="27"/>
      <c r="N7857" s="5" t="s">
        <v>60981</v>
      </c>
      <c r="O7857" s="5" t="str">
        <v>7817327951</v>
      </c>
      <c r="P7857" s="27">
        <v>1363548</v>
      </c>
      <c r="Q7857" s="5" t="s">
        <v>49057</v>
      </c>
      <c r="R7857" s="5"/>
      <c r="S7857" s="5" t="s">
        <v>53587</v>
      </c>
      <c r="T7857" s="28">
        <v>20638000</v>
      </c>
      <c r="U7857" s="28"/>
      <c r="V7857" s="28">
        <v>279804000</v>
      </c>
      <c r="W7857" s="28">
        <v>581990000</v>
      </c>
      <c r="X7857" s="28">
        <v>7052000</v>
      </c>
      <c r="Y7857" s="28">
        <v>930314000</v>
      </c>
      <c r="Z7857" s="28">
        <v>839304000</v>
      </c>
      <c r="AA7857" s="28"/>
      <c r="AB7857" s="28"/>
      <c r="AC7857" s="28">
        <v>53924000</v>
      </c>
      <c r="AD7857" s="28">
        <v>859197000</v>
      </c>
      <c r="AE7857" s="28">
        <v>4397330000</v>
      </c>
      <c r="AF7857" s="28">
        <v>930374000</v>
      </c>
      <c r="AG7857" s="11"/>
    </row>
    <row r="7858">
      <c r="A7858" s="7" t="s">
        <v>9400</v>
      </c>
      <c r="B7858" s="5" t="s">
        <v>17317</v>
      </c>
      <c r="C7858" s="5" t="s">
        <v>24882</v>
      </c>
      <c r="D7858" s="5" t="str">
        <v>290116304378</v>
      </c>
      <c r="E7858" s="0" t="e">
        <f>+7 (495) 7634940
+7 (495) 6076009</f>
        <v>#NAME?</v>
      </c>
      <c r="F7858" s="5" t="s">
        <v>48053</v>
      </c>
      <c r="G7858" s="5"/>
      <c r="H7858" s="26">
        <v>22.5</v>
      </c>
      <c r="I7858" s="5" t="s">
        <v>48054</v>
      </c>
      <c r="J7858" s="5" t="s">
        <v>991</v>
      </c>
      <c r="K7858" s="5" t="s">
        <v>344</v>
      </c>
      <c r="L7858" s="5" t="s">
        <v>48055</v>
      </c>
      <c r="M7858" s="27">
        <v>433180</v>
      </c>
      <c r="N7858" s="5" t="s">
        <v>60982</v>
      </c>
      <c r="O7858" s="5" t="str">
        <v>7731196979</v>
      </c>
      <c r="P7858" s="27">
        <v>10000</v>
      </c>
      <c r="Q7858" s="5" t="s">
        <v>49528</v>
      </c>
      <c r="R7858" s="5"/>
      <c r="S7858" s="5" t="s">
        <v>60983</v>
      </c>
      <c r="T7858" s="28">
        <v>668515000</v>
      </c>
      <c r="U7858" s="28"/>
      <c r="V7858" s="28">
        <v>3395938000</v>
      </c>
      <c r="W7858" s="28">
        <v>140510000</v>
      </c>
      <c r="X7858" s="28">
        <v>450000</v>
      </c>
      <c r="Y7858" s="28">
        <v>5163995000</v>
      </c>
      <c r="Z7858" s="28">
        <v>690756000</v>
      </c>
      <c r="AA7858" s="28">
        <v>799866000</v>
      </c>
      <c r="AB7858" s="28">
        <v>243986000</v>
      </c>
      <c r="AC7858" s="28">
        <v>3182482000</v>
      </c>
      <c r="AD7858" s="28">
        <v>690766000</v>
      </c>
      <c r="AE7858" s="28">
        <v>4642345000</v>
      </c>
      <c r="AF7858" s="28">
        <v>66952000</v>
      </c>
      <c r="AG7858" s="11"/>
    </row>
    <row r="7859">
      <c r="A7859" s="7" t="s">
        <v>9401</v>
      </c>
      <c r="B7859" s="5" t="s">
        <v>17318</v>
      </c>
      <c r="C7859" s="5" t="s">
        <v>24883</v>
      </c>
      <c r="D7859" s="5" t="str">
        <v>771501779104</v>
      </c>
      <c r="E7859" s="0" t="e">
        <f>+7 (499) 1871054
+7 (499) 1874146
+7 (499) 1877818
+7 (499) 1877822
+7 (499) 1877827
+7 (499) 1879088
+7 (499) 1879209
+7 (499) 1879391</f>
        <v>#NAME?</v>
      </c>
      <c r="F7859" s="5" t="s">
        <v>48056</v>
      </c>
      <c r="G7859" s="5" t="s">
        <v>48057</v>
      </c>
      <c r="H7859" s="26">
        <v>28.5</v>
      </c>
      <c r="I7859" s="5" t="s">
        <v>48058</v>
      </c>
      <c r="J7859" s="5" t="s">
        <v>26905</v>
      </c>
      <c r="K7859" s="5" t="s">
        <v>344</v>
      </c>
      <c r="L7859" s="5" t="s">
        <v>48059</v>
      </c>
      <c r="M7859" s="27"/>
      <c r="N7859" s="5"/>
      <c r="O7859" s="5" t="str">
        <v>7716237807</v>
      </c>
      <c r="P7859" s="27">
        <v>3315000</v>
      </c>
      <c r="Q7859" s="5" t="s">
        <v>49021</v>
      </c>
      <c r="R7859" s="5"/>
      <c r="S7859" s="5" t="s">
        <v>49033</v>
      </c>
      <c r="T7859" s="28">
        <v>577000</v>
      </c>
      <c r="U7859" s="28">
        <v>388550000</v>
      </c>
      <c r="V7859" s="28">
        <v>806124000</v>
      </c>
      <c r="W7859" s="28">
        <v>17760000</v>
      </c>
      <c r="X7859" s="28">
        <v>676949000</v>
      </c>
      <c r="Y7859" s="28">
        <v>1890805000</v>
      </c>
      <c r="Z7859" s="28">
        <v>1721782000</v>
      </c>
      <c r="AA7859" s="28"/>
      <c r="AB7859" s="28"/>
      <c r="AC7859" s="28">
        <v>165708000</v>
      </c>
      <c r="AD7859" s="28">
        <v>1725097000</v>
      </c>
      <c r="AE7859" s="28">
        <v>6689501000</v>
      </c>
      <c r="AF7859" s="28">
        <v>473236000</v>
      </c>
      <c r="AG7859" s="11"/>
    </row>
    <row r="7860">
      <c r="A7860" s="7" t="s">
        <v>9402</v>
      </c>
      <c r="B7860" s="5" t="s">
        <v>17319</v>
      </c>
      <c r="C7860" s="5" t="s">
        <v>20297</v>
      </c>
      <c r="D7860" s="5" t="str">
        <v>332902532773</v>
      </c>
      <c r="E7860" s="0" t="e">
        <f>+7 (495) 9807069
+7 (495) 9507060
+7 (495) 9807060
+7 (499) 9547517</f>
        <v>#NAME?</v>
      </c>
      <c r="F7860" s="5" t="s">
        <v>48060</v>
      </c>
      <c r="G7860" s="5" t="s">
        <v>48061</v>
      </c>
      <c r="H7860" s="26">
        <v>21</v>
      </c>
      <c r="I7860" s="5"/>
      <c r="J7860" s="5" t="s">
        <v>26552</v>
      </c>
      <c r="K7860" s="5" t="s">
        <v>344</v>
      </c>
      <c r="L7860" s="5" t="s">
        <v>48062</v>
      </c>
      <c r="M7860" s="27"/>
      <c r="N7860" s="5" t="s">
        <v>60984</v>
      </c>
      <c r="O7860" s="5" t="str">
        <v>7721144523</v>
      </c>
      <c r="P7860" s="27">
        <v>924000</v>
      </c>
      <c r="Q7860" s="5" t="s">
        <v>49009</v>
      </c>
      <c r="R7860" s="5"/>
      <c r="S7860" s="5" t="s">
        <v>49200</v>
      </c>
      <c r="T7860" s="28">
        <v>103094000</v>
      </c>
      <c r="U7860" s="28"/>
      <c r="V7860" s="28">
        <v>543024000</v>
      </c>
      <c r="W7860" s="28">
        <v>200000000</v>
      </c>
      <c r="X7860" s="28">
        <v>678767000</v>
      </c>
      <c r="Y7860" s="28">
        <v>2506221000</v>
      </c>
      <c r="Z7860" s="28">
        <v>2060044000</v>
      </c>
      <c r="AA7860" s="28"/>
      <c r="AB7860" s="28"/>
      <c r="AC7860" s="28">
        <v>445207000</v>
      </c>
      <c r="AD7860" s="28">
        <v>2061146000</v>
      </c>
      <c r="AE7860" s="28">
        <v>4301981000</v>
      </c>
      <c r="AF7860" s="28">
        <v>474397000</v>
      </c>
      <c r="AG7860" s="11"/>
    </row>
    <row r="7861">
      <c r="A7861" s="7" t="s">
        <v>9403</v>
      </c>
      <c r="B7861" s="5" t="s">
        <v>17320</v>
      </c>
      <c r="C7861" s="5" t="s">
        <v>24884</v>
      </c>
      <c r="D7861" s="5" t="str">
        <v>741108994636</v>
      </c>
      <c r="E7861" s="0" t="e">
        <f>+7 (495) 9835958
+7 (495) 9896469
+7 (915) 3015526
+7 (915) 4744284
+7 (985) 1107394</f>
        <v>#NAME?</v>
      </c>
      <c r="F7861" s="5"/>
      <c r="G7861" s="5"/>
      <c r="H7861" s="26">
        <v>10</v>
      </c>
      <c r="I7861" s="5" t="s">
        <v>48063</v>
      </c>
      <c r="J7861" s="5" t="s">
        <v>599</v>
      </c>
      <c r="K7861" s="5" t="s">
        <v>380</v>
      </c>
      <c r="L7861" s="5" t="s">
        <v>48064</v>
      </c>
      <c r="M7861" s="27">
        <v>2586890</v>
      </c>
      <c r="N7861" s="5"/>
      <c r="O7861" s="5" t="str">
        <v>7719843549</v>
      </c>
      <c r="P7861" s="27">
        <v>1000000</v>
      </c>
      <c r="Q7861" s="5" t="s">
        <v>49009</v>
      </c>
      <c r="R7861" s="5" t="s">
        <v>60985</v>
      </c>
      <c r="S7861" s="5" t="s">
        <v>49010</v>
      </c>
      <c r="T7861" s="28">
        <v>9124300000</v>
      </c>
      <c r="U7861" s="28">
        <v>431835000</v>
      </c>
      <c r="V7861" s="28">
        <v>336447000</v>
      </c>
      <c r="W7861" s="28">
        <v>1330500000</v>
      </c>
      <c r="X7861" s="28">
        <v>296063000</v>
      </c>
      <c r="Y7861" s="28">
        <v>13915753000</v>
      </c>
      <c r="Z7861" s="28">
        <v>1015385000</v>
      </c>
      <c r="AA7861" s="28">
        <v>230508000</v>
      </c>
      <c r="AB7861" s="28">
        <v>104895000</v>
      </c>
      <c r="AC7861" s="28">
        <v>4083183000</v>
      </c>
      <c r="AD7861" s="28">
        <v>1016385000</v>
      </c>
      <c r="AE7861" s="28">
        <v>5311358000</v>
      </c>
      <c r="AF7861" s="28">
        <v>182158000</v>
      </c>
      <c r="AG7861" s="11"/>
    </row>
    <row r="7862">
      <c r="A7862" s="7" t="s">
        <v>9403</v>
      </c>
      <c r="B7862" s="5" t="s">
        <v>17321</v>
      </c>
      <c r="C7862" s="5" t="s">
        <v>21071</v>
      </c>
      <c r="D7862" s="5"/>
      <c r="E7862" s="0" t="e">
        <f>+7 (495) 6638284
+7 (495) 7976802
+7 (499) 9037366
+7 (499) 9037372</f>
        <v>#NAME?</v>
      </c>
      <c r="F7862" s="5" t="s">
        <v>48065</v>
      </c>
      <c r="G7862" s="5" t="s">
        <v>48066</v>
      </c>
      <c r="H7862" s="26">
        <v>10</v>
      </c>
      <c r="I7862" s="5" t="s">
        <v>48067</v>
      </c>
      <c r="J7862" s="5" t="s">
        <v>33220</v>
      </c>
      <c r="K7862" s="5" t="s">
        <v>344</v>
      </c>
      <c r="L7862" s="5"/>
      <c r="M7862" s="27">
        <v>921339</v>
      </c>
      <c r="N7862" s="5" t="s">
        <v>60986</v>
      </c>
      <c r="O7862" s="5" t="str">
        <v>7734690939</v>
      </c>
      <c r="P7862" s="27">
        <v>40000</v>
      </c>
      <c r="Q7862" s="5" t="s">
        <v>60987</v>
      </c>
      <c r="R7862" s="5"/>
      <c r="S7862" s="5" t="s">
        <v>60988</v>
      </c>
      <c r="T7862" s="28">
        <v>999715000</v>
      </c>
      <c r="U7862" s="28">
        <v>15000</v>
      </c>
      <c r="V7862" s="28">
        <v>1813235000</v>
      </c>
      <c r="W7862" s="28">
        <v>2118486000</v>
      </c>
      <c r="X7862" s="28">
        <v>265476000</v>
      </c>
      <c r="Y7862" s="28">
        <v>5381345000</v>
      </c>
      <c r="Z7862" s="28">
        <v>684889000</v>
      </c>
      <c r="AA7862" s="28">
        <v>1363636000</v>
      </c>
      <c r="AB7862" s="28">
        <v>791142000</v>
      </c>
      <c r="AC7862" s="28">
        <v>2554346000</v>
      </c>
      <c r="AD7862" s="28">
        <v>684929000</v>
      </c>
      <c r="AE7862" s="28">
        <v>6237955000</v>
      </c>
      <c r="AF7862" s="28">
        <v>181787000</v>
      </c>
      <c r="AG7862" s="11"/>
    </row>
    <row r="7863">
      <c r="A7863" s="7" t="s">
        <v>9404</v>
      </c>
      <c r="B7863" s="5" t="s">
        <v>17322</v>
      </c>
      <c r="C7863" s="5" t="s">
        <v>24885</v>
      </c>
      <c r="D7863" s="5" t="str">
        <v>325201529651</v>
      </c>
      <c r="E7863" s="0" t="e">
        <f>+7 (495) 6636560
+7 (495) 9854777
+7 (495) 9854788
+7 (49644) 75689
+7 (498) 4837485
+7 (499) 4444727
+7 (499) 4444767
+7 (499) 7622244
+7 (800) 3330000
+7 (800) 5007276
+7 (800) 5117600
+7 (495) 5454115
+7 (49644) 47672
+7 (499) 4447672
+7 (800) 5117612</f>
        <v>#NAME?</v>
      </c>
      <c r="F7863" s="5" t="s">
        <v>48068</v>
      </c>
      <c r="G7863" s="5"/>
      <c r="H7863" s="26">
        <v>8</v>
      </c>
      <c r="I7863" s="5" t="s">
        <v>48069</v>
      </c>
      <c r="J7863" s="5" t="s">
        <v>930</v>
      </c>
      <c r="K7863" s="5" t="s">
        <v>344</v>
      </c>
      <c r="L7863" s="5"/>
      <c r="M7863" s="27"/>
      <c r="N7863" s="5" t="s">
        <v>60989</v>
      </c>
      <c r="O7863" s="5" t="str">
        <v>5047166554</v>
      </c>
      <c r="P7863" s="27">
        <v>10000</v>
      </c>
      <c r="Q7863" s="5" t="s">
        <v>49009</v>
      </c>
      <c r="R7863" s="5"/>
      <c r="S7863" s="5" t="s">
        <v>50290</v>
      </c>
      <c r="T7863" s="28">
        <v>107604000</v>
      </c>
      <c r="U7863" s="28"/>
      <c r="V7863" s="28">
        <v>843191000</v>
      </c>
      <c r="W7863" s="28"/>
      <c r="X7863" s="28">
        <v>112574000</v>
      </c>
      <c r="Y7863" s="28">
        <v>1093103000</v>
      </c>
      <c r="Z7863" s="28">
        <v>-53433000</v>
      </c>
      <c r="AA7863" s="28">
        <v>521013000</v>
      </c>
      <c r="AB7863" s="28">
        <v>121906000</v>
      </c>
      <c r="AC7863" s="28">
        <v>583064000</v>
      </c>
      <c r="AD7863" s="28">
        <v>-53423000</v>
      </c>
      <c r="AE7863" s="28">
        <v>3343019000</v>
      </c>
      <c r="AF7863" s="28">
        <v>83722000</v>
      </c>
      <c r="AG7863" s="11"/>
    </row>
    <row r="7864">
      <c r="A7864" s="7" t="s">
        <v>9405</v>
      </c>
      <c r="B7864" s="5" t="s">
        <v>17323</v>
      </c>
      <c r="C7864" s="5" t="s">
        <v>24886</v>
      </c>
      <c r="D7864" s="5" t="str">
        <v>505101261227</v>
      </c>
      <c r="E7864" s="0" t="e">
        <f>+7 (495) 1081299</f>
        <v>#NAME?</v>
      </c>
      <c r="F7864" s="5" t="s">
        <v>48070</v>
      </c>
      <c r="G7864" s="5"/>
      <c r="H7864" s="26">
        <v>4.5</v>
      </c>
      <c r="I7864" s="5" t="s">
        <v>48071</v>
      </c>
      <c r="J7864" s="5" t="s">
        <v>36847</v>
      </c>
      <c r="K7864" s="5" t="s">
        <v>344</v>
      </c>
      <c r="L7864" s="5" t="s">
        <v>48072</v>
      </c>
      <c r="M7864" s="27">
        <v>107828143</v>
      </c>
      <c r="N7864" s="5" t="s">
        <v>60990</v>
      </c>
      <c r="O7864" s="5" t="str">
        <v>7720432945</v>
      </c>
      <c r="P7864" s="27">
        <v>10000</v>
      </c>
      <c r="Q7864" s="5" t="s">
        <v>60991</v>
      </c>
      <c r="R7864" s="5" t="s">
        <v>60992</v>
      </c>
      <c r="S7864" s="5" t="s">
        <v>60993</v>
      </c>
      <c r="T7864" s="28">
        <v>6019970000</v>
      </c>
      <c r="U7864" s="28">
        <v>31344000</v>
      </c>
      <c r="V7864" s="28">
        <v>5060206000</v>
      </c>
      <c r="W7864" s="28">
        <v>3108957000</v>
      </c>
      <c r="X7864" s="28">
        <v>311000</v>
      </c>
      <c r="Y7864" s="28">
        <v>15494147000</v>
      </c>
      <c r="Z7864" s="28">
        <v>2784400000</v>
      </c>
      <c r="AA7864" s="28">
        <v>3672858000</v>
      </c>
      <c r="AB7864" s="28">
        <v>838093000</v>
      </c>
      <c r="AC7864" s="28">
        <v>4532221000</v>
      </c>
      <c r="AD7864" s="28">
        <v>2784410000</v>
      </c>
      <c r="AE7864" s="28">
        <v>10090663000</v>
      </c>
      <c r="AF7864" s="28">
        <v>169765000</v>
      </c>
      <c r="AG7864" s="11"/>
    </row>
    <row r="7865">
      <c r="A7865" s="7" t="s">
        <v>9406</v>
      </c>
      <c r="B7865" s="5" t="s">
        <v>17324</v>
      </c>
      <c r="C7865" s="5" t="s">
        <v>24887</v>
      </c>
      <c r="D7865" s="5" t="str">
        <v>550510640500</v>
      </c>
      <c r="E7865" s="0" t="e">
        <f>+7 (909) 9895588
+7 (495) 6385593</f>
        <v>#NAME?</v>
      </c>
      <c r="F7865" s="5" t="s">
        <v>48073</v>
      </c>
      <c r="G7865" s="5"/>
      <c r="H7865" s="26">
        <v>17.5</v>
      </c>
      <c r="I7865" s="5" t="s">
        <v>48074</v>
      </c>
      <c r="J7865" s="5" t="s">
        <v>678</v>
      </c>
      <c r="K7865" s="5" t="s">
        <v>344</v>
      </c>
      <c r="L7865" s="5"/>
      <c r="M7865" s="27"/>
      <c r="N7865" s="5" t="s">
        <v>60994</v>
      </c>
      <c r="O7865" s="5" t="str">
        <v>7743566977</v>
      </c>
      <c r="P7865" s="27">
        <v>10000</v>
      </c>
      <c r="Q7865" s="5" t="s">
        <v>60995</v>
      </c>
      <c r="R7865" s="5"/>
      <c r="S7865" s="5" t="s">
        <v>60996</v>
      </c>
      <c r="T7865" s="28">
        <v>13115000</v>
      </c>
      <c r="U7865" s="28"/>
      <c r="V7865" s="28">
        <v>392081000</v>
      </c>
      <c r="W7865" s="28">
        <v>5852000</v>
      </c>
      <c r="X7865" s="28">
        <v>20102000</v>
      </c>
      <c r="Y7865" s="28">
        <v>434380000</v>
      </c>
      <c r="Z7865" s="28">
        <v>104863000</v>
      </c>
      <c r="AA7865" s="28">
        <v>84678000</v>
      </c>
      <c r="AB7865" s="28">
        <v>139000</v>
      </c>
      <c r="AC7865" s="28">
        <v>232598000</v>
      </c>
      <c r="AD7865" s="28">
        <v>104873000</v>
      </c>
      <c r="AE7865" s="28">
        <v>4724078000</v>
      </c>
      <c r="AF7865" s="28">
        <v>104863000</v>
      </c>
      <c r="AG7865" s="11"/>
    </row>
    <row r="7866">
      <c r="A7866" s="7" t="s">
        <v>9407</v>
      </c>
      <c r="B7866" s="5" t="s">
        <v>17325</v>
      </c>
      <c r="C7866" s="5" t="s">
        <v>24888</v>
      </c>
      <c r="D7866" s="5" t="str">
        <v>236401824917</v>
      </c>
      <c r="E7866" s="0" t="e">
        <f>+7 (903) 1022102
+7 (916) 5935686</f>
        <v>#NAME?</v>
      </c>
      <c r="F7866" s="5" t="s">
        <v>48075</v>
      </c>
      <c r="G7866" s="5"/>
      <c r="H7866" s="26">
        <v>5</v>
      </c>
      <c r="I7866" s="5" t="s">
        <v>48076</v>
      </c>
      <c r="J7866" s="5" t="s">
        <v>26125</v>
      </c>
      <c r="K7866" s="5" t="s">
        <v>380</v>
      </c>
      <c r="L7866" s="5" t="s">
        <v>48077</v>
      </c>
      <c r="M7866" s="27"/>
      <c r="N7866" s="5"/>
      <c r="O7866" s="5" t="str">
        <v>5041207162</v>
      </c>
      <c r="P7866" s="27">
        <v>50000</v>
      </c>
      <c r="Q7866" s="5" t="s">
        <v>49579</v>
      </c>
      <c r="R7866" s="5"/>
      <c r="S7866" s="5" t="s">
        <v>60997</v>
      </c>
      <c r="T7866" s="28">
        <v>68693000</v>
      </c>
      <c r="U7866" s="28"/>
      <c r="V7866" s="28">
        <v>411316000</v>
      </c>
      <c r="W7866" s="28"/>
      <c r="X7866" s="28">
        <v>6728000</v>
      </c>
      <c r="Y7866" s="28">
        <v>1383781000</v>
      </c>
      <c r="Z7866" s="28">
        <v>234066000</v>
      </c>
      <c r="AA7866" s="28">
        <v>338500000</v>
      </c>
      <c r="AB7866" s="28">
        <v>53493000</v>
      </c>
      <c r="AC7866" s="28">
        <v>761860000</v>
      </c>
      <c r="AD7866" s="28">
        <v>234116000</v>
      </c>
      <c r="AE7866" s="28">
        <v>5227092000</v>
      </c>
      <c r="AF7866" s="28">
        <v>89911000</v>
      </c>
      <c r="AG7866" s="11"/>
    </row>
    <row r="7867">
      <c r="A7867" s="7" t="s">
        <v>9408</v>
      </c>
      <c r="B7867" s="5" t="s">
        <v>17326</v>
      </c>
      <c r="C7867" s="5" t="s">
        <v>24889</v>
      </c>
      <c r="D7867" s="5" t="str">
        <v>504810145661</v>
      </c>
      <c r="E7867" s="0" t="e">
        <f>+7 (495) 7717424</f>
        <v>#NAME?</v>
      </c>
      <c r="F7867" s="5"/>
      <c r="G7867" s="5"/>
      <c r="H7867" s="26">
        <v>11</v>
      </c>
      <c r="I7867" s="5" t="s">
        <v>48078</v>
      </c>
      <c r="J7867" s="5" t="s">
        <v>27497</v>
      </c>
      <c r="K7867" s="5" t="s">
        <v>355</v>
      </c>
      <c r="L7867" s="5" t="s">
        <v>48079</v>
      </c>
      <c r="M7867" s="27"/>
      <c r="N7867" s="5"/>
      <c r="O7867" s="5" t="str">
        <v>7731417709</v>
      </c>
      <c r="P7867" s="27">
        <v>1000000</v>
      </c>
      <c r="Q7867" s="5" t="s">
        <v>49009</v>
      </c>
      <c r="R7867" s="5"/>
      <c r="S7867" s="5" t="s">
        <v>49576</v>
      </c>
      <c r="T7867" s="28">
        <v>1325497000</v>
      </c>
      <c r="U7867" s="28">
        <v>2412100000</v>
      </c>
      <c r="V7867" s="28">
        <v>3360959000</v>
      </c>
      <c r="W7867" s="28">
        <v>267405000</v>
      </c>
      <c r="X7867" s="28">
        <v>138037000</v>
      </c>
      <c r="Y7867" s="28">
        <v>9506372000</v>
      </c>
      <c r="Z7867" s="28">
        <v>1280306000</v>
      </c>
      <c r="AA7867" s="28"/>
      <c r="AB7867" s="28">
        <v>1153385000</v>
      </c>
      <c r="AC7867" s="28">
        <v>6400064000</v>
      </c>
      <c r="AD7867" s="28">
        <v>3089116000</v>
      </c>
      <c r="AE7867" s="28">
        <v>16869722000</v>
      </c>
      <c r="AF7867" s="28">
        <v>388255000</v>
      </c>
      <c r="AG7867" s="11"/>
    </row>
    <row r="7868">
      <c r="A7868" s="7" t="s">
        <v>9409</v>
      </c>
      <c r="B7868" s="5" t="s">
        <v>17327</v>
      </c>
      <c r="C7868" s="5" t="s">
        <v>17901</v>
      </c>
      <c r="D7868" s="5"/>
      <c r="E7868" s="0" t="e">
        <f>+7 (473) 2620244
+7 (920) 4057350</f>
        <v>#NAME?</v>
      </c>
      <c r="F7868" s="5" t="s">
        <v>48080</v>
      </c>
      <c r="G7868" s="5" t="s">
        <v>26117</v>
      </c>
      <c r="H7868" s="26">
        <v>6.5</v>
      </c>
      <c r="I7868" s="5" t="s">
        <v>26118</v>
      </c>
      <c r="J7868" s="5" t="s">
        <v>26057</v>
      </c>
      <c r="K7868" s="5" t="s">
        <v>344</v>
      </c>
      <c r="L7868" s="5"/>
      <c r="M7868" s="27"/>
      <c r="N7868" s="5"/>
      <c r="O7868" s="5" t="str">
        <v>3662235120</v>
      </c>
      <c r="P7868" s="27">
        <v>10000</v>
      </c>
      <c r="Q7868" s="5" t="s">
        <v>49688</v>
      </c>
      <c r="R7868" s="5"/>
      <c r="S7868" s="5" t="s">
        <v>60998</v>
      </c>
      <c r="T7868" s="28">
        <v>2042903000</v>
      </c>
      <c r="U7868" s="28"/>
      <c r="V7868" s="28">
        <v>2904138000</v>
      </c>
      <c r="W7868" s="28"/>
      <c r="X7868" s="28">
        <v>329366000</v>
      </c>
      <c r="Y7868" s="28">
        <v>7983603000</v>
      </c>
      <c r="Z7868" s="28">
        <v>66008000</v>
      </c>
      <c r="AA7868" s="28">
        <v>1781975000</v>
      </c>
      <c r="AB7868" s="28">
        <v>2579808000</v>
      </c>
      <c r="AC7868" s="28">
        <v>5737090000</v>
      </c>
      <c r="AD7868" s="28">
        <v>531271000</v>
      </c>
      <c r="AE7868" s="28">
        <v>11803362000</v>
      </c>
      <c r="AF7868" s="28">
        <v>683000</v>
      </c>
      <c r="AG7868" s="11"/>
    </row>
    <row r="7869">
      <c r="A7869" s="7" t="s">
        <v>9410</v>
      </c>
      <c r="B7869" s="5" t="s">
        <v>17328</v>
      </c>
      <c r="C7869" s="5" t="s">
        <v>21184</v>
      </c>
      <c r="D7869" s="5"/>
      <c r="E7869" s="0" t="e">
        <f>+7 (473) 2622605
+7 (473) 2679777
+7 (916) 380752</f>
        <v>#NAME?</v>
      </c>
      <c r="F7869" s="5"/>
      <c r="G7869" s="5"/>
      <c r="H7869" s="26">
        <v>5.5</v>
      </c>
      <c r="I7869" s="5" t="s">
        <v>44562</v>
      </c>
      <c r="J7869" s="5" t="s">
        <v>26482</v>
      </c>
      <c r="K7869" s="5" t="s">
        <v>344</v>
      </c>
      <c r="L7869" s="5"/>
      <c r="M7869" s="27"/>
      <c r="N7869" s="5" t="s">
        <v>52780</v>
      </c>
      <c r="O7869" s="5" t="str">
        <v>3602011855</v>
      </c>
      <c r="P7869" s="27">
        <v>100000</v>
      </c>
      <c r="Q7869" s="5" t="s">
        <v>60999</v>
      </c>
      <c r="R7869" s="5"/>
      <c r="S7869" s="5" t="s">
        <v>55368</v>
      </c>
      <c r="T7869" s="28">
        <v>1961716000</v>
      </c>
      <c r="U7869" s="28"/>
      <c r="V7869" s="28">
        <v>2050513000</v>
      </c>
      <c r="W7869" s="28">
        <v>2000000</v>
      </c>
      <c r="X7869" s="28">
        <v>825000</v>
      </c>
      <c r="Y7869" s="28">
        <v>4543850000</v>
      </c>
      <c r="Z7869" s="28">
        <v>11640000</v>
      </c>
      <c r="AA7869" s="28">
        <v>1015289000</v>
      </c>
      <c r="AB7869" s="28">
        <v>335000000</v>
      </c>
      <c r="AC7869" s="28">
        <v>2494021000</v>
      </c>
      <c r="AD7869" s="28">
        <v>803229000</v>
      </c>
      <c r="AE7869" s="28">
        <v>5645071000</v>
      </c>
      <c r="AF7869" s="28">
        <v>2846000</v>
      </c>
      <c r="AG7869" s="11"/>
    </row>
    <row r="7870">
      <c r="A7870" s="7" t="s">
        <v>9411</v>
      </c>
      <c r="B7870" s="5" t="s">
        <v>16110</v>
      </c>
      <c r="C7870" s="5" t="s">
        <v>20053</v>
      </c>
      <c r="D7870" s="5"/>
      <c r="E7870" s="0" t="e">
        <f>+7 (4712) 392661
+7 (4712) 392662
+7 (4712) 748582
+7 (4712) 748583
+7 (4712) 748584
+7 (473) 2536382
+7 (473) 2536388
+7 (495) 9330032
+7 (800) 7009751
+7 (906) 5878259</f>
        <v>#NAME?</v>
      </c>
      <c r="F7870" s="5" t="s">
        <v>48081</v>
      </c>
      <c r="G7870" s="5" t="s">
        <v>48082</v>
      </c>
      <c r="H7870" s="26">
        <v>19</v>
      </c>
      <c r="I7870" s="5" t="s">
        <v>48083</v>
      </c>
      <c r="J7870" s="5" t="s">
        <v>25837</v>
      </c>
      <c r="K7870" s="5" t="s">
        <v>380</v>
      </c>
      <c r="L7870" s="5"/>
      <c r="M7870" s="27">
        <v>464400</v>
      </c>
      <c r="N7870" s="5" t="s">
        <v>61000</v>
      </c>
      <c r="O7870" s="5" t="str">
        <v>5032111150</v>
      </c>
      <c r="P7870" s="27">
        <v>100000</v>
      </c>
      <c r="Q7870" s="5" t="s">
        <v>49057</v>
      </c>
      <c r="R7870" s="5" t="s">
        <v>61001</v>
      </c>
      <c r="S7870" s="5" t="s">
        <v>50671</v>
      </c>
      <c r="T7870" s="28">
        <v>84180000</v>
      </c>
      <c r="U7870" s="28"/>
      <c r="V7870" s="28">
        <v>9435858000</v>
      </c>
      <c r="W7870" s="28">
        <v>17375213000</v>
      </c>
      <c r="X7870" s="28">
        <v>64548000</v>
      </c>
      <c r="Y7870" s="28">
        <v>27494298000</v>
      </c>
      <c r="Z7870" s="28">
        <v>-8007000</v>
      </c>
      <c r="AA7870" s="28"/>
      <c r="AB7870" s="28">
        <v>996955000</v>
      </c>
      <c r="AC7870" s="28">
        <v>27393110000</v>
      </c>
      <c r="AD7870" s="28">
        <v>-7907000</v>
      </c>
      <c r="AE7870" s="28">
        <v>27327267000</v>
      </c>
      <c r="AF7870" s="28">
        <v>63889000</v>
      </c>
      <c r="AG7870" s="11"/>
    </row>
    <row r="7871">
      <c r="A7871" s="7" t="s">
        <v>9412</v>
      </c>
      <c r="B7871" s="5" t="s">
        <v>17329</v>
      </c>
      <c r="C7871" s="5" t="s">
        <v>24890</v>
      </c>
      <c r="D7871" s="5"/>
      <c r="E7871" s="0" t="e">
        <f>+7 (964) 7677653
+7 (48431) 56505
+7 (495) 9330031
+7 (495) 9330032
+7 (495) 9330034
+7 (495) 9330037
+7 (8332) 375825
+7 (915) 4858952</f>
        <v>#NAME?</v>
      </c>
      <c r="F7871" s="5" t="s">
        <v>48084</v>
      </c>
      <c r="G7871" s="5" t="s">
        <v>48085</v>
      </c>
      <c r="H7871" s="26">
        <v>19.5</v>
      </c>
      <c r="I7871" s="5" t="s">
        <v>48086</v>
      </c>
      <c r="J7871" s="5" t="s">
        <v>897</v>
      </c>
      <c r="K7871" s="5" t="s">
        <v>344</v>
      </c>
      <c r="L7871" s="5" t="s">
        <v>48087</v>
      </c>
      <c r="M7871" s="27"/>
      <c r="N7871" s="5" t="s">
        <v>61002</v>
      </c>
      <c r="O7871" s="5" t="str">
        <v>7730174059</v>
      </c>
      <c r="P7871" s="27">
        <v>720100000</v>
      </c>
      <c r="Q7871" s="5" t="s">
        <v>61003</v>
      </c>
      <c r="R7871" s="5"/>
      <c r="S7871" s="5" t="s">
        <v>61004</v>
      </c>
      <c r="T7871" s="28">
        <v>1118579000</v>
      </c>
      <c r="U7871" s="28">
        <v>1290000</v>
      </c>
      <c r="V7871" s="28">
        <v>3108207000</v>
      </c>
      <c r="W7871" s="28">
        <v>413629000</v>
      </c>
      <c r="X7871" s="28">
        <v>16082000</v>
      </c>
      <c r="Y7871" s="28">
        <v>6659274000</v>
      </c>
      <c r="Z7871" s="28">
        <v>1906816000</v>
      </c>
      <c r="AA7871" s="28"/>
      <c r="AB7871" s="28">
        <v>2954410000</v>
      </c>
      <c r="AC7871" s="28">
        <v>3971978000</v>
      </c>
      <c r="AD7871" s="28">
        <v>2626916000</v>
      </c>
      <c r="AE7871" s="28">
        <v>8011807000</v>
      </c>
      <c r="AF7871" s="28">
        <v>759853000</v>
      </c>
      <c r="AG7871" s="11"/>
    </row>
    <row r="7872">
      <c r="A7872" s="7" t="s">
        <v>9413</v>
      </c>
      <c r="B7872" s="5" t="s">
        <v>17330</v>
      </c>
      <c r="C7872" s="5" t="s">
        <v>24890</v>
      </c>
      <c r="D7872" s="5"/>
      <c r="E7872" s="0" t="e">
        <f>+7 (964) 7677653
+7 (473) 2536388
+7 (473) 2536855
+7 (473) 2538635
+7 (473) 2598798
+7 (47391) 49911</f>
        <v>#NAME?</v>
      </c>
      <c r="F7872" s="5"/>
      <c r="G7872" s="5"/>
      <c r="H7872" s="26">
        <v>21</v>
      </c>
      <c r="I7872" s="5" t="s">
        <v>48088</v>
      </c>
      <c r="J7872" s="5" t="s">
        <v>25842</v>
      </c>
      <c r="K7872" s="5" t="s">
        <v>344</v>
      </c>
      <c r="L7872" s="5" t="s">
        <v>48089</v>
      </c>
      <c r="M7872" s="27"/>
      <c r="N7872" s="5"/>
      <c r="O7872" s="5" t="str">
        <v>3666095515</v>
      </c>
      <c r="P7872" s="27">
        <v>387000000</v>
      </c>
      <c r="Q7872" s="5" t="s">
        <v>61005</v>
      </c>
      <c r="R7872" s="5"/>
      <c r="S7872" s="5" t="s">
        <v>61006</v>
      </c>
      <c r="T7872" s="28">
        <v>657405000</v>
      </c>
      <c r="U7872" s="28"/>
      <c r="V7872" s="28">
        <v>1389057000</v>
      </c>
      <c r="W7872" s="28">
        <v>674832000</v>
      </c>
      <c r="X7872" s="28">
        <v>28770000</v>
      </c>
      <c r="Y7872" s="28">
        <v>3859644000</v>
      </c>
      <c r="Z7872" s="28">
        <v>2047258000</v>
      </c>
      <c r="AA7872" s="28"/>
      <c r="AB7872" s="28">
        <v>580554000</v>
      </c>
      <c r="AC7872" s="28">
        <v>1247080000</v>
      </c>
      <c r="AD7872" s="28">
        <v>2594258000</v>
      </c>
      <c r="AE7872" s="28">
        <v>4781172000</v>
      </c>
      <c r="AF7872" s="28">
        <v>588162000</v>
      </c>
      <c r="AG7872" s="11"/>
    </row>
    <row r="7873">
      <c r="A7873" s="7" t="s">
        <v>9414</v>
      </c>
      <c r="B7873" s="5" t="s">
        <v>16110</v>
      </c>
      <c r="C7873" s="5" t="s">
        <v>20053</v>
      </c>
      <c r="D7873" s="5"/>
      <c r="E7873" s="0" t="e">
        <f>+7 (47391) 21198
+7 (47391) 65337
+7 (47391) 65338
+7 (47391) 98138
+7 (47391) 98346
+7 (920) 4221128
+7 (920) 4241661
+7 (930) 4003351</f>
        <v>#NAME?</v>
      </c>
      <c r="F7873" s="5" t="s">
        <v>48090</v>
      </c>
      <c r="G7873" s="5"/>
      <c r="H7873" s="26">
        <v>21.5</v>
      </c>
      <c r="I7873" s="5" t="s">
        <v>48091</v>
      </c>
      <c r="J7873" s="5" t="s">
        <v>25895</v>
      </c>
      <c r="K7873" s="5" t="s">
        <v>344</v>
      </c>
      <c r="L7873" s="5" t="s">
        <v>48092</v>
      </c>
      <c r="M7873" s="27">
        <v>69964</v>
      </c>
      <c r="N7873" s="5" t="s">
        <v>61007</v>
      </c>
      <c r="O7873" s="5" t="str">
        <v>5032070546</v>
      </c>
      <c r="P7873" s="27">
        <v>1805352813</v>
      </c>
      <c r="Q7873" s="5"/>
      <c r="R7873" s="5"/>
      <c r="S7873" s="5" t="s">
        <v>49425</v>
      </c>
      <c r="T7873" s="28">
        <v>28908977000</v>
      </c>
      <c r="U7873" s="28">
        <v>5989000</v>
      </c>
      <c r="V7873" s="28">
        <v>15063309000</v>
      </c>
      <c r="W7873" s="28">
        <v>132033000</v>
      </c>
      <c r="X7873" s="28">
        <v>18311000</v>
      </c>
      <c r="Y7873" s="28">
        <v>48962586000</v>
      </c>
      <c r="Z7873" s="28">
        <v>9914620000</v>
      </c>
      <c r="AA7873" s="28">
        <v>17405619000</v>
      </c>
      <c r="AB7873" s="28">
        <v>12181789000</v>
      </c>
      <c r="AC7873" s="28">
        <v>16120705000</v>
      </c>
      <c r="AD7873" s="28">
        <v>12079213000</v>
      </c>
      <c r="AE7873" s="28">
        <v>24113469000</v>
      </c>
      <c r="AF7873" s="28">
        <v>4884474000</v>
      </c>
      <c r="AG7873" s="11"/>
    </row>
    <row r="7874">
      <c r="A7874" s="7" t="s">
        <v>9415</v>
      </c>
      <c r="B7874" s="5" t="s">
        <v>17331</v>
      </c>
      <c r="C7874" s="5" t="s">
        <v>24890</v>
      </c>
      <c r="D7874" s="5"/>
      <c r="E7874" s="0" t="e">
        <f>+7 (964) 7677653
+7 (383) 2929650
+7 (383) 3049788
+7 (383) 3251223
+7 (38357) 41901
+7 (38357) 42545
+7 (38357) 42675
+7 (495) 3251225</f>
        <v>#NAME?</v>
      </c>
      <c r="F7874" s="5" t="s">
        <v>48093</v>
      </c>
      <c r="G7874" s="5" t="s">
        <v>48085</v>
      </c>
      <c r="H7874" s="26">
        <v>21</v>
      </c>
      <c r="I7874" s="5" t="s">
        <v>48094</v>
      </c>
      <c r="J7874" s="5" t="s">
        <v>25842</v>
      </c>
      <c r="K7874" s="5" t="s">
        <v>344</v>
      </c>
      <c r="L7874" s="5" t="s">
        <v>48095</v>
      </c>
      <c r="M7874" s="27">
        <v>1462287</v>
      </c>
      <c r="N7874" s="5" t="s">
        <v>61009</v>
      </c>
      <c r="O7874" s="5" t="str">
        <v>5410141519</v>
      </c>
      <c r="P7874" s="27">
        <v>350010000</v>
      </c>
      <c r="Q7874" s="5" t="s">
        <v>61010</v>
      </c>
      <c r="R7874" s="5"/>
      <c r="S7874" s="5" t="s">
        <v>61011</v>
      </c>
      <c r="T7874" s="28">
        <v>501353000</v>
      </c>
      <c r="U7874" s="28"/>
      <c r="V7874" s="28">
        <v>1208665000</v>
      </c>
      <c r="W7874" s="28">
        <v>1066475000</v>
      </c>
      <c r="X7874" s="28">
        <v>52039000</v>
      </c>
      <c r="Y7874" s="28">
        <v>4376501000</v>
      </c>
      <c r="Z7874" s="28">
        <v>1650442000</v>
      </c>
      <c r="AA7874" s="28"/>
      <c r="AB7874" s="28">
        <v>1681626000</v>
      </c>
      <c r="AC7874" s="28">
        <v>2313497000</v>
      </c>
      <c r="AD7874" s="28">
        <v>2017319000</v>
      </c>
      <c r="AE7874" s="28">
        <v>7067698000</v>
      </c>
      <c r="AF7874" s="28">
        <v>837543000</v>
      </c>
      <c r="AG7874" s="11"/>
    </row>
    <row r="7875">
      <c r="A7875" s="7" t="s">
        <v>9416</v>
      </c>
      <c r="B7875" s="5" t="s">
        <v>17332</v>
      </c>
      <c r="C7875" s="5" t="s">
        <v>24891</v>
      </c>
      <c r="D7875" s="5" t="str">
        <v>550318638400</v>
      </c>
      <c r="E7875" s="0" t="e">
        <f>+7 (900) 6776760</f>
        <v>#NAME?</v>
      </c>
      <c r="F7875" s="5" t="s">
        <v>48096</v>
      </c>
      <c r="G7875" s="5"/>
      <c r="H7875" s="26">
        <v>4</v>
      </c>
      <c r="I7875" s="5" t="s">
        <v>48097</v>
      </c>
      <c r="J7875" s="5" t="s">
        <v>678</v>
      </c>
      <c r="K7875" s="5" t="s">
        <v>344</v>
      </c>
      <c r="L7875" s="5" t="s">
        <v>48098</v>
      </c>
      <c r="M7875" s="27"/>
      <c r="N7875" s="5"/>
      <c r="O7875" s="5" t="str">
        <v>7203470893</v>
      </c>
      <c r="P7875" s="27">
        <v>100000</v>
      </c>
      <c r="Q7875" s="5" t="s">
        <v>49009</v>
      </c>
      <c r="R7875" s="5"/>
      <c r="S7875" s="5" t="s">
        <v>49010</v>
      </c>
      <c r="T7875" s="28">
        <v>817000</v>
      </c>
      <c r="U7875" s="28"/>
      <c r="V7875" s="28">
        <v>652869000</v>
      </c>
      <c r="W7875" s="28"/>
      <c r="X7875" s="28">
        <v>5000</v>
      </c>
      <c r="Y7875" s="28">
        <v>653711000</v>
      </c>
      <c r="Z7875" s="28">
        <v>32080000</v>
      </c>
      <c r="AA7875" s="28"/>
      <c r="AB7875" s="28">
        <v>411160000</v>
      </c>
      <c r="AC7875" s="28">
        <v>621530000</v>
      </c>
      <c r="AD7875" s="28">
        <v>32180000</v>
      </c>
      <c r="AE7875" s="28">
        <v>3551996000</v>
      </c>
      <c r="AF7875" s="28">
        <v>889000</v>
      </c>
      <c r="AG7875" s="11"/>
    </row>
    <row r="7876">
      <c r="A7876" s="7" t="s">
        <v>9417</v>
      </c>
      <c r="B7876" s="5" t="s">
        <v>17333</v>
      </c>
      <c r="C7876" s="5" t="s">
        <v>24892</v>
      </c>
      <c r="D7876" s="5" t="str">
        <v>032304505920</v>
      </c>
      <c r="E7876" s="0" t="e">
        <f>+7 (3022) 350522
+7 (30244) 26999
+7 (902) 5655315
+7 (914) 5077050</f>
        <v>#NAME?</v>
      </c>
      <c r="F7876" s="5" t="s">
        <v>31139</v>
      </c>
      <c r="G7876" s="5"/>
      <c r="H7876" s="26">
        <v>6</v>
      </c>
      <c r="I7876" s="5" t="s">
        <v>48099</v>
      </c>
      <c r="J7876" s="5" t="s">
        <v>25219</v>
      </c>
      <c r="K7876" s="5" t="s">
        <v>344</v>
      </c>
      <c r="L7876" s="5" t="s">
        <v>48100</v>
      </c>
      <c r="M7876" s="27">
        <v>1104641</v>
      </c>
      <c r="N7876" s="5"/>
      <c r="O7876" s="5" t="str">
        <v>7536162870</v>
      </c>
      <c r="P7876" s="27">
        <v>50000</v>
      </c>
      <c r="Q7876" s="5"/>
      <c r="R7876" s="5"/>
      <c r="S7876" s="5" t="s">
        <v>49110</v>
      </c>
      <c r="T7876" s="28">
        <v>7400000</v>
      </c>
      <c r="U7876" s="28"/>
      <c r="V7876" s="28">
        <v>41704000</v>
      </c>
      <c r="W7876" s="28">
        <v>146838000</v>
      </c>
      <c r="X7876" s="28">
        <v>140055000</v>
      </c>
      <c r="Y7876" s="28">
        <v>478990000</v>
      </c>
      <c r="Z7876" s="28">
        <v>283284000</v>
      </c>
      <c r="AA7876" s="28"/>
      <c r="AB7876" s="28">
        <v>1971000</v>
      </c>
      <c r="AC7876" s="28">
        <v>195656000</v>
      </c>
      <c r="AD7876" s="28">
        <v>283334000</v>
      </c>
      <c r="AE7876" s="28">
        <v>3246012000</v>
      </c>
      <c r="AF7876" s="28">
        <v>158197000</v>
      </c>
      <c r="AG7876" s="11"/>
    </row>
    <row r="7877">
      <c r="A7877" s="7" t="s">
        <v>9418</v>
      </c>
      <c r="B7877" s="5" t="s">
        <v>17334</v>
      </c>
      <c r="C7877" s="5" t="s">
        <v>24893</v>
      </c>
      <c r="D7877" s="5" t="str">
        <v>683300400500</v>
      </c>
      <c r="E7877" s="0" t="e">
        <f>+7 (475) 2624300
+7 (475) 2714574
+7 (475) 2715578
+7 (475) 2715695
+7 (475) 2724053
+7 (475) 2728027
+7 (475) 2750764</f>
        <v>#NAME?</v>
      </c>
      <c r="F7877" s="5" t="s">
        <v>48101</v>
      </c>
      <c r="G7877" s="5" t="s">
        <v>48102</v>
      </c>
      <c r="H7877" s="26">
        <v>17</v>
      </c>
      <c r="I7877" s="5" t="s">
        <v>48103</v>
      </c>
      <c r="J7877" s="5" t="s">
        <v>25812</v>
      </c>
      <c r="K7877" s="5" t="s">
        <v>344</v>
      </c>
      <c r="L7877" s="5" t="s">
        <v>48104</v>
      </c>
      <c r="M7877" s="27"/>
      <c r="N7877" s="5" t="s">
        <v>61012</v>
      </c>
      <c r="O7877" s="5" t="str">
        <v>6829020539</v>
      </c>
      <c r="P7877" s="27">
        <v>199480000</v>
      </c>
      <c r="Q7877" s="5"/>
      <c r="R7877" s="5"/>
      <c r="S7877" s="5" t="s">
        <v>49425</v>
      </c>
      <c r="T7877" s="28">
        <v>872022000</v>
      </c>
      <c r="U7877" s="28">
        <v>2525000</v>
      </c>
      <c r="V7877" s="28">
        <v>985406000</v>
      </c>
      <c r="W7877" s="28">
        <v>6344000</v>
      </c>
      <c r="X7877" s="28">
        <v>82714000</v>
      </c>
      <c r="Y7877" s="28">
        <v>4798289000</v>
      </c>
      <c r="Z7877" s="28">
        <v>1934514000</v>
      </c>
      <c r="AA7877" s="28">
        <v>700718000</v>
      </c>
      <c r="AB7877" s="28">
        <v>1326111000</v>
      </c>
      <c r="AC7877" s="28">
        <v>1953603000</v>
      </c>
      <c r="AD7877" s="28">
        <v>2202071000</v>
      </c>
      <c r="AE7877" s="28">
        <v>6361659000</v>
      </c>
      <c r="AF7877" s="28">
        <v>298709000</v>
      </c>
      <c r="AG7877" s="11"/>
    </row>
    <row r="7878">
      <c r="A7878" s="7" t="s">
        <v>9419</v>
      </c>
      <c r="B7878" s="5" t="s">
        <v>17335</v>
      </c>
      <c r="C7878" s="5" t="s">
        <v>24894</v>
      </c>
      <c r="D7878" s="5" t="str">
        <v>771552667871</v>
      </c>
      <c r="E7878" s="0" t="e">
        <f>+7 (495) 7716859
+7 (918) 3459540</f>
        <v>#NAME?</v>
      </c>
      <c r="F7878" s="5" t="s">
        <v>48105</v>
      </c>
      <c r="G7878" s="5" t="s">
        <v>48106</v>
      </c>
      <c r="H7878" s="26">
        <v>14</v>
      </c>
      <c r="I7878" s="5" t="s">
        <v>48107</v>
      </c>
      <c r="J7878" s="5" t="s">
        <v>678</v>
      </c>
      <c r="K7878" s="5" t="s">
        <v>344</v>
      </c>
      <c r="L7878" s="5" t="s">
        <v>48108</v>
      </c>
      <c r="M7878" s="27"/>
      <c r="N7878" s="5"/>
      <c r="O7878" s="5" t="str">
        <v>7714760673</v>
      </c>
      <c r="P7878" s="27">
        <v>1000000</v>
      </c>
      <c r="Q7878" s="5" t="s">
        <v>61013</v>
      </c>
      <c r="R7878" s="5"/>
      <c r="S7878" s="5" t="s">
        <v>61014</v>
      </c>
      <c r="T7878" s="28">
        <v>38000</v>
      </c>
      <c r="U7878" s="28"/>
      <c r="V7878" s="28">
        <v>170797000</v>
      </c>
      <c r="W7878" s="28"/>
      <c r="X7878" s="28">
        <v>19921000</v>
      </c>
      <c r="Y7878" s="28">
        <v>532998000</v>
      </c>
      <c r="Z7878" s="28">
        <v>195262000</v>
      </c>
      <c r="AA7878" s="28"/>
      <c r="AB7878" s="28">
        <v>60000000</v>
      </c>
      <c r="AC7878" s="28">
        <v>336736000</v>
      </c>
      <c r="AD7878" s="28">
        <v>196262000</v>
      </c>
      <c r="AE7878" s="28">
        <v>3305978000</v>
      </c>
      <c r="AF7878" s="28">
        <v>243190000</v>
      </c>
      <c r="AG7878" s="11"/>
    </row>
    <row r="7879">
      <c r="A7879" s="7" t="s">
        <v>9420</v>
      </c>
      <c r="B7879" s="5" t="s">
        <v>17336</v>
      </c>
      <c r="C7879" s="5" t="s">
        <v>17901</v>
      </c>
      <c r="D7879" s="5"/>
      <c r="E7879" s="0" t="e">
        <f>+7 (473) 2620244
+7 (915) 5854774
+7 (920) 4082328</f>
        <v>#NAME?</v>
      </c>
      <c r="F7879" s="5" t="s">
        <v>48109</v>
      </c>
      <c r="G7879" s="5"/>
      <c r="H7879" s="26">
        <v>5</v>
      </c>
      <c r="I7879" s="5" t="s">
        <v>48110</v>
      </c>
      <c r="J7879" s="5" t="s">
        <v>841</v>
      </c>
      <c r="K7879" s="5" t="s">
        <v>344</v>
      </c>
      <c r="L7879" s="5" t="s">
        <v>48111</v>
      </c>
      <c r="M7879" s="27"/>
      <c r="N7879" s="5"/>
      <c r="O7879" s="5" t="str">
        <v>3664232935</v>
      </c>
      <c r="P7879" s="27">
        <v>10000</v>
      </c>
      <c r="Q7879" s="5"/>
      <c r="R7879" s="5"/>
      <c r="S7879" s="5" t="s">
        <v>49029</v>
      </c>
      <c r="T7879" s="28">
        <v>1671073000</v>
      </c>
      <c r="U7879" s="28"/>
      <c r="V7879" s="28">
        <v>498030000</v>
      </c>
      <c r="W7879" s="28"/>
      <c r="X7879" s="28">
        <v>9136000</v>
      </c>
      <c r="Y7879" s="28">
        <v>4929476000</v>
      </c>
      <c r="Z7879" s="28">
        <v>1316290000</v>
      </c>
      <c r="AA7879" s="28">
        <v>788542000</v>
      </c>
      <c r="AB7879" s="28">
        <v>1767292000</v>
      </c>
      <c r="AC7879" s="28">
        <v>2175453000</v>
      </c>
      <c r="AD7879" s="28">
        <v>1316300000</v>
      </c>
      <c r="AE7879" s="28">
        <v>3791985000</v>
      </c>
      <c r="AF7879" s="28">
        <v>585741000</v>
      </c>
      <c r="AG7879" s="11"/>
    </row>
    <row r="7880">
      <c r="A7880" s="7" t="s">
        <v>9421</v>
      </c>
      <c r="B7880" s="5" t="s">
        <v>17337</v>
      </c>
      <c r="C7880" s="5" t="s">
        <v>24895</v>
      </c>
      <c r="D7880" s="5" t="str">
        <v>482400949261</v>
      </c>
      <c r="E7880" s="0" t="e">
        <f>+7 (474) 2288611
+7 (474) 2370890
+7 (474) 2379498
+7 (474) 2727218
+7 (474) 2746474
+7 (903) 6439498</f>
        <v>#NAME?</v>
      </c>
      <c r="F7880" s="5" t="s">
        <v>48112</v>
      </c>
      <c r="G7880" s="5" t="s">
        <v>48113</v>
      </c>
      <c r="H7880" s="26">
        <v>12</v>
      </c>
      <c r="I7880" s="5" t="s">
        <v>48114</v>
      </c>
      <c r="J7880" s="5" t="s">
        <v>29158</v>
      </c>
      <c r="K7880" s="5"/>
      <c r="L7880" s="5"/>
      <c r="M7880" s="27"/>
      <c r="N7880" s="5" t="s">
        <v>61015</v>
      </c>
      <c r="O7880" s="5" t="str">
        <v>4813014007</v>
      </c>
      <c r="P7880" s="27">
        <v>30000</v>
      </c>
      <c r="Q7880" s="5" t="s">
        <v>49009</v>
      </c>
      <c r="R7880" s="5"/>
      <c r="S7880" s="5" t="s">
        <v>51151</v>
      </c>
      <c r="T7880" s="28">
        <v>440707000</v>
      </c>
      <c r="U7880" s="28">
        <v>400454000</v>
      </c>
      <c r="V7880" s="28">
        <v>2890658000</v>
      </c>
      <c r="W7880" s="28"/>
      <c r="X7880" s="28">
        <v>1185225000</v>
      </c>
      <c r="Y7880" s="28">
        <v>5485861000</v>
      </c>
      <c r="Z7880" s="28">
        <v>215708000</v>
      </c>
      <c r="AA7880" s="28"/>
      <c r="AB7880" s="28">
        <v>377215000</v>
      </c>
      <c r="AC7880" s="28">
        <v>4690225000</v>
      </c>
      <c r="AD7880" s="28">
        <v>795551000</v>
      </c>
      <c r="AE7880" s="28">
        <v>12068301000</v>
      </c>
      <c r="AF7880" s="28">
        <v>141213000</v>
      </c>
      <c r="AG7880" s="11"/>
    </row>
    <row r="7881">
      <c r="A7881" s="7" t="s">
        <v>9422</v>
      </c>
      <c r="B7881" s="5" t="s">
        <v>17338</v>
      </c>
      <c r="C7881" s="5" t="s">
        <v>24896</v>
      </c>
      <c r="D7881" s="5" t="str">
        <v>720204938502</v>
      </c>
      <c r="E7881" s="0" t="e">
        <f>+7 (345) 2430504
+7 (345) 2434614
+7 (345) 2456459
+7 (345) 2568459
+7 (345) 2568460
+7 (345) 2568479
+7 (345) 2568839
+7 (961) 2000227</f>
        <v>#NAME?</v>
      </c>
      <c r="F7881" s="5" t="s">
        <v>48115</v>
      </c>
      <c r="G7881" s="5" t="s">
        <v>48116</v>
      </c>
      <c r="H7881" s="26">
        <v>5.5</v>
      </c>
      <c r="I7881" s="5" t="s">
        <v>48117</v>
      </c>
      <c r="J7881" s="5" t="s">
        <v>25946</v>
      </c>
      <c r="K7881" s="5" t="s">
        <v>344</v>
      </c>
      <c r="L7881" s="5"/>
      <c r="M7881" s="27"/>
      <c r="N7881" s="5"/>
      <c r="O7881" s="5" t="str">
        <v>7203422628</v>
      </c>
      <c r="P7881" s="27">
        <v>110000</v>
      </c>
      <c r="Q7881" s="5" t="s">
        <v>49009</v>
      </c>
      <c r="R7881" s="5"/>
      <c r="S7881" s="5" t="s">
        <v>49010</v>
      </c>
      <c r="T7881" s="28">
        <v>125000</v>
      </c>
      <c r="U7881" s="28"/>
      <c r="V7881" s="28">
        <v>31370000</v>
      </c>
      <c r="W7881" s="28"/>
      <c r="X7881" s="28">
        <v>5063000</v>
      </c>
      <c r="Y7881" s="28">
        <v>685414000</v>
      </c>
      <c r="Z7881" s="28">
        <v>60545000</v>
      </c>
      <c r="AA7881" s="28"/>
      <c r="AB7881" s="28"/>
      <c r="AC7881" s="28">
        <v>624579000</v>
      </c>
      <c r="AD7881" s="28">
        <v>62436000</v>
      </c>
      <c r="AE7881" s="28">
        <v>3627581000</v>
      </c>
      <c r="AF7881" s="28">
        <v>48637000</v>
      </c>
      <c r="AG7881" s="11"/>
    </row>
    <row r="7882">
      <c r="A7882" s="7" t="s">
        <v>9423</v>
      </c>
      <c r="B7882" s="5" t="s">
        <v>17339</v>
      </c>
      <c r="C7882" s="5" t="s">
        <v>24897</v>
      </c>
      <c r="D7882" s="5" t="str">
        <v>661901671882</v>
      </c>
      <c r="E7882" s="0" t="e">
        <f>+7 (3463) 237030
+7 (381) 2352666
+7 (346) 1223534
+7 (346) 1227891
+7 (3463) 223534
+7 (3463) 237035
+7 (3467) 125595</f>
        <v>#NAME?</v>
      </c>
      <c r="F7882" s="5" t="s">
        <v>48118</v>
      </c>
      <c r="G7882" s="5" t="s">
        <v>48119</v>
      </c>
      <c r="H7882" s="26">
        <v>24</v>
      </c>
      <c r="I7882" s="5"/>
      <c r="J7882" s="5" t="s">
        <v>930</v>
      </c>
      <c r="K7882" s="5" t="s">
        <v>344</v>
      </c>
      <c r="L7882" s="5"/>
      <c r="M7882" s="27">
        <v>49000</v>
      </c>
      <c r="N7882" s="5" t="s">
        <v>61016</v>
      </c>
      <c r="O7882" s="5" t="str">
        <v>8619008017</v>
      </c>
      <c r="P7882" s="27">
        <v>10000</v>
      </c>
      <c r="Q7882" s="5" t="s">
        <v>61017</v>
      </c>
      <c r="R7882" s="5"/>
      <c r="S7882" s="5" t="s">
        <v>50521</v>
      </c>
      <c r="T7882" s="28">
        <v>1214772000</v>
      </c>
      <c r="U7882" s="28">
        <v>1500000</v>
      </c>
      <c r="V7882" s="28">
        <v>6227995000</v>
      </c>
      <c r="W7882" s="28">
        <v>70172000</v>
      </c>
      <c r="X7882" s="28">
        <v>255502000</v>
      </c>
      <c r="Y7882" s="28">
        <v>8868391000</v>
      </c>
      <c r="Z7882" s="28">
        <v>1800584000</v>
      </c>
      <c r="AA7882" s="28"/>
      <c r="AB7882" s="28"/>
      <c r="AC7882" s="28">
        <v>7057742000</v>
      </c>
      <c r="AD7882" s="28">
        <v>1800594000</v>
      </c>
      <c r="AE7882" s="28">
        <v>9465763000</v>
      </c>
      <c r="AF7882" s="28">
        <v>135624000</v>
      </c>
      <c r="AG7882" s="11"/>
    </row>
    <row r="7883">
      <c r="A7883" s="7" t="s">
        <v>9424</v>
      </c>
      <c r="B7883" s="5" t="s">
        <v>17340</v>
      </c>
      <c r="C7883" s="5" t="s">
        <v>24898</v>
      </c>
      <c r="D7883" s="5" t="str">
        <v>312007227739</v>
      </c>
      <c r="E7883" s="0" t="e">
        <f>+7 (903) 9619360
+7 (985) 7251295</f>
        <v>#NAME?</v>
      </c>
      <c r="F7883" s="5" t="s">
        <v>48120</v>
      </c>
      <c r="G7883" s="5"/>
      <c r="H7883" s="26">
        <v>1.5</v>
      </c>
      <c r="I7883" s="5" t="s">
        <v>48121</v>
      </c>
      <c r="J7883" s="5" t="s">
        <v>36847</v>
      </c>
      <c r="K7883" s="5" t="s">
        <v>344</v>
      </c>
      <c r="L7883" s="5"/>
      <c r="M7883" s="27"/>
      <c r="N7883" s="5" t="s">
        <v>61018</v>
      </c>
      <c r="O7883" s="5" t="str">
        <v>7726479121</v>
      </c>
      <c r="P7883" s="27">
        <v>10000</v>
      </c>
      <c r="Q7883" s="5" t="s">
        <v>1130</v>
      </c>
      <c r="R7883" s="5"/>
      <c r="S7883" s="5" t="s">
        <v>61020</v>
      </c>
      <c r="T7883" s="28">
        <v>49000</v>
      </c>
      <c r="U7883" s="28"/>
      <c r="V7883" s="28">
        <v>690286000</v>
      </c>
      <c r="W7883" s="28">
        <v>160000000</v>
      </c>
      <c r="X7883" s="28">
        <v>339000</v>
      </c>
      <c r="Y7883" s="28">
        <v>855566000</v>
      </c>
      <c r="Z7883" s="28">
        <v>541256000</v>
      </c>
      <c r="AA7883" s="28"/>
      <c r="AB7883" s="28"/>
      <c r="AC7883" s="28">
        <v>314220000</v>
      </c>
      <c r="AD7883" s="28">
        <v>541266000</v>
      </c>
      <c r="AE7883" s="28">
        <v>3189778000</v>
      </c>
      <c r="AF7883" s="28">
        <v>542708000</v>
      </c>
      <c r="AG7883" s="11"/>
    </row>
    <row r="7884">
      <c r="A7884" s="7" t="s">
        <v>9425</v>
      </c>
      <c r="B7884" s="5" t="s">
        <v>17341</v>
      </c>
      <c r="C7884" s="5" t="s">
        <v>24899</v>
      </c>
      <c r="D7884" s="5" t="str">
        <v>732898081452</v>
      </c>
      <c r="E7884" s="0" t="e">
        <f>+7 (495) 7816875
+7 (499) 7816847
+7 (499) 7816875
+7 (846) 2011062
+7 (846) 2075171
+7 (846) 3210409
+7 (846) 9300647
+7 (84622) 20312
+7 (84622) 22233
+7 (84622) 48792
+7 (84622) 97677
+7 (84626) 50212
+7 (84627) 82598
+7 (84630) 30064
+7 (800) 3012942</f>
        <v>#NAME?</v>
      </c>
      <c r="F7884" s="5" t="s">
        <v>48122</v>
      </c>
      <c r="G7884" s="5" t="s">
        <v>48123</v>
      </c>
      <c r="H7884" s="26">
        <v>10</v>
      </c>
      <c r="I7884" s="5" t="s">
        <v>48124</v>
      </c>
      <c r="J7884" s="5" t="s">
        <v>33220</v>
      </c>
      <c r="K7884" s="5" t="s">
        <v>380</v>
      </c>
      <c r="L7884" s="5"/>
      <c r="M7884" s="27">
        <v>100869607</v>
      </c>
      <c r="N7884" s="5" t="s">
        <v>61021</v>
      </c>
      <c r="O7884" s="5" t="str">
        <v>6316186232</v>
      </c>
      <c r="P7884" s="27">
        <v>186060</v>
      </c>
      <c r="Q7884" s="5" t="s">
        <v>61022</v>
      </c>
      <c r="R7884" s="5" t="s">
        <v>52004</v>
      </c>
      <c r="S7884" s="5" t="s">
        <v>49747</v>
      </c>
      <c r="T7884" s="28">
        <v>97581000</v>
      </c>
      <c r="U7884" s="28"/>
      <c r="V7884" s="28">
        <v>3703471000</v>
      </c>
      <c r="W7884" s="28"/>
      <c r="X7884" s="28">
        <v>29376000</v>
      </c>
      <c r="Y7884" s="28">
        <v>4097215000</v>
      </c>
      <c r="Z7884" s="28">
        <v>-294041000</v>
      </c>
      <c r="AA7884" s="28"/>
      <c r="AB7884" s="28">
        <v>34965000</v>
      </c>
      <c r="AC7884" s="28">
        <v>4218926000</v>
      </c>
      <c r="AD7884" s="28">
        <v>-66855000</v>
      </c>
      <c r="AE7884" s="28">
        <v>5378543000</v>
      </c>
      <c r="AF7884" s="28">
        <v>-223763000</v>
      </c>
      <c r="AG7884" s="11"/>
    </row>
    <row r="7885">
      <c r="A7885" s="7" t="s">
        <v>9426</v>
      </c>
      <c r="B7885" s="5" t="s">
        <v>17342</v>
      </c>
      <c r="C7885" s="5" t="s">
        <v>24900</v>
      </c>
      <c r="D7885" s="5" t="str">
        <v>772737528008</v>
      </c>
      <c r="E7885" s="0" t="e">
        <f>+7 (495) 30027
+7 (495) 1234567
+7 (495) 1504203
+7 (495) 1504303
+7 (495) 1504305
+7 (495) 1504309
+7 (495) 1504343
+7 (495) 4521811
+7 (495) 6636560
+7 (495) 6928960
+7 (495) 2384000
+7 (495) 3833679
+7 (495) 3847818
+7 (495) 4658966
+7 (495) 6556557</f>
        <v>#NAME?</v>
      </c>
      <c r="F7885" s="5" t="s">
        <v>48125</v>
      </c>
      <c r="G7885" s="5" t="s">
        <v>48126</v>
      </c>
      <c r="H7885" s="26">
        <v>29.5</v>
      </c>
      <c r="I7885" s="5"/>
      <c r="J7885" s="5" t="s">
        <v>930</v>
      </c>
      <c r="K7885" s="5" t="s">
        <v>344</v>
      </c>
      <c r="L7885" s="5"/>
      <c r="M7885" s="27">
        <v>1460360</v>
      </c>
      <c r="N7885" s="5" t="s">
        <v>61023</v>
      </c>
      <c r="O7885" s="5" t="str">
        <v>7706043312</v>
      </c>
      <c r="P7885" s="27">
        <v>1247387001</v>
      </c>
      <c r="Q7885" s="5" t="s">
        <v>61024</v>
      </c>
      <c r="R7885" s="5" t="s">
        <v>61025</v>
      </c>
      <c r="S7885" s="5" t="s">
        <v>61026</v>
      </c>
      <c r="T7885" s="28">
        <v>8094799000</v>
      </c>
      <c r="U7885" s="28">
        <v>6232597000</v>
      </c>
      <c r="V7885" s="28">
        <v>3847612000</v>
      </c>
      <c r="W7885" s="28"/>
      <c r="X7885" s="28">
        <v>1697771000</v>
      </c>
      <c r="Y7885" s="28">
        <v>28408823000</v>
      </c>
      <c r="Z7885" s="28">
        <v>-316311000</v>
      </c>
      <c r="AA7885" s="28"/>
      <c r="AB7885" s="28"/>
      <c r="AC7885" s="28">
        <v>4315611000</v>
      </c>
      <c r="AD7885" s="28">
        <v>16669332000</v>
      </c>
      <c r="AE7885" s="28">
        <v>31346716000</v>
      </c>
      <c r="AF7885" s="28">
        <v>-1007136000</v>
      </c>
      <c r="AG7885" s="11"/>
    </row>
    <row r="7886">
      <c r="A7886" s="7" t="s">
        <v>9427</v>
      </c>
      <c r="B7886" s="5" t="s">
        <v>17343</v>
      </c>
      <c r="C7886" s="5" t="s">
        <v>24901</v>
      </c>
      <c r="D7886" s="5" t="str">
        <v>771518026067</v>
      </c>
      <c r="E7886" s="0" t="e">
        <f>+7 (495) 2584546
+7 (499) 2384934
+7 (800) 6005522
+7 (861) 2018582
+7 (861) 2018944
+7 (861) 2018989
+7 (861) 2018999
+7 (861) 2048999
+7 (861) 2241267
+7 (861) 2241983
+7 (861) 2686459
+7 (86146) 21985
+7 (86146) 44612
+7 (86148) 38179
+7 (495) 9601435</f>
        <v>#NAME?</v>
      </c>
      <c r="F7886" s="5" t="s">
        <v>48127</v>
      </c>
      <c r="G7886" s="5"/>
      <c r="H7886" s="26">
        <v>12.5</v>
      </c>
      <c r="I7886" s="5" t="s">
        <v>48128</v>
      </c>
      <c r="J7886" s="5" t="s">
        <v>29035</v>
      </c>
      <c r="K7886" s="5" t="s">
        <v>344</v>
      </c>
      <c r="L7886" s="5" t="s">
        <v>47739</v>
      </c>
      <c r="M7886" s="27"/>
      <c r="N7886" s="5" t="s">
        <v>61027</v>
      </c>
      <c r="O7886" s="5" t="str">
        <v>5026014960</v>
      </c>
      <c r="P7886" s="27">
        <v>100000</v>
      </c>
      <c r="Q7886" s="5" t="s">
        <v>61028</v>
      </c>
      <c r="R7886" s="5"/>
      <c r="S7886" s="5" t="s">
        <v>61029</v>
      </c>
      <c r="T7886" s="28">
        <v>29886000</v>
      </c>
      <c r="U7886" s="28"/>
      <c r="V7886" s="28">
        <v>1908422000</v>
      </c>
      <c r="W7886" s="28">
        <v>237197000</v>
      </c>
      <c r="X7886" s="28">
        <v>122830000</v>
      </c>
      <c r="Y7886" s="28">
        <v>2332901000</v>
      </c>
      <c r="Z7886" s="28">
        <v>21504000</v>
      </c>
      <c r="AA7886" s="28"/>
      <c r="AB7886" s="28"/>
      <c r="AC7886" s="28">
        <v>2126758000</v>
      </c>
      <c r="AD7886" s="28">
        <v>185140000</v>
      </c>
      <c r="AE7886" s="28">
        <v>4201279000</v>
      </c>
      <c r="AF7886" s="28">
        <v>3928000</v>
      </c>
      <c r="AG7886" s="11"/>
    </row>
    <row r="7887">
      <c r="A7887" s="7" t="s">
        <v>9428</v>
      </c>
      <c r="B7887" s="5" t="s">
        <v>17344</v>
      </c>
      <c r="C7887" s="5" t="s">
        <v>24902</v>
      </c>
      <c r="D7887" s="5" t="str">
        <v>424400219630</v>
      </c>
      <c r="E7887" s="0" t="e">
        <f>+7 (3512) 684315
+7 (495) 1819487
+7 (969) 188410
+7 (495) 7831367</f>
        <v>#NAME?</v>
      </c>
      <c r="F7887" s="5" t="s">
        <v>48129</v>
      </c>
      <c r="G7887" s="5" t="s">
        <v>48130</v>
      </c>
      <c r="H7887" s="26">
        <v>4.5</v>
      </c>
      <c r="I7887" s="5" t="s">
        <v>48131</v>
      </c>
      <c r="J7887" s="5" t="s">
        <v>27712</v>
      </c>
      <c r="K7887" s="5" t="s">
        <v>344</v>
      </c>
      <c r="L7887" s="5" t="s">
        <v>48132</v>
      </c>
      <c r="M7887" s="27"/>
      <c r="N7887" s="5" t="s">
        <v>61030</v>
      </c>
      <c r="O7887" s="5" t="str">
        <v>9701123977</v>
      </c>
      <c r="P7887" s="27">
        <v>10000</v>
      </c>
      <c r="Q7887" s="5" t="s">
        <v>61031</v>
      </c>
      <c r="R7887" s="5"/>
      <c r="S7887" s="5" t="s">
        <v>50936</v>
      </c>
      <c r="T7887" s="28">
        <v>97716000</v>
      </c>
      <c r="U7887" s="28"/>
      <c r="V7887" s="28">
        <v>557576000</v>
      </c>
      <c r="W7887" s="28">
        <v>50000000</v>
      </c>
      <c r="X7887" s="28">
        <v>81521000</v>
      </c>
      <c r="Y7887" s="28">
        <v>1279588000</v>
      </c>
      <c r="Z7887" s="28">
        <v>360326000</v>
      </c>
      <c r="AA7887" s="28"/>
      <c r="AB7887" s="28"/>
      <c r="AC7887" s="28">
        <v>912010000</v>
      </c>
      <c r="AD7887" s="28">
        <v>360336000</v>
      </c>
      <c r="AE7887" s="28">
        <v>3061516000</v>
      </c>
      <c r="AF7887" s="28">
        <v>280561000</v>
      </c>
      <c r="AG7887" s="11"/>
    </row>
    <row r="7888">
      <c r="A7888" s="7" t="s">
        <v>9429</v>
      </c>
      <c r="B7888" s="5" t="s">
        <v>17345</v>
      </c>
      <c r="C7888" s="5" t="s">
        <v>24903</v>
      </c>
      <c r="D7888" s="5" t="str">
        <v>860401040473</v>
      </c>
      <c r="E7888" s="0" t="e">
        <f>+7 (346) 1238221
+7 (3461) 452800
+7 (3461) 462541
+7 (3461) 462544
+7 (3461) 834610
+7 (3463) 452800
+7 (3463) 462541
+7 (3463) 462544</f>
        <v>#NAME?</v>
      </c>
      <c r="F7888" s="5" t="s">
        <v>48133</v>
      </c>
      <c r="G7888" s="5" t="s">
        <v>48134</v>
      </c>
      <c r="H7888" s="26">
        <v>28.5</v>
      </c>
      <c r="I7888" s="5" t="s">
        <v>48135</v>
      </c>
      <c r="J7888" s="5" t="s">
        <v>26799</v>
      </c>
      <c r="K7888" s="5" t="s">
        <v>344</v>
      </c>
      <c r="L7888" s="5" t="s">
        <v>48136</v>
      </c>
      <c r="M7888" s="27">
        <v>1106100</v>
      </c>
      <c r="N7888" s="5" t="s">
        <v>52997</v>
      </c>
      <c r="O7888" s="5" t="str">
        <v>8612003852</v>
      </c>
      <c r="P7888" s="27">
        <v>10000</v>
      </c>
      <c r="Q7888" s="5" t="s">
        <v>61033</v>
      </c>
      <c r="R7888" s="5"/>
      <c r="S7888" s="5" t="s">
        <v>49998</v>
      </c>
      <c r="T7888" s="28">
        <v>3927429000</v>
      </c>
      <c r="U7888" s="28"/>
      <c r="V7888" s="28">
        <v>4973780000</v>
      </c>
      <c r="W7888" s="28"/>
      <c r="X7888" s="28">
        <v>159075000</v>
      </c>
      <c r="Y7888" s="28">
        <v>9793125000</v>
      </c>
      <c r="Z7888" s="28">
        <v>4445502000</v>
      </c>
      <c r="AA7888" s="28"/>
      <c r="AB7888" s="28">
        <v>264746000</v>
      </c>
      <c r="AC7888" s="28">
        <v>3785954000</v>
      </c>
      <c r="AD7888" s="28">
        <v>4445513000</v>
      </c>
      <c r="AE7888" s="28">
        <v>17459115000</v>
      </c>
      <c r="AF7888" s="28">
        <v>2562739000</v>
      </c>
      <c r="AG7888" s="11"/>
    </row>
    <row r="7889">
      <c r="A7889" s="7" t="s">
        <v>9429</v>
      </c>
      <c r="B7889" s="5" t="s">
        <v>17346</v>
      </c>
      <c r="C7889" s="5" t="s">
        <v>24904</v>
      </c>
      <c r="D7889" s="5" t="str">
        <v>402810807735</v>
      </c>
      <c r="E7889" s="0" t="e">
        <f>+7 (960) 8913333
+7 (844) 2600001
+7 (844) 7762135</f>
        <v>#NAME?</v>
      </c>
      <c r="F7889" s="5" t="s">
        <v>48137</v>
      </c>
      <c r="G7889" s="5"/>
      <c r="H7889" s="26">
        <v>16</v>
      </c>
      <c r="I7889" s="5" t="s">
        <v>48138</v>
      </c>
      <c r="J7889" s="5" t="s">
        <v>555</v>
      </c>
      <c r="K7889" s="5" t="s">
        <v>355</v>
      </c>
      <c r="L7889" s="5" t="s">
        <v>48139</v>
      </c>
      <c r="M7889" s="27"/>
      <c r="N7889" s="5"/>
      <c r="O7889" s="5" t="str">
        <v>3426011960</v>
      </c>
      <c r="P7889" s="27">
        <v>142959000</v>
      </c>
      <c r="Q7889" s="5" t="s">
        <v>447</v>
      </c>
      <c r="R7889" s="5"/>
      <c r="S7889" s="5" t="s">
        <v>61034</v>
      </c>
      <c r="T7889" s="28">
        <v>1127472000</v>
      </c>
      <c r="U7889" s="28"/>
      <c r="V7889" s="28">
        <v>152259000</v>
      </c>
      <c r="W7889" s="28"/>
      <c r="X7889" s="28">
        <v>323000</v>
      </c>
      <c r="Y7889" s="28">
        <v>1452762000</v>
      </c>
      <c r="Z7889" s="28">
        <v>107210000</v>
      </c>
      <c r="AA7889" s="28">
        <v>501791000</v>
      </c>
      <c r="AB7889" s="28"/>
      <c r="AC7889" s="28">
        <v>43946000</v>
      </c>
      <c r="AD7889" s="28">
        <v>273199000</v>
      </c>
      <c r="AE7889" s="28">
        <v>4871051000</v>
      </c>
      <c r="AF7889" s="28">
        <v>72328000</v>
      </c>
      <c r="AG7889" s="11"/>
    </row>
    <row r="7890">
      <c r="A7890" s="7" t="s">
        <v>9430</v>
      </c>
      <c r="B7890" s="5" t="s">
        <v>17347</v>
      </c>
      <c r="C7890" s="5" t="s">
        <v>24905</v>
      </c>
      <c r="D7890" s="5" t="str">
        <v>482561549874</v>
      </c>
      <c r="E7890" s="0" t="e">
        <f>+7 (495) 1379737
+7 (495) 2583428
+7 (495) 7495137
+7 (912) 7914778
+7 (915) 1525542
+7 (915) 1527746
+7 (922) 6099956
+7 (495) 1379337
+7 (495) 1379397
+7 (915) 1527745
+7 (915) 2924002
+7 (925) 1407508</f>
        <v>#NAME?</v>
      </c>
      <c r="F7890" s="5" t="s">
        <v>48140</v>
      </c>
      <c r="G7890" s="5" t="s">
        <v>48141</v>
      </c>
      <c r="H7890" s="26">
        <v>6.5</v>
      </c>
      <c r="I7890" s="5" t="s">
        <v>48142</v>
      </c>
      <c r="J7890" s="5" t="s">
        <v>25429</v>
      </c>
      <c r="K7890" s="5" t="s">
        <v>344</v>
      </c>
      <c r="L7890" s="5" t="s">
        <v>48143</v>
      </c>
      <c r="M7890" s="27">
        <v>4313</v>
      </c>
      <c r="N7890" s="5" t="s">
        <v>61035</v>
      </c>
      <c r="O7890" s="5" t="str">
        <v>2607013100</v>
      </c>
      <c r="P7890" s="27">
        <v>10000</v>
      </c>
      <c r="Q7890" s="5" t="s">
        <v>61036</v>
      </c>
      <c r="R7890" s="5"/>
      <c r="S7890" s="5" t="s">
        <v>61037</v>
      </c>
      <c r="T7890" s="28">
        <v>1982000</v>
      </c>
      <c r="U7890" s="28"/>
      <c r="V7890" s="28">
        <v>1260201000</v>
      </c>
      <c r="W7890" s="28">
        <v>95000</v>
      </c>
      <c r="X7890" s="28">
        <v>3418000</v>
      </c>
      <c r="Y7890" s="28">
        <v>2026609000</v>
      </c>
      <c r="Z7890" s="28">
        <v>323696000</v>
      </c>
      <c r="AA7890" s="28">
        <v>8000000</v>
      </c>
      <c r="AB7890" s="28">
        <v>302000</v>
      </c>
      <c r="AC7890" s="28">
        <v>1692668000</v>
      </c>
      <c r="AD7890" s="28">
        <v>323706000</v>
      </c>
      <c r="AE7890" s="28">
        <v>6634888000</v>
      </c>
      <c r="AF7890" s="28">
        <v>28712000</v>
      </c>
      <c r="AG7890" s="11"/>
    </row>
    <row r="7891">
      <c r="A7891" s="7" t="s">
        <v>9431</v>
      </c>
      <c r="B7891" s="5" t="s">
        <v>17348</v>
      </c>
      <c r="C7891" s="5" t="s">
        <v>24906</v>
      </c>
      <c r="D7891" s="5" t="str">
        <v>344311534951</v>
      </c>
      <c r="E7891" s="0" t="e">
        <f>+7 (495) 4879594
+7 (499) 3439289
+7 (800) 7000508
+7 (800) 7005007
+7 (800) 7070500
+7 (800) 7070504
+7 (800) 7070580
+7 (800) 7070597
+7 (800) 7070805
+7 (800) 7074050
+7 (800) 7707050
+7 (800) 7070808
+7 (844) 2358739
+7 (8443) 215435
+7 (851) 2238158</f>
        <v>#NAME?</v>
      </c>
      <c r="F7891" s="5" t="s">
        <v>48144</v>
      </c>
      <c r="G7891" s="5"/>
      <c r="H7891" s="26">
        <v>13</v>
      </c>
      <c r="I7891" s="5" t="s">
        <v>48145</v>
      </c>
      <c r="J7891" s="5" t="s">
        <v>930</v>
      </c>
      <c r="K7891" s="5" t="s">
        <v>380</v>
      </c>
      <c r="L7891" s="5"/>
      <c r="M7891" s="27">
        <v>15328479</v>
      </c>
      <c r="N7891" s="5" t="s">
        <v>61038</v>
      </c>
      <c r="O7891" s="5" t="str">
        <v>3444177534</v>
      </c>
      <c r="P7891" s="27">
        <v>6010000</v>
      </c>
      <c r="Q7891" s="5" t="s">
        <v>58162</v>
      </c>
      <c r="R7891" s="5"/>
      <c r="S7891" s="5" t="s">
        <v>61039</v>
      </c>
      <c r="T7891" s="28">
        <v>1215241000</v>
      </c>
      <c r="U7891" s="28"/>
      <c r="V7891" s="28">
        <v>914127000</v>
      </c>
      <c r="W7891" s="28">
        <v>794868000</v>
      </c>
      <c r="X7891" s="28">
        <v>28067000</v>
      </c>
      <c r="Y7891" s="28">
        <v>3606798000</v>
      </c>
      <c r="Z7891" s="28">
        <v>56605000</v>
      </c>
      <c r="AA7891" s="28">
        <v>1204322000</v>
      </c>
      <c r="AB7891" s="28"/>
      <c r="AC7891" s="28">
        <v>1977214000</v>
      </c>
      <c r="AD7891" s="28">
        <v>62615000</v>
      </c>
      <c r="AE7891" s="28">
        <v>3714993000</v>
      </c>
      <c r="AF7891" s="28">
        <v>1294000</v>
      </c>
      <c r="AG7891" s="11"/>
    </row>
    <row r="7892">
      <c r="A7892" s="7" t="s">
        <v>9432</v>
      </c>
      <c r="B7892" s="5" t="s">
        <v>17145</v>
      </c>
      <c r="C7892" s="5"/>
      <c r="D7892" s="5"/>
      <c r="E7892" s="0" t="e">
        <f>+7 (499) 9752143
+7 (495) 9374747
+7 (495) 7831188
+7 (499) 7669553</f>
        <v>#NAME?</v>
      </c>
      <c r="F7892" s="5" t="s">
        <v>48146</v>
      </c>
      <c r="G7892" s="5" t="s">
        <v>48147</v>
      </c>
      <c r="H7892" s="26">
        <v>11.5</v>
      </c>
      <c r="I7892" s="5"/>
      <c r="J7892" s="5" t="s">
        <v>48148</v>
      </c>
      <c r="K7892" s="5" t="s">
        <v>355</v>
      </c>
      <c r="L7892" s="5"/>
      <c r="M7892" s="27">
        <v>292921242</v>
      </c>
      <c r="N7892" s="5" t="s">
        <v>61040</v>
      </c>
      <c r="O7892" s="5" t="str">
        <v>7704792651</v>
      </c>
      <c r="P7892" s="27">
        <v>105277973000</v>
      </c>
      <c r="Q7892" s="5" t="s">
        <v>61041</v>
      </c>
      <c r="R7892" s="5"/>
      <c r="S7892" s="5" t="s">
        <v>49032</v>
      </c>
      <c r="T7892" s="28">
        <v>418850000</v>
      </c>
      <c r="U7892" s="28">
        <v>142949948000</v>
      </c>
      <c r="V7892" s="28">
        <v>5204773000</v>
      </c>
      <c r="W7892" s="28">
        <v>28277892000</v>
      </c>
      <c r="X7892" s="28">
        <v>1733621000</v>
      </c>
      <c r="Y7892" s="28">
        <v>180787795000</v>
      </c>
      <c r="Z7892" s="28">
        <v>16077497000</v>
      </c>
      <c r="AA7892" s="28"/>
      <c r="AB7892" s="28"/>
      <c r="AC7892" s="28">
        <v>50241359000</v>
      </c>
      <c r="AD7892" s="28">
        <v>129936175000</v>
      </c>
      <c r="AE7892" s="28">
        <v>4216912000</v>
      </c>
      <c r="AF7892" s="28">
        <v>3177266000</v>
      </c>
      <c r="AG7892" s="11"/>
    </row>
    <row r="7893">
      <c r="A7893" s="7" t="s">
        <v>9433</v>
      </c>
      <c r="B7893" s="5" t="s">
        <v>17349</v>
      </c>
      <c r="C7893" s="5" t="s">
        <v>24907</v>
      </c>
      <c r="D7893" s="5" t="str">
        <v>771596472615</v>
      </c>
      <c r="E7893" s="0" t="e">
        <f>+7 (495) 7893919
+7 (800) 5550892</f>
        <v>#NAME?</v>
      </c>
      <c r="F7893" s="5" t="s">
        <v>48149</v>
      </c>
      <c r="G7893" s="5" t="s">
        <v>48150</v>
      </c>
      <c r="H7893" s="26">
        <v>14.5</v>
      </c>
      <c r="I7893" s="5" t="s">
        <v>48151</v>
      </c>
      <c r="J7893" s="5" t="s">
        <v>26511</v>
      </c>
      <c r="K7893" s="5" t="s">
        <v>344</v>
      </c>
      <c r="L7893" s="5" t="s">
        <v>48152</v>
      </c>
      <c r="M7893" s="27"/>
      <c r="N7893" s="5"/>
      <c r="O7893" s="5" t="str">
        <v>7728671631</v>
      </c>
      <c r="P7893" s="27">
        <v>700000</v>
      </c>
      <c r="Q7893" s="5"/>
      <c r="R7893" s="5"/>
      <c r="S7893" s="5" t="s">
        <v>49029</v>
      </c>
      <c r="T7893" s="28">
        <v>54614000</v>
      </c>
      <c r="U7893" s="28">
        <v>10000000</v>
      </c>
      <c r="V7893" s="28">
        <v>522278000</v>
      </c>
      <c r="W7893" s="28"/>
      <c r="X7893" s="28">
        <v>62459000</v>
      </c>
      <c r="Y7893" s="28">
        <v>1421336000</v>
      </c>
      <c r="Z7893" s="28">
        <v>1231047000</v>
      </c>
      <c r="AA7893" s="28"/>
      <c r="AB7893" s="28"/>
      <c r="AC7893" s="28">
        <v>187918000</v>
      </c>
      <c r="AD7893" s="28">
        <v>1231747000</v>
      </c>
      <c r="AE7893" s="28">
        <v>4338234000</v>
      </c>
      <c r="AF7893" s="28">
        <v>443694000</v>
      </c>
      <c r="AG7893" s="11"/>
    </row>
    <row r="7894">
      <c r="A7894" s="7" t="s">
        <v>9434</v>
      </c>
      <c r="B7894" s="5" t="s">
        <v>17350</v>
      </c>
      <c r="C7894" s="5" t="s">
        <v>24908</v>
      </c>
      <c r="D7894" s="5" t="str">
        <v>772393559090</v>
      </c>
      <c r="E7894" s="0" t="e">
        <f>+7 (495) 1233481
+7 (495) 7868562
+7 (926) 3713199</f>
        <v>#NAME?</v>
      </c>
      <c r="F7894" s="5"/>
      <c r="G7894" s="5"/>
      <c r="H7894" s="26">
        <v>6</v>
      </c>
      <c r="I7894" s="5" t="s">
        <v>48153</v>
      </c>
      <c r="J7894" s="5" t="s">
        <v>25559</v>
      </c>
      <c r="K7894" s="5" t="s">
        <v>344</v>
      </c>
      <c r="L7894" s="5" t="s">
        <v>48154</v>
      </c>
      <c r="M7894" s="27"/>
      <c r="N7894" s="5"/>
      <c r="O7894" s="5" t="str">
        <v>9718043600</v>
      </c>
      <c r="P7894" s="27">
        <v>10000</v>
      </c>
      <c r="Q7894" s="5" t="s">
        <v>49009</v>
      </c>
      <c r="R7894" s="5"/>
      <c r="S7894" s="5" t="s">
        <v>49010</v>
      </c>
      <c r="T7894" s="28">
        <v>61759000</v>
      </c>
      <c r="U7894" s="28"/>
      <c r="V7894" s="28">
        <v>115144000</v>
      </c>
      <c r="W7894" s="28">
        <v>358000000</v>
      </c>
      <c r="X7894" s="28">
        <v>20520000</v>
      </c>
      <c r="Y7894" s="28">
        <v>802655000</v>
      </c>
      <c r="Z7894" s="28">
        <v>338472000</v>
      </c>
      <c r="AA7894" s="28"/>
      <c r="AB7894" s="28"/>
      <c r="AC7894" s="28">
        <v>395395000</v>
      </c>
      <c r="AD7894" s="28">
        <v>338482000</v>
      </c>
      <c r="AE7894" s="28">
        <v>6680769000</v>
      </c>
      <c r="AF7894" s="28">
        <v>130965000</v>
      </c>
      <c r="AG7894" s="11"/>
    </row>
    <row r="7895">
      <c r="A7895" s="7" t="s">
        <v>9435</v>
      </c>
      <c r="B7895" s="5" t="s">
        <v>17351</v>
      </c>
      <c r="C7895" s="5" t="s">
        <v>24909</v>
      </c>
      <c r="D7895" s="5" t="str">
        <v>783903062941</v>
      </c>
      <c r="E7895" s="0" t="e">
        <f>+7 (812) 3252120
+7 (812) 2953757
+7 (812) 2954504
+7 (812) 3252121
+7 (812) 3252126
+7 (812) 3254721
+7 (812) 4412120
+7 (812) 5963083</f>
        <v>#NAME?</v>
      </c>
      <c r="F7895" s="5" t="s">
        <v>48155</v>
      </c>
      <c r="G7895" s="5" t="s">
        <v>48156</v>
      </c>
      <c r="H7895" s="26">
        <v>27</v>
      </c>
      <c r="I7895" s="5" t="s">
        <v>48157</v>
      </c>
      <c r="J7895" s="5" t="s">
        <v>25259</v>
      </c>
      <c r="K7895" s="5" t="s">
        <v>344</v>
      </c>
      <c r="L7895" s="5" t="s">
        <v>48158</v>
      </c>
      <c r="M7895" s="27">
        <v>4936742</v>
      </c>
      <c r="N7895" s="5" t="s">
        <v>61042</v>
      </c>
      <c r="O7895" s="5" t="str">
        <v>7810789989</v>
      </c>
      <c r="P7895" s="27">
        <v>100000</v>
      </c>
      <c r="Q7895" s="5" t="s">
        <v>49009</v>
      </c>
      <c r="R7895" s="5"/>
      <c r="S7895" s="5" t="s">
        <v>49487</v>
      </c>
      <c r="T7895" s="28">
        <v>281782000</v>
      </c>
      <c r="U7895" s="28"/>
      <c r="V7895" s="28">
        <v>929834000</v>
      </c>
      <c r="W7895" s="28"/>
      <c r="X7895" s="28">
        <v>15837000</v>
      </c>
      <c r="Y7895" s="28">
        <v>2943766000</v>
      </c>
      <c r="Z7895" s="28">
        <v>1153159000</v>
      </c>
      <c r="AA7895" s="28">
        <v>232000000</v>
      </c>
      <c r="AB7895" s="28">
        <v>336502000</v>
      </c>
      <c r="AC7895" s="28">
        <v>1558507000</v>
      </c>
      <c r="AD7895" s="28">
        <v>1153259000</v>
      </c>
      <c r="AE7895" s="28">
        <v>6045207000</v>
      </c>
      <c r="AF7895" s="28">
        <v>431744000</v>
      </c>
      <c r="AG7895" s="11"/>
    </row>
    <row r="7896">
      <c r="A7896" s="7" t="s">
        <v>9436</v>
      </c>
      <c r="B7896" s="5" t="s">
        <v>17352</v>
      </c>
      <c r="C7896" s="5" t="s">
        <v>24910</v>
      </c>
      <c r="D7896" s="5" t="str">
        <v>507461844789</v>
      </c>
      <c r="E7896" s="0" t="e">
        <f>+7 (495) 7730995
+7 (985) 1852225
+7 (985) 7317909</f>
        <v>#NAME?</v>
      </c>
      <c r="F7896" s="5" t="s">
        <v>48159</v>
      </c>
      <c r="G7896" s="5" t="s">
        <v>48160</v>
      </c>
      <c r="H7896" s="26">
        <v>6.5</v>
      </c>
      <c r="I7896" s="5" t="s">
        <v>48161</v>
      </c>
      <c r="J7896" s="5" t="s">
        <v>364</v>
      </c>
      <c r="K7896" s="5" t="s">
        <v>344</v>
      </c>
      <c r="L7896" s="5" t="s">
        <v>48162</v>
      </c>
      <c r="M7896" s="27">
        <v>11090000</v>
      </c>
      <c r="N7896" s="5" t="s">
        <v>61043</v>
      </c>
      <c r="O7896" s="5" t="str">
        <v>7727301500</v>
      </c>
      <c r="P7896" s="27">
        <v>1000000</v>
      </c>
      <c r="Q7896" s="5" t="s">
        <v>61044</v>
      </c>
      <c r="R7896" s="5"/>
      <c r="S7896" s="5" t="s">
        <v>61045</v>
      </c>
      <c r="T7896" s="28">
        <v>37243000</v>
      </c>
      <c r="U7896" s="28"/>
      <c r="V7896" s="28">
        <v>1309503000</v>
      </c>
      <c r="W7896" s="28">
        <v>9900000</v>
      </c>
      <c r="X7896" s="28">
        <v>277965000</v>
      </c>
      <c r="Y7896" s="28">
        <v>2963891000</v>
      </c>
      <c r="Z7896" s="28">
        <v>444331000</v>
      </c>
      <c r="AA7896" s="28">
        <v>9986000</v>
      </c>
      <c r="AB7896" s="28">
        <v>235012000</v>
      </c>
      <c r="AC7896" s="28">
        <v>2508452000</v>
      </c>
      <c r="AD7896" s="28">
        <v>445331000</v>
      </c>
      <c r="AE7896" s="28">
        <v>4588968000</v>
      </c>
      <c r="AF7896" s="28">
        <v>8200000</v>
      </c>
      <c r="AG7896" s="11"/>
    </row>
    <row r="7897">
      <c r="A7897" s="7" t="s">
        <v>9436</v>
      </c>
      <c r="B7897" s="5" t="s">
        <v>17353</v>
      </c>
      <c r="C7897" s="5" t="s">
        <v>24911</v>
      </c>
      <c r="D7897" s="5" t="str">
        <v>060800929907</v>
      </c>
      <c r="E7897" s="0" t="e">
        <f>+7 (928) 7926606</f>
        <v>#NAME?</v>
      </c>
      <c r="F7897" s="5" t="s">
        <v>48163</v>
      </c>
      <c r="G7897" s="5"/>
      <c r="H7897" s="26">
        <v>7.5</v>
      </c>
      <c r="I7897" s="5" t="s">
        <v>48164</v>
      </c>
      <c r="J7897" s="5" t="s">
        <v>364</v>
      </c>
      <c r="K7897" s="5" t="s">
        <v>344</v>
      </c>
      <c r="L7897" s="5" t="s">
        <v>32090</v>
      </c>
      <c r="M7897" s="27"/>
      <c r="N7897" s="5" t="s">
        <v>49787</v>
      </c>
      <c r="O7897" s="5" t="str">
        <v>0608038537</v>
      </c>
      <c r="P7897" s="27">
        <v>10000</v>
      </c>
      <c r="Q7897" s="5" t="s">
        <v>61046</v>
      </c>
      <c r="R7897" s="5"/>
      <c r="S7897" s="5" t="s">
        <v>61047</v>
      </c>
      <c r="T7897" s="28">
        <v>10000</v>
      </c>
      <c r="U7897" s="28"/>
      <c r="V7897" s="28"/>
      <c r="W7897" s="28"/>
      <c r="X7897" s="28">
        <v>5635000</v>
      </c>
      <c r="Y7897" s="28">
        <v>12282000</v>
      </c>
      <c r="Z7897" s="28">
        <v>112000</v>
      </c>
      <c r="AA7897" s="28"/>
      <c r="AB7897" s="28">
        <v>2200000</v>
      </c>
      <c r="AC7897" s="28">
        <v>12160000</v>
      </c>
      <c r="AD7897" s="28">
        <v>9548000</v>
      </c>
      <c r="AE7897" s="28">
        <v>59688542000</v>
      </c>
      <c r="AF7897" s="28">
        <v>3933206000</v>
      </c>
      <c r="AG7897" s="11"/>
    </row>
    <row r="7898">
      <c r="A7898" s="7" t="s">
        <v>9437</v>
      </c>
      <c r="B7898" s="5" t="s">
        <v>17354</v>
      </c>
      <c r="C7898" s="5" t="s">
        <v>24912</v>
      </c>
      <c r="D7898" s="5" t="str">
        <v>772773593588</v>
      </c>
      <c r="E7898" s="0" t="e">
        <f>+7 (342) 2147400
+7 (843) 2102300
+7 (3412) 998200
+7 (343) 3443900
+7 (343) 3443901
+7 (345) 2792700
+7 (3472) 462000
+7 (3512) 475232
+7 (383) 2858800
+7 (391) 2573100
+7 (495) 2300900
+7 (800) 2223357
+7 (800) 4444000
+7 (812) 7751400
+7 (831) 2829100</f>
        <v>#NAME?</v>
      </c>
      <c r="F7898" s="5" t="s">
        <v>48165</v>
      </c>
      <c r="G7898" s="5" t="s">
        <v>48166</v>
      </c>
      <c r="H7898" s="26">
        <v>17</v>
      </c>
      <c r="I7898" s="5" t="s">
        <v>48167</v>
      </c>
      <c r="J7898" s="5" t="s">
        <v>25670</v>
      </c>
      <c r="K7898" s="5" t="s">
        <v>344</v>
      </c>
      <c r="L7898" s="5" t="s">
        <v>48168</v>
      </c>
      <c r="M7898" s="27">
        <v>459859</v>
      </c>
      <c r="N7898" s="5" t="s">
        <v>61048</v>
      </c>
      <c r="O7898" s="5" t="str">
        <v>7453160365</v>
      </c>
      <c r="P7898" s="27">
        <v>20000000</v>
      </c>
      <c r="Q7898" s="5" t="s">
        <v>49009</v>
      </c>
      <c r="R7898" s="5"/>
      <c r="S7898" s="5" t="s">
        <v>49012</v>
      </c>
      <c r="T7898" s="28">
        <v>11792000</v>
      </c>
      <c r="U7898" s="28"/>
      <c r="V7898" s="28">
        <v>9675854000</v>
      </c>
      <c r="W7898" s="28"/>
      <c r="X7898" s="28">
        <v>1354302000</v>
      </c>
      <c r="Y7898" s="28">
        <v>19050936000</v>
      </c>
      <c r="Z7898" s="28">
        <v>2929410000</v>
      </c>
      <c r="AA7898" s="28">
        <v>6022366000</v>
      </c>
      <c r="AB7898" s="28">
        <v>8358013000</v>
      </c>
      <c r="AC7898" s="28">
        <v>9813417000</v>
      </c>
      <c r="AD7898" s="28">
        <v>2949410000</v>
      </c>
      <c r="AE7898" s="28">
        <v>4794829000</v>
      </c>
      <c r="AF7898" s="28">
        <v>999772000</v>
      </c>
      <c r="AG7898" s="11"/>
    </row>
    <row r="7899">
      <c r="A7899" s="7" t="s">
        <v>9438</v>
      </c>
      <c r="B7899" s="5" t="s">
        <v>17355</v>
      </c>
      <c r="C7899" s="5" t="s">
        <v>24913</v>
      </c>
      <c r="D7899" s="5" t="str">
        <v>503605761200</v>
      </c>
      <c r="E7899" s="0" t="e">
        <f>+7 (495) 6458081
+7 (495) 7806309
+7 (903) 1791323</f>
        <v>#NAME?</v>
      </c>
      <c r="F7899" s="5" t="s">
        <v>48169</v>
      </c>
      <c r="G7899" s="5" t="s">
        <v>48170</v>
      </c>
      <c r="H7899" s="26">
        <v>12</v>
      </c>
      <c r="I7899" s="5" t="s">
        <v>48171</v>
      </c>
      <c r="J7899" s="5" t="s">
        <v>881</v>
      </c>
      <c r="K7899" s="5" t="s">
        <v>344</v>
      </c>
      <c r="L7899" s="5" t="s">
        <v>48172</v>
      </c>
      <c r="M7899" s="27"/>
      <c r="N7899" s="5" t="s">
        <v>61049</v>
      </c>
      <c r="O7899" s="5" t="str">
        <v>5042117602</v>
      </c>
      <c r="P7899" s="27">
        <v>300000</v>
      </c>
      <c r="Q7899" s="5" t="s">
        <v>61050</v>
      </c>
      <c r="R7899" s="5"/>
      <c r="S7899" s="5" t="s">
        <v>61051</v>
      </c>
      <c r="T7899" s="28">
        <v>22662000</v>
      </c>
      <c r="U7899" s="28"/>
      <c r="V7899" s="28">
        <v>3145151000</v>
      </c>
      <c r="W7899" s="28"/>
      <c r="X7899" s="28">
        <v>46107000</v>
      </c>
      <c r="Y7899" s="28">
        <v>4829501000</v>
      </c>
      <c r="Z7899" s="28">
        <v>1959413000</v>
      </c>
      <c r="AA7899" s="28"/>
      <c r="AB7899" s="28">
        <v>399343000</v>
      </c>
      <c r="AC7899" s="28">
        <v>2854115000</v>
      </c>
      <c r="AD7899" s="28">
        <v>1959713000</v>
      </c>
      <c r="AE7899" s="28">
        <v>7986759000</v>
      </c>
      <c r="AF7899" s="28">
        <v>4103229000</v>
      </c>
      <c r="AG7899" s="11"/>
    </row>
    <row r="7900">
      <c r="A7900" s="7" t="s">
        <v>9439</v>
      </c>
      <c r="B7900" s="5" t="s">
        <v>17356</v>
      </c>
      <c r="C7900" s="5" t="s">
        <v>24914</v>
      </c>
      <c r="D7900" s="5" t="str">
        <v>330400426111</v>
      </c>
      <c r="E7900" s="0" t="e">
        <f>+7 (905) 6492607
+7 (930) 7441190
+7 (492) 2538561
+7 (49241) 55560
+7 (49241) 55565
+7 (49241) 55569
+7 (49241) 55777
+7 (903) 6488858
+7 (910) 1750299</f>
        <v>#NAME?</v>
      </c>
      <c r="F7900" s="5" t="s">
        <v>48173</v>
      </c>
      <c r="G7900" s="5" t="s">
        <v>48174</v>
      </c>
      <c r="H7900" s="26">
        <v>10.5</v>
      </c>
      <c r="I7900" s="5" t="s">
        <v>48175</v>
      </c>
      <c r="J7900" s="5" t="s">
        <v>33361</v>
      </c>
      <c r="K7900" s="5" t="s">
        <v>380</v>
      </c>
      <c r="L7900" s="5" t="s">
        <v>48176</v>
      </c>
      <c r="M7900" s="27">
        <v>484734217</v>
      </c>
      <c r="N7900" s="5" t="s">
        <v>61052</v>
      </c>
      <c r="O7900" s="5" t="str">
        <v>3328484848</v>
      </c>
      <c r="P7900" s="27">
        <v>11000</v>
      </c>
      <c r="Q7900" s="5"/>
      <c r="R7900" s="5" t="s">
        <v>61053</v>
      </c>
      <c r="S7900" s="5" t="s">
        <v>49029</v>
      </c>
      <c r="T7900" s="28">
        <v>1307387000</v>
      </c>
      <c r="U7900" s="28"/>
      <c r="V7900" s="28">
        <v>1237868000</v>
      </c>
      <c r="W7900" s="28">
        <v>29305000</v>
      </c>
      <c r="X7900" s="28">
        <v>153411000</v>
      </c>
      <c r="Y7900" s="28">
        <v>3469197000</v>
      </c>
      <c r="Z7900" s="28">
        <v>2067834000</v>
      </c>
      <c r="AA7900" s="28">
        <v>354339000</v>
      </c>
      <c r="AB7900" s="28">
        <v>174499000</v>
      </c>
      <c r="AC7900" s="28">
        <v>801849000</v>
      </c>
      <c r="AD7900" s="28">
        <v>2067845000</v>
      </c>
      <c r="AE7900" s="28">
        <v>3977505000</v>
      </c>
      <c r="AF7900" s="28">
        <v>622877000</v>
      </c>
      <c r="AG7900" s="11"/>
    </row>
    <row r="7901">
      <c r="A7901" s="7" t="s">
        <v>9440</v>
      </c>
      <c r="B7901" s="5" t="s">
        <v>17357</v>
      </c>
      <c r="C7901" s="5" t="s">
        <v>24915</v>
      </c>
      <c r="D7901" s="5" t="str">
        <v>614199432113</v>
      </c>
      <c r="E7901" s="0" t="e">
        <f>+7 (903) 4568855
+7 (918) 8567979
+7 (938) 1047456</f>
        <v>#NAME?</v>
      </c>
      <c r="F7901" s="5" t="s">
        <v>48177</v>
      </c>
      <c r="G7901" s="5"/>
      <c r="H7901" s="26">
        <v>8.5</v>
      </c>
      <c r="I7901" s="5" t="s">
        <v>48178</v>
      </c>
      <c r="J7901" s="5" t="s">
        <v>599</v>
      </c>
      <c r="K7901" s="5" t="s">
        <v>355</v>
      </c>
      <c r="L7901" s="5"/>
      <c r="M7901" s="27">
        <v>49202906</v>
      </c>
      <c r="N7901" s="5"/>
      <c r="O7901" s="5" t="str">
        <v>2308213534</v>
      </c>
      <c r="P7901" s="27">
        <v>700000</v>
      </c>
      <c r="Q7901" s="5"/>
      <c r="R7901" s="5"/>
      <c r="S7901" s="5" t="s">
        <v>49029</v>
      </c>
      <c r="T7901" s="28">
        <v>296162000</v>
      </c>
      <c r="U7901" s="28"/>
      <c r="V7901" s="28">
        <v>150548000</v>
      </c>
      <c r="W7901" s="28"/>
      <c r="X7901" s="28"/>
      <c r="Y7901" s="28">
        <v>464248000</v>
      </c>
      <c r="Z7901" s="28">
        <v>54502000</v>
      </c>
      <c r="AA7901" s="28">
        <v>22131000</v>
      </c>
      <c r="AB7901" s="28">
        <v>703000</v>
      </c>
      <c r="AC7901" s="28">
        <v>138154000</v>
      </c>
      <c r="AD7901" s="28">
        <v>55202000</v>
      </c>
      <c r="AE7901" s="28">
        <v>5839627000</v>
      </c>
      <c r="AF7901" s="28">
        <v>19834000</v>
      </c>
      <c r="AG7901" s="11"/>
    </row>
    <row r="7902">
      <c r="A7902" s="7" t="s">
        <v>9441</v>
      </c>
      <c r="B7902" s="5" t="s">
        <v>17358</v>
      </c>
      <c r="C7902" s="5" t="s">
        <v>24916</v>
      </c>
      <c r="D7902" s="5" t="str">
        <v>540629133773</v>
      </c>
      <c r="E7902" s="0" t="e">
        <f>+7 (800) 7700311</f>
        <v>#NAME?</v>
      </c>
      <c r="F7902" s="5"/>
      <c r="G7902" s="5" t="s">
        <v>48179</v>
      </c>
      <c r="H7902" s="26">
        <v>2.5</v>
      </c>
      <c r="I7902" s="5" t="s">
        <v>48180</v>
      </c>
      <c r="J7902" s="5" t="s">
        <v>25674</v>
      </c>
      <c r="K7902" s="5" t="s">
        <v>380</v>
      </c>
      <c r="L7902" s="5"/>
      <c r="M7902" s="27"/>
      <c r="N7902" s="5" t="s">
        <v>54337</v>
      </c>
      <c r="O7902" s="5" t="str">
        <v>7708379460</v>
      </c>
      <c r="P7902" s="27">
        <v>108000000</v>
      </c>
      <c r="Q7902" s="5" t="s">
        <v>49355</v>
      </c>
      <c r="R7902" s="5"/>
      <c r="S7902" s="5" t="s">
        <v>61054</v>
      </c>
      <c r="T7902" s="28">
        <v>97545000</v>
      </c>
      <c r="U7902" s="28"/>
      <c r="V7902" s="28">
        <v>1177532000</v>
      </c>
      <c r="W7902" s="28">
        <v>751751000</v>
      </c>
      <c r="X7902" s="28">
        <v>75376000</v>
      </c>
      <c r="Y7902" s="28">
        <v>3249439000</v>
      </c>
      <c r="Z7902" s="28">
        <v>-112259000</v>
      </c>
      <c r="AA7902" s="28">
        <v>45000000</v>
      </c>
      <c r="AB7902" s="28">
        <v>2688679000</v>
      </c>
      <c r="AC7902" s="28">
        <v>3202785000</v>
      </c>
      <c r="AD7902" s="28">
        <v>-4162000</v>
      </c>
      <c r="AE7902" s="28">
        <v>9408748000</v>
      </c>
      <c r="AF7902" s="28">
        <v>-76243000</v>
      </c>
      <c r="AG7902" s="11"/>
    </row>
    <row r="7903">
      <c r="A7903" s="7" t="s">
        <v>9442</v>
      </c>
      <c r="B7903" s="5" t="s">
        <v>17359</v>
      </c>
      <c r="C7903" s="5" t="s">
        <v>24917</v>
      </c>
      <c r="D7903" s="5" t="str">
        <v>781911137001</v>
      </c>
      <c r="E7903" s="0" t="e">
        <f>+7 (921) 5975767</f>
        <v>#NAME?</v>
      </c>
      <c r="F7903" s="5"/>
      <c r="G7903" s="5"/>
      <c r="H7903" s="26">
        <v>5.5</v>
      </c>
      <c r="I7903" s="5" t="s">
        <v>48181</v>
      </c>
      <c r="J7903" s="5" t="s">
        <v>955</v>
      </c>
      <c r="K7903" s="5" t="s">
        <v>344</v>
      </c>
      <c r="L7903" s="5" t="s">
        <v>48182</v>
      </c>
      <c r="M7903" s="27"/>
      <c r="N7903" s="5"/>
      <c r="O7903" s="5" t="str">
        <v>7805717523</v>
      </c>
      <c r="P7903" s="27">
        <v>50000</v>
      </c>
      <c r="Q7903" s="5" t="s">
        <v>49009</v>
      </c>
      <c r="R7903" s="5"/>
      <c r="S7903" s="5" t="s">
        <v>49010</v>
      </c>
      <c r="T7903" s="28">
        <v>56894000</v>
      </c>
      <c r="U7903" s="28"/>
      <c r="V7903" s="28">
        <v>189769000</v>
      </c>
      <c r="W7903" s="28">
        <v>24562000</v>
      </c>
      <c r="X7903" s="28">
        <v>14819000</v>
      </c>
      <c r="Y7903" s="28">
        <v>454537000</v>
      </c>
      <c r="Z7903" s="28">
        <v>60135000</v>
      </c>
      <c r="AA7903" s="28"/>
      <c r="AB7903" s="28"/>
      <c r="AC7903" s="28">
        <v>394297000</v>
      </c>
      <c r="AD7903" s="28">
        <v>60185000</v>
      </c>
      <c r="AE7903" s="28">
        <v>6037747000</v>
      </c>
      <c r="AF7903" s="28">
        <v>39148000</v>
      </c>
      <c r="AG7903" s="11"/>
    </row>
    <row r="7904">
      <c r="A7904" s="7" t="s">
        <v>9443</v>
      </c>
      <c r="B7904" s="5" t="s">
        <v>17360</v>
      </c>
      <c r="C7904" s="5" t="s">
        <v>24918</v>
      </c>
      <c r="D7904" s="5" t="str">
        <v>773123567790</v>
      </c>
      <c r="E7904" s="0" t="e">
        <f>+7 (499) 6055058
+7 (495) 6056075
+7 (495) 6057210
+7 (499) 7952872
+7 (499) 7952890
+7 (499) 7952901
+7 (499) 7952906
+7 (499) 7952914
+7 (499) 7953702
+7 (499) 7953723
+7 (499) 7953732
+7 (499) 7953771
+7 (499) 7953779
+7 (499) 7953799
+7 (499) 7953845</f>
        <v>#NAME?</v>
      </c>
      <c r="F7904" s="5" t="s">
        <v>48183</v>
      </c>
      <c r="G7904" s="5" t="s">
        <v>48184</v>
      </c>
      <c r="H7904" s="26">
        <v>27</v>
      </c>
      <c r="I7904" s="5"/>
      <c r="J7904" s="5" t="s">
        <v>343</v>
      </c>
      <c r="K7904" s="5" t="s">
        <v>344</v>
      </c>
      <c r="L7904" s="5"/>
      <c r="M7904" s="27"/>
      <c r="N7904" s="5" t="s">
        <v>61055</v>
      </c>
      <c r="O7904" s="5" t="str">
        <v>7718033809</v>
      </c>
      <c r="P7904" s="27">
        <v>123300</v>
      </c>
      <c r="Q7904" s="5" t="s">
        <v>61056</v>
      </c>
      <c r="R7904" s="5"/>
      <c r="S7904" s="5" t="s">
        <v>61057</v>
      </c>
      <c r="T7904" s="28">
        <v>18116439000</v>
      </c>
      <c r="U7904" s="28">
        <v>2799935000</v>
      </c>
      <c r="V7904" s="28">
        <v>508747000</v>
      </c>
      <c r="W7904" s="28">
        <v>7829982000</v>
      </c>
      <c r="X7904" s="28">
        <v>767905000</v>
      </c>
      <c r="Y7904" s="28">
        <v>32851188000</v>
      </c>
      <c r="Z7904" s="28">
        <v>13133343000</v>
      </c>
      <c r="AA7904" s="28"/>
      <c r="AB7904" s="28"/>
      <c r="AC7904" s="28">
        <v>2277586000</v>
      </c>
      <c r="AD7904" s="28">
        <v>27069667000</v>
      </c>
      <c r="AE7904" s="28">
        <v>4997288000</v>
      </c>
      <c r="AF7904" s="28">
        <v>-199641000</v>
      </c>
      <c r="AG7904" s="11"/>
    </row>
    <row r="7905">
      <c r="A7905" s="7" t="s">
        <v>9444</v>
      </c>
      <c r="B7905" s="5" t="s">
        <v>17361</v>
      </c>
      <c r="C7905" s="5" t="s">
        <v>24919</v>
      </c>
      <c r="D7905" s="5" t="str">
        <v>010512360771</v>
      </c>
      <c r="E7905" s="0" t="e">
        <f>+7 (861) 2382359
+7 (861) 2795359
+7 (861) 2996666
+7 (877) 7198951
+7 (918) 4299998
+7 (918) 4430468
+7 (988) 7652000</f>
        <v>#NAME?</v>
      </c>
      <c r="F7905" s="5"/>
      <c r="G7905" s="5" t="s">
        <v>48185</v>
      </c>
      <c r="H7905" s="26">
        <v>23.5</v>
      </c>
      <c r="I7905" s="5" t="s">
        <v>48186</v>
      </c>
      <c r="J7905" s="5" t="s">
        <v>37338</v>
      </c>
      <c r="K7905" s="5" t="s">
        <v>344</v>
      </c>
      <c r="L7905" s="5" t="s">
        <v>48187</v>
      </c>
      <c r="M7905" s="27"/>
      <c r="N7905" s="5" t="s">
        <v>61058</v>
      </c>
      <c r="O7905" s="5" t="str">
        <v>0106008761</v>
      </c>
      <c r="P7905" s="27">
        <v>10000</v>
      </c>
      <c r="Q7905" s="5" t="s">
        <v>49324</v>
      </c>
      <c r="R7905" s="5"/>
      <c r="S7905" s="5" t="s">
        <v>52146</v>
      </c>
      <c r="T7905" s="28">
        <v>486637000</v>
      </c>
      <c r="U7905" s="28"/>
      <c r="V7905" s="28">
        <v>1257646000</v>
      </c>
      <c r="W7905" s="28"/>
      <c r="X7905" s="28">
        <v>48716000</v>
      </c>
      <c r="Y7905" s="28">
        <v>3074876000</v>
      </c>
      <c r="Z7905" s="28">
        <v>980860000</v>
      </c>
      <c r="AA7905" s="28">
        <v>719271000</v>
      </c>
      <c r="AB7905" s="28">
        <v>433781000</v>
      </c>
      <c r="AC7905" s="28">
        <v>1368120000</v>
      </c>
      <c r="AD7905" s="28">
        <v>980870000</v>
      </c>
      <c r="AE7905" s="28">
        <v>3864309000</v>
      </c>
      <c r="AF7905" s="28">
        <v>385175000</v>
      </c>
      <c r="AG7905" s="11"/>
    </row>
    <row r="7906">
      <c r="A7906" s="7" t="s">
        <v>9445</v>
      </c>
      <c r="B7906" s="5" t="s">
        <v>17362</v>
      </c>
      <c r="C7906" s="5" t="s">
        <v>24920</v>
      </c>
      <c r="D7906" s="5" t="str">
        <v>720201325402</v>
      </c>
      <c r="E7906" s="0" t="e">
        <f>+7 (345) 2393344
+7 (345) 2564651
+7 (345) 2694655
+7 (345) 2695025
+7 (345) 2771661
+7 (346) 2379482</f>
        <v>#NAME?</v>
      </c>
      <c r="F7906" s="5" t="s">
        <v>48188</v>
      </c>
      <c r="G7906" s="5" t="s">
        <v>48189</v>
      </c>
      <c r="H7906" s="26">
        <v>22</v>
      </c>
      <c r="I7906" s="5" t="s">
        <v>48190</v>
      </c>
      <c r="J7906" s="5" t="s">
        <v>28075</v>
      </c>
      <c r="K7906" s="5" t="s">
        <v>344</v>
      </c>
      <c r="L7906" s="5" t="s">
        <v>48191</v>
      </c>
      <c r="M7906" s="27"/>
      <c r="N7906" s="5"/>
      <c r="O7906" s="5" t="str">
        <v>7204034755</v>
      </c>
      <c r="P7906" s="27">
        <v>8756000</v>
      </c>
      <c r="Q7906" s="5"/>
      <c r="R7906" s="5"/>
      <c r="S7906" s="5" t="s">
        <v>49123</v>
      </c>
      <c r="T7906" s="28">
        <v>384912000</v>
      </c>
      <c r="U7906" s="28">
        <v>748000</v>
      </c>
      <c r="V7906" s="28">
        <v>284876000</v>
      </c>
      <c r="W7906" s="28">
        <v>1332000</v>
      </c>
      <c r="X7906" s="28">
        <v>392223000</v>
      </c>
      <c r="Y7906" s="28">
        <v>1476509000</v>
      </c>
      <c r="Z7906" s="28">
        <v>1223109000</v>
      </c>
      <c r="AA7906" s="28"/>
      <c r="AB7906" s="28"/>
      <c r="AC7906" s="28">
        <v>234626000</v>
      </c>
      <c r="AD7906" s="28">
        <v>1233178000</v>
      </c>
      <c r="AE7906" s="28">
        <v>5366099000</v>
      </c>
      <c r="AF7906" s="28">
        <v>496153000</v>
      </c>
      <c r="AG7906" s="11"/>
    </row>
    <row r="7907">
      <c r="A7907" s="7" t="s">
        <v>9446</v>
      </c>
      <c r="B7907" s="5" t="s">
        <v>17363</v>
      </c>
      <c r="C7907" s="5" t="s">
        <v>24921</v>
      </c>
      <c r="D7907" s="5" t="str">
        <v>772155654317</v>
      </c>
      <c r="E7907" s="0" t="e">
        <f>+7 (926) 5438137
+7 (473) 2529069
+7 (495) 6493323</f>
        <v>#NAME?</v>
      </c>
      <c r="F7907" s="5" t="s">
        <v>48192</v>
      </c>
      <c r="G7907" s="5"/>
      <c r="H7907" s="26">
        <v>10</v>
      </c>
      <c r="I7907" s="5" t="s">
        <v>48193</v>
      </c>
      <c r="J7907" s="5" t="s">
        <v>373</v>
      </c>
      <c r="K7907" s="5" t="s">
        <v>344</v>
      </c>
      <c r="L7907" s="5" t="s">
        <v>48194</v>
      </c>
      <c r="M7907" s="27"/>
      <c r="N7907" s="5"/>
      <c r="O7907" s="5" t="str">
        <v>7702810961</v>
      </c>
      <c r="P7907" s="27">
        <v>1510000</v>
      </c>
      <c r="Q7907" s="5" t="s">
        <v>61059</v>
      </c>
      <c r="R7907" s="5"/>
      <c r="S7907" s="5" t="s">
        <v>61060</v>
      </c>
      <c r="T7907" s="28">
        <v>41801000</v>
      </c>
      <c r="U7907" s="28"/>
      <c r="V7907" s="28">
        <v>192042000</v>
      </c>
      <c r="W7907" s="28"/>
      <c r="X7907" s="28">
        <v>16666000</v>
      </c>
      <c r="Y7907" s="28">
        <v>612385000</v>
      </c>
      <c r="Z7907" s="28">
        <v>337610000</v>
      </c>
      <c r="AA7907" s="28"/>
      <c r="AB7907" s="28">
        <v>100547000</v>
      </c>
      <c r="AC7907" s="28">
        <v>241668000</v>
      </c>
      <c r="AD7907" s="28">
        <v>340125000</v>
      </c>
      <c r="AE7907" s="28">
        <v>7418430000</v>
      </c>
      <c r="AF7907" s="28">
        <v>175687000</v>
      </c>
      <c r="AG7907" s="11"/>
    </row>
    <row r="7908">
      <c r="A7908" s="7" t="s">
        <v>9447</v>
      </c>
      <c r="B7908" s="5" t="s">
        <v>17364</v>
      </c>
      <c r="C7908" s="5" t="s">
        <v>24922</v>
      </c>
      <c r="D7908" s="5" t="str">
        <v>772812676537</v>
      </c>
      <c r="E7908" s="0" t="e">
        <f>+7 (343) 3764590
+7 (343) 5393131
+7 (34368) 25359
+7 (34368) 25459
+7 (495) 3764590
+7 (495) 5393131
+7 (495) 5393148
+7 (495) 7106515
+7 (963) 414717</f>
        <v>#NAME?</v>
      </c>
      <c r="F7908" s="5" t="s">
        <v>48195</v>
      </c>
      <c r="G7908" s="5" t="s">
        <v>48196</v>
      </c>
      <c r="H7908" s="26">
        <v>18.5</v>
      </c>
      <c r="I7908" s="5"/>
      <c r="J7908" s="5" t="s">
        <v>25295</v>
      </c>
      <c r="K7908" s="5" t="s">
        <v>344</v>
      </c>
      <c r="L7908" s="5"/>
      <c r="M7908" s="27">
        <v>12357459</v>
      </c>
      <c r="N7908" s="5" t="s">
        <v>61061</v>
      </c>
      <c r="O7908" s="5" t="str">
        <v>6671156423</v>
      </c>
      <c r="P7908" s="27">
        <v>35371898370</v>
      </c>
      <c r="Q7908" s="5" t="s">
        <v>61062</v>
      </c>
      <c r="R7908" s="5"/>
      <c r="S7908" s="5" t="s">
        <v>61063</v>
      </c>
      <c r="T7908" s="28">
        <v>28345369000</v>
      </c>
      <c r="U7908" s="28">
        <v>4910491000</v>
      </c>
      <c r="V7908" s="28">
        <v>5301582000</v>
      </c>
      <c r="W7908" s="28">
        <v>325091000</v>
      </c>
      <c r="X7908" s="28">
        <v>3944714000</v>
      </c>
      <c r="Y7908" s="28">
        <v>58252071000</v>
      </c>
      <c r="Z7908" s="28">
        <v>-492191000</v>
      </c>
      <c r="AA7908" s="28">
        <v>365000000</v>
      </c>
      <c r="AB7908" s="28">
        <v>8013211000</v>
      </c>
      <c r="AC7908" s="28">
        <v>11972668000</v>
      </c>
      <c r="AD7908" s="28">
        <v>42511366000</v>
      </c>
      <c r="AE7908" s="28">
        <v>48144142000</v>
      </c>
      <c r="AF7908" s="28">
        <v>-7238935000</v>
      </c>
      <c r="AG7908" s="11"/>
    </row>
    <row r="7909">
      <c r="A7909" s="7" t="s">
        <v>9448</v>
      </c>
      <c r="B7909" s="5" t="s">
        <v>17365</v>
      </c>
      <c r="C7909" s="5" t="s">
        <v>24923</v>
      </c>
      <c r="D7909" s="5" t="str">
        <v>771875203877</v>
      </c>
      <c r="E7909" s="0" t="e">
        <f>+7 (495) 2585202
+7 (495) 6516625
+7 (915) 4610790</f>
        <v>#NAME?</v>
      </c>
      <c r="F7909" s="5"/>
      <c r="G7909" s="5"/>
      <c r="H7909" s="26">
        <v>9</v>
      </c>
      <c r="I7909" s="5" t="s">
        <v>48197</v>
      </c>
      <c r="J7909" s="5" t="s">
        <v>25429</v>
      </c>
      <c r="K7909" s="5" t="s">
        <v>344</v>
      </c>
      <c r="L7909" s="5" t="s">
        <v>48198</v>
      </c>
      <c r="M7909" s="27"/>
      <c r="N7909" s="5"/>
      <c r="O7909" s="5" t="str">
        <v>7703803068</v>
      </c>
      <c r="P7909" s="27">
        <v>10000</v>
      </c>
      <c r="Q7909" s="5" t="s">
        <v>49059</v>
      </c>
      <c r="R7909" s="5"/>
      <c r="S7909" s="5" t="s">
        <v>49010</v>
      </c>
      <c r="T7909" s="28">
        <v>135032000</v>
      </c>
      <c r="U7909" s="28"/>
      <c r="V7909" s="28">
        <v>649128000</v>
      </c>
      <c r="W7909" s="28"/>
      <c r="X7909" s="28">
        <v>971411000</v>
      </c>
      <c r="Y7909" s="28">
        <v>2974133000</v>
      </c>
      <c r="Z7909" s="28">
        <v>1418148000</v>
      </c>
      <c r="AA7909" s="28"/>
      <c r="AB7909" s="28">
        <v>487000</v>
      </c>
      <c r="AC7909" s="28">
        <v>836423000</v>
      </c>
      <c r="AD7909" s="28">
        <v>2137710000</v>
      </c>
      <c r="AE7909" s="28">
        <v>3487421000</v>
      </c>
      <c r="AF7909" s="28">
        <v>722798000</v>
      </c>
      <c r="AG7909" s="11"/>
    </row>
    <row r="7910">
      <c r="A7910" s="7" t="s">
        <v>9449</v>
      </c>
      <c r="B7910" s="5" t="s">
        <v>13656</v>
      </c>
      <c r="C7910" s="5" t="s">
        <v>24924</v>
      </c>
      <c r="D7910" s="5" t="str">
        <v>682002677590</v>
      </c>
      <c r="E7910" s="0" t="e">
        <f>+7 (8555) 383063
+7 (812) 3334494
+7 (8555) 375916
+7 (8555) 379412
+7 (8555) 379414
+7 (8555) 383062</f>
        <v>#NAME?</v>
      </c>
      <c r="F7910" s="5" t="s">
        <v>48199</v>
      </c>
      <c r="G7910" s="5" t="s">
        <v>42322</v>
      </c>
      <c r="H7910" s="26">
        <v>22.5</v>
      </c>
      <c r="I7910" s="5" t="s">
        <v>48200</v>
      </c>
      <c r="J7910" s="5" t="s">
        <v>32652</v>
      </c>
      <c r="K7910" s="5" t="s">
        <v>344</v>
      </c>
      <c r="L7910" s="5" t="s">
        <v>48201</v>
      </c>
      <c r="M7910" s="27"/>
      <c r="N7910" s="5" t="s">
        <v>61064</v>
      </c>
      <c r="O7910" s="5" t="str">
        <v>1651027131</v>
      </c>
      <c r="P7910" s="27">
        <v>158240000</v>
      </c>
      <c r="Q7910" s="5" t="s">
        <v>49009</v>
      </c>
      <c r="R7910" s="5"/>
      <c r="S7910" s="5" t="s">
        <v>49028</v>
      </c>
      <c r="T7910" s="28">
        <v>124633000</v>
      </c>
      <c r="U7910" s="28"/>
      <c r="V7910" s="28">
        <v>353824000</v>
      </c>
      <c r="W7910" s="28"/>
      <c r="X7910" s="28">
        <v>331152000</v>
      </c>
      <c r="Y7910" s="28">
        <v>1634764000</v>
      </c>
      <c r="Z7910" s="28">
        <v>976171000</v>
      </c>
      <c r="AA7910" s="28">
        <v>300000000</v>
      </c>
      <c r="AB7910" s="28"/>
      <c r="AC7910" s="28">
        <v>571582000</v>
      </c>
      <c r="AD7910" s="28">
        <v>759276000</v>
      </c>
      <c r="AE7910" s="28">
        <v>3804863000</v>
      </c>
      <c r="AF7910" s="28">
        <v>355807000</v>
      </c>
      <c r="AG7910" s="11"/>
    </row>
    <row r="7911">
      <c r="A7911" s="7" t="s">
        <v>9450</v>
      </c>
      <c r="B7911" s="5" t="s">
        <v>17366</v>
      </c>
      <c r="C7911" s="5" t="s">
        <v>24925</v>
      </c>
      <c r="D7911" s="5" t="str">
        <v>231203109264</v>
      </c>
      <c r="E7911" s="0" t="e">
        <f>+7 (347) 2231577
+7 (34761) 26317
+7 (34761) 26342
+7 (34761) 26343
+7 (34761) 26557
+7 (34761) 26568
+7 (34761) 26677
+7 (34761) 26799
+7 (34797) 21458
+7 (34797) 26627
+7 (34797) 75149</f>
        <v>#NAME?</v>
      </c>
      <c r="F7911" s="5" t="s">
        <v>48202</v>
      </c>
      <c r="G7911" s="5"/>
      <c r="H7911" s="26">
        <v>10.5</v>
      </c>
      <c r="I7911" s="5" t="s">
        <v>48203</v>
      </c>
      <c r="J7911" s="5" t="s">
        <v>25812</v>
      </c>
      <c r="K7911" s="5" t="s">
        <v>344</v>
      </c>
      <c r="L7911" s="5" t="s">
        <v>48204</v>
      </c>
      <c r="M7911" s="27">
        <v>161281</v>
      </c>
      <c r="N7911" s="5"/>
      <c r="O7911" s="5" t="str">
        <v>0250014334</v>
      </c>
      <c r="P7911" s="27">
        <v>1600000</v>
      </c>
      <c r="Q7911" s="5" t="s">
        <v>49009</v>
      </c>
      <c r="R7911" s="5"/>
      <c r="S7911" s="5" t="s">
        <v>49093</v>
      </c>
      <c r="T7911" s="28">
        <v>5093250000</v>
      </c>
      <c r="U7911" s="28"/>
      <c r="V7911" s="28">
        <v>3708903000</v>
      </c>
      <c r="W7911" s="28">
        <v>456025000</v>
      </c>
      <c r="X7911" s="28">
        <v>3441617000</v>
      </c>
      <c r="Y7911" s="28">
        <v>17096035000</v>
      </c>
      <c r="Z7911" s="28">
        <v>4974432000</v>
      </c>
      <c r="AA7911" s="28">
        <v>1582557000</v>
      </c>
      <c r="AB7911" s="28">
        <v>7025439000</v>
      </c>
      <c r="AC7911" s="28">
        <v>10235544000</v>
      </c>
      <c r="AD7911" s="28">
        <v>4976036000</v>
      </c>
      <c r="AE7911" s="28">
        <v>22127588000</v>
      </c>
      <c r="AF7911" s="28">
        <v>1336051000</v>
      </c>
      <c r="AG7911" s="11"/>
    </row>
    <row r="7912">
      <c r="A7912" s="7" t="s">
        <v>9451</v>
      </c>
      <c r="B7912" s="5" t="s">
        <v>17367</v>
      </c>
      <c r="C7912" s="5" t="s">
        <v>24926</v>
      </c>
      <c r="D7912" s="5" t="str">
        <v>500101862437</v>
      </c>
      <c r="E7912" s="0" t="e">
        <f>+7 (343) 2870161
+7 (495) 2585656
+7 (495) 3633203
+7 (800) 3339062
+7 (800) 3339605
+7 (812) 4182200
+7 (812) 6404062
+7 (8432) 42503
+7 (8632) 61111
+7 (903) 5461523
+7 (909) 9863075
+7 (909) 9863115
+7 (909) 9864804
+7 (909) 9865615
+7 (910) 6629659</f>
        <v>#NAME?</v>
      </c>
      <c r="F7912" s="5" t="s">
        <v>48205</v>
      </c>
      <c r="G7912" s="5" t="s">
        <v>48206</v>
      </c>
      <c r="H7912" s="26">
        <v>8</v>
      </c>
      <c r="I7912" s="5" t="s">
        <v>48207</v>
      </c>
      <c r="J7912" s="5" t="s">
        <v>641</v>
      </c>
      <c r="K7912" s="5" t="s">
        <v>344</v>
      </c>
      <c r="L7912" s="5" t="s">
        <v>48208</v>
      </c>
      <c r="M7912" s="27"/>
      <c r="N7912" s="5"/>
      <c r="O7912" s="5" t="str">
        <v>7720298746</v>
      </c>
      <c r="P7912" s="27">
        <v>150000</v>
      </c>
      <c r="Q7912" s="5" t="s">
        <v>49021</v>
      </c>
      <c r="R7912" s="5"/>
      <c r="S7912" s="5" t="s">
        <v>52617</v>
      </c>
      <c r="T7912" s="28">
        <v>52259000</v>
      </c>
      <c r="U7912" s="28"/>
      <c r="V7912" s="28">
        <v>1141007000</v>
      </c>
      <c r="W7912" s="28"/>
      <c r="X7912" s="28">
        <v>45056000</v>
      </c>
      <c r="Y7912" s="28">
        <v>3144674000</v>
      </c>
      <c r="Z7912" s="28">
        <v>731358000</v>
      </c>
      <c r="AA7912" s="28"/>
      <c r="AB7912" s="28">
        <v>333140000</v>
      </c>
      <c r="AC7912" s="28">
        <v>2382905000</v>
      </c>
      <c r="AD7912" s="28">
        <v>731508000</v>
      </c>
      <c r="AE7912" s="28">
        <v>10161267000</v>
      </c>
      <c r="AF7912" s="28">
        <v>353553000</v>
      </c>
      <c r="AG7912" s="11"/>
    </row>
    <row r="7913">
      <c r="A7913" s="7" t="s">
        <v>9452</v>
      </c>
      <c r="B7913" s="5" t="s">
        <v>17368</v>
      </c>
      <c r="C7913" s="5" t="s">
        <v>24927</v>
      </c>
      <c r="D7913" s="5" t="str">
        <v>212703098066</v>
      </c>
      <c r="E7913" s="0" t="e">
        <f>+7 (800) 5009984
+7 (8352) 220380
+7 (8352) 222781
+7 (8352) 230380
+7 (8352) 571030
+7 (8352) 572090
+7 (8352) 573700
+7 (8352) 573710</f>
        <v>#NAME?</v>
      </c>
      <c r="F7913" s="5" t="s">
        <v>48209</v>
      </c>
      <c r="G7913" s="5" t="s">
        <v>48210</v>
      </c>
      <c r="H7913" s="26">
        <v>9</v>
      </c>
      <c r="I7913" s="5" t="s">
        <v>48211</v>
      </c>
      <c r="J7913" s="5" t="s">
        <v>641</v>
      </c>
      <c r="K7913" s="5" t="s">
        <v>344</v>
      </c>
      <c r="L7913" s="5" t="s">
        <v>31379</v>
      </c>
      <c r="M7913" s="27"/>
      <c r="N7913" s="5" t="s">
        <v>61065</v>
      </c>
      <c r="O7913" s="5" t="str">
        <v>2130133291</v>
      </c>
      <c r="P7913" s="27">
        <v>10000</v>
      </c>
      <c r="Q7913" s="5" t="s">
        <v>61066</v>
      </c>
      <c r="R7913" s="5"/>
      <c r="S7913" s="5" t="s">
        <v>49085</v>
      </c>
      <c r="T7913" s="28">
        <v>46753000</v>
      </c>
      <c r="U7913" s="28">
        <v>7505000</v>
      </c>
      <c r="V7913" s="28">
        <v>1152529000</v>
      </c>
      <c r="W7913" s="28">
        <v>14150000</v>
      </c>
      <c r="X7913" s="28">
        <v>197142000</v>
      </c>
      <c r="Y7913" s="28">
        <v>2011212000</v>
      </c>
      <c r="Z7913" s="28">
        <v>442243000</v>
      </c>
      <c r="AA7913" s="28"/>
      <c r="AB7913" s="28"/>
      <c r="AC7913" s="28">
        <v>1560774000</v>
      </c>
      <c r="AD7913" s="28">
        <v>442253000</v>
      </c>
      <c r="AE7913" s="28">
        <v>4305407000</v>
      </c>
      <c r="AF7913" s="28">
        <v>172864000</v>
      </c>
      <c r="AG7913" s="11"/>
    </row>
    <row r="7914">
      <c r="A7914" s="7" t="s">
        <v>9453</v>
      </c>
      <c r="B7914" s="5" t="s">
        <v>17369</v>
      </c>
      <c r="C7914" s="5" t="s">
        <v>24928</v>
      </c>
      <c r="D7914" s="5" t="str">
        <v>182799848015</v>
      </c>
      <c r="E7914" s="0" t="e">
        <f>+7 (34147) 29953
+7 (34147) 29772
+7 (34147) 29914
+7 (34147) 29942
+7 (34147) 29954
+7 (34147) 29989
+7 (34147) 29993
+7 (34147) 42499
+7 (34147) 42753
+7 (34147) 42755
+7 (34147) 43248
+7 (34147) 43274
+7 (34147) 43297</f>
        <v>#NAME?</v>
      </c>
      <c r="F7914" s="5" t="s">
        <v>48212</v>
      </c>
      <c r="G7914" s="5" t="s">
        <v>48213</v>
      </c>
      <c r="H7914" s="26">
        <v>30</v>
      </c>
      <c r="I7914" s="5"/>
      <c r="J7914" s="5" t="s">
        <v>48214</v>
      </c>
      <c r="K7914" s="5" t="s">
        <v>344</v>
      </c>
      <c r="L7914" s="5"/>
      <c r="M7914" s="27"/>
      <c r="N7914" s="5" t="s">
        <v>61067</v>
      </c>
      <c r="O7914" s="5" t="str">
        <v>1827003592</v>
      </c>
      <c r="P7914" s="27">
        <v>20824800</v>
      </c>
      <c r="Q7914" s="5" t="s">
        <v>61068</v>
      </c>
      <c r="R7914" s="5"/>
      <c r="S7914" s="5" t="s">
        <v>51738</v>
      </c>
      <c r="T7914" s="28">
        <v>1082993000</v>
      </c>
      <c r="U7914" s="28">
        <v>30852000</v>
      </c>
      <c r="V7914" s="28">
        <v>1540496000</v>
      </c>
      <c r="W7914" s="28">
        <v>20830000</v>
      </c>
      <c r="X7914" s="28">
        <v>3715687000</v>
      </c>
      <c r="Y7914" s="28">
        <v>8819011000</v>
      </c>
      <c r="Z7914" s="28">
        <v>2160165000</v>
      </c>
      <c r="AA7914" s="28">
        <v>350139000</v>
      </c>
      <c r="AB7914" s="28">
        <v>248648000</v>
      </c>
      <c r="AC7914" s="28">
        <v>2641089000</v>
      </c>
      <c r="AD7914" s="28">
        <v>3485088000</v>
      </c>
      <c r="AE7914" s="28">
        <v>5539177000</v>
      </c>
      <c r="AF7914" s="28">
        <v>1051414000</v>
      </c>
      <c r="AG7914" s="11"/>
    </row>
    <row r="7915">
      <c r="A7915" s="7" t="s">
        <v>9454</v>
      </c>
      <c r="B7915" s="5" t="s">
        <v>17370</v>
      </c>
      <c r="C7915" s="5" t="s">
        <v>24929</v>
      </c>
      <c r="D7915" s="5" t="str">
        <v>665908907157</v>
      </c>
      <c r="E7915" s="0" t="e">
        <f>+7 (343) 3728313
+7 (343) 2047405
+7 (343) 2345436
+7 (343) 2345488
+7 (343) 2347171
+7 (343) 3524333
+7 (3433) 800380
+7 (982) 6433782</f>
        <v>#NAME?</v>
      </c>
      <c r="F7915" s="5" t="s">
        <v>48215</v>
      </c>
      <c r="G7915" s="5"/>
      <c r="H7915" s="26">
        <v>16</v>
      </c>
      <c r="I7915" s="5" t="s">
        <v>48216</v>
      </c>
      <c r="J7915" s="5" t="s">
        <v>641</v>
      </c>
      <c r="K7915" s="5" t="s">
        <v>355</v>
      </c>
      <c r="L7915" s="5" t="s">
        <v>48217</v>
      </c>
      <c r="M7915" s="27"/>
      <c r="N7915" s="5" t="s">
        <v>61069</v>
      </c>
      <c r="O7915" s="5" t="str">
        <v>6670167782</v>
      </c>
      <c r="P7915" s="27">
        <v>100000</v>
      </c>
      <c r="Q7915" s="5" t="s">
        <v>49009</v>
      </c>
      <c r="R7915" s="5"/>
      <c r="S7915" s="5" t="s">
        <v>49487</v>
      </c>
      <c r="T7915" s="28">
        <v>59567000</v>
      </c>
      <c r="U7915" s="28"/>
      <c r="V7915" s="28">
        <v>859531000</v>
      </c>
      <c r="W7915" s="28">
        <v>81000</v>
      </c>
      <c r="X7915" s="28">
        <v>9380000</v>
      </c>
      <c r="Y7915" s="28">
        <v>1506318000</v>
      </c>
      <c r="Z7915" s="28">
        <v>670002000</v>
      </c>
      <c r="AA7915" s="28"/>
      <c r="AB7915" s="28">
        <v>332199000</v>
      </c>
      <c r="AC7915" s="28">
        <v>835758000</v>
      </c>
      <c r="AD7915" s="28">
        <v>670102000</v>
      </c>
      <c r="AE7915" s="28">
        <v>3128510000</v>
      </c>
      <c r="AF7915" s="28">
        <v>25719000</v>
      </c>
      <c r="AG7915" s="11"/>
    </row>
    <row r="7916">
      <c r="A7916" s="7" t="s">
        <v>9455</v>
      </c>
      <c r="B7916" s="5" t="s">
        <v>17371</v>
      </c>
      <c r="C7916" s="5" t="s">
        <v>24930</v>
      </c>
      <c r="D7916" s="5" t="str">
        <v>771514069091</v>
      </c>
      <c r="E7916" s="0" t="e">
        <f>+7 (831) 4534583
+7 (83145) 30998
+7 (83145) 57485
+7 (83145) 57624
+7 (83145) 57625
+7 (83145) 57627
+7 (83145) 57628
+7 (83145) 57629
+7 (83145) 57632
+7 (83145) 57635
+7 (84670) 27103</f>
        <v>#NAME?</v>
      </c>
      <c r="F7916" s="5" t="s">
        <v>48218</v>
      </c>
      <c r="G7916" s="5" t="s">
        <v>48219</v>
      </c>
      <c r="H7916" s="26">
        <v>22.5</v>
      </c>
      <c r="I7916" s="5" t="s">
        <v>48220</v>
      </c>
      <c r="J7916" s="5" t="s">
        <v>655</v>
      </c>
      <c r="K7916" s="5" t="s">
        <v>344</v>
      </c>
      <c r="L7916" s="5" t="s">
        <v>36675</v>
      </c>
      <c r="M7916" s="27"/>
      <c r="N7916" s="5"/>
      <c r="O7916" s="5" t="str">
        <v>5250026064</v>
      </c>
      <c r="P7916" s="27">
        <v>4076830</v>
      </c>
      <c r="Q7916" s="5" t="s">
        <v>49009</v>
      </c>
      <c r="R7916" s="5"/>
      <c r="S7916" s="5" t="s">
        <v>49066</v>
      </c>
      <c r="T7916" s="28">
        <v>22620000</v>
      </c>
      <c r="U7916" s="28"/>
      <c r="V7916" s="28">
        <v>547481000</v>
      </c>
      <c r="W7916" s="28"/>
      <c r="X7916" s="28">
        <v>11439000</v>
      </c>
      <c r="Y7916" s="28">
        <v>1027672000</v>
      </c>
      <c r="Z7916" s="28">
        <v>108405000</v>
      </c>
      <c r="AA7916" s="28">
        <v>730000000</v>
      </c>
      <c r="AB7916" s="28">
        <v>10055000</v>
      </c>
      <c r="AC7916" s="28">
        <v>179308000</v>
      </c>
      <c r="AD7916" s="28">
        <v>112482000</v>
      </c>
      <c r="AE7916" s="28">
        <v>3719815000</v>
      </c>
      <c r="AF7916" s="28">
        <v>48191000</v>
      </c>
      <c r="AG7916" s="11"/>
    </row>
    <row r="7917">
      <c r="A7917" s="7" t="s">
        <v>9456</v>
      </c>
      <c r="B7917" s="5" t="s">
        <v>17372</v>
      </c>
      <c r="C7917" s="5" t="s">
        <v>24931</v>
      </c>
      <c r="D7917" s="5" t="str">
        <v>540405258600</v>
      </c>
      <c r="E7917" s="0" t="e">
        <f>+7 (383) 2106700
+7 (391) 2713939
+7 (902) 9812981
+7 (383) 2125970
+7 (383) 2278755
+7 (383) 3464501
+7 (383) 3543090
+7 (383) 3543091
+7 (383) 3543092
+7 (383) 3543093
+7 (383) 3639530
+7 (38343) 91005
+7 (38343) 93707
+7 (3955) 645374
+7 (913) 9850298</f>
        <v>#NAME?</v>
      </c>
      <c r="F7917" s="5" t="s">
        <v>48221</v>
      </c>
      <c r="G7917" s="5" t="s">
        <v>48222</v>
      </c>
      <c r="H7917" s="26">
        <v>29</v>
      </c>
      <c r="I7917" s="5"/>
      <c r="J7917" s="5" t="s">
        <v>678</v>
      </c>
      <c r="K7917" s="5" t="s">
        <v>344</v>
      </c>
      <c r="L7917" s="5" t="s">
        <v>48223</v>
      </c>
      <c r="M7917" s="27"/>
      <c r="N7917" s="5" t="s">
        <v>61070</v>
      </c>
      <c r="O7917" s="5" t="str">
        <v>5407159273</v>
      </c>
      <c r="P7917" s="27">
        <v>10000000</v>
      </c>
      <c r="Q7917" s="5" t="s">
        <v>61071</v>
      </c>
      <c r="R7917" s="5"/>
      <c r="S7917" s="5" t="s">
        <v>61072</v>
      </c>
      <c r="T7917" s="28">
        <v>28469000</v>
      </c>
      <c r="U7917" s="28">
        <v>124015000</v>
      </c>
      <c r="V7917" s="28">
        <v>753198000</v>
      </c>
      <c r="W7917" s="28">
        <v>12863000</v>
      </c>
      <c r="X7917" s="28">
        <v>348776000</v>
      </c>
      <c r="Y7917" s="28">
        <v>1757434000</v>
      </c>
      <c r="Z7917" s="28">
        <v>407958000</v>
      </c>
      <c r="AA7917" s="28">
        <v>155175000</v>
      </c>
      <c r="AB7917" s="28">
        <v>61660000</v>
      </c>
      <c r="AC7917" s="28">
        <v>1184301000</v>
      </c>
      <c r="AD7917" s="28">
        <v>417958000</v>
      </c>
      <c r="AE7917" s="28">
        <v>6442034000</v>
      </c>
      <c r="AF7917" s="28">
        <v>217265000</v>
      </c>
      <c r="AG7917" s="11"/>
    </row>
    <row r="7918">
      <c r="A7918" s="7" t="s">
        <v>9457</v>
      </c>
      <c r="B7918" s="5" t="s">
        <v>17373</v>
      </c>
      <c r="C7918" s="5" t="s">
        <v>24932</v>
      </c>
      <c r="D7918" s="5" t="str">
        <v>780532899886</v>
      </c>
      <c r="E7918" s="0" t="e">
        <f>+7 (812) 3480870
+7 (812) 3831986
+7 (812) 3863838</f>
        <v>#NAME?</v>
      </c>
      <c r="F7918" s="5"/>
      <c r="G7918" s="5"/>
      <c r="H7918" s="26">
        <v>15.5</v>
      </c>
      <c r="I7918" s="5"/>
      <c r="J7918" s="5" t="s">
        <v>487</v>
      </c>
      <c r="K7918" s="5" t="s">
        <v>344</v>
      </c>
      <c r="L7918" s="5"/>
      <c r="M7918" s="27"/>
      <c r="N7918" s="5"/>
      <c r="O7918" s="5" t="str">
        <v>7814376982</v>
      </c>
      <c r="P7918" s="27">
        <v>1000000</v>
      </c>
      <c r="Q7918" s="5"/>
      <c r="R7918" s="5"/>
      <c r="S7918" s="5" t="s">
        <v>49029</v>
      </c>
      <c r="T7918" s="28">
        <v>13193000</v>
      </c>
      <c r="U7918" s="28"/>
      <c r="V7918" s="28">
        <v>758318000</v>
      </c>
      <c r="W7918" s="28"/>
      <c r="X7918" s="28">
        <v>3137000</v>
      </c>
      <c r="Y7918" s="28">
        <v>4197626000</v>
      </c>
      <c r="Z7918" s="28">
        <v>753719000</v>
      </c>
      <c r="AA7918" s="28"/>
      <c r="AB7918" s="28"/>
      <c r="AC7918" s="28">
        <v>3442857000</v>
      </c>
      <c r="AD7918" s="28">
        <v>754769000</v>
      </c>
      <c r="AE7918" s="28">
        <v>4819848000</v>
      </c>
      <c r="AF7918" s="28">
        <v>170524000</v>
      </c>
      <c r="AG7918" s="11"/>
    </row>
    <row r="7919">
      <c r="A7919" s="7" t="s">
        <v>9458</v>
      </c>
      <c r="B7919" s="5" t="s">
        <v>17374</v>
      </c>
      <c r="C7919" s="5" t="s">
        <v>24933</v>
      </c>
      <c r="D7919" s="5" t="str">
        <v>772023609029</v>
      </c>
      <c r="E7919" s="0" t="e">
        <f>+7 (495) 1151723
+7 (495) 1533860
+7 (495) 1534496
+7 (495) 4191599
+7 (800) 7776008
+7 (915) 4101310</f>
        <v>#NAME?</v>
      </c>
      <c r="F7919" s="5" t="s">
        <v>48224</v>
      </c>
      <c r="G7919" s="5" t="s">
        <v>48225</v>
      </c>
      <c r="H7919" s="26">
        <v>7</v>
      </c>
      <c r="I7919" s="5" t="s">
        <v>48226</v>
      </c>
      <c r="J7919" s="5" t="s">
        <v>773</v>
      </c>
      <c r="K7919" s="5" t="s">
        <v>344</v>
      </c>
      <c r="L7919" s="5" t="s">
        <v>48227</v>
      </c>
      <c r="M7919" s="27"/>
      <c r="N7919" s="5" t="s">
        <v>61073</v>
      </c>
      <c r="O7919" s="5" t="str">
        <v>7721403552</v>
      </c>
      <c r="P7919" s="27">
        <v>20000</v>
      </c>
      <c r="Q7919" s="5" t="s">
        <v>49009</v>
      </c>
      <c r="R7919" s="5"/>
      <c r="S7919" s="5" t="s">
        <v>61074</v>
      </c>
      <c r="T7919" s="28">
        <v>1011877000</v>
      </c>
      <c r="U7919" s="28">
        <v>274560000</v>
      </c>
      <c r="V7919" s="28">
        <v>3508943000</v>
      </c>
      <c r="W7919" s="28"/>
      <c r="X7919" s="28">
        <v>132747000</v>
      </c>
      <c r="Y7919" s="28">
        <v>10099227000</v>
      </c>
      <c r="Z7919" s="28">
        <v>1923764000</v>
      </c>
      <c r="AA7919" s="28">
        <v>88000000</v>
      </c>
      <c r="AB7919" s="28">
        <v>1956351000</v>
      </c>
      <c r="AC7919" s="28">
        <v>6423577000</v>
      </c>
      <c r="AD7919" s="28">
        <v>2801651000</v>
      </c>
      <c r="AE7919" s="28">
        <v>12125955000</v>
      </c>
      <c r="AF7919" s="28">
        <v>938046000</v>
      </c>
      <c r="AG7919" s="11"/>
    </row>
    <row r="7920">
      <c r="A7920" s="7" t="s">
        <v>9459</v>
      </c>
      <c r="B7920" s="5" t="s">
        <v>17375</v>
      </c>
      <c r="C7920" s="5" t="s">
        <v>24934</v>
      </c>
      <c r="D7920" s="5" t="str">
        <v>780711770423</v>
      </c>
      <c r="E7920" s="0" t="e">
        <f>+7 (916) 1388793
+7 (495) 9266657</f>
        <v>#NAME?</v>
      </c>
      <c r="F7920" s="5" t="s">
        <v>48228</v>
      </c>
      <c r="G7920" s="5" t="s">
        <v>48229</v>
      </c>
      <c r="H7920" s="26">
        <v>12</v>
      </c>
      <c r="I7920" s="5" t="s">
        <v>48230</v>
      </c>
      <c r="J7920" s="5" t="s">
        <v>364</v>
      </c>
      <c r="K7920" s="5" t="s">
        <v>344</v>
      </c>
      <c r="L7920" s="5" t="s">
        <v>48231</v>
      </c>
      <c r="M7920" s="27"/>
      <c r="N7920" s="5" t="s">
        <v>61075</v>
      </c>
      <c r="O7920" s="5" t="str">
        <v>7702755460</v>
      </c>
      <c r="P7920" s="27">
        <v>200000</v>
      </c>
      <c r="Q7920" s="5" t="s">
        <v>61076</v>
      </c>
      <c r="R7920" s="5"/>
      <c r="S7920" s="5" t="s">
        <v>61077</v>
      </c>
      <c r="T7920" s="28">
        <v>22621000</v>
      </c>
      <c r="U7920" s="28">
        <v>900000</v>
      </c>
      <c r="V7920" s="28">
        <v>384950000</v>
      </c>
      <c r="W7920" s="28">
        <v>48744000</v>
      </c>
      <c r="X7920" s="28">
        <v>187862000</v>
      </c>
      <c r="Y7920" s="28">
        <v>950681000</v>
      </c>
      <c r="Z7920" s="28">
        <v>124275000</v>
      </c>
      <c r="AA7920" s="28"/>
      <c r="AB7920" s="28"/>
      <c r="AC7920" s="28">
        <v>820736000</v>
      </c>
      <c r="AD7920" s="28">
        <v>124475000</v>
      </c>
      <c r="AE7920" s="28">
        <v>3016458000</v>
      </c>
      <c r="AF7920" s="28">
        <v>95362000</v>
      </c>
      <c r="AG7920" s="11"/>
    </row>
    <row r="7921">
      <c r="A7921" s="7" t="s">
        <v>9460</v>
      </c>
      <c r="B7921" s="5" t="s">
        <v>17376</v>
      </c>
      <c r="C7921" s="5" t="s">
        <v>24935</v>
      </c>
      <c r="D7921" s="5" t="str">
        <v>502903807949</v>
      </c>
      <c r="E7921" s="0" t="e">
        <f>+7 (495) 7257010
+7 (495) 5862404
+7 (495) 5862520
+7 (495) 5862544
+7 (495) 5867007
+7 (495) 5869209
+7 (495) 5869323
+7 (495) 7287010
+7 (906) 7637644</f>
        <v>#NAME?</v>
      </c>
      <c r="F7921" s="5" t="s">
        <v>48232</v>
      </c>
      <c r="G7921" s="5" t="s">
        <v>48233</v>
      </c>
      <c r="H7921" s="26">
        <v>30</v>
      </c>
      <c r="I7921" s="5"/>
      <c r="J7921" s="5" t="s">
        <v>26623</v>
      </c>
      <c r="K7921" s="5" t="s">
        <v>344</v>
      </c>
      <c r="L7921" s="5"/>
      <c r="M7921" s="27"/>
      <c r="N7921" s="5" t="s">
        <v>61078</v>
      </c>
      <c r="O7921" s="5" t="str">
        <v>5029087589</v>
      </c>
      <c r="P7921" s="27">
        <v>29861069</v>
      </c>
      <c r="Q7921" s="5" t="s">
        <v>49009</v>
      </c>
      <c r="R7921" s="5"/>
      <c r="S7921" s="5" t="s">
        <v>49288</v>
      </c>
      <c r="T7921" s="28">
        <v>116347000</v>
      </c>
      <c r="U7921" s="28">
        <v>30000</v>
      </c>
      <c r="V7921" s="28">
        <v>435737000</v>
      </c>
      <c r="W7921" s="28">
        <v>98000000</v>
      </c>
      <c r="X7921" s="28">
        <v>10333000</v>
      </c>
      <c r="Y7921" s="28">
        <v>667147000</v>
      </c>
      <c r="Z7921" s="28">
        <v>295166000</v>
      </c>
      <c r="AA7921" s="28"/>
      <c r="AB7921" s="28"/>
      <c r="AC7921" s="28">
        <v>340319000</v>
      </c>
      <c r="AD7921" s="28">
        <v>326520000</v>
      </c>
      <c r="AE7921" s="28">
        <v>3955596000</v>
      </c>
      <c r="AF7921" s="28">
        <v>6567000</v>
      </c>
      <c r="AG7921" s="11"/>
    </row>
    <row r="7922">
      <c r="A7922" s="7" t="s">
        <v>9461</v>
      </c>
      <c r="B7922" s="5" t="s">
        <v>17377</v>
      </c>
      <c r="C7922" s="5" t="s">
        <v>24936</v>
      </c>
      <c r="D7922" s="5" t="str">
        <v>773316215033</v>
      </c>
      <c r="E7922" s="0" t="e">
        <f>+7 (495) 6639501
+7 (495) 6633501
+7 (495) 9010109</f>
        <v>#NAME?</v>
      </c>
      <c r="F7922" s="5" t="s">
        <v>48234</v>
      </c>
      <c r="G7922" s="5"/>
      <c r="H7922" s="26">
        <v>13</v>
      </c>
      <c r="I7922" s="5"/>
      <c r="J7922" s="5" t="s">
        <v>25446</v>
      </c>
      <c r="K7922" s="5" t="s">
        <v>344</v>
      </c>
      <c r="L7922" s="5" t="s">
        <v>48235</v>
      </c>
      <c r="M7922" s="27">
        <v>2373105</v>
      </c>
      <c r="N7922" s="5"/>
      <c r="O7922" s="5" t="str">
        <v>7704747031</v>
      </c>
      <c r="P7922" s="27">
        <v>12000000</v>
      </c>
      <c r="Q7922" s="5" t="s">
        <v>49009</v>
      </c>
      <c r="R7922" s="5"/>
      <c r="S7922" s="5" t="s">
        <v>49010</v>
      </c>
      <c r="T7922" s="28">
        <v>163529000</v>
      </c>
      <c r="U7922" s="28">
        <v>2205337000</v>
      </c>
      <c r="V7922" s="28">
        <v>11772592000</v>
      </c>
      <c r="W7922" s="28">
        <v>5037796000</v>
      </c>
      <c r="X7922" s="28">
        <v>2294141000</v>
      </c>
      <c r="Y7922" s="28">
        <v>21553155000</v>
      </c>
      <c r="Z7922" s="28">
        <v>6777146000</v>
      </c>
      <c r="AA7922" s="28"/>
      <c r="AB7922" s="28"/>
      <c r="AC7922" s="28">
        <v>14597423000</v>
      </c>
      <c r="AD7922" s="28">
        <v>6789746000</v>
      </c>
      <c r="AE7922" s="28">
        <v>39595558000</v>
      </c>
      <c r="AF7922" s="28">
        <v>3573598000</v>
      </c>
      <c r="AG7922" s="11"/>
    </row>
    <row r="7923">
      <c r="A7923" s="7" t="s">
        <v>9462</v>
      </c>
      <c r="B7923" s="5" t="s">
        <v>17378</v>
      </c>
      <c r="C7923" s="5" t="s">
        <v>21863</v>
      </c>
      <c r="D7923" s="5" t="str">
        <v>667309696616</v>
      </c>
      <c r="E7923" s="0" t="e">
        <f>+7 (922) 1711555
+7 (342) 4966800
+7 (34249) 91292
+7 (34249) 91311
+7 (34249) 91346
+7 (34249) 91353
+7 (34249) 91518
+7 (34249) 91557
+7 (34249) 91565
+7 (34249) 91567
+7 (34249) 91602
+7 (34249) 91609
+7 (34249) 91875
+7 (495) 4117756</f>
        <v>#NAME?</v>
      </c>
      <c r="F7923" s="5" t="s">
        <v>48236</v>
      </c>
      <c r="G7923" s="5" t="s">
        <v>48237</v>
      </c>
      <c r="H7923" s="26">
        <v>15</v>
      </c>
      <c r="I7923" s="5" t="s">
        <v>48238</v>
      </c>
      <c r="J7923" s="5" t="s">
        <v>30175</v>
      </c>
      <c r="K7923" s="5" t="s">
        <v>355</v>
      </c>
      <c r="L7923" s="5" t="s">
        <v>48239</v>
      </c>
      <c r="M7923" s="27">
        <v>8635683</v>
      </c>
      <c r="N7923" s="5" t="s">
        <v>61079</v>
      </c>
      <c r="O7923" s="5" t="str">
        <v>5918838116</v>
      </c>
      <c r="P7923" s="27">
        <v>396005012</v>
      </c>
      <c r="Q7923" s="5" t="s">
        <v>61081</v>
      </c>
      <c r="R7923" s="5" t="s">
        <v>61082</v>
      </c>
      <c r="S7923" s="5" t="s">
        <v>58518</v>
      </c>
      <c r="T7923" s="28">
        <v>304869000</v>
      </c>
      <c r="U7923" s="28">
        <v>22825000</v>
      </c>
      <c r="V7923" s="28">
        <v>1545861000</v>
      </c>
      <c r="W7923" s="28"/>
      <c r="X7923" s="28">
        <v>108391000</v>
      </c>
      <c r="Y7923" s="28">
        <v>5496304000</v>
      </c>
      <c r="Z7923" s="28">
        <v>1473927000</v>
      </c>
      <c r="AA7923" s="28">
        <v>257794000</v>
      </c>
      <c r="AB7923" s="28">
        <v>637570000</v>
      </c>
      <c r="AC7923" s="28">
        <v>2240969000</v>
      </c>
      <c r="AD7923" s="28">
        <v>1869932000</v>
      </c>
      <c r="AE7923" s="28">
        <v>4057036000</v>
      </c>
      <c r="AF7923" s="28">
        <v>98360000</v>
      </c>
      <c r="AG7923" s="11"/>
    </row>
    <row r="7924">
      <c r="A7924" s="7" t="s">
        <v>9463</v>
      </c>
      <c r="B7924" s="5" t="s">
        <v>17379</v>
      </c>
      <c r="C7924" s="5" t="s">
        <v>24937</v>
      </c>
      <c r="D7924" s="5" t="str">
        <v>222311119561</v>
      </c>
      <c r="E7924" s="0" t="e">
        <f>+7 (343) 3500053
+7 (912) 2559691
+7 (343) 2504202
+7 (343) 2504507
+7 (343) 3857000
+7 (3433) 650842
+7 (3517) 910714
+7 (3519) 8554
+7 (912) 3191000
+7 (912) 7704300
+7 (912) 7707780
+7 (919) 3059000</f>
        <v>#NAME?</v>
      </c>
      <c r="F7924" s="5" t="s">
        <v>48240</v>
      </c>
      <c r="G7924" s="5" t="s">
        <v>48241</v>
      </c>
      <c r="H7924" s="26">
        <v>30</v>
      </c>
      <c r="I7924" s="5"/>
      <c r="J7924" s="5" t="s">
        <v>710</v>
      </c>
      <c r="K7924" s="5" t="s">
        <v>344</v>
      </c>
      <c r="L7924" s="5" t="s">
        <v>48242</v>
      </c>
      <c r="M7924" s="27">
        <v>33151235</v>
      </c>
      <c r="N7924" s="5" t="s">
        <v>61083</v>
      </c>
      <c r="O7924" s="5" t="str">
        <v>6660003489</v>
      </c>
      <c r="P7924" s="27">
        <v>150558000</v>
      </c>
      <c r="Q7924" s="5" t="s">
        <v>61084</v>
      </c>
      <c r="R7924" s="5"/>
      <c r="S7924" s="5" t="s">
        <v>61085</v>
      </c>
      <c r="T7924" s="28">
        <v>259613000</v>
      </c>
      <c r="U7924" s="28">
        <v>54428000</v>
      </c>
      <c r="V7924" s="28">
        <v>4819886000</v>
      </c>
      <c r="W7924" s="28">
        <v>597427000</v>
      </c>
      <c r="X7924" s="28">
        <v>755290000</v>
      </c>
      <c r="Y7924" s="28">
        <v>6750640000</v>
      </c>
      <c r="Z7924" s="28">
        <v>757362000</v>
      </c>
      <c r="AA7924" s="28"/>
      <c r="AB7924" s="28">
        <v>166625000</v>
      </c>
      <c r="AC7924" s="28">
        <v>5595370000</v>
      </c>
      <c r="AD7924" s="28">
        <v>985134000</v>
      </c>
      <c r="AE7924" s="28">
        <v>5301552000</v>
      </c>
      <c r="AF7924" s="28">
        <v>192625000</v>
      </c>
      <c r="AG7924" s="11"/>
    </row>
    <row r="7925">
      <c r="A7925" s="7" t="s">
        <v>9464</v>
      </c>
      <c r="B7925" s="5" t="s">
        <v>17380</v>
      </c>
      <c r="C7925" s="5" t="s">
        <v>24938</v>
      </c>
      <c r="D7925" s="5" t="str">
        <v>773464622787</v>
      </c>
      <c r="E7925" s="0" t="e">
        <f>+7 (493) 2581414
+7 (47131) 21586
+7 (47131) 21600
+7 (495) 9210870
+7 (495) 9210871</f>
        <v>#NAME?</v>
      </c>
      <c r="F7925" s="5" t="s">
        <v>48243</v>
      </c>
      <c r="G7925" s="5" t="s">
        <v>48244</v>
      </c>
      <c r="H7925" s="26">
        <v>29</v>
      </c>
      <c r="I7925" s="5"/>
      <c r="J7925" s="5" t="s">
        <v>27640</v>
      </c>
      <c r="K7925" s="5" t="s">
        <v>344</v>
      </c>
      <c r="L7925" s="5"/>
      <c r="M7925" s="27">
        <v>80224129</v>
      </c>
      <c r="N7925" s="5" t="s">
        <v>61086</v>
      </c>
      <c r="O7925" s="5" t="str">
        <v>7730014175</v>
      </c>
      <c r="P7925" s="27">
        <v>3167070680</v>
      </c>
      <c r="Q7925" s="5" t="s">
        <v>61087</v>
      </c>
      <c r="R7925" s="5" t="s">
        <v>61088</v>
      </c>
      <c r="S7925" s="5" t="s">
        <v>61089</v>
      </c>
      <c r="T7925" s="28">
        <v>1086820000</v>
      </c>
      <c r="U7925" s="28">
        <v>20000</v>
      </c>
      <c r="V7925" s="28">
        <v>1512056000</v>
      </c>
      <c r="W7925" s="28">
        <v>10000</v>
      </c>
      <c r="X7925" s="28">
        <v>924587000</v>
      </c>
      <c r="Y7925" s="28">
        <v>6155937000</v>
      </c>
      <c r="Z7925" s="28">
        <v>-3074847000</v>
      </c>
      <c r="AA7925" s="28">
        <v>2272291000</v>
      </c>
      <c r="AB7925" s="28">
        <v>477771000</v>
      </c>
      <c r="AC7925" s="28">
        <v>1830364000</v>
      </c>
      <c r="AD7925" s="28">
        <v>808813000</v>
      </c>
      <c r="AE7925" s="28">
        <v>3175030000</v>
      </c>
      <c r="AF7925" s="28">
        <v>-127857000</v>
      </c>
      <c r="AG7925" s="11"/>
    </row>
    <row r="7926">
      <c r="A7926" s="7" t="s">
        <v>9465</v>
      </c>
      <c r="B7926" s="5" t="s">
        <v>17381</v>
      </c>
      <c r="C7926" s="5" t="s">
        <v>24769</v>
      </c>
      <c r="D7926" s="5" t="str">
        <v>745307123334</v>
      </c>
      <c r="E7926" s="0" t="e">
        <f>+7 (846) 2060412
+7 (905) 8329750</f>
        <v>#NAME?</v>
      </c>
      <c r="F7926" s="5" t="s">
        <v>48245</v>
      </c>
      <c r="G7926" s="5" t="s">
        <v>48246</v>
      </c>
      <c r="H7926" s="26">
        <v>6</v>
      </c>
      <c r="I7926" s="5" t="s">
        <v>48247</v>
      </c>
      <c r="J7926" s="5" t="s">
        <v>445</v>
      </c>
      <c r="K7926" s="5" t="s">
        <v>344</v>
      </c>
      <c r="L7926" s="5"/>
      <c r="M7926" s="27"/>
      <c r="N7926" s="5"/>
      <c r="O7926" s="5" t="str">
        <v>6313553082</v>
      </c>
      <c r="P7926" s="27">
        <v>129010000</v>
      </c>
      <c r="Q7926" s="5" t="s">
        <v>49009</v>
      </c>
      <c r="R7926" s="5"/>
      <c r="S7926" s="5" t="s">
        <v>49093</v>
      </c>
      <c r="T7926" s="28">
        <v>429076000</v>
      </c>
      <c r="U7926" s="28">
        <v>240000000</v>
      </c>
      <c r="V7926" s="28">
        <v>1533960000</v>
      </c>
      <c r="W7926" s="28">
        <v>249041000</v>
      </c>
      <c r="X7926" s="28">
        <v>29385000</v>
      </c>
      <c r="Y7926" s="28">
        <v>2587413000</v>
      </c>
      <c r="Z7926" s="28">
        <v>504257000</v>
      </c>
      <c r="AA7926" s="28">
        <v>500000000</v>
      </c>
      <c r="AB7926" s="28">
        <v>1422000</v>
      </c>
      <c r="AC7926" s="28">
        <v>1321848000</v>
      </c>
      <c r="AD7926" s="28">
        <v>633267000</v>
      </c>
      <c r="AE7926" s="28">
        <v>7292278000</v>
      </c>
      <c r="AF7926" s="28">
        <v>200228000</v>
      </c>
      <c r="AG7926" s="11"/>
    </row>
    <row r="7927">
      <c r="A7927" s="7" t="s">
        <v>9466</v>
      </c>
      <c r="B7927" s="5" t="s">
        <v>17382</v>
      </c>
      <c r="C7927" s="5" t="s">
        <v>24939</v>
      </c>
      <c r="D7927" s="5" t="str">
        <v>525907834772</v>
      </c>
      <c r="E7927" s="0" t="e">
        <f>+7 (381) 2919945
+7 (390) 2298798
+7 (483) 2329998
+7 (495) 9372780
+7 (495) 9372782</f>
        <v>#NAME?</v>
      </c>
      <c r="F7927" s="5" t="s">
        <v>48248</v>
      </c>
      <c r="G7927" s="5"/>
      <c r="H7927" s="26">
        <v>18</v>
      </c>
      <c r="I7927" s="5" t="s">
        <v>48249</v>
      </c>
      <c r="J7927" s="5" t="s">
        <v>25670</v>
      </c>
      <c r="K7927" s="5" t="s">
        <v>355</v>
      </c>
      <c r="L7927" s="5"/>
      <c r="M7927" s="27">
        <v>37434271</v>
      </c>
      <c r="N7927" s="5" t="s">
        <v>61090</v>
      </c>
      <c r="O7927" s="5" t="str">
        <v>7706561875</v>
      </c>
      <c r="P7927" s="27">
        <v>444000000</v>
      </c>
      <c r="Q7927" s="5" t="s">
        <v>61091</v>
      </c>
      <c r="R7927" s="5"/>
      <c r="S7927" s="5" t="s">
        <v>61092</v>
      </c>
      <c r="T7927" s="28">
        <v>62068000</v>
      </c>
      <c r="U7927" s="28">
        <v>14000</v>
      </c>
      <c r="V7927" s="28">
        <v>12425775000</v>
      </c>
      <c r="W7927" s="28"/>
      <c r="X7927" s="28">
        <v>792511000</v>
      </c>
      <c r="Y7927" s="28">
        <v>15203446000</v>
      </c>
      <c r="Z7927" s="28">
        <v>2742246000</v>
      </c>
      <c r="AA7927" s="28">
        <v>3950259000</v>
      </c>
      <c r="AB7927" s="28">
        <v>6602412000</v>
      </c>
      <c r="AC7927" s="28">
        <v>7508897000</v>
      </c>
      <c r="AD7927" s="28">
        <v>3646246000</v>
      </c>
      <c r="AE7927" s="28">
        <v>4358738000</v>
      </c>
      <c r="AF7927" s="28">
        <v>536470000</v>
      </c>
      <c r="AG7927" s="11"/>
    </row>
    <row r="7928">
      <c r="A7928" s="7" t="s">
        <v>9467</v>
      </c>
      <c r="B7928" s="5" t="s">
        <v>17383</v>
      </c>
      <c r="C7928" s="5" t="s">
        <v>23913</v>
      </c>
      <c r="D7928" s="5"/>
      <c r="E7928" s="0" t="e">
        <f>+7 (343) 2161972
+7 (343) 2161970
+7 (343) 2170687
+7 (343) 2170915
+7 (3432) 161973
+7 (3433) 170687
+7 (922) 5798033
+7 (961) 7717050
+7 (963) 363933</f>
        <v>#NAME?</v>
      </c>
      <c r="F7928" s="5" t="s">
        <v>48250</v>
      </c>
      <c r="G7928" s="5" t="s">
        <v>48251</v>
      </c>
      <c r="H7928" s="26">
        <v>19.5</v>
      </c>
      <c r="I7928" s="5" t="s">
        <v>48252</v>
      </c>
      <c r="J7928" s="5" t="s">
        <v>34912</v>
      </c>
      <c r="K7928" s="5" t="s">
        <v>344</v>
      </c>
      <c r="L7928" s="5" t="s">
        <v>48253</v>
      </c>
      <c r="M7928" s="27">
        <v>75774221</v>
      </c>
      <c r="N7928" s="5" t="s">
        <v>61093</v>
      </c>
      <c r="O7928" s="5" t="str">
        <v>6674121179</v>
      </c>
      <c r="P7928" s="27">
        <v>13291511</v>
      </c>
      <c r="Q7928" s="5" t="s">
        <v>49009</v>
      </c>
      <c r="R7928" s="5"/>
      <c r="S7928" s="5" t="s">
        <v>49576</v>
      </c>
      <c r="T7928" s="28">
        <v>36707469000</v>
      </c>
      <c r="U7928" s="28">
        <v>11010000</v>
      </c>
      <c r="V7928" s="28">
        <v>2497395000</v>
      </c>
      <c r="W7928" s="28"/>
      <c r="X7928" s="28">
        <v>2335072000</v>
      </c>
      <c r="Y7928" s="28">
        <v>65788068000</v>
      </c>
      <c r="Z7928" s="28">
        <v>8543285000</v>
      </c>
      <c r="AA7928" s="28"/>
      <c r="AB7928" s="28">
        <v>2577869000</v>
      </c>
      <c r="AC7928" s="28">
        <v>19529873000</v>
      </c>
      <c r="AD7928" s="28">
        <v>8556576000</v>
      </c>
      <c r="AE7928" s="28">
        <v>177717314000</v>
      </c>
      <c r="AF7928" s="28">
        <v>10562455000</v>
      </c>
      <c r="AG7928" s="11"/>
    </row>
    <row r="7929">
      <c r="A7929" s="7" t="s">
        <v>9468</v>
      </c>
      <c r="B7929" s="5" t="s">
        <v>14595</v>
      </c>
      <c r="C7929" s="5" t="s">
        <v>24940</v>
      </c>
      <c r="D7929" s="5"/>
      <c r="E7929" s="0" t="e">
        <f>+7 (495) 7455950
+7 (495) 7455951
+7 (495) 7455953
+7 (495) 7455954
+7 (495) 7771258</f>
        <v>#NAME?</v>
      </c>
      <c r="F7929" s="5" t="s">
        <v>48254</v>
      </c>
      <c r="G7929" s="5"/>
      <c r="H7929" s="26">
        <v>11</v>
      </c>
      <c r="I7929" s="5" t="s">
        <v>48255</v>
      </c>
      <c r="J7929" s="5" t="s">
        <v>25788</v>
      </c>
      <c r="K7929" s="5" t="s">
        <v>344</v>
      </c>
      <c r="L7929" s="5"/>
      <c r="M7929" s="27"/>
      <c r="N7929" s="5"/>
      <c r="O7929" s="5" t="str">
        <v>5030076415</v>
      </c>
      <c r="P7929" s="27">
        <v>100000</v>
      </c>
      <c r="Q7929" s="5"/>
      <c r="R7929" s="5"/>
      <c r="S7929" s="5" t="s">
        <v>49425</v>
      </c>
      <c r="T7929" s="28">
        <v>182104000</v>
      </c>
      <c r="U7929" s="28"/>
      <c r="V7929" s="28">
        <v>403205000</v>
      </c>
      <c r="W7929" s="28"/>
      <c r="X7929" s="28">
        <v>24869000</v>
      </c>
      <c r="Y7929" s="28">
        <v>734024000</v>
      </c>
      <c r="Z7929" s="28">
        <v>113612000</v>
      </c>
      <c r="AA7929" s="28"/>
      <c r="AB7929" s="28"/>
      <c r="AC7929" s="28">
        <v>503560000</v>
      </c>
      <c r="AD7929" s="28">
        <v>113900000</v>
      </c>
      <c r="AE7929" s="28">
        <v>10784011000</v>
      </c>
      <c r="AF7929" s="28">
        <v>7961000</v>
      </c>
      <c r="AG7929" s="11"/>
    </row>
    <row r="7930">
      <c r="A7930" s="7" t="s">
        <v>9469</v>
      </c>
      <c r="B7930" s="5" t="s">
        <v>17384</v>
      </c>
      <c r="C7930" s="5" t="s">
        <v>24941</v>
      </c>
      <c r="D7930" s="5" t="str">
        <v>616701440613</v>
      </c>
      <c r="E7930" s="0" t="e">
        <f>+7 (800) 2505234
+7 (8632) 415
+7 (8632) 475
+7 (8632) 480
+7 (8632) 488
+7 (8632) 490
+7 (8632) 494
+7 (8632) 237092
+7 (8632) 237096</f>
        <v>#NAME?</v>
      </c>
      <c r="F7930" s="5" t="s">
        <v>48256</v>
      </c>
      <c r="G7930" s="5"/>
      <c r="H7930" s="26">
        <v>30.5</v>
      </c>
      <c r="I7930" s="5"/>
      <c r="J7930" s="5" t="s">
        <v>34088</v>
      </c>
      <c r="K7930" s="5" t="s">
        <v>344</v>
      </c>
      <c r="L7930" s="5" t="s">
        <v>48257</v>
      </c>
      <c r="M7930" s="27">
        <v>940083</v>
      </c>
      <c r="N7930" s="5"/>
      <c r="O7930" s="5" t="str">
        <v>6152001000</v>
      </c>
      <c r="P7930" s="27">
        <v>627800</v>
      </c>
      <c r="Q7930" s="5" t="s">
        <v>49021</v>
      </c>
      <c r="R7930" s="5"/>
      <c r="S7930" s="5" t="s">
        <v>61095</v>
      </c>
      <c r="T7930" s="28">
        <v>1384107000</v>
      </c>
      <c r="U7930" s="28">
        <v>2748000</v>
      </c>
      <c r="V7930" s="28">
        <v>363192000</v>
      </c>
      <c r="W7930" s="28">
        <v>92730000</v>
      </c>
      <c r="X7930" s="28">
        <v>107162000</v>
      </c>
      <c r="Y7930" s="28">
        <v>3746520000</v>
      </c>
      <c r="Z7930" s="28">
        <v>1611368000</v>
      </c>
      <c r="AA7930" s="28">
        <v>419219000</v>
      </c>
      <c r="AB7930" s="28">
        <v>3735000</v>
      </c>
      <c r="AC7930" s="28">
        <v>833874000</v>
      </c>
      <c r="AD7930" s="28">
        <v>1635421000</v>
      </c>
      <c r="AE7930" s="28">
        <v>4617724000</v>
      </c>
      <c r="AF7930" s="28">
        <v>221785000</v>
      </c>
      <c r="AG7930" s="11"/>
    </row>
    <row r="7931">
      <c r="A7931" s="7" t="s">
        <v>9470</v>
      </c>
      <c r="B7931" s="5" t="s">
        <v>17385</v>
      </c>
      <c r="C7931" s="5" t="s">
        <v>24942</v>
      </c>
      <c r="D7931" s="5" t="str">
        <v>381002766874</v>
      </c>
      <c r="E7931" s="0" t="e">
        <f>+7 (914) 9194894
+7 (3952) 404022
+7 (3952) 503344
+7 (495) 2503344</f>
        <v>#NAME?</v>
      </c>
      <c r="F7931" s="5" t="s">
        <v>48258</v>
      </c>
      <c r="G7931" s="5"/>
      <c r="H7931" s="26">
        <v>8.5</v>
      </c>
      <c r="I7931" s="5" t="s">
        <v>48259</v>
      </c>
      <c r="J7931" s="5" t="s">
        <v>26125</v>
      </c>
      <c r="K7931" s="5" t="s">
        <v>344</v>
      </c>
      <c r="L7931" s="5" t="s">
        <v>48260</v>
      </c>
      <c r="M7931" s="27"/>
      <c r="N7931" s="5" t="s">
        <v>61096</v>
      </c>
      <c r="O7931" s="5" t="str">
        <v>3810340240</v>
      </c>
      <c r="P7931" s="27">
        <v>40000</v>
      </c>
      <c r="Q7931" s="5" t="s">
        <v>49009</v>
      </c>
      <c r="R7931" s="5"/>
      <c r="S7931" s="5" t="s">
        <v>49012</v>
      </c>
      <c r="T7931" s="28">
        <v>20710000</v>
      </c>
      <c r="U7931" s="28"/>
      <c r="V7931" s="28">
        <v>508399000</v>
      </c>
      <c r="W7931" s="28">
        <v>136608000</v>
      </c>
      <c r="X7931" s="28">
        <v>16278000</v>
      </c>
      <c r="Y7931" s="28">
        <v>2097067000</v>
      </c>
      <c r="Z7931" s="28">
        <v>131108000</v>
      </c>
      <c r="AA7931" s="28">
        <v>1456401000</v>
      </c>
      <c r="AB7931" s="28">
        <v>17134000</v>
      </c>
      <c r="AC7931" s="28">
        <v>509509000</v>
      </c>
      <c r="AD7931" s="28">
        <v>131148000</v>
      </c>
      <c r="AE7931" s="28">
        <v>9719046000</v>
      </c>
      <c r="AF7931" s="28">
        <v>33092000</v>
      </c>
      <c r="AG7931" s="11"/>
    </row>
    <row r="7932">
      <c r="A7932" s="7" t="s">
        <v>1686</v>
      </c>
      <c r="B7932" s="5" t="s">
        <v>17386</v>
      </c>
      <c r="C7932" s="5" t="s">
        <v>24943</v>
      </c>
      <c r="D7932" s="5" t="str">
        <v>673110926866</v>
      </c>
      <c r="F7932" s="5"/>
      <c r="G7932" s="5" t="s">
        <v>48261</v>
      </c>
      <c r="H7932" s="26">
        <v>2</v>
      </c>
      <c r="I7932" s="5" t="s">
        <v>48262</v>
      </c>
      <c r="J7932" s="5" t="s">
        <v>27983</v>
      </c>
      <c r="K7932" s="5" t="s">
        <v>344</v>
      </c>
      <c r="L7932" s="5" t="s">
        <v>40093</v>
      </c>
      <c r="M7932" s="27"/>
      <c r="N7932" s="5"/>
      <c r="O7932" s="5" t="str">
        <v>6732205624</v>
      </c>
      <c r="P7932" s="27">
        <v>300000</v>
      </c>
      <c r="Q7932" s="5"/>
      <c r="R7932" s="5"/>
      <c r="S7932" s="5" t="s">
        <v>49029</v>
      </c>
      <c r="T7932" s="28">
        <v>153000</v>
      </c>
      <c r="U7932" s="28"/>
      <c r="V7932" s="28">
        <v>123348000</v>
      </c>
      <c r="W7932" s="28"/>
      <c r="X7932" s="28">
        <v>77304000</v>
      </c>
      <c r="Y7932" s="28">
        <v>390682000</v>
      </c>
      <c r="Z7932" s="28">
        <v>78101000</v>
      </c>
      <c r="AA7932" s="28"/>
      <c r="AB7932" s="28"/>
      <c r="AC7932" s="28">
        <v>312281000</v>
      </c>
      <c r="AD7932" s="28">
        <v>78401000</v>
      </c>
      <c r="AE7932" s="28">
        <v>4324372000</v>
      </c>
      <c r="AF7932" s="28">
        <v>47936000</v>
      </c>
      <c r="AG7932" s="11"/>
    </row>
    <row r="7933">
      <c r="A7933" s="7" t="s">
        <v>9471</v>
      </c>
      <c r="B7933" s="5" t="s">
        <v>17387</v>
      </c>
      <c r="C7933" s="5" t="s">
        <v>24944</v>
      </c>
      <c r="D7933" s="5" t="str">
        <v>780225490587</v>
      </c>
      <c r="E7933" s="0" t="e">
        <f>+7 (911) 9239036
+7 (421) 2755095
+7 (495) 7250925
+7 (812) 7024242</f>
        <v>#NAME?</v>
      </c>
      <c r="F7933" s="5" t="s">
        <v>48263</v>
      </c>
      <c r="G7933" s="5"/>
      <c r="H7933" s="26">
        <v>8</v>
      </c>
      <c r="I7933" s="5" t="s">
        <v>48264</v>
      </c>
      <c r="J7933" s="5" t="s">
        <v>32226</v>
      </c>
      <c r="K7933" s="5" t="s">
        <v>344</v>
      </c>
      <c r="L7933" s="5" t="s">
        <v>48265</v>
      </c>
      <c r="M7933" s="27"/>
      <c r="N7933" s="5" t="s">
        <v>61097</v>
      </c>
      <c r="O7933" s="5" t="str">
        <v>7719104957</v>
      </c>
      <c r="P7933" s="27">
        <v>10000</v>
      </c>
      <c r="Q7933" s="5" t="s">
        <v>49822</v>
      </c>
      <c r="R7933" s="5"/>
      <c r="S7933" s="5" t="s">
        <v>61098</v>
      </c>
      <c r="T7933" s="28">
        <v>21798000</v>
      </c>
      <c r="U7933" s="28">
        <v>1041671000</v>
      </c>
      <c r="V7933" s="28">
        <v>617910000</v>
      </c>
      <c r="W7933" s="28"/>
      <c r="X7933" s="28">
        <v>993269000</v>
      </c>
      <c r="Y7933" s="28">
        <v>3137977000</v>
      </c>
      <c r="Z7933" s="28">
        <v>451573000</v>
      </c>
      <c r="AA7933" s="28"/>
      <c r="AB7933" s="28">
        <v>372020000</v>
      </c>
      <c r="AC7933" s="28">
        <v>2669650000</v>
      </c>
      <c r="AD7933" s="28">
        <v>457532000</v>
      </c>
      <c r="AE7933" s="28">
        <v>6209727000</v>
      </c>
      <c r="AF7933" s="28">
        <v>431579000</v>
      </c>
      <c r="AG7933" s="11"/>
    </row>
    <row r="7934">
      <c r="A7934" s="7" t="s">
        <v>9472</v>
      </c>
      <c r="B7934" s="5" t="s">
        <v>17388</v>
      </c>
      <c r="C7934" s="5" t="s">
        <v>24945</v>
      </c>
      <c r="D7934" s="5" t="str">
        <v>501804719785</v>
      </c>
      <c r="E7934" s="0" t="e">
        <f>+7 (495) 3800101
+7 (495) 3800124
+7 (495) 3800125
+7 (495) 3800129
+7 (495) 3800135
+7 (495) 3800164
+7 (495) 7458888
+7 (495) 7458935
+7 (495) 7458938
+7 (499) 1682864
+7 (499) 2693010
+7 (499) 3802702
+7 (499) 7855593
+7 (499) 9661515
+7 (499) 9662020</f>
        <v>#NAME?</v>
      </c>
      <c r="F7934" s="5"/>
      <c r="G7934" s="5" t="s">
        <v>48266</v>
      </c>
      <c r="H7934" s="26">
        <v>7.5</v>
      </c>
      <c r="I7934" s="5" t="s">
        <v>48267</v>
      </c>
      <c r="J7934" s="5" t="s">
        <v>25216</v>
      </c>
      <c r="K7934" s="5" t="s">
        <v>344</v>
      </c>
      <c r="L7934" s="5" t="s">
        <v>48268</v>
      </c>
      <c r="M7934" s="27"/>
      <c r="N7934" s="5"/>
      <c r="O7934" s="5" t="str">
        <v>7718278630</v>
      </c>
      <c r="P7934" s="27">
        <v>500000</v>
      </c>
      <c r="Q7934" s="5" t="s">
        <v>49009</v>
      </c>
      <c r="R7934" s="5"/>
      <c r="S7934" s="5" t="s">
        <v>49045</v>
      </c>
      <c r="T7934" s="28">
        <v>1285000</v>
      </c>
      <c r="U7934" s="28"/>
      <c r="V7934" s="28">
        <v>849243000</v>
      </c>
      <c r="W7934" s="28">
        <v>60766000</v>
      </c>
      <c r="X7934" s="28">
        <v>17409000</v>
      </c>
      <c r="Y7934" s="28">
        <v>2652101000</v>
      </c>
      <c r="Z7934" s="28">
        <v>1953774000</v>
      </c>
      <c r="AA7934" s="28">
        <v>423674000</v>
      </c>
      <c r="AB7934" s="28">
        <v>15518000</v>
      </c>
      <c r="AC7934" s="28">
        <v>270281000</v>
      </c>
      <c r="AD7934" s="28">
        <v>1954332000</v>
      </c>
      <c r="AE7934" s="28">
        <v>7864550000</v>
      </c>
      <c r="AF7934" s="28">
        <v>6508000</v>
      </c>
      <c r="AG7934" s="11"/>
    </row>
    <row r="7935">
      <c r="A7935" s="7" t="s">
        <v>9473</v>
      </c>
      <c r="B7935" s="5" t="s">
        <v>17389</v>
      </c>
      <c r="C7935" s="5" t="s">
        <v>24946</v>
      </c>
      <c r="D7935" s="5" t="str">
        <v>312327770207</v>
      </c>
      <c r="E7935" s="0" t="e">
        <f>+7 (472) 2203021
+7 (906) 6045018
+7 (962) 3080759</f>
        <v>#NAME?</v>
      </c>
      <c r="F7935" s="5" t="s">
        <v>48269</v>
      </c>
      <c r="G7935" s="5"/>
      <c r="H7935" s="26">
        <v>6.5</v>
      </c>
      <c r="I7935" s="5" t="s">
        <v>48270</v>
      </c>
      <c r="J7935" s="5" t="s">
        <v>364</v>
      </c>
      <c r="K7935" s="5" t="s">
        <v>344</v>
      </c>
      <c r="L7935" s="5" t="s">
        <v>40746</v>
      </c>
      <c r="M7935" s="27"/>
      <c r="N7935" s="5" t="s">
        <v>61099</v>
      </c>
      <c r="O7935" s="5" t="str">
        <v>3123397986</v>
      </c>
      <c r="P7935" s="27">
        <v>10000</v>
      </c>
      <c r="Q7935" s="5" t="s">
        <v>61100</v>
      </c>
      <c r="R7935" s="5"/>
      <c r="S7935" s="5" t="s">
        <v>61101</v>
      </c>
      <c r="T7935" s="28">
        <v>4617000</v>
      </c>
      <c r="U7935" s="28"/>
      <c r="V7935" s="28"/>
      <c r="W7935" s="28"/>
      <c r="X7935" s="28">
        <v>27865000</v>
      </c>
      <c r="Y7935" s="28">
        <v>58785000</v>
      </c>
      <c r="Z7935" s="28"/>
      <c r="AA7935" s="28"/>
      <c r="AB7935" s="28"/>
      <c r="AC7935" s="28">
        <v>58785000</v>
      </c>
      <c r="AD7935" s="28"/>
      <c r="AE7935" s="28">
        <v>73184425000</v>
      </c>
      <c r="AF7935" s="28">
        <v>8528494000</v>
      </c>
      <c r="AG7935" s="11"/>
    </row>
    <row r="7936">
      <c r="A7936" s="7" t="s">
        <v>9474</v>
      </c>
      <c r="B7936" s="5" t="s">
        <v>17390</v>
      </c>
      <c r="C7936" s="5" t="s">
        <v>24947</v>
      </c>
      <c r="D7936" s="5" t="str">
        <v>590707747292</v>
      </c>
      <c r="E7936" s="0" t="e">
        <f>+7 (3422) 495338
+7 (3422) 495342
+7 (3422) 495354
+7 (3422) 495357
+7 (3422) 495408
+7 (3422) 495494
+7 (3422) 495535</f>
        <v>#NAME?</v>
      </c>
      <c r="F7936" s="5" t="s">
        <v>48271</v>
      </c>
      <c r="G7936" s="5"/>
      <c r="H7936" s="26">
        <v>15</v>
      </c>
      <c r="I7936" s="5" t="s">
        <v>48272</v>
      </c>
      <c r="J7936" s="5" t="s">
        <v>31029</v>
      </c>
      <c r="K7936" s="5" t="s">
        <v>344</v>
      </c>
      <c r="L7936" s="5" t="s">
        <v>48273</v>
      </c>
      <c r="M7936" s="27">
        <v>1694700</v>
      </c>
      <c r="N7936" s="5" t="s">
        <v>61102</v>
      </c>
      <c r="O7936" s="5" t="str">
        <v>5904179826</v>
      </c>
      <c r="P7936" s="27">
        <v>10000</v>
      </c>
      <c r="Q7936" s="5" t="s">
        <v>61103</v>
      </c>
      <c r="R7936" s="5"/>
      <c r="S7936" s="5" t="s">
        <v>61104</v>
      </c>
      <c r="T7936" s="28">
        <v>214000</v>
      </c>
      <c r="U7936" s="28">
        <v>123627000</v>
      </c>
      <c r="V7936" s="28">
        <v>968141000</v>
      </c>
      <c r="W7936" s="28">
        <v>1560000</v>
      </c>
      <c r="X7936" s="28">
        <v>2024000</v>
      </c>
      <c r="Y7936" s="28">
        <v>1152239000</v>
      </c>
      <c r="Z7936" s="28">
        <v>317751000</v>
      </c>
      <c r="AA7936" s="28"/>
      <c r="AB7936" s="28">
        <v>34971000</v>
      </c>
      <c r="AC7936" s="28">
        <v>834076000</v>
      </c>
      <c r="AD7936" s="28">
        <v>317761000</v>
      </c>
      <c r="AE7936" s="28">
        <v>3083765000</v>
      </c>
      <c r="AF7936" s="28">
        <v>272089000</v>
      </c>
      <c r="AG7936" s="11"/>
    </row>
    <row r="7937">
      <c r="A7937" s="7" t="s">
        <v>9475</v>
      </c>
      <c r="B7937" s="5" t="s">
        <v>17391</v>
      </c>
      <c r="C7937" s="5" t="s">
        <v>24948</v>
      </c>
      <c r="D7937" s="5" t="str">
        <v>772908510934</v>
      </c>
      <c r="E7937" s="0" t="e">
        <f>+7 (391) 2549336
+7 (495) 2878456
+7 (495) 2878457
+7 (495) 5807181
+7 (495) 5807183
+7 (800) 5558555
+7 (812) 7186222</f>
        <v>#NAME?</v>
      </c>
      <c r="F7937" s="5" t="s">
        <v>48274</v>
      </c>
      <c r="G7937" s="5" t="s">
        <v>48275</v>
      </c>
      <c r="H7937" s="26">
        <v>5.5</v>
      </c>
      <c r="I7937" s="5" t="s">
        <v>48276</v>
      </c>
      <c r="J7937" s="5" t="s">
        <v>1026</v>
      </c>
      <c r="K7937" s="5" t="s">
        <v>344</v>
      </c>
      <c r="L7937" s="5" t="s">
        <v>48277</v>
      </c>
      <c r="M7937" s="27"/>
      <c r="N7937" s="5" t="s">
        <v>61105</v>
      </c>
      <c r="O7937" s="5" t="str">
        <v>5024177951</v>
      </c>
      <c r="P7937" s="27">
        <v>7100000</v>
      </c>
      <c r="Q7937" s="5" t="s">
        <v>61106</v>
      </c>
      <c r="R7937" s="5"/>
      <c r="S7937" s="5" t="s">
        <v>61107</v>
      </c>
      <c r="T7937" s="28">
        <v>20952000</v>
      </c>
      <c r="U7937" s="28">
        <v>99000</v>
      </c>
      <c r="V7937" s="28">
        <v>20661377000</v>
      </c>
      <c r="W7937" s="28">
        <v>929000000</v>
      </c>
      <c r="X7937" s="28">
        <v>299574000</v>
      </c>
      <c r="Y7937" s="28">
        <v>28836598000</v>
      </c>
      <c r="Z7937" s="28">
        <v>3528315000</v>
      </c>
      <c r="AA7937" s="28">
        <v>7950000000</v>
      </c>
      <c r="AB7937" s="28">
        <v>200000000</v>
      </c>
      <c r="AC7937" s="28">
        <v>17327988000</v>
      </c>
      <c r="AD7937" s="28">
        <v>3535415000</v>
      </c>
      <c r="AE7937" s="28">
        <v>77010490000</v>
      </c>
      <c r="AF7937" s="28">
        <v>2137368000</v>
      </c>
      <c r="AG7937" s="11"/>
    </row>
    <row r="7938">
      <c r="A7938" s="7" t="s">
        <v>9476</v>
      </c>
      <c r="B7938" s="5" t="s">
        <v>17392</v>
      </c>
      <c r="C7938" s="5" t="s">
        <v>24949</v>
      </c>
      <c r="D7938" s="5" t="str">
        <v>781132669495</v>
      </c>
      <c r="E7938" s="0" t="e">
        <f>+7 (3472) 256888
+7 (812) 3208881</f>
        <v>#NAME?</v>
      </c>
      <c r="F7938" s="5" t="s">
        <v>48278</v>
      </c>
      <c r="G7938" s="5" t="s">
        <v>48279</v>
      </c>
      <c r="H7938" s="26">
        <v>24.5</v>
      </c>
      <c r="I7938" s="5" t="s">
        <v>48280</v>
      </c>
      <c r="J7938" s="5" t="s">
        <v>26173</v>
      </c>
      <c r="K7938" s="5" t="s">
        <v>344</v>
      </c>
      <c r="L7938" s="5" t="s">
        <v>48281</v>
      </c>
      <c r="M7938" s="27">
        <v>204390</v>
      </c>
      <c r="N7938" s="5" t="s">
        <v>61108</v>
      </c>
      <c r="O7938" s="5" t="str">
        <v>7804079187</v>
      </c>
      <c r="P7938" s="27">
        <v>100000</v>
      </c>
      <c r="Q7938" s="5" t="s">
        <v>49009</v>
      </c>
      <c r="R7938" s="5"/>
      <c r="S7938" s="5" t="s">
        <v>49085</v>
      </c>
      <c r="T7938" s="28">
        <v>145307000</v>
      </c>
      <c r="U7938" s="28">
        <v>268396000</v>
      </c>
      <c r="V7938" s="28">
        <v>1932502000</v>
      </c>
      <c r="W7938" s="28"/>
      <c r="X7938" s="28">
        <v>264210000</v>
      </c>
      <c r="Y7938" s="28">
        <v>7117112000</v>
      </c>
      <c r="Z7938" s="28">
        <v>4621051000</v>
      </c>
      <c r="AA7938" s="28">
        <v>436276000</v>
      </c>
      <c r="AB7938" s="28">
        <v>194903000</v>
      </c>
      <c r="AC7938" s="28">
        <v>2047673000</v>
      </c>
      <c r="AD7938" s="28">
        <v>4621151000</v>
      </c>
      <c r="AE7938" s="28">
        <v>15336059000</v>
      </c>
      <c r="AF7938" s="28">
        <v>1981771000</v>
      </c>
      <c r="AG7938" s="11"/>
    </row>
    <row r="7939">
      <c r="A7939" s="7" t="s">
        <v>9477</v>
      </c>
      <c r="B7939" s="5" t="s">
        <v>17393</v>
      </c>
      <c r="C7939" s="5" t="s">
        <v>24950</v>
      </c>
      <c r="D7939" s="5" t="str">
        <v>390609722784</v>
      </c>
      <c r="E7939" s="0" t="e">
        <f>+7 (401) 2590002
+7 (401) 2590012
+7 (401) 2590115
+7 (495) 6231919
+7 (495) 6240981
+7 (495) 6241919
+7 (495) 6273869
+7 (495) 6273909
+7 (495) 6273957
+7 (495) 9231411
+7 (495) 9273869</f>
        <v>#NAME?</v>
      </c>
      <c r="F7939" s="5" t="s">
        <v>48282</v>
      </c>
      <c r="G7939" s="5" t="s">
        <v>25706</v>
      </c>
      <c r="H7939" s="26">
        <v>24</v>
      </c>
      <c r="I7939" s="5" t="s">
        <v>48283</v>
      </c>
      <c r="J7939" s="5" t="s">
        <v>26229</v>
      </c>
      <c r="K7939" s="5" t="s">
        <v>355</v>
      </c>
      <c r="L7939" s="5"/>
      <c r="M7939" s="27"/>
      <c r="N7939" s="5"/>
      <c r="O7939" s="5" t="str">
        <v>3906072056</v>
      </c>
      <c r="P7939" s="27">
        <v>1000000</v>
      </c>
      <c r="Q7939" s="5"/>
      <c r="R7939" s="5" t="s">
        <v>53830</v>
      </c>
      <c r="S7939" s="5" t="s">
        <v>49029</v>
      </c>
      <c r="T7939" s="28">
        <v>1303060000</v>
      </c>
      <c r="U7939" s="28">
        <v>65952000</v>
      </c>
      <c r="V7939" s="28">
        <v>26394298000</v>
      </c>
      <c r="W7939" s="28">
        <v>2600000</v>
      </c>
      <c r="X7939" s="28">
        <v>2563763000</v>
      </c>
      <c r="Y7939" s="28">
        <v>37207616000</v>
      </c>
      <c r="Z7939" s="28">
        <v>1819698000</v>
      </c>
      <c r="AA7939" s="28">
        <v>263332000</v>
      </c>
      <c r="AB7939" s="28">
        <v>13109666000</v>
      </c>
      <c r="AC7939" s="28">
        <v>35078618000</v>
      </c>
      <c r="AD7939" s="28">
        <v>1870099000</v>
      </c>
      <c r="AE7939" s="28">
        <v>86402480000</v>
      </c>
      <c r="AF7939" s="28">
        <v>-259577000</v>
      </c>
      <c r="AG7939" s="11"/>
    </row>
    <row r="7940">
      <c r="A7940" s="7" t="s">
        <v>9478</v>
      </c>
      <c r="B7940" s="5" t="s">
        <v>17394</v>
      </c>
      <c r="C7940" s="5" t="s">
        <v>24951</v>
      </c>
      <c r="D7940" s="5" t="str">
        <v>550702279447</v>
      </c>
      <c r="E7940" s="0" t="e">
        <f>+7 (911) 7722753</f>
        <v>#NAME?</v>
      </c>
      <c r="F7940" s="5" t="s">
        <v>48284</v>
      </c>
      <c r="G7940" s="5"/>
      <c r="H7940" s="26">
        <v>19</v>
      </c>
      <c r="I7940" s="5" t="s">
        <v>48285</v>
      </c>
      <c r="J7940" s="5" t="s">
        <v>373</v>
      </c>
      <c r="K7940" s="5" t="s">
        <v>355</v>
      </c>
      <c r="L7940" s="5" t="s">
        <v>381</v>
      </c>
      <c r="M7940" s="27"/>
      <c r="N7940" s="5"/>
      <c r="O7940" s="5" t="str">
        <v>7840009322</v>
      </c>
      <c r="P7940" s="27">
        <v>10000</v>
      </c>
      <c r="Q7940" s="5"/>
      <c r="R7940" s="5"/>
      <c r="S7940" s="5" t="s">
        <v>49110</v>
      </c>
      <c r="T7940" s="28">
        <v>1378000</v>
      </c>
      <c r="U7940" s="28"/>
      <c r="V7940" s="28">
        <v>2659826000</v>
      </c>
      <c r="W7940" s="28"/>
      <c r="X7940" s="28">
        <v>411887000</v>
      </c>
      <c r="Y7940" s="28">
        <v>3619936000</v>
      </c>
      <c r="Z7940" s="28">
        <v>-296829000</v>
      </c>
      <c r="AA7940" s="28"/>
      <c r="AB7940" s="28"/>
      <c r="AC7940" s="28">
        <v>3902955000</v>
      </c>
      <c r="AD7940" s="28">
        <v>-296819000</v>
      </c>
      <c r="AE7940" s="28">
        <v>10586448000</v>
      </c>
      <c r="AF7940" s="28">
        <v>-297062000</v>
      </c>
      <c r="AG7940" s="11"/>
    </row>
    <row r="7941">
      <c r="A7941" s="7" t="s">
        <v>9479</v>
      </c>
      <c r="B7941" s="5" t="s">
        <v>17395</v>
      </c>
      <c r="C7941" s="5" t="s">
        <v>24952</v>
      </c>
      <c r="D7941" s="5" t="str">
        <v>225700197938</v>
      </c>
      <c r="E7941" s="0" t="e">
        <f>+7 (385) 2722943
+7 (385) 2722944
+7 (385) 2722945
+7 (385) 2722946
+7 (38583) 21124</f>
        <v>#NAME?</v>
      </c>
      <c r="F7941" s="5" t="s">
        <v>48286</v>
      </c>
      <c r="G7941" s="5" t="s">
        <v>48287</v>
      </c>
      <c r="H7941" s="26">
        <v>17.5</v>
      </c>
      <c r="I7941" s="5" t="s">
        <v>48288</v>
      </c>
      <c r="J7941" s="5" t="s">
        <v>25837</v>
      </c>
      <c r="K7941" s="5" t="s">
        <v>355</v>
      </c>
      <c r="L7941" s="5" t="s">
        <v>48289</v>
      </c>
      <c r="M7941" s="27"/>
      <c r="N7941" s="5"/>
      <c r="O7941" s="5" t="str">
        <v>2257004191</v>
      </c>
      <c r="P7941" s="27">
        <v>500000</v>
      </c>
      <c r="Q7941" s="5"/>
      <c r="R7941" s="5"/>
      <c r="S7941" s="5" t="s">
        <v>49029</v>
      </c>
      <c r="T7941" s="28">
        <v>1575162000</v>
      </c>
      <c r="U7941" s="28">
        <v>962983000</v>
      </c>
      <c r="V7941" s="28">
        <v>717432000</v>
      </c>
      <c r="W7941" s="28">
        <v>341150000</v>
      </c>
      <c r="X7941" s="28">
        <v>72579000</v>
      </c>
      <c r="Y7941" s="28">
        <v>4506090000</v>
      </c>
      <c r="Z7941" s="28">
        <v>839837000</v>
      </c>
      <c r="AA7941" s="28"/>
      <c r="AB7941" s="28">
        <v>1791748000</v>
      </c>
      <c r="AC7941" s="28">
        <v>3139083000</v>
      </c>
      <c r="AD7941" s="28">
        <v>1065337000</v>
      </c>
      <c r="AE7941" s="28">
        <v>8130629000</v>
      </c>
      <c r="AF7941" s="28">
        <v>136758000</v>
      </c>
      <c r="AG7941" s="11"/>
    </row>
    <row r="7942">
      <c r="A7942" s="7" t="s">
        <v>9480</v>
      </c>
      <c r="B7942" s="5" t="s">
        <v>17396</v>
      </c>
      <c r="C7942" s="5" t="s">
        <v>24953</v>
      </c>
      <c r="D7942" s="5" t="str">
        <v>890302256199</v>
      </c>
      <c r="E7942" s="0" t="e">
        <f>+7 (495) 7866361
+7 (3512) 478018
+7 (499) 1987561
+7 (499) 1989649
+7 (499) 1989704
+7 (499) 6438661
+7 (499) 6438662
+7 (499) 9435796
+7 (499) 9469820
+7 (499) 9469821
+7 (499) 9469822</f>
        <v>#NAME?</v>
      </c>
      <c r="F7942" s="5" t="s">
        <v>48290</v>
      </c>
      <c r="G7942" s="5" t="s">
        <v>48291</v>
      </c>
      <c r="H7942" s="26">
        <v>30.5</v>
      </c>
      <c r="I7942" s="5" t="s">
        <v>48292</v>
      </c>
      <c r="J7942" s="5" t="s">
        <v>461</v>
      </c>
      <c r="K7942" s="5" t="s">
        <v>344</v>
      </c>
      <c r="L7942" s="5"/>
      <c r="M7942" s="27"/>
      <c r="N7942" s="5" t="s">
        <v>61109</v>
      </c>
      <c r="O7942" s="5" t="str">
        <v>7718064370</v>
      </c>
      <c r="P7942" s="27">
        <v>110000</v>
      </c>
      <c r="Q7942" s="5" t="s">
        <v>61110</v>
      </c>
      <c r="R7942" s="5"/>
      <c r="S7942" s="5" t="s">
        <v>61111</v>
      </c>
      <c r="T7942" s="28">
        <v>20231000</v>
      </c>
      <c r="U7942" s="28"/>
      <c r="V7942" s="28">
        <v>1559939000</v>
      </c>
      <c r="W7942" s="28">
        <v>11336000</v>
      </c>
      <c r="X7942" s="28">
        <v>321705000</v>
      </c>
      <c r="Y7942" s="28">
        <v>2426636000</v>
      </c>
      <c r="Z7942" s="28">
        <v>523222000</v>
      </c>
      <c r="AA7942" s="28">
        <v>82340000</v>
      </c>
      <c r="AB7942" s="28">
        <v>1790000</v>
      </c>
      <c r="AC7942" s="28">
        <v>1805669000</v>
      </c>
      <c r="AD7942" s="28">
        <v>648332000</v>
      </c>
      <c r="AE7942" s="28">
        <v>3206567000</v>
      </c>
      <c r="AF7942" s="28">
        <v>75913000</v>
      </c>
      <c r="AG7942" s="11"/>
    </row>
    <row r="7943">
      <c r="A7943" s="7" t="s">
        <v>9481</v>
      </c>
      <c r="B7943" s="5" t="s">
        <v>17397</v>
      </c>
      <c r="C7943" s="5" t="s">
        <v>24954</v>
      </c>
      <c r="D7943" s="5" t="str">
        <v>772902785315</v>
      </c>
      <c r="E7943" s="0" t="e">
        <f>+7 (3652) 799788
+7 (495) 2298342
+7 (495) 2903577
+7 (495) 2903858
+7 (495) 9842891
+7 (495) 9873587
+7 (499) 2900007
+7 (499) 2900008
+7 (499) 2900009
+7 (499) 2900088
+7 (812) 5777778
+7 (812) 6555008
+7 (812) 6555009
+7 (861) 2477887</f>
        <v>#NAME?</v>
      </c>
      <c r="F7943" s="5" t="s">
        <v>48293</v>
      </c>
      <c r="G7943" s="5" t="s">
        <v>48294</v>
      </c>
      <c r="H7943" s="26">
        <v>6.5</v>
      </c>
      <c r="I7943" s="5" t="s">
        <v>48295</v>
      </c>
      <c r="J7943" s="5" t="s">
        <v>27085</v>
      </c>
      <c r="K7943" s="5" t="s">
        <v>344</v>
      </c>
      <c r="L7943" s="5" t="s">
        <v>48296</v>
      </c>
      <c r="M7943" s="27"/>
      <c r="N7943" s="5"/>
      <c r="O7943" s="5" t="str">
        <v>7704372760</v>
      </c>
      <c r="P7943" s="27">
        <v>10000</v>
      </c>
      <c r="Q7943" s="5" t="s">
        <v>61112</v>
      </c>
      <c r="R7943" s="5" t="s">
        <v>59320</v>
      </c>
      <c r="S7943" s="5" t="s">
        <v>61113</v>
      </c>
      <c r="T7943" s="28">
        <v>48243000</v>
      </c>
      <c r="U7943" s="28">
        <v>640552000</v>
      </c>
      <c r="V7943" s="28">
        <v>2411883000</v>
      </c>
      <c r="W7943" s="28">
        <v>1088784000</v>
      </c>
      <c r="X7943" s="28">
        <v>420631000</v>
      </c>
      <c r="Y7943" s="28">
        <v>6011411000</v>
      </c>
      <c r="Z7943" s="28">
        <v>2897045000</v>
      </c>
      <c r="AA7943" s="28">
        <v>1278513000</v>
      </c>
      <c r="AB7943" s="28"/>
      <c r="AC7943" s="28">
        <v>1824859000</v>
      </c>
      <c r="AD7943" s="28">
        <v>2897055000</v>
      </c>
      <c r="AE7943" s="28">
        <v>5352623000</v>
      </c>
      <c r="AF7943" s="28">
        <v>528874000</v>
      </c>
      <c r="AG7943" s="11"/>
    </row>
    <row r="7944">
      <c r="A7944" s="7" t="s">
        <v>9482</v>
      </c>
      <c r="B7944" s="5" t="s">
        <v>17398</v>
      </c>
      <c r="C7944" s="5" t="s">
        <v>24955</v>
      </c>
      <c r="D7944" s="5" t="str">
        <v>421704895321</v>
      </c>
      <c r="F7944" s="5" t="s">
        <v>48297</v>
      </c>
      <c r="G7944" s="5"/>
      <c r="H7944" s="26">
        <v>1.5</v>
      </c>
      <c r="I7944" s="5" t="s">
        <v>48298</v>
      </c>
      <c r="J7944" s="5" t="s">
        <v>32368</v>
      </c>
      <c r="K7944" s="5" t="s">
        <v>344</v>
      </c>
      <c r="L7944" s="5"/>
      <c r="M7944" s="27"/>
      <c r="N7944" s="5"/>
      <c r="O7944" s="5" t="str">
        <v>9703035726</v>
      </c>
      <c r="P7944" s="27">
        <v>1000000</v>
      </c>
      <c r="Q7944" s="5" t="s">
        <v>52334</v>
      </c>
      <c r="R7944" s="5"/>
      <c r="S7944" s="5" t="s">
        <v>61114</v>
      </c>
      <c r="T7944" s="28">
        <v>23498915000</v>
      </c>
      <c r="U7944" s="28"/>
      <c r="V7944" s="28">
        <v>1542686000</v>
      </c>
      <c r="W7944" s="28"/>
      <c r="X7944" s="28">
        <v>26591000</v>
      </c>
      <c r="Y7944" s="28">
        <v>29745539000</v>
      </c>
      <c r="Z7944" s="28">
        <v>1037622000</v>
      </c>
      <c r="AA7944" s="28"/>
      <c r="AB7944" s="28">
        <v>900000000</v>
      </c>
      <c r="AC7944" s="28">
        <v>10868230000</v>
      </c>
      <c r="AD7944" s="28">
        <v>1038622000</v>
      </c>
      <c r="AE7944" s="28">
        <v>18171498000</v>
      </c>
      <c r="AF7944" s="28">
        <v>587758000</v>
      </c>
      <c r="AG7944" s="11"/>
    </row>
    <row r="7945">
      <c r="A7945" s="7" t="s">
        <v>9483</v>
      </c>
      <c r="B7945" s="5" t="s">
        <v>17399</v>
      </c>
      <c r="C7945" s="5" t="s">
        <v>24956</v>
      </c>
      <c r="D7945" s="5" t="str">
        <v>382700376611</v>
      </c>
      <c r="E7945" s="0" t="e">
        <f>+7 (383) 2174010
+7 (383) 2174011
+7 (383) 2174012
+7 (383) 2276977
+7 (383) 3534662
+7 (383) 3637301
+7 (391) 2030391
+7 (3952) 799174
+7 (495) 9098070</f>
        <v>#NAME?</v>
      </c>
      <c r="F7945" s="5" t="s">
        <v>48299</v>
      </c>
      <c r="G7945" s="5" t="s">
        <v>48300</v>
      </c>
      <c r="H7945" s="26">
        <v>22</v>
      </c>
      <c r="I7945" s="5"/>
      <c r="J7945" s="5" t="s">
        <v>445</v>
      </c>
      <c r="K7945" s="5" t="s">
        <v>344</v>
      </c>
      <c r="L7945" s="5" t="s">
        <v>48301</v>
      </c>
      <c r="M7945" s="27"/>
      <c r="N7945" s="5"/>
      <c r="O7945" s="5" t="str">
        <v>5404173086</v>
      </c>
      <c r="P7945" s="27">
        <v>10010000</v>
      </c>
      <c r="Q7945" s="5"/>
      <c r="R7945" s="5"/>
      <c r="S7945" s="5" t="s">
        <v>49029</v>
      </c>
      <c r="T7945" s="28">
        <v>131722000</v>
      </c>
      <c r="U7945" s="28"/>
      <c r="V7945" s="28">
        <v>1104685000</v>
      </c>
      <c r="W7945" s="28">
        <v>28493000</v>
      </c>
      <c r="X7945" s="28">
        <v>74174000</v>
      </c>
      <c r="Y7945" s="28">
        <v>2474855000</v>
      </c>
      <c r="Z7945" s="28">
        <v>981547000</v>
      </c>
      <c r="AA7945" s="28"/>
      <c r="AB7945" s="28">
        <v>400679000</v>
      </c>
      <c r="AC7945" s="28">
        <v>1394307000</v>
      </c>
      <c r="AD7945" s="28">
        <v>992058000</v>
      </c>
      <c r="AE7945" s="28">
        <v>3277203000</v>
      </c>
      <c r="AF7945" s="28">
        <v>159630000</v>
      </c>
      <c r="AG7945" s="11"/>
    </row>
    <row r="7946">
      <c r="A7946" s="7" t="s">
        <v>9484</v>
      </c>
      <c r="B7946" s="5" t="s">
        <v>17400</v>
      </c>
      <c r="C7946" s="5" t="s">
        <v>24957</v>
      </c>
      <c r="D7946" s="5" t="str">
        <v>540720369506</v>
      </c>
      <c r="E7946" s="0" t="e">
        <f>+7 (383) 2278150
+7 (383) 2278152
+7 (383) 2278153
+7 (383) 2989104
+7 (383) 2989272
+7 (383) 2989280
+7 (383) 2989290
+7 (383) 2989294
+7 (383) 2989332
+7 (383) 3342162</f>
        <v>#NAME?</v>
      </c>
      <c r="F7946" s="5" t="s">
        <v>48302</v>
      </c>
      <c r="G7946" s="5" t="s">
        <v>48303</v>
      </c>
      <c r="H7946" s="26">
        <v>30</v>
      </c>
      <c r="I7946" s="5" t="s">
        <v>48304</v>
      </c>
      <c r="J7946" s="5" t="s">
        <v>26637</v>
      </c>
      <c r="K7946" s="5" t="s">
        <v>355</v>
      </c>
      <c r="L7946" s="5" t="s">
        <v>48305</v>
      </c>
      <c r="M7946" s="27"/>
      <c r="N7946" s="5" t="s">
        <v>61115</v>
      </c>
      <c r="O7946" s="5" t="str">
        <v>5403102702</v>
      </c>
      <c r="P7946" s="27">
        <v>112000000</v>
      </c>
      <c r="Q7946" s="5" t="s">
        <v>61117</v>
      </c>
      <c r="R7946" s="5"/>
      <c r="S7946" s="5" t="s">
        <v>51565</v>
      </c>
      <c r="T7946" s="28">
        <v>1946506000</v>
      </c>
      <c r="U7946" s="28"/>
      <c r="V7946" s="28">
        <v>2878416000</v>
      </c>
      <c r="W7946" s="28"/>
      <c r="X7946" s="28">
        <v>306000</v>
      </c>
      <c r="Y7946" s="28">
        <v>7559809000</v>
      </c>
      <c r="Z7946" s="28">
        <v>69980000</v>
      </c>
      <c r="AA7946" s="28"/>
      <c r="AB7946" s="28">
        <v>1540316000</v>
      </c>
      <c r="AC7946" s="28">
        <v>5251757000</v>
      </c>
      <c r="AD7946" s="28">
        <v>913828000</v>
      </c>
      <c r="AE7946" s="28">
        <v>5148626000</v>
      </c>
      <c r="AF7946" s="28">
        <v>419816000</v>
      </c>
      <c r="AG7946" s="11"/>
    </row>
    <row r="7947">
      <c r="A7947" s="7" t="s">
        <v>9485</v>
      </c>
      <c r="B7947" s="5" t="s">
        <v>17401</v>
      </c>
      <c r="C7947" s="5" t="s">
        <v>24958</v>
      </c>
      <c r="D7947" s="5" t="str">
        <v>504204601473</v>
      </c>
      <c r="E7947" s="0" t="e">
        <f>+7 (495) 4712687
+7 (47467) 46392
+7 (495) 2666479
+7 (495) 2666734
+7 (495) 2666866
+7 (495) 4714011
+7 (812) 4570712
+7 (812) 7662410
+7 (81371) 20688
+7 (81371) 22482</f>
        <v>#NAME?</v>
      </c>
      <c r="F7947" s="5" t="s">
        <v>48306</v>
      </c>
      <c r="G7947" s="5" t="s">
        <v>48307</v>
      </c>
      <c r="H7947" s="26">
        <v>18</v>
      </c>
      <c r="I7947" s="5"/>
      <c r="J7947" s="5" t="s">
        <v>29388</v>
      </c>
      <c r="K7947" s="5" t="s">
        <v>344</v>
      </c>
      <c r="L7947" s="5"/>
      <c r="M7947" s="27">
        <v>121668</v>
      </c>
      <c r="N7947" s="5" t="s">
        <v>61118</v>
      </c>
      <c r="O7947" s="5" t="str">
        <v>7716523950</v>
      </c>
      <c r="P7947" s="27">
        <v>2368936000</v>
      </c>
      <c r="Q7947" s="5" t="s">
        <v>61119</v>
      </c>
      <c r="R7947" s="5"/>
      <c r="S7947" s="5" t="s">
        <v>61120</v>
      </c>
      <c r="T7947" s="28">
        <v>2598450000</v>
      </c>
      <c r="U7947" s="28"/>
      <c r="V7947" s="28">
        <v>15512134000</v>
      </c>
      <c r="W7947" s="28"/>
      <c r="X7947" s="28">
        <v>4953726000</v>
      </c>
      <c r="Y7947" s="28">
        <v>27639194000</v>
      </c>
      <c r="Z7947" s="28">
        <v>1829392000</v>
      </c>
      <c r="AA7947" s="28"/>
      <c r="AB7947" s="28"/>
      <c r="AC7947" s="28">
        <v>22161860000</v>
      </c>
      <c r="AD7947" s="28">
        <v>4843602000</v>
      </c>
      <c r="AE7947" s="28">
        <v>40046996000</v>
      </c>
      <c r="AF7947" s="28">
        <v>1281932000</v>
      </c>
      <c r="AG7947" s="11"/>
    </row>
    <row r="7948">
      <c r="A7948" s="7" t="s">
        <v>9486</v>
      </c>
      <c r="B7948" s="5" t="s">
        <v>17402</v>
      </c>
      <c r="C7948" s="5" t="s">
        <v>24959</v>
      </c>
      <c r="D7948" s="5" t="str">
        <v>781613847800</v>
      </c>
      <c r="E7948" s="0" t="e">
        <f>+7 (812) 3279009
+7 (812) 3279090
+7 (812) 6355070
+7 (812) 6355089</f>
        <v>#NAME?</v>
      </c>
      <c r="F7948" s="5"/>
      <c r="G7948" s="5" t="s">
        <v>48308</v>
      </c>
      <c r="H7948" s="26">
        <v>14</v>
      </c>
      <c r="I7948" s="5" t="s">
        <v>48309</v>
      </c>
      <c r="J7948" s="5" t="s">
        <v>678</v>
      </c>
      <c r="K7948" s="5" t="s">
        <v>344</v>
      </c>
      <c r="L7948" s="5" t="s">
        <v>48310</v>
      </c>
      <c r="M7948" s="27"/>
      <c r="N7948" s="5" t="s">
        <v>61121</v>
      </c>
      <c r="O7948" s="5" t="str">
        <v>7810540857</v>
      </c>
      <c r="P7948" s="27">
        <v>18000</v>
      </c>
      <c r="Q7948" s="5" t="s">
        <v>49009</v>
      </c>
      <c r="R7948" s="5"/>
      <c r="S7948" s="5" t="s">
        <v>49012</v>
      </c>
      <c r="T7948" s="28">
        <v>83762000</v>
      </c>
      <c r="U7948" s="28"/>
      <c r="V7948" s="28">
        <v>544869000</v>
      </c>
      <c r="W7948" s="28">
        <v>255806000</v>
      </c>
      <c r="X7948" s="28">
        <v>493391000</v>
      </c>
      <c r="Y7948" s="28">
        <v>2147222000</v>
      </c>
      <c r="Z7948" s="28">
        <v>1561243000</v>
      </c>
      <c r="AA7948" s="28">
        <v>33459000</v>
      </c>
      <c r="AB7948" s="28">
        <v>234000</v>
      </c>
      <c r="AC7948" s="28">
        <v>455649000</v>
      </c>
      <c r="AD7948" s="28">
        <v>1561261000</v>
      </c>
      <c r="AE7948" s="28">
        <v>4500088000</v>
      </c>
      <c r="AF7948" s="28">
        <v>193662000</v>
      </c>
      <c r="AG7948" s="11"/>
    </row>
    <row r="7949">
      <c r="A7949" s="7" t="s">
        <v>9487</v>
      </c>
      <c r="B7949" s="5" t="s">
        <v>17403</v>
      </c>
      <c r="C7949" s="5" t="s">
        <v>24960</v>
      </c>
      <c r="D7949" s="5" t="str">
        <v>271003880860</v>
      </c>
      <c r="E7949" s="0" t="e">
        <f>+7 (812) 6004512</f>
        <v>#NAME?</v>
      </c>
      <c r="F7949" s="5" t="s">
        <v>48311</v>
      </c>
      <c r="G7949" s="5"/>
      <c r="H7949" s="26">
        <v>7.5</v>
      </c>
      <c r="I7949" s="5" t="s">
        <v>48312</v>
      </c>
      <c r="J7949" s="5" t="s">
        <v>585</v>
      </c>
      <c r="K7949" s="5" t="s">
        <v>344</v>
      </c>
      <c r="L7949" s="5" t="s">
        <v>48313</v>
      </c>
      <c r="M7949" s="27">
        <v>2698206</v>
      </c>
      <c r="N7949" s="5"/>
      <c r="O7949" s="5" t="str">
        <v>7807090661</v>
      </c>
      <c r="P7949" s="27">
        <v>500000</v>
      </c>
      <c r="Q7949" s="5"/>
      <c r="R7949" s="5"/>
      <c r="S7949" s="5" t="s">
        <v>49110</v>
      </c>
      <c r="T7949" s="28">
        <v>4016000</v>
      </c>
      <c r="U7949" s="28"/>
      <c r="V7949" s="28">
        <v>1087098000</v>
      </c>
      <c r="W7949" s="28"/>
      <c r="X7949" s="28">
        <v>1426000</v>
      </c>
      <c r="Y7949" s="28">
        <v>1232015000</v>
      </c>
      <c r="Z7949" s="28">
        <v>833978000</v>
      </c>
      <c r="AA7949" s="28"/>
      <c r="AB7949" s="28"/>
      <c r="AC7949" s="28">
        <v>396270000</v>
      </c>
      <c r="AD7949" s="28">
        <v>834478000</v>
      </c>
      <c r="AE7949" s="28">
        <v>4734902000</v>
      </c>
      <c r="AF7949" s="28">
        <v>479969000</v>
      </c>
      <c r="AG7949" s="11"/>
    </row>
    <row r="7950">
      <c r="A7950" s="7" t="s">
        <v>9488</v>
      </c>
      <c r="B7950" s="5" t="s">
        <v>17404</v>
      </c>
      <c r="C7950" s="5" t="s">
        <v>24961</v>
      </c>
      <c r="D7950" s="5" t="str">
        <v>071401535144</v>
      </c>
      <c r="E7950" s="0" t="e">
        <f>+7 (866) 2488274
+7 (86630) 41927</f>
        <v>#NAME?</v>
      </c>
      <c r="F7950" s="5"/>
      <c r="G7950" s="5"/>
      <c r="H7950" s="26">
        <v>19</v>
      </c>
      <c r="I7950" s="5" t="s">
        <v>48314</v>
      </c>
      <c r="J7950" s="5" t="s">
        <v>26503</v>
      </c>
      <c r="K7950" s="5" t="s">
        <v>344</v>
      </c>
      <c r="L7950" s="5" t="s">
        <v>48315</v>
      </c>
      <c r="M7950" s="27"/>
      <c r="N7950" s="5"/>
      <c r="O7950" s="5" t="str">
        <v>0708009579</v>
      </c>
      <c r="P7950" s="27">
        <v>86020000</v>
      </c>
      <c r="Q7950" s="5" t="s">
        <v>61123</v>
      </c>
      <c r="R7950" s="5"/>
      <c r="S7950" s="5" t="s">
        <v>61124</v>
      </c>
      <c r="T7950" s="28">
        <v>252887000</v>
      </c>
      <c r="U7950" s="28"/>
      <c r="V7950" s="28">
        <v>1369310000</v>
      </c>
      <c r="W7950" s="28">
        <v>111711000</v>
      </c>
      <c r="X7950" s="28">
        <v>27200000</v>
      </c>
      <c r="Y7950" s="28">
        <v>2830728000</v>
      </c>
      <c r="Z7950" s="28">
        <v>578857000</v>
      </c>
      <c r="AA7950" s="28">
        <v>419204000</v>
      </c>
      <c r="AB7950" s="28">
        <v>436947000</v>
      </c>
      <c r="AC7950" s="28">
        <v>1746647000</v>
      </c>
      <c r="AD7950" s="28">
        <v>664877000</v>
      </c>
      <c r="AE7950" s="28">
        <v>3219096000</v>
      </c>
      <c r="AF7950" s="28">
        <v>178370000</v>
      </c>
      <c r="AG7950" s="11"/>
    </row>
    <row r="7951">
      <c r="A7951" s="7" t="s">
        <v>9489</v>
      </c>
      <c r="B7951" s="5" t="s">
        <v>17405</v>
      </c>
      <c r="C7951" s="5" t="s">
        <v>22364</v>
      </c>
      <c r="D7951" s="5"/>
      <c r="E7951" s="0" t="e">
        <f>+7 (41147) 92213</f>
        <v>#NAME?</v>
      </c>
      <c r="F7951" s="5" t="s">
        <v>48316</v>
      </c>
      <c r="G7951" s="5"/>
      <c r="H7951" s="26">
        <v>7</v>
      </c>
      <c r="I7951" s="5" t="s">
        <v>48317</v>
      </c>
      <c r="J7951" s="5" t="s">
        <v>26325</v>
      </c>
      <c r="K7951" s="5" t="s">
        <v>355</v>
      </c>
      <c r="L7951" s="5"/>
      <c r="M7951" s="27"/>
      <c r="N7951" s="5"/>
      <c r="O7951" s="5" t="str">
        <v>1434048712</v>
      </c>
      <c r="P7951" s="27">
        <v>65589000000</v>
      </c>
      <c r="Q7951" s="5" t="s">
        <v>49059</v>
      </c>
      <c r="R7951" s="5"/>
      <c r="S7951" s="5" t="s">
        <v>49010</v>
      </c>
      <c r="T7951" s="28">
        <v>74667164000</v>
      </c>
      <c r="U7951" s="28"/>
      <c r="V7951" s="28">
        <v>11223910000</v>
      </c>
      <c r="W7951" s="28"/>
      <c r="X7951" s="28">
        <v>192000</v>
      </c>
      <c r="Y7951" s="28">
        <v>88238931000</v>
      </c>
      <c r="Z7951" s="28">
        <v>-9704540000</v>
      </c>
      <c r="AA7951" s="28">
        <v>12710000000</v>
      </c>
      <c r="AB7951" s="28"/>
      <c r="AC7951" s="28">
        <v>3850826000</v>
      </c>
      <c r="AD7951" s="28">
        <v>66868977000</v>
      </c>
      <c r="AE7951" s="28">
        <v>10118057000</v>
      </c>
      <c r="AF7951" s="28">
        <v>604482000</v>
      </c>
      <c r="AG7951" s="11"/>
    </row>
    <row r="7952">
      <c r="A7952" s="7" t="s">
        <v>9490</v>
      </c>
      <c r="B7952" s="5" t="s">
        <v>17406</v>
      </c>
      <c r="C7952" s="5" t="s">
        <v>22364</v>
      </c>
      <c r="D7952" s="5"/>
      <c r="E7952" s="0" t="e">
        <f>+7 (416) 5657553
+7 (416) 5657567
+7 (41656) 57563</f>
        <v>#NAME?</v>
      </c>
      <c r="F7952" s="5" t="s">
        <v>48318</v>
      </c>
      <c r="G7952" s="5"/>
      <c r="H7952" s="26">
        <v>13</v>
      </c>
      <c r="I7952" s="5" t="s">
        <v>48319</v>
      </c>
      <c r="J7952" s="5" t="s">
        <v>26325</v>
      </c>
      <c r="K7952" s="5" t="s">
        <v>355</v>
      </c>
      <c r="L7952" s="5"/>
      <c r="M7952" s="27">
        <v>42338272</v>
      </c>
      <c r="N7952" s="5" t="s">
        <v>61125</v>
      </c>
      <c r="O7952" s="5" t="str">
        <v>2808022915</v>
      </c>
      <c r="P7952" s="27">
        <v>200000</v>
      </c>
      <c r="Q7952" s="5" t="s">
        <v>49009</v>
      </c>
      <c r="R7952" s="5" t="s">
        <v>61126</v>
      </c>
      <c r="S7952" s="5" t="s">
        <v>49653</v>
      </c>
      <c r="T7952" s="28">
        <v>6716219000</v>
      </c>
      <c r="U7952" s="28">
        <v>2000</v>
      </c>
      <c r="V7952" s="28">
        <v>428351000</v>
      </c>
      <c r="W7952" s="28">
        <v>147492000</v>
      </c>
      <c r="X7952" s="28">
        <v>14317000</v>
      </c>
      <c r="Y7952" s="28">
        <v>8021013000</v>
      </c>
      <c r="Z7952" s="28">
        <v>187198000</v>
      </c>
      <c r="AA7952" s="28">
        <v>1296911000</v>
      </c>
      <c r="AB7952" s="28"/>
      <c r="AC7952" s="28">
        <v>1245483000</v>
      </c>
      <c r="AD7952" s="28">
        <v>230398000</v>
      </c>
      <c r="AE7952" s="28">
        <v>7391545000</v>
      </c>
      <c r="AF7952" s="28">
        <v>28047000</v>
      </c>
      <c r="AG7952" s="11"/>
    </row>
    <row r="7953">
      <c r="A7953" s="7" t="s">
        <v>9491</v>
      </c>
      <c r="B7953" s="5" t="s">
        <v>17407</v>
      </c>
      <c r="C7953" s="5" t="s">
        <v>22364</v>
      </c>
      <c r="D7953" s="5"/>
      <c r="E7953" s="0" t="e">
        <f>+7 (41147) 36201
+7 (495) 9897075</f>
        <v>#NAME?</v>
      </c>
      <c r="F7953" s="5" t="s">
        <v>48320</v>
      </c>
      <c r="G7953" s="5"/>
      <c r="H7953" s="26">
        <v>9.5</v>
      </c>
      <c r="I7953" s="5" t="s">
        <v>48321</v>
      </c>
      <c r="J7953" s="5" t="s">
        <v>40341</v>
      </c>
      <c r="K7953" s="5" t="s">
        <v>344</v>
      </c>
      <c r="L7953" s="5" t="s">
        <v>48322</v>
      </c>
      <c r="M7953" s="27">
        <v>1037616</v>
      </c>
      <c r="N7953" s="5" t="s">
        <v>61127</v>
      </c>
      <c r="O7953" s="5" t="str">
        <v>1434045743</v>
      </c>
      <c r="P7953" s="27">
        <v>5113639576</v>
      </c>
      <c r="Q7953" s="5" t="s">
        <v>61128</v>
      </c>
      <c r="R7953" s="5" t="s">
        <v>61129</v>
      </c>
      <c r="S7953" s="5" t="s">
        <v>49180</v>
      </c>
      <c r="T7953" s="28">
        <v>45306877000</v>
      </c>
      <c r="U7953" s="28">
        <v>109773445000</v>
      </c>
      <c r="V7953" s="28">
        <v>73460925000</v>
      </c>
      <c r="W7953" s="28"/>
      <c r="X7953" s="28">
        <v>4587440000</v>
      </c>
      <c r="Y7953" s="28">
        <v>260480376000</v>
      </c>
      <c r="Z7953" s="28">
        <v>82036632000</v>
      </c>
      <c r="AA7953" s="28">
        <v>154889517000</v>
      </c>
      <c r="AB7953" s="28"/>
      <c r="AC7953" s="28">
        <v>12134247000</v>
      </c>
      <c r="AD7953" s="28">
        <v>88401055000</v>
      </c>
      <c r="AE7953" s="28">
        <v>162793557000</v>
      </c>
      <c r="AF7953" s="28">
        <v>48398872000</v>
      </c>
      <c r="AG7953" s="11"/>
    </row>
    <row r="7954">
      <c r="A7954" s="7" t="s">
        <v>9492</v>
      </c>
      <c r="B7954" s="5" t="s">
        <v>17408</v>
      </c>
      <c r="C7954" s="5" t="s">
        <v>24962</v>
      </c>
      <c r="D7954" s="5" t="str">
        <v>771801933565</v>
      </c>
      <c r="E7954" s="0" t="e">
        <f>+7 (495) 7373842
+7 (926) 2644828</f>
        <v>#NAME?</v>
      </c>
      <c r="F7954" s="5" t="s">
        <v>48323</v>
      </c>
      <c r="G7954" s="5" t="s">
        <v>48324</v>
      </c>
      <c r="H7954" s="26">
        <v>22.5</v>
      </c>
      <c r="I7954" s="5"/>
      <c r="J7954" s="5" t="s">
        <v>25525</v>
      </c>
      <c r="K7954" s="5" t="s">
        <v>344</v>
      </c>
      <c r="L7954" s="5" t="s">
        <v>48325</v>
      </c>
      <c r="M7954" s="27"/>
      <c r="N7954" s="5"/>
      <c r="O7954" s="5" t="str">
        <v>5031042730</v>
      </c>
      <c r="P7954" s="27">
        <v>210000000</v>
      </c>
      <c r="Q7954" s="5" t="s">
        <v>49021</v>
      </c>
      <c r="R7954" s="5"/>
      <c r="S7954" s="5" t="s">
        <v>61130</v>
      </c>
      <c r="T7954" s="28">
        <v>392784000</v>
      </c>
      <c r="U7954" s="28"/>
      <c r="V7954" s="28">
        <v>624899000</v>
      </c>
      <c r="W7954" s="28"/>
      <c r="X7954" s="28">
        <v>11924000</v>
      </c>
      <c r="Y7954" s="28">
        <v>1574723000</v>
      </c>
      <c r="Z7954" s="28">
        <v>887110000</v>
      </c>
      <c r="AA7954" s="28"/>
      <c r="AB7954" s="28">
        <v>151299000</v>
      </c>
      <c r="AC7954" s="28">
        <v>396431000</v>
      </c>
      <c r="AD7954" s="28">
        <v>1107610000</v>
      </c>
      <c r="AE7954" s="28">
        <v>3691561000</v>
      </c>
      <c r="AF7954" s="28">
        <v>347340000</v>
      </c>
      <c r="AG7954" s="11"/>
    </row>
    <row r="7955">
      <c r="A7955" s="7" t="s">
        <v>9493</v>
      </c>
      <c r="B7955" s="5" t="s">
        <v>17409</v>
      </c>
      <c r="C7955" s="5" t="s">
        <v>24963</v>
      </c>
      <c r="D7955" s="5" t="str">
        <v>773401691467</v>
      </c>
      <c r="E7955" s="0" t="e">
        <f>+7 (495) 7803494
+7 (499) 8990369
+7 (800) 2501718</f>
        <v>#NAME?</v>
      </c>
      <c r="F7955" s="5"/>
      <c r="G7955" s="5" t="s">
        <v>48326</v>
      </c>
      <c r="H7955" s="26">
        <v>12.5</v>
      </c>
      <c r="I7955" s="5" t="s">
        <v>48327</v>
      </c>
      <c r="J7955" s="5" t="s">
        <v>25530</v>
      </c>
      <c r="K7955" s="5" t="s">
        <v>344</v>
      </c>
      <c r="L7955" s="5" t="s">
        <v>48328</v>
      </c>
      <c r="M7955" s="27"/>
      <c r="N7955" s="5"/>
      <c r="O7955" s="5" t="str">
        <v>7727728363</v>
      </c>
      <c r="P7955" s="27">
        <v>500000</v>
      </c>
      <c r="Q7955" s="5" t="s">
        <v>49319</v>
      </c>
      <c r="R7955" s="5"/>
      <c r="S7955" s="5" t="s">
        <v>50628</v>
      </c>
      <c r="T7955" s="28">
        <v>2555000</v>
      </c>
      <c r="U7955" s="28"/>
      <c r="V7955" s="28">
        <v>672475000</v>
      </c>
      <c r="W7955" s="28"/>
      <c r="X7955" s="28">
        <v>10194000</v>
      </c>
      <c r="Y7955" s="28">
        <v>1536383000</v>
      </c>
      <c r="Z7955" s="28">
        <v>481725000</v>
      </c>
      <c r="AA7955" s="28">
        <v>101442000</v>
      </c>
      <c r="AB7955" s="28">
        <v>521780000</v>
      </c>
      <c r="AC7955" s="28">
        <v>950927000</v>
      </c>
      <c r="AD7955" s="28">
        <v>482225000</v>
      </c>
      <c r="AE7955" s="28">
        <v>3322682000</v>
      </c>
      <c r="AF7955" s="28">
        <v>207458000</v>
      </c>
      <c r="AG7955" s="11"/>
    </row>
    <row r="7956">
      <c r="A7956" s="7" t="s">
        <v>9494</v>
      </c>
      <c r="B7956" s="5" t="s">
        <v>17410</v>
      </c>
      <c r="C7956" s="5" t="s">
        <v>24964</v>
      </c>
      <c r="D7956" s="5" t="str">
        <v>781415991390</v>
      </c>
      <c r="E7956" s="0" t="e">
        <f>+7 (800) 5550605
+7 (812) 3310270
+7 (812) 3318185
+7 (964) 3618811
+7 (495) 3318185
+7 (495) 3319396
+7 (812) 3274445
+7 (81362) 21340
+7 (81362) 27452
+7 (905) 2006923</f>
        <v>#NAME?</v>
      </c>
      <c r="F7956" s="5" t="s">
        <v>48329</v>
      </c>
      <c r="G7956" s="5" t="s">
        <v>48330</v>
      </c>
      <c r="H7956" s="26">
        <v>23</v>
      </c>
      <c r="I7956" s="5" t="s">
        <v>48331</v>
      </c>
      <c r="J7956" s="5" t="s">
        <v>28004</v>
      </c>
      <c r="K7956" s="5" t="s">
        <v>344</v>
      </c>
      <c r="L7956" s="5" t="s">
        <v>48332</v>
      </c>
      <c r="M7956" s="27"/>
      <c r="N7956" s="5" t="s">
        <v>61131</v>
      </c>
      <c r="O7956" s="5" t="str">
        <v>4706015486</v>
      </c>
      <c r="P7956" s="27">
        <v>37125000</v>
      </c>
      <c r="Q7956" s="5" t="s">
        <v>61132</v>
      </c>
      <c r="R7956" s="5"/>
      <c r="S7956" s="5" t="s">
        <v>61133</v>
      </c>
      <c r="T7956" s="28">
        <v>1438790000</v>
      </c>
      <c r="U7956" s="28">
        <v>31300000</v>
      </c>
      <c r="V7956" s="28">
        <v>595306000</v>
      </c>
      <c r="W7956" s="28">
        <v>431300000</v>
      </c>
      <c r="X7956" s="28">
        <v>77938000</v>
      </c>
      <c r="Y7956" s="28">
        <v>3281308000</v>
      </c>
      <c r="Z7956" s="28">
        <v>2613937000</v>
      </c>
      <c r="AA7956" s="28"/>
      <c r="AB7956" s="28"/>
      <c r="AC7956" s="28">
        <v>524968000</v>
      </c>
      <c r="AD7956" s="28">
        <v>2651483000</v>
      </c>
      <c r="AE7956" s="28">
        <v>4383905000</v>
      </c>
      <c r="AF7956" s="28">
        <v>466599000</v>
      </c>
      <c r="AG7956" s="11"/>
    </row>
    <row r="7957">
      <c r="A7957" s="7" t="s">
        <v>9495</v>
      </c>
      <c r="B7957" s="5" t="s">
        <v>17411</v>
      </c>
      <c r="C7957" s="5" t="s">
        <v>24965</v>
      </c>
      <c r="D7957" s="5" t="str">
        <v>773601539879</v>
      </c>
      <c r="E7957" s="0" t="e">
        <f>+7 (495) 7891300
+7 (495) 2133451
+7 (495) 6625995
+7 (499) 1333583
+7 (905) 7033205
+7 (925) 3333205</f>
        <v>#NAME?</v>
      </c>
      <c r="F7957" s="5" t="s">
        <v>48333</v>
      </c>
      <c r="G7957" s="5" t="s">
        <v>48334</v>
      </c>
      <c r="H7957" s="26">
        <v>17</v>
      </c>
      <c r="I7957" s="5" t="s">
        <v>48335</v>
      </c>
      <c r="J7957" s="5" t="s">
        <v>785</v>
      </c>
      <c r="K7957" s="5" t="s">
        <v>355</v>
      </c>
      <c r="L7957" s="5" t="s">
        <v>48336</v>
      </c>
      <c r="M7957" s="27">
        <v>8597903</v>
      </c>
      <c r="N7957" s="5" t="s">
        <v>61134</v>
      </c>
      <c r="O7957" s="5" t="str">
        <v>7725560073</v>
      </c>
      <c r="P7957" s="27">
        <v>200000</v>
      </c>
      <c r="Q7957" s="5" t="s">
        <v>61135</v>
      </c>
      <c r="R7957" s="5"/>
      <c r="S7957" s="5" t="s">
        <v>61136</v>
      </c>
      <c r="T7957" s="28">
        <v>12434000</v>
      </c>
      <c r="U7957" s="28">
        <v>59274000</v>
      </c>
      <c r="V7957" s="28">
        <v>6972539000</v>
      </c>
      <c r="W7957" s="28">
        <v>2263329000</v>
      </c>
      <c r="X7957" s="28">
        <v>2033030000</v>
      </c>
      <c r="Y7957" s="28">
        <v>11726109000</v>
      </c>
      <c r="Z7957" s="28">
        <v>610287000</v>
      </c>
      <c r="AA7957" s="28"/>
      <c r="AB7957" s="28">
        <v>54762000</v>
      </c>
      <c r="AC7957" s="28">
        <v>11114021000</v>
      </c>
      <c r="AD7957" s="28">
        <v>610487000</v>
      </c>
      <c r="AE7957" s="28">
        <v>15936065000</v>
      </c>
      <c r="AF7957" s="28">
        <v>885696000</v>
      </c>
      <c r="AG7957" s="11"/>
    </row>
    <row r="7958">
      <c r="A7958" s="7" t="s">
        <v>9496</v>
      </c>
      <c r="B7958" s="5" t="s">
        <v>17412</v>
      </c>
      <c r="C7958" s="5" t="s">
        <v>24966</v>
      </c>
      <c r="D7958" s="5"/>
      <c r="E7958" s="0" t="e">
        <f>+7 (495) 7899515
+7 (926) 5324020</f>
        <v>#NAME?</v>
      </c>
      <c r="F7958" s="5" t="s">
        <v>48337</v>
      </c>
      <c r="G7958" s="5" t="s">
        <v>48338</v>
      </c>
      <c r="H7958" s="26">
        <v>8.5</v>
      </c>
      <c r="I7958" s="5" t="s">
        <v>48339</v>
      </c>
      <c r="J7958" s="5" t="s">
        <v>25259</v>
      </c>
      <c r="K7958" s="5" t="s">
        <v>344</v>
      </c>
      <c r="L7958" s="5" t="s">
        <v>30029</v>
      </c>
      <c r="M7958" s="27">
        <v>31167474</v>
      </c>
      <c r="N7958" s="5"/>
      <c r="O7958" s="5" t="str">
        <v>5027213485</v>
      </c>
      <c r="P7958" s="27">
        <v>4300000</v>
      </c>
      <c r="Q7958" s="5" t="s">
        <v>49009</v>
      </c>
      <c r="R7958" s="5"/>
      <c r="S7958" s="5" t="s">
        <v>49010</v>
      </c>
      <c r="T7958" s="28">
        <v>35000</v>
      </c>
      <c r="U7958" s="28">
        <v>271900000</v>
      </c>
      <c r="V7958" s="28">
        <v>70432000</v>
      </c>
      <c r="W7958" s="28">
        <v>101666000</v>
      </c>
      <c r="X7958" s="28">
        <v>323340000</v>
      </c>
      <c r="Y7958" s="28">
        <v>1099833000</v>
      </c>
      <c r="Z7958" s="28">
        <v>523981000</v>
      </c>
      <c r="AA7958" s="28"/>
      <c r="AB7958" s="28"/>
      <c r="AC7958" s="28">
        <v>571552000</v>
      </c>
      <c r="AD7958" s="28">
        <v>528281000</v>
      </c>
      <c r="AE7958" s="28">
        <v>16503429000</v>
      </c>
      <c r="AF7958" s="28">
        <v>390307000</v>
      </c>
      <c r="AG7958" s="11"/>
    </row>
    <row r="7959">
      <c r="A7959" s="7" t="s">
        <v>9497</v>
      </c>
      <c r="B7959" s="5" t="s">
        <v>17413</v>
      </c>
      <c r="C7959" s="5" t="s">
        <v>24967</v>
      </c>
      <c r="D7959" s="5" t="str">
        <v>770300260500</v>
      </c>
      <c r="E7959" s="0" t="e">
        <f>+7 (495) 4248850
+7 (495) 9559559
+7 (495) 9819813
+7 (495) 9819814
+7 (495) 9819891
+7 (812) 4482063
+7 (8482) 951587
+7 (985) 7627632</f>
        <v>#NAME?</v>
      </c>
      <c r="F7959" s="5" t="s">
        <v>48340</v>
      </c>
      <c r="G7959" s="5" t="s">
        <v>48341</v>
      </c>
      <c r="H7959" s="26">
        <v>26.5</v>
      </c>
      <c r="I7959" s="5" t="s">
        <v>48342</v>
      </c>
      <c r="J7959" s="5" t="s">
        <v>641</v>
      </c>
      <c r="K7959" s="5" t="s">
        <v>344</v>
      </c>
      <c r="L7959" s="5" t="s">
        <v>48343</v>
      </c>
      <c r="M7959" s="27">
        <v>23164081</v>
      </c>
      <c r="N7959" s="5" t="s">
        <v>61137</v>
      </c>
      <c r="O7959" s="5" t="str">
        <v>7705130530</v>
      </c>
      <c r="P7959" s="27">
        <v>23272472</v>
      </c>
      <c r="Q7959" s="5" t="s">
        <v>61138</v>
      </c>
      <c r="R7959" s="5"/>
      <c r="S7959" s="5" t="s">
        <v>49085</v>
      </c>
      <c r="T7959" s="28">
        <v>334478000</v>
      </c>
      <c r="U7959" s="28"/>
      <c r="V7959" s="28">
        <v>652390000</v>
      </c>
      <c r="W7959" s="28">
        <v>420723000</v>
      </c>
      <c r="X7959" s="28">
        <v>731921000</v>
      </c>
      <c r="Y7959" s="28">
        <v>2571674000</v>
      </c>
      <c r="Z7959" s="28">
        <v>1898236000</v>
      </c>
      <c r="AA7959" s="28"/>
      <c r="AB7959" s="28"/>
      <c r="AC7959" s="28">
        <v>561052000</v>
      </c>
      <c r="AD7959" s="28">
        <v>1921516000</v>
      </c>
      <c r="AE7959" s="28">
        <v>4300400000</v>
      </c>
      <c r="AF7959" s="28">
        <v>-1157296000</v>
      </c>
      <c r="AG7959" s="11"/>
    </row>
    <row r="7960">
      <c r="A7960" s="7" t="s">
        <v>9498</v>
      </c>
      <c r="B7960" s="5" t="s">
        <v>17414</v>
      </c>
      <c r="C7960" s="5" t="s">
        <v>24968</v>
      </c>
      <c r="D7960" s="5" t="str">
        <v>615508022165</v>
      </c>
      <c r="E7960" s="0" t="e">
        <f>+7 (863) 3053522
+7 (863) 3053526
+7 (8632) 37132
+7 (8632) 786808
+7 (800) 2004911
+7 (863) 2786581
+7 (863) 3053525
+7 (863) 3053530
+7 (8632) 37130
+7 (8632) 37131
+7 (8632) 37133
+7 (8632) 643445
+7 (8632) 786806
+7 (8632) 787301
+7 (8632) 787302</f>
        <v>#NAME?</v>
      </c>
      <c r="F7960" s="5" t="s">
        <v>48344</v>
      </c>
      <c r="G7960" s="5" t="s">
        <v>48345</v>
      </c>
      <c r="H7960" s="26">
        <v>31.5</v>
      </c>
      <c r="I7960" s="5"/>
      <c r="J7960" s="5" t="s">
        <v>25525</v>
      </c>
      <c r="K7960" s="5" t="s">
        <v>344</v>
      </c>
      <c r="L7960" s="5"/>
      <c r="M7960" s="27">
        <v>3714315</v>
      </c>
      <c r="N7960" s="5" t="s">
        <v>61139</v>
      </c>
      <c r="O7960" s="5" t="str">
        <v>6167008343</v>
      </c>
      <c r="P7960" s="27">
        <v>20523000</v>
      </c>
      <c r="Q7960" s="5" t="s">
        <v>49021</v>
      </c>
      <c r="R7960" s="5"/>
      <c r="S7960" s="5" t="s">
        <v>61140</v>
      </c>
      <c r="T7960" s="28">
        <v>464384000</v>
      </c>
      <c r="U7960" s="28">
        <v>231312000</v>
      </c>
      <c r="V7960" s="28">
        <v>687340000</v>
      </c>
      <c r="W7960" s="28">
        <v>918100000</v>
      </c>
      <c r="X7960" s="28">
        <v>100005000</v>
      </c>
      <c r="Y7960" s="28">
        <v>3705954000</v>
      </c>
      <c r="Z7960" s="28">
        <v>527934000</v>
      </c>
      <c r="AA7960" s="28">
        <v>2820000000</v>
      </c>
      <c r="AB7960" s="28"/>
      <c r="AC7960" s="28">
        <v>237153000</v>
      </c>
      <c r="AD7960" s="28">
        <v>630264000</v>
      </c>
      <c r="AE7960" s="28">
        <v>4802573000</v>
      </c>
      <c r="AF7960" s="28">
        <v>222405000</v>
      </c>
      <c r="AG7960" s="11"/>
    </row>
    <row r="7961">
      <c r="A7961" s="7" t="s">
        <v>9499</v>
      </c>
      <c r="B7961" s="5" t="s">
        <v>17415</v>
      </c>
      <c r="C7961" s="5" t="s">
        <v>24969</v>
      </c>
      <c r="D7961" s="5" t="str">
        <v>637201445600</v>
      </c>
      <c r="E7961" s="0" t="e">
        <f>+7 (911) 1918902
+7 (81369) 73917</f>
        <v>#NAME?</v>
      </c>
      <c r="F7961" s="5" t="s">
        <v>48346</v>
      </c>
      <c r="G7961" s="5" t="s">
        <v>48347</v>
      </c>
      <c r="H7961" s="26">
        <v>4.5</v>
      </c>
      <c r="I7961" s="5" t="s">
        <v>48348</v>
      </c>
      <c r="J7961" s="5" t="s">
        <v>364</v>
      </c>
      <c r="K7961" s="5" t="s">
        <v>344</v>
      </c>
      <c r="L7961" s="5" t="s">
        <v>48349</v>
      </c>
      <c r="M7961" s="27"/>
      <c r="N7961" s="5" t="s">
        <v>61141</v>
      </c>
      <c r="O7961" s="5" t="str">
        <v>4726003778</v>
      </c>
      <c r="P7961" s="27">
        <v>10000</v>
      </c>
      <c r="Q7961" s="5" t="s">
        <v>49009</v>
      </c>
      <c r="R7961" s="5" t="s">
        <v>61142</v>
      </c>
      <c r="S7961" s="5" t="s">
        <v>49045</v>
      </c>
      <c r="T7961" s="28">
        <v>26469000</v>
      </c>
      <c r="U7961" s="28"/>
      <c r="V7961" s="28">
        <v>1057516000</v>
      </c>
      <c r="W7961" s="28">
        <v>12177000</v>
      </c>
      <c r="X7961" s="28">
        <v>972990000</v>
      </c>
      <c r="Y7961" s="28">
        <v>2338903000</v>
      </c>
      <c r="Z7961" s="28">
        <v>1409820000</v>
      </c>
      <c r="AA7961" s="28"/>
      <c r="AB7961" s="28">
        <v>23326000</v>
      </c>
      <c r="AC7961" s="28">
        <v>911053000</v>
      </c>
      <c r="AD7961" s="28">
        <v>1421876000</v>
      </c>
      <c r="AE7961" s="28">
        <v>3431265000</v>
      </c>
      <c r="AF7961" s="28">
        <v>1310080000</v>
      </c>
      <c r="AG7961" s="11"/>
    </row>
    <row r="7962">
      <c r="A7962" s="7" t="s">
        <v>9500</v>
      </c>
      <c r="B7962" s="5" t="s">
        <v>17416</v>
      </c>
      <c r="C7962" s="5" t="s">
        <v>23076</v>
      </c>
      <c r="D7962" s="5" t="str">
        <v>860404840213</v>
      </c>
      <c r="E7962" s="0" t="e">
        <f>+7 (916) 3111011
+7 (916) 8817821
+7 (343) 3791760
+7 (383) 2868441
+7 (495) 6411209
+7 (495) 6411210
+7 (495) 6411212
+7 (495) 7658060
+7 (800) 2500006
+7 (812) 3390030
+7 (861) 2535893
+7 (914) 7044386</f>
        <v>#NAME?</v>
      </c>
      <c r="F7962" s="5" t="s">
        <v>48350</v>
      </c>
      <c r="G7962" s="5" t="s">
        <v>48351</v>
      </c>
      <c r="H7962" s="26">
        <v>21.5</v>
      </c>
      <c r="I7962" s="5"/>
      <c r="J7962" s="5" t="s">
        <v>30822</v>
      </c>
      <c r="K7962" s="5" t="s">
        <v>344</v>
      </c>
      <c r="L7962" s="5" t="s">
        <v>48352</v>
      </c>
      <c r="M7962" s="27">
        <v>35226088</v>
      </c>
      <c r="N7962" s="5" t="s">
        <v>61143</v>
      </c>
      <c r="O7962" s="5" t="str">
        <v>7703282175</v>
      </c>
      <c r="P7962" s="27">
        <v>32880100</v>
      </c>
      <c r="Q7962" s="5" t="s">
        <v>61144</v>
      </c>
      <c r="R7962" s="5" t="s">
        <v>61145</v>
      </c>
      <c r="S7962" s="5" t="s">
        <v>61146</v>
      </c>
      <c r="T7962" s="28">
        <v>82584000</v>
      </c>
      <c r="U7962" s="28">
        <v>92918000</v>
      </c>
      <c r="V7962" s="28">
        <v>4511380000</v>
      </c>
      <c r="W7962" s="28">
        <v>342436000</v>
      </c>
      <c r="X7962" s="28">
        <v>5442125000</v>
      </c>
      <c r="Y7962" s="28">
        <v>12254356000</v>
      </c>
      <c r="Z7962" s="28">
        <v>-7769433000</v>
      </c>
      <c r="AA7962" s="28"/>
      <c r="AB7962" s="28">
        <v>1258261000</v>
      </c>
      <c r="AC7962" s="28">
        <v>9590063000</v>
      </c>
      <c r="AD7962" s="28">
        <v>2536496000</v>
      </c>
      <c r="AE7962" s="28">
        <v>17667124000</v>
      </c>
      <c r="AF7962" s="28">
        <v>801797000</v>
      </c>
      <c r="AG7962" s="11"/>
    </row>
    <row r="7963">
      <c r="A7963" s="7" t="s">
        <v>9501</v>
      </c>
      <c r="B7963" s="5" t="s">
        <v>17417</v>
      </c>
      <c r="C7963" s="5" t="s">
        <v>24970</v>
      </c>
      <c r="D7963" s="5" t="str">
        <v>771533244976</v>
      </c>
      <c r="E7963" s="0" t="e">
        <f>+7 (495) 7258193
+7 (495) 6625730
+7 (495) 7141218
+7 (495) 7218176
+7 (495) 7258192
+7 (499) 7439036
+7 (916) 2184511</f>
        <v>#NAME?</v>
      </c>
      <c r="F7963" s="5" t="s">
        <v>48353</v>
      </c>
      <c r="G7963" s="5" t="s">
        <v>48354</v>
      </c>
      <c r="H7963" s="26">
        <v>15</v>
      </c>
      <c r="I7963" s="5" t="s">
        <v>48355</v>
      </c>
      <c r="J7963" s="5" t="s">
        <v>28226</v>
      </c>
      <c r="K7963" s="5" t="s">
        <v>355</v>
      </c>
      <c r="L7963" s="5" t="s">
        <v>48356</v>
      </c>
      <c r="M7963" s="27">
        <v>6901924</v>
      </c>
      <c r="N7963" s="5" t="s">
        <v>50616</v>
      </c>
      <c r="O7963" s="5" t="str">
        <v>7727650928</v>
      </c>
      <c r="P7963" s="27">
        <v>200000000</v>
      </c>
      <c r="Q7963" s="5" t="s">
        <v>61147</v>
      </c>
      <c r="R7963" s="5"/>
      <c r="S7963" s="5" t="s">
        <v>50081</v>
      </c>
      <c r="T7963" s="28">
        <v>13293989000</v>
      </c>
      <c r="U7963" s="28">
        <v>9308829000</v>
      </c>
      <c r="V7963" s="28">
        <v>17915803000</v>
      </c>
      <c r="W7963" s="28">
        <v>120656000</v>
      </c>
      <c r="X7963" s="28">
        <v>284917000</v>
      </c>
      <c r="Y7963" s="28">
        <v>48206433000</v>
      </c>
      <c r="Z7963" s="28">
        <v>12700692000</v>
      </c>
      <c r="AA7963" s="28">
        <v>1326843000</v>
      </c>
      <c r="AB7963" s="28">
        <v>8340246000</v>
      </c>
      <c r="AC7963" s="28">
        <v>26184517000</v>
      </c>
      <c r="AD7963" s="28">
        <v>15903794000</v>
      </c>
      <c r="AE7963" s="28">
        <v>38076864000</v>
      </c>
      <c r="AF7963" s="28">
        <v>4692226000</v>
      </c>
      <c r="AG7963" s="11"/>
    </row>
    <row r="7964">
      <c r="A7964" s="7" t="s">
        <v>9502</v>
      </c>
      <c r="B7964" s="5" t="s">
        <v>17418</v>
      </c>
      <c r="C7964" s="5" t="s">
        <v>24971</v>
      </c>
      <c r="D7964" s="5" t="str">
        <v>560901651803</v>
      </c>
      <c r="E7964" s="0" t="e">
        <f>+7 (35324) 48090
+7 (812) 4490002
+7 (999) 2169454</f>
        <v>#NAME?</v>
      </c>
      <c r="F7964" s="5" t="s">
        <v>48357</v>
      </c>
      <c r="G7964" s="5"/>
      <c r="H7964" s="26">
        <v>15.5</v>
      </c>
      <c r="I7964" s="5" t="s">
        <v>48358</v>
      </c>
      <c r="J7964" s="5" t="s">
        <v>35395</v>
      </c>
      <c r="K7964" s="5" t="s">
        <v>380</v>
      </c>
      <c r="L7964" s="5" t="s">
        <v>48359</v>
      </c>
      <c r="M7964" s="27">
        <v>660575796</v>
      </c>
      <c r="N7964" s="5"/>
      <c r="O7964" s="5" t="str">
        <v>7719645071</v>
      </c>
      <c r="P7964" s="27">
        <v>1020000</v>
      </c>
      <c r="Q7964" s="5" t="s">
        <v>49009</v>
      </c>
      <c r="R7964" s="5" t="s">
        <v>51852</v>
      </c>
      <c r="S7964" s="5" t="s">
        <v>49028</v>
      </c>
      <c r="T7964" s="28">
        <v>196027000</v>
      </c>
      <c r="U7964" s="28"/>
      <c r="V7964" s="28">
        <v>1970518000</v>
      </c>
      <c r="W7964" s="28">
        <v>23161000</v>
      </c>
      <c r="X7964" s="28">
        <v>279539000</v>
      </c>
      <c r="Y7964" s="28">
        <v>2989439000</v>
      </c>
      <c r="Z7964" s="28">
        <v>-326502000</v>
      </c>
      <c r="AA7964" s="28">
        <v>20000000</v>
      </c>
      <c r="AB7964" s="28">
        <v>1019977000</v>
      </c>
      <c r="AC7964" s="28">
        <v>3270569000</v>
      </c>
      <c r="AD7964" s="28">
        <v>-325482000</v>
      </c>
      <c r="AE7964" s="28">
        <v>3288845000</v>
      </c>
      <c r="AF7964" s="28">
        <v>-1125627000</v>
      </c>
      <c r="AG7964" s="11"/>
    </row>
    <row r="7965">
      <c r="A7965" s="7" t="s">
        <v>9503</v>
      </c>
      <c r="B7965" s="5" t="s">
        <v>17419</v>
      </c>
      <c r="C7965" s="5" t="s">
        <v>24972</v>
      </c>
      <c r="D7965" s="5" t="str">
        <v>771900093733</v>
      </c>
      <c r="E7965" s="0" t="e">
        <f>+7 (812) 3631845
+7 (495) 2871727
+7 (921) 9603939</f>
        <v>#NAME?</v>
      </c>
      <c r="F7965" s="5" t="s">
        <v>48360</v>
      </c>
      <c r="G7965" s="5"/>
      <c r="H7965" s="26">
        <v>10.5</v>
      </c>
      <c r="I7965" s="5" t="s">
        <v>32216</v>
      </c>
      <c r="J7965" s="5" t="s">
        <v>710</v>
      </c>
      <c r="K7965" s="5" t="s">
        <v>344</v>
      </c>
      <c r="L7965" s="5" t="s">
        <v>48361</v>
      </c>
      <c r="M7965" s="27">
        <v>16606338</v>
      </c>
      <c r="N7965" s="5" t="s">
        <v>61148</v>
      </c>
      <c r="O7965" s="5" t="str">
        <v>7813548237</v>
      </c>
      <c r="P7965" s="27">
        <v>1000000</v>
      </c>
      <c r="Q7965" s="5" t="s">
        <v>61149</v>
      </c>
      <c r="R7965" s="5"/>
      <c r="S7965" s="5" t="s">
        <v>61150</v>
      </c>
      <c r="T7965" s="28">
        <v>931631000</v>
      </c>
      <c r="U7965" s="28"/>
      <c r="V7965" s="28">
        <v>19171396000</v>
      </c>
      <c r="W7965" s="28">
        <v>4550000000</v>
      </c>
      <c r="X7965" s="28">
        <v>1073997000</v>
      </c>
      <c r="Y7965" s="28">
        <v>34863573000</v>
      </c>
      <c r="Z7965" s="28">
        <v>3129980000</v>
      </c>
      <c r="AA7965" s="28"/>
      <c r="AB7965" s="28">
        <v>6569138000</v>
      </c>
      <c r="AC7965" s="28">
        <v>30794710000</v>
      </c>
      <c r="AD7965" s="28">
        <v>3130980000</v>
      </c>
      <c r="AE7965" s="28">
        <v>32635970000</v>
      </c>
      <c r="AF7965" s="28">
        <v>2109390000</v>
      </c>
      <c r="AG7965" s="11"/>
    </row>
    <row r="7966">
      <c r="A7966" s="7" t="s">
        <v>9504</v>
      </c>
      <c r="B7966" s="5" t="s">
        <v>17420</v>
      </c>
      <c r="C7966" s="5" t="s">
        <v>24973</v>
      </c>
      <c r="D7966" s="5" t="str">
        <v>504008104108</v>
      </c>
      <c r="E7966" s="0" t="e">
        <f>+7 (916) 4219090
+7 (495) 1897076
+7 (495) 6406209
+7 (495) 9583555
+7 (906) 7179549
+7 (985) 3624472</f>
        <v>#NAME?</v>
      </c>
      <c r="F7966" s="5" t="s">
        <v>48362</v>
      </c>
      <c r="G7966" s="5"/>
      <c r="H7966" s="26">
        <v>22</v>
      </c>
      <c r="I7966" s="5" t="s">
        <v>48363</v>
      </c>
      <c r="J7966" s="5" t="s">
        <v>364</v>
      </c>
      <c r="K7966" s="5" t="s">
        <v>344</v>
      </c>
      <c r="L7966" s="5" t="s">
        <v>48364</v>
      </c>
      <c r="M7966" s="27">
        <v>2752291</v>
      </c>
      <c r="N7966" s="5" t="s">
        <v>61151</v>
      </c>
      <c r="O7966" s="5" t="str">
        <v>7724221857</v>
      </c>
      <c r="P7966" s="27">
        <v>20000</v>
      </c>
      <c r="Q7966" s="5" t="s">
        <v>61152</v>
      </c>
      <c r="R7966" s="5"/>
      <c r="S7966" s="5" t="s">
        <v>61153</v>
      </c>
      <c r="T7966" s="28">
        <v>260160000</v>
      </c>
      <c r="U7966" s="28">
        <v>6000</v>
      </c>
      <c r="V7966" s="28">
        <v>2071651000</v>
      </c>
      <c r="W7966" s="28">
        <v>12800000</v>
      </c>
      <c r="X7966" s="28">
        <v>362931000</v>
      </c>
      <c r="Y7966" s="28">
        <v>3324255000</v>
      </c>
      <c r="Z7966" s="28">
        <v>814872000</v>
      </c>
      <c r="AA7966" s="28"/>
      <c r="AB7966" s="28">
        <v>149959000</v>
      </c>
      <c r="AC7966" s="28">
        <v>2392853000</v>
      </c>
      <c r="AD7966" s="28">
        <v>814892000</v>
      </c>
      <c r="AE7966" s="28">
        <v>5300914000</v>
      </c>
      <c r="AF7966" s="28">
        <v>505289000</v>
      </c>
      <c r="AG7966" s="11"/>
    </row>
    <row r="7967">
      <c r="A7967" s="7" t="s">
        <v>9505</v>
      </c>
      <c r="B7967" s="5" t="s">
        <v>17421</v>
      </c>
      <c r="C7967" s="5" t="s">
        <v>24974</v>
      </c>
      <c r="D7967" s="5" t="str">
        <v>343604489016</v>
      </c>
      <c r="E7967" s="0" t="e">
        <f>+7 (844) 2990404
+7 (905) 3364242</f>
        <v>#NAME?</v>
      </c>
      <c r="F7967" s="5"/>
      <c r="G7967" s="5" t="s">
        <v>48365</v>
      </c>
      <c r="H7967" s="26">
        <v>13.5</v>
      </c>
      <c r="I7967" s="5" t="s">
        <v>48366</v>
      </c>
      <c r="J7967" s="5" t="s">
        <v>641</v>
      </c>
      <c r="K7967" s="5" t="s">
        <v>344</v>
      </c>
      <c r="L7967" s="5" t="s">
        <v>48367</v>
      </c>
      <c r="M7967" s="27">
        <v>30521473</v>
      </c>
      <c r="N7967" s="5" t="s">
        <v>61154</v>
      </c>
      <c r="O7967" s="5" t="str">
        <v>3446034468</v>
      </c>
      <c r="P7967" s="27">
        <v>100000</v>
      </c>
      <c r="Q7967" s="5" t="s">
        <v>61155</v>
      </c>
      <c r="R7967" s="5"/>
      <c r="S7967" s="5" t="s">
        <v>61156</v>
      </c>
      <c r="T7967" s="28">
        <v>153859000</v>
      </c>
      <c r="U7967" s="28"/>
      <c r="V7967" s="28">
        <v>1674234000</v>
      </c>
      <c r="W7967" s="28"/>
      <c r="X7967" s="28">
        <v>34658000</v>
      </c>
      <c r="Y7967" s="28">
        <v>2606722000</v>
      </c>
      <c r="Z7967" s="28">
        <v>744381000</v>
      </c>
      <c r="AA7967" s="28">
        <v>365055000</v>
      </c>
      <c r="AB7967" s="28">
        <v>490477000</v>
      </c>
      <c r="AC7967" s="28">
        <v>1497186000</v>
      </c>
      <c r="AD7967" s="28">
        <v>744481000</v>
      </c>
      <c r="AE7967" s="28">
        <v>4490846000</v>
      </c>
      <c r="AF7967" s="28">
        <v>46428000</v>
      </c>
      <c r="AG7967" s="11"/>
    </row>
    <row r="7968">
      <c r="A7968" s="7" t="s">
        <v>9506</v>
      </c>
      <c r="B7968" s="5" t="s">
        <v>17422</v>
      </c>
      <c r="C7968" s="5" t="s">
        <v>24975</v>
      </c>
      <c r="D7968" s="5" t="str">
        <v>056006063465</v>
      </c>
      <c r="E7968" s="0" t="e">
        <f>+7 (988) 6921530</f>
        <v>#NAME?</v>
      </c>
      <c r="F7968" s="5"/>
      <c r="G7968" s="5"/>
      <c r="H7968" s="26">
        <v>12.5</v>
      </c>
      <c r="I7968" s="5" t="s">
        <v>48368</v>
      </c>
      <c r="J7968" s="5" t="s">
        <v>34946</v>
      </c>
      <c r="K7968" s="5" t="s">
        <v>344</v>
      </c>
      <c r="L7968" s="5" t="s">
        <v>664</v>
      </c>
      <c r="M7968" s="27"/>
      <c r="N7968" s="5"/>
      <c r="O7968" s="5" t="str">
        <v>0570003483</v>
      </c>
      <c r="P7968" s="27">
        <v>100000</v>
      </c>
      <c r="Q7968" s="5"/>
      <c r="R7968" s="5" t="s">
        <v>61157</v>
      </c>
      <c r="S7968" s="5" t="s">
        <v>49029</v>
      </c>
      <c r="T7968" s="28"/>
      <c r="U7968" s="28"/>
      <c r="V7968" s="28">
        <v>138000</v>
      </c>
      <c r="W7968" s="28"/>
      <c r="X7968" s="28"/>
      <c r="Y7968" s="28">
        <v>3240000</v>
      </c>
      <c r="Z7968" s="28"/>
      <c r="AA7968" s="28">
        <v>2902000</v>
      </c>
      <c r="AB7968" s="28"/>
      <c r="AC7968" s="28">
        <v>328000</v>
      </c>
      <c r="AD7968" s="28">
        <v>10000</v>
      </c>
      <c r="AE7968" s="28">
        <v>4591166000</v>
      </c>
      <c r="AF7968" s="28">
        <v>139166000</v>
      </c>
      <c r="AG7968" s="11"/>
    </row>
    <row r="7969">
      <c r="A7969" s="7" t="s">
        <v>9507</v>
      </c>
      <c r="B7969" s="5" t="s">
        <v>10201</v>
      </c>
      <c r="C7969" s="5" t="s">
        <v>24976</v>
      </c>
      <c r="D7969" s="5" t="str">
        <v>773309992293</v>
      </c>
      <c r="E7969" s="0" t="e">
        <f>+7 (495) 7758990</f>
        <v>#NAME?</v>
      </c>
      <c r="F7969" s="5" t="s">
        <v>48369</v>
      </c>
      <c r="G7969" s="5"/>
      <c r="H7969" s="26">
        <v>4</v>
      </c>
      <c r="I7969" s="5" t="s">
        <v>48370</v>
      </c>
      <c r="J7969" s="5" t="s">
        <v>373</v>
      </c>
      <c r="K7969" s="5" t="s">
        <v>344</v>
      </c>
      <c r="L7969" s="5" t="s">
        <v>48371</v>
      </c>
      <c r="M7969" s="27"/>
      <c r="N7969" s="5"/>
      <c r="O7969" s="5" t="str">
        <v>7703472539</v>
      </c>
      <c r="P7969" s="27">
        <v>16700000</v>
      </c>
      <c r="Q7969" s="5" t="s">
        <v>49021</v>
      </c>
      <c r="R7969" s="5" t="s">
        <v>61158</v>
      </c>
      <c r="S7969" s="5" t="s">
        <v>61159</v>
      </c>
      <c r="T7969" s="28">
        <v>148000</v>
      </c>
      <c r="U7969" s="28"/>
      <c r="V7969" s="28">
        <v>184925000</v>
      </c>
      <c r="W7969" s="28"/>
      <c r="X7969" s="28">
        <v>36208000</v>
      </c>
      <c r="Y7969" s="28">
        <v>221839000</v>
      </c>
      <c r="Z7969" s="28">
        <v>16044000</v>
      </c>
      <c r="AA7969" s="28"/>
      <c r="AB7969" s="28"/>
      <c r="AC7969" s="28">
        <v>189074000</v>
      </c>
      <c r="AD7969" s="28">
        <v>32744000</v>
      </c>
      <c r="AE7969" s="28">
        <v>5460839000</v>
      </c>
      <c r="AF7969" s="28">
        <v>29693000</v>
      </c>
      <c r="AG7969" s="11"/>
    </row>
    <row r="7970">
      <c r="A7970" s="7" t="s">
        <v>9508</v>
      </c>
      <c r="B7970" s="5" t="s">
        <v>17423</v>
      </c>
      <c r="C7970" s="5" t="s">
        <v>24977</v>
      </c>
      <c r="D7970" s="5"/>
      <c r="E7970" s="0" t="e">
        <f>+7 (349) 2230999
+7 (349) 2232299
+7 (349) 2244369
+7 (349) 2299436
+7 (345) 2353758
+7 (349) 2252194
+7 (349) 2298717
+7 (3496) 321016
+7 (3496) 321022
+7 (3496) 323280
+7 (3496) 352004
+7 (3496) 352005
+7 (3496) 352028
+7 (3496) 352033
+7 (3496) 352041</f>
        <v>#NAME?</v>
      </c>
      <c r="F7970" s="5" t="s">
        <v>48372</v>
      </c>
      <c r="G7970" s="5" t="s">
        <v>48373</v>
      </c>
      <c r="H7970" s="26">
        <v>18.5</v>
      </c>
      <c r="I7970" s="5"/>
      <c r="J7970" s="5" t="s">
        <v>27642</v>
      </c>
      <c r="K7970" s="5" t="s">
        <v>344</v>
      </c>
      <c r="L7970" s="5" t="s">
        <v>48374</v>
      </c>
      <c r="M7970" s="27">
        <v>580875</v>
      </c>
      <c r="N7970" s="5" t="s">
        <v>61160</v>
      </c>
      <c r="O7970" s="5" t="str">
        <v>8905033649</v>
      </c>
      <c r="P7970" s="27">
        <v>1774860000</v>
      </c>
      <c r="Q7970" s="5" t="s">
        <v>61161</v>
      </c>
      <c r="R7970" s="5"/>
      <c r="S7970" s="5" t="s">
        <v>49271</v>
      </c>
      <c r="T7970" s="28">
        <v>6929713000</v>
      </c>
      <c r="U7970" s="28">
        <v>478328000</v>
      </c>
      <c r="V7970" s="28">
        <v>1022665000</v>
      </c>
      <c r="W7970" s="28">
        <v>15000000</v>
      </c>
      <c r="X7970" s="28">
        <v>54594000</v>
      </c>
      <c r="Y7970" s="28">
        <v>8872601000</v>
      </c>
      <c r="Z7970" s="28">
        <v>1010912000</v>
      </c>
      <c r="AA7970" s="28">
        <v>505992000</v>
      </c>
      <c r="AB7970" s="28">
        <v>161774000</v>
      </c>
      <c r="AC7970" s="28">
        <v>1088592000</v>
      </c>
      <c r="AD7970" s="28">
        <v>5453228000</v>
      </c>
      <c r="AE7970" s="28">
        <v>3441871000</v>
      </c>
      <c r="AF7970" s="28">
        <v>278976000</v>
      </c>
      <c r="AG7970" s="11"/>
    </row>
    <row r="7971">
      <c r="A7971" s="7" t="s">
        <v>9509</v>
      </c>
      <c r="B7971" s="5" t="s">
        <v>17424</v>
      </c>
      <c r="C7971" s="5" t="s">
        <v>24978</v>
      </c>
      <c r="D7971" s="5" t="str">
        <v>563804971240</v>
      </c>
      <c r="E7971" s="0" t="e">
        <f>+7 (3472) 463505
+7 (917) 8086719</f>
        <v>#NAME?</v>
      </c>
      <c r="F7971" s="5" t="s">
        <v>48375</v>
      </c>
      <c r="G7971" s="5" t="s">
        <v>48376</v>
      </c>
      <c r="H7971" s="26">
        <v>12.5</v>
      </c>
      <c r="I7971" s="5" t="s">
        <v>48377</v>
      </c>
      <c r="J7971" s="5" t="s">
        <v>25327</v>
      </c>
      <c r="K7971" s="5" t="s">
        <v>344</v>
      </c>
      <c r="L7971" s="5" t="s">
        <v>48378</v>
      </c>
      <c r="M7971" s="27"/>
      <c r="N7971" s="5" t="s">
        <v>61162</v>
      </c>
      <c r="O7971" s="5" t="str">
        <v>0274148739</v>
      </c>
      <c r="P7971" s="27">
        <v>10000</v>
      </c>
      <c r="Q7971" s="5" t="s">
        <v>49021</v>
      </c>
      <c r="R7971" s="5"/>
      <c r="S7971" s="5" t="s">
        <v>61163</v>
      </c>
      <c r="T7971" s="28">
        <v>11536000</v>
      </c>
      <c r="U7971" s="28">
        <v>20000</v>
      </c>
      <c r="V7971" s="28">
        <v>541279000</v>
      </c>
      <c r="W7971" s="28">
        <v>43000</v>
      </c>
      <c r="X7971" s="28">
        <v>20452000</v>
      </c>
      <c r="Y7971" s="28">
        <v>647897000</v>
      </c>
      <c r="Z7971" s="28">
        <v>222203000</v>
      </c>
      <c r="AA7971" s="28"/>
      <c r="AB7971" s="28">
        <v>211000000</v>
      </c>
      <c r="AC7971" s="28">
        <v>400272000</v>
      </c>
      <c r="AD7971" s="28">
        <v>222213000</v>
      </c>
      <c r="AE7971" s="28">
        <v>5811548000</v>
      </c>
      <c r="AF7971" s="28">
        <v>52492000</v>
      </c>
      <c r="AG7971" s="11"/>
    </row>
    <row r="7972">
      <c r="A7972" s="7" t="s">
        <v>9510</v>
      </c>
      <c r="B7972" s="5" t="s">
        <v>17425</v>
      </c>
      <c r="C7972" s="5" t="s">
        <v>24979</v>
      </c>
      <c r="D7972" s="5" t="str">
        <v>667112833625</v>
      </c>
      <c r="E7972" s="0" t="e">
        <f>+7 (343) 2178490
+7 (343) 3101080</f>
        <v>#NAME?</v>
      </c>
      <c r="F7972" s="5" t="s">
        <v>48379</v>
      </c>
      <c r="G7972" s="5" t="s">
        <v>48380</v>
      </c>
      <c r="H7972" s="26">
        <v>9.5</v>
      </c>
      <c r="I7972" s="5" t="s">
        <v>48381</v>
      </c>
      <c r="J7972" s="5" t="s">
        <v>678</v>
      </c>
      <c r="K7972" s="5" t="s">
        <v>344</v>
      </c>
      <c r="L7972" s="5" t="s">
        <v>48382</v>
      </c>
      <c r="M7972" s="27">
        <v>42850154</v>
      </c>
      <c r="N7972" s="5"/>
      <c r="O7972" s="5" t="str">
        <v>6670411977</v>
      </c>
      <c r="P7972" s="27">
        <v>20000</v>
      </c>
      <c r="Q7972" s="5" t="s">
        <v>61164</v>
      </c>
      <c r="R7972" s="5"/>
      <c r="S7972" s="5" t="s">
        <v>61165</v>
      </c>
      <c r="T7972" s="28">
        <v>20649000</v>
      </c>
      <c r="U7972" s="28">
        <v>3000000</v>
      </c>
      <c r="V7972" s="28">
        <v>3491355000</v>
      </c>
      <c r="W7972" s="28">
        <v>389745000</v>
      </c>
      <c r="X7972" s="28">
        <v>61775000</v>
      </c>
      <c r="Y7972" s="28">
        <v>4605009000</v>
      </c>
      <c r="Z7972" s="28">
        <v>897212000</v>
      </c>
      <c r="AA7972" s="28"/>
      <c r="AB7972" s="28">
        <v>1054913000</v>
      </c>
      <c r="AC7972" s="28">
        <v>3564689000</v>
      </c>
      <c r="AD7972" s="28">
        <v>897232000</v>
      </c>
      <c r="AE7972" s="28">
        <v>6183753000</v>
      </c>
      <c r="AF7972" s="28">
        <v>205405000</v>
      </c>
      <c r="AG7972" s="11"/>
    </row>
    <row r="7973">
      <c r="A7973" s="7" t="s">
        <v>9511</v>
      </c>
      <c r="B7973" s="5" t="s">
        <v>17426</v>
      </c>
      <c r="C7973" s="5" t="s">
        <v>17989</v>
      </c>
      <c r="D7973" s="5"/>
      <c r="E7973" s="0" t="e">
        <f>+7 (8142) 223232
+7 (8142) 332245
+7 (814) 2592195
+7 (8142) 332600
+7 (8142) 332602
+7 (8142) 332604
+7 (8142) 332607
+7 (8142) 332614
+7 (8142) 332616
+7 (8142) 332620
+7 (8142) 332621
+7 (8142) 332631
+7 (8142) 332639
+7 (8142) 332642
+7 (8142) 332645</f>
        <v>#NAME?</v>
      </c>
      <c r="F7973" s="5" t="s">
        <v>48383</v>
      </c>
      <c r="G7973" s="5" t="s">
        <v>48384</v>
      </c>
      <c r="H7973" s="26">
        <v>17</v>
      </c>
      <c r="I7973" s="5" t="s">
        <v>48385</v>
      </c>
      <c r="J7973" s="5" t="s">
        <v>26623</v>
      </c>
      <c r="K7973" s="5" t="s">
        <v>344</v>
      </c>
      <c r="L7973" s="5" t="s">
        <v>48386</v>
      </c>
      <c r="M7973" s="27">
        <v>5947</v>
      </c>
      <c r="N7973" s="5" t="s">
        <v>61166</v>
      </c>
      <c r="O7973" s="5" t="str">
        <v>1001174763</v>
      </c>
      <c r="P7973" s="27">
        <v>30000000</v>
      </c>
      <c r="Q7973" s="5" t="s">
        <v>61167</v>
      </c>
      <c r="R7973" s="5"/>
      <c r="S7973" s="5" t="s">
        <v>55225</v>
      </c>
      <c r="T7973" s="28">
        <v>87678000</v>
      </c>
      <c r="U7973" s="28"/>
      <c r="V7973" s="28">
        <v>316676000</v>
      </c>
      <c r="W7973" s="28"/>
      <c r="X7973" s="28">
        <v>173754000</v>
      </c>
      <c r="Y7973" s="28">
        <v>589245000</v>
      </c>
      <c r="Z7973" s="28">
        <v>284162000</v>
      </c>
      <c r="AA7973" s="28"/>
      <c r="AB7973" s="28"/>
      <c r="AC7973" s="28">
        <v>268728000</v>
      </c>
      <c r="AD7973" s="28">
        <v>318662000</v>
      </c>
      <c r="AE7973" s="28">
        <v>3147498000</v>
      </c>
      <c r="AF7973" s="28">
        <v>225855000</v>
      </c>
      <c r="AG7973" s="11"/>
    </row>
    <row r="7974">
      <c r="A7974" s="7" t="s">
        <v>9512</v>
      </c>
      <c r="B7974" s="5" t="s">
        <v>17427</v>
      </c>
      <c r="C7974" s="5" t="s">
        <v>24980</v>
      </c>
      <c r="D7974" s="5" t="str">
        <v>263505576412</v>
      </c>
      <c r="E7974" s="0" t="e">
        <f>+7 (962) 4429265
+7 (8652) 562684
+7 (8652) 943897
+7 (919) 7515168</f>
        <v>#NAME?</v>
      </c>
      <c r="F7974" s="5" t="s">
        <v>48387</v>
      </c>
      <c r="G7974" s="5" t="s">
        <v>48388</v>
      </c>
      <c r="H7974" s="26">
        <v>13</v>
      </c>
      <c r="I7974" s="5" t="s">
        <v>48389</v>
      </c>
      <c r="J7974" s="5" t="s">
        <v>48390</v>
      </c>
      <c r="K7974" s="5" t="s">
        <v>355</v>
      </c>
      <c r="L7974" s="5" t="s">
        <v>34591</v>
      </c>
      <c r="M7974" s="27">
        <v>85181964</v>
      </c>
      <c r="N7974" s="5" t="s">
        <v>61168</v>
      </c>
      <c r="O7974" s="5" t="str">
        <v>2635133470</v>
      </c>
      <c r="P7974" s="27">
        <v>1215000000</v>
      </c>
      <c r="Q7974" s="5" t="s">
        <v>61169</v>
      </c>
      <c r="R7974" s="5"/>
      <c r="S7974" s="5" t="s">
        <v>61170</v>
      </c>
      <c r="T7974" s="28">
        <v>1864885000</v>
      </c>
      <c r="U7974" s="28">
        <v>1747654000</v>
      </c>
      <c r="V7974" s="28">
        <v>3655954000</v>
      </c>
      <c r="W7974" s="28"/>
      <c r="X7974" s="28">
        <v>393661000</v>
      </c>
      <c r="Y7974" s="28">
        <v>12951945000</v>
      </c>
      <c r="Z7974" s="28">
        <v>2833601000</v>
      </c>
      <c r="AA7974" s="28">
        <v>3507192000</v>
      </c>
      <c r="AB7974" s="28">
        <v>2270112000</v>
      </c>
      <c r="AC7974" s="28">
        <v>4445802000</v>
      </c>
      <c r="AD7974" s="28">
        <v>4232589000</v>
      </c>
      <c r="AE7974" s="28">
        <v>8042379000</v>
      </c>
      <c r="AF7974" s="28">
        <v>375374000</v>
      </c>
      <c r="AG7974" s="11"/>
    </row>
    <row r="7975">
      <c r="A7975" s="7" t="s">
        <v>9513</v>
      </c>
      <c r="B7975" s="5" t="s">
        <v>17428</v>
      </c>
      <c r="C7975" s="5" t="s">
        <v>24981</v>
      </c>
      <c r="D7975" s="5" t="str">
        <v>780220778244</v>
      </c>
      <c r="E7975" s="0" t="e">
        <f>+7 (812) 3243300</f>
        <v>#NAME?</v>
      </c>
      <c r="F7975" s="5" t="s">
        <v>48391</v>
      </c>
      <c r="G7975" s="5"/>
      <c r="H7975" s="26">
        <v>16</v>
      </c>
      <c r="I7975" s="5" t="s">
        <v>48392</v>
      </c>
      <c r="J7975" s="5" t="s">
        <v>710</v>
      </c>
      <c r="K7975" s="5" t="s">
        <v>344</v>
      </c>
      <c r="L7975" s="5" t="s">
        <v>48393</v>
      </c>
      <c r="M7975" s="27">
        <v>14434850</v>
      </c>
      <c r="N7975" s="5" t="s">
        <v>61171</v>
      </c>
      <c r="O7975" s="5" t="str">
        <v>7801431481</v>
      </c>
      <c r="P7975" s="27">
        <v>30000000</v>
      </c>
      <c r="Q7975" s="5" t="s">
        <v>61172</v>
      </c>
      <c r="R7975" s="5" t="s">
        <v>61173</v>
      </c>
      <c r="S7975" s="5" t="s">
        <v>50538</v>
      </c>
      <c r="T7975" s="28">
        <v>206377000</v>
      </c>
      <c r="U7975" s="28">
        <v>65421000</v>
      </c>
      <c r="V7975" s="28">
        <v>3357546000</v>
      </c>
      <c r="W7975" s="28"/>
      <c r="X7975" s="28">
        <v>2172000</v>
      </c>
      <c r="Y7975" s="28">
        <v>4106544000</v>
      </c>
      <c r="Z7975" s="28">
        <v>1578224000</v>
      </c>
      <c r="AA7975" s="28"/>
      <c r="AB7975" s="28">
        <v>227311000</v>
      </c>
      <c r="AC7975" s="28">
        <v>2491651000</v>
      </c>
      <c r="AD7975" s="28">
        <v>1608224000</v>
      </c>
      <c r="AE7975" s="28">
        <v>6290476000</v>
      </c>
      <c r="AF7975" s="28">
        <v>1188333000</v>
      </c>
      <c r="AG7975" s="11"/>
    </row>
    <row r="7976">
      <c r="A7976" s="7" t="s">
        <v>9514</v>
      </c>
      <c r="B7976" s="5" t="s">
        <v>17429</v>
      </c>
      <c r="C7976" s="5" t="s">
        <v>24982</v>
      </c>
      <c r="D7976" s="5" t="str">
        <v>637709575303</v>
      </c>
      <c r="E7976" s="0" t="e">
        <f>+7 (38253) 29708
+7 (38259) 56178
+7 (38259) 63004
+7 (38259) 66015
+7 (38259) 66030
+7 (38259) 66039
+7 (38259) 66075
+7 (38259) 66627</f>
        <v>#NAME?</v>
      </c>
      <c r="F7976" s="5" t="s">
        <v>48394</v>
      </c>
      <c r="G7976" s="5" t="s">
        <v>48395</v>
      </c>
      <c r="H7976" s="26">
        <v>22</v>
      </c>
      <c r="I7976" s="5" t="s">
        <v>48396</v>
      </c>
      <c r="J7976" s="5" t="s">
        <v>27802</v>
      </c>
      <c r="K7976" s="5" t="s">
        <v>344</v>
      </c>
      <c r="L7976" s="5"/>
      <c r="M7976" s="27">
        <v>16591835</v>
      </c>
      <c r="N7976" s="5" t="s">
        <v>61174</v>
      </c>
      <c r="O7976" s="5" t="str">
        <v>7022010799</v>
      </c>
      <c r="P7976" s="27">
        <v>10000</v>
      </c>
      <c r="Q7976" s="5" t="s">
        <v>61175</v>
      </c>
      <c r="R7976" s="5"/>
      <c r="S7976" s="5" t="s">
        <v>61176</v>
      </c>
      <c r="T7976" s="28">
        <v>79583000</v>
      </c>
      <c r="U7976" s="28">
        <v>11600000</v>
      </c>
      <c r="V7976" s="28">
        <v>392346000</v>
      </c>
      <c r="W7976" s="28"/>
      <c r="X7976" s="28">
        <v>51331000</v>
      </c>
      <c r="Y7976" s="28">
        <v>667006000</v>
      </c>
      <c r="Z7976" s="28">
        <v>135975000</v>
      </c>
      <c r="AA7976" s="28"/>
      <c r="AB7976" s="28"/>
      <c r="AC7976" s="28">
        <v>485114000</v>
      </c>
      <c r="AD7976" s="28">
        <v>137032000</v>
      </c>
      <c r="AE7976" s="28">
        <v>3403019000</v>
      </c>
      <c r="AF7976" s="28">
        <v>303718000</v>
      </c>
      <c r="AG7976" s="11"/>
    </row>
    <row r="7977">
      <c r="A7977" s="7" t="s">
        <v>9515</v>
      </c>
      <c r="B7977" s="5" t="s">
        <v>17430</v>
      </c>
      <c r="C7977" s="5" t="s">
        <v>24949</v>
      </c>
      <c r="D7977" s="5" t="str">
        <v>781132669495</v>
      </c>
      <c r="E7977" s="0" t="e">
        <f>+7 (812) 3206907
+7 (812) 9292146
+7 (911) 9292146</f>
        <v>#NAME?</v>
      </c>
      <c r="F7977" s="5"/>
      <c r="G7977" s="5"/>
      <c r="H7977" s="26">
        <v>12</v>
      </c>
      <c r="I7977" s="5" t="s">
        <v>26172</v>
      </c>
      <c r="J7977" s="5" t="s">
        <v>26173</v>
      </c>
      <c r="K7977" s="5" t="s">
        <v>344</v>
      </c>
      <c r="L7977" s="5" t="s">
        <v>1634</v>
      </c>
      <c r="M7977" s="27"/>
      <c r="N7977" s="5"/>
      <c r="O7977" s="5" t="str">
        <v>7810809875</v>
      </c>
      <c r="P7977" s="27">
        <v>10000</v>
      </c>
      <c r="Q7977" s="5"/>
      <c r="R7977" s="5"/>
      <c r="S7977" s="5" t="s">
        <v>49425</v>
      </c>
      <c r="T7977" s="28"/>
      <c r="U7977" s="28"/>
      <c r="V7977" s="28">
        <v>582299000</v>
      </c>
      <c r="W7977" s="28"/>
      <c r="X7977" s="28">
        <v>7489000</v>
      </c>
      <c r="Y7977" s="28">
        <v>1011252000</v>
      </c>
      <c r="Z7977" s="28">
        <v>275794000</v>
      </c>
      <c r="AA7977" s="28"/>
      <c r="AB7977" s="28"/>
      <c r="AC7977" s="28">
        <v>735448000</v>
      </c>
      <c r="AD7977" s="28">
        <v>275804000</v>
      </c>
      <c r="AE7977" s="28">
        <v>4352659000</v>
      </c>
      <c r="AF7977" s="28">
        <v>3411000</v>
      </c>
      <c r="AG7977" s="11"/>
    </row>
    <row r="7978">
      <c r="A7978" s="7" t="s">
        <v>9516</v>
      </c>
      <c r="B7978" s="5" t="s">
        <v>17431</v>
      </c>
      <c r="C7978" s="5" t="s">
        <v>24983</v>
      </c>
      <c r="D7978" s="5" t="str">
        <v>615404975565</v>
      </c>
      <c r="E7978" s="0" t="e">
        <f>+7 (495) 6654879
+7 (495) 6654880
+7 (495) 7819316
+7 (495) 7819322
+7 (495) 9332185</f>
        <v>#NAME?</v>
      </c>
      <c r="F7978" s="5" t="s">
        <v>48397</v>
      </c>
      <c r="G7978" s="5" t="s">
        <v>48398</v>
      </c>
      <c r="H7978" s="26">
        <v>20</v>
      </c>
      <c r="I7978" s="5" t="s">
        <v>48399</v>
      </c>
      <c r="J7978" s="5" t="s">
        <v>671</v>
      </c>
      <c r="K7978" s="5" t="s">
        <v>355</v>
      </c>
      <c r="L7978" s="5"/>
      <c r="M7978" s="27"/>
      <c r="N7978" s="5" t="s">
        <v>61177</v>
      </c>
      <c r="O7978" s="5" t="str">
        <v>7706284445</v>
      </c>
      <c r="P7978" s="27">
        <v>10000</v>
      </c>
      <c r="Q7978" s="5" t="s">
        <v>61178</v>
      </c>
      <c r="R7978" s="5"/>
      <c r="S7978" s="5" t="s">
        <v>61179</v>
      </c>
      <c r="T7978" s="28">
        <v>7405000</v>
      </c>
      <c r="U7978" s="28">
        <v>255277000</v>
      </c>
      <c r="V7978" s="28">
        <v>4478255000</v>
      </c>
      <c r="W7978" s="28"/>
      <c r="X7978" s="28">
        <v>74093000</v>
      </c>
      <c r="Y7978" s="28">
        <v>4851833000</v>
      </c>
      <c r="Z7978" s="28">
        <v>1490431000</v>
      </c>
      <c r="AA7978" s="28"/>
      <c r="AB7978" s="28"/>
      <c r="AC7978" s="28">
        <v>4325610000</v>
      </c>
      <c r="AD7978" s="28">
        <v>522443000</v>
      </c>
      <c r="AE7978" s="28">
        <v>6743098000</v>
      </c>
      <c r="AF7978" s="28">
        <v>-197807000</v>
      </c>
      <c r="AG7978" s="11"/>
    </row>
    <row r="7979">
      <c r="A7979" s="7" t="s">
        <v>9516</v>
      </c>
      <c r="B7979" s="5" t="s">
        <v>17432</v>
      </c>
      <c r="C7979" s="5" t="s">
        <v>24984</v>
      </c>
      <c r="D7979" s="5" t="str">
        <v>501807601904</v>
      </c>
      <c r="E7979" s="0" t="e">
        <f>+7 (495) 6642338
+7 (495) 7758781</f>
        <v>#NAME?</v>
      </c>
      <c r="F7979" s="5" t="s">
        <v>48400</v>
      </c>
      <c r="G7979" s="5" t="s">
        <v>48401</v>
      </c>
      <c r="H7979" s="26">
        <v>10.5</v>
      </c>
      <c r="I7979" s="5" t="s">
        <v>48402</v>
      </c>
      <c r="J7979" s="5" t="s">
        <v>26623</v>
      </c>
      <c r="K7979" s="5" t="s">
        <v>344</v>
      </c>
      <c r="L7979" s="5" t="s">
        <v>48403</v>
      </c>
      <c r="M7979" s="27">
        <v>3416795</v>
      </c>
      <c r="N7979" s="5"/>
      <c r="O7979" s="5" t="str">
        <v>7722781966</v>
      </c>
      <c r="P7979" s="27">
        <v>1000000</v>
      </c>
      <c r="Q7979" s="5"/>
      <c r="R7979" s="5"/>
      <c r="S7979" s="5" t="s">
        <v>49110</v>
      </c>
      <c r="T7979" s="28">
        <v>83842000</v>
      </c>
      <c r="U7979" s="28"/>
      <c r="V7979" s="28">
        <v>1282531000</v>
      </c>
      <c r="W7979" s="28"/>
      <c r="X7979" s="28">
        <v>114222000</v>
      </c>
      <c r="Y7979" s="28">
        <v>1488840000</v>
      </c>
      <c r="Z7979" s="28">
        <v>138911000</v>
      </c>
      <c r="AA7979" s="28"/>
      <c r="AB7979" s="28"/>
      <c r="AC7979" s="28">
        <v>1343864000</v>
      </c>
      <c r="AD7979" s="28">
        <v>139911000</v>
      </c>
      <c r="AE7979" s="28">
        <v>17026316000</v>
      </c>
      <c r="AF7979" s="28">
        <v>419355000</v>
      </c>
      <c r="AG7979" s="11"/>
    </row>
    <row r="7980">
      <c r="A7980" s="7" t="s">
        <v>9517</v>
      </c>
      <c r="B7980" s="5" t="s">
        <v>17433</v>
      </c>
      <c r="C7980" s="5" t="s">
        <v>24985</v>
      </c>
      <c r="D7980" s="5" t="str">
        <v>143403113995</v>
      </c>
      <c r="E7980" s="0" t="e">
        <f>+7 (34365) 31035
+7 (8352) 509269
+7 (8422) 451729
+7 (84699) 78450</f>
        <v>#NAME?</v>
      </c>
      <c r="F7980" s="5" t="s">
        <v>48404</v>
      </c>
      <c r="G7980" s="5"/>
      <c r="H7980" s="26">
        <v>13</v>
      </c>
      <c r="I7980" s="5"/>
      <c r="J7980" s="5" t="s">
        <v>25295</v>
      </c>
      <c r="K7980" s="5" t="s">
        <v>355</v>
      </c>
      <c r="L7980" s="5" t="s">
        <v>48405</v>
      </c>
      <c r="M7980" s="27"/>
      <c r="N7980" s="5" t="s">
        <v>61180</v>
      </c>
      <c r="O7980" s="5" t="str">
        <v>7702721214</v>
      </c>
      <c r="P7980" s="27">
        <v>12600000</v>
      </c>
      <c r="Q7980" s="5" t="s">
        <v>61182</v>
      </c>
      <c r="R7980" s="5"/>
      <c r="S7980" s="5" t="s">
        <v>50324</v>
      </c>
      <c r="T7980" s="28">
        <v>222828000</v>
      </c>
      <c r="U7980" s="28">
        <v>48471000</v>
      </c>
      <c r="V7980" s="28">
        <v>747316000</v>
      </c>
      <c r="W7980" s="28"/>
      <c r="X7980" s="28">
        <v>5698000</v>
      </c>
      <c r="Y7980" s="28">
        <v>1457174000</v>
      </c>
      <c r="Z7980" s="28">
        <v>71916000</v>
      </c>
      <c r="AA7980" s="28"/>
      <c r="AB7980" s="28"/>
      <c r="AC7980" s="28">
        <v>1177030000</v>
      </c>
      <c r="AD7980" s="28">
        <v>186147000</v>
      </c>
      <c r="AE7980" s="28">
        <v>3411698000</v>
      </c>
      <c r="AF7980" s="28">
        <v>-117848000</v>
      </c>
      <c r="AG7980" s="11"/>
    </row>
    <row r="7981">
      <c r="A7981" s="7" t="s">
        <v>9518</v>
      </c>
      <c r="B7981" s="5" t="s">
        <v>17434</v>
      </c>
      <c r="C7981" s="5" t="s">
        <v>24986</v>
      </c>
      <c r="D7981" s="5" t="str">
        <v>780423030912</v>
      </c>
      <c r="E7981" s="0" t="e">
        <f>+7 (812) 4099217</f>
        <v>#NAME?</v>
      </c>
      <c r="F7981" s="5" t="s">
        <v>48406</v>
      </c>
      <c r="G7981" s="5" t="s">
        <v>48407</v>
      </c>
      <c r="H7981" s="26">
        <v>11.5</v>
      </c>
      <c r="I7981" s="5" t="s">
        <v>48408</v>
      </c>
      <c r="J7981" s="5" t="s">
        <v>26623</v>
      </c>
      <c r="K7981" s="5" t="s">
        <v>344</v>
      </c>
      <c r="L7981" s="5" t="s">
        <v>48409</v>
      </c>
      <c r="M7981" s="27"/>
      <c r="N7981" s="5"/>
      <c r="O7981" s="5" t="str">
        <v>7805570253</v>
      </c>
      <c r="P7981" s="27">
        <v>1000000</v>
      </c>
      <c r="Q7981" s="5" t="s">
        <v>49009</v>
      </c>
      <c r="R7981" s="5"/>
      <c r="S7981" s="5" t="s">
        <v>49010</v>
      </c>
      <c r="T7981" s="28">
        <v>313000</v>
      </c>
      <c r="U7981" s="28"/>
      <c r="V7981" s="28">
        <v>189758000</v>
      </c>
      <c r="W7981" s="28"/>
      <c r="X7981" s="28">
        <v>113522000</v>
      </c>
      <c r="Y7981" s="28">
        <v>304246000</v>
      </c>
      <c r="Z7981" s="28">
        <v>79778000</v>
      </c>
      <c r="AA7981" s="28"/>
      <c r="AB7981" s="28"/>
      <c r="AC7981" s="28">
        <v>223465000</v>
      </c>
      <c r="AD7981" s="28">
        <v>80778000</v>
      </c>
      <c r="AE7981" s="28">
        <v>3444759000</v>
      </c>
      <c r="AF7981" s="28">
        <v>79710000</v>
      </c>
      <c r="AG7981" s="11"/>
    </row>
    <row r="7982">
      <c r="A7982" s="7" t="s">
        <v>9519</v>
      </c>
      <c r="B7982" s="5" t="s">
        <v>17435</v>
      </c>
      <c r="C7982" s="5" t="s">
        <v>19644</v>
      </c>
      <c r="D7982" s="5"/>
      <c r="E7982" s="0" t="e">
        <f>+7 (3412) 320037
+7 (3412) 330917
+7 (3412) 539191
+7 (3412) 539373
+7 (3412) 681710
+7 (3412) 681734
+7 (3412) 683225
+7 (3412) 905885
+7 (3412) 972235
+7 (34130) 50345
+7 (3412) 621770
+7 (3412) 671770
+7 (3412) 681244
+7 (3412) 682144
+7 (3412) 901651</f>
        <v>#NAME?</v>
      </c>
      <c r="F7982" s="5" t="s">
        <v>48410</v>
      </c>
      <c r="G7982" s="5"/>
      <c r="H7982" s="26">
        <v>17.5</v>
      </c>
      <c r="I7982" s="5"/>
      <c r="J7982" s="5" t="s">
        <v>26623</v>
      </c>
      <c r="K7982" s="5" t="s">
        <v>344</v>
      </c>
      <c r="L7982" s="5" t="s">
        <v>48411</v>
      </c>
      <c r="M7982" s="27">
        <v>164942806</v>
      </c>
      <c r="N7982" s="5" t="s">
        <v>61183</v>
      </c>
      <c r="O7982" s="5" t="str">
        <v>5612042824</v>
      </c>
      <c r="P7982" s="27">
        <v>66907270</v>
      </c>
      <c r="Q7982" s="5" t="s">
        <v>61184</v>
      </c>
      <c r="R7982" s="5" t="s">
        <v>61185</v>
      </c>
      <c r="S7982" s="5" t="s">
        <v>61186</v>
      </c>
      <c r="T7982" s="28">
        <v>3303980000</v>
      </c>
      <c r="U7982" s="28">
        <v>811103000</v>
      </c>
      <c r="V7982" s="28">
        <v>13548276000</v>
      </c>
      <c r="W7982" s="28">
        <v>670255000</v>
      </c>
      <c r="X7982" s="28">
        <v>4345411000</v>
      </c>
      <c r="Y7982" s="28">
        <v>27006620000</v>
      </c>
      <c r="Z7982" s="28">
        <v>9153692000</v>
      </c>
      <c r="AA7982" s="28"/>
      <c r="AB7982" s="28"/>
      <c r="AC7982" s="28">
        <v>14180780000</v>
      </c>
      <c r="AD7982" s="28">
        <v>9046064000</v>
      </c>
      <c r="AE7982" s="28">
        <v>120586542000</v>
      </c>
      <c r="AF7982" s="28">
        <v>2731879000</v>
      </c>
      <c r="AG7982" s="11"/>
    </row>
    <row r="7983">
      <c r="A7983" s="7" t="s">
        <v>9520</v>
      </c>
      <c r="B7983" s="5" t="s">
        <v>17436</v>
      </c>
      <c r="C7983" s="5" t="s">
        <v>24987</v>
      </c>
      <c r="D7983" s="5" t="str">
        <v>740401943864</v>
      </c>
      <c r="E7983" s="0" t="e">
        <f>+7 (3512) 147419
+7 (3517) 768740
+7 (800) 3507419
+7 (908) 7081357</f>
        <v>#NAME?</v>
      </c>
      <c r="F7983" s="5" t="s">
        <v>48412</v>
      </c>
      <c r="G7983" s="5" t="s">
        <v>48413</v>
      </c>
      <c r="H7983" s="26">
        <v>13</v>
      </c>
      <c r="I7983" s="5"/>
      <c r="J7983" s="5" t="s">
        <v>26623</v>
      </c>
      <c r="K7983" s="5" t="s">
        <v>355</v>
      </c>
      <c r="L7983" s="5" t="s">
        <v>48414</v>
      </c>
      <c r="M7983" s="27">
        <v>43503013</v>
      </c>
      <c r="N7983" s="5"/>
      <c r="O7983" s="5" t="str">
        <v>7453215550</v>
      </c>
      <c r="P7983" s="27">
        <v>26610000</v>
      </c>
      <c r="Q7983" s="5" t="s">
        <v>49021</v>
      </c>
      <c r="R7983" s="5"/>
      <c r="S7983" s="5" t="s">
        <v>61187</v>
      </c>
      <c r="T7983" s="28">
        <v>8925000</v>
      </c>
      <c r="U7983" s="28"/>
      <c r="V7983" s="28">
        <v>313447000</v>
      </c>
      <c r="W7983" s="28">
        <v>6749000</v>
      </c>
      <c r="X7983" s="28">
        <v>99968000</v>
      </c>
      <c r="Y7983" s="28">
        <v>439177000</v>
      </c>
      <c r="Z7983" s="28">
        <v>28835000</v>
      </c>
      <c r="AA7983" s="28"/>
      <c r="AB7983" s="28"/>
      <c r="AC7983" s="28">
        <v>377772000</v>
      </c>
      <c r="AD7983" s="28">
        <v>59776000</v>
      </c>
      <c r="AE7983" s="28">
        <v>6935500000</v>
      </c>
      <c r="AF7983" s="28">
        <v>45547000</v>
      </c>
      <c r="AG7983" s="11"/>
    </row>
    <row r="7984">
      <c r="A7984" s="7" t="s">
        <v>9521</v>
      </c>
      <c r="B7984" s="5" t="s">
        <v>17437</v>
      </c>
      <c r="C7984" s="5" t="s">
        <v>24988</v>
      </c>
      <c r="D7984" s="5" t="str">
        <v>772611891005</v>
      </c>
      <c r="E7984" s="0" t="e">
        <f>+7 (495) 2521700
+7 (495) 6800447</f>
        <v>#NAME?</v>
      </c>
      <c r="F7984" s="5" t="s">
        <v>48415</v>
      </c>
      <c r="G7984" s="5" t="s">
        <v>48416</v>
      </c>
      <c r="H7984" s="26">
        <v>16.5</v>
      </c>
      <c r="I7984" s="5" t="s">
        <v>48417</v>
      </c>
      <c r="J7984" s="5" t="s">
        <v>26623</v>
      </c>
      <c r="K7984" s="5" t="s">
        <v>344</v>
      </c>
      <c r="L7984" s="5"/>
      <c r="M7984" s="27"/>
      <c r="N7984" s="5" t="s">
        <v>61188</v>
      </c>
      <c r="O7984" s="5" t="str">
        <v>7703599239</v>
      </c>
      <c r="P7984" s="27">
        <v>5500000</v>
      </c>
      <c r="Q7984" s="5" t="s">
        <v>61189</v>
      </c>
      <c r="R7984" s="5"/>
      <c r="S7984" s="5" t="s">
        <v>61190</v>
      </c>
      <c r="T7984" s="28">
        <v>2598000</v>
      </c>
      <c r="U7984" s="28"/>
      <c r="V7984" s="28">
        <v>104593000</v>
      </c>
      <c r="W7984" s="28"/>
      <c r="X7984" s="28">
        <v>319838000</v>
      </c>
      <c r="Y7984" s="28">
        <v>465311000</v>
      </c>
      <c r="Z7984" s="28">
        <v>-72017000</v>
      </c>
      <c r="AA7984" s="28"/>
      <c r="AB7984" s="28"/>
      <c r="AC7984" s="28">
        <v>442408000</v>
      </c>
      <c r="AD7984" s="28">
        <v>22903000</v>
      </c>
      <c r="AE7984" s="28">
        <v>3216298000</v>
      </c>
      <c r="AF7984" s="28">
        <v>-15870000</v>
      </c>
      <c r="AG7984" s="11"/>
    </row>
    <row r="7985">
      <c r="A7985" s="7" t="s">
        <v>9522</v>
      </c>
      <c r="B7985" s="5" t="s">
        <v>17438</v>
      </c>
      <c r="C7985" s="5" t="s">
        <v>24989</v>
      </c>
      <c r="D7985" s="5" t="str">
        <v>782508191768</v>
      </c>
      <c r="E7985" s="0" t="e">
        <f>+7 (911) 2417304</f>
        <v>#NAME?</v>
      </c>
      <c r="F7985" s="5" t="s">
        <v>48418</v>
      </c>
      <c r="G7985" s="5"/>
      <c r="H7985" s="26">
        <v>12</v>
      </c>
      <c r="I7985" s="5" t="s">
        <v>38533</v>
      </c>
      <c r="J7985" s="5" t="s">
        <v>1013</v>
      </c>
      <c r="K7985" s="5" t="s">
        <v>355</v>
      </c>
      <c r="L7985" s="5"/>
      <c r="M7985" s="27">
        <v>12810966</v>
      </c>
      <c r="N7985" s="5" t="s">
        <v>61191</v>
      </c>
      <c r="O7985" s="5" t="str">
        <v>4705052380</v>
      </c>
      <c r="P7985" s="27">
        <v>2000000</v>
      </c>
      <c r="Q7985" s="5" t="s">
        <v>61192</v>
      </c>
      <c r="R7985" s="5" t="s">
        <v>58163</v>
      </c>
      <c r="S7985" s="5" t="s">
        <v>61193</v>
      </c>
      <c r="T7985" s="28">
        <v>4087996000</v>
      </c>
      <c r="U7985" s="28"/>
      <c r="V7985" s="28">
        <v>794064000</v>
      </c>
      <c r="W7985" s="28">
        <v>354268000</v>
      </c>
      <c r="X7985" s="28">
        <v>18572000</v>
      </c>
      <c r="Y7985" s="28">
        <v>5975278000</v>
      </c>
      <c r="Z7985" s="28">
        <v>51647000</v>
      </c>
      <c r="AA7985" s="28">
        <v>59811000</v>
      </c>
      <c r="AB7985" s="28">
        <v>8004000</v>
      </c>
      <c r="AC7985" s="28">
        <v>2218444000</v>
      </c>
      <c r="AD7985" s="28">
        <v>53747000</v>
      </c>
      <c r="AE7985" s="28">
        <v>3106790000</v>
      </c>
      <c r="AF7985" s="28">
        <v>96213000</v>
      </c>
      <c r="AG7985" s="11"/>
    </row>
    <row r="7986">
      <c r="A7986" s="7" t="s">
        <v>9523</v>
      </c>
      <c r="B7986" s="5" t="s">
        <v>17439</v>
      </c>
      <c r="C7986" s="5" t="s">
        <v>24990</v>
      </c>
      <c r="D7986" s="5" t="str">
        <v>052701604207</v>
      </c>
      <c r="E7986" s="0" t="e">
        <f>+7 (872) 2681362
+7 (964) 7046
+7 (872) 2999134
+7 (988) 2116663</f>
        <v>#NAME?</v>
      </c>
      <c r="F7986" s="5" t="s">
        <v>48419</v>
      </c>
      <c r="G7986" s="5"/>
      <c r="H7986" s="26">
        <v>10</v>
      </c>
      <c r="I7986" s="5" t="s">
        <v>48420</v>
      </c>
      <c r="J7986" s="5" t="s">
        <v>27642</v>
      </c>
      <c r="K7986" s="5" t="s">
        <v>344</v>
      </c>
      <c r="L7986" s="5"/>
      <c r="M7986" s="27">
        <v>2649978</v>
      </c>
      <c r="N7986" s="5" t="s">
        <v>61194</v>
      </c>
      <c r="O7986" s="5" t="str">
        <v>0571002330</v>
      </c>
      <c r="P7986" s="27">
        <v>10000</v>
      </c>
      <c r="Q7986" s="5"/>
      <c r="R7986" s="5"/>
      <c r="S7986" s="5" t="s">
        <v>49110</v>
      </c>
      <c r="T7986" s="28"/>
      <c r="U7986" s="28"/>
      <c r="V7986" s="28">
        <v>7967664000</v>
      </c>
      <c r="W7986" s="28"/>
      <c r="X7986" s="28">
        <v>467764000</v>
      </c>
      <c r="Y7986" s="28">
        <v>8435428000</v>
      </c>
      <c r="Z7986" s="28"/>
      <c r="AA7986" s="28"/>
      <c r="AB7986" s="28"/>
      <c r="AC7986" s="28">
        <v>8435428000</v>
      </c>
      <c r="AD7986" s="28"/>
      <c r="AE7986" s="28">
        <v>24944018000</v>
      </c>
      <c r="AF7986" s="28">
        <v>-173569000</v>
      </c>
      <c r="AG7986" s="11"/>
    </row>
    <row r="7987">
      <c r="A7987" s="7" t="s">
        <v>9524</v>
      </c>
      <c r="B7987" s="5" t="s">
        <v>17440</v>
      </c>
      <c r="C7987" s="5" t="s">
        <v>21569</v>
      </c>
      <c r="D7987" s="5" t="str">
        <v>701739410301</v>
      </c>
      <c r="E7987" s="0" t="e">
        <f>+7 (495) 2740445
+7 (921) 8690444
+7 (495) 6605019
+7 (495) 9116762</f>
        <v>#NAME?</v>
      </c>
      <c r="F7987" s="5" t="s">
        <v>48421</v>
      </c>
      <c r="G7987" s="5" t="s">
        <v>48422</v>
      </c>
      <c r="H7987" s="26">
        <v>16</v>
      </c>
      <c r="I7987" s="5" t="s">
        <v>43807</v>
      </c>
      <c r="J7987" s="5" t="s">
        <v>30741</v>
      </c>
      <c r="K7987" s="5" t="s">
        <v>344</v>
      </c>
      <c r="L7987" s="5" t="s">
        <v>37167</v>
      </c>
      <c r="M7987" s="27">
        <v>285200</v>
      </c>
      <c r="N7987" s="5" t="s">
        <v>61195</v>
      </c>
      <c r="O7987" s="5" t="str">
        <v>5001061220</v>
      </c>
      <c r="P7987" s="27">
        <v>100000000</v>
      </c>
      <c r="Q7987" s="5" t="s">
        <v>61196</v>
      </c>
      <c r="R7987" s="5"/>
      <c r="S7987" s="5" t="s">
        <v>61197</v>
      </c>
      <c r="T7987" s="28">
        <v>1369199000</v>
      </c>
      <c r="U7987" s="28"/>
      <c r="V7987" s="28">
        <v>9013575000</v>
      </c>
      <c r="W7987" s="28"/>
      <c r="X7987" s="28">
        <v>8429596000</v>
      </c>
      <c r="Y7987" s="28">
        <v>19665761000</v>
      </c>
      <c r="Z7987" s="28">
        <v>1339823000</v>
      </c>
      <c r="AA7987" s="28"/>
      <c r="AB7987" s="28">
        <v>1418124000</v>
      </c>
      <c r="AC7987" s="28">
        <v>18036441000</v>
      </c>
      <c r="AD7987" s="28">
        <v>1439823000</v>
      </c>
      <c r="AE7987" s="28">
        <v>24228175000</v>
      </c>
      <c r="AF7987" s="28">
        <v>665914000</v>
      </c>
      <c r="AG7987" s="11"/>
    </row>
    <row r="7988">
      <c r="A7988" s="7" t="s">
        <v>9525</v>
      </c>
      <c r="B7988" s="5" t="s">
        <v>17441</v>
      </c>
      <c r="C7988" s="5" t="s">
        <v>24991</v>
      </c>
      <c r="D7988" s="5" t="str">
        <v>972702107149</v>
      </c>
      <c r="E7988" s="0" t="e">
        <f>+7 (495) 1468867</f>
        <v>#NAME?</v>
      </c>
      <c r="F7988" s="5"/>
      <c r="G7988" s="5"/>
      <c r="H7988" s="26">
        <v>11.5</v>
      </c>
      <c r="I7988" s="5" t="s">
        <v>48423</v>
      </c>
      <c r="J7988" s="5" t="s">
        <v>26623</v>
      </c>
      <c r="K7988" s="5" t="s">
        <v>355</v>
      </c>
      <c r="L7988" s="5" t="s">
        <v>48424</v>
      </c>
      <c r="M7988" s="27">
        <v>282073910</v>
      </c>
      <c r="N7988" s="5" t="s">
        <v>61198</v>
      </c>
      <c r="O7988" s="5" t="str">
        <v>7715887873</v>
      </c>
      <c r="P7988" s="27">
        <v>70000</v>
      </c>
      <c r="Q7988" s="5" t="s">
        <v>49059</v>
      </c>
      <c r="R7988" s="5"/>
      <c r="S7988" s="5" t="s">
        <v>49010</v>
      </c>
      <c r="T7988" s="28">
        <v>1601000</v>
      </c>
      <c r="U7988" s="28"/>
      <c r="V7988" s="28">
        <v>746407000</v>
      </c>
      <c r="W7988" s="28"/>
      <c r="X7988" s="28">
        <v>2075000</v>
      </c>
      <c r="Y7988" s="28">
        <v>752339000</v>
      </c>
      <c r="Z7988" s="28">
        <v>49347000</v>
      </c>
      <c r="AA7988" s="28"/>
      <c r="AB7988" s="28"/>
      <c r="AC7988" s="28">
        <v>702900000</v>
      </c>
      <c r="AD7988" s="28">
        <v>49417000</v>
      </c>
      <c r="AE7988" s="28">
        <v>4402932000</v>
      </c>
      <c r="AF7988" s="28">
        <v>1136000</v>
      </c>
      <c r="AG7988" s="11"/>
    </row>
    <row r="7989">
      <c r="A7989" s="7" t="s">
        <v>9526</v>
      </c>
      <c r="B7989" s="5" t="s">
        <v>17442</v>
      </c>
      <c r="C7989" s="5" t="s">
        <v>24992</v>
      </c>
      <c r="D7989" s="5" t="str">
        <v>614307516010</v>
      </c>
      <c r="E7989" s="0" t="e">
        <f>+7 (499) 1605724
+7 (499) 1608892
+7 (499) 1608903
+7 (499) 1690033
+7 (499) 1693361
+7 (499) 1694225</f>
        <v>#NAME?</v>
      </c>
      <c r="F7989" s="5" t="s">
        <v>48425</v>
      </c>
      <c r="G7989" s="5" t="s">
        <v>48426</v>
      </c>
      <c r="H7989" s="26">
        <v>29.5</v>
      </c>
      <c r="I7989" s="5"/>
      <c r="J7989" s="5" t="s">
        <v>32671</v>
      </c>
      <c r="K7989" s="5" t="s">
        <v>355</v>
      </c>
      <c r="L7989" s="5"/>
      <c r="M7989" s="27"/>
      <c r="N7989" s="5" t="s">
        <v>61199</v>
      </c>
      <c r="O7989" s="5" t="str">
        <v>7718083574</v>
      </c>
      <c r="P7989" s="27">
        <v>40647531</v>
      </c>
      <c r="Q7989" s="5" t="s">
        <v>61200</v>
      </c>
      <c r="R7989" s="5" t="s">
        <v>61201</v>
      </c>
      <c r="S7989" s="5" t="s">
        <v>61202</v>
      </c>
      <c r="T7989" s="28">
        <v>373907000</v>
      </c>
      <c r="U7989" s="28"/>
      <c r="V7989" s="28">
        <v>3765170000</v>
      </c>
      <c r="W7989" s="28">
        <v>1000000000</v>
      </c>
      <c r="X7989" s="28">
        <v>1423948000</v>
      </c>
      <c r="Y7989" s="28">
        <v>9021560000</v>
      </c>
      <c r="Z7989" s="28">
        <v>-7822456000</v>
      </c>
      <c r="AA7989" s="28"/>
      <c r="AB7989" s="28"/>
      <c r="AC7989" s="28">
        <v>4881270000</v>
      </c>
      <c r="AD7989" s="28">
        <v>4120146000</v>
      </c>
      <c r="AE7989" s="28">
        <v>4598220000</v>
      </c>
      <c r="AF7989" s="28">
        <v>-168860000</v>
      </c>
      <c r="AG7989" s="11"/>
    </row>
    <row r="7990">
      <c r="A7990" s="7" t="s">
        <v>9527</v>
      </c>
      <c r="B7990" s="5" t="s">
        <v>17443</v>
      </c>
      <c r="C7990" s="5" t="s">
        <v>24993</v>
      </c>
      <c r="D7990" s="5" t="str">
        <v>665896318299</v>
      </c>
      <c r="E7990" s="0" t="e">
        <f>+7 (343) 2220742
+7 (343) 2870740
+7 (343) 2870750</f>
        <v>#NAME?</v>
      </c>
      <c r="F7990" s="5" t="s">
        <v>48427</v>
      </c>
      <c r="G7990" s="5" t="s">
        <v>48428</v>
      </c>
      <c r="H7990" s="26">
        <v>12.5</v>
      </c>
      <c r="I7990" s="5"/>
      <c r="J7990" s="5" t="s">
        <v>947</v>
      </c>
      <c r="K7990" s="5" t="s">
        <v>344</v>
      </c>
      <c r="L7990" s="5" t="s">
        <v>48429</v>
      </c>
      <c r="M7990" s="27">
        <v>12053525</v>
      </c>
      <c r="N7990" s="5" t="s">
        <v>61203</v>
      </c>
      <c r="O7990" s="5" t="str">
        <v>6674357664</v>
      </c>
      <c r="P7990" s="27">
        <v>5000000</v>
      </c>
      <c r="Q7990" s="5" t="s">
        <v>49021</v>
      </c>
      <c r="R7990" s="5"/>
      <c r="S7990" s="5" t="s">
        <v>61205</v>
      </c>
      <c r="T7990" s="28">
        <v>84001000</v>
      </c>
      <c r="U7990" s="28"/>
      <c r="V7990" s="28">
        <v>2018535000</v>
      </c>
      <c r="W7990" s="28"/>
      <c r="X7990" s="28">
        <v>227409000</v>
      </c>
      <c r="Y7990" s="28">
        <v>4393640000</v>
      </c>
      <c r="Z7990" s="28">
        <v>2825522000</v>
      </c>
      <c r="AA7990" s="28"/>
      <c r="AB7990" s="28"/>
      <c r="AC7990" s="28">
        <v>1458767000</v>
      </c>
      <c r="AD7990" s="28">
        <v>2830772000</v>
      </c>
      <c r="AE7990" s="28">
        <v>5168550000</v>
      </c>
      <c r="AF7990" s="28">
        <v>1107794000</v>
      </c>
      <c r="AG7990" s="11"/>
    </row>
    <row r="7991">
      <c r="A7991" s="7" t="s">
        <v>9528</v>
      </c>
      <c r="B7991" s="5" t="s">
        <v>17444</v>
      </c>
      <c r="C7991" s="5" t="s">
        <v>24994</v>
      </c>
      <c r="D7991" s="5" t="str">
        <v>772806450387</v>
      </c>
      <c r="E7991" s="0" t="e">
        <f>+7 (495) 6221012
+7 (812) 6221000
+7 (495) 9847750
+7 (906) 743056</f>
        <v>#NAME?</v>
      </c>
      <c r="F7991" s="5"/>
      <c r="G7991" s="5"/>
      <c r="H7991" s="26">
        <v>12.5</v>
      </c>
      <c r="I7991" s="5" t="s">
        <v>48430</v>
      </c>
      <c r="J7991" s="5" t="s">
        <v>364</v>
      </c>
      <c r="K7991" s="5" t="s">
        <v>344</v>
      </c>
      <c r="L7991" s="5" t="s">
        <v>44513</v>
      </c>
      <c r="M7991" s="27"/>
      <c r="N7991" s="5" t="s">
        <v>61206</v>
      </c>
      <c r="O7991" s="5" t="str">
        <v>7842436640</v>
      </c>
      <c r="P7991" s="27">
        <v>544572966</v>
      </c>
      <c r="Q7991" s="5" t="s">
        <v>61207</v>
      </c>
      <c r="R7991" s="5"/>
      <c r="S7991" s="5" t="s">
        <v>61208</v>
      </c>
      <c r="T7991" s="28">
        <v>70654000</v>
      </c>
      <c r="U7991" s="28"/>
      <c r="V7991" s="28">
        <v>1640860000</v>
      </c>
      <c r="W7991" s="28">
        <v>19487000</v>
      </c>
      <c r="X7991" s="28">
        <v>2538668000</v>
      </c>
      <c r="Y7991" s="28">
        <v>4955916000</v>
      </c>
      <c r="Z7991" s="28">
        <v>440474000</v>
      </c>
      <c r="AA7991" s="28"/>
      <c r="AB7991" s="28"/>
      <c r="AC7991" s="28">
        <v>3961919000</v>
      </c>
      <c r="AD7991" s="28">
        <v>985047000</v>
      </c>
      <c r="AE7991" s="28">
        <v>5025200000</v>
      </c>
      <c r="AF7991" s="28">
        <v>270259000</v>
      </c>
      <c r="AG7991" s="11"/>
    </row>
    <row r="7992">
      <c r="A7992" s="7" t="s">
        <v>9529</v>
      </c>
      <c r="B7992" s="5" t="s">
        <v>17445</v>
      </c>
      <c r="C7992" s="5" t="s">
        <v>24995</v>
      </c>
      <c r="D7992" s="5" t="str">
        <v>500508437203</v>
      </c>
      <c r="E7992" s="0" t="e">
        <f>+7 (499) 7501133
+7 (499) 9952572
+7 (985) 4209691</f>
        <v>#NAME?</v>
      </c>
      <c r="F7992" s="5" t="s">
        <v>48431</v>
      </c>
      <c r="G7992" s="5"/>
      <c r="H7992" s="26">
        <v>9.5</v>
      </c>
      <c r="I7992" s="5" t="s">
        <v>48432</v>
      </c>
      <c r="J7992" s="5" t="s">
        <v>364</v>
      </c>
      <c r="K7992" s="5" t="s">
        <v>344</v>
      </c>
      <c r="L7992" s="5" t="s">
        <v>48433</v>
      </c>
      <c r="M7992" s="27">
        <v>208104140</v>
      </c>
      <c r="N7992" s="5" t="s">
        <v>61209</v>
      </c>
      <c r="O7992" s="5" t="str">
        <v>7703799816</v>
      </c>
      <c r="P7992" s="27">
        <v>25000</v>
      </c>
      <c r="Q7992" s="5" t="s">
        <v>61210</v>
      </c>
      <c r="R7992" s="5"/>
      <c r="S7992" s="5" t="s">
        <v>61211</v>
      </c>
      <c r="T7992" s="28">
        <v>83377000</v>
      </c>
      <c r="U7992" s="28">
        <v>29500000</v>
      </c>
      <c r="V7992" s="28">
        <v>1607682000</v>
      </c>
      <c r="W7992" s="28">
        <v>124395000</v>
      </c>
      <c r="X7992" s="28">
        <v>327723000</v>
      </c>
      <c r="Y7992" s="28">
        <v>3451685000</v>
      </c>
      <c r="Z7992" s="28">
        <v>461533000</v>
      </c>
      <c r="AA7992" s="28"/>
      <c r="AB7992" s="28">
        <v>250000000</v>
      </c>
      <c r="AC7992" s="28">
        <v>2778081000</v>
      </c>
      <c r="AD7992" s="28">
        <v>461558000</v>
      </c>
      <c r="AE7992" s="28">
        <v>3296258000</v>
      </c>
      <c r="AF7992" s="28">
        <v>287868000</v>
      </c>
      <c r="AG7992" s="11"/>
    </row>
    <row r="7993">
      <c r="A7993" s="7" t="s">
        <v>9530</v>
      </c>
      <c r="B7993" s="5" t="s">
        <v>17446</v>
      </c>
      <c r="C7993" s="5" t="s">
        <v>24996</v>
      </c>
      <c r="D7993" s="5" t="str">
        <v>253800595462</v>
      </c>
      <c r="E7993" s="0" t="e">
        <f>+7 (423) 2495462
+7 (4232) 463294
+7 (4232) 465651
+7 (4234) 350329
+7 (42366) 20555</f>
        <v>#NAME?</v>
      </c>
      <c r="F7993" s="5" t="s">
        <v>48434</v>
      </c>
      <c r="G7993" s="5"/>
      <c r="H7993" s="26">
        <v>19</v>
      </c>
      <c r="I7993" s="5" t="s">
        <v>48435</v>
      </c>
      <c r="J7993" s="5" t="s">
        <v>25612</v>
      </c>
      <c r="K7993" s="5" t="s">
        <v>344</v>
      </c>
      <c r="L7993" s="5" t="s">
        <v>48436</v>
      </c>
      <c r="M7993" s="27"/>
      <c r="N7993" s="5" t="s">
        <v>61212</v>
      </c>
      <c r="O7993" s="5" t="str">
        <v>2536139985</v>
      </c>
      <c r="P7993" s="27">
        <v>10000</v>
      </c>
      <c r="Q7993" s="5" t="s">
        <v>49009</v>
      </c>
      <c r="R7993" s="5"/>
      <c r="S7993" s="5" t="s">
        <v>49504</v>
      </c>
      <c r="T7993" s="28">
        <v>5982000</v>
      </c>
      <c r="U7993" s="28"/>
      <c r="V7993" s="28">
        <v>598484000</v>
      </c>
      <c r="W7993" s="28"/>
      <c r="X7993" s="28">
        <v>99576000</v>
      </c>
      <c r="Y7993" s="28">
        <v>848945000</v>
      </c>
      <c r="Z7993" s="28">
        <v>479045000</v>
      </c>
      <c r="AA7993" s="28"/>
      <c r="AB7993" s="28"/>
      <c r="AC7993" s="28">
        <v>369853000</v>
      </c>
      <c r="AD7993" s="28">
        <v>479055000</v>
      </c>
      <c r="AE7993" s="28">
        <v>3773049000</v>
      </c>
      <c r="AF7993" s="28">
        <v>147323000</v>
      </c>
      <c r="AG7993" s="11"/>
    </row>
    <row r="7994">
      <c r="A7994" s="7" t="s">
        <v>9531</v>
      </c>
      <c r="B7994" s="5" t="s">
        <v>17447</v>
      </c>
      <c r="C7994" s="5" t="s">
        <v>24997</v>
      </c>
      <c r="D7994" s="5" t="str">
        <v>773178985356</v>
      </c>
      <c r="E7994" s="0" t="e">
        <f>+7 (345) 2658865
+7 (499) 7097117
+7 (800) 2228865</f>
        <v>#NAME?</v>
      </c>
      <c r="F7994" s="5" t="s">
        <v>48437</v>
      </c>
      <c r="G7994" s="5" t="s">
        <v>48438</v>
      </c>
      <c r="H7994" s="26">
        <v>20.5</v>
      </c>
      <c r="I7994" s="5" t="s">
        <v>48439</v>
      </c>
      <c r="J7994" s="5" t="s">
        <v>25414</v>
      </c>
      <c r="K7994" s="5" t="s">
        <v>355</v>
      </c>
      <c r="L7994" s="5"/>
      <c r="M7994" s="27">
        <v>10209</v>
      </c>
      <c r="N7994" s="5" t="s">
        <v>61213</v>
      </c>
      <c r="O7994" s="5" t="str">
        <v>7203126844</v>
      </c>
      <c r="P7994" s="27">
        <v>70000000</v>
      </c>
      <c r="Q7994" s="5" t="s">
        <v>61214</v>
      </c>
      <c r="R7994" s="5"/>
      <c r="S7994" s="5" t="s">
        <v>61215</v>
      </c>
      <c r="T7994" s="28">
        <v>7721327000</v>
      </c>
      <c r="U7994" s="28">
        <v>69351000</v>
      </c>
      <c r="V7994" s="28">
        <v>2003591000</v>
      </c>
      <c r="W7994" s="28"/>
      <c r="X7994" s="28">
        <v>42810000</v>
      </c>
      <c r="Y7994" s="28">
        <v>11883301000</v>
      </c>
      <c r="Z7994" s="28">
        <v>2049921000</v>
      </c>
      <c r="AA7994" s="28">
        <v>2690699000</v>
      </c>
      <c r="AB7994" s="28">
        <v>3270032000</v>
      </c>
      <c r="AC7994" s="28">
        <v>4736330000</v>
      </c>
      <c r="AD7994" s="28">
        <v>2119921000</v>
      </c>
      <c r="AE7994" s="28">
        <v>7432710000</v>
      </c>
      <c r="AF7994" s="28">
        <v>392315000</v>
      </c>
      <c r="AG7994" s="11"/>
    </row>
    <row r="7995">
      <c r="A7995" s="7" t="s">
        <v>9532</v>
      </c>
      <c r="B7995" s="5" t="s">
        <v>17448</v>
      </c>
      <c r="C7995" s="5" t="s">
        <v>24998</v>
      </c>
      <c r="D7995" s="5" t="str">
        <v>245003263216</v>
      </c>
      <c r="E7995" s="0" t="e">
        <f>+7 (383) 3464168
+7 (384) 2453400
+7 (384) 2464108
+7 (3843) 453400
+7 (3843) 463400
+7 (3843) 466168
+7 (3843) 468168
+7 (3843) 468361
+7 (3843) 561238
+7 (3843) 740210
+7 (3843) 790613
+7 (38441) 22573
+7 (913) 1322016
+7 (913) 1366945
+7 (3843) 454168</f>
        <v>#NAME?</v>
      </c>
      <c r="F7995" s="5" t="s">
        <v>48440</v>
      </c>
      <c r="G7995" s="5"/>
      <c r="H7995" s="26">
        <v>7</v>
      </c>
      <c r="I7995" s="5" t="s">
        <v>48441</v>
      </c>
      <c r="J7995" s="5" t="s">
        <v>30678</v>
      </c>
      <c r="K7995" s="5" t="s">
        <v>355</v>
      </c>
      <c r="L7995" s="5" t="s">
        <v>48442</v>
      </c>
      <c r="M7995" s="27">
        <v>2199209</v>
      </c>
      <c r="N7995" s="5" t="s">
        <v>61216</v>
      </c>
      <c r="O7995" s="5" t="str">
        <v>5406603432</v>
      </c>
      <c r="P7995" s="27">
        <v>10000</v>
      </c>
      <c r="Q7995" s="5" t="s">
        <v>61217</v>
      </c>
      <c r="R7995" s="5"/>
      <c r="S7995" s="5" t="s">
        <v>61218</v>
      </c>
      <c r="T7995" s="28">
        <v>695243000</v>
      </c>
      <c r="U7995" s="28"/>
      <c r="V7995" s="28">
        <v>1107579000</v>
      </c>
      <c r="W7995" s="28"/>
      <c r="X7995" s="28">
        <v>5390000</v>
      </c>
      <c r="Y7995" s="28">
        <v>2055724000</v>
      </c>
      <c r="Z7995" s="28">
        <v>162732000</v>
      </c>
      <c r="AA7995" s="28">
        <v>309238000</v>
      </c>
      <c r="AB7995" s="28">
        <v>17943000</v>
      </c>
      <c r="AC7995" s="28">
        <v>1291052000</v>
      </c>
      <c r="AD7995" s="28">
        <v>162742000</v>
      </c>
      <c r="AE7995" s="28">
        <v>3678176000</v>
      </c>
      <c r="AF7995" s="28">
        <v>161086000</v>
      </c>
      <c r="AG7995" s="11"/>
    </row>
    <row r="7996">
      <c r="A7996" s="7" t="s">
        <v>9533</v>
      </c>
      <c r="B7996" s="5" t="s">
        <v>17449</v>
      </c>
      <c r="C7996" s="5" t="s">
        <v>24999</v>
      </c>
      <c r="D7996" s="5" t="str">
        <v>234992256526</v>
      </c>
      <c r="E7996" s="0" t="e">
        <f>+7 (495) 2520681</f>
        <v>#NAME?</v>
      </c>
      <c r="F7996" s="5" t="s">
        <v>48443</v>
      </c>
      <c r="G7996" s="5"/>
      <c r="H7996" s="26">
        <v>11</v>
      </c>
      <c r="I7996" s="5" t="s">
        <v>48444</v>
      </c>
      <c r="J7996" s="5" t="s">
        <v>25512</v>
      </c>
      <c r="K7996" s="5" t="s">
        <v>344</v>
      </c>
      <c r="L7996" s="5" t="s">
        <v>48445</v>
      </c>
      <c r="M7996" s="27"/>
      <c r="N7996" s="5" t="s">
        <v>61219</v>
      </c>
      <c r="O7996" s="5" t="str">
        <v>7728790847</v>
      </c>
      <c r="P7996" s="27">
        <v>66700</v>
      </c>
      <c r="Q7996" s="5" t="s">
        <v>49057</v>
      </c>
      <c r="R7996" s="5"/>
      <c r="S7996" s="5" t="s">
        <v>61220</v>
      </c>
      <c r="T7996" s="28">
        <v>27730000</v>
      </c>
      <c r="U7996" s="28"/>
      <c r="V7996" s="28">
        <v>1437228000</v>
      </c>
      <c r="W7996" s="28"/>
      <c r="X7996" s="28">
        <v>17053000</v>
      </c>
      <c r="Y7996" s="28">
        <v>1602100000</v>
      </c>
      <c r="Z7996" s="28">
        <v>228341000</v>
      </c>
      <c r="AA7996" s="28"/>
      <c r="AB7996" s="28">
        <v>1046571000</v>
      </c>
      <c r="AC7996" s="28">
        <v>1364025000</v>
      </c>
      <c r="AD7996" s="28">
        <v>228418000</v>
      </c>
      <c r="AE7996" s="28">
        <v>11618313000</v>
      </c>
      <c r="AF7996" s="28">
        <v>95512000</v>
      </c>
      <c r="AG7996" s="11"/>
    </row>
    <row r="7997">
      <c r="A7997" s="7" t="s">
        <v>9533</v>
      </c>
      <c r="B7997" s="5" t="s">
        <v>17450</v>
      </c>
      <c r="C7997" s="5" t="s">
        <v>25000</v>
      </c>
      <c r="D7997" s="5" t="str">
        <v>027802275189</v>
      </c>
      <c r="E7997" s="0" t="e">
        <f>+7 (3472) 463505
+7 (917) 7946609
+7 (967) 7882680</f>
        <v>#NAME?</v>
      </c>
      <c r="F7997" s="5" t="s">
        <v>48446</v>
      </c>
      <c r="G7997" s="5"/>
      <c r="H7997" s="26">
        <v>7.5</v>
      </c>
      <c r="I7997" s="5" t="s">
        <v>48447</v>
      </c>
      <c r="J7997" s="5" t="s">
        <v>25327</v>
      </c>
      <c r="K7997" s="5" t="s">
        <v>344</v>
      </c>
      <c r="L7997" s="5" t="s">
        <v>48448</v>
      </c>
      <c r="M7997" s="27"/>
      <c r="N7997" s="5" t="s">
        <v>57595</v>
      </c>
      <c r="O7997" s="5" t="str">
        <v>0274906277</v>
      </c>
      <c r="P7997" s="27">
        <v>10000</v>
      </c>
      <c r="Q7997" s="5" t="s">
        <v>49021</v>
      </c>
      <c r="R7997" s="5"/>
      <c r="S7997" s="5" t="s">
        <v>61221</v>
      </c>
      <c r="T7997" s="28">
        <v>19300000</v>
      </c>
      <c r="U7997" s="28"/>
      <c r="V7997" s="28">
        <v>405974000</v>
      </c>
      <c r="W7997" s="28"/>
      <c r="X7997" s="28">
        <v>13178000</v>
      </c>
      <c r="Y7997" s="28">
        <v>486894000</v>
      </c>
      <c r="Z7997" s="28">
        <v>171379000</v>
      </c>
      <c r="AA7997" s="28"/>
      <c r="AB7997" s="28">
        <v>100000000</v>
      </c>
      <c r="AC7997" s="28">
        <v>293470000</v>
      </c>
      <c r="AD7997" s="28">
        <v>171389000</v>
      </c>
      <c r="AE7997" s="28">
        <v>4642514000</v>
      </c>
      <c r="AF7997" s="28">
        <v>72697000</v>
      </c>
      <c r="AG7997" s="11"/>
    </row>
    <row r="7998">
      <c r="A7998" s="7" t="s">
        <v>9534</v>
      </c>
      <c r="B7998" s="5" t="s">
        <v>17451</v>
      </c>
      <c r="C7998" s="5" t="s">
        <v>25001</v>
      </c>
      <c r="D7998" s="5" t="str">
        <v>524706594783</v>
      </c>
      <c r="E7998" s="0" t="e">
        <f>+7 (495) 7816560
+7 (83177) 90517
+7 (910) 1230401</f>
        <v>#NAME?</v>
      </c>
      <c r="F7998" s="5" t="s">
        <v>48449</v>
      </c>
      <c r="G7998" s="5" t="s">
        <v>48450</v>
      </c>
      <c r="H7998" s="26">
        <v>20.5</v>
      </c>
      <c r="I7998" s="5" t="s">
        <v>48451</v>
      </c>
      <c r="J7998" s="5" t="s">
        <v>26623</v>
      </c>
      <c r="K7998" s="5" t="s">
        <v>344</v>
      </c>
      <c r="L7998" s="5" t="s">
        <v>48452</v>
      </c>
      <c r="M7998" s="27"/>
      <c r="N7998" s="5" t="s">
        <v>61222</v>
      </c>
      <c r="O7998" s="5" t="str">
        <v>7709317988</v>
      </c>
      <c r="P7998" s="27">
        <v>100000</v>
      </c>
      <c r="Q7998" s="5" t="s">
        <v>49059</v>
      </c>
      <c r="R7998" s="5"/>
      <c r="S7998" s="5" t="s">
        <v>49110</v>
      </c>
      <c r="T7998" s="28">
        <v>12365000</v>
      </c>
      <c r="U7998" s="28"/>
      <c r="V7998" s="28">
        <v>458379000</v>
      </c>
      <c r="W7998" s="28"/>
      <c r="X7998" s="28">
        <v>118571000</v>
      </c>
      <c r="Y7998" s="28">
        <v>672225000</v>
      </c>
      <c r="Z7998" s="28">
        <v>74945000</v>
      </c>
      <c r="AA7998" s="28"/>
      <c r="AB7998" s="28"/>
      <c r="AC7998" s="28">
        <v>596340000</v>
      </c>
      <c r="AD7998" s="28">
        <v>75045000</v>
      </c>
      <c r="AE7998" s="28">
        <v>5555064000</v>
      </c>
      <c r="AF7998" s="28">
        <v>18157000</v>
      </c>
      <c r="AG7998" s="11"/>
    </row>
    <row r="7999">
      <c r="A7999" s="7" t="s">
        <v>9535</v>
      </c>
      <c r="B7999" s="5" t="s">
        <v>17452</v>
      </c>
      <c r="C7999" s="5" t="s">
        <v>25002</v>
      </c>
      <c r="D7999" s="5" t="str">
        <v>272208393805</v>
      </c>
      <c r="E7999" s="0" t="e">
        <f>+7 (914) 1851999
+7 (421) 2231743
+7 (421) 2231752</f>
        <v>#NAME?</v>
      </c>
      <c r="F7999" s="5" t="s">
        <v>48453</v>
      </c>
      <c r="G7999" s="5"/>
      <c r="H7999" s="26">
        <v>20</v>
      </c>
      <c r="I7999" s="5" t="s">
        <v>48454</v>
      </c>
      <c r="J7999" s="5" t="s">
        <v>30764</v>
      </c>
      <c r="K7999" s="5" t="s">
        <v>344</v>
      </c>
      <c r="L7999" s="5" t="s">
        <v>48455</v>
      </c>
      <c r="M7999" s="27">
        <v>68600</v>
      </c>
      <c r="N7999" s="5"/>
      <c r="O7999" s="5" t="str">
        <v>2703020075</v>
      </c>
      <c r="P7999" s="27">
        <v>1010000</v>
      </c>
      <c r="Q7999" s="5"/>
      <c r="R7999" s="5"/>
      <c r="S7999" s="5" t="s">
        <v>49125</v>
      </c>
      <c r="T7999" s="28">
        <v>99774000</v>
      </c>
      <c r="U7999" s="28">
        <v>169745000</v>
      </c>
      <c r="V7999" s="28">
        <v>1376641000</v>
      </c>
      <c r="W7999" s="28"/>
      <c r="X7999" s="28">
        <v>23418000</v>
      </c>
      <c r="Y7999" s="28">
        <v>3052752000</v>
      </c>
      <c r="Z7999" s="28">
        <v>1129168000</v>
      </c>
      <c r="AA7999" s="28">
        <v>29030000</v>
      </c>
      <c r="AB7999" s="28">
        <v>1024441000</v>
      </c>
      <c r="AC7999" s="28">
        <v>1893544000</v>
      </c>
      <c r="AD7999" s="28">
        <v>1130178000</v>
      </c>
      <c r="AE7999" s="28">
        <v>13302428000</v>
      </c>
      <c r="AF7999" s="28">
        <v>184457000</v>
      </c>
      <c r="AG7999" s="11"/>
    </row>
    <row r="8000">
      <c r="A8000" s="7" t="s">
        <v>9536</v>
      </c>
      <c r="B8000" s="5" t="s">
        <v>12883</v>
      </c>
      <c r="C8000" s="5" t="s">
        <v>25003</v>
      </c>
      <c r="D8000" s="5" t="str">
        <v>773108513511</v>
      </c>
      <c r="E8000" s="0" t="e">
        <f>+7 (495) 9370447
+7 (495) 9370440
+7 (495) 5406777
+7 (495) 6466700
+7 (495) 7305854
+7 (495) 7392347
+7 (495) 9370441
+7 (495) 9370448
+7 (495) 9372744
+7 (495) 9955004
+7 (499) 3221062
+7 (499) 5798830
+7 (499) 9290783
+7 (499) 9290784
+7 (800) 5558333</f>
        <v>#NAME?</v>
      </c>
      <c r="F8000" s="5" t="s">
        <v>48456</v>
      </c>
      <c r="G8000" s="5" t="s">
        <v>48457</v>
      </c>
      <c r="H8000" s="26">
        <v>26</v>
      </c>
      <c r="I8000" s="5" t="s">
        <v>48458</v>
      </c>
      <c r="J8000" s="5" t="s">
        <v>25484</v>
      </c>
      <c r="K8000" s="5" t="s">
        <v>344</v>
      </c>
      <c r="L8000" s="5" t="s">
        <v>48459</v>
      </c>
      <c r="M8000" s="27">
        <v>1723135</v>
      </c>
      <c r="N8000" s="5"/>
      <c r="O8000" s="5" t="str">
        <v>7702190316</v>
      </c>
      <c r="P8000" s="27">
        <v>3653109220</v>
      </c>
      <c r="Q8000" s="5" t="s">
        <v>61224</v>
      </c>
      <c r="R8000" s="5"/>
      <c r="S8000" s="5" t="s">
        <v>54977</v>
      </c>
      <c r="T8000" s="28">
        <v>33569681000</v>
      </c>
      <c r="U8000" s="28"/>
      <c r="V8000" s="28">
        <v>653091000</v>
      </c>
      <c r="W8000" s="28"/>
      <c r="X8000" s="28">
        <v>271478000</v>
      </c>
      <c r="Y8000" s="28">
        <v>34742459000</v>
      </c>
      <c r="Z8000" s="28">
        <v>20668829000</v>
      </c>
      <c r="AA8000" s="28">
        <v>5470440000</v>
      </c>
      <c r="AB8000" s="28"/>
      <c r="AC8000" s="28">
        <v>2578680000</v>
      </c>
      <c r="AD8000" s="28">
        <v>24379113000</v>
      </c>
      <c r="AE8000" s="28">
        <v>7963452000</v>
      </c>
      <c r="AF8000" s="28">
        <v>3047720000</v>
      </c>
      <c r="AG8000" s="11"/>
    </row>
    <row r="8001">
      <c r="A8001" s="7" t="s">
        <v>9537</v>
      </c>
      <c r="B8001" s="5" t="s">
        <v>17453</v>
      </c>
      <c r="C8001" s="5" t="s">
        <v>25004</v>
      </c>
      <c r="D8001" s="5"/>
      <c r="E8001" s="0" t="e">
        <f>+7 (915) 2378666
+7 (962) 9632443</f>
        <v>#NAME?</v>
      </c>
      <c r="F8001" s="5" t="s">
        <v>48460</v>
      </c>
      <c r="G8001" s="5"/>
      <c r="H8001" s="26">
        <v>5.5</v>
      </c>
      <c r="I8001" s="5" t="s">
        <v>48461</v>
      </c>
      <c r="J8001" s="5" t="s">
        <v>364</v>
      </c>
      <c r="K8001" s="5" t="s">
        <v>344</v>
      </c>
      <c r="L8001" s="5" t="s">
        <v>48462</v>
      </c>
      <c r="M8001" s="27">
        <v>20031572</v>
      </c>
      <c r="N8001" s="5"/>
      <c r="O8001" s="5" t="str">
        <v>7704432391</v>
      </c>
      <c r="P8001" s="27">
        <v>100000</v>
      </c>
      <c r="Q8001" s="5" t="s">
        <v>49822</v>
      </c>
      <c r="R8001" s="5"/>
      <c r="S8001" s="5" t="s">
        <v>61225</v>
      </c>
      <c r="T8001" s="28">
        <v>43656000</v>
      </c>
      <c r="U8001" s="28"/>
      <c r="V8001" s="28">
        <v>1391517000</v>
      </c>
      <c r="W8001" s="28"/>
      <c r="X8001" s="28">
        <v>125317000</v>
      </c>
      <c r="Y8001" s="28">
        <v>2276447000</v>
      </c>
      <c r="Z8001" s="28">
        <v>36306000</v>
      </c>
      <c r="AA8001" s="28">
        <v>82500000</v>
      </c>
      <c r="AB8001" s="28">
        <v>3092000</v>
      </c>
      <c r="AC8001" s="28">
        <v>2141526000</v>
      </c>
      <c r="AD8001" s="28">
        <v>36406000</v>
      </c>
      <c r="AE8001" s="28">
        <v>5232043000</v>
      </c>
      <c r="AF8001" s="28">
        <v>20006000</v>
      </c>
      <c r="AG8001" s="11"/>
    </row>
    <row r="8002">
      <c r="A8002" s="7" t="s">
        <v>9538</v>
      </c>
      <c r="B8002" s="5" t="s">
        <v>17454</v>
      </c>
      <c r="C8002" s="5" t="s">
        <v>25005</v>
      </c>
      <c r="D8002" s="5" t="str">
        <v>631205411714</v>
      </c>
      <c r="E8002" s="0" t="e">
        <f>+7 (846) 2245132
+7 (800) 6002702
+7 (831) 2808244
+7 (8435) 172626
+7 (8422) 214255
+7 (8422) 214300
+7 (846) 2519076
+7 (84692) 54044
+7 (84692) 56868
+7 (8482) 570242
+7 (8482) 570300</f>
        <v>#NAME?</v>
      </c>
      <c r="F8002" s="5" t="s">
        <v>48463</v>
      </c>
      <c r="G8002" s="5" t="s">
        <v>48464</v>
      </c>
      <c r="H8002" s="26">
        <v>24.5</v>
      </c>
      <c r="I8002" s="5" t="s">
        <v>48465</v>
      </c>
      <c r="J8002" s="5" t="s">
        <v>25530</v>
      </c>
      <c r="K8002" s="5" t="s">
        <v>344</v>
      </c>
      <c r="L8002" s="5" t="s">
        <v>48466</v>
      </c>
      <c r="M8002" s="27">
        <v>6689</v>
      </c>
      <c r="N8002" s="5" t="s">
        <v>61226</v>
      </c>
      <c r="O8002" s="5" t="str">
        <v>6319060894</v>
      </c>
      <c r="P8002" s="27">
        <v>10000</v>
      </c>
      <c r="Q8002" s="5"/>
      <c r="R8002" s="5"/>
      <c r="S8002" s="5" t="s">
        <v>49162</v>
      </c>
      <c r="T8002" s="28">
        <v>41712000</v>
      </c>
      <c r="U8002" s="28"/>
      <c r="V8002" s="28">
        <v>103434000</v>
      </c>
      <c r="W8002" s="28">
        <v>397096000</v>
      </c>
      <c r="X8002" s="28">
        <v>124075000</v>
      </c>
      <c r="Y8002" s="28">
        <v>1108175000</v>
      </c>
      <c r="Z8002" s="28">
        <v>557396000</v>
      </c>
      <c r="AA8002" s="28"/>
      <c r="AB8002" s="28"/>
      <c r="AC8002" s="28">
        <v>550769000</v>
      </c>
      <c r="AD8002" s="28">
        <v>557406000</v>
      </c>
      <c r="AE8002" s="28">
        <v>4890758000</v>
      </c>
      <c r="AF8002" s="28">
        <v>64850000</v>
      </c>
      <c r="AG8002" s="11"/>
    </row>
    <row r="8003">
      <c r="A8003" s="7" t="s">
        <v>9539</v>
      </c>
      <c r="B8003" s="5" t="s">
        <v>17455</v>
      </c>
      <c r="C8003" s="5" t="s">
        <v>25006</v>
      </c>
      <c r="D8003" s="5" t="str">
        <v>772352019152</v>
      </c>
      <c r="E8003" s="0" t="e">
        <f>+7 (800) 5551710
+7 (8452) 793620
+7 (985) 9224997
+7 (495) 2110700
+7 (495) 7887900
+7 (495) 9818080
+7 (800) 2001710
+7 (904) 212143</f>
        <v>#NAME?</v>
      </c>
      <c r="F8003" s="5" t="s">
        <v>48467</v>
      </c>
      <c r="G8003" s="5"/>
      <c r="H8003" s="26">
        <v>15.5</v>
      </c>
      <c r="I8003" s="5" t="s">
        <v>48468</v>
      </c>
      <c r="J8003" s="5" t="s">
        <v>48469</v>
      </c>
      <c r="K8003" s="5" t="s">
        <v>344</v>
      </c>
      <c r="L8003" s="5" t="s">
        <v>48470</v>
      </c>
      <c r="M8003" s="27"/>
      <c r="N8003" s="5" t="s">
        <v>61227</v>
      </c>
      <c r="O8003" s="5" t="str">
        <v>7714704125</v>
      </c>
      <c r="P8003" s="27">
        <v>6450000</v>
      </c>
      <c r="Q8003" s="5" t="s">
        <v>61228</v>
      </c>
      <c r="R8003" s="5"/>
      <c r="S8003" s="5" t="s">
        <v>51456</v>
      </c>
      <c r="T8003" s="28">
        <v>161226000</v>
      </c>
      <c r="U8003" s="28">
        <v>6241026000</v>
      </c>
      <c r="V8003" s="28">
        <v>80269000</v>
      </c>
      <c r="W8003" s="28">
        <v>5050031000</v>
      </c>
      <c r="X8003" s="28">
        <v>130158000</v>
      </c>
      <c r="Y8003" s="28">
        <v>11748572000</v>
      </c>
      <c r="Z8003" s="28">
        <v>6342309000</v>
      </c>
      <c r="AA8003" s="28">
        <v>3799000000</v>
      </c>
      <c r="AB8003" s="28">
        <v>818993000</v>
      </c>
      <c r="AC8003" s="28">
        <v>1207348000</v>
      </c>
      <c r="AD8003" s="28">
        <v>6638759000</v>
      </c>
      <c r="AE8003" s="28">
        <v>10510042000</v>
      </c>
      <c r="AF8003" s="28">
        <v>2928525000</v>
      </c>
      <c r="AG8003" s="11"/>
    </row>
    <row r="8004">
      <c r="A8004" s="7" t="s">
        <v>9540</v>
      </c>
      <c r="B8004" s="5" t="s">
        <v>17456</v>
      </c>
      <c r="C8004" s="5" t="s">
        <v>25007</v>
      </c>
      <c r="D8004" s="5" t="str">
        <v>773321848000</v>
      </c>
      <c r="E8004" s="0" t="e">
        <f>+7 (903) 7618696
+7 (3412) 271882
+7 (482) 2630070
+7 (482) 2630071
+7 (482) 2630072
+7 (4912) 935733
+7 (495) 7306362
+7 (49654) 71139
+7 (812) 6111094</f>
        <v>#NAME?</v>
      </c>
      <c r="F8004" s="5" t="s">
        <v>48471</v>
      </c>
      <c r="G8004" s="5" t="s">
        <v>48472</v>
      </c>
      <c r="H8004" s="26">
        <v>21.5</v>
      </c>
      <c r="I8004" s="5" t="s">
        <v>48473</v>
      </c>
      <c r="J8004" s="5" t="s">
        <v>881</v>
      </c>
      <c r="K8004" s="5" t="s">
        <v>344</v>
      </c>
      <c r="L8004" s="5" t="s">
        <v>48474</v>
      </c>
      <c r="M8004" s="27"/>
      <c r="N8004" s="5" t="s">
        <v>61229</v>
      </c>
      <c r="O8004" s="5" t="str">
        <v>7719232155</v>
      </c>
      <c r="P8004" s="27">
        <v>10000</v>
      </c>
      <c r="Q8004" s="5" t="s">
        <v>61230</v>
      </c>
      <c r="R8004" s="5"/>
      <c r="S8004" s="5" t="s">
        <v>61231</v>
      </c>
      <c r="T8004" s="28">
        <v>298927000</v>
      </c>
      <c r="U8004" s="28"/>
      <c r="V8004" s="28">
        <v>467632000</v>
      </c>
      <c r="W8004" s="28"/>
      <c r="X8004" s="28">
        <v>2051621000</v>
      </c>
      <c r="Y8004" s="28">
        <v>3078290000</v>
      </c>
      <c r="Z8004" s="28">
        <v>2281236000</v>
      </c>
      <c r="AA8004" s="28"/>
      <c r="AB8004" s="28"/>
      <c r="AC8004" s="28">
        <v>756877000</v>
      </c>
      <c r="AD8004" s="28">
        <v>2281259000</v>
      </c>
      <c r="AE8004" s="28">
        <v>15041039000</v>
      </c>
      <c r="AF8004" s="28">
        <v>-2966173000</v>
      </c>
      <c r="AG8004" s="11"/>
    </row>
    <row r="8005">
      <c r="A8005" s="7" t="s">
        <v>9541</v>
      </c>
      <c r="B8005" s="5" t="s">
        <v>17457</v>
      </c>
      <c r="C8005" s="5" t="s">
        <v>25008</v>
      </c>
      <c r="D8005" s="5" t="str">
        <v>502905828006</v>
      </c>
      <c r="E8005" s="0" t="e">
        <f>+7 (495) 2580400
+7 (495) 6267104
+7 (495) 6267106
+7 (495) 9525741
+7 (495) 9783519</f>
        <v>#NAME?</v>
      </c>
      <c r="F8005" s="5" t="s">
        <v>48475</v>
      </c>
      <c r="G8005" s="5" t="s">
        <v>48476</v>
      </c>
      <c r="H8005" s="26">
        <v>19</v>
      </c>
      <c r="I8005" s="5" t="s">
        <v>48477</v>
      </c>
      <c r="J8005" s="5" t="s">
        <v>25429</v>
      </c>
      <c r="K8005" s="5" t="s">
        <v>344</v>
      </c>
      <c r="L8005" s="5" t="s">
        <v>48478</v>
      </c>
      <c r="M8005" s="27"/>
      <c r="N8005" s="5" t="s">
        <v>61232</v>
      </c>
      <c r="O8005" s="5" t="str">
        <v>7723503707</v>
      </c>
      <c r="P8005" s="27">
        <v>1000000</v>
      </c>
      <c r="Q8005" s="5" t="s">
        <v>61233</v>
      </c>
      <c r="R8005" s="5"/>
      <c r="S8005" s="5" t="s">
        <v>61234</v>
      </c>
      <c r="T8005" s="28">
        <v>33563000</v>
      </c>
      <c r="U8005" s="28"/>
      <c r="V8005" s="28">
        <v>335420000</v>
      </c>
      <c r="W8005" s="28"/>
      <c r="X8005" s="28">
        <v>61188000</v>
      </c>
      <c r="Y8005" s="28">
        <v>1368515000</v>
      </c>
      <c r="Z8005" s="28">
        <v>508888000</v>
      </c>
      <c r="AA8005" s="28"/>
      <c r="AB8005" s="28">
        <v>203000</v>
      </c>
      <c r="AC8005" s="28">
        <v>828378000</v>
      </c>
      <c r="AD8005" s="28">
        <v>509888000</v>
      </c>
      <c r="AE8005" s="28">
        <v>5568783000</v>
      </c>
      <c r="AF8005" s="28">
        <v>418407000</v>
      </c>
      <c r="AG8005" s="11"/>
    </row>
    <row r="8006">
      <c r="A8006" s="7" t="s">
        <v>9542</v>
      </c>
      <c r="B8006" s="5" t="s">
        <v>17458</v>
      </c>
      <c r="C8006" s="5" t="s">
        <v>25009</v>
      </c>
      <c r="D8006" s="5" t="str">
        <v>780421387089</v>
      </c>
      <c r="E8006" s="0" t="e">
        <f>+7 (916) 2601835
+7 (495) 9335552
+7 (495) 9335558
+7 (800) 6001181</f>
        <v>#NAME?</v>
      </c>
      <c r="F8006" s="5" t="s">
        <v>48479</v>
      </c>
      <c r="G8006" s="5"/>
      <c r="H8006" s="26">
        <v>5.5</v>
      </c>
      <c r="I8006" s="5" t="s">
        <v>48480</v>
      </c>
      <c r="J8006" s="5" t="s">
        <v>26918</v>
      </c>
      <c r="K8006" s="5" t="s">
        <v>344</v>
      </c>
      <c r="L8006" s="5" t="s">
        <v>48481</v>
      </c>
      <c r="M8006" s="27"/>
      <c r="N8006" s="5" t="s">
        <v>61235</v>
      </c>
      <c r="O8006" s="5" t="str">
        <v>5047201777</v>
      </c>
      <c r="P8006" s="27">
        <v>12000000</v>
      </c>
      <c r="Q8006" s="5" t="s">
        <v>61236</v>
      </c>
      <c r="R8006" s="5"/>
      <c r="S8006" s="5" t="s">
        <v>51456</v>
      </c>
      <c r="T8006" s="28">
        <v>103924000</v>
      </c>
      <c r="U8006" s="28"/>
      <c r="V8006" s="28">
        <v>242646000</v>
      </c>
      <c r="W8006" s="28"/>
      <c r="X8006" s="28">
        <v>1710964000</v>
      </c>
      <c r="Y8006" s="28">
        <v>2666129000</v>
      </c>
      <c r="Z8006" s="28">
        <v>2289733000</v>
      </c>
      <c r="AA8006" s="28"/>
      <c r="AB8006" s="28"/>
      <c r="AC8006" s="28">
        <v>364073000</v>
      </c>
      <c r="AD8006" s="28">
        <v>2302056000</v>
      </c>
      <c r="AE8006" s="28">
        <v>7776514000</v>
      </c>
      <c r="AF8006" s="28">
        <v>-1196282000</v>
      </c>
      <c r="AG8006" s="11"/>
    </row>
    <row r="8007">
      <c r="A8007" s="7" t="s">
        <v>9543</v>
      </c>
      <c r="B8007" s="5" t="s">
        <v>17459</v>
      </c>
      <c r="C8007" s="5" t="s">
        <v>25010</v>
      </c>
      <c r="D8007" s="5" t="str">
        <v>501208271862</v>
      </c>
      <c r="E8007" s="0" t="e">
        <f>+7 (495) 1398260</f>
        <v>#NAME?</v>
      </c>
      <c r="F8007" s="5" t="s">
        <v>48482</v>
      </c>
      <c r="G8007" s="5"/>
      <c r="H8007" s="26">
        <v>3.5</v>
      </c>
      <c r="I8007" s="5" t="s">
        <v>48483</v>
      </c>
      <c r="J8007" s="5" t="s">
        <v>1026</v>
      </c>
      <c r="K8007" s="5" t="s">
        <v>344</v>
      </c>
      <c r="L8007" s="5" t="s">
        <v>48484</v>
      </c>
      <c r="M8007" s="27"/>
      <c r="N8007" s="5" t="s">
        <v>61237</v>
      </c>
      <c r="O8007" s="5" t="str">
        <v>9721088618</v>
      </c>
      <c r="P8007" s="27">
        <v>1000000</v>
      </c>
      <c r="Q8007" s="5" t="s">
        <v>61238</v>
      </c>
      <c r="R8007" s="5"/>
      <c r="S8007" s="5" t="s">
        <v>61239</v>
      </c>
      <c r="T8007" s="28">
        <v>120000</v>
      </c>
      <c r="U8007" s="28"/>
      <c r="V8007" s="28">
        <v>1127639000</v>
      </c>
      <c r="W8007" s="28">
        <v>50000</v>
      </c>
      <c r="X8007" s="28">
        <v>491449000</v>
      </c>
      <c r="Y8007" s="28">
        <v>1789177000</v>
      </c>
      <c r="Z8007" s="28">
        <v>110763000</v>
      </c>
      <c r="AA8007" s="28"/>
      <c r="AB8007" s="28"/>
      <c r="AC8007" s="28">
        <v>1677415000</v>
      </c>
      <c r="AD8007" s="28">
        <v>111763000</v>
      </c>
      <c r="AE8007" s="28">
        <v>5050872000</v>
      </c>
      <c r="AF8007" s="28">
        <v>64477000</v>
      </c>
      <c r="AG8007" s="11"/>
    </row>
    <row r="8008">
      <c r="A8008" s="7" t="s">
        <v>9544</v>
      </c>
      <c r="B8008" s="5" t="s">
        <v>17460</v>
      </c>
      <c r="C8008" s="5" t="s">
        <v>25011</v>
      </c>
      <c r="D8008" s="5" t="str">
        <v>667413001740</v>
      </c>
      <c r="E8008" s="0" t="e">
        <f>+7 (343) 3691497
+7 (3422) 372818
+7 (343) 2511985
+7 (343) 2511996
+7 (343) 2570132
+7 (343) 2691497</f>
        <v>#NAME?</v>
      </c>
      <c r="F8008" s="5" t="s">
        <v>48485</v>
      </c>
      <c r="G8008" s="5" t="s">
        <v>48486</v>
      </c>
      <c r="H8008" s="26">
        <v>21.5</v>
      </c>
      <c r="I8008" s="5"/>
      <c r="J8008" s="5" t="s">
        <v>26623</v>
      </c>
      <c r="K8008" s="5" t="s">
        <v>344</v>
      </c>
      <c r="L8008" s="5" t="s">
        <v>48487</v>
      </c>
      <c r="M8008" s="27"/>
      <c r="N8008" s="5" t="s">
        <v>61240</v>
      </c>
      <c r="O8008" s="5" t="str">
        <v>6661105959</v>
      </c>
      <c r="P8008" s="27">
        <v>50000</v>
      </c>
      <c r="Q8008" s="5" t="s">
        <v>61241</v>
      </c>
      <c r="R8008" s="5"/>
      <c r="S8008" s="5" t="s">
        <v>55225</v>
      </c>
      <c r="T8008" s="28">
        <v>1804000</v>
      </c>
      <c r="U8008" s="28">
        <v>5578000</v>
      </c>
      <c r="V8008" s="28">
        <v>1946308000</v>
      </c>
      <c r="W8008" s="28"/>
      <c r="X8008" s="28">
        <v>38723000</v>
      </c>
      <c r="Y8008" s="28">
        <v>2006598000</v>
      </c>
      <c r="Z8008" s="28">
        <v>335706000</v>
      </c>
      <c r="AA8008" s="28"/>
      <c r="AB8008" s="28">
        <v>226654000</v>
      </c>
      <c r="AC8008" s="28">
        <v>1670204000</v>
      </c>
      <c r="AD8008" s="28">
        <v>335811000</v>
      </c>
      <c r="AE8008" s="28">
        <v>29139148000</v>
      </c>
      <c r="AF8008" s="28">
        <v>54869000</v>
      </c>
      <c r="AG8008" s="11"/>
    </row>
    <row r="8009">
      <c r="A8009" s="7" t="s">
        <v>9545</v>
      </c>
      <c r="B8009" s="5" t="s">
        <v>17461</v>
      </c>
      <c r="C8009" s="5" t="s">
        <v>25012</v>
      </c>
      <c r="D8009" s="5" t="str">
        <v>640700596912</v>
      </c>
      <c r="E8009" s="0" t="e">
        <f>+7 (812) 4323324
+7 (903) 6777883
+7 (495) 2792508
+7 (495) 2792509</f>
        <v>#NAME?</v>
      </c>
      <c r="F8009" s="5" t="s">
        <v>48488</v>
      </c>
      <c r="G8009" s="5"/>
      <c r="H8009" s="26">
        <v>12</v>
      </c>
      <c r="I8009" s="5" t="s">
        <v>48489</v>
      </c>
      <c r="J8009" s="5" t="s">
        <v>364</v>
      </c>
      <c r="K8009" s="5" t="s">
        <v>344</v>
      </c>
      <c r="L8009" s="5" t="s">
        <v>48490</v>
      </c>
      <c r="M8009" s="27"/>
      <c r="N8009" s="5" t="s">
        <v>61242</v>
      </c>
      <c r="O8009" s="5" t="str">
        <v>7814497169</v>
      </c>
      <c r="P8009" s="27">
        <v>50000</v>
      </c>
      <c r="Q8009" s="5" t="s">
        <v>61243</v>
      </c>
      <c r="R8009" s="5"/>
      <c r="S8009" s="5" t="s">
        <v>50630</v>
      </c>
      <c r="T8009" s="28">
        <v>53549000</v>
      </c>
      <c r="U8009" s="28"/>
      <c r="V8009" s="28">
        <v>5046227000</v>
      </c>
      <c r="W8009" s="28">
        <v>365036000</v>
      </c>
      <c r="X8009" s="28">
        <v>9166000</v>
      </c>
      <c r="Y8009" s="28">
        <v>5474910000</v>
      </c>
      <c r="Z8009" s="28">
        <v>2412963000</v>
      </c>
      <c r="AA8009" s="28">
        <v>216910000</v>
      </c>
      <c r="AB8009" s="28">
        <v>32466000</v>
      </c>
      <c r="AC8009" s="28">
        <v>2830107000</v>
      </c>
      <c r="AD8009" s="28">
        <v>2413013000</v>
      </c>
      <c r="AE8009" s="28">
        <v>3707108000</v>
      </c>
      <c r="AF8009" s="28">
        <v>1282059000</v>
      </c>
      <c r="AG8009" s="11"/>
    </row>
    <row r="8010">
      <c r="A8010" s="7" t="s">
        <v>9546</v>
      </c>
      <c r="B8010" s="5" t="s">
        <v>17462</v>
      </c>
      <c r="C8010" s="5" t="s">
        <v>25013</v>
      </c>
      <c r="D8010" s="5" t="str">
        <v>504213092208</v>
      </c>
      <c r="E8010" s="0" t="e">
        <f>+7 (495) 9336565
+7 (495) 9612426
+7 (800) 3335173
+7 (800) 5556246
+7 (800) 5556734</f>
        <v>#NAME?</v>
      </c>
      <c r="F8010" s="5"/>
      <c r="G8010" s="5" t="s">
        <v>48491</v>
      </c>
      <c r="H8010" s="26">
        <v>11</v>
      </c>
      <c r="I8010" s="5" t="s">
        <v>48492</v>
      </c>
      <c r="J8010" s="5" t="s">
        <v>1026</v>
      </c>
      <c r="K8010" s="5" t="s">
        <v>355</v>
      </c>
      <c r="L8010" s="5" t="s">
        <v>48493</v>
      </c>
      <c r="M8010" s="27">
        <v>50900</v>
      </c>
      <c r="N8010" s="5"/>
      <c r="O8010" s="5" t="str">
        <v>7707767220</v>
      </c>
      <c r="P8010" s="27">
        <v>3300000</v>
      </c>
      <c r="Q8010" s="5" t="s">
        <v>61244</v>
      </c>
      <c r="R8010" s="5"/>
      <c r="S8010" s="5" t="s">
        <v>56859</v>
      </c>
      <c r="T8010" s="28">
        <v>598234000</v>
      </c>
      <c r="U8010" s="28"/>
      <c r="V8010" s="28">
        <v>6923004000</v>
      </c>
      <c r="W8010" s="28"/>
      <c r="X8010" s="28">
        <v>61021000</v>
      </c>
      <c r="Y8010" s="28">
        <v>8947065000</v>
      </c>
      <c r="Z8010" s="28">
        <v>-3423159000</v>
      </c>
      <c r="AA8010" s="28"/>
      <c r="AB8010" s="28"/>
      <c r="AC8010" s="28">
        <v>4578918000</v>
      </c>
      <c r="AD8010" s="28">
        <v>4299017000</v>
      </c>
      <c r="AE8010" s="28">
        <v>85372613000</v>
      </c>
      <c r="AF8010" s="28">
        <v>-6489833000</v>
      </c>
      <c r="AG8010" s="11"/>
    </row>
    <row r="8011">
      <c r="A8011" s="7" t="s">
        <v>9547</v>
      </c>
      <c r="B8011" s="5" t="s">
        <v>17463</v>
      </c>
      <c r="C8011" s="5" t="s">
        <v>25014</v>
      </c>
      <c r="D8011" s="5" t="str">
        <v>132808364460</v>
      </c>
      <c r="E8011" s="0" t="e">
        <f>+7 (8342) 222622
+7 (905) 3786676
+7 (906) 3797085
+7 (927) 9702242</f>
        <v>#NAME?</v>
      </c>
      <c r="F8011" s="5"/>
      <c r="G8011" s="5"/>
      <c r="H8011" s="26">
        <v>7.5</v>
      </c>
      <c r="I8011" s="5" t="s">
        <v>48494</v>
      </c>
      <c r="J8011" s="5" t="s">
        <v>25353</v>
      </c>
      <c r="K8011" s="5" t="s">
        <v>344</v>
      </c>
      <c r="L8011" s="5" t="s">
        <v>48495</v>
      </c>
      <c r="M8011" s="27">
        <v>226674</v>
      </c>
      <c r="N8011" s="5"/>
      <c r="O8011" s="5" t="str">
        <v>1327025333</v>
      </c>
      <c r="P8011" s="27">
        <v>10000</v>
      </c>
      <c r="Q8011" s="5" t="s">
        <v>49009</v>
      </c>
      <c r="R8011" s="5"/>
      <c r="S8011" s="5" t="s">
        <v>49010</v>
      </c>
      <c r="T8011" s="28">
        <v>729482000</v>
      </c>
      <c r="U8011" s="28"/>
      <c r="V8011" s="28">
        <v>375127000</v>
      </c>
      <c r="W8011" s="28">
        <v>52014000</v>
      </c>
      <c r="X8011" s="28">
        <v>18590000</v>
      </c>
      <c r="Y8011" s="28">
        <v>2117901000</v>
      </c>
      <c r="Z8011" s="28">
        <v>534527000</v>
      </c>
      <c r="AA8011" s="28">
        <v>53280000</v>
      </c>
      <c r="AB8011" s="28"/>
      <c r="AC8011" s="28">
        <v>1530080000</v>
      </c>
      <c r="AD8011" s="28">
        <v>540345000</v>
      </c>
      <c r="AE8011" s="28">
        <v>4141058000</v>
      </c>
      <c r="AF8011" s="28">
        <v>102756000</v>
      </c>
      <c r="AG8011" s="11"/>
    </row>
    <row r="8012">
      <c r="A8012" s="7" t="s">
        <v>9548</v>
      </c>
      <c r="B8012" s="5" t="s">
        <v>17464</v>
      </c>
      <c r="C8012" s="5" t="s">
        <v>25015</v>
      </c>
      <c r="D8012" s="5" t="str">
        <v>860802681153</v>
      </c>
      <c r="E8012" s="0" t="e">
        <f>+7 (34667) 48218
+7 (34667) 48910
+7 (34667) 49594
+7 (34669) 30935
+7 (34669) 39132
+7 (34676) 44138
+7 (495) 9337727
+7 (800) 7001511
+7 (82144) 57878
+7 (84345) 31020</f>
        <v>#NAME?</v>
      </c>
      <c r="F8012" s="5" t="s">
        <v>48496</v>
      </c>
      <c r="G8012" s="5" t="s">
        <v>48497</v>
      </c>
      <c r="H8012" s="26">
        <v>27.5</v>
      </c>
      <c r="I8012" s="5" t="s">
        <v>48498</v>
      </c>
      <c r="J8012" s="5" t="s">
        <v>26799</v>
      </c>
      <c r="K8012" s="5" t="s">
        <v>355</v>
      </c>
      <c r="L8012" s="5" t="s">
        <v>48499</v>
      </c>
      <c r="M8012" s="27"/>
      <c r="N8012" s="5"/>
      <c r="O8012" s="5" t="str">
        <v>8608055946</v>
      </c>
      <c r="P8012" s="27">
        <v>30000000000</v>
      </c>
      <c r="Q8012" s="5" t="s">
        <v>49059</v>
      </c>
      <c r="R8012" s="5"/>
      <c r="S8012" s="5" t="s">
        <v>49123</v>
      </c>
      <c r="T8012" s="28">
        <v>34806164000</v>
      </c>
      <c r="U8012" s="28"/>
      <c r="V8012" s="28">
        <v>3081174000</v>
      </c>
      <c r="W8012" s="28"/>
      <c r="X8012" s="28">
        <v>554000</v>
      </c>
      <c r="Y8012" s="28">
        <v>44328513000</v>
      </c>
      <c r="Z8012" s="28">
        <v>5501389000</v>
      </c>
      <c r="AA8012" s="28"/>
      <c r="AB8012" s="28">
        <v>1706032000</v>
      </c>
      <c r="AC8012" s="28">
        <v>8017932000</v>
      </c>
      <c r="AD8012" s="28">
        <v>35489461000</v>
      </c>
      <c r="AE8012" s="28">
        <v>16416666000</v>
      </c>
      <c r="AF8012" s="28">
        <v>1424262000</v>
      </c>
      <c r="AG8012" s="11"/>
    </row>
    <row r="8013">
      <c r="A8013" s="7" t="s">
        <v>9549</v>
      </c>
      <c r="B8013" s="5" t="s">
        <v>17465</v>
      </c>
      <c r="C8013" s="5" t="s">
        <v>25016</v>
      </c>
      <c r="D8013" s="5" t="str">
        <v>590601388519</v>
      </c>
      <c r="E8013" s="0" t="e">
        <f>+7 (3012) 480995
+7 (3022) 284222
+7 (3022) 284270
+7 (3412) 916860
+7 (342) 2195020
+7 (3422) 144116
+7 (3422) 195024
+7 (3422) 195182
+7 (345) 2514147
+7 (345) 2515253
+7 (3472) 250462
+7 (3512) 175555
+7 (3519) 582244
+7 (3522) 223370
+7 (35324) 50003</f>
        <v>#NAME?</v>
      </c>
      <c r="F8013" s="5" t="s">
        <v>48500</v>
      </c>
      <c r="G8013" s="5" t="s">
        <v>48501</v>
      </c>
      <c r="H8013" s="26">
        <v>17</v>
      </c>
      <c r="I8013" s="5" t="s">
        <v>48502</v>
      </c>
      <c r="J8013" s="5" t="s">
        <v>27783</v>
      </c>
      <c r="K8013" s="5" t="s">
        <v>355</v>
      </c>
      <c r="L8013" s="5"/>
      <c r="M8013" s="27">
        <v>160172801</v>
      </c>
      <c r="N8013" s="5" t="s">
        <v>61246</v>
      </c>
      <c r="O8013" s="5" t="str">
        <v>5902202276</v>
      </c>
      <c r="P8013" s="27">
        <v>949410000</v>
      </c>
      <c r="Q8013" s="5" t="s">
        <v>61248</v>
      </c>
      <c r="R8013" s="5" t="s">
        <v>58327</v>
      </c>
      <c r="S8013" s="5" t="s">
        <v>53103</v>
      </c>
      <c r="T8013" s="28">
        <v>33139399000</v>
      </c>
      <c r="U8013" s="28">
        <v>41549938000</v>
      </c>
      <c r="V8013" s="28">
        <v>11518638000</v>
      </c>
      <c r="W8013" s="28">
        <v>2546253000</v>
      </c>
      <c r="X8013" s="28">
        <v>1480650000</v>
      </c>
      <c r="Y8013" s="28">
        <v>132168210000</v>
      </c>
      <c r="Z8013" s="28">
        <v>7856512000</v>
      </c>
      <c r="AA8013" s="28">
        <v>82071443000</v>
      </c>
      <c r="AB8013" s="28">
        <v>16638750000</v>
      </c>
      <c r="AC8013" s="28">
        <v>32937742000</v>
      </c>
      <c r="AD8013" s="28">
        <v>8853589000</v>
      </c>
      <c r="AE8013" s="28">
        <v>46033948000</v>
      </c>
      <c r="AF8013" s="28">
        <v>1161402000</v>
      </c>
      <c r="AG8013" s="11"/>
    </row>
    <row r="8014">
      <c r="A8014" s="7" t="s">
        <v>9550</v>
      </c>
      <c r="B8014" s="5" t="s">
        <v>17466</v>
      </c>
      <c r="C8014" s="5" t="s">
        <v>25017</v>
      </c>
      <c r="D8014" s="5" t="str">
        <v>471803689064</v>
      </c>
      <c r="E8014" s="0" t="e">
        <f>+7 (812) 3265858
+7 (812) 4544058</f>
        <v>#NAME?</v>
      </c>
      <c r="F8014" s="5"/>
      <c r="G8014" s="5" t="s">
        <v>48503</v>
      </c>
      <c r="H8014" s="26">
        <v>18.5</v>
      </c>
      <c r="I8014" s="5" t="s">
        <v>48504</v>
      </c>
      <c r="J8014" s="5" t="s">
        <v>25216</v>
      </c>
      <c r="K8014" s="5" t="s">
        <v>344</v>
      </c>
      <c r="L8014" s="5" t="s">
        <v>48505</v>
      </c>
      <c r="M8014" s="27"/>
      <c r="N8014" s="5"/>
      <c r="O8014" s="5" t="str">
        <v>7810007663</v>
      </c>
      <c r="P8014" s="27">
        <v>14286</v>
      </c>
      <c r="Q8014" s="5" t="s">
        <v>49009</v>
      </c>
      <c r="R8014" s="5"/>
      <c r="S8014" s="5" t="s">
        <v>61249</v>
      </c>
      <c r="T8014" s="28">
        <v>6097000</v>
      </c>
      <c r="U8014" s="28"/>
      <c r="V8014" s="28">
        <v>286746000</v>
      </c>
      <c r="W8014" s="28">
        <v>427100000</v>
      </c>
      <c r="X8014" s="28">
        <v>63741000</v>
      </c>
      <c r="Y8014" s="28">
        <v>5074385000</v>
      </c>
      <c r="Z8014" s="28">
        <v>1543807000</v>
      </c>
      <c r="AA8014" s="28"/>
      <c r="AB8014" s="28"/>
      <c r="AC8014" s="28">
        <v>3529635000</v>
      </c>
      <c r="AD8014" s="28">
        <v>1543821000</v>
      </c>
      <c r="AE8014" s="28">
        <v>24632548000</v>
      </c>
      <c r="AF8014" s="28">
        <v>1142111000</v>
      </c>
      <c r="AG8014" s="11"/>
    </row>
    <row r="8015">
      <c r="A8015" s="7" t="s">
        <v>9551</v>
      </c>
      <c r="B8015" s="5" t="s">
        <v>17467</v>
      </c>
      <c r="C8015" s="5" t="s">
        <v>25018</v>
      </c>
      <c r="D8015" s="5" t="str">
        <v>780610975819</v>
      </c>
      <c r="E8015" s="0" t="e">
        <f>+7 (921) 9229869
+7 (812) 3140154
+7 (812) 5713919
+7 (812) 5954175
+7 (812) 7140013
+7 (81378) 27156</f>
        <v>#NAME?</v>
      </c>
      <c r="F8015" s="5" t="s">
        <v>48506</v>
      </c>
      <c r="G8015" s="5" t="s">
        <v>48507</v>
      </c>
      <c r="H8015" s="26">
        <v>28.5</v>
      </c>
      <c r="I8015" s="5" t="s">
        <v>48508</v>
      </c>
      <c r="J8015" s="5" t="s">
        <v>807</v>
      </c>
      <c r="K8015" s="5" t="s">
        <v>344</v>
      </c>
      <c r="L8015" s="5"/>
      <c r="M8015" s="27">
        <v>47370865</v>
      </c>
      <c r="N8015" s="5" t="s">
        <v>61250</v>
      </c>
      <c r="O8015" s="5" t="str">
        <v>7812018283</v>
      </c>
      <c r="P8015" s="27">
        <v>11406400</v>
      </c>
      <c r="Q8015" s="5" t="s">
        <v>61251</v>
      </c>
      <c r="R8015" s="5"/>
      <c r="S8015" s="5" t="s">
        <v>61252</v>
      </c>
      <c r="T8015" s="28">
        <v>246749000</v>
      </c>
      <c r="U8015" s="28">
        <v>9859000</v>
      </c>
      <c r="V8015" s="28">
        <v>2513627000</v>
      </c>
      <c r="W8015" s="28">
        <v>372657000</v>
      </c>
      <c r="X8015" s="28">
        <v>1864399000</v>
      </c>
      <c r="Y8015" s="28">
        <v>8694791000</v>
      </c>
      <c r="Z8015" s="28">
        <v>2412402000</v>
      </c>
      <c r="AA8015" s="28">
        <v>260541000</v>
      </c>
      <c r="AB8015" s="28"/>
      <c r="AC8015" s="28">
        <v>5916248000</v>
      </c>
      <c r="AD8015" s="28">
        <v>2455199000</v>
      </c>
      <c r="AE8015" s="28">
        <v>5999232000</v>
      </c>
      <c r="AF8015" s="28">
        <v>288721000</v>
      </c>
      <c r="AG8015" s="11"/>
    </row>
    <row r="8016">
      <c r="A8016" s="7" t="s">
        <v>9552</v>
      </c>
      <c r="B8016" s="5" t="s">
        <v>17468</v>
      </c>
      <c r="C8016" s="5" t="s">
        <v>25019</v>
      </c>
      <c r="D8016" s="5" t="str">
        <v>622805658451</v>
      </c>
      <c r="E8016" s="0" t="e">
        <f>+7 (343) 3505099
+7 (4912) 241600
+7 (4912) 241601
+7 (4912) 258670
+7 (4912) 270539
+7 (4912) 442444
+7 (4912) 456241
+7 (4912) 456244
+7 (4912) 701676
+7 (800) 5001123
+7 (910) 6124218</f>
        <v>#NAME?</v>
      </c>
      <c r="F8016" s="5" t="s">
        <v>48509</v>
      </c>
      <c r="G8016" s="5" t="s">
        <v>48510</v>
      </c>
      <c r="H8016" s="26">
        <v>16</v>
      </c>
      <c r="I8016" s="5" t="s">
        <v>48511</v>
      </c>
      <c r="J8016" s="5" t="s">
        <v>29291</v>
      </c>
      <c r="K8016" s="5" t="s">
        <v>344</v>
      </c>
      <c r="L8016" s="5" t="s">
        <v>48512</v>
      </c>
      <c r="M8016" s="27"/>
      <c r="N8016" s="5"/>
      <c r="O8016" s="5" t="str">
        <v>6230054957</v>
      </c>
      <c r="P8016" s="27">
        <v>29550000</v>
      </c>
      <c r="Q8016" s="5"/>
      <c r="R8016" s="5" t="s">
        <v>61253</v>
      </c>
      <c r="S8016" s="5" t="s">
        <v>49425</v>
      </c>
      <c r="T8016" s="28">
        <v>599356000</v>
      </c>
      <c r="U8016" s="28">
        <v>1223000</v>
      </c>
      <c r="V8016" s="28">
        <v>958245000</v>
      </c>
      <c r="W8016" s="28">
        <v>341000</v>
      </c>
      <c r="X8016" s="28">
        <v>684635000</v>
      </c>
      <c r="Y8016" s="28">
        <v>3248012000</v>
      </c>
      <c r="Z8016" s="28">
        <v>2757717000</v>
      </c>
      <c r="AA8016" s="28"/>
      <c r="AB8016" s="28"/>
      <c r="AC8016" s="28">
        <v>418022000</v>
      </c>
      <c r="AD8016" s="28">
        <v>2787301000</v>
      </c>
      <c r="AE8016" s="28">
        <v>4670949000</v>
      </c>
      <c r="AF8016" s="28">
        <v>1030260000</v>
      </c>
      <c r="AG8016" s="11"/>
    </row>
    <row r="8017">
      <c r="A8017" s="7" t="s">
        <v>9553</v>
      </c>
      <c r="B8017" s="5" t="s">
        <v>17469</v>
      </c>
      <c r="C8017" s="5" t="s">
        <v>25020</v>
      </c>
      <c r="D8017" s="5" t="str">
        <v>420700318515</v>
      </c>
      <c r="E8017" s="0" t="e">
        <f>+7 (916) 9128716</f>
        <v>#NAME?</v>
      </c>
      <c r="F8017" s="5"/>
      <c r="G8017" s="5"/>
      <c r="H8017" s="26">
        <v>10.5</v>
      </c>
      <c r="I8017" s="5" t="s">
        <v>48513</v>
      </c>
      <c r="J8017" s="5" t="s">
        <v>364</v>
      </c>
      <c r="K8017" s="5" t="s">
        <v>344</v>
      </c>
      <c r="L8017" s="5"/>
      <c r="M8017" s="27">
        <v>337591</v>
      </c>
      <c r="N8017" s="5"/>
      <c r="O8017" s="5" t="str">
        <v>7709911800</v>
      </c>
      <c r="P8017" s="27">
        <v>5000000</v>
      </c>
      <c r="Q8017" s="5" t="s">
        <v>49009</v>
      </c>
      <c r="R8017" s="5"/>
      <c r="S8017" s="5" t="s">
        <v>61254</v>
      </c>
      <c r="T8017" s="28">
        <v>29000</v>
      </c>
      <c r="U8017" s="28">
        <v>5000</v>
      </c>
      <c r="V8017" s="28">
        <v>2616621000</v>
      </c>
      <c r="W8017" s="28"/>
      <c r="X8017" s="28">
        <v>250000</v>
      </c>
      <c r="Y8017" s="28">
        <v>2721797000</v>
      </c>
      <c r="Z8017" s="28">
        <v>83886000</v>
      </c>
      <c r="AA8017" s="28">
        <v>46500000</v>
      </c>
      <c r="AB8017" s="28"/>
      <c r="AC8017" s="28">
        <v>2072482000</v>
      </c>
      <c r="AD8017" s="28">
        <v>88886000</v>
      </c>
      <c r="AE8017" s="28">
        <v>6219158000</v>
      </c>
      <c r="AF8017" s="28">
        <v>40045000</v>
      </c>
      <c r="AG8017" s="11"/>
    </row>
    <row r="8018">
      <c r="A8018" s="7" t="s">
        <v>9554</v>
      </c>
      <c r="B8018" s="5" t="s">
        <v>17470</v>
      </c>
      <c r="C8018" s="5" t="s">
        <v>25021</v>
      </c>
      <c r="D8018" s="5" t="str">
        <v>500501768830</v>
      </c>
      <c r="E8018" s="0" t="e">
        <f>+7 (495) 5439161
+7 (3433) 858376
+7 (383) 3637024
+7 (495) 5439162
+7 (495) 5439165
+7 (812) 4243675
+7 (846) 3749889
+7 (8632) 18046</f>
        <v>#NAME?</v>
      </c>
      <c r="F8018" s="5" t="s">
        <v>48514</v>
      </c>
      <c r="G8018" s="5" t="s">
        <v>48515</v>
      </c>
      <c r="H8018" s="26">
        <v>19.5</v>
      </c>
      <c r="I8018" s="5" t="s">
        <v>48516</v>
      </c>
      <c r="J8018" s="5" t="s">
        <v>27194</v>
      </c>
      <c r="K8018" s="5" t="s">
        <v>344</v>
      </c>
      <c r="L8018" s="5" t="s">
        <v>48517</v>
      </c>
      <c r="M8018" s="27"/>
      <c r="N8018" s="5"/>
      <c r="O8018" s="5" t="str">
        <v>7727249875</v>
      </c>
      <c r="P8018" s="27">
        <v>106948000</v>
      </c>
      <c r="Q8018" s="5" t="s">
        <v>49009</v>
      </c>
      <c r="R8018" s="5"/>
      <c r="S8018" s="5" t="s">
        <v>49066</v>
      </c>
      <c r="T8018" s="28">
        <v>1254656000</v>
      </c>
      <c r="U8018" s="28">
        <v>480000</v>
      </c>
      <c r="V8018" s="28">
        <v>1977137000</v>
      </c>
      <c r="W8018" s="28"/>
      <c r="X8018" s="28">
        <v>370452000</v>
      </c>
      <c r="Y8018" s="28">
        <v>5186817000</v>
      </c>
      <c r="Z8018" s="28">
        <v>4780440000</v>
      </c>
      <c r="AA8018" s="28"/>
      <c r="AB8018" s="28"/>
      <c r="AC8018" s="28">
        <v>199522000</v>
      </c>
      <c r="AD8018" s="28">
        <v>4889439000</v>
      </c>
      <c r="AE8018" s="28">
        <v>6066274000</v>
      </c>
      <c r="AF8018" s="28">
        <v>120608000</v>
      </c>
      <c r="AG8018" s="11"/>
    </row>
    <row r="8019">
      <c r="A8019" s="7" t="s">
        <v>9555</v>
      </c>
      <c r="B8019" s="5" t="s">
        <v>17471</v>
      </c>
      <c r="C8019" s="5" t="s">
        <v>25022</v>
      </c>
      <c r="D8019" s="5" t="str">
        <v>781000760412</v>
      </c>
      <c r="E8019" s="0" t="e">
        <f>+7 (812) 6030000</f>
        <v>#NAME?</v>
      </c>
      <c r="F8019" s="5" t="s">
        <v>48518</v>
      </c>
      <c r="G8019" s="5"/>
      <c r="H8019" s="26">
        <v>6</v>
      </c>
      <c r="I8019" s="5" t="s">
        <v>48519</v>
      </c>
      <c r="J8019" s="5" t="s">
        <v>26165</v>
      </c>
      <c r="K8019" s="5" t="s">
        <v>355</v>
      </c>
      <c r="L8019" s="5"/>
      <c r="M8019" s="27">
        <v>13692000</v>
      </c>
      <c r="N8019" s="5"/>
      <c r="O8019" s="5" t="str">
        <v>7802611649</v>
      </c>
      <c r="P8019" s="27">
        <v>100000</v>
      </c>
      <c r="Q8019" s="5" t="s">
        <v>61255</v>
      </c>
      <c r="R8019" s="5" t="s">
        <v>61256</v>
      </c>
      <c r="S8019" s="5" t="s">
        <v>61257</v>
      </c>
      <c r="T8019" s="28">
        <v>2446744000</v>
      </c>
      <c r="U8019" s="28">
        <v>854000</v>
      </c>
      <c r="V8019" s="28">
        <v>9663888000</v>
      </c>
      <c r="W8019" s="28">
        <v>161000000</v>
      </c>
      <c r="X8019" s="28">
        <v>78628000</v>
      </c>
      <c r="Y8019" s="28">
        <v>17448446000</v>
      </c>
      <c r="Z8019" s="28">
        <v>-1182822000</v>
      </c>
      <c r="AA8019" s="28">
        <v>3924201000</v>
      </c>
      <c r="AB8019" s="28">
        <v>2204303000</v>
      </c>
      <c r="AC8019" s="28">
        <v>12869319000</v>
      </c>
      <c r="AD8019" s="28">
        <v>-1172399000</v>
      </c>
      <c r="AE8019" s="28">
        <v>15824061000</v>
      </c>
      <c r="AF8019" s="28">
        <v>-610231000</v>
      </c>
      <c r="AG8019" s="11"/>
    </row>
    <row r="8020">
      <c r="A8020" s="7" t="s">
        <v>9556</v>
      </c>
      <c r="B8020" s="5" t="s">
        <v>17472</v>
      </c>
      <c r="C8020" s="5" t="s">
        <v>18177</v>
      </c>
      <c r="D8020" s="5" t="str">
        <v>744814128957</v>
      </c>
      <c r="E8020" s="0" t="e">
        <f>+7 (495) 6287266
+7 (495) 7854665
+7 (499) 6030000
+7 (800) 7757533
+7 (812) 3242844
+7 (812) 3244403
+7 (812) 3244406
+7 (812) 3244409
+7 (844) 2471764
+7 (86145) 72414
+7 (8636) 259201</f>
        <v>#NAME?</v>
      </c>
      <c r="F8020" s="5" t="s">
        <v>48520</v>
      </c>
      <c r="G8020" s="5" t="s">
        <v>48521</v>
      </c>
      <c r="H8020" s="26">
        <v>28.5</v>
      </c>
      <c r="I8020" s="5" t="s">
        <v>48522</v>
      </c>
      <c r="J8020" s="5" t="s">
        <v>26165</v>
      </c>
      <c r="K8020" s="5" t="s">
        <v>355</v>
      </c>
      <c r="L8020" s="5"/>
      <c r="M8020" s="27">
        <v>23860</v>
      </c>
      <c r="N8020" s="5" t="s">
        <v>49982</v>
      </c>
      <c r="O8020" s="5" t="str">
        <v>7701047916</v>
      </c>
      <c r="P8020" s="27">
        <v>497077000</v>
      </c>
      <c r="Q8020" s="5" t="s">
        <v>61258</v>
      </c>
      <c r="R8020" s="5" t="s">
        <v>61259</v>
      </c>
      <c r="S8020" s="5" t="s">
        <v>61260</v>
      </c>
      <c r="T8020" s="28">
        <v>2287962000</v>
      </c>
      <c r="U8020" s="28">
        <v>2464273000</v>
      </c>
      <c r="V8020" s="28">
        <v>4072950000</v>
      </c>
      <c r="W8020" s="28"/>
      <c r="X8020" s="28">
        <v>36724000</v>
      </c>
      <c r="Y8020" s="28">
        <v>10568767000</v>
      </c>
      <c r="Z8020" s="28">
        <v>-499717000</v>
      </c>
      <c r="AA8020" s="28">
        <v>746208000</v>
      </c>
      <c r="AB8020" s="28">
        <v>3846073000</v>
      </c>
      <c r="AC8020" s="28">
        <v>6640661000</v>
      </c>
      <c r="AD8020" s="28">
        <v>1491076000</v>
      </c>
      <c r="AE8020" s="28">
        <v>7693695000</v>
      </c>
      <c r="AF8020" s="28">
        <v>-83402000</v>
      </c>
      <c r="AG8020" s="11"/>
    </row>
    <row r="8021">
      <c r="A8021" s="7" t="s">
        <v>9557</v>
      </c>
      <c r="B8021" s="5" t="s">
        <v>17473</v>
      </c>
      <c r="C8021" s="5" t="s">
        <v>25023</v>
      </c>
      <c r="D8021" s="5" t="str">
        <v>772802849607</v>
      </c>
      <c r="E8021" s="0" t="e">
        <f>+7 (926) 111633
+7 (495) 6204597
+7 (495) 9743994
+7 (903) 5784688
+7 (925) 3759937</f>
        <v>#NAME?</v>
      </c>
      <c r="F8021" s="5" t="s">
        <v>48523</v>
      </c>
      <c r="G8021" s="5" t="s">
        <v>48524</v>
      </c>
      <c r="H8021" s="26">
        <v>11</v>
      </c>
      <c r="I8021" s="5" t="s">
        <v>48525</v>
      </c>
      <c r="J8021" s="5" t="s">
        <v>821</v>
      </c>
      <c r="K8021" s="5" t="s">
        <v>380</v>
      </c>
      <c r="L8021" s="5" t="s">
        <v>48526</v>
      </c>
      <c r="M8021" s="27"/>
      <c r="N8021" s="5"/>
      <c r="O8021" s="5" t="str">
        <v>7725748396</v>
      </c>
      <c r="P8021" s="27">
        <v>20000</v>
      </c>
      <c r="Q8021" s="5" t="s">
        <v>61261</v>
      </c>
      <c r="R8021" s="5"/>
      <c r="S8021" s="5" t="s">
        <v>61262</v>
      </c>
      <c r="T8021" s="28">
        <v>647821000</v>
      </c>
      <c r="U8021" s="28"/>
      <c r="V8021" s="28">
        <v>1302075000</v>
      </c>
      <c r="W8021" s="28"/>
      <c r="X8021" s="28">
        <v>5948000</v>
      </c>
      <c r="Y8021" s="28">
        <v>2474981000</v>
      </c>
      <c r="Z8021" s="28">
        <v>220377000</v>
      </c>
      <c r="AA8021" s="28">
        <v>10000000</v>
      </c>
      <c r="AB8021" s="28">
        <v>476060000</v>
      </c>
      <c r="AC8021" s="28">
        <v>2184359000</v>
      </c>
      <c r="AD8021" s="28">
        <v>220397000</v>
      </c>
      <c r="AE8021" s="28">
        <v>7217963000</v>
      </c>
      <c r="AF8021" s="28">
        <v>72379000</v>
      </c>
      <c r="AG8021" s="11"/>
    </row>
    <row r="8022">
      <c r="A8022" s="7" t="s">
        <v>9558</v>
      </c>
      <c r="B8022" s="5" t="s">
        <v>17474</v>
      </c>
      <c r="C8022" s="5" t="s">
        <v>25024</v>
      </c>
      <c r="D8022" s="5" t="str">
        <v>770600220770</v>
      </c>
      <c r="E8022" s="0" t="e">
        <f>+7 (3433) 592877
+7 (3433) 761478
+7 (383) 3031533
+7 (383) 3031917
+7 (481) 2339489
+7 (481) 2622244
+7 (495) 6412822
+7 (495) 6412848
+7 (495) 6412849
+7 (495) 6654817
+7 (800) 7009807
+7 (812) 4152225
+7 (812) 4152266</f>
        <v>#NAME?</v>
      </c>
      <c r="F8022" s="5" t="s">
        <v>48527</v>
      </c>
      <c r="G8022" s="5"/>
      <c r="H8022" s="26">
        <v>22.5</v>
      </c>
      <c r="I8022" s="5" t="s">
        <v>48528</v>
      </c>
      <c r="J8022" s="5" t="s">
        <v>27497</v>
      </c>
      <c r="K8022" s="5" t="s">
        <v>344</v>
      </c>
      <c r="L8022" s="5"/>
      <c r="M8022" s="27"/>
      <c r="N8022" s="5"/>
      <c r="O8022" s="5" t="str">
        <v>7706216371</v>
      </c>
      <c r="P8022" s="27">
        <v>6500000</v>
      </c>
      <c r="Q8022" s="5" t="s">
        <v>49009</v>
      </c>
      <c r="R8022" s="5"/>
      <c r="S8022" s="5" t="s">
        <v>49028</v>
      </c>
      <c r="T8022" s="28">
        <v>6202000</v>
      </c>
      <c r="U8022" s="28">
        <v>7000</v>
      </c>
      <c r="V8022" s="28">
        <v>1457731000</v>
      </c>
      <c r="W8022" s="28">
        <v>105044000</v>
      </c>
      <c r="X8022" s="28">
        <v>10158000</v>
      </c>
      <c r="Y8022" s="28">
        <v>2147835000</v>
      </c>
      <c r="Z8022" s="28">
        <v>1303860000</v>
      </c>
      <c r="AA8022" s="28"/>
      <c r="AB8022" s="28">
        <v>233451000</v>
      </c>
      <c r="AC8022" s="28">
        <v>835928000</v>
      </c>
      <c r="AD8022" s="28">
        <v>1310360000</v>
      </c>
      <c r="AE8022" s="28">
        <v>7338690000</v>
      </c>
      <c r="AF8022" s="28">
        <v>444055000</v>
      </c>
      <c r="AG8022" s="11"/>
    </row>
    <row r="8023">
      <c r="A8023" s="7" t="s">
        <v>9559</v>
      </c>
      <c r="B8023" s="5" t="s">
        <v>17475</v>
      </c>
      <c r="C8023" s="5" t="s">
        <v>20066</v>
      </c>
      <c r="D8023" s="5" t="str">
        <v>774335205755</v>
      </c>
      <c r="E8023" s="0" t="e">
        <f>+7 (495) 7457780
+7 (495) 7457786
+7 (495) 7457787
+7 (495) 7805894
+7 (800) 5000575</f>
        <v>#NAME?</v>
      </c>
      <c r="F8023" s="5" t="s">
        <v>48529</v>
      </c>
      <c r="G8023" s="5" t="s">
        <v>48530</v>
      </c>
      <c r="H8023" s="26">
        <v>25</v>
      </c>
      <c r="I8023" s="5" t="s">
        <v>48531</v>
      </c>
      <c r="J8023" s="5" t="s">
        <v>26869</v>
      </c>
      <c r="K8023" s="5" t="s">
        <v>344</v>
      </c>
      <c r="L8023" s="5" t="s">
        <v>48532</v>
      </c>
      <c r="M8023" s="27"/>
      <c r="N8023" s="5"/>
      <c r="O8023" s="5" t="str">
        <v>5040044451</v>
      </c>
      <c r="P8023" s="27">
        <v>1518629422</v>
      </c>
      <c r="Q8023" s="5" t="s">
        <v>49009</v>
      </c>
      <c r="R8023" s="5"/>
      <c r="S8023" s="5" t="s">
        <v>49066</v>
      </c>
      <c r="T8023" s="28">
        <v>2736789000</v>
      </c>
      <c r="U8023" s="28">
        <v>410000000</v>
      </c>
      <c r="V8023" s="28">
        <v>1908993000</v>
      </c>
      <c r="W8023" s="28">
        <v>153500000</v>
      </c>
      <c r="X8023" s="28">
        <v>2175482000</v>
      </c>
      <c r="Y8023" s="28">
        <v>8988951000</v>
      </c>
      <c r="Z8023" s="28">
        <v>3196996000</v>
      </c>
      <c r="AA8023" s="28"/>
      <c r="AB8023" s="28"/>
      <c r="AC8023" s="28">
        <v>2890823000</v>
      </c>
      <c r="AD8023" s="28">
        <v>5851346000</v>
      </c>
      <c r="AE8023" s="28">
        <v>23884615000</v>
      </c>
      <c r="AF8023" s="28">
        <v>2612325000</v>
      </c>
      <c r="AG8023" s="11"/>
    </row>
    <row r="8024">
      <c r="A8024" s="7" t="s">
        <v>9560</v>
      </c>
      <c r="B8024" s="5" t="s">
        <v>17476</v>
      </c>
      <c r="C8024" s="5" t="s">
        <v>20831</v>
      </c>
      <c r="D8024" s="5" t="str">
        <v>611203149089</v>
      </c>
      <c r="E8024" s="0" t="e">
        <f>+7 (86376) 31893</f>
        <v>#NAME?</v>
      </c>
      <c r="F8024" s="5" t="s">
        <v>48533</v>
      </c>
      <c r="G8024" s="5"/>
      <c r="H8024" s="26">
        <v>16.5</v>
      </c>
      <c r="I8024" s="5" t="s">
        <v>48534</v>
      </c>
      <c r="J8024" s="5" t="s">
        <v>25850</v>
      </c>
      <c r="K8024" s="5" t="s">
        <v>344</v>
      </c>
      <c r="L8024" s="5" t="s">
        <v>1652</v>
      </c>
      <c r="M8024" s="27"/>
      <c r="N8024" s="5"/>
      <c r="O8024" s="5" t="str">
        <v>6112913112</v>
      </c>
      <c r="P8024" s="27">
        <v>10000</v>
      </c>
      <c r="Q8024" s="5"/>
      <c r="R8024" s="5"/>
      <c r="S8024" s="5" t="s">
        <v>49029</v>
      </c>
      <c r="T8024" s="28">
        <v>43131000</v>
      </c>
      <c r="U8024" s="28"/>
      <c r="V8024" s="28">
        <v>358183000</v>
      </c>
      <c r="W8024" s="28">
        <v>33000000</v>
      </c>
      <c r="X8024" s="28">
        <v>2221000</v>
      </c>
      <c r="Y8024" s="28">
        <v>956353000</v>
      </c>
      <c r="Z8024" s="28">
        <v>79548000</v>
      </c>
      <c r="AA8024" s="28"/>
      <c r="AB8024" s="28">
        <v>478530000</v>
      </c>
      <c r="AC8024" s="28">
        <v>874150000</v>
      </c>
      <c r="AD8024" s="28">
        <v>80681000</v>
      </c>
      <c r="AE8024" s="28">
        <v>3061463000</v>
      </c>
      <c r="AF8024" s="28">
        <v>37176000</v>
      </c>
      <c r="AG8024" s="11"/>
    </row>
    <row r="8025">
      <c r="A8025" s="7" t="s">
        <v>9561</v>
      </c>
      <c r="B8025" s="5" t="s">
        <v>17477</v>
      </c>
      <c r="C8025" s="5" t="s">
        <v>25025</v>
      </c>
      <c r="D8025" s="5" t="str">
        <v>772006066608</v>
      </c>
      <c r="E8025" s="0" t="e">
        <f>+7 (966) 1900272
+7 (495) 9377722
+7 (495) 9377723</f>
        <v>#NAME?</v>
      </c>
      <c r="F8025" s="5" t="s">
        <v>48535</v>
      </c>
      <c r="G8025" s="5" t="s">
        <v>48536</v>
      </c>
      <c r="H8025" s="26">
        <v>16</v>
      </c>
      <c r="I8025" s="5" t="s">
        <v>48537</v>
      </c>
      <c r="J8025" s="5" t="s">
        <v>785</v>
      </c>
      <c r="K8025" s="5" t="s">
        <v>344</v>
      </c>
      <c r="L8025" s="5" t="s">
        <v>48538</v>
      </c>
      <c r="M8025" s="27"/>
      <c r="N8025" s="5" t="s">
        <v>49577</v>
      </c>
      <c r="O8025" s="5" t="str">
        <v>7704643321</v>
      </c>
      <c r="P8025" s="27">
        <v>5000000</v>
      </c>
      <c r="Q8025" s="5" t="s">
        <v>61263</v>
      </c>
      <c r="R8025" s="5"/>
      <c r="S8025" s="5" t="s">
        <v>49496</v>
      </c>
      <c r="T8025" s="28">
        <v>27385000</v>
      </c>
      <c r="U8025" s="28">
        <v>250000</v>
      </c>
      <c r="V8025" s="28">
        <v>1688221000</v>
      </c>
      <c r="W8025" s="28"/>
      <c r="X8025" s="28">
        <v>47253000</v>
      </c>
      <c r="Y8025" s="28">
        <v>1774673000</v>
      </c>
      <c r="Z8025" s="28">
        <v>48484000</v>
      </c>
      <c r="AA8025" s="28"/>
      <c r="AB8025" s="28"/>
      <c r="AC8025" s="28">
        <v>1700676000</v>
      </c>
      <c r="AD8025" s="28">
        <v>53484000</v>
      </c>
      <c r="AE8025" s="28">
        <v>3500160000</v>
      </c>
      <c r="AF8025" s="28">
        <v>111135000</v>
      </c>
      <c r="AG8025" s="11"/>
    </row>
    <row r="8026">
      <c r="A8026" s="7" t="s">
        <v>9562</v>
      </c>
      <c r="B8026" s="5" t="s">
        <v>17478</v>
      </c>
      <c r="C8026" s="5" t="s">
        <v>25026</v>
      </c>
      <c r="D8026" s="5" t="str">
        <v>772013817090</v>
      </c>
      <c r="F8026" s="5"/>
      <c r="G8026" s="5"/>
      <c r="H8026" s="26">
        <v>6.5</v>
      </c>
      <c r="I8026" s="5"/>
      <c r="J8026" s="5" t="s">
        <v>27316</v>
      </c>
      <c r="K8026" s="5" t="s">
        <v>344</v>
      </c>
      <c r="L8026" s="5" t="s">
        <v>48539</v>
      </c>
      <c r="M8026" s="27"/>
      <c r="N8026" s="5"/>
      <c r="O8026" s="5" t="str">
        <v>3321028250</v>
      </c>
      <c r="P8026" s="27">
        <v>100000</v>
      </c>
      <c r="Q8026" s="5"/>
      <c r="R8026" s="5"/>
      <c r="S8026" s="5" t="s">
        <v>49029</v>
      </c>
      <c r="T8026" s="28">
        <v>16330000</v>
      </c>
      <c r="U8026" s="28"/>
      <c r="V8026" s="28">
        <v>3123342000</v>
      </c>
      <c r="W8026" s="28"/>
      <c r="X8026" s="28">
        <v>757379000</v>
      </c>
      <c r="Y8026" s="28">
        <v>4471415000</v>
      </c>
      <c r="Z8026" s="28">
        <v>3753638000</v>
      </c>
      <c r="AA8026" s="28"/>
      <c r="AB8026" s="28">
        <v>350383000</v>
      </c>
      <c r="AC8026" s="28">
        <v>636456000</v>
      </c>
      <c r="AD8026" s="28">
        <v>3809638000</v>
      </c>
      <c r="AE8026" s="28">
        <v>5238338000</v>
      </c>
      <c r="AF8026" s="28">
        <v>2022909000</v>
      </c>
      <c r="AG8026" s="11"/>
    </row>
    <row r="8027">
      <c r="A8027" s="7" t="s">
        <v>9563</v>
      </c>
      <c r="B8027" s="5" t="s">
        <v>17479</v>
      </c>
      <c r="C8027" s="5" t="s">
        <v>25027</v>
      </c>
      <c r="D8027" s="5" t="str">
        <v>773413905988</v>
      </c>
      <c r="E8027" s="0" t="e">
        <f>+7 (495) 9375120
+7 (495) 9375121</f>
        <v>#NAME?</v>
      </c>
      <c r="F8027" s="5" t="s">
        <v>48540</v>
      </c>
      <c r="G8027" s="5" t="s">
        <v>48541</v>
      </c>
      <c r="H8027" s="26">
        <v>24.5</v>
      </c>
      <c r="I8027" s="5" t="s">
        <v>48542</v>
      </c>
      <c r="J8027" s="5" t="s">
        <v>25216</v>
      </c>
      <c r="K8027" s="5" t="s">
        <v>344</v>
      </c>
      <c r="L8027" s="5"/>
      <c r="M8027" s="27"/>
      <c r="N8027" s="5"/>
      <c r="O8027" s="5" t="str">
        <v>7705220985</v>
      </c>
      <c r="P8027" s="27">
        <v>1392372000</v>
      </c>
      <c r="Q8027" s="5"/>
      <c r="R8027" s="5"/>
      <c r="S8027" s="5" t="s">
        <v>49029</v>
      </c>
      <c r="T8027" s="28">
        <v>1733372000</v>
      </c>
      <c r="U8027" s="28"/>
      <c r="V8027" s="28">
        <v>1427799000</v>
      </c>
      <c r="W8027" s="28"/>
      <c r="X8027" s="28">
        <v>1388397000</v>
      </c>
      <c r="Y8027" s="28">
        <v>5625341000</v>
      </c>
      <c r="Z8027" s="28">
        <v>48951000</v>
      </c>
      <c r="AA8027" s="28"/>
      <c r="AB8027" s="28">
        <v>191000</v>
      </c>
      <c r="AC8027" s="28">
        <v>1699018000</v>
      </c>
      <c r="AD8027" s="28">
        <v>3926323000</v>
      </c>
      <c r="AE8027" s="28">
        <v>5821811000</v>
      </c>
      <c r="AF8027" s="28">
        <v>1735882000</v>
      </c>
      <c r="AG8027" s="11"/>
    </row>
    <row r="8028">
      <c r="A8028" s="7" t="s">
        <v>9564</v>
      </c>
      <c r="B8028" s="5" t="s">
        <v>17480</v>
      </c>
      <c r="C8028" s="5" t="s">
        <v>25028</v>
      </c>
      <c r="D8028" s="5" t="str">
        <v>570300368107</v>
      </c>
      <c r="E8028" s="0" t="e">
        <f>+7 (482) 2371561
+7 (48242) 22032
+7 (492) 2341561
+7 (492) 2313825
+7 (492) 2371500
+7 (492) 2371503
+7 (492) 2371510
+7 (492) 2371511
+7 (492) 2371520
+7 (492) 2371522
+7 (492) 2371526
+7 (492) 2371528
+7 (492) 2371534
+7 (492) 2371540
+7 (492) 2371557</f>
        <v>#NAME?</v>
      </c>
      <c r="F8028" s="5" t="s">
        <v>48543</v>
      </c>
      <c r="G8028" s="5" t="s">
        <v>48544</v>
      </c>
      <c r="H8028" s="26">
        <v>5.5</v>
      </c>
      <c r="I8028" s="5" t="s">
        <v>48545</v>
      </c>
      <c r="J8028" s="5" t="s">
        <v>26623</v>
      </c>
      <c r="K8028" s="5" t="s">
        <v>344</v>
      </c>
      <c r="L8028" s="5" t="s">
        <v>48546</v>
      </c>
      <c r="M8028" s="27">
        <v>62210896</v>
      </c>
      <c r="N8028" s="5" t="s">
        <v>61264</v>
      </c>
      <c r="O8028" s="5" t="str">
        <v>7704440018</v>
      </c>
      <c r="P8028" s="27">
        <v>250000000</v>
      </c>
      <c r="Q8028" s="5" t="s">
        <v>61265</v>
      </c>
      <c r="R8028" s="5"/>
      <c r="S8028" s="5" t="s">
        <v>56266</v>
      </c>
      <c r="T8028" s="28">
        <v>148510000</v>
      </c>
      <c r="U8028" s="28"/>
      <c r="V8028" s="28">
        <v>1202165000</v>
      </c>
      <c r="W8028" s="28">
        <v>1945000</v>
      </c>
      <c r="X8028" s="28">
        <v>1091248000</v>
      </c>
      <c r="Y8028" s="28">
        <v>2692394000</v>
      </c>
      <c r="Z8028" s="28">
        <v>790894000</v>
      </c>
      <c r="AA8028" s="28">
        <v>51044000</v>
      </c>
      <c r="AB8028" s="28">
        <v>29324000</v>
      </c>
      <c r="AC8028" s="28">
        <v>1584992000</v>
      </c>
      <c r="AD8028" s="28">
        <v>1045565000</v>
      </c>
      <c r="AE8028" s="28">
        <v>17199754000</v>
      </c>
      <c r="AF8028" s="28">
        <v>585632000</v>
      </c>
      <c r="AG8028" s="11"/>
    </row>
    <row r="8029">
      <c r="A8029" s="7" t="s">
        <v>9565</v>
      </c>
      <c r="B8029" s="5" t="s">
        <v>17481</v>
      </c>
      <c r="C8029" s="5" t="s">
        <v>25029</v>
      </c>
      <c r="D8029" s="5" t="str">
        <v>622600327297</v>
      </c>
      <c r="E8029" s="0" t="e">
        <f>+7 (495) 9337720
+7 (800) 7707239
+7 (903) 1650185</f>
        <v>#NAME?</v>
      </c>
      <c r="F8029" s="5" t="s">
        <v>48547</v>
      </c>
      <c r="G8029" s="5"/>
      <c r="H8029" s="26">
        <v>8.5</v>
      </c>
      <c r="I8029" s="5" t="s">
        <v>48548</v>
      </c>
      <c r="J8029" s="5" t="s">
        <v>599</v>
      </c>
      <c r="K8029" s="5" t="s">
        <v>344</v>
      </c>
      <c r="L8029" s="5" t="s">
        <v>46591</v>
      </c>
      <c r="M8029" s="27">
        <v>4425636</v>
      </c>
      <c r="N8029" s="5"/>
      <c r="O8029" s="5" t="str">
        <v>5906857890</v>
      </c>
      <c r="P8029" s="27">
        <v>1000000</v>
      </c>
      <c r="Q8029" s="5" t="s">
        <v>52461</v>
      </c>
      <c r="R8029" s="5"/>
      <c r="S8029" s="5" t="s">
        <v>52767</v>
      </c>
      <c r="T8029" s="28">
        <v>601526000</v>
      </c>
      <c r="U8029" s="28"/>
      <c r="V8029" s="28">
        <v>557564000</v>
      </c>
      <c r="W8029" s="28"/>
      <c r="X8029" s="28">
        <v>9962000</v>
      </c>
      <c r="Y8029" s="28">
        <v>1382123000</v>
      </c>
      <c r="Z8029" s="28">
        <v>190045000</v>
      </c>
      <c r="AA8029" s="28">
        <v>266413000</v>
      </c>
      <c r="AB8029" s="28">
        <v>24200000</v>
      </c>
      <c r="AC8029" s="28">
        <v>450900000</v>
      </c>
      <c r="AD8029" s="28">
        <v>288434000</v>
      </c>
      <c r="AE8029" s="28">
        <v>3209377000</v>
      </c>
      <c r="AF8029" s="28">
        <v>79189000</v>
      </c>
      <c r="AG8029" s="11"/>
    </row>
    <row r="8030">
      <c r="A8030" s="7" t="s">
        <v>9566</v>
      </c>
      <c r="B8030" s="5" t="s">
        <v>11830</v>
      </c>
      <c r="C8030" s="5" t="s">
        <v>25030</v>
      </c>
      <c r="D8030" s="5" t="str">
        <v>772860112146</v>
      </c>
      <c r="E8030" s="0" t="e">
        <f>+7 (910) 3948173
+7 (831) 2296107
+7 (831) 2296410</f>
        <v>#NAME?</v>
      </c>
      <c r="F8030" s="5" t="s">
        <v>48549</v>
      </c>
      <c r="G8030" s="5" t="s">
        <v>48550</v>
      </c>
      <c r="H8030" s="26">
        <v>16.5</v>
      </c>
      <c r="I8030" s="5" t="s">
        <v>48551</v>
      </c>
      <c r="J8030" s="5" t="s">
        <v>26623</v>
      </c>
      <c r="K8030" s="5" t="s">
        <v>344</v>
      </c>
      <c r="L8030" s="5" t="s">
        <v>33342</v>
      </c>
      <c r="M8030" s="27">
        <v>22778641</v>
      </c>
      <c r="N8030" s="5" t="s">
        <v>61266</v>
      </c>
      <c r="O8030" s="5" t="str">
        <v>5263057670</v>
      </c>
      <c r="P8030" s="27">
        <v>10000</v>
      </c>
      <c r="Q8030" s="5"/>
      <c r="R8030" s="5" t="s">
        <v>61267</v>
      </c>
      <c r="S8030" s="5" t="s">
        <v>49047</v>
      </c>
      <c r="T8030" s="28">
        <v>2082000</v>
      </c>
      <c r="U8030" s="28"/>
      <c r="V8030" s="28">
        <v>456456000</v>
      </c>
      <c r="W8030" s="28"/>
      <c r="X8030" s="28">
        <v>123990000</v>
      </c>
      <c r="Y8030" s="28">
        <v>584594000</v>
      </c>
      <c r="Z8030" s="28">
        <v>54604000</v>
      </c>
      <c r="AA8030" s="28"/>
      <c r="AB8030" s="28"/>
      <c r="AC8030" s="28">
        <v>527599000</v>
      </c>
      <c r="AD8030" s="28">
        <v>54615000</v>
      </c>
      <c r="AE8030" s="28">
        <v>3968476000</v>
      </c>
      <c r="AF8030" s="28">
        <v>9234000</v>
      </c>
      <c r="AG8030" s="11"/>
    </row>
    <row r="8031">
      <c r="A8031" s="7" t="s">
        <v>9567</v>
      </c>
      <c r="B8031" s="5" t="s">
        <v>17482</v>
      </c>
      <c r="C8031" s="5" t="s">
        <v>25031</v>
      </c>
      <c r="D8031" s="5" t="str">
        <v>027503636800</v>
      </c>
      <c r="E8031" s="0" t="e">
        <f>+7 (495) 2253737</f>
        <v>#NAME?</v>
      </c>
      <c r="F8031" s="5" t="s">
        <v>48552</v>
      </c>
      <c r="G8031" s="5" t="s">
        <v>48553</v>
      </c>
      <c r="H8031" s="26">
        <v>14.5</v>
      </c>
      <c r="I8031" s="5" t="s">
        <v>48554</v>
      </c>
      <c r="J8031" s="5" t="s">
        <v>26623</v>
      </c>
      <c r="K8031" s="5" t="s">
        <v>355</v>
      </c>
      <c r="L8031" s="5" t="s">
        <v>48555</v>
      </c>
      <c r="M8031" s="27">
        <v>117529</v>
      </c>
      <c r="N8031" s="5" t="s">
        <v>61268</v>
      </c>
      <c r="O8031" s="5" t="str">
        <v>7804403972</v>
      </c>
      <c r="P8031" s="27">
        <v>11981227368</v>
      </c>
      <c r="Q8031" s="5" t="s">
        <v>61269</v>
      </c>
      <c r="R8031" s="5"/>
      <c r="S8031" s="5" t="s">
        <v>50191</v>
      </c>
      <c r="T8031" s="28">
        <v>21542000</v>
      </c>
      <c r="U8031" s="28">
        <v>7072991000</v>
      </c>
      <c r="V8031" s="28">
        <v>2399493000</v>
      </c>
      <c r="W8031" s="28"/>
      <c r="X8031" s="28">
        <v>268385000</v>
      </c>
      <c r="Y8031" s="28">
        <v>9796860000</v>
      </c>
      <c r="Z8031" s="28">
        <v>-3965409000</v>
      </c>
      <c r="AA8031" s="28"/>
      <c r="AB8031" s="28">
        <v>17389000</v>
      </c>
      <c r="AC8031" s="28">
        <v>431961000</v>
      </c>
      <c r="AD8031" s="28">
        <v>8344850000</v>
      </c>
      <c r="AE8031" s="28">
        <v>7062128000</v>
      </c>
      <c r="AF8031" s="28">
        <v>1096413000</v>
      </c>
      <c r="AG8031" s="11"/>
    </row>
    <row r="8032">
      <c r="A8032" s="7" t="s">
        <v>9568</v>
      </c>
      <c r="B8032" s="5" t="s">
        <v>17483</v>
      </c>
      <c r="C8032" s="5" t="s">
        <v>21365</v>
      </c>
      <c r="D8032" s="5" t="str">
        <v>504217392611</v>
      </c>
      <c r="E8032" s="0" t="e">
        <f>+7 (912) 2002525
+7 (343) 3441050
+7 (343) 3441060
+7 (3433) 441064</f>
        <v>#NAME?</v>
      </c>
      <c r="F8032" s="5" t="s">
        <v>48556</v>
      </c>
      <c r="G8032" s="5" t="s">
        <v>48557</v>
      </c>
      <c r="H8032" s="26">
        <v>15</v>
      </c>
      <c r="I8032" s="5" t="s">
        <v>48558</v>
      </c>
      <c r="J8032" s="5" t="s">
        <v>999</v>
      </c>
      <c r="K8032" s="5" t="s">
        <v>355</v>
      </c>
      <c r="L8032" s="5" t="s">
        <v>48559</v>
      </c>
      <c r="M8032" s="27">
        <v>791994729</v>
      </c>
      <c r="N8032" s="5" t="s">
        <v>61270</v>
      </c>
      <c r="O8032" s="5" t="str">
        <v>6671249389</v>
      </c>
      <c r="P8032" s="27">
        <v>20010000</v>
      </c>
      <c r="Q8032" s="5" t="s">
        <v>61272</v>
      </c>
      <c r="R8032" s="5"/>
      <c r="S8032" s="5" t="s">
        <v>61273</v>
      </c>
      <c r="T8032" s="28">
        <v>1949674000</v>
      </c>
      <c r="U8032" s="28">
        <v>150999000</v>
      </c>
      <c r="V8032" s="28">
        <v>10333173000</v>
      </c>
      <c r="W8032" s="28">
        <v>1300739000</v>
      </c>
      <c r="X8032" s="28">
        <v>968377000</v>
      </c>
      <c r="Y8032" s="28">
        <v>20484454000</v>
      </c>
      <c r="Z8032" s="28">
        <v>1422684000</v>
      </c>
      <c r="AA8032" s="28"/>
      <c r="AB8032" s="28">
        <v>464179000</v>
      </c>
      <c r="AC8032" s="28">
        <v>17659960000</v>
      </c>
      <c r="AD8032" s="28">
        <v>1442694000</v>
      </c>
      <c r="AE8032" s="28">
        <v>23934590000</v>
      </c>
      <c r="AF8032" s="28">
        <v>385953000</v>
      </c>
      <c r="AG8032" s="11"/>
    </row>
    <row r="8033">
      <c r="A8033" s="7" t="s">
        <v>9569</v>
      </c>
      <c r="B8033" s="5" t="s">
        <v>17484</v>
      </c>
      <c r="C8033" s="5" t="s">
        <v>25032</v>
      </c>
      <c r="D8033" s="5" t="str">
        <v>366105247500</v>
      </c>
      <c r="F8033" s="5"/>
      <c r="G8033" s="5" t="s">
        <v>48560</v>
      </c>
      <c r="H8033" s="26">
        <v>6</v>
      </c>
      <c r="I8033" s="5" t="s">
        <v>48561</v>
      </c>
      <c r="J8033" s="5" t="s">
        <v>26623</v>
      </c>
      <c r="K8033" s="5" t="s">
        <v>355</v>
      </c>
      <c r="L8033" s="5"/>
      <c r="M8033" s="27">
        <v>518524743</v>
      </c>
      <c r="N8033" s="5" t="s">
        <v>61274</v>
      </c>
      <c r="O8033" s="5" t="str">
        <v>3663126677</v>
      </c>
      <c r="P8033" s="27">
        <v>100000</v>
      </c>
      <c r="Q8033" s="5" t="s">
        <v>49009</v>
      </c>
      <c r="R8033" s="5"/>
      <c r="S8033" s="5" t="s">
        <v>49045</v>
      </c>
      <c r="T8033" s="28">
        <v>13515000</v>
      </c>
      <c r="U8033" s="28">
        <v>204000000</v>
      </c>
      <c r="V8033" s="28">
        <v>1027062000</v>
      </c>
      <c r="W8033" s="28">
        <v>319900000</v>
      </c>
      <c r="X8033" s="28">
        <v>70480000</v>
      </c>
      <c r="Y8033" s="28">
        <v>1675914000</v>
      </c>
      <c r="Z8033" s="28">
        <v>2813000</v>
      </c>
      <c r="AA8033" s="28"/>
      <c r="AB8033" s="28"/>
      <c r="AC8033" s="28">
        <v>1669004000</v>
      </c>
      <c r="AD8033" s="28">
        <v>2913000</v>
      </c>
      <c r="AE8033" s="28">
        <v>7299330000</v>
      </c>
      <c r="AF8033" s="28">
        <v>26797000</v>
      </c>
      <c r="AG8033" s="11"/>
    </row>
    <row r="8034">
      <c r="A8034" s="7" t="s">
        <v>9570</v>
      </c>
      <c r="B8034" s="5" t="s">
        <v>17485</v>
      </c>
      <c r="C8034" s="5" t="s">
        <v>25033</v>
      </c>
      <c r="D8034" s="5" t="str">
        <v>665800465802</v>
      </c>
      <c r="E8034" s="0" t="e">
        <f>+7 (347) 2961850
+7 (343) 2953838
+7 (346) 2334413
+7 (3472) 169875
+7 (3472) 181088
+7 (3472) 191887
+7 (3472) 221100
+7 (3472) 222210
+7 (3472) 228651
+7 (3472) 245631
+7 (3472) 250835
+7 (3472) 260329
+7 (3472) 120201
+7 (3472) 166320
+7 (3472) 222255</f>
        <v>#NAME?</v>
      </c>
      <c r="F8034" s="5" t="s">
        <v>48562</v>
      </c>
      <c r="G8034" s="5" t="s">
        <v>48563</v>
      </c>
      <c r="H8034" s="26">
        <v>21</v>
      </c>
      <c r="I8034" s="5" t="s">
        <v>48564</v>
      </c>
      <c r="J8034" s="5" t="s">
        <v>26623</v>
      </c>
      <c r="K8034" s="5" t="s">
        <v>344</v>
      </c>
      <c r="L8034" s="5" t="s">
        <v>48565</v>
      </c>
      <c r="M8034" s="27">
        <v>447431372</v>
      </c>
      <c r="N8034" s="5" t="s">
        <v>50211</v>
      </c>
      <c r="O8034" s="5" t="str">
        <v>0275038496</v>
      </c>
      <c r="P8034" s="27">
        <v>50870000</v>
      </c>
      <c r="Q8034" s="5" t="s">
        <v>61275</v>
      </c>
      <c r="R8034" s="5" t="s">
        <v>52722</v>
      </c>
      <c r="S8034" s="5" t="s">
        <v>56266</v>
      </c>
      <c r="T8034" s="28">
        <v>1139500000</v>
      </c>
      <c r="U8034" s="28">
        <v>1658347000</v>
      </c>
      <c r="V8034" s="28">
        <v>4249373000</v>
      </c>
      <c r="W8034" s="28">
        <v>6937000</v>
      </c>
      <c r="X8034" s="28">
        <v>3030024000</v>
      </c>
      <c r="Y8034" s="28">
        <v>10695961000</v>
      </c>
      <c r="Z8034" s="28">
        <v>4065983000</v>
      </c>
      <c r="AA8034" s="28">
        <v>9093000</v>
      </c>
      <c r="AB8034" s="28">
        <v>36132000</v>
      </c>
      <c r="AC8034" s="28">
        <v>6440511000</v>
      </c>
      <c r="AD8034" s="28">
        <v>4174916000</v>
      </c>
      <c r="AE8034" s="28">
        <v>48479784000</v>
      </c>
      <c r="AF8034" s="28">
        <v>825933000</v>
      </c>
      <c r="AG8034" s="11"/>
    </row>
    <row r="8035">
      <c r="A8035" s="7" t="s">
        <v>9571</v>
      </c>
      <c r="B8035" s="5" t="s">
        <v>17486</v>
      </c>
      <c r="C8035" s="5" t="s">
        <v>25034</v>
      </c>
      <c r="D8035" s="5" t="str">
        <v>421301095058</v>
      </c>
      <c r="E8035" s="0" t="e">
        <f>+7 (384) 2345819
+7 (384) 2349574
+7 (384) 2358144
+7 (384) 2361589
+7 (384) 2364812
+7 (384) 2453310
+7 (384) 2544219
+7 (384) 2549571
+7 (384) 2557375
+7 (384) 2574700
+7 (384) 2348623
+7 (384) 2348654
+7 (384) 2360945
+7 (384) 2544228
+7 (384) 2575229</f>
        <v>#NAME?</v>
      </c>
      <c r="F8035" s="5" t="s">
        <v>48566</v>
      </c>
      <c r="G8035" s="5"/>
      <c r="H8035" s="26">
        <v>15.5</v>
      </c>
      <c r="I8035" s="5" t="s">
        <v>48567</v>
      </c>
      <c r="J8035" s="5" t="s">
        <v>26623</v>
      </c>
      <c r="K8035" s="5" t="s">
        <v>344</v>
      </c>
      <c r="L8035" s="5" t="s">
        <v>48568</v>
      </c>
      <c r="M8035" s="27"/>
      <c r="N8035" s="5" t="s">
        <v>61276</v>
      </c>
      <c r="O8035" s="5" t="str">
        <v>4205140782</v>
      </c>
      <c r="P8035" s="27">
        <v>5010500</v>
      </c>
      <c r="Q8035" s="5" t="s">
        <v>61277</v>
      </c>
      <c r="R8035" s="5"/>
      <c r="S8035" s="5" t="s">
        <v>49162</v>
      </c>
      <c r="T8035" s="28">
        <v>77419000</v>
      </c>
      <c r="U8035" s="28"/>
      <c r="V8035" s="28">
        <v>441446000</v>
      </c>
      <c r="W8035" s="28">
        <v>69476000</v>
      </c>
      <c r="X8035" s="28">
        <v>9614000</v>
      </c>
      <c r="Y8035" s="28">
        <v>702412000</v>
      </c>
      <c r="Z8035" s="28">
        <v>287753000</v>
      </c>
      <c r="AA8035" s="28"/>
      <c r="AB8035" s="28"/>
      <c r="AC8035" s="28">
        <v>366629000</v>
      </c>
      <c r="AD8035" s="28">
        <v>302764000</v>
      </c>
      <c r="AE8035" s="28">
        <v>4842248000</v>
      </c>
      <c r="AF8035" s="28">
        <v>33985000</v>
      </c>
      <c r="AG8035" s="11"/>
    </row>
    <row r="8036">
      <c r="A8036" s="7" t="s">
        <v>9572</v>
      </c>
      <c r="B8036" s="5" t="s">
        <v>17487</v>
      </c>
      <c r="C8036" s="5" t="s">
        <v>25035</v>
      </c>
      <c r="D8036" s="5" t="str">
        <v>781112385375</v>
      </c>
      <c r="E8036" s="0" t="e">
        <f>+7 (49644) 16815
+7 (495) 1236620
+7 (495) 2216676
+7 (495) 7555221
+7 (495) 9582612
+7 (499) 6734207
+7 (499) 6734712
+7 (499) 7682612
+7 (816) 2681484
+7 (911) 5742671
+7 (911) 5742927</f>
        <v>#NAME?</v>
      </c>
      <c r="F8036" s="5" t="s">
        <v>48569</v>
      </c>
      <c r="G8036" s="5" t="s">
        <v>48570</v>
      </c>
      <c r="H8036" s="26">
        <v>18.5</v>
      </c>
      <c r="I8036" s="5" t="s">
        <v>48571</v>
      </c>
      <c r="J8036" s="5" t="s">
        <v>26511</v>
      </c>
      <c r="K8036" s="5" t="s">
        <v>344</v>
      </c>
      <c r="L8036" s="5" t="s">
        <v>48572</v>
      </c>
      <c r="M8036" s="27">
        <v>18004</v>
      </c>
      <c r="N8036" s="5" t="s">
        <v>61278</v>
      </c>
      <c r="O8036" s="5" t="str">
        <v>7705603716</v>
      </c>
      <c r="P8036" s="27">
        <v>10000</v>
      </c>
      <c r="Q8036" s="5" t="s">
        <v>49009</v>
      </c>
      <c r="R8036" s="5"/>
      <c r="S8036" s="5" t="s">
        <v>49012</v>
      </c>
      <c r="T8036" s="28">
        <v>242629000</v>
      </c>
      <c r="U8036" s="28"/>
      <c r="V8036" s="28">
        <v>724411000</v>
      </c>
      <c r="W8036" s="28">
        <v>60000000</v>
      </c>
      <c r="X8036" s="28">
        <v>457696000</v>
      </c>
      <c r="Y8036" s="28">
        <v>1753396000</v>
      </c>
      <c r="Z8036" s="28">
        <v>938922000</v>
      </c>
      <c r="AA8036" s="28"/>
      <c r="AB8036" s="28">
        <v>23250000</v>
      </c>
      <c r="AC8036" s="28">
        <v>808146000</v>
      </c>
      <c r="AD8036" s="28">
        <v>938932000</v>
      </c>
      <c r="AE8036" s="28">
        <v>8831947000</v>
      </c>
      <c r="AF8036" s="28">
        <v>410201000</v>
      </c>
      <c r="AG8036" s="11"/>
    </row>
    <row r="8037">
      <c r="A8037" s="7" t="s">
        <v>9573</v>
      </c>
      <c r="B8037" s="5" t="s">
        <v>17488</v>
      </c>
      <c r="C8037" s="5" t="s">
        <v>25036</v>
      </c>
      <c r="D8037" s="5" t="str">
        <v>431200513509</v>
      </c>
      <c r="E8037" s="0" t="e">
        <f>+7 (83361) 94203
+7 (83361) 94264
+7 (83361) 94894</f>
        <v>#NAME?</v>
      </c>
      <c r="F8037" s="5" t="s">
        <v>48573</v>
      </c>
      <c r="G8037" s="5" t="s">
        <v>48574</v>
      </c>
      <c r="H8037" s="26">
        <v>19.5</v>
      </c>
      <c r="I8037" s="5" t="s">
        <v>48575</v>
      </c>
      <c r="J8037" s="5" t="s">
        <v>26623</v>
      </c>
      <c r="K8037" s="5" t="s">
        <v>355</v>
      </c>
      <c r="L8037" s="5" t="s">
        <v>48576</v>
      </c>
      <c r="M8037" s="27"/>
      <c r="N8037" s="5" t="s">
        <v>54783</v>
      </c>
      <c r="O8037" s="5" t="str">
        <v>4312128123</v>
      </c>
      <c r="P8037" s="27">
        <v>105862700</v>
      </c>
      <c r="Q8037" s="5"/>
      <c r="R8037" s="5"/>
      <c r="S8037" s="5" t="s">
        <v>49110</v>
      </c>
      <c r="T8037" s="28">
        <v>114783000</v>
      </c>
      <c r="U8037" s="28"/>
      <c r="V8037" s="28">
        <v>260966000</v>
      </c>
      <c r="W8037" s="28"/>
      <c r="X8037" s="28">
        <v>77087000</v>
      </c>
      <c r="Y8037" s="28">
        <v>466455000</v>
      </c>
      <c r="Z8037" s="28">
        <v>22634000</v>
      </c>
      <c r="AA8037" s="28"/>
      <c r="AB8037" s="28"/>
      <c r="AC8037" s="28">
        <v>336699000</v>
      </c>
      <c r="AD8037" s="28">
        <v>128507000</v>
      </c>
      <c r="AE8037" s="28">
        <v>6744276000</v>
      </c>
      <c r="AF8037" s="28">
        <v>-3730000</v>
      </c>
      <c r="AG8037" s="11"/>
    </row>
    <row r="8038">
      <c r="A8038" s="7" t="s">
        <v>9574</v>
      </c>
      <c r="B8038" s="5" t="s">
        <v>17489</v>
      </c>
      <c r="C8038" s="5" t="s">
        <v>25037</v>
      </c>
      <c r="D8038" s="5" t="str">
        <v>770371593552</v>
      </c>
      <c r="E8038" s="0" t="e">
        <f>+7 (495) 6844004
+7 (495) 6844707
+7 (3435) 353838
+7 (495) 6442447
+7 (495) 7819052
+7 (499) 2152919
+7 (800) 7752919</f>
        <v>#NAME?</v>
      </c>
      <c r="F8038" s="5"/>
      <c r="G8038" s="5" t="s">
        <v>48577</v>
      </c>
      <c r="H8038" s="26">
        <v>16</v>
      </c>
      <c r="I8038" s="5" t="s">
        <v>48578</v>
      </c>
      <c r="J8038" s="5" t="s">
        <v>37062</v>
      </c>
      <c r="K8038" s="5" t="s">
        <v>344</v>
      </c>
      <c r="L8038" s="5" t="s">
        <v>48579</v>
      </c>
      <c r="M8038" s="27"/>
      <c r="N8038" s="5"/>
      <c r="O8038" s="5" t="str">
        <v>7705769091</v>
      </c>
      <c r="P8038" s="27">
        <v>150900000</v>
      </c>
      <c r="Q8038" s="5" t="s">
        <v>49009</v>
      </c>
      <c r="R8038" s="5"/>
      <c r="S8038" s="5" t="s">
        <v>49010</v>
      </c>
      <c r="T8038" s="28">
        <v>1420111000</v>
      </c>
      <c r="U8038" s="28">
        <v>11203000</v>
      </c>
      <c r="V8038" s="28">
        <v>1213585000</v>
      </c>
      <c r="W8038" s="28">
        <v>150100000</v>
      </c>
      <c r="X8038" s="28">
        <v>1206231000</v>
      </c>
      <c r="Y8038" s="28">
        <v>5748113000</v>
      </c>
      <c r="Z8038" s="28">
        <v>2189040000</v>
      </c>
      <c r="AA8038" s="28"/>
      <c r="AB8038" s="28">
        <v>976350000</v>
      </c>
      <c r="AC8038" s="28">
        <v>2024262000</v>
      </c>
      <c r="AD8038" s="28">
        <v>2362582000</v>
      </c>
      <c r="AE8038" s="28">
        <v>10458278000</v>
      </c>
      <c r="AF8038" s="28">
        <v>1180533000</v>
      </c>
      <c r="AG8038" s="11"/>
    </row>
    <row r="8039">
      <c r="A8039" s="7" t="s">
        <v>9575</v>
      </c>
      <c r="B8039" s="5" t="s">
        <v>17490</v>
      </c>
      <c r="C8039" s="5" t="s">
        <v>25038</v>
      </c>
      <c r="D8039" s="5" t="str">
        <v>164600276263</v>
      </c>
      <c r="E8039" s="0" t="e">
        <f>+7 (965) 6112888
+7 (383) 3071207
+7 (800) 3333693
+7 (848) 8248699
+7 (855) 2408420
+7 (855) 2408422
+7 (85557) 30300
+7 (85557) 31814
+7 (85557) 45115
+7 (85557) 45252
+7 (85557) 45533
+7 (85557) 48699
+7 (960) 858804</f>
        <v>#NAME?</v>
      </c>
      <c r="F8039" s="5" t="s">
        <v>48580</v>
      </c>
      <c r="G8039" s="5" t="s">
        <v>48581</v>
      </c>
      <c r="H8039" s="26">
        <v>22.5</v>
      </c>
      <c r="I8039" s="5"/>
      <c r="J8039" s="5" t="s">
        <v>33297</v>
      </c>
      <c r="K8039" s="5" t="s">
        <v>344</v>
      </c>
      <c r="L8039" s="5" t="s">
        <v>48582</v>
      </c>
      <c r="M8039" s="27">
        <v>42650430</v>
      </c>
      <c r="N8039" s="5"/>
      <c r="O8039" s="5" t="str">
        <v>1654040701</v>
      </c>
      <c r="P8039" s="27">
        <v>8622093</v>
      </c>
      <c r="Q8039" s="5" t="s">
        <v>49009</v>
      </c>
      <c r="R8039" s="5"/>
      <c r="S8039" s="5" t="s">
        <v>51151</v>
      </c>
      <c r="T8039" s="28">
        <v>6494545000</v>
      </c>
      <c r="U8039" s="28">
        <v>27010000</v>
      </c>
      <c r="V8039" s="28">
        <v>7521912000</v>
      </c>
      <c r="W8039" s="28">
        <v>2458682000</v>
      </c>
      <c r="X8039" s="28">
        <v>505014000</v>
      </c>
      <c r="Y8039" s="28">
        <v>23061732000</v>
      </c>
      <c r="Z8039" s="28">
        <v>6376351000</v>
      </c>
      <c r="AA8039" s="28">
        <v>13399353000</v>
      </c>
      <c r="AB8039" s="28">
        <v>19577000</v>
      </c>
      <c r="AC8039" s="28">
        <v>3071176000</v>
      </c>
      <c r="AD8039" s="28">
        <v>6386411000</v>
      </c>
      <c r="AE8039" s="28">
        <v>35659290000</v>
      </c>
      <c r="AF8039" s="28">
        <v>2777802000</v>
      </c>
      <c r="AG8039" s="11"/>
    </row>
    <row r="8040">
      <c r="A8040" s="7" t="s">
        <v>9576</v>
      </c>
      <c r="B8040" s="5" t="s">
        <v>17491</v>
      </c>
      <c r="C8040" s="5" t="s">
        <v>25039</v>
      </c>
      <c r="D8040" s="5" t="str">
        <v>772790925402</v>
      </c>
      <c r="E8040" s="0" t="e">
        <f>+7 (916) 9709568
+7 (48751) 74666
+7 (495) 7257720
+7 (495) 9673367
+7 (495) 9673368
+7 (961) 2613999</f>
        <v>#NAME?</v>
      </c>
      <c r="F8040" s="5" t="s">
        <v>48583</v>
      </c>
      <c r="G8040" s="5" t="s">
        <v>48584</v>
      </c>
      <c r="H8040" s="26">
        <v>25</v>
      </c>
      <c r="I8040" s="5" t="s">
        <v>48585</v>
      </c>
      <c r="J8040" s="5" t="s">
        <v>28582</v>
      </c>
      <c r="K8040" s="5" t="s">
        <v>344</v>
      </c>
      <c r="L8040" s="5" t="s">
        <v>48586</v>
      </c>
      <c r="M8040" s="27"/>
      <c r="N8040" s="5" t="s">
        <v>61279</v>
      </c>
      <c r="O8040" s="5" t="str">
        <v>4704031845</v>
      </c>
      <c r="P8040" s="27">
        <v>8253262871</v>
      </c>
      <c r="Q8040" s="5" t="s">
        <v>49009</v>
      </c>
      <c r="R8040" s="5"/>
      <c r="S8040" s="5" t="s">
        <v>49956</v>
      </c>
      <c r="T8040" s="28">
        <v>8995444000</v>
      </c>
      <c r="U8040" s="28"/>
      <c r="V8040" s="28">
        <v>3925004000</v>
      </c>
      <c r="W8040" s="28"/>
      <c r="X8040" s="28">
        <v>6267558000</v>
      </c>
      <c r="Y8040" s="28">
        <v>23446782000</v>
      </c>
      <c r="Z8040" s="28">
        <v>10623052000</v>
      </c>
      <c r="AA8040" s="28"/>
      <c r="AB8040" s="28"/>
      <c r="AC8040" s="28">
        <v>3452516000</v>
      </c>
      <c r="AD8040" s="28">
        <v>19716211000</v>
      </c>
      <c r="AE8040" s="28">
        <v>29132058000</v>
      </c>
      <c r="AF8040" s="28">
        <v>3612827000</v>
      </c>
      <c r="AG8040" s="11"/>
    </row>
    <row r="8041">
      <c r="A8041" s="7" t="s">
        <v>9577</v>
      </c>
      <c r="B8041" s="5" t="s">
        <v>17492</v>
      </c>
      <c r="C8041" s="5" t="s">
        <v>25040</v>
      </c>
      <c r="D8041" s="5" t="str">
        <v>771310800852</v>
      </c>
      <c r="E8041" s="0" t="e">
        <f>+7 (495) 6603163
+7 (999) 7878686
+7 (495) 7327231
+7 (495) 7806018
+7 (916) 7192810</f>
        <v>#NAME?</v>
      </c>
      <c r="F8041" s="5" t="s">
        <v>48587</v>
      </c>
      <c r="G8041" s="5" t="s">
        <v>48588</v>
      </c>
      <c r="H8041" s="26">
        <v>16.5</v>
      </c>
      <c r="I8041" s="5"/>
      <c r="J8041" s="5" t="s">
        <v>25530</v>
      </c>
      <c r="K8041" s="5" t="s">
        <v>344</v>
      </c>
      <c r="L8041" s="5" t="s">
        <v>48589</v>
      </c>
      <c r="M8041" s="27"/>
      <c r="N8041" s="5"/>
      <c r="O8041" s="5" t="str">
        <v>5027118182</v>
      </c>
      <c r="P8041" s="27">
        <v>500000</v>
      </c>
      <c r="Q8041" s="5" t="s">
        <v>49009</v>
      </c>
      <c r="R8041" s="5"/>
      <c r="S8041" s="5" t="s">
        <v>49045</v>
      </c>
      <c r="T8041" s="28">
        <v>25177000</v>
      </c>
      <c r="U8041" s="28"/>
      <c r="V8041" s="28">
        <v>1423242000</v>
      </c>
      <c r="W8041" s="28"/>
      <c r="X8041" s="28">
        <v>275758000</v>
      </c>
      <c r="Y8041" s="28">
        <v>2685350000</v>
      </c>
      <c r="Z8041" s="28">
        <v>2081619000</v>
      </c>
      <c r="AA8041" s="28"/>
      <c r="AB8041" s="28">
        <v>403494000</v>
      </c>
      <c r="AC8041" s="28">
        <v>602988000</v>
      </c>
      <c r="AD8041" s="28">
        <v>2082169000</v>
      </c>
      <c r="AE8041" s="28">
        <v>4389194000</v>
      </c>
      <c r="AF8041" s="28">
        <v>331870000</v>
      </c>
      <c r="AG8041" s="11"/>
    </row>
    <row r="8042">
      <c r="A8042" s="7" t="s">
        <v>9578</v>
      </c>
      <c r="B8042" s="5" t="s">
        <v>17493</v>
      </c>
      <c r="C8042" s="5" t="s">
        <v>25041</v>
      </c>
      <c r="D8042" s="5" t="str">
        <v>263245897355</v>
      </c>
      <c r="E8042" s="0" t="e">
        <f>+7 (495) 6654698</f>
        <v>#NAME?</v>
      </c>
      <c r="F8042" s="5" t="s">
        <v>48590</v>
      </c>
      <c r="G8042" s="5" t="s">
        <v>48591</v>
      </c>
      <c r="H8042" s="26">
        <v>16.5</v>
      </c>
      <c r="I8042" s="5" t="s">
        <v>48592</v>
      </c>
      <c r="J8042" s="5" t="s">
        <v>31608</v>
      </c>
      <c r="K8042" s="5" t="s">
        <v>355</v>
      </c>
      <c r="L8042" s="5" t="s">
        <v>48593</v>
      </c>
      <c r="M8042" s="27">
        <v>498935003</v>
      </c>
      <c r="N8042" s="5" t="s">
        <v>60410</v>
      </c>
      <c r="O8042" s="5" t="str">
        <v>7704615959</v>
      </c>
      <c r="P8042" s="27">
        <v>10000</v>
      </c>
      <c r="Q8042" s="5" t="s">
        <v>61280</v>
      </c>
      <c r="R8042" s="5"/>
      <c r="S8042" s="5" t="s">
        <v>61281</v>
      </c>
      <c r="T8042" s="28">
        <v>2555888000</v>
      </c>
      <c r="U8042" s="28">
        <v>42510000</v>
      </c>
      <c r="V8042" s="28">
        <v>11644566000</v>
      </c>
      <c r="W8042" s="28"/>
      <c r="X8042" s="28">
        <v>49330000</v>
      </c>
      <c r="Y8042" s="28">
        <v>27538471000</v>
      </c>
      <c r="Z8042" s="28">
        <v>1806646000</v>
      </c>
      <c r="AA8042" s="28">
        <v>63500000</v>
      </c>
      <c r="AB8042" s="28">
        <v>940445000</v>
      </c>
      <c r="AC8042" s="28">
        <v>23732708000</v>
      </c>
      <c r="AD8042" s="28">
        <v>1806656000</v>
      </c>
      <c r="AE8042" s="28">
        <v>23701548000</v>
      </c>
      <c r="AF8042" s="28">
        <v>466373000</v>
      </c>
      <c r="AG8042" s="11"/>
    </row>
    <row r="8043">
      <c r="A8043" s="7" t="s">
        <v>9579</v>
      </c>
      <c r="B8043" s="5" t="s">
        <v>17494</v>
      </c>
      <c r="C8043" s="5" t="s">
        <v>25042</v>
      </c>
      <c r="D8043" s="5" t="str">
        <v>774315779141</v>
      </c>
      <c r="E8043" s="0" t="e">
        <f>+7 (812) 3632991
+7 (495) 6428225
+7 (495) 6428230
+7 (915) 4003460
+7 (916) 3913376
+7 (985) 1521163</f>
        <v>#NAME?</v>
      </c>
      <c r="F8043" s="5" t="s">
        <v>48594</v>
      </c>
      <c r="G8043" s="5"/>
      <c r="H8043" s="26">
        <v>20</v>
      </c>
      <c r="I8043" s="5" t="s">
        <v>48595</v>
      </c>
      <c r="J8043" s="5" t="s">
        <v>27085</v>
      </c>
      <c r="K8043" s="5" t="s">
        <v>344</v>
      </c>
      <c r="L8043" s="5" t="s">
        <v>48596</v>
      </c>
      <c r="M8043" s="27"/>
      <c r="N8043" s="5"/>
      <c r="O8043" s="5" t="str">
        <v>7730166315</v>
      </c>
      <c r="P8043" s="27">
        <v>63482515</v>
      </c>
      <c r="Q8043" s="5" t="s">
        <v>49009</v>
      </c>
      <c r="R8043" s="5"/>
      <c r="S8043" s="5" t="s">
        <v>49010</v>
      </c>
      <c r="T8043" s="28">
        <v>856648000</v>
      </c>
      <c r="U8043" s="28">
        <v>500000000</v>
      </c>
      <c r="V8043" s="28">
        <v>504114000</v>
      </c>
      <c r="W8043" s="28"/>
      <c r="X8043" s="28">
        <v>3668412000</v>
      </c>
      <c r="Y8043" s="28">
        <v>6169662000</v>
      </c>
      <c r="Z8043" s="28">
        <v>3374712000</v>
      </c>
      <c r="AA8043" s="28"/>
      <c r="AB8043" s="28"/>
      <c r="AC8043" s="28">
        <v>1746934000</v>
      </c>
      <c r="AD8043" s="28">
        <v>4378142000</v>
      </c>
      <c r="AE8043" s="28">
        <v>8303283000</v>
      </c>
      <c r="AF8043" s="28">
        <v>29474000</v>
      </c>
      <c r="AG8043" s="11"/>
    </row>
    <row r="8044">
      <c r="A8044" s="7" t="s">
        <v>9580</v>
      </c>
      <c r="B8044" s="5" t="s">
        <v>17495</v>
      </c>
      <c r="C8044" s="5" t="s">
        <v>25043</v>
      </c>
      <c r="D8044" s="5" t="str">
        <v>772828194803</v>
      </c>
      <c r="E8044" s="0" t="e">
        <f>+7 (495) 6655966
+7 (495) 9562525
+7 (495) 9562626
+7 (495) 9566699</f>
        <v>#NAME?</v>
      </c>
      <c r="F8044" s="5" t="s">
        <v>48597</v>
      </c>
      <c r="G8044" s="5" t="s">
        <v>48598</v>
      </c>
      <c r="H8044" s="26">
        <v>13</v>
      </c>
      <c r="I8044" s="5" t="s">
        <v>48599</v>
      </c>
      <c r="J8044" s="5" t="s">
        <v>25612</v>
      </c>
      <c r="K8044" s="5" t="s">
        <v>344</v>
      </c>
      <c r="L8044" s="5" t="s">
        <v>48600</v>
      </c>
      <c r="M8044" s="27"/>
      <c r="N8044" s="5" t="s">
        <v>61282</v>
      </c>
      <c r="O8044" s="5" t="str">
        <v>7722702869</v>
      </c>
      <c r="P8044" s="27">
        <v>12000000</v>
      </c>
      <c r="Q8044" s="5" t="s">
        <v>61283</v>
      </c>
      <c r="R8044" s="5"/>
      <c r="S8044" s="5" t="s">
        <v>52179</v>
      </c>
      <c r="T8044" s="28">
        <v>67370000</v>
      </c>
      <c r="U8044" s="28"/>
      <c r="V8044" s="28">
        <v>680164000</v>
      </c>
      <c r="W8044" s="28">
        <v>2359000</v>
      </c>
      <c r="X8044" s="28">
        <v>131935000</v>
      </c>
      <c r="Y8044" s="28">
        <v>966136000</v>
      </c>
      <c r="Z8044" s="28">
        <v>54396000</v>
      </c>
      <c r="AA8044" s="28"/>
      <c r="AB8044" s="28"/>
      <c r="AC8044" s="28">
        <v>717752000</v>
      </c>
      <c r="AD8044" s="28">
        <v>66396000</v>
      </c>
      <c r="AE8044" s="28">
        <v>3422387000</v>
      </c>
      <c r="AF8044" s="28">
        <v>38070000</v>
      </c>
      <c r="AG8044" s="11"/>
    </row>
    <row r="8045">
      <c r="A8045" s="7" t="s">
        <v>9581</v>
      </c>
      <c r="B8045" s="5" t="s">
        <v>17496</v>
      </c>
      <c r="C8045" s="5" t="s">
        <v>25044</v>
      </c>
      <c r="D8045" s="5" t="str">
        <v>500112790103</v>
      </c>
      <c r="E8045" s="0" t="e">
        <f>+7 (495) 7868089
+7 (495) 9010361
+7 (495) 9098969</f>
        <v>#NAME?</v>
      </c>
      <c r="F8045" s="5" t="s">
        <v>48601</v>
      </c>
      <c r="G8045" s="5" t="s">
        <v>48602</v>
      </c>
      <c r="H8045" s="26">
        <v>24</v>
      </c>
      <c r="I8045" s="5"/>
      <c r="J8045" s="5" t="s">
        <v>25376</v>
      </c>
      <c r="K8045" s="5" t="s">
        <v>344</v>
      </c>
      <c r="L8045" s="5"/>
      <c r="M8045" s="27"/>
      <c r="N8045" s="5"/>
      <c r="O8045" s="5" t="str">
        <v>6164077483</v>
      </c>
      <c r="P8045" s="27">
        <v>74797320</v>
      </c>
      <c r="Q8045" s="5" t="s">
        <v>61284</v>
      </c>
      <c r="R8045" s="5" t="s">
        <v>61285</v>
      </c>
      <c r="S8045" s="5" t="s">
        <v>61286</v>
      </c>
      <c r="T8045" s="28">
        <v>38489000</v>
      </c>
      <c r="U8045" s="28">
        <v>55737610000</v>
      </c>
      <c r="V8045" s="28">
        <v>441168000</v>
      </c>
      <c r="W8045" s="28">
        <v>2521785000</v>
      </c>
      <c r="X8045" s="28">
        <v>35524000</v>
      </c>
      <c r="Y8045" s="28">
        <v>61025494000</v>
      </c>
      <c r="Z8045" s="28">
        <v>-12067807000</v>
      </c>
      <c r="AA8045" s="28">
        <v>10697602000</v>
      </c>
      <c r="AB8045" s="28">
        <v>2225759000</v>
      </c>
      <c r="AC8045" s="28">
        <v>2406135000</v>
      </c>
      <c r="AD8045" s="28">
        <v>47897855000</v>
      </c>
      <c r="AE8045" s="28">
        <v>5722916000</v>
      </c>
      <c r="AF8045" s="28">
        <v>-7812675000</v>
      </c>
      <c r="AG8045" s="11"/>
    </row>
    <row r="8046">
      <c r="A8046" s="7" t="s">
        <v>9582</v>
      </c>
      <c r="B8046" s="5" t="s">
        <v>17497</v>
      </c>
      <c r="C8046" s="5" t="s">
        <v>25045</v>
      </c>
      <c r="D8046" s="5"/>
      <c r="E8046" s="0" t="e">
        <f>+7 (812) 3483515
+7 (812) 3483139
+7 (812) 3800514
+7 (812) 3800525
+7 (812) 3800529
+7 (812) 7183174
+7 (921) 5603566</f>
        <v>#NAME?</v>
      </c>
      <c r="F8046" s="5" t="s">
        <v>48603</v>
      </c>
      <c r="G8046" s="5" t="s">
        <v>48604</v>
      </c>
      <c r="H8046" s="26">
        <v>27</v>
      </c>
      <c r="I8046" s="5" t="s">
        <v>48605</v>
      </c>
      <c r="J8046" s="5" t="s">
        <v>364</v>
      </c>
      <c r="K8046" s="5" t="s">
        <v>344</v>
      </c>
      <c r="L8046" s="5"/>
      <c r="M8046" s="27">
        <v>6335381</v>
      </c>
      <c r="N8046" s="5" t="s">
        <v>61287</v>
      </c>
      <c r="O8046" s="5" t="str">
        <v>7802084569</v>
      </c>
      <c r="P8046" s="27">
        <v>2100200000</v>
      </c>
      <c r="Q8046" s="5" t="s">
        <v>61288</v>
      </c>
      <c r="R8046" s="5"/>
      <c r="S8046" s="5" t="s">
        <v>61289</v>
      </c>
      <c r="T8046" s="28">
        <v>542655000</v>
      </c>
      <c r="U8046" s="28">
        <v>23256702000</v>
      </c>
      <c r="V8046" s="28">
        <v>5525250000</v>
      </c>
      <c r="W8046" s="28">
        <v>1498031000</v>
      </c>
      <c r="X8046" s="28">
        <v>2490131000</v>
      </c>
      <c r="Y8046" s="28">
        <v>47353703000</v>
      </c>
      <c r="Z8046" s="28">
        <v>33208156000</v>
      </c>
      <c r="AA8046" s="28"/>
      <c r="AB8046" s="28"/>
      <c r="AC8046" s="28">
        <v>11550222000</v>
      </c>
      <c r="AD8046" s="28">
        <v>35413366000</v>
      </c>
      <c r="AE8046" s="28">
        <v>8783245000</v>
      </c>
      <c r="AF8046" s="28">
        <v>1117505000</v>
      </c>
      <c r="AG8046" s="11"/>
    </row>
    <row r="8047">
      <c r="A8047" s="7" t="s">
        <v>9583</v>
      </c>
      <c r="B8047" s="5" t="s">
        <v>17498</v>
      </c>
      <c r="C8047" s="5" t="s">
        <v>25046</v>
      </c>
      <c r="D8047" s="5" t="str">
        <v>781310188682</v>
      </c>
      <c r="E8047" s="0" t="e">
        <f>+7 (800) 7001144
+7 (812) 3270860
+7 (812) 3363747
+7 (812) 3363757
+7 (812) 3363758
+7 (812) 3363767
+7 (812) 3850439
+7 (812) 4246902
+7 (812) 4302878
+7 (812) 6777003
+7 (921) 9540618</f>
        <v>#NAME?</v>
      </c>
      <c r="F8047" s="5" t="s">
        <v>48606</v>
      </c>
      <c r="G8047" s="5"/>
      <c r="H8047" s="26">
        <v>18</v>
      </c>
      <c r="I8047" s="5" t="s">
        <v>48607</v>
      </c>
      <c r="J8047" s="5" t="s">
        <v>48608</v>
      </c>
      <c r="K8047" s="5" t="s">
        <v>355</v>
      </c>
      <c r="L8047" s="5"/>
      <c r="M8047" s="27">
        <v>18740158</v>
      </c>
      <c r="N8047" s="5"/>
      <c r="O8047" s="5" t="str">
        <v>7814313164</v>
      </c>
      <c r="P8047" s="27">
        <v>5682537197</v>
      </c>
      <c r="Q8047" s="5" t="s">
        <v>49009</v>
      </c>
      <c r="R8047" s="5" t="s">
        <v>61290</v>
      </c>
      <c r="S8047" s="5" t="s">
        <v>49010</v>
      </c>
      <c r="T8047" s="28">
        <v>991949000</v>
      </c>
      <c r="U8047" s="28">
        <v>12199209000</v>
      </c>
      <c r="V8047" s="28">
        <v>2371601000</v>
      </c>
      <c r="W8047" s="28">
        <v>392060000</v>
      </c>
      <c r="X8047" s="28">
        <v>1044463000</v>
      </c>
      <c r="Y8047" s="28">
        <v>21569227000</v>
      </c>
      <c r="Z8047" s="28">
        <v>8422805000</v>
      </c>
      <c r="AA8047" s="28">
        <v>518162000</v>
      </c>
      <c r="AB8047" s="28">
        <v>296000</v>
      </c>
      <c r="AC8047" s="28">
        <v>907470000</v>
      </c>
      <c r="AD8047" s="28">
        <v>19856506000</v>
      </c>
      <c r="AE8047" s="28">
        <v>4219683000</v>
      </c>
      <c r="AF8047" s="28">
        <v>833871000</v>
      </c>
      <c r="AG8047" s="11"/>
    </row>
    <row r="8048">
      <c r="A8048" s="7" t="s">
        <v>9584</v>
      </c>
      <c r="B8048" s="5" t="s">
        <v>17499</v>
      </c>
      <c r="C8048" s="5" t="s">
        <v>25047</v>
      </c>
      <c r="D8048" s="5" t="str">
        <v>352530657444</v>
      </c>
      <c r="E8048" s="0" t="e">
        <f>+7 (817) 2509966</f>
        <v>#NAME?</v>
      </c>
      <c r="F8048" s="5" t="s">
        <v>48609</v>
      </c>
      <c r="G8048" s="5"/>
      <c r="H8048" s="26">
        <v>4</v>
      </c>
      <c r="I8048" s="5" t="s">
        <v>48610</v>
      </c>
      <c r="J8048" s="5" t="s">
        <v>939</v>
      </c>
      <c r="K8048" s="5" t="s">
        <v>344</v>
      </c>
      <c r="L8048" s="5"/>
      <c r="M8048" s="27"/>
      <c r="N8048" s="5" t="s">
        <v>61291</v>
      </c>
      <c r="O8048" s="5" t="str">
        <v>3507314578</v>
      </c>
      <c r="P8048" s="27">
        <v>10000</v>
      </c>
      <c r="Q8048" s="5"/>
      <c r="R8048" s="5"/>
      <c r="S8048" s="5" t="s">
        <v>49991</v>
      </c>
      <c r="T8048" s="28"/>
      <c r="U8048" s="28"/>
      <c r="V8048" s="28"/>
      <c r="W8048" s="28"/>
      <c r="X8048" s="28"/>
      <c r="Y8048" s="28">
        <v>200011000</v>
      </c>
      <c r="Z8048" s="28">
        <v>190011000</v>
      </c>
      <c r="AA8048" s="28"/>
      <c r="AB8048" s="28"/>
      <c r="AC8048" s="28"/>
      <c r="AD8048" s="28">
        <v>200011000</v>
      </c>
      <c r="AE8048" s="28">
        <v>5070325000</v>
      </c>
      <c r="AF8048" s="28">
        <v>39377000</v>
      </c>
      <c r="AG8048" s="11"/>
    </row>
    <row r="8049">
      <c r="A8049" s="7" t="s">
        <v>9585</v>
      </c>
      <c r="B8049" s="5" t="s">
        <v>17500</v>
      </c>
      <c r="C8049" s="5" t="s">
        <v>25048</v>
      </c>
      <c r="D8049" s="5" t="str">
        <v>301702432964</v>
      </c>
      <c r="E8049" s="0" t="e">
        <f>+7 (927) 2828412
+7 (800) 5557346
+7 (851) 2392653
+7 (851) 2464616</f>
        <v>#NAME?</v>
      </c>
      <c r="F8049" s="5" t="s">
        <v>48611</v>
      </c>
      <c r="G8049" s="5" t="s">
        <v>48612</v>
      </c>
      <c r="H8049" s="26">
        <v>25</v>
      </c>
      <c r="I8049" s="5" t="s">
        <v>48613</v>
      </c>
      <c r="J8049" s="5" t="s">
        <v>25738</v>
      </c>
      <c r="K8049" s="5" t="s">
        <v>344</v>
      </c>
      <c r="L8049" s="5" t="s">
        <v>48614</v>
      </c>
      <c r="M8049" s="27">
        <v>23826903</v>
      </c>
      <c r="N8049" s="5" t="s">
        <v>61292</v>
      </c>
      <c r="O8049" s="5" t="str">
        <v>3015042714</v>
      </c>
      <c r="P8049" s="27">
        <v>10000</v>
      </c>
      <c r="Q8049" s="5" t="s">
        <v>49009</v>
      </c>
      <c r="R8049" s="5"/>
      <c r="S8049" s="5" t="s">
        <v>49704</v>
      </c>
      <c r="T8049" s="28">
        <v>720103000</v>
      </c>
      <c r="U8049" s="28">
        <v>13364000</v>
      </c>
      <c r="V8049" s="28">
        <v>771460000</v>
      </c>
      <c r="W8049" s="28">
        <v>51359000</v>
      </c>
      <c r="X8049" s="28">
        <v>64389000</v>
      </c>
      <c r="Y8049" s="28">
        <v>3420004000</v>
      </c>
      <c r="Z8049" s="28">
        <v>579811000</v>
      </c>
      <c r="AA8049" s="28">
        <v>568215000</v>
      </c>
      <c r="AB8049" s="28">
        <v>278024000</v>
      </c>
      <c r="AC8049" s="28">
        <v>2008813000</v>
      </c>
      <c r="AD8049" s="28">
        <v>579821000</v>
      </c>
      <c r="AE8049" s="28">
        <v>6698415000</v>
      </c>
      <c r="AF8049" s="28">
        <v>34739000</v>
      </c>
      <c r="AG8049" s="11"/>
    </row>
    <row r="8050">
      <c r="A8050" s="7" t="s">
        <v>9586</v>
      </c>
      <c r="B8050" s="5" t="s">
        <v>17501</v>
      </c>
      <c r="C8050" s="5" t="s">
        <v>25049</v>
      </c>
      <c r="D8050" s="5" t="str">
        <v>540217391510</v>
      </c>
      <c r="E8050" s="0" t="e">
        <f>+7 (383) 3832555
+7 (913) 9251594</f>
        <v>#NAME?</v>
      </c>
      <c r="F8050" s="5" t="s">
        <v>48615</v>
      </c>
      <c r="G8050" s="5" t="s">
        <v>48616</v>
      </c>
      <c r="H8050" s="26">
        <v>10</v>
      </c>
      <c r="I8050" s="5" t="s">
        <v>48617</v>
      </c>
      <c r="J8050" s="5" t="s">
        <v>28568</v>
      </c>
      <c r="K8050" s="5" t="s">
        <v>344</v>
      </c>
      <c r="L8050" s="5" t="s">
        <v>27727</v>
      </c>
      <c r="M8050" s="27"/>
      <c r="N8050" s="5" t="s">
        <v>61293</v>
      </c>
      <c r="O8050" s="5" t="str">
        <v>5406744828</v>
      </c>
      <c r="P8050" s="27">
        <v>20500</v>
      </c>
      <c r="Q8050" s="5" t="s">
        <v>61294</v>
      </c>
      <c r="R8050" s="5"/>
      <c r="S8050" s="5" t="s">
        <v>61295</v>
      </c>
      <c r="T8050" s="28">
        <v>1436000</v>
      </c>
      <c r="U8050" s="28"/>
      <c r="V8050" s="28">
        <v>357849000</v>
      </c>
      <c r="W8050" s="28">
        <v>2500000</v>
      </c>
      <c r="X8050" s="28">
        <v>114573000</v>
      </c>
      <c r="Y8050" s="28">
        <v>1209460000</v>
      </c>
      <c r="Z8050" s="28">
        <v>810002000</v>
      </c>
      <c r="AA8050" s="28"/>
      <c r="AB8050" s="28"/>
      <c r="AC8050" s="28">
        <v>399415000</v>
      </c>
      <c r="AD8050" s="28">
        <v>810022000</v>
      </c>
      <c r="AE8050" s="28">
        <v>4782698000</v>
      </c>
      <c r="AF8050" s="28">
        <v>386944000</v>
      </c>
      <c r="AG8050" s="11"/>
    </row>
    <row r="8051">
      <c r="A8051" s="7" t="s">
        <v>9587</v>
      </c>
      <c r="B8051" s="5" t="s">
        <v>11892</v>
      </c>
      <c r="C8051" s="5" t="s">
        <v>25050</v>
      </c>
      <c r="D8051" s="5" t="str">
        <v>312200771200</v>
      </c>
      <c r="E8051" s="0" t="e">
        <f>+7 (47234) 32047
+7 (47234) 44513
+7 (47234) 44939
+7 (47234) 77100</f>
        <v>#NAME?</v>
      </c>
      <c r="F8051" s="5"/>
      <c r="G8051" s="5"/>
      <c r="H8051" s="26">
        <v>21.5</v>
      </c>
      <c r="I8051" s="5" t="s">
        <v>48618</v>
      </c>
      <c r="J8051" s="5" t="s">
        <v>31776</v>
      </c>
      <c r="K8051" s="5" t="s">
        <v>344</v>
      </c>
      <c r="L8051" s="5" t="s">
        <v>48619</v>
      </c>
      <c r="M8051" s="27"/>
      <c r="N8051" s="5"/>
      <c r="O8051" s="5" t="str">
        <v>3662065051</v>
      </c>
      <c r="P8051" s="27">
        <v>13336</v>
      </c>
      <c r="Q8051" s="5" t="s">
        <v>49009</v>
      </c>
      <c r="R8051" s="5"/>
      <c r="S8051" s="5" t="s">
        <v>50103</v>
      </c>
      <c r="T8051" s="28">
        <v>517143000</v>
      </c>
      <c r="U8051" s="28">
        <v>3677000</v>
      </c>
      <c r="V8051" s="28">
        <v>8835920000</v>
      </c>
      <c r="W8051" s="28">
        <v>6613000</v>
      </c>
      <c r="X8051" s="28">
        <v>2984000</v>
      </c>
      <c r="Y8051" s="28">
        <v>11437360000</v>
      </c>
      <c r="Z8051" s="28">
        <v>3233995000</v>
      </c>
      <c r="AA8051" s="28">
        <v>3080051000</v>
      </c>
      <c r="AB8051" s="28">
        <v>179357000</v>
      </c>
      <c r="AC8051" s="28">
        <v>4674065000</v>
      </c>
      <c r="AD8051" s="28">
        <v>3662433000</v>
      </c>
      <c r="AE8051" s="28">
        <v>31085558000</v>
      </c>
      <c r="AF8051" s="28">
        <v>556935000</v>
      </c>
      <c r="AG8051" s="11"/>
    </row>
    <row r="8052">
      <c r="A8052" s="7" t="s">
        <v>9588</v>
      </c>
      <c r="B8052" s="5" t="s">
        <v>10353</v>
      </c>
      <c r="C8052" s="5" t="s">
        <v>25051</v>
      </c>
      <c r="D8052" s="5" t="str">
        <v>312202773516</v>
      </c>
      <c r="E8052" s="0" t="e">
        <f>+7 (3012) 417248
+7 (3412) 335325
+7 (3412) 795325
+7 (3412) 918245
+7 (3412) 918255
+7 (3422) 564444
+7 (3422) 999889
+7 (3432) 868082
+7 (3433) 20525
+7 (3433) 799993
+7 (3519) 580238
+7 (3522) 482828
+7 (35324) 31003
+7 (35329) 13198
+7 (35374) 40204</f>
        <v>#NAME?</v>
      </c>
      <c r="F8052" s="5" t="s">
        <v>48620</v>
      </c>
      <c r="G8052" s="5" t="s">
        <v>46229</v>
      </c>
      <c r="H8052" s="26">
        <v>30</v>
      </c>
      <c r="I8052" s="5" t="s">
        <v>48621</v>
      </c>
      <c r="J8052" s="5" t="s">
        <v>33745</v>
      </c>
      <c r="K8052" s="5" t="s">
        <v>344</v>
      </c>
      <c r="L8052" s="5"/>
      <c r="M8052" s="27">
        <v>271034</v>
      </c>
      <c r="N8052" s="5"/>
      <c r="O8052" s="5" t="str">
        <v>3122000300</v>
      </c>
      <c r="P8052" s="27">
        <v>351757000</v>
      </c>
      <c r="Q8052" s="5" t="s">
        <v>49009</v>
      </c>
      <c r="R8052" s="5"/>
      <c r="S8052" s="5" t="s">
        <v>61297</v>
      </c>
      <c r="T8052" s="28">
        <v>6812542000</v>
      </c>
      <c r="U8052" s="28">
        <v>273349000</v>
      </c>
      <c r="V8052" s="28">
        <v>23608099000</v>
      </c>
      <c r="W8052" s="28">
        <v>7274593000</v>
      </c>
      <c r="X8052" s="28">
        <v>950811000</v>
      </c>
      <c r="Y8052" s="28">
        <v>43430032000</v>
      </c>
      <c r="Z8052" s="28">
        <v>4038296000</v>
      </c>
      <c r="AA8052" s="28">
        <v>12301284000</v>
      </c>
      <c r="AB8052" s="28">
        <v>22468735000</v>
      </c>
      <c r="AC8052" s="28">
        <v>26403600000</v>
      </c>
      <c r="AD8052" s="28">
        <v>4708720000</v>
      </c>
      <c r="AE8052" s="28">
        <v>56213233000</v>
      </c>
      <c r="AF8052" s="28">
        <v>512626000</v>
      </c>
      <c r="AG8052" s="11"/>
    </row>
    <row r="8053">
      <c r="A8053" s="7" t="s">
        <v>9589</v>
      </c>
      <c r="B8053" s="5" t="s">
        <v>10353</v>
      </c>
      <c r="C8053" s="5" t="s">
        <v>25052</v>
      </c>
      <c r="D8053" s="5" t="str">
        <v>312200852402</v>
      </c>
      <c r="E8053" s="0" t="e">
        <f>+7 (47234) 34506
+7 (47234) 30573
+7 (47234) 31439
+7 (47234) 31496
+7 (47234) 31701
+7 (47234) 44492
+7 (47234) 45504
+7 (47234) 46175</f>
        <v>#NAME?</v>
      </c>
      <c r="F8053" s="5" t="s">
        <v>48622</v>
      </c>
      <c r="G8053" s="5"/>
      <c r="H8053" s="26">
        <v>20</v>
      </c>
      <c r="I8053" s="5" t="s">
        <v>31494</v>
      </c>
      <c r="J8053" s="5" t="s">
        <v>38585</v>
      </c>
      <c r="K8053" s="5" t="s">
        <v>344</v>
      </c>
      <c r="L8053" s="5" t="s">
        <v>48623</v>
      </c>
      <c r="M8053" s="27"/>
      <c r="N8053" s="5"/>
      <c r="O8053" s="5" t="str">
        <v>3122007552</v>
      </c>
      <c r="P8053" s="27">
        <v>10000</v>
      </c>
      <c r="Q8053" s="5"/>
      <c r="R8053" s="5" t="s">
        <v>52596</v>
      </c>
      <c r="S8053" s="5" t="s">
        <v>49029</v>
      </c>
      <c r="T8053" s="28">
        <v>22608000</v>
      </c>
      <c r="U8053" s="28"/>
      <c r="V8053" s="28">
        <v>822927000</v>
      </c>
      <c r="W8053" s="28">
        <v>7776772000</v>
      </c>
      <c r="X8053" s="28">
        <v>126000</v>
      </c>
      <c r="Y8053" s="28">
        <v>11617226000</v>
      </c>
      <c r="Z8053" s="28">
        <v>216967000</v>
      </c>
      <c r="AA8053" s="28"/>
      <c r="AB8053" s="28"/>
      <c r="AC8053" s="28">
        <v>11391464000</v>
      </c>
      <c r="AD8053" s="28">
        <v>216977000</v>
      </c>
      <c r="AE8053" s="28">
        <v>23989443000</v>
      </c>
      <c r="AF8053" s="28">
        <v>68493000</v>
      </c>
      <c r="AG8053" s="11"/>
    </row>
    <row r="8054">
      <c r="A8054" s="7" t="s">
        <v>9590</v>
      </c>
      <c r="B8054" s="5" t="s">
        <v>17502</v>
      </c>
      <c r="C8054" s="5" t="s">
        <v>25053</v>
      </c>
      <c r="D8054" s="5" t="str">
        <v>235605875594</v>
      </c>
      <c r="E8054" s="0" t="e">
        <f>+7 (800) 5503373</f>
        <v>#NAME?</v>
      </c>
      <c r="F8054" s="5"/>
      <c r="G8054" s="5"/>
      <c r="H8054" s="26">
        <v>5</v>
      </c>
      <c r="I8054" s="5" t="s">
        <v>48624</v>
      </c>
      <c r="J8054" s="5" t="s">
        <v>364</v>
      </c>
      <c r="K8054" s="5" t="s">
        <v>380</v>
      </c>
      <c r="L8054" s="5" t="s">
        <v>48625</v>
      </c>
      <c r="M8054" s="27">
        <v>90779934</v>
      </c>
      <c r="N8054" s="5"/>
      <c r="O8054" s="5" t="str">
        <v>2312269610</v>
      </c>
      <c r="P8054" s="27">
        <v>10000</v>
      </c>
      <c r="Q8054" s="5"/>
      <c r="R8054" s="5"/>
      <c r="S8054" s="5" t="s">
        <v>49121</v>
      </c>
      <c r="T8054" s="28">
        <v>49799000</v>
      </c>
      <c r="U8054" s="28">
        <v>3772003000</v>
      </c>
      <c r="V8054" s="28">
        <v>6410425000</v>
      </c>
      <c r="W8054" s="28">
        <v>780718000</v>
      </c>
      <c r="X8054" s="28">
        <v>1653000</v>
      </c>
      <c r="Y8054" s="28">
        <v>11781894000</v>
      </c>
      <c r="Z8054" s="28">
        <v>123434000</v>
      </c>
      <c r="AA8054" s="28">
        <v>1003133000</v>
      </c>
      <c r="AB8054" s="28">
        <v>572926000</v>
      </c>
      <c r="AC8054" s="28">
        <v>10610555000</v>
      </c>
      <c r="AD8054" s="28">
        <v>123444000</v>
      </c>
      <c r="AE8054" s="28">
        <v>5118129000</v>
      </c>
      <c r="AF8054" s="28">
        <v>54988000</v>
      </c>
      <c r="AG8054" s="11"/>
    </row>
    <row r="8055">
      <c r="A8055" s="7" t="s">
        <v>9591</v>
      </c>
      <c r="B8055" s="5" t="s">
        <v>17503</v>
      </c>
      <c r="C8055" s="5" t="s">
        <v>25054</v>
      </c>
      <c r="D8055" s="5" t="str">
        <v>504012113786</v>
      </c>
      <c r="E8055" s="0" t="e">
        <f>+7 (495) 4367685
+7 (495) 5807447
+7 (495) 7440107</f>
        <v>#NAME?</v>
      </c>
      <c r="F8055" s="5" t="s">
        <v>48626</v>
      </c>
      <c r="G8055" s="5"/>
      <c r="H8055" s="26">
        <v>16.5</v>
      </c>
      <c r="I8055" s="5"/>
      <c r="J8055" s="5" t="s">
        <v>27564</v>
      </c>
      <c r="K8055" s="5" t="s">
        <v>344</v>
      </c>
      <c r="L8055" s="5" t="s">
        <v>48627</v>
      </c>
      <c r="M8055" s="27">
        <v>119780</v>
      </c>
      <c r="N8055" s="5" t="s">
        <v>61298</v>
      </c>
      <c r="O8055" s="5" t="str">
        <v>7728585541</v>
      </c>
      <c r="P8055" s="27">
        <v>200000</v>
      </c>
      <c r="Q8055" s="5" t="s">
        <v>61299</v>
      </c>
      <c r="R8055" s="5"/>
      <c r="S8055" s="5" t="s">
        <v>61300</v>
      </c>
      <c r="T8055" s="28">
        <v>625520000</v>
      </c>
      <c r="U8055" s="28"/>
      <c r="V8055" s="28">
        <v>935074000</v>
      </c>
      <c r="W8055" s="28"/>
      <c r="X8055" s="28">
        <v>715312000</v>
      </c>
      <c r="Y8055" s="28">
        <v>2527342000</v>
      </c>
      <c r="Z8055" s="28">
        <v>1097891000</v>
      </c>
      <c r="AA8055" s="28"/>
      <c r="AB8055" s="28"/>
      <c r="AC8055" s="28">
        <v>1210618000</v>
      </c>
      <c r="AD8055" s="28">
        <v>1098104000</v>
      </c>
      <c r="AE8055" s="28">
        <v>4363109000</v>
      </c>
      <c r="AF8055" s="28">
        <v>130186000</v>
      </c>
      <c r="AG8055" s="11"/>
    </row>
    <row r="8056">
      <c r="A8056" s="7" t="s">
        <v>9592</v>
      </c>
      <c r="B8056" s="5" t="s">
        <v>17504</v>
      </c>
      <c r="C8056" s="5" t="s">
        <v>25055</v>
      </c>
      <c r="D8056" s="5" t="str">
        <v>666102882445</v>
      </c>
      <c r="E8056" s="0" t="e">
        <f>+7 (351) 2174840
+7 (35134) 45084
+7 (922) 2262415
+7 (343) 2163577
+7 (35134) 98543
+7 (35134) 98564
+7 (495) 6989720
+7 (812) 3134491
+7 (812) 3134492</f>
        <v>#NAME?</v>
      </c>
      <c r="F8056" s="5" t="s">
        <v>48628</v>
      </c>
      <c r="G8056" s="5" t="s">
        <v>48629</v>
      </c>
      <c r="H8056" s="26">
        <v>17.5</v>
      </c>
      <c r="I8056" s="5" t="s">
        <v>48630</v>
      </c>
      <c r="J8056" s="5" t="s">
        <v>48631</v>
      </c>
      <c r="K8056" s="5" t="s">
        <v>344</v>
      </c>
      <c r="L8056" s="5"/>
      <c r="M8056" s="27"/>
      <c r="N8056" s="5" t="s">
        <v>61301</v>
      </c>
      <c r="O8056" s="5" t="str">
        <v>6164235725</v>
      </c>
      <c r="P8056" s="27">
        <v>140000</v>
      </c>
      <c r="Q8056" s="5" t="s">
        <v>61302</v>
      </c>
      <c r="R8056" s="5" t="s">
        <v>61303</v>
      </c>
      <c r="S8056" s="5" t="s">
        <v>61304</v>
      </c>
      <c r="T8056" s="28">
        <v>1048625000</v>
      </c>
      <c r="U8056" s="28">
        <v>352508000</v>
      </c>
      <c r="V8056" s="28">
        <v>2601788000</v>
      </c>
      <c r="W8056" s="28"/>
      <c r="X8056" s="28">
        <v>44892000</v>
      </c>
      <c r="Y8056" s="28">
        <v>6157173000</v>
      </c>
      <c r="Z8056" s="28">
        <v>2276101000</v>
      </c>
      <c r="AA8056" s="28">
        <v>389779000</v>
      </c>
      <c r="AB8056" s="28">
        <v>1366588000</v>
      </c>
      <c r="AC8056" s="28">
        <v>2912464000</v>
      </c>
      <c r="AD8056" s="28">
        <v>2290927000</v>
      </c>
      <c r="AE8056" s="28">
        <v>7524039000</v>
      </c>
      <c r="AF8056" s="28">
        <v>312928000</v>
      </c>
      <c r="AG8056" s="11"/>
    </row>
    <row r="8057">
      <c r="A8057" s="7" t="s">
        <v>9593</v>
      </c>
      <c r="B8057" s="5" t="s">
        <v>17505</v>
      </c>
      <c r="C8057" s="5" t="s">
        <v>25056</v>
      </c>
      <c r="D8057" s="5" t="str">
        <v>280129580812</v>
      </c>
      <c r="E8057" s="0" t="e">
        <f>+7 (800) 2346689
+7 (914) 5758868
+7 (914) 5846167
+7 (914) 5977787
+7 (914) 6177789</f>
        <v>#NAME?</v>
      </c>
      <c r="F8057" s="5"/>
      <c r="G8057" s="5" t="s">
        <v>48632</v>
      </c>
      <c r="H8057" s="26">
        <v>10</v>
      </c>
      <c r="I8057" s="5" t="s">
        <v>48633</v>
      </c>
      <c r="J8057" s="5" t="s">
        <v>397</v>
      </c>
      <c r="K8057" s="5" t="s">
        <v>344</v>
      </c>
      <c r="L8057" s="5" t="s">
        <v>48634</v>
      </c>
      <c r="M8057" s="27"/>
      <c r="N8057" s="5" t="s">
        <v>61305</v>
      </c>
      <c r="O8057" s="5" t="str">
        <v>2801180976</v>
      </c>
      <c r="P8057" s="27">
        <v>10000</v>
      </c>
      <c r="Q8057" s="5"/>
      <c r="R8057" s="5" t="s">
        <v>61306</v>
      </c>
      <c r="S8057" s="5" t="s">
        <v>49047</v>
      </c>
      <c r="T8057" s="28">
        <v>3928000</v>
      </c>
      <c r="U8057" s="28"/>
      <c r="V8057" s="28">
        <v>2206014000</v>
      </c>
      <c r="W8057" s="28"/>
      <c r="X8057" s="28">
        <v>246343000</v>
      </c>
      <c r="Y8057" s="28">
        <v>3104340000</v>
      </c>
      <c r="Z8057" s="28">
        <v>1232429000</v>
      </c>
      <c r="AA8057" s="28"/>
      <c r="AB8057" s="28"/>
      <c r="AC8057" s="28">
        <v>1871533000</v>
      </c>
      <c r="AD8057" s="28">
        <v>1232439000</v>
      </c>
      <c r="AE8057" s="28">
        <v>6024150000</v>
      </c>
      <c r="AF8057" s="28">
        <v>958391000</v>
      </c>
      <c r="AG8057" s="11"/>
    </row>
    <row r="8058">
      <c r="A8058" s="7" t="s">
        <v>9594</v>
      </c>
      <c r="B8058" s="5" t="s">
        <v>17506</v>
      </c>
      <c r="C8058" s="5" t="s">
        <v>25057</v>
      </c>
      <c r="D8058" s="5" t="str">
        <v>860221682707</v>
      </c>
      <c r="E8058" s="0" t="e">
        <f>+7 (346) 2390841</f>
        <v>#NAME?</v>
      </c>
      <c r="F8058" s="5" t="s">
        <v>48635</v>
      </c>
      <c r="G8058" s="5" t="s">
        <v>48636</v>
      </c>
      <c r="H8058" s="26">
        <v>20</v>
      </c>
      <c r="I8058" s="5" t="s">
        <v>48637</v>
      </c>
      <c r="J8058" s="5" t="s">
        <v>467</v>
      </c>
      <c r="K8058" s="5" t="s">
        <v>344</v>
      </c>
      <c r="L8058" s="5" t="s">
        <v>48638</v>
      </c>
      <c r="M8058" s="27">
        <v>11124532</v>
      </c>
      <c r="N8058" s="5" t="s">
        <v>61307</v>
      </c>
      <c r="O8058" s="5" t="str">
        <v>8602230630</v>
      </c>
      <c r="P8058" s="27">
        <v>100000</v>
      </c>
      <c r="Q8058" s="5" t="s">
        <v>61308</v>
      </c>
      <c r="R8058" s="5"/>
      <c r="S8058" s="5" t="s">
        <v>61309</v>
      </c>
      <c r="T8058" s="28">
        <v>1702218000</v>
      </c>
      <c r="U8058" s="28"/>
      <c r="V8058" s="28">
        <v>2326561000</v>
      </c>
      <c r="W8058" s="28">
        <v>61968000</v>
      </c>
      <c r="X8058" s="28">
        <v>1020972000</v>
      </c>
      <c r="Y8058" s="28">
        <v>8125660000</v>
      </c>
      <c r="Z8058" s="28">
        <v>1124399000</v>
      </c>
      <c r="AA8058" s="28">
        <v>46363000</v>
      </c>
      <c r="AB8058" s="28">
        <v>915367000</v>
      </c>
      <c r="AC8058" s="28">
        <v>5981296000</v>
      </c>
      <c r="AD8058" s="28">
        <v>1124499000</v>
      </c>
      <c r="AE8058" s="28">
        <v>11961138000</v>
      </c>
      <c r="AF8058" s="28">
        <v>183048000</v>
      </c>
      <c r="AG8058" s="11"/>
    </row>
    <row r="8059">
      <c r="A8059" s="7" t="s">
        <v>9595</v>
      </c>
      <c r="B8059" s="5" t="s">
        <v>17507</v>
      </c>
      <c r="C8059" s="5" t="s">
        <v>25058</v>
      </c>
      <c r="D8059" s="5" t="str">
        <v>441503285488</v>
      </c>
      <c r="E8059" s="0" t="e">
        <f>+7 (494) 2424375
+7 (494) 2511511
+7 (494) 3231322
+7 (49432) 21387
+7 (49432) 21826
+7 (49432) 31788
+7 (49432) 31867
+7 (800) 6000110
+7 (800) 7007112
+7 (910) 1900634
+7 (915) 9200911
+7 (915) 9200915
+7 (920) 6482022</f>
        <v>#NAME?</v>
      </c>
      <c r="F8059" s="5" t="s">
        <v>48639</v>
      </c>
      <c r="G8059" s="5"/>
      <c r="H8059" s="26">
        <v>13.5</v>
      </c>
      <c r="I8059" s="5"/>
      <c r="J8059" s="5" t="s">
        <v>34727</v>
      </c>
      <c r="K8059" s="5" t="s">
        <v>344</v>
      </c>
      <c r="L8059" s="5"/>
      <c r="M8059" s="27"/>
      <c r="N8059" s="5"/>
      <c r="O8059" s="5" t="str">
        <v>4400005628</v>
      </c>
      <c r="P8059" s="27">
        <v>900000000</v>
      </c>
      <c r="Q8059" s="5" t="s">
        <v>49021</v>
      </c>
      <c r="R8059" s="5" t="s">
        <v>61311</v>
      </c>
      <c r="S8059" s="5" t="s">
        <v>61312</v>
      </c>
      <c r="T8059" s="28">
        <v>1728612000</v>
      </c>
      <c r="U8059" s="28">
        <v>310548000</v>
      </c>
      <c r="V8059" s="28">
        <v>5394887000</v>
      </c>
      <c r="W8059" s="28">
        <v>3002527000</v>
      </c>
      <c r="X8059" s="28">
        <v>257072000</v>
      </c>
      <c r="Y8059" s="28">
        <v>17616146000</v>
      </c>
      <c r="Z8059" s="28">
        <v>328474000</v>
      </c>
      <c r="AA8059" s="28">
        <v>3921000000</v>
      </c>
      <c r="AB8059" s="28">
        <v>4646947000</v>
      </c>
      <c r="AC8059" s="28">
        <v>10676494000</v>
      </c>
      <c r="AD8059" s="28">
        <v>1228549000</v>
      </c>
      <c r="AE8059" s="28">
        <v>21064606000</v>
      </c>
      <c r="AF8059" s="28">
        <v>1109273000</v>
      </c>
      <c r="AG8059" s="11"/>
    </row>
    <row r="8060">
      <c r="A8060" s="7" t="s">
        <v>9596</v>
      </c>
      <c r="B8060" s="5" t="s">
        <v>17508</v>
      </c>
      <c r="C8060" s="5" t="s">
        <v>25059</v>
      </c>
      <c r="D8060" s="5" t="str">
        <v>772909437638</v>
      </c>
      <c r="E8060" s="0" t="e">
        <f>+7 (925) 7337369
+7 (926) 5513011
+7 (499) 3224092
+7 (499) 4441305
+7 (800) 4441489</f>
        <v>#NAME?</v>
      </c>
      <c r="F8060" s="5" t="s">
        <v>48640</v>
      </c>
      <c r="G8060" s="5" t="s">
        <v>48641</v>
      </c>
      <c r="H8060" s="26">
        <v>4</v>
      </c>
      <c r="I8060" s="5" t="s">
        <v>48642</v>
      </c>
      <c r="J8060" s="5" t="s">
        <v>48643</v>
      </c>
      <c r="K8060" s="5" t="s">
        <v>344</v>
      </c>
      <c r="L8060" s="5" t="s">
        <v>48644</v>
      </c>
      <c r="M8060" s="27"/>
      <c r="N8060" s="5"/>
      <c r="O8060" s="5" t="str">
        <v>7724469618</v>
      </c>
      <c r="P8060" s="27">
        <v>135000</v>
      </c>
      <c r="Q8060" s="5"/>
      <c r="R8060" s="5" t="s">
        <v>52021</v>
      </c>
      <c r="S8060" s="5" t="s">
        <v>49110</v>
      </c>
      <c r="T8060" s="28">
        <v>321448000</v>
      </c>
      <c r="U8060" s="28">
        <v>129927000</v>
      </c>
      <c r="V8060" s="28">
        <v>180694000</v>
      </c>
      <c r="W8060" s="28"/>
      <c r="X8060" s="28">
        <v>60187000</v>
      </c>
      <c r="Y8060" s="28">
        <v>779167000</v>
      </c>
      <c r="Z8060" s="28">
        <v>-76329000</v>
      </c>
      <c r="AA8060" s="28"/>
      <c r="AB8060" s="28"/>
      <c r="AC8060" s="28">
        <v>101590000</v>
      </c>
      <c r="AD8060" s="28">
        <v>546531000</v>
      </c>
      <c r="AE8060" s="28">
        <v>4628228000</v>
      </c>
      <c r="AF8060" s="28">
        <v>-183368000</v>
      </c>
      <c r="AG8060" s="11"/>
    </row>
    <row r="8061">
      <c r="A8061" s="7" t="s">
        <v>9597</v>
      </c>
      <c r="B8061" s="5" t="s">
        <v>17509</v>
      </c>
      <c r="C8061" s="5" t="s">
        <v>25060</v>
      </c>
      <c r="D8061" s="5" t="str">
        <v>500908172375</v>
      </c>
      <c r="E8061" s="0" t="e">
        <f>+7 (495) 2800560
+7 (495) 6800560</f>
        <v>#NAME?</v>
      </c>
      <c r="F8061" s="5"/>
      <c r="G8061" s="5"/>
      <c r="H8061" s="26">
        <v>8.5</v>
      </c>
      <c r="I8061" s="5" t="s">
        <v>48645</v>
      </c>
      <c r="J8061" s="5" t="s">
        <v>1081</v>
      </c>
      <c r="K8061" s="5" t="s">
        <v>344</v>
      </c>
      <c r="L8061" s="5" t="s">
        <v>48646</v>
      </c>
      <c r="M8061" s="27">
        <v>2632061</v>
      </c>
      <c r="N8061" s="5"/>
      <c r="O8061" s="5" t="str">
        <v>7726757139</v>
      </c>
      <c r="P8061" s="27">
        <v>100000000</v>
      </c>
      <c r="Q8061" s="5" t="s">
        <v>49021</v>
      </c>
      <c r="R8061" s="5"/>
      <c r="S8061" s="5" t="s">
        <v>61313</v>
      </c>
      <c r="T8061" s="28">
        <v>4226000</v>
      </c>
      <c r="U8061" s="28"/>
      <c r="V8061" s="28">
        <v>6244313000</v>
      </c>
      <c r="W8061" s="28"/>
      <c r="X8061" s="28">
        <v>10086814000</v>
      </c>
      <c r="Y8061" s="28">
        <v>96833203000</v>
      </c>
      <c r="Z8061" s="28">
        <v>1149151000</v>
      </c>
      <c r="AA8061" s="28">
        <v>39743496000</v>
      </c>
      <c r="AB8061" s="28">
        <v>2580310000</v>
      </c>
      <c r="AC8061" s="28">
        <v>6811114000</v>
      </c>
      <c r="AD8061" s="28">
        <v>3234081000</v>
      </c>
      <c r="AE8061" s="28">
        <v>4678572000</v>
      </c>
      <c r="AF8061" s="28">
        <v>912561000</v>
      </c>
      <c r="AG8061" s="11"/>
    </row>
    <row r="8062">
      <c r="A8062" s="7" t="s">
        <v>9598</v>
      </c>
      <c r="B8062" s="5" t="s">
        <v>17510</v>
      </c>
      <c r="C8062" s="5" t="s">
        <v>25061</v>
      </c>
      <c r="D8062" s="5" t="str">
        <v>660705015850</v>
      </c>
      <c r="E8062" s="0" t="e">
        <f>+7 (903) 4172197
+7 (961) 598080</f>
        <v>#NAME?</v>
      </c>
      <c r="F8062" s="5" t="s">
        <v>48647</v>
      </c>
      <c r="G8062" s="5"/>
      <c r="H8062" s="26">
        <v>7.5</v>
      </c>
      <c r="I8062" s="5" t="s">
        <v>48648</v>
      </c>
      <c r="J8062" s="5" t="s">
        <v>955</v>
      </c>
      <c r="K8062" s="5" t="s">
        <v>355</v>
      </c>
      <c r="L8062" s="5" t="s">
        <v>48649</v>
      </c>
      <c r="M8062" s="27"/>
      <c r="N8062" s="5"/>
      <c r="O8062" s="5" t="str">
        <v>2372014208</v>
      </c>
      <c r="P8062" s="27">
        <v>10000</v>
      </c>
      <c r="Q8062" s="5" t="s">
        <v>49009</v>
      </c>
      <c r="R8062" s="5" t="s">
        <v>61314</v>
      </c>
      <c r="S8062" s="5" t="s">
        <v>49010</v>
      </c>
      <c r="T8062" s="28">
        <v>1658000</v>
      </c>
      <c r="U8062" s="28"/>
      <c r="V8062" s="28">
        <v>5227490000</v>
      </c>
      <c r="W8062" s="28">
        <v>6442000</v>
      </c>
      <c r="X8062" s="28">
        <v>1858000</v>
      </c>
      <c r="Y8062" s="28">
        <v>12170966000</v>
      </c>
      <c r="Z8062" s="28">
        <v>235296000</v>
      </c>
      <c r="AA8062" s="28">
        <v>8273552000</v>
      </c>
      <c r="AB8062" s="28">
        <v>183774000</v>
      </c>
      <c r="AC8062" s="28">
        <v>3661408000</v>
      </c>
      <c r="AD8062" s="28">
        <v>235306000</v>
      </c>
      <c r="AE8062" s="28">
        <v>31772274000</v>
      </c>
      <c r="AF8062" s="28">
        <v>28894000</v>
      </c>
      <c r="AG8062" s="11"/>
    </row>
    <row r="8063">
      <c r="A8063" s="7" t="s">
        <v>9599</v>
      </c>
      <c r="B8063" s="5" t="s">
        <v>17511</v>
      </c>
      <c r="C8063" s="5" t="s">
        <v>25062</v>
      </c>
      <c r="D8063" s="5" t="str">
        <v>616120885486</v>
      </c>
      <c r="E8063" s="0" t="e">
        <f>+7 (863) 3030061
+7 (928) 2960589</f>
        <v>#NAME?</v>
      </c>
      <c r="F8063" s="5" t="s">
        <v>48650</v>
      </c>
      <c r="G8063" s="5" t="s">
        <v>48651</v>
      </c>
      <c r="H8063" s="26">
        <v>12</v>
      </c>
      <c r="I8063" s="5" t="s">
        <v>48652</v>
      </c>
      <c r="J8063" s="5" t="s">
        <v>27601</v>
      </c>
      <c r="K8063" s="5" t="s">
        <v>344</v>
      </c>
      <c r="L8063" s="5" t="s">
        <v>48653</v>
      </c>
      <c r="M8063" s="27"/>
      <c r="N8063" s="5"/>
      <c r="O8063" s="5" t="str">
        <v>6168043573</v>
      </c>
      <c r="P8063" s="27">
        <v>10000</v>
      </c>
      <c r="Q8063" s="5" t="s">
        <v>61315</v>
      </c>
      <c r="R8063" s="5"/>
      <c r="S8063" s="5" t="s">
        <v>61316</v>
      </c>
      <c r="T8063" s="28">
        <v>5405000</v>
      </c>
      <c r="U8063" s="28"/>
      <c r="V8063" s="28">
        <v>652455000</v>
      </c>
      <c r="W8063" s="28"/>
      <c r="X8063" s="28">
        <v>2306000</v>
      </c>
      <c r="Y8063" s="28">
        <v>1191349000</v>
      </c>
      <c r="Z8063" s="28">
        <v>629501000</v>
      </c>
      <c r="AA8063" s="28">
        <v>1573000</v>
      </c>
      <c r="AB8063" s="28">
        <v>326500000</v>
      </c>
      <c r="AC8063" s="28">
        <v>560263000</v>
      </c>
      <c r="AD8063" s="28">
        <v>629511000</v>
      </c>
      <c r="AE8063" s="28">
        <v>6464726000</v>
      </c>
      <c r="AF8063" s="28">
        <v>89738000</v>
      </c>
      <c r="AG8063" s="11"/>
    </row>
    <row r="8064">
      <c r="A8064" s="7" t="s">
        <v>9600</v>
      </c>
      <c r="B8064" s="5" t="s">
        <v>11908</v>
      </c>
      <c r="C8064" s="5" t="s">
        <v>25063</v>
      </c>
      <c r="D8064" s="5"/>
      <c r="E8064" s="0" t="e">
        <f>+7 (8632) 850907
+7 (800) 5007707
+7 (863) 2532866
+7 (863) 2620495
+7 (863) 2622801
+7 (8632) 618794
+7 (86384) 21970</f>
        <v>#NAME?</v>
      </c>
      <c r="F8064" s="5" t="s">
        <v>48654</v>
      </c>
      <c r="G8064" s="5" t="s">
        <v>48655</v>
      </c>
      <c r="H8064" s="26">
        <v>22</v>
      </c>
      <c r="I8064" s="5"/>
      <c r="J8064" s="5" t="s">
        <v>28451</v>
      </c>
      <c r="K8064" s="5" t="s">
        <v>344</v>
      </c>
      <c r="L8064" s="5"/>
      <c r="M8064" s="27">
        <v>117845275</v>
      </c>
      <c r="N8064" s="5" t="s">
        <v>49437</v>
      </c>
      <c r="O8064" s="5" t="str">
        <v>6167054653</v>
      </c>
      <c r="P8064" s="27">
        <v>100000</v>
      </c>
      <c r="Q8064" s="5"/>
      <c r="R8064" s="5" t="s">
        <v>61317</v>
      </c>
      <c r="S8064" s="5" t="s">
        <v>49425</v>
      </c>
      <c r="T8064" s="28">
        <v>850395000</v>
      </c>
      <c r="U8064" s="28"/>
      <c r="V8064" s="28">
        <v>581781000</v>
      </c>
      <c r="W8064" s="28">
        <v>891525000</v>
      </c>
      <c r="X8064" s="28">
        <v>534188000</v>
      </c>
      <c r="Y8064" s="28">
        <v>3029411000</v>
      </c>
      <c r="Z8064" s="28">
        <v>355577000</v>
      </c>
      <c r="AA8064" s="28"/>
      <c r="AB8064" s="28">
        <v>1537988000</v>
      </c>
      <c r="AC8064" s="28">
        <v>2408859000</v>
      </c>
      <c r="AD8064" s="28">
        <v>609013000</v>
      </c>
      <c r="AE8064" s="28">
        <v>6092070000</v>
      </c>
      <c r="AF8064" s="28">
        <v>265107000</v>
      </c>
      <c r="AG8064" s="11"/>
    </row>
    <row r="8065">
      <c r="A8065" s="7" t="s">
        <v>9601</v>
      </c>
      <c r="B8065" s="5" t="s">
        <v>17512</v>
      </c>
      <c r="C8065" s="5" t="s">
        <v>25064</v>
      </c>
      <c r="D8065" s="5"/>
      <c r="E8065" s="0" t="e">
        <f>+7 (861) 2103810
+7 (861) 2585088
+7 (918) 3836029</f>
        <v>#NAME?</v>
      </c>
      <c r="F8065" s="5" t="s">
        <v>48656</v>
      </c>
      <c r="G8065" s="5" t="s">
        <v>48657</v>
      </c>
      <c r="H8065" s="26">
        <v>7.5</v>
      </c>
      <c r="I8065" s="5" t="s">
        <v>48658</v>
      </c>
      <c r="J8065" s="5" t="s">
        <v>389</v>
      </c>
      <c r="K8065" s="5" t="s">
        <v>355</v>
      </c>
      <c r="L8065" s="5" t="s">
        <v>48659</v>
      </c>
      <c r="M8065" s="27">
        <v>106000</v>
      </c>
      <c r="N8065" s="5" t="s">
        <v>49225</v>
      </c>
      <c r="O8065" s="5" t="str">
        <v>0107029073</v>
      </c>
      <c r="P8065" s="27">
        <v>21012000</v>
      </c>
      <c r="Q8065" s="5" t="s">
        <v>49009</v>
      </c>
      <c r="R8065" s="5"/>
      <c r="S8065" s="5" t="s">
        <v>49010</v>
      </c>
      <c r="T8065" s="28">
        <v>34221000</v>
      </c>
      <c r="U8065" s="28"/>
      <c r="V8065" s="28">
        <v>99530000</v>
      </c>
      <c r="W8065" s="28"/>
      <c r="X8065" s="28">
        <v>98760000</v>
      </c>
      <c r="Y8065" s="28">
        <v>1596598000</v>
      </c>
      <c r="Z8065" s="28">
        <v>469782000</v>
      </c>
      <c r="AA8065" s="28">
        <v>76800000</v>
      </c>
      <c r="AB8065" s="28">
        <v>452281000</v>
      </c>
      <c r="AC8065" s="28">
        <v>1021044000</v>
      </c>
      <c r="AD8065" s="28">
        <v>490794000</v>
      </c>
      <c r="AE8065" s="28">
        <v>6511530000</v>
      </c>
      <c r="AF8065" s="28">
        <v>209392000</v>
      </c>
      <c r="AG8065" s="11"/>
    </row>
    <row r="8066">
      <c r="A8066" s="7" t="s">
        <v>9602</v>
      </c>
      <c r="B8066" s="5" t="s">
        <v>17513</v>
      </c>
      <c r="C8066" s="5" t="s">
        <v>25064</v>
      </c>
      <c r="D8066" s="5"/>
      <c r="E8066" s="0" t="e">
        <f>+7 (961) 2585088</f>
        <v>#NAME?</v>
      </c>
      <c r="F8066" s="5"/>
      <c r="G8066" s="5"/>
      <c r="H8066" s="26">
        <v>12</v>
      </c>
      <c r="I8066" s="5" t="s">
        <v>48660</v>
      </c>
      <c r="J8066" s="5" t="s">
        <v>389</v>
      </c>
      <c r="K8066" s="5" t="s">
        <v>344</v>
      </c>
      <c r="L8066" s="5" t="s">
        <v>48661</v>
      </c>
      <c r="M8066" s="27"/>
      <c r="N8066" s="5"/>
      <c r="O8066" s="5" t="str">
        <v>0107020264</v>
      </c>
      <c r="P8066" s="27">
        <v>12000</v>
      </c>
      <c r="Q8066" s="5" t="s">
        <v>49009</v>
      </c>
      <c r="R8066" s="5"/>
      <c r="S8066" s="5" t="s">
        <v>61318</v>
      </c>
      <c r="T8066" s="28">
        <v>72335000</v>
      </c>
      <c r="U8066" s="28">
        <v>60000000</v>
      </c>
      <c r="V8066" s="28">
        <v>155168000</v>
      </c>
      <c r="W8066" s="28">
        <v>84460000</v>
      </c>
      <c r="X8066" s="28">
        <v>10818000</v>
      </c>
      <c r="Y8066" s="28">
        <v>619313000</v>
      </c>
      <c r="Z8066" s="28">
        <v>531026000</v>
      </c>
      <c r="AA8066" s="28"/>
      <c r="AB8066" s="28">
        <v>15208000</v>
      </c>
      <c r="AC8066" s="28">
        <v>54611000</v>
      </c>
      <c r="AD8066" s="28">
        <v>531038000</v>
      </c>
      <c r="AE8066" s="28">
        <v>3036207000</v>
      </c>
      <c r="AF8066" s="28">
        <v>341219000</v>
      </c>
      <c r="AG8066" s="11"/>
    </row>
    <row r="8067">
      <c r="A8067" s="7" t="s">
        <v>9603</v>
      </c>
      <c r="B8067" s="5" t="s">
        <v>17514</v>
      </c>
      <c r="C8067" s="5" t="s">
        <v>25065</v>
      </c>
      <c r="D8067" s="5" t="str">
        <v>231110868205</v>
      </c>
      <c r="E8067" s="0" t="e">
        <f>+7 (861) 2749093
+7 (861) 2970770
+7 (86157) 72416
+7 (918) 3181128
+7 (918) 3888991
+7 (918) 4873458
+7 (928) 4481127</f>
        <v>#NAME?</v>
      </c>
      <c r="F8067" s="5"/>
      <c r="G8067" s="5"/>
      <c r="H8067" s="26">
        <v>14</v>
      </c>
      <c r="I8067" s="5" t="s">
        <v>48662</v>
      </c>
      <c r="J8067" s="5" t="s">
        <v>48663</v>
      </c>
      <c r="K8067" s="5" t="s">
        <v>355</v>
      </c>
      <c r="L8067" s="5"/>
      <c r="M8067" s="27">
        <v>3808500</v>
      </c>
      <c r="N8067" s="5"/>
      <c r="O8067" s="5" t="str">
        <v>2311114861</v>
      </c>
      <c r="P8067" s="27">
        <v>15000000</v>
      </c>
      <c r="Q8067" s="5" t="s">
        <v>49057</v>
      </c>
      <c r="R8067" s="5"/>
      <c r="S8067" s="5" t="s">
        <v>50961</v>
      </c>
      <c r="T8067" s="28">
        <v>321522000</v>
      </c>
      <c r="U8067" s="28">
        <v>16659062000</v>
      </c>
      <c r="V8067" s="28">
        <v>15282167000</v>
      </c>
      <c r="W8067" s="28">
        <v>216570000</v>
      </c>
      <c r="X8067" s="28">
        <v>9411000</v>
      </c>
      <c r="Y8067" s="28">
        <v>32679411000</v>
      </c>
      <c r="Z8067" s="28">
        <v>785426000</v>
      </c>
      <c r="AA8067" s="28">
        <v>23788869000</v>
      </c>
      <c r="AB8067" s="28">
        <v>770110000</v>
      </c>
      <c r="AC8067" s="28">
        <v>4792996000</v>
      </c>
      <c r="AD8067" s="28">
        <v>3754435000</v>
      </c>
      <c r="AE8067" s="28">
        <v>11475873000</v>
      </c>
      <c r="AF8067" s="28">
        <v>25696000</v>
      </c>
      <c r="AG8067" s="11"/>
    </row>
    <row r="8068">
      <c r="A8068" s="7" t="s">
        <v>9604</v>
      </c>
      <c r="B8068" s="5" t="s">
        <v>17515</v>
      </c>
      <c r="C8068" s="5" t="s">
        <v>25066</v>
      </c>
      <c r="D8068" s="5" t="str">
        <v>261810965524</v>
      </c>
      <c r="E8068" s="0" t="e">
        <f>+7 (87934) 21473
+7 (87934) 29988
+7 (918) 7453393</f>
        <v>#NAME?</v>
      </c>
      <c r="F8068" s="5"/>
      <c r="G8068" s="5" t="s">
        <v>48664</v>
      </c>
      <c r="H8068" s="26">
        <v>14</v>
      </c>
      <c r="I8068" s="5" t="s">
        <v>48665</v>
      </c>
      <c r="J8068" s="5" t="s">
        <v>25429</v>
      </c>
      <c r="K8068" s="5" t="s">
        <v>344</v>
      </c>
      <c r="L8068" s="5"/>
      <c r="M8068" s="27"/>
      <c r="N8068" s="5"/>
      <c r="O8068" s="5" t="str">
        <v>2626039840</v>
      </c>
      <c r="P8068" s="27">
        <v>20000</v>
      </c>
      <c r="Q8068" s="5" t="s">
        <v>49009</v>
      </c>
      <c r="R8068" s="5"/>
      <c r="S8068" s="5" t="s">
        <v>49045</v>
      </c>
      <c r="T8068" s="28">
        <v>159761000</v>
      </c>
      <c r="U8068" s="28"/>
      <c r="V8068" s="28">
        <v>389338000</v>
      </c>
      <c r="W8068" s="28">
        <v>57700000</v>
      </c>
      <c r="X8068" s="28">
        <v>28949000</v>
      </c>
      <c r="Y8068" s="28">
        <v>2494286000</v>
      </c>
      <c r="Z8068" s="28">
        <v>1134329000</v>
      </c>
      <c r="AA8068" s="28"/>
      <c r="AB8068" s="28"/>
      <c r="AC8068" s="28">
        <v>1359937000</v>
      </c>
      <c r="AD8068" s="28">
        <v>1134349000</v>
      </c>
      <c r="AE8068" s="28">
        <v>5448647000</v>
      </c>
      <c r="AF8068" s="28">
        <v>156008000</v>
      </c>
      <c r="AG8068" s="11"/>
    </row>
    <row r="8069">
      <c r="A8069" s="7" t="s">
        <v>9605</v>
      </c>
      <c r="B8069" s="5" t="s">
        <v>17516</v>
      </c>
      <c r="C8069" s="5" t="s">
        <v>25067</v>
      </c>
      <c r="D8069" s="5" t="str">
        <v>614104819965</v>
      </c>
      <c r="E8069" s="0" t="e">
        <f>+7 (8632) 424482
+7 (8632) 424488
+7 (928) 2705492</f>
        <v>#NAME?</v>
      </c>
      <c r="F8069" s="5" t="s">
        <v>48666</v>
      </c>
      <c r="G8069" s="5"/>
      <c r="H8069" s="26">
        <v>12</v>
      </c>
      <c r="I8069" s="5" t="s">
        <v>48667</v>
      </c>
      <c r="J8069" s="5" t="s">
        <v>373</v>
      </c>
      <c r="K8069" s="5" t="s">
        <v>344</v>
      </c>
      <c r="L8069" s="5"/>
      <c r="M8069" s="27">
        <v>1094538</v>
      </c>
      <c r="N8069" s="5" t="s">
        <v>61319</v>
      </c>
      <c r="O8069" s="5" t="str">
        <v>6163105307</v>
      </c>
      <c r="P8069" s="27">
        <v>1000000</v>
      </c>
      <c r="Q8069" s="5" t="s">
        <v>61320</v>
      </c>
      <c r="R8069" s="5"/>
      <c r="S8069" s="5" t="s">
        <v>61321</v>
      </c>
      <c r="T8069" s="28">
        <v>74115000</v>
      </c>
      <c r="U8069" s="28"/>
      <c r="V8069" s="28">
        <v>349693000</v>
      </c>
      <c r="W8069" s="28">
        <v>3924000</v>
      </c>
      <c r="X8069" s="28">
        <v>222533000</v>
      </c>
      <c r="Y8069" s="28">
        <v>746835000</v>
      </c>
      <c r="Z8069" s="28">
        <v>214048000</v>
      </c>
      <c r="AA8069" s="28"/>
      <c r="AB8069" s="28">
        <v>215962000</v>
      </c>
      <c r="AC8069" s="28">
        <v>528359000</v>
      </c>
      <c r="AD8069" s="28">
        <v>215048000</v>
      </c>
      <c r="AE8069" s="28">
        <v>3284408000</v>
      </c>
      <c r="AF8069" s="28">
        <v>39609000</v>
      </c>
      <c r="AG8069" s="11"/>
    </row>
    <row r="8070">
      <c r="A8070" s="7" t="s">
        <v>9606</v>
      </c>
      <c r="B8070" s="5" t="s">
        <v>17517</v>
      </c>
      <c r="C8070" s="5" t="s">
        <v>20272</v>
      </c>
      <c r="D8070" s="5"/>
      <c r="E8070" s="0" t="e">
        <f>+7 (35160) 22258
+7 (922) 6311505
+7 (351) 2624223
+7 (3512) 624217
+7 (3512) 624229
+7 (35138) 92347
+7 (35160) 20139
+7 (35160) 20235
+7 (35160) 21039
+7 (35160) 21280
+7 (35160) 25400
+7 (3517) 785053</f>
        <v>#NAME?</v>
      </c>
      <c r="F8070" s="5" t="s">
        <v>48668</v>
      </c>
      <c r="G8070" s="5" t="s">
        <v>46231</v>
      </c>
      <c r="H8070" s="26">
        <v>15.5</v>
      </c>
      <c r="I8070" s="5" t="s">
        <v>48669</v>
      </c>
      <c r="J8070" s="5" t="s">
        <v>26499</v>
      </c>
      <c r="K8070" s="5" t="s">
        <v>355</v>
      </c>
      <c r="L8070" s="5"/>
      <c r="M8070" s="27">
        <v>194287332</v>
      </c>
      <c r="N8070" s="5" t="s">
        <v>61322</v>
      </c>
      <c r="O8070" s="5" t="str">
        <v>7424024375</v>
      </c>
      <c r="P8070" s="27">
        <v>200100000</v>
      </c>
      <c r="Q8070" s="5" t="s">
        <v>61323</v>
      </c>
      <c r="R8070" s="5" t="s">
        <v>61324</v>
      </c>
      <c r="S8070" s="5" t="s">
        <v>61325</v>
      </c>
      <c r="T8070" s="28">
        <v>28857806000</v>
      </c>
      <c r="U8070" s="28">
        <v>8789432000</v>
      </c>
      <c r="V8070" s="28">
        <v>2562097000</v>
      </c>
      <c r="W8070" s="28">
        <v>5354194000</v>
      </c>
      <c r="X8070" s="28">
        <v>320549000</v>
      </c>
      <c r="Y8070" s="28">
        <v>58973142000</v>
      </c>
      <c r="Z8070" s="28">
        <v>1836829000</v>
      </c>
      <c r="AA8070" s="28">
        <v>9228879000</v>
      </c>
      <c r="AB8070" s="28">
        <v>38107992000</v>
      </c>
      <c r="AC8070" s="28">
        <v>44953151000</v>
      </c>
      <c r="AD8070" s="28">
        <v>2048905000</v>
      </c>
      <c r="AE8070" s="28">
        <v>29914981000</v>
      </c>
      <c r="AF8070" s="28">
        <v>-16323173000</v>
      </c>
      <c r="AG8070" s="11"/>
    </row>
    <row r="8071">
      <c r="A8071" s="7" t="s">
        <v>9607</v>
      </c>
      <c r="B8071" s="5" t="s">
        <v>17518</v>
      </c>
      <c r="C8071" s="5" t="s">
        <v>25068</v>
      </c>
      <c r="D8071" s="5" t="str">
        <v>233903118250</v>
      </c>
      <c r="E8071" s="0" t="e">
        <f>+7 (86147) 24064
+7 (928) 4657550
+7 (86143) 4252
+7 (86147) 86147
+7 (86169) 72499
+7 (918) 2691296</f>
        <v>#NAME?</v>
      </c>
      <c r="F8071" s="5" t="s">
        <v>48670</v>
      </c>
      <c r="G8071" s="5"/>
      <c r="H8071" s="26">
        <v>22.5</v>
      </c>
      <c r="I8071" s="5" t="s">
        <v>48671</v>
      </c>
      <c r="J8071" s="5" t="s">
        <v>373</v>
      </c>
      <c r="K8071" s="5" t="s">
        <v>344</v>
      </c>
      <c r="L8071" s="5" t="s">
        <v>48672</v>
      </c>
      <c r="M8071" s="27">
        <v>20605580</v>
      </c>
      <c r="N8071" s="5" t="s">
        <v>61326</v>
      </c>
      <c r="O8071" s="5" t="str">
        <v>2339012242</v>
      </c>
      <c r="P8071" s="27">
        <v>1139430</v>
      </c>
      <c r="Q8071" s="5" t="s">
        <v>61327</v>
      </c>
      <c r="R8071" s="5"/>
      <c r="S8071" s="5" t="s">
        <v>61328</v>
      </c>
      <c r="T8071" s="28">
        <v>227303000</v>
      </c>
      <c r="U8071" s="28"/>
      <c r="V8071" s="28">
        <v>395090000</v>
      </c>
      <c r="W8071" s="28"/>
      <c r="X8071" s="28">
        <v>555000</v>
      </c>
      <c r="Y8071" s="28">
        <v>941276000</v>
      </c>
      <c r="Z8071" s="28">
        <v>295758000</v>
      </c>
      <c r="AA8071" s="28">
        <v>83599000</v>
      </c>
      <c r="AB8071" s="28">
        <v>134478000</v>
      </c>
      <c r="AC8071" s="28">
        <v>540043000</v>
      </c>
      <c r="AD8071" s="28">
        <v>299346000</v>
      </c>
      <c r="AE8071" s="28">
        <v>3625995000</v>
      </c>
      <c r="AF8071" s="28">
        <v>75855000</v>
      </c>
      <c r="AG8071" s="11"/>
    </row>
    <row r="8072">
      <c r="A8072" s="7" t="s">
        <v>9608</v>
      </c>
      <c r="B8072" s="5" t="s">
        <v>17519</v>
      </c>
      <c r="C8072" s="5" t="s">
        <v>25069</v>
      </c>
      <c r="D8072" s="5" t="str">
        <v>231304315288</v>
      </c>
      <c r="E8072" s="0" t="e">
        <f>+7 (928) 6600426
+7 (86138) 65339
+7 (86138) 65359
+7 (918) 4152283
+7 (928) 2377447</f>
        <v>#NAME?</v>
      </c>
      <c r="F8072" s="5" t="s">
        <v>48673</v>
      </c>
      <c r="G8072" s="5"/>
      <c r="H8072" s="26">
        <v>14.5</v>
      </c>
      <c r="I8072" s="5" t="s">
        <v>48674</v>
      </c>
      <c r="J8072" s="5" t="s">
        <v>25262</v>
      </c>
      <c r="K8072" s="5" t="s">
        <v>344</v>
      </c>
      <c r="L8072" s="5" t="s">
        <v>48675</v>
      </c>
      <c r="M8072" s="27"/>
      <c r="N8072" s="5" t="s">
        <v>61329</v>
      </c>
      <c r="O8072" s="5" t="str">
        <v>2364001043</v>
      </c>
      <c r="P8072" s="27">
        <v>10000</v>
      </c>
      <c r="Q8072" s="5" t="s">
        <v>61330</v>
      </c>
      <c r="R8072" s="5"/>
      <c r="S8072" s="5" t="s">
        <v>61331</v>
      </c>
      <c r="T8072" s="28">
        <v>104159000</v>
      </c>
      <c r="U8072" s="28"/>
      <c r="V8072" s="28">
        <v>294865000</v>
      </c>
      <c r="W8072" s="28">
        <v>25500000</v>
      </c>
      <c r="X8072" s="28">
        <v>3943000</v>
      </c>
      <c r="Y8072" s="28">
        <v>833442000</v>
      </c>
      <c r="Z8072" s="28">
        <v>256298000</v>
      </c>
      <c r="AA8072" s="28">
        <v>233000000</v>
      </c>
      <c r="AB8072" s="28">
        <v>755000</v>
      </c>
      <c r="AC8072" s="28">
        <v>343095000</v>
      </c>
      <c r="AD8072" s="28">
        <v>256308000</v>
      </c>
      <c r="AE8072" s="28">
        <v>3690263000</v>
      </c>
      <c r="AF8072" s="28">
        <v>65195000</v>
      </c>
      <c r="AG8072" s="11"/>
    </row>
    <row r="8073">
      <c r="A8073" s="7" t="s">
        <v>9609</v>
      </c>
      <c r="B8073" s="5" t="s">
        <v>17520</v>
      </c>
      <c r="C8073" s="5" t="s">
        <v>25070</v>
      </c>
      <c r="D8073" s="5" t="str">
        <v>680601792284</v>
      </c>
      <c r="E8073" s="0" t="e">
        <f>+7 (47537) 38020
+7 (47537) 38597
+7 (47559) 23111
+7 (47559) 24076</f>
        <v>#NAME?</v>
      </c>
      <c r="F8073" s="5"/>
      <c r="G8073" s="5"/>
      <c r="H8073" s="26">
        <v>16</v>
      </c>
      <c r="I8073" s="5" t="s">
        <v>48676</v>
      </c>
      <c r="J8073" s="5" t="s">
        <v>26037</v>
      </c>
      <c r="K8073" s="5" t="s">
        <v>344</v>
      </c>
      <c r="L8073" s="5" t="s">
        <v>48677</v>
      </c>
      <c r="M8073" s="27">
        <v>417248</v>
      </c>
      <c r="N8073" s="5"/>
      <c r="O8073" s="5" t="str">
        <v>6806002910</v>
      </c>
      <c r="P8073" s="27">
        <v>40000</v>
      </c>
      <c r="Q8073" s="5" t="s">
        <v>49059</v>
      </c>
      <c r="R8073" s="5" t="s">
        <v>61333</v>
      </c>
      <c r="S8073" s="5" t="s">
        <v>50961</v>
      </c>
      <c r="T8073" s="28">
        <v>9081987000</v>
      </c>
      <c r="U8073" s="28"/>
      <c r="V8073" s="28">
        <v>30274098000</v>
      </c>
      <c r="W8073" s="28">
        <v>2168531000</v>
      </c>
      <c r="X8073" s="28">
        <v>6322000</v>
      </c>
      <c r="Y8073" s="28">
        <v>49043379000</v>
      </c>
      <c r="Z8073" s="28">
        <v>46180525000</v>
      </c>
      <c r="AA8073" s="28"/>
      <c r="AB8073" s="28">
        <v>529376000</v>
      </c>
      <c r="AC8073" s="28">
        <v>1804081000</v>
      </c>
      <c r="AD8073" s="28">
        <v>46180565000</v>
      </c>
      <c r="AE8073" s="28">
        <v>13939564000</v>
      </c>
      <c r="AF8073" s="28">
        <v>6903612000</v>
      </c>
      <c r="AG8073" s="11"/>
    </row>
    <row r="8074">
      <c r="A8074" s="7" t="s">
        <v>9610</v>
      </c>
      <c r="B8074" s="5" t="s">
        <v>17521</v>
      </c>
      <c r="C8074" s="5" t="s">
        <v>25071</v>
      </c>
      <c r="D8074" s="5" t="str">
        <v>780407851608</v>
      </c>
      <c r="E8074" s="0" t="e">
        <f>+7 (812) 2453500
+7 (812) 2453511
+7 (812) 3322937</f>
        <v>#NAME?</v>
      </c>
      <c r="F8074" s="5" t="s">
        <v>48678</v>
      </c>
      <c r="G8074" s="5" t="s">
        <v>48679</v>
      </c>
      <c r="H8074" s="26">
        <v>17.5</v>
      </c>
      <c r="I8074" s="5" t="s">
        <v>39104</v>
      </c>
      <c r="J8074" s="5" t="s">
        <v>25295</v>
      </c>
      <c r="K8074" s="5" t="s">
        <v>344</v>
      </c>
      <c r="L8074" s="5"/>
      <c r="M8074" s="27"/>
      <c r="N8074" s="5" t="s">
        <v>61334</v>
      </c>
      <c r="O8074" s="5" t="str">
        <v>7813323258</v>
      </c>
      <c r="P8074" s="27">
        <v>16281655300</v>
      </c>
      <c r="Q8074" s="5" t="s">
        <v>61335</v>
      </c>
      <c r="R8074" s="5"/>
      <c r="S8074" s="5" t="s">
        <v>49288</v>
      </c>
      <c r="T8074" s="28">
        <v>18198314000</v>
      </c>
      <c r="U8074" s="28"/>
      <c r="V8074" s="28">
        <v>798083000</v>
      </c>
      <c r="W8074" s="28"/>
      <c r="X8074" s="28">
        <v>1865698000</v>
      </c>
      <c r="Y8074" s="28">
        <v>22582524000</v>
      </c>
      <c r="Z8074" s="28">
        <v>-322252000</v>
      </c>
      <c r="AA8074" s="28">
        <v>1718100000</v>
      </c>
      <c r="AB8074" s="28">
        <v>156168000</v>
      </c>
      <c r="AC8074" s="28">
        <v>655043000</v>
      </c>
      <c r="AD8074" s="28">
        <v>18864847000</v>
      </c>
      <c r="AE8074" s="28">
        <v>7144059000</v>
      </c>
      <c r="AF8074" s="28">
        <v>248237000</v>
      </c>
      <c r="AG8074" s="11"/>
    </row>
    <row r="8075">
      <c r="A8075" s="7" t="s">
        <v>9611</v>
      </c>
      <c r="B8075" s="5" t="s">
        <v>17522</v>
      </c>
      <c r="C8075" s="5" t="s">
        <v>25072</v>
      </c>
      <c r="D8075" s="5" t="str">
        <v>861502063239</v>
      </c>
      <c r="E8075" s="0" t="e">
        <f>+7 (345) 2356286
+7 (345) 2356276
+7 (345) 2356279
+7 (345) 2363033
+7 (346) 7363033
+7 (3467) 129125
+7 (3467) 156273
+7 (3467) 192070
+7 (3467) 356276
+7 (3467) 356279
+7 (3467) 356286
+7 (34675) 37002
+7 (34675) 38064</f>
        <v>#NAME?</v>
      </c>
      <c r="F8075" s="5" t="s">
        <v>48680</v>
      </c>
      <c r="G8075" s="5" t="s">
        <v>48681</v>
      </c>
      <c r="H8075" s="26">
        <v>19</v>
      </c>
      <c r="I8075" s="5"/>
      <c r="J8075" s="5" t="s">
        <v>26924</v>
      </c>
      <c r="K8075" s="5" t="s">
        <v>344</v>
      </c>
      <c r="L8075" s="5" t="s">
        <v>48682</v>
      </c>
      <c r="M8075" s="27">
        <v>274000</v>
      </c>
      <c r="N8075" s="5" t="s">
        <v>52205</v>
      </c>
      <c r="O8075" s="5" t="str">
        <v>8601022074</v>
      </c>
      <c r="P8075" s="27">
        <v>5313480000</v>
      </c>
      <c r="Q8075" s="5" t="s">
        <v>61336</v>
      </c>
      <c r="R8075" s="5" t="s">
        <v>57921</v>
      </c>
      <c r="S8075" s="5" t="s">
        <v>61337</v>
      </c>
      <c r="T8075" s="28">
        <v>5027115000</v>
      </c>
      <c r="U8075" s="28"/>
      <c r="V8075" s="28">
        <v>418499000</v>
      </c>
      <c r="W8075" s="28"/>
      <c r="X8075" s="28">
        <v>2691733000</v>
      </c>
      <c r="Y8075" s="28">
        <v>9822993000</v>
      </c>
      <c r="Z8075" s="28">
        <v>2727663000</v>
      </c>
      <c r="AA8075" s="28">
        <v>21210000</v>
      </c>
      <c r="AB8075" s="28">
        <v>68401000</v>
      </c>
      <c r="AC8075" s="28">
        <v>810581000</v>
      </c>
      <c r="AD8075" s="28">
        <v>8306817000</v>
      </c>
      <c r="AE8075" s="28">
        <v>7764591000</v>
      </c>
      <c r="AF8075" s="28">
        <v>1200965000</v>
      </c>
      <c r="AG8075" s="11"/>
    </row>
    <row r="8076">
      <c r="A8076" s="7" t="s">
        <v>9612</v>
      </c>
      <c r="B8076" s="5" t="s">
        <v>17523</v>
      </c>
      <c r="C8076" s="5" t="s">
        <v>25073</v>
      </c>
      <c r="D8076" s="5" t="str">
        <v>262601364627</v>
      </c>
      <c r="E8076" s="0" t="e">
        <f>+7 (8652) 205125
+7 (989) 2275757
+7 (87938) 22545</f>
        <v>#NAME?</v>
      </c>
      <c r="F8076" s="5" t="s">
        <v>48683</v>
      </c>
      <c r="G8076" s="5" t="s">
        <v>48684</v>
      </c>
      <c r="H8076" s="26">
        <v>21.5</v>
      </c>
      <c r="I8076" s="5" t="s">
        <v>48685</v>
      </c>
      <c r="J8076" s="5" t="s">
        <v>25864</v>
      </c>
      <c r="K8076" s="5" t="s">
        <v>344</v>
      </c>
      <c r="L8076" s="5"/>
      <c r="M8076" s="27">
        <v>3143527</v>
      </c>
      <c r="N8076" s="5" t="s">
        <v>61338</v>
      </c>
      <c r="O8076" s="5" t="str">
        <v>2626025781</v>
      </c>
      <c r="P8076" s="27">
        <v>9000000</v>
      </c>
      <c r="Q8076" s="5" t="s">
        <v>61339</v>
      </c>
      <c r="R8076" s="5"/>
      <c r="S8076" s="5" t="s">
        <v>56118</v>
      </c>
      <c r="T8076" s="28">
        <v>156973000</v>
      </c>
      <c r="U8076" s="28"/>
      <c r="V8076" s="28">
        <v>621749000</v>
      </c>
      <c r="W8076" s="28">
        <v>6258000</v>
      </c>
      <c r="X8076" s="28">
        <v>99403000</v>
      </c>
      <c r="Y8076" s="28">
        <v>1199351000</v>
      </c>
      <c r="Z8076" s="28">
        <v>100554000</v>
      </c>
      <c r="AA8076" s="28">
        <v>332152000</v>
      </c>
      <c r="AB8076" s="28">
        <v>339618000</v>
      </c>
      <c r="AC8076" s="28">
        <v>735445000</v>
      </c>
      <c r="AD8076" s="28">
        <v>131754000</v>
      </c>
      <c r="AE8076" s="28">
        <v>3438272000</v>
      </c>
      <c r="AF8076" s="28">
        <v>43519000</v>
      </c>
      <c r="AG8076" s="11"/>
    </row>
    <row r="8077">
      <c r="A8077" s="7" t="s">
        <v>9613</v>
      </c>
      <c r="B8077" s="5" t="s">
        <v>17524</v>
      </c>
      <c r="C8077" s="5" t="s">
        <v>25074</v>
      </c>
      <c r="D8077" s="5" t="str">
        <v>861204587893</v>
      </c>
      <c r="E8077" s="0" t="e">
        <f>+7 (346) 1452783
+7 (3461) 426459
+7 (3463) 452783
+7 (904) 8819229
+7 (922) 4087878
+7 (922) 4403811</f>
        <v>#NAME?</v>
      </c>
      <c r="F8077" s="5" t="s">
        <v>48686</v>
      </c>
      <c r="G8077" s="5" t="s">
        <v>48687</v>
      </c>
      <c r="H8077" s="26">
        <v>14.5</v>
      </c>
      <c r="I8077" s="5" t="s">
        <v>48688</v>
      </c>
      <c r="J8077" s="5" t="s">
        <v>467</v>
      </c>
      <c r="K8077" s="5" t="s">
        <v>380</v>
      </c>
      <c r="L8077" s="5" t="s">
        <v>25434</v>
      </c>
      <c r="M8077" s="27"/>
      <c r="N8077" s="5" t="s">
        <v>61340</v>
      </c>
      <c r="O8077" s="5" t="str">
        <v>8612014660</v>
      </c>
      <c r="P8077" s="27">
        <v>10000</v>
      </c>
      <c r="Q8077" s="5" t="s">
        <v>61341</v>
      </c>
      <c r="R8077" s="5"/>
      <c r="S8077" s="5" t="s">
        <v>49195</v>
      </c>
      <c r="T8077" s="28">
        <v>1398884000</v>
      </c>
      <c r="U8077" s="28"/>
      <c r="V8077" s="28">
        <v>1083469000</v>
      </c>
      <c r="W8077" s="28">
        <v>70770000</v>
      </c>
      <c r="X8077" s="28">
        <v>40048000</v>
      </c>
      <c r="Y8077" s="28">
        <v>2620898000</v>
      </c>
      <c r="Z8077" s="28">
        <v>280935000</v>
      </c>
      <c r="AA8077" s="28">
        <v>73040000</v>
      </c>
      <c r="AB8077" s="28"/>
      <c r="AC8077" s="28">
        <v>2185367000</v>
      </c>
      <c r="AD8077" s="28">
        <v>280945000</v>
      </c>
      <c r="AE8077" s="28">
        <v>4938478000</v>
      </c>
      <c r="AF8077" s="28">
        <v>1881000</v>
      </c>
      <c r="AG8077" s="11"/>
    </row>
    <row r="8078">
      <c r="A8078" s="7" t="s">
        <v>9614</v>
      </c>
      <c r="B8078" s="5" t="s">
        <v>17525</v>
      </c>
      <c r="C8078" s="5" t="s">
        <v>25075</v>
      </c>
      <c r="D8078" s="5" t="str">
        <v>860203088603</v>
      </c>
      <c r="E8078" s="0" t="e">
        <f>+7 (904) 8770062
+7 (346) 2318508</f>
        <v>#NAME?</v>
      </c>
      <c r="F8078" s="5" t="s">
        <v>48689</v>
      </c>
      <c r="G8078" s="5"/>
      <c r="H8078" s="26">
        <v>15</v>
      </c>
      <c r="I8078" s="5" t="s">
        <v>48690</v>
      </c>
      <c r="J8078" s="5" t="s">
        <v>27687</v>
      </c>
      <c r="K8078" s="5" t="s">
        <v>344</v>
      </c>
      <c r="L8078" s="5" t="s">
        <v>48691</v>
      </c>
      <c r="M8078" s="27"/>
      <c r="N8078" s="5" t="s">
        <v>61342</v>
      </c>
      <c r="O8078" s="5" t="str">
        <v>8602068466</v>
      </c>
      <c r="P8078" s="27">
        <v>10000</v>
      </c>
      <c r="Q8078" s="5" t="s">
        <v>61343</v>
      </c>
      <c r="R8078" s="5"/>
      <c r="S8078" s="5" t="s">
        <v>61344</v>
      </c>
      <c r="T8078" s="28">
        <v>937505000</v>
      </c>
      <c r="U8078" s="28"/>
      <c r="V8078" s="28">
        <v>1694883000</v>
      </c>
      <c r="W8078" s="28">
        <v>137500000</v>
      </c>
      <c r="X8078" s="28">
        <v>43028000</v>
      </c>
      <c r="Y8078" s="28">
        <v>4153596000</v>
      </c>
      <c r="Z8078" s="28">
        <v>1017818000</v>
      </c>
      <c r="AA8078" s="28">
        <v>451225000</v>
      </c>
      <c r="AB8078" s="28"/>
      <c r="AC8078" s="28">
        <v>1701785000</v>
      </c>
      <c r="AD8078" s="28">
        <v>1017828000</v>
      </c>
      <c r="AE8078" s="28">
        <v>5774336000</v>
      </c>
      <c r="AF8078" s="28">
        <v>206556000</v>
      </c>
      <c r="AG8078" s="11"/>
    </row>
    <row r="8079">
      <c r="A8079" s="7" t="s">
        <v>9615</v>
      </c>
      <c r="B8079" s="5" t="s">
        <v>17526</v>
      </c>
      <c r="C8079" s="5" t="s">
        <v>25076</v>
      </c>
      <c r="D8079" s="5" t="str">
        <v>740102423602</v>
      </c>
      <c r="E8079" s="0" t="e">
        <f>+7 (3467) 379142
+7 (917) 3556628
+7 (345) 2379142
+7 (3467) 132644
+7 (3467) 161033</f>
        <v>#NAME?</v>
      </c>
      <c r="F8079" s="5" t="s">
        <v>48692</v>
      </c>
      <c r="G8079" s="5"/>
      <c r="H8079" s="26">
        <v>18</v>
      </c>
      <c r="I8079" s="5" t="s">
        <v>48693</v>
      </c>
      <c r="J8079" s="5" t="s">
        <v>364</v>
      </c>
      <c r="K8079" s="5" t="s">
        <v>344</v>
      </c>
      <c r="L8079" s="5" t="s">
        <v>48694</v>
      </c>
      <c r="M8079" s="27"/>
      <c r="N8079" s="5"/>
      <c r="O8079" s="5" t="str">
        <v>8601024360</v>
      </c>
      <c r="P8079" s="27">
        <v>10000</v>
      </c>
      <c r="Q8079" s="5" t="s">
        <v>49009</v>
      </c>
      <c r="R8079" s="5"/>
      <c r="S8079" s="5" t="s">
        <v>49010</v>
      </c>
      <c r="T8079" s="28">
        <v>275948000</v>
      </c>
      <c r="U8079" s="28"/>
      <c r="V8079" s="28">
        <v>509380000</v>
      </c>
      <c r="W8079" s="28">
        <v>3150000</v>
      </c>
      <c r="X8079" s="28">
        <v>86894000</v>
      </c>
      <c r="Y8079" s="28">
        <v>944605000</v>
      </c>
      <c r="Z8079" s="28">
        <v>301209000</v>
      </c>
      <c r="AA8079" s="28">
        <v>53300000</v>
      </c>
      <c r="AB8079" s="28">
        <v>31198000</v>
      </c>
      <c r="AC8079" s="28">
        <v>531032000</v>
      </c>
      <c r="AD8079" s="28">
        <v>301219000</v>
      </c>
      <c r="AE8079" s="28">
        <v>3411248000</v>
      </c>
      <c r="AF8079" s="28">
        <v>55270000</v>
      </c>
      <c r="AG8079" s="11"/>
    </row>
    <row r="8080">
      <c r="A8080" s="7" t="s">
        <v>9616</v>
      </c>
      <c r="B8080" s="5" t="s">
        <v>17527</v>
      </c>
      <c r="C8080" s="5" t="s">
        <v>25077</v>
      </c>
      <c r="D8080" s="5"/>
      <c r="E8080" s="0" t="e">
        <f>+7 (4232) 215760
+7 (4232) 308030
+7 (4232) 302670
+7 (42335) 50431
+7 (42335) 50432
+7 (42335) 54060
+7 (4236) 651699
+7 (42366) 52258
+7 (42366) 99557
+7 (495) 7814414
+7 (800) 5550824</f>
        <v>#NAME?</v>
      </c>
      <c r="F8080" s="5" t="s">
        <v>48695</v>
      </c>
      <c r="G8080" s="5" t="s">
        <v>48696</v>
      </c>
      <c r="H8080" s="26">
        <v>11.5</v>
      </c>
      <c r="I8080" s="5"/>
      <c r="J8080" s="5" t="s">
        <v>27650</v>
      </c>
      <c r="K8080" s="5" t="s">
        <v>344</v>
      </c>
      <c r="L8080" s="5" t="s">
        <v>48697</v>
      </c>
      <c r="M8080" s="27">
        <v>5511993</v>
      </c>
      <c r="N8080" s="5" t="s">
        <v>49374</v>
      </c>
      <c r="O8080" s="5" t="str">
        <v>2508098600</v>
      </c>
      <c r="P8080" s="27">
        <v>100000</v>
      </c>
      <c r="Q8080" s="5" t="s">
        <v>61345</v>
      </c>
      <c r="R8080" s="5"/>
      <c r="S8080" s="5" t="s">
        <v>61346</v>
      </c>
      <c r="T8080" s="28">
        <v>1845689000</v>
      </c>
      <c r="U8080" s="28">
        <v>1276875000</v>
      </c>
      <c r="V8080" s="28">
        <v>4026487000</v>
      </c>
      <c r="W8080" s="28">
        <v>562251000</v>
      </c>
      <c r="X8080" s="28">
        <v>49005000</v>
      </c>
      <c r="Y8080" s="28">
        <v>18212759000</v>
      </c>
      <c r="Z8080" s="28">
        <v>2463972000</v>
      </c>
      <c r="AA8080" s="28">
        <v>6418113000</v>
      </c>
      <c r="AB8080" s="28">
        <v>6427052000</v>
      </c>
      <c r="AC8080" s="28">
        <v>8940839000</v>
      </c>
      <c r="AD8080" s="28">
        <v>2464072000</v>
      </c>
      <c r="AE8080" s="28">
        <v>14234983000</v>
      </c>
      <c r="AF8080" s="28">
        <v>590777000</v>
      </c>
      <c r="AG8080" s="11"/>
    </row>
    <row r="8081">
      <c r="A8081" s="7" t="s">
        <v>9617</v>
      </c>
      <c r="B8081" s="5" t="s">
        <v>17528</v>
      </c>
      <c r="C8081" s="5" t="s">
        <v>25078</v>
      </c>
      <c r="D8081" s="5" t="str">
        <v>611102460788</v>
      </c>
      <c r="E8081" s="0" t="e">
        <f>+7 (928) 772262</f>
        <v>#NAME?</v>
      </c>
      <c r="F8081" s="5" t="s">
        <v>48698</v>
      </c>
      <c r="G8081" s="5" t="s">
        <v>48699</v>
      </c>
      <c r="H8081" s="26">
        <v>8</v>
      </c>
      <c r="I8081" s="5" t="s">
        <v>48700</v>
      </c>
      <c r="J8081" s="5" t="s">
        <v>841</v>
      </c>
      <c r="K8081" s="5" t="s">
        <v>344</v>
      </c>
      <c r="L8081" s="5" t="s">
        <v>32016</v>
      </c>
      <c r="M8081" s="27"/>
      <c r="N8081" s="5"/>
      <c r="O8081" s="5" t="str">
        <v>6167128792</v>
      </c>
      <c r="P8081" s="27">
        <v>10732166</v>
      </c>
      <c r="Q8081" s="5"/>
      <c r="R8081" s="5"/>
      <c r="S8081" s="5" t="s">
        <v>49029</v>
      </c>
      <c r="T8081" s="28">
        <v>54493000</v>
      </c>
      <c r="U8081" s="28">
        <v>10189000</v>
      </c>
      <c r="V8081" s="28">
        <v>180514000</v>
      </c>
      <c r="W8081" s="28">
        <v>8459000</v>
      </c>
      <c r="X8081" s="28">
        <v>13476000</v>
      </c>
      <c r="Y8081" s="28">
        <v>320968000</v>
      </c>
      <c r="Z8081" s="28">
        <v>136501000</v>
      </c>
      <c r="AA8081" s="28"/>
      <c r="AB8081" s="28">
        <v>55100000</v>
      </c>
      <c r="AC8081" s="28">
        <v>170057000</v>
      </c>
      <c r="AD8081" s="28">
        <v>147233000</v>
      </c>
      <c r="AE8081" s="28">
        <v>5159818000</v>
      </c>
      <c r="AF8081" s="28">
        <v>45626000</v>
      </c>
      <c r="AG8081" s="11"/>
    </row>
    <row r="8082">
      <c r="A8082" s="7" t="s">
        <v>9618</v>
      </c>
      <c r="B8082" s="5" t="s">
        <v>17529</v>
      </c>
      <c r="C8082" s="5" t="s">
        <v>25079</v>
      </c>
      <c r="D8082" s="5"/>
      <c r="E8082" s="0" t="e">
        <f>+7 (861) 2056793
+7 (4712) 510645
+7 (4712) 512299
+7 (4712) 514981
+7 (47396) 49090
+7 (475) 2720930
+7 (800) 2507390
+7 (86156) 34774
+7 (900) 3473000
+7 (904) 6916469
+7 (904) 7553845
+7 (904) 7585759
+7 (905) 6726787
+7 (910) 7501157
+7 (911) 4751000</f>
        <v>#NAME?</v>
      </c>
      <c r="F8082" s="5" t="s">
        <v>48701</v>
      </c>
      <c r="G8082" s="5"/>
      <c r="H8082" s="26">
        <v>21.5</v>
      </c>
      <c r="I8082" s="5" t="s">
        <v>48702</v>
      </c>
      <c r="J8082" s="5" t="s">
        <v>26057</v>
      </c>
      <c r="K8082" s="5" t="s">
        <v>344</v>
      </c>
      <c r="L8082" s="5" t="s">
        <v>48703</v>
      </c>
      <c r="M8082" s="27"/>
      <c r="N8082" s="5" t="s">
        <v>61347</v>
      </c>
      <c r="O8082" s="5" t="str">
        <v>2327008107</v>
      </c>
      <c r="P8082" s="27">
        <v>38906720</v>
      </c>
      <c r="Q8082" s="5" t="s">
        <v>49324</v>
      </c>
      <c r="R8082" s="5"/>
      <c r="S8082" s="5" t="s">
        <v>51997</v>
      </c>
      <c r="T8082" s="28">
        <v>945251000</v>
      </c>
      <c r="U8082" s="28"/>
      <c r="V8082" s="28">
        <v>177995000</v>
      </c>
      <c r="W8082" s="28">
        <v>3033000</v>
      </c>
      <c r="X8082" s="28">
        <v>74182000</v>
      </c>
      <c r="Y8082" s="28">
        <v>1835348000</v>
      </c>
      <c r="Z8082" s="28">
        <v>643292000</v>
      </c>
      <c r="AA8082" s="28">
        <v>56148000</v>
      </c>
      <c r="AB8082" s="28">
        <v>941226000</v>
      </c>
      <c r="AC8082" s="28">
        <v>1044543000</v>
      </c>
      <c r="AD8082" s="28">
        <v>682199000</v>
      </c>
      <c r="AE8082" s="28">
        <v>3675868000</v>
      </c>
      <c r="AF8082" s="28">
        <v>195225000</v>
      </c>
      <c r="AG8082" s="11"/>
    </row>
    <row r="8083">
      <c r="A8083" s="7" t="s">
        <v>9619</v>
      </c>
      <c r="B8083" s="5" t="s">
        <v>17530</v>
      </c>
      <c r="C8083" s="5" t="s">
        <v>25080</v>
      </c>
      <c r="D8083" s="5" t="str">
        <v>231214612374</v>
      </c>
      <c r="E8083" s="0" t="e">
        <f>+7 (861) 2981680
+7 (861) 4832182
+7 (86148) 31607
+7 (918) 3138415</f>
        <v>#NAME?</v>
      </c>
      <c r="F8083" s="5" t="s">
        <v>48704</v>
      </c>
      <c r="G8083" s="5"/>
      <c r="H8083" s="26">
        <v>30</v>
      </c>
      <c r="I8083" s="5" t="s">
        <v>48705</v>
      </c>
      <c r="J8083" s="5" t="s">
        <v>48706</v>
      </c>
      <c r="K8083" s="5" t="s">
        <v>344</v>
      </c>
      <c r="L8083" s="5" t="s">
        <v>48707</v>
      </c>
      <c r="M8083" s="27"/>
      <c r="N8083" s="5" t="s">
        <v>50052</v>
      </c>
      <c r="O8083" s="5" t="str">
        <v>2352057820</v>
      </c>
      <c r="P8083" s="27">
        <v>1861000000</v>
      </c>
      <c r="Q8083" s="5" t="s">
        <v>49059</v>
      </c>
      <c r="R8083" s="5" t="s">
        <v>61349</v>
      </c>
      <c r="S8083" s="5" t="s">
        <v>61350</v>
      </c>
      <c r="T8083" s="28">
        <v>8225550000</v>
      </c>
      <c r="U8083" s="28"/>
      <c r="V8083" s="28">
        <v>7213668000</v>
      </c>
      <c r="W8083" s="28">
        <v>371200000</v>
      </c>
      <c r="X8083" s="28">
        <v>2019952000</v>
      </c>
      <c r="Y8083" s="28">
        <v>18749974000</v>
      </c>
      <c r="Z8083" s="28">
        <v>10782249000</v>
      </c>
      <c r="AA8083" s="28">
        <v>2026792000</v>
      </c>
      <c r="AB8083" s="28">
        <v>1381219000</v>
      </c>
      <c r="AC8083" s="28">
        <v>4004023000</v>
      </c>
      <c r="AD8083" s="28">
        <v>14073838000</v>
      </c>
      <c r="AE8083" s="28">
        <v>6198761000</v>
      </c>
      <c r="AF8083" s="28">
        <v>3842222000</v>
      </c>
      <c r="AG8083" s="11"/>
    </row>
    <row r="8084">
      <c r="A8084" s="7" t="s">
        <v>9620</v>
      </c>
      <c r="B8084" s="5" t="s">
        <v>17531</v>
      </c>
      <c r="C8084" s="5" t="s">
        <v>25081</v>
      </c>
      <c r="D8084" s="5" t="str">
        <v>773306039815</v>
      </c>
      <c r="E8084" s="0" t="e">
        <f>+7 (863) 2078383
+7 (8632) 78181</f>
        <v>#NAME?</v>
      </c>
      <c r="F8084" s="5" t="s">
        <v>48708</v>
      </c>
      <c r="G8084" s="5"/>
      <c r="H8084" s="26">
        <v>16</v>
      </c>
      <c r="I8084" s="5" t="s">
        <v>48709</v>
      </c>
      <c r="J8084" s="5" t="s">
        <v>25283</v>
      </c>
      <c r="K8084" s="5" t="s">
        <v>344</v>
      </c>
      <c r="L8084" s="5" t="s">
        <v>28912</v>
      </c>
      <c r="M8084" s="27"/>
      <c r="N8084" s="5"/>
      <c r="O8084" s="5" t="str">
        <v>6165137456</v>
      </c>
      <c r="P8084" s="27">
        <v>4450000</v>
      </c>
      <c r="Q8084" s="5" t="s">
        <v>49021</v>
      </c>
      <c r="R8084" s="5"/>
      <c r="S8084" s="5" t="s">
        <v>61351</v>
      </c>
      <c r="T8084" s="28">
        <v>22581000</v>
      </c>
      <c r="U8084" s="28">
        <v>208310000</v>
      </c>
      <c r="V8084" s="28">
        <v>740913000</v>
      </c>
      <c r="W8084" s="28">
        <v>5000000</v>
      </c>
      <c r="X8084" s="28">
        <v>280119000</v>
      </c>
      <c r="Y8084" s="28">
        <v>1288679000</v>
      </c>
      <c r="Z8084" s="28">
        <v>1064271000</v>
      </c>
      <c r="AA8084" s="28"/>
      <c r="AB8084" s="28"/>
      <c r="AC8084" s="28">
        <v>218603000</v>
      </c>
      <c r="AD8084" s="28">
        <v>1068721000</v>
      </c>
      <c r="AE8084" s="28">
        <v>3988466000</v>
      </c>
      <c r="AF8084" s="28">
        <v>409816000</v>
      </c>
      <c r="AG8084" s="11"/>
    </row>
    <row r="8085">
      <c r="A8085" s="7" t="s">
        <v>9621</v>
      </c>
      <c r="B8085" s="5" t="s">
        <v>17532</v>
      </c>
      <c r="C8085" s="5" t="s">
        <v>25082</v>
      </c>
      <c r="D8085" s="5" t="str">
        <v>650113170393</v>
      </c>
      <c r="E8085" s="0" t="e">
        <f>+7 (424) 2277306
+7 (424) 2425136
+7 (424) 2434133
+7 (42452) 22273
+7 (42455) 21099
+7 (42455) 21109
+7 (42455) 22056
+7 (42455) 22195
+7 (42455) 22265
+7 (42455) 22271
+7 (42455) 22273
+7 (42455) 22674
+7 (42455) 22681
+7 (42455) 22760
+7 (842) 4222195</f>
        <v>#NAME?</v>
      </c>
      <c r="F8085" s="5" t="s">
        <v>48710</v>
      </c>
      <c r="G8085" s="5"/>
      <c r="H8085" s="26">
        <v>24</v>
      </c>
      <c r="I8085" s="5" t="s">
        <v>48711</v>
      </c>
      <c r="J8085" s="5" t="s">
        <v>27650</v>
      </c>
      <c r="K8085" s="5" t="s">
        <v>380</v>
      </c>
      <c r="L8085" s="5" t="s">
        <v>48712</v>
      </c>
      <c r="M8085" s="27">
        <v>1651776</v>
      </c>
      <c r="N8085" s="5" t="s">
        <v>61352</v>
      </c>
      <c r="O8085" s="5" t="str">
        <v>6518005270</v>
      </c>
      <c r="P8085" s="27">
        <v>30015000</v>
      </c>
      <c r="Q8085" s="5"/>
      <c r="R8085" s="5" t="s">
        <v>61353</v>
      </c>
      <c r="S8085" s="5" t="s">
        <v>52472</v>
      </c>
      <c r="T8085" s="28">
        <v>3612560000</v>
      </c>
      <c r="U8085" s="28"/>
      <c r="V8085" s="28">
        <v>867913000</v>
      </c>
      <c r="W8085" s="28">
        <v>98232000</v>
      </c>
      <c r="X8085" s="28">
        <v>1194000</v>
      </c>
      <c r="Y8085" s="28">
        <v>5830816000</v>
      </c>
      <c r="Z8085" s="28">
        <v>2184852000</v>
      </c>
      <c r="AA8085" s="28">
        <v>994243000</v>
      </c>
      <c r="AB8085" s="28">
        <v>1088158000</v>
      </c>
      <c r="AC8085" s="28">
        <v>2514134000</v>
      </c>
      <c r="AD8085" s="28">
        <v>2218829000</v>
      </c>
      <c r="AE8085" s="28">
        <v>3019687000</v>
      </c>
      <c r="AF8085" s="28">
        <v>10669000</v>
      </c>
      <c r="AG8085" s="11"/>
    </row>
    <row r="8086">
      <c r="A8086" s="7" t="s">
        <v>9622</v>
      </c>
      <c r="B8086" s="5" t="s">
        <v>17533</v>
      </c>
      <c r="C8086" s="5" t="s">
        <v>21018</v>
      </c>
      <c r="D8086" s="5"/>
      <c r="E8086" s="0" t="e">
        <f>+7 (38475) 22326
+7 (38475) 72005
+7 (38475) 72089
+7 (38475) 72238
+7 (38475) 72521</f>
        <v>#NAME?</v>
      </c>
      <c r="F8086" s="5" t="s">
        <v>48713</v>
      </c>
      <c r="G8086" s="5" t="s">
        <v>48714</v>
      </c>
      <c r="H8086" s="26">
        <v>29.5</v>
      </c>
      <c r="I8086" s="5" t="s">
        <v>48715</v>
      </c>
      <c r="J8086" s="5" t="s">
        <v>31248</v>
      </c>
      <c r="K8086" s="5" t="s">
        <v>344</v>
      </c>
      <c r="L8086" s="5"/>
      <c r="M8086" s="27">
        <v>1529089147</v>
      </c>
      <c r="N8086" s="5" t="s">
        <v>61354</v>
      </c>
      <c r="O8086" s="5" t="str">
        <v>4214000608</v>
      </c>
      <c r="P8086" s="27">
        <v>1445960</v>
      </c>
      <c r="Q8086" s="5" t="s">
        <v>61355</v>
      </c>
      <c r="R8086" s="5" t="s">
        <v>61356</v>
      </c>
      <c r="S8086" s="5" t="s">
        <v>51304</v>
      </c>
      <c r="T8086" s="28">
        <v>21080701000</v>
      </c>
      <c r="U8086" s="28">
        <v>18177911000</v>
      </c>
      <c r="V8086" s="28">
        <v>25501980000</v>
      </c>
      <c r="W8086" s="28">
        <v>5000000</v>
      </c>
      <c r="X8086" s="28">
        <v>958000</v>
      </c>
      <c r="Y8086" s="28">
        <v>71914608000</v>
      </c>
      <c r="Z8086" s="28">
        <v>-6761727000</v>
      </c>
      <c r="AA8086" s="28">
        <v>56651460000</v>
      </c>
      <c r="AB8086" s="28">
        <v>3177476000</v>
      </c>
      <c r="AC8086" s="28">
        <v>12844364000</v>
      </c>
      <c r="AD8086" s="28">
        <v>-3144001000</v>
      </c>
      <c r="AE8086" s="28">
        <v>57957566000</v>
      </c>
      <c r="AF8086" s="28">
        <v>12024613000</v>
      </c>
      <c r="AG8086" s="11"/>
    </row>
    <row r="8087">
      <c r="A8087" s="7" t="s">
        <v>9623</v>
      </c>
      <c r="B8087" s="5" t="s">
        <v>17534</v>
      </c>
      <c r="C8087" s="5" t="s">
        <v>25083</v>
      </c>
      <c r="D8087" s="5" t="str">
        <v>231303142071</v>
      </c>
      <c r="E8087" s="0" t="e">
        <f>+7 (86138) 76438
+7 (900) 2606960
+7 (86138) 76439</f>
        <v>#NAME?</v>
      </c>
      <c r="F8087" s="5" t="s">
        <v>48716</v>
      </c>
      <c r="G8087" s="5"/>
      <c r="H8087" s="26">
        <v>22.5</v>
      </c>
      <c r="I8087" s="5" t="s">
        <v>48717</v>
      </c>
      <c r="J8087" s="5" t="s">
        <v>25800</v>
      </c>
      <c r="K8087" s="5" t="s">
        <v>344</v>
      </c>
      <c r="L8087" s="5" t="s">
        <v>48718</v>
      </c>
      <c r="M8087" s="27">
        <v>30000</v>
      </c>
      <c r="N8087" s="5" t="s">
        <v>61357</v>
      </c>
      <c r="O8087" s="5" t="str">
        <v>2313016108</v>
      </c>
      <c r="P8087" s="27">
        <v>21000000</v>
      </c>
      <c r="Q8087" s="5" t="s">
        <v>49324</v>
      </c>
      <c r="R8087" s="5"/>
      <c r="S8087" s="5" t="s">
        <v>55850</v>
      </c>
      <c r="T8087" s="28">
        <v>378390000</v>
      </c>
      <c r="U8087" s="28"/>
      <c r="V8087" s="28">
        <v>709752000</v>
      </c>
      <c r="W8087" s="28"/>
      <c r="X8087" s="28">
        <v>23857000</v>
      </c>
      <c r="Y8087" s="28">
        <v>1618039000</v>
      </c>
      <c r="Z8087" s="28">
        <v>758014000</v>
      </c>
      <c r="AA8087" s="28">
        <v>251948000</v>
      </c>
      <c r="AB8087" s="28">
        <v>474004000</v>
      </c>
      <c r="AC8087" s="28">
        <v>568231000</v>
      </c>
      <c r="AD8087" s="28">
        <v>782435000</v>
      </c>
      <c r="AE8087" s="28">
        <v>5743557000</v>
      </c>
      <c r="AF8087" s="28">
        <v>434180000</v>
      </c>
      <c r="AG8087" s="11"/>
    </row>
    <row r="8088">
      <c r="A8088" s="7" t="s">
        <v>9624</v>
      </c>
      <c r="B8088" s="5" t="s">
        <v>17535</v>
      </c>
      <c r="C8088" s="5" t="s">
        <v>25084</v>
      </c>
      <c r="D8088" s="5" t="str">
        <v>091600702674</v>
      </c>
      <c r="E8088" s="0" t="e">
        <f>+7 (969) 92099
+7 (495) 6902362
+7 (495) 6902529</f>
        <v>#NAME?</v>
      </c>
      <c r="F8088" s="5"/>
      <c r="G8088" s="5" t="s">
        <v>48719</v>
      </c>
      <c r="H8088" s="26">
        <v>11</v>
      </c>
      <c r="I8088" s="5"/>
      <c r="J8088" s="5" t="s">
        <v>25910</v>
      </c>
      <c r="K8088" s="5" t="s">
        <v>344</v>
      </c>
      <c r="L8088" s="5" t="s">
        <v>48720</v>
      </c>
      <c r="M8088" s="27">
        <v>107032248</v>
      </c>
      <c r="N8088" s="5" t="s">
        <v>52205</v>
      </c>
      <c r="O8088" s="5" t="str">
        <v>7703760791</v>
      </c>
      <c r="P8088" s="27">
        <v>1924948800</v>
      </c>
      <c r="Q8088" s="5" t="s">
        <v>61359</v>
      </c>
      <c r="R8088" s="5"/>
      <c r="S8088" s="5" t="s">
        <v>56180</v>
      </c>
      <c r="T8088" s="28">
        <v>2559989000</v>
      </c>
      <c r="U8088" s="28">
        <v>130879000</v>
      </c>
      <c r="V8088" s="28">
        <v>714063000</v>
      </c>
      <c r="W8088" s="28">
        <v>103428000</v>
      </c>
      <c r="X8088" s="28">
        <v>1212000</v>
      </c>
      <c r="Y8088" s="28">
        <v>4739550000</v>
      </c>
      <c r="Z8088" s="28">
        <v>793485000</v>
      </c>
      <c r="AA8088" s="28"/>
      <c r="AB8088" s="28">
        <v>1017416000</v>
      </c>
      <c r="AC8088" s="28">
        <v>1756902000</v>
      </c>
      <c r="AD8088" s="28">
        <v>2721319000</v>
      </c>
      <c r="AE8088" s="28">
        <v>3932969000</v>
      </c>
      <c r="AF8088" s="28">
        <v>306948000</v>
      </c>
      <c r="AG8088" s="11"/>
    </row>
    <row r="8089">
      <c r="A8089" s="7" t="s">
        <v>9625</v>
      </c>
      <c r="B8089" s="5" t="s">
        <v>17536</v>
      </c>
      <c r="C8089" s="5" t="s">
        <v>25085</v>
      </c>
      <c r="D8089" s="5"/>
      <c r="E8089" s="0" t="e">
        <f>+7 (38472) 33233
+7 (384) 2233439
+7 (38472) 30146
+7 (38472) 30369
+7 (38472) 39255
+7 (38472) 39256
+7 (38472) 39269
+7 (38475) 50075</f>
        <v>#NAME?</v>
      </c>
      <c r="F8089" s="5" t="s">
        <v>48721</v>
      </c>
      <c r="G8089" s="5" t="s">
        <v>48722</v>
      </c>
      <c r="H8089" s="26">
        <v>16.5</v>
      </c>
      <c r="I8089" s="5" t="s">
        <v>48723</v>
      </c>
      <c r="J8089" s="5" t="s">
        <v>25295</v>
      </c>
      <c r="K8089" s="5" t="s">
        <v>355</v>
      </c>
      <c r="L8089" s="5"/>
      <c r="M8089" s="27">
        <v>14102050</v>
      </c>
      <c r="N8089" s="5" t="s">
        <v>61360</v>
      </c>
      <c r="O8089" s="5" t="str">
        <v>4222010511</v>
      </c>
      <c r="P8089" s="27">
        <v>545547420</v>
      </c>
      <c r="Q8089" s="5" t="s">
        <v>61361</v>
      </c>
      <c r="R8089" s="5" t="s">
        <v>61362</v>
      </c>
      <c r="S8089" s="5" t="s">
        <v>55339</v>
      </c>
      <c r="T8089" s="28">
        <v>2429843000</v>
      </c>
      <c r="U8089" s="28"/>
      <c r="V8089" s="28">
        <v>576890000</v>
      </c>
      <c r="W8089" s="28">
        <v>15800000</v>
      </c>
      <c r="X8089" s="28">
        <v>313000</v>
      </c>
      <c r="Y8089" s="28">
        <v>3835274000</v>
      </c>
      <c r="Z8089" s="28">
        <v>-4054726000</v>
      </c>
      <c r="AA8089" s="28">
        <v>3204652000</v>
      </c>
      <c r="AB8089" s="28"/>
      <c r="AC8089" s="28">
        <v>3249404000</v>
      </c>
      <c r="AD8089" s="28">
        <v>-3117452000</v>
      </c>
      <c r="AE8089" s="28">
        <v>3949936000</v>
      </c>
      <c r="AF8089" s="28">
        <v>-1706719000</v>
      </c>
      <c r="AG8089" s="11"/>
    </row>
    <row r="8090">
      <c r="A8090" s="7" t="s">
        <v>9626</v>
      </c>
      <c r="B8090" s="5" t="s">
        <v>17537</v>
      </c>
      <c r="C8090" s="5" t="s">
        <v>25086</v>
      </c>
      <c r="D8090" s="5" t="str">
        <v>400103661050</v>
      </c>
      <c r="E8090" s="0" t="e">
        <f>+7 (346) 7624150
+7 (34672) 24357
+7 (34676) 24357
+7 (922) 4319616</f>
        <v>#NAME?</v>
      </c>
      <c r="F8090" s="5" t="s">
        <v>48724</v>
      </c>
      <c r="G8090" s="5"/>
      <c r="H8090" s="26">
        <v>11.5</v>
      </c>
      <c r="I8090" s="5" t="s">
        <v>48725</v>
      </c>
      <c r="J8090" s="5" t="s">
        <v>26799</v>
      </c>
      <c r="K8090" s="5" t="s">
        <v>380</v>
      </c>
      <c r="L8090" s="5" t="s">
        <v>48726</v>
      </c>
      <c r="M8090" s="27">
        <v>48547506</v>
      </c>
      <c r="N8090" s="5"/>
      <c r="O8090" s="5" t="str">
        <v>8606014729</v>
      </c>
      <c r="P8090" s="27">
        <v>10000</v>
      </c>
      <c r="Q8090" s="5"/>
      <c r="R8090" s="5" t="s">
        <v>61364</v>
      </c>
      <c r="S8090" s="5" t="s">
        <v>49121</v>
      </c>
      <c r="T8090" s="28">
        <v>5354948000</v>
      </c>
      <c r="U8090" s="28">
        <v>1095366000</v>
      </c>
      <c r="V8090" s="28">
        <v>15199663000</v>
      </c>
      <c r="W8090" s="28"/>
      <c r="X8090" s="28">
        <v>4160000</v>
      </c>
      <c r="Y8090" s="28">
        <v>27616799000</v>
      </c>
      <c r="Z8090" s="28">
        <v>840248000</v>
      </c>
      <c r="AA8090" s="28"/>
      <c r="AB8090" s="28"/>
      <c r="AC8090" s="28">
        <v>26417155000</v>
      </c>
      <c r="AD8090" s="28">
        <v>840258000</v>
      </c>
      <c r="AE8090" s="28">
        <v>16579832000</v>
      </c>
      <c r="AF8090" s="28">
        <v>734194000</v>
      </c>
      <c r="AG8090" s="11"/>
    </row>
    <row r="8091">
      <c r="A8091" s="7" t="s">
        <v>9627</v>
      </c>
      <c r="B8091" s="5" t="s">
        <v>17538</v>
      </c>
      <c r="C8091" s="5" t="s">
        <v>25087</v>
      </c>
      <c r="D8091" s="5" t="str">
        <v>564800960520</v>
      </c>
      <c r="E8091" s="0" t="e">
        <f>+7 (342) 2927747
+7 (342) 2930116
+7 (3422) 540553
+7 (3422) 540554
+7 (3422) 978100
+7 (3422) 978110
+7 (3422) 978111
+7 (3422) 978120
+7 (3422) 978130
+7 (3422) 978140
+7 (3422) 978150
+7 (3422) 978160
+7 (3422) 978170
+7 (3422) 978175
+7 (919) 7058562</f>
        <v>#NAME?</v>
      </c>
      <c r="F8091" s="5" t="s">
        <v>48727</v>
      </c>
      <c r="G8091" s="5" t="s">
        <v>48728</v>
      </c>
      <c r="H8091" s="26">
        <v>19</v>
      </c>
      <c r="I8091" s="5" t="s">
        <v>48729</v>
      </c>
      <c r="J8091" s="5" t="s">
        <v>25231</v>
      </c>
      <c r="K8091" s="5" t="s">
        <v>344</v>
      </c>
      <c r="L8091" s="5" t="s">
        <v>48730</v>
      </c>
      <c r="M8091" s="27"/>
      <c r="N8091" s="5" t="s">
        <v>61365</v>
      </c>
      <c r="O8091" s="5" t="str">
        <v>5948025679</v>
      </c>
      <c r="P8091" s="27">
        <v>4817070</v>
      </c>
      <c r="Q8091" s="5" t="s">
        <v>49009</v>
      </c>
      <c r="R8091" s="5"/>
      <c r="S8091" s="5" t="s">
        <v>49487</v>
      </c>
      <c r="T8091" s="28">
        <v>2341571000</v>
      </c>
      <c r="U8091" s="28">
        <v>11000</v>
      </c>
      <c r="V8091" s="28">
        <v>768231000</v>
      </c>
      <c r="W8091" s="28">
        <v>438500000</v>
      </c>
      <c r="X8091" s="28">
        <v>68149000</v>
      </c>
      <c r="Y8091" s="28">
        <v>12138433000</v>
      </c>
      <c r="Z8091" s="28">
        <v>7523337000</v>
      </c>
      <c r="AA8091" s="28">
        <v>2515894000</v>
      </c>
      <c r="AB8091" s="28">
        <v>800000000</v>
      </c>
      <c r="AC8091" s="28">
        <v>1585014000</v>
      </c>
      <c r="AD8091" s="28">
        <v>7868797000</v>
      </c>
      <c r="AE8091" s="28">
        <v>21070348000</v>
      </c>
      <c r="AF8091" s="28">
        <v>1727657000</v>
      </c>
      <c r="AG8091" s="11"/>
    </row>
    <row r="8092">
      <c r="A8092" s="7" t="s">
        <v>9628</v>
      </c>
      <c r="B8092" s="5" t="s">
        <v>17539</v>
      </c>
      <c r="C8092" s="5" t="s">
        <v>25088</v>
      </c>
      <c r="D8092" s="5" t="str">
        <v>190106584726</v>
      </c>
      <c r="E8092" s="0" t="e">
        <f>+7 (495) 7558273
+7 (495) 7373037
+7 (495) 7373070
+7 (8452) 477873
+7 (8452) 477874
+7 (84573) 23904
+7 (84573) 23906
+7 (84573) 23917
+7 (84573) 23961
+7 (84573) 24000
+7 (84573) 24022
+7 (84573) 24023</f>
        <v>#NAME?</v>
      </c>
      <c r="F8092" s="5" t="s">
        <v>48731</v>
      </c>
      <c r="G8092" s="5"/>
      <c r="H8092" s="26">
        <v>20.5</v>
      </c>
      <c r="I8092" s="5" t="s">
        <v>48732</v>
      </c>
      <c r="J8092" s="5" t="s">
        <v>31686</v>
      </c>
      <c r="K8092" s="5" t="s">
        <v>344</v>
      </c>
      <c r="L8092" s="5" t="s">
        <v>48733</v>
      </c>
      <c r="M8092" s="27">
        <v>4231404</v>
      </c>
      <c r="N8092" s="5"/>
      <c r="O8092" s="5" t="str">
        <v>7709385280</v>
      </c>
      <c r="P8092" s="27">
        <v>186000000</v>
      </c>
      <c r="Q8092" s="5" t="s">
        <v>49059</v>
      </c>
      <c r="R8092" s="5"/>
      <c r="S8092" s="5" t="s">
        <v>50378</v>
      </c>
      <c r="T8092" s="28">
        <v>3060802000</v>
      </c>
      <c r="U8092" s="28">
        <v>700233000</v>
      </c>
      <c r="V8092" s="28">
        <v>2076447000</v>
      </c>
      <c r="W8092" s="28">
        <v>566411000</v>
      </c>
      <c r="X8092" s="28">
        <v>409000</v>
      </c>
      <c r="Y8092" s="28">
        <v>6909682000</v>
      </c>
      <c r="Z8092" s="28">
        <v>4357459000</v>
      </c>
      <c r="AA8092" s="28">
        <v>446512000</v>
      </c>
      <c r="AB8092" s="28">
        <v>353797000</v>
      </c>
      <c r="AC8092" s="28">
        <v>1615719000</v>
      </c>
      <c r="AD8092" s="28">
        <v>4543459000</v>
      </c>
      <c r="AE8092" s="28">
        <v>10602841000</v>
      </c>
      <c r="AF8092" s="28">
        <v>790069000</v>
      </c>
      <c r="AG8092" s="11"/>
    </row>
    <row r="8093">
      <c r="A8093" s="7" t="s">
        <v>9629</v>
      </c>
      <c r="B8093" s="5" t="s">
        <v>17540</v>
      </c>
      <c r="C8093" s="5" t="s">
        <v>25089</v>
      </c>
      <c r="D8093" s="5" t="str">
        <v>720512705407</v>
      </c>
      <c r="E8093" s="0" t="e">
        <f>+7 (904) 8733448</f>
        <v>#NAME?</v>
      </c>
      <c r="F8093" s="5" t="s">
        <v>48734</v>
      </c>
      <c r="G8093" s="5"/>
      <c r="H8093" s="26">
        <v>3.5</v>
      </c>
      <c r="I8093" s="5"/>
      <c r="J8093" s="5" t="s">
        <v>48735</v>
      </c>
      <c r="K8093" s="5"/>
      <c r="L8093" s="5"/>
      <c r="M8093" s="27"/>
      <c r="N8093" s="5" t="s">
        <v>61366</v>
      </c>
      <c r="O8093" s="5" t="str">
        <v>7205031203</v>
      </c>
      <c r="P8093" s="27"/>
      <c r="Q8093" s="5"/>
      <c r="R8093" s="5"/>
      <c r="S8093" s="5" t="s">
        <v>49991</v>
      </c>
      <c r="T8093" s="28">
        <v>717496000</v>
      </c>
      <c r="U8093" s="28"/>
      <c r="V8093" s="28">
        <v>380000000</v>
      </c>
      <c r="W8093" s="28"/>
      <c r="X8093" s="28">
        <v>693401000</v>
      </c>
      <c r="Y8093" s="28">
        <v>1790897000</v>
      </c>
      <c r="Z8093" s="28"/>
      <c r="AA8093" s="28"/>
      <c r="AB8093" s="28"/>
      <c r="AC8093" s="28"/>
      <c r="AD8093" s="28">
        <v>1790897000</v>
      </c>
      <c r="AE8093" s="28">
        <v>3014860000</v>
      </c>
      <c r="AF8093" s="28">
        <v>18763000</v>
      </c>
      <c r="AG8093" s="11"/>
    </row>
    <row r="8094">
      <c r="A8094" s="7" t="s">
        <v>9630</v>
      </c>
      <c r="B8094" s="5" t="s">
        <v>17541</v>
      </c>
      <c r="C8094" s="5" t="s">
        <v>25090</v>
      </c>
      <c r="D8094" s="5" t="str">
        <v>772864259527</v>
      </c>
      <c r="E8094" s="0" t="e">
        <f>+7 (383) 2554780
+7 (3952) 740668
+7 (485) 2288250
+7 (495) 5106067
+7 (499) 5106067
+7 (812) 3329621
+7 (861) 2680026
+7 (8632) 975860
+7 (922) 1285171
+7 (985) 1698483</f>
        <v>#NAME?</v>
      </c>
      <c r="F8094" s="5" t="s">
        <v>48736</v>
      </c>
      <c r="G8094" s="5" t="s">
        <v>48737</v>
      </c>
      <c r="H8094" s="26">
        <v>16</v>
      </c>
      <c r="I8094" s="5" t="s">
        <v>48738</v>
      </c>
      <c r="J8094" s="5" t="s">
        <v>25419</v>
      </c>
      <c r="K8094" s="5" t="s">
        <v>344</v>
      </c>
      <c r="L8094" s="5" t="s">
        <v>48739</v>
      </c>
      <c r="M8094" s="27"/>
      <c r="N8094" s="5" t="s">
        <v>61367</v>
      </c>
      <c r="O8094" s="5" t="str">
        <v>7709728586</v>
      </c>
      <c r="P8094" s="27">
        <v>35000</v>
      </c>
      <c r="Q8094" s="5" t="s">
        <v>49009</v>
      </c>
      <c r="R8094" s="5"/>
      <c r="S8094" s="5" t="s">
        <v>49256</v>
      </c>
      <c r="T8094" s="28">
        <v>99620000</v>
      </c>
      <c r="U8094" s="28">
        <v>755000</v>
      </c>
      <c r="V8094" s="28">
        <v>539401000</v>
      </c>
      <c r="W8094" s="28"/>
      <c r="X8094" s="28">
        <v>317945000</v>
      </c>
      <c r="Y8094" s="28">
        <v>1638128000</v>
      </c>
      <c r="Z8094" s="28">
        <v>-212483000</v>
      </c>
      <c r="AA8094" s="28"/>
      <c r="AB8094" s="28">
        <v>564190000</v>
      </c>
      <c r="AC8094" s="28">
        <v>1026108000</v>
      </c>
      <c r="AD8094" s="28">
        <v>582309000</v>
      </c>
      <c r="AE8094" s="28">
        <v>3306867000</v>
      </c>
      <c r="AF8094" s="28">
        <v>456395000</v>
      </c>
      <c r="AG8094" s="11"/>
    </row>
    <row r="8095">
      <c r="A8095" s="7" t="s">
        <v>9631</v>
      </c>
      <c r="B8095" s="5" t="s">
        <v>17542</v>
      </c>
      <c r="C8095" s="5" t="s">
        <v>25091</v>
      </c>
      <c r="D8095" s="5" t="str">
        <v>472000586708</v>
      </c>
      <c r="E8095" s="0" t="e">
        <f>+7 (482) 2776300
+7 (482) 2776305
+7 (482) 2776306</f>
        <v>#NAME?</v>
      </c>
      <c r="F8095" s="5"/>
      <c r="G8095" s="5" t="s">
        <v>48740</v>
      </c>
      <c r="H8095" s="26">
        <v>16.5</v>
      </c>
      <c r="I8095" s="5" t="s">
        <v>48741</v>
      </c>
      <c r="J8095" s="5" t="s">
        <v>26355</v>
      </c>
      <c r="K8095" s="5" t="s">
        <v>344</v>
      </c>
      <c r="L8095" s="5" t="s">
        <v>48742</v>
      </c>
      <c r="M8095" s="27"/>
      <c r="N8095" s="5"/>
      <c r="O8095" s="5" t="str">
        <v>6952000100</v>
      </c>
      <c r="P8095" s="27">
        <v>511462000</v>
      </c>
      <c r="Q8095" s="5" t="s">
        <v>49009</v>
      </c>
      <c r="R8095" s="5"/>
      <c r="S8095" s="5" t="s">
        <v>49066</v>
      </c>
      <c r="T8095" s="28">
        <v>1226056000</v>
      </c>
      <c r="U8095" s="28"/>
      <c r="V8095" s="28">
        <v>2570943000</v>
      </c>
      <c r="W8095" s="28"/>
      <c r="X8095" s="28">
        <v>350276000</v>
      </c>
      <c r="Y8095" s="28">
        <v>4964704000</v>
      </c>
      <c r="Z8095" s="28">
        <v>666274000</v>
      </c>
      <c r="AA8095" s="28">
        <v>1769129000</v>
      </c>
      <c r="AB8095" s="28">
        <v>297858000</v>
      </c>
      <c r="AC8095" s="28">
        <v>797034000</v>
      </c>
      <c r="AD8095" s="28">
        <v>1633548000</v>
      </c>
      <c r="AE8095" s="28">
        <v>7091813000</v>
      </c>
      <c r="AF8095" s="28">
        <v>375567000</v>
      </c>
      <c r="AG8095" s="11"/>
    </row>
    <row r="8096">
      <c r="A8096" s="7" t="s">
        <v>9632</v>
      </c>
      <c r="B8096" s="5" t="s">
        <v>17543</v>
      </c>
      <c r="C8096" s="5" t="s">
        <v>25092</v>
      </c>
      <c r="D8096" s="5" t="str">
        <v>402500317057</v>
      </c>
      <c r="F8096" s="5"/>
      <c r="G8096" s="5" t="s">
        <v>48743</v>
      </c>
      <c r="H8096" s="26">
        <v>5.5</v>
      </c>
      <c r="I8096" s="5" t="s">
        <v>48744</v>
      </c>
      <c r="J8096" s="5" t="s">
        <v>30907</v>
      </c>
      <c r="K8096" s="5" t="s">
        <v>344</v>
      </c>
      <c r="L8096" s="5" t="s">
        <v>48745</v>
      </c>
      <c r="M8096" s="27"/>
      <c r="N8096" s="5"/>
      <c r="O8096" s="5" t="str">
        <v>4025450626</v>
      </c>
      <c r="P8096" s="27">
        <v>200000</v>
      </c>
      <c r="Q8096" s="5"/>
      <c r="R8096" s="5" t="s">
        <v>61368</v>
      </c>
      <c r="S8096" s="5" t="s">
        <v>49029</v>
      </c>
      <c r="T8096" s="28">
        <v>1164000</v>
      </c>
      <c r="U8096" s="28">
        <v>540000</v>
      </c>
      <c r="V8096" s="28">
        <v>5646265000</v>
      </c>
      <c r="W8096" s="28">
        <v>10000</v>
      </c>
      <c r="X8096" s="28">
        <v>4004000</v>
      </c>
      <c r="Y8096" s="28">
        <v>5811326000</v>
      </c>
      <c r="Z8096" s="28">
        <v>72512000</v>
      </c>
      <c r="AA8096" s="28">
        <v>175587000</v>
      </c>
      <c r="AB8096" s="28">
        <v>27418000</v>
      </c>
      <c r="AC8096" s="28">
        <v>5563014000</v>
      </c>
      <c r="AD8096" s="28">
        <v>72712000</v>
      </c>
      <c r="AE8096" s="28">
        <v>19536349000</v>
      </c>
      <c r="AF8096" s="28">
        <v>36780000</v>
      </c>
      <c r="AG8096" s="11"/>
    </row>
    <row r="8097">
      <c r="A8097" s="7" t="s">
        <v>9633</v>
      </c>
      <c r="B8097" s="5" t="s">
        <v>17544</v>
      </c>
      <c r="C8097" s="5" t="s">
        <v>25093</v>
      </c>
      <c r="D8097" s="5" t="str">
        <v>027415489419</v>
      </c>
      <c r="E8097" s="0" t="e">
        <f>+7 (3412) 919322
+7 (3412) 933346
+7 (3422) 251297
+7 (343) 2535996
+7 (343) 3023597
+7 (343) 3023646
+7 (343) 3117885
+7 (3435) 379660
+7 (345) 2441760
+7 (345) 2492462
+7 (345) 2581370
+7 (346) 2270227
+7 (346) 2270329
+7 (3466) 491611
+7 (3472) 163432</f>
        <v>#NAME?</v>
      </c>
      <c r="F8097" s="5" t="s">
        <v>48746</v>
      </c>
      <c r="G8097" s="5"/>
      <c r="H8097" s="26">
        <v>15.5</v>
      </c>
      <c r="I8097" s="5" t="s">
        <v>48747</v>
      </c>
      <c r="J8097" s="5" t="s">
        <v>25195</v>
      </c>
      <c r="K8097" s="5" t="s">
        <v>344</v>
      </c>
      <c r="L8097" s="5"/>
      <c r="M8097" s="27"/>
      <c r="N8097" s="5"/>
      <c r="O8097" s="5" t="str">
        <v>7704656218</v>
      </c>
      <c r="P8097" s="27">
        <v>241618244</v>
      </c>
      <c r="Q8097" s="5" t="s">
        <v>49009</v>
      </c>
      <c r="R8097" s="5"/>
      <c r="S8097" s="5" t="s">
        <v>49010</v>
      </c>
      <c r="T8097" s="28">
        <v>224722000</v>
      </c>
      <c r="U8097" s="28"/>
      <c r="V8097" s="28">
        <v>579846000</v>
      </c>
      <c r="W8097" s="28"/>
      <c r="X8097" s="28">
        <v>153241000</v>
      </c>
      <c r="Y8097" s="28">
        <v>5635609000</v>
      </c>
      <c r="Z8097" s="28">
        <v>1466764000</v>
      </c>
      <c r="AA8097" s="28"/>
      <c r="AB8097" s="28">
        <v>2117691000</v>
      </c>
      <c r="AC8097" s="28">
        <v>3904815000</v>
      </c>
      <c r="AD8097" s="28">
        <v>1708382000</v>
      </c>
      <c r="AE8097" s="28">
        <v>12874408000</v>
      </c>
      <c r="AF8097" s="28">
        <v>1532975000</v>
      </c>
      <c r="AG8097" s="11"/>
    </row>
    <row r="8098">
      <c r="A8098" s="7" t="s">
        <v>9634</v>
      </c>
      <c r="B8098" s="5" t="s">
        <v>17545</v>
      </c>
      <c r="C8098" s="5" t="s">
        <v>25094</v>
      </c>
      <c r="D8098" s="5" t="str">
        <v>773001996104</v>
      </c>
      <c r="E8098" s="0" t="e">
        <f>+7 (343) 2874455
+7 (383) 3281727
+7 (473) 2801121
+7 (495) 5029617
+7 (495) 7805297
+7 (495) 7809777
+7 (800) 3335256
+7 (800) 5056317
+7 (800) 5555977
+7 (812) 6001300
+7 (831) 2822050
+7 (861) 2040778</f>
        <v>#NAME?</v>
      </c>
      <c r="F8098" s="5" t="s">
        <v>48748</v>
      </c>
      <c r="G8098" s="5" t="s">
        <v>48749</v>
      </c>
      <c r="H8098" s="26">
        <v>20</v>
      </c>
      <c r="I8098" s="5" t="s">
        <v>48750</v>
      </c>
      <c r="J8098" s="5" t="s">
        <v>31548</v>
      </c>
      <c r="K8098" s="5" t="s">
        <v>344</v>
      </c>
      <c r="L8098" s="5" t="s">
        <v>48751</v>
      </c>
      <c r="M8098" s="27"/>
      <c r="N8098" s="5" t="s">
        <v>61370</v>
      </c>
      <c r="O8098" s="5" t="str">
        <v>7715364168</v>
      </c>
      <c r="P8098" s="27">
        <v>7964100</v>
      </c>
      <c r="Q8098" s="5" t="s">
        <v>49009</v>
      </c>
      <c r="R8098" s="5"/>
      <c r="S8098" s="5" t="s">
        <v>49139</v>
      </c>
      <c r="T8098" s="28">
        <v>458836000</v>
      </c>
      <c r="U8098" s="28"/>
      <c r="V8098" s="28">
        <v>2149716000</v>
      </c>
      <c r="W8098" s="28"/>
      <c r="X8098" s="28">
        <v>998761000</v>
      </c>
      <c r="Y8098" s="28">
        <v>8699774000</v>
      </c>
      <c r="Z8098" s="28">
        <v>5149871000</v>
      </c>
      <c r="AA8098" s="28"/>
      <c r="AB8098" s="28">
        <v>250000000</v>
      </c>
      <c r="AC8098" s="28">
        <v>3006939000</v>
      </c>
      <c r="AD8098" s="28">
        <v>5692835000</v>
      </c>
      <c r="AE8098" s="28">
        <v>8513920000</v>
      </c>
      <c r="AF8098" s="28">
        <v>1228749000</v>
      </c>
      <c r="AG8098" s="11"/>
    </row>
    <row r="8099">
      <c r="A8099" s="7" t="s">
        <v>9635</v>
      </c>
      <c r="B8099" s="5" t="s">
        <v>17546</v>
      </c>
      <c r="C8099" s="5" t="s">
        <v>25095</v>
      </c>
      <c r="D8099" s="5" t="str">
        <v>550110838288</v>
      </c>
      <c r="E8099" s="0" t="e">
        <f>+7 (381) 2360360
+7 (381) 2530230
+7 (381) 2552230
+7 (381) 2999660
+7 (381) 2470222
+7 (381) 2532230
+7 (381) 2532274
+7 (381) 2906006
+7 (913) 6236736
+7 (913) 6301299</f>
        <v>#NAME?</v>
      </c>
      <c r="F8099" s="5" t="s">
        <v>48752</v>
      </c>
      <c r="G8099" s="5" t="s">
        <v>48753</v>
      </c>
      <c r="H8099" s="26">
        <v>11</v>
      </c>
      <c r="I8099" s="5" t="s">
        <v>48754</v>
      </c>
      <c r="J8099" s="5" t="s">
        <v>27115</v>
      </c>
      <c r="K8099" s="5" t="s">
        <v>380</v>
      </c>
      <c r="L8099" s="5"/>
      <c r="M8099" s="27">
        <v>295642</v>
      </c>
      <c r="N8099" s="5" t="s">
        <v>61371</v>
      </c>
      <c r="O8099" s="5" t="str">
        <v>5503234847</v>
      </c>
      <c r="P8099" s="27">
        <v>10000</v>
      </c>
      <c r="Q8099" s="5" t="s">
        <v>61372</v>
      </c>
      <c r="R8099" s="5" t="s">
        <v>58163</v>
      </c>
      <c r="S8099" s="5" t="s">
        <v>61373</v>
      </c>
      <c r="T8099" s="28">
        <v>68741000</v>
      </c>
      <c r="U8099" s="28"/>
      <c r="V8099" s="28">
        <v>416277000</v>
      </c>
      <c r="W8099" s="28"/>
      <c r="X8099" s="28">
        <v>35302000</v>
      </c>
      <c r="Y8099" s="28">
        <v>661349000</v>
      </c>
      <c r="Z8099" s="28">
        <v>-188456000</v>
      </c>
      <c r="AA8099" s="28">
        <v>235059000</v>
      </c>
      <c r="AB8099" s="28">
        <v>223003000</v>
      </c>
      <c r="AC8099" s="28">
        <v>614736000</v>
      </c>
      <c r="AD8099" s="28">
        <v>-188446000</v>
      </c>
      <c r="AE8099" s="28">
        <v>4392838000</v>
      </c>
      <c r="AF8099" s="28">
        <v>254871000</v>
      </c>
      <c r="AG8099" s="11"/>
    </row>
    <row r="8100">
      <c r="A8100" s="7" t="s">
        <v>9636</v>
      </c>
      <c r="B8100" s="5" t="s">
        <v>17547</v>
      </c>
      <c r="C8100" s="5" t="s">
        <v>25096</v>
      </c>
      <c r="D8100" s="5" t="str">
        <v>773603005826</v>
      </c>
      <c r="E8100" s="0" t="e">
        <f>+7 (495) 4332755
+7 (495) 4341020
+7 (495) 4344601
+7 (495) 4344629
+7 (495) 4344638
+7 (495) 4344647
+7 (495) 4344665
+7 (499) 7374841
+7 (800) 5551075
+7 (916) 3549938</f>
        <v>#NAME?</v>
      </c>
      <c r="F8100" s="5" t="s">
        <v>48755</v>
      </c>
      <c r="G8100" s="5" t="s">
        <v>48756</v>
      </c>
      <c r="H8100" s="26">
        <v>29</v>
      </c>
      <c r="I8100" s="5"/>
      <c r="J8100" s="5" t="s">
        <v>678</v>
      </c>
      <c r="K8100" s="5" t="s">
        <v>344</v>
      </c>
      <c r="L8100" s="5" t="s">
        <v>48757</v>
      </c>
      <c r="M8100" s="27"/>
      <c r="N8100" s="5" t="s">
        <v>61374</v>
      </c>
      <c r="O8100" s="5" t="str">
        <v>7707003721</v>
      </c>
      <c r="P8100" s="27">
        <v>500</v>
      </c>
      <c r="Q8100" s="5" t="s">
        <v>61375</v>
      </c>
      <c r="R8100" s="5"/>
      <c r="S8100" s="5" t="s">
        <v>49173</v>
      </c>
      <c r="T8100" s="28">
        <v>117869000</v>
      </c>
      <c r="U8100" s="28">
        <v>85713000</v>
      </c>
      <c r="V8100" s="28">
        <v>894177000</v>
      </c>
      <c r="W8100" s="28">
        <v>20000000</v>
      </c>
      <c r="X8100" s="28">
        <v>62712000</v>
      </c>
      <c r="Y8100" s="28">
        <v>2342955000</v>
      </c>
      <c r="Z8100" s="28">
        <v>1036323000</v>
      </c>
      <c r="AA8100" s="28">
        <v>386048000</v>
      </c>
      <c r="AB8100" s="28">
        <v>104000</v>
      </c>
      <c r="AC8100" s="28">
        <v>758544000</v>
      </c>
      <c r="AD8100" s="28">
        <v>1036336000</v>
      </c>
      <c r="AE8100" s="28">
        <v>3232692000</v>
      </c>
      <c r="AF8100" s="28">
        <v>312468000</v>
      </c>
      <c r="AG8100" s="11"/>
    </row>
    <row r="8101">
      <c r="A8101" s="7" t="s">
        <v>9637</v>
      </c>
      <c r="B8101" s="5" t="s">
        <v>17548</v>
      </c>
      <c r="C8101" s="5" t="s">
        <v>25097</v>
      </c>
      <c r="D8101" s="5" t="str">
        <v>770979069649</v>
      </c>
      <c r="E8101" s="0" t="e">
        <f>+7 (495) 9812131
+7 (495) 2299574
+7 (495) 6299570
+7 (495) 9873786
+7 (499) 5516611</f>
        <v>#NAME?</v>
      </c>
      <c r="F8101" s="5" t="s">
        <v>48758</v>
      </c>
      <c r="G8101" s="5" t="s">
        <v>48759</v>
      </c>
      <c r="H8101" s="26">
        <v>14</v>
      </c>
      <c r="I8101" s="5" t="s">
        <v>48760</v>
      </c>
      <c r="J8101" s="5" t="s">
        <v>25195</v>
      </c>
      <c r="K8101" s="5" t="s">
        <v>355</v>
      </c>
      <c r="L8101" s="5" t="s">
        <v>48761</v>
      </c>
      <c r="M8101" s="27">
        <v>47015252</v>
      </c>
      <c r="N8101" s="5" t="s">
        <v>61376</v>
      </c>
      <c r="O8101" s="5" t="str">
        <v>7705878750</v>
      </c>
      <c r="P8101" s="27">
        <v>40000</v>
      </c>
      <c r="Q8101" s="5"/>
      <c r="R8101" s="5"/>
      <c r="S8101" s="5" t="s">
        <v>49029</v>
      </c>
      <c r="T8101" s="28"/>
      <c r="U8101" s="28"/>
      <c r="V8101" s="28">
        <v>2958987000</v>
      </c>
      <c r="W8101" s="28"/>
      <c r="X8101" s="28">
        <v>6984128000</v>
      </c>
      <c r="Y8101" s="28">
        <v>15804294000</v>
      </c>
      <c r="Z8101" s="28">
        <v>-1290783000</v>
      </c>
      <c r="AA8101" s="28"/>
      <c r="AB8101" s="28"/>
      <c r="AC8101" s="28">
        <v>13528546000</v>
      </c>
      <c r="AD8101" s="28">
        <v>1419143000</v>
      </c>
      <c r="AE8101" s="28">
        <v>12074239000</v>
      </c>
      <c r="AF8101" s="28">
        <v>-10789678000</v>
      </c>
      <c r="AG8101" s="11"/>
    </row>
    <row r="8102">
      <c r="A8102" s="7" t="s">
        <v>9638</v>
      </c>
      <c r="B8102" s="5" t="s">
        <v>17549</v>
      </c>
      <c r="C8102" s="5" t="s">
        <v>25098</v>
      </c>
      <c r="D8102" s="5" t="str">
        <v>160901947180</v>
      </c>
      <c r="E8102" s="0" t="e">
        <f>+7 (927) 4996867
+7 (843) 2727268
+7 (8435) 148701
+7 (8435) 148703
+7 (8435) 148704
+7 (8435) 148707
+7 (8435) 148708
+7 (8435) 148709
+7 (8435) 148734
+7 (8435) 148735</f>
        <v>#NAME?</v>
      </c>
      <c r="F8102" s="5" t="s">
        <v>48762</v>
      </c>
      <c r="G8102" s="5" t="s">
        <v>48763</v>
      </c>
      <c r="H8102" s="26">
        <v>10.5</v>
      </c>
      <c r="I8102" s="5" t="s">
        <v>48764</v>
      </c>
      <c r="J8102" s="5" t="s">
        <v>26511</v>
      </c>
      <c r="K8102" s="5" t="s">
        <v>344</v>
      </c>
      <c r="L8102" s="5" t="s">
        <v>48765</v>
      </c>
      <c r="M8102" s="27">
        <v>211524</v>
      </c>
      <c r="N8102" s="5" t="s">
        <v>61377</v>
      </c>
      <c r="O8102" s="5" t="str">
        <v>1660175930</v>
      </c>
      <c r="P8102" s="27">
        <v>500000</v>
      </c>
      <c r="Q8102" s="5" t="s">
        <v>49021</v>
      </c>
      <c r="R8102" s="5"/>
      <c r="S8102" s="5" t="s">
        <v>61378</v>
      </c>
      <c r="T8102" s="28">
        <v>56023000</v>
      </c>
      <c r="U8102" s="28"/>
      <c r="V8102" s="28">
        <v>1624149000</v>
      </c>
      <c r="W8102" s="28">
        <v>10600000</v>
      </c>
      <c r="X8102" s="28">
        <v>13935000</v>
      </c>
      <c r="Y8102" s="28">
        <v>2038027000</v>
      </c>
      <c r="Z8102" s="28">
        <v>592531000</v>
      </c>
      <c r="AA8102" s="28"/>
      <c r="AB8102" s="28">
        <v>1036258000</v>
      </c>
      <c r="AC8102" s="28">
        <v>1434511000</v>
      </c>
      <c r="AD8102" s="28">
        <v>593031000</v>
      </c>
      <c r="AE8102" s="28">
        <v>13346429000</v>
      </c>
      <c r="AF8102" s="28">
        <v>79570000</v>
      </c>
      <c r="AG8102" s="11"/>
    </row>
    <row r="8103">
      <c r="A8103" s="7" t="s">
        <v>9638</v>
      </c>
      <c r="B8103" s="5" t="s">
        <v>17550</v>
      </c>
      <c r="C8103" s="5" t="s">
        <v>25099</v>
      </c>
      <c r="D8103" s="5" t="str">
        <v>772138910521</v>
      </c>
      <c r="E8103" s="0" t="e">
        <f>+7 (495) 2343447
+7 (495) 9633038
+7 (915) 4600059</f>
        <v>#NAME?</v>
      </c>
      <c r="F8103" s="5"/>
      <c r="G8103" s="5"/>
      <c r="H8103" s="26">
        <v>14.5</v>
      </c>
      <c r="I8103" s="5" t="s">
        <v>48766</v>
      </c>
      <c r="J8103" s="5" t="s">
        <v>27497</v>
      </c>
      <c r="K8103" s="5" t="s">
        <v>344</v>
      </c>
      <c r="L8103" s="5" t="s">
        <v>48767</v>
      </c>
      <c r="M8103" s="27"/>
      <c r="N8103" s="5"/>
      <c r="O8103" s="5" t="str">
        <v>7724668211</v>
      </c>
      <c r="P8103" s="27">
        <v>100000</v>
      </c>
      <c r="Q8103" s="5" t="s">
        <v>49009</v>
      </c>
      <c r="R8103" s="5"/>
      <c r="S8103" s="5" t="s">
        <v>49066</v>
      </c>
      <c r="T8103" s="28">
        <v>3705000</v>
      </c>
      <c r="U8103" s="28"/>
      <c r="V8103" s="28">
        <v>603536000</v>
      </c>
      <c r="W8103" s="28">
        <v>2950000</v>
      </c>
      <c r="X8103" s="28">
        <v>150000</v>
      </c>
      <c r="Y8103" s="28">
        <v>679559000</v>
      </c>
      <c r="Z8103" s="28">
        <v>542456000</v>
      </c>
      <c r="AA8103" s="28"/>
      <c r="AB8103" s="28"/>
      <c r="AC8103" s="28">
        <v>137003000</v>
      </c>
      <c r="AD8103" s="28">
        <v>542556000</v>
      </c>
      <c r="AE8103" s="28">
        <v>8109892000</v>
      </c>
      <c r="AF8103" s="28">
        <v>165050000</v>
      </c>
      <c r="AG8103" s="11"/>
    </row>
    <row r="8104">
      <c r="A8104" s="7" t="s">
        <v>9639</v>
      </c>
      <c r="B8104" s="5" t="s">
        <v>17551</v>
      </c>
      <c r="C8104" s="5" t="s">
        <v>25100</v>
      </c>
      <c r="D8104" s="5" t="str">
        <v>272210259081</v>
      </c>
      <c r="E8104" s="0" t="e">
        <f>+7 (495) 6633781</f>
        <v>#NAME?</v>
      </c>
      <c r="F8104" s="5"/>
      <c r="G8104" s="5"/>
      <c r="H8104" s="26">
        <v>16</v>
      </c>
      <c r="I8104" s="5" t="s">
        <v>48768</v>
      </c>
      <c r="J8104" s="5" t="s">
        <v>599</v>
      </c>
      <c r="K8104" s="5" t="s">
        <v>344</v>
      </c>
      <c r="L8104" s="5" t="s">
        <v>48769</v>
      </c>
      <c r="M8104" s="27"/>
      <c r="N8104" s="5"/>
      <c r="O8104" s="5" t="str">
        <v>7704648217</v>
      </c>
      <c r="P8104" s="27">
        <v>1200000</v>
      </c>
      <c r="Q8104" s="5" t="s">
        <v>49021</v>
      </c>
      <c r="R8104" s="5"/>
      <c r="S8104" s="5" t="s">
        <v>61379</v>
      </c>
      <c r="T8104" s="28">
        <v>1508000</v>
      </c>
      <c r="U8104" s="28"/>
      <c r="V8104" s="28">
        <v>526954000</v>
      </c>
      <c r="W8104" s="28"/>
      <c r="X8104" s="28">
        <v>66179000</v>
      </c>
      <c r="Y8104" s="28">
        <v>598632000</v>
      </c>
      <c r="Z8104" s="28">
        <v>167921000</v>
      </c>
      <c r="AA8104" s="28"/>
      <c r="AB8104" s="28"/>
      <c r="AC8104" s="28">
        <v>429459000</v>
      </c>
      <c r="AD8104" s="28">
        <v>169121000</v>
      </c>
      <c r="AE8104" s="28">
        <v>4307066000</v>
      </c>
      <c r="AF8104" s="28">
        <v>141703000</v>
      </c>
      <c r="AG8104" s="11"/>
    </row>
    <row r="8105">
      <c r="A8105" s="7" t="s">
        <v>9640</v>
      </c>
      <c r="B8105" s="5" t="s">
        <v>17552</v>
      </c>
      <c r="C8105" s="5" t="s">
        <v>25101</v>
      </c>
      <c r="D8105" s="5" t="str">
        <v>781119406722</v>
      </c>
      <c r="E8105" s="0" t="e">
        <f>+7 (812) 2279682
+7 (812) 2279690
+7 (812) 4482485
+7 (812) 4482486
+7 (812) 4482487
+7 (812) 4482488
+7 (812) 2490056
+7 (812) 2990056
+7 (812) 4481775
+7 (812) 4482484
+7 (812) 4482489</f>
        <v>#NAME?</v>
      </c>
      <c r="F8105" s="5" t="s">
        <v>48770</v>
      </c>
      <c r="G8105" s="5" t="s">
        <v>48771</v>
      </c>
      <c r="H8105" s="26">
        <v>23.5</v>
      </c>
      <c r="I8105" s="5" t="s">
        <v>48772</v>
      </c>
      <c r="J8105" s="5" t="s">
        <v>27147</v>
      </c>
      <c r="K8105" s="5" t="s">
        <v>344</v>
      </c>
      <c r="L8105" s="5" t="s">
        <v>48773</v>
      </c>
      <c r="M8105" s="27"/>
      <c r="N8105" s="5"/>
      <c r="O8105" s="5" t="str">
        <v>7826704356</v>
      </c>
      <c r="P8105" s="27">
        <v>7438400</v>
      </c>
      <c r="Q8105" s="5"/>
      <c r="R8105" s="5" t="s">
        <v>55779</v>
      </c>
      <c r="S8105" s="5" t="s">
        <v>49123</v>
      </c>
      <c r="T8105" s="28">
        <v>4599363000</v>
      </c>
      <c r="U8105" s="28">
        <v>67724000</v>
      </c>
      <c r="V8105" s="28">
        <v>1659557000</v>
      </c>
      <c r="W8105" s="28">
        <v>5068742000</v>
      </c>
      <c r="X8105" s="28">
        <v>32579000</v>
      </c>
      <c r="Y8105" s="28">
        <v>14424950000</v>
      </c>
      <c r="Z8105" s="28">
        <v>13135517000</v>
      </c>
      <c r="AA8105" s="28"/>
      <c r="AB8105" s="28"/>
      <c r="AC8105" s="28">
        <v>1122821000</v>
      </c>
      <c r="AD8105" s="28">
        <v>13144066000</v>
      </c>
      <c r="AE8105" s="28">
        <v>11092430000</v>
      </c>
      <c r="AF8105" s="28">
        <v>2364514000</v>
      </c>
      <c r="AG8105" s="11"/>
    </row>
    <row r="8106">
      <c r="A8106" s="7" t="s">
        <v>9641</v>
      </c>
      <c r="B8106" s="5" t="s">
        <v>17553</v>
      </c>
      <c r="C8106" s="5" t="s">
        <v>25102</v>
      </c>
      <c r="D8106" s="5" t="str">
        <v>773508413102</v>
      </c>
      <c r="E8106" s="0" t="e">
        <f>+7 (495) 2586521
+7 (812) 3320973
+7 (495) 2587258
+7 (495) 2587269
+7 (495) 2873150
+7 (495) 6873150
+7 (495) 7753049
+7 (812) 3320971
+7 (812) 3320972</f>
        <v>#NAME?</v>
      </c>
      <c r="F8106" s="5" t="s">
        <v>48774</v>
      </c>
      <c r="G8106" s="5" t="s">
        <v>48775</v>
      </c>
      <c r="H8106" s="26">
        <v>20</v>
      </c>
      <c r="I8106" s="5" t="s">
        <v>48776</v>
      </c>
      <c r="J8106" s="5" t="s">
        <v>25670</v>
      </c>
      <c r="K8106" s="5" t="s">
        <v>344</v>
      </c>
      <c r="L8106" s="5" t="s">
        <v>48777</v>
      </c>
      <c r="M8106" s="27">
        <v>17614528</v>
      </c>
      <c r="N8106" s="5" t="s">
        <v>61380</v>
      </c>
      <c r="O8106" s="5" t="str">
        <v>7710446378</v>
      </c>
      <c r="P8106" s="27">
        <v>160000000</v>
      </c>
      <c r="Q8106" s="5" t="s">
        <v>61381</v>
      </c>
      <c r="R8106" s="5"/>
      <c r="S8106" s="5" t="s">
        <v>49361</v>
      </c>
      <c r="T8106" s="28">
        <v>42519000</v>
      </c>
      <c r="U8106" s="28">
        <v>277800000</v>
      </c>
      <c r="V8106" s="28">
        <v>11755841000</v>
      </c>
      <c r="W8106" s="28"/>
      <c r="X8106" s="28">
        <v>3367306000</v>
      </c>
      <c r="Y8106" s="28">
        <v>34757327000</v>
      </c>
      <c r="Z8106" s="28">
        <v>6198741000</v>
      </c>
      <c r="AA8106" s="28">
        <v>15661583000</v>
      </c>
      <c r="AB8106" s="28">
        <v>9565469000</v>
      </c>
      <c r="AC8106" s="28">
        <v>11304403000</v>
      </c>
      <c r="AD8106" s="28">
        <v>7791341000</v>
      </c>
      <c r="AE8106" s="28">
        <v>3949563000</v>
      </c>
      <c r="AF8106" s="28">
        <v>1815691000</v>
      </c>
      <c r="AG8106" s="11"/>
    </row>
    <row r="8107">
      <c r="A8107" s="7" t="s">
        <v>9642</v>
      </c>
      <c r="B8107" s="5" t="s">
        <v>17554</v>
      </c>
      <c r="C8107" s="5" t="s">
        <v>25103</v>
      </c>
      <c r="D8107" s="5" t="str">
        <v>772901025914</v>
      </c>
      <c r="E8107" s="0" t="e">
        <f>+7 (812) 3856606
+7 (495) 6486243
+7 (495) 2121368
+7 (495) 6486277
+7 (812) 6486243
+7 (81368) 60860
+7 (81368) 60861
+7 (81368) 60862
+7 (81368) 60863
+7 (81368) 60864</f>
        <v>#NAME?</v>
      </c>
      <c r="F8107" s="5" t="s">
        <v>48778</v>
      </c>
      <c r="G8107" s="5" t="s">
        <v>48779</v>
      </c>
      <c r="H8107" s="26">
        <v>19.5</v>
      </c>
      <c r="I8107" s="5" t="s">
        <v>48780</v>
      </c>
      <c r="J8107" s="5" t="s">
        <v>364</v>
      </c>
      <c r="K8107" s="5" t="s">
        <v>355</v>
      </c>
      <c r="L8107" s="5" t="s">
        <v>48781</v>
      </c>
      <c r="M8107" s="27">
        <v>19828613</v>
      </c>
      <c r="N8107" s="5"/>
      <c r="O8107" s="5" t="str">
        <v>7705506818</v>
      </c>
      <c r="P8107" s="27">
        <v>127285714</v>
      </c>
      <c r="Q8107" s="5" t="s">
        <v>49579</v>
      </c>
      <c r="R8107" s="5" t="s">
        <v>61382</v>
      </c>
      <c r="S8107" s="5" t="s">
        <v>61383</v>
      </c>
      <c r="T8107" s="28">
        <v>859048000</v>
      </c>
      <c r="U8107" s="28"/>
      <c r="V8107" s="28">
        <v>2835521000</v>
      </c>
      <c r="W8107" s="28">
        <v>51500000</v>
      </c>
      <c r="X8107" s="28">
        <v>2156748000</v>
      </c>
      <c r="Y8107" s="28">
        <v>11635234000</v>
      </c>
      <c r="Z8107" s="28">
        <v>306654000</v>
      </c>
      <c r="AA8107" s="28">
        <v>2492000</v>
      </c>
      <c r="AB8107" s="28"/>
      <c r="AC8107" s="28">
        <v>10860607000</v>
      </c>
      <c r="AD8107" s="28">
        <v>433940000</v>
      </c>
      <c r="AE8107" s="28">
        <v>11837376000</v>
      </c>
      <c r="AF8107" s="28">
        <v>195232000</v>
      </c>
      <c r="AG8107" s="11"/>
    </row>
    <row r="8108">
      <c r="A8108" s="7" t="s">
        <v>9643</v>
      </c>
      <c r="B8108" s="5" t="s">
        <v>17555</v>
      </c>
      <c r="C8108" s="5" t="s">
        <v>25104</v>
      </c>
      <c r="D8108" s="5" t="str">
        <v>780516832980</v>
      </c>
      <c r="E8108" s="0" t="e">
        <f>+7 (812) 6333434
+7 (921) 5957393
+7 (931) 2022767
+7 (812) 9564486
+7 (921) 9564486</f>
        <v>#NAME?</v>
      </c>
      <c r="F8108" s="5"/>
      <c r="G8108" s="5" t="s">
        <v>39808</v>
      </c>
      <c r="H8108" s="26">
        <v>10.5</v>
      </c>
      <c r="I8108" s="5" t="s">
        <v>48782</v>
      </c>
      <c r="J8108" s="5" t="s">
        <v>26308</v>
      </c>
      <c r="K8108" s="5" t="s">
        <v>355</v>
      </c>
      <c r="L8108" s="5"/>
      <c r="M8108" s="27"/>
      <c r="N8108" s="5"/>
      <c r="O8108" s="5" t="str">
        <v>7804490365</v>
      </c>
      <c r="P8108" s="27">
        <v>10000</v>
      </c>
      <c r="Q8108" s="5" t="s">
        <v>49387</v>
      </c>
      <c r="R8108" s="5"/>
      <c r="S8108" s="5" t="s">
        <v>61384</v>
      </c>
      <c r="T8108" s="28"/>
      <c r="U8108" s="28"/>
      <c r="V8108" s="28"/>
      <c r="W8108" s="28"/>
      <c r="X8108" s="28"/>
      <c r="Y8108" s="28"/>
      <c r="Z8108" s="28"/>
      <c r="AA8108" s="28"/>
      <c r="AB8108" s="28"/>
      <c r="AC8108" s="28"/>
      <c r="AD8108" s="28"/>
      <c r="AE8108" s="28">
        <v>27619549000</v>
      </c>
      <c r="AF8108" s="28">
        <v>-41127000</v>
      </c>
      <c r="AG8108" s="11"/>
    </row>
    <row r="8109">
      <c r="A8109" s="7" t="s">
        <v>9644</v>
      </c>
      <c r="B8109" s="5" t="s">
        <v>10537</v>
      </c>
      <c r="C8109" s="5" t="s">
        <v>25105</v>
      </c>
      <c r="D8109" s="5" t="str">
        <v>550302631350</v>
      </c>
      <c r="E8109" s="0" t="e">
        <f>+7 (381) 2573435
+7 (381) 2575397
+7 (487) 2300700
+7 (495) 5745000
+7 (495) 5745002
+7 (495) 7451600
+7 (495) 7457343
+7 (495) 7457500
+7 (495) 7457501
+7 (495) 7457502
+7 (4987) 457500
+7 (800) 2001200
+7 (812) 7184288
+7 (812) 7184300
+7 (812) 7184333</f>
        <v>#NAME?</v>
      </c>
      <c r="F8109" s="5" t="s">
        <v>48783</v>
      </c>
      <c r="G8109" s="5" t="s">
        <v>48784</v>
      </c>
      <c r="H8109" s="26">
        <v>25</v>
      </c>
      <c r="I8109" s="5" t="s">
        <v>48785</v>
      </c>
      <c r="J8109" s="5" t="s">
        <v>27147</v>
      </c>
      <c r="K8109" s="5" t="s">
        <v>344</v>
      </c>
      <c r="L8109" s="5" t="s">
        <v>48786</v>
      </c>
      <c r="M8109" s="27"/>
      <c r="N8109" s="5"/>
      <c r="O8109" s="5" t="str">
        <v>7705183476</v>
      </c>
      <c r="P8109" s="27">
        <v>28847390269</v>
      </c>
      <c r="Q8109" s="5" t="s">
        <v>49009</v>
      </c>
      <c r="R8109" s="5"/>
      <c r="S8109" s="5" t="s">
        <v>61385</v>
      </c>
      <c r="T8109" s="28">
        <v>13096057000</v>
      </c>
      <c r="U8109" s="28">
        <v>1306300000</v>
      </c>
      <c r="V8109" s="28">
        <v>9587533000</v>
      </c>
      <c r="W8109" s="28"/>
      <c r="X8109" s="28">
        <v>27254594000</v>
      </c>
      <c r="Y8109" s="28">
        <v>61183414000</v>
      </c>
      <c r="Z8109" s="28">
        <v>-8401803000</v>
      </c>
      <c r="AA8109" s="28"/>
      <c r="AB8109" s="28"/>
      <c r="AC8109" s="28">
        <v>24913472000</v>
      </c>
      <c r="AD8109" s="28">
        <v>34488336000</v>
      </c>
      <c r="AE8109" s="28">
        <v>84888311000</v>
      </c>
      <c r="AF8109" s="28">
        <v>9223526000</v>
      </c>
      <c r="AG8109" s="11"/>
    </row>
    <row r="8110">
      <c r="A8110" s="7" t="s">
        <v>9645</v>
      </c>
      <c r="B8110" s="5" t="s">
        <v>17556</v>
      </c>
      <c r="C8110" s="5" t="s">
        <v>25106</v>
      </c>
      <c r="D8110" s="5" t="str">
        <v>525704430887</v>
      </c>
      <c r="E8110" s="0" t="e">
        <f>+7 (495) 6489474
+7 (8313) 249100
+7 (8313) 249111
+7 (8313) 249113
+7 (8313) 249116
+7 (8313) 249191
+7 (8313) 249192
+7 (8313) 249198
+7 (965) 1539149
+7 (987) 3978808</f>
        <v>#NAME?</v>
      </c>
      <c r="F8110" s="5" t="s">
        <v>48787</v>
      </c>
      <c r="G8110" s="5" t="s">
        <v>48788</v>
      </c>
      <c r="H8110" s="26">
        <v>14.5</v>
      </c>
      <c r="I8110" s="5" t="s">
        <v>48789</v>
      </c>
      <c r="J8110" s="5" t="s">
        <v>27221</v>
      </c>
      <c r="K8110" s="5" t="s">
        <v>344</v>
      </c>
      <c r="L8110" s="5" t="s">
        <v>48790</v>
      </c>
      <c r="M8110" s="27"/>
      <c r="N8110" s="5"/>
      <c r="O8110" s="5" t="str">
        <v>5249098593</v>
      </c>
      <c r="P8110" s="27">
        <v>1445382000</v>
      </c>
      <c r="Q8110" s="5"/>
      <c r="R8110" s="5"/>
      <c r="S8110" s="5" t="s">
        <v>49029</v>
      </c>
      <c r="T8110" s="28">
        <v>1083649000</v>
      </c>
      <c r="U8110" s="28"/>
      <c r="V8110" s="28">
        <v>1373481000</v>
      </c>
      <c r="W8110" s="28">
        <v>1575979000</v>
      </c>
      <c r="X8110" s="28">
        <v>229000</v>
      </c>
      <c r="Y8110" s="28">
        <v>6173719000</v>
      </c>
      <c r="Z8110" s="28">
        <v>4032978000</v>
      </c>
      <c r="AA8110" s="28"/>
      <c r="AB8110" s="28"/>
      <c r="AC8110" s="28">
        <v>618265000</v>
      </c>
      <c r="AD8110" s="28">
        <v>5478360000</v>
      </c>
      <c r="AE8110" s="28">
        <v>6963953000</v>
      </c>
      <c r="AF8110" s="28">
        <v>756279000</v>
      </c>
      <c r="AG8110" s="11"/>
    </row>
    <row r="8111">
      <c r="A8111" s="7" t="s">
        <v>9646</v>
      </c>
      <c r="B8111" s="5" t="s">
        <v>17557</v>
      </c>
      <c r="C8111" s="5" t="s">
        <v>25107</v>
      </c>
      <c r="D8111" s="5" t="str">
        <v>772080375112</v>
      </c>
      <c r="E8111" s="0" t="e">
        <f>+7 (495) 4019525
+7 (495) 7872223
+7 (49653) 99980
+7 (499) 3914444
+7 (916) 7854564
+7 (925) 3067771
+7 (925) 4178349</f>
        <v>#NAME?</v>
      </c>
      <c r="F8111" s="5" t="s">
        <v>48791</v>
      </c>
      <c r="G8111" s="5" t="s">
        <v>48792</v>
      </c>
      <c r="H8111" s="26">
        <v>10</v>
      </c>
      <c r="I8111" s="5" t="s">
        <v>48793</v>
      </c>
      <c r="J8111" s="5" t="s">
        <v>48794</v>
      </c>
      <c r="K8111" s="5" t="s">
        <v>355</v>
      </c>
      <c r="L8111" s="5"/>
      <c r="M8111" s="27"/>
      <c r="N8111" s="5"/>
      <c r="O8111" s="5" t="str">
        <v>7701998380</v>
      </c>
      <c r="P8111" s="27">
        <v>3000000</v>
      </c>
      <c r="Q8111" s="5" t="s">
        <v>49009</v>
      </c>
      <c r="R8111" s="5"/>
      <c r="S8111" s="5" t="s">
        <v>53867</v>
      </c>
      <c r="T8111" s="28">
        <v>703930000</v>
      </c>
      <c r="U8111" s="28"/>
      <c r="V8111" s="28">
        <v>713281000</v>
      </c>
      <c r="W8111" s="28"/>
      <c r="X8111" s="28">
        <v>6635000</v>
      </c>
      <c r="Y8111" s="28">
        <v>3916942000</v>
      </c>
      <c r="Z8111" s="28">
        <v>446843000</v>
      </c>
      <c r="AA8111" s="28"/>
      <c r="AB8111" s="28">
        <v>626719000</v>
      </c>
      <c r="AC8111" s="28">
        <v>1890968000</v>
      </c>
      <c r="AD8111" s="28">
        <v>1747668000</v>
      </c>
      <c r="AE8111" s="28">
        <v>6980431000</v>
      </c>
      <c r="AF8111" s="28">
        <v>61970000</v>
      </c>
      <c r="AG8111" s="11"/>
    </row>
    <row r="8112">
      <c r="A8112" s="7" t="s">
        <v>9647</v>
      </c>
      <c r="B8112" s="5" t="s">
        <v>17558</v>
      </c>
      <c r="C8112" s="5" t="s">
        <v>25108</v>
      </c>
      <c r="D8112" s="5" t="str">
        <v>631807340404</v>
      </c>
      <c r="E8112" s="0" t="e">
        <f>+7 (931) 5371802
+7 (34274) 21396
+7 (34274) 24316
+7 (346) 2280036
+7 (346) 2381211
+7 (346) 2381423
+7 (495) 4115055
+7 (495) 5453838
+7 (495) 5453839
+7 (931) 5371359</f>
        <v>#NAME?</v>
      </c>
      <c r="F8112" s="5" t="s">
        <v>48795</v>
      </c>
      <c r="G8112" s="5" t="s">
        <v>48796</v>
      </c>
      <c r="H8112" s="26">
        <v>18</v>
      </c>
      <c r="I8112" s="5" t="s">
        <v>48797</v>
      </c>
      <c r="J8112" s="5" t="s">
        <v>25295</v>
      </c>
      <c r="K8112" s="5" t="s">
        <v>344</v>
      </c>
      <c r="L8112" s="5"/>
      <c r="M8112" s="27">
        <v>72665047</v>
      </c>
      <c r="N8112" s="5" t="s">
        <v>61386</v>
      </c>
      <c r="O8112" s="5" t="str">
        <v>8602067092</v>
      </c>
      <c r="P8112" s="27">
        <v>25219482458</v>
      </c>
      <c r="Q8112" s="5" t="s">
        <v>61387</v>
      </c>
      <c r="R8112" s="5"/>
      <c r="S8112" s="5" t="s">
        <v>49020</v>
      </c>
      <c r="T8112" s="28">
        <v>113898105000</v>
      </c>
      <c r="U8112" s="28">
        <v>2205144000</v>
      </c>
      <c r="V8112" s="28">
        <v>7665138000</v>
      </c>
      <c r="W8112" s="28">
        <v>1577024000</v>
      </c>
      <c r="X8112" s="28">
        <v>26990932000</v>
      </c>
      <c r="Y8112" s="28">
        <v>160001707000</v>
      </c>
      <c r="Z8112" s="28">
        <v>72667354000</v>
      </c>
      <c r="AA8112" s="28"/>
      <c r="AB8112" s="28">
        <v>192000000</v>
      </c>
      <c r="AC8112" s="28">
        <v>9895208000</v>
      </c>
      <c r="AD8112" s="28">
        <v>140563493000</v>
      </c>
      <c r="AE8112" s="28">
        <v>111226878000</v>
      </c>
      <c r="AF8112" s="28">
        <v>9863827000</v>
      </c>
      <c r="AG8112" s="11"/>
    </row>
    <row r="8113">
      <c r="A8113" s="7" t="s">
        <v>9648</v>
      </c>
      <c r="B8113" s="5" t="s">
        <v>17559</v>
      </c>
      <c r="C8113" s="5" t="s">
        <v>25109</v>
      </c>
      <c r="D8113" s="5" t="str">
        <v>770104349745</v>
      </c>
      <c r="E8113" s="0" t="e">
        <f>+7 (495) 2120000
+7 (495) 2120022
+7 (495) 6120000
+7 (495) 6120022
+7 (499) 2512418
+7 (499) 2514950
+7 (800) 1001958
+7 (800) 3332293
+7 (800) 7753137</f>
        <v>#NAME?</v>
      </c>
      <c r="F8113" s="5"/>
      <c r="G8113" s="5"/>
      <c r="H8113" s="26">
        <v>17.5</v>
      </c>
      <c r="I8113" s="5" t="s">
        <v>48798</v>
      </c>
      <c r="J8113" s="5" t="s">
        <v>26308</v>
      </c>
      <c r="K8113" s="5" t="s">
        <v>344</v>
      </c>
      <c r="L8113" s="5" t="s">
        <v>48799</v>
      </c>
      <c r="M8113" s="27">
        <v>254721</v>
      </c>
      <c r="N8113" s="5"/>
      <c r="O8113" s="5" t="str">
        <v>7722561551</v>
      </c>
      <c r="P8113" s="27">
        <v>50651177</v>
      </c>
      <c r="Q8113" s="5" t="s">
        <v>49009</v>
      </c>
      <c r="R8113" s="5"/>
      <c r="S8113" s="5" t="s">
        <v>49010</v>
      </c>
      <c r="T8113" s="28">
        <v>6526083000</v>
      </c>
      <c r="U8113" s="28">
        <v>20411000</v>
      </c>
      <c r="V8113" s="28">
        <v>3965394000</v>
      </c>
      <c r="W8113" s="28"/>
      <c r="X8113" s="28">
        <v>1938534000</v>
      </c>
      <c r="Y8113" s="28">
        <v>14311236000</v>
      </c>
      <c r="Z8113" s="28">
        <v>8508123000</v>
      </c>
      <c r="AA8113" s="28">
        <v>601749000</v>
      </c>
      <c r="AB8113" s="28"/>
      <c r="AC8113" s="28">
        <v>1952262000</v>
      </c>
      <c r="AD8113" s="28">
        <v>8948914000</v>
      </c>
      <c r="AE8113" s="28">
        <v>17224285000</v>
      </c>
      <c r="AF8113" s="28">
        <v>1284763000</v>
      </c>
      <c r="AG8113" s="11"/>
    </row>
    <row r="8114">
      <c r="A8114" s="7" t="s">
        <v>9649</v>
      </c>
      <c r="B8114" s="5" t="s">
        <v>17560</v>
      </c>
      <c r="C8114" s="5" t="s">
        <v>25110</v>
      </c>
      <c r="D8114" s="5" t="str">
        <v>501808016198</v>
      </c>
      <c r="E8114" s="0" t="e">
        <f>+7 (968) 8749513
+7 (3422) 436258
+7 (3422) 436263
+7 (495) 9805908
+7 (8332) 534074
+7 (8332) 535340
+7 (8332) 536529
+7 (8332) 620699</f>
        <v>#NAME?</v>
      </c>
      <c r="F8114" s="5" t="s">
        <v>48800</v>
      </c>
      <c r="G8114" s="5"/>
      <c r="H8114" s="26">
        <v>18</v>
      </c>
      <c r="I8114" s="5"/>
      <c r="J8114" s="5" t="s">
        <v>976</v>
      </c>
      <c r="K8114" s="5" t="s">
        <v>344</v>
      </c>
      <c r="L8114" s="5" t="s">
        <v>48801</v>
      </c>
      <c r="M8114" s="27">
        <v>217544</v>
      </c>
      <c r="N8114" s="5" t="s">
        <v>61388</v>
      </c>
      <c r="O8114" s="5" t="str">
        <v>5024139339</v>
      </c>
      <c r="P8114" s="27">
        <v>300010000</v>
      </c>
      <c r="Q8114" s="5" t="s">
        <v>61390</v>
      </c>
      <c r="R8114" s="5"/>
      <c r="S8114" s="5" t="s">
        <v>49271</v>
      </c>
      <c r="T8114" s="28">
        <v>1778330000</v>
      </c>
      <c r="U8114" s="28"/>
      <c r="V8114" s="28">
        <v>621147000</v>
      </c>
      <c r="W8114" s="28"/>
      <c r="X8114" s="28">
        <v>2676000</v>
      </c>
      <c r="Y8114" s="28">
        <v>2486349000</v>
      </c>
      <c r="Z8114" s="28">
        <v>212512000</v>
      </c>
      <c r="AA8114" s="28"/>
      <c r="AB8114" s="28"/>
      <c r="AC8114" s="28">
        <v>939452000</v>
      </c>
      <c r="AD8114" s="28">
        <v>951667000</v>
      </c>
      <c r="AE8114" s="28">
        <v>4284783000</v>
      </c>
      <c r="AF8114" s="28">
        <v>214656000</v>
      </c>
      <c r="AG8114" s="11"/>
    </row>
    <row r="8115">
      <c r="A8115" s="7" t="s">
        <v>9650</v>
      </c>
      <c r="B8115" s="5" t="s">
        <v>17561</v>
      </c>
      <c r="C8115" s="5" t="s">
        <v>25111</v>
      </c>
      <c r="D8115" s="5" t="str">
        <v>771471804304</v>
      </c>
      <c r="E8115" s="0" t="e">
        <f>+7 (495) 7084636
+7 (495) 9884770</f>
        <v>#NAME?</v>
      </c>
      <c r="F8115" s="5" t="s">
        <v>48802</v>
      </c>
      <c r="G8115" s="5"/>
      <c r="H8115" s="26">
        <v>17.5</v>
      </c>
      <c r="I8115" s="5" t="s">
        <v>48803</v>
      </c>
      <c r="J8115" s="5" t="s">
        <v>27182</v>
      </c>
      <c r="K8115" s="5" t="s">
        <v>355</v>
      </c>
      <c r="L8115" s="5"/>
      <c r="M8115" s="27"/>
      <c r="N8115" s="5"/>
      <c r="O8115" s="5" t="str">
        <v>7722547116</v>
      </c>
      <c r="P8115" s="27">
        <v>10000</v>
      </c>
      <c r="Q8115" s="5" t="s">
        <v>49324</v>
      </c>
      <c r="R8115" s="5"/>
      <c r="S8115" s="5" t="s">
        <v>56464</v>
      </c>
      <c r="T8115" s="28">
        <v>18003000</v>
      </c>
      <c r="U8115" s="28"/>
      <c r="V8115" s="28">
        <v>1817526000</v>
      </c>
      <c r="W8115" s="28"/>
      <c r="X8115" s="28">
        <v>72926000</v>
      </c>
      <c r="Y8115" s="28">
        <v>2346189000</v>
      </c>
      <c r="Z8115" s="28">
        <v>-14574000</v>
      </c>
      <c r="AA8115" s="28"/>
      <c r="AB8115" s="28"/>
      <c r="AC8115" s="28">
        <v>2174861000</v>
      </c>
      <c r="AD8115" s="28">
        <v>-11421000</v>
      </c>
      <c r="AE8115" s="28">
        <v>3040920000</v>
      </c>
      <c r="AF8115" s="28">
        <v>45670000</v>
      </c>
      <c r="AG8115" s="11"/>
    </row>
    <row r="8116">
      <c r="A8116" s="7" t="s">
        <v>9651</v>
      </c>
      <c r="B8116" s="5" t="s">
        <v>17562</v>
      </c>
      <c r="C8116" s="5" t="s">
        <v>25112</v>
      </c>
      <c r="D8116" s="5" t="str">
        <v>420510736948</v>
      </c>
      <c r="E8116" s="0" t="e">
        <f>+7 (384) 2345700
+7 (923) 6117979
+7 (384) 2331820
+7 (384) 2345701
+7 (384) 2345703
+7 (384) 2345704
+7 (384) 2345705
+7 (384) 2780777
+7 (3843) 209148</f>
        <v>#NAME?</v>
      </c>
      <c r="F8116" s="5" t="s">
        <v>48804</v>
      </c>
      <c r="G8116" s="5"/>
      <c r="H8116" s="26">
        <v>20</v>
      </c>
      <c r="I8116" s="5" t="s">
        <v>48805</v>
      </c>
      <c r="J8116" s="5" t="s">
        <v>25327</v>
      </c>
      <c r="K8116" s="5" t="s">
        <v>344</v>
      </c>
      <c r="L8116" s="5"/>
      <c r="M8116" s="27">
        <v>1777500</v>
      </c>
      <c r="N8116" s="5" t="s">
        <v>61391</v>
      </c>
      <c r="O8116" s="5" t="str">
        <v>4205042136</v>
      </c>
      <c r="P8116" s="27">
        <v>10000</v>
      </c>
      <c r="Q8116" s="5" t="s">
        <v>49057</v>
      </c>
      <c r="R8116" s="5"/>
      <c r="S8116" s="5" t="s">
        <v>50139</v>
      </c>
      <c r="T8116" s="28">
        <v>68470000</v>
      </c>
      <c r="U8116" s="28">
        <v>152050000</v>
      </c>
      <c r="V8116" s="28">
        <v>1580090000</v>
      </c>
      <c r="W8116" s="28">
        <v>70000</v>
      </c>
      <c r="X8116" s="28">
        <v>30258000</v>
      </c>
      <c r="Y8116" s="28">
        <v>2458062000</v>
      </c>
      <c r="Z8116" s="28">
        <v>1308074000</v>
      </c>
      <c r="AA8116" s="28"/>
      <c r="AB8116" s="28">
        <v>634824000</v>
      </c>
      <c r="AC8116" s="28">
        <v>1138940000</v>
      </c>
      <c r="AD8116" s="28">
        <v>1308084000</v>
      </c>
      <c r="AE8116" s="28">
        <v>8107662000</v>
      </c>
      <c r="AF8116" s="28">
        <v>502232000</v>
      </c>
      <c r="AG8116" s="11"/>
    </row>
    <row r="8117">
      <c r="A8117" s="7" t="s">
        <v>9652</v>
      </c>
      <c r="B8117" s="5" t="s">
        <v>17563</v>
      </c>
      <c r="C8117" s="5" t="s">
        <v>25113</v>
      </c>
      <c r="D8117" s="5" t="str">
        <v>780413012390</v>
      </c>
      <c r="E8117" s="0" t="e">
        <f>+7 (812) 3371898
+7 (812) 6110912
+7 (812) 9899710
+7 (911) 7646386
+7 (911) 9899710</f>
        <v>#NAME?</v>
      </c>
      <c r="F8117" s="5" t="s">
        <v>48806</v>
      </c>
      <c r="G8117" s="5" t="s">
        <v>48807</v>
      </c>
      <c r="H8117" s="26">
        <v>18</v>
      </c>
      <c r="I8117" s="5" t="s">
        <v>48808</v>
      </c>
      <c r="J8117" s="5" t="s">
        <v>30218</v>
      </c>
      <c r="K8117" s="5" t="s">
        <v>344</v>
      </c>
      <c r="L8117" s="5" t="s">
        <v>48809</v>
      </c>
      <c r="M8117" s="27"/>
      <c r="N8117" s="5"/>
      <c r="O8117" s="5" t="str">
        <v>0814162716</v>
      </c>
      <c r="P8117" s="27">
        <v>55080000</v>
      </c>
      <c r="Q8117" s="5" t="s">
        <v>61392</v>
      </c>
      <c r="R8117" s="5"/>
      <c r="S8117" s="5" t="s">
        <v>61257</v>
      </c>
      <c r="T8117" s="28">
        <v>397057000</v>
      </c>
      <c r="U8117" s="28">
        <v>100000</v>
      </c>
      <c r="V8117" s="28">
        <v>2502297000</v>
      </c>
      <c r="W8117" s="28"/>
      <c r="X8117" s="28">
        <v>28723000</v>
      </c>
      <c r="Y8117" s="28">
        <v>10375507000</v>
      </c>
      <c r="Z8117" s="28">
        <v>3740459000</v>
      </c>
      <c r="AA8117" s="28"/>
      <c r="AB8117" s="28">
        <v>5040871000</v>
      </c>
      <c r="AC8117" s="28">
        <v>6579436000</v>
      </c>
      <c r="AD8117" s="28">
        <v>3795539000</v>
      </c>
      <c r="AE8117" s="28">
        <v>21101900000</v>
      </c>
      <c r="AF8117" s="28">
        <v>1394876000</v>
      </c>
      <c r="AG8117" s="11"/>
    </row>
    <row r="8118">
      <c r="A8118" s="7" t="s">
        <v>9653</v>
      </c>
      <c r="B8118" s="5" t="s">
        <v>17564</v>
      </c>
      <c r="C8118" s="5" t="s">
        <v>25114</v>
      </c>
      <c r="D8118" s="5" t="str">
        <v>501202391063</v>
      </c>
      <c r="E8118" s="0" t="e">
        <f>+7 (495) 4501722
+7 (495) 4501873
+7 (495) 7252210
+7 (495) 7252230
+7 (495) 7252233
+7 (495) 9814229
+7 (49657) 92029
+7 (49657) 95069</f>
        <v>#NAME?</v>
      </c>
      <c r="F8118" s="5" t="s">
        <v>48810</v>
      </c>
      <c r="G8118" s="5" t="s">
        <v>48811</v>
      </c>
      <c r="H8118" s="26">
        <v>15</v>
      </c>
      <c r="I8118" s="5" t="s">
        <v>48812</v>
      </c>
      <c r="J8118" s="5" t="s">
        <v>26447</v>
      </c>
      <c r="K8118" s="5" t="s">
        <v>344</v>
      </c>
      <c r="L8118" s="5" t="s">
        <v>44717</v>
      </c>
      <c r="M8118" s="27"/>
      <c r="N8118" s="5" t="s">
        <v>61393</v>
      </c>
      <c r="O8118" s="5" t="str">
        <v>7710714267</v>
      </c>
      <c r="P8118" s="27">
        <v>70000</v>
      </c>
      <c r="Q8118" s="5" t="s">
        <v>49009</v>
      </c>
      <c r="R8118" s="5"/>
      <c r="S8118" s="5" t="s">
        <v>49012</v>
      </c>
      <c r="T8118" s="28">
        <v>4694000</v>
      </c>
      <c r="U8118" s="28"/>
      <c r="V8118" s="28">
        <v>320000000</v>
      </c>
      <c r="W8118" s="28">
        <v>139882000</v>
      </c>
      <c r="X8118" s="28">
        <v>4715000</v>
      </c>
      <c r="Y8118" s="28">
        <v>2472114000</v>
      </c>
      <c r="Z8118" s="28">
        <v>573186000</v>
      </c>
      <c r="AA8118" s="28">
        <v>424000000</v>
      </c>
      <c r="AB8118" s="28">
        <v>302789000</v>
      </c>
      <c r="AC8118" s="28">
        <v>1024868000</v>
      </c>
      <c r="AD8118" s="28">
        <v>1023246000</v>
      </c>
      <c r="AE8118" s="28">
        <v>5577333000</v>
      </c>
      <c r="AF8118" s="28">
        <v>92481000</v>
      </c>
      <c r="AG8118" s="11"/>
    </row>
    <row r="8119">
      <c r="A8119" s="7" t="s">
        <v>9654</v>
      </c>
      <c r="B8119" s="5" t="s">
        <v>17565</v>
      </c>
      <c r="C8119" s="5" t="s">
        <v>25115</v>
      </c>
      <c r="D8119" s="5" t="str">
        <v>463245925304</v>
      </c>
      <c r="E8119" s="0" t="e">
        <f>+7 (472) 2232628
+7 (4712) 327761
+7 (4712) 357475
+7 (4712) 400100
+7 (4712) 400101
+7 (4712) 400107
+7 (4712) 587896
+7 (472) 2232636</f>
        <v>#NAME?</v>
      </c>
      <c r="F8119" s="5" t="s">
        <v>48813</v>
      </c>
      <c r="G8119" s="5" t="s">
        <v>48814</v>
      </c>
      <c r="H8119" s="26">
        <v>25</v>
      </c>
      <c r="I8119" s="5" t="s">
        <v>48815</v>
      </c>
      <c r="J8119" s="5" t="s">
        <v>25842</v>
      </c>
      <c r="K8119" s="5" t="s">
        <v>344</v>
      </c>
      <c r="L8119" s="5" t="s">
        <v>48816</v>
      </c>
      <c r="M8119" s="27"/>
      <c r="N8119" s="5" t="s">
        <v>61394</v>
      </c>
      <c r="O8119" s="5" t="str">
        <v>4630028309</v>
      </c>
      <c r="P8119" s="27">
        <v>1000000</v>
      </c>
      <c r="Q8119" s="5" t="s">
        <v>49009</v>
      </c>
      <c r="R8119" s="5"/>
      <c r="S8119" s="5" t="s">
        <v>49012</v>
      </c>
      <c r="T8119" s="28">
        <v>538695000</v>
      </c>
      <c r="U8119" s="28"/>
      <c r="V8119" s="28">
        <v>860342000</v>
      </c>
      <c r="W8119" s="28"/>
      <c r="X8119" s="28">
        <v>14642000</v>
      </c>
      <c r="Y8119" s="28">
        <v>2921849000</v>
      </c>
      <c r="Z8119" s="28">
        <v>2401471000</v>
      </c>
      <c r="AA8119" s="28">
        <v>97156000</v>
      </c>
      <c r="AB8119" s="28">
        <v>109380000</v>
      </c>
      <c r="AC8119" s="28">
        <v>422222000</v>
      </c>
      <c r="AD8119" s="28">
        <v>2402471000</v>
      </c>
      <c r="AE8119" s="28">
        <v>5489700000</v>
      </c>
      <c r="AF8119" s="28">
        <v>692725000</v>
      </c>
      <c r="AG8119" s="11"/>
    </row>
    <row r="8120">
      <c r="A8120" s="7" t="s">
        <v>9655</v>
      </c>
      <c r="B8120" s="5" t="s">
        <v>17566</v>
      </c>
      <c r="C8120" s="5" t="s">
        <v>25116</v>
      </c>
      <c r="D8120" s="5" t="str">
        <v>753608379830</v>
      </c>
      <c r="E8120" s="0" t="e">
        <f>+7 (39543) 65828
+7 (902) 1791099</f>
        <v>#NAME?</v>
      </c>
      <c r="F8120" s="5" t="s">
        <v>48817</v>
      </c>
      <c r="G8120" s="5"/>
      <c r="H8120" s="26">
        <v>7</v>
      </c>
      <c r="I8120" s="5" t="s">
        <v>48818</v>
      </c>
      <c r="J8120" s="5" t="s">
        <v>26367</v>
      </c>
      <c r="K8120" s="5" t="s">
        <v>344</v>
      </c>
      <c r="L8120" s="5" t="s">
        <v>48819</v>
      </c>
      <c r="M8120" s="27"/>
      <c r="N8120" s="5" t="s">
        <v>61395</v>
      </c>
      <c r="O8120" s="5" t="str">
        <v>3808193430</v>
      </c>
      <c r="P8120" s="27">
        <v>10000000</v>
      </c>
      <c r="Q8120" s="5" t="s">
        <v>49009</v>
      </c>
      <c r="R8120" s="5"/>
      <c r="S8120" s="5" t="s">
        <v>49504</v>
      </c>
      <c r="T8120" s="28">
        <v>24199000</v>
      </c>
      <c r="U8120" s="28"/>
      <c r="V8120" s="28">
        <v>898096000</v>
      </c>
      <c r="W8120" s="28"/>
      <c r="X8120" s="28">
        <v>365000</v>
      </c>
      <c r="Y8120" s="28">
        <v>1172245000</v>
      </c>
      <c r="Z8120" s="28">
        <v>66678000</v>
      </c>
      <c r="AA8120" s="28"/>
      <c r="AB8120" s="28">
        <v>243858000</v>
      </c>
      <c r="AC8120" s="28">
        <v>1095567000</v>
      </c>
      <c r="AD8120" s="28">
        <v>76678000</v>
      </c>
      <c r="AE8120" s="28">
        <v>4099227000</v>
      </c>
      <c r="AF8120" s="28">
        <v>11016000</v>
      </c>
      <c r="AG8120" s="11"/>
    </row>
    <row r="8121">
      <c r="A8121" s="7" t="s">
        <v>9656</v>
      </c>
      <c r="B8121" s="5" t="s">
        <v>17567</v>
      </c>
      <c r="C8121" s="5" t="s">
        <v>25117</v>
      </c>
      <c r="D8121" s="5" t="str">
        <v>772012124047</v>
      </c>
      <c r="E8121" s="0" t="e">
        <f>+7 (495) 6210420
+7 (495) 6213038
+7 (495) 6289800
+7 (495) 5807775
+7 (495) 7223375
+7 (800) 5004503</f>
        <v>#NAME?</v>
      </c>
      <c r="F8121" s="5" t="s">
        <v>48820</v>
      </c>
      <c r="G8121" s="5" t="s">
        <v>48821</v>
      </c>
      <c r="H8121" s="26">
        <v>27</v>
      </c>
      <c r="I8121" s="5" t="s">
        <v>48822</v>
      </c>
      <c r="J8121" s="5" t="s">
        <v>25262</v>
      </c>
      <c r="K8121" s="5" t="s">
        <v>344</v>
      </c>
      <c r="L8121" s="5"/>
      <c r="M8121" s="27"/>
      <c r="N8121" s="5"/>
      <c r="O8121" s="5" t="str">
        <v>7708267251</v>
      </c>
      <c r="P8121" s="27">
        <v>50000</v>
      </c>
      <c r="Q8121" s="5" t="s">
        <v>49009</v>
      </c>
      <c r="R8121" s="5" t="s">
        <v>61396</v>
      </c>
      <c r="S8121" s="5" t="s">
        <v>49010</v>
      </c>
      <c r="T8121" s="28">
        <v>45900000</v>
      </c>
      <c r="U8121" s="28"/>
      <c r="V8121" s="28">
        <v>1172758000</v>
      </c>
      <c r="W8121" s="28"/>
      <c r="X8121" s="28">
        <v>256593000</v>
      </c>
      <c r="Y8121" s="28">
        <v>3589557000</v>
      </c>
      <c r="Z8121" s="28">
        <v>507198000</v>
      </c>
      <c r="AA8121" s="28"/>
      <c r="AB8121" s="28">
        <v>134655000</v>
      </c>
      <c r="AC8121" s="28">
        <v>2154747000</v>
      </c>
      <c r="AD8121" s="28">
        <v>1424930000</v>
      </c>
      <c r="AE8121" s="28">
        <v>4822904000</v>
      </c>
      <c r="AF8121" s="28">
        <v>400305000</v>
      </c>
      <c r="AG8121" s="11"/>
    </row>
    <row r="8122">
      <c r="A8122" s="7" t="s">
        <v>9657</v>
      </c>
      <c r="B8122" s="5" t="s">
        <v>17568</v>
      </c>
      <c r="C8122" s="5" t="s">
        <v>25118</v>
      </c>
      <c r="D8122" s="5" t="str">
        <v>440120930660</v>
      </c>
      <c r="E8122" s="0" t="e">
        <f>+7 (812) 3258120
+7 (812) 3268485
+7 (812) 3268490
+7 (812) 3268495
+7 (812) 3369717
+7 (81665) 44606
+7 (81665) 44618
+7 (81665) 44619</f>
        <v>#NAME?</v>
      </c>
      <c r="F8122" s="5" t="s">
        <v>48823</v>
      </c>
      <c r="G8122" s="5"/>
      <c r="H8122" s="26">
        <v>30.5</v>
      </c>
      <c r="I8122" s="5" t="s">
        <v>48824</v>
      </c>
      <c r="J8122" s="5" t="s">
        <v>27221</v>
      </c>
      <c r="K8122" s="5" t="s">
        <v>344</v>
      </c>
      <c r="L8122" s="5" t="s">
        <v>48825</v>
      </c>
      <c r="M8122" s="27"/>
      <c r="N8122" s="5"/>
      <c r="O8122" s="5" t="str">
        <v>5318007590</v>
      </c>
      <c r="P8122" s="27">
        <v>2210599110</v>
      </c>
      <c r="Q8122" s="5"/>
      <c r="R8122" s="5"/>
      <c r="S8122" s="5" t="s">
        <v>49029</v>
      </c>
      <c r="T8122" s="28">
        <v>4611301000</v>
      </c>
      <c r="U8122" s="28"/>
      <c r="V8122" s="28">
        <v>204941000</v>
      </c>
      <c r="W8122" s="28"/>
      <c r="X8122" s="28">
        <v>728195000</v>
      </c>
      <c r="Y8122" s="28">
        <v>5974299000</v>
      </c>
      <c r="Z8122" s="28">
        <v>3064502000</v>
      </c>
      <c r="AA8122" s="28"/>
      <c r="AB8122" s="28"/>
      <c r="AC8122" s="28">
        <v>346112000</v>
      </c>
      <c r="AD8122" s="28">
        <v>5582398000</v>
      </c>
      <c r="AE8122" s="28">
        <v>3359850000</v>
      </c>
      <c r="AF8122" s="28">
        <v>-952448000</v>
      </c>
      <c r="AG8122" s="11"/>
    </row>
    <row r="8123">
      <c r="A8123" s="7" t="s">
        <v>9658</v>
      </c>
      <c r="B8123" s="5" t="s">
        <v>17569</v>
      </c>
      <c r="C8123" s="5" t="s">
        <v>25119</v>
      </c>
      <c r="D8123" s="5" t="str">
        <v>781105219049</v>
      </c>
      <c r="E8123" s="0" t="e">
        <f>+7 (495) 4110045
+7 (812) 3204932
+7 (812) 3369717
+7 (812) 3369719
+7 (921) 9482294</f>
        <v>#NAME?</v>
      </c>
      <c r="F8123" s="5" t="s">
        <v>48826</v>
      </c>
      <c r="G8123" s="5" t="s">
        <v>48827</v>
      </c>
      <c r="H8123" s="26">
        <v>17.5</v>
      </c>
      <c r="I8123" s="5" t="s">
        <v>48828</v>
      </c>
      <c r="J8123" s="5" t="s">
        <v>48829</v>
      </c>
      <c r="K8123" s="5" t="s">
        <v>344</v>
      </c>
      <c r="L8123" s="5" t="s">
        <v>48830</v>
      </c>
      <c r="M8123" s="27"/>
      <c r="N8123" s="5" t="s">
        <v>61397</v>
      </c>
      <c r="O8123" s="5" t="str">
        <v>7709640099</v>
      </c>
      <c r="P8123" s="27">
        <v>58535000</v>
      </c>
      <c r="Q8123" s="5" t="s">
        <v>49009</v>
      </c>
      <c r="R8123" s="5"/>
      <c r="S8123" s="5" t="s">
        <v>49358</v>
      </c>
      <c r="T8123" s="28">
        <v>690103000</v>
      </c>
      <c r="U8123" s="28"/>
      <c r="V8123" s="28">
        <v>1044563000</v>
      </c>
      <c r="W8123" s="28"/>
      <c r="X8123" s="28">
        <v>1408409000</v>
      </c>
      <c r="Y8123" s="28">
        <v>3370991000</v>
      </c>
      <c r="Z8123" s="28">
        <v>1821110000</v>
      </c>
      <c r="AA8123" s="28"/>
      <c r="AB8123" s="28"/>
      <c r="AC8123" s="28">
        <v>1095042000</v>
      </c>
      <c r="AD8123" s="28">
        <v>2305310000</v>
      </c>
      <c r="AE8123" s="28">
        <v>3669120000</v>
      </c>
      <c r="AF8123" s="28">
        <v>-782895000</v>
      </c>
      <c r="AG8123" s="11"/>
    </row>
    <row r="8124">
      <c r="A8124" s="7" t="s">
        <v>9659</v>
      </c>
      <c r="B8124" s="5" t="s">
        <v>17570</v>
      </c>
      <c r="C8124" s="5" t="s">
        <v>25120</v>
      </c>
      <c r="D8124" s="5" t="str">
        <v>504402202174</v>
      </c>
      <c r="E8124" s="0" t="e">
        <f>+7 (495) 5444300
+7 (800) 7778548
+7 (985) 8200278</f>
        <v>#NAME?</v>
      </c>
      <c r="F8124" s="5" t="s">
        <v>48831</v>
      </c>
      <c r="G8124" s="5" t="s">
        <v>48832</v>
      </c>
      <c r="H8124" s="26">
        <v>10</v>
      </c>
      <c r="I8124" s="5" t="s">
        <v>48833</v>
      </c>
      <c r="J8124" s="5" t="s">
        <v>25259</v>
      </c>
      <c r="K8124" s="5" t="s">
        <v>344</v>
      </c>
      <c r="L8124" s="5" t="s">
        <v>48834</v>
      </c>
      <c r="M8124" s="27"/>
      <c r="N8124" s="5"/>
      <c r="O8124" s="5" t="str">
        <v>7714898801</v>
      </c>
      <c r="P8124" s="27">
        <v>85714285</v>
      </c>
      <c r="Q8124" s="5" t="s">
        <v>49009</v>
      </c>
      <c r="R8124" s="5" t="s">
        <v>61398</v>
      </c>
      <c r="S8124" s="5" t="s">
        <v>49010</v>
      </c>
      <c r="T8124" s="28">
        <v>212134000</v>
      </c>
      <c r="U8124" s="28">
        <v>21778000</v>
      </c>
      <c r="V8124" s="28">
        <v>1628052000</v>
      </c>
      <c r="W8124" s="28">
        <v>18488000</v>
      </c>
      <c r="X8124" s="28">
        <v>1680609000</v>
      </c>
      <c r="Y8124" s="28">
        <v>9046534000</v>
      </c>
      <c r="Z8124" s="28">
        <v>6885430000</v>
      </c>
      <c r="AA8124" s="28"/>
      <c r="AB8124" s="28"/>
      <c r="AC8124" s="28">
        <v>2042455000</v>
      </c>
      <c r="AD8124" s="28">
        <v>7004079000</v>
      </c>
      <c r="AE8124" s="28">
        <v>16316474000</v>
      </c>
      <c r="AF8124" s="28">
        <v>3220958000</v>
      </c>
      <c r="AG8124" s="11"/>
    </row>
    <row r="8125">
      <c r="A8125" s="7" t="s">
        <v>9660</v>
      </c>
      <c r="B8125" s="5" t="s">
        <v>17571</v>
      </c>
      <c r="C8125" s="5" t="s">
        <v>25121</v>
      </c>
      <c r="D8125" s="5" t="str">
        <v>667001616760</v>
      </c>
      <c r="E8125" s="0" t="e">
        <f>+7 (495) 7538141
+7 (499) 2576732
+7 (916) 7188024</f>
        <v>#NAME?</v>
      </c>
      <c r="F8125" s="5"/>
      <c r="G8125" s="5" t="s">
        <v>48835</v>
      </c>
      <c r="H8125" s="26">
        <v>31.5</v>
      </c>
      <c r="I8125" s="5" t="s">
        <v>48836</v>
      </c>
      <c r="J8125" s="5" t="s">
        <v>25424</v>
      </c>
      <c r="K8125" s="5" t="s">
        <v>344</v>
      </c>
      <c r="L8125" s="5" t="s">
        <v>48837</v>
      </c>
      <c r="M8125" s="27">
        <v>3941958</v>
      </c>
      <c r="N8125" s="5" t="s">
        <v>61399</v>
      </c>
      <c r="O8125" s="5" t="str">
        <v>7705048318</v>
      </c>
      <c r="P8125" s="27">
        <v>8000000</v>
      </c>
      <c r="Q8125" s="5" t="s">
        <v>49059</v>
      </c>
      <c r="R8125" s="5"/>
      <c r="S8125" s="5" t="s">
        <v>49045</v>
      </c>
      <c r="T8125" s="28">
        <v>1405000</v>
      </c>
      <c r="U8125" s="28"/>
      <c r="V8125" s="28">
        <v>835413000</v>
      </c>
      <c r="W8125" s="28"/>
      <c r="X8125" s="28">
        <v>35551000</v>
      </c>
      <c r="Y8125" s="28">
        <v>1173278000</v>
      </c>
      <c r="Z8125" s="28">
        <v>830321000</v>
      </c>
      <c r="AA8125" s="28">
        <v>16310000</v>
      </c>
      <c r="AB8125" s="28"/>
      <c r="AC8125" s="28">
        <v>317874000</v>
      </c>
      <c r="AD8125" s="28">
        <v>838321000</v>
      </c>
      <c r="AE8125" s="28">
        <v>5210550000</v>
      </c>
      <c r="AF8125" s="28">
        <v>169871000</v>
      </c>
      <c r="AG8125" s="11"/>
    </row>
    <row r="8126">
      <c r="A8126" s="7" t="s">
        <v>9661</v>
      </c>
      <c r="B8126" s="5" t="s">
        <v>17572</v>
      </c>
      <c r="C8126" s="5" t="s">
        <v>25122</v>
      </c>
      <c r="D8126" s="5" t="str">
        <v>771514750744</v>
      </c>
      <c r="E8126" s="0" t="e">
        <f>+7 (495) 9376104
+7 (495) 9736116
+7 (3422) 583438
+7 (3433) 511383
+7 (383) 2093045
+7 (4232) 469100
+7 (495) 6800583
+7 (495) 9376109
+7 (495) 9376116
+7 (495) 9376123
+7 (49621) 99229
+7 (49621) 99299
+7 (812) 2330709
+7 (812) 3275056
+7 (83130) 67475</f>
        <v>#NAME?</v>
      </c>
      <c r="F8126" s="5" t="s">
        <v>48838</v>
      </c>
      <c r="G8126" s="5" t="s">
        <v>48839</v>
      </c>
      <c r="H8126" s="26">
        <v>25.5</v>
      </c>
      <c r="I8126" s="5" t="s">
        <v>48840</v>
      </c>
      <c r="J8126" s="5" t="s">
        <v>25982</v>
      </c>
      <c r="K8126" s="5" t="s">
        <v>344</v>
      </c>
      <c r="L8126" s="5" t="s">
        <v>35654</v>
      </c>
      <c r="M8126" s="27"/>
      <c r="N8126" s="5" t="s">
        <v>61400</v>
      </c>
      <c r="O8126" s="5" t="str">
        <v>7702195561</v>
      </c>
      <c r="P8126" s="27">
        <v>700000</v>
      </c>
      <c r="Q8126" s="5" t="s">
        <v>49009</v>
      </c>
      <c r="R8126" s="5"/>
      <c r="S8126" s="5" t="s">
        <v>61401</v>
      </c>
      <c r="T8126" s="28">
        <v>474625000</v>
      </c>
      <c r="U8126" s="28">
        <v>2000</v>
      </c>
      <c r="V8126" s="28">
        <v>2094072000</v>
      </c>
      <c r="W8126" s="28"/>
      <c r="X8126" s="28">
        <v>4856646000</v>
      </c>
      <c r="Y8126" s="28">
        <v>7481300000</v>
      </c>
      <c r="Z8126" s="28">
        <v>6521436000</v>
      </c>
      <c r="AA8126" s="28"/>
      <c r="AB8126" s="28"/>
      <c r="AC8126" s="28">
        <v>657882000</v>
      </c>
      <c r="AD8126" s="28">
        <v>6522136000</v>
      </c>
      <c r="AE8126" s="28">
        <v>3306240000</v>
      </c>
      <c r="AF8126" s="28">
        <v>269464000</v>
      </c>
      <c r="AG8126" s="11"/>
    </row>
    <row r="8127">
      <c r="A8127" s="7" t="s">
        <v>9662</v>
      </c>
      <c r="B8127" s="5" t="s">
        <v>17573</v>
      </c>
      <c r="C8127" s="5" t="s">
        <v>25123</v>
      </c>
      <c r="D8127" s="5" t="str">
        <v>526018668269</v>
      </c>
      <c r="E8127" s="0" t="e">
        <f>+7 (345) 2318595
+7 (345) 2328018
+7 (345) 2364004</f>
        <v>#NAME?</v>
      </c>
      <c r="F8127" s="5" t="s">
        <v>48841</v>
      </c>
      <c r="G8127" s="5" t="s">
        <v>48842</v>
      </c>
      <c r="H8127" s="26">
        <v>11.5</v>
      </c>
      <c r="I8127" s="5"/>
      <c r="J8127" s="5" t="s">
        <v>27802</v>
      </c>
      <c r="K8127" s="5" t="s">
        <v>344</v>
      </c>
      <c r="L8127" s="5"/>
      <c r="M8127" s="27"/>
      <c r="N8127" s="5" t="s">
        <v>61402</v>
      </c>
      <c r="O8127" s="5" t="str">
        <v>8601045152</v>
      </c>
      <c r="P8127" s="27">
        <v>9779832021</v>
      </c>
      <c r="Q8127" s="5" t="s">
        <v>61403</v>
      </c>
      <c r="R8127" s="5"/>
      <c r="S8127" s="5" t="s">
        <v>50262</v>
      </c>
      <c r="T8127" s="28">
        <v>11615619000</v>
      </c>
      <c r="U8127" s="28">
        <v>187151000</v>
      </c>
      <c r="V8127" s="28">
        <v>435255000</v>
      </c>
      <c r="W8127" s="28"/>
      <c r="X8127" s="28">
        <v>6570000</v>
      </c>
      <c r="Y8127" s="28">
        <v>12818688000</v>
      </c>
      <c r="Z8127" s="28">
        <v>-470330000</v>
      </c>
      <c r="AA8127" s="28"/>
      <c r="AB8127" s="28">
        <v>1702325000</v>
      </c>
      <c r="AC8127" s="28">
        <v>2120933000</v>
      </c>
      <c r="AD8127" s="28">
        <v>9781529000</v>
      </c>
      <c r="AE8127" s="28">
        <v>3819143000</v>
      </c>
      <c r="AF8127" s="28">
        <v>234144000</v>
      </c>
      <c r="AG8127" s="11"/>
    </row>
    <row r="8128">
      <c r="A8128" s="7" t="s">
        <v>9663</v>
      </c>
      <c r="B8128" s="5" t="s">
        <v>17574</v>
      </c>
      <c r="C8128" s="5" t="s">
        <v>25124</v>
      </c>
      <c r="D8128" s="5" t="str">
        <v>502208891307</v>
      </c>
      <c r="E8128" s="0" t="e">
        <f>+7 (495) 6443322
+7 (495) 6443329
+7 (903) 1347203</f>
        <v>#NAME?</v>
      </c>
      <c r="F8128" s="5"/>
      <c r="G8128" s="5" t="s">
        <v>48843</v>
      </c>
      <c r="H8128" s="26">
        <v>12.5</v>
      </c>
      <c r="I8128" s="5" t="s">
        <v>48844</v>
      </c>
      <c r="J8128" s="5" t="s">
        <v>25429</v>
      </c>
      <c r="K8128" s="5" t="s">
        <v>344</v>
      </c>
      <c r="L8128" s="5"/>
      <c r="M8128" s="27"/>
      <c r="N8128" s="5"/>
      <c r="O8128" s="5" t="str">
        <v>7701885682</v>
      </c>
      <c r="P8128" s="27">
        <v>800394675</v>
      </c>
      <c r="Q8128" s="5"/>
      <c r="R8128" s="5"/>
      <c r="S8128" s="5" t="s">
        <v>49110</v>
      </c>
      <c r="T8128" s="28">
        <v>18220000</v>
      </c>
      <c r="U8128" s="28"/>
      <c r="V8128" s="28">
        <v>905043000</v>
      </c>
      <c r="W8128" s="28"/>
      <c r="X8128" s="28">
        <v>172725000</v>
      </c>
      <c r="Y8128" s="28">
        <v>2197121000</v>
      </c>
      <c r="Z8128" s="28">
        <v>-632899000</v>
      </c>
      <c r="AA8128" s="28"/>
      <c r="AB8128" s="28">
        <v>21230000</v>
      </c>
      <c r="AC8128" s="28">
        <v>1993312000</v>
      </c>
      <c r="AD8128" s="28">
        <v>167496000</v>
      </c>
      <c r="AE8128" s="28">
        <v>4201016000</v>
      </c>
      <c r="AF8128" s="28">
        <v>42010000</v>
      </c>
      <c r="AG8128" s="11"/>
    </row>
    <row r="8129">
      <c r="A8129" s="7" t="s">
        <v>9664</v>
      </c>
      <c r="B8129" s="5" t="s">
        <v>17575</v>
      </c>
      <c r="C8129" s="5" t="s">
        <v>25125</v>
      </c>
      <c r="D8129" s="5" t="str">
        <v>344308547090</v>
      </c>
      <c r="E8129" s="0" t="e">
        <f>+7 (495) 7750738
+7 (495) 7750739</f>
        <v>#NAME?</v>
      </c>
      <c r="F8129" s="5"/>
      <c r="G8129" s="5" t="s">
        <v>48845</v>
      </c>
      <c r="H8129" s="26">
        <v>18.5</v>
      </c>
      <c r="I8129" s="5" t="s">
        <v>48846</v>
      </c>
      <c r="J8129" s="5" t="s">
        <v>866</v>
      </c>
      <c r="K8129" s="5" t="s">
        <v>344</v>
      </c>
      <c r="L8129" s="5" t="s">
        <v>48847</v>
      </c>
      <c r="M8129" s="27"/>
      <c r="N8129" s="5" t="s">
        <v>61404</v>
      </c>
      <c r="O8129" s="5" t="str">
        <v>7734515704</v>
      </c>
      <c r="P8129" s="27">
        <v>1000000</v>
      </c>
      <c r="Q8129" s="5" t="s">
        <v>49009</v>
      </c>
      <c r="R8129" s="5"/>
      <c r="S8129" s="5" t="s">
        <v>49010</v>
      </c>
      <c r="T8129" s="28">
        <v>90507000</v>
      </c>
      <c r="U8129" s="28">
        <v>13150000</v>
      </c>
      <c r="V8129" s="28">
        <v>982100000</v>
      </c>
      <c r="W8129" s="28"/>
      <c r="X8129" s="28">
        <v>416823000</v>
      </c>
      <c r="Y8129" s="28">
        <v>1736070000</v>
      </c>
      <c r="Z8129" s="28">
        <v>656742000</v>
      </c>
      <c r="AA8129" s="28"/>
      <c r="AB8129" s="28"/>
      <c r="AC8129" s="28">
        <v>535826000</v>
      </c>
      <c r="AD8129" s="28">
        <v>1191946000</v>
      </c>
      <c r="AE8129" s="28">
        <v>5625973000</v>
      </c>
      <c r="AF8129" s="28">
        <v>297253000</v>
      </c>
      <c r="AG8129" s="11"/>
    </row>
    <row r="8130">
      <c r="A8130" s="7" t="s">
        <v>9665</v>
      </c>
      <c r="B8130" s="5" t="s">
        <v>17576</v>
      </c>
      <c r="C8130" s="5" t="s">
        <v>25126</v>
      </c>
      <c r="D8130" s="5" t="str">
        <v>772371787713</v>
      </c>
      <c r="E8130" s="0" t="e">
        <f>+7 (800) 7775325</f>
        <v>#NAME?</v>
      </c>
      <c r="F8130" s="5" t="s">
        <v>48848</v>
      </c>
      <c r="G8130" s="5" t="s">
        <v>48849</v>
      </c>
      <c r="H8130" s="26">
        <v>14.5</v>
      </c>
      <c r="I8130" s="5" t="s">
        <v>48850</v>
      </c>
      <c r="J8130" s="5" t="s">
        <v>678</v>
      </c>
      <c r="K8130" s="5" t="s">
        <v>344</v>
      </c>
      <c r="L8130" s="5" t="s">
        <v>48851</v>
      </c>
      <c r="M8130" s="27"/>
      <c r="N8130" s="5" t="s">
        <v>61405</v>
      </c>
      <c r="O8130" s="5" t="str">
        <v>7720634451</v>
      </c>
      <c r="P8130" s="27">
        <v>1000000</v>
      </c>
      <c r="Q8130" s="5" t="s">
        <v>61406</v>
      </c>
      <c r="R8130" s="5"/>
      <c r="S8130" s="5" t="s">
        <v>61407</v>
      </c>
      <c r="T8130" s="28">
        <v>13609000</v>
      </c>
      <c r="U8130" s="28">
        <v>8000</v>
      </c>
      <c r="V8130" s="28">
        <v>922603000</v>
      </c>
      <c r="W8130" s="28">
        <v>570000</v>
      </c>
      <c r="X8130" s="28">
        <v>89930000</v>
      </c>
      <c r="Y8130" s="28">
        <v>3031484000</v>
      </c>
      <c r="Z8130" s="28">
        <v>1014148000</v>
      </c>
      <c r="AA8130" s="28"/>
      <c r="AB8130" s="28">
        <v>1525137000</v>
      </c>
      <c r="AC8130" s="28">
        <v>2009418000</v>
      </c>
      <c r="AD8130" s="28">
        <v>1014163000</v>
      </c>
      <c r="AE8130" s="28">
        <v>7637347000</v>
      </c>
      <c r="AF8130" s="28">
        <v>617523000</v>
      </c>
      <c r="AG8130" s="11"/>
    </row>
    <row r="8131">
      <c r="A8131" s="7" t="s">
        <v>9666</v>
      </c>
      <c r="B8131" s="5" t="s">
        <v>17577</v>
      </c>
      <c r="C8131" s="5" t="s">
        <v>25127</v>
      </c>
      <c r="D8131" s="5" t="str">
        <v>263401035049</v>
      </c>
      <c r="E8131" s="0" t="e">
        <f>+7 (800) 1004447
+7 (861) 2785008
+7 (861) 2785009
+7 (861) 2785010
+7 (861) 2785011
+7 (861) 2785012</f>
        <v>#NAME?</v>
      </c>
      <c r="F8131" s="5" t="s">
        <v>48852</v>
      </c>
      <c r="G8131" s="5" t="s">
        <v>48853</v>
      </c>
      <c r="H8131" s="26">
        <v>33.5</v>
      </c>
      <c r="I8131" s="5" t="s">
        <v>48854</v>
      </c>
      <c r="J8131" s="5" t="s">
        <v>37338</v>
      </c>
      <c r="K8131" s="5" t="s">
        <v>344</v>
      </c>
      <c r="L8131" s="5"/>
      <c r="M8131" s="27"/>
      <c r="N8131" s="5" t="s">
        <v>50358</v>
      </c>
      <c r="O8131" s="5" t="str">
        <v>2303015320</v>
      </c>
      <c r="P8131" s="27">
        <v>118848430</v>
      </c>
      <c r="Q8131" s="5" t="s">
        <v>49059</v>
      </c>
      <c r="R8131" s="5"/>
      <c r="S8131" s="5" t="s">
        <v>49884</v>
      </c>
      <c r="T8131" s="28">
        <v>1273317000</v>
      </c>
      <c r="U8131" s="28">
        <v>47120000</v>
      </c>
      <c r="V8131" s="28">
        <v>1258545000</v>
      </c>
      <c r="W8131" s="28"/>
      <c r="X8131" s="28">
        <v>17508000</v>
      </c>
      <c r="Y8131" s="28">
        <v>4361680000</v>
      </c>
      <c r="Z8131" s="28">
        <v>2284027000</v>
      </c>
      <c r="AA8131" s="28">
        <v>102083000</v>
      </c>
      <c r="AB8131" s="28">
        <v>372634000</v>
      </c>
      <c r="AC8131" s="28">
        <v>1700441000</v>
      </c>
      <c r="AD8131" s="28">
        <v>2402875000</v>
      </c>
      <c r="AE8131" s="28">
        <v>7187591000</v>
      </c>
      <c r="AF8131" s="28">
        <v>1029022000</v>
      </c>
      <c r="AG8131" s="11"/>
    </row>
    <row r="8132">
      <c r="A8132" s="7" t="s">
        <v>9667</v>
      </c>
      <c r="B8132" s="5" t="s">
        <v>17578</v>
      </c>
      <c r="C8132" s="5" t="s">
        <v>25128</v>
      </c>
      <c r="D8132" s="5" t="str">
        <v>611341066800</v>
      </c>
      <c r="E8132" s="0" t="e">
        <f>+7 (863) 3051586
+7 (8632) 972076
+7 (952) 5711415</f>
        <v>#NAME?</v>
      </c>
      <c r="F8132" s="5" t="s">
        <v>48855</v>
      </c>
      <c r="G8132" s="5"/>
      <c r="H8132" s="26">
        <v>13.5</v>
      </c>
      <c r="I8132" s="5" t="s">
        <v>48856</v>
      </c>
      <c r="J8132" s="5" t="s">
        <v>25986</v>
      </c>
      <c r="K8132" s="5" t="s">
        <v>344</v>
      </c>
      <c r="L8132" s="5" t="s">
        <v>48857</v>
      </c>
      <c r="M8132" s="27"/>
      <c r="N8132" s="5" t="s">
        <v>61408</v>
      </c>
      <c r="O8132" s="5" t="str">
        <v>6168028173</v>
      </c>
      <c r="P8132" s="27">
        <v>1004000</v>
      </c>
      <c r="Q8132" s="5" t="s">
        <v>61409</v>
      </c>
      <c r="R8132" s="5"/>
      <c r="S8132" s="5" t="s">
        <v>59708</v>
      </c>
      <c r="T8132" s="28">
        <v>238067000</v>
      </c>
      <c r="U8132" s="28"/>
      <c r="V8132" s="28">
        <v>205186000</v>
      </c>
      <c r="W8132" s="28"/>
      <c r="X8132" s="28">
        <v>1092000</v>
      </c>
      <c r="Y8132" s="28">
        <v>660612000</v>
      </c>
      <c r="Z8132" s="28">
        <v>193415000</v>
      </c>
      <c r="AA8132" s="28"/>
      <c r="AB8132" s="28">
        <v>310375000</v>
      </c>
      <c r="AC8132" s="28">
        <v>364109000</v>
      </c>
      <c r="AD8132" s="28">
        <v>194419000</v>
      </c>
      <c r="AE8132" s="28">
        <v>3112843000</v>
      </c>
      <c r="AF8132" s="28">
        <v>17904000</v>
      </c>
      <c r="AG8132" s="11"/>
    </row>
    <row r="8133">
      <c r="A8133" s="7" t="s">
        <v>9668</v>
      </c>
      <c r="B8133" s="5" t="s">
        <v>17579</v>
      </c>
      <c r="C8133" s="5" t="s">
        <v>25129</v>
      </c>
      <c r="D8133" s="5" t="str">
        <v>022001725863</v>
      </c>
      <c r="E8133" s="0" t="e">
        <f>+7 (902) 8191603
+7 (912) 4179120
+7 (963) 425202</f>
        <v>#NAME?</v>
      </c>
      <c r="F8133" s="5" t="s">
        <v>48858</v>
      </c>
      <c r="G8133" s="5"/>
      <c r="H8133" s="26">
        <v>7</v>
      </c>
      <c r="I8133" s="5" t="s">
        <v>48859</v>
      </c>
      <c r="J8133" s="5" t="s">
        <v>364</v>
      </c>
      <c r="K8133" s="5" t="s">
        <v>355</v>
      </c>
      <c r="L8133" s="5" t="s">
        <v>48860</v>
      </c>
      <c r="M8133" s="27"/>
      <c r="N8133" s="5" t="s">
        <v>61410</v>
      </c>
      <c r="O8133" s="5" t="str">
        <v>8601056605</v>
      </c>
      <c r="P8133" s="27">
        <v>10000</v>
      </c>
      <c r="Q8133" s="5" t="s">
        <v>61411</v>
      </c>
      <c r="R8133" s="5"/>
      <c r="S8133" s="5" t="s">
        <v>61412</v>
      </c>
      <c r="T8133" s="28"/>
      <c r="U8133" s="28"/>
      <c r="V8133" s="28"/>
      <c r="W8133" s="28"/>
      <c r="X8133" s="28">
        <v>7993000</v>
      </c>
      <c r="Y8133" s="28">
        <v>7993000</v>
      </c>
      <c r="Z8133" s="28"/>
      <c r="AA8133" s="28"/>
      <c r="AB8133" s="28"/>
      <c r="AC8133" s="28">
        <v>4588000</v>
      </c>
      <c r="AD8133" s="28">
        <v>3405000</v>
      </c>
      <c r="AE8133" s="28">
        <v>214671570000000</v>
      </c>
      <c r="AF8133" s="28">
        <v>51822090000000</v>
      </c>
      <c r="AG8133" s="11"/>
    </row>
    <row r="8134">
      <c r="A8134" s="7" t="s">
        <v>9669</v>
      </c>
      <c r="B8134" s="5" t="s">
        <v>17580</v>
      </c>
      <c r="C8134" s="5" t="s">
        <v>25130</v>
      </c>
      <c r="D8134" s="5" t="str">
        <v>523802686883</v>
      </c>
      <c r="E8134" s="0" t="e">
        <f>+7 (831) 2515812
+7 (831) 2585112</f>
        <v>#NAME?</v>
      </c>
      <c r="F8134" s="5"/>
      <c r="G8134" s="5" t="s">
        <v>48861</v>
      </c>
      <c r="H8134" s="26">
        <v>7</v>
      </c>
      <c r="I8134" s="5" t="s">
        <v>29981</v>
      </c>
      <c r="J8134" s="5" t="s">
        <v>26367</v>
      </c>
      <c r="K8134" s="5" t="s">
        <v>344</v>
      </c>
      <c r="L8134" s="5"/>
      <c r="M8134" s="27"/>
      <c r="N8134" s="5"/>
      <c r="O8134" s="5" t="str">
        <v>5260418568</v>
      </c>
      <c r="P8134" s="27">
        <v>10000000</v>
      </c>
      <c r="Q8134" s="5" t="s">
        <v>49021</v>
      </c>
      <c r="R8134" s="5"/>
      <c r="S8134" s="5" t="s">
        <v>61413</v>
      </c>
      <c r="T8134" s="28">
        <v>75246000</v>
      </c>
      <c r="U8134" s="28"/>
      <c r="V8134" s="28">
        <v>1817119000</v>
      </c>
      <c r="W8134" s="28">
        <v>729770000</v>
      </c>
      <c r="X8134" s="28">
        <v>25814000</v>
      </c>
      <c r="Y8134" s="28">
        <v>3581996000</v>
      </c>
      <c r="Z8134" s="28">
        <v>512645000</v>
      </c>
      <c r="AA8134" s="28">
        <v>345000000</v>
      </c>
      <c r="AB8134" s="28"/>
      <c r="AC8134" s="28">
        <v>2714351000</v>
      </c>
      <c r="AD8134" s="28">
        <v>522645000</v>
      </c>
      <c r="AE8134" s="28">
        <v>5972784000</v>
      </c>
      <c r="AF8134" s="28">
        <v>646776000</v>
      </c>
      <c r="AG8134" s="11"/>
    </row>
    <row r="8135">
      <c r="A8135" s="7" t="s">
        <v>9670</v>
      </c>
      <c r="B8135" s="5" t="s">
        <v>17581</v>
      </c>
      <c r="C8135" s="5" t="s">
        <v>25131</v>
      </c>
      <c r="D8135" s="5" t="str">
        <v>770507424924</v>
      </c>
      <c r="F8135" s="5" t="s">
        <v>48862</v>
      </c>
      <c r="G8135" s="5"/>
      <c r="H8135" s="26">
        <v>2</v>
      </c>
      <c r="I8135" s="5" t="s">
        <v>48863</v>
      </c>
      <c r="J8135" s="5" t="s">
        <v>28593</v>
      </c>
      <c r="K8135" s="5" t="s">
        <v>344</v>
      </c>
      <c r="L8135" s="5"/>
      <c r="M8135" s="27"/>
      <c r="N8135" s="5"/>
      <c r="O8135" s="5" t="str">
        <v>9704043737</v>
      </c>
      <c r="P8135" s="27">
        <v>10000</v>
      </c>
      <c r="Q8135" s="5"/>
      <c r="R8135" s="5"/>
      <c r="S8135" s="5" t="s">
        <v>49123</v>
      </c>
      <c r="T8135" s="28">
        <v>1984000</v>
      </c>
      <c r="U8135" s="28"/>
      <c r="V8135" s="28">
        <v>552690000</v>
      </c>
      <c r="W8135" s="28"/>
      <c r="X8135" s="28">
        <v>5348000</v>
      </c>
      <c r="Y8135" s="28">
        <v>837754000</v>
      </c>
      <c r="Z8135" s="28">
        <v>266303000</v>
      </c>
      <c r="AA8135" s="28"/>
      <c r="AB8135" s="28"/>
      <c r="AC8135" s="28">
        <v>571331000</v>
      </c>
      <c r="AD8135" s="28">
        <v>266313000</v>
      </c>
      <c r="AE8135" s="28">
        <v>5521499000</v>
      </c>
      <c r="AF8135" s="28">
        <v>221913000</v>
      </c>
      <c r="AG8135" s="11"/>
    </row>
    <row r="8136">
      <c r="A8136" s="7" t="s">
        <v>9671</v>
      </c>
      <c r="B8136" s="5" t="s">
        <v>17582</v>
      </c>
      <c r="C8136" s="5" t="s">
        <v>25132</v>
      </c>
      <c r="D8136" s="5" t="str">
        <v>331503023726</v>
      </c>
      <c r="E8136" s="0" t="e">
        <f>+7 (49248) 25006
+7 (49248) 25007
+7 (49248) 25008
+7 (49248) 25009
+7 (49248) 25010
+7 (49248) 25011
+7 (49248) 25012
+7 (49248) 25013
+7 (902) 5573761
+7 (903) 9024715
+7 (910) 7711391
+7 (913) 4682256
+7 (918) 744301
+7 (919) 238323
+7 (919) 6283363</f>
        <v>#NAME?</v>
      </c>
      <c r="F8136" s="5" t="s">
        <v>48864</v>
      </c>
      <c r="G8136" s="5" t="s">
        <v>48865</v>
      </c>
      <c r="H8136" s="26">
        <v>16.5</v>
      </c>
      <c r="I8136" s="5"/>
      <c r="J8136" s="5" t="s">
        <v>26268</v>
      </c>
      <c r="K8136" s="5" t="s">
        <v>344</v>
      </c>
      <c r="L8136" s="5" t="s">
        <v>48866</v>
      </c>
      <c r="M8136" s="27"/>
      <c r="N8136" s="5"/>
      <c r="O8136" s="5" t="str">
        <v>3315010390</v>
      </c>
      <c r="P8136" s="27">
        <v>542702000</v>
      </c>
      <c r="Q8136" s="5"/>
      <c r="R8136" s="5"/>
      <c r="S8136" s="5" t="s">
        <v>49123</v>
      </c>
      <c r="T8136" s="28">
        <v>2872571000</v>
      </c>
      <c r="U8136" s="28">
        <v>10000000</v>
      </c>
      <c r="V8136" s="28">
        <v>3083382000</v>
      </c>
      <c r="W8136" s="28"/>
      <c r="X8136" s="28">
        <v>2645429000</v>
      </c>
      <c r="Y8136" s="28">
        <v>10560655000</v>
      </c>
      <c r="Z8136" s="28">
        <v>9111885000</v>
      </c>
      <c r="AA8136" s="28"/>
      <c r="AB8136" s="28"/>
      <c r="AC8136" s="28">
        <v>703133000</v>
      </c>
      <c r="AD8136" s="28">
        <v>9654587000</v>
      </c>
      <c r="AE8136" s="28">
        <v>9577913000</v>
      </c>
      <c r="AF8136" s="28">
        <v>1132701000</v>
      </c>
      <c r="AG8136" s="11"/>
    </row>
    <row r="8137">
      <c r="A8137" s="7" t="s">
        <v>9672</v>
      </c>
      <c r="B8137" s="5" t="s">
        <v>17583</v>
      </c>
      <c r="C8137" s="5" t="s">
        <v>25133</v>
      </c>
      <c r="D8137" s="5" t="str">
        <v>771902163168</v>
      </c>
      <c r="E8137" s="0" t="e">
        <f>+7 (903) 1450837
+7 (918) 707404</f>
        <v>#NAME?</v>
      </c>
      <c r="F8137" s="5" t="s">
        <v>48867</v>
      </c>
      <c r="G8137" s="5"/>
      <c r="H8137" s="26">
        <v>12</v>
      </c>
      <c r="I8137" s="5" t="s">
        <v>48868</v>
      </c>
      <c r="J8137" s="5" t="s">
        <v>866</v>
      </c>
      <c r="K8137" s="5" t="s">
        <v>344</v>
      </c>
      <c r="L8137" s="5" t="s">
        <v>48869</v>
      </c>
      <c r="M8137" s="27">
        <v>4171940</v>
      </c>
      <c r="N8137" s="5"/>
      <c r="O8137" s="5" t="str">
        <v>2315166155</v>
      </c>
      <c r="P8137" s="27">
        <v>50000000</v>
      </c>
      <c r="Q8137" s="5" t="s">
        <v>49009</v>
      </c>
      <c r="R8137" s="5"/>
      <c r="S8137" s="5" t="s">
        <v>49045</v>
      </c>
      <c r="T8137" s="28">
        <v>2215682000</v>
      </c>
      <c r="U8137" s="28">
        <v>22285000</v>
      </c>
      <c r="V8137" s="28">
        <v>71235000</v>
      </c>
      <c r="W8137" s="28">
        <v>792000</v>
      </c>
      <c r="X8137" s="28">
        <v>53593000</v>
      </c>
      <c r="Y8137" s="28">
        <v>2884212000</v>
      </c>
      <c r="Z8137" s="28">
        <v>698209000</v>
      </c>
      <c r="AA8137" s="28">
        <v>512768000</v>
      </c>
      <c r="AB8137" s="28">
        <v>288619000</v>
      </c>
      <c r="AC8137" s="28">
        <v>1402349000</v>
      </c>
      <c r="AD8137" s="28">
        <v>748209000</v>
      </c>
      <c r="AE8137" s="28">
        <v>4089670000</v>
      </c>
      <c r="AF8137" s="28">
        <v>441931000</v>
      </c>
      <c r="AG8137" s="11"/>
    </row>
    <row r="8138">
      <c r="A8138" s="7" t="s">
        <v>9673</v>
      </c>
      <c r="B8138" s="5" t="s">
        <v>17584</v>
      </c>
      <c r="C8138" s="5" t="s">
        <v>25134</v>
      </c>
      <c r="D8138" s="5" t="str">
        <v>891000069596</v>
      </c>
      <c r="E8138" s="0" t="e">
        <f>+7 (345) 2298049
+7 (345) 2298091
+7 (345) 2298139
+7 (345) 2298152
+7 (345) 2298154
+7 (345) 2298175
+7 (345) 2298212
+7 (345) 2298490</f>
        <v>#NAME?</v>
      </c>
      <c r="F8138" s="5" t="s">
        <v>48870</v>
      </c>
      <c r="G8138" s="5"/>
      <c r="H8138" s="26">
        <v>27</v>
      </c>
      <c r="I8138" s="5"/>
      <c r="J8138" s="5" t="s">
        <v>25454</v>
      </c>
      <c r="K8138" s="5" t="s">
        <v>355</v>
      </c>
      <c r="L8138" s="5" t="s">
        <v>48871</v>
      </c>
      <c r="M8138" s="27"/>
      <c r="N8138" s="5" t="s">
        <v>61414</v>
      </c>
      <c r="O8138" s="5" t="str">
        <v>7219006479</v>
      </c>
      <c r="P8138" s="27">
        <v>1000000</v>
      </c>
      <c r="Q8138" s="5" t="s">
        <v>61415</v>
      </c>
      <c r="R8138" s="5"/>
      <c r="S8138" s="5" t="s">
        <v>61416</v>
      </c>
      <c r="T8138" s="28">
        <v>698737000</v>
      </c>
      <c r="U8138" s="28">
        <v>10000</v>
      </c>
      <c r="V8138" s="28">
        <v>1258871000</v>
      </c>
      <c r="W8138" s="28"/>
      <c r="X8138" s="28">
        <v>135059000</v>
      </c>
      <c r="Y8138" s="28">
        <v>2317732000</v>
      </c>
      <c r="Z8138" s="28">
        <v>140944000</v>
      </c>
      <c r="AA8138" s="28"/>
      <c r="AB8138" s="28"/>
      <c r="AC8138" s="28">
        <v>1557611000</v>
      </c>
      <c r="AD8138" s="28">
        <v>142307000</v>
      </c>
      <c r="AE8138" s="28">
        <v>5525862000</v>
      </c>
      <c r="AF8138" s="28">
        <v>-60900000</v>
      </c>
      <c r="AG8138" s="11"/>
    </row>
    <row r="8139">
      <c r="A8139" s="7" t="s">
        <v>9674</v>
      </c>
      <c r="B8139" s="5" t="s">
        <v>17585</v>
      </c>
      <c r="C8139" s="5" t="s">
        <v>25135</v>
      </c>
      <c r="D8139" s="5" t="str">
        <v>890900375146</v>
      </c>
      <c r="E8139" s="0" t="e">
        <f>+7 (345) 2298397
+7 (346) 2298397
+7 (346) 2772588
+7 (3463) 222626
+7 (3463) 260606
+7 (345) 2243199
+7 (345) 2298101
+7 (345) 2298372
+7 (346) 2243199
+7 (3461) 229759
+7 (3461) 255110
+7 (3463) 225656
+7 (3463) 229759
+7 (3467) 125656
+7 (3467) 129759</f>
        <v>#NAME?</v>
      </c>
      <c r="F8139" s="5" t="s">
        <v>48872</v>
      </c>
      <c r="G8139" s="5"/>
      <c r="H8139" s="26">
        <v>27</v>
      </c>
      <c r="I8139" s="5"/>
      <c r="J8139" s="5" t="s">
        <v>25470</v>
      </c>
      <c r="K8139" s="5" t="s">
        <v>344</v>
      </c>
      <c r="L8139" s="5" t="s">
        <v>48873</v>
      </c>
      <c r="M8139" s="27">
        <v>21971412</v>
      </c>
      <c r="N8139" s="5" t="s">
        <v>61417</v>
      </c>
      <c r="O8139" s="5" t="str">
        <v>8604005359</v>
      </c>
      <c r="P8139" s="27">
        <v>5000206600</v>
      </c>
      <c r="Q8139" s="5" t="s">
        <v>61418</v>
      </c>
      <c r="R8139" s="5" t="s">
        <v>61419</v>
      </c>
      <c r="S8139" s="5" t="s">
        <v>61420</v>
      </c>
      <c r="T8139" s="28">
        <v>17620297000</v>
      </c>
      <c r="U8139" s="28">
        <v>16307517000</v>
      </c>
      <c r="V8139" s="28">
        <v>7326482000</v>
      </c>
      <c r="W8139" s="28">
        <v>4773524000</v>
      </c>
      <c r="X8139" s="28">
        <v>790258000</v>
      </c>
      <c r="Y8139" s="28">
        <v>52375737000</v>
      </c>
      <c r="Z8139" s="28">
        <v>-4431723000</v>
      </c>
      <c r="AA8139" s="28">
        <v>35382648000</v>
      </c>
      <c r="AB8139" s="28">
        <v>304886000</v>
      </c>
      <c r="AC8139" s="28">
        <v>6069077000</v>
      </c>
      <c r="AD8139" s="28">
        <v>2096242000</v>
      </c>
      <c r="AE8139" s="28">
        <v>22436748000</v>
      </c>
      <c r="AF8139" s="28">
        <v>-869957000</v>
      </c>
      <c r="AG8139" s="11"/>
    </row>
    <row r="8140">
      <c r="A8140" s="7" t="s">
        <v>9675</v>
      </c>
      <c r="B8140" s="5" t="s">
        <v>17586</v>
      </c>
      <c r="C8140" s="5" t="s">
        <v>25136</v>
      </c>
      <c r="D8140" s="5" t="str">
        <v>860202631697</v>
      </c>
      <c r="E8140" s="0" t="e">
        <f>+7 (345) 2432596
+7 (345) 2433054
+7 (912) 3840441
+7 (345) 2298092
+7 (345) 2298540
+7 (345) 2298580
+7 (345) 2298849
+7 (345) 2298949
+7 (912) 3928415</f>
        <v>#NAME?</v>
      </c>
      <c r="F8140" s="5" t="s">
        <v>48874</v>
      </c>
      <c r="G8140" s="5" t="s">
        <v>48875</v>
      </c>
      <c r="H8140" s="26">
        <v>30</v>
      </c>
      <c r="I8140" s="5"/>
      <c r="J8140" s="5" t="s">
        <v>27561</v>
      </c>
      <c r="K8140" s="5" t="s">
        <v>344</v>
      </c>
      <c r="L8140" s="5" t="s">
        <v>48876</v>
      </c>
      <c r="M8140" s="27">
        <v>178480613</v>
      </c>
      <c r="N8140" s="5" t="s">
        <v>61421</v>
      </c>
      <c r="O8140" s="5" t="str">
        <v>7204002009</v>
      </c>
      <c r="P8140" s="27">
        <v>8125106400</v>
      </c>
      <c r="Q8140" s="5" t="s">
        <v>61422</v>
      </c>
      <c r="R8140" s="5"/>
      <c r="S8140" s="5" t="s">
        <v>49085</v>
      </c>
      <c r="T8140" s="28">
        <v>1120976000</v>
      </c>
      <c r="U8140" s="28">
        <v>15777633000</v>
      </c>
      <c r="V8140" s="28">
        <v>2636554000</v>
      </c>
      <c r="W8140" s="28"/>
      <c r="X8140" s="28">
        <v>93709000</v>
      </c>
      <c r="Y8140" s="28">
        <v>22825708000</v>
      </c>
      <c r="Z8140" s="28">
        <v>-685794000</v>
      </c>
      <c r="AA8140" s="28">
        <v>10657963000</v>
      </c>
      <c r="AB8140" s="28">
        <v>15000</v>
      </c>
      <c r="AC8140" s="28">
        <v>2470294000</v>
      </c>
      <c r="AD8140" s="28">
        <v>7883809000</v>
      </c>
      <c r="AE8140" s="28">
        <v>8771095000</v>
      </c>
      <c r="AF8140" s="28">
        <v>-667248000</v>
      </c>
      <c r="AG8140" s="11"/>
    </row>
    <row r="8141">
      <c r="A8141" s="7" t="s">
        <v>9676</v>
      </c>
      <c r="B8141" s="5" t="s">
        <v>17587</v>
      </c>
      <c r="C8141" s="5" t="s">
        <v>25137</v>
      </c>
      <c r="D8141" s="5" t="str">
        <v>665803198231</v>
      </c>
      <c r="E8141" s="0" t="e">
        <f>+7 (345) 2328006
+7 (3467) 317640
+7 (3467) 362410
+7 (800) 5558610
+7 (345) 2315577
+7 (345) 2318118
+7 (345) 2364182
+7 (3467) 328864
+7 (3467) 328865
+7 (3467) 328867
+7 (3467) 328868
+7 (3467) 328871</f>
        <v>#NAME?</v>
      </c>
      <c r="F8141" s="5" t="s">
        <v>48877</v>
      </c>
      <c r="G8141" s="5" t="s">
        <v>48878</v>
      </c>
      <c r="H8141" s="26">
        <v>15.5</v>
      </c>
      <c r="I8141" s="5"/>
      <c r="J8141" s="5" t="s">
        <v>34133</v>
      </c>
      <c r="K8141" s="5" t="s">
        <v>344</v>
      </c>
      <c r="L8141" s="5" t="s">
        <v>48879</v>
      </c>
      <c r="M8141" s="27">
        <v>5540100</v>
      </c>
      <c r="N8141" s="5" t="s">
        <v>61423</v>
      </c>
      <c r="O8141" s="5" t="str">
        <v>8601033125</v>
      </c>
      <c r="P8141" s="27">
        <v>5000000</v>
      </c>
      <c r="Q8141" s="5" t="s">
        <v>61424</v>
      </c>
      <c r="R8141" s="5" t="s">
        <v>61425</v>
      </c>
      <c r="S8141" s="5" t="s">
        <v>61426</v>
      </c>
      <c r="T8141" s="28">
        <v>12606465000</v>
      </c>
      <c r="U8141" s="28">
        <v>773546000</v>
      </c>
      <c r="V8141" s="28">
        <v>1987480000</v>
      </c>
      <c r="W8141" s="28">
        <v>972501000</v>
      </c>
      <c r="X8141" s="28">
        <v>1099369000</v>
      </c>
      <c r="Y8141" s="28">
        <v>17856919000</v>
      </c>
      <c r="Z8141" s="28">
        <v>10953878000</v>
      </c>
      <c r="AA8141" s="28">
        <v>1728000000</v>
      </c>
      <c r="AB8141" s="28">
        <v>886402000</v>
      </c>
      <c r="AC8141" s="28">
        <v>2088915000</v>
      </c>
      <c r="AD8141" s="28">
        <v>12402174000</v>
      </c>
      <c r="AE8141" s="28">
        <v>5895976000</v>
      </c>
      <c r="AF8141" s="28">
        <v>1432747000</v>
      </c>
      <c r="AG8141" s="11"/>
    </row>
    <row r="8142">
      <c r="A8142" s="7" t="s">
        <v>9677</v>
      </c>
      <c r="B8142" s="5" t="s">
        <v>17588</v>
      </c>
      <c r="C8142" s="5" t="s">
        <v>25138</v>
      </c>
      <c r="D8142" s="5" t="str">
        <v>272311040592</v>
      </c>
      <c r="E8142" s="0" t="e">
        <f>+7 (495) 7392100
+7 (916) 1051031</f>
        <v>#NAME?</v>
      </c>
      <c r="F8142" s="5" t="s">
        <v>48880</v>
      </c>
      <c r="G8142" s="5"/>
      <c r="H8142" s="26">
        <v>19.5</v>
      </c>
      <c r="I8142" s="5" t="s">
        <v>48881</v>
      </c>
      <c r="J8142" s="5" t="s">
        <v>26999</v>
      </c>
      <c r="K8142" s="5" t="s">
        <v>344</v>
      </c>
      <c r="L8142" s="5" t="s">
        <v>48882</v>
      </c>
      <c r="M8142" s="27"/>
      <c r="N8142" s="5"/>
      <c r="O8142" s="5" t="str">
        <v>7716235408</v>
      </c>
      <c r="P8142" s="27">
        <v>1110000</v>
      </c>
      <c r="Q8142" s="5"/>
      <c r="R8142" s="5"/>
      <c r="S8142" s="5" t="s">
        <v>49029</v>
      </c>
      <c r="T8142" s="28">
        <v>1377000</v>
      </c>
      <c r="U8142" s="28">
        <v>443000</v>
      </c>
      <c r="V8142" s="28">
        <v>668715000</v>
      </c>
      <c r="W8142" s="28">
        <v>443000000</v>
      </c>
      <c r="X8142" s="28">
        <v>535601000</v>
      </c>
      <c r="Y8142" s="28">
        <v>6780510000</v>
      </c>
      <c r="Z8142" s="28">
        <v>3153521000</v>
      </c>
      <c r="AA8142" s="28">
        <v>273000000</v>
      </c>
      <c r="AB8142" s="28">
        <v>30721000</v>
      </c>
      <c r="AC8142" s="28">
        <v>3274706000</v>
      </c>
      <c r="AD8142" s="28">
        <v>3153631000</v>
      </c>
      <c r="AE8142" s="28">
        <v>5470021000</v>
      </c>
      <c r="AF8142" s="28">
        <v>2763761000</v>
      </c>
      <c r="AG8142" s="11"/>
    </row>
    <row r="8143">
      <c r="A8143" s="7" t="s">
        <v>9678</v>
      </c>
      <c r="B8143" s="5" t="s">
        <v>17589</v>
      </c>
      <c r="C8143" s="5" t="s">
        <v>25139</v>
      </c>
      <c r="D8143" s="5" t="str">
        <v>645317406018</v>
      </c>
      <c r="E8143" s="0" t="e">
        <f>+7 (8452) 398162
+7 (8452) 503896</f>
        <v>#NAME?</v>
      </c>
      <c r="F8143" s="5" t="s">
        <v>48883</v>
      </c>
      <c r="G8143" s="5" t="s">
        <v>48884</v>
      </c>
      <c r="H8143" s="26">
        <v>11</v>
      </c>
      <c r="I8143" s="5" t="s">
        <v>48885</v>
      </c>
      <c r="J8143" s="5" t="s">
        <v>25837</v>
      </c>
      <c r="K8143" s="5" t="s">
        <v>344</v>
      </c>
      <c r="L8143" s="5" t="s">
        <v>48886</v>
      </c>
      <c r="M8143" s="27"/>
      <c r="N8143" s="5"/>
      <c r="O8143" s="5" t="str">
        <v>6452095954</v>
      </c>
      <c r="P8143" s="27">
        <v>10000</v>
      </c>
      <c r="Q8143" s="5"/>
      <c r="R8143" s="5"/>
      <c r="S8143" s="5" t="s">
        <v>49029</v>
      </c>
      <c r="T8143" s="28">
        <v>502570000</v>
      </c>
      <c r="U8143" s="28"/>
      <c r="V8143" s="28">
        <v>1198376000</v>
      </c>
      <c r="W8143" s="28">
        <v>14314000</v>
      </c>
      <c r="X8143" s="28">
        <v>9414000</v>
      </c>
      <c r="Y8143" s="28">
        <v>2231256000</v>
      </c>
      <c r="Z8143" s="28">
        <v>611511000</v>
      </c>
      <c r="AA8143" s="28">
        <v>308000000</v>
      </c>
      <c r="AB8143" s="28">
        <v>998488000</v>
      </c>
      <c r="AC8143" s="28">
        <v>1311735000</v>
      </c>
      <c r="AD8143" s="28">
        <v>611521000</v>
      </c>
      <c r="AE8143" s="28">
        <v>6625889000</v>
      </c>
      <c r="AF8143" s="28">
        <v>337095000</v>
      </c>
      <c r="AG8143" s="11"/>
    </row>
    <row r="8144">
      <c r="A8144" s="7" t="s">
        <v>9679</v>
      </c>
      <c r="B8144" s="5" t="s">
        <v>17590</v>
      </c>
      <c r="C8144" s="5" t="s">
        <v>25140</v>
      </c>
      <c r="D8144" s="5" t="str">
        <v>410112652210</v>
      </c>
      <c r="E8144" s="0" t="e">
        <f>+7 (415) 2203039
+7 (415) 2216759
+7 (415) 2222390
+7 (415) 2224343
+7 (415) 2224623
+7 (415) 2245787
+7 (415) 2294921
+7 (415) 2316547
+7 (415) 2415547
+7 (415) 2416378
+7 (415) 2417323
+7 (415) 2417369
+7 (415) 2458784
+7 (415) 2224323
+7 (415) 2417386</f>
        <v>#NAME?</v>
      </c>
      <c r="F8144" s="5" t="s">
        <v>48887</v>
      </c>
      <c r="G8144" s="5" t="s">
        <v>48888</v>
      </c>
      <c r="H8144" s="26">
        <v>17.5</v>
      </c>
      <c r="I8144" s="5" t="s">
        <v>48889</v>
      </c>
      <c r="J8144" s="5" t="s">
        <v>25295</v>
      </c>
      <c r="K8144" s="5" t="s">
        <v>344</v>
      </c>
      <c r="L8144" s="5" t="s">
        <v>48890</v>
      </c>
      <c r="M8144" s="27"/>
      <c r="N8144" s="5" t="s">
        <v>61427</v>
      </c>
      <c r="O8144" s="5" t="str">
        <v>4101101796</v>
      </c>
      <c r="P8144" s="27">
        <v>887802560</v>
      </c>
      <c r="Q8144" s="5" t="s">
        <v>61428</v>
      </c>
      <c r="R8144" s="5" t="s">
        <v>61429</v>
      </c>
      <c r="S8144" s="5" t="s">
        <v>50262</v>
      </c>
      <c r="T8144" s="28">
        <v>1731586000</v>
      </c>
      <c r="U8144" s="28">
        <v>6506000</v>
      </c>
      <c r="V8144" s="28">
        <v>589470000</v>
      </c>
      <c r="W8144" s="28"/>
      <c r="X8144" s="28">
        <v>253484000</v>
      </c>
      <c r="Y8144" s="28">
        <v>4901779000</v>
      </c>
      <c r="Z8144" s="28">
        <v>1536882000</v>
      </c>
      <c r="AA8144" s="28">
        <v>780684000</v>
      </c>
      <c r="AB8144" s="28">
        <v>687310000</v>
      </c>
      <c r="AC8144" s="28">
        <v>1573889000</v>
      </c>
      <c r="AD8144" s="28">
        <v>2591366000</v>
      </c>
      <c r="AE8144" s="28">
        <v>5174147000</v>
      </c>
      <c r="AF8144" s="28">
        <v>306179000</v>
      </c>
      <c r="AG8144" s="11"/>
    </row>
    <row r="8145">
      <c r="A8145" s="7" t="s">
        <v>9680</v>
      </c>
      <c r="B8145" s="5" t="s">
        <v>17591</v>
      </c>
      <c r="C8145" s="5" t="s">
        <v>25141</v>
      </c>
      <c r="D8145" s="5" t="str">
        <v>760703722166</v>
      </c>
      <c r="E8145" s="0" t="e">
        <f>+7 (484) 2736266
+7 (485) 2252145
+7 (485) 2328644
+7 (485) 2201169
+7 (485) 2251793
+7 (485) 2252414
+7 (485) 2252685
+7 (485) 2300033
+7 (485) 2300035
+7 (485) 2305261
+7 (485) 2307371
+7 (485) 2320295
+7 (485) 2333010
+7 (485) 2429512
+7 (485) 2442653</f>
        <v>#NAME?</v>
      </c>
      <c r="F8145" s="5" t="s">
        <v>48891</v>
      </c>
      <c r="G8145" s="5" t="s">
        <v>48892</v>
      </c>
      <c r="H8145" s="26">
        <v>31</v>
      </c>
      <c r="I8145" s="5" t="s">
        <v>48893</v>
      </c>
      <c r="J8145" s="5" t="s">
        <v>27944</v>
      </c>
      <c r="K8145" s="5" t="s">
        <v>344</v>
      </c>
      <c r="L8145" s="5"/>
      <c r="M8145" s="27">
        <v>30563095</v>
      </c>
      <c r="N8145" s="5" t="s">
        <v>61430</v>
      </c>
      <c r="O8145" s="5" t="str">
        <v>7606069518</v>
      </c>
      <c r="P8145" s="27">
        <v>5790093500</v>
      </c>
      <c r="Q8145" s="5" t="s">
        <v>61432</v>
      </c>
      <c r="R8145" s="5"/>
      <c r="S8145" s="5" t="s">
        <v>49271</v>
      </c>
      <c r="T8145" s="28">
        <v>6932766000</v>
      </c>
      <c r="U8145" s="28">
        <v>33333000</v>
      </c>
      <c r="V8145" s="28">
        <v>979813000</v>
      </c>
      <c r="W8145" s="28"/>
      <c r="X8145" s="28">
        <v>51818000</v>
      </c>
      <c r="Y8145" s="28">
        <v>8498860000</v>
      </c>
      <c r="Z8145" s="28">
        <v>854149000</v>
      </c>
      <c r="AA8145" s="28">
        <v>56500000</v>
      </c>
      <c r="AB8145" s="28">
        <v>78189000</v>
      </c>
      <c r="AC8145" s="28">
        <v>1323413000</v>
      </c>
      <c r="AD8145" s="28">
        <v>6874037000</v>
      </c>
      <c r="AE8145" s="28">
        <v>3019610000</v>
      </c>
      <c r="AF8145" s="28">
        <v>7063000</v>
      </c>
      <c r="AG8145" s="11"/>
    </row>
    <row r="8146">
      <c r="A8146" s="7" t="s">
        <v>9681</v>
      </c>
      <c r="B8146" s="5" t="s">
        <v>17592</v>
      </c>
      <c r="C8146" s="5" t="s">
        <v>25142</v>
      </c>
      <c r="D8146" s="5" t="str">
        <v>691104542412</v>
      </c>
      <c r="E8146" s="0" t="e">
        <f>+7 (411) 2219797
+7 (914) 2760980</f>
        <v>#NAME?</v>
      </c>
      <c r="F8146" s="5" t="s">
        <v>48894</v>
      </c>
      <c r="G8146" s="5"/>
      <c r="H8146" s="26">
        <v>5.5</v>
      </c>
      <c r="I8146" s="5" t="s">
        <v>48895</v>
      </c>
      <c r="J8146" s="5" t="s">
        <v>27640</v>
      </c>
      <c r="K8146" s="5" t="s">
        <v>344</v>
      </c>
      <c r="L8146" s="5" t="s">
        <v>48896</v>
      </c>
      <c r="M8146" s="27"/>
      <c r="N8146" s="5"/>
      <c r="O8146" s="5" t="str">
        <v>1435326056</v>
      </c>
      <c r="P8146" s="27">
        <v>430558992</v>
      </c>
      <c r="Q8146" s="5" t="s">
        <v>61433</v>
      </c>
      <c r="R8146" s="5"/>
      <c r="S8146" s="5" t="s">
        <v>61434</v>
      </c>
      <c r="T8146" s="28">
        <v>1567026000</v>
      </c>
      <c r="U8146" s="28"/>
      <c r="V8146" s="28">
        <v>350431000</v>
      </c>
      <c r="W8146" s="28">
        <v>502341000</v>
      </c>
      <c r="X8146" s="28">
        <v>50000</v>
      </c>
      <c r="Y8146" s="28">
        <v>3725585000</v>
      </c>
      <c r="Z8146" s="28">
        <v>2239018000</v>
      </c>
      <c r="AA8146" s="28"/>
      <c r="AB8146" s="28"/>
      <c r="AC8146" s="28">
        <v>757415000</v>
      </c>
      <c r="AD8146" s="28">
        <v>2717650000</v>
      </c>
      <c r="AE8146" s="28">
        <v>3517212000</v>
      </c>
      <c r="AF8146" s="28">
        <v>457874000</v>
      </c>
      <c r="AG8146" s="11"/>
    </row>
    <row r="8147">
      <c r="A8147" s="7" t="s">
        <v>9682</v>
      </c>
      <c r="B8147" s="5" t="s">
        <v>17593</v>
      </c>
      <c r="C8147" s="5" t="s">
        <v>25143</v>
      </c>
      <c r="D8147" s="5" t="str">
        <v>165113846683</v>
      </c>
      <c r="E8147" s="0" t="e">
        <f>+7 (8432) 160642
+7 (8432) 262676
+7 (8432) 793266
+7 (8432) 970200
+7 (987) 2203218</f>
        <v>#NAME?</v>
      </c>
      <c r="F8147" s="5" t="s">
        <v>48897</v>
      </c>
      <c r="G8147" s="5"/>
      <c r="H8147" s="26">
        <v>8</v>
      </c>
      <c r="I8147" s="5" t="s">
        <v>48898</v>
      </c>
      <c r="J8147" s="5" t="s">
        <v>364</v>
      </c>
      <c r="K8147" s="5" t="s">
        <v>344</v>
      </c>
      <c r="L8147" s="5" t="s">
        <v>48899</v>
      </c>
      <c r="M8147" s="27">
        <v>1298623</v>
      </c>
      <c r="N8147" s="5" t="s">
        <v>61435</v>
      </c>
      <c r="O8147" s="5" t="str">
        <v>1655317280</v>
      </c>
      <c r="P8147" s="27">
        <v>1000000</v>
      </c>
      <c r="Q8147" s="5" t="s">
        <v>61436</v>
      </c>
      <c r="R8147" s="5" t="s">
        <v>61437</v>
      </c>
      <c r="S8147" s="5" t="s">
        <v>61438</v>
      </c>
      <c r="T8147" s="28">
        <v>25416000</v>
      </c>
      <c r="U8147" s="28"/>
      <c r="V8147" s="28">
        <v>845033000</v>
      </c>
      <c r="W8147" s="28">
        <v>2060000</v>
      </c>
      <c r="X8147" s="28">
        <v>293452000</v>
      </c>
      <c r="Y8147" s="28">
        <v>1480690000</v>
      </c>
      <c r="Z8147" s="28">
        <v>139597000</v>
      </c>
      <c r="AA8147" s="28"/>
      <c r="AB8147" s="28">
        <v>4135000</v>
      </c>
      <c r="AC8147" s="28">
        <v>1282041000</v>
      </c>
      <c r="AD8147" s="28">
        <v>140597000</v>
      </c>
      <c r="AE8147" s="28">
        <v>4634914000</v>
      </c>
      <c r="AF8147" s="28">
        <v>100502000</v>
      </c>
      <c r="AG8147" s="11"/>
    </row>
    <row r="8148">
      <c r="A8148" s="7" t="s">
        <v>9683</v>
      </c>
      <c r="B8148" s="5" t="s">
        <v>17594</v>
      </c>
      <c r="C8148" s="5" t="s">
        <v>25144</v>
      </c>
      <c r="D8148" s="5" t="str">
        <v>211900828464</v>
      </c>
      <c r="E8148" s="0" t="e">
        <f>+7 (966) 2494956
+7 (8352) 308580
+7 (83547) 22357
+7 (83547) 22372
+7 (83547) 22893
+7 (83547) 22978
+7 (83547) 23842
+7 (83547) 23852
+7 (917) 6534620</f>
        <v>#NAME?</v>
      </c>
      <c r="F8148" s="5" t="s">
        <v>48900</v>
      </c>
      <c r="G8148" s="5"/>
      <c r="H8148" s="26">
        <v>29.5</v>
      </c>
      <c r="I8148" s="5"/>
      <c r="J8148" s="5" t="s">
        <v>25231</v>
      </c>
      <c r="K8148" s="5" t="s">
        <v>344</v>
      </c>
      <c r="L8148" s="5"/>
      <c r="M8148" s="27">
        <v>512600</v>
      </c>
      <c r="N8148" s="5" t="s">
        <v>61439</v>
      </c>
      <c r="O8148" s="5" t="str">
        <v>2119000026</v>
      </c>
      <c r="P8148" s="27">
        <v>4251000</v>
      </c>
      <c r="Q8148" s="5"/>
      <c r="R8148" s="5"/>
      <c r="S8148" s="5" t="s">
        <v>51813</v>
      </c>
      <c r="T8148" s="28">
        <v>769433000</v>
      </c>
      <c r="U8148" s="28"/>
      <c r="V8148" s="28">
        <v>262831000</v>
      </c>
      <c r="W8148" s="28">
        <v>17790000</v>
      </c>
      <c r="X8148" s="28">
        <v>55055000</v>
      </c>
      <c r="Y8148" s="28">
        <v>1364690000</v>
      </c>
      <c r="Z8148" s="28">
        <v>909195000</v>
      </c>
      <c r="AA8148" s="28"/>
      <c r="AB8148" s="28">
        <v>117405000</v>
      </c>
      <c r="AC8148" s="28">
        <v>379235000</v>
      </c>
      <c r="AD8148" s="28">
        <v>913659000</v>
      </c>
      <c r="AE8148" s="28">
        <v>4139472000</v>
      </c>
      <c r="AF8148" s="28">
        <v>169544000</v>
      </c>
      <c r="AG8148" s="11"/>
    </row>
    <row r="8149">
      <c r="A8149" s="7" t="s">
        <v>9684</v>
      </c>
      <c r="B8149" s="5" t="s">
        <v>17595</v>
      </c>
      <c r="C8149" s="5" t="s">
        <v>25145</v>
      </c>
      <c r="D8149" s="5" t="str">
        <v>782505027897</v>
      </c>
      <c r="E8149" s="0" t="e">
        <f>+7 (349) 2234671
+7 (3494) 932313
+7 (3494) 934523
+7 (349) 2232313
+7 (349) 2298998
+7 (3494) 921008
+7 (3494) 921013
+7 (3494) 921058
+7 (3494) 921059
+7 (3494) 921079
+7 (3494) 921101
+7 (3494) 921180
+7 (3494) 921223
+7 (3494) 921274
+7 (3494) 998998</f>
        <v>#NAME?</v>
      </c>
      <c r="F8149" s="5" t="s">
        <v>48901</v>
      </c>
      <c r="G8149" s="5" t="s">
        <v>48902</v>
      </c>
      <c r="H8149" s="26">
        <v>19.5</v>
      </c>
      <c r="I8149" s="5"/>
      <c r="J8149" s="5" t="s">
        <v>26325</v>
      </c>
      <c r="K8149" s="5" t="s">
        <v>344</v>
      </c>
      <c r="L8149" s="5" t="s">
        <v>48903</v>
      </c>
      <c r="M8149" s="27">
        <v>315172</v>
      </c>
      <c r="N8149" s="5" t="s">
        <v>61440</v>
      </c>
      <c r="O8149" s="5" t="str">
        <v>8904042048</v>
      </c>
      <c r="P8149" s="27">
        <v>10000000</v>
      </c>
      <c r="Q8149" s="5" t="s">
        <v>61441</v>
      </c>
      <c r="R8149" s="5"/>
      <c r="S8149" s="5" t="s">
        <v>50951</v>
      </c>
      <c r="T8149" s="28">
        <v>433962000</v>
      </c>
      <c r="U8149" s="28"/>
      <c r="V8149" s="28">
        <v>220926000</v>
      </c>
      <c r="W8149" s="28"/>
      <c r="X8149" s="28">
        <v>380040000</v>
      </c>
      <c r="Y8149" s="28">
        <v>1522048000</v>
      </c>
      <c r="Z8149" s="28">
        <v>565645000</v>
      </c>
      <c r="AA8149" s="28"/>
      <c r="AB8149" s="28"/>
      <c r="AC8149" s="28">
        <v>606048000</v>
      </c>
      <c r="AD8149" s="28">
        <v>576145000</v>
      </c>
      <c r="AE8149" s="28">
        <v>3239878000</v>
      </c>
      <c r="AF8149" s="28">
        <v>144069000</v>
      </c>
      <c r="AG8149" s="11"/>
    </row>
    <row r="8150">
      <c r="A8150" s="7" t="s">
        <v>9685</v>
      </c>
      <c r="B8150" s="5" t="s">
        <v>17596</v>
      </c>
      <c r="C8150" s="5" t="s">
        <v>25146</v>
      </c>
      <c r="D8150" s="5" t="str">
        <v>631603647860</v>
      </c>
      <c r="E8150" s="0" t="e">
        <f>+7 (831) 2653756
+7 (83161) 92926
+7 (83161) 94607
+7 (83161) 94893
+7 (83161) 94919
+7 (83161) 95105
+7 (83161) 97938
+7 (83161) 98290
+7 (83161) 98340
+7 (902) 7830756</f>
        <v>#NAME?</v>
      </c>
      <c r="F8150" s="5"/>
      <c r="G8150" s="5" t="s">
        <v>48904</v>
      </c>
      <c r="H8150" s="26">
        <v>12</v>
      </c>
      <c r="I8150" s="5" t="s">
        <v>48905</v>
      </c>
      <c r="J8150" s="5" t="s">
        <v>48906</v>
      </c>
      <c r="K8150" s="5" t="s">
        <v>355</v>
      </c>
      <c r="L8150" s="5" t="s">
        <v>48907</v>
      </c>
      <c r="M8150" s="27"/>
      <c r="N8150" s="5"/>
      <c r="O8150" s="5" t="str">
        <v>5248030708</v>
      </c>
      <c r="P8150" s="27">
        <v>223613000</v>
      </c>
      <c r="Q8150" s="5"/>
      <c r="R8150" s="5"/>
      <c r="S8150" s="5" t="s">
        <v>49029</v>
      </c>
      <c r="T8150" s="28">
        <v>1128543000</v>
      </c>
      <c r="U8150" s="28"/>
      <c r="V8150" s="28">
        <v>1232717000</v>
      </c>
      <c r="W8150" s="28">
        <v>667298000</v>
      </c>
      <c r="X8150" s="28">
        <v>1433238000</v>
      </c>
      <c r="Y8150" s="28">
        <v>6153135000</v>
      </c>
      <c r="Z8150" s="28">
        <v>2321330000</v>
      </c>
      <c r="AA8150" s="28"/>
      <c r="AB8150" s="28"/>
      <c r="AC8150" s="28">
        <v>1639708000</v>
      </c>
      <c r="AD8150" s="28">
        <v>3533495000</v>
      </c>
      <c r="AE8150" s="28">
        <v>5252737000</v>
      </c>
      <c r="AF8150" s="28">
        <v>-245018000</v>
      </c>
      <c r="AG8150" s="11"/>
    </row>
    <row r="8151">
      <c r="A8151" s="7" t="s">
        <v>9686</v>
      </c>
      <c r="B8151" s="5" t="s">
        <v>17597</v>
      </c>
      <c r="C8151" s="5" t="s">
        <v>25147</v>
      </c>
      <c r="D8151" s="5" t="str">
        <v>524805413163</v>
      </c>
      <c r="E8151" s="0" t="e">
        <f>+7 (485) 2406162
+7 (485) 2405884
+7 (485) 2406003
+7 (485) 2406009
+7 (485) 2406010
+7 (485) 2406017
+7 (485) 2406027
+7 (485) 2406029
+7 (485) 2406036
+7 (485) 2406039
+7 (485) 2406100
+7 (485) 2406117
+7 (485) 2406175
+7 (485) 2406228</f>
        <v>#NAME?</v>
      </c>
      <c r="F8151" s="5" t="s">
        <v>48908</v>
      </c>
      <c r="G8151" s="5" t="s">
        <v>48909</v>
      </c>
      <c r="H8151" s="26">
        <v>30</v>
      </c>
      <c r="I8151" s="5"/>
      <c r="J8151" s="5" t="s">
        <v>30421</v>
      </c>
      <c r="K8151" s="5" t="s">
        <v>355</v>
      </c>
      <c r="L8151" s="5" t="s">
        <v>48910</v>
      </c>
      <c r="M8151" s="27">
        <v>283</v>
      </c>
      <c r="N8151" s="5"/>
      <c r="O8151" s="5" t="str">
        <v>7601000833</v>
      </c>
      <c r="P8151" s="27">
        <v>860285000</v>
      </c>
      <c r="Q8151" s="5"/>
      <c r="R8151" s="5"/>
      <c r="S8151" s="5" t="s">
        <v>61443</v>
      </c>
      <c r="T8151" s="28">
        <v>1977955000</v>
      </c>
      <c r="U8151" s="28">
        <v>278880000</v>
      </c>
      <c r="V8151" s="28">
        <v>689473000</v>
      </c>
      <c r="W8151" s="28"/>
      <c r="X8151" s="28">
        <v>667579000</v>
      </c>
      <c r="Y8151" s="28">
        <v>4766507000</v>
      </c>
      <c r="Z8151" s="28">
        <v>-153422000</v>
      </c>
      <c r="AA8151" s="28">
        <v>623156000</v>
      </c>
      <c r="AB8151" s="28">
        <v>33000</v>
      </c>
      <c r="AC8151" s="28">
        <v>2345087000</v>
      </c>
      <c r="AD8151" s="28">
        <v>1226956000</v>
      </c>
      <c r="AE8151" s="28">
        <v>4338983000</v>
      </c>
      <c r="AF8151" s="28">
        <v>26512000</v>
      </c>
      <c r="AG8151" s="11"/>
    </row>
    <row r="8152">
      <c r="A8152" s="7" t="s">
        <v>9687</v>
      </c>
      <c r="B8152" s="5" t="s">
        <v>17598</v>
      </c>
      <c r="C8152" s="5" t="s">
        <v>25148</v>
      </c>
      <c r="D8152" s="5" t="str">
        <v>920156392008</v>
      </c>
      <c r="E8152" s="0" t="e">
        <f>+7 (495) 9379700
+7 (495) 9602480
+7 (800) 3332255
+7 (812) 3467620
+7 (967) 5300091</f>
        <v>#NAME?</v>
      </c>
      <c r="F8152" s="5" t="s">
        <v>48911</v>
      </c>
      <c r="G8152" s="5" t="s">
        <v>48912</v>
      </c>
      <c r="H8152" s="26">
        <v>8</v>
      </c>
      <c r="I8152" s="5" t="s">
        <v>48913</v>
      </c>
      <c r="J8152" s="5" t="s">
        <v>32531</v>
      </c>
      <c r="K8152" s="5" t="s">
        <v>344</v>
      </c>
      <c r="L8152" s="5" t="s">
        <v>48914</v>
      </c>
      <c r="M8152" s="27"/>
      <c r="N8152" s="5"/>
      <c r="O8152" s="5" t="str">
        <v>4725001168</v>
      </c>
      <c r="P8152" s="27">
        <v>5773917910</v>
      </c>
      <c r="Q8152" s="5" t="s">
        <v>49009</v>
      </c>
      <c r="R8152" s="5"/>
      <c r="S8152" s="5" t="s">
        <v>61444</v>
      </c>
      <c r="T8152" s="28">
        <v>13861266000</v>
      </c>
      <c r="U8152" s="28"/>
      <c r="V8152" s="28">
        <v>5992379000</v>
      </c>
      <c r="W8152" s="28"/>
      <c r="X8152" s="28">
        <v>1548769000</v>
      </c>
      <c r="Y8152" s="28">
        <v>30419039000</v>
      </c>
      <c r="Z8152" s="28">
        <v>13407583000</v>
      </c>
      <c r="AA8152" s="28"/>
      <c r="AB8152" s="28"/>
      <c r="AC8152" s="28">
        <v>10663956000</v>
      </c>
      <c r="AD8152" s="28">
        <v>19181501000</v>
      </c>
      <c r="AE8152" s="28">
        <v>42696985000</v>
      </c>
      <c r="AF8152" s="28">
        <v>10314976000</v>
      </c>
      <c r="AG8152" s="11"/>
    </row>
    <row r="8153">
      <c r="A8153" s="7" t="s">
        <v>9688</v>
      </c>
      <c r="B8153" s="5" t="s">
        <v>11683</v>
      </c>
      <c r="C8153" s="5" t="s">
        <v>25149</v>
      </c>
      <c r="D8153" s="5" t="str">
        <v>773601489160</v>
      </c>
      <c r="E8153" s="0" t="e">
        <f>+7 (495) 4248000
+7 (495) 4248001
+7 (495) 4248216
+7 (495) 4248254
+7 (495) 9239742</f>
        <v>#NAME?</v>
      </c>
      <c r="F8153" s="5" t="s">
        <v>48915</v>
      </c>
      <c r="G8153" s="5"/>
      <c r="H8153" s="26">
        <v>15</v>
      </c>
      <c r="I8153" s="5" t="s">
        <v>48916</v>
      </c>
      <c r="J8153" s="5" t="s">
        <v>502</v>
      </c>
      <c r="K8153" s="5" t="s">
        <v>380</v>
      </c>
      <c r="L8153" s="5" t="s">
        <v>48917</v>
      </c>
      <c r="M8153" s="27"/>
      <c r="N8153" s="5" t="s">
        <v>61445</v>
      </c>
      <c r="O8153" s="5" t="str">
        <v>7710708760</v>
      </c>
      <c r="P8153" s="27">
        <v>10000</v>
      </c>
      <c r="Q8153" s="5" t="s">
        <v>61446</v>
      </c>
      <c r="R8153" s="5"/>
      <c r="S8153" s="5" t="s">
        <v>50630</v>
      </c>
      <c r="T8153" s="28">
        <v>1031042000</v>
      </c>
      <c r="U8153" s="28">
        <v>81000</v>
      </c>
      <c r="V8153" s="28">
        <v>5091401000</v>
      </c>
      <c r="W8153" s="28"/>
      <c r="X8153" s="28">
        <v>1051204000</v>
      </c>
      <c r="Y8153" s="28">
        <v>7857133000</v>
      </c>
      <c r="Z8153" s="28">
        <v>6061203000</v>
      </c>
      <c r="AA8153" s="28"/>
      <c r="AB8153" s="28">
        <v>253000000</v>
      </c>
      <c r="AC8153" s="28">
        <v>1244769000</v>
      </c>
      <c r="AD8153" s="28">
        <v>6061213000</v>
      </c>
      <c r="AE8153" s="28">
        <v>5574805000</v>
      </c>
      <c r="AF8153" s="28">
        <v>-2156985000</v>
      </c>
      <c r="AG8153" s="11"/>
    </row>
    <row r="8154">
      <c r="A8154" s="7" t="s">
        <v>9689</v>
      </c>
      <c r="B8154" s="5" t="s">
        <v>17599</v>
      </c>
      <c r="C8154" s="5" t="s">
        <v>25150</v>
      </c>
      <c r="D8154" s="5" t="str">
        <v>772900024065</v>
      </c>
      <c r="E8154" s="0" t="e">
        <f>+7 (495) 2215801
+7 (495) 5494565
+7 (495) 7836961
+7 (903) 2476891
+7 (925) 8522594
+7 (495) 2235690
+7 (495) 7390185
+7 (495) 7804154</f>
        <v>#NAME?</v>
      </c>
      <c r="F8154" s="5" t="s">
        <v>48918</v>
      </c>
      <c r="G8154" s="5" t="s">
        <v>48919</v>
      </c>
      <c r="H8154" s="26">
        <v>21</v>
      </c>
      <c r="I8154" s="5" t="s">
        <v>48920</v>
      </c>
      <c r="J8154" s="5" t="s">
        <v>32531</v>
      </c>
      <c r="K8154" s="5" t="s">
        <v>344</v>
      </c>
      <c r="L8154" s="5" t="s">
        <v>43306</v>
      </c>
      <c r="M8154" s="27"/>
      <c r="N8154" s="5"/>
      <c r="O8154" s="5" t="str">
        <v>5074021100</v>
      </c>
      <c r="P8154" s="27">
        <v>20000</v>
      </c>
      <c r="Q8154" s="5" t="s">
        <v>49021</v>
      </c>
      <c r="R8154" s="5"/>
      <c r="S8154" s="5" t="s">
        <v>61447</v>
      </c>
      <c r="T8154" s="28">
        <v>443366000</v>
      </c>
      <c r="U8154" s="28"/>
      <c r="V8154" s="28">
        <v>740047000</v>
      </c>
      <c r="W8154" s="28">
        <v>3000000</v>
      </c>
      <c r="X8154" s="28">
        <v>15777000</v>
      </c>
      <c r="Y8154" s="28">
        <v>2620887000</v>
      </c>
      <c r="Z8154" s="28">
        <v>804567000</v>
      </c>
      <c r="AA8154" s="28">
        <v>49427000</v>
      </c>
      <c r="AB8154" s="28">
        <v>85000</v>
      </c>
      <c r="AC8154" s="28">
        <v>593331000</v>
      </c>
      <c r="AD8154" s="28">
        <v>804587000</v>
      </c>
      <c r="AE8154" s="28">
        <v>3913074000</v>
      </c>
      <c r="AF8154" s="28">
        <v>648876000</v>
      </c>
      <c r="AG8154" s="11"/>
    </row>
    <row r="8155">
      <c r="A8155" s="7" t="s">
        <v>9690</v>
      </c>
      <c r="B8155" s="5" t="s">
        <v>17600</v>
      </c>
      <c r="C8155" s="5" t="s">
        <v>25151</v>
      </c>
      <c r="D8155" s="5" t="str">
        <v>312103198600</v>
      </c>
      <c r="E8155" s="0" t="e">
        <f>+7 (472) 2586610
+7 (472) 2789629
+7 (904) 877940
+7 (915) 5200095</f>
        <v>#NAME?</v>
      </c>
      <c r="F8155" s="5" t="s">
        <v>48921</v>
      </c>
      <c r="G8155" s="5"/>
      <c r="H8155" s="26">
        <v>7.5</v>
      </c>
      <c r="I8155" s="5" t="s">
        <v>36734</v>
      </c>
      <c r="J8155" s="5" t="s">
        <v>26057</v>
      </c>
      <c r="K8155" s="5" t="s">
        <v>344</v>
      </c>
      <c r="L8155" s="5" t="s">
        <v>48922</v>
      </c>
      <c r="M8155" s="27"/>
      <c r="N8155" s="5"/>
      <c r="O8155" s="5" t="str">
        <v>3121000762</v>
      </c>
      <c r="P8155" s="27">
        <v>10000</v>
      </c>
      <c r="Q8155" s="5"/>
      <c r="R8155" s="5"/>
      <c r="S8155" s="5" t="s">
        <v>49123</v>
      </c>
      <c r="T8155" s="28">
        <v>1364312000</v>
      </c>
      <c r="U8155" s="28"/>
      <c r="V8155" s="28">
        <v>657801000</v>
      </c>
      <c r="W8155" s="28">
        <v>450640000</v>
      </c>
      <c r="X8155" s="28">
        <v>566942000</v>
      </c>
      <c r="Y8155" s="28">
        <v>3781266000</v>
      </c>
      <c r="Z8155" s="28">
        <v>364789000</v>
      </c>
      <c r="AA8155" s="28">
        <v>849530000</v>
      </c>
      <c r="AB8155" s="28">
        <v>873339000</v>
      </c>
      <c r="AC8155" s="28">
        <v>2519191000</v>
      </c>
      <c r="AD8155" s="28">
        <v>364799000</v>
      </c>
      <c r="AE8155" s="28">
        <v>6432301000</v>
      </c>
      <c r="AF8155" s="28">
        <v>157006000</v>
      </c>
      <c r="AG8155" s="11"/>
    </row>
    <row r="8156">
      <c r="A8156" s="7" t="s">
        <v>9691</v>
      </c>
      <c r="B8156" s="5" t="s">
        <v>17601</v>
      </c>
      <c r="C8156" s="5" t="s">
        <v>25152</v>
      </c>
      <c r="D8156" s="5" t="str">
        <v>143517731709</v>
      </c>
      <c r="E8156" s="0" t="e">
        <f>+7 (411) 2392403
+7 (411) 2420753
+7 (411) 2447042
+7 (411) 2142990
+7 (411) 2211350
+7 (411) 2211351
+7 (411) 2211355
+7 (411) 2211911
+7 (411) 2215594
+7 (411) 2358644
+7 (411) 2358802
+7 (411) 2448803
+7 (411) 2497000
+7 (411) 2497006
+7 (411) 2497034</f>
        <v>#NAME?</v>
      </c>
      <c r="F8156" s="5" t="s">
        <v>48923</v>
      </c>
      <c r="G8156" s="5" t="s">
        <v>48924</v>
      </c>
      <c r="H8156" s="26">
        <v>26.5</v>
      </c>
      <c r="I8156" s="5" t="s">
        <v>48925</v>
      </c>
      <c r="J8156" s="5" t="s">
        <v>29840</v>
      </c>
      <c r="K8156" s="5" t="s">
        <v>355</v>
      </c>
      <c r="L8156" s="5"/>
      <c r="M8156" s="27">
        <v>125620286</v>
      </c>
      <c r="N8156" s="5" t="s">
        <v>61448</v>
      </c>
      <c r="O8156" s="5" t="str">
        <v>1435028701</v>
      </c>
      <c r="P8156" s="27">
        <v>20637559806</v>
      </c>
      <c r="Q8156" s="5" t="s">
        <v>61449</v>
      </c>
      <c r="R8156" s="5"/>
      <c r="S8156" s="5" t="s">
        <v>51048</v>
      </c>
      <c r="T8156" s="28">
        <v>25830167000</v>
      </c>
      <c r="U8156" s="28">
        <v>560463000</v>
      </c>
      <c r="V8156" s="28">
        <v>7248044000</v>
      </c>
      <c r="W8156" s="28"/>
      <c r="X8156" s="28">
        <v>57387000</v>
      </c>
      <c r="Y8156" s="28">
        <v>42234183000</v>
      </c>
      <c r="Z8156" s="28">
        <v>-14377564000</v>
      </c>
      <c r="AA8156" s="28">
        <v>8189171000</v>
      </c>
      <c r="AB8156" s="28">
        <v>12208291000</v>
      </c>
      <c r="AC8156" s="28">
        <v>20032882000</v>
      </c>
      <c r="AD8156" s="28">
        <v>6571436000</v>
      </c>
      <c r="AE8156" s="28">
        <v>29791280000</v>
      </c>
      <c r="AF8156" s="28">
        <v>-1072782000</v>
      </c>
      <c r="AG8156" s="11"/>
    </row>
    <row r="8157">
      <c r="A8157" s="7" t="s">
        <v>9692</v>
      </c>
      <c r="B8157" s="5" t="s">
        <v>17602</v>
      </c>
      <c r="C8157" s="5" t="s">
        <v>25153</v>
      </c>
      <c r="D8157" s="5" t="str">
        <v>772872388357</v>
      </c>
      <c r="E8157" s="0" t="e">
        <f>+7 (495) 6627133
+7 (916) 689282</f>
        <v>#NAME?</v>
      </c>
      <c r="F8157" s="5" t="s">
        <v>48926</v>
      </c>
      <c r="G8157" s="5" t="s">
        <v>48927</v>
      </c>
      <c r="H8157" s="26">
        <v>3.5</v>
      </c>
      <c r="I8157" s="5" t="s">
        <v>48928</v>
      </c>
      <c r="J8157" s="5" t="s">
        <v>27182</v>
      </c>
      <c r="K8157" s="5" t="s">
        <v>344</v>
      </c>
      <c r="L8157" s="5" t="s">
        <v>48929</v>
      </c>
      <c r="M8157" s="27">
        <v>239976</v>
      </c>
      <c r="N8157" s="5" t="s">
        <v>61450</v>
      </c>
      <c r="O8157" s="5" t="str">
        <v>9702005302</v>
      </c>
      <c r="P8157" s="27">
        <v>1000000</v>
      </c>
      <c r="Q8157" s="5" t="s">
        <v>61452</v>
      </c>
      <c r="R8157" s="5"/>
      <c r="S8157" s="5" t="s">
        <v>61453</v>
      </c>
      <c r="T8157" s="28">
        <v>116958000</v>
      </c>
      <c r="U8157" s="28"/>
      <c r="V8157" s="28">
        <v>840047000</v>
      </c>
      <c r="W8157" s="28">
        <v>10000000</v>
      </c>
      <c r="X8157" s="28">
        <v>64194000</v>
      </c>
      <c r="Y8157" s="28">
        <v>1903132000</v>
      </c>
      <c r="Z8157" s="28">
        <v>781133000</v>
      </c>
      <c r="AA8157" s="28"/>
      <c r="AB8157" s="28"/>
      <c r="AC8157" s="28">
        <v>1120999000</v>
      </c>
      <c r="AD8157" s="28">
        <v>782133000</v>
      </c>
      <c r="AE8157" s="28">
        <v>5267709000</v>
      </c>
      <c r="AF8157" s="28">
        <v>293948000</v>
      </c>
      <c r="AG8157" s="11"/>
    </row>
    <row r="8158">
      <c r="A8158" s="7" t="s">
        <v>9693</v>
      </c>
      <c r="B8158" s="5" t="s">
        <v>17603</v>
      </c>
      <c r="C8158" s="5" t="s">
        <v>23269</v>
      </c>
      <c r="D8158" s="5"/>
      <c r="E8158" s="0" t="e">
        <f>+7 (411) 2423013
+7 (411) 4448063
+7 (41144) 47040
+7 (41144) 47285
+7 (41144) 47319
+7 (41144) 47913
+7 (41144) 48001
+7 (41144) 48007
+7 (41144) 48015
+7 (41144) 48021
+7 (41144) 48045
+7 (41144) 48049
+7 (41144) 48068</f>
        <v>#NAME?</v>
      </c>
      <c r="F8158" s="5" t="s">
        <v>48930</v>
      </c>
      <c r="G8158" s="5" t="s">
        <v>48931</v>
      </c>
      <c r="H8158" s="26">
        <v>19.5</v>
      </c>
      <c r="I8158" s="5"/>
      <c r="J8158" s="5" t="s">
        <v>26407</v>
      </c>
      <c r="K8158" s="5" t="s">
        <v>344</v>
      </c>
      <c r="L8158" s="5" t="s">
        <v>48932</v>
      </c>
      <c r="M8158" s="27"/>
      <c r="N8158" s="5" t="s">
        <v>61454</v>
      </c>
      <c r="O8158" s="5" t="str">
        <v>1431008422</v>
      </c>
      <c r="P8158" s="27">
        <v>308230000</v>
      </c>
      <c r="Q8158" s="5" t="s">
        <v>61455</v>
      </c>
      <c r="R8158" s="5"/>
      <c r="S8158" s="5" t="s">
        <v>55747</v>
      </c>
      <c r="T8158" s="28">
        <v>3089104000</v>
      </c>
      <c r="U8158" s="28">
        <v>10000</v>
      </c>
      <c r="V8158" s="28">
        <v>701932000</v>
      </c>
      <c r="W8158" s="28"/>
      <c r="X8158" s="28">
        <v>1943000</v>
      </c>
      <c r="Y8158" s="28">
        <v>5479200000</v>
      </c>
      <c r="Z8158" s="28">
        <v>592514000</v>
      </c>
      <c r="AA8158" s="28">
        <v>1432854000</v>
      </c>
      <c r="AB8158" s="28">
        <v>477223000</v>
      </c>
      <c r="AC8158" s="28">
        <v>1633625000</v>
      </c>
      <c r="AD8158" s="28">
        <v>2191061000</v>
      </c>
      <c r="AE8158" s="28">
        <v>4893361000</v>
      </c>
      <c r="AF8158" s="28">
        <v>244791000</v>
      </c>
      <c r="AG8158" s="11"/>
    </row>
    <row r="8159">
      <c r="A8159" s="7" t="s">
        <v>9694</v>
      </c>
      <c r="B8159" s="5" t="s">
        <v>17604</v>
      </c>
      <c r="C8159" s="5" t="s">
        <v>25154</v>
      </c>
      <c r="D8159" s="5" t="str">
        <v>771895236334</v>
      </c>
      <c r="E8159" s="0" t="e">
        <f>+7 (495) 4195173
+7 (905) 7353911
+7 (499) 7981681
+7 (963) 6125685</f>
        <v>#NAME?</v>
      </c>
      <c r="F8159" s="5" t="s">
        <v>48933</v>
      </c>
      <c r="G8159" s="5"/>
      <c r="H8159" s="26">
        <v>6.5</v>
      </c>
      <c r="I8159" s="5" t="s">
        <v>48934</v>
      </c>
      <c r="J8159" s="5" t="s">
        <v>26128</v>
      </c>
      <c r="K8159" s="5" t="s">
        <v>344</v>
      </c>
      <c r="L8159" s="5" t="s">
        <v>27856</v>
      </c>
      <c r="M8159" s="27"/>
      <c r="N8159" s="5"/>
      <c r="O8159" s="5" t="str">
        <v>9715272859</v>
      </c>
      <c r="P8159" s="27">
        <v>2000000</v>
      </c>
      <c r="Q8159" s="5"/>
      <c r="R8159" s="5"/>
      <c r="S8159" s="5" t="s">
        <v>53269</v>
      </c>
      <c r="T8159" s="28"/>
      <c r="U8159" s="28"/>
      <c r="V8159" s="28">
        <v>419861000</v>
      </c>
      <c r="W8159" s="28"/>
      <c r="X8159" s="28">
        <v>367000</v>
      </c>
      <c r="Y8159" s="28">
        <v>472956000</v>
      </c>
      <c r="Z8159" s="28">
        <v>47383000</v>
      </c>
      <c r="AA8159" s="28"/>
      <c r="AB8159" s="28">
        <v>26695000</v>
      </c>
      <c r="AC8159" s="28">
        <v>423573000</v>
      </c>
      <c r="AD8159" s="28">
        <v>49383000</v>
      </c>
      <c r="AE8159" s="28">
        <v>3644657000</v>
      </c>
      <c r="AF8159" s="28">
        <v>9420000</v>
      </c>
      <c r="AG8159" s="11"/>
    </row>
    <row r="8160">
      <c r="A8160" s="7" t="s">
        <v>9695</v>
      </c>
      <c r="B8160" s="5" t="s">
        <v>17605</v>
      </c>
      <c r="C8160" s="5" t="s">
        <v>25155</v>
      </c>
      <c r="D8160" s="5" t="str">
        <v>366602308505</v>
      </c>
      <c r="E8160" s="0" t="e">
        <f>+7 (910) 4294598
+7 (349) 2235280
+7 (495) 2289849
+7 (495) 7750480
+7 (495) 7750481
+7 (499) 9411445
+7 (916) 4062637</f>
        <v>#NAME?</v>
      </c>
      <c r="F8160" s="5" t="s">
        <v>48935</v>
      </c>
      <c r="G8160" s="5" t="s">
        <v>48936</v>
      </c>
      <c r="H8160" s="26">
        <v>18</v>
      </c>
      <c r="I8160" s="5"/>
      <c r="J8160" s="5" t="s">
        <v>48937</v>
      </c>
      <c r="K8160" s="5" t="s">
        <v>344</v>
      </c>
      <c r="L8160" s="5"/>
      <c r="M8160" s="27">
        <v>75237475</v>
      </c>
      <c r="N8160" s="5" t="s">
        <v>61456</v>
      </c>
      <c r="O8160" s="5" t="str">
        <v>7709602713</v>
      </c>
      <c r="P8160" s="27">
        <v>361082200</v>
      </c>
      <c r="Q8160" s="5" t="s">
        <v>61457</v>
      </c>
      <c r="R8160" s="5"/>
      <c r="S8160" s="5" t="s">
        <v>49961</v>
      </c>
      <c r="T8160" s="28">
        <v>1492659773000</v>
      </c>
      <c r="U8160" s="28">
        <v>19453538000</v>
      </c>
      <c r="V8160" s="28">
        <v>211526076000</v>
      </c>
      <c r="W8160" s="28"/>
      <c r="X8160" s="28">
        <v>117956200000</v>
      </c>
      <c r="Y8160" s="28">
        <v>1949634728000</v>
      </c>
      <c r="Z8160" s="28">
        <v>69135952000</v>
      </c>
      <c r="AA8160" s="28">
        <v>932601278000</v>
      </c>
      <c r="AB8160" s="28">
        <v>270705083000</v>
      </c>
      <c r="AC8160" s="28">
        <v>724302897000</v>
      </c>
      <c r="AD8160" s="28">
        <v>150983729000</v>
      </c>
      <c r="AE8160" s="28">
        <v>1101159769000</v>
      </c>
      <c r="AF8160" s="28">
        <v>840246821000</v>
      </c>
      <c r="AG8160" s="11"/>
    </row>
    <row r="8161">
      <c r="A8161" s="7" t="s">
        <v>9696</v>
      </c>
      <c r="B8161" s="5" t="s">
        <v>17606</v>
      </c>
      <c r="C8161" s="5" t="s">
        <v>25156</v>
      </c>
      <c r="D8161" s="5" t="str">
        <v>222105712617</v>
      </c>
      <c r="E8161" s="0" t="e">
        <f>+7 (349) 2231425
+7 (968) 9581111
+7 (349) 2234455
+7 (349) 2231551</f>
        <v>#NAME?</v>
      </c>
      <c r="F8161" s="5" t="s">
        <v>48938</v>
      </c>
      <c r="G8161" s="5"/>
      <c r="H8161" s="26">
        <v>19.5</v>
      </c>
      <c r="I8161" s="5"/>
      <c r="J8161" s="5" t="s">
        <v>25327</v>
      </c>
      <c r="K8161" s="5" t="s">
        <v>344</v>
      </c>
      <c r="L8161" s="5" t="s">
        <v>48939</v>
      </c>
      <c r="M8161" s="27">
        <v>15133</v>
      </c>
      <c r="N8161" s="5" t="s">
        <v>61458</v>
      </c>
      <c r="O8161" s="5" t="str">
        <v>8901038340</v>
      </c>
      <c r="P8161" s="27">
        <v>1451631400</v>
      </c>
      <c r="Q8161" s="5" t="s">
        <v>61459</v>
      </c>
      <c r="R8161" s="5"/>
      <c r="S8161" s="5" t="s">
        <v>52672</v>
      </c>
      <c r="T8161" s="28">
        <v>104134000</v>
      </c>
      <c r="U8161" s="28">
        <v>728841000</v>
      </c>
      <c r="V8161" s="28">
        <v>5540361000</v>
      </c>
      <c r="W8161" s="28"/>
      <c r="X8161" s="28">
        <v>1323169000</v>
      </c>
      <c r="Y8161" s="28">
        <v>7852392000</v>
      </c>
      <c r="Z8161" s="28">
        <v>743229000</v>
      </c>
      <c r="AA8161" s="28">
        <v>5500000000</v>
      </c>
      <c r="AB8161" s="28">
        <v>467000</v>
      </c>
      <c r="AC8161" s="28">
        <v>126166000</v>
      </c>
      <c r="AD8161" s="28">
        <v>2215262000</v>
      </c>
      <c r="AE8161" s="28">
        <v>5322728000</v>
      </c>
      <c r="AF8161" s="28">
        <v>262060000</v>
      </c>
      <c r="AG8161" s="11"/>
    </row>
    <row r="8162">
      <c r="A8162" s="7" t="s">
        <v>9697</v>
      </c>
      <c r="B8162" s="5" t="s">
        <v>17607</v>
      </c>
      <c r="C8162" s="5" t="s">
        <v>25157</v>
      </c>
      <c r="D8162" s="5" t="str">
        <v>744712575917</v>
      </c>
      <c r="E8162" s="0" t="e">
        <f>+7 (3517) 936658
+7 (495) 6696742
+7 (495) 9873547
+7 (495) 9873548
+7 (495) 9873625
+7 (912) 8348799</f>
        <v>#NAME?</v>
      </c>
      <c r="F8162" s="5" t="s">
        <v>48940</v>
      </c>
      <c r="G8162" s="5"/>
      <c r="H8162" s="26">
        <v>15.5</v>
      </c>
      <c r="I8162" s="5"/>
      <c r="J8162" s="5" t="s">
        <v>1095</v>
      </c>
      <c r="K8162" s="5" t="s">
        <v>355</v>
      </c>
      <c r="L8162" s="5" t="s">
        <v>48941</v>
      </c>
      <c r="M8162" s="27">
        <v>113117610</v>
      </c>
      <c r="N8162" s="5" t="s">
        <v>61460</v>
      </c>
      <c r="O8162" s="5" t="str">
        <v>6670189560</v>
      </c>
      <c r="P8162" s="27">
        <v>178696800</v>
      </c>
      <c r="Q8162" s="5" t="s">
        <v>61462</v>
      </c>
      <c r="R8162" s="5"/>
      <c r="S8162" s="5" t="s">
        <v>61463</v>
      </c>
      <c r="T8162" s="28">
        <v>6110157000</v>
      </c>
      <c r="U8162" s="28"/>
      <c r="V8162" s="28">
        <v>4901123000</v>
      </c>
      <c r="W8162" s="28">
        <v>46043000</v>
      </c>
      <c r="X8162" s="28">
        <v>62449000</v>
      </c>
      <c r="Y8162" s="28">
        <v>14272898000</v>
      </c>
      <c r="Z8162" s="28">
        <v>915409000</v>
      </c>
      <c r="AA8162" s="28"/>
      <c r="AB8162" s="28">
        <v>296751000</v>
      </c>
      <c r="AC8162" s="28">
        <v>2623805000</v>
      </c>
      <c r="AD8162" s="28">
        <v>2002618000</v>
      </c>
      <c r="AE8162" s="28">
        <v>8015114000</v>
      </c>
      <c r="AF8162" s="28">
        <v>133211000</v>
      </c>
      <c r="AG8162" s="11"/>
    </row>
    <row r="8163">
      <c r="A8163" s="7" t="s">
        <v>9698</v>
      </c>
      <c r="B8163" s="5" t="s">
        <v>17608</v>
      </c>
      <c r="C8163" s="5" t="s">
        <v>25158</v>
      </c>
      <c r="D8163" s="5" t="str">
        <v>263500894002</v>
      </c>
      <c r="E8163" s="0" t="e">
        <f>+7 (3439) 632047
+7 (3456) 293700
+7 (3456) 293729
+7 (34797) 22080
+7 (349) 2222036
+7 (349) 2222060
+7 (349) 2222080
+7 (349) 2222288
+7 (349) 2224343
+7 (349) 2229976
+7 (349) 2230063
+7 (349) 2230451
+7 (349) 2230541
+7 (349) 2230514
+7 (349) 2230927</f>
        <v>#NAME?</v>
      </c>
      <c r="F8163" s="5" t="s">
        <v>48942</v>
      </c>
      <c r="G8163" s="5" t="s">
        <v>48943</v>
      </c>
      <c r="H8163" s="26">
        <v>11.5</v>
      </c>
      <c r="I8163" s="5"/>
      <c r="J8163" s="5" t="s">
        <v>27642</v>
      </c>
      <c r="K8163" s="5" t="s">
        <v>344</v>
      </c>
      <c r="L8163" s="5"/>
      <c r="M8163" s="27">
        <v>217857578</v>
      </c>
      <c r="N8163" s="5" t="s">
        <v>61464</v>
      </c>
      <c r="O8163" s="5" t="str">
        <v>8901025421</v>
      </c>
      <c r="P8163" s="27">
        <v>1000000000</v>
      </c>
      <c r="Q8163" s="5" t="s">
        <v>61465</v>
      </c>
      <c r="R8163" s="5" t="s">
        <v>61466</v>
      </c>
      <c r="S8163" s="5" t="s">
        <v>61467</v>
      </c>
      <c r="T8163" s="28">
        <v>11368812000</v>
      </c>
      <c r="U8163" s="28">
        <v>658428000</v>
      </c>
      <c r="V8163" s="28">
        <v>2529099000</v>
      </c>
      <c r="W8163" s="28">
        <v>103173000</v>
      </c>
      <c r="X8163" s="28">
        <v>136943000</v>
      </c>
      <c r="Y8163" s="28">
        <v>19448810000</v>
      </c>
      <c r="Z8163" s="28">
        <v>1422703000</v>
      </c>
      <c r="AA8163" s="28">
        <v>401819000</v>
      </c>
      <c r="AB8163" s="28">
        <v>1076527000</v>
      </c>
      <c r="AC8163" s="28">
        <v>8879884000</v>
      </c>
      <c r="AD8163" s="28">
        <v>3125065000</v>
      </c>
      <c r="AE8163" s="28">
        <v>15034132000</v>
      </c>
      <c r="AF8163" s="28">
        <v>213228000</v>
      </c>
      <c r="AG8163" s="11"/>
    </row>
    <row r="8164">
      <c r="A8164" s="7" t="s">
        <v>9699</v>
      </c>
      <c r="B8164" s="5" t="s">
        <v>17609</v>
      </c>
      <c r="C8164" s="5" t="s">
        <v>25159</v>
      </c>
      <c r="D8164" s="5" t="str">
        <v>890200180504</v>
      </c>
      <c r="E8164" s="0" t="e">
        <f>+7 (349) 9253667
+7 (34992) 53658
+7 (34992) 53777
+7 (34992) 55669
+7 (34992) 55737
+7 (34992) 58337</f>
        <v>#NAME?</v>
      </c>
      <c r="F8164" s="5" t="s">
        <v>48944</v>
      </c>
      <c r="G8164" s="5"/>
      <c r="H8164" s="26">
        <v>30.5</v>
      </c>
      <c r="I8164" s="5"/>
      <c r="J8164" s="5" t="s">
        <v>467</v>
      </c>
      <c r="K8164" s="5" t="s">
        <v>355</v>
      </c>
      <c r="L8164" s="5"/>
      <c r="M8164" s="27">
        <v>279215862</v>
      </c>
      <c r="N8164" s="5" t="s">
        <v>61468</v>
      </c>
      <c r="O8164" s="5" t="str">
        <v>8902002522</v>
      </c>
      <c r="P8164" s="27">
        <v>2942130</v>
      </c>
      <c r="Q8164" s="5" t="s">
        <v>61470</v>
      </c>
      <c r="R8164" s="5"/>
      <c r="S8164" s="5" t="s">
        <v>61471</v>
      </c>
      <c r="T8164" s="28">
        <v>3915455000</v>
      </c>
      <c r="U8164" s="28">
        <v>795394000</v>
      </c>
      <c r="V8164" s="28">
        <v>30479077000</v>
      </c>
      <c r="W8164" s="28">
        <v>376958000</v>
      </c>
      <c r="X8164" s="28">
        <v>4028989000</v>
      </c>
      <c r="Y8164" s="28">
        <v>46357548000</v>
      </c>
      <c r="Z8164" s="28">
        <v>-613931000</v>
      </c>
      <c r="AA8164" s="28"/>
      <c r="AB8164" s="28">
        <v>4816886000</v>
      </c>
      <c r="AC8164" s="28">
        <v>44572642000</v>
      </c>
      <c r="AD8164" s="28">
        <v>-323286000</v>
      </c>
      <c r="AE8164" s="28">
        <v>50490365000</v>
      </c>
      <c r="AF8164" s="28">
        <v>702049000</v>
      </c>
      <c r="AG8164" s="11"/>
    </row>
    <row r="8165">
      <c r="A8165" s="7" t="s">
        <v>9700</v>
      </c>
      <c r="B8165" s="5" t="s">
        <v>17610</v>
      </c>
      <c r="C8165" s="5" t="s">
        <v>25160</v>
      </c>
      <c r="D8165" s="5" t="str">
        <v>773665018247</v>
      </c>
      <c r="E8165" s="0" t="e">
        <f>+7 (865) 2221104
+7 (8652) 670551
+7 (905) 5023947</f>
        <v>#NAME?</v>
      </c>
      <c r="F8165" s="5" t="s">
        <v>48945</v>
      </c>
      <c r="G8165" s="5"/>
      <c r="H8165" s="26">
        <v>15</v>
      </c>
      <c r="I8165" s="5" t="s">
        <v>48946</v>
      </c>
      <c r="J8165" s="5" t="s">
        <v>26308</v>
      </c>
      <c r="K8165" s="5" t="s">
        <v>344</v>
      </c>
      <c r="L8165" s="5" t="s">
        <v>48947</v>
      </c>
      <c r="M8165" s="27">
        <v>280809</v>
      </c>
      <c r="N8165" s="5"/>
      <c r="O8165" s="5" t="str">
        <v>2636053940</v>
      </c>
      <c r="P8165" s="27">
        <v>10000</v>
      </c>
      <c r="Q8165" s="5" t="s">
        <v>49009</v>
      </c>
      <c r="R8165" s="5"/>
      <c r="S8165" s="5" t="s">
        <v>49066</v>
      </c>
      <c r="T8165" s="28">
        <v>2926896000</v>
      </c>
      <c r="U8165" s="28"/>
      <c r="V8165" s="28">
        <v>51381000</v>
      </c>
      <c r="W8165" s="28"/>
      <c r="X8165" s="28">
        <v>53926000</v>
      </c>
      <c r="Y8165" s="28">
        <v>3634257000</v>
      </c>
      <c r="Z8165" s="28">
        <v>427873000</v>
      </c>
      <c r="AA8165" s="28"/>
      <c r="AB8165" s="28">
        <v>22500000</v>
      </c>
      <c r="AC8165" s="28">
        <v>557192000</v>
      </c>
      <c r="AD8165" s="28">
        <v>427883000</v>
      </c>
      <c r="AE8165" s="28">
        <v>4979164000</v>
      </c>
      <c r="AF8165" s="28">
        <v>178093000</v>
      </c>
      <c r="AG8165" s="11"/>
    </row>
    <row r="8166">
      <c r="A8166" s="7" t="s">
        <v>9701</v>
      </c>
      <c r="B8166" s="5" t="s">
        <v>17611</v>
      </c>
      <c r="C8166" s="5" t="s">
        <v>25161</v>
      </c>
      <c r="D8166" s="5" t="str">
        <v>410102073615</v>
      </c>
      <c r="E8166" s="0" t="e">
        <f>+7 (415) 2415815
+7 (415) 2415816
+7 (415) 2415881
+7 (415) 2415883</f>
        <v>#NAME?</v>
      </c>
      <c r="F8166" s="5" t="s">
        <v>48948</v>
      </c>
      <c r="G8166" s="5"/>
      <c r="H8166" s="26">
        <v>10.5</v>
      </c>
      <c r="I8166" s="5"/>
      <c r="J8166" s="5" t="s">
        <v>26424</v>
      </c>
      <c r="K8166" s="5" t="s">
        <v>344</v>
      </c>
      <c r="L8166" s="5" t="s">
        <v>48949</v>
      </c>
      <c r="M8166" s="27"/>
      <c r="N8166" s="5"/>
      <c r="O8166" s="5" t="str">
        <v>4101153635</v>
      </c>
      <c r="P8166" s="27">
        <v>177713080</v>
      </c>
      <c r="Q8166" s="5"/>
      <c r="R8166" s="5" t="s">
        <v>61473</v>
      </c>
      <c r="S8166" s="5" t="s">
        <v>49425</v>
      </c>
      <c r="T8166" s="28">
        <v>4058737000</v>
      </c>
      <c r="U8166" s="28">
        <v>442554000</v>
      </c>
      <c r="V8166" s="28">
        <v>920712000</v>
      </c>
      <c r="W8166" s="28"/>
      <c r="X8166" s="28">
        <v>9480022000</v>
      </c>
      <c r="Y8166" s="28">
        <v>16365708000</v>
      </c>
      <c r="Z8166" s="28">
        <v>3117898000</v>
      </c>
      <c r="AA8166" s="28">
        <v>11176909000</v>
      </c>
      <c r="AB8166" s="28">
        <v>963944000</v>
      </c>
      <c r="AC8166" s="28">
        <v>1351439000</v>
      </c>
      <c r="AD8166" s="28">
        <v>3700693000</v>
      </c>
      <c r="AE8166" s="28">
        <v>4529982000</v>
      </c>
      <c r="AF8166" s="28">
        <v>694222000</v>
      </c>
      <c r="AG8166" s="11"/>
    </row>
    <row r="8167">
      <c r="A8167" s="7" t="s">
        <v>9702</v>
      </c>
      <c r="B8167" s="5" t="s">
        <v>17612</v>
      </c>
      <c r="C8167" s="5" t="s">
        <v>25162</v>
      </c>
      <c r="D8167" s="5" t="str">
        <v>771471099677</v>
      </c>
      <c r="E8167" s="0" t="e">
        <f>+7 (495) 6353201
+7 (495) 7397000</f>
        <v>#NAME?</v>
      </c>
      <c r="F8167" s="5" t="s">
        <v>48950</v>
      </c>
      <c r="G8167" s="5"/>
      <c r="H8167" s="26">
        <v>4.5</v>
      </c>
      <c r="I8167" s="5" t="s">
        <v>48951</v>
      </c>
      <c r="J8167" s="5" t="s">
        <v>28568</v>
      </c>
      <c r="K8167" s="5" t="s">
        <v>380</v>
      </c>
      <c r="L8167" s="5"/>
      <c r="M8167" s="27"/>
      <c r="N8167" s="5" t="s">
        <v>61474</v>
      </c>
      <c r="O8167" s="5" t="str">
        <v>9705121040</v>
      </c>
      <c r="P8167" s="27">
        <v>100000</v>
      </c>
      <c r="Q8167" s="5" t="s">
        <v>61475</v>
      </c>
      <c r="R8167" s="5"/>
      <c r="S8167" s="5" t="s">
        <v>49444</v>
      </c>
      <c r="T8167" s="28">
        <v>65180000</v>
      </c>
      <c r="U8167" s="28">
        <v>110000</v>
      </c>
      <c r="V8167" s="28">
        <v>4918135000</v>
      </c>
      <c r="W8167" s="28"/>
      <c r="X8167" s="28">
        <v>260639000</v>
      </c>
      <c r="Y8167" s="28">
        <v>9477014000</v>
      </c>
      <c r="Z8167" s="28">
        <v>-7192132000</v>
      </c>
      <c r="AA8167" s="28"/>
      <c r="AB8167" s="28">
        <v>1547513000</v>
      </c>
      <c r="AC8167" s="28">
        <v>13593236000</v>
      </c>
      <c r="AD8167" s="28">
        <v>-4116222000</v>
      </c>
      <c r="AE8167" s="28">
        <v>16587191000</v>
      </c>
      <c r="AF8167" s="28">
        <v>-3859383000</v>
      </c>
      <c r="AG8167" s="11"/>
    </row>
    <row r="8168">
      <c r="A8168" s="7" t="s">
        <v>9703</v>
      </c>
      <c r="B8168" s="5" t="s">
        <v>17613</v>
      </c>
      <c r="C8168" s="5" t="s">
        <v>25163</v>
      </c>
      <c r="D8168" s="5" t="str">
        <v>771687831332</v>
      </c>
      <c r="E8168" s="0" t="e">
        <f>+7 (495) 7392325
+7 (495) 7392332
+7 (495) 7393777
+7 (495) 7397000
+7 (495) 7397070
+7 (495) 9743581
+7 (800) 2342480</f>
        <v>#NAME?</v>
      </c>
      <c r="F8168" s="5" t="s">
        <v>48952</v>
      </c>
      <c r="G8168" s="5" t="s">
        <v>48953</v>
      </c>
      <c r="H8168" s="26">
        <v>22.5</v>
      </c>
      <c r="I8168" s="5"/>
      <c r="J8168" s="5" t="s">
        <v>881</v>
      </c>
      <c r="K8168" s="5" t="s">
        <v>355</v>
      </c>
      <c r="L8168" s="5" t="s">
        <v>48954</v>
      </c>
      <c r="M8168" s="27">
        <v>305862931</v>
      </c>
      <c r="N8168" s="5" t="s">
        <v>61476</v>
      </c>
      <c r="O8168" s="5" t="str">
        <v>7736207543</v>
      </c>
      <c r="P8168" s="27">
        <v>16605000</v>
      </c>
      <c r="Q8168" s="5" t="s">
        <v>61477</v>
      </c>
      <c r="R8168" s="5" t="s">
        <v>61398</v>
      </c>
      <c r="S8168" s="5" t="s">
        <v>61478</v>
      </c>
      <c r="T8168" s="28">
        <v>50402487000</v>
      </c>
      <c r="U8168" s="28">
        <v>130145739000</v>
      </c>
      <c r="V8168" s="28">
        <v>110293900000</v>
      </c>
      <c r="W8168" s="28">
        <v>17434383000</v>
      </c>
      <c r="X8168" s="28">
        <v>14219830000</v>
      </c>
      <c r="Y8168" s="28">
        <v>362482474000</v>
      </c>
      <c r="Z8168" s="28">
        <v>183229267000</v>
      </c>
      <c r="AA8168" s="28">
        <v>29884910000</v>
      </c>
      <c r="AB8168" s="28">
        <v>20000000000</v>
      </c>
      <c r="AC8168" s="28">
        <v>131645870000</v>
      </c>
      <c r="AD8168" s="28">
        <v>183292382000</v>
      </c>
      <c r="AE8168" s="28">
        <v>301979022000</v>
      </c>
      <c r="AF8168" s="28">
        <v>50313398000</v>
      </c>
      <c r="AG8168" s="11"/>
    </row>
    <row r="8169">
      <c r="A8169" s="7" t="s">
        <v>9704</v>
      </c>
      <c r="B8169" s="5" t="s">
        <v>17614</v>
      </c>
      <c r="C8169" s="5" t="s">
        <v>25164</v>
      </c>
      <c r="D8169" s="5" t="str">
        <v>771508680802</v>
      </c>
      <c r="E8169" s="0" t="e">
        <f>+7 (495) 7397000
+7 (495) 7555577
+7 (800) 2224998
+7 (800) 2342886
+7 (800) 2508080</f>
        <v>#NAME?</v>
      </c>
      <c r="F8169" s="5" t="s">
        <v>34759</v>
      </c>
      <c r="G8169" s="5" t="s">
        <v>48955</v>
      </c>
      <c r="H8169" s="26">
        <v>7</v>
      </c>
      <c r="I8169" s="5" t="s">
        <v>48956</v>
      </c>
      <c r="J8169" s="5" t="s">
        <v>881</v>
      </c>
      <c r="K8169" s="5" t="s">
        <v>344</v>
      </c>
      <c r="L8169" s="5" t="s">
        <v>48957</v>
      </c>
      <c r="M8169" s="27"/>
      <c r="N8169" s="5"/>
      <c r="O8169" s="5" t="str">
        <v>7704340327</v>
      </c>
      <c r="P8169" s="27">
        <v>12700000</v>
      </c>
      <c r="Q8169" s="5" t="s">
        <v>49009</v>
      </c>
      <c r="R8169" s="5"/>
      <c r="S8169" s="5" t="s">
        <v>49010</v>
      </c>
      <c r="T8169" s="28">
        <v>9960000</v>
      </c>
      <c r="U8169" s="28">
        <v>1129326000</v>
      </c>
      <c r="V8169" s="28">
        <v>1550719000</v>
      </c>
      <c r="W8169" s="28">
        <v>5000000</v>
      </c>
      <c r="X8169" s="28">
        <v>2592860000</v>
      </c>
      <c r="Y8169" s="28">
        <v>5997210000</v>
      </c>
      <c r="Z8169" s="28">
        <v>3370311000</v>
      </c>
      <c r="AA8169" s="28"/>
      <c r="AB8169" s="28">
        <v>314661000</v>
      </c>
      <c r="AC8169" s="28">
        <v>2361142000</v>
      </c>
      <c r="AD8169" s="28">
        <v>3633124000</v>
      </c>
      <c r="AE8169" s="28">
        <v>10345859000</v>
      </c>
      <c r="AF8169" s="28">
        <v>747973000</v>
      </c>
      <c r="AG8169" s="11"/>
    </row>
    <row r="8170">
      <c r="A8170" s="7" t="s">
        <v>9705</v>
      </c>
      <c r="B8170" s="5" t="s">
        <v>17615</v>
      </c>
      <c r="C8170" s="5" t="s">
        <v>25165</v>
      </c>
      <c r="D8170" s="5" t="str">
        <v>502413881735</v>
      </c>
      <c r="E8170" s="0" t="e">
        <f>+7 (495) 7397000</f>
        <v>#NAME?</v>
      </c>
      <c r="F8170" s="5" t="s">
        <v>48958</v>
      </c>
      <c r="G8170" s="5" t="s">
        <v>48959</v>
      </c>
      <c r="H8170" s="26">
        <v>5</v>
      </c>
      <c r="I8170" s="5" t="s">
        <v>48960</v>
      </c>
      <c r="J8170" s="5" t="s">
        <v>881</v>
      </c>
      <c r="K8170" s="5" t="s">
        <v>355</v>
      </c>
      <c r="L8170" s="5"/>
      <c r="M8170" s="27">
        <v>5000000</v>
      </c>
      <c r="N8170" s="5"/>
      <c r="O8170" s="5" t="str">
        <v>9705114405</v>
      </c>
      <c r="P8170" s="27">
        <v>100000</v>
      </c>
      <c r="Q8170" s="5" t="s">
        <v>49009</v>
      </c>
      <c r="R8170" s="5"/>
      <c r="S8170" s="5" t="s">
        <v>49010</v>
      </c>
      <c r="T8170" s="28">
        <v>416574000</v>
      </c>
      <c r="U8170" s="28">
        <v>234405000</v>
      </c>
      <c r="V8170" s="28">
        <v>7800939000</v>
      </c>
      <c r="W8170" s="28"/>
      <c r="X8170" s="28">
        <v>2542479000</v>
      </c>
      <c r="Y8170" s="28">
        <v>16273292000</v>
      </c>
      <c r="Z8170" s="28">
        <v>-8899405000</v>
      </c>
      <c r="AA8170" s="28">
        <v>1500000000</v>
      </c>
      <c r="AB8170" s="28">
        <v>150000000</v>
      </c>
      <c r="AC8170" s="28">
        <v>8224791000</v>
      </c>
      <c r="AD8170" s="28">
        <v>6485695000</v>
      </c>
      <c r="AE8170" s="28">
        <v>25691515000</v>
      </c>
      <c r="AF8170" s="28">
        <v>-322547000</v>
      </c>
      <c r="AG8170" s="11"/>
    </row>
    <row r="8171">
      <c r="A8171" s="7" t="s">
        <v>9706</v>
      </c>
      <c r="B8171" s="5" t="s">
        <v>17616</v>
      </c>
      <c r="C8171" s="5" t="s">
        <v>25166</v>
      </c>
      <c r="D8171" s="5" t="str">
        <v>540861329048</v>
      </c>
      <c r="F8171" s="5" t="s">
        <v>48958</v>
      </c>
      <c r="G8171" s="5"/>
      <c r="H8171" s="26">
        <v>5</v>
      </c>
      <c r="I8171" s="5" t="s">
        <v>48961</v>
      </c>
      <c r="J8171" s="5" t="s">
        <v>881</v>
      </c>
      <c r="K8171" s="5" t="s">
        <v>355</v>
      </c>
      <c r="L8171" s="5"/>
      <c r="M8171" s="27"/>
      <c r="N8171" s="5"/>
      <c r="O8171" s="5" t="str">
        <v>9718101499</v>
      </c>
      <c r="P8171" s="27">
        <v>1000000</v>
      </c>
      <c r="Q8171" s="5"/>
      <c r="R8171" s="5"/>
      <c r="S8171" s="5" t="s">
        <v>49029</v>
      </c>
      <c r="T8171" s="28">
        <v>780243000</v>
      </c>
      <c r="U8171" s="28">
        <v>702791000</v>
      </c>
      <c r="V8171" s="28">
        <v>2181905000</v>
      </c>
      <c r="W8171" s="28"/>
      <c r="X8171" s="28">
        <v>4770000</v>
      </c>
      <c r="Y8171" s="28">
        <v>8906479000</v>
      </c>
      <c r="Z8171" s="28">
        <v>-8755902000</v>
      </c>
      <c r="AA8171" s="28"/>
      <c r="AB8171" s="28">
        <v>2532691000</v>
      </c>
      <c r="AC8171" s="28">
        <v>12200737000</v>
      </c>
      <c r="AD8171" s="28">
        <v>-3295355000</v>
      </c>
      <c r="AE8171" s="28">
        <v>36442497000</v>
      </c>
      <c r="AF8171" s="28">
        <v>-3320706000</v>
      </c>
      <c r="AG8171" s="11"/>
    </row>
    <row r="8172">
      <c r="A8172" s="7" t="s">
        <v>9707</v>
      </c>
      <c r="B8172" s="5" t="s">
        <v>17617</v>
      </c>
      <c r="C8172" s="5" t="s">
        <v>25167</v>
      </c>
      <c r="D8172" s="5" t="str">
        <v>010511107261</v>
      </c>
      <c r="F8172" s="5"/>
      <c r="G8172" s="5"/>
      <c r="H8172" s="26">
        <v>4.5</v>
      </c>
      <c r="I8172" s="5" t="s">
        <v>48962</v>
      </c>
      <c r="J8172" s="5" t="s">
        <v>881</v>
      </c>
      <c r="K8172" s="5" t="s">
        <v>344</v>
      </c>
      <c r="L8172" s="5" t="s">
        <v>48963</v>
      </c>
      <c r="M8172" s="27"/>
      <c r="N8172" s="5" t="s">
        <v>61480</v>
      </c>
      <c r="O8172" s="5" t="str">
        <v>7704458262</v>
      </c>
      <c r="P8172" s="27">
        <v>100000</v>
      </c>
      <c r="Q8172" s="5"/>
      <c r="R8172" s="5"/>
      <c r="S8172" s="5" t="s">
        <v>49110</v>
      </c>
      <c r="T8172" s="28">
        <v>1965000</v>
      </c>
      <c r="U8172" s="28"/>
      <c r="V8172" s="28">
        <v>1461393000</v>
      </c>
      <c r="W8172" s="28"/>
      <c r="X8172" s="28">
        <v>867595000</v>
      </c>
      <c r="Y8172" s="28">
        <v>2639753000</v>
      </c>
      <c r="Z8172" s="28">
        <v>203468000</v>
      </c>
      <c r="AA8172" s="28"/>
      <c r="AB8172" s="28"/>
      <c r="AC8172" s="28">
        <v>2380542000</v>
      </c>
      <c r="AD8172" s="28">
        <v>253568000</v>
      </c>
      <c r="AE8172" s="28">
        <v>7846085000</v>
      </c>
      <c r="AF8172" s="28">
        <v>37434000</v>
      </c>
      <c r="AG8172" s="11"/>
    </row>
    <row r="8173">
      <c r="A8173" s="7" t="s">
        <v>9708</v>
      </c>
      <c r="B8173" s="5" t="s">
        <v>17618</v>
      </c>
      <c r="C8173" s="5" t="s">
        <v>25168</v>
      </c>
      <c r="D8173" s="5" t="str">
        <v>645056097203</v>
      </c>
      <c r="E8173" s="0" t="e">
        <f>+7 (499) 7397000
+7 (495) 1202507
+7 (495) 7397070
+7 (903) 5369139
+7 (905) 7456325
+7 (929) 6371567</f>
        <v>#NAME?</v>
      </c>
      <c r="F8173" s="5" t="s">
        <v>48964</v>
      </c>
      <c r="G8173" s="5" t="s">
        <v>48965</v>
      </c>
      <c r="H8173" s="26">
        <v>7</v>
      </c>
      <c r="I8173" s="5" t="s">
        <v>48966</v>
      </c>
      <c r="J8173" s="5" t="s">
        <v>881</v>
      </c>
      <c r="K8173" s="5" t="s">
        <v>344</v>
      </c>
      <c r="L8173" s="5" t="s">
        <v>48967</v>
      </c>
      <c r="M8173" s="27"/>
      <c r="N8173" s="5" t="s">
        <v>61481</v>
      </c>
      <c r="O8173" s="5" t="str">
        <v>7704340310</v>
      </c>
      <c r="P8173" s="27">
        <v>100000</v>
      </c>
      <c r="Q8173" s="5" t="s">
        <v>61482</v>
      </c>
      <c r="R8173" s="5" t="s">
        <v>61483</v>
      </c>
      <c r="S8173" s="5" t="s">
        <v>50602</v>
      </c>
      <c r="T8173" s="28">
        <v>7223704000</v>
      </c>
      <c r="U8173" s="28">
        <v>1505784000</v>
      </c>
      <c r="V8173" s="28">
        <v>32399790000</v>
      </c>
      <c r="W8173" s="28">
        <v>315524000</v>
      </c>
      <c r="X8173" s="28">
        <v>19408848000</v>
      </c>
      <c r="Y8173" s="28">
        <v>67968584000</v>
      </c>
      <c r="Z8173" s="28">
        <v>23440859000</v>
      </c>
      <c r="AA8173" s="28"/>
      <c r="AB8173" s="28"/>
      <c r="AC8173" s="28">
        <v>27164746000</v>
      </c>
      <c r="AD8173" s="28">
        <v>36844975000</v>
      </c>
      <c r="AE8173" s="28">
        <v>114776209000</v>
      </c>
      <c r="AF8173" s="28">
        <v>26219244000</v>
      </c>
      <c r="AG8173" s="11"/>
    </row>
    <row r="8174">
      <c r="A8174" s="7" t="s">
        <v>9709</v>
      </c>
      <c r="B8174" s="5" t="s">
        <v>12145</v>
      </c>
      <c r="C8174" s="5" t="s">
        <v>25169</v>
      </c>
      <c r="D8174" s="5" t="str">
        <v>381259316972</v>
      </c>
      <c r="E8174" s="0" t="e">
        <f>+7 (391) 2263637
+7 (391) 2263737
+7 (3952) 220395
+7 (3952) 263737
+7 (3952) 654654
+7 (901) 6656916
+7 (3952) 352809
+7 (3952) 353668
+7 (3952) 356782
+7 (3952) 357722
+7 (3952) 436388
+7 (3952) 799400
+7 (39543) 38448
+7 (39554) 31371
+7 (901) 6556916</f>
        <v>#NAME?</v>
      </c>
      <c r="F8174" s="5" t="s">
        <v>48968</v>
      </c>
      <c r="G8174" s="5"/>
      <c r="H8174" s="26">
        <v>18.5</v>
      </c>
      <c r="I8174" s="5" t="s">
        <v>48969</v>
      </c>
      <c r="J8174" s="5" t="s">
        <v>25253</v>
      </c>
      <c r="K8174" s="5" t="s">
        <v>344</v>
      </c>
      <c r="L8174" s="5" t="s">
        <v>48970</v>
      </c>
      <c r="M8174" s="27"/>
      <c r="N8174" s="5" t="s">
        <v>61484</v>
      </c>
      <c r="O8174" s="5" t="str">
        <v>3827017493</v>
      </c>
      <c r="P8174" s="27">
        <v>250000</v>
      </c>
      <c r="Q8174" s="5" t="s">
        <v>61485</v>
      </c>
      <c r="R8174" s="5"/>
      <c r="S8174" s="5" t="s">
        <v>61486</v>
      </c>
      <c r="T8174" s="28">
        <v>142948000</v>
      </c>
      <c r="U8174" s="28">
        <v>3420000</v>
      </c>
      <c r="V8174" s="28">
        <v>1002443000</v>
      </c>
      <c r="W8174" s="28"/>
      <c r="X8174" s="28">
        <v>104649000</v>
      </c>
      <c r="Y8174" s="28">
        <v>1733338000</v>
      </c>
      <c r="Z8174" s="28">
        <v>791033000</v>
      </c>
      <c r="AA8174" s="28">
        <v>59500000</v>
      </c>
      <c r="AB8174" s="28"/>
      <c r="AC8174" s="28">
        <v>882330000</v>
      </c>
      <c r="AD8174" s="28">
        <v>791283000</v>
      </c>
      <c r="AE8174" s="28">
        <v>9828788000</v>
      </c>
      <c r="AF8174" s="28">
        <v>144490000</v>
      </c>
      <c r="AG8174" s="11"/>
    </row>
    <row r="8175">
      <c r="A8175" s="7" t="s">
        <v>9710</v>
      </c>
      <c r="B8175" s="5" t="s">
        <v>17619</v>
      </c>
      <c r="C8175" s="5" t="s">
        <v>25170</v>
      </c>
      <c r="D8175" s="5" t="str">
        <v>390502876365</v>
      </c>
      <c r="E8175" s="0" t="e">
        <f>+7 (401) 2452351
+7 (401) 2506001
+7 (401) 2548785
+7 (401) 2333555
+7 (401) 2451801
+7 (401) 2461523
+7 (401) 2462366
+7 (401) 2462675
+7 (401) 2464802
+7 (401) 2556000
+7 (401) 2556003
+7 (401) 2556008
+7 (401) 2556010
+7 (401) 2556011
+7 (401) 2556012</f>
        <v>#NAME?</v>
      </c>
      <c r="F8175" s="5" t="s">
        <v>48971</v>
      </c>
      <c r="G8175" s="5"/>
      <c r="H8175" s="26">
        <v>14.5</v>
      </c>
      <c r="I8175" s="5" t="s">
        <v>48972</v>
      </c>
      <c r="J8175" s="5" t="s">
        <v>29005</v>
      </c>
      <c r="K8175" s="5" t="s">
        <v>344</v>
      </c>
      <c r="L8175" s="5" t="s">
        <v>48973</v>
      </c>
      <c r="M8175" s="27">
        <v>349308220</v>
      </c>
      <c r="N8175" s="5" t="s">
        <v>61487</v>
      </c>
      <c r="O8175" s="5" t="str">
        <v>3908600865</v>
      </c>
      <c r="P8175" s="27">
        <v>43000000</v>
      </c>
      <c r="Q8175" s="5" t="s">
        <v>61488</v>
      </c>
      <c r="R8175" s="5" t="s">
        <v>61489</v>
      </c>
      <c r="S8175" s="5" t="s">
        <v>61490</v>
      </c>
      <c r="T8175" s="28">
        <v>1232585000</v>
      </c>
      <c r="U8175" s="28">
        <v>243596000</v>
      </c>
      <c r="V8175" s="28">
        <v>2222562000</v>
      </c>
      <c r="W8175" s="28"/>
      <c r="X8175" s="28">
        <v>27984000</v>
      </c>
      <c r="Y8175" s="28">
        <v>3904977000</v>
      </c>
      <c r="Z8175" s="28">
        <v>1405430000</v>
      </c>
      <c r="AA8175" s="28">
        <v>300000000</v>
      </c>
      <c r="AB8175" s="28">
        <v>742500000</v>
      </c>
      <c r="AC8175" s="28">
        <v>1993320000</v>
      </c>
      <c r="AD8175" s="28">
        <v>1452990000</v>
      </c>
      <c r="AE8175" s="28">
        <v>20758705000</v>
      </c>
      <c r="AF8175" s="28">
        <v>783181000</v>
      </c>
      <c r="AG8175" s="11"/>
    </row>
    <row r="8176">
      <c r="A8176" s="7" t="s">
        <v>9711</v>
      </c>
      <c r="B8176" s="5" t="s">
        <v>17620</v>
      </c>
      <c r="C8176" s="5" t="s">
        <v>25171</v>
      </c>
      <c r="D8176" s="5" t="str">
        <v>890400424846</v>
      </c>
      <c r="E8176" s="0" t="e">
        <f>+7 (3494) 980026
+7 (3499) 597898
+7 (3499) 922194
+7 (3499) 922242
+7 (3499) 980026
+7 (3499) 980306</f>
        <v>#NAME?</v>
      </c>
      <c r="F8176" s="5" t="s">
        <v>48974</v>
      </c>
      <c r="G8176" s="5"/>
      <c r="H8176" s="26">
        <v>19.5</v>
      </c>
      <c r="I8176" s="5" t="s">
        <v>48975</v>
      </c>
      <c r="J8176" s="5" t="s">
        <v>31686</v>
      </c>
      <c r="K8176" s="5" t="s">
        <v>344</v>
      </c>
      <c r="L8176" s="5" t="s">
        <v>48976</v>
      </c>
      <c r="M8176" s="27">
        <v>26953185</v>
      </c>
      <c r="N8176" s="5"/>
      <c r="O8176" s="5" t="str">
        <v>8901014564</v>
      </c>
      <c r="P8176" s="27">
        <v>4875995000</v>
      </c>
      <c r="Q8176" s="5" t="s">
        <v>61491</v>
      </c>
      <c r="R8176" s="5"/>
      <c r="S8176" s="5" t="s">
        <v>50378</v>
      </c>
      <c r="T8176" s="28">
        <v>36448639000</v>
      </c>
      <c r="U8176" s="28"/>
      <c r="V8176" s="28">
        <v>5225139000</v>
      </c>
      <c r="W8176" s="28">
        <v>962248000</v>
      </c>
      <c r="X8176" s="28">
        <v>2271892000</v>
      </c>
      <c r="Y8176" s="28">
        <v>47420530000</v>
      </c>
      <c r="Z8176" s="28">
        <v>34417915000</v>
      </c>
      <c r="AA8176" s="28"/>
      <c r="AB8176" s="28"/>
      <c r="AC8176" s="28">
        <v>4819696000</v>
      </c>
      <c r="AD8176" s="28">
        <v>40232115000</v>
      </c>
      <c r="AE8176" s="28">
        <v>78905814000</v>
      </c>
      <c r="AF8176" s="28">
        <v>13262417000</v>
      </c>
      <c r="AG8176" s="11"/>
    </row>
    <row r="8177">
      <c r="A8177" s="7" t="s">
        <v>265</v>
      </c>
      <c r="B8177" s="5" t="s">
        <v>17621</v>
      </c>
      <c r="C8177" s="5" t="s">
        <v>25172</v>
      </c>
      <c r="D8177" s="5" t="str">
        <v>434800604009</v>
      </c>
      <c r="E8177" s="0" t="e">
        <f>+7 (485) 2465430
+7 (485) 2760517
+7 (485) 2764823
+7 (485) 2764907
+7 (485) 2765430
+7 (485) 2765431
+7 (485) 2765432
+7 (485) 2765433
+7 (485) 2765572
+7 (48534) 24066
+7 (48542) 21195
+7 (48543) 22593
+7 (48546) 22598
+7 (915) 9911640</f>
        <v>#NAME?</v>
      </c>
      <c r="F8177" s="5" t="s">
        <v>48977</v>
      </c>
      <c r="G8177" s="5"/>
      <c r="H8177" s="26">
        <v>30.5</v>
      </c>
      <c r="I8177" s="5"/>
      <c r="J8177" s="5" t="s">
        <v>25603</v>
      </c>
      <c r="K8177" s="5" t="s">
        <v>344</v>
      </c>
      <c r="L8177" s="5"/>
      <c r="M8177" s="27">
        <v>22044433</v>
      </c>
      <c r="N8177" s="5" t="s">
        <v>61492</v>
      </c>
      <c r="O8177" s="5" t="str">
        <v>7627051656</v>
      </c>
      <c r="P8177" s="27">
        <v>774736000</v>
      </c>
      <c r="Q8177" s="5" t="s">
        <v>61493</v>
      </c>
      <c r="R8177" s="5" t="s">
        <v>61494</v>
      </c>
      <c r="S8177" s="5" t="s">
        <v>61495</v>
      </c>
      <c r="T8177" s="28">
        <v>1124763000</v>
      </c>
      <c r="U8177" s="28"/>
      <c r="V8177" s="28">
        <v>92082000</v>
      </c>
      <c r="W8177" s="28">
        <v>87001000</v>
      </c>
      <c r="X8177" s="28">
        <v>98782000</v>
      </c>
      <c r="Y8177" s="28">
        <v>2299144000</v>
      </c>
      <c r="Z8177" s="28">
        <v>177293000</v>
      </c>
      <c r="AA8177" s="28">
        <v>99753000</v>
      </c>
      <c r="AB8177" s="28">
        <v>99829000</v>
      </c>
      <c r="AC8177" s="28">
        <v>1185627000</v>
      </c>
      <c r="AD8177" s="28">
        <v>956995000</v>
      </c>
      <c r="AE8177" s="28">
        <v>4274235000</v>
      </c>
      <c r="AF8177" s="28">
        <v>1763000</v>
      </c>
      <c r="AG8177" s="11"/>
    </row>
    <row r="8178">
      <c r="A8178" s="7" t="s">
        <v>9712</v>
      </c>
      <c r="B8178" s="5" t="s">
        <v>17622</v>
      </c>
      <c r="C8178" s="5" t="s">
        <v>25173</v>
      </c>
      <c r="D8178" s="5" t="str">
        <v>760209251765</v>
      </c>
      <c r="E8178" s="0" t="e">
        <f>+7 (485) 2607080
+7 (8482) 737773
+7 (910) 9715010
+7 (485) 2737700
+7 (485) 2737773
+7 (485) 2777377
+7 (800) 1006888</f>
        <v>#NAME?</v>
      </c>
      <c r="F8178" s="5" t="s">
        <v>48978</v>
      </c>
      <c r="G8178" s="5" t="s">
        <v>48979</v>
      </c>
      <c r="H8178" s="26">
        <v>28.5</v>
      </c>
      <c r="I8178" s="5" t="s">
        <v>48980</v>
      </c>
      <c r="J8178" s="5" t="s">
        <v>423</v>
      </c>
      <c r="K8178" s="5" t="s">
        <v>344</v>
      </c>
      <c r="L8178" s="5" t="s">
        <v>48981</v>
      </c>
      <c r="M8178" s="27">
        <v>122800000</v>
      </c>
      <c r="N8178" s="5" t="s">
        <v>61496</v>
      </c>
      <c r="O8178" s="5" t="str">
        <v>7602012729</v>
      </c>
      <c r="P8178" s="27">
        <v>1000000</v>
      </c>
      <c r="Q8178" s="5" t="s">
        <v>61497</v>
      </c>
      <c r="R8178" s="5"/>
      <c r="S8178" s="5" t="s">
        <v>61498</v>
      </c>
      <c r="T8178" s="28">
        <v>453950000</v>
      </c>
      <c r="U8178" s="28">
        <v>273467000</v>
      </c>
      <c r="V8178" s="28">
        <v>668636000</v>
      </c>
      <c r="W8178" s="28">
        <v>10466000</v>
      </c>
      <c r="X8178" s="28">
        <v>67467000</v>
      </c>
      <c r="Y8178" s="28">
        <v>2050226000</v>
      </c>
      <c r="Z8178" s="28">
        <v>800530000</v>
      </c>
      <c r="AA8178" s="28"/>
      <c r="AB8178" s="28">
        <v>287885000</v>
      </c>
      <c r="AC8178" s="28">
        <v>1227095000</v>
      </c>
      <c r="AD8178" s="28">
        <v>801532000</v>
      </c>
      <c r="AE8178" s="28">
        <v>5977642000</v>
      </c>
      <c r="AF8178" s="28">
        <v>101710000</v>
      </c>
      <c r="AG8178" s="11"/>
    </row>
    <row r="8179">
      <c r="A8179" s="7" t="s">
        <v>9713</v>
      </c>
      <c r="B8179" s="5" t="s">
        <v>17623</v>
      </c>
      <c r="C8179" s="5" t="s">
        <v>25174</v>
      </c>
      <c r="D8179" s="5" t="str">
        <v>782002359617</v>
      </c>
      <c r="E8179" s="0" t="e">
        <f>+7 (481) 2642993
+7 (920) 3134494
+7 (920) 6665221</f>
        <v>#NAME?</v>
      </c>
      <c r="F8179" s="5" t="s">
        <v>48982</v>
      </c>
      <c r="G8179" s="5"/>
      <c r="H8179" s="26">
        <v>6</v>
      </c>
      <c r="I8179" s="5" t="s">
        <v>48983</v>
      </c>
      <c r="J8179" s="5" t="s">
        <v>32941</v>
      </c>
      <c r="K8179" s="5" t="s">
        <v>344</v>
      </c>
      <c r="L8179" s="5" t="s">
        <v>48984</v>
      </c>
      <c r="M8179" s="27"/>
      <c r="N8179" s="5"/>
      <c r="O8179" s="5" t="str">
        <v>6732142692</v>
      </c>
      <c r="P8179" s="27">
        <v>10000</v>
      </c>
      <c r="Q8179" s="5" t="s">
        <v>49009</v>
      </c>
      <c r="R8179" s="5"/>
      <c r="S8179" s="5" t="s">
        <v>61254</v>
      </c>
      <c r="T8179" s="28">
        <v>5281000</v>
      </c>
      <c r="U8179" s="28"/>
      <c r="V8179" s="28">
        <v>540704000</v>
      </c>
      <c r="W8179" s="28"/>
      <c r="X8179" s="28">
        <v>28679000</v>
      </c>
      <c r="Y8179" s="28">
        <v>657158000</v>
      </c>
      <c r="Z8179" s="28">
        <v>58285000</v>
      </c>
      <c r="AA8179" s="28">
        <v>199337000</v>
      </c>
      <c r="AB8179" s="28"/>
      <c r="AC8179" s="28">
        <v>391576000</v>
      </c>
      <c r="AD8179" s="28">
        <v>58295000</v>
      </c>
      <c r="AE8179" s="28">
        <v>3425330000</v>
      </c>
      <c r="AF8179" s="28">
        <v>-24155000</v>
      </c>
      <c r="AG8179" s="11"/>
    </row>
    <row r="8180">
      <c r="A8180" s="7" t="s">
        <v>9714</v>
      </c>
      <c r="B8180" s="5" t="s">
        <v>17624</v>
      </c>
      <c r="C8180" s="5" t="s">
        <v>25175</v>
      </c>
      <c r="D8180" s="5" t="str">
        <v>760200769270</v>
      </c>
      <c r="E8180" s="0" t="e">
        <f>+7 (485) 2440390
+7 (485) 2440614
+7 (485) 2440779
+7 (485) 2441381
+7 (485) 2441416
+7 (485) 2441497
+7 (485) 2441809
+7 (485) 2441990
+7 (485) 2448734
+7 (4855) 299604
+7 (902) 3317807
+7 (910) 9780616</f>
        <v>#NAME?</v>
      </c>
      <c r="F8180" s="5"/>
      <c r="G8180" s="5" t="s">
        <v>48985</v>
      </c>
      <c r="H8180" s="26">
        <v>30.5</v>
      </c>
      <c r="I8180" s="5" t="s">
        <v>48986</v>
      </c>
      <c r="J8180" s="5" t="s">
        <v>25499</v>
      </c>
      <c r="K8180" s="5" t="s">
        <v>344</v>
      </c>
      <c r="L8180" s="5" t="s">
        <v>48987</v>
      </c>
      <c r="M8180" s="27"/>
      <c r="N8180" s="5"/>
      <c r="O8180" s="5" t="str">
        <v>7604148436</v>
      </c>
      <c r="P8180" s="27">
        <v>3442000</v>
      </c>
      <c r="Q8180" s="5"/>
      <c r="R8180" s="5"/>
      <c r="S8180" s="5" t="s">
        <v>49425</v>
      </c>
      <c r="T8180" s="28">
        <v>617320000</v>
      </c>
      <c r="U8180" s="28"/>
      <c r="V8180" s="28">
        <v>168253000</v>
      </c>
      <c r="W8180" s="28"/>
      <c r="X8180" s="28">
        <v>601988000</v>
      </c>
      <c r="Y8180" s="28">
        <v>1772260000</v>
      </c>
      <c r="Z8180" s="28">
        <v>1386649000</v>
      </c>
      <c r="AA8180" s="28"/>
      <c r="AB8180" s="28"/>
      <c r="AC8180" s="28">
        <v>355583000</v>
      </c>
      <c r="AD8180" s="28">
        <v>1390091000</v>
      </c>
      <c r="AE8180" s="28">
        <v>3213755000</v>
      </c>
      <c r="AF8180" s="28">
        <v>178430000</v>
      </c>
      <c r="AG8180" s="11"/>
    </row>
    <row r="8181">
      <c r="A8181" s="7" t="s">
        <v>9715</v>
      </c>
      <c r="B8181" s="5" t="s">
        <v>17625</v>
      </c>
      <c r="C8181" s="5" t="s">
        <v>25176</v>
      </c>
      <c r="D8181" s="5" t="str">
        <v>761014743622</v>
      </c>
      <c r="E8181" s="0" t="e">
        <f>+7 (4855) 292701
+7 (495) 6113531
+7 (4855) 292787
+7 (485) 5261433
+7 (4855) 256666
+7 (4855) 292700
+7 (4855) 292725
+7 (4855) 292727
+7 (4855) 292747
+7 (4855) 292794
+7 (4855) 292798
+7 (4855) 733332</f>
        <v>#NAME?</v>
      </c>
      <c r="F8181" s="5" t="s">
        <v>48988</v>
      </c>
      <c r="G8181" s="5" t="s">
        <v>48989</v>
      </c>
      <c r="H8181" s="26">
        <v>22</v>
      </c>
      <c r="I8181" s="5"/>
      <c r="J8181" s="5" t="s">
        <v>25450</v>
      </c>
      <c r="K8181" s="5" t="s">
        <v>344</v>
      </c>
      <c r="L8181" s="5" t="s">
        <v>48990</v>
      </c>
      <c r="M8181" s="27"/>
      <c r="N8181" s="5" t="s">
        <v>58542</v>
      </c>
      <c r="O8181" s="5" t="str">
        <v>7610049497</v>
      </c>
      <c r="P8181" s="27">
        <v>134900</v>
      </c>
      <c r="Q8181" s="5" t="s">
        <v>49009</v>
      </c>
      <c r="R8181" s="5" t="s">
        <v>61500</v>
      </c>
      <c r="S8181" s="5" t="s">
        <v>49028</v>
      </c>
      <c r="T8181" s="28">
        <v>6589632000</v>
      </c>
      <c r="U8181" s="28">
        <v>27000</v>
      </c>
      <c r="V8181" s="28">
        <v>697268000</v>
      </c>
      <c r="W8181" s="28">
        <v>3282367000</v>
      </c>
      <c r="X8181" s="28">
        <v>361655000</v>
      </c>
      <c r="Y8181" s="28">
        <v>12469119000</v>
      </c>
      <c r="Z8181" s="28">
        <v>8728430000</v>
      </c>
      <c r="AA8181" s="28">
        <v>2273034000</v>
      </c>
      <c r="AB8181" s="28">
        <v>800713000</v>
      </c>
      <c r="AC8181" s="28">
        <v>1171719000</v>
      </c>
      <c r="AD8181" s="28">
        <v>8927640000</v>
      </c>
      <c r="AE8181" s="28">
        <v>9496837000</v>
      </c>
      <c r="AF8181" s="28">
        <v>1169119000</v>
      </c>
      <c r="AG8181" s="11"/>
    </row>
    <row r="8182">
      <c r="A8182" s="7" t="s">
        <v>9716</v>
      </c>
      <c r="B8182" s="5" t="s">
        <v>17626</v>
      </c>
      <c r="C8182" s="5" t="s">
        <v>25177</v>
      </c>
      <c r="D8182" s="5"/>
      <c r="E8182" s="0" t="e">
        <f>+7 (485) 2241200
+7 (485) 2242545
+7 (485) 2252545
+7 (485) 2673539</f>
        <v>#NAME?</v>
      </c>
      <c r="F8182" s="5" t="s">
        <v>48991</v>
      </c>
      <c r="G8182" s="5" t="s">
        <v>48992</v>
      </c>
      <c r="H8182" s="26">
        <v>17.5</v>
      </c>
      <c r="I8182" s="5"/>
      <c r="J8182" s="5" t="s">
        <v>27712</v>
      </c>
      <c r="K8182" s="5" t="s">
        <v>380</v>
      </c>
      <c r="L8182" s="5" t="s">
        <v>1486</v>
      </c>
      <c r="M8182" s="27">
        <v>28204515</v>
      </c>
      <c r="N8182" s="5" t="s">
        <v>61501</v>
      </c>
      <c r="O8182" s="5" t="str">
        <v>7603030907</v>
      </c>
      <c r="P8182" s="27">
        <v>385253000</v>
      </c>
      <c r="Q8182" s="5" t="s">
        <v>61502</v>
      </c>
      <c r="R8182" s="5" t="s">
        <v>61503</v>
      </c>
      <c r="S8182" s="5" t="s">
        <v>61504</v>
      </c>
      <c r="T8182" s="28">
        <v>524100000</v>
      </c>
      <c r="U8182" s="28"/>
      <c r="V8182" s="28">
        <v>771111000</v>
      </c>
      <c r="W8182" s="28"/>
      <c r="X8182" s="28">
        <v>663394000</v>
      </c>
      <c r="Y8182" s="28">
        <v>2969105000</v>
      </c>
      <c r="Z8182" s="28">
        <v>-138667000</v>
      </c>
      <c r="AA8182" s="28"/>
      <c r="AB8182" s="28">
        <v>4638000</v>
      </c>
      <c r="AC8182" s="28">
        <v>2390597000</v>
      </c>
      <c r="AD8182" s="28">
        <v>567079000</v>
      </c>
      <c r="AE8182" s="28">
        <v>3852561000</v>
      </c>
      <c r="AF8182" s="28">
        <v>-166919000</v>
      </c>
      <c r="AG8182" s="11"/>
    </row>
    <row r="8183">
      <c r="A8183" s="7" t="s">
        <v>9717</v>
      </c>
      <c r="B8183" s="5" t="s">
        <v>17627</v>
      </c>
      <c r="C8183" s="5" t="s">
        <v>25178</v>
      </c>
      <c r="D8183" s="5" t="str">
        <v>760701682101</v>
      </c>
      <c r="E8183" s="0" t="e">
        <f>+7 (485) 2599635
+7 (485) 2599636
+7 (48536) 20538
+7 (48536) 20542</f>
        <v>#NAME?</v>
      </c>
      <c r="F8183" s="5"/>
      <c r="G8183" s="5"/>
      <c r="H8183" s="26">
        <v>12.5</v>
      </c>
      <c r="I8183" s="5"/>
      <c r="J8183" s="5" t="s">
        <v>39237</v>
      </c>
      <c r="K8183" s="5" t="s">
        <v>344</v>
      </c>
      <c r="L8183" s="5" t="s">
        <v>48993</v>
      </c>
      <c r="M8183" s="27"/>
      <c r="N8183" s="5"/>
      <c r="O8183" s="5" t="str">
        <v>7604192481</v>
      </c>
      <c r="P8183" s="27">
        <v>100000</v>
      </c>
      <c r="Q8183" s="5" t="s">
        <v>49009</v>
      </c>
      <c r="R8183" s="5"/>
      <c r="S8183" s="5" t="s">
        <v>49010</v>
      </c>
      <c r="T8183" s="28">
        <v>183881000</v>
      </c>
      <c r="U8183" s="28"/>
      <c r="V8183" s="28">
        <v>274709000</v>
      </c>
      <c r="W8183" s="28">
        <v>36550000</v>
      </c>
      <c r="X8183" s="28">
        <v>44226000</v>
      </c>
      <c r="Y8183" s="28">
        <v>744749000</v>
      </c>
      <c r="Z8183" s="28">
        <v>242185000</v>
      </c>
      <c r="AA8183" s="28">
        <v>412168000</v>
      </c>
      <c r="AB8183" s="28">
        <v>530000</v>
      </c>
      <c r="AC8183" s="28">
        <v>78902000</v>
      </c>
      <c r="AD8183" s="28">
        <v>242583000</v>
      </c>
      <c r="AE8183" s="28">
        <v>4037460000</v>
      </c>
      <c r="AF8183" s="28">
        <v>275325000</v>
      </c>
      <c r="AG8183" s="11"/>
    </row>
    <row r="8184">
      <c r="A8184" s="7" t="s">
        <v>9718</v>
      </c>
      <c r="B8184" s="5" t="s">
        <v>17628</v>
      </c>
      <c r="C8184" s="5" t="s">
        <v>25179</v>
      </c>
      <c r="D8184" s="5" t="str">
        <v>251100886342</v>
      </c>
      <c r="E8184" s="0" t="e">
        <f>+7 (962) 816131
+7 (391) 2266650
+7 (391) 2454545
+7 (391) 2652453
+7 (391) 2902227
+7 (913) 308088</f>
        <v>#NAME?</v>
      </c>
      <c r="F8184" s="5" t="s">
        <v>48994</v>
      </c>
      <c r="G8184" s="5" t="s">
        <v>48995</v>
      </c>
      <c r="H8184" s="26">
        <v>20.5</v>
      </c>
      <c r="I8184" s="5" t="s">
        <v>48996</v>
      </c>
      <c r="J8184" s="5" t="s">
        <v>27464</v>
      </c>
      <c r="K8184" s="5" t="s">
        <v>344</v>
      </c>
      <c r="L8184" s="5" t="s">
        <v>48997</v>
      </c>
      <c r="M8184" s="27"/>
      <c r="N8184" s="5" t="s">
        <v>61505</v>
      </c>
      <c r="O8184" s="5" t="str">
        <v>2466101209</v>
      </c>
      <c r="P8184" s="27">
        <v>60200000</v>
      </c>
      <c r="Q8184" s="5" t="s">
        <v>61506</v>
      </c>
      <c r="R8184" s="5"/>
      <c r="S8184" s="5" t="s">
        <v>61507</v>
      </c>
      <c r="T8184" s="28">
        <v>700415000</v>
      </c>
      <c r="U8184" s="28">
        <v>81979000</v>
      </c>
      <c r="V8184" s="28">
        <v>565960000</v>
      </c>
      <c r="W8184" s="28">
        <v>56036000</v>
      </c>
      <c r="X8184" s="28">
        <v>2438000</v>
      </c>
      <c r="Y8184" s="28">
        <v>1996285000</v>
      </c>
      <c r="Z8184" s="28">
        <v>1012642000</v>
      </c>
      <c r="AA8184" s="28"/>
      <c r="AB8184" s="28">
        <v>500453000</v>
      </c>
      <c r="AC8184" s="28">
        <v>922444000</v>
      </c>
      <c r="AD8184" s="28">
        <v>1072842000</v>
      </c>
      <c r="AE8184" s="28">
        <v>4562781000</v>
      </c>
      <c r="AF8184" s="28">
        <v>361063000</v>
      </c>
      <c r="AG8184" s="11"/>
    </row>
    <row r="8185">
      <c r="A8185" s="7" t="s">
        <v>9719</v>
      </c>
      <c r="B8185" s="5" t="s">
        <v>17629</v>
      </c>
      <c r="C8185" s="5" t="s">
        <v>25180</v>
      </c>
      <c r="D8185" s="5" t="str">
        <v>890200110472</v>
      </c>
      <c r="E8185" s="0" t="e">
        <f>+7 (34992) 41009
+7 (34992) 50450
+7 (34992) 59634</f>
        <v>#NAME?</v>
      </c>
      <c r="F8185" s="5"/>
      <c r="G8185" s="5"/>
      <c r="H8185" s="26">
        <v>19</v>
      </c>
      <c r="I8185" s="5" t="s">
        <v>48998</v>
      </c>
      <c r="J8185" s="5" t="s">
        <v>890</v>
      </c>
      <c r="K8185" s="5" t="s">
        <v>380</v>
      </c>
      <c r="L8185" s="5"/>
      <c r="M8185" s="27"/>
      <c r="N8185" s="5"/>
      <c r="O8185" s="5" t="str">
        <v>8901015102</v>
      </c>
      <c r="P8185" s="27">
        <v>200000</v>
      </c>
      <c r="Q8185" s="5"/>
      <c r="R8185" s="5" t="s">
        <v>61508</v>
      </c>
      <c r="S8185" s="5" t="s">
        <v>49110</v>
      </c>
      <c r="T8185" s="28">
        <v>4832000</v>
      </c>
      <c r="U8185" s="28"/>
      <c r="V8185" s="28">
        <v>15000</v>
      </c>
      <c r="W8185" s="28"/>
      <c r="X8185" s="28"/>
      <c r="Y8185" s="28">
        <v>4849000</v>
      </c>
      <c r="Z8185" s="28">
        <v>-112277000</v>
      </c>
      <c r="AA8185" s="28"/>
      <c r="AB8185" s="28"/>
      <c r="AC8185" s="28">
        <v>116926000</v>
      </c>
      <c r="AD8185" s="28">
        <v>-112077000</v>
      </c>
      <c r="AE8185" s="28">
        <v>99514139000</v>
      </c>
      <c r="AF8185" s="28">
        <v>1606483000</v>
      </c>
      <c r="AG8185" s="11"/>
    </row>
    <row r="8186">
      <c r="A8186" s="7" t="s">
        <v>9720</v>
      </c>
      <c r="B8186" s="5" t="s">
        <v>17630</v>
      </c>
      <c r="C8186" s="5" t="s">
        <v>25181</v>
      </c>
      <c r="D8186" s="5" t="str">
        <v>550101698186</v>
      </c>
      <c r="E8186" s="0" t="e">
        <f>+7 (381) 2615801
+7 (381) 2616044
+7 (381) 2616110
+7 (381) 2616936
+7 (381) 2616939
+7 (381) 2619478
+7 (381) 2683603
+7 (913) 6327462
+7 (913) 9664460
+7 (913) 9683656</f>
        <v>#NAME?</v>
      </c>
      <c r="F8186" s="5" t="s">
        <v>48999</v>
      </c>
      <c r="G8186" s="5"/>
      <c r="H8186" s="26">
        <v>19.5</v>
      </c>
      <c r="I8186" s="5" t="s">
        <v>49000</v>
      </c>
      <c r="J8186" s="5" t="s">
        <v>27917</v>
      </c>
      <c r="K8186" s="5" t="s">
        <v>344</v>
      </c>
      <c r="L8186" s="5" t="s">
        <v>27907</v>
      </c>
      <c r="M8186" s="27"/>
      <c r="N8186" s="5"/>
      <c r="O8186" s="5" t="str">
        <v>5507066537</v>
      </c>
      <c r="P8186" s="27">
        <v>6260000</v>
      </c>
      <c r="Q8186" s="5" t="s">
        <v>61506</v>
      </c>
      <c r="R8186" s="5" t="s">
        <v>61509</v>
      </c>
      <c r="S8186" s="5" t="s">
        <v>61510</v>
      </c>
      <c r="T8186" s="28">
        <v>1142547000</v>
      </c>
      <c r="U8186" s="28"/>
      <c r="V8186" s="28">
        <v>2587686000</v>
      </c>
      <c r="W8186" s="28"/>
      <c r="X8186" s="28">
        <v>50452000</v>
      </c>
      <c r="Y8186" s="28">
        <v>5026110000</v>
      </c>
      <c r="Z8186" s="28">
        <v>922991000</v>
      </c>
      <c r="AA8186" s="28">
        <v>1985539000</v>
      </c>
      <c r="AB8186" s="28">
        <v>726834000</v>
      </c>
      <c r="AC8186" s="28">
        <v>1747995000</v>
      </c>
      <c r="AD8186" s="28">
        <v>1241525000</v>
      </c>
      <c r="AE8186" s="28">
        <v>7743627000</v>
      </c>
      <c r="AF8186" s="28">
        <v>527256000</v>
      </c>
      <c r="AG8186" s="11"/>
    </row>
    <row r="8187">
      <c r="A8187" s="7" t="s">
        <v>9721</v>
      </c>
      <c r="B8187" s="5" t="s">
        <v>17631</v>
      </c>
      <c r="C8187" s="5" t="s">
        <v>25182</v>
      </c>
      <c r="D8187" s="5" t="str">
        <v>760703632900</v>
      </c>
      <c r="E8187" s="0" t="e">
        <f>+7 (485) 2206646
+7 (485) 2206647
+7 (485) 2206648
+7 (485) 2209299
+7 (485) 2209300
+7 (485) 2302183
+7 (485) 2302573
+7 (485) 2425103
+7 (485) 2425104
+7 (485) 2425105
+7 (485) 2425111
+7 (485) 2425270
+7 (485) 2425280
+7 (485) 2472998
+7 (485) 2480060</f>
        <v>#NAME?</v>
      </c>
      <c r="F8187" s="5" t="s">
        <v>49001</v>
      </c>
      <c r="G8187" s="5" t="s">
        <v>49002</v>
      </c>
      <c r="H8187" s="26">
        <v>30</v>
      </c>
      <c r="I8187" s="5"/>
      <c r="J8187" s="5" t="s">
        <v>28418</v>
      </c>
      <c r="K8187" s="5" t="s">
        <v>344</v>
      </c>
      <c r="L8187" s="5" t="s">
        <v>49003</v>
      </c>
      <c r="M8187" s="27"/>
      <c r="N8187" s="5" t="s">
        <v>61511</v>
      </c>
      <c r="O8187" s="5" t="str">
        <v>7605000714</v>
      </c>
      <c r="P8187" s="27">
        <v>426900</v>
      </c>
      <c r="Q8187" s="5" t="s">
        <v>49009</v>
      </c>
      <c r="R8187" s="5"/>
      <c r="S8187" s="5" t="s">
        <v>49028</v>
      </c>
      <c r="T8187" s="28">
        <v>8666218000</v>
      </c>
      <c r="U8187" s="28"/>
      <c r="V8187" s="28">
        <v>2813582000</v>
      </c>
      <c r="W8187" s="28">
        <v>9061826000</v>
      </c>
      <c r="X8187" s="28">
        <v>1080236000</v>
      </c>
      <c r="Y8187" s="28">
        <v>23154861000</v>
      </c>
      <c r="Z8187" s="28">
        <v>22053099000</v>
      </c>
      <c r="AA8187" s="28"/>
      <c r="AB8187" s="28"/>
      <c r="AC8187" s="28">
        <v>546617000</v>
      </c>
      <c r="AD8187" s="28">
        <v>22235264000</v>
      </c>
      <c r="AE8187" s="28">
        <v>27398218000</v>
      </c>
      <c r="AF8187" s="28">
        <v>3026927000</v>
      </c>
      <c r="AG8187" s="11"/>
    </row>
    <row r="8188">
      <c r="A8188" s="7" t="s">
        <v>9722</v>
      </c>
      <c r="B8188" s="5" t="s">
        <v>17632</v>
      </c>
      <c r="C8188" s="5" t="s">
        <v>25183</v>
      </c>
      <c r="D8188" s="5" t="str">
        <v>781710243923</v>
      </c>
      <c r="E8188" s="0" t="e">
        <f>+7 (411) 2401404
+7 (41132) 43422
+7 (914) 2682438
+7 (411) 2223574
+7 (411) 2401401
+7 (411) 2401592
+7 (411) 2401593
+7 (411) 2401595
+7 (411) 2401597
+7 (411) 2402402
+7 (41132) 20302
+7 (41132) 41080
+7 (495) 7710660
+7 (495) 7716060</f>
        <v>#NAME?</v>
      </c>
      <c r="F8188" s="5" t="s">
        <v>49004</v>
      </c>
      <c r="G8188" s="5" t="s">
        <v>49005</v>
      </c>
      <c r="H8188" s="26">
        <v>29</v>
      </c>
      <c r="I8188" s="5"/>
      <c r="J8188" s="5" t="s">
        <v>27129</v>
      </c>
      <c r="K8188" s="5" t="s">
        <v>355</v>
      </c>
      <c r="L8188" s="5"/>
      <c r="M8188" s="27">
        <v>276057849</v>
      </c>
      <c r="N8188" s="5" t="s">
        <v>61512</v>
      </c>
      <c r="O8188" s="5" t="str">
        <v>1435032049</v>
      </c>
      <c r="P8188" s="27">
        <v>826919375</v>
      </c>
      <c r="Q8188" s="5" t="s">
        <v>61513</v>
      </c>
      <c r="R8188" s="5" t="s">
        <v>61514</v>
      </c>
      <c r="S8188" s="5" t="s">
        <v>61515</v>
      </c>
      <c r="T8188" s="28">
        <v>14993514000</v>
      </c>
      <c r="U8188" s="28">
        <v>13496000</v>
      </c>
      <c r="V8188" s="28">
        <v>1789506000</v>
      </c>
      <c r="W8188" s="28">
        <v>821132000</v>
      </c>
      <c r="X8188" s="28">
        <v>1941887000</v>
      </c>
      <c r="Y8188" s="28">
        <v>30456654000</v>
      </c>
      <c r="Z8188" s="28">
        <v>9392363000</v>
      </c>
      <c r="AA8188" s="28">
        <v>4000000000</v>
      </c>
      <c r="AB8188" s="28">
        <v>5627337000</v>
      </c>
      <c r="AC8188" s="28">
        <v>8560573000</v>
      </c>
      <c r="AD8188" s="28">
        <v>14560094000</v>
      </c>
      <c r="AE8188" s="28">
        <v>7315535000</v>
      </c>
      <c r="AF8188" s="28">
        <v>299262000</v>
      </c>
      <c r="AG8188" s="11"/>
    </row>
    <row r="8189">
      <c r="A8189" s="7" t="s">
        <v>9723</v>
      </c>
      <c r="B8189" s="5" t="s">
        <v>17633</v>
      </c>
      <c r="C8189" s="5" t="s">
        <v>25184</v>
      </c>
      <c r="D8189" s="5" t="str">
        <v>773390197493</v>
      </c>
      <c r="E8189" s="0" t="e">
        <f>+7 (401) 2111222
+7 (495) 2114888
+7 (906) 2354341
+7 (916) 9236244
+7 (921) 2619136
+7 (921) 2648055</f>
        <v>#NAME?</v>
      </c>
      <c r="F8189" s="5" t="s">
        <v>49006</v>
      </c>
      <c r="G8189" s="5" t="s">
        <v>49007</v>
      </c>
      <c r="H8189" s="26">
        <v>6</v>
      </c>
      <c r="I8189" s="5" t="s">
        <v>49008</v>
      </c>
      <c r="J8189" s="5" t="s">
        <v>373</v>
      </c>
      <c r="K8189" s="5" t="s">
        <v>344</v>
      </c>
      <c r="L8189" s="5" t="s">
        <v>46667</v>
      </c>
      <c r="M8189" s="27"/>
      <c r="N8189" s="5" t="s">
        <v>61516</v>
      </c>
      <c r="O8189" s="5" t="str">
        <v>5047196206</v>
      </c>
      <c r="P8189" s="27">
        <v>500000</v>
      </c>
      <c r="Q8189" s="5" t="s">
        <v>49057</v>
      </c>
      <c r="R8189" s="5"/>
      <c r="S8189" s="5" t="s">
        <v>50338</v>
      </c>
      <c r="T8189" s="28">
        <v>9904000</v>
      </c>
      <c r="U8189" s="28"/>
      <c r="V8189" s="28">
        <v>244576000</v>
      </c>
      <c r="W8189" s="28"/>
      <c r="X8189" s="28">
        <v>1104000</v>
      </c>
      <c r="Y8189" s="28">
        <v>526849000</v>
      </c>
      <c r="Z8189" s="28">
        <v>116400000</v>
      </c>
      <c r="AA8189" s="28"/>
      <c r="AB8189" s="28">
        <v>242239000</v>
      </c>
      <c r="AC8189" s="28">
        <v>409274000</v>
      </c>
      <c r="AD8189" s="28">
        <v>116900000</v>
      </c>
      <c r="AE8189" s="28">
        <v>3928466000</v>
      </c>
      <c r="AF8189" s="28">
        <v>35064000</v>
      </c>
      <c r="AG8189" s="11"/>
    </row>
  </sheetData>
  <conditionalFormatting sqref="O2:O2075">
    <cfRule type="containsText" dxfId="0" priority="6" operator="containsText" text="*">
      <formula>NOT(ISERROR(SEARCH(*,O2)))</formula>
    </cfRule>
  </conditionalFormatting>
  <conditionalFormatting sqref="O2:O2075">
    <cfRule type="containsText" dxfId="0" priority="5" operator="containsText" text="**">
      <formula>NOT(ISERROR(SEARCH(**,O2)))</formula>
    </cfRule>
  </conditionalFormatting>
  <conditionalFormatting sqref="O2:O2075">
    <cfRule type="containsText" dxfId="0" priority="4" operator="containsText" text="***">
      <formula>NOT(ISERROR(SEARCH(***,O2)))</formula>
    </cfRule>
  </conditionalFormatting>
  <conditionalFormatting sqref="X2:X1976">
    <cfRule type="cellIs" dxfId="0" priority="3" operator="greaterThan">
      <formula>0</formula>
    </cfRule>
  </conditionalFormatting>
  <conditionalFormatting sqref="X2:X1976">
    <cfRule type="cellIs" dxfId="0" priority="2" operator="greaterThan">
      <formula>4</formula>
    </cfRule>
  </conditionalFormatting>
  <conditionalFormatting sqref="X2:X1976">
    <cfRule type="cellIs" dxfId="0" priority="1" operator="greaterThan">
      <formula>10</formula>
    </cfRule>
  </conditionalFormatting>
  <hyperlinks>
    <hyperlink ref="B5" r:id="rId2"/>
    <hyperlink ref="B6" r:id="rId3"/>
    <hyperlink ref="B7" r:id="rId4"/>
    <hyperlink ref="B8" r:id="rId5"/>
    <hyperlink ref="B9" r:id="rId6"/>
    <hyperlink ref="B10" r:id="rId7"/>
    <hyperlink ref="B11" r:id="rId8"/>
    <hyperlink ref="B12" r:id="rId9"/>
    <hyperlink ref="B13" r:id="rId10"/>
    <hyperlink ref="B14" r:id="rId11"/>
    <hyperlink ref="B15" r:id="rId12"/>
    <hyperlink ref="B16" r:id="rId13"/>
    <hyperlink ref="B17" r:id="rId14"/>
    <hyperlink ref="B18" r:id="rId15"/>
    <hyperlink ref="B19" r:id="rId16"/>
    <hyperlink ref="B20" r:id="rId17"/>
    <hyperlink ref="B21" r:id="rId18"/>
    <hyperlink ref="B22" r:id="rId19"/>
    <hyperlink ref="B23" r:id="rId20"/>
    <hyperlink ref="B24" r:id="rId21"/>
    <hyperlink ref="B25" r:id="rId22"/>
    <hyperlink ref="B26" r:id="rId23"/>
    <hyperlink ref="B27" r:id="rId24"/>
    <hyperlink ref="B28" r:id="rId25"/>
    <hyperlink ref="B29" r:id="rId26"/>
    <hyperlink ref="B30" r:id="rId27"/>
    <hyperlink ref="B31" r:id="rId28"/>
    <hyperlink ref="B32" r:id="rId29"/>
    <hyperlink ref="B33" r:id="rId30"/>
    <hyperlink ref="B34" r:id="rId31"/>
    <hyperlink ref="B35" r:id="rId32"/>
    <hyperlink ref="B36" r:id="rId33"/>
    <hyperlink ref="B37" r:id="rId34"/>
    <hyperlink ref="B38" r:id="rId35"/>
    <hyperlink ref="B39" r:id="rId36"/>
    <hyperlink ref="B40" r:id="rId37"/>
    <hyperlink ref="B41" r:id="rId38"/>
    <hyperlink ref="B42" r:id="rId39"/>
    <hyperlink ref="B43" r:id="rId40"/>
    <hyperlink ref="B44" r:id="rId41"/>
    <hyperlink ref="B45" r:id="rId42"/>
    <hyperlink ref="B46" r:id="rId43"/>
    <hyperlink ref="B47" r:id="rId44"/>
    <hyperlink ref="B48" r:id="rId45"/>
    <hyperlink ref="B49" r:id="rId46"/>
    <hyperlink ref="B50" r:id="rId47"/>
    <hyperlink ref="B51" r:id="rId48"/>
    <hyperlink ref="B52" r:id="rId49"/>
    <hyperlink ref="B53" r:id="rId50"/>
    <hyperlink ref="B54" r:id="rId51"/>
    <hyperlink ref="B55" r:id="rId52"/>
    <hyperlink ref="B56" r:id="rId53"/>
    <hyperlink ref="B57" r:id="rId54"/>
    <hyperlink ref="B58" r:id="rId55"/>
    <hyperlink ref="B59" r:id="rId56"/>
    <hyperlink ref="B60" r:id="rId57"/>
    <hyperlink ref="B61" r:id="rId58"/>
    <hyperlink ref="B62" r:id="rId59"/>
    <hyperlink ref="B63" r:id="rId60"/>
    <hyperlink ref="B64" r:id="rId61"/>
    <hyperlink ref="B65" r:id="rId62"/>
    <hyperlink ref="B66" r:id="rId63"/>
    <hyperlink ref="B67" r:id="rId64"/>
    <hyperlink ref="B68" r:id="rId65"/>
    <hyperlink ref="B69" r:id="rId66"/>
    <hyperlink ref="B70" r:id="rId67"/>
    <hyperlink ref="B71" r:id="rId68"/>
    <hyperlink ref="B72" r:id="rId69"/>
    <hyperlink ref="B73" r:id="rId70"/>
    <hyperlink ref="B74" r:id="rId71"/>
    <hyperlink ref="B75" r:id="rId72"/>
    <hyperlink ref="B76" r:id="rId73"/>
    <hyperlink ref="B77" r:id="rId74"/>
    <hyperlink ref="B78" r:id="rId75"/>
    <hyperlink ref="B79" r:id="rId76"/>
    <hyperlink ref="B80" r:id="rId77"/>
    <hyperlink ref="B81" r:id="rId78"/>
    <hyperlink ref="B82" r:id="rId79"/>
    <hyperlink ref="B83" r:id="rId80"/>
    <hyperlink ref="B84" r:id="rId81"/>
    <hyperlink ref="B85" r:id="rId82"/>
    <hyperlink ref="B86" r:id="rId83"/>
    <hyperlink ref="B87" r:id="rId84"/>
    <hyperlink ref="B88" r:id="rId85"/>
    <hyperlink ref="B89" r:id="rId86"/>
    <hyperlink ref="B90" r:id="rId87"/>
    <hyperlink ref="B91" r:id="rId88"/>
    <hyperlink ref="A93" r:id="rId89"/>
    <hyperlink ref="A2" r:id="rId2220"/>
    <hyperlink ref="A3" r:id="rId2221"/>
    <hyperlink ref="A4" r:id="rId2222"/>
    <hyperlink ref="A5" r:id="rId2223"/>
    <hyperlink ref="A6" r:id="rId2224"/>
    <hyperlink ref="A7" r:id="rId2225"/>
    <hyperlink ref="A8" r:id="rId2226"/>
    <hyperlink ref="A9" r:id="rId2227"/>
    <hyperlink ref="A10" r:id="rId2228"/>
    <hyperlink ref="A11" r:id="rId2229"/>
    <hyperlink ref="A12" r:id="rId2230"/>
    <hyperlink ref="A13" r:id="rId2231"/>
    <hyperlink ref="A14" r:id="rId2232"/>
    <hyperlink ref="A15" r:id="rId2233"/>
    <hyperlink ref="A16" r:id="rId2234"/>
    <hyperlink ref="A17" r:id="rId2235"/>
    <hyperlink ref="A18" r:id="rId2236"/>
    <hyperlink ref="A19" r:id="rId2237"/>
    <hyperlink ref="A20" r:id="rId2238"/>
    <hyperlink ref="A21" r:id="rId2239"/>
    <hyperlink ref="A22" r:id="rId2240"/>
    <hyperlink ref="A23" r:id="rId2241"/>
    <hyperlink ref="A24" r:id="rId2242"/>
    <hyperlink ref="A25" r:id="rId2243"/>
    <hyperlink ref="A26" r:id="rId2244"/>
    <hyperlink ref="A27" r:id="rId2245"/>
    <hyperlink ref="A28" r:id="rId2246"/>
    <hyperlink ref="A29" r:id="rId2247"/>
    <hyperlink ref="A30" r:id="rId2248"/>
    <hyperlink ref="A31" r:id="rId2249"/>
    <hyperlink ref="A32" r:id="rId2250"/>
    <hyperlink ref="A33" r:id="rId2251"/>
    <hyperlink ref="A34" r:id="rId2252"/>
    <hyperlink ref="A35" r:id="rId2253"/>
    <hyperlink ref="A36" r:id="rId2254"/>
    <hyperlink ref="A37" r:id="rId2255"/>
    <hyperlink ref="A38" r:id="rId2256"/>
    <hyperlink ref="A39" r:id="rId2257"/>
    <hyperlink ref="A40" r:id="rId2258"/>
    <hyperlink ref="A41" r:id="rId2259"/>
    <hyperlink ref="A42" r:id="rId2260"/>
    <hyperlink ref="A43" r:id="rId2261"/>
    <hyperlink ref="A44" r:id="rId2262"/>
    <hyperlink ref="A45" r:id="rId2263"/>
    <hyperlink ref="A46" r:id="rId2264"/>
    <hyperlink ref="A47" r:id="rId2265"/>
    <hyperlink ref="A48" r:id="rId2266"/>
    <hyperlink ref="A49" r:id="rId2267"/>
    <hyperlink ref="A50" r:id="rId2268"/>
    <hyperlink ref="A51" r:id="rId2269"/>
    <hyperlink ref="A52" r:id="rId2270"/>
    <hyperlink ref="A53" r:id="rId2271"/>
    <hyperlink ref="A54" r:id="rId2272"/>
    <hyperlink ref="A55" r:id="rId2273"/>
    <hyperlink ref="A56" r:id="rId2274"/>
    <hyperlink ref="A57" r:id="rId2275"/>
    <hyperlink ref="A58" r:id="rId2276"/>
    <hyperlink ref="A59" r:id="rId2277"/>
    <hyperlink ref="A60" r:id="rId2278"/>
    <hyperlink ref="A61" r:id="rId2279"/>
    <hyperlink ref="A62" r:id="rId2280"/>
    <hyperlink ref="A63" r:id="rId2281"/>
    <hyperlink ref="A64" r:id="rId2282"/>
    <hyperlink ref="A65" r:id="rId2283"/>
    <hyperlink ref="A66" r:id="rId2284"/>
    <hyperlink ref="A67" r:id="rId2285"/>
    <hyperlink ref="A68" r:id="rId2286"/>
    <hyperlink ref="A69" r:id="rId2287"/>
    <hyperlink ref="A70" r:id="rId2288"/>
    <hyperlink ref="A71" r:id="rId2289"/>
    <hyperlink ref="A72" r:id="rId2290"/>
    <hyperlink ref="A73" r:id="rId2291"/>
    <hyperlink ref="A74" r:id="rId2292"/>
    <hyperlink ref="A75" r:id="rId2293"/>
    <hyperlink ref="A76" r:id="rId2294"/>
    <hyperlink ref="A77" r:id="rId2295"/>
    <hyperlink ref="A78" r:id="rId2296"/>
    <hyperlink ref="A79" r:id="rId2297"/>
    <hyperlink ref="A80" r:id="rId2298"/>
    <hyperlink ref="A81" r:id="rId2299"/>
    <hyperlink ref="A82" r:id="rId2300"/>
    <hyperlink ref="A83" r:id="rId2301"/>
    <hyperlink ref="A84" r:id="rId2302"/>
    <hyperlink ref="A85" r:id="rId2303"/>
    <hyperlink ref="A86" r:id="rId2304"/>
    <hyperlink ref="A87" r:id="rId2305"/>
    <hyperlink ref="A88" r:id="rId2306"/>
    <hyperlink ref="A89" r:id="rId2307"/>
    <hyperlink ref="A90" r:id="rId2308"/>
    <hyperlink ref="A91" r:id="rId2309"/>
    <hyperlink ref="A92" r:id="rId2310"/>
    <hyperlink ref="A93" r:id="rId2311"/>
    <hyperlink ref="A94" r:id="rId2312"/>
    <hyperlink ref="A95" r:id="rId2313"/>
    <hyperlink ref="A96" r:id="rId2314"/>
    <hyperlink ref="A97" r:id="rId2315"/>
    <hyperlink ref="A98" r:id="rId2316"/>
    <hyperlink ref="A99" r:id="rId2317"/>
    <hyperlink ref="A100" r:id="rId2318"/>
    <hyperlink ref="A101" r:id="rId2319"/>
    <hyperlink ref="A102" r:id="rId2320"/>
    <hyperlink ref="A103" r:id="rId2321"/>
    <hyperlink ref="A104" r:id="rId2322"/>
    <hyperlink ref="A105" r:id="rId2323"/>
    <hyperlink ref="A106" r:id="rId2324"/>
    <hyperlink ref="A107" r:id="rId2325"/>
    <hyperlink ref="A108" r:id="rId2326"/>
    <hyperlink ref="A109" r:id="rId2327"/>
    <hyperlink ref="A110" r:id="rId2328"/>
    <hyperlink ref="A111" r:id="rId2329"/>
    <hyperlink ref="A112" r:id="rId2330"/>
    <hyperlink ref="A113" r:id="rId2331"/>
    <hyperlink ref="A114" r:id="rId2332"/>
    <hyperlink ref="A115" r:id="rId2333"/>
    <hyperlink ref="A116" r:id="rId2334"/>
    <hyperlink ref="A117" r:id="rId2335"/>
    <hyperlink ref="A118" r:id="rId2336"/>
    <hyperlink ref="A119" r:id="rId2337"/>
    <hyperlink ref="A120" r:id="rId2338"/>
    <hyperlink ref="A121" r:id="rId2339"/>
    <hyperlink ref="A122" r:id="rId2340"/>
    <hyperlink ref="A123" r:id="rId2341"/>
    <hyperlink ref="A124" r:id="rId2342"/>
    <hyperlink ref="A125" r:id="rId2343"/>
    <hyperlink ref="A126" r:id="rId2344"/>
    <hyperlink ref="A127" r:id="rId2345"/>
    <hyperlink ref="A128" r:id="rId2346"/>
    <hyperlink ref="A129" r:id="rId2347"/>
    <hyperlink ref="A130" r:id="rId2348"/>
    <hyperlink ref="A131" r:id="rId2349"/>
    <hyperlink ref="A132" r:id="rId2350"/>
    <hyperlink ref="A133" r:id="rId2351"/>
    <hyperlink ref="A134" r:id="rId2352"/>
    <hyperlink ref="A135" r:id="rId2353"/>
    <hyperlink ref="A136" r:id="rId2354"/>
    <hyperlink ref="A137" r:id="rId2355"/>
    <hyperlink ref="A138" r:id="rId2356"/>
    <hyperlink ref="A139" r:id="rId2357"/>
    <hyperlink ref="A140" r:id="rId2358"/>
    <hyperlink ref="A141" r:id="rId2359"/>
    <hyperlink ref="A142" r:id="rId2360"/>
    <hyperlink ref="A143" r:id="rId2361"/>
    <hyperlink ref="A144" r:id="rId2362"/>
    <hyperlink ref="A145" r:id="rId2363"/>
    <hyperlink ref="A146" r:id="rId2364"/>
    <hyperlink ref="A147" r:id="rId2365"/>
    <hyperlink ref="A148" r:id="rId2366"/>
    <hyperlink ref="A149" r:id="rId2367"/>
    <hyperlink ref="A150" r:id="rId2368"/>
    <hyperlink ref="A151" r:id="rId2369"/>
    <hyperlink ref="A152" r:id="rId2370"/>
    <hyperlink ref="A153" r:id="rId2371"/>
    <hyperlink ref="A154" r:id="rId2372"/>
    <hyperlink ref="A155" r:id="rId2373"/>
    <hyperlink ref="A156" r:id="rId2374"/>
    <hyperlink ref="A157" r:id="rId2375"/>
    <hyperlink ref="A158" r:id="rId2376"/>
    <hyperlink ref="A159" r:id="rId2377"/>
    <hyperlink ref="A160" r:id="rId2378"/>
    <hyperlink ref="A161" r:id="rId2379"/>
    <hyperlink ref="A162" r:id="rId2380"/>
    <hyperlink ref="A163" r:id="rId2381"/>
    <hyperlink ref="A164" r:id="rId2382"/>
    <hyperlink ref="A165" r:id="rId2383"/>
    <hyperlink ref="A166" r:id="rId2384"/>
    <hyperlink ref="A167" r:id="rId2385"/>
    <hyperlink ref="A168" r:id="rId2386"/>
    <hyperlink ref="A169" r:id="rId2387"/>
    <hyperlink ref="A170" r:id="rId2388"/>
    <hyperlink ref="A171" r:id="rId2389"/>
    <hyperlink ref="A172" r:id="rId2390"/>
    <hyperlink ref="A173" r:id="rId2391"/>
    <hyperlink ref="A174" r:id="rId2392"/>
    <hyperlink ref="A175" r:id="rId2393"/>
    <hyperlink ref="A176" r:id="rId2394"/>
    <hyperlink ref="A177" r:id="rId2395"/>
    <hyperlink ref="A178" r:id="rId2396"/>
    <hyperlink ref="A179" r:id="rId2397"/>
    <hyperlink ref="A180" r:id="rId2398"/>
    <hyperlink ref="A181" r:id="rId2399"/>
    <hyperlink ref="A182" r:id="rId2400"/>
    <hyperlink ref="A183" r:id="rId2401"/>
    <hyperlink ref="A184" r:id="rId2402"/>
    <hyperlink ref="A185" r:id="rId2403"/>
    <hyperlink ref="A186" r:id="rId2404"/>
    <hyperlink ref="A187" r:id="rId2405"/>
    <hyperlink ref="A188" r:id="rId2406"/>
    <hyperlink ref="A189" r:id="rId2407"/>
    <hyperlink ref="A190" r:id="rId2408"/>
    <hyperlink ref="A191" r:id="rId2409"/>
    <hyperlink ref="A192" r:id="rId2410"/>
    <hyperlink ref="A193" r:id="rId2411"/>
    <hyperlink ref="A194" r:id="rId2412"/>
    <hyperlink ref="A195" r:id="rId2413"/>
    <hyperlink ref="A196" r:id="rId2414"/>
    <hyperlink ref="A197" r:id="rId2415"/>
    <hyperlink ref="A198" r:id="rId2416"/>
    <hyperlink ref="A199" r:id="rId2417"/>
    <hyperlink ref="A200" r:id="rId2418"/>
    <hyperlink ref="A201" r:id="rId2419"/>
    <hyperlink ref="A202" r:id="rId2420"/>
    <hyperlink ref="A203" r:id="rId2421"/>
    <hyperlink ref="A204" r:id="rId2422"/>
    <hyperlink ref="A205" r:id="rId2423"/>
    <hyperlink ref="A206" r:id="rId2424"/>
    <hyperlink ref="A207" r:id="rId2425"/>
    <hyperlink ref="A208" r:id="rId2426"/>
    <hyperlink ref="A209" r:id="rId2427"/>
    <hyperlink ref="A210" r:id="rId2428"/>
    <hyperlink ref="A211" r:id="rId2429"/>
    <hyperlink ref="A212" r:id="rId2430"/>
    <hyperlink ref="A213" r:id="rId2431"/>
    <hyperlink ref="A214" r:id="rId2432"/>
    <hyperlink ref="A215" r:id="rId2433"/>
    <hyperlink ref="A216" r:id="rId2434"/>
    <hyperlink ref="A217" r:id="rId2435"/>
    <hyperlink ref="A218" r:id="rId2436"/>
    <hyperlink ref="A219" r:id="rId2437"/>
    <hyperlink ref="A220" r:id="rId2438"/>
    <hyperlink ref="A221" r:id="rId2439"/>
    <hyperlink ref="A222" r:id="rId2440"/>
    <hyperlink ref="A223" r:id="rId2441"/>
    <hyperlink ref="A224" r:id="rId2442"/>
    <hyperlink ref="A225" r:id="rId2443"/>
    <hyperlink ref="A226" r:id="rId2444"/>
    <hyperlink ref="A227" r:id="rId2445"/>
    <hyperlink ref="A228" r:id="rId2446"/>
    <hyperlink ref="A229" r:id="rId2447"/>
    <hyperlink ref="A230" r:id="rId2448"/>
    <hyperlink ref="A231" r:id="rId2449"/>
    <hyperlink ref="A232" r:id="rId2450"/>
    <hyperlink ref="A233" r:id="rId2451"/>
    <hyperlink ref="A234" r:id="rId2452"/>
    <hyperlink ref="A235" r:id="rId2453"/>
    <hyperlink ref="A236" r:id="rId2454"/>
    <hyperlink ref="A237" r:id="rId2455"/>
    <hyperlink ref="A238" r:id="rId2456"/>
    <hyperlink ref="A239" r:id="rId2457"/>
    <hyperlink ref="A240" r:id="rId2458"/>
    <hyperlink ref="A241" r:id="rId2459"/>
    <hyperlink ref="A242" r:id="rId2460"/>
    <hyperlink ref="A243" r:id="rId2461"/>
    <hyperlink ref="A244" r:id="rId2462"/>
    <hyperlink ref="A245" r:id="rId2463"/>
    <hyperlink ref="A246" r:id="rId2464"/>
    <hyperlink ref="A247" r:id="rId2465"/>
    <hyperlink ref="A248" r:id="rId2466"/>
    <hyperlink ref="A249" r:id="rId2467"/>
    <hyperlink ref="A250" r:id="rId2468"/>
    <hyperlink ref="A251" r:id="rId2469"/>
    <hyperlink ref="A252" r:id="rId2470"/>
    <hyperlink ref="A253" r:id="rId2471"/>
    <hyperlink ref="A254" r:id="rId2472"/>
    <hyperlink ref="A255" r:id="rId2473"/>
    <hyperlink ref="A256" r:id="rId2474"/>
    <hyperlink ref="A257" r:id="rId2475"/>
    <hyperlink ref="A258" r:id="rId2476"/>
    <hyperlink ref="A259" r:id="rId2477"/>
    <hyperlink ref="A260" r:id="rId2478"/>
    <hyperlink ref="A261" r:id="rId2479"/>
    <hyperlink ref="A262" r:id="rId2480"/>
    <hyperlink ref="A263" r:id="rId2481"/>
    <hyperlink ref="A264" r:id="rId2482"/>
    <hyperlink ref="A265" r:id="rId2483"/>
    <hyperlink ref="A266" r:id="rId2484"/>
    <hyperlink ref="A267" r:id="rId2485"/>
    <hyperlink ref="A268" r:id="rId2486"/>
    <hyperlink ref="A269" r:id="rId2487"/>
    <hyperlink ref="A270" r:id="rId2488"/>
    <hyperlink ref="A271" r:id="rId2489"/>
    <hyperlink ref="A272" r:id="rId2490"/>
    <hyperlink ref="A273" r:id="rId2491"/>
    <hyperlink ref="A274" r:id="rId2492"/>
    <hyperlink ref="A275" r:id="rId2493"/>
    <hyperlink ref="A276" r:id="rId2494"/>
    <hyperlink ref="A277" r:id="rId2495"/>
    <hyperlink ref="A278" r:id="rId2496"/>
    <hyperlink ref="A279" r:id="rId2497"/>
    <hyperlink ref="A280" r:id="rId2498"/>
    <hyperlink ref="A281" r:id="rId2499"/>
    <hyperlink ref="A282" r:id="rId2500"/>
    <hyperlink ref="A283" r:id="rId2501"/>
    <hyperlink ref="A284" r:id="rId2502"/>
    <hyperlink ref="A285" r:id="rId2503"/>
    <hyperlink ref="A286" r:id="rId2504"/>
    <hyperlink ref="A287" r:id="rId2505"/>
    <hyperlink ref="A288" r:id="rId2506"/>
    <hyperlink ref="A289" r:id="rId2507"/>
    <hyperlink ref="A290" r:id="rId2508"/>
    <hyperlink ref="A291" r:id="rId2509"/>
    <hyperlink ref="A292" r:id="rId2510"/>
    <hyperlink ref="A293" r:id="rId2511"/>
    <hyperlink ref="A294" r:id="rId2512"/>
    <hyperlink ref="A295" r:id="rId2513"/>
    <hyperlink ref="A296" r:id="rId2514"/>
    <hyperlink ref="A297" r:id="rId2515"/>
    <hyperlink ref="A298" r:id="rId2516"/>
    <hyperlink ref="A299" r:id="rId2517"/>
    <hyperlink ref="A300" r:id="rId2518"/>
    <hyperlink ref="A301" r:id="rId2519"/>
    <hyperlink ref="A302" r:id="rId2520"/>
    <hyperlink ref="A303" r:id="rId2521"/>
    <hyperlink ref="A304" r:id="rId2522"/>
    <hyperlink ref="A305" r:id="rId2523"/>
    <hyperlink ref="A306" r:id="rId2524"/>
    <hyperlink ref="A307" r:id="rId2525"/>
    <hyperlink ref="A308" r:id="rId2526"/>
    <hyperlink ref="A309" r:id="rId2527"/>
    <hyperlink ref="A310" r:id="rId2528"/>
    <hyperlink ref="A311" r:id="rId2529"/>
    <hyperlink ref="A312" r:id="rId2530"/>
    <hyperlink ref="A313" r:id="rId2531"/>
    <hyperlink ref="A314" r:id="rId2532"/>
    <hyperlink ref="A315" r:id="rId2533"/>
    <hyperlink ref="A316" r:id="rId2534"/>
    <hyperlink ref="A317" r:id="rId2535"/>
    <hyperlink ref="A318" r:id="rId2536"/>
    <hyperlink ref="A319" r:id="rId2537"/>
    <hyperlink ref="A320" r:id="rId2538"/>
    <hyperlink ref="A321" r:id="rId2539"/>
    <hyperlink ref="A322" r:id="rId2540"/>
    <hyperlink ref="A323" r:id="rId2541"/>
    <hyperlink ref="A324" r:id="rId2542"/>
    <hyperlink ref="A325" r:id="rId2543"/>
    <hyperlink ref="A326" r:id="rId2544"/>
    <hyperlink ref="A327" r:id="rId2545"/>
    <hyperlink ref="A328" r:id="rId2546"/>
    <hyperlink ref="A329" r:id="rId2547"/>
    <hyperlink ref="A330" r:id="rId2548"/>
    <hyperlink ref="A331" r:id="rId2549"/>
    <hyperlink ref="A332" r:id="rId2550"/>
    <hyperlink ref="A333" r:id="rId2551"/>
    <hyperlink ref="A334" r:id="rId2552"/>
    <hyperlink ref="A335" r:id="rId2553"/>
    <hyperlink ref="A336" r:id="rId2554"/>
    <hyperlink ref="A337" r:id="rId2555"/>
    <hyperlink ref="A338" r:id="rId2556"/>
    <hyperlink ref="A339" r:id="rId2557"/>
    <hyperlink ref="A340" r:id="rId2558"/>
    <hyperlink ref="A341" r:id="rId2559"/>
    <hyperlink ref="A342" r:id="rId2560"/>
    <hyperlink ref="A343" r:id="rId2561"/>
    <hyperlink ref="A344" r:id="rId2562"/>
    <hyperlink ref="A345" r:id="rId2563"/>
    <hyperlink ref="A346" r:id="rId2564"/>
    <hyperlink ref="A347" r:id="rId2565"/>
    <hyperlink ref="A348" r:id="rId2566"/>
    <hyperlink ref="A349" r:id="rId2567"/>
    <hyperlink ref="A350" r:id="rId2568"/>
    <hyperlink ref="A351" r:id="rId2569"/>
    <hyperlink ref="A352" r:id="rId2570"/>
    <hyperlink ref="A353" r:id="rId2571"/>
    <hyperlink ref="A354" r:id="rId2572"/>
    <hyperlink ref="A355" r:id="rId2573"/>
    <hyperlink ref="A356" r:id="rId2574"/>
    <hyperlink ref="A357" r:id="rId2575"/>
    <hyperlink ref="A358" r:id="rId2576"/>
    <hyperlink ref="A359" r:id="rId2577"/>
    <hyperlink ref="A360" r:id="rId2578"/>
    <hyperlink ref="A361" r:id="rId2579"/>
    <hyperlink ref="A362" r:id="rId2580"/>
    <hyperlink ref="A363" r:id="rId2581"/>
    <hyperlink ref="A364" r:id="rId2582"/>
    <hyperlink ref="A365" r:id="rId2583"/>
    <hyperlink ref="A366" r:id="rId2584"/>
    <hyperlink ref="A367" r:id="rId2585"/>
    <hyperlink ref="A368" r:id="rId2586"/>
    <hyperlink ref="A369" r:id="rId2587"/>
    <hyperlink ref="A370" r:id="rId2588"/>
    <hyperlink ref="A371" r:id="rId2589"/>
    <hyperlink ref="A372" r:id="rId2590"/>
    <hyperlink ref="A373" r:id="rId2591"/>
    <hyperlink ref="A374" r:id="rId2592"/>
    <hyperlink ref="A375" r:id="rId2593"/>
    <hyperlink ref="A376" r:id="rId2594"/>
    <hyperlink ref="A377" r:id="rId2595"/>
    <hyperlink ref="A378" r:id="rId2596"/>
    <hyperlink ref="A379" r:id="rId2597"/>
    <hyperlink ref="A380" r:id="rId2598"/>
    <hyperlink ref="A381" r:id="rId2599"/>
    <hyperlink ref="A382" r:id="rId2600"/>
    <hyperlink ref="A383" r:id="rId2601"/>
    <hyperlink ref="A384" r:id="rId2602"/>
    <hyperlink ref="A385" r:id="rId2603"/>
    <hyperlink ref="A386" r:id="rId2604"/>
    <hyperlink ref="A387" r:id="rId2605"/>
    <hyperlink ref="A388" r:id="rId2606"/>
    <hyperlink ref="A389" r:id="rId2607"/>
    <hyperlink ref="A390" r:id="rId2608"/>
    <hyperlink ref="A391" r:id="rId2609"/>
    <hyperlink ref="A392" r:id="rId2610"/>
    <hyperlink ref="A393" r:id="rId2611"/>
    <hyperlink ref="A394" r:id="rId2612"/>
    <hyperlink ref="A395" r:id="rId2613"/>
    <hyperlink ref="A396" r:id="rId2614"/>
    <hyperlink ref="A397" r:id="rId2615"/>
    <hyperlink ref="A398" r:id="rId2616"/>
    <hyperlink ref="A399" r:id="rId2617"/>
    <hyperlink ref="A400" r:id="rId2618"/>
    <hyperlink ref="A401" r:id="rId2619"/>
    <hyperlink ref="A402" r:id="rId2620"/>
    <hyperlink ref="A403" r:id="rId2621"/>
    <hyperlink ref="A404" r:id="rId2622"/>
    <hyperlink ref="A405" r:id="rId2623"/>
    <hyperlink ref="A406" r:id="rId2624"/>
    <hyperlink ref="A407" r:id="rId2625"/>
    <hyperlink ref="A408" r:id="rId2626"/>
    <hyperlink ref="A409" r:id="rId2627"/>
    <hyperlink ref="A410" r:id="rId2628"/>
    <hyperlink ref="A411" r:id="rId2629"/>
    <hyperlink ref="A412" r:id="rId2630"/>
    <hyperlink ref="A413" r:id="rId2631"/>
    <hyperlink ref="A414" r:id="rId2632"/>
    <hyperlink ref="A415" r:id="rId2633"/>
    <hyperlink ref="A416" r:id="rId2634"/>
    <hyperlink ref="A417" r:id="rId2635"/>
    <hyperlink ref="A418" r:id="rId2636"/>
    <hyperlink ref="A419" r:id="rId2637"/>
    <hyperlink ref="A420" r:id="rId2638"/>
    <hyperlink ref="A421" r:id="rId2639"/>
    <hyperlink ref="A422" r:id="rId2640"/>
    <hyperlink ref="A423" r:id="rId2641"/>
    <hyperlink ref="A424" r:id="rId2642"/>
    <hyperlink ref="A425" r:id="rId2643"/>
    <hyperlink ref="A426" r:id="rId2644"/>
    <hyperlink ref="A427" r:id="rId2645"/>
    <hyperlink ref="A428" r:id="rId2646"/>
    <hyperlink ref="A429" r:id="rId2647"/>
    <hyperlink ref="A430" r:id="rId2648"/>
    <hyperlink ref="A431" r:id="rId2649"/>
    <hyperlink ref="A432" r:id="rId2650"/>
    <hyperlink ref="A433" r:id="rId2651"/>
    <hyperlink ref="A434" r:id="rId2652"/>
    <hyperlink ref="A435" r:id="rId2653"/>
    <hyperlink ref="A436" r:id="rId2654"/>
    <hyperlink ref="A437" r:id="rId2655"/>
    <hyperlink ref="A438" r:id="rId2656"/>
    <hyperlink ref="A439" r:id="rId2657"/>
    <hyperlink ref="A440" r:id="rId2658"/>
    <hyperlink ref="A441" r:id="rId2659"/>
    <hyperlink ref="A442" r:id="rId2660"/>
    <hyperlink ref="A443" r:id="rId2661"/>
    <hyperlink ref="A444" r:id="rId2662"/>
    <hyperlink ref="A445" r:id="rId2663"/>
    <hyperlink ref="A446" r:id="rId2664"/>
    <hyperlink ref="A447" r:id="rId2665"/>
    <hyperlink ref="A448" r:id="rId2666"/>
    <hyperlink ref="A449" r:id="rId2667"/>
    <hyperlink ref="A450" r:id="rId2668"/>
    <hyperlink ref="A451" r:id="rId2669"/>
    <hyperlink ref="A452" r:id="rId2670"/>
    <hyperlink ref="A453" r:id="rId2671"/>
    <hyperlink ref="A454" r:id="rId2672"/>
    <hyperlink ref="A455" r:id="rId2673"/>
    <hyperlink ref="A456" r:id="rId2674"/>
    <hyperlink ref="A457" r:id="rId2675"/>
    <hyperlink ref="A458" r:id="rId2676"/>
    <hyperlink ref="A459" r:id="rId2677"/>
    <hyperlink ref="A460" r:id="rId2678"/>
    <hyperlink ref="A461" r:id="rId2679"/>
    <hyperlink ref="A462" r:id="rId2680"/>
    <hyperlink ref="A463" r:id="rId2681"/>
    <hyperlink ref="A464" r:id="rId2682"/>
    <hyperlink ref="A465" r:id="rId2683"/>
    <hyperlink ref="A466" r:id="rId2684"/>
    <hyperlink ref="A467" r:id="rId2685"/>
    <hyperlink ref="A468" r:id="rId2686"/>
    <hyperlink ref="A469" r:id="rId2687"/>
    <hyperlink ref="A470" r:id="rId2688"/>
    <hyperlink ref="A471" r:id="rId2689"/>
    <hyperlink ref="A472" r:id="rId2690"/>
    <hyperlink ref="A473" r:id="rId2691"/>
    <hyperlink ref="A474" r:id="rId2692"/>
    <hyperlink ref="A475" r:id="rId2693"/>
    <hyperlink ref="A476" r:id="rId2694"/>
    <hyperlink ref="A477" r:id="rId2695"/>
    <hyperlink ref="A478" r:id="rId2696"/>
    <hyperlink ref="A479" r:id="rId2697"/>
    <hyperlink ref="A480" r:id="rId2698"/>
    <hyperlink ref="A481" r:id="rId2699"/>
    <hyperlink ref="A482" r:id="rId2700"/>
    <hyperlink ref="A483" r:id="rId2701"/>
    <hyperlink ref="A484" r:id="rId2702"/>
    <hyperlink ref="A485" r:id="rId2703"/>
    <hyperlink ref="A486" r:id="rId2704"/>
    <hyperlink ref="A487" r:id="rId2705"/>
    <hyperlink ref="A488" r:id="rId2706"/>
    <hyperlink ref="A489" r:id="rId2707"/>
    <hyperlink ref="A490" r:id="rId2708"/>
    <hyperlink ref="A491" r:id="rId2709"/>
    <hyperlink ref="A492" r:id="rId2710"/>
    <hyperlink ref="A493" r:id="rId2711"/>
    <hyperlink ref="A494" r:id="rId2712"/>
    <hyperlink ref="A495" r:id="rId2713"/>
    <hyperlink ref="A496" r:id="rId2714"/>
    <hyperlink ref="A497" r:id="rId2715"/>
    <hyperlink ref="A498" r:id="rId2716"/>
    <hyperlink ref="A499" r:id="rId2717"/>
    <hyperlink ref="A500" r:id="rId2718"/>
    <hyperlink ref="A501" r:id="rId2719"/>
    <hyperlink ref="A502" r:id="rId2720"/>
    <hyperlink ref="A503" r:id="rId2721"/>
    <hyperlink ref="A504" r:id="rId2722"/>
    <hyperlink ref="A505" r:id="rId2723"/>
    <hyperlink ref="A506" r:id="rId2724"/>
    <hyperlink ref="A507" r:id="rId2725"/>
    <hyperlink ref="A508" r:id="rId2726"/>
    <hyperlink ref="A509" r:id="rId2727"/>
    <hyperlink ref="A510" r:id="rId2728"/>
    <hyperlink ref="A511" r:id="rId2729"/>
    <hyperlink ref="A512" r:id="rId2730"/>
    <hyperlink ref="A513" r:id="rId2731"/>
    <hyperlink ref="A514" r:id="rId2732"/>
    <hyperlink ref="A515" r:id="rId2733"/>
    <hyperlink ref="A516" r:id="rId2734"/>
    <hyperlink ref="A517" r:id="rId2735"/>
    <hyperlink ref="A518" r:id="rId2736"/>
    <hyperlink ref="A519" r:id="rId2737"/>
    <hyperlink ref="A520" r:id="rId2738"/>
    <hyperlink ref="A521" r:id="rId2739"/>
    <hyperlink ref="A522" r:id="rId2740"/>
    <hyperlink ref="A523" r:id="rId2741"/>
    <hyperlink ref="A524" r:id="rId2742"/>
    <hyperlink ref="A525" r:id="rId2743"/>
    <hyperlink ref="A526" r:id="rId2744"/>
    <hyperlink ref="A527" r:id="rId2745"/>
    <hyperlink ref="A528" r:id="rId2746"/>
    <hyperlink ref="A529" r:id="rId2747"/>
    <hyperlink ref="A530" r:id="rId2748"/>
    <hyperlink ref="A531" r:id="rId2749"/>
    <hyperlink ref="A532" r:id="rId2750"/>
    <hyperlink ref="A533" r:id="rId2751"/>
    <hyperlink ref="A534" r:id="rId2752"/>
    <hyperlink ref="A535" r:id="rId2753"/>
    <hyperlink ref="A536" r:id="rId2754"/>
    <hyperlink ref="A537" r:id="rId2755"/>
    <hyperlink ref="A538" r:id="rId2756"/>
    <hyperlink ref="A539" r:id="rId2757"/>
    <hyperlink ref="A540" r:id="rId2758"/>
    <hyperlink ref="A541" r:id="rId2759"/>
    <hyperlink ref="A542" r:id="rId2760"/>
    <hyperlink ref="A543" r:id="rId2761"/>
    <hyperlink ref="A544" r:id="rId2762"/>
    <hyperlink ref="A545" r:id="rId2763"/>
    <hyperlink ref="A546" r:id="rId2764"/>
    <hyperlink ref="A547" r:id="rId2765"/>
    <hyperlink ref="A548" r:id="rId2766"/>
    <hyperlink ref="A549" r:id="rId2767"/>
    <hyperlink ref="A550" r:id="rId2768"/>
    <hyperlink ref="A551" r:id="rId2769"/>
    <hyperlink ref="A552" r:id="rId2770"/>
    <hyperlink ref="A553" r:id="rId2771"/>
    <hyperlink ref="A554" r:id="rId2772"/>
    <hyperlink ref="A555" r:id="rId2773"/>
    <hyperlink ref="A556" r:id="rId2774"/>
    <hyperlink ref="A557" r:id="rId2775"/>
    <hyperlink ref="A558" r:id="rId2776"/>
    <hyperlink ref="A559" r:id="rId2777"/>
    <hyperlink ref="A560" r:id="rId2778"/>
    <hyperlink ref="A561" r:id="rId2779"/>
    <hyperlink ref="A562" r:id="rId2780"/>
    <hyperlink ref="A563" r:id="rId2781"/>
    <hyperlink ref="A564" r:id="rId2782"/>
    <hyperlink ref="A565" r:id="rId2783"/>
    <hyperlink ref="A566" r:id="rId2784"/>
    <hyperlink ref="A567" r:id="rId2785"/>
    <hyperlink ref="A568" r:id="rId2786"/>
    <hyperlink ref="A569" r:id="rId2787"/>
    <hyperlink ref="A570" r:id="rId2788"/>
    <hyperlink ref="A571" r:id="rId2789"/>
    <hyperlink ref="A572" r:id="rId2790"/>
    <hyperlink ref="A573" r:id="rId2791"/>
    <hyperlink ref="A574" r:id="rId2792"/>
    <hyperlink ref="A575" r:id="rId2793"/>
    <hyperlink ref="A576" r:id="rId2794"/>
    <hyperlink ref="A577" r:id="rId2795"/>
    <hyperlink ref="A578" r:id="rId2796"/>
    <hyperlink ref="A579" r:id="rId2797"/>
    <hyperlink ref="A580" r:id="rId2798"/>
    <hyperlink ref="A581" r:id="rId2799"/>
    <hyperlink ref="A582" r:id="rId2800"/>
    <hyperlink ref="A583" r:id="rId2801"/>
    <hyperlink ref="A584" r:id="rId2802"/>
    <hyperlink ref="A585" r:id="rId2803"/>
    <hyperlink ref="A586" r:id="rId2804"/>
    <hyperlink ref="A587" r:id="rId2805"/>
    <hyperlink ref="A588" r:id="rId2806"/>
    <hyperlink ref="A589" r:id="rId2807"/>
    <hyperlink ref="A590" r:id="rId2808"/>
    <hyperlink ref="A591" r:id="rId2809"/>
    <hyperlink ref="A592" r:id="rId2810"/>
    <hyperlink ref="A593" r:id="rId2811"/>
    <hyperlink ref="A594" r:id="rId2812"/>
    <hyperlink ref="A595" r:id="rId2813"/>
    <hyperlink ref="A596" r:id="rId2814"/>
    <hyperlink ref="A597" r:id="rId2815"/>
    <hyperlink ref="A598" r:id="rId2816"/>
    <hyperlink ref="A599" r:id="rId2817"/>
    <hyperlink ref="A600" r:id="rId2818"/>
    <hyperlink ref="A601" r:id="rId2819"/>
    <hyperlink ref="A602" r:id="rId2820"/>
    <hyperlink ref="A603" r:id="rId2821"/>
    <hyperlink ref="A604" r:id="rId2822"/>
    <hyperlink ref="A605" r:id="rId2823"/>
    <hyperlink ref="A606" r:id="rId2824"/>
    <hyperlink ref="A607" r:id="rId2825"/>
    <hyperlink ref="A608" r:id="rId2826"/>
    <hyperlink ref="A609" r:id="rId2827"/>
    <hyperlink ref="A610" r:id="rId2828"/>
    <hyperlink ref="A611" r:id="rId2829"/>
    <hyperlink ref="A612" r:id="rId2830"/>
    <hyperlink ref="A613" r:id="rId2831"/>
    <hyperlink ref="A614" r:id="rId2832"/>
    <hyperlink ref="A615" r:id="rId2833"/>
    <hyperlink ref="A616" r:id="rId2834"/>
    <hyperlink ref="A617" r:id="rId2835"/>
    <hyperlink ref="A618" r:id="rId2836"/>
    <hyperlink ref="A619" r:id="rId2837"/>
    <hyperlink ref="A620" r:id="rId2838"/>
    <hyperlink ref="A621" r:id="rId2839"/>
    <hyperlink ref="A622" r:id="rId2840"/>
    <hyperlink ref="A623" r:id="rId2841"/>
    <hyperlink ref="A624" r:id="rId2842"/>
    <hyperlink ref="A625" r:id="rId2843"/>
    <hyperlink ref="A626" r:id="rId2844"/>
    <hyperlink ref="A627" r:id="rId2845"/>
    <hyperlink ref="A628" r:id="rId2846"/>
    <hyperlink ref="A629" r:id="rId2847"/>
    <hyperlink ref="A630" r:id="rId2848"/>
    <hyperlink ref="A631" r:id="rId2849"/>
    <hyperlink ref="A632" r:id="rId2850"/>
    <hyperlink ref="A633" r:id="rId2851"/>
    <hyperlink ref="A634" r:id="rId2852"/>
    <hyperlink ref="A635" r:id="rId2853"/>
    <hyperlink ref="A636" r:id="rId2854"/>
    <hyperlink ref="A637" r:id="rId2855"/>
    <hyperlink ref="A638" r:id="rId2856"/>
    <hyperlink ref="A639" r:id="rId2857"/>
    <hyperlink ref="A640" r:id="rId2858"/>
    <hyperlink ref="A641" r:id="rId2859"/>
    <hyperlink ref="A642" r:id="rId2860"/>
    <hyperlink ref="A643" r:id="rId2861"/>
    <hyperlink ref="A644" r:id="rId2862"/>
    <hyperlink ref="A645" r:id="rId2863"/>
    <hyperlink ref="A646" r:id="rId2864"/>
    <hyperlink ref="A647" r:id="rId2865"/>
    <hyperlink ref="A648" r:id="rId2866"/>
    <hyperlink ref="A649" r:id="rId2867"/>
    <hyperlink ref="A650" r:id="rId2868"/>
    <hyperlink ref="A651" r:id="rId2869"/>
    <hyperlink ref="A652" r:id="rId2870"/>
    <hyperlink ref="A653" r:id="rId2871"/>
    <hyperlink ref="A654" r:id="rId2872"/>
    <hyperlink ref="A655" r:id="rId2873"/>
    <hyperlink ref="A656" r:id="rId2874"/>
    <hyperlink ref="A657" r:id="rId2875"/>
    <hyperlink ref="A658" r:id="rId2876"/>
    <hyperlink ref="A659" r:id="rId2877"/>
    <hyperlink ref="A660" r:id="rId2878"/>
    <hyperlink ref="A661" r:id="rId2879"/>
    <hyperlink ref="A662" r:id="rId2880"/>
    <hyperlink ref="A663" r:id="rId2881"/>
    <hyperlink ref="A664" r:id="rId2882"/>
    <hyperlink ref="A665" r:id="rId2883"/>
    <hyperlink ref="A666" r:id="rId2884"/>
    <hyperlink ref="A667" r:id="rId2885"/>
    <hyperlink ref="A668" r:id="rId2886"/>
    <hyperlink ref="A669" r:id="rId2887"/>
    <hyperlink ref="A670" r:id="rId2888"/>
    <hyperlink ref="A671" r:id="rId2889"/>
    <hyperlink ref="A672" r:id="rId2890"/>
    <hyperlink ref="A673" r:id="rId2891"/>
    <hyperlink ref="A674" r:id="rId2892"/>
    <hyperlink ref="A675" r:id="rId2893"/>
    <hyperlink ref="A676" r:id="rId2894"/>
    <hyperlink ref="A677" r:id="rId2895"/>
    <hyperlink ref="A678" r:id="rId2896"/>
    <hyperlink ref="A679" r:id="rId2897"/>
    <hyperlink ref="A680" r:id="rId2898"/>
    <hyperlink ref="A681" r:id="rId2899"/>
    <hyperlink ref="A682" r:id="rId2900"/>
    <hyperlink ref="A683" r:id="rId2901"/>
    <hyperlink ref="A684" r:id="rId2902"/>
    <hyperlink ref="A685" r:id="rId2903"/>
    <hyperlink ref="A686" r:id="rId2904"/>
    <hyperlink ref="A687" r:id="rId2905"/>
    <hyperlink ref="A688" r:id="rId2906"/>
    <hyperlink ref="A689" r:id="rId2907"/>
    <hyperlink ref="A690" r:id="rId2908"/>
    <hyperlink ref="A691" r:id="rId2909"/>
    <hyperlink ref="A692" r:id="rId2910"/>
    <hyperlink ref="A693" r:id="rId2911"/>
    <hyperlink ref="A694" r:id="rId2912"/>
    <hyperlink ref="A695" r:id="rId2913"/>
    <hyperlink ref="A696" r:id="rId2914"/>
    <hyperlink ref="A697" r:id="rId2915"/>
    <hyperlink ref="A698" r:id="rId2916"/>
    <hyperlink ref="A699" r:id="rId2917"/>
    <hyperlink ref="A700" r:id="rId2918"/>
    <hyperlink ref="A701" r:id="rId2919"/>
    <hyperlink ref="A702" r:id="rId2920"/>
    <hyperlink ref="A703" r:id="rId2921"/>
    <hyperlink ref="A704" r:id="rId2922"/>
    <hyperlink ref="A705" r:id="rId2923"/>
    <hyperlink ref="A706" r:id="rId2924"/>
    <hyperlink ref="A707" r:id="rId2925"/>
    <hyperlink ref="A708" r:id="rId2926"/>
    <hyperlink ref="A709" r:id="rId2927"/>
    <hyperlink ref="A710" r:id="rId2928"/>
    <hyperlink ref="A711" r:id="rId2929"/>
    <hyperlink ref="A712" r:id="rId2930"/>
    <hyperlink ref="A713" r:id="rId2931"/>
    <hyperlink ref="A714" r:id="rId2932"/>
    <hyperlink ref="A715" r:id="rId2933"/>
    <hyperlink ref="A716" r:id="rId2934"/>
    <hyperlink ref="A717" r:id="rId2935"/>
    <hyperlink ref="A718" r:id="rId2936"/>
    <hyperlink ref="A719" r:id="rId2937"/>
    <hyperlink ref="A720" r:id="rId2938"/>
    <hyperlink ref="A721" r:id="rId2939"/>
    <hyperlink ref="A722" r:id="rId2940"/>
    <hyperlink ref="A723" r:id="rId2941"/>
    <hyperlink ref="A724" r:id="rId2942"/>
    <hyperlink ref="A725" r:id="rId2943"/>
    <hyperlink ref="A726" r:id="rId2944"/>
    <hyperlink ref="A727" r:id="rId2945"/>
    <hyperlink ref="A728" r:id="rId2946"/>
    <hyperlink ref="A729" r:id="rId2947"/>
    <hyperlink ref="A730" r:id="rId2948"/>
    <hyperlink ref="A731" r:id="rId2949"/>
    <hyperlink ref="A732" r:id="rId2950"/>
    <hyperlink ref="A733" r:id="rId2951"/>
    <hyperlink ref="A734" r:id="rId2952"/>
    <hyperlink ref="A735" r:id="rId2953"/>
    <hyperlink ref="A736" r:id="rId2954"/>
    <hyperlink ref="A737" r:id="rId2955"/>
    <hyperlink ref="A738" r:id="rId2956"/>
    <hyperlink ref="A739" r:id="rId2957"/>
    <hyperlink ref="A740" r:id="rId2958"/>
    <hyperlink ref="A741" r:id="rId2959"/>
    <hyperlink ref="A742" r:id="rId2960"/>
    <hyperlink ref="A743" r:id="rId2961"/>
    <hyperlink ref="A744" r:id="rId2962"/>
    <hyperlink ref="A745" r:id="rId2963"/>
    <hyperlink ref="A746" r:id="rId2964"/>
    <hyperlink ref="A747" r:id="rId2965"/>
    <hyperlink ref="A748" r:id="rId2966"/>
    <hyperlink ref="A749" r:id="rId2967"/>
    <hyperlink ref="A750" r:id="rId2968"/>
    <hyperlink ref="A751" r:id="rId2969"/>
    <hyperlink ref="A752" r:id="rId2970"/>
    <hyperlink ref="A753" r:id="rId2971"/>
    <hyperlink ref="A754" r:id="rId2972"/>
    <hyperlink ref="A755" r:id="rId2973"/>
    <hyperlink ref="A756" r:id="rId2974"/>
    <hyperlink ref="A757" r:id="rId2975"/>
    <hyperlink ref="A758" r:id="rId2976"/>
    <hyperlink ref="A759" r:id="rId2977"/>
    <hyperlink ref="A760" r:id="rId2978"/>
    <hyperlink ref="A761" r:id="rId2979"/>
    <hyperlink ref="A762" r:id="rId2980"/>
    <hyperlink ref="A763" r:id="rId2981"/>
    <hyperlink ref="A764" r:id="rId2982"/>
    <hyperlink ref="A765" r:id="rId2983"/>
    <hyperlink ref="A766" r:id="rId2984"/>
    <hyperlink ref="A767" r:id="rId2985"/>
    <hyperlink ref="A768" r:id="rId2986"/>
    <hyperlink ref="A769" r:id="rId2987"/>
    <hyperlink ref="A770" r:id="rId2988"/>
    <hyperlink ref="A771" r:id="rId2989"/>
    <hyperlink ref="A772" r:id="rId2990"/>
    <hyperlink ref="A773" r:id="rId2991"/>
    <hyperlink ref="A774" r:id="rId2992"/>
    <hyperlink ref="A775" r:id="rId2993"/>
    <hyperlink ref="A776" r:id="rId2994"/>
    <hyperlink ref="A777" r:id="rId2995"/>
    <hyperlink ref="A778" r:id="rId2996"/>
    <hyperlink ref="A779" r:id="rId2997"/>
    <hyperlink ref="A780" r:id="rId2998"/>
    <hyperlink ref="A781" r:id="rId2999"/>
    <hyperlink ref="A782" r:id="rId3000"/>
    <hyperlink ref="A783" r:id="rId3001"/>
    <hyperlink ref="A784" r:id="rId3002"/>
    <hyperlink ref="A785" r:id="rId3003"/>
    <hyperlink ref="A786" r:id="rId3004"/>
    <hyperlink ref="A787" r:id="rId3005"/>
    <hyperlink ref="A788" r:id="rId3006"/>
    <hyperlink ref="A789" r:id="rId3007"/>
    <hyperlink ref="A790" r:id="rId3008"/>
    <hyperlink ref="A791" r:id="rId3009"/>
    <hyperlink ref="A792" r:id="rId3010"/>
    <hyperlink ref="A793" r:id="rId3011"/>
    <hyperlink ref="A794" r:id="rId3012"/>
    <hyperlink ref="A795" r:id="rId3013"/>
    <hyperlink ref="A796" r:id="rId3014"/>
    <hyperlink ref="A797" r:id="rId3015"/>
    <hyperlink ref="A798" r:id="rId3016"/>
    <hyperlink ref="A799" r:id="rId3017"/>
    <hyperlink ref="A800" r:id="rId3018"/>
    <hyperlink ref="A801" r:id="rId3019"/>
    <hyperlink ref="A802" r:id="rId3020"/>
    <hyperlink ref="A803" r:id="rId3021"/>
    <hyperlink ref="A804" r:id="rId3022"/>
    <hyperlink ref="A805" r:id="rId3023"/>
    <hyperlink ref="A806" r:id="rId3024"/>
    <hyperlink ref="A807" r:id="rId3025"/>
    <hyperlink ref="A808" r:id="rId3026"/>
    <hyperlink ref="A809" r:id="rId3027"/>
    <hyperlink ref="A810" r:id="rId3028"/>
    <hyperlink ref="A811" r:id="rId3029"/>
    <hyperlink ref="A812" r:id="rId3030"/>
    <hyperlink ref="A813" r:id="rId3031"/>
    <hyperlink ref="A814" r:id="rId3032"/>
    <hyperlink ref="A815" r:id="rId3033"/>
    <hyperlink ref="A816" r:id="rId3034"/>
    <hyperlink ref="A817" r:id="rId3035"/>
    <hyperlink ref="A818" r:id="rId3036"/>
    <hyperlink ref="A819" r:id="rId3037"/>
    <hyperlink ref="A820" r:id="rId3038"/>
    <hyperlink ref="A821" r:id="rId3039"/>
    <hyperlink ref="A822" r:id="rId3040"/>
    <hyperlink ref="A823" r:id="rId3041"/>
    <hyperlink ref="A824" r:id="rId3042"/>
    <hyperlink ref="A825" r:id="rId3043"/>
    <hyperlink ref="A826" r:id="rId3044"/>
    <hyperlink ref="A827" r:id="rId3045"/>
    <hyperlink ref="A828" r:id="rId3046"/>
    <hyperlink ref="A829" r:id="rId3047"/>
    <hyperlink ref="A830" r:id="rId3048"/>
    <hyperlink ref="A831" r:id="rId3049"/>
    <hyperlink ref="A832" r:id="rId3050"/>
    <hyperlink ref="A833" r:id="rId3051"/>
    <hyperlink ref="A834" r:id="rId3052"/>
    <hyperlink ref="A835" r:id="rId3053"/>
    <hyperlink ref="A836" r:id="rId3054"/>
    <hyperlink ref="A837" r:id="rId3055"/>
    <hyperlink ref="A838" r:id="rId3056"/>
    <hyperlink ref="A839" r:id="rId3057"/>
    <hyperlink ref="A840" r:id="rId3058"/>
    <hyperlink ref="A841" r:id="rId3059"/>
    <hyperlink ref="A842" r:id="rId3060"/>
    <hyperlink ref="A843" r:id="rId3061"/>
    <hyperlink ref="A844" r:id="rId3062"/>
    <hyperlink ref="A845" r:id="rId3063"/>
    <hyperlink ref="A846" r:id="rId3064"/>
    <hyperlink ref="A847" r:id="rId3065"/>
    <hyperlink ref="A848" r:id="rId3066"/>
    <hyperlink ref="A849" r:id="rId3067"/>
    <hyperlink ref="A850" r:id="rId3068"/>
    <hyperlink ref="A851" r:id="rId3069"/>
    <hyperlink ref="A852" r:id="rId3070"/>
    <hyperlink ref="A853" r:id="rId3071"/>
    <hyperlink ref="A854" r:id="rId3072"/>
    <hyperlink ref="A855" r:id="rId3073"/>
    <hyperlink ref="A856" r:id="rId3074"/>
    <hyperlink ref="A857" r:id="rId3075"/>
    <hyperlink ref="A858" r:id="rId3076"/>
    <hyperlink ref="A859" r:id="rId3077"/>
    <hyperlink ref="A860" r:id="rId3078"/>
    <hyperlink ref="A861" r:id="rId3079"/>
    <hyperlink ref="A862" r:id="rId3080"/>
    <hyperlink ref="A863" r:id="rId3081"/>
    <hyperlink ref="A864" r:id="rId3082"/>
    <hyperlink ref="A865" r:id="rId3083"/>
    <hyperlink ref="A866" r:id="rId3084"/>
    <hyperlink ref="A867" r:id="rId3085"/>
    <hyperlink ref="A868" r:id="rId3086"/>
    <hyperlink ref="A869" r:id="rId3087"/>
    <hyperlink ref="A870" r:id="rId3088"/>
    <hyperlink ref="A871" r:id="rId3089"/>
    <hyperlink ref="A872" r:id="rId3090"/>
    <hyperlink ref="A873" r:id="rId3091"/>
    <hyperlink ref="A874" r:id="rId3092"/>
    <hyperlink ref="A875" r:id="rId3093"/>
    <hyperlink ref="A876" r:id="rId3094"/>
    <hyperlink ref="A877" r:id="rId3095"/>
    <hyperlink ref="A878" r:id="rId3096"/>
    <hyperlink ref="A879" r:id="rId3097"/>
    <hyperlink ref="A880" r:id="rId3098"/>
    <hyperlink ref="A881" r:id="rId3099"/>
    <hyperlink ref="A882" r:id="rId3100"/>
    <hyperlink ref="A883" r:id="rId3101"/>
    <hyperlink ref="A884" r:id="rId3102"/>
    <hyperlink ref="A885" r:id="rId3103"/>
    <hyperlink ref="A886" r:id="rId3104"/>
    <hyperlink ref="A887" r:id="rId3105"/>
    <hyperlink ref="A888" r:id="rId3106"/>
    <hyperlink ref="A889" r:id="rId3107"/>
    <hyperlink ref="A890" r:id="rId3108"/>
    <hyperlink ref="A891" r:id="rId3109"/>
    <hyperlink ref="A892" r:id="rId3110"/>
    <hyperlink ref="A893" r:id="rId3111"/>
    <hyperlink ref="A894" r:id="rId3112"/>
    <hyperlink ref="A895" r:id="rId3113"/>
    <hyperlink ref="A896" r:id="rId3114"/>
    <hyperlink ref="A897" r:id="rId3115"/>
    <hyperlink ref="A898" r:id="rId3116"/>
    <hyperlink ref="A899" r:id="rId3117"/>
    <hyperlink ref="A900" r:id="rId3118"/>
    <hyperlink ref="A901" r:id="rId3119"/>
    <hyperlink ref="A902" r:id="rId3120"/>
    <hyperlink ref="A903" r:id="rId3121"/>
    <hyperlink ref="A904" r:id="rId3122"/>
    <hyperlink ref="A905" r:id="rId3123"/>
    <hyperlink ref="A906" r:id="rId3124"/>
    <hyperlink ref="A907" r:id="rId3125"/>
    <hyperlink ref="A908" r:id="rId3126"/>
    <hyperlink ref="A909" r:id="rId3127"/>
    <hyperlink ref="A910" r:id="rId3128"/>
    <hyperlink ref="A911" r:id="rId3129"/>
    <hyperlink ref="A912" r:id="rId3130"/>
    <hyperlink ref="A913" r:id="rId3131"/>
    <hyperlink ref="A914" r:id="rId3132"/>
    <hyperlink ref="A915" r:id="rId3133"/>
    <hyperlink ref="A916" r:id="rId3134"/>
    <hyperlink ref="A917" r:id="rId3135"/>
    <hyperlink ref="A918" r:id="rId3136"/>
    <hyperlink ref="A919" r:id="rId3137"/>
    <hyperlink ref="A920" r:id="rId3138"/>
    <hyperlink ref="A921" r:id="rId3139"/>
    <hyperlink ref="A922" r:id="rId3140"/>
    <hyperlink ref="A923" r:id="rId3141"/>
    <hyperlink ref="A924" r:id="rId3142"/>
    <hyperlink ref="A925" r:id="rId3143"/>
    <hyperlink ref="A926" r:id="rId3144"/>
    <hyperlink ref="A927" r:id="rId3145"/>
    <hyperlink ref="A928" r:id="rId3146"/>
    <hyperlink ref="A929" r:id="rId3147"/>
    <hyperlink ref="A930" r:id="rId3148"/>
    <hyperlink ref="A931" r:id="rId3149"/>
    <hyperlink ref="A932" r:id="rId3150"/>
    <hyperlink ref="A933" r:id="rId3151"/>
    <hyperlink ref="A934" r:id="rId3152"/>
    <hyperlink ref="A935" r:id="rId3153"/>
    <hyperlink ref="A936" r:id="rId3154"/>
    <hyperlink ref="A937" r:id="rId3155"/>
    <hyperlink ref="A938" r:id="rId3156"/>
    <hyperlink ref="A939" r:id="rId3157"/>
    <hyperlink ref="A940" r:id="rId3158"/>
    <hyperlink ref="A941" r:id="rId3159"/>
    <hyperlink ref="A942" r:id="rId3160"/>
    <hyperlink ref="A943" r:id="rId3161"/>
    <hyperlink ref="A944" r:id="rId3162"/>
    <hyperlink ref="A945" r:id="rId3163"/>
    <hyperlink ref="A946" r:id="rId3164"/>
    <hyperlink ref="A947" r:id="rId3165"/>
    <hyperlink ref="A948" r:id="rId3166"/>
    <hyperlink ref="A949" r:id="rId3167"/>
    <hyperlink ref="A950" r:id="rId3168"/>
    <hyperlink ref="A951" r:id="rId3169"/>
    <hyperlink ref="A952" r:id="rId3170"/>
    <hyperlink ref="A953" r:id="rId3171"/>
    <hyperlink ref="A954" r:id="rId3172"/>
    <hyperlink ref="A955" r:id="rId3173"/>
    <hyperlink ref="A956" r:id="rId3174"/>
    <hyperlink ref="A957" r:id="rId3175"/>
    <hyperlink ref="A958" r:id="rId3176"/>
    <hyperlink ref="A959" r:id="rId3177"/>
    <hyperlink ref="A960" r:id="rId3178"/>
    <hyperlink ref="A961" r:id="rId3179"/>
    <hyperlink ref="A962" r:id="rId3180"/>
    <hyperlink ref="A963" r:id="rId3181"/>
    <hyperlink ref="A964" r:id="rId3182"/>
    <hyperlink ref="A965" r:id="rId3183"/>
    <hyperlink ref="A966" r:id="rId3184"/>
    <hyperlink ref="A967" r:id="rId3185"/>
    <hyperlink ref="A968" r:id="rId3186"/>
    <hyperlink ref="A969" r:id="rId3187"/>
    <hyperlink ref="A970" r:id="rId3188"/>
    <hyperlink ref="A971" r:id="rId3189"/>
    <hyperlink ref="A972" r:id="rId3190"/>
    <hyperlink ref="A973" r:id="rId3191"/>
    <hyperlink ref="A974" r:id="rId3192"/>
    <hyperlink ref="A975" r:id="rId3193"/>
    <hyperlink ref="A976" r:id="rId3194"/>
    <hyperlink ref="A977" r:id="rId3195"/>
    <hyperlink ref="A978" r:id="rId3196"/>
    <hyperlink ref="A979" r:id="rId3197"/>
    <hyperlink ref="A980" r:id="rId3198"/>
    <hyperlink ref="A981" r:id="rId3199"/>
    <hyperlink ref="A982" r:id="rId3200"/>
    <hyperlink ref="A983" r:id="rId3201"/>
    <hyperlink ref="A984" r:id="rId3202"/>
    <hyperlink ref="A985" r:id="rId3203"/>
    <hyperlink ref="A986" r:id="rId3204"/>
    <hyperlink ref="A987" r:id="rId3205"/>
    <hyperlink ref="A988" r:id="rId3206"/>
    <hyperlink ref="A989" r:id="rId3207"/>
    <hyperlink ref="A990" r:id="rId3208"/>
    <hyperlink ref="A991" r:id="rId3209"/>
    <hyperlink ref="A992" r:id="rId3210"/>
    <hyperlink ref="A993" r:id="rId3211"/>
    <hyperlink ref="A994" r:id="rId3212"/>
    <hyperlink ref="A995" r:id="rId3213"/>
    <hyperlink ref="A996" r:id="rId3214"/>
    <hyperlink ref="A997" r:id="rId3215"/>
    <hyperlink ref="A998" r:id="rId3216"/>
    <hyperlink ref="A999" r:id="rId3217"/>
    <hyperlink ref="A1000" r:id="rId3218"/>
    <hyperlink ref="A1001" r:id="rId3219"/>
    <hyperlink ref="A1002" r:id="rId3220"/>
    <hyperlink ref="A1003" r:id="rId3221"/>
    <hyperlink ref="A1004" r:id="rId3222"/>
    <hyperlink ref="A1005" r:id="rId3223"/>
    <hyperlink ref="A1006" r:id="rId3224"/>
    <hyperlink ref="A1007" r:id="rId3225"/>
    <hyperlink ref="A1008" r:id="rId3226"/>
    <hyperlink ref="A1009" r:id="rId3227"/>
    <hyperlink ref="A1010" r:id="rId3228"/>
    <hyperlink ref="A1011" r:id="rId3229"/>
    <hyperlink ref="A1012" r:id="rId3230"/>
    <hyperlink ref="A1013" r:id="rId3231"/>
    <hyperlink ref="A1014" r:id="rId3232"/>
    <hyperlink ref="A1015" r:id="rId3233"/>
    <hyperlink ref="A1016" r:id="rId3234"/>
    <hyperlink ref="A1017" r:id="rId3235"/>
    <hyperlink ref="A1018" r:id="rId3236"/>
    <hyperlink ref="A1019" r:id="rId3237"/>
    <hyperlink ref="A1020" r:id="rId3238"/>
    <hyperlink ref="A1021" r:id="rId3239"/>
    <hyperlink ref="A1022" r:id="rId3240"/>
    <hyperlink ref="A1023" r:id="rId3241"/>
    <hyperlink ref="A1024" r:id="rId3242"/>
    <hyperlink ref="A1025" r:id="rId3243"/>
    <hyperlink ref="A1026" r:id="rId3244"/>
    <hyperlink ref="A1027" r:id="rId3245"/>
    <hyperlink ref="A1028" r:id="rId3246"/>
    <hyperlink ref="A1029" r:id="rId3247"/>
    <hyperlink ref="A1030" r:id="rId3248"/>
    <hyperlink ref="A1031" r:id="rId3249"/>
    <hyperlink ref="A1032" r:id="rId3250"/>
    <hyperlink ref="A1033" r:id="rId3251"/>
    <hyperlink ref="A1034" r:id="rId3252"/>
    <hyperlink ref="A1035" r:id="rId3253"/>
    <hyperlink ref="A1036" r:id="rId3254"/>
    <hyperlink ref="A1037" r:id="rId3255"/>
    <hyperlink ref="A1038" r:id="rId3256"/>
    <hyperlink ref="A1039" r:id="rId3257"/>
    <hyperlink ref="A1040" r:id="rId3258"/>
    <hyperlink ref="A1041" r:id="rId3259"/>
    <hyperlink ref="A1042" r:id="rId3260"/>
    <hyperlink ref="A1043" r:id="rId3261"/>
    <hyperlink ref="A1044" r:id="rId3262"/>
    <hyperlink ref="A1045" r:id="rId3263"/>
    <hyperlink ref="A1046" r:id="rId3264"/>
    <hyperlink ref="A1047" r:id="rId3265"/>
    <hyperlink ref="A1048" r:id="rId3266"/>
    <hyperlink ref="A1049" r:id="rId3267"/>
    <hyperlink ref="A1050" r:id="rId3268"/>
    <hyperlink ref="A1051" r:id="rId3269"/>
    <hyperlink ref="A1052" r:id="rId3270"/>
    <hyperlink ref="A1053" r:id="rId3271"/>
    <hyperlink ref="A1054" r:id="rId3272"/>
    <hyperlink ref="A1055" r:id="rId3273"/>
    <hyperlink ref="A1056" r:id="rId3274"/>
    <hyperlink ref="A1057" r:id="rId3275"/>
    <hyperlink ref="A1058" r:id="rId3276"/>
    <hyperlink ref="A1059" r:id="rId3277"/>
    <hyperlink ref="A1060" r:id="rId3278"/>
    <hyperlink ref="A1061" r:id="rId3279"/>
    <hyperlink ref="A1062" r:id="rId3280"/>
    <hyperlink ref="A1063" r:id="rId3281"/>
    <hyperlink ref="A1064" r:id="rId3282"/>
    <hyperlink ref="A1065" r:id="rId3283"/>
    <hyperlink ref="A1066" r:id="rId3284"/>
    <hyperlink ref="A1067" r:id="rId3285"/>
    <hyperlink ref="A1068" r:id="rId3286"/>
    <hyperlink ref="A1069" r:id="rId3287"/>
    <hyperlink ref="A1070" r:id="rId3288"/>
    <hyperlink ref="A1071" r:id="rId3289"/>
    <hyperlink ref="A1072" r:id="rId3290"/>
    <hyperlink ref="A1073" r:id="rId3291"/>
    <hyperlink ref="A1074" r:id="rId3292"/>
    <hyperlink ref="A1075" r:id="rId3293"/>
    <hyperlink ref="A1076" r:id="rId3294"/>
    <hyperlink ref="A1077" r:id="rId3295"/>
    <hyperlink ref="A1078" r:id="rId3296"/>
    <hyperlink ref="A1079" r:id="rId3297"/>
    <hyperlink ref="A1080" r:id="rId3298"/>
    <hyperlink ref="A1081" r:id="rId3299"/>
    <hyperlink ref="A1082" r:id="rId3300"/>
    <hyperlink ref="A1083" r:id="rId3301"/>
    <hyperlink ref="A1084" r:id="rId3302"/>
    <hyperlink ref="A1085" r:id="rId3303"/>
    <hyperlink ref="A1086" r:id="rId3304"/>
    <hyperlink ref="A1087" r:id="rId3305"/>
    <hyperlink ref="A1088" r:id="rId3306"/>
    <hyperlink ref="A1089" r:id="rId3307"/>
    <hyperlink ref="A1090" r:id="rId3308"/>
    <hyperlink ref="A1091" r:id="rId3309"/>
    <hyperlink ref="A1092" r:id="rId3310"/>
    <hyperlink ref="A1093" r:id="rId3311"/>
    <hyperlink ref="A1094" r:id="rId3312"/>
    <hyperlink ref="A1095" r:id="rId3313"/>
    <hyperlink ref="A1096" r:id="rId3314"/>
    <hyperlink ref="A1097" r:id="rId3315"/>
    <hyperlink ref="A1098" r:id="rId3316"/>
    <hyperlink ref="A1099" r:id="rId3317"/>
    <hyperlink ref="A1100" r:id="rId3318"/>
    <hyperlink ref="A1101" r:id="rId3319"/>
    <hyperlink ref="A1102" r:id="rId3320"/>
    <hyperlink ref="A1103" r:id="rId3321"/>
    <hyperlink ref="A1104" r:id="rId3322"/>
    <hyperlink ref="A1105" r:id="rId3323"/>
    <hyperlink ref="A1106" r:id="rId3324"/>
    <hyperlink ref="A1107" r:id="rId3325"/>
    <hyperlink ref="A1108" r:id="rId3326"/>
    <hyperlink ref="A1109" r:id="rId3327"/>
    <hyperlink ref="A1110" r:id="rId3328"/>
    <hyperlink ref="A1111" r:id="rId3329"/>
    <hyperlink ref="A1112" r:id="rId3330"/>
    <hyperlink ref="A1113" r:id="rId3331"/>
    <hyperlink ref="A1114" r:id="rId3332"/>
    <hyperlink ref="A1115" r:id="rId3333"/>
    <hyperlink ref="A1116" r:id="rId3334"/>
    <hyperlink ref="A1117" r:id="rId3335"/>
    <hyperlink ref="A1118" r:id="rId3336"/>
    <hyperlink ref="A1119" r:id="rId3337"/>
    <hyperlink ref="A1120" r:id="rId3338"/>
    <hyperlink ref="A1121" r:id="rId3339"/>
    <hyperlink ref="A1122" r:id="rId3340"/>
    <hyperlink ref="A1123" r:id="rId3341"/>
    <hyperlink ref="A1124" r:id="rId3342"/>
    <hyperlink ref="A1125" r:id="rId3343"/>
    <hyperlink ref="A1126" r:id="rId3344"/>
    <hyperlink ref="A1127" r:id="rId3345"/>
    <hyperlink ref="A1128" r:id="rId3346"/>
    <hyperlink ref="A1129" r:id="rId3347"/>
    <hyperlink ref="A1130" r:id="rId3348"/>
    <hyperlink ref="A1131" r:id="rId3349"/>
    <hyperlink ref="A1132" r:id="rId3350"/>
    <hyperlink ref="A1133" r:id="rId3351"/>
    <hyperlink ref="A1134" r:id="rId3352"/>
    <hyperlink ref="A1135" r:id="rId3353"/>
    <hyperlink ref="A1136" r:id="rId3354"/>
    <hyperlink ref="A1137" r:id="rId3355"/>
    <hyperlink ref="A1138" r:id="rId3356"/>
    <hyperlink ref="A1139" r:id="rId3357"/>
    <hyperlink ref="A1140" r:id="rId3358"/>
    <hyperlink ref="A1141" r:id="rId3359"/>
    <hyperlink ref="A1142" r:id="rId3360"/>
    <hyperlink ref="A1143" r:id="rId3361"/>
    <hyperlink ref="A1144" r:id="rId3362"/>
    <hyperlink ref="A1145" r:id="rId3363"/>
    <hyperlink ref="A1146" r:id="rId3364"/>
    <hyperlink ref="A1147" r:id="rId3365"/>
    <hyperlink ref="A1148" r:id="rId3366"/>
    <hyperlink ref="A1149" r:id="rId3367"/>
    <hyperlink ref="A1150" r:id="rId3368"/>
    <hyperlink ref="A1151" r:id="rId3369"/>
    <hyperlink ref="A1152" r:id="rId3370"/>
    <hyperlink ref="A1153" r:id="rId3371"/>
    <hyperlink ref="A1154" r:id="rId3372"/>
    <hyperlink ref="A1155" r:id="rId3373"/>
    <hyperlink ref="A1156" r:id="rId3374"/>
    <hyperlink ref="A1157" r:id="rId3375"/>
    <hyperlink ref="A1158" r:id="rId3376"/>
    <hyperlink ref="A1159" r:id="rId3377"/>
    <hyperlink ref="A1160" r:id="rId3378"/>
    <hyperlink ref="A1161" r:id="rId3379"/>
    <hyperlink ref="A1162" r:id="rId3380"/>
    <hyperlink ref="A1163" r:id="rId3381"/>
    <hyperlink ref="A1164" r:id="rId3382"/>
    <hyperlink ref="A1165" r:id="rId3383"/>
    <hyperlink ref="A1166" r:id="rId3384"/>
    <hyperlink ref="A1167" r:id="rId3385"/>
    <hyperlink ref="A1168" r:id="rId3386"/>
    <hyperlink ref="A1169" r:id="rId3387"/>
    <hyperlink ref="A1170" r:id="rId3388"/>
    <hyperlink ref="A1171" r:id="rId3389"/>
    <hyperlink ref="A1172" r:id="rId3390"/>
    <hyperlink ref="A1173" r:id="rId3391"/>
    <hyperlink ref="A1174" r:id="rId3392"/>
    <hyperlink ref="A1175" r:id="rId3393"/>
    <hyperlink ref="A1176" r:id="rId3394"/>
    <hyperlink ref="A1177" r:id="rId3395"/>
    <hyperlink ref="A1178" r:id="rId3396"/>
    <hyperlink ref="A1179" r:id="rId3397"/>
    <hyperlink ref="A1180" r:id="rId3398"/>
    <hyperlink ref="A1181" r:id="rId3399"/>
    <hyperlink ref="A1182" r:id="rId3400"/>
    <hyperlink ref="A1183" r:id="rId3401"/>
    <hyperlink ref="A1184" r:id="rId3402"/>
    <hyperlink ref="A1185" r:id="rId3403"/>
    <hyperlink ref="A1186" r:id="rId3404"/>
    <hyperlink ref="A1187" r:id="rId3405"/>
    <hyperlink ref="A1188" r:id="rId3406"/>
    <hyperlink ref="A1189" r:id="rId3407"/>
    <hyperlink ref="A1190" r:id="rId3408"/>
    <hyperlink ref="A1191" r:id="rId3409"/>
    <hyperlink ref="A1192" r:id="rId3410"/>
    <hyperlink ref="A1193" r:id="rId3411"/>
    <hyperlink ref="A1194" r:id="rId3412"/>
    <hyperlink ref="A1195" r:id="rId3413"/>
    <hyperlink ref="A1196" r:id="rId3414"/>
    <hyperlink ref="A1197" r:id="rId3415"/>
    <hyperlink ref="A1198" r:id="rId3416"/>
    <hyperlink ref="A1199" r:id="rId3417"/>
    <hyperlink ref="A1200" r:id="rId3418"/>
    <hyperlink ref="A1201" r:id="rId3419"/>
    <hyperlink ref="A1202" r:id="rId3420"/>
    <hyperlink ref="A1203" r:id="rId3421"/>
    <hyperlink ref="A1204" r:id="rId3422"/>
    <hyperlink ref="A1205" r:id="rId3423"/>
    <hyperlink ref="A1206" r:id="rId3424"/>
    <hyperlink ref="A1207" r:id="rId3425"/>
    <hyperlink ref="A1208" r:id="rId3426"/>
    <hyperlink ref="A1209" r:id="rId3427"/>
    <hyperlink ref="A1210" r:id="rId3428"/>
    <hyperlink ref="A1211" r:id="rId3429"/>
    <hyperlink ref="A1212" r:id="rId3430"/>
    <hyperlink ref="A1213" r:id="rId3431"/>
    <hyperlink ref="A1214" r:id="rId3432"/>
    <hyperlink ref="A1215" r:id="rId3433"/>
    <hyperlink ref="A1216" r:id="rId3434"/>
    <hyperlink ref="A1217" r:id="rId3435"/>
    <hyperlink ref="A1218" r:id="rId3436"/>
    <hyperlink ref="A1219" r:id="rId3437"/>
    <hyperlink ref="A1220" r:id="rId3438"/>
    <hyperlink ref="A1221" r:id="rId3439"/>
    <hyperlink ref="A1222" r:id="rId3440"/>
    <hyperlink ref="A1223" r:id="rId3441"/>
    <hyperlink ref="A1224" r:id="rId3442"/>
    <hyperlink ref="A1225" r:id="rId3443"/>
    <hyperlink ref="A1226" r:id="rId3444"/>
    <hyperlink ref="A1227" r:id="rId3445"/>
    <hyperlink ref="A1228" r:id="rId3446"/>
    <hyperlink ref="A1229" r:id="rId3447"/>
    <hyperlink ref="A1230" r:id="rId3448"/>
    <hyperlink ref="A1231" r:id="rId3449"/>
    <hyperlink ref="A1232" r:id="rId3450"/>
    <hyperlink ref="A1233" r:id="rId3451"/>
    <hyperlink ref="A1234" r:id="rId3452"/>
    <hyperlink ref="A1235" r:id="rId3453"/>
    <hyperlink ref="A1236" r:id="rId3454"/>
    <hyperlink ref="A1237" r:id="rId3455"/>
    <hyperlink ref="A1238" r:id="rId3456"/>
    <hyperlink ref="A1239" r:id="rId3457"/>
    <hyperlink ref="A1240" r:id="rId3458"/>
    <hyperlink ref="A1241" r:id="rId3459"/>
    <hyperlink ref="A1242" r:id="rId3460"/>
    <hyperlink ref="A1243" r:id="rId3461"/>
    <hyperlink ref="A1244" r:id="rId3462"/>
    <hyperlink ref="A1245" r:id="rId3463"/>
    <hyperlink ref="A1246" r:id="rId3464"/>
    <hyperlink ref="A1247" r:id="rId3465"/>
    <hyperlink ref="A1248" r:id="rId3466"/>
    <hyperlink ref="A1249" r:id="rId3467"/>
    <hyperlink ref="A1250" r:id="rId3468"/>
    <hyperlink ref="A1251" r:id="rId3469"/>
    <hyperlink ref="A1252" r:id="rId3470"/>
    <hyperlink ref="A1253" r:id="rId3471"/>
    <hyperlink ref="A1254" r:id="rId3472"/>
    <hyperlink ref="A1255" r:id="rId3473"/>
    <hyperlink ref="A1256" r:id="rId3474"/>
    <hyperlink ref="A1257" r:id="rId3475"/>
    <hyperlink ref="A1258" r:id="rId3476"/>
    <hyperlink ref="A1259" r:id="rId3477"/>
    <hyperlink ref="A1260" r:id="rId3478"/>
    <hyperlink ref="A1261" r:id="rId3479"/>
    <hyperlink ref="A1262" r:id="rId3480"/>
    <hyperlink ref="A1263" r:id="rId3481"/>
    <hyperlink ref="A1264" r:id="rId3482"/>
    <hyperlink ref="A1265" r:id="rId3483"/>
    <hyperlink ref="A1266" r:id="rId3484"/>
    <hyperlink ref="A1267" r:id="rId3485"/>
    <hyperlink ref="A1268" r:id="rId3486"/>
    <hyperlink ref="A1269" r:id="rId3487"/>
    <hyperlink ref="A1270" r:id="rId3488"/>
    <hyperlink ref="A1271" r:id="rId3489"/>
    <hyperlink ref="A1272" r:id="rId3490"/>
    <hyperlink ref="A1273" r:id="rId3491"/>
    <hyperlink ref="A1274" r:id="rId3492"/>
    <hyperlink ref="A1275" r:id="rId3493"/>
    <hyperlink ref="A1276" r:id="rId3494"/>
    <hyperlink ref="A1277" r:id="rId3495"/>
    <hyperlink ref="A1278" r:id="rId3496"/>
    <hyperlink ref="A1279" r:id="rId3497"/>
    <hyperlink ref="A1280" r:id="rId3498"/>
    <hyperlink ref="A1281" r:id="rId3499"/>
    <hyperlink ref="A1282" r:id="rId3500"/>
    <hyperlink ref="A1283" r:id="rId3501"/>
    <hyperlink ref="A1284" r:id="rId3502"/>
    <hyperlink ref="A1285" r:id="rId3503"/>
    <hyperlink ref="A1286" r:id="rId3504"/>
    <hyperlink ref="A1287" r:id="rId3505"/>
    <hyperlink ref="A1288" r:id="rId3506"/>
    <hyperlink ref="A1289" r:id="rId3507"/>
    <hyperlink ref="A1290" r:id="rId3508"/>
    <hyperlink ref="A1291" r:id="rId3509"/>
    <hyperlink ref="A1292" r:id="rId3510"/>
    <hyperlink ref="A1293" r:id="rId3511"/>
    <hyperlink ref="A1294" r:id="rId3512"/>
    <hyperlink ref="A1295" r:id="rId3513"/>
    <hyperlink ref="A1296" r:id="rId3514"/>
    <hyperlink ref="A1297" r:id="rId3515"/>
    <hyperlink ref="A1298" r:id="rId3516"/>
    <hyperlink ref="A1299" r:id="rId3517"/>
    <hyperlink ref="A1300" r:id="rId3518"/>
    <hyperlink ref="A1301" r:id="rId3519"/>
    <hyperlink ref="A1302" r:id="rId3520"/>
    <hyperlink ref="A1303" r:id="rId3521"/>
    <hyperlink ref="A1304" r:id="rId3522"/>
    <hyperlink ref="A1305" r:id="rId3523"/>
    <hyperlink ref="A1306" r:id="rId3524"/>
    <hyperlink ref="A1307" r:id="rId3525"/>
    <hyperlink ref="A1308" r:id="rId3526"/>
    <hyperlink ref="A1309" r:id="rId3527"/>
    <hyperlink ref="A1310" r:id="rId3528"/>
    <hyperlink ref="A1311" r:id="rId3529"/>
    <hyperlink ref="A1312" r:id="rId3530"/>
    <hyperlink ref="A1313" r:id="rId3531"/>
    <hyperlink ref="A1314" r:id="rId3532"/>
    <hyperlink ref="A1315" r:id="rId3533"/>
    <hyperlink ref="A1316" r:id="rId3534"/>
    <hyperlink ref="A1317" r:id="rId3535"/>
    <hyperlink ref="A1318" r:id="rId3536"/>
    <hyperlink ref="A1319" r:id="rId3537"/>
    <hyperlink ref="A1320" r:id="rId3538"/>
    <hyperlink ref="A1321" r:id="rId3539"/>
    <hyperlink ref="A1322" r:id="rId3540"/>
    <hyperlink ref="A1323" r:id="rId3541"/>
    <hyperlink ref="A1324" r:id="rId3542"/>
    <hyperlink ref="A1325" r:id="rId3543"/>
    <hyperlink ref="A1326" r:id="rId3544"/>
    <hyperlink ref="A1327" r:id="rId3545"/>
    <hyperlink ref="A1328" r:id="rId3546"/>
    <hyperlink ref="A1329" r:id="rId3547"/>
    <hyperlink ref="A1330" r:id="rId3548"/>
    <hyperlink ref="A1331" r:id="rId3549"/>
    <hyperlink ref="A1332" r:id="rId3550"/>
    <hyperlink ref="A1333" r:id="rId3551"/>
    <hyperlink ref="A1334" r:id="rId3552"/>
    <hyperlink ref="A1335" r:id="rId3553"/>
    <hyperlink ref="A1336" r:id="rId3554"/>
    <hyperlink ref="A1337" r:id="rId3555"/>
    <hyperlink ref="A1338" r:id="rId3556"/>
    <hyperlink ref="A1339" r:id="rId3557"/>
    <hyperlink ref="A1340" r:id="rId3558"/>
    <hyperlink ref="A1341" r:id="rId3559"/>
    <hyperlink ref="A1342" r:id="rId3560"/>
    <hyperlink ref="A1343" r:id="rId3561"/>
    <hyperlink ref="A1344" r:id="rId3562"/>
    <hyperlink ref="A1345" r:id="rId3563"/>
    <hyperlink ref="A1346" r:id="rId3564"/>
    <hyperlink ref="A1347" r:id="rId3565"/>
    <hyperlink ref="A1348" r:id="rId3566"/>
    <hyperlink ref="A1349" r:id="rId3567"/>
    <hyperlink ref="A1350" r:id="rId3568"/>
    <hyperlink ref="A1351" r:id="rId3569"/>
    <hyperlink ref="A1352" r:id="rId3570"/>
    <hyperlink ref="A1353" r:id="rId3571"/>
    <hyperlink ref="A1354" r:id="rId3572"/>
    <hyperlink ref="A1355" r:id="rId3573"/>
    <hyperlink ref="A1356" r:id="rId3574"/>
    <hyperlink ref="A1357" r:id="rId3575"/>
    <hyperlink ref="A1358" r:id="rId3576"/>
    <hyperlink ref="A1359" r:id="rId3577"/>
    <hyperlink ref="A1360" r:id="rId3578"/>
    <hyperlink ref="A1361" r:id="rId3579"/>
    <hyperlink ref="A1362" r:id="rId3580"/>
    <hyperlink ref="A1363" r:id="rId3581"/>
    <hyperlink ref="A1364" r:id="rId3582"/>
    <hyperlink ref="A1365" r:id="rId3583"/>
    <hyperlink ref="A1366" r:id="rId3584"/>
    <hyperlink ref="A1367" r:id="rId3585"/>
    <hyperlink ref="A1368" r:id="rId3586"/>
    <hyperlink ref="A1369" r:id="rId3587"/>
    <hyperlink ref="A1370" r:id="rId3588"/>
    <hyperlink ref="A1371" r:id="rId3589"/>
    <hyperlink ref="A1372" r:id="rId3590"/>
    <hyperlink ref="A1373" r:id="rId3591"/>
    <hyperlink ref="A1374" r:id="rId3592"/>
    <hyperlink ref="A1375" r:id="rId3593"/>
    <hyperlink ref="A1376" r:id="rId3594"/>
    <hyperlink ref="A1377" r:id="rId3595"/>
    <hyperlink ref="A1378" r:id="rId3596"/>
    <hyperlink ref="A1379" r:id="rId3597"/>
    <hyperlink ref="A1380" r:id="rId3598"/>
    <hyperlink ref="A1381" r:id="rId3599"/>
    <hyperlink ref="A1382" r:id="rId3600"/>
    <hyperlink ref="A1383" r:id="rId3601"/>
    <hyperlink ref="A1384" r:id="rId3602"/>
    <hyperlink ref="A1385" r:id="rId3603"/>
    <hyperlink ref="A1386" r:id="rId3604"/>
    <hyperlink ref="A1387" r:id="rId3605"/>
    <hyperlink ref="A1388" r:id="rId3606"/>
    <hyperlink ref="A1389" r:id="rId3607"/>
    <hyperlink ref="A1390" r:id="rId3608"/>
    <hyperlink ref="A1391" r:id="rId3609"/>
    <hyperlink ref="A1392" r:id="rId3610"/>
    <hyperlink ref="A1393" r:id="rId3611"/>
    <hyperlink ref="A1394" r:id="rId3612"/>
    <hyperlink ref="A1395" r:id="rId3613"/>
    <hyperlink ref="A1396" r:id="rId3614"/>
    <hyperlink ref="A1397" r:id="rId3615"/>
    <hyperlink ref="A1398" r:id="rId3616"/>
    <hyperlink ref="A1399" r:id="rId3617"/>
    <hyperlink ref="A1400" r:id="rId3618"/>
    <hyperlink ref="A1401" r:id="rId3619"/>
    <hyperlink ref="A1402" r:id="rId3620"/>
    <hyperlink ref="A1403" r:id="rId3621"/>
    <hyperlink ref="A1404" r:id="rId3622"/>
    <hyperlink ref="A1405" r:id="rId3623"/>
    <hyperlink ref="A1406" r:id="rId3624"/>
    <hyperlink ref="A1407" r:id="rId3625"/>
    <hyperlink ref="A1408" r:id="rId3626"/>
    <hyperlink ref="A1409" r:id="rId3627"/>
    <hyperlink ref="A1410" r:id="rId3628"/>
    <hyperlink ref="A1411" r:id="rId3629"/>
    <hyperlink ref="A1412" r:id="rId3630"/>
    <hyperlink ref="A1413" r:id="rId3631"/>
    <hyperlink ref="A1414" r:id="rId3632"/>
    <hyperlink ref="A1415" r:id="rId3633"/>
    <hyperlink ref="A1416" r:id="rId3634"/>
    <hyperlink ref="A1417" r:id="rId3635"/>
    <hyperlink ref="A1418" r:id="rId3636"/>
    <hyperlink ref="A1419" r:id="rId3637"/>
    <hyperlink ref="A1420" r:id="rId3638"/>
    <hyperlink ref="A1421" r:id="rId3639"/>
    <hyperlink ref="A1422" r:id="rId3640"/>
    <hyperlink ref="A1423" r:id="rId3641"/>
    <hyperlink ref="A1424" r:id="rId3642"/>
    <hyperlink ref="A1425" r:id="rId3643"/>
    <hyperlink ref="A1426" r:id="rId3644"/>
    <hyperlink ref="A1427" r:id="rId3645"/>
    <hyperlink ref="A1428" r:id="rId3646"/>
    <hyperlink ref="A1429" r:id="rId3647"/>
    <hyperlink ref="A1430" r:id="rId3648"/>
    <hyperlink ref="A1431" r:id="rId3649"/>
    <hyperlink ref="A1432" r:id="rId3650"/>
    <hyperlink ref="A1433" r:id="rId3651"/>
    <hyperlink ref="A1434" r:id="rId3652"/>
    <hyperlink ref="A1435" r:id="rId3653"/>
    <hyperlink ref="A1436" r:id="rId3654"/>
    <hyperlink ref="A1437" r:id="rId3655"/>
    <hyperlink ref="A1438" r:id="rId3656"/>
    <hyperlink ref="A1439" r:id="rId3657"/>
    <hyperlink ref="A1440" r:id="rId3658"/>
    <hyperlink ref="A1441" r:id="rId3659"/>
    <hyperlink ref="A1442" r:id="rId3660"/>
    <hyperlink ref="A1443" r:id="rId3661"/>
    <hyperlink ref="A1444" r:id="rId3662"/>
    <hyperlink ref="A1445" r:id="rId3663"/>
    <hyperlink ref="A1446" r:id="rId3664"/>
    <hyperlink ref="A1447" r:id="rId3665"/>
    <hyperlink ref="A1448" r:id="rId3666"/>
    <hyperlink ref="A1449" r:id="rId3667"/>
    <hyperlink ref="A1450" r:id="rId3668"/>
    <hyperlink ref="A1451" r:id="rId3669"/>
    <hyperlink ref="A1452" r:id="rId3670"/>
    <hyperlink ref="A1453" r:id="rId3671"/>
    <hyperlink ref="A1454" r:id="rId3672"/>
    <hyperlink ref="A1455" r:id="rId3673"/>
    <hyperlink ref="A1456" r:id="rId3674"/>
    <hyperlink ref="A1457" r:id="rId3675"/>
    <hyperlink ref="A1458" r:id="rId3676"/>
    <hyperlink ref="A1459" r:id="rId3677"/>
    <hyperlink ref="A1460" r:id="rId3678"/>
    <hyperlink ref="A1461" r:id="rId3679"/>
    <hyperlink ref="A1462" r:id="rId3680"/>
    <hyperlink ref="A1463" r:id="rId3681"/>
    <hyperlink ref="A1464" r:id="rId3682"/>
    <hyperlink ref="A1465" r:id="rId3683"/>
    <hyperlink ref="A1466" r:id="rId3684"/>
    <hyperlink ref="A1467" r:id="rId3685"/>
    <hyperlink ref="A1468" r:id="rId3686"/>
    <hyperlink ref="A1469" r:id="rId3687"/>
    <hyperlink ref="A1470" r:id="rId3688"/>
    <hyperlink ref="A1471" r:id="rId3689"/>
    <hyperlink ref="A1472" r:id="rId3690"/>
    <hyperlink ref="A1473" r:id="rId3691"/>
    <hyperlink ref="A1474" r:id="rId3692"/>
    <hyperlink ref="A1475" r:id="rId3693"/>
    <hyperlink ref="A1476" r:id="rId3694"/>
    <hyperlink ref="A1477" r:id="rId3695"/>
    <hyperlink ref="A1478" r:id="rId3696"/>
    <hyperlink ref="A1479" r:id="rId3697"/>
    <hyperlink ref="A1480" r:id="rId3698"/>
    <hyperlink ref="A1481" r:id="rId3699"/>
    <hyperlink ref="A1482" r:id="rId3700"/>
    <hyperlink ref="A1483" r:id="rId3701"/>
    <hyperlink ref="A1484" r:id="rId3702"/>
    <hyperlink ref="A1485" r:id="rId3703"/>
    <hyperlink ref="A1486" r:id="rId3704"/>
    <hyperlink ref="A1487" r:id="rId3705"/>
    <hyperlink ref="A1488" r:id="rId3706"/>
    <hyperlink ref="A1489" r:id="rId3707"/>
    <hyperlink ref="A1490" r:id="rId3708"/>
    <hyperlink ref="A1491" r:id="rId3709"/>
    <hyperlink ref="A1492" r:id="rId3710"/>
    <hyperlink ref="A1493" r:id="rId3711"/>
    <hyperlink ref="A1494" r:id="rId3712"/>
    <hyperlink ref="A1495" r:id="rId3713"/>
    <hyperlink ref="A1496" r:id="rId3714"/>
    <hyperlink ref="A1497" r:id="rId3715"/>
    <hyperlink ref="A1498" r:id="rId3716"/>
    <hyperlink ref="A1499" r:id="rId3717"/>
    <hyperlink ref="A1500" r:id="rId3718"/>
    <hyperlink ref="A1501" r:id="rId3719"/>
    <hyperlink ref="A1502" r:id="rId3720"/>
    <hyperlink ref="A1503" r:id="rId3721"/>
    <hyperlink ref="A1504" r:id="rId3722"/>
    <hyperlink ref="A1505" r:id="rId3723"/>
    <hyperlink ref="A1506" r:id="rId3724"/>
    <hyperlink ref="A1507" r:id="rId3725"/>
    <hyperlink ref="A1508" r:id="rId3726"/>
    <hyperlink ref="A1509" r:id="rId3727"/>
    <hyperlink ref="A1510" r:id="rId3728"/>
    <hyperlink ref="A1511" r:id="rId3729"/>
    <hyperlink ref="A1512" r:id="rId3730"/>
    <hyperlink ref="A1513" r:id="rId3731"/>
    <hyperlink ref="A1514" r:id="rId3732"/>
    <hyperlink ref="A1515" r:id="rId3733"/>
    <hyperlink ref="A1516" r:id="rId3734"/>
    <hyperlink ref="A1517" r:id="rId3735"/>
    <hyperlink ref="A1518" r:id="rId3736"/>
    <hyperlink ref="A1519" r:id="rId3737"/>
    <hyperlink ref="A1520" r:id="rId3738"/>
    <hyperlink ref="A1521" r:id="rId3739"/>
    <hyperlink ref="A1522" r:id="rId3740"/>
    <hyperlink ref="A1523" r:id="rId3741"/>
    <hyperlink ref="A1524" r:id="rId3742"/>
    <hyperlink ref="A1525" r:id="rId3743"/>
    <hyperlink ref="A1526" r:id="rId3744"/>
    <hyperlink ref="A1527" r:id="rId3745"/>
    <hyperlink ref="A1528" r:id="rId3746"/>
    <hyperlink ref="A1529" r:id="rId3747"/>
    <hyperlink ref="A1530" r:id="rId3748"/>
    <hyperlink ref="A1531" r:id="rId3749"/>
    <hyperlink ref="A1532" r:id="rId3750"/>
    <hyperlink ref="A1533" r:id="rId3751"/>
    <hyperlink ref="A1534" r:id="rId3752"/>
    <hyperlink ref="A1535" r:id="rId3753"/>
    <hyperlink ref="A1536" r:id="rId3754"/>
    <hyperlink ref="A1537" r:id="rId3755"/>
    <hyperlink ref="A1538" r:id="rId3756"/>
    <hyperlink ref="A1539" r:id="rId3757"/>
    <hyperlink ref="A1540" r:id="rId3758"/>
    <hyperlink ref="A1541" r:id="rId3759"/>
    <hyperlink ref="A1542" r:id="rId3760"/>
    <hyperlink ref="A1543" r:id="rId3761"/>
    <hyperlink ref="A1544" r:id="rId3762"/>
    <hyperlink ref="A1545" r:id="rId3763"/>
    <hyperlink ref="A1546" r:id="rId3764"/>
    <hyperlink ref="A1547" r:id="rId3765"/>
    <hyperlink ref="A1548" r:id="rId3766"/>
    <hyperlink ref="A1549" r:id="rId3767"/>
    <hyperlink ref="A1550" r:id="rId3768"/>
    <hyperlink ref="A1551" r:id="rId3769"/>
    <hyperlink ref="A1552" r:id="rId3770"/>
    <hyperlink ref="A1553" r:id="rId3771"/>
    <hyperlink ref="A1554" r:id="rId3772"/>
    <hyperlink ref="A1555" r:id="rId3773"/>
    <hyperlink ref="A1556" r:id="rId3774"/>
    <hyperlink ref="A1557" r:id="rId3775"/>
    <hyperlink ref="A1558" r:id="rId3776"/>
    <hyperlink ref="A1559" r:id="rId3777"/>
    <hyperlink ref="A1560" r:id="rId3778"/>
    <hyperlink ref="A1561" r:id="rId3779"/>
    <hyperlink ref="A1562" r:id="rId3780"/>
    <hyperlink ref="A1563" r:id="rId3781"/>
    <hyperlink ref="A1564" r:id="rId3782"/>
    <hyperlink ref="A1565" r:id="rId3783"/>
    <hyperlink ref="A1566" r:id="rId3784"/>
    <hyperlink ref="A1567" r:id="rId3785"/>
    <hyperlink ref="A1568" r:id="rId3786"/>
    <hyperlink ref="A1569" r:id="rId3787"/>
    <hyperlink ref="A1570" r:id="rId3788"/>
    <hyperlink ref="A1571" r:id="rId3789"/>
    <hyperlink ref="A1572" r:id="rId3790"/>
    <hyperlink ref="A1573" r:id="rId3791"/>
    <hyperlink ref="A1574" r:id="rId3792"/>
    <hyperlink ref="A1575" r:id="rId3793"/>
    <hyperlink ref="A1576" r:id="rId3794"/>
    <hyperlink ref="A1577" r:id="rId3795"/>
    <hyperlink ref="A1578" r:id="rId3796"/>
    <hyperlink ref="A1579" r:id="rId3797"/>
    <hyperlink ref="A1580" r:id="rId3798"/>
    <hyperlink ref="A1581" r:id="rId3799"/>
    <hyperlink ref="A1582" r:id="rId3800"/>
    <hyperlink ref="A1583" r:id="rId3801"/>
    <hyperlink ref="A1584" r:id="rId3802"/>
    <hyperlink ref="A1585" r:id="rId3803"/>
    <hyperlink ref="A1586" r:id="rId3804"/>
    <hyperlink ref="A1587" r:id="rId3805"/>
    <hyperlink ref="A1588" r:id="rId3806"/>
    <hyperlink ref="A1589" r:id="rId3807"/>
    <hyperlink ref="A1590" r:id="rId3808"/>
    <hyperlink ref="A1591" r:id="rId3809"/>
    <hyperlink ref="A1592" r:id="rId3810"/>
    <hyperlink ref="A1593" r:id="rId3811"/>
    <hyperlink ref="A1594" r:id="rId3812"/>
    <hyperlink ref="A1595" r:id="rId3813"/>
    <hyperlink ref="A1596" r:id="rId3814"/>
    <hyperlink ref="A1597" r:id="rId3815"/>
    <hyperlink ref="A1598" r:id="rId3816"/>
    <hyperlink ref="A1599" r:id="rId3817"/>
    <hyperlink ref="A1600" r:id="rId3818"/>
    <hyperlink ref="A1601" r:id="rId3819"/>
    <hyperlink ref="A1602" r:id="rId3820"/>
    <hyperlink ref="A1603" r:id="rId3821"/>
    <hyperlink ref="A1604" r:id="rId3822"/>
    <hyperlink ref="A1605" r:id="rId3823"/>
    <hyperlink ref="A1606" r:id="rId3824"/>
    <hyperlink ref="A1607" r:id="rId3825"/>
    <hyperlink ref="A1608" r:id="rId3826"/>
    <hyperlink ref="A1609" r:id="rId3827"/>
    <hyperlink ref="A1610" r:id="rId3828"/>
    <hyperlink ref="A1611" r:id="rId3829"/>
    <hyperlink ref="A1612" r:id="rId3830"/>
    <hyperlink ref="A1613" r:id="rId3831"/>
    <hyperlink ref="A1614" r:id="rId3832"/>
    <hyperlink ref="A1615" r:id="rId3833"/>
    <hyperlink ref="A1616" r:id="rId3834"/>
    <hyperlink ref="A1617" r:id="rId3835"/>
    <hyperlink ref="A1618" r:id="rId3836"/>
    <hyperlink ref="A1619" r:id="rId3837"/>
    <hyperlink ref="A1620" r:id="rId3838"/>
    <hyperlink ref="A1621" r:id="rId3839"/>
    <hyperlink ref="A1622" r:id="rId3840"/>
    <hyperlink ref="A1623" r:id="rId3841"/>
    <hyperlink ref="A1624" r:id="rId3842"/>
    <hyperlink ref="A1625" r:id="rId3843"/>
    <hyperlink ref="A1626" r:id="rId3844"/>
    <hyperlink ref="A1627" r:id="rId3845"/>
    <hyperlink ref="A1628" r:id="rId3846"/>
    <hyperlink ref="A1629" r:id="rId3847"/>
    <hyperlink ref="A1630" r:id="rId3848"/>
    <hyperlink ref="A1631" r:id="rId3849"/>
    <hyperlink ref="A1632" r:id="rId3850"/>
    <hyperlink ref="A1633" r:id="rId3851"/>
    <hyperlink ref="A1634" r:id="rId3852"/>
    <hyperlink ref="A1635" r:id="rId3853"/>
    <hyperlink ref="A1636" r:id="rId3854"/>
    <hyperlink ref="A1637" r:id="rId3855"/>
    <hyperlink ref="A1638" r:id="rId3856"/>
    <hyperlink ref="A1639" r:id="rId3857"/>
    <hyperlink ref="A1640" r:id="rId3858"/>
    <hyperlink ref="A1641" r:id="rId3859"/>
    <hyperlink ref="A1642" r:id="rId3860"/>
    <hyperlink ref="A1643" r:id="rId3861"/>
    <hyperlink ref="A1644" r:id="rId3862"/>
    <hyperlink ref="A1645" r:id="rId3863"/>
    <hyperlink ref="A1646" r:id="rId3864"/>
    <hyperlink ref="A1647" r:id="rId3865"/>
    <hyperlink ref="A1648" r:id="rId3866"/>
    <hyperlink ref="A1649" r:id="rId3867"/>
    <hyperlink ref="A1650" r:id="rId3868"/>
    <hyperlink ref="A1651" r:id="rId3869"/>
    <hyperlink ref="A1652" r:id="rId3870"/>
    <hyperlink ref="A1653" r:id="rId3871"/>
    <hyperlink ref="A1654" r:id="rId3872"/>
    <hyperlink ref="A1655" r:id="rId3873"/>
    <hyperlink ref="A1656" r:id="rId3874"/>
    <hyperlink ref="A1657" r:id="rId3875"/>
    <hyperlink ref="A1658" r:id="rId3876"/>
    <hyperlink ref="A1659" r:id="rId3877"/>
    <hyperlink ref="A1660" r:id="rId3878"/>
    <hyperlink ref="A1661" r:id="rId3879"/>
    <hyperlink ref="A1662" r:id="rId3880"/>
    <hyperlink ref="A1663" r:id="rId3881"/>
    <hyperlink ref="A1664" r:id="rId3882"/>
    <hyperlink ref="A1665" r:id="rId3883"/>
    <hyperlink ref="A1666" r:id="rId3884"/>
    <hyperlink ref="A1667" r:id="rId3885"/>
    <hyperlink ref="A1668" r:id="rId3886"/>
    <hyperlink ref="A1669" r:id="rId3887"/>
    <hyperlink ref="A1670" r:id="rId3888"/>
    <hyperlink ref="A1671" r:id="rId3889"/>
    <hyperlink ref="A1672" r:id="rId3890"/>
    <hyperlink ref="A1673" r:id="rId3891"/>
    <hyperlink ref="A1674" r:id="rId3892"/>
    <hyperlink ref="A1675" r:id="rId3893"/>
    <hyperlink ref="A1676" r:id="rId3894"/>
    <hyperlink ref="A1677" r:id="rId3895"/>
    <hyperlink ref="A1678" r:id="rId3896"/>
    <hyperlink ref="A1679" r:id="rId3897"/>
    <hyperlink ref="A1680" r:id="rId3898"/>
    <hyperlink ref="A1681" r:id="rId3899"/>
    <hyperlink ref="A1682" r:id="rId3900"/>
    <hyperlink ref="A1683" r:id="rId3901"/>
    <hyperlink ref="A1684" r:id="rId3902"/>
    <hyperlink ref="A1685" r:id="rId3903"/>
    <hyperlink ref="A1686" r:id="rId3904"/>
    <hyperlink ref="A1687" r:id="rId3905"/>
    <hyperlink ref="A1688" r:id="rId3906"/>
    <hyperlink ref="A1689" r:id="rId3907"/>
    <hyperlink ref="A1690" r:id="rId3908"/>
    <hyperlink ref="A1691" r:id="rId3909"/>
    <hyperlink ref="A1692" r:id="rId3910"/>
    <hyperlink ref="A1693" r:id="rId3911"/>
    <hyperlink ref="A1694" r:id="rId3912"/>
    <hyperlink ref="A1695" r:id="rId3913"/>
    <hyperlink ref="A1696" r:id="rId3914"/>
    <hyperlink ref="A1697" r:id="rId3915"/>
    <hyperlink ref="A1698" r:id="rId3916"/>
    <hyperlink ref="A1699" r:id="rId3917"/>
    <hyperlink ref="A1700" r:id="rId3918"/>
    <hyperlink ref="A1701" r:id="rId3919"/>
    <hyperlink ref="A1702" r:id="rId3920"/>
    <hyperlink ref="A1703" r:id="rId3921"/>
    <hyperlink ref="A1704" r:id="rId3922"/>
    <hyperlink ref="A1705" r:id="rId3923"/>
    <hyperlink ref="A1706" r:id="rId3924"/>
    <hyperlink ref="A1707" r:id="rId3925"/>
    <hyperlink ref="A1708" r:id="rId3926"/>
    <hyperlink ref="A1709" r:id="rId3927"/>
    <hyperlink ref="A1710" r:id="rId3928"/>
    <hyperlink ref="A1711" r:id="rId3929"/>
    <hyperlink ref="A1712" r:id="rId3930"/>
    <hyperlink ref="A1713" r:id="rId3931"/>
    <hyperlink ref="A1714" r:id="rId3932"/>
    <hyperlink ref="A1715" r:id="rId3933"/>
    <hyperlink ref="A1716" r:id="rId3934"/>
    <hyperlink ref="A1717" r:id="rId3935"/>
    <hyperlink ref="A1718" r:id="rId3936"/>
    <hyperlink ref="A1719" r:id="rId3937"/>
    <hyperlink ref="A1720" r:id="rId3938"/>
    <hyperlink ref="A1721" r:id="rId3939"/>
    <hyperlink ref="A1722" r:id="rId3940"/>
    <hyperlink ref="A1723" r:id="rId3941"/>
    <hyperlink ref="A1724" r:id="rId3942"/>
    <hyperlink ref="A1725" r:id="rId3943"/>
    <hyperlink ref="A1726" r:id="rId3944"/>
    <hyperlink ref="A1727" r:id="rId3945"/>
    <hyperlink ref="A1728" r:id="rId3946"/>
    <hyperlink ref="A1729" r:id="rId3947"/>
    <hyperlink ref="A1730" r:id="rId3948"/>
    <hyperlink ref="A1731" r:id="rId3949"/>
    <hyperlink ref="A1732" r:id="rId3950"/>
    <hyperlink ref="A1733" r:id="rId3951"/>
    <hyperlink ref="A1734" r:id="rId3952"/>
    <hyperlink ref="A1735" r:id="rId3953"/>
    <hyperlink ref="A1736" r:id="rId3954"/>
    <hyperlink ref="A1737" r:id="rId3955"/>
    <hyperlink ref="A1738" r:id="rId3956"/>
    <hyperlink ref="A1739" r:id="rId3957"/>
    <hyperlink ref="A1740" r:id="rId3958"/>
    <hyperlink ref="A1741" r:id="rId3959"/>
    <hyperlink ref="A1742" r:id="rId3960"/>
    <hyperlink ref="A1743" r:id="rId3961"/>
    <hyperlink ref="A1744" r:id="rId3962"/>
    <hyperlink ref="A1745" r:id="rId3963"/>
    <hyperlink ref="A1746" r:id="rId3964"/>
    <hyperlink ref="A1747" r:id="rId3965"/>
    <hyperlink ref="A1748" r:id="rId3966"/>
    <hyperlink ref="A1749" r:id="rId3967"/>
    <hyperlink ref="A1750" r:id="rId3968"/>
    <hyperlink ref="A1751" r:id="rId3969"/>
    <hyperlink ref="A1752" r:id="rId3970"/>
    <hyperlink ref="A1753" r:id="rId3971"/>
    <hyperlink ref="A1754" r:id="rId3972"/>
    <hyperlink ref="A1755" r:id="rId3973"/>
    <hyperlink ref="A1756" r:id="rId3974"/>
    <hyperlink ref="A1757" r:id="rId3975"/>
    <hyperlink ref="A1758" r:id="rId3976"/>
    <hyperlink ref="A1759" r:id="rId3977"/>
    <hyperlink ref="A1760" r:id="rId3978"/>
    <hyperlink ref="A1761" r:id="rId3979"/>
    <hyperlink ref="A1762" r:id="rId3980"/>
    <hyperlink ref="A1763" r:id="rId3981"/>
    <hyperlink ref="A1764" r:id="rId3982"/>
    <hyperlink ref="A1765" r:id="rId3983"/>
    <hyperlink ref="A1766" r:id="rId3984"/>
    <hyperlink ref="A1767" r:id="rId3985"/>
    <hyperlink ref="A1768" r:id="rId3986"/>
    <hyperlink ref="A1769" r:id="rId3987"/>
    <hyperlink ref="A1770" r:id="rId3988"/>
    <hyperlink ref="A1771" r:id="rId3989"/>
    <hyperlink ref="A1772" r:id="rId3990"/>
    <hyperlink ref="A1773" r:id="rId3991"/>
    <hyperlink ref="A1774" r:id="rId3992"/>
    <hyperlink ref="A1775" r:id="rId3993"/>
    <hyperlink ref="A1776" r:id="rId3994"/>
    <hyperlink ref="A1777" r:id="rId3995"/>
    <hyperlink ref="A1778" r:id="rId3996"/>
    <hyperlink ref="A1779" r:id="rId3997"/>
    <hyperlink ref="A1780" r:id="rId3998"/>
    <hyperlink ref="A1781" r:id="rId3999"/>
    <hyperlink ref="A1782" r:id="rId4000"/>
    <hyperlink ref="A1783" r:id="rId4001"/>
    <hyperlink ref="A1784" r:id="rId4002"/>
    <hyperlink ref="A1785" r:id="rId4003"/>
    <hyperlink ref="A1786" r:id="rId4004"/>
    <hyperlink ref="A1787" r:id="rId4005"/>
    <hyperlink ref="A1788" r:id="rId4006"/>
    <hyperlink ref="A1789" r:id="rId4007"/>
    <hyperlink ref="A1790" r:id="rId4008"/>
    <hyperlink ref="A1791" r:id="rId4009"/>
    <hyperlink ref="A1792" r:id="rId4010"/>
    <hyperlink ref="A1793" r:id="rId4011"/>
    <hyperlink ref="A1794" r:id="rId4012"/>
    <hyperlink ref="A1795" r:id="rId4013"/>
    <hyperlink ref="A1796" r:id="rId4014"/>
    <hyperlink ref="A1797" r:id="rId4015"/>
    <hyperlink ref="A1798" r:id="rId4016"/>
    <hyperlink ref="A1799" r:id="rId4017"/>
    <hyperlink ref="A1800" r:id="rId4018"/>
    <hyperlink ref="A1801" r:id="rId4019"/>
    <hyperlink ref="A1802" r:id="rId4020"/>
    <hyperlink ref="A1803" r:id="rId4021"/>
    <hyperlink ref="A1804" r:id="rId4022"/>
    <hyperlink ref="A1805" r:id="rId4023"/>
    <hyperlink ref="A1806" r:id="rId4024"/>
    <hyperlink ref="A1807" r:id="rId4025"/>
    <hyperlink ref="A1808" r:id="rId4026"/>
    <hyperlink ref="A1809" r:id="rId4027"/>
    <hyperlink ref="A1810" r:id="rId4028"/>
    <hyperlink ref="A1811" r:id="rId4029"/>
    <hyperlink ref="A1812" r:id="rId4030"/>
    <hyperlink ref="A1813" r:id="rId4031"/>
    <hyperlink ref="A1814" r:id="rId4032"/>
    <hyperlink ref="A1815" r:id="rId4033"/>
    <hyperlink ref="A1816" r:id="rId4034"/>
    <hyperlink ref="A1817" r:id="rId4035"/>
    <hyperlink ref="A1818" r:id="rId4036"/>
    <hyperlink ref="A1819" r:id="rId4037"/>
    <hyperlink ref="A1820" r:id="rId4038"/>
    <hyperlink ref="A1821" r:id="rId4039"/>
    <hyperlink ref="A1822" r:id="rId4040"/>
    <hyperlink ref="A1823" r:id="rId4041"/>
    <hyperlink ref="A1824" r:id="rId4042"/>
    <hyperlink ref="A1825" r:id="rId4043"/>
    <hyperlink ref="A1826" r:id="rId4044"/>
    <hyperlink ref="A1827" r:id="rId4045"/>
    <hyperlink ref="A1828" r:id="rId4046"/>
    <hyperlink ref="A1829" r:id="rId4047"/>
    <hyperlink ref="A1830" r:id="rId4048"/>
    <hyperlink ref="A1831" r:id="rId4049"/>
    <hyperlink ref="A1832" r:id="rId4050"/>
    <hyperlink ref="A1833" r:id="rId4051"/>
    <hyperlink ref="A1834" r:id="rId4052"/>
    <hyperlink ref="A1835" r:id="rId4053"/>
    <hyperlink ref="A1836" r:id="rId4054"/>
    <hyperlink ref="A1837" r:id="rId4055"/>
    <hyperlink ref="A1838" r:id="rId4056"/>
    <hyperlink ref="A1839" r:id="rId4057"/>
    <hyperlink ref="A1840" r:id="rId4058"/>
    <hyperlink ref="A1841" r:id="rId4059"/>
    <hyperlink ref="A1842" r:id="rId4060"/>
    <hyperlink ref="A1843" r:id="rId4061"/>
    <hyperlink ref="A1844" r:id="rId4062"/>
    <hyperlink ref="A1845" r:id="rId4063"/>
    <hyperlink ref="A1846" r:id="rId4064"/>
    <hyperlink ref="A1847" r:id="rId4065"/>
    <hyperlink ref="A1848" r:id="rId4066"/>
    <hyperlink ref="A1849" r:id="rId4067"/>
    <hyperlink ref="A1850" r:id="rId4068"/>
    <hyperlink ref="A1851" r:id="rId4069"/>
    <hyperlink ref="A1852" r:id="rId4070"/>
    <hyperlink ref="A1853" r:id="rId4071"/>
    <hyperlink ref="A1854" r:id="rId4072"/>
    <hyperlink ref="A1855" r:id="rId4073"/>
    <hyperlink ref="A1856" r:id="rId4074"/>
    <hyperlink ref="A1857" r:id="rId4075"/>
    <hyperlink ref="A1858" r:id="rId4076"/>
    <hyperlink ref="A1859" r:id="rId4077"/>
    <hyperlink ref="A1860" r:id="rId4078"/>
    <hyperlink ref="A1861" r:id="rId4079"/>
    <hyperlink ref="A1862" r:id="rId4080"/>
    <hyperlink ref="A1863" r:id="rId4081"/>
    <hyperlink ref="A1864" r:id="rId4082"/>
    <hyperlink ref="A1865" r:id="rId4083"/>
    <hyperlink ref="A1866" r:id="rId4084"/>
    <hyperlink ref="A1867" r:id="rId4085"/>
    <hyperlink ref="A1868" r:id="rId4086"/>
    <hyperlink ref="A1869" r:id="rId4087"/>
    <hyperlink ref="A1870" r:id="rId4088"/>
    <hyperlink ref="A1871" r:id="rId4089"/>
    <hyperlink ref="A1872" r:id="rId4090"/>
    <hyperlink ref="A1873" r:id="rId4091"/>
    <hyperlink ref="A1874" r:id="rId4092"/>
    <hyperlink ref="A1875" r:id="rId4093"/>
    <hyperlink ref="A1876" r:id="rId4094"/>
    <hyperlink ref="A1877" r:id="rId4095"/>
    <hyperlink ref="A1878" r:id="rId4096"/>
    <hyperlink ref="A1879" r:id="rId4097"/>
    <hyperlink ref="A1880" r:id="rId4098"/>
    <hyperlink ref="A1881" r:id="rId4099"/>
    <hyperlink ref="A1882" r:id="rId4100"/>
    <hyperlink ref="A1883" r:id="rId4101"/>
    <hyperlink ref="A1884" r:id="rId4102"/>
    <hyperlink ref="A1885" r:id="rId4103"/>
    <hyperlink ref="A1886" r:id="rId4104"/>
    <hyperlink ref="A1887" r:id="rId4105"/>
    <hyperlink ref="A1888" r:id="rId4106"/>
    <hyperlink ref="A1889" r:id="rId4107"/>
    <hyperlink ref="A1890" r:id="rId4108"/>
    <hyperlink ref="A1891" r:id="rId4109"/>
    <hyperlink ref="A1892" r:id="rId4110"/>
    <hyperlink ref="A1893" r:id="rId4111"/>
    <hyperlink ref="A1894" r:id="rId4112"/>
    <hyperlink ref="A1895" r:id="rId4113"/>
    <hyperlink ref="A1896" r:id="rId4114"/>
    <hyperlink ref="A1897" r:id="rId4115"/>
    <hyperlink ref="A1898" r:id="rId4116"/>
    <hyperlink ref="A1899" r:id="rId4117"/>
    <hyperlink ref="A1900" r:id="rId4118"/>
    <hyperlink ref="A1901" r:id="rId4119"/>
    <hyperlink ref="A1902" r:id="rId4120"/>
    <hyperlink ref="A1903" r:id="rId4121"/>
    <hyperlink ref="A1904" r:id="rId4122"/>
    <hyperlink ref="A1905" r:id="rId4123"/>
    <hyperlink ref="A1906" r:id="rId4124"/>
    <hyperlink ref="A1907" r:id="rId4125"/>
    <hyperlink ref="A1908" r:id="rId4126"/>
    <hyperlink ref="A1909" r:id="rId4127"/>
    <hyperlink ref="A1910" r:id="rId4128"/>
    <hyperlink ref="A1911" r:id="rId4129"/>
    <hyperlink ref="A1912" r:id="rId4130"/>
    <hyperlink ref="A1913" r:id="rId4131"/>
    <hyperlink ref="A1914" r:id="rId4132"/>
    <hyperlink ref="A1915" r:id="rId4133"/>
    <hyperlink ref="A1916" r:id="rId4134"/>
    <hyperlink ref="A1917" r:id="rId4135"/>
    <hyperlink ref="A1918" r:id="rId4136"/>
    <hyperlink ref="A1919" r:id="rId4137"/>
    <hyperlink ref="A1920" r:id="rId4138"/>
    <hyperlink ref="A1921" r:id="rId4139"/>
    <hyperlink ref="A1922" r:id="rId4140"/>
    <hyperlink ref="A1923" r:id="rId4141"/>
    <hyperlink ref="A1924" r:id="rId4142"/>
    <hyperlink ref="A1925" r:id="rId4143"/>
    <hyperlink ref="A1926" r:id="rId4144"/>
    <hyperlink ref="A1927" r:id="rId4145"/>
    <hyperlink ref="A1928" r:id="rId4146"/>
    <hyperlink ref="A1929" r:id="rId4147"/>
    <hyperlink ref="A1930" r:id="rId4148"/>
    <hyperlink ref="A1931" r:id="rId4149"/>
    <hyperlink ref="A1932" r:id="rId4150"/>
    <hyperlink ref="A1933" r:id="rId4151"/>
    <hyperlink ref="A1934" r:id="rId4152"/>
    <hyperlink ref="A1935" r:id="rId4153"/>
    <hyperlink ref="A1936" r:id="rId4154"/>
    <hyperlink ref="A1937" r:id="rId4155"/>
    <hyperlink ref="A1938" r:id="rId4156"/>
    <hyperlink ref="A1939" r:id="rId4157"/>
    <hyperlink ref="A1940" r:id="rId4158"/>
    <hyperlink ref="A1941" r:id="rId4159"/>
    <hyperlink ref="A1942" r:id="rId4160"/>
    <hyperlink ref="A1943" r:id="rId4161"/>
    <hyperlink ref="A1944" r:id="rId4162"/>
    <hyperlink ref="A1945" r:id="rId4163"/>
    <hyperlink ref="A1946" r:id="rId4164"/>
    <hyperlink ref="A1947" r:id="rId4165"/>
    <hyperlink ref="A1948" r:id="rId4166"/>
    <hyperlink ref="A1949" r:id="rId4167"/>
    <hyperlink ref="A1950" r:id="rId4168"/>
    <hyperlink ref="A1951" r:id="rId4169"/>
    <hyperlink ref="A1952" r:id="rId4170"/>
    <hyperlink ref="A1953" r:id="rId4171"/>
    <hyperlink ref="A1954" r:id="rId4172"/>
    <hyperlink ref="A1955" r:id="rId4173"/>
    <hyperlink ref="A1956" r:id="rId4174"/>
    <hyperlink ref="A1957" r:id="rId4175"/>
    <hyperlink ref="A1958" r:id="rId4176"/>
    <hyperlink ref="A1959" r:id="rId4177"/>
    <hyperlink ref="A1960" r:id="rId4178"/>
    <hyperlink ref="A1961" r:id="rId4179"/>
    <hyperlink ref="A1962" r:id="rId4180"/>
    <hyperlink ref="A1963" r:id="rId4181"/>
    <hyperlink ref="A1964" r:id="rId4182"/>
    <hyperlink ref="A1965" r:id="rId4183"/>
    <hyperlink ref="A1966" r:id="rId4184"/>
    <hyperlink ref="A1967" r:id="rId4185"/>
    <hyperlink ref="A1968" r:id="rId4186"/>
    <hyperlink ref="A1969" r:id="rId4187"/>
    <hyperlink ref="A1970" r:id="rId4188"/>
    <hyperlink ref="A1971" r:id="rId4189"/>
    <hyperlink ref="A1972" r:id="rId4190"/>
    <hyperlink ref="A1973" r:id="rId4191"/>
    <hyperlink ref="A1974" r:id="rId4192"/>
    <hyperlink ref="A1975" r:id="rId4193"/>
    <hyperlink ref="A1976" r:id="rId4194"/>
    <hyperlink ref="A1977" r:id="rId4195"/>
    <hyperlink ref="A1978" r:id="rId4196"/>
    <hyperlink ref="A1979" r:id="rId4197"/>
    <hyperlink ref="A1980" r:id="rId4198"/>
    <hyperlink ref="A1981" r:id="rId4199"/>
    <hyperlink ref="A1982" r:id="rId4200"/>
    <hyperlink ref="A1983" r:id="rId4201"/>
    <hyperlink ref="A1984" r:id="rId4202"/>
    <hyperlink ref="A1985" r:id="rId4203"/>
    <hyperlink ref="A1986" r:id="rId4204"/>
    <hyperlink ref="A1987" r:id="rId4205"/>
    <hyperlink ref="A1988" r:id="rId4206"/>
    <hyperlink ref="A1989" r:id="rId4207"/>
    <hyperlink ref="A1990" r:id="rId4208"/>
    <hyperlink ref="A1991" r:id="rId4209"/>
    <hyperlink ref="A1992" r:id="rId4210"/>
    <hyperlink ref="A1993" r:id="rId4211"/>
    <hyperlink ref="A1994" r:id="rId4212"/>
    <hyperlink ref="A1995" r:id="rId4213"/>
    <hyperlink ref="A1996" r:id="rId4214"/>
    <hyperlink ref="A1997" r:id="rId4215"/>
    <hyperlink ref="A1998" r:id="rId4216"/>
    <hyperlink ref="A1999" r:id="rId4217"/>
    <hyperlink ref="A2000" r:id="rId4218"/>
    <hyperlink ref="A2001" r:id="rId4219"/>
    <hyperlink ref="A2002" r:id="rId4220"/>
    <hyperlink ref="A2003" r:id="rId4221"/>
    <hyperlink ref="A2004" r:id="rId4222"/>
    <hyperlink ref="A2005" r:id="rId4223"/>
    <hyperlink ref="A2006" r:id="rId4224"/>
    <hyperlink ref="A2007" r:id="rId4225"/>
    <hyperlink ref="A2008" r:id="rId4226"/>
    <hyperlink ref="A2009" r:id="rId4227"/>
    <hyperlink ref="A2010" r:id="rId4228"/>
    <hyperlink ref="A2011" r:id="rId4229"/>
    <hyperlink ref="A2012" r:id="rId4230"/>
    <hyperlink ref="A2013" r:id="rId4231"/>
    <hyperlink ref="A2014" r:id="rId4232"/>
    <hyperlink ref="A2015" r:id="rId4233"/>
    <hyperlink ref="A2016" r:id="rId4234"/>
    <hyperlink ref="A2017" r:id="rId4235"/>
    <hyperlink ref="A2018" r:id="rId4236"/>
    <hyperlink ref="A2019" r:id="rId4237"/>
    <hyperlink ref="A2020" r:id="rId4238"/>
    <hyperlink ref="A2021" r:id="rId4239"/>
    <hyperlink ref="A2022" r:id="rId4240"/>
    <hyperlink ref="A2023" r:id="rId4241"/>
    <hyperlink ref="A2024" r:id="rId4242"/>
    <hyperlink ref="A2025" r:id="rId4243"/>
    <hyperlink ref="A2026" r:id="rId4244"/>
    <hyperlink ref="A2027" r:id="rId4245"/>
    <hyperlink ref="A2028" r:id="rId4246"/>
    <hyperlink ref="A2029" r:id="rId4247"/>
    <hyperlink ref="A2030" r:id="rId4248"/>
    <hyperlink ref="A2031" r:id="rId4249"/>
    <hyperlink ref="A2032" r:id="rId4250"/>
    <hyperlink ref="A2033" r:id="rId4251"/>
    <hyperlink ref="A2034" r:id="rId4252"/>
    <hyperlink ref="A2035" r:id="rId4253"/>
    <hyperlink ref="A2036" r:id="rId4254"/>
    <hyperlink ref="A2037" r:id="rId4255"/>
    <hyperlink ref="A2038" r:id="rId4256"/>
    <hyperlink ref="A2039" r:id="rId4257"/>
    <hyperlink ref="A2040" r:id="rId4258"/>
    <hyperlink ref="A2041" r:id="rId4259"/>
    <hyperlink ref="A2042" r:id="rId4260"/>
    <hyperlink ref="A2043" r:id="rId4261"/>
    <hyperlink ref="A2044" r:id="rId4262"/>
    <hyperlink ref="A2045" r:id="rId4263"/>
    <hyperlink ref="A2046" r:id="rId4264"/>
    <hyperlink ref="A2047" r:id="rId4265"/>
    <hyperlink ref="A2048" r:id="rId4266"/>
    <hyperlink ref="A2049" r:id="rId4267"/>
    <hyperlink ref="A2050" r:id="rId4268"/>
    <hyperlink ref="A2051" r:id="rId4269"/>
    <hyperlink ref="A2052" r:id="rId4270"/>
    <hyperlink ref="A2053" r:id="rId4271"/>
    <hyperlink ref="A2054" r:id="rId4272"/>
    <hyperlink ref="A2055" r:id="rId4273"/>
    <hyperlink ref="A2056" r:id="rId4274"/>
    <hyperlink ref="A2057" r:id="rId4275"/>
    <hyperlink ref="A2058" r:id="rId4276"/>
    <hyperlink ref="A2059" r:id="rId4277"/>
    <hyperlink ref="A2060" r:id="rId4278"/>
    <hyperlink ref="A2061" r:id="rId4279"/>
    <hyperlink ref="A2062" r:id="rId4280"/>
    <hyperlink ref="A2063" r:id="rId4281"/>
    <hyperlink ref="A2064" r:id="rId4282"/>
    <hyperlink ref="A2065" r:id="rId4283"/>
    <hyperlink ref="A2066" r:id="rId4284"/>
    <hyperlink ref="A2067" r:id="rId4285"/>
    <hyperlink ref="A2068" r:id="rId4286"/>
    <hyperlink ref="A2069" r:id="rId4287"/>
    <hyperlink ref="A2070" r:id="rId4288"/>
    <hyperlink ref="A2071" r:id="rId4289"/>
    <hyperlink ref="A2072" r:id="rId4290"/>
    <hyperlink ref="A2073" r:id="rId4291"/>
    <hyperlink ref="A2074" r:id="rId4292"/>
    <hyperlink ref="A2075" r:id="rId4293"/>
    <hyperlink ref="A2076" r:id="rId4294"/>
    <hyperlink ref="A2077" r:id="rId4295"/>
    <hyperlink ref="A2078" r:id="rId4296"/>
    <hyperlink ref="A2079" r:id="rId4297"/>
    <hyperlink ref="A2080" r:id="rId4298"/>
    <hyperlink ref="A2081" r:id="rId4299"/>
    <hyperlink ref="A2082" r:id="rId4300"/>
    <hyperlink ref="A2083" r:id="rId4301"/>
    <hyperlink ref="A2084" r:id="rId4302"/>
    <hyperlink ref="A2085" r:id="rId4303"/>
    <hyperlink ref="A2086" r:id="rId4304"/>
    <hyperlink ref="A2087" r:id="rId4305"/>
    <hyperlink ref="A2088" r:id="rId4306"/>
    <hyperlink ref="A2089" r:id="rId4307"/>
    <hyperlink ref="A2090" r:id="rId4308"/>
    <hyperlink ref="A2091" r:id="rId4309"/>
    <hyperlink ref="A2092" r:id="rId4310"/>
    <hyperlink ref="A2093" r:id="rId4311"/>
    <hyperlink ref="A2094" r:id="rId4312"/>
    <hyperlink ref="A2095" r:id="rId4313"/>
    <hyperlink ref="A2096" r:id="rId4314"/>
    <hyperlink ref="A2097" r:id="rId4315"/>
    <hyperlink ref="A2098" r:id="rId4316"/>
    <hyperlink ref="A2099" r:id="rId4317"/>
    <hyperlink ref="A2100" r:id="rId4318"/>
    <hyperlink ref="A2101" r:id="rId4319"/>
    <hyperlink ref="A2102" r:id="rId4320"/>
    <hyperlink ref="A2103" r:id="rId4321"/>
    <hyperlink ref="A2104" r:id="rId4322"/>
    <hyperlink ref="A2105" r:id="rId4323"/>
    <hyperlink ref="A2106" r:id="rId4324"/>
    <hyperlink ref="A2107" r:id="rId4325"/>
    <hyperlink ref="A2108" r:id="rId4326"/>
    <hyperlink ref="A2109" r:id="rId4327"/>
    <hyperlink ref="A2110" r:id="rId4328"/>
    <hyperlink ref="A2111" r:id="rId4329"/>
    <hyperlink ref="A2112" r:id="rId4330"/>
    <hyperlink ref="A2113" r:id="rId4331"/>
    <hyperlink ref="A2114" r:id="rId4332"/>
    <hyperlink ref="A2115" r:id="rId4333"/>
    <hyperlink ref="A2116" r:id="rId4334"/>
    <hyperlink ref="A2117" r:id="rId4335"/>
    <hyperlink ref="A2118" r:id="rId4336"/>
    <hyperlink ref="A2119" r:id="rId4337"/>
    <hyperlink ref="A2120" r:id="rId4338"/>
    <hyperlink ref="A2121" r:id="rId4339"/>
    <hyperlink ref="A2122" r:id="rId4340"/>
    <hyperlink ref="A2123" r:id="rId4341"/>
    <hyperlink ref="A2124" r:id="rId4342"/>
    <hyperlink ref="A2125" r:id="rId4343"/>
    <hyperlink ref="A2126" r:id="rId4344"/>
    <hyperlink ref="A2127" r:id="rId4345"/>
    <hyperlink ref="A2128" r:id="rId4346"/>
    <hyperlink ref="A2129" r:id="rId4347"/>
    <hyperlink ref="A2130" r:id="rId4348"/>
    <hyperlink ref="A2131" r:id="rId4349"/>
    <hyperlink ref="A2132" r:id="rId4350"/>
    <hyperlink ref="A2133" r:id="rId4351"/>
    <hyperlink ref="A2134" r:id="rId4352"/>
    <hyperlink ref="A2135" r:id="rId4353"/>
    <hyperlink ref="A2136" r:id="rId4354"/>
    <hyperlink ref="A2137" r:id="rId4355"/>
    <hyperlink ref="A2138" r:id="rId4356"/>
    <hyperlink ref="A2139" r:id="rId4357"/>
    <hyperlink ref="A2140" r:id="rId4358"/>
    <hyperlink ref="A2141" r:id="rId4359"/>
    <hyperlink ref="A2142" r:id="rId4360"/>
    <hyperlink ref="A2143" r:id="rId4361"/>
    <hyperlink ref="A2144" r:id="rId4362"/>
    <hyperlink ref="A2145" r:id="rId4363"/>
    <hyperlink ref="A2146" r:id="rId4364"/>
    <hyperlink ref="A2147" r:id="rId4365"/>
    <hyperlink ref="A2148" r:id="rId4366"/>
    <hyperlink ref="A2149" r:id="rId4367"/>
    <hyperlink ref="A2150" r:id="rId4368"/>
    <hyperlink ref="A2151" r:id="rId4369"/>
    <hyperlink ref="A2152" r:id="rId4370"/>
    <hyperlink ref="A2153" r:id="rId4371"/>
    <hyperlink ref="A2154" r:id="rId4372"/>
    <hyperlink ref="A2155" r:id="rId4373"/>
    <hyperlink ref="A2156" r:id="rId4374"/>
    <hyperlink ref="A2157" r:id="rId4375"/>
    <hyperlink ref="A2158" r:id="rId4376"/>
    <hyperlink ref="A2159" r:id="rId4377"/>
    <hyperlink ref="A2160" r:id="rId4378"/>
    <hyperlink ref="A2161" r:id="rId4379"/>
    <hyperlink ref="A2162" r:id="rId4380"/>
    <hyperlink ref="A2163" r:id="rId4381"/>
    <hyperlink ref="A2164" r:id="rId4382"/>
    <hyperlink ref="A2165" r:id="rId4383"/>
    <hyperlink ref="A2166" r:id="rId4384"/>
    <hyperlink ref="A2167" r:id="rId4385"/>
    <hyperlink ref="A2168" r:id="rId4386"/>
    <hyperlink ref="A2169" r:id="rId4387"/>
    <hyperlink ref="A2170" r:id="rId4388"/>
    <hyperlink ref="A2171" r:id="rId4389"/>
    <hyperlink ref="A2172" r:id="rId4390"/>
    <hyperlink ref="A2173" r:id="rId4391"/>
    <hyperlink ref="A2174" r:id="rId4392"/>
    <hyperlink ref="A2175" r:id="rId4393"/>
    <hyperlink ref="A2176" r:id="rId4394"/>
    <hyperlink ref="A2177" r:id="rId4395"/>
    <hyperlink ref="A2178" r:id="rId4396"/>
    <hyperlink ref="A2179" r:id="rId4397"/>
    <hyperlink ref="A2180" r:id="rId4398"/>
    <hyperlink ref="A2181" r:id="rId4399"/>
    <hyperlink ref="A2182" r:id="rId4400"/>
    <hyperlink ref="A2183" r:id="rId4401"/>
    <hyperlink ref="A2184" r:id="rId4402"/>
    <hyperlink ref="A2185" r:id="rId4403"/>
    <hyperlink ref="A2186" r:id="rId4404"/>
    <hyperlink ref="A2187" r:id="rId4405"/>
    <hyperlink ref="A2188" r:id="rId4406"/>
    <hyperlink ref="A2189" r:id="rId4407"/>
    <hyperlink ref="A2190" r:id="rId4408"/>
    <hyperlink ref="A2191" r:id="rId4409"/>
    <hyperlink ref="A2192" r:id="rId4410"/>
    <hyperlink ref="A2193" r:id="rId4411"/>
    <hyperlink ref="A2194" r:id="rId4412"/>
    <hyperlink ref="A2195" r:id="rId4413"/>
    <hyperlink ref="A2196" r:id="rId4414"/>
    <hyperlink ref="A2197" r:id="rId4415"/>
    <hyperlink ref="A2198" r:id="rId4416"/>
    <hyperlink ref="A2199" r:id="rId4417"/>
    <hyperlink ref="A2200" r:id="rId4418"/>
    <hyperlink ref="A2201" r:id="rId4419"/>
    <hyperlink ref="A2202" r:id="rId4420"/>
    <hyperlink ref="A2203" r:id="rId4421"/>
    <hyperlink ref="A2204" r:id="rId4422"/>
    <hyperlink ref="A2205" r:id="rId4423"/>
    <hyperlink ref="A2206" r:id="rId4424"/>
    <hyperlink ref="A2207" r:id="rId4425"/>
    <hyperlink ref="A2208" r:id="rId4426"/>
    <hyperlink ref="A2209" r:id="rId4427"/>
    <hyperlink ref="A2210" r:id="rId4428"/>
    <hyperlink ref="A2211" r:id="rId4429"/>
    <hyperlink ref="A2212" r:id="rId4430"/>
    <hyperlink ref="A2213" r:id="rId4431"/>
    <hyperlink ref="A2214" r:id="rId4432"/>
    <hyperlink ref="A2215" r:id="rId4433"/>
    <hyperlink ref="A2216" r:id="rId4434"/>
    <hyperlink ref="A2217" r:id="rId4435"/>
    <hyperlink ref="A2218" r:id="rId4436"/>
    <hyperlink ref="A2219" r:id="rId4437"/>
    <hyperlink ref="A2220" r:id="rId4438"/>
    <hyperlink ref="A2221" r:id="rId4439"/>
    <hyperlink ref="A2222" r:id="rId4440"/>
    <hyperlink ref="A2223" r:id="rId4441"/>
    <hyperlink ref="A2224" r:id="rId4442"/>
    <hyperlink ref="A2225" r:id="rId4443"/>
    <hyperlink ref="A2226" r:id="rId4444"/>
    <hyperlink ref="A2227" r:id="rId4445"/>
    <hyperlink ref="A2228" r:id="rId4446"/>
    <hyperlink ref="A2229" r:id="rId4447"/>
    <hyperlink ref="A2230" r:id="rId4448"/>
    <hyperlink ref="A2231" r:id="rId4449"/>
    <hyperlink ref="A2232" r:id="rId4450"/>
    <hyperlink ref="A2233" r:id="rId4451"/>
    <hyperlink ref="A2234" r:id="rId4452"/>
    <hyperlink ref="A2235" r:id="rId4453"/>
    <hyperlink ref="A2236" r:id="rId4454"/>
    <hyperlink ref="A2237" r:id="rId4455"/>
    <hyperlink ref="A2238" r:id="rId4456"/>
    <hyperlink ref="A2239" r:id="rId4457"/>
    <hyperlink ref="A2240" r:id="rId4458"/>
    <hyperlink ref="A2241" r:id="rId4459"/>
    <hyperlink ref="A2242" r:id="rId4460"/>
    <hyperlink ref="A2243" r:id="rId4461"/>
    <hyperlink ref="A2244" r:id="rId4462"/>
    <hyperlink ref="A2245" r:id="rId4463"/>
    <hyperlink ref="A2246" r:id="rId4464"/>
    <hyperlink ref="A2247" r:id="rId4465"/>
    <hyperlink ref="A2248" r:id="rId4466"/>
    <hyperlink ref="A2249" r:id="rId4467"/>
    <hyperlink ref="A2250" r:id="rId4468"/>
    <hyperlink ref="A2251" r:id="rId4469"/>
    <hyperlink ref="A2252" r:id="rId4470"/>
    <hyperlink ref="A2253" r:id="rId4471"/>
    <hyperlink ref="A2254" r:id="rId4472"/>
    <hyperlink ref="A2255" r:id="rId4473"/>
    <hyperlink ref="A2256" r:id="rId4474"/>
    <hyperlink ref="A2257" r:id="rId4475"/>
    <hyperlink ref="A2258" r:id="rId4476"/>
    <hyperlink ref="A2259" r:id="rId4477"/>
    <hyperlink ref="A2260" r:id="rId4478"/>
    <hyperlink ref="A2261" r:id="rId4479"/>
    <hyperlink ref="A2262" r:id="rId4480"/>
    <hyperlink ref="A2263" r:id="rId4481"/>
    <hyperlink ref="A2264" r:id="rId4482"/>
    <hyperlink ref="A2265" r:id="rId4483"/>
    <hyperlink ref="A2266" r:id="rId4484"/>
    <hyperlink ref="A2267" r:id="rId4485"/>
    <hyperlink ref="A2268" r:id="rId4486"/>
    <hyperlink ref="A2269" r:id="rId4487"/>
    <hyperlink ref="A2270" r:id="rId4488"/>
    <hyperlink ref="A2271" r:id="rId4489"/>
    <hyperlink ref="A2272" r:id="rId4490"/>
    <hyperlink ref="A2273" r:id="rId4491"/>
    <hyperlink ref="A2274" r:id="rId4492"/>
    <hyperlink ref="A2275" r:id="rId4493"/>
    <hyperlink ref="A2276" r:id="rId4494"/>
    <hyperlink ref="A2277" r:id="rId4495"/>
    <hyperlink ref="A2278" r:id="rId4496"/>
    <hyperlink ref="A2279" r:id="rId4497"/>
    <hyperlink ref="A2280" r:id="rId4498"/>
    <hyperlink ref="A2281" r:id="rId4499"/>
    <hyperlink ref="A2282" r:id="rId4500"/>
    <hyperlink ref="A2283" r:id="rId4501"/>
    <hyperlink ref="A2284" r:id="rId4502"/>
    <hyperlink ref="A2285" r:id="rId4503"/>
    <hyperlink ref="A2286" r:id="rId4504"/>
    <hyperlink ref="A2287" r:id="rId4505"/>
    <hyperlink ref="A2288" r:id="rId4506"/>
    <hyperlink ref="A2289" r:id="rId4507"/>
    <hyperlink ref="A2290" r:id="rId4508"/>
    <hyperlink ref="A2291" r:id="rId4509"/>
    <hyperlink ref="A2292" r:id="rId4510"/>
    <hyperlink ref="A2293" r:id="rId4511"/>
    <hyperlink ref="A2294" r:id="rId4512"/>
    <hyperlink ref="A2295" r:id="rId4513"/>
    <hyperlink ref="A2296" r:id="rId4514"/>
    <hyperlink ref="A2297" r:id="rId4515"/>
    <hyperlink ref="A2298" r:id="rId4516"/>
    <hyperlink ref="A2299" r:id="rId4517"/>
    <hyperlink ref="A2300" r:id="rId4518"/>
    <hyperlink ref="A2301" r:id="rId4519"/>
    <hyperlink ref="A2302" r:id="rId4520"/>
    <hyperlink ref="A2303" r:id="rId4521"/>
    <hyperlink ref="A2304" r:id="rId4522"/>
    <hyperlink ref="A2305" r:id="rId4523"/>
    <hyperlink ref="A2306" r:id="rId4524"/>
    <hyperlink ref="A2307" r:id="rId4525"/>
    <hyperlink ref="A2308" r:id="rId4526"/>
    <hyperlink ref="A2309" r:id="rId4527"/>
    <hyperlink ref="A2310" r:id="rId4528"/>
    <hyperlink ref="A2311" r:id="rId4529"/>
    <hyperlink ref="A2312" r:id="rId4530"/>
    <hyperlink ref="A2313" r:id="rId4531"/>
    <hyperlink ref="A2314" r:id="rId4532"/>
    <hyperlink ref="A2315" r:id="rId4533"/>
    <hyperlink ref="A2316" r:id="rId4534"/>
    <hyperlink ref="A2317" r:id="rId4535"/>
    <hyperlink ref="A2318" r:id="rId4536"/>
    <hyperlink ref="A2319" r:id="rId4537"/>
    <hyperlink ref="A2320" r:id="rId4538"/>
    <hyperlink ref="A2321" r:id="rId4539"/>
    <hyperlink ref="A2322" r:id="rId4540"/>
    <hyperlink ref="A2323" r:id="rId4541"/>
    <hyperlink ref="A2324" r:id="rId4542"/>
    <hyperlink ref="A2325" r:id="rId4543"/>
    <hyperlink ref="A2326" r:id="rId4544"/>
    <hyperlink ref="A2327" r:id="rId4545"/>
    <hyperlink ref="A2328" r:id="rId4546"/>
    <hyperlink ref="A2329" r:id="rId4547"/>
    <hyperlink ref="A2330" r:id="rId4548"/>
    <hyperlink ref="A2331" r:id="rId4549"/>
    <hyperlink ref="A2332" r:id="rId4550"/>
    <hyperlink ref="A2333" r:id="rId4551"/>
    <hyperlink ref="A2334" r:id="rId4552"/>
    <hyperlink ref="A2335" r:id="rId4553"/>
    <hyperlink ref="A2336" r:id="rId4554"/>
    <hyperlink ref="A2337" r:id="rId4555"/>
    <hyperlink ref="A2338" r:id="rId4556"/>
    <hyperlink ref="A2339" r:id="rId4557"/>
    <hyperlink ref="A2340" r:id="rId4558"/>
    <hyperlink ref="A2341" r:id="rId4559"/>
    <hyperlink ref="A2342" r:id="rId4560"/>
    <hyperlink ref="A2343" r:id="rId4561"/>
    <hyperlink ref="A2344" r:id="rId4562"/>
    <hyperlink ref="A2345" r:id="rId4563"/>
    <hyperlink ref="A2346" r:id="rId4564"/>
    <hyperlink ref="A2347" r:id="rId4565"/>
    <hyperlink ref="A2348" r:id="rId4566"/>
    <hyperlink ref="A2349" r:id="rId4567"/>
    <hyperlink ref="A2350" r:id="rId4568"/>
    <hyperlink ref="A2351" r:id="rId4569"/>
    <hyperlink ref="A2352" r:id="rId4570"/>
    <hyperlink ref="A2353" r:id="rId4571"/>
    <hyperlink ref="A2354" r:id="rId4572"/>
    <hyperlink ref="A2355" r:id="rId4573"/>
    <hyperlink ref="A2356" r:id="rId4574"/>
    <hyperlink ref="A2357" r:id="rId4575"/>
    <hyperlink ref="A2358" r:id="rId4576"/>
    <hyperlink ref="A2359" r:id="rId4577"/>
    <hyperlink ref="A2360" r:id="rId4578"/>
    <hyperlink ref="A2361" r:id="rId4579"/>
    <hyperlink ref="A2362" r:id="rId4580"/>
    <hyperlink ref="A2363" r:id="rId4581"/>
    <hyperlink ref="A2364" r:id="rId4582"/>
    <hyperlink ref="A2365" r:id="rId4583"/>
    <hyperlink ref="A2366" r:id="rId4584"/>
    <hyperlink ref="A2367" r:id="rId4585"/>
    <hyperlink ref="A2368" r:id="rId4586"/>
    <hyperlink ref="A2369" r:id="rId4587"/>
    <hyperlink ref="A2370" r:id="rId4588"/>
    <hyperlink ref="A2371" r:id="rId4589"/>
    <hyperlink ref="A2372" r:id="rId4590"/>
    <hyperlink ref="A2373" r:id="rId4591"/>
    <hyperlink ref="A2374" r:id="rId4592"/>
    <hyperlink ref="A2375" r:id="rId4593"/>
    <hyperlink ref="A2376" r:id="rId4594"/>
    <hyperlink ref="A2377" r:id="rId4595"/>
    <hyperlink ref="A2378" r:id="rId4596"/>
    <hyperlink ref="A2379" r:id="rId4597"/>
    <hyperlink ref="A2380" r:id="rId4598"/>
    <hyperlink ref="A2381" r:id="rId4599"/>
    <hyperlink ref="A2382" r:id="rId4600"/>
    <hyperlink ref="A2383" r:id="rId4601"/>
    <hyperlink ref="A2384" r:id="rId4602"/>
    <hyperlink ref="A2385" r:id="rId4603"/>
    <hyperlink ref="A2386" r:id="rId4604"/>
    <hyperlink ref="A2387" r:id="rId4605"/>
    <hyperlink ref="A2388" r:id="rId4606"/>
    <hyperlink ref="A2389" r:id="rId4607"/>
    <hyperlink ref="A2390" r:id="rId4608"/>
    <hyperlink ref="A2391" r:id="rId4609"/>
    <hyperlink ref="A2392" r:id="rId4610"/>
    <hyperlink ref="A2393" r:id="rId4611"/>
    <hyperlink ref="A2394" r:id="rId4612"/>
    <hyperlink ref="A2395" r:id="rId4613"/>
    <hyperlink ref="A2396" r:id="rId4614"/>
    <hyperlink ref="A2397" r:id="rId4615"/>
    <hyperlink ref="A2398" r:id="rId4616"/>
    <hyperlink ref="A2399" r:id="rId4617"/>
    <hyperlink ref="A2400" r:id="rId4618"/>
    <hyperlink ref="A2401" r:id="rId4619"/>
    <hyperlink ref="A2402" r:id="rId4620"/>
    <hyperlink ref="A2403" r:id="rId4621"/>
    <hyperlink ref="A2404" r:id="rId4622"/>
    <hyperlink ref="A2405" r:id="rId4623"/>
    <hyperlink ref="A2406" r:id="rId4624"/>
    <hyperlink ref="A2407" r:id="rId4625"/>
    <hyperlink ref="A2408" r:id="rId4626"/>
    <hyperlink ref="A2409" r:id="rId4627"/>
    <hyperlink ref="A2410" r:id="rId4628"/>
    <hyperlink ref="A2411" r:id="rId4629"/>
    <hyperlink ref="A2412" r:id="rId4630"/>
    <hyperlink ref="A2413" r:id="rId4631"/>
    <hyperlink ref="A2414" r:id="rId4632"/>
    <hyperlink ref="A2415" r:id="rId4633"/>
    <hyperlink ref="A2416" r:id="rId4634"/>
    <hyperlink ref="A2417" r:id="rId4635"/>
    <hyperlink ref="A2418" r:id="rId4636"/>
    <hyperlink ref="A2419" r:id="rId4637"/>
    <hyperlink ref="A2420" r:id="rId4638"/>
    <hyperlink ref="A2421" r:id="rId4639"/>
    <hyperlink ref="A2422" r:id="rId4640"/>
    <hyperlink ref="A2423" r:id="rId4641"/>
    <hyperlink ref="A2424" r:id="rId4642"/>
    <hyperlink ref="A2425" r:id="rId4643"/>
    <hyperlink ref="A2426" r:id="rId4644"/>
    <hyperlink ref="A2427" r:id="rId4645"/>
    <hyperlink ref="A2428" r:id="rId4646"/>
    <hyperlink ref="A2429" r:id="rId4647"/>
    <hyperlink ref="A2430" r:id="rId4648"/>
    <hyperlink ref="A2431" r:id="rId4649"/>
    <hyperlink ref="A2432" r:id="rId4650"/>
    <hyperlink ref="A2433" r:id="rId4651"/>
    <hyperlink ref="A2434" r:id="rId4652"/>
    <hyperlink ref="A2435" r:id="rId4653"/>
    <hyperlink ref="A2436" r:id="rId4654"/>
    <hyperlink ref="A2437" r:id="rId4655"/>
    <hyperlink ref="A2438" r:id="rId4656"/>
    <hyperlink ref="A2439" r:id="rId4657"/>
    <hyperlink ref="A2440" r:id="rId4658"/>
    <hyperlink ref="A2441" r:id="rId4659"/>
    <hyperlink ref="A2442" r:id="rId4660"/>
    <hyperlink ref="A2443" r:id="rId4661"/>
    <hyperlink ref="A2444" r:id="rId4662"/>
    <hyperlink ref="A2445" r:id="rId4663"/>
    <hyperlink ref="A2446" r:id="rId4664"/>
    <hyperlink ref="A2447" r:id="rId4665"/>
    <hyperlink ref="A2448" r:id="rId4666"/>
    <hyperlink ref="A2449" r:id="rId4667"/>
    <hyperlink ref="A2450" r:id="rId4668"/>
    <hyperlink ref="A2451" r:id="rId4669"/>
    <hyperlink ref="A2452" r:id="rId4670"/>
    <hyperlink ref="A2453" r:id="rId4671"/>
    <hyperlink ref="A2454" r:id="rId4672"/>
    <hyperlink ref="A2455" r:id="rId4673"/>
    <hyperlink ref="A2456" r:id="rId4674"/>
    <hyperlink ref="A2457" r:id="rId4675"/>
    <hyperlink ref="A2458" r:id="rId4676"/>
    <hyperlink ref="A2459" r:id="rId4677"/>
    <hyperlink ref="A2460" r:id="rId4678"/>
    <hyperlink ref="A2461" r:id="rId4679"/>
    <hyperlink ref="A2462" r:id="rId4680"/>
    <hyperlink ref="A2463" r:id="rId4681"/>
    <hyperlink ref="A2464" r:id="rId4682"/>
    <hyperlink ref="A2465" r:id="rId4683"/>
    <hyperlink ref="A2466" r:id="rId4684"/>
    <hyperlink ref="A2467" r:id="rId4685"/>
    <hyperlink ref="A2468" r:id="rId4686"/>
    <hyperlink ref="A2469" r:id="rId4687"/>
    <hyperlink ref="A2470" r:id="rId4688"/>
    <hyperlink ref="A2471" r:id="rId4689"/>
    <hyperlink ref="A2472" r:id="rId4690"/>
    <hyperlink ref="A2473" r:id="rId4691"/>
    <hyperlink ref="A2474" r:id="rId4692"/>
    <hyperlink ref="A2475" r:id="rId4693"/>
    <hyperlink ref="A2476" r:id="rId4694"/>
    <hyperlink ref="A2477" r:id="rId4695"/>
    <hyperlink ref="A2478" r:id="rId4696"/>
    <hyperlink ref="A2479" r:id="rId4697"/>
    <hyperlink ref="A2480" r:id="rId4698"/>
    <hyperlink ref="A2481" r:id="rId4699"/>
    <hyperlink ref="A2482" r:id="rId4700"/>
    <hyperlink ref="A2483" r:id="rId4701"/>
    <hyperlink ref="A2484" r:id="rId4702"/>
    <hyperlink ref="A2485" r:id="rId4703"/>
    <hyperlink ref="A2486" r:id="rId4704"/>
    <hyperlink ref="A2487" r:id="rId4705"/>
    <hyperlink ref="A2488" r:id="rId4706"/>
    <hyperlink ref="A2489" r:id="rId4707"/>
    <hyperlink ref="A2490" r:id="rId4708"/>
    <hyperlink ref="A2491" r:id="rId4709"/>
    <hyperlink ref="A2492" r:id="rId4710"/>
    <hyperlink ref="A2493" r:id="rId4711"/>
    <hyperlink ref="A2494" r:id="rId4712"/>
    <hyperlink ref="A2495" r:id="rId4713"/>
    <hyperlink ref="A2496" r:id="rId4714"/>
    <hyperlink ref="A2497" r:id="rId4715"/>
    <hyperlink ref="A2498" r:id="rId4716"/>
    <hyperlink ref="A2499" r:id="rId4717"/>
    <hyperlink ref="A2500" r:id="rId4718"/>
    <hyperlink ref="A2501" r:id="rId4719"/>
    <hyperlink ref="A2502" r:id="rId4720"/>
    <hyperlink ref="A2503" r:id="rId4721"/>
    <hyperlink ref="A2504" r:id="rId4722"/>
    <hyperlink ref="A2505" r:id="rId4723"/>
    <hyperlink ref="A2506" r:id="rId4724"/>
    <hyperlink ref="A2507" r:id="rId4725"/>
    <hyperlink ref="A2508" r:id="rId4726"/>
    <hyperlink ref="A2509" r:id="rId4727"/>
    <hyperlink ref="A2510" r:id="rId4728"/>
    <hyperlink ref="A2511" r:id="rId4729"/>
    <hyperlink ref="A2512" r:id="rId4730"/>
    <hyperlink ref="A2513" r:id="rId4731"/>
    <hyperlink ref="A2514" r:id="rId4732"/>
    <hyperlink ref="A2515" r:id="rId4733"/>
    <hyperlink ref="A2516" r:id="rId4734"/>
    <hyperlink ref="A2517" r:id="rId4735"/>
    <hyperlink ref="A2518" r:id="rId4736"/>
    <hyperlink ref="A2519" r:id="rId4737"/>
    <hyperlink ref="A2520" r:id="rId4738"/>
    <hyperlink ref="A2521" r:id="rId4739"/>
    <hyperlink ref="A2522" r:id="rId4740"/>
    <hyperlink ref="A2523" r:id="rId4741"/>
    <hyperlink ref="A2524" r:id="rId4742"/>
    <hyperlink ref="A2525" r:id="rId4743"/>
    <hyperlink ref="A2526" r:id="rId4744"/>
    <hyperlink ref="A2527" r:id="rId4745"/>
    <hyperlink ref="A2528" r:id="rId4746"/>
    <hyperlink ref="A2529" r:id="rId4747"/>
    <hyperlink ref="A2530" r:id="rId4748"/>
    <hyperlink ref="A2531" r:id="rId4749"/>
    <hyperlink ref="A2532" r:id="rId4750"/>
    <hyperlink ref="A2533" r:id="rId4751"/>
    <hyperlink ref="A2534" r:id="rId4752"/>
    <hyperlink ref="A2535" r:id="rId4753"/>
    <hyperlink ref="A2536" r:id="rId4754"/>
    <hyperlink ref="A2537" r:id="rId4755"/>
    <hyperlink ref="A2538" r:id="rId4756"/>
    <hyperlink ref="A2539" r:id="rId4757"/>
    <hyperlink ref="A2540" r:id="rId4758"/>
    <hyperlink ref="A2541" r:id="rId4759"/>
    <hyperlink ref="A2542" r:id="rId4760"/>
    <hyperlink ref="A2543" r:id="rId4761"/>
    <hyperlink ref="A2544" r:id="rId4762"/>
    <hyperlink ref="A2545" r:id="rId4763"/>
    <hyperlink ref="A2546" r:id="rId4764"/>
    <hyperlink ref="A2547" r:id="rId4765"/>
    <hyperlink ref="A2548" r:id="rId4766"/>
    <hyperlink ref="A2549" r:id="rId4767"/>
    <hyperlink ref="A2550" r:id="rId4768"/>
    <hyperlink ref="A2551" r:id="rId4769"/>
    <hyperlink ref="A2552" r:id="rId4770"/>
    <hyperlink ref="A2553" r:id="rId4771"/>
    <hyperlink ref="A2554" r:id="rId4772"/>
    <hyperlink ref="A2555" r:id="rId4773"/>
    <hyperlink ref="A2556" r:id="rId4774"/>
    <hyperlink ref="A2557" r:id="rId4775"/>
    <hyperlink ref="A2558" r:id="rId4776"/>
    <hyperlink ref="A2559" r:id="rId4777"/>
    <hyperlink ref="A2560" r:id="rId4778"/>
    <hyperlink ref="A2561" r:id="rId4779"/>
    <hyperlink ref="A2562" r:id="rId4780"/>
    <hyperlink ref="A2563" r:id="rId4781"/>
    <hyperlink ref="A2564" r:id="rId4782"/>
    <hyperlink ref="A2565" r:id="rId4783"/>
    <hyperlink ref="A2566" r:id="rId4784"/>
    <hyperlink ref="A2567" r:id="rId4785"/>
    <hyperlink ref="A2568" r:id="rId4786"/>
    <hyperlink ref="A2569" r:id="rId4787"/>
    <hyperlink ref="A2570" r:id="rId4788"/>
    <hyperlink ref="A2571" r:id="rId4789"/>
    <hyperlink ref="A2572" r:id="rId4790"/>
    <hyperlink ref="A2573" r:id="rId4791"/>
    <hyperlink ref="A2574" r:id="rId4792"/>
    <hyperlink ref="A2575" r:id="rId4793"/>
    <hyperlink ref="A2576" r:id="rId4794"/>
    <hyperlink ref="A2577" r:id="rId4795"/>
    <hyperlink ref="A2578" r:id="rId4796"/>
    <hyperlink ref="A2579" r:id="rId4797"/>
    <hyperlink ref="A2580" r:id="rId4798"/>
    <hyperlink ref="A2581" r:id="rId4799"/>
    <hyperlink ref="A2582" r:id="rId4800"/>
    <hyperlink ref="A2583" r:id="rId4801"/>
    <hyperlink ref="A2584" r:id="rId4802"/>
    <hyperlink ref="A2585" r:id="rId4803"/>
    <hyperlink ref="A2586" r:id="rId4804"/>
    <hyperlink ref="A2587" r:id="rId4805"/>
    <hyperlink ref="A2588" r:id="rId4806"/>
    <hyperlink ref="A2589" r:id="rId4807"/>
    <hyperlink ref="A2590" r:id="rId4808"/>
    <hyperlink ref="A2591" r:id="rId4809"/>
    <hyperlink ref="A2592" r:id="rId4810"/>
    <hyperlink ref="A2593" r:id="rId4811"/>
    <hyperlink ref="A2594" r:id="rId4812"/>
    <hyperlink ref="A2595" r:id="rId4813"/>
    <hyperlink ref="A2596" r:id="rId4814"/>
    <hyperlink ref="A2597" r:id="rId4815"/>
    <hyperlink ref="A2598" r:id="rId4816"/>
    <hyperlink ref="A2599" r:id="rId4817"/>
    <hyperlink ref="A2600" r:id="rId4818"/>
    <hyperlink ref="A2601" r:id="rId4819"/>
    <hyperlink ref="A2602" r:id="rId4820"/>
    <hyperlink ref="A2603" r:id="rId4821"/>
    <hyperlink ref="A2604" r:id="rId4822"/>
    <hyperlink ref="A2605" r:id="rId4823"/>
    <hyperlink ref="A2606" r:id="rId4824"/>
    <hyperlink ref="A2607" r:id="rId4825"/>
    <hyperlink ref="A2608" r:id="rId4826"/>
    <hyperlink ref="A2609" r:id="rId4827"/>
    <hyperlink ref="A2610" r:id="rId4828"/>
    <hyperlink ref="A2611" r:id="rId4829"/>
    <hyperlink ref="A2612" r:id="rId4830"/>
    <hyperlink ref="A2613" r:id="rId4831"/>
    <hyperlink ref="A2614" r:id="rId4832"/>
    <hyperlink ref="A2615" r:id="rId4833"/>
    <hyperlink ref="A2616" r:id="rId4834"/>
    <hyperlink ref="A2617" r:id="rId4835"/>
    <hyperlink ref="A2618" r:id="rId4836"/>
    <hyperlink ref="A2619" r:id="rId4837"/>
    <hyperlink ref="A2620" r:id="rId4838"/>
    <hyperlink ref="A2621" r:id="rId4839"/>
    <hyperlink ref="A2622" r:id="rId4840"/>
    <hyperlink ref="A2623" r:id="rId4841"/>
    <hyperlink ref="A2624" r:id="rId4842"/>
    <hyperlink ref="A2625" r:id="rId4843"/>
    <hyperlink ref="A2626" r:id="rId4844"/>
    <hyperlink ref="A2627" r:id="rId4845"/>
    <hyperlink ref="A2628" r:id="rId4846"/>
    <hyperlink ref="A2629" r:id="rId4847"/>
    <hyperlink ref="A2630" r:id="rId4848"/>
    <hyperlink ref="A2631" r:id="rId4849"/>
    <hyperlink ref="A2632" r:id="rId4850"/>
    <hyperlink ref="A2633" r:id="rId4851"/>
    <hyperlink ref="A2634" r:id="rId4852"/>
    <hyperlink ref="A2635" r:id="rId4853"/>
    <hyperlink ref="A2636" r:id="rId4854"/>
    <hyperlink ref="A2637" r:id="rId4855"/>
    <hyperlink ref="A2638" r:id="rId4856"/>
    <hyperlink ref="A2639" r:id="rId4857"/>
    <hyperlink ref="A2640" r:id="rId4858"/>
    <hyperlink ref="A2641" r:id="rId4859"/>
    <hyperlink ref="A2642" r:id="rId4860"/>
    <hyperlink ref="A2643" r:id="rId4861"/>
    <hyperlink ref="A2644" r:id="rId4862"/>
    <hyperlink ref="A2645" r:id="rId4863"/>
    <hyperlink ref="A2646" r:id="rId4864"/>
    <hyperlink ref="A2647" r:id="rId4865"/>
    <hyperlink ref="A2648" r:id="rId4866"/>
    <hyperlink ref="A2649" r:id="rId4867"/>
    <hyperlink ref="A2650" r:id="rId4868"/>
    <hyperlink ref="A2651" r:id="rId4869"/>
    <hyperlink ref="A2652" r:id="rId4870"/>
    <hyperlink ref="A2653" r:id="rId4871"/>
    <hyperlink ref="A2654" r:id="rId4872"/>
    <hyperlink ref="A2655" r:id="rId4873"/>
    <hyperlink ref="A2656" r:id="rId4874"/>
    <hyperlink ref="A2657" r:id="rId4875"/>
    <hyperlink ref="A2658" r:id="rId4876"/>
    <hyperlink ref="A2659" r:id="rId4877"/>
    <hyperlink ref="A2660" r:id="rId4878"/>
    <hyperlink ref="A2661" r:id="rId4879"/>
    <hyperlink ref="A2662" r:id="rId4880"/>
    <hyperlink ref="A2663" r:id="rId4881"/>
    <hyperlink ref="A2664" r:id="rId4882"/>
    <hyperlink ref="A2665" r:id="rId4883"/>
    <hyperlink ref="A2666" r:id="rId4884"/>
    <hyperlink ref="A2667" r:id="rId4885"/>
    <hyperlink ref="A2668" r:id="rId4886"/>
    <hyperlink ref="A2669" r:id="rId4887"/>
    <hyperlink ref="A2670" r:id="rId4888"/>
    <hyperlink ref="A2671" r:id="rId4889"/>
    <hyperlink ref="A2672" r:id="rId4890"/>
    <hyperlink ref="A2673" r:id="rId4891"/>
    <hyperlink ref="A2674" r:id="rId4892"/>
    <hyperlink ref="A2675" r:id="rId4893"/>
    <hyperlink ref="A2676" r:id="rId4894"/>
    <hyperlink ref="A2677" r:id="rId4895"/>
    <hyperlink ref="A2678" r:id="rId4896"/>
    <hyperlink ref="A2679" r:id="rId4897"/>
    <hyperlink ref="A2680" r:id="rId4898"/>
    <hyperlink ref="A2681" r:id="rId4899"/>
    <hyperlink ref="A2682" r:id="rId4900"/>
    <hyperlink ref="A2683" r:id="rId4901"/>
    <hyperlink ref="A2684" r:id="rId4902"/>
    <hyperlink ref="A2685" r:id="rId4903"/>
    <hyperlink ref="A2686" r:id="rId4904"/>
    <hyperlink ref="A2687" r:id="rId4905"/>
    <hyperlink ref="A2688" r:id="rId4906"/>
    <hyperlink ref="A2689" r:id="rId4907"/>
    <hyperlink ref="A2690" r:id="rId4908"/>
    <hyperlink ref="A2691" r:id="rId4909"/>
    <hyperlink ref="A2692" r:id="rId4910"/>
    <hyperlink ref="A2693" r:id="rId4911"/>
    <hyperlink ref="A2694" r:id="rId4912"/>
    <hyperlink ref="A2695" r:id="rId4913"/>
    <hyperlink ref="A2696" r:id="rId4914"/>
    <hyperlink ref="A2697" r:id="rId4915"/>
    <hyperlink ref="A2698" r:id="rId4916"/>
    <hyperlink ref="A2699" r:id="rId4917"/>
    <hyperlink ref="A2700" r:id="rId4918"/>
    <hyperlink ref="A2701" r:id="rId4919"/>
    <hyperlink ref="A2702" r:id="rId4920"/>
    <hyperlink ref="A2703" r:id="rId4921"/>
    <hyperlink ref="A2704" r:id="rId4922"/>
    <hyperlink ref="A2705" r:id="rId4923"/>
    <hyperlink ref="A2706" r:id="rId4924"/>
    <hyperlink ref="A2707" r:id="rId4925"/>
    <hyperlink ref="A2708" r:id="rId4926"/>
    <hyperlink ref="A2709" r:id="rId4927"/>
    <hyperlink ref="A2710" r:id="rId4928"/>
    <hyperlink ref="A2711" r:id="rId4929"/>
    <hyperlink ref="A2712" r:id="rId4930"/>
    <hyperlink ref="A2713" r:id="rId4931"/>
    <hyperlink ref="A2714" r:id="rId4932"/>
    <hyperlink ref="A2715" r:id="rId4933"/>
    <hyperlink ref="A2716" r:id="rId4934"/>
    <hyperlink ref="A2717" r:id="rId4935"/>
    <hyperlink ref="A2718" r:id="rId4936"/>
    <hyperlink ref="A2719" r:id="rId4937"/>
    <hyperlink ref="A2720" r:id="rId4938"/>
    <hyperlink ref="A2721" r:id="rId4939"/>
    <hyperlink ref="A2722" r:id="rId4940"/>
    <hyperlink ref="A2723" r:id="rId4941"/>
    <hyperlink ref="A2724" r:id="rId4942"/>
    <hyperlink ref="A2725" r:id="rId4943"/>
    <hyperlink ref="A2726" r:id="rId4944"/>
    <hyperlink ref="A2727" r:id="rId4945"/>
    <hyperlink ref="A2728" r:id="rId4946"/>
    <hyperlink ref="A2729" r:id="rId4947"/>
    <hyperlink ref="A2730" r:id="rId4948"/>
    <hyperlink ref="A2731" r:id="rId4949"/>
    <hyperlink ref="A2732" r:id="rId4950"/>
    <hyperlink ref="A2733" r:id="rId4951"/>
    <hyperlink ref="A2734" r:id="rId4952"/>
    <hyperlink ref="A2735" r:id="rId4953"/>
    <hyperlink ref="A2736" r:id="rId4954"/>
    <hyperlink ref="A2737" r:id="rId4955"/>
    <hyperlink ref="A2738" r:id="rId4956"/>
    <hyperlink ref="A2739" r:id="rId4957"/>
    <hyperlink ref="A2740" r:id="rId4958"/>
    <hyperlink ref="A2741" r:id="rId4959"/>
    <hyperlink ref="A2742" r:id="rId4960"/>
    <hyperlink ref="A2743" r:id="rId4961"/>
    <hyperlink ref="A2744" r:id="rId4962"/>
    <hyperlink ref="A2745" r:id="rId4963"/>
    <hyperlink ref="A2746" r:id="rId4964"/>
    <hyperlink ref="A2747" r:id="rId4965"/>
    <hyperlink ref="A2748" r:id="rId4966"/>
    <hyperlink ref="A2749" r:id="rId4967"/>
    <hyperlink ref="A2750" r:id="rId4968"/>
    <hyperlink ref="A2751" r:id="rId4969"/>
    <hyperlink ref="A2752" r:id="rId4970"/>
    <hyperlink ref="A2753" r:id="rId4971"/>
    <hyperlink ref="A2754" r:id="rId4972"/>
    <hyperlink ref="A2755" r:id="rId4973"/>
    <hyperlink ref="A2756" r:id="rId4974"/>
    <hyperlink ref="A2757" r:id="rId4975"/>
    <hyperlink ref="A2758" r:id="rId4976"/>
    <hyperlink ref="A2759" r:id="rId4977"/>
    <hyperlink ref="A2760" r:id="rId4978"/>
    <hyperlink ref="A2761" r:id="rId4979"/>
    <hyperlink ref="A2762" r:id="rId4980"/>
    <hyperlink ref="A2763" r:id="rId4981"/>
    <hyperlink ref="A2764" r:id="rId4982"/>
    <hyperlink ref="A2765" r:id="rId4983"/>
    <hyperlink ref="A2766" r:id="rId4984"/>
    <hyperlink ref="A2767" r:id="rId4985"/>
    <hyperlink ref="A2768" r:id="rId4986"/>
    <hyperlink ref="A2769" r:id="rId4987"/>
    <hyperlink ref="A2770" r:id="rId4988"/>
    <hyperlink ref="A2771" r:id="rId4989"/>
    <hyperlink ref="A2772" r:id="rId4990"/>
    <hyperlink ref="A2773" r:id="rId4991"/>
    <hyperlink ref="A2774" r:id="rId4992"/>
    <hyperlink ref="A2775" r:id="rId4993"/>
    <hyperlink ref="A2776" r:id="rId4994"/>
    <hyperlink ref="A2777" r:id="rId4995"/>
    <hyperlink ref="A2778" r:id="rId4996"/>
    <hyperlink ref="A2779" r:id="rId4997"/>
    <hyperlink ref="A2780" r:id="rId4998"/>
    <hyperlink ref="A2781" r:id="rId4999"/>
    <hyperlink ref="A2782" r:id="rId5000"/>
    <hyperlink ref="A2783" r:id="rId5001"/>
    <hyperlink ref="A2784" r:id="rId5002"/>
    <hyperlink ref="A2785" r:id="rId5003"/>
    <hyperlink ref="A2786" r:id="rId5004"/>
    <hyperlink ref="A2787" r:id="rId5005"/>
    <hyperlink ref="A2788" r:id="rId5006"/>
    <hyperlink ref="A2789" r:id="rId5007"/>
    <hyperlink ref="A2790" r:id="rId5008"/>
    <hyperlink ref="A2791" r:id="rId5009"/>
    <hyperlink ref="A2792" r:id="rId5010"/>
    <hyperlink ref="A2793" r:id="rId5011"/>
    <hyperlink ref="A2794" r:id="rId5012"/>
    <hyperlink ref="A2795" r:id="rId5013"/>
    <hyperlink ref="A2796" r:id="rId5014"/>
    <hyperlink ref="A2797" r:id="rId5015"/>
    <hyperlink ref="A2798" r:id="rId5016"/>
    <hyperlink ref="A2799" r:id="rId5017"/>
    <hyperlink ref="A2800" r:id="rId5018"/>
    <hyperlink ref="A2801" r:id="rId5019"/>
    <hyperlink ref="A2802" r:id="rId5020"/>
    <hyperlink ref="A2803" r:id="rId5021"/>
    <hyperlink ref="A2804" r:id="rId5022"/>
    <hyperlink ref="A2805" r:id="rId5023"/>
    <hyperlink ref="A2806" r:id="rId5024"/>
    <hyperlink ref="A2807" r:id="rId5025"/>
    <hyperlink ref="A2808" r:id="rId5026"/>
    <hyperlink ref="A2809" r:id="rId5027"/>
    <hyperlink ref="A2810" r:id="rId5028"/>
    <hyperlink ref="A2811" r:id="rId5029"/>
    <hyperlink ref="A2812" r:id="rId5030"/>
    <hyperlink ref="A2813" r:id="rId5031"/>
    <hyperlink ref="A2814" r:id="rId5032"/>
    <hyperlink ref="A2815" r:id="rId5033"/>
    <hyperlink ref="A2816" r:id="rId5034"/>
    <hyperlink ref="A2817" r:id="rId5035"/>
    <hyperlink ref="A2818" r:id="rId5036"/>
    <hyperlink ref="A2819" r:id="rId5037"/>
    <hyperlink ref="A2820" r:id="rId5038"/>
    <hyperlink ref="A2821" r:id="rId5039"/>
    <hyperlink ref="A2822" r:id="rId5040"/>
    <hyperlink ref="A2823" r:id="rId5041"/>
    <hyperlink ref="A2824" r:id="rId5042"/>
    <hyperlink ref="A2825" r:id="rId5043"/>
    <hyperlink ref="A2826" r:id="rId5044"/>
    <hyperlink ref="A2827" r:id="rId5045"/>
    <hyperlink ref="A2828" r:id="rId5046"/>
    <hyperlink ref="A2829" r:id="rId5047"/>
    <hyperlink ref="A2830" r:id="rId5048"/>
    <hyperlink ref="A2831" r:id="rId5049"/>
    <hyperlink ref="A2832" r:id="rId5050"/>
    <hyperlink ref="A2833" r:id="rId5051"/>
    <hyperlink ref="A2834" r:id="rId5052"/>
    <hyperlink ref="A2835" r:id="rId5053"/>
    <hyperlink ref="A2836" r:id="rId5054"/>
    <hyperlink ref="A2837" r:id="rId5055"/>
    <hyperlink ref="A2838" r:id="rId5056"/>
    <hyperlink ref="A2839" r:id="rId5057"/>
    <hyperlink ref="A2840" r:id="rId5058"/>
    <hyperlink ref="A2841" r:id="rId5059"/>
    <hyperlink ref="A2842" r:id="rId5060"/>
    <hyperlink ref="A2843" r:id="rId5061"/>
    <hyperlink ref="A2844" r:id="rId5062"/>
    <hyperlink ref="A2845" r:id="rId5063"/>
    <hyperlink ref="A2846" r:id="rId5064"/>
    <hyperlink ref="A2847" r:id="rId5065"/>
    <hyperlink ref="A2848" r:id="rId5066"/>
    <hyperlink ref="A2849" r:id="rId5067"/>
    <hyperlink ref="A2850" r:id="rId5068"/>
    <hyperlink ref="A2851" r:id="rId5069"/>
    <hyperlink ref="A2852" r:id="rId5070"/>
    <hyperlink ref="A2853" r:id="rId5071"/>
    <hyperlink ref="A2854" r:id="rId5072"/>
    <hyperlink ref="A2855" r:id="rId5073"/>
    <hyperlink ref="A2856" r:id="rId5074"/>
    <hyperlink ref="A2857" r:id="rId5075"/>
    <hyperlink ref="A2858" r:id="rId5076"/>
    <hyperlink ref="A2859" r:id="rId5077"/>
    <hyperlink ref="A2860" r:id="rId5078"/>
    <hyperlink ref="A2861" r:id="rId5079"/>
    <hyperlink ref="A2862" r:id="rId5080"/>
    <hyperlink ref="A2863" r:id="rId5081"/>
    <hyperlink ref="A2864" r:id="rId5082"/>
    <hyperlink ref="A2865" r:id="rId5083"/>
    <hyperlink ref="A2866" r:id="rId5084"/>
    <hyperlink ref="A2867" r:id="rId5085"/>
    <hyperlink ref="A2868" r:id="rId5086"/>
    <hyperlink ref="A2869" r:id="rId5087"/>
    <hyperlink ref="A2870" r:id="rId5088"/>
    <hyperlink ref="A2871" r:id="rId5089"/>
    <hyperlink ref="A2872" r:id="rId5090"/>
    <hyperlink ref="A2873" r:id="rId5091"/>
    <hyperlink ref="A2874" r:id="rId5092"/>
    <hyperlink ref="A2875" r:id="rId5093"/>
    <hyperlink ref="A2876" r:id="rId5094"/>
    <hyperlink ref="A2877" r:id="rId5095"/>
    <hyperlink ref="A2878" r:id="rId5096"/>
    <hyperlink ref="A2879" r:id="rId5097"/>
    <hyperlink ref="A2880" r:id="rId5098"/>
    <hyperlink ref="A2881" r:id="rId5099"/>
    <hyperlink ref="A2882" r:id="rId5100"/>
    <hyperlink ref="A2883" r:id="rId5101"/>
    <hyperlink ref="A2884" r:id="rId5102"/>
    <hyperlink ref="A2885" r:id="rId5103"/>
    <hyperlink ref="A2886" r:id="rId5104"/>
    <hyperlink ref="A2887" r:id="rId5105"/>
    <hyperlink ref="A2888" r:id="rId5106"/>
    <hyperlink ref="A2889" r:id="rId5107"/>
    <hyperlink ref="A2890" r:id="rId5108"/>
    <hyperlink ref="A2891" r:id="rId5109"/>
    <hyperlink ref="A2892" r:id="rId5110"/>
    <hyperlink ref="A2893" r:id="rId5111"/>
    <hyperlink ref="A2894" r:id="rId5112"/>
    <hyperlink ref="A2895" r:id="rId5113"/>
    <hyperlink ref="A2896" r:id="rId5114"/>
    <hyperlink ref="A2897" r:id="rId5115"/>
    <hyperlink ref="A2898" r:id="rId5116"/>
    <hyperlink ref="A2899" r:id="rId5117"/>
    <hyperlink ref="A2900" r:id="rId5118"/>
    <hyperlink ref="A2901" r:id="rId5119"/>
    <hyperlink ref="A2902" r:id="rId5120"/>
    <hyperlink ref="A2903" r:id="rId5121"/>
    <hyperlink ref="A2904" r:id="rId5122"/>
    <hyperlink ref="A2905" r:id="rId5123"/>
    <hyperlink ref="A2906" r:id="rId5124"/>
    <hyperlink ref="A2907" r:id="rId5125"/>
    <hyperlink ref="A2908" r:id="rId5126"/>
    <hyperlink ref="A2909" r:id="rId5127"/>
    <hyperlink ref="A2910" r:id="rId5128"/>
    <hyperlink ref="A2911" r:id="rId5129"/>
    <hyperlink ref="A2912" r:id="rId5130"/>
    <hyperlink ref="A2913" r:id="rId5131"/>
    <hyperlink ref="A2914" r:id="rId5132"/>
    <hyperlink ref="A2915" r:id="rId5133"/>
    <hyperlink ref="A2916" r:id="rId5134"/>
    <hyperlink ref="A2917" r:id="rId5135"/>
    <hyperlink ref="A2918" r:id="rId5136"/>
    <hyperlink ref="A2919" r:id="rId5137"/>
    <hyperlink ref="A2920" r:id="rId5138"/>
    <hyperlink ref="A2921" r:id="rId5139"/>
    <hyperlink ref="A2922" r:id="rId5140"/>
    <hyperlink ref="A2923" r:id="rId5141"/>
    <hyperlink ref="A2924" r:id="rId5142"/>
    <hyperlink ref="A2925" r:id="rId5143"/>
    <hyperlink ref="A2926" r:id="rId5144"/>
    <hyperlink ref="A2927" r:id="rId5145"/>
    <hyperlink ref="A2928" r:id="rId5146"/>
    <hyperlink ref="A2929" r:id="rId5147"/>
    <hyperlink ref="A2930" r:id="rId5148"/>
    <hyperlink ref="A2931" r:id="rId5149"/>
    <hyperlink ref="A2932" r:id="rId5150"/>
    <hyperlink ref="A2933" r:id="rId5151"/>
    <hyperlink ref="A2934" r:id="rId5152"/>
    <hyperlink ref="A2935" r:id="rId5153"/>
    <hyperlink ref="A2936" r:id="rId5154"/>
    <hyperlink ref="A2937" r:id="rId5155"/>
    <hyperlink ref="A2938" r:id="rId5156"/>
    <hyperlink ref="A2939" r:id="rId5157"/>
    <hyperlink ref="A2940" r:id="rId5158"/>
    <hyperlink ref="A2941" r:id="rId5159"/>
    <hyperlink ref="A2942" r:id="rId5160"/>
    <hyperlink ref="A2943" r:id="rId5161"/>
    <hyperlink ref="A2944" r:id="rId5162"/>
    <hyperlink ref="A2945" r:id="rId5163"/>
    <hyperlink ref="A2946" r:id="rId5164"/>
    <hyperlink ref="A2947" r:id="rId5165"/>
    <hyperlink ref="A2948" r:id="rId5166"/>
    <hyperlink ref="A2949" r:id="rId5167"/>
    <hyperlink ref="A2950" r:id="rId5168"/>
    <hyperlink ref="A2951" r:id="rId5169"/>
    <hyperlink ref="A2952" r:id="rId5170"/>
    <hyperlink ref="A2953" r:id="rId5171"/>
    <hyperlink ref="A2954" r:id="rId5172"/>
    <hyperlink ref="A2955" r:id="rId5173"/>
    <hyperlink ref="A2956" r:id="rId5174"/>
    <hyperlink ref="A2957" r:id="rId5175"/>
    <hyperlink ref="A2958" r:id="rId5176"/>
    <hyperlink ref="A2959" r:id="rId5177"/>
    <hyperlink ref="A2960" r:id="rId5178"/>
    <hyperlink ref="A2961" r:id="rId5179"/>
    <hyperlink ref="A2962" r:id="rId5180"/>
    <hyperlink ref="A2963" r:id="rId5181"/>
    <hyperlink ref="A2964" r:id="rId5182"/>
    <hyperlink ref="A2965" r:id="rId5183"/>
    <hyperlink ref="A2966" r:id="rId5184"/>
    <hyperlink ref="A2967" r:id="rId5185"/>
    <hyperlink ref="A2968" r:id="rId5186"/>
    <hyperlink ref="A2969" r:id="rId5187"/>
    <hyperlink ref="A2970" r:id="rId5188"/>
    <hyperlink ref="A2971" r:id="rId5189"/>
    <hyperlink ref="A2972" r:id="rId5190"/>
    <hyperlink ref="A2973" r:id="rId5191"/>
    <hyperlink ref="A2974" r:id="rId5192"/>
    <hyperlink ref="A2975" r:id="rId5193"/>
    <hyperlink ref="A2976" r:id="rId5194"/>
    <hyperlink ref="A2977" r:id="rId5195"/>
    <hyperlink ref="A2978" r:id="rId5196"/>
    <hyperlink ref="A2979" r:id="rId5197"/>
    <hyperlink ref="A2980" r:id="rId5198"/>
    <hyperlink ref="A2981" r:id="rId5199"/>
    <hyperlink ref="A2982" r:id="rId5200"/>
    <hyperlink ref="A2983" r:id="rId5201"/>
    <hyperlink ref="A2984" r:id="rId5202"/>
    <hyperlink ref="A2985" r:id="rId5203"/>
    <hyperlink ref="A2986" r:id="rId5204"/>
    <hyperlink ref="A2987" r:id="rId5205"/>
    <hyperlink ref="A2988" r:id="rId5206"/>
    <hyperlink ref="A2989" r:id="rId5207"/>
    <hyperlink ref="A2990" r:id="rId5208"/>
    <hyperlink ref="A2991" r:id="rId5209"/>
    <hyperlink ref="A2992" r:id="rId5210"/>
    <hyperlink ref="A2993" r:id="rId5211"/>
    <hyperlink ref="A2994" r:id="rId5212"/>
    <hyperlink ref="A2995" r:id="rId5213"/>
    <hyperlink ref="A2996" r:id="rId5214"/>
    <hyperlink ref="A2997" r:id="rId5215"/>
    <hyperlink ref="A2998" r:id="rId5216"/>
    <hyperlink ref="A2999" r:id="rId5217"/>
    <hyperlink ref="A3000" r:id="rId5218"/>
    <hyperlink ref="A3001" r:id="rId5219"/>
    <hyperlink ref="A3002" r:id="rId5220"/>
    <hyperlink ref="A3003" r:id="rId5221"/>
    <hyperlink ref="A3004" r:id="rId5222"/>
    <hyperlink ref="A3005" r:id="rId5223"/>
    <hyperlink ref="A3006" r:id="rId5224"/>
    <hyperlink ref="A3007" r:id="rId5225"/>
    <hyperlink ref="A3008" r:id="rId5226"/>
    <hyperlink ref="A3009" r:id="rId5227"/>
    <hyperlink ref="A3010" r:id="rId5228"/>
    <hyperlink ref="A3011" r:id="rId5229"/>
    <hyperlink ref="A3012" r:id="rId5230"/>
    <hyperlink ref="A3013" r:id="rId5231"/>
    <hyperlink ref="A3014" r:id="rId5232"/>
    <hyperlink ref="A3015" r:id="rId5233"/>
    <hyperlink ref="A3016" r:id="rId5234"/>
    <hyperlink ref="A3017" r:id="rId5235"/>
    <hyperlink ref="A3018" r:id="rId5236"/>
    <hyperlink ref="A3019" r:id="rId5237"/>
    <hyperlink ref="A3020" r:id="rId5238"/>
    <hyperlink ref="A3021" r:id="rId5239"/>
    <hyperlink ref="A3022" r:id="rId5240"/>
    <hyperlink ref="A3023" r:id="rId5241"/>
    <hyperlink ref="A3024" r:id="rId5242"/>
    <hyperlink ref="A3025" r:id="rId5243"/>
    <hyperlink ref="A3026" r:id="rId5244"/>
    <hyperlink ref="A3027" r:id="rId5245"/>
    <hyperlink ref="A3028" r:id="rId5246"/>
    <hyperlink ref="A3029" r:id="rId5247"/>
    <hyperlink ref="A3030" r:id="rId5248"/>
    <hyperlink ref="A3031" r:id="rId5249"/>
    <hyperlink ref="A3032" r:id="rId5250"/>
    <hyperlink ref="A3033" r:id="rId5251"/>
    <hyperlink ref="A3034" r:id="rId5252"/>
    <hyperlink ref="A3035" r:id="rId5253"/>
    <hyperlink ref="A3036" r:id="rId5254"/>
    <hyperlink ref="A3037" r:id="rId5255"/>
    <hyperlink ref="A3038" r:id="rId5256"/>
    <hyperlink ref="A3039" r:id="rId5257"/>
    <hyperlink ref="A3040" r:id="rId5258"/>
    <hyperlink ref="A3041" r:id="rId5259"/>
    <hyperlink ref="A3042" r:id="rId5260"/>
    <hyperlink ref="A3043" r:id="rId5261"/>
    <hyperlink ref="A3044" r:id="rId5262"/>
    <hyperlink ref="A3045" r:id="rId5263"/>
    <hyperlink ref="A3046" r:id="rId5264"/>
    <hyperlink ref="A3047" r:id="rId5265"/>
    <hyperlink ref="A3048" r:id="rId5266"/>
    <hyperlink ref="A3049" r:id="rId5267"/>
    <hyperlink ref="A3050" r:id="rId5268"/>
    <hyperlink ref="A3051" r:id="rId5269"/>
    <hyperlink ref="A3052" r:id="rId5270"/>
    <hyperlink ref="A3053" r:id="rId5271"/>
    <hyperlink ref="A3054" r:id="rId5272"/>
    <hyperlink ref="A3055" r:id="rId5273"/>
    <hyperlink ref="A3056" r:id="rId5274"/>
    <hyperlink ref="A3057" r:id="rId5275"/>
    <hyperlink ref="A3058" r:id="rId5276"/>
    <hyperlink ref="A3059" r:id="rId5277"/>
    <hyperlink ref="A3060" r:id="rId5278"/>
    <hyperlink ref="A3061" r:id="rId5279"/>
    <hyperlink ref="A3062" r:id="rId5280"/>
    <hyperlink ref="A3063" r:id="rId5281"/>
    <hyperlink ref="A3064" r:id="rId5282"/>
    <hyperlink ref="A3065" r:id="rId5283"/>
    <hyperlink ref="A3066" r:id="rId5284"/>
    <hyperlink ref="A3067" r:id="rId5285"/>
    <hyperlink ref="A3068" r:id="rId5286"/>
    <hyperlink ref="A3069" r:id="rId5287"/>
    <hyperlink ref="A3070" r:id="rId5288"/>
    <hyperlink ref="A3071" r:id="rId5289"/>
    <hyperlink ref="A3072" r:id="rId5290"/>
    <hyperlink ref="A3073" r:id="rId5291"/>
    <hyperlink ref="A3074" r:id="rId5292"/>
    <hyperlink ref="A3075" r:id="rId5293"/>
    <hyperlink ref="A3076" r:id="rId5294"/>
    <hyperlink ref="A3077" r:id="rId5295"/>
    <hyperlink ref="A3078" r:id="rId5296"/>
    <hyperlink ref="A3079" r:id="rId5297"/>
    <hyperlink ref="A3080" r:id="rId5298"/>
    <hyperlink ref="A3081" r:id="rId5299"/>
    <hyperlink ref="A3082" r:id="rId5300"/>
    <hyperlink ref="A3083" r:id="rId5301"/>
    <hyperlink ref="A3084" r:id="rId5302"/>
    <hyperlink ref="A3085" r:id="rId5303"/>
    <hyperlink ref="A3086" r:id="rId5304"/>
    <hyperlink ref="A3087" r:id="rId5305"/>
    <hyperlink ref="A3088" r:id="rId5306"/>
    <hyperlink ref="A3089" r:id="rId5307"/>
    <hyperlink ref="A3090" r:id="rId5308"/>
    <hyperlink ref="A3091" r:id="rId5309"/>
    <hyperlink ref="A3092" r:id="rId5310"/>
    <hyperlink ref="A3093" r:id="rId5311"/>
    <hyperlink ref="A3094" r:id="rId5312"/>
    <hyperlink ref="A3095" r:id="rId5313"/>
    <hyperlink ref="A3096" r:id="rId5314"/>
    <hyperlink ref="A3097" r:id="rId5315"/>
    <hyperlink ref="A3098" r:id="rId5316"/>
    <hyperlink ref="A3099" r:id="rId5317"/>
    <hyperlink ref="A3100" r:id="rId5318"/>
    <hyperlink ref="A3101" r:id="rId5319"/>
    <hyperlink ref="A3102" r:id="rId5320"/>
    <hyperlink ref="A3103" r:id="rId5321"/>
    <hyperlink ref="A3104" r:id="rId5322"/>
    <hyperlink ref="A3105" r:id="rId5323"/>
    <hyperlink ref="A3106" r:id="rId5324"/>
    <hyperlink ref="A3107" r:id="rId5325"/>
    <hyperlink ref="A3108" r:id="rId5326"/>
    <hyperlink ref="A3109" r:id="rId5327"/>
    <hyperlink ref="A3110" r:id="rId5328"/>
    <hyperlink ref="A3111" r:id="rId5329"/>
    <hyperlink ref="A3112" r:id="rId5330"/>
    <hyperlink ref="A3113" r:id="rId5331"/>
    <hyperlink ref="A3114" r:id="rId5332"/>
    <hyperlink ref="A3115" r:id="rId5333"/>
    <hyperlink ref="A3116" r:id="rId5334"/>
    <hyperlink ref="A3117" r:id="rId5335"/>
    <hyperlink ref="A3118" r:id="rId5336"/>
    <hyperlink ref="A3119" r:id="rId5337"/>
    <hyperlink ref="A3120" r:id="rId5338"/>
    <hyperlink ref="A3121" r:id="rId5339"/>
    <hyperlink ref="A3122" r:id="rId5340"/>
    <hyperlink ref="A3123" r:id="rId5341"/>
    <hyperlink ref="A3124" r:id="rId5342"/>
    <hyperlink ref="A3125" r:id="rId5343"/>
    <hyperlink ref="A3126" r:id="rId5344"/>
    <hyperlink ref="A3127" r:id="rId5345"/>
    <hyperlink ref="A3128" r:id="rId5346"/>
    <hyperlink ref="A3129" r:id="rId5347"/>
    <hyperlink ref="A3130" r:id="rId5348"/>
    <hyperlink ref="A3131" r:id="rId5349"/>
    <hyperlink ref="A3132" r:id="rId5350"/>
    <hyperlink ref="A3133" r:id="rId5351"/>
    <hyperlink ref="A3134" r:id="rId5352"/>
    <hyperlink ref="A3135" r:id="rId5353"/>
    <hyperlink ref="A3136" r:id="rId5354"/>
    <hyperlink ref="A3137" r:id="rId5355"/>
    <hyperlink ref="A3138" r:id="rId5356"/>
    <hyperlink ref="A3139" r:id="rId5357"/>
    <hyperlink ref="A3140" r:id="rId5358"/>
    <hyperlink ref="A3141" r:id="rId5359"/>
    <hyperlink ref="A3142" r:id="rId5360"/>
    <hyperlink ref="A3143" r:id="rId5361"/>
    <hyperlink ref="A3144" r:id="rId5362"/>
    <hyperlink ref="A3145" r:id="rId5363"/>
    <hyperlink ref="A3146" r:id="rId5364"/>
    <hyperlink ref="A3147" r:id="rId5365"/>
    <hyperlink ref="A3148" r:id="rId5366"/>
    <hyperlink ref="A3149" r:id="rId5367"/>
    <hyperlink ref="A3150" r:id="rId5368"/>
    <hyperlink ref="A3151" r:id="rId5369"/>
    <hyperlink ref="A3152" r:id="rId5370"/>
    <hyperlink ref="A3153" r:id="rId5371"/>
    <hyperlink ref="A3154" r:id="rId5372"/>
    <hyperlink ref="A3155" r:id="rId5373"/>
    <hyperlink ref="A3156" r:id="rId5374"/>
    <hyperlink ref="A3157" r:id="rId5375"/>
    <hyperlink ref="A3158" r:id="rId5376"/>
    <hyperlink ref="A3159" r:id="rId5377"/>
    <hyperlink ref="A3160" r:id="rId5378"/>
    <hyperlink ref="A3161" r:id="rId5379"/>
    <hyperlink ref="A3162" r:id="rId5380"/>
    <hyperlink ref="A3163" r:id="rId5381"/>
    <hyperlink ref="A3164" r:id="rId5382"/>
    <hyperlink ref="A3165" r:id="rId5383"/>
    <hyperlink ref="A3166" r:id="rId5384"/>
    <hyperlink ref="A3167" r:id="rId5385"/>
    <hyperlink ref="A3168" r:id="rId5386"/>
    <hyperlink ref="A3169" r:id="rId5387"/>
    <hyperlink ref="A3170" r:id="rId5388"/>
    <hyperlink ref="A3171" r:id="rId5389"/>
    <hyperlink ref="A3172" r:id="rId5390"/>
    <hyperlink ref="A3173" r:id="rId5391"/>
    <hyperlink ref="A3174" r:id="rId5392"/>
    <hyperlink ref="A3175" r:id="rId5393"/>
    <hyperlink ref="A3176" r:id="rId5394"/>
    <hyperlink ref="A3177" r:id="rId5395"/>
    <hyperlink ref="A3178" r:id="rId5396"/>
    <hyperlink ref="A3179" r:id="rId5397"/>
    <hyperlink ref="A3180" r:id="rId5398"/>
    <hyperlink ref="A3181" r:id="rId5399"/>
    <hyperlink ref="A3182" r:id="rId5400"/>
    <hyperlink ref="A3183" r:id="rId5401"/>
    <hyperlink ref="A3184" r:id="rId5402"/>
    <hyperlink ref="A3185" r:id="rId5403"/>
    <hyperlink ref="A3186" r:id="rId5404"/>
    <hyperlink ref="A3187" r:id="rId5405"/>
    <hyperlink ref="A3188" r:id="rId5406"/>
    <hyperlink ref="A3189" r:id="rId5407"/>
    <hyperlink ref="A3190" r:id="rId5408"/>
    <hyperlink ref="A3191" r:id="rId5409"/>
    <hyperlink ref="A3192" r:id="rId5410"/>
    <hyperlink ref="A3193" r:id="rId5411"/>
    <hyperlink ref="A3194" r:id="rId5412"/>
    <hyperlink ref="A3195" r:id="rId5413"/>
    <hyperlink ref="A3196" r:id="rId5414"/>
    <hyperlink ref="A3197" r:id="rId5415"/>
    <hyperlink ref="A3198" r:id="rId5416"/>
    <hyperlink ref="A3199" r:id="rId5417"/>
    <hyperlink ref="A3200" r:id="rId5418"/>
    <hyperlink ref="A3201" r:id="rId5419"/>
    <hyperlink ref="A3202" r:id="rId5420"/>
    <hyperlink ref="A3203" r:id="rId5421"/>
    <hyperlink ref="A3204" r:id="rId5422"/>
    <hyperlink ref="A3205" r:id="rId5423"/>
    <hyperlink ref="A3206" r:id="rId5424"/>
    <hyperlink ref="A3207" r:id="rId5425"/>
    <hyperlink ref="A3208" r:id="rId5426"/>
    <hyperlink ref="A3209" r:id="rId5427"/>
    <hyperlink ref="A3210" r:id="rId5428"/>
    <hyperlink ref="A3211" r:id="rId5429"/>
    <hyperlink ref="A3212" r:id="rId5430"/>
    <hyperlink ref="A3213" r:id="rId5431"/>
    <hyperlink ref="A3214" r:id="rId5432"/>
    <hyperlink ref="A3215" r:id="rId5433"/>
    <hyperlink ref="A3216" r:id="rId5434"/>
    <hyperlink ref="A3217" r:id="rId5435"/>
    <hyperlink ref="A3218" r:id="rId5436"/>
    <hyperlink ref="A3219" r:id="rId5437"/>
    <hyperlink ref="A3220" r:id="rId5438"/>
    <hyperlink ref="A3221" r:id="rId5439"/>
    <hyperlink ref="A3222" r:id="rId5440"/>
    <hyperlink ref="A3223" r:id="rId5441"/>
    <hyperlink ref="A3224" r:id="rId5442"/>
    <hyperlink ref="A3225" r:id="rId5443"/>
    <hyperlink ref="A3226" r:id="rId5444"/>
    <hyperlink ref="A3227" r:id="rId5445"/>
    <hyperlink ref="A3228" r:id="rId5446"/>
    <hyperlink ref="A3229" r:id="rId5447"/>
    <hyperlink ref="A3230" r:id="rId5448"/>
    <hyperlink ref="A3231" r:id="rId5449"/>
    <hyperlink ref="A3232" r:id="rId5450"/>
    <hyperlink ref="A3233" r:id="rId5451"/>
    <hyperlink ref="A3234" r:id="rId5452"/>
    <hyperlink ref="A3235" r:id="rId5453"/>
    <hyperlink ref="A3236" r:id="rId5454"/>
    <hyperlink ref="A3237" r:id="rId5455"/>
    <hyperlink ref="A3238" r:id="rId5456"/>
    <hyperlink ref="A3239" r:id="rId5457"/>
    <hyperlink ref="A3240" r:id="rId5458"/>
    <hyperlink ref="A3241" r:id="rId5459"/>
    <hyperlink ref="A3242" r:id="rId5460"/>
    <hyperlink ref="A3243" r:id="rId5461"/>
    <hyperlink ref="A3244" r:id="rId5462"/>
    <hyperlink ref="A3245" r:id="rId5463"/>
    <hyperlink ref="A3246" r:id="rId5464"/>
    <hyperlink ref="A3247" r:id="rId5465"/>
    <hyperlink ref="A3248" r:id="rId5466"/>
    <hyperlink ref="A3249" r:id="rId5467"/>
    <hyperlink ref="A3250" r:id="rId5468"/>
    <hyperlink ref="A3251" r:id="rId5469"/>
    <hyperlink ref="A3252" r:id="rId5470"/>
    <hyperlink ref="A3253" r:id="rId5471"/>
    <hyperlink ref="A3254" r:id="rId5472"/>
    <hyperlink ref="A3255" r:id="rId5473"/>
    <hyperlink ref="A3256" r:id="rId5474"/>
    <hyperlink ref="A3257" r:id="rId5475"/>
    <hyperlink ref="A3258" r:id="rId5476"/>
    <hyperlink ref="A3259" r:id="rId5477"/>
    <hyperlink ref="A3260" r:id="rId5478"/>
    <hyperlink ref="A3261" r:id="rId5479"/>
    <hyperlink ref="A3262" r:id="rId5480"/>
    <hyperlink ref="A3263" r:id="rId5481"/>
    <hyperlink ref="A3264" r:id="rId5482"/>
    <hyperlink ref="A3265" r:id="rId5483"/>
    <hyperlink ref="A3266" r:id="rId5484"/>
    <hyperlink ref="A3267" r:id="rId5485"/>
    <hyperlink ref="A3268" r:id="rId5486"/>
    <hyperlink ref="A3269" r:id="rId5487"/>
    <hyperlink ref="A3270" r:id="rId5488"/>
    <hyperlink ref="A3271" r:id="rId5489"/>
    <hyperlink ref="A3272" r:id="rId5490"/>
    <hyperlink ref="A3273" r:id="rId5491"/>
    <hyperlink ref="A3274" r:id="rId5492"/>
    <hyperlink ref="A3275" r:id="rId5493"/>
    <hyperlink ref="A3276" r:id="rId5494"/>
    <hyperlink ref="A3277" r:id="rId5495"/>
    <hyperlink ref="A3278" r:id="rId5496"/>
    <hyperlink ref="A3279" r:id="rId5497"/>
    <hyperlink ref="A3280" r:id="rId5498"/>
    <hyperlink ref="A3281" r:id="rId5499"/>
    <hyperlink ref="A3282" r:id="rId5500"/>
    <hyperlink ref="A3283" r:id="rId5501"/>
    <hyperlink ref="A3284" r:id="rId5502"/>
    <hyperlink ref="A3285" r:id="rId5503"/>
    <hyperlink ref="A3286" r:id="rId5504"/>
    <hyperlink ref="A3287" r:id="rId5505"/>
    <hyperlink ref="A3288" r:id="rId5506"/>
    <hyperlink ref="A3289" r:id="rId5507"/>
    <hyperlink ref="A3290" r:id="rId5508"/>
    <hyperlink ref="A3291" r:id="rId5509"/>
    <hyperlink ref="A3292" r:id="rId5510"/>
    <hyperlink ref="A3293" r:id="rId5511"/>
    <hyperlink ref="A3294" r:id="rId5512"/>
    <hyperlink ref="A3295" r:id="rId5513"/>
    <hyperlink ref="A3296" r:id="rId5514"/>
    <hyperlink ref="A3297" r:id="rId5515"/>
    <hyperlink ref="A3298" r:id="rId5516"/>
    <hyperlink ref="A3299" r:id="rId5517"/>
    <hyperlink ref="A3300" r:id="rId5518"/>
    <hyperlink ref="A3301" r:id="rId5519"/>
    <hyperlink ref="A3302" r:id="rId5520"/>
    <hyperlink ref="A3303" r:id="rId5521"/>
    <hyperlink ref="A3304" r:id="rId5522"/>
    <hyperlink ref="A3305" r:id="rId5523"/>
    <hyperlink ref="A3306" r:id="rId5524"/>
    <hyperlink ref="A3307" r:id="rId5525"/>
    <hyperlink ref="A3308" r:id="rId5526"/>
    <hyperlink ref="A3309" r:id="rId5527"/>
    <hyperlink ref="A3310" r:id="rId5528"/>
    <hyperlink ref="A3311" r:id="rId5529"/>
    <hyperlink ref="A3312" r:id="rId5530"/>
    <hyperlink ref="A3313" r:id="rId5531"/>
    <hyperlink ref="A3314" r:id="rId5532"/>
    <hyperlink ref="A3315" r:id="rId5533"/>
    <hyperlink ref="A3316" r:id="rId5534"/>
    <hyperlink ref="A3317" r:id="rId5535"/>
    <hyperlink ref="A3318" r:id="rId5536"/>
    <hyperlink ref="A3319" r:id="rId5537"/>
    <hyperlink ref="A3320" r:id="rId5538"/>
    <hyperlink ref="A3321" r:id="rId5539"/>
    <hyperlink ref="A3322" r:id="rId5540"/>
    <hyperlink ref="A3323" r:id="rId5541"/>
    <hyperlink ref="A3324" r:id="rId5542"/>
    <hyperlink ref="A3325" r:id="rId5543"/>
    <hyperlink ref="A3326" r:id="rId5544"/>
    <hyperlink ref="A3327" r:id="rId5545"/>
    <hyperlink ref="A3328" r:id="rId5546"/>
    <hyperlink ref="A3329" r:id="rId5547"/>
    <hyperlink ref="A3330" r:id="rId5548"/>
    <hyperlink ref="A3331" r:id="rId5549"/>
    <hyperlink ref="A3332" r:id="rId5550"/>
    <hyperlink ref="A3333" r:id="rId5551"/>
    <hyperlink ref="A3334" r:id="rId5552"/>
    <hyperlink ref="A3335" r:id="rId5553"/>
    <hyperlink ref="A3336" r:id="rId5554"/>
    <hyperlink ref="A3337" r:id="rId5555"/>
    <hyperlink ref="A3338" r:id="rId5556"/>
    <hyperlink ref="A3339" r:id="rId5557"/>
    <hyperlink ref="A3340" r:id="rId5558"/>
    <hyperlink ref="A3341" r:id="rId5559"/>
    <hyperlink ref="A3342" r:id="rId5560"/>
    <hyperlink ref="A3343" r:id="rId5561"/>
    <hyperlink ref="A3344" r:id="rId5562"/>
    <hyperlink ref="A3345" r:id="rId5563"/>
    <hyperlink ref="A3346" r:id="rId5564"/>
    <hyperlink ref="A3347" r:id="rId5565"/>
    <hyperlink ref="A3348" r:id="rId5566"/>
    <hyperlink ref="A3349" r:id="rId5567"/>
    <hyperlink ref="A3350" r:id="rId5568"/>
    <hyperlink ref="A3351" r:id="rId5569"/>
    <hyperlink ref="A3352" r:id="rId5570"/>
    <hyperlink ref="A3353" r:id="rId5571"/>
    <hyperlink ref="A3354" r:id="rId5572"/>
    <hyperlink ref="A3355" r:id="rId5573"/>
    <hyperlink ref="A3356" r:id="rId5574"/>
    <hyperlink ref="A3357" r:id="rId5575"/>
    <hyperlink ref="A3358" r:id="rId5576"/>
    <hyperlink ref="A3359" r:id="rId5577"/>
    <hyperlink ref="A3360" r:id="rId5578"/>
    <hyperlink ref="A3361" r:id="rId5579"/>
    <hyperlink ref="A3362" r:id="rId5580"/>
    <hyperlink ref="A3363" r:id="rId5581"/>
    <hyperlink ref="A3364" r:id="rId5582"/>
    <hyperlink ref="A3365" r:id="rId5583"/>
    <hyperlink ref="A3366" r:id="rId5584"/>
    <hyperlink ref="A3367" r:id="rId5585"/>
    <hyperlink ref="A3368" r:id="rId5586"/>
    <hyperlink ref="A3369" r:id="rId5587"/>
    <hyperlink ref="A3370" r:id="rId5588"/>
    <hyperlink ref="A3371" r:id="rId5589"/>
    <hyperlink ref="A3372" r:id="rId5590"/>
    <hyperlink ref="A3373" r:id="rId5591"/>
    <hyperlink ref="A3374" r:id="rId5592"/>
    <hyperlink ref="A3375" r:id="rId5593"/>
    <hyperlink ref="A3376" r:id="rId5594"/>
    <hyperlink ref="A3377" r:id="rId5595"/>
    <hyperlink ref="A3378" r:id="rId5596"/>
    <hyperlink ref="A3379" r:id="rId5597"/>
    <hyperlink ref="A3380" r:id="rId5598"/>
    <hyperlink ref="A3381" r:id="rId5599"/>
    <hyperlink ref="A3382" r:id="rId5600"/>
    <hyperlink ref="A3383" r:id="rId5601"/>
    <hyperlink ref="A3384" r:id="rId5602"/>
    <hyperlink ref="A3385" r:id="rId5603"/>
    <hyperlink ref="A3386" r:id="rId5604"/>
    <hyperlink ref="A3387" r:id="rId5605"/>
    <hyperlink ref="A3388" r:id="rId5606"/>
    <hyperlink ref="A3389" r:id="rId5607"/>
    <hyperlink ref="A3390" r:id="rId5608"/>
    <hyperlink ref="A3391" r:id="rId5609"/>
    <hyperlink ref="A3392" r:id="rId5610"/>
    <hyperlink ref="A3393" r:id="rId5611"/>
    <hyperlink ref="A3394" r:id="rId5612"/>
    <hyperlink ref="A3395" r:id="rId5613"/>
    <hyperlink ref="A3396" r:id="rId5614"/>
    <hyperlink ref="A3397" r:id="rId5615"/>
    <hyperlink ref="A3398" r:id="rId5616"/>
    <hyperlink ref="A3399" r:id="rId5617"/>
    <hyperlink ref="A3400" r:id="rId5618"/>
    <hyperlink ref="A3401" r:id="rId5619"/>
    <hyperlink ref="A3402" r:id="rId5620"/>
    <hyperlink ref="A3403" r:id="rId5621"/>
    <hyperlink ref="A3404" r:id="rId5622"/>
    <hyperlink ref="A3405" r:id="rId5623"/>
    <hyperlink ref="A3406" r:id="rId5624"/>
    <hyperlink ref="A3407" r:id="rId5625"/>
    <hyperlink ref="A3408" r:id="rId5626"/>
    <hyperlink ref="A3409" r:id="rId5627"/>
    <hyperlink ref="A3410" r:id="rId5628"/>
    <hyperlink ref="A3411" r:id="rId5629"/>
    <hyperlink ref="A3412" r:id="rId5630"/>
    <hyperlink ref="A3413" r:id="rId5631"/>
    <hyperlink ref="A3414" r:id="rId5632"/>
    <hyperlink ref="A3415" r:id="rId5633"/>
    <hyperlink ref="A3416" r:id="rId5634"/>
    <hyperlink ref="A3417" r:id="rId5635"/>
    <hyperlink ref="A3418" r:id="rId5636"/>
    <hyperlink ref="A3419" r:id="rId5637"/>
    <hyperlink ref="A3420" r:id="rId5638"/>
    <hyperlink ref="A3421" r:id="rId5639"/>
    <hyperlink ref="A3422" r:id="rId5640"/>
    <hyperlink ref="A3423" r:id="rId5641"/>
    <hyperlink ref="A3424" r:id="rId5642"/>
    <hyperlink ref="A3425" r:id="rId5643"/>
    <hyperlink ref="A3426" r:id="rId5644"/>
    <hyperlink ref="A3427" r:id="rId5645"/>
    <hyperlink ref="A3428" r:id="rId5646"/>
    <hyperlink ref="A3429" r:id="rId5647"/>
    <hyperlink ref="A3430" r:id="rId5648"/>
    <hyperlink ref="A3431" r:id="rId5649"/>
    <hyperlink ref="A3432" r:id="rId5650"/>
    <hyperlink ref="A3433" r:id="rId5651"/>
    <hyperlink ref="A3434" r:id="rId5652"/>
    <hyperlink ref="A3435" r:id="rId5653"/>
    <hyperlink ref="A3436" r:id="rId5654"/>
    <hyperlink ref="A3437" r:id="rId5655"/>
    <hyperlink ref="A3438" r:id="rId5656"/>
    <hyperlink ref="A3439" r:id="rId5657"/>
    <hyperlink ref="A3440" r:id="rId5658"/>
    <hyperlink ref="A3441" r:id="rId5659"/>
    <hyperlink ref="A3442" r:id="rId5660"/>
    <hyperlink ref="A3443" r:id="rId5661"/>
    <hyperlink ref="A3444" r:id="rId5662"/>
    <hyperlink ref="A3445" r:id="rId5663"/>
    <hyperlink ref="A3446" r:id="rId5664"/>
    <hyperlink ref="A3447" r:id="rId5665"/>
    <hyperlink ref="A3448" r:id="rId5666"/>
    <hyperlink ref="A3449" r:id="rId5667"/>
    <hyperlink ref="A3450" r:id="rId5668"/>
    <hyperlink ref="A3451" r:id="rId5669"/>
    <hyperlink ref="A3452" r:id="rId5670"/>
    <hyperlink ref="A3453" r:id="rId5671"/>
    <hyperlink ref="A3454" r:id="rId5672"/>
    <hyperlink ref="A3455" r:id="rId5673"/>
    <hyperlink ref="A3456" r:id="rId5674"/>
    <hyperlink ref="A3457" r:id="rId5675"/>
    <hyperlink ref="A3458" r:id="rId5676"/>
    <hyperlink ref="A3459" r:id="rId5677"/>
    <hyperlink ref="A3460" r:id="rId5678"/>
    <hyperlink ref="A3461" r:id="rId5679"/>
    <hyperlink ref="A3462" r:id="rId5680"/>
    <hyperlink ref="A3463" r:id="rId5681"/>
    <hyperlink ref="A3464" r:id="rId5682"/>
    <hyperlink ref="A3465" r:id="rId5683"/>
    <hyperlink ref="A3466" r:id="rId5684"/>
    <hyperlink ref="A3467" r:id="rId5685"/>
    <hyperlink ref="A3468" r:id="rId5686"/>
    <hyperlink ref="A3469" r:id="rId5687"/>
    <hyperlink ref="A3470" r:id="rId5688"/>
    <hyperlink ref="A3471" r:id="rId5689"/>
    <hyperlink ref="A3472" r:id="rId5690"/>
    <hyperlink ref="A3473" r:id="rId5691"/>
    <hyperlink ref="A3474" r:id="rId5692"/>
    <hyperlink ref="A3475" r:id="rId5693"/>
    <hyperlink ref="A3476" r:id="rId5694"/>
    <hyperlink ref="A3477" r:id="rId5695"/>
    <hyperlink ref="A3478" r:id="rId5696"/>
    <hyperlink ref="A3479" r:id="rId5697"/>
    <hyperlink ref="A3480" r:id="rId5698"/>
    <hyperlink ref="A3481" r:id="rId5699"/>
    <hyperlink ref="A3482" r:id="rId5700"/>
    <hyperlink ref="A3483" r:id="rId5701"/>
    <hyperlink ref="A3484" r:id="rId5702"/>
    <hyperlink ref="A3485" r:id="rId5703"/>
    <hyperlink ref="A3486" r:id="rId5704"/>
    <hyperlink ref="A3487" r:id="rId5705"/>
    <hyperlink ref="A3488" r:id="rId5706"/>
    <hyperlink ref="A3489" r:id="rId5707"/>
    <hyperlink ref="A3490" r:id="rId5708"/>
    <hyperlink ref="A3491" r:id="rId5709"/>
    <hyperlink ref="A3492" r:id="rId5710"/>
    <hyperlink ref="A3493" r:id="rId5711"/>
    <hyperlink ref="A3494" r:id="rId5712"/>
    <hyperlink ref="A3495" r:id="rId5713"/>
    <hyperlink ref="A3496" r:id="rId5714"/>
    <hyperlink ref="A3497" r:id="rId5715"/>
    <hyperlink ref="A3498" r:id="rId5716"/>
    <hyperlink ref="A3499" r:id="rId5717"/>
    <hyperlink ref="A3500" r:id="rId5718"/>
    <hyperlink ref="A3501" r:id="rId5719"/>
    <hyperlink ref="A3502" r:id="rId5720"/>
    <hyperlink ref="A3503" r:id="rId5721"/>
    <hyperlink ref="A3504" r:id="rId5722"/>
    <hyperlink ref="A3505" r:id="rId5723"/>
    <hyperlink ref="A3506" r:id="rId5724"/>
    <hyperlink ref="A3507" r:id="rId5725"/>
    <hyperlink ref="A3508" r:id="rId5726"/>
    <hyperlink ref="A3509" r:id="rId5727"/>
    <hyperlink ref="A3510" r:id="rId5728"/>
    <hyperlink ref="A3511" r:id="rId5729"/>
    <hyperlink ref="A3512" r:id="rId5730"/>
    <hyperlink ref="A3513" r:id="rId5731"/>
    <hyperlink ref="A3514" r:id="rId5732"/>
    <hyperlink ref="A3515" r:id="rId5733"/>
    <hyperlink ref="A3516" r:id="rId5734"/>
    <hyperlink ref="A3517" r:id="rId5735"/>
    <hyperlink ref="A3518" r:id="rId5736"/>
    <hyperlink ref="A3519" r:id="rId5737"/>
    <hyperlink ref="A3520" r:id="rId5738"/>
    <hyperlink ref="A3521" r:id="rId5739"/>
    <hyperlink ref="A3522" r:id="rId5740"/>
    <hyperlink ref="A3523" r:id="rId5741"/>
    <hyperlink ref="A3524" r:id="rId5742"/>
    <hyperlink ref="A3525" r:id="rId5743"/>
    <hyperlink ref="A3526" r:id="rId5744"/>
    <hyperlink ref="A3527" r:id="rId5745"/>
    <hyperlink ref="A3528" r:id="rId5746"/>
    <hyperlink ref="A3529" r:id="rId5747"/>
    <hyperlink ref="A3530" r:id="rId5748"/>
    <hyperlink ref="A3531" r:id="rId5749"/>
    <hyperlink ref="A3532" r:id="rId5750"/>
    <hyperlink ref="A3533" r:id="rId5751"/>
    <hyperlink ref="A3534" r:id="rId5752"/>
    <hyperlink ref="A3535" r:id="rId5753"/>
    <hyperlink ref="A3536" r:id="rId5754"/>
    <hyperlink ref="A3537" r:id="rId5755"/>
    <hyperlink ref="A3538" r:id="rId5756"/>
    <hyperlink ref="A3539" r:id="rId5757"/>
    <hyperlink ref="A3540" r:id="rId5758"/>
    <hyperlink ref="A3541" r:id="rId5759"/>
    <hyperlink ref="A3542" r:id="rId5760"/>
    <hyperlink ref="A3543" r:id="rId5761"/>
    <hyperlink ref="A3544" r:id="rId5762"/>
    <hyperlink ref="A3545" r:id="rId5763"/>
    <hyperlink ref="A3546" r:id="rId5764"/>
    <hyperlink ref="A3547" r:id="rId5765"/>
    <hyperlink ref="A3548" r:id="rId5766"/>
    <hyperlink ref="A3549" r:id="rId5767"/>
    <hyperlink ref="A3550" r:id="rId5768"/>
    <hyperlink ref="A3551" r:id="rId5769"/>
    <hyperlink ref="A3552" r:id="rId5770"/>
    <hyperlink ref="A3553" r:id="rId5771"/>
    <hyperlink ref="A3554" r:id="rId5772"/>
    <hyperlink ref="A3555" r:id="rId5773"/>
    <hyperlink ref="A3556" r:id="rId5774"/>
    <hyperlink ref="A3557" r:id="rId5775"/>
    <hyperlink ref="A3558" r:id="rId5776"/>
    <hyperlink ref="A3559" r:id="rId5777"/>
    <hyperlink ref="A3560" r:id="rId5778"/>
    <hyperlink ref="A3561" r:id="rId5779"/>
    <hyperlink ref="A3562" r:id="rId5780"/>
    <hyperlink ref="A3563" r:id="rId5781"/>
    <hyperlink ref="A3564" r:id="rId5782"/>
    <hyperlink ref="A3565" r:id="rId5783"/>
    <hyperlink ref="A3566" r:id="rId5784"/>
    <hyperlink ref="A3567" r:id="rId5785"/>
    <hyperlink ref="A3568" r:id="rId5786"/>
    <hyperlink ref="A3569" r:id="rId5787"/>
    <hyperlink ref="A3570" r:id="rId5788"/>
    <hyperlink ref="A3571" r:id="rId5789"/>
    <hyperlink ref="A3572" r:id="rId5790"/>
    <hyperlink ref="A3573" r:id="rId5791"/>
    <hyperlink ref="A3574" r:id="rId5792"/>
    <hyperlink ref="A3575" r:id="rId5793"/>
    <hyperlink ref="A3576" r:id="rId5794"/>
    <hyperlink ref="A3577" r:id="rId5795"/>
    <hyperlink ref="A3578" r:id="rId5796"/>
    <hyperlink ref="A3579" r:id="rId5797"/>
    <hyperlink ref="A3580" r:id="rId5798"/>
    <hyperlink ref="A3581" r:id="rId5799"/>
    <hyperlink ref="A3582" r:id="rId5800"/>
    <hyperlink ref="A3583" r:id="rId5801"/>
    <hyperlink ref="A3584" r:id="rId5802"/>
    <hyperlink ref="A3585" r:id="rId5803"/>
    <hyperlink ref="A3586" r:id="rId5804"/>
    <hyperlink ref="A3587" r:id="rId5805"/>
    <hyperlink ref="A3588" r:id="rId5806"/>
    <hyperlink ref="A3589" r:id="rId5807"/>
    <hyperlink ref="A3590" r:id="rId5808"/>
    <hyperlink ref="A3591" r:id="rId5809"/>
    <hyperlink ref="A3592" r:id="rId5810"/>
    <hyperlink ref="A3593" r:id="rId5811"/>
    <hyperlink ref="A3594" r:id="rId5812"/>
    <hyperlink ref="A3595" r:id="rId5813"/>
    <hyperlink ref="A3596" r:id="rId5814"/>
    <hyperlink ref="A3597" r:id="rId5815"/>
    <hyperlink ref="A3598" r:id="rId5816"/>
    <hyperlink ref="A3599" r:id="rId5817"/>
    <hyperlink ref="A3600" r:id="rId5818"/>
    <hyperlink ref="A3601" r:id="rId5819"/>
    <hyperlink ref="A3602" r:id="rId5820"/>
    <hyperlink ref="A3603" r:id="rId5821"/>
    <hyperlink ref="A3604" r:id="rId5822"/>
    <hyperlink ref="A3605" r:id="rId5823"/>
    <hyperlink ref="A3606" r:id="rId5824"/>
    <hyperlink ref="A3607" r:id="rId5825"/>
    <hyperlink ref="A3608" r:id="rId5826"/>
    <hyperlink ref="A3609" r:id="rId5827"/>
    <hyperlink ref="A3610" r:id="rId5828"/>
    <hyperlink ref="A3611" r:id="rId5829"/>
    <hyperlink ref="A3612" r:id="rId5830"/>
    <hyperlink ref="A3613" r:id="rId5831"/>
    <hyperlink ref="A3614" r:id="rId5832"/>
    <hyperlink ref="A3615" r:id="rId5833"/>
    <hyperlink ref="A3616" r:id="rId5834"/>
    <hyperlink ref="A3617" r:id="rId5835"/>
    <hyperlink ref="A3618" r:id="rId5836"/>
    <hyperlink ref="A3619" r:id="rId5837"/>
    <hyperlink ref="A3620" r:id="rId5838"/>
    <hyperlink ref="A3621" r:id="rId5839"/>
    <hyperlink ref="A3622" r:id="rId5840"/>
    <hyperlink ref="A3623" r:id="rId5841"/>
    <hyperlink ref="A3624" r:id="rId5842"/>
    <hyperlink ref="A3625" r:id="rId5843"/>
    <hyperlink ref="A3626" r:id="rId5844"/>
    <hyperlink ref="A3627" r:id="rId5845"/>
    <hyperlink ref="A3628" r:id="rId5846"/>
    <hyperlink ref="A3629" r:id="rId5847"/>
    <hyperlink ref="A3630" r:id="rId5848"/>
    <hyperlink ref="A3631" r:id="rId5849"/>
    <hyperlink ref="A3632" r:id="rId5850"/>
    <hyperlink ref="A3633" r:id="rId5851"/>
    <hyperlink ref="A3634" r:id="rId5852"/>
    <hyperlink ref="A3635" r:id="rId5853"/>
    <hyperlink ref="A3636" r:id="rId5854"/>
    <hyperlink ref="A3637" r:id="rId5855"/>
    <hyperlink ref="A3638" r:id="rId5856"/>
    <hyperlink ref="A3639" r:id="rId5857"/>
    <hyperlink ref="A3640" r:id="rId5858"/>
    <hyperlink ref="A3641" r:id="rId5859"/>
    <hyperlink ref="A3642" r:id="rId5860"/>
    <hyperlink ref="A3643" r:id="rId5861"/>
    <hyperlink ref="A3644" r:id="rId5862"/>
    <hyperlink ref="A3645" r:id="rId5863"/>
    <hyperlink ref="A3646" r:id="rId5864"/>
    <hyperlink ref="A3647" r:id="rId5865"/>
    <hyperlink ref="A3648" r:id="rId5866"/>
    <hyperlink ref="A3649" r:id="rId5867"/>
    <hyperlink ref="A3650" r:id="rId5868"/>
    <hyperlink ref="A3651" r:id="rId5869"/>
    <hyperlink ref="A3652" r:id="rId5870"/>
    <hyperlink ref="A3653" r:id="rId5871"/>
    <hyperlink ref="A3654" r:id="rId5872"/>
    <hyperlink ref="A3655" r:id="rId5873"/>
    <hyperlink ref="A3656" r:id="rId5874"/>
    <hyperlink ref="A3657" r:id="rId5875"/>
    <hyperlink ref="A3658" r:id="rId5876"/>
    <hyperlink ref="A3659" r:id="rId5877"/>
    <hyperlink ref="A3660" r:id="rId5878"/>
    <hyperlink ref="A3661" r:id="rId5879"/>
    <hyperlink ref="A3662" r:id="rId5880"/>
    <hyperlink ref="A3663" r:id="rId5881"/>
    <hyperlink ref="A3664" r:id="rId5882"/>
    <hyperlink ref="A3665" r:id="rId5883"/>
    <hyperlink ref="A3666" r:id="rId5884"/>
    <hyperlink ref="A3667" r:id="rId5885"/>
    <hyperlink ref="A3668" r:id="rId5886"/>
    <hyperlink ref="A3669" r:id="rId5887"/>
    <hyperlink ref="A3670" r:id="rId5888"/>
    <hyperlink ref="A3671" r:id="rId5889"/>
    <hyperlink ref="A3672" r:id="rId5890"/>
    <hyperlink ref="A3673" r:id="rId5891"/>
    <hyperlink ref="A3674" r:id="rId5892"/>
    <hyperlink ref="A3675" r:id="rId5893"/>
    <hyperlink ref="A3676" r:id="rId5894"/>
    <hyperlink ref="A3677" r:id="rId5895"/>
    <hyperlink ref="A3678" r:id="rId5896"/>
    <hyperlink ref="A3679" r:id="rId5897"/>
    <hyperlink ref="A3680" r:id="rId5898"/>
    <hyperlink ref="A3681" r:id="rId5899"/>
    <hyperlink ref="A3682" r:id="rId5900"/>
    <hyperlink ref="A3683" r:id="rId5901"/>
    <hyperlink ref="A3684" r:id="rId5902"/>
    <hyperlink ref="A3685" r:id="rId5903"/>
    <hyperlink ref="A3686" r:id="rId5904"/>
    <hyperlink ref="A3687" r:id="rId5905"/>
    <hyperlink ref="A3688" r:id="rId5906"/>
    <hyperlink ref="A3689" r:id="rId5907"/>
    <hyperlink ref="A3690" r:id="rId5908"/>
    <hyperlink ref="A3691" r:id="rId5909"/>
    <hyperlink ref="A3692" r:id="rId5910"/>
    <hyperlink ref="A3693" r:id="rId5911"/>
    <hyperlink ref="A3694" r:id="rId5912"/>
    <hyperlink ref="A3695" r:id="rId5913"/>
    <hyperlink ref="A3696" r:id="rId5914"/>
    <hyperlink ref="A3697" r:id="rId5915"/>
    <hyperlink ref="A3698" r:id="rId5916"/>
    <hyperlink ref="A3699" r:id="rId5917"/>
    <hyperlink ref="A3700" r:id="rId5918"/>
    <hyperlink ref="A3701" r:id="rId5919"/>
    <hyperlink ref="A3702" r:id="rId5920"/>
    <hyperlink ref="A3703" r:id="rId5921"/>
    <hyperlink ref="A3704" r:id="rId5922"/>
    <hyperlink ref="A3705" r:id="rId5923"/>
    <hyperlink ref="A3706" r:id="rId5924"/>
    <hyperlink ref="A3707" r:id="rId5925"/>
    <hyperlink ref="A3708" r:id="rId5926"/>
    <hyperlink ref="A3709" r:id="rId5927"/>
    <hyperlink ref="A3710" r:id="rId5928"/>
    <hyperlink ref="A3711" r:id="rId5929"/>
    <hyperlink ref="A3712" r:id="rId5930"/>
    <hyperlink ref="A3713" r:id="rId5931"/>
    <hyperlink ref="A3714" r:id="rId5932"/>
    <hyperlink ref="A3715" r:id="rId5933"/>
    <hyperlink ref="A3716" r:id="rId5934"/>
    <hyperlink ref="A3717" r:id="rId5935"/>
    <hyperlink ref="A3718" r:id="rId5936"/>
    <hyperlink ref="A3719" r:id="rId5937"/>
    <hyperlink ref="A3720" r:id="rId5938"/>
    <hyperlink ref="A3721" r:id="rId5939"/>
    <hyperlink ref="A3722" r:id="rId5940"/>
    <hyperlink ref="A3723" r:id="rId5941"/>
    <hyperlink ref="A3724" r:id="rId5942"/>
    <hyperlink ref="A3725" r:id="rId5943"/>
    <hyperlink ref="A3726" r:id="rId5944"/>
    <hyperlink ref="A3727" r:id="rId5945"/>
    <hyperlink ref="A3728" r:id="rId5946"/>
    <hyperlink ref="A3729" r:id="rId5947"/>
    <hyperlink ref="A3730" r:id="rId5948"/>
    <hyperlink ref="A3731" r:id="rId5949"/>
    <hyperlink ref="A3732" r:id="rId5950"/>
    <hyperlink ref="A3733" r:id="rId5951"/>
    <hyperlink ref="A3734" r:id="rId5952"/>
    <hyperlink ref="A3735" r:id="rId5953"/>
    <hyperlink ref="A3736" r:id="rId5954"/>
    <hyperlink ref="A3737" r:id="rId5955"/>
    <hyperlink ref="A3738" r:id="rId5956"/>
    <hyperlink ref="A3739" r:id="rId5957"/>
    <hyperlink ref="A3740" r:id="rId5958"/>
    <hyperlink ref="A3741" r:id="rId5959"/>
    <hyperlink ref="A3742" r:id="rId5960"/>
    <hyperlink ref="A3743" r:id="rId5961"/>
    <hyperlink ref="A3744" r:id="rId5962"/>
    <hyperlink ref="A3745" r:id="rId5963"/>
    <hyperlink ref="A3746" r:id="rId5964"/>
    <hyperlink ref="A3747" r:id="rId5965"/>
    <hyperlink ref="A3748" r:id="rId5966"/>
    <hyperlink ref="A3749" r:id="rId5967"/>
    <hyperlink ref="A3750" r:id="rId5968"/>
    <hyperlink ref="A3751" r:id="rId5969"/>
    <hyperlink ref="A3752" r:id="rId5970"/>
    <hyperlink ref="A3753" r:id="rId5971"/>
    <hyperlink ref="A3754" r:id="rId5972"/>
    <hyperlink ref="A3755" r:id="rId5973"/>
    <hyperlink ref="A3756" r:id="rId5974"/>
    <hyperlink ref="A3757" r:id="rId5975"/>
    <hyperlink ref="A3758" r:id="rId5976"/>
    <hyperlink ref="A3759" r:id="rId5977"/>
    <hyperlink ref="A3760" r:id="rId5978"/>
    <hyperlink ref="A3761" r:id="rId5979"/>
    <hyperlink ref="A3762" r:id="rId5980"/>
    <hyperlink ref="A3763" r:id="rId5981"/>
    <hyperlink ref="A3764" r:id="rId5982"/>
    <hyperlink ref="A3765" r:id="rId5983"/>
    <hyperlink ref="A3766" r:id="rId5984"/>
    <hyperlink ref="A3767" r:id="rId5985"/>
    <hyperlink ref="A3768" r:id="rId5986"/>
    <hyperlink ref="A3769" r:id="rId5987"/>
    <hyperlink ref="A3770" r:id="rId5988"/>
    <hyperlink ref="A3771" r:id="rId5989"/>
    <hyperlink ref="A3772" r:id="rId5990"/>
    <hyperlink ref="A3773" r:id="rId5991"/>
    <hyperlink ref="A3774" r:id="rId5992"/>
    <hyperlink ref="A3775" r:id="rId5993"/>
    <hyperlink ref="A3776" r:id="rId5994"/>
    <hyperlink ref="A3777" r:id="rId5995"/>
    <hyperlink ref="A3778" r:id="rId5996"/>
    <hyperlink ref="A3779" r:id="rId5997"/>
    <hyperlink ref="A3780" r:id="rId5998"/>
    <hyperlink ref="A3781" r:id="rId5999"/>
    <hyperlink ref="A3782" r:id="rId6000"/>
    <hyperlink ref="A3783" r:id="rId6001"/>
    <hyperlink ref="A3784" r:id="rId6002"/>
    <hyperlink ref="A3785" r:id="rId6003"/>
    <hyperlink ref="A3786" r:id="rId6004"/>
    <hyperlink ref="A3787" r:id="rId6005"/>
    <hyperlink ref="A3788" r:id="rId6006"/>
    <hyperlink ref="A3789" r:id="rId6007"/>
    <hyperlink ref="A3790" r:id="rId6008"/>
    <hyperlink ref="A3791" r:id="rId6009"/>
    <hyperlink ref="A3792" r:id="rId6010"/>
    <hyperlink ref="A3793" r:id="rId6011"/>
    <hyperlink ref="A3794" r:id="rId6012"/>
    <hyperlink ref="A3795" r:id="rId6013"/>
    <hyperlink ref="A3796" r:id="rId6014"/>
    <hyperlink ref="A3797" r:id="rId6015"/>
    <hyperlink ref="A3798" r:id="rId6016"/>
    <hyperlink ref="A3799" r:id="rId6017"/>
    <hyperlink ref="A3800" r:id="rId6018"/>
    <hyperlink ref="A3801" r:id="rId6019"/>
    <hyperlink ref="A3802" r:id="rId6020"/>
    <hyperlink ref="A3803" r:id="rId6021"/>
    <hyperlink ref="A3804" r:id="rId6022"/>
    <hyperlink ref="A3805" r:id="rId6023"/>
    <hyperlink ref="A3806" r:id="rId6024"/>
    <hyperlink ref="A3807" r:id="rId6025"/>
    <hyperlink ref="A3808" r:id="rId6026"/>
    <hyperlink ref="A3809" r:id="rId6027"/>
    <hyperlink ref="A3810" r:id="rId6028"/>
    <hyperlink ref="A3811" r:id="rId6029"/>
    <hyperlink ref="A3812" r:id="rId6030"/>
    <hyperlink ref="A3813" r:id="rId6031"/>
    <hyperlink ref="A3814" r:id="rId6032"/>
    <hyperlink ref="A3815" r:id="rId6033"/>
    <hyperlink ref="A3816" r:id="rId6034"/>
    <hyperlink ref="A3817" r:id="rId6035"/>
    <hyperlink ref="A3818" r:id="rId6036"/>
    <hyperlink ref="A3819" r:id="rId6037"/>
    <hyperlink ref="A3820" r:id="rId6038"/>
    <hyperlink ref="A3821" r:id="rId6039"/>
    <hyperlink ref="A3822" r:id="rId6040"/>
    <hyperlink ref="A3823" r:id="rId6041"/>
    <hyperlink ref="A3824" r:id="rId6042"/>
    <hyperlink ref="A3825" r:id="rId6043"/>
    <hyperlink ref="A3826" r:id="rId6044"/>
    <hyperlink ref="A3827" r:id="rId6045"/>
    <hyperlink ref="A3828" r:id="rId6046"/>
    <hyperlink ref="A3829" r:id="rId6047"/>
    <hyperlink ref="A3830" r:id="rId6048"/>
    <hyperlink ref="A3831" r:id="rId6049"/>
    <hyperlink ref="A3832" r:id="rId6050"/>
    <hyperlink ref="A3833" r:id="rId6051"/>
    <hyperlink ref="A3834" r:id="rId6052"/>
    <hyperlink ref="A3835" r:id="rId6053"/>
    <hyperlink ref="A3836" r:id="rId6054"/>
    <hyperlink ref="A3837" r:id="rId6055"/>
    <hyperlink ref="A3838" r:id="rId6056"/>
    <hyperlink ref="A3839" r:id="rId6057"/>
    <hyperlink ref="A3840" r:id="rId6058"/>
    <hyperlink ref="A3841" r:id="rId6059"/>
    <hyperlink ref="A3842" r:id="rId6060"/>
    <hyperlink ref="A3843" r:id="rId6061"/>
    <hyperlink ref="A3844" r:id="rId6062"/>
    <hyperlink ref="A3845" r:id="rId6063"/>
    <hyperlink ref="A3846" r:id="rId6064"/>
    <hyperlink ref="A3847" r:id="rId6065"/>
    <hyperlink ref="A3848" r:id="rId6066"/>
    <hyperlink ref="A3849" r:id="rId6067"/>
    <hyperlink ref="A3850" r:id="rId6068"/>
    <hyperlink ref="A3851" r:id="rId6069"/>
    <hyperlink ref="A3852" r:id="rId6070"/>
    <hyperlink ref="A3853" r:id="rId6071"/>
    <hyperlink ref="A3854" r:id="rId6072"/>
    <hyperlink ref="A3855" r:id="rId6073"/>
    <hyperlink ref="A3856" r:id="rId6074"/>
    <hyperlink ref="A3857" r:id="rId6075"/>
    <hyperlink ref="A3858" r:id="rId6076"/>
    <hyperlink ref="A3859" r:id="rId6077"/>
    <hyperlink ref="A3860" r:id="rId6078"/>
    <hyperlink ref="A3861" r:id="rId6079"/>
    <hyperlink ref="A3862" r:id="rId6080"/>
    <hyperlink ref="A3863" r:id="rId6081"/>
    <hyperlink ref="A3864" r:id="rId6082"/>
    <hyperlink ref="A3865" r:id="rId6083"/>
    <hyperlink ref="A3866" r:id="rId6084"/>
    <hyperlink ref="A3867" r:id="rId6085"/>
    <hyperlink ref="A3868" r:id="rId6086"/>
    <hyperlink ref="A3869" r:id="rId6087"/>
    <hyperlink ref="A3870" r:id="rId6088"/>
    <hyperlink ref="A3871" r:id="rId6089"/>
    <hyperlink ref="A3872" r:id="rId6090"/>
    <hyperlink ref="A3873" r:id="rId6091"/>
    <hyperlink ref="A3874" r:id="rId6092"/>
    <hyperlink ref="A3875" r:id="rId6093"/>
    <hyperlink ref="A3876" r:id="rId6094"/>
    <hyperlink ref="A3877" r:id="rId6095"/>
    <hyperlink ref="A3878" r:id="rId6096"/>
    <hyperlink ref="A3879" r:id="rId6097"/>
    <hyperlink ref="A3880" r:id="rId6098"/>
    <hyperlink ref="A3881" r:id="rId6099"/>
    <hyperlink ref="A3882" r:id="rId6100"/>
    <hyperlink ref="A3883" r:id="rId6101"/>
    <hyperlink ref="A3884" r:id="rId6102"/>
    <hyperlink ref="A3885" r:id="rId6103"/>
    <hyperlink ref="A3886" r:id="rId6104"/>
    <hyperlink ref="A3887" r:id="rId6105"/>
    <hyperlink ref="A3888" r:id="rId6106"/>
    <hyperlink ref="A3889" r:id="rId6107"/>
    <hyperlink ref="A3890" r:id="rId6108"/>
    <hyperlink ref="A3891" r:id="rId6109"/>
    <hyperlink ref="A3892" r:id="rId6110"/>
    <hyperlink ref="A3893" r:id="rId6111"/>
    <hyperlink ref="A3894" r:id="rId6112"/>
    <hyperlink ref="A3895" r:id="rId6113"/>
    <hyperlink ref="A3896" r:id="rId6114"/>
    <hyperlink ref="A3897" r:id="rId6115"/>
    <hyperlink ref="A3898" r:id="rId6116"/>
    <hyperlink ref="A3899" r:id="rId6117"/>
    <hyperlink ref="A3900" r:id="rId6118"/>
    <hyperlink ref="A3901" r:id="rId6119"/>
    <hyperlink ref="A3902" r:id="rId6120"/>
    <hyperlink ref="A3903" r:id="rId6121"/>
    <hyperlink ref="A3904" r:id="rId6122"/>
    <hyperlink ref="A3905" r:id="rId6123"/>
    <hyperlink ref="A3906" r:id="rId6124"/>
    <hyperlink ref="A3907" r:id="rId6125"/>
    <hyperlink ref="A3908" r:id="rId6126"/>
    <hyperlink ref="A3909" r:id="rId6127"/>
    <hyperlink ref="A3910" r:id="rId6128"/>
    <hyperlink ref="A3911" r:id="rId6129"/>
    <hyperlink ref="A3912" r:id="rId6130"/>
    <hyperlink ref="A3913" r:id="rId6131"/>
    <hyperlink ref="A3914" r:id="rId6132"/>
    <hyperlink ref="A3915" r:id="rId6133"/>
    <hyperlink ref="A3916" r:id="rId6134"/>
    <hyperlink ref="A3917" r:id="rId6135"/>
    <hyperlink ref="A3918" r:id="rId6136"/>
    <hyperlink ref="A3919" r:id="rId6137"/>
    <hyperlink ref="A3920" r:id="rId6138"/>
    <hyperlink ref="A3921" r:id="rId6139"/>
    <hyperlink ref="A3922" r:id="rId6140"/>
    <hyperlink ref="A3923" r:id="rId6141"/>
    <hyperlink ref="A3924" r:id="rId6142"/>
    <hyperlink ref="A3925" r:id="rId6143"/>
    <hyperlink ref="A3926" r:id="rId6144"/>
    <hyperlink ref="A3927" r:id="rId6145"/>
    <hyperlink ref="A3928" r:id="rId6146"/>
    <hyperlink ref="A3929" r:id="rId6147"/>
    <hyperlink ref="A3930" r:id="rId6148"/>
    <hyperlink ref="A3931" r:id="rId6149"/>
    <hyperlink ref="A3932" r:id="rId6150"/>
    <hyperlink ref="A3933" r:id="rId6151"/>
    <hyperlink ref="A3934" r:id="rId6152"/>
    <hyperlink ref="A3935" r:id="rId6153"/>
    <hyperlink ref="A3936" r:id="rId6154"/>
    <hyperlink ref="A3937" r:id="rId6155"/>
    <hyperlink ref="A3938" r:id="rId6156"/>
    <hyperlink ref="A3939" r:id="rId6157"/>
    <hyperlink ref="A3940" r:id="rId6158"/>
    <hyperlink ref="A3941" r:id="rId6159"/>
    <hyperlink ref="A3942" r:id="rId6160"/>
    <hyperlink ref="A3943" r:id="rId6161"/>
    <hyperlink ref="A3944" r:id="rId6162"/>
    <hyperlink ref="A3945" r:id="rId6163"/>
    <hyperlink ref="A3946" r:id="rId6164"/>
    <hyperlink ref="A3947" r:id="rId6165"/>
    <hyperlink ref="A3948" r:id="rId6166"/>
    <hyperlink ref="A3949" r:id="rId6167"/>
    <hyperlink ref="A3950" r:id="rId6168"/>
    <hyperlink ref="A3951" r:id="rId6169"/>
    <hyperlink ref="A3952" r:id="rId6170"/>
    <hyperlink ref="A3953" r:id="rId6171"/>
    <hyperlink ref="A3954" r:id="rId6172"/>
    <hyperlink ref="A3955" r:id="rId6173"/>
    <hyperlink ref="A3956" r:id="rId6174"/>
    <hyperlink ref="A3957" r:id="rId6175"/>
    <hyperlink ref="A3958" r:id="rId6176"/>
    <hyperlink ref="A3959" r:id="rId6177"/>
    <hyperlink ref="A3960" r:id="rId6178"/>
    <hyperlink ref="A3961" r:id="rId6179"/>
    <hyperlink ref="A3962" r:id="rId6180"/>
    <hyperlink ref="A3963" r:id="rId6181"/>
    <hyperlink ref="A3964" r:id="rId6182"/>
    <hyperlink ref="A3965" r:id="rId6183"/>
    <hyperlink ref="A3966" r:id="rId6184"/>
    <hyperlink ref="A3967" r:id="rId6185"/>
    <hyperlink ref="A3968" r:id="rId6186"/>
    <hyperlink ref="A3969" r:id="rId6187"/>
    <hyperlink ref="A3970" r:id="rId6188"/>
    <hyperlink ref="A3971" r:id="rId6189"/>
    <hyperlink ref="A3972" r:id="rId6190"/>
    <hyperlink ref="A3973" r:id="rId6191"/>
    <hyperlink ref="A3974" r:id="rId6192"/>
    <hyperlink ref="A3975" r:id="rId6193"/>
    <hyperlink ref="A3976" r:id="rId6194"/>
    <hyperlink ref="A3977" r:id="rId6195"/>
    <hyperlink ref="A3978" r:id="rId6196"/>
    <hyperlink ref="A3979" r:id="rId6197"/>
    <hyperlink ref="A3980" r:id="rId6198"/>
    <hyperlink ref="A3981" r:id="rId6199"/>
    <hyperlink ref="A3982" r:id="rId6200"/>
    <hyperlink ref="A3983" r:id="rId6201"/>
    <hyperlink ref="A3984" r:id="rId6202"/>
    <hyperlink ref="A3985" r:id="rId6203"/>
    <hyperlink ref="A3986" r:id="rId6204"/>
    <hyperlink ref="A3987" r:id="rId6205"/>
    <hyperlink ref="A3988" r:id="rId6206"/>
    <hyperlink ref="A3989" r:id="rId6207"/>
    <hyperlink ref="A3990" r:id="rId6208"/>
    <hyperlink ref="A3991" r:id="rId6209"/>
    <hyperlink ref="A3992" r:id="rId6210"/>
    <hyperlink ref="A3993" r:id="rId6211"/>
    <hyperlink ref="A3994" r:id="rId6212"/>
    <hyperlink ref="A3995" r:id="rId6213"/>
    <hyperlink ref="A3996" r:id="rId6214"/>
    <hyperlink ref="A3997" r:id="rId6215"/>
    <hyperlink ref="A3998" r:id="rId6216"/>
    <hyperlink ref="A3999" r:id="rId6217"/>
    <hyperlink ref="A4000" r:id="rId6218"/>
    <hyperlink ref="A4001" r:id="rId6219"/>
    <hyperlink ref="A4002" r:id="rId6220"/>
    <hyperlink ref="A4003" r:id="rId6221"/>
    <hyperlink ref="A4004" r:id="rId6222"/>
    <hyperlink ref="A4005" r:id="rId6223"/>
    <hyperlink ref="A4006" r:id="rId6224"/>
    <hyperlink ref="A4007" r:id="rId6225"/>
    <hyperlink ref="A4008" r:id="rId6226"/>
    <hyperlink ref="A4009" r:id="rId6227"/>
    <hyperlink ref="A4010" r:id="rId6228"/>
    <hyperlink ref="A4011" r:id="rId6229"/>
    <hyperlink ref="A4012" r:id="rId6230"/>
    <hyperlink ref="A4013" r:id="rId6231"/>
    <hyperlink ref="A4014" r:id="rId6232"/>
    <hyperlink ref="A4015" r:id="rId6233"/>
    <hyperlink ref="A4016" r:id="rId6234"/>
    <hyperlink ref="A4017" r:id="rId6235"/>
    <hyperlink ref="A4018" r:id="rId6236"/>
    <hyperlink ref="A4019" r:id="rId6237"/>
    <hyperlink ref="A4020" r:id="rId6238"/>
    <hyperlink ref="A4021" r:id="rId6239"/>
    <hyperlink ref="A4022" r:id="rId6240"/>
    <hyperlink ref="A4023" r:id="rId6241"/>
    <hyperlink ref="A4024" r:id="rId6242"/>
    <hyperlink ref="A4025" r:id="rId6243"/>
    <hyperlink ref="A4026" r:id="rId6244"/>
    <hyperlink ref="A4027" r:id="rId6245"/>
    <hyperlink ref="A4028" r:id="rId6246"/>
    <hyperlink ref="A4029" r:id="rId6247"/>
    <hyperlink ref="A4030" r:id="rId6248"/>
    <hyperlink ref="A4031" r:id="rId6249"/>
    <hyperlink ref="A4032" r:id="rId6250"/>
    <hyperlink ref="A4033" r:id="rId6251"/>
    <hyperlink ref="A4034" r:id="rId6252"/>
    <hyperlink ref="A4035" r:id="rId6253"/>
    <hyperlink ref="A4036" r:id="rId6254"/>
    <hyperlink ref="A4037" r:id="rId6255"/>
    <hyperlink ref="A4038" r:id="rId6256"/>
    <hyperlink ref="A4039" r:id="rId6257"/>
    <hyperlink ref="A4040" r:id="rId6258"/>
    <hyperlink ref="A4041" r:id="rId6259"/>
    <hyperlink ref="A4042" r:id="rId6260"/>
    <hyperlink ref="A4043" r:id="rId6261"/>
    <hyperlink ref="A4044" r:id="rId6262"/>
    <hyperlink ref="A4045" r:id="rId6263"/>
    <hyperlink ref="A4046" r:id="rId6264"/>
    <hyperlink ref="A4047" r:id="rId6265"/>
    <hyperlink ref="A4048" r:id="rId6266"/>
    <hyperlink ref="A4049" r:id="rId6267"/>
    <hyperlink ref="A4050" r:id="rId6268"/>
    <hyperlink ref="A4051" r:id="rId6269"/>
    <hyperlink ref="A4052" r:id="rId6270"/>
    <hyperlink ref="A4053" r:id="rId6271"/>
    <hyperlink ref="A4054" r:id="rId6272"/>
    <hyperlink ref="A4055" r:id="rId6273"/>
    <hyperlink ref="A4056" r:id="rId6274"/>
    <hyperlink ref="A4057" r:id="rId6275"/>
    <hyperlink ref="A4058" r:id="rId6276"/>
    <hyperlink ref="A4059" r:id="rId6277"/>
    <hyperlink ref="A4060" r:id="rId6278"/>
    <hyperlink ref="A4061" r:id="rId6279"/>
    <hyperlink ref="A4062" r:id="rId6280"/>
    <hyperlink ref="A4063" r:id="rId6281"/>
    <hyperlink ref="A4064" r:id="rId6282"/>
    <hyperlink ref="A4065" r:id="rId6283"/>
    <hyperlink ref="A4066" r:id="rId6284"/>
    <hyperlink ref="A4067" r:id="rId6285"/>
    <hyperlink ref="A4068" r:id="rId6286"/>
    <hyperlink ref="A4069" r:id="rId6287"/>
    <hyperlink ref="A4070" r:id="rId6288"/>
    <hyperlink ref="A4071" r:id="rId6289"/>
    <hyperlink ref="A4072" r:id="rId6290"/>
    <hyperlink ref="A4073" r:id="rId6291"/>
    <hyperlink ref="A4074" r:id="rId6292"/>
    <hyperlink ref="A4075" r:id="rId6293"/>
    <hyperlink ref="A4076" r:id="rId6294"/>
    <hyperlink ref="A4077" r:id="rId6295"/>
    <hyperlink ref="A4078" r:id="rId6296"/>
    <hyperlink ref="A4079" r:id="rId6297"/>
    <hyperlink ref="A4080" r:id="rId6298"/>
    <hyperlink ref="A4081" r:id="rId6299"/>
    <hyperlink ref="A4082" r:id="rId6300"/>
    <hyperlink ref="A4083" r:id="rId6301"/>
    <hyperlink ref="A4084" r:id="rId6302"/>
    <hyperlink ref="A4085" r:id="rId6303"/>
    <hyperlink ref="A4086" r:id="rId6304"/>
    <hyperlink ref="A4087" r:id="rId6305"/>
    <hyperlink ref="A4088" r:id="rId6306"/>
    <hyperlink ref="A4089" r:id="rId6307"/>
    <hyperlink ref="A4090" r:id="rId6308"/>
    <hyperlink ref="A4091" r:id="rId6309"/>
    <hyperlink ref="A4092" r:id="rId6310"/>
    <hyperlink ref="A4093" r:id="rId6311"/>
    <hyperlink ref="A4094" r:id="rId6312"/>
    <hyperlink ref="A4095" r:id="rId6313"/>
    <hyperlink ref="A4096" r:id="rId6314"/>
    <hyperlink ref="A4097" r:id="rId6315"/>
    <hyperlink ref="A4098" r:id="rId6316"/>
    <hyperlink ref="A4099" r:id="rId6317"/>
    <hyperlink ref="A4100" r:id="rId6318"/>
    <hyperlink ref="A4101" r:id="rId6319"/>
    <hyperlink ref="A4102" r:id="rId6320"/>
    <hyperlink ref="A4103" r:id="rId6321"/>
    <hyperlink ref="A4104" r:id="rId6322"/>
    <hyperlink ref="A4105" r:id="rId6323"/>
    <hyperlink ref="A4106" r:id="rId6324"/>
    <hyperlink ref="A4107" r:id="rId6325"/>
    <hyperlink ref="A4108" r:id="rId6326"/>
    <hyperlink ref="A4109" r:id="rId6327"/>
    <hyperlink ref="A4110" r:id="rId6328"/>
    <hyperlink ref="A4111" r:id="rId6329"/>
    <hyperlink ref="A4112" r:id="rId6330"/>
    <hyperlink ref="A4113" r:id="rId6331"/>
    <hyperlink ref="A4114" r:id="rId6332"/>
    <hyperlink ref="A4115" r:id="rId6333"/>
    <hyperlink ref="A4116" r:id="rId6334"/>
    <hyperlink ref="A4117" r:id="rId6335"/>
    <hyperlink ref="A4118" r:id="rId6336"/>
    <hyperlink ref="A4119" r:id="rId6337"/>
    <hyperlink ref="A4120" r:id="rId6338"/>
    <hyperlink ref="A4121" r:id="rId6339"/>
    <hyperlink ref="A4122" r:id="rId6340"/>
    <hyperlink ref="A4123" r:id="rId6341"/>
    <hyperlink ref="A4124" r:id="rId6342"/>
    <hyperlink ref="A4125" r:id="rId6343"/>
    <hyperlink ref="A4126" r:id="rId6344"/>
    <hyperlink ref="A4127" r:id="rId6345"/>
    <hyperlink ref="A4128" r:id="rId6346"/>
    <hyperlink ref="A4129" r:id="rId6347"/>
    <hyperlink ref="A4130" r:id="rId6348"/>
    <hyperlink ref="A4131" r:id="rId6349"/>
    <hyperlink ref="A4132" r:id="rId6350"/>
    <hyperlink ref="A4133" r:id="rId6351"/>
    <hyperlink ref="A4134" r:id="rId6352"/>
    <hyperlink ref="A4135" r:id="rId6353"/>
    <hyperlink ref="A4136" r:id="rId6354"/>
    <hyperlink ref="A4137" r:id="rId6355"/>
    <hyperlink ref="A4138" r:id="rId6356"/>
    <hyperlink ref="A4139" r:id="rId6357"/>
    <hyperlink ref="A4140" r:id="rId6358"/>
    <hyperlink ref="A4141" r:id="rId6359"/>
    <hyperlink ref="A4142" r:id="rId6360"/>
    <hyperlink ref="A4143" r:id="rId6361"/>
    <hyperlink ref="A4144" r:id="rId6362"/>
    <hyperlink ref="A4145" r:id="rId6363"/>
    <hyperlink ref="A4146" r:id="rId6364"/>
    <hyperlink ref="A4147" r:id="rId6365"/>
    <hyperlink ref="A4148" r:id="rId6366"/>
    <hyperlink ref="A4149" r:id="rId6367"/>
    <hyperlink ref="A4150" r:id="rId6368"/>
    <hyperlink ref="A4151" r:id="rId6369"/>
    <hyperlink ref="A4152" r:id="rId6370"/>
    <hyperlink ref="A4153" r:id="rId6371"/>
    <hyperlink ref="A4154" r:id="rId6372"/>
    <hyperlink ref="A4155" r:id="rId6373"/>
    <hyperlink ref="A4156" r:id="rId6374"/>
    <hyperlink ref="A4157" r:id="rId6375"/>
    <hyperlink ref="A4158" r:id="rId6376"/>
    <hyperlink ref="A4159" r:id="rId6377"/>
    <hyperlink ref="A4160" r:id="rId6378"/>
    <hyperlink ref="A4161" r:id="rId6379"/>
    <hyperlink ref="A4162" r:id="rId6380"/>
    <hyperlink ref="A4163" r:id="rId6381"/>
    <hyperlink ref="A4164" r:id="rId6382"/>
    <hyperlink ref="A4165" r:id="rId6383"/>
    <hyperlink ref="A4166" r:id="rId6384"/>
    <hyperlink ref="A4167" r:id="rId6385"/>
    <hyperlink ref="A4168" r:id="rId6386"/>
    <hyperlink ref="A4169" r:id="rId6387"/>
    <hyperlink ref="A4170" r:id="rId6388"/>
    <hyperlink ref="A4171" r:id="rId6389"/>
    <hyperlink ref="A4172" r:id="rId6390"/>
    <hyperlink ref="A4173" r:id="rId6391"/>
    <hyperlink ref="A4174" r:id="rId6392"/>
    <hyperlink ref="A4175" r:id="rId6393"/>
    <hyperlink ref="A4176" r:id="rId6394"/>
    <hyperlink ref="A4177" r:id="rId6395"/>
    <hyperlink ref="A4178" r:id="rId6396"/>
    <hyperlink ref="A4179" r:id="rId6397"/>
    <hyperlink ref="A4180" r:id="rId6398"/>
    <hyperlink ref="A4181" r:id="rId6399"/>
    <hyperlink ref="A4182" r:id="rId6400"/>
    <hyperlink ref="A4183" r:id="rId6401"/>
    <hyperlink ref="A4184" r:id="rId6402"/>
    <hyperlink ref="A4185" r:id="rId6403"/>
    <hyperlink ref="A4186" r:id="rId6404"/>
    <hyperlink ref="A4187" r:id="rId6405"/>
    <hyperlink ref="A4188" r:id="rId6406"/>
    <hyperlink ref="A4189" r:id="rId6407"/>
    <hyperlink ref="A4190" r:id="rId6408"/>
    <hyperlink ref="A4191" r:id="rId6409"/>
    <hyperlink ref="A4192" r:id="rId6410"/>
    <hyperlink ref="A4193" r:id="rId6411"/>
    <hyperlink ref="A4194" r:id="rId6412"/>
    <hyperlink ref="A4195" r:id="rId6413"/>
    <hyperlink ref="A4196" r:id="rId6414"/>
    <hyperlink ref="A4197" r:id="rId6415"/>
    <hyperlink ref="A4198" r:id="rId6416"/>
    <hyperlink ref="A4199" r:id="rId6417"/>
    <hyperlink ref="A4200" r:id="rId6418"/>
    <hyperlink ref="A4201" r:id="rId6419"/>
    <hyperlink ref="A4202" r:id="rId6420"/>
    <hyperlink ref="A4203" r:id="rId6421"/>
    <hyperlink ref="A4204" r:id="rId6422"/>
    <hyperlink ref="A4205" r:id="rId6423"/>
    <hyperlink ref="A4206" r:id="rId6424"/>
    <hyperlink ref="A4207" r:id="rId6425"/>
    <hyperlink ref="A4208" r:id="rId6426"/>
    <hyperlink ref="A4209" r:id="rId6427"/>
    <hyperlink ref="A4210" r:id="rId6428"/>
    <hyperlink ref="A4211" r:id="rId6429"/>
    <hyperlink ref="A4212" r:id="rId6430"/>
    <hyperlink ref="A4213" r:id="rId6431"/>
    <hyperlink ref="A4214" r:id="rId6432"/>
    <hyperlink ref="A4215" r:id="rId6433"/>
    <hyperlink ref="A4216" r:id="rId6434"/>
    <hyperlink ref="A4217" r:id="rId6435"/>
    <hyperlink ref="A4218" r:id="rId6436"/>
    <hyperlink ref="A4219" r:id="rId6437"/>
    <hyperlink ref="A4220" r:id="rId6438"/>
    <hyperlink ref="A4221" r:id="rId6439"/>
    <hyperlink ref="A4222" r:id="rId6440"/>
    <hyperlink ref="A4223" r:id="rId6441"/>
    <hyperlink ref="A4224" r:id="rId6442"/>
    <hyperlink ref="A4225" r:id="rId6443"/>
    <hyperlink ref="A4226" r:id="rId6444"/>
    <hyperlink ref="A4227" r:id="rId6445"/>
    <hyperlink ref="A4228" r:id="rId6446"/>
    <hyperlink ref="A4229" r:id="rId6447"/>
    <hyperlink ref="A4230" r:id="rId6448"/>
    <hyperlink ref="A4231" r:id="rId6449"/>
    <hyperlink ref="A4232" r:id="rId6450"/>
    <hyperlink ref="A4233" r:id="rId6451"/>
    <hyperlink ref="A4234" r:id="rId6452"/>
    <hyperlink ref="A4235" r:id="rId6453"/>
    <hyperlink ref="A4236" r:id="rId6454"/>
    <hyperlink ref="A4237" r:id="rId6455"/>
    <hyperlink ref="A4238" r:id="rId6456"/>
    <hyperlink ref="A4239" r:id="rId6457"/>
    <hyperlink ref="A4240" r:id="rId6458"/>
    <hyperlink ref="A4241" r:id="rId6459"/>
    <hyperlink ref="A4242" r:id="rId6460"/>
    <hyperlink ref="A4243" r:id="rId6461"/>
    <hyperlink ref="A4244" r:id="rId6462"/>
    <hyperlink ref="A4245" r:id="rId6463"/>
    <hyperlink ref="A4246" r:id="rId6464"/>
    <hyperlink ref="A4247" r:id="rId6465"/>
    <hyperlink ref="A4248" r:id="rId6466"/>
    <hyperlink ref="A4249" r:id="rId6467"/>
    <hyperlink ref="A4250" r:id="rId6468"/>
    <hyperlink ref="A4251" r:id="rId6469"/>
    <hyperlink ref="A4252" r:id="rId6470"/>
    <hyperlink ref="A4253" r:id="rId6471"/>
    <hyperlink ref="A4254" r:id="rId6472"/>
    <hyperlink ref="A4255" r:id="rId6473"/>
    <hyperlink ref="A4256" r:id="rId6474"/>
    <hyperlink ref="A4257" r:id="rId6475"/>
    <hyperlink ref="A4258" r:id="rId6476"/>
    <hyperlink ref="A4259" r:id="rId6477"/>
    <hyperlink ref="A4260" r:id="rId6478"/>
    <hyperlink ref="A4261" r:id="rId6479"/>
    <hyperlink ref="A4262" r:id="rId6480"/>
    <hyperlink ref="A4263" r:id="rId6481"/>
    <hyperlink ref="A4264" r:id="rId6482"/>
    <hyperlink ref="A4265" r:id="rId6483"/>
    <hyperlink ref="A4266" r:id="rId6484"/>
    <hyperlink ref="A4267" r:id="rId6485"/>
    <hyperlink ref="A4268" r:id="rId6486"/>
    <hyperlink ref="A4269" r:id="rId6487"/>
    <hyperlink ref="A4270" r:id="rId6488"/>
    <hyperlink ref="A4271" r:id="rId6489"/>
    <hyperlink ref="A4272" r:id="rId6490"/>
    <hyperlink ref="A4273" r:id="rId6491"/>
    <hyperlink ref="A4274" r:id="rId6492"/>
    <hyperlink ref="A4275" r:id="rId6493"/>
    <hyperlink ref="A4276" r:id="rId6494"/>
    <hyperlink ref="A4277" r:id="rId6495"/>
    <hyperlink ref="A4278" r:id="rId6496"/>
    <hyperlink ref="A4279" r:id="rId6497"/>
    <hyperlink ref="A4280" r:id="rId6498"/>
    <hyperlink ref="A4281" r:id="rId6499"/>
    <hyperlink ref="A4282" r:id="rId6500"/>
    <hyperlink ref="A4283" r:id="rId6501"/>
    <hyperlink ref="A4284" r:id="rId6502"/>
    <hyperlink ref="A4285" r:id="rId6503"/>
    <hyperlink ref="A4286" r:id="rId6504"/>
    <hyperlink ref="A4287" r:id="rId6505"/>
    <hyperlink ref="A4288" r:id="rId6506"/>
    <hyperlink ref="A4289" r:id="rId6507"/>
    <hyperlink ref="A4290" r:id="rId6508"/>
    <hyperlink ref="A4291" r:id="rId6509"/>
    <hyperlink ref="A4292" r:id="rId6510"/>
    <hyperlink ref="A4293" r:id="rId6511"/>
    <hyperlink ref="A4294" r:id="rId6512"/>
    <hyperlink ref="A4295" r:id="rId6513"/>
    <hyperlink ref="A4296" r:id="rId6514"/>
    <hyperlink ref="A4297" r:id="rId6515"/>
    <hyperlink ref="A4298" r:id="rId6516"/>
    <hyperlink ref="A4299" r:id="rId6517"/>
    <hyperlink ref="A4300" r:id="rId6518"/>
    <hyperlink ref="A4301" r:id="rId6519"/>
    <hyperlink ref="A4302" r:id="rId6520"/>
    <hyperlink ref="A4303" r:id="rId6521"/>
    <hyperlink ref="A4304" r:id="rId6522"/>
    <hyperlink ref="A4305" r:id="rId6523"/>
    <hyperlink ref="A4306" r:id="rId6524"/>
    <hyperlink ref="A4307" r:id="rId6525"/>
    <hyperlink ref="A4308" r:id="rId6526"/>
    <hyperlink ref="A4309" r:id="rId6527"/>
    <hyperlink ref="A4310" r:id="rId6528"/>
    <hyperlink ref="A4311" r:id="rId6529"/>
    <hyperlink ref="A4312" r:id="rId6530"/>
    <hyperlink ref="A4313" r:id="rId6531"/>
    <hyperlink ref="A4314" r:id="rId6532"/>
    <hyperlink ref="A4315" r:id="rId6533"/>
    <hyperlink ref="A4316" r:id="rId6534"/>
    <hyperlink ref="A4317" r:id="rId6535"/>
    <hyperlink ref="A4318" r:id="rId6536"/>
    <hyperlink ref="A4319" r:id="rId6537"/>
    <hyperlink ref="A4320" r:id="rId6538"/>
    <hyperlink ref="A4321" r:id="rId6539"/>
    <hyperlink ref="A4322" r:id="rId6540"/>
    <hyperlink ref="A4323" r:id="rId6541"/>
    <hyperlink ref="A4324" r:id="rId6542"/>
    <hyperlink ref="A4325" r:id="rId6543"/>
    <hyperlink ref="A4326" r:id="rId6544"/>
    <hyperlink ref="A4327" r:id="rId6545"/>
    <hyperlink ref="A4328" r:id="rId6546"/>
    <hyperlink ref="A4329" r:id="rId6547"/>
    <hyperlink ref="A4330" r:id="rId6548"/>
    <hyperlink ref="A4331" r:id="rId6549"/>
    <hyperlink ref="A4332" r:id="rId6550"/>
    <hyperlink ref="A4333" r:id="rId6551"/>
    <hyperlink ref="A4334" r:id="rId6552"/>
    <hyperlink ref="A4335" r:id="rId6553"/>
    <hyperlink ref="A4336" r:id="rId6554"/>
    <hyperlink ref="A4337" r:id="rId6555"/>
    <hyperlink ref="A4338" r:id="rId6556"/>
    <hyperlink ref="A4339" r:id="rId6557"/>
    <hyperlink ref="A4340" r:id="rId6558"/>
    <hyperlink ref="A4341" r:id="rId6559"/>
    <hyperlink ref="A4342" r:id="rId6560"/>
    <hyperlink ref="A4343" r:id="rId6561"/>
    <hyperlink ref="A4344" r:id="rId6562"/>
    <hyperlink ref="A4345" r:id="rId6563"/>
    <hyperlink ref="A4346" r:id="rId6564"/>
    <hyperlink ref="A4347" r:id="rId6565"/>
    <hyperlink ref="A4348" r:id="rId6566"/>
    <hyperlink ref="A4349" r:id="rId6567"/>
    <hyperlink ref="A4350" r:id="rId6568"/>
    <hyperlink ref="A4351" r:id="rId6569"/>
    <hyperlink ref="A4352" r:id="rId6570"/>
    <hyperlink ref="A4353" r:id="rId6571"/>
    <hyperlink ref="A4354" r:id="rId6572"/>
    <hyperlink ref="A4355" r:id="rId6573"/>
    <hyperlink ref="A4356" r:id="rId6574"/>
    <hyperlink ref="A4357" r:id="rId6575"/>
    <hyperlink ref="A4358" r:id="rId6576"/>
    <hyperlink ref="A4359" r:id="rId6577"/>
    <hyperlink ref="A4360" r:id="rId6578"/>
    <hyperlink ref="A4361" r:id="rId6579"/>
    <hyperlink ref="A4362" r:id="rId6580"/>
    <hyperlink ref="A4363" r:id="rId6581"/>
    <hyperlink ref="A4364" r:id="rId6582"/>
    <hyperlink ref="A4365" r:id="rId6583"/>
    <hyperlink ref="A4366" r:id="rId6584"/>
    <hyperlink ref="A4367" r:id="rId6585"/>
    <hyperlink ref="A4368" r:id="rId6586"/>
    <hyperlink ref="A4369" r:id="rId6587"/>
    <hyperlink ref="A4370" r:id="rId6588"/>
    <hyperlink ref="A4371" r:id="rId6589"/>
    <hyperlink ref="A4372" r:id="rId6590"/>
    <hyperlink ref="A4373" r:id="rId6591"/>
    <hyperlink ref="A4374" r:id="rId6592"/>
    <hyperlink ref="A4375" r:id="rId6593"/>
    <hyperlink ref="A4376" r:id="rId6594"/>
    <hyperlink ref="A4377" r:id="rId6595"/>
    <hyperlink ref="A4378" r:id="rId6596"/>
    <hyperlink ref="A4379" r:id="rId6597"/>
    <hyperlink ref="A4380" r:id="rId6598"/>
    <hyperlink ref="A4381" r:id="rId6599"/>
    <hyperlink ref="A4382" r:id="rId6600"/>
    <hyperlink ref="A4383" r:id="rId6601"/>
    <hyperlink ref="A4384" r:id="rId6602"/>
    <hyperlink ref="A4385" r:id="rId6603"/>
    <hyperlink ref="A4386" r:id="rId6604"/>
    <hyperlink ref="A4387" r:id="rId6605"/>
    <hyperlink ref="A4388" r:id="rId6606"/>
    <hyperlink ref="A4389" r:id="rId6607"/>
    <hyperlink ref="A4390" r:id="rId6608"/>
    <hyperlink ref="A4391" r:id="rId6609"/>
    <hyperlink ref="A4392" r:id="rId6610"/>
    <hyperlink ref="A4393" r:id="rId6611"/>
    <hyperlink ref="A4394" r:id="rId6612"/>
    <hyperlink ref="A4395" r:id="rId6613"/>
    <hyperlink ref="A4396" r:id="rId6614"/>
    <hyperlink ref="A4397" r:id="rId6615"/>
    <hyperlink ref="A4398" r:id="rId6616"/>
    <hyperlink ref="A4399" r:id="rId6617"/>
    <hyperlink ref="A4400" r:id="rId6618"/>
    <hyperlink ref="A4401" r:id="rId6619"/>
    <hyperlink ref="A4402" r:id="rId6620"/>
    <hyperlink ref="A4403" r:id="rId6621"/>
    <hyperlink ref="A4404" r:id="rId6622"/>
    <hyperlink ref="A4405" r:id="rId6623"/>
    <hyperlink ref="A4406" r:id="rId6624"/>
    <hyperlink ref="A4407" r:id="rId6625"/>
    <hyperlink ref="A4408" r:id="rId6626"/>
    <hyperlink ref="A4409" r:id="rId6627"/>
    <hyperlink ref="A4410" r:id="rId6628"/>
    <hyperlink ref="A4411" r:id="rId6629"/>
    <hyperlink ref="A4412" r:id="rId6630"/>
    <hyperlink ref="A4413" r:id="rId6631"/>
    <hyperlink ref="A4414" r:id="rId6632"/>
    <hyperlink ref="A4415" r:id="rId6633"/>
    <hyperlink ref="A4416" r:id="rId6634"/>
    <hyperlink ref="A4417" r:id="rId6635"/>
    <hyperlink ref="A4418" r:id="rId6636"/>
    <hyperlink ref="A4419" r:id="rId6637"/>
    <hyperlink ref="A4420" r:id="rId6638"/>
    <hyperlink ref="A4421" r:id="rId6639"/>
    <hyperlink ref="A4422" r:id="rId6640"/>
    <hyperlink ref="A4423" r:id="rId6641"/>
    <hyperlink ref="A4424" r:id="rId6642"/>
    <hyperlink ref="A4425" r:id="rId6643"/>
    <hyperlink ref="A4426" r:id="rId6644"/>
    <hyperlink ref="A4427" r:id="rId6645"/>
    <hyperlink ref="A4428" r:id="rId6646"/>
    <hyperlink ref="A4429" r:id="rId6647"/>
    <hyperlink ref="A4430" r:id="rId6648"/>
    <hyperlink ref="A4431" r:id="rId6649"/>
    <hyperlink ref="A4432" r:id="rId6650"/>
    <hyperlink ref="A4433" r:id="rId6651"/>
    <hyperlink ref="A4434" r:id="rId6652"/>
    <hyperlink ref="A4435" r:id="rId6653"/>
    <hyperlink ref="A4436" r:id="rId6654"/>
    <hyperlink ref="A4437" r:id="rId6655"/>
    <hyperlink ref="A4438" r:id="rId6656"/>
    <hyperlink ref="A4439" r:id="rId6657"/>
    <hyperlink ref="A4440" r:id="rId6658"/>
    <hyperlink ref="A4441" r:id="rId6659"/>
    <hyperlink ref="A4442" r:id="rId6660"/>
    <hyperlink ref="A4443" r:id="rId6661"/>
    <hyperlink ref="A4444" r:id="rId6662"/>
    <hyperlink ref="A4445" r:id="rId6663"/>
    <hyperlink ref="A4446" r:id="rId6664"/>
    <hyperlink ref="A4447" r:id="rId6665"/>
    <hyperlink ref="A4448" r:id="rId6666"/>
    <hyperlink ref="A4449" r:id="rId6667"/>
    <hyperlink ref="A4450" r:id="rId6668"/>
    <hyperlink ref="A4451" r:id="rId6669"/>
    <hyperlink ref="A4452" r:id="rId6670"/>
    <hyperlink ref="A4453" r:id="rId6671"/>
    <hyperlink ref="A4454" r:id="rId6672"/>
    <hyperlink ref="A4455" r:id="rId6673"/>
    <hyperlink ref="A4456" r:id="rId6674"/>
    <hyperlink ref="A4457" r:id="rId6675"/>
    <hyperlink ref="A4458" r:id="rId6676"/>
    <hyperlink ref="A4459" r:id="rId6677"/>
    <hyperlink ref="A4460" r:id="rId6678"/>
    <hyperlink ref="A4461" r:id="rId6679"/>
    <hyperlink ref="A4462" r:id="rId6680"/>
    <hyperlink ref="A4463" r:id="rId6681"/>
    <hyperlink ref="A4464" r:id="rId6682"/>
    <hyperlink ref="A4465" r:id="rId6683"/>
    <hyperlink ref="A4466" r:id="rId6684"/>
    <hyperlink ref="A4467" r:id="rId6685"/>
    <hyperlink ref="A4468" r:id="rId6686"/>
    <hyperlink ref="A4469" r:id="rId6687"/>
    <hyperlink ref="A4470" r:id="rId6688"/>
    <hyperlink ref="A4471" r:id="rId6689"/>
    <hyperlink ref="A4472" r:id="rId6690"/>
    <hyperlink ref="A4473" r:id="rId6691"/>
    <hyperlink ref="A4474" r:id="rId6692"/>
    <hyperlink ref="A4475" r:id="rId6693"/>
    <hyperlink ref="A4476" r:id="rId6694"/>
    <hyperlink ref="A4477" r:id="rId6695"/>
    <hyperlink ref="A4478" r:id="rId6696"/>
    <hyperlink ref="A4479" r:id="rId6697"/>
    <hyperlink ref="A4480" r:id="rId6698"/>
    <hyperlink ref="A4481" r:id="rId6699"/>
    <hyperlink ref="A4482" r:id="rId6700"/>
    <hyperlink ref="A4483" r:id="rId6701"/>
    <hyperlink ref="A4484" r:id="rId6702"/>
    <hyperlink ref="A4485" r:id="rId6703"/>
    <hyperlink ref="A4486" r:id="rId6704"/>
    <hyperlink ref="A4487" r:id="rId6705"/>
    <hyperlink ref="A4488" r:id="rId6706"/>
    <hyperlink ref="A4489" r:id="rId6707"/>
    <hyperlink ref="A4490" r:id="rId6708"/>
    <hyperlink ref="A4491" r:id="rId6709"/>
    <hyperlink ref="A4492" r:id="rId6710"/>
    <hyperlink ref="A4493" r:id="rId6711"/>
    <hyperlink ref="A4494" r:id="rId6712"/>
    <hyperlink ref="A4495" r:id="rId6713"/>
    <hyperlink ref="A4496" r:id="rId6714"/>
    <hyperlink ref="A4497" r:id="rId6715"/>
    <hyperlink ref="A4498" r:id="rId6716"/>
    <hyperlink ref="A4499" r:id="rId6717"/>
    <hyperlink ref="A4500" r:id="rId6718"/>
    <hyperlink ref="A4501" r:id="rId6719"/>
    <hyperlink ref="A4502" r:id="rId6720"/>
    <hyperlink ref="A4503" r:id="rId6721"/>
    <hyperlink ref="A4504" r:id="rId6722"/>
    <hyperlink ref="A4505" r:id="rId6723"/>
    <hyperlink ref="A4506" r:id="rId6724"/>
    <hyperlink ref="A4507" r:id="rId6725"/>
    <hyperlink ref="A4508" r:id="rId6726"/>
    <hyperlink ref="A4509" r:id="rId6727"/>
    <hyperlink ref="A4510" r:id="rId6728"/>
    <hyperlink ref="A4511" r:id="rId6729"/>
    <hyperlink ref="A4512" r:id="rId6730"/>
    <hyperlink ref="A4513" r:id="rId6731"/>
    <hyperlink ref="A4514" r:id="rId6732"/>
    <hyperlink ref="A4515" r:id="rId6733"/>
    <hyperlink ref="A4516" r:id="rId6734"/>
    <hyperlink ref="A4517" r:id="rId6735"/>
    <hyperlink ref="A4518" r:id="rId6736"/>
    <hyperlink ref="A4519" r:id="rId6737"/>
    <hyperlink ref="A4520" r:id="rId6738"/>
    <hyperlink ref="A4521" r:id="rId6739"/>
    <hyperlink ref="A4522" r:id="rId6740"/>
    <hyperlink ref="A4523" r:id="rId6741"/>
    <hyperlink ref="A4524" r:id="rId6742"/>
    <hyperlink ref="A4525" r:id="rId6743"/>
    <hyperlink ref="A4526" r:id="rId6744"/>
    <hyperlink ref="A4527" r:id="rId6745"/>
    <hyperlink ref="A4528" r:id="rId6746"/>
    <hyperlink ref="A4529" r:id="rId6747"/>
    <hyperlink ref="A4530" r:id="rId6748"/>
    <hyperlink ref="A4531" r:id="rId6749"/>
    <hyperlink ref="A4532" r:id="rId6750"/>
    <hyperlink ref="A4533" r:id="rId6751"/>
    <hyperlink ref="A4534" r:id="rId6752"/>
    <hyperlink ref="A4535" r:id="rId6753"/>
    <hyperlink ref="A4536" r:id="rId6754"/>
    <hyperlink ref="A4537" r:id="rId6755"/>
    <hyperlink ref="A4538" r:id="rId6756"/>
    <hyperlink ref="A4539" r:id="rId6757"/>
    <hyperlink ref="A4540" r:id="rId6758"/>
    <hyperlink ref="A4541" r:id="rId6759"/>
    <hyperlink ref="A4542" r:id="rId6760"/>
    <hyperlink ref="A4543" r:id="rId6761"/>
    <hyperlink ref="A4544" r:id="rId6762"/>
    <hyperlink ref="A4545" r:id="rId6763"/>
    <hyperlink ref="A4546" r:id="rId6764"/>
    <hyperlink ref="A4547" r:id="rId6765"/>
    <hyperlink ref="A4548" r:id="rId6766"/>
    <hyperlink ref="A4549" r:id="rId6767"/>
    <hyperlink ref="A4550" r:id="rId6768"/>
    <hyperlink ref="A4551" r:id="rId6769"/>
    <hyperlink ref="A4552" r:id="rId6770"/>
    <hyperlink ref="A4553" r:id="rId6771"/>
    <hyperlink ref="A4554" r:id="rId6772"/>
    <hyperlink ref="A4555" r:id="rId6773"/>
    <hyperlink ref="A4556" r:id="rId6774"/>
    <hyperlink ref="A4557" r:id="rId6775"/>
    <hyperlink ref="A4558" r:id="rId6776"/>
    <hyperlink ref="A4559" r:id="rId6777"/>
    <hyperlink ref="A4560" r:id="rId6778"/>
    <hyperlink ref="A4561" r:id="rId6779"/>
    <hyperlink ref="A4562" r:id="rId6780"/>
    <hyperlink ref="A4563" r:id="rId6781"/>
    <hyperlink ref="A4564" r:id="rId6782"/>
    <hyperlink ref="A4565" r:id="rId6783"/>
    <hyperlink ref="A4566" r:id="rId6784"/>
    <hyperlink ref="A4567" r:id="rId6785"/>
    <hyperlink ref="A4568" r:id="rId6786"/>
    <hyperlink ref="A4569" r:id="rId6787"/>
    <hyperlink ref="A4570" r:id="rId6788"/>
    <hyperlink ref="A4571" r:id="rId6789"/>
    <hyperlink ref="A4572" r:id="rId6790"/>
    <hyperlink ref="A4573" r:id="rId6791"/>
    <hyperlink ref="A4574" r:id="rId6792"/>
    <hyperlink ref="A4575" r:id="rId6793"/>
    <hyperlink ref="A4576" r:id="rId6794"/>
    <hyperlink ref="A4577" r:id="rId6795"/>
    <hyperlink ref="A4578" r:id="rId6796"/>
    <hyperlink ref="A4579" r:id="rId6797"/>
    <hyperlink ref="A4580" r:id="rId6798"/>
    <hyperlink ref="A4581" r:id="rId6799"/>
    <hyperlink ref="A4582" r:id="rId6800"/>
    <hyperlink ref="A4583" r:id="rId6801"/>
    <hyperlink ref="A4584" r:id="rId6802"/>
    <hyperlink ref="A4585" r:id="rId6803"/>
    <hyperlink ref="A4586" r:id="rId6804"/>
    <hyperlink ref="A4587" r:id="rId6805"/>
    <hyperlink ref="A4588" r:id="rId6806"/>
    <hyperlink ref="A4589" r:id="rId6807"/>
    <hyperlink ref="A4590" r:id="rId6808"/>
    <hyperlink ref="A4591" r:id="rId6809"/>
    <hyperlink ref="A4592" r:id="rId6810"/>
    <hyperlink ref="A4593" r:id="rId6811"/>
    <hyperlink ref="A4594" r:id="rId6812"/>
    <hyperlink ref="A4595" r:id="rId6813"/>
    <hyperlink ref="A4596" r:id="rId6814"/>
    <hyperlink ref="A4597" r:id="rId6815"/>
    <hyperlink ref="A4598" r:id="rId6816"/>
    <hyperlink ref="A4599" r:id="rId6817"/>
    <hyperlink ref="A4600" r:id="rId6818"/>
    <hyperlink ref="A4601" r:id="rId6819"/>
    <hyperlink ref="A4602" r:id="rId6820"/>
    <hyperlink ref="A4603" r:id="rId6821"/>
    <hyperlink ref="A4604" r:id="rId6822"/>
    <hyperlink ref="A4605" r:id="rId6823"/>
    <hyperlink ref="A4606" r:id="rId6824"/>
    <hyperlink ref="A4607" r:id="rId6825"/>
    <hyperlink ref="A4608" r:id="rId6826"/>
    <hyperlink ref="A4609" r:id="rId6827"/>
    <hyperlink ref="A4610" r:id="rId6828"/>
    <hyperlink ref="A4611" r:id="rId6829"/>
    <hyperlink ref="A4612" r:id="rId6830"/>
    <hyperlink ref="A4613" r:id="rId6831"/>
    <hyperlink ref="A4614" r:id="rId6832"/>
    <hyperlink ref="A4615" r:id="rId6833"/>
    <hyperlink ref="A4616" r:id="rId6834"/>
    <hyperlink ref="A4617" r:id="rId6835"/>
    <hyperlink ref="A4618" r:id="rId6836"/>
    <hyperlink ref="A4619" r:id="rId6837"/>
    <hyperlink ref="A4620" r:id="rId6838"/>
    <hyperlink ref="A4621" r:id="rId6839"/>
    <hyperlink ref="A4622" r:id="rId6840"/>
    <hyperlink ref="A4623" r:id="rId6841"/>
    <hyperlink ref="A4624" r:id="rId6842"/>
    <hyperlink ref="A4625" r:id="rId6843"/>
    <hyperlink ref="A4626" r:id="rId6844"/>
    <hyperlink ref="A4627" r:id="rId6845"/>
    <hyperlink ref="A4628" r:id="rId6846"/>
    <hyperlink ref="A4629" r:id="rId6847"/>
    <hyperlink ref="A4630" r:id="rId6848"/>
    <hyperlink ref="A4631" r:id="rId6849"/>
    <hyperlink ref="A4632" r:id="rId6850"/>
    <hyperlink ref="A4633" r:id="rId6851"/>
    <hyperlink ref="A4634" r:id="rId6852"/>
    <hyperlink ref="A4635" r:id="rId6853"/>
    <hyperlink ref="A4636" r:id="rId6854"/>
    <hyperlink ref="A4637" r:id="rId6855"/>
    <hyperlink ref="A4638" r:id="rId6856"/>
    <hyperlink ref="A4639" r:id="rId6857"/>
    <hyperlink ref="A4640" r:id="rId6858"/>
    <hyperlink ref="A4641" r:id="rId6859"/>
    <hyperlink ref="A4642" r:id="rId6860"/>
    <hyperlink ref="A4643" r:id="rId6861"/>
    <hyperlink ref="A4644" r:id="rId6862"/>
    <hyperlink ref="A4645" r:id="rId6863"/>
    <hyperlink ref="A4646" r:id="rId6864"/>
    <hyperlink ref="A4647" r:id="rId6865"/>
    <hyperlink ref="A4648" r:id="rId6866"/>
    <hyperlink ref="A4649" r:id="rId6867"/>
    <hyperlink ref="A4650" r:id="rId6868"/>
    <hyperlink ref="A4651" r:id="rId6869"/>
    <hyperlink ref="A4652" r:id="rId6870"/>
    <hyperlink ref="A4653" r:id="rId6871"/>
    <hyperlink ref="A4654" r:id="rId6872"/>
    <hyperlink ref="A4655" r:id="rId6873"/>
    <hyperlink ref="A4656" r:id="rId6874"/>
    <hyperlink ref="A4657" r:id="rId6875"/>
    <hyperlink ref="A4658" r:id="rId6876"/>
    <hyperlink ref="A4659" r:id="rId6877"/>
    <hyperlink ref="A4660" r:id="rId6878"/>
    <hyperlink ref="A4661" r:id="rId6879"/>
    <hyperlink ref="A4662" r:id="rId6880"/>
    <hyperlink ref="A4663" r:id="rId6881"/>
    <hyperlink ref="A4664" r:id="rId6882"/>
    <hyperlink ref="A4665" r:id="rId6883"/>
    <hyperlink ref="A4666" r:id="rId6884"/>
    <hyperlink ref="A4667" r:id="rId6885"/>
    <hyperlink ref="A4668" r:id="rId6886"/>
    <hyperlink ref="A4669" r:id="rId6887"/>
    <hyperlink ref="A4670" r:id="rId6888"/>
    <hyperlink ref="A4671" r:id="rId6889"/>
    <hyperlink ref="A4672" r:id="rId6890"/>
    <hyperlink ref="A4673" r:id="rId6891"/>
    <hyperlink ref="A4674" r:id="rId6892"/>
    <hyperlink ref="A4675" r:id="rId6893"/>
    <hyperlink ref="A4676" r:id="rId6894"/>
    <hyperlink ref="A4677" r:id="rId6895"/>
    <hyperlink ref="A4678" r:id="rId6896"/>
    <hyperlink ref="A4679" r:id="rId6897"/>
    <hyperlink ref="A4680" r:id="rId6898"/>
    <hyperlink ref="A4681" r:id="rId6899"/>
    <hyperlink ref="A4682" r:id="rId6900"/>
    <hyperlink ref="A4683" r:id="rId6901"/>
    <hyperlink ref="A4684" r:id="rId6902"/>
    <hyperlink ref="A4685" r:id="rId6903"/>
    <hyperlink ref="A4686" r:id="rId6904"/>
    <hyperlink ref="A4687" r:id="rId6905"/>
    <hyperlink ref="A4688" r:id="rId6906"/>
    <hyperlink ref="A4689" r:id="rId6907"/>
    <hyperlink ref="A4690" r:id="rId6908"/>
    <hyperlink ref="A4691" r:id="rId6909"/>
    <hyperlink ref="A4692" r:id="rId6910"/>
    <hyperlink ref="A4693" r:id="rId6911"/>
    <hyperlink ref="A4694" r:id="rId6912"/>
    <hyperlink ref="A4695" r:id="rId6913"/>
    <hyperlink ref="A4696" r:id="rId6914"/>
    <hyperlink ref="A4697" r:id="rId6915"/>
    <hyperlink ref="A4698" r:id="rId6916"/>
    <hyperlink ref="A4699" r:id="rId6917"/>
    <hyperlink ref="A4700" r:id="rId6918"/>
    <hyperlink ref="A4701" r:id="rId6919"/>
    <hyperlink ref="A4702" r:id="rId6920"/>
    <hyperlink ref="A4703" r:id="rId6921"/>
    <hyperlink ref="A4704" r:id="rId6922"/>
    <hyperlink ref="A4705" r:id="rId6923"/>
    <hyperlink ref="A4706" r:id="rId6924"/>
    <hyperlink ref="A4707" r:id="rId6925"/>
    <hyperlink ref="A4708" r:id="rId6926"/>
    <hyperlink ref="A4709" r:id="rId6927"/>
    <hyperlink ref="A4710" r:id="rId6928"/>
    <hyperlink ref="A4711" r:id="rId6929"/>
    <hyperlink ref="A4712" r:id="rId6930"/>
    <hyperlink ref="A4713" r:id="rId6931"/>
    <hyperlink ref="A4714" r:id="rId6932"/>
    <hyperlink ref="A4715" r:id="rId6933"/>
    <hyperlink ref="A4716" r:id="rId6934"/>
    <hyperlink ref="A4717" r:id="rId6935"/>
    <hyperlink ref="A4718" r:id="rId6936"/>
    <hyperlink ref="A4719" r:id="rId6937"/>
    <hyperlink ref="A4720" r:id="rId6938"/>
    <hyperlink ref="A4721" r:id="rId6939"/>
    <hyperlink ref="A4722" r:id="rId6940"/>
    <hyperlink ref="A4723" r:id="rId6941"/>
    <hyperlink ref="A4724" r:id="rId6942"/>
    <hyperlink ref="A4725" r:id="rId6943"/>
    <hyperlink ref="A4726" r:id="rId6944"/>
    <hyperlink ref="A4727" r:id="rId6945"/>
    <hyperlink ref="A4728" r:id="rId6946"/>
    <hyperlink ref="A4729" r:id="rId6947"/>
    <hyperlink ref="A4730" r:id="rId6948"/>
    <hyperlink ref="A4731" r:id="rId6949"/>
    <hyperlink ref="A4732" r:id="rId6950"/>
    <hyperlink ref="A4733" r:id="rId6951"/>
    <hyperlink ref="A4734" r:id="rId6952"/>
    <hyperlink ref="A4735" r:id="rId6953"/>
    <hyperlink ref="A4736" r:id="rId6954"/>
    <hyperlink ref="A4737" r:id="rId6955"/>
    <hyperlink ref="A4738" r:id="rId6956"/>
    <hyperlink ref="A4739" r:id="rId6957"/>
    <hyperlink ref="A4740" r:id="rId6958"/>
    <hyperlink ref="A4741" r:id="rId6959"/>
    <hyperlink ref="A4742" r:id="rId6960"/>
    <hyperlink ref="A4743" r:id="rId6961"/>
    <hyperlink ref="A4744" r:id="rId6962"/>
    <hyperlink ref="A4745" r:id="rId6963"/>
    <hyperlink ref="A4746" r:id="rId6964"/>
    <hyperlink ref="A4747" r:id="rId6965"/>
    <hyperlink ref="A4748" r:id="rId6966"/>
    <hyperlink ref="A4749" r:id="rId6967"/>
    <hyperlink ref="A4750" r:id="rId6968"/>
    <hyperlink ref="A4751" r:id="rId6969"/>
    <hyperlink ref="A4752" r:id="rId6970"/>
    <hyperlink ref="A4753" r:id="rId6971"/>
    <hyperlink ref="A4754" r:id="rId6972"/>
    <hyperlink ref="A4755" r:id="rId6973"/>
    <hyperlink ref="A4756" r:id="rId6974"/>
    <hyperlink ref="A4757" r:id="rId6975"/>
    <hyperlink ref="A4758" r:id="rId6976"/>
    <hyperlink ref="A4759" r:id="rId6977"/>
    <hyperlink ref="A4760" r:id="rId6978"/>
    <hyperlink ref="A4761" r:id="rId6979"/>
    <hyperlink ref="A4762" r:id="rId6980"/>
    <hyperlink ref="A4763" r:id="rId6981"/>
    <hyperlink ref="A4764" r:id="rId6982"/>
    <hyperlink ref="A4765" r:id="rId6983"/>
    <hyperlink ref="A4766" r:id="rId6984"/>
    <hyperlink ref="A4767" r:id="rId6985"/>
    <hyperlink ref="A4768" r:id="rId6986"/>
    <hyperlink ref="A4769" r:id="rId6987"/>
    <hyperlink ref="A4770" r:id="rId6988"/>
    <hyperlink ref="A4771" r:id="rId6989"/>
    <hyperlink ref="A4772" r:id="rId6990"/>
    <hyperlink ref="A4773" r:id="rId6991"/>
    <hyperlink ref="A4774" r:id="rId6992"/>
    <hyperlink ref="A4775" r:id="rId6993"/>
    <hyperlink ref="A4776" r:id="rId6994"/>
    <hyperlink ref="A4777" r:id="rId6995"/>
    <hyperlink ref="A4778" r:id="rId6996"/>
    <hyperlink ref="A4779" r:id="rId6997"/>
    <hyperlink ref="A4780" r:id="rId6998"/>
    <hyperlink ref="A4781" r:id="rId6999"/>
    <hyperlink ref="A4782" r:id="rId7000"/>
    <hyperlink ref="A4783" r:id="rId7001"/>
    <hyperlink ref="A4784" r:id="rId7002"/>
    <hyperlink ref="A4785" r:id="rId7003"/>
    <hyperlink ref="A4786" r:id="rId7004"/>
    <hyperlink ref="A4787" r:id="rId7005"/>
    <hyperlink ref="A4788" r:id="rId7006"/>
    <hyperlink ref="A4789" r:id="rId7007"/>
    <hyperlink ref="A4790" r:id="rId7008"/>
    <hyperlink ref="A4791" r:id="rId7009"/>
    <hyperlink ref="A4792" r:id="rId7010"/>
    <hyperlink ref="A4793" r:id="rId7011"/>
    <hyperlink ref="A4794" r:id="rId7012"/>
    <hyperlink ref="A4795" r:id="rId7013"/>
    <hyperlink ref="A4796" r:id="rId7014"/>
    <hyperlink ref="A4797" r:id="rId7015"/>
    <hyperlink ref="A4798" r:id="rId7016"/>
    <hyperlink ref="A4799" r:id="rId7017"/>
    <hyperlink ref="A4800" r:id="rId7018"/>
    <hyperlink ref="A4801" r:id="rId7019"/>
    <hyperlink ref="A4802" r:id="rId7020"/>
    <hyperlink ref="A4803" r:id="rId7021"/>
    <hyperlink ref="A4804" r:id="rId7022"/>
    <hyperlink ref="A4805" r:id="rId7023"/>
    <hyperlink ref="A4806" r:id="rId7024"/>
    <hyperlink ref="A4807" r:id="rId7025"/>
    <hyperlink ref="A4808" r:id="rId7026"/>
    <hyperlink ref="A4809" r:id="rId7027"/>
    <hyperlink ref="A4810" r:id="rId7028"/>
    <hyperlink ref="A4811" r:id="rId7029"/>
    <hyperlink ref="A4812" r:id="rId7030"/>
    <hyperlink ref="A4813" r:id="rId7031"/>
    <hyperlink ref="A4814" r:id="rId7032"/>
    <hyperlink ref="A4815" r:id="rId7033"/>
    <hyperlink ref="A4816" r:id="rId7034"/>
    <hyperlink ref="A4817" r:id="rId7035"/>
    <hyperlink ref="A4818" r:id="rId7036"/>
    <hyperlink ref="A4819" r:id="rId7037"/>
    <hyperlink ref="A4820" r:id="rId7038"/>
    <hyperlink ref="A4821" r:id="rId7039"/>
    <hyperlink ref="A4822" r:id="rId7040"/>
    <hyperlink ref="A4823" r:id="rId7041"/>
    <hyperlink ref="A4824" r:id="rId7042"/>
    <hyperlink ref="A4825" r:id="rId7043"/>
    <hyperlink ref="A4826" r:id="rId7044"/>
    <hyperlink ref="A4827" r:id="rId7045"/>
    <hyperlink ref="A4828" r:id="rId7046"/>
    <hyperlink ref="A4829" r:id="rId7047"/>
    <hyperlink ref="A4830" r:id="rId7048"/>
    <hyperlink ref="A4831" r:id="rId7049"/>
    <hyperlink ref="A4832" r:id="rId7050"/>
    <hyperlink ref="A4833" r:id="rId7051"/>
    <hyperlink ref="A4834" r:id="rId7052"/>
    <hyperlink ref="A4835" r:id="rId7053"/>
    <hyperlink ref="A4836" r:id="rId7054"/>
    <hyperlink ref="A4837" r:id="rId7055"/>
    <hyperlink ref="A4838" r:id="rId7056"/>
    <hyperlink ref="A4839" r:id="rId7057"/>
    <hyperlink ref="A4840" r:id="rId7058"/>
    <hyperlink ref="A4841" r:id="rId7059"/>
    <hyperlink ref="A4842" r:id="rId7060"/>
    <hyperlink ref="A4843" r:id="rId7061"/>
    <hyperlink ref="A4844" r:id="rId7062"/>
    <hyperlink ref="A4845" r:id="rId7063"/>
    <hyperlink ref="A4846" r:id="rId7064"/>
    <hyperlink ref="A4847" r:id="rId7065"/>
    <hyperlink ref="A4848" r:id="rId7066"/>
    <hyperlink ref="A4849" r:id="rId7067"/>
    <hyperlink ref="A4850" r:id="rId7068"/>
    <hyperlink ref="A4851" r:id="rId7069"/>
    <hyperlink ref="A4852" r:id="rId7070"/>
    <hyperlink ref="A4853" r:id="rId7071"/>
    <hyperlink ref="A4854" r:id="rId7072"/>
    <hyperlink ref="A4855" r:id="rId7073"/>
    <hyperlink ref="A4856" r:id="rId7074"/>
    <hyperlink ref="A4857" r:id="rId7075"/>
    <hyperlink ref="A4858" r:id="rId7076"/>
    <hyperlink ref="A4859" r:id="rId7077"/>
    <hyperlink ref="A4860" r:id="rId7078"/>
    <hyperlink ref="A4861" r:id="rId7079"/>
    <hyperlink ref="A4862" r:id="rId7080"/>
    <hyperlink ref="A4863" r:id="rId7081"/>
    <hyperlink ref="A4864" r:id="rId7082"/>
    <hyperlink ref="A4865" r:id="rId7083"/>
    <hyperlink ref="A4866" r:id="rId7084"/>
    <hyperlink ref="A4867" r:id="rId7085"/>
    <hyperlink ref="A4868" r:id="rId7086"/>
    <hyperlink ref="A4869" r:id="rId7087"/>
    <hyperlink ref="A4870" r:id="rId7088"/>
    <hyperlink ref="A4871" r:id="rId7089"/>
    <hyperlink ref="A4872" r:id="rId7090"/>
    <hyperlink ref="A4873" r:id="rId7091"/>
    <hyperlink ref="A4874" r:id="rId7092"/>
    <hyperlink ref="A4875" r:id="rId7093"/>
    <hyperlink ref="A4876" r:id="rId7094"/>
    <hyperlink ref="A4877" r:id="rId7095"/>
    <hyperlink ref="A4878" r:id="rId7096"/>
    <hyperlink ref="A4879" r:id="rId7097"/>
    <hyperlink ref="A4880" r:id="rId7098"/>
    <hyperlink ref="A4881" r:id="rId7099"/>
    <hyperlink ref="A4882" r:id="rId7100"/>
    <hyperlink ref="A4883" r:id="rId7101"/>
    <hyperlink ref="A4884" r:id="rId7102"/>
    <hyperlink ref="A4885" r:id="rId7103"/>
    <hyperlink ref="A4886" r:id="rId7104"/>
    <hyperlink ref="A4887" r:id="rId7105"/>
    <hyperlink ref="A4888" r:id="rId7106"/>
    <hyperlink ref="A4889" r:id="rId7107"/>
    <hyperlink ref="A4890" r:id="rId7108"/>
    <hyperlink ref="A4891" r:id="rId7109"/>
    <hyperlink ref="A4892" r:id="rId7110"/>
    <hyperlink ref="A4893" r:id="rId7111"/>
    <hyperlink ref="A4894" r:id="rId7112"/>
    <hyperlink ref="A4895" r:id="rId7113"/>
    <hyperlink ref="A4896" r:id="rId7114"/>
    <hyperlink ref="A4897" r:id="rId7115"/>
    <hyperlink ref="A4898" r:id="rId7116"/>
    <hyperlink ref="A4899" r:id="rId7117"/>
    <hyperlink ref="A4900" r:id="rId7118"/>
    <hyperlink ref="A4901" r:id="rId7119"/>
    <hyperlink ref="A4902" r:id="rId7120"/>
    <hyperlink ref="A4903" r:id="rId7121"/>
    <hyperlink ref="A4904" r:id="rId7122"/>
    <hyperlink ref="A4905" r:id="rId7123"/>
    <hyperlink ref="A4906" r:id="rId7124"/>
    <hyperlink ref="A4907" r:id="rId7125"/>
    <hyperlink ref="A4908" r:id="rId7126"/>
    <hyperlink ref="A4909" r:id="rId7127"/>
    <hyperlink ref="A4910" r:id="rId7128"/>
    <hyperlink ref="A4911" r:id="rId7129"/>
    <hyperlink ref="A4912" r:id="rId7130"/>
    <hyperlink ref="A4913" r:id="rId7131"/>
    <hyperlink ref="A4914" r:id="rId7132"/>
    <hyperlink ref="A4915" r:id="rId7133"/>
    <hyperlink ref="A4916" r:id="rId7134"/>
    <hyperlink ref="A4917" r:id="rId7135"/>
    <hyperlink ref="A4918" r:id="rId7136"/>
    <hyperlink ref="A4919" r:id="rId7137"/>
    <hyperlink ref="A4920" r:id="rId7138"/>
    <hyperlink ref="A4921" r:id="rId7139"/>
    <hyperlink ref="A4922" r:id="rId7140"/>
    <hyperlink ref="A4923" r:id="rId7141"/>
    <hyperlink ref="A4924" r:id="rId7142"/>
    <hyperlink ref="A4925" r:id="rId7143"/>
    <hyperlink ref="A4926" r:id="rId7144"/>
    <hyperlink ref="A4927" r:id="rId7145"/>
    <hyperlink ref="A4928" r:id="rId7146"/>
    <hyperlink ref="A4929" r:id="rId7147"/>
    <hyperlink ref="A4930" r:id="rId7148"/>
    <hyperlink ref="A4931" r:id="rId7149"/>
    <hyperlink ref="A4932" r:id="rId7150"/>
    <hyperlink ref="A4933" r:id="rId7151"/>
    <hyperlink ref="A4934" r:id="rId7152"/>
    <hyperlink ref="A4935" r:id="rId7153"/>
    <hyperlink ref="A4936" r:id="rId7154"/>
    <hyperlink ref="A4937" r:id="rId7155"/>
    <hyperlink ref="A4938" r:id="rId7156"/>
    <hyperlink ref="A4939" r:id="rId7157"/>
    <hyperlink ref="A4940" r:id="rId7158"/>
    <hyperlink ref="A4941" r:id="rId7159"/>
    <hyperlink ref="A4942" r:id="rId7160"/>
    <hyperlink ref="A4943" r:id="rId7161"/>
    <hyperlink ref="A4944" r:id="rId7162"/>
    <hyperlink ref="A4945" r:id="rId7163"/>
    <hyperlink ref="A4946" r:id="rId7164"/>
    <hyperlink ref="A4947" r:id="rId7165"/>
    <hyperlink ref="A4948" r:id="rId7166"/>
    <hyperlink ref="A4949" r:id="rId7167"/>
    <hyperlink ref="A4950" r:id="rId7168"/>
    <hyperlink ref="A4951" r:id="rId7169"/>
    <hyperlink ref="A4952" r:id="rId7170"/>
    <hyperlink ref="A4953" r:id="rId7171"/>
    <hyperlink ref="A4954" r:id="rId7172"/>
    <hyperlink ref="A4955" r:id="rId7173"/>
    <hyperlink ref="A4956" r:id="rId7174"/>
    <hyperlink ref="A4957" r:id="rId7175"/>
    <hyperlink ref="A4958" r:id="rId7176"/>
    <hyperlink ref="A4959" r:id="rId7177"/>
    <hyperlink ref="A4960" r:id="rId7178"/>
    <hyperlink ref="A4961" r:id="rId7179"/>
    <hyperlink ref="A4962" r:id="rId7180"/>
    <hyperlink ref="A4963" r:id="rId7181"/>
    <hyperlink ref="A4964" r:id="rId7182"/>
    <hyperlink ref="A4965" r:id="rId7183"/>
    <hyperlink ref="A4966" r:id="rId7184"/>
    <hyperlink ref="A4967" r:id="rId7185"/>
    <hyperlink ref="A4968" r:id="rId7186"/>
    <hyperlink ref="A4969" r:id="rId7187"/>
    <hyperlink ref="A4970" r:id="rId7188"/>
    <hyperlink ref="A4971" r:id="rId7189"/>
    <hyperlink ref="A4972" r:id="rId7190"/>
    <hyperlink ref="A4973" r:id="rId7191"/>
    <hyperlink ref="A4974" r:id="rId7192"/>
    <hyperlink ref="A4975" r:id="rId7193"/>
    <hyperlink ref="A4976" r:id="rId7194"/>
    <hyperlink ref="A4977" r:id="rId7195"/>
    <hyperlink ref="A4978" r:id="rId7196"/>
    <hyperlink ref="A4979" r:id="rId7197"/>
    <hyperlink ref="A4980" r:id="rId7198"/>
    <hyperlink ref="A4981" r:id="rId7199"/>
    <hyperlink ref="A4982" r:id="rId7200"/>
    <hyperlink ref="A4983" r:id="rId7201"/>
    <hyperlink ref="A4984" r:id="rId7202"/>
    <hyperlink ref="A4985" r:id="rId7203"/>
    <hyperlink ref="A4986" r:id="rId7204"/>
    <hyperlink ref="A4987" r:id="rId7205"/>
    <hyperlink ref="A4988" r:id="rId7206"/>
    <hyperlink ref="A4989" r:id="rId7207"/>
    <hyperlink ref="A4990" r:id="rId7208"/>
    <hyperlink ref="A4991" r:id="rId7209"/>
    <hyperlink ref="A4992" r:id="rId7210"/>
    <hyperlink ref="A4993" r:id="rId7211"/>
    <hyperlink ref="A4994" r:id="rId7212"/>
    <hyperlink ref="A4995" r:id="rId7213"/>
    <hyperlink ref="A4996" r:id="rId7214"/>
    <hyperlink ref="A4997" r:id="rId7215"/>
    <hyperlink ref="A4998" r:id="rId7216"/>
    <hyperlink ref="A4999" r:id="rId7217"/>
    <hyperlink ref="A5000" r:id="rId7218"/>
    <hyperlink ref="A5001" r:id="rId7219"/>
    <hyperlink ref="A5002" r:id="rId7220"/>
    <hyperlink ref="A5003" r:id="rId7221"/>
    <hyperlink ref="A5004" r:id="rId7222"/>
    <hyperlink ref="A5005" r:id="rId7223"/>
    <hyperlink ref="A5006" r:id="rId7224"/>
    <hyperlink ref="A5007" r:id="rId7225"/>
    <hyperlink ref="A5008" r:id="rId7226"/>
    <hyperlink ref="A5009" r:id="rId7227"/>
    <hyperlink ref="A5010" r:id="rId7228"/>
    <hyperlink ref="A5011" r:id="rId7229"/>
    <hyperlink ref="A5012" r:id="rId7230"/>
    <hyperlink ref="A5013" r:id="rId7231"/>
    <hyperlink ref="A5014" r:id="rId7232"/>
    <hyperlink ref="A5015" r:id="rId7233"/>
    <hyperlink ref="A5016" r:id="rId7234"/>
    <hyperlink ref="A5017" r:id="rId7235"/>
    <hyperlink ref="A5018" r:id="rId7236"/>
    <hyperlink ref="A5019" r:id="rId7237"/>
    <hyperlink ref="A5020" r:id="rId7238"/>
    <hyperlink ref="A5021" r:id="rId7239"/>
    <hyperlink ref="A5022" r:id="rId7240"/>
    <hyperlink ref="A5023" r:id="rId7241"/>
    <hyperlink ref="A5024" r:id="rId7242"/>
    <hyperlink ref="A5025" r:id="rId7243"/>
    <hyperlink ref="A5026" r:id="rId7244"/>
    <hyperlink ref="A5027" r:id="rId7245"/>
    <hyperlink ref="A5028" r:id="rId7246"/>
    <hyperlink ref="A5029" r:id="rId7247"/>
    <hyperlink ref="A5030" r:id="rId7248"/>
    <hyperlink ref="A5031" r:id="rId7249"/>
    <hyperlink ref="A5032" r:id="rId7250"/>
    <hyperlink ref="A5033" r:id="rId7251"/>
    <hyperlink ref="A5034" r:id="rId7252"/>
    <hyperlink ref="A5035" r:id="rId7253"/>
    <hyperlink ref="A5036" r:id="rId7254"/>
    <hyperlink ref="A5037" r:id="rId7255"/>
    <hyperlink ref="A5038" r:id="rId7256"/>
    <hyperlink ref="A5039" r:id="rId7257"/>
    <hyperlink ref="A5040" r:id="rId7258"/>
    <hyperlink ref="A5041" r:id="rId7259"/>
    <hyperlink ref="A5042" r:id="rId7260"/>
    <hyperlink ref="A5043" r:id="rId7261"/>
    <hyperlink ref="A5044" r:id="rId7262"/>
    <hyperlink ref="A5045" r:id="rId7263"/>
    <hyperlink ref="A5046" r:id="rId7264"/>
    <hyperlink ref="A5047" r:id="rId7265"/>
    <hyperlink ref="A5048" r:id="rId7266"/>
    <hyperlink ref="A5049" r:id="rId7267"/>
    <hyperlink ref="A5050" r:id="rId7268"/>
    <hyperlink ref="A5051" r:id="rId7269"/>
    <hyperlink ref="A5052" r:id="rId7270"/>
    <hyperlink ref="A5053" r:id="rId7271"/>
    <hyperlink ref="A5054" r:id="rId7272"/>
    <hyperlink ref="A5055" r:id="rId7273"/>
    <hyperlink ref="A5056" r:id="rId7274"/>
    <hyperlink ref="A5057" r:id="rId7275"/>
    <hyperlink ref="A5058" r:id="rId7276"/>
    <hyperlink ref="A5059" r:id="rId7277"/>
    <hyperlink ref="A5060" r:id="rId7278"/>
    <hyperlink ref="A5061" r:id="rId7279"/>
    <hyperlink ref="A5062" r:id="rId7280"/>
    <hyperlink ref="A5063" r:id="rId7281"/>
    <hyperlink ref="A5064" r:id="rId7282"/>
    <hyperlink ref="A5065" r:id="rId7283"/>
    <hyperlink ref="A5066" r:id="rId7284"/>
    <hyperlink ref="A5067" r:id="rId7285"/>
    <hyperlink ref="A5068" r:id="rId7286"/>
    <hyperlink ref="A5069" r:id="rId7287"/>
    <hyperlink ref="A5070" r:id="rId7288"/>
    <hyperlink ref="A5071" r:id="rId7289"/>
    <hyperlink ref="A5072" r:id="rId7290"/>
    <hyperlink ref="A5073" r:id="rId7291"/>
    <hyperlink ref="A5074" r:id="rId7292"/>
    <hyperlink ref="A5075" r:id="rId7293"/>
    <hyperlink ref="A5076" r:id="rId7294"/>
    <hyperlink ref="A5077" r:id="rId7295"/>
    <hyperlink ref="A5078" r:id="rId7296"/>
    <hyperlink ref="A5079" r:id="rId7297"/>
    <hyperlink ref="A5080" r:id="rId7298"/>
    <hyperlink ref="A5081" r:id="rId7299"/>
    <hyperlink ref="A5082" r:id="rId7300"/>
    <hyperlink ref="A5083" r:id="rId7301"/>
    <hyperlink ref="A5084" r:id="rId7302"/>
    <hyperlink ref="A5085" r:id="rId7303"/>
    <hyperlink ref="A5086" r:id="rId7304"/>
    <hyperlink ref="A5087" r:id="rId7305"/>
    <hyperlink ref="A5088" r:id="rId7306"/>
    <hyperlink ref="A5089" r:id="rId7307"/>
    <hyperlink ref="A5090" r:id="rId7308"/>
    <hyperlink ref="A5091" r:id="rId7309"/>
    <hyperlink ref="A5092" r:id="rId7310"/>
    <hyperlink ref="A5093" r:id="rId7311"/>
    <hyperlink ref="A5094" r:id="rId7312"/>
    <hyperlink ref="A5095" r:id="rId7313"/>
    <hyperlink ref="A5096" r:id="rId7314"/>
    <hyperlink ref="A5097" r:id="rId7315"/>
    <hyperlink ref="A5098" r:id="rId7316"/>
    <hyperlink ref="A5099" r:id="rId7317"/>
    <hyperlink ref="A5100" r:id="rId7318"/>
    <hyperlink ref="A5101" r:id="rId7319"/>
    <hyperlink ref="A5102" r:id="rId7320"/>
    <hyperlink ref="A5103" r:id="rId7321"/>
    <hyperlink ref="A5104" r:id="rId7322"/>
    <hyperlink ref="A5105" r:id="rId7323"/>
    <hyperlink ref="A5106" r:id="rId7324"/>
    <hyperlink ref="A5107" r:id="rId7325"/>
    <hyperlink ref="A5108" r:id="rId7326"/>
    <hyperlink ref="A5109" r:id="rId7327"/>
    <hyperlink ref="A5110" r:id="rId7328"/>
    <hyperlink ref="A5111" r:id="rId7329"/>
    <hyperlink ref="A5112" r:id="rId7330"/>
    <hyperlink ref="A5113" r:id="rId7331"/>
    <hyperlink ref="A5114" r:id="rId7332"/>
    <hyperlink ref="A5115" r:id="rId7333"/>
    <hyperlink ref="A5116" r:id="rId7334"/>
    <hyperlink ref="A5117" r:id="rId7335"/>
    <hyperlink ref="A5118" r:id="rId7336"/>
    <hyperlink ref="A5119" r:id="rId7337"/>
    <hyperlink ref="A5120" r:id="rId7338"/>
    <hyperlink ref="A5121" r:id="rId7339"/>
    <hyperlink ref="A5122" r:id="rId7340"/>
    <hyperlink ref="A5123" r:id="rId7341"/>
    <hyperlink ref="A5124" r:id="rId7342"/>
    <hyperlink ref="A5125" r:id="rId7343"/>
    <hyperlink ref="A5126" r:id="rId7344"/>
    <hyperlink ref="A5127" r:id="rId7345"/>
    <hyperlink ref="A5128" r:id="rId7346"/>
    <hyperlink ref="A5129" r:id="rId7347"/>
    <hyperlink ref="A5130" r:id="rId7348"/>
    <hyperlink ref="A5131" r:id="rId7349"/>
    <hyperlink ref="A5132" r:id="rId7350"/>
    <hyperlink ref="A5133" r:id="rId7351"/>
    <hyperlink ref="A5134" r:id="rId7352"/>
    <hyperlink ref="A5135" r:id="rId7353"/>
    <hyperlink ref="A5136" r:id="rId7354"/>
    <hyperlink ref="A5137" r:id="rId7355"/>
    <hyperlink ref="A5138" r:id="rId7356"/>
    <hyperlink ref="A5139" r:id="rId7357"/>
    <hyperlink ref="A5140" r:id="rId7358"/>
    <hyperlink ref="A5141" r:id="rId7359"/>
    <hyperlink ref="A5142" r:id="rId7360"/>
    <hyperlink ref="A5143" r:id="rId7361"/>
    <hyperlink ref="A5144" r:id="rId7362"/>
    <hyperlink ref="A5145" r:id="rId7363"/>
    <hyperlink ref="A5146" r:id="rId7364"/>
    <hyperlink ref="A5147" r:id="rId7365"/>
    <hyperlink ref="A5148" r:id="rId7366"/>
    <hyperlink ref="A5149" r:id="rId7367"/>
    <hyperlink ref="A5150" r:id="rId7368"/>
    <hyperlink ref="A5151" r:id="rId7369"/>
    <hyperlink ref="A5152" r:id="rId7370"/>
    <hyperlink ref="A5153" r:id="rId7371"/>
    <hyperlink ref="A5154" r:id="rId7372"/>
    <hyperlink ref="A5155" r:id="rId7373"/>
    <hyperlink ref="A5156" r:id="rId7374"/>
    <hyperlink ref="A5157" r:id="rId7375"/>
    <hyperlink ref="A5158" r:id="rId7376"/>
    <hyperlink ref="A5159" r:id="rId7377"/>
    <hyperlink ref="A5160" r:id="rId7378"/>
    <hyperlink ref="A5161" r:id="rId7379"/>
    <hyperlink ref="A5162" r:id="rId7380"/>
    <hyperlink ref="A5163" r:id="rId7381"/>
    <hyperlink ref="A5164" r:id="rId7382"/>
    <hyperlink ref="A5165" r:id="rId7383"/>
    <hyperlink ref="A5166" r:id="rId7384"/>
    <hyperlink ref="A5167" r:id="rId7385"/>
    <hyperlink ref="A5168" r:id="rId7386"/>
    <hyperlink ref="A5169" r:id="rId7387"/>
    <hyperlink ref="A5170" r:id="rId7388"/>
    <hyperlink ref="A5171" r:id="rId7389"/>
    <hyperlink ref="A5172" r:id="rId7390"/>
    <hyperlink ref="A5173" r:id="rId7391"/>
    <hyperlink ref="A5174" r:id="rId7392"/>
    <hyperlink ref="A5175" r:id="rId7393"/>
    <hyperlink ref="A5176" r:id="rId7394"/>
    <hyperlink ref="A5177" r:id="rId7395"/>
    <hyperlink ref="A5178" r:id="rId7396"/>
    <hyperlink ref="A5179" r:id="rId7397"/>
    <hyperlink ref="A5180" r:id="rId7398"/>
    <hyperlink ref="A5181" r:id="rId7399"/>
    <hyperlink ref="A5182" r:id="rId7400"/>
    <hyperlink ref="A5183" r:id="rId7401"/>
    <hyperlink ref="A5184" r:id="rId7402"/>
    <hyperlink ref="A5185" r:id="rId7403"/>
    <hyperlink ref="A5186" r:id="rId7404"/>
    <hyperlink ref="A5187" r:id="rId7405"/>
    <hyperlink ref="A5188" r:id="rId7406"/>
    <hyperlink ref="A5189" r:id="rId7407"/>
    <hyperlink ref="A5190" r:id="rId7408"/>
    <hyperlink ref="A5191" r:id="rId7409"/>
    <hyperlink ref="A5192" r:id="rId7410"/>
    <hyperlink ref="A5193" r:id="rId7411"/>
    <hyperlink ref="A5194" r:id="rId7412"/>
    <hyperlink ref="A5195" r:id="rId7413"/>
    <hyperlink ref="A5196" r:id="rId7414"/>
    <hyperlink ref="A5197" r:id="rId7415"/>
    <hyperlink ref="A5198" r:id="rId7416"/>
    <hyperlink ref="A5199" r:id="rId7417"/>
    <hyperlink ref="A5200" r:id="rId7418"/>
    <hyperlink ref="A5201" r:id="rId7419"/>
    <hyperlink ref="A5202" r:id="rId7420"/>
    <hyperlink ref="A5203" r:id="rId7421"/>
    <hyperlink ref="A5204" r:id="rId7422"/>
    <hyperlink ref="A5205" r:id="rId7423"/>
    <hyperlink ref="A5206" r:id="rId7424"/>
    <hyperlink ref="A5207" r:id="rId7425"/>
    <hyperlink ref="A5208" r:id="rId7426"/>
    <hyperlink ref="A5209" r:id="rId7427"/>
    <hyperlink ref="A5210" r:id="rId7428"/>
    <hyperlink ref="A5211" r:id="rId7429"/>
    <hyperlink ref="A5212" r:id="rId7430"/>
    <hyperlink ref="A5213" r:id="rId7431"/>
    <hyperlink ref="A5214" r:id="rId7432"/>
    <hyperlink ref="A5215" r:id="rId7433"/>
    <hyperlink ref="A5216" r:id="rId7434"/>
    <hyperlink ref="A5217" r:id="rId7435"/>
    <hyperlink ref="A5218" r:id="rId7436"/>
    <hyperlink ref="A5219" r:id="rId7437"/>
    <hyperlink ref="A5220" r:id="rId7438"/>
    <hyperlink ref="A5221" r:id="rId7439"/>
    <hyperlink ref="A5222" r:id="rId7440"/>
    <hyperlink ref="A5223" r:id="rId7441"/>
    <hyperlink ref="A5224" r:id="rId7442"/>
    <hyperlink ref="A5225" r:id="rId7443"/>
    <hyperlink ref="A5226" r:id="rId7444"/>
    <hyperlink ref="A5227" r:id="rId7445"/>
    <hyperlink ref="A5228" r:id="rId7446"/>
    <hyperlink ref="A5229" r:id="rId7447"/>
    <hyperlink ref="A5230" r:id="rId7448"/>
    <hyperlink ref="A5231" r:id="rId7449"/>
    <hyperlink ref="A5232" r:id="rId7450"/>
    <hyperlink ref="A5233" r:id="rId7451"/>
    <hyperlink ref="A5234" r:id="rId7452"/>
    <hyperlink ref="A5235" r:id="rId7453"/>
    <hyperlink ref="A5236" r:id="rId7454"/>
    <hyperlink ref="A5237" r:id="rId7455"/>
    <hyperlink ref="A5238" r:id="rId7456"/>
    <hyperlink ref="A5239" r:id="rId7457"/>
    <hyperlink ref="A5240" r:id="rId7458"/>
    <hyperlink ref="A5241" r:id="rId7459"/>
    <hyperlink ref="A5242" r:id="rId7460"/>
    <hyperlink ref="A5243" r:id="rId7461"/>
    <hyperlink ref="A5244" r:id="rId7462"/>
    <hyperlink ref="A5245" r:id="rId7463"/>
    <hyperlink ref="A5246" r:id="rId7464"/>
    <hyperlink ref="A5247" r:id="rId7465"/>
    <hyperlink ref="A5248" r:id="rId7466"/>
    <hyperlink ref="A5249" r:id="rId7467"/>
    <hyperlink ref="A5250" r:id="rId7468"/>
    <hyperlink ref="A5251" r:id="rId7469"/>
    <hyperlink ref="A5252" r:id="rId7470"/>
    <hyperlink ref="A5253" r:id="rId7471"/>
    <hyperlink ref="A5254" r:id="rId7472"/>
    <hyperlink ref="A5255" r:id="rId7473"/>
    <hyperlink ref="A5256" r:id="rId7474"/>
    <hyperlink ref="A5257" r:id="rId7475"/>
    <hyperlink ref="A5258" r:id="rId7476"/>
    <hyperlink ref="A5259" r:id="rId7477"/>
    <hyperlink ref="A5260" r:id="rId7478"/>
    <hyperlink ref="A5261" r:id="rId7479"/>
    <hyperlink ref="A5262" r:id="rId7480"/>
    <hyperlink ref="A5263" r:id="rId7481"/>
    <hyperlink ref="A5264" r:id="rId7482"/>
    <hyperlink ref="A5265" r:id="rId7483"/>
    <hyperlink ref="A5266" r:id="rId7484"/>
    <hyperlink ref="A5267" r:id="rId7485"/>
    <hyperlink ref="A5268" r:id="rId7486"/>
    <hyperlink ref="A5269" r:id="rId7487"/>
    <hyperlink ref="A5270" r:id="rId7488"/>
    <hyperlink ref="A5271" r:id="rId7489"/>
    <hyperlink ref="A5272" r:id="rId7490"/>
    <hyperlink ref="A5273" r:id="rId7491"/>
    <hyperlink ref="A5274" r:id="rId7492"/>
    <hyperlink ref="A5275" r:id="rId7493"/>
    <hyperlink ref="A5276" r:id="rId7494"/>
    <hyperlink ref="A5277" r:id="rId7495"/>
    <hyperlink ref="A5278" r:id="rId7496"/>
    <hyperlink ref="A5279" r:id="rId7497"/>
    <hyperlink ref="A5280" r:id="rId7498"/>
    <hyperlink ref="A5281" r:id="rId7499"/>
    <hyperlink ref="A5282" r:id="rId7500"/>
    <hyperlink ref="A5283" r:id="rId7501"/>
    <hyperlink ref="A5284" r:id="rId7502"/>
    <hyperlink ref="A5285" r:id="rId7503"/>
    <hyperlink ref="A5286" r:id="rId7504"/>
    <hyperlink ref="A5287" r:id="rId7505"/>
    <hyperlink ref="A5288" r:id="rId7506"/>
    <hyperlink ref="A5289" r:id="rId7507"/>
    <hyperlink ref="A5290" r:id="rId7508"/>
    <hyperlink ref="A5291" r:id="rId7509"/>
    <hyperlink ref="A5292" r:id="rId7510"/>
    <hyperlink ref="A5293" r:id="rId7511"/>
    <hyperlink ref="A5294" r:id="rId7512"/>
    <hyperlink ref="A5295" r:id="rId7513"/>
    <hyperlink ref="A5296" r:id="rId7514"/>
    <hyperlink ref="A5297" r:id="rId7515"/>
    <hyperlink ref="A5298" r:id="rId7516"/>
    <hyperlink ref="A5299" r:id="rId7517"/>
    <hyperlink ref="A5300" r:id="rId7518"/>
    <hyperlink ref="A5301" r:id="rId7519"/>
    <hyperlink ref="A5302" r:id="rId7520"/>
    <hyperlink ref="A5303" r:id="rId7521"/>
    <hyperlink ref="A5304" r:id="rId7522"/>
    <hyperlink ref="A5305" r:id="rId7523"/>
    <hyperlink ref="A5306" r:id="rId7524"/>
    <hyperlink ref="A5307" r:id="rId7525"/>
    <hyperlink ref="A5308" r:id="rId7526"/>
    <hyperlink ref="A5309" r:id="rId7527"/>
    <hyperlink ref="A5310" r:id="rId7528"/>
    <hyperlink ref="A5311" r:id="rId7529"/>
    <hyperlink ref="A5312" r:id="rId7530"/>
    <hyperlink ref="A5313" r:id="rId7531"/>
    <hyperlink ref="A5314" r:id="rId7532"/>
    <hyperlink ref="A5315" r:id="rId7533"/>
    <hyperlink ref="A5316" r:id="rId7534"/>
    <hyperlink ref="A5317" r:id="rId7535"/>
    <hyperlink ref="A5318" r:id="rId7536"/>
    <hyperlink ref="A5319" r:id="rId7537"/>
    <hyperlink ref="A5320" r:id="rId7538"/>
    <hyperlink ref="A5321" r:id="rId7539"/>
    <hyperlink ref="A5322" r:id="rId7540"/>
    <hyperlink ref="A5323" r:id="rId7541"/>
    <hyperlink ref="A5324" r:id="rId7542"/>
    <hyperlink ref="A5325" r:id="rId7543"/>
    <hyperlink ref="A5326" r:id="rId7544"/>
    <hyperlink ref="A5327" r:id="rId7545"/>
    <hyperlink ref="A5328" r:id="rId7546"/>
    <hyperlink ref="A5329" r:id="rId7547"/>
    <hyperlink ref="A5330" r:id="rId7548"/>
    <hyperlink ref="A5331" r:id="rId7549"/>
    <hyperlink ref="A5332" r:id="rId7550"/>
    <hyperlink ref="A5333" r:id="rId7551"/>
    <hyperlink ref="A5334" r:id="rId7552"/>
    <hyperlink ref="A5335" r:id="rId7553"/>
    <hyperlink ref="A5336" r:id="rId7554"/>
    <hyperlink ref="A5337" r:id="rId7555"/>
    <hyperlink ref="A5338" r:id="rId7556"/>
    <hyperlink ref="A5339" r:id="rId7557"/>
    <hyperlink ref="A5340" r:id="rId7558"/>
    <hyperlink ref="A5341" r:id="rId7559"/>
    <hyperlink ref="A5342" r:id="rId7560"/>
    <hyperlink ref="A5343" r:id="rId7561"/>
    <hyperlink ref="A5344" r:id="rId7562"/>
    <hyperlink ref="A5345" r:id="rId7563"/>
    <hyperlink ref="A5346" r:id="rId7564"/>
    <hyperlink ref="A5347" r:id="rId7565"/>
    <hyperlink ref="A5348" r:id="rId7566"/>
    <hyperlink ref="A5349" r:id="rId7567"/>
    <hyperlink ref="A5350" r:id="rId7568"/>
    <hyperlink ref="A5351" r:id="rId7569"/>
    <hyperlink ref="A5352" r:id="rId7570"/>
    <hyperlink ref="A5353" r:id="rId7571"/>
    <hyperlink ref="A5354" r:id="rId7572"/>
    <hyperlink ref="A5355" r:id="rId7573"/>
    <hyperlink ref="A5356" r:id="rId7574"/>
    <hyperlink ref="A5357" r:id="rId7575"/>
    <hyperlink ref="A5358" r:id="rId7576"/>
    <hyperlink ref="A5359" r:id="rId7577"/>
    <hyperlink ref="A5360" r:id="rId7578"/>
    <hyperlink ref="A5361" r:id="rId7579"/>
    <hyperlink ref="A5362" r:id="rId7580"/>
    <hyperlink ref="A5363" r:id="rId7581"/>
    <hyperlink ref="A5364" r:id="rId7582"/>
    <hyperlink ref="A5365" r:id="rId7583"/>
    <hyperlink ref="A5366" r:id="rId7584"/>
    <hyperlink ref="A5367" r:id="rId7585"/>
    <hyperlink ref="A5368" r:id="rId7586"/>
    <hyperlink ref="A5369" r:id="rId7587"/>
    <hyperlink ref="A5370" r:id="rId7588"/>
    <hyperlink ref="A5371" r:id="rId7589"/>
    <hyperlink ref="A5372" r:id="rId7590"/>
    <hyperlink ref="A5373" r:id="rId7591"/>
    <hyperlink ref="A5374" r:id="rId7592"/>
    <hyperlink ref="A5375" r:id="rId7593"/>
    <hyperlink ref="A5376" r:id="rId7594"/>
    <hyperlink ref="A5377" r:id="rId7595"/>
    <hyperlink ref="A5378" r:id="rId7596"/>
    <hyperlink ref="A5379" r:id="rId7597"/>
    <hyperlink ref="A5380" r:id="rId7598"/>
    <hyperlink ref="A5381" r:id="rId7599"/>
    <hyperlink ref="A5382" r:id="rId7600"/>
    <hyperlink ref="A5383" r:id="rId7601"/>
    <hyperlink ref="A5384" r:id="rId7602"/>
    <hyperlink ref="A5385" r:id="rId7603"/>
    <hyperlink ref="A5386" r:id="rId7604"/>
    <hyperlink ref="A5387" r:id="rId7605"/>
    <hyperlink ref="A5388" r:id="rId7606"/>
    <hyperlink ref="A5389" r:id="rId7607"/>
    <hyperlink ref="A5390" r:id="rId7608"/>
    <hyperlink ref="A5391" r:id="rId7609"/>
    <hyperlink ref="A5392" r:id="rId7610"/>
    <hyperlink ref="A5393" r:id="rId7611"/>
    <hyperlink ref="A5394" r:id="rId7612"/>
    <hyperlink ref="A5395" r:id="rId7613"/>
    <hyperlink ref="A5396" r:id="rId7614"/>
    <hyperlink ref="A5397" r:id="rId7615"/>
    <hyperlink ref="A5398" r:id="rId7616"/>
    <hyperlink ref="A5399" r:id="rId7617"/>
    <hyperlink ref="A5400" r:id="rId7618"/>
    <hyperlink ref="A5401" r:id="rId7619"/>
    <hyperlink ref="A5402" r:id="rId7620"/>
    <hyperlink ref="A5403" r:id="rId7621"/>
    <hyperlink ref="A5404" r:id="rId7622"/>
    <hyperlink ref="A5405" r:id="rId7623"/>
    <hyperlink ref="A5406" r:id="rId7624"/>
    <hyperlink ref="A5407" r:id="rId7625"/>
    <hyperlink ref="A5408" r:id="rId7626"/>
    <hyperlink ref="A5409" r:id="rId7627"/>
    <hyperlink ref="A5410" r:id="rId7628"/>
    <hyperlink ref="A5411" r:id="rId7629"/>
    <hyperlink ref="A5412" r:id="rId7630"/>
    <hyperlink ref="A5413" r:id="rId7631"/>
    <hyperlink ref="A5414" r:id="rId7632"/>
    <hyperlink ref="A5415" r:id="rId7633"/>
    <hyperlink ref="A5416" r:id="rId7634"/>
    <hyperlink ref="A5417" r:id="rId7635"/>
    <hyperlink ref="A5418" r:id="rId7636"/>
    <hyperlink ref="A5419" r:id="rId7637"/>
    <hyperlink ref="A5420" r:id="rId7638"/>
    <hyperlink ref="A5421" r:id="rId7639"/>
    <hyperlink ref="A5422" r:id="rId7640"/>
    <hyperlink ref="A5423" r:id="rId7641"/>
    <hyperlink ref="A5424" r:id="rId7642"/>
    <hyperlink ref="A5425" r:id="rId7643"/>
    <hyperlink ref="A5426" r:id="rId7644"/>
    <hyperlink ref="A5427" r:id="rId7645"/>
    <hyperlink ref="A5428" r:id="rId7646"/>
    <hyperlink ref="A5429" r:id="rId7647"/>
    <hyperlink ref="A5430" r:id="rId7648"/>
    <hyperlink ref="A5431" r:id="rId7649"/>
    <hyperlink ref="A5432" r:id="rId7650"/>
    <hyperlink ref="A5433" r:id="rId7651"/>
    <hyperlink ref="A5434" r:id="rId7652"/>
    <hyperlink ref="A5435" r:id="rId7653"/>
    <hyperlink ref="A5436" r:id="rId7654"/>
    <hyperlink ref="A5437" r:id="rId7655"/>
    <hyperlink ref="A5438" r:id="rId7656"/>
    <hyperlink ref="A5439" r:id="rId7657"/>
    <hyperlink ref="A5440" r:id="rId7658"/>
    <hyperlink ref="A5441" r:id="rId7659"/>
    <hyperlink ref="A5442" r:id="rId7660"/>
    <hyperlink ref="A5443" r:id="rId7661"/>
    <hyperlink ref="A5444" r:id="rId7662"/>
    <hyperlink ref="A5445" r:id="rId7663"/>
    <hyperlink ref="A5446" r:id="rId7664"/>
    <hyperlink ref="A5447" r:id="rId7665"/>
    <hyperlink ref="A5448" r:id="rId7666"/>
    <hyperlink ref="A5449" r:id="rId7667"/>
    <hyperlink ref="A5450" r:id="rId7668"/>
    <hyperlink ref="A5451" r:id="rId7669"/>
    <hyperlink ref="A5452" r:id="rId7670"/>
    <hyperlink ref="A5453" r:id="rId7671"/>
    <hyperlink ref="A5454" r:id="rId7672"/>
    <hyperlink ref="A5455" r:id="rId7673"/>
    <hyperlink ref="A5456" r:id="rId7674"/>
    <hyperlink ref="A5457" r:id="rId7675"/>
    <hyperlink ref="A5458" r:id="rId7676"/>
    <hyperlink ref="A5459" r:id="rId7677"/>
    <hyperlink ref="A5460" r:id="rId7678"/>
    <hyperlink ref="A5461" r:id="rId7679"/>
    <hyperlink ref="A5462" r:id="rId7680"/>
    <hyperlink ref="A5463" r:id="rId7681"/>
    <hyperlink ref="A5464" r:id="rId7682"/>
    <hyperlink ref="A5465" r:id="rId7683"/>
    <hyperlink ref="A5466" r:id="rId7684"/>
    <hyperlink ref="A5467" r:id="rId7685"/>
    <hyperlink ref="A5468" r:id="rId7686"/>
    <hyperlink ref="A5469" r:id="rId7687"/>
    <hyperlink ref="A5470" r:id="rId7688"/>
    <hyperlink ref="A5471" r:id="rId7689"/>
    <hyperlink ref="A5472" r:id="rId7690"/>
    <hyperlink ref="A5473" r:id="rId7691"/>
    <hyperlink ref="A5474" r:id="rId7692"/>
    <hyperlink ref="A5475" r:id="rId7693"/>
    <hyperlink ref="A5476" r:id="rId7694"/>
    <hyperlink ref="A5477" r:id="rId7695"/>
    <hyperlink ref="A5478" r:id="rId7696"/>
    <hyperlink ref="A5479" r:id="rId7697"/>
    <hyperlink ref="A5480" r:id="rId7698"/>
    <hyperlink ref="A5481" r:id="rId7699"/>
    <hyperlink ref="A5482" r:id="rId7700"/>
    <hyperlink ref="A5483" r:id="rId7701"/>
    <hyperlink ref="A5484" r:id="rId7702"/>
    <hyperlink ref="A5485" r:id="rId7703"/>
    <hyperlink ref="A5486" r:id="rId7704"/>
    <hyperlink ref="A5487" r:id="rId7705"/>
    <hyperlink ref="A5488" r:id="rId7706"/>
    <hyperlink ref="A5489" r:id="rId7707"/>
    <hyperlink ref="A5490" r:id="rId7708"/>
    <hyperlink ref="A5491" r:id="rId7709"/>
    <hyperlink ref="A5492" r:id="rId7710"/>
    <hyperlink ref="A5493" r:id="rId7711"/>
    <hyperlink ref="A5494" r:id="rId7712"/>
    <hyperlink ref="A5495" r:id="rId7713"/>
    <hyperlink ref="A5496" r:id="rId7714"/>
    <hyperlink ref="A5497" r:id="rId7715"/>
    <hyperlink ref="A5498" r:id="rId7716"/>
    <hyperlink ref="A5499" r:id="rId7717"/>
    <hyperlink ref="A5500" r:id="rId7718"/>
    <hyperlink ref="A5501" r:id="rId7719"/>
    <hyperlink ref="A5502" r:id="rId7720"/>
    <hyperlink ref="A5503" r:id="rId7721"/>
    <hyperlink ref="A5504" r:id="rId7722"/>
    <hyperlink ref="A5505" r:id="rId7723"/>
    <hyperlink ref="A5506" r:id="rId7724"/>
    <hyperlink ref="A5507" r:id="rId7725"/>
    <hyperlink ref="A5508" r:id="rId7726"/>
    <hyperlink ref="A5509" r:id="rId7727"/>
    <hyperlink ref="A5510" r:id="rId7728"/>
    <hyperlink ref="A5511" r:id="rId7729"/>
    <hyperlink ref="A5512" r:id="rId7730"/>
    <hyperlink ref="A5513" r:id="rId7731"/>
    <hyperlink ref="A5514" r:id="rId7732"/>
    <hyperlink ref="A5515" r:id="rId7733"/>
    <hyperlink ref="A5516" r:id="rId7734"/>
    <hyperlink ref="A5517" r:id="rId7735"/>
    <hyperlink ref="A5518" r:id="rId7736"/>
    <hyperlink ref="A5519" r:id="rId7737"/>
    <hyperlink ref="A5520" r:id="rId7738"/>
    <hyperlink ref="A5521" r:id="rId7739"/>
    <hyperlink ref="A5522" r:id="rId7740"/>
    <hyperlink ref="A5523" r:id="rId7741"/>
    <hyperlink ref="A5524" r:id="rId7742"/>
    <hyperlink ref="A5525" r:id="rId7743"/>
    <hyperlink ref="A5526" r:id="rId7744"/>
    <hyperlink ref="A5527" r:id="rId7745"/>
    <hyperlink ref="A5528" r:id="rId7746"/>
    <hyperlink ref="A5529" r:id="rId7747"/>
    <hyperlink ref="A5530" r:id="rId7748"/>
    <hyperlink ref="A5531" r:id="rId7749"/>
    <hyperlink ref="A5532" r:id="rId7750"/>
    <hyperlink ref="A5533" r:id="rId7751"/>
    <hyperlink ref="A5534" r:id="rId7752"/>
    <hyperlink ref="A5535" r:id="rId7753"/>
    <hyperlink ref="A5536" r:id="rId7754"/>
    <hyperlink ref="A5537" r:id="rId7755"/>
    <hyperlink ref="A5538" r:id="rId7756"/>
    <hyperlink ref="A5539" r:id="rId7757"/>
    <hyperlink ref="A5540" r:id="rId7758"/>
    <hyperlink ref="A5541" r:id="rId7759"/>
    <hyperlink ref="A5542" r:id="rId7760"/>
    <hyperlink ref="A5543" r:id="rId7761"/>
    <hyperlink ref="A5544" r:id="rId7762"/>
    <hyperlink ref="A5545" r:id="rId7763"/>
    <hyperlink ref="A5546" r:id="rId7764"/>
    <hyperlink ref="A5547" r:id="rId7765"/>
    <hyperlink ref="A5548" r:id="rId7766"/>
    <hyperlink ref="A5549" r:id="rId7767"/>
    <hyperlink ref="A5550" r:id="rId7768"/>
    <hyperlink ref="A5551" r:id="rId7769"/>
    <hyperlink ref="A5552" r:id="rId7770"/>
    <hyperlink ref="A5553" r:id="rId7771"/>
    <hyperlink ref="A5554" r:id="rId7772"/>
    <hyperlink ref="A5555" r:id="rId7773"/>
    <hyperlink ref="A5556" r:id="rId7774"/>
    <hyperlink ref="A5557" r:id="rId7775"/>
    <hyperlink ref="A5558" r:id="rId7776"/>
    <hyperlink ref="A5559" r:id="rId7777"/>
    <hyperlink ref="A5560" r:id="rId7778"/>
    <hyperlink ref="A5561" r:id="rId7779"/>
    <hyperlink ref="A5562" r:id="rId7780"/>
    <hyperlink ref="A5563" r:id="rId7781"/>
    <hyperlink ref="A5564" r:id="rId7782"/>
    <hyperlink ref="A5565" r:id="rId7783"/>
    <hyperlink ref="A5566" r:id="rId7784"/>
    <hyperlink ref="A5567" r:id="rId7785"/>
    <hyperlink ref="A5568" r:id="rId7786"/>
    <hyperlink ref="A5569" r:id="rId7787"/>
    <hyperlink ref="A5570" r:id="rId7788"/>
    <hyperlink ref="A5571" r:id="rId7789"/>
    <hyperlink ref="A5572" r:id="rId7790"/>
    <hyperlink ref="A5573" r:id="rId7791"/>
    <hyperlink ref="A5574" r:id="rId7792"/>
    <hyperlink ref="A5575" r:id="rId7793"/>
    <hyperlink ref="A5576" r:id="rId7794"/>
    <hyperlink ref="A5577" r:id="rId7795"/>
    <hyperlink ref="A5578" r:id="rId7796"/>
    <hyperlink ref="A5579" r:id="rId7797"/>
    <hyperlink ref="A5580" r:id="rId7798"/>
    <hyperlink ref="A5581" r:id="rId7799"/>
    <hyperlink ref="A5582" r:id="rId7800"/>
    <hyperlink ref="A5583" r:id="rId7801"/>
    <hyperlink ref="A5584" r:id="rId7802"/>
    <hyperlink ref="A5585" r:id="rId7803"/>
    <hyperlink ref="A5586" r:id="rId7804"/>
    <hyperlink ref="A5587" r:id="rId7805"/>
    <hyperlink ref="A5588" r:id="rId7806"/>
    <hyperlink ref="A5589" r:id="rId7807"/>
    <hyperlink ref="A5590" r:id="rId7808"/>
    <hyperlink ref="A5591" r:id="rId7809"/>
    <hyperlink ref="A5592" r:id="rId7810"/>
    <hyperlink ref="A5593" r:id="rId7811"/>
    <hyperlink ref="A5594" r:id="rId7812"/>
    <hyperlink ref="A5595" r:id="rId7813"/>
    <hyperlink ref="A5596" r:id="rId7814"/>
    <hyperlink ref="A5597" r:id="rId7815"/>
    <hyperlink ref="A5598" r:id="rId7816"/>
    <hyperlink ref="A5599" r:id="rId7817"/>
    <hyperlink ref="A5600" r:id="rId7818"/>
    <hyperlink ref="A5601" r:id="rId7819"/>
    <hyperlink ref="A5602" r:id="rId7820"/>
    <hyperlink ref="A5603" r:id="rId7821"/>
    <hyperlink ref="A5604" r:id="rId7822"/>
    <hyperlink ref="A5605" r:id="rId7823"/>
    <hyperlink ref="A5606" r:id="rId7824"/>
    <hyperlink ref="A5607" r:id="rId7825"/>
    <hyperlink ref="A5608" r:id="rId7826"/>
    <hyperlink ref="A5609" r:id="rId7827"/>
    <hyperlink ref="A5610" r:id="rId7828"/>
    <hyperlink ref="A5611" r:id="rId7829"/>
    <hyperlink ref="A5612" r:id="rId7830"/>
    <hyperlink ref="A5613" r:id="rId7831"/>
    <hyperlink ref="A5614" r:id="rId7832"/>
    <hyperlink ref="A5615" r:id="rId7833"/>
    <hyperlink ref="A5616" r:id="rId7834"/>
    <hyperlink ref="A5617" r:id="rId7835"/>
    <hyperlink ref="A5618" r:id="rId7836"/>
    <hyperlink ref="A5619" r:id="rId7837"/>
    <hyperlink ref="A5620" r:id="rId7838"/>
    <hyperlink ref="A5621" r:id="rId7839"/>
    <hyperlink ref="A5622" r:id="rId7840"/>
    <hyperlink ref="A5623" r:id="rId7841"/>
    <hyperlink ref="A5624" r:id="rId7842"/>
    <hyperlink ref="A5625" r:id="rId7843"/>
    <hyperlink ref="A5626" r:id="rId7844"/>
    <hyperlink ref="A5627" r:id="rId7845"/>
    <hyperlink ref="A5628" r:id="rId7846"/>
    <hyperlink ref="A5629" r:id="rId7847"/>
    <hyperlink ref="A5630" r:id="rId7848"/>
    <hyperlink ref="A5631" r:id="rId7849"/>
    <hyperlink ref="A5632" r:id="rId7850"/>
    <hyperlink ref="A5633" r:id="rId7851"/>
    <hyperlink ref="A5634" r:id="rId7852"/>
    <hyperlink ref="A5635" r:id="rId7853"/>
    <hyperlink ref="A5636" r:id="rId7854"/>
    <hyperlink ref="A5637" r:id="rId7855"/>
    <hyperlink ref="A5638" r:id="rId7856"/>
    <hyperlink ref="A5639" r:id="rId7857"/>
    <hyperlink ref="A5640" r:id="rId7858"/>
    <hyperlink ref="A5641" r:id="rId7859"/>
    <hyperlink ref="A5642" r:id="rId7860"/>
    <hyperlink ref="A5643" r:id="rId7861"/>
    <hyperlink ref="A5644" r:id="rId7862"/>
    <hyperlink ref="A5645" r:id="rId7863"/>
    <hyperlink ref="A5646" r:id="rId7864"/>
    <hyperlink ref="A5647" r:id="rId7865"/>
    <hyperlink ref="A5648" r:id="rId7866"/>
    <hyperlink ref="A5649" r:id="rId7867"/>
    <hyperlink ref="A5650" r:id="rId7868"/>
    <hyperlink ref="A5651" r:id="rId7869"/>
    <hyperlink ref="A5652" r:id="rId7870"/>
    <hyperlink ref="A5653" r:id="rId7871"/>
    <hyperlink ref="A5654" r:id="rId7872"/>
    <hyperlink ref="A5655" r:id="rId7873"/>
    <hyperlink ref="A5656" r:id="rId7874"/>
    <hyperlink ref="A5657" r:id="rId7875"/>
    <hyperlink ref="A5658" r:id="rId7876"/>
    <hyperlink ref="A5659" r:id="rId7877"/>
    <hyperlink ref="A5660" r:id="rId7878"/>
    <hyperlink ref="A5661" r:id="rId7879"/>
    <hyperlink ref="A5662" r:id="rId7880"/>
    <hyperlink ref="A5663" r:id="rId7881"/>
    <hyperlink ref="A5664" r:id="rId7882"/>
    <hyperlink ref="A5665" r:id="rId7883"/>
    <hyperlink ref="A5666" r:id="rId7884"/>
    <hyperlink ref="A5667" r:id="rId7885"/>
    <hyperlink ref="A5668" r:id="rId7886"/>
    <hyperlink ref="A5669" r:id="rId7887"/>
    <hyperlink ref="A5670" r:id="rId7888"/>
    <hyperlink ref="A5671" r:id="rId7889"/>
    <hyperlink ref="A5672" r:id="rId7890"/>
    <hyperlink ref="A5673" r:id="rId7891"/>
    <hyperlink ref="A5674" r:id="rId7892"/>
    <hyperlink ref="A5675" r:id="rId7893"/>
    <hyperlink ref="A5676" r:id="rId7894"/>
    <hyperlink ref="A5677" r:id="rId7895"/>
    <hyperlink ref="A5678" r:id="rId7896"/>
    <hyperlink ref="A5679" r:id="rId7897"/>
    <hyperlink ref="A5680" r:id="rId7898"/>
    <hyperlink ref="A5681" r:id="rId7899"/>
    <hyperlink ref="A5682" r:id="rId7900"/>
    <hyperlink ref="A5683" r:id="rId7901"/>
    <hyperlink ref="A5684" r:id="rId7902"/>
    <hyperlink ref="A5685" r:id="rId7903"/>
    <hyperlink ref="A5686" r:id="rId7904"/>
    <hyperlink ref="A5687" r:id="rId7905"/>
    <hyperlink ref="A5688" r:id="rId7906"/>
    <hyperlink ref="A5689" r:id="rId7907"/>
    <hyperlink ref="A5690" r:id="rId7908"/>
    <hyperlink ref="A5691" r:id="rId7909"/>
    <hyperlink ref="A5692" r:id="rId7910"/>
    <hyperlink ref="A5693" r:id="rId7911"/>
    <hyperlink ref="A5694" r:id="rId7912"/>
    <hyperlink ref="A5695" r:id="rId7913"/>
    <hyperlink ref="A5696" r:id="rId7914"/>
    <hyperlink ref="A5697" r:id="rId7915"/>
    <hyperlink ref="A5698" r:id="rId7916"/>
    <hyperlink ref="A5699" r:id="rId7917"/>
    <hyperlink ref="A5700" r:id="rId7918"/>
    <hyperlink ref="A5701" r:id="rId7919"/>
    <hyperlink ref="A5702" r:id="rId7920"/>
    <hyperlink ref="A5703" r:id="rId7921"/>
    <hyperlink ref="A5704" r:id="rId7922"/>
    <hyperlink ref="A5705" r:id="rId7923"/>
    <hyperlink ref="A5706" r:id="rId7924"/>
    <hyperlink ref="A5707" r:id="rId7925"/>
    <hyperlink ref="A5708" r:id="rId7926"/>
    <hyperlink ref="A5709" r:id="rId7927"/>
    <hyperlink ref="A5710" r:id="rId7928"/>
    <hyperlink ref="A5711" r:id="rId7929"/>
    <hyperlink ref="A5712" r:id="rId7930"/>
    <hyperlink ref="A5713" r:id="rId7931"/>
    <hyperlink ref="A5714" r:id="rId7932"/>
    <hyperlink ref="A5715" r:id="rId7933"/>
    <hyperlink ref="A5716" r:id="rId7934"/>
    <hyperlink ref="A5717" r:id="rId7935"/>
    <hyperlink ref="A5718" r:id="rId7936"/>
    <hyperlink ref="A5719" r:id="rId7937"/>
    <hyperlink ref="A5720" r:id="rId7938"/>
    <hyperlink ref="A5721" r:id="rId7939"/>
    <hyperlink ref="A5722" r:id="rId7940"/>
    <hyperlink ref="A5723" r:id="rId7941"/>
    <hyperlink ref="A5724" r:id="rId7942"/>
    <hyperlink ref="A5725" r:id="rId7943"/>
    <hyperlink ref="A5726" r:id="rId7944"/>
    <hyperlink ref="A5727" r:id="rId7945"/>
    <hyperlink ref="A5728" r:id="rId7946"/>
    <hyperlink ref="A5729" r:id="rId7947"/>
    <hyperlink ref="A5730" r:id="rId7948"/>
    <hyperlink ref="A5731" r:id="rId7949"/>
    <hyperlink ref="A5732" r:id="rId7950"/>
    <hyperlink ref="A5733" r:id="rId7951"/>
    <hyperlink ref="A5734" r:id="rId7952"/>
    <hyperlink ref="A5735" r:id="rId7953"/>
    <hyperlink ref="A5736" r:id="rId7954"/>
    <hyperlink ref="A5737" r:id="rId7955"/>
    <hyperlink ref="A5738" r:id="rId7956"/>
    <hyperlink ref="A5739" r:id="rId7957"/>
    <hyperlink ref="A5740" r:id="rId7958"/>
    <hyperlink ref="A5741" r:id="rId7959"/>
    <hyperlink ref="A5742" r:id="rId7960"/>
    <hyperlink ref="A5743" r:id="rId7961"/>
    <hyperlink ref="A5744" r:id="rId7962"/>
    <hyperlink ref="A5745" r:id="rId7963"/>
    <hyperlink ref="A5746" r:id="rId7964"/>
    <hyperlink ref="A5747" r:id="rId7965"/>
    <hyperlink ref="A5748" r:id="rId7966"/>
    <hyperlink ref="A5749" r:id="rId7967"/>
    <hyperlink ref="A5750" r:id="rId7968"/>
    <hyperlink ref="A5751" r:id="rId7969"/>
    <hyperlink ref="A5752" r:id="rId7970"/>
    <hyperlink ref="A5753" r:id="rId7971"/>
    <hyperlink ref="A5754" r:id="rId7972"/>
    <hyperlink ref="A5755" r:id="rId7973"/>
    <hyperlink ref="A5756" r:id="rId7974"/>
    <hyperlink ref="A5757" r:id="rId7975"/>
    <hyperlink ref="A5758" r:id="rId7976"/>
    <hyperlink ref="A5759" r:id="rId7977"/>
    <hyperlink ref="A5760" r:id="rId7978"/>
    <hyperlink ref="A5761" r:id="rId7979"/>
    <hyperlink ref="A5762" r:id="rId7980"/>
    <hyperlink ref="A5763" r:id="rId7981"/>
    <hyperlink ref="A5764" r:id="rId7982"/>
    <hyperlink ref="A5765" r:id="rId7983"/>
    <hyperlink ref="A5766" r:id="rId7984"/>
    <hyperlink ref="A5767" r:id="rId7985"/>
    <hyperlink ref="A5768" r:id="rId7986"/>
    <hyperlink ref="A5769" r:id="rId7987"/>
    <hyperlink ref="A5770" r:id="rId7988"/>
    <hyperlink ref="A5771" r:id="rId7989"/>
    <hyperlink ref="A5772" r:id="rId7990"/>
    <hyperlink ref="A5773" r:id="rId7991"/>
    <hyperlink ref="A5774" r:id="rId7992"/>
    <hyperlink ref="A5775" r:id="rId7993"/>
    <hyperlink ref="A5776" r:id="rId7994"/>
    <hyperlink ref="A5777" r:id="rId7995"/>
    <hyperlink ref="A5778" r:id="rId7996"/>
    <hyperlink ref="A5779" r:id="rId7997"/>
    <hyperlink ref="A5780" r:id="rId7998"/>
    <hyperlink ref="A5781" r:id="rId7999"/>
    <hyperlink ref="A5782" r:id="rId8000"/>
    <hyperlink ref="A5783" r:id="rId8001"/>
    <hyperlink ref="A5784" r:id="rId8002"/>
    <hyperlink ref="A5785" r:id="rId8003"/>
    <hyperlink ref="A5786" r:id="rId8004"/>
    <hyperlink ref="A5787" r:id="rId8005"/>
    <hyperlink ref="A5788" r:id="rId8006"/>
    <hyperlink ref="A5789" r:id="rId8007"/>
    <hyperlink ref="A5790" r:id="rId8008"/>
    <hyperlink ref="A5791" r:id="rId8009"/>
    <hyperlink ref="A5792" r:id="rId8010"/>
    <hyperlink ref="A5793" r:id="rId8011"/>
    <hyperlink ref="A5794" r:id="rId8012"/>
    <hyperlink ref="A5795" r:id="rId8013"/>
    <hyperlink ref="A5796" r:id="rId8014"/>
    <hyperlink ref="A5797" r:id="rId8015"/>
    <hyperlink ref="A5798" r:id="rId8016"/>
    <hyperlink ref="A5799" r:id="rId8017"/>
    <hyperlink ref="A5800" r:id="rId8018"/>
    <hyperlink ref="A5801" r:id="rId8019"/>
    <hyperlink ref="A5802" r:id="rId8020"/>
    <hyperlink ref="A5803" r:id="rId8021"/>
    <hyperlink ref="A5804" r:id="rId8022"/>
    <hyperlink ref="A5805" r:id="rId8023"/>
    <hyperlink ref="A5806" r:id="rId8024"/>
    <hyperlink ref="A5807" r:id="rId8025"/>
    <hyperlink ref="A5808" r:id="rId8026"/>
    <hyperlink ref="A5809" r:id="rId8027"/>
    <hyperlink ref="A5810" r:id="rId8028"/>
    <hyperlink ref="A5811" r:id="rId8029"/>
    <hyperlink ref="A5812" r:id="rId8030"/>
    <hyperlink ref="A5813" r:id="rId8031"/>
    <hyperlink ref="A5814" r:id="rId8032"/>
    <hyperlink ref="A5815" r:id="rId8033"/>
    <hyperlink ref="A5816" r:id="rId8034"/>
    <hyperlink ref="A5817" r:id="rId8035"/>
    <hyperlink ref="A5818" r:id="rId8036"/>
    <hyperlink ref="A5819" r:id="rId8037"/>
    <hyperlink ref="A5820" r:id="rId8038"/>
    <hyperlink ref="A5821" r:id="rId8039"/>
    <hyperlink ref="A5822" r:id="rId8040"/>
    <hyperlink ref="A5823" r:id="rId8041"/>
    <hyperlink ref="A5824" r:id="rId8042"/>
    <hyperlink ref="A5825" r:id="rId8043"/>
    <hyperlink ref="A5826" r:id="rId8044"/>
    <hyperlink ref="A5827" r:id="rId8045"/>
    <hyperlink ref="A5828" r:id="rId8046"/>
    <hyperlink ref="A5829" r:id="rId8047"/>
    <hyperlink ref="A5830" r:id="rId8048"/>
    <hyperlink ref="A5831" r:id="rId8049"/>
    <hyperlink ref="A5832" r:id="rId8050"/>
    <hyperlink ref="A5833" r:id="rId8051"/>
    <hyperlink ref="A5834" r:id="rId8052"/>
    <hyperlink ref="A5835" r:id="rId8053"/>
    <hyperlink ref="A5836" r:id="rId8054"/>
    <hyperlink ref="A5837" r:id="rId8055"/>
    <hyperlink ref="A5838" r:id="rId8056"/>
    <hyperlink ref="A5839" r:id="rId8057"/>
    <hyperlink ref="A5840" r:id="rId8058"/>
    <hyperlink ref="A5841" r:id="rId8059"/>
    <hyperlink ref="A5842" r:id="rId8060"/>
    <hyperlink ref="A5843" r:id="rId8061"/>
    <hyperlink ref="A5844" r:id="rId8062"/>
    <hyperlink ref="A5845" r:id="rId8063"/>
    <hyperlink ref="A5846" r:id="rId8064"/>
    <hyperlink ref="A5847" r:id="rId8065"/>
    <hyperlink ref="A5848" r:id="rId8066"/>
    <hyperlink ref="A5849" r:id="rId8067"/>
    <hyperlink ref="A5850" r:id="rId8068"/>
    <hyperlink ref="A5851" r:id="rId8069"/>
    <hyperlink ref="A5852" r:id="rId8070"/>
    <hyperlink ref="A5853" r:id="rId8071"/>
    <hyperlink ref="A5854" r:id="rId8072"/>
    <hyperlink ref="A5855" r:id="rId8073"/>
    <hyperlink ref="A5856" r:id="rId8074"/>
    <hyperlink ref="A5857" r:id="rId8075"/>
    <hyperlink ref="A5858" r:id="rId8076"/>
    <hyperlink ref="A5859" r:id="rId8077"/>
    <hyperlink ref="A5860" r:id="rId8078"/>
    <hyperlink ref="A5861" r:id="rId8079"/>
    <hyperlink ref="A5862" r:id="rId8080"/>
    <hyperlink ref="A5863" r:id="rId8081"/>
    <hyperlink ref="A5864" r:id="rId8082"/>
    <hyperlink ref="A5865" r:id="rId8083"/>
    <hyperlink ref="A5866" r:id="rId8084"/>
    <hyperlink ref="A5867" r:id="rId8085"/>
    <hyperlink ref="A5868" r:id="rId8086"/>
    <hyperlink ref="A5869" r:id="rId8087"/>
    <hyperlink ref="A5870" r:id="rId8088"/>
    <hyperlink ref="A5871" r:id="rId8089"/>
    <hyperlink ref="A5872" r:id="rId8090"/>
    <hyperlink ref="A5873" r:id="rId8091"/>
    <hyperlink ref="A5874" r:id="rId8092"/>
    <hyperlink ref="A5875" r:id="rId8093"/>
    <hyperlink ref="A5876" r:id="rId8094"/>
    <hyperlink ref="A5877" r:id="rId8095"/>
    <hyperlink ref="A5878" r:id="rId8096"/>
    <hyperlink ref="A5879" r:id="rId8097"/>
    <hyperlink ref="A5880" r:id="rId8098"/>
    <hyperlink ref="A5881" r:id="rId8099"/>
    <hyperlink ref="A5882" r:id="rId8100"/>
    <hyperlink ref="A5883" r:id="rId8101"/>
    <hyperlink ref="A5884" r:id="rId8102"/>
    <hyperlink ref="A5885" r:id="rId8103"/>
    <hyperlink ref="A5886" r:id="rId8104"/>
    <hyperlink ref="A5887" r:id="rId8105"/>
    <hyperlink ref="A5888" r:id="rId8106"/>
    <hyperlink ref="A5889" r:id="rId8107"/>
    <hyperlink ref="A5890" r:id="rId8108"/>
    <hyperlink ref="A5891" r:id="rId8109"/>
    <hyperlink ref="A5892" r:id="rId8110"/>
    <hyperlink ref="A5893" r:id="rId8111"/>
    <hyperlink ref="A5894" r:id="rId8112"/>
    <hyperlink ref="A5895" r:id="rId8113"/>
    <hyperlink ref="A5896" r:id="rId8114"/>
    <hyperlink ref="A5897" r:id="rId8115"/>
    <hyperlink ref="A5898" r:id="rId8116"/>
    <hyperlink ref="A5899" r:id="rId8117"/>
    <hyperlink ref="A5900" r:id="rId8118"/>
    <hyperlink ref="A5901" r:id="rId8119"/>
    <hyperlink ref="A5902" r:id="rId8120"/>
    <hyperlink ref="A5903" r:id="rId8121"/>
    <hyperlink ref="A5904" r:id="rId8122"/>
    <hyperlink ref="A5905" r:id="rId8123"/>
    <hyperlink ref="A5906" r:id="rId8124"/>
    <hyperlink ref="A5907" r:id="rId8125"/>
    <hyperlink ref="A5908" r:id="rId8126"/>
    <hyperlink ref="A5909" r:id="rId8127"/>
    <hyperlink ref="A5910" r:id="rId8128"/>
    <hyperlink ref="A5911" r:id="rId8129"/>
    <hyperlink ref="A5912" r:id="rId8130"/>
    <hyperlink ref="A5913" r:id="rId8131"/>
    <hyperlink ref="A5914" r:id="rId8132"/>
    <hyperlink ref="A5915" r:id="rId8133"/>
    <hyperlink ref="A5916" r:id="rId8134"/>
    <hyperlink ref="A5917" r:id="rId8135"/>
    <hyperlink ref="A5918" r:id="rId8136"/>
    <hyperlink ref="A5919" r:id="rId8137"/>
    <hyperlink ref="A5920" r:id="rId8138"/>
    <hyperlink ref="A5921" r:id="rId8139"/>
    <hyperlink ref="A5922" r:id="rId8140"/>
    <hyperlink ref="A5923" r:id="rId8141"/>
    <hyperlink ref="A5924" r:id="rId8142"/>
    <hyperlink ref="A5925" r:id="rId8143"/>
    <hyperlink ref="A5926" r:id="rId8144"/>
    <hyperlink ref="A5927" r:id="rId8145"/>
    <hyperlink ref="A5928" r:id="rId8146"/>
    <hyperlink ref="A5929" r:id="rId8147"/>
    <hyperlink ref="A5930" r:id="rId8148"/>
    <hyperlink ref="A5931" r:id="rId8149"/>
    <hyperlink ref="A5932" r:id="rId8150"/>
    <hyperlink ref="A5933" r:id="rId8151"/>
    <hyperlink ref="A5934" r:id="rId8152"/>
    <hyperlink ref="A5935" r:id="rId8153"/>
    <hyperlink ref="A5936" r:id="rId8154"/>
    <hyperlink ref="A5937" r:id="rId8155"/>
    <hyperlink ref="A5938" r:id="rId8156"/>
    <hyperlink ref="A5939" r:id="rId8157"/>
    <hyperlink ref="A5940" r:id="rId8158"/>
    <hyperlink ref="A5941" r:id="rId8159"/>
    <hyperlink ref="A5942" r:id="rId8160"/>
    <hyperlink ref="A5943" r:id="rId8161"/>
    <hyperlink ref="A5944" r:id="rId8162"/>
    <hyperlink ref="A5945" r:id="rId8163"/>
    <hyperlink ref="A5946" r:id="rId8164"/>
    <hyperlink ref="A5947" r:id="rId8165"/>
    <hyperlink ref="A5948" r:id="rId8166"/>
    <hyperlink ref="A5949" r:id="rId8167"/>
    <hyperlink ref="A5950" r:id="rId8168"/>
    <hyperlink ref="A5951" r:id="rId8169"/>
    <hyperlink ref="A5952" r:id="rId8170"/>
    <hyperlink ref="A5953" r:id="rId8171"/>
    <hyperlink ref="A5954" r:id="rId8172"/>
    <hyperlink ref="A5955" r:id="rId8173"/>
    <hyperlink ref="A5956" r:id="rId8174"/>
    <hyperlink ref="A5957" r:id="rId8175"/>
    <hyperlink ref="A5958" r:id="rId8176"/>
    <hyperlink ref="A5959" r:id="rId8177"/>
    <hyperlink ref="A5960" r:id="rId8178"/>
    <hyperlink ref="A5961" r:id="rId8179"/>
    <hyperlink ref="A5962" r:id="rId8180"/>
    <hyperlink ref="A5963" r:id="rId8181"/>
    <hyperlink ref="A5964" r:id="rId8182"/>
    <hyperlink ref="A5965" r:id="rId8183"/>
    <hyperlink ref="A5966" r:id="rId8184"/>
    <hyperlink ref="A5967" r:id="rId8185"/>
    <hyperlink ref="A5968" r:id="rId8186"/>
    <hyperlink ref="A5969" r:id="rId8187"/>
    <hyperlink ref="A5970" r:id="rId8188"/>
    <hyperlink ref="A5971" r:id="rId8189"/>
    <hyperlink ref="A5972" r:id="rId8190"/>
    <hyperlink ref="A5973" r:id="rId8191"/>
    <hyperlink ref="A5974" r:id="rId8192"/>
    <hyperlink ref="A5975" r:id="rId8193"/>
    <hyperlink ref="A5976" r:id="rId8194"/>
    <hyperlink ref="A5977" r:id="rId8195"/>
    <hyperlink ref="A5978" r:id="rId8196"/>
    <hyperlink ref="A5979" r:id="rId8197"/>
    <hyperlink ref="A5980" r:id="rId8198"/>
    <hyperlink ref="A5981" r:id="rId8199"/>
    <hyperlink ref="A5982" r:id="rId8200"/>
    <hyperlink ref="A5983" r:id="rId8201"/>
    <hyperlink ref="A5984" r:id="rId8202"/>
    <hyperlink ref="A5985" r:id="rId8203"/>
    <hyperlink ref="A5986" r:id="rId8204"/>
    <hyperlink ref="A5987" r:id="rId8205"/>
    <hyperlink ref="A5988" r:id="rId8206"/>
    <hyperlink ref="A5989" r:id="rId8207"/>
    <hyperlink ref="A5990" r:id="rId8208"/>
    <hyperlink ref="A5991" r:id="rId8209"/>
    <hyperlink ref="A5992" r:id="rId8210"/>
    <hyperlink ref="A5993" r:id="rId8211"/>
    <hyperlink ref="A5994" r:id="rId8212"/>
    <hyperlink ref="A5995" r:id="rId8213"/>
    <hyperlink ref="A5996" r:id="rId8214"/>
    <hyperlink ref="A5997" r:id="rId8215"/>
    <hyperlink ref="A5998" r:id="rId8216"/>
    <hyperlink ref="A5999" r:id="rId8217"/>
    <hyperlink ref="A6000" r:id="rId8218"/>
    <hyperlink ref="A6001" r:id="rId8219"/>
    <hyperlink ref="A6002" r:id="rId8220"/>
    <hyperlink ref="A6003" r:id="rId8221"/>
    <hyperlink ref="A6004" r:id="rId8222"/>
    <hyperlink ref="A6005" r:id="rId8223"/>
    <hyperlink ref="A6006" r:id="rId8224"/>
    <hyperlink ref="A6007" r:id="rId8225"/>
    <hyperlink ref="A6008" r:id="rId8226"/>
    <hyperlink ref="A6009" r:id="rId8227"/>
    <hyperlink ref="A6010" r:id="rId8228"/>
    <hyperlink ref="A6011" r:id="rId8229"/>
    <hyperlink ref="A6012" r:id="rId8230"/>
    <hyperlink ref="A6013" r:id="rId8231"/>
    <hyperlink ref="A6014" r:id="rId8232"/>
    <hyperlink ref="A6015" r:id="rId8233"/>
    <hyperlink ref="A6016" r:id="rId8234"/>
    <hyperlink ref="A6017" r:id="rId8235"/>
    <hyperlink ref="A6018" r:id="rId8236"/>
    <hyperlink ref="A6019" r:id="rId8237"/>
    <hyperlink ref="A6020" r:id="rId8238"/>
    <hyperlink ref="A6021" r:id="rId8239"/>
    <hyperlink ref="A6022" r:id="rId8240"/>
    <hyperlink ref="A6023" r:id="rId8241"/>
    <hyperlink ref="A6024" r:id="rId8242"/>
    <hyperlink ref="A6025" r:id="rId8243"/>
    <hyperlink ref="A6026" r:id="rId8244"/>
    <hyperlink ref="A6027" r:id="rId8245"/>
    <hyperlink ref="A6028" r:id="rId8246"/>
    <hyperlink ref="A6029" r:id="rId8247"/>
    <hyperlink ref="A6030" r:id="rId8248"/>
    <hyperlink ref="A6031" r:id="rId8249"/>
    <hyperlink ref="A6032" r:id="rId8250"/>
    <hyperlink ref="A6033" r:id="rId8251"/>
    <hyperlink ref="A6034" r:id="rId8252"/>
    <hyperlink ref="A6035" r:id="rId8253"/>
    <hyperlink ref="A6036" r:id="rId8254"/>
    <hyperlink ref="A6037" r:id="rId8255"/>
    <hyperlink ref="A6038" r:id="rId8256"/>
    <hyperlink ref="A6039" r:id="rId8257"/>
    <hyperlink ref="A6040" r:id="rId8258"/>
    <hyperlink ref="A6041" r:id="rId8259"/>
    <hyperlink ref="A6042" r:id="rId8260"/>
    <hyperlink ref="A6043" r:id="rId8261"/>
    <hyperlink ref="A6044" r:id="rId8262"/>
    <hyperlink ref="A6045" r:id="rId8263"/>
    <hyperlink ref="A6046" r:id="rId8264"/>
    <hyperlink ref="A6047" r:id="rId8265"/>
    <hyperlink ref="A6048" r:id="rId8266"/>
    <hyperlink ref="A6049" r:id="rId8267"/>
    <hyperlink ref="A6050" r:id="rId8268"/>
    <hyperlink ref="A6051" r:id="rId8269"/>
    <hyperlink ref="A6052" r:id="rId8270"/>
    <hyperlink ref="A6053" r:id="rId8271"/>
    <hyperlink ref="A6054" r:id="rId8272"/>
    <hyperlink ref="A6055" r:id="rId8273"/>
    <hyperlink ref="A6056" r:id="rId8274"/>
    <hyperlink ref="A6057" r:id="rId8275"/>
    <hyperlink ref="A6058" r:id="rId8276"/>
    <hyperlink ref="A6059" r:id="rId8277"/>
    <hyperlink ref="A6060" r:id="rId8278"/>
    <hyperlink ref="A6061" r:id="rId8279"/>
    <hyperlink ref="A6062" r:id="rId8280"/>
    <hyperlink ref="A6063" r:id="rId8281"/>
    <hyperlink ref="A6064" r:id="rId8282"/>
    <hyperlink ref="A6065" r:id="rId8283"/>
    <hyperlink ref="A6066" r:id="rId8284"/>
    <hyperlink ref="A6067" r:id="rId8285"/>
    <hyperlink ref="A6068" r:id="rId8286"/>
    <hyperlink ref="A6069" r:id="rId8287"/>
    <hyperlink ref="A6070" r:id="rId8288"/>
    <hyperlink ref="A6071" r:id="rId8289"/>
    <hyperlink ref="A6072" r:id="rId8290"/>
    <hyperlink ref="A6073" r:id="rId8291"/>
    <hyperlink ref="A6074" r:id="rId8292"/>
    <hyperlink ref="A6075" r:id="rId8293"/>
    <hyperlink ref="A6076" r:id="rId8294"/>
    <hyperlink ref="A6077" r:id="rId8295"/>
    <hyperlink ref="A6078" r:id="rId8296"/>
    <hyperlink ref="A6079" r:id="rId8297"/>
    <hyperlink ref="A6080" r:id="rId8298"/>
    <hyperlink ref="A6081" r:id="rId8299"/>
    <hyperlink ref="A6082" r:id="rId8300"/>
    <hyperlink ref="A6083" r:id="rId8301"/>
    <hyperlink ref="A6084" r:id="rId8302"/>
    <hyperlink ref="A6085" r:id="rId8303"/>
    <hyperlink ref="A6086" r:id="rId8304"/>
    <hyperlink ref="A6087" r:id="rId8305"/>
    <hyperlink ref="A6088" r:id="rId8306"/>
    <hyperlink ref="A6089" r:id="rId8307"/>
    <hyperlink ref="A6090" r:id="rId8308"/>
    <hyperlink ref="A6091" r:id="rId8309"/>
    <hyperlink ref="A6092" r:id="rId8310"/>
    <hyperlink ref="A6093" r:id="rId8311"/>
    <hyperlink ref="A6094" r:id="rId8312"/>
    <hyperlink ref="A6095" r:id="rId8313"/>
    <hyperlink ref="A6096" r:id="rId8314"/>
    <hyperlink ref="A6097" r:id="rId8315"/>
    <hyperlink ref="A6098" r:id="rId8316"/>
    <hyperlink ref="A6099" r:id="rId8317"/>
    <hyperlink ref="A6100" r:id="rId8318"/>
    <hyperlink ref="A6101" r:id="rId8319"/>
    <hyperlink ref="A6102" r:id="rId8320"/>
    <hyperlink ref="A6103" r:id="rId8321"/>
    <hyperlink ref="A6104" r:id="rId8322"/>
    <hyperlink ref="A6105" r:id="rId8323"/>
    <hyperlink ref="A6106" r:id="rId8324"/>
    <hyperlink ref="A6107" r:id="rId8325"/>
    <hyperlink ref="A6108" r:id="rId8326"/>
    <hyperlink ref="A6109" r:id="rId8327"/>
    <hyperlink ref="A6110" r:id="rId8328"/>
    <hyperlink ref="A6111" r:id="rId8329"/>
    <hyperlink ref="A6112" r:id="rId8330"/>
    <hyperlink ref="A6113" r:id="rId8331"/>
    <hyperlink ref="A6114" r:id="rId8332"/>
    <hyperlink ref="A6115" r:id="rId8333"/>
    <hyperlink ref="A6116" r:id="rId8334"/>
    <hyperlink ref="A6117" r:id="rId8335"/>
    <hyperlink ref="A6118" r:id="rId8336"/>
    <hyperlink ref="A6119" r:id="rId8337"/>
    <hyperlink ref="A6120" r:id="rId8338"/>
    <hyperlink ref="A6121" r:id="rId8339"/>
    <hyperlink ref="A6122" r:id="rId8340"/>
    <hyperlink ref="A6123" r:id="rId8341"/>
    <hyperlink ref="A6124" r:id="rId8342"/>
    <hyperlink ref="A6125" r:id="rId8343"/>
    <hyperlink ref="A6126" r:id="rId8344"/>
    <hyperlink ref="A6127" r:id="rId8345"/>
    <hyperlink ref="A6128" r:id="rId8346"/>
    <hyperlink ref="A6129" r:id="rId8347"/>
    <hyperlink ref="A6130" r:id="rId8348"/>
    <hyperlink ref="A6131" r:id="rId8349"/>
    <hyperlink ref="A6132" r:id="rId8350"/>
    <hyperlink ref="A6133" r:id="rId8351"/>
    <hyperlink ref="A6134" r:id="rId8352"/>
    <hyperlink ref="A6135" r:id="rId8353"/>
    <hyperlink ref="A6136" r:id="rId8354"/>
    <hyperlink ref="A6137" r:id="rId8355"/>
    <hyperlink ref="A6138" r:id="rId8356"/>
    <hyperlink ref="A6139" r:id="rId8357"/>
    <hyperlink ref="A6140" r:id="rId8358"/>
    <hyperlink ref="A6141" r:id="rId8359"/>
    <hyperlink ref="A6142" r:id="rId8360"/>
    <hyperlink ref="A6143" r:id="rId8361"/>
    <hyperlink ref="A6144" r:id="rId8362"/>
    <hyperlink ref="A6145" r:id="rId8363"/>
    <hyperlink ref="A6146" r:id="rId8364"/>
    <hyperlink ref="A6147" r:id="rId8365"/>
    <hyperlink ref="A6148" r:id="rId8366"/>
    <hyperlink ref="A6149" r:id="rId8367"/>
    <hyperlink ref="A6150" r:id="rId8368"/>
    <hyperlink ref="A6151" r:id="rId8369"/>
    <hyperlink ref="A6152" r:id="rId8370"/>
    <hyperlink ref="A6153" r:id="rId8371"/>
    <hyperlink ref="A6154" r:id="rId8372"/>
    <hyperlink ref="A6155" r:id="rId8373"/>
    <hyperlink ref="A6156" r:id="rId8374"/>
    <hyperlink ref="A6157" r:id="rId8375"/>
    <hyperlink ref="A6158" r:id="rId8376"/>
    <hyperlink ref="A6159" r:id="rId8377"/>
    <hyperlink ref="A6160" r:id="rId8378"/>
    <hyperlink ref="A6161" r:id="rId8379"/>
    <hyperlink ref="A6162" r:id="rId8380"/>
    <hyperlink ref="A6163" r:id="rId8381"/>
    <hyperlink ref="A6164" r:id="rId8382"/>
    <hyperlink ref="A6165" r:id="rId8383"/>
    <hyperlink ref="A6166" r:id="rId8384"/>
    <hyperlink ref="A6167" r:id="rId8385"/>
    <hyperlink ref="A6168" r:id="rId8386"/>
    <hyperlink ref="A6169" r:id="rId8387"/>
    <hyperlink ref="A6170" r:id="rId8388"/>
    <hyperlink ref="A6171" r:id="rId8389"/>
    <hyperlink ref="A6172" r:id="rId8390"/>
    <hyperlink ref="A6173" r:id="rId8391"/>
    <hyperlink ref="A6174" r:id="rId8392"/>
    <hyperlink ref="A6175" r:id="rId8393"/>
    <hyperlink ref="A6176" r:id="rId8394"/>
    <hyperlink ref="A6177" r:id="rId8395"/>
    <hyperlink ref="A6178" r:id="rId8396"/>
    <hyperlink ref="A6179" r:id="rId8397"/>
    <hyperlink ref="A6180" r:id="rId8398"/>
    <hyperlink ref="A6181" r:id="rId8399"/>
    <hyperlink ref="A6182" r:id="rId8400"/>
    <hyperlink ref="A6183" r:id="rId8401"/>
    <hyperlink ref="A6184" r:id="rId8402"/>
    <hyperlink ref="A6185" r:id="rId8403"/>
    <hyperlink ref="A6186" r:id="rId8404"/>
    <hyperlink ref="A6187" r:id="rId8405"/>
    <hyperlink ref="A6188" r:id="rId8406"/>
    <hyperlink ref="A6189" r:id="rId8407"/>
    <hyperlink ref="A6190" r:id="rId8408"/>
    <hyperlink ref="A6191" r:id="rId8409"/>
    <hyperlink ref="A6192" r:id="rId8410"/>
    <hyperlink ref="A6193" r:id="rId8411"/>
    <hyperlink ref="A6194" r:id="rId8412"/>
    <hyperlink ref="A6195" r:id="rId8413"/>
    <hyperlink ref="A6196" r:id="rId8414"/>
    <hyperlink ref="A6197" r:id="rId8415"/>
    <hyperlink ref="A6198" r:id="rId8416"/>
    <hyperlink ref="A6199" r:id="rId8417"/>
    <hyperlink ref="A6200" r:id="rId8418"/>
    <hyperlink ref="A6201" r:id="rId8419"/>
    <hyperlink ref="A6202" r:id="rId8420"/>
    <hyperlink ref="A6203" r:id="rId8421"/>
    <hyperlink ref="A6204" r:id="rId8422"/>
    <hyperlink ref="A6205" r:id="rId8423"/>
    <hyperlink ref="A6206" r:id="rId8424"/>
    <hyperlink ref="A6207" r:id="rId8425"/>
    <hyperlink ref="A6208" r:id="rId8426"/>
    <hyperlink ref="A6209" r:id="rId8427"/>
    <hyperlink ref="A6210" r:id="rId8428"/>
    <hyperlink ref="A6211" r:id="rId8429"/>
    <hyperlink ref="A6212" r:id="rId8430"/>
    <hyperlink ref="A6213" r:id="rId8431"/>
    <hyperlink ref="A6214" r:id="rId8432"/>
    <hyperlink ref="A6215" r:id="rId8433"/>
    <hyperlink ref="A6216" r:id="rId8434"/>
    <hyperlink ref="A6217" r:id="rId8435"/>
    <hyperlink ref="A6218" r:id="rId8436"/>
    <hyperlink ref="A6219" r:id="rId8437"/>
    <hyperlink ref="A6220" r:id="rId8438"/>
    <hyperlink ref="A6221" r:id="rId8439"/>
    <hyperlink ref="A6222" r:id="rId8440"/>
    <hyperlink ref="A6223" r:id="rId8441"/>
    <hyperlink ref="A6224" r:id="rId8442"/>
    <hyperlink ref="A6225" r:id="rId8443"/>
    <hyperlink ref="A6226" r:id="rId8444"/>
    <hyperlink ref="A6227" r:id="rId8445"/>
    <hyperlink ref="A6228" r:id="rId8446"/>
    <hyperlink ref="A6229" r:id="rId8447"/>
    <hyperlink ref="A6230" r:id="rId8448"/>
    <hyperlink ref="A6231" r:id="rId8449"/>
    <hyperlink ref="A6232" r:id="rId8450"/>
    <hyperlink ref="A6233" r:id="rId8451"/>
    <hyperlink ref="A6234" r:id="rId8452"/>
    <hyperlink ref="A6235" r:id="rId8453"/>
    <hyperlink ref="A6236" r:id="rId8454"/>
    <hyperlink ref="A6237" r:id="rId8455"/>
    <hyperlink ref="A6238" r:id="rId8456"/>
    <hyperlink ref="A6239" r:id="rId8457"/>
    <hyperlink ref="A6240" r:id="rId8458"/>
    <hyperlink ref="A6241" r:id="rId8459"/>
    <hyperlink ref="A6242" r:id="rId8460"/>
    <hyperlink ref="A6243" r:id="rId8461"/>
    <hyperlink ref="A6244" r:id="rId8462"/>
    <hyperlink ref="A6245" r:id="rId8463"/>
    <hyperlink ref="A6246" r:id="rId8464"/>
    <hyperlink ref="A6247" r:id="rId8465"/>
    <hyperlink ref="A6248" r:id="rId8466"/>
    <hyperlink ref="A6249" r:id="rId8467"/>
    <hyperlink ref="A6250" r:id="rId8468"/>
    <hyperlink ref="A6251" r:id="rId8469"/>
    <hyperlink ref="A6252" r:id="rId8470"/>
    <hyperlink ref="A6253" r:id="rId8471"/>
    <hyperlink ref="A6254" r:id="rId8472"/>
    <hyperlink ref="A6255" r:id="rId8473"/>
    <hyperlink ref="A6256" r:id="rId8474"/>
    <hyperlink ref="A6257" r:id="rId8475"/>
    <hyperlink ref="A6258" r:id="rId8476"/>
    <hyperlink ref="A6259" r:id="rId8477"/>
    <hyperlink ref="A6260" r:id="rId8478"/>
    <hyperlink ref="A6261" r:id="rId8479"/>
    <hyperlink ref="A6262" r:id="rId8480"/>
    <hyperlink ref="A6263" r:id="rId8481"/>
    <hyperlink ref="A6264" r:id="rId8482"/>
    <hyperlink ref="A6265" r:id="rId8483"/>
    <hyperlink ref="A6266" r:id="rId8484"/>
    <hyperlink ref="A6267" r:id="rId8485"/>
    <hyperlink ref="A6268" r:id="rId8486"/>
    <hyperlink ref="A6269" r:id="rId8487"/>
    <hyperlink ref="A6270" r:id="rId8488"/>
    <hyperlink ref="A6271" r:id="rId8489"/>
    <hyperlink ref="A6272" r:id="rId8490"/>
    <hyperlink ref="A6273" r:id="rId8491"/>
    <hyperlink ref="A6274" r:id="rId8492"/>
    <hyperlink ref="A6275" r:id="rId8493"/>
    <hyperlink ref="A6276" r:id="rId8494"/>
    <hyperlink ref="A6277" r:id="rId8495"/>
    <hyperlink ref="A6278" r:id="rId8496"/>
    <hyperlink ref="A6279" r:id="rId8497"/>
    <hyperlink ref="A6280" r:id="rId8498"/>
    <hyperlink ref="A6281" r:id="rId8499"/>
    <hyperlink ref="A6282" r:id="rId8500"/>
    <hyperlink ref="A6283" r:id="rId8501"/>
    <hyperlink ref="A6284" r:id="rId8502"/>
    <hyperlink ref="A6285" r:id="rId8503"/>
    <hyperlink ref="A6286" r:id="rId8504"/>
    <hyperlink ref="A6287" r:id="rId8505"/>
    <hyperlink ref="A6288" r:id="rId8506"/>
    <hyperlink ref="A6289" r:id="rId8507"/>
    <hyperlink ref="A6290" r:id="rId8508"/>
    <hyperlink ref="A6291" r:id="rId8509"/>
    <hyperlink ref="A6292" r:id="rId8510"/>
    <hyperlink ref="A6293" r:id="rId8511"/>
    <hyperlink ref="A6294" r:id="rId8512"/>
    <hyperlink ref="A6295" r:id="rId8513"/>
    <hyperlink ref="A6296" r:id="rId8514"/>
    <hyperlink ref="A6297" r:id="rId8515"/>
    <hyperlink ref="A6298" r:id="rId8516"/>
    <hyperlink ref="A6299" r:id="rId8517"/>
    <hyperlink ref="A6300" r:id="rId8518"/>
    <hyperlink ref="A6301" r:id="rId8519"/>
    <hyperlink ref="A6302" r:id="rId8520"/>
    <hyperlink ref="A6303" r:id="rId8521"/>
    <hyperlink ref="A6304" r:id="rId8522"/>
    <hyperlink ref="A6305" r:id="rId8523"/>
    <hyperlink ref="A6306" r:id="rId8524"/>
    <hyperlink ref="A6307" r:id="rId8525"/>
    <hyperlink ref="A6308" r:id="rId8526"/>
    <hyperlink ref="A6309" r:id="rId8527"/>
    <hyperlink ref="A6310" r:id="rId8528"/>
    <hyperlink ref="A6311" r:id="rId8529"/>
    <hyperlink ref="A6312" r:id="rId8530"/>
    <hyperlink ref="A6313" r:id="rId8531"/>
    <hyperlink ref="A6314" r:id="rId8532"/>
    <hyperlink ref="A6315" r:id="rId8533"/>
    <hyperlink ref="A6316" r:id="rId8534"/>
    <hyperlink ref="A6317" r:id="rId8535"/>
    <hyperlink ref="A6318" r:id="rId8536"/>
    <hyperlink ref="A6319" r:id="rId8537"/>
    <hyperlink ref="A6320" r:id="rId8538"/>
    <hyperlink ref="A6321" r:id="rId8539"/>
    <hyperlink ref="A6322" r:id="rId8540"/>
    <hyperlink ref="A6323" r:id="rId8541"/>
    <hyperlink ref="A6324" r:id="rId8542"/>
    <hyperlink ref="A6325" r:id="rId8543"/>
    <hyperlink ref="A6326" r:id="rId8544"/>
    <hyperlink ref="A6327" r:id="rId8545"/>
    <hyperlink ref="A6328" r:id="rId8546"/>
    <hyperlink ref="A6329" r:id="rId8547"/>
    <hyperlink ref="A6330" r:id="rId8548"/>
    <hyperlink ref="A6331" r:id="rId8549"/>
    <hyperlink ref="A6332" r:id="rId8550"/>
    <hyperlink ref="A6333" r:id="rId8551"/>
    <hyperlink ref="A6334" r:id="rId8552"/>
    <hyperlink ref="A6335" r:id="rId8553"/>
    <hyperlink ref="A6336" r:id="rId8554"/>
    <hyperlink ref="A6337" r:id="rId8555"/>
    <hyperlink ref="A6338" r:id="rId8556"/>
    <hyperlink ref="A6339" r:id="rId8557"/>
    <hyperlink ref="A6340" r:id="rId8558"/>
    <hyperlink ref="A6341" r:id="rId8559"/>
    <hyperlink ref="A6342" r:id="rId8560"/>
    <hyperlink ref="A6343" r:id="rId8561"/>
    <hyperlink ref="A6344" r:id="rId8562"/>
    <hyperlink ref="A6345" r:id="rId8563"/>
    <hyperlink ref="A6346" r:id="rId8564"/>
    <hyperlink ref="A6347" r:id="rId8565"/>
    <hyperlink ref="A6348" r:id="rId8566"/>
    <hyperlink ref="A6349" r:id="rId8567"/>
    <hyperlink ref="A6350" r:id="rId8568"/>
    <hyperlink ref="A6351" r:id="rId8569"/>
    <hyperlink ref="A6352" r:id="rId8570"/>
    <hyperlink ref="A6353" r:id="rId8571"/>
    <hyperlink ref="A6354" r:id="rId8572"/>
    <hyperlink ref="A6355" r:id="rId8573"/>
    <hyperlink ref="A6356" r:id="rId8574"/>
    <hyperlink ref="A6357" r:id="rId8575"/>
    <hyperlink ref="A6358" r:id="rId8576"/>
    <hyperlink ref="A6359" r:id="rId8577"/>
    <hyperlink ref="A6360" r:id="rId8578"/>
    <hyperlink ref="A6361" r:id="rId8579"/>
    <hyperlink ref="A6362" r:id="rId8580"/>
    <hyperlink ref="A6363" r:id="rId8581"/>
    <hyperlink ref="A6364" r:id="rId8582"/>
    <hyperlink ref="A6365" r:id="rId8583"/>
    <hyperlink ref="A6366" r:id="rId8584"/>
    <hyperlink ref="A6367" r:id="rId8585"/>
    <hyperlink ref="A6368" r:id="rId8586"/>
    <hyperlink ref="A6369" r:id="rId8587"/>
    <hyperlink ref="A6370" r:id="rId8588"/>
    <hyperlink ref="A6371" r:id="rId8589"/>
    <hyperlink ref="A6372" r:id="rId8590"/>
    <hyperlink ref="A6373" r:id="rId8591"/>
    <hyperlink ref="A6374" r:id="rId8592"/>
    <hyperlink ref="A6375" r:id="rId8593"/>
    <hyperlink ref="A6376" r:id="rId8594"/>
    <hyperlink ref="A6377" r:id="rId8595"/>
    <hyperlink ref="A6378" r:id="rId8596"/>
    <hyperlink ref="A6379" r:id="rId8597"/>
    <hyperlink ref="A6380" r:id="rId8598"/>
    <hyperlink ref="A6381" r:id="rId8599"/>
    <hyperlink ref="A6382" r:id="rId8600"/>
    <hyperlink ref="A6383" r:id="rId8601"/>
    <hyperlink ref="A6384" r:id="rId8602"/>
    <hyperlink ref="A6385" r:id="rId8603"/>
    <hyperlink ref="A6386" r:id="rId8604"/>
    <hyperlink ref="A6387" r:id="rId8605"/>
    <hyperlink ref="A6388" r:id="rId8606"/>
    <hyperlink ref="A6389" r:id="rId8607"/>
    <hyperlink ref="A6390" r:id="rId8608"/>
    <hyperlink ref="A6391" r:id="rId8609"/>
    <hyperlink ref="A6392" r:id="rId8610"/>
    <hyperlink ref="A6393" r:id="rId8611"/>
    <hyperlink ref="A6394" r:id="rId8612"/>
    <hyperlink ref="A6395" r:id="rId8613"/>
    <hyperlink ref="A6396" r:id="rId8614"/>
    <hyperlink ref="A6397" r:id="rId8615"/>
    <hyperlink ref="A6398" r:id="rId8616"/>
    <hyperlink ref="A6399" r:id="rId8617"/>
    <hyperlink ref="A6400" r:id="rId8618"/>
    <hyperlink ref="A6401" r:id="rId8619"/>
    <hyperlink ref="A6402" r:id="rId8620"/>
    <hyperlink ref="A6403" r:id="rId8621"/>
    <hyperlink ref="A6404" r:id="rId8622"/>
    <hyperlink ref="A6405" r:id="rId8623"/>
    <hyperlink ref="A6406" r:id="rId8624"/>
    <hyperlink ref="A6407" r:id="rId8625"/>
    <hyperlink ref="A6408" r:id="rId8626"/>
    <hyperlink ref="A6409" r:id="rId8627"/>
    <hyperlink ref="A6410" r:id="rId8628"/>
    <hyperlink ref="A6411" r:id="rId8629"/>
    <hyperlink ref="A6412" r:id="rId8630"/>
    <hyperlink ref="A6413" r:id="rId8631"/>
    <hyperlink ref="A6414" r:id="rId8632"/>
    <hyperlink ref="A6415" r:id="rId8633"/>
    <hyperlink ref="A6416" r:id="rId8634"/>
    <hyperlink ref="A6417" r:id="rId8635"/>
    <hyperlink ref="A6418" r:id="rId8636"/>
    <hyperlink ref="A6419" r:id="rId8637"/>
    <hyperlink ref="A6420" r:id="rId8638"/>
    <hyperlink ref="A6421" r:id="rId8639"/>
    <hyperlink ref="A6422" r:id="rId8640"/>
    <hyperlink ref="A6423" r:id="rId8641"/>
    <hyperlink ref="A6424" r:id="rId8642"/>
    <hyperlink ref="A6425" r:id="rId8643"/>
    <hyperlink ref="A6426" r:id="rId8644"/>
    <hyperlink ref="A6427" r:id="rId8645"/>
    <hyperlink ref="A6428" r:id="rId8646"/>
    <hyperlink ref="A6429" r:id="rId8647"/>
    <hyperlink ref="A6430" r:id="rId8648"/>
    <hyperlink ref="A6431" r:id="rId8649"/>
    <hyperlink ref="A6432" r:id="rId8650"/>
    <hyperlink ref="A6433" r:id="rId8651"/>
    <hyperlink ref="A6434" r:id="rId8652"/>
    <hyperlink ref="A6435" r:id="rId8653"/>
    <hyperlink ref="A6436" r:id="rId8654"/>
    <hyperlink ref="A6437" r:id="rId8655"/>
    <hyperlink ref="A6438" r:id="rId8656"/>
    <hyperlink ref="A6439" r:id="rId8657"/>
    <hyperlink ref="A6440" r:id="rId8658"/>
    <hyperlink ref="A6441" r:id="rId8659"/>
    <hyperlink ref="A6442" r:id="rId8660"/>
    <hyperlink ref="A6443" r:id="rId8661"/>
    <hyperlink ref="A6444" r:id="rId8662"/>
    <hyperlink ref="A6445" r:id="rId8663"/>
    <hyperlink ref="A6446" r:id="rId8664"/>
    <hyperlink ref="A6447" r:id="rId8665"/>
    <hyperlink ref="A6448" r:id="rId8666"/>
    <hyperlink ref="A6449" r:id="rId8667"/>
    <hyperlink ref="A6450" r:id="rId8668"/>
    <hyperlink ref="A6451" r:id="rId8669"/>
    <hyperlink ref="A6452" r:id="rId8670"/>
    <hyperlink ref="A6453" r:id="rId8671"/>
    <hyperlink ref="A6454" r:id="rId8672"/>
    <hyperlink ref="A6455" r:id="rId8673"/>
    <hyperlink ref="A6456" r:id="rId8674"/>
    <hyperlink ref="A6457" r:id="rId8675"/>
    <hyperlink ref="A6458" r:id="rId8676"/>
    <hyperlink ref="A6459" r:id="rId8677"/>
    <hyperlink ref="A6460" r:id="rId8678"/>
    <hyperlink ref="A6461" r:id="rId8679"/>
    <hyperlink ref="A6462" r:id="rId8680"/>
    <hyperlink ref="A6463" r:id="rId8681"/>
    <hyperlink ref="A6464" r:id="rId8682"/>
    <hyperlink ref="A6465" r:id="rId8683"/>
    <hyperlink ref="A6466" r:id="rId8684"/>
    <hyperlink ref="A6467" r:id="rId8685"/>
    <hyperlink ref="A6468" r:id="rId8686"/>
    <hyperlink ref="A6469" r:id="rId8687"/>
    <hyperlink ref="A6470" r:id="rId8688"/>
    <hyperlink ref="A6471" r:id="rId8689"/>
    <hyperlink ref="A6472" r:id="rId8690"/>
    <hyperlink ref="A6473" r:id="rId8691"/>
    <hyperlink ref="A6474" r:id="rId8692"/>
    <hyperlink ref="A6475" r:id="rId8693"/>
    <hyperlink ref="A6476" r:id="rId8694"/>
    <hyperlink ref="A6477" r:id="rId8695"/>
    <hyperlink ref="A6478" r:id="rId8696"/>
    <hyperlink ref="A6479" r:id="rId8697"/>
    <hyperlink ref="A6480" r:id="rId8698"/>
    <hyperlink ref="A6481" r:id="rId8699"/>
    <hyperlink ref="A6482" r:id="rId8700"/>
    <hyperlink ref="A6483" r:id="rId8701"/>
    <hyperlink ref="A6484" r:id="rId8702"/>
    <hyperlink ref="A6485" r:id="rId8703"/>
    <hyperlink ref="A6486" r:id="rId8704"/>
    <hyperlink ref="A6487" r:id="rId8705"/>
    <hyperlink ref="A6488" r:id="rId8706"/>
    <hyperlink ref="A6489" r:id="rId8707"/>
    <hyperlink ref="A6490" r:id="rId8708"/>
    <hyperlink ref="A6491" r:id="rId8709"/>
    <hyperlink ref="A6492" r:id="rId8710"/>
    <hyperlink ref="A6493" r:id="rId8711"/>
    <hyperlink ref="A6494" r:id="rId8712"/>
    <hyperlink ref="A6495" r:id="rId8713"/>
    <hyperlink ref="A6496" r:id="rId8714"/>
    <hyperlink ref="A6497" r:id="rId8715"/>
    <hyperlink ref="A6498" r:id="rId8716"/>
    <hyperlink ref="A6499" r:id="rId8717"/>
    <hyperlink ref="A6500" r:id="rId8718"/>
    <hyperlink ref="A6501" r:id="rId8719"/>
    <hyperlink ref="A6502" r:id="rId8720"/>
    <hyperlink ref="A6503" r:id="rId8721"/>
    <hyperlink ref="A6504" r:id="rId8722"/>
    <hyperlink ref="A6505" r:id="rId8723"/>
    <hyperlink ref="A6506" r:id="rId8724"/>
    <hyperlink ref="A6507" r:id="rId8725"/>
    <hyperlink ref="A6508" r:id="rId8726"/>
    <hyperlink ref="A6509" r:id="rId8727"/>
    <hyperlink ref="A6510" r:id="rId8728"/>
    <hyperlink ref="A6511" r:id="rId8729"/>
    <hyperlink ref="A6512" r:id="rId8730"/>
    <hyperlink ref="A6513" r:id="rId8731"/>
    <hyperlink ref="A6514" r:id="rId8732"/>
    <hyperlink ref="A6515" r:id="rId8733"/>
    <hyperlink ref="A6516" r:id="rId8734"/>
    <hyperlink ref="A6517" r:id="rId8735"/>
    <hyperlink ref="A6518" r:id="rId8736"/>
    <hyperlink ref="A6519" r:id="rId8737"/>
    <hyperlink ref="A6520" r:id="rId8738"/>
    <hyperlink ref="A6521" r:id="rId8739"/>
    <hyperlink ref="A6522" r:id="rId8740"/>
    <hyperlink ref="A6523" r:id="rId8741"/>
    <hyperlink ref="A6524" r:id="rId8742"/>
    <hyperlink ref="A6525" r:id="rId8743"/>
    <hyperlink ref="A6526" r:id="rId8744"/>
    <hyperlink ref="A6527" r:id="rId8745"/>
    <hyperlink ref="A6528" r:id="rId8746"/>
    <hyperlink ref="A6529" r:id="rId8747"/>
    <hyperlink ref="A6530" r:id="rId8748"/>
    <hyperlink ref="A6531" r:id="rId8749"/>
    <hyperlink ref="A6532" r:id="rId8750"/>
    <hyperlink ref="A6533" r:id="rId8751"/>
    <hyperlink ref="A6534" r:id="rId8752"/>
    <hyperlink ref="A6535" r:id="rId8753"/>
    <hyperlink ref="A6536" r:id="rId8754"/>
    <hyperlink ref="A6537" r:id="rId8755"/>
    <hyperlink ref="A6538" r:id="rId8756"/>
    <hyperlink ref="A6539" r:id="rId8757"/>
    <hyperlink ref="A6540" r:id="rId8758"/>
    <hyperlink ref="A6541" r:id="rId8759"/>
    <hyperlink ref="A6542" r:id="rId8760"/>
    <hyperlink ref="A6543" r:id="rId8761"/>
    <hyperlink ref="A6544" r:id="rId8762"/>
    <hyperlink ref="A6545" r:id="rId8763"/>
    <hyperlink ref="A6546" r:id="rId8764"/>
    <hyperlink ref="A6547" r:id="rId8765"/>
    <hyperlink ref="A6548" r:id="rId8766"/>
    <hyperlink ref="A6549" r:id="rId8767"/>
    <hyperlink ref="A6550" r:id="rId8768"/>
    <hyperlink ref="A6551" r:id="rId8769"/>
    <hyperlink ref="A6552" r:id="rId8770"/>
    <hyperlink ref="A6553" r:id="rId8771"/>
    <hyperlink ref="A6554" r:id="rId8772"/>
    <hyperlink ref="A6555" r:id="rId8773"/>
    <hyperlink ref="A6556" r:id="rId8774"/>
    <hyperlink ref="A6557" r:id="rId8775"/>
    <hyperlink ref="A6558" r:id="rId8776"/>
    <hyperlink ref="A6559" r:id="rId8777"/>
    <hyperlink ref="A6560" r:id="rId8778"/>
    <hyperlink ref="A6561" r:id="rId8779"/>
    <hyperlink ref="A6562" r:id="rId8780"/>
    <hyperlink ref="A6563" r:id="rId8781"/>
    <hyperlink ref="A6564" r:id="rId8782"/>
    <hyperlink ref="A6565" r:id="rId8783"/>
    <hyperlink ref="A6566" r:id="rId8784"/>
    <hyperlink ref="A6567" r:id="rId8785"/>
    <hyperlink ref="A6568" r:id="rId8786"/>
    <hyperlink ref="A6569" r:id="rId8787"/>
    <hyperlink ref="A6570" r:id="rId8788"/>
    <hyperlink ref="A6571" r:id="rId8789"/>
    <hyperlink ref="A6572" r:id="rId8790"/>
    <hyperlink ref="A6573" r:id="rId8791"/>
    <hyperlink ref="A6574" r:id="rId8792"/>
    <hyperlink ref="A6575" r:id="rId8793"/>
    <hyperlink ref="A6576" r:id="rId8794"/>
    <hyperlink ref="A6577" r:id="rId8795"/>
    <hyperlink ref="A6578" r:id="rId8796"/>
    <hyperlink ref="A6579" r:id="rId8797"/>
    <hyperlink ref="A6580" r:id="rId8798"/>
    <hyperlink ref="A6581" r:id="rId8799"/>
    <hyperlink ref="A6582" r:id="rId8800"/>
    <hyperlink ref="A6583" r:id="rId8801"/>
    <hyperlink ref="A6584" r:id="rId8802"/>
    <hyperlink ref="A6585" r:id="rId8803"/>
    <hyperlink ref="A6586" r:id="rId8804"/>
    <hyperlink ref="A6587" r:id="rId8805"/>
    <hyperlink ref="A6588" r:id="rId8806"/>
    <hyperlink ref="A6589" r:id="rId8807"/>
    <hyperlink ref="A6590" r:id="rId8808"/>
    <hyperlink ref="A6591" r:id="rId8809"/>
    <hyperlink ref="A6592" r:id="rId8810"/>
    <hyperlink ref="A6593" r:id="rId8811"/>
    <hyperlink ref="A6594" r:id="rId8812"/>
    <hyperlink ref="A6595" r:id="rId8813"/>
    <hyperlink ref="A6596" r:id="rId8814"/>
    <hyperlink ref="A6597" r:id="rId8815"/>
    <hyperlink ref="A6598" r:id="rId8816"/>
    <hyperlink ref="A6599" r:id="rId8817"/>
    <hyperlink ref="A6600" r:id="rId8818"/>
    <hyperlink ref="A6601" r:id="rId8819"/>
    <hyperlink ref="A6602" r:id="rId8820"/>
    <hyperlink ref="A6603" r:id="rId8821"/>
    <hyperlink ref="A6604" r:id="rId8822"/>
    <hyperlink ref="A6605" r:id="rId8823"/>
    <hyperlink ref="A6606" r:id="rId8824"/>
    <hyperlink ref="A6607" r:id="rId8825"/>
    <hyperlink ref="A6608" r:id="rId8826"/>
    <hyperlink ref="A6609" r:id="rId8827"/>
    <hyperlink ref="A6610" r:id="rId8828"/>
    <hyperlink ref="A6611" r:id="rId8829"/>
    <hyperlink ref="A6612" r:id="rId8830"/>
    <hyperlink ref="A6613" r:id="rId8831"/>
    <hyperlink ref="A6614" r:id="rId8832"/>
    <hyperlink ref="A6615" r:id="rId8833"/>
    <hyperlink ref="A6616" r:id="rId8834"/>
    <hyperlink ref="A6617" r:id="rId8835"/>
    <hyperlink ref="A6618" r:id="rId8836"/>
    <hyperlink ref="A6619" r:id="rId8837"/>
    <hyperlink ref="A6620" r:id="rId8838"/>
    <hyperlink ref="A6621" r:id="rId8839"/>
    <hyperlink ref="A6622" r:id="rId8840"/>
    <hyperlink ref="A6623" r:id="rId8841"/>
    <hyperlink ref="A6624" r:id="rId8842"/>
    <hyperlink ref="A6625" r:id="rId8843"/>
    <hyperlink ref="A6626" r:id="rId8844"/>
    <hyperlink ref="A6627" r:id="rId8845"/>
    <hyperlink ref="A6628" r:id="rId8846"/>
    <hyperlink ref="A6629" r:id="rId8847"/>
    <hyperlink ref="A6630" r:id="rId8848"/>
    <hyperlink ref="A6631" r:id="rId8849"/>
    <hyperlink ref="A6632" r:id="rId8850"/>
    <hyperlink ref="A6633" r:id="rId8851"/>
    <hyperlink ref="A6634" r:id="rId8852"/>
    <hyperlink ref="A6635" r:id="rId8853"/>
    <hyperlink ref="A6636" r:id="rId8854"/>
    <hyperlink ref="A6637" r:id="rId8855"/>
    <hyperlink ref="A6638" r:id="rId8856"/>
    <hyperlink ref="A6639" r:id="rId8857"/>
    <hyperlink ref="A6640" r:id="rId8858"/>
    <hyperlink ref="A6641" r:id="rId8859"/>
    <hyperlink ref="A6642" r:id="rId8860"/>
    <hyperlink ref="A6643" r:id="rId8861"/>
    <hyperlink ref="A6644" r:id="rId8862"/>
    <hyperlink ref="A6645" r:id="rId8863"/>
    <hyperlink ref="A6646" r:id="rId8864"/>
    <hyperlink ref="A6647" r:id="rId8865"/>
    <hyperlink ref="A6648" r:id="rId8866"/>
    <hyperlink ref="A6649" r:id="rId8867"/>
    <hyperlink ref="A6650" r:id="rId8868"/>
    <hyperlink ref="A6651" r:id="rId8869"/>
    <hyperlink ref="A6652" r:id="rId8870"/>
    <hyperlink ref="A6653" r:id="rId8871"/>
    <hyperlink ref="A6654" r:id="rId8872"/>
    <hyperlink ref="A6655" r:id="rId8873"/>
    <hyperlink ref="A6656" r:id="rId8874"/>
    <hyperlink ref="A6657" r:id="rId8875"/>
    <hyperlink ref="A6658" r:id="rId8876"/>
    <hyperlink ref="A6659" r:id="rId8877"/>
    <hyperlink ref="A6660" r:id="rId8878"/>
    <hyperlink ref="A6661" r:id="rId8879"/>
    <hyperlink ref="A6662" r:id="rId8880"/>
    <hyperlink ref="A6663" r:id="rId8881"/>
    <hyperlink ref="A6664" r:id="rId8882"/>
    <hyperlink ref="A6665" r:id="rId8883"/>
    <hyperlink ref="A6666" r:id="rId8884"/>
    <hyperlink ref="A6667" r:id="rId8885"/>
    <hyperlink ref="A6668" r:id="rId8886"/>
    <hyperlink ref="A6669" r:id="rId8887"/>
    <hyperlink ref="A6670" r:id="rId8888"/>
    <hyperlink ref="A6671" r:id="rId8889"/>
    <hyperlink ref="A6672" r:id="rId8890"/>
    <hyperlink ref="A6673" r:id="rId8891"/>
    <hyperlink ref="A6674" r:id="rId8892"/>
    <hyperlink ref="A6675" r:id="rId8893"/>
    <hyperlink ref="A6676" r:id="rId8894"/>
    <hyperlink ref="A6677" r:id="rId8895"/>
    <hyperlink ref="A6678" r:id="rId8896"/>
    <hyperlink ref="A6679" r:id="rId8897"/>
    <hyperlink ref="A6680" r:id="rId8898"/>
    <hyperlink ref="A6681" r:id="rId8899"/>
    <hyperlink ref="A6682" r:id="rId8900"/>
    <hyperlink ref="A6683" r:id="rId8901"/>
    <hyperlink ref="A6684" r:id="rId8902"/>
    <hyperlink ref="A6685" r:id="rId8903"/>
    <hyperlink ref="A6686" r:id="rId8904"/>
    <hyperlink ref="A6687" r:id="rId8905"/>
    <hyperlink ref="A6688" r:id="rId8906"/>
    <hyperlink ref="A6689" r:id="rId8907"/>
    <hyperlink ref="A6690" r:id="rId8908"/>
    <hyperlink ref="A6691" r:id="rId8909"/>
    <hyperlink ref="A6692" r:id="rId8910"/>
    <hyperlink ref="A6693" r:id="rId8911"/>
    <hyperlink ref="A6694" r:id="rId8912"/>
    <hyperlink ref="A6695" r:id="rId8913"/>
    <hyperlink ref="A6696" r:id="rId8914"/>
    <hyperlink ref="A6697" r:id="rId8915"/>
    <hyperlink ref="A6698" r:id="rId8916"/>
    <hyperlink ref="A6699" r:id="rId8917"/>
    <hyperlink ref="A6700" r:id="rId8918"/>
    <hyperlink ref="A6701" r:id="rId8919"/>
    <hyperlink ref="A6702" r:id="rId8920"/>
    <hyperlink ref="A6703" r:id="rId8921"/>
    <hyperlink ref="A6704" r:id="rId8922"/>
    <hyperlink ref="A6705" r:id="rId8923"/>
    <hyperlink ref="A6706" r:id="rId8924"/>
    <hyperlink ref="A6707" r:id="rId8925"/>
    <hyperlink ref="A6708" r:id="rId8926"/>
    <hyperlink ref="A6709" r:id="rId8927"/>
    <hyperlink ref="A6710" r:id="rId8928"/>
    <hyperlink ref="A6711" r:id="rId8929"/>
    <hyperlink ref="A6712" r:id="rId8930"/>
    <hyperlink ref="A6713" r:id="rId8931"/>
    <hyperlink ref="A6714" r:id="rId8932"/>
    <hyperlink ref="A6715" r:id="rId8933"/>
    <hyperlink ref="A6716" r:id="rId8934"/>
    <hyperlink ref="A6717" r:id="rId8935"/>
    <hyperlink ref="A6718" r:id="rId8936"/>
    <hyperlink ref="A6719" r:id="rId8937"/>
    <hyperlink ref="A6720" r:id="rId8938"/>
    <hyperlink ref="A6721" r:id="rId8939"/>
    <hyperlink ref="A6722" r:id="rId8940"/>
    <hyperlink ref="A6723" r:id="rId8941"/>
    <hyperlink ref="A6724" r:id="rId8942"/>
    <hyperlink ref="A6725" r:id="rId8943"/>
    <hyperlink ref="A6726" r:id="rId8944"/>
    <hyperlink ref="A6727" r:id="rId8945"/>
    <hyperlink ref="A6728" r:id="rId8946"/>
    <hyperlink ref="A6729" r:id="rId8947"/>
    <hyperlink ref="A6730" r:id="rId8948"/>
    <hyperlink ref="A6731" r:id="rId8949"/>
    <hyperlink ref="A6732" r:id="rId8950"/>
    <hyperlink ref="A6733" r:id="rId8951"/>
    <hyperlink ref="A6734" r:id="rId8952"/>
    <hyperlink ref="A6735" r:id="rId8953"/>
    <hyperlink ref="A6736" r:id="rId8954"/>
    <hyperlink ref="A6737" r:id="rId8955"/>
    <hyperlink ref="A6738" r:id="rId8956"/>
    <hyperlink ref="A6739" r:id="rId8957"/>
    <hyperlink ref="A6740" r:id="rId8958"/>
    <hyperlink ref="A6741" r:id="rId8959"/>
    <hyperlink ref="A6742" r:id="rId8960"/>
    <hyperlink ref="A6743" r:id="rId8961"/>
    <hyperlink ref="A6744" r:id="rId8962"/>
    <hyperlink ref="A6745" r:id="rId8963"/>
    <hyperlink ref="A6746" r:id="rId8964"/>
    <hyperlink ref="A6747" r:id="rId8965"/>
    <hyperlink ref="A6748" r:id="rId8966"/>
    <hyperlink ref="A6749" r:id="rId8967"/>
    <hyperlink ref="A6750" r:id="rId8968"/>
    <hyperlink ref="A6751" r:id="rId8969"/>
    <hyperlink ref="A6752" r:id="rId8970"/>
    <hyperlink ref="A6753" r:id="rId8971"/>
    <hyperlink ref="A6754" r:id="rId8972"/>
    <hyperlink ref="A6755" r:id="rId8973"/>
    <hyperlink ref="A6756" r:id="rId8974"/>
    <hyperlink ref="A6757" r:id="rId8975"/>
    <hyperlink ref="A6758" r:id="rId8976"/>
    <hyperlink ref="A6759" r:id="rId8977"/>
    <hyperlink ref="A6760" r:id="rId8978"/>
    <hyperlink ref="A6761" r:id="rId8979"/>
    <hyperlink ref="A6762" r:id="rId8980"/>
    <hyperlink ref="A6763" r:id="rId8981"/>
    <hyperlink ref="A6764" r:id="rId8982"/>
    <hyperlink ref="A6765" r:id="rId8983"/>
    <hyperlink ref="A6766" r:id="rId8984"/>
    <hyperlink ref="A6767" r:id="rId8985"/>
    <hyperlink ref="A6768" r:id="rId8986"/>
    <hyperlink ref="A6769" r:id="rId8987"/>
    <hyperlink ref="A6770" r:id="rId8988"/>
    <hyperlink ref="A6771" r:id="rId8989"/>
    <hyperlink ref="A6772" r:id="rId8990"/>
    <hyperlink ref="A6773" r:id="rId8991"/>
    <hyperlink ref="A6774" r:id="rId8992"/>
    <hyperlink ref="A6775" r:id="rId8993"/>
    <hyperlink ref="A6776" r:id="rId8994"/>
    <hyperlink ref="A6777" r:id="rId8995"/>
    <hyperlink ref="A6778" r:id="rId8996"/>
    <hyperlink ref="A6779" r:id="rId8997"/>
    <hyperlink ref="A6780" r:id="rId8998"/>
    <hyperlink ref="A6781" r:id="rId8999"/>
    <hyperlink ref="A6782" r:id="rId9000"/>
    <hyperlink ref="A6783" r:id="rId9001"/>
    <hyperlink ref="A6784" r:id="rId9002"/>
    <hyperlink ref="A6785" r:id="rId9003"/>
    <hyperlink ref="A6786" r:id="rId9004"/>
    <hyperlink ref="A6787" r:id="rId9005"/>
    <hyperlink ref="A6788" r:id="rId9006"/>
    <hyperlink ref="A6789" r:id="rId9007"/>
    <hyperlink ref="A6790" r:id="rId9008"/>
    <hyperlink ref="A6791" r:id="rId9009"/>
    <hyperlink ref="A6792" r:id="rId9010"/>
    <hyperlink ref="A6793" r:id="rId9011"/>
    <hyperlink ref="A6794" r:id="rId9012"/>
    <hyperlink ref="A6795" r:id="rId9013"/>
    <hyperlink ref="A6796" r:id="rId9014"/>
    <hyperlink ref="A6797" r:id="rId9015"/>
    <hyperlink ref="A6798" r:id="rId9016"/>
    <hyperlink ref="A6799" r:id="rId9017"/>
    <hyperlink ref="A6800" r:id="rId9018"/>
    <hyperlink ref="A6801" r:id="rId9019"/>
    <hyperlink ref="A6802" r:id="rId9020"/>
    <hyperlink ref="A6803" r:id="rId9021"/>
    <hyperlink ref="A6804" r:id="rId9022"/>
    <hyperlink ref="A6805" r:id="rId9023"/>
    <hyperlink ref="A6806" r:id="rId9024"/>
    <hyperlink ref="A6807" r:id="rId9025"/>
    <hyperlink ref="A6808" r:id="rId9026"/>
    <hyperlink ref="A6809" r:id="rId9027"/>
    <hyperlink ref="A6810" r:id="rId9028"/>
    <hyperlink ref="A6811" r:id="rId9029"/>
    <hyperlink ref="A6812" r:id="rId9030"/>
    <hyperlink ref="A6813" r:id="rId9031"/>
    <hyperlink ref="A6814" r:id="rId9032"/>
    <hyperlink ref="A6815" r:id="rId9033"/>
    <hyperlink ref="A6816" r:id="rId9034"/>
    <hyperlink ref="A6817" r:id="rId9035"/>
    <hyperlink ref="A6818" r:id="rId9036"/>
    <hyperlink ref="A6819" r:id="rId9037"/>
    <hyperlink ref="A6820" r:id="rId9038"/>
    <hyperlink ref="A6821" r:id="rId9039"/>
    <hyperlink ref="A6822" r:id="rId9040"/>
    <hyperlink ref="A6823" r:id="rId9041"/>
    <hyperlink ref="A6824" r:id="rId9042"/>
    <hyperlink ref="A6825" r:id="rId9043"/>
    <hyperlink ref="A6826" r:id="rId9044"/>
    <hyperlink ref="A6827" r:id="rId9045"/>
    <hyperlink ref="A6828" r:id="rId9046"/>
    <hyperlink ref="A6829" r:id="rId9047"/>
    <hyperlink ref="A6830" r:id="rId9048"/>
    <hyperlink ref="A6831" r:id="rId9049"/>
    <hyperlink ref="A6832" r:id="rId9050"/>
    <hyperlink ref="A6833" r:id="rId9051"/>
    <hyperlink ref="A6834" r:id="rId9052"/>
    <hyperlink ref="A6835" r:id="rId9053"/>
    <hyperlink ref="A6836" r:id="rId9054"/>
    <hyperlink ref="A6837" r:id="rId9055"/>
    <hyperlink ref="A6838" r:id="rId9056"/>
    <hyperlink ref="A6839" r:id="rId9057"/>
    <hyperlink ref="A6840" r:id="rId9058"/>
    <hyperlink ref="A6841" r:id="rId9059"/>
    <hyperlink ref="A6842" r:id="rId9060"/>
    <hyperlink ref="A6843" r:id="rId9061"/>
    <hyperlink ref="A6844" r:id="rId9062"/>
    <hyperlink ref="A6845" r:id="rId9063"/>
    <hyperlink ref="A6846" r:id="rId9064"/>
    <hyperlink ref="A6847" r:id="rId9065"/>
    <hyperlink ref="A6848" r:id="rId9066"/>
    <hyperlink ref="A6849" r:id="rId9067"/>
    <hyperlink ref="A6850" r:id="rId9068"/>
    <hyperlink ref="A6851" r:id="rId9069"/>
    <hyperlink ref="A6852" r:id="rId9070"/>
    <hyperlink ref="A6853" r:id="rId9071"/>
    <hyperlink ref="A6854" r:id="rId9072"/>
    <hyperlink ref="A6855" r:id="rId9073"/>
    <hyperlink ref="A6856" r:id="rId9074"/>
    <hyperlink ref="A6857" r:id="rId9075"/>
    <hyperlink ref="A6858" r:id="rId9076"/>
    <hyperlink ref="A6859" r:id="rId9077"/>
    <hyperlink ref="A6860" r:id="rId9078"/>
    <hyperlink ref="A6861" r:id="rId9079"/>
    <hyperlink ref="A6862" r:id="rId9080"/>
    <hyperlink ref="A6863" r:id="rId9081"/>
    <hyperlink ref="A6864" r:id="rId9082"/>
    <hyperlink ref="A6865" r:id="rId9083"/>
    <hyperlink ref="A6866" r:id="rId9084"/>
    <hyperlink ref="A6867" r:id="rId9085"/>
    <hyperlink ref="A6868" r:id="rId9086"/>
    <hyperlink ref="A6869" r:id="rId9087"/>
    <hyperlink ref="A6870" r:id="rId9088"/>
    <hyperlink ref="A6871" r:id="rId9089"/>
    <hyperlink ref="A6872" r:id="rId9090"/>
    <hyperlink ref="A6873" r:id="rId9091"/>
    <hyperlink ref="A6874" r:id="rId9092"/>
    <hyperlink ref="A6875" r:id="rId9093"/>
    <hyperlink ref="A6876" r:id="rId9094"/>
    <hyperlink ref="A6877" r:id="rId9095"/>
    <hyperlink ref="A6878" r:id="rId9096"/>
    <hyperlink ref="A6879" r:id="rId9097"/>
    <hyperlink ref="A6880" r:id="rId9098"/>
    <hyperlink ref="A6881" r:id="rId9099"/>
    <hyperlink ref="A6882" r:id="rId9100"/>
    <hyperlink ref="A6883" r:id="rId9101"/>
    <hyperlink ref="A6884" r:id="rId9102"/>
    <hyperlink ref="A6885" r:id="rId9103"/>
    <hyperlink ref="A6886" r:id="rId9104"/>
    <hyperlink ref="A6887" r:id="rId9105"/>
    <hyperlink ref="A6888" r:id="rId9106"/>
    <hyperlink ref="A6889" r:id="rId9107"/>
    <hyperlink ref="A6890" r:id="rId9108"/>
    <hyperlink ref="A6891" r:id="rId9109"/>
    <hyperlink ref="A6892" r:id="rId9110"/>
    <hyperlink ref="A6893" r:id="rId9111"/>
    <hyperlink ref="A6894" r:id="rId9112"/>
    <hyperlink ref="A6895" r:id="rId9113"/>
    <hyperlink ref="A6896" r:id="rId9114"/>
    <hyperlink ref="A6897" r:id="rId9115"/>
    <hyperlink ref="A6898" r:id="rId9116"/>
    <hyperlink ref="A6899" r:id="rId9117"/>
    <hyperlink ref="A6900" r:id="rId9118"/>
    <hyperlink ref="A6901" r:id="rId9119"/>
    <hyperlink ref="A6902" r:id="rId9120"/>
    <hyperlink ref="A6903" r:id="rId9121"/>
    <hyperlink ref="A6904" r:id="rId9122"/>
    <hyperlink ref="A6905" r:id="rId9123"/>
    <hyperlink ref="A6906" r:id="rId9124"/>
    <hyperlink ref="A6907" r:id="rId9125"/>
    <hyperlink ref="A6908" r:id="rId9126"/>
    <hyperlink ref="A6909" r:id="rId9127"/>
    <hyperlink ref="A6910" r:id="rId9128"/>
    <hyperlink ref="A6911" r:id="rId9129"/>
    <hyperlink ref="A6912" r:id="rId9130"/>
    <hyperlink ref="A6913" r:id="rId9131"/>
    <hyperlink ref="A6914" r:id="rId9132"/>
    <hyperlink ref="A6915" r:id="rId9133"/>
    <hyperlink ref="A6916" r:id="rId9134"/>
    <hyperlink ref="A6917" r:id="rId9135"/>
    <hyperlink ref="A6918" r:id="rId9136"/>
    <hyperlink ref="A6919" r:id="rId9137"/>
    <hyperlink ref="A6920" r:id="rId9138"/>
    <hyperlink ref="A6921" r:id="rId9139"/>
    <hyperlink ref="A6922" r:id="rId9140"/>
    <hyperlink ref="A6923" r:id="rId9141"/>
    <hyperlink ref="A6924" r:id="rId9142"/>
    <hyperlink ref="A6925" r:id="rId9143"/>
    <hyperlink ref="A6926" r:id="rId9144"/>
    <hyperlink ref="A6927" r:id="rId9145"/>
    <hyperlink ref="A6928" r:id="rId9146"/>
    <hyperlink ref="A6929" r:id="rId9147"/>
    <hyperlink ref="A6930" r:id="rId9148"/>
    <hyperlink ref="A6931" r:id="rId9149"/>
    <hyperlink ref="A6932" r:id="rId9150"/>
    <hyperlink ref="A6933" r:id="rId9151"/>
    <hyperlink ref="A6934" r:id="rId9152"/>
    <hyperlink ref="A6935" r:id="rId9153"/>
    <hyperlink ref="A6936" r:id="rId9154"/>
    <hyperlink ref="A6937" r:id="rId9155"/>
    <hyperlink ref="A6938" r:id="rId9156"/>
    <hyperlink ref="A6939" r:id="rId9157"/>
    <hyperlink ref="A6940" r:id="rId9158"/>
    <hyperlink ref="A6941" r:id="rId9159"/>
    <hyperlink ref="A6942" r:id="rId9160"/>
    <hyperlink ref="A6943" r:id="rId9161"/>
    <hyperlink ref="A6944" r:id="rId9162"/>
    <hyperlink ref="A6945" r:id="rId9163"/>
    <hyperlink ref="A6946" r:id="rId9164"/>
    <hyperlink ref="A6947" r:id="rId9165"/>
    <hyperlink ref="A6948" r:id="rId9166"/>
    <hyperlink ref="A6949" r:id="rId9167"/>
    <hyperlink ref="A6950" r:id="rId9168"/>
    <hyperlink ref="A6951" r:id="rId9169"/>
    <hyperlink ref="A6952" r:id="rId9170"/>
    <hyperlink ref="A6953" r:id="rId9171"/>
    <hyperlink ref="A6954" r:id="rId9172"/>
    <hyperlink ref="A6955" r:id="rId9173"/>
    <hyperlink ref="A6956" r:id="rId9174"/>
    <hyperlink ref="A6957" r:id="rId9175"/>
    <hyperlink ref="A6958" r:id="rId9176"/>
    <hyperlink ref="A6959" r:id="rId9177"/>
    <hyperlink ref="A6960" r:id="rId9178"/>
    <hyperlink ref="A6961" r:id="rId9179"/>
    <hyperlink ref="A6962" r:id="rId9180"/>
    <hyperlink ref="A6963" r:id="rId9181"/>
    <hyperlink ref="A6964" r:id="rId9182"/>
    <hyperlink ref="A6965" r:id="rId9183"/>
    <hyperlink ref="A6966" r:id="rId9184"/>
    <hyperlink ref="A6967" r:id="rId9185"/>
    <hyperlink ref="A6968" r:id="rId9186"/>
    <hyperlink ref="A6969" r:id="rId9187"/>
    <hyperlink ref="A6970" r:id="rId9188"/>
    <hyperlink ref="A6971" r:id="rId9189"/>
    <hyperlink ref="A6972" r:id="rId9190"/>
    <hyperlink ref="A6973" r:id="rId9191"/>
    <hyperlink ref="A6974" r:id="rId9192"/>
    <hyperlink ref="A6975" r:id="rId9193"/>
    <hyperlink ref="A6976" r:id="rId9194"/>
    <hyperlink ref="A6977" r:id="rId9195"/>
    <hyperlink ref="A6978" r:id="rId9196"/>
    <hyperlink ref="A6979" r:id="rId9197"/>
    <hyperlink ref="A6980" r:id="rId9198"/>
    <hyperlink ref="A6981" r:id="rId9199"/>
    <hyperlink ref="A6982" r:id="rId9200"/>
    <hyperlink ref="A6983" r:id="rId9201"/>
    <hyperlink ref="A6984" r:id="rId9202"/>
    <hyperlink ref="A6985" r:id="rId9203"/>
    <hyperlink ref="A6986" r:id="rId9204"/>
    <hyperlink ref="A6987" r:id="rId9205"/>
    <hyperlink ref="A6988" r:id="rId9206"/>
    <hyperlink ref="A6989" r:id="rId9207"/>
    <hyperlink ref="A6990" r:id="rId9208"/>
    <hyperlink ref="A6991" r:id="rId9209"/>
    <hyperlink ref="A6992" r:id="rId9210"/>
    <hyperlink ref="A6993" r:id="rId9211"/>
    <hyperlink ref="A6994" r:id="rId9212"/>
    <hyperlink ref="A6995" r:id="rId9213"/>
    <hyperlink ref="A6996" r:id="rId9214"/>
    <hyperlink ref="A6997" r:id="rId9215"/>
    <hyperlink ref="A6998" r:id="rId9216"/>
    <hyperlink ref="A6999" r:id="rId9217"/>
    <hyperlink ref="A7000" r:id="rId9218"/>
    <hyperlink ref="A7001" r:id="rId9219"/>
    <hyperlink ref="A7002" r:id="rId9220"/>
    <hyperlink ref="A7003" r:id="rId9221"/>
    <hyperlink ref="A7004" r:id="rId9222"/>
    <hyperlink ref="A7005" r:id="rId9223"/>
    <hyperlink ref="A7006" r:id="rId9224"/>
    <hyperlink ref="A7007" r:id="rId9225"/>
    <hyperlink ref="A7008" r:id="rId9226"/>
    <hyperlink ref="A7009" r:id="rId9227"/>
    <hyperlink ref="A7010" r:id="rId9228"/>
    <hyperlink ref="A7011" r:id="rId9229"/>
    <hyperlink ref="A7012" r:id="rId9230"/>
    <hyperlink ref="A7013" r:id="rId9231"/>
    <hyperlink ref="A7014" r:id="rId9232"/>
    <hyperlink ref="A7015" r:id="rId9233"/>
    <hyperlink ref="A7016" r:id="rId9234"/>
    <hyperlink ref="A7017" r:id="rId9235"/>
    <hyperlink ref="A7018" r:id="rId9236"/>
    <hyperlink ref="A7019" r:id="rId9237"/>
    <hyperlink ref="A7020" r:id="rId9238"/>
    <hyperlink ref="A7021" r:id="rId9239"/>
    <hyperlink ref="A7022" r:id="rId9240"/>
    <hyperlink ref="A7023" r:id="rId9241"/>
    <hyperlink ref="A7024" r:id="rId9242"/>
    <hyperlink ref="A7025" r:id="rId9243"/>
    <hyperlink ref="A7026" r:id="rId9244"/>
    <hyperlink ref="A7027" r:id="rId9245"/>
    <hyperlink ref="A7028" r:id="rId9246"/>
    <hyperlink ref="A7029" r:id="rId9247"/>
    <hyperlink ref="A7030" r:id="rId9248"/>
    <hyperlink ref="A7031" r:id="rId9249"/>
    <hyperlink ref="A7032" r:id="rId9250"/>
    <hyperlink ref="A7033" r:id="rId9251"/>
    <hyperlink ref="A7034" r:id="rId9252"/>
    <hyperlink ref="A7035" r:id="rId9253"/>
    <hyperlink ref="A7036" r:id="rId9254"/>
    <hyperlink ref="A7037" r:id="rId9255"/>
    <hyperlink ref="A7038" r:id="rId9256"/>
    <hyperlink ref="A7039" r:id="rId9257"/>
    <hyperlink ref="A7040" r:id="rId9258"/>
    <hyperlink ref="A7041" r:id="rId9259"/>
    <hyperlink ref="A7042" r:id="rId9260"/>
    <hyperlink ref="A7043" r:id="rId9261"/>
    <hyperlink ref="A7044" r:id="rId9262"/>
    <hyperlink ref="A7045" r:id="rId9263"/>
    <hyperlink ref="A7046" r:id="rId9264"/>
    <hyperlink ref="A7047" r:id="rId9265"/>
    <hyperlink ref="A7048" r:id="rId9266"/>
    <hyperlink ref="A7049" r:id="rId9267"/>
    <hyperlink ref="A7050" r:id="rId9268"/>
    <hyperlink ref="A7051" r:id="rId9269"/>
    <hyperlink ref="A7052" r:id="rId9270"/>
    <hyperlink ref="A7053" r:id="rId9271"/>
    <hyperlink ref="A7054" r:id="rId9272"/>
    <hyperlink ref="A7055" r:id="rId9273"/>
    <hyperlink ref="A7056" r:id="rId9274"/>
    <hyperlink ref="A7057" r:id="rId9275"/>
    <hyperlink ref="A7058" r:id="rId9276"/>
    <hyperlink ref="A7059" r:id="rId9277"/>
    <hyperlink ref="A7060" r:id="rId9278"/>
    <hyperlink ref="A7061" r:id="rId9279"/>
    <hyperlink ref="A7062" r:id="rId9280"/>
    <hyperlink ref="A7063" r:id="rId9281"/>
    <hyperlink ref="A7064" r:id="rId9282"/>
    <hyperlink ref="A7065" r:id="rId9283"/>
    <hyperlink ref="A7066" r:id="rId9284"/>
    <hyperlink ref="A7067" r:id="rId9285"/>
    <hyperlink ref="A7068" r:id="rId9286"/>
    <hyperlink ref="A7069" r:id="rId9287"/>
    <hyperlink ref="A7070" r:id="rId9288"/>
    <hyperlink ref="A7071" r:id="rId9289"/>
    <hyperlink ref="A7072" r:id="rId9290"/>
    <hyperlink ref="A7073" r:id="rId9291"/>
    <hyperlink ref="A7074" r:id="rId9292"/>
    <hyperlink ref="A7075" r:id="rId9293"/>
    <hyperlink ref="A7076" r:id="rId9294"/>
    <hyperlink ref="A7077" r:id="rId9295"/>
    <hyperlink ref="A7078" r:id="rId9296"/>
    <hyperlink ref="A7079" r:id="rId9297"/>
    <hyperlink ref="A7080" r:id="rId9298"/>
    <hyperlink ref="A7081" r:id="rId9299"/>
    <hyperlink ref="A7082" r:id="rId9300"/>
    <hyperlink ref="A7083" r:id="rId9301"/>
    <hyperlink ref="A7084" r:id="rId9302"/>
    <hyperlink ref="A7085" r:id="rId9303"/>
    <hyperlink ref="A7086" r:id="rId9304"/>
    <hyperlink ref="A7087" r:id="rId9305"/>
    <hyperlink ref="A7088" r:id="rId9306"/>
    <hyperlink ref="A7089" r:id="rId9307"/>
    <hyperlink ref="A7090" r:id="rId9308"/>
    <hyperlink ref="A7091" r:id="rId9309"/>
    <hyperlink ref="A7092" r:id="rId9310"/>
    <hyperlink ref="A7093" r:id="rId9311"/>
    <hyperlink ref="A7094" r:id="rId9312"/>
    <hyperlink ref="A7095" r:id="rId9313"/>
    <hyperlink ref="A7096" r:id="rId9314"/>
    <hyperlink ref="A7097" r:id="rId9315"/>
    <hyperlink ref="A7098" r:id="rId9316"/>
    <hyperlink ref="A7099" r:id="rId9317"/>
    <hyperlink ref="A7100" r:id="rId9318"/>
    <hyperlink ref="A7101" r:id="rId9319"/>
    <hyperlink ref="A7102" r:id="rId9320"/>
    <hyperlink ref="A7103" r:id="rId9321"/>
    <hyperlink ref="A7104" r:id="rId9322"/>
    <hyperlink ref="A7105" r:id="rId9323"/>
    <hyperlink ref="A7106" r:id="rId9324"/>
    <hyperlink ref="A7107" r:id="rId9325"/>
    <hyperlink ref="A7108" r:id="rId9326"/>
    <hyperlink ref="A7109" r:id="rId9327"/>
    <hyperlink ref="A7110" r:id="rId9328"/>
    <hyperlink ref="A7111" r:id="rId9329"/>
    <hyperlink ref="A7112" r:id="rId9330"/>
    <hyperlink ref="A7113" r:id="rId9331"/>
    <hyperlink ref="A7114" r:id="rId9332"/>
    <hyperlink ref="A7115" r:id="rId9333"/>
    <hyperlink ref="A7116" r:id="rId9334"/>
    <hyperlink ref="A7117" r:id="rId9335"/>
    <hyperlink ref="A7118" r:id="rId9336"/>
    <hyperlink ref="A7119" r:id="rId9337"/>
    <hyperlink ref="A7120" r:id="rId9338"/>
    <hyperlink ref="A7121" r:id="rId9339"/>
    <hyperlink ref="A7122" r:id="rId9340"/>
    <hyperlink ref="A7123" r:id="rId9341"/>
    <hyperlink ref="A7124" r:id="rId9342"/>
    <hyperlink ref="A7125" r:id="rId9343"/>
    <hyperlink ref="A7126" r:id="rId9344"/>
    <hyperlink ref="A7127" r:id="rId9345"/>
    <hyperlink ref="A7128" r:id="rId9346"/>
    <hyperlink ref="A7129" r:id="rId9347"/>
    <hyperlink ref="A7130" r:id="rId9348"/>
    <hyperlink ref="A7131" r:id="rId9349"/>
    <hyperlink ref="A7132" r:id="rId9350"/>
    <hyperlink ref="A7133" r:id="rId9351"/>
    <hyperlink ref="A7134" r:id="rId9352"/>
    <hyperlink ref="A7135" r:id="rId9353"/>
    <hyperlink ref="A7136" r:id="rId9354"/>
    <hyperlink ref="A7137" r:id="rId9355"/>
    <hyperlink ref="A7138" r:id="rId9356"/>
    <hyperlink ref="A7139" r:id="rId9357"/>
    <hyperlink ref="A7140" r:id="rId9358"/>
    <hyperlink ref="A7141" r:id="rId9359"/>
    <hyperlink ref="A7142" r:id="rId9360"/>
    <hyperlink ref="A7143" r:id="rId9361"/>
    <hyperlink ref="A7144" r:id="rId9362"/>
    <hyperlink ref="A7145" r:id="rId9363"/>
    <hyperlink ref="A7146" r:id="rId9364"/>
    <hyperlink ref="A7147" r:id="rId9365"/>
    <hyperlink ref="A7148" r:id="rId9366"/>
    <hyperlink ref="A7149" r:id="rId9367"/>
    <hyperlink ref="A7150" r:id="rId9368"/>
    <hyperlink ref="A7151" r:id="rId9369"/>
    <hyperlink ref="A7152" r:id="rId9370"/>
    <hyperlink ref="A7153" r:id="rId9371"/>
    <hyperlink ref="A7154" r:id="rId9372"/>
    <hyperlink ref="A7155" r:id="rId9373"/>
    <hyperlink ref="A7156" r:id="rId9374"/>
    <hyperlink ref="A7157" r:id="rId9375"/>
    <hyperlink ref="A7158" r:id="rId9376"/>
    <hyperlink ref="A7159" r:id="rId9377"/>
    <hyperlink ref="A7160" r:id="rId9378"/>
    <hyperlink ref="A7161" r:id="rId9379"/>
    <hyperlink ref="A7162" r:id="rId9380"/>
    <hyperlink ref="A7163" r:id="rId9381"/>
    <hyperlink ref="A7164" r:id="rId9382"/>
    <hyperlink ref="A7165" r:id="rId9383"/>
    <hyperlink ref="A7166" r:id="rId9384"/>
    <hyperlink ref="A7167" r:id="rId9385"/>
    <hyperlink ref="A7168" r:id="rId9386"/>
    <hyperlink ref="A7169" r:id="rId9387"/>
    <hyperlink ref="A7170" r:id="rId9388"/>
    <hyperlink ref="A7171" r:id="rId9389"/>
    <hyperlink ref="A7172" r:id="rId9390"/>
    <hyperlink ref="A7173" r:id="rId9391"/>
    <hyperlink ref="A7174" r:id="rId9392"/>
    <hyperlink ref="A7175" r:id="rId9393"/>
    <hyperlink ref="A7176" r:id="rId9394"/>
    <hyperlink ref="A7177" r:id="rId9395"/>
    <hyperlink ref="A7178" r:id="rId9396"/>
    <hyperlink ref="A7179" r:id="rId9397"/>
    <hyperlink ref="A7180" r:id="rId9398"/>
    <hyperlink ref="A7181" r:id="rId9399"/>
    <hyperlink ref="A7182" r:id="rId9400"/>
    <hyperlink ref="A7183" r:id="rId9401"/>
    <hyperlink ref="A7184" r:id="rId9402"/>
    <hyperlink ref="A7185" r:id="rId9403"/>
    <hyperlink ref="A7186" r:id="rId9404"/>
    <hyperlink ref="A7187" r:id="rId9405"/>
    <hyperlink ref="A7188" r:id="rId9406"/>
    <hyperlink ref="A7189" r:id="rId9407"/>
    <hyperlink ref="A7190" r:id="rId9408"/>
    <hyperlink ref="A7191" r:id="rId9409"/>
    <hyperlink ref="A7192" r:id="rId9410"/>
    <hyperlink ref="A7193" r:id="rId9411"/>
    <hyperlink ref="A7194" r:id="rId9412"/>
    <hyperlink ref="A7195" r:id="rId9413"/>
    <hyperlink ref="A7196" r:id="rId9414"/>
    <hyperlink ref="A7197" r:id="rId9415"/>
    <hyperlink ref="A7198" r:id="rId9416"/>
    <hyperlink ref="A7199" r:id="rId9417"/>
    <hyperlink ref="A7200" r:id="rId9418"/>
    <hyperlink ref="A7201" r:id="rId9419"/>
    <hyperlink ref="A7202" r:id="rId9420"/>
    <hyperlink ref="A7203" r:id="rId9421"/>
    <hyperlink ref="A7204" r:id="rId9422"/>
    <hyperlink ref="A7205" r:id="rId9423"/>
    <hyperlink ref="A7206" r:id="rId9424"/>
    <hyperlink ref="A7207" r:id="rId9425"/>
    <hyperlink ref="A7208" r:id="rId9426"/>
    <hyperlink ref="A7209" r:id="rId9427"/>
    <hyperlink ref="A7210" r:id="rId9428"/>
    <hyperlink ref="A7211" r:id="rId9429"/>
    <hyperlink ref="A7212" r:id="rId9430"/>
    <hyperlink ref="A7213" r:id="rId9431"/>
    <hyperlink ref="A7214" r:id="rId9432"/>
    <hyperlink ref="A7215" r:id="rId9433"/>
    <hyperlink ref="A7216" r:id="rId9434"/>
    <hyperlink ref="A7217" r:id="rId9435"/>
    <hyperlink ref="A7218" r:id="rId9436"/>
    <hyperlink ref="A7219" r:id="rId9437"/>
    <hyperlink ref="A7220" r:id="rId9438"/>
    <hyperlink ref="A7221" r:id="rId9439"/>
    <hyperlink ref="A7222" r:id="rId9440"/>
    <hyperlink ref="A7223" r:id="rId9441"/>
    <hyperlink ref="A7224" r:id="rId9442"/>
    <hyperlink ref="A7225" r:id="rId9443"/>
    <hyperlink ref="A7226" r:id="rId9444"/>
    <hyperlink ref="A7227" r:id="rId9445"/>
    <hyperlink ref="A7228" r:id="rId9446"/>
    <hyperlink ref="A7229" r:id="rId9447"/>
    <hyperlink ref="A7230" r:id="rId9448"/>
    <hyperlink ref="A7231" r:id="rId9449"/>
    <hyperlink ref="A7232" r:id="rId9450"/>
    <hyperlink ref="A7233" r:id="rId9451"/>
    <hyperlink ref="A7234" r:id="rId9452"/>
    <hyperlink ref="A7235" r:id="rId9453"/>
    <hyperlink ref="A7236" r:id="rId9454"/>
    <hyperlink ref="A7237" r:id="rId9455"/>
    <hyperlink ref="A7238" r:id="rId9456"/>
    <hyperlink ref="A7239" r:id="rId9457"/>
    <hyperlink ref="A7240" r:id="rId9458"/>
    <hyperlink ref="A7241" r:id="rId9459"/>
    <hyperlink ref="A7242" r:id="rId9460"/>
    <hyperlink ref="A7243" r:id="rId9461"/>
    <hyperlink ref="A7244" r:id="rId9462"/>
    <hyperlink ref="A7245" r:id="rId9463"/>
    <hyperlink ref="A7246" r:id="rId9464"/>
    <hyperlink ref="A7247" r:id="rId9465"/>
    <hyperlink ref="A7248" r:id="rId9466"/>
    <hyperlink ref="A7249" r:id="rId9467"/>
    <hyperlink ref="A7250" r:id="rId9468"/>
    <hyperlink ref="A7251" r:id="rId9469"/>
    <hyperlink ref="A7252" r:id="rId9470"/>
    <hyperlink ref="A7253" r:id="rId9471"/>
    <hyperlink ref="A7254" r:id="rId9472"/>
    <hyperlink ref="A7255" r:id="rId9473"/>
    <hyperlink ref="A7256" r:id="rId9474"/>
    <hyperlink ref="A7257" r:id="rId9475"/>
    <hyperlink ref="A7258" r:id="rId9476"/>
    <hyperlink ref="A7259" r:id="rId9477"/>
    <hyperlink ref="A7260" r:id="rId9478"/>
    <hyperlink ref="A7261" r:id="rId9479"/>
    <hyperlink ref="A7262" r:id="rId9480"/>
    <hyperlink ref="A7263" r:id="rId9481"/>
    <hyperlink ref="A7264" r:id="rId9482"/>
    <hyperlink ref="A7265" r:id="rId9483"/>
    <hyperlink ref="A7266" r:id="rId9484"/>
    <hyperlink ref="A7267" r:id="rId9485"/>
    <hyperlink ref="A7268" r:id="rId9486"/>
    <hyperlink ref="A7269" r:id="rId9487"/>
    <hyperlink ref="A7270" r:id="rId9488"/>
    <hyperlink ref="A7271" r:id="rId9489"/>
    <hyperlink ref="A7272" r:id="rId9490"/>
    <hyperlink ref="A7273" r:id="rId9491"/>
    <hyperlink ref="A7274" r:id="rId9492"/>
    <hyperlink ref="A7275" r:id="rId9493"/>
    <hyperlink ref="A7276" r:id="rId9494"/>
    <hyperlink ref="A7277" r:id="rId9495"/>
    <hyperlink ref="A7278" r:id="rId9496"/>
    <hyperlink ref="A7279" r:id="rId9497"/>
    <hyperlink ref="A7280" r:id="rId9498"/>
    <hyperlink ref="A7281" r:id="rId9499"/>
    <hyperlink ref="A7282" r:id="rId9500"/>
    <hyperlink ref="A7283" r:id="rId9501"/>
    <hyperlink ref="A7284" r:id="rId9502"/>
    <hyperlink ref="A7285" r:id="rId9503"/>
    <hyperlink ref="A7286" r:id="rId9504"/>
    <hyperlink ref="A7287" r:id="rId9505"/>
    <hyperlink ref="A7288" r:id="rId9506"/>
    <hyperlink ref="A7289" r:id="rId9507"/>
    <hyperlink ref="A7290" r:id="rId9508"/>
    <hyperlink ref="A7291" r:id="rId9509"/>
    <hyperlink ref="A7292" r:id="rId9510"/>
    <hyperlink ref="A7293" r:id="rId9511"/>
    <hyperlink ref="A7294" r:id="rId9512"/>
    <hyperlink ref="A7295" r:id="rId9513"/>
    <hyperlink ref="A7296" r:id="rId9514"/>
    <hyperlink ref="A7297" r:id="rId9515"/>
    <hyperlink ref="A7298" r:id="rId9516"/>
    <hyperlink ref="A7299" r:id="rId9517"/>
    <hyperlink ref="A7300" r:id="rId9518"/>
    <hyperlink ref="A7301" r:id="rId9519"/>
    <hyperlink ref="A7302" r:id="rId9520"/>
    <hyperlink ref="A7303" r:id="rId9521"/>
    <hyperlink ref="A7304" r:id="rId9522"/>
    <hyperlink ref="A7305" r:id="rId9523"/>
    <hyperlink ref="A7306" r:id="rId9524"/>
    <hyperlink ref="A7307" r:id="rId9525"/>
    <hyperlink ref="A7308" r:id="rId9526"/>
    <hyperlink ref="A7309" r:id="rId9527"/>
    <hyperlink ref="A7310" r:id="rId9528"/>
    <hyperlink ref="A7311" r:id="rId9529"/>
    <hyperlink ref="A7312" r:id="rId9530"/>
    <hyperlink ref="A7313" r:id="rId9531"/>
    <hyperlink ref="A7314" r:id="rId9532"/>
    <hyperlink ref="A7315" r:id="rId9533"/>
    <hyperlink ref="A7316" r:id="rId9534"/>
    <hyperlink ref="A7317" r:id="rId9535"/>
    <hyperlink ref="A7318" r:id="rId9536"/>
    <hyperlink ref="A7319" r:id="rId9537"/>
    <hyperlink ref="A7320" r:id="rId9538"/>
    <hyperlink ref="A7321" r:id="rId9539"/>
    <hyperlink ref="A7322" r:id="rId9540"/>
    <hyperlink ref="A7323" r:id="rId9541"/>
    <hyperlink ref="A7324" r:id="rId9542"/>
    <hyperlink ref="A7325" r:id="rId9543"/>
    <hyperlink ref="A7326" r:id="rId9544"/>
    <hyperlink ref="A7327" r:id="rId9545"/>
    <hyperlink ref="A7328" r:id="rId9546"/>
    <hyperlink ref="A7329" r:id="rId9547"/>
    <hyperlink ref="A7330" r:id="rId9548"/>
    <hyperlink ref="A7331" r:id="rId9549"/>
    <hyperlink ref="A7332" r:id="rId9550"/>
    <hyperlink ref="A7333" r:id="rId9551"/>
    <hyperlink ref="A7334" r:id="rId9552"/>
    <hyperlink ref="A7335" r:id="rId9553"/>
    <hyperlink ref="A7336" r:id="rId9554"/>
    <hyperlink ref="A7337" r:id="rId9555"/>
    <hyperlink ref="A7338" r:id="rId9556"/>
    <hyperlink ref="A7339" r:id="rId9557"/>
    <hyperlink ref="A7340" r:id="rId9558"/>
    <hyperlink ref="A7341" r:id="rId9559"/>
    <hyperlink ref="A7342" r:id="rId9560"/>
    <hyperlink ref="A7343" r:id="rId9561"/>
    <hyperlink ref="A7344" r:id="rId9562"/>
    <hyperlink ref="A7345" r:id="rId9563"/>
    <hyperlink ref="A7346" r:id="rId9564"/>
    <hyperlink ref="A7347" r:id="rId9565"/>
    <hyperlink ref="A7348" r:id="rId9566"/>
    <hyperlink ref="A7349" r:id="rId9567"/>
    <hyperlink ref="A7350" r:id="rId9568"/>
    <hyperlink ref="A7351" r:id="rId9569"/>
    <hyperlink ref="A7352" r:id="rId9570"/>
    <hyperlink ref="A7353" r:id="rId9571"/>
    <hyperlink ref="A7354" r:id="rId9572"/>
    <hyperlink ref="A7355" r:id="rId9573"/>
    <hyperlink ref="A7356" r:id="rId9574"/>
    <hyperlink ref="A7357" r:id="rId9575"/>
    <hyperlink ref="A7358" r:id="rId9576"/>
    <hyperlink ref="A7359" r:id="rId9577"/>
    <hyperlink ref="A7360" r:id="rId9578"/>
    <hyperlink ref="A7361" r:id="rId9579"/>
    <hyperlink ref="A7362" r:id="rId9580"/>
    <hyperlink ref="A7363" r:id="rId9581"/>
    <hyperlink ref="A7364" r:id="rId9582"/>
    <hyperlink ref="A7365" r:id="rId9583"/>
    <hyperlink ref="A7366" r:id="rId9584"/>
    <hyperlink ref="A7367" r:id="rId9585"/>
    <hyperlink ref="A7368" r:id="rId9586"/>
    <hyperlink ref="A7369" r:id="rId9587"/>
    <hyperlink ref="A7370" r:id="rId9588"/>
    <hyperlink ref="A7371" r:id="rId9589"/>
    <hyperlink ref="A7372" r:id="rId9590"/>
    <hyperlink ref="A7373" r:id="rId9591"/>
    <hyperlink ref="A7374" r:id="rId9592"/>
    <hyperlink ref="A7375" r:id="rId9593"/>
    <hyperlink ref="A7376" r:id="rId9594"/>
    <hyperlink ref="A7377" r:id="rId9595"/>
    <hyperlink ref="A7378" r:id="rId9596"/>
    <hyperlink ref="A7379" r:id="rId9597"/>
    <hyperlink ref="A7380" r:id="rId9598"/>
    <hyperlink ref="A7381" r:id="rId9599"/>
    <hyperlink ref="A7382" r:id="rId9600"/>
    <hyperlink ref="A7383" r:id="rId9601"/>
    <hyperlink ref="A7384" r:id="rId9602"/>
    <hyperlink ref="A7385" r:id="rId9603"/>
    <hyperlink ref="A7386" r:id="rId9604"/>
    <hyperlink ref="A7387" r:id="rId9605"/>
    <hyperlink ref="A7388" r:id="rId9606"/>
    <hyperlink ref="A7389" r:id="rId9607"/>
    <hyperlink ref="A7390" r:id="rId9608"/>
    <hyperlink ref="A7391" r:id="rId9609"/>
    <hyperlink ref="A7392" r:id="rId9610"/>
    <hyperlink ref="A7393" r:id="rId9611"/>
    <hyperlink ref="A7394" r:id="rId9612"/>
    <hyperlink ref="A7395" r:id="rId9613"/>
    <hyperlink ref="A7396" r:id="rId9614"/>
    <hyperlink ref="A7397" r:id="rId9615"/>
    <hyperlink ref="A7398" r:id="rId9616"/>
    <hyperlink ref="A7399" r:id="rId9617"/>
    <hyperlink ref="A7400" r:id="rId9618"/>
    <hyperlink ref="A7401" r:id="rId9619"/>
    <hyperlink ref="A7402" r:id="rId9620"/>
    <hyperlink ref="A7403" r:id="rId9621"/>
    <hyperlink ref="A7404" r:id="rId9622"/>
    <hyperlink ref="A7405" r:id="rId9623"/>
    <hyperlink ref="A7406" r:id="rId9624"/>
    <hyperlink ref="A7407" r:id="rId9625"/>
    <hyperlink ref="A7408" r:id="rId9626"/>
    <hyperlink ref="A7409" r:id="rId9627"/>
    <hyperlink ref="A7410" r:id="rId9628"/>
    <hyperlink ref="A7411" r:id="rId9629"/>
    <hyperlink ref="A7412" r:id="rId9630"/>
    <hyperlink ref="A7413" r:id="rId9631"/>
    <hyperlink ref="A7414" r:id="rId9632"/>
    <hyperlink ref="A7415" r:id="rId9633"/>
    <hyperlink ref="A7416" r:id="rId9634"/>
    <hyperlink ref="A7417" r:id="rId9635"/>
    <hyperlink ref="A7418" r:id="rId9636"/>
    <hyperlink ref="A7419" r:id="rId9637"/>
    <hyperlink ref="A7420" r:id="rId9638"/>
    <hyperlink ref="A7421" r:id="rId9639"/>
    <hyperlink ref="A7422" r:id="rId9640"/>
    <hyperlink ref="A7423" r:id="rId9641"/>
    <hyperlink ref="A7424" r:id="rId9642"/>
    <hyperlink ref="A7425" r:id="rId9643"/>
    <hyperlink ref="A7426" r:id="rId9644"/>
    <hyperlink ref="A7427" r:id="rId9645"/>
    <hyperlink ref="A7428" r:id="rId9646"/>
    <hyperlink ref="A7429" r:id="rId9647"/>
    <hyperlink ref="A7430" r:id="rId9648"/>
    <hyperlink ref="A7431" r:id="rId9649"/>
    <hyperlink ref="A7432" r:id="rId9650"/>
    <hyperlink ref="A7433" r:id="rId9651"/>
    <hyperlink ref="A7434" r:id="rId9652"/>
    <hyperlink ref="A7435" r:id="rId9653"/>
    <hyperlink ref="A7436" r:id="rId9654"/>
    <hyperlink ref="A7437" r:id="rId9655"/>
    <hyperlink ref="A7438" r:id="rId9656"/>
    <hyperlink ref="A7439" r:id="rId9657"/>
    <hyperlink ref="A7440" r:id="rId9658"/>
    <hyperlink ref="A7441" r:id="rId9659"/>
    <hyperlink ref="A7442" r:id="rId9660"/>
    <hyperlink ref="A7443" r:id="rId9661"/>
    <hyperlink ref="A7444" r:id="rId9662"/>
    <hyperlink ref="A7445" r:id="rId9663"/>
    <hyperlink ref="A7446" r:id="rId9664"/>
    <hyperlink ref="A7447" r:id="rId9665"/>
    <hyperlink ref="A7448" r:id="rId9666"/>
    <hyperlink ref="A7449" r:id="rId9667"/>
    <hyperlink ref="A7450" r:id="rId9668"/>
    <hyperlink ref="A7451" r:id="rId9669"/>
    <hyperlink ref="A7452" r:id="rId9670"/>
    <hyperlink ref="A7453" r:id="rId9671"/>
    <hyperlink ref="A7454" r:id="rId9672"/>
    <hyperlink ref="A7455" r:id="rId9673"/>
    <hyperlink ref="A7456" r:id="rId9674"/>
    <hyperlink ref="A7457" r:id="rId9675"/>
    <hyperlink ref="A7458" r:id="rId9676"/>
    <hyperlink ref="A7459" r:id="rId9677"/>
    <hyperlink ref="A7460" r:id="rId9678"/>
    <hyperlink ref="A7461" r:id="rId9679"/>
    <hyperlink ref="A7462" r:id="rId9680"/>
    <hyperlink ref="A7463" r:id="rId9681"/>
    <hyperlink ref="A7464" r:id="rId9682"/>
    <hyperlink ref="A7465" r:id="rId9683"/>
    <hyperlink ref="A7466" r:id="rId9684"/>
    <hyperlink ref="A7467" r:id="rId9685"/>
    <hyperlink ref="A7468" r:id="rId9686"/>
    <hyperlink ref="A7469" r:id="rId9687"/>
    <hyperlink ref="A7470" r:id="rId9688"/>
    <hyperlink ref="A7471" r:id="rId9689"/>
    <hyperlink ref="A7472" r:id="rId9690"/>
    <hyperlink ref="A7473" r:id="rId9691"/>
    <hyperlink ref="A7474" r:id="rId9692"/>
    <hyperlink ref="A7475" r:id="rId9693"/>
    <hyperlink ref="A7476" r:id="rId9694"/>
    <hyperlink ref="A7477" r:id="rId9695"/>
    <hyperlink ref="A7478" r:id="rId9696"/>
    <hyperlink ref="A7479" r:id="rId9697"/>
    <hyperlink ref="A7480" r:id="rId9698"/>
    <hyperlink ref="A7481" r:id="rId9699"/>
    <hyperlink ref="A7482" r:id="rId9700"/>
    <hyperlink ref="A7483" r:id="rId9701"/>
    <hyperlink ref="A7484" r:id="rId9702"/>
    <hyperlink ref="A7485" r:id="rId9703"/>
    <hyperlink ref="A7486" r:id="rId9704"/>
    <hyperlink ref="A7487" r:id="rId9705"/>
    <hyperlink ref="A7488" r:id="rId9706"/>
    <hyperlink ref="A7489" r:id="rId9707"/>
    <hyperlink ref="A7490" r:id="rId9708"/>
    <hyperlink ref="A7491" r:id="rId9709"/>
    <hyperlink ref="A7492" r:id="rId9710"/>
    <hyperlink ref="A7493" r:id="rId9711"/>
    <hyperlink ref="A7494" r:id="rId9712"/>
    <hyperlink ref="A7495" r:id="rId9713"/>
    <hyperlink ref="A7496" r:id="rId9714"/>
    <hyperlink ref="A7497" r:id="rId9715"/>
    <hyperlink ref="A7498" r:id="rId9716"/>
    <hyperlink ref="A7499" r:id="rId9717"/>
    <hyperlink ref="A7500" r:id="rId9718"/>
    <hyperlink ref="A7501" r:id="rId9719"/>
    <hyperlink ref="A7502" r:id="rId9720"/>
    <hyperlink ref="A7503" r:id="rId9721"/>
    <hyperlink ref="A7504" r:id="rId9722"/>
    <hyperlink ref="A7505" r:id="rId9723"/>
    <hyperlink ref="A7506" r:id="rId9724"/>
    <hyperlink ref="A7507" r:id="rId9725"/>
    <hyperlink ref="A7508" r:id="rId9726"/>
    <hyperlink ref="A7509" r:id="rId9727"/>
    <hyperlink ref="A7510" r:id="rId9728"/>
    <hyperlink ref="A7511" r:id="rId9729"/>
    <hyperlink ref="A7512" r:id="rId9730"/>
    <hyperlink ref="A7513" r:id="rId9731"/>
    <hyperlink ref="A7514" r:id="rId9732"/>
    <hyperlink ref="A7515" r:id="rId9733"/>
    <hyperlink ref="A7516" r:id="rId9734"/>
    <hyperlink ref="A7517" r:id="rId9735"/>
    <hyperlink ref="A7518" r:id="rId9736"/>
    <hyperlink ref="A7519" r:id="rId9737"/>
    <hyperlink ref="A7520" r:id="rId9738"/>
    <hyperlink ref="A7521" r:id="rId9739"/>
    <hyperlink ref="A7522" r:id="rId9740"/>
    <hyperlink ref="A7523" r:id="rId9741"/>
    <hyperlink ref="A7524" r:id="rId9742"/>
    <hyperlink ref="A7525" r:id="rId9743"/>
    <hyperlink ref="A7526" r:id="rId9744"/>
    <hyperlink ref="A7527" r:id="rId9745"/>
    <hyperlink ref="A7528" r:id="rId9746"/>
    <hyperlink ref="A7529" r:id="rId9747"/>
    <hyperlink ref="A7530" r:id="rId9748"/>
    <hyperlink ref="A7531" r:id="rId9749"/>
    <hyperlink ref="A7532" r:id="rId9750"/>
    <hyperlink ref="A7533" r:id="rId9751"/>
    <hyperlink ref="A7534" r:id="rId9752"/>
    <hyperlink ref="A7535" r:id="rId9753"/>
    <hyperlink ref="A7536" r:id="rId9754"/>
    <hyperlink ref="A7537" r:id="rId9755"/>
    <hyperlink ref="A7538" r:id="rId9756"/>
    <hyperlink ref="A7539" r:id="rId9757"/>
    <hyperlink ref="A7540" r:id="rId9758"/>
    <hyperlink ref="A7541" r:id="rId9759"/>
    <hyperlink ref="A7542" r:id="rId9760"/>
    <hyperlink ref="A7543" r:id="rId9761"/>
    <hyperlink ref="A7544" r:id="rId9762"/>
    <hyperlink ref="A7545" r:id="rId9763"/>
    <hyperlink ref="A7546" r:id="rId9764"/>
    <hyperlink ref="A7547" r:id="rId9765"/>
    <hyperlink ref="A7548" r:id="rId9766"/>
    <hyperlink ref="A7549" r:id="rId9767"/>
    <hyperlink ref="A7550" r:id="rId9768"/>
    <hyperlink ref="A7551" r:id="rId9769"/>
    <hyperlink ref="A7552" r:id="rId9770"/>
    <hyperlink ref="A7553" r:id="rId9771"/>
    <hyperlink ref="A7554" r:id="rId9772"/>
    <hyperlink ref="A7555" r:id="rId9773"/>
    <hyperlink ref="A7556" r:id="rId9774"/>
    <hyperlink ref="A7557" r:id="rId9775"/>
    <hyperlink ref="A7558" r:id="rId9776"/>
    <hyperlink ref="A7559" r:id="rId9777"/>
    <hyperlink ref="A7560" r:id="rId9778"/>
    <hyperlink ref="A7561" r:id="rId9779"/>
    <hyperlink ref="A7562" r:id="rId9780"/>
    <hyperlink ref="A7563" r:id="rId9781"/>
    <hyperlink ref="A7564" r:id="rId9782"/>
    <hyperlink ref="A7565" r:id="rId9783"/>
    <hyperlink ref="A7566" r:id="rId9784"/>
    <hyperlink ref="A7567" r:id="rId9785"/>
    <hyperlink ref="A7568" r:id="rId9786"/>
    <hyperlink ref="A7569" r:id="rId9787"/>
    <hyperlink ref="A7570" r:id="rId9788"/>
    <hyperlink ref="A7571" r:id="rId9789"/>
    <hyperlink ref="A7572" r:id="rId9790"/>
    <hyperlink ref="A7573" r:id="rId9791"/>
    <hyperlink ref="A7574" r:id="rId9792"/>
    <hyperlink ref="A7575" r:id="rId9793"/>
    <hyperlink ref="A7576" r:id="rId9794"/>
    <hyperlink ref="A7577" r:id="rId9795"/>
    <hyperlink ref="A7578" r:id="rId9796"/>
    <hyperlink ref="A7579" r:id="rId9797"/>
    <hyperlink ref="A7580" r:id="rId9798"/>
    <hyperlink ref="A7581" r:id="rId9799"/>
    <hyperlink ref="A7582" r:id="rId9800"/>
    <hyperlink ref="A7583" r:id="rId9801"/>
    <hyperlink ref="A7584" r:id="rId9802"/>
    <hyperlink ref="A7585" r:id="rId9803"/>
    <hyperlink ref="A7586" r:id="rId9804"/>
    <hyperlink ref="A7587" r:id="rId9805"/>
    <hyperlink ref="A7588" r:id="rId9806"/>
    <hyperlink ref="A7589" r:id="rId9807"/>
    <hyperlink ref="A7590" r:id="rId9808"/>
    <hyperlink ref="A7591" r:id="rId9809"/>
    <hyperlink ref="A7592" r:id="rId9810"/>
    <hyperlink ref="A7593" r:id="rId9811"/>
    <hyperlink ref="A7594" r:id="rId9812"/>
    <hyperlink ref="A7595" r:id="rId9813"/>
    <hyperlink ref="A7596" r:id="rId9814"/>
    <hyperlink ref="A7597" r:id="rId9815"/>
    <hyperlink ref="A7598" r:id="rId9816"/>
    <hyperlink ref="A7599" r:id="rId9817"/>
    <hyperlink ref="A7600" r:id="rId9818"/>
    <hyperlink ref="A7601" r:id="rId9819"/>
    <hyperlink ref="A7602" r:id="rId9820"/>
    <hyperlink ref="A7603" r:id="rId9821"/>
    <hyperlink ref="A7604" r:id="rId9822"/>
    <hyperlink ref="A7605" r:id="rId9823"/>
    <hyperlink ref="A7606" r:id="rId9824"/>
    <hyperlink ref="A7607" r:id="rId9825"/>
    <hyperlink ref="A7608" r:id="rId9826"/>
    <hyperlink ref="A7609" r:id="rId9827"/>
    <hyperlink ref="A7610" r:id="rId9828"/>
    <hyperlink ref="A7611" r:id="rId9829"/>
    <hyperlink ref="A7612" r:id="rId9830"/>
    <hyperlink ref="A7613" r:id="rId9831"/>
    <hyperlink ref="A7614" r:id="rId9832"/>
    <hyperlink ref="A7615" r:id="rId9833"/>
    <hyperlink ref="A7616" r:id="rId9834"/>
    <hyperlink ref="A7617" r:id="rId9835"/>
    <hyperlink ref="A7618" r:id="rId9836"/>
    <hyperlink ref="A7619" r:id="rId9837"/>
    <hyperlink ref="A7620" r:id="rId9838"/>
    <hyperlink ref="A7621" r:id="rId9839"/>
    <hyperlink ref="A7622" r:id="rId9840"/>
    <hyperlink ref="A7623" r:id="rId9841"/>
    <hyperlink ref="A7624" r:id="rId9842"/>
    <hyperlink ref="A7625" r:id="rId9843"/>
    <hyperlink ref="A7626" r:id="rId9844"/>
    <hyperlink ref="A7627" r:id="rId9845"/>
    <hyperlink ref="A7628" r:id="rId9846"/>
    <hyperlink ref="A7629" r:id="rId9847"/>
    <hyperlink ref="A7630" r:id="rId9848"/>
    <hyperlink ref="A7631" r:id="rId9849"/>
    <hyperlink ref="A7632" r:id="rId9850"/>
    <hyperlink ref="A7633" r:id="rId9851"/>
    <hyperlink ref="A7634" r:id="rId9852"/>
    <hyperlink ref="A7635" r:id="rId9853"/>
    <hyperlink ref="A7636" r:id="rId9854"/>
    <hyperlink ref="A7637" r:id="rId9855"/>
    <hyperlink ref="A7638" r:id="rId9856"/>
    <hyperlink ref="A7639" r:id="rId9857"/>
    <hyperlink ref="A7640" r:id="rId9858"/>
    <hyperlink ref="A7641" r:id="rId9859"/>
    <hyperlink ref="A7642" r:id="rId9860"/>
    <hyperlink ref="A7643" r:id="rId9861"/>
    <hyperlink ref="A7644" r:id="rId9862"/>
    <hyperlink ref="A7645" r:id="rId9863"/>
    <hyperlink ref="A7646" r:id="rId9864"/>
    <hyperlink ref="A7647" r:id="rId9865"/>
    <hyperlink ref="A7648" r:id="rId9866"/>
    <hyperlink ref="A7649" r:id="rId9867"/>
    <hyperlink ref="A7650" r:id="rId9868"/>
    <hyperlink ref="A7651" r:id="rId9869"/>
    <hyperlink ref="A7652" r:id="rId9870"/>
    <hyperlink ref="A7653" r:id="rId9871"/>
    <hyperlink ref="A7654" r:id="rId9872"/>
    <hyperlink ref="A7655" r:id="rId9873"/>
    <hyperlink ref="A7656" r:id="rId9874"/>
    <hyperlink ref="A7657" r:id="rId9875"/>
    <hyperlink ref="A7658" r:id="rId9876"/>
    <hyperlink ref="A7659" r:id="rId9877"/>
    <hyperlink ref="A7660" r:id="rId9878"/>
    <hyperlink ref="A7661" r:id="rId9879"/>
    <hyperlink ref="A7662" r:id="rId9880"/>
    <hyperlink ref="A7663" r:id="rId9881"/>
    <hyperlink ref="A7664" r:id="rId9882"/>
    <hyperlink ref="A7665" r:id="rId9883"/>
    <hyperlink ref="A7666" r:id="rId9884"/>
    <hyperlink ref="A7667" r:id="rId9885"/>
    <hyperlink ref="A7668" r:id="rId9886"/>
    <hyperlink ref="A7669" r:id="rId9887"/>
    <hyperlink ref="A7670" r:id="rId9888"/>
    <hyperlink ref="A7671" r:id="rId9889"/>
    <hyperlink ref="A7672" r:id="rId9890"/>
    <hyperlink ref="A7673" r:id="rId9891"/>
    <hyperlink ref="A7674" r:id="rId9892"/>
    <hyperlink ref="A7675" r:id="rId9893"/>
    <hyperlink ref="A7676" r:id="rId9894"/>
    <hyperlink ref="A7677" r:id="rId9895"/>
    <hyperlink ref="A7678" r:id="rId9896"/>
    <hyperlink ref="A7679" r:id="rId9897"/>
    <hyperlink ref="A7680" r:id="rId9898"/>
    <hyperlink ref="A7681" r:id="rId9899"/>
    <hyperlink ref="A7682" r:id="rId9900"/>
    <hyperlink ref="A7683" r:id="rId9901"/>
    <hyperlink ref="A7684" r:id="rId9902"/>
    <hyperlink ref="A7685" r:id="rId9903"/>
    <hyperlink ref="A7686" r:id="rId9904"/>
    <hyperlink ref="A7687" r:id="rId9905"/>
    <hyperlink ref="A7688" r:id="rId9906"/>
    <hyperlink ref="A7689" r:id="rId9907"/>
    <hyperlink ref="A7690" r:id="rId9908"/>
    <hyperlink ref="A7691" r:id="rId9909"/>
    <hyperlink ref="A7692" r:id="rId9910"/>
    <hyperlink ref="A7693" r:id="rId9911"/>
    <hyperlink ref="A7694" r:id="rId9912"/>
    <hyperlink ref="A7695" r:id="rId9913"/>
    <hyperlink ref="A7696" r:id="rId9914"/>
    <hyperlink ref="A7697" r:id="rId9915"/>
    <hyperlink ref="A7698" r:id="rId9916"/>
    <hyperlink ref="A7699" r:id="rId9917"/>
    <hyperlink ref="A7700" r:id="rId9918"/>
    <hyperlink ref="A7701" r:id="rId9919"/>
    <hyperlink ref="A7702" r:id="rId9920"/>
    <hyperlink ref="A7703" r:id="rId9921"/>
    <hyperlink ref="A7704" r:id="rId9922"/>
    <hyperlink ref="A7705" r:id="rId9923"/>
    <hyperlink ref="A7706" r:id="rId9924"/>
    <hyperlink ref="A7707" r:id="rId9925"/>
    <hyperlink ref="A7708" r:id="rId9926"/>
    <hyperlink ref="A7709" r:id="rId9927"/>
    <hyperlink ref="A7710" r:id="rId9928"/>
    <hyperlink ref="A7711" r:id="rId9929"/>
    <hyperlink ref="A7712" r:id="rId9930"/>
    <hyperlink ref="A7713" r:id="rId9931"/>
    <hyperlink ref="A7714" r:id="rId9932"/>
    <hyperlink ref="A7715" r:id="rId9933"/>
    <hyperlink ref="A7716" r:id="rId9934"/>
    <hyperlink ref="A7717" r:id="rId9935"/>
    <hyperlink ref="A7718" r:id="rId9936"/>
    <hyperlink ref="A7719" r:id="rId9937"/>
    <hyperlink ref="A7720" r:id="rId9938"/>
    <hyperlink ref="A7721" r:id="rId9939"/>
    <hyperlink ref="A7722" r:id="rId9940"/>
    <hyperlink ref="A7723" r:id="rId9941"/>
    <hyperlink ref="A7724" r:id="rId9942"/>
    <hyperlink ref="A7725" r:id="rId9943"/>
    <hyperlink ref="A7726" r:id="rId9944"/>
    <hyperlink ref="A7727" r:id="rId9945"/>
    <hyperlink ref="A7728" r:id="rId9946"/>
    <hyperlink ref="A7729" r:id="rId9947"/>
    <hyperlink ref="A7730" r:id="rId9948"/>
    <hyperlink ref="A7731" r:id="rId9949"/>
    <hyperlink ref="A7732" r:id="rId9950"/>
    <hyperlink ref="A7733" r:id="rId9951"/>
    <hyperlink ref="A7734" r:id="rId9952"/>
    <hyperlink ref="A7735" r:id="rId9953"/>
    <hyperlink ref="A7736" r:id="rId9954"/>
    <hyperlink ref="A7737" r:id="rId9955"/>
    <hyperlink ref="A7738" r:id="rId9956"/>
    <hyperlink ref="A7739" r:id="rId9957"/>
    <hyperlink ref="A7740" r:id="rId9958"/>
    <hyperlink ref="A7741" r:id="rId9959"/>
    <hyperlink ref="A7742" r:id="rId9960"/>
    <hyperlink ref="A7743" r:id="rId9961"/>
    <hyperlink ref="A7744" r:id="rId9962"/>
    <hyperlink ref="A7745" r:id="rId9963"/>
    <hyperlink ref="A7746" r:id="rId9964"/>
    <hyperlink ref="A7747" r:id="rId9965"/>
    <hyperlink ref="A7748" r:id="rId9966"/>
    <hyperlink ref="A7749" r:id="rId9967"/>
    <hyperlink ref="A7750" r:id="rId9968"/>
    <hyperlink ref="A7751" r:id="rId9969"/>
    <hyperlink ref="A7752" r:id="rId9970"/>
    <hyperlink ref="A7753" r:id="rId9971"/>
    <hyperlink ref="A7754" r:id="rId9972"/>
    <hyperlink ref="A7755" r:id="rId9973"/>
    <hyperlink ref="A7756" r:id="rId9974"/>
    <hyperlink ref="A7757" r:id="rId9975"/>
    <hyperlink ref="A7758" r:id="rId9976"/>
    <hyperlink ref="A7759" r:id="rId9977"/>
    <hyperlink ref="A7760" r:id="rId9978"/>
    <hyperlink ref="A7761" r:id="rId9979"/>
    <hyperlink ref="A7762" r:id="rId9980"/>
    <hyperlink ref="A7763" r:id="rId9981"/>
    <hyperlink ref="A7764" r:id="rId9982"/>
    <hyperlink ref="A7765" r:id="rId9983"/>
    <hyperlink ref="A7766" r:id="rId9984"/>
    <hyperlink ref="A7767" r:id="rId9985"/>
    <hyperlink ref="A7768" r:id="rId9986"/>
    <hyperlink ref="A7769" r:id="rId9987"/>
    <hyperlink ref="A7770" r:id="rId9988"/>
    <hyperlink ref="A7771" r:id="rId9989"/>
    <hyperlink ref="A7772" r:id="rId9990"/>
    <hyperlink ref="A7773" r:id="rId9991"/>
    <hyperlink ref="A7774" r:id="rId9992"/>
    <hyperlink ref="A7775" r:id="rId9993"/>
    <hyperlink ref="A7776" r:id="rId9994"/>
    <hyperlink ref="A7777" r:id="rId9995"/>
    <hyperlink ref="A7778" r:id="rId9996"/>
    <hyperlink ref="A7779" r:id="rId9997"/>
    <hyperlink ref="A7780" r:id="rId9998"/>
    <hyperlink ref="A7781" r:id="rId9999"/>
    <hyperlink ref="A7782" r:id="rId10000"/>
    <hyperlink ref="A7783" r:id="rId10001"/>
    <hyperlink ref="A7784" r:id="rId10002"/>
    <hyperlink ref="A7785" r:id="rId10003"/>
    <hyperlink ref="A7786" r:id="rId10004"/>
    <hyperlink ref="A7787" r:id="rId10005"/>
    <hyperlink ref="A7788" r:id="rId10006"/>
    <hyperlink ref="A7789" r:id="rId10007"/>
    <hyperlink ref="A7790" r:id="rId10008"/>
    <hyperlink ref="A7791" r:id="rId10009"/>
    <hyperlink ref="A7792" r:id="rId10010"/>
    <hyperlink ref="A7793" r:id="rId10011"/>
    <hyperlink ref="A7794" r:id="rId10012"/>
    <hyperlink ref="A7795" r:id="rId10013"/>
    <hyperlink ref="A7796" r:id="rId10014"/>
    <hyperlink ref="A7797" r:id="rId10015"/>
    <hyperlink ref="A7798" r:id="rId10016"/>
    <hyperlink ref="A7799" r:id="rId10017"/>
    <hyperlink ref="A7800" r:id="rId10018"/>
    <hyperlink ref="A7801" r:id="rId10019"/>
    <hyperlink ref="A7802" r:id="rId10020"/>
    <hyperlink ref="A7803" r:id="rId10021"/>
    <hyperlink ref="A7804" r:id="rId10022"/>
    <hyperlink ref="A7805" r:id="rId10023"/>
    <hyperlink ref="A7806" r:id="rId10024"/>
    <hyperlink ref="A7807" r:id="rId10025"/>
    <hyperlink ref="A7808" r:id="rId10026"/>
    <hyperlink ref="A7809" r:id="rId10027"/>
    <hyperlink ref="A7810" r:id="rId10028"/>
    <hyperlink ref="A7811" r:id="rId10029"/>
    <hyperlink ref="A7812" r:id="rId10030"/>
    <hyperlink ref="A7813" r:id="rId10031"/>
    <hyperlink ref="A7814" r:id="rId10032"/>
    <hyperlink ref="A7815" r:id="rId10033"/>
    <hyperlink ref="A7816" r:id="rId10034"/>
    <hyperlink ref="A7817" r:id="rId10035"/>
    <hyperlink ref="A7818" r:id="rId10036"/>
    <hyperlink ref="A7819" r:id="rId10037"/>
    <hyperlink ref="A7820" r:id="rId10038"/>
    <hyperlink ref="A7821" r:id="rId10039"/>
    <hyperlink ref="A7822" r:id="rId10040"/>
    <hyperlink ref="A7823" r:id="rId10041"/>
    <hyperlink ref="A7824" r:id="rId10042"/>
    <hyperlink ref="A7825" r:id="rId10043"/>
    <hyperlink ref="A7826" r:id="rId10044"/>
    <hyperlink ref="A7827" r:id="rId10045"/>
    <hyperlink ref="A7828" r:id="rId10046"/>
    <hyperlink ref="A7829" r:id="rId10047"/>
    <hyperlink ref="A7830" r:id="rId10048"/>
    <hyperlink ref="A7831" r:id="rId10049"/>
    <hyperlink ref="A7832" r:id="rId10050"/>
    <hyperlink ref="A7833" r:id="rId10051"/>
    <hyperlink ref="A7834" r:id="rId10052"/>
    <hyperlink ref="A7835" r:id="rId10053"/>
    <hyperlink ref="A7836" r:id="rId10054"/>
    <hyperlink ref="A7837" r:id="rId10055"/>
    <hyperlink ref="A7838" r:id="rId10056"/>
    <hyperlink ref="A7839" r:id="rId10057"/>
    <hyperlink ref="A7840" r:id="rId10058"/>
    <hyperlink ref="A7841" r:id="rId10059"/>
    <hyperlink ref="A7842" r:id="rId10060"/>
    <hyperlink ref="A7843" r:id="rId10061"/>
    <hyperlink ref="A7844" r:id="rId10062"/>
    <hyperlink ref="A7845" r:id="rId10063"/>
    <hyperlink ref="A7846" r:id="rId10064"/>
    <hyperlink ref="A7847" r:id="rId10065"/>
    <hyperlink ref="A7848" r:id="rId10066"/>
    <hyperlink ref="A7849" r:id="rId10067"/>
    <hyperlink ref="A7850" r:id="rId10068"/>
    <hyperlink ref="A7851" r:id="rId10069"/>
    <hyperlink ref="A7852" r:id="rId10070"/>
    <hyperlink ref="A7853" r:id="rId10071"/>
    <hyperlink ref="A7854" r:id="rId10072"/>
    <hyperlink ref="A7855" r:id="rId10073"/>
    <hyperlink ref="A7856" r:id="rId10074"/>
    <hyperlink ref="A7857" r:id="rId10075"/>
    <hyperlink ref="A7858" r:id="rId10076"/>
    <hyperlink ref="A7859" r:id="rId10077"/>
    <hyperlink ref="A7860" r:id="rId10078"/>
    <hyperlink ref="A7861" r:id="rId10079"/>
    <hyperlink ref="A7862" r:id="rId10080"/>
    <hyperlink ref="A7863" r:id="rId10081"/>
    <hyperlink ref="A7864" r:id="rId10082"/>
    <hyperlink ref="A7865" r:id="rId10083"/>
    <hyperlink ref="A7866" r:id="rId10084"/>
    <hyperlink ref="A7867" r:id="rId10085"/>
    <hyperlink ref="A7868" r:id="rId10086"/>
    <hyperlink ref="A7869" r:id="rId10087"/>
    <hyperlink ref="A7870" r:id="rId10088"/>
    <hyperlink ref="A7871" r:id="rId10089"/>
    <hyperlink ref="A7872" r:id="rId10090"/>
    <hyperlink ref="A7873" r:id="rId10091"/>
    <hyperlink ref="A7874" r:id="rId10092"/>
    <hyperlink ref="A7875" r:id="rId10093"/>
    <hyperlink ref="A7876" r:id="rId10094"/>
    <hyperlink ref="A7877" r:id="rId10095"/>
    <hyperlink ref="A7878" r:id="rId10096"/>
    <hyperlink ref="A7879" r:id="rId10097"/>
    <hyperlink ref="A7880" r:id="rId10098"/>
    <hyperlink ref="A7881" r:id="rId10099"/>
    <hyperlink ref="A7882" r:id="rId10100"/>
    <hyperlink ref="A7883" r:id="rId10101"/>
    <hyperlink ref="A7884" r:id="rId10102"/>
    <hyperlink ref="A7885" r:id="rId10103"/>
    <hyperlink ref="A7886" r:id="rId10104"/>
    <hyperlink ref="A7887" r:id="rId10105"/>
    <hyperlink ref="A7888" r:id="rId10106"/>
    <hyperlink ref="A7889" r:id="rId10107"/>
    <hyperlink ref="A7890" r:id="rId10108"/>
    <hyperlink ref="A7891" r:id="rId10109"/>
    <hyperlink ref="A7892" r:id="rId10110"/>
    <hyperlink ref="A7893" r:id="rId10111"/>
    <hyperlink ref="A7894" r:id="rId10112"/>
    <hyperlink ref="A7895" r:id="rId10113"/>
    <hyperlink ref="A7896" r:id="rId10114"/>
    <hyperlink ref="A7897" r:id="rId10115"/>
    <hyperlink ref="A7898" r:id="rId10116"/>
    <hyperlink ref="A7899" r:id="rId10117"/>
    <hyperlink ref="A7900" r:id="rId10118"/>
    <hyperlink ref="A7901" r:id="rId10119"/>
    <hyperlink ref="A7902" r:id="rId10120"/>
    <hyperlink ref="A7903" r:id="rId10121"/>
    <hyperlink ref="A7904" r:id="rId10122"/>
    <hyperlink ref="A7905" r:id="rId10123"/>
    <hyperlink ref="A7906" r:id="rId10124"/>
    <hyperlink ref="A7907" r:id="rId10125"/>
    <hyperlink ref="A7908" r:id="rId10126"/>
    <hyperlink ref="A7909" r:id="rId10127"/>
    <hyperlink ref="A7910" r:id="rId10128"/>
    <hyperlink ref="A7911" r:id="rId10129"/>
    <hyperlink ref="A7912" r:id="rId10130"/>
    <hyperlink ref="A7913" r:id="rId10131"/>
    <hyperlink ref="A7914" r:id="rId10132"/>
    <hyperlink ref="A7915" r:id="rId10133"/>
    <hyperlink ref="A7916" r:id="rId10134"/>
    <hyperlink ref="A7917" r:id="rId10135"/>
    <hyperlink ref="A7918" r:id="rId10136"/>
    <hyperlink ref="A7919" r:id="rId10137"/>
    <hyperlink ref="A7920" r:id="rId10138"/>
    <hyperlink ref="A7921" r:id="rId10139"/>
    <hyperlink ref="A7922" r:id="rId10140"/>
    <hyperlink ref="A7923" r:id="rId10141"/>
    <hyperlink ref="A7924" r:id="rId10142"/>
    <hyperlink ref="A7925" r:id="rId10143"/>
    <hyperlink ref="A7926" r:id="rId10144"/>
    <hyperlink ref="A7927" r:id="rId10145"/>
    <hyperlink ref="A7928" r:id="rId10146"/>
    <hyperlink ref="A7929" r:id="rId10147"/>
    <hyperlink ref="A7930" r:id="rId10148"/>
    <hyperlink ref="A7931" r:id="rId10149"/>
    <hyperlink ref="A7932" r:id="rId10150"/>
    <hyperlink ref="A7933" r:id="rId10151"/>
    <hyperlink ref="A7934" r:id="rId10152"/>
    <hyperlink ref="A7935" r:id="rId10153"/>
    <hyperlink ref="A7936" r:id="rId10154"/>
    <hyperlink ref="A7937" r:id="rId10155"/>
    <hyperlink ref="A7938" r:id="rId10156"/>
    <hyperlink ref="A7939" r:id="rId10157"/>
    <hyperlink ref="A7940" r:id="rId10158"/>
    <hyperlink ref="A7941" r:id="rId10159"/>
    <hyperlink ref="A7942" r:id="rId10160"/>
    <hyperlink ref="A7943" r:id="rId10161"/>
    <hyperlink ref="A7944" r:id="rId10162"/>
    <hyperlink ref="A7945" r:id="rId10163"/>
    <hyperlink ref="A7946" r:id="rId10164"/>
    <hyperlink ref="A7947" r:id="rId10165"/>
    <hyperlink ref="A7948" r:id="rId10166"/>
    <hyperlink ref="A7949" r:id="rId10167"/>
    <hyperlink ref="A7950" r:id="rId10168"/>
    <hyperlink ref="A7951" r:id="rId10169"/>
    <hyperlink ref="A7952" r:id="rId10170"/>
    <hyperlink ref="A7953" r:id="rId10171"/>
    <hyperlink ref="A7954" r:id="rId10172"/>
    <hyperlink ref="A7955" r:id="rId10173"/>
    <hyperlink ref="A7956" r:id="rId10174"/>
    <hyperlink ref="A7957" r:id="rId10175"/>
    <hyperlink ref="A7958" r:id="rId10176"/>
    <hyperlink ref="A7959" r:id="rId10177"/>
    <hyperlink ref="A7960" r:id="rId10178"/>
    <hyperlink ref="A7961" r:id="rId10179"/>
    <hyperlink ref="A7962" r:id="rId10180"/>
    <hyperlink ref="A7963" r:id="rId10181"/>
    <hyperlink ref="A7964" r:id="rId10182"/>
    <hyperlink ref="A7965" r:id="rId10183"/>
    <hyperlink ref="A7966" r:id="rId10184"/>
    <hyperlink ref="A7967" r:id="rId10185"/>
    <hyperlink ref="A7968" r:id="rId10186"/>
    <hyperlink ref="A7969" r:id="rId10187"/>
    <hyperlink ref="A7970" r:id="rId10188"/>
    <hyperlink ref="A7971" r:id="rId10189"/>
    <hyperlink ref="A7972" r:id="rId10190"/>
    <hyperlink ref="A7973" r:id="rId10191"/>
    <hyperlink ref="A7974" r:id="rId10192"/>
    <hyperlink ref="A7975" r:id="rId10193"/>
    <hyperlink ref="A7976" r:id="rId10194"/>
    <hyperlink ref="A7977" r:id="rId10195"/>
    <hyperlink ref="A7978" r:id="rId10196"/>
    <hyperlink ref="A7979" r:id="rId10197"/>
    <hyperlink ref="A7980" r:id="rId10198"/>
    <hyperlink ref="A7981" r:id="rId10199"/>
    <hyperlink ref="A7982" r:id="rId10200"/>
    <hyperlink ref="A7983" r:id="rId10201"/>
    <hyperlink ref="A7984" r:id="rId10202"/>
    <hyperlink ref="A7985" r:id="rId10203"/>
    <hyperlink ref="A7986" r:id="rId10204"/>
    <hyperlink ref="A7987" r:id="rId10205"/>
    <hyperlink ref="A7988" r:id="rId10206"/>
    <hyperlink ref="A7989" r:id="rId10207"/>
    <hyperlink ref="A7990" r:id="rId10208"/>
    <hyperlink ref="A7991" r:id="rId10209"/>
    <hyperlink ref="A7992" r:id="rId10210"/>
    <hyperlink ref="A7993" r:id="rId10211"/>
    <hyperlink ref="A7994" r:id="rId10212"/>
    <hyperlink ref="A7995" r:id="rId10213"/>
    <hyperlink ref="A7996" r:id="rId10214"/>
    <hyperlink ref="A7997" r:id="rId10215"/>
    <hyperlink ref="A7998" r:id="rId10216"/>
    <hyperlink ref="A7999" r:id="rId10217"/>
    <hyperlink ref="A8000" r:id="rId10218"/>
    <hyperlink ref="A8001" r:id="rId10219"/>
    <hyperlink ref="A8002" r:id="rId10220"/>
    <hyperlink ref="A8003" r:id="rId10221"/>
    <hyperlink ref="A8004" r:id="rId10222"/>
    <hyperlink ref="A8005" r:id="rId10223"/>
    <hyperlink ref="A8006" r:id="rId10224"/>
    <hyperlink ref="A8007" r:id="rId10225"/>
    <hyperlink ref="A8008" r:id="rId10226"/>
    <hyperlink ref="A8009" r:id="rId10227"/>
    <hyperlink ref="A8010" r:id="rId10228"/>
    <hyperlink ref="A8011" r:id="rId10229"/>
    <hyperlink ref="A8012" r:id="rId10230"/>
    <hyperlink ref="A8013" r:id="rId10231"/>
    <hyperlink ref="A8014" r:id="rId10232"/>
    <hyperlink ref="A8015" r:id="rId10233"/>
    <hyperlink ref="A8016" r:id="rId10234"/>
    <hyperlink ref="A8017" r:id="rId10235"/>
    <hyperlink ref="A8018" r:id="rId10236"/>
    <hyperlink ref="A8019" r:id="rId10237"/>
    <hyperlink ref="A8020" r:id="rId10238"/>
    <hyperlink ref="A8021" r:id="rId10239"/>
    <hyperlink ref="A8022" r:id="rId10240"/>
    <hyperlink ref="A8023" r:id="rId10241"/>
    <hyperlink ref="A8024" r:id="rId10242"/>
    <hyperlink ref="A8025" r:id="rId10243"/>
    <hyperlink ref="A8026" r:id="rId10244"/>
    <hyperlink ref="A8027" r:id="rId10245"/>
    <hyperlink ref="A8028" r:id="rId10246"/>
    <hyperlink ref="A8029" r:id="rId10247"/>
    <hyperlink ref="A8030" r:id="rId10248"/>
    <hyperlink ref="A8031" r:id="rId10249"/>
    <hyperlink ref="A8032" r:id="rId10250"/>
    <hyperlink ref="A8033" r:id="rId10251"/>
    <hyperlink ref="A8034" r:id="rId10252"/>
    <hyperlink ref="A8035" r:id="rId10253"/>
    <hyperlink ref="A8036" r:id="rId10254"/>
    <hyperlink ref="A8037" r:id="rId10255"/>
    <hyperlink ref="A8038" r:id="rId10256"/>
    <hyperlink ref="A8039" r:id="rId10257"/>
    <hyperlink ref="A8040" r:id="rId10258"/>
    <hyperlink ref="A8041" r:id="rId10259"/>
    <hyperlink ref="A8042" r:id="rId10260"/>
    <hyperlink ref="A8043" r:id="rId10261"/>
    <hyperlink ref="A8044" r:id="rId10262"/>
    <hyperlink ref="A8045" r:id="rId10263"/>
    <hyperlink ref="A8046" r:id="rId10264"/>
    <hyperlink ref="A8047" r:id="rId10265"/>
    <hyperlink ref="A8048" r:id="rId10266"/>
    <hyperlink ref="A8049" r:id="rId10267"/>
    <hyperlink ref="A8050" r:id="rId10268"/>
    <hyperlink ref="A8051" r:id="rId10269"/>
    <hyperlink ref="A8052" r:id="rId10270"/>
    <hyperlink ref="A8053" r:id="rId10271"/>
    <hyperlink ref="A8054" r:id="rId10272"/>
    <hyperlink ref="A8055" r:id="rId10273"/>
    <hyperlink ref="A8056" r:id="rId10274"/>
    <hyperlink ref="A8057" r:id="rId10275"/>
    <hyperlink ref="A8058" r:id="rId10276"/>
    <hyperlink ref="A8059" r:id="rId10277"/>
    <hyperlink ref="A8060" r:id="rId10278"/>
    <hyperlink ref="A8061" r:id="rId10279"/>
    <hyperlink ref="A8062" r:id="rId10280"/>
    <hyperlink ref="A8063" r:id="rId10281"/>
    <hyperlink ref="A8064" r:id="rId10282"/>
    <hyperlink ref="A8065" r:id="rId10283"/>
    <hyperlink ref="A8066" r:id="rId10284"/>
    <hyperlink ref="A8067" r:id="rId10285"/>
    <hyperlink ref="A8068" r:id="rId10286"/>
    <hyperlink ref="A8069" r:id="rId10287"/>
    <hyperlink ref="A8070" r:id="rId10288"/>
    <hyperlink ref="A8071" r:id="rId10289"/>
    <hyperlink ref="A8072" r:id="rId10290"/>
    <hyperlink ref="A8073" r:id="rId10291"/>
    <hyperlink ref="A8074" r:id="rId10292"/>
    <hyperlink ref="A8075" r:id="rId10293"/>
    <hyperlink ref="A8076" r:id="rId10294"/>
    <hyperlink ref="A8077" r:id="rId10295"/>
    <hyperlink ref="A8078" r:id="rId10296"/>
    <hyperlink ref="A8079" r:id="rId10297"/>
    <hyperlink ref="A8080" r:id="rId10298"/>
    <hyperlink ref="A8081" r:id="rId10299"/>
    <hyperlink ref="A8082" r:id="rId10300"/>
    <hyperlink ref="A8083" r:id="rId10301"/>
    <hyperlink ref="A8084" r:id="rId10302"/>
    <hyperlink ref="A8085" r:id="rId10303"/>
    <hyperlink ref="A8086" r:id="rId10304"/>
    <hyperlink ref="A8087" r:id="rId10305"/>
    <hyperlink ref="A8088" r:id="rId10306"/>
    <hyperlink ref="A8089" r:id="rId10307"/>
    <hyperlink ref="A8090" r:id="rId10308"/>
    <hyperlink ref="A8091" r:id="rId10309"/>
    <hyperlink ref="A8092" r:id="rId10310"/>
    <hyperlink ref="A8093" r:id="rId10311"/>
    <hyperlink ref="A8094" r:id="rId10312"/>
    <hyperlink ref="A8095" r:id="rId10313"/>
    <hyperlink ref="A8096" r:id="rId10314"/>
    <hyperlink ref="A8097" r:id="rId10315"/>
    <hyperlink ref="A8098" r:id="rId10316"/>
    <hyperlink ref="A8099" r:id="rId10317"/>
    <hyperlink ref="A8100" r:id="rId10318"/>
    <hyperlink ref="A8101" r:id="rId10319"/>
    <hyperlink ref="A8102" r:id="rId10320"/>
    <hyperlink ref="A8103" r:id="rId10321"/>
    <hyperlink ref="A8104" r:id="rId10322"/>
    <hyperlink ref="A8105" r:id="rId10323"/>
    <hyperlink ref="A8106" r:id="rId10324"/>
    <hyperlink ref="A8107" r:id="rId10325"/>
    <hyperlink ref="A8108" r:id="rId10326"/>
    <hyperlink ref="A8109" r:id="rId10327"/>
    <hyperlink ref="A8110" r:id="rId10328"/>
    <hyperlink ref="A8111" r:id="rId10329"/>
    <hyperlink ref="A8112" r:id="rId10330"/>
    <hyperlink ref="A8113" r:id="rId10331"/>
    <hyperlink ref="A8114" r:id="rId10332"/>
    <hyperlink ref="A8115" r:id="rId10333"/>
    <hyperlink ref="A8116" r:id="rId10334"/>
    <hyperlink ref="A8117" r:id="rId10335"/>
    <hyperlink ref="A8118" r:id="rId10336"/>
    <hyperlink ref="A8119" r:id="rId10337"/>
    <hyperlink ref="A8120" r:id="rId10338"/>
    <hyperlink ref="A8121" r:id="rId10339"/>
    <hyperlink ref="A8122" r:id="rId10340"/>
    <hyperlink ref="A8123" r:id="rId10341"/>
    <hyperlink ref="A8124" r:id="rId10342"/>
    <hyperlink ref="A8125" r:id="rId10343"/>
    <hyperlink ref="A8126" r:id="rId10344"/>
    <hyperlink ref="A8127" r:id="rId10345"/>
    <hyperlink ref="A8128" r:id="rId10346"/>
    <hyperlink ref="A8129" r:id="rId10347"/>
    <hyperlink ref="A8130" r:id="rId10348"/>
    <hyperlink ref="A8131" r:id="rId10349"/>
    <hyperlink ref="A8132" r:id="rId10350"/>
    <hyperlink ref="A8133" r:id="rId10351"/>
    <hyperlink ref="A8134" r:id="rId10352"/>
    <hyperlink ref="A8135" r:id="rId10353"/>
    <hyperlink ref="A8136" r:id="rId10354"/>
    <hyperlink ref="A8137" r:id="rId10355"/>
    <hyperlink ref="A8138" r:id="rId10356"/>
    <hyperlink ref="A8139" r:id="rId10357"/>
    <hyperlink ref="A8140" r:id="rId10358"/>
    <hyperlink ref="A8141" r:id="rId10359"/>
    <hyperlink ref="A8142" r:id="rId10360"/>
    <hyperlink ref="A8143" r:id="rId10361"/>
    <hyperlink ref="A8144" r:id="rId10362"/>
    <hyperlink ref="A8145" r:id="rId10363"/>
    <hyperlink ref="A8146" r:id="rId10364"/>
    <hyperlink ref="A8147" r:id="rId10365"/>
    <hyperlink ref="A8148" r:id="rId10366"/>
    <hyperlink ref="A8149" r:id="rId10367"/>
    <hyperlink ref="A8150" r:id="rId10368"/>
    <hyperlink ref="A8151" r:id="rId10369"/>
    <hyperlink ref="A8152" r:id="rId10370"/>
    <hyperlink ref="A8153" r:id="rId10371"/>
    <hyperlink ref="A8154" r:id="rId10372"/>
    <hyperlink ref="A8155" r:id="rId10373"/>
    <hyperlink ref="A8156" r:id="rId10374"/>
    <hyperlink ref="A8157" r:id="rId10375"/>
    <hyperlink ref="A8158" r:id="rId10376"/>
    <hyperlink ref="A8159" r:id="rId10377"/>
    <hyperlink ref="A8160" r:id="rId10378"/>
    <hyperlink ref="A8161" r:id="rId10379"/>
    <hyperlink ref="A8162" r:id="rId10380"/>
    <hyperlink ref="A8163" r:id="rId10381"/>
    <hyperlink ref="A8164" r:id="rId10382"/>
    <hyperlink ref="A8165" r:id="rId10383"/>
    <hyperlink ref="A8166" r:id="rId10384"/>
    <hyperlink ref="A8167" r:id="rId10385"/>
    <hyperlink ref="A8168" r:id="rId10386"/>
    <hyperlink ref="A8169" r:id="rId10387"/>
    <hyperlink ref="A8170" r:id="rId10388"/>
    <hyperlink ref="A8171" r:id="rId10389"/>
    <hyperlink ref="A8172" r:id="rId10390"/>
    <hyperlink ref="A8173" r:id="rId10391"/>
    <hyperlink ref="A8174" r:id="rId10392"/>
    <hyperlink ref="A8175" r:id="rId10393"/>
    <hyperlink ref="A8176" r:id="rId10394"/>
    <hyperlink ref="A8177" r:id="rId10395"/>
    <hyperlink ref="A8178" r:id="rId10396"/>
    <hyperlink ref="A8179" r:id="rId10397"/>
    <hyperlink ref="A8180" r:id="rId10398"/>
    <hyperlink ref="A8181" r:id="rId10399"/>
    <hyperlink ref="A8182" r:id="rId10400"/>
    <hyperlink ref="A8183" r:id="rId10401"/>
    <hyperlink ref="A8184" r:id="rId10402"/>
    <hyperlink ref="A8185" r:id="rId10403"/>
    <hyperlink ref="A8186" r:id="rId10404"/>
    <hyperlink ref="A8187" r:id="rId10405"/>
    <hyperlink ref="A8188" r:id="rId10406"/>
    <hyperlink ref="A8189" r:id="rId10407"/>
  </hyperlinks>
  <pageSetup paperSize="9" orientation="landscape"/>
  <headerFooter differentFirst="1">
    <firstHeader>&amp;L&amp;G</firstHeader>
  </headerFooter>
  <legacyDrawingHF r:id="rId1"/>
</worksheet>
</file>

<file path=xl/worksheets/sheet2.xml><?xml version="1.0" encoding="utf-8"?>
<worksheet xmlns:r="http://schemas.openxmlformats.org/officeDocument/2006/relationships" xmlns="http://schemas.openxmlformats.org/spreadsheetml/2006/main">
  <dimension ref="A2:C15"/>
  <sheetViews>
    <sheetView workbookViewId="0" tabSelected="0"/>
  </sheetViews>
  <sheetFormatPr defaultRowHeight="15" outlineLevelRow="0" outlineLevelCol="0"/>
  <cols>
    <col min="1" max="1" width="17.04922866821289" customWidth="1" style="5"/>
    <col min="2" max="2" width="9.140625" customWidth="1" style="5"/>
    <col min="3" max="3" width="9.140625" customWidth="1" style="5"/>
    <col min="4" max="4" width="9.140625" customWidth="1" style="5"/>
    <col min="5" max="5" width="9.140625" customWidth="1" style="5"/>
    <col min="6" max="6" width="9.140625" customWidth="1" style="5"/>
    <col min="7" max="7" width="9.140625" customWidth="1" style="5"/>
    <col min="8" max="8" width="9.140625" customWidth="1" style="5"/>
    <col min="9" max="9" width="9.140625" customWidth="1" style="5"/>
    <col min="10" max="10" width="9.140625" customWidth="1" style="5"/>
    <col min="11" max="11" width="9.140625" customWidth="1" style="5"/>
    <col min="12" max="12" width="9.140625" customWidth="1" style="5"/>
    <col min="13" max="13" width="9.140625" customWidth="1" style="5"/>
    <col min="14" max="14" width="9.140625" customWidth="1" style="5"/>
    <col min="15" max="15" width="9.140625" customWidth="1" style="5"/>
    <col min="16" max="16" width="9.140625" customWidth="1" style="5"/>
    <col min="17" max="17" width="9.140625" customWidth="1" style="5"/>
    <col min="18" max="18" width="9.140625" customWidth="1" style="5"/>
    <col min="19" max="19" width="9.140625" customWidth="1" style="5"/>
    <col min="20" max="20" width="9.140625" customWidth="1" style="5"/>
    <col min="21" max="21" width="9.140625" customWidth="1" style="5"/>
    <col min="22" max="22" width="9.140625" customWidth="1" style="5"/>
    <col min="23" max="23" width="9.140625" customWidth="1" style="5"/>
    <col min="24" max="24" width="9.140625" customWidth="1" style="5"/>
    <col min="25" max="25" width="9.140625" customWidth="1" style="5"/>
    <col min="26" max="26" width="9.140625" customWidth="1" style="5"/>
    <col min="27" max="27" width="9.140625" customWidth="1" style="5"/>
    <col min="28" max="28" width="9.140625" customWidth="1" style="5"/>
    <col min="29" max="29" width="9.140625" customWidth="1" style="5"/>
    <col min="30" max="30" width="9.140625" customWidth="1" style="5"/>
    <col min="31" max="31" width="9.140625" customWidth="1" style="5"/>
    <col min="32" max="32" width="9.140625" customWidth="1" style="5"/>
    <col min="33" max="33" width="9.140625" customWidth="1" style="5"/>
    <col min="34" max="34" width="9.140625" customWidth="1" style="5"/>
    <col min="35" max="35" width="9.140625" customWidth="1" style="5"/>
    <col min="36" max="36" width="9.140625" customWidth="1" style="5"/>
    <col min="37" max="37" width="9.140625" customWidth="1" style="5"/>
    <col min="38" max="38" width="9.140625" customWidth="1" style="5"/>
    <col min="39" max="39" width="9.140625" customWidth="1" style="5"/>
    <col min="40" max="40" width="9.140625" customWidth="1" style="5"/>
    <col min="41" max="41" width="9.140625" customWidth="1" style="5"/>
    <col min="42" max="42" width="9.140625" customWidth="1" style="5"/>
    <col min="43" max="43" width="9.140625" customWidth="1" style="5"/>
    <col min="44" max="44" width="9.140625" customWidth="1" style="5"/>
    <col min="45" max="45" width="9.140625" customWidth="1" style="5"/>
    <col min="46" max="46" width="9.140625" customWidth="1" style="5"/>
    <col min="47" max="47" width="9.140625" customWidth="1" style="5"/>
    <col min="48" max="48" width="9.140625" customWidth="1" style="5"/>
    <col min="49" max="49" width="9.140625" customWidth="1" style="5"/>
    <col min="50" max="50" width="9.140625" customWidth="1" style="5"/>
    <col min="51" max="51" width="9.140625" customWidth="1" style="5"/>
    <col min="52" max="52" width="9.140625" customWidth="1" style="5"/>
    <col min="53" max="53" width="9.140625" customWidth="1" style="5"/>
    <col min="54" max="54" width="9.140625" customWidth="1" style="5"/>
    <col min="55" max="55" width="9.140625" customWidth="1" style="5"/>
    <col min="56" max="56" width="9.140625" customWidth="1" style="5"/>
    <col min="57" max="57" width="9.140625" customWidth="1" style="5"/>
    <col min="58" max="58" width="9.140625" customWidth="1" style="5"/>
    <col min="59" max="59" width="9.140625" customWidth="1" style="5"/>
    <col min="60" max="60" width="9.140625" customWidth="1" style="5"/>
    <col min="61" max="61" width="9.140625" customWidth="1" style="5"/>
    <col min="62" max="62" width="9.140625" customWidth="1" style="5"/>
    <col min="63" max="63" width="9.140625" customWidth="1" style="5"/>
    <col min="64" max="64" width="9.140625" customWidth="1" style="5"/>
    <col min="65" max="65" width="9.140625" customWidth="1" style="5"/>
    <col min="66" max="66" width="9.140625" customWidth="1" style="5"/>
    <col min="67" max="67" width="9.140625" customWidth="1" style="5"/>
    <col min="68" max="68" width="9.140625" customWidth="1" style="5"/>
    <col min="69" max="69" width="9.140625" customWidth="1" style="5"/>
    <col min="70" max="70" width="9.140625" customWidth="1" style="5"/>
    <col min="71" max="71" width="9.140625" customWidth="1" style="5"/>
    <col min="72" max="72" width="9.140625" customWidth="1" style="5"/>
    <col min="73" max="73" width="9.140625" customWidth="1" style="5"/>
    <col min="74" max="74" width="9.140625" customWidth="1" style="5"/>
    <col min="75" max="75" width="9.140625" customWidth="1" style="5"/>
    <col min="76" max="76" width="9.140625" customWidth="1" style="5"/>
    <col min="77" max="77" width="9.140625" customWidth="1" style="5"/>
    <col min="78" max="78" width="9.140625" customWidth="1" style="5"/>
    <col min="79" max="79" width="9.140625" customWidth="1" style="5"/>
    <col min="80" max="80" width="9.140625" customWidth="1" style="5"/>
    <col min="81" max="81" width="9.140625" customWidth="1" style="5"/>
    <col min="82" max="82" width="9.140625" customWidth="1" style="5"/>
    <col min="83" max="83" width="9.140625" customWidth="1" style="5"/>
    <col min="84" max="84" width="9.140625" customWidth="1" style="5"/>
    <col min="85" max="85" width="9.140625" customWidth="1" style="5"/>
    <col min="86" max="86" width="9.140625" customWidth="1" style="5"/>
    <col min="87" max="87" width="9.140625" customWidth="1" style="5"/>
    <col min="88" max="88" width="9.140625" customWidth="1" style="5"/>
    <col min="89" max="89" width="9.140625" customWidth="1" style="5"/>
    <col min="90" max="90" width="9.140625" customWidth="1" style="5"/>
    <col min="91" max="91" width="9.140625" customWidth="1" style="5"/>
    <col min="92" max="92" width="9.140625" customWidth="1" style="5"/>
    <col min="93" max="93" width="9.140625" customWidth="1" style="5"/>
    <col min="94" max="94" width="9.140625" customWidth="1" style="5"/>
    <col min="95" max="95" width="9.140625" customWidth="1" style="5"/>
    <col min="96" max="96" width="9.140625" customWidth="1" style="5"/>
    <col min="97" max="97" width="9.140625" customWidth="1" style="5"/>
    <col min="98" max="98" width="9.140625" customWidth="1" style="5"/>
    <col min="99" max="99" width="9.140625" customWidth="1" style="5"/>
    <col min="100" max="100" width="9.140625" customWidth="1" style="5"/>
    <col min="101" max="101" width="9.140625" customWidth="1" style="5"/>
    <col min="102" max="102" width="9.140625" customWidth="1" style="5"/>
    <col min="103" max="103" width="9.140625" customWidth="1" style="5"/>
    <col min="104" max="104" width="9.140625" customWidth="1" style="5"/>
    <col min="105" max="105" width="9.140625" customWidth="1" style="5"/>
    <col min="106" max="106" width="9.140625" customWidth="1" style="5"/>
    <col min="107" max="107" width="9.140625" customWidth="1" style="5"/>
    <col min="108" max="108" width="9.140625" customWidth="1" style="5"/>
    <col min="109" max="109" width="9.140625" customWidth="1" style="5"/>
    <col min="110" max="110" width="9.140625" customWidth="1" style="5"/>
    <col min="111" max="111" width="9.140625" customWidth="1" style="5"/>
    <col min="112" max="112" width="9.140625" customWidth="1" style="5"/>
    <col min="113" max="113" width="9.140625" customWidth="1" style="5"/>
    <col min="114" max="114" width="9.140625" customWidth="1" style="5"/>
    <col min="115" max="115" width="9.140625" customWidth="1" style="5"/>
    <col min="116" max="116" width="9.140625" customWidth="1" style="5"/>
    <col min="117" max="117" width="9.140625" customWidth="1" style="5"/>
    <col min="118" max="118" width="9.140625" customWidth="1" style="5"/>
    <col min="119" max="119" width="9.140625" customWidth="1" style="5"/>
    <col min="120" max="120" width="9.140625" customWidth="1" style="5"/>
    <col min="121" max="121" width="9.140625" customWidth="1" style="5"/>
    <col min="122" max="122" width="9.140625" customWidth="1" style="5"/>
    <col min="123" max="123" width="9.140625" customWidth="1" style="5"/>
    <col min="124" max="124" width="9.140625" customWidth="1" style="5"/>
    <col min="125" max="125" width="9.140625" customWidth="1" style="5"/>
    <col min="126" max="126" width="9.140625" customWidth="1" style="5"/>
    <col min="127" max="127" width="9.140625" customWidth="1" style="5"/>
    <col min="128" max="128" width="9.140625" customWidth="1" style="5"/>
    <col min="129" max="129" width="9.140625" customWidth="1" style="5"/>
    <col min="130" max="130" width="9.140625" customWidth="1" style="5"/>
    <col min="131" max="131" width="9.140625" customWidth="1" style="5"/>
    <col min="132" max="132" width="9.140625" customWidth="1" style="5"/>
    <col min="133" max="133" width="9.140625" customWidth="1" style="5"/>
    <col min="134" max="134" width="9.140625" customWidth="1" style="5"/>
    <col min="135" max="135" width="9.140625" customWidth="1" style="5"/>
    <col min="136" max="136" width="9.140625" customWidth="1" style="5"/>
    <col min="137" max="137" width="9.140625" customWidth="1" style="5"/>
    <col min="138" max="138" width="9.140625" customWidth="1" style="5"/>
    <col min="139" max="139" width="9.140625" customWidth="1" style="5"/>
    <col min="140" max="140" width="9.140625" customWidth="1" style="5"/>
    <col min="141" max="141" width="9.140625" customWidth="1" style="5"/>
    <col min="142" max="142" width="9.140625" customWidth="1" style="5"/>
    <col min="143" max="143" width="9.140625" customWidth="1" style="5"/>
    <col min="144" max="144" width="9.140625" customWidth="1" style="5"/>
    <col min="145" max="145" width="9.140625" customWidth="1" style="5"/>
    <col min="146" max="146" width="9.140625" customWidth="1" style="5"/>
    <col min="147" max="147" width="9.140625" customWidth="1" style="5"/>
    <col min="148" max="148" width="9.140625" customWidth="1" style="5"/>
    <col min="149" max="149" width="9.140625" customWidth="1" style="5"/>
    <col min="150" max="150" width="9.140625" customWidth="1" style="5"/>
    <col min="151" max="151" width="9.140625" customWidth="1" style="5"/>
    <col min="152" max="152" width="9.140625" customWidth="1" style="5"/>
    <col min="153" max="153" width="9.140625" customWidth="1" style="5"/>
    <col min="154" max="154" width="9.140625" customWidth="1" style="5"/>
    <col min="155" max="155" width="9.140625" customWidth="1" style="5"/>
    <col min="156" max="156" width="9.140625" customWidth="1" style="5"/>
    <col min="157" max="157" width="9.140625" customWidth="1" style="5"/>
    <col min="158" max="158" width="9.140625" customWidth="1" style="5"/>
    <col min="159" max="159" width="9.140625" customWidth="1" style="5"/>
    <col min="160" max="160" width="9.140625" customWidth="1" style="5"/>
    <col min="161" max="161" width="9.140625" customWidth="1" style="5"/>
    <col min="162" max="162" width="9.140625" customWidth="1" style="5"/>
    <col min="163" max="163" width="9.140625" customWidth="1" style="5"/>
    <col min="164" max="164" width="9.140625" customWidth="1" style="5"/>
    <col min="165" max="165" width="9.140625" customWidth="1" style="5"/>
    <col min="166" max="166" width="9.140625" customWidth="1" style="5"/>
    <col min="167" max="167" width="9.140625" customWidth="1" style="5"/>
    <col min="168" max="168" width="9.140625" customWidth="1" style="5"/>
    <col min="169" max="169" width="9.140625" customWidth="1" style="5"/>
    <col min="170" max="170" width="9.140625" customWidth="1" style="5"/>
    <col min="171" max="171" width="9.140625" customWidth="1" style="5"/>
    <col min="172" max="172" width="9.140625" customWidth="1" style="5"/>
    <col min="173" max="173" width="9.140625" customWidth="1" style="5"/>
    <col min="174" max="174" width="9.140625" customWidth="1" style="5"/>
    <col min="175" max="175" width="9.140625" customWidth="1" style="5"/>
    <col min="176" max="176" width="9.140625" customWidth="1" style="5"/>
    <col min="177" max="177" width="9.140625" customWidth="1" style="5"/>
    <col min="178" max="178" width="9.140625" customWidth="1" style="5"/>
    <col min="179" max="179" width="9.140625" customWidth="1" style="5"/>
    <col min="180" max="180" width="9.140625" customWidth="1" style="5"/>
    <col min="181" max="181" width="9.140625" customWidth="1" style="5"/>
    <col min="182" max="182" width="9.140625" customWidth="1" style="5"/>
    <col min="183" max="183" width="9.140625" customWidth="1" style="5"/>
    <col min="184" max="184" width="9.140625" customWidth="1" style="5"/>
    <col min="185" max="185" width="9.140625" customWidth="1" style="5"/>
    <col min="186" max="186" width="9.140625" customWidth="1" style="5"/>
    <col min="187" max="187" width="9.140625" customWidth="1" style="5"/>
    <col min="188" max="188" width="9.140625" customWidth="1" style="5"/>
    <col min="189" max="189" width="9.140625" customWidth="1" style="5"/>
    <col min="190" max="190" width="9.140625" customWidth="1" style="5"/>
    <col min="191" max="191" width="9.140625" customWidth="1" style="5"/>
    <col min="192" max="192" width="9.140625" customWidth="1" style="5"/>
    <col min="193" max="193" width="9.140625" customWidth="1" style="5"/>
    <col min="194" max="194" width="9.140625" customWidth="1" style="5"/>
    <col min="195" max="195" width="9.140625" customWidth="1" style="5"/>
    <col min="196" max="196" width="9.140625" customWidth="1" style="5"/>
    <col min="197" max="197" width="9.140625" customWidth="1" style="5"/>
    <col min="198" max="198" width="9.140625" customWidth="1" style="5"/>
    <col min="199" max="199" width="9.140625" customWidth="1" style="5"/>
    <col min="200" max="200" width="9.140625" customWidth="1" style="5"/>
    <col min="201" max="201" width="9.140625" customWidth="1" style="5"/>
    <col min="202" max="202" width="9.140625" customWidth="1" style="5"/>
    <col min="203" max="203" width="9.140625" customWidth="1" style="5"/>
    <col min="204" max="204" width="9.140625" customWidth="1" style="5"/>
    <col min="205" max="205" width="9.140625" customWidth="1" style="5"/>
    <col min="206" max="206" width="9.140625" customWidth="1" style="5"/>
    <col min="207" max="207" width="9.140625" customWidth="1" style="5"/>
    <col min="208" max="208" width="9.140625" customWidth="1" style="5"/>
    <col min="209" max="209" width="9.140625" customWidth="1" style="5"/>
    <col min="210" max="210" width="9.140625" customWidth="1" style="5"/>
    <col min="211" max="211" width="9.140625" customWidth="1" style="5"/>
    <col min="212" max="212" width="9.140625" customWidth="1" style="5"/>
    <col min="213" max="213" width="9.140625" customWidth="1" style="5"/>
    <col min="214" max="214" width="9.140625" customWidth="1" style="5"/>
    <col min="215" max="215" width="9.140625" customWidth="1" style="5"/>
    <col min="216" max="216" width="9.140625" customWidth="1" style="5"/>
    <col min="217" max="217" width="9.140625" customWidth="1" style="5"/>
    <col min="218" max="218" width="9.140625" customWidth="1" style="5"/>
    <col min="219" max="219" width="9.140625" customWidth="1" style="5"/>
    <col min="220" max="220" width="9.140625" customWidth="1" style="5"/>
    <col min="221" max="221" width="9.140625" customWidth="1" style="5"/>
    <col min="222" max="222" width="9.140625" customWidth="1" style="5"/>
    <col min="223" max="223" width="9.140625" customWidth="1" style="5"/>
    <col min="224" max="224" width="9.140625" customWidth="1" style="5"/>
    <col min="225" max="225" width="9.140625" customWidth="1" style="5"/>
    <col min="226" max="226" width="9.140625" customWidth="1" style="5"/>
    <col min="227" max="227" width="9.140625" customWidth="1" style="5"/>
    <col min="228" max="228" width="9.140625" customWidth="1" style="5"/>
    <col min="229" max="229" width="9.140625" customWidth="1" style="5"/>
    <col min="230" max="230" width="9.140625" customWidth="1" style="5"/>
    <col min="231" max="231" width="9.140625" customWidth="1" style="5"/>
    <col min="232" max="232" width="9.140625" customWidth="1" style="5"/>
    <col min="233" max="233" width="9.140625" customWidth="1" style="5"/>
    <col min="234" max="234" width="9.140625" customWidth="1" style="5"/>
    <col min="235" max="235" width="9.140625" customWidth="1" style="5"/>
    <col min="236" max="236" width="9.140625" customWidth="1" style="5"/>
    <col min="237" max="237" width="9.140625" customWidth="1" style="5"/>
    <col min="238" max="238" width="9.140625" customWidth="1" style="5"/>
    <col min="239" max="239" width="9.140625" customWidth="1" style="5"/>
    <col min="240" max="240" width="9.140625" customWidth="1" style="5"/>
    <col min="241" max="241" width="9.140625" customWidth="1" style="5"/>
    <col min="242" max="242" width="9.140625" customWidth="1" style="5"/>
    <col min="243" max="243" width="9.140625" customWidth="1" style="5"/>
    <col min="244" max="244" width="9.140625" customWidth="1" style="5"/>
    <col min="245" max="245" width="9.140625" customWidth="1" style="5"/>
    <col min="246" max="246" width="9.140625" customWidth="1" style="5"/>
    <col min="247" max="247" width="9.140625" customWidth="1" style="5"/>
    <col min="248" max="248" width="9.140625" customWidth="1" style="5"/>
    <col min="249" max="249" width="9.140625" customWidth="1" style="5"/>
    <col min="250" max="250" width="9.140625" customWidth="1" style="5"/>
    <col min="251" max="251" width="9.140625" customWidth="1" style="5"/>
    <col min="252" max="252" width="9.140625" customWidth="1" style="5"/>
    <col min="253" max="253" width="9.140625" customWidth="1" style="5"/>
    <col min="254" max="254" width="9.140625" customWidth="1" style="5"/>
    <col min="255" max="255" width="9.140625" customWidth="1" style="5"/>
    <col min="256" max="256" width="9.140625" customWidth="1" style="5"/>
    <col min="257" max="257" width="9.140625" customWidth="1" style="5"/>
    <col min="258" max="258" width="9.140625" customWidth="1" style="5"/>
    <col min="259" max="259" width="9.140625" customWidth="1" style="5"/>
    <col min="260" max="260" width="9.140625" customWidth="1" style="5"/>
    <col min="261" max="261" width="9.140625" customWidth="1" style="5"/>
    <col min="262" max="262" width="9.140625" customWidth="1" style="5"/>
    <col min="263" max="263" width="9.140625" customWidth="1" style="5"/>
    <col min="264" max="264" width="9.140625" customWidth="1" style="5"/>
    <col min="265" max="265" width="9.140625" customWidth="1" style="5"/>
    <col min="266" max="266" width="9.140625" customWidth="1" style="5"/>
    <col min="267" max="267" width="9.140625" customWidth="1" style="5"/>
    <col min="268" max="268" width="9.140625" customWidth="1" style="5"/>
    <col min="269" max="269" width="9.140625" customWidth="1" style="5"/>
    <col min="270" max="270" width="9.140625" customWidth="1" style="5"/>
    <col min="271" max="271" width="9.140625" customWidth="1" style="5"/>
    <col min="272" max="272" width="9.140625" customWidth="1" style="5"/>
    <col min="273" max="273" width="9.140625" customWidth="1" style="5"/>
    <col min="274" max="274" width="9.140625" customWidth="1" style="5"/>
    <col min="275" max="275" width="9.140625" customWidth="1" style="5"/>
    <col min="276" max="276" width="9.140625" customWidth="1" style="5"/>
    <col min="277" max="277" width="9.140625" customWidth="1" style="5"/>
    <col min="278" max="278" width="9.140625" customWidth="1" style="5"/>
    <col min="279" max="279" width="9.140625" customWidth="1" style="5"/>
    <col min="280" max="280" width="9.140625" customWidth="1" style="5"/>
    <col min="281" max="281" width="9.140625" customWidth="1" style="5"/>
    <col min="282" max="282" width="9.140625" customWidth="1" style="5"/>
    <col min="283" max="283" width="9.140625" customWidth="1" style="5"/>
    <col min="284" max="284" width="9.140625" customWidth="1" style="5"/>
    <col min="285" max="285" width="9.140625" customWidth="1" style="5"/>
    <col min="286" max="286" width="9.140625" customWidth="1" style="5"/>
    <col min="287" max="287" width="9.140625" customWidth="1" style="5"/>
    <col min="288" max="288" width="9.140625" customWidth="1" style="5"/>
    <col min="289" max="289" width="9.140625" customWidth="1" style="5"/>
    <col min="290" max="290" width="9.140625" customWidth="1" style="5"/>
    <col min="291" max="291" width="9.140625" customWidth="1" style="5"/>
    <col min="292" max="292" width="9.140625" customWidth="1" style="5"/>
    <col min="293" max="293" width="9.140625" customWidth="1" style="5"/>
    <col min="294" max="294" width="9.140625" customWidth="1" style="5"/>
    <col min="295" max="295" width="9.140625" customWidth="1" style="5"/>
    <col min="296" max="296" width="9.140625" customWidth="1" style="5"/>
    <col min="297" max="297" width="9.140625" customWidth="1" style="5"/>
    <col min="298" max="298" width="9.140625" customWidth="1" style="5"/>
    <col min="299" max="299" width="9.140625" customWidth="1" style="5"/>
    <col min="300" max="300" width="9.140625" customWidth="1" style="5"/>
    <col min="301" max="301" width="9.140625" customWidth="1" style="5"/>
    <col min="302" max="302" width="9.140625" customWidth="1" style="5"/>
    <col min="303" max="303" width="9.140625" customWidth="1" style="5"/>
    <col min="304" max="304" width="9.140625" customWidth="1" style="5"/>
    <col min="305" max="305" width="9.140625" customWidth="1" style="5"/>
    <col min="306" max="306" width="9.140625" customWidth="1" style="5"/>
    <col min="307" max="307" width="9.140625" customWidth="1" style="5"/>
    <col min="308" max="308" width="9.140625" customWidth="1" style="5"/>
    <col min="309" max="309" width="9.140625" customWidth="1" style="5"/>
    <col min="310" max="310" width="9.140625" customWidth="1" style="5"/>
    <col min="311" max="311" width="9.140625" customWidth="1" style="5"/>
    <col min="312" max="312" width="9.140625" customWidth="1" style="5"/>
    <col min="313" max="313" width="9.140625" customWidth="1" style="5"/>
    <col min="314" max="314" width="9.140625" customWidth="1" style="5"/>
    <col min="315" max="315" width="9.140625" customWidth="1" style="5"/>
    <col min="316" max="316" width="9.140625" customWidth="1" style="5"/>
    <col min="317" max="317" width="9.140625" customWidth="1" style="5"/>
    <col min="318" max="318" width="9.140625" customWidth="1" style="5"/>
    <col min="319" max="319" width="9.140625" customWidth="1" style="5"/>
    <col min="320" max="320" width="9.140625" customWidth="1" style="5"/>
    <col min="321" max="321" width="9.140625" customWidth="1" style="5"/>
    <col min="322" max="322" width="9.140625" customWidth="1" style="5"/>
    <col min="323" max="323" width="9.140625" customWidth="1" style="5"/>
    <col min="324" max="324" width="9.140625" customWidth="1" style="5"/>
    <col min="325" max="325" width="9.140625" customWidth="1" style="5"/>
    <col min="326" max="326" width="9.140625" customWidth="1" style="5"/>
    <col min="327" max="327" width="9.140625" customWidth="1" style="5"/>
    <col min="328" max="328" width="9.140625" customWidth="1" style="5"/>
    <col min="329" max="329" width="9.140625" customWidth="1" style="5"/>
    <col min="330" max="330" width="9.140625" customWidth="1" style="5"/>
    <col min="331" max="331" width="9.140625" customWidth="1" style="5"/>
    <col min="332" max="332" width="9.140625" customWidth="1" style="5"/>
    <col min="333" max="333" width="9.140625" customWidth="1" style="5"/>
    <col min="334" max="334" width="9.140625" customWidth="1" style="5"/>
    <col min="335" max="335" width="9.140625" customWidth="1" style="5"/>
    <col min="336" max="336" width="9.140625" customWidth="1" style="5"/>
    <col min="337" max="337" width="9.140625" customWidth="1" style="5"/>
    <col min="338" max="338" width="9.140625" customWidth="1" style="5"/>
    <col min="339" max="339" width="9.140625" customWidth="1" style="5"/>
    <col min="340" max="340" width="9.140625" customWidth="1" style="5"/>
    <col min="341" max="341" width="9.140625" customWidth="1" style="5"/>
    <col min="342" max="342" width="9.140625" customWidth="1" style="5"/>
    <col min="343" max="343" width="9.140625" customWidth="1" style="5"/>
    <col min="344" max="344" width="9.140625" customWidth="1" style="5"/>
    <col min="345" max="345" width="9.140625" customWidth="1" style="5"/>
    <col min="346" max="346" width="9.140625" customWidth="1" style="5"/>
    <col min="347" max="347" width="9.140625" customWidth="1" style="5"/>
    <col min="348" max="348" width="9.140625" customWidth="1" style="5"/>
    <col min="349" max="349" width="9.140625" customWidth="1" style="5"/>
    <col min="350" max="350" width="9.140625" customWidth="1" style="5"/>
    <col min="351" max="351" width="9.140625" customWidth="1" style="5"/>
    <col min="352" max="352" width="9.140625" customWidth="1" style="5"/>
    <col min="353" max="353" width="9.140625" customWidth="1" style="5"/>
    <col min="354" max="354" width="9.140625" customWidth="1" style="5"/>
    <col min="355" max="355" width="9.140625" customWidth="1" style="5"/>
    <col min="356" max="356" width="9.140625" customWidth="1" style="5"/>
    <col min="357" max="357" width="9.140625" customWidth="1" style="5"/>
    <col min="358" max="358" width="9.140625" customWidth="1" style="5"/>
    <col min="359" max="359" width="9.140625" customWidth="1" style="5"/>
    <col min="360" max="360" width="9.140625" customWidth="1" style="5"/>
    <col min="361" max="361" width="9.140625" customWidth="1" style="5"/>
    <col min="362" max="362" width="9.140625" customWidth="1" style="5"/>
    <col min="363" max="363" width="9.140625" customWidth="1" style="5"/>
    <col min="364" max="364" width="9.140625" customWidth="1" style="5"/>
    <col min="365" max="365" width="9.140625" customWidth="1" style="5"/>
    <col min="366" max="366" width="9.140625" customWidth="1" style="5"/>
    <col min="367" max="367" width="9.140625" customWidth="1" style="5"/>
    <col min="368" max="368" width="9.140625" customWidth="1" style="5"/>
    <col min="369" max="369" width="9.140625" customWidth="1" style="5"/>
    <col min="370" max="370" width="9.140625" customWidth="1" style="5"/>
    <col min="371" max="371" width="9.140625" customWidth="1" style="5"/>
    <col min="372" max="372" width="9.140625" customWidth="1" style="5"/>
    <col min="373" max="373" width="9.140625" customWidth="1" style="5"/>
    <col min="374" max="374" width="9.140625" customWidth="1" style="5"/>
    <col min="375" max="375" width="9.140625" customWidth="1" style="5"/>
    <col min="376" max="376" width="9.140625" customWidth="1" style="5"/>
    <col min="377" max="377" width="9.140625" customWidth="1" style="5"/>
    <col min="378" max="378" width="9.140625" customWidth="1" style="5"/>
    <col min="379" max="379" width="9.140625" customWidth="1" style="5"/>
    <col min="380" max="380" width="9.140625" customWidth="1" style="5"/>
    <col min="381" max="381" width="9.140625" customWidth="1" style="5"/>
    <col min="382" max="382" width="9.140625" customWidth="1" style="5"/>
    <col min="383" max="383" width="9.140625" customWidth="1" style="5"/>
    <col min="384" max="384" width="9.140625" customWidth="1" style="5"/>
    <col min="385" max="385" width="9.140625" customWidth="1" style="5"/>
    <col min="386" max="386" width="9.140625" customWidth="1" style="5"/>
    <col min="387" max="387" width="9.140625" customWidth="1" style="5"/>
    <col min="388" max="388" width="9.140625" customWidth="1" style="5"/>
    <col min="389" max="389" width="9.140625" customWidth="1" style="5"/>
    <col min="390" max="390" width="9.140625" customWidth="1" style="5"/>
    <col min="391" max="391" width="9.140625" customWidth="1" style="5"/>
    <col min="392" max="392" width="9.140625" customWidth="1" style="5"/>
    <col min="393" max="393" width="9.140625" customWidth="1" style="5"/>
    <col min="394" max="394" width="9.140625" customWidth="1" style="5"/>
    <col min="395" max="395" width="9.140625" customWidth="1" style="5"/>
    <col min="396" max="396" width="9.140625" customWidth="1" style="5"/>
    <col min="397" max="397" width="9.140625" customWidth="1" style="5"/>
    <col min="398" max="398" width="9.140625" customWidth="1" style="5"/>
    <col min="399" max="399" width="9.140625" customWidth="1" style="5"/>
    <col min="400" max="400" width="9.140625" customWidth="1" style="5"/>
    <col min="401" max="401" width="9.140625" customWidth="1" style="5"/>
    <col min="402" max="402" width="9.140625" customWidth="1" style="5"/>
    <col min="403" max="403" width="9.140625" customWidth="1" style="5"/>
    <col min="404" max="404" width="9.140625" customWidth="1" style="5"/>
    <col min="405" max="405" width="9.140625" customWidth="1" style="5"/>
    <col min="406" max="406" width="9.140625" customWidth="1" style="5"/>
    <col min="407" max="407" width="9.140625" customWidth="1" style="5"/>
    <col min="408" max="408" width="9.140625" customWidth="1" style="5"/>
    <col min="409" max="409" width="9.140625" customWidth="1" style="5"/>
    <col min="410" max="410" width="9.140625" customWidth="1" style="5"/>
    <col min="411" max="411" width="9.140625" customWidth="1" style="5"/>
    <col min="412" max="412" width="9.140625" customWidth="1" style="5"/>
    <col min="413" max="413" width="9.140625" customWidth="1" style="5"/>
    <col min="414" max="414" width="9.140625" customWidth="1" style="5"/>
    <col min="415" max="415" width="9.140625" customWidth="1" style="5"/>
    <col min="416" max="416" width="9.140625" customWidth="1" style="5"/>
    <col min="417" max="417" width="9.140625" customWidth="1" style="5"/>
    <col min="418" max="418" width="9.140625" customWidth="1" style="5"/>
    <col min="419" max="419" width="9.140625" customWidth="1" style="5"/>
    <col min="420" max="420" width="9.140625" customWidth="1" style="5"/>
    <col min="421" max="421" width="9.140625" customWidth="1" style="5"/>
    <col min="422" max="422" width="9.140625" customWidth="1" style="5"/>
    <col min="423" max="423" width="9.140625" customWidth="1" style="5"/>
    <col min="424" max="424" width="9.140625" customWidth="1" style="5"/>
    <col min="425" max="425" width="9.140625" customWidth="1" style="5"/>
    <col min="426" max="426" width="9.140625" customWidth="1" style="5"/>
    <col min="427" max="427" width="9.140625" customWidth="1" style="5"/>
    <col min="428" max="428" width="9.140625" customWidth="1" style="5"/>
    <col min="429" max="429" width="9.140625" customWidth="1" style="5"/>
    <col min="430" max="430" width="9.140625" customWidth="1" style="5"/>
    <col min="431" max="431" width="9.140625" customWidth="1" style="5"/>
    <col min="432" max="432" width="9.140625" customWidth="1" style="5"/>
    <col min="433" max="433" width="9.140625" customWidth="1" style="5"/>
    <col min="434" max="434" width="9.140625" customWidth="1" style="5"/>
    <col min="435" max="435" width="9.140625" customWidth="1" style="5"/>
    <col min="436" max="436" width="9.140625" customWidth="1" style="5"/>
    <col min="437" max="437" width="9.140625" customWidth="1" style="5"/>
    <col min="438" max="438" width="9.140625" customWidth="1" style="5"/>
    <col min="439" max="439" width="9.140625" customWidth="1" style="5"/>
    <col min="440" max="440" width="9.140625" customWidth="1" style="5"/>
    <col min="441" max="441" width="9.140625" customWidth="1" style="5"/>
    <col min="442" max="442" width="9.140625" customWidth="1" style="5"/>
    <col min="443" max="443" width="9.140625" customWidth="1" style="5"/>
    <col min="444" max="444" width="9.140625" customWidth="1" style="5"/>
    <col min="445" max="445" width="9.140625" customWidth="1" style="5"/>
    <col min="446" max="446" width="9.140625" customWidth="1" style="5"/>
    <col min="447" max="447" width="9.140625" customWidth="1" style="5"/>
    <col min="448" max="448" width="9.140625" customWidth="1" style="5"/>
    <col min="449" max="449" width="9.140625" customWidth="1" style="5"/>
    <col min="450" max="450" width="9.140625" customWidth="1" style="5"/>
    <col min="451" max="451" width="9.140625" customWidth="1" style="5"/>
    <col min="452" max="452" width="9.140625" customWidth="1" style="5"/>
    <col min="453" max="453" width="9.140625" customWidth="1" style="5"/>
    <col min="454" max="454" width="9.140625" customWidth="1" style="5"/>
    <col min="455" max="455" width="9.140625" customWidth="1" style="5"/>
    <col min="456" max="456" width="9.140625" customWidth="1" style="5"/>
    <col min="457" max="457" width="9.140625" customWidth="1" style="5"/>
    <col min="458" max="458" width="9.140625" customWidth="1" style="5"/>
    <col min="459" max="459" width="9.140625" customWidth="1" style="5"/>
    <col min="460" max="460" width="9.140625" customWidth="1" style="5"/>
    <col min="461" max="461" width="9.140625" customWidth="1" style="5"/>
    <col min="462" max="462" width="9.140625" customWidth="1" style="5"/>
    <col min="463" max="463" width="9.140625" customWidth="1" style="5"/>
    <col min="464" max="464" width="9.140625" customWidth="1" style="5"/>
    <col min="465" max="465" width="9.140625" customWidth="1" style="5"/>
    <col min="466" max="466" width="9.140625" customWidth="1" style="5"/>
    <col min="467" max="467" width="9.140625" customWidth="1" style="5"/>
    <col min="468" max="468" width="9.140625" customWidth="1" style="5"/>
    <col min="469" max="469" width="9.140625" customWidth="1" style="5"/>
    <col min="470" max="470" width="9.140625" customWidth="1" style="5"/>
    <col min="471" max="471" width="9.140625" customWidth="1" style="5"/>
    <col min="472" max="472" width="9.140625" customWidth="1" style="5"/>
    <col min="473" max="473" width="9.140625" customWidth="1" style="5"/>
    <col min="474" max="474" width="9.140625" customWidth="1" style="5"/>
    <col min="475" max="475" width="9.140625" customWidth="1" style="5"/>
    <col min="476" max="476" width="9.140625" customWidth="1" style="5"/>
    <col min="477" max="477" width="9.140625" customWidth="1" style="5"/>
    <col min="478" max="478" width="9.140625" customWidth="1" style="5"/>
    <col min="479" max="479" width="9.140625" customWidth="1" style="5"/>
    <col min="480" max="480" width="9.140625" customWidth="1" style="5"/>
    <col min="481" max="481" width="9.140625" customWidth="1" style="5"/>
    <col min="482" max="482" width="9.140625" customWidth="1" style="5"/>
    <col min="483" max="483" width="9.140625" customWidth="1" style="5"/>
    <col min="484" max="484" width="9.140625" customWidth="1" style="5"/>
    <col min="485" max="485" width="9.140625" customWidth="1" style="5"/>
    <col min="486" max="486" width="9.140625" customWidth="1" style="5"/>
    <col min="487" max="487" width="9.140625" customWidth="1" style="5"/>
    <col min="488" max="488" width="9.140625" customWidth="1" style="5"/>
    <col min="489" max="489" width="9.140625" customWidth="1" style="5"/>
    <col min="490" max="490" width="9.140625" customWidth="1" style="5"/>
    <col min="491" max="491" width="9.140625" customWidth="1" style="5"/>
    <col min="492" max="492" width="9.140625" customWidth="1" style="5"/>
    <col min="493" max="493" width="9.140625" customWidth="1" style="5"/>
    <col min="494" max="494" width="9.140625" customWidth="1" style="5"/>
    <col min="495" max="495" width="9.140625" customWidth="1" style="5"/>
    <col min="496" max="496" width="9.140625" customWidth="1" style="5"/>
    <col min="497" max="497" width="9.140625" customWidth="1" style="5"/>
    <col min="498" max="498" width="9.140625" customWidth="1" style="5"/>
    <col min="499" max="499" width="9.140625" customWidth="1" style="5"/>
    <col min="500" max="500" width="9.140625" customWidth="1" style="5"/>
    <col min="501" max="501" width="9.140625" customWidth="1" style="5"/>
    <col min="502" max="502" width="9.140625" customWidth="1" style="5"/>
    <col min="503" max="503" width="9.140625" customWidth="1" style="5"/>
    <col min="504" max="504" width="9.140625" customWidth="1" style="5"/>
    <col min="505" max="505" width="9.140625" customWidth="1" style="5"/>
    <col min="506" max="506" width="9.140625" customWidth="1" style="5"/>
    <col min="507" max="507" width="9.140625" customWidth="1" style="5"/>
    <col min="508" max="508" width="9.140625" customWidth="1" style="5"/>
    <col min="509" max="509" width="9.140625" customWidth="1" style="5"/>
    <col min="510" max="510" width="9.140625" customWidth="1" style="5"/>
    <col min="511" max="511" width="9.140625" customWidth="1" style="5"/>
    <col min="512" max="512" width="9.140625" customWidth="1" style="5"/>
    <col min="513" max="513" width="9.140625" customWidth="1" style="5"/>
    <col min="514" max="514" width="9.140625" customWidth="1" style="5"/>
    <col min="515" max="515" width="9.140625" customWidth="1" style="5"/>
    <col min="516" max="516" width="9.140625" customWidth="1" style="5"/>
    <col min="517" max="517" width="9.140625" customWidth="1" style="5"/>
    <col min="518" max="518" width="9.140625" customWidth="1" style="5"/>
    <col min="519" max="519" width="9.140625" customWidth="1" style="5"/>
    <col min="520" max="520" width="9.140625" customWidth="1" style="5"/>
    <col min="521" max="521" width="9.140625" customWidth="1" style="5"/>
    <col min="522" max="522" width="9.140625" customWidth="1" style="5"/>
    <col min="523" max="523" width="9.140625" customWidth="1" style="5"/>
    <col min="524" max="524" width="9.140625" customWidth="1" style="5"/>
    <col min="525" max="525" width="9.140625" customWidth="1" style="5"/>
    <col min="526" max="526" width="9.140625" customWidth="1" style="5"/>
    <col min="527" max="527" width="9.140625" customWidth="1" style="5"/>
    <col min="528" max="528" width="9.140625" customWidth="1" style="5"/>
    <col min="529" max="529" width="9.140625" customWidth="1" style="5"/>
    <col min="530" max="530" width="9.140625" customWidth="1" style="5"/>
    <col min="531" max="531" width="9.140625" customWidth="1" style="5"/>
    <col min="532" max="532" width="9.140625" customWidth="1" style="5"/>
    <col min="533" max="533" width="9.140625" customWidth="1" style="5"/>
    <col min="534" max="534" width="9.140625" customWidth="1" style="5"/>
    <col min="535" max="535" width="9.140625" customWidth="1" style="5"/>
    <col min="536" max="536" width="9.140625" customWidth="1" style="5"/>
    <col min="537" max="537" width="9.140625" customWidth="1" style="5"/>
    <col min="538" max="538" width="9.140625" customWidth="1" style="5"/>
    <col min="539" max="539" width="9.140625" customWidth="1" style="5"/>
    <col min="540" max="540" width="9.140625" customWidth="1" style="5"/>
    <col min="541" max="541" width="9.140625" customWidth="1" style="5"/>
    <col min="542" max="542" width="9.140625" customWidth="1" style="5"/>
    <col min="543" max="543" width="9.140625" customWidth="1" style="5"/>
    <col min="544" max="544" width="9.140625" customWidth="1" style="5"/>
    <col min="545" max="545" width="9.140625" customWidth="1" style="5"/>
    <col min="546" max="546" width="9.140625" customWidth="1" style="5"/>
    <col min="547" max="547" width="9.140625" customWidth="1" style="5"/>
    <col min="548" max="548" width="9.140625" customWidth="1" style="5"/>
    <col min="549" max="549" width="9.140625" customWidth="1" style="5"/>
    <col min="550" max="550" width="9.140625" customWidth="1" style="5"/>
    <col min="551" max="551" width="9.140625" customWidth="1" style="5"/>
    <col min="552" max="552" width="9.140625" customWidth="1" style="5"/>
    <col min="553" max="553" width="9.140625" customWidth="1" style="5"/>
    <col min="554" max="554" width="9.140625" customWidth="1" style="5"/>
    <col min="555" max="555" width="9.140625" customWidth="1" style="5"/>
    <col min="556" max="556" width="9.140625" customWidth="1" style="5"/>
    <col min="557" max="557" width="9.140625" customWidth="1" style="5"/>
    <col min="558" max="558" width="9.140625" customWidth="1" style="5"/>
    <col min="559" max="559" width="9.140625" customWidth="1" style="5"/>
    <col min="560" max="560" width="9.140625" customWidth="1" style="5"/>
    <col min="561" max="561" width="9.140625" customWidth="1" style="5"/>
    <col min="562" max="562" width="9.140625" customWidth="1" style="5"/>
    <col min="563" max="563" width="9.140625" customWidth="1" style="5"/>
    <col min="564" max="564" width="9.140625" customWidth="1" style="5"/>
    <col min="565" max="565" width="9.140625" customWidth="1" style="5"/>
    <col min="566" max="566" width="9.140625" customWidth="1" style="5"/>
    <col min="567" max="567" width="9.140625" customWidth="1" style="5"/>
    <col min="568" max="568" width="9.140625" customWidth="1" style="5"/>
    <col min="569" max="569" width="9.140625" customWidth="1" style="5"/>
    <col min="570" max="570" width="9.140625" customWidth="1" style="5"/>
    <col min="571" max="571" width="9.140625" customWidth="1" style="5"/>
    <col min="572" max="572" width="9.140625" customWidth="1" style="5"/>
    <col min="573" max="573" width="9.140625" customWidth="1" style="5"/>
    <col min="574" max="574" width="9.140625" customWidth="1" style="5"/>
    <col min="575" max="575" width="9.140625" customWidth="1" style="5"/>
    <col min="576" max="576" width="9.140625" customWidth="1" style="5"/>
    <col min="577" max="577" width="9.140625" customWidth="1" style="5"/>
    <col min="578" max="578" width="9.140625" customWidth="1" style="5"/>
    <col min="579" max="579" width="9.140625" customWidth="1" style="5"/>
    <col min="580" max="580" width="9.140625" customWidth="1" style="5"/>
    <col min="581" max="581" width="9.140625" customWidth="1" style="5"/>
    <col min="582" max="582" width="9.140625" customWidth="1" style="5"/>
    <col min="583" max="583" width="9.140625" customWidth="1" style="5"/>
    <col min="584" max="584" width="9.140625" customWidth="1" style="5"/>
    <col min="585" max="585" width="9.140625" customWidth="1" style="5"/>
    <col min="586" max="586" width="9.140625" customWidth="1" style="5"/>
    <col min="587" max="587" width="9.140625" customWidth="1" style="5"/>
    <col min="588" max="588" width="9.140625" customWidth="1" style="5"/>
    <col min="589" max="589" width="9.140625" customWidth="1" style="5"/>
    <col min="590" max="590" width="9.140625" customWidth="1" style="5"/>
    <col min="591" max="591" width="9.140625" customWidth="1" style="5"/>
    <col min="592" max="592" width="9.140625" customWidth="1" style="5"/>
    <col min="593" max="593" width="9.140625" customWidth="1" style="5"/>
    <col min="594" max="594" width="9.140625" customWidth="1" style="5"/>
    <col min="595" max="595" width="9.140625" customWidth="1" style="5"/>
    <col min="596" max="596" width="9.140625" customWidth="1" style="5"/>
    <col min="597" max="597" width="9.140625" customWidth="1" style="5"/>
    <col min="598" max="598" width="9.140625" customWidth="1" style="5"/>
    <col min="599" max="599" width="9.140625" customWidth="1" style="5"/>
    <col min="600" max="600" width="9.140625" customWidth="1" style="5"/>
    <col min="601" max="601" width="9.140625" customWidth="1" style="5"/>
    <col min="602" max="602" width="9.140625" customWidth="1" style="5"/>
    <col min="603" max="603" width="9.140625" customWidth="1" style="5"/>
    <col min="604" max="604" width="9.140625" customWidth="1" style="5"/>
    <col min="605" max="605" width="9.140625" customWidth="1" style="5"/>
    <col min="606" max="606" width="9.140625" customWidth="1" style="5"/>
    <col min="607" max="607" width="9.140625" customWidth="1" style="5"/>
    <col min="608" max="608" width="9.140625" customWidth="1" style="5"/>
    <col min="609" max="609" width="9.140625" customWidth="1" style="5"/>
    <col min="610" max="610" width="9.140625" customWidth="1" style="5"/>
    <col min="611" max="611" width="9.140625" customWidth="1" style="5"/>
    <col min="612" max="612" width="9.140625" customWidth="1" style="5"/>
    <col min="613" max="613" width="9.140625" customWidth="1" style="5"/>
    <col min="614" max="614" width="9.140625" customWidth="1" style="5"/>
    <col min="615" max="615" width="9.140625" customWidth="1" style="5"/>
    <col min="616" max="616" width="9.140625" customWidth="1" style="5"/>
    <col min="617" max="617" width="9.140625" customWidth="1" style="5"/>
    <col min="618" max="618" width="9.140625" customWidth="1" style="5"/>
    <col min="619" max="619" width="9.140625" customWidth="1" style="5"/>
    <col min="620" max="620" width="9.140625" customWidth="1" style="5"/>
    <col min="621" max="621" width="9.140625" customWidth="1" style="5"/>
    <col min="622" max="622" width="9.140625" customWidth="1" style="5"/>
    <col min="623" max="623" width="9.140625" customWidth="1" style="5"/>
    <col min="624" max="624" width="9.140625" customWidth="1" style="5"/>
    <col min="625" max="625" width="9.140625" customWidth="1" style="5"/>
    <col min="626" max="626" width="9.140625" customWidth="1" style="5"/>
    <col min="627" max="627" width="9.140625" customWidth="1" style="5"/>
    <col min="628" max="628" width="9.140625" customWidth="1" style="5"/>
    <col min="629" max="629" width="9.140625" customWidth="1" style="5"/>
    <col min="630" max="630" width="9.140625" customWidth="1" style="5"/>
    <col min="631" max="631" width="9.140625" customWidth="1" style="5"/>
    <col min="632" max="632" width="9.140625" customWidth="1" style="5"/>
    <col min="633" max="633" width="9.140625" customWidth="1" style="5"/>
    <col min="634" max="634" width="9.140625" customWidth="1" style="5"/>
    <col min="635" max="635" width="9.140625" customWidth="1" style="5"/>
    <col min="636" max="636" width="9.140625" customWidth="1" style="5"/>
    <col min="637" max="637" width="9.140625" customWidth="1" style="5"/>
    <col min="638" max="638" width="9.140625" customWidth="1" style="5"/>
    <col min="639" max="639" width="9.140625" customWidth="1" style="5"/>
    <col min="640" max="640" width="9.140625" customWidth="1" style="5"/>
    <col min="641" max="641" width="9.140625" customWidth="1" style="5"/>
    <col min="642" max="642" width="9.140625" customWidth="1" style="5"/>
    <col min="643" max="643" width="9.140625" customWidth="1" style="5"/>
    <col min="644" max="644" width="9.140625" customWidth="1" style="5"/>
    <col min="645" max="645" width="9.140625" customWidth="1" style="5"/>
    <col min="646" max="646" width="9.140625" customWidth="1" style="5"/>
    <col min="647" max="647" width="9.140625" customWidth="1" style="5"/>
    <col min="648" max="648" width="9.140625" customWidth="1" style="5"/>
    <col min="649" max="649" width="9.140625" customWidth="1" style="5"/>
    <col min="650" max="650" width="9.140625" customWidth="1" style="5"/>
    <col min="651" max="651" width="9.140625" customWidth="1" style="5"/>
    <col min="652" max="652" width="9.140625" customWidth="1" style="5"/>
    <col min="653" max="653" width="9.140625" customWidth="1" style="5"/>
    <col min="654" max="654" width="9.140625" customWidth="1" style="5"/>
    <col min="655" max="655" width="9.140625" customWidth="1" style="5"/>
    <col min="656" max="656" width="9.140625" customWidth="1" style="5"/>
    <col min="657" max="657" width="9.140625" customWidth="1" style="5"/>
    <col min="658" max="658" width="9.140625" customWidth="1" style="5"/>
    <col min="659" max="659" width="9.140625" customWidth="1" style="5"/>
    <col min="660" max="660" width="9.140625" customWidth="1" style="5"/>
    <col min="661" max="661" width="9.140625" customWidth="1" style="5"/>
    <col min="662" max="662" width="9.140625" customWidth="1" style="5"/>
    <col min="663" max="663" width="9.140625" customWidth="1" style="5"/>
    <col min="664" max="664" width="9.140625" customWidth="1" style="5"/>
    <col min="665" max="665" width="9.140625" customWidth="1" style="5"/>
    <col min="666" max="666" width="9.140625" customWidth="1" style="5"/>
    <col min="667" max="667" width="9.140625" customWidth="1" style="5"/>
    <col min="668" max="668" width="9.140625" customWidth="1" style="5"/>
    <col min="669" max="669" width="9.140625" customWidth="1" style="5"/>
    <col min="670" max="670" width="9.140625" customWidth="1" style="5"/>
    <col min="671" max="671" width="9.140625" customWidth="1" style="5"/>
    <col min="672" max="672" width="9.140625" customWidth="1" style="5"/>
    <col min="673" max="673" width="9.140625" customWidth="1" style="5"/>
    <col min="674" max="674" width="9.140625" customWidth="1" style="5"/>
    <col min="675" max="675" width="9.140625" customWidth="1" style="5"/>
    <col min="676" max="676" width="9.140625" customWidth="1" style="5"/>
    <col min="677" max="677" width="9.140625" customWidth="1" style="5"/>
    <col min="678" max="678" width="9.140625" customWidth="1" style="5"/>
    <col min="679" max="679" width="9.140625" customWidth="1" style="5"/>
    <col min="680" max="680" width="9.140625" customWidth="1" style="5"/>
    <col min="681" max="681" width="9.140625" customWidth="1" style="5"/>
    <col min="682" max="682" width="9.140625" customWidth="1" style="5"/>
    <col min="683" max="683" width="9.140625" customWidth="1" style="5"/>
    <col min="684" max="684" width="9.140625" customWidth="1" style="5"/>
    <col min="685" max="685" width="9.140625" customWidth="1" style="5"/>
    <col min="686" max="686" width="9.140625" customWidth="1" style="5"/>
    <col min="687" max="687" width="9.140625" customWidth="1" style="5"/>
    <col min="688" max="688" width="9.140625" customWidth="1" style="5"/>
    <col min="689" max="689" width="9.140625" customWidth="1" style="5"/>
    <col min="690" max="690" width="9.140625" customWidth="1" style="5"/>
    <col min="691" max="691" width="9.140625" customWidth="1" style="5"/>
    <col min="692" max="692" width="9.140625" customWidth="1" style="5"/>
    <col min="693" max="693" width="9.140625" customWidth="1" style="5"/>
    <col min="694" max="694" width="9.140625" customWidth="1" style="5"/>
    <col min="695" max="695" width="9.140625" customWidth="1" style="5"/>
    <col min="696" max="696" width="9.140625" customWidth="1" style="5"/>
    <col min="697" max="697" width="9.140625" customWidth="1" style="5"/>
    <col min="698" max="698" width="9.140625" customWidth="1" style="5"/>
    <col min="699" max="699" width="9.140625" customWidth="1" style="5"/>
    <col min="700" max="700" width="9.140625" customWidth="1" style="5"/>
    <col min="701" max="701" width="9.140625" customWidth="1" style="5"/>
    <col min="702" max="702" width="9.140625" customWidth="1" style="5"/>
    <col min="703" max="703" width="9.140625" customWidth="1" style="5"/>
    <col min="704" max="704" width="9.140625" customWidth="1" style="5"/>
    <col min="705" max="705" width="9.140625" customWidth="1" style="5"/>
    <col min="706" max="706" width="9.140625" customWidth="1" style="5"/>
    <col min="707" max="707" width="9.140625" customWidth="1" style="5"/>
    <col min="708" max="708" width="9.140625" customWidth="1" style="5"/>
    <col min="709" max="709" width="9.140625" customWidth="1" style="5"/>
    <col min="710" max="710" width="9.140625" customWidth="1" style="5"/>
    <col min="711" max="711" width="9.140625" customWidth="1" style="5"/>
    <col min="712" max="712" width="9.140625" customWidth="1" style="5"/>
    <col min="713" max="713" width="9.140625" customWidth="1" style="5"/>
    <col min="714" max="714" width="9.140625" customWidth="1" style="5"/>
    <col min="715" max="715" width="9.140625" customWidth="1" style="5"/>
    <col min="716" max="716" width="9.140625" customWidth="1" style="5"/>
    <col min="717" max="717" width="9.140625" customWidth="1" style="5"/>
    <col min="718" max="718" width="9.140625" customWidth="1" style="5"/>
    <col min="719" max="719" width="9.140625" customWidth="1" style="5"/>
    <col min="720" max="720" width="9.140625" customWidth="1" style="5"/>
    <col min="721" max="721" width="9.140625" customWidth="1" style="5"/>
    <col min="722" max="722" width="9.140625" customWidth="1" style="5"/>
    <col min="723" max="723" width="9.140625" customWidth="1" style="5"/>
    <col min="724" max="724" width="9.140625" customWidth="1" style="5"/>
    <col min="725" max="725" width="9.140625" customWidth="1" style="5"/>
    <col min="726" max="726" width="9.140625" customWidth="1" style="5"/>
    <col min="727" max="727" width="9.140625" customWidth="1" style="5"/>
    <col min="728" max="728" width="9.140625" customWidth="1" style="5"/>
    <col min="729" max="729" width="9.140625" customWidth="1" style="5"/>
    <col min="730" max="730" width="9.140625" customWidth="1" style="5"/>
    <col min="731" max="731" width="9.140625" customWidth="1" style="5"/>
    <col min="732" max="732" width="9.140625" customWidth="1" style="5"/>
    <col min="733" max="733" width="9.140625" customWidth="1" style="5"/>
    <col min="734" max="734" width="9.140625" customWidth="1" style="5"/>
    <col min="735" max="735" width="9.140625" customWidth="1" style="5"/>
    <col min="736" max="736" width="9.140625" customWidth="1" style="5"/>
    <col min="737" max="737" width="9.140625" customWidth="1" style="5"/>
    <col min="738" max="738" width="9.140625" customWidth="1" style="5"/>
    <col min="739" max="739" width="9.140625" customWidth="1" style="5"/>
    <col min="740" max="740" width="9.140625" customWidth="1" style="5"/>
    <col min="741" max="741" width="9.140625" customWidth="1" style="5"/>
    <col min="742" max="742" width="9.140625" customWidth="1" style="5"/>
    <col min="743" max="743" width="9.140625" customWidth="1" style="5"/>
    <col min="744" max="744" width="9.140625" customWidth="1" style="5"/>
    <col min="745" max="745" width="9.140625" customWidth="1" style="5"/>
    <col min="746" max="746" width="9.140625" customWidth="1" style="5"/>
    <col min="747" max="747" width="9.140625" customWidth="1" style="5"/>
    <col min="748" max="748" width="9.140625" customWidth="1" style="5"/>
    <col min="749" max="749" width="9.140625" customWidth="1" style="5"/>
    <col min="750" max="750" width="9.140625" customWidth="1" style="5"/>
    <col min="751" max="751" width="9.140625" customWidth="1" style="5"/>
    <col min="752" max="752" width="9.140625" customWidth="1" style="5"/>
    <col min="753" max="753" width="9.140625" customWidth="1" style="5"/>
    <col min="754" max="754" width="9.140625" customWidth="1" style="5"/>
    <col min="755" max="755" width="9.140625" customWidth="1" style="5"/>
    <col min="756" max="756" width="9.140625" customWidth="1" style="5"/>
    <col min="757" max="757" width="9.140625" customWidth="1" style="5"/>
    <col min="758" max="758" width="9.140625" customWidth="1" style="5"/>
    <col min="759" max="759" width="9.140625" customWidth="1" style="5"/>
    <col min="760" max="760" width="9.140625" customWidth="1" style="5"/>
    <col min="761" max="761" width="9.140625" customWidth="1" style="5"/>
    <col min="762" max="762" width="9.140625" customWidth="1" style="5"/>
    <col min="763" max="763" width="9.140625" customWidth="1" style="5"/>
    <col min="764" max="764" width="9.140625" customWidth="1" style="5"/>
    <col min="765" max="765" width="9.140625" customWidth="1" style="5"/>
    <col min="766" max="766" width="9.140625" customWidth="1" style="5"/>
    <col min="767" max="767" width="9.140625" customWidth="1" style="5"/>
    <col min="768" max="768" width="9.140625" customWidth="1" style="5"/>
    <col min="769" max="769" width="9.140625" customWidth="1" style="5"/>
    <col min="770" max="770" width="9.140625" customWidth="1" style="5"/>
    <col min="771" max="771" width="9.140625" customWidth="1" style="5"/>
    <col min="772" max="772" width="9.140625" customWidth="1" style="5"/>
    <col min="773" max="773" width="9.140625" customWidth="1" style="5"/>
    <col min="774" max="774" width="9.140625" customWidth="1" style="5"/>
    <col min="775" max="775" width="9.140625" customWidth="1" style="5"/>
    <col min="776" max="776" width="9.140625" customWidth="1" style="5"/>
    <col min="777" max="777" width="9.140625" customWidth="1" style="5"/>
    <col min="778" max="778" width="9.140625" customWidth="1" style="5"/>
    <col min="779" max="779" width="9.140625" customWidth="1" style="5"/>
    <col min="780" max="780" width="9.140625" customWidth="1" style="5"/>
    <col min="781" max="781" width="9.140625" customWidth="1" style="5"/>
    <col min="782" max="782" width="9.140625" customWidth="1" style="5"/>
    <col min="783" max="783" width="9.140625" customWidth="1" style="5"/>
    <col min="784" max="784" width="9.140625" customWidth="1" style="5"/>
    <col min="785" max="785" width="9.140625" customWidth="1" style="5"/>
    <col min="786" max="786" width="9.140625" customWidth="1" style="5"/>
    <col min="787" max="787" width="9.140625" customWidth="1" style="5"/>
    <col min="788" max="788" width="9.140625" customWidth="1" style="5"/>
    <col min="789" max="789" width="9.140625" customWidth="1" style="5"/>
    <col min="790" max="790" width="9.140625" customWidth="1" style="5"/>
    <col min="791" max="791" width="9.140625" customWidth="1" style="5"/>
    <col min="792" max="792" width="9.140625" customWidth="1" style="5"/>
    <col min="793" max="793" width="9.140625" customWidth="1" style="5"/>
    <col min="794" max="794" width="9.140625" customWidth="1" style="5"/>
    <col min="795" max="795" width="9.140625" customWidth="1" style="5"/>
    <col min="796" max="796" width="9.140625" customWidth="1" style="5"/>
    <col min="797" max="797" width="9.140625" customWidth="1" style="5"/>
    <col min="798" max="798" width="9.140625" customWidth="1" style="5"/>
    <col min="799" max="799" width="9.140625" customWidth="1" style="5"/>
    <col min="800" max="800" width="9.140625" customWidth="1" style="5"/>
    <col min="801" max="801" width="9.140625" customWidth="1" style="5"/>
    <col min="802" max="802" width="9.140625" customWidth="1" style="5"/>
    <col min="803" max="803" width="9.140625" customWidth="1" style="5"/>
    <col min="804" max="804" width="9.140625" customWidth="1" style="5"/>
    <col min="805" max="805" width="9.140625" customWidth="1" style="5"/>
    <col min="806" max="806" width="9.140625" customWidth="1" style="5"/>
    <col min="807" max="807" width="9.140625" customWidth="1" style="5"/>
    <col min="808" max="808" width="9.140625" customWidth="1" style="5"/>
    <col min="809" max="809" width="9.140625" customWidth="1" style="5"/>
    <col min="810" max="810" width="9.140625" customWidth="1" style="5"/>
    <col min="811" max="811" width="9.140625" customWidth="1" style="5"/>
    <col min="812" max="812" width="9.140625" customWidth="1" style="5"/>
    <col min="813" max="813" width="9.140625" customWidth="1" style="5"/>
    <col min="814" max="814" width="9.140625" customWidth="1" style="5"/>
    <col min="815" max="815" width="9.140625" customWidth="1" style="5"/>
    <col min="816" max="816" width="9.140625" customWidth="1" style="5"/>
    <col min="817" max="817" width="9.140625" customWidth="1" style="5"/>
    <col min="818" max="818" width="9.140625" customWidth="1" style="5"/>
    <col min="819" max="819" width="9.140625" customWidth="1" style="5"/>
    <col min="820" max="820" width="9.140625" customWidth="1" style="5"/>
    <col min="821" max="821" width="9.140625" customWidth="1" style="5"/>
    <col min="822" max="822" width="9.140625" customWidth="1" style="5"/>
    <col min="823" max="823" width="9.140625" customWidth="1" style="5"/>
    <col min="824" max="824" width="9.140625" customWidth="1" style="5"/>
    <col min="825" max="825" width="9.140625" customWidth="1" style="5"/>
    <col min="826" max="826" width="9.140625" customWidth="1" style="5"/>
    <col min="827" max="827" width="9.140625" customWidth="1" style="5"/>
    <col min="828" max="828" width="9.140625" customWidth="1" style="5"/>
    <col min="829" max="829" width="9.140625" customWidth="1" style="5"/>
    <col min="830" max="830" width="9.140625" customWidth="1" style="5"/>
    <col min="831" max="831" width="9.140625" customWidth="1" style="5"/>
    <col min="832" max="832" width="9.140625" customWidth="1" style="5"/>
    <col min="833" max="833" width="9.140625" customWidth="1" style="5"/>
    <col min="834" max="834" width="9.140625" customWidth="1" style="5"/>
    <col min="835" max="835" width="9.140625" customWidth="1" style="5"/>
    <col min="836" max="836" width="9.140625" customWidth="1" style="5"/>
    <col min="837" max="837" width="9.140625" customWidth="1" style="5"/>
    <col min="838" max="838" width="9.140625" customWidth="1" style="5"/>
    <col min="839" max="839" width="9.140625" customWidth="1" style="5"/>
    <col min="840" max="840" width="9.140625" customWidth="1" style="5"/>
    <col min="841" max="841" width="9.140625" customWidth="1" style="5"/>
    <col min="842" max="842" width="9.140625" customWidth="1" style="5"/>
    <col min="843" max="843" width="9.140625" customWidth="1" style="5"/>
    <col min="844" max="844" width="9.140625" customWidth="1" style="5"/>
    <col min="845" max="845" width="9.140625" customWidth="1" style="5"/>
    <col min="846" max="846" width="9.140625" customWidth="1" style="5"/>
    <col min="847" max="847" width="9.140625" customWidth="1" style="5"/>
    <col min="848" max="848" width="9.140625" customWidth="1" style="5"/>
    <col min="849" max="849" width="9.140625" customWidth="1" style="5"/>
    <col min="850" max="850" width="9.140625" customWidth="1" style="5"/>
    <col min="851" max="851" width="9.140625" customWidth="1" style="5"/>
    <col min="852" max="852" width="9.140625" customWidth="1" style="5"/>
    <col min="853" max="853" width="9.140625" customWidth="1" style="5"/>
    <col min="854" max="854" width="9.140625" customWidth="1" style="5"/>
    <col min="855" max="855" width="9.140625" customWidth="1" style="5"/>
    <col min="856" max="856" width="9.140625" customWidth="1" style="5"/>
    <col min="857" max="857" width="9.140625" customWidth="1" style="5"/>
    <col min="858" max="858" width="9.140625" customWidth="1" style="5"/>
    <col min="859" max="859" width="9.140625" customWidth="1" style="5"/>
    <col min="860" max="860" width="9.140625" customWidth="1" style="5"/>
    <col min="861" max="861" width="9.140625" customWidth="1" style="5"/>
    <col min="862" max="862" width="9.140625" customWidth="1" style="5"/>
    <col min="863" max="863" width="9.140625" customWidth="1" style="5"/>
    <col min="864" max="864" width="9.140625" customWidth="1" style="5"/>
    <col min="865" max="865" width="9.140625" customWidth="1" style="5"/>
    <col min="866" max="866" width="9.140625" customWidth="1" style="5"/>
    <col min="867" max="867" width="9.140625" customWidth="1" style="5"/>
    <col min="868" max="868" width="9.140625" customWidth="1" style="5"/>
    <col min="869" max="869" width="9.140625" customWidth="1" style="5"/>
    <col min="870" max="870" width="9.140625" customWidth="1" style="5"/>
    <col min="871" max="871" width="9.140625" customWidth="1" style="5"/>
    <col min="872" max="872" width="9.140625" customWidth="1" style="5"/>
    <col min="873" max="873" width="9.140625" customWidth="1" style="5"/>
    <col min="874" max="874" width="9.140625" customWidth="1" style="5"/>
    <col min="875" max="875" width="9.140625" customWidth="1" style="5"/>
    <col min="876" max="876" width="9.140625" customWidth="1" style="5"/>
    <col min="877" max="877" width="9.140625" customWidth="1" style="5"/>
    <col min="878" max="878" width="9.140625" customWidth="1" style="5"/>
    <col min="879" max="879" width="9.140625" customWidth="1" style="5"/>
    <col min="880" max="880" width="9.140625" customWidth="1" style="5"/>
    <col min="881" max="881" width="9.140625" customWidth="1" style="5"/>
    <col min="882" max="882" width="9.140625" customWidth="1" style="5"/>
    <col min="883" max="883" width="9.140625" customWidth="1" style="5"/>
    <col min="884" max="884" width="9.140625" customWidth="1" style="5"/>
    <col min="885" max="885" width="9.140625" customWidth="1" style="5"/>
    <col min="886" max="886" width="9.140625" customWidth="1" style="5"/>
    <col min="887" max="887" width="9.140625" customWidth="1" style="5"/>
    <col min="888" max="888" width="9.140625" customWidth="1" style="5"/>
    <col min="889" max="889" width="9.140625" customWidth="1" style="5"/>
    <col min="890" max="890" width="9.140625" customWidth="1" style="5"/>
    <col min="891" max="891" width="9.140625" customWidth="1" style="5"/>
    <col min="892" max="892" width="9.140625" customWidth="1" style="5"/>
    <col min="893" max="893" width="9.140625" customWidth="1" style="5"/>
    <col min="894" max="894" width="9.140625" customWidth="1" style="5"/>
    <col min="895" max="895" width="9.140625" customWidth="1" style="5"/>
    <col min="896" max="896" width="9.140625" customWidth="1" style="5"/>
    <col min="897" max="897" width="9.140625" customWidth="1" style="5"/>
    <col min="898" max="898" width="9.140625" customWidth="1" style="5"/>
    <col min="899" max="899" width="9.140625" customWidth="1" style="5"/>
    <col min="900" max="900" width="9.140625" customWidth="1" style="5"/>
    <col min="901" max="901" width="9.140625" customWidth="1" style="5"/>
    <col min="902" max="902" width="9.140625" customWidth="1" style="5"/>
    <col min="903" max="903" width="9.140625" customWidth="1" style="5"/>
    <col min="904" max="904" width="9.140625" customWidth="1" style="5"/>
    <col min="905" max="905" width="9.140625" customWidth="1" style="5"/>
    <col min="906" max="906" width="9.140625" customWidth="1" style="5"/>
    <col min="907" max="907" width="9.140625" customWidth="1" style="5"/>
    <col min="908" max="908" width="9.140625" customWidth="1" style="5"/>
    <col min="909" max="909" width="9.140625" customWidth="1" style="5"/>
    <col min="910" max="910" width="9.140625" customWidth="1" style="5"/>
    <col min="911" max="911" width="9.140625" customWidth="1" style="5"/>
    <col min="912" max="912" width="9.140625" customWidth="1" style="5"/>
    <col min="913" max="913" width="9.140625" customWidth="1" style="5"/>
    <col min="914" max="914" width="9.140625" customWidth="1" style="5"/>
    <col min="915" max="915" width="9.140625" customWidth="1" style="5"/>
    <col min="916" max="916" width="9.140625" customWidth="1" style="5"/>
    <col min="917" max="917" width="9.140625" customWidth="1" style="5"/>
    <col min="918" max="918" width="9.140625" customWidth="1" style="5"/>
    <col min="919" max="919" width="9.140625" customWidth="1" style="5"/>
    <col min="920" max="920" width="9.140625" customWidth="1" style="5"/>
    <col min="921" max="921" width="9.140625" customWidth="1" style="5"/>
    <col min="922" max="922" width="9.140625" customWidth="1" style="5"/>
    <col min="923" max="923" width="9.140625" customWidth="1" style="5"/>
    <col min="924" max="924" width="9.140625" customWidth="1" style="5"/>
    <col min="925" max="925" width="9.140625" customWidth="1" style="5"/>
    <col min="926" max="926" width="9.140625" customWidth="1" style="5"/>
    <col min="927" max="927" width="9.140625" customWidth="1" style="5"/>
    <col min="928" max="928" width="9.140625" customWidth="1" style="5"/>
    <col min="929" max="929" width="9.140625" customWidth="1" style="5"/>
    <col min="930" max="930" width="9.140625" customWidth="1" style="5"/>
    <col min="931" max="931" width="9.140625" customWidth="1" style="5"/>
    <col min="932" max="932" width="9.140625" customWidth="1" style="5"/>
    <col min="933" max="933" width="9.140625" customWidth="1" style="5"/>
    <col min="934" max="934" width="9.140625" customWidth="1" style="5"/>
    <col min="935" max="935" width="9.140625" customWidth="1" style="5"/>
    <col min="936" max="936" width="9.140625" customWidth="1" style="5"/>
    <col min="937" max="937" width="9.140625" customWidth="1" style="5"/>
    <col min="938" max="938" width="9.140625" customWidth="1" style="5"/>
    <col min="939" max="939" width="9.140625" customWidth="1" style="5"/>
    <col min="940" max="940" width="9.140625" customWidth="1" style="5"/>
    <col min="941" max="941" width="9.140625" customWidth="1" style="5"/>
    <col min="942" max="942" width="9.140625" customWidth="1" style="5"/>
    <col min="943" max="943" width="9.140625" customWidth="1" style="5"/>
    <col min="944" max="944" width="9.140625" customWidth="1" style="5"/>
    <col min="945" max="945" width="9.140625" customWidth="1" style="5"/>
    <col min="946" max="946" width="9.140625" customWidth="1" style="5"/>
    <col min="947" max="947" width="9.140625" customWidth="1" style="5"/>
    <col min="948" max="948" width="9.140625" customWidth="1" style="5"/>
    <col min="949" max="949" width="9.140625" customWidth="1" style="5"/>
    <col min="950" max="950" width="9.140625" customWidth="1" style="5"/>
    <col min="951" max="951" width="9.140625" customWidth="1" style="5"/>
    <col min="952" max="952" width="9.140625" customWidth="1" style="5"/>
    <col min="953" max="953" width="9.140625" customWidth="1" style="5"/>
    <col min="954" max="954" width="9.140625" customWidth="1" style="5"/>
    <col min="955" max="955" width="9.140625" customWidth="1" style="5"/>
    <col min="956" max="956" width="9.140625" customWidth="1" style="5"/>
    <col min="957" max="957" width="9.140625" customWidth="1" style="5"/>
    <col min="958" max="958" width="9.140625" customWidth="1" style="5"/>
    <col min="959" max="959" width="9.140625" customWidth="1" style="5"/>
    <col min="960" max="960" width="9.140625" customWidth="1" style="5"/>
    <col min="961" max="961" width="9.140625" customWidth="1" style="5"/>
    <col min="962" max="962" width="9.140625" customWidth="1" style="5"/>
    <col min="963" max="963" width="9.140625" customWidth="1" style="5"/>
    <col min="964" max="964" width="9.140625" customWidth="1" style="5"/>
    <col min="965" max="965" width="9.140625" customWidth="1" style="5"/>
    <col min="966" max="966" width="9.140625" customWidth="1" style="5"/>
    <col min="967" max="967" width="9.140625" customWidth="1" style="5"/>
    <col min="968" max="968" width="9.140625" customWidth="1" style="5"/>
    <col min="969" max="969" width="9.140625" customWidth="1" style="5"/>
    <col min="970" max="970" width="9.140625" customWidth="1" style="5"/>
    <col min="971" max="971" width="9.140625" customWidth="1" style="5"/>
    <col min="972" max="972" width="9.140625" customWidth="1" style="5"/>
    <col min="973" max="973" width="9.140625" customWidth="1" style="5"/>
    <col min="974" max="974" width="9.140625" customWidth="1" style="5"/>
    <col min="975" max="975" width="9.140625" customWidth="1" style="5"/>
    <col min="976" max="976" width="9.140625" customWidth="1" style="5"/>
    <col min="977" max="977" width="9.140625" customWidth="1" style="5"/>
    <col min="978" max="978" width="9.140625" customWidth="1" style="5"/>
    <col min="979" max="979" width="9.140625" customWidth="1" style="5"/>
    <col min="980" max="980" width="9.140625" customWidth="1" style="5"/>
    <col min="981" max="981" width="9.140625" customWidth="1" style="5"/>
    <col min="982" max="982" width="9.140625" customWidth="1" style="5"/>
    <col min="983" max="983" width="9.140625" customWidth="1" style="5"/>
    <col min="984" max="984" width="9.140625" customWidth="1" style="5"/>
    <col min="985" max="985" width="9.140625" customWidth="1" style="5"/>
    <col min="986" max="986" width="9.140625" customWidth="1" style="5"/>
    <col min="987" max="987" width="9.140625" customWidth="1" style="5"/>
    <col min="988" max="988" width="9.140625" customWidth="1" style="5"/>
    <col min="989" max="989" width="9.140625" customWidth="1" style="5"/>
    <col min="990" max="990" width="9.140625" customWidth="1" style="5"/>
    <col min="991" max="991" width="9.140625" customWidth="1" style="5"/>
    <col min="992" max="992" width="9.140625" customWidth="1" style="5"/>
    <col min="993" max="993" width="9.140625" customWidth="1" style="5"/>
    <col min="994" max="994" width="9.140625" customWidth="1" style="5"/>
    <col min="995" max="995" width="9.140625" customWidth="1" style="5"/>
    <col min="996" max="996" width="9.140625" customWidth="1" style="5"/>
    <col min="997" max="997" width="9.140625" customWidth="1" style="5"/>
    <col min="998" max="998" width="9.140625" customWidth="1" style="5"/>
    <col min="999" max="999" width="9.140625" customWidth="1" style="5"/>
    <col min="1000" max="1000" width="9.140625" customWidth="1" style="5"/>
  </cols>
  <sheetData>
    <row r="2">
      <c r="A2" s="8" t="s">
        <v>269</v>
      </c>
    </row>
    <row r="4">
      <c r="A4" s="9" t="s">
        <v>270</v>
      </c>
      <c r="B4" s="9" t="s">
        <v>271</v>
      </c>
    </row>
    <row r="5">
      <c r="A5" s="9" t="s">
        <v>272</v>
      </c>
      <c r="B5" s="9" t="s">
        <v>273</v>
      </c>
    </row>
    <row r="6">
      <c r="A6" s="9" t="s">
        <v>2</v>
      </c>
      <c r="B6" s="9" t="s">
        <v>274</v>
      </c>
    </row>
    <row r="7">
      <c r="A7" s="9" t="s">
        <v>3</v>
      </c>
      <c r="B7" s="9" t="s">
        <v>274</v>
      </c>
    </row>
    <row r="8">
      <c r="A8" s="9" t="s">
        <v>275</v>
      </c>
      <c r="B8" s="9" t="s">
        <v>276</v>
      </c>
    </row>
    <row r="9">
      <c r="A9" s="9" t="s">
        <v>4</v>
      </c>
      <c r="B9" s="9" t="s">
        <v>274</v>
      </c>
    </row>
    <row r="10">
      <c r="A10" s="9" t="s">
        <v>5</v>
      </c>
      <c r="B10" s="9" t="s">
        <v>277</v>
      </c>
    </row>
    <row r="11">
      <c r="B11" s="9" t="s">
        <v>278</v>
      </c>
    </row>
    <row r="13">
      <c r="A13" s="9" t="s">
        <v>279</v>
      </c>
      <c r="B13" s="9" t="s">
        <v>2</v>
      </c>
      <c r="C13" s="9" t="s">
        <v>280</v>
      </c>
    </row>
    <row r="15">
      <c r="A15" s="10">
        <v>45038.63978298611</v>
      </c>
    </row>
  </sheetData>
  <pageSetup paperSize="9" orientation="portrait"/>
  <headerFooter/>
</worksheet>
</file>